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Shared\Projects\Cokenach\P-7000\P-7900\7948\Docs\2023\BNG\"/>
    </mc:Choice>
  </mc:AlternateContent>
  <xr:revisionPtr revIDLastSave="0" documentId="13_ncr:1_{51904DA9-D570-4F0E-B682-5A55F1406DC4}" xr6:coauthVersionLast="47" xr6:coauthVersionMax="47" xr10:uidLastSave="{00000000-0000-0000-0000-000000000000}"/>
  <bookViews>
    <workbookView xWindow="-108" yWindow="-108" windowWidth="23256" windowHeight="12576" tabRatio="888" activeTab="1" xr2:uid="{00000000-000D-0000-FFFF-FFFF00000000}"/>
  </bookViews>
  <sheets>
    <sheet name="Introduction" sheetId="101" r:id="rId1"/>
    <sheet name="Start" sheetId="96" r:id="rId2"/>
    <sheet name="Instructions" sheetId="89" r:id="rId3"/>
    <sheet name="Main Menu" sheetId="78" r:id="rId4"/>
    <sheet name="Results" sheetId="79" r:id="rId5"/>
    <sheet name="Headline Results" sheetId="73" r:id="rId6"/>
    <sheet name="Detailed Results" sheetId="36" r:id="rId7"/>
    <sheet name="Trading Summary" sheetId="72" r:id="rId8"/>
    <sheet name="A-1 Site Habitat Baseline" sheetId="11" r:id="rId9"/>
    <sheet name="A-2 Site Habitat Creation" sheetId="46" r:id="rId10"/>
    <sheet name="A-3 Site Habitat Enhancement" sheetId="32" state="hidden" r:id="rId11"/>
    <sheet name="D-1 Off Site Habitat Baseline" sheetId="59" state="hidden" r:id="rId12"/>
    <sheet name="D-2 Off Site Habitat Creation" sheetId="71" state="hidden" r:id="rId13"/>
    <sheet name="D-3 Off Site Habitat Enhancment" sheetId="50" state="hidden" r:id="rId14"/>
    <sheet name="B-1 Site Hedge Baseline" sheetId="52" r:id="rId15"/>
    <sheet name="B-2 Site Hedge Creation" sheetId="42" r:id="rId16"/>
    <sheet name="B-3 Site Hedge Enhancement" sheetId="53" state="hidden" r:id="rId17"/>
    <sheet name="E-1 Off Site Hedge Baseline" sheetId="55" state="hidden" r:id="rId18"/>
    <sheet name="E-2 Off Site Hedge Creation" sheetId="58" state="hidden" r:id="rId19"/>
    <sheet name="E-3 Off Site Hedge Enhancement" sheetId="57" state="hidden" r:id="rId20"/>
    <sheet name="C-1 Site River Baseline" sheetId="63" state="hidden" r:id="rId21"/>
    <sheet name="C-2 Site River Creation" sheetId="64" state="hidden" r:id="rId22"/>
    <sheet name="C-3 Site River Enhancement" sheetId="65" state="hidden" r:id="rId23"/>
    <sheet name="F-1 Off Site River Baseline" sheetId="67" state="hidden" r:id="rId24"/>
    <sheet name="F-2 Off Site River Creation" sheetId="68" state="hidden" r:id="rId25"/>
    <sheet name="F-3 Off Site River Enhancement" sheetId="69" state="hidden" r:id="rId26"/>
    <sheet name="G-1 All Habitats" sheetId="29" state="hidden" r:id="rId27"/>
    <sheet name="G-2 Habitat groups" sheetId="22" state="hidden" r:id="rId28"/>
    <sheet name="G-3 Multipliers" sheetId="28" state="hidden" r:id="rId29"/>
    <sheet name="G-4 Temporal multipliers" sheetId="20" state="hidden" r:id="rId30"/>
    <sheet name="G-5 Enhancement Temporal" sheetId="33" state="hidden" r:id="rId31"/>
    <sheet name="G-6 Hedgerow Data" sheetId="39" state="hidden" r:id="rId32"/>
    <sheet name="G-7 Rivers Data" sheetId="66" state="hidden" r:id="rId33"/>
    <sheet name="G-8 Condition Look up" sheetId="99" state="hidden" r:id="rId34"/>
    <sheet name="G-9 Translation Phase 1" sheetId="103" state="hidden" r:id="rId35"/>
    <sheet name="Technical Data" sheetId="95" state="hidden" r:id="rId36"/>
    <sheet name="Lists" sheetId="61" state="hidden" r:id="rId37"/>
  </sheets>
  <externalReferences>
    <externalReference r:id="rId38"/>
    <externalReference r:id="rId39"/>
    <externalReference r:id="rId40"/>
  </externalReferences>
  <definedNames>
    <definedName name="_xlnm._FilterDatabase" localSheetId="8" hidden="1">'A-1 Site Habitat Baseline'!$E$10:$Q$259</definedName>
    <definedName name="_xlnm._FilterDatabase" localSheetId="9" hidden="1">'A-2 Site Habitat Creation'!$F$10:$AA$257</definedName>
    <definedName name="_xlnm._FilterDatabase" localSheetId="10" hidden="1">'A-3 Site Habitat Enhancement'!$E$11:$AP$261</definedName>
    <definedName name="_xlnm._FilterDatabase" localSheetId="14" hidden="1">'B-1 Site Hedge Baseline'!$C$9:$N$258</definedName>
    <definedName name="_xlnm._FilterDatabase" localSheetId="15" hidden="1">'B-2 Site Hedge Creation'!$B$11:$S$11</definedName>
    <definedName name="_xlnm._FilterDatabase" localSheetId="16" hidden="1">'B-3 Site Hedge Enhancement'!$B$11:$AD$261</definedName>
    <definedName name="_xlnm._FilterDatabase" localSheetId="20" hidden="1">'C-1 Site River Baseline'!$C$9:$N$258</definedName>
    <definedName name="_xlnm._FilterDatabase" localSheetId="21" hidden="1">'C-2 Site River Creation'!$C$11:$X$261</definedName>
    <definedName name="_xlnm._FilterDatabase" localSheetId="22" hidden="1">'C-3 Site River Enhancement'!$B$11:$M$11</definedName>
    <definedName name="_xlnm._FilterDatabase" localSheetId="11" hidden="1">'D-1 Off Site Habitat Baseline'!$E$10:$Q$259</definedName>
    <definedName name="_xlnm._FilterDatabase" localSheetId="12" hidden="1">'D-2 Off Site Habitat Creation'!$F$10:$AC$10</definedName>
    <definedName name="_xlnm._FilterDatabase" localSheetId="13" hidden="1">'D-3 Off Site Habitat Enhancment'!$E$11:$AR$495</definedName>
    <definedName name="_xlnm._FilterDatabase" localSheetId="17" hidden="1">'E-1 Off Site Hedge Baseline'!$C$9:$N$258</definedName>
    <definedName name="_xlnm._FilterDatabase" localSheetId="18" hidden="1">'E-2 Off Site Hedge Creation'!$B$11:$U$11</definedName>
    <definedName name="_xlnm._FilterDatabase" localSheetId="19" hidden="1">'E-3 Off Site Hedge Enhancement'!$B$11:$AH$11</definedName>
    <definedName name="_xlnm._FilterDatabase" localSheetId="23" hidden="1">'F-1 Off Site River Baseline'!$C$9:$N$258</definedName>
    <definedName name="_xlnm._FilterDatabase" localSheetId="24" hidden="1">'F-2 Off Site River Creation'!$B$11:$AB$11</definedName>
    <definedName name="_xlnm._FilterDatabase" localSheetId="25" hidden="1">'F-3 Off Site River Enhancement'!$B$11:$AO$261</definedName>
    <definedName name="_xlnm._FilterDatabase" localSheetId="26" hidden="1">'G-1 All Habitats'!$B$2:$S$130</definedName>
    <definedName name="_xlnm._FilterDatabase" localSheetId="27" hidden="1">'G-2 Habitat groups'!$A$3:$R$79</definedName>
    <definedName name="_xlnm._FilterDatabase" localSheetId="28" hidden="1">'G-3 Multipliers'!$A$2:$E$122</definedName>
    <definedName name="_xlnm._FilterDatabase" localSheetId="29" hidden="1">'G-4 Temporal multipliers'!$F$3:$M$128</definedName>
    <definedName name="_xlnm._FilterDatabase" localSheetId="30" hidden="1">'G-5 Enhancement Temporal'!$C$3:$U$132</definedName>
    <definedName name="_xlnm._FilterDatabase" localSheetId="33" hidden="1">'G-8 Condition Look up'!$A$3:$H$79</definedName>
    <definedName name="_xlnm._FilterDatabase" localSheetId="34" hidden="1">'G-9 Translation Phase 1'!$B$2:$D$150</definedName>
    <definedName name="_xlnm._FilterDatabase" localSheetId="36" hidden="1">Lists!$D$1:$D$156</definedName>
    <definedName name="_xlnm._FilterDatabase" localSheetId="7" hidden="1">'Trading Summary'!$B$12:$D$36</definedName>
    <definedName name="AllHabsSummaryData">'G-2 Habitat groups'!$A$3:$AF$131</definedName>
    <definedName name="BaselineHabOffsite">'D-1 Off Site Habitat Baseline'!$D$11:$X$258</definedName>
    <definedName name="BaselineHabSite">'A-1 Site Habitat Baseline'!$D$11:$X$258</definedName>
    <definedName name="baselineimage">Start!$D$31:$G$45</definedName>
    <definedName name="baselineimageOS" localSheetId="1">Start!$D$52:$G$57</definedName>
    <definedName name="Coastal_lagoons">'G-1 All Habitats'!$A$100</definedName>
    <definedName name="Coastal_saltmarsh">'G-1 All Habitats'!$A$109:$A$110</definedName>
    <definedName name="Cond1">'G-8 Condition Look up'!$J$5</definedName>
    <definedName name="Cond2">'G-8 Condition Look up'!$K$5</definedName>
    <definedName name="Cond3">'G-8 Condition Look up'!$L$5</definedName>
    <definedName name="Cond4">'G-8 Condition Look up'!$M$5:$M$9</definedName>
    <definedName name="Cond5">'G-8 Condition Look up'!$N$5</definedName>
    <definedName name="Condition" localSheetId="33">'G-8 Condition Look up'!$B$3:$H$3</definedName>
    <definedName name="ConditionData" localSheetId="33">'G-8 Condition Look up'!$A$4:$H$100</definedName>
    <definedName name="ConditionHabitats" localSheetId="33">'G-8 Condition Look up'!$A$4:$A$126</definedName>
    <definedName name="Cropland">'G-1 All Habitats'!$A$3:$A$13</definedName>
    <definedName name="Difficulty">'G-3 Multipliers'!$P$3:$Q$6</definedName>
    <definedName name="EnhanceCondition">'G-5 Enhancement Temporal'!$C$4:$T$4</definedName>
    <definedName name="EnhanceHabitat">'G-5 Enhancement Temporal'!$C$4:$C$132</definedName>
    <definedName name="EnhanceTemporal">'G-5 Enhancement Temporal'!$C$4:$T$132</definedName>
    <definedName name="Grassland">'G-1 All Habitats'!$A$14:$A$26</definedName>
    <definedName name="Heathland_and_shrub">'G-1 All Habitats'!$A$27:$A$38</definedName>
    <definedName name="HedgeCond">'G-6 Hedgerow Data'!$B$2:$T$2</definedName>
    <definedName name="Hedgecond1">'G-6 Hedgerow Data'!$BK$3:$BK$5</definedName>
    <definedName name="Hedgecond2">'G-6 Hedgerow Data'!$BL$3</definedName>
    <definedName name="HedgeData">'G-6 Hedgerow Data'!$B$2:$T$15</definedName>
    <definedName name="HedgeType">'G-6 Hedgerow Data'!$B$2:$B$15</definedName>
    <definedName name="Intertidal_hard_structures">'G-1 All Habitats'!$A$128:$A$130</definedName>
    <definedName name="Intertidal_sediment">'G-1 All Habitats'!$A$111:$A$127</definedName>
    <definedName name="Lakes">'G-1 All Habitats'!$A$39:$A$49</definedName>
    <definedName name="LPAList">Lists!$A$1:$A$378</definedName>
    <definedName name="postdevelopmentimage">Start!$I$31:$O$45</definedName>
    <definedName name="postdevelopmentimageOS">Start!$I$52:$O$57</definedName>
    <definedName name="RetCatChecks">'A-1 Site Habitat Baseline'!$AE$11:$AH$258</definedName>
    <definedName name="riparianencroachment1">'G-7 Rivers Data'!$AA$4:$AA$6</definedName>
    <definedName name="riparianencroachment2">'G-7 Rivers Data'!$AA$7</definedName>
    <definedName name="Rivercond1">'G-7 Rivers Data'!$BB$3:$BB$7</definedName>
    <definedName name="Rivercond2">'G-7 Rivers Data'!$BC$3</definedName>
    <definedName name="RiverCondition">'G-7 Rivers Data'!$B$3:$X$3</definedName>
    <definedName name="RiverEnhanceTemporal">'G-7 Rivers Data'!$B$4:$X$12</definedName>
    <definedName name="RiverHabitat">'G-7 Rivers Data'!$B$4:$B$13</definedName>
    <definedName name="RiversEnhancment">'G-7 Rivers Data'!$O$3:$X$5</definedName>
    <definedName name="Rocky_shore">'G-1 All Habitats'!$A$101:$A$108</definedName>
    <definedName name="Sparsely_vegetated_land">'G-1 All Habitats'!$A$50:$A$57</definedName>
    <definedName name="TemporalConditions">'G-4 Temporal multipliers'!$F$3:$M$3</definedName>
    <definedName name="TemporalData">'G-4 Temporal multipliers'!$F$3:$M$131</definedName>
    <definedName name="TemporalHabitats">'G-4 Temporal multipliers'!$F$3:$F$131</definedName>
    <definedName name="TemporalMultipliers">'G-4 Temporal multipliers'!$A$4:$C$36</definedName>
    <definedName name="Urban">'G-1 All Habitats'!$A$58:$A$78</definedName>
    <definedName name="Wetland">'G-1 All Habitats'!$A$79:$A$86</definedName>
    <definedName name="Woodland_and_forest">'G-1 All Habitats'!$A$87:$A$99</definedName>
  </definedNames>
  <calcPr calcId="191029"/>
  <customWorkbookViews>
    <customWorkbookView name="h" guid="{8BDA793C-C9C5-4FC6-A0A5-F1109F6D4F22}" includePrintSettings="0" includeHiddenRowCol="0" maximized="1" xWindow="-1928" yWindow="-314" windowWidth="1936" windowHeight="1056" tabRatio="760" activeSheetId="7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73" i="22" l="1"/>
  <c r="Z172" i="22"/>
  <c r="Z171" i="22"/>
  <c r="Z170" i="22"/>
  <c r="Z169" i="22"/>
  <c r="X173" i="22"/>
  <c r="X172" i="22"/>
  <c r="X171" i="22"/>
  <c r="X170" i="22"/>
  <c r="X169" i="22"/>
  <c r="W173" i="22"/>
  <c r="W172" i="22"/>
  <c r="W171" i="22"/>
  <c r="W170" i="22"/>
  <c r="W169" i="22"/>
  <c r="V173" i="22"/>
  <c r="V172" i="22"/>
  <c r="V171" i="22"/>
  <c r="V170" i="22"/>
  <c r="V169" i="22"/>
  <c r="U173" i="22"/>
  <c r="U172" i="22"/>
  <c r="U171" i="22"/>
  <c r="U170" i="22"/>
  <c r="U169" i="22"/>
  <c r="T173" i="22"/>
  <c r="T172" i="22"/>
  <c r="T171" i="22"/>
  <c r="T170" i="22"/>
  <c r="T169" i="22"/>
  <c r="T11" i="55" l="1"/>
  <c r="T12" i="55"/>
  <c r="T13" i="55"/>
  <c r="T14" i="55"/>
  <c r="T15" i="55"/>
  <c r="T16" i="55"/>
  <c r="T17" i="55"/>
  <c r="T18" i="55"/>
  <c r="T19" i="55"/>
  <c r="T20" i="55"/>
  <c r="T21" i="55"/>
  <c r="T22" i="55"/>
  <c r="T23" i="55"/>
  <c r="T24" i="55"/>
  <c r="T25" i="55"/>
  <c r="T26" i="55"/>
  <c r="T27" i="55"/>
  <c r="T28" i="55"/>
  <c r="T29" i="55"/>
  <c r="T30" i="55"/>
  <c r="T31" i="55"/>
  <c r="T32" i="55"/>
  <c r="T33" i="55"/>
  <c r="T34" i="55"/>
  <c r="T35" i="55"/>
  <c r="T36" i="55"/>
  <c r="T37" i="55"/>
  <c r="T38" i="55"/>
  <c r="T39" i="55"/>
  <c r="T40" i="55"/>
  <c r="T41" i="55"/>
  <c r="T42" i="55"/>
  <c r="T43" i="55"/>
  <c r="T44" i="55"/>
  <c r="T45" i="55"/>
  <c r="T46" i="55"/>
  <c r="T47" i="55"/>
  <c r="T48" i="55"/>
  <c r="T49" i="55"/>
  <c r="T50" i="55"/>
  <c r="T51" i="55"/>
  <c r="T52" i="55"/>
  <c r="T53" i="55"/>
  <c r="T54" i="55"/>
  <c r="T55" i="55"/>
  <c r="T56" i="55"/>
  <c r="T57" i="55"/>
  <c r="T58" i="55"/>
  <c r="T59" i="55"/>
  <c r="T60" i="55"/>
  <c r="T61" i="55"/>
  <c r="T62" i="55"/>
  <c r="T63" i="55"/>
  <c r="T64" i="55"/>
  <c r="T65" i="55"/>
  <c r="T66" i="55"/>
  <c r="T67" i="55"/>
  <c r="T68" i="55"/>
  <c r="T69" i="55"/>
  <c r="T70" i="55"/>
  <c r="T71" i="55"/>
  <c r="T72" i="55"/>
  <c r="T73" i="55"/>
  <c r="T74" i="55"/>
  <c r="T75" i="55"/>
  <c r="T76" i="55"/>
  <c r="T77" i="55"/>
  <c r="T78" i="55"/>
  <c r="T79" i="55"/>
  <c r="T80" i="55"/>
  <c r="T81" i="55"/>
  <c r="T82" i="55"/>
  <c r="T83" i="55"/>
  <c r="T84" i="55"/>
  <c r="T85" i="55"/>
  <c r="T86" i="55"/>
  <c r="T87" i="55"/>
  <c r="T88" i="55"/>
  <c r="T89" i="55"/>
  <c r="T90" i="55"/>
  <c r="T91" i="55"/>
  <c r="T92" i="55"/>
  <c r="T93" i="55"/>
  <c r="T94" i="55"/>
  <c r="T95" i="55"/>
  <c r="T96" i="55"/>
  <c r="T97" i="55"/>
  <c r="T98" i="55"/>
  <c r="T99" i="55"/>
  <c r="T100" i="55"/>
  <c r="T101" i="55"/>
  <c r="T102" i="55"/>
  <c r="T103" i="55"/>
  <c r="T104" i="55"/>
  <c r="T105" i="55"/>
  <c r="T106" i="55"/>
  <c r="T107" i="55"/>
  <c r="T108" i="55"/>
  <c r="T109" i="55"/>
  <c r="T110" i="55"/>
  <c r="T111" i="55"/>
  <c r="T112" i="55"/>
  <c r="T113" i="55"/>
  <c r="T114" i="55"/>
  <c r="T115" i="55"/>
  <c r="T116" i="55"/>
  <c r="T117" i="55"/>
  <c r="T118" i="55"/>
  <c r="T119" i="55"/>
  <c r="T120" i="55"/>
  <c r="T121" i="55"/>
  <c r="T122" i="55"/>
  <c r="T123" i="55"/>
  <c r="T124" i="55"/>
  <c r="T125" i="55"/>
  <c r="T126" i="55"/>
  <c r="T127" i="55"/>
  <c r="T128" i="55"/>
  <c r="T129" i="55"/>
  <c r="T130" i="55"/>
  <c r="T131" i="55"/>
  <c r="T132" i="55"/>
  <c r="T133" i="55"/>
  <c r="T134" i="55"/>
  <c r="T135" i="55"/>
  <c r="T136" i="55"/>
  <c r="T137" i="55"/>
  <c r="T138" i="55"/>
  <c r="T139" i="55"/>
  <c r="T140" i="55"/>
  <c r="T141" i="55"/>
  <c r="T142" i="55"/>
  <c r="T143" i="55"/>
  <c r="T144" i="55"/>
  <c r="T145" i="55"/>
  <c r="T146" i="55"/>
  <c r="T147" i="55"/>
  <c r="T148" i="55"/>
  <c r="T149" i="55"/>
  <c r="T150" i="55"/>
  <c r="T151" i="55"/>
  <c r="T152" i="55"/>
  <c r="T153" i="55"/>
  <c r="T154" i="55"/>
  <c r="T155" i="55"/>
  <c r="T156" i="55"/>
  <c r="T157" i="55"/>
  <c r="T158" i="55"/>
  <c r="T159" i="55"/>
  <c r="T160" i="55"/>
  <c r="T161" i="55"/>
  <c r="T162" i="55"/>
  <c r="T163" i="55"/>
  <c r="T164" i="55"/>
  <c r="T165" i="55"/>
  <c r="T166" i="55"/>
  <c r="T167" i="55"/>
  <c r="T168" i="55"/>
  <c r="T169" i="55"/>
  <c r="T170" i="55"/>
  <c r="T171" i="55"/>
  <c r="T172" i="55"/>
  <c r="T173" i="55"/>
  <c r="T174" i="55"/>
  <c r="T175" i="55"/>
  <c r="T176" i="55"/>
  <c r="T177" i="55"/>
  <c r="T178" i="55"/>
  <c r="T179" i="55"/>
  <c r="T180" i="55"/>
  <c r="T181" i="55"/>
  <c r="T182" i="55"/>
  <c r="T183" i="55"/>
  <c r="T184" i="55"/>
  <c r="T185" i="55"/>
  <c r="T186" i="55"/>
  <c r="T187" i="55"/>
  <c r="T188" i="55"/>
  <c r="T189" i="55"/>
  <c r="T190" i="55"/>
  <c r="T191" i="55"/>
  <c r="T192" i="55"/>
  <c r="T193" i="55"/>
  <c r="T194" i="55"/>
  <c r="T195" i="55"/>
  <c r="T196" i="55"/>
  <c r="T197" i="55"/>
  <c r="T198" i="55"/>
  <c r="T199" i="55"/>
  <c r="T200" i="55"/>
  <c r="T201" i="55"/>
  <c r="T202" i="55"/>
  <c r="T203" i="55"/>
  <c r="T204" i="55"/>
  <c r="T205" i="55"/>
  <c r="T206" i="55"/>
  <c r="T207" i="55"/>
  <c r="T208" i="55"/>
  <c r="T209" i="55"/>
  <c r="T210" i="55"/>
  <c r="T211" i="55"/>
  <c r="T212" i="55"/>
  <c r="T213" i="55"/>
  <c r="T214" i="55"/>
  <c r="T215" i="55"/>
  <c r="T216" i="55"/>
  <c r="T217" i="55"/>
  <c r="T218" i="55"/>
  <c r="T219" i="55"/>
  <c r="T220" i="55"/>
  <c r="T221" i="55"/>
  <c r="T222" i="55"/>
  <c r="T223" i="55"/>
  <c r="T224" i="55"/>
  <c r="T225" i="55"/>
  <c r="T226" i="55"/>
  <c r="T227" i="55"/>
  <c r="T228" i="55"/>
  <c r="T229" i="55"/>
  <c r="T230" i="55"/>
  <c r="T231" i="55"/>
  <c r="T232" i="55"/>
  <c r="T233" i="55"/>
  <c r="T234" i="55"/>
  <c r="T235" i="55"/>
  <c r="T236" i="55"/>
  <c r="T237" i="55"/>
  <c r="T238" i="55"/>
  <c r="T239" i="55"/>
  <c r="T240" i="55"/>
  <c r="T241" i="55"/>
  <c r="T242" i="55"/>
  <c r="T243" i="55"/>
  <c r="T244" i="55"/>
  <c r="T245" i="55"/>
  <c r="T246" i="55"/>
  <c r="T247" i="55"/>
  <c r="T248" i="55"/>
  <c r="T249" i="55"/>
  <c r="T250" i="55"/>
  <c r="T251" i="55"/>
  <c r="T252" i="55"/>
  <c r="T253" i="55"/>
  <c r="T254" i="55"/>
  <c r="T255" i="55"/>
  <c r="T256" i="55"/>
  <c r="T257" i="55"/>
  <c r="T10" i="55"/>
  <c r="W12" i="59"/>
  <c r="W13" i="59"/>
  <c r="W14" i="59"/>
  <c r="W15" i="59"/>
  <c r="W16" i="59"/>
  <c r="W17" i="59"/>
  <c r="W18" i="59"/>
  <c r="W19" i="59"/>
  <c r="W20" i="59"/>
  <c r="W21" i="59"/>
  <c r="W22" i="59"/>
  <c r="W23" i="59"/>
  <c r="W24" i="59"/>
  <c r="W25" i="59"/>
  <c r="W26" i="59"/>
  <c r="W27" i="59"/>
  <c r="W28" i="59"/>
  <c r="W29" i="59"/>
  <c r="W30" i="59"/>
  <c r="W31" i="59"/>
  <c r="W32" i="59"/>
  <c r="W33" i="59"/>
  <c r="W34" i="59"/>
  <c r="W35" i="59"/>
  <c r="W36" i="59"/>
  <c r="W37" i="59"/>
  <c r="W38" i="59"/>
  <c r="W39" i="59"/>
  <c r="W40" i="59"/>
  <c r="W41" i="59"/>
  <c r="W42" i="59"/>
  <c r="W43" i="59"/>
  <c r="W44" i="59"/>
  <c r="W45" i="59"/>
  <c r="W46" i="59"/>
  <c r="W47" i="59"/>
  <c r="W48" i="59"/>
  <c r="W49" i="59"/>
  <c r="W50" i="59"/>
  <c r="W51" i="59"/>
  <c r="W52" i="59"/>
  <c r="W53" i="59"/>
  <c r="W54" i="59"/>
  <c r="W55" i="59"/>
  <c r="W56" i="59"/>
  <c r="W57" i="59"/>
  <c r="W58" i="59"/>
  <c r="W59" i="59"/>
  <c r="W60" i="59"/>
  <c r="W61" i="59"/>
  <c r="W62" i="59"/>
  <c r="W63" i="59"/>
  <c r="W64" i="59"/>
  <c r="W65" i="59"/>
  <c r="W66" i="59"/>
  <c r="W67" i="59"/>
  <c r="W68" i="59"/>
  <c r="W69" i="59"/>
  <c r="W70" i="59"/>
  <c r="W71" i="59"/>
  <c r="W72" i="59"/>
  <c r="W73" i="59"/>
  <c r="W74" i="59"/>
  <c r="W75" i="59"/>
  <c r="W76" i="59"/>
  <c r="W77" i="59"/>
  <c r="W78" i="59"/>
  <c r="W79" i="59"/>
  <c r="W80" i="59"/>
  <c r="W81" i="59"/>
  <c r="W82" i="59"/>
  <c r="W83" i="59"/>
  <c r="W84" i="59"/>
  <c r="W85" i="59"/>
  <c r="W86" i="59"/>
  <c r="W87" i="59"/>
  <c r="W88" i="59"/>
  <c r="W89" i="59"/>
  <c r="W90" i="59"/>
  <c r="W91" i="59"/>
  <c r="W92" i="59"/>
  <c r="W93" i="59"/>
  <c r="W94" i="59"/>
  <c r="W95" i="59"/>
  <c r="W96" i="59"/>
  <c r="W97" i="59"/>
  <c r="W98" i="59"/>
  <c r="W99" i="59"/>
  <c r="W100" i="59"/>
  <c r="W101" i="59"/>
  <c r="W102" i="59"/>
  <c r="W103" i="59"/>
  <c r="W104" i="59"/>
  <c r="W105" i="59"/>
  <c r="W106" i="59"/>
  <c r="W107" i="59"/>
  <c r="W108" i="59"/>
  <c r="W109" i="59"/>
  <c r="W110" i="59"/>
  <c r="W111" i="59"/>
  <c r="W112" i="59"/>
  <c r="W113" i="59"/>
  <c r="W114" i="59"/>
  <c r="W115" i="59"/>
  <c r="W116" i="59"/>
  <c r="W117" i="59"/>
  <c r="W118" i="59"/>
  <c r="W119" i="59"/>
  <c r="W120" i="59"/>
  <c r="W121" i="59"/>
  <c r="W122" i="59"/>
  <c r="W123" i="59"/>
  <c r="W124" i="59"/>
  <c r="W125" i="59"/>
  <c r="W126" i="59"/>
  <c r="W127" i="59"/>
  <c r="W128" i="59"/>
  <c r="W129" i="59"/>
  <c r="W130" i="59"/>
  <c r="W131" i="59"/>
  <c r="W132" i="59"/>
  <c r="W133" i="59"/>
  <c r="W134" i="59"/>
  <c r="W135" i="59"/>
  <c r="W136" i="59"/>
  <c r="W137" i="59"/>
  <c r="W138" i="59"/>
  <c r="W139" i="59"/>
  <c r="W140" i="59"/>
  <c r="W141" i="59"/>
  <c r="W142" i="59"/>
  <c r="W143" i="59"/>
  <c r="W144" i="59"/>
  <c r="W145" i="59"/>
  <c r="W146" i="59"/>
  <c r="W147" i="59"/>
  <c r="W148" i="59"/>
  <c r="W149" i="59"/>
  <c r="W150" i="59"/>
  <c r="W151" i="59"/>
  <c r="W152" i="59"/>
  <c r="W153" i="59"/>
  <c r="W154" i="59"/>
  <c r="W155" i="59"/>
  <c r="W156" i="59"/>
  <c r="W157" i="59"/>
  <c r="W158" i="59"/>
  <c r="W159" i="59"/>
  <c r="W160" i="59"/>
  <c r="W161" i="59"/>
  <c r="W162" i="59"/>
  <c r="W163" i="59"/>
  <c r="W164" i="59"/>
  <c r="W165" i="59"/>
  <c r="W166" i="59"/>
  <c r="W167" i="59"/>
  <c r="W168" i="59"/>
  <c r="W169" i="59"/>
  <c r="W170" i="59"/>
  <c r="W171" i="59"/>
  <c r="W172" i="59"/>
  <c r="W173" i="59"/>
  <c r="W174" i="59"/>
  <c r="W175" i="59"/>
  <c r="W176" i="59"/>
  <c r="W177" i="59"/>
  <c r="W178" i="59"/>
  <c r="W179" i="59"/>
  <c r="W180" i="59"/>
  <c r="W181" i="59"/>
  <c r="W182" i="59"/>
  <c r="W183" i="59"/>
  <c r="W184" i="59"/>
  <c r="W185" i="59"/>
  <c r="W186" i="59"/>
  <c r="W187" i="59"/>
  <c r="W188" i="59"/>
  <c r="W189" i="59"/>
  <c r="W190" i="59"/>
  <c r="W191" i="59"/>
  <c r="W192" i="59"/>
  <c r="W193" i="59"/>
  <c r="W194" i="59"/>
  <c r="W195" i="59"/>
  <c r="W196" i="59"/>
  <c r="W197" i="59"/>
  <c r="W198" i="59"/>
  <c r="W199" i="59"/>
  <c r="W200" i="59"/>
  <c r="W201" i="59"/>
  <c r="W202" i="59"/>
  <c r="W203" i="59"/>
  <c r="W204" i="59"/>
  <c r="W205" i="59"/>
  <c r="W206" i="59"/>
  <c r="W207" i="59"/>
  <c r="W208" i="59"/>
  <c r="W209" i="59"/>
  <c r="W210" i="59"/>
  <c r="W211" i="59"/>
  <c r="W212" i="59"/>
  <c r="W213" i="59"/>
  <c r="W214" i="59"/>
  <c r="W215" i="59"/>
  <c r="W216" i="59"/>
  <c r="W217" i="59"/>
  <c r="W218" i="59"/>
  <c r="W219" i="59"/>
  <c r="W220" i="59"/>
  <c r="W221" i="59"/>
  <c r="W222" i="59"/>
  <c r="W223" i="59"/>
  <c r="W224" i="59"/>
  <c r="W225" i="59"/>
  <c r="W226" i="59"/>
  <c r="W227" i="59"/>
  <c r="W228" i="59"/>
  <c r="W229" i="59"/>
  <c r="W230" i="59"/>
  <c r="W231" i="59"/>
  <c r="W232" i="59"/>
  <c r="W233" i="59"/>
  <c r="W234" i="59"/>
  <c r="W235" i="59"/>
  <c r="W236" i="59"/>
  <c r="W237" i="59"/>
  <c r="W238" i="59"/>
  <c r="W239" i="59"/>
  <c r="W240" i="59"/>
  <c r="W241" i="59"/>
  <c r="W242" i="59"/>
  <c r="W243" i="59"/>
  <c r="W244" i="59"/>
  <c r="W245" i="59"/>
  <c r="W246" i="59"/>
  <c r="W247" i="59"/>
  <c r="W248" i="59"/>
  <c r="W249" i="59"/>
  <c r="W250" i="59"/>
  <c r="W251" i="59"/>
  <c r="W252" i="59"/>
  <c r="W253" i="59"/>
  <c r="W254" i="59"/>
  <c r="W255" i="59"/>
  <c r="W256" i="59"/>
  <c r="W257" i="59"/>
  <c r="W258" i="59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6" i="11"/>
  <c r="W127" i="11"/>
  <c r="W128" i="11"/>
  <c r="W129" i="11"/>
  <c r="W130" i="11"/>
  <c r="W131" i="11"/>
  <c r="W132" i="11"/>
  <c r="W133" i="11"/>
  <c r="W134" i="11"/>
  <c r="W135" i="11"/>
  <c r="W136" i="11"/>
  <c r="W137" i="11"/>
  <c r="W138" i="11"/>
  <c r="W139" i="11"/>
  <c r="W140" i="11"/>
  <c r="W141" i="11"/>
  <c r="W142" i="11"/>
  <c r="W143" i="11"/>
  <c r="W144" i="11"/>
  <c r="W145" i="11"/>
  <c r="W146" i="11"/>
  <c r="W147" i="11"/>
  <c r="W148" i="11"/>
  <c r="W149" i="11"/>
  <c r="W150" i="11"/>
  <c r="W151" i="11"/>
  <c r="W152" i="11"/>
  <c r="W153" i="11"/>
  <c r="W154" i="11"/>
  <c r="W155" i="11"/>
  <c r="W156" i="11"/>
  <c r="W157" i="11"/>
  <c r="W158" i="11"/>
  <c r="W159" i="11"/>
  <c r="W160" i="11"/>
  <c r="W161" i="11"/>
  <c r="W162" i="11"/>
  <c r="W163" i="11"/>
  <c r="W164" i="11"/>
  <c r="W165" i="11"/>
  <c r="W166" i="11"/>
  <c r="W167" i="11"/>
  <c r="W168" i="11"/>
  <c r="W169" i="11"/>
  <c r="W170" i="11"/>
  <c r="W171" i="11"/>
  <c r="W172" i="11"/>
  <c r="W173" i="11"/>
  <c r="W174" i="11"/>
  <c r="W175" i="11"/>
  <c r="W176" i="11"/>
  <c r="W177" i="11"/>
  <c r="W178" i="11"/>
  <c r="W179" i="11"/>
  <c r="W180" i="11"/>
  <c r="W181" i="11"/>
  <c r="W182" i="11"/>
  <c r="W183" i="11"/>
  <c r="W184" i="11"/>
  <c r="W185" i="11"/>
  <c r="W186" i="11"/>
  <c r="W187" i="11"/>
  <c r="W188" i="11"/>
  <c r="W189" i="11"/>
  <c r="W190" i="11"/>
  <c r="W191" i="11"/>
  <c r="W192" i="11"/>
  <c r="W193" i="11"/>
  <c r="W194" i="11"/>
  <c r="W195" i="11"/>
  <c r="W196" i="11"/>
  <c r="W197" i="11"/>
  <c r="W198" i="11"/>
  <c r="W199" i="11"/>
  <c r="W200" i="11"/>
  <c r="W201" i="11"/>
  <c r="W202" i="11"/>
  <c r="W203" i="11"/>
  <c r="W204" i="11"/>
  <c r="W205" i="11"/>
  <c r="W206" i="11"/>
  <c r="W207" i="11"/>
  <c r="W208" i="11"/>
  <c r="W209" i="11"/>
  <c r="W210" i="11"/>
  <c r="W211" i="11"/>
  <c r="W212" i="11"/>
  <c r="W213" i="11"/>
  <c r="W214" i="11"/>
  <c r="W215" i="11"/>
  <c r="W216" i="11"/>
  <c r="W217" i="11"/>
  <c r="W218" i="11"/>
  <c r="W219" i="11"/>
  <c r="W220" i="11"/>
  <c r="W221" i="11"/>
  <c r="W222" i="11"/>
  <c r="W223" i="11"/>
  <c r="W224" i="11"/>
  <c r="W225" i="11"/>
  <c r="W226" i="11"/>
  <c r="W227" i="11"/>
  <c r="W228" i="11"/>
  <c r="W229" i="11"/>
  <c r="W230" i="11"/>
  <c r="W231" i="11"/>
  <c r="W232" i="11"/>
  <c r="W233" i="11"/>
  <c r="W234" i="11"/>
  <c r="W235" i="11"/>
  <c r="W236" i="11"/>
  <c r="W237" i="11"/>
  <c r="W238" i="11"/>
  <c r="W239" i="11"/>
  <c r="W240" i="11"/>
  <c r="W241" i="11"/>
  <c r="W242" i="11"/>
  <c r="W243" i="11"/>
  <c r="W244" i="11"/>
  <c r="W245" i="11"/>
  <c r="W246" i="11"/>
  <c r="W247" i="11"/>
  <c r="W248" i="11"/>
  <c r="W249" i="11"/>
  <c r="W250" i="11"/>
  <c r="W251" i="11"/>
  <c r="W252" i="11"/>
  <c r="W253" i="11"/>
  <c r="W254" i="11"/>
  <c r="W255" i="11"/>
  <c r="W256" i="11"/>
  <c r="W257" i="11"/>
  <c r="W258" i="11"/>
  <c r="A52" i="28" l="1"/>
  <c r="AJ13" i="69" l="1"/>
  <c r="AJ14" i="69"/>
  <c r="AJ15" i="69"/>
  <c r="AJ16" i="69"/>
  <c r="AJ17" i="69"/>
  <c r="AJ18" i="69"/>
  <c r="AJ19" i="69"/>
  <c r="AJ20" i="69"/>
  <c r="AJ21" i="69"/>
  <c r="AJ22" i="69"/>
  <c r="AJ23" i="69"/>
  <c r="AJ24" i="69"/>
  <c r="AJ25" i="69"/>
  <c r="AJ26" i="69"/>
  <c r="AJ27" i="69"/>
  <c r="AJ28" i="69"/>
  <c r="AJ29" i="69"/>
  <c r="AJ30" i="69"/>
  <c r="AJ31" i="69"/>
  <c r="AJ32" i="69"/>
  <c r="AJ33" i="69"/>
  <c r="AJ34" i="69"/>
  <c r="AJ35" i="69"/>
  <c r="AJ36" i="69"/>
  <c r="AJ37" i="69"/>
  <c r="AJ38" i="69"/>
  <c r="AJ39" i="69"/>
  <c r="AJ40" i="69"/>
  <c r="AJ41" i="69"/>
  <c r="AJ42" i="69"/>
  <c r="AJ43" i="69"/>
  <c r="AJ44" i="69"/>
  <c r="AJ45" i="69"/>
  <c r="AJ46" i="69"/>
  <c r="AJ47" i="69"/>
  <c r="AJ48" i="69"/>
  <c r="AJ49" i="69"/>
  <c r="AJ50" i="69"/>
  <c r="AJ51" i="69"/>
  <c r="AJ52" i="69"/>
  <c r="AJ53" i="69"/>
  <c r="AJ54" i="69"/>
  <c r="AJ55" i="69"/>
  <c r="AJ56" i="69"/>
  <c r="AJ57" i="69"/>
  <c r="AJ58" i="69"/>
  <c r="AJ59" i="69"/>
  <c r="AJ60" i="69"/>
  <c r="AJ61" i="69"/>
  <c r="AJ62" i="69"/>
  <c r="AJ63" i="69"/>
  <c r="AJ64" i="69"/>
  <c r="AJ65" i="69"/>
  <c r="AJ66" i="69"/>
  <c r="AJ67" i="69"/>
  <c r="AJ68" i="69"/>
  <c r="AJ69" i="69"/>
  <c r="AJ70" i="69"/>
  <c r="AJ71" i="69"/>
  <c r="AJ72" i="69"/>
  <c r="AJ73" i="69"/>
  <c r="AJ74" i="69"/>
  <c r="AJ75" i="69"/>
  <c r="AJ76" i="69"/>
  <c r="AJ77" i="69"/>
  <c r="AJ78" i="69"/>
  <c r="AJ79" i="69"/>
  <c r="AJ80" i="69"/>
  <c r="AJ81" i="69"/>
  <c r="AJ82" i="69"/>
  <c r="AJ83" i="69"/>
  <c r="AJ84" i="69"/>
  <c r="AJ85" i="69"/>
  <c r="AJ86" i="69"/>
  <c r="AJ87" i="69"/>
  <c r="AJ88" i="69"/>
  <c r="AJ89" i="69"/>
  <c r="AJ90" i="69"/>
  <c r="AJ91" i="69"/>
  <c r="AJ92" i="69"/>
  <c r="AJ93" i="69"/>
  <c r="AJ94" i="69"/>
  <c r="AJ95" i="69"/>
  <c r="AJ96" i="69"/>
  <c r="AJ97" i="69"/>
  <c r="AJ98" i="69"/>
  <c r="AJ99" i="69"/>
  <c r="AJ100" i="69"/>
  <c r="AJ101" i="69"/>
  <c r="AJ102" i="69"/>
  <c r="AJ103" i="69"/>
  <c r="AJ104" i="69"/>
  <c r="AJ105" i="69"/>
  <c r="AJ106" i="69"/>
  <c r="AJ107" i="69"/>
  <c r="AJ108" i="69"/>
  <c r="AJ109" i="69"/>
  <c r="AJ110" i="69"/>
  <c r="AJ111" i="69"/>
  <c r="AJ112" i="69"/>
  <c r="AJ113" i="69"/>
  <c r="AJ114" i="69"/>
  <c r="AJ115" i="69"/>
  <c r="AJ116" i="69"/>
  <c r="AJ117" i="69"/>
  <c r="AJ118" i="69"/>
  <c r="AJ119" i="69"/>
  <c r="AJ120" i="69"/>
  <c r="AJ121" i="69"/>
  <c r="AJ122" i="69"/>
  <c r="AJ123" i="69"/>
  <c r="AJ124" i="69"/>
  <c r="AJ125" i="69"/>
  <c r="AJ126" i="69"/>
  <c r="AJ127" i="69"/>
  <c r="AJ128" i="69"/>
  <c r="AJ129" i="69"/>
  <c r="AJ130" i="69"/>
  <c r="AJ131" i="69"/>
  <c r="AJ132" i="69"/>
  <c r="AJ133" i="69"/>
  <c r="AJ134" i="69"/>
  <c r="AJ135" i="69"/>
  <c r="AJ136" i="69"/>
  <c r="AJ137" i="69"/>
  <c r="AJ138" i="69"/>
  <c r="AJ139" i="69"/>
  <c r="AJ140" i="69"/>
  <c r="AJ141" i="69"/>
  <c r="AJ142" i="69"/>
  <c r="AJ143" i="69"/>
  <c r="AJ144" i="69"/>
  <c r="AJ145" i="69"/>
  <c r="AJ146" i="69"/>
  <c r="AJ147" i="69"/>
  <c r="AJ148" i="69"/>
  <c r="AJ149" i="69"/>
  <c r="AJ150" i="69"/>
  <c r="AJ151" i="69"/>
  <c r="AJ152" i="69"/>
  <c r="AJ153" i="69"/>
  <c r="AJ154" i="69"/>
  <c r="AJ155" i="69"/>
  <c r="AJ156" i="69"/>
  <c r="AJ157" i="69"/>
  <c r="AJ158" i="69"/>
  <c r="AJ159" i="69"/>
  <c r="AJ160" i="69"/>
  <c r="AJ161" i="69"/>
  <c r="AJ162" i="69"/>
  <c r="AJ163" i="69"/>
  <c r="AJ164" i="69"/>
  <c r="AJ165" i="69"/>
  <c r="AJ166" i="69"/>
  <c r="AJ167" i="69"/>
  <c r="AJ168" i="69"/>
  <c r="AJ169" i="69"/>
  <c r="AJ170" i="69"/>
  <c r="AJ171" i="69"/>
  <c r="AJ172" i="69"/>
  <c r="AJ173" i="69"/>
  <c r="AJ174" i="69"/>
  <c r="AJ175" i="69"/>
  <c r="AJ176" i="69"/>
  <c r="AJ177" i="69"/>
  <c r="AJ178" i="69"/>
  <c r="AJ179" i="69"/>
  <c r="AJ180" i="69"/>
  <c r="AJ181" i="69"/>
  <c r="AJ182" i="69"/>
  <c r="AJ183" i="69"/>
  <c r="AJ184" i="69"/>
  <c r="AJ185" i="69"/>
  <c r="AJ186" i="69"/>
  <c r="AJ187" i="69"/>
  <c r="AJ188" i="69"/>
  <c r="AJ189" i="69"/>
  <c r="AJ190" i="69"/>
  <c r="AJ191" i="69"/>
  <c r="AJ192" i="69"/>
  <c r="AJ193" i="69"/>
  <c r="AJ194" i="69"/>
  <c r="AJ195" i="69"/>
  <c r="AJ196" i="69"/>
  <c r="AJ197" i="69"/>
  <c r="AJ198" i="69"/>
  <c r="AJ199" i="69"/>
  <c r="AJ200" i="69"/>
  <c r="AJ201" i="69"/>
  <c r="AJ202" i="69"/>
  <c r="AJ203" i="69"/>
  <c r="AJ204" i="69"/>
  <c r="AJ205" i="69"/>
  <c r="AJ206" i="69"/>
  <c r="AJ207" i="69"/>
  <c r="AJ208" i="69"/>
  <c r="AJ209" i="69"/>
  <c r="AJ210" i="69"/>
  <c r="AJ211" i="69"/>
  <c r="AJ212" i="69"/>
  <c r="AJ213" i="69"/>
  <c r="AJ214" i="69"/>
  <c r="AJ215" i="69"/>
  <c r="AJ216" i="69"/>
  <c r="AJ217" i="69"/>
  <c r="AJ218" i="69"/>
  <c r="AJ219" i="69"/>
  <c r="AJ220" i="69"/>
  <c r="AJ221" i="69"/>
  <c r="AJ222" i="69"/>
  <c r="AJ223" i="69"/>
  <c r="AJ224" i="69"/>
  <c r="AJ225" i="69"/>
  <c r="AJ226" i="69"/>
  <c r="AJ227" i="69"/>
  <c r="AJ228" i="69"/>
  <c r="AJ229" i="69"/>
  <c r="AJ230" i="69"/>
  <c r="AJ231" i="69"/>
  <c r="AJ232" i="69"/>
  <c r="AJ233" i="69"/>
  <c r="AJ234" i="69"/>
  <c r="AJ235" i="69"/>
  <c r="AJ236" i="69"/>
  <c r="AJ237" i="69"/>
  <c r="AJ238" i="69"/>
  <c r="AJ239" i="69"/>
  <c r="AJ240" i="69"/>
  <c r="AJ241" i="69"/>
  <c r="AJ242" i="69"/>
  <c r="AJ243" i="69"/>
  <c r="AJ244" i="69"/>
  <c r="AJ245" i="69"/>
  <c r="AJ246" i="69"/>
  <c r="AJ247" i="69"/>
  <c r="AJ248" i="69"/>
  <c r="AJ249" i="69"/>
  <c r="AJ250" i="69"/>
  <c r="AJ251" i="69"/>
  <c r="AJ252" i="69"/>
  <c r="AJ253" i="69"/>
  <c r="AJ254" i="69"/>
  <c r="AJ255" i="69"/>
  <c r="AJ256" i="69"/>
  <c r="AJ257" i="69"/>
  <c r="AJ12" i="69"/>
  <c r="AJ13" i="65"/>
  <c r="AJ14" i="65"/>
  <c r="AJ15" i="65"/>
  <c r="AJ16" i="65"/>
  <c r="AJ17" i="65"/>
  <c r="AJ18" i="65"/>
  <c r="AJ19" i="65"/>
  <c r="AJ20" i="65"/>
  <c r="AJ21" i="65"/>
  <c r="AJ22" i="65"/>
  <c r="AJ23" i="65"/>
  <c r="AJ24" i="65"/>
  <c r="AJ25" i="65"/>
  <c r="AJ26" i="65"/>
  <c r="AJ27" i="65"/>
  <c r="AJ28" i="65"/>
  <c r="AJ29" i="65"/>
  <c r="AJ30" i="65"/>
  <c r="AJ31" i="65"/>
  <c r="AJ32" i="65"/>
  <c r="AJ33" i="65"/>
  <c r="AJ34" i="65"/>
  <c r="AJ35" i="65"/>
  <c r="AJ36" i="65"/>
  <c r="AJ37" i="65"/>
  <c r="AJ38" i="65"/>
  <c r="AJ39" i="65"/>
  <c r="AJ40" i="65"/>
  <c r="AJ41" i="65"/>
  <c r="AJ42" i="65"/>
  <c r="AJ43" i="65"/>
  <c r="AJ44" i="65"/>
  <c r="AJ45" i="65"/>
  <c r="AJ46" i="65"/>
  <c r="AJ47" i="65"/>
  <c r="AJ48" i="65"/>
  <c r="AJ49" i="65"/>
  <c r="AJ50" i="65"/>
  <c r="AJ51" i="65"/>
  <c r="AJ52" i="65"/>
  <c r="AJ53" i="65"/>
  <c r="AJ54" i="65"/>
  <c r="AJ55" i="65"/>
  <c r="AJ56" i="65"/>
  <c r="AJ57" i="65"/>
  <c r="AJ58" i="65"/>
  <c r="AJ59" i="65"/>
  <c r="AJ60" i="65"/>
  <c r="AJ61" i="65"/>
  <c r="AJ62" i="65"/>
  <c r="AJ63" i="65"/>
  <c r="AJ64" i="65"/>
  <c r="AJ65" i="65"/>
  <c r="AJ66" i="65"/>
  <c r="AJ67" i="65"/>
  <c r="AJ68" i="65"/>
  <c r="AJ69" i="65"/>
  <c r="AJ70" i="65"/>
  <c r="AJ71" i="65"/>
  <c r="AJ72" i="65"/>
  <c r="AJ73" i="65"/>
  <c r="AJ74" i="65"/>
  <c r="AJ75" i="65"/>
  <c r="AJ76" i="65"/>
  <c r="AJ77" i="65"/>
  <c r="AJ78" i="65"/>
  <c r="AJ79" i="65"/>
  <c r="AJ80" i="65"/>
  <c r="AJ81" i="65"/>
  <c r="AJ82" i="65"/>
  <c r="AJ83" i="65"/>
  <c r="AJ84" i="65"/>
  <c r="AJ85" i="65"/>
  <c r="AJ86" i="65"/>
  <c r="AJ87" i="65"/>
  <c r="AJ88" i="65"/>
  <c r="AJ89" i="65"/>
  <c r="AJ90" i="65"/>
  <c r="AJ91" i="65"/>
  <c r="AJ92" i="65"/>
  <c r="AJ93" i="65"/>
  <c r="AJ94" i="65"/>
  <c r="AJ95" i="65"/>
  <c r="AJ96" i="65"/>
  <c r="AJ97" i="65"/>
  <c r="AJ98" i="65"/>
  <c r="AJ99" i="65"/>
  <c r="AJ100" i="65"/>
  <c r="AJ101" i="65"/>
  <c r="AJ102" i="65"/>
  <c r="AJ103" i="65"/>
  <c r="AJ104" i="65"/>
  <c r="AJ105" i="65"/>
  <c r="AJ106" i="65"/>
  <c r="AJ107" i="65"/>
  <c r="AJ108" i="65"/>
  <c r="AJ109" i="65"/>
  <c r="AJ110" i="65"/>
  <c r="AJ111" i="65"/>
  <c r="AJ112" i="65"/>
  <c r="AJ113" i="65"/>
  <c r="AJ114" i="65"/>
  <c r="AJ115" i="65"/>
  <c r="AJ116" i="65"/>
  <c r="AJ117" i="65"/>
  <c r="AJ118" i="65"/>
  <c r="AJ119" i="65"/>
  <c r="AJ120" i="65"/>
  <c r="AJ121" i="65"/>
  <c r="AJ122" i="65"/>
  <c r="AJ123" i="65"/>
  <c r="AJ124" i="65"/>
  <c r="AJ125" i="65"/>
  <c r="AJ126" i="65"/>
  <c r="AJ127" i="65"/>
  <c r="AJ128" i="65"/>
  <c r="AJ129" i="65"/>
  <c r="AJ130" i="65"/>
  <c r="AJ131" i="65"/>
  <c r="AJ132" i="65"/>
  <c r="AJ133" i="65"/>
  <c r="AJ134" i="65"/>
  <c r="AJ135" i="65"/>
  <c r="AJ136" i="65"/>
  <c r="AJ137" i="65"/>
  <c r="AJ138" i="65"/>
  <c r="AJ139" i="65"/>
  <c r="AJ140" i="65"/>
  <c r="AJ141" i="65"/>
  <c r="AJ142" i="65"/>
  <c r="AJ143" i="65"/>
  <c r="AJ144" i="65"/>
  <c r="AJ145" i="65"/>
  <c r="AJ146" i="65"/>
  <c r="AJ147" i="65"/>
  <c r="AJ148" i="65"/>
  <c r="AJ149" i="65"/>
  <c r="AJ150" i="65"/>
  <c r="AJ151" i="65"/>
  <c r="AJ152" i="65"/>
  <c r="AJ153" i="65"/>
  <c r="AJ154" i="65"/>
  <c r="AJ155" i="65"/>
  <c r="AJ156" i="65"/>
  <c r="AJ157" i="65"/>
  <c r="AJ158" i="65"/>
  <c r="AJ159" i="65"/>
  <c r="AJ160" i="65"/>
  <c r="AJ161" i="65"/>
  <c r="AJ162" i="65"/>
  <c r="AJ163" i="65"/>
  <c r="AJ164" i="65"/>
  <c r="AJ165" i="65"/>
  <c r="AJ166" i="65"/>
  <c r="AJ167" i="65"/>
  <c r="AJ168" i="65"/>
  <c r="AJ169" i="65"/>
  <c r="AJ170" i="65"/>
  <c r="AJ171" i="65"/>
  <c r="AJ172" i="65"/>
  <c r="AJ173" i="65"/>
  <c r="AJ174" i="65"/>
  <c r="AJ175" i="65"/>
  <c r="AJ176" i="65"/>
  <c r="AJ177" i="65"/>
  <c r="AJ178" i="65"/>
  <c r="AJ179" i="65"/>
  <c r="AJ180" i="65"/>
  <c r="AJ181" i="65"/>
  <c r="AJ182" i="65"/>
  <c r="AJ183" i="65"/>
  <c r="AJ184" i="65"/>
  <c r="AJ185" i="65"/>
  <c r="AJ186" i="65"/>
  <c r="AJ187" i="65"/>
  <c r="AJ188" i="65"/>
  <c r="AJ189" i="65"/>
  <c r="AJ190" i="65"/>
  <c r="AJ191" i="65"/>
  <c r="AJ192" i="65"/>
  <c r="AJ193" i="65"/>
  <c r="AJ194" i="65"/>
  <c r="AJ195" i="65"/>
  <c r="AJ196" i="65"/>
  <c r="AJ197" i="65"/>
  <c r="AJ198" i="65"/>
  <c r="AJ199" i="65"/>
  <c r="AJ200" i="65"/>
  <c r="AJ201" i="65"/>
  <c r="AJ202" i="65"/>
  <c r="AJ203" i="65"/>
  <c r="AJ204" i="65"/>
  <c r="AJ205" i="65"/>
  <c r="AJ206" i="65"/>
  <c r="AJ207" i="65"/>
  <c r="AJ208" i="65"/>
  <c r="AJ209" i="65"/>
  <c r="AJ210" i="65"/>
  <c r="AJ211" i="65"/>
  <c r="AJ212" i="65"/>
  <c r="AJ213" i="65"/>
  <c r="AJ214" i="65"/>
  <c r="AJ215" i="65"/>
  <c r="AJ216" i="65"/>
  <c r="AJ217" i="65"/>
  <c r="AJ218" i="65"/>
  <c r="AJ219" i="65"/>
  <c r="AJ220" i="65"/>
  <c r="AJ221" i="65"/>
  <c r="AJ222" i="65"/>
  <c r="AJ223" i="65"/>
  <c r="AJ224" i="65"/>
  <c r="AJ225" i="65"/>
  <c r="AJ226" i="65"/>
  <c r="AJ227" i="65"/>
  <c r="AJ228" i="65"/>
  <c r="AJ229" i="65"/>
  <c r="AJ230" i="65"/>
  <c r="AJ231" i="65"/>
  <c r="AJ232" i="65"/>
  <c r="AJ233" i="65"/>
  <c r="AJ234" i="65"/>
  <c r="AJ235" i="65"/>
  <c r="AJ236" i="65"/>
  <c r="AJ237" i="65"/>
  <c r="AJ238" i="65"/>
  <c r="AJ239" i="65"/>
  <c r="AJ240" i="65"/>
  <c r="AJ241" i="65"/>
  <c r="AJ242" i="65"/>
  <c r="AJ243" i="65"/>
  <c r="AJ244" i="65"/>
  <c r="AJ245" i="65"/>
  <c r="AJ246" i="65"/>
  <c r="AJ247" i="65"/>
  <c r="AJ248" i="65"/>
  <c r="AJ249" i="65"/>
  <c r="AJ250" i="65"/>
  <c r="AJ251" i="65"/>
  <c r="AJ252" i="65"/>
  <c r="AJ253" i="65"/>
  <c r="AJ254" i="65"/>
  <c r="AJ255" i="65"/>
  <c r="AJ256" i="65"/>
  <c r="AJ257" i="65"/>
  <c r="AJ12" i="65"/>
  <c r="W13" i="68"/>
  <c r="W14" i="68"/>
  <c r="W15" i="68"/>
  <c r="W16" i="68"/>
  <c r="W17" i="68"/>
  <c r="W18" i="68"/>
  <c r="W19" i="68"/>
  <c r="W20" i="68"/>
  <c r="W21" i="68"/>
  <c r="W22" i="68"/>
  <c r="W23" i="68"/>
  <c r="W24" i="68"/>
  <c r="W25" i="68"/>
  <c r="W26" i="68"/>
  <c r="W27" i="68"/>
  <c r="W28" i="68"/>
  <c r="W29" i="68"/>
  <c r="W30" i="68"/>
  <c r="W31" i="68"/>
  <c r="W32" i="68"/>
  <c r="W33" i="68"/>
  <c r="W34" i="68"/>
  <c r="W35" i="68"/>
  <c r="W36" i="68"/>
  <c r="W37" i="68"/>
  <c r="W38" i="68"/>
  <c r="W39" i="68"/>
  <c r="W40" i="68"/>
  <c r="W41" i="68"/>
  <c r="W42" i="68"/>
  <c r="W43" i="68"/>
  <c r="W44" i="68"/>
  <c r="W45" i="68"/>
  <c r="W46" i="68"/>
  <c r="W47" i="68"/>
  <c r="W48" i="68"/>
  <c r="W49" i="68"/>
  <c r="W50" i="68"/>
  <c r="W51" i="68"/>
  <c r="W52" i="68"/>
  <c r="W53" i="68"/>
  <c r="W54" i="68"/>
  <c r="W55" i="68"/>
  <c r="W56" i="68"/>
  <c r="W57" i="68"/>
  <c r="W58" i="68"/>
  <c r="W59" i="68"/>
  <c r="W60" i="68"/>
  <c r="W61" i="68"/>
  <c r="W62" i="68"/>
  <c r="W63" i="68"/>
  <c r="W64" i="68"/>
  <c r="W65" i="68"/>
  <c r="W66" i="68"/>
  <c r="W67" i="68"/>
  <c r="W68" i="68"/>
  <c r="W69" i="68"/>
  <c r="W70" i="68"/>
  <c r="W71" i="68"/>
  <c r="W72" i="68"/>
  <c r="W73" i="68"/>
  <c r="W74" i="68"/>
  <c r="W75" i="68"/>
  <c r="W76" i="68"/>
  <c r="W77" i="68"/>
  <c r="W78" i="68"/>
  <c r="W79" i="68"/>
  <c r="W80" i="68"/>
  <c r="W81" i="68"/>
  <c r="W82" i="68"/>
  <c r="W83" i="68"/>
  <c r="W84" i="68"/>
  <c r="W85" i="68"/>
  <c r="W86" i="68"/>
  <c r="W87" i="68"/>
  <c r="W88" i="68"/>
  <c r="W89" i="68"/>
  <c r="W90" i="68"/>
  <c r="W91" i="68"/>
  <c r="W92" i="68"/>
  <c r="W93" i="68"/>
  <c r="W94" i="68"/>
  <c r="W95" i="68"/>
  <c r="W96" i="68"/>
  <c r="W97" i="68"/>
  <c r="W98" i="68"/>
  <c r="W99" i="68"/>
  <c r="W100" i="68"/>
  <c r="W101" i="68"/>
  <c r="W102" i="68"/>
  <c r="W103" i="68"/>
  <c r="W104" i="68"/>
  <c r="W105" i="68"/>
  <c r="W106" i="68"/>
  <c r="W107" i="68"/>
  <c r="W108" i="68"/>
  <c r="W109" i="68"/>
  <c r="W110" i="68"/>
  <c r="W111" i="68"/>
  <c r="W112" i="68"/>
  <c r="W113" i="68"/>
  <c r="W114" i="68"/>
  <c r="W115" i="68"/>
  <c r="W116" i="68"/>
  <c r="W117" i="68"/>
  <c r="W118" i="68"/>
  <c r="W119" i="68"/>
  <c r="W120" i="68"/>
  <c r="W121" i="68"/>
  <c r="W122" i="68"/>
  <c r="W123" i="68"/>
  <c r="W124" i="68"/>
  <c r="W125" i="68"/>
  <c r="W126" i="68"/>
  <c r="W127" i="68"/>
  <c r="W128" i="68"/>
  <c r="W129" i="68"/>
  <c r="W130" i="68"/>
  <c r="W131" i="68"/>
  <c r="W132" i="68"/>
  <c r="W133" i="68"/>
  <c r="W134" i="68"/>
  <c r="W135" i="68"/>
  <c r="W136" i="68"/>
  <c r="W137" i="68"/>
  <c r="W138" i="68"/>
  <c r="W139" i="68"/>
  <c r="W140" i="68"/>
  <c r="W141" i="68"/>
  <c r="W142" i="68"/>
  <c r="W143" i="68"/>
  <c r="W144" i="68"/>
  <c r="W145" i="68"/>
  <c r="W146" i="68"/>
  <c r="W147" i="68"/>
  <c r="W148" i="68"/>
  <c r="W149" i="68"/>
  <c r="W150" i="68"/>
  <c r="W151" i="68"/>
  <c r="W152" i="68"/>
  <c r="W153" i="68"/>
  <c r="W154" i="68"/>
  <c r="W155" i="68"/>
  <c r="W156" i="68"/>
  <c r="W157" i="68"/>
  <c r="W158" i="68"/>
  <c r="W159" i="68"/>
  <c r="W160" i="68"/>
  <c r="W161" i="68"/>
  <c r="W162" i="68"/>
  <c r="W163" i="68"/>
  <c r="W164" i="68"/>
  <c r="W165" i="68"/>
  <c r="W166" i="68"/>
  <c r="W167" i="68"/>
  <c r="W168" i="68"/>
  <c r="W169" i="68"/>
  <c r="W170" i="68"/>
  <c r="W171" i="68"/>
  <c r="W172" i="68"/>
  <c r="W173" i="68"/>
  <c r="W174" i="68"/>
  <c r="W175" i="68"/>
  <c r="W176" i="68"/>
  <c r="W177" i="68"/>
  <c r="W178" i="68"/>
  <c r="W179" i="68"/>
  <c r="W180" i="68"/>
  <c r="W181" i="68"/>
  <c r="W182" i="68"/>
  <c r="W183" i="68"/>
  <c r="W184" i="68"/>
  <c r="W185" i="68"/>
  <c r="W186" i="68"/>
  <c r="W187" i="68"/>
  <c r="W188" i="68"/>
  <c r="W189" i="68"/>
  <c r="W190" i="68"/>
  <c r="W191" i="68"/>
  <c r="W192" i="68"/>
  <c r="W193" i="68"/>
  <c r="W194" i="68"/>
  <c r="W195" i="68"/>
  <c r="W196" i="68"/>
  <c r="W197" i="68"/>
  <c r="W198" i="68"/>
  <c r="W199" i="68"/>
  <c r="W200" i="68"/>
  <c r="W201" i="68"/>
  <c r="W202" i="68"/>
  <c r="W203" i="68"/>
  <c r="W204" i="68"/>
  <c r="W205" i="68"/>
  <c r="W206" i="68"/>
  <c r="W207" i="68"/>
  <c r="W208" i="68"/>
  <c r="W209" i="68"/>
  <c r="W210" i="68"/>
  <c r="W211" i="68"/>
  <c r="W212" i="68"/>
  <c r="W213" i="68"/>
  <c r="W214" i="68"/>
  <c r="W215" i="68"/>
  <c r="W216" i="68"/>
  <c r="W217" i="68"/>
  <c r="W218" i="68"/>
  <c r="W219" i="68"/>
  <c r="W220" i="68"/>
  <c r="W221" i="68"/>
  <c r="W222" i="68"/>
  <c r="W223" i="68"/>
  <c r="W224" i="68"/>
  <c r="W225" i="68"/>
  <c r="W226" i="68"/>
  <c r="W227" i="68"/>
  <c r="W228" i="68"/>
  <c r="W229" i="68"/>
  <c r="W230" i="68"/>
  <c r="W231" i="68"/>
  <c r="W232" i="68"/>
  <c r="W233" i="68"/>
  <c r="W234" i="68"/>
  <c r="W235" i="68"/>
  <c r="W236" i="68"/>
  <c r="W237" i="68"/>
  <c r="W238" i="68"/>
  <c r="W239" i="68"/>
  <c r="W240" i="68"/>
  <c r="W241" i="68"/>
  <c r="W242" i="68"/>
  <c r="W243" i="68"/>
  <c r="W244" i="68"/>
  <c r="W245" i="68"/>
  <c r="W246" i="68"/>
  <c r="W247" i="68"/>
  <c r="W248" i="68"/>
  <c r="W249" i="68"/>
  <c r="W250" i="68"/>
  <c r="W251" i="68"/>
  <c r="W252" i="68"/>
  <c r="W253" i="68"/>
  <c r="W254" i="68"/>
  <c r="W255" i="68"/>
  <c r="W256" i="68"/>
  <c r="W257" i="68"/>
  <c r="W258" i="68"/>
  <c r="W259" i="68"/>
  <c r="W12" i="68"/>
  <c r="W13" i="64"/>
  <c r="W14" i="64"/>
  <c r="W15" i="64"/>
  <c r="W16" i="64"/>
  <c r="W17" i="64"/>
  <c r="W18" i="64"/>
  <c r="W19" i="64"/>
  <c r="W20" i="64"/>
  <c r="W21" i="64"/>
  <c r="W22" i="64"/>
  <c r="W23" i="64"/>
  <c r="W24" i="64"/>
  <c r="W25" i="64"/>
  <c r="W26" i="64"/>
  <c r="W27" i="64"/>
  <c r="W28" i="64"/>
  <c r="W29" i="64"/>
  <c r="W30" i="64"/>
  <c r="W31" i="64"/>
  <c r="W32" i="64"/>
  <c r="W33" i="64"/>
  <c r="W34" i="64"/>
  <c r="W35" i="64"/>
  <c r="W36" i="64"/>
  <c r="W37" i="64"/>
  <c r="W38" i="64"/>
  <c r="W39" i="64"/>
  <c r="W40" i="64"/>
  <c r="W41" i="64"/>
  <c r="W42" i="64"/>
  <c r="W43" i="64"/>
  <c r="W44" i="64"/>
  <c r="W45" i="64"/>
  <c r="W46" i="64"/>
  <c r="W47" i="64"/>
  <c r="W48" i="64"/>
  <c r="W49" i="64"/>
  <c r="W50" i="64"/>
  <c r="W51" i="64"/>
  <c r="W52" i="64"/>
  <c r="W53" i="64"/>
  <c r="W54" i="64"/>
  <c r="W55" i="64"/>
  <c r="W56" i="64"/>
  <c r="W57" i="64"/>
  <c r="W58" i="64"/>
  <c r="W59" i="64"/>
  <c r="W60" i="64"/>
  <c r="W61" i="64"/>
  <c r="W62" i="64"/>
  <c r="W63" i="64"/>
  <c r="W64" i="64"/>
  <c r="W65" i="64"/>
  <c r="W66" i="64"/>
  <c r="W67" i="64"/>
  <c r="W68" i="64"/>
  <c r="W69" i="64"/>
  <c r="W70" i="64"/>
  <c r="W71" i="64"/>
  <c r="W72" i="64"/>
  <c r="W73" i="64"/>
  <c r="W74" i="64"/>
  <c r="W75" i="64"/>
  <c r="W76" i="64"/>
  <c r="W77" i="64"/>
  <c r="W78" i="64"/>
  <c r="W79" i="64"/>
  <c r="W80" i="64"/>
  <c r="W81" i="64"/>
  <c r="W82" i="64"/>
  <c r="W83" i="64"/>
  <c r="W84" i="64"/>
  <c r="W85" i="64"/>
  <c r="W86" i="64"/>
  <c r="W87" i="64"/>
  <c r="W88" i="64"/>
  <c r="W89" i="64"/>
  <c r="W90" i="64"/>
  <c r="W91" i="64"/>
  <c r="W92" i="64"/>
  <c r="W93" i="64"/>
  <c r="W94" i="64"/>
  <c r="W95" i="64"/>
  <c r="W96" i="64"/>
  <c r="W97" i="64"/>
  <c r="W98" i="64"/>
  <c r="W99" i="64"/>
  <c r="W100" i="64"/>
  <c r="W101" i="64"/>
  <c r="W102" i="64"/>
  <c r="W103" i="64"/>
  <c r="W104" i="64"/>
  <c r="W105" i="64"/>
  <c r="W106" i="64"/>
  <c r="W107" i="64"/>
  <c r="W108" i="64"/>
  <c r="W109" i="64"/>
  <c r="W110" i="64"/>
  <c r="W111" i="64"/>
  <c r="W112" i="64"/>
  <c r="W113" i="64"/>
  <c r="W114" i="64"/>
  <c r="W115" i="64"/>
  <c r="W116" i="64"/>
  <c r="W117" i="64"/>
  <c r="W118" i="64"/>
  <c r="W119" i="64"/>
  <c r="W120" i="64"/>
  <c r="W121" i="64"/>
  <c r="W122" i="64"/>
  <c r="W123" i="64"/>
  <c r="W124" i="64"/>
  <c r="W125" i="64"/>
  <c r="W126" i="64"/>
  <c r="W127" i="64"/>
  <c r="W128" i="64"/>
  <c r="W129" i="64"/>
  <c r="W130" i="64"/>
  <c r="W131" i="64"/>
  <c r="W132" i="64"/>
  <c r="W133" i="64"/>
  <c r="W134" i="64"/>
  <c r="W135" i="64"/>
  <c r="W136" i="64"/>
  <c r="W137" i="64"/>
  <c r="W138" i="64"/>
  <c r="W139" i="64"/>
  <c r="W140" i="64"/>
  <c r="W141" i="64"/>
  <c r="W142" i="64"/>
  <c r="W143" i="64"/>
  <c r="W144" i="64"/>
  <c r="W145" i="64"/>
  <c r="W146" i="64"/>
  <c r="W147" i="64"/>
  <c r="W148" i="64"/>
  <c r="W149" i="64"/>
  <c r="W150" i="64"/>
  <c r="W151" i="64"/>
  <c r="W152" i="64"/>
  <c r="W153" i="64"/>
  <c r="W154" i="64"/>
  <c r="W155" i="64"/>
  <c r="W156" i="64"/>
  <c r="W157" i="64"/>
  <c r="W158" i="64"/>
  <c r="W159" i="64"/>
  <c r="W160" i="64"/>
  <c r="W161" i="64"/>
  <c r="W162" i="64"/>
  <c r="W163" i="64"/>
  <c r="W164" i="64"/>
  <c r="W165" i="64"/>
  <c r="W166" i="64"/>
  <c r="W167" i="64"/>
  <c r="W168" i="64"/>
  <c r="W169" i="64"/>
  <c r="W170" i="64"/>
  <c r="W171" i="64"/>
  <c r="W172" i="64"/>
  <c r="W173" i="64"/>
  <c r="W174" i="64"/>
  <c r="W175" i="64"/>
  <c r="W176" i="64"/>
  <c r="W177" i="64"/>
  <c r="W178" i="64"/>
  <c r="W179" i="64"/>
  <c r="W180" i="64"/>
  <c r="W181" i="64"/>
  <c r="W182" i="64"/>
  <c r="W183" i="64"/>
  <c r="W184" i="64"/>
  <c r="W185" i="64"/>
  <c r="W186" i="64"/>
  <c r="W187" i="64"/>
  <c r="W188" i="64"/>
  <c r="W189" i="64"/>
  <c r="W190" i="64"/>
  <c r="W191" i="64"/>
  <c r="W192" i="64"/>
  <c r="W193" i="64"/>
  <c r="W194" i="64"/>
  <c r="W195" i="64"/>
  <c r="W196" i="64"/>
  <c r="W197" i="64"/>
  <c r="W198" i="64"/>
  <c r="W199" i="64"/>
  <c r="W200" i="64"/>
  <c r="W201" i="64"/>
  <c r="W202" i="64"/>
  <c r="W203" i="64"/>
  <c r="W204" i="64"/>
  <c r="W205" i="64"/>
  <c r="W206" i="64"/>
  <c r="W207" i="64"/>
  <c r="W208" i="64"/>
  <c r="W209" i="64"/>
  <c r="W210" i="64"/>
  <c r="W211" i="64"/>
  <c r="W212" i="64"/>
  <c r="W213" i="64"/>
  <c r="W214" i="64"/>
  <c r="W215" i="64"/>
  <c r="W216" i="64"/>
  <c r="W217" i="64"/>
  <c r="W218" i="64"/>
  <c r="W219" i="64"/>
  <c r="W220" i="64"/>
  <c r="W221" i="64"/>
  <c r="W222" i="64"/>
  <c r="W223" i="64"/>
  <c r="W224" i="64"/>
  <c r="W225" i="64"/>
  <c r="W226" i="64"/>
  <c r="W227" i="64"/>
  <c r="W228" i="64"/>
  <c r="W229" i="64"/>
  <c r="W230" i="64"/>
  <c r="W231" i="64"/>
  <c r="W232" i="64"/>
  <c r="W233" i="64"/>
  <c r="W234" i="64"/>
  <c r="W235" i="64"/>
  <c r="W236" i="64"/>
  <c r="W237" i="64"/>
  <c r="W238" i="64"/>
  <c r="W239" i="64"/>
  <c r="W240" i="64"/>
  <c r="W241" i="64"/>
  <c r="W242" i="64"/>
  <c r="W243" i="64"/>
  <c r="W244" i="64"/>
  <c r="W245" i="64"/>
  <c r="W246" i="64"/>
  <c r="W247" i="64"/>
  <c r="W248" i="64"/>
  <c r="W249" i="64"/>
  <c r="W250" i="64"/>
  <c r="W251" i="64"/>
  <c r="W252" i="64"/>
  <c r="W253" i="64"/>
  <c r="W254" i="64"/>
  <c r="W255" i="64"/>
  <c r="W256" i="64"/>
  <c r="W257" i="64"/>
  <c r="W258" i="64"/>
  <c r="W259" i="64"/>
  <c r="W12" i="64"/>
  <c r="N11" i="67"/>
  <c r="N12" i="67"/>
  <c r="N13" i="67"/>
  <c r="N14" i="67"/>
  <c r="N15" i="67"/>
  <c r="N16" i="67"/>
  <c r="N17" i="67"/>
  <c r="N18" i="67"/>
  <c r="N19" i="67"/>
  <c r="N20" i="67"/>
  <c r="N21" i="67"/>
  <c r="N22" i="67"/>
  <c r="N23" i="67"/>
  <c r="N24" i="67"/>
  <c r="N25" i="67"/>
  <c r="N26" i="67"/>
  <c r="N27" i="67"/>
  <c r="N28" i="67"/>
  <c r="N29" i="67"/>
  <c r="N30" i="67"/>
  <c r="N31" i="67"/>
  <c r="N32" i="67"/>
  <c r="N33" i="67"/>
  <c r="N34" i="67"/>
  <c r="N35" i="67"/>
  <c r="N36" i="67"/>
  <c r="N37" i="67"/>
  <c r="N38" i="67"/>
  <c r="N39" i="67"/>
  <c r="N40" i="67"/>
  <c r="N41" i="67"/>
  <c r="N42" i="67"/>
  <c r="N43" i="67"/>
  <c r="N44" i="67"/>
  <c r="N45" i="67"/>
  <c r="N46" i="67"/>
  <c r="N47" i="67"/>
  <c r="N48" i="67"/>
  <c r="N49" i="67"/>
  <c r="N50" i="67"/>
  <c r="N51" i="67"/>
  <c r="N52" i="67"/>
  <c r="N53" i="67"/>
  <c r="N54" i="67"/>
  <c r="N55" i="67"/>
  <c r="N56" i="67"/>
  <c r="N57" i="67"/>
  <c r="N58" i="67"/>
  <c r="N59" i="67"/>
  <c r="N60" i="67"/>
  <c r="N61" i="67"/>
  <c r="N62" i="67"/>
  <c r="N63" i="67"/>
  <c r="N64" i="67"/>
  <c r="N65" i="67"/>
  <c r="N66" i="67"/>
  <c r="N67" i="67"/>
  <c r="N68" i="67"/>
  <c r="N69" i="67"/>
  <c r="N70" i="67"/>
  <c r="N71" i="67"/>
  <c r="N72" i="67"/>
  <c r="N73" i="67"/>
  <c r="N74" i="67"/>
  <c r="N75" i="67"/>
  <c r="N76" i="67"/>
  <c r="N77" i="67"/>
  <c r="N78" i="67"/>
  <c r="N79" i="67"/>
  <c r="N80" i="67"/>
  <c r="N81" i="67"/>
  <c r="N82" i="67"/>
  <c r="N83" i="67"/>
  <c r="N84" i="67"/>
  <c r="N85" i="67"/>
  <c r="N86" i="67"/>
  <c r="N87" i="67"/>
  <c r="N88" i="67"/>
  <c r="N89" i="67"/>
  <c r="N90" i="67"/>
  <c r="N91" i="67"/>
  <c r="N92" i="67"/>
  <c r="N93" i="67"/>
  <c r="N94" i="67"/>
  <c r="N95" i="67"/>
  <c r="N96" i="67"/>
  <c r="N97" i="67"/>
  <c r="N98" i="67"/>
  <c r="N99" i="67"/>
  <c r="N100" i="67"/>
  <c r="N101" i="67"/>
  <c r="N102" i="67"/>
  <c r="N103" i="67"/>
  <c r="N104" i="67"/>
  <c r="N105" i="67"/>
  <c r="N106" i="67"/>
  <c r="N107" i="67"/>
  <c r="N108" i="67"/>
  <c r="N109" i="67"/>
  <c r="N110" i="67"/>
  <c r="N111" i="67"/>
  <c r="N112" i="67"/>
  <c r="N113" i="67"/>
  <c r="N114" i="67"/>
  <c r="N115" i="67"/>
  <c r="N116" i="67"/>
  <c r="N117" i="67"/>
  <c r="N118" i="67"/>
  <c r="N119" i="67"/>
  <c r="N120" i="67"/>
  <c r="N121" i="67"/>
  <c r="N122" i="67"/>
  <c r="N123" i="67"/>
  <c r="N124" i="67"/>
  <c r="N125" i="67"/>
  <c r="N126" i="67"/>
  <c r="N127" i="67"/>
  <c r="N128" i="67"/>
  <c r="N129" i="67"/>
  <c r="N130" i="67"/>
  <c r="N131" i="67"/>
  <c r="N132" i="67"/>
  <c r="N133" i="67"/>
  <c r="N134" i="67"/>
  <c r="N135" i="67"/>
  <c r="N136" i="67"/>
  <c r="N137" i="67"/>
  <c r="N138" i="67"/>
  <c r="N139" i="67"/>
  <c r="N140" i="67"/>
  <c r="N141" i="67"/>
  <c r="N142" i="67"/>
  <c r="N143" i="67"/>
  <c r="N144" i="67"/>
  <c r="N145" i="67"/>
  <c r="N146" i="67"/>
  <c r="N147" i="67"/>
  <c r="N148" i="67"/>
  <c r="N149" i="67"/>
  <c r="N150" i="67"/>
  <c r="N151" i="67"/>
  <c r="N152" i="67"/>
  <c r="N153" i="67"/>
  <c r="N154" i="67"/>
  <c r="N155" i="67"/>
  <c r="N156" i="67"/>
  <c r="N157" i="67"/>
  <c r="N158" i="67"/>
  <c r="N159" i="67"/>
  <c r="N160" i="67"/>
  <c r="N161" i="67"/>
  <c r="N162" i="67"/>
  <c r="N163" i="67"/>
  <c r="N164" i="67"/>
  <c r="N165" i="67"/>
  <c r="N166" i="67"/>
  <c r="N167" i="67"/>
  <c r="N168" i="67"/>
  <c r="N169" i="67"/>
  <c r="N170" i="67"/>
  <c r="N171" i="67"/>
  <c r="N172" i="67"/>
  <c r="N173" i="67"/>
  <c r="N174" i="67"/>
  <c r="N175" i="67"/>
  <c r="N176" i="67"/>
  <c r="N177" i="67"/>
  <c r="N178" i="67"/>
  <c r="N179" i="67"/>
  <c r="N180" i="67"/>
  <c r="N181" i="67"/>
  <c r="N182" i="67"/>
  <c r="N183" i="67"/>
  <c r="N184" i="67"/>
  <c r="N185" i="67"/>
  <c r="N186" i="67"/>
  <c r="N187" i="67"/>
  <c r="N188" i="67"/>
  <c r="N189" i="67"/>
  <c r="N190" i="67"/>
  <c r="N191" i="67"/>
  <c r="N192" i="67"/>
  <c r="N193" i="67"/>
  <c r="N194" i="67"/>
  <c r="N195" i="67"/>
  <c r="N196" i="67"/>
  <c r="N197" i="67"/>
  <c r="N198" i="67"/>
  <c r="N199" i="67"/>
  <c r="N200" i="67"/>
  <c r="N201" i="67"/>
  <c r="N202" i="67"/>
  <c r="N203" i="67"/>
  <c r="N204" i="67"/>
  <c r="N205" i="67"/>
  <c r="N206" i="67"/>
  <c r="N207" i="67"/>
  <c r="N208" i="67"/>
  <c r="N209" i="67"/>
  <c r="N210" i="67"/>
  <c r="N211" i="67"/>
  <c r="N212" i="67"/>
  <c r="N213" i="67"/>
  <c r="N214" i="67"/>
  <c r="N215" i="67"/>
  <c r="N216" i="67"/>
  <c r="N217" i="67"/>
  <c r="N218" i="67"/>
  <c r="N219" i="67"/>
  <c r="N220" i="67"/>
  <c r="N221" i="67"/>
  <c r="N222" i="67"/>
  <c r="N223" i="67"/>
  <c r="N224" i="67"/>
  <c r="N225" i="67"/>
  <c r="N226" i="67"/>
  <c r="N227" i="67"/>
  <c r="N228" i="67"/>
  <c r="N229" i="67"/>
  <c r="N230" i="67"/>
  <c r="N231" i="67"/>
  <c r="N232" i="67"/>
  <c r="N233" i="67"/>
  <c r="N234" i="67"/>
  <c r="N235" i="67"/>
  <c r="N236" i="67"/>
  <c r="N237" i="67"/>
  <c r="N238" i="67"/>
  <c r="N239" i="67"/>
  <c r="N240" i="67"/>
  <c r="N241" i="67"/>
  <c r="N242" i="67"/>
  <c r="N243" i="67"/>
  <c r="N244" i="67"/>
  <c r="N245" i="67"/>
  <c r="N246" i="67"/>
  <c r="N247" i="67"/>
  <c r="N248" i="67"/>
  <c r="N249" i="67"/>
  <c r="N250" i="67"/>
  <c r="N251" i="67"/>
  <c r="N252" i="67"/>
  <c r="N253" i="67"/>
  <c r="N254" i="67"/>
  <c r="N255" i="67"/>
  <c r="N256" i="67"/>
  <c r="N257" i="67"/>
  <c r="N10" i="67"/>
  <c r="N11" i="63"/>
  <c r="N12" i="63"/>
  <c r="N13" i="63"/>
  <c r="N14" i="63"/>
  <c r="N15" i="63"/>
  <c r="N16" i="63"/>
  <c r="N17" i="63"/>
  <c r="N18" i="63"/>
  <c r="N19" i="63"/>
  <c r="N20" i="63"/>
  <c r="N21" i="63"/>
  <c r="N22" i="63"/>
  <c r="N23" i="63"/>
  <c r="N24" i="63"/>
  <c r="N25" i="63"/>
  <c r="N26" i="63"/>
  <c r="N27" i="63"/>
  <c r="N28" i="63"/>
  <c r="N29" i="63"/>
  <c r="N30" i="63"/>
  <c r="N31" i="63"/>
  <c r="N32" i="63"/>
  <c r="N33" i="63"/>
  <c r="N34" i="63"/>
  <c r="N35" i="63"/>
  <c r="N36" i="63"/>
  <c r="N37" i="63"/>
  <c r="N38" i="63"/>
  <c r="N39" i="63"/>
  <c r="N40" i="63"/>
  <c r="N41" i="63"/>
  <c r="N42" i="63"/>
  <c r="N43" i="63"/>
  <c r="N44" i="63"/>
  <c r="N45" i="63"/>
  <c r="N46" i="63"/>
  <c r="N47" i="63"/>
  <c r="N48" i="63"/>
  <c r="N49" i="63"/>
  <c r="N50" i="63"/>
  <c r="N51" i="63"/>
  <c r="N52" i="63"/>
  <c r="N53" i="63"/>
  <c r="N54" i="63"/>
  <c r="N55" i="63"/>
  <c r="N56" i="63"/>
  <c r="N57" i="63"/>
  <c r="N58" i="63"/>
  <c r="N59" i="63"/>
  <c r="N60" i="63"/>
  <c r="N61" i="63"/>
  <c r="N62" i="63"/>
  <c r="N63" i="63"/>
  <c r="N64" i="63"/>
  <c r="N65" i="63"/>
  <c r="N66" i="63"/>
  <c r="N67" i="63"/>
  <c r="N68" i="63"/>
  <c r="N69" i="63"/>
  <c r="N70" i="63"/>
  <c r="N71" i="63"/>
  <c r="N72" i="63"/>
  <c r="N73" i="63"/>
  <c r="N74" i="63"/>
  <c r="N75" i="63"/>
  <c r="N76" i="63"/>
  <c r="N77" i="63"/>
  <c r="N78" i="63"/>
  <c r="N79" i="63"/>
  <c r="N80" i="63"/>
  <c r="N81" i="63"/>
  <c r="N82" i="63"/>
  <c r="N83" i="63"/>
  <c r="N84" i="63"/>
  <c r="N85" i="63"/>
  <c r="N86" i="63"/>
  <c r="N87" i="63"/>
  <c r="N88" i="63"/>
  <c r="N89" i="63"/>
  <c r="N90" i="63"/>
  <c r="N91" i="63"/>
  <c r="N92" i="63"/>
  <c r="N93" i="63"/>
  <c r="N94" i="63"/>
  <c r="N95" i="63"/>
  <c r="N96" i="63"/>
  <c r="N97" i="63"/>
  <c r="N98" i="63"/>
  <c r="N99" i="63"/>
  <c r="N100" i="63"/>
  <c r="N101" i="63"/>
  <c r="N102" i="63"/>
  <c r="N103" i="63"/>
  <c r="N104" i="63"/>
  <c r="N105" i="63"/>
  <c r="N106" i="63"/>
  <c r="N107" i="63"/>
  <c r="N108" i="63"/>
  <c r="N109" i="63"/>
  <c r="N110" i="63"/>
  <c r="N111" i="63"/>
  <c r="N112" i="63"/>
  <c r="N113" i="63"/>
  <c r="N114" i="63"/>
  <c r="N115" i="63"/>
  <c r="N116" i="63"/>
  <c r="N117" i="63"/>
  <c r="N118" i="63"/>
  <c r="N119" i="63"/>
  <c r="N120" i="63"/>
  <c r="N121" i="63"/>
  <c r="N122" i="63"/>
  <c r="N123" i="63"/>
  <c r="N124" i="63"/>
  <c r="N125" i="63"/>
  <c r="N126" i="63"/>
  <c r="N127" i="63"/>
  <c r="N128" i="63"/>
  <c r="N129" i="63"/>
  <c r="N130" i="63"/>
  <c r="N131" i="63"/>
  <c r="N132" i="63"/>
  <c r="N133" i="63"/>
  <c r="N134" i="63"/>
  <c r="N135" i="63"/>
  <c r="N136" i="63"/>
  <c r="N137" i="63"/>
  <c r="N138" i="63"/>
  <c r="N139" i="63"/>
  <c r="N140" i="63"/>
  <c r="N141" i="63"/>
  <c r="N142" i="63"/>
  <c r="N143" i="63"/>
  <c r="N144" i="63"/>
  <c r="N145" i="63"/>
  <c r="N146" i="63"/>
  <c r="N147" i="63"/>
  <c r="N148" i="63"/>
  <c r="N149" i="63"/>
  <c r="N150" i="63"/>
  <c r="N151" i="63"/>
  <c r="N152" i="63"/>
  <c r="N153" i="63"/>
  <c r="N154" i="63"/>
  <c r="N155" i="63"/>
  <c r="N156" i="63"/>
  <c r="N157" i="63"/>
  <c r="N158" i="63"/>
  <c r="N159" i="63"/>
  <c r="N160" i="63"/>
  <c r="N161" i="63"/>
  <c r="N162" i="63"/>
  <c r="N163" i="63"/>
  <c r="N164" i="63"/>
  <c r="N165" i="63"/>
  <c r="N166" i="63"/>
  <c r="N167" i="63"/>
  <c r="N168" i="63"/>
  <c r="N169" i="63"/>
  <c r="N170" i="63"/>
  <c r="N171" i="63"/>
  <c r="N172" i="63"/>
  <c r="N173" i="63"/>
  <c r="N174" i="63"/>
  <c r="N175" i="63"/>
  <c r="N176" i="63"/>
  <c r="N177" i="63"/>
  <c r="N178" i="63"/>
  <c r="N179" i="63"/>
  <c r="N180" i="63"/>
  <c r="N181" i="63"/>
  <c r="N182" i="63"/>
  <c r="N183" i="63"/>
  <c r="N184" i="63"/>
  <c r="N185" i="63"/>
  <c r="N186" i="63"/>
  <c r="N187" i="63"/>
  <c r="N188" i="63"/>
  <c r="N189" i="63"/>
  <c r="N190" i="63"/>
  <c r="N191" i="63"/>
  <c r="N192" i="63"/>
  <c r="N193" i="63"/>
  <c r="N194" i="63"/>
  <c r="N195" i="63"/>
  <c r="N196" i="63"/>
  <c r="N197" i="63"/>
  <c r="N198" i="63"/>
  <c r="N199" i="63"/>
  <c r="N200" i="63"/>
  <c r="N201" i="63"/>
  <c r="N202" i="63"/>
  <c r="N203" i="63"/>
  <c r="N204" i="63"/>
  <c r="N205" i="63"/>
  <c r="N206" i="63"/>
  <c r="N207" i="63"/>
  <c r="N208" i="63"/>
  <c r="N209" i="63"/>
  <c r="N210" i="63"/>
  <c r="N211" i="63"/>
  <c r="N212" i="63"/>
  <c r="N213" i="63"/>
  <c r="N214" i="63"/>
  <c r="N215" i="63"/>
  <c r="N216" i="63"/>
  <c r="N217" i="63"/>
  <c r="N218" i="63"/>
  <c r="N219" i="63"/>
  <c r="N220" i="63"/>
  <c r="N221" i="63"/>
  <c r="N222" i="63"/>
  <c r="N223" i="63"/>
  <c r="N224" i="63"/>
  <c r="N225" i="63"/>
  <c r="N226" i="63"/>
  <c r="N227" i="63"/>
  <c r="N228" i="63"/>
  <c r="N229" i="63"/>
  <c r="N230" i="63"/>
  <c r="N231" i="63"/>
  <c r="N232" i="63"/>
  <c r="N233" i="63"/>
  <c r="N234" i="63"/>
  <c r="N235" i="63"/>
  <c r="N236" i="63"/>
  <c r="N237" i="63"/>
  <c r="N238" i="63"/>
  <c r="N239" i="63"/>
  <c r="N240" i="63"/>
  <c r="N241" i="63"/>
  <c r="N242" i="63"/>
  <c r="N243" i="63"/>
  <c r="N244" i="63"/>
  <c r="N245" i="63"/>
  <c r="N246" i="63"/>
  <c r="N247" i="63"/>
  <c r="N248" i="63"/>
  <c r="N249" i="63"/>
  <c r="N250" i="63"/>
  <c r="N251" i="63"/>
  <c r="N252" i="63"/>
  <c r="N253" i="63"/>
  <c r="N254" i="63"/>
  <c r="N255" i="63"/>
  <c r="N256" i="63"/>
  <c r="N257" i="63"/>
  <c r="N10" i="63"/>
  <c r="T13" i="58" l="1"/>
  <c r="T14" i="58"/>
  <c r="T15" i="58"/>
  <c r="T16" i="58"/>
  <c r="T17" i="58"/>
  <c r="T18" i="58"/>
  <c r="T19" i="58"/>
  <c r="T20" i="58"/>
  <c r="T21" i="58"/>
  <c r="T22" i="58"/>
  <c r="T23" i="58"/>
  <c r="T24" i="58"/>
  <c r="T25" i="58"/>
  <c r="T26" i="58"/>
  <c r="T27" i="58"/>
  <c r="T28" i="58"/>
  <c r="T29" i="58"/>
  <c r="T30" i="58"/>
  <c r="T31" i="58"/>
  <c r="T32" i="58"/>
  <c r="T33" i="58"/>
  <c r="T34" i="58"/>
  <c r="T35" i="58"/>
  <c r="T36" i="58"/>
  <c r="T37" i="58"/>
  <c r="T38" i="58"/>
  <c r="T39" i="58"/>
  <c r="T40" i="58"/>
  <c r="T41" i="58"/>
  <c r="T42" i="58"/>
  <c r="T43" i="58"/>
  <c r="T44" i="58"/>
  <c r="T45" i="58"/>
  <c r="T46" i="58"/>
  <c r="T47" i="58"/>
  <c r="T48" i="58"/>
  <c r="T49" i="58"/>
  <c r="T50" i="58"/>
  <c r="T51" i="58"/>
  <c r="T52" i="58"/>
  <c r="T53" i="58"/>
  <c r="T54" i="58"/>
  <c r="T55" i="58"/>
  <c r="T56" i="58"/>
  <c r="T57" i="58"/>
  <c r="T58" i="58"/>
  <c r="T59" i="58"/>
  <c r="T60" i="58"/>
  <c r="T61" i="58"/>
  <c r="T62" i="58"/>
  <c r="T63" i="58"/>
  <c r="T64" i="58"/>
  <c r="T65" i="58"/>
  <c r="T66" i="58"/>
  <c r="T67" i="58"/>
  <c r="T68" i="58"/>
  <c r="T69" i="58"/>
  <c r="T70" i="58"/>
  <c r="T71" i="58"/>
  <c r="T72" i="58"/>
  <c r="T73" i="58"/>
  <c r="T74" i="58"/>
  <c r="T75" i="58"/>
  <c r="T76" i="58"/>
  <c r="T77" i="58"/>
  <c r="T78" i="58"/>
  <c r="T79" i="58"/>
  <c r="T80" i="58"/>
  <c r="T81" i="58"/>
  <c r="T82" i="58"/>
  <c r="T83" i="58"/>
  <c r="T84" i="58"/>
  <c r="T85" i="58"/>
  <c r="T86" i="58"/>
  <c r="T87" i="58"/>
  <c r="T88" i="58"/>
  <c r="T89" i="58"/>
  <c r="T90" i="58"/>
  <c r="T91" i="58"/>
  <c r="T92" i="58"/>
  <c r="T93" i="58"/>
  <c r="T94" i="58"/>
  <c r="T95" i="58"/>
  <c r="T96" i="58"/>
  <c r="T97" i="58"/>
  <c r="T98" i="58"/>
  <c r="T99" i="58"/>
  <c r="T100" i="58"/>
  <c r="T101" i="58"/>
  <c r="T102" i="58"/>
  <c r="T103" i="58"/>
  <c r="T104" i="58"/>
  <c r="T105" i="58"/>
  <c r="T106" i="58"/>
  <c r="T107" i="58"/>
  <c r="T108" i="58"/>
  <c r="T109" i="58"/>
  <c r="T110" i="58"/>
  <c r="T111" i="58"/>
  <c r="T112" i="58"/>
  <c r="T113" i="58"/>
  <c r="T114" i="58"/>
  <c r="T115" i="58"/>
  <c r="T116" i="58"/>
  <c r="T117" i="58"/>
  <c r="T118" i="58"/>
  <c r="T119" i="58"/>
  <c r="T120" i="58"/>
  <c r="T121" i="58"/>
  <c r="T122" i="58"/>
  <c r="T123" i="58"/>
  <c r="T124" i="58"/>
  <c r="T125" i="58"/>
  <c r="T126" i="58"/>
  <c r="T127" i="58"/>
  <c r="T128" i="58"/>
  <c r="T129" i="58"/>
  <c r="T130" i="58"/>
  <c r="T131" i="58"/>
  <c r="T132" i="58"/>
  <c r="T133" i="58"/>
  <c r="T134" i="58"/>
  <c r="T135" i="58"/>
  <c r="T136" i="58"/>
  <c r="T137" i="58"/>
  <c r="T138" i="58"/>
  <c r="T139" i="58"/>
  <c r="T140" i="58"/>
  <c r="T141" i="58"/>
  <c r="T142" i="58"/>
  <c r="T143" i="58"/>
  <c r="T144" i="58"/>
  <c r="T145" i="58"/>
  <c r="T146" i="58"/>
  <c r="T147" i="58"/>
  <c r="T148" i="58"/>
  <c r="T149" i="58"/>
  <c r="T150" i="58"/>
  <c r="T151" i="58"/>
  <c r="T152" i="58"/>
  <c r="T153" i="58"/>
  <c r="T154" i="58"/>
  <c r="T155" i="58"/>
  <c r="T156" i="58"/>
  <c r="T157" i="58"/>
  <c r="T158" i="58"/>
  <c r="T159" i="58"/>
  <c r="T160" i="58"/>
  <c r="T161" i="58"/>
  <c r="T162" i="58"/>
  <c r="T163" i="58"/>
  <c r="T164" i="58"/>
  <c r="T165" i="58"/>
  <c r="T166" i="58"/>
  <c r="T167" i="58"/>
  <c r="T168" i="58"/>
  <c r="T169" i="58"/>
  <c r="T170" i="58"/>
  <c r="T171" i="58"/>
  <c r="T172" i="58"/>
  <c r="T173" i="58"/>
  <c r="T174" i="58"/>
  <c r="T175" i="58"/>
  <c r="T176" i="58"/>
  <c r="T177" i="58"/>
  <c r="T178" i="58"/>
  <c r="T179" i="58"/>
  <c r="T180" i="58"/>
  <c r="T181" i="58"/>
  <c r="T182" i="58"/>
  <c r="T183" i="58"/>
  <c r="T184" i="58"/>
  <c r="T185" i="58"/>
  <c r="T186" i="58"/>
  <c r="T187" i="58"/>
  <c r="T188" i="58"/>
  <c r="T189" i="58"/>
  <c r="T190" i="58"/>
  <c r="T191" i="58"/>
  <c r="T192" i="58"/>
  <c r="T193" i="58"/>
  <c r="T194" i="58"/>
  <c r="T195" i="58"/>
  <c r="T196" i="58"/>
  <c r="T197" i="58"/>
  <c r="T198" i="58"/>
  <c r="T199" i="58"/>
  <c r="T200" i="58"/>
  <c r="T201" i="58"/>
  <c r="T202" i="58"/>
  <c r="T203" i="58"/>
  <c r="T204" i="58"/>
  <c r="T205" i="58"/>
  <c r="T206" i="58"/>
  <c r="T207" i="58"/>
  <c r="T208" i="58"/>
  <c r="T209" i="58"/>
  <c r="T210" i="58"/>
  <c r="T211" i="58"/>
  <c r="T212" i="58"/>
  <c r="T213" i="58"/>
  <c r="T214" i="58"/>
  <c r="T215" i="58"/>
  <c r="T216" i="58"/>
  <c r="T217" i="58"/>
  <c r="T218" i="58"/>
  <c r="T219" i="58"/>
  <c r="T220" i="58"/>
  <c r="T221" i="58"/>
  <c r="T222" i="58"/>
  <c r="T223" i="58"/>
  <c r="T224" i="58"/>
  <c r="T225" i="58"/>
  <c r="T226" i="58"/>
  <c r="T227" i="58"/>
  <c r="T228" i="58"/>
  <c r="T229" i="58"/>
  <c r="T230" i="58"/>
  <c r="T231" i="58"/>
  <c r="T232" i="58"/>
  <c r="T233" i="58"/>
  <c r="T234" i="58"/>
  <c r="T235" i="58"/>
  <c r="T236" i="58"/>
  <c r="T237" i="58"/>
  <c r="T238" i="58"/>
  <c r="T239" i="58"/>
  <c r="T240" i="58"/>
  <c r="T241" i="58"/>
  <c r="T242" i="58"/>
  <c r="T243" i="58"/>
  <c r="T244" i="58"/>
  <c r="T245" i="58"/>
  <c r="T246" i="58"/>
  <c r="T247" i="58"/>
  <c r="T248" i="58"/>
  <c r="T249" i="58"/>
  <c r="T250" i="58"/>
  <c r="T251" i="58"/>
  <c r="T252" i="58"/>
  <c r="T253" i="58"/>
  <c r="T254" i="58"/>
  <c r="T255" i="58"/>
  <c r="T256" i="58"/>
  <c r="T257" i="58"/>
  <c r="T258" i="58"/>
  <c r="T259" i="58"/>
  <c r="AE40" i="65"/>
  <c r="I74" i="99"/>
  <c r="G13" i="58"/>
  <c r="G14" i="58"/>
  <c r="G15" i="58"/>
  <c r="G16" i="58"/>
  <c r="G17" i="58"/>
  <c r="G18" i="58"/>
  <c r="G19" i="58"/>
  <c r="G20" i="58"/>
  <c r="G21" i="58"/>
  <c r="G22" i="58"/>
  <c r="G23" i="58"/>
  <c r="G24" i="58"/>
  <c r="G25" i="58"/>
  <c r="G26" i="58"/>
  <c r="G27" i="58"/>
  <c r="G28" i="58"/>
  <c r="G29" i="58"/>
  <c r="G30" i="58"/>
  <c r="G31" i="58"/>
  <c r="G32" i="58"/>
  <c r="G33" i="58"/>
  <c r="G34" i="58"/>
  <c r="G35" i="58"/>
  <c r="G36" i="58"/>
  <c r="G37" i="58"/>
  <c r="G38" i="58"/>
  <c r="G39" i="58"/>
  <c r="G40" i="58"/>
  <c r="G41" i="58"/>
  <c r="G42" i="58"/>
  <c r="G43" i="58"/>
  <c r="G44" i="58"/>
  <c r="G45" i="58"/>
  <c r="G46" i="58"/>
  <c r="G47" i="58"/>
  <c r="G48" i="58"/>
  <c r="G49" i="58"/>
  <c r="G50" i="58"/>
  <c r="G51" i="58"/>
  <c r="G52" i="58"/>
  <c r="G53" i="58"/>
  <c r="G54" i="58"/>
  <c r="G55" i="58"/>
  <c r="G56" i="58"/>
  <c r="G57" i="58"/>
  <c r="G58" i="58"/>
  <c r="G59" i="58"/>
  <c r="G60" i="58"/>
  <c r="G61" i="58"/>
  <c r="G62" i="58"/>
  <c r="G63" i="58"/>
  <c r="G64" i="58"/>
  <c r="G65" i="58"/>
  <c r="G66" i="58"/>
  <c r="G67" i="58"/>
  <c r="G68" i="58"/>
  <c r="G69" i="58"/>
  <c r="G70" i="58"/>
  <c r="G71" i="58"/>
  <c r="G72" i="58"/>
  <c r="G73" i="58"/>
  <c r="G74" i="58"/>
  <c r="G75" i="58"/>
  <c r="G76" i="58"/>
  <c r="G77" i="58"/>
  <c r="G78" i="58"/>
  <c r="G79" i="58"/>
  <c r="G80" i="58"/>
  <c r="G81" i="58"/>
  <c r="G82" i="58"/>
  <c r="G83" i="58"/>
  <c r="G84" i="58"/>
  <c r="G85" i="58"/>
  <c r="G86" i="58"/>
  <c r="G87" i="58"/>
  <c r="G88" i="58"/>
  <c r="G89" i="58"/>
  <c r="G90" i="58"/>
  <c r="G91" i="58"/>
  <c r="G92" i="58"/>
  <c r="G93" i="58"/>
  <c r="G94" i="58"/>
  <c r="G95" i="58"/>
  <c r="G96" i="58"/>
  <c r="G97" i="58"/>
  <c r="G98" i="58"/>
  <c r="G99" i="58"/>
  <c r="G100" i="58"/>
  <c r="G101" i="58"/>
  <c r="G102" i="58"/>
  <c r="G103" i="58"/>
  <c r="G104" i="58"/>
  <c r="G105" i="58"/>
  <c r="G106" i="58"/>
  <c r="G107" i="58"/>
  <c r="G108" i="58"/>
  <c r="G109" i="58"/>
  <c r="G110" i="58"/>
  <c r="G111" i="58"/>
  <c r="G112" i="58"/>
  <c r="G113" i="58"/>
  <c r="G114" i="58"/>
  <c r="G115" i="58"/>
  <c r="G116" i="58"/>
  <c r="G117" i="58"/>
  <c r="G118" i="58"/>
  <c r="G119" i="58"/>
  <c r="G120" i="58"/>
  <c r="G121" i="58"/>
  <c r="G122" i="58"/>
  <c r="G123" i="58"/>
  <c r="G124" i="58"/>
  <c r="G125" i="58"/>
  <c r="G126" i="58"/>
  <c r="G127" i="58"/>
  <c r="G128" i="58"/>
  <c r="G129" i="58"/>
  <c r="G130" i="58"/>
  <c r="G131" i="58"/>
  <c r="G132" i="58"/>
  <c r="G133" i="58"/>
  <c r="G134" i="58"/>
  <c r="G135" i="58"/>
  <c r="G136" i="58"/>
  <c r="G137" i="58"/>
  <c r="G138" i="58"/>
  <c r="G139" i="58"/>
  <c r="G140" i="58"/>
  <c r="G141" i="58"/>
  <c r="G142" i="58"/>
  <c r="G143" i="58"/>
  <c r="G144" i="58"/>
  <c r="G145" i="58"/>
  <c r="G146" i="58"/>
  <c r="G147" i="58"/>
  <c r="G148" i="58"/>
  <c r="G149" i="58"/>
  <c r="G150" i="58"/>
  <c r="G151" i="58"/>
  <c r="G152" i="58"/>
  <c r="G153" i="58"/>
  <c r="G154" i="58"/>
  <c r="G155" i="58"/>
  <c r="G156" i="58"/>
  <c r="G157" i="58"/>
  <c r="G158" i="58"/>
  <c r="G159" i="58"/>
  <c r="G160" i="58"/>
  <c r="G161" i="58"/>
  <c r="G162" i="58"/>
  <c r="G163" i="58"/>
  <c r="G164" i="58"/>
  <c r="G165" i="58"/>
  <c r="G166" i="58"/>
  <c r="G167" i="58"/>
  <c r="G168" i="58"/>
  <c r="G169" i="58"/>
  <c r="G170" i="58"/>
  <c r="G171" i="58"/>
  <c r="G172" i="58"/>
  <c r="G173" i="58"/>
  <c r="G174" i="58"/>
  <c r="G175" i="58"/>
  <c r="G176" i="58"/>
  <c r="G177" i="58"/>
  <c r="G178" i="58"/>
  <c r="G179" i="58"/>
  <c r="G180" i="58"/>
  <c r="G181" i="58"/>
  <c r="G182" i="58"/>
  <c r="G183" i="58"/>
  <c r="G184" i="58"/>
  <c r="G185" i="58"/>
  <c r="G186" i="58"/>
  <c r="G187" i="58"/>
  <c r="G188" i="58"/>
  <c r="G189" i="58"/>
  <c r="G190" i="58"/>
  <c r="G191" i="58"/>
  <c r="G192" i="58"/>
  <c r="G193" i="58"/>
  <c r="G194" i="58"/>
  <c r="G195" i="58"/>
  <c r="G196" i="58"/>
  <c r="G197" i="58"/>
  <c r="G198" i="58"/>
  <c r="G199" i="58"/>
  <c r="G200" i="58"/>
  <c r="G201" i="58"/>
  <c r="G202" i="58"/>
  <c r="G203" i="58"/>
  <c r="G204" i="58"/>
  <c r="G205" i="58"/>
  <c r="G206" i="58"/>
  <c r="G207" i="58"/>
  <c r="G208" i="58"/>
  <c r="G209" i="58"/>
  <c r="G210" i="58"/>
  <c r="G211" i="58"/>
  <c r="G212" i="58"/>
  <c r="G213" i="58"/>
  <c r="G214" i="58"/>
  <c r="G215" i="58"/>
  <c r="G216" i="58"/>
  <c r="G217" i="58"/>
  <c r="G218" i="58"/>
  <c r="G219" i="58"/>
  <c r="G220" i="58"/>
  <c r="G221" i="58"/>
  <c r="G222" i="58"/>
  <c r="G223" i="58"/>
  <c r="G224" i="58"/>
  <c r="G225" i="58"/>
  <c r="G226" i="58"/>
  <c r="G227" i="58"/>
  <c r="G228" i="58"/>
  <c r="G229" i="58"/>
  <c r="G230" i="58"/>
  <c r="G231" i="58"/>
  <c r="G232" i="58"/>
  <c r="G233" i="58"/>
  <c r="G234" i="58"/>
  <c r="G235" i="58"/>
  <c r="G236" i="58"/>
  <c r="G237" i="58"/>
  <c r="G238" i="58"/>
  <c r="G239" i="58"/>
  <c r="G240" i="58"/>
  <c r="G241" i="58"/>
  <c r="G242" i="58"/>
  <c r="G243" i="58"/>
  <c r="G244" i="58"/>
  <c r="G245" i="58"/>
  <c r="G246" i="58"/>
  <c r="G247" i="58"/>
  <c r="G248" i="58"/>
  <c r="G249" i="58"/>
  <c r="G250" i="58"/>
  <c r="G251" i="58"/>
  <c r="G252" i="58"/>
  <c r="G253" i="58"/>
  <c r="G254" i="58"/>
  <c r="G255" i="58"/>
  <c r="G256" i="58"/>
  <c r="G257" i="58"/>
  <c r="G258" i="58"/>
  <c r="G259" i="58"/>
  <c r="G12" i="58"/>
  <c r="F12" i="58"/>
  <c r="G13" i="42"/>
  <c r="G14" i="42"/>
  <c r="G15" i="42"/>
  <c r="G16" i="42"/>
  <c r="G17" i="42"/>
  <c r="G18" i="42"/>
  <c r="G19" i="42"/>
  <c r="G20" i="42"/>
  <c r="G21" i="42"/>
  <c r="G22" i="42"/>
  <c r="G23" i="42"/>
  <c r="G24" i="42"/>
  <c r="G25" i="42"/>
  <c r="G26" i="42"/>
  <c r="G27" i="42"/>
  <c r="G28" i="42"/>
  <c r="G29" i="42"/>
  <c r="G30" i="42"/>
  <c r="G31" i="42"/>
  <c r="G32" i="42"/>
  <c r="G33" i="42"/>
  <c r="G34" i="42"/>
  <c r="G35" i="42"/>
  <c r="G36" i="42"/>
  <c r="G37" i="42"/>
  <c r="G38" i="42"/>
  <c r="G39" i="42"/>
  <c r="G40" i="42"/>
  <c r="G41" i="42"/>
  <c r="G42" i="42"/>
  <c r="G43" i="42"/>
  <c r="G44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G57" i="42"/>
  <c r="G58" i="42"/>
  <c r="G59" i="42"/>
  <c r="G60" i="42"/>
  <c r="G61" i="42"/>
  <c r="G62" i="42"/>
  <c r="G63" i="42"/>
  <c r="G64" i="42"/>
  <c r="G65" i="42"/>
  <c r="G66" i="42"/>
  <c r="G67" i="42"/>
  <c r="G68" i="42"/>
  <c r="G69" i="42"/>
  <c r="G70" i="42"/>
  <c r="G71" i="42"/>
  <c r="G72" i="42"/>
  <c r="G73" i="42"/>
  <c r="G74" i="42"/>
  <c r="G75" i="42"/>
  <c r="G76" i="42"/>
  <c r="G77" i="42"/>
  <c r="G78" i="42"/>
  <c r="G79" i="42"/>
  <c r="G80" i="42"/>
  <c r="G81" i="42"/>
  <c r="G82" i="42"/>
  <c r="G83" i="42"/>
  <c r="G84" i="42"/>
  <c r="G85" i="42"/>
  <c r="G86" i="42"/>
  <c r="G87" i="42"/>
  <c r="G88" i="42"/>
  <c r="G89" i="42"/>
  <c r="G90" i="42"/>
  <c r="G91" i="42"/>
  <c r="G92" i="42"/>
  <c r="G93" i="42"/>
  <c r="G94" i="42"/>
  <c r="G95" i="42"/>
  <c r="G96" i="42"/>
  <c r="G97" i="42"/>
  <c r="G98" i="42"/>
  <c r="G99" i="42"/>
  <c r="G100" i="42"/>
  <c r="G101" i="42"/>
  <c r="G102" i="42"/>
  <c r="G103" i="42"/>
  <c r="G104" i="42"/>
  <c r="G105" i="42"/>
  <c r="G106" i="42"/>
  <c r="G107" i="42"/>
  <c r="G108" i="42"/>
  <c r="G109" i="42"/>
  <c r="G110" i="42"/>
  <c r="G111" i="42"/>
  <c r="G112" i="42"/>
  <c r="G113" i="42"/>
  <c r="G114" i="42"/>
  <c r="G115" i="42"/>
  <c r="G116" i="42"/>
  <c r="G117" i="42"/>
  <c r="G118" i="42"/>
  <c r="G119" i="42"/>
  <c r="G120" i="42"/>
  <c r="G121" i="42"/>
  <c r="G122" i="42"/>
  <c r="G123" i="42"/>
  <c r="G124" i="42"/>
  <c r="G125" i="42"/>
  <c r="G126" i="42"/>
  <c r="G127" i="42"/>
  <c r="G128" i="42"/>
  <c r="G129" i="42"/>
  <c r="G130" i="42"/>
  <c r="G131" i="42"/>
  <c r="G132" i="42"/>
  <c r="G133" i="42"/>
  <c r="G134" i="42"/>
  <c r="G135" i="42"/>
  <c r="G136" i="42"/>
  <c r="G137" i="42"/>
  <c r="G138" i="42"/>
  <c r="G139" i="42"/>
  <c r="G140" i="42"/>
  <c r="G141" i="42"/>
  <c r="G142" i="42"/>
  <c r="G143" i="42"/>
  <c r="G144" i="42"/>
  <c r="G145" i="42"/>
  <c r="G146" i="42"/>
  <c r="G147" i="42"/>
  <c r="G148" i="42"/>
  <c r="G149" i="42"/>
  <c r="G150" i="42"/>
  <c r="G151" i="42"/>
  <c r="G152" i="42"/>
  <c r="G153" i="42"/>
  <c r="G154" i="42"/>
  <c r="G155" i="42"/>
  <c r="G156" i="42"/>
  <c r="G157" i="42"/>
  <c r="G158" i="42"/>
  <c r="G159" i="42"/>
  <c r="G160" i="42"/>
  <c r="G161" i="42"/>
  <c r="G162" i="42"/>
  <c r="G163" i="42"/>
  <c r="G164" i="42"/>
  <c r="G165" i="42"/>
  <c r="G166" i="42"/>
  <c r="G167" i="42"/>
  <c r="G168" i="42"/>
  <c r="G169" i="42"/>
  <c r="G170" i="42"/>
  <c r="G171" i="42"/>
  <c r="G172" i="42"/>
  <c r="G173" i="42"/>
  <c r="G174" i="42"/>
  <c r="G175" i="42"/>
  <c r="G176" i="42"/>
  <c r="G177" i="42"/>
  <c r="G178" i="42"/>
  <c r="G179" i="42"/>
  <c r="G180" i="42"/>
  <c r="G181" i="42"/>
  <c r="G182" i="42"/>
  <c r="G183" i="42"/>
  <c r="G184" i="42"/>
  <c r="G185" i="42"/>
  <c r="G186" i="42"/>
  <c r="G187" i="42"/>
  <c r="G188" i="42"/>
  <c r="G189" i="42"/>
  <c r="G190" i="42"/>
  <c r="G191" i="42"/>
  <c r="G192" i="42"/>
  <c r="G193" i="42"/>
  <c r="G194" i="42"/>
  <c r="G195" i="42"/>
  <c r="G196" i="42"/>
  <c r="G197" i="42"/>
  <c r="G198" i="42"/>
  <c r="G199" i="42"/>
  <c r="G200" i="42"/>
  <c r="G201" i="42"/>
  <c r="G202" i="42"/>
  <c r="G203" i="42"/>
  <c r="G204" i="42"/>
  <c r="G205" i="42"/>
  <c r="G206" i="42"/>
  <c r="G207" i="42"/>
  <c r="G208" i="42"/>
  <c r="G209" i="42"/>
  <c r="G210" i="42"/>
  <c r="G211" i="42"/>
  <c r="G212" i="42"/>
  <c r="G213" i="42"/>
  <c r="G214" i="42"/>
  <c r="G215" i="42"/>
  <c r="G216" i="42"/>
  <c r="G217" i="42"/>
  <c r="G218" i="42"/>
  <c r="G219" i="42"/>
  <c r="G220" i="42"/>
  <c r="G221" i="42"/>
  <c r="G222" i="42"/>
  <c r="G223" i="42"/>
  <c r="G224" i="42"/>
  <c r="G225" i="42"/>
  <c r="G226" i="42"/>
  <c r="G227" i="42"/>
  <c r="G228" i="42"/>
  <c r="G229" i="42"/>
  <c r="G230" i="42"/>
  <c r="G231" i="42"/>
  <c r="G232" i="42"/>
  <c r="G233" i="42"/>
  <c r="G234" i="42"/>
  <c r="G235" i="42"/>
  <c r="G236" i="42"/>
  <c r="G237" i="42"/>
  <c r="G238" i="42"/>
  <c r="G239" i="42"/>
  <c r="G240" i="42"/>
  <c r="G241" i="42"/>
  <c r="G242" i="42"/>
  <c r="G243" i="42"/>
  <c r="G244" i="42"/>
  <c r="G245" i="42"/>
  <c r="G246" i="42"/>
  <c r="G247" i="42"/>
  <c r="G248" i="42"/>
  <c r="G249" i="42"/>
  <c r="G250" i="42"/>
  <c r="G251" i="42"/>
  <c r="G252" i="42"/>
  <c r="G253" i="42"/>
  <c r="G254" i="42"/>
  <c r="G255" i="42"/>
  <c r="G256" i="42"/>
  <c r="G257" i="42"/>
  <c r="G258" i="42"/>
  <c r="G259" i="42"/>
  <c r="G12" i="42"/>
  <c r="F12" i="42"/>
  <c r="G11" i="55"/>
  <c r="G12" i="55"/>
  <c r="G13" i="55"/>
  <c r="G14" i="55"/>
  <c r="G15" i="55"/>
  <c r="G16" i="55"/>
  <c r="G17" i="55"/>
  <c r="G18" i="55"/>
  <c r="G19" i="55"/>
  <c r="G20" i="55"/>
  <c r="G21" i="55"/>
  <c r="G22" i="55"/>
  <c r="G23" i="55"/>
  <c r="G24" i="55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48" i="55"/>
  <c r="G49" i="55"/>
  <c r="G50" i="55"/>
  <c r="G51" i="55"/>
  <c r="G52" i="55"/>
  <c r="G53" i="55"/>
  <c r="G54" i="55"/>
  <c r="G55" i="55"/>
  <c r="G56" i="55"/>
  <c r="G57" i="55"/>
  <c r="G58" i="55"/>
  <c r="G59" i="55"/>
  <c r="G60" i="55"/>
  <c r="G61" i="55"/>
  <c r="G62" i="55"/>
  <c r="G63" i="55"/>
  <c r="G64" i="55"/>
  <c r="G65" i="55"/>
  <c r="G66" i="55"/>
  <c r="G67" i="55"/>
  <c r="G68" i="55"/>
  <c r="G69" i="55"/>
  <c r="G70" i="55"/>
  <c r="G71" i="55"/>
  <c r="G72" i="55"/>
  <c r="G73" i="55"/>
  <c r="G74" i="55"/>
  <c r="G75" i="55"/>
  <c r="G76" i="55"/>
  <c r="G77" i="55"/>
  <c r="G78" i="55"/>
  <c r="G79" i="55"/>
  <c r="G80" i="55"/>
  <c r="G81" i="55"/>
  <c r="G82" i="55"/>
  <c r="G83" i="55"/>
  <c r="G84" i="55"/>
  <c r="G85" i="55"/>
  <c r="G86" i="55"/>
  <c r="G87" i="55"/>
  <c r="G88" i="55"/>
  <c r="G89" i="55"/>
  <c r="G90" i="55"/>
  <c r="G91" i="55"/>
  <c r="G92" i="55"/>
  <c r="G93" i="55"/>
  <c r="G94" i="55"/>
  <c r="G95" i="55"/>
  <c r="G96" i="55"/>
  <c r="G97" i="55"/>
  <c r="G98" i="55"/>
  <c r="G99" i="55"/>
  <c r="G100" i="55"/>
  <c r="G101" i="55"/>
  <c r="G102" i="55"/>
  <c r="G103" i="55"/>
  <c r="G104" i="55"/>
  <c r="G105" i="55"/>
  <c r="G106" i="55"/>
  <c r="G107" i="55"/>
  <c r="G108" i="55"/>
  <c r="G109" i="55"/>
  <c r="G110" i="55"/>
  <c r="G111" i="55"/>
  <c r="G112" i="55"/>
  <c r="G113" i="55"/>
  <c r="G114" i="55"/>
  <c r="G115" i="55"/>
  <c r="G116" i="55"/>
  <c r="G117" i="55"/>
  <c r="G118" i="55"/>
  <c r="G119" i="55"/>
  <c r="G120" i="55"/>
  <c r="G121" i="55"/>
  <c r="G122" i="55"/>
  <c r="G123" i="55"/>
  <c r="G124" i="55"/>
  <c r="G125" i="55"/>
  <c r="G126" i="55"/>
  <c r="G127" i="55"/>
  <c r="G128" i="55"/>
  <c r="G129" i="55"/>
  <c r="G130" i="55"/>
  <c r="G131" i="55"/>
  <c r="G132" i="55"/>
  <c r="G133" i="55"/>
  <c r="G134" i="55"/>
  <c r="G135" i="55"/>
  <c r="G136" i="55"/>
  <c r="G137" i="55"/>
  <c r="G138" i="55"/>
  <c r="G139" i="55"/>
  <c r="G140" i="55"/>
  <c r="G141" i="55"/>
  <c r="G142" i="55"/>
  <c r="G143" i="55"/>
  <c r="G144" i="55"/>
  <c r="G145" i="55"/>
  <c r="G146" i="55"/>
  <c r="G147" i="55"/>
  <c r="G148" i="55"/>
  <c r="G149" i="55"/>
  <c r="G150" i="55"/>
  <c r="G151" i="55"/>
  <c r="G152" i="55"/>
  <c r="G153" i="55"/>
  <c r="G154" i="55"/>
  <c r="G155" i="55"/>
  <c r="G156" i="55"/>
  <c r="G157" i="55"/>
  <c r="G158" i="55"/>
  <c r="G159" i="55"/>
  <c r="G160" i="55"/>
  <c r="G161" i="55"/>
  <c r="G162" i="55"/>
  <c r="G163" i="55"/>
  <c r="G164" i="55"/>
  <c r="G165" i="55"/>
  <c r="G166" i="55"/>
  <c r="G167" i="55"/>
  <c r="G168" i="55"/>
  <c r="G169" i="55"/>
  <c r="G170" i="55"/>
  <c r="G171" i="55"/>
  <c r="G172" i="55"/>
  <c r="G173" i="55"/>
  <c r="G174" i="55"/>
  <c r="G175" i="55"/>
  <c r="G176" i="55"/>
  <c r="G177" i="55"/>
  <c r="G178" i="55"/>
  <c r="G179" i="55"/>
  <c r="G180" i="55"/>
  <c r="G181" i="55"/>
  <c r="G182" i="55"/>
  <c r="G183" i="55"/>
  <c r="G184" i="55"/>
  <c r="G185" i="55"/>
  <c r="G186" i="55"/>
  <c r="G187" i="55"/>
  <c r="G188" i="55"/>
  <c r="G189" i="55"/>
  <c r="G190" i="55"/>
  <c r="G191" i="55"/>
  <c r="G192" i="55"/>
  <c r="G193" i="55"/>
  <c r="G194" i="55"/>
  <c r="G195" i="55"/>
  <c r="G196" i="55"/>
  <c r="G197" i="55"/>
  <c r="G198" i="55"/>
  <c r="G199" i="55"/>
  <c r="G200" i="55"/>
  <c r="G201" i="55"/>
  <c r="G202" i="55"/>
  <c r="G203" i="55"/>
  <c r="G204" i="55"/>
  <c r="G205" i="55"/>
  <c r="G206" i="55"/>
  <c r="G207" i="55"/>
  <c r="G208" i="55"/>
  <c r="G209" i="55"/>
  <c r="G210" i="55"/>
  <c r="G211" i="55"/>
  <c r="G212" i="55"/>
  <c r="G213" i="55"/>
  <c r="G214" i="55"/>
  <c r="G215" i="55"/>
  <c r="G216" i="55"/>
  <c r="G217" i="55"/>
  <c r="G218" i="55"/>
  <c r="G219" i="55"/>
  <c r="G220" i="55"/>
  <c r="G221" i="55"/>
  <c r="G222" i="55"/>
  <c r="G223" i="55"/>
  <c r="G224" i="55"/>
  <c r="G225" i="55"/>
  <c r="G226" i="55"/>
  <c r="G227" i="55"/>
  <c r="G228" i="55"/>
  <c r="G229" i="55"/>
  <c r="G230" i="55"/>
  <c r="G231" i="55"/>
  <c r="G232" i="55"/>
  <c r="G233" i="55"/>
  <c r="G234" i="55"/>
  <c r="G235" i="55"/>
  <c r="G236" i="55"/>
  <c r="G237" i="55"/>
  <c r="G238" i="55"/>
  <c r="G239" i="55"/>
  <c r="G240" i="55"/>
  <c r="G241" i="55"/>
  <c r="G242" i="55"/>
  <c r="G243" i="55"/>
  <c r="G244" i="55"/>
  <c r="G245" i="55"/>
  <c r="G246" i="55"/>
  <c r="G247" i="55"/>
  <c r="G248" i="55"/>
  <c r="G249" i="55"/>
  <c r="G250" i="55"/>
  <c r="G251" i="55"/>
  <c r="G252" i="55"/>
  <c r="G253" i="55"/>
  <c r="G254" i="55"/>
  <c r="G255" i="55"/>
  <c r="G256" i="55"/>
  <c r="G257" i="55"/>
  <c r="G10" i="55"/>
  <c r="F10" i="55"/>
  <c r="G11" i="52"/>
  <c r="G12" i="52"/>
  <c r="G13" i="52"/>
  <c r="G14" i="52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G34" i="52"/>
  <c r="G35" i="52"/>
  <c r="G36" i="52"/>
  <c r="G37" i="52"/>
  <c r="G38" i="52"/>
  <c r="G39" i="52"/>
  <c r="G40" i="52"/>
  <c r="G41" i="52"/>
  <c r="G42" i="52"/>
  <c r="G43" i="52"/>
  <c r="G44" i="52"/>
  <c r="G45" i="52"/>
  <c r="G46" i="52"/>
  <c r="G47" i="52"/>
  <c r="G48" i="52"/>
  <c r="G49" i="52"/>
  <c r="G50" i="52"/>
  <c r="G51" i="52"/>
  <c r="G52" i="52"/>
  <c r="G53" i="52"/>
  <c r="G54" i="52"/>
  <c r="G55" i="52"/>
  <c r="G56" i="52"/>
  <c r="G57" i="52"/>
  <c r="G58" i="52"/>
  <c r="G59" i="52"/>
  <c r="G60" i="52"/>
  <c r="G61" i="52"/>
  <c r="G62" i="52"/>
  <c r="G63" i="52"/>
  <c r="G64" i="52"/>
  <c r="G65" i="52"/>
  <c r="G66" i="52"/>
  <c r="G67" i="52"/>
  <c r="G68" i="52"/>
  <c r="G69" i="52"/>
  <c r="G70" i="52"/>
  <c r="G71" i="52"/>
  <c r="G72" i="52"/>
  <c r="G73" i="52"/>
  <c r="G74" i="52"/>
  <c r="G75" i="52"/>
  <c r="G76" i="52"/>
  <c r="G77" i="52"/>
  <c r="G78" i="52"/>
  <c r="G79" i="52"/>
  <c r="G80" i="52"/>
  <c r="G81" i="52"/>
  <c r="G82" i="52"/>
  <c r="G83" i="52"/>
  <c r="G84" i="52"/>
  <c r="G85" i="52"/>
  <c r="G86" i="52"/>
  <c r="G87" i="52"/>
  <c r="G88" i="52"/>
  <c r="G89" i="52"/>
  <c r="G90" i="52"/>
  <c r="G91" i="52"/>
  <c r="G92" i="52"/>
  <c r="G93" i="52"/>
  <c r="G94" i="52"/>
  <c r="G95" i="52"/>
  <c r="G96" i="52"/>
  <c r="G97" i="52"/>
  <c r="G98" i="52"/>
  <c r="G99" i="52"/>
  <c r="G100" i="52"/>
  <c r="G101" i="52"/>
  <c r="G102" i="52"/>
  <c r="G103" i="52"/>
  <c r="G104" i="52"/>
  <c r="G105" i="52"/>
  <c r="G106" i="52"/>
  <c r="G107" i="52"/>
  <c r="G108" i="52"/>
  <c r="G109" i="52"/>
  <c r="G110" i="52"/>
  <c r="G111" i="52"/>
  <c r="G112" i="52"/>
  <c r="G113" i="52"/>
  <c r="G114" i="52"/>
  <c r="G115" i="52"/>
  <c r="G116" i="52"/>
  <c r="G117" i="52"/>
  <c r="G118" i="52"/>
  <c r="G119" i="52"/>
  <c r="G120" i="52"/>
  <c r="G121" i="52"/>
  <c r="G122" i="52"/>
  <c r="G123" i="52"/>
  <c r="G124" i="52"/>
  <c r="G125" i="52"/>
  <c r="G126" i="52"/>
  <c r="G127" i="52"/>
  <c r="G128" i="52"/>
  <c r="G129" i="52"/>
  <c r="G130" i="52"/>
  <c r="G131" i="52"/>
  <c r="G132" i="52"/>
  <c r="G133" i="52"/>
  <c r="G134" i="52"/>
  <c r="G135" i="52"/>
  <c r="G136" i="52"/>
  <c r="G137" i="52"/>
  <c r="G138" i="52"/>
  <c r="G139" i="52"/>
  <c r="G140" i="52"/>
  <c r="G141" i="52"/>
  <c r="G142" i="52"/>
  <c r="G143" i="52"/>
  <c r="G144" i="52"/>
  <c r="G145" i="52"/>
  <c r="G146" i="52"/>
  <c r="G147" i="52"/>
  <c r="G148" i="52"/>
  <c r="G149" i="52"/>
  <c r="G150" i="52"/>
  <c r="G151" i="52"/>
  <c r="G152" i="52"/>
  <c r="G153" i="52"/>
  <c r="G154" i="52"/>
  <c r="G155" i="52"/>
  <c r="G156" i="52"/>
  <c r="G157" i="52"/>
  <c r="G158" i="52"/>
  <c r="G159" i="52"/>
  <c r="G160" i="52"/>
  <c r="G161" i="52"/>
  <c r="G162" i="52"/>
  <c r="G163" i="52"/>
  <c r="G164" i="52"/>
  <c r="G165" i="52"/>
  <c r="G166" i="52"/>
  <c r="G167" i="52"/>
  <c r="G168" i="52"/>
  <c r="G169" i="52"/>
  <c r="G170" i="52"/>
  <c r="G171" i="52"/>
  <c r="G172" i="52"/>
  <c r="G173" i="52"/>
  <c r="G174" i="52"/>
  <c r="G175" i="52"/>
  <c r="G176" i="52"/>
  <c r="G177" i="52"/>
  <c r="G178" i="52"/>
  <c r="G179" i="52"/>
  <c r="G180" i="52"/>
  <c r="G181" i="52"/>
  <c r="G182" i="52"/>
  <c r="G183" i="52"/>
  <c r="G184" i="52"/>
  <c r="G185" i="52"/>
  <c r="G186" i="52"/>
  <c r="G187" i="52"/>
  <c r="G188" i="52"/>
  <c r="G189" i="52"/>
  <c r="G190" i="52"/>
  <c r="G191" i="52"/>
  <c r="G192" i="52"/>
  <c r="G193" i="52"/>
  <c r="G194" i="52"/>
  <c r="G195" i="52"/>
  <c r="G196" i="52"/>
  <c r="G197" i="52"/>
  <c r="G198" i="52"/>
  <c r="G199" i="52"/>
  <c r="G200" i="52"/>
  <c r="G201" i="52"/>
  <c r="G202" i="52"/>
  <c r="G203" i="52"/>
  <c r="G204" i="52"/>
  <c r="G205" i="52"/>
  <c r="G206" i="52"/>
  <c r="G207" i="52"/>
  <c r="G208" i="52"/>
  <c r="G209" i="52"/>
  <c r="G210" i="52"/>
  <c r="G211" i="52"/>
  <c r="G212" i="52"/>
  <c r="G213" i="52"/>
  <c r="G214" i="52"/>
  <c r="G215" i="52"/>
  <c r="G216" i="52"/>
  <c r="G217" i="52"/>
  <c r="G218" i="52"/>
  <c r="G219" i="52"/>
  <c r="G220" i="52"/>
  <c r="G221" i="52"/>
  <c r="G222" i="52"/>
  <c r="G223" i="52"/>
  <c r="G224" i="52"/>
  <c r="G225" i="52"/>
  <c r="G226" i="52"/>
  <c r="G227" i="52"/>
  <c r="G228" i="52"/>
  <c r="G229" i="52"/>
  <c r="G230" i="52"/>
  <c r="G231" i="52"/>
  <c r="G232" i="52"/>
  <c r="G233" i="52"/>
  <c r="G234" i="52"/>
  <c r="G235" i="52"/>
  <c r="G236" i="52"/>
  <c r="G237" i="52"/>
  <c r="G238" i="52"/>
  <c r="G239" i="52"/>
  <c r="G240" i="52"/>
  <c r="G241" i="52"/>
  <c r="G242" i="52"/>
  <c r="G243" i="52"/>
  <c r="G244" i="52"/>
  <c r="G245" i="52"/>
  <c r="G246" i="52"/>
  <c r="G247" i="52"/>
  <c r="G248" i="52"/>
  <c r="G249" i="52"/>
  <c r="G250" i="52"/>
  <c r="G251" i="52"/>
  <c r="G252" i="52"/>
  <c r="G253" i="52"/>
  <c r="G254" i="52"/>
  <c r="G255" i="52"/>
  <c r="G256" i="52"/>
  <c r="G257" i="52"/>
  <c r="G10" i="52"/>
  <c r="F10" i="52"/>
  <c r="AG11" i="67" l="1"/>
  <c r="AG12" i="67"/>
  <c r="AG13" i="67"/>
  <c r="AG14" i="67"/>
  <c r="AG15" i="67"/>
  <c r="AG16" i="67"/>
  <c r="AG17" i="67"/>
  <c r="AG18" i="67"/>
  <c r="AG19" i="67"/>
  <c r="AG20" i="67"/>
  <c r="AG21" i="67"/>
  <c r="AG22" i="67"/>
  <c r="AG23" i="67"/>
  <c r="AG24" i="67"/>
  <c r="AG25" i="67"/>
  <c r="AG26" i="67"/>
  <c r="AG27" i="67"/>
  <c r="AG28" i="67"/>
  <c r="AG29" i="67"/>
  <c r="AG30" i="67"/>
  <c r="AG31" i="67"/>
  <c r="AG32" i="67"/>
  <c r="AG33" i="67"/>
  <c r="AG34" i="67"/>
  <c r="AG35" i="67"/>
  <c r="AG36" i="67"/>
  <c r="AG37" i="67"/>
  <c r="AG38" i="67"/>
  <c r="AG39" i="67"/>
  <c r="AG40" i="67"/>
  <c r="AG41" i="67"/>
  <c r="AG42" i="67"/>
  <c r="AG43" i="67"/>
  <c r="AG44" i="67"/>
  <c r="AG45" i="67"/>
  <c r="AG46" i="67"/>
  <c r="AG47" i="67"/>
  <c r="AG48" i="67"/>
  <c r="AG49" i="67"/>
  <c r="AG50" i="67"/>
  <c r="AG51" i="67"/>
  <c r="AG52" i="67"/>
  <c r="AG53" i="67"/>
  <c r="AG54" i="67"/>
  <c r="AG55" i="67"/>
  <c r="AG56" i="67"/>
  <c r="AG57" i="67"/>
  <c r="AG58" i="67"/>
  <c r="AG59" i="67"/>
  <c r="AG60" i="67"/>
  <c r="AG61" i="67"/>
  <c r="AG62" i="67"/>
  <c r="AG63" i="67"/>
  <c r="AG64" i="67"/>
  <c r="AG65" i="67"/>
  <c r="AG66" i="67"/>
  <c r="AG67" i="67"/>
  <c r="AG68" i="67"/>
  <c r="AG69" i="67"/>
  <c r="AG70" i="67"/>
  <c r="AG71" i="67"/>
  <c r="AG72" i="67"/>
  <c r="AG73" i="67"/>
  <c r="AG74" i="67"/>
  <c r="AG75" i="67"/>
  <c r="AG76" i="67"/>
  <c r="AG77" i="67"/>
  <c r="AG78" i="67"/>
  <c r="AG79" i="67"/>
  <c r="AG80" i="67"/>
  <c r="AG81" i="67"/>
  <c r="AG82" i="67"/>
  <c r="AG83" i="67"/>
  <c r="AG84" i="67"/>
  <c r="AG85" i="67"/>
  <c r="AG86" i="67"/>
  <c r="AG87" i="67"/>
  <c r="AG88" i="67"/>
  <c r="AG89" i="67"/>
  <c r="AG90" i="67"/>
  <c r="AG91" i="67"/>
  <c r="AG92" i="67"/>
  <c r="AG93" i="67"/>
  <c r="AG94" i="67"/>
  <c r="AG95" i="67"/>
  <c r="AG96" i="67"/>
  <c r="AG97" i="67"/>
  <c r="AG98" i="67"/>
  <c r="AG99" i="67"/>
  <c r="AG100" i="67"/>
  <c r="AG101" i="67"/>
  <c r="AG102" i="67"/>
  <c r="AG103" i="67"/>
  <c r="AG104" i="67"/>
  <c r="AG105" i="67"/>
  <c r="AG106" i="67"/>
  <c r="AG107" i="67"/>
  <c r="AG108" i="67"/>
  <c r="AG109" i="67"/>
  <c r="AG110" i="67"/>
  <c r="AG111" i="67"/>
  <c r="AG112" i="67"/>
  <c r="AG113" i="67"/>
  <c r="AG114" i="67"/>
  <c r="AG115" i="67"/>
  <c r="AG116" i="67"/>
  <c r="AG117" i="67"/>
  <c r="AG118" i="67"/>
  <c r="AG119" i="67"/>
  <c r="AG120" i="67"/>
  <c r="AG121" i="67"/>
  <c r="AG122" i="67"/>
  <c r="AG123" i="67"/>
  <c r="AG124" i="67"/>
  <c r="AG125" i="67"/>
  <c r="AG126" i="67"/>
  <c r="AG127" i="67"/>
  <c r="AG128" i="67"/>
  <c r="AG129" i="67"/>
  <c r="AG130" i="67"/>
  <c r="AG131" i="67"/>
  <c r="AG132" i="67"/>
  <c r="AG133" i="67"/>
  <c r="AG134" i="67"/>
  <c r="AG135" i="67"/>
  <c r="AG136" i="67"/>
  <c r="AG137" i="67"/>
  <c r="AG138" i="67"/>
  <c r="AG139" i="67"/>
  <c r="AG140" i="67"/>
  <c r="AG141" i="67"/>
  <c r="AG142" i="67"/>
  <c r="AG143" i="67"/>
  <c r="AG144" i="67"/>
  <c r="AG145" i="67"/>
  <c r="AG146" i="67"/>
  <c r="AG147" i="67"/>
  <c r="AG148" i="67"/>
  <c r="AG149" i="67"/>
  <c r="AG150" i="67"/>
  <c r="AG151" i="67"/>
  <c r="AG152" i="67"/>
  <c r="AG153" i="67"/>
  <c r="AG154" i="67"/>
  <c r="AG155" i="67"/>
  <c r="AG156" i="67"/>
  <c r="AG157" i="67"/>
  <c r="AG158" i="67"/>
  <c r="AG159" i="67"/>
  <c r="AG160" i="67"/>
  <c r="AG161" i="67"/>
  <c r="AG162" i="67"/>
  <c r="AG163" i="67"/>
  <c r="AG164" i="67"/>
  <c r="AG165" i="67"/>
  <c r="AG166" i="67"/>
  <c r="AG167" i="67"/>
  <c r="AG168" i="67"/>
  <c r="AG169" i="67"/>
  <c r="AG170" i="67"/>
  <c r="AG171" i="67"/>
  <c r="AG172" i="67"/>
  <c r="AG173" i="67"/>
  <c r="AG174" i="67"/>
  <c r="AG175" i="67"/>
  <c r="AG176" i="67"/>
  <c r="AG177" i="67"/>
  <c r="AG178" i="67"/>
  <c r="AG179" i="67"/>
  <c r="AG180" i="67"/>
  <c r="AG181" i="67"/>
  <c r="AG182" i="67"/>
  <c r="AG183" i="67"/>
  <c r="AG184" i="67"/>
  <c r="AG185" i="67"/>
  <c r="AG186" i="67"/>
  <c r="AG187" i="67"/>
  <c r="AG188" i="67"/>
  <c r="AG189" i="67"/>
  <c r="AG190" i="67"/>
  <c r="AG191" i="67"/>
  <c r="AG192" i="67"/>
  <c r="AG193" i="67"/>
  <c r="AG194" i="67"/>
  <c r="AG195" i="67"/>
  <c r="AG196" i="67"/>
  <c r="AG197" i="67"/>
  <c r="AG198" i="67"/>
  <c r="AG199" i="67"/>
  <c r="AG200" i="67"/>
  <c r="AG201" i="67"/>
  <c r="AG202" i="67"/>
  <c r="AG203" i="67"/>
  <c r="AG204" i="67"/>
  <c r="AG205" i="67"/>
  <c r="AG206" i="67"/>
  <c r="AG207" i="67"/>
  <c r="AG208" i="67"/>
  <c r="AG209" i="67"/>
  <c r="AG210" i="67"/>
  <c r="AG211" i="67"/>
  <c r="AG212" i="67"/>
  <c r="AG213" i="67"/>
  <c r="AG214" i="67"/>
  <c r="AG215" i="67"/>
  <c r="AG216" i="67"/>
  <c r="AG217" i="67"/>
  <c r="AG218" i="67"/>
  <c r="AG219" i="67"/>
  <c r="AG220" i="67"/>
  <c r="AG221" i="67"/>
  <c r="AG222" i="67"/>
  <c r="AG223" i="67"/>
  <c r="AG224" i="67"/>
  <c r="AG225" i="67"/>
  <c r="AG226" i="67"/>
  <c r="AG227" i="67"/>
  <c r="AG228" i="67"/>
  <c r="AG229" i="67"/>
  <c r="AG230" i="67"/>
  <c r="AG231" i="67"/>
  <c r="AG232" i="67"/>
  <c r="AG233" i="67"/>
  <c r="AG234" i="67"/>
  <c r="AG235" i="67"/>
  <c r="AG236" i="67"/>
  <c r="AG237" i="67"/>
  <c r="AG238" i="67"/>
  <c r="AG239" i="67"/>
  <c r="AG240" i="67"/>
  <c r="AG241" i="67"/>
  <c r="AG242" i="67"/>
  <c r="AG243" i="67"/>
  <c r="AG244" i="67"/>
  <c r="AG245" i="67"/>
  <c r="AG246" i="67"/>
  <c r="AG247" i="67"/>
  <c r="AG248" i="67"/>
  <c r="AG249" i="67"/>
  <c r="AG250" i="67"/>
  <c r="AG251" i="67"/>
  <c r="AG252" i="67"/>
  <c r="AG253" i="67"/>
  <c r="AG254" i="67"/>
  <c r="AG255" i="67"/>
  <c r="AG256" i="67"/>
  <c r="AG257" i="67"/>
  <c r="AG10" i="67"/>
  <c r="AG10" i="63"/>
  <c r="T4" i="67" l="1"/>
  <c r="AG11" i="63"/>
  <c r="AG12" i="63"/>
  <c r="AG13" i="63"/>
  <c r="AG14" i="63"/>
  <c r="AG15" i="63"/>
  <c r="AG16" i="63"/>
  <c r="AG17" i="63"/>
  <c r="AG18" i="63"/>
  <c r="AG19" i="63"/>
  <c r="AG20" i="63"/>
  <c r="AG21" i="63"/>
  <c r="AG22" i="63"/>
  <c r="AG23" i="63"/>
  <c r="AG24" i="63"/>
  <c r="AG25" i="63"/>
  <c r="AG26" i="63"/>
  <c r="AG27" i="63"/>
  <c r="AG28" i="63"/>
  <c r="AG29" i="63"/>
  <c r="AG30" i="63"/>
  <c r="AG31" i="63"/>
  <c r="AG32" i="63"/>
  <c r="AG33" i="63"/>
  <c r="AG34" i="63"/>
  <c r="AG35" i="63"/>
  <c r="AG36" i="63"/>
  <c r="AG37" i="63"/>
  <c r="AG38" i="63"/>
  <c r="AG39" i="63"/>
  <c r="AG40" i="63"/>
  <c r="AG41" i="63"/>
  <c r="AG42" i="63"/>
  <c r="AG43" i="63"/>
  <c r="AG44" i="63"/>
  <c r="AG45" i="63"/>
  <c r="AG46" i="63"/>
  <c r="AG47" i="63"/>
  <c r="AG48" i="63"/>
  <c r="AG49" i="63"/>
  <c r="AG50" i="63"/>
  <c r="AG51" i="63"/>
  <c r="AG52" i="63"/>
  <c r="AG53" i="63"/>
  <c r="AG54" i="63"/>
  <c r="AG55" i="63"/>
  <c r="AG56" i="63"/>
  <c r="AG57" i="63"/>
  <c r="AG58" i="63"/>
  <c r="AG59" i="63"/>
  <c r="AG60" i="63"/>
  <c r="AG61" i="63"/>
  <c r="AG62" i="63"/>
  <c r="AG63" i="63"/>
  <c r="AG64" i="63"/>
  <c r="AG65" i="63"/>
  <c r="AG66" i="63"/>
  <c r="AG67" i="63"/>
  <c r="AG68" i="63"/>
  <c r="AG69" i="63"/>
  <c r="AG70" i="63"/>
  <c r="AG71" i="63"/>
  <c r="AG72" i="63"/>
  <c r="AG73" i="63"/>
  <c r="AG74" i="63"/>
  <c r="AG75" i="63"/>
  <c r="AG76" i="63"/>
  <c r="AG77" i="63"/>
  <c r="AG78" i="63"/>
  <c r="AG79" i="63"/>
  <c r="AG80" i="63"/>
  <c r="AG81" i="63"/>
  <c r="AG82" i="63"/>
  <c r="AG83" i="63"/>
  <c r="AG84" i="63"/>
  <c r="AG85" i="63"/>
  <c r="AG86" i="63"/>
  <c r="AG87" i="63"/>
  <c r="AG88" i="63"/>
  <c r="AG89" i="63"/>
  <c r="AG90" i="63"/>
  <c r="AG91" i="63"/>
  <c r="AG92" i="63"/>
  <c r="AG93" i="63"/>
  <c r="AG94" i="63"/>
  <c r="AG95" i="63"/>
  <c r="AG96" i="63"/>
  <c r="AG97" i="63"/>
  <c r="AG98" i="63"/>
  <c r="AG99" i="63"/>
  <c r="AG100" i="63"/>
  <c r="AG101" i="63"/>
  <c r="AG102" i="63"/>
  <c r="AG103" i="63"/>
  <c r="AG104" i="63"/>
  <c r="AG105" i="63"/>
  <c r="AG106" i="63"/>
  <c r="AG107" i="63"/>
  <c r="AG108" i="63"/>
  <c r="AG109" i="63"/>
  <c r="AG110" i="63"/>
  <c r="AG111" i="63"/>
  <c r="AG112" i="63"/>
  <c r="AG113" i="63"/>
  <c r="AG114" i="63"/>
  <c r="AG115" i="63"/>
  <c r="AG116" i="63"/>
  <c r="AG117" i="63"/>
  <c r="AG118" i="63"/>
  <c r="AG119" i="63"/>
  <c r="AG120" i="63"/>
  <c r="AG121" i="63"/>
  <c r="AG122" i="63"/>
  <c r="AG123" i="63"/>
  <c r="AG124" i="63"/>
  <c r="AG125" i="63"/>
  <c r="AG126" i="63"/>
  <c r="AG127" i="63"/>
  <c r="AG128" i="63"/>
  <c r="AG129" i="63"/>
  <c r="AG130" i="63"/>
  <c r="AG131" i="63"/>
  <c r="AG132" i="63"/>
  <c r="AG133" i="63"/>
  <c r="AG134" i="63"/>
  <c r="AG135" i="63"/>
  <c r="AG136" i="63"/>
  <c r="AG137" i="63"/>
  <c r="AG138" i="63"/>
  <c r="AG139" i="63"/>
  <c r="AG140" i="63"/>
  <c r="AG141" i="63"/>
  <c r="AG142" i="63"/>
  <c r="AG143" i="63"/>
  <c r="AG144" i="63"/>
  <c r="AG145" i="63"/>
  <c r="AG146" i="63"/>
  <c r="AG147" i="63"/>
  <c r="AG148" i="63"/>
  <c r="AG149" i="63"/>
  <c r="AG150" i="63"/>
  <c r="AG151" i="63"/>
  <c r="AG152" i="63"/>
  <c r="AG153" i="63"/>
  <c r="AG154" i="63"/>
  <c r="AG155" i="63"/>
  <c r="AG156" i="63"/>
  <c r="AG157" i="63"/>
  <c r="AG158" i="63"/>
  <c r="AG159" i="63"/>
  <c r="AG160" i="63"/>
  <c r="AG161" i="63"/>
  <c r="AG162" i="63"/>
  <c r="AG163" i="63"/>
  <c r="AG164" i="63"/>
  <c r="AG165" i="63"/>
  <c r="AG166" i="63"/>
  <c r="AG167" i="63"/>
  <c r="AG168" i="63"/>
  <c r="AG169" i="63"/>
  <c r="AG170" i="63"/>
  <c r="AG171" i="63"/>
  <c r="AG172" i="63"/>
  <c r="AG173" i="63"/>
  <c r="AG174" i="63"/>
  <c r="AG175" i="63"/>
  <c r="AG176" i="63"/>
  <c r="AG177" i="63"/>
  <c r="AG178" i="63"/>
  <c r="AG179" i="63"/>
  <c r="AG180" i="63"/>
  <c r="AG181" i="63"/>
  <c r="AG182" i="63"/>
  <c r="AG183" i="63"/>
  <c r="AG184" i="63"/>
  <c r="AG185" i="63"/>
  <c r="AG186" i="63"/>
  <c r="AG187" i="63"/>
  <c r="AG188" i="63"/>
  <c r="AG189" i="63"/>
  <c r="AG190" i="63"/>
  <c r="AG191" i="63"/>
  <c r="AG192" i="63"/>
  <c r="AG193" i="63"/>
  <c r="AG194" i="63"/>
  <c r="AG195" i="63"/>
  <c r="AG196" i="63"/>
  <c r="AG197" i="63"/>
  <c r="AG198" i="63"/>
  <c r="AG199" i="63"/>
  <c r="AG200" i="63"/>
  <c r="AG201" i="63"/>
  <c r="AG202" i="63"/>
  <c r="AG203" i="63"/>
  <c r="AG204" i="63"/>
  <c r="AG205" i="63"/>
  <c r="AG206" i="63"/>
  <c r="AG207" i="63"/>
  <c r="AG208" i="63"/>
  <c r="AG209" i="63"/>
  <c r="AG210" i="63"/>
  <c r="AG211" i="63"/>
  <c r="AG212" i="63"/>
  <c r="AG213" i="63"/>
  <c r="AG214" i="63"/>
  <c r="AG215" i="63"/>
  <c r="AG216" i="63"/>
  <c r="AG217" i="63"/>
  <c r="AG218" i="63"/>
  <c r="AG219" i="63"/>
  <c r="AG220" i="63"/>
  <c r="AG221" i="63"/>
  <c r="AG222" i="63"/>
  <c r="AG223" i="63"/>
  <c r="AG224" i="63"/>
  <c r="AG225" i="63"/>
  <c r="AG226" i="63"/>
  <c r="AG227" i="63"/>
  <c r="AG228" i="63"/>
  <c r="AG229" i="63"/>
  <c r="AG230" i="63"/>
  <c r="AG231" i="63"/>
  <c r="AG232" i="63"/>
  <c r="AG233" i="63"/>
  <c r="AG234" i="63"/>
  <c r="AG235" i="63"/>
  <c r="AG236" i="63"/>
  <c r="AG237" i="63"/>
  <c r="AG238" i="63"/>
  <c r="AG239" i="63"/>
  <c r="AG240" i="63"/>
  <c r="AG241" i="63"/>
  <c r="AG242" i="63"/>
  <c r="AG243" i="63"/>
  <c r="AG244" i="63"/>
  <c r="AG245" i="63"/>
  <c r="AG246" i="63"/>
  <c r="AG247" i="63"/>
  <c r="AG248" i="63"/>
  <c r="AG249" i="63"/>
  <c r="AG250" i="63"/>
  <c r="AG251" i="63"/>
  <c r="AG252" i="63"/>
  <c r="AG253" i="63"/>
  <c r="AG254" i="63"/>
  <c r="AG255" i="63"/>
  <c r="AG256" i="63"/>
  <c r="AG257" i="63"/>
  <c r="T10" i="52"/>
  <c r="T11" i="52"/>
  <c r="T12" i="52"/>
  <c r="T13" i="52"/>
  <c r="T14" i="52"/>
  <c r="T15" i="52"/>
  <c r="T16" i="52"/>
  <c r="T17" i="52"/>
  <c r="T18" i="52"/>
  <c r="T19" i="52"/>
  <c r="T20" i="52"/>
  <c r="T21" i="52"/>
  <c r="T22" i="52"/>
  <c r="T23" i="52"/>
  <c r="T24" i="52"/>
  <c r="T25" i="52"/>
  <c r="T26" i="52"/>
  <c r="T27" i="52"/>
  <c r="T28" i="52"/>
  <c r="T29" i="52"/>
  <c r="T30" i="52"/>
  <c r="T31" i="52"/>
  <c r="T32" i="52"/>
  <c r="T33" i="52"/>
  <c r="T34" i="52"/>
  <c r="T35" i="52"/>
  <c r="T36" i="52"/>
  <c r="T37" i="52"/>
  <c r="T38" i="52"/>
  <c r="T39" i="52"/>
  <c r="T40" i="52"/>
  <c r="T41" i="52"/>
  <c r="T42" i="52"/>
  <c r="T43" i="52"/>
  <c r="T44" i="52"/>
  <c r="T45" i="52"/>
  <c r="T46" i="52"/>
  <c r="T47" i="52"/>
  <c r="T48" i="52"/>
  <c r="T49" i="52"/>
  <c r="T50" i="52"/>
  <c r="T51" i="52"/>
  <c r="T52" i="52"/>
  <c r="T53" i="52"/>
  <c r="T54" i="52"/>
  <c r="T55" i="52"/>
  <c r="T56" i="52"/>
  <c r="T57" i="52"/>
  <c r="T58" i="52"/>
  <c r="T59" i="52"/>
  <c r="T60" i="52"/>
  <c r="T61" i="52"/>
  <c r="T62" i="52"/>
  <c r="T63" i="52"/>
  <c r="T64" i="52"/>
  <c r="T65" i="52"/>
  <c r="T66" i="52"/>
  <c r="T67" i="52"/>
  <c r="T68" i="52"/>
  <c r="T69" i="52"/>
  <c r="T70" i="52"/>
  <c r="T71" i="52"/>
  <c r="T72" i="52"/>
  <c r="T73" i="52"/>
  <c r="T74" i="52"/>
  <c r="T75" i="52"/>
  <c r="T76" i="52"/>
  <c r="T77" i="52"/>
  <c r="T78" i="52"/>
  <c r="T79" i="52"/>
  <c r="T80" i="52"/>
  <c r="T81" i="52"/>
  <c r="T82" i="52"/>
  <c r="T83" i="52"/>
  <c r="T84" i="52"/>
  <c r="T85" i="52"/>
  <c r="T86" i="52"/>
  <c r="T87" i="52"/>
  <c r="T88" i="52"/>
  <c r="T89" i="52"/>
  <c r="T90" i="52"/>
  <c r="T91" i="52"/>
  <c r="T92" i="52"/>
  <c r="T93" i="52"/>
  <c r="T94" i="52"/>
  <c r="T95" i="52"/>
  <c r="T96" i="52"/>
  <c r="T97" i="52"/>
  <c r="T98" i="52"/>
  <c r="T99" i="52"/>
  <c r="T100" i="52"/>
  <c r="T101" i="52"/>
  <c r="T102" i="52"/>
  <c r="T103" i="52"/>
  <c r="T104" i="52"/>
  <c r="T105" i="52"/>
  <c r="T106" i="52"/>
  <c r="T107" i="52"/>
  <c r="T108" i="52"/>
  <c r="T109" i="52"/>
  <c r="T110" i="52"/>
  <c r="T111" i="52"/>
  <c r="T112" i="52"/>
  <c r="T113" i="52"/>
  <c r="T114" i="52"/>
  <c r="T115" i="52"/>
  <c r="T116" i="52"/>
  <c r="T117" i="52"/>
  <c r="T118" i="52"/>
  <c r="T119" i="52"/>
  <c r="T120" i="52"/>
  <c r="T121" i="52"/>
  <c r="T122" i="52"/>
  <c r="T123" i="52"/>
  <c r="T124" i="52"/>
  <c r="T125" i="52"/>
  <c r="T126" i="52"/>
  <c r="T127" i="52"/>
  <c r="T128" i="52"/>
  <c r="T129" i="52"/>
  <c r="T130" i="52"/>
  <c r="T131" i="52"/>
  <c r="T132" i="52"/>
  <c r="T133" i="52"/>
  <c r="T134" i="52"/>
  <c r="T135" i="52"/>
  <c r="T136" i="52"/>
  <c r="T137" i="52"/>
  <c r="T138" i="52"/>
  <c r="T139" i="52"/>
  <c r="T140" i="52"/>
  <c r="T141" i="52"/>
  <c r="T142" i="52"/>
  <c r="T143" i="52"/>
  <c r="T144" i="52"/>
  <c r="T145" i="52"/>
  <c r="T146" i="52"/>
  <c r="T147" i="52"/>
  <c r="T148" i="52"/>
  <c r="T149" i="52"/>
  <c r="T150" i="52"/>
  <c r="T151" i="52"/>
  <c r="T152" i="52"/>
  <c r="T153" i="52"/>
  <c r="T154" i="52"/>
  <c r="T155" i="52"/>
  <c r="T156" i="52"/>
  <c r="T157" i="52"/>
  <c r="T158" i="52"/>
  <c r="T159" i="52"/>
  <c r="T160" i="52"/>
  <c r="T161" i="52"/>
  <c r="T162" i="52"/>
  <c r="T163" i="52"/>
  <c r="T164" i="52"/>
  <c r="T165" i="52"/>
  <c r="T166" i="52"/>
  <c r="T167" i="52"/>
  <c r="T168" i="52"/>
  <c r="T169" i="52"/>
  <c r="T170" i="52"/>
  <c r="T171" i="52"/>
  <c r="T172" i="52"/>
  <c r="T173" i="52"/>
  <c r="T174" i="52"/>
  <c r="T175" i="52"/>
  <c r="T176" i="52"/>
  <c r="T177" i="52"/>
  <c r="T178" i="52"/>
  <c r="T179" i="52"/>
  <c r="T180" i="52"/>
  <c r="T181" i="52"/>
  <c r="T182" i="52"/>
  <c r="T183" i="52"/>
  <c r="T184" i="52"/>
  <c r="T185" i="52"/>
  <c r="T186" i="52"/>
  <c r="T187" i="52"/>
  <c r="T188" i="52"/>
  <c r="T189" i="52"/>
  <c r="T190" i="52"/>
  <c r="T191" i="52"/>
  <c r="T192" i="52"/>
  <c r="T193" i="52"/>
  <c r="T194" i="52"/>
  <c r="T195" i="52"/>
  <c r="T196" i="52"/>
  <c r="T197" i="52"/>
  <c r="T198" i="52"/>
  <c r="T199" i="52"/>
  <c r="T200" i="52"/>
  <c r="T201" i="52"/>
  <c r="T202" i="52"/>
  <c r="T203" i="52"/>
  <c r="T204" i="52"/>
  <c r="T205" i="52"/>
  <c r="T206" i="52"/>
  <c r="T207" i="52"/>
  <c r="T208" i="52"/>
  <c r="T209" i="52"/>
  <c r="T210" i="52"/>
  <c r="T211" i="52"/>
  <c r="T212" i="52"/>
  <c r="T213" i="52"/>
  <c r="T214" i="52"/>
  <c r="T215" i="52"/>
  <c r="T216" i="52"/>
  <c r="T217" i="52"/>
  <c r="T218" i="52"/>
  <c r="T219" i="52"/>
  <c r="T220" i="52"/>
  <c r="T221" i="52"/>
  <c r="T222" i="52"/>
  <c r="T223" i="52"/>
  <c r="T224" i="52"/>
  <c r="T225" i="52"/>
  <c r="T226" i="52"/>
  <c r="T227" i="52"/>
  <c r="T228" i="52"/>
  <c r="T229" i="52"/>
  <c r="T230" i="52"/>
  <c r="T231" i="52"/>
  <c r="T232" i="52"/>
  <c r="T233" i="52"/>
  <c r="T234" i="52"/>
  <c r="T235" i="52"/>
  <c r="T236" i="52"/>
  <c r="T237" i="52"/>
  <c r="T238" i="52"/>
  <c r="T239" i="52"/>
  <c r="T240" i="52"/>
  <c r="T241" i="52"/>
  <c r="T242" i="52"/>
  <c r="T243" i="52"/>
  <c r="T244" i="52"/>
  <c r="T245" i="52"/>
  <c r="T246" i="52"/>
  <c r="T247" i="52"/>
  <c r="T248" i="52"/>
  <c r="T249" i="52"/>
  <c r="T250" i="52"/>
  <c r="T251" i="52"/>
  <c r="T252" i="52"/>
  <c r="T253" i="52"/>
  <c r="T254" i="52"/>
  <c r="T255" i="52"/>
  <c r="T256" i="52"/>
  <c r="T257" i="52"/>
  <c r="T5" i="63" l="1"/>
  <c r="A13" i="11"/>
  <c r="A12" i="11"/>
  <c r="A11" i="11"/>
  <c r="G11" i="11" l="1"/>
  <c r="W11" i="67" l="1"/>
  <c r="X11" i="67"/>
  <c r="Y11" i="67"/>
  <c r="W12" i="67"/>
  <c r="X12" i="67"/>
  <c r="Y12" i="67"/>
  <c r="W13" i="67"/>
  <c r="X13" i="67"/>
  <c r="Y13" i="67"/>
  <c r="W14" i="67"/>
  <c r="X14" i="67"/>
  <c r="Y14" i="67"/>
  <c r="W15" i="67"/>
  <c r="X15" i="67"/>
  <c r="Y15" i="67"/>
  <c r="W16" i="67"/>
  <c r="X16" i="67"/>
  <c r="Y16" i="67"/>
  <c r="W17" i="67"/>
  <c r="X17" i="67"/>
  <c r="Y17" i="67"/>
  <c r="W18" i="67"/>
  <c r="X18" i="67"/>
  <c r="Y18" i="67"/>
  <c r="W19" i="67"/>
  <c r="X19" i="67"/>
  <c r="Y19" i="67"/>
  <c r="W20" i="67"/>
  <c r="X20" i="67"/>
  <c r="Y20" i="67"/>
  <c r="W21" i="67"/>
  <c r="X21" i="67"/>
  <c r="Y21" i="67"/>
  <c r="W22" i="67"/>
  <c r="X22" i="67"/>
  <c r="Y22" i="67"/>
  <c r="W23" i="67"/>
  <c r="X23" i="67"/>
  <c r="Y23" i="67"/>
  <c r="W24" i="67"/>
  <c r="X24" i="67"/>
  <c r="Y24" i="67"/>
  <c r="W25" i="67"/>
  <c r="X25" i="67"/>
  <c r="Y25" i="67"/>
  <c r="W26" i="67"/>
  <c r="X26" i="67"/>
  <c r="Y26" i="67"/>
  <c r="W27" i="67"/>
  <c r="X27" i="67"/>
  <c r="Y27" i="67"/>
  <c r="W28" i="67"/>
  <c r="X28" i="67"/>
  <c r="Y28" i="67"/>
  <c r="W29" i="67"/>
  <c r="X29" i="67"/>
  <c r="Y29" i="67"/>
  <c r="W30" i="67"/>
  <c r="X30" i="67"/>
  <c r="Y30" i="67"/>
  <c r="W31" i="67"/>
  <c r="X31" i="67"/>
  <c r="Y31" i="67"/>
  <c r="W32" i="67"/>
  <c r="X32" i="67"/>
  <c r="Y32" i="67"/>
  <c r="W33" i="67"/>
  <c r="X33" i="67"/>
  <c r="Y33" i="67"/>
  <c r="W34" i="67"/>
  <c r="X34" i="67"/>
  <c r="Y34" i="67"/>
  <c r="W35" i="67"/>
  <c r="X35" i="67"/>
  <c r="Y35" i="67"/>
  <c r="W36" i="67"/>
  <c r="X36" i="67"/>
  <c r="Y36" i="67"/>
  <c r="W37" i="67"/>
  <c r="X37" i="67"/>
  <c r="Y37" i="67"/>
  <c r="W38" i="67"/>
  <c r="X38" i="67"/>
  <c r="Y38" i="67"/>
  <c r="W39" i="67"/>
  <c r="X39" i="67"/>
  <c r="Y39" i="67"/>
  <c r="W40" i="67"/>
  <c r="X40" i="67"/>
  <c r="Y40" i="67"/>
  <c r="W41" i="67"/>
  <c r="X41" i="67"/>
  <c r="Y41" i="67"/>
  <c r="W42" i="67"/>
  <c r="X42" i="67"/>
  <c r="Y42" i="67"/>
  <c r="W43" i="67"/>
  <c r="X43" i="67"/>
  <c r="Y43" i="67"/>
  <c r="W44" i="67"/>
  <c r="X44" i="67"/>
  <c r="Y44" i="67"/>
  <c r="W45" i="67"/>
  <c r="X45" i="67"/>
  <c r="Y45" i="67"/>
  <c r="W46" i="67"/>
  <c r="X46" i="67"/>
  <c r="Y46" i="67"/>
  <c r="W47" i="67"/>
  <c r="X47" i="67"/>
  <c r="Y47" i="67"/>
  <c r="W48" i="67"/>
  <c r="X48" i="67"/>
  <c r="Y48" i="67"/>
  <c r="W49" i="67"/>
  <c r="X49" i="67"/>
  <c r="Y49" i="67"/>
  <c r="W50" i="67"/>
  <c r="X50" i="67"/>
  <c r="Y50" i="67"/>
  <c r="W51" i="67"/>
  <c r="X51" i="67"/>
  <c r="Y51" i="67"/>
  <c r="W52" i="67"/>
  <c r="X52" i="67"/>
  <c r="Y52" i="67"/>
  <c r="W53" i="67"/>
  <c r="X53" i="67"/>
  <c r="Y53" i="67"/>
  <c r="W54" i="67"/>
  <c r="X54" i="67"/>
  <c r="Y54" i="67"/>
  <c r="W55" i="67"/>
  <c r="X55" i="67"/>
  <c r="Y55" i="67"/>
  <c r="W56" i="67"/>
  <c r="X56" i="67"/>
  <c r="Y56" i="67"/>
  <c r="W57" i="67"/>
  <c r="X57" i="67"/>
  <c r="Y57" i="67"/>
  <c r="W58" i="67"/>
  <c r="X58" i="67"/>
  <c r="Y58" i="67"/>
  <c r="W59" i="67"/>
  <c r="X59" i="67"/>
  <c r="Y59" i="67"/>
  <c r="W60" i="67"/>
  <c r="X60" i="67"/>
  <c r="Y60" i="67"/>
  <c r="W61" i="67"/>
  <c r="X61" i="67"/>
  <c r="Y61" i="67"/>
  <c r="W62" i="67"/>
  <c r="X62" i="67"/>
  <c r="Y62" i="67"/>
  <c r="W63" i="67"/>
  <c r="X63" i="67"/>
  <c r="Y63" i="67"/>
  <c r="W64" i="67"/>
  <c r="X64" i="67"/>
  <c r="Y64" i="67"/>
  <c r="W65" i="67"/>
  <c r="X65" i="67"/>
  <c r="Y65" i="67"/>
  <c r="W66" i="67"/>
  <c r="X66" i="67"/>
  <c r="Y66" i="67"/>
  <c r="W67" i="67"/>
  <c r="X67" i="67"/>
  <c r="Y67" i="67"/>
  <c r="W68" i="67"/>
  <c r="X68" i="67"/>
  <c r="Y68" i="67"/>
  <c r="W69" i="67"/>
  <c r="X69" i="67"/>
  <c r="Y69" i="67"/>
  <c r="W70" i="67"/>
  <c r="X70" i="67"/>
  <c r="Y70" i="67"/>
  <c r="W71" i="67"/>
  <c r="X71" i="67"/>
  <c r="Y71" i="67"/>
  <c r="W72" i="67"/>
  <c r="X72" i="67"/>
  <c r="Y72" i="67"/>
  <c r="W73" i="67"/>
  <c r="X73" i="67"/>
  <c r="Y73" i="67"/>
  <c r="W74" i="67"/>
  <c r="X74" i="67"/>
  <c r="Y74" i="67"/>
  <c r="W75" i="67"/>
  <c r="X75" i="67"/>
  <c r="Y75" i="67"/>
  <c r="W76" i="67"/>
  <c r="X76" i="67"/>
  <c r="Y76" i="67"/>
  <c r="W77" i="67"/>
  <c r="X77" i="67"/>
  <c r="Y77" i="67"/>
  <c r="W78" i="67"/>
  <c r="X78" i="67"/>
  <c r="Y78" i="67"/>
  <c r="W79" i="67"/>
  <c r="X79" i="67"/>
  <c r="Y79" i="67"/>
  <c r="W80" i="67"/>
  <c r="X80" i="67"/>
  <c r="Y80" i="67"/>
  <c r="W81" i="67"/>
  <c r="X81" i="67"/>
  <c r="Y81" i="67"/>
  <c r="W82" i="67"/>
  <c r="X82" i="67"/>
  <c r="Y82" i="67"/>
  <c r="W83" i="67"/>
  <c r="X83" i="67"/>
  <c r="Y83" i="67"/>
  <c r="W84" i="67"/>
  <c r="X84" i="67"/>
  <c r="Y84" i="67"/>
  <c r="W85" i="67"/>
  <c r="X85" i="67"/>
  <c r="Y85" i="67"/>
  <c r="W86" i="67"/>
  <c r="X86" i="67"/>
  <c r="Y86" i="67"/>
  <c r="W87" i="67"/>
  <c r="X87" i="67"/>
  <c r="Y87" i="67"/>
  <c r="W88" i="67"/>
  <c r="X88" i="67"/>
  <c r="Y88" i="67"/>
  <c r="W89" i="67"/>
  <c r="X89" i="67"/>
  <c r="Y89" i="67"/>
  <c r="W90" i="67"/>
  <c r="X90" i="67"/>
  <c r="Y90" i="67"/>
  <c r="W91" i="67"/>
  <c r="X91" i="67"/>
  <c r="Y91" i="67"/>
  <c r="W92" i="67"/>
  <c r="X92" i="67"/>
  <c r="Y92" i="67"/>
  <c r="W93" i="67"/>
  <c r="X93" i="67"/>
  <c r="Y93" i="67"/>
  <c r="W94" i="67"/>
  <c r="X94" i="67"/>
  <c r="Y94" i="67"/>
  <c r="W95" i="67"/>
  <c r="X95" i="67"/>
  <c r="Y95" i="67"/>
  <c r="W96" i="67"/>
  <c r="X96" i="67"/>
  <c r="Y96" i="67"/>
  <c r="W97" i="67"/>
  <c r="X97" i="67"/>
  <c r="Y97" i="67"/>
  <c r="W98" i="67"/>
  <c r="X98" i="67"/>
  <c r="Y98" i="67"/>
  <c r="W99" i="67"/>
  <c r="X99" i="67"/>
  <c r="Y99" i="67"/>
  <c r="W100" i="67"/>
  <c r="X100" i="67"/>
  <c r="Y100" i="67"/>
  <c r="W101" i="67"/>
  <c r="X101" i="67"/>
  <c r="Y101" i="67"/>
  <c r="W102" i="67"/>
  <c r="X102" i="67"/>
  <c r="Y102" i="67"/>
  <c r="W103" i="67"/>
  <c r="X103" i="67"/>
  <c r="Y103" i="67"/>
  <c r="W104" i="67"/>
  <c r="X104" i="67"/>
  <c r="Y104" i="67"/>
  <c r="W105" i="67"/>
  <c r="X105" i="67"/>
  <c r="Y105" i="67"/>
  <c r="W106" i="67"/>
  <c r="X106" i="67"/>
  <c r="Y106" i="67"/>
  <c r="W107" i="67"/>
  <c r="X107" i="67"/>
  <c r="Y107" i="67"/>
  <c r="W108" i="67"/>
  <c r="X108" i="67"/>
  <c r="Y108" i="67"/>
  <c r="W109" i="67"/>
  <c r="X109" i="67"/>
  <c r="Y109" i="67"/>
  <c r="W110" i="67"/>
  <c r="X110" i="67"/>
  <c r="Y110" i="67"/>
  <c r="W111" i="67"/>
  <c r="X111" i="67"/>
  <c r="Y111" i="67"/>
  <c r="W112" i="67"/>
  <c r="X112" i="67"/>
  <c r="Y112" i="67"/>
  <c r="W113" i="67"/>
  <c r="X113" i="67"/>
  <c r="Y113" i="67"/>
  <c r="W114" i="67"/>
  <c r="X114" i="67"/>
  <c r="Y114" i="67"/>
  <c r="W115" i="67"/>
  <c r="X115" i="67"/>
  <c r="Y115" i="67"/>
  <c r="W116" i="67"/>
  <c r="X116" i="67"/>
  <c r="Y116" i="67"/>
  <c r="W117" i="67"/>
  <c r="X117" i="67"/>
  <c r="Y117" i="67"/>
  <c r="W118" i="67"/>
  <c r="X118" i="67"/>
  <c r="Y118" i="67"/>
  <c r="W119" i="67"/>
  <c r="X119" i="67"/>
  <c r="Y119" i="67"/>
  <c r="W120" i="67"/>
  <c r="X120" i="67"/>
  <c r="Y120" i="67"/>
  <c r="W121" i="67"/>
  <c r="X121" i="67"/>
  <c r="Y121" i="67"/>
  <c r="W122" i="67"/>
  <c r="X122" i="67"/>
  <c r="Y122" i="67"/>
  <c r="W123" i="67"/>
  <c r="X123" i="67"/>
  <c r="Y123" i="67"/>
  <c r="W124" i="67"/>
  <c r="X124" i="67"/>
  <c r="Y124" i="67"/>
  <c r="W125" i="67"/>
  <c r="X125" i="67"/>
  <c r="Y125" i="67"/>
  <c r="W126" i="67"/>
  <c r="X126" i="67"/>
  <c r="Y126" i="67"/>
  <c r="W127" i="67"/>
  <c r="X127" i="67"/>
  <c r="Y127" i="67"/>
  <c r="W128" i="67"/>
  <c r="X128" i="67"/>
  <c r="Y128" i="67"/>
  <c r="W129" i="67"/>
  <c r="X129" i="67"/>
  <c r="Y129" i="67"/>
  <c r="W130" i="67"/>
  <c r="X130" i="67"/>
  <c r="Y130" i="67"/>
  <c r="W131" i="67"/>
  <c r="X131" i="67"/>
  <c r="Y131" i="67"/>
  <c r="W132" i="67"/>
  <c r="X132" i="67"/>
  <c r="Y132" i="67"/>
  <c r="W133" i="67"/>
  <c r="X133" i="67"/>
  <c r="Y133" i="67"/>
  <c r="W134" i="67"/>
  <c r="X134" i="67"/>
  <c r="Y134" i="67"/>
  <c r="W135" i="67"/>
  <c r="X135" i="67"/>
  <c r="Y135" i="67"/>
  <c r="W136" i="67"/>
  <c r="X136" i="67"/>
  <c r="Y136" i="67"/>
  <c r="W137" i="67"/>
  <c r="X137" i="67"/>
  <c r="Y137" i="67"/>
  <c r="W138" i="67"/>
  <c r="X138" i="67"/>
  <c r="Y138" i="67"/>
  <c r="W139" i="67"/>
  <c r="X139" i="67"/>
  <c r="Y139" i="67"/>
  <c r="W140" i="67"/>
  <c r="X140" i="67"/>
  <c r="Y140" i="67"/>
  <c r="W141" i="67"/>
  <c r="X141" i="67"/>
  <c r="Y141" i="67"/>
  <c r="W142" i="67"/>
  <c r="X142" i="67"/>
  <c r="Y142" i="67"/>
  <c r="W143" i="67"/>
  <c r="X143" i="67"/>
  <c r="Y143" i="67"/>
  <c r="W144" i="67"/>
  <c r="X144" i="67"/>
  <c r="Y144" i="67"/>
  <c r="W145" i="67"/>
  <c r="X145" i="67"/>
  <c r="Y145" i="67"/>
  <c r="W146" i="67"/>
  <c r="X146" i="67"/>
  <c r="Y146" i="67"/>
  <c r="W147" i="67"/>
  <c r="X147" i="67"/>
  <c r="Y147" i="67"/>
  <c r="W148" i="67"/>
  <c r="X148" i="67"/>
  <c r="Y148" i="67"/>
  <c r="W149" i="67"/>
  <c r="X149" i="67"/>
  <c r="Y149" i="67"/>
  <c r="W150" i="67"/>
  <c r="X150" i="67"/>
  <c r="Y150" i="67"/>
  <c r="W151" i="67"/>
  <c r="X151" i="67"/>
  <c r="Y151" i="67"/>
  <c r="W152" i="67"/>
  <c r="X152" i="67"/>
  <c r="Y152" i="67"/>
  <c r="W153" i="67"/>
  <c r="X153" i="67"/>
  <c r="Y153" i="67"/>
  <c r="W154" i="67"/>
  <c r="X154" i="67"/>
  <c r="Y154" i="67"/>
  <c r="W155" i="67"/>
  <c r="X155" i="67"/>
  <c r="Y155" i="67"/>
  <c r="W156" i="67"/>
  <c r="X156" i="67"/>
  <c r="Y156" i="67"/>
  <c r="W157" i="67"/>
  <c r="X157" i="67"/>
  <c r="Y157" i="67"/>
  <c r="W158" i="67"/>
  <c r="X158" i="67"/>
  <c r="Y158" i="67"/>
  <c r="W159" i="67"/>
  <c r="X159" i="67"/>
  <c r="Y159" i="67"/>
  <c r="W160" i="67"/>
  <c r="X160" i="67"/>
  <c r="Y160" i="67"/>
  <c r="W161" i="67"/>
  <c r="X161" i="67"/>
  <c r="Y161" i="67"/>
  <c r="W162" i="67"/>
  <c r="X162" i="67"/>
  <c r="Y162" i="67"/>
  <c r="W163" i="67"/>
  <c r="X163" i="67"/>
  <c r="Y163" i="67"/>
  <c r="W164" i="67"/>
  <c r="X164" i="67"/>
  <c r="Y164" i="67"/>
  <c r="W165" i="67"/>
  <c r="X165" i="67"/>
  <c r="Y165" i="67"/>
  <c r="W166" i="67"/>
  <c r="X166" i="67"/>
  <c r="Y166" i="67"/>
  <c r="W167" i="67"/>
  <c r="X167" i="67"/>
  <c r="Y167" i="67"/>
  <c r="W168" i="67"/>
  <c r="X168" i="67"/>
  <c r="Y168" i="67"/>
  <c r="W169" i="67"/>
  <c r="X169" i="67"/>
  <c r="Y169" i="67"/>
  <c r="W170" i="67"/>
  <c r="X170" i="67"/>
  <c r="Y170" i="67"/>
  <c r="W171" i="67"/>
  <c r="X171" i="67"/>
  <c r="Y171" i="67"/>
  <c r="W172" i="67"/>
  <c r="X172" i="67"/>
  <c r="Y172" i="67"/>
  <c r="W173" i="67"/>
  <c r="X173" i="67"/>
  <c r="Y173" i="67"/>
  <c r="W174" i="67"/>
  <c r="X174" i="67"/>
  <c r="Y174" i="67"/>
  <c r="W175" i="67"/>
  <c r="X175" i="67"/>
  <c r="Y175" i="67"/>
  <c r="W176" i="67"/>
  <c r="X176" i="67"/>
  <c r="Y176" i="67"/>
  <c r="W177" i="67"/>
  <c r="X177" i="67"/>
  <c r="Y177" i="67"/>
  <c r="W178" i="67"/>
  <c r="X178" i="67"/>
  <c r="Y178" i="67"/>
  <c r="W179" i="67"/>
  <c r="X179" i="67"/>
  <c r="Y179" i="67"/>
  <c r="W180" i="67"/>
  <c r="X180" i="67"/>
  <c r="Y180" i="67"/>
  <c r="W181" i="67"/>
  <c r="X181" i="67"/>
  <c r="Y181" i="67"/>
  <c r="W182" i="67"/>
  <c r="X182" i="67"/>
  <c r="Y182" i="67"/>
  <c r="W183" i="67"/>
  <c r="X183" i="67"/>
  <c r="Y183" i="67"/>
  <c r="W184" i="67"/>
  <c r="X184" i="67"/>
  <c r="Y184" i="67"/>
  <c r="W185" i="67"/>
  <c r="X185" i="67"/>
  <c r="Y185" i="67"/>
  <c r="W186" i="67"/>
  <c r="X186" i="67"/>
  <c r="Y186" i="67"/>
  <c r="W187" i="67"/>
  <c r="X187" i="67"/>
  <c r="Y187" i="67"/>
  <c r="W188" i="67"/>
  <c r="X188" i="67"/>
  <c r="Y188" i="67"/>
  <c r="W189" i="67"/>
  <c r="X189" i="67"/>
  <c r="Y189" i="67"/>
  <c r="W190" i="67"/>
  <c r="X190" i="67"/>
  <c r="Y190" i="67"/>
  <c r="W191" i="67"/>
  <c r="X191" i="67"/>
  <c r="Y191" i="67"/>
  <c r="W192" i="67"/>
  <c r="X192" i="67"/>
  <c r="Y192" i="67"/>
  <c r="W193" i="67"/>
  <c r="X193" i="67"/>
  <c r="Y193" i="67"/>
  <c r="W194" i="67"/>
  <c r="X194" i="67"/>
  <c r="Y194" i="67"/>
  <c r="W195" i="67"/>
  <c r="X195" i="67"/>
  <c r="Y195" i="67"/>
  <c r="W196" i="67"/>
  <c r="X196" i="67"/>
  <c r="Y196" i="67"/>
  <c r="W197" i="67"/>
  <c r="X197" i="67"/>
  <c r="Y197" i="67"/>
  <c r="W198" i="67"/>
  <c r="X198" i="67"/>
  <c r="Y198" i="67"/>
  <c r="W199" i="67"/>
  <c r="X199" i="67"/>
  <c r="Y199" i="67"/>
  <c r="W200" i="67"/>
  <c r="X200" i="67"/>
  <c r="Y200" i="67"/>
  <c r="W201" i="67"/>
  <c r="X201" i="67"/>
  <c r="Y201" i="67"/>
  <c r="W202" i="67"/>
  <c r="X202" i="67"/>
  <c r="Y202" i="67"/>
  <c r="W203" i="67"/>
  <c r="X203" i="67"/>
  <c r="Y203" i="67"/>
  <c r="W204" i="67"/>
  <c r="X204" i="67"/>
  <c r="Y204" i="67"/>
  <c r="W205" i="67"/>
  <c r="X205" i="67"/>
  <c r="Y205" i="67"/>
  <c r="W206" i="67"/>
  <c r="X206" i="67"/>
  <c r="Y206" i="67"/>
  <c r="W207" i="67"/>
  <c r="X207" i="67"/>
  <c r="Y207" i="67"/>
  <c r="W208" i="67"/>
  <c r="X208" i="67"/>
  <c r="Y208" i="67"/>
  <c r="W209" i="67"/>
  <c r="X209" i="67"/>
  <c r="Y209" i="67"/>
  <c r="W210" i="67"/>
  <c r="X210" i="67"/>
  <c r="Y210" i="67"/>
  <c r="W211" i="67"/>
  <c r="X211" i="67"/>
  <c r="Y211" i="67"/>
  <c r="W212" i="67"/>
  <c r="X212" i="67"/>
  <c r="Y212" i="67"/>
  <c r="W213" i="67"/>
  <c r="X213" i="67"/>
  <c r="Y213" i="67"/>
  <c r="W214" i="67"/>
  <c r="X214" i="67"/>
  <c r="Y214" i="67"/>
  <c r="W215" i="67"/>
  <c r="X215" i="67"/>
  <c r="Y215" i="67"/>
  <c r="W216" i="67"/>
  <c r="X216" i="67"/>
  <c r="Y216" i="67"/>
  <c r="W217" i="67"/>
  <c r="X217" i="67"/>
  <c r="Y217" i="67"/>
  <c r="W218" i="67"/>
  <c r="X218" i="67"/>
  <c r="Y218" i="67"/>
  <c r="W219" i="67"/>
  <c r="X219" i="67"/>
  <c r="Y219" i="67"/>
  <c r="W220" i="67"/>
  <c r="X220" i="67"/>
  <c r="Y220" i="67"/>
  <c r="W221" i="67"/>
  <c r="X221" i="67"/>
  <c r="Y221" i="67"/>
  <c r="W222" i="67"/>
  <c r="X222" i="67"/>
  <c r="Y222" i="67"/>
  <c r="W223" i="67"/>
  <c r="X223" i="67"/>
  <c r="Y223" i="67"/>
  <c r="W224" i="67"/>
  <c r="X224" i="67"/>
  <c r="Y224" i="67"/>
  <c r="W225" i="67"/>
  <c r="X225" i="67"/>
  <c r="Y225" i="67"/>
  <c r="W226" i="67"/>
  <c r="X226" i="67"/>
  <c r="Y226" i="67"/>
  <c r="W227" i="67"/>
  <c r="X227" i="67"/>
  <c r="Y227" i="67"/>
  <c r="W228" i="67"/>
  <c r="X228" i="67"/>
  <c r="Y228" i="67"/>
  <c r="W229" i="67"/>
  <c r="X229" i="67"/>
  <c r="Y229" i="67"/>
  <c r="W230" i="67"/>
  <c r="X230" i="67"/>
  <c r="Y230" i="67"/>
  <c r="W231" i="67"/>
  <c r="X231" i="67"/>
  <c r="Y231" i="67"/>
  <c r="W232" i="67"/>
  <c r="X232" i="67"/>
  <c r="Y232" i="67"/>
  <c r="W233" i="67"/>
  <c r="X233" i="67"/>
  <c r="Y233" i="67"/>
  <c r="W234" i="67"/>
  <c r="X234" i="67"/>
  <c r="Y234" i="67"/>
  <c r="W235" i="67"/>
  <c r="X235" i="67"/>
  <c r="Y235" i="67"/>
  <c r="W236" i="67"/>
  <c r="X236" i="67"/>
  <c r="Y236" i="67"/>
  <c r="W237" i="67"/>
  <c r="X237" i="67"/>
  <c r="Y237" i="67"/>
  <c r="W238" i="67"/>
  <c r="X238" i="67"/>
  <c r="Y238" i="67"/>
  <c r="W239" i="67"/>
  <c r="X239" i="67"/>
  <c r="Y239" i="67"/>
  <c r="W240" i="67"/>
  <c r="X240" i="67"/>
  <c r="Y240" i="67"/>
  <c r="W241" i="67"/>
  <c r="X241" i="67"/>
  <c r="Y241" i="67"/>
  <c r="W242" i="67"/>
  <c r="X242" i="67"/>
  <c r="Y242" i="67"/>
  <c r="W243" i="67"/>
  <c r="X243" i="67"/>
  <c r="Y243" i="67"/>
  <c r="W244" i="67"/>
  <c r="X244" i="67"/>
  <c r="Y244" i="67"/>
  <c r="W245" i="67"/>
  <c r="X245" i="67"/>
  <c r="Y245" i="67"/>
  <c r="W246" i="67"/>
  <c r="X246" i="67"/>
  <c r="Y246" i="67"/>
  <c r="W247" i="67"/>
  <c r="X247" i="67"/>
  <c r="Y247" i="67"/>
  <c r="W248" i="67"/>
  <c r="X248" i="67"/>
  <c r="Y248" i="67"/>
  <c r="W249" i="67"/>
  <c r="X249" i="67"/>
  <c r="Y249" i="67"/>
  <c r="W250" i="67"/>
  <c r="X250" i="67"/>
  <c r="Y250" i="67"/>
  <c r="W251" i="67"/>
  <c r="X251" i="67"/>
  <c r="Y251" i="67"/>
  <c r="W252" i="67"/>
  <c r="X252" i="67"/>
  <c r="Y252" i="67"/>
  <c r="W253" i="67"/>
  <c r="X253" i="67"/>
  <c r="Y253" i="67"/>
  <c r="W254" i="67"/>
  <c r="X254" i="67"/>
  <c r="Y254" i="67"/>
  <c r="W255" i="67"/>
  <c r="X255" i="67"/>
  <c r="Y255" i="67"/>
  <c r="W256" i="67"/>
  <c r="X256" i="67"/>
  <c r="Y256" i="67"/>
  <c r="W257" i="67"/>
  <c r="X257" i="67"/>
  <c r="Y257" i="67"/>
  <c r="X10" i="67"/>
  <c r="X11" i="63"/>
  <c r="W12" i="63"/>
  <c r="X12" i="63"/>
  <c r="Y12" i="63"/>
  <c r="W13" i="63"/>
  <c r="X13" i="63"/>
  <c r="Y13" i="63"/>
  <c r="W14" i="63"/>
  <c r="X14" i="63"/>
  <c r="Y14" i="63"/>
  <c r="W15" i="63"/>
  <c r="X15" i="63"/>
  <c r="Y15" i="63"/>
  <c r="W16" i="63"/>
  <c r="X16" i="63"/>
  <c r="Y16" i="63"/>
  <c r="W17" i="63"/>
  <c r="X17" i="63"/>
  <c r="Y17" i="63"/>
  <c r="W18" i="63"/>
  <c r="X18" i="63"/>
  <c r="Y18" i="63"/>
  <c r="W19" i="63"/>
  <c r="X19" i="63"/>
  <c r="Y19" i="63"/>
  <c r="W20" i="63"/>
  <c r="X20" i="63"/>
  <c r="Y20" i="63"/>
  <c r="W21" i="63"/>
  <c r="X21" i="63"/>
  <c r="Y21" i="63"/>
  <c r="W22" i="63"/>
  <c r="X22" i="63"/>
  <c r="Y22" i="63"/>
  <c r="W23" i="63"/>
  <c r="X23" i="63"/>
  <c r="Y23" i="63"/>
  <c r="W24" i="63"/>
  <c r="X24" i="63"/>
  <c r="Y24" i="63"/>
  <c r="W25" i="63"/>
  <c r="X25" i="63"/>
  <c r="Y25" i="63"/>
  <c r="W26" i="63"/>
  <c r="X26" i="63"/>
  <c r="Y26" i="63"/>
  <c r="W27" i="63"/>
  <c r="X27" i="63"/>
  <c r="Y27" i="63"/>
  <c r="W28" i="63"/>
  <c r="X28" i="63"/>
  <c r="Y28" i="63"/>
  <c r="W29" i="63"/>
  <c r="X29" i="63"/>
  <c r="Y29" i="63"/>
  <c r="W30" i="63"/>
  <c r="X30" i="63"/>
  <c r="Y30" i="63"/>
  <c r="W31" i="63"/>
  <c r="X31" i="63"/>
  <c r="Y31" i="63"/>
  <c r="W32" i="63"/>
  <c r="X32" i="63"/>
  <c r="Y32" i="63"/>
  <c r="W33" i="63"/>
  <c r="X33" i="63"/>
  <c r="Y33" i="63"/>
  <c r="W34" i="63"/>
  <c r="X34" i="63"/>
  <c r="Y34" i="63"/>
  <c r="W35" i="63"/>
  <c r="X35" i="63"/>
  <c r="Y35" i="63"/>
  <c r="W36" i="63"/>
  <c r="X36" i="63"/>
  <c r="Y36" i="63"/>
  <c r="W37" i="63"/>
  <c r="X37" i="63"/>
  <c r="Y37" i="63"/>
  <c r="W38" i="63"/>
  <c r="X38" i="63"/>
  <c r="Y38" i="63"/>
  <c r="W39" i="63"/>
  <c r="X39" i="63"/>
  <c r="Y39" i="63"/>
  <c r="W40" i="63"/>
  <c r="X40" i="63"/>
  <c r="Y40" i="63"/>
  <c r="W41" i="63"/>
  <c r="X41" i="63"/>
  <c r="Y41" i="63"/>
  <c r="W42" i="63"/>
  <c r="X42" i="63"/>
  <c r="Y42" i="63"/>
  <c r="W43" i="63"/>
  <c r="X43" i="63"/>
  <c r="Y43" i="63"/>
  <c r="W44" i="63"/>
  <c r="X44" i="63"/>
  <c r="Y44" i="63"/>
  <c r="W45" i="63"/>
  <c r="X45" i="63"/>
  <c r="Y45" i="63"/>
  <c r="W46" i="63"/>
  <c r="X46" i="63"/>
  <c r="Y46" i="63"/>
  <c r="W47" i="63"/>
  <c r="X47" i="63"/>
  <c r="Y47" i="63"/>
  <c r="W48" i="63"/>
  <c r="X48" i="63"/>
  <c r="Y48" i="63"/>
  <c r="W49" i="63"/>
  <c r="X49" i="63"/>
  <c r="Y49" i="63"/>
  <c r="W50" i="63"/>
  <c r="X50" i="63"/>
  <c r="Y50" i="63"/>
  <c r="W51" i="63"/>
  <c r="X51" i="63"/>
  <c r="Y51" i="63"/>
  <c r="W52" i="63"/>
  <c r="X52" i="63"/>
  <c r="Y52" i="63"/>
  <c r="W53" i="63"/>
  <c r="X53" i="63"/>
  <c r="Y53" i="63"/>
  <c r="W54" i="63"/>
  <c r="X54" i="63"/>
  <c r="Y54" i="63"/>
  <c r="W55" i="63"/>
  <c r="X55" i="63"/>
  <c r="Y55" i="63"/>
  <c r="W56" i="63"/>
  <c r="X56" i="63"/>
  <c r="Y56" i="63"/>
  <c r="W57" i="63"/>
  <c r="X57" i="63"/>
  <c r="Y57" i="63"/>
  <c r="W58" i="63"/>
  <c r="X58" i="63"/>
  <c r="Y58" i="63"/>
  <c r="W59" i="63"/>
  <c r="X59" i="63"/>
  <c r="Y59" i="63"/>
  <c r="W60" i="63"/>
  <c r="X60" i="63"/>
  <c r="Y60" i="63"/>
  <c r="W61" i="63"/>
  <c r="X61" i="63"/>
  <c r="Y61" i="63"/>
  <c r="W62" i="63"/>
  <c r="X62" i="63"/>
  <c r="Y62" i="63"/>
  <c r="W63" i="63"/>
  <c r="X63" i="63"/>
  <c r="Y63" i="63"/>
  <c r="W64" i="63"/>
  <c r="X64" i="63"/>
  <c r="Y64" i="63"/>
  <c r="W65" i="63"/>
  <c r="X65" i="63"/>
  <c r="Y65" i="63"/>
  <c r="W66" i="63"/>
  <c r="X66" i="63"/>
  <c r="Y66" i="63"/>
  <c r="W67" i="63"/>
  <c r="X67" i="63"/>
  <c r="Y67" i="63"/>
  <c r="W68" i="63"/>
  <c r="X68" i="63"/>
  <c r="Y68" i="63"/>
  <c r="W69" i="63"/>
  <c r="X69" i="63"/>
  <c r="Y69" i="63"/>
  <c r="W70" i="63"/>
  <c r="X70" i="63"/>
  <c r="Y70" i="63"/>
  <c r="W71" i="63"/>
  <c r="X71" i="63"/>
  <c r="Y71" i="63"/>
  <c r="W72" i="63"/>
  <c r="X72" i="63"/>
  <c r="Y72" i="63"/>
  <c r="W73" i="63"/>
  <c r="X73" i="63"/>
  <c r="Y73" i="63"/>
  <c r="W74" i="63"/>
  <c r="X74" i="63"/>
  <c r="Y74" i="63"/>
  <c r="W75" i="63"/>
  <c r="X75" i="63"/>
  <c r="Y75" i="63"/>
  <c r="W76" i="63"/>
  <c r="X76" i="63"/>
  <c r="Y76" i="63"/>
  <c r="W77" i="63"/>
  <c r="X77" i="63"/>
  <c r="Y77" i="63"/>
  <c r="W78" i="63"/>
  <c r="X78" i="63"/>
  <c r="Y78" i="63"/>
  <c r="W79" i="63"/>
  <c r="X79" i="63"/>
  <c r="Y79" i="63"/>
  <c r="W80" i="63"/>
  <c r="X80" i="63"/>
  <c r="Y80" i="63"/>
  <c r="W81" i="63"/>
  <c r="X81" i="63"/>
  <c r="Y81" i="63"/>
  <c r="W82" i="63"/>
  <c r="X82" i="63"/>
  <c r="Y82" i="63"/>
  <c r="W83" i="63"/>
  <c r="X83" i="63"/>
  <c r="Y83" i="63"/>
  <c r="W84" i="63"/>
  <c r="X84" i="63"/>
  <c r="Y84" i="63"/>
  <c r="W85" i="63"/>
  <c r="X85" i="63"/>
  <c r="Y85" i="63"/>
  <c r="W86" i="63"/>
  <c r="X86" i="63"/>
  <c r="Y86" i="63"/>
  <c r="W87" i="63"/>
  <c r="X87" i="63"/>
  <c r="Y87" i="63"/>
  <c r="W88" i="63"/>
  <c r="X88" i="63"/>
  <c r="Y88" i="63"/>
  <c r="W89" i="63"/>
  <c r="X89" i="63"/>
  <c r="Y89" i="63"/>
  <c r="W90" i="63"/>
  <c r="X90" i="63"/>
  <c r="Y90" i="63"/>
  <c r="W91" i="63"/>
  <c r="X91" i="63"/>
  <c r="Y91" i="63"/>
  <c r="W92" i="63"/>
  <c r="X92" i="63"/>
  <c r="Y92" i="63"/>
  <c r="W93" i="63"/>
  <c r="X93" i="63"/>
  <c r="Y93" i="63"/>
  <c r="W94" i="63"/>
  <c r="X94" i="63"/>
  <c r="Y94" i="63"/>
  <c r="W95" i="63"/>
  <c r="X95" i="63"/>
  <c r="Y95" i="63"/>
  <c r="W96" i="63"/>
  <c r="X96" i="63"/>
  <c r="Y96" i="63"/>
  <c r="W97" i="63"/>
  <c r="X97" i="63"/>
  <c r="Y97" i="63"/>
  <c r="W98" i="63"/>
  <c r="X98" i="63"/>
  <c r="Y98" i="63"/>
  <c r="W99" i="63"/>
  <c r="X99" i="63"/>
  <c r="Y99" i="63"/>
  <c r="W100" i="63"/>
  <c r="X100" i="63"/>
  <c r="Y100" i="63"/>
  <c r="W101" i="63"/>
  <c r="X101" i="63"/>
  <c r="Y101" i="63"/>
  <c r="W102" i="63"/>
  <c r="X102" i="63"/>
  <c r="Y102" i="63"/>
  <c r="W103" i="63"/>
  <c r="X103" i="63"/>
  <c r="Y103" i="63"/>
  <c r="W104" i="63"/>
  <c r="X104" i="63"/>
  <c r="Y104" i="63"/>
  <c r="W105" i="63"/>
  <c r="X105" i="63"/>
  <c r="Y105" i="63"/>
  <c r="W106" i="63"/>
  <c r="X106" i="63"/>
  <c r="Y106" i="63"/>
  <c r="W107" i="63"/>
  <c r="X107" i="63"/>
  <c r="Y107" i="63"/>
  <c r="W108" i="63"/>
  <c r="X108" i="63"/>
  <c r="Y108" i="63"/>
  <c r="W109" i="63"/>
  <c r="X109" i="63"/>
  <c r="Y109" i="63"/>
  <c r="W110" i="63"/>
  <c r="X110" i="63"/>
  <c r="Y110" i="63"/>
  <c r="W111" i="63"/>
  <c r="X111" i="63"/>
  <c r="Y111" i="63"/>
  <c r="W112" i="63"/>
  <c r="X112" i="63"/>
  <c r="Y112" i="63"/>
  <c r="W113" i="63"/>
  <c r="X113" i="63"/>
  <c r="Y113" i="63"/>
  <c r="W114" i="63"/>
  <c r="X114" i="63"/>
  <c r="Y114" i="63"/>
  <c r="W115" i="63"/>
  <c r="X115" i="63"/>
  <c r="Y115" i="63"/>
  <c r="W116" i="63"/>
  <c r="X116" i="63"/>
  <c r="Y116" i="63"/>
  <c r="W117" i="63"/>
  <c r="X117" i="63"/>
  <c r="Y117" i="63"/>
  <c r="W118" i="63"/>
  <c r="X118" i="63"/>
  <c r="Y118" i="63"/>
  <c r="W119" i="63"/>
  <c r="X119" i="63"/>
  <c r="Y119" i="63"/>
  <c r="W120" i="63"/>
  <c r="X120" i="63"/>
  <c r="Y120" i="63"/>
  <c r="W121" i="63"/>
  <c r="X121" i="63"/>
  <c r="Y121" i="63"/>
  <c r="W122" i="63"/>
  <c r="X122" i="63"/>
  <c r="Y122" i="63"/>
  <c r="W123" i="63"/>
  <c r="X123" i="63"/>
  <c r="Y123" i="63"/>
  <c r="W124" i="63"/>
  <c r="X124" i="63"/>
  <c r="Y124" i="63"/>
  <c r="W125" i="63"/>
  <c r="X125" i="63"/>
  <c r="Y125" i="63"/>
  <c r="W126" i="63"/>
  <c r="X126" i="63"/>
  <c r="Y126" i="63"/>
  <c r="W127" i="63"/>
  <c r="X127" i="63"/>
  <c r="Y127" i="63"/>
  <c r="W128" i="63"/>
  <c r="X128" i="63"/>
  <c r="Y128" i="63"/>
  <c r="W129" i="63"/>
  <c r="X129" i="63"/>
  <c r="Y129" i="63"/>
  <c r="W130" i="63"/>
  <c r="X130" i="63"/>
  <c r="Y130" i="63"/>
  <c r="W131" i="63"/>
  <c r="X131" i="63"/>
  <c r="Y131" i="63"/>
  <c r="W132" i="63"/>
  <c r="X132" i="63"/>
  <c r="Y132" i="63"/>
  <c r="W133" i="63"/>
  <c r="X133" i="63"/>
  <c r="Y133" i="63"/>
  <c r="W134" i="63"/>
  <c r="X134" i="63"/>
  <c r="Y134" i="63"/>
  <c r="W135" i="63"/>
  <c r="X135" i="63"/>
  <c r="Y135" i="63"/>
  <c r="W136" i="63"/>
  <c r="X136" i="63"/>
  <c r="Y136" i="63"/>
  <c r="W137" i="63"/>
  <c r="X137" i="63"/>
  <c r="Y137" i="63"/>
  <c r="W138" i="63"/>
  <c r="X138" i="63"/>
  <c r="Y138" i="63"/>
  <c r="W139" i="63"/>
  <c r="X139" i="63"/>
  <c r="Y139" i="63"/>
  <c r="W140" i="63"/>
  <c r="X140" i="63"/>
  <c r="Y140" i="63"/>
  <c r="W141" i="63"/>
  <c r="X141" i="63"/>
  <c r="Y141" i="63"/>
  <c r="W142" i="63"/>
  <c r="X142" i="63"/>
  <c r="Y142" i="63"/>
  <c r="W143" i="63"/>
  <c r="X143" i="63"/>
  <c r="Y143" i="63"/>
  <c r="W144" i="63"/>
  <c r="X144" i="63"/>
  <c r="Y144" i="63"/>
  <c r="W145" i="63"/>
  <c r="X145" i="63"/>
  <c r="Y145" i="63"/>
  <c r="W146" i="63"/>
  <c r="X146" i="63"/>
  <c r="Y146" i="63"/>
  <c r="W147" i="63"/>
  <c r="X147" i="63"/>
  <c r="Y147" i="63"/>
  <c r="W148" i="63"/>
  <c r="X148" i="63"/>
  <c r="Y148" i="63"/>
  <c r="W149" i="63"/>
  <c r="X149" i="63"/>
  <c r="Y149" i="63"/>
  <c r="W150" i="63"/>
  <c r="X150" i="63"/>
  <c r="Y150" i="63"/>
  <c r="W151" i="63"/>
  <c r="X151" i="63"/>
  <c r="Y151" i="63"/>
  <c r="W152" i="63"/>
  <c r="X152" i="63"/>
  <c r="Y152" i="63"/>
  <c r="W153" i="63"/>
  <c r="X153" i="63"/>
  <c r="Y153" i="63"/>
  <c r="W154" i="63"/>
  <c r="X154" i="63"/>
  <c r="Y154" i="63"/>
  <c r="W155" i="63"/>
  <c r="X155" i="63"/>
  <c r="Y155" i="63"/>
  <c r="W156" i="63"/>
  <c r="X156" i="63"/>
  <c r="Y156" i="63"/>
  <c r="W157" i="63"/>
  <c r="X157" i="63"/>
  <c r="Y157" i="63"/>
  <c r="W158" i="63"/>
  <c r="X158" i="63"/>
  <c r="Y158" i="63"/>
  <c r="W159" i="63"/>
  <c r="X159" i="63"/>
  <c r="Y159" i="63"/>
  <c r="W160" i="63"/>
  <c r="X160" i="63"/>
  <c r="Y160" i="63"/>
  <c r="W161" i="63"/>
  <c r="X161" i="63"/>
  <c r="Y161" i="63"/>
  <c r="W162" i="63"/>
  <c r="X162" i="63"/>
  <c r="Y162" i="63"/>
  <c r="W163" i="63"/>
  <c r="X163" i="63"/>
  <c r="Y163" i="63"/>
  <c r="W164" i="63"/>
  <c r="X164" i="63"/>
  <c r="Y164" i="63"/>
  <c r="W165" i="63"/>
  <c r="X165" i="63"/>
  <c r="Y165" i="63"/>
  <c r="W166" i="63"/>
  <c r="X166" i="63"/>
  <c r="Y166" i="63"/>
  <c r="W167" i="63"/>
  <c r="X167" i="63"/>
  <c r="Y167" i="63"/>
  <c r="W168" i="63"/>
  <c r="X168" i="63"/>
  <c r="Y168" i="63"/>
  <c r="W169" i="63"/>
  <c r="X169" i="63"/>
  <c r="Y169" i="63"/>
  <c r="W170" i="63"/>
  <c r="X170" i="63"/>
  <c r="Y170" i="63"/>
  <c r="W171" i="63"/>
  <c r="X171" i="63"/>
  <c r="Y171" i="63"/>
  <c r="W172" i="63"/>
  <c r="X172" i="63"/>
  <c r="Y172" i="63"/>
  <c r="W173" i="63"/>
  <c r="X173" i="63"/>
  <c r="Y173" i="63"/>
  <c r="W174" i="63"/>
  <c r="X174" i="63"/>
  <c r="Y174" i="63"/>
  <c r="W175" i="63"/>
  <c r="X175" i="63"/>
  <c r="Y175" i="63"/>
  <c r="W176" i="63"/>
  <c r="X176" i="63"/>
  <c r="Y176" i="63"/>
  <c r="W177" i="63"/>
  <c r="X177" i="63"/>
  <c r="Y177" i="63"/>
  <c r="W178" i="63"/>
  <c r="X178" i="63"/>
  <c r="Y178" i="63"/>
  <c r="W179" i="63"/>
  <c r="X179" i="63"/>
  <c r="Y179" i="63"/>
  <c r="W180" i="63"/>
  <c r="X180" i="63"/>
  <c r="Y180" i="63"/>
  <c r="W181" i="63"/>
  <c r="X181" i="63"/>
  <c r="Y181" i="63"/>
  <c r="W182" i="63"/>
  <c r="X182" i="63"/>
  <c r="Y182" i="63"/>
  <c r="W183" i="63"/>
  <c r="X183" i="63"/>
  <c r="Y183" i="63"/>
  <c r="W184" i="63"/>
  <c r="X184" i="63"/>
  <c r="Y184" i="63"/>
  <c r="W185" i="63"/>
  <c r="X185" i="63"/>
  <c r="Y185" i="63"/>
  <c r="W186" i="63"/>
  <c r="X186" i="63"/>
  <c r="Y186" i="63"/>
  <c r="W187" i="63"/>
  <c r="X187" i="63"/>
  <c r="Y187" i="63"/>
  <c r="W188" i="63"/>
  <c r="X188" i="63"/>
  <c r="Y188" i="63"/>
  <c r="W189" i="63"/>
  <c r="X189" i="63"/>
  <c r="Y189" i="63"/>
  <c r="W190" i="63"/>
  <c r="X190" i="63"/>
  <c r="Y190" i="63"/>
  <c r="W191" i="63"/>
  <c r="X191" i="63"/>
  <c r="Y191" i="63"/>
  <c r="W192" i="63"/>
  <c r="X192" i="63"/>
  <c r="Y192" i="63"/>
  <c r="W193" i="63"/>
  <c r="X193" i="63"/>
  <c r="Y193" i="63"/>
  <c r="W194" i="63"/>
  <c r="X194" i="63"/>
  <c r="Y194" i="63"/>
  <c r="W195" i="63"/>
  <c r="X195" i="63"/>
  <c r="Y195" i="63"/>
  <c r="W196" i="63"/>
  <c r="X196" i="63"/>
  <c r="Y196" i="63"/>
  <c r="W197" i="63"/>
  <c r="X197" i="63"/>
  <c r="Y197" i="63"/>
  <c r="W198" i="63"/>
  <c r="X198" i="63"/>
  <c r="Y198" i="63"/>
  <c r="W199" i="63"/>
  <c r="X199" i="63"/>
  <c r="Y199" i="63"/>
  <c r="W200" i="63"/>
  <c r="X200" i="63"/>
  <c r="Y200" i="63"/>
  <c r="W201" i="63"/>
  <c r="X201" i="63"/>
  <c r="Y201" i="63"/>
  <c r="W202" i="63"/>
  <c r="X202" i="63"/>
  <c r="Y202" i="63"/>
  <c r="W203" i="63"/>
  <c r="X203" i="63"/>
  <c r="Y203" i="63"/>
  <c r="W204" i="63"/>
  <c r="X204" i="63"/>
  <c r="Y204" i="63"/>
  <c r="W205" i="63"/>
  <c r="X205" i="63"/>
  <c r="Y205" i="63"/>
  <c r="W206" i="63"/>
  <c r="X206" i="63"/>
  <c r="Y206" i="63"/>
  <c r="W207" i="63"/>
  <c r="X207" i="63"/>
  <c r="Y207" i="63"/>
  <c r="W208" i="63"/>
  <c r="X208" i="63"/>
  <c r="Y208" i="63"/>
  <c r="W209" i="63"/>
  <c r="X209" i="63"/>
  <c r="Y209" i="63"/>
  <c r="W210" i="63"/>
  <c r="X210" i="63"/>
  <c r="Y210" i="63"/>
  <c r="W211" i="63"/>
  <c r="X211" i="63"/>
  <c r="Y211" i="63"/>
  <c r="W212" i="63"/>
  <c r="X212" i="63"/>
  <c r="Y212" i="63"/>
  <c r="W213" i="63"/>
  <c r="X213" i="63"/>
  <c r="Y213" i="63"/>
  <c r="W214" i="63"/>
  <c r="X214" i="63"/>
  <c r="Y214" i="63"/>
  <c r="W215" i="63"/>
  <c r="X215" i="63"/>
  <c r="Y215" i="63"/>
  <c r="W216" i="63"/>
  <c r="X216" i="63"/>
  <c r="Y216" i="63"/>
  <c r="W217" i="63"/>
  <c r="X217" i="63"/>
  <c r="Y217" i="63"/>
  <c r="W218" i="63"/>
  <c r="X218" i="63"/>
  <c r="Y218" i="63"/>
  <c r="W219" i="63"/>
  <c r="X219" i="63"/>
  <c r="Y219" i="63"/>
  <c r="W220" i="63"/>
  <c r="X220" i="63"/>
  <c r="Y220" i="63"/>
  <c r="W221" i="63"/>
  <c r="X221" i="63"/>
  <c r="Y221" i="63"/>
  <c r="W222" i="63"/>
  <c r="X222" i="63"/>
  <c r="Y222" i="63"/>
  <c r="W223" i="63"/>
  <c r="X223" i="63"/>
  <c r="Y223" i="63"/>
  <c r="W224" i="63"/>
  <c r="X224" i="63"/>
  <c r="Y224" i="63"/>
  <c r="W225" i="63"/>
  <c r="X225" i="63"/>
  <c r="Y225" i="63"/>
  <c r="W226" i="63"/>
  <c r="X226" i="63"/>
  <c r="Y226" i="63"/>
  <c r="W227" i="63"/>
  <c r="X227" i="63"/>
  <c r="Y227" i="63"/>
  <c r="W228" i="63"/>
  <c r="X228" i="63"/>
  <c r="Y228" i="63"/>
  <c r="W229" i="63"/>
  <c r="X229" i="63"/>
  <c r="Y229" i="63"/>
  <c r="W230" i="63"/>
  <c r="X230" i="63"/>
  <c r="Y230" i="63"/>
  <c r="W231" i="63"/>
  <c r="X231" i="63"/>
  <c r="Y231" i="63"/>
  <c r="W232" i="63"/>
  <c r="X232" i="63"/>
  <c r="Y232" i="63"/>
  <c r="W233" i="63"/>
  <c r="X233" i="63"/>
  <c r="Y233" i="63"/>
  <c r="W234" i="63"/>
  <c r="X234" i="63"/>
  <c r="Y234" i="63"/>
  <c r="W235" i="63"/>
  <c r="X235" i="63"/>
  <c r="Y235" i="63"/>
  <c r="W236" i="63"/>
  <c r="X236" i="63"/>
  <c r="Y236" i="63"/>
  <c r="W237" i="63"/>
  <c r="X237" i="63"/>
  <c r="Y237" i="63"/>
  <c r="W238" i="63"/>
  <c r="X238" i="63"/>
  <c r="Y238" i="63"/>
  <c r="W239" i="63"/>
  <c r="X239" i="63"/>
  <c r="Y239" i="63"/>
  <c r="W240" i="63"/>
  <c r="X240" i="63"/>
  <c r="Y240" i="63"/>
  <c r="W241" i="63"/>
  <c r="X241" i="63"/>
  <c r="Y241" i="63"/>
  <c r="W242" i="63"/>
  <c r="X242" i="63"/>
  <c r="Y242" i="63"/>
  <c r="W243" i="63"/>
  <c r="X243" i="63"/>
  <c r="Y243" i="63"/>
  <c r="W244" i="63"/>
  <c r="X244" i="63"/>
  <c r="Y244" i="63"/>
  <c r="W245" i="63"/>
  <c r="X245" i="63"/>
  <c r="Y245" i="63"/>
  <c r="W246" i="63"/>
  <c r="X246" i="63"/>
  <c r="Y246" i="63"/>
  <c r="W247" i="63"/>
  <c r="X247" i="63"/>
  <c r="Y247" i="63"/>
  <c r="W248" i="63"/>
  <c r="X248" i="63"/>
  <c r="Y248" i="63"/>
  <c r="W249" i="63"/>
  <c r="X249" i="63"/>
  <c r="Y249" i="63"/>
  <c r="W250" i="63"/>
  <c r="X250" i="63"/>
  <c r="Y250" i="63"/>
  <c r="W251" i="63"/>
  <c r="X251" i="63"/>
  <c r="Y251" i="63"/>
  <c r="W252" i="63"/>
  <c r="X252" i="63"/>
  <c r="Y252" i="63"/>
  <c r="W253" i="63"/>
  <c r="X253" i="63"/>
  <c r="Y253" i="63"/>
  <c r="W254" i="63"/>
  <c r="X254" i="63"/>
  <c r="Y254" i="63"/>
  <c r="W255" i="63"/>
  <c r="X255" i="63"/>
  <c r="Y255" i="63"/>
  <c r="W256" i="63"/>
  <c r="X256" i="63"/>
  <c r="Y256" i="63"/>
  <c r="W257" i="63"/>
  <c r="X257" i="63"/>
  <c r="Y257" i="63"/>
  <c r="X10" i="63"/>
  <c r="M3" i="29"/>
  <c r="V13" i="58" l="1"/>
  <c r="V14" i="58"/>
  <c r="V15" i="58"/>
  <c r="V16" i="58"/>
  <c r="V17" i="58"/>
  <c r="V18" i="58"/>
  <c r="V19" i="58"/>
  <c r="V20" i="58"/>
  <c r="V21" i="58"/>
  <c r="V22" i="58"/>
  <c r="V23" i="58"/>
  <c r="V24" i="58"/>
  <c r="V25" i="58"/>
  <c r="V26" i="58"/>
  <c r="V27" i="58"/>
  <c r="V28" i="58"/>
  <c r="V29" i="58"/>
  <c r="V30" i="58"/>
  <c r="V31" i="58"/>
  <c r="V32" i="58"/>
  <c r="V33" i="58"/>
  <c r="V34" i="58"/>
  <c r="V35" i="58"/>
  <c r="V36" i="58"/>
  <c r="V37" i="58"/>
  <c r="V38" i="58"/>
  <c r="V39" i="58"/>
  <c r="V40" i="58"/>
  <c r="V41" i="58"/>
  <c r="V42" i="58"/>
  <c r="V43" i="58"/>
  <c r="V44" i="58"/>
  <c r="V45" i="58"/>
  <c r="V46" i="58"/>
  <c r="V47" i="58"/>
  <c r="V48" i="58"/>
  <c r="V49" i="58"/>
  <c r="V50" i="58"/>
  <c r="V51" i="58"/>
  <c r="V52" i="58"/>
  <c r="V53" i="58"/>
  <c r="V54" i="58"/>
  <c r="V55" i="58"/>
  <c r="V56" i="58"/>
  <c r="V57" i="58"/>
  <c r="V58" i="58"/>
  <c r="V59" i="58"/>
  <c r="V60" i="58"/>
  <c r="V61" i="58"/>
  <c r="V62" i="58"/>
  <c r="V63" i="58"/>
  <c r="V64" i="58"/>
  <c r="V65" i="58"/>
  <c r="V66" i="58"/>
  <c r="V67" i="58"/>
  <c r="V68" i="58"/>
  <c r="V69" i="58"/>
  <c r="V70" i="58"/>
  <c r="V71" i="58"/>
  <c r="V72" i="58"/>
  <c r="V73" i="58"/>
  <c r="V74" i="58"/>
  <c r="V75" i="58"/>
  <c r="V76" i="58"/>
  <c r="V77" i="58"/>
  <c r="V78" i="58"/>
  <c r="V79" i="58"/>
  <c r="V80" i="58"/>
  <c r="V81" i="58"/>
  <c r="V82" i="58"/>
  <c r="V83" i="58"/>
  <c r="V84" i="58"/>
  <c r="V85" i="58"/>
  <c r="V86" i="58"/>
  <c r="V87" i="58"/>
  <c r="V88" i="58"/>
  <c r="V89" i="58"/>
  <c r="V90" i="58"/>
  <c r="V91" i="58"/>
  <c r="V92" i="58"/>
  <c r="V93" i="58"/>
  <c r="V94" i="58"/>
  <c r="V95" i="58"/>
  <c r="V96" i="58"/>
  <c r="V97" i="58"/>
  <c r="V98" i="58"/>
  <c r="V99" i="58"/>
  <c r="V100" i="58"/>
  <c r="V101" i="58"/>
  <c r="V102" i="58"/>
  <c r="V103" i="58"/>
  <c r="V104" i="58"/>
  <c r="V105" i="58"/>
  <c r="V106" i="58"/>
  <c r="V107" i="58"/>
  <c r="V108" i="58"/>
  <c r="V109" i="58"/>
  <c r="V110" i="58"/>
  <c r="V111" i="58"/>
  <c r="V112" i="58"/>
  <c r="V113" i="58"/>
  <c r="V114" i="58"/>
  <c r="V115" i="58"/>
  <c r="V116" i="58"/>
  <c r="V117" i="58"/>
  <c r="V118" i="58"/>
  <c r="V119" i="58"/>
  <c r="V120" i="58"/>
  <c r="V121" i="58"/>
  <c r="V122" i="58"/>
  <c r="V123" i="58"/>
  <c r="V124" i="58"/>
  <c r="V125" i="58"/>
  <c r="V126" i="58"/>
  <c r="V127" i="58"/>
  <c r="V128" i="58"/>
  <c r="V129" i="58"/>
  <c r="V130" i="58"/>
  <c r="V131" i="58"/>
  <c r="V132" i="58"/>
  <c r="V133" i="58"/>
  <c r="V134" i="58"/>
  <c r="V135" i="58"/>
  <c r="V136" i="58"/>
  <c r="V137" i="58"/>
  <c r="V138" i="58"/>
  <c r="V139" i="58"/>
  <c r="V140" i="58"/>
  <c r="V141" i="58"/>
  <c r="V142" i="58"/>
  <c r="V143" i="58"/>
  <c r="V144" i="58"/>
  <c r="V145" i="58"/>
  <c r="V146" i="58"/>
  <c r="V147" i="58"/>
  <c r="V148" i="58"/>
  <c r="V149" i="58"/>
  <c r="V150" i="58"/>
  <c r="V151" i="58"/>
  <c r="V152" i="58"/>
  <c r="V153" i="58"/>
  <c r="V154" i="58"/>
  <c r="V155" i="58"/>
  <c r="V156" i="58"/>
  <c r="V157" i="58"/>
  <c r="V158" i="58"/>
  <c r="V159" i="58"/>
  <c r="V160" i="58"/>
  <c r="V161" i="58"/>
  <c r="V162" i="58"/>
  <c r="V163" i="58"/>
  <c r="V164" i="58"/>
  <c r="V165" i="58"/>
  <c r="V166" i="58"/>
  <c r="V167" i="58"/>
  <c r="V168" i="58"/>
  <c r="V169" i="58"/>
  <c r="V170" i="58"/>
  <c r="V171" i="58"/>
  <c r="V172" i="58"/>
  <c r="V173" i="58"/>
  <c r="V174" i="58"/>
  <c r="V175" i="58"/>
  <c r="V176" i="58"/>
  <c r="V177" i="58"/>
  <c r="V178" i="58"/>
  <c r="V179" i="58"/>
  <c r="V180" i="58"/>
  <c r="V181" i="58"/>
  <c r="V182" i="58"/>
  <c r="V183" i="58"/>
  <c r="V184" i="58"/>
  <c r="V185" i="58"/>
  <c r="V186" i="58"/>
  <c r="V187" i="58"/>
  <c r="V188" i="58"/>
  <c r="V189" i="58"/>
  <c r="V190" i="58"/>
  <c r="V191" i="58"/>
  <c r="V192" i="58"/>
  <c r="V193" i="58"/>
  <c r="V194" i="58"/>
  <c r="V195" i="58"/>
  <c r="V196" i="58"/>
  <c r="V197" i="58"/>
  <c r="V198" i="58"/>
  <c r="V199" i="58"/>
  <c r="V200" i="58"/>
  <c r="V201" i="58"/>
  <c r="V202" i="58"/>
  <c r="V203" i="58"/>
  <c r="V204" i="58"/>
  <c r="V205" i="58"/>
  <c r="V206" i="58"/>
  <c r="V207" i="58"/>
  <c r="V208" i="58"/>
  <c r="V209" i="58"/>
  <c r="V210" i="58"/>
  <c r="V211" i="58"/>
  <c r="V212" i="58"/>
  <c r="V213" i="58"/>
  <c r="V214" i="58"/>
  <c r="V215" i="58"/>
  <c r="V216" i="58"/>
  <c r="V217" i="58"/>
  <c r="V218" i="58"/>
  <c r="V219" i="58"/>
  <c r="V220" i="58"/>
  <c r="V221" i="58"/>
  <c r="V222" i="58"/>
  <c r="V223" i="58"/>
  <c r="V224" i="58"/>
  <c r="V225" i="58"/>
  <c r="V226" i="58"/>
  <c r="V227" i="58"/>
  <c r="V228" i="58"/>
  <c r="V229" i="58"/>
  <c r="V230" i="58"/>
  <c r="V231" i="58"/>
  <c r="V232" i="58"/>
  <c r="V233" i="58"/>
  <c r="V234" i="58"/>
  <c r="V235" i="58"/>
  <c r="V236" i="58"/>
  <c r="V237" i="58"/>
  <c r="V238" i="58"/>
  <c r="V239" i="58"/>
  <c r="V240" i="58"/>
  <c r="V241" i="58"/>
  <c r="V242" i="58"/>
  <c r="V243" i="58"/>
  <c r="V244" i="58"/>
  <c r="V245" i="58"/>
  <c r="V246" i="58"/>
  <c r="V247" i="58"/>
  <c r="V248" i="58"/>
  <c r="V249" i="58"/>
  <c r="V250" i="58"/>
  <c r="V251" i="58"/>
  <c r="V252" i="58"/>
  <c r="V253" i="58"/>
  <c r="V254" i="58"/>
  <c r="V255" i="58"/>
  <c r="V256" i="58"/>
  <c r="V257" i="58"/>
  <c r="V258" i="58"/>
  <c r="V259" i="58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T30" i="42"/>
  <c r="T31" i="42"/>
  <c r="T32" i="42"/>
  <c r="T33" i="42"/>
  <c r="T34" i="42"/>
  <c r="T35" i="42"/>
  <c r="T36" i="42"/>
  <c r="T37" i="42"/>
  <c r="T38" i="42"/>
  <c r="T39" i="42"/>
  <c r="T40" i="42"/>
  <c r="T41" i="42"/>
  <c r="T42" i="42"/>
  <c r="T43" i="42"/>
  <c r="T44" i="42"/>
  <c r="T45" i="42"/>
  <c r="T46" i="42"/>
  <c r="T47" i="42"/>
  <c r="T48" i="42"/>
  <c r="T49" i="42"/>
  <c r="T50" i="42"/>
  <c r="T51" i="42"/>
  <c r="T52" i="42"/>
  <c r="T53" i="42"/>
  <c r="T54" i="42"/>
  <c r="T55" i="42"/>
  <c r="T56" i="42"/>
  <c r="T57" i="42"/>
  <c r="T58" i="42"/>
  <c r="T59" i="42"/>
  <c r="T60" i="42"/>
  <c r="T61" i="42"/>
  <c r="T62" i="42"/>
  <c r="T63" i="42"/>
  <c r="T64" i="42"/>
  <c r="T65" i="42"/>
  <c r="T66" i="42"/>
  <c r="T67" i="42"/>
  <c r="T68" i="42"/>
  <c r="T69" i="42"/>
  <c r="T70" i="42"/>
  <c r="T71" i="42"/>
  <c r="T72" i="42"/>
  <c r="T73" i="42"/>
  <c r="T74" i="42"/>
  <c r="T75" i="42"/>
  <c r="T76" i="42"/>
  <c r="T77" i="42"/>
  <c r="T78" i="42"/>
  <c r="T79" i="42"/>
  <c r="T80" i="42"/>
  <c r="T81" i="42"/>
  <c r="T82" i="42"/>
  <c r="T83" i="42"/>
  <c r="T84" i="42"/>
  <c r="T85" i="42"/>
  <c r="T86" i="42"/>
  <c r="T87" i="42"/>
  <c r="T88" i="42"/>
  <c r="T89" i="42"/>
  <c r="T90" i="42"/>
  <c r="T91" i="42"/>
  <c r="T92" i="42"/>
  <c r="T93" i="42"/>
  <c r="T94" i="42"/>
  <c r="T95" i="42"/>
  <c r="T96" i="42"/>
  <c r="T97" i="42"/>
  <c r="T98" i="42"/>
  <c r="T99" i="42"/>
  <c r="T100" i="42"/>
  <c r="T101" i="42"/>
  <c r="T102" i="42"/>
  <c r="T103" i="42"/>
  <c r="T104" i="42"/>
  <c r="T105" i="42"/>
  <c r="T106" i="42"/>
  <c r="T107" i="42"/>
  <c r="T108" i="42"/>
  <c r="T109" i="42"/>
  <c r="T110" i="42"/>
  <c r="T111" i="42"/>
  <c r="T112" i="42"/>
  <c r="T113" i="42"/>
  <c r="T114" i="42"/>
  <c r="T115" i="42"/>
  <c r="T116" i="42"/>
  <c r="T117" i="42"/>
  <c r="T118" i="42"/>
  <c r="T119" i="42"/>
  <c r="T120" i="42"/>
  <c r="T121" i="42"/>
  <c r="T122" i="42"/>
  <c r="T123" i="42"/>
  <c r="T124" i="42"/>
  <c r="T125" i="42"/>
  <c r="T126" i="42"/>
  <c r="T127" i="42"/>
  <c r="T128" i="42"/>
  <c r="T129" i="42"/>
  <c r="T130" i="42"/>
  <c r="T131" i="42"/>
  <c r="T132" i="42"/>
  <c r="T133" i="42"/>
  <c r="T134" i="42"/>
  <c r="T135" i="42"/>
  <c r="T136" i="42"/>
  <c r="T137" i="42"/>
  <c r="T138" i="42"/>
  <c r="T139" i="42"/>
  <c r="T140" i="42"/>
  <c r="T141" i="42"/>
  <c r="T142" i="42"/>
  <c r="T143" i="42"/>
  <c r="T144" i="42"/>
  <c r="T145" i="42"/>
  <c r="T146" i="42"/>
  <c r="T147" i="42"/>
  <c r="T148" i="42"/>
  <c r="T149" i="42"/>
  <c r="T150" i="42"/>
  <c r="T151" i="42"/>
  <c r="T152" i="42"/>
  <c r="T153" i="42"/>
  <c r="T154" i="42"/>
  <c r="T155" i="42"/>
  <c r="T156" i="42"/>
  <c r="T157" i="42"/>
  <c r="T158" i="42"/>
  <c r="T159" i="42"/>
  <c r="T160" i="42"/>
  <c r="T161" i="42"/>
  <c r="T162" i="42"/>
  <c r="T163" i="42"/>
  <c r="T164" i="42"/>
  <c r="T165" i="42"/>
  <c r="T166" i="42"/>
  <c r="T167" i="42"/>
  <c r="T168" i="42"/>
  <c r="T169" i="42"/>
  <c r="T170" i="42"/>
  <c r="T171" i="42"/>
  <c r="T172" i="42"/>
  <c r="T173" i="42"/>
  <c r="T174" i="42"/>
  <c r="T175" i="42"/>
  <c r="T176" i="42"/>
  <c r="T177" i="42"/>
  <c r="T178" i="42"/>
  <c r="T179" i="42"/>
  <c r="T180" i="42"/>
  <c r="T181" i="42"/>
  <c r="T182" i="42"/>
  <c r="T183" i="42"/>
  <c r="T184" i="42"/>
  <c r="T185" i="42"/>
  <c r="T186" i="42"/>
  <c r="T187" i="42"/>
  <c r="T188" i="42"/>
  <c r="T189" i="42"/>
  <c r="T190" i="42"/>
  <c r="T191" i="42"/>
  <c r="T192" i="42"/>
  <c r="T193" i="42"/>
  <c r="T194" i="42"/>
  <c r="T195" i="42"/>
  <c r="T196" i="42"/>
  <c r="T197" i="42"/>
  <c r="T198" i="42"/>
  <c r="T199" i="42"/>
  <c r="T200" i="42"/>
  <c r="T201" i="42"/>
  <c r="T202" i="42"/>
  <c r="T203" i="42"/>
  <c r="T204" i="42"/>
  <c r="T205" i="42"/>
  <c r="T206" i="42"/>
  <c r="T207" i="42"/>
  <c r="T208" i="42"/>
  <c r="T209" i="42"/>
  <c r="T210" i="42"/>
  <c r="T211" i="42"/>
  <c r="T212" i="42"/>
  <c r="T213" i="42"/>
  <c r="T214" i="42"/>
  <c r="T215" i="42"/>
  <c r="T216" i="42"/>
  <c r="T217" i="42"/>
  <c r="T218" i="42"/>
  <c r="T219" i="42"/>
  <c r="T220" i="42"/>
  <c r="T221" i="42"/>
  <c r="T222" i="42"/>
  <c r="T223" i="42"/>
  <c r="T224" i="42"/>
  <c r="T225" i="42"/>
  <c r="T226" i="42"/>
  <c r="T227" i="42"/>
  <c r="T228" i="42"/>
  <c r="T229" i="42"/>
  <c r="T230" i="42"/>
  <c r="T231" i="42"/>
  <c r="T232" i="42"/>
  <c r="T233" i="42"/>
  <c r="T234" i="42"/>
  <c r="T235" i="42"/>
  <c r="T236" i="42"/>
  <c r="T237" i="42"/>
  <c r="T238" i="42"/>
  <c r="T239" i="42"/>
  <c r="T240" i="42"/>
  <c r="T241" i="42"/>
  <c r="T242" i="42"/>
  <c r="T243" i="42"/>
  <c r="T244" i="42"/>
  <c r="T245" i="42"/>
  <c r="T246" i="42"/>
  <c r="T247" i="42"/>
  <c r="T248" i="42"/>
  <c r="T249" i="42"/>
  <c r="T250" i="42"/>
  <c r="T251" i="42"/>
  <c r="T252" i="42"/>
  <c r="T253" i="42"/>
  <c r="T254" i="42"/>
  <c r="T255" i="42"/>
  <c r="T256" i="42"/>
  <c r="T257" i="42"/>
  <c r="T258" i="42"/>
  <c r="T259" i="42"/>
  <c r="S162" i="68"/>
  <c r="S163" i="68"/>
  <c r="S164" i="68"/>
  <c r="S165" i="68"/>
  <c r="S166" i="68"/>
  <c r="S167" i="68"/>
  <c r="S168" i="68"/>
  <c r="S169" i="68"/>
  <c r="S170" i="68"/>
  <c r="S171" i="68"/>
  <c r="S172" i="68"/>
  <c r="S173" i="68"/>
  <c r="S174" i="68"/>
  <c r="S175" i="68"/>
  <c r="S176" i="68"/>
  <c r="S177" i="68"/>
  <c r="S178" i="68"/>
  <c r="S179" i="68"/>
  <c r="S180" i="68"/>
  <c r="S181" i="68"/>
  <c r="S182" i="68"/>
  <c r="S183" i="68"/>
  <c r="S184" i="68"/>
  <c r="S185" i="68"/>
  <c r="S186" i="68"/>
  <c r="S187" i="68"/>
  <c r="S188" i="68"/>
  <c r="S189" i="68"/>
  <c r="S190" i="68"/>
  <c r="S191" i="68"/>
  <c r="S192" i="68"/>
  <c r="S193" i="68"/>
  <c r="S194" i="68"/>
  <c r="S195" i="68"/>
  <c r="S196" i="68"/>
  <c r="S197" i="68"/>
  <c r="S198" i="68"/>
  <c r="S199" i="68"/>
  <c r="S200" i="68"/>
  <c r="S201" i="68"/>
  <c r="S202" i="68"/>
  <c r="S203" i="68"/>
  <c r="S204" i="68"/>
  <c r="S205" i="68"/>
  <c r="S206" i="68"/>
  <c r="S207" i="68"/>
  <c r="S208" i="68"/>
  <c r="S209" i="68"/>
  <c r="S210" i="68"/>
  <c r="S211" i="68"/>
  <c r="S212" i="68"/>
  <c r="S213" i="68"/>
  <c r="S214" i="68"/>
  <c r="S215" i="68"/>
  <c r="S216" i="68"/>
  <c r="S217" i="68"/>
  <c r="S218" i="68"/>
  <c r="S219" i="68"/>
  <c r="S220" i="68"/>
  <c r="S221" i="68"/>
  <c r="S222" i="68"/>
  <c r="S223" i="68"/>
  <c r="S224" i="68"/>
  <c r="S225" i="68"/>
  <c r="S226" i="68"/>
  <c r="S227" i="68"/>
  <c r="S228" i="68"/>
  <c r="S229" i="68"/>
  <c r="S230" i="68"/>
  <c r="S231" i="68"/>
  <c r="S232" i="68"/>
  <c r="S233" i="68"/>
  <c r="S234" i="68"/>
  <c r="S235" i="68"/>
  <c r="S236" i="68"/>
  <c r="S237" i="68"/>
  <c r="S238" i="68"/>
  <c r="S239" i="68"/>
  <c r="S240" i="68"/>
  <c r="S241" i="68"/>
  <c r="S242" i="68"/>
  <c r="S243" i="68"/>
  <c r="S244" i="68"/>
  <c r="S245" i="68"/>
  <c r="S246" i="68"/>
  <c r="S247" i="68"/>
  <c r="S248" i="68"/>
  <c r="S249" i="68"/>
  <c r="S250" i="68"/>
  <c r="S251" i="68"/>
  <c r="S252" i="68"/>
  <c r="S253" i="68"/>
  <c r="S254" i="68"/>
  <c r="S255" i="68"/>
  <c r="S256" i="68"/>
  <c r="S257" i="68"/>
  <c r="S258" i="68"/>
  <c r="S259" i="68"/>
  <c r="S161" i="68"/>
  <c r="AF40" i="65"/>
  <c r="S13" i="64"/>
  <c r="S14" i="64"/>
  <c r="S15" i="64"/>
  <c r="S16" i="64"/>
  <c r="S17" i="64"/>
  <c r="S18" i="64"/>
  <c r="S19" i="64"/>
  <c r="S20" i="64"/>
  <c r="S21" i="64"/>
  <c r="S22" i="64"/>
  <c r="S23" i="64"/>
  <c r="S24" i="64"/>
  <c r="S25" i="64"/>
  <c r="S26" i="64"/>
  <c r="S27" i="64"/>
  <c r="S28" i="64"/>
  <c r="S29" i="64"/>
  <c r="S30" i="64"/>
  <c r="S31" i="64"/>
  <c r="S32" i="64"/>
  <c r="S33" i="64"/>
  <c r="S34" i="64"/>
  <c r="S35" i="64"/>
  <c r="S36" i="64"/>
  <c r="S37" i="64"/>
  <c r="S38" i="64"/>
  <c r="S39" i="64"/>
  <c r="S40" i="64"/>
  <c r="S41" i="64"/>
  <c r="S42" i="64"/>
  <c r="S43" i="64"/>
  <c r="S44" i="64"/>
  <c r="S45" i="64"/>
  <c r="S46" i="64"/>
  <c r="S47" i="64"/>
  <c r="S48" i="64"/>
  <c r="S49" i="64"/>
  <c r="S50" i="64"/>
  <c r="S51" i="64"/>
  <c r="S52" i="64"/>
  <c r="S53" i="64"/>
  <c r="S54" i="64"/>
  <c r="S55" i="64"/>
  <c r="S56" i="64"/>
  <c r="S57" i="64"/>
  <c r="S58" i="64"/>
  <c r="S59" i="64"/>
  <c r="S60" i="64"/>
  <c r="S61" i="64"/>
  <c r="S62" i="64"/>
  <c r="S63" i="64"/>
  <c r="S64" i="64"/>
  <c r="S65" i="64"/>
  <c r="S66" i="64"/>
  <c r="S67" i="64"/>
  <c r="S68" i="64"/>
  <c r="S69" i="64"/>
  <c r="S70" i="64"/>
  <c r="S71" i="64"/>
  <c r="S72" i="64"/>
  <c r="S73" i="64"/>
  <c r="S74" i="64"/>
  <c r="S75" i="64"/>
  <c r="S76" i="64"/>
  <c r="S77" i="64"/>
  <c r="S78" i="64"/>
  <c r="S79" i="64"/>
  <c r="S80" i="64"/>
  <c r="S81" i="64"/>
  <c r="S82" i="64"/>
  <c r="S83" i="64"/>
  <c r="S84" i="64"/>
  <c r="S85" i="64"/>
  <c r="S86" i="64"/>
  <c r="S87" i="64"/>
  <c r="S88" i="64"/>
  <c r="S89" i="64"/>
  <c r="S90" i="64"/>
  <c r="S91" i="64"/>
  <c r="S92" i="64"/>
  <c r="S93" i="64"/>
  <c r="S94" i="64"/>
  <c r="S95" i="64"/>
  <c r="S96" i="64"/>
  <c r="S97" i="64"/>
  <c r="S98" i="64"/>
  <c r="S99" i="64"/>
  <c r="S100" i="64"/>
  <c r="S101" i="64"/>
  <c r="S102" i="64"/>
  <c r="S103" i="64"/>
  <c r="S104" i="64"/>
  <c r="S105" i="64"/>
  <c r="S106" i="64"/>
  <c r="S107" i="64"/>
  <c r="S108" i="64"/>
  <c r="S109" i="64"/>
  <c r="S110" i="64"/>
  <c r="S111" i="64"/>
  <c r="S112" i="64"/>
  <c r="S113" i="64"/>
  <c r="S114" i="64"/>
  <c r="S115" i="64"/>
  <c r="S116" i="64"/>
  <c r="S117" i="64"/>
  <c r="S118" i="64"/>
  <c r="S119" i="64"/>
  <c r="S120" i="64"/>
  <c r="S121" i="64"/>
  <c r="S122" i="64"/>
  <c r="S123" i="64"/>
  <c r="S124" i="64"/>
  <c r="S125" i="64"/>
  <c r="S126" i="64"/>
  <c r="S127" i="64"/>
  <c r="S128" i="64"/>
  <c r="S129" i="64"/>
  <c r="S130" i="64"/>
  <c r="S131" i="64"/>
  <c r="S132" i="64"/>
  <c r="S133" i="64"/>
  <c r="S134" i="64"/>
  <c r="S135" i="64"/>
  <c r="S136" i="64"/>
  <c r="S137" i="64"/>
  <c r="S138" i="64"/>
  <c r="S139" i="64"/>
  <c r="S140" i="64"/>
  <c r="S141" i="64"/>
  <c r="S142" i="64"/>
  <c r="S143" i="64"/>
  <c r="S144" i="64"/>
  <c r="S145" i="64"/>
  <c r="S146" i="64"/>
  <c r="S147" i="64"/>
  <c r="S148" i="64"/>
  <c r="S149" i="64"/>
  <c r="S150" i="64"/>
  <c r="S151" i="64"/>
  <c r="S152" i="64"/>
  <c r="S153" i="64"/>
  <c r="S154" i="64"/>
  <c r="S155" i="64"/>
  <c r="S156" i="64"/>
  <c r="S157" i="64"/>
  <c r="S158" i="64"/>
  <c r="S159" i="64"/>
  <c r="S160" i="64"/>
  <c r="S161" i="64"/>
  <c r="S162" i="64"/>
  <c r="S163" i="64"/>
  <c r="S164" i="64"/>
  <c r="S165" i="64"/>
  <c r="S166" i="64"/>
  <c r="S167" i="64"/>
  <c r="S168" i="64"/>
  <c r="S169" i="64"/>
  <c r="S170" i="64"/>
  <c r="S171" i="64"/>
  <c r="S172" i="64"/>
  <c r="S173" i="64"/>
  <c r="S174" i="64"/>
  <c r="S175" i="64"/>
  <c r="S176" i="64"/>
  <c r="S177" i="64"/>
  <c r="S178" i="64"/>
  <c r="S179" i="64"/>
  <c r="S180" i="64"/>
  <c r="S181" i="64"/>
  <c r="S182" i="64"/>
  <c r="S183" i="64"/>
  <c r="S184" i="64"/>
  <c r="S185" i="64"/>
  <c r="S186" i="64"/>
  <c r="S187" i="64"/>
  <c r="S188" i="64"/>
  <c r="S189" i="64"/>
  <c r="S190" i="64"/>
  <c r="S191" i="64"/>
  <c r="S192" i="64"/>
  <c r="S193" i="64"/>
  <c r="S194" i="64"/>
  <c r="S195" i="64"/>
  <c r="S196" i="64"/>
  <c r="S197" i="64"/>
  <c r="S198" i="64"/>
  <c r="S199" i="64"/>
  <c r="S200" i="64"/>
  <c r="S201" i="64"/>
  <c r="S202" i="64"/>
  <c r="S203" i="64"/>
  <c r="S204" i="64"/>
  <c r="S205" i="64"/>
  <c r="S206" i="64"/>
  <c r="S207" i="64"/>
  <c r="S208" i="64"/>
  <c r="S209" i="64"/>
  <c r="S210" i="64"/>
  <c r="S211" i="64"/>
  <c r="S212" i="64"/>
  <c r="S213" i="64"/>
  <c r="S214" i="64"/>
  <c r="S215" i="64"/>
  <c r="S216" i="64"/>
  <c r="S217" i="64"/>
  <c r="S218" i="64"/>
  <c r="S219" i="64"/>
  <c r="S220" i="64"/>
  <c r="S221" i="64"/>
  <c r="S222" i="64"/>
  <c r="S223" i="64"/>
  <c r="S224" i="64"/>
  <c r="S225" i="64"/>
  <c r="S226" i="64"/>
  <c r="S227" i="64"/>
  <c r="S228" i="64"/>
  <c r="S229" i="64"/>
  <c r="S230" i="64"/>
  <c r="S231" i="64"/>
  <c r="S232" i="64"/>
  <c r="S233" i="64"/>
  <c r="S234" i="64"/>
  <c r="S235" i="64"/>
  <c r="S236" i="64"/>
  <c r="S237" i="64"/>
  <c r="S238" i="64"/>
  <c r="S239" i="64"/>
  <c r="S240" i="64"/>
  <c r="S241" i="64"/>
  <c r="S242" i="64"/>
  <c r="S243" i="64"/>
  <c r="S244" i="64"/>
  <c r="S245" i="64"/>
  <c r="S246" i="64"/>
  <c r="S247" i="64"/>
  <c r="S248" i="64"/>
  <c r="S249" i="64"/>
  <c r="S250" i="64"/>
  <c r="S251" i="64"/>
  <c r="S252" i="64"/>
  <c r="S253" i="64"/>
  <c r="S254" i="64"/>
  <c r="S255" i="64"/>
  <c r="S256" i="64"/>
  <c r="S257" i="64"/>
  <c r="S258" i="64"/>
  <c r="S259" i="64"/>
  <c r="W23" i="46"/>
  <c r="W24" i="46"/>
  <c r="W25" i="46"/>
  <c r="W26" i="46"/>
  <c r="W27" i="46"/>
  <c r="W28" i="46"/>
  <c r="W29" i="46"/>
  <c r="W30" i="46"/>
  <c r="W31" i="46"/>
  <c r="W32" i="46"/>
  <c r="W33" i="46"/>
  <c r="W34" i="46"/>
  <c r="W35" i="46"/>
  <c r="W36" i="46"/>
  <c r="W37" i="46"/>
  <c r="W38" i="46"/>
  <c r="W39" i="46"/>
  <c r="W40" i="46"/>
  <c r="W41" i="46"/>
  <c r="W42" i="46"/>
  <c r="W43" i="46"/>
  <c r="W44" i="46"/>
  <c r="W45" i="46"/>
  <c r="W46" i="46"/>
  <c r="W47" i="46"/>
  <c r="W48" i="46"/>
  <c r="W49" i="46"/>
  <c r="W50" i="46"/>
  <c r="W51" i="46"/>
  <c r="W52" i="46"/>
  <c r="W53" i="46"/>
  <c r="W54" i="46"/>
  <c r="W55" i="46"/>
  <c r="W56" i="46"/>
  <c r="W57" i="46"/>
  <c r="W58" i="46"/>
  <c r="W59" i="46"/>
  <c r="W60" i="46"/>
  <c r="W61" i="46"/>
  <c r="W62" i="46"/>
  <c r="W63" i="46"/>
  <c r="W64" i="46"/>
  <c r="W65" i="46"/>
  <c r="W66" i="46"/>
  <c r="W67" i="46"/>
  <c r="W68" i="46"/>
  <c r="W69" i="46"/>
  <c r="W70" i="46"/>
  <c r="W71" i="46"/>
  <c r="W72" i="46"/>
  <c r="W73" i="46"/>
  <c r="W74" i="46"/>
  <c r="W75" i="46"/>
  <c r="W76" i="46"/>
  <c r="W77" i="46"/>
  <c r="W78" i="46"/>
  <c r="W79" i="46"/>
  <c r="W80" i="46"/>
  <c r="W81" i="46"/>
  <c r="W82" i="46"/>
  <c r="W83" i="46"/>
  <c r="W84" i="46"/>
  <c r="W85" i="46"/>
  <c r="W86" i="46"/>
  <c r="W87" i="46"/>
  <c r="W88" i="46"/>
  <c r="W89" i="46"/>
  <c r="W90" i="46"/>
  <c r="W91" i="46"/>
  <c r="W92" i="46"/>
  <c r="W93" i="46"/>
  <c r="W94" i="46"/>
  <c r="W95" i="46"/>
  <c r="W96" i="46"/>
  <c r="W97" i="46"/>
  <c r="W98" i="46"/>
  <c r="W99" i="46"/>
  <c r="W100" i="46"/>
  <c r="W101" i="46"/>
  <c r="W102" i="46"/>
  <c r="W103" i="46"/>
  <c r="W104" i="46"/>
  <c r="W105" i="46"/>
  <c r="W106" i="46"/>
  <c r="W107" i="46"/>
  <c r="W108" i="46"/>
  <c r="W109" i="46"/>
  <c r="W110" i="46"/>
  <c r="W111" i="46"/>
  <c r="W112" i="46"/>
  <c r="W113" i="46"/>
  <c r="W114" i="46"/>
  <c r="W115" i="46"/>
  <c r="W116" i="46"/>
  <c r="W117" i="46"/>
  <c r="W118" i="46"/>
  <c r="W119" i="46"/>
  <c r="W120" i="46"/>
  <c r="W121" i="46"/>
  <c r="W122" i="46"/>
  <c r="W123" i="46"/>
  <c r="W124" i="46"/>
  <c r="W125" i="46"/>
  <c r="W126" i="46"/>
  <c r="W127" i="46"/>
  <c r="W128" i="46"/>
  <c r="W129" i="46"/>
  <c r="W130" i="46"/>
  <c r="W131" i="46"/>
  <c r="W132" i="46"/>
  <c r="W133" i="46"/>
  <c r="W134" i="46"/>
  <c r="W135" i="46"/>
  <c r="W136" i="46"/>
  <c r="W137" i="46"/>
  <c r="W138" i="46"/>
  <c r="W139" i="46"/>
  <c r="W140" i="46"/>
  <c r="W141" i="46"/>
  <c r="W142" i="46"/>
  <c r="W143" i="46"/>
  <c r="W144" i="46"/>
  <c r="W145" i="46"/>
  <c r="W146" i="46"/>
  <c r="W147" i="46"/>
  <c r="W148" i="46"/>
  <c r="W149" i="46"/>
  <c r="W150" i="46"/>
  <c r="W151" i="46"/>
  <c r="W152" i="46"/>
  <c r="W153" i="46"/>
  <c r="W154" i="46"/>
  <c r="W155" i="46"/>
  <c r="W156" i="46"/>
  <c r="W157" i="46"/>
  <c r="W158" i="46"/>
  <c r="W159" i="46"/>
  <c r="W160" i="46"/>
  <c r="W161" i="46"/>
  <c r="W162" i="46"/>
  <c r="W163" i="46"/>
  <c r="W164" i="46"/>
  <c r="W165" i="46"/>
  <c r="W166" i="46"/>
  <c r="W167" i="46"/>
  <c r="W168" i="46"/>
  <c r="W169" i="46"/>
  <c r="W170" i="46"/>
  <c r="W171" i="46"/>
  <c r="W172" i="46"/>
  <c r="W173" i="46"/>
  <c r="W174" i="46"/>
  <c r="W175" i="46"/>
  <c r="W176" i="46"/>
  <c r="W177" i="46"/>
  <c r="W178" i="46"/>
  <c r="W179" i="46"/>
  <c r="W180" i="46"/>
  <c r="W181" i="46"/>
  <c r="W182" i="46"/>
  <c r="W183" i="46"/>
  <c r="W184" i="46"/>
  <c r="W185" i="46"/>
  <c r="W186" i="46"/>
  <c r="W187" i="46"/>
  <c r="W188" i="46"/>
  <c r="W189" i="46"/>
  <c r="W190" i="46"/>
  <c r="W191" i="46"/>
  <c r="W192" i="46"/>
  <c r="W193" i="46"/>
  <c r="W194" i="46"/>
  <c r="W195" i="46"/>
  <c r="W196" i="46"/>
  <c r="W197" i="46"/>
  <c r="W198" i="46"/>
  <c r="W199" i="46"/>
  <c r="W200" i="46"/>
  <c r="W201" i="46"/>
  <c r="W202" i="46"/>
  <c r="W203" i="46"/>
  <c r="W204" i="46"/>
  <c r="W205" i="46"/>
  <c r="W206" i="46"/>
  <c r="W207" i="46"/>
  <c r="W208" i="46"/>
  <c r="W209" i="46"/>
  <c r="W210" i="46"/>
  <c r="W211" i="46"/>
  <c r="W212" i="46"/>
  <c r="W213" i="46"/>
  <c r="W214" i="46"/>
  <c r="W215" i="46"/>
  <c r="W216" i="46"/>
  <c r="W217" i="46"/>
  <c r="W218" i="46"/>
  <c r="W219" i="46"/>
  <c r="W220" i="46"/>
  <c r="W221" i="46"/>
  <c r="W222" i="46"/>
  <c r="W223" i="46"/>
  <c r="W224" i="46"/>
  <c r="W225" i="46"/>
  <c r="W226" i="46"/>
  <c r="W227" i="46"/>
  <c r="W228" i="46"/>
  <c r="W229" i="46"/>
  <c r="W230" i="46"/>
  <c r="W231" i="46"/>
  <c r="W232" i="46"/>
  <c r="W233" i="46"/>
  <c r="W234" i="46"/>
  <c r="W235" i="46"/>
  <c r="W236" i="46"/>
  <c r="W237" i="46"/>
  <c r="W238" i="46"/>
  <c r="W239" i="46"/>
  <c r="W240" i="46"/>
  <c r="W241" i="46"/>
  <c r="W242" i="46"/>
  <c r="W243" i="46"/>
  <c r="W244" i="46"/>
  <c r="W245" i="46"/>
  <c r="W246" i="46"/>
  <c r="W247" i="46"/>
  <c r="W248" i="46"/>
  <c r="W249" i="46"/>
  <c r="W250" i="46"/>
  <c r="W251" i="46"/>
  <c r="W252" i="46"/>
  <c r="W253" i="46"/>
  <c r="W254" i="46"/>
  <c r="W255" i="46"/>
  <c r="W256" i="46"/>
  <c r="X256" i="71"/>
  <c r="W256" i="71"/>
  <c r="W12" i="71"/>
  <c r="W13" i="71"/>
  <c r="W14" i="71"/>
  <c r="W15" i="71"/>
  <c r="W16" i="71"/>
  <c r="W17" i="71"/>
  <c r="W18" i="71"/>
  <c r="W19" i="71"/>
  <c r="W20" i="71"/>
  <c r="W21" i="71"/>
  <c r="W22" i="71"/>
  <c r="W23" i="71"/>
  <c r="W24" i="71"/>
  <c r="W25" i="71"/>
  <c r="W26" i="71"/>
  <c r="W27" i="71"/>
  <c r="W28" i="71"/>
  <c r="W29" i="71"/>
  <c r="W30" i="71"/>
  <c r="W31" i="71"/>
  <c r="W32" i="71"/>
  <c r="W33" i="71"/>
  <c r="W34" i="71"/>
  <c r="W35" i="71"/>
  <c r="W36" i="71"/>
  <c r="W37" i="71"/>
  <c r="W38" i="71"/>
  <c r="W39" i="71"/>
  <c r="W40" i="71"/>
  <c r="W41" i="71"/>
  <c r="W42" i="71"/>
  <c r="W43" i="71"/>
  <c r="W44" i="71"/>
  <c r="W45" i="71"/>
  <c r="W46" i="71"/>
  <c r="W47" i="71"/>
  <c r="W48" i="71"/>
  <c r="W49" i="71"/>
  <c r="W50" i="71"/>
  <c r="W51" i="71"/>
  <c r="W52" i="71"/>
  <c r="W53" i="71"/>
  <c r="W54" i="71"/>
  <c r="W55" i="71"/>
  <c r="W56" i="71"/>
  <c r="W57" i="71"/>
  <c r="W58" i="71"/>
  <c r="W59" i="71"/>
  <c r="W60" i="71"/>
  <c r="W61" i="71"/>
  <c r="W62" i="71"/>
  <c r="W63" i="71"/>
  <c r="W64" i="71"/>
  <c r="W65" i="71"/>
  <c r="W66" i="71"/>
  <c r="W67" i="71"/>
  <c r="W68" i="71"/>
  <c r="W69" i="71"/>
  <c r="W70" i="71"/>
  <c r="W71" i="71"/>
  <c r="W72" i="71"/>
  <c r="W73" i="71"/>
  <c r="W74" i="71"/>
  <c r="W75" i="71"/>
  <c r="W76" i="71"/>
  <c r="W77" i="71"/>
  <c r="W78" i="71"/>
  <c r="W79" i="71"/>
  <c r="W80" i="71"/>
  <c r="W81" i="71"/>
  <c r="W82" i="71"/>
  <c r="W83" i="71"/>
  <c r="W84" i="71"/>
  <c r="W85" i="71"/>
  <c r="W86" i="71"/>
  <c r="W87" i="71"/>
  <c r="W88" i="71"/>
  <c r="W89" i="71"/>
  <c r="W90" i="71"/>
  <c r="W91" i="71"/>
  <c r="W92" i="71"/>
  <c r="W93" i="71"/>
  <c r="W94" i="71"/>
  <c r="W95" i="71"/>
  <c r="W96" i="71"/>
  <c r="W97" i="71"/>
  <c r="W98" i="71"/>
  <c r="W99" i="71"/>
  <c r="W100" i="71"/>
  <c r="W101" i="71"/>
  <c r="W102" i="71"/>
  <c r="W103" i="71"/>
  <c r="W104" i="71"/>
  <c r="W105" i="71"/>
  <c r="W106" i="71"/>
  <c r="W107" i="71"/>
  <c r="W108" i="71"/>
  <c r="W109" i="71"/>
  <c r="W110" i="71"/>
  <c r="W111" i="71"/>
  <c r="W112" i="71"/>
  <c r="W113" i="71"/>
  <c r="W114" i="71"/>
  <c r="W115" i="71"/>
  <c r="W116" i="71"/>
  <c r="W117" i="71"/>
  <c r="W118" i="71"/>
  <c r="W119" i="71"/>
  <c r="W120" i="71"/>
  <c r="W121" i="71"/>
  <c r="W122" i="71"/>
  <c r="W123" i="71"/>
  <c r="W124" i="71"/>
  <c r="W125" i="71"/>
  <c r="W126" i="71"/>
  <c r="W127" i="71"/>
  <c r="W128" i="71"/>
  <c r="W129" i="71"/>
  <c r="W130" i="71"/>
  <c r="W131" i="71"/>
  <c r="W132" i="71"/>
  <c r="W133" i="71"/>
  <c r="W134" i="71"/>
  <c r="W135" i="71"/>
  <c r="W136" i="71"/>
  <c r="W137" i="71"/>
  <c r="W138" i="71"/>
  <c r="W139" i="71"/>
  <c r="W140" i="71"/>
  <c r="W141" i="71"/>
  <c r="W142" i="71"/>
  <c r="W143" i="71"/>
  <c r="W144" i="71"/>
  <c r="W145" i="71"/>
  <c r="W146" i="71"/>
  <c r="W147" i="71"/>
  <c r="W148" i="71"/>
  <c r="W149" i="71"/>
  <c r="W150" i="71"/>
  <c r="W151" i="71"/>
  <c r="W152" i="71"/>
  <c r="W153" i="71"/>
  <c r="W154" i="71"/>
  <c r="W155" i="71"/>
  <c r="W156" i="71"/>
  <c r="W157" i="71"/>
  <c r="W158" i="71"/>
  <c r="W159" i="71"/>
  <c r="W160" i="71"/>
  <c r="W161" i="71"/>
  <c r="W162" i="71"/>
  <c r="W163" i="71"/>
  <c r="W164" i="71"/>
  <c r="W165" i="71"/>
  <c r="W166" i="71"/>
  <c r="W167" i="71"/>
  <c r="W168" i="71"/>
  <c r="W169" i="71"/>
  <c r="W170" i="71"/>
  <c r="W171" i="71"/>
  <c r="W172" i="71"/>
  <c r="W173" i="71"/>
  <c r="W174" i="71"/>
  <c r="W175" i="71"/>
  <c r="W176" i="71"/>
  <c r="W177" i="71"/>
  <c r="W178" i="71"/>
  <c r="W179" i="71"/>
  <c r="W180" i="71"/>
  <c r="W181" i="71"/>
  <c r="W182" i="71"/>
  <c r="W183" i="71"/>
  <c r="W184" i="71"/>
  <c r="W185" i="71"/>
  <c r="W186" i="71"/>
  <c r="W187" i="71"/>
  <c r="W188" i="71"/>
  <c r="W189" i="71"/>
  <c r="W190" i="71"/>
  <c r="W191" i="71"/>
  <c r="W192" i="71"/>
  <c r="W193" i="71"/>
  <c r="W194" i="71"/>
  <c r="W195" i="71"/>
  <c r="W196" i="71"/>
  <c r="W197" i="71"/>
  <c r="W198" i="71"/>
  <c r="W199" i="71"/>
  <c r="W200" i="71"/>
  <c r="W201" i="71"/>
  <c r="W202" i="71"/>
  <c r="W203" i="71"/>
  <c r="W204" i="71"/>
  <c r="W205" i="71"/>
  <c r="W206" i="71"/>
  <c r="W207" i="71"/>
  <c r="W208" i="71"/>
  <c r="W209" i="71"/>
  <c r="W210" i="71"/>
  <c r="W211" i="71"/>
  <c r="W212" i="71"/>
  <c r="W213" i="71"/>
  <c r="W214" i="71"/>
  <c r="W215" i="71"/>
  <c r="W216" i="71"/>
  <c r="W217" i="71"/>
  <c r="W218" i="71"/>
  <c r="W219" i="71"/>
  <c r="W220" i="71"/>
  <c r="W221" i="71"/>
  <c r="W222" i="71"/>
  <c r="W223" i="71"/>
  <c r="W224" i="71"/>
  <c r="W225" i="71"/>
  <c r="W226" i="71"/>
  <c r="W227" i="71"/>
  <c r="W228" i="71"/>
  <c r="W229" i="71"/>
  <c r="W230" i="71"/>
  <c r="W231" i="71"/>
  <c r="W232" i="71"/>
  <c r="W233" i="71"/>
  <c r="W234" i="71"/>
  <c r="W235" i="71"/>
  <c r="W236" i="71"/>
  <c r="W237" i="71"/>
  <c r="W238" i="71"/>
  <c r="W239" i="71"/>
  <c r="W240" i="71"/>
  <c r="W241" i="71"/>
  <c r="W242" i="71"/>
  <c r="W243" i="71"/>
  <c r="W244" i="71"/>
  <c r="W245" i="71"/>
  <c r="W246" i="71"/>
  <c r="W247" i="71"/>
  <c r="W248" i="71"/>
  <c r="W249" i="71"/>
  <c r="W250" i="71"/>
  <c r="W251" i="71"/>
  <c r="W252" i="71"/>
  <c r="W253" i="71"/>
  <c r="W254" i="71"/>
  <c r="W255" i="71"/>
  <c r="C74" i="72" l="1"/>
  <c r="B74" i="72"/>
  <c r="C137" i="72"/>
  <c r="B137" i="72"/>
  <c r="C134" i="72"/>
  <c r="C133" i="72"/>
  <c r="C159" i="72"/>
  <c r="B159" i="72"/>
  <c r="C81" i="72"/>
  <c r="B81" i="72"/>
  <c r="C62" i="72"/>
  <c r="B62" i="72"/>
  <c r="C32" i="72"/>
  <c r="B32" i="72"/>
  <c r="C31" i="72"/>
  <c r="C30" i="72"/>
  <c r="C29" i="72"/>
  <c r="C28" i="72"/>
  <c r="C27" i="72"/>
  <c r="C26" i="72"/>
  <c r="C25" i="72"/>
  <c r="C24" i="72"/>
  <c r="C23" i="72"/>
  <c r="C22" i="72"/>
  <c r="C21" i="72"/>
  <c r="C20" i="72"/>
  <c r="C19" i="72"/>
  <c r="C18" i="72"/>
  <c r="C17" i="72"/>
  <c r="C16" i="72"/>
  <c r="C15" i="72"/>
  <c r="C14" i="72"/>
  <c r="L100" i="29"/>
  <c r="M100" i="29"/>
  <c r="L101" i="29"/>
  <c r="M101" i="29"/>
  <c r="L102" i="29"/>
  <c r="M102" i="29"/>
  <c r="L103" i="29"/>
  <c r="M103" i="29"/>
  <c r="L104" i="29"/>
  <c r="M104" i="29"/>
  <c r="L105" i="29"/>
  <c r="M105" i="29"/>
  <c r="L106" i="29"/>
  <c r="M106" i="29"/>
  <c r="L107" i="29"/>
  <c r="M107" i="29"/>
  <c r="L108" i="29"/>
  <c r="M108" i="29"/>
  <c r="L109" i="29"/>
  <c r="M109" i="29"/>
  <c r="L110" i="29"/>
  <c r="M110" i="29"/>
  <c r="X258" i="59" l="1"/>
  <c r="AQ258" i="59" s="1"/>
  <c r="X257" i="59"/>
  <c r="AQ257" i="59" s="1"/>
  <c r="X256" i="59"/>
  <c r="AQ256" i="59" s="1"/>
  <c r="X254" i="59"/>
  <c r="AQ254" i="59" s="1"/>
  <c r="X253" i="59"/>
  <c r="AQ253" i="59" s="1"/>
  <c r="X252" i="59"/>
  <c r="AQ252" i="59" s="1"/>
  <c r="X251" i="59"/>
  <c r="AQ251" i="59" s="1"/>
  <c r="X250" i="59"/>
  <c r="AQ250" i="59" s="1"/>
  <c r="X249" i="59"/>
  <c r="AQ249" i="59" s="1"/>
  <c r="X248" i="59"/>
  <c r="AQ248" i="59" s="1"/>
  <c r="X247" i="59"/>
  <c r="AQ247" i="59" s="1"/>
  <c r="X246" i="59"/>
  <c r="AQ246" i="59" s="1"/>
  <c r="X245" i="59"/>
  <c r="AQ245" i="59" s="1"/>
  <c r="X244" i="59"/>
  <c r="AQ244" i="59" s="1"/>
  <c r="X243" i="59"/>
  <c r="AQ243" i="59" s="1"/>
  <c r="X242" i="59"/>
  <c r="AQ242" i="59" s="1"/>
  <c r="X241" i="59"/>
  <c r="AQ241" i="59" s="1"/>
  <c r="X240" i="59"/>
  <c r="AQ240" i="59" s="1"/>
  <c r="X239" i="59"/>
  <c r="AQ239" i="59" s="1"/>
  <c r="X238" i="59"/>
  <c r="AQ238" i="59" s="1"/>
  <c r="X237" i="59"/>
  <c r="AQ237" i="59" s="1"/>
  <c r="X236" i="59"/>
  <c r="AQ236" i="59" s="1"/>
  <c r="X235" i="59"/>
  <c r="AQ235" i="59" s="1"/>
  <c r="X234" i="59"/>
  <c r="AQ234" i="59" s="1"/>
  <c r="X233" i="59"/>
  <c r="AQ233" i="59" s="1"/>
  <c r="X232" i="59"/>
  <c r="AQ232" i="59" s="1"/>
  <c r="X231" i="59"/>
  <c r="AQ231" i="59" s="1"/>
  <c r="X230" i="59"/>
  <c r="AQ230" i="59" s="1"/>
  <c r="X229" i="59"/>
  <c r="AQ229" i="59" s="1"/>
  <c r="X228" i="59"/>
  <c r="AQ228" i="59" s="1"/>
  <c r="X227" i="59"/>
  <c r="AQ227" i="59" s="1"/>
  <c r="X226" i="59"/>
  <c r="AQ226" i="59" s="1"/>
  <c r="X225" i="59"/>
  <c r="AQ225" i="59" s="1"/>
  <c r="X224" i="59"/>
  <c r="AQ224" i="59" s="1"/>
  <c r="X223" i="59"/>
  <c r="AQ223" i="59" s="1"/>
  <c r="X222" i="59"/>
  <c r="AQ222" i="59" s="1"/>
  <c r="X221" i="59"/>
  <c r="AQ221" i="59" s="1"/>
  <c r="X220" i="59"/>
  <c r="AQ220" i="59" s="1"/>
  <c r="X219" i="59"/>
  <c r="AQ219" i="59" s="1"/>
  <c r="X218" i="59"/>
  <c r="AQ218" i="59" s="1"/>
  <c r="X217" i="59"/>
  <c r="AQ217" i="59" s="1"/>
  <c r="X216" i="59"/>
  <c r="AQ216" i="59" s="1"/>
  <c r="X215" i="59"/>
  <c r="AQ215" i="59" s="1"/>
  <c r="X214" i="59"/>
  <c r="AQ214" i="59" s="1"/>
  <c r="X213" i="59"/>
  <c r="AQ213" i="59" s="1"/>
  <c r="X212" i="59"/>
  <c r="AQ212" i="59" s="1"/>
  <c r="X211" i="59"/>
  <c r="AQ211" i="59" s="1"/>
  <c r="X210" i="59"/>
  <c r="AQ210" i="59" s="1"/>
  <c r="X209" i="59"/>
  <c r="AQ209" i="59" s="1"/>
  <c r="X208" i="59"/>
  <c r="AQ208" i="59" s="1"/>
  <c r="X207" i="59"/>
  <c r="AQ207" i="59" s="1"/>
  <c r="X206" i="59"/>
  <c r="AQ206" i="59" s="1"/>
  <c r="X205" i="59"/>
  <c r="AQ205" i="59" s="1"/>
  <c r="X204" i="59"/>
  <c r="AQ204" i="59" s="1"/>
  <c r="X203" i="59"/>
  <c r="AQ203" i="59" s="1"/>
  <c r="X202" i="59"/>
  <c r="AQ202" i="59" s="1"/>
  <c r="X201" i="59"/>
  <c r="AQ201" i="59" s="1"/>
  <c r="X200" i="59"/>
  <c r="AQ200" i="59" s="1"/>
  <c r="X199" i="59"/>
  <c r="AQ199" i="59" s="1"/>
  <c r="X198" i="59"/>
  <c r="AQ198" i="59" s="1"/>
  <c r="X197" i="59"/>
  <c r="AQ197" i="59" s="1"/>
  <c r="X196" i="59"/>
  <c r="AQ196" i="59" s="1"/>
  <c r="X195" i="59"/>
  <c r="AQ195" i="59" s="1"/>
  <c r="X194" i="59"/>
  <c r="AQ194" i="59" s="1"/>
  <c r="X193" i="59"/>
  <c r="AQ193" i="59" s="1"/>
  <c r="X192" i="59"/>
  <c r="AQ192" i="59" s="1"/>
  <c r="X191" i="59"/>
  <c r="AQ191" i="59" s="1"/>
  <c r="X190" i="59"/>
  <c r="AQ190" i="59" s="1"/>
  <c r="X189" i="59"/>
  <c r="AQ189" i="59" s="1"/>
  <c r="X188" i="59"/>
  <c r="AQ188" i="59" s="1"/>
  <c r="X187" i="59"/>
  <c r="AQ187" i="59" s="1"/>
  <c r="X186" i="59"/>
  <c r="AQ186" i="59" s="1"/>
  <c r="X185" i="59"/>
  <c r="AQ185" i="59" s="1"/>
  <c r="X184" i="59"/>
  <c r="AQ184" i="59" s="1"/>
  <c r="X183" i="59"/>
  <c r="AQ183" i="59" s="1"/>
  <c r="X182" i="59"/>
  <c r="AQ182" i="59" s="1"/>
  <c r="X181" i="59"/>
  <c r="AQ181" i="59" s="1"/>
  <c r="X180" i="59"/>
  <c r="AQ180" i="59" s="1"/>
  <c r="X179" i="59"/>
  <c r="AQ179" i="59" s="1"/>
  <c r="X178" i="59"/>
  <c r="AQ178" i="59" s="1"/>
  <c r="X177" i="59"/>
  <c r="AQ177" i="59" s="1"/>
  <c r="X176" i="59"/>
  <c r="AQ176" i="59" s="1"/>
  <c r="X175" i="59"/>
  <c r="AQ175" i="59" s="1"/>
  <c r="X174" i="59"/>
  <c r="AQ174" i="59" s="1"/>
  <c r="X173" i="59"/>
  <c r="AQ173" i="59" s="1"/>
  <c r="X172" i="59"/>
  <c r="AQ172" i="59" s="1"/>
  <c r="X171" i="59"/>
  <c r="AQ171" i="59" s="1"/>
  <c r="X170" i="59"/>
  <c r="AQ170" i="59" s="1"/>
  <c r="X169" i="59"/>
  <c r="AQ169" i="59" s="1"/>
  <c r="X168" i="59"/>
  <c r="AQ168" i="59" s="1"/>
  <c r="X167" i="59"/>
  <c r="AQ167" i="59" s="1"/>
  <c r="X166" i="59"/>
  <c r="AQ166" i="59" s="1"/>
  <c r="X165" i="59"/>
  <c r="AQ165" i="59" s="1"/>
  <c r="X164" i="59"/>
  <c r="AQ164" i="59" s="1"/>
  <c r="X163" i="59"/>
  <c r="AQ163" i="59" s="1"/>
  <c r="X162" i="59"/>
  <c r="AQ162" i="59" s="1"/>
  <c r="X161" i="59"/>
  <c r="AQ161" i="59" s="1"/>
  <c r="X160" i="59"/>
  <c r="AQ160" i="59" s="1"/>
  <c r="X159" i="59"/>
  <c r="AQ159" i="59" s="1"/>
  <c r="X158" i="59"/>
  <c r="AQ158" i="59" s="1"/>
  <c r="X157" i="59"/>
  <c r="AQ157" i="59" s="1"/>
  <c r="X156" i="59"/>
  <c r="AQ156" i="59" s="1"/>
  <c r="X155" i="59"/>
  <c r="AQ155" i="59" s="1"/>
  <c r="X154" i="59"/>
  <c r="AQ154" i="59" s="1"/>
  <c r="X153" i="59"/>
  <c r="AQ153" i="59" s="1"/>
  <c r="X152" i="59"/>
  <c r="AQ152" i="59" s="1"/>
  <c r="X151" i="59"/>
  <c r="AQ151" i="59" s="1"/>
  <c r="X150" i="59"/>
  <c r="AQ150" i="59" s="1"/>
  <c r="X149" i="59"/>
  <c r="AQ149" i="59" s="1"/>
  <c r="X148" i="59"/>
  <c r="AQ148" i="59" s="1"/>
  <c r="X147" i="59"/>
  <c r="AQ147" i="59" s="1"/>
  <c r="X146" i="59"/>
  <c r="AQ146" i="59" s="1"/>
  <c r="X145" i="59"/>
  <c r="AQ145" i="59" s="1"/>
  <c r="X144" i="59"/>
  <c r="AQ144" i="59" s="1"/>
  <c r="X143" i="59"/>
  <c r="AQ143" i="59" s="1"/>
  <c r="X142" i="59"/>
  <c r="AQ142" i="59" s="1"/>
  <c r="X141" i="59"/>
  <c r="AQ141" i="59" s="1"/>
  <c r="X140" i="59"/>
  <c r="AQ140" i="59" s="1"/>
  <c r="X139" i="59"/>
  <c r="AQ139" i="59" s="1"/>
  <c r="X138" i="59"/>
  <c r="AQ138" i="59" s="1"/>
  <c r="X137" i="59"/>
  <c r="AQ137" i="59" s="1"/>
  <c r="X136" i="59"/>
  <c r="AQ136" i="59" s="1"/>
  <c r="X135" i="59"/>
  <c r="AQ135" i="59" s="1"/>
  <c r="X134" i="59"/>
  <c r="AQ134" i="59" s="1"/>
  <c r="X133" i="59"/>
  <c r="AQ133" i="59" s="1"/>
  <c r="X132" i="59"/>
  <c r="AQ132" i="59" s="1"/>
  <c r="X131" i="59"/>
  <c r="AQ131" i="59" s="1"/>
  <c r="X130" i="59"/>
  <c r="AQ130" i="59" s="1"/>
  <c r="X129" i="59"/>
  <c r="AQ129" i="59" s="1"/>
  <c r="X128" i="59"/>
  <c r="AQ128" i="59" s="1"/>
  <c r="X127" i="59"/>
  <c r="AQ127" i="59" s="1"/>
  <c r="X126" i="59"/>
  <c r="AQ126" i="59" s="1"/>
  <c r="X125" i="59"/>
  <c r="AQ125" i="59" s="1"/>
  <c r="X124" i="59"/>
  <c r="AQ124" i="59" s="1"/>
  <c r="X123" i="59"/>
  <c r="AQ123" i="59" s="1"/>
  <c r="X122" i="59"/>
  <c r="AQ122" i="59" s="1"/>
  <c r="X121" i="59"/>
  <c r="AQ121" i="59" s="1"/>
  <c r="X120" i="59"/>
  <c r="AQ120" i="59" s="1"/>
  <c r="X119" i="59"/>
  <c r="AQ119" i="59" s="1"/>
  <c r="X118" i="59"/>
  <c r="AQ118" i="59" s="1"/>
  <c r="X117" i="59"/>
  <c r="AQ117" i="59" s="1"/>
  <c r="X116" i="59"/>
  <c r="AQ116" i="59" s="1"/>
  <c r="X115" i="59"/>
  <c r="AQ115" i="59" s="1"/>
  <c r="X114" i="59"/>
  <c r="AQ114" i="59" s="1"/>
  <c r="X113" i="59"/>
  <c r="AQ113" i="59" s="1"/>
  <c r="X112" i="59"/>
  <c r="AQ112" i="59" s="1"/>
  <c r="X111" i="59"/>
  <c r="AQ111" i="59" s="1"/>
  <c r="X110" i="59"/>
  <c r="AQ110" i="59" s="1"/>
  <c r="X109" i="59"/>
  <c r="AQ109" i="59" s="1"/>
  <c r="X108" i="59"/>
  <c r="AQ108" i="59" s="1"/>
  <c r="X107" i="59"/>
  <c r="AQ107" i="59" s="1"/>
  <c r="X106" i="59"/>
  <c r="AQ106" i="59" s="1"/>
  <c r="X105" i="59"/>
  <c r="AQ105" i="59" s="1"/>
  <c r="X104" i="59"/>
  <c r="AQ104" i="59" s="1"/>
  <c r="X103" i="59"/>
  <c r="AQ103" i="59" s="1"/>
  <c r="X102" i="59"/>
  <c r="AQ102" i="59" s="1"/>
  <c r="X101" i="59"/>
  <c r="AQ101" i="59" s="1"/>
  <c r="X100" i="59"/>
  <c r="AQ100" i="59" s="1"/>
  <c r="X99" i="59"/>
  <c r="AQ99" i="59" s="1"/>
  <c r="X98" i="59"/>
  <c r="AQ98" i="59" s="1"/>
  <c r="X97" i="59"/>
  <c r="AQ97" i="59" s="1"/>
  <c r="X96" i="59"/>
  <c r="AQ96" i="59" s="1"/>
  <c r="X95" i="59"/>
  <c r="AQ95" i="59" s="1"/>
  <c r="X94" i="59"/>
  <c r="AQ94" i="59" s="1"/>
  <c r="X93" i="59"/>
  <c r="AQ93" i="59" s="1"/>
  <c r="X92" i="59"/>
  <c r="AQ92" i="59" s="1"/>
  <c r="X91" i="59"/>
  <c r="AQ91" i="59" s="1"/>
  <c r="X90" i="59"/>
  <c r="AQ90" i="59" s="1"/>
  <c r="X89" i="59"/>
  <c r="AQ89" i="59" s="1"/>
  <c r="X88" i="59"/>
  <c r="AQ88" i="59" s="1"/>
  <c r="X87" i="59"/>
  <c r="AQ87" i="59" s="1"/>
  <c r="X86" i="59"/>
  <c r="AQ86" i="59" s="1"/>
  <c r="X85" i="59"/>
  <c r="AQ85" i="59" s="1"/>
  <c r="X84" i="59"/>
  <c r="AQ84" i="59" s="1"/>
  <c r="X83" i="59"/>
  <c r="AQ83" i="59" s="1"/>
  <c r="X82" i="59"/>
  <c r="AQ82" i="59" s="1"/>
  <c r="X81" i="59"/>
  <c r="AQ81" i="59" s="1"/>
  <c r="X80" i="59"/>
  <c r="AQ80" i="59" s="1"/>
  <c r="X79" i="59"/>
  <c r="AQ79" i="59" s="1"/>
  <c r="X78" i="59"/>
  <c r="AQ78" i="59" s="1"/>
  <c r="X77" i="59"/>
  <c r="AQ77" i="59" s="1"/>
  <c r="X76" i="59"/>
  <c r="AQ76" i="59" s="1"/>
  <c r="X75" i="59"/>
  <c r="AQ75" i="59" s="1"/>
  <c r="X74" i="59"/>
  <c r="AQ74" i="59" s="1"/>
  <c r="X73" i="59"/>
  <c r="AQ73" i="59" s="1"/>
  <c r="X72" i="59"/>
  <c r="AQ72" i="59" s="1"/>
  <c r="X71" i="59"/>
  <c r="AQ71" i="59" s="1"/>
  <c r="X70" i="59"/>
  <c r="AQ70" i="59" s="1"/>
  <c r="X69" i="59"/>
  <c r="AQ69" i="59" s="1"/>
  <c r="X68" i="59"/>
  <c r="AQ68" i="59" s="1"/>
  <c r="X67" i="59"/>
  <c r="AQ67" i="59" s="1"/>
  <c r="X66" i="59"/>
  <c r="AQ66" i="59" s="1"/>
  <c r="X65" i="59"/>
  <c r="AQ65" i="59" s="1"/>
  <c r="X64" i="59"/>
  <c r="AQ64" i="59" s="1"/>
  <c r="X63" i="59"/>
  <c r="AQ63" i="59" s="1"/>
  <c r="X62" i="59"/>
  <c r="AQ62" i="59" s="1"/>
  <c r="X61" i="59"/>
  <c r="AQ61" i="59" s="1"/>
  <c r="X60" i="59"/>
  <c r="AQ60" i="59" s="1"/>
  <c r="X59" i="59"/>
  <c r="AQ59" i="59" s="1"/>
  <c r="X58" i="59"/>
  <c r="AQ58" i="59" s="1"/>
  <c r="X57" i="59"/>
  <c r="AQ57" i="59" s="1"/>
  <c r="X56" i="59"/>
  <c r="AQ56" i="59" s="1"/>
  <c r="X55" i="59"/>
  <c r="AQ55" i="59" s="1"/>
  <c r="X54" i="59"/>
  <c r="AQ54" i="59" s="1"/>
  <c r="X53" i="59"/>
  <c r="AQ53" i="59" s="1"/>
  <c r="X52" i="59"/>
  <c r="AQ52" i="59" s="1"/>
  <c r="X51" i="59"/>
  <c r="AQ51" i="59" s="1"/>
  <c r="X50" i="59"/>
  <c r="AQ50" i="59" s="1"/>
  <c r="X49" i="59"/>
  <c r="AQ49" i="59" s="1"/>
  <c r="X48" i="59"/>
  <c r="AQ48" i="59" s="1"/>
  <c r="X47" i="59"/>
  <c r="AQ47" i="59" s="1"/>
  <c r="X46" i="59"/>
  <c r="AQ46" i="59" s="1"/>
  <c r="X45" i="59"/>
  <c r="AQ45" i="59" s="1"/>
  <c r="X44" i="59"/>
  <c r="AQ44" i="59" s="1"/>
  <c r="X43" i="59"/>
  <c r="AQ43" i="59" s="1"/>
  <c r="X42" i="59"/>
  <c r="AQ42" i="59" s="1"/>
  <c r="X41" i="59"/>
  <c r="AQ41" i="59" s="1"/>
  <c r="X40" i="59"/>
  <c r="AQ40" i="59" s="1"/>
  <c r="X39" i="59"/>
  <c r="AQ39" i="59" s="1"/>
  <c r="X38" i="59"/>
  <c r="AQ38" i="59" s="1"/>
  <c r="X37" i="59"/>
  <c r="AQ37" i="59" s="1"/>
  <c r="X36" i="59"/>
  <c r="AQ36" i="59" s="1"/>
  <c r="X35" i="59"/>
  <c r="AQ35" i="59" s="1"/>
  <c r="X34" i="59"/>
  <c r="AQ34" i="59" s="1"/>
  <c r="X33" i="59"/>
  <c r="AQ33" i="59" s="1"/>
  <c r="X32" i="59"/>
  <c r="AQ32" i="59" s="1"/>
  <c r="X31" i="59"/>
  <c r="AQ31" i="59" s="1"/>
  <c r="X30" i="59"/>
  <c r="AQ30" i="59" s="1"/>
  <c r="X29" i="59"/>
  <c r="AQ29" i="59" s="1"/>
  <c r="X28" i="59"/>
  <c r="AQ28" i="59" s="1"/>
  <c r="X27" i="59"/>
  <c r="AQ27" i="59" s="1"/>
  <c r="X26" i="59"/>
  <c r="AQ26" i="59" s="1"/>
  <c r="X25" i="59"/>
  <c r="AQ25" i="59" s="1"/>
  <c r="X24" i="59"/>
  <c r="AQ24" i="59" s="1"/>
  <c r="X23" i="59"/>
  <c r="AQ23" i="59" s="1"/>
  <c r="X22" i="59"/>
  <c r="AQ22" i="59" s="1"/>
  <c r="X21" i="59"/>
  <c r="AQ21" i="59" s="1"/>
  <c r="X20" i="59"/>
  <c r="AQ20" i="59" s="1"/>
  <c r="X19" i="59"/>
  <c r="AQ19" i="59" s="1"/>
  <c r="X18" i="59"/>
  <c r="AQ18" i="59" s="1"/>
  <c r="X17" i="59"/>
  <c r="AQ17" i="59" s="1"/>
  <c r="X16" i="59"/>
  <c r="AQ16" i="59" s="1"/>
  <c r="X15" i="59"/>
  <c r="AQ15" i="59" s="1"/>
  <c r="X258" i="11" l="1"/>
  <c r="AQ258" i="11" s="1"/>
  <c r="X257" i="11"/>
  <c r="AQ257" i="11" s="1"/>
  <c r="X256" i="11"/>
  <c r="AQ256" i="11" s="1"/>
  <c r="X255" i="11"/>
  <c r="AQ255" i="11" s="1"/>
  <c r="X254" i="11"/>
  <c r="AQ254" i="11" s="1"/>
  <c r="X253" i="11"/>
  <c r="AQ253" i="11" s="1"/>
  <c r="X252" i="11"/>
  <c r="AQ252" i="11" s="1"/>
  <c r="X251" i="11"/>
  <c r="AQ251" i="11" s="1"/>
  <c r="X250" i="11"/>
  <c r="AQ250" i="11" s="1"/>
  <c r="X249" i="11"/>
  <c r="AQ249" i="11" s="1"/>
  <c r="X248" i="11"/>
  <c r="AQ248" i="11" s="1"/>
  <c r="X247" i="11"/>
  <c r="AQ247" i="11" s="1"/>
  <c r="X246" i="11"/>
  <c r="AQ246" i="11" s="1"/>
  <c r="X245" i="11"/>
  <c r="AQ245" i="11" s="1"/>
  <c r="X244" i="11"/>
  <c r="AQ244" i="11" s="1"/>
  <c r="X243" i="11"/>
  <c r="AQ243" i="11" s="1"/>
  <c r="X242" i="11"/>
  <c r="AQ242" i="11" s="1"/>
  <c r="X241" i="11"/>
  <c r="AQ241" i="11" s="1"/>
  <c r="X240" i="11"/>
  <c r="AQ240" i="11" s="1"/>
  <c r="X239" i="11"/>
  <c r="AQ239" i="11" s="1"/>
  <c r="X238" i="11"/>
  <c r="AQ238" i="11" s="1"/>
  <c r="X237" i="11"/>
  <c r="AQ237" i="11" s="1"/>
  <c r="X236" i="11"/>
  <c r="AQ236" i="11" s="1"/>
  <c r="X235" i="11"/>
  <c r="AQ235" i="11" s="1"/>
  <c r="X234" i="11"/>
  <c r="AQ234" i="11" s="1"/>
  <c r="X233" i="11"/>
  <c r="AQ233" i="11" s="1"/>
  <c r="X232" i="11"/>
  <c r="AQ232" i="11" s="1"/>
  <c r="X231" i="11"/>
  <c r="AQ231" i="11" s="1"/>
  <c r="X230" i="11"/>
  <c r="AQ230" i="11" s="1"/>
  <c r="X229" i="11"/>
  <c r="AQ229" i="11" s="1"/>
  <c r="X228" i="11"/>
  <c r="AQ228" i="11" s="1"/>
  <c r="X227" i="11"/>
  <c r="AQ227" i="11" s="1"/>
  <c r="X226" i="11"/>
  <c r="AQ226" i="11" s="1"/>
  <c r="X225" i="11"/>
  <c r="AQ225" i="11" s="1"/>
  <c r="X224" i="11"/>
  <c r="AQ224" i="11" s="1"/>
  <c r="X223" i="11"/>
  <c r="AQ223" i="11" s="1"/>
  <c r="X222" i="11"/>
  <c r="AQ222" i="11" s="1"/>
  <c r="X221" i="11"/>
  <c r="AQ221" i="11" s="1"/>
  <c r="X220" i="11"/>
  <c r="AQ220" i="11" s="1"/>
  <c r="X219" i="11"/>
  <c r="AQ219" i="11" s="1"/>
  <c r="X218" i="11"/>
  <c r="AQ218" i="11" s="1"/>
  <c r="X217" i="11"/>
  <c r="AQ217" i="11" s="1"/>
  <c r="X216" i="11"/>
  <c r="AQ216" i="11" s="1"/>
  <c r="X215" i="11"/>
  <c r="AQ215" i="11" s="1"/>
  <c r="X214" i="11"/>
  <c r="AQ214" i="11" s="1"/>
  <c r="X213" i="11"/>
  <c r="AQ213" i="11" s="1"/>
  <c r="X212" i="11"/>
  <c r="AQ212" i="11" s="1"/>
  <c r="X211" i="11"/>
  <c r="AQ211" i="11" s="1"/>
  <c r="X210" i="11"/>
  <c r="AQ210" i="11" s="1"/>
  <c r="X209" i="11"/>
  <c r="AQ209" i="11" s="1"/>
  <c r="X208" i="11"/>
  <c r="AQ208" i="11" s="1"/>
  <c r="X207" i="11"/>
  <c r="AQ207" i="11" s="1"/>
  <c r="X206" i="11"/>
  <c r="AQ206" i="11" s="1"/>
  <c r="X205" i="11"/>
  <c r="AQ205" i="11" s="1"/>
  <c r="X204" i="11"/>
  <c r="AQ204" i="11" s="1"/>
  <c r="X203" i="11"/>
  <c r="AQ203" i="11" s="1"/>
  <c r="X202" i="11"/>
  <c r="AQ202" i="11" s="1"/>
  <c r="X201" i="11"/>
  <c r="AQ201" i="11" s="1"/>
  <c r="X200" i="11"/>
  <c r="AQ200" i="11" s="1"/>
  <c r="X199" i="11"/>
  <c r="AQ199" i="11" s="1"/>
  <c r="X198" i="11"/>
  <c r="AQ198" i="11" s="1"/>
  <c r="X197" i="11"/>
  <c r="AQ197" i="11" s="1"/>
  <c r="X196" i="11"/>
  <c r="AQ196" i="11" s="1"/>
  <c r="X195" i="11"/>
  <c r="AQ195" i="11" s="1"/>
  <c r="X194" i="11"/>
  <c r="AQ194" i="11" s="1"/>
  <c r="X193" i="11"/>
  <c r="AQ193" i="11" s="1"/>
  <c r="X192" i="11"/>
  <c r="AQ192" i="11" s="1"/>
  <c r="X191" i="11"/>
  <c r="AQ191" i="11" s="1"/>
  <c r="X190" i="11"/>
  <c r="AQ190" i="11" s="1"/>
  <c r="X189" i="11"/>
  <c r="AQ189" i="11" s="1"/>
  <c r="X188" i="11"/>
  <c r="AQ188" i="11" s="1"/>
  <c r="X187" i="11"/>
  <c r="AQ187" i="11" s="1"/>
  <c r="X186" i="11"/>
  <c r="AQ186" i="11" s="1"/>
  <c r="X185" i="11"/>
  <c r="AQ185" i="11" s="1"/>
  <c r="X184" i="11"/>
  <c r="AQ184" i="11" s="1"/>
  <c r="X183" i="11"/>
  <c r="AQ183" i="11" s="1"/>
  <c r="X182" i="11"/>
  <c r="AQ182" i="11" s="1"/>
  <c r="X181" i="11"/>
  <c r="AQ181" i="11" s="1"/>
  <c r="X180" i="11"/>
  <c r="AQ180" i="11" s="1"/>
  <c r="X179" i="11"/>
  <c r="AQ179" i="11" s="1"/>
  <c r="X178" i="11"/>
  <c r="AQ178" i="11" s="1"/>
  <c r="X177" i="11"/>
  <c r="AQ177" i="11" s="1"/>
  <c r="X176" i="11"/>
  <c r="AQ176" i="11" s="1"/>
  <c r="X175" i="11"/>
  <c r="AQ175" i="11" s="1"/>
  <c r="X174" i="11"/>
  <c r="AQ174" i="11" s="1"/>
  <c r="X173" i="11"/>
  <c r="AQ173" i="11" s="1"/>
  <c r="X172" i="11"/>
  <c r="AQ172" i="11" s="1"/>
  <c r="X171" i="11"/>
  <c r="AQ171" i="11" s="1"/>
  <c r="X170" i="11"/>
  <c r="AQ170" i="11" s="1"/>
  <c r="X169" i="11"/>
  <c r="AQ169" i="11" s="1"/>
  <c r="X168" i="11"/>
  <c r="AQ168" i="11" s="1"/>
  <c r="X167" i="11"/>
  <c r="AQ167" i="11" s="1"/>
  <c r="X166" i="11"/>
  <c r="AQ166" i="11" s="1"/>
  <c r="X165" i="11"/>
  <c r="AQ165" i="11" s="1"/>
  <c r="X164" i="11"/>
  <c r="AQ164" i="11" s="1"/>
  <c r="X163" i="11"/>
  <c r="AQ163" i="11" s="1"/>
  <c r="X162" i="11"/>
  <c r="AQ162" i="11" s="1"/>
  <c r="X161" i="11"/>
  <c r="AQ161" i="11" s="1"/>
  <c r="X160" i="11"/>
  <c r="AQ160" i="11" s="1"/>
  <c r="X159" i="11"/>
  <c r="AQ159" i="11" s="1"/>
  <c r="X158" i="11"/>
  <c r="AQ158" i="11" s="1"/>
  <c r="X157" i="11"/>
  <c r="AQ157" i="11" s="1"/>
  <c r="X156" i="11"/>
  <c r="AQ156" i="11" s="1"/>
  <c r="X155" i="11"/>
  <c r="AQ155" i="11" s="1"/>
  <c r="X154" i="11"/>
  <c r="AQ154" i="11" s="1"/>
  <c r="X153" i="11"/>
  <c r="AQ153" i="11" s="1"/>
  <c r="X152" i="11"/>
  <c r="AQ152" i="11" s="1"/>
  <c r="X151" i="11"/>
  <c r="AQ151" i="11" s="1"/>
  <c r="X150" i="11"/>
  <c r="AQ150" i="11" s="1"/>
  <c r="X149" i="11"/>
  <c r="AQ149" i="11" s="1"/>
  <c r="X148" i="11"/>
  <c r="AQ148" i="11" s="1"/>
  <c r="X147" i="11"/>
  <c r="AQ147" i="11" s="1"/>
  <c r="X146" i="11"/>
  <c r="AQ146" i="11" s="1"/>
  <c r="X145" i="11"/>
  <c r="AQ145" i="11" s="1"/>
  <c r="R256" i="46" l="1"/>
  <c r="R255" i="46"/>
  <c r="R254" i="46"/>
  <c r="R253" i="46"/>
  <c r="R252" i="46"/>
  <c r="R251" i="46"/>
  <c r="R250" i="46"/>
  <c r="R249" i="46"/>
  <c r="R248" i="46"/>
  <c r="R247" i="46"/>
  <c r="R246" i="46"/>
  <c r="R245" i="46"/>
  <c r="R244" i="46"/>
  <c r="R243" i="46"/>
  <c r="R242" i="46"/>
  <c r="R241" i="46"/>
  <c r="R240" i="46"/>
  <c r="R239" i="46"/>
  <c r="R238" i="46"/>
  <c r="R237" i="46"/>
  <c r="R236" i="46"/>
  <c r="R235" i="46"/>
  <c r="R234" i="46"/>
  <c r="R233" i="46"/>
  <c r="R232" i="46"/>
  <c r="R231" i="46"/>
  <c r="R230" i="46"/>
  <c r="R229" i="46"/>
  <c r="R228" i="46"/>
  <c r="R227" i="46"/>
  <c r="R226" i="46"/>
  <c r="R225" i="46"/>
  <c r="R224" i="46"/>
  <c r="R223" i="46"/>
  <c r="R222" i="46"/>
  <c r="R221" i="46"/>
  <c r="R220" i="46"/>
  <c r="R219" i="46"/>
  <c r="R218" i="46"/>
  <c r="R217" i="46"/>
  <c r="R216" i="46"/>
  <c r="R215" i="46"/>
  <c r="R214" i="46"/>
  <c r="R213" i="46"/>
  <c r="R212" i="46"/>
  <c r="R211" i="46"/>
  <c r="R210" i="46"/>
  <c r="R209" i="46"/>
  <c r="R208" i="46"/>
  <c r="R207" i="46"/>
  <c r="R206" i="46"/>
  <c r="R205" i="46"/>
  <c r="R204" i="46"/>
  <c r="R203" i="46"/>
  <c r="R202" i="46"/>
  <c r="R201" i="46"/>
  <c r="R200" i="46"/>
  <c r="R199" i="46"/>
  <c r="R198" i="46"/>
  <c r="R197" i="46"/>
  <c r="R196" i="46"/>
  <c r="R195" i="46"/>
  <c r="R194" i="46"/>
  <c r="R193" i="46"/>
  <c r="R192" i="46"/>
  <c r="R191" i="46"/>
  <c r="R190" i="46"/>
  <c r="R189" i="46"/>
  <c r="R188" i="46"/>
  <c r="R187" i="46"/>
  <c r="R186" i="46"/>
  <c r="R185" i="46"/>
  <c r="R184" i="46"/>
  <c r="R183" i="46"/>
  <c r="R182" i="46"/>
  <c r="R181" i="46"/>
  <c r="R180" i="46"/>
  <c r="R179" i="46"/>
  <c r="R178" i="46"/>
  <c r="R177" i="46"/>
  <c r="R176" i="46"/>
  <c r="R175" i="46"/>
  <c r="R174" i="46"/>
  <c r="R173" i="46"/>
  <c r="R172" i="46"/>
  <c r="R171" i="46"/>
  <c r="R170" i="46"/>
  <c r="R169" i="46"/>
  <c r="R168" i="46"/>
  <c r="R167" i="46"/>
  <c r="R166" i="46"/>
  <c r="R165" i="46"/>
  <c r="R164" i="46"/>
  <c r="R163" i="46"/>
  <c r="R162" i="46"/>
  <c r="R161" i="46"/>
  <c r="R160" i="46"/>
  <c r="R159" i="46"/>
  <c r="R158" i="46"/>
  <c r="R157" i="46"/>
  <c r="R156" i="46"/>
  <c r="R155" i="46"/>
  <c r="R154" i="46"/>
  <c r="R153" i="46"/>
  <c r="R152" i="46"/>
  <c r="R151" i="46"/>
  <c r="R150" i="46"/>
  <c r="R149" i="46"/>
  <c r="R148" i="46"/>
  <c r="R147" i="46"/>
  <c r="R146" i="46"/>
  <c r="R145" i="46"/>
  <c r="R144" i="46"/>
  <c r="R143" i="46"/>
  <c r="R142" i="46"/>
  <c r="R141" i="46"/>
  <c r="R140" i="46"/>
  <c r="R139" i="46"/>
  <c r="R138" i="46"/>
  <c r="R137" i="46"/>
  <c r="R136" i="46"/>
  <c r="R135" i="46"/>
  <c r="R134" i="46"/>
  <c r="R133" i="46"/>
  <c r="R132" i="46"/>
  <c r="R131" i="46"/>
  <c r="R130" i="46"/>
  <c r="R129" i="46"/>
  <c r="R128" i="46"/>
  <c r="R127" i="46"/>
  <c r="R126" i="46"/>
  <c r="R125" i="46"/>
  <c r="R124" i="46"/>
  <c r="R123" i="46"/>
  <c r="R122" i="46"/>
  <c r="R121" i="46"/>
  <c r="R120" i="46"/>
  <c r="R119" i="46"/>
  <c r="R118" i="46"/>
  <c r="R117" i="46"/>
  <c r="R116" i="46"/>
  <c r="R115" i="46"/>
  <c r="R114" i="46"/>
  <c r="R113" i="46"/>
  <c r="R112" i="46"/>
  <c r="R111" i="46"/>
  <c r="R110" i="46"/>
  <c r="R109" i="46"/>
  <c r="R108" i="46"/>
  <c r="R107" i="46"/>
  <c r="R106" i="46"/>
  <c r="R105" i="46"/>
  <c r="R104" i="46"/>
  <c r="R103" i="46"/>
  <c r="R102" i="46"/>
  <c r="R101" i="46"/>
  <c r="R100" i="46"/>
  <c r="R99" i="46"/>
  <c r="R98" i="46"/>
  <c r="R97" i="46"/>
  <c r="R96" i="46"/>
  <c r="R95" i="46"/>
  <c r="R94" i="46"/>
  <c r="R93" i="46"/>
  <c r="R92" i="46"/>
  <c r="R91" i="46"/>
  <c r="R90" i="46"/>
  <c r="R89" i="46"/>
  <c r="R88" i="46"/>
  <c r="R87" i="46"/>
  <c r="R86" i="46"/>
  <c r="R85" i="46"/>
  <c r="R84" i="46"/>
  <c r="R83" i="46"/>
  <c r="R82" i="46"/>
  <c r="R81" i="46"/>
  <c r="R80" i="46"/>
  <c r="R79" i="46"/>
  <c r="R78" i="46"/>
  <c r="R77" i="46"/>
  <c r="R76" i="46"/>
  <c r="R75" i="46"/>
  <c r="R74" i="46"/>
  <c r="R73" i="46"/>
  <c r="R72" i="46"/>
  <c r="R71" i="46"/>
  <c r="R70" i="46"/>
  <c r="R69" i="46"/>
  <c r="R68" i="46"/>
  <c r="R67" i="46"/>
  <c r="R66" i="46"/>
  <c r="R65" i="46"/>
  <c r="R64" i="46"/>
  <c r="R63" i="46"/>
  <c r="R62" i="46"/>
  <c r="R61" i="46"/>
  <c r="R60" i="46"/>
  <c r="R59" i="46"/>
  <c r="R58" i="46"/>
  <c r="R57" i="46"/>
  <c r="R56" i="46"/>
  <c r="R55" i="46"/>
  <c r="R54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8" i="46"/>
  <c r="R37" i="46"/>
  <c r="B100" i="28" l="1"/>
  <c r="AO258" i="50" l="1"/>
  <c r="AO257" i="50"/>
  <c r="AO256" i="50"/>
  <c r="AO255" i="50"/>
  <c r="AO254" i="50"/>
  <c r="AO253" i="50"/>
  <c r="AO252" i="50"/>
  <c r="AO251" i="50"/>
  <c r="AO250" i="50"/>
  <c r="AO249" i="50"/>
  <c r="AO248" i="50"/>
  <c r="AO247" i="50"/>
  <c r="AO246" i="50"/>
  <c r="AO245" i="50"/>
  <c r="AO244" i="50"/>
  <c r="AO243" i="50"/>
  <c r="AO242" i="50"/>
  <c r="AO241" i="50"/>
  <c r="AO240" i="50"/>
  <c r="AO239" i="50"/>
  <c r="AO238" i="50"/>
  <c r="AO237" i="50"/>
  <c r="AO236" i="50"/>
  <c r="AO235" i="50"/>
  <c r="AO234" i="50"/>
  <c r="AO233" i="50"/>
  <c r="AO232" i="50"/>
  <c r="AO231" i="50"/>
  <c r="AO230" i="50"/>
  <c r="AO229" i="50"/>
  <c r="AO228" i="50"/>
  <c r="AO227" i="50"/>
  <c r="AO226" i="50"/>
  <c r="AO225" i="50"/>
  <c r="AO224" i="50"/>
  <c r="AO223" i="50"/>
  <c r="AO222" i="50"/>
  <c r="AO221" i="50"/>
  <c r="AO220" i="50"/>
  <c r="AO219" i="50"/>
  <c r="AO218" i="50"/>
  <c r="AO217" i="50"/>
  <c r="AO216" i="50"/>
  <c r="AO215" i="50"/>
  <c r="AO214" i="50"/>
  <c r="AO213" i="50"/>
  <c r="AO212" i="50"/>
  <c r="AO211" i="50"/>
  <c r="AO210" i="50"/>
  <c r="AO209" i="50"/>
  <c r="AO208" i="50"/>
  <c r="AO207" i="50"/>
  <c r="AO206" i="50"/>
  <c r="AO205" i="50"/>
  <c r="AO204" i="50"/>
  <c r="AO203" i="50"/>
  <c r="AO202" i="50"/>
  <c r="AO201" i="50"/>
  <c r="AO200" i="50"/>
  <c r="AO199" i="50"/>
  <c r="AO198" i="50"/>
  <c r="AO197" i="50"/>
  <c r="AO196" i="50"/>
  <c r="AO195" i="50"/>
  <c r="AO194" i="50"/>
  <c r="AO193" i="50"/>
  <c r="AO192" i="50"/>
  <c r="AO191" i="50"/>
  <c r="AO190" i="50"/>
  <c r="AO189" i="50"/>
  <c r="AO188" i="50"/>
  <c r="AO187" i="50"/>
  <c r="AO186" i="50"/>
  <c r="AO185" i="50"/>
  <c r="AO184" i="50"/>
  <c r="AO183" i="50"/>
  <c r="AO182" i="50"/>
  <c r="AO181" i="50"/>
  <c r="AO180" i="50"/>
  <c r="AO179" i="50"/>
  <c r="AO178" i="50"/>
  <c r="AO177" i="50"/>
  <c r="AO176" i="50"/>
  <c r="AO175" i="50"/>
  <c r="AO174" i="50"/>
  <c r="AO173" i="50"/>
  <c r="AO172" i="50"/>
  <c r="AO171" i="50"/>
  <c r="AO170" i="50"/>
  <c r="AO169" i="50"/>
  <c r="AO168" i="50"/>
  <c r="AO167" i="50"/>
  <c r="AO166" i="50"/>
  <c r="AO165" i="50"/>
  <c r="AO164" i="50"/>
  <c r="AO163" i="50"/>
  <c r="AO162" i="50"/>
  <c r="AO161" i="50"/>
  <c r="AO160" i="50"/>
  <c r="AO159" i="50"/>
  <c r="AO158" i="50"/>
  <c r="AO157" i="50"/>
  <c r="AO156" i="50"/>
  <c r="AO155" i="50"/>
  <c r="AO154" i="50"/>
  <c r="AO153" i="50"/>
  <c r="AO152" i="50"/>
  <c r="AO151" i="50"/>
  <c r="AO150" i="50"/>
  <c r="AO149" i="50"/>
  <c r="AO148" i="50"/>
  <c r="AO147" i="50"/>
  <c r="AO146" i="50"/>
  <c r="AO145" i="50"/>
  <c r="AO144" i="50"/>
  <c r="AO143" i="50"/>
  <c r="AO142" i="50"/>
  <c r="AO141" i="50"/>
  <c r="AO140" i="50"/>
  <c r="AO139" i="50"/>
  <c r="AO138" i="50"/>
  <c r="AO137" i="50"/>
  <c r="AO136" i="50"/>
  <c r="AO135" i="50"/>
  <c r="AO134" i="50"/>
  <c r="AO133" i="50"/>
  <c r="AO132" i="50"/>
  <c r="AO131" i="50"/>
  <c r="AO130" i="50"/>
  <c r="AO129" i="50"/>
  <c r="AO128" i="50"/>
  <c r="AO127" i="50"/>
  <c r="AO126" i="50"/>
  <c r="AO125" i="50"/>
  <c r="AO124" i="50"/>
  <c r="AO123" i="50"/>
  <c r="AO122" i="50"/>
  <c r="AO121" i="50"/>
  <c r="AO120" i="50"/>
  <c r="AO119" i="50"/>
  <c r="AO118" i="50"/>
  <c r="AO117" i="50"/>
  <c r="AO116" i="50"/>
  <c r="AO115" i="50"/>
  <c r="AO114" i="50"/>
  <c r="AO113" i="50"/>
  <c r="AO112" i="50"/>
  <c r="AO111" i="50"/>
  <c r="AO110" i="50"/>
  <c r="AO109" i="50"/>
  <c r="AO108" i="50"/>
  <c r="AO107" i="50"/>
  <c r="AO106" i="50"/>
  <c r="AO105" i="50"/>
  <c r="AO104" i="50"/>
  <c r="AO103" i="50"/>
  <c r="AO102" i="50"/>
  <c r="AO101" i="50"/>
  <c r="AO100" i="50"/>
  <c r="AO99" i="50"/>
  <c r="AO98" i="50"/>
  <c r="AO97" i="50"/>
  <c r="AO96" i="50"/>
  <c r="AO95" i="50"/>
  <c r="AO94" i="50"/>
  <c r="AO93" i="50"/>
  <c r="AO92" i="50"/>
  <c r="AO91" i="50"/>
  <c r="AO90" i="50"/>
  <c r="AO89" i="50"/>
  <c r="AO88" i="50"/>
  <c r="AO87" i="50"/>
  <c r="AO86" i="50"/>
  <c r="AO85" i="50"/>
  <c r="AO84" i="50"/>
  <c r="AO83" i="50"/>
  <c r="AO82" i="50"/>
  <c r="AO81" i="50"/>
  <c r="AO80" i="50"/>
  <c r="AO79" i="50"/>
  <c r="AO78" i="50"/>
  <c r="AO77" i="50"/>
  <c r="AO76" i="50"/>
  <c r="AO75" i="50"/>
  <c r="AO74" i="50"/>
  <c r="AO73" i="50"/>
  <c r="AO72" i="50"/>
  <c r="AO71" i="50"/>
  <c r="AO70" i="50"/>
  <c r="AO69" i="50"/>
  <c r="AO68" i="50"/>
  <c r="AO67" i="50"/>
  <c r="AO66" i="50"/>
  <c r="AO65" i="50"/>
  <c r="AO64" i="50"/>
  <c r="AO63" i="50"/>
  <c r="AO62" i="50"/>
  <c r="AO61" i="50"/>
  <c r="AO60" i="50"/>
  <c r="AO59" i="50"/>
  <c r="AO58" i="50"/>
  <c r="AO57" i="50"/>
  <c r="AO56" i="50"/>
  <c r="AO55" i="50"/>
  <c r="AO54" i="50"/>
  <c r="AO53" i="50"/>
  <c r="AO52" i="50"/>
  <c r="AO51" i="50"/>
  <c r="AO50" i="50"/>
  <c r="AO49" i="50"/>
  <c r="AO48" i="50"/>
  <c r="AO47" i="50"/>
  <c r="AO46" i="50"/>
  <c r="AO45" i="50"/>
  <c r="AO44" i="50"/>
  <c r="AO43" i="50"/>
  <c r="AO42" i="50"/>
  <c r="AO41" i="50"/>
  <c r="AO40" i="50"/>
  <c r="AO39" i="50"/>
  <c r="AO38" i="50"/>
  <c r="AO37" i="50"/>
  <c r="AO36" i="50"/>
  <c r="AO35" i="50"/>
  <c r="AO34" i="50"/>
  <c r="AO33" i="50"/>
  <c r="AO32" i="50"/>
  <c r="AO31" i="50"/>
  <c r="AO30" i="50"/>
  <c r="AO29" i="50"/>
  <c r="AO28" i="50"/>
  <c r="AO27" i="50"/>
  <c r="AO26" i="50"/>
  <c r="AO25" i="50"/>
  <c r="AO24" i="50"/>
  <c r="AO23" i="50"/>
  <c r="AO22" i="50"/>
  <c r="AO21" i="50"/>
  <c r="AO20" i="50"/>
  <c r="AO19" i="50"/>
  <c r="AO18" i="50"/>
  <c r="AO17" i="50"/>
  <c r="AO16" i="50"/>
  <c r="AO15" i="50"/>
  <c r="AO14" i="50"/>
  <c r="AO13" i="50"/>
  <c r="AO12" i="50"/>
  <c r="Z256" i="71"/>
  <c r="Z255" i="71"/>
  <c r="Z254" i="71"/>
  <c r="Z253" i="71"/>
  <c r="Z252" i="71"/>
  <c r="Z251" i="71"/>
  <c r="Z250" i="71"/>
  <c r="Z249" i="71"/>
  <c r="Z248" i="71"/>
  <c r="Z247" i="71"/>
  <c r="Z246" i="71"/>
  <c r="Z245" i="71"/>
  <c r="Z244" i="71"/>
  <c r="Z243" i="71"/>
  <c r="Z242" i="71"/>
  <c r="Z241" i="71"/>
  <c r="Z240" i="71"/>
  <c r="Z239" i="71"/>
  <c r="Z238" i="71"/>
  <c r="Z237" i="71"/>
  <c r="Z236" i="71"/>
  <c r="Z235" i="71"/>
  <c r="Z234" i="71"/>
  <c r="Z233" i="71"/>
  <c r="Z232" i="71"/>
  <c r="Z231" i="71"/>
  <c r="Z230" i="71"/>
  <c r="Z229" i="71"/>
  <c r="Z228" i="71"/>
  <c r="Z227" i="71"/>
  <c r="Z226" i="71"/>
  <c r="Z225" i="71"/>
  <c r="Z224" i="71"/>
  <c r="Z223" i="71"/>
  <c r="Z222" i="71"/>
  <c r="Z221" i="71"/>
  <c r="Z220" i="71"/>
  <c r="Z219" i="71"/>
  <c r="Z218" i="71"/>
  <c r="Z217" i="71"/>
  <c r="Z216" i="71"/>
  <c r="Z215" i="71"/>
  <c r="Z214" i="71"/>
  <c r="Z213" i="71"/>
  <c r="Z212" i="71"/>
  <c r="Z211" i="71"/>
  <c r="Z210" i="71"/>
  <c r="Z209" i="71"/>
  <c r="Z208" i="71"/>
  <c r="Z207" i="71"/>
  <c r="Z206" i="71"/>
  <c r="Z205" i="71"/>
  <c r="Z204" i="71"/>
  <c r="Z203" i="71"/>
  <c r="Z202" i="71"/>
  <c r="Z201" i="71"/>
  <c r="Z200" i="71"/>
  <c r="Z199" i="71"/>
  <c r="Z198" i="71"/>
  <c r="Z197" i="71"/>
  <c r="Z196" i="71"/>
  <c r="Z195" i="71"/>
  <c r="Z194" i="71"/>
  <c r="Z193" i="71"/>
  <c r="Z192" i="71"/>
  <c r="Z191" i="71"/>
  <c r="Z190" i="71"/>
  <c r="Z189" i="71"/>
  <c r="Z188" i="71"/>
  <c r="Z187" i="71"/>
  <c r="Z186" i="71"/>
  <c r="Z185" i="71"/>
  <c r="Z184" i="71"/>
  <c r="Z183" i="71"/>
  <c r="Z182" i="71"/>
  <c r="Z181" i="71"/>
  <c r="Z180" i="71"/>
  <c r="Z179" i="71"/>
  <c r="Z178" i="71"/>
  <c r="Z177" i="71"/>
  <c r="Z176" i="71"/>
  <c r="Z175" i="71"/>
  <c r="Z174" i="71"/>
  <c r="Z173" i="71"/>
  <c r="Z172" i="71"/>
  <c r="Z171" i="71"/>
  <c r="Z170" i="71"/>
  <c r="Z169" i="71"/>
  <c r="Z168" i="71"/>
  <c r="Z167" i="71"/>
  <c r="Z166" i="71"/>
  <c r="Z165" i="71"/>
  <c r="Z164" i="71"/>
  <c r="Z163" i="71"/>
  <c r="Z162" i="71"/>
  <c r="Z161" i="71"/>
  <c r="Z160" i="71"/>
  <c r="Z159" i="71"/>
  <c r="Z158" i="71"/>
  <c r="Z157" i="71"/>
  <c r="Z156" i="71"/>
  <c r="Z155" i="71"/>
  <c r="Z154" i="71"/>
  <c r="Z153" i="71"/>
  <c r="Z152" i="71"/>
  <c r="Z151" i="71"/>
  <c r="Z150" i="71"/>
  <c r="Z149" i="71"/>
  <c r="Z148" i="71"/>
  <c r="Z147" i="71"/>
  <c r="Z146" i="71"/>
  <c r="Z145" i="71"/>
  <c r="Z144" i="71"/>
  <c r="Z143" i="71"/>
  <c r="Z142" i="71"/>
  <c r="Z141" i="71"/>
  <c r="Z140" i="71"/>
  <c r="Z139" i="71"/>
  <c r="Z138" i="71"/>
  <c r="Z137" i="71"/>
  <c r="Z136" i="71"/>
  <c r="Z135" i="71"/>
  <c r="Z134" i="71"/>
  <c r="Z133" i="71"/>
  <c r="Z132" i="71"/>
  <c r="Z131" i="71"/>
  <c r="Z130" i="71"/>
  <c r="Z129" i="71"/>
  <c r="Z128" i="71"/>
  <c r="Z127" i="71"/>
  <c r="Z126" i="71"/>
  <c r="Z125" i="71"/>
  <c r="Z124" i="71"/>
  <c r="Z123" i="71"/>
  <c r="Z122" i="71"/>
  <c r="Z121" i="71"/>
  <c r="Z120" i="71"/>
  <c r="Z119" i="71"/>
  <c r="Z118" i="71"/>
  <c r="Z117" i="71"/>
  <c r="Z116" i="71"/>
  <c r="Z115" i="71"/>
  <c r="Z114" i="71"/>
  <c r="Z113" i="71"/>
  <c r="Z112" i="71"/>
  <c r="Z111" i="71"/>
  <c r="Z110" i="71"/>
  <c r="Z109" i="71"/>
  <c r="Z108" i="71"/>
  <c r="Z107" i="71"/>
  <c r="Z106" i="71"/>
  <c r="Z105" i="71"/>
  <c r="Z104" i="71"/>
  <c r="Z103" i="71"/>
  <c r="Z102" i="71"/>
  <c r="Z101" i="71"/>
  <c r="Z100" i="71"/>
  <c r="Z99" i="71"/>
  <c r="Z98" i="71"/>
  <c r="Z97" i="71"/>
  <c r="Z96" i="71"/>
  <c r="Z95" i="71"/>
  <c r="Z94" i="71"/>
  <c r="Z93" i="71"/>
  <c r="Z92" i="71"/>
  <c r="Z91" i="71"/>
  <c r="Z90" i="71"/>
  <c r="Z89" i="71"/>
  <c r="Z88" i="71"/>
  <c r="Z87" i="71"/>
  <c r="Z86" i="71"/>
  <c r="Z85" i="71"/>
  <c r="Z84" i="71"/>
  <c r="Z83" i="71"/>
  <c r="Z82" i="71"/>
  <c r="Z81" i="71"/>
  <c r="Z80" i="71"/>
  <c r="Z79" i="71"/>
  <c r="Z78" i="71"/>
  <c r="Z77" i="71"/>
  <c r="Z76" i="71"/>
  <c r="Z75" i="71"/>
  <c r="Z74" i="71"/>
  <c r="Z73" i="71"/>
  <c r="Z72" i="71"/>
  <c r="Z71" i="71"/>
  <c r="Z70" i="71"/>
  <c r="Z69" i="71"/>
  <c r="Z68" i="71"/>
  <c r="Z67" i="71"/>
  <c r="Z66" i="71"/>
  <c r="Z65" i="71"/>
  <c r="Z64" i="71"/>
  <c r="Z63" i="71"/>
  <c r="Z62" i="71"/>
  <c r="Z61" i="71"/>
  <c r="Z60" i="71"/>
  <c r="Z59" i="71"/>
  <c r="Z58" i="71"/>
  <c r="Z57" i="71"/>
  <c r="Z56" i="71"/>
  <c r="Z55" i="71"/>
  <c r="Z54" i="71"/>
  <c r="Z53" i="71"/>
  <c r="Z52" i="71"/>
  <c r="Z51" i="71"/>
  <c r="Z50" i="71"/>
  <c r="Z49" i="71"/>
  <c r="Z48" i="71"/>
  <c r="Z47" i="71"/>
  <c r="Z46" i="71"/>
  <c r="Z45" i="71"/>
  <c r="Z44" i="71"/>
  <c r="Z43" i="71"/>
  <c r="Z42" i="71"/>
  <c r="Z41" i="71"/>
  <c r="Z40" i="71"/>
  <c r="Z39" i="71"/>
  <c r="Z38" i="71"/>
  <c r="Z37" i="71"/>
  <c r="Z36" i="71"/>
  <c r="Z35" i="71"/>
  <c r="Z34" i="71"/>
  <c r="Z33" i="71"/>
  <c r="Z32" i="71"/>
  <c r="Z31" i="71"/>
  <c r="Z30" i="71"/>
  <c r="Z29" i="71"/>
  <c r="Z28" i="71"/>
  <c r="Z27" i="71"/>
  <c r="Z26" i="71"/>
  <c r="Z25" i="71"/>
  <c r="Z24" i="71"/>
  <c r="Z23" i="71"/>
  <c r="Z22" i="71"/>
  <c r="Z21" i="71"/>
  <c r="Z20" i="71"/>
  <c r="Z19" i="71"/>
  <c r="Z18" i="71"/>
  <c r="Z17" i="71"/>
  <c r="Z16" i="71"/>
  <c r="Z15" i="71"/>
  <c r="Z14" i="71"/>
  <c r="Z13" i="71"/>
  <c r="Z12" i="71"/>
  <c r="Z11" i="71"/>
  <c r="R256" i="71"/>
  <c r="X255" i="71"/>
  <c r="R255" i="71"/>
  <c r="X253" i="71"/>
  <c r="R253" i="71"/>
  <c r="X252" i="71"/>
  <c r="R252" i="71"/>
  <c r="X251" i="71"/>
  <c r="R251" i="71"/>
  <c r="X250" i="71"/>
  <c r="R250" i="71"/>
  <c r="X249" i="71"/>
  <c r="R249" i="71"/>
  <c r="X248" i="71"/>
  <c r="R248" i="71"/>
  <c r="X247" i="71"/>
  <c r="R247" i="71"/>
  <c r="X246" i="71"/>
  <c r="R246" i="71"/>
  <c r="X245" i="71"/>
  <c r="R245" i="71"/>
  <c r="X244" i="71"/>
  <c r="R244" i="71"/>
  <c r="X243" i="71"/>
  <c r="R243" i="71"/>
  <c r="X242" i="71"/>
  <c r="R242" i="71"/>
  <c r="X241" i="71"/>
  <c r="R241" i="71"/>
  <c r="X240" i="71"/>
  <c r="R240" i="71"/>
  <c r="X239" i="71"/>
  <c r="R239" i="71"/>
  <c r="X238" i="71"/>
  <c r="R238" i="71"/>
  <c r="X237" i="71"/>
  <c r="R237" i="71"/>
  <c r="X236" i="71"/>
  <c r="R236" i="71"/>
  <c r="X235" i="71"/>
  <c r="R235" i="71"/>
  <c r="X234" i="71"/>
  <c r="R234" i="71"/>
  <c r="X233" i="71"/>
  <c r="R233" i="71"/>
  <c r="X232" i="71"/>
  <c r="R232" i="71"/>
  <c r="X231" i="71"/>
  <c r="R231" i="71"/>
  <c r="X230" i="71"/>
  <c r="R230" i="71"/>
  <c r="X229" i="71"/>
  <c r="R229" i="71"/>
  <c r="X228" i="71"/>
  <c r="R228" i="71"/>
  <c r="X227" i="71"/>
  <c r="R227" i="71"/>
  <c r="X226" i="71"/>
  <c r="R226" i="71"/>
  <c r="X225" i="71"/>
  <c r="R225" i="71"/>
  <c r="X224" i="71"/>
  <c r="R224" i="71"/>
  <c r="X223" i="71"/>
  <c r="R223" i="71"/>
  <c r="X222" i="71"/>
  <c r="R222" i="71"/>
  <c r="X221" i="71"/>
  <c r="R221" i="71"/>
  <c r="X220" i="71"/>
  <c r="R220" i="71"/>
  <c r="X219" i="71"/>
  <c r="R219" i="71"/>
  <c r="X218" i="71"/>
  <c r="R218" i="71"/>
  <c r="X217" i="71"/>
  <c r="R217" i="71"/>
  <c r="X216" i="71"/>
  <c r="R216" i="71"/>
  <c r="X215" i="71"/>
  <c r="R215" i="71"/>
  <c r="X214" i="71"/>
  <c r="R214" i="71"/>
  <c r="X213" i="71"/>
  <c r="R213" i="71"/>
  <c r="X212" i="71"/>
  <c r="R212" i="71"/>
  <c r="X211" i="71"/>
  <c r="R211" i="71"/>
  <c r="X210" i="71"/>
  <c r="R210" i="71"/>
  <c r="X209" i="71"/>
  <c r="R209" i="71"/>
  <c r="X208" i="71"/>
  <c r="R208" i="71"/>
  <c r="X207" i="71"/>
  <c r="R207" i="71"/>
  <c r="X206" i="71"/>
  <c r="R206" i="71"/>
  <c r="X205" i="71"/>
  <c r="R205" i="71"/>
  <c r="X204" i="71"/>
  <c r="R204" i="71"/>
  <c r="X203" i="71"/>
  <c r="R203" i="71"/>
  <c r="X202" i="71"/>
  <c r="R202" i="71"/>
  <c r="X201" i="71"/>
  <c r="R201" i="71"/>
  <c r="X200" i="71"/>
  <c r="R200" i="71"/>
  <c r="X199" i="71"/>
  <c r="R199" i="71"/>
  <c r="X198" i="71"/>
  <c r="R198" i="71"/>
  <c r="X197" i="71"/>
  <c r="R197" i="71"/>
  <c r="X196" i="71"/>
  <c r="R196" i="71"/>
  <c r="X195" i="71"/>
  <c r="R195" i="71"/>
  <c r="X194" i="71"/>
  <c r="R194" i="71"/>
  <c r="X193" i="71"/>
  <c r="R193" i="71"/>
  <c r="X192" i="71"/>
  <c r="R192" i="71"/>
  <c r="X191" i="71"/>
  <c r="R191" i="71"/>
  <c r="X190" i="71"/>
  <c r="R190" i="71"/>
  <c r="X189" i="71"/>
  <c r="R189" i="71"/>
  <c r="X188" i="71"/>
  <c r="R188" i="71"/>
  <c r="X187" i="71"/>
  <c r="R187" i="71"/>
  <c r="X186" i="71"/>
  <c r="R186" i="71"/>
  <c r="X185" i="71"/>
  <c r="R185" i="71"/>
  <c r="X184" i="71"/>
  <c r="R184" i="71"/>
  <c r="X183" i="71"/>
  <c r="R183" i="71"/>
  <c r="X182" i="71"/>
  <c r="R182" i="71"/>
  <c r="X181" i="71"/>
  <c r="R181" i="71"/>
  <c r="X180" i="71"/>
  <c r="R180" i="71"/>
  <c r="X179" i="71"/>
  <c r="R179" i="71"/>
  <c r="X178" i="71"/>
  <c r="R178" i="71"/>
  <c r="X177" i="71"/>
  <c r="R177" i="71"/>
  <c r="X176" i="71"/>
  <c r="R176" i="71"/>
  <c r="X175" i="71"/>
  <c r="R175" i="71"/>
  <c r="X174" i="71"/>
  <c r="R174" i="71"/>
  <c r="X173" i="71"/>
  <c r="R173" i="71"/>
  <c r="X172" i="71"/>
  <c r="R172" i="71"/>
  <c r="X171" i="71"/>
  <c r="R171" i="71"/>
  <c r="X170" i="71"/>
  <c r="R170" i="71"/>
  <c r="X169" i="71"/>
  <c r="R169" i="71"/>
  <c r="X168" i="71"/>
  <c r="R168" i="71"/>
  <c r="X167" i="71"/>
  <c r="R167" i="71"/>
  <c r="X166" i="71"/>
  <c r="R166" i="71"/>
  <c r="X165" i="71"/>
  <c r="R165" i="71"/>
  <c r="X164" i="71"/>
  <c r="R164" i="71"/>
  <c r="X163" i="71"/>
  <c r="R163" i="71"/>
  <c r="X162" i="71"/>
  <c r="R162" i="71"/>
  <c r="X161" i="71"/>
  <c r="R161" i="71"/>
  <c r="X160" i="71"/>
  <c r="R160" i="71"/>
  <c r="X159" i="71"/>
  <c r="R159" i="71"/>
  <c r="X158" i="71"/>
  <c r="R158" i="71"/>
  <c r="X157" i="71"/>
  <c r="R157" i="71"/>
  <c r="X156" i="71"/>
  <c r="R156" i="71"/>
  <c r="X155" i="71"/>
  <c r="R155" i="71"/>
  <c r="X154" i="71"/>
  <c r="R154" i="71"/>
  <c r="X153" i="71"/>
  <c r="R153" i="71"/>
  <c r="X152" i="71"/>
  <c r="R152" i="71"/>
  <c r="X151" i="71"/>
  <c r="R151" i="71"/>
  <c r="X150" i="71"/>
  <c r="R150" i="71"/>
  <c r="X149" i="71"/>
  <c r="R149" i="71"/>
  <c r="X148" i="71"/>
  <c r="R148" i="71"/>
  <c r="X147" i="71"/>
  <c r="R147" i="71"/>
  <c r="X146" i="71"/>
  <c r="R146" i="71"/>
  <c r="X145" i="71"/>
  <c r="R145" i="71"/>
  <c r="X144" i="71"/>
  <c r="R144" i="71"/>
  <c r="X143" i="71"/>
  <c r="R143" i="71"/>
  <c r="X142" i="71"/>
  <c r="R142" i="71"/>
  <c r="X141" i="71"/>
  <c r="R141" i="71"/>
  <c r="X140" i="71"/>
  <c r="R140" i="71"/>
  <c r="X139" i="71"/>
  <c r="R139" i="71"/>
  <c r="X138" i="71"/>
  <c r="R138" i="71"/>
  <c r="X137" i="71"/>
  <c r="R137" i="71"/>
  <c r="X136" i="71"/>
  <c r="R136" i="71"/>
  <c r="X135" i="71"/>
  <c r="R135" i="71"/>
  <c r="X134" i="71"/>
  <c r="R134" i="71"/>
  <c r="X133" i="71"/>
  <c r="R133" i="71"/>
  <c r="X132" i="71"/>
  <c r="R132" i="71"/>
  <c r="X131" i="71"/>
  <c r="R131" i="71"/>
  <c r="X130" i="71"/>
  <c r="R130" i="71"/>
  <c r="X129" i="71"/>
  <c r="R129" i="71"/>
  <c r="X128" i="71"/>
  <c r="R128" i="71"/>
  <c r="X127" i="71"/>
  <c r="R127" i="71"/>
  <c r="X126" i="71"/>
  <c r="R126" i="71"/>
  <c r="X125" i="71"/>
  <c r="R125" i="71"/>
  <c r="X124" i="71"/>
  <c r="R124" i="71"/>
  <c r="X123" i="71"/>
  <c r="R123" i="71"/>
  <c r="X122" i="71"/>
  <c r="R122" i="71"/>
  <c r="X121" i="71"/>
  <c r="R121" i="71"/>
  <c r="X120" i="71"/>
  <c r="R120" i="71"/>
  <c r="X119" i="71"/>
  <c r="R119" i="71"/>
  <c r="X118" i="71"/>
  <c r="R118" i="71"/>
  <c r="X117" i="71"/>
  <c r="R117" i="71"/>
  <c r="X116" i="71"/>
  <c r="R116" i="71"/>
  <c r="X115" i="71"/>
  <c r="R115" i="71"/>
  <c r="X114" i="71"/>
  <c r="R114" i="71"/>
  <c r="X113" i="71"/>
  <c r="R113" i="71"/>
  <c r="X112" i="71"/>
  <c r="R112" i="71"/>
  <c r="X111" i="71"/>
  <c r="R111" i="71"/>
  <c r="X110" i="71"/>
  <c r="R110" i="71"/>
  <c r="X109" i="71"/>
  <c r="R109" i="71"/>
  <c r="X108" i="71"/>
  <c r="R108" i="71"/>
  <c r="X107" i="71"/>
  <c r="R107" i="71"/>
  <c r="X106" i="71"/>
  <c r="R106" i="71"/>
  <c r="X105" i="71"/>
  <c r="R105" i="71"/>
  <c r="X104" i="71"/>
  <c r="R104" i="71"/>
  <c r="X103" i="71"/>
  <c r="R103" i="71"/>
  <c r="X102" i="71"/>
  <c r="R102" i="71"/>
  <c r="X101" i="71"/>
  <c r="R101" i="71"/>
  <c r="X100" i="71"/>
  <c r="R100" i="71"/>
  <c r="X99" i="71"/>
  <c r="R99" i="71"/>
  <c r="X98" i="71"/>
  <c r="R98" i="71"/>
  <c r="X97" i="71"/>
  <c r="R97" i="71"/>
  <c r="X96" i="71"/>
  <c r="R96" i="71"/>
  <c r="X95" i="71"/>
  <c r="R95" i="71"/>
  <c r="X94" i="71"/>
  <c r="R94" i="71"/>
  <c r="X93" i="71"/>
  <c r="R93" i="71"/>
  <c r="X92" i="71"/>
  <c r="R92" i="71"/>
  <c r="X91" i="71"/>
  <c r="R91" i="71"/>
  <c r="X90" i="71"/>
  <c r="R90" i="71"/>
  <c r="X89" i="71"/>
  <c r="R89" i="71"/>
  <c r="X88" i="71"/>
  <c r="R88" i="71"/>
  <c r="X87" i="71"/>
  <c r="R87" i="71"/>
  <c r="X86" i="71"/>
  <c r="R86" i="71"/>
  <c r="X85" i="71"/>
  <c r="R85" i="71"/>
  <c r="X84" i="71"/>
  <c r="R84" i="71"/>
  <c r="X83" i="71"/>
  <c r="R83" i="71"/>
  <c r="X82" i="71"/>
  <c r="R82" i="71"/>
  <c r="X81" i="71"/>
  <c r="R81" i="71"/>
  <c r="X80" i="71"/>
  <c r="R80" i="71"/>
  <c r="X79" i="71"/>
  <c r="R79" i="71"/>
  <c r="X78" i="71"/>
  <c r="R78" i="71"/>
  <c r="X77" i="71"/>
  <c r="R77" i="71"/>
  <c r="X76" i="71"/>
  <c r="R76" i="71"/>
  <c r="X75" i="71"/>
  <c r="R75" i="71"/>
  <c r="X74" i="71"/>
  <c r="R74" i="71"/>
  <c r="X73" i="71"/>
  <c r="R73" i="71"/>
  <c r="X72" i="71"/>
  <c r="R72" i="71"/>
  <c r="X71" i="71"/>
  <c r="R71" i="71"/>
  <c r="X70" i="71"/>
  <c r="R70" i="71"/>
  <c r="X69" i="71"/>
  <c r="R69" i="71"/>
  <c r="X68" i="71"/>
  <c r="R68" i="71"/>
  <c r="X67" i="71"/>
  <c r="R67" i="71"/>
  <c r="X66" i="71"/>
  <c r="R66" i="71"/>
  <c r="X65" i="71"/>
  <c r="R65" i="71"/>
  <c r="X64" i="71"/>
  <c r="R64" i="71"/>
  <c r="X63" i="71"/>
  <c r="R63" i="71"/>
  <c r="X62" i="71"/>
  <c r="R62" i="71"/>
  <c r="X61" i="71"/>
  <c r="R61" i="71"/>
  <c r="X60" i="71"/>
  <c r="R60" i="71"/>
  <c r="X59" i="71"/>
  <c r="R59" i="71"/>
  <c r="X58" i="71"/>
  <c r="R58" i="71"/>
  <c r="X57" i="71"/>
  <c r="R57" i="71"/>
  <c r="X56" i="71"/>
  <c r="R56" i="71"/>
  <c r="X55" i="71"/>
  <c r="R55" i="71"/>
  <c r="X54" i="71"/>
  <c r="R54" i="71"/>
  <c r="X53" i="71"/>
  <c r="R53" i="71"/>
  <c r="X52" i="71"/>
  <c r="R52" i="71"/>
  <c r="X51" i="71"/>
  <c r="R51" i="71"/>
  <c r="X50" i="71"/>
  <c r="R50" i="71"/>
  <c r="X49" i="71"/>
  <c r="R49" i="71"/>
  <c r="X48" i="71"/>
  <c r="R48" i="71"/>
  <c r="X47" i="71"/>
  <c r="R47" i="71"/>
  <c r="X46" i="71"/>
  <c r="R46" i="71"/>
  <c r="X45" i="71"/>
  <c r="R45" i="71"/>
  <c r="X44" i="71"/>
  <c r="R44" i="71"/>
  <c r="X43" i="71"/>
  <c r="R43" i="71"/>
  <c r="X42" i="71"/>
  <c r="R42" i="71"/>
  <c r="X41" i="71"/>
  <c r="R41" i="71"/>
  <c r="X40" i="71"/>
  <c r="R40" i="71"/>
  <c r="X39" i="71"/>
  <c r="R39" i="71"/>
  <c r="X38" i="71"/>
  <c r="R38" i="71"/>
  <c r="X37" i="71"/>
  <c r="R37" i="71"/>
  <c r="X36" i="71"/>
  <c r="R36" i="71"/>
  <c r="X35" i="71"/>
  <c r="R35" i="71"/>
  <c r="X34" i="71"/>
  <c r="R34" i="71"/>
  <c r="X33" i="71"/>
  <c r="R33" i="71"/>
  <c r="X32" i="71"/>
  <c r="R32" i="71"/>
  <c r="X31" i="71"/>
  <c r="R31" i="71"/>
  <c r="X30" i="71"/>
  <c r="R30" i="71"/>
  <c r="X29" i="71"/>
  <c r="R29" i="71"/>
  <c r="X28" i="71"/>
  <c r="R28" i="71"/>
  <c r="X27" i="71"/>
  <c r="R27" i="71"/>
  <c r="X26" i="71"/>
  <c r="R26" i="71"/>
  <c r="X25" i="71"/>
  <c r="R25" i="71"/>
  <c r="X24" i="71"/>
  <c r="R24" i="71"/>
  <c r="X23" i="71"/>
  <c r="R23" i="71"/>
  <c r="X22" i="71"/>
  <c r="R22" i="71"/>
  <c r="X21" i="71"/>
  <c r="R21" i="71"/>
  <c r="X20" i="71"/>
  <c r="R20" i="71"/>
  <c r="X19" i="71"/>
  <c r="R19" i="71"/>
  <c r="X18" i="71"/>
  <c r="R18" i="71"/>
  <c r="X17" i="71"/>
  <c r="R17" i="71"/>
  <c r="X16" i="71"/>
  <c r="R16" i="71"/>
  <c r="X15" i="71"/>
  <c r="R15" i="71"/>
  <c r="X14" i="71"/>
  <c r="R14" i="71"/>
  <c r="X13" i="71"/>
  <c r="R13" i="71"/>
  <c r="X12" i="71"/>
  <c r="R12" i="71"/>
  <c r="X256" i="46"/>
  <c r="X253" i="46"/>
  <c r="X252" i="46"/>
  <c r="X251" i="46"/>
  <c r="X250" i="46"/>
  <c r="X249" i="46"/>
  <c r="X248" i="46"/>
  <c r="X247" i="46"/>
  <c r="X246" i="46"/>
  <c r="X245" i="46"/>
  <c r="X244" i="46"/>
  <c r="X243" i="46"/>
  <c r="X242" i="46"/>
  <c r="X241" i="46"/>
  <c r="X240" i="46"/>
  <c r="X239" i="46"/>
  <c r="X238" i="46"/>
  <c r="X237" i="46"/>
  <c r="X236" i="46"/>
  <c r="X235" i="46"/>
  <c r="X234" i="46"/>
  <c r="X233" i="46"/>
  <c r="X232" i="46"/>
  <c r="X231" i="46"/>
  <c r="X230" i="46"/>
  <c r="X229" i="46"/>
  <c r="X228" i="46"/>
  <c r="X227" i="46"/>
  <c r="X226" i="46"/>
  <c r="X225" i="46"/>
  <c r="X224" i="46"/>
  <c r="X223" i="46"/>
  <c r="X222" i="46"/>
  <c r="X221" i="46"/>
  <c r="X220" i="46"/>
  <c r="X219" i="46"/>
  <c r="X218" i="46"/>
  <c r="X217" i="46"/>
  <c r="X216" i="46"/>
  <c r="X215" i="46"/>
  <c r="X214" i="46"/>
  <c r="X213" i="46"/>
  <c r="X212" i="46"/>
  <c r="X211" i="46"/>
  <c r="X210" i="46"/>
  <c r="X209" i="46"/>
  <c r="X208" i="46"/>
  <c r="X207" i="46"/>
  <c r="X206" i="46"/>
  <c r="X205" i="46"/>
  <c r="X204" i="46"/>
  <c r="X203" i="46"/>
  <c r="X202" i="46"/>
  <c r="X201" i="46"/>
  <c r="X200" i="46"/>
  <c r="X199" i="46"/>
  <c r="X198" i="46"/>
  <c r="X197" i="46"/>
  <c r="X196" i="46"/>
  <c r="X195" i="46"/>
  <c r="X194" i="46"/>
  <c r="X193" i="46"/>
  <c r="X192" i="46"/>
  <c r="X191" i="46"/>
  <c r="X190" i="46"/>
  <c r="X189" i="46"/>
  <c r="X188" i="46"/>
  <c r="X187" i="46"/>
  <c r="X186" i="46"/>
  <c r="X185" i="46"/>
  <c r="X184" i="46"/>
  <c r="X183" i="46"/>
  <c r="X182" i="46"/>
  <c r="X181" i="46"/>
  <c r="X180" i="46"/>
  <c r="X179" i="46"/>
  <c r="X178" i="46"/>
  <c r="X177" i="46"/>
  <c r="X176" i="46"/>
  <c r="X175" i="46"/>
  <c r="X174" i="46"/>
  <c r="X173" i="46"/>
  <c r="X172" i="46"/>
  <c r="X171" i="46"/>
  <c r="X170" i="46"/>
  <c r="X169" i="46"/>
  <c r="X168" i="46"/>
  <c r="X167" i="46"/>
  <c r="X166" i="46"/>
  <c r="X165" i="46"/>
  <c r="X164" i="46"/>
  <c r="X163" i="46"/>
  <c r="X162" i="46"/>
  <c r="X161" i="46"/>
  <c r="X160" i="46"/>
  <c r="X159" i="46"/>
  <c r="X158" i="46"/>
  <c r="X157" i="46"/>
  <c r="X156" i="46"/>
  <c r="X155" i="46"/>
  <c r="X154" i="46"/>
  <c r="X153" i="46"/>
  <c r="X152" i="46"/>
  <c r="X151" i="46"/>
  <c r="X150" i="46"/>
  <c r="X149" i="46"/>
  <c r="X148" i="46"/>
  <c r="X147" i="46"/>
  <c r="X146" i="46"/>
  <c r="X145" i="46"/>
  <c r="X144" i="46"/>
  <c r="X143" i="46"/>
  <c r="X142" i="46"/>
  <c r="X141" i="46"/>
  <c r="X140" i="46"/>
  <c r="X139" i="46"/>
  <c r="X138" i="46"/>
  <c r="X137" i="46"/>
  <c r="X136" i="46"/>
  <c r="X135" i="46"/>
  <c r="X134" i="46"/>
  <c r="X133" i="46"/>
  <c r="X132" i="46"/>
  <c r="X131" i="46"/>
  <c r="X130" i="46"/>
  <c r="X129" i="46"/>
  <c r="X128" i="46"/>
  <c r="X127" i="46"/>
  <c r="X126" i="46"/>
  <c r="X125" i="46"/>
  <c r="X124" i="46"/>
  <c r="X123" i="46"/>
  <c r="X122" i="46"/>
  <c r="X121" i="46"/>
  <c r="X120" i="46"/>
  <c r="X119" i="46"/>
  <c r="X118" i="46"/>
  <c r="X117" i="46"/>
  <c r="X116" i="46"/>
  <c r="X115" i="46"/>
  <c r="X114" i="46"/>
  <c r="X113" i="46"/>
  <c r="X112" i="46"/>
  <c r="X111" i="46"/>
  <c r="X110" i="46"/>
  <c r="X109" i="46"/>
  <c r="X108" i="46"/>
  <c r="X107" i="46"/>
  <c r="X106" i="46"/>
  <c r="X105" i="46"/>
  <c r="X104" i="46"/>
  <c r="X103" i="46"/>
  <c r="X102" i="46"/>
  <c r="X101" i="46"/>
  <c r="X100" i="46"/>
  <c r="X99" i="46"/>
  <c r="X98" i="46"/>
  <c r="X97" i="46"/>
  <c r="X96" i="46"/>
  <c r="X95" i="46"/>
  <c r="X94" i="46"/>
  <c r="X93" i="46"/>
  <c r="X92" i="46"/>
  <c r="X91" i="46"/>
  <c r="X90" i="46"/>
  <c r="X89" i="46"/>
  <c r="X88" i="46"/>
  <c r="X87" i="46"/>
  <c r="X86" i="46"/>
  <c r="X85" i="46"/>
  <c r="X84" i="46"/>
  <c r="X83" i="46"/>
  <c r="X82" i="46"/>
  <c r="X81" i="46"/>
  <c r="X80" i="46"/>
  <c r="X79" i="46"/>
  <c r="X78" i="46"/>
  <c r="X77" i="46"/>
  <c r="X76" i="46"/>
  <c r="X75" i="46"/>
  <c r="X74" i="46"/>
  <c r="X73" i="46"/>
  <c r="X72" i="46"/>
  <c r="X71" i="46"/>
  <c r="X70" i="46"/>
  <c r="X69" i="46"/>
  <c r="X68" i="46"/>
  <c r="X67" i="46"/>
  <c r="X66" i="46"/>
  <c r="X65" i="46"/>
  <c r="X64" i="46"/>
  <c r="X63" i="46"/>
  <c r="X62" i="46"/>
  <c r="X61" i="46"/>
  <c r="X60" i="46"/>
  <c r="X59" i="46"/>
  <c r="X58" i="46"/>
  <c r="X57" i="46"/>
  <c r="X56" i="46"/>
  <c r="X55" i="46"/>
  <c r="X54" i="46"/>
  <c r="X53" i="46"/>
  <c r="X52" i="46"/>
  <c r="X51" i="46"/>
  <c r="X50" i="46"/>
  <c r="X49" i="46"/>
  <c r="X48" i="46"/>
  <c r="X47" i="46"/>
  <c r="X46" i="46"/>
  <c r="X45" i="46"/>
  <c r="X44" i="46"/>
  <c r="X43" i="46"/>
  <c r="X42" i="46"/>
  <c r="X41" i="46"/>
  <c r="X40" i="46"/>
  <c r="X39" i="46"/>
  <c r="X38" i="46"/>
  <c r="X37" i="46"/>
  <c r="J169" i="36" l="1"/>
  <c r="J167" i="36"/>
  <c r="J165" i="36"/>
  <c r="J163" i="36"/>
  <c r="J104" i="36"/>
  <c r="F186" i="36"/>
  <c r="F185" i="36"/>
  <c r="F184" i="36"/>
  <c r="F183" i="36"/>
  <c r="F182" i="36"/>
  <c r="D186" i="36"/>
  <c r="D185" i="36"/>
  <c r="D184" i="36"/>
  <c r="D183" i="36"/>
  <c r="D182" i="36"/>
  <c r="D173" i="22"/>
  <c r="D172" i="22"/>
  <c r="D171" i="22"/>
  <c r="D170" i="22"/>
  <c r="D169" i="22"/>
  <c r="C173" i="22"/>
  <c r="C172" i="22"/>
  <c r="C171" i="22"/>
  <c r="C170" i="22"/>
  <c r="C169" i="22"/>
  <c r="A173" i="22"/>
  <c r="A172" i="22"/>
  <c r="A171" i="22"/>
  <c r="E171" i="22" s="1"/>
  <c r="C164" i="36" s="1"/>
  <c r="A170" i="22"/>
  <c r="A169" i="22"/>
  <c r="K169" i="22" s="1"/>
  <c r="H185" i="36" l="1"/>
  <c r="K172" i="22"/>
  <c r="L172" i="22"/>
  <c r="G169" i="22"/>
  <c r="I173" i="22"/>
  <c r="L170" i="22"/>
  <c r="I170" i="22"/>
  <c r="G172" i="22"/>
  <c r="K171" i="22"/>
  <c r="I171" i="22"/>
  <c r="L171" i="22"/>
  <c r="H171" i="22"/>
  <c r="F171" i="22"/>
  <c r="D164" i="36" s="1"/>
  <c r="J171" i="22"/>
  <c r="K173" i="22"/>
  <c r="H186" i="36"/>
  <c r="H184" i="36"/>
  <c r="H182" i="36"/>
  <c r="H183" i="36"/>
  <c r="E172" i="22"/>
  <c r="C165" i="36" s="1"/>
  <c r="G170" i="22"/>
  <c r="S169" i="22"/>
  <c r="C182" i="36" s="1"/>
  <c r="E173" i="22"/>
  <c r="C166" i="36" s="1"/>
  <c r="G171" i="22"/>
  <c r="S170" i="22"/>
  <c r="C183" i="36" s="1"/>
  <c r="S171" i="22"/>
  <c r="C184" i="36" s="1"/>
  <c r="C204" i="36" s="1"/>
  <c r="G173" i="22"/>
  <c r="S172" i="22"/>
  <c r="C185" i="36" s="1"/>
  <c r="K170" i="22"/>
  <c r="S173" i="22"/>
  <c r="C186" i="36" s="1"/>
  <c r="E169" i="22"/>
  <c r="C162" i="36" s="1"/>
  <c r="E170" i="22"/>
  <c r="C163" i="36" s="1"/>
  <c r="J108" i="36"/>
  <c r="J106" i="36"/>
  <c r="J102" i="36"/>
  <c r="J100" i="36"/>
  <c r="C203" i="36" l="1"/>
  <c r="C202" i="36"/>
  <c r="D204" i="36"/>
  <c r="C206" i="36"/>
  <c r="C205" i="36"/>
  <c r="A147" i="22"/>
  <c r="A148" i="22"/>
  <c r="E148" i="22" s="1"/>
  <c r="C100" i="36" s="1"/>
  <c r="A149" i="22"/>
  <c r="T149" i="22" s="1"/>
  <c r="D121" i="36" s="1"/>
  <c r="A150" i="22"/>
  <c r="S150" i="22" s="1"/>
  <c r="C122" i="36" s="1"/>
  <c r="A151" i="22"/>
  <c r="G151" i="22" s="1"/>
  <c r="A152" i="22"/>
  <c r="S152" i="22" s="1"/>
  <c r="C124" i="36" s="1"/>
  <c r="A153" i="22"/>
  <c r="T153" i="22" s="1"/>
  <c r="D125" i="36" s="1"/>
  <c r="A154" i="22"/>
  <c r="A155" i="22"/>
  <c r="S155" i="22" s="1"/>
  <c r="C127" i="36" s="1"/>
  <c r="A156" i="22"/>
  <c r="L156" i="22" s="1"/>
  <c r="A157" i="22"/>
  <c r="A158" i="22"/>
  <c r="I158" i="22" s="1"/>
  <c r="A159" i="22"/>
  <c r="E159" i="22" s="1"/>
  <c r="C111" i="36" s="1"/>
  <c r="T152" i="22"/>
  <c r="D124" i="36" s="1"/>
  <c r="S153" i="22"/>
  <c r="C125" i="36" s="1"/>
  <c r="S147" i="22"/>
  <c r="C119" i="36" s="1"/>
  <c r="L155" i="22"/>
  <c r="L153" i="22"/>
  <c r="L150" i="22"/>
  <c r="K155" i="22"/>
  <c r="K154" i="22"/>
  <c r="K153" i="22"/>
  <c r="K147" i="22"/>
  <c r="I155" i="22"/>
  <c r="H155" i="22"/>
  <c r="G155" i="22"/>
  <c r="G153" i="22"/>
  <c r="G152" i="22"/>
  <c r="G147" i="22"/>
  <c r="E155" i="22"/>
  <c r="C107" i="36" s="1"/>
  <c r="E153" i="22"/>
  <c r="C105" i="36" s="1"/>
  <c r="E152" i="22"/>
  <c r="C104" i="36" s="1"/>
  <c r="E151" i="22"/>
  <c r="C103" i="36" s="1"/>
  <c r="E147" i="22"/>
  <c r="C99" i="36" s="1"/>
  <c r="L152" i="22" l="1"/>
  <c r="K152" i="22"/>
  <c r="G156" i="22"/>
  <c r="T151" i="22"/>
  <c r="D123" i="36" s="1"/>
  <c r="C147" i="36"/>
  <c r="E157" i="22"/>
  <c r="C109" i="36" s="1"/>
  <c r="H156" i="22"/>
  <c r="C139" i="36"/>
  <c r="I156" i="22"/>
  <c r="E158" i="22"/>
  <c r="C110" i="36" s="1"/>
  <c r="G158" i="22"/>
  <c r="K150" i="22"/>
  <c r="E150" i="22"/>
  <c r="C102" i="36" s="1"/>
  <c r="C142" i="36" s="1"/>
  <c r="S158" i="22"/>
  <c r="C130" i="36" s="1"/>
  <c r="G150" i="22"/>
  <c r="H158" i="22"/>
  <c r="T150" i="22"/>
  <c r="D122" i="36" s="1"/>
  <c r="L158" i="22"/>
  <c r="K158" i="22"/>
  <c r="E149" i="22"/>
  <c r="C101" i="36" s="1"/>
  <c r="K151" i="22"/>
  <c r="K159" i="22"/>
  <c r="S151" i="22"/>
  <c r="C123" i="36" s="1"/>
  <c r="C143" i="36" s="1"/>
  <c r="V150" i="22"/>
  <c r="W150" i="22"/>
  <c r="V149" i="22"/>
  <c r="W149" i="22"/>
  <c r="W156" i="22"/>
  <c r="V156" i="22"/>
  <c r="W148" i="22"/>
  <c r="T155" i="22"/>
  <c r="D127" i="36" s="1"/>
  <c r="W155" i="22"/>
  <c r="V155" i="22"/>
  <c r="L149" i="22"/>
  <c r="L151" i="22"/>
  <c r="S156" i="22"/>
  <c r="C128" i="36" s="1"/>
  <c r="S154" i="22"/>
  <c r="C126" i="36" s="1"/>
  <c r="V154" i="22"/>
  <c r="V157" i="22"/>
  <c r="W157" i="22"/>
  <c r="C144" i="36"/>
  <c r="G148" i="22"/>
  <c r="G157" i="22"/>
  <c r="G149" i="22"/>
  <c r="G159" i="22"/>
  <c r="K148" i="22"/>
  <c r="K156" i="22"/>
  <c r="S148" i="22"/>
  <c r="C120" i="36" s="1"/>
  <c r="C140" i="36" s="1"/>
  <c r="S157" i="22"/>
  <c r="C129" i="36" s="1"/>
  <c r="T156" i="22"/>
  <c r="D128" i="36" s="1"/>
  <c r="W153" i="22"/>
  <c r="V153" i="22"/>
  <c r="E156" i="22"/>
  <c r="C108" i="36" s="1"/>
  <c r="K149" i="22"/>
  <c r="K157" i="22"/>
  <c r="S149" i="22"/>
  <c r="C121" i="36" s="1"/>
  <c r="T157" i="22"/>
  <c r="D129" i="36" s="1"/>
  <c r="V152" i="22"/>
  <c r="W152" i="22"/>
  <c r="V151" i="22"/>
  <c r="W151" i="22"/>
  <c r="V158" i="22"/>
  <c r="W158" i="22"/>
  <c r="T158" i="22"/>
  <c r="D130" i="36" s="1"/>
  <c r="H154" i="22"/>
  <c r="U153" i="22"/>
  <c r="X153" i="22"/>
  <c r="F154" i="22"/>
  <c r="D106" i="36" s="1"/>
  <c r="U154" i="22"/>
  <c r="X152" i="22"/>
  <c r="U152" i="22"/>
  <c r="G154" i="22"/>
  <c r="U159" i="22"/>
  <c r="X151" i="22"/>
  <c r="U151" i="22"/>
  <c r="L154" i="22"/>
  <c r="X158" i="22"/>
  <c r="U158" i="22"/>
  <c r="F158" i="22"/>
  <c r="D110" i="36" s="1"/>
  <c r="X150" i="22"/>
  <c r="U150" i="22"/>
  <c r="C145" i="36"/>
  <c r="I154" i="22"/>
  <c r="T154" i="22"/>
  <c r="D126" i="36" s="1"/>
  <c r="U157" i="22"/>
  <c r="X157" i="22"/>
  <c r="U149" i="22"/>
  <c r="X149" i="22"/>
  <c r="E154" i="22"/>
  <c r="C106" i="36" s="1"/>
  <c r="S159" i="22"/>
  <c r="C131" i="36" s="1"/>
  <c r="C151" i="36" s="1"/>
  <c r="X156" i="22"/>
  <c r="F156" i="22"/>
  <c r="D108" i="36" s="1"/>
  <c r="U156" i="22"/>
  <c r="X148" i="22"/>
  <c r="U148" i="22"/>
  <c r="F155" i="22"/>
  <c r="D107" i="36" s="1"/>
  <c r="X155" i="22"/>
  <c r="U155" i="22"/>
  <c r="U147" i="22"/>
  <c r="D159" i="22"/>
  <c r="D158" i="22"/>
  <c r="D157" i="22"/>
  <c r="D156" i="22"/>
  <c r="D155" i="22"/>
  <c r="D154" i="22"/>
  <c r="D153" i="22"/>
  <c r="D152" i="22"/>
  <c r="D151" i="22"/>
  <c r="D150" i="22"/>
  <c r="D149" i="22"/>
  <c r="D148" i="22"/>
  <c r="D147" i="22"/>
  <c r="C159" i="22"/>
  <c r="C158" i="22"/>
  <c r="C157" i="22"/>
  <c r="C156" i="22"/>
  <c r="C155" i="22"/>
  <c r="C154" i="22"/>
  <c r="C153" i="22"/>
  <c r="C152" i="22"/>
  <c r="C151" i="22"/>
  <c r="C150" i="22"/>
  <c r="C149" i="22"/>
  <c r="C148" i="22"/>
  <c r="C147" i="22"/>
  <c r="C146" i="36" l="1"/>
  <c r="C149" i="36"/>
  <c r="D147" i="36"/>
  <c r="D148" i="36"/>
  <c r="C148" i="36"/>
  <c r="C141" i="36"/>
  <c r="C150" i="36"/>
  <c r="D150" i="36"/>
  <c r="D146" i="36"/>
  <c r="F11" i="46" l="1"/>
  <c r="F12" i="46"/>
  <c r="F13" i="46"/>
  <c r="F14" i="46"/>
  <c r="F15" i="46"/>
  <c r="G12" i="11" l="1"/>
  <c r="G13" i="11"/>
  <c r="G14" i="11" l="1"/>
  <c r="G15" i="11"/>
  <c r="AJ258" i="65" l="1"/>
  <c r="S17" i="68"/>
  <c r="S18" i="68"/>
  <c r="S19" i="68"/>
  <c r="S20" i="68"/>
  <c r="S21" i="68"/>
  <c r="S22" i="68"/>
  <c r="S23" i="68"/>
  <c r="S24" i="68"/>
  <c r="S25" i="68"/>
  <c r="S26" i="68"/>
  <c r="S27" i="68"/>
  <c r="S28" i="68"/>
  <c r="S29" i="68"/>
  <c r="S30" i="68"/>
  <c r="S31" i="68"/>
  <c r="S32" i="68"/>
  <c r="S33" i="68"/>
  <c r="S34" i="68"/>
  <c r="S35" i="68"/>
  <c r="S36" i="68"/>
  <c r="S37" i="68"/>
  <c r="S38" i="68"/>
  <c r="S39" i="68"/>
  <c r="S40" i="68"/>
  <c r="S41" i="68"/>
  <c r="S42" i="68"/>
  <c r="S43" i="68"/>
  <c r="S44" i="68"/>
  <c r="S45" i="68"/>
  <c r="S46" i="68"/>
  <c r="S47" i="68"/>
  <c r="S48" i="68"/>
  <c r="S49" i="68"/>
  <c r="S50" i="68"/>
  <c r="S51" i="68"/>
  <c r="S52" i="68"/>
  <c r="S53" i="68"/>
  <c r="S54" i="68"/>
  <c r="S55" i="68"/>
  <c r="S56" i="68"/>
  <c r="S57" i="68"/>
  <c r="S58" i="68"/>
  <c r="S59" i="68"/>
  <c r="S60" i="68"/>
  <c r="S61" i="68"/>
  <c r="S62" i="68"/>
  <c r="S63" i="68"/>
  <c r="S64" i="68"/>
  <c r="S65" i="68"/>
  <c r="S66" i="68"/>
  <c r="S67" i="68"/>
  <c r="S68" i="68"/>
  <c r="S69" i="68"/>
  <c r="S70" i="68"/>
  <c r="S71" i="68"/>
  <c r="S72" i="68"/>
  <c r="S73" i="68"/>
  <c r="S74" i="68"/>
  <c r="S75" i="68"/>
  <c r="S76" i="68"/>
  <c r="S77" i="68"/>
  <c r="S78" i="68"/>
  <c r="S79" i="68"/>
  <c r="S80" i="68"/>
  <c r="S81" i="68"/>
  <c r="S82" i="68"/>
  <c r="S83" i="68"/>
  <c r="S84" i="68"/>
  <c r="S85" i="68"/>
  <c r="S86" i="68"/>
  <c r="S87" i="68"/>
  <c r="S88" i="68"/>
  <c r="S89" i="68"/>
  <c r="S90" i="68"/>
  <c r="S91" i="68"/>
  <c r="S92" i="68"/>
  <c r="S93" i="68"/>
  <c r="S94" i="68"/>
  <c r="S95" i="68"/>
  <c r="S96" i="68"/>
  <c r="S97" i="68"/>
  <c r="S98" i="68"/>
  <c r="S99" i="68"/>
  <c r="S100" i="68"/>
  <c r="S101" i="68"/>
  <c r="S102" i="68"/>
  <c r="S103" i="68"/>
  <c r="S104" i="68"/>
  <c r="S105" i="68"/>
  <c r="S106" i="68"/>
  <c r="S107" i="68"/>
  <c r="S108" i="68"/>
  <c r="S109" i="68"/>
  <c r="S110" i="68"/>
  <c r="S111" i="68"/>
  <c r="S112" i="68"/>
  <c r="S113" i="68"/>
  <c r="S114" i="68"/>
  <c r="S115" i="68"/>
  <c r="S116" i="68"/>
  <c r="S117" i="68"/>
  <c r="S118" i="68"/>
  <c r="S119" i="68"/>
  <c r="S120" i="68"/>
  <c r="S121" i="68"/>
  <c r="S122" i="68"/>
  <c r="S123" i="68"/>
  <c r="S124" i="68"/>
  <c r="S125" i="68"/>
  <c r="S126" i="68"/>
  <c r="S127" i="68"/>
  <c r="S128" i="68"/>
  <c r="S129" i="68"/>
  <c r="S130" i="68"/>
  <c r="S131" i="68"/>
  <c r="S132" i="68"/>
  <c r="S133" i="68"/>
  <c r="S134" i="68"/>
  <c r="S135" i="68"/>
  <c r="S136" i="68"/>
  <c r="S137" i="68"/>
  <c r="S138" i="68"/>
  <c r="S139" i="68"/>
  <c r="S140" i="68"/>
  <c r="S141" i="68"/>
  <c r="S142" i="68"/>
  <c r="S143" i="68"/>
  <c r="S144" i="68"/>
  <c r="S145" i="68"/>
  <c r="S146" i="68"/>
  <c r="S147" i="68"/>
  <c r="S148" i="68"/>
  <c r="S149" i="68"/>
  <c r="S150" i="68"/>
  <c r="S151" i="68"/>
  <c r="S152" i="68"/>
  <c r="S153" i="68"/>
  <c r="S154" i="68"/>
  <c r="S155" i="68"/>
  <c r="S156" i="68"/>
  <c r="S157" i="68"/>
  <c r="S158" i="68"/>
  <c r="S159" i="68"/>
  <c r="S160" i="68"/>
  <c r="AK13" i="68"/>
  <c r="AK14" i="68"/>
  <c r="AK15" i="68"/>
  <c r="AK16" i="68"/>
  <c r="AK17" i="68"/>
  <c r="AK18" i="68"/>
  <c r="AK19" i="68"/>
  <c r="AK20" i="68"/>
  <c r="AK21" i="68"/>
  <c r="AK22" i="68"/>
  <c r="AK23" i="68"/>
  <c r="AK24" i="68"/>
  <c r="AK25" i="68"/>
  <c r="AK26" i="68"/>
  <c r="AK27" i="68"/>
  <c r="AK28" i="68"/>
  <c r="AK29" i="68"/>
  <c r="AK30" i="68"/>
  <c r="AK31" i="68"/>
  <c r="AK32" i="68"/>
  <c r="AK33" i="68"/>
  <c r="AK34" i="68"/>
  <c r="AK35" i="68"/>
  <c r="AK36" i="68"/>
  <c r="AK37" i="68"/>
  <c r="AK38" i="68"/>
  <c r="AK39" i="68"/>
  <c r="AK40" i="68"/>
  <c r="AK41" i="68"/>
  <c r="AK42" i="68"/>
  <c r="AK43" i="68"/>
  <c r="AK44" i="68"/>
  <c r="AK45" i="68"/>
  <c r="AK46" i="68"/>
  <c r="AK47" i="68"/>
  <c r="AK48" i="68"/>
  <c r="AK49" i="68"/>
  <c r="AK50" i="68"/>
  <c r="AK51" i="68"/>
  <c r="AK52" i="68"/>
  <c r="AK53" i="68"/>
  <c r="AK54" i="68"/>
  <c r="AK55" i="68"/>
  <c r="AK56" i="68"/>
  <c r="AK57" i="68"/>
  <c r="AK58" i="68"/>
  <c r="AK59" i="68"/>
  <c r="AK60" i="68"/>
  <c r="AK61" i="68"/>
  <c r="AK62" i="68"/>
  <c r="AK63" i="68"/>
  <c r="AK64" i="68"/>
  <c r="AK65" i="68"/>
  <c r="AK66" i="68"/>
  <c r="AK67" i="68"/>
  <c r="AK68" i="68"/>
  <c r="AK69" i="68"/>
  <c r="AK70" i="68"/>
  <c r="AK71" i="68"/>
  <c r="AK72" i="68"/>
  <c r="AK73" i="68"/>
  <c r="AK74" i="68"/>
  <c r="AK75" i="68"/>
  <c r="AK76" i="68"/>
  <c r="AK77" i="68"/>
  <c r="AK78" i="68"/>
  <c r="AK79" i="68"/>
  <c r="AK80" i="68"/>
  <c r="AK81" i="68"/>
  <c r="AK82" i="68"/>
  <c r="AK83" i="68"/>
  <c r="AK84" i="68"/>
  <c r="AK85" i="68"/>
  <c r="AK86" i="68"/>
  <c r="AK87" i="68"/>
  <c r="AK88" i="68"/>
  <c r="AK89" i="68"/>
  <c r="AK90" i="68"/>
  <c r="AK91" i="68"/>
  <c r="AK92" i="68"/>
  <c r="AK93" i="68"/>
  <c r="AK94" i="68"/>
  <c r="AK95" i="68"/>
  <c r="AK96" i="68"/>
  <c r="AK97" i="68"/>
  <c r="AK98" i="68"/>
  <c r="AK99" i="68"/>
  <c r="AK100" i="68"/>
  <c r="AK101" i="68"/>
  <c r="AK102" i="68"/>
  <c r="AK103" i="68"/>
  <c r="AK104" i="68"/>
  <c r="AK105" i="68"/>
  <c r="AK106" i="68"/>
  <c r="AK107" i="68"/>
  <c r="AK108" i="68"/>
  <c r="AK109" i="68"/>
  <c r="AK110" i="68"/>
  <c r="AK111" i="68"/>
  <c r="AK112" i="68"/>
  <c r="AK113" i="68"/>
  <c r="AK114" i="68"/>
  <c r="AK115" i="68"/>
  <c r="AK116" i="68"/>
  <c r="AK117" i="68"/>
  <c r="AK118" i="68"/>
  <c r="AK119" i="68"/>
  <c r="AK120" i="68"/>
  <c r="AK121" i="68"/>
  <c r="AK122" i="68"/>
  <c r="AK123" i="68"/>
  <c r="AK124" i="68"/>
  <c r="AK125" i="68"/>
  <c r="AK126" i="68"/>
  <c r="AK127" i="68"/>
  <c r="AK128" i="68"/>
  <c r="AK129" i="68"/>
  <c r="AK130" i="68"/>
  <c r="AK131" i="68"/>
  <c r="AK132" i="68"/>
  <c r="AK133" i="68"/>
  <c r="AK134" i="68"/>
  <c r="AK135" i="68"/>
  <c r="AK136" i="68"/>
  <c r="AK137" i="68"/>
  <c r="AK138" i="68"/>
  <c r="AK139" i="68"/>
  <c r="AK140" i="68"/>
  <c r="AK141" i="68"/>
  <c r="AK142" i="68"/>
  <c r="AK143" i="68"/>
  <c r="AK144" i="68"/>
  <c r="AK145" i="68"/>
  <c r="AK146" i="68"/>
  <c r="AK147" i="68"/>
  <c r="AK148" i="68"/>
  <c r="AK149" i="68"/>
  <c r="AK150" i="68"/>
  <c r="AK151" i="68"/>
  <c r="AK152" i="68"/>
  <c r="AK153" i="68"/>
  <c r="AK154" i="68"/>
  <c r="AK155" i="68"/>
  <c r="AK156" i="68"/>
  <c r="AK157" i="68"/>
  <c r="AK158" i="68"/>
  <c r="AK159" i="68"/>
  <c r="AK160" i="68"/>
  <c r="AK161" i="68"/>
  <c r="AK162" i="68"/>
  <c r="AK163" i="68"/>
  <c r="AK164" i="68"/>
  <c r="AK165" i="68"/>
  <c r="AK166" i="68"/>
  <c r="AK167" i="68"/>
  <c r="AK168" i="68"/>
  <c r="AK169" i="68"/>
  <c r="AK170" i="68"/>
  <c r="AK171" i="68"/>
  <c r="AK172" i="68"/>
  <c r="AK173" i="68"/>
  <c r="AK174" i="68"/>
  <c r="AK175" i="68"/>
  <c r="AK176" i="68"/>
  <c r="AK177" i="68"/>
  <c r="AK178" i="68"/>
  <c r="AK179" i="68"/>
  <c r="AK180" i="68"/>
  <c r="AK181" i="68"/>
  <c r="AK182" i="68"/>
  <c r="AK183" i="68"/>
  <c r="AK184" i="68"/>
  <c r="AK185" i="68"/>
  <c r="AK186" i="68"/>
  <c r="AK187" i="68"/>
  <c r="AK188" i="68"/>
  <c r="AK189" i="68"/>
  <c r="AK190" i="68"/>
  <c r="AK191" i="68"/>
  <c r="AK192" i="68"/>
  <c r="AK193" i="68"/>
  <c r="AK194" i="68"/>
  <c r="AK195" i="68"/>
  <c r="AK196" i="68"/>
  <c r="AK197" i="68"/>
  <c r="AK198" i="68"/>
  <c r="AK199" i="68"/>
  <c r="AK200" i="68"/>
  <c r="AK201" i="68"/>
  <c r="AK202" i="68"/>
  <c r="AK203" i="68"/>
  <c r="AK204" i="68"/>
  <c r="AK205" i="68"/>
  <c r="AK206" i="68"/>
  <c r="AK207" i="68"/>
  <c r="AK208" i="68"/>
  <c r="AK209" i="68"/>
  <c r="AK210" i="68"/>
  <c r="AK211" i="68"/>
  <c r="AK212" i="68"/>
  <c r="AK213" i="68"/>
  <c r="AK214" i="68"/>
  <c r="AK215" i="68"/>
  <c r="AK216" i="68"/>
  <c r="AK217" i="68"/>
  <c r="AK218" i="68"/>
  <c r="AK219" i="68"/>
  <c r="AK220" i="68"/>
  <c r="AK221" i="68"/>
  <c r="AK222" i="68"/>
  <c r="AK223" i="68"/>
  <c r="AK224" i="68"/>
  <c r="AK225" i="68"/>
  <c r="AK226" i="68"/>
  <c r="AK227" i="68"/>
  <c r="AK228" i="68"/>
  <c r="AK229" i="68"/>
  <c r="AK230" i="68"/>
  <c r="AK231" i="68"/>
  <c r="AK232" i="68"/>
  <c r="AK233" i="68"/>
  <c r="AK234" i="68"/>
  <c r="AK235" i="68"/>
  <c r="AK236" i="68"/>
  <c r="AK237" i="68"/>
  <c r="AK238" i="68"/>
  <c r="AK239" i="68"/>
  <c r="AK240" i="68"/>
  <c r="AK241" i="68"/>
  <c r="AK242" i="68"/>
  <c r="AK243" i="68"/>
  <c r="AK244" i="68"/>
  <c r="AK245" i="68"/>
  <c r="AK246" i="68"/>
  <c r="AK247" i="68"/>
  <c r="AK248" i="68"/>
  <c r="AK249" i="68"/>
  <c r="AK250" i="68"/>
  <c r="AK251" i="68"/>
  <c r="AK252" i="68"/>
  <c r="AK253" i="68"/>
  <c r="AK254" i="68"/>
  <c r="AK255" i="68"/>
  <c r="AK256" i="68"/>
  <c r="AK257" i="68"/>
  <c r="AK258" i="68"/>
  <c r="AK259" i="68"/>
  <c r="AK12" i="68"/>
  <c r="AF11" i="67"/>
  <c r="AF12" i="67"/>
  <c r="AF13" i="67"/>
  <c r="AF14" i="67"/>
  <c r="AF15" i="67"/>
  <c r="AF16" i="67"/>
  <c r="AF17" i="67"/>
  <c r="AF18" i="67"/>
  <c r="AF19" i="67"/>
  <c r="AF20" i="67"/>
  <c r="AF21" i="67"/>
  <c r="AF22" i="67"/>
  <c r="AF23" i="67"/>
  <c r="AF24" i="67"/>
  <c r="AF25" i="67"/>
  <c r="AF26" i="67"/>
  <c r="AF27" i="67"/>
  <c r="AF28" i="67"/>
  <c r="AF29" i="67"/>
  <c r="AF30" i="67"/>
  <c r="AF31" i="67"/>
  <c r="AF32" i="67"/>
  <c r="AF33" i="67"/>
  <c r="AF34" i="67"/>
  <c r="AF35" i="67"/>
  <c r="AF36" i="67"/>
  <c r="AF37" i="67"/>
  <c r="AF38" i="67"/>
  <c r="AF39" i="67"/>
  <c r="AF40" i="67"/>
  <c r="AF41" i="67"/>
  <c r="AF42" i="67"/>
  <c r="AF43" i="67"/>
  <c r="AF44" i="67"/>
  <c r="AF45" i="67"/>
  <c r="AF46" i="67"/>
  <c r="AF47" i="67"/>
  <c r="AF48" i="67"/>
  <c r="AF49" i="67"/>
  <c r="AF50" i="67"/>
  <c r="AF51" i="67"/>
  <c r="AF52" i="67"/>
  <c r="AF53" i="67"/>
  <c r="AF54" i="67"/>
  <c r="AF55" i="67"/>
  <c r="AF56" i="67"/>
  <c r="AF57" i="67"/>
  <c r="AF58" i="67"/>
  <c r="AF59" i="67"/>
  <c r="AF60" i="67"/>
  <c r="AF61" i="67"/>
  <c r="AF62" i="67"/>
  <c r="AF63" i="67"/>
  <c r="AF64" i="67"/>
  <c r="AF65" i="67"/>
  <c r="AF66" i="67"/>
  <c r="AF67" i="67"/>
  <c r="AF68" i="67"/>
  <c r="AF69" i="67"/>
  <c r="AF70" i="67"/>
  <c r="AF71" i="67"/>
  <c r="AF72" i="67"/>
  <c r="AF73" i="67"/>
  <c r="AF74" i="67"/>
  <c r="AF75" i="67"/>
  <c r="AF76" i="67"/>
  <c r="AF77" i="67"/>
  <c r="AF78" i="67"/>
  <c r="AF79" i="67"/>
  <c r="AF80" i="67"/>
  <c r="AF81" i="67"/>
  <c r="AF82" i="67"/>
  <c r="AF83" i="67"/>
  <c r="AF84" i="67"/>
  <c r="AF85" i="67"/>
  <c r="AF86" i="67"/>
  <c r="AF87" i="67"/>
  <c r="AF88" i="67"/>
  <c r="AF89" i="67"/>
  <c r="AF90" i="67"/>
  <c r="AF91" i="67"/>
  <c r="AF92" i="67"/>
  <c r="AF93" i="67"/>
  <c r="AF94" i="67"/>
  <c r="AF95" i="67"/>
  <c r="AF96" i="67"/>
  <c r="AF97" i="67"/>
  <c r="AF98" i="67"/>
  <c r="AF99" i="67"/>
  <c r="AF100" i="67"/>
  <c r="AF101" i="67"/>
  <c r="AF102" i="67"/>
  <c r="AF103" i="67"/>
  <c r="AF104" i="67"/>
  <c r="AF105" i="67"/>
  <c r="AF106" i="67"/>
  <c r="AF107" i="67"/>
  <c r="AF108" i="67"/>
  <c r="AF109" i="67"/>
  <c r="AF110" i="67"/>
  <c r="AF111" i="67"/>
  <c r="AF112" i="67"/>
  <c r="AF113" i="67"/>
  <c r="AF114" i="67"/>
  <c r="AF115" i="67"/>
  <c r="AF116" i="67"/>
  <c r="AF117" i="67"/>
  <c r="AF118" i="67"/>
  <c r="AF119" i="67"/>
  <c r="AF120" i="67"/>
  <c r="AF121" i="67"/>
  <c r="AF122" i="67"/>
  <c r="AF123" i="67"/>
  <c r="AF124" i="67"/>
  <c r="AF125" i="67"/>
  <c r="AF126" i="67"/>
  <c r="AF127" i="67"/>
  <c r="AF128" i="67"/>
  <c r="AF129" i="67"/>
  <c r="AF130" i="67"/>
  <c r="AF131" i="67"/>
  <c r="AF132" i="67"/>
  <c r="AF133" i="67"/>
  <c r="AF134" i="67"/>
  <c r="AF135" i="67"/>
  <c r="AF136" i="67"/>
  <c r="AF137" i="67"/>
  <c r="AF138" i="67"/>
  <c r="AF139" i="67"/>
  <c r="AF140" i="67"/>
  <c r="AF141" i="67"/>
  <c r="AF142" i="67"/>
  <c r="AF143" i="67"/>
  <c r="AF144" i="67"/>
  <c r="AF145" i="67"/>
  <c r="AF146" i="67"/>
  <c r="AF147" i="67"/>
  <c r="AF148" i="67"/>
  <c r="AF149" i="67"/>
  <c r="AF150" i="67"/>
  <c r="AF151" i="67"/>
  <c r="AF152" i="67"/>
  <c r="AF153" i="67"/>
  <c r="AF154" i="67"/>
  <c r="AF155" i="67"/>
  <c r="AF156" i="67"/>
  <c r="AF157" i="67"/>
  <c r="AF158" i="67"/>
  <c r="AF159" i="67"/>
  <c r="AF160" i="67"/>
  <c r="AF161" i="67"/>
  <c r="AF162" i="67"/>
  <c r="AF163" i="67"/>
  <c r="AF164" i="67"/>
  <c r="AF165" i="67"/>
  <c r="AF166" i="67"/>
  <c r="AF167" i="67"/>
  <c r="AF168" i="67"/>
  <c r="AF169" i="67"/>
  <c r="AF170" i="67"/>
  <c r="AF171" i="67"/>
  <c r="AF172" i="67"/>
  <c r="AF173" i="67"/>
  <c r="AF174" i="67"/>
  <c r="AF175" i="67"/>
  <c r="AF176" i="67"/>
  <c r="AF177" i="67"/>
  <c r="AF178" i="67"/>
  <c r="AF179" i="67"/>
  <c r="AF180" i="67"/>
  <c r="AF181" i="67"/>
  <c r="AF182" i="67"/>
  <c r="AF183" i="67"/>
  <c r="AF184" i="67"/>
  <c r="AF185" i="67"/>
  <c r="AF186" i="67"/>
  <c r="AF187" i="67"/>
  <c r="AF188" i="67"/>
  <c r="AF189" i="67"/>
  <c r="AF190" i="67"/>
  <c r="AF191" i="67"/>
  <c r="AF192" i="67"/>
  <c r="AF193" i="67"/>
  <c r="AF194" i="67"/>
  <c r="AF195" i="67"/>
  <c r="AF196" i="67"/>
  <c r="AF197" i="67"/>
  <c r="AF198" i="67"/>
  <c r="AF199" i="67"/>
  <c r="AF200" i="67"/>
  <c r="AF201" i="67"/>
  <c r="AF202" i="67"/>
  <c r="AF203" i="67"/>
  <c r="AF204" i="67"/>
  <c r="AF205" i="67"/>
  <c r="AF206" i="67"/>
  <c r="AF207" i="67"/>
  <c r="AF208" i="67"/>
  <c r="AF209" i="67"/>
  <c r="AF210" i="67"/>
  <c r="AF211" i="67"/>
  <c r="AF212" i="67"/>
  <c r="AF213" i="67"/>
  <c r="AF214" i="67"/>
  <c r="AF215" i="67"/>
  <c r="AF216" i="67"/>
  <c r="AF217" i="67"/>
  <c r="AF218" i="67"/>
  <c r="AF219" i="67"/>
  <c r="AF220" i="67"/>
  <c r="AF221" i="67"/>
  <c r="AF222" i="67"/>
  <c r="AF223" i="67"/>
  <c r="AF224" i="67"/>
  <c r="AF225" i="67"/>
  <c r="AF226" i="67"/>
  <c r="AF227" i="67"/>
  <c r="AF228" i="67"/>
  <c r="AF229" i="67"/>
  <c r="AF230" i="67"/>
  <c r="AF231" i="67"/>
  <c r="AF232" i="67"/>
  <c r="AF233" i="67"/>
  <c r="AF234" i="67"/>
  <c r="AF235" i="67"/>
  <c r="AF236" i="67"/>
  <c r="AF237" i="67"/>
  <c r="AF238" i="67"/>
  <c r="AF239" i="67"/>
  <c r="AF240" i="67"/>
  <c r="AF241" i="67"/>
  <c r="AF242" i="67"/>
  <c r="AF243" i="67"/>
  <c r="AF244" i="67"/>
  <c r="AF245" i="67"/>
  <c r="AF246" i="67"/>
  <c r="AF247" i="67"/>
  <c r="AF248" i="67"/>
  <c r="AF249" i="67"/>
  <c r="AF250" i="67"/>
  <c r="AF251" i="67"/>
  <c r="AF252" i="67"/>
  <c r="AF253" i="67"/>
  <c r="AF254" i="67"/>
  <c r="AF255" i="67"/>
  <c r="AF256" i="67"/>
  <c r="AF257" i="67"/>
  <c r="AF10" i="67"/>
  <c r="L12" i="42" l="1"/>
  <c r="AG13" i="58"/>
  <c r="AG14" i="58"/>
  <c r="AG15" i="58"/>
  <c r="AG16" i="58"/>
  <c r="AG17" i="58"/>
  <c r="AG18" i="58"/>
  <c r="AG19" i="58"/>
  <c r="AG20" i="58"/>
  <c r="AG21" i="58"/>
  <c r="AG22" i="58"/>
  <c r="AG23" i="58"/>
  <c r="AG24" i="58"/>
  <c r="AG25" i="58"/>
  <c r="AG26" i="58"/>
  <c r="AG27" i="58"/>
  <c r="AG28" i="58"/>
  <c r="AG29" i="58"/>
  <c r="AG30" i="58"/>
  <c r="AG31" i="58"/>
  <c r="AG32" i="58"/>
  <c r="AG33" i="58"/>
  <c r="AG34" i="58"/>
  <c r="AG35" i="58"/>
  <c r="AG36" i="58"/>
  <c r="AG37" i="58"/>
  <c r="AG38" i="58"/>
  <c r="AG39" i="58"/>
  <c r="AG40" i="58"/>
  <c r="AG41" i="58"/>
  <c r="AG42" i="58"/>
  <c r="AG43" i="58"/>
  <c r="AG44" i="58"/>
  <c r="AG45" i="58"/>
  <c r="AG46" i="58"/>
  <c r="AG47" i="58"/>
  <c r="AG48" i="58"/>
  <c r="AG49" i="58"/>
  <c r="AG50" i="58"/>
  <c r="AG51" i="58"/>
  <c r="AG52" i="58"/>
  <c r="AG53" i="58"/>
  <c r="AG54" i="58"/>
  <c r="AG55" i="58"/>
  <c r="AG56" i="58"/>
  <c r="AG57" i="58"/>
  <c r="AG58" i="58"/>
  <c r="AG59" i="58"/>
  <c r="AG60" i="58"/>
  <c r="AG61" i="58"/>
  <c r="AG62" i="58"/>
  <c r="AG63" i="58"/>
  <c r="AG64" i="58"/>
  <c r="AG65" i="58"/>
  <c r="AG66" i="58"/>
  <c r="AG67" i="58"/>
  <c r="AG68" i="58"/>
  <c r="AG69" i="58"/>
  <c r="AG70" i="58"/>
  <c r="AG71" i="58"/>
  <c r="AG72" i="58"/>
  <c r="AG73" i="58"/>
  <c r="AG74" i="58"/>
  <c r="AG75" i="58"/>
  <c r="AG76" i="58"/>
  <c r="AG77" i="58"/>
  <c r="AG78" i="58"/>
  <c r="AG79" i="58"/>
  <c r="AG80" i="58"/>
  <c r="AG81" i="58"/>
  <c r="AG82" i="58"/>
  <c r="AG83" i="58"/>
  <c r="AG84" i="58"/>
  <c r="AG85" i="58"/>
  <c r="AG86" i="58"/>
  <c r="AG87" i="58"/>
  <c r="AG88" i="58"/>
  <c r="AG89" i="58"/>
  <c r="AG90" i="58"/>
  <c r="AG91" i="58"/>
  <c r="AG92" i="58"/>
  <c r="AG93" i="58"/>
  <c r="AG94" i="58"/>
  <c r="AG95" i="58"/>
  <c r="AG96" i="58"/>
  <c r="AG97" i="58"/>
  <c r="AG98" i="58"/>
  <c r="AG99" i="58"/>
  <c r="AG100" i="58"/>
  <c r="AG101" i="58"/>
  <c r="AG102" i="58"/>
  <c r="AG103" i="58"/>
  <c r="AG104" i="58"/>
  <c r="AG105" i="58"/>
  <c r="AG106" i="58"/>
  <c r="AG107" i="58"/>
  <c r="AG108" i="58"/>
  <c r="AG109" i="58"/>
  <c r="AG110" i="58"/>
  <c r="AG111" i="58"/>
  <c r="AG112" i="58"/>
  <c r="AG113" i="58"/>
  <c r="AG114" i="58"/>
  <c r="AG115" i="58"/>
  <c r="AG116" i="58"/>
  <c r="AG117" i="58"/>
  <c r="AG118" i="58"/>
  <c r="AG119" i="58"/>
  <c r="AG120" i="58"/>
  <c r="AG121" i="58"/>
  <c r="AG122" i="58"/>
  <c r="AG123" i="58"/>
  <c r="AG124" i="58"/>
  <c r="AG125" i="58"/>
  <c r="AG126" i="58"/>
  <c r="AG127" i="58"/>
  <c r="AG128" i="58"/>
  <c r="AG129" i="58"/>
  <c r="AG130" i="58"/>
  <c r="AG131" i="58"/>
  <c r="AG132" i="58"/>
  <c r="AG133" i="58"/>
  <c r="AG134" i="58"/>
  <c r="AG135" i="58"/>
  <c r="AG136" i="58"/>
  <c r="AG137" i="58"/>
  <c r="AG138" i="58"/>
  <c r="AG139" i="58"/>
  <c r="AG140" i="58"/>
  <c r="AG141" i="58"/>
  <c r="AG142" i="58"/>
  <c r="AG143" i="58"/>
  <c r="AG144" i="58"/>
  <c r="AG145" i="58"/>
  <c r="AG146" i="58"/>
  <c r="AG147" i="58"/>
  <c r="AG148" i="58"/>
  <c r="AG149" i="58"/>
  <c r="AG150" i="58"/>
  <c r="AG151" i="58"/>
  <c r="AG152" i="58"/>
  <c r="AG153" i="58"/>
  <c r="AG154" i="58"/>
  <c r="AG155" i="58"/>
  <c r="AG156" i="58"/>
  <c r="AG157" i="58"/>
  <c r="AG158" i="58"/>
  <c r="AG159" i="58"/>
  <c r="AG160" i="58"/>
  <c r="AG161" i="58"/>
  <c r="AG162" i="58"/>
  <c r="AG163" i="58"/>
  <c r="AG164" i="58"/>
  <c r="AG165" i="58"/>
  <c r="AG166" i="58"/>
  <c r="AG167" i="58"/>
  <c r="AG168" i="58"/>
  <c r="AG169" i="58"/>
  <c r="AG170" i="58"/>
  <c r="AG171" i="58"/>
  <c r="AG172" i="58"/>
  <c r="AG173" i="58"/>
  <c r="AG174" i="58"/>
  <c r="AG175" i="58"/>
  <c r="AG176" i="58"/>
  <c r="AG177" i="58"/>
  <c r="AG178" i="58"/>
  <c r="AG179" i="58"/>
  <c r="AG180" i="58"/>
  <c r="AG181" i="58"/>
  <c r="AG182" i="58"/>
  <c r="AG183" i="58"/>
  <c r="AG184" i="58"/>
  <c r="AG185" i="58"/>
  <c r="AG186" i="58"/>
  <c r="AG187" i="58"/>
  <c r="AG188" i="58"/>
  <c r="AG189" i="58"/>
  <c r="AG190" i="58"/>
  <c r="AG191" i="58"/>
  <c r="AG192" i="58"/>
  <c r="AG193" i="58"/>
  <c r="AG194" i="58"/>
  <c r="AG195" i="58"/>
  <c r="AG196" i="58"/>
  <c r="AG197" i="58"/>
  <c r="AG198" i="58"/>
  <c r="AG199" i="58"/>
  <c r="AG200" i="58"/>
  <c r="AG201" i="58"/>
  <c r="AG202" i="58"/>
  <c r="AG203" i="58"/>
  <c r="AG204" i="58"/>
  <c r="AG205" i="58"/>
  <c r="AG206" i="58"/>
  <c r="AG207" i="58"/>
  <c r="AG208" i="58"/>
  <c r="AG209" i="58"/>
  <c r="AG210" i="58"/>
  <c r="AG211" i="58"/>
  <c r="AG212" i="58"/>
  <c r="AG213" i="58"/>
  <c r="AG214" i="58"/>
  <c r="AG215" i="58"/>
  <c r="AG216" i="58"/>
  <c r="AG217" i="58"/>
  <c r="AG218" i="58"/>
  <c r="AG219" i="58"/>
  <c r="AG220" i="58"/>
  <c r="AG221" i="58"/>
  <c r="AG222" i="58"/>
  <c r="AG223" i="58"/>
  <c r="AG224" i="58"/>
  <c r="AG225" i="58"/>
  <c r="AG226" i="58"/>
  <c r="AG227" i="58"/>
  <c r="AG228" i="58"/>
  <c r="AG229" i="58"/>
  <c r="AG230" i="58"/>
  <c r="AG231" i="58"/>
  <c r="AG232" i="58"/>
  <c r="AG233" i="58"/>
  <c r="AG234" i="58"/>
  <c r="AG235" i="58"/>
  <c r="AG236" i="58"/>
  <c r="AG237" i="58"/>
  <c r="AG238" i="58"/>
  <c r="AG239" i="58"/>
  <c r="AG240" i="58"/>
  <c r="AG241" i="58"/>
  <c r="AG242" i="58"/>
  <c r="AG243" i="58"/>
  <c r="AG244" i="58"/>
  <c r="AG245" i="58"/>
  <c r="AG246" i="58"/>
  <c r="AG247" i="58"/>
  <c r="AG248" i="58"/>
  <c r="AG249" i="58"/>
  <c r="AG250" i="58"/>
  <c r="AG251" i="58"/>
  <c r="AG252" i="58"/>
  <c r="AG253" i="58"/>
  <c r="AG254" i="58"/>
  <c r="AG255" i="58"/>
  <c r="AG256" i="58"/>
  <c r="AG257" i="58"/>
  <c r="AG258" i="58"/>
  <c r="AG259" i="58"/>
  <c r="AG12" i="58"/>
  <c r="M11" i="55"/>
  <c r="M12" i="55"/>
  <c r="M13" i="55"/>
  <c r="M14" i="55"/>
  <c r="M15" i="55"/>
  <c r="M16" i="55"/>
  <c r="M17" i="55"/>
  <c r="M18" i="55"/>
  <c r="M19" i="55"/>
  <c r="M20" i="55"/>
  <c r="M21" i="55"/>
  <c r="M22" i="55"/>
  <c r="M23" i="55"/>
  <c r="M24" i="55"/>
  <c r="M25" i="55"/>
  <c r="M26" i="55"/>
  <c r="M27" i="55"/>
  <c r="M28" i="55"/>
  <c r="M29" i="55"/>
  <c r="M30" i="55"/>
  <c r="M31" i="55"/>
  <c r="M32" i="55"/>
  <c r="M33" i="55"/>
  <c r="M34" i="55"/>
  <c r="M35" i="55"/>
  <c r="M36" i="55"/>
  <c r="M37" i="55"/>
  <c r="M38" i="55"/>
  <c r="M39" i="55"/>
  <c r="M40" i="55"/>
  <c r="M41" i="55"/>
  <c r="M42" i="55"/>
  <c r="M43" i="55"/>
  <c r="M44" i="55"/>
  <c r="M45" i="55"/>
  <c r="M46" i="55"/>
  <c r="M47" i="55"/>
  <c r="M48" i="55"/>
  <c r="M49" i="55"/>
  <c r="M50" i="55"/>
  <c r="M51" i="55"/>
  <c r="M52" i="55"/>
  <c r="M53" i="55"/>
  <c r="M54" i="55"/>
  <c r="M55" i="55"/>
  <c r="M56" i="55"/>
  <c r="M57" i="55"/>
  <c r="M58" i="55"/>
  <c r="M59" i="55"/>
  <c r="M60" i="55"/>
  <c r="M61" i="55"/>
  <c r="M62" i="55"/>
  <c r="M63" i="55"/>
  <c r="M64" i="55"/>
  <c r="M65" i="55"/>
  <c r="M66" i="55"/>
  <c r="M67" i="55"/>
  <c r="M68" i="55"/>
  <c r="M69" i="55"/>
  <c r="M70" i="55"/>
  <c r="M71" i="55"/>
  <c r="M72" i="55"/>
  <c r="M73" i="55"/>
  <c r="M74" i="55"/>
  <c r="M75" i="55"/>
  <c r="M76" i="55"/>
  <c r="M77" i="55"/>
  <c r="M78" i="55"/>
  <c r="M79" i="55"/>
  <c r="M80" i="55"/>
  <c r="M81" i="55"/>
  <c r="M82" i="55"/>
  <c r="M83" i="55"/>
  <c r="M84" i="55"/>
  <c r="M85" i="55"/>
  <c r="M86" i="55"/>
  <c r="M87" i="55"/>
  <c r="M88" i="55"/>
  <c r="M89" i="55"/>
  <c r="M90" i="55"/>
  <c r="M91" i="55"/>
  <c r="M92" i="55"/>
  <c r="M93" i="55"/>
  <c r="M94" i="55"/>
  <c r="M95" i="55"/>
  <c r="M96" i="55"/>
  <c r="M97" i="55"/>
  <c r="M98" i="55"/>
  <c r="M99" i="55"/>
  <c r="M100" i="55"/>
  <c r="M101" i="55"/>
  <c r="M102" i="55"/>
  <c r="M103" i="55"/>
  <c r="M104" i="55"/>
  <c r="M105" i="55"/>
  <c r="M106" i="55"/>
  <c r="M107" i="55"/>
  <c r="M108" i="55"/>
  <c r="M109" i="55"/>
  <c r="M110" i="55"/>
  <c r="M111" i="55"/>
  <c r="M112" i="55"/>
  <c r="M113" i="55"/>
  <c r="M114" i="55"/>
  <c r="M115" i="55"/>
  <c r="M116" i="55"/>
  <c r="M117" i="55"/>
  <c r="M118" i="55"/>
  <c r="M119" i="55"/>
  <c r="M120" i="55"/>
  <c r="M121" i="55"/>
  <c r="M122" i="55"/>
  <c r="M123" i="55"/>
  <c r="M124" i="55"/>
  <c r="M125" i="55"/>
  <c r="M126" i="55"/>
  <c r="M127" i="55"/>
  <c r="M128" i="55"/>
  <c r="M129" i="55"/>
  <c r="M130" i="55"/>
  <c r="M131" i="55"/>
  <c r="M132" i="55"/>
  <c r="M133" i="55"/>
  <c r="M134" i="55"/>
  <c r="M135" i="55"/>
  <c r="M136" i="55"/>
  <c r="M137" i="55"/>
  <c r="M138" i="55"/>
  <c r="M139" i="55"/>
  <c r="M140" i="55"/>
  <c r="M141" i="55"/>
  <c r="M142" i="55"/>
  <c r="M143" i="55"/>
  <c r="M144" i="55"/>
  <c r="M145" i="55"/>
  <c r="M146" i="55"/>
  <c r="M147" i="55"/>
  <c r="M148" i="55"/>
  <c r="M149" i="55"/>
  <c r="M150" i="55"/>
  <c r="M151" i="55"/>
  <c r="M152" i="55"/>
  <c r="M153" i="55"/>
  <c r="M154" i="55"/>
  <c r="M155" i="55"/>
  <c r="M156" i="55"/>
  <c r="M157" i="55"/>
  <c r="M158" i="55"/>
  <c r="M159" i="55"/>
  <c r="M160" i="55"/>
  <c r="M161" i="55"/>
  <c r="M162" i="55"/>
  <c r="M163" i="55"/>
  <c r="M164" i="55"/>
  <c r="M165" i="55"/>
  <c r="M166" i="55"/>
  <c r="M167" i="55"/>
  <c r="M168" i="55"/>
  <c r="M169" i="55"/>
  <c r="M170" i="55"/>
  <c r="M171" i="55"/>
  <c r="M172" i="55"/>
  <c r="M173" i="55"/>
  <c r="M174" i="55"/>
  <c r="M175" i="55"/>
  <c r="M176" i="55"/>
  <c r="M177" i="55"/>
  <c r="M178" i="55"/>
  <c r="M179" i="55"/>
  <c r="M180" i="55"/>
  <c r="M181" i="55"/>
  <c r="M182" i="55"/>
  <c r="M183" i="55"/>
  <c r="M184" i="55"/>
  <c r="M185" i="55"/>
  <c r="M186" i="55"/>
  <c r="M187" i="55"/>
  <c r="M188" i="55"/>
  <c r="M189" i="55"/>
  <c r="M190" i="55"/>
  <c r="M191" i="55"/>
  <c r="M192" i="55"/>
  <c r="M193" i="55"/>
  <c r="M194" i="55"/>
  <c r="M195" i="55"/>
  <c r="M196" i="55"/>
  <c r="M197" i="55"/>
  <c r="M198" i="55"/>
  <c r="M199" i="55"/>
  <c r="M200" i="55"/>
  <c r="M201" i="55"/>
  <c r="M202" i="55"/>
  <c r="M203" i="55"/>
  <c r="M204" i="55"/>
  <c r="M205" i="55"/>
  <c r="M206" i="55"/>
  <c r="M207" i="55"/>
  <c r="M208" i="55"/>
  <c r="M209" i="55"/>
  <c r="M210" i="55"/>
  <c r="M211" i="55"/>
  <c r="M212" i="55"/>
  <c r="M213" i="55"/>
  <c r="M214" i="55"/>
  <c r="M215" i="55"/>
  <c r="M216" i="55"/>
  <c r="M217" i="55"/>
  <c r="M218" i="55"/>
  <c r="M219" i="55"/>
  <c r="M220" i="55"/>
  <c r="M221" i="55"/>
  <c r="M222" i="55"/>
  <c r="M223" i="55"/>
  <c r="M224" i="55"/>
  <c r="M225" i="55"/>
  <c r="M226" i="55"/>
  <c r="M227" i="55"/>
  <c r="M228" i="55"/>
  <c r="M229" i="55"/>
  <c r="M230" i="55"/>
  <c r="M231" i="55"/>
  <c r="M232" i="55"/>
  <c r="M233" i="55"/>
  <c r="M234" i="55"/>
  <c r="M235" i="55"/>
  <c r="M236" i="55"/>
  <c r="M237" i="55"/>
  <c r="M238" i="55"/>
  <c r="M239" i="55"/>
  <c r="M240" i="55"/>
  <c r="M241" i="55"/>
  <c r="M242" i="55"/>
  <c r="M243" i="55"/>
  <c r="M244" i="55"/>
  <c r="M245" i="55"/>
  <c r="M246" i="55"/>
  <c r="M247" i="55"/>
  <c r="M248" i="55"/>
  <c r="M249" i="55"/>
  <c r="M250" i="55"/>
  <c r="M251" i="55"/>
  <c r="M252" i="55"/>
  <c r="M253" i="55"/>
  <c r="M254" i="55"/>
  <c r="M255" i="55"/>
  <c r="M256" i="55"/>
  <c r="M257" i="55"/>
  <c r="M10" i="55"/>
  <c r="AB17" i="55"/>
  <c r="AB18" i="55"/>
  <c r="AB19" i="55"/>
  <c r="AB20" i="55"/>
  <c r="AB21" i="55"/>
  <c r="AB22" i="55"/>
  <c r="AB23" i="55"/>
  <c r="AB24" i="55"/>
  <c r="AB25" i="55"/>
  <c r="AB26" i="55"/>
  <c r="AB27" i="55"/>
  <c r="AB28" i="55"/>
  <c r="AB29" i="55"/>
  <c r="AB30" i="55"/>
  <c r="AB31" i="55"/>
  <c r="AB32" i="55"/>
  <c r="AB33" i="55"/>
  <c r="AB34" i="55"/>
  <c r="AB35" i="55"/>
  <c r="AB36" i="55"/>
  <c r="AB37" i="55"/>
  <c r="AB38" i="55"/>
  <c r="AB39" i="55"/>
  <c r="AB40" i="55"/>
  <c r="AB41" i="55"/>
  <c r="AB42" i="55"/>
  <c r="AB43" i="55"/>
  <c r="AB44" i="55"/>
  <c r="AB45" i="55"/>
  <c r="AB46" i="55"/>
  <c r="AB47" i="55"/>
  <c r="AB48" i="55"/>
  <c r="AB49" i="55"/>
  <c r="AB50" i="55"/>
  <c r="AB51" i="55"/>
  <c r="AB52" i="55"/>
  <c r="AB53" i="55"/>
  <c r="AB54" i="55"/>
  <c r="AB55" i="55"/>
  <c r="AB56" i="55"/>
  <c r="AB57" i="55"/>
  <c r="AB58" i="55"/>
  <c r="AB59" i="55"/>
  <c r="AB60" i="55"/>
  <c r="AB61" i="55"/>
  <c r="AB62" i="55"/>
  <c r="AB63" i="55"/>
  <c r="AB64" i="55"/>
  <c r="AB65" i="55"/>
  <c r="AB66" i="55"/>
  <c r="AB67" i="55"/>
  <c r="AB68" i="55"/>
  <c r="AB69" i="55"/>
  <c r="AB70" i="55"/>
  <c r="AB71" i="55"/>
  <c r="AB72" i="55"/>
  <c r="AB73" i="55"/>
  <c r="AB74" i="55"/>
  <c r="AB75" i="55"/>
  <c r="AB76" i="55"/>
  <c r="AB77" i="55"/>
  <c r="AB78" i="55"/>
  <c r="AB79" i="55"/>
  <c r="AB80" i="55"/>
  <c r="AB81" i="55"/>
  <c r="AB82" i="55"/>
  <c r="AB83" i="55"/>
  <c r="AB84" i="55"/>
  <c r="AB85" i="55"/>
  <c r="AB86" i="55"/>
  <c r="AB87" i="55"/>
  <c r="AB88" i="55"/>
  <c r="AB89" i="55"/>
  <c r="AB90" i="55"/>
  <c r="AB91" i="55"/>
  <c r="AB92" i="55"/>
  <c r="AB93" i="55"/>
  <c r="AB94" i="55"/>
  <c r="AB95" i="55"/>
  <c r="AB96" i="55"/>
  <c r="AB97" i="55"/>
  <c r="AB98" i="55"/>
  <c r="AB99" i="55"/>
  <c r="AB100" i="55"/>
  <c r="AB101" i="55"/>
  <c r="AB102" i="55"/>
  <c r="AB103" i="55"/>
  <c r="AB104" i="55"/>
  <c r="AB105" i="55"/>
  <c r="AB106" i="55"/>
  <c r="AB107" i="55"/>
  <c r="AB108" i="55"/>
  <c r="AB109" i="55"/>
  <c r="AB110" i="55"/>
  <c r="AB111" i="55"/>
  <c r="AB112" i="55"/>
  <c r="AB113" i="55"/>
  <c r="AB114" i="55"/>
  <c r="AB115" i="55"/>
  <c r="AB116" i="55"/>
  <c r="AB117" i="55"/>
  <c r="AB118" i="55"/>
  <c r="AB119" i="55"/>
  <c r="AB120" i="55"/>
  <c r="AB121" i="55"/>
  <c r="AB122" i="55"/>
  <c r="AB123" i="55"/>
  <c r="AB124" i="55"/>
  <c r="AB125" i="55"/>
  <c r="AB126" i="55"/>
  <c r="AB127" i="55"/>
  <c r="AB128" i="55"/>
  <c r="AB129" i="55"/>
  <c r="AB130" i="55"/>
  <c r="AB131" i="55"/>
  <c r="AB132" i="55"/>
  <c r="AB133" i="55"/>
  <c r="AB134" i="55"/>
  <c r="AB135" i="55"/>
  <c r="AB136" i="55"/>
  <c r="AB137" i="55"/>
  <c r="AB138" i="55"/>
  <c r="AB139" i="55"/>
  <c r="AB140" i="55"/>
  <c r="AB141" i="55"/>
  <c r="AB142" i="55"/>
  <c r="AB143" i="55"/>
  <c r="AB144" i="55"/>
  <c r="AB145" i="55"/>
  <c r="AB146" i="55"/>
  <c r="AB147" i="55"/>
  <c r="AB148" i="55"/>
  <c r="AB149" i="55"/>
  <c r="AB150" i="55"/>
  <c r="AB151" i="55"/>
  <c r="AB152" i="55"/>
  <c r="AB153" i="55"/>
  <c r="AB154" i="55"/>
  <c r="AB155" i="55"/>
  <c r="AB156" i="55"/>
  <c r="AB157" i="55"/>
  <c r="AB158" i="55"/>
  <c r="AB159" i="55"/>
  <c r="AB160" i="55"/>
  <c r="AB161" i="55"/>
  <c r="AB162" i="55"/>
  <c r="AB163" i="55"/>
  <c r="AB164" i="55"/>
  <c r="AB165" i="55"/>
  <c r="AB166" i="55"/>
  <c r="AB167" i="55"/>
  <c r="AB168" i="55"/>
  <c r="AB169" i="55"/>
  <c r="AB170" i="55"/>
  <c r="AB171" i="55"/>
  <c r="AB172" i="55"/>
  <c r="AB173" i="55"/>
  <c r="AB174" i="55"/>
  <c r="AB175" i="55"/>
  <c r="AB176" i="55"/>
  <c r="AB177" i="55"/>
  <c r="AB178" i="55"/>
  <c r="AB179" i="55"/>
  <c r="AB180" i="55"/>
  <c r="AB181" i="55"/>
  <c r="AB182" i="55"/>
  <c r="AB183" i="55"/>
  <c r="AB184" i="55"/>
  <c r="AB185" i="55"/>
  <c r="AB186" i="55"/>
  <c r="AB187" i="55"/>
  <c r="AB188" i="55"/>
  <c r="AB189" i="55"/>
  <c r="AB190" i="55"/>
  <c r="AB191" i="55"/>
  <c r="AB192" i="55"/>
  <c r="AB193" i="55"/>
  <c r="AB194" i="55"/>
  <c r="AB195" i="55"/>
  <c r="AB196" i="55"/>
  <c r="AB197" i="55"/>
  <c r="AB198" i="55"/>
  <c r="AB199" i="55"/>
  <c r="AB200" i="55"/>
  <c r="AB201" i="55"/>
  <c r="AB202" i="55"/>
  <c r="AB203" i="55"/>
  <c r="AB204" i="55"/>
  <c r="AB205" i="55"/>
  <c r="AB206" i="55"/>
  <c r="AB207" i="55"/>
  <c r="AB208" i="55"/>
  <c r="AB209" i="55"/>
  <c r="AB210" i="55"/>
  <c r="AB211" i="55"/>
  <c r="AB212" i="55"/>
  <c r="AB213" i="55"/>
  <c r="AB214" i="55"/>
  <c r="AB215" i="55"/>
  <c r="AB216" i="55"/>
  <c r="AB217" i="55"/>
  <c r="AB218" i="55"/>
  <c r="AB219" i="55"/>
  <c r="AB220" i="55"/>
  <c r="AB221" i="55"/>
  <c r="AB222" i="55"/>
  <c r="AB223" i="55"/>
  <c r="AB224" i="55"/>
  <c r="AB225" i="55"/>
  <c r="AB226" i="55"/>
  <c r="AB227" i="55"/>
  <c r="AB228" i="55"/>
  <c r="AB229" i="55"/>
  <c r="AB230" i="55"/>
  <c r="AB231" i="55"/>
  <c r="AB232" i="55"/>
  <c r="AB233" i="55"/>
  <c r="AB234" i="55"/>
  <c r="AB235" i="55"/>
  <c r="AB236" i="55"/>
  <c r="AB237" i="55"/>
  <c r="AB238" i="55"/>
  <c r="AB239" i="55"/>
  <c r="AB240" i="55"/>
  <c r="AB241" i="55"/>
  <c r="AB242" i="55"/>
  <c r="AB243" i="55"/>
  <c r="AB244" i="55"/>
  <c r="AB245" i="55"/>
  <c r="AB246" i="55"/>
  <c r="AB247" i="55"/>
  <c r="AB248" i="55"/>
  <c r="AB249" i="55"/>
  <c r="AB250" i="55"/>
  <c r="AB251" i="55"/>
  <c r="AB252" i="55"/>
  <c r="AB253" i="55"/>
  <c r="AB254" i="55"/>
  <c r="AB255" i="55"/>
  <c r="AB256" i="55"/>
  <c r="AB257" i="55"/>
  <c r="AB11" i="55"/>
  <c r="AB12" i="55"/>
  <c r="AB13" i="55"/>
  <c r="AB14" i="55"/>
  <c r="AB15" i="55"/>
  <c r="AB16" i="55"/>
  <c r="AB10" i="55"/>
  <c r="AC12" i="32"/>
  <c r="AB12" i="32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N55" i="71"/>
  <c r="N56" i="71"/>
  <c r="N57" i="71"/>
  <c r="N58" i="71"/>
  <c r="N59" i="71"/>
  <c r="N60" i="71"/>
  <c r="N61" i="71"/>
  <c r="N62" i="71"/>
  <c r="N63" i="71"/>
  <c r="N64" i="71"/>
  <c r="N65" i="71"/>
  <c r="N66" i="71"/>
  <c r="N67" i="71"/>
  <c r="N68" i="71"/>
  <c r="N69" i="71"/>
  <c r="N70" i="71"/>
  <c r="N71" i="71"/>
  <c r="N72" i="71"/>
  <c r="N73" i="71"/>
  <c r="N74" i="71"/>
  <c r="N75" i="71"/>
  <c r="N76" i="71"/>
  <c r="N77" i="71"/>
  <c r="N78" i="71"/>
  <c r="N79" i="71"/>
  <c r="N80" i="71"/>
  <c r="N81" i="71"/>
  <c r="N82" i="71"/>
  <c r="N83" i="71"/>
  <c r="N84" i="71"/>
  <c r="N85" i="71"/>
  <c r="N86" i="71"/>
  <c r="N87" i="71"/>
  <c r="N88" i="71"/>
  <c r="N89" i="71"/>
  <c r="N90" i="71"/>
  <c r="N91" i="71"/>
  <c r="N92" i="71"/>
  <c r="N93" i="71"/>
  <c r="N94" i="71"/>
  <c r="N95" i="71"/>
  <c r="N96" i="71"/>
  <c r="N97" i="71"/>
  <c r="N98" i="71"/>
  <c r="N99" i="71"/>
  <c r="N100" i="71"/>
  <c r="N101" i="71"/>
  <c r="N102" i="71"/>
  <c r="N103" i="71"/>
  <c r="N104" i="71"/>
  <c r="N105" i="71"/>
  <c r="N106" i="71"/>
  <c r="N107" i="71"/>
  <c r="N108" i="71"/>
  <c r="N109" i="71"/>
  <c r="N110" i="71"/>
  <c r="N111" i="71"/>
  <c r="N112" i="71"/>
  <c r="N113" i="71"/>
  <c r="N114" i="71"/>
  <c r="N115" i="71"/>
  <c r="N116" i="71"/>
  <c r="N117" i="71"/>
  <c r="N118" i="71"/>
  <c r="N119" i="71"/>
  <c r="N120" i="71"/>
  <c r="N121" i="71"/>
  <c r="N122" i="71"/>
  <c r="N123" i="71"/>
  <c r="N124" i="71"/>
  <c r="N125" i="71"/>
  <c r="N126" i="71"/>
  <c r="N127" i="71"/>
  <c r="N128" i="71"/>
  <c r="N129" i="71"/>
  <c r="N130" i="71"/>
  <c r="N131" i="71"/>
  <c r="N132" i="71"/>
  <c r="N133" i="71"/>
  <c r="N134" i="71"/>
  <c r="N135" i="71"/>
  <c r="N136" i="71"/>
  <c r="N137" i="71"/>
  <c r="N138" i="71"/>
  <c r="N139" i="71"/>
  <c r="N140" i="71"/>
  <c r="N141" i="71"/>
  <c r="N142" i="71"/>
  <c r="N143" i="71"/>
  <c r="N144" i="71"/>
  <c r="N145" i="71"/>
  <c r="N146" i="71"/>
  <c r="N147" i="71"/>
  <c r="N148" i="71"/>
  <c r="N149" i="71"/>
  <c r="N150" i="71"/>
  <c r="N151" i="71"/>
  <c r="N152" i="71"/>
  <c r="N153" i="71"/>
  <c r="N154" i="71"/>
  <c r="N155" i="71"/>
  <c r="N156" i="71"/>
  <c r="N157" i="71"/>
  <c r="N158" i="71"/>
  <c r="N159" i="71"/>
  <c r="N160" i="71"/>
  <c r="N161" i="71"/>
  <c r="N162" i="71"/>
  <c r="N163" i="71"/>
  <c r="N164" i="71"/>
  <c r="N165" i="71"/>
  <c r="N166" i="71"/>
  <c r="N167" i="71"/>
  <c r="N168" i="71"/>
  <c r="N169" i="71"/>
  <c r="N170" i="71"/>
  <c r="N171" i="71"/>
  <c r="N172" i="71"/>
  <c r="N173" i="71"/>
  <c r="N174" i="71"/>
  <c r="N175" i="71"/>
  <c r="N176" i="71"/>
  <c r="N177" i="71"/>
  <c r="N178" i="71"/>
  <c r="N179" i="71"/>
  <c r="N180" i="71"/>
  <c r="N181" i="71"/>
  <c r="N182" i="71"/>
  <c r="N183" i="71"/>
  <c r="N184" i="71"/>
  <c r="N185" i="71"/>
  <c r="N186" i="71"/>
  <c r="N187" i="71"/>
  <c r="N188" i="71"/>
  <c r="N189" i="71"/>
  <c r="N190" i="71"/>
  <c r="N191" i="71"/>
  <c r="N192" i="71"/>
  <c r="N193" i="71"/>
  <c r="N194" i="71"/>
  <c r="N195" i="71"/>
  <c r="N196" i="71"/>
  <c r="N197" i="71"/>
  <c r="N198" i="71"/>
  <c r="N199" i="71"/>
  <c r="N200" i="71"/>
  <c r="N201" i="71"/>
  <c r="N202" i="71"/>
  <c r="N203" i="71"/>
  <c r="N204" i="71"/>
  <c r="N205" i="71"/>
  <c r="N206" i="71"/>
  <c r="N207" i="71"/>
  <c r="N208" i="71"/>
  <c r="N209" i="71"/>
  <c r="N210" i="71"/>
  <c r="N211" i="71"/>
  <c r="N212" i="71"/>
  <c r="N213" i="71"/>
  <c r="N214" i="71"/>
  <c r="N215" i="71"/>
  <c r="N216" i="71"/>
  <c r="N217" i="71"/>
  <c r="N218" i="71"/>
  <c r="N219" i="71"/>
  <c r="N220" i="71"/>
  <c r="N221" i="71"/>
  <c r="N222" i="71"/>
  <c r="N223" i="71"/>
  <c r="N224" i="71"/>
  <c r="N225" i="71"/>
  <c r="N226" i="71"/>
  <c r="N227" i="71"/>
  <c r="N228" i="71"/>
  <c r="N229" i="71"/>
  <c r="N230" i="71"/>
  <c r="N231" i="71"/>
  <c r="N232" i="71"/>
  <c r="N233" i="71"/>
  <c r="N234" i="71"/>
  <c r="N235" i="71"/>
  <c r="N236" i="71"/>
  <c r="N237" i="71"/>
  <c r="N238" i="71"/>
  <c r="N239" i="71"/>
  <c r="N240" i="71"/>
  <c r="N241" i="71"/>
  <c r="N242" i="71"/>
  <c r="N243" i="71"/>
  <c r="N244" i="71"/>
  <c r="N245" i="71"/>
  <c r="N246" i="71"/>
  <c r="N247" i="71"/>
  <c r="N248" i="71"/>
  <c r="N249" i="71"/>
  <c r="N250" i="71"/>
  <c r="N251" i="71"/>
  <c r="N252" i="71"/>
  <c r="N253" i="71"/>
  <c r="N254" i="71"/>
  <c r="N255" i="71"/>
  <c r="N256" i="71"/>
  <c r="AV40" i="65" l="1"/>
  <c r="Z17" i="64"/>
  <c r="Z18" i="64"/>
  <c r="Z19" i="64"/>
  <c r="Z20" i="64"/>
  <c r="Z21" i="64"/>
  <c r="Z22" i="64"/>
  <c r="Z23" i="64"/>
  <c r="Z24" i="64"/>
  <c r="Z25" i="64"/>
  <c r="Z26" i="64"/>
  <c r="Z27" i="64"/>
  <c r="Z28" i="64"/>
  <c r="Z29" i="64"/>
  <c r="Z30" i="64"/>
  <c r="Z31" i="64"/>
  <c r="Z32" i="64"/>
  <c r="Z33" i="64"/>
  <c r="Z34" i="64"/>
  <c r="Z35" i="64"/>
  <c r="Z36" i="64"/>
  <c r="Z37" i="64"/>
  <c r="Z38" i="64"/>
  <c r="Z39" i="64"/>
  <c r="Z40" i="64"/>
  <c r="Z41" i="64"/>
  <c r="Z42" i="64"/>
  <c r="Z43" i="64"/>
  <c r="Z44" i="64"/>
  <c r="Z45" i="64"/>
  <c r="Z46" i="64"/>
  <c r="Z47" i="64"/>
  <c r="Z48" i="64"/>
  <c r="Z49" i="64"/>
  <c r="Z50" i="64"/>
  <c r="Z51" i="64"/>
  <c r="Z52" i="64"/>
  <c r="Z53" i="64"/>
  <c r="Z54" i="64"/>
  <c r="Z55" i="64"/>
  <c r="Z56" i="64"/>
  <c r="Z57" i="64"/>
  <c r="Z58" i="64"/>
  <c r="Z59" i="64"/>
  <c r="Z60" i="64"/>
  <c r="Z61" i="64"/>
  <c r="Z62" i="64"/>
  <c r="Z63" i="64"/>
  <c r="Z64" i="64"/>
  <c r="Z65" i="64"/>
  <c r="Z66" i="64"/>
  <c r="Z67" i="64"/>
  <c r="Z68" i="64"/>
  <c r="Z69" i="64"/>
  <c r="Z70" i="64"/>
  <c r="Z71" i="64"/>
  <c r="Z72" i="64"/>
  <c r="Z73" i="64"/>
  <c r="Z74" i="64"/>
  <c r="Z75" i="64"/>
  <c r="Z76" i="64"/>
  <c r="Z77" i="64"/>
  <c r="Z78" i="64"/>
  <c r="Z79" i="64"/>
  <c r="Z80" i="64"/>
  <c r="Z81" i="64"/>
  <c r="Z82" i="64"/>
  <c r="Z83" i="64"/>
  <c r="Z84" i="64"/>
  <c r="Z85" i="64"/>
  <c r="Z86" i="64"/>
  <c r="Z87" i="64"/>
  <c r="Z88" i="64"/>
  <c r="Z89" i="64"/>
  <c r="Z90" i="64"/>
  <c r="Z91" i="64"/>
  <c r="Z92" i="64"/>
  <c r="Z93" i="64"/>
  <c r="Z94" i="64"/>
  <c r="Z95" i="64"/>
  <c r="Z96" i="64"/>
  <c r="Z97" i="64"/>
  <c r="Z98" i="64"/>
  <c r="Z99" i="64"/>
  <c r="Z100" i="64"/>
  <c r="Z101" i="64"/>
  <c r="Z102" i="64"/>
  <c r="Z103" i="64"/>
  <c r="Z104" i="64"/>
  <c r="Z105" i="64"/>
  <c r="Z106" i="64"/>
  <c r="Z107" i="64"/>
  <c r="Z108" i="64"/>
  <c r="Z109" i="64"/>
  <c r="Z110" i="64"/>
  <c r="Z111" i="64"/>
  <c r="Z112" i="64"/>
  <c r="Z113" i="64"/>
  <c r="Z114" i="64"/>
  <c r="Z115" i="64"/>
  <c r="Z116" i="64"/>
  <c r="Z117" i="64"/>
  <c r="Z118" i="64"/>
  <c r="Z119" i="64"/>
  <c r="Z120" i="64"/>
  <c r="Z121" i="64"/>
  <c r="Z122" i="64"/>
  <c r="Z123" i="64"/>
  <c r="Z124" i="64"/>
  <c r="Z125" i="64"/>
  <c r="Z126" i="64"/>
  <c r="Z127" i="64"/>
  <c r="Z128" i="64"/>
  <c r="Z129" i="64"/>
  <c r="Z130" i="64"/>
  <c r="Z131" i="64"/>
  <c r="Z132" i="64"/>
  <c r="Z133" i="64"/>
  <c r="Z134" i="64"/>
  <c r="Z135" i="64"/>
  <c r="Z136" i="64"/>
  <c r="Z137" i="64"/>
  <c r="Z138" i="64"/>
  <c r="Z139" i="64"/>
  <c r="Z140" i="64"/>
  <c r="Z141" i="64"/>
  <c r="Z142" i="64"/>
  <c r="Z143" i="64"/>
  <c r="Z144" i="64"/>
  <c r="Z145" i="64"/>
  <c r="Z146" i="64"/>
  <c r="Z147" i="64"/>
  <c r="Z148" i="64"/>
  <c r="Z149" i="64"/>
  <c r="Z150" i="64"/>
  <c r="Z151" i="64"/>
  <c r="Z152" i="64"/>
  <c r="Z153" i="64"/>
  <c r="Z154" i="64"/>
  <c r="Z155" i="64"/>
  <c r="Z156" i="64"/>
  <c r="Z157" i="64"/>
  <c r="Z158" i="64"/>
  <c r="Z159" i="64"/>
  <c r="Z160" i="64"/>
  <c r="Z161" i="64"/>
  <c r="Z162" i="64"/>
  <c r="Z163" i="64"/>
  <c r="Z164" i="64"/>
  <c r="Z165" i="64"/>
  <c r="Z166" i="64"/>
  <c r="Z167" i="64"/>
  <c r="Z168" i="64"/>
  <c r="Z169" i="64"/>
  <c r="Z170" i="64"/>
  <c r="Z171" i="64"/>
  <c r="Z172" i="64"/>
  <c r="Z173" i="64"/>
  <c r="Z174" i="64"/>
  <c r="Z175" i="64"/>
  <c r="Z176" i="64"/>
  <c r="Z177" i="64"/>
  <c r="Z178" i="64"/>
  <c r="Z179" i="64"/>
  <c r="Z180" i="64"/>
  <c r="Z181" i="64"/>
  <c r="Z182" i="64"/>
  <c r="Z183" i="64"/>
  <c r="Z184" i="64"/>
  <c r="Z185" i="64"/>
  <c r="Z186" i="64"/>
  <c r="Z187" i="64"/>
  <c r="Z188" i="64"/>
  <c r="Z189" i="64"/>
  <c r="Z190" i="64"/>
  <c r="Z191" i="64"/>
  <c r="Z192" i="64"/>
  <c r="Z193" i="64"/>
  <c r="Z194" i="64"/>
  <c r="Z195" i="64"/>
  <c r="Z196" i="64"/>
  <c r="Z197" i="64"/>
  <c r="Z198" i="64"/>
  <c r="Z199" i="64"/>
  <c r="Z200" i="64"/>
  <c r="Z201" i="64"/>
  <c r="Z202" i="64"/>
  <c r="Z203" i="64"/>
  <c r="Z204" i="64"/>
  <c r="Z205" i="64"/>
  <c r="Z206" i="64"/>
  <c r="Z207" i="64"/>
  <c r="Z208" i="64"/>
  <c r="Z209" i="64"/>
  <c r="Z210" i="64"/>
  <c r="Z211" i="64"/>
  <c r="Z212" i="64"/>
  <c r="Z213" i="64"/>
  <c r="Z214" i="64"/>
  <c r="Z215" i="64"/>
  <c r="Z216" i="64"/>
  <c r="Z217" i="64"/>
  <c r="Z218" i="64"/>
  <c r="Z219" i="64"/>
  <c r="Z220" i="64"/>
  <c r="Z221" i="64"/>
  <c r="Z222" i="64"/>
  <c r="Z223" i="64"/>
  <c r="Z224" i="64"/>
  <c r="Z225" i="64"/>
  <c r="Z226" i="64"/>
  <c r="Z227" i="64"/>
  <c r="Z228" i="64"/>
  <c r="Z229" i="64"/>
  <c r="Z230" i="64"/>
  <c r="Z231" i="64"/>
  <c r="Z232" i="64"/>
  <c r="Z233" i="64"/>
  <c r="Z234" i="64"/>
  <c r="Z235" i="64"/>
  <c r="Z236" i="64"/>
  <c r="Z237" i="64"/>
  <c r="Z238" i="64"/>
  <c r="Z239" i="64"/>
  <c r="Z240" i="64"/>
  <c r="Z241" i="64"/>
  <c r="Z242" i="64"/>
  <c r="Z243" i="64"/>
  <c r="Z244" i="64"/>
  <c r="Z245" i="64"/>
  <c r="Z246" i="64"/>
  <c r="Z247" i="64"/>
  <c r="Z248" i="64"/>
  <c r="Z249" i="64"/>
  <c r="Z250" i="64"/>
  <c r="Z251" i="64"/>
  <c r="Z252" i="64"/>
  <c r="Z253" i="64"/>
  <c r="Z254" i="64"/>
  <c r="Z255" i="64"/>
  <c r="Z256" i="64"/>
  <c r="Z257" i="64"/>
  <c r="Z258" i="64"/>
  <c r="Z259" i="64"/>
  <c r="AH13" i="64"/>
  <c r="AH14" i="64"/>
  <c r="AH15" i="64"/>
  <c r="AH16" i="64"/>
  <c r="AH17" i="64"/>
  <c r="AH18" i="64"/>
  <c r="AH19" i="64"/>
  <c r="AH20" i="64"/>
  <c r="AH21" i="64"/>
  <c r="AH22" i="64"/>
  <c r="AH23" i="64"/>
  <c r="AH24" i="64"/>
  <c r="AH25" i="64"/>
  <c r="AH26" i="64"/>
  <c r="AH27" i="64"/>
  <c r="AH28" i="64"/>
  <c r="AH29" i="64"/>
  <c r="AH30" i="64"/>
  <c r="AH31" i="64"/>
  <c r="AH32" i="64"/>
  <c r="AH33" i="64"/>
  <c r="AH34" i="64"/>
  <c r="AH35" i="64"/>
  <c r="AH36" i="64"/>
  <c r="AH37" i="64"/>
  <c r="AH38" i="64"/>
  <c r="AH39" i="64"/>
  <c r="AH40" i="64"/>
  <c r="AH41" i="64"/>
  <c r="AH42" i="64"/>
  <c r="AH43" i="64"/>
  <c r="AH44" i="64"/>
  <c r="AH45" i="64"/>
  <c r="AH46" i="64"/>
  <c r="AH47" i="64"/>
  <c r="AH48" i="64"/>
  <c r="AH49" i="64"/>
  <c r="AH50" i="64"/>
  <c r="AH51" i="64"/>
  <c r="AH52" i="64"/>
  <c r="AH53" i="64"/>
  <c r="AH54" i="64"/>
  <c r="AH55" i="64"/>
  <c r="AH56" i="64"/>
  <c r="AH57" i="64"/>
  <c r="AH58" i="64"/>
  <c r="AH59" i="64"/>
  <c r="AH60" i="64"/>
  <c r="AH61" i="64"/>
  <c r="AH62" i="64"/>
  <c r="AH63" i="64"/>
  <c r="AH64" i="64"/>
  <c r="AH65" i="64"/>
  <c r="AH66" i="64"/>
  <c r="AH67" i="64"/>
  <c r="AH68" i="64"/>
  <c r="AH69" i="64"/>
  <c r="AH70" i="64"/>
  <c r="AH71" i="64"/>
  <c r="AH72" i="64"/>
  <c r="AH73" i="64"/>
  <c r="AH74" i="64"/>
  <c r="AH75" i="64"/>
  <c r="AH76" i="64"/>
  <c r="AH77" i="64"/>
  <c r="AH78" i="64"/>
  <c r="AH79" i="64"/>
  <c r="AH80" i="64"/>
  <c r="AH81" i="64"/>
  <c r="AH82" i="64"/>
  <c r="AH83" i="64"/>
  <c r="AH84" i="64"/>
  <c r="AH85" i="64"/>
  <c r="AH86" i="64"/>
  <c r="AH87" i="64"/>
  <c r="AH88" i="64"/>
  <c r="AH89" i="64"/>
  <c r="AH90" i="64"/>
  <c r="AH91" i="64"/>
  <c r="AH92" i="64"/>
  <c r="AH93" i="64"/>
  <c r="AH94" i="64"/>
  <c r="AH95" i="64"/>
  <c r="AH96" i="64"/>
  <c r="AH97" i="64"/>
  <c r="AH98" i="64"/>
  <c r="AH99" i="64"/>
  <c r="AH100" i="64"/>
  <c r="AH101" i="64"/>
  <c r="AH102" i="64"/>
  <c r="AH103" i="64"/>
  <c r="AH104" i="64"/>
  <c r="AH105" i="64"/>
  <c r="AH106" i="64"/>
  <c r="AH107" i="64"/>
  <c r="AH108" i="64"/>
  <c r="AH109" i="64"/>
  <c r="AH110" i="64"/>
  <c r="AH111" i="64"/>
  <c r="AH112" i="64"/>
  <c r="AH113" i="64"/>
  <c r="AH114" i="64"/>
  <c r="AH115" i="64"/>
  <c r="AH116" i="64"/>
  <c r="AH117" i="64"/>
  <c r="AH118" i="64"/>
  <c r="AH119" i="64"/>
  <c r="AH120" i="64"/>
  <c r="AH121" i="64"/>
  <c r="AH122" i="64"/>
  <c r="AH123" i="64"/>
  <c r="AH124" i="64"/>
  <c r="AH125" i="64"/>
  <c r="AH126" i="64"/>
  <c r="AH127" i="64"/>
  <c r="AH128" i="64"/>
  <c r="AH129" i="64"/>
  <c r="AH130" i="64"/>
  <c r="AH131" i="64"/>
  <c r="AH132" i="64"/>
  <c r="AH133" i="64"/>
  <c r="AH134" i="64"/>
  <c r="AH135" i="64"/>
  <c r="AH136" i="64"/>
  <c r="AH137" i="64"/>
  <c r="AH138" i="64"/>
  <c r="AH139" i="64"/>
  <c r="AH140" i="64"/>
  <c r="AH141" i="64"/>
  <c r="AH142" i="64"/>
  <c r="AH143" i="64"/>
  <c r="AH144" i="64"/>
  <c r="AH145" i="64"/>
  <c r="AH146" i="64"/>
  <c r="AH147" i="64"/>
  <c r="AH148" i="64"/>
  <c r="AH149" i="64"/>
  <c r="AH150" i="64"/>
  <c r="AH151" i="64"/>
  <c r="AH152" i="64"/>
  <c r="AH153" i="64"/>
  <c r="AH154" i="64"/>
  <c r="AH155" i="64"/>
  <c r="AH156" i="64"/>
  <c r="AH157" i="64"/>
  <c r="AH158" i="64"/>
  <c r="AH159" i="64"/>
  <c r="AH160" i="64"/>
  <c r="AH161" i="64"/>
  <c r="AH162" i="64"/>
  <c r="AH163" i="64"/>
  <c r="AH164" i="64"/>
  <c r="AH165" i="64"/>
  <c r="AH166" i="64"/>
  <c r="AH167" i="64"/>
  <c r="AH168" i="64"/>
  <c r="AH169" i="64"/>
  <c r="AH170" i="64"/>
  <c r="AH171" i="64"/>
  <c r="AH172" i="64"/>
  <c r="AH173" i="64"/>
  <c r="AH174" i="64"/>
  <c r="AH175" i="64"/>
  <c r="AH176" i="64"/>
  <c r="AH177" i="64"/>
  <c r="AH178" i="64"/>
  <c r="AH179" i="64"/>
  <c r="AH180" i="64"/>
  <c r="AH181" i="64"/>
  <c r="AH182" i="64"/>
  <c r="AH183" i="64"/>
  <c r="AH184" i="64"/>
  <c r="AH185" i="64"/>
  <c r="AH186" i="64"/>
  <c r="AH187" i="64"/>
  <c r="AH188" i="64"/>
  <c r="AH189" i="64"/>
  <c r="AH190" i="64"/>
  <c r="AH191" i="64"/>
  <c r="AH192" i="64"/>
  <c r="AH193" i="64"/>
  <c r="AH194" i="64"/>
  <c r="AH195" i="64"/>
  <c r="AH196" i="64"/>
  <c r="AH197" i="64"/>
  <c r="AH198" i="64"/>
  <c r="AH199" i="64"/>
  <c r="AH200" i="64"/>
  <c r="AH201" i="64"/>
  <c r="AH202" i="64"/>
  <c r="AH203" i="64"/>
  <c r="AH204" i="64"/>
  <c r="AH205" i="64"/>
  <c r="AH206" i="64"/>
  <c r="AH207" i="64"/>
  <c r="AH208" i="64"/>
  <c r="AH209" i="64"/>
  <c r="AH210" i="64"/>
  <c r="AH211" i="64"/>
  <c r="AH212" i="64"/>
  <c r="AH213" i="64"/>
  <c r="AH214" i="64"/>
  <c r="AH215" i="64"/>
  <c r="AH216" i="64"/>
  <c r="AH217" i="64"/>
  <c r="AH218" i="64"/>
  <c r="AH219" i="64"/>
  <c r="AH220" i="64"/>
  <c r="AH221" i="64"/>
  <c r="AH222" i="64"/>
  <c r="AH223" i="64"/>
  <c r="AH224" i="64"/>
  <c r="AH225" i="64"/>
  <c r="AH226" i="64"/>
  <c r="AH227" i="64"/>
  <c r="AH228" i="64"/>
  <c r="AH229" i="64"/>
  <c r="AH230" i="64"/>
  <c r="AH231" i="64"/>
  <c r="AH232" i="64"/>
  <c r="AH233" i="64"/>
  <c r="AH234" i="64"/>
  <c r="AH235" i="64"/>
  <c r="AH236" i="64"/>
  <c r="AH237" i="64"/>
  <c r="AH238" i="64"/>
  <c r="AH239" i="64"/>
  <c r="AH240" i="64"/>
  <c r="AH241" i="64"/>
  <c r="AH242" i="64"/>
  <c r="AH243" i="64"/>
  <c r="AH244" i="64"/>
  <c r="AH245" i="64"/>
  <c r="AH246" i="64"/>
  <c r="AH247" i="64"/>
  <c r="AH248" i="64"/>
  <c r="AH249" i="64"/>
  <c r="AH250" i="64"/>
  <c r="AH251" i="64"/>
  <c r="AH252" i="64"/>
  <c r="AH253" i="64"/>
  <c r="AH254" i="64"/>
  <c r="AH255" i="64"/>
  <c r="AH256" i="64"/>
  <c r="AH257" i="64"/>
  <c r="AH258" i="64"/>
  <c r="AH259" i="64"/>
  <c r="AH12" i="64"/>
  <c r="R15" i="63"/>
  <c r="R16" i="63"/>
  <c r="R17" i="63"/>
  <c r="R18" i="63"/>
  <c r="R19" i="63"/>
  <c r="R20" i="63"/>
  <c r="R21" i="63"/>
  <c r="R22" i="63"/>
  <c r="R23" i="63"/>
  <c r="R24" i="63"/>
  <c r="R25" i="63"/>
  <c r="R26" i="63"/>
  <c r="R27" i="63"/>
  <c r="R28" i="63"/>
  <c r="R29" i="63"/>
  <c r="R30" i="63"/>
  <c r="R31" i="63"/>
  <c r="R32" i="63"/>
  <c r="R33" i="63"/>
  <c r="R34" i="63"/>
  <c r="R35" i="63"/>
  <c r="R36" i="63"/>
  <c r="R37" i="63"/>
  <c r="R38" i="63"/>
  <c r="R39" i="63"/>
  <c r="R40" i="63"/>
  <c r="R41" i="63"/>
  <c r="R42" i="63"/>
  <c r="R43" i="63"/>
  <c r="R44" i="63"/>
  <c r="R45" i="63"/>
  <c r="R46" i="63"/>
  <c r="R47" i="63"/>
  <c r="R48" i="63"/>
  <c r="R49" i="63"/>
  <c r="R50" i="63"/>
  <c r="R51" i="63"/>
  <c r="R52" i="63"/>
  <c r="R53" i="63"/>
  <c r="R54" i="63"/>
  <c r="R55" i="63"/>
  <c r="R56" i="63"/>
  <c r="R57" i="63"/>
  <c r="R58" i="63"/>
  <c r="R59" i="63"/>
  <c r="R60" i="63"/>
  <c r="R61" i="63"/>
  <c r="R62" i="63"/>
  <c r="R63" i="63"/>
  <c r="R64" i="63"/>
  <c r="R65" i="63"/>
  <c r="R66" i="63"/>
  <c r="R67" i="63"/>
  <c r="R68" i="63"/>
  <c r="R69" i="63"/>
  <c r="R70" i="63"/>
  <c r="R71" i="63"/>
  <c r="R72" i="63"/>
  <c r="R73" i="63"/>
  <c r="R74" i="63"/>
  <c r="R75" i="63"/>
  <c r="R76" i="63"/>
  <c r="R77" i="63"/>
  <c r="R78" i="63"/>
  <c r="R79" i="63"/>
  <c r="R80" i="63"/>
  <c r="R81" i="63"/>
  <c r="R82" i="63"/>
  <c r="R83" i="63"/>
  <c r="R84" i="63"/>
  <c r="R85" i="63"/>
  <c r="R86" i="63"/>
  <c r="R87" i="63"/>
  <c r="R88" i="63"/>
  <c r="R89" i="63"/>
  <c r="R90" i="63"/>
  <c r="R91" i="63"/>
  <c r="R92" i="63"/>
  <c r="R93" i="63"/>
  <c r="R94" i="63"/>
  <c r="R95" i="63"/>
  <c r="R96" i="63"/>
  <c r="R97" i="63"/>
  <c r="R98" i="63"/>
  <c r="R99" i="63"/>
  <c r="R100" i="63"/>
  <c r="R101" i="63"/>
  <c r="R102" i="63"/>
  <c r="R103" i="63"/>
  <c r="R104" i="63"/>
  <c r="R105" i="63"/>
  <c r="R106" i="63"/>
  <c r="R107" i="63"/>
  <c r="R108" i="63"/>
  <c r="R109" i="63"/>
  <c r="R110" i="63"/>
  <c r="R111" i="63"/>
  <c r="R112" i="63"/>
  <c r="R113" i="63"/>
  <c r="R114" i="63"/>
  <c r="R115" i="63"/>
  <c r="R116" i="63"/>
  <c r="R117" i="63"/>
  <c r="R118" i="63"/>
  <c r="R119" i="63"/>
  <c r="R120" i="63"/>
  <c r="R121" i="63"/>
  <c r="R122" i="63"/>
  <c r="R123" i="63"/>
  <c r="R124" i="63"/>
  <c r="R125" i="63"/>
  <c r="R126" i="63"/>
  <c r="R127" i="63"/>
  <c r="R128" i="63"/>
  <c r="R129" i="63"/>
  <c r="R130" i="63"/>
  <c r="R131" i="63"/>
  <c r="R132" i="63"/>
  <c r="R133" i="63"/>
  <c r="R134" i="63"/>
  <c r="R135" i="63"/>
  <c r="R136" i="63"/>
  <c r="R137" i="63"/>
  <c r="R138" i="63"/>
  <c r="R139" i="63"/>
  <c r="R140" i="63"/>
  <c r="R141" i="63"/>
  <c r="R142" i="63"/>
  <c r="R143" i="63"/>
  <c r="R144" i="63"/>
  <c r="R145" i="63"/>
  <c r="R146" i="63"/>
  <c r="R147" i="63"/>
  <c r="R148" i="63"/>
  <c r="R149" i="63"/>
  <c r="R150" i="63"/>
  <c r="R151" i="63"/>
  <c r="R152" i="63"/>
  <c r="R153" i="63"/>
  <c r="R154" i="63"/>
  <c r="R155" i="63"/>
  <c r="R156" i="63"/>
  <c r="R157" i="63"/>
  <c r="R158" i="63"/>
  <c r="R159" i="63"/>
  <c r="R160" i="63"/>
  <c r="R161" i="63"/>
  <c r="R162" i="63"/>
  <c r="R163" i="63"/>
  <c r="R164" i="63"/>
  <c r="R165" i="63"/>
  <c r="R166" i="63"/>
  <c r="R167" i="63"/>
  <c r="R168" i="63"/>
  <c r="R169" i="63"/>
  <c r="R170" i="63"/>
  <c r="R171" i="63"/>
  <c r="R172" i="63"/>
  <c r="R173" i="63"/>
  <c r="R174" i="63"/>
  <c r="R175" i="63"/>
  <c r="R176" i="63"/>
  <c r="R177" i="63"/>
  <c r="R178" i="63"/>
  <c r="R179" i="63"/>
  <c r="R180" i="63"/>
  <c r="R181" i="63"/>
  <c r="R182" i="63"/>
  <c r="R183" i="63"/>
  <c r="R184" i="63"/>
  <c r="R185" i="63"/>
  <c r="R186" i="63"/>
  <c r="R187" i="63"/>
  <c r="R188" i="63"/>
  <c r="R189" i="63"/>
  <c r="R190" i="63"/>
  <c r="R191" i="63"/>
  <c r="R192" i="63"/>
  <c r="R193" i="63"/>
  <c r="R194" i="63"/>
  <c r="R195" i="63"/>
  <c r="R196" i="63"/>
  <c r="R197" i="63"/>
  <c r="R198" i="63"/>
  <c r="R199" i="63"/>
  <c r="R200" i="63"/>
  <c r="R201" i="63"/>
  <c r="R202" i="63"/>
  <c r="R203" i="63"/>
  <c r="R204" i="63"/>
  <c r="R205" i="63"/>
  <c r="R206" i="63"/>
  <c r="R207" i="63"/>
  <c r="R208" i="63"/>
  <c r="R209" i="63"/>
  <c r="R210" i="63"/>
  <c r="R211" i="63"/>
  <c r="R212" i="63"/>
  <c r="R213" i="63"/>
  <c r="R214" i="63"/>
  <c r="R215" i="63"/>
  <c r="R216" i="63"/>
  <c r="R217" i="63"/>
  <c r="R218" i="63"/>
  <c r="R219" i="63"/>
  <c r="R220" i="63"/>
  <c r="R221" i="63"/>
  <c r="R222" i="63"/>
  <c r="R223" i="63"/>
  <c r="R224" i="63"/>
  <c r="R225" i="63"/>
  <c r="R226" i="63"/>
  <c r="R227" i="63"/>
  <c r="R228" i="63"/>
  <c r="R229" i="63"/>
  <c r="R230" i="63"/>
  <c r="R231" i="63"/>
  <c r="R232" i="63"/>
  <c r="R233" i="63"/>
  <c r="R234" i="63"/>
  <c r="R235" i="63"/>
  <c r="R236" i="63"/>
  <c r="R237" i="63"/>
  <c r="R238" i="63"/>
  <c r="R239" i="63"/>
  <c r="R240" i="63"/>
  <c r="R241" i="63"/>
  <c r="R242" i="63"/>
  <c r="R243" i="63"/>
  <c r="R244" i="63"/>
  <c r="R245" i="63"/>
  <c r="R246" i="63"/>
  <c r="R247" i="63"/>
  <c r="R248" i="63"/>
  <c r="R249" i="63"/>
  <c r="R250" i="63"/>
  <c r="R251" i="63"/>
  <c r="R252" i="63"/>
  <c r="R253" i="63"/>
  <c r="R254" i="63"/>
  <c r="R255" i="63"/>
  <c r="R256" i="63"/>
  <c r="R257" i="63"/>
  <c r="AP19" i="63"/>
  <c r="AP20" i="63"/>
  <c r="AP21" i="63"/>
  <c r="AP22" i="63"/>
  <c r="AP23" i="63"/>
  <c r="AP24" i="63"/>
  <c r="AP25" i="63"/>
  <c r="AP26" i="63"/>
  <c r="AP27" i="63"/>
  <c r="AP28" i="63"/>
  <c r="AP29" i="63"/>
  <c r="AP30" i="63"/>
  <c r="AP31" i="63"/>
  <c r="AP32" i="63"/>
  <c r="AP33" i="63"/>
  <c r="AP34" i="63"/>
  <c r="AP35" i="63"/>
  <c r="AP36" i="63"/>
  <c r="AP37" i="63"/>
  <c r="AP38" i="63"/>
  <c r="AP39" i="63"/>
  <c r="AP40" i="63"/>
  <c r="AP41" i="63"/>
  <c r="AP42" i="63"/>
  <c r="AP43" i="63"/>
  <c r="AP44" i="63"/>
  <c r="AP45" i="63"/>
  <c r="AP46" i="63"/>
  <c r="AP47" i="63"/>
  <c r="AP48" i="63"/>
  <c r="AP49" i="63"/>
  <c r="AP50" i="63"/>
  <c r="AP51" i="63"/>
  <c r="AP52" i="63"/>
  <c r="AP53" i="63"/>
  <c r="AP54" i="63"/>
  <c r="AP55" i="63"/>
  <c r="AP56" i="63"/>
  <c r="AP57" i="63"/>
  <c r="AP58" i="63"/>
  <c r="AP59" i="63"/>
  <c r="AP60" i="63"/>
  <c r="AP61" i="63"/>
  <c r="AP62" i="63"/>
  <c r="AP63" i="63"/>
  <c r="AP64" i="63"/>
  <c r="AP65" i="63"/>
  <c r="AP66" i="63"/>
  <c r="AP67" i="63"/>
  <c r="AP68" i="63"/>
  <c r="AP69" i="63"/>
  <c r="AP70" i="63"/>
  <c r="AP71" i="63"/>
  <c r="AP72" i="63"/>
  <c r="AP73" i="63"/>
  <c r="AP74" i="63"/>
  <c r="AP75" i="63"/>
  <c r="AP76" i="63"/>
  <c r="AP77" i="63"/>
  <c r="AP78" i="63"/>
  <c r="AP79" i="63"/>
  <c r="AP80" i="63"/>
  <c r="AP81" i="63"/>
  <c r="AP82" i="63"/>
  <c r="AP83" i="63"/>
  <c r="AP84" i="63"/>
  <c r="AP85" i="63"/>
  <c r="AP86" i="63"/>
  <c r="AP87" i="63"/>
  <c r="AP88" i="63"/>
  <c r="AP89" i="63"/>
  <c r="AP90" i="63"/>
  <c r="AP91" i="63"/>
  <c r="AP92" i="63"/>
  <c r="AP93" i="63"/>
  <c r="AP94" i="63"/>
  <c r="AP95" i="63"/>
  <c r="AP96" i="63"/>
  <c r="AP97" i="63"/>
  <c r="AP98" i="63"/>
  <c r="AP99" i="63"/>
  <c r="AP100" i="63"/>
  <c r="AP101" i="63"/>
  <c r="AP102" i="63"/>
  <c r="AP103" i="63"/>
  <c r="AP104" i="63"/>
  <c r="AP105" i="63"/>
  <c r="AP106" i="63"/>
  <c r="AP107" i="63"/>
  <c r="AP108" i="63"/>
  <c r="AP109" i="63"/>
  <c r="AP110" i="63"/>
  <c r="AP111" i="63"/>
  <c r="AP112" i="63"/>
  <c r="AP113" i="63"/>
  <c r="AP114" i="63"/>
  <c r="AP115" i="63"/>
  <c r="AP116" i="63"/>
  <c r="AP117" i="63"/>
  <c r="AP118" i="63"/>
  <c r="AP119" i="63"/>
  <c r="AP120" i="63"/>
  <c r="AP121" i="63"/>
  <c r="AP122" i="63"/>
  <c r="AP123" i="63"/>
  <c r="AP124" i="63"/>
  <c r="AP125" i="63"/>
  <c r="AP126" i="63"/>
  <c r="AP127" i="63"/>
  <c r="AP128" i="63"/>
  <c r="AP129" i="63"/>
  <c r="AP130" i="63"/>
  <c r="AP131" i="63"/>
  <c r="AP132" i="63"/>
  <c r="AP133" i="63"/>
  <c r="AP134" i="63"/>
  <c r="AP135" i="63"/>
  <c r="AP136" i="63"/>
  <c r="AP137" i="63"/>
  <c r="AP138" i="63"/>
  <c r="AP139" i="63"/>
  <c r="AP140" i="63"/>
  <c r="AP141" i="63"/>
  <c r="AP142" i="63"/>
  <c r="AP143" i="63"/>
  <c r="AP144" i="63"/>
  <c r="AP145" i="63"/>
  <c r="AP146" i="63"/>
  <c r="AP147" i="63"/>
  <c r="AP148" i="63"/>
  <c r="AP149" i="63"/>
  <c r="AP150" i="63"/>
  <c r="AP151" i="63"/>
  <c r="AP152" i="63"/>
  <c r="AP153" i="63"/>
  <c r="AP154" i="63"/>
  <c r="AP155" i="63"/>
  <c r="AP156" i="63"/>
  <c r="AP157" i="63"/>
  <c r="AP158" i="63"/>
  <c r="AP159" i="63"/>
  <c r="AP160" i="63"/>
  <c r="AP161" i="63"/>
  <c r="AP162" i="63"/>
  <c r="AP163" i="63"/>
  <c r="AP164" i="63"/>
  <c r="AP165" i="63"/>
  <c r="AP166" i="63"/>
  <c r="AP167" i="63"/>
  <c r="AP168" i="63"/>
  <c r="AP169" i="63"/>
  <c r="AP170" i="63"/>
  <c r="AP171" i="63"/>
  <c r="AP172" i="63"/>
  <c r="AP173" i="63"/>
  <c r="AP174" i="63"/>
  <c r="AP175" i="63"/>
  <c r="AP176" i="63"/>
  <c r="AP177" i="63"/>
  <c r="AP178" i="63"/>
  <c r="AP179" i="63"/>
  <c r="AP180" i="63"/>
  <c r="AP181" i="63"/>
  <c r="AP182" i="63"/>
  <c r="AP183" i="63"/>
  <c r="AP184" i="63"/>
  <c r="AP185" i="63"/>
  <c r="AP186" i="63"/>
  <c r="AP187" i="63"/>
  <c r="AP188" i="63"/>
  <c r="AP189" i="63"/>
  <c r="AP190" i="63"/>
  <c r="AP191" i="63"/>
  <c r="AP192" i="63"/>
  <c r="AP193" i="63"/>
  <c r="AP194" i="63"/>
  <c r="AP195" i="63"/>
  <c r="AP196" i="63"/>
  <c r="AP197" i="63"/>
  <c r="AP198" i="63"/>
  <c r="AP199" i="63"/>
  <c r="AP200" i="63"/>
  <c r="AP201" i="63"/>
  <c r="AP202" i="63"/>
  <c r="AP203" i="63"/>
  <c r="AP204" i="63"/>
  <c r="AP205" i="63"/>
  <c r="AP206" i="63"/>
  <c r="AP207" i="63"/>
  <c r="AP208" i="63"/>
  <c r="AP209" i="63"/>
  <c r="AP210" i="63"/>
  <c r="AP211" i="63"/>
  <c r="AP212" i="63"/>
  <c r="AP213" i="63"/>
  <c r="AP214" i="63"/>
  <c r="AP215" i="63"/>
  <c r="AP216" i="63"/>
  <c r="AP217" i="63"/>
  <c r="AP218" i="63"/>
  <c r="AP219" i="63"/>
  <c r="AP220" i="63"/>
  <c r="AP221" i="63"/>
  <c r="AP222" i="63"/>
  <c r="AP223" i="63"/>
  <c r="AP224" i="63"/>
  <c r="AP225" i="63"/>
  <c r="AP226" i="63"/>
  <c r="AP227" i="63"/>
  <c r="AP228" i="63"/>
  <c r="AP229" i="63"/>
  <c r="AP230" i="63"/>
  <c r="AP231" i="63"/>
  <c r="AP232" i="63"/>
  <c r="AP233" i="63"/>
  <c r="AP234" i="63"/>
  <c r="AP235" i="63"/>
  <c r="AP236" i="63"/>
  <c r="AP237" i="63"/>
  <c r="AP238" i="63"/>
  <c r="AP239" i="63"/>
  <c r="AP240" i="63"/>
  <c r="AP241" i="63"/>
  <c r="AP242" i="63"/>
  <c r="AP243" i="63"/>
  <c r="AP244" i="63"/>
  <c r="AP245" i="63"/>
  <c r="AP246" i="63"/>
  <c r="AP247" i="63"/>
  <c r="AP248" i="63"/>
  <c r="AP249" i="63"/>
  <c r="AP250" i="63"/>
  <c r="AP251" i="63"/>
  <c r="AP252" i="63"/>
  <c r="AP253" i="63"/>
  <c r="AP254" i="63"/>
  <c r="AP255" i="63"/>
  <c r="AP256" i="63"/>
  <c r="AP257" i="63"/>
  <c r="AP11" i="63"/>
  <c r="AP12" i="63"/>
  <c r="AP13" i="63"/>
  <c r="AP14" i="63"/>
  <c r="AP15" i="63"/>
  <c r="AP16" i="63"/>
  <c r="AP17" i="63"/>
  <c r="AP18" i="63"/>
  <c r="AP10" i="63"/>
  <c r="AL10" i="52"/>
  <c r="T13" i="53"/>
  <c r="T14" i="53"/>
  <c r="T15" i="53"/>
  <c r="T16" i="53"/>
  <c r="T17" i="53"/>
  <c r="T18" i="53"/>
  <c r="T19" i="53"/>
  <c r="T20" i="53"/>
  <c r="T21" i="53"/>
  <c r="T22" i="53"/>
  <c r="T23" i="53"/>
  <c r="T24" i="53"/>
  <c r="T25" i="53"/>
  <c r="T26" i="53"/>
  <c r="T27" i="53"/>
  <c r="T28" i="53"/>
  <c r="T29" i="53"/>
  <c r="T30" i="53"/>
  <c r="T31" i="53"/>
  <c r="T32" i="53"/>
  <c r="T33" i="53"/>
  <c r="T34" i="53"/>
  <c r="T35" i="53"/>
  <c r="T36" i="53"/>
  <c r="T37" i="53"/>
  <c r="T38" i="53"/>
  <c r="T39" i="53"/>
  <c r="T40" i="53"/>
  <c r="T41" i="53"/>
  <c r="T42" i="53"/>
  <c r="T43" i="53"/>
  <c r="T44" i="53"/>
  <c r="T45" i="53"/>
  <c r="T46" i="53"/>
  <c r="T47" i="53"/>
  <c r="T48" i="53"/>
  <c r="T49" i="53"/>
  <c r="T50" i="53"/>
  <c r="T51" i="53"/>
  <c r="T52" i="53"/>
  <c r="T53" i="53"/>
  <c r="T54" i="53"/>
  <c r="T55" i="53"/>
  <c r="T56" i="53"/>
  <c r="T57" i="53"/>
  <c r="T58" i="53"/>
  <c r="T59" i="53"/>
  <c r="T60" i="53"/>
  <c r="T61" i="53"/>
  <c r="T62" i="53"/>
  <c r="T63" i="53"/>
  <c r="T64" i="53"/>
  <c r="T65" i="53"/>
  <c r="T66" i="53"/>
  <c r="T67" i="53"/>
  <c r="T68" i="53"/>
  <c r="T69" i="53"/>
  <c r="T70" i="53"/>
  <c r="T71" i="53"/>
  <c r="T72" i="53"/>
  <c r="T73" i="53"/>
  <c r="T74" i="53"/>
  <c r="T75" i="53"/>
  <c r="T76" i="53"/>
  <c r="T77" i="53"/>
  <c r="T78" i="53"/>
  <c r="T79" i="53"/>
  <c r="T80" i="53"/>
  <c r="T81" i="53"/>
  <c r="T82" i="53"/>
  <c r="T83" i="53"/>
  <c r="T84" i="53"/>
  <c r="T85" i="53"/>
  <c r="T86" i="53"/>
  <c r="T87" i="53"/>
  <c r="T88" i="53"/>
  <c r="T89" i="53"/>
  <c r="T90" i="53"/>
  <c r="T91" i="53"/>
  <c r="T92" i="53"/>
  <c r="T93" i="53"/>
  <c r="T94" i="53"/>
  <c r="T95" i="53"/>
  <c r="T96" i="53"/>
  <c r="T97" i="53"/>
  <c r="T98" i="53"/>
  <c r="T99" i="53"/>
  <c r="T100" i="53"/>
  <c r="T101" i="53"/>
  <c r="T102" i="53"/>
  <c r="T103" i="53"/>
  <c r="T104" i="53"/>
  <c r="T105" i="53"/>
  <c r="T106" i="53"/>
  <c r="T107" i="53"/>
  <c r="T108" i="53"/>
  <c r="T109" i="53"/>
  <c r="T110" i="53"/>
  <c r="T111" i="53"/>
  <c r="T112" i="53"/>
  <c r="T113" i="53"/>
  <c r="T114" i="53"/>
  <c r="T115" i="53"/>
  <c r="T116" i="53"/>
  <c r="T117" i="53"/>
  <c r="T118" i="53"/>
  <c r="T119" i="53"/>
  <c r="T120" i="53"/>
  <c r="T121" i="53"/>
  <c r="T122" i="53"/>
  <c r="T123" i="53"/>
  <c r="T124" i="53"/>
  <c r="T125" i="53"/>
  <c r="T126" i="53"/>
  <c r="T127" i="53"/>
  <c r="T128" i="53"/>
  <c r="T129" i="53"/>
  <c r="T130" i="53"/>
  <c r="T131" i="53"/>
  <c r="T132" i="53"/>
  <c r="T133" i="53"/>
  <c r="T134" i="53"/>
  <c r="T135" i="53"/>
  <c r="T136" i="53"/>
  <c r="T137" i="53"/>
  <c r="T138" i="53"/>
  <c r="T139" i="53"/>
  <c r="T140" i="53"/>
  <c r="T141" i="53"/>
  <c r="T142" i="53"/>
  <c r="T143" i="53"/>
  <c r="T144" i="53"/>
  <c r="T145" i="53"/>
  <c r="T146" i="53"/>
  <c r="T147" i="53"/>
  <c r="T148" i="53"/>
  <c r="T149" i="53"/>
  <c r="T150" i="53"/>
  <c r="T151" i="53"/>
  <c r="T152" i="53"/>
  <c r="T153" i="53"/>
  <c r="T154" i="53"/>
  <c r="T155" i="53"/>
  <c r="T156" i="53"/>
  <c r="T157" i="53"/>
  <c r="T158" i="53"/>
  <c r="T159" i="53"/>
  <c r="T160" i="53"/>
  <c r="T161" i="53"/>
  <c r="T162" i="53"/>
  <c r="T163" i="53"/>
  <c r="T164" i="53"/>
  <c r="T165" i="53"/>
  <c r="T166" i="53"/>
  <c r="T167" i="53"/>
  <c r="T168" i="53"/>
  <c r="T169" i="53"/>
  <c r="T170" i="53"/>
  <c r="T171" i="53"/>
  <c r="T172" i="53"/>
  <c r="T173" i="53"/>
  <c r="T174" i="53"/>
  <c r="T175" i="53"/>
  <c r="T176" i="53"/>
  <c r="T177" i="53"/>
  <c r="T178" i="53"/>
  <c r="T179" i="53"/>
  <c r="T180" i="53"/>
  <c r="T181" i="53"/>
  <c r="T182" i="53"/>
  <c r="T183" i="53"/>
  <c r="T184" i="53"/>
  <c r="T185" i="53"/>
  <c r="T186" i="53"/>
  <c r="T187" i="53"/>
  <c r="T188" i="53"/>
  <c r="T189" i="53"/>
  <c r="T190" i="53"/>
  <c r="T191" i="53"/>
  <c r="T192" i="53"/>
  <c r="T193" i="53"/>
  <c r="T194" i="53"/>
  <c r="T195" i="53"/>
  <c r="T196" i="53"/>
  <c r="T197" i="53"/>
  <c r="T198" i="53"/>
  <c r="T199" i="53"/>
  <c r="T200" i="53"/>
  <c r="T201" i="53"/>
  <c r="T202" i="53"/>
  <c r="T203" i="53"/>
  <c r="T204" i="53"/>
  <c r="T205" i="53"/>
  <c r="T206" i="53"/>
  <c r="T207" i="53"/>
  <c r="T208" i="53"/>
  <c r="T209" i="53"/>
  <c r="T210" i="53"/>
  <c r="T211" i="53"/>
  <c r="T212" i="53"/>
  <c r="T213" i="53"/>
  <c r="T214" i="53"/>
  <c r="T215" i="53"/>
  <c r="T216" i="53"/>
  <c r="T217" i="53"/>
  <c r="T218" i="53"/>
  <c r="T219" i="53"/>
  <c r="T220" i="53"/>
  <c r="T221" i="53"/>
  <c r="T222" i="53"/>
  <c r="T223" i="53"/>
  <c r="T224" i="53"/>
  <c r="T225" i="53"/>
  <c r="T226" i="53"/>
  <c r="T227" i="53"/>
  <c r="T228" i="53"/>
  <c r="T229" i="53"/>
  <c r="T230" i="53"/>
  <c r="T231" i="53"/>
  <c r="T232" i="53"/>
  <c r="T233" i="53"/>
  <c r="T234" i="53"/>
  <c r="T235" i="53"/>
  <c r="T236" i="53"/>
  <c r="T237" i="53"/>
  <c r="T238" i="53"/>
  <c r="T239" i="53"/>
  <c r="T240" i="53"/>
  <c r="T241" i="53"/>
  <c r="T242" i="53"/>
  <c r="T243" i="53"/>
  <c r="T244" i="53"/>
  <c r="T245" i="53"/>
  <c r="T246" i="53"/>
  <c r="T247" i="53"/>
  <c r="T248" i="53"/>
  <c r="T249" i="53"/>
  <c r="T250" i="53"/>
  <c r="T251" i="53"/>
  <c r="T252" i="53"/>
  <c r="T253" i="53"/>
  <c r="T254" i="53"/>
  <c r="T255" i="53"/>
  <c r="T256" i="53"/>
  <c r="T257" i="53"/>
  <c r="T12" i="53"/>
  <c r="AG12" i="42"/>
  <c r="I13" i="42" l="1"/>
  <c r="I14" i="42"/>
  <c r="I15" i="42"/>
  <c r="I16" i="42"/>
  <c r="I17" i="42"/>
  <c r="I18" i="42"/>
  <c r="I19" i="42"/>
  <c r="I20" i="42"/>
  <c r="I21" i="42"/>
  <c r="I22" i="42"/>
  <c r="I23" i="42"/>
  <c r="I24" i="42"/>
  <c r="I25" i="42"/>
  <c r="I26" i="42"/>
  <c r="I27" i="42"/>
  <c r="I28" i="42"/>
  <c r="I29" i="42"/>
  <c r="I30" i="42"/>
  <c r="I31" i="42"/>
  <c r="I32" i="42"/>
  <c r="I33" i="42"/>
  <c r="I34" i="42"/>
  <c r="I35" i="42"/>
  <c r="I36" i="42"/>
  <c r="I37" i="42"/>
  <c r="I38" i="42"/>
  <c r="I39" i="42"/>
  <c r="I40" i="42"/>
  <c r="I41" i="42"/>
  <c r="I42" i="42"/>
  <c r="I43" i="42"/>
  <c r="I44" i="42"/>
  <c r="I45" i="42"/>
  <c r="I46" i="42"/>
  <c r="I47" i="42"/>
  <c r="I48" i="42"/>
  <c r="I49" i="42"/>
  <c r="I50" i="42"/>
  <c r="I51" i="42"/>
  <c r="I52" i="42"/>
  <c r="I53" i="42"/>
  <c r="I54" i="42"/>
  <c r="I55" i="42"/>
  <c r="I56" i="42"/>
  <c r="I57" i="42"/>
  <c r="I58" i="42"/>
  <c r="I59" i="42"/>
  <c r="I60" i="42"/>
  <c r="I61" i="42"/>
  <c r="I62" i="42"/>
  <c r="I63" i="42"/>
  <c r="I64" i="42"/>
  <c r="I65" i="42"/>
  <c r="I66" i="42"/>
  <c r="I67" i="42"/>
  <c r="I68" i="42"/>
  <c r="I69" i="42"/>
  <c r="I70" i="42"/>
  <c r="I71" i="42"/>
  <c r="I72" i="42"/>
  <c r="I73" i="42"/>
  <c r="I74" i="42"/>
  <c r="I75" i="42"/>
  <c r="I76" i="42"/>
  <c r="I77" i="42"/>
  <c r="I78" i="42"/>
  <c r="I79" i="42"/>
  <c r="I80" i="42"/>
  <c r="I81" i="42"/>
  <c r="I82" i="42"/>
  <c r="I83" i="42"/>
  <c r="I84" i="42"/>
  <c r="I85" i="42"/>
  <c r="I86" i="42"/>
  <c r="I87" i="42"/>
  <c r="I88" i="42"/>
  <c r="I89" i="42"/>
  <c r="I90" i="42"/>
  <c r="I91" i="42"/>
  <c r="I92" i="42"/>
  <c r="I93" i="42"/>
  <c r="I94" i="42"/>
  <c r="I95" i="42"/>
  <c r="I96" i="42"/>
  <c r="I97" i="42"/>
  <c r="I98" i="42"/>
  <c r="I99" i="42"/>
  <c r="I100" i="42"/>
  <c r="I101" i="42"/>
  <c r="I102" i="42"/>
  <c r="I103" i="42"/>
  <c r="I104" i="42"/>
  <c r="I105" i="42"/>
  <c r="I106" i="42"/>
  <c r="I107" i="42"/>
  <c r="I108" i="42"/>
  <c r="I109" i="42"/>
  <c r="I110" i="42"/>
  <c r="I111" i="42"/>
  <c r="I112" i="42"/>
  <c r="I113" i="42"/>
  <c r="I114" i="42"/>
  <c r="I115" i="42"/>
  <c r="I116" i="42"/>
  <c r="I117" i="42"/>
  <c r="I118" i="42"/>
  <c r="I119" i="42"/>
  <c r="I120" i="42"/>
  <c r="I121" i="42"/>
  <c r="I122" i="42"/>
  <c r="I123" i="42"/>
  <c r="I124" i="42"/>
  <c r="I125" i="42"/>
  <c r="I126" i="42"/>
  <c r="I127" i="42"/>
  <c r="I128" i="42"/>
  <c r="I129" i="42"/>
  <c r="I130" i="42"/>
  <c r="I131" i="42"/>
  <c r="I132" i="42"/>
  <c r="I133" i="42"/>
  <c r="I134" i="42"/>
  <c r="I135" i="42"/>
  <c r="I136" i="42"/>
  <c r="I137" i="42"/>
  <c r="I138" i="42"/>
  <c r="I139" i="42"/>
  <c r="I140" i="42"/>
  <c r="I141" i="42"/>
  <c r="I142" i="42"/>
  <c r="I143" i="42"/>
  <c r="I144" i="42"/>
  <c r="I145" i="42"/>
  <c r="I146" i="42"/>
  <c r="I147" i="42"/>
  <c r="I148" i="42"/>
  <c r="I149" i="42"/>
  <c r="I150" i="42"/>
  <c r="I151" i="42"/>
  <c r="I152" i="42"/>
  <c r="I153" i="42"/>
  <c r="I154" i="42"/>
  <c r="I155" i="42"/>
  <c r="I156" i="42"/>
  <c r="I157" i="42"/>
  <c r="I158" i="42"/>
  <c r="I159" i="42"/>
  <c r="I160" i="42"/>
  <c r="I161" i="42"/>
  <c r="I162" i="42"/>
  <c r="I163" i="42"/>
  <c r="I164" i="42"/>
  <c r="I165" i="42"/>
  <c r="I166" i="42"/>
  <c r="I167" i="42"/>
  <c r="I168" i="42"/>
  <c r="I169" i="42"/>
  <c r="I170" i="42"/>
  <c r="I171" i="42"/>
  <c r="I172" i="42"/>
  <c r="I173" i="42"/>
  <c r="I174" i="42"/>
  <c r="I175" i="42"/>
  <c r="I176" i="42"/>
  <c r="I177" i="42"/>
  <c r="I178" i="42"/>
  <c r="I179" i="42"/>
  <c r="I180" i="42"/>
  <c r="I181" i="42"/>
  <c r="I182" i="42"/>
  <c r="I183" i="42"/>
  <c r="I184" i="42"/>
  <c r="I185" i="42"/>
  <c r="I186" i="42"/>
  <c r="I187" i="42"/>
  <c r="I188" i="42"/>
  <c r="I189" i="42"/>
  <c r="I190" i="42"/>
  <c r="I191" i="42"/>
  <c r="I192" i="42"/>
  <c r="I193" i="42"/>
  <c r="I194" i="42"/>
  <c r="I195" i="42"/>
  <c r="I196" i="42"/>
  <c r="I197" i="42"/>
  <c r="I198" i="42"/>
  <c r="I199" i="42"/>
  <c r="I200" i="42"/>
  <c r="I201" i="42"/>
  <c r="I202" i="42"/>
  <c r="I203" i="42"/>
  <c r="I204" i="42"/>
  <c r="I205" i="42"/>
  <c r="I206" i="42"/>
  <c r="I207" i="42"/>
  <c r="I208" i="42"/>
  <c r="I209" i="42"/>
  <c r="I210" i="42"/>
  <c r="I211" i="42"/>
  <c r="I212" i="42"/>
  <c r="I213" i="42"/>
  <c r="I214" i="42"/>
  <c r="I215" i="42"/>
  <c r="I216" i="42"/>
  <c r="I217" i="42"/>
  <c r="I218" i="42"/>
  <c r="I219" i="42"/>
  <c r="I220" i="42"/>
  <c r="I221" i="42"/>
  <c r="I222" i="42"/>
  <c r="I223" i="42"/>
  <c r="I224" i="42"/>
  <c r="I225" i="42"/>
  <c r="I226" i="42"/>
  <c r="I227" i="42"/>
  <c r="I228" i="42"/>
  <c r="I229" i="42"/>
  <c r="I230" i="42"/>
  <c r="I231" i="42"/>
  <c r="I232" i="42"/>
  <c r="I233" i="42"/>
  <c r="I234" i="42"/>
  <c r="I235" i="42"/>
  <c r="I236" i="42"/>
  <c r="I237" i="42"/>
  <c r="I238" i="42"/>
  <c r="I239" i="42"/>
  <c r="I240" i="42"/>
  <c r="I241" i="42"/>
  <c r="I242" i="42"/>
  <c r="I243" i="42"/>
  <c r="I244" i="42"/>
  <c r="I245" i="42"/>
  <c r="I246" i="42"/>
  <c r="I247" i="42"/>
  <c r="I248" i="42"/>
  <c r="I249" i="42"/>
  <c r="I250" i="42"/>
  <c r="I251" i="42"/>
  <c r="I252" i="42"/>
  <c r="I253" i="42"/>
  <c r="I254" i="42"/>
  <c r="I255" i="42"/>
  <c r="I256" i="42"/>
  <c r="I257" i="42"/>
  <c r="I258" i="42"/>
  <c r="I259" i="42"/>
  <c r="I12" i="42"/>
  <c r="AG13" i="42"/>
  <c r="AG14" i="42"/>
  <c r="AG15" i="42"/>
  <c r="AG16" i="42"/>
  <c r="AG17" i="42"/>
  <c r="AG18" i="42"/>
  <c r="AG19" i="42"/>
  <c r="AG20" i="42"/>
  <c r="AG21" i="42"/>
  <c r="AG22" i="42"/>
  <c r="AG23" i="42"/>
  <c r="AG24" i="42"/>
  <c r="AG25" i="42"/>
  <c r="AG26" i="42"/>
  <c r="AG27" i="42"/>
  <c r="AG28" i="42"/>
  <c r="AG29" i="42"/>
  <c r="AG30" i="42"/>
  <c r="AG31" i="42"/>
  <c r="AG32" i="42"/>
  <c r="AG33" i="42"/>
  <c r="AG34" i="42"/>
  <c r="AG35" i="42"/>
  <c r="AG36" i="42"/>
  <c r="AG37" i="42"/>
  <c r="AG38" i="42"/>
  <c r="AG39" i="42"/>
  <c r="AG40" i="42"/>
  <c r="AG41" i="42"/>
  <c r="AG42" i="42"/>
  <c r="AG43" i="42"/>
  <c r="AG44" i="42"/>
  <c r="AG45" i="42"/>
  <c r="AG46" i="42"/>
  <c r="AG47" i="42"/>
  <c r="AG48" i="42"/>
  <c r="AG49" i="42"/>
  <c r="AG50" i="42"/>
  <c r="AG51" i="42"/>
  <c r="AG52" i="42"/>
  <c r="AG53" i="42"/>
  <c r="AG54" i="42"/>
  <c r="AG55" i="42"/>
  <c r="AG56" i="42"/>
  <c r="AG57" i="42"/>
  <c r="AG58" i="42"/>
  <c r="AG59" i="42"/>
  <c r="AG60" i="42"/>
  <c r="AG61" i="42"/>
  <c r="AG62" i="42"/>
  <c r="AG63" i="42"/>
  <c r="AG64" i="42"/>
  <c r="AG65" i="42"/>
  <c r="AG66" i="42"/>
  <c r="AG67" i="42"/>
  <c r="AG68" i="42"/>
  <c r="AG69" i="42"/>
  <c r="AG70" i="42"/>
  <c r="AG71" i="42"/>
  <c r="AG72" i="42"/>
  <c r="AG73" i="42"/>
  <c r="AG74" i="42"/>
  <c r="AG75" i="42"/>
  <c r="AG76" i="42"/>
  <c r="AG77" i="42"/>
  <c r="AG78" i="42"/>
  <c r="AG79" i="42"/>
  <c r="AG80" i="42"/>
  <c r="AG81" i="42"/>
  <c r="AG82" i="42"/>
  <c r="AG83" i="42"/>
  <c r="AG84" i="42"/>
  <c r="AG85" i="42"/>
  <c r="AG86" i="42"/>
  <c r="AG87" i="42"/>
  <c r="AG88" i="42"/>
  <c r="AG89" i="42"/>
  <c r="AG90" i="42"/>
  <c r="AG91" i="42"/>
  <c r="AG92" i="42"/>
  <c r="AG93" i="42"/>
  <c r="AG94" i="42"/>
  <c r="AG95" i="42"/>
  <c r="AG96" i="42"/>
  <c r="AG97" i="42"/>
  <c r="AG98" i="42"/>
  <c r="AG99" i="42"/>
  <c r="AG100" i="42"/>
  <c r="AG101" i="42"/>
  <c r="AG102" i="42"/>
  <c r="AG103" i="42"/>
  <c r="AG104" i="42"/>
  <c r="AG105" i="42"/>
  <c r="AG106" i="42"/>
  <c r="AG107" i="42"/>
  <c r="AG108" i="42"/>
  <c r="AG109" i="42"/>
  <c r="AG110" i="42"/>
  <c r="AG111" i="42"/>
  <c r="AG112" i="42"/>
  <c r="AG113" i="42"/>
  <c r="AG114" i="42"/>
  <c r="AG115" i="42"/>
  <c r="AG116" i="42"/>
  <c r="AG117" i="42"/>
  <c r="AG118" i="42"/>
  <c r="AG119" i="42"/>
  <c r="AG120" i="42"/>
  <c r="AG121" i="42"/>
  <c r="AG122" i="42"/>
  <c r="AG123" i="42"/>
  <c r="AG124" i="42"/>
  <c r="AG125" i="42"/>
  <c r="AG126" i="42"/>
  <c r="AG127" i="42"/>
  <c r="AG128" i="42"/>
  <c r="AG129" i="42"/>
  <c r="AG130" i="42"/>
  <c r="AG131" i="42"/>
  <c r="AG132" i="42"/>
  <c r="AG133" i="42"/>
  <c r="AG134" i="42"/>
  <c r="AG135" i="42"/>
  <c r="AG136" i="42"/>
  <c r="AG137" i="42"/>
  <c r="AG138" i="42"/>
  <c r="AG139" i="42"/>
  <c r="AG140" i="42"/>
  <c r="AG141" i="42"/>
  <c r="AG142" i="42"/>
  <c r="AG143" i="42"/>
  <c r="AG144" i="42"/>
  <c r="AG145" i="42"/>
  <c r="AG146" i="42"/>
  <c r="AG147" i="42"/>
  <c r="AG148" i="42"/>
  <c r="AG149" i="42"/>
  <c r="AG150" i="42"/>
  <c r="AG151" i="42"/>
  <c r="AG152" i="42"/>
  <c r="AG153" i="42"/>
  <c r="AG154" i="42"/>
  <c r="AG155" i="42"/>
  <c r="AG156" i="42"/>
  <c r="AG157" i="42"/>
  <c r="AG158" i="42"/>
  <c r="AG159" i="42"/>
  <c r="AG160" i="42"/>
  <c r="AG161" i="42"/>
  <c r="AG162" i="42"/>
  <c r="AG163" i="42"/>
  <c r="AG164" i="42"/>
  <c r="AG165" i="42"/>
  <c r="AG166" i="42"/>
  <c r="AG167" i="42"/>
  <c r="AG168" i="42"/>
  <c r="AG169" i="42"/>
  <c r="AG170" i="42"/>
  <c r="AG171" i="42"/>
  <c r="AG172" i="42"/>
  <c r="AG173" i="42"/>
  <c r="AG174" i="42"/>
  <c r="AG175" i="42"/>
  <c r="AG176" i="42"/>
  <c r="AG177" i="42"/>
  <c r="AG178" i="42"/>
  <c r="AG179" i="42"/>
  <c r="AG180" i="42"/>
  <c r="AG181" i="42"/>
  <c r="AG182" i="42"/>
  <c r="AG183" i="42"/>
  <c r="AG184" i="42"/>
  <c r="AG185" i="42"/>
  <c r="AG186" i="42"/>
  <c r="AG187" i="42"/>
  <c r="AG188" i="42"/>
  <c r="AG189" i="42"/>
  <c r="AG190" i="42"/>
  <c r="AG191" i="42"/>
  <c r="AG192" i="42"/>
  <c r="AG193" i="42"/>
  <c r="AG194" i="42"/>
  <c r="AG195" i="42"/>
  <c r="AG196" i="42"/>
  <c r="AG197" i="42"/>
  <c r="AG198" i="42"/>
  <c r="AG199" i="42"/>
  <c r="AG200" i="42"/>
  <c r="AG201" i="42"/>
  <c r="AG202" i="42"/>
  <c r="AG203" i="42"/>
  <c r="AG204" i="42"/>
  <c r="AG205" i="42"/>
  <c r="AG206" i="42"/>
  <c r="AG207" i="42"/>
  <c r="AG208" i="42"/>
  <c r="AG209" i="42"/>
  <c r="AG210" i="42"/>
  <c r="AG211" i="42"/>
  <c r="AG212" i="42"/>
  <c r="AG213" i="42"/>
  <c r="AG214" i="42"/>
  <c r="AG215" i="42"/>
  <c r="AG216" i="42"/>
  <c r="AG217" i="42"/>
  <c r="AG218" i="42"/>
  <c r="AG219" i="42"/>
  <c r="AG220" i="42"/>
  <c r="AG221" i="42"/>
  <c r="AG222" i="42"/>
  <c r="AG223" i="42"/>
  <c r="AG224" i="42"/>
  <c r="AG225" i="42"/>
  <c r="AG226" i="42"/>
  <c r="AG227" i="42"/>
  <c r="AG228" i="42"/>
  <c r="AG229" i="42"/>
  <c r="AG230" i="42"/>
  <c r="AG231" i="42"/>
  <c r="AG232" i="42"/>
  <c r="AG233" i="42"/>
  <c r="AG234" i="42"/>
  <c r="AG235" i="42"/>
  <c r="AG236" i="42"/>
  <c r="AG237" i="42"/>
  <c r="AG238" i="42"/>
  <c r="AG239" i="42"/>
  <c r="AG240" i="42"/>
  <c r="AG241" i="42"/>
  <c r="AG242" i="42"/>
  <c r="AG243" i="42"/>
  <c r="AG244" i="42"/>
  <c r="AG245" i="42"/>
  <c r="AG246" i="42"/>
  <c r="AG247" i="42"/>
  <c r="AG248" i="42"/>
  <c r="AG249" i="42"/>
  <c r="AG250" i="42"/>
  <c r="AG251" i="42"/>
  <c r="AG252" i="42"/>
  <c r="AG253" i="42"/>
  <c r="AG254" i="42"/>
  <c r="AG255" i="42"/>
  <c r="AG256" i="42"/>
  <c r="AG257" i="42"/>
  <c r="AG258" i="42"/>
  <c r="AG259" i="42"/>
  <c r="I11" i="52"/>
  <c r="I12" i="52"/>
  <c r="I13" i="52"/>
  <c r="I14" i="52"/>
  <c r="I15" i="52"/>
  <c r="I16" i="52"/>
  <c r="I17" i="52"/>
  <c r="I18" i="52"/>
  <c r="I19" i="52"/>
  <c r="I20" i="52"/>
  <c r="I21" i="52"/>
  <c r="I22" i="52"/>
  <c r="I23" i="52"/>
  <c r="I24" i="52"/>
  <c r="I25" i="52"/>
  <c r="I26" i="52"/>
  <c r="I27" i="52"/>
  <c r="I28" i="52"/>
  <c r="I29" i="52"/>
  <c r="I30" i="52"/>
  <c r="I31" i="52"/>
  <c r="I32" i="52"/>
  <c r="I33" i="52"/>
  <c r="I34" i="52"/>
  <c r="I35" i="52"/>
  <c r="I36" i="52"/>
  <c r="I37" i="52"/>
  <c r="I38" i="52"/>
  <c r="I39" i="52"/>
  <c r="I40" i="52"/>
  <c r="I41" i="52"/>
  <c r="I42" i="52"/>
  <c r="I43" i="52"/>
  <c r="I44" i="52"/>
  <c r="I45" i="52"/>
  <c r="I46" i="52"/>
  <c r="I47" i="52"/>
  <c r="I48" i="52"/>
  <c r="I49" i="52"/>
  <c r="I50" i="52"/>
  <c r="I51" i="52"/>
  <c r="I52" i="52"/>
  <c r="I53" i="52"/>
  <c r="I54" i="52"/>
  <c r="I55" i="52"/>
  <c r="I56" i="52"/>
  <c r="I57" i="52"/>
  <c r="I58" i="52"/>
  <c r="I59" i="52"/>
  <c r="I60" i="52"/>
  <c r="I61" i="52"/>
  <c r="I62" i="52"/>
  <c r="I63" i="52"/>
  <c r="I64" i="52"/>
  <c r="I65" i="52"/>
  <c r="I66" i="52"/>
  <c r="I67" i="52"/>
  <c r="I68" i="52"/>
  <c r="I69" i="52"/>
  <c r="I70" i="52"/>
  <c r="I71" i="52"/>
  <c r="I72" i="52"/>
  <c r="I73" i="52"/>
  <c r="I74" i="52"/>
  <c r="I75" i="52"/>
  <c r="I76" i="52"/>
  <c r="I77" i="52"/>
  <c r="I78" i="52"/>
  <c r="I79" i="52"/>
  <c r="I80" i="52"/>
  <c r="I81" i="52"/>
  <c r="I82" i="52"/>
  <c r="I83" i="52"/>
  <c r="I84" i="52"/>
  <c r="I85" i="52"/>
  <c r="I86" i="52"/>
  <c r="I87" i="52"/>
  <c r="I88" i="52"/>
  <c r="I89" i="52"/>
  <c r="I90" i="52"/>
  <c r="I91" i="52"/>
  <c r="I92" i="52"/>
  <c r="I93" i="52"/>
  <c r="I94" i="52"/>
  <c r="I95" i="52"/>
  <c r="I96" i="52"/>
  <c r="I97" i="52"/>
  <c r="I98" i="52"/>
  <c r="I99" i="52"/>
  <c r="I100" i="52"/>
  <c r="I101" i="52"/>
  <c r="I102" i="52"/>
  <c r="I103" i="52"/>
  <c r="I104" i="52"/>
  <c r="I105" i="52"/>
  <c r="I106" i="52"/>
  <c r="I107" i="52"/>
  <c r="I108" i="52"/>
  <c r="I109" i="52"/>
  <c r="I110" i="52"/>
  <c r="I111" i="52"/>
  <c r="I112" i="52"/>
  <c r="I113" i="52"/>
  <c r="I114" i="52"/>
  <c r="I115" i="52"/>
  <c r="I116" i="52"/>
  <c r="I117" i="52"/>
  <c r="I118" i="52"/>
  <c r="I119" i="52"/>
  <c r="I120" i="52"/>
  <c r="I121" i="52"/>
  <c r="I122" i="52"/>
  <c r="I123" i="52"/>
  <c r="I124" i="52"/>
  <c r="I125" i="52"/>
  <c r="I126" i="52"/>
  <c r="I127" i="52"/>
  <c r="I128" i="52"/>
  <c r="I129" i="52"/>
  <c r="I130" i="52"/>
  <c r="I131" i="52"/>
  <c r="I132" i="52"/>
  <c r="I133" i="52"/>
  <c r="I134" i="52"/>
  <c r="I135" i="52"/>
  <c r="I136" i="52"/>
  <c r="I137" i="52"/>
  <c r="I138" i="52"/>
  <c r="I139" i="52"/>
  <c r="I140" i="52"/>
  <c r="I141" i="52"/>
  <c r="I142" i="52"/>
  <c r="I143" i="52"/>
  <c r="I144" i="52"/>
  <c r="I145" i="52"/>
  <c r="I146" i="52"/>
  <c r="I147" i="52"/>
  <c r="I148" i="52"/>
  <c r="I149" i="52"/>
  <c r="I150" i="52"/>
  <c r="I151" i="52"/>
  <c r="I152" i="52"/>
  <c r="I153" i="52"/>
  <c r="I154" i="52"/>
  <c r="I155" i="52"/>
  <c r="I156" i="52"/>
  <c r="I157" i="52"/>
  <c r="I158" i="52"/>
  <c r="I159" i="52"/>
  <c r="I160" i="52"/>
  <c r="I161" i="52"/>
  <c r="I162" i="52"/>
  <c r="I163" i="52"/>
  <c r="I164" i="52"/>
  <c r="I165" i="52"/>
  <c r="I166" i="52"/>
  <c r="I167" i="52"/>
  <c r="I168" i="52"/>
  <c r="I169" i="52"/>
  <c r="I170" i="52"/>
  <c r="I171" i="52"/>
  <c r="I172" i="52"/>
  <c r="I173" i="52"/>
  <c r="I174" i="52"/>
  <c r="I175" i="52"/>
  <c r="I176" i="52"/>
  <c r="I177" i="52"/>
  <c r="I178" i="52"/>
  <c r="I179" i="52"/>
  <c r="I180" i="52"/>
  <c r="I181" i="52"/>
  <c r="I182" i="52"/>
  <c r="I183" i="52"/>
  <c r="I184" i="52"/>
  <c r="I185" i="52"/>
  <c r="I186" i="52"/>
  <c r="I187" i="52"/>
  <c r="I188" i="52"/>
  <c r="I189" i="52"/>
  <c r="I190" i="52"/>
  <c r="I191" i="52"/>
  <c r="I192" i="52"/>
  <c r="I193" i="52"/>
  <c r="I194" i="52"/>
  <c r="I195" i="52"/>
  <c r="I196" i="52"/>
  <c r="I197" i="52"/>
  <c r="I198" i="52"/>
  <c r="I199" i="52"/>
  <c r="I200" i="52"/>
  <c r="I201" i="52"/>
  <c r="I202" i="52"/>
  <c r="I203" i="52"/>
  <c r="I204" i="52"/>
  <c r="I205" i="52"/>
  <c r="I206" i="52"/>
  <c r="I207" i="52"/>
  <c r="I208" i="52"/>
  <c r="I209" i="52"/>
  <c r="I210" i="52"/>
  <c r="I211" i="52"/>
  <c r="I212" i="52"/>
  <c r="I213" i="52"/>
  <c r="I214" i="52"/>
  <c r="I215" i="52"/>
  <c r="I216" i="52"/>
  <c r="I217" i="52"/>
  <c r="I218" i="52"/>
  <c r="I219" i="52"/>
  <c r="I220" i="52"/>
  <c r="I221" i="52"/>
  <c r="I222" i="52"/>
  <c r="I223" i="52"/>
  <c r="I224" i="52"/>
  <c r="I225" i="52"/>
  <c r="I226" i="52"/>
  <c r="I227" i="52"/>
  <c r="I228" i="52"/>
  <c r="I229" i="52"/>
  <c r="I230" i="52"/>
  <c r="I231" i="52"/>
  <c r="I232" i="52"/>
  <c r="I233" i="52"/>
  <c r="I234" i="52"/>
  <c r="I235" i="52"/>
  <c r="I236" i="52"/>
  <c r="I237" i="52"/>
  <c r="I238" i="52"/>
  <c r="I239" i="52"/>
  <c r="I240" i="52"/>
  <c r="I241" i="52"/>
  <c r="I242" i="52"/>
  <c r="I243" i="52"/>
  <c r="I244" i="52"/>
  <c r="I245" i="52"/>
  <c r="I246" i="52"/>
  <c r="I247" i="52"/>
  <c r="I248" i="52"/>
  <c r="I249" i="52"/>
  <c r="I250" i="52"/>
  <c r="I251" i="52"/>
  <c r="I252" i="52"/>
  <c r="I253" i="52"/>
  <c r="I254" i="52"/>
  <c r="I255" i="52"/>
  <c r="I256" i="52"/>
  <c r="I257" i="52"/>
  <c r="I10" i="52"/>
  <c r="AL11" i="52"/>
  <c r="AL12" i="52"/>
  <c r="AL13" i="52"/>
  <c r="AL14" i="52"/>
  <c r="AL15" i="52"/>
  <c r="AL16" i="52"/>
  <c r="AL17" i="52"/>
  <c r="AL18" i="52"/>
  <c r="AL19" i="52"/>
  <c r="AL20" i="52"/>
  <c r="AL21" i="52"/>
  <c r="AL22" i="52"/>
  <c r="AL23" i="52"/>
  <c r="AL24" i="52"/>
  <c r="AL25" i="52"/>
  <c r="AL26" i="52"/>
  <c r="AL27" i="52"/>
  <c r="AL28" i="52"/>
  <c r="AL29" i="52"/>
  <c r="AL30" i="52"/>
  <c r="AL31" i="52"/>
  <c r="AL32" i="52"/>
  <c r="AL33" i="52"/>
  <c r="AL34" i="52"/>
  <c r="AL35" i="52"/>
  <c r="AL36" i="52"/>
  <c r="AL37" i="52"/>
  <c r="AL38" i="52"/>
  <c r="AL39" i="52"/>
  <c r="AL40" i="52"/>
  <c r="AL41" i="52"/>
  <c r="AL42" i="52"/>
  <c r="AL43" i="52"/>
  <c r="AL44" i="52"/>
  <c r="AL45" i="52"/>
  <c r="AL46" i="52"/>
  <c r="AL47" i="52"/>
  <c r="AL48" i="52"/>
  <c r="AL49" i="52"/>
  <c r="AL50" i="52"/>
  <c r="AL51" i="52"/>
  <c r="AL52" i="52"/>
  <c r="AL53" i="52"/>
  <c r="AL54" i="52"/>
  <c r="AL55" i="52"/>
  <c r="AL56" i="52"/>
  <c r="AL57" i="52"/>
  <c r="AL58" i="52"/>
  <c r="AL59" i="52"/>
  <c r="AL60" i="52"/>
  <c r="AL61" i="52"/>
  <c r="AL62" i="52"/>
  <c r="AL63" i="52"/>
  <c r="AL64" i="52"/>
  <c r="AL65" i="52"/>
  <c r="AL66" i="52"/>
  <c r="AL67" i="52"/>
  <c r="AL68" i="52"/>
  <c r="AL69" i="52"/>
  <c r="AL70" i="52"/>
  <c r="AL71" i="52"/>
  <c r="AL72" i="52"/>
  <c r="AL73" i="52"/>
  <c r="AL74" i="52"/>
  <c r="AL75" i="52"/>
  <c r="AL76" i="52"/>
  <c r="AL77" i="52"/>
  <c r="AL78" i="52"/>
  <c r="AL79" i="52"/>
  <c r="AL80" i="52"/>
  <c r="AL81" i="52"/>
  <c r="AL82" i="52"/>
  <c r="AL83" i="52"/>
  <c r="AL84" i="52"/>
  <c r="AL85" i="52"/>
  <c r="AL86" i="52"/>
  <c r="AL87" i="52"/>
  <c r="AL88" i="52"/>
  <c r="AL89" i="52"/>
  <c r="AL90" i="52"/>
  <c r="AL91" i="52"/>
  <c r="AL92" i="52"/>
  <c r="AL93" i="52"/>
  <c r="AL94" i="52"/>
  <c r="AL95" i="52"/>
  <c r="AL96" i="52"/>
  <c r="AL97" i="52"/>
  <c r="AL98" i="52"/>
  <c r="AL99" i="52"/>
  <c r="AL100" i="52"/>
  <c r="AL101" i="52"/>
  <c r="AL102" i="52"/>
  <c r="AL103" i="52"/>
  <c r="AL104" i="52"/>
  <c r="AL105" i="52"/>
  <c r="AL106" i="52"/>
  <c r="AL107" i="52"/>
  <c r="AL108" i="52"/>
  <c r="AL109" i="52"/>
  <c r="AL110" i="52"/>
  <c r="AL111" i="52"/>
  <c r="AL112" i="52"/>
  <c r="AL113" i="52"/>
  <c r="AL114" i="52"/>
  <c r="AL115" i="52"/>
  <c r="AL116" i="52"/>
  <c r="AL117" i="52"/>
  <c r="AL118" i="52"/>
  <c r="AL119" i="52"/>
  <c r="AL120" i="52"/>
  <c r="AL121" i="52"/>
  <c r="AL122" i="52"/>
  <c r="AL123" i="52"/>
  <c r="AL124" i="52"/>
  <c r="AL125" i="52"/>
  <c r="AL126" i="52"/>
  <c r="AL127" i="52"/>
  <c r="AL128" i="52"/>
  <c r="AL129" i="52"/>
  <c r="AL130" i="52"/>
  <c r="AL131" i="52"/>
  <c r="AL132" i="52"/>
  <c r="AL133" i="52"/>
  <c r="AL134" i="52"/>
  <c r="AL135" i="52"/>
  <c r="AL136" i="52"/>
  <c r="AL137" i="52"/>
  <c r="AL138" i="52"/>
  <c r="AL139" i="52"/>
  <c r="AL140" i="52"/>
  <c r="AL141" i="52"/>
  <c r="AL142" i="52"/>
  <c r="AL143" i="52"/>
  <c r="AL144" i="52"/>
  <c r="AL145" i="52"/>
  <c r="AL146" i="52"/>
  <c r="AL147" i="52"/>
  <c r="AL148" i="52"/>
  <c r="AL149" i="52"/>
  <c r="AL150" i="52"/>
  <c r="AL151" i="52"/>
  <c r="AL152" i="52"/>
  <c r="AL153" i="52"/>
  <c r="AL154" i="52"/>
  <c r="AL155" i="52"/>
  <c r="AL156" i="52"/>
  <c r="AL157" i="52"/>
  <c r="AL158" i="52"/>
  <c r="AL159" i="52"/>
  <c r="AL160" i="52"/>
  <c r="AL161" i="52"/>
  <c r="AL162" i="52"/>
  <c r="AL163" i="52"/>
  <c r="AL164" i="52"/>
  <c r="AL165" i="52"/>
  <c r="AL166" i="52"/>
  <c r="AL167" i="52"/>
  <c r="AL168" i="52"/>
  <c r="AL169" i="52"/>
  <c r="AL170" i="52"/>
  <c r="AL171" i="52"/>
  <c r="AL172" i="52"/>
  <c r="AL173" i="52"/>
  <c r="AL174" i="52"/>
  <c r="AL175" i="52"/>
  <c r="AL176" i="52"/>
  <c r="AL177" i="52"/>
  <c r="AL178" i="52"/>
  <c r="AL179" i="52"/>
  <c r="AL180" i="52"/>
  <c r="AL181" i="52"/>
  <c r="AL182" i="52"/>
  <c r="AL183" i="52"/>
  <c r="AL184" i="52"/>
  <c r="AL185" i="52"/>
  <c r="AL186" i="52"/>
  <c r="AL187" i="52"/>
  <c r="AL188" i="52"/>
  <c r="AL189" i="52"/>
  <c r="AL190" i="52"/>
  <c r="AL191" i="52"/>
  <c r="AL192" i="52"/>
  <c r="AL193" i="52"/>
  <c r="AL194" i="52"/>
  <c r="AL195" i="52"/>
  <c r="AL196" i="52"/>
  <c r="AL197" i="52"/>
  <c r="AL198" i="52"/>
  <c r="AL199" i="52"/>
  <c r="AL200" i="52"/>
  <c r="AL201" i="52"/>
  <c r="AL202" i="52"/>
  <c r="AL203" i="52"/>
  <c r="AL204" i="52"/>
  <c r="AL205" i="52"/>
  <c r="AL206" i="52"/>
  <c r="AL207" i="52"/>
  <c r="AL208" i="52"/>
  <c r="AL209" i="52"/>
  <c r="AL210" i="52"/>
  <c r="AL211" i="52"/>
  <c r="AL212" i="52"/>
  <c r="AL213" i="52"/>
  <c r="AL214" i="52"/>
  <c r="AL215" i="52"/>
  <c r="AL216" i="52"/>
  <c r="AL217" i="52"/>
  <c r="AL218" i="52"/>
  <c r="AL219" i="52"/>
  <c r="AL220" i="52"/>
  <c r="AL221" i="52"/>
  <c r="AL222" i="52"/>
  <c r="AL223" i="52"/>
  <c r="AL224" i="52"/>
  <c r="AL225" i="52"/>
  <c r="AL226" i="52"/>
  <c r="AL227" i="52"/>
  <c r="AL228" i="52"/>
  <c r="AL229" i="52"/>
  <c r="AL230" i="52"/>
  <c r="AL231" i="52"/>
  <c r="AL232" i="52"/>
  <c r="AL233" i="52"/>
  <c r="AL234" i="52"/>
  <c r="AL235" i="52"/>
  <c r="AL236" i="52"/>
  <c r="AL237" i="52"/>
  <c r="AL238" i="52"/>
  <c r="AL239" i="52"/>
  <c r="AL240" i="52"/>
  <c r="AL241" i="52"/>
  <c r="AL242" i="52"/>
  <c r="AL243" i="52"/>
  <c r="AL244" i="52"/>
  <c r="AL245" i="52"/>
  <c r="AL246" i="52"/>
  <c r="AL247" i="52"/>
  <c r="AL248" i="52"/>
  <c r="AL249" i="52"/>
  <c r="AL250" i="52"/>
  <c r="AL251" i="52"/>
  <c r="AL252" i="52"/>
  <c r="AL253" i="52"/>
  <c r="AL254" i="52"/>
  <c r="AL255" i="52"/>
  <c r="AL256" i="52"/>
  <c r="AL257" i="52"/>
  <c r="AH40" i="65" l="1"/>
  <c r="I5" i="99"/>
  <c r="I6" i="99"/>
  <c r="I7" i="99"/>
  <c r="I8" i="99"/>
  <c r="I9" i="99"/>
  <c r="I10" i="99"/>
  <c r="I11" i="99"/>
  <c r="I12" i="99"/>
  <c r="I13" i="99"/>
  <c r="I14" i="99"/>
  <c r="I15" i="99"/>
  <c r="I16" i="99"/>
  <c r="I17" i="99"/>
  <c r="I18" i="99"/>
  <c r="I19" i="99"/>
  <c r="I20" i="99"/>
  <c r="I21" i="99"/>
  <c r="I22" i="99"/>
  <c r="I23" i="99"/>
  <c r="I24" i="99"/>
  <c r="I25" i="99"/>
  <c r="I26" i="99"/>
  <c r="I27" i="99"/>
  <c r="I28" i="99"/>
  <c r="I29" i="99"/>
  <c r="I30" i="99"/>
  <c r="I31" i="99"/>
  <c r="I32" i="99"/>
  <c r="I33" i="99"/>
  <c r="I34" i="99"/>
  <c r="I35" i="99"/>
  <c r="I36" i="99"/>
  <c r="I37" i="99"/>
  <c r="I38" i="99"/>
  <c r="I39" i="99"/>
  <c r="I40" i="99"/>
  <c r="I41" i="99"/>
  <c r="I42" i="99"/>
  <c r="I43" i="99"/>
  <c r="I44" i="99"/>
  <c r="I45" i="99"/>
  <c r="I46" i="99"/>
  <c r="I47" i="99"/>
  <c r="I48" i="99"/>
  <c r="I49" i="99"/>
  <c r="I50" i="99"/>
  <c r="I51" i="99"/>
  <c r="I52" i="99"/>
  <c r="I53" i="99"/>
  <c r="I54" i="99"/>
  <c r="I55" i="99"/>
  <c r="I56" i="99"/>
  <c r="I57" i="99"/>
  <c r="I58" i="99"/>
  <c r="I59" i="99"/>
  <c r="I60" i="99"/>
  <c r="I61" i="99"/>
  <c r="I62" i="99"/>
  <c r="I63" i="99"/>
  <c r="I64" i="99"/>
  <c r="I65" i="99"/>
  <c r="I66" i="99"/>
  <c r="I67" i="99"/>
  <c r="I68" i="99"/>
  <c r="I69" i="99"/>
  <c r="I70" i="99"/>
  <c r="I71" i="99"/>
  <c r="I72" i="99"/>
  <c r="I73" i="99"/>
  <c r="I75" i="99"/>
  <c r="I76" i="99"/>
  <c r="I77" i="99"/>
  <c r="I78" i="99"/>
  <c r="I79" i="99"/>
  <c r="I80" i="99"/>
  <c r="I81" i="99"/>
  <c r="I82" i="99"/>
  <c r="I83" i="99"/>
  <c r="I84" i="99"/>
  <c r="I85" i="99"/>
  <c r="I86" i="99"/>
  <c r="I87" i="99"/>
  <c r="I89" i="99"/>
  <c r="I90" i="99"/>
  <c r="I91" i="99"/>
  <c r="I92" i="99"/>
  <c r="I93" i="99"/>
  <c r="I94" i="99"/>
  <c r="I95" i="99"/>
  <c r="I96" i="99"/>
  <c r="I97" i="99"/>
  <c r="I98" i="99"/>
  <c r="I99" i="99"/>
  <c r="I100" i="99"/>
  <c r="I101" i="99"/>
  <c r="I102" i="99"/>
  <c r="I103" i="99"/>
  <c r="I104" i="99"/>
  <c r="I105" i="99"/>
  <c r="I106" i="99"/>
  <c r="I107" i="99"/>
  <c r="I108" i="99"/>
  <c r="I109" i="99"/>
  <c r="I110" i="99"/>
  <c r="I111" i="99"/>
  <c r="I112" i="99"/>
  <c r="I113" i="99"/>
  <c r="I114" i="99"/>
  <c r="I115" i="99"/>
  <c r="I116" i="99"/>
  <c r="I117" i="99"/>
  <c r="I118" i="99"/>
  <c r="I119" i="99"/>
  <c r="I120" i="99"/>
  <c r="I121" i="99"/>
  <c r="I122" i="99"/>
  <c r="I123" i="99"/>
  <c r="I124" i="99"/>
  <c r="I125" i="99"/>
  <c r="I126" i="99"/>
  <c r="I127" i="99"/>
  <c r="I128" i="99"/>
  <c r="I129" i="99"/>
  <c r="I130" i="99"/>
  <c r="I131" i="99"/>
  <c r="I4" i="99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R94" i="68"/>
  <c r="R95" i="68"/>
  <c r="R96" i="68"/>
  <c r="R97" i="68"/>
  <c r="R98" i="68"/>
  <c r="R99" i="68"/>
  <c r="R100" i="68"/>
  <c r="R101" i="68"/>
  <c r="R102" i="68"/>
  <c r="R103" i="68"/>
  <c r="R104" i="68"/>
  <c r="R105" i="68"/>
  <c r="R106" i="68"/>
  <c r="R107" i="68"/>
  <c r="R108" i="68"/>
  <c r="R109" i="68"/>
  <c r="R110" i="68"/>
  <c r="R111" i="68"/>
  <c r="R112" i="68"/>
  <c r="R113" i="68"/>
  <c r="R114" i="68"/>
  <c r="R115" i="68"/>
  <c r="R116" i="68"/>
  <c r="R117" i="68"/>
  <c r="R118" i="68"/>
  <c r="R119" i="68"/>
  <c r="R120" i="68"/>
  <c r="R121" i="68"/>
  <c r="R122" i="68"/>
  <c r="R123" i="68"/>
  <c r="R124" i="68"/>
  <c r="R125" i="68"/>
  <c r="R126" i="68"/>
  <c r="R127" i="68"/>
  <c r="R128" i="68"/>
  <c r="R129" i="68"/>
  <c r="R130" i="68"/>
  <c r="R131" i="68"/>
  <c r="R132" i="68"/>
  <c r="R133" i="68"/>
  <c r="R134" i="68"/>
  <c r="R135" i="68"/>
  <c r="R136" i="68"/>
  <c r="R137" i="68"/>
  <c r="R138" i="68"/>
  <c r="R139" i="68"/>
  <c r="R140" i="68"/>
  <c r="R141" i="68"/>
  <c r="R142" i="68"/>
  <c r="R143" i="68"/>
  <c r="R144" i="68"/>
  <c r="R145" i="68"/>
  <c r="R146" i="68"/>
  <c r="R147" i="68"/>
  <c r="R148" i="68"/>
  <c r="R149" i="68"/>
  <c r="R150" i="68"/>
  <c r="R151" i="68"/>
  <c r="R152" i="68"/>
  <c r="R153" i="68"/>
  <c r="R154" i="68"/>
  <c r="R155" i="68"/>
  <c r="R156" i="68"/>
  <c r="R157" i="68"/>
  <c r="R158" i="68"/>
  <c r="R159" i="68"/>
  <c r="R160" i="68"/>
  <c r="R161" i="68"/>
  <c r="R162" i="68"/>
  <c r="R163" i="68"/>
  <c r="R164" i="68"/>
  <c r="R165" i="68"/>
  <c r="R166" i="68"/>
  <c r="R167" i="68"/>
  <c r="R168" i="68"/>
  <c r="R169" i="68"/>
  <c r="R170" i="68"/>
  <c r="R171" i="68"/>
  <c r="R172" i="68"/>
  <c r="R173" i="68"/>
  <c r="R174" i="68"/>
  <c r="R175" i="68"/>
  <c r="R176" i="68"/>
  <c r="R177" i="68"/>
  <c r="R178" i="68"/>
  <c r="R179" i="68"/>
  <c r="R180" i="68"/>
  <c r="R181" i="68"/>
  <c r="R182" i="68"/>
  <c r="R183" i="68"/>
  <c r="R184" i="68"/>
  <c r="R185" i="68"/>
  <c r="R186" i="68"/>
  <c r="R187" i="68"/>
  <c r="R188" i="68"/>
  <c r="R189" i="68"/>
  <c r="R190" i="68"/>
  <c r="R191" i="68"/>
  <c r="R192" i="68"/>
  <c r="R193" i="68"/>
  <c r="R194" i="68"/>
  <c r="R195" i="68"/>
  <c r="R196" i="68"/>
  <c r="R197" i="68"/>
  <c r="R198" i="68"/>
  <c r="R199" i="68"/>
  <c r="R200" i="68"/>
  <c r="R201" i="68"/>
  <c r="R202" i="68"/>
  <c r="R203" i="68"/>
  <c r="R204" i="68"/>
  <c r="R205" i="68"/>
  <c r="R206" i="68"/>
  <c r="R207" i="68"/>
  <c r="R208" i="68"/>
  <c r="R209" i="68"/>
  <c r="R210" i="68"/>
  <c r="R211" i="68"/>
  <c r="R212" i="68"/>
  <c r="R213" i="68"/>
  <c r="R214" i="68"/>
  <c r="R215" i="68"/>
  <c r="R216" i="68"/>
  <c r="R217" i="68"/>
  <c r="R218" i="68"/>
  <c r="R219" i="68"/>
  <c r="R220" i="68"/>
  <c r="R221" i="68"/>
  <c r="R222" i="68"/>
  <c r="R223" i="68"/>
  <c r="R224" i="68"/>
  <c r="R225" i="68"/>
  <c r="R226" i="68"/>
  <c r="R227" i="68"/>
  <c r="R228" i="68"/>
  <c r="R229" i="68"/>
  <c r="R230" i="68"/>
  <c r="R231" i="68"/>
  <c r="R232" i="68"/>
  <c r="R233" i="68"/>
  <c r="R234" i="68"/>
  <c r="R235" i="68"/>
  <c r="R236" i="68"/>
  <c r="R237" i="68"/>
  <c r="R238" i="68"/>
  <c r="R239" i="68"/>
  <c r="R240" i="68"/>
  <c r="R241" i="68"/>
  <c r="R242" i="68"/>
  <c r="R243" i="68"/>
  <c r="R244" i="68"/>
  <c r="R245" i="68"/>
  <c r="R246" i="68"/>
  <c r="R247" i="68"/>
  <c r="R248" i="68"/>
  <c r="R249" i="68"/>
  <c r="R250" i="68"/>
  <c r="R251" i="68"/>
  <c r="R252" i="68"/>
  <c r="R253" i="68"/>
  <c r="R254" i="68"/>
  <c r="R255" i="68"/>
  <c r="R256" i="68"/>
  <c r="R257" i="68"/>
  <c r="R258" i="68"/>
  <c r="R259" i="68"/>
  <c r="R12" i="68"/>
  <c r="R13" i="64"/>
  <c r="R14" i="64"/>
  <c r="U14" i="64" s="1"/>
  <c r="R15" i="64"/>
  <c r="R16" i="64"/>
  <c r="U16" i="64" s="1"/>
  <c r="R17" i="64"/>
  <c r="U17" i="64"/>
  <c r="R18" i="64"/>
  <c r="U18" i="64"/>
  <c r="R19" i="64"/>
  <c r="U19" i="64"/>
  <c r="R20" i="64"/>
  <c r="U20" i="64"/>
  <c r="R21" i="64"/>
  <c r="U21" i="64"/>
  <c r="R22" i="64"/>
  <c r="U22" i="64"/>
  <c r="R23" i="64"/>
  <c r="U23" i="64"/>
  <c r="R24" i="64"/>
  <c r="U24" i="64"/>
  <c r="R25" i="64"/>
  <c r="U25" i="64"/>
  <c r="R26" i="64"/>
  <c r="U26" i="64"/>
  <c r="R27" i="64"/>
  <c r="U27" i="64"/>
  <c r="R28" i="64"/>
  <c r="U28" i="64"/>
  <c r="R29" i="64"/>
  <c r="U29" i="64"/>
  <c r="R30" i="64"/>
  <c r="U30" i="64"/>
  <c r="R31" i="64"/>
  <c r="U31" i="64"/>
  <c r="R32" i="64"/>
  <c r="U32" i="64"/>
  <c r="R33" i="64"/>
  <c r="U33" i="64"/>
  <c r="R34" i="64"/>
  <c r="U34" i="64"/>
  <c r="R35" i="64"/>
  <c r="U35" i="64"/>
  <c r="R36" i="64"/>
  <c r="U36" i="64"/>
  <c r="R37" i="64"/>
  <c r="U37" i="64"/>
  <c r="R38" i="64"/>
  <c r="U38" i="64"/>
  <c r="R39" i="64"/>
  <c r="U39" i="64"/>
  <c r="R40" i="64"/>
  <c r="U40" i="64"/>
  <c r="R41" i="64"/>
  <c r="U41" i="64"/>
  <c r="R42" i="64"/>
  <c r="U42" i="64"/>
  <c r="R43" i="64"/>
  <c r="U43" i="64"/>
  <c r="R44" i="64"/>
  <c r="U44" i="64"/>
  <c r="R45" i="64"/>
  <c r="U45" i="64"/>
  <c r="R46" i="64"/>
  <c r="U46" i="64"/>
  <c r="R47" i="64"/>
  <c r="U47" i="64"/>
  <c r="R48" i="64"/>
  <c r="U48" i="64"/>
  <c r="R49" i="64"/>
  <c r="U49" i="64"/>
  <c r="R50" i="64"/>
  <c r="U50" i="64"/>
  <c r="R51" i="64"/>
  <c r="U51" i="64"/>
  <c r="R52" i="64"/>
  <c r="U52" i="64"/>
  <c r="R53" i="64"/>
  <c r="U53" i="64"/>
  <c r="R54" i="64"/>
  <c r="U54" i="64"/>
  <c r="R55" i="64"/>
  <c r="U55" i="64"/>
  <c r="R56" i="64"/>
  <c r="U56" i="64"/>
  <c r="R57" i="64"/>
  <c r="U57" i="64"/>
  <c r="R58" i="64"/>
  <c r="U58" i="64"/>
  <c r="R59" i="64"/>
  <c r="U59" i="64"/>
  <c r="R60" i="64"/>
  <c r="U60" i="64"/>
  <c r="R61" i="64"/>
  <c r="U61" i="64"/>
  <c r="R62" i="64"/>
  <c r="U62" i="64"/>
  <c r="R63" i="64"/>
  <c r="U63" i="64"/>
  <c r="R64" i="64"/>
  <c r="U64" i="64"/>
  <c r="R65" i="64"/>
  <c r="U65" i="64"/>
  <c r="R66" i="64"/>
  <c r="U66" i="64"/>
  <c r="R67" i="64"/>
  <c r="U67" i="64"/>
  <c r="R68" i="64"/>
  <c r="U68" i="64"/>
  <c r="R69" i="64"/>
  <c r="U69" i="64"/>
  <c r="R70" i="64"/>
  <c r="U70" i="64"/>
  <c r="R71" i="64"/>
  <c r="U71" i="64"/>
  <c r="R72" i="64"/>
  <c r="U72" i="64"/>
  <c r="R73" i="64"/>
  <c r="U73" i="64"/>
  <c r="R74" i="64"/>
  <c r="U74" i="64"/>
  <c r="R75" i="64"/>
  <c r="U75" i="64"/>
  <c r="R76" i="64"/>
  <c r="U76" i="64"/>
  <c r="R77" i="64"/>
  <c r="U77" i="64"/>
  <c r="R78" i="64"/>
  <c r="U78" i="64"/>
  <c r="R79" i="64"/>
  <c r="U79" i="64"/>
  <c r="R80" i="64"/>
  <c r="U80" i="64"/>
  <c r="R81" i="64"/>
  <c r="U81" i="64"/>
  <c r="R82" i="64"/>
  <c r="U82" i="64"/>
  <c r="R83" i="64"/>
  <c r="U83" i="64"/>
  <c r="R84" i="64"/>
  <c r="U84" i="64"/>
  <c r="R85" i="64"/>
  <c r="U85" i="64"/>
  <c r="R86" i="64"/>
  <c r="U86" i="64"/>
  <c r="R87" i="64"/>
  <c r="U87" i="64"/>
  <c r="R88" i="64"/>
  <c r="U88" i="64"/>
  <c r="R89" i="64"/>
  <c r="U89" i="64"/>
  <c r="R90" i="64"/>
  <c r="U90" i="64"/>
  <c r="R91" i="64"/>
  <c r="U91" i="64"/>
  <c r="R92" i="64"/>
  <c r="U92" i="64"/>
  <c r="R93" i="64"/>
  <c r="U93" i="64"/>
  <c r="R94" i="64"/>
  <c r="U94" i="64"/>
  <c r="R95" i="64"/>
  <c r="U95" i="64"/>
  <c r="R96" i="64"/>
  <c r="U96" i="64"/>
  <c r="R97" i="64"/>
  <c r="U97" i="64"/>
  <c r="R98" i="64"/>
  <c r="U98" i="64"/>
  <c r="R99" i="64"/>
  <c r="U99" i="64"/>
  <c r="R100" i="64"/>
  <c r="U100" i="64"/>
  <c r="R101" i="64"/>
  <c r="U101" i="64"/>
  <c r="R102" i="64"/>
  <c r="U102" i="64"/>
  <c r="R103" i="64"/>
  <c r="U103" i="64"/>
  <c r="R104" i="64"/>
  <c r="U104" i="64"/>
  <c r="R105" i="64"/>
  <c r="U105" i="64"/>
  <c r="R106" i="64"/>
  <c r="U106" i="64"/>
  <c r="R107" i="64"/>
  <c r="U107" i="64"/>
  <c r="R108" i="64"/>
  <c r="U108" i="64"/>
  <c r="R109" i="64"/>
  <c r="U109" i="64"/>
  <c r="R110" i="64"/>
  <c r="U110" i="64"/>
  <c r="R111" i="64"/>
  <c r="U111" i="64"/>
  <c r="R112" i="64"/>
  <c r="U112" i="64"/>
  <c r="R113" i="64"/>
  <c r="U113" i="64"/>
  <c r="R114" i="64"/>
  <c r="U114" i="64"/>
  <c r="R115" i="64"/>
  <c r="U115" i="64"/>
  <c r="R116" i="64"/>
  <c r="U116" i="64"/>
  <c r="R117" i="64"/>
  <c r="U117" i="64"/>
  <c r="R118" i="64"/>
  <c r="U118" i="64"/>
  <c r="R119" i="64"/>
  <c r="U119" i="64"/>
  <c r="R120" i="64"/>
  <c r="U120" i="64"/>
  <c r="R121" i="64"/>
  <c r="U121" i="64"/>
  <c r="R122" i="64"/>
  <c r="U122" i="64"/>
  <c r="R123" i="64"/>
  <c r="U123" i="64"/>
  <c r="R124" i="64"/>
  <c r="U124" i="64"/>
  <c r="R125" i="64"/>
  <c r="U125" i="64"/>
  <c r="R126" i="64"/>
  <c r="U126" i="64"/>
  <c r="R127" i="64"/>
  <c r="U127" i="64"/>
  <c r="R128" i="64"/>
  <c r="U128" i="64"/>
  <c r="R129" i="64"/>
  <c r="U129" i="64"/>
  <c r="R130" i="64"/>
  <c r="U130" i="64"/>
  <c r="R131" i="64"/>
  <c r="U131" i="64"/>
  <c r="R132" i="64"/>
  <c r="U132" i="64"/>
  <c r="R133" i="64"/>
  <c r="U133" i="64"/>
  <c r="R134" i="64"/>
  <c r="U134" i="64"/>
  <c r="R135" i="64"/>
  <c r="U135" i="64"/>
  <c r="R136" i="64"/>
  <c r="U136" i="64"/>
  <c r="R137" i="64"/>
  <c r="U137" i="64"/>
  <c r="R138" i="64"/>
  <c r="U138" i="64"/>
  <c r="R139" i="64"/>
  <c r="U139" i="64"/>
  <c r="R140" i="64"/>
  <c r="U140" i="64"/>
  <c r="R141" i="64"/>
  <c r="U141" i="64"/>
  <c r="R142" i="64"/>
  <c r="U142" i="64"/>
  <c r="R143" i="64"/>
  <c r="U143" i="64"/>
  <c r="R144" i="64"/>
  <c r="U144" i="64"/>
  <c r="R145" i="64"/>
  <c r="U145" i="64"/>
  <c r="R146" i="64"/>
  <c r="U146" i="64"/>
  <c r="R147" i="64"/>
  <c r="U147" i="64"/>
  <c r="R148" i="64"/>
  <c r="U148" i="64"/>
  <c r="R149" i="64"/>
  <c r="U149" i="64"/>
  <c r="R150" i="64"/>
  <c r="U150" i="64"/>
  <c r="R151" i="64"/>
  <c r="U151" i="64"/>
  <c r="R152" i="64"/>
  <c r="U152" i="64"/>
  <c r="R153" i="64"/>
  <c r="U153" i="64"/>
  <c r="R154" i="64"/>
  <c r="U154" i="64"/>
  <c r="R155" i="64"/>
  <c r="U155" i="64"/>
  <c r="R156" i="64"/>
  <c r="U156" i="64"/>
  <c r="R157" i="64"/>
  <c r="U157" i="64"/>
  <c r="R158" i="64"/>
  <c r="U158" i="64"/>
  <c r="R159" i="64"/>
  <c r="U159" i="64"/>
  <c r="R160" i="64"/>
  <c r="U160" i="64"/>
  <c r="R161" i="64"/>
  <c r="U161" i="64"/>
  <c r="R162" i="64"/>
  <c r="U162" i="64"/>
  <c r="R163" i="64"/>
  <c r="U163" i="64"/>
  <c r="R164" i="64"/>
  <c r="U164" i="64"/>
  <c r="R165" i="64"/>
  <c r="U165" i="64"/>
  <c r="R166" i="64"/>
  <c r="U166" i="64"/>
  <c r="R167" i="64"/>
  <c r="U167" i="64"/>
  <c r="R168" i="64"/>
  <c r="U168" i="64"/>
  <c r="R169" i="64"/>
  <c r="U169" i="64"/>
  <c r="R170" i="64"/>
  <c r="U170" i="64"/>
  <c r="R171" i="64"/>
  <c r="U171" i="64"/>
  <c r="R172" i="64"/>
  <c r="U172" i="64"/>
  <c r="R173" i="64"/>
  <c r="U173" i="64"/>
  <c r="R174" i="64"/>
  <c r="U174" i="64"/>
  <c r="R175" i="64"/>
  <c r="U175" i="64"/>
  <c r="R176" i="64"/>
  <c r="U176" i="64"/>
  <c r="R177" i="64"/>
  <c r="U177" i="64"/>
  <c r="R178" i="64"/>
  <c r="U178" i="64"/>
  <c r="R179" i="64"/>
  <c r="U179" i="64"/>
  <c r="R180" i="64"/>
  <c r="U180" i="64"/>
  <c r="R181" i="64"/>
  <c r="U181" i="64"/>
  <c r="R182" i="64"/>
  <c r="U182" i="64"/>
  <c r="R183" i="64"/>
  <c r="U183" i="64"/>
  <c r="R184" i="64"/>
  <c r="U184" i="64"/>
  <c r="R185" i="64"/>
  <c r="U185" i="64"/>
  <c r="R186" i="64"/>
  <c r="U186" i="64"/>
  <c r="R187" i="64"/>
  <c r="U187" i="64"/>
  <c r="R188" i="64"/>
  <c r="U188" i="64"/>
  <c r="R189" i="64"/>
  <c r="U189" i="64"/>
  <c r="R190" i="64"/>
  <c r="U190" i="64"/>
  <c r="R191" i="64"/>
  <c r="U191" i="64"/>
  <c r="R192" i="64"/>
  <c r="U192" i="64"/>
  <c r="R193" i="64"/>
  <c r="U193" i="64"/>
  <c r="R194" i="64"/>
  <c r="U194" i="64"/>
  <c r="R195" i="64"/>
  <c r="U195" i="64"/>
  <c r="R196" i="64"/>
  <c r="U196" i="64"/>
  <c r="R197" i="64"/>
  <c r="U197" i="64"/>
  <c r="R198" i="64"/>
  <c r="U198" i="64"/>
  <c r="R199" i="64"/>
  <c r="U199" i="64"/>
  <c r="R200" i="64"/>
  <c r="U200" i="64"/>
  <c r="R201" i="64"/>
  <c r="U201" i="64"/>
  <c r="R202" i="64"/>
  <c r="U202" i="64"/>
  <c r="R203" i="64"/>
  <c r="U203" i="64"/>
  <c r="R204" i="64"/>
  <c r="U204" i="64"/>
  <c r="R205" i="64"/>
  <c r="U205" i="64"/>
  <c r="R206" i="64"/>
  <c r="U206" i="64"/>
  <c r="R207" i="64"/>
  <c r="U207" i="64"/>
  <c r="R208" i="64"/>
  <c r="U208" i="64"/>
  <c r="R209" i="64"/>
  <c r="U209" i="64"/>
  <c r="R210" i="64"/>
  <c r="U210" i="64"/>
  <c r="R211" i="64"/>
  <c r="U211" i="64"/>
  <c r="R212" i="64"/>
  <c r="U212" i="64"/>
  <c r="R213" i="64"/>
  <c r="U213" i="64"/>
  <c r="R214" i="64"/>
  <c r="U214" i="64"/>
  <c r="R215" i="64"/>
  <c r="U215" i="64"/>
  <c r="R216" i="64"/>
  <c r="U216" i="64"/>
  <c r="R217" i="64"/>
  <c r="U217" i="64"/>
  <c r="R218" i="64"/>
  <c r="U218" i="64"/>
  <c r="R219" i="64"/>
  <c r="U219" i="64"/>
  <c r="R220" i="64"/>
  <c r="U220" i="64"/>
  <c r="R221" i="64"/>
  <c r="U221" i="64"/>
  <c r="R222" i="64"/>
  <c r="U222" i="64"/>
  <c r="R223" i="64"/>
  <c r="U223" i="64"/>
  <c r="R224" i="64"/>
  <c r="U224" i="64"/>
  <c r="R225" i="64"/>
  <c r="U225" i="64"/>
  <c r="R226" i="64"/>
  <c r="U226" i="64"/>
  <c r="R227" i="64"/>
  <c r="U227" i="64"/>
  <c r="R228" i="64"/>
  <c r="U228" i="64"/>
  <c r="R229" i="64"/>
  <c r="U229" i="64"/>
  <c r="R230" i="64"/>
  <c r="U230" i="64"/>
  <c r="R231" i="64"/>
  <c r="U231" i="64"/>
  <c r="R232" i="64"/>
  <c r="U232" i="64"/>
  <c r="R233" i="64"/>
  <c r="U233" i="64"/>
  <c r="R234" i="64"/>
  <c r="U234" i="64"/>
  <c r="R235" i="64"/>
  <c r="U235" i="64"/>
  <c r="R236" i="64"/>
  <c r="U236" i="64"/>
  <c r="R237" i="64"/>
  <c r="U237" i="64"/>
  <c r="R238" i="64"/>
  <c r="U238" i="64"/>
  <c r="R239" i="64"/>
  <c r="U239" i="64"/>
  <c r="R240" i="64"/>
  <c r="U240" i="64"/>
  <c r="R241" i="64"/>
  <c r="U241" i="64"/>
  <c r="R242" i="64"/>
  <c r="U242" i="64"/>
  <c r="R243" i="64"/>
  <c r="U243" i="64"/>
  <c r="R244" i="64"/>
  <c r="U244" i="64"/>
  <c r="R245" i="64"/>
  <c r="U245" i="64"/>
  <c r="R246" i="64"/>
  <c r="U246" i="64"/>
  <c r="R247" i="64"/>
  <c r="U247" i="64"/>
  <c r="R248" i="64"/>
  <c r="U248" i="64"/>
  <c r="R249" i="64"/>
  <c r="U249" i="64"/>
  <c r="R250" i="64"/>
  <c r="U250" i="64"/>
  <c r="R251" i="64"/>
  <c r="U251" i="64"/>
  <c r="R252" i="64"/>
  <c r="U252" i="64"/>
  <c r="R253" i="64"/>
  <c r="U253" i="64"/>
  <c r="R254" i="64"/>
  <c r="U254" i="64"/>
  <c r="R255" i="64"/>
  <c r="U255" i="64"/>
  <c r="R256" i="64"/>
  <c r="U256" i="64"/>
  <c r="R257" i="64"/>
  <c r="U257" i="64"/>
  <c r="R258" i="64"/>
  <c r="U258" i="64"/>
  <c r="R259" i="64"/>
  <c r="U259" i="64"/>
  <c r="R12" i="64"/>
  <c r="U15" i="64" l="1"/>
  <c r="U13" i="64"/>
  <c r="U13" i="58"/>
  <c r="U14" i="58"/>
  <c r="U15" i="58"/>
  <c r="U16" i="58"/>
  <c r="R17" i="58"/>
  <c r="U17" i="58"/>
  <c r="R18" i="58"/>
  <c r="U18" i="58"/>
  <c r="R19" i="58"/>
  <c r="U19" i="58"/>
  <c r="R20" i="58"/>
  <c r="U20" i="58"/>
  <c r="R21" i="58"/>
  <c r="U21" i="58"/>
  <c r="R22" i="58"/>
  <c r="U22" i="58"/>
  <c r="R23" i="58"/>
  <c r="U23" i="58"/>
  <c r="R24" i="58"/>
  <c r="U24" i="58"/>
  <c r="R25" i="58"/>
  <c r="U25" i="58"/>
  <c r="R26" i="58"/>
  <c r="U26" i="58"/>
  <c r="R27" i="58"/>
  <c r="U27" i="58"/>
  <c r="R28" i="58"/>
  <c r="U28" i="58"/>
  <c r="R29" i="58"/>
  <c r="U29" i="58"/>
  <c r="R30" i="58"/>
  <c r="U30" i="58"/>
  <c r="R31" i="58"/>
  <c r="U31" i="58"/>
  <c r="R32" i="58"/>
  <c r="U32" i="58"/>
  <c r="R33" i="58"/>
  <c r="U33" i="58"/>
  <c r="R34" i="58"/>
  <c r="U34" i="58"/>
  <c r="R35" i="58"/>
  <c r="U35" i="58"/>
  <c r="R36" i="58"/>
  <c r="U36" i="58"/>
  <c r="R37" i="58"/>
  <c r="U37" i="58"/>
  <c r="R38" i="58"/>
  <c r="U38" i="58"/>
  <c r="R39" i="58"/>
  <c r="U39" i="58"/>
  <c r="R40" i="58"/>
  <c r="U40" i="58"/>
  <c r="R41" i="58"/>
  <c r="U41" i="58"/>
  <c r="R42" i="58"/>
  <c r="U42" i="58"/>
  <c r="R43" i="58"/>
  <c r="U43" i="58"/>
  <c r="R44" i="58"/>
  <c r="U44" i="58"/>
  <c r="R45" i="58"/>
  <c r="U45" i="58"/>
  <c r="R46" i="58"/>
  <c r="U46" i="58"/>
  <c r="R47" i="58"/>
  <c r="U47" i="58"/>
  <c r="R48" i="58"/>
  <c r="U48" i="58"/>
  <c r="R49" i="58"/>
  <c r="U49" i="58"/>
  <c r="R50" i="58"/>
  <c r="U50" i="58"/>
  <c r="R51" i="58"/>
  <c r="U51" i="58"/>
  <c r="R52" i="58"/>
  <c r="U52" i="58"/>
  <c r="R53" i="58"/>
  <c r="U53" i="58"/>
  <c r="R54" i="58"/>
  <c r="U54" i="58"/>
  <c r="R55" i="58"/>
  <c r="U55" i="58"/>
  <c r="R56" i="58"/>
  <c r="U56" i="58"/>
  <c r="R57" i="58"/>
  <c r="U57" i="58"/>
  <c r="R58" i="58"/>
  <c r="U58" i="58"/>
  <c r="R59" i="58"/>
  <c r="U59" i="58"/>
  <c r="R60" i="58"/>
  <c r="U60" i="58"/>
  <c r="R61" i="58"/>
  <c r="U61" i="58"/>
  <c r="R62" i="58"/>
  <c r="U62" i="58"/>
  <c r="R63" i="58"/>
  <c r="U63" i="58"/>
  <c r="R64" i="58"/>
  <c r="U64" i="58"/>
  <c r="R65" i="58"/>
  <c r="U65" i="58"/>
  <c r="R66" i="58"/>
  <c r="U66" i="58"/>
  <c r="R67" i="58"/>
  <c r="U67" i="58"/>
  <c r="R68" i="58"/>
  <c r="U68" i="58"/>
  <c r="R69" i="58"/>
  <c r="U69" i="58"/>
  <c r="R70" i="58"/>
  <c r="U70" i="58"/>
  <c r="R71" i="58"/>
  <c r="U71" i="58"/>
  <c r="R72" i="58"/>
  <c r="U72" i="58"/>
  <c r="R73" i="58"/>
  <c r="U73" i="58"/>
  <c r="R74" i="58"/>
  <c r="U74" i="58"/>
  <c r="R75" i="58"/>
  <c r="U75" i="58"/>
  <c r="R76" i="58"/>
  <c r="U76" i="58"/>
  <c r="R77" i="58"/>
  <c r="U77" i="58"/>
  <c r="R78" i="58"/>
  <c r="U78" i="58"/>
  <c r="R79" i="58"/>
  <c r="U79" i="58"/>
  <c r="R80" i="58"/>
  <c r="U80" i="58"/>
  <c r="R81" i="58"/>
  <c r="U81" i="58"/>
  <c r="R82" i="58"/>
  <c r="U82" i="58"/>
  <c r="R83" i="58"/>
  <c r="U83" i="58"/>
  <c r="R84" i="58"/>
  <c r="U84" i="58"/>
  <c r="R85" i="58"/>
  <c r="U85" i="58"/>
  <c r="R86" i="58"/>
  <c r="U86" i="58"/>
  <c r="R87" i="58"/>
  <c r="U87" i="58"/>
  <c r="R88" i="58"/>
  <c r="U88" i="58"/>
  <c r="R89" i="58"/>
  <c r="U89" i="58"/>
  <c r="R90" i="58"/>
  <c r="U90" i="58"/>
  <c r="R91" i="58"/>
  <c r="U91" i="58"/>
  <c r="R92" i="58"/>
  <c r="U92" i="58"/>
  <c r="R93" i="58"/>
  <c r="U93" i="58"/>
  <c r="R94" i="58"/>
  <c r="U94" i="58"/>
  <c r="R95" i="58"/>
  <c r="U95" i="58"/>
  <c r="R96" i="58"/>
  <c r="U96" i="58"/>
  <c r="R97" i="58"/>
  <c r="U97" i="58"/>
  <c r="R98" i="58"/>
  <c r="U98" i="58"/>
  <c r="R99" i="58"/>
  <c r="U99" i="58"/>
  <c r="R100" i="58"/>
  <c r="U100" i="58"/>
  <c r="R101" i="58"/>
  <c r="U101" i="58"/>
  <c r="R102" i="58"/>
  <c r="U102" i="58"/>
  <c r="R103" i="58"/>
  <c r="U103" i="58"/>
  <c r="R104" i="58"/>
  <c r="U104" i="58"/>
  <c r="R105" i="58"/>
  <c r="U105" i="58"/>
  <c r="R106" i="58"/>
  <c r="U106" i="58"/>
  <c r="R107" i="58"/>
  <c r="U107" i="58"/>
  <c r="R108" i="58"/>
  <c r="U108" i="58"/>
  <c r="R109" i="58"/>
  <c r="U109" i="58"/>
  <c r="R110" i="58"/>
  <c r="U110" i="58"/>
  <c r="R111" i="58"/>
  <c r="U111" i="58"/>
  <c r="R112" i="58"/>
  <c r="U112" i="58"/>
  <c r="R113" i="58"/>
  <c r="U113" i="58"/>
  <c r="R114" i="58"/>
  <c r="U114" i="58"/>
  <c r="R115" i="58"/>
  <c r="U115" i="58"/>
  <c r="R116" i="58"/>
  <c r="U116" i="58"/>
  <c r="R117" i="58"/>
  <c r="U117" i="58"/>
  <c r="R118" i="58"/>
  <c r="U118" i="58"/>
  <c r="R119" i="58"/>
  <c r="U119" i="58"/>
  <c r="R120" i="58"/>
  <c r="U120" i="58"/>
  <c r="R121" i="58"/>
  <c r="U121" i="58"/>
  <c r="R122" i="58"/>
  <c r="U122" i="58"/>
  <c r="R123" i="58"/>
  <c r="U123" i="58"/>
  <c r="R124" i="58"/>
  <c r="U124" i="58"/>
  <c r="R125" i="58"/>
  <c r="U125" i="58"/>
  <c r="R126" i="58"/>
  <c r="U126" i="58"/>
  <c r="R127" i="58"/>
  <c r="U127" i="58"/>
  <c r="R128" i="58"/>
  <c r="U128" i="58"/>
  <c r="R129" i="58"/>
  <c r="U129" i="58"/>
  <c r="R130" i="58"/>
  <c r="U130" i="58"/>
  <c r="R131" i="58"/>
  <c r="U131" i="58"/>
  <c r="R132" i="58"/>
  <c r="U132" i="58"/>
  <c r="R133" i="58"/>
  <c r="U133" i="58"/>
  <c r="R134" i="58"/>
  <c r="U134" i="58"/>
  <c r="R135" i="58"/>
  <c r="U135" i="58"/>
  <c r="R136" i="58"/>
  <c r="U136" i="58"/>
  <c r="R137" i="58"/>
  <c r="U137" i="58"/>
  <c r="R138" i="58"/>
  <c r="U138" i="58"/>
  <c r="R139" i="58"/>
  <c r="U139" i="58"/>
  <c r="R140" i="58"/>
  <c r="U140" i="58"/>
  <c r="R141" i="58"/>
  <c r="U141" i="58"/>
  <c r="R142" i="58"/>
  <c r="U142" i="58"/>
  <c r="R143" i="58"/>
  <c r="U143" i="58"/>
  <c r="R144" i="58"/>
  <c r="U144" i="58"/>
  <c r="R145" i="58"/>
  <c r="U145" i="58"/>
  <c r="R146" i="58"/>
  <c r="U146" i="58"/>
  <c r="R147" i="58"/>
  <c r="U147" i="58"/>
  <c r="R148" i="58"/>
  <c r="U148" i="58"/>
  <c r="R149" i="58"/>
  <c r="U149" i="58"/>
  <c r="R150" i="58"/>
  <c r="U150" i="58"/>
  <c r="R151" i="58"/>
  <c r="U151" i="58"/>
  <c r="R152" i="58"/>
  <c r="U152" i="58"/>
  <c r="R153" i="58"/>
  <c r="U153" i="58"/>
  <c r="R154" i="58"/>
  <c r="U154" i="58"/>
  <c r="R155" i="58"/>
  <c r="U155" i="58"/>
  <c r="R156" i="58"/>
  <c r="U156" i="58"/>
  <c r="R157" i="58"/>
  <c r="U157" i="58"/>
  <c r="R158" i="58"/>
  <c r="U158" i="58"/>
  <c r="R159" i="58"/>
  <c r="U159" i="58"/>
  <c r="R160" i="58"/>
  <c r="U160" i="58"/>
  <c r="R161" i="58"/>
  <c r="U161" i="58"/>
  <c r="R162" i="58"/>
  <c r="U162" i="58"/>
  <c r="R163" i="58"/>
  <c r="U163" i="58"/>
  <c r="R164" i="58"/>
  <c r="U164" i="58"/>
  <c r="R165" i="58"/>
  <c r="U165" i="58"/>
  <c r="R166" i="58"/>
  <c r="U166" i="58"/>
  <c r="R167" i="58"/>
  <c r="U167" i="58"/>
  <c r="R168" i="58"/>
  <c r="U168" i="58"/>
  <c r="R169" i="58"/>
  <c r="U169" i="58"/>
  <c r="R170" i="58"/>
  <c r="U170" i="58"/>
  <c r="R171" i="58"/>
  <c r="U171" i="58"/>
  <c r="R172" i="58"/>
  <c r="U172" i="58"/>
  <c r="R173" i="58"/>
  <c r="U173" i="58"/>
  <c r="R174" i="58"/>
  <c r="U174" i="58"/>
  <c r="R175" i="58"/>
  <c r="U175" i="58"/>
  <c r="R176" i="58"/>
  <c r="U176" i="58"/>
  <c r="R177" i="58"/>
  <c r="U177" i="58"/>
  <c r="R178" i="58"/>
  <c r="U178" i="58"/>
  <c r="R179" i="58"/>
  <c r="U179" i="58"/>
  <c r="R180" i="58"/>
  <c r="U180" i="58"/>
  <c r="R181" i="58"/>
  <c r="U181" i="58"/>
  <c r="R182" i="58"/>
  <c r="U182" i="58"/>
  <c r="R183" i="58"/>
  <c r="U183" i="58"/>
  <c r="R184" i="58"/>
  <c r="U184" i="58"/>
  <c r="R185" i="58"/>
  <c r="U185" i="58"/>
  <c r="R186" i="58"/>
  <c r="U186" i="58"/>
  <c r="R187" i="58"/>
  <c r="U187" i="58"/>
  <c r="R188" i="58"/>
  <c r="U188" i="58"/>
  <c r="R189" i="58"/>
  <c r="U189" i="58"/>
  <c r="R190" i="58"/>
  <c r="U190" i="58"/>
  <c r="R191" i="58"/>
  <c r="U191" i="58"/>
  <c r="R192" i="58"/>
  <c r="U192" i="58"/>
  <c r="R193" i="58"/>
  <c r="U193" i="58"/>
  <c r="R194" i="58"/>
  <c r="U194" i="58"/>
  <c r="R195" i="58"/>
  <c r="U195" i="58"/>
  <c r="R196" i="58"/>
  <c r="U196" i="58"/>
  <c r="R197" i="58"/>
  <c r="U197" i="58"/>
  <c r="R198" i="58"/>
  <c r="U198" i="58"/>
  <c r="R199" i="58"/>
  <c r="U199" i="58"/>
  <c r="R200" i="58"/>
  <c r="U200" i="58"/>
  <c r="R201" i="58"/>
  <c r="U201" i="58"/>
  <c r="R202" i="58"/>
  <c r="U202" i="58"/>
  <c r="R203" i="58"/>
  <c r="U203" i="58"/>
  <c r="R204" i="58"/>
  <c r="U204" i="58"/>
  <c r="R205" i="58"/>
  <c r="U205" i="58"/>
  <c r="R206" i="58"/>
  <c r="U206" i="58"/>
  <c r="R207" i="58"/>
  <c r="U207" i="58"/>
  <c r="R208" i="58"/>
  <c r="U208" i="58"/>
  <c r="R209" i="58"/>
  <c r="U209" i="58"/>
  <c r="R210" i="58"/>
  <c r="U210" i="58"/>
  <c r="R211" i="58"/>
  <c r="U211" i="58"/>
  <c r="R212" i="58"/>
  <c r="U212" i="58"/>
  <c r="R213" i="58"/>
  <c r="U213" i="58"/>
  <c r="R214" i="58"/>
  <c r="U214" i="58"/>
  <c r="R215" i="58"/>
  <c r="U215" i="58"/>
  <c r="R216" i="58"/>
  <c r="U216" i="58"/>
  <c r="R217" i="58"/>
  <c r="U217" i="58"/>
  <c r="R218" i="58"/>
  <c r="U218" i="58"/>
  <c r="R219" i="58"/>
  <c r="U219" i="58"/>
  <c r="R220" i="58"/>
  <c r="U220" i="58"/>
  <c r="R221" i="58"/>
  <c r="U221" i="58"/>
  <c r="R222" i="58"/>
  <c r="U222" i="58"/>
  <c r="R223" i="58"/>
  <c r="U223" i="58"/>
  <c r="R224" i="58"/>
  <c r="U224" i="58"/>
  <c r="R225" i="58"/>
  <c r="U225" i="58"/>
  <c r="R226" i="58"/>
  <c r="U226" i="58"/>
  <c r="R227" i="58"/>
  <c r="U227" i="58"/>
  <c r="R228" i="58"/>
  <c r="U228" i="58"/>
  <c r="R229" i="58"/>
  <c r="U229" i="58"/>
  <c r="R230" i="58"/>
  <c r="U230" i="58"/>
  <c r="R231" i="58"/>
  <c r="U231" i="58"/>
  <c r="R232" i="58"/>
  <c r="U232" i="58"/>
  <c r="R233" i="58"/>
  <c r="U233" i="58"/>
  <c r="R234" i="58"/>
  <c r="U234" i="58"/>
  <c r="R235" i="58"/>
  <c r="U235" i="58"/>
  <c r="R236" i="58"/>
  <c r="U236" i="58"/>
  <c r="R237" i="58"/>
  <c r="U237" i="58"/>
  <c r="R238" i="58"/>
  <c r="U238" i="58"/>
  <c r="R239" i="58"/>
  <c r="U239" i="58"/>
  <c r="R240" i="58"/>
  <c r="U240" i="58"/>
  <c r="R241" i="58"/>
  <c r="U241" i="58"/>
  <c r="R242" i="58"/>
  <c r="U242" i="58"/>
  <c r="R243" i="58"/>
  <c r="U243" i="58"/>
  <c r="R244" i="58"/>
  <c r="U244" i="58"/>
  <c r="R245" i="58"/>
  <c r="U245" i="58"/>
  <c r="R246" i="58"/>
  <c r="U246" i="58"/>
  <c r="R247" i="58"/>
  <c r="U247" i="58"/>
  <c r="R248" i="58"/>
  <c r="U248" i="58"/>
  <c r="R249" i="58"/>
  <c r="U249" i="58"/>
  <c r="R250" i="58"/>
  <c r="U250" i="58"/>
  <c r="R251" i="58"/>
  <c r="U251" i="58"/>
  <c r="R252" i="58"/>
  <c r="U252" i="58"/>
  <c r="R253" i="58"/>
  <c r="U253" i="58"/>
  <c r="R254" i="58"/>
  <c r="U254" i="58"/>
  <c r="R255" i="58"/>
  <c r="U255" i="58"/>
  <c r="R256" i="58"/>
  <c r="U256" i="58"/>
  <c r="R257" i="58"/>
  <c r="U257" i="58"/>
  <c r="R258" i="58"/>
  <c r="U258" i="58"/>
  <c r="R259" i="58"/>
  <c r="U259" i="58"/>
  <c r="U12" i="58"/>
  <c r="S13" i="42"/>
  <c r="V13" i="42" s="1"/>
  <c r="S14" i="42"/>
  <c r="V14" i="42" s="1"/>
  <c r="S15" i="42"/>
  <c r="V15" i="42" s="1"/>
  <c r="S16" i="42"/>
  <c r="V16" i="42" s="1"/>
  <c r="S17" i="42"/>
  <c r="V17" i="42"/>
  <c r="S18" i="42"/>
  <c r="V18" i="42"/>
  <c r="S19" i="42"/>
  <c r="V19" i="42"/>
  <c r="S20" i="42"/>
  <c r="V20" i="42"/>
  <c r="S21" i="42"/>
  <c r="V21" i="42"/>
  <c r="S22" i="42"/>
  <c r="V22" i="42"/>
  <c r="S23" i="42"/>
  <c r="V23" i="42"/>
  <c r="S24" i="42"/>
  <c r="V24" i="42"/>
  <c r="S25" i="42"/>
  <c r="V25" i="42"/>
  <c r="S26" i="42"/>
  <c r="V26" i="42"/>
  <c r="S27" i="42"/>
  <c r="V27" i="42"/>
  <c r="S28" i="42"/>
  <c r="V28" i="42"/>
  <c r="S29" i="42"/>
  <c r="V29" i="42"/>
  <c r="S30" i="42"/>
  <c r="V30" i="42"/>
  <c r="S31" i="42"/>
  <c r="V31" i="42"/>
  <c r="S32" i="42"/>
  <c r="V32" i="42"/>
  <c r="S33" i="42"/>
  <c r="V33" i="42"/>
  <c r="S34" i="42"/>
  <c r="V34" i="42"/>
  <c r="S35" i="42"/>
  <c r="V35" i="42"/>
  <c r="S36" i="42"/>
  <c r="V36" i="42"/>
  <c r="S37" i="42"/>
  <c r="V37" i="42"/>
  <c r="S38" i="42"/>
  <c r="V38" i="42"/>
  <c r="S39" i="42"/>
  <c r="V39" i="42"/>
  <c r="S40" i="42"/>
  <c r="V40" i="42"/>
  <c r="S41" i="42"/>
  <c r="V41" i="42"/>
  <c r="S42" i="42"/>
  <c r="V42" i="42"/>
  <c r="S43" i="42"/>
  <c r="V43" i="42"/>
  <c r="S44" i="42"/>
  <c r="V44" i="42"/>
  <c r="S45" i="42"/>
  <c r="V45" i="42"/>
  <c r="S46" i="42"/>
  <c r="V46" i="42"/>
  <c r="S47" i="42"/>
  <c r="V47" i="42"/>
  <c r="S48" i="42"/>
  <c r="V48" i="42"/>
  <c r="S49" i="42"/>
  <c r="V49" i="42"/>
  <c r="S50" i="42"/>
  <c r="V50" i="42"/>
  <c r="S51" i="42"/>
  <c r="V51" i="42"/>
  <c r="S52" i="42"/>
  <c r="V52" i="42"/>
  <c r="S53" i="42"/>
  <c r="V53" i="42"/>
  <c r="S54" i="42"/>
  <c r="V54" i="42"/>
  <c r="S55" i="42"/>
  <c r="V55" i="42"/>
  <c r="S56" i="42"/>
  <c r="V56" i="42"/>
  <c r="S57" i="42"/>
  <c r="V57" i="42"/>
  <c r="S58" i="42"/>
  <c r="V58" i="42"/>
  <c r="S59" i="42"/>
  <c r="V59" i="42"/>
  <c r="S60" i="42"/>
  <c r="V60" i="42"/>
  <c r="S61" i="42"/>
  <c r="V61" i="42"/>
  <c r="S62" i="42"/>
  <c r="V62" i="42"/>
  <c r="S63" i="42"/>
  <c r="V63" i="42"/>
  <c r="S64" i="42"/>
  <c r="V64" i="42"/>
  <c r="S65" i="42"/>
  <c r="V65" i="42"/>
  <c r="S66" i="42"/>
  <c r="V66" i="42"/>
  <c r="S67" i="42"/>
  <c r="V67" i="42"/>
  <c r="S68" i="42"/>
  <c r="V68" i="42"/>
  <c r="S69" i="42"/>
  <c r="V69" i="42"/>
  <c r="S70" i="42"/>
  <c r="V70" i="42"/>
  <c r="S71" i="42"/>
  <c r="V71" i="42"/>
  <c r="S72" i="42"/>
  <c r="V72" i="42"/>
  <c r="S73" i="42"/>
  <c r="V73" i="42"/>
  <c r="S74" i="42"/>
  <c r="V74" i="42"/>
  <c r="S75" i="42"/>
  <c r="V75" i="42"/>
  <c r="S76" i="42"/>
  <c r="V76" i="42"/>
  <c r="S77" i="42"/>
  <c r="V77" i="42"/>
  <c r="S78" i="42"/>
  <c r="V78" i="42"/>
  <c r="S79" i="42"/>
  <c r="V79" i="42"/>
  <c r="S80" i="42"/>
  <c r="V80" i="42"/>
  <c r="S81" i="42"/>
  <c r="V81" i="42"/>
  <c r="S82" i="42"/>
  <c r="V82" i="42"/>
  <c r="S83" i="42"/>
  <c r="V83" i="42"/>
  <c r="S84" i="42"/>
  <c r="V84" i="42"/>
  <c r="S85" i="42"/>
  <c r="V85" i="42"/>
  <c r="S86" i="42"/>
  <c r="V86" i="42"/>
  <c r="S87" i="42"/>
  <c r="V87" i="42"/>
  <c r="S88" i="42"/>
  <c r="V88" i="42"/>
  <c r="S89" i="42"/>
  <c r="V89" i="42"/>
  <c r="S90" i="42"/>
  <c r="V90" i="42"/>
  <c r="S91" i="42"/>
  <c r="V91" i="42"/>
  <c r="S92" i="42"/>
  <c r="V92" i="42"/>
  <c r="S93" i="42"/>
  <c r="V93" i="42"/>
  <c r="S94" i="42"/>
  <c r="V94" i="42"/>
  <c r="S95" i="42"/>
  <c r="V95" i="42"/>
  <c r="S96" i="42"/>
  <c r="V96" i="42"/>
  <c r="S97" i="42"/>
  <c r="V97" i="42"/>
  <c r="S98" i="42"/>
  <c r="V98" i="42"/>
  <c r="S99" i="42"/>
  <c r="V99" i="42"/>
  <c r="S100" i="42"/>
  <c r="V100" i="42"/>
  <c r="S101" i="42"/>
  <c r="V101" i="42"/>
  <c r="S102" i="42"/>
  <c r="V102" i="42"/>
  <c r="S103" i="42"/>
  <c r="V103" i="42"/>
  <c r="S104" i="42"/>
  <c r="V104" i="42"/>
  <c r="S105" i="42"/>
  <c r="V105" i="42"/>
  <c r="S106" i="42"/>
  <c r="V106" i="42"/>
  <c r="S107" i="42"/>
  <c r="V107" i="42"/>
  <c r="S108" i="42"/>
  <c r="V108" i="42"/>
  <c r="S109" i="42"/>
  <c r="V109" i="42"/>
  <c r="S110" i="42"/>
  <c r="V110" i="42"/>
  <c r="S111" i="42"/>
  <c r="V111" i="42"/>
  <c r="S112" i="42"/>
  <c r="V112" i="42"/>
  <c r="S113" i="42"/>
  <c r="V113" i="42"/>
  <c r="S114" i="42"/>
  <c r="V114" i="42"/>
  <c r="S115" i="42"/>
  <c r="V115" i="42"/>
  <c r="S116" i="42"/>
  <c r="V116" i="42"/>
  <c r="S117" i="42"/>
  <c r="V117" i="42"/>
  <c r="S118" i="42"/>
  <c r="V118" i="42"/>
  <c r="S119" i="42"/>
  <c r="V119" i="42"/>
  <c r="S120" i="42"/>
  <c r="V120" i="42"/>
  <c r="S121" i="42"/>
  <c r="V121" i="42"/>
  <c r="S122" i="42"/>
  <c r="V122" i="42"/>
  <c r="S123" i="42"/>
  <c r="V123" i="42"/>
  <c r="S124" i="42"/>
  <c r="V124" i="42"/>
  <c r="S125" i="42"/>
  <c r="V125" i="42"/>
  <c r="S126" i="42"/>
  <c r="V126" i="42"/>
  <c r="S127" i="42"/>
  <c r="V127" i="42"/>
  <c r="S128" i="42"/>
  <c r="V128" i="42"/>
  <c r="S129" i="42"/>
  <c r="V129" i="42"/>
  <c r="S130" i="42"/>
  <c r="V130" i="42"/>
  <c r="S131" i="42"/>
  <c r="V131" i="42"/>
  <c r="S132" i="42"/>
  <c r="V132" i="42"/>
  <c r="S133" i="42"/>
  <c r="V133" i="42"/>
  <c r="S134" i="42"/>
  <c r="V134" i="42"/>
  <c r="S135" i="42"/>
  <c r="V135" i="42"/>
  <c r="S136" i="42"/>
  <c r="V136" i="42"/>
  <c r="S137" i="42"/>
  <c r="V137" i="42"/>
  <c r="S138" i="42"/>
  <c r="V138" i="42"/>
  <c r="S139" i="42"/>
  <c r="V139" i="42"/>
  <c r="S140" i="42"/>
  <c r="V140" i="42"/>
  <c r="S141" i="42"/>
  <c r="V141" i="42"/>
  <c r="S142" i="42"/>
  <c r="V142" i="42"/>
  <c r="S143" i="42"/>
  <c r="V143" i="42"/>
  <c r="S144" i="42"/>
  <c r="V144" i="42"/>
  <c r="S145" i="42"/>
  <c r="V145" i="42"/>
  <c r="S146" i="42"/>
  <c r="V146" i="42"/>
  <c r="S147" i="42"/>
  <c r="V147" i="42"/>
  <c r="S148" i="42"/>
  <c r="V148" i="42"/>
  <c r="S149" i="42"/>
  <c r="V149" i="42"/>
  <c r="S150" i="42"/>
  <c r="V150" i="42"/>
  <c r="S151" i="42"/>
  <c r="V151" i="42"/>
  <c r="S152" i="42"/>
  <c r="V152" i="42"/>
  <c r="S153" i="42"/>
  <c r="V153" i="42"/>
  <c r="S154" i="42"/>
  <c r="V154" i="42"/>
  <c r="S155" i="42"/>
  <c r="V155" i="42"/>
  <c r="S156" i="42"/>
  <c r="V156" i="42"/>
  <c r="S157" i="42"/>
  <c r="V157" i="42"/>
  <c r="S158" i="42"/>
  <c r="V158" i="42"/>
  <c r="S159" i="42"/>
  <c r="V159" i="42"/>
  <c r="S160" i="42"/>
  <c r="V160" i="42"/>
  <c r="S161" i="42"/>
  <c r="V161" i="42"/>
  <c r="S162" i="42"/>
  <c r="V162" i="42"/>
  <c r="S163" i="42"/>
  <c r="V163" i="42"/>
  <c r="S164" i="42"/>
  <c r="V164" i="42"/>
  <c r="S165" i="42"/>
  <c r="V165" i="42"/>
  <c r="S166" i="42"/>
  <c r="V166" i="42"/>
  <c r="S167" i="42"/>
  <c r="V167" i="42"/>
  <c r="S168" i="42"/>
  <c r="V168" i="42"/>
  <c r="S169" i="42"/>
  <c r="V169" i="42"/>
  <c r="S170" i="42"/>
  <c r="V170" i="42"/>
  <c r="S171" i="42"/>
  <c r="V171" i="42"/>
  <c r="S172" i="42"/>
  <c r="V172" i="42"/>
  <c r="S173" i="42"/>
  <c r="V173" i="42"/>
  <c r="S174" i="42"/>
  <c r="V174" i="42"/>
  <c r="S175" i="42"/>
  <c r="V175" i="42"/>
  <c r="S176" i="42"/>
  <c r="V176" i="42"/>
  <c r="S177" i="42"/>
  <c r="V177" i="42"/>
  <c r="S178" i="42"/>
  <c r="V178" i="42"/>
  <c r="S179" i="42"/>
  <c r="V179" i="42"/>
  <c r="S180" i="42"/>
  <c r="V180" i="42"/>
  <c r="S181" i="42"/>
  <c r="V181" i="42"/>
  <c r="S182" i="42"/>
  <c r="V182" i="42"/>
  <c r="S183" i="42"/>
  <c r="V183" i="42"/>
  <c r="S184" i="42"/>
  <c r="V184" i="42"/>
  <c r="S185" i="42"/>
  <c r="V185" i="42"/>
  <c r="S186" i="42"/>
  <c r="V186" i="42"/>
  <c r="S187" i="42"/>
  <c r="V187" i="42"/>
  <c r="S188" i="42"/>
  <c r="V188" i="42"/>
  <c r="S189" i="42"/>
  <c r="V189" i="42"/>
  <c r="S190" i="42"/>
  <c r="V190" i="42"/>
  <c r="S191" i="42"/>
  <c r="V191" i="42"/>
  <c r="S192" i="42"/>
  <c r="V192" i="42"/>
  <c r="S193" i="42"/>
  <c r="V193" i="42"/>
  <c r="S194" i="42"/>
  <c r="V194" i="42"/>
  <c r="S195" i="42"/>
  <c r="V195" i="42"/>
  <c r="S196" i="42"/>
  <c r="V196" i="42"/>
  <c r="S197" i="42"/>
  <c r="V197" i="42"/>
  <c r="S198" i="42"/>
  <c r="V198" i="42"/>
  <c r="S199" i="42"/>
  <c r="V199" i="42"/>
  <c r="S200" i="42"/>
  <c r="V200" i="42"/>
  <c r="S201" i="42"/>
  <c r="V201" i="42"/>
  <c r="S202" i="42"/>
  <c r="V202" i="42"/>
  <c r="S203" i="42"/>
  <c r="V203" i="42"/>
  <c r="S204" i="42"/>
  <c r="V204" i="42"/>
  <c r="S205" i="42"/>
  <c r="V205" i="42"/>
  <c r="S206" i="42"/>
  <c r="V206" i="42"/>
  <c r="S207" i="42"/>
  <c r="V207" i="42"/>
  <c r="S208" i="42"/>
  <c r="V208" i="42"/>
  <c r="S209" i="42"/>
  <c r="V209" i="42"/>
  <c r="S210" i="42"/>
  <c r="V210" i="42"/>
  <c r="S211" i="42"/>
  <c r="V211" i="42"/>
  <c r="S212" i="42"/>
  <c r="V212" i="42"/>
  <c r="S213" i="42"/>
  <c r="V213" i="42"/>
  <c r="S214" i="42"/>
  <c r="V214" i="42"/>
  <c r="S215" i="42"/>
  <c r="V215" i="42"/>
  <c r="S216" i="42"/>
  <c r="V216" i="42"/>
  <c r="S217" i="42"/>
  <c r="V217" i="42"/>
  <c r="S218" i="42"/>
  <c r="V218" i="42"/>
  <c r="S219" i="42"/>
  <c r="V219" i="42"/>
  <c r="S220" i="42"/>
  <c r="V220" i="42"/>
  <c r="S221" i="42"/>
  <c r="V221" i="42"/>
  <c r="S222" i="42"/>
  <c r="V222" i="42"/>
  <c r="S223" i="42"/>
  <c r="V223" i="42"/>
  <c r="S224" i="42"/>
  <c r="V224" i="42"/>
  <c r="S225" i="42"/>
  <c r="V225" i="42"/>
  <c r="S226" i="42"/>
  <c r="V226" i="42"/>
  <c r="S227" i="42"/>
  <c r="V227" i="42"/>
  <c r="S228" i="42"/>
  <c r="V228" i="42"/>
  <c r="S229" i="42"/>
  <c r="V229" i="42"/>
  <c r="S230" i="42"/>
  <c r="V230" i="42"/>
  <c r="S231" i="42"/>
  <c r="V231" i="42"/>
  <c r="S232" i="42"/>
  <c r="V232" i="42"/>
  <c r="S233" i="42"/>
  <c r="V233" i="42"/>
  <c r="S234" i="42"/>
  <c r="V234" i="42"/>
  <c r="S235" i="42"/>
  <c r="V235" i="42"/>
  <c r="S236" i="42"/>
  <c r="V236" i="42"/>
  <c r="S237" i="42"/>
  <c r="V237" i="42"/>
  <c r="S238" i="42"/>
  <c r="V238" i="42"/>
  <c r="S239" i="42"/>
  <c r="V239" i="42"/>
  <c r="S240" i="42"/>
  <c r="V240" i="42"/>
  <c r="S241" i="42"/>
  <c r="V241" i="42"/>
  <c r="S242" i="42"/>
  <c r="V242" i="42"/>
  <c r="S243" i="42"/>
  <c r="V243" i="42"/>
  <c r="S244" i="42"/>
  <c r="V244" i="42"/>
  <c r="S245" i="42"/>
  <c r="V245" i="42"/>
  <c r="S246" i="42"/>
  <c r="V246" i="42"/>
  <c r="S247" i="42"/>
  <c r="V247" i="42"/>
  <c r="S248" i="42"/>
  <c r="V248" i="42"/>
  <c r="S249" i="42"/>
  <c r="V249" i="42"/>
  <c r="S250" i="42"/>
  <c r="V250" i="42"/>
  <c r="S251" i="42"/>
  <c r="V251" i="42"/>
  <c r="S252" i="42"/>
  <c r="V252" i="42"/>
  <c r="S253" i="42"/>
  <c r="V253" i="42"/>
  <c r="S254" i="42"/>
  <c r="V254" i="42"/>
  <c r="S255" i="42"/>
  <c r="V255" i="42"/>
  <c r="S256" i="42"/>
  <c r="V256" i="42"/>
  <c r="S257" i="42"/>
  <c r="V257" i="42"/>
  <c r="S258" i="42"/>
  <c r="V258" i="42"/>
  <c r="S259" i="42"/>
  <c r="V259" i="42"/>
  <c r="I159" i="22" l="1"/>
  <c r="I151" i="22"/>
  <c r="I150" i="22"/>
  <c r="I149" i="22"/>
  <c r="I148" i="22" l="1"/>
  <c r="I152" i="22"/>
  <c r="I153" i="22"/>
  <c r="I157" i="22"/>
  <c r="C79" i="72"/>
  <c r="B79" i="72"/>
  <c r="C78" i="72"/>
  <c r="B78" i="72"/>
  <c r="C114" i="72"/>
  <c r="B114" i="72"/>
  <c r="C113" i="72"/>
  <c r="B113" i="72"/>
  <c r="C112" i="72"/>
  <c r="B112" i="72"/>
  <c r="C132" i="72"/>
  <c r="B132" i="72"/>
  <c r="B133" i="72"/>
  <c r="C131" i="72"/>
  <c r="B131" i="72"/>
  <c r="C149" i="72"/>
  <c r="B149" i="72"/>
  <c r="C144" i="72"/>
  <c r="B144" i="72"/>
  <c r="C136" i="72"/>
  <c r="B136" i="72"/>
  <c r="C124" i="72"/>
  <c r="C103" i="72"/>
  <c r="B103" i="72"/>
  <c r="C91" i="72"/>
  <c r="C90" i="72"/>
  <c r="B91" i="72"/>
  <c r="C16" i="71" l="1"/>
  <c r="F16" i="71"/>
  <c r="V16" i="71" s="1"/>
  <c r="C17" i="71"/>
  <c r="F17" i="71"/>
  <c r="V17" i="71" s="1"/>
  <c r="C18" i="71"/>
  <c r="F18" i="71"/>
  <c r="V18" i="71" s="1"/>
  <c r="C19" i="71"/>
  <c r="F19" i="71"/>
  <c r="V19" i="71" s="1"/>
  <c r="C20" i="71"/>
  <c r="F20" i="71"/>
  <c r="V20" i="71" s="1"/>
  <c r="C21" i="71"/>
  <c r="F21" i="71"/>
  <c r="V21" i="71" s="1"/>
  <c r="C22" i="71"/>
  <c r="F22" i="71"/>
  <c r="V22" i="71" s="1"/>
  <c r="C23" i="71"/>
  <c r="F23" i="71"/>
  <c r="V23" i="71" s="1"/>
  <c r="C24" i="71"/>
  <c r="F24" i="71"/>
  <c r="V24" i="71" s="1"/>
  <c r="C25" i="71"/>
  <c r="F25" i="71"/>
  <c r="V25" i="71" s="1"/>
  <c r="C26" i="71"/>
  <c r="F26" i="71"/>
  <c r="V26" i="71" s="1"/>
  <c r="C27" i="71"/>
  <c r="F27" i="71"/>
  <c r="V27" i="71" s="1"/>
  <c r="C28" i="71"/>
  <c r="F28" i="71"/>
  <c r="V28" i="71" s="1"/>
  <c r="C29" i="71"/>
  <c r="F29" i="71"/>
  <c r="V29" i="71" s="1"/>
  <c r="C30" i="71"/>
  <c r="F30" i="71"/>
  <c r="V30" i="71" s="1"/>
  <c r="C31" i="71"/>
  <c r="F31" i="71"/>
  <c r="V31" i="71" s="1"/>
  <c r="C32" i="71"/>
  <c r="F32" i="71"/>
  <c r="V32" i="71" s="1"/>
  <c r="C33" i="71"/>
  <c r="F33" i="71"/>
  <c r="V33" i="71" s="1"/>
  <c r="C34" i="71"/>
  <c r="F34" i="71"/>
  <c r="V34" i="71" s="1"/>
  <c r="C35" i="71"/>
  <c r="F35" i="71"/>
  <c r="V35" i="71" s="1"/>
  <c r="C36" i="71"/>
  <c r="F36" i="71"/>
  <c r="V36" i="71" s="1"/>
  <c r="C37" i="71"/>
  <c r="F37" i="71"/>
  <c r="V37" i="71" s="1"/>
  <c r="C38" i="71"/>
  <c r="F38" i="71"/>
  <c r="V38" i="71" s="1"/>
  <c r="C39" i="71"/>
  <c r="F39" i="71"/>
  <c r="V39" i="71" s="1"/>
  <c r="C40" i="71"/>
  <c r="F40" i="71"/>
  <c r="V40" i="71" s="1"/>
  <c r="C41" i="71"/>
  <c r="F41" i="71"/>
  <c r="V41" i="71" s="1"/>
  <c r="C42" i="71"/>
  <c r="F42" i="71"/>
  <c r="V42" i="71" s="1"/>
  <c r="C43" i="71"/>
  <c r="F43" i="71"/>
  <c r="V43" i="71" s="1"/>
  <c r="C44" i="71"/>
  <c r="F44" i="71"/>
  <c r="V44" i="71" s="1"/>
  <c r="C45" i="71"/>
  <c r="F45" i="71"/>
  <c r="V45" i="71" s="1"/>
  <c r="C46" i="71"/>
  <c r="F46" i="71"/>
  <c r="V46" i="71" s="1"/>
  <c r="C47" i="71"/>
  <c r="F47" i="71"/>
  <c r="V47" i="71" s="1"/>
  <c r="C48" i="71"/>
  <c r="F48" i="71"/>
  <c r="V48" i="71" s="1"/>
  <c r="C49" i="71"/>
  <c r="F49" i="71"/>
  <c r="V49" i="71" s="1"/>
  <c r="C50" i="71"/>
  <c r="F50" i="71"/>
  <c r="V50" i="71" s="1"/>
  <c r="C51" i="71"/>
  <c r="F51" i="71"/>
  <c r="V51" i="71" s="1"/>
  <c r="C52" i="71"/>
  <c r="F52" i="71"/>
  <c r="V52" i="71" s="1"/>
  <c r="C53" i="71"/>
  <c r="F53" i="71"/>
  <c r="V53" i="71" s="1"/>
  <c r="C54" i="71"/>
  <c r="F54" i="71"/>
  <c r="V54" i="71" s="1"/>
  <c r="C55" i="71"/>
  <c r="F55" i="71"/>
  <c r="V55" i="71" s="1"/>
  <c r="C56" i="71"/>
  <c r="F56" i="71"/>
  <c r="V56" i="71" s="1"/>
  <c r="C57" i="71"/>
  <c r="F57" i="71"/>
  <c r="V57" i="71" s="1"/>
  <c r="C58" i="71"/>
  <c r="F58" i="71"/>
  <c r="V58" i="71" s="1"/>
  <c r="C59" i="71"/>
  <c r="F59" i="71"/>
  <c r="V59" i="71" s="1"/>
  <c r="C60" i="71"/>
  <c r="F60" i="71"/>
  <c r="V60" i="71" s="1"/>
  <c r="C61" i="71"/>
  <c r="F61" i="71"/>
  <c r="V61" i="71" s="1"/>
  <c r="C62" i="71"/>
  <c r="F62" i="71"/>
  <c r="V62" i="71" s="1"/>
  <c r="C63" i="71"/>
  <c r="F63" i="71"/>
  <c r="V63" i="71" s="1"/>
  <c r="C64" i="71"/>
  <c r="F64" i="71"/>
  <c r="V64" i="71" s="1"/>
  <c r="C65" i="71"/>
  <c r="F65" i="71"/>
  <c r="V65" i="71" s="1"/>
  <c r="C66" i="71"/>
  <c r="F66" i="71"/>
  <c r="V66" i="71" s="1"/>
  <c r="C67" i="71"/>
  <c r="F67" i="71"/>
  <c r="V67" i="71" s="1"/>
  <c r="C68" i="71"/>
  <c r="F68" i="71"/>
  <c r="V68" i="71" s="1"/>
  <c r="C69" i="71"/>
  <c r="F69" i="71"/>
  <c r="V69" i="71" s="1"/>
  <c r="C70" i="71"/>
  <c r="F70" i="71"/>
  <c r="V70" i="71" s="1"/>
  <c r="C71" i="71"/>
  <c r="F71" i="71"/>
  <c r="V71" i="71" s="1"/>
  <c r="C72" i="71"/>
  <c r="F72" i="71"/>
  <c r="V72" i="71" s="1"/>
  <c r="C73" i="71"/>
  <c r="F73" i="71"/>
  <c r="V73" i="71" s="1"/>
  <c r="C74" i="71"/>
  <c r="F74" i="71"/>
  <c r="V74" i="71" s="1"/>
  <c r="C75" i="71"/>
  <c r="F75" i="71"/>
  <c r="V75" i="71" s="1"/>
  <c r="C76" i="71"/>
  <c r="F76" i="71"/>
  <c r="V76" i="71" s="1"/>
  <c r="C77" i="71"/>
  <c r="F77" i="71"/>
  <c r="V77" i="71" s="1"/>
  <c r="C78" i="71"/>
  <c r="F78" i="71"/>
  <c r="V78" i="71" s="1"/>
  <c r="C79" i="71"/>
  <c r="F79" i="71"/>
  <c r="V79" i="71" s="1"/>
  <c r="C80" i="71"/>
  <c r="F80" i="71"/>
  <c r="V80" i="71" s="1"/>
  <c r="C81" i="71"/>
  <c r="F81" i="71"/>
  <c r="V81" i="71" s="1"/>
  <c r="C82" i="71"/>
  <c r="F82" i="71"/>
  <c r="V82" i="71" s="1"/>
  <c r="C83" i="71"/>
  <c r="F83" i="71"/>
  <c r="V83" i="71" s="1"/>
  <c r="C84" i="71"/>
  <c r="F84" i="71"/>
  <c r="V84" i="71" s="1"/>
  <c r="C85" i="71"/>
  <c r="F85" i="71"/>
  <c r="V85" i="71" s="1"/>
  <c r="C86" i="71"/>
  <c r="F86" i="71"/>
  <c r="V86" i="71" s="1"/>
  <c r="C87" i="71"/>
  <c r="F87" i="71"/>
  <c r="V87" i="71" s="1"/>
  <c r="C88" i="71"/>
  <c r="F88" i="71"/>
  <c r="V88" i="71" s="1"/>
  <c r="C89" i="71"/>
  <c r="F89" i="71"/>
  <c r="V89" i="71" s="1"/>
  <c r="C90" i="71"/>
  <c r="F90" i="71"/>
  <c r="V90" i="71" s="1"/>
  <c r="C91" i="71"/>
  <c r="F91" i="71"/>
  <c r="V91" i="71" s="1"/>
  <c r="C92" i="71"/>
  <c r="F92" i="71"/>
  <c r="V92" i="71" s="1"/>
  <c r="C93" i="71"/>
  <c r="F93" i="71"/>
  <c r="V93" i="71" s="1"/>
  <c r="C94" i="71"/>
  <c r="F94" i="71"/>
  <c r="V94" i="71" s="1"/>
  <c r="C95" i="71"/>
  <c r="F95" i="71"/>
  <c r="V95" i="71" s="1"/>
  <c r="C96" i="71"/>
  <c r="F96" i="71"/>
  <c r="V96" i="71" s="1"/>
  <c r="C97" i="71"/>
  <c r="F97" i="71"/>
  <c r="V97" i="71" s="1"/>
  <c r="C98" i="71"/>
  <c r="F98" i="71"/>
  <c r="V98" i="71" s="1"/>
  <c r="C99" i="71"/>
  <c r="F99" i="71"/>
  <c r="V99" i="71" s="1"/>
  <c r="C100" i="71"/>
  <c r="F100" i="71"/>
  <c r="V100" i="71" s="1"/>
  <c r="C101" i="71"/>
  <c r="F101" i="71"/>
  <c r="V101" i="71" s="1"/>
  <c r="C102" i="71"/>
  <c r="F102" i="71"/>
  <c r="V102" i="71" s="1"/>
  <c r="C103" i="71"/>
  <c r="F103" i="71"/>
  <c r="V103" i="71" s="1"/>
  <c r="C104" i="71"/>
  <c r="F104" i="71"/>
  <c r="V104" i="71" s="1"/>
  <c r="C105" i="71"/>
  <c r="F105" i="71"/>
  <c r="V105" i="71" s="1"/>
  <c r="C106" i="71"/>
  <c r="F106" i="71"/>
  <c r="V106" i="71" s="1"/>
  <c r="C107" i="71"/>
  <c r="F107" i="71"/>
  <c r="V107" i="71" s="1"/>
  <c r="C108" i="71"/>
  <c r="F108" i="71"/>
  <c r="V108" i="71" s="1"/>
  <c r="C109" i="71"/>
  <c r="F109" i="71"/>
  <c r="V109" i="71" s="1"/>
  <c r="C110" i="71"/>
  <c r="F110" i="71"/>
  <c r="V110" i="71" s="1"/>
  <c r="C111" i="71"/>
  <c r="F111" i="71"/>
  <c r="V111" i="71" s="1"/>
  <c r="C112" i="71"/>
  <c r="F112" i="71"/>
  <c r="V112" i="71" s="1"/>
  <c r="C113" i="71"/>
  <c r="F113" i="71"/>
  <c r="V113" i="71" s="1"/>
  <c r="C114" i="71"/>
  <c r="F114" i="71"/>
  <c r="V114" i="71" s="1"/>
  <c r="C115" i="71"/>
  <c r="F115" i="71"/>
  <c r="V115" i="71" s="1"/>
  <c r="C116" i="71"/>
  <c r="F116" i="71"/>
  <c r="V116" i="71" s="1"/>
  <c r="C117" i="71"/>
  <c r="F117" i="71"/>
  <c r="V117" i="71" s="1"/>
  <c r="C118" i="71"/>
  <c r="F118" i="71"/>
  <c r="V118" i="71" s="1"/>
  <c r="C119" i="71"/>
  <c r="F119" i="71"/>
  <c r="V119" i="71" s="1"/>
  <c r="C120" i="71"/>
  <c r="F120" i="71"/>
  <c r="V120" i="71" s="1"/>
  <c r="C121" i="71"/>
  <c r="F121" i="71"/>
  <c r="V121" i="71" s="1"/>
  <c r="C122" i="71"/>
  <c r="F122" i="71"/>
  <c r="V122" i="71" s="1"/>
  <c r="C123" i="71"/>
  <c r="F123" i="71"/>
  <c r="V123" i="71" s="1"/>
  <c r="C124" i="71"/>
  <c r="F124" i="71"/>
  <c r="V124" i="71" s="1"/>
  <c r="C125" i="71"/>
  <c r="F125" i="71"/>
  <c r="V125" i="71" s="1"/>
  <c r="C126" i="71"/>
  <c r="F126" i="71"/>
  <c r="V126" i="71" s="1"/>
  <c r="C127" i="71"/>
  <c r="F127" i="71"/>
  <c r="V127" i="71" s="1"/>
  <c r="C128" i="71"/>
  <c r="F128" i="71"/>
  <c r="V128" i="71" s="1"/>
  <c r="C129" i="71"/>
  <c r="F129" i="71"/>
  <c r="V129" i="71" s="1"/>
  <c r="C130" i="71"/>
  <c r="F130" i="71"/>
  <c r="V130" i="71" s="1"/>
  <c r="C131" i="71"/>
  <c r="F131" i="71"/>
  <c r="V131" i="71" s="1"/>
  <c r="C132" i="71"/>
  <c r="F132" i="71"/>
  <c r="V132" i="71" s="1"/>
  <c r="C133" i="71"/>
  <c r="F133" i="71"/>
  <c r="V133" i="71" s="1"/>
  <c r="C134" i="71"/>
  <c r="F134" i="71"/>
  <c r="V134" i="71" s="1"/>
  <c r="C135" i="71"/>
  <c r="F135" i="71"/>
  <c r="V135" i="71" s="1"/>
  <c r="C136" i="71"/>
  <c r="F136" i="71"/>
  <c r="V136" i="71" s="1"/>
  <c r="C137" i="71"/>
  <c r="F137" i="71"/>
  <c r="V137" i="71" s="1"/>
  <c r="C138" i="71"/>
  <c r="F138" i="71"/>
  <c r="V138" i="71" s="1"/>
  <c r="C139" i="71"/>
  <c r="F139" i="71"/>
  <c r="V139" i="71" s="1"/>
  <c r="C140" i="71"/>
  <c r="F140" i="71"/>
  <c r="V140" i="71" s="1"/>
  <c r="C141" i="71"/>
  <c r="F141" i="71"/>
  <c r="V141" i="71" s="1"/>
  <c r="C142" i="71"/>
  <c r="F142" i="71"/>
  <c r="V142" i="71" s="1"/>
  <c r="C143" i="71"/>
  <c r="F143" i="71"/>
  <c r="V143" i="71" s="1"/>
  <c r="C144" i="71"/>
  <c r="F144" i="71"/>
  <c r="V144" i="71" s="1"/>
  <c r="C145" i="71"/>
  <c r="F145" i="71"/>
  <c r="V145" i="71" s="1"/>
  <c r="C146" i="71"/>
  <c r="F146" i="71"/>
  <c r="V146" i="71" s="1"/>
  <c r="C147" i="71"/>
  <c r="F147" i="71"/>
  <c r="V147" i="71" s="1"/>
  <c r="C148" i="71"/>
  <c r="F148" i="71"/>
  <c r="V148" i="71" s="1"/>
  <c r="C149" i="71"/>
  <c r="F149" i="71"/>
  <c r="V149" i="71" s="1"/>
  <c r="C150" i="71"/>
  <c r="F150" i="71"/>
  <c r="V150" i="71" s="1"/>
  <c r="C151" i="71"/>
  <c r="F151" i="71"/>
  <c r="V151" i="71" s="1"/>
  <c r="C152" i="71"/>
  <c r="F152" i="71"/>
  <c r="V152" i="71" s="1"/>
  <c r="C153" i="71"/>
  <c r="F153" i="71"/>
  <c r="V153" i="71" s="1"/>
  <c r="C154" i="71"/>
  <c r="F154" i="71"/>
  <c r="V154" i="71" s="1"/>
  <c r="C155" i="71"/>
  <c r="F155" i="71"/>
  <c r="V155" i="71" s="1"/>
  <c r="C156" i="71"/>
  <c r="F156" i="71"/>
  <c r="V156" i="71" s="1"/>
  <c r="C157" i="71"/>
  <c r="F157" i="71"/>
  <c r="V157" i="71" s="1"/>
  <c r="C158" i="71"/>
  <c r="F158" i="71"/>
  <c r="V158" i="71" s="1"/>
  <c r="C159" i="71"/>
  <c r="F159" i="71"/>
  <c r="V159" i="71" s="1"/>
  <c r="C160" i="71"/>
  <c r="F160" i="71"/>
  <c r="V160" i="71" s="1"/>
  <c r="C161" i="71"/>
  <c r="F161" i="71"/>
  <c r="V161" i="71" s="1"/>
  <c r="C162" i="71"/>
  <c r="F162" i="71"/>
  <c r="V162" i="71" s="1"/>
  <c r="C163" i="71"/>
  <c r="F163" i="71"/>
  <c r="V163" i="71" s="1"/>
  <c r="C164" i="71"/>
  <c r="F164" i="71"/>
  <c r="V164" i="71" s="1"/>
  <c r="C165" i="71"/>
  <c r="F165" i="71"/>
  <c r="V165" i="71" s="1"/>
  <c r="C166" i="71"/>
  <c r="F166" i="71"/>
  <c r="V166" i="71" s="1"/>
  <c r="C167" i="71"/>
  <c r="F167" i="71"/>
  <c r="V167" i="71" s="1"/>
  <c r="C168" i="71"/>
  <c r="F168" i="71"/>
  <c r="V168" i="71" s="1"/>
  <c r="C169" i="71"/>
  <c r="F169" i="71"/>
  <c r="V169" i="71" s="1"/>
  <c r="C170" i="71"/>
  <c r="F170" i="71"/>
  <c r="V170" i="71" s="1"/>
  <c r="C171" i="71"/>
  <c r="F171" i="71"/>
  <c r="V171" i="71" s="1"/>
  <c r="C172" i="71"/>
  <c r="F172" i="71"/>
  <c r="V172" i="71" s="1"/>
  <c r="C173" i="71"/>
  <c r="F173" i="71"/>
  <c r="V173" i="71" s="1"/>
  <c r="C174" i="71"/>
  <c r="F174" i="71"/>
  <c r="V174" i="71" s="1"/>
  <c r="C175" i="71"/>
  <c r="F175" i="71"/>
  <c r="V175" i="71" s="1"/>
  <c r="C176" i="71"/>
  <c r="F176" i="71"/>
  <c r="V176" i="71" s="1"/>
  <c r="C177" i="71"/>
  <c r="F177" i="71"/>
  <c r="V177" i="71" s="1"/>
  <c r="C178" i="71"/>
  <c r="F178" i="71"/>
  <c r="V178" i="71" s="1"/>
  <c r="C179" i="71"/>
  <c r="F179" i="71"/>
  <c r="V179" i="71" s="1"/>
  <c r="C180" i="71"/>
  <c r="F180" i="71"/>
  <c r="V180" i="71" s="1"/>
  <c r="C181" i="71"/>
  <c r="F181" i="71"/>
  <c r="V181" i="71" s="1"/>
  <c r="C182" i="71"/>
  <c r="F182" i="71"/>
  <c r="V182" i="71" s="1"/>
  <c r="C183" i="71"/>
  <c r="F183" i="71"/>
  <c r="V183" i="71" s="1"/>
  <c r="C184" i="71"/>
  <c r="F184" i="71"/>
  <c r="V184" i="71" s="1"/>
  <c r="C185" i="71"/>
  <c r="F185" i="71"/>
  <c r="V185" i="71" s="1"/>
  <c r="C186" i="71"/>
  <c r="F186" i="71"/>
  <c r="V186" i="71" s="1"/>
  <c r="C187" i="71"/>
  <c r="F187" i="71"/>
  <c r="V187" i="71" s="1"/>
  <c r="C188" i="71"/>
  <c r="F188" i="71"/>
  <c r="V188" i="71" s="1"/>
  <c r="C189" i="71"/>
  <c r="F189" i="71"/>
  <c r="V189" i="71" s="1"/>
  <c r="C190" i="71"/>
  <c r="F190" i="71"/>
  <c r="V190" i="71" s="1"/>
  <c r="C191" i="71"/>
  <c r="F191" i="71"/>
  <c r="V191" i="71" s="1"/>
  <c r="C192" i="71"/>
  <c r="F192" i="71"/>
  <c r="V192" i="71" s="1"/>
  <c r="C193" i="71"/>
  <c r="F193" i="71"/>
  <c r="V193" i="71" s="1"/>
  <c r="C194" i="71"/>
  <c r="F194" i="71"/>
  <c r="V194" i="71" s="1"/>
  <c r="C195" i="71"/>
  <c r="F195" i="71"/>
  <c r="V195" i="71" s="1"/>
  <c r="C196" i="71"/>
  <c r="F196" i="71"/>
  <c r="V196" i="71" s="1"/>
  <c r="C197" i="71"/>
  <c r="F197" i="71"/>
  <c r="V197" i="71" s="1"/>
  <c r="C198" i="71"/>
  <c r="F198" i="71"/>
  <c r="V198" i="71" s="1"/>
  <c r="C199" i="71"/>
  <c r="F199" i="71"/>
  <c r="V199" i="71" s="1"/>
  <c r="C200" i="71"/>
  <c r="F200" i="71"/>
  <c r="V200" i="71" s="1"/>
  <c r="C201" i="71"/>
  <c r="F201" i="71"/>
  <c r="V201" i="71" s="1"/>
  <c r="C202" i="71"/>
  <c r="F202" i="71"/>
  <c r="V202" i="71" s="1"/>
  <c r="C203" i="71"/>
  <c r="F203" i="71"/>
  <c r="V203" i="71" s="1"/>
  <c r="C204" i="71"/>
  <c r="F204" i="71"/>
  <c r="V204" i="71" s="1"/>
  <c r="C205" i="71"/>
  <c r="F205" i="71"/>
  <c r="V205" i="71" s="1"/>
  <c r="C206" i="71"/>
  <c r="F206" i="71"/>
  <c r="V206" i="71" s="1"/>
  <c r="C207" i="71"/>
  <c r="F207" i="71"/>
  <c r="V207" i="71" s="1"/>
  <c r="C208" i="71"/>
  <c r="F208" i="71"/>
  <c r="V208" i="71" s="1"/>
  <c r="C209" i="71"/>
  <c r="F209" i="71"/>
  <c r="V209" i="71" s="1"/>
  <c r="C210" i="71"/>
  <c r="F210" i="71"/>
  <c r="V210" i="71" s="1"/>
  <c r="C211" i="71"/>
  <c r="F211" i="71"/>
  <c r="V211" i="71" s="1"/>
  <c r="C212" i="71"/>
  <c r="F212" i="71"/>
  <c r="V212" i="71" s="1"/>
  <c r="C213" i="71"/>
  <c r="F213" i="71"/>
  <c r="V213" i="71" s="1"/>
  <c r="C214" i="71"/>
  <c r="F214" i="71"/>
  <c r="V214" i="71" s="1"/>
  <c r="C215" i="71"/>
  <c r="F215" i="71"/>
  <c r="V215" i="71" s="1"/>
  <c r="C216" i="71"/>
  <c r="F216" i="71"/>
  <c r="V216" i="71" s="1"/>
  <c r="C217" i="71"/>
  <c r="F217" i="71"/>
  <c r="V217" i="71" s="1"/>
  <c r="C218" i="71"/>
  <c r="F218" i="71"/>
  <c r="V218" i="71" s="1"/>
  <c r="C219" i="71"/>
  <c r="F219" i="71"/>
  <c r="V219" i="71" s="1"/>
  <c r="C220" i="71"/>
  <c r="F220" i="71"/>
  <c r="V220" i="71" s="1"/>
  <c r="C221" i="71"/>
  <c r="F221" i="71"/>
  <c r="V221" i="71" s="1"/>
  <c r="C222" i="71"/>
  <c r="F222" i="71"/>
  <c r="V222" i="71" s="1"/>
  <c r="C223" i="71"/>
  <c r="F223" i="71"/>
  <c r="V223" i="71" s="1"/>
  <c r="C224" i="71"/>
  <c r="F224" i="71"/>
  <c r="V224" i="71" s="1"/>
  <c r="C225" i="71"/>
  <c r="F225" i="71"/>
  <c r="V225" i="71" s="1"/>
  <c r="C226" i="71"/>
  <c r="F226" i="71"/>
  <c r="V226" i="71" s="1"/>
  <c r="C227" i="71"/>
  <c r="F227" i="71"/>
  <c r="V227" i="71" s="1"/>
  <c r="C228" i="71"/>
  <c r="F228" i="71"/>
  <c r="V228" i="71" s="1"/>
  <c r="C229" i="71"/>
  <c r="F229" i="71"/>
  <c r="V229" i="71" s="1"/>
  <c r="C230" i="71"/>
  <c r="F230" i="71"/>
  <c r="V230" i="71" s="1"/>
  <c r="C231" i="71"/>
  <c r="F231" i="71"/>
  <c r="V231" i="71" s="1"/>
  <c r="C232" i="71"/>
  <c r="F232" i="71"/>
  <c r="V232" i="71" s="1"/>
  <c r="C233" i="71"/>
  <c r="F233" i="71"/>
  <c r="V233" i="71" s="1"/>
  <c r="C234" i="71"/>
  <c r="F234" i="71"/>
  <c r="V234" i="71" s="1"/>
  <c r="C235" i="71"/>
  <c r="F235" i="71"/>
  <c r="V235" i="71" s="1"/>
  <c r="C236" i="71"/>
  <c r="F236" i="71"/>
  <c r="V236" i="71" s="1"/>
  <c r="C237" i="71"/>
  <c r="F237" i="71"/>
  <c r="V237" i="71" s="1"/>
  <c r="C238" i="71"/>
  <c r="F238" i="71"/>
  <c r="V238" i="71" s="1"/>
  <c r="C239" i="71"/>
  <c r="F239" i="71"/>
  <c r="V239" i="71" s="1"/>
  <c r="C240" i="71"/>
  <c r="F240" i="71"/>
  <c r="V240" i="71" s="1"/>
  <c r="C241" i="71"/>
  <c r="F241" i="71"/>
  <c r="V241" i="71" s="1"/>
  <c r="C242" i="71"/>
  <c r="F242" i="71"/>
  <c r="V242" i="71" s="1"/>
  <c r="C243" i="71"/>
  <c r="F243" i="71"/>
  <c r="V243" i="71" s="1"/>
  <c r="C244" i="71"/>
  <c r="F244" i="71"/>
  <c r="V244" i="71" s="1"/>
  <c r="C245" i="71"/>
  <c r="F245" i="71"/>
  <c r="V245" i="71" s="1"/>
  <c r="C246" i="71"/>
  <c r="F246" i="71"/>
  <c r="V246" i="71" s="1"/>
  <c r="C247" i="71"/>
  <c r="F247" i="71"/>
  <c r="V247" i="71" s="1"/>
  <c r="C248" i="71"/>
  <c r="F248" i="71"/>
  <c r="V248" i="71" s="1"/>
  <c r="C249" i="71"/>
  <c r="F249" i="71"/>
  <c r="V249" i="71" s="1"/>
  <c r="C250" i="71"/>
  <c r="F250" i="71"/>
  <c r="V250" i="71" s="1"/>
  <c r="C251" i="71"/>
  <c r="F251" i="71"/>
  <c r="V251" i="71" s="1"/>
  <c r="C252" i="71"/>
  <c r="F252" i="71"/>
  <c r="V252" i="71" s="1"/>
  <c r="C253" i="71"/>
  <c r="F253" i="71"/>
  <c r="V253" i="71" s="1"/>
  <c r="C254" i="71"/>
  <c r="F254" i="71"/>
  <c r="V254" i="71" s="1"/>
  <c r="C255" i="71"/>
  <c r="F255" i="71"/>
  <c r="V255" i="71" s="1"/>
  <c r="C256" i="71"/>
  <c r="F256" i="71"/>
  <c r="F15" i="71"/>
  <c r="V15" i="71" s="1"/>
  <c r="C15" i="71"/>
  <c r="F14" i="71"/>
  <c r="V14" i="71" s="1"/>
  <c r="C14" i="71"/>
  <c r="F13" i="71"/>
  <c r="V13" i="71" s="1"/>
  <c r="C13" i="71"/>
  <c r="F12" i="71"/>
  <c r="V12" i="71" s="1"/>
  <c r="C12" i="71"/>
  <c r="F11" i="71"/>
  <c r="C11" i="71"/>
  <c r="A16" i="59"/>
  <c r="G16" i="59"/>
  <c r="A17" i="59"/>
  <c r="G17" i="59"/>
  <c r="A18" i="59"/>
  <c r="G18" i="59"/>
  <c r="A19" i="59"/>
  <c r="G19" i="59"/>
  <c r="A20" i="59"/>
  <c r="G20" i="59"/>
  <c r="A21" i="59"/>
  <c r="G21" i="59"/>
  <c r="A22" i="59"/>
  <c r="G22" i="59"/>
  <c r="A23" i="59"/>
  <c r="G23" i="59"/>
  <c r="A24" i="59"/>
  <c r="G24" i="59"/>
  <c r="A25" i="59"/>
  <c r="G25" i="59"/>
  <c r="A26" i="59"/>
  <c r="G26" i="59"/>
  <c r="A27" i="59"/>
  <c r="G27" i="59"/>
  <c r="A28" i="59"/>
  <c r="G28" i="59"/>
  <c r="A29" i="59"/>
  <c r="G29" i="59"/>
  <c r="A30" i="59"/>
  <c r="G30" i="59"/>
  <c r="A31" i="59"/>
  <c r="G31" i="59"/>
  <c r="A32" i="59"/>
  <c r="G32" i="59"/>
  <c r="A33" i="59"/>
  <c r="G33" i="59"/>
  <c r="A34" i="59"/>
  <c r="G34" i="59"/>
  <c r="A35" i="59"/>
  <c r="G35" i="59"/>
  <c r="A36" i="59"/>
  <c r="G36" i="59"/>
  <c r="A37" i="59"/>
  <c r="G37" i="59"/>
  <c r="A38" i="59"/>
  <c r="G38" i="59"/>
  <c r="A39" i="59"/>
  <c r="G39" i="59"/>
  <c r="A40" i="59"/>
  <c r="G40" i="59"/>
  <c r="A41" i="59"/>
  <c r="G41" i="59"/>
  <c r="A42" i="59"/>
  <c r="G42" i="59"/>
  <c r="A43" i="59"/>
  <c r="G43" i="59"/>
  <c r="A44" i="59"/>
  <c r="G44" i="59"/>
  <c r="A45" i="59"/>
  <c r="G45" i="59"/>
  <c r="A46" i="59"/>
  <c r="G46" i="59"/>
  <c r="A47" i="59"/>
  <c r="G47" i="59"/>
  <c r="A48" i="59"/>
  <c r="G48" i="59"/>
  <c r="A49" i="59"/>
  <c r="G49" i="59"/>
  <c r="A50" i="59"/>
  <c r="G50" i="59"/>
  <c r="A51" i="59"/>
  <c r="G51" i="59"/>
  <c r="A52" i="59"/>
  <c r="G52" i="59"/>
  <c r="A53" i="59"/>
  <c r="G53" i="59"/>
  <c r="A54" i="59"/>
  <c r="G54" i="59"/>
  <c r="A55" i="59"/>
  <c r="G55" i="59"/>
  <c r="A56" i="59"/>
  <c r="G56" i="59"/>
  <c r="A57" i="59"/>
  <c r="G57" i="59"/>
  <c r="A58" i="59"/>
  <c r="G58" i="59"/>
  <c r="A59" i="59"/>
  <c r="G59" i="59"/>
  <c r="A60" i="59"/>
  <c r="G60" i="59"/>
  <c r="A61" i="59"/>
  <c r="G61" i="59"/>
  <c r="A62" i="59"/>
  <c r="G62" i="59"/>
  <c r="A63" i="59"/>
  <c r="G63" i="59"/>
  <c r="A64" i="59"/>
  <c r="G64" i="59"/>
  <c r="A65" i="59"/>
  <c r="G65" i="59"/>
  <c r="A66" i="59"/>
  <c r="G66" i="59"/>
  <c r="A67" i="59"/>
  <c r="G67" i="59"/>
  <c r="A68" i="59"/>
  <c r="G68" i="59"/>
  <c r="A69" i="59"/>
  <c r="G69" i="59"/>
  <c r="A70" i="59"/>
  <c r="G70" i="59"/>
  <c r="A71" i="59"/>
  <c r="G71" i="59"/>
  <c r="A72" i="59"/>
  <c r="G72" i="59"/>
  <c r="A73" i="59"/>
  <c r="G73" i="59"/>
  <c r="A74" i="59"/>
  <c r="G74" i="59"/>
  <c r="A75" i="59"/>
  <c r="G75" i="59"/>
  <c r="A76" i="59"/>
  <c r="G76" i="59"/>
  <c r="A77" i="59"/>
  <c r="G77" i="59"/>
  <c r="A78" i="59"/>
  <c r="G78" i="59"/>
  <c r="A79" i="59"/>
  <c r="G79" i="59"/>
  <c r="A80" i="59"/>
  <c r="G80" i="59"/>
  <c r="A81" i="59"/>
  <c r="G81" i="59"/>
  <c r="A82" i="59"/>
  <c r="G82" i="59"/>
  <c r="A83" i="59"/>
  <c r="G83" i="59"/>
  <c r="A84" i="59"/>
  <c r="G84" i="59"/>
  <c r="A85" i="59"/>
  <c r="G85" i="59"/>
  <c r="A86" i="59"/>
  <c r="G86" i="59"/>
  <c r="A87" i="59"/>
  <c r="G87" i="59"/>
  <c r="A88" i="59"/>
  <c r="G88" i="59"/>
  <c r="A89" i="59"/>
  <c r="G89" i="59"/>
  <c r="A90" i="59"/>
  <c r="G90" i="59"/>
  <c r="A91" i="59"/>
  <c r="G91" i="59"/>
  <c r="A92" i="59"/>
  <c r="G92" i="59"/>
  <c r="A93" i="59"/>
  <c r="G93" i="59"/>
  <c r="A94" i="59"/>
  <c r="G94" i="59"/>
  <c r="A95" i="59"/>
  <c r="G95" i="59"/>
  <c r="A96" i="59"/>
  <c r="G96" i="59"/>
  <c r="A97" i="59"/>
  <c r="G97" i="59"/>
  <c r="A98" i="59"/>
  <c r="G98" i="59"/>
  <c r="A99" i="59"/>
  <c r="G99" i="59"/>
  <c r="A100" i="59"/>
  <c r="G100" i="59"/>
  <c r="A101" i="59"/>
  <c r="G101" i="59"/>
  <c r="A102" i="59"/>
  <c r="G102" i="59"/>
  <c r="A103" i="59"/>
  <c r="G103" i="59"/>
  <c r="A104" i="59"/>
  <c r="G104" i="59"/>
  <c r="A105" i="59"/>
  <c r="G105" i="59"/>
  <c r="A106" i="59"/>
  <c r="G106" i="59"/>
  <c r="A107" i="59"/>
  <c r="G107" i="59"/>
  <c r="A108" i="59"/>
  <c r="G108" i="59"/>
  <c r="A109" i="59"/>
  <c r="G109" i="59"/>
  <c r="A110" i="59"/>
  <c r="G110" i="59"/>
  <c r="A111" i="59"/>
  <c r="G111" i="59"/>
  <c r="A112" i="59"/>
  <c r="G112" i="59"/>
  <c r="A113" i="59"/>
  <c r="G113" i="59"/>
  <c r="A114" i="59"/>
  <c r="G114" i="59"/>
  <c r="A115" i="59"/>
  <c r="G115" i="59"/>
  <c r="A116" i="59"/>
  <c r="G116" i="59"/>
  <c r="A117" i="59"/>
  <c r="G117" i="59"/>
  <c r="A118" i="59"/>
  <c r="G118" i="59"/>
  <c r="A119" i="59"/>
  <c r="G119" i="59"/>
  <c r="A120" i="59"/>
  <c r="G120" i="59"/>
  <c r="A121" i="59"/>
  <c r="G121" i="59"/>
  <c r="A122" i="59"/>
  <c r="G122" i="59"/>
  <c r="A123" i="59"/>
  <c r="G123" i="59"/>
  <c r="A124" i="59"/>
  <c r="G124" i="59"/>
  <c r="A125" i="59"/>
  <c r="G125" i="59"/>
  <c r="A126" i="59"/>
  <c r="G126" i="59"/>
  <c r="A127" i="59"/>
  <c r="G127" i="59"/>
  <c r="A128" i="59"/>
  <c r="G128" i="59"/>
  <c r="A129" i="59"/>
  <c r="G129" i="59"/>
  <c r="A130" i="59"/>
  <c r="G130" i="59"/>
  <c r="A131" i="59"/>
  <c r="G131" i="59"/>
  <c r="A132" i="59"/>
  <c r="G132" i="59"/>
  <c r="A133" i="59"/>
  <c r="G133" i="59"/>
  <c r="A134" i="59"/>
  <c r="G134" i="59"/>
  <c r="A135" i="59"/>
  <c r="G135" i="59"/>
  <c r="A136" i="59"/>
  <c r="G136" i="59"/>
  <c r="A137" i="59"/>
  <c r="G137" i="59"/>
  <c r="A138" i="59"/>
  <c r="G138" i="59"/>
  <c r="A139" i="59"/>
  <c r="G139" i="59"/>
  <c r="A140" i="59"/>
  <c r="G140" i="59"/>
  <c r="A141" i="59"/>
  <c r="G141" i="59"/>
  <c r="A142" i="59"/>
  <c r="G142" i="59"/>
  <c r="A143" i="59"/>
  <c r="G143" i="59"/>
  <c r="A144" i="59"/>
  <c r="G144" i="59"/>
  <c r="A145" i="59"/>
  <c r="G145" i="59"/>
  <c r="A146" i="59"/>
  <c r="G146" i="59"/>
  <c r="A147" i="59"/>
  <c r="G147" i="59"/>
  <c r="A148" i="59"/>
  <c r="G148" i="59"/>
  <c r="A149" i="59"/>
  <c r="G149" i="59"/>
  <c r="A150" i="59"/>
  <c r="G150" i="59"/>
  <c r="A151" i="59"/>
  <c r="G151" i="59"/>
  <c r="A152" i="59"/>
  <c r="G152" i="59"/>
  <c r="A153" i="59"/>
  <c r="G153" i="59"/>
  <c r="A154" i="59"/>
  <c r="G154" i="59"/>
  <c r="A155" i="59"/>
  <c r="G155" i="59"/>
  <c r="A156" i="59"/>
  <c r="G156" i="59"/>
  <c r="A157" i="59"/>
  <c r="G157" i="59"/>
  <c r="A158" i="59"/>
  <c r="G158" i="59"/>
  <c r="A159" i="59"/>
  <c r="G159" i="59"/>
  <c r="A160" i="59"/>
  <c r="G160" i="59"/>
  <c r="A161" i="59"/>
  <c r="G161" i="59"/>
  <c r="A162" i="59"/>
  <c r="G162" i="59"/>
  <c r="A163" i="59"/>
  <c r="G163" i="59"/>
  <c r="A164" i="59"/>
  <c r="G164" i="59"/>
  <c r="A165" i="59"/>
  <c r="G165" i="59"/>
  <c r="A166" i="59"/>
  <c r="G166" i="59"/>
  <c r="A167" i="59"/>
  <c r="G167" i="59"/>
  <c r="A168" i="59"/>
  <c r="G168" i="59"/>
  <c r="A169" i="59"/>
  <c r="G169" i="59"/>
  <c r="A170" i="59"/>
  <c r="G170" i="59"/>
  <c r="A171" i="59"/>
  <c r="G171" i="59"/>
  <c r="A172" i="59"/>
  <c r="G172" i="59"/>
  <c r="A173" i="59"/>
  <c r="G173" i="59"/>
  <c r="A174" i="59"/>
  <c r="G174" i="59"/>
  <c r="A175" i="59"/>
  <c r="G175" i="59"/>
  <c r="A176" i="59"/>
  <c r="G176" i="59"/>
  <c r="A177" i="59"/>
  <c r="G177" i="59"/>
  <c r="A178" i="59"/>
  <c r="G178" i="59"/>
  <c r="A179" i="59"/>
  <c r="G179" i="59"/>
  <c r="A180" i="59"/>
  <c r="G180" i="59"/>
  <c r="A181" i="59"/>
  <c r="G181" i="59"/>
  <c r="A182" i="59"/>
  <c r="G182" i="59"/>
  <c r="A183" i="59"/>
  <c r="G183" i="59"/>
  <c r="A184" i="59"/>
  <c r="G184" i="59"/>
  <c r="A185" i="59"/>
  <c r="G185" i="59"/>
  <c r="A186" i="59"/>
  <c r="G186" i="59"/>
  <c r="A187" i="59"/>
  <c r="G187" i="59"/>
  <c r="A188" i="59"/>
  <c r="G188" i="59"/>
  <c r="A189" i="59"/>
  <c r="G189" i="59"/>
  <c r="A190" i="59"/>
  <c r="G190" i="59"/>
  <c r="A191" i="59"/>
  <c r="G191" i="59"/>
  <c r="A192" i="59"/>
  <c r="G192" i="59"/>
  <c r="A193" i="59"/>
  <c r="G193" i="59"/>
  <c r="A194" i="59"/>
  <c r="G194" i="59"/>
  <c r="A195" i="59"/>
  <c r="G195" i="59"/>
  <c r="A196" i="59"/>
  <c r="G196" i="59"/>
  <c r="A197" i="59"/>
  <c r="G197" i="59"/>
  <c r="A198" i="59"/>
  <c r="G198" i="59"/>
  <c r="A199" i="59"/>
  <c r="G199" i="59"/>
  <c r="A200" i="59"/>
  <c r="G200" i="59"/>
  <c r="A201" i="59"/>
  <c r="G201" i="59"/>
  <c r="A202" i="59"/>
  <c r="G202" i="59"/>
  <c r="A203" i="59"/>
  <c r="G203" i="59"/>
  <c r="A204" i="59"/>
  <c r="G204" i="59"/>
  <c r="A205" i="59"/>
  <c r="G205" i="59"/>
  <c r="A206" i="59"/>
  <c r="G206" i="59"/>
  <c r="A207" i="59"/>
  <c r="G207" i="59"/>
  <c r="A208" i="59"/>
  <c r="G208" i="59"/>
  <c r="A209" i="59"/>
  <c r="G209" i="59"/>
  <c r="A210" i="59"/>
  <c r="G210" i="59"/>
  <c r="A211" i="59"/>
  <c r="G211" i="59"/>
  <c r="A212" i="59"/>
  <c r="G212" i="59"/>
  <c r="A213" i="59"/>
  <c r="G213" i="59"/>
  <c r="A214" i="59"/>
  <c r="G214" i="59"/>
  <c r="A215" i="59"/>
  <c r="G215" i="59"/>
  <c r="A216" i="59"/>
  <c r="G216" i="59"/>
  <c r="A217" i="59"/>
  <c r="G217" i="59"/>
  <c r="A218" i="59"/>
  <c r="G218" i="59"/>
  <c r="A219" i="59"/>
  <c r="G219" i="59"/>
  <c r="A220" i="59"/>
  <c r="G220" i="59"/>
  <c r="A221" i="59"/>
  <c r="G221" i="59"/>
  <c r="A222" i="59"/>
  <c r="G222" i="59"/>
  <c r="A223" i="59"/>
  <c r="G223" i="59"/>
  <c r="A224" i="59"/>
  <c r="G224" i="59"/>
  <c r="A225" i="59"/>
  <c r="G225" i="59"/>
  <c r="A226" i="59"/>
  <c r="G226" i="59"/>
  <c r="A227" i="59"/>
  <c r="G227" i="59"/>
  <c r="A228" i="59"/>
  <c r="G228" i="59"/>
  <c r="A229" i="59"/>
  <c r="G229" i="59"/>
  <c r="A230" i="59"/>
  <c r="G230" i="59"/>
  <c r="A231" i="59"/>
  <c r="G231" i="59"/>
  <c r="A232" i="59"/>
  <c r="G232" i="59"/>
  <c r="A233" i="59"/>
  <c r="G233" i="59"/>
  <c r="A234" i="59"/>
  <c r="G234" i="59"/>
  <c r="A235" i="59"/>
  <c r="G235" i="59"/>
  <c r="A236" i="59"/>
  <c r="G236" i="59"/>
  <c r="A237" i="59"/>
  <c r="G237" i="59"/>
  <c r="A238" i="59"/>
  <c r="G238" i="59"/>
  <c r="A239" i="59"/>
  <c r="G239" i="59"/>
  <c r="A240" i="59"/>
  <c r="G240" i="59"/>
  <c r="A241" i="59"/>
  <c r="G241" i="59"/>
  <c r="A242" i="59"/>
  <c r="G242" i="59"/>
  <c r="A243" i="59"/>
  <c r="G243" i="59"/>
  <c r="A244" i="59"/>
  <c r="G244" i="59"/>
  <c r="A245" i="59"/>
  <c r="G245" i="59"/>
  <c r="A246" i="59"/>
  <c r="G246" i="59"/>
  <c r="A247" i="59"/>
  <c r="G247" i="59"/>
  <c r="A248" i="59"/>
  <c r="G248" i="59"/>
  <c r="A249" i="59"/>
  <c r="G249" i="59"/>
  <c r="A250" i="59"/>
  <c r="G250" i="59"/>
  <c r="A251" i="59"/>
  <c r="G251" i="59"/>
  <c r="A252" i="59"/>
  <c r="G252" i="59"/>
  <c r="A253" i="59"/>
  <c r="G253" i="59"/>
  <c r="A254" i="59"/>
  <c r="G254" i="59"/>
  <c r="A255" i="59"/>
  <c r="G255" i="59"/>
  <c r="A256" i="59"/>
  <c r="G256" i="59"/>
  <c r="A257" i="59"/>
  <c r="G257" i="59"/>
  <c r="A258" i="59"/>
  <c r="G258" i="59"/>
  <c r="G14" i="59"/>
  <c r="G15" i="59"/>
  <c r="A12" i="59"/>
  <c r="G12" i="59"/>
  <c r="P12" i="59" s="1"/>
  <c r="A13" i="59"/>
  <c r="G13" i="59"/>
  <c r="A14" i="59"/>
  <c r="A15" i="59"/>
  <c r="G11" i="59"/>
  <c r="A11" i="59"/>
  <c r="C11" i="46"/>
  <c r="D3" i="46"/>
  <c r="C12" i="46"/>
  <c r="C13" i="46"/>
  <c r="C14" i="46"/>
  <c r="C15" i="46"/>
  <c r="C16" i="46"/>
  <c r="F16" i="46"/>
  <c r="C17" i="46"/>
  <c r="F17" i="46"/>
  <c r="C18" i="46"/>
  <c r="F18" i="46"/>
  <c r="C19" i="46"/>
  <c r="F19" i="46"/>
  <c r="C20" i="46"/>
  <c r="F20" i="46"/>
  <c r="C21" i="46"/>
  <c r="F21" i="46"/>
  <c r="C22" i="46"/>
  <c r="F22" i="46"/>
  <c r="C23" i="46"/>
  <c r="F23" i="46"/>
  <c r="V23" i="46" s="1"/>
  <c r="C24" i="46"/>
  <c r="F24" i="46"/>
  <c r="V24" i="46" s="1"/>
  <c r="C25" i="46"/>
  <c r="F25" i="46"/>
  <c r="V25" i="46" s="1"/>
  <c r="C26" i="46"/>
  <c r="F26" i="46"/>
  <c r="V26" i="46" s="1"/>
  <c r="C27" i="46"/>
  <c r="F27" i="46"/>
  <c r="V27" i="46" s="1"/>
  <c r="C28" i="46"/>
  <c r="F28" i="46"/>
  <c r="V28" i="46" s="1"/>
  <c r="C29" i="46"/>
  <c r="F29" i="46"/>
  <c r="V29" i="46" s="1"/>
  <c r="C30" i="46"/>
  <c r="F30" i="46"/>
  <c r="V30" i="46" s="1"/>
  <c r="C31" i="46"/>
  <c r="F31" i="46"/>
  <c r="V31" i="46" s="1"/>
  <c r="C32" i="46"/>
  <c r="F32" i="46"/>
  <c r="V32" i="46" s="1"/>
  <c r="C33" i="46"/>
  <c r="F33" i="46"/>
  <c r="V33" i="46" s="1"/>
  <c r="C34" i="46"/>
  <c r="F34" i="46"/>
  <c r="V34" i="46" s="1"/>
  <c r="C35" i="46"/>
  <c r="F35" i="46"/>
  <c r="V35" i="46" s="1"/>
  <c r="C36" i="46"/>
  <c r="F36" i="46"/>
  <c r="V36" i="46" s="1"/>
  <c r="C37" i="46"/>
  <c r="F37" i="46"/>
  <c r="V37" i="46" s="1"/>
  <c r="C38" i="46"/>
  <c r="F38" i="46"/>
  <c r="V38" i="46" s="1"/>
  <c r="C39" i="46"/>
  <c r="F39" i="46"/>
  <c r="V39" i="46" s="1"/>
  <c r="C40" i="46"/>
  <c r="F40" i="46"/>
  <c r="V40" i="46" s="1"/>
  <c r="C41" i="46"/>
  <c r="F41" i="46"/>
  <c r="V41" i="46" s="1"/>
  <c r="C42" i="46"/>
  <c r="F42" i="46"/>
  <c r="V42" i="46" s="1"/>
  <c r="C43" i="46"/>
  <c r="F43" i="46"/>
  <c r="V43" i="46" s="1"/>
  <c r="C44" i="46"/>
  <c r="F44" i="46"/>
  <c r="V44" i="46" s="1"/>
  <c r="C45" i="46"/>
  <c r="F45" i="46"/>
  <c r="V45" i="46" s="1"/>
  <c r="C46" i="46"/>
  <c r="F46" i="46"/>
  <c r="V46" i="46" s="1"/>
  <c r="C47" i="46"/>
  <c r="F47" i="46"/>
  <c r="V47" i="46" s="1"/>
  <c r="C48" i="46"/>
  <c r="F48" i="46"/>
  <c r="V48" i="46" s="1"/>
  <c r="C49" i="46"/>
  <c r="F49" i="46"/>
  <c r="V49" i="46" s="1"/>
  <c r="C50" i="46"/>
  <c r="F50" i="46"/>
  <c r="V50" i="46" s="1"/>
  <c r="C51" i="46"/>
  <c r="F51" i="46"/>
  <c r="V51" i="46" s="1"/>
  <c r="C52" i="46"/>
  <c r="F52" i="46"/>
  <c r="V52" i="46" s="1"/>
  <c r="C53" i="46"/>
  <c r="F53" i="46"/>
  <c r="V53" i="46" s="1"/>
  <c r="C54" i="46"/>
  <c r="F54" i="46"/>
  <c r="V54" i="46" s="1"/>
  <c r="C55" i="46"/>
  <c r="F55" i="46"/>
  <c r="V55" i="46" s="1"/>
  <c r="C56" i="46"/>
  <c r="F56" i="46"/>
  <c r="V56" i="46" s="1"/>
  <c r="C57" i="46"/>
  <c r="F57" i="46"/>
  <c r="V57" i="46" s="1"/>
  <c r="C58" i="46"/>
  <c r="F58" i="46"/>
  <c r="V58" i="46" s="1"/>
  <c r="C59" i="46"/>
  <c r="F59" i="46"/>
  <c r="V59" i="46" s="1"/>
  <c r="C60" i="46"/>
  <c r="F60" i="46"/>
  <c r="V60" i="46" s="1"/>
  <c r="C61" i="46"/>
  <c r="F61" i="46"/>
  <c r="V61" i="46" s="1"/>
  <c r="C62" i="46"/>
  <c r="F62" i="46"/>
  <c r="V62" i="46" s="1"/>
  <c r="C63" i="46"/>
  <c r="F63" i="46"/>
  <c r="V63" i="46" s="1"/>
  <c r="C64" i="46"/>
  <c r="F64" i="46"/>
  <c r="V64" i="46" s="1"/>
  <c r="C65" i="46"/>
  <c r="F65" i="46"/>
  <c r="V65" i="46" s="1"/>
  <c r="C66" i="46"/>
  <c r="F66" i="46"/>
  <c r="V66" i="46" s="1"/>
  <c r="C67" i="46"/>
  <c r="F67" i="46"/>
  <c r="V67" i="46" s="1"/>
  <c r="C68" i="46"/>
  <c r="F68" i="46"/>
  <c r="V68" i="46" s="1"/>
  <c r="C69" i="46"/>
  <c r="F69" i="46"/>
  <c r="V69" i="46" s="1"/>
  <c r="C70" i="46"/>
  <c r="F70" i="46"/>
  <c r="V70" i="46" s="1"/>
  <c r="C71" i="46"/>
  <c r="F71" i="46"/>
  <c r="V71" i="46" s="1"/>
  <c r="C72" i="46"/>
  <c r="F72" i="46"/>
  <c r="V72" i="46" s="1"/>
  <c r="C73" i="46"/>
  <c r="F73" i="46"/>
  <c r="V73" i="46" s="1"/>
  <c r="C74" i="46"/>
  <c r="F74" i="46"/>
  <c r="V74" i="46" s="1"/>
  <c r="C75" i="46"/>
  <c r="F75" i="46"/>
  <c r="V75" i="46" s="1"/>
  <c r="C76" i="46"/>
  <c r="F76" i="46"/>
  <c r="V76" i="46" s="1"/>
  <c r="C77" i="46"/>
  <c r="F77" i="46"/>
  <c r="V77" i="46" s="1"/>
  <c r="C78" i="46"/>
  <c r="F78" i="46"/>
  <c r="V78" i="46" s="1"/>
  <c r="C79" i="46"/>
  <c r="F79" i="46"/>
  <c r="V79" i="46" s="1"/>
  <c r="C80" i="46"/>
  <c r="F80" i="46"/>
  <c r="V80" i="46" s="1"/>
  <c r="C81" i="46"/>
  <c r="F81" i="46"/>
  <c r="V81" i="46" s="1"/>
  <c r="C82" i="46"/>
  <c r="F82" i="46"/>
  <c r="V82" i="46" s="1"/>
  <c r="C83" i="46"/>
  <c r="F83" i="46"/>
  <c r="V83" i="46" s="1"/>
  <c r="C84" i="46"/>
  <c r="F84" i="46"/>
  <c r="V84" i="46" s="1"/>
  <c r="C85" i="46"/>
  <c r="F85" i="46"/>
  <c r="V85" i="46" s="1"/>
  <c r="C86" i="46"/>
  <c r="F86" i="46"/>
  <c r="V86" i="46" s="1"/>
  <c r="C87" i="46"/>
  <c r="F87" i="46"/>
  <c r="V87" i="46" s="1"/>
  <c r="C88" i="46"/>
  <c r="F88" i="46"/>
  <c r="V88" i="46" s="1"/>
  <c r="C89" i="46"/>
  <c r="F89" i="46"/>
  <c r="V89" i="46" s="1"/>
  <c r="C90" i="46"/>
  <c r="F90" i="46"/>
  <c r="V90" i="46" s="1"/>
  <c r="C91" i="46"/>
  <c r="F91" i="46"/>
  <c r="V91" i="46" s="1"/>
  <c r="C92" i="46"/>
  <c r="F92" i="46"/>
  <c r="V92" i="46" s="1"/>
  <c r="C93" i="46"/>
  <c r="F93" i="46"/>
  <c r="V93" i="46" s="1"/>
  <c r="C94" i="46"/>
  <c r="F94" i="46"/>
  <c r="V94" i="46" s="1"/>
  <c r="C95" i="46"/>
  <c r="F95" i="46"/>
  <c r="V95" i="46" s="1"/>
  <c r="C96" i="46"/>
  <c r="F96" i="46"/>
  <c r="V96" i="46" s="1"/>
  <c r="C97" i="46"/>
  <c r="F97" i="46"/>
  <c r="V97" i="46" s="1"/>
  <c r="C98" i="46"/>
  <c r="F98" i="46"/>
  <c r="V98" i="46" s="1"/>
  <c r="C99" i="46"/>
  <c r="F99" i="46"/>
  <c r="V99" i="46" s="1"/>
  <c r="C100" i="46"/>
  <c r="F100" i="46"/>
  <c r="V100" i="46" s="1"/>
  <c r="C101" i="46"/>
  <c r="F101" i="46"/>
  <c r="V101" i="46" s="1"/>
  <c r="C102" i="46"/>
  <c r="F102" i="46"/>
  <c r="V102" i="46" s="1"/>
  <c r="C103" i="46"/>
  <c r="F103" i="46"/>
  <c r="V103" i="46" s="1"/>
  <c r="C104" i="46"/>
  <c r="F104" i="46"/>
  <c r="V104" i="46" s="1"/>
  <c r="C105" i="46"/>
  <c r="F105" i="46"/>
  <c r="V105" i="46" s="1"/>
  <c r="C106" i="46"/>
  <c r="F106" i="46"/>
  <c r="V106" i="46" s="1"/>
  <c r="C107" i="46"/>
  <c r="F107" i="46"/>
  <c r="V107" i="46" s="1"/>
  <c r="C108" i="46"/>
  <c r="F108" i="46"/>
  <c r="V108" i="46" s="1"/>
  <c r="C109" i="46"/>
  <c r="F109" i="46"/>
  <c r="V109" i="46" s="1"/>
  <c r="C110" i="46"/>
  <c r="F110" i="46"/>
  <c r="V110" i="46" s="1"/>
  <c r="C111" i="46"/>
  <c r="F111" i="46"/>
  <c r="V111" i="46" s="1"/>
  <c r="C112" i="46"/>
  <c r="F112" i="46"/>
  <c r="V112" i="46" s="1"/>
  <c r="C113" i="46"/>
  <c r="F113" i="46"/>
  <c r="V113" i="46" s="1"/>
  <c r="C114" i="46"/>
  <c r="F114" i="46"/>
  <c r="V114" i="46" s="1"/>
  <c r="C115" i="46"/>
  <c r="F115" i="46"/>
  <c r="V115" i="46" s="1"/>
  <c r="C116" i="46"/>
  <c r="F116" i="46"/>
  <c r="V116" i="46" s="1"/>
  <c r="C117" i="46"/>
  <c r="F117" i="46"/>
  <c r="V117" i="46" s="1"/>
  <c r="C118" i="46"/>
  <c r="F118" i="46"/>
  <c r="V118" i="46" s="1"/>
  <c r="C119" i="46"/>
  <c r="F119" i="46"/>
  <c r="V119" i="46" s="1"/>
  <c r="C120" i="46"/>
  <c r="F120" i="46"/>
  <c r="V120" i="46" s="1"/>
  <c r="C121" i="46"/>
  <c r="F121" i="46"/>
  <c r="V121" i="46" s="1"/>
  <c r="C122" i="46"/>
  <c r="F122" i="46"/>
  <c r="V122" i="46" s="1"/>
  <c r="C123" i="46"/>
  <c r="F123" i="46"/>
  <c r="V123" i="46" s="1"/>
  <c r="C124" i="46"/>
  <c r="F124" i="46"/>
  <c r="V124" i="46" s="1"/>
  <c r="C125" i="46"/>
  <c r="F125" i="46"/>
  <c r="V125" i="46" s="1"/>
  <c r="C126" i="46"/>
  <c r="F126" i="46"/>
  <c r="V126" i="46" s="1"/>
  <c r="C127" i="46"/>
  <c r="F127" i="46"/>
  <c r="V127" i="46" s="1"/>
  <c r="C128" i="46"/>
  <c r="F128" i="46"/>
  <c r="V128" i="46" s="1"/>
  <c r="C129" i="46"/>
  <c r="F129" i="46"/>
  <c r="V129" i="46" s="1"/>
  <c r="C130" i="46"/>
  <c r="F130" i="46"/>
  <c r="V130" i="46" s="1"/>
  <c r="C131" i="46"/>
  <c r="F131" i="46"/>
  <c r="V131" i="46" s="1"/>
  <c r="C132" i="46"/>
  <c r="F132" i="46"/>
  <c r="V132" i="46" s="1"/>
  <c r="C133" i="46"/>
  <c r="F133" i="46"/>
  <c r="V133" i="46" s="1"/>
  <c r="C134" i="46"/>
  <c r="F134" i="46"/>
  <c r="V134" i="46" s="1"/>
  <c r="C135" i="46"/>
  <c r="F135" i="46"/>
  <c r="V135" i="46" s="1"/>
  <c r="C136" i="46"/>
  <c r="F136" i="46"/>
  <c r="V136" i="46" s="1"/>
  <c r="C137" i="46"/>
  <c r="F137" i="46"/>
  <c r="V137" i="46" s="1"/>
  <c r="C138" i="46"/>
  <c r="F138" i="46"/>
  <c r="V138" i="46" s="1"/>
  <c r="C139" i="46"/>
  <c r="F139" i="46"/>
  <c r="V139" i="46" s="1"/>
  <c r="C140" i="46"/>
  <c r="F140" i="46"/>
  <c r="V140" i="46" s="1"/>
  <c r="C141" i="46"/>
  <c r="F141" i="46"/>
  <c r="V141" i="46" s="1"/>
  <c r="C142" i="46"/>
  <c r="F142" i="46"/>
  <c r="V142" i="46" s="1"/>
  <c r="C143" i="46"/>
  <c r="F143" i="46"/>
  <c r="V143" i="46" s="1"/>
  <c r="C144" i="46"/>
  <c r="F144" i="46"/>
  <c r="V144" i="46" s="1"/>
  <c r="C145" i="46"/>
  <c r="F145" i="46"/>
  <c r="V145" i="46" s="1"/>
  <c r="C146" i="46"/>
  <c r="F146" i="46"/>
  <c r="V146" i="46" s="1"/>
  <c r="C147" i="46"/>
  <c r="F147" i="46"/>
  <c r="V147" i="46" s="1"/>
  <c r="C148" i="46"/>
  <c r="F148" i="46"/>
  <c r="V148" i="46" s="1"/>
  <c r="C149" i="46"/>
  <c r="F149" i="46"/>
  <c r="V149" i="46" s="1"/>
  <c r="C150" i="46"/>
  <c r="F150" i="46"/>
  <c r="V150" i="46" s="1"/>
  <c r="C151" i="46"/>
  <c r="F151" i="46"/>
  <c r="V151" i="46" s="1"/>
  <c r="C152" i="46"/>
  <c r="F152" i="46"/>
  <c r="V152" i="46" s="1"/>
  <c r="C153" i="46"/>
  <c r="F153" i="46"/>
  <c r="V153" i="46" s="1"/>
  <c r="C154" i="46"/>
  <c r="F154" i="46"/>
  <c r="V154" i="46" s="1"/>
  <c r="C155" i="46"/>
  <c r="F155" i="46"/>
  <c r="V155" i="46" s="1"/>
  <c r="C156" i="46"/>
  <c r="F156" i="46"/>
  <c r="V156" i="46" s="1"/>
  <c r="C157" i="46"/>
  <c r="F157" i="46"/>
  <c r="V157" i="46" s="1"/>
  <c r="C158" i="46"/>
  <c r="F158" i="46"/>
  <c r="V158" i="46" s="1"/>
  <c r="C159" i="46"/>
  <c r="F159" i="46"/>
  <c r="V159" i="46" s="1"/>
  <c r="C160" i="46"/>
  <c r="F160" i="46"/>
  <c r="V160" i="46" s="1"/>
  <c r="C161" i="46"/>
  <c r="F161" i="46"/>
  <c r="V161" i="46" s="1"/>
  <c r="C162" i="46"/>
  <c r="F162" i="46"/>
  <c r="V162" i="46" s="1"/>
  <c r="C163" i="46"/>
  <c r="F163" i="46"/>
  <c r="V163" i="46" s="1"/>
  <c r="C164" i="46"/>
  <c r="F164" i="46"/>
  <c r="V164" i="46" s="1"/>
  <c r="C165" i="46"/>
  <c r="F165" i="46"/>
  <c r="V165" i="46" s="1"/>
  <c r="C166" i="46"/>
  <c r="F166" i="46"/>
  <c r="V166" i="46" s="1"/>
  <c r="C167" i="46"/>
  <c r="F167" i="46"/>
  <c r="V167" i="46" s="1"/>
  <c r="C168" i="46"/>
  <c r="F168" i="46"/>
  <c r="V168" i="46" s="1"/>
  <c r="C169" i="46"/>
  <c r="F169" i="46"/>
  <c r="V169" i="46" s="1"/>
  <c r="C170" i="46"/>
  <c r="F170" i="46"/>
  <c r="V170" i="46" s="1"/>
  <c r="C171" i="46"/>
  <c r="F171" i="46"/>
  <c r="V171" i="46" s="1"/>
  <c r="C172" i="46"/>
  <c r="F172" i="46"/>
  <c r="V172" i="46" s="1"/>
  <c r="C173" i="46"/>
  <c r="F173" i="46"/>
  <c r="V173" i="46" s="1"/>
  <c r="C174" i="46"/>
  <c r="F174" i="46"/>
  <c r="V174" i="46" s="1"/>
  <c r="C175" i="46"/>
  <c r="F175" i="46"/>
  <c r="V175" i="46" s="1"/>
  <c r="C176" i="46"/>
  <c r="F176" i="46"/>
  <c r="V176" i="46" s="1"/>
  <c r="C177" i="46"/>
  <c r="F177" i="46"/>
  <c r="V177" i="46" s="1"/>
  <c r="C178" i="46"/>
  <c r="F178" i="46"/>
  <c r="V178" i="46" s="1"/>
  <c r="C179" i="46"/>
  <c r="F179" i="46"/>
  <c r="V179" i="46" s="1"/>
  <c r="C180" i="46"/>
  <c r="F180" i="46"/>
  <c r="V180" i="46" s="1"/>
  <c r="C181" i="46"/>
  <c r="F181" i="46"/>
  <c r="V181" i="46" s="1"/>
  <c r="C182" i="46"/>
  <c r="F182" i="46"/>
  <c r="V182" i="46" s="1"/>
  <c r="C183" i="46"/>
  <c r="F183" i="46"/>
  <c r="V183" i="46" s="1"/>
  <c r="C184" i="46"/>
  <c r="F184" i="46"/>
  <c r="V184" i="46" s="1"/>
  <c r="C185" i="46"/>
  <c r="F185" i="46"/>
  <c r="V185" i="46" s="1"/>
  <c r="C186" i="46"/>
  <c r="F186" i="46"/>
  <c r="V186" i="46" s="1"/>
  <c r="C187" i="46"/>
  <c r="F187" i="46"/>
  <c r="V187" i="46" s="1"/>
  <c r="C188" i="46"/>
  <c r="F188" i="46"/>
  <c r="V188" i="46" s="1"/>
  <c r="C189" i="46"/>
  <c r="F189" i="46"/>
  <c r="V189" i="46" s="1"/>
  <c r="C190" i="46"/>
  <c r="F190" i="46"/>
  <c r="V190" i="46" s="1"/>
  <c r="C191" i="46"/>
  <c r="F191" i="46"/>
  <c r="V191" i="46" s="1"/>
  <c r="C192" i="46"/>
  <c r="F192" i="46"/>
  <c r="V192" i="46" s="1"/>
  <c r="C193" i="46"/>
  <c r="F193" i="46"/>
  <c r="V193" i="46" s="1"/>
  <c r="C194" i="46"/>
  <c r="F194" i="46"/>
  <c r="V194" i="46" s="1"/>
  <c r="C195" i="46"/>
  <c r="F195" i="46"/>
  <c r="V195" i="46" s="1"/>
  <c r="C196" i="46"/>
  <c r="F196" i="46"/>
  <c r="V196" i="46" s="1"/>
  <c r="C197" i="46"/>
  <c r="F197" i="46"/>
  <c r="V197" i="46" s="1"/>
  <c r="C198" i="46"/>
  <c r="F198" i="46"/>
  <c r="V198" i="46" s="1"/>
  <c r="C199" i="46"/>
  <c r="F199" i="46"/>
  <c r="V199" i="46" s="1"/>
  <c r="C200" i="46"/>
  <c r="F200" i="46"/>
  <c r="V200" i="46" s="1"/>
  <c r="C201" i="46"/>
  <c r="F201" i="46"/>
  <c r="V201" i="46" s="1"/>
  <c r="C202" i="46"/>
  <c r="F202" i="46"/>
  <c r="V202" i="46" s="1"/>
  <c r="C203" i="46"/>
  <c r="F203" i="46"/>
  <c r="V203" i="46" s="1"/>
  <c r="C204" i="46"/>
  <c r="F204" i="46"/>
  <c r="V204" i="46" s="1"/>
  <c r="C205" i="46"/>
  <c r="F205" i="46"/>
  <c r="V205" i="46" s="1"/>
  <c r="C206" i="46"/>
  <c r="F206" i="46"/>
  <c r="V206" i="46" s="1"/>
  <c r="C207" i="46"/>
  <c r="F207" i="46"/>
  <c r="V207" i="46" s="1"/>
  <c r="C208" i="46"/>
  <c r="F208" i="46"/>
  <c r="V208" i="46" s="1"/>
  <c r="C209" i="46"/>
  <c r="F209" i="46"/>
  <c r="V209" i="46" s="1"/>
  <c r="C210" i="46"/>
  <c r="F210" i="46"/>
  <c r="V210" i="46" s="1"/>
  <c r="C211" i="46"/>
  <c r="F211" i="46"/>
  <c r="V211" i="46" s="1"/>
  <c r="C212" i="46"/>
  <c r="F212" i="46"/>
  <c r="V212" i="46" s="1"/>
  <c r="C213" i="46"/>
  <c r="F213" i="46"/>
  <c r="V213" i="46" s="1"/>
  <c r="C214" i="46"/>
  <c r="F214" i="46"/>
  <c r="V214" i="46" s="1"/>
  <c r="C215" i="46"/>
  <c r="F215" i="46"/>
  <c r="V215" i="46" s="1"/>
  <c r="C216" i="46"/>
  <c r="F216" i="46"/>
  <c r="V216" i="46" s="1"/>
  <c r="C217" i="46"/>
  <c r="F217" i="46"/>
  <c r="V217" i="46" s="1"/>
  <c r="C218" i="46"/>
  <c r="F218" i="46"/>
  <c r="V218" i="46" s="1"/>
  <c r="C219" i="46"/>
  <c r="F219" i="46"/>
  <c r="V219" i="46" s="1"/>
  <c r="C220" i="46"/>
  <c r="F220" i="46"/>
  <c r="V220" i="46" s="1"/>
  <c r="C221" i="46"/>
  <c r="F221" i="46"/>
  <c r="V221" i="46" s="1"/>
  <c r="C222" i="46"/>
  <c r="F222" i="46"/>
  <c r="V222" i="46" s="1"/>
  <c r="C223" i="46"/>
  <c r="F223" i="46"/>
  <c r="V223" i="46" s="1"/>
  <c r="C224" i="46"/>
  <c r="F224" i="46"/>
  <c r="V224" i="46" s="1"/>
  <c r="C225" i="46"/>
  <c r="F225" i="46"/>
  <c r="V225" i="46" s="1"/>
  <c r="C226" i="46"/>
  <c r="F226" i="46"/>
  <c r="V226" i="46" s="1"/>
  <c r="C227" i="46"/>
  <c r="F227" i="46"/>
  <c r="V227" i="46" s="1"/>
  <c r="C228" i="46"/>
  <c r="F228" i="46"/>
  <c r="V228" i="46" s="1"/>
  <c r="C229" i="46"/>
  <c r="F229" i="46"/>
  <c r="V229" i="46" s="1"/>
  <c r="C230" i="46"/>
  <c r="F230" i="46"/>
  <c r="V230" i="46" s="1"/>
  <c r="C231" i="46"/>
  <c r="F231" i="46"/>
  <c r="V231" i="46" s="1"/>
  <c r="C232" i="46"/>
  <c r="F232" i="46"/>
  <c r="V232" i="46" s="1"/>
  <c r="C233" i="46"/>
  <c r="F233" i="46"/>
  <c r="V233" i="46" s="1"/>
  <c r="C234" i="46"/>
  <c r="F234" i="46"/>
  <c r="V234" i="46" s="1"/>
  <c r="C235" i="46"/>
  <c r="F235" i="46"/>
  <c r="V235" i="46" s="1"/>
  <c r="C236" i="46"/>
  <c r="F236" i="46"/>
  <c r="V236" i="46" s="1"/>
  <c r="C237" i="46"/>
  <c r="F237" i="46"/>
  <c r="V237" i="46" s="1"/>
  <c r="C238" i="46"/>
  <c r="F238" i="46"/>
  <c r="V238" i="46" s="1"/>
  <c r="C239" i="46"/>
  <c r="F239" i="46"/>
  <c r="V239" i="46" s="1"/>
  <c r="C240" i="46"/>
  <c r="F240" i="46"/>
  <c r="V240" i="46" s="1"/>
  <c r="C241" i="46"/>
  <c r="F241" i="46"/>
  <c r="V241" i="46" s="1"/>
  <c r="C242" i="46"/>
  <c r="F242" i="46"/>
  <c r="V242" i="46" s="1"/>
  <c r="C243" i="46"/>
  <c r="F243" i="46"/>
  <c r="V243" i="46" s="1"/>
  <c r="C244" i="46"/>
  <c r="F244" i="46"/>
  <c r="V244" i="46" s="1"/>
  <c r="C245" i="46"/>
  <c r="F245" i="46"/>
  <c r="V245" i="46" s="1"/>
  <c r="C246" i="46"/>
  <c r="F246" i="46"/>
  <c r="V246" i="46" s="1"/>
  <c r="C247" i="46"/>
  <c r="F247" i="46"/>
  <c r="V247" i="46" s="1"/>
  <c r="C248" i="46"/>
  <c r="F248" i="46"/>
  <c r="V248" i="46" s="1"/>
  <c r="C249" i="46"/>
  <c r="F249" i="46"/>
  <c r="V249" i="46" s="1"/>
  <c r="C250" i="46"/>
  <c r="F250" i="46"/>
  <c r="V250" i="46" s="1"/>
  <c r="C251" i="46"/>
  <c r="F251" i="46"/>
  <c r="V251" i="46" s="1"/>
  <c r="C252" i="46"/>
  <c r="F252" i="46"/>
  <c r="V252" i="46" s="1"/>
  <c r="C253" i="46"/>
  <c r="F253" i="46"/>
  <c r="V253" i="46" s="1"/>
  <c r="C254" i="46"/>
  <c r="F254" i="46"/>
  <c r="V254" i="46" s="1"/>
  <c r="C255" i="46"/>
  <c r="F255" i="46"/>
  <c r="V255" i="46" s="1"/>
  <c r="C256" i="46"/>
  <c r="F256" i="46"/>
  <c r="V256" i="46" s="1"/>
  <c r="A14" i="11"/>
  <c r="A15" i="11"/>
  <c r="A16" i="11"/>
  <c r="G16" i="11"/>
  <c r="A17" i="11"/>
  <c r="G17" i="11"/>
  <c r="A18" i="11"/>
  <c r="G18" i="11"/>
  <c r="A19" i="11"/>
  <c r="G19" i="11"/>
  <c r="A20" i="11"/>
  <c r="G20" i="11"/>
  <c r="A21" i="11"/>
  <c r="G21" i="11"/>
  <c r="A22" i="11"/>
  <c r="G22" i="11"/>
  <c r="I22" i="11" s="1"/>
  <c r="A23" i="11"/>
  <c r="G23" i="11"/>
  <c r="A24" i="11"/>
  <c r="G24" i="11"/>
  <c r="A25" i="11"/>
  <c r="G25" i="11"/>
  <c r="A26" i="11"/>
  <c r="G26" i="11"/>
  <c r="A27" i="11"/>
  <c r="G27" i="11"/>
  <c r="A28" i="11"/>
  <c r="G28" i="11"/>
  <c r="A29" i="11"/>
  <c r="G29" i="11"/>
  <c r="A30" i="11"/>
  <c r="G30" i="11"/>
  <c r="A31" i="11"/>
  <c r="G31" i="11"/>
  <c r="A32" i="11"/>
  <c r="G32" i="11"/>
  <c r="A33" i="11"/>
  <c r="G33" i="11"/>
  <c r="A34" i="11"/>
  <c r="G34" i="11"/>
  <c r="A35" i="11"/>
  <c r="G35" i="11"/>
  <c r="A36" i="11"/>
  <c r="G36" i="11"/>
  <c r="A37" i="11"/>
  <c r="G37" i="11"/>
  <c r="A38" i="11"/>
  <c r="G38" i="11"/>
  <c r="A39" i="11"/>
  <c r="G39" i="11"/>
  <c r="A40" i="11"/>
  <c r="G40" i="11"/>
  <c r="A41" i="11"/>
  <c r="G41" i="11"/>
  <c r="A42" i="11"/>
  <c r="G42" i="11"/>
  <c r="A43" i="11"/>
  <c r="G43" i="11"/>
  <c r="A44" i="11"/>
  <c r="G44" i="11"/>
  <c r="A45" i="11"/>
  <c r="G45" i="11"/>
  <c r="A46" i="11"/>
  <c r="G46" i="11"/>
  <c r="A47" i="11"/>
  <c r="G47" i="11"/>
  <c r="A48" i="11"/>
  <c r="G48" i="11"/>
  <c r="A49" i="11"/>
  <c r="G49" i="11"/>
  <c r="A50" i="11"/>
  <c r="G50" i="11"/>
  <c r="A51" i="11"/>
  <c r="G51" i="11"/>
  <c r="A52" i="11"/>
  <c r="G52" i="11"/>
  <c r="A53" i="11"/>
  <c r="G53" i="11"/>
  <c r="A54" i="11"/>
  <c r="G54" i="11"/>
  <c r="A55" i="11"/>
  <c r="G55" i="11"/>
  <c r="A56" i="11"/>
  <c r="G56" i="11"/>
  <c r="A57" i="11"/>
  <c r="G57" i="11"/>
  <c r="A58" i="11"/>
  <c r="G58" i="11"/>
  <c r="A59" i="11"/>
  <c r="G59" i="11"/>
  <c r="A60" i="11"/>
  <c r="G60" i="11"/>
  <c r="A61" i="11"/>
  <c r="G61" i="11"/>
  <c r="A62" i="11"/>
  <c r="G62" i="11"/>
  <c r="A63" i="11"/>
  <c r="G63" i="11"/>
  <c r="A64" i="11"/>
  <c r="G64" i="11"/>
  <c r="A65" i="11"/>
  <c r="G65" i="11"/>
  <c r="A66" i="11"/>
  <c r="G66" i="11"/>
  <c r="A67" i="11"/>
  <c r="G67" i="11"/>
  <c r="A68" i="11"/>
  <c r="G68" i="11"/>
  <c r="A69" i="11"/>
  <c r="G69" i="11"/>
  <c r="A70" i="11"/>
  <c r="G70" i="11"/>
  <c r="A71" i="11"/>
  <c r="G71" i="11"/>
  <c r="A72" i="11"/>
  <c r="G72" i="11"/>
  <c r="A73" i="11"/>
  <c r="G73" i="11"/>
  <c r="A74" i="11"/>
  <c r="G74" i="11"/>
  <c r="A75" i="11"/>
  <c r="G75" i="11"/>
  <c r="A76" i="11"/>
  <c r="G76" i="11"/>
  <c r="A77" i="11"/>
  <c r="G77" i="11"/>
  <c r="A78" i="11"/>
  <c r="G78" i="11"/>
  <c r="A79" i="11"/>
  <c r="G79" i="11"/>
  <c r="A80" i="11"/>
  <c r="G80" i="11"/>
  <c r="A81" i="11"/>
  <c r="G81" i="11"/>
  <c r="A82" i="11"/>
  <c r="G82" i="11"/>
  <c r="A83" i="11"/>
  <c r="G83" i="11"/>
  <c r="A84" i="11"/>
  <c r="G84" i="11"/>
  <c r="A85" i="11"/>
  <c r="G85" i="11"/>
  <c r="A86" i="11"/>
  <c r="G86" i="11"/>
  <c r="A87" i="11"/>
  <c r="G87" i="11"/>
  <c r="A88" i="11"/>
  <c r="G88" i="11"/>
  <c r="A89" i="11"/>
  <c r="G89" i="11"/>
  <c r="A90" i="11"/>
  <c r="G90" i="11"/>
  <c r="A91" i="11"/>
  <c r="G91" i="11"/>
  <c r="A92" i="11"/>
  <c r="G92" i="11"/>
  <c r="A93" i="11"/>
  <c r="G93" i="11"/>
  <c r="A94" i="11"/>
  <c r="G94" i="11"/>
  <c r="A95" i="11"/>
  <c r="G95" i="11"/>
  <c r="A96" i="11"/>
  <c r="G96" i="11"/>
  <c r="A97" i="11"/>
  <c r="G97" i="11"/>
  <c r="A98" i="11"/>
  <c r="G98" i="11"/>
  <c r="A99" i="11"/>
  <c r="G99" i="11"/>
  <c r="A100" i="11"/>
  <c r="G100" i="11"/>
  <c r="A101" i="11"/>
  <c r="G101" i="11"/>
  <c r="A102" i="11"/>
  <c r="G102" i="11"/>
  <c r="A103" i="11"/>
  <c r="G103" i="11"/>
  <c r="A104" i="11"/>
  <c r="G104" i="11"/>
  <c r="A105" i="11"/>
  <c r="G105" i="11"/>
  <c r="A106" i="11"/>
  <c r="G106" i="11"/>
  <c r="A107" i="11"/>
  <c r="G107" i="11"/>
  <c r="A108" i="11"/>
  <c r="G108" i="11"/>
  <c r="A109" i="11"/>
  <c r="G109" i="11"/>
  <c r="A110" i="11"/>
  <c r="G110" i="11"/>
  <c r="A111" i="11"/>
  <c r="G111" i="11"/>
  <c r="A112" i="11"/>
  <c r="G112" i="11"/>
  <c r="A113" i="11"/>
  <c r="G113" i="11"/>
  <c r="A114" i="11"/>
  <c r="G114" i="11"/>
  <c r="A115" i="11"/>
  <c r="G115" i="11"/>
  <c r="A116" i="11"/>
  <c r="G116" i="11"/>
  <c r="A117" i="11"/>
  <c r="G117" i="11"/>
  <c r="A118" i="11"/>
  <c r="G118" i="11"/>
  <c r="A119" i="11"/>
  <c r="G119" i="11"/>
  <c r="A120" i="11"/>
  <c r="G120" i="11"/>
  <c r="A121" i="11"/>
  <c r="G121" i="11"/>
  <c r="A122" i="11"/>
  <c r="G122" i="11"/>
  <c r="A123" i="11"/>
  <c r="G123" i="11"/>
  <c r="A124" i="11"/>
  <c r="G124" i="11"/>
  <c r="A125" i="11"/>
  <c r="G125" i="11"/>
  <c r="A126" i="11"/>
  <c r="G126" i="11"/>
  <c r="A127" i="11"/>
  <c r="G127" i="11"/>
  <c r="A128" i="11"/>
  <c r="G128" i="11"/>
  <c r="A129" i="11"/>
  <c r="G129" i="11"/>
  <c r="A130" i="11"/>
  <c r="G130" i="11"/>
  <c r="A131" i="11"/>
  <c r="G131" i="11"/>
  <c r="A132" i="11"/>
  <c r="G132" i="11"/>
  <c r="A133" i="11"/>
  <c r="G133" i="11"/>
  <c r="A134" i="11"/>
  <c r="G134" i="11"/>
  <c r="A135" i="11"/>
  <c r="G135" i="11"/>
  <c r="A136" i="11"/>
  <c r="G136" i="11"/>
  <c r="A137" i="11"/>
  <c r="G137" i="11"/>
  <c r="A138" i="11"/>
  <c r="G138" i="11"/>
  <c r="A139" i="11"/>
  <c r="G139" i="11"/>
  <c r="A140" i="11"/>
  <c r="G140" i="11"/>
  <c r="A141" i="11"/>
  <c r="G141" i="11"/>
  <c r="A142" i="11"/>
  <c r="G142" i="11"/>
  <c r="A143" i="11"/>
  <c r="G143" i="11"/>
  <c r="A144" i="11"/>
  <c r="G144" i="11"/>
  <c r="A145" i="11"/>
  <c r="G145" i="11"/>
  <c r="A146" i="11"/>
  <c r="G146" i="11"/>
  <c r="A147" i="11"/>
  <c r="G147" i="11"/>
  <c r="A148" i="11"/>
  <c r="G148" i="11"/>
  <c r="A149" i="11"/>
  <c r="G149" i="11"/>
  <c r="A150" i="11"/>
  <c r="G150" i="11"/>
  <c r="A151" i="11"/>
  <c r="G151" i="11"/>
  <c r="A152" i="11"/>
  <c r="G152" i="11"/>
  <c r="A153" i="11"/>
  <c r="G153" i="11"/>
  <c r="A154" i="11"/>
  <c r="G154" i="11"/>
  <c r="A155" i="11"/>
  <c r="G155" i="11"/>
  <c r="A156" i="11"/>
  <c r="G156" i="11"/>
  <c r="A157" i="11"/>
  <c r="G157" i="11"/>
  <c r="A158" i="11"/>
  <c r="G158" i="11"/>
  <c r="A159" i="11"/>
  <c r="G159" i="11"/>
  <c r="A160" i="11"/>
  <c r="G160" i="11"/>
  <c r="A161" i="11"/>
  <c r="G161" i="11"/>
  <c r="A162" i="11"/>
  <c r="G162" i="11"/>
  <c r="A163" i="11"/>
  <c r="G163" i="11"/>
  <c r="A164" i="11"/>
  <c r="G164" i="11"/>
  <c r="A165" i="11"/>
  <c r="G165" i="11"/>
  <c r="A166" i="11"/>
  <c r="G166" i="11"/>
  <c r="A167" i="11"/>
  <c r="G167" i="11"/>
  <c r="A168" i="11"/>
  <c r="G168" i="11"/>
  <c r="A169" i="11"/>
  <c r="G169" i="11"/>
  <c r="A170" i="11"/>
  <c r="G170" i="11"/>
  <c r="A171" i="11"/>
  <c r="G171" i="11"/>
  <c r="A172" i="11"/>
  <c r="G172" i="11"/>
  <c r="A173" i="11"/>
  <c r="G173" i="11"/>
  <c r="A174" i="11"/>
  <c r="G174" i="11"/>
  <c r="A175" i="11"/>
  <c r="G175" i="11"/>
  <c r="A176" i="11"/>
  <c r="G176" i="11"/>
  <c r="A177" i="11"/>
  <c r="G177" i="11"/>
  <c r="A178" i="11"/>
  <c r="G178" i="11"/>
  <c r="A179" i="11"/>
  <c r="G179" i="11"/>
  <c r="A180" i="11"/>
  <c r="G180" i="11"/>
  <c r="A181" i="11"/>
  <c r="G181" i="11"/>
  <c r="A182" i="11"/>
  <c r="G182" i="11"/>
  <c r="A183" i="11"/>
  <c r="G183" i="11"/>
  <c r="A184" i="11"/>
  <c r="G184" i="11"/>
  <c r="A185" i="11"/>
  <c r="G185" i="11"/>
  <c r="A186" i="11"/>
  <c r="G186" i="11"/>
  <c r="A187" i="11"/>
  <c r="G187" i="11"/>
  <c r="A188" i="11"/>
  <c r="G188" i="11"/>
  <c r="A189" i="11"/>
  <c r="G189" i="11"/>
  <c r="A190" i="11"/>
  <c r="G190" i="11"/>
  <c r="A191" i="11"/>
  <c r="G191" i="11"/>
  <c r="A192" i="11"/>
  <c r="G192" i="11"/>
  <c r="A193" i="11"/>
  <c r="G193" i="11"/>
  <c r="A194" i="11"/>
  <c r="G194" i="11"/>
  <c r="A195" i="11"/>
  <c r="G195" i="11"/>
  <c r="A196" i="11"/>
  <c r="G196" i="11"/>
  <c r="A197" i="11"/>
  <c r="G197" i="11"/>
  <c r="A198" i="11"/>
  <c r="G198" i="11"/>
  <c r="A199" i="11"/>
  <c r="G199" i="11"/>
  <c r="A200" i="11"/>
  <c r="G200" i="11"/>
  <c r="A201" i="11"/>
  <c r="G201" i="11"/>
  <c r="A202" i="11"/>
  <c r="G202" i="11"/>
  <c r="A203" i="11"/>
  <c r="G203" i="11"/>
  <c r="A204" i="11"/>
  <c r="G204" i="11"/>
  <c r="A205" i="11"/>
  <c r="G205" i="11"/>
  <c r="A206" i="11"/>
  <c r="G206" i="11"/>
  <c r="A207" i="11"/>
  <c r="G207" i="11"/>
  <c r="A208" i="11"/>
  <c r="G208" i="11"/>
  <c r="A209" i="11"/>
  <c r="G209" i="11"/>
  <c r="A210" i="11"/>
  <c r="G210" i="11"/>
  <c r="A211" i="11"/>
  <c r="G211" i="11"/>
  <c r="A212" i="11"/>
  <c r="G212" i="11"/>
  <c r="A213" i="11"/>
  <c r="G213" i="11"/>
  <c r="A214" i="11"/>
  <c r="G214" i="11"/>
  <c r="A215" i="11"/>
  <c r="G215" i="11"/>
  <c r="A216" i="11"/>
  <c r="G216" i="11"/>
  <c r="A217" i="11"/>
  <c r="G217" i="11"/>
  <c r="A218" i="11"/>
  <c r="G218" i="11"/>
  <c r="A219" i="11"/>
  <c r="G219" i="11"/>
  <c r="A220" i="11"/>
  <c r="G220" i="11"/>
  <c r="A221" i="11"/>
  <c r="G221" i="11"/>
  <c r="A222" i="11"/>
  <c r="G222" i="11"/>
  <c r="A223" i="11"/>
  <c r="G223" i="11"/>
  <c r="A224" i="11"/>
  <c r="G224" i="11"/>
  <c r="A225" i="11"/>
  <c r="G225" i="11"/>
  <c r="A226" i="11"/>
  <c r="G226" i="11"/>
  <c r="A227" i="11"/>
  <c r="G227" i="11"/>
  <c r="A228" i="11"/>
  <c r="G228" i="11"/>
  <c r="A229" i="11"/>
  <c r="G229" i="11"/>
  <c r="A230" i="11"/>
  <c r="G230" i="11"/>
  <c r="A231" i="11"/>
  <c r="G231" i="11"/>
  <c r="A232" i="11"/>
  <c r="G232" i="11"/>
  <c r="A233" i="11"/>
  <c r="G233" i="11"/>
  <c r="A234" i="11"/>
  <c r="G234" i="11"/>
  <c r="A235" i="11"/>
  <c r="G235" i="11"/>
  <c r="A236" i="11"/>
  <c r="G236" i="11"/>
  <c r="A237" i="11"/>
  <c r="G237" i="11"/>
  <c r="A238" i="11"/>
  <c r="G238" i="11"/>
  <c r="A239" i="11"/>
  <c r="G239" i="11"/>
  <c r="A240" i="11"/>
  <c r="G240" i="11"/>
  <c r="A241" i="11"/>
  <c r="G241" i="11"/>
  <c r="A242" i="11"/>
  <c r="G242" i="11"/>
  <c r="A243" i="11"/>
  <c r="G243" i="11"/>
  <c r="A244" i="11"/>
  <c r="G244" i="11"/>
  <c r="A245" i="11"/>
  <c r="G245" i="11"/>
  <c r="A246" i="11"/>
  <c r="G246" i="11"/>
  <c r="A247" i="11"/>
  <c r="G247" i="11"/>
  <c r="A248" i="11"/>
  <c r="G248" i="11"/>
  <c r="A249" i="11"/>
  <c r="G249" i="11"/>
  <c r="A250" i="11"/>
  <c r="G250" i="11"/>
  <c r="A251" i="11"/>
  <c r="G251" i="11"/>
  <c r="A252" i="11"/>
  <c r="G252" i="11"/>
  <c r="A253" i="11"/>
  <c r="G253" i="11"/>
  <c r="A254" i="11"/>
  <c r="G254" i="11"/>
  <c r="A255" i="11"/>
  <c r="G255" i="11"/>
  <c r="A256" i="11"/>
  <c r="G256" i="11"/>
  <c r="A257" i="11"/>
  <c r="G257" i="11"/>
  <c r="A258" i="11"/>
  <c r="G258" i="11"/>
  <c r="V256" i="71" l="1"/>
  <c r="U256" i="71"/>
  <c r="U251" i="71"/>
  <c r="U243" i="71"/>
  <c r="U235" i="71"/>
  <c r="U227" i="71"/>
  <c r="U219" i="71"/>
  <c r="U211" i="71"/>
  <c r="U203" i="71"/>
  <c r="U195" i="71"/>
  <c r="U187" i="71"/>
  <c r="U179" i="71"/>
  <c r="U171" i="71"/>
  <c r="U163" i="71"/>
  <c r="U155" i="71"/>
  <c r="U147" i="71"/>
  <c r="U139" i="71"/>
  <c r="U131" i="71"/>
  <c r="U127" i="71"/>
  <c r="U123" i="71"/>
  <c r="U119" i="71"/>
  <c r="U115" i="71"/>
  <c r="U107" i="71"/>
  <c r="U103" i="71"/>
  <c r="U99" i="71"/>
  <c r="U95" i="71"/>
  <c r="U91" i="71"/>
  <c r="U87" i="71"/>
  <c r="U83" i="71"/>
  <c r="U79" i="71"/>
  <c r="U75" i="71"/>
  <c r="U71" i="71"/>
  <c r="U67" i="71"/>
  <c r="U63" i="71"/>
  <c r="U59" i="71"/>
  <c r="U55" i="71"/>
  <c r="U51" i="71"/>
  <c r="U47" i="71"/>
  <c r="U43" i="71"/>
  <c r="U39" i="71"/>
  <c r="U35" i="71"/>
  <c r="U31" i="71"/>
  <c r="U27" i="71"/>
  <c r="U23" i="71"/>
  <c r="U19" i="71"/>
  <c r="U255" i="71"/>
  <c r="U247" i="71"/>
  <c r="U239" i="71"/>
  <c r="U231" i="71"/>
  <c r="U223" i="71"/>
  <c r="U215" i="71"/>
  <c r="U207" i="71"/>
  <c r="U199" i="71"/>
  <c r="U191" i="71"/>
  <c r="U183" i="71"/>
  <c r="U175" i="71"/>
  <c r="U167" i="71"/>
  <c r="U159" i="71"/>
  <c r="U151" i="71"/>
  <c r="U143" i="71"/>
  <c r="U135" i="71"/>
  <c r="U111" i="71"/>
  <c r="U13" i="71"/>
  <c r="U250" i="71"/>
  <c r="U242" i="71"/>
  <c r="U234" i="71"/>
  <c r="U226" i="71"/>
  <c r="U218" i="71"/>
  <c r="U210" i="71"/>
  <c r="U202" i="71"/>
  <c r="U194" i="71"/>
  <c r="U182" i="71"/>
  <c r="U174" i="71"/>
  <c r="U166" i="71"/>
  <c r="U158" i="71"/>
  <c r="U150" i="71"/>
  <c r="U142" i="71"/>
  <c r="U138" i="71"/>
  <c r="U130" i="71"/>
  <c r="U126" i="71"/>
  <c r="U122" i="71"/>
  <c r="U118" i="71"/>
  <c r="U114" i="71"/>
  <c r="U106" i="71"/>
  <c r="U102" i="71"/>
  <c r="U98" i="71"/>
  <c r="U94" i="71"/>
  <c r="U90" i="71"/>
  <c r="U86" i="71"/>
  <c r="U82" i="71"/>
  <c r="U78" i="71"/>
  <c r="U74" i="71"/>
  <c r="U70" i="71"/>
  <c r="U66" i="71"/>
  <c r="U62" i="71"/>
  <c r="U58" i="71"/>
  <c r="U54" i="71"/>
  <c r="U50" i="71"/>
  <c r="U46" i="71"/>
  <c r="U42" i="71"/>
  <c r="U38" i="71"/>
  <c r="U34" i="71"/>
  <c r="U30" i="71"/>
  <c r="U26" i="71"/>
  <c r="U22" i="71"/>
  <c r="U18" i="71"/>
  <c r="U246" i="71"/>
  <c r="U238" i="71"/>
  <c r="U230" i="71"/>
  <c r="U222" i="71"/>
  <c r="U214" i="71"/>
  <c r="U206" i="71"/>
  <c r="U198" i="71"/>
  <c r="U190" i="71"/>
  <c r="U186" i="71"/>
  <c r="U178" i="71"/>
  <c r="U170" i="71"/>
  <c r="U162" i="71"/>
  <c r="U154" i="71"/>
  <c r="U146" i="71"/>
  <c r="U134" i="71"/>
  <c r="U110" i="71"/>
  <c r="U14" i="71"/>
  <c r="U249" i="71"/>
  <c r="U241" i="71"/>
  <c r="U233" i="71"/>
  <c r="U225" i="71"/>
  <c r="U217" i="71"/>
  <c r="U209" i="71"/>
  <c r="U201" i="71"/>
  <c r="U193" i="71"/>
  <c r="U185" i="71"/>
  <c r="U177" i="71"/>
  <c r="U169" i="71"/>
  <c r="U161" i="71"/>
  <c r="U153" i="71"/>
  <c r="U145" i="71"/>
  <c r="U137" i="71"/>
  <c r="U129" i="71"/>
  <c r="U125" i="71"/>
  <c r="U121" i="71"/>
  <c r="U117" i="71"/>
  <c r="U113" i="71"/>
  <c r="U105" i="71"/>
  <c r="U101" i="71"/>
  <c r="U97" i="71"/>
  <c r="U93" i="71"/>
  <c r="U89" i="71"/>
  <c r="U85" i="71"/>
  <c r="U81" i="71"/>
  <c r="U77" i="71"/>
  <c r="U73" i="71"/>
  <c r="U69" i="71"/>
  <c r="U65" i="71"/>
  <c r="U61" i="71"/>
  <c r="U57" i="71"/>
  <c r="U53" i="71"/>
  <c r="U49" i="71"/>
  <c r="U45" i="71"/>
  <c r="U41" i="71"/>
  <c r="U37" i="71"/>
  <c r="U33" i="71"/>
  <c r="U29" i="71"/>
  <c r="U25" i="71"/>
  <c r="U21" i="71"/>
  <c r="U17" i="71"/>
  <c r="U253" i="71"/>
  <c r="U245" i="71"/>
  <c r="U237" i="71"/>
  <c r="U229" i="71"/>
  <c r="U221" i="71"/>
  <c r="U213" i="71"/>
  <c r="U205" i="71"/>
  <c r="U197" i="71"/>
  <c r="U189" i="71"/>
  <c r="U181" i="71"/>
  <c r="U173" i="71"/>
  <c r="U165" i="71"/>
  <c r="U157" i="71"/>
  <c r="U149" i="71"/>
  <c r="U141" i="71"/>
  <c r="U133" i="71"/>
  <c r="U109" i="71"/>
  <c r="U15" i="71"/>
  <c r="U252" i="71"/>
  <c r="U244" i="71"/>
  <c r="U236" i="71"/>
  <c r="U228" i="71"/>
  <c r="U220" i="71"/>
  <c r="U212" i="71"/>
  <c r="U204" i="71"/>
  <c r="U196" i="71"/>
  <c r="U188" i="71"/>
  <c r="U180" i="71"/>
  <c r="U172" i="71"/>
  <c r="U164" i="71"/>
  <c r="U156" i="71"/>
  <c r="U148" i="71"/>
  <c r="U144" i="71"/>
  <c r="U136" i="71"/>
  <c r="U128" i="71"/>
  <c r="U124" i="71"/>
  <c r="U120" i="71"/>
  <c r="U116" i="71"/>
  <c r="U112" i="71"/>
  <c r="U104" i="71"/>
  <c r="U100" i="71"/>
  <c r="U96" i="71"/>
  <c r="U92" i="71"/>
  <c r="U88" i="71"/>
  <c r="U84" i="71"/>
  <c r="U80" i="71"/>
  <c r="U76" i="71"/>
  <c r="U72" i="71"/>
  <c r="U68" i="71"/>
  <c r="U64" i="71"/>
  <c r="U60" i="71"/>
  <c r="U56" i="71"/>
  <c r="U52" i="71"/>
  <c r="U48" i="71"/>
  <c r="U44" i="71"/>
  <c r="U40" i="71"/>
  <c r="U36" i="71"/>
  <c r="U32" i="71"/>
  <c r="U28" i="71"/>
  <c r="U24" i="71"/>
  <c r="U20" i="71"/>
  <c r="U16" i="71"/>
  <c r="U248" i="71"/>
  <c r="U240" i="71"/>
  <c r="U232" i="71"/>
  <c r="U224" i="71"/>
  <c r="U216" i="71"/>
  <c r="U208" i="71"/>
  <c r="U200" i="71"/>
  <c r="U192" i="71"/>
  <c r="U184" i="71"/>
  <c r="U176" i="71"/>
  <c r="U168" i="71"/>
  <c r="U160" i="71"/>
  <c r="U152" i="71"/>
  <c r="U140" i="71"/>
  <c r="U132" i="71"/>
  <c r="U108" i="71"/>
  <c r="U12" i="71"/>
  <c r="U11" i="71"/>
  <c r="U254" i="71"/>
  <c r="U250" i="46"/>
  <c r="U242" i="46"/>
  <c r="U234" i="46"/>
  <c r="U226" i="46"/>
  <c r="U218" i="46"/>
  <c r="U210" i="46"/>
  <c r="U202" i="46"/>
  <c r="U194" i="46"/>
  <c r="U186" i="46"/>
  <c r="U178" i="46"/>
  <c r="U170" i="46"/>
  <c r="U166" i="46"/>
  <c r="U162" i="46"/>
  <c r="U154" i="46"/>
  <c r="U150" i="46"/>
  <c r="U146" i="46"/>
  <c r="U142" i="46"/>
  <c r="U138" i="46"/>
  <c r="U134" i="46"/>
  <c r="U130" i="46"/>
  <c r="U126" i="46"/>
  <c r="U122" i="46"/>
  <c r="U118" i="46"/>
  <c r="U114" i="46"/>
  <c r="U110" i="46"/>
  <c r="U106" i="46"/>
  <c r="U102" i="46"/>
  <c r="U98" i="46"/>
  <c r="U94" i="46"/>
  <c r="U90" i="46"/>
  <c r="U86" i="46"/>
  <c r="U82" i="46"/>
  <c r="U78" i="46"/>
  <c r="U74" i="46"/>
  <c r="U70" i="46"/>
  <c r="U66" i="46"/>
  <c r="U62" i="46"/>
  <c r="U58" i="46"/>
  <c r="U54" i="46"/>
  <c r="U50" i="46"/>
  <c r="U46" i="46"/>
  <c r="U42" i="46"/>
  <c r="U38" i="46"/>
  <c r="U254" i="46"/>
  <c r="U246" i="46"/>
  <c r="U238" i="46"/>
  <c r="U230" i="46"/>
  <c r="U222" i="46"/>
  <c r="U214" i="46"/>
  <c r="U206" i="46"/>
  <c r="U198" i="46"/>
  <c r="U190" i="46"/>
  <c r="U182" i="46"/>
  <c r="U174" i="46"/>
  <c r="U158" i="46"/>
  <c r="U245" i="46"/>
  <c r="U237" i="46"/>
  <c r="U229" i="46"/>
  <c r="U221" i="46"/>
  <c r="U213" i="46"/>
  <c r="U205" i="46"/>
  <c r="U197" i="46"/>
  <c r="U189" i="46"/>
  <c r="U181" i="46"/>
  <c r="U173" i="46"/>
  <c r="U169" i="46"/>
  <c r="U161" i="46"/>
  <c r="U157" i="46"/>
  <c r="U153" i="46"/>
  <c r="U149" i="46"/>
  <c r="U145" i="46"/>
  <c r="U141" i="46"/>
  <c r="U137" i="46"/>
  <c r="U133" i="46"/>
  <c r="U129" i="46"/>
  <c r="U125" i="46"/>
  <c r="U121" i="46"/>
  <c r="U117" i="46"/>
  <c r="U113" i="46"/>
  <c r="U109" i="46"/>
  <c r="U105" i="46"/>
  <c r="U101" i="46"/>
  <c r="U97" i="46"/>
  <c r="U93" i="46"/>
  <c r="U89" i="46"/>
  <c r="U85" i="46"/>
  <c r="U81" i="46"/>
  <c r="U77" i="46"/>
  <c r="U73" i="46"/>
  <c r="U69" i="46"/>
  <c r="U65" i="46"/>
  <c r="U61" i="46"/>
  <c r="U57" i="46"/>
  <c r="U53" i="46"/>
  <c r="U49" i="46"/>
  <c r="U45" i="46"/>
  <c r="U41" i="46"/>
  <c r="U37" i="46"/>
  <c r="U253" i="46"/>
  <c r="U249" i="46"/>
  <c r="U241" i="46"/>
  <c r="U233" i="46"/>
  <c r="U225" i="46"/>
  <c r="U217" i="46"/>
  <c r="U209" i="46"/>
  <c r="U201" i="46"/>
  <c r="U193" i="46"/>
  <c r="U185" i="46"/>
  <c r="U177" i="46"/>
  <c r="U165" i="46"/>
  <c r="U252" i="46"/>
  <c r="U244" i="46"/>
  <c r="U236" i="46"/>
  <c r="U228" i="46"/>
  <c r="U220" i="46"/>
  <c r="U212" i="46"/>
  <c r="U204" i="46"/>
  <c r="U196" i="46"/>
  <c r="U188" i="46"/>
  <c r="U180" i="46"/>
  <c r="U172" i="46"/>
  <c r="U168" i="46"/>
  <c r="U164" i="46"/>
  <c r="U156" i="46"/>
  <c r="U152" i="46"/>
  <c r="U148" i="46"/>
  <c r="U144" i="46"/>
  <c r="U140" i="46"/>
  <c r="U136" i="46"/>
  <c r="U132" i="46"/>
  <c r="U128" i="46"/>
  <c r="U124" i="46"/>
  <c r="U120" i="46"/>
  <c r="U116" i="46"/>
  <c r="U112" i="46"/>
  <c r="U108" i="46"/>
  <c r="U104" i="46"/>
  <c r="U100" i="46"/>
  <c r="U96" i="46"/>
  <c r="U92" i="46"/>
  <c r="U88" i="46"/>
  <c r="U84" i="46"/>
  <c r="U80" i="46"/>
  <c r="U76" i="46"/>
  <c r="U72" i="46"/>
  <c r="U68" i="46"/>
  <c r="U64" i="46"/>
  <c r="U60" i="46"/>
  <c r="U56" i="46"/>
  <c r="U52" i="46"/>
  <c r="U48" i="46"/>
  <c r="U44" i="46"/>
  <c r="U40" i="46"/>
  <c r="U36" i="46"/>
  <c r="U256" i="46"/>
  <c r="U248" i="46"/>
  <c r="U240" i="46"/>
  <c r="U232" i="46"/>
  <c r="U224" i="46"/>
  <c r="U216" i="46"/>
  <c r="U208" i="46"/>
  <c r="U200" i="46"/>
  <c r="U192" i="46"/>
  <c r="U184" i="46"/>
  <c r="U176" i="46"/>
  <c r="U160" i="46"/>
  <c r="U255" i="46"/>
  <c r="U247" i="46"/>
  <c r="U239" i="46"/>
  <c r="U231" i="46"/>
  <c r="U223" i="46"/>
  <c r="U215" i="46"/>
  <c r="U203" i="46"/>
  <c r="U195" i="46"/>
  <c r="U187" i="46"/>
  <c r="U179" i="46"/>
  <c r="U171" i="46"/>
  <c r="U167" i="46"/>
  <c r="U163" i="46"/>
  <c r="U155" i="46"/>
  <c r="U151" i="46"/>
  <c r="U147" i="46"/>
  <c r="U143" i="46"/>
  <c r="U139" i="46"/>
  <c r="U135" i="46"/>
  <c r="U131" i="46"/>
  <c r="U127" i="46"/>
  <c r="U123" i="46"/>
  <c r="U119" i="46"/>
  <c r="U115" i="46"/>
  <c r="U111" i="46"/>
  <c r="U107" i="46"/>
  <c r="U103" i="46"/>
  <c r="U99" i="46"/>
  <c r="U95" i="46"/>
  <c r="U91" i="46"/>
  <c r="U87" i="46"/>
  <c r="U83" i="46"/>
  <c r="U79" i="46"/>
  <c r="U75" i="46"/>
  <c r="U71" i="46"/>
  <c r="U67" i="46"/>
  <c r="U63" i="46"/>
  <c r="U59" i="46"/>
  <c r="U55" i="46"/>
  <c r="U51" i="46"/>
  <c r="U47" i="46"/>
  <c r="U43" i="46"/>
  <c r="U39" i="46"/>
  <c r="U251" i="46"/>
  <c r="U243" i="46"/>
  <c r="U235" i="46"/>
  <c r="U227" i="46"/>
  <c r="U219" i="46"/>
  <c r="U211" i="46"/>
  <c r="U207" i="46"/>
  <c r="U199" i="46"/>
  <c r="U191" i="46"/>
  <c r="U183" i="46"/>
  <c r="U175" i="46"/>
  <c r="U159" i="46"/>
  <c r="J149" i="22"/>
  <c r="J156" i="22"/>
  <c r="J158" i="22"/>
  <c r="J152" i="22"/>
  <c r="J150" i="22"/>
  <c r="J151" i="22"/>
  <c r="J148" i="22"/>
  <c r="J155" i="22"/>
  <c r="J159" i="22"/>
  <c r="J153" i="22"/>
  <c r="J157" i="22"/>
  <c r="J154" i="22"/>
  <c r="P253" i="59"/>
  <c r="Q253" i="59" s="1"/>
  <c r="P245" i="59"/>
  <c r="Q245" i="59" s="1"/>
  <c r="P237" i="59"/>
  <c r="Q237" i="59" s="1"/>
  <c r="P229" i="59"/>
  <c r="Q229" i="59" s="1"/>
  <c r="P221" i="59"/>
  <c r="Q221" i="59" s="1"/>
  <c r="P213" i="59"/>
  <c r="Q213" i="59" s="1"/>
  <c r="P205" i="59"/>
  <c r="Q205" i="59" s="1"/>
  <c r="P201" i="59"/>
  <c r="Q201" i="59" s="1"/>
  <c r="P197" i="59"/>
  <c r="Q197" i="59" s="1"/>
  <c r="P189" i="59"/>
  <c r="Q189" i="59" s="1"/>
  <c r="P185" i="59"/>
  <c r="Q185" i="59" s="1"/>
  <c r="P181" i="59"/>
  <c r="Q181" i="59" s="1"/>
  <c r="P177" i="59"/>
  <c r="Q177" i="59" s="1"/>
  <c r="P173" i="59"/>
  <c r="Q173" i="59" s="1"/>
  <c r="P169" i="59"/>
  <c r="Q169" i="59" s="1"/>
  <c r="P165" i="59"/>
  <c r="Q165" i="59" s="1"/>
  <c r="P161" i="59"/>
  <c r="Q161" i="59" s="1"/>
  <c r="P157" i="59"/>
  <c r="Q157" i="59" s="1"/>
  <c r="P153" i="59"/>
  <c r="Q153" i="59" s="1"/>
  <c r="P149" i="59"/>
  <c r="Q149" i="59" s="1"/>
  <c r="P145" i="59"/>
  <c r="Q145" i="59" s="1"/>
  <c r="P141" i="59"/>
  <c r="Q141" i="59" s="1"/>
  <c r="P137" i="59"/>
  <c r="Q137" i="59" s="1"/>
  <c r="P133" i="59"/>
  <c r="Q133" i="59" s="1"/>
  <c r="P129" i="59"/>
  <c r="Q129" i="59" s="1"/>
  <c r="P125" i="59"/>
  <c r="Q125" i="59" s="1"/>
  <c r="P121" i="59"/>
  <c r="Q121" i="59" s="1"/>
  <c r="P117" i="59"/>
  <c r="Q117" i="59" s="1"/>
  <c r="P113" i="59"/>
  <c r="Q113" i="59" s="1"/>
  <c r="P109" i="59"/>
  <c r="Q109" i="59" s="1"/>
  <c r="P105" i="59"/>
  <c r="Q105" i="59" s="1"/>
  <c r="P101" i="59"/>
  <c r="Q101" i="59" s="1"/>
  <c r="P97" i="59"/>
  <c r="Q97" i="59" s="1"/>
  <c r="P93" i="59"/>
  <c r="Q93" i="59" s="1"/>
  <c r="P89" i="59"/>
  <c r="Q89" i="59" s="1"/>
  <c r="P85" i="59"/>
  <c r="Q85" i="59" s="1"/>
  <c r="P81" i="59"/>
  <c r="Q81" i="59" s="1"/>
  <c r="P77" i="59"/>
  <c r="Q77" i="59" s="1"/>
  <c r="P73" i="59"/>
  <c r="Q73" i="59" s="1"/>
  <c r="P69" i="59"/>
  <c r="Q69" i="59" s="1"/>
  <c r="P65" i="59"/>
  <c r="Q65" i="59" s="1"/>
  <c r="P61" i="59"/>
  <c r="Q61" i="59" s="1"/>
  <c r="P57" i="59"/>
  <c r="Q57" i="59" s="1"/>
  <c r="P53" i="59"/>
  <c r="Q53" i="59" s="1"/>
  <c r="P49" i="59"/>
  <c r="Q49" i="59" s="1"/>
  <c r="P45" i="59"/>
  <c r="Q45" i="59" s="1"/>
  <c r="P41" i="59"/>
  <c r="Q41" i="59" s="1"/>
  <c r="P37" i="59"/>
  <c r="Q37" i="59" s="1"/>
  <c r="P33" i="59"/>
  <c r="Q33" i="59" s="1"/>
  <c r="P29" i="59"/>
  <c r="Q29" i="59" s="1"/>
  <c r="P25" i="59"/>
  <c r="Q25" i="59" s="1"/>
  <c r="P257" i="59"/>
  <c r="Q257" i="59" s="1"/>
  <c r="P249" i="59"/>
  <c r="Q249" i="59" s="1"/>
  <c r="P241" i="59"/>
  <c r="Q241" i="59" s="1"/>
  <c r="P233" i="59"/>
  <c r="Q233" i="59" s="1"/>
  <c r="P225" i="59"/>
  <c r="Q225" i="59" s="1"/>
  <c r="P217" i="59"/>
  <c r="Q217" i="59" s="1"/>
  <c r="P209" i="59"/>
  <c r="Q209" i="59" s="1"/>
  <c r="P193" i="59"/>
  <c r="Q193" i="59" s="1"/>
  <c r="P252" i="59"/>
  <c r="Q252" i="59" s="1"/>
  <c r="P244" i="59"/>
  <c r="Q244" i="59" s="1"/>
  <c r="P236" i="59"/>
  <c r="Q236" i="59" s="1"/>
  <c r="P228" i="59"/>
  <c r="Q228" i="59" s="1"/>
  <c r="P220" i="59"/>
  <c r="Q220" i="59" s="1"/>
  <c r="P212" i="59"/>
  <c r="Q212" i="59" s="1"/>
  <c r="P204" i="59"/>
  <c r="Q204" i="59" s="1"/>
  <c r="P196" i="59"/>
  <c r="Q196" i="59" s="1"/>
  <c r="P192" i="59"/>
  <c r="Q192" i="59" s="1"/>
  <c r="P188" i="59"/>
  <c r="Q188" i="59" s="1"/>
  <c r="P180" i="59"/>
  <c r="Q180" i="59" s="1"/>
  <c r="P176" i="59"/>
  <c r="Q176" i="59" s="1"/>
  <c r="P172" i="59"/>
  <c r="Q172" i="59" s="1"/>
  <c r="P168" i="59"/>
  <c r="Q168" i="59" s="1"/>
  <c r="P164" i="59"/>
  <c r="Q164" i="59" s="1"/>
  <c r="P160" i="59"/>
  <c r="Q160" i="59" s="1"/>
  <c r="P156" i="59"/>
  <c r="Q156" i="59" s="1"/>
  <c r="P152" i="59"/>
  <c r="Q152" i="59" s="1"/>
  <c r="P148" i="59"/>
  <c r="Q148" i="59" s="1"/>
  <c r="P144" i="59"/>
  <c r="Q144" i="59" s="1"/>
  <c r="P140" i="59"/>
  <c r="Q140" i="59" s="1"/>
  <c r="P136" i="59"/>
  <c r="Q136" i="59" s="1"/>
  <c r="P132" i="59"/>
  <c r="Q132" i="59" s="1"/>
  <c r="P128" i="59"/>
  <c r="Q128" i="59" s="1"/>
  <c r="P124" i="59"/>
  <c r="Q124" i="59" s="1"/>
  <c r="P120" i="59"/>
  <c r="Q120" i="59" s="1"/>
  <c r="P116" i="59"/>
  <c r="Q116" i="59" s="1"/>
  <c r="P112" i="59"/>
  <c r="Q112" i="59" s="1"/>
  <c r="P108" i="59"/>
  <c r="Q108" i="59" s="1"/>
  <c r="P104" i="59"/>
  <c r="Q104" i="59" s="1"/>
  <c r="P100" i="59"/>
  <c r="Q100" i="59" s="1"/>
  <c r="P96" i="59"/>
  <c r="Q96" i="59" s="1"/>
  <c r="P92" i="59"/>
  <c r="Q92" i="59" s="1"/>
  <c r="P88" i="59"/>
  <c r="Q88" i="59" s="1"/>
  <c r="P84" i="59"/>
  <c r="Q84" i="59" s="1"/>
  <c r="P80" i="59"/>
  <c r="Q80" i="59" s="1"/>
  <c r="P76" i="59"/>
  <c r="Q76" i="59" s="1"/>
  <c r="P72" i="59"/>
  <c r="Q72" i="59" s="1"/>
  <c r="P68" i="59"/>
  <c r="Q68" i="59" s="1"/>
  <c r="P64" i="59"/>
  <c r="Q64" i="59" s="1"/>
  <c r="P60" i="59"/>
  <c r="Q60" i="59" s="1"/>
  <c r="P56" i="59"/>
  <c r="Q56" i="59" s="1"/>
  <c r="P52" i="59"/>
  <c r="Q52" i="59" s="1"/>
  <c r="P48" i="59"/>
  <c r="Q48" i="59" s="1"/>
  <c r="P44" i="59"/>
  <c r="Q44" i="59" s="1"/>
  <c r="P40" i="59"/>
  <c r="Q40" i="59" s="1"/>
  <c r="P36" i="59"/>
  <c r="Q36" i="59" s="1"/>
  <c r="P32" i="59"/>
  <c r="Q32" i="59" s="1"/>
  <c r="P28" i="59"/>
  <c r="Q28" i="59" s="1"/>
  <c r="P24" i="59"/>
  <c r="Q24" i="59" s="1"/>
  <c r="P256" i="59"/>
  <c r="Q256" i="59" s="1"/>
  <c r="P248" i="59"/>
  <c r="Q248" i="59" s="1"/>
  <c r="P240" i="59"/>
  <c r="Q240" i="59" s="1"/>
  <c r="P232" i="59"/>
  <c r="Q232" i="59" s="1"/>
  <c r="P224" i="59"/>
  <c r="Q224" i="59" s="1"/>
  <c r="P216" i="59"/>
  <c r="Q216" i="59" s="1"/>
  <c r="P208" i="59"/>
  <c r="Q208" i="59" s="1"/>
  <c r="P200" i="59"/>
  <c r="Q200" i="59" s="1"/>
  <c r="P184" i="59"/>
  <c r="Q184" i="59" s="1"/>
  <c r="P255" i="59"/>
  <c r="Q255" i="59" s="1"/>
  <c r="P247" i="59"/>
  <c r="Q247" i="59" s="1"/>
  <c r="P239" i="59"/>
  <c r="Q239" i="59" s="1"/>
  <c r="P231" i="59"/>
  <c r="Q231" i="59" s="1"/>
  <c r="P223" i="59"/>
  <c r="Q223" i="59" s="1"/>
  <c r="P215" i="59"/>
  <c r="Q215" i="59" s="1"/>
  <c r="P207" i="59"/>
  <c r="Q207" i="59" s="1"/>
  <c r="P203" i="59"/>
  <c r="Q203" i="59" s="1"/>
  <c r="P199" i="59"/>
  <c r="Q199" i="59" s="1"/>
  <c r="P191" i="59"/>
  <c r="Q191" i="59" s="1"/>
  <c r="P187" i="59"/>
  <c r="Q187" i="59" s="1"/>
  <c r="P183" i="59"/>
  <c r="Q183" i="59" s="1"/>
  <c r="P179" i="59"/>
  <c r="Q179" i="59" s="1"/>
  <c r="P175" i="59"/>
  <c r="Q175" i="59" s="1"/>
  <c r="P171" i="59"/>
  <c r="Q171" i="59" s="1"/>
  <c r="P167" i="59"/>
  <c r="Q167" i="59" s="1"/>
  <c r="P163" i="59"/>
  <c r="Q163" i="59" s="1"/>
  <c r="P159" i="59"/>
  <c r="Q159" i="59" s="1"/>
  <c r="P155" i="59"/>
  <c r="Q155" i="59" s="1"/>
  <c r="P151" i="59"/>
  <c r="Q151" i="59" s="1"/>
  <c r="P147" i="59"/>
  <c r="Q147" i="59" s="1"/>
  <c r="P143" i="59"/>
  <c r="Q143" i="59" s="1"/>
  <c r="P139" i="59"/>
  <c r="Q139" i="59" s="1"/>
  <c r="P135" i="59"/>
  <c r="Q135" i="59" s="1"/>
  <c r="P131" i="59"/>
  <c r="Q131" i="59" s="1"/>
  <c r="P127" i="59"/>
  <c r="Q127" i="59" s="1"/>
  <c r="P123" i="59"/>
  <c r="Q123" i="59" s="1"/>
  <c r="P119" i="59"/>
  <c r="Q119" i="59" s="1"/>
  <c r="P115" i="59"/>
  <c r="Q115" i="59" s="1"/>
  <c r="P111" i="59"/>
  <c r="Q111" i="59" s="1"/>
  <c r="P107" i="59"/>
  <c r="Q107" i="59" s="1"/>
  <c r="P103" i="59"/>
  <c r="Q103" i="59" s="1"/>
  <c r="P99" i="59"/>
  <c r="Q99" i="59" s="1"/>
  <c r="P95" i="59"/>
  <c r="Q95" i="59" s="1"/>
  <c r="P91" i="59"/>
  <c r="Q91" i="59" s="1"/>
  <c r="P87" i="59"/>
  <c r="Q87" i="59" s="1"/>
  <c r="P83" i="59"/>
  <c r="Q83" i="59" s="1"/>
  <c r="P79" i="59"/>
  <c r="Q79" i="59" s="1"/>
  <c r="P75" i="59"/>
  <c r="Q75" i="59" s="1"/>
  <c r="P71" i="59"/>
  <c r="Q71" i="59" s="1"/>
  <c r="P67" i="59"/>
  <c r="Q67" i="59" s="1"/>
  <c r="P63" i="59"/>
  <c r="Q63" i="59" s="1"/>
  <c r="P59" i="59"/>
  <c r="Q59" i="59" s="1"/>
  <c r="P55" i="59"/>
  <c r="Q55" i="59" s="1"/>
  <c r="P51" i="59"/>
  <c r="Q51" i="59" s="1"/>
  <c r="P47" i="59"/>
  <c r="Q47" i="59" s="1"/>
  <c r="P43" i="59"/>
  <c r="Q43" i="59" s="1"/>
  <c r="P39" i="59"/>
  <c r="Q39" i="59" s="1"/>
  <c r="P35" i="59"/>
  <c r="Q35" i="59" s="1"/>
  <c r="P31" i="59"/>
  <c r="Q31" i="59" s="1"/>
  <c r="P27" i="59"/>
  <c r="Q27" i="59" s="1"/>
  <c r="P251" i="59"/>
  <c r="Q251" i="59" s="1"/>
  <c r="P243" i="59"/>
  <c r="Q243" i="59" s="1"/>
  <c r="P235" i="59"/>
  <c r="Q235" i="59" s="1"/>
  <c r="P227" i="59"/>
  <c r="Q227" i="59" s="1"/>
  <c r="P219" i="59"/>
  <c r="Q219" i="59" s="1"/>
  <c r="P211" i="59"/>
  <c r="Q211" i="59" s="1"/>
  <c r="P195" i="59"/>
  <c r="Q195" i="59" s="1"/>
  <c r="P254" i="59"/>
  <c r="Q254" i="59" s="1"/>
  <c r="P246" i="59"/>
  <c r="Q246" i="59" s="1"/>
  <c r="P238" i="59"/>
  <c r="Q238" i="59" s="1"/>
  <c r="P230" i="59"/>
  <c r="Q230" i="59" s="1"/>
  <c r="P222" i="59"/>
  <c r="Q222" i="59" s="1"/>
  <c r="P214" i="59"/>
  <c r="Q214" i="59" s="1"/>
  <c r="P206" i="59"/>
  <c r="Q206" i="59" s="1"/>
  <c r="P198" i="59"/>
  <c r="Q198" i="59" s="1"/>
  <c r="P194" i="59"/>
  <c r="Q194" i="59" s="1"/>
  <c r="P190" i="59"/>
  <c r="Q190" i="59" s="1"/>
  <c r="P182" i="59"/>
  <c r="Q182" i="59" s="1"/>
  <c r="P178" i="59"/>
  <c r="Q178" i="59" s="1"/>
  <c r="P174" i="59"/>
  <c r="Q174" i="59" s="1"/>
  <c r="P170" i="59"/>
  <c r="Q170" i="59" s="1"/>
  <c r="P166" i="59"/>
  <c r="Q166" i="59" s="1"/>
  <c r="P162" i="59"/>
  <c r="Q162" i="59" s="1"/>
  <c r="P158" i="59"/>
  <c r="Q158" i="59" s="1"/>
  <c r="P154" i="59"/>
  <c r="Q154" i="59" s="1"/>
  <c r="P150" i="59"/>
  <c r="Q150" i="59" s="1"/>
  <c r="P146" i="59"/>
  <c r="Q146" i="59" s="1"/>
  <c r="P142" i="59"/>
  <c r="Q142" i="59" s="1"/>
  <c r="P138" i="59"/>
  <c r="Q138" i="59" s="1"/>
  <c r="P134" i="59"/>
  <c r="Q134" i="59" s="1"/>
  <c r="P130" i="59"/>
  <c r="Q130" i="59" s="1"/>
  <c r="P126" i="59"/>
  <c r="Q126" i="59" s="1"/>
  <c r="P122" i="59"/>
  <c r="Q122" i="59" s="1"/>
  <c r="P118" i="59"/>
  <c r="Q118" i="59" s="1"/>
  <c r="P114" i="59"/>
  <c r="Q114" i="59" s="1"/>
  <c r="P110" i="59"/>
  <c r="Q110" i="59" s="1"/>
  <c r="P106" i="59"/>
  <c r="Q106" i="59" s="1"/>
  <c r="P102" i="59"/>
  <c r="Q102" i="59" s="1"/>
  <c r="P98" i="59"/>
  <c r="Q98" i="59" s="1"/>
  <c r="P94" i="59"/>
  <c r="Q94" i="59" s="1"/>
  <c r="P90" i="59"/>
  <c r="Q90" i="59" s="1"/>
  <c r="P86" i="59"/>
  <c r="Q86" i="59" s="1"/>
  <c r="P82" i="59"/>
  <c r="Q82" i="59" s="1"/>
  <c r="P78" i="59"/>
  <c r="Q78" i="59" s="1"/>
  <c r="P74" i="59"/>
  <c r="Q74" i="59" s="1"/>
  <c r="P70" i="59"/>
  <c r="Q70" i="59" s="1"/>
  <c r="P66" i="59"/>
  <c r="Q66" i="59" s="1"/>
  <c r="P62" i="59"/>
  <c r="Q62" i="59" s="1"/>
  <c r="P58" i="59"/>
  <c r="Q58" i="59" s="1"/>
  <c r="P54" i="59"/>
  <c r="Q54" i="59" s="1"/>
  <c r="P50" i="59"/>
  <c r="Q50" i="59" s="1"/>
  <c r="P46" i="59"/>
  <c r="Q46" i="59" s="1"/>
  <c r="P42" i="59"/>
  <c r="Q42" i="59" s="1"/>
  <c r="P38" i="59"/>
  <c r="Q38" i="59" s="1"/>
  <c r="P34" i="59"/>
  <c r="Q34" i="59" s="1"/>
  <c r="P30" i="59"/>
  <c r="Q30" i="59" s="1"/>
  <c r="P26" i="59"/>
  <c r="Q26" i="59" s="1"/>
  <c r="P258" i="59"/>
  <c r="Q258" i="59" s="1"/>
  <c r="P250" i="59"/>
  <c r="Q250" i="59" s="1"/>
  <c r="P242" i="59"/>
  <c r="Q242" i="59" s="1"/>
  <c r="P234" i="59"/>
  <c r="Q234" i="59" s="1"/>
  <c r="P226" i="59"/>
  <c r="Q226" i="59" s="1"/>
  <c r="P218" i="59"/>
  <c r="Q218" i="59" s="1"/>
  <c r="P210" i="59"/>
  <c r="Q210" i="59" s="1"/>
  <c r="P202" i="59"/>
  <c r="Q202" i="59" s="1"/>
  <c r="P186" i="59"/>
  <c r="Q186" i="59" s="1"/>
  <c r="P23" i="59"/>
  <c r="Q23" i="59" s="1"/>
  <c r="P22" i="59"/>
  <c r="Q22" i="59" s="1"/>
  <c r="P21" i="59"/>
  <c r="Q21" i="59" s="1"/>
  <c r="P20" i="59"/>
  <c r="Q20" i="59" s="1"/>
  <c r="P19" i="59"/>
  <c r="Q19" i="59" s="1"/>
  <c r="P18" i="59"/>
  <c r="Q18" i="59" s="1"/>
  <c r="P17" i="59"/>
  <c r="Q17" i="59" s="1"/>
  <c r="P16" i="59"/>
  <c r="Q16" i="59" s="1"/>
  <c r="P15" i="59"/>
  <c r="Q15" i="59" s="1"/>
  <c r="P14" i="59"/>
  <c r="Q14" i="59" s="1"/>
  <c r="P13" i="59"/>
  <c r="Q13" i="59" s="1"/>
  <c r="AI257" i="57"/>
  <c r="W257" i="57"/>
  <c r="V257" i="57"/>
  <c r="AI256" i="57"/>
  <c r="W256" i="57"/>
  <c r="V256" i="57"/>
  <c r="AI255" i="57"/>
  <c r="W255" i="57"/>
  <c r="V255" i="57"/>
  <c r="AI254" i="57"/>
  <c r="W254" i="57"/>
  <c r="V254" i="57"/>
  <c r="AI253" i="57"/>
  <c r="W253" i="57"/>
  <c r="V253" i="57"/>
  <c r="AI252" i="57"/>
  <c r="W252" i="57"/>
  <c r="V252" i="57"/>
  <c r="AI251" i="57"/>
  <c r="W251" i="57"/>
  <c r="V251" i="57"/>
  <c r="AI250" i="57"/>
  <c r="W250" i="57"/>
  <c r="V250" i="57"/>
  <c r="AI249" i="57"/>
  <c r="W249" i="57"/>
  <c r="V249" i="57"/>
  <c r="AI248" i="57"/>
  <c r="W248" i="57"/>
  <c r="V248" i="57"/>
  <c r="AI247" i="57"/>
  <c r="W247" i="57"/>
  <c r="V247" i="57"/>
  <c r="AI246" i="57"/>
  <c r="W246" i="57"/>
  <c r="V246" i="57"/>
  <c r="AI245" i="57"/>
  <c r="W245" i="57"/>
  <c r="V245" i="57"/>
  <c r="AI244" i="57"/>
  <c r="W244" i="57"/>
  <c r="V244" i="57"/>
  <c r="AI243" i="57"/>
  <c r="W243" i="57"/>
  <c r="V243" i="57"/>
  <c r="AI242" i="57"/>
  <c r="W242" i="57"/>
  <c r="V242" i="57"/>
  <c r="AI241" i="57"/>
  <c r="W241" i="57"/>
  <c r="V241" i="57"/>
  <c r="AI240" i="57"/>
  <c r="W240" i="57"/>
  <c r="V240" i="57"/>
  <c r="AI239" i="57"/>
  <c r="W239" i="57"/>
  <c r="V239" i="57"/>
  <c r="AI238" i="57"/>
  <c r="W238" i="57"/>
  <c r="V238" i="57"/>
  <c r="AI237" i="57"/>
  <c r="W237" i="57"/>
  <c r="V237" i="57"/>
  <c r="AI236" i="57"/>
  <c r="W236" i="57"/>
  <c r="V236" i="57"/>
  <c r="AI235" i="57"/>
  <c r="W235" i="57"/>
  <c r="V235" i="57"/>
  <c r="AI234" i="57"/>
  <c r="W234" i="57"/>
  <c r="V234" i="57"/>
  <c r="AI233" i="57"/>
  <c r="W233" i="57"/>
  <c r="V233" i="57"/>
  <c r="AI232" i="57"/>
  <c r="W232" i="57"/>
  <c r="V232" i="57"/>
  <c r="AI231" i="57"/>
  <c r="W231" i="57"/>
  <c r="V231" i="57"/>
  <c r="AI230" i="57"/>
  <c r="W230" i="57"/>
  <c r="V230" i="57"/>
  <c r="AI229" i="57"/>
  <c r="W229" i="57"/>
  <c r="V229" i="57"/>
  <c r="AI228" i="57"/>
  <c r="W228" i="57"/>
  <c r="V228" i="57"/>
  <c r="AI227" i="57"/>
  <c r="W227" i="57"/>
  <c r="V227" i="57"/>
  <c r="AI226" i="57"/>
  <c r="W226" i="57"/>
  <c r="V226" i="57"/>
  <c r="AI225" i="57"/>
  <c r="W225" i="57"/>
  <c r="V225" i="57"/>
  <c r="AI224" i="57"/>
  <c r="W224" i="57"/>
  <c r="V224" i="57"/>
  <c r="AI223" i="57"/>
  <c r="W223" i="57"/>
  <c r="V223" i="57"/>
  <c r="AI222" i="57"/>
  <c r="W222" i="57"/>
  <c r="V222" i="57"/>
  <c r="AI221" i="57"/>
  <c r="W221" i="57"/>
  <c r="V221" i="57"/>
  <c r="AI220" i="57"/>
  <c r="W220" i="57"/>
  <c r="V220" i="57"/>
  <c r="AI219" i="57"/>
  <c r="W219" i="57"/>
  <c r="V219" i="57"/>
  <c r="AI218" i="57"/>
  <c r="W218" i="57"/>
  <c r="V218" i="57"/>
  <c r="AI217" i="57"/>
  <c r="W217" i="57"/>
  <c r="V217" i="57"/>
  <c r="AI216" i="57"/>
  <c r="W216" i="57"/>
  <c r="V216" i="57"/>
  <c r="AI215" i="57"/>
  <c r="W215" i="57"/>
  <c r="V215" i="57"/>
  <c r="AI214" i="57"/>
  <c r="W214" i="57"/>
  <c r="V214" i="57"/>
  <c r="AI213" i="57"/>
  <c r="W213" i="57"/>
  <c r="V213" i="57"/>
  <c r="AI212" i="57"/>
  <c r="W212" i="57"/>
  <c r="V212" i="57"/>
  <c r="AI211" i="57"/>
  <c r="W211" i="57"/>
  <c r="V211" i="57"/>
  <c r="AI210" i="57"/>
  <c r="W210" i="57"/>
  <c r="V210" i="57"/>
  <c r="AI209" i="57"/>
  <c r="W209" i="57"/>
  <c r="V209" i="57"/>
  <c r="AI208" i="57"/>
  <c r="W208" i="57"/>
  <c r="V208" i="57"/>
  <c r="AI207" i="57"/>
  <c r="W207" i="57"/>
  <c r="V207" i="57"/>
  <c r="AI206" i="57"/>
  <c r="W206" i="57"/>
  <c r="V206" i="57"/>
  <c r="AI205" i="57"/>
  <c r="W205" i="57"/>
  <c r="V205" i="57"/>
  <c r="AI204" i="57"/>
  <c r="W204" i="57"/>
  <c r="V204" i="57"/>
  <c r="AI203" i="57"/>
  <c r="W203" i="57"/>
  <c r="V203" i="57"/>
  <c r="AI202" i="57"/>
  <c r="W202" i="57"/>
  <c r="V202" i="57"/>
  <c r="AI201" i="57"/>
  <c r="W201" i="57"/>
  <c r="V201" i="57"/>
  <c r="AI200" i="57"/>
  <c r="W200" i="57"/>
  <c r="V200" i="57"/>
  <c r="AI199" i="57"/>
  <c r="W199" i="57"/>
  <c r="V199" i="57"/>
  <c r="AI198" i="57"/>
  <c r="W198" i="57"/>
  <c r="V198" i="57"/>
  <c r="AI197" i="57"/>
  <c r="W197" i="57"/>
  <c r="V197" i="57"/>
  <c r="AI196" i="57"/>
  <c r="W196" i="57"/>
  <c r="V196" i="57"/>
  <c r="AI195" i="57"/>
  <c r="W195" i="57"/>
  <c r="V195" i="57"/>
  <c r="AI194" i="57"/>
  <c r="W194" i="57"/>
  <c r="V194" i="57"/>
  <c r="AI193" i="57"/>
  <c r="W193" i="57"/>
  <c r="V193" i="57"/>
  <c r="AI192" i="57"/>
  <c r="W192" i="57"/>
  <c r="V192" i="57"/>
  <c r="AI191" i="57"/>
  <c r="W191" i="57"/>
  <c r="V191" i="57"/>
  <c r="AI190" i="57"/>
  <c r="W190" i="57"/>
  <c r="V190" i="57"/>
  <c r="AI189" i="57"/>
  <c r="W189" i="57"/>
  <c r="V189" i="57"/>
  <c r="AI188" i="57"/>
  <c r="W188" i="57"/>
  <c r="V188" i="57"/>
  <c r="AI187" i="57"/>
  <c r="W187" i="57"/>
  <c r="V187" i="57"/>
  <c r="AI186" i="57"/>
  <c r="W186" i="57"/>
  <c r="V186" i="57"/>
  <c r="AI185" i="57"/>
  <c r="W185" i="57"/>
  <c r="V185" i="57"/>
  <c r="AI184" i="57"/>
  <c r="W184" i="57"/>
  <c r="V184" i="57"/>
  <c r="AI183" i="57"/>
  <c r="W183" i="57"/>
  <c r="V183" i="57"/>
  <c r="AI182" i="57"/>
  <c r="W182" i="57"/>
  <c r="V182" i="57"/>
  <c r="AI181" i="57"/>
  <c r="W181" i="57"/>
  <c r="V181" i="57"/>
  <c r="AI180" i="57"/>
  <c r="W180" i="57"/>
  <c r="V180" i="57"/>
  <c r="AI179" i="57"/>
  <c r="W179" i="57"/>
  <c r="V179" i="57"/>
  <c r="AI178" i="57"/>
  <c r="W178" i="57"/>
  <c r="V178" i="57"/>
  <c r="AI177" i="57"/>
  <c r="W177" i="57"/>
  <c r="V177" i="57"/>
  <c r="AI176" i="57"/>
  <c r="W176" i="57"/>
  <c r="V176" i="57"/>
  <c r="AI175" i="57"/>
  <c r="W175" i="57"/>
  <c r="V175" i="57"/>
  <c r="AI174" i="57"/>
  <c r="W174" i="57"/>
  <c r="V174" i="57"/>
  <c r="AI173" i="57"/>
  <c r="W173" i="57"/>
  <c r="V173" i="57"/>
  <c r="AI172" i="57"/>
  <c r="W172" i="57"/>
  <c r="V172" i="57"/>
  <c r="AI171" i="57"/>
  <c r="W171" i="57"/>
  <c r="V171" i="57"/>
  <c r="AI170" i="57"/>
  <c r="W170" i="57"/>
  <c r="V170" i="57"/>
  <c r="AI169" i="57"/>
  <c r="W169" i="57"/>
  <c r="V169" i="57"/>
  <c r="AI168" i="57"/>
  <c r="W168" i="57"/>
  <c r="V168" i="57"/>
  <c r="AI167" i="57"/>
  <c r="W167" i="57"/>
  <c r="V167" i="57"/>
  <c r="AI166" i="57"/>
  <c r="W166" i="57"/>
  <c r="V166" i="57"/>
  <c r="AI165" i="57"/>
  <c r="W165" i="57"/>
  <c r="V165" i="57"/>
  <c r="AI164" i="57"/>
  <c r="W164" i="57"/>
  <c r="V164" i="57"/>
  <c r="AI163" i="57"/>
  <c r="W163" i="57"/>
  <c r="V163" i="57"/>
  <c r="AI162" i="57"/>
  <c r="W162" i="57"/>
  <c r="V162" i="57"/>
  <c r="AI161" i="57"/>
  <c r="W161" i="57"/>
  <c r="V161" i="57"/>
  <c r="AI160" i="57"/>
  <c r="W160" i="57"/>
  <c r="V160" i="57"/>
  <c r="AI159" i="57"/>
  <c r="W159" i="57"/>
  <c r="V159" i="57"/>
  <c r="AI158" i="57"/>
  <c r="W158" i="57"/>
  <c r="V158" i="57"/>
  <c r="AI157" i="57"/>
  <c r="W157" i="57"/>
  <c r="V157" i="57"/>
  <c r="AI156" i="57"/>
  <c r="W156" i="57"/>
  <c r="V156" i="57"/>
  <c r="AI155" i="57"/>
  <c r="W155" i="57"/>
  <c r="V155" i="57"/>
  <c r="AI154" i="57"/>
  <c r="W154" i="57"/>
  <c r="V154" i="57"/>
  <c r="AI153" i="57"/>
  <c r="W153" i="57"/>
  <c r="V153" i="57"/>
  <c r="AI152" i="57"/>
  <c r="W152" i="57"/>
  <c r="V152" i="57"/>
  <c r="AI151" i="57"/>
  <c r="W151" i="57"/>
  <c r="V151" i="57"/>
  <c r="AI150" i="57"/>
  <c r="W150" i="57"/>
  <c r="V150" i="57"/>
  <c r="AI149" i="57"/>
  <c r="W149" i="57"/>
  <c r="V149" i="57"/>
  <c r="AI148" i="57"/>
  <c r="W148" i="57"/>
  <c r="V148" i="57"/>
  <c r="AI147" i="57"/>
  <c r="W147" i="57"/>
  <c r="V147" i="57"/>
  <c r="AI146" i="57"/>
  <c r="W146" i="57"/>
  <c r="V146" i="57"/>
  <c r="AI145" i="57"/>
  <c r="W145" i="57"/>
  <c r="V145" i="57"/>
  <c r="AI144" i="57"/>
  <c r="W144" i="57"/>
  <c r="V144" i="57"/>
  <c r="AI143" i="57"/>
  <c r="W143" i="57"/>
  <c r="V143" i="57"/>
  <c r="AI142" i="57"/>
  <c r="W142" i="57"/>
  <c r="V142" i="57"/>
  <c r="AI141" i="57"/>
  <c r="W141" i="57"/>
  <c r="V141" i="57"/>
  <c r="AI140" i="57"/>
  <c r="W140" i="57"/>
  <c r="V140" i="57"/>
  <c r="AI139" i="57"/>
  <c r="W139" i="57"/>
  <c r="V139" i="57"/>
  <c r="AI138" i="57"/>
  <c r="W138" i="57"/>
  <c r="V138" i="57"/>
  <c r="AI137" i="57"/>
  <c r="W137" i="57"/>
  <c r="V137" i="57"/>
  <c r="AI136" i="57"/>
  <c r="W136" i="57"/>
  <c r="V136" i="57"/>
  <c r="AI135" i="57"/>
  <c r="W135" i="57"/>
  <c r="V135" i="57"/>
  <c r="AI134" i="57"/>
  <c r="W134" i="57"/>
  <c r="V134" i="57"/>
  <c r="AI133" i="57"/>
  <c r="W133" i="57"/>
  <c r="V133" i="57"/>
  <c r="AI132" i="57"/>
  <c r="W132" i="57"/>
  <c r="V132" i="57"/>
  <c r="AI131" i="57"/>
  <c r="W131" i="57"/>
  <c r="V131" i="57"/>
  <c r="AI130" i="57"/>
  <c r="W130" i="57"/>
  <c r="V130" i="57"/>
  <c r="AI129" i="57"/>
  <c r="W129" i="57"/>
  <c r="V129" i="57"/>
  <c r="AI128" i="57"/>
  <c r="W128" i="57"/>
  <c r="V128" i="57"/>
  <c r="AI127" i="57"/>
  <c r="W127" i="57"/>
  <c r="V127" i="57"/>
  <c r="AI126" i="57"/>
  <c r="W126" i="57"/>
  <c r="V126" i="57"/>
  <c r="AI125" i="57"/>
  <c r="W125" i="57"/>
  <c r="V125" i="57"/>
  <c r="AI124" i="57"/>
  <c r="W124" i="57"/>
  <c r="V124" i="57"/>
  <c r="AI123" i="57"/>
  <c r="W123" i="57"/>
  <c r="V123" i="57"/>
  <c r="AI122" i="57"/>
  <c r="W122" i="57"/>
  <c r="V122" i="57"/>
  <c r="AI121" i="57"/>
  <c r="W121" i="57"/>
  <c r="V121" i="57"/>
  <c r="AI120" i="57"/>
  <c r="W120" i="57"/>
  <c r="V120" i="57"/>
  <c r="AI119" i="57"/>
  <c r="W119" i="57"/>
  <c r="V119" i="57"/>
  <c r="AI118" i="57"/>
  <c r="W118" i="57"/>
  <c r="V118" i="57"/>
  <c r="AI117" i="57"/>
  <c r="W117" i="57"/>
  <c r="V117" i="57"/>
  <c r="AI116" i="57"/>
  <c r="W116" i="57"/>
  <c r="V116" i="57"/>
  <c r="AI115" i="57"/>
  <c r="W115" i="57"/>
  <c r="V115" i="57"/>
  <c r="AI114" i="57"/>
  <c r="W114" i="57"/>
  <c r="V114" i="57"/>
  <c r="AI113" i="57"/>
  <c r="W113" i="57"/>
  <c r="V113" i="57"/>
  <c r="AI112" i="57"/>
  <c r="W112" i="57"/>
  <c r="V112" i="57"/>
  <c r="AI111" i="57"/>
  <c r="W111" i="57"/>
  <c r="V111" i="57"/>
  <c r="AI110" i="57"/>
  <c r="W110" i="57"/>
  <c r="V110" i="57"/>
  <c r="AI109" i="57"/>
  <c r="W109" i="57"/>
  <c r="V109" i="57"/>
  <c r="AI108" i="57"/>
  <c r="W108" i="57"/>
  <c r="V108" i="57"/>
  <c r="AI107" i="57"/>
  <c r="W107" i="57"/>
  <c r="V107" i="57"/>
  <c r="AI106" i="57"/>
  <c r="W106" i="57"/>
  <c r="V106" i="57"/>
  <c r="AI105" i="57"/>
  <c r="W105" i="57"/>
  <c r="V105" i="57"/>
  <c r="AI104" i="57"/>
  <c r="W104" i="57"/>
  <c r="V104" i="57"/>
  <c r="AI103" i="57"/>
  <c r="W103" i="57"/>
  <c r="V103" i="57"/>
  <c r="AI102" i="57"/>
  <c r="W102" i="57"/>
  <c r="V102" i="57"/>
  <c r="AI101" i="57"/>
  <c r="W101" i="57"/>
  <c r="V101" i="57"/>
  <c r="AI100" i="57"/>
  <c r="W100" i="57"/>
  <c r="V100" i="57"/>
  <c r="AI99" i="57"/>
  <c r="W99" i="57"/>
  <c r="V99" i="57"/>
  <c r="AI98" i="57"/>
  <c r="W98" i="57"/>
  <c r="V98" i="57"/>
  <c r="AI97" i="57"/>
  <c r="W97" i="57"/>
  <c r="V97" i="57"/>
  <c r="AI96" i="57"/>
  <c r="W96" i="57"/>
  <c r="V96" i="57"/>
  <c r="AI95" i="57"/>
  <c r="W95" i="57"/>
  <c r="V95" i="57"/>
  <c r="AI94" i="57"/>
  <c r="W94" i="57"/>
  <c r="V94" i="57"/>
  <c r="AI93" i="57"/>
  <c r="W93" i="57"/>
  <c r="V93" i="57"/>
  <c r="AI92" i="57"/>
  <c r="W92" i="57"/>
  <c r="V92" i="57"/>
  <c r="AI91" i="57"/>
  <c r="W91" i="57"/>
  <c r="V91" i="57"/>
  <c r="AI90" i="57"/>
  <c r="W90" i="57"/>
  <c r="V90" i="57"/>
  <c r="AI89" i="57"/>
  <c r="W89" i="57"/>
  <c r="V89" i="57"/>
  <c r="AI88" i="57"/>
  <c r="W88" i="57"/>
  <c r="V88" i="57"/>
  <c r="AI87" i="57"/>
  <c r="W87" i="57"/>
  <c r="V87" i="57"/>
  <c r="AI86" i="57"/>
  <c r="W86" i="57"/>
  <c r="V86" i="57"/>
  <c r="AI85" i="57"/>
  <c r="W85" i="57"/>
  <c r="V85" i="57"/>
  <c r="AI84" i="57"/>
  <c r="W84" i="57"/>
  <c r="V84" i="57"/>
  <c r="AI83" i="57"/>
  <c r="W83" i="57"/>
  <c r="V83" i="57"/>
  <c r="AI82" i="57"/>
  <c r="W82" i="57"/>
  <c r="V82" i="57"/>
  <c r="AI81" i="57"/>
  <c r="W81" i="57"/>
  <c r="V81" i="57"/>
  <c r="AI80" i="57"/>
  <c r="W80" i="57"/>
  <c r="V80" i="57"/>
  <c r="AI79" i="57"/>
  <c r="W79" i="57"/>
  <c r="V79" i="57"/>
  <c r="AI78" i="57"/>
  <c r="W78" i="57"/>
  <c r="V78" i="57"/>
  <c r="AI77" i="57"/>
  <c r="W77" i="57"/>
  <c r="V77" i="57"/>
  <c r="AI76" i="57"/>
  <c r="W76" i="57"/>
  <c r="V76" i="57"/>
  <c r="AI75" i="57"/>
  <c r="W75" i="57"/>
  <c r="V75" i="57"/>
  <c r="AI74" i="57"/>
  <c r="W74" i="57"/>
  <c r="V74" i="57"/>
  <c r="AI73" i="57"/>
  <c r="W73" i="57"/>
  <c r="V73" i="57"/>
  <c r="AI72" i="57"/>
  <c r="W72" i="57"/>
  <c r="V72" i="57"/>
  <c r="AI71" i="57"/>
  <c r="W71" i="57"/>
  <c r="V71" i="57"/>
  <c r="AI70" i="57"/>
  <c r="W70" i="57"/>
  <c r="V70" i="57"/>
  <c r="AI69" i="57"/>
  <c r="W69" i="57"/>
  <c r="V69" i="57"/>
  <c r="AI68" i="57"/>
  <c r="W68" i="57"/>
  <c r="V68" i="57"/>
  <c r="AI67" i="57"/>
  <c r="W67" i="57"/>
  <c r="V67" i="57"/>
  <c r="AI66" i="57"/>
  <c r="W66" i="57"/>
  <c r="V66" i="57"/>
  <c r="AI65" i="57"/>
  <c r="W65" i="57"/>
  <c r="V65" i="57"/>
  <c r="AI64" i="57"/>
  <c r="W64" i="57"/>
  <c r="V64" i="57"/>
  <c r="AI63" i="57"/>
  <c r="W63" i="57"/>
  <c r="V63" i="57"/>
  <c r="AI62" i="57"/>
  <c r="W62" i="57"/>
  <c r="V62" i="57"/>
  <c r="AI61" i="57"/>
  <c r="W61" i="57"/>
  <c r="V61" i="57"/>
  <c r="AI60" i="57"/>
  <c r="W60" i="57"/>
  <c r="V60" i="57"/>
  <c r="AI59" i="57"/>
  <c r="W59" i="57"/>
  <c r="V59" i="57"/>
  <c r="AI58" i="57"/>
  <c r="W58" i="57"/>
  <c r="V58" i="57"/>
  <c r="AI57" i="57"/>
  <c r="W57" i="57"/>
  <c r="V57" i="57"/>
  <c r="AI56" i="57"/>
  <c r="W56" i="57"/>
  <c r="V56" i="57"/>
  <c r="AI55" i="57"/>
  <c r="W55" i="57"/>
  <c r="V55" i="57"/>
  <c r="AI54" i="57"/>
  <c r="W54" i="57"/>
  <c r="V54" i="57"/>
  <c r="AI53" i="57"/>
  <c r="W53" i="57"/>
  <c r="V53" i="57"/>
  <c r="AI52" i="57"/>
  <c r="W52" i="57"/>
  <c r="V52" i="57"/>
  <c r="AI51" i="57"/>
  <c r="W51" i="57"/>
  <c r="V51" i="57"/>
  <c r="AI50" i="57"/>
  <c r="W50" i="57"/>
  <c r="V50" i="57"/>
  <c r="AI49" i="57"/>
  <c r="W49" i="57"/>
  <c r="V49" i="57"/>
  <c r="AI48" i="57"/>
  <c r="W48" i="57"/>
  <c r="V48" i="57"/>
  <c r="AI47" i="57"/>
  <c r="W47" i="57"/>
  <c r="V47" i="57"/>
  <c r="AI46" i="57"/>
  <c r="W46" i="57"/>
  <c r="V46" i="57"/>
  <c r="AI45" i="57"/>
  <c r="W45" i="57"/>
  <c r="V45" i="57"/>
  <c r="AI44" i="57"/>
  <c r="W44" i="57"/>
  <c r="V44" i="57"/>
  <c r="AI43" i="57"/>
  <c r="W43" i="57"/>
  <c r="V43" i="57"/>
  <c r="AI42" i="57"/>
  <c r="W42" i="57"/>
  <c r="V42" i="57"/>
  <c r="AI41" i="57"/>
  <c r="W41" i="57"/>
  <c r="V41" i="57"/>
  <c r="AI40" i="57"/>
  <c r="W40" i="57"/>
  <c r="V40" i="57"/>
  <c r="AI39" i="57"/>
  <c r="W39" i="57"/>
  <c r="V39" i="57"/>
  <c r="AI38" i="57"/>
  <c r="W38" i="57"/>
  <c r="V38" i="57"/>
  <c r="AI37" i="57"/>
  <c r="W37" i="57"/>
  <c r="V37" i="57"/>
  <c r="AI36" i="57"/>
  <c r="W36" i="57"/>
  <c r="V36" i="57"/>
  <c r="AI35" i="57"/>
  <c r="W35" i="57"/>
  <c r="V35" i="57"/>
  <c r="AI34" i="57"/>
  <c r="W34" i="57"/>
  <c r="V34" i="57"/>
  <c r="AI33" i="57"/>
  <c r="W33" i="57"/>
  <c r="V33" i="57"/>
  <c r="AI32" i="57"/>
  <c r="W32" i="57"/>
  <c r="V32" i="57"/>
  <c r="AI31" i="57"/>
  <c r="W31" i="57"/>
  <c r="V31" i="57"/>
  <c r="AI30" i="57"/>
  <c r="W30" i="57"/>
  <c r="V30" i="57"/>
  <c r="AI29" i="57"/>
  <c r="W29" i="57"/>
  <c r="V29" i="57"/>
  <c r="AI28" i="57"/>
  <c r="W28" i="57"/>
  <c r="V28" i="57"/>
  <c r="AI27" i="57"/>
  <c r="W27" i="57"/>
  <c r="V27" i="57"/>
  <c r="AI26" i="57"/>
  <c r="W26" i="57"/>
  <c r="V26" i="57"/>
  <c r="AI25" i="57"/>
  <c r="W25" i="57"/>
  <c r="V25" i="57"/>
  <c r="AI24" i="57"/>
  <c r="W24" i="57"/>
  <c r="V24" i="57"/>
  <c r="AI23" i="57"/>
  <c r="W23" i="57"/>
  <c r="V23" i="57"/>
  <c r="AI22" i="57"/>
  <c r="W22" i="57"/>
  <c r="V22" i="57"/>
  <c r="AI21" i="57"/>
  <c r="W21" i="57"/>
  <c r="V21" i="57"/>
  <c r="AI20" i="57"/>
  <c r="W20" i="57"/>
  <c r="V20" i="57"/>
  <c r="AI19" i="57"/>
  <c r="W19" i="57"/>
  <c r="V19" i="57"/>
  <c r="AI18" i="57"/>
  <c r="W18" i="57"/>
  <c r="V18" i="57"/>
  <c r="AI17" i="57"/>
  <c r="W17" i="57"/>
  <c r="V17" i="57"/>
  <c r="AI16" i="57"/>
  <c r="W16" i="57"/>
  <c r="V16" i="57"/>
  <c r="AI15" i="57"/>
  <c r="W15" i="57"/>
  <c r="V15" i="57"/>
  <c r="AI14" i="57"/>
  <c r="W14" i="57"/>
  <c r="V14" i="57"/>
  <c r="AI13" i="57"/>
  <c r="W13" i="57"/>
  <c r="V13" i="57"/>
  <c r="O259" i="58"/>
  <c r="N259" i="58"/>
  <c r="L259" i="58"/>
  <c r="K259" i="58"/>
  <c r="F259" i="58"/>
  <c r="O258" i="58"/>
  <c r="N258" i="58"/>
  <c r="L258" i="58"/>
  <c r="K258" i="58"/>
  <c r="F258" i="58"/>
  <c r="O257" i="58"/>
  <c r="N257" i="58"/>
  <c r="L257" i="58"/>
  <c r="K257" i="58"/>
  <c r="F257" i="58"/>
  <c r="O256" i="58"/>
  <c r="N256" i="58"/>
  <c r="L256" i="58"/>
  <c r="K256" i="58"/>
  <c r="F256" i="58"/>
  <c r="O255" i="58"/>
  <c r="N255" i="58"/>
  <c r="L255" i="58"/>
  <c r="K255" i="58"/>
  <c r="F255" i="58"/>
  <c r="O254" i="58"/>
  <c r="N254" i="58"/>
  <c r="L254" i="58"/>
  <c r="K254" i="58"/>
  <c r="F254" i="58"/>
  <c r="O253" i="58"/>
  <c r="N253" i="58"/>
  <c r="L253" i="58"/>
  <c r="K253" i="58"/>
  <c r="F253" i="58"/>
  <c r="O252" i="58"/>
  <c r="N252" i="58"/>
  <c r="L252" i="58"/>
  <c r="K252" i="58"/>
  <c r="F252" i="58"/>
  <c r="O251" i="58"/>
  <c r="N251" i="58"/>
  <c r="L251" i="58"/>
  <c r="K251" i="58"/>
  <c r="F251" i="58"/>
  <c r="X251" i="58" s="1"/>
  <c r="O250" i="58"/>
  <c r="N250" i="58"/>
  <c r="L250" i="58"/>
  <c r="K250" i="58"/>
  <c r="F250" i="58"/>
  <c r="O249" i="58"/>
  <c r="N249" i="58"/>
  <c r="L249" i="58"/>
  <c r="K249" i="58"/>
  <c r="F249" i="58"/>
  <c r="O248" i="58"/>
  <c r="N248" i="58"/>
  <c r="L248" i="58"/>
  <c r="K248" i="58"/>
  <c r="F248" i="58"/>
  <c r="O247" i="58"/>
  <c r="N247" i="58"/>
  <c r="L247" i="58"/>
  <c r="K247" i="58"/>
  <c r="F247" i="58"/>
  <c r="O246" i="58"/>
  <c r="N246" i="58"/>
  <c r="L246" i="58"/>
  <c r="K246" i="58"/>
  <c r="F246" i="58"/>
  <c r="O245" i="58"/>
  <c r="N245" i="58"/>
  <c r="L245" i="58"/>
  <c r="K245" i="58"/>
  <c r="F245" i="58"/>
  <c r="X245" i="58" s="1"/>
  <c r="O244" i="58"/>
  <c r="N244" i="58"/>
  <c r="L244" i="58"/>
  <c r="K244" i="58"/>
  <c r="F244" i="58"/>
  <c r="X244" i="58" s="1"/>
  <c r="O243" i="58"/>
  <c r="N243" i="58"/>
  <c r="L243" i="58"/>
  <c r="K243" i="58"/>
  <c r="F243" i="58"/>
  <c r="O242" i="58"/>
  <c r="N242" i="58"/>
  <c r="L242" i="58"/>
  <c r="K242" i="58"/>
  <c r="F242" i="58"/>
  <c r="O241" i="58"/>
  <c r="N241" i="58"/>
  <c r="L241" i="58"/>
  <c r="K241" i="58"/>
  <c r="F241" i="58"/>
  <c r="O240" i="58"/>
  <c r="N240" i="58"/>
  <c r="L240" i="58"/>
  <c r="K240" i="58"/>
  <c r="F240" i="58"/>
  <c r="O239" i="58"/>
  <c r="N239" i="58"/>
  <c r="L239" i="58"/>
  <c r="K239" i="58"/>
  <c r="F239" i="58"/>
  <c r="O238" i="58"/>
  <c r="N238" i="58"/>
  <c r="L238" i="58"/>
  <c r="K238" i="58"/>
  <c r="F238" i="58"/>
  <c r="O237" i="58"/>
  <c r="N237" i="58"/>
  <c r="L237" i="58"/>
  <c r="K237" i="58"/>
  <c r="F237" i="58"/>
  <c r="X237" i="58" s="1"/>
  <c r="O236" i="58"/>
  <c r="N236" i="58"/>
  <c r="L236" i="58"/>
  <c r="K236" i="58"/>
  <c r="F236" i="58"/>
  <c r="O235" i="58"/>
  <c r="N235" i="58"/>
  <c r="L235" i="58"/>
  <c r="K235" i="58"/>
  <c r="F235" i="58"/>
  <c r="X235" i="58" s="1"/>
  <c r="O234" i="58"/>
  <c r="N234" i="58"/>
  <c r="L234" i="58"/>
  <c r="K234" i="58"/>
  <c r="F234" i="58"/>
  <c r="O233" i="58"/>
  <c r="N233" i="58"/>
  <c r="L233" i="58"/>
  <c r="K233" i="58"/>
  <c r="F233" i="58"/>
  <c r="O232" i="58"/>
  <c r="N232" i="58"/>
  <c r="L232" i="58"/>
  <c r="K232" i="58"/>
  <c r="F232" i="58"/>
  <c r="O231" i="58"/>
  <c r="N231" i="58"/>
  <c r="L231" i="58"/>
  <c r="K231" i="58"/>
  <c r="F231" i="58"/>
  <c r="O230" i="58"/>
  <c r="N230" i="58"/>
  <c r="L230" i="58"/>
  <c r="K230" i="58"/>
  <c r="F230" i="58"/>
  <c r="O229" i="58"/>
  <c r="N229" i="58"/>
  <c r="L229" i="58"/>
  <c r="K229" i="58"/>
  <c r="F229" i="58"/>
  <c r="X229" i="58" s="1"/>
  <c r="O228" i="58"/>
  <c r="N228" i="58"/>
  <c r="L228" i="58"/>
  <c r="K228" i="58"/>
  <c r="F228" i="58"/>
  <c r="X228" i="58" s="1"/>
  <c r="O227" i="58"/>
  <c r="N227" i="58"/>
  <c r="L227" i="58"/>
  <c r="K227" i="58"/>
  <c r="F227" i="58"/>
  <c r="O226" i="58"/>
  <c r="N226" i="58"/>
  <c r="L226" i="58"/>
  <c r="K226" i="58"/>
  <c r="F226" i="58"/>
  <c r="O225" i="58"/>
  <c r="N225" i="58"/>
  <c r="L225" i="58"/>
  <c r="K225" i="58"/>
  <c r="F225" i="58"/>
  <c r="O224" i="58"/>
  <c r="N224" i="58"/>
  <c r="L224" i="58"/>
  <c r="K224" i="58"/>
  <c r="F224" i="58"/>
  <c r="O223" i="58"/>
  <c r="N223" i="58"/>
  <c r="L223" i="58"/>
  <c r="K223" i="58"/>
  <c r="F223" i="58"/>
  <c r="O222" i="58"/>
  <c r="N222" i="58"/>
  <c r="L222" i="58"/>
  <c r="K222" i="58"/>
  <c r="F222" i="58"/>
  <c r="O221" i="58"/>
  <c r="N221" i="58"/>
  <c r="L221" i="58"/>
  <c r="K221" i="58"/>
  <c r="F221" i="58"/>
  <c r="X221" i="58" s="1"/>
  <c r="O220" i="58"/>
  <c r="N220" i="58"/>
  <c r="L220" i="58"/>
  <c r="K220" i="58"/>
  <c r="F220" i="58"/>
  <c r="O219" i="58"/>
  <c r="N219" i="58"/>
  <c r="L219" i="58"/>
  <c r="K219" i="58"/>
  <c r="F219" i="58"/>
  <c r="X219" i="58" s="1"/>
  <c r="O218" i="58"/>
  <c r="N218" i="58"/>
  <c r="L218" i="58"/>
  <c r="K218" i="58"/>
  <c r="F218" i="58"/>
  <c r="O217" i="58"/>
  <c r="N217" i="58"/>
  <c r="L217" i="58"/>
  <c r="K217" i="58"/>
  <c r="F217" i="58"/>
  <c r="O216" i="58"/>
  <c r="N216" i="58"/>
  <c r="L216" i="58"/>
  <c r="K216" i="58"/>
  <c r="F216" i="58"/>
  <c r="O215" i="58"/>
  <c r="N215" i="58"/>
  <c r="L215" i="58"/>
  <c r="K215" i="58"/>
  <c r="F215" i="58"/>
  <c r="O214" i="58"/>
  <c r="N214" i="58"/>
  <c r="L214" i="58"/>
  <c r="K214" i="58"/>
  <c r="F214" i="58"/>
  <c r="O213" i="58"/>
  <c r="N213" i="58"/>
  <c r="L213" i="58"/>
  <c r="K213" i="58"/>
  <c r="F213" i="58"/>
  <c r="X213" i="58" s="1"/>
  <c r="O212" i="58"/>
  <c r="N212" i="58"/>
  <c r="L212" i="58"/>
  <c r="K212" i="58"/>
  <c r="F212" i="58"/>
  <c r="X212" i="58" s="1"/>
  <c r="O211" i="58"/>
  <c r="N211" i="58"/>
  <c r="L211" i="58"/>
  <c r="K211" i="58"/>
  <c r="F211" i="58"/>
  <c r="O210" i="58"/>
  <c r="N210" i="58"/>
  <c r="L210" i="58"/>
  <c r="K210" i="58"/>
  <c r="F210" i="58"/>
  <c r="O209" i="58"/>
  <c r="N209" i="58"/>
  <c r="L209" i="58"/>
  <c r="K209" i="58"/>
  <c r="F209" i="58"/>
  <c r="O208" i="58"/>
  <c r="N208" i="58"/>
  <c r="L208" i="58"/>
  <c r="K208" i="58"/>
  <c r="F208" i="58"/>
  <c r="O207" i="58"/>
  <c r="N207" i="58"/>
  <c r="L207" i="58"/>
  <c r="K207" i="58"/>
  <c r="F207" i="58"/>
  <c r="O206" i="58"/>
  <c r="N206" i="58"/>
  <c r="L206" i="58"/>
  <c r="K206" i="58"/>
  <c r="F206" i="58"/>
  <c r="I206" i="58" s="1"/>
  <c r="O205" i="58"/>
  <c r="N205" i="58"/>
  <c r="L205" i="58"/>
  <c r="K205" i="58"/>
  <c r="F205" i="58"/>
  <c r="X205" i="58" s="1"/>
  <c r="O204" i="58"/>
  <c r="N204" i="58"/>
  <c r="L204" i="58"/>
  <c r="K204" i="58"/>
  <c r="F204" i="58"/>
  <c r="O203" i="58"/>
  <c r="N203" i="58"/>
  <c r="L203" i="58"/>
  <c r="K203" i="58"/>
  <c r="F203" i="58"/>
  <c r="X203" i="58" s="1"/>
  <c r="O202" i="58"/>
  <c r="N202" i="58"/>
  <c r="L202" i="58"/>
  <c r="K202" i="58"/>
  <c r="F202" i="58"/>
  <c r="I202" i="58" s="1"/>
  <c r="O201" i="58"/>
  <c r="N201" i="58"/>
  <c r="L201" i="58"/>
  <c r="K201" i="58"/>
  <c r="F201" i="58"/>
  <c r="O200" i="58"/>
  <c r="N200" i="58"/>
  <c r="L200" i="58"/>
  <c r="K200" i="58"/>
  <c r="F200" i="58"/>
  <c r="O199" i="58"/>
  <c r="N199" i="58"/>
  <c r="L199" i="58"/>
  <c r="K199" i="58"/>
  <c r="F199" i="58"/>
  <c r="O198" i="58"/>
  <c r="N198" i="58"/>
  <c r="L198" i="58"/>
  <c r="K198" i="58"/>
  <c r="F198" i="58"/>
  <c r="O197" i="58"/>
  <c r="N197" i="58"/>
  <c r="L197" i="58"/>
  <c r="K197" i="58"/>
  <c r="F197" i="58"/>
  <c r="X197" i="58" s="1"/>
  <c r="O196" i="58"/>
  <c r="N196" i="58"/>
  <c r="L196" i="58"/>
  <c r="K196" i="58"/>
  <c r="F196" i="58"/>
  <c r="X196" i="58" s="1"/>
  <c r="O195" i="58"/>
  <c r="N195" i="58"/>
  <c r="L195" i="58"/>
  <c r="K195" i="58"/>
  <c r="F195" i="58"/>
  <c r="O194" i="58"/>
  <c r="N194" i="58"/>
  <c r="L194" i="58"/>
  <c r="K194" i="58"/>
  <c r="F194" i="58"/>
  <c r="O193" i="58"/>
  <c r="N193" i="58"/>
  <c r="L193" i="58"/>
  <c r="K193" i="58"/>
  <c r="F193" i="58"/>
  <c r="O192" i="58"/>
  <c r="N192" i="58"/>
  <c r="L192" i="58"/>
  <c r="K192" i="58"/>
  <c r="F192" i="58"/>
  <c r="O191" i="58"/>
  <c r="N191" i="58"/>
  <c r="L191" i="58"/>
  <c r="K191" i="58"/>
  <c r="F191" i="58"/>
  <c r="O190" i="58"/>
  <c r="N190" i="58"/>
  <c r="L190" i="58"/>
  <c r="K190" i="58"/>
  <c r="F190" i="58"/>
  <c r="X190" i="58" s="1"/>
  <c r="O189" i="58"/>
  <c r="N189" i="58"/>
  <c r="L189" i="58"/>
  <c r="K189" i="58"/>
  <c r="F189" i="58"/>
  <c r="X189" i="58" s="1"/>
  <c r="O188" i="58"/>
  <c r="N188" i="58"/>
  <c r="L188" i="58"/>
  <c r="K188" i="58"/>
  <c r="F188" i="58"/>
  <c r="O187" i="58"/>
  <c r="N187" i="58"/>
  <c r="L187" i="58"/>
  <c r="K187" i="58"/>
  <c r="F187" i="58"/>
  <c r="X187" i="58" s="1"/>
  <c r="O186" i="58"/>
  <c r="N186" i="58"/>
  <c r="L186" i="58"/>
  <c r="K186" i="58"/>
  <c r="F186" i="58"/>
  <c r="O185" i="58"/>
  <c r="N185" i="58"/>
  <c r="L185" i="58"/>
  <c r="K185" i="58"/>
  <c r="F185" i="58"/>
  <c r="O184" i="58"/>
  <c r="N184" i="58"/>
  <c r="L184" i="58"/>
  <c r="K184" i="58"/>
  <c r="F184" i="58"/>
  <c r="O183" i="58"/>
  <c r="N183" i="58"/>
  <c r="L183" i="58"/>
  <c r="K183" i="58"/>
  <c r="F183" i="58"/>
  <c r="O182" i="58"/>
  <c r="N182" i="58"/>
  <c r="L182" i="58"/>
  <c r="K182" i="58"/>
  <c r="F182" i="58"/>
  <c r="O181" i="58"/>
  <c r="N181" i="58"/>
  <c r="L181" i="58"/>
  <c r="K181" i="58"/>
  <c r="F181" i="58"/>
  <c r="X181" i="58" s="1"/>
  <c r="O180" i="58"/>
  <c r="N180" i="58"/>
  <c r="L180" i="58"/>
  <c r="K180" i="58"/>
  <c r="F180" i="58"/>
  <c r="X180" i="58" s="1"/>
  <c r="O179" i="58"/>
  <c r="N179" i="58"/>
  <c r="L179" i="58"/>
  <c r="K179" i="58"/>
  <c r="F179" i="58"/>
  <c r="O178" i="58"/>
  <c r="N178" i="58"/>
  <c r="L178" i="58"/>
  <c r="K178" i="58"/>
  <c r="F178" i="58"/>
  <c r="O177" i="58"/>
  <c r="N177" i="58"/>
  <c r="L177" i="58"/>
  <c r="K177" i="58"/>
  <c r="F177" i="58"/>
  <c r="O176" i="58"/>
  <c r="N176" i="58"/>
  <c r="L176" i="58"/>
  <c r="K176" i="58"/>
  <c r="F176" i="58"/>
  <c r="O175" i="58"/>
  <c r="N175" i="58"/>
  <c r="L175" i="58"/>
  <c r="K175" i="58"/>
  <c r="F175" i="58"/>
  <c r="O174" i="58"/>
  <c r="N174" i="58"/>
  <c r="L174" i="58"/>
  <c r="K174" i="58"/>
  <c r="F174" i="58"/>
  <c r="O173" i="58"/>
  <c r="N173" i="58"/>
  <c r="L173" i="58"/>
  <c r="K173" i="58"/>
  <c r="F173" i="58"/>
  <c r="X173" i="58" s="1"/>
  <c r="O172" i="58"/>
  <c r="N172" i="58"/>
  <c r="L172" i="58"/>
  <c r="K172" i="58"/>
  <c r="F172" i="58"/>
  <c r="X172" i="58" s="1"/>
  <c r="O171" i="58"/>
  <c r="N171" i="58"/>
  <c r="L171" i="58"/>
  <c r="K171" i="58"/>
  <c r="F171" i="58"/>
  <c r="X171" i="58" s="1"/>
  <c r="O170" i="58"/>
  <c r="N170" i="58"/>
  <c r="L170" i="58"/>
  <c r="K170" i="58"/>
  <c r="F170" i="58"/>
  <c r="O169" i="58"/>
  <c r="N169" i="58"/>
  <c r="L169" i="58"/>
  <c r="K169" i="58"/>
  <c r="F169" i="58"/>
  <c r="O168" i="58"/>
  <c r="N168" i="58"/>
  <c r="L168" i="58"/>
  <c r="K168" i="58"/>
  <c r="F168" i="58"/>
  <c r="X168" i="58" s="1"/>
  <c r="O167" i="58"/>
  <c r="N167" i="58"/>
  <c r="L167" i="58"/>
  <c r="K167" i="58"/>
  <c r="F167" i="58"/>
  <c r="O166" i="58"/>
  <c r="N166" i="58"/>
  <c r="L166" i="58"/>
  <c r="K166" i="58"/>
  <c r="F166" i="58"/>
  <c r="O165" i="58"/>
  <c r="N165" i="58"/>
  <c r="L165" i="58"/>
  <c r="K165" i="58"/>
  <c r="F165" i="58"/>
  <c r="O164" i="58"/>
  <c r="N164" i="58"/>
  <c r="L164" i="58"/>
  <c r="K164" i="58"/>
  <c r="F164" i="58"/>
  <c r="X164" i="58" s="1"/>
  <c r="O163" i="58"/>
  <c r="N163" i="58"/>
  <c r="L163" i="58"/>
  <c r="K163" i="58"/>
  <c r="F163" i="58"/>
  <c r="O162" i="58"/>
  <c r="N162" i="58"/>
  <c r="L162" i="58"/>
  <c r="K162" i="58"/>
  <c r="F162" i="58"/>
  <c r="O161" i="58"/>
  <c r="N161" i="58"/>
  <c r="L161" i="58"/>
  <c r="K161" i="58"/>
  <c r="F161" i="58"/>
  <c r="O160" i="58"/>
  <c r="N160" i="58"/>
  <c r="L160" i="58"/>
  <c r="K160" i="58"/>
  <c r="F160" i="58"/>
  <c r="X160" i="58" s="1"/>
  <c r="O159" i="58"/>
  <c r="N159" i="58"/>
  <c r="L159" i="58"/>
  <c r="K159" i="58"/>
  <c r="F159" i="58"/>
  <c r="O158" i="58"/>
  <c r="N158" i="58"/>
  <c r="L158" i="58"/>
  <c r="K158" i="58"/>
  <c r="F158" i="58"/>
  <c r="X158" i="58" s="1"/>
  <c r="O157" i="58"/>
  <c r="N157" i="58"/>
  <c r="L157" i="58"/>
  <c r="K157" i="58"/>
  <c r="F157" i="58"/>
  <c r="O156" i="58"/>
  <c r="N156" i="58"/>
  <c r="L156" i="58"/>
  <c r="K156" i="58"/>
  <c r="F156" i="58"/>
  <c r="X156" i="58" s="1"/>
  <c r="O155" i="58"/>
  <c r="N155" i="58"/>
  <c r="L155" i="58"/>
  <c r="K155" i="58"/>
  <c r="F155" i="58"/>
  <c r="O154" i="58"/>
  <c r="N154" i="58"/>
  <c r="L154" i="58"/>
  <c r="K154" i="58"/>
  <c r="F154" i="58"/>
  <c r="O153" i="58"/>
  <c r="N153" i="58"/>
  <c r="L153" i="58"/>
  <c r="K153" i="58"/>
  <c r="F153" i="58"/>
  <c r="O152" i="58"/>
  <c r="N152" i="58"/>
  <c r="L152" i="58"/>
  <c r="K152" i="58"/>
  <c r="F152" i="58"/>
  <c r="X152" i="58" s="1"/>
  <c r="O151" i="58"/>
  <c r="N151" i="58"/>
  <c r="L151" i="58"/>
  <c r="K151" i="58"/>
  <c r="F151" i="58"/>
  <c r="O150" i="58"/>
  <c r="N150" i="58"/>
  <c r="L150" i="58"/>
  <c r="K150" i="58"/>
  <c r="F150" i="58"/>
  <c r="O149" i="58"/>
  <c r="N149" i="58"/>
  <c r="L149" i="58"/>
  <c r="K149" i="58"/>
  <c r="F149" i="58"/>
  <c r="O148" i="58"/>
  <c r="N148" i="58"/>
  <c r="L148" i="58"/>
  <c r="K148" i="58"/>
  <c r="F148" i="58"/>
  <c r="X148" i="58" s="1"/>
  <c r="O147" i="58"/>
  <c r="N147" i="58"/>
  <c r="L147" i="58"/>
  <c r="K147" i="58"/>
  <c r="F147" i="58"/>
  <c r="O146" i="58"/>
  <c r="N146" i="58"/>
  <c r="L146" i="58"/>
  <c r="K146" i="58"/>
  <c r="F146" i="58"/>
  <c r="O145" i="58"/>
  <c r="N145" i="58"/>
  <c r="L145" i="58"/>
  <c r="K145" i="58"/>
  <c r="F145" i="58"/>
  <c r="O144" i="58"/>
  <c r="N144" i="58"/>
  <c r="L144" i="58"/>
  <c r="K144" i="58"/>
  <c r="F144" i="58"/>
  <c r="X144" i="58" s="1"/>
  <c r="O143" i="58"/>
  <c r="N143" i="58"/>
  <c r="L143" i="58"/>
  <c r="K143" i="58"/>
  <c r="F143" i="58"/>
  <c r="O142" i="58"/>
  <c r="N142" i="58"/>
  <c r="L142" i="58"/>
  <c r="K142" i="58"/>
  <c r="F142" i="58"/>
  <c r="I142" i="58" s="1"/>
  <c r="O141" i="58"/>
  <c r="N141" i="58"/>
  <c r="L141" i="58"/>
  <c r="K141" i="58"/>
  <c r="F141" i="58"/>
  <c r="X141" i="58" s="1"/>
  <c r="O140" i="58"/>
  <c r="N140" i="58"/>
  <c r="L140" i="58"/>
  <c r="K140" i="58"/>
  <c r="F140" i="58"/>
  <c r="X140" i="58" s="1"/>
  <c r="O139" i="58"/>
  <c r="N139" i="58"/>
  <c r="L139" i="58"/>
  <c r="K139" i="58"/>
  <c r="F139" i="58"/>
  <c r="X139" i="58" s="1"/>
  <c r="O138" i="58"/>
  <c r="N138" i="58"/>
  <c r="L138" i="58"/>
  <c r="K138" i="58"/>
  <c r="F138" i="58"/>
  <c r="O137" i="58"/>
  <c r="N137" i="58"/>
  <c r="L137" i="58"/>
  <c r="K137" i="58"/>
  <c r="F137" i="58"/>
  <c r="O136" i="58"/>
  <c r="N136" i="58"/>
  <c r="L136" i="58"/>
  <c r="K136" i="58"/>
  <c r="F136" i="58"/>
  <c r="X136" i="58" s="1"/>
  <c r="O135" i="58"/>
  <c r="N135" i="58"/>
  <c r="L135" i="58"/>
  <c r="K135" i="58"/>
  <c r="F135" i="58"/>
  <c r="X135" i="58" s="1"/>
  <c r="O134" i="58"/>
  <c r="N134" i="58"/>
  <c r="L134" i="58"/>
  <c r="K134" i="58"/>
  <c r="F134" i="58"/>
  <c r="O133" i="58"/>
  <c r="N133" i="58"/>
  <c r="L133" i="58"/>
  <c r="K133" i="58"/>
  <c r="F133" i="58"/>
  <c r="O132" i="58"/>
  <c r="N132" i="58"/>
  <c r="L132" i="58"/>
  <c r="K132" i="58"/>
  <c r="F132" i="58"/>
  <c r="X132" i="58" s="1"/>
  <c r="O131" i="58"/>
  <c r="N131" i="58"/>
  <c r="L131" i="58"/>
  <c r="K131" i="58"/>
  <c r="F131" i="58"/>
  <c r="O130" i="58"/>
  <c r="N130" i="58"/>
  <c r="L130" i="58"/>
  <c r="K130" i="58"/>
  <c r="F130" i="58"/>
  <c r="O129" i="58"/>
  <c r="N129" i="58"/>
  <c r="L129" i="58"/>
  <c r="K129" i="58"/>
  <c r="F129" i="58"/>
  <c r="O128" i="58"/>
  <c r="N128" i="58"/>
  <c r="L128" i="58"/>
  <c r="K128" i="58"/>
  <c r="F128" i="58"/>
  <c r="X128" i="58" s="1"/>
  <c r="O127" i="58"/>
  <c r="N127" i="58"/>
  <c r="L127" i="58"/>
  <c r="K127" i="58"/>
  <c r="F127" i="58"/>
  <c r="O126" i="58"/>
  <c r="N126" i="58"/>
  <c r="L126" i="58"/>
  <c r="K126" i="58"/>
  <c r="F126" i="58"/>
  <c r="X126" i="58" s="1"/>
  <c r="O125" i="58"/>
  <c r="N125" i="58"/>
  <c r="L125" i="58"/>
  <c r="K125" i="58"/>
  <c r="F125" i="58"/>
  <c r="O124" i="58"/>
  <c r="N124" i="58"/>
  <c r="L124" i="58"/>
  <c r="K124" i="58"/>
  <c r="F124" i="58"/>
  <c r="X124" i="58" s="1"/>
  <c r="O123" i="58"/>
  <c r="N123" i="58"/>
  <c r="L123" i="58"/>
  <c r="K123" i="58"/>
  <c r="F123" i="58"/>
  <c r="O122" i="58"/>
  <c r="N122" i="58"/>
  <c r="L122" i="58"/>
  <c r="K122" i="58"/>
  <c r="F122" i="58"/>
  <c r="O121" i="58"/>
  <c r="N121" i="58"/>
  <c r="L121" i="58"/>
  <c r="K121" i="58"/>
  <c r="F121" i="58"/>
  <c r="O120" i="58"/>
  <c r="N120" i="58"/>
  <c r="L120" i="58"/>
  <c r="K120" i="58"/>
  <c r="F120" i="58"/>
  <c r="X120" i="58" s="1"/>
  <c r="O119" i="58"/>
  <c r="N119" i="58"/>
  <c r="L119" i="58"/>
  <c r="K119" i="58"/>
  <c r="F119" i="58"/>
  <c r="O118" i="58"/>
  <c r="N118" i="58"/>
  <c r="L118" i="58"/>
  <c r="K118" i="58"/>
  <c r="F118" i="58"/>
  <c r="O117" i="58"/>
  <c r="N117" i="58"/>
  <c r="L117" i="58"/>
  <c r="K117" i="58"/>
  <c r="F117" i="58"/>
  <c r="O116" i="58"/>
  <c r="N116" i="58"/>
  <c r="L116" i="58"/>
  <c r="K116" i="58"/>
  <c r="F116" i="58"/>
  <c r="X116" i="58" s="1"/>
  <c r="O115" i="58"/>
  <c r="N115" i="58"/>
  <c r="L115" i="58"/>
  <c r="K115" i="58"/>
  <c r="F115" i="58"/>
  <c r="O114" i="58"/>
  <c r="N114" i="58"/>
  <c r="L114" i="58"/>
  <c r="K114" i="58"/>
  <c r="F114" i="58"/>
  <c r="O113" i="58"/>
  <c r="N113" i="58"/>
  <c r="L113" i="58"/>
  <c r="K113" i="58"/>
  <c r="F113" i="58"/>
  <c r="O112" i="58"/>
  <c r="N112" i="58"/>
  <c r="L112" i="58"/>
  <c r="K112" i="58"/>
  <c r="F112" i="58"/>
  <c r="X112" i="58" s="1"/>
  <c r="O111" i="58"/>
  <c r="N111" i="58"/>
  <c r="L111" i="58"/>
  <c r="K111" i="58"/>
  <c r="F111" i="58"/>
  <c r="O110" i="58"/>
  <c r="N110" i="58"/>
  <c r="L110" i="58"/>
  <c r="K110" i="58"/>
  <c r="F110" i="58"/>
  <c r="O109" i="58"/>
  <c r="N109" i="58"/>
  <c r="L109" i="58"/>
  <c r="K109" i="58"/>
  <c r="F109" i="58"/>
  <c r="X109" i="58" s="1"/>
  <c r="O108" i="58"/>
  <c r="N108" i="58"/>
  <c r="L108" i="58"/>
  <c r="K108" i="58"/>
  <c r="F108" i="58"/>
  <c r="X108" i="58" s="1"/>
  <c r="O107" i="58"/>
  <c r="N107" i="58"/>
  <c r="L107" i="58"/>
  <c r="K107" i="58"/>
  <c r="F107" i="58"/>
  <c r="X107" i="58" s="1"/>
  <c r="O106" i="58"/>
  <c r="N106" i="58"/>
  <c r="L106" i="58"/>
  <c r="K106" i="58"/>
  <c r="F106" i="58"/>
  <c r="O105" i="58"/>
  <c r="N105" i="58"/>
  <c r="L105" i="58"/>
  <c r="K105" i="58"/>
  <c r="F105" i="58"/>
  <c r="O104" i="58"/>
  <c r="N104" i="58"/>
  <c r="L104" i="58"/>
  <c r="K104" i="58"/>
  <c r="F104" i="58"/>
  <c r="O103" i="58"/>
  <c r="N103" i="58"/>
  <c r="L103" i="58"/>
  <c r="K103" i="58"/>
  <c r="F103" i="58"/>
  <c r="O102" i="58"/>
  <c r="N102" i="58"/>
  <c r="L102" i="58"/>
  <c r="K102" i="58"/>
  <c r="F102" i="58"/>
  <c r="O101" i="58"/>
  <c r="N101" i="58"/>
  <c r="L101" i="58"/>
  <c r="K101" i="58"/>
  <c r="F101" i="58"/>
  <c r="O100" i="58"/>
  <c r="N100" i="58"/>
  <c r="L100" i="58"/>
  <c r="K100" i="58"/>
  <c r="F100" i="58"/>
  <c r="O99" i="58"/>
  <c r="N99" i="58"/>
  <c r="L99" i="58"/>
  <c r="K99" i="58"/>
  <c r="F99" i="58"/>
  <c r="O98" i="58"/>
  <c r="N98" i="58"/>
  <c r="L98" i="58"/>
  <c r="K98" i="58"/>
  <c r="F98" i="58"/>
  <c r="O97" i="58"/>
  <c r="N97" i="58"/>
  <c r="L97" i="58"/>
  <c r="K97" i="58"/>
  <c r="F97" i="58"/>
  <c r="O96" i="58"/>
  <c r="N96" i="58"/>
  <c r="L96" i="58"/>
  <c r="K96" i="58"/>
  <c r="F96" i="58"/>
  <c r="O95" i="58"/>
  <c r="N95" i="58"/>
  <c r="L95" i="58"/>
  <c r="K95" i="58"/>
  <c r="F95" i="58"/>
  <c r="O94" i="58"/>
  <c r="N94" i="58"/>
  <c r="L94" i="58"/>
  <c r="K94" i="58"/>
  <c r="F94" i="58"/>
  <c r="O93" i="58"/>
  <c r="N93" i="58"/>
  <c r="L93" i="58"/>
  <c r="K93" i="58"/>
  <c r="F93" i="58"/>
  <c r="O92" i="58"/>
  <c r="N92" i="58"/>
  <c r="L92" i="58"/>
  <c r="K92" i="58"/>
  <c r="F92" i="58"/>
  <c r="O91" i="58"/>
  <c r="N91" i="58"/>
  <c r="L91" i="58"/>
  <c r="K91" i="58"/>
  <c r="F91" i="58"/>
  <c r="X91" i="58" s="1"/>
  <c r="O90" i="58"/>
  <c r="N90" i="58"/>
  <c r="L90" i="58"/>
  <c r="K90" i="58"/>
  <c r="F90" i="58"/>
  <c r="O89" i="58"/>
  <c r="N89" i="58"/>
  <c r="L89" i="58"/>
  <c r="K89" i="58"/>
  <c r="F89" i="58"/>
  <c r="O88" i="58"/>
  <c r="N88" i="58"/>
  <c r="L88" i="58"/>
  <c r="K88" i="58"/>
  <c r="F88" i="58"/>
  <c r="O87" i="58"/>
  <c r="N87" i="58"/>
  <c r="L87" i="58"/>
  <c r="K87" i="58"/>
  <c r="F87" i="58"/>
  <c r="O86" i="58"/>
  <c r="N86" i="58"/>
  <c r="L86" i="58"/>
  <c r="K86" i="58"/>
  <c r="F86" i="58"/>
  <c r="O85" i="58"/>
  <c r="N85" i="58"/>
  <c r="L85" i="58"/>
  <c r="K85" i="58"/>
  <c r="F85" i="58"/>
  <c r="O84" i="58"/>
  <c r="N84" i="58"/>
  <c r="L84" i="58"/>
  <c r="K84" i="58"/>
  <c r="F84" i="58"/>
  <c r="O83" i="58"/>
  <c r="N83" i="58"/>
  <c r="L83" i="58"/>
  <c r="K83" i="58"/>
  <c r="F83" i="58"/>
  <c r="I83" i="58" s="1"/>
  <c r="O82" i="58"/>
  <c r="N82" i="58"/>
  <c r="L82" i="58"/>
  <c r="K82" i="58"/>
  <c r="F82" i="58"/>
  <c r="O81" i="58"/>
  <c r="N81" i="58"/>
  <c r="L81" i="58"/>
  <c r="K81" i="58"/>
  <c r="F81" i="58"/>
  <c r="O80" i="58"/>
  <c r="N80" i="58"/>
  <c r="L80" i="58"/>
  <c r="K80" i="58"/>
  <c r="F80" i="58"/>
  <c r="O79" i="58"/>
  <c r="N79" i="58"/>
  <c r="L79" i="58"/>
  <c r="K79" i="58"/>
  <c r="F79" i="58"/>
  <c r="O78" i="58"/>
  <c r="N78" i="58"/>
  <c r="L78" i="58"/>
  <c r="K78" i="58"/>
  <c r="F78" i="58"/>
  <c r="O77" i="58"/>
  <c r="N77" i="58"/>
  <c r="L77" i="58"/>
  <c r="K77" i="58"/>
  <c r="F77" i="58"/>
  <c r="O76" i="58"/>
  <c r="N76" i="58"/>
  <c r="L76" i="58"/>
  <c r="K76" i="58"/>
  <c r="F76" i="58"/>
  <c r="O75" i="58"/>
  <c r="N75" i="58"/>
  <c r="L75" i="58"/>
  <c r="K75" i="58"/>
  <c r="F75" i="58"/>
  <c r="O74" i="58"/>
  <c r="N74" i="58"/>
  <c r="L74" i="58"/>
  <c r="K74" i="58"/>
  <c r="F74" i="58"/>
  <c r="O73" i="58"/>
  <c r="N73" i="58"/>
  <c r="L73" i="58"/>
  <c r="K73" i="58"/>
  <c r="F73" i="58"/>
  <c r="O72" i="58"/>
  <c r="N72" i="58"/>
  <c r="L72" i="58"/>
  <c r="K72" i="58"/>
  <c r="F72" i="58"/>
  <c r="O71" i="58"/>
  <c r="N71" i="58"/>
  <c r="L71" i="58"/>
  <c r="K71" i="58"/>
  <c r="F71" i="58"/>
  <c r="O70" i="58"/>
  <c r="N70" i="58"/>
  <c r="L70" i="58"/>
  <c r="K70" i="58"/>
  <c r="F70" i="58"/>
  <c r="O69" i="58"/>
  <c r="N69" i="58"/>
  <c r="L69" i="58"/>
  <c r="K69" i="58"/>
  <c r="F69" i="58"/>
  <c r="X69" i="58" s="1"/>
  <c r="O68" i="58"/>
  <c r="N68" i="58"/>
  <c r="L68" i="58"/>
  <c r="K68" i="58"/>
  <c r="F68" i="58"/>
  <c r="O67" i="58"/>
  <c r="N67" i="58"/>
  <c r="L67" i="58"/>
  <c r="K67" i="58"/>
  <c r="F67" i="58"/>
  <c r="O66" i="58"/>
  <c r="N66" i="58"/>
  <c r="L66" i="58"/>
  <c r="K66" i="58"/>
  <c r="F66" i="58"/>
  <c r="O65" i="58"/>
  <c r="N65" i="58"/>
  <c r="L65" i="58"/>
  <c r="K65" i="58"/>
  <c r="F65" i="58"/>
  <c r="O64" i="58"/>
  <c r="N64" i="58"/>
  <c r="L64" i="58"/>
  <c r="K64" i="58"/>
  <c r="F64" i="58"/>
  <c r="O63" i="58"/>
  <c r="N63" i="58"/>
  <c r="L63" i="58"/>
  <c r="K63" i="58"/>
  <c r="F63" i="58"/>
  <c r="O62" i="58"/>
  <c r="N62" i="58"/>
  <c r="L62" i="58"/>
  <c r="K62" i="58"/>
  <c r="F62" i="58"/>
  <c r="O61" i="58"/>
  <c r="N61" i="58"/>
  <c r="L61" i="58"/>
  <c r="K61" i="58"/>
  <c r="F61" i="58"/>
  <c r="O60" i="58"/>
  <c r="N60" i="58"/>
  <c r="L60" i="58"/>
  <c r="K60" i="58"/>
  <c r="F60" i="58"/>
  <c r="O59" i="58"/>
  <c r="N59" i="58"/>
  <c r="L59" i="58"/>
  <c r="K59" i="58"/>
  <c r="F59" i="58"/>
  <c r="O58" i="58"/>
  <c r="N58" i="58"/>
  <c r="L58" i="58"/>
  <c r="K58" i="58"/>
  <c r="F58" i="58"/>
  <c r="O57" i="58"/>
  <c r="N57" i="58"/>
  <c r="L57" i="58"/>
  <c r="K57" i="58"/>
  <c r="F57" i="58"/>
  <c r="O56" i="58"/>
  <c r="N56" i="58"/>
  <c r="L56" i="58"/>
  <c r="K56" i="58"/>
  <c r="F56" i="58"/>
  <c r="O55" i="58"/>
  <c r="N55" i="58"/>
  <c r="L55" i="58"/>
  <c r="K55" i="58"/>
  <c r="F55" i="58"/>
  <c r="O54" i="58"/>
  <c r="N54" i="58"/>
  <c r="L54" i="58"/>
  <c r="K54" i="58"/>
  <c r="F54" i="58"/>
  <c r="O53" i="58"/>
  <c r="N53" i="58"/>
  <c r="L53" i="58"/>
  <c r="K53" i="58"/>
  <c r="F53" i="58"/>
  <c r="X53" i="58" s="1"/>
  <c r="O52" i="58"/>
  <c r="N52" i="58"/>
  <c r="L52" i="58"/>
  <c r="K52" i="58"/>
  <c r="F52" i="58"/>
  <c r="O51" i="58"/>
  <c r="N51" i="58"/>
  <c r="L51" i="58"/>
  <c r="K51" i="58"/>
  <c r="F51" i="58"/>
  <c r="O50" i="58"/>
  <c r="N50" i="58"/>
  <c r="L50" i="58"/>
  <c r="K50" i="58"/>
  <c r="F50" i="58"/>
  <c r="O49" i="58"/>
  <c r="N49" i="58"/>
  <c r="L49" i="58"/>
  <c r="K49" i="58"/>
  <c r="F49" i="58"/>
  <c r="I49" i="58" s="1"/>
  <c r="O48" i="58"/>
  <c r="N48" i="58"/>
  <c r="L48" i="58"/>
  <c r="K48" i="58"/>
  <c r="F48" i="58"/>
  <c r="O47" i="58"/>
  <c r="N47" i="58"/>
  <c r="L47" i="58"/>
  <c r="K47" i="58"/>
  <c r="F47" i="58"/>
  <c r="O46" i="58"/>
  <c r="N46" i="58"/>
  <c r="L46" i="58"/>
  <c r="K46" i="58"/>
  <c r="F46" i="58"/>
  <c r="O45" i="58"/>
  <c r="N45" i="58"/>
  <c r="L45" i="58"/>
  <c r="K45" i="58"/>
  <c r="F45" i="58"/>
  <c r="O44" i="58"/>
  <c r="N44" i="58"/>
  <c r="L44" i="58"/>
  <c r="K44" i="58"/>
  <c r="F44" i="58"/>
  <c r="O43" i="58"/>
  <c r="N43" i="58"/>
  <c r="L43" i="58"/>
  <c r="K43" i="58"/>
  <c r="F43" i="58"/>
  <c r="O42" i="58"/>
  <c r="N42" i="58"/>
  <c r="L42" i="58"/>
  <c r="K42" i="58"/>
  <c r="F42" i="58"/>
  <c r="O41" i="58"/>
  <c r="N41" i="58"/>
  <c r="L41" i="58"/>
  <c r="K41" i="58"/>
  <c r="F41" i="58"/>
  <c r="O40" i="58"/>
  <c r="N40" i="58"/>
  <c r="L40" i="58"/>
  <c r="K40" i="58"/>
  <c r="F40" i="58"/>
  <c r="O39" i="58"/>
  <c r="N39" i="58"/>
  <c r="L39" i="58"/>
  <c r="K39" i="58"/>
  <c r="F39" i="58"/>
  <c r="O38" i="58"/>
  <c r="N38" i="58"/>
  <c r="L38" i="58"/>
  <c r="K38" i="58"/>
  <c r="F38" i="58"/>
  <c r="O37" i="58"/>
  <c r="N37" i="58"/>
  <c r="L37" i="58"/>
  <c r="K37" i="58"/>
  <c r="F37" i="58"/>
  <c r="X37" i="58" s="1"/>
  <c r="O36" i="58"/>
  <c r="N36" i="58"/>
  <c r="L36" i="58"/>
  <c r="K36" i="58"/>
  <c r="F36" i="58"/>
  <c r="O35" i="58"/>
  <c r="N35" i="58"/>
  <c r="L35" i="58"/>
  <c r="K35" i="58"/>
  <c r="F35" i="58"/>
  <c r="O34" i="58"/>
  <c r="N34" i="58"/>
  <c r="L34" i="58"/>
  <c r="K34" i="58"/>
  <c r="F34" i="58"/>
  <c r="O33" i="58"/>
  <c r="N33" i="58"/>
  <c r="L33" i="58"/>
  <c r="K33" i="58"/>
  <c r="F33" i="58"/>
  <c r="O32" i="58"/>
  <c r="N32" i="58"/>
  <c r="L32" i="58"/>
  <c r="K32" i="58"/>
  <c r="F32" i="58"/>
  <c r="O31" i="58"/>
  <c r="N31" i="58"/>
  <c r="L31" i="58"/>
  <c r="K31" i="58"/>
  <c r="F31" i="58"/>
  <c r="O30" i="58"/>
  <c r="N30" i="58"/>
  <c r="L30" i="58"/>
  <c r="K30" i="58"/>
  <c r="F30" i="58"/>
  <c r="O29" i="58"/>
  <c r="N29" i="58"/>
  <c r="L29" i="58"/>
  <c r="K29" i="58"/>
  <c r="F29" i="58"/>
  <c r="O28" i="58"/>
  <c r="N28" i="58"/>
  <c r="L28" i="58"/>
  <c r="K28" i="58"/>
  <c r="F28" i="58"/>
  <c r="O27" i="58"/>
  <c r="N27" i="58"/>
  <c r="L27" i="58"/>
  <c r="K27" i="58"/>
  <c r="F27" i="58"/>
  <c r="O26" i="58"/>
  <c r="N26" i="58"/>
  <c r="L26" i="58"/>
  <c r="K26" i="58"/>
  <c r="F26" i="58"/>
  <c r="O25" i="58"/>
  <c r="N25" i="58"/>
  <c r="L25" i="58"/>
  <c r="K25" i="58"/>
  <c r="F25" i="58"/>
  <c r="O24" i="58"/>
  <c r="N24" i="58"/>
  <c r="L24" i="58"/>
  <c r="K24" i="58"/>
  <c r="F24" i="58"/>
  <c r="O23" i="58"/>
  <c r="N23" i="58"/>
  <c r="L23" i="58"/>
  <c r="K23" i="58"/>
  <c r="F23" i="58"/>
  <c r="O22" i="58"/>
  <c r="N22" i="58"/>
  <c r="L22" i="58"/>
  <c r="K22" i="58"/>
  <c r="F22" i="58"/>
  <c r="O21" i="58"/>
  <c r="N21" i="58"/>
  <c r="L21" i="58"/>
  <c r="K21" i="58"/>
  <c r="F21" i="58"/>
  <c r="X21" i="58" s="1"/>
  <c r="O20" i="58"/>
  <c r="N20" i="58"/>
  <c r="L20" i="58"/>
  <c r="K20" i="58"/>
  <c r="F20" i="58"/>
  <c r="O19" i="58"/>
  <c r="N19" i="58"/>
  <c r="L19" i="58"/>
  <c r="K19" i="58"/>
  <c r="F19" i="58"/>
  <c r="O18" i="58"/>
  <c r="N18" i="58"/>
  <c r="L18" i="58"/>
  <c r="K18" i="58"/>
  <c r="F18" i="58"/>
  <c r="O17" i="58"/>
  <c r="N17" i="58"/>
  <c r="L17" i="58"/>
  <c r="K17" i="58"/>
  <c r="F17" i="58"/>
  <c r="O16" i="58"/>
  <c r="N16" i="58"/>
  <c r="L16" i="58"/>
  <c r="K16" i="58"/>
  <c r="F16" i="58"/>
  <c r="O15" i="58"/>
  <c r="N15" i="58"/>
  <c r="L15" i="58"/>
  <c r="K15" i="58"/>
  <c r="F15" i="58"/>
  <c r="O14" i="58"/>
  <c r="N14" i="58"/>
  <c r="L14" i="58"/>
  <c r="K14" i="58"/>
  <c r="F14" i="58"/>
  <c r="O13" i="58"/>
  <c r="N13" i="58"/>
  <c r="L13" i="58"/>
  <c r="K13" i="58"/>
  <c r="F13" i="58"/>
  <c r="W257" i="53"/>
  <c r="V257" i="53"/>
  <c r="W256" i="53"/>
  <c r="V256" i="53"/>
  <c r="W255" i="53"/>
  <c r="V255" i="53"/>
  <c r="W254" i="53"/>
  <c r="V254" i="53"/>
  <c r="W253" i="53"/>
  <c r="V253" i="53"/>
  <c r="W252" i="53"/>
  <c r="V252" i="53"/>
  <c r="W251" i="53"/>
  <c r="V251" i="53"/>
  <c r="W250" i="53"/>
  <c r="V250" i="53"/>
  <c r="W249" i="53"/>
  <c r="V249" i="53"/>
  <c r="W248" i="53"/>
  <c r="V248" i="53"/>
  <c r="W247" i="53"/>
  <c r="V247" i="53"/>
  <c r="W246" i="53"/>
  <c r="V246" i="53"/>
  <c r="W245" i="53"/>
  <c r="V245" i="53"/>
  <c r="W244" i="53"/>
  <c r="V244" i="53"/>
  <c r="W243" i="53"/>
  <c r="V243" i="53"/>
  <c r="W242" i="53"/>
  <c r="V242" i="53"/>
  <c r="W241" i="53"/>
  <c r="V241" i="53"/>
  <c r="W240" i="53"/>
  <c r="V240" i="53"/>
  <c r="W239" i="53"/>
  <c r="V239" i="53"/>
  <c r="W238" i="53"/>
  <c r="V238" i="53"/>
  <c r="W237" i="53"/>
  <c r="V237" i="53"/>
  <c r="W236" i="53"/>
  <c r="V236" i="53"/>
  <c r="W235" i="53"/>
  <c r="V235" i="53"/>
  <c r="W234" i="53"/>
  <c r="V234" i="53"/>
  <c r="W233" i="53"/>
  <c r="V233" i="53"/>
  <c r="W232" i="53"/>
  <c r="V232" i="53"/>
  <c r="W231" i="53"/>
  <c r="V231" i="53"/>
  <c r="W230" i="53"/>
  <c r="V230" i="53"/>
  <c r="W229" i="53"/>
  <c r="V229" i="53"/>
  <c r="W228" i="53"/>
  <c r="V228" i="53"/>
  <c r="W227" i="53"/>
  <c r="V227" i="53"/>
  <c r="W226" i="53"/>
  <c r="V226" i="53"/>
  <c r="W225" i="53"/>
  <c r="V225" i="53"/>
  <c r="W224" i="53"/>
  <c r="V224" i="53"/>
  <c r="W223" i="53"/>
  <c r="V223" i="53"/>
  <c r="W222" i="53"/>
  <c r="V222" i="53"/>
  <c r="W221" i="53"/>
  <c r="V221" i="53"/>
  <c r="W220" i="53"/>
  <c r="V220" i="53"/>
  <c r="W219" i="53"/>
  <c r="V219" i="53"/>
  <c r="W218" i="53"/>
  <c r="V218" i="53"/>
  <c r="W217" i="53"/>
  <c r="V217" i="53"/>
  <c r="W216" i="53"/>
  <c r="V216" i="53"/>
  <c r="W215" i="53"/>
  <c r="V215" i="53"/>
  <c r="W214" i="53"/>
  <c r="V214" i="53"/>
  <c r="W213" i="53"/>
  <c r="V213" i="53"/>
  <c r="W212" i="53"/>
  <c r="V212" i="53"/>
  <c r="W211" i="53"/>
  <c r="V211" i="53"/>
  <c r="W210" i="53"/>
  <c r="V210" i="53"/>
  <c r="W209" i="53"/>
  <c r="V209" i="53"/>
  <c r="W208" i="53"/>
  <c r="V208" i="53"/>
  <c r="W207" i="53"/>
  <c r="V207" i="53"/>
  <c r="W206" i="53"/>
  <c r="V206" i="53"/>
  <c r="W205" i="53"/>
  <c r="V205" i="53"/>
  <c r="W204" i="53"/>
  <c r="V204" i="53"/>
  <c r="W203" i="53"/>
  <c r="V203" i="53"/>
  <c r="W202" i="53"/>
  <c r="V202" i="53"/>
  <c r="W201" i="53"/>
  <c r="V201" i="53"/>
  <c r="W200" i="53"/>
  <c r="V200" i="53"/>
  <c r="W199" i="53"/>
  <c r="V199" i="53"/>
  <c r="W198" i="53"/>
  <c r="V198" i="53"/>
  <c r="W197" i="53"/>
  <c r="V197" i="53"/>
  <c r="W196" i="53"/>
  <c r="V196" i="53"/>
  <c r="W195" i="53"/>
  <c r="V195" i="53"/>
  <c r="W194" i="53"/>
  <c r="V194" i="53"/>
  <c r="W193" i="53"/>
  <c r="V193" i="53"/>
  <c r="W192" i="53"/>
  <c r="V192" i="53"/>
  <c r="W191" i="53"/>
  <c r="V191" i="53"/>
  <c r="W190" i="53"/>
  <c r="V190" i="53"/>
  <c r="W189" i="53"/>
  <c r="V189" i="53"/>
  <c r="W188" i="53"/>
  <c r="V188" i="53"/>
  <c r="W187" i="53"/>
  <c r="V187" i="53"/>
  <c r="W186" i="53"/>
  <c r="V186" i="53"/>
  <c r="W185" i="53"/>
  <c r="V185" i="53"/>
  <c r="W184" i="53"/>
  <c r="V184" i="53"/>
  <c r="W183" i="53"/>
  <c r="V183" i="53"/>
  <c r="W182" i="53"/>
  <c r="V182" i="53"/>
  <c r="W181" i="53"/>
  <c r="V181" i="53"/>
  <c r="W180" i="53"/>
  <c r="V180" i="53"/>
  <c r="W179" i="53"/>
  <c r="V179" i="53"/>
  <c r="W178" i="53"/>
  <c r="V178" i="53"/>
  <c r="W177" i="53"/>
  <c r="V177" i="53"/>
  <c r="W176" i="53"/>
  <c r="V176" i="53"/>
  <c r="W175" i="53"/>
  <c r="V175" i="53"/>
  <c r="W174" i="53"/>
  <c r="V174" i="53"/>
  <c r="W173" i="53"/>
  <c r="V173" i="53"/>
  <c r="W172" i="53"/>
  <c r="V172" i="53"/>
  <c r="W171" i="53"/>
  <c r="V171" i="53"/>
  <c r="W170" i="53"/>
  <c r="V170" i="53"/>
  <c r="W169" i="53"/>
  <c r="V169" i="53"/>
  <c r="W168" i="53"/>
  <c r="V168" i="53"/>
  <c r="W167" i="53"/>
  <c r="V167" i="53"/>
  <c r="W166" i="53"/>
  <c r="V166" i="53"/>
  <c r="W165" i="53"/>
  <c r="V165" i="53"/>
  <c r="W164" i="53"/>
  <c r="V164" i="53"/>
  <c r="W163" i="53"/>
  <c r="V163" i="53"/>
  <c r="W162" i="53"/>
  <c r="V162" i="53"/>
  <c r="W161" i="53"/>
  <c r="V161" i="53"/>
  <c r="W160" i="53"/>
  <c r="V160" i="53"/>
  <c r="W159" i="53"/>
  <c r="V159" i="53"/>
  <c r="W158" i="53"/>
  <c r="V158" i="53"/>
  <c r="W157" i="53"/>
  <c r="V157" i="53"/>
  <c r="W156" i="53"/>
  <c r="V156" i="53"/>
  <c r="W155" i="53"/>
  <c r="V155" i="53"/>
  <c r="W154" i="53"/>
  <c r="V154" i="53"/>
  <c r="W153" i="53"/>
  <c r="V153" i="53"/>
  <c r="W152" i="53"/>
  <c r="V152" i="53"/>
  <c r="W151" i="53"/>
  <c r="V151" i="53"/>
  <c r="W150" i="53"/>
  <c r="V150" i="53"/>
  <c r="W149" i="53"/>
  <c r="V149" i="53"/>
  <c r="W148" i="53"/>
  <c r="V148" i="53"/>
  <c r="W147" i="53"/>
  <c r="V147" i="53"/>
  <c r="W146" i="53"/>
  <c r="V146" i="53"/>
  <c r="W145" i="53"/>
  <c r="V145" i="53"/>
  <c r="W144" i="53"/>
  <c r="V144" i="53"/>
  <c r="W143" i="53"/>
  <c r="V143" i="53"/>
  <c r="W142" i="53"/>
  <c r="V142" i="53"/>
  <c r="W141" i="53"/>
  <c r="V141" i="53"/>
  <c r="W140" i="53"/>
  <c r="V140" i="53"/>
  <c r="W139" i="53"/>
  <c r="V139" i="53"/>
  <c r="W138" i="53"/>
  <c r="V138" i="53"/>
  <c r="W137" i="53"/>
  <c r="V137" i="53"/>
  <c r="W136" i="53"/>
  <c r="V136" i="53"/>
  <c r="W135" i="53"/>
  <c r="V135" i="53"/>
  <c r="W134" i="53"/>
  <c r="V134" i="53"/>
  <c r="W133" i="53"/>
  <c r="V133" i="53"/>
  <c r="W132" i="53"/>
  <c r="V132" i="53"/>
  <c r="W131" i="53"/>
  <c r="V131" i="53"/>
  <c r="W130" i="53"/>
  <c r="V130" i="53"/>
  <c r="W129" i="53"/>
  <c r="V129" i="53"/>
  <c r="W128" i="53"/>
  <c r="V128" i="53"/>
  <c r="W127" i="53"/>
  <c r="V127" i="53"/>
  <c r="W126" i="53"/>
  <c r="V126" i="53"/>
  <c r="W125" i="53"/>
  <c r="V125" i="53"/>
  <c r="W124" i="53"/>
  <c r="V124" i="53"/>
  <c r="W123" i="53"/>
  <c r="V123" i="53"/>
  <c r="W122" i="53"/>
  <c r="V122" i="53"/>
  <c r="W121" i="53"/>
  <c r="V121" i="53"/>
  <c r="W120" i="53"/>
  <c r="V120" i="53"/>
  <c r="W119" i="53"/>
  <c r="V119" i="53"/>
  <c r="W118" i="53"/>
  <c r="V118" i="53"/>
  <c r="W117" i="53"/>
  <c r="V117" i="53"/>
  <c r="W116" i="53"/>
  <c r="V116" i="53"/>
  <c r="W115" i="53"/>
  <c r="V115" i="53"/>
  <c r="W114" i="53"/>
  <c r="V114" i="53"/>
  <c r="W113" i="53"/>
  <c r="V113" i="53"/>
  <c r="W112" i="53"/>
  <c r="V112" i="53"/>
  <c r="W111" i="53"/>
  <c r="V111" i="53"/>
  <c r="W110" i="53"/>
  <c r="V110" i="53"/>
  <c r="W109" i="53"/>
  <c r="V109" i="53"/>
  <c r="W108" i="53"/>
  <c r="V108" i="53"/>
  <c r="W107" i="53"/>
  <c r="V107" i="53"/>
  <c r="W106" i="53"/>
  <c r="V106" i="53"/>
  <c r="W105" i="53"/>
  <c r="V105" i="53"/>
  <c r="W104" i="53"/>
  <c r="V104" i="53"/>
  <c r="W103" i="53"/>
  <c r="V103" i="53"/>
  <c r="W102" i="53"/>
  <c r="V102" i="53"/>
  <c r="W101" i="53"/>
  <c r="V101" i="53"/>
  <c r="W100" i="53"/>
  <c r="V100" i="53"/>
  <c r="W99" i="53"/>
  <c r="V99" i="53"/>
  <c r="W98" i="53"/>
  <c r="V98" i="53"/>
  <c r="W97" i="53"/>
  <c r="V97" i="53"/>
  <c r="W96" i="53"/>
  <c r="V96" i="53"/>
  <c r="W95" i="53"/>
  <c r="V95" i="53"/>
  <c r="W94" i="53"/>
  <c r="V94" i="53"/>
  <c r="W93" i="53"/>
  <c r="V93" i="53"/>
  <c r="W92" i="53"/>
  <c r="V92" i="53"/>
  <c r="W91" i="53"/>
  <c r="V91" i="53"/>
  <c r="W90" i="53"/>
  <c r="V90" i="53"/>
  <c r="W89" i="53"/>
  <c r="V89" i="53"/>
  <c r="W88" i="53"/>
  <c r="V88" i="53"/>
  <c r="W87" i="53"/>
  <c r="V87" i="53"/>
  <c r="W86" i="53"/>
  <c r="V86" i="53"/>
  <c r="W85" i="53"/>
  <c r="V85" i="53"/>
  <c r="W84" i="53"/>
  <c r="V84" i="53"/>
  <c r="W83" i="53"/>
  <c r="V83" i="53"/>
  <c r="W82" i="53"/>
  <c r="V82" i="53"/>
  <c r="W81" i="53"/>
  <c r="V81" i="53"/>
  <c r="W80" i="53"/>
  <c r="V80" i="53"/>
  <c r="W79" i="53"/>
  <c r="V79" i="53"/>
  <c r="W78" i="53"/>
  <c r="V78" i="53"/>
  <c r="W77" i="53"/>
  <c r="V77" i="53"/>
  <c r="W76" i="53"/>
  <c r="V76" i="53"/>
  <c r="W75" i="53"/>
  <c r="V75" i="53"/>
  <c r="W74" i="53"/>
  <c r="V74" i="53"/>
  <c r="W73" i="53"/>
  <c r="V73" i="53"/>
  <c r="W72" i="53"/>
  <c r="V72" i="53"/>
  <c r="W71" i="53"/>
  <c r="V71" i="53"/>
  <c r="W70" i="53"/>
  <c r="V70" i="53"/>
  <c r="W69" i="53"/>
  <c r="V69" i="53"/>
  <c r="W68" i="53"/>
  <c r="V68" i="53"/>
  <c r="W67" i="53"/>
  <c r="V67" i="53"/>
  <c r="W66" i="53"/>
  <c r="V66" i="53"/>
  <c r="W65" i="53"/>
  <c r="V65" i="53"/>
  <c r="W64" i="53"/>
  <c r="V64" i="53"/>
  <c r="W63" i="53"/>
  <c r="V63" i="53"/>
  <c r="W62" i="53"/>
  <c r="V62" i="53"/>
  <c r="W61" i="53"/>
  <c r="V61" i="53"/>
  <c r="W60" i="53"/>
  <c r="V60" i="53"/>
  <c r="W59" i="53"/>
  <c r="V59" i="53"/>
  <c r="W58" i="53"/>
  <c r="V58" i="53"/>
  <c r="W57" i="53"/>
  <c r="V57" i="53"/>
  <c r="W56" i="53"/>
  <c r="V56" i="53"/>
  <c r="W55" i="53"/>
  <c r="V55" i="53"/>
  <c r="W54" i="53"/>
  <c r="V54" i="53"/>
  <c r="W53" i="53"/>
  <c r="V53" i="53"/>
  <c r="W52" i="53"/>
  <c r="V52" i="53"/>
  <c r="W51" i="53"/>
  <c r="V51" i="53"/>
  <c r="W50" i="53"/>
  <c r="V50" i="53"/>
  <c r="W49" i="53"/>
  <c r="V49" i="53"/>
  <c r="W48" i="53"/>
  <c r="V48" i="53"/>
  <c r="W47" i="53"/>
  <c r="V47" i="53"/>
  <c r="W46" i="53"/>
  <c r="V46" i="53"/>
  <c r="W45" i="53"/>
  <c r="V45" i="53"/>
  <c r="W44" i="53"/>
  <c r="V44" i="53"/>
  <c r="W43" i="53"/>
  <c r="V43" i="53"/>
  <c r="W42" i="53"/>
  <c r="V42" i="53"/>
  <c r="W41" i="53"/>
  <c r="V41" i="53"/>
  <c r="W40" i="53"/>
  <c r="V40" i="53"/>
  <c r="W39" i="53"/>
  <c r="V39" i="53"/>
  <c r="W38" i="53"/>
  <c r="V38" i="53"/>
  <c r="W37" i="53"/>
  <c r="V37" i="53"/>
  <c r="W36" i="53"/>
  <c r="V36" i="53"/>
  <c r="W35" i="53"/>
  <c r="V35" i="53"/>
  <c r="W34" i="53"/>
  <c r="V34" i="53"/>
  <c r="W33" i="53"/>
  <c r="V33" i="53"/>
  <c r="W32" i="53"/>
  <c r="V32" i="53"/>
  <c r="W31" i="53"/>
  <c r="V31" i="53"/>
  <c r="W30" i="53"/>
  <c r="V30" i="53"/>
  <c r="W29" i="53"/>
  <c r="V29" i="53"/>
  <c r="W28" i="53"/>
  <c r="V28" i="53"/>
  <c r="W27" i="53"/>
  <c r="V27" i="53"/>
  <c r="W26" i="53"/>
  <c r="V26" i="53"/>
  <c r="W25" i="53"/>
  <c r="V25" i="53"/>
  <c r="W24" i="53"/>
  <c r="V24" i="53"/>
  <c r="W23" i="53"/>
  <c r="V23" i="53"/>
  <c r="W22" i="53"/>
  <c r="V22" i="53"/>
  <c r="W21" i="53"/>
  <c r="V21" i="53"/>
  <c r="W20" i="53"/>
  <c r="V20" i="53"/>
  <c r="W19" i="53"/>
  <c r="V19" i="53"/>
  <c r="W18" i="53"/>
  <c r="V18" i="53"/>
  <c r="W17" i="53"/>
  <c r="V17" i="53"/>
  <c r="W16" i="53"/>
  <c r="V16" i="53"/>
  <c r="W15" i="53"/>
  <c r="V15" i="53"/>
  <c r="W14" i="53"/>
  <c r="V14" i="53"/>
  <c r="W13" i="53"/>
  <c r="V13" i="53"/>
  <c r="AC258" i="50"/>
  <c r="AB258" i="50"/>
  <c r="AC257" i="50"/>
  <c r="AB257" i="50"/>
  <c r="AC256" i="50"/>
  <c r="AB256" i="50"/>
  <c r="AC255" i="50"/>
  <c r="AB255" i="50"/>
  <c r="AC254" i="50"/>
  <c r="AB254" i="50"/>
  <c r="AC253" i="50"/>
  <c r="AB253" i="50"/>
  <c r="AC252" i="50"/>
  <c r="AB252" i="50"/>
  <c r="AC251" i="50"/>
  <c r="AB251" i="50"/>
  <c r="AC250" i="50"/>
  <c r="AB250" i="50"/>
  <c r="AC249" i="50"/>
  <c r="AB249" i="50"/>
  <c r="AC248" i="50"/>
  <c r="AB248" i="50"/>
  <c r="AC247" i="50"/>
  <c r="AB247" i="50"/>
  <c r="AC246" i="50"/>
  <c r="AB246" i="50"/>
  <c r="AC245" i="50"/>
  <c r="AB245" i="50"/>
  <c r="AC244" i="50"/>
  <c r="AB244" i="50"/>
  <c r="AC243" i="50"/>
  <c r="AB243" i="50"/>
  <c r="AC242" i="50"/>
  <c r="AB242" i="50"/>
  <c r="AC241" i="50"/>
  <c r="AB241" i="50"/>
  <c r="AC240" i="50"/>
  <c r="AB240" i="50"/>
  <c r="AC239" i="50"/>
  <c r="AB239" i="50"/>
  <c r="AC238" i="50"/>
  <c r="AB238" i="50"/>
  <c r="AC237" i="50"/>
  <c r="AB237" i="50"/>
  <c r="AC236" i="50"/>
  <c r="AB236" i="50"/>
  <c r="AC235" i="50"/>
  <c r="AB235" i="50"/>
  <c r="AC234" i="50"/>
  <c r="AB234" i="50"/>
  <c r="AC233" i="50"/>
  <c r="AB233" i="50"/>
  <c r="AC232" i="50"/>
  <c r="AB232" i="50"/>
  <c r="AC231" i="50"/>
  <c r="AB231" i="50"/>
  <c r="AC230" i="50"/>
  <c r="AB230" i="50"/>
  <c r="AC229" i="50"/>
  <c r="AB229" i="50"/>
  <c r="AC228" i="50"/>
  <c r="AB228" i="50"/>
  <c r="AC227" i="50"/>
  <c r="AB227" i="50"/>
  <c r="AC226" i="50"/>
  <c r="AB226" i="50"/>
  <c r="AC225" i="50"/>
  <c r="AB225" i="50"/>
  <c r="AC224" i="50"/>
  <c r="AB224" i="50"/>
  <c r="AC223" i="50"/>
  <c r="AB223" i="50"/>
  <c r="AC222" i="50"/>
  <c r="AB222" i="50"/>
  <c r="AC221" i="50"/>
  <c r="AB221" i="50"/>
  <c r="AC220" i="50"/>
  <c r="AB220" i="50"/>
  <c r="AC219" i="50"/>
  <c r="AB219" i="50"/>
  <c r="AC218" i="50"/>
  <c r="AB218" i="50"/>
  <c r="AC217" i="50"/>
  <c r="AB217" i="50"/>
  <c r="AC216" i="50"/>
  <c r="AB216" i="50"/>
  <c r="AC215" i="50"/>
  <c r="AB215" i="50"/>
  <c r="AC214" i="50"/>
  <c r="AB214" i="50"/>
  <c r="AC213" i="50"/>
  <c r="AB213" i="50"/>
  <c r="AC212" i="50"/>
  <c r="AB212" i="50"/>
  <c r="AC211" i="50"/>
  <c r="AB211" i="50"/>
  <c r="AC210" i="50"/>
  <c r="AB210" i="50"/>
  <c r="AC209" i="50"/>
  <c r="AB209" i="50"/>
  <c r="AC208" i="50"/>
  <c r="AB208" i="50"/>
  <c r="AC207" i="50"/>
  <c r="AB207" i="50"/>
  <c r="AC206" i="50"/>
  <c r="AB206" i="50"/>
  <c r="AC205" i="50"/>
  <c r="AB205" i="50"/>
  <c r="AC204" i="50"/>
  <c r="AB204" i="50"/>
  <c r="AC203" i="50"/>
  <c r="AB203" i="50"/>
  <c r="AC202" i="50"/>
  <c r="AB202" i="50"/>
  <c r="AC201" i="50"/>
  <c r="AB201" i="50"/>
  <c r="AC200" i="50"/>
  <c r="AB200" i="50"/>
  <c r="AC199" i="50"/>
  <c r="AB199" i="50"/>
  <c r="AC198" i="50"/>
  <c r="AB198" i="50"/>
  <c r="AC197" i="50"/>
  <c r="AB197" i="50"/>
  <c r="AC196" i="50"/>
  <c r="AB196" i="50"/>
  <c r="AC195" i="50"/>
  <c r="AB195" i="50"/>
  <c r="AC194" i="50"/>
  <c r="AB194" i="50"/>
  <c r="AC193" i="50"/>
  <c r="AB193" i="50"/>
  <c r="AC192" i="50"/>
  <c r="AB192" i="50"/>
  <c r="AC191" i="50"/>
  <c r="AB191" i="50"/>
  <c r="AC190" i="50"/>
  <c r="AB190" i="50"/>
  <c r="AC189" i="50"/>
  <c r="AB189" i="50"/>
  <c r="AC188" i="50"/>
  <c r="AB188" i="50"/>
  <c r="AC187" i="50"/>
  <c r="AB187" i="50"/>
  <c r="AC186" i="50"/>
  <c r="AB186" i="50"/>
  <c r="AC185" i="50"/>
  <c r="AB185" i="50"/>
  <c r="AC184" i="50"/>
  <c r="AB184" i="50"/>
  <c r="AC183" i="50"/>
  <c r="AB183" i="50"/>
  <c r="AC182" i="50"/>
  <c r="AB182" i="50"/>
  <c r="AC181" i="50"/>
  <c r="AB181" i="50"/>
  <c r="AC180" i="50"/>
  <c r="AB180" i="50"/>
  <c r="AC179" i="50"/>
  <c r="AB179" i="50"/>
  <c r="AC178" i="50"/>
  <c r="AB178" i="50"/>
  <c r="AC177" i="50"/>
  <c r="AB177" i="50"/>
  <c r="AC176" i="50"/>
  <c r="AB176" i="50"/>
  <c r="AC175" i="50"/>
  <c r="AB175" i="50"/>
  <c r="AC174" i="50"/>
  <c r="AB174" i="50"/>
  <c r="AC173" i="50"/>
  <c r="AB173" i="50"/>
  <c r="AC172" i="50"/>
  <c r="AB172" i="50"/>
  <c r="AC171" i="50"/>
  <c r="AB171" i="50"/>
  <c r="AC170" i="50"/>
  <c r="AB170" i="50"/>
  <c r="AC169" i="50"/>
  <c r="AB169" i="50"/>
  <c r="AC168" i="50"/>
  <c r="AB168" i="50"/>
  <c r="AC167" i="50"/>
  <c r="AB167" i="50"/>
  <c r="AC166" i="50"/>
  <c r="AB166" i="50"/>
  <c r="AC165" i="50"/>
  <c r="AB165" i="50"/>
  <c r="AC164" i="50"/>
  <c r="AB164" i="50"/>
  <c r="AC163" i="50"/>
  <c r="AB163" i="50"/>
  <c r="AC162" i="50"/>
  <c r="AB162" i="50"/>
  <c r="AC161" i="50"/>
  <c r="AB161" i="50"/>
  <c r="AC160" i="50"/>
  <c r="AB160" i="50"/>
  <c r="AC159" i="50"/>
  <c r="AB159" i="50"/>
  <c r="AC158" i="50"/>
  <c r="AB158" i="50"/>
  <c r="AC157" i="50"/>
  <c r="AB157" i="50"/>
  <c r="AC156" i="50"/>
  <c r="AB156" i="50"/>
  <c r="AC155" i="50"/>
  <c r="AB155" i="50"/>
  <c r="AC154" i="50"/>
  <c r="AB154" i="50"/>
  <c r="AC153" i="50"/>
  <c r="AB153" i="50"/>
  <c r="AC152" i="50"/>
  <c r="AB152" i="50"/>
  <c r="AC151" i="50"/>
  <c r="AB151" i="50"/>
  <c r="AC150" i="50"/>
  <c r="AB150" i="50"/>
  <c r="AC149" i="50"/>
  <c r="AB149" i="50"/>
  <c r="AC148" i="50"/>
  <c r="AB148" i="50"/>
  <c r="AC147" i="50"/>
  <c r="AB147" i="50"/>
  <c r="AC146" i="50"/>
  <c r="AB146" i="50"/>
  <c r="AC145" i="50"/>
  <c r="AB145" i="50"/>
  <c r="AC144" i="50"/>
  <c r="AB144" i="50"/>
  <c r="AC143" i="50"/>
  <c r="AB143" i="50"/>
  <c r="AC142" i="50"/>
  <c r="AB142" i="50"/>
  <c r="AC141" i="50"/>
  <c r="AB141" i="50"/>
  <c r="AC140" i="50"/>
  <c r="AB140" i="50"/>
  <c r="AC139" i="50"/>
  <c r="AB139" i="50"/>
  <c r="AC138" i="50"/>
  <c r="AB138" i="50"/>
  <c r="AC137" i="50"/>
  <c r="AB137" i="50"/>
  <c r="AC136" i="50"/>
  <c r="AB136" i="50"/>
  <c r="AC135" i="50"/>
  <c r="AB135" i="50"/>
  <c r="AC134" i="50"/>
  <c r="AB134" i="50"/>
  <c r="AC133" i="50"/>
  <c r="AB133" i="50"/>
  <c r="AC132" i="50"/>
  <c r="AB132" i="50"/>
  <c r="AC131" i="50"/>
  <c r="AB131" i="50"/>
  <c r="AC130" i="50"/>
  <c r="AB130" i="50"/>
  <c r="AC129" i="50"/>
  <c r="AB129" i="50"/>
  <c r="AC128" i="50"/>
  <c r="AB128" i="50"/>
  <c r="AC127" i="50"/>
  <c r="AB127" i="50"/>
  <c r="AC126" i="50"/>
  <c r="AB126" i="50"/>
  <c r="AC125" i="50"/>
  <c r="AB125" i="50"/>
  <c r="AC124" i="50"/>
  <c r="AB124" i="50"/>
  <c r="AC123" i="50"/>
  <c r="AB123" i="50"/>
  <c r="AC122" i="50"/>
  <c r="AB122" i="50"/>
  <c r="AC121" i="50"/>
  <c r="AB121" i="50"/>
  <c r="AC120" i="50"/>
  <c r="AB120" i="50"/>
  <c r="AC119" i="50"/>
  <c r="AB119" i="50"/>
  <c r="AC118" i="50"/>
  <c r="AB118" i="50"/>
  <c r="AC117" i="50"/>
  <c r="AB117" i="50"/>
  <c r="AC116" i="50"/>
  <c r="AB116" i="50"/>
  <c r="AC115" i="50"/>
  <c r="AB115" i="50"/>
  <c r="AC114" i="50"/>
  <c r="AB114" i="50"/>
  <c r="AC113" i="50"/>
  <c r="AB113" i="50"/>
  <c r="AC112" i="50"/>
  <c r="AB112" i="50"/>
  <c r="AC111" i="50"/>
  <c r="AB111" i="50"/>
  <c r="AC110" i="50"/>
  <c r="AB110" i="50"/>
  <c r="AC109" i="50"/>
  <c r="AB109" i="50"/>
  <c r="AC108" i="50"/>
  <c r="AB108" i="50"/>
  <c r="AC107" i="50"/>
  <c r="AB107" i="50"/>
  <c r="AC106" i="50"/>
  <c r="AB106" i="50"/>
  <c r="AC105" i="50"/>
  <c r="AB105" i="50"/>
  <c r="AC104" i="50"/>
  <c r="AB104" i="50"/>
  <c r="AC103" i="50"/>
  <c r="AB103" i="50"/>
  <c r="AC102" i="50"/>
  <c r="AB102" i="50"/>
  <c r="AC101" i="50"/>
  <c r="AB101" i="50"/>
  <c r="AC100" i="50"/>
  <c r="AB100" i="50"/>
  <c r="AC99" i="50"/>
  <c r="AB99" i="50"/>
  <c r="AC98" i="50"/>
  <c r="AB98" i="50"/>
  <c r="AC97" i="50"/>
  <c r="AB97" i="50"/>
  <c r="AC96" i="50"/>
  <c r="AB96" i="50"/>
  <c r="AC95" i="50"/>
  <c r="AB95" i="50"/>
  <c r="AC94" i="50"/>
  <c r="AB94" i="50"/>
  <c r="AC93" i="50"/>
  <c r="AB93" i="50"/>
  <c r="AC92" i="50"/>
  <c r="AB92" i="50"/>
  <c r="AC91" i="50"/>
  <c r="AB91" i="50"/>
  <c r="AC90" i="50"/>
  <c r="AB90" i="50"/>
  <c r="AC89" i="50"/>
  <c r="AB89" i="50"/>
  <c r="AC88" i="50"/>
  <c r="AB88" i="50"/>
  <c r="AC87" i="50"/>
  <c r="AB87" i="50"/>
  <c r="AC86" i="50"/>
  <c r="AB86" i="50"/>
  <c r="AC85" i="50"/>
  <c r="AB85" i="50"/>
  <c r="AC84" i="50"/>
  <c r="AB84" i="50"/>
  <c r="AC83" i="50"/>
  <c r="AB83" i="50"/>
  <c r="AC82" i="50"/>
  <c r="AB82" i="50"/>
  <c r="AC81" i="50"/>
  <c r="AB81" i="50"/>
  <c r="AC80" i="50"/>
  <c r="AB80" i="50"/>
  <c r="AC79" i="50"/>
  <c r="AB79" i="50"/>
  <c r="AC78" i="50"/>
  <c r="AB78" i="50"/>
  <c r="AC77" i="50"/>
  <c r="AB77" i="50"/>
  <c r="AC76" i="50"/>
  <c r="AB76" i="50"/>
  <c r="AC75" i="50"/>
  <c r="AB75" i="50"/>
  <c r="AC74" i="50"/>
  <c r="AB74" i="50"/>
  <c r="AC73" i="50"/>
  <c r="AB73" i="50"/>
  <c r="AC72" i="50"/>
  <c r="AB72" i="50"/>
  <c r="AC71" i="50"/>
  <c r="AB71" i="50"/>
  <c r="AC70" i="50"/>
  <c r="AB70" i="50"/>
  <c r="AC69" i="50"/>
  <c r="AB69" i="50"/>
  <c r="AC68" i="50"/>
  <c r="AB68" i="50"/>
  <c r="AC67" i="50"/>
  <c r="AB67" i="50"/>
  <c r="AC66" i="50"/>
  <c r="AB66" i="50"/>
  <c r="AC65" i="50"/>
  <c r="AB65" i="50"/>
  <c r="AC64" i="50"/>
  <c r="AB64" i="50"/>
  <c r="AC63" i="50"/>
  <c r="AB63" i="50"/>
  <c r="AC62" i="50"/>
  <c r="AB62" i="50"/>
  <c r="AC61" i="50"/>
  <c r="AB61" i="50"/>
  <c r="AC60" i="50"/>
  <c r="AB60" i="50"/>
  <c r="AC59" i="50"/>
  <c r="AB59" i="50"/>
  <c r="AC58" i="50"/>
  <c r="AB58" i="50"/>
  <c r="AC57" i="50"/>
  <c r="AB57" i="50"/>
  <c r="AC56" i="50"/>
  <c r="AB56" i="50"/>
  <c r="AC55" i="50"/>
  <c r="AB55" i="50"/>
  <c r="AC54" i="50"/>
  <c r="AB54" i="50"/>
  <c r="AC53" i="50"/>
  <c r="AB53" i="50"/>
  <c r="AC52" i="50"/>
  <c r="AB52" i="50"/>
  <c r="AC51" i="50"/>
  <c r="AB51" i="50"/>
  <c r="AC50" i="50"/>
  <c r="AB50" i="50"/>
  <c r="AC49" i="50"/>
  <c r="AB49" i="50"/>
  <c r="AC48" i="50"/>
  <c r="AB48" i="50"/>
  <c r="AC47" i="50"/>
  <c r="AB47" i="50"/>
  <c r="AC46" i="50"/>
  <c r="AB46" i="50"/>
  <c r="AC45" i="50"/>
  <c r="AB45" i="50"/>
  <c r="AC44" i="50"/>
  <c r="AB44" i="50"/>
  <c r="AC43" i="50"/>
  <c r="AB43" i="50"/>
  <c r="AC42" i="50"/>
  <c r="AB42" i="50"/>
  <c r="AC41" i="50"/>
  <c r="AB41" i="50"/>
  <c r="AC40" i="50"/>
  <c r="AB40" i="50"/>
  <c r="AC39" i="50"/>
  <c r="AB39" i="50"/>
  <c r="AC38" i="50"/>
  <c r="AB38" i="50"/>
  <c r="AC37" i="50"/>
  <c r="AB37" i="50"/>
  <c r="AC36" i="50"/>
  <c r="AB36" i="50"/>
  <c r="AC35" i="50"/>
  <c r="AB35" i="50"/>
  <c r="AC34" i="50"/>
  <c r="AB34" i="50"/>
  <c r="AC33" i="50"/>
  <c r="AB33" i="50"/>
  <c r="AC32" i="50"/>
  <c r="AB32" i="50"/>
  <c r="AC31" i="50"/>
  <c r="AB31" i="50"/>
  <c r="AC30" i="50"/>
  <c r="AB30" i="50"/>
  <c r="AC29" i="50"/>
  <c r="AB29" i="50"/>
  <c r="AC28" i="50"/>
  <c r="AB28" i="50"/>
  <c r="AC27" i="50"/>
  <c r="AB27" i="50"/>
  <c r="AC26" i="50"/>
  <c r="AB26" i="50"/>
  <c r="AC25" i="50"/>
  <c r="AB25" i="50"/>
  <c r="AC24" i="50"/>
  <c r="AB24" i="50"/>
  <c r="AC23" i="50"/>
  <c r="AB23" i="50"/>
  <c r="AC22" i="50"/>
  <c r="AB22" i="50"/>
  <c r="AC21" i="50"/>
  <c r="AB21" i="50"/>
  <c r="AC20" i="50"/>
  <c r="AB20" i="50"/>
  <c r="AC19" i="50"/>
  <c r="AB19" i="50"/>
  <c r="AC18" i="50"/>
  <c r="AB18" i="50"/>
  <c r="AC17" i="50"/>
  <c r="AB17" i="50"/>
  <c r="AC16" i="50"/>
  <c r="AB16" i="50"/>
  <c r="AC15" i="50"/>
  <c r="AB15" i="50"/>
  <c r="AC14" i="50"/>
  <c r="AB14" i="50"/>
  <c r="AC13" i="50"/>
  <c r="AB13" i="50"/>
  <c r="W38" i="58" l="1"/>
  <c r="S38" i="58"/>
  <c r="W174" i="58"/>
  <c r="S174" i="58"/>
  <c r="W198" i="58"/>
  <c r="S198" i="58"/>
  <c r="W214" i="58"/>
  <c r="S214" i="58"/>
  <c r="W17" i="58"/>
  <c r="S17" i="58"/>
  <c r="W25" i="58"/>
  <c r="S25" i="58"/>
  <c r="W33" i="58"/>
  <c r="S33" i="58"/>
  <c r="W41" i="58"/>
  <c r="S41" i="58"/>
  <c r="W49" i="58"/>
  <c r="S49" i="58"/>
  <c r="W57" i="58"/>
  <c r="S57" i="58"/>
  <c r="W65" i="58"/>
  <c r="S65" i="58"/>
  <c r="W73" i="58"/>
  <c r="S73" i="58"/>
  <c r="W81" i="58"/>
  <c r="S81" i="58"/>
  <c r="W89" i="58"/>
  <c r="S89" i="58"/>
  <c r="W97" i="58"/>
  <c r="S97" i="58"/>
  <c r="W105" i="58"/>
  <c r="S105" i="58"/>
  <c r="W113" i="58"/>
  <c r="S113" i="58"/>
  <c r="W121" i="58"/>
  <c r="S121" i="58"/>
  <c r="W129" i="58"/>
  <c r="S129" i="58"/>
  <c r="W137" i="58"/>
  <c r="S137" i="58"/>
  <c r="W145" i="58"/>
  <c r="S145" i="58"/>
  <c r="W153" i="58"/>
  <c r="S153" i="58"/>
  <c r="W161" i="58"/>
  <c r="S161" i="58"/>
  <c r="W169" i="58"/>
  <c r="S169" i="58"/>
  <c r="W177" i="58"/>
  <c r="S177" i="58"/>
  <c r="W185" i="58"/>
  <c r="S185" i="58"/>
  <c r="W193" i="58"/>
  <c r="S193" i="58"/>
  <c r="W201" i="58"/>
  <c r="S201" i="58"/>
  <c r="W209" i="58"/>
  <c r="S209" i="58"/>
  <c r="W217" i="58"/>
  <c r="S217" i="58"/>
  <c r="W225" i="58"/>
  <c r="S225" i="58"/>
  <c r="W233" i="58"/>
  <c r="S233" i="58"/>
  <c r="W241" i="58"/>
  <c r="S241" i="58"/>
  <c r="W249" i="58"/>
  <c r="S249" i="58"/>
  <c r="W257" i="58"/>
  <c r="S257" i="58"/>
  <c r="W54" i="58"/>
  <c r="S54" i="58"/>
  <c r="W102" i="58"/>
  <c r="S102" i="58"/>
  <c r="W134" i="58"/>
  <c r="S134" i="58"/>
  <c r="W182" i="58"/>
  <c r="S182" i="58"/>
  <c r="W206" i="58"/>
  <c r="S206" i="58"/>
  <c r="W222" i="58"/>
  <c r="S222" i="58"/>
  <c r="W19" i="58"/>
  <c r="S19" i="58"/>
  <c r="W27" i="58"/>
  <c r="S27" i="58"/>
  <c r="W35" i="58"/>
  <c r="S35" i="58"/>
  <c r="W43" i="58"/>
  <c r="S43" i="58"/>
  <c r="W51" i="58"/>
  <c r="S51" i="58"/>
  <c r="W59" i="58"/>
  <c r="S59" i="58"/>
  <c r="W67" i="58"/>
  <c r="S67" i="58"/>
  <c r="W75" i="58"/>
  <c r="S75" i="58"/>
  <c r="W83" i="58"/>
  <c r="S83" i="58"/>
  <c r="W91" i="58"/>
  <c r="S91" i="58"/>
  <c r="W99" i="58"/>
  <c r="S99" i="58"/>
  <c r="W107" i="58"/>
  <c r="S107" i="58"/>
  <c r="W115" i="58"/>
  <c r="S115" i="58"/>
  <c r="W123" i="58"/>
  <c r="S123" i="58"/>
  <c r="W131" i="58"/>
  <c r="S131" i="58"/>
  <c r="W139" i="58"/>
  <c r="S139" i="58"/>
  <c r="W147" i="58"/>
  <c r="S147" i="58"/>
  <c r="W155" i="58"/>
  <c r="S155" i="58"/>
  <c r="W163" i="58"/>
  <c r="S163" i="58"/>
  <c r="W171" i="58"/>
  <c r="S171" i="58"/>
  <c r="W179" i="58"/>
  <c r="S179" i="58"/>
  <c r="W187" i="58"/>
  <c r="S187" i="58"/>
  <c r="W195" i="58"/>
  <c r="S195" i="58"/>
  <c r="W203" i="58"/>
  <c r="S203" i="58"/>
  <c r="W211" i="58"/>
  <c r="S211" i="58"/>
  <c r="W219" i="58"/>
  <c r="S219" i="58"/>
  <c r="W227" i="58"/>
  <c r="S227" i="58"/>
  <c r="W235" i="58"/>
  <c r="S235" i="58"/>
  <c r="W243" i="58"/>
  <c r="S243" i="58"/>
  <c r="W251" i="58"/>
  <c r="S251" i="58"/>
  <c r="W259" i="58"/>
  <c r="S259" i="58"/>
  <c r="W22" i="58"/>
  <c r="S22" i="58"/>
  <c r="W46" i="58"/>
  <c r="S46" i="58"/>
  <c r="W86" i="58"/>
  <c r="S86" i="58"/>
  <c r="W118" i="58"/>
  <c r="S118" i="58"/>
  <c r="W166" i="58"/>
  <c r="S166" i="58"/>
  <c r="W16" i="58"/>
  <c r="S16" i="58"/>
  <c r="W24" i="58"/>
  <c r="S24" i="58"/>
  <c r="W32" i="58"/>
  <c r="S32" i="58"/>
  <c r="W40" i="58"/>
  <c r="S40" i="58"/>
  <c r="W48" i="58"/>
  <c r="S48" i="58"/>
  <c r="W56" i="58"/>
  <c r="S56" i="58"/>
  <c r="W64" i="58"/>
  <c r="S64" i="58"/>
  <c r="W72" i="58"/>
  <c r="S72" i="58"/>
  <c r="W80" i="58"/>
  <c r="S80" i="58"/>
  <c r="W88" i="58"/>
  <c r="S88" i="58"/>
  <c r="W96" i="58"/>
  <c r="S96" i="58"/>
  <c r="W104" i="58"/>
  <c r="S104" i="58"/>
  <c r="W112" i="58"/>
  <c r="S112" i="58"/>
  <c r="W120" i="58"/>
  <c r="S120" i="58"/>
  <c r="W128" i="58"/>
  <c r="S128" i="58"/>
  <c r="W136" i="58"/>
  <c r="S136" i="58"/>
  <c r="W144" i="58"/>
  <c r="S144" i="58"/>
  <c r="W152" i="58"/>
  <c r="S152" i="58"/>
  <c r="W160" i="58"/>
  <c r="S160" i="58"/>
  <c r="W168" i="58"/>
  <c r="S168" i="58"/>
  <c r="W176" i="58"/>
  <c r="S176" i="58"/>
  <c r="W184" i="58"/>
  <c r="S184" i="58"/>
  <c r="W192" i="58"/>
  <c r="S192" i="58"/>
  <c r="W200" i="58"/>
  <c r="S200" i="58"/>
  <c r="W208" i="58"/>
  <c r="S208" i="58"/>
  <c r="W216" i="58"/>
  <c r="S216" i="58"/>
  <c r="W224" i="58"/>
  <c r="S224" i="58"/>
  <c r="W232" i="58"/>
  <c r="S232" i="58"/>
  <c r="W240" i="58"/>
  <c r="S240" i="58"/>
  <c r="W248" i="58"/>
  <c r="S248" i="58"/>
  <c r="W256" i="58"/>
  <c r="S256" i="58"/>
  <c r="W70" i="58"/>
  <c r="S70" i="58"/>
  <c r="W158" i="58"/>
  <c r="S158" i="58"/>
  <c r="W230" i="58"/>
  <c r="S230" i="58"/>
  <c r="W254" i="58"/>
  <c r="S254" i="58"/>
  <c r="W13" i="58"/>
  <c r="S13" i="58"/>
  <c r="W21" i="58"/>
  <c r="S21" i="58"/>
  <c r="W29" i="58"/>
  <c r="S29" i="58"/>
  <c r="W37" i="58"/>
  <c r="S37" i="58"/>
  <c r="W45" i="58"/>
  <c r="S45" i="58"/>
  <c r="W53" i="58"/>
  <c r="S53" i="58"/>
  <c r="W61" i="58"/>
  <c r="S61" i="58"/>
  <c r="W69" i="58"/>
  <c r="S69" i="58"/>
  <c r="W77" i="58"/>
  <c r="S77" i="58"/>
  <c r="W85" i="58"/>
  <c r="S85" i="58"/>
  <c r="W93" i="58"/>
  <c r="S93" i="58"/>
  <c r="W101" i="58"/>
  <c r="S101" i="58"/>
  <c r="W109" i="58"/>
  <c r="S109" i="58"/>
  <c r="W117" i="58"/>
  <c r="S117" i="58"/>
  <c r="W125" i="58"/>
  <c r="S125" i="58"/>
  <c r="W133" i="58"/>
  <c r="S133" i="58"/>
  <c r="W141" i="58"/>
  <c r="S141" i="58"/>
  <c r="W149" i="58"/>
  <c r="S149" i="58"/>
  <c r="W157" i="58"/>
  <c r="S157" i="58"/>
  <c r="W165" i="58"/>
  <c r="S165" i="58"/>
  <c r="W173" i="58"/>
  <c r="S173" i="58"/>
  <c r="W181" i="58"/>
  <c r="S181" i="58"/>
  <c r="W189" i="58"/>
  <c r="S189" i="58"/>
  <c r="W197" i="58"/>
  <c r="S197" i="58"/>
  <c r="W205" i="58"/>
  <c r="S205" i="58"/>
  <c r="W213" i="58"/>
  <c r="S213" i="58"/>
  <c r="W221" i="58"/>
  <c r="S221" i="58"/>
  <c r="W229" i="58"/>
  <c r="S229" i="58"/>
  <c r="W237" i="58"/>
  <c r="S237" i="58"/>
  <c r="W245" i="58"/>
  <c r="S245" i="58"/>
  <c r="W253" i="58"/>
  <c r="S253" i="58"/>
  <c r="W62" i="58"/>
  <c r="S62" i="58"/>
  <c r="W142" i="58"/>
  <c r="S142" i="58"/>
  <c r="W190" i="58"/>
  <c r="S190" i="58"/>
  <c r="W18" i="58"/>
  <c r="S18" i="58"/>
  <c r="W26" i="58"/>
  <c r="S26" i="58"/>
  <c r="W34" i="58"/>
  <c r="S34" i="58"/>
  <c r="W42" i="58"/>
  <c r="S42" i="58"/>
  <c r="W50" i="58"/>
  <c r="S50" i="58"/>
  <c r="W58" i="58"/>
  <c r="S58" i="58"/>
  <c r="W66" i="58"/>
  <c r="S66" i="58"/>
  <c r="W74" i="58"/>
  <c r="S74" i="58"/>
  <c r="W82" i="58"/>
  <c r="S82" i="58"/>
  <c r="W90" i="58"/>
  <c r="S90" i="58"/>
  <c r="W98" i="58"/>
  <c r="S98" i="58"/>
  <c r="W106" i="58"/>
  <c r="S106" i="58"/>
  <c r="W114" i="58"/>
  <c r="S114" i="58"/>
  <c r="W122" i="58"/>
  <c r="S122" i="58"/>
  <c r="W130" i="58"/>
  <c r="S130" i="58"/>
  <c r="W138" i="58"/>
  <c r="S138" i="58"/>
  <c r="W146" i="58"/>
  <c r="S146" i="58"/>
  <c r="W154" i="58"/>
  <c r="S154" i="58"/>
  <c r="W162" i="58"/>
  <c r="S162" i="58"/>
  <c r="W170" i="58"/>
  <c r="S170" i="58"/>
  <c r="W178" i="58"/>
  <c r="S178" i="58"/>
  <c r="W186" i="58"/>
  <c r="S186" i="58"/>
  <c r="W194" i="58"/>
  <c r="S194" i="58"/>
  <c r="W202" i="58"/>
  <c r="S202" i="58"/>
  <c r="W210" i="58"/>
  <c r="S210" i="58"/>
  <c r="W218" i="58"/>
  <c r="S218" i="58"/>
  <c r="W226" i="58"/>
  <c r="S226" i="58"/>
  <c r="W234" i="58"/>
  <c r="S234" i="58"/>
  <c r="W242" i="58"/>
  <c r="S242" i="58"/>
  <c r="W250" i="58"/>
  <c r="S250" i="58"/>
  <c r="W258" i="58"/>
  <c r="S258" i="58"/>
  <c r="W78" i="58"/>
  <c r="S78" i="58"/>
  <c r="W94" i="58"/>
  <c r="S94" i="58"/>
  <c r="W126" i="58"/>
  <c r="S126" i="58"/>
  <c r="W150" i="58"/>
  <c r="S150" i="58"/>
  <c r="W238" i="58"/>
  <c r="S238" i="58"/>
  <c r="W15" i="58"/>
  <c r="S15" i="58"/>
  <c r="W23" i="58"/>
  <c r="S23" i="58"/>
  <c r="W31" i="58"/>
  <c r="S31" i="58"/>
  <c r="W39" i="58"/>
  <c r="S39" i="58"/>
  <c r="W47" i="58"/>
  <c r="S47" i="58"/>
  <c r="W55" i="58"/>
  <c r="S55" i="58"/>
  <c r="W63" i="58"/>
  <c r="S63" i="58"/>
  <c r="W71" i="58"/>
  <c r="S71" i="58"/>
  <c r="W79" i="58"/>
  <c r="S79" i="58"/>
  <c r="W87" i="58"/>
  <c r="S87" i="58"/>
  <c r="W95" i="58"/>
  <c r="S95" i="58"/>
  <c r="W103" i="58"/>
  <c r="S103" i="58"/>
  <c r="W111" i="58"/>
  <c r="S111" i="58"/>
  <c r="W119" i="58"/>
  <c r="S119" i="58"/>
  <c r="W127" i="58"/>
  <c r="S127" i="58"/>
  <c r="W135" i="58"/>
  <c r="S135" i="58"/>
  <c r="W143" i="58"/>
  <c r="S143" i="58"/>
  <c r="W151" i="58"/>
  <c r="S151" i="58"/>
  <c r="W159" i="58"/>
  <c r="S159" i="58"/>
  <c r="W167" i="58"/>
  <c r="S167" i="58"/>
  <c r="W175" i="58"/>
  <c r="S175" i="58"/>
  <c r="W183" i="58"/>
  <c r="S183" i="58"/>
  <c r="W191" i="58"/>
  <c r="S191" i="58"/>
  <c r="W199" i="58"/>
  <c r="S199" i="58"/>
  <c r="W207" i="58"/>
  <c r="S207" i="58"/>
  <c r="W215" i="58"/>
  <c r="S215" i="58"/>
  <c r="W223" i="58"/>
  <c r="S223" i="58"/>
  <c r="W231" i="58"/>
  <c r="S231" i="58"/>
  <c r="W239" i="58"/>
  <c r="S239" i="58"/>
  <c r="W247" i="58"/>
  <c r="S247" i="58"/>
  <c r="W255" i="58"/>
  <c r="S255" i="58"/>
  <c r="W14" i="58"/>
  <c r="S14" i="58"/>
  <c r="W30" i="58"/>
  <c r="S30" i="58"/>
  <c r="W110" i="58"/>
  <c r="S110" i="58"/>
  <c r="W246" i="58"/>
  <c r="S246" i="58"/>
  <c r="W20" i="58"/>
  <c r="S20" i="58"/>
  <c r="W28" i="58"/>
  <c r="S28" i="58"/>
  <c r="W36" i="58"/>
  <c r="S36" i="58"/>
  <c r="W44" i="58"/>
  <c r="S44" i="58"/>
  <c r="W52" i="58"/>
  <c r="S52" i="58"/>
  <c r="W60" i="58"/>
  <c r="S60" i="58"/>
  <c r="W68" i="58"/>
  <c r="S68" i="58"/>
  <c r="W76" i="58"/>
  <c r="S76" i="58"/>
  <c r="W84" i="58"/>
  <c r="S84" i="58"/>
  <c r="W92" i="58"/>
  <c r="S92" i="58"/>
  <c r="W100" i="58"/>
  <c r="S100" i="58"/>
  <c r="W108" i="58"/>
  <c r="S108" i="58"/>
  <c r="W116" i="58"/>
  <c r="S116" i="58"/>
  <c r="W124" i="58"/>
  <c r="S124" i="58"/>
  <c r="W132" i="58"/>
  <c r="S132" i="58"/>
  <c r="W140" i="58"/>
  <c r="S140" i="58"/>
  <c r="W148" i="58"/>
  <c r="S148" i="58"/>
  <c r="W156" i="58"/>
  <c r="S156" i="58"/>
  <c r="W164" i="58"/>
  <c r="S164" i="58"/>
  <c r="W172" i="58"/>
  <c r="S172" i="58"/>
  <c r="W180" i="58"/>
  <c r="S180" i="58"/>
  <c r="W188" i="58"/>
  <c r="S188" i="58"/>
  <c r="W196" i="58"/>
  <c r="S196" i="58"/>
  <c r="W204" i="58"/>
  <c r="S204" i="58"/>
  <c r="W212" i="58"/>
  <c r="S212" i="58"/>
  <c r="W220" i="58"/>
  <c r="S220" i="58"/>
  <c r="W228" i="58"/>
  <c r="S228" i="58"/>
  <c r="W236" i="58"/>
  <c r="S236" i="58"/>
  <c r="W244" i="58"/>
  <c r="S244" i="58"/>
  <c r="W252" i="58"/>
  <c r="S252" i="58"/>
  <c r="R14" i="58"/>
  <c r="R16" i="58"/>
  <c r="R13" i="58"/>
  <c r="R15" i="58"/>
  <c r="I15" i="58"/>
  <c r="X15" i="58"/>
  <c r="X17" i="58"/>
  <c r="X14" i="58"/>
  <c r="I16" i="58"/>
  <c r="X16" i="58"/>
  <c r="X13" i="58"/>
  <c r="I29" i="58"/>
  <c r="X29" i="58"/>
  <c r="X45" i="58"/>
  <c r="I56" i="58"/>
  <c r="X56" i="58"/>
  <c r="I64" i="58"/>
  <c r="X64" i="58"/>
  <c r="X72" i="58"/>
  <c r="X80" i="58"/>
  <c r="I99" i="58"/>
  <c r="X99" i="58"/>
  <c r="X115" i="58"/>
  <c r="I123" i="58"/>
  <c r="X123" i="58"/>
  <c r="I131" i="58"/>
  <c r="X131" i="58"/>
  <c r="X150" i="58"/>
  <c r="X175" i="58"/>
  <c r="X183" i="58"/>
  <c r="X211" i="58"/>
  <c r="I222" i="58"/>
  <c r="X222" i="58"/>
  <c r="I230" i="58"/>
  <c r="X230" i="58"/>
  <c r="I241" i="58"/>
  <c r="X241" i="58"/>
  <c r="I249" i="58"/>
  <c r="X249" i="58"/>
  <c r="Y249" i="58" s="1"/>
  <c r="I257" i="58"/>
  <c r="X257" i="58"/>
  <c r="X18" i="58"/>
  <c r="X26" i="58"/>
  <c r="X34" i="58"/>
  <c r="X42" i="58"/>
  <c r="I61" i="58"/>
  <c r="X61" i="58"/>
  <c r="I77" i="58"/>
  <c r="X77" i="58"/>
  <c r="X88" i="58"/>
  <c r="X96" i="58"/>
  <c r="X104" i="58"/>
  <c r="X147" i="58"/>
  <c r="I161" i="58"/>
  <c r="X161" i="58"/>
  <c r="Y161" i="58" s="1"/>
  <c r="I169" i="58"/>
  <c r="X169" i="58"/>
  <c r="I188" i="58"/>
  <c r="X188" i="58"/>
  <c r="I194" i="58"/>
  <c r="X194" i="58"/>
  <c r="X202" i="58"/>
  <c r="I208" i="58"/>
  <c r="X208" i="58"/>
  <c r="X227" i="58"/>
  <c r="I238" i="58"/>
  <c r="X238" i="58"/>
  <c r="I246" i="58"/>
  <c r="X246" i="58"/>
  <c r="I254" i="58"/>
  <c r="X254" i="58"/>
  <c r="I23" i="58"/>
  <c r="X23" i="58"/>
  <c r="I31" i="58"/>
  <c r="X31" i="58"/>
  <c r="I39" i="58"/>
  <c r="X39" i="58"/>
  <c r="I47" i="58"/>
  <c r="X47" i="58"/>
  <c r="X50" i="58"/>
  <c r="X58" i="58"/>
  <c r="X66" i="58"/>
  <c r="I74" i="58"/>
  <c r="X74" i="58"/>
  <c r="I82" i="58"/>
  <c r="X82" i="58"/>
  <c r="I85" i="58"/>
  <c r="X85" i="58"/>
  <c r="I93" i="58"/>
  <c r="X93" i="58"/>
  <c r="I101" i="58"/>
  <c r="X101" i="58"/>
  <c r="I117" i="58"/>
  <c r="X117" i="58"/>
  <c r="I125" i="58"/>
  <c r="X125" i="58"/>
  <c r="I133" i="58"/>
  <c r="X133" i="58"/>
  <c r="I155" i="58"/>
  <c r="X155" i="58"/>
  <c r="X166" i="58"/>
  <c r="I177" i="58"/>
  <c r="X177" i="58"/>
  <c r="I185" i="58"/>
  <c r="X185" i="58"/>
  <c r="X191" i="58"/>
  <c r="X199" i="58"/>
  <c r="I216" i="58"/>
  <c r="X216" i="58"/>
  <c r="I224" i="58"/>
  <c r="X224" i="58"/>
  <c r="I232" i="58"/>
  <c r="X232" i="58"/>
  <c r="X243" i="58"/>
  <c r="X259" i="58"/>
  <c r="I20" i="58"/>
  <c r="X20" i="58"/>
  <c r="I28" i="58"/>
  <c r="X28" i="58"/>
  <c r="I36" i="58"/>
  <c r="X36" i="58"/>
  <c r="I44" i="58"/>
  <c r="X44" i="58"/>
  <c r="I55" i="58"/>
  <c r="X55" i="58"/>
  <c r="I63" i="58"/>
  <c r="X63" i="58"/>
  <c r="X71" i="58"/>
  <c r="X79" i="58"/>
  <c r="X90" i="58"/>
  <c r="I98" i="58"/>
  <c r="X98" i="58"/>
  <c r="I106" i="58"/>
  <c r="X106" i="58"/>
  <c r="I114" i="58"/>
  <c r="X114" i="58"/>
  <c r="I122" i="58"/>
  <c r="X122" i="58"/>
  <c r="I130" i="58"/>
  <c r="X130" i="58"/>
  <c r="I138" i="58"/>
  <c r="X138" i="58"/>
  <c r="I149" i="58"/>
  <c r="X149" i="58"/>
  <c r="X163" i="58"/>
  <c r="I174" i="58"/>
  <c r="X174" i="58"/>
  <c r="I182" i="58"/>
  <c r="X182" i="58"/>
  <c r="I210" i="58"/>
  <c r="X210" i="58"/>
  <c r="I240" i="58"/>
  <c r="X240" i="58"/>
  <c r="I248" i="58"/>
  <c r="X248" i="58"/>
  <c r="I256" i="58"/>
  <c r="X256" i="58"/>
  <c r="X25" i="58"/>
  <c r="X33" i="58"/>
  <c r="X41" i="58"/>
  <c r="X49" i="58"/>
  <c r="I52" i="58"/>
  <c r="X52" i="58"/>
  <c r="I60" i="58"/>
  <c r="X60" i="58"/>
  <c r="I68" i="58"/>
  <c r="X68" i="58"/>
  <c r="X76" i="58"/>
  <c r="I87" i="58"/>
  <c r="X87" i="58"/>
  <c r="X95" i="58"/>
  <c r="I103" i="58"/>
  <c r="X103" i="58"/>
  <c r="I111" i="58"/>
  <c r="X111" i="58"/>
  <c r="I119" i="58"/>
  <c r="X119" i="58"/>
  <c r="I127" i="58"/>
  <c r="X127" i="58"/>
  <c r="I146" i="58"/>
  <c r="X146" i="58"/>
  <c r="I154" i="58"/>
  <c r="X154" i="58"/>
  <c r="I157" i="58"/>
  <c r="X157" i="58"/>
  <c r="X179" i="58"/>
  <c r="I193" i="58"/>
  <c r="X193" i="58"/>
  <c r="I201" i="58"/>
  <c r="X201" i="58"/>
  <c r="I204" i="58"/>
  <c r="X204" i="58"/>
  <c r="X207" i="58"/>
  <c r="I218" i="58"/>
  <c r="X218" i="58"/>
  <c r="I226" i="58"/>
  <c r="X226" i="58"/>
  <c r="I234" i="58"/>
  <c r="X234" i="58"/>
  <c r="I253" i="58"/>
  <c r="X253" i="58"/>
  <c r="X22" i="58"/>
  <c r="X30" i="58"/>
  <c r="X38" i="58"/>
  <c r="X46" i="58"/>
  <c r="X57" i="58"/>
  <c r="X65" i="58"/>
  <c r="I73" i="58"/>
  <c r="X73" i="58"/>
  <c r="I81" i="58"/>
  <c r="X81" i="58"/>
  <c r="X84" i="58"/>
  <c r="X92" i="58"/>
  <c r="X100" i="58"/>
  <c r="I143" i="58"/>
  <c r="X143" i="58"/>
  <c r="I151" i="58"/>
  <c r="X151" i="58"/>
  <c r="I165" i="58"/>
  <c r="X165" i="58"/>
  <c r="I176" i="58"/>
  <c r="X176" i="58"/>
  <c r="I184" i="58"/>
  <c r="X184" i="58"/>
  <c r="I190" i="58"/>
  <c r="I198" i="58"/>
  <c r="X198" i="58"/>
  <c r="X215" i="58"/>
  <c r="X223" i="58"/>
  <c r="X231" i="58"/>
  <c r="I242" i="58"/>
  <c r="X242" i="58"/>
  <c r="I250" i="58"/>
  <c r="X250" i="58"/>
  <c r="I258" i="58"/>
  <c r="X258" i="58"/>
  <c r="I19" i="58"/>
  <c r="X19" i="58"/>
  <c r="I27" i="58"/>
  <c r="X27" i="58"/>
  <c r="I35" i="58"/>
  <c r="X35" i="58"/>
  <c r="I43" i="58"/>
  <c r="X43" i="58"/>
  <c r="X54" i="58"/>
  <c r="X62" i="58"/>
  <c r="I70" i="58"/>
  <c r="X70" i="58"/>
  <c r="X78" i="58"/>
  <c r="I89" i="58"/>
  <c r="X89" i="58"/>
  <c r="I97" i="58"/>
  <c r="X97" i="58"/>
  <c r="I105" i="58"/>
  <c r="X105" i="58"/>
  <c r="I113" i="58"/>
  <c r="X113" i="58"/>
  <c r="I121" i="58"/>
  <c r="X121" i="58"/>
  <c r="I129" i="58"/>
  <c r="X129" i="58"/>
  <c r="I137" i="58"/>
  <c r="X137" i="58"/>
  <c r="I159" i="58"/>
  <c r="X159" i="58"/>
  <c r="I162" i="58"/>
  <c r="X162" i="58"/>
  <c r="X195" i="58"/>
  <c r="X206" i="58"/>
  <c r="I209" i="58"/>
  <c r="X209" i="58"/>
  <c r="I220" i="58"/>
  <c r="X220" i="58"/>
  <c r="X239" i="58"/>
  <c r="X247" i="58"/>
  <c r="X255" i="58"/>
  <c r="I24" i="58"/>
  <c r="X24" i="58"/>
  <c r="I32" i="58"/>
  <c r="X32" i="58"/>
  <c r="I40" i="58"/>
  <c r="X40" i="58"/>
  <c r="I48" i="58"/>
  <c r="X48" i="58"/>
  <c r="I51" i="58"/>
  <c r="X51" i="58"/>
  <c r="I59" i="58"/>
  <c r="X59" i="58"/>
  <c r="I67" i="58"/>
  <c r="X67" i="58"/>
  <c r="X75" i="58"/>
  <c r="X83" i="58"/>
  <c r="X86" i="58"/>
  <c r="X94" i="58"/>
  <c r="I102" i="58"/>
  <c r="X102" i="58"/>
  <c r="I110" i="58"/>
  <c r="X110" i="58"/>
  <c r="I118" i="58"/>
  <c r="X118" i="58"/>
  <c r="X134" i="58"/>
  <c r="X142" i="58"/>
  <c r="I145" i="58"/>
  <c r="X145" i="58"/>
  <c r="I153" i="58"/>
  <c r="X153" i="58"/>
  <c r="I167" i="58"/>
  <c r="X167" i="58"/>
  <c r="I170" i="58"/>
  <c r="X170" i="58"/>
  <c r="I178" i="58"/>
  <c r="X178" i="58"/>
  <c r="I186" i="58"/>
  <c r="X186" i="58"/>
  <c r="I192" i="58"/>
  <c r="X192" i="58"/>
  <c r="I200" i="58"/>
  <c r="X200" i="58"/>
  <c r="I214" i="58"/>
  <c r="X214" i="58"/>
  <c r="I217" i="58"/>
  <c r="X217" i="58"/>
  <c r="I225" i="58"/>
  <c r="X225" i="58"/>
  <c r="I233" i="58"/>
  <c r="X233" i="58"/>
  <c r="I236" i="58"/>
  <c r="X236" i="58"/>
  <c r="I252" i="58"/>
  <c r="X252" i="58"/>
  <c r="I94" i="58"/>
  <c r="I163" i="58"/>
  <c r="I255" i="58"/>
  <c r="I90" i="58"/>
  <c r="Y131" i="58"/>
  <c r="I223" i="58"/>
  <c r="I25" i="58"/>
  <c r="I75" i="58"/>
  <c r="I71" i="58"/>
  <c r="I41" i="58"/>
  <c r="I79" i="58"/>
  <c r="I191" i="58"/>
  <c r="I13" i="58"/>
  <c r="I65" i="58"/>
  <c r="I104" i="58"/>
  <c r="I92" i="58"/>
  <c r="I96" i="58"/>
  <c r="I100" i="58"/>
  <c r="I150" i="58"/>
  <c r="I199" i="58"/>
  <c r="I231" i="58"/>
  <c r="I57" i="58"/>
  <c r="I17" i="58"/>
  <c r="I45" i="58"/>
  <c r="I78" i="58"/>
  <c r="I183" i="58"/>
  <c r="I215" i="58"/>
  <c r="I247" i="58"/>
  <c r="I33" i="58"/>
  <c r="I175" i="58"/>
  <c r="I207" i="58"/>
  <c r="I239" i="58"/>
  <c r="I158" i="58"/>
  <c r="I171" i="58"/>
  <c r="I139" i="58"/>
  <c r="I135" i="58"/>
  <c r="I203" i="58"/>
  <c r="I235" i="58"/>
  <c r="I21" i="58"/>
  <c r="I53" i="58"/>
  <c r="I189" i="58"/>
  <c r="I221" i="58"/>
  <c r="I187" i="58"/>
  <c r="I219" i="58"/>
  <c r="I251" i="58"/>
  <c r="I91" i="58"/>
  <c r="I109" i="58"/>
  <c r="I37" i="58"/>
  <c r="I69" i="58"/>
  <c r="I107" i="58"/>
  <c r="I126" i="58"/>
  <c r="I141" i="58"/>
  <c r="I173" i="58"/>
  <c r="I205" i="58"/>
  <c r="I237" i="58"/>
  <c r="I86" i="58"/>
  <c r="I95" i="58"/>
  <c r="I115" i="58"/>
  <c r="I134" i="58"/>
  <c r="I147" i="58"/>
  <c r="I166" i="58"/>
  <c r="Y202" i="58"/>
  <c r="I179" i="58"/>
  <c r="I195" i="58"/>
  <c r="I211" i="58"/>
  <c r="I227" i="58"/>
  <c r="I243" i="58"/>
  <c r="I259" i="58"/>
  <c r="I112" i="58"/>
  <c r="I144" i="58"/>
  <c r="I160" i="58"/>
  <c r="I212" i="58"/>
  <c r="I244" i="58"/>
  <c r="I124" i="58"/>
  <c r="I140" i="58"/>
  <c r="I156" i="58"/>
  <c r="I172" i="58"/>
  <c r="I180" i="58"/>
  <c r="I72" i="58"/>
  <c r="I76" i="58"/>
  <c r="I80" i="58"/>
  <c r="I84" i="58"/>
  <c r="I88" i="58"/>
  <c r="I120" i="58"/>
  <c r="I136" i="58"/>
  <c r="I152" i="58"/>
  <c r="I168" i="58"/>
  <c r="I128" i="58"/>
  <c r="I196" i="58"/>
  <c r="I228" i="58"/>
  <c r="I14" i="58"/>
  <c r="I18" i="58"/>
  <c r="I22" i="58"/>
  <c r="I26" i="58"/>
  <c r="I30" i="58"/>
  <c r="I34" i="58"/>
  <c r="I38" i="58"/>
  <c r="I42" i="58"/>
  <c r="I46" i="58"/>
  <c r="I50" i="58"/>
  <c r="I54" i="58"/>
  <c r="I58" i="58"/>
  <c r="I62" i="58"/>
  <c r="I66" i="58"/>
  <c r="Y66" i="58" s="1"/>
  <c r="I108" i="58"/>
  <c r="I116" i="58"/>
  <c r="I132" i="58"/>
  <c r="I148" i="58"/>
  <c r="I164" i="58"/>
  <c r="I181" i="58"/>
  <c r="I197" i="58"/>
  <c r="I213" i="58"/>
  <c r="I229" i="58"/>
  <c r="I245" i="58"/>
  <c r="Y185" i="58"/>
  <c r="Y33" i="58" l="1"/>
  <c r="Y20" i="58"/>
  <c r="Y240" i="58"/>
  <c r="Y127" i="58"/>
  <c r="Y133" i="58"/>
  <c r="Y95" i="58"/>
  <c r="Y50" i="58"/>
  <c r="Y49" i="58"/>
  <c r="Y40" i="58"/>
  <c r="Y36" i="58"/>
  <c r="Y166" i="58"/>
  <c r="Y85" i="58"/>
  <c r="Y100" i="58"/>
  <c r="Y87" i="58"/>
  <c r="Y204" i="58"/>
  <c r="Y198" i="58"/>
  <c r="Y134" i="58"/>
  <c r="Y163" i="58"/>
  <c r="Y82" i="58"/>
  <c r="Y153" i="58"/>
  <c r="Y162" i="58"/>
  <c r="Y138" i="58"/>
  <c r="Y214" i="58"/>
  <c r="Y83" i="58"/>
  <c r="Y64" i="58"/>
  <c r="Y89" i="58"/>
  <c r="Y256" i="58"/>
  <c r="Y24" i="58"/>
  <c r="Y188" i="58"/>
  <c r="Y121" i="58"/>
  <c r="Y106" i="58"/>
  <c r="Y230" i="58"/>
  <c r="Y84" i="58"/>
  <c r="Y130" i="58"/>
  <c r="Y257" i="58"/>
  <c r="Y241" i="58"/>
  <c r="Y194" i="58"/>
  <c r="Y17" i="58"/>
  <c r="Y125" i="58"/>
  <c r="Y79" i="58"/>
  <c r="Y258" i="58"/>
  <c r="Y182" i="58"/>
  <c r="Y38" i="58"/>
  <c r="Y22" i="58"/>
  <c r="Y80" i="58"/>
  <c r="Y55" i="58"/>
  <c r="Y39" i="58"/>
  <c r="Y23" i="58"/>
  <c r="Y243" i="58"/>
  <c r="Y179" i="58"/>
  <c r="Y61" i="58"/>
  <c r="Y218" i="58"/>
  <c r="Y192" i="58"/>
  <c r="Y175" i="58"/>
  <c r="Y111" i="58"/>
  <c r="Y247" i="58"/>
  <c r="Y81" i="58"/>
  <c r="Y71" i="58"/>
  <c r="Y246" i="58"/>
  <c r="Y234" i="58"/>
  <c r="Y67" i="58"/>
  <c r="Y51" i="58"/>
  <c r="Y35" i="58"/>
  <c r="Y19" i="58"/>
  <c r="Y211" i="58"/>
  <c r="Y117" i="58"/>
  <c r="Y115" i="58"/>
  <c r="Y122" i="58"/>
  <c r="Y224" i="58"/>
  <c r="Y45" i="58"/>
  <c r="Y199" i="58"/>
  <c r="Y73" i="58"/>
  <c r="Y129" i="58"/>
  <c r="Y242" i="58"/>
  <c r="Y238" i="58"/>
  <c r="Y154" i="58"/>
  <c r="Y78" i="58"/>
  <c r="Y190" i="58"/>
  <c r="Y200" i="58"/>
  <c r="Y30" i="58"/>
  <c r="Y62" i="58"/>
  <c r="Y46" i="58"/>
  <c r="Y72" i="58"/>
  <c r="Y43" i="58"/>
  <c r="Y27" i="58"/>
  <c r="Y26" i="58"/>
  <c r="Y195" i="58"/>
  <c r="Y254" i="58"/>
  <c r="Y98" i="58"/>
  <c r="Y99" i="58"/>
  <c r="Y248" i="58"/>
  <c r="Y63" i="58"/>
  <c r="Y165" i="58"/>
  <c r="Y65" i="58"/>
  <c r="Y222" i="58"/>
  <c r="Y58" i="58"/>
  <c r="Y42" i="58"/>
  <c r="Y56" i="58"/>
  <c r="Y259" i="58"/>
  <c r="Y184" i="58"/>
  <c r="Y226" i="58"/>
  <c r="Y74" i="58"/>
  <c r="Y77" i="58"/>
  <c r="Y123" i="58"/>
  <c r="Y96" i="58"/>
  <c r="Y68" i="58"/>
  <c r="Y52" i="58"/>
  <c r="Y149" i="58"/>
  <c r="Y147" i="58"/>
  <c r="Y86" i="58"/>
  <c r="Y207" i="58"/>
  <c r="Y101" i="58"/>
  <c r="Y183" i="58"/>
  <c r="Y119" i="58"/>
  <c r="Y114" i="58"/>
  <c r="Y90" i="58"/>
  <c r="Y151" i="58"/>
  <c r="Y209" i="58"/>
  <c r="Y146" i="58"/>
  <c r="Y193" i="58"/>
  <c r="Y103" i="58"/>
  <c r="Y57" i="58"/>
  <c r="Y41" i="58"/>
  <c r="Y118" i="58"/>
  <c r="Y253" i="58"/>
  <c r="Y25" i="58"/>
  <c r="Y97" i="58"/>
  <c r="Y236" i="58"/>
  <c r="Y142" i="58"/>
  <c r="Y159" i="58"/>
  <c r="Y169" i="58"/>
  <c r="Y206" i="58"/>
  <c r="Y14" i="58"/>
  <c r="Y16" i="58"/>
  <c r="Y13" i="58"/>
  <c r="Y105" i="58"/>
  <c r="Y48" i="58"/>
  <c r="Y32" i="58"/>
  <c r="Y186" i="58"/>
  <c r="Y239" i="58"/>
  <c r="Y155" i="58"/>
  <c r="Y201" i="58"/>
  <c r="Y34" i="58"/>
  <c r="Y76" i="58"/>
  <c r="Y60" i="58"/>
  <c r="Y44" i="58"/>
  <c r="Y28" i="58"/>
  <c r="Y150" i="58"/>
  <c r="Y255" i="58"/>
  <c r="Y220" i="58"/>
  <c r="Y92" i="58"/>
  <c r="Y208" i="58"/>
  <c r="Y225" i="58"/>
  <c r="Y170" i="58"/>
  <c r="Y216" i="58"/>
  <c r="Y47" i="58"/>
  <c r="Y31" i="58"/>
  <c r="Y157" i="58"/>
  <c r="Y70" i="58"/>
  <c r="Y59" i="58"/>
  <c r="Y93" i="58"/>
  <c r="Y54" i="58"/>
  <c r="Y177" i="58"/>
  <c r="Y233" i="58"/>
  <c r="Y18" i="58"/>
  <c r="Y227" i="58"/>
  <c r="Y231" i="58"/>
  <c r="Y210" i="58"/>
  <c r="Y232" i="58"/>
  <c r="Y88" i="58"/>
  <c r="Y29" i="58"/>
  <c r="Y252" i="58"/>
  <c r="Y215" i="58"/>
  <c r="Y104" i="58"/>
  <c r="Y191" i="58"/>
  <c r="Y174" i="58"/>
  <c r="Y75" i="58"/>
  <c r="Y217" i="58"/>
  <c r="Y250" i="58"/>
  <c r="Y143" i="58"/>
  <c r="Y178" i="58"/>
  <c r="Y107" i="58"/>
  <c r="Y110" i="58"/>
  <c r="Y145" i="58"/>
  <c r="Y223" i="58"/>
  <c r="Y102" i="58"/>
  <c r="Y137" i="58"/>
  <c r="Y94" i="58"/>
  <c r="Y176" i="58"/>
  <c r="Y113" i="58"/>
  <c r="Y189" i="58"/>
  <c r="Y167" i="58"/>
  <c r="Y173" i="58"/>
  <c r="Y237" i="58"/>
  <c r="Y245" i="58"/>
  <c r="Y181" i="58"/>
  <c r="Y112" i="58"/>
  <c r="Y205" i="58"/>
  <c r="Y221" i="58"/>
  <c r="Y244" i="58"/>
  <c r="Y197" i="58"/>
  <c r="Y158" i="58"/>
  <c r="Y124" i="58"/>
  <c r="Y91" i="58"/>
  <c r="Y212" i="58"/>
  <c r="Y141" i="58"/>
  <c r="Y203" i="58"/>
  <c r="Y172" i="58"/>
  <c r="Y53" i="58"/>
  <c r="Y126" i="58"/>
  <c r="Y37" i="58"/>
  <c r="Y171" i="58"/>
  <c r="Y21" i="58"/>
  <c r="Y135" i="58"/>
  <c r="Y140" i="58"/>
  <c r="Y213" i="58"/>
  <c r="Y196" i="58"/>
  <c r="Y156" i="58"/>
  <c r="Y229" i="58"/>
  <c r="Y228" i="58"/>
  <c r="Y251" i="58"/>
  <c r="Y139" i="58"/>
  <c r="Y109" i="58"/>
  <c r="Y219" i="58"/>
  <c r="Y69" i="58"/>
  <c r="Y187" i="58"/>
  <c r="Y235" i="58"/>
  <c r="Y148" i="58"/>
  <c r="Y116" i="58"/>
  <c r="Y128" i="58"/>
  <c r="Y152" i="58"/>
  <c r="Y120" i="58"/>
  <c r="Y144" i="58"/>
  <c r="Y164" i="58"/>
  <c r="Y132" i="58"/>
  <c r="Y108" i="58"/>
  <c r="Y168" i="58"/>
  <c r="Y136" i="58"/>
  <c r="Y180" i="58"/>
  <c r="Y160" i="58"/>
  <c r="Y15" i="58" l="1"/>
  <c r="S12" i="42"/>
  <c r="F13" i="42"/>
  <c r="F14" i="42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F57" i="42"/>
  <c r="F58" i="42"/>
  <c r="F59" i="42"/>
  <c r="F60" i="42"/>
  <c r="F61" i="42"/>
  <c r="F62" i="42"/>
  <c r="F63" i="42"/>
  <c r="F64" i="42"/>
  <c r="F65" i="42"/>
  <c r="F66" i="42"/>
  <c r="F67" i="42"/>
  <c r="F68" i="42"/>
  <c r="F69" i="42"/>
  <c r="F70" i="42"/>
  <c r="F71" i="42"/>
  <c r="F72" i="42"/>
  <c r="F73" i="42"/>
  <c r="F74" i="42"/>
  <c r="F75" i="42"/>
  <c r="F76" i="42"/>
  <c r="F77" i="42"/>
  <c r="F78" i="42"/>
  <c r="F79" i="42"/>
  <c r="F80" i="42"/>
  <c r="F81" i="42"/>
  <c r="F82" i="42"/>
  <c r="F83" i="42"/>
  <c r="F84" i="42"/>
  <c r="F85" i="42"/>
  <c r="F86" i="42"/>
  <c r="F87" i="42"/>
  <c r="F88" i="42"/>
  <c r="F89" i="42"/>
  <c r="F90" i="42"/>
  <c r="F91" i="42"/>
  <c r="F92" i="42"/>
  <c r="F93" i="42"/>
  <c r="F94" i="42"/>
  <c r="F95" i="42"/>
  <c r="F96" i="42"/>
  <c r="F97" i="42"/>
  <c r="F98" i="42"/>
  <c r="F99" i="42"/>
  <c r="F100" i="42"/>
  <c r="F101" i="42"/>
  <c r="F102" i="42"/>
  <c r="F103" i="42"/>
  <c r="F104" i="42"/>
  <c r="F105" i="42"/>
  <c r="F106" i="42"/>
  <c r="F107" i="42"/>
  <c r="F108" i="42"/>
  <c r="F109" i="42"/>
  <c r="F110" i="42"/>
  <c r="F111" i="42"/>
  <c r="F112" i="42"/>
  <c r="F113" i="42"/>
  <c r="F114" i="42"/>
  <c r="F115" i="42"/>
  <c r="F116" i="42"/>
  <c r="F117" i="42"/>
  <c r="F118" i="42"/>
  <c r="F119" i="42"/>
  <c r="F120" i="42"/>
  <c r="F121" i="42"/>
  <c r="F122" i="42"/>
  <c r="F123" i="42"/>
  <c r="F124" i="42"/>
  <c r="F125" i="42"/>
  <c r="F126" i="42"/>
  <c r="F127" i="42"/>
  <c r="F128" i="42"/>
  <c r="F129" i="42"/>
  <c r="F130" i="42"/>
  <c r="F131" i="42"/>
  <c r="F132" i="42"/>
  <c r="F133" i="42"/>
  <c r="F134" i="42"/>
  <c r="F135" i="42"/>
  <c r="F136" i="42"/>
  <c r="F137" i="42"/>
  <c r="F138" i="42"/>
  <c r="F139" i="42"/>
  <c r="F140" i="42"/>
  <c r="F141" i="42"/>
  <c r="F142" i="42"/>
  <c r="F143" i="42"/>
  <c r="F144" i="42"/>
  <c r="F145" i="42"/>
  <c r="F146" i="42"/>
  <c r="F147" i="42"/>
  <c r="F148" i="42"/>
  <c r="F149" i="42"/>
  <c r="F150" i="42"/>
  <c r="F151" i="42"/>
  <c r="F152" i="42"/>
  <c r="F153" i="42"/>
  <c r="F154" i="42"/>
  <c r="F155" i="42"/>
  <c r="F156" i="42"/>
  <c r="F157" i="42"/>
  <c r="F158" i="42"/>
  <c r="F159" i="42"/>
  <c r="F160" i="42"/>
  <c r="F161" i="42"/>
  <c r="F162" i="42"/>
  <c r="F163" i="42"/>
  <c r="F164" i="42"/>
  <c r="F165" i="42"/>
  <c r="F166" i="42"/>
  <c r="F167" i="42"/>
  <c r="F168" i="42"/>
  <c r="F169" i="42"/>
  <c r="F170" i="42"/>
  <c r="F171" i="42"/>
  <c r="F172" i="42"/>
  <c r="F173" i="42"/>
  <c r="F174" i="42"/>
  <c r="F175" i="42"/>
  <c r="F176" i="42"/>
  <c r="F177" i="42"/>
  <c r="F178" i="42"/>
  <c r="F179" i="42"/>
  <c r="F180" i="42"/>
  <c r="F181" i="42"/>
  <c r="F182" i="42"/>
  <c r="F183" i="42"/>
  <c r="F184" i="42"/>
  <c r="F185" i="42"/>
  <c r="F186" i="42"/>
  <c r="F187" i="42"/>
  <c r="F188" i="42"/>
  <c r="F189" i="42"/>
  <c r="F190" i="42"/>
  <c r="F191" i="42"/>
  <c r="F192" i="42"/>
  <c r="F193" i="42"/>
  <c r="F194" i="42"/>
  <c r="F195" i="42"/>
  <c r="F196" i="42"/>
  <c r="F197" i="42"/>
  <c r="F198" i="42"/>
  <c r="F199" i="42"/>
  <c r="F200" i="42"/>
  <c r="F201" i="42"/>
  <c r="F202" i="42"/>
  <c r="F203" i="42"/>
  <c r="F204" i="42"/>
  <c r="F205" i="42"/>
  <c r="F206" i="42"/>
  <c r="F207" i="42"/>
  <c r="F208" i="42"/>
  <c r="F209" i="42"/>
  <c r="F210" i="42"/>
  <c r="F211" i="42"/>
  <c r="F212" i="42"/>
  <c r="F213" i="42"/>
  <c r="F214" i="42"/>
  <c r="F215" i="42"/>
  <c r="F216" i="42"/>
  <c r="F217" i="42"/>
  <c r="F218" i="42"/>
  <c r="F219" i="42"/>
  <c r="F220" i="42"/>
  <c r="F221" i="42"/>
  <c r="F222" i="42"/>
  <c r="F223" i="42"/>
  <c r="F224" i="42"/>
  <c r="F225" i="42"/>
  <c r="F226" i="42"/>
  <c r="F227" i="42"/>
  <c r="F228" i="42"/>
  <c r="F229" i="42"/>
  <c r="F230" i="42"/>
  <c r="F231" i="42"/>
  <c r="F232" i="42"/>
  <c r="F233" i="42"/>
  <c r="F234" i="42"/>
  <c r="F235" i="42"/>
  <c r="F236" i="42"/>
  <c r="F237" i="42"/>
  <c r="F238" i="42"/>
  <c r="F239" i="42"/>
  <c r="F240" i="42"/>
  <c r="F241" i="42"/>
  <c r="F242" i="42"/>
  <c r="F243" i="42"/>
  <c r="F244" i="42"/>
  <c r="F245" i="42"/>
  <c r="F246" i="42"/>
  <c r="F247" i="42"/>
  <c r="F248" i="42"/>
  <c r="F249" i="42"/>
  <c r="F250" i="42"/>
  <c r="F251" i="42"/>
  <c r="F252" i="42"/>
  <c r="F253" i="42"/>
  <c r="F254" i="42"/>
  <c r="F255" i="42"/>
  <c r="F256" i="42"/>
  <c r="F257" i="42"/>
  <c r="F258" i="42"/>
  <c r="F259" i="42"/>
  <c r="M11" i="52"/>
  <c r="M12" i="52"/>
  <c r="M13" i="52"/>
  <c r="M14" i="52"/>
  <c r="M15" i="52"/>
  <c r="M16" i="52"/>
  <c r="M17" i="52"/>
  <c r="M18" i="52"/>
  <c r="M19" i="52"/>
  <c r="M20" i="52"/>
  <c r="M21" i="52"/>
  <c r="M22" i="52"/>
  <c r="M23" i="52"/>
  <c r="M24" i="52"/>
  <c r="M25" i="52"/>
  <c r="M26" i="52"/>
  <c r="M27" i="52"/>
  <c r="M28" i="52"/>
  <c r="M29" i="52"/>
  <c r="M30" i="52"/>
  <c r="M31" i="52"/>
  <c r="M32" i="52"/>
  <c r="M33" i="52"/>
  <c r="M34" i="52"/>
  <c r="M35" i="52"/>
  <c r="M36" i="52"/>
  <c r="M37" i="52"/>
  <c r="M38" i="52"/>
  <c r="M39" i="52"/>
  <c r="M40" i="52"/>
  <c r="M41" i="52"/>
  <c r="M42" i="52"/>
  <c r="M43" i="52"/>
  <c r="M44" i="52"/>
  <c r="M45" i="52"/>
  <c r="M46" i="52"/>
  <c r="M47" i="52"/>
  <c r="M48" i="52"/>
  <c r="M49" i="52"/>
  <c r="M50" i="52"/>
  <c r="M51" i="52"/>
  <c r="M52" i="52"/>
  <c r="M53" i="52"/>
  <c r="M54" i="52"/>
  <c r="M55" i="52"/>
  <c r="M56" i="52"/>
  <c r="M57" i="52"/>
  <c r="M58" i="52"/>
  <c r="M59" i="52"/>
  <c r="M60" i="52"/>
  <c r="M61" i="52"/>
  <c r="M62" i="52"/>
  <c r="M63" i="52"/>
  <c r="M64" i="52"/>
  <c r="M65" i="52"/>
  <c r="M66" i="52"/>
  <c r="M67" i="52"/>
  <c r="M68" i="52"/>
  <c r="M69" i="52"/>
  <c r="M70" i="52"/>
  <c r="M71" i="52"/>
  <c r="M72" i="52"/>
  <c r="M73" i="52"/>
  <c r="M74" i="52"/>
  <c r="M75" i="52"/>
  <c r="M76" i="52"/>
  <c r="M77" i="52"/>
  <c r="M78" i="52"/>
  <c r="M79" i="52"/>
  <c r="M80" i="52"/>
  <c r="M81" i="52"/>
  <c r="M82" i="52"/>
  <c r="M83" i="52"/>
  <c r="M84" i="52"/>
  <c r="M85" i="52"/>
  <c r="M86" i="52"/>
  <c r="M87" i="52"/>
  <c r="M88" i="52"/>
  <c r="M89" i="52"/>
  <c r="M90" i="52"/>
  <c r="M91" i="52"/>
  <c r="M92" i="52"/>
  <c r="M93" i="52"/>
  <c r="M94" i="52"/>
  <c r="M95" i="52"/>
  <c r="M96" i="52"/>
  <c r="M97" i="52"/>
  <c r="M98" i="52"/>
  <c r="M99" i="52"/>
  <c r="M100" i="52"/>
  <c r="M101" i="52"/>
  <c r="M102" i="52"/>
  <c r="M103" i="52"/>
  <c r="M104" i="52"/>
  <c r="M105" i="52"/>
  <c r="M106" i="52"/>
  <c r="M107" i="52"/>
  <c r="M108" i="52"/>
  <c r="M109" i="52"/>
  <c r="M110" i="52"/>
  <c r="M111" i="52"/>
  <c r="M112" i="52"/>
  <c r="M113" i="52"/>
  <c r="M114" i="52"/>
  <c r="M115" i="52"/>
  <c r="M116" i="52"/>
  <c r="M117" i="52"/>
  <c r="M118" i="52"/>
  <c r="M119" i="52"/>
  <c r="M120" i="52"/>
  <c r="M121" i="52"/>
  <c r="M122" i="52"/>
  <c r="M123" i="52"/>
  <c r="M124" i="52"/>
  <c r="M125" i="52"/>
  <c r="M126" i="52"/>
  <c r="M127" i="52"/>
  <c r="M128" i="52"/>
  <c r="M129" i="52"/>
  <c r="M130" i="52"/>
  <c r="M131" i="52"/>
  <c r="M132" i="52"/>
  <c r="M133" i="52"/>
  <c r="M134" i="52"/>
  <c r="M135" i="52"/>
  <c r="M136" i="52"/>
  <c r="M137" i="52"/>
  <c r="M138" i="52"/>
  <c r="M139" i="52"/>
  <c r="M140" i="52"/>
  <c r="M141" i="52"/>
  <c r="M142" i="52"/>
  <c r="M143" i="52"/>
  <c r="M144" i="52"/>
  <c r="M145" i="52"/>
  <c r="M146" i="52"/>
  <c r="M147" i="52"/>
  <c r="M148" i="52"/>
  <c r="M149" i="52"/>
  <c r="M150" i="52"/>
  <c r="M151" i="52"/>
  <c r="M152" i="52"/>
  <c r="M153" i="52"/>
  <c r="M154" i="52"/>
  <c r="M155" i="52"/>
  <c r="M156" i="52"/>
  <c r="M157" i="52"/>
  <c r="M158" i="52"/>
  <c r="M159" i="52"/>
  <c r="M160" i="52"/>
  <c r="M161" i="52"/>
  <c r="M162" i="52"/>
  <c r="M163" i="52"/>
  <c r="M164" i="52"/>
  <c r="M165" i="52"/>
  <c r="M166" i="52"/>
  <c r="M167" i="52"/>
  <c r="M168" i="52"/>
  <c r="M169" i="52"/>
  <c r="M170" i="52"/>
  <c r="M171" i="52"/>
  <c r="M172" i="52"/>
  <c r="M173" i="52"/>
  <c r="M174" i="52"/>
  <c r="M175" i="52"/>
  <c r="M176" i="52"/>
  <c r="M177" i="52"/>
  <c r="M178" i="52"/>
  <c r="M179" i="52"/>
  <c r="M180" i="52"/>
  <c r="M181" i="52"/>
  <c r="M182" i="52"/>
  <c r="M183" i="52"/>
  <c r="M184" i="52"/>
  <c r="M185" i="52"/>
  <c r="M186" i="52"/>
  <c r="M187" i="52"/>
  <c r="M188" i="52"/>
  <c r="M189" i="52"/>
  <c r="M190" i="52"/>
  <c r="M191" i="52"/>
  <c r="M192" i="52"/>
  <c r="M193" i="52"/>
  <c r="M194" i="52"/>
  <c r="M195" i="52"/>
  <c r="M196" i="52"/>
  <c r="M197" i="52"/>
  <c r="M198" i="52"/>
  <c r="M199" i="52"/>
  <c r="M200" i="52"/>
  <c r="M201" i="52"/>
  <c r="M202" i="52"/>
  <c r="M203" i="52"/>
  <c r="M204" i="52"/>
  <c r="M205" i="52"/>
  <c r="M206" i="52"/>
  <c r="M207" i="52"/>
  <c r="M208" i="52"/>
  <c r="M209" i="52"/>
  <c r="M210" i="52"/>
  <c r="M211" i="52"/>
  <c r="M212" i="52"/>
  <c r="M213" i="52"/>
  <c r="M214" i="52"/>
  <c r="M215" i="52"/>
  <c r="M216" i="52"/>
  <c r="M217" i="52"/>
  <c r="M218" i="52"/>
  <c r="M219" i="52"/>
  <c r="M220" i="52"/>
  <c r="M221" i="52"/>
  <c r="M222" i="52"/>
  <c r="M223" i="52"/>
  <c r="M224" i="52"/>
  <c r="M225" i="52"/>
  <c r="M226" i="52"/>
  <c r="M227" i="52"/>
  <c r="M228" i="52"/>
  <c r="M229" i="52"/>
  <c r="M230" i="52"/>
  <c r="M231" i="52"/>
  <c r="M232" i="52"/>
  <c r="M233" i="52"/>
  <c r="M234" i="52"/>
  <c r="M235" i="52"/>
  <c r="M236" i="52"/>
  <c r="M237" i="52"/>
  <c r="M238" i="52"/>
  <c r="M239" i="52"/>
  <c r="M240" i="52"/>
  <c r="M241" i="52"/>
  <c r="M242" i="52"/>
  <c r="M243" i="52"/>
  <c r="M244" i="52"/>
  <c r="M245" i="52"/>
  <c r="M246" i="52"/>
  <c r="M247" i="52"/>
  <c r="M248" i="52"/>
  <c r="M249" i="52"/>
  <c r="M250" i="52"/>
  <c r="M251" i="52"/>
  <c r="M252" i="52"/>
  <c r="M253" i="52"/>
  <c r="M254" i="52"/>
  <c r="M255" i="52"/>
  <c r="M256" i="52"/>
  <c r="M257" i="52"/>
  <c r="M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F47" i="52"/>
  <c r="F48" i="52"/>
  <c r="F49" i="52"/>
  <c r="F50" i="52"/>
  <c r="F51" i="52"/>
  <c r="F52" i="52"/>
  <c r="F53" i="52"/>
  <c r="F54" i="52"/>
  <c r="F55" i="52"/>
  <c r="F56" i="52"/>
  <c r="F57" i="52"/>
  <c r="F58" i="52"/>
  <c r="F59" i="52"/>
  <c r="F60" i="52"/>
  <c r="F61" i="52"/>
  <c r="F62" i="52"/>
  <c r="F63" i="52"/>
  <c r="F64" i="52"/>
  <c r="F65" i="52"/>
  <c r="F66" i="52"/>
  <c r="F67" i="52"/>
  <c r="F68" i="52"/>
  <c r="F69" i="52"/>
  <c r="F70" i="52"/>
  <c r="F71" i="52"/>
  <c r="F72" i="52"/>
  <c r="F73" i="52"/>
  <c r="F74" i="52"/>
  <c r="F75" i="52"/>
  <c r="F76" i="52"/>
  <c r="F77" i="52"/>
  <c r="F78" i="52"/>
  <c r="F79" i="52"/>
  <c r="F80" i="52"/>
  <c r="F81" i="52"/>
  <c r="F82" i="52"/>
  <c r="F83" i="52"/>
  <c r="F84" i="52"/>
  <c r="F85" i="52"/>
  <c r="F86" i="52"/>
  <c r="F87" i="52"/>
  <c r="F88" i="52"/>
  <c r="F89" i="52"/>
  <c r="F90" i="52"/>
  <c r="F91" i="52"/>
  <c r="F92" i="52"/>
  <c r="F93" i="52"/>
  <c r="F94" i="52"/>
  <c r="F95" i="52"/>
  <c r="F96" i="52"/>
  <c r="F97" i="52"/>
  <c r="F98" i="52"/>
  <c r="F99" i="52"/>
  <c r="F100" i="52"/>
  <c r="F101" i="52"/>
  <c r="F102" i="52"/>
  <c r="F103" i="52"/>
  <c r="F104" i="52"/>
  <c r="F105" i="52"/>
  <c r="F106" i="52"/>
  <c r="F107" i="52"/>
  <c r="F108" i="52"/>
  <c r="F109" i="52"/>
  <c r="F110" i="52"/>
  <c r="F111" i="52"/>
  <c r="F112" i="52"/>
  <c r="F113" i="52"/>
  <c r="F114" i="52"/>
  <c r="F115" i="52"/>
  <c r="F116" i="52"/>
  <c r="F117" i="52"/>
  <c r="F118" i="52"/>
  <c r="F119" i="52"/>
  <c r="F120" i="52"/>
  <c r="F121" i="52"/>
  <c r="F122" i="52"/>
  <c r="F123" i="52"/>
  <c r="F124" i="52"/>
  <c r="F125" i="52"/>
  <c r="F126" i="52"/>
  <c r="F127" i="52"/>
  <c r="F128" i="52"/>
  <c r="F129" i="52"/>
  <c r="F130" i="52"/>
  <c r="F131" i="52"/>
  <c r="F132" i="52"/>
  <c r="F133" i="52"/>
  <c r="F134" i="52"/>
  <c r="F135" i="52"/>
  <c r="F136" i="52"/>
  <c r="F137" i="52"/>
  <c r="F138" i="52"/>
  <c r="F139" i="52"/>
  <c r="F140" i="52"/>
  <c r="F141" i="52"/>
  <c r="F142" i="52"/>
  <c r="F143" i="52"/>
  <c r="F144" i="52"/>
  <c r="F145" i="52"/>
  <c r="F146" i="52"/>
  <c r="F147" i="52"/>
  <c r="F148" i="52"/>
  <c r="F149" i="52"/>
  <c r="F150" i="52"/>
  <c r="F151" i="52"/>
  <c r="F152" i="52"/>
  <c r="F153" i="52"/>
  <c r="F154" i="52"/>
  <c r="F155" i="52"/>
  <c r="F156" i="52"/>
  <c r="F157" i="52"/>
  <c r="F158" i="52"/>
  <c r="F159" i="52"/>
  <c r="F160" i="52"/>
  <c r="F161" i="52"/>
  <c r="F162" i="52"/>
  <c r="F163" i="52"/>
  <c r="F164" i="52"/>
  <c r="F165" i="52"/>
  <c r="F166" i="52"/>
  <c r="F167" i="52"/>
  <c r="F168" i="52"/>
  <c r="F169" i="52"/>
  <c r="F170" i="52"/>
  <c r="F171" i="52"/>
  <c r="F172" i="52"/>
  <c r="F173" i="52"/>
  <c r="F174" i="52"/>
  <c r="F175" i="52"/>
  <c r="F176" i="52"/>
  <c r="F177" i="52"/>
  <c r="F178" i="52"/>
  <c r="F179" i="52"/>
  <c r="F180" i="52"/>
  <c r="F181" i="52"/>
  <c r="F182" i="52"/>
  <c r="F183" i="52"/>
  <c r="F184" i="52"/>
  <c r="F185" i="52"/>
  <c r="F186" i="52"/>
  <c r="F187" i="52"/>
  <c r="F188" i="52"/>
  <c r="F189" i="52"/>
  <c r="F190" i="52"/>
  <c r="F191" i="52"/>
  <c r="F192" i="52"/>
  <c r="F193" i="52"/>
  <c r="F194" i="52"/>
  <c r="F195" i="52"/>
  <c r="F196" i="52"/>
  <c r="F197" i="52"/>
  <c r="F198" i="52"/>
  <c r="F199" i="52"/>
  <c r="F200" i="52"/>
  <c r="F201" i="52"/>
  <c r="F202" i="52"/>
  <c r="F203" i="52"/>
  <c r="F204" i="52"/>
  <c r="F205" i="52"/>
  <c r="F206" i="52"/>
  <c r="F207" i="52"/>
  <c r="F208" i="52"/>
  <c r="F209" i="52"/>
  <c r="F210" i="52"/>
  <c r="F211" i="52"/>
  <c r="F212" i="52"/>
  <c r="F213" i="52"/>
  <c r="F214" i="52"/>
  <c r="F215" i="52"/>
  <c r="F216" i="52"/>
  <c r="F217" i="52"/>
  <c r="F218" i="52"/>
  <c r="F219" i="52"/>
  <c r="F220" i="52"/>
  <c r="F221" i="52"/>
  <c r="F222" i="52"/>
  <c r="F223" i="52"/>
  <c r="F224" i="52"/>
  <c r="F225" i="52"/>
  <c r="F226" i="52"/>
  <c r="F227" i="52"/>
  <c r="F228" i="52"/>
  <c r="F229" i="52"/>
  <c r="F230" i="52"/>
  <c r="F231" i="52"/>
  <c r="F232" i="52"/>
  <c r="F233" i="52"/>
  <c r="F234" i="52"/>
  <c r="F235" i="52"/>
  <c r="F236" i="52"/>
  <c r="F237" i="52"/>
  <c r="F238" i="52"/>
  <c r="F239" i="52"/>
  <c r="F240" i="52"/>
  <c r="F241" i="52"/>
  <c r="F242" i="52"/>
  <c r="F243" i="52"/>
  <c r="F244" i="52"/>
  <c r="F245" i="52"/>
  <c r="F246" i="52"/>
  <c r="F247" i="52"/>
  <c r="F248" i="52"/>
  <c r="F249" i="52"/>
  <c r="F250" i="52"/>
  <c r="F251" i="52"/>
  <c r="F252" i="52"/>
  <c r="F253" i="52"/>
  <c r="F254" i="52"/>
  <c r="F255" i="52"/>
  <c r="F256" i="52"/>
  <c r="F257" i="52"/>
  <c r="AI12" i="57"/>
  <c r="W12" i="57"/>
  <c r="V12" i="57"/>
  <c r="B3" i="57"/>
  <c r="O12" i="58"/>
  <c r="N12" i="58"/>
  <c r="L12" i="58"/>
  <c r="K12" i="58"/>
  <c r="B2" i="58"/>
  <c r="E260" i="58"/>
  <c r="B3" i="58"/>
  <c r="F11" i="55"/>
  <c r="K11" i="55"/>
  <c r="L11" i="55"/>
  <c r="F12" i="55"/>
  <c r="K12" i="55"/>
  <c r="L12" i="55"/>
  <c r="F13" i="55"/>
  <c r="K13" i="55"/>
  <c r="L13" i="55"/>
  <c r="F14" i="55"/>
  <c r="K14" i="55"/>
  <c r="L14" i="55"/>
  <c r="F15" i="55"/>
  <c r="K15" i="55"/>
  <c r="L15" i="55"/>
  <c r="F16" i="55"/>
  <c r="K16" i="55"/>
  <c r="L16" i="55"/>
  <c r="F17" i="55"/>
  <c r="K17" i="55"/>
  <c r="L17" i="55"/>
  <c r="F18" i="55"/>
  <c r="K18" i="55"/>
  <c r="L18" i="55"/>
  <c r="F19" i="55"/>
  <c r="K19" i="55"/>
  <c r="L19" i="55"/>
  <c r="F20" i="55"/>
  <c r="K20" i="55"/>
  <c r="L20" i="55"/>
  <c r="F21" i="55"/>
  <c r="K21" i="55"/>
  <c r="L21" i="55"/>
  <c r="F22" i="55"/>
  <c r="K22" i="55"/>
  <c r="L22" i="55"/>
  <c r="F23" i="55"/>
  <c r="K23" i="55"/>
  <c r="L23" i="55"/>
  <c r="F24" i="55"/>
  <c r="K24" i="55"/>
  <c r="L24" i="55"/>
  <c r="F25" i="55"/>
  <c r="K25" i="55"/>
  <c r="L25" i="55"/>
  <c r="F26" i="55"/>
  <c r="K26" i="55"/>
  <c r="L26" i="55"/>
  <c r="F27" i="55"/>
  <c r="K27" i="55"/>
  <c r="L27" i="55"/>
  <c r="F28" i="55"/>
  <c r="K28" i="55"/>
  <c r="L28" i="55"/>
  <c r="F29" i="55"/>
  <c r="K29" i="55"/>
  <c r="L29" i="55"/>
  <c r="F30" i="55"/>
  <c r="K30" i="55"/>
  <c r="L30" i="55"/>
  <c r="F31" i="55"/>
  <c r="K31" i="55"/>
  <c r="L31" i="55"/>
  <c r="F32" i="55"/>
  <c r="K32" i="55"/>
  <c r="L32" i="55"/>
  <c r="F33" i="55"/>
  <c r="K33" i="55"/>
  <c r="L33" i="55"/>
  <c r="F34" i="55"/>
  <c r="K34" i="55"/>
  <c r="L34" i="55"/>
  <c r="F35" i="55"/>
  <c r="K35" i="55"/>
  <c r="L35" i="55"/>
  <c r="F36" i="55"/>
  <c r="K36" i="55"/>
  <c r="L36" i="55"/>
  <c r="F37" i="55"/>
  <c r="K37" i="55"/>
  <c r="L37" i="55"/>
  <c r="F38" i="55"/>
  <c r="K38" i="55"/>
  <c r="L38" i="55"/>
  <c r="F39" i="55"/>
  <c r="K39" i="55"/>
  <c r="L39" i="55"/>
  <c r="F40" i="55"/>
  <c r="K40" i="55"/>
  <c r="L40" i="55"/>
  <c r="F41" i="55"/>
  <c r="K41" i="55"/>
  <c r="L41" i="55"/>
  <c r="F42" i="55"/>
  <c r="K42" i="55"/>
  <c r="L42" i="55"/>
  <c r="F43" i="55"/>
  <c r="K43" i="55"/>
  <c r="L43" i="55"/>
  <c r="F44" i="55"/>
  <c r="K44" i="55"/>
  <c r="L44" i="55"/>
  <c r="F45" i="55"/>
  <c r="K45" i="55"/>
  <c r="L45" i="55"/>
  <c r="F46" i="55"/>
  <c r="K46" i="55"/>
  <c r="L46" i="55"/>
  <c r="F47" i="55"/>
  <c r="K47" i="55"/>
  <c r="L47" i="55"/>
  <c r="F48" i="55"/>
  <c r="K48" i="55"/>
  <c r="L48" i="55"/>
  <c r="F49" i="55"/>
  <c r="K49" i="55"/>
  <c r="L49" i="55"/>
  <c r="F50" i="55"/>
  <c r="K50" i="55"/>
  <c r="L50" i="55"/>
  <c r="F51" i="55"/>
  <c r="K51" i="55"/>
  <c r="L51" i="55"/>
  <c r="F52" i="55"/>
  <c r="K52" i="55"/>
  <c r="L52" i="55"/>
  <c r="F53" i="55"/>
  <c r="K53" i="55"/>
  <c r="L53" i="55"/>
  <c r="F54" i="55"/>
  <c r="K54" i="55"/>
  <c r="L54" i="55"/>
  <c r="F55" i="55"/>
  <c r="K55" i="55"/>
  <c r="L55" i="55"/>
  <c r="F56" i="55"/>
  <c r="K56" i="55"/>
  <c r="L56" i="55"/>
  <c r="F57" i="55"/>
  <c r="K57" i="55"/>
  <c r="L57" i="55"/>
  <c r="F58" i="55"/>
  <c r="K58" i="55"/>
  <c r="L58" i="55"/>
  <c r="F59" i="55"/>
  <c r="K59" i="55"/>
  <c r="L59" i="55"/>
  <c r="F60" i="55"/>
  <c r="K60" i="55"/>
  <c r="L60" i="55"/>
  <c r="F61" i="55"/>
  <c r="K61" i="55"/>
  <c r="L61" i="55"/>
  <c r="F62" i="55"/>
  <c r="K62" i="55"/>
  <c r="L62" i="55"/>
  <c r="F63" i="55"/>
  <c r="K63" i="55"/>
  <c r="L63" i="55"/>
  <c r="F64" i="55"/>
  <c r="K64" i="55"/>
  <c r="L64" i="55"/>
  <c r="F65" i="55"/>
  <c r="K65" i="55"/>
  <c r="L65" i="55"/>
  <c r="F66" i="55"/>
  <c r="K66" i="55"/>
  <c r="L66" i="55"/>
  <c r="F67" i="55"/>
  <c r="K67" i="55"/>
  <c r="L67" i="55"/>
  <c r="F68" i="55"/>
  <c r="K68" i="55"/>
  <c r="L68" i="55"/>
  <c r="F69" i="55"/>
  <c r="K69" i="55"/>
  <c r="L69" i="55"/>
  <c r="F70" i="55"/>
  <c r="K70" i="55"/>
  <c r="L70" i="55"/>
  <c r="F71" i="55"/>
  <c r="K71" i="55"/>
  <c r="L71" i="55"/>
  <c r="F72" i="55"/>
  <c r="K72" i="55"/>
  <c r="L72" i="55"/>
  <c r="F73" i="55"/>
  <c r="K73" i="55"/>
  <c r="L73" i="55"/>
  <c r="F74" i="55"/>
  <c r="K74" i="55"/>
  <c r="L74" i="55"/>
  <c r="F75" i="55"/>
  <c r="K75" i="55"/>
  <c r="L75" i="55"/>
  <c r="F76" i="55"/>
  <c r="K76" i="55"/>
  <c r="L76" i="55"/>
  <c r="F77" i="55"/>
  <c r="K77" i="55"/>
  <c r="L77" i="55"/>
  <c r="F78" i="55"/>
  <c r="K78" i="55"/>
  <c r="L78" i="55"/>
  <c r="F79" i="55"/>
  <c r="K79" i="55"/>
  <c r="L79" i="55"/>
  <c r="F80" i="55"/>
  <c r="K80" i="55"/>
  <c r="L80" i="55"/>
  <c r="F81" i="55"/>
  <c r="K81" i="55"/>
  <c r="L81" i="55"/>
  <c r="F82" i="55"/>
  <c r="K82" i="55"/>
  <c r="L82" i="55"/>
  <c r="F83" i="55"/>
  <c r="K83" i="55"/>
  <c r="L83" i="55"/>
  <c r="F84" i="55"/>
  <c r="K84" i="55"/>
  <c r="L84" i="55"/>
  <c r="F85" i="55"/>
  <c r="K85" i="55"/>
  <c r="L85" i="55"/>
  <c r="F86" i="55"/>
  <c r="K86" i="55"/>
  <c r="L86" i="55"/>
  <c r="F87" i="55"/>
  <c r="K87" i="55"/>
  <c r="L87" i="55"/>
  <c r="F88" i="55"/>
  <c r="K88" i="55"/>
  <c r="L88" i="55"/>
  <c r="F89" i="55"/>
  <c r="K89" i="55"/>
  <c r="L89" i="55"/>
  <c r="F90" i="55"/>
  <c r="K90" i="55"/>
  <c r="L90" i="55"/>
  <c r="F91" i="55"/>
  <c r="K91" i="55"/>
  <c r="L91" i="55"/>
  <c r="F92" i="55"/>
  <c r="K92" i="55"/>
  <c r="L92" i="55"/>
  <c r="F93" i="55"/>
  <c r="K93" i="55"/>
  <c r="L93" i="55"/>
  <c r="F94" i="55"/>
  <c r="K94" i="55"/>
  <c r="L94" i="55"/>
  <c r="F95" i="55"/>
  <c r="K95" i="55"/>
  <c r="L95" i="55"/>
  <c r="F96" i="55"/>
  <c r="K96" i="55"/>
  <c r="L96" i="55"/>
  <c r="F97" i="55"/>
  <c r="K97" i="55"/>
  <c r="L97" i="55"/>
  <c r="F98" i="55"/>
  <c r="K98" i="55"/>
  <c r="L98" i="55"/>
  <c r="F99" i="55"/>
  <c r="K99" i="55"/>
  <c r="L99" i="55"/>
  <c r="F100" i="55"/>
  <c r="K100" i="55"/>
  <c r="L100" i="55"/>
  <c r="F101" i="55"/>
  <c r="K101" i="55"/>
  <c r="L101" i="55"/>
  <c r="F102" i="55"/>
  <c r="K102" i="55"/>
  <c r="L102" i="55"/>
  <c r="F103" i="55"/>
  <c r="K103" i="55"/>
  <c r="L103" i="55"/>
  <c r="F104" i="55"/>
  <c r="K104" i="55"/>
  <c r="L104" i="55"/>
  <c r="F105" i="55"/>
  <c r="K105" i="55"/>
  <c r="L105" i="55"/>
  <c r="F106" i="55"/>
  <c r="K106" i="55"/>
  <c r="L106" i="55"/>
  <c r="F107" i="55"/>
  <c r="K107" i="55"/>
  <c r="L107" i="55"/>
  <c r="F108" i="55"/>
  <c r="K108" i="55"/>
  <c r="L108" i="55"/>
  <c r="F109" i="55"/>
  <c r="K109" i="55"/>
  <c r="L109" i="55"/>
  <c r="F110" i="55"/>
  <c r="K110" i="55"/>
  <c r="L110" i="55"/>
  <c r="F111" i="55"/>
  <c r="K111" i="55"/>
  <c r="L111" i="55"/>
  <c r="F112" i="55"/>
  <c r="K112" i="55"/>
  <c r="L112" i="55"/>
  <c r="F113" i="55"/>
  <c r="K113" i="55"/>
  <c r="L113" i="55"/>
  <c r="F114" i="55"/>
  <c r="K114" i="55"/>
  <c r="L114" i="55"/>
  <c r="F115" i="55"/>
  <c r="K115" i="55"/>
  <c r="L115" i="55"/>
  <c r="F116" i="55"/>
  <c r="K116" i="55"/>
  <c r="L116" i="55"/>
  <c r="F117" i="55"/>
  <c r="K117" i="55"/>
  <c r="L117" i="55"/>
  <c r="F118" i="55"/>
  <c r="K118" i="55"/>
  <c r="L118" i="55"/>
  <c r="F119" i="55"/>
  <c r="K119" i="55"/>
  <c r="L119" i="55"/>
  <c r="F120" i="55"/>
  <c r="K120" i="55"/>
  <c r="L120" i="55"/>
  <c r="F121" i="55"/>
  <c r="K121" i="55"/>
  <c r="L121" i="55"/>
  <c r="F122" i="55"/>
  <c r="K122" i="55"/>
  <c r="L122" i="55"/>
  <c r="F123" i="55"/>
  <c r="K123" i="55"/>
  <c r="L123" i="55"/>
  <c r="F124" i="55"/>
  <c r="K124" i="55"/>
  <c r="L124" i="55"/>
  <c r="F125" i="55"/>
  <c r="K125" i="55"/>
  <c r="L125" i="55"/>
  <c r="F126" i="55"/>
  <c r="K126" i="55"/>
  <c r="L126" i="55"/>
  <c r="F127" i="55"/>
  <c r="K127" i="55"/>
  <c r="L127" i="55"/>
  <c r="F128" i="55"/>
  <c r="K128" i="55"/>
  <c r="L128" i="55"/>
  <c r="F129" i="55"/>
  <c r="K129" i="55"/>
  <c r="L129" i="55"/>
  <c r="F130" i="55"/>
  <c r="K130" i="55"/>
  <c r="L130" i="55"/>
  <c r="F131" i="55"/>
  <c r="K131" i="55"/>
  <c r="L131" i="55"/>
  <c r="F132" i="55"/>
  <c r="K132" i="55"/>
  <c r="L132" i="55"/>
  <c r="F133" i="55"/>
  <c r="K133" i="55"/>
  <c r="L133" i="55"/>
  <c r="F134" i="55"/>
  <c r="K134" i="55"/>
  <c r="L134" i="55"/>
  <c r="F135" i="55"/>
  <c r="K135" i="55"/>
  <c r="L135" i="55"/>
  <c r="F136" i="55"/>
  <c r="K136" i="55"/>
  <c r="L136" i="55"/>
  <c r="F137" i="55"/>
  <c r="K137" i="55"/>
  <c r="L137" i="55"/>
  <c r="F138" i="55"/>
  <c r="K138" i="55"/>
  <c r="L138" i="55"/>
  <c r="F139" i="55"/>
  <c r="K139" i="55"/>
  <c r="L139" i="55"/>
  <c r="F140" i="55"/>
  <c r="K140" i="55"/>
  <c r="L140" i="55"/>
  <c r="F141" i="55"/>
  <c r="K141" i="55"/>
  <c r="L141" i="55"/>
  <c r="F142" i="55"/>
  <c r="K142" i="55"/>
  <c r="L142" i="55"/>
  <c r="F143" i="55"/>
  <c r="K143" i="55"/>
  <c r="L143" i="55"/>
  <c r="F144" i="55"/>
  <c r="K144" i="55"/>
  <c r="L144" i="55"/>
  <c r="F145" i="55"/>
  <c r="K145" i="55"/>
  <c r="L145" i="55"/>
  <c r="F146" i="55"/>
  <c r="K146" i="55"/>
  <c r="L146" i="55"/>
  <c r="F147" i="55"/>
  <c r="K147" i="55"/>
  <c r="L147" i="55"/>
  <c r="F148" i="55"/>
  <c r="K148" i="55"/>
  <c r="L148" i="55"/>
  <c r="F149" i="55"/>
  <c r="K149" i="55"/>
  <c r="L149" i="55"/>
  <c r="F150" i="55"/>
  <c r="K150" i="55"/>
  <c r="L150" i="55"/>
  <c r="F151" i="55"/>
  <c r="K151" i="55"/>
  <c r="L151" i="55"/>
  <c r="F152" i="55"/>
  <c r="K152" i="55"/>
  <c r="L152" i="55"/>
  <c r="F153" i="55"/>
  <c r="K153" i="55"/>
  <c r="L153" i="55"/>
  <c r="F154" i="55"/>
  <c r="K154" i="55"/>
  <c r="L154" i="55"/>
  <c r="F155" i="55"/>
  <c r="K155" i="55"/>
  <c r="L155" i="55"/>
  <c r="F156" i="55"/>
  <c r="K156" i="55"/>
  <c r="L156" i="55"/>
  <c r="F157" i="55"/>
  <c r="K157" i="55"/>
  <c r="L157" i="55"/>
  <c r="F158" i="55"/>
  <c r="K158" i="55"/>
  <c r="L158" i="55"/>
  <c r="F159" i="55"/>
  <c r="K159" i="55"/>
  <c r="L159" i="55"/>
  <c r="F160" i="55"/>
  <c r="K160" i="55"/>
  <c r="L160" i="55"/>
  <c r="F161" i="55"/>
  <c r="K161" i="55"/>
  <c r="L161" i="55"/>
  <c r="F162" i="55"/>
  <c r="K162" i="55"/>
  <c r="L162" i="55"/>
  <c r="F163" i="55"/>
  <c r="K163" i="55"/>
  <c r="L163" i="55"/>
  <c r="F164" i="55"/>
  <c r="K164" i="55"/>
  <c r="L164" i="55"/>
  <c r="F165" i="55"/>
  <c r="K165" i="55"/>
  <c r="L165" i="55"/>
  <c r="F166" i="55"/>
  <c r="K166" i="55"/>
  <c r="L166" i="55"/>
  <c r="F167" i="55"/>
  <c r="K167" i="55"/>
  <c r="L167" i="55"/>
  <c r="F168" i="55"/>
  <c r="K168" i="55"/>
  <c r="L168" i="55"/>
  <c r="F169" i="55"/>
  <c r="K169" i="55"/>
  <c r="L169" i="55"/>
  <c r="F170" i="55"/>
  <c r="K170" i="55"/>
  <c r="L170" i="55"/>
  <c r="F171" i="55"/>
  <c r="K171" i="55"/>
  <c r="L171" i="55"/>
  <c r="F172" i="55"/>
  <c r="K172" i="55"/>
  <c r="L172" i="55"/>
  <c r="F173" i="55"/>
  <c r="K173" i="55"/>
  <c r="L173" i="55"/>
  <c r="F174" i="55"/>
  <c r="K174" i="55"/>
  <c r="L174" i="55"/>
  <c r="F175" i="55"/>
  <c r="K175" i="55"/>
  <c r="L175" i="55"/>
  <c r="F176" i="55"/>
  <c r="K176" i="55"/>
  <c r="L176" i="55"/>
  <c r="F177" i="55"/>
  <c r="K177" i="55"/>
  <c r="L177" i="55"/>
  <c r="F178" i="55"/>
  <c r="K178" i="55"/>
  <c r="L178" i="55"/>
  <c r="F179" i="55"/>
  <c r="K179" i="55"/>
  <c r="L179" i="55"/>
  <c r="F180" i="55"/>
  <c r="K180" i="55"/>
  <c r="L180" i="55"/>
  <c r="F181" i="55"/>
  <c r="K181" i="55"/>
  <c r="L181" i="55"/>
  <c r="F182" i="55"/>
  <c r="K182" i="55"/>
  <c r="L182" i="55"/>
  <c r="F183" i="55"/>
  <c r="K183" i="55"/>
  <c r="L183" i="55"/>
  <c r="F184" i="55"/>
  <c r="K184" i="55"/>
  <c r="L184" i="55"/>
  <c r="F185" i="55"/>
  <c r="K185" i="55"/>
  <c r="L185" i="55"/>
  <c r="F186" i="55"/>
  <c r="K186" i="55"/>
  <c r="L186" i="55"/>
  <c r="F187" i="55"/>
  <c r="K187" i="55"/>
  <c r="L187" i="55"/>
  <c r="F188" i="55"/>
  <c r="K188" i="55"/>
  <c r="L188" i="55"/>
  <c r="F189" i="55"/>
  <c r="K189" i="55"/>
  <c r="L189" i="55"/>
  <c r="F190" i="55"/>
  <c r="K190" i="55"/>
  <c r="L190" i="55"/>
  <c r="F191" i="55"/>
  <c r="K191" i="55"/>
  <c r="L191" i="55"/>
  <c r="F192" i="55"/>
  <c r="K192" i="55"/>
  <c r="L192" i="55"/>
  <c r="F193" i="55"/>
  <c r="K193" i="55"/>
  <c r="L193" i="55"/>
  <c r="F194" i="55"/>
  <c r="K194" i="55"/>
  <c r="L194" i="55"/>
  <c r="F195" i="55"/>
  <c r="K195" i="55"/>
  <c r="L195" i="55"/>
  <c r="F196" i="55"/>
  <c r="K196" i="55"/>
  <c r="L196" i="55"/>
  <c r="F197" i="55"/>
  <c r="K197" i="55"/>
  <c r="L197" i="55"/>
  <c r="F198" i="55"/>
  <c r="K198" i="55"/>
  <c r="L198" i="55"/>
  <c r="F199" i="55"/>
  <c r="K199" i="55"/>
  <c r="L199" i="55"/>
  <c r="F200" i="55"/>
  <c r="K200" i="55"/>
  <c r="L200" i="55"/>
  <c r="F201" i="55"/>
  <c r="K201" i="55"/>
  <c r="L201" i="55"/>
  <c r="F202" i="55"/>
  <c r="K202" i="55"/>
  <c r="L202" i="55"/>
  <c r="F203" i="55"/>
  <c r="K203" i="55"/>
  <c r="L203" i="55"/>
  <c r="F204" i="55"/>
  <c r="K204" i="55"/>
  <c r="L204" i="55"/>
  <c r="F205" i="55"/>
  <c r="K205" i="55"/>
  <c r="L205" i="55"/>
  <c r="F206" i="55"/>
  <c r="K206" i="55"/>
  <c r="L206" i="55"/>
  <c r="F207" i="55"/>
  <c r="K207" i="55"/>
  <c r="L207" i="55"/>
  <c r="F208" i="55"/>
  <c r="K208" i="55"/>
  <c r="L208" i="55"/>
  <c r="F209" i="55"/>
  <c r="K209" i="55"/>
  <c r="L209" i="55"/>
  <c r="F210" i="55"/>
  <c r="K210" i="55"/>
  <c r="L210" i="55"/>
  <c r="F211" i="55"/>
  <c r="K211" i="55"/>
  <c r="L211" i="55"/>
  <c r="F212" i="55"/>
  <c r="K212" i="55"/>
  <c r="L212" i="55"/>
  <c r="F213" i="55"/>
  <c r="K213" i="55"/>
  <c r="L213" i="55"/>
  <c r="F214" i="55"/>
  <c r="K214" i="55"/>
  <c r="L214" i="55"/>
  <c r="F215" i="55"/>
  <c r="K215" i="55"/>
  <c r="L215" i="55"/>
  <c r="F216" i="55"/>
  <c r="K216" i="55"/>
  <c r="L216" i="55"/>
  <c r="F217" i="55"/>
  <c r="K217" i="55"/>
  <c r="L217" i="55"/>
  <c r="F218" i="55"/>
  <c r="K218" i="55"/>
  <c r="L218" i="55"/>
  <c r="F219" i="55"/>
  <c r="K219" i="55"/>
  <c r="L219" i="55"/>
  <c r="F220" i="55"/>
  <c r="K220" i="55"/>
  <c r="L220" i="55"/>
  <c r="F221" i="55"/>
  <c r="K221" i="55"/>
  <c r="L221" i="55"/>
  <c r="F222" i="55"/>
  <c r="K222" i="55"/>
  <c r="L222" i="55"/>
  <c r="F223" i="55"/>
  <c r="K223" i="55"/>
  <c r="L223" i="55"/>
  <c r="F224" i="55"/>
  <c r="K224" i="55"/>
  <c r="L224" i="55"/>
  <c r="F225" i="55"/>
  <c r="I225" i="55" s="1"/>
  <c r="K225" i="55"/>
  <c r="L225" i="55"/>
  <c r="F226" i="55"/>
  <c r="K226" i="55"/>
  <c r="L226" i="55"/>
  <c r="F227" i="55"/>
  <c r="I227" i="55" s="1"/>
  <c r="K227" i="55"/>
  <c r="L227" i="55"/>
  <c r="F228" i="55"/>
  <c r="K228" i="55"/>
  <c r="L228" i="55"/>
  <c r="F229" i="55"/>
  <c r="K229" i="55"/>
  <c r="L229" i="55"/>
  <c r="F230" i="55"/>
  <c r="K230" i="55"/>
  <c r="L230" i="55"/>
  <c r="F231" i="55"/>
  <c r="I231" i="55" s="1"/>
  <c r="K231" i="55"/>
  <c r="L231" i="55"/>
  <c r="F232" i="55"/>
  <c r="K232" i="55"/>
  <c r="L232" i="55"/>
  <c r="F233" i="55"/>
  <c r="I233" i="55" s="1"/>
  <c r="K233" i="55"/>
  <c r="L233" i="55"/>
  <c r="F234" i="55"/>
  <c r="K234" i="55"/>
  <c r="L234" i="55"/>
  <c r="F235" i="55"/>
  <c r="K235" i="55"/>
  <c r="L235" i="55"/>
  <c r="F236" i="55"/>
  <c r="K236" i="55"/>
  <c r="L236" i="55"/>
  <c r="F237" i="55"/>
  <c r="K237" i="55"/>
  <c r="L237" i="55"/>
  <c r="F238" i="55"/>
  <c r="K238" i="55"/>
  <c r="L238" i="55"/>
  <c r="F239" i="55"/>
  <c r="K239" i="55"/>
  <c r="L239" i="55"/>
  <c r="F240" i="55"/>
  <c r="K240" i="55"/>
  <c r="L240" i="55"/>
  <c r="F241" i="55"/>
  <c r="K241" i="55"/>
  <c r="L241" i="55"/>
  <c r="F242" i="55"/>
  <c r="K242" i="55"/>
  <c r="L242" i="55"/>
  <c r="F243" i="55"/>
  <c r="K243" i="55"/>
  <c r="L243" i="55"/>
  <c r="F244" i="55"/>
  <c r="K244" i="55"/>
  <c r="L244" i="55"/>
  <c r="F245" i="55"/>
  <c r="K245" i="55"/>
  <c r="L245" i="55"/>
  <c r="F246" i="55"/>
  <c r="K246" i="55"/>
  <c r="L246" i="55"/>
  <c r="F247" i="55"/>
  <c r="I247" i="55" s="1"/>
  <c r="K247" i="55"/>
  <c r="L247" i="55"/>
  <c r="F248" i="55"/>
  <c r="K248" i="55"/>
  <c r="L248" i="55"/>
  <c r="F249" i="55"/>
  <c r="K249" i="55"/>
  <c r="L249" i="55"/>
  <c r="F250" i="55"/>
  <c r="K250" i="55"/>
  <c r="L250" i="55"/>
  <c r="F251" i="55"/>
  <c r="K251" i="55"/>
  <c r="L251" i="55"/>
  <c r="F252" i="55"/>
  <c r="K252" i="55"/>
  <c r="L252" i="55"/>
  <c r="F253" i="55"/>
  <c r="K253" i="55"/>
  <c r="L253" i="55"/>
  <c r="F254" i="55"/>
  <c r="K254" i="55"/>
  <c r="L254" i="55"/>
  <c r="F255" i="55"/>
  <c r="I255" i="55" s="1"/>
  <c r="K255" i="55"/>
  <c r="L255" i="55"/>
  <c r="F256" i="55"/>
  <c r="K256" i="55"/>
  <c r="L256" i="55"/>
  <c r="F257" i="55"/>
  <c r="K257" i="55"/>
  <c r="L257" i="55"/>
  <c r="L10" i="55"/>
  <c r="K10" i="55"/>
  <c r="B2" i="55"/>
  <c r="Q258" i="55"/>
  <c r="P258" i="55"/>
  <c r="E258" i="55"/>
  <c r="AF257" i="55"/>
  <c r="AE257" i="55"/>
  <c r="AF256" i="55"/>
  <c r="AE256" i="55"/>
  <c r="AF255" i="55"/>
  <c r="AE255" i="55"/>
  <c r="AF254" i="55"/>
  <c r="AE254" i="55"/>
  <c r="AF253" i="55"/>
  <c r="AE253" i="55"/>
  <c r="AF252" i="55"/>
  <c r="AE252" i="55"/>
  <c r="AF251" i="55"/>
  <c r="AE251" i="55"/>
  <c r="AF250" i="55"/>
  <c r="AE250" i="55"/>
  <c r="AF249" i="55"/>
  <c r="AE249" i="55"/>
  <c r="AF248" i="55"/>
  <c r="AE248" i="55"/>
  <c r="AF247" i="55"/>
  <c r="AE247" i="55"/>
  <c r="AF246" i="55"/>
  <c r="AE246" i="55"/>
  <c r="AF245" i="55"/>
  <c r="AE245" i="55"/>
  <c r="AF244" i="55"/>
  <c r="AE244" i="55"/>
  <c r="AF243" i="55"/>
  <c r="AE243" i="55"/>
  <c r="AF242" i="55"/>
  <c r="AE242" i="55"/>
  <c r="AF241" i="55"/>
  <c r="AE241" i="55"/>
  <c r="AF240" i="55"/>
  <c r="AE240" i="55"/>
  <c r="AF239" i="55"/>
  <c r="AE239" i="55"/>
  <c r="AF238" i="55"/>
  <c r="AE238" i="55"/>
  <c r="AF237" i="55"/>
  <c r="AE237" i="55"/>
  <c r="AF236" i="55"/>
  <c r="AE236" i="55"/>
  <c r="AF235" i="55"/>
  <c r="AE235" i="55"/>
  <c r="AF234" i="55"/>
  <c r="AE234" i="55"/>
  <c r="AF233" i="55"/>
  <c r="AE233" i="55"/>
  <c r="AF232" i="55"/>
  <c r="AE232" i="55"/>
  <c r="AF231" i="55"/>
  <c r="AE231" i="55"/>
  <c r="AF230" i="55"/>
  <c r="AE230" i="55"/>
  <c r="AF229" i="55"/>
  <c r="AE229" i="55"/>
  <c r="AF228" i="55"/>
  <c r="AE228" i="55"/>
  <c r="AF227" i="55"/>
  <c r="AE227" i="55"/>
  <c r="AF226" i="55"/>
  <c r="AE226" i="55"/>
  <c r="AF225" i="55"/>
  <c r="AE225" i="55"/>
  <c r="AF224" i="55"/>
  <c r="AE224" i="55"/>
  <c r="AF223" i="55"/>
  <c r="AE223" i="55"/>
  <c r="AF222" i="55"/>
  <c r="AE222" i="55"/>
  <c r="AF221" i="55"/>
  <c r="AE221" i="55"/>
  <c r="AF220" i="55"/>
  <c r="AE220" i="55"/>
  <c r="AF219" i="55"/>
  <c r="AE219" i="55"/>
  <c r="AF218" i="55"/>
  <c r="AE218" i="55"/>
  <c r="AF217" i="55"/>
  <c r="AE217" i="55"/>
  <c r="AF216" i="55"/>
  <c r="AE216" i="55"/>
  <c r="AF215" i="55"/>
  <c r="AE215" i="55"/>
  <c r="AF214" i="55"/>
  <c r="AE214" i="55"/>
  <c r="AF213" i="55"/>
  <c r="AE213" i="55"/>
  <c r="AF212" i="55"/>
  <c r="AE212" i="55"/>
  <c r="AF211" i="55"/>
  <c r="AE211" i="55"/>
  <c r="AF210" i="55"/>
  <c r="AE210" i="55"/>
  <c r="AF209" i="55"/>
  <c r="AE209" i="55"/>
  <c r="AF208" i="55"/>
  <c r="AE208" i="55"/>
  <c r="AF207" i="55"/>
  <c r="AE207" i="55"/>
  <c r="AF206" i="55"/>
  <c r="AE206" i="55"/>
  <c r="AF205" i="55"/>
  <c r="AE205" i="55"/>
  <c r="AF204" i="55"/>
  <c r="AE204" i="55"/>
  <c r="AF203" i="55"/>
  <c r="AE203" i="55"/>
  <c r="AF202" i="55"/>
  <c r="AE202" i="55"/>
  <c r="AF201" i="55"/>
  <c r="AE201" i="55"/>
  <c r="AF200" i="55"/>
  <c r="AE200" i="55"/>
  <c r="AF199" i="55"/>
  <c r="AE199" i="55"/>
  <c r="AF198" i="55"/>
  <c r="AE198" i="55"/>
  <c r="AF197" i="55"/>
  <c r="AE197" i="55"/>
  <c r="AF196" i="55"/>
  <c r="AE196" i="55"/>
  <c r="AF195" i="55"/>
  <c r="AE195" i="55"/>
  <c r="AF194" i="55"/>
  <c r="AE194" i="55"/>
  <c r="AF193" i="55"/>
  <c r="AE193" i="55"/>
  <c r="AF192" i="55"/>
  <c r="AE192" i="55"/>
  <c r="AF191" i="55"/>
  <c r="AE191" i="55"/>
  <c r="AF190" i="55"/>
  <c r="AE190" i="55"/>
  <c r="AF189" i="55"/>
  <c r="AE189" i="55"/>
  <c r="AF188" i="55"/>
  <c r="AE188" i="55"/>
  <c r="AF187" i="55"/>
  <c r="AE187" i="55"/>
  <c r="AF186" i="55"/>
  <c r="AE186" i="55"/>
  <c r="AF185" i="55"/>
  <c r="AE185" i="55"/>
  <c r="AF184" i="55"/>
  <c r="AE184" i="55"/>
  <c r="AF183" i="55"/>
  <c r="AE183" i="55"/>
  <c r="AF182" i="55"/>
  <c r="AE182" i="55"/>
  <c r="AF181" i="55"/>
  <c r="AE181" i="55"/>
  <c r="AF180" i="55"/>
  <c r="AE180" i="55"/>
  <c r="AF179" i="55"/>
  <c r="AE179" i="55"/>
  <c r="AF178" i="55"/>
  <c r="AE178" i="55"/>
  <c r="AF177" i="55"/>
  <c r="AE177" i="55"/>
  <c r="AF176" i="55"/>
  <c r="AE176" i="55"/>
  <c r="AF175" i="55"/>
  <c r="AE175" i="55"/>
  <c r="AF174" i="55"/>
  <c r="AE174" i="55"/>
  <c r="AF173" i="55"/>
  <c r="AE173" i="55"/>
  <c r="AF172" i="55"/>
  <c r="AE172" i="55"/>
  <c r="AF171" i="55"/>
  <c r="AE171" i="55"/>
  <c r="AF170" i="55"/>
  <c r="AE170" i="55"/>
  <c r="AF169" i="55"/>
  <c r="AE169" i="55"/>
  <c r="AF168" i="55"/>
  <c r="AE168" i="55"/>
  <c r="AF167" i="55"/>
  <c r="AE167" i="55"/>
  <c r="AF166" i="55"/>
  <c r="AE166" i="55"/>
  <c r="AF165" i="55"/>
  <c r="AE165" i="55"/>
  <c r="AF164" i="55"/>
  <c r="AE164" i="55"/>
  <c r="AF163" i="55"/>
  <c r="AE163" i="55"/>
  <c r="AF162" i="55"/>
  <c r="AE162" i="55"/>
  <c r="AF161" i="55"/>
  <c r="AE161" i="55"/>
  <c r="AF160" i="55"/>
  <c r="AE160" i="55"/>
  <c r="AF159" i="55"/>
  <c r="AE159" i="55"/>
  <c r="AF158" i="55"/>
  <c r="AE158" i="55"/>
  <c r="AF157" i="55"/>
  <c r="AE157" i="55"/>
  <c r="AF156" i="55"/>
  <c r="AE156" i="55"/>
  <c r="AF155" i="55"/>
  <c r="AE155" i="55"/>
  <c r="AF154" i="55"/>
  <c r="AE154" i="55"/>
  <c r="AF153" i="55"/>
  <c r="AE153" i="55"/>
  <c r="AF152" i="55"/>
  <c r="AE152" i="55"/>
  <c r="AF151" i="55"/>
  <c r="AE151" i="55"/>
  <c r="AF150" i="55"/>
  <c r="AE150" i="55"/>
  <c r="AF149" i="55"/>
  <c r="AE149" i="55"/>
  <c r="AF148" i="55"/>
  <c r="AE148" i="55"/>
  <c r="AF147" i="55"/>
  <c r="AE147" i="55"/>
  <c r="AF146" i="55"/>
  <c r="AE146" i="55"/>
  <c r="AF145" i="55"/>
  <c r="AE145" i="55"/>
  <c r="AF144" i="55"/>
  <c r="AE144" i="55"/>
  <c r="AF143" i="55"/>
  <c r="AE143" i="55"/>
  <c r="AF142" i="55"/>
  <c r="AE142" i="55"/>
  <c r="AF141" i="55"/>
  <c r="AE141" i="55"/>
  <c r="AF140" i="55"/>
  <c r="AE140" i="55"/>
  <c r="AF139" i="55"/>
  <c r="AE139" i="55"/>
  <c r="AF138" i="55"/>
  <c r="AE138" i="55"/>
  <c r="AF137" i="55"/>
  <c r="AE137" i="55"/>
  <c r="AF136" i="55"/>
  <c r="AE136" i="55"/>
  <c r="AF135" i="55"/>
  <c r="AE135" i="55"/>
  <c r="AF134" i="55"/>
  <c r="AE134" i="55"/>
  <c r="AF133" i="55"/>
  <c r="AE133" i="55"/>
  <c r="AF132" i="55"/>
  <c r="AE132" i="55"/>
  <c r="AF131" i="55"/>
  <c r="AE131" i="55"/>
  <c r="AF130" i="55"/>
  <c r="AE130" i="55"/>
  <c r="AF129" i="55"/>
  <c r="AE129" i="55"/>
  <c r="AF128" i="55"/>
  <c r="AE128" i="55"/>
  <c r="AF127" i="55"/>
  <c r="AE127" i="55"/>
  <c r="AF126" i="55"/>
  <c r="AE126" i="55"/>
  <c r="AF125" i="55"/>
  <c r="AE125" i="55"/>
  <c r="AF124" i="55"/>
  <c r="AE124" i="55"/>
  <c r="AF123" i="55"/>
  <c r="AE123" i="55"/>
  <c r="AF122" i="55"/>
  <c r="AE122" i="55"/>
  <c r="AF121" i="55"/>
  <c r="AE121" i="55"/>
  <c r="AF120" i="55"/>
  <c r="AE120" i="55"/>
  <c r="AF119" i="55"/>
  <c r="AE119" i="55"/>
  <c r="AF118" i="55"/>
  <c r="AE118" i="55"/>
  <c r="AF117" i="55"/>
  <c r="AE117" i="55"/>
  <c r="AF116" i="55"/>
  <c r="AE116" i="55"/>
  <c r="AF115" i="55"/>
  <c r="AE115" i="55"/>
  <c r="AF114" i="55"/>
  <c r="AE114" i="55"/>
  <c r="AF113" i="55"/>
  <c r="AE113" i="55"/>
  <c r="AF112" i="55"/>
  <c r="AE112" i="55"/>
  <c r="AF111" i="55"/>
  <c r="AE111" i="55"/>
  <c r="AF110" i="55"/>
  <c r="AE110" i="55"/>
  <c r="AF109" i="55"/>
  <c r="AE109" i="55"/>
  <c r="AF108" i="55"/>
  <c r="AE108" i="55"/>
  <c r="AF107" i="55"/>
  <c r="AE107" i="55"/>
  <c r="AF106" i="55"/>
  <c r="AE106" i="55"/>
  <c r="AF105" i="55"/>
  <c r="AE105" i="55"/>
  <c r="AF104" i="55"/>
  <c r="AE104" i="55"/>
  <c r="AF103" i="55"/>
  <c r="AE103" i="55"/>
  <c r="AF102" i="55"/>
  <c r="AE102" i="55"/>
  <c r="AF101" i="55"/>
  <c r="AE101" i="55"/>
  <c r="AF100" i="55"/>
  <c r="AE100" i="55"/>
  <c r="AF99" i="55"/>
  <c r="AE99" i="55"/>
  <c r="AF98" i="55"/>
  <c r="AE98" i="55"/>
  <c r="AF97" i="55"/>
  <c r="AE97" i="55"/>
  <c r="AF96" i="55"/>
  <c r="AE96" i="55"/>
  <c r="AF95" i="55"/>
  <c r="AE95" i="55"/>
  <c r="AF94" i="55"/>
  <c r="AE94" i="55"/>
  <c r="AF93" i="55"/>
  <c r="AE93" i="55"/>
  <c r="AF92" i="55"/>
  <c r="AE92" i="55"/>
  <c r="AF91" i="55"/>
  <c r="AE91" i="55"/>
  <c r="AF90" i="55"/>
  <c r="AE90" i="55"/>
  <c r="AF89" i="55"/>
  <c r="AE89" i="55"/>
  <c r="AF88" i="55"/>
  <c r="AE88" i="55"/>
  <c r="AF87" i="55"/>
  <c r="AE87" i="55"/>
  <c r="AF86" i="55"/>
  <c r="AE86" i="55"/>
  <c r="AF85" i="55"/>
  <c r="AE85" i="55"/>
  <c r="AF84" i="55"/>
  <c r="AE84" i="55"/>
  <c r="AF83" i="55"/>
  <c r="AE83" i="55"/>
  <c r="AF82" i="55"/>
  <c r="AE82" i="55"/>
  <c r="AF81" i="55"/>
  <c r="AE81" i="55"/>
  <c r="AF80" i="55"/>
  <c r="AE80" i="55"/>
  <c r="AF79" i="55"/>
  <c r="AE79" i="55"/>
  <c r="AF78" i="55"/>
  <c r="AE78" i="55"/>
  <c r="AF77" i="55"/>
  <c r="AE77" i="55"/>
  <c r="AF76" i="55"/>
  <c r="AE76" i="55"/>
  <c r="AF75" i="55"/>
  <c r="AE75" i="55"/>
  <c r="AF74" i="55"/>
  <c r="AE74" i="55"/>
  <c r="AF73" i="55"/>
  <c r="AE73" i="55"/>
  <c r="AF72" i="55"/>
  <c r="AE72" i="55"/>
  <c r="AF71" i="55"/>
  <c r="AE71" i="55"/>
  <c r="AF70" i="55"/>
  <c r="AE70" i="55"/>
  <c r="AF69" i="55"/>
  <c r="AE69" i="55"/>
  <c r="AF68" i="55"/>
  <c r="AE68" i="55"/>
  <c r="AF67" i="55"/>
  <c r="AE67" i="55"/>
  <c r="AF66" i="55"/>
  <c r="AE66" i="55"/>
  <c r="AF65" i="55"/>
  <c r="AE65" i="55"/>
  <c r="AF64" i="55"/>
  <c r="AE64" i="55"/>
  <c r="AF63" i="55"/>
  <c r="AE63" i="55"/>
  <c r="AF62" i="55"/>
  <c r="AE62" i="55"/>
  <c r="AF61" i="55"/>
  <c r="AE61" i="55"/>
  <c r="AF60" i="55"/>
  <c r="AE60" i="55"/>
  <c r="AF59" i="55"/>
  <c r="AE59" i="55"/>
  <c r="AF58" i="55"/>
  <c r="AE58" i="55"/>
  <c r="AF57" i="55"/>
  <c r="AE57" i="55"/>
  <c r="AF56" i="55"/>
  <c r="AE56" i="55"/>
  <c r="AF55" i="55"/>
  <c r="AE55" i="55"/>
  <c r="AF54" i="55"/>
  <c r="AE54" i="55"/>
  <c r="AF53" i="55"/>
  <c r="AE53" i="55"/>
  <c r="AF52" i="55"/>
  <c r="AE52" i="55"/>
  <c r="AF51" i="55"/>
  <c r="AE51" i="55"/>
  <c r="AF50" i="55"/>
  <c r="AE50" i="55"/>
  <c r="AF49" i="55"/>
  <c r="AE49" i="55"/>
  <c r="AF48" i="55"/>
  <c r="AE48" i="55"/>
  <c r="AF47" i="55"/>
  <c r="AE47" i="55"/>
  <c r="AF46" i="55"/>
  <c r="AE46" i="55"/>
  <c r="AF45" i="55"/>
  <c r="AE45" i="55"/>
  <c r="AF44" i="55"/>
  <c r="AE44" i="55"/>
  <c r="AF43" i="55"/>
  <c r="AE43" i="55"/>
  <c r="AF42" i="55"/>
  <c r="AE42" i="55"/>
  <c r="AF41" i="55"/>
  <c r="AE41" i="55"/>
  <c r="AF40" i="55"/>
  <c r="AE40" i="55"/>
  <c r="AF39" i="55"/>
  <c r="AE39" i="55"/>
  <c r="AF38" i="55"/>
  <c r="AE38" i="55"/>
  <c r="AF37" i="55"/>
  <c r="AE37" i="55"/>
  <c r="AF36" i="55"/>
  <c r="AE36" i="55"/>
  <c r="AF35" i="55"/>
  <c r="AE35" i="55"/>
  <c r="AF34" i="55"/>
  <c r="AE34" i="55"/>
  <c r="AF33" i="55"/>
  <c r="AE33" i="55"/>
  <c r="AF32" i="55"/>
  <c r="AE32" i="55"/>
  <c r="AF31" i="55"/>
  <c r="AE31" i="55"/>
  <c r="AF30" i="55"/>
  <c r="AE30" i="55"/>
  <c r="AF29" i="55"/>
  <c r="AE29" i="55"/>
  <c r="AF28" i="55"/>
  <c r="AE28" i="55"/>
  <c r="AF27" i="55"/>
  <c r="AE27" i="55"/>
  <c r="AF26" i="55"/>
  <c r="AE26" i="55"/>
  <c r="AF25" i="55"/>
  <c r="AE25" i="55"/>
  <c r="AF24" i="55"/>
  <c r="AE24" i="55"/>
  <c r="AF23" i="55"/>
  <c r="AE23" i="55"/>
  <c r="AF22" i="55"/>
  <c r="AE22" i="55"/>
  <c r="AF21" i="55"/>
  <c r="AE21" i="55"/>
  <c r="AF20" i="55"/>
  <c r="AE20" i="55"/>
  <c r="AF19" i="55"/>
  <c r="AE19" i="55"/>
  <c r="AF18" i="55"/>
  <c r="AE18" i="55"/>
  <c r="AF17" i="55"/>
  <c r="AE17" i="55"/>
  <c r="AF16" i="55"/>
  <c r="AE16" i="55"/>
  <c r="AF15" i="55"/>
  <c r="AE15" i="55"/>
  <c r="AF14" i="55"/>
  <c r="AE14" i="55"/>
  <c r="AF13" i="55"/>
  <c r="AE13" i="55"/>
  <c r="AF12" i="55"/>
  <c r="AE12" i="55"/>
  <c r="AF11" i="55"/>
  <c r="AE11" i="55"/>
  <c r="AF10" i="55"/>
  <c r="AE10" i="55"/>
  <c r="B3" i="55"/>
  <c r="W12" i="53"/>
  <c r="V12" i="53"/>
  <c r="B2" i="53"/>
  <c r="B3" i="53"/>
  <c r="K13" i="42"/>
  <c r="L13" i="42"/>
  <c r="M13" i="42"/>
  <c r="Q13" i="42" s="1"/>
  <c r="K14" i="42"/>
  <c r="L14" i="42"/>
  <c r="M14" i="42"/>
  <c r="Q14" i="42" s="1"/>
  <c r="K15" i="42"/>
  <c r="L15" i="42"/>
  <c r="M15" i="42"/>
  <c r="Q15" i="42" s="1"/>
  <c r="K16" i="42"/>
  <c r="L16" i="42"/>
  <c r="M16" i="42"/>
  <c r="Q16" i="42" s="1"/>
  <c r="K17" i="42"/>
  <c r="L17" i="42"/>
  <c r="M17" i="42"/>
  <c r="Q17" i="42" s="1"/>
  <c r="K18" i="42"/>
  <c r="L18" i="42"/>
  <c r="M18" i="42"/>
  <c r="Q18" i="42" s="1"/>
  <c r="K19" i="42"/>
  <c r="L19" i="42"/>
  <c r="M19" i="42"/>
  <c r="Q19" i="42" s="1"/>
  <c r="K20" i="42"/>
  <c r="L20" i="42"/>
  <c r="M20" i="42"/>
  <c r="Q20" i="42" s="1"/>
  <c r="K21" i="42"/>
  <c r="L21" i="42"/>
  <c r="M21" i="42"/>
  <c r="Q21" i="42" s="1"/>
  <c r="K22" i="42"/>
  <c r="L22" i="42"/>
  <c r="M22" i="42"/>
  <c r="Q22" i="42" s="1"/>
  <c r="K23" i="42"/>
  <c r="L23" i="42"/>
  <c r="M23" i="42"/>
  <c r="Q23" i="42" s="1"/>
  <c r="K24" i="42"/>
  <c r="L24" i="42"/>
  <c r="M24" i="42"/>
  <c r="Q24" i="42" s="1"/>
  <c r="K25" i="42"/>
  <c r="L25" i="42"/>
  <c r="M25" i="42"/>
  <c r="Q25" i="42" s="1"/>
  <c r="K26" i="42"/>
  <c r="L26" i="42"/>
  <c r="M26" i="42"/>
  <c r="Q26" i="42" s="1"/>
  <c r="K27" i="42"/>
  <c r="L27" i="42"/>
  <c r="M27" i="42"/>
  <c r="Q27" i="42" s="1"/>
  <c r="K28" i="42"/>
  <c r="L28" i="42"/>
  <c r="M28" i="42"/>
  <c r="Q28" i="42" s="1"/>
  <c r="K29" i="42"/>
  <c r="L29" i="42"/>
  <c r="M29" i="42"/>
  <c r="Q29" i="42" s="1"/>
  <c r="K30" i="42"/>
  <c r="L30" i="42"/>
  <c r="M30" i="42"/>
  <c r="Q30" i="42" s="1"/>
  <c r="K31" i="42"/>
  <c r="L31" i="42"/>
  <c r="M31" i="42"/>
  <c r="Q31" i="42" s="1"/>
  <c r="K32" i="42"/>
  <c r="L32" i="42"/>
  <c r="M32" i="42"/>
  <c r="Q32" i="42" s="1"/>
  <c r="K33" i="42"/>
  <c r="L33" i="42"/>
  <c r="M33" i="42"/>
  <c r="Q33" i="42" s="1"/>
  <c r="K34" i="42"/>
  <c r="L34" i="42"/>
  <c r="M34" i="42"/>
  <c r="Q34" i="42" s="1"/>
  <c r="K35" i="42"/>
  <c r="L35" i="42"/>
  <c r="M35" i="42"/>
  <c r="Q35" i="42" s="1"/>
  <c r="K36" i="42"/>
  <c r="L36" i="42"/>
  <c r="M36" i="42"/>
  <c r="Q36" i="42" s="1"/>
  <c r="K37" i="42"/>
  <c r="L37" i="42"/>
  <c r="M37" i="42"/>
  <c r="Q37" i="42" s="1"/>
  <c r="K38" i="42"/>
  <c r="L38" i="42"/>
  <c r="M38" i="42"/>
  <c r="Q38" i="42" s="1"/>
  <c r="K39" i="42"/>
  <c r="L39" i="42"/>
  <c r="M39" i="42"/>
  <c r="Q39" i="42" s="1"/>
  <c r="K40" i="42"/>
  <c r="L40" i="42"/>
  <c r="M40" i="42"/>
  <c r="Q40" i="42" s="1"/>
  <c r="K41" i="42"/>
  <c r="L41" i="42"/>
  <c r="M41" i="42"/>
  <c r="Q41" i="42" s="1"/>
  <c r="K42" i="42"/>
  <c r="L42" i="42"/>
  <c r="M42" i="42"/>
  <c r="Q42" i="42" s="1"/>
  <c r="K43" i="42"/>
  <c r="L43" i="42"/>
  <c r="M43" i="42"/>
  <c r="Q43" i="42" s="1"/>
  <c r="K44" i="42"/>
  <c r="L44" i="42"/>
  <c r="M44" i="42"/>
  <c r="Q44" i="42" s="1"/>
  <c r="K45" i="42"/>
  <c r="L45" i="42"/>
  <c r="M45" i="42"/>
  <c r="Q45" i="42" s="1"/>
  <c r="K46" i="42"/>
  <c r="L46" i="42"/>
  <c r="M46" i="42"/>
  <c r="Q46" i="42" s="1"/>
  <c r="K47" i="42"/>
  <c r="L47" i="42"/>
  <c r="M47" i="42"/>
  <c r="Q47" i="42" s="1"/>
  <c r="K48" i="42"/>
  <c r="L48" i="42"/>
  <c r="M48" i="42"/>
  <c r="Q48" i="42" s="1"/>
  <c r="K49" i="42"/>
  <c r="L49" i="42"/>
  <c r="M49" i="42"/>
  <c r="Q49" i="42" s="1"/>
  <c r="K50" i="42"/>
  <c r="L50" i="42"/>
  <c r="M50" i="42"/>
  <c r="Q50" i="42" s="1"/>
  <c r="K51" i="42"/>
  <c r="L51" i="42"/>
  <c r="M51" i="42"/>
  <c r="Q51" i="42" s="1"/>
  <c r="K52" i="42"/>
  <c r="L52" i="42"/>
  <c r="M52" i="42"/>
  <c r="Q52" i="42" s="1"/>
  <c r="K53" i="42"/>
  <c r="L53" i="42"/>
  <c r="M53" i="42"/>
  <c r="Q53" i="42" s="1"/>
  <c r="K54" i="42"/>
  <c r="L54" i="42"/>
  <c r="M54" i="42"/>
  <c r="Q54" i="42" s="1"/>
  <c r="K55" i="42"/>
  <c r="L55" i="42"/>
  <c r="M55" i="42"/>
  <c r="Q55" i="42" s="1"/>
  <c r="K56" i="42"/>
  <c r="L56" i="42"/>
  <c r="M56" i="42"/>
  <c r="Q56" i="42" s="1"/>
  <c r="K57" i="42"/>
  <c r="L57" i="42"/>
  <c r="M57" i="42"/>
  <c r="Q57" i="42" s="1"/>
  <c r="K58" i="42"/>
  <c r="L58" i="42"/>
  <c r="M58" i="42"/>
  <c r="Q58" i="42" s="1"/>
  <c r="K59" i="42"/>
  <c r="L59" i="42"/>
  <c r="M59" i="42"/>
  <c r="Q59" i="42" s="1"/>
  <c r="K60" i="42"/>
  <c r="L60" i="42"/>
  <c r="M60" i="42"/>
  <c r="Q60" i="42" s="1"/>
  <c r="K61" i="42"/>
  <c r="L61" i="42"/>
  <c r="M61" i="42"/>
  <c r="Q61" i="42" s="1"/>
  <c r="K62" i="42"/>
  <c r="L62" i="42"/>
  <c r="M62" i="42"/>
  <c r="Q62" i="42" s="1"/>
  <c r="K63" i="42"/>
  <c r="L63" i="42"/>
  <c r="M63" i="42"/>
  <c r="Q63" i="42" s="1"/>
  <c r="K64" i="42"/>
  <c r="L64" i="42"/>
  <c r="M64" i="42"/>
  <c r="Q64" i="42" s="1"/>
  <c r="K65" i="42"/>
  <c r="L65" i="42"/>
  <c r="M65" i="42"/>
  <c r="Q65" i="42" s="1"/>
  <c r="K66" i="42"/>
  <c r="L66" i="42"/>
  <c r="M66" i="42"/>
  <c r="Q66" i="42" s="1"/>
  <c r="K67" i="42"/>
  <c r="L67" i="42"/>
  <c r="M67" i="42"/>
  <c r="Q67" i="42" s="1"/>
  <c r="K68" i="42"/>
  <c r="L68" i="42"/>
  <c r="M68" i="42"/>
  <c r="Q68" i="42" s="1"/>
  <c r="K69" i="42"/>
  <c r="L69" i="42"/>
  <c r="M69" i="42"/>
  <c r="Q69" i="42" s="1"/>
  <c r="K70" i="42"/>
  <c r="L70" i="42"/>
  <c r="M70" i="42"/>
  <c r="Q70" i="42" s="1"/>
  <c r="K71" i="42"/>
  <c r="L71" i="42"/>
  <c r="M71" i="42"/>
  <c r="Q71" i="42" s="1"/>
  <c r="K72" i="42"/>
  <c r="L72" i="42"/>
  <c r="M72" i="42"/>
  <c r="Q72" i="42" s="1"/>
  <c r="K73" i="42"/>
  <c r="L73" i="42"/>
  <c r="M73" i="42"/>
  <c r="Q73" i="42" s="1"/>
  <c r="K74" i="42"/>
  <c r="L74" i="42"/>
  <c r="M74" i="42"/>
  <c r="Q74" i="42" s="1"/>
  <c r="K75" i="42"/>
  <c r="L75" i="42"/>
  <c r="M75" i="42"/>
  <c r="Q75" i="42" s="1"/>
  <c r="K76" i="42"/>
  <c r="L76" i="42"/>
  <c r="M76" i="42"/>
  <c r="Q76" i="42" s="1"/>
  <c r="K77" i="42"/>
  <c r="L77" i="42"/>
  <c r="M77" i="42"/>
  <c r="Q77" i="42" s="1"/>
  <c r="K78" i="42"/>
  <c r="L78" i="42"/>
  <c r="M78" i="42"/>
  <c r="Q78" i="42" s="1"/>
  <c r="K79" i="42"/>
  <c r="L79" i="42"/>
  <c r="M79" i="42"/>
  <c r="Q79" i="42" s="1"/>
  <c r="K80" i="42"/>
  <c r="L80" i="42"/>
  <c r="M80" i="42"/>
  <c r="Q80" i="42" s="1"/>
  <c r="K81" i="42"/>
  <c r="L81" i="42"/>
  <c r="M81" i="42"/>
  <c r="Q81" i="42" s="1"/>
  <c r="K82" i="42"/>
  <c r="L82" i="42"/>
  <c r="M82" i="42"/>
  <c r="Q82" i="42" s="1"/>
  <c r="K83" i="42"/>
  <c r="L83" i="42"/>
  <c r="M83" i="42"/>
  <c r="Q83" i="42" s="1"/>
  <c r="K84" i="42"/>
  <c r="L84" i="42"/>
  <c r="M84" i="42"/>
  <c r="Q84" i="42" s="1"/>
  <c r="K85" i="42"/>
  <c r="L85" i="42"/>
  <c r="M85" i="42"/>
  <c r="Q85" i="42" s="1"/>
  <c r="K86" i="42"/>
  <c r="L86" i="42"/>
  <c r="M86" i="42"/>
  <c r="Q86" i="42" s="1"/>
  <c r="K87" i="42"/>
  <c r="L87" i="42"/>
  <c r="M87" i="42"/>
  <c r="Q87" i="42" s="1"/>
  <c r="K88" i="42"/>
  <c r="L88" i="42"/>
  <c r="M88" i="42"/>
  <c r="Q88" i="42" s="1"/>
  <c r="K89" i="42"/>
  <c r="L89" i="42"/>
  <c r="M89" i="42"/>
  <c r="Q89" i="42" s="1"/>
  <c r="K90" i="42"/>
  <c r="L90" i="42"/>
  <c r="M90" i="42"/>
  <c r="Q90" i="42" s="1"/>
  <c r="K91" i="42"/>
  <c r="L91" i="42"/>
  <c r="M91" i="42"/>
  <c r="Q91" i="42" s="1"/>
  <c r="K92" i="42"/>
  <c r="L92" i="42"/>
  <c r="M92" i="42"/>
  <c r="Q92" i="42" s="1"/>
  <c r="K93" i="42"/>
  <c r="L93" i="42"/>
  <c r="M93" i="42"/>
  <c r="Q93" i="42" s="1"/>
  <c r="K94" i="42"/>
  <c r="L94" i="42"/>
  <c r="M94" i="42"/>
  <c r="Q94" i="42" s="1"/>
  <c r="K95" i="42"/>
  <c r="L95" i="42"/>
  <c r="M95" i="42"/>
  <c r="Q95" i="42" s="1"/>
  <c r="K96" i="42"/>
  <c r="L96" i="42"/>
  <c r="M96" i="42"/>
  <c r="Q96" i="42" s="1"/>
  <c r="K97" i="42"/>
  <c r="L97" i="42"/>
  <c r="M97" i="42"/>
  <c r="Q97" i="42" s="1"/>
  <c r="K98" i="42"/>
  <c r="L98" i="42"/>
  <c r="M98" i="42"/>
  <c r="Q98" i="42" s="1"/>
  <c r="K99" i="42"/>
  <c r="L99" i="42"/>
  <c r="M99" i="42"/>
  <c r="Q99" i="42" s="1"/>
  <c r="K100" i="42"/>
  <c r="L100" i="42"/>
  <c r="M100" i="42"/>
  <c r="Q100" i="42" s="1"/>
  <c r="K101" i="42"/>
  <c r="L101" i="42"/>
  <c r="M101" i="42"/>
  <c r="Q101" i="42" s="1"/>
  <c r="K102" i="42"/>
  <c r="L102" i="42"/>
  <c r="M102" i="42"/>
  <c r="Q102" i="42" s="1"/>
  <c r="K103" i="42"/>
  <c r="L103" i="42"/>
  <c r="M103" i="42"/>
  <c r="Q103" i="42" s="1"/>
  <c r="K104" i="42"/>
  <c r="L104" i="42"/>
  <c r="M104" i="42"/>
  <c r="Q104" i="42" s="1"/>
  <c r="K105" i="42"/>
  <c r="L105" i="42"/>
  <c r="M105" i="42"/>
  <c r="Q105" i="42" s="1"/>
  <c r="K106" i="42"/>
  <c r="L106" i="42"/>
  <c r="M106" i="42"/>
  <c r="Q106" i="42" s="1"/>
  <c r="K107" i="42"/>
  <c r="L107" i="42"/>
  <c r="M107" i="42"/>
  <c r="Q107" i="42" s="1"/>
  <c r="K108" i="42"/>
  <c r="L108" i="42"/>
  <c r="M108" i="42"/>
  <c r="Q108" i="42" s="1"/>
  <c r="K109" i="42"/>
  <c r="L109" i="42"/>
  <c r="M109" i="42"/>
  <c r="Q109" i="42" s="1"/>
  <c r="K110" i="42"/>
  <c r="L110" i="42"/>
  <c r="M110" i="42"/>
  <c r="Q110" i="42" s="1"/>
  <c r="K111" i="42"/>
  <c r="L111" i="42"/>
  <c r="M111" i="42"/>
  <c r="Q111" i="42" s="1"/>
  <c r="K112" i="42"/>
  <c r="L112" i="42"/>
  <c r="M112" i="42"/>
  <c r="Q112" i="42" s="1"/>
  <c r="K113" i="42"/>
  <c r="L113" i="42"/>
  <c r="M113" i="42"/>
  <c r="Q113" i="42" s="1"/>
  <c r="K114" i="42"/>
  <c r="L114" i="42"/>
  <c r="M114" i="42"/>
  <c r="Q114" i="42" s="1"/>
  <c r="K115" i="42"/>
  <c r="L115" i="42"/>
  <c r="M115" i="42"/>
  <c r="Q115" i="42" s="1"/>
  <c r="K116" i="42"/>
  <c r="L116" i="42"/>
  <c r="M116" i="42"/>
  <c r="Q116" i="42" s="1"/>
  <c r="K117" i="42"/>
  <c r="L117" i="42"/>
  <c r="M117" i="42"/>
  <c r="Q117" i="42" s="1"/>
  <c r="K118" i="42"/>
  <c r="L118" i="42"/>
  <c r="M118" i="42"/>
  <c r="Q118" i="42" s="1"/>
  <c r="K119" i="42"/>
  <c r="L119" i="42"/>
  <c r="M119" i="42"/>
  <c r="Q119" i="42" s="1"/>
  <c r="K120" i="42"/>
  <c r="L120" i="42"/>
  <c r="M120" i="42"/>
  <c r="Q120" i="42" s="1"/>
  <c r="K121" i="42"/>
  <c r="L121" i="42"/>
  <c r="M121" i="42"/>
  <c r="Q121" i="42" s="1"/>
  <c r="K122" i="42"/>
  <c r="L122" i="42"/>
  <c r="M122" i="42"/>
  <c r="Q122" i="42" s="1"/>
  <c r="K123" i="42"/>
  <c r="L123" i="42"/>
  <c r="M123" i="42"/>
  <c r="Q123" i="42" s="1"/>
  <c r="K124" i="42"/>
  <c r="L124" i="42"/>
  <c r="M124" i="42"/>
  <c r="Q124" i="42" s="1"/>
  <c r="K125" i="42"/>
  <c r="L125" i="42"/>
  <c r="M125" i="42"/>
  <c r="Q125" i="42" s="1"/>
  <c r="K126" i="42"/>
  <c r="L126" i="42"/>
  <c r="M126" i="42"/>
  <c r="Q126" i="42" s="1"/>
  <c r="K127" i="42"/>
  <c r="L127" i="42"/>
  <c r="M127" i="42"/>
  <c r="Q127" i="42" s="1"/>
  <c r="K128" i="42"/>
  <c r="L128" i="42"/>
  <c r="M128" i="42"/>
  <c r="Q128" i="42" s="1"/>
  <c r="K129" i="42"/>
  <c r="L129" i="42"/>
  <c r="M129" i="42"/>
  <c r="Q129" i="42" s="1"/>
  <c r="K130" i="42"/>
  <c r="L130" i="42"/>
  <c r="M130" i="42"/>
  <c r="Q130" i="42" s="1"/>
  <c r="K131" i="42"/>
  <c r="L131" i="42"/>
  <c r="M131" i="42"/>
  <c r="Q131" i="42" s="1"/>
  <c r="K132" i="42"/>
  <c r="L132" i="42"/>
  <c r="M132" i="42"/>
  <c r="Q132" i="42" s="1"/>
  <c r="K133" i="42"/>
  <c r="L133" i="42"/>
  <c r="M133" i="42"/>
  <c r="Q133" i="42" s="1"/>
  <c r="K134" i="42"/>
  <c r="L134" i="42"/>
  <c r="M134" i="42"/>
  <c r="Q134" i="42" s="1"/>
  <c r="K135" i="42"/>
  <c r="L135" i="42"/>
  <c r="M135" i="42"/>
  <c r="Q135" i="42" s="1"/>
  <c r="K136" i="42"/>
  <c r="L136" i="42"/>
  <c r="M136" i="42"/>
  <c r="Q136" i="42" s="1"/>
  <c r="K137" i="42"/>
  <c r="L137" i="42"/>
  <c r="M137" i="42"/>
  <c r="Q137" i="42" s="1"/>
  <c r="K138" i="42"/>
  <c r="L138" i="42"/>
  <c r="M138" i="42"/>
  <c r="Q138" i="42" s="1"/>
  <c r="K139" i="42"/>
  <c r="L139" i="42"/>
  <c r="M139" i="42"/>
  <c r="Q139" i="42" s="1"/>
  <c r="K140" i="42"/>
  <c r="L140" i="42"/>
  <c r="M140" i="42"/>
  <c r="Q140" i="42" s="1"/>
  <c r="K141" i="42"/>
  <c r="L141" i="42"/>
  <c r="M141" i="42"/>
  <c r="Q141" i="42" s="1"/>
  <c r="K142" i="42"/>
  <c r="L142" i="42"/>
  <c r="M142" i="42"/>
  <c r="Q142" i="42" s="1"/>
  <c r="K143" i="42"/>
  <c r="L143" i="42"/>
  <c r="M143" i="42"/>
  <c r="Q143" i="42" s="1"/>
  <c r="K144" i="42"/>
  <c r="L144" i="42"/>
  <c r="M144" i="42"/>
  <c r="Q144" i="42" s="1"/>
  <c r="K145" i="42"/>
  <c r="L145" i="42"/>
  <c r="M145" i="42"/>
  <c r="Q145" i="42" s="1"/>
  <c r="K146" i="42"/>
  <c r="L146" i="42"/>
  <c r="M146" i="42"/>
  <c r="Q146" i="42" s="1"/>
  <c r="K147" i="42"/>
  <c r="L147" i="42"/>
  <c r="M147" i="42"/>
  <c r="Q147" i="42" s="1"/>
  <c r="K148" i="42"/>
  <c r="L148" i="42"/>
  <c r="M148" i="42"/>
  <c r="Q148" i="42" s="1"/>
  <c r="K149" i="42"/>
  <c r="L149" i="42"/>
  <c r="M149" i="42"/>
  <c r="Q149" i="42" s="1"/>
  <c r="K150" i="42"/>
  <c r="L150" i="42"/>
  <c r="M150" i="42"/>
  <c r="Q150" i="42" s="1"/>
  <c r="K151" i="42"/>
  <c r="L151" i="42"/>
  <c r="M151" i="42"/>
  <c r="Q151" i="42" s="1"/>
  <c r="K152" i="42"/>
  <c r="L152" i="42"/>
  <c r="M152" i="42"/>
  <c r="Q152" i="42" s="1"/>
  <c r="K153" i="42"/>
  <c r="L153" i="42"/>
  <c r="M153" i="42"/>
  <c r="Q153" i="42" s="1"/>
  <c r="K154" i="42"/>
  <c r="L154" i="42"/>
  <c r="M154" i="42"/>
  <c r="Q154" i="42" s="1"/>
  <c r="K155" i="42"/>
  <c r="L155" i="42"/>
  <c r="M155" i="42"/>
  <c r="Q155" i="42" s="1"/>
  <c r="K156" i="42"/>
  <c r="L156" i="42"/>
  <c r="M156" i="42"/>
  <c r="Q156" i="42" s="1"/>
  <c r="K157" i="42"/>
  <c r="L157" i="42"/>
  <c r="M157" i="42"/>
  <c r="Q157" i="42" s="1"/>
  <c r="K158" i="42"/>
  <c r="L158" i="42"/>
  <c r="M158" i="42"/>
  <c r="Q158" i="42" s="1"/>
  <c r="K159" i="42"/>
  <c r="L159" i="42"/>
  <c r="M159" i="42"/>
  <c r="Q159" i="42" s="1"/>
  <c r="K160" i="42"/>
  <c r="L160" i="42"/>
  <c r="M160" i="42"/>
  <c r="Q160" i="42" s="1"/>
  <c r="K161" i="42"/>
  <c r="L161" i="42"/>
  <c r="M161" i="42"/>
  <c r="Q161" i="42" s="1"/>
  <c r="K162" i="42"/>
  <c r="L162" i="42"/>
  <c r="M162" i="42"/>
  <c r="Q162" i="42" s="1"/>
  <c r="K163" i="42"/>
  <c r="L163" i="42"/>
  <c r="M163" i="42"/>
  <c r="Q163" i="42" s="1"/>
  <c r="K164" i="42"/>
  <c r="L164" i="42"/>
  <c r="M164" i="42"/>
  <c r="Q164" i="42" s="1"/>
  <c r="K165" i="42"/>
  <c r="L165" i="42"/>
  <c r="M165" i="42"/>
  <c r="Q165" i="42" s="1"/>
  <c r="K166" i="42"/>
  <c r="L166" i="42"/>
  <c r="M166" i="42"/>
  <c r="Q166" i="42" s="1"/>
  <c r="K167" i="42"/>
  <c r="L167" i="42"/>
  <c r="M167" i="42"/>
  <c r="Q167" i="42" s="1"/>
  <c r="K168" i="42"/>
  <c r="L168" i="42"/>
  <c r="M168" i="42"/>
  <c r="Q168" i="42" s="1"/>
  <c r="K169" i="42"/>
  <c r="L169" i="42"/>
  <c r="M169" i="42"/>
  <c r="Q169" i="42" s="1"/>
  <c r="K170" i="42"/>
  <c r="L170" i="42"/>
  <c r="M170" i="42"/>
  <c r="Q170" i="42" s="1"/>
  <c r="K171" i="42"/>
  <c r="L171" i="42"/>
  <c r="M171" i="42"/>
  <c r="Q171" i="42" s="1"/>
  <c r="K172" i="42"/>
  <c r="L172" i="42"/>
  <c r="M172" i="42"/>
  <c r="Q172" i="42" s="1"/>
  <c r="K173" i="42"/>
  <c r="L173" i="42"/>
  <c r="M173" i="42"/>
  <c r="Q173" i="42" s="1"/>
  <c r="K174" i="42"/>
  <c r="L174" i="42"/>
  <c r="M174" i="42"/>
  <c r="Q174" i="42" s="1"/>
  <c r="K175" i="42"/>
  <c r="L175" i="42"/>
  <c r="M175" i="42"/>
  <c r="Q175" i="42" s="1"/>
  <c r="K176" i="42"/>
  <c r="L176" i="42"/>
  <c r="M176" i="42"/>
  <c r="Q176" i="42" s="1"/>
  <c r="K177" i="42"/>
  <c r="L177" i="42"/>
  <c r="M177" i="42"/>
  <c r="Q177" i="42" s="1"/>
  <c r="K178" i="42"/>
  <c r="L178" i="42"/>
  <c r="M178" i="42"/>
  <c r="Q178" i="42" s="1"/>
  <c r="K179" i="42"/>
  <c r="L179" i="42"/>
  <c r="M179" i="42"/>
  <c r="Q179" i="42" s="1"/>
  <c r="K180" i="42"/>
  <c r="L180" i="42"/>
  <c r="M180" i="42"/>
  <c r="Q180" i="42" s="1"/>
  <c r="K181" i="42"/>
  <c r="L181" i="42"/>
  <c r="M181" i="42"/>
  <c r="Q181" i="42" s="1"/>
  <c r="K182" i="42"/>
  <c r="L182" i="42"/>
  <c r="M182" i="42"/>
  <c r="Q182" i="42" s="1"/>
  <c r="K183" i="42"/>
  <c r="L183" i="42"/>
  <c r="M183" i="42"/>
  <c r="Q183" i="42" s="1"/>
  <c r="K184" i="42"/>
  <c r="L184" i="42"/>
  <c r="M184" i="42"/>
  <c r="Q184" i="42" s="1"/>
  <c r="K185" i="42"/>
  <c r="L185" i="42"/>
  <c r="M185" i="42"/>
  <c r="Q185" i="42" s="1"/>
  <c r="K186" i="42"/>
  <c r="L186" i="42"/>
  <c r="M186" i="42"/>
  <c r="Q186" i="42" s="1"/>
  <c r="K187" i="42"/>
  <c r="L187" i="42"/>
  <c r="M187" i="42"/>
  <c r="Q187" i="42" s="1"/>
  <c r="K188" i="42"/>
  <c r="L188" i="42"/>
  <c r="M188" i="42"/>
  <c r="Q188" i="42" s="1"/>
  <c r="K189" i="42"/>
  <c r="L189" i="42"/>
  <c r="M189" i="42"/>
  <c r="Q189" i="42" s="1"/>
  <c r="K190" i="42"/>
  <c r="L190" i="42"/>
  <c r="M190" i="42"/>
  <c r="Q190" i="42" s="1"/>
  <c r="K191" i="42"/>
  <c r="L191" i="42"/>
  <c r="M191" i="42"/>
  <c r="Q191" i="42" s="1"/>
  <c r="K192" i="42"/>
  <c r="L192" i="42"/>
  <c r="M192" i="42"/>
  <c r="Q192" i="42" s="1"/>
  <c r="K193" i="42"/>
  <c r="L193" i="42"/>
  <c r="M193" i="42"/>
  <c r="Q193" i="42" s="1"/>
  <c r="K194" i="42"/>
  <c r="L194" i="42"/>
  <c r="M194" i="42"/>
  <c r="Q194" i="42" s="1"/>
  <c r="K195" i="42"/>
  <c r="L195" i="42"/>
  <c r="M195" i="42"/>
  <c r="Q195" i="42" s="1"/>
  <c r="K196" i="42"/>
  <c r="L196" i="42"/>
  <c r="M196" i="42"/>
  <c r="Q196" i="42" s="1"/>
  <c r="K197" i="42"/>
  <c r="L197" i="42"/>
  <c r="M197" i="42"/>
  <c r="Q197" i="42" s="1"/>
  <c r="K198" i="42"/>
  <c r="L198" i="42"/>
  <c r="M198" i="42"/>
  <c r="Q198" i="42" s="1"/>
  <c r="K199" i="42"/>
  <c r="L199" i="42"/>
  <c r="M199" i="42"/>
  <c r="Q199" i="42" s="1"/>
  <c r="K200" i="42"/>
  <c r="L200" i="42"/>
  <c r="M200" i="42"/>
  <c r="Q200" i="42" s="1"/>
  <c r="K201" i="42"/>
  <c r="L201" i="42"/>
  <c r="M201" i="42"/>
  <c r="Q201" i="42" s="1"/>
  <c r="K202" i="42"/>
  <c r="L202" i="42"/>
  <c r="M202" i="42"/>
  <c r="Q202" i="42" s="1"/>
  <c r="K203" i="42"/>
  <c r="L203" i="42"/>
  <c r="M203" i="42"/>
  <c r="Q203" i="42" s="1"/>
  <c r="K204" i="42"/>
  <c r="L204" i="42"/>
  <c r="M204" i="42"/>
  <c r="Q204" i="42" s="1"/>
  <c r="K205" i="42"/>
  <c r="L205" i="42"/>
  <c r="M205" i="42"/>
  <c r="Q205" i="42" s="1"/>
  <c r="K206" i="42"/>
  <c r="L206" i="42"/>
  <c r="M206" i="42"/>
  <c r="Q206" i="42" s="1"/>
  <c r="K207" i="42"/>
  <c r="L207" i="42"/>
  <c r="M207" i="42"/>
  <c r="Q207" i="42" s="1"/>
  <c r="K208" i="42"/>
  <c r="L208" i="42"/>
  <c r="M208" i="42"/>
  <c r="Q208" i="42" s="1"/>
  <c r="K209" i="42"/>
  <c r="L209" i="42"/>
  <c r="M209" i="42"/>
  <c r="Q209" i="42" s="1"/>
  <c r="K210" i="42"/>
  <c r="L210" i="42"/>
  <c r="M210" i="42"/>
  <c r="Q210" i="42" s="1"/>
  <c r="K211" i="42"/>
  <c r="L211" i="42"/>
  <c r="M211" i="42"/>
  <c r="Q211" i="42" s="1"/>
  <c r="K212" i="42"/>
  <c r="L212" i="42"/>
  <c r="M212" i="42"/>
  <c r="Q212" i="42" s="1"/>
  <c r="K213" i="42"/>
  <c r="L213" i="42"/>
  <c r="M213" i="42"/>
  <c r="Q213" i="42" s="1"/>
  <c r="K214" i="42"/>
  <c r="L214" i="42"/>
  <c r="M214" i="42"/>
  <c r="Q214" i="42" s="1"/>
  <c r="K215" i="42"/>
  <c r="L215" i="42"/>
  <c r="M215" i="42"/>
  <c r="Q215" i="42" s="1"/>
  <c r="K216" i="42"/>
  <c r="L216" i="42"/>
  <c r="M216" i="42"/>
  <c r="Q216" i="42" s="1"/>
  <c r="K217" i="42"/>
  <c r="L217" i="42"/>
  <c r="M217" i="42"/>
  <c r="Q217" i="42" s="1"/>
  <c r="K218" i="42"/>
  <c r="L218" i="42"/>
  <c r="M218" i="42"/>
  <c r="Q218" i="42" s="1"/>
  <c r="K219" i="42"/>
  <c r="L219" i="42"/>
  <c r="M219" i="42"/>
  <c r="Q219" i="42" s="1"/>
  <c r="K220" i="42"/>
  <c r="L220" i="42"/>
  <c r="M220" i="42"/>
  <c r="Q220" i="42" s="1"/>
  <c r="K221" i="42"/>
  <c r="L221" i="42"/>
  <c r="M221" i="42"/>
  <c r="Q221" i="42" s="1"/>
  <c r="K222" i="42"/>
  <c r="L222" i="42"/>
  <c r="M222" i="42"/>
  <c r="Q222" i="42" s="1"/>
  <c r="K223" i="42"/>
  <c r="L223" i="42"/>
  <c r="M223" i="42"/>
  <c r="Q223" i="42" s="1"/>
  <c r="K224" i="42"/>
  <c r="L224" i="42"/>
  <c r="M224" i="42"/>
  <c r="Q224" i="42" s="1"/>
  <c r="K225" i="42"/>
  <c r="L225" i="42"/>
  <c r="M225" i="42"/>
  <c r="Q225" i="42" s="1"/>
  <c r="K226" i="42"/>
  <c r="L226" i="42"/>
  <c r="M226" i="42"/>
  <c r="Q226" i="42" s="1"/>
  <c r="K227" i="42"/>
  <c r="L227" i="42"/>
  <c r="M227" i="42"/>
  <c r="Q227" i="42" s="1"/>
  <c r="K228" i="42"/>
  <c r="L228" i="42"/>
  <c r="M228" i="42"/>
  <c r="Q228" i="42" s="1"/>
  <c r="K229" i="42"/>
  <c r="L229" i="42"/>
  <c r="M229" i="42"/>
  <c r="Q229" i="42" s="1"/>
  <c r="K230" i="42"/>
  <c r="L230" i="42"/>
  <c r="M230" i="42"/>
  <c r="Q230" i="42" s="1"/>
  <c r="K231" i="42"/>
  <c r="L231" i="42"/>
  <c r="M231" i="42"/>
  <c r="Q231" i="42" s="1"/>
  <c r="K232" i="42"/>
  <c r="L232" i="42"/>
  <c r="M232" i="42"/>
  <c r="Q232" i="42" s="1"/>
  <c r="K233" i="42"/>
  <c r="L233" i="42"/>
  <c r="M233" i="42"/>
  <c r="Q233" i="42" s="1"/>
  <c r="K234" i="42"/>
  <c r="L234" i="42"/>
  <c r="M234" i="42"/>
  <c r="Q234" i="42" s="1"/>
  <c r="K235" i="42"/>
  <c r="L235" i="42"/>
  <c r="M235" i="42"/>
  <c r="Q235" i="42" s="1"/>
  <c r="K236" i="42"/>
  <c r="L236" i="42"/>
  <c r="M236" i="42"/>
  <c r="Q236" i="42" s="1"/>
  <c r="K237" i="42"/>
  <c r="L237" i="42"/>
  <c r="M237" i="42"/>
  <c r="Q237" i="42" s="1"/>
  <c r="K238" i="42"/>
  <c r="L238" i="42"/>
  <c r="M238" i="42"/>
  <c r="Q238" i="42" s="1"/>
  <c r="K239" i="42"/>
  <c r="L239" i="42"/>
  <c r="M239" i="42"/>
  <c r="Q239" i="42" s="1"/>
  <c r="K240" i="42"/>
  <c r="L240" i="42"/>
  <c r="M240" i="42"/>
  <c r="Q240" i="42" s="1"/>
  <c r="K241" i="42"/>
  <c r="L241" i="42"/>
  <c r="M241" i="42"/>
  <c r="Q241" i="42" s="1"/>
  <c r="K242" i="42"/>
  <c r="L242" i="42"/>
  <c r="M242" i="42"/>
  <c r="Q242" i="42" s="1"/>
  <c r="K243" i="42"/>
  <c r="L243" i="42"/>
  <c r="M243" i="42"/>
  <c r="Q243" i="42" s="1"/>
  <c r="K244" i="42"/>
  <c r="L244" i="42"/>
  <c r="M244" i="42"/>
  <c r="Q244" i="42" s="1"/>
  <c r="K245" i="42"/>
  <c r="L245" i="42"/>
  <c r="M245" i="42"/>
  <c r="Q245" i="42" s="1"/>
  <c r="K246" i="42"/>
  <c r="L246" i="42"/>
  <c r="M246" i="42"/>
  <c r="Q246" i="42" s="1"/>
  <c r="K247" i="42"/>
  <c r="L247" i="42"/>
  <c r="M247" i="42"/>
  <c r="Q247" i="42" s="1"/>
  <c r="K248" i="42"/>
  <c r="L248" i="42"/>
  <c r="M248" i="42"/>
  <c r="Q248" i="42" s="1"/>
  <c r="K249" i="42"/>
  <c r="L249" i="42"/>
  <c r="M249" i="42"/>
  <c r="Q249" i="42" s="1"/>
  <c r="K250" i="42"/>
  <c r="L250" i="42"/>
  <c r="M250" i="42"/>
  <c r="Q250" i="42" s="1"/>
  <c r="K251" i="42"/>
  <c r="L251" i="42"/>
  <c r="M251" i="42"/>
  <c r="Q251" i="42" s="1"/>
  <c r="K252" i="42"/>
  <c r="L252" i="42"/>
  <c r="M252" i="42"/>
  <c r="Q252" i="42" s="1"/>
  <c r="K253" i="42"/>
  <c r="L253" i="42"/>
  <c r="M253" i="42"/>
  <c r="Q253" i="42" s="1"/>
  <c r="K254" i="42"/>
  <c r="L254" i="42"/>
  <c r="M254" i="42"/>
  <c r="Q254" i="42" s="1"/>
  <c r="K255" i="42"/>
  <c r="L255" i="42"/>
  <c r="M255" i="42"/>
  <c r="Q255" i="42" s="1"/>
  <c r="K256" i="42"/>
  <c r="L256" i="42"/>
  <c r="M256" i="42"/>
  <c r="Q256" i="42" s="1"/>
  <c r="K257" i="42"/>
  <c r="L257" i="42"/>
  <c r="M257" i="42"/>
  <c r="Q257" i="42" s="1"/>
  <c r="K258" i="42"/>
  <c r="L258" i="42"/>
  <c r="M258" i="42"/>
  <c r="Q258" i="42" s="1"/>
  <c r="K259" i="42"/>
  <c r="L259" i="42"/>
  <c r="M259" i="42"/>
  <c r="Q259" i="42" s="1"/>
  <c r="M12" i="42"/>
  <c r="K12" i="42"/>
  <c r="E260" i="42"/>
  <c r="B3" i="42"/>
  <c r="B2" i="42"/>
  <c r="K11" i="52"/>
  <c r="L11" i="52"/>
  <c r="K12" i="52"/>
  <c r="L12" i="52"/>
  <c r="K13" i="52"/>
  <c r="L13" i="52"/>
  <c r="K14" i="52"/>
  <c r="L14" i="52"/>
  <c r="K15" i="52"/>
  <c r="L15" i="52"/>
  <c r="K16" i="52"/>
  <c r="L16" i="52"/>
  <c r="K17" i="52"/>
  <c r="L17" i="52"/>
  <c r="K18" i="52"/>
  <c r="L18" i="52"/>
  <c r="K19" i="52"/>
  <c r="L19" i="52"/>
  <c r="K20" i="52"/>
  <c r="L20" i="52"/>
  <c r="K21" i="52"/>
  <c r="L21" i="52"/>
  <c r="K22" i="52"/>
  <c r="L22" i="52"/>
  <c r="K23" i="52"/>
  <c r="L23" i="52"/>
  <c r="K24" i="52"/>
  <c r="L24" i="52"/>
  <c r="K25" i="52"/>
  <c r="L25" i="52"/>
  <c r="K26" i="52"/>
  <c r="L26" i="52"/>
  <c r="K27" i="52"/>
  <c r="L27" i="52"/>
  <c r="K28" i="52"/>
  <c r="L28" i="52"/>
  <c r="K29" i="52"/>
  <c r="L29" i="52"/>
  <c r="K30" i="52"/>
  <c r="L30" i="52"/>
  <c r="K31" i="52"/>
  <c r="L31" i="52"/>
  <c r="K32" i="52"/>
  <c r="L32" i="52"/>
  <c r="K33" i="52"/>
  <c r="L33" i="52"/>
  <c r="K34" i="52"/>
  <c r="L34" i="52"/>
  <c r="K35" i="52"/>
  <c r="L35" i="52"/>
  <c r="K36" i="52"/>
  <c r="L36" i="52"/>
  <c r="K37" i="52"/>
  <c r="L37" i="52"/>
  <c r="K38" i="52"/>
  <c r="L38" i="52"/>
  <c r="K39" i="52"/>
  <c r="L39" i="52"/>
  <c r="K40" i="52"/>
  <c r="L40" i="52"/>
  <c r="K41" i="52"/>
  <c r="L41" i="52"/>
  <c r="K42" i="52"/>
  <c r="L42" i="52"/>
  <c r="K43" i="52"/>
  <c r="L43" i="52"/>
  <c r="K44" i="52"/>
  <c r="L44" i="52"/>
  <c r="K45" i="52"/>
  <c r="L45" i="52"/>
  <c r="K46" i="52"/>
  <c r="L46" i="52"/>
  <c r="K47" i="52"/>
  <c r="L47" i="52"/>
  <c r="K48" i="52"/>
  <c r="L48" i="52"/>
  <c r="K49" i="52"/>
  <c r="L49" i="52"/>
  <c r="K50" i="52"/>
  <c r="L50" i="52"/>
  <c r="K51" i="52"/>
  <c r="L51" i="52"/>
  <c r="K52" i="52"/>
  <c r="L52" i="52"/>
  <c r="K53" i="52"/>
  <c r="L53" i="52"/>
  <c r="K54" i="52"/>
  <c r="L54" i="52"/>
  <c r="K55" i="52"/>
  <c r="L55" i="52"/>
  <c r="K56" i="52"/>
  <c r="L56" i="52"/>
  <c r="K57" i="52"/>
  <c r="L57" i="52"/>
  <c r="K58" i="52"/>
  <c r="L58" i="52"/>
  <c r="K59" i="52"/>
  <c r="L59" i="52"/>
  <c r="K60" i="52"/>
  <c r="L60" i="52"/>
  <c r="K61" i="52"/>
  <c r="L61" i="52"/>
  <c r="K62" i="52"/>
  <c r="L62" i="52"/>
  <c r="K63" i="52"/>
  <c r="L63" i="52"/>
  <c r="K64" i="52"/>
  <c r="L64" i="52"/>
  <c r="K65" i="52"/>
  <c r="L65" i="52"/>
  <c r="K66" i="52"/>
  <c r="L66" i="52"/>
  <c r="K67" i="52"/>
  <c r="L67" i="52"/>
  <c r="K68" i="52"/>
  <c r="L68" i="52"/>
  <c r="K69" i="52"/>
  <c r="L69" i="52"/>
  <c r="K70" i="52"/>
  <c r="L70" i="52"/>
  <c r="K71" i="52"/>
  <c r="L71" i="52"/>
  <c r="K72" i="52"/>
  <c r="L72" i="52"/>
  <c r="K73" i="52"/>
  <c r="L73" i="52"/>
  <c r="K74" i="52"/>
  <c r="L74" i="52"/>
  <c r="K75" i="52"/>
  <c r="L75" i="52"/>
  <c r="K76" i="52"/>
  <c r="L76" i="52"/>
  <c r="K77" i="52"/>
  <c r="L77" i="52"/>
  <c r="K78" i="52"/>
  <c r="L78" i="52"/>
  <c r="K79" i="52"/>
  <c r="L79" i="52"/>
  <c r="K80" i="52"/>
  <c r="L80" i="52"/>
  <c r="K81" i="52"/>
  <c r="L81" i="52"/>
  <c r="K82" i="52"/>
  <c r="L82" i="52"/>
  <c r="K83" i="52"/>
  <c r="L83" i="52"/>
  <c r="K84" i="52"/>
  <c r="L84" i="52"/>
  <c r="K85" i="52"/>
  <c r="L85" i="52"/>
  <c r="K86" i="52"/>
  <c r="L86" i="52"/>
  <c r="K87" i="52"/>
  <c r="L87" i="52"/>
  <c r="K88" i="52"/>
  <c r="L88" i="52"/>
  <c r="K89" i="52"/>
  <c r="L89" i="52"/>
  <c r="K90" i="52"/>
  <c r="L90" i="52"/>
  <c r="K91" i="52"/>
  <c r="L91" i="52"/>
  <c r="K92" i="52"/>
  <c r="L92" i="52"/>
  <c r="K93" i="52"/>
  <c r="L93" i="52"/>
  <c r="K94" i="52"/>
  <c r="L94" i="52"/>
  <c r="K95" i="52"/>
  <c r="L95" i="52"/>
  <c r="K96" i="52"/>
  <c r="L96" i="52"/>
  <c r="K97" i="52"/>
  <c r="L97" i="52"/>
  <c r="K98" i="52"/>
  <c r="L98" i="52"/>
  <c r="K99" i="52"/>
  <c r="L99" i="52"/>
  <c r="K100" i="52"/>
  <c r="L100" i="52"/>
  <c r="K101" i="52"/>
  <c r="L101" i="52"/>
  <c r="K102" i="52"/>
  <c r="L102" i="52"/>
  <c r="K103" i="52"/>
  <c r="L103" i="52"/>
  <c r="K104" i="52"/>
  <c r="L104" i="52"/>
  <c r="K105" i="52"/>
  <c r="L105" i="52"/>
  <c r="K106" i="52"/>
  <c r="L106" i="52"/>
  <c r="K107" i="52"/>
  <c r="L107" i="52"/>
  <c r="K108" i="52"/>
  <c r="L108" i="52"/>
  <c r="K109" i="52"/>
  <c r="L109" i="52"/>
  <c r="K110" i="52"/>
  <c r="L110" i="52"/>
  <c r="K111" i="52"/>
  <c r="L111" i="52"/>
  <c r="K112" i="52"/>
  <c r="L112" i="52"/>
  <c r="K113" i="52"/>
  <c r="L113" i="52"/>
  <c r="K114" i="52"/>
  <c r="L114" i="52"/>
  <c r="K115" i="52"/>
  <c r="L115" i="52"/>
  <c r="K116" i="52"/>
  <c r="L116" i="52"/>
  <c r="K117" i="52"/>
  <c r="L117" i="52"/>
  <c r="K118" i="52"/>
  <c r="L118" i="52"/>
  <c r="K119" i="52"/>
  <c r="L119" i="52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K150" i="52"/>
  <c r="L150" i="52"/>
  <c r="K151" i="52"/>
  <c r="L151" i="52"/>
  <c r="K152" i="52"/>
  <c r="L152" i="52"/>
  <c r="K153" i="52"/>
  <c r="L153" i="52"/>
  <c r="K154" i="52"/>
  <c r="L154" i="52"/>
  <c r="K155" i="52"/>
  <c r="L155" i="52"/>
  <c r="K156" i="52"/>
  <c r="L156" i="52"/>
  <c r="K157" i="52"/>
  <c r="L157" i="52"/>
  <c r="K158" i="52"/>
  <c r="L158" i="52"/>
  <c r="K159" i="52"/>
  <c r="L159" i="52"/>
  <c r="K160" i="52"/>
  <c r="L160" i="52"/>
  <c r="K161" i="52"/>
  <c r="L161" i="52"/>
  <c r="K162" i="52"/>
  <c r="L162" i="52"/>
  <c r="K163" i="52"/>
  <c r="L163" i="52"/>
  <c r="K164" i="52"/>
  <c r="L164" i="52"/>
  <c r="K165" i="52"/>
  <c r="L165" i="52"/>
  <c r="K166" i="52"/>
  <c r="L166" i="52"/>
  <c r="K167" i="52"/>
  <c r="L167" i="52"/>
  <c r="K168" i="52"/>
  <c r="L168" i="52"/>
  <c r="K169" i="52"/>
  <c r="L169" i="52"/>
  <c r="K170" i="52"/>
  <c r="L170" i="52"/>
  <c r="K171" i="52"/>
  <c r="L171" i="52"/>
  <c r="K172" i="52"/>
  <c r="L172" i="52"/>
  <c r="K173" i="52"/>
  <c r="L173" i="52"/>
  <c r="K174" i="52"/>
  <c r="L174" i="52"/>
  <c r="K175" i="52"/>
  <c r="L175" i="52"/>
  <c r="K176" i="52"/>
  <c r="L176" i="52"/>
  <c r="K177" i="52"/>
  <c r="L177" i="52"/>
  <c r="K178" i="52"/>
  <c r="L178" i="52"/>
  <c r="K179" i="52"/>
  <c r="L179" i="52"/>
  <c r="K180" i="52"/>
  <c r="L180" i="52"/>
  <c r="K181" i="52"/>
  <c r="L181" i="52"/>
  <c r="K182" i="52"/>
  <c r="L182" i="52"/>
  <c r="K183" i="52"/>
  <c r="L183" i="52"/>
  <c r="K184" i="52"/>
  <c r="L184" i="52"/>
  <c r="K185" i="52"/>
  <c r="L185" i="52"/>
  <c r="K186" i="52"/>
  <c r="L186" i="52"/>
  <c r="K187" i="52"/>
  <c r="L187" i="52"/>
  <c r="K188" i="52"/>
  <c r="L188" i="52"/>
  <c r="K189" i="52"/>
  <c r="L189" i="52"/>
  <c r="K190" i="52"/>
  <c r="L190" i="52"/>
  <c r="K191" i="52"/>
  <c r="L191" i="52"/>
  <c r="K192" i="52"/>
  <c r="L192" i="52"/>
  <c r="K193" i="52"/>
  <c r="L193" i="52"/>
  <c r="K194" i="52"/>
  <c r="L194" i="52"/>
  <c r="K195" i="52"/>
  <c r="L195" i="52"/>
  <c r="K196" i="52"/>
  <c r="L196" i="52"/>
  <c r="K197" i="52"/>
  <c r="L197" i="52"/>
  <c r="K198" i="52"/>
  <c r="L198" i="52"/>
  <c r="K199" i="52"/>
  <c r="L199" i="52"/>
  <c r="K200" i="52"/>
  <c r="L200" i="52"/>
  <c r="K201" i="52"/>
  <c r="L201" i="52"/>
  <c r="K202" i="52"/>
  <c r="L202" i="52"/>
  <c r="K203" i="52"/>
  <c r="L203" i="52"/>
  <c r="K204" i="52"/>
  <c r="L204" i="52"/>
  <c r="K205" i="52"/>
  <c r="L205" i="52"/>
  <c r="K206" i="52"/>
  <c r="L206" i="52"/>
  <c r="K207" i="52"/>
  <c r="L207" i="52"/>
  <c r="K208" i="52"/>
  <c r="L208" i="52"/>
  <c r="K209" i="52"/>
  <c r="L209" i="52"/>
  <c r="K210" i="52"/>
  <c r="L210" i="52"/>
  <c r="K211" i="52"/>
  <c r="L211" i="52"/>
  <c r="K212" i="52"/>
  <c r="L212" i="52"/>
  <c r="K213" i="52"/>
  <c r="L213" i="52"/>
  <c r="K214" i="52"/>
  <c r="L214" i="52"/>
  <c r="K215" i="52"/>
  <c r="L215" i="52"/>
  <c r="K216" i="52"/>
  <c r="L216" i="52"/>
  <c r="K217" i="52"/>
  <c r="L217" i="52"/>
  <c r="K218" i="52"/>
  <c r="L218" i="52"/>
  <c r="K219" i="52"/>
  <c r="L219" i="52"/>
  <c r="K220" i="52"/>
  <c r="L220" i="52"/>
  <c r="K221" i="52"/>
  <c r="L221" i="52"/>
  <c r="K222" i="52"/>
  <c r="L222" i="52"/>
  <c r="K223" i="52"/>
  <c r="L223" i="52"/>
  <c r="K224" i="52"/>
  <c r="L224" i="52"/>
  <c r="K225" i="52"/>
  <c r="L225" i="52"/>
  <c r="K226" i="52"/>
  <c r="L226" i="52"/>
  <c r="K227" i="52"/>
  <c r="L227" i="52"/>
  <c r="K228" i="52"/>
  <c r="L228" i="52"/>
  <c r="K229" i="52"/>
  <c r="L229" i="52"/>
  <c r="K230" i="52"/>
  <c r="L230" i="52"/>
  <c r="K231" i="52"/>
  <c r="L231" i="52"/>
  <c r="K232" i="52"/>
  <c r="L232" i="52"/>
  <c r="K233" i="52"/>
  <c r="L233" i="52"/>
  <c r="K234" i="52"/>
  <c r="L234" i="52"/>
  <c r="K235" i="52"/>
  <c r="L235" i="52"/>
  <c r="K236" i="52"/>
  <c r="L236" i="52"/>
  <c r="K237" i="52"/>
  <c r="L237" i="52"/>
  <c r="K238" i="52"/>
  <c r="L238" i="52"/>
  <c r="K239" i="52"/>
  <c r="L239" i="52"/>
  <c r="K240" i="52"/>
  <c r="L240" i="52"/>
  <c r="K241" i="52"/>
  <c r="L241" i="52"/>
  <c r="K242" i="52"/>
  <c r="L242" i="52"/>
  <c r="K243" i="52"/>
  <c r="L243" i="52"/>
  <c r="K244" i="52"/>
  <c r="L244" i="52"/>
  <c r="K245" i="52"/>
  <c r="L245" i="52"/>
  <c r="K246" i="52"/>
  <c r="L246" i="52"/>
  <c r="K247" i="52"/>
  <c r="L247" i="52"/>
  <c r="K248" i="52"/>
  <c r="L248" i="52"/>
  <c r="K249" i="52"/>
  <c r="L249" i="52"/>
  <c r="K250" i="52"/>
  <c r="L250" i="52"/>
  <c r="K251" i="52"/>
  <c r="L251" i="52"/>
  <c r="K252" i="52"/>
  <c r="L252" i="52"/>
  <c r="K253" i="52"/>
  <c r="L253" i="52"/>
  <c r="K254" i="52"/>
  <c r="L254" i="52"/>
  <c r="K255" i="52"/>
  <c r="L255" i="52"/>
  <c r="K256" i="52"/>
  <c r="L256" i="52"/>
  <c r="K257" i="52"/>
  <c r="L257" i="52"/>
  <c r="L10" i="52"/>
  <c r="K10" i="52"/>
  <c r="Q258" i="52"/>
  <c r="P258" i="52"/>
  <c r="F24" i="36" s="1"/>
  <c r="E258" i="52"/>
  <c r="AF257" i="52"/>
  <c r="AE257" i="52"/>
  <c r="AF256" i="52"/>
  <c r="AE256" i="52"/>
  <c r="AF255" i="52"/>
  <c r="AE255" i="52"/>
  <c r="AF254" i="52"/>
  <c r="AE254" i="52"/>
  <c r="AF253" i="52"/>
  <c r="AE253" i="52"/>
  <c r="AF252" i="52"/>
  <c r="AE252" i="52"/>
  <c r="AF251" i="52"/>
  <c r="AE251" i="52"/>
  <c r="AF250" i="52"/>
  <c r="AE250" i="52"/>
  <c r="AF249" i="52"/>
  <c r="AE249" i="52"/>
  <c r="AF248" i="52"/>
  <c r="AE248" i="52"/>
  <c r="AF247" i="52"/>
  <c r="AE247" i="52"/>
  <c r="AF246" i="52"/>
  <c r="AE246" i="52"/>
  <c r="AF245" i="52"/>
  <c r="AE245" i="52"/>
  <c r="AF244" i="52"/>
  <c r="AE244" i="52"/>
  <c r="AF243" i="52"/>
  <c r="AE243" i="52"/>
  <c r="AF242" i="52"/>
  <c r="AE242" i="52"/>
  <c r="AF241" i="52"/>
  <c r="AE241" i="52"/>
  <c r="AF240" i="52"/>
  <c r="AE240" i="52"/>
  <c r="AF239" i="52"/>
  <c r="AE239" i="52"/>
  <c r="AF238" i="52"/>
  <c r="AE238" i="52"/>
  <c r="AF237" i="52"/>
  <c r="AE237" i="52"/>
  <c r="AF236" i="52"/>
  <c r="AE236" i="52"/>
  <c r="AF235" i="52"/>
  <c r="AE235" i="52"/>
  <c r="AF234" i="52"/>
  <c r="AE234" i="52"/>
  <c r="AF233" i="52"/>
  <c r="AE233" i="52"/>
  <c r="AF232" i="52"/>
  <c r="AE232" i="52"/>
  <c r="AF231" i="52"/>
  <c r="AE231" i="52"/>
  <c r="AF230" i="52"/>
  <c r="AE230" i="52"/>
  <c r="AF229" i="52"/>
  <c r="AE229" i="52"/>
  <c r="AF228" i="52"/>
  <c r="AE228" i="52"/>
  <c r="AF227" i="52"/>
  <c r="AE227" i="52"/>
  <c r="AF226" i="52"/>
  <c r="AE226" i="52"/>
  <c r="AF225" i="52"/>
  <c r="AE225" i="52"/>
  <c r="AF224" i="52"/>
  <c r="AE224" i="52"/>
  <c r="AF223" i="52"/>
  <c r="AE223" i="52"/>
  <c r="AF222" i="52"/>
  <c r="AE222" i="52"/>
  <c r="AF221" i="52"/>
  <c r="AE221" i="52"/>
  <c r="AF220" i="52"/>
  <c r="AE220" i="52"/>
  <c r="AF219" i="52"/>
  <c r="AE219" i="52"/>
  <c r="AF218" i="52"/>
  <c r="AE218" i="52"/>
  <c r="AF217" i="52"/>
  <c r="AE217" i="52"/>
  <c r="AF216" i="52"/>
  <c r="AE216" i="52"/>
  <c r="AF215" i="52"/>
  <c r="AE215" i="52"/>
  <c r="AF214" i="52"/>
  <c r="AE214" i="52"/>
  <c r="AF213" i="52"/>
  <c r="AE213" i="52"/>
  <c r="AF212" i="52"/>
  <c r="AE212" i="52"/>
  <c r="AF211" i="52"/>
  <c r="AE211" i="52"/>
  <c r="AF210" i="52"/>
  <c r="AE210" i="52"/>
  <c r="AF209" i="52"/>
  <c r="AE209" i="52"/>
  <c r="AF208" i="52"/>
  <c r="AE208" i="52"/>
  <c r="AF207" i="52"/>
  <c r="AE207" i="52"/>
  <c r="AF206" i="52"/>
  <c r="AE206" i="52"/>
  <c r="AF205" i="52"/>
  <c r="AE205" i="52"/>
  <c r="AF204" i="52"/>
  <c r="AE204" i="52"/>
  <c r="AF203" i="52"/>
  <c r="AE203" i="52"/>
  <c r="AF202" i="52"/>
  <c r="AE202" i="52"/>
  <c r="AF201" i="52"/>
  <c r="AE201" i="52"/>
  <c r="AF200" i="52"/>
  <c r="AE200" i="52"/>
  <c r="AF199" i="52"/>
  <c r="AE199" i="52"/>
  <c r="AF198" i="52"/>
  <c r="AE198" i="52"/>
  <c r="AF197" i="52"/>
  <c r="AE197" i="52"/>
  <c r="AF196" i="52"/>
  <c r="AE196" i="52"/>
  <c r="AF195" i="52"/>
  <c r="AE195" i="52"/>
  <c r="AF194" i="52"/>
  <c r="AE194" i="52"/>
  <c r="AF193" i="52"/>
  <c r="AE193" i="52"/>
  <c r="AF192" i="52"/>
  <c r="AE192" i="52"/>
  <c r="AF191" i="52"/>
  <c r="AE191" i="52"/>
  <c r="AF190" i="52"/>
  <c r="AE190" i="52"/>
  <c r="AF189" i="52"/>
  <c r="AE189" i="52"/>
  <c r="AF188" i="52"/>
  <c r="AE188" i="52"/>
  <c r="AF187" i="52"/>
  <c r="AE187" i="52"/>
  <c r="AF186" i="52"/>
  <c r="AE186" i="52"/>
  <c r="AF185" i="52"/>
  <c r="AE185" i="52"/>
  <c r="AF184" i="52"/>
  <c r="AE184" i="52"/>
  <c r="AF183" i="52"/>
  <c r="AE183" i="52"/>
  <c r="AF182" i="52"/>
  <c r="AE182" i="52"/>
  <c r="AF181" i="52"/>
  <c r="AE181" i="52"/>
  <c r="AF180" i="52"/>
  <c r="AE180" i="52"/>
  <c r="AF179" i="52"/>
  <c r="AE179" i="52"/>
  <c r="AF178" i="52"/>
  <c r="AE178" i="52"/>
  <c r="AF177" i="52"/>
  <c r="AE177" i="52"/>
  <c r="AF176" i="52"/>
  <c r="AE176" i="52"/>
  <c r="AF175" i="52"/>
  <c r="AE175" i="52"/>
  <c r="AF174" i="52"/>
  <c r="AE174" i="52"/>
  <c r="AF173" i="52"/>
  <c r="AE173" i="52"/>
  <c r="AF172" i="52"/>
  <c r="AE172" i="52"/>
  <c r="AF171" i="52"/>
  <c r="AE171" i="52"/>
  <c r="AF170" i="52"/>
  <c r="AE170" i="52"/>
  <c r="AF169" i="52"/>
  <c r="AE169" i="52"/>
  <c r="AF168" i="52"/>
  <c r="AE168" i="52"/>
  <c r="AF167" i="52"/>
  <c r="AE167" i="52"/>
  <c r="AF166" i="52"/>
  <c r="AE166" i="52"/>
  <c r="AF165" i="52"/>
  <c r="AE165" i="52"/>
  <c r="AF164" i="52"/>
  <c r="AE164" i="52"/>
  <c r="AF163" i="52"/>
  <c r="AE163" i="52"/>
  <c r="AF162" i="52"/>
  <c r="AE162" i="52"/>
  <c r="AF161" i="52"/>
  <c r="AE161" i="52"/>
  <c r="AF160" i="52"/>
  <c r="AE160" i="52"/>
  <c r="AF159" i="52"/>
  <c r="AE159" i="52"/>
  <c r="AF158" i="52"/>
  <c r="AE158" i="52"/>
  <c r="AF157" i="52"/>
  <c r="AE157" i="52"/>
  <c r="AF156" i="52"/>
  <c r="AE156" i="52"/>
  <c r="AF155" i="52"/>
  <c r="AE155" i="52"/>
  <c r="AF154" i="52"/>
  <c r="AE154" i="52"/>
  <c r="AF153" i="52"/>
  <c r="AE153" i="52"/>
  <c r="AF152" i="52"/>
  <c r="AE152" i="52"/>
  <c r="AF151" i="52"/>
  <c r="AE151" i="52"/>
  <c r="AF150" i="52"/>
  <c r="AE150" i="52"/>
  <c r="AF149" i="52"/>
  <c r="AE149" i="52"/>
  <c r="AF148" i="52"/>
  <c r="AE148" i="52"/>
  <c r="AF147" i="52"/>
  <c r="AE147" i="52"/>
  <c r="AF146" i="52"/>
  <c r="AE146" i="52"/>
  <c r="AF145" i="52"/>
  <c r="AE145" i="52"/>
  <c r="AF144" i="52"/>
  <c r="AE144" i="52"/>
  <c r="AF143" i="52"/>
  <c r="AE143" i="52"/>
  <c r="AF142" i="52"/>
  <c r="AE142" i="52"/>
  <c r="AF141" i="52"/>
  <c r="AE141" i="52"/>
  <c r="AF140" i="52"/>
  <c r="AE140" i="52"/>
  <c r="AF139" i="52"/>
  <c r="AE139" i="52"/>
  <c r="AF138" i="52"/>
  <c r="AE138" i="52"/>
  <c r="AF137" i="52"/>
  <c r="AE137" i="52"/>
  <c r="AF136" i="52"/>
  <c r="AE136" i="52"/>
  <c r="AF135" i="52"/>
  <c r="AE135" i="52"/>
  <c r="AF134" i="52"/>
  <c r="AE134" i="52"/>
  <c r="AF133" i="52"/>
  <c r="AE133" i="52"/>
  <c r="AF132" i="52"/>
  <c r="AE132" i="52"/>
  <c r="AF131" i="52"/>
  <c r="AE131" i="52"/>
  <c r="AF130" i="52"/>
  <c r="AE130" i="52"/>
  <c r="AF129" i="52"/>
  <c r="AE129" i="52"/>
  <c r="AF128" i="52"/>
  <c r="AE128" i="52"/>
  <c r="AF127" i="52"/>
  <c r="AE127" i="52"/>
  <c r="AF126" i="52"/>
  <c r="AE126" i="52"/>
  <c r="AF125" i="52"/>
  <c r="AE125" i="52"/>
  <c r="AF124" i="52"/>
  <c r="AE124" i="52"/>
  <c r="AF123" i="52"/>
  <c r="AE123" i="52"/>
  <c r="AF122" i="52"/>
  <c r="AE122" i="52"/>
  <c r="AF121" i="52"/>
  <c r="AE121" i="52"/>
  <c r="AF120" i="52"/>
  <c r="AE120" i="52"/>
  <c r="AF119" i="52"/>
  <c r="AE119" i="52"/>
  <c r="AF118" i="52"/>
  <c r="AE118" i="52"/>
  <c r="AF117" i="52"/>
  <c r="AE117" i="52"/>
  <c r="AF116" i="52"/>
  <c r="AE116" i="52"/>
  <c r="AF115" i="52"/>
  <c r="AE115" i="52"/>
  <c r="AF114" i="52"/>
  <c r="AE114" i="52"/>
  <c r="AF113" i="52"/>
  <c r="AE113" i="52"/>
  <c r="AF112" i="52"/>
  <c r="AE112" i="52"/>
  <c r="AF111" i="52"/>
  <c r="AE111" i="52"/>
  <c r="AF110" i="52"/>
  <c r="AE110" i="52"/>
  <c r="AF109" i="52"/>
  <c r="AE109" i="52"/>
  <c r="AF108" i="52"/>
  <c r="AE108" i="52"/>
  <c r="AF107" i="52"/>
  <c r="AE107" i="52"/>
  <c r="AF106" i="52"/>
  <c r="AE106" i="52"/>
  <c r="AF105" i="52"/>
  <c r="AE105" i="52"/>
  <c r="AF104" i="52"/>
  <c r="AE104" i="52"/>
  <c r="AF103" i="52"/>
  <c r="AE103" i="52"/>
  <c r="AF102" i="52"/>
  <c r="AE102" i="52"/>
  <c r="AF101" i="52"/>
  <c r="AE101" i="52"/>
  <c r="AF100" i="52"/>
  <c r="AE100" i="52"/>
  <c r="AF99" i="52"/>
  <c r="AE99" i="52"/>
  <c r="AF98" i="52"/>
  <c r="AE98" i="52"/>
  <c r="AF97" i="52"/>
  <c r="AE97" i="52"/>
  <c r="AF96" i="52"/>
  <c r="AE96" i="52"/>
  <c r="AF95" i="52"/>
  <c r="AE95" i="52"/>
  <c r="AF94" i="52"/>
  <c r="AE94" i="52"/>
  <c r="AF93" i="52"/>
  <c r="AE93" i="52"/>
  <c r="AF92" i="52"/>
  <c r="AE92" i="52"/>
  <c r="AF91" i="52"/>
  <c r="AE91" i="52"/>
  <c r="AF90" i="52"/>
  <c r="AE90" i="52"/>
  <c r="AF89" i="52"/>
  <c r="AE89" i="52"/>
  <c r="AF88" i="52"/>
  <c r="AE88" i="52"/>
  <c r="AF87" i="52"/>
  <c r="AE87" i="52"/>
  <c r="AF86" i="52"/>
  <c r="AE86" i="52"/>
  <c r="AF85" i="52"/>
  <c r="AE85" i="52"/>
  <c r="AF84" i="52"/>
  <c r="AE84" i="52"/>
  <c r="AF83" i="52"/>
  <c r="AE83" i="52"/>
  <c r="AF82" i="52"/>
  <c r="AE82" i="52"/>
  <c r="AF81" i="52"/>
  <c r="AE81" i="52"/>
  <c r="AF80" i="52"/>
  <c r="AE80" i="52"/>
  <c r="AF79" i="52"/>
  <c r="AE79" i="52"/>
  <c r="AF78" i="52"/>
  <c r="AE78" i="52"/>
  <c r="AF77" i="52"/>
  <c r="AE77" i="52"/>
  <c r="AF76" i="52"/>
  <c r="AE76" i="52"/>
  <c r="AF75" i="52"/>
  <c r="AE75" i="52"/>
  <c r="AF74" i="52"/>
  <c r="AE74" i="52"/>
  <c r="AF73" i="52"/>
  <c r="AE73" i="52"/>
  <c r="AF72" i="52"/>
  <c r="AE72" i="52"/>
  <c r="AF71" i="52"/>
  <c r="AE71" i="52"/>
  <c r="AF70" i="52"/>
  <c r="AE70" i="52"/>
  <c r="AF69" i="52"/>
  <c r="AE69" i="52"/>
  <c r="AF68" i="52"/>
  <c r="AE68" i="52"/>
  <c r="AF67" i="52"/>
  <c r="AE67" i="52"/>
  <c r="AF66" i="52"/>
  <c r="AE66" i="52"/>
  <c r="AF65" i="52"/>
  <c r="AE65" i="52"/>
  <c r="AF64" i="52"/>
  <c r="AE64" i="52"/>
  <c r="AF63" i="52"/>
  <c r="AE63" i="52"/>
  <c r="AF62" i="52"/>
  <c r="AE62" i="52"/>
  <c r="AF61" i="52"/>
  <c r="AE61" i="52"/>
  <c r="AF60" i="52"/>
  <c r="AE60" i="52"/>
  <c r="AF59" i="52"/>
  <c r="AE59" i="52"/>
  <c r="AF58" i="52"/>
  <c r="AE58" i="52"/>
  <c r="AF57" i="52"/>
  <c r="AE57" i="52"/>
  <c r="AF56" i="52"/>
  <c r="AE56" i="52"/>
  <c r="AF55" i="52"/>
  <c r="AE55" i="52"/>
  <c r="AF54" i="52"/>
  <c r="AE54" i="52"/>
  <c r="AF53" i="52"/>
  <c r="AE53" i="52"/>
  <c r="AF52" i="52"/>
  <c r="AE52" i="52"/>
  <c r="AF51" i="52"/>
  <c r="AE51" i="52"/>
  <c r="AF50" i="52"/>
  <c r="AE50" i="52"/>
  <c r="AF49" i="52"/>
  <c r="AE49" i="52"/>
  <c r="AF48" i="52"/>
  <c r="AE48" i="52"/>
  <c r="AF47" i="52"/>
  <c r="AE47" i="52"/>
  <c r="AF46" i="52"/>
  <c r="AE46" i="52"/>
  <c r="AF45" i="52"/>
  <c r="AE45" i="52"/>
  <c r="AF44" i="52"/>
  <c r="AE44" i="52"/>
  <c r="AF43" i="52"/>
  <c r="AE43" i="52"/>
  <c r="AF42" i="52"/>
  <c r="AE42" i="52"/>
  <c r="AF41" i="52"/>
  <c r="AE41" i="52"/>
  <c r="AF40" i="52"/>
  <c r="AE40" i="52"/>
  <c r="AF39" i="52"/>
  <c r="AE39" i="52"/>
  <c r="AF38" i="52"/>
  <c r="AE38" i="52"/>
  <c r="AF37" i="52"/>
  <c r="AE37" i="52"/>
  <c r="AF36" i="52"/>
  <c r="AE36" i="52"/>
  <c r="AF35" i="52"/>
  <c r="AE35" i="52"/>
  <c r="AF34" i="52"/>
  <c r="AE34" i="52"/>
  <c r="AF33" i="52"/>
  <c r="AE33" i="52"/>
  <c r="AF32" i="52"/>
  <c r="AE32" i="52"/>
  <c r="AF31" i="52"/>
  <c r="AE31" i="52"/>
  <c r="AF30" i="52"/>
  <c r="AE30" i="52"/>
  <c r="AF29" i="52"/>
  <c r="AE29" i="52"/>
  <c r="AF28" i="52"/>
  <c r="AE28" i="52"/>
  <c r="AF27" i="52"/>
  <c r="AE27" i="52"/>
  <c r="AF26" i="52"/>
  <c r="AE26" i="52"/>
  <c r="AF25" i="52"/>
  <c r="AE25" i="52"/>
  <c r="AF24" i="52"/>
  <c r="AE24" i="52"/>
  <c r="AF23" i="52"/>
  <c r="AE23" i="52"/>
  <c r="AF22" i="52"/>
  <c r="AE22" i="52"/>
  <c r="AF21" i="52"/>
  <c r="AE21" i="52"/>
  <c r="AF20" i="52"/>
  <c r="AE20" i="52"/>
  <c r="AF19" i="52"/>
  <c r="AE19" i="52"/>
  <c r="AF18" i="52"/>
  <c r="AE18" i="52"/>
  <c r="AF17" i="52"/>
  <c r="AE17" i="52"/>
  <c r="AF16" i="52"/>
  <c r="AE16" i="52"/>
  <c r="AF15" i="52"/>
  <c r="AE15" i="52"/>
  <c r="AF14" i="52"/>
  <c r="AE14" i="52"/>
  <c r="AF13" i="52"/>
  <c r="AE13" i="52"/>
  <c r="AF12" i="52"/>
  <c r="AE12" i="52"/>
  <c r="AF11" i="52"/>
  <c r="AE11" i="52"/>
  <c r="AF10" i="52"/>
  <c r="AE10" i="52"/>
  <c r="B3" i="52"/>
  <c r="B2" i="52"/>
  <c r="V12" i="42" l="1"/>
  <c r="N238" i="52"/>
  <c r="U238" i="52" s="1"/>
  <c r="N154" i="52"/>
  <c r="U154" i="52" s="1"/>
  <c r="N174" i="52"/>
  <c r="U174" i="52" s="1"/>
  <c r="N90" i="52"/>
  <c r="U90" i="52" s="1"/>
  <c r="K100" i="36"/>
  <c r="N110" i="52"/>
  <c r="U110" i="52" s="1"/>
  <c r="N26" i="52"/>
  <c r="U26" i="52" s="1"/>
  <c r="N218" i="52"/>
  <c r="U218" i="52" s="1"/>
  <c r="N46" i="52"/>
  <c r="U46" i="52" s="1"/>
  <c r="N100" i="52"/>
  <c r="U100" i="52" s="1"/>
  <c r="N214" i="52"/>
  <c r="U214" i="52" s="1"/>
  <c r="N204" i="52"/>
  <c r="U204" i="52" s="1"/>
  <c r="N194" i="52"/>
  <c r="U194" i="52" s="1"/>
  <c r="N150" i="52"/>
  <c r="U150" i="52" s="1"/>
  <c r="N140" i="52"/>
  <c r="U140" i="52" s="1"/>
  <c r="N130" i="52"/>
  <c r="U130" i="52" s="1"/>
  <c r="N228" i="52"/>
  <c r="U228" i="52" s="1"/>
  <c r="N164" i="52"/>
  <c r="U164" i="52" s="1"/>
  <c r="N36" i="52"/>
  <c r="U36" i="52" s="1"/>
  <c r="N208" i="52"/>
  <c r="U208" i="52" s="1"/>
  <c r="N144" i="52"/>
  <c r="U144" i="52" s="1"/>
  <c r="N80" i="52"/>
  <c r="U80" i="52" s="1"/>
  <c r="N250" i="52"/>
  <c r="U250" i="52" s="1"/>
  <c r="N240" i="52"/>
  <c r="U240" i="52" s="1"/>
  <c r="N206" i="52"/>
  <c r="U206" i="52" s="1"/>
  <c r="N196" i="52"/>
  <c r="U196" i="52" s="1"/>
  <c r="N186" i="52"/>
  <c r="U186" i="52" s="1"/>
  <c r="N176" i="52"/>
  <c r="U176" i="52" s="1"/>
  <c r="N142" i="52"/>
  <c r="U142" i="52" s="1"/>
  <c r="N132" i="52"/>
  <c r="U132" i="52" s="1"/>
  <c r="N122" i="52"/>
  <c r="U122" i="52" s="1"/>
  <c r="N112" i="52"/>
  <c r="U112" i="52" s="1"/>
  <c r="N78" i="52"/>
  <c r="U78" i="52" s="1"/>
  <c r="N68" i="52"/>
  <c r="U68" i="52" s="1"/>
  <c r="N58" i="52"/>
  <c r="U58" i="52" s="1"/>
  <c r="N48" i="52"/>
  <c r="U48" i="52" s="1"/>
  <c r="N236" i="52"/>
  <c r="U236" i="52" s="1"/>
  <c r="N226" i="52"/>
  <c r="U226" i="52" s="1"/>
  <c r="N10" i="52"/>
  <c r="I147" i="22"/>
  <c r="K108" i="36"/>
  <c r="K106" i="36"/>
  <c r="K104" i="36"/>
  <c r="K102" i="36"/>
  <c r="N16" i="52"/>
  <c r="U16" i="52" s="1"/>
  <c r="F21" i="36"/>
  <c r="N216" i="52"/>
  <c r="U216" i="52" s="1"/>
  <c r="N184" i="52"/>
  <c r="U184" i="52" s="1"/>
  <c r="N152" i="52"/>
  <c r="U152" i="52" s="1"/>
  <c r="N120" i="52"/>
  <c r="U120" i="52" s="1"/>
  <c r="N88" i="52"/>
  <c r="U88" i="52" s="1"/>
  <c r="N66" i="52"/>
  <c r="U66" i="52" s="1"/>
  <c r="N56" i="52"/>
  <c r="U56" i="52" s="1"/>
  <c r="N24" i="52"/>
  <c r="U24" i="52" s="1"/>
  <c r="N224" i="52"/>
  <c r="U224" i="52" s="1"/>
  <c r="N192" i="52"/>
  <c r="U192" i="52" s="1"/>
  <c r="N160" i="52"/>
  <c r="U160" i="52" s="1"/>
  <c r="N128" i="52"/>
  <c r="U128" i="52" s="1"/>
  <c r="N96" i="52"/>
  <c r="U96" i="52" s="1"/>
  <c r="N64" i="52"/>
  <c r="U64" i="52" s="1"/>
  <c r="N42" i="52"/>
  <c r="U42" i="52" s="1"/>
  <c r="N32" i="52"/>
  <c r="U32" i="52" s="1"/>
  <c r="N248" i="52"/>
  <c r="U248" i="52" s="1"/>
  <c r="N256" i="52"/>
  <c r="U256" i="52" s="1"/>
  <c r="N232" i="52"/>
  <c r="U232" i="52" s="1"/>
  <c r="N200" i="52"/>
  <c r="U200" i="52" s="1"/>
  <c r="N168" i="52"/>
  <c r="U168" i="52" s="1"/>
  <c r="N136" i="52"/>
  <c r="U136" i="52" s="1"/>
  <c r="N104" i="52"/>
  <c r="U104" i="52" s="1"/>
  <c r="N72" i="52"/>
  <c r="U72" i="52" s="1"/>
  <c r="N40" i="52"/>
  <c r="U40" i="52" s="1"/>
  <c r="U258" i="42"/>
  <c r="R258" i="42"/>
  <c r="P258" i="42"/>
  <c r="U253" i="42"/>
  <c r="R253" i="42"/>
  <c r="W253" i="42" s="1"/>
  <c r="P253" i="42"/>
  <c r="U246" i="42"/>
  <c r="P246" i="42"/>
  <c r="R246" i="42"/>
  <c r="U241" i="42"/>
  <c r="R241" i="42"/>
  <c r="W241" i="42" s="1"/>
  <c r="P241" i="42"/>
  <c r="U236" i="42"/>
  <c r="R236" i="42"/>
  <c r="P236" i="42"/>
  <c r="U224" i="42"/>
  <c r="R224" i="42"/>
  <c r="P224" i="42"/>
  <c r="U219" i="42"/>
  <c r="R219" i="42"/>
  <c r="W219" i="42" s="1"/>
  <c r="P219" i="42"/>
  <c r="U207" i="42"/>
  <c r="R207" i="42"/>
  <c r="P207" i="42"/>
  <c r="U202" i="42"/>
  <c r="R202" i="42"/>
  <c r="P202" i="42"/>
  <c r="U197" i="42"/>
  <c r="R197" i="42"/>
  <c r="P197" i="42"/>
  <c r="U187" i="42"/>
  <c r="R187" i="42"/>
  <c r="W187" i="42" s="1"/>
  <c r="P187" i="42"/>
  <c r="U175" i="42"/>
  <c r="P175" i="42"/>
  <c r="R175" i="42"/>
  <c r="U170" i="42"/>
  <c r="R170" i="42"/>
  <c r="P170" i="42"/>
  <c r="U165" i="42"/>
  <c r="P165" i="42"/>
  <c r="R165" i="42"/>
  <c r="U155" i="42"/>
  <c r="R155" i="42"/>
  <c r="W155" i="42" s="1"/>
  <c r="P155" i="42"/>
  <c r="U143" i="42"/>
  <c r="P143" i="42"/>
  <c r="R143" i="42"/>
  <c r="U138" i="42"/>
  <c r="R138" i="42"/>
  <c r="P138" i="42"/>
  <c r="U133" i="42"/>
  <c r="P133" i="42"/>
  <c r="R133" i="42"/>
  <c r="U121" i="42"/>
  <c r="R121" i="42"/>
  <c r="W121" i="42" s="1"/>
  <c r="P121" i="42"/>
  <c r="U119" i="42"/>
  <c r="P119" i="42"/>
  <c r="R119" i="42"/>
  <c r="U112" i="42"/>
  <c r="R112" i="42"/>
  <c r="P112" i="42"/>
  <c r="U105" i="42"/>
  <c r="R105" i="42"/>
  <c r="W105" i="42" s="1"/>
  <c r="P105" i="42"/>
  <c r="U103" i="42"/>
  <c r="P103" i="42"/>
  <c r="R103" i="42"/>
  <c r="U96" i="42"/>
  <c r="R96" i="42"/>
  <c r="W96" i="42" s="1"/>
  <c r="P96" i="42"/>
  <c r="U89" i="42"/>
  <c r="R89" i="42"/>
  <c r="W89" i="42" s="1"/>
  <c r="P89" i="42"/>
  <c r="U87" i="42"/>
  <c r="P87" i="42"/>
  <c r="R87" i="42"/>
  <c r="U80" i="42"/>
  <c r="R80" i="42"/>
  <c r="W80" i="42" s="1"/>
  <c r="P80" i="42"/>
  <c r="U73" i="42"/>
  <c r="R73" i="42"/>
  <c r="W73" i="42" s="1"/>
  <c r="P73" i="42"/>
  <c r="U71" i="42"/>
  <c r="P71" i="42"/>
  <c r="R71" i="42"/>
  <c r="U64" i="42"/>
  <c r="R64" i="42"/>
  <c r="W64" i="42" s="1"/>
  <c r="P64" i="42"/>
  <c r="U57" i="42"/>
  <c r="R57" i="42"/>
  <c r="W57" i="42" s="1"/>
  <c r="P57" i="42"/>
  <c r="U55" i="42"/>
  <c r="P55" i="42"/>
  <c r="R55" i="42"/>
  <c r="U48" i="42"/>
  <c r="R48" i="42"/>
  <c r="W48" i="42" s="1"/>
  <c r="P48" i="42"/>
  <c r="U41" i="42"/>
  <c r="R41" i="42"/>
  <c r="W41" i="42" s="1"/>
  <c r="P41" i="42"/>
  <c r="U39" i="42"/>
  <c r="P39" i="42"/>
  <c r="R39" i="42"/>
  <c r="U32" i="42"/>
  <c r="R32" i="42"/>
  <c r="W32" i="42" s="1"/>
  <c r="P32" i="42"/>
  <c r="U27" i="42"/>
  <c r="R27" i="42"/>
  <c r="W27" i="42" s="1"/>
  <c r="P27" i="42"/>
  <c r="U17" i="42"/>
  <c r="R17" i="42"/>
  <c r="W17" i="42" s="1"/>
  <c r="P17" i="42"/>
  <c r="U243" i="42"/>
  <c r="R243" i="42"/>
  <c r="W243" i="42" s="1"/>
  <c r="P243" i="42"/>
  <c r="U231" i="42"/>
  <c r="R231" i="42"/>
  <c r="P231" i="42"/>
  <c r="U226" i="42"/>
  <c r="R226" i="42"/>
  <c r="P226" i="42"/>
  <c r="U221" i="42"/>
  <c r="R221" i="42"/>
  <c r="W221" i="42" s="1"/>
  <c r="P221" i="42"/>
  <c r="U214" i="42"/>
  <c r="R214" i="42"/>
  <c r="P214" i="42"/>
  <c r="U209" i="42"/>
  <c r="R209" i="42"/>
  <c r="W209" i="42" s="1"/>
  <c r="P209" i="42"/>
  <c r="U204" i="42"/>
  <c r="R204" i="42"/>
  <c r="P204" i="42"/>
  <c r="U192" i="42"/>
  <c r="R192" i="42"/>
  <c r="P192" i="42"/>
  <c r="U182" i="42"/>
  <c r="P182" i="42"/>
  <c r="R182" i="42"/>
  <c r="U177" i="42"/>
  <c r="R177" i="42"/>
  <c r="W177" i="42" s="1"/>
  <c r="P177" i="42"/>
  <c r="U172" i="42"/>
  <c r="R172" i="42"/>
  <c r="P172" i="42"/>
  <c r="U160" i="42"/>
  <c r="R160" i="42"/>
  <c r="P160" i="42"/>
  <c r="U150" i="42"/>
  <c r="P150" i="42"/>
  <c r="R150" i="42"/>
  <c r="U145" i="42"/>
  <c r="R145" i="42"/>
  <c r="W145" i="42" s="1"/>
  <c r="P145" i="42"/>
  <c r="U140" i="42"/>
  <c r="R140" i="42"/>
  <c r="P140" i="42"/>
  <c r="U128" i="42"/>
  <c r="R128" i="42"/>
  <c r="P128" i="42"/>
  <c r="U123" i="42"/>
  <c r="R123" i="42"/>
  <c r="W123" i="42" s="1"/>
  <c r="P123" i="42"/>
  <c r="U114" i="42"/>
  <c r="R114" i="42"/>
  <c r="W114" i="42" s="1"/>
  <c r="P114" i="42"/>
  <c r="U107" i="42"/>
  <c r="R107" i="42"/>
  <c r="W107" i="42" s="1"/>
  <c r="P107" i="42"/>
  <c r="U98" i="42"/>
  <c r="R98" i="42"/>
  <c r="W98" i="42" s="1"/>
  <c r="P98" i="42"/>
  <c r="U91" i="42"/>
  <c r="R91" i="42"/>
  <c r="W91" i="42" s="1"/>
  <c r="P91" i="42"/>
  <c r="U82" i="42"/>
  <c r="R82" i="42"/>
  <c r="W82" i="42" s="1"/>
  <c r="P82" i="42"/>
  <c r="U75" i="42"/>
  <c r="R75" i="42"/>
  <c r="W75" i="42" s="1"/>
  <c r="P75" i="42"/>
  <c r="U66" i="42"/>
  <c r="R66" i="42"/>
  <c r="W66" i="42" s="1"/>
  <c r="P66" i="42"/>
  <c r="U59" i="42"/>
  <c r="R59" i="42"/>
  <c r="W59" i="42" s="1"/>
  <c r="P59" i="42"/>
  <c r="U50" i="42"/>
  <c r="R50" i="42"/>
  <c r="W50" i="42" s="1"/>
  <c r="P50" i="42"/>
  <c r="U43" i="42"/>
  <c r="R43" i="42"/>
  <c r="W43" i="42" s="1"/>
  <c r="P43" i="42"/>
  <c r="U34" i="42"/>
  <c r="R34" i="42"/>
  <c r="W34" i="42" s="1"/>
  <c r="P34" i="42"/>
  <c r="U22" i="42"/>
  <c r="P22" i="42"/>
  <c r="R22" i="42"/>
  <c r="U255" i="42"/>
  <c r="R255" i="42"/>
  <c r="P255" i="42"/>
  <c r="U248" i="42"/>
  <c r="R248" i="42"/>
  <c r="P248" i="42"/>
  <c r="U238" i="42"/>
  <c r="R238" i="42"/>
  <c r="P238" i="42"/>
  <c r="U233" i="42"/>
  <c r="R233" i="42"/>
  <c r="W233" i="42" s="1"/>
  <c r="P233" i="42"/>
  <c r="U228" i="42"/>
  <c r="R228" i="42"/>
  <c r="P228" i="42"/>
  <c r="U211" i="42"/>
  <c r="R211" i="42"/>
  <c r="W211" i="42" s="1"/>
  <c r="P211" i="42"/>
  <c r="U199" i="42"/>
  <c r="R199" i="42"/>
  <c r="P199" i="42"/>
  <c r="U194" i="42"/>
  <c r="R194" i="42"/>
  <c r="P194" i="42"/>
  <c r="U189" i="42"/>
  <c r="P189" i="42"/>
  <c r="R189" i="42"/>
  <c r="U179" i="42"/>
  <c r="R179" i="42"/>
  <c r="W179" i="42" s="1"/>
  <c r="P179" i="42"/>
  <c r="U167" i="42"/>
  <c r="P167" i="42"/>
  <c r="R167" i="42"/>
  <c r="U162" i="42"/>
  <c r="R162" i="42"/>
  <c r="P162" i="42"/>
  <c r="U157" i="42"/>
  <c r="P157" i="42"/>
  <c r="R157" i="42"/>
  <c r="U147" i="42"/>
  <c r="R147" i="42"/>
  <c r="W147" i="42" s="1"/>
  <c r="P147" i="42"/>
  <c r="U135" i="42"/>
  <c r="P135" i="42"/>
  <c r="R135" i="42"/>
  <c r="U130" i="42"/>
  <c r="R130" i="42"/>
  <c r="P130" i="42"/>
  <c r="U116" i="42"/>
  <c r="R116" i="42"/>
  <c r="P116" i="42"/>
  <c r="U100" i="42"/>
  <c r="R100" i="42"/>
  <c r="P100" i="42"/>
  <c r="U84" i="42"/>
  <c r="R84" i="42"/>
  <c r="P84" i="42"/>
  <c r="U68" i="42"/>
  <c r="R68" i="42"/>
  <c r="P68" i="42"/>
  <c r="U52" i="42"/>
  <c r="R52" i="42"/>
  <c r="P52" i="42"/>
  <c r="U36" i="42"/>
  <c r="R36" i="42"/>
  <c r="P36" i="42"/>
  <c r="U29" i="42"/>
  <c r="P29" i="42"/>
  <c r="R29" i="42"/>
  <c r="U19" i="42"/>
  <c r="R19" i="42"/>
  <c r="W19" i="42" s="1"/>
  <c r="P19" i="42"/>
  <c r="U257" i="42"/>
  <c r="R257" i="42"/>
  <c r="W257" i="42" s="1"/>
  <c r="P257" i="42"/>
  <c r="U250" i="42"/>
  <c r="R250" i="42"/>
  <c r="P250" i="42"/>
  <c r="U245" i="42"/>
  <c r="R245" i="42"/>
  <c r="P245" i="42"/>
  <c r="U235" i="42"/>
  <c r="R235" i="42"/>
  <c r="W235" i="42" s="1"/>
  <c r="P235" i="42"/>
  <c r="U223" i="42"/>
  <c r="R223" i="42"/>
  <c r="P223" i="42"/>
  <c r="U216" i="42"/>
  <c r="R216" i="42"/>
  <c r="P216" i="42"/>
  <c r="U206" i="42"/>
  <c r="P206" i="42"/>
  <c r="R206" i="42"/>
  <c r="U201" i="42"/>
  <c r="R201" i="42"/>
  <c r="W201" i="42" s="1"/>
  <c r="P201" i="42"/>
  <c r="U196" i="42"/>
  <c r="R196" i="42"/>
  <c r="P196" i="42"/>
  <c r="U184" i="42"/>
  <c r="R184" i="42"/>
  <c r="P184" i="42"/>
  <c r="U174" i="42"/>
  <c r="P174" i="42"/>
  <c r="R174" i="42"/>
  <c r="U169" i="42"/>
  <c r="R169" i="42"/>
  <c r="W169" i="42" s="1"/>
  <c r="P169" i="42"/>
  <c r="U164" i="42"/>
  <c r="R164" i="42"/>
  <c r="P164" i="42"/>
  <c r="U152" i="42"/>
  <c r="R152" i="42"/>
  <c r="P152" i="42"/>
  <c r="U142" i="42"/>
  <c r="P142" i="42"/>
  <c r="R142" i="42"/>
  <c r="U137" i="42"/>
  <c r="R137" i="42"/>
  <c r="W137" i="42" s="1"/>
  <c r="P137" i="42"/>
  <c r="U132" i="42"/>
  <c r="R132" i="42"/>
  <c r="P132" i="42"/>
  <c r="U125" i="42"/>
  <c r="P125" i="42"/>
  <c r="R125" i="42"/>
  <c r="U118" i="42"/>
  <c r="P118" i="42"/>
  <c r="R118" i="42"/>
  <c r="W118" i="42" s="1"/>
  <c r="U109" i="42"/>
  <c r="P109" i="42"/>
  <c r="R109" i="42"/>
  <c r="U102" i="42"/>
  <c r="P102" i="42"/>
  <c r="R102" i="42"/>
  <c r="W102" i="42" s="1"/>
  <c r="U93" i="42"/>
  <c r="P93" i="42"/>
  <c r="R93" i="42"/>
  <c r="U86" i="42"/>
  <c r="P86" i="42"/>
  <c r="R86" i="42"/>
  <c r="W86" i="42" s="1"/>
  <c r="U77" i="42"/>
  <c r="P77" i="42"/>
  <c r="R77" i="42"/>
  <c r="U70" i="42"/>
  <c r="P70" i="42"/>
  <c r="R70" i="42"/>
  <c r="W70" i="42" s="1"/>
  <c r="U61" i="42"/>
  <c r="P61" i="42"/>
  <c r="R61" i="42"/>
  <c r="U54" i="42"/>
  <c r="P54" i="42"/>
  <c r="R54" i="42"/>
  <c r="W54" i="42" s="1"/>
  <c r="U45" i="42"/>
  <c r="P45" i="42"/>
  <c r="R45" i="42"/>
  <c r="U38" i="42"/>
  <c r="P38" i="42"/>
  <c r="R38" i="42"/>
  <c r="W38" i="42" s="1"/>
  <c r="U24" i="42"/>
  <c r="R24" i="42"/>
  <c r="P24" i="42"/>
  <c r="U259" i="42"/>
  <c r="R259" i="42"/>
  <c r="W259" i="42" s="1"/>
  <c r="P259" i="42"/>
  <c r="U252" i="42"/>
  <c r="R252" i="42"/>
  <c r="P252" i="42"/>
  <c r="U240" i="42"/>
  <c r="R240" i="42"/>
  <c r="P240" i="42"/>
  <c r="U230" i="42"/>
  <c r="R230" i="42"/>
  <c r="P230" i="42"/>
  <c r="U225" i="42"/>
  <c r="R225" i="42"/>
  <c r="W225" i="42" s="1"/>
  <c r="P225" i="42"/>
  <c r="U218" i="42"/>
  <c r="R218" i="42"/>
  <c r="P218" i="42"/>
  <c r="U213" i="42"/>
  <c r="R213" i="42"/>
  <c r="P213" i="42"/>
  <c r="U203" i="42"/>
  <c r="R203" i="42"/>
  <c r="W203" i="42" s="1"/>
  <c r="P203" i="42"/>
  <c r="U191" i="42"/>
  <c r="P191" i="42"/>
  <c r="R191" i="42"/>
  <c r="U186" i="42"/>
  <c r="R186" i="42"/>
  <c r="P186" i="42"/>
  <c r="U181" i="42"/>
  <c r="P181" i="42"/>
  <c r="R181" i="42"/>
  <c r="U171" i="42"/>
  <c r="R171" i="42"/>
  <c r="W171" i="42" s="1"/>
  <c r="P171" i="42"/>
  <c r="U159" i="42"/>
  <c r="P159" i="42"/>
  <c r="R159" i="42"/>
  <c r="U154" i="42"/>
  <c r="R154" i="42"/>
  <c r="P154" i="42"/>
  <c r="U149" i="42"/>
  <c r="P149" i="42"/>
  <c r="R149" i="42"/>
  <c r="U139" i="42"/>
  <c r="R139" i="42"/>
  <c r="W139" i="42" s="1"/>
  <c r="P139" i="42"/>
  <c r="U127" i="42"/>
  <c r="P127" i="42"/>
  <c r="R127" i="42"/>
  <c r="U120" i="42"/>
  <c r="R120" i="42"/>
  <c r="W120" i="42" s="1"/>
  <c r="P120" i="42"/>
  <c r="U113" i="42"/>
  <c r="R113" i="42"/>
  <c r="W113" i="42" s="1"/>
  <c r="P113" i="42"/>
  <c r="U111" i="42"/>
  <c r="P111" i="42"/>
  <c r="R111" i="42"/>
  <c r="U104" i="42"/>
  <c r="R104" i="42"/>
  <c r="W104" i="42" s="1"/>
  <c r="P104" i="42"/>
  <c r="U97" i="42"/>
  <c r="R97" i="42"/>
  <c r="W97" i="42" s="1"/>
  <c r="P97" i="42"/>
  <c r="U95" i="42"/>
  <c r="P95" i="42"/>
  <c r="R95" i="42"/>
  <c r="U88" i="42"/>
  <c r="R88" i="42"/>
  <c r="W88" i="42" s="1"/>
  <c r="P88" i="42"/>
  <c r="U81" i="42"/>
  <c r="R81" i="42"/>
  <c r="W81" i="42" s="1"/>
  <c r="P81" i="42"/>
  <c r="U79" i="42"/>
  <c r="P79" i="42"/>
  <c r="R79" i="42"/>
  <c r="U72" i="42"/>
  <c r="R72" i="42"/>
  <c r="W72" i="42" s="1"/>
  <c r="P72" i="42"/>
  <c r="U65" i="42"/>
  <c r="R65" i="42"/>
  <c r="W65" i="42" s="1"/>
  <c r="P65" i="42"/>
  <c r="U63" i="42"/>
  <c r="P63" i="42"/>
  <c r="R63" i="42"/>
  <c r="U56" i="42"/>
  <c r="R56" i="42"/>
  <c r="W56" i="42" s="1"/>
  <c r="P56" i="42"/>
  <c r="U49" i="42"/>
  <c r="R49" i="42"/>
  <c r="W49" i="42" s="1"/>
  <c r="P49" i="42"/>
  <c r="U47" i="42"/>
  <c r="P47" i="42"/>
  <c r="R47" i="42"/>
  <c r="U40" i="42"/>
  <c r="R40" i="42"/>
  <c r="W40" i="42" s="1"/>
  <c r="P40" i="42"/>
  <c r="U33" i="42"/>
  <c r="R33" i="42"/>
  <c r="W33" i="42" s="1"/>
  <c r="P33" i="42"/>
  <c r="U31" i="42"/>
  <c r="P31" i="42"/>
  <c r="R31" i="42"/>
  <c r="U26" i="42"/>
  <c r="R26" i="42"/>
  <c r="P26" i="42"/>
  <c r="U21" i="42"/>
  <c r="P21" i="42"/>
  <c r="R21" i="42"/>
  <c r="U254" i="42"/>
  <c r="R254" i="42"/>
  <c r="P254" i="42"/>
  <c r="U247" i="42"/>
  <c r="R247" i="42"/>
  <c r="P247" i="42"/>
  <c r="U242" i="42"/>
  <c r="R242" i="42"/>
  <c r="P242" i="42"/>
  <c r="U237" i="42"/>
  <c r="R237" i="42"/>
  <c r="P237" i="42"/>
  <c r="U227" i="42"/>
  <c r="R227" i="42"/>
  <c r="W227" i="42" s="1"/>
  <c r="P227" i="42"/>
  <c r="U220" i="42"/>
  <c r="R220" i="42"/>
  <c r="P220" i="42"/>
  <c r="U208" i="42"/>
  <c r="R208" i="42"/>
  <c r="P208" i="42"/>
  <c r="U198" i="42"/>
  <c r="P198" i="42"/>
  <c r="R198" i="42"/>
  <c r="U193" i="42"/>
  <c r="R193" i="42"/>
  <c r="W193" i="42" s="1"/>
  <c r="P193" i="42"/>
  <c r="U188" i="42"/>
  <c r="R188" i="42"/>
  <c r="P188" i="42"/>
  <c r="U176" i="42"/>
  <c r="R176" i="42"/>
  <c r="P176" i="42"/>
  <c r="U166" i="42"/>
  <c r="P166" i="42"/>
  <c r="R166" i="42"/>
  <c r="U161" i="42"/>
  <c r="R161" i="42"/>
  <c r="W161" i="42" s="1"/>
  <c r="P161" i="42"/>
  <c r="U156" i="42"/>
  <c r="R156" i="42"/>
  <c r="P156" i="42"/>
  <c r="U144" i="42"/>
  <c r="R144" i="42"/>
  <c r="P144" i="42"/>
  <c r="U134" i="42"/>
  <c r="P134" i="42"/>
  <c r="R134" i="42"/>
  <c r="U129" i="42"/>
  <c r="R129" i="42"/>
  <c r="W129" i="42" s="1"/>
  <c r="P129" i="42"/>
  <c r="U122" i="42"/>
  <c r="R122" i="42"/>
  <c r="W122" i="42" s="1"/>
  <c r="P122" i="42"/>
  <c r="U115" i="42"/>
  <c r="R115" i="42"/>
  <c r="W115" i="42" s="1"/>
  <c r="P115" i="42"/>
  <c r="U106" i="42"/>
  <c r="R106" i="42"/>
  <c r="W106" i="42" s="1"/>
  <c r="P106" i="42"/>
  <c r="U99" i="42"/>
  <c r="R99" i="42"/>
  <c r="W99" i="42" s="1"/>
  <c r="P99" i="42"/>
  <c r="U90" i="42"/>
  <c r="R90" i="42"/>
  <c r="W90" i="42" s="1"/>
  <c r="P90" i="42"/>
  <c r="U83" i="42"/>
  <c r="R83" i="42"/>
  <c r="W83" i="42" s="1"/>
  <c r="P83" i="42"/>
  <c r="U74" i="42"/>
  <c r="R74" i="42"/>
  <c r="W74" i="42" s="1"/>
  <c r="P74" i="42"/>
  <c r="U67" i="42"/>
  <c r="R67" i="42"/>
  <c r="W67" i="42" s="1"/>
  <c r="P67" i="42"/>
  <c r="U58" i="42"/>
  <c r="R58" i="42"/>
  <c r="W58" i="42" s="1"/>
  <c r="P58" i="42"/>
  <c r="U51" i="42"/>
  <c r="R51" i="42"/>
  <c r="W51" i="42" s="1"/>
  <c r="P51" i="42"/>
  <c r="U42" i="42"/>
  <c r="R42" i="42"/>
  <c r="W42" i="42" s="1"/>
  <c r="P42" i="42"/>
  <c r="U35" i="42"/>
  <c r="R35" i="42"/>
  <c r="W35" i="42" s="1"/>
  <c r="P35" i="42"/>
  <c r="U28" i="42"/>
  <c r="R28" i="42"/>
  <c r="P28" i="42"/>
  <c r="U18" i="42"/>
  <c r="R18" i="42"/>
  <c r="W18" i="42" s="1"/>
  <c r="P18" i="42"/>
  <c r="U249" i="42"/>
  <c r="R249" i="42"/>
  <c r="W249" i="42" s="1"/>
  <c r="P249" i="42"/>
  <c r="U244" i="42"/>
  <c r="R244" i="42"/>
  <c r="P244" i="42"/>
  <c r="U232" i="42"/>
  <c r="R232" i="42"/>
  <c r="P232" i="42"/>
  <c r="U222" i="42"/>
  <c r="R222" i="42"/>
  <c r="P222" i="42"/>
  <c r="U215" i="42"/>
  <c r="R215" i="42"/>
  <c r="P215" i="42"/>
  <c r="U210" i="42"/>
  <c r="R210" i="42"/>
  <c r="P210" i="42"/>
  <c r="U205" i="42"/>
  <c r="R205" i="42"/>
  <c r="P205" i="42"/>
  <c r="U195" i="42"/>
  <c r="R195" i="42"/>
  <c r="W195" i="42" s="1"/>
  <c r="P195" i="42"/>
  <c r="U183" i="42"/>
  <c r="P183" i="42"/>
  <c r="R183" i="42"/>
  <c r="U178" i="42"/>
  <c r="R178" i="42"/>
  <c r="P178" i="42"/>
  <c r="U173" i="42"/>
  <c r="P173" i="42"/>
  <c r="R173" i="42"/>
  <c r="U163" i="42"/>
  <c r="R163" i="42"/>
  <c r="W163" i="42" s="1"/>
  <c r="P163" i="42"/>
  <c r="U151" i="42"/>
  <c r="P151" i="42"/>
  <c r="R151" i="42"/>
  <c r="U146" i="42"/>
  <c r="R146" i="42"/>
  <c r="P146" i="42"/>
  <c r="U141" i="42"/>
  <c r="P141" i="42"/>
  <c r="R141" i="42"/>
  <c r="U131" i="42"/>
  <c r="R131" i="42"/>
  <c r="W131" i="42" s="1"/>
  <c r="P131" i="42"/>
  <c r="U124" i="42"/>
  <c r="R124" i="42"/>
  <c r="P124" i="42"/>
  <c r="U108" i="42"/>
  <c r="R108" i="42"/>
  <c r="P108" i="42"/>
  <c r="U92" i="42"/>
  <c r="R92" i="42"/>
  <c r="P92" i="42"/>
  <c r="U76" i="42"/>
  <c r="R76" i="42"/>
  <c r="P76" i="42"/>
  <c r="U60" i="42"/>
  <c r="R60" i="42"/>
  <c r="P60" i="42"/>
  <c r="U44" i="42"/>
  <c r="R44" i="42"/>
  <c r="P44" i="42"/>
  <c r="U23" i="42"/>
  <c r="P23" i="42"/>
  <c r="R23" i="42"/>
  <c r="U256" i="42"/>
  <c r="R256" i="42"/>
  <c r="P256" i="42"/>
  <c r="U251" i="42"/>
  <c r="R251" i="42"/>
  <c r="W251" i="42" s="1"/>
  <c r="P251" i="42"/>
  <c r="U239" i="42"/>
  <c r="R239" i="42"/>
  <c r="P239" i="42"/>
  <c r="U234" i="42"/>
  <c r="R234" i="42"/>
  <c r="P234" i="42"/>
  <c r="U229" i="42"/>
  <c r="R229" i="42"/>
  <c r="P229" i="42"/>
  <c r="U217" i="42"/>
  <c r="R217" i="42"/>
  <c r="W217" i="42" s="1"/>
  <c r="P217" i="42"/>
  <c r="U212" i="42"/>
  <c r="R212" i="42"/>
  <c r="P212" i="42"/>
  <c r="U200" i="42"/>
  <c r="R200" i="42"/>
  <c r="P200" i="42"/>
  <c r="U190" i="42"/>
  <c r="P190" i="42"/>
  <c r="R190" i="42"/>
  <c r="U185" i="42"/>
  <c r="R185" i="42"/>
  <c r="W185" i="42" s="1"/>
  <c r="P185" i="42"/>
  <c r="U180" i="42"/>
  <c r="R180" i="42"/>
  <c r="P180" i="42"/>
  <c r="U168" i="42"/>
  <c r="R168" i="42"/>
  <c r="P168" i="42"/>
  <c r="U158" i="42"/>
  <c r="P158" i="42"/>
  <c r="R158" i="42"/>
  <c r="U153" i="42"/>
  <c r="R153" i="42"/>
  <c r="W153" i="42" s="1"/>
  <c r="P153" i="42"/>
  <c r="U148" i="42"/>
  <c r="R148" i="42"/>
  <c r="P148" i="42"/>
  <c r="U136" i="42"/>
  <c r="R136" i="42"/>
  <c r="P136" i="42"/>
  <c r="U126" i="42"/>
  <c r="P126" i="42"/>
  <c r="R126" i="42"/>
  <c r="W126" i="42" s="1"/>
  <c r="U117" i="42"/>
  <c r="P117" i="42"/>
  <c r="R117" i="42"/>
  <c r="U110" i="42"/>
  <c r="P110" i="42"/>
  <c r="R110" i="42"/>
  <c r="W110" i="42" s="1"/>
  <c r="U101" i="42"/>
  <c r="P101" i="42"/>
  <c r="R101" i="42"/>
  <c r="U94" i="42"/>
  <c r="P94" i="42"/>
  <c r="R94" i="42"/>
  <c r="W94" i="42" s="1"/>
  <c r="U85" i="42"/>
  <c r="P85" i="42"/>
  <c r="R85" i="42"/>
  <c r="U78" i="42"/>
  <c r="P78" i="42"/>
  <c r="R78" i="42"/>
  <c r="W78" i="42" s="1"/>
  <c r="U69" i="42"/>
  <c r="P69" i="42"/>
  <c r="R69" i="42"/>
  <c r="U62" i="42"/>
  <c r="P62" i="42"/>
  <c r="R62" i="42"/>
  <c r="W62" i="42" s="1"/>
  <c r="U53" i="42"/>
  <c r="P53" i="42"/>
  <c r="R53" i="42"/>
  <c r="U46" i="42"/>
  <c r="P46" i="42"/>
  <c r="R46" i="42"/>
  <c r="W46" i="42" s="1"/>
  <c r="U37" i="42"/>
  <c r="P37" i="42"/>
  <c r="R37" i="42"/>
  <c r="U30" i="42"/>
  <c r="P30" i="42"/>
  <c r="R30" i="42"/>
  <c r="U25" i="42"/>
  <c r="R25" i="42"/>
  <c r="W25" i="42" s="1"/>
  <c r="P25" i="42"/>
  <c r="U20" i="42"/>
  <c r="R20" i="42"/>
  <c r="P20" i="42"/>
  <c r="N86" i="52"/>
  <c r="U86" i="52" s="1"/>
  <c r="N76" i="52"/>
  <c r="U76" i="52" s="1"/>
  <c r="N22" i="52"/>
  <c r="U22" i="52" s="1"/>
  <c r="N254" i="52"/>
  <c r="U254" i="52" s="1"/>
  <c r="N244" i="52"/>
  <c r="U244" i="52" s="1"/>
  <c r="N234" i="52"/>
  <c r="U234" i="52" s="1"/>
  <c r="N190" i="52"/>
  <c r="U190" i="52" s="1"/>
  <c r="N180" i="52"/>
  <c r="U180" i="52" s="1"/>
  <c r="N170" i="52"/>
  <c r="U170" i="52" s="1"/>
  <c r="N126" i="52"/>
  <c r="U126" i="52" s="1"/>
  <c r="N116" i="52"/>
  <c r="U116" i="52" s="1"/>
  <c r="N106" i="52"/>
  <c r="U106" i="52" s="1"/>
  <c r="N62" i="52"/>
  <c r="U62" i="52" s="1"/>
  <c r="N52" i="52"/>
  <c r="U52" i="52" s="1"/>
  <c r="N246" i="52"/>
  <c r="U246" i="52" s="1"/>
  <c r="N182" i="52"/>
  <c r="U182" i="52" s="1"/>
  <c r="N172" i="52"/>
  <c r="U172" i="52" s="1"/>
  <c r="N162" i="52"/>
  <c r="U162" i="52" s="1"/>
  <c r="N118" i="52"/>
  <c r="U118" i="52" s="1"/>
  <c r="N108" i="52"/>
  <c r="U108" i="52" s="1"/>
  <c r="N98" i="52"/>
  <c r="U98" i="52" s="1"/>
  <c r="N54" i="52"/>
  <c r="U54" i="52" s="1"/>
  <c r="N44" i="52"/>
  <c r="U44" i="52" s="1"/>
  <c r="N34" i="52"/>
  <c r="U34" i="52" s="1"/>
  <c r="N252" i="52"/>
  <c r="U252" i="52" s="1"/>
  <c r="N242" i="52"/>
  <c r="U242" i="52" s="1"/>
  <c r="N198" i="52"/>
  <c r="U198" i="52" s="1"/>
  <c r="N188" i="52"/>
  <c r="U188" i="52" s="1"/>
  <c r="N178" i="52"/>
  <c r="U178" i="52" s="1"/>
  <c r="N134" i="52"/>
  <c r="U134" i="52" s="1"/>
  <c r="N124" i="52"/>
  <c r="U124" i="52" s="1"/>
  <c r="N114" i="52"/>
  <c r="U114" i="52" s="1"/>
  <c r="N70" i="52"/>
  <c r="U70" i="52" s="1"/>
  <c r="N60" i="52"/>
  <c r="U60" i="52" s="1"/>
  <c r="N50" i="52"/>
  <c r="U50" i="52" s="1"/>
  <c r="N230" i="52"/>
  <c r="U230" i="52" s="1"/>
  <c r="N220" i="52"/>
  <c r="U220" i="52" s="1"/>
  <c r="N210" i="52"/>
  <c r="U210" i="52" s="1"/>
  <c r="N166" i="52"/>
  <c r="U166" i="52" s="1"/>
  <c r="N156" i="52"/>
  <c r="U156" i="52" s="1"/>
  <c r="N146" i="52"/>
  <c r="U146" i="52" s="1"/>
  <c r="N102" i="52"/>
  <c r="U102" i="52" s="1"/>
  <c r="N92" i="52"/>
  <c r="U92" i="52" s="1"/>
  <c r="N82" i="52"/>
  <c r="U82" i="52" s="1"/>
  <c r="N38" i="52"/>
  <c r="U38" i="52" s="1"/>
  <c r="N28" i="52"/>
  <c r="U28" i="52" s="1"/>
  <c r="N18" i="52"/>
  <c r="U18" i="52" s="1"/>
  <c r="N222" i="52"/>
  <c r="U222" i="52" s="1"/>
  <c r="N212" i="52"/>
  <c r="U212" i="52" s="1"/>
  <c r="N202" i="52"/>
  <c r="U202" i="52" s="1"/>
  <c r="N158" i="52"/>
  <c r="U158" i="52" s="1"/>
  <c r="N148" i="52"/>
  <c r="U148" i="52" s="1"/>
  <c r="N138" i="52"/>
  <c r="U138" i="52" s="1"/>
  <c r="N94" i="52"/>
  <c r="U94" i="52" s="1"/>
  <c r="N84" i="52"/>
  <c r="U84" i="52" s="1"/>
  <c r="N74" i="52"/>
  <c r="U74" i="52" s="1"/>
  <c r="N30" i="52"/>
  <c r="U30" i="52" s="1"/>
  <c r="N20" i="52"/>
  <c r="U20" i="52" s="1"/>
  <c r="F27" i="36"/>
  <c r="N12" i="52"/>
  <c r="U12" i="52" s="1"/>
  <c r="P15" i="42"/>
  <c r="P14" i="42"/>
  <c r="U16" i="42"/>
  <c r="P16" i="42"/>
  <c r="R16" i="42"/>
  <c r="P13" i="42"/>
  <c r="U13" i="42" s="1"/>
  <c r="R13" i="42"/>
  <c r="N11" i="52"/>
  <c r="U11" i="52" s="1"/>
  <c r="N14" i="52"/>
  <c r="U14" i="52" s="1"/>
  <c r="R12" i="58"/>
  <c r="W147" i="22" s="1"/>
  <c r="P12" i="42"/>
  <c r="Q12" i="42" s="1"/>
  <c r="R227" i="55"/>
  <c r="X12" i="58"/>
  <c r="W175" i="42"/>
  <c r="S238" i="52"/>
  <c r="R238" i="52"/>
  <c r="S206" i="52"/>
  <c r="R206" i="52"/>
  <c r="S158" i="52"/>
  <c r="R158" i="52"/>
  <c r="S142" i="52"/>
  <c r="R142" i="52"/>
  <c r="S250" i="52"/>
  <c r="R250" i="52"/>
  <c r="S234" i="52"/>
  <c r="R234" i="52"/>
  <c r="S218" i="52"/>
  <c r="R218" i="52"/>
  <c r="S202" i="52"/>
  <c r="R202" i="52"/>
  <c r="S186" i="52"/>
  <c r="R186" i="52"/>
  <c r="S170" i="52"/>
  <c r="R170" i="52"/>
  <c r="S154" i="52"/>
  <c r="R154" i="52"/>
  <c r="S138" i="52"/>
  <c r="R138" i="52"/>
  <c r="S122" i="52"/>
  <c r="R122" i="52"/>
  <c r="S106" i="52"/>
  <c r="R106" i="52"/>
  <c r="S90" i="52"/>
  <c r="R90" i="52"/>
  <c r="S74" i="52"/>
  <c r="R74" i="52"/>
  <c r="S58" i="52"/>
  <c r="R58" i="52"/>
  <c r="S42" i="52"/>
  <c r="R42" i="52"/>
  <c r="S26" i="52"/>
  <c r="R26" i="52"/>
  <c r="S144" i="52"/>
  <c r="R144" i="52"/>
  <c r="S80" i="52"/>
  <c r="R80" i="52"/>
  <c r="S64" i="52"/>
  <c r="R64" i="52"/>
  <c r="W112" i="42"/>
  <c r="S224" i="52"/>
  <c r="R224" i="52"/>
  <c r="S48" i="52"/>
  <c r="R48" i="52"/>
  <c r="S32" i="52"/>
  <c r="R32" i="52"/>
  <c r="S16" i="52"/>
  <c r="R16" i="52"/>
  <c r="S246" i="52"/>
  <c r="R246" i="52"/>
  <c r="S230" i="52"/>
  <c r="R230" i="52"/>
  <c r="S214" i="52"/>
  <c r="R214" i="52"/>
  <c r="S198" i="52"/>
  <c r="R198" i="52"/>
  <c r="S182" i="52"/>
  <c r="R182" i="52"/>
  <c r="S166" i="52"/>
  <c r="R166" i="52"/>
  <c r="S150" i="52"/>
  <c r="R150" i="52"/>
  <c r="S134" i="52"/>
  <c r="R134" i="52"/>
  <c r="S118" i="52"/>
  <c r="R118" i="52"/>
  <c r="S102" i="52"/>
  <c r="R102" i="52"/>
  <c r="S86" i="52"/>
  <c r="R86" i="52"/>
  <c r="S70" i="52"/>
  <c r="R70" i="52"/>
  <c r="S54" i="52"/>
  <c r="R54" i="52"/>
  <c r="S38" i="52"/>
  <c r="R38" i="52"/>
  <c r="S22" i="52"/>
  <c r="R22" i="52"/>
  <c r="S236" i="52"/>
  <c r="R236" i="52"/>
  <c r="S220" i="52"/>
  <c r="R220" i="52"/>
  <c r="S204" i="52"/>
  <c r="R204" i="52"/>
  <c r="S188" i="52"/>
  <c r="R188" i="52"/>
  <c r="S172" i="52"/>
  <c r="R172" i="52"/>
  <c r="S156" i="52"/>
  <c r="R156" i="52"/>
  <c r="S140" i="52"/>
  <c r="R140" i="52"/>
  <c r="S124" i="52"/>
  <c r="R124" i="52"/>
  <c r="S108" i="52"/>
  <c r="R108" i="52"/>
  <c r="S92" i="52"/>
  <c r="R92" i="52"/>
  <c r="S76" i="52"/>
  <c r="R76" i="52"/>
  <c r="S60" i="52"/>
  <c r="R60" i="52"/>
  <c r="S44" i="52"/>
  <c r="R44" i="52"/>
  <c r="R28" i="52"/>
  <c r="S28" i="52"/>
  <c r="S12" i="52"/>
  <c r="R12" i="52"/>
  <c r="S240" i="52"/>
  <c r="R240" i="52"/>
  <c r="S208" i="52"/>
  <c r="R208" i="52"/>
  <c r="S112" i="52"/>
  <c r="R112" i="52"/>
  <c r="S96" i="52"/>
  <c r="R96" i="52"/>
  <c r="S252" i="52"/>
  <c r="R252" i="52"/>
  <c r="S242" i="52"/>
  <c r="R242" i="52"/>
  <c r="S226" i="52"/>
  <c r="R226" i="52"/>
  <c r="S210" i="52"/>
  <c r="R210" i="52"/>
  <c r="S194" i="52"/>
  <c r="R194" i="52"/>
  <c r="S178" i="52"/>
  <c r="R178" i="52"/>
  <c r="S162" i="52"/>
  <c r="R162" i="52"/>
  <c r="S146" i="52"/>
  <c r="R146" i="52"/>
  <c r="S130" i="52"/>
  <c r="R130" i="52"/>
  <c r="S114" i="52"/>
  <c r="R114" i="52"/>
  <c r="S98" i="52"/>
  <c r="R98" i="52"/>
  <c r="S82" i="52"/>
  <c r="R82" i="52"/>
  <c r="S66" i="52"/>
  <c r="R66" i="52"/>
  <c r="S50" i="52"/>
  <c r="R50" i="52"/>
  <c r="S34" i="52"/>
  <c r="R34" i="52"/>
  <c r="S18" i="52"/>
  <c r="R18" i="52"/>
  <c r="S192" i="52"/>
  <c r="R192" i="52"/>
  <c r="S128" i="52"/>
  <c r="R128" i="52"/>
  <c r="S248" i="52"/>
  <c r="R248" i="52"/>
  <c r="S232" i="52"/>
  <c r="R232" i="52"/>
  <c r="S216" i="52"/>
  <c r="R216" i="52"/>
  <c r="S200" i="52"/>
  <c r="R200" i="52"/>
  <c r="S184" i="52"/>
  <c r="R184" i="52"/>
  <c r="S168" i="52"/>
  <c r="R168" i="52"/>
  <c r="S152" i="52"/>
  <c r="R152" i="52"/>
  <c r="S136" i="52"/>
  <c r="R136" i="52"/>
  <c r="S120" i="52"/>
  <c r="R120" i="52"/>
  <c r="S104" i="52"/>
  <c r="R104" i="52"/>
  <c r="S88" i="52"/>
  <c r="R88" i="52"/>
  <c r="S72" i="52"/>
  <c r="R72" i="52"/>
  <c r="S56" i="52"/>
  <c r="R56" i="52"/>
  <c r="S40" i="52"/>
  <c r="R40" i="52"/>
  <c r="S24" i="52"/>
  <c r="R24" i="52"/>
  <c r="S256" i="52"/>
  <c r="R256" i="52"/>
  <c r="S176" i="52"/>
  <c r="R176" i="52"/>
  <c r="S254" i="52"/>
  <c r="R254" i="52"/>
  <c r="S222" i="52"/>
  <c r="R222" i="52"/>
  <c r="S190" i="52"/>
  <c r="R190" i="52"/>
  <c r="S126" i="52"/>
  <c r="R126" i="52"/>
  <c r="S110" i="52"/>
  <c r="R110" i="52"/>
  <c r="S94" i="52"/>
  <c r="R94" i="52"/>
  <c r="S78" i="52"/>
  <c r="R78" i="52"/>
  <c r="S62" i="52"/>
  <c r="R62" i="52"/>
  <c r="S46" i="52"/>
  <c r="R46" i="52"/>
  <c r="S30" i="52"/>
  <c r="R30" i="52"/>
  <c r="S14" i="52"/>
  <c r="R14" i="52"/>
  <c r="H151" i="22" s="1"/>
  <c r="S160" i="52"/>
  <c r="R160" i="52"/>
  <c r="S174" i="52"/>
  <c r="R174" i="52"/>
  <c r="S244" i="52"/>
  <c r="R244" i="52"/>
  <c r="S228" i="52"/>
  <c r="R228" i="52"/>
  <c r="S212" i="52"/>
  <c r="R212" i="52"/>
  <c r="S196" i="52"/>
  <c r="R196" i="52"/>
  <c r="S180" i="52"/>
  <c r="R180" i="52"/>
  <c r="S164" i="52"/>
  <c r="R164" i="52"/>
  <c r="S148" i="52"/>
  <c r="R148" i="52"/>
  <c r="S132" i="52"/>
  <c r="R132" i="52"/>
  <c r="S116" i="52"/>
  <c r="R116" i="52"/>
  <c r="S100" i="52"/>
  <c r="R100" i="52"/>
  <c r="S84" i="52"/>
  <c r="R84" i="52"/>
  <c r="S68" i="52"/>
  <c r="R68" i="52"/>
  <c r="S52" i="52"/>
  <c r="R52" i="52"/>
  <c r="S36" i="52"/>
  <c r="R36" i="52"/>
  <c r="S20" i="52"/>
  <c r="R20" i="52"/>
  <c r="I245" i="55"/>
  <c r="R245" i="55" s="1"/>
  <c r="I224" i="55"/>
  <c r="R224" i="55" s="1"/>
  <c r="I197" i="55"/>
  <c r="R197" i="55" s="1"/>
  <c r="I165" i="55"/>
  <c r="N165" i="55" s="1"/>
  <c r="U165" i="55" s="1"/>
  <c r="I133" i="55"/>
  <c r="R133" i="55" s="1"/>
  <c r="I108" i="55"/>
  <c r="N108" i="55" s="1"/>
  <c r="U108" i="55" s="1"/>
  <c r="I88" i="55"/>
  <c r="R88" i="55" s="1"/>
  <c r="I65" i="55"/>
  <c r="S65" i="55" s="1"/>
  <c r="I44" i="55"/>
  <c r="R44" i="55" s="1"/>
  <c r="I24" i="55"/>
  <c r="N24" i="55" s="1"/>
  <c r="U24" i="55" s="1"/>
  <c r="I244" i="55"/>
  <c r="R244" i="55" s="1"/>
  <c r="I221" i="55"/>
  <c r="S221" i="55" s="1"/>
  <c r="I193" i="55"/>
  <c r="S193" i="55" s="1"/>
  <c r="I161" i="55"/>
  <c r="S161" i="55" s="1"/>
  <c r="I129" i="55"/>
  <c r="S129" i="55" s="1"/>
  <c r="I105" i="55"/>
  <c r="S105" i="55" s="1"/>
  <c r="I84" i="55"/>
  <c r="R84" i="55" s="1"/>
  <c r="I64" i="55"/>
  <c r="N64" i="55" s="1"/>
  <c r="U64" i="55" s="1"/>
  <c r="I41" i="55"/>
  <c r="R41" i="55" s="1"/>
  <c r="I20" i="55"/>
  <c r="N20" i="55" s="1"/>
  <c r="U20" i="55" s="1"/>
  <c r="I240" i="55"/>
  <c r="R240" i="55" s="1"/>
  <c r="I217" i="55"/>
  <c r="R217" i="55" s="1"/>
  <c r="I189" i="55"/>
  <c r="R189" i="55" s="1"/>
  <c r="I157" i="55"/>
  <c r="S157" i="55" s="1"/>
  <c r="I125" i="55"/>
  <c r="R125" i="55" s="1"/>
  <c r="I104" i="55"/>
  <c r="R104" i="55" s="1"/>
  <c r="I81" i="55"/>
  <c r="N81" i="55" s="1"/>
  <c r="U81" i="55" s="1"/>
  <c r="I60" i="55"/>
  <c r="R60" i="55" s="1"/>
  <c r="I40" i="55"/>
  <c r="S40" i="55" s="1"/>
  <c r="I17" i="55"/>
  <c r="N17" i="55" s="1"/>
  <c r="U17" i="55" s="1"/>
  <c r="I237" i="55"/>
  <c r="R237" i="55" s="1"/>
  <c r="I216" i="55"/>
  <c r="R216" i="55" s="1"/>
  <c r="I185" i="55"/>
  <c r="R185" i="55" s="1"/>
  <c r="I153" i="55"/>
  <c r="S153" i="55" s="1"/>
  <c r="I121" i="55"/>
  <c r="N121" i="55" s="1"/>
  <c r="U121" i="55" s="1"/>
  <c r="I100" i="55"/>
  <c r="R100" i="55" s="1"/>
  <c r="I80" i="55"/>
  <c r="R80" i="55" s="1"/>
  <c r="I57" i="55"/>
  <c r="N57" i="55" s="1"/>
  <c r="U57" i="55" s="1"/>
  <c r="I36" i="55"/>
  <c r="S36" i="55" s="1"/>
  <c r="I16" i="55"/>
  <c r="R16" i="55" s="1"/>
  <c r="I213" i="55"/>
  <c r="R213" i="55" s="1"/>
  <c r="I181" i="55"/>
  <c r="R181" i="55" s="1"/>
  <c r="I149" i="55"/>
  <c r="S149" i="55" s="1"/>
  <c r="I120" i="55"/>
  <c r="N120" i="55" s="1"/>
  <c r="U120" i="55" s="1"/>
  <c r="I97" i="55"/>
  <c r="S97" i="55" s="1"/>
  <c r="I76" i="55"/>
  <c r="N76" i="55" s="1"/>
  <c r="U76" i="55" s="1"/>
  <c r="I56" i="55"/>
  <c r="R56" i="55" s="1"/>
  <c r="I33" i="55"/>
  <c r="N33" i="55" s="1"/>
  <c r="U33" i="55" s="1"/>
  <c r="I232" i="55"/>
  <c r="R232" i="55" s="1"/>
  <c r="I209" i="55"/>
  <c r="S209" i="55" s="1"/>
  <c r="I177" i="55"/>
  <c r="N177" i="55" s="1"/>
  <c r="U177" i="55" s="1"/>
  <c r="I145" i="55"/>
  <c r="S145" i="55" s="1"/>
  <c r="I116" i="55"/>
  <c r="N116" i="55" s="1"/>
  <c r="U116" i="55" s="1"/>
  <c r="I96" i="55"/>
  <c r="S96" i="55" s="1"/>
  <c r="I73" i="55"/>
  <c r="S73" i="55" s="1"/>
  <c r="I52" i="55"/>
  <c r="N52" i="55" s="1"/>
  <c r="U52" i="55" s="1"/>
  <c r="I32" i="55"/>
  <c r="S32" i="55" s="1"/>
  <c r="I256" i="55"/>
  <c r="R256" i="55" s="1"/>
  <c r="I229" i="55"/>
  <c r="R229" i="55" s="1"/>
  <c r="I205" i="55"/>
  <c r="N205" i="55" s="1"/>
  <c r="U205" i="55" s="1"/>
  <c r="I173" i="55"/>
  <c r="S173" i="55" s="1"/>
  <c r="I141" i="55"/>
  <c r="N141" i="55" s="1"/>
  <c r="U141" i="55" s="1"/>
  <c r="I113" i="55"/>
  <c r="N113" i="55" s="1"/>
  <c r="U113" i="55" s="1"/>
  <c r="I92" i="55"/>
  <c r="R92" i="55" s="1"/>
  <c r="I72" i="55"/>
  <c r="N72" i="55" s="1"/>
  <c r="U72" i="55" s="1"/>
  <c r="I49" i="55"/>
  <c r="R49" i="55" s="1"/>
  <c r="I28" i="55"/>
  <c r="S28" i="55" s="1"/>
  <c r="I249" i="55"/>
  <c r="R249" i="55" s="1"/>
  <c r="I228" i="55"/>
  <c r="R228" i="55" s="1"/>
  <c r="I201" i="55"/>
  <c r="N201" i="55" s="1"/>
  <c r="U201" i="55" s="1"/>
  <c r="I169" i="55"/>
  <c r="N169" i="55" s="1"/>
  <c r="U169" i="55" s="1"/>
  <c r="I137" i="55"/>
  <c r="S137" i="55" s="1"/>
  <c r="I112" i="55"/>
  <c r="N112" i="55" s="1"/>
  <c r="U112" i="55" s="1"/>
  <c r="I89" i="55"/>
  <c r="S89" i="55" s="1"/>
  <c r="I68" i="55"/>
  <c r="R68" i="55" s="1"/>
  <c r="I48" i="55"/>
  <c r="S48" i="55" s="1"/>
  <c r="I25" i="55"/>
  <c r="N25" i="55" s="1"/>
  <c r="U25" i="55" s="1"/>
  <c r="I243" i="55"/>
  <c r="I118" i="55"/>
  <c r="I98" i="55"/>
  <c r="I94" i="55"/>
  <c r="I82" i="55"/>
  <c r="I34" i="55"/>
  <c r="I248" i="55"/>
  <c r="N248" i="55" s="1"/>
  <c r="U248" i="55" s="1"/>
  <c r="I223" i="55"/>
  <c r="I219" i="55"/>
  <c r="I195" i="55"/>
  <c r="I191" i="55"/>
  <c r="I175" i="55"/>
  <c r="I155" i="55"/>
  <c r="I78" i="55"/>
  <c r="I74" i="55"/>
  <c r="I70" i="55"/>
  <c r="I66" i="55"/>
  <c r="I42" i="55"/>
  <c r="I30" i="55"/>
  <c r="I26" i="55"/>
  <c r="I215" i="55"/>
  <c r="I211" i="55"/>
  <c r="I207" i="55"/>
  <c r="I203" i="55"/>
  <c r="I199" i="55"/>
  <c r="I187" i="55"/>
  <c r="I183" i="55"/>
  <c r="I179" i="55"/>
  <c r="I171" i="55"/>
  <c r="I167" i="55"/>
  <c r="I163" i="55"/>
  <c r="I159" i="55"/>
  <c r="I151" i="55"/>
  <c r="I147" i="55"/>
  <c r="I143" i="55"/>
  <c r="I139" i="55"/>
  <c r="I135" i="55"/>
  <c r="I131" i="55"/>
  <c r="I127" i="55"/>
  <c r="I123" i="55"/>
  <c r="I119" i="55"/>
  <c r="I253" i="55"/>
  <c r="S253" i="55" s="1"/>
  <c r="I230" i="55"/>
  <c r="I208" i="55"/>
  <c r="I204" i="55"/>
  <c r="I200" i="55"/>
  <c r="I196" i="55"/>
  <c r="I192" i="55"/>
  <c r="I188" i="55"/>
  <c r="I184" i="55"/>
  <c r="I180" i="55"/>
  <c r="I176" i="55"/>
  <c r="I172" i="55"/>
  <c r="I168" i="55"/>
  <c r="I164" i="55"/>
  <c r="I160" i="55"/>
  <c r="I156" i="55"/>
  <c r="I152" i="55"/>
  <c r="I148" i="55"/>
  <c r="I144" i="55"/>
  <c r="I140" i="55"/>
  <c r="I136" i="55"/>
  <c r="I132" i="55"/>
  <c r="I128" i="55"/>
  <c r="I124" i="55"/>
  <c r="I252" i="55"/>
  <c r="R252" i="55" s="1"/>
  <c r="I236" i="55"/>
  <c r="R236" i="55" s="1"/>
  <c r="I220" i="55"/>
  <c r="R220" i="55" s="1"/>
  <c r="I212" i="55"/>
  <c r="R212" i="55" s="1"/>
  <c r="I114" i="55"/>
  <c r="I110" i="55"/>
  <c r="I106" i="55"/>
  <c r="I102" i="55"/>
  <c r="I90" i="55"/>
  <c r="I86" i="55"/>
  <c r="I62" i="55"/>
  <c r="I58" i="55"/>
  <c r="I54" i="55"/>
  <c r="I50" i="55"/>
  <c r="I46" i="55"/>
  <c r="I38" i="55"/>
  <c r="I22" i="55"/>
  <c r="I18" i="55"/>
  <c r="I251" i="55"/>
  <c r="I246" i="55"/>
  <c r="I242" i="55"/>
  <c r="I238" i="55"/>
  <c r="I226" i="55"/>
  <c r="I257" i="55"/>
  <c r="S257" i="55" s="1"/>
  <c r="I241" i="55"/>
  <c r="R241" i="55" s="1"/>
  <c r="I117" i="55"/>
  <c r="S117" i="55" s="1"/>
  <c r="I109" i="55"/>
  <c r="S109" i="55" s="1"/>
  <c r="I101" i="55"/>
  <c r="N101" i="55" s="1"/>
  <c r="U101" i="55" s="1"/>
  <c r="I93" i="55"/>
  <c r="R93" i="55" s="1"/>
  <c r="I85" i="55"/>
  <c r="S85" i="55" s="1"/>
  <c r="I77" i="55"/>
  <c r="S77" i="55" s="1"/>
  <c r="I69" i="55"/>
  <c r="R69" i="55" s="1"/>
  <c r="I61" i="55"/>
  <c r="R61" i="55" s="1"/>
  <c r="I53" i="55"/>
  <c r="R53" i="55" s="1"/>
  <c r="I45" i="55"/>
  <c r="R45" i="55" s="1"/>
  <c r="I37" i="55"/>
  <c r="N37" i="55" s="1"/>
  <c r="U37" i="55" s="1"/>
  <c r="I29" i="55"/>
  <c r="S29" i="55" s="1"/>
  <c r="I21" i="55"/>
  <c r="R21" i="55" s="1"/>
  <c r="I239" i="55"/>
  <c r="N239" i="55" s="1"/>
  <c r="U239" i="55" s="1"/>
  <c r="I235" i="55"/>
  <c r="N235" i="55" s="1"/>
  <c r="U235" i="55" s="1"/>
  <c r="I115" i="55"/>
  <c r="N115" i="55" s="1"/>
  <c r="U115" i="55" s="1"/>
  <c r="I111" i="55"/>
  <c r="S111" i="55" s="1"/>
  <c r="I107" i="55"/>
  <c r="S107" i="55" s="1"/>
  <c r="I103" i="55"/>
  <c r="S103" i="55" s="1"/>
  <c r="I99" i="55"/>
  <c r="N99" i="55" s="1"/>
  <c r="U99" i="55" s="1"/>
  <c r="I95" i="55"/>
  <c r="S95" i="55" s="1"/>
  <c r="I91" i="55"/>
  <c r="S91" i="55" s="1"/>
  <c r="I87" i="55"/>
  <c r="S87" i="55" s="1"/>
  <c r="I83" i="55"/>
  <c r="S83" i="55" s="1"/>
  <c r="I79" i="55"/>
  <c r="N79" i="55" s="1"/>
  <c r="U79" i="55" s="1"/>
  <c r="I75" i="55"/>
  <c r="N75" i="55" s="1"/>
  <c r="U75" i="55" s="1"/>
  <c r="I71" i="55"/>
  <c r="S71" i="55" s="1"/>
  <c r="I67" i="55"/>
  <c r="S67" i="55" s="1"/>
  <c r="I63" i="55"/>
  <c r="N63" i="55" s="1"/>
  <c r="U63" i="55" s="1"/>
  <c r="I59" i="55"/>
  <c r="S59" i="55" s="1"/>
  <c r="I55" i="55"/>
  <c r="S55" i="55" s="1"/>
  <c r="I51" i="55"/>
  <c r="R51" i="55" s="1"/>
  <c r="I47" i="55"/>
  <c r="R47" i="55" s="1"/>
  <c r="I43" i="55"/>
  <c r="R43" i="55" s="1"/>
  <c r="I39" i="55"/>
  <c r="N39" i="55" s="1"/>
  <c r="U39" i="55" s="1"/>
  <c r="I35" i="55"/>
  <c r="R35" i="55" s="1"/>
  <c r="I31" i="55"/>
  <c r="N31" i="55" s="1"/>
  <c r="U31" i="55" s="1"/>
  <c r="I27" i="55"/>
  <c r="R27" i="55" s="1"/>
  <c r="I23" i="55"/>
  <c r="N23" i="55" s="1"/>
  <c r="U23" i="55" s="1"/>
  <c r="I19" i="55"/>
  <c r="R19" i="55" s="1"/>
  <c r="I15" i="55"/>
  <c r="R15" i="55" s="1"/>
  <c r="I254" i="55"/>
  <c r="N254" i="55" s="1"/>
  <c r="U254" i="55" s="1"/>
  <c r="I250" i="55"/>
  <c r="R250" i="55" s="1"/>
  <c r="I234" i="55"/>
  <c r="N234" i="55" s="1"/>
  <c r="U234" i="55" s="1"/>
  <c r="I222" i="55"/>
  <c r="S222" i="55" s="1"/>
  <c r="I218" i="55"/>
  <c r="R218" i="55" s="1"/>
  <c r="I214" i="55"/>
  <c r="R214" i="55" s="1"/>
  <c r="I210" i="55"/>
  <c r="R210" i="55" s="1"/>
  <c r="I206" i="55"/>
  <c r="R206" i="55" s="1"/>
  <c r="I202" i="55"/>
  <c r="S202" i="55" s="1"/>
  <c r="I198" i="55"/>
  <c r="R198" i="55" s="1"/>
  <c r="I194" i="55"/>
  <c r="R194" i="55" s="1"/>
  <c r="I190" i="55"/>
  <c r="S190" i="55" s="1"/>
  <c r="I186" i="55"/>
  <c r="R186" i="55" s="1"/>
  <c r="I182" i="55"/>
  <c r="N182" i="55" s="1"/>
  <c r="U182" i="55" s="1"/>
  <c r="I178" i="55"/>
  <c r="R178" i="55" s="1"/>
  <c r="I174" i="55"/>
  <c r="R174" i="55" s="1"/>
  <c r="I170" i="55"/>
  <c r="N170" i="55" s="1"/>
  <c r="U170" i="55" s="1"/>
  <c r="I166" i="55"/>
  <c r="R166" i="55" s="1"/>
  <c r="I162" i="55"/>
  <c r="R162" i="55" s="1"/>
  <c r="I158" i="55"/>
  <c r="S158" i="55" s="1"/>
  <c r="I154" i="55"/>
  <c r="R154" i="55" s="1"/>
  <c r="I150" i="55"/>
  <c r="R150" i="55" s="1"/>
  <c r="I146" i="55"/>
  <c r="R146" i="55" s="1"/>
  <c r="I142" i="55"/>
  <c r="R142" i="55" s="1"/>
  <c r="I138" i="55"/>
  <c r="S138" i="55" s="1"/>
  <c r="I134" i="55"/>
  <c r="R134" i="55" s="1"/>
  <c r="I130" i="55"/>
  <c r="R130" i="55" s="1"/>
  <c r="I126" i="55"/>
  <c r="S126" i="55" s="1"/>
  <c r="I122" i="55"/>
  <c r="R122" i="55" s="1"/>
  <c r="N255" i="52"/>
  <c r="U255" i="52" s="1"/>
  <c r="N251" i="52"/>
  <c r="U251" i="52" s="1"/>
  <c r="N247" i="52"/>
  <c r="U247" i="52" s="1"/>
  <c r="N243" i="52"/>
  <c r="U243" i="52" s="1"/>
  <c r="N239" i="52"/>
  <c r="U239" i="52" s="1"/>
  <c r="N235" i="52"/>
  <c r="U235" i="52" s="1"/>
  <c r="N231" i="52"/>
  <c r="U231" i="52" s="1"/>
  <c r="N227" i="52"/>
  <c r="U227" i="52" s="1"/>
  <c r="N223" i="52"/>
  <c r="U223" i="52" s="1"/>
  <c r="N219" i="52"/>
  <c r="U219" i="52" s="1"/>
  <c r="N215" i="52"/>
  <c r="U215" i="52" s="1"/>
  <c r="N211" i="52"/>
  <c r="U211" i="52" s="1"/>
  <c r="N207" i="52"/>
  <c r="U207" i="52" s="1"/>
  <c r="N203" i="52"/>
  <c r="U203" i="52" s="1"/>
  <c r="N199" i="52"/>
  <c r="U199" i="52" s="1"/>
  <c r="N195" i="52"/>
  <c r="U195" i="52" s="1"/>
  <c r="N191" i="52"/>
  <c r="U191" i="52" s="1"/>
  <c r="N187" i="52"/>
  <c r="U187" i="52" s="1"/>
  <c r="N183" i="52"/>
  <c r="U183" i="52" s="1"/>
  <c r="N179" i="52"/>
  <c r="U179" i="52" s="1"/>
  <c r="N175" i="52"/>
  <c r="U175" i="52" s="1"/>
  <c r="N171" i="52"/>
  <c r="U171" i="52" s="1"/>
  <c r="N167" i="52"/>
  <c r="U167" i="52" s="1"/>
  <c r="N163" i="52"/>
  <c r="U163" i="52" s="1"/>
  <c r="N159" i="52"/>
  <c r="U159" i="52" s="1"/>
  <c r="N155" i="52"/>
  <c r="U155" i="52" s="1"/>
  <c r="N151" i="52"/>
  <c r="U151" i="52" s="1"/>
  <c r="N147" i="52"/>
  <c r="U147" i="52" s="1"/>
  <c r="N143" i="52"/>
  <c r="U143" i="52" s="1"/>
  <c r="N139" i="52"/>
  <c r="U139" i="52" s="1"/>
  <c r="N135" i="52"/>
  <c r="U135" i="52" s="1"/>
  <c r="N131" i="52"/>
  <c r="U131" i="52" s="1"/>
  <c r="N127" i="52"/>
  <c r="U127" i="52" s="1"/>
  <c r="N123" i="52"/>
  <c r="U123" i="52" s="1"/>
  <c r="N119" i="52"/>
  <c r="U119" i="52" s="1"/>
  <c r="N115" i="52"/>
  <c r="U115" i="52" s="1"/>
  <c r="N111" i="52"/>
  <c r="U111" i="52" s="1"/>
  <c r="N107" i="52"/>
  <c r="U107" i="52" s="1"/>
  <c r="N103" i="52"/>
  <c r="U103" i="52" s="1"/>
  <c r="N99" i="52"/>
  <c r="U99" i="52" s="1"/>
  <c r="N95" i="52"/>
  <c r="U95" i="52" s="1"/>
  <c r="N91" i="52"/>
  <c r="U91" i="52" s="1"/>
  <c r="N87" i="52"/>
  <c r="U87" i="52" s="1"/>
  <c r="N83" i="52"/>
  <c r="U83" i="52" s="1"/>
  <c r="N79" i="52"/>
  <c r="U79" i="52" s="1"/>
  <c r="N75" i="52"/>
  <c r="U75" i="52" s="1"/>
  <c r="N71" i="52"/>
  <c r="U71" i="52" s="1"/>
  <c r="N67" i="52"/>
  <c r="U67" i="52" s="1"/>
  <c r="N63" i="52"/>
  <c r="U63" i="52" s="1"/>
  <c r="N59" i="52"/>
  <c r="U59" i="52" s="1"/>
  <c r="N55" i="52"/>
  <c r="U55" i="52" s="1"/>
  <c r="N51" i="52"/>
  <c r="U51" i="52" s="1"/>
  <c r="N47" i="52"/>
  <c r="U47" i="52" s="1"/>
  <c r="N43" i="52"/>
  <c r="U43" i="52" s="1"/>
  <c r="N39" i="52"/>
  <c r="U39" i="52" s="1"/>
  <c r="N35" i="52"/>
  <c r="U35" i="52" s="1"/>
  <c r="N31" i="52"/>
  <c r="U31" i="52" s="1"/>
  <c r="N27" i="52"/>
  <c r="U27" i="52" s="1"/>
  <c r="N23" i="52"/>
  <c r="U23" i="52" s="1"/>
  <c r="N19" i="52"/>
  <c r="U19" i="52" s="1"/>
  <c r="N15" i="52"/>
  <c r="U15" i="52" s="1"/>
  <c r="N257" i="52"/>
  <c r="U257" i="52" s="1"/>
  <c r="N253" i="52"/>
  <c r="U253" i="52" s="1"/>
  <c r="N249" i="52"/>
  <c r="U249" i="52" s="1"/>
  <c r="N245" i="52"/>
  <c r="U245" i="52" s="1"/>
  <c r="N241" i="52"/>
  <c r="U241" i="52" s="1"/>
  <c r="N237" i="52"/>
  <c r="U237" i="52" s="1"/>
  <c r="N233" i="52"/>
  <c r="U233" i="52" s="1"/>
  <c r="N229" i="52"/>
  <c r="U229" i="52" s="1"/>
  <c r="N225" i="52"/>
  <c r="U225" i="52" s="1"/>
  <c r="N221" i="52"/>
  <c r="U221" i="52" s="1"/>
  <c r="N217" i="52"/>
  <c r="U217" i="52" s="1"/>
  <c r="N213" i="52"/>
  <c r="U213" i="52" s="1"/>
  <c r="N209" i="52"/>
  <c r="U209" i="52" s="1"/>
  <c r="N205" i="52"/>
  <c r="U205" i="52" s="1"/>
  <c r="N201" i="52"/>
  <c r="U201" i="52" s="1"/>
  <c r="N197" i="52"/>
  <c r="U197" i="52" s="1"/>
  <c r="N193" i="52"/>
  <c r="U193" i="52" s="1"/>
  <c r="N189" i="52"/>
  <c r="U189" i="52" s="1"/>
  <c r="N185" i="52"/>
  <c r="U185" i="52" s="1"/>
  <c r="N181" i="52"/>
  <c r="U181" i="52" s="1"/>
  <c r="N177" i="52"/>
  <c r="U177" i="52" s="1"/>
  <c r="N173" i="52"/>
  <c r="U173" i="52" s="1"/>
  <c r="N169" i="52"/>
  <c r="U169" i="52" s="1"/>
  <c r="N165" i="52"/>
  <c r="U165" i="52" s="1"/>
  <c r="N161" i="52"/>
  <c r="U161" i="52" s="1"/>
  <c r="N157" i="52"/>
  <c r="U157" i="52" s="1"/>
  <c r="N153" i="52"/>
  <c r="U153" i="52" s="1"/>
  <c r="N149" i="52"/>
  <c r="U149" i="52" s="1"/>
  <c r="N145" i="52"/>
  <c r="U145" i="52" s="1"/>
  <c r="N141" i="52"/>
  <c r="U141" i="52" s="1"/>
  <c r="N137" i="52"/>
  <c r="U137" i="52" s="1"/>
  <c r="N133" i="52"/>
  <c r="U133" i="52" s="1"/>
  <c r="N129" i="52"/>
  <c r="U129" i="52" s="1"/>
  <c r="N125" i="52"/>
  <c r="U125" i="52" s="1"/>
  <c r="N121" i="52"/>
  <c r="U121" i="52" s="1"/>
  <c r="N117" i="52"/>
  <c r="U117" i="52" s="1"/>
  <c r="N113" i="52"/>
  <c r="U113" i="52" s="1"/>
  <c r="N109" i="52"/>
  <c r="U109" i="52" s="1"/>
  <c r="N105" i="52"/>
  <c r="U105" i="52" s="1"/>
  <c r="N101" i="52"/>
  <c r="U101" i="52" s="1"/>
  <c r="N97" i="52"/>
  <c r="U97" i="52" s="1"/>
  <c r="N93" i="52"/>
  <c r="U93" i="52" s="1"/>
  <c r="N89" i="52"/>
  <c r="U89" i="52" s="1"/>
  <c r="N85" i="52"/>
  <c r="U85" i="52" s="1"/>
  <c r="N81" i="52"/>
  <c r="U81" i="52" s="1"/>
  <c r="N77" i="52"/>
  <c r="U77" i="52" s="1"/>
  <c r="N73" i="52"/>
  <c r="U73" i="52" s="1"/>
  <c r="N69" i="52"/>
  <c r="U69" i="52" s="1"/>
  <c r="N65" i="52"/>
  <c r="U65" i="52" s="1"/>
  <c r="N61" i="52"/>
  <c r="U61" i="52" s="1"/>
  <c r="N57" i="52"/>
  <c r="U57" i="52" s="1"/>
  <c r="N53" i="52"/>
  <c r="U53" i="52" s="1"/>
  <c r="N49" i="52"/>
  <c r="U49" i="52" s="1"/>
  <c r="N45" i="52"/>
  <c r="U45" i="52" s="1"/>
  <c r="N41" i="52"/>
  <c r="U41" i="52" s="1"/>
  <c r="N37" i="52"/>
  <c r="U37" i="52" s="1"/>
  <c r="N33" i="52"/>
  <c r="U33" i="52" s="1"/>
  <c r="N29" i="52"/>
  <c r="U29" i="52" s="1"/>
  <c r="N25" i="52"/>
  <c r="U25" i="52" s="1"/>
  <c r="N21" i="52"/>
  <c r="U21" i="52" s="1"/>
  <c r="N17" i="52"/>
  <c r="U17" i="52" s="1"/>
  <c r="N13" i="52"/>
  <c r="U13" i="52" s="1"/>
  <c r="I12" i="58"/>
  <c r="I14" i="55"/>
  <c r="R14" i="55" s="1"/>
  <c r="I13" i="55"/>
  <c r="R13" i="55" s="1"/>
  <c r="I12" i="55"/>
  <c r="S12" i="55" s="1"/>
  <c r="I11" i="55"/>
  <c r="N11" i="55" s="1"/>
  <c r="U11" i="55" s="1"/>
  <c r="I10" i="55"/>
  <c r="N10" i="55" s="1"/>
  <c r="R11" i="52"/>
  <c r="H148" i="22" s="1"/>
  <c r="AK10" i="55" a="1"/>
  <c r="AK10" i="55" s="1"/>
  <c r="B12" i="57" s="1"/>
  <c r="P12" i="57" s="1"/>
  <c r="AK10" i="52" a="1"/>
  <c r="AK10" i="52" s="1"/>
  <c r="B12" i="53" s="1"/>
  <c r="AJ10" i="55" a="1"/>
  <c r="AJ10" i="55" s="1"/>
  <c r="AJ11" i="55" s="1" a="1"/>
  <c r="AJ11" i="55" s="1"/>
  <c r="T258" i="55"/>
  <c r="AJ10" i="52" a="1"/>
  <c r="AJ10" i="52" s="1"/>
  <c r="AJ11" i="52" s="1" a="1"/>
  <c r="AJ11" i="52" s="1"/>
  <c r="T258" i="52"/>
  <c r="R12" i="42" l="1"/>
  <c r="S12" i="58"/>
  <c r="T12" i="58" s="1"/>
  <c r="Y12" i="58" s="1"/>
  <c r="X147" i="22" s="1"/>
  <c r="W159" i="22"/>
  <c r="W154" i="22"/>
  <c r="T159" i="22"/>
  <c r="D131" i="36" s="1"/>
  <c r="F147" i="22"/>
  <c r="D99" i="36" s="1"/>
  <c r="R14" i="42"/>
  <c r="W14" i="42" s="1"/>
  <c r="U14" i="42"/>
  <c r="R15" i="42"/>
  <c r="W15" i="42" s="1"/>
  <c r="U15" i="42"/>
  <c r="W255" i="42"/>
  <c r="R10" i="52"/>
  <c r="H147" i="22" s="1"/>
  <c r="H149" i="22"/>
  <c r="T147" i="22"/>
  <c r="D119" i="36" s="1"/>
  <c r="T148" i="22"/>
  <c r="D120" i="36" s="1"/>
  <c r="S10" i="52"/>
  <c r="W242" i="42"/>
  <c r="W250" i="42"/>
  <c r="W26" i="42"/>
  <c r="W226" i="42"/>
  <c r="W258" i="42"/>
  <c r="W63" i="42"/>
  <c r="W127" i="42"/>
  <c r="W150" i="42"/>
  <c r="W238" i="42"/>
  <c r="W246" i="42"/>
  <c r="W234" i="42"/>
  <c r="W236" i="42"/>
  <c r="W87" i="42"/>
  <c r="W191" i="42"/>
  <c r="F149" i="22"/>
  <c r="D101" i="36" s="1"/>
  <c r="D141" i="36" s="1"/>
  <c r="F150" i="22"/>
  <c r="D102" i="36" s="1"/>
  <c r="D142" i="36" s="1"/>
  <c r="W183" i="42"/>
  <c r="W124" i="42"/>
  <c r="F151" i="22"/>
  <c r="D103" i="36" s="1"/>
  <c r="D143" i="36" s="1"/>
  <c r="W239" i="42"/>
  <c r="F148" i="22"/>
  <c r="D100" i="36" s="1"/>
  <c r="F157" i="22"/>
  <c r="D109" i="36" s="1"/>
  <c r="D149" i="36" s="1"/>
  <c r="W109" i="42"/>
  <c r="W199" i="42"/>
  <c r="S227" i="55"/>
  <c r="W84" i="42"/>
  <c r="W45" i="42"/>
  <c r="W245" i="42"/>
  <c r="W247" i="42"/>
  <c r="W39" i="42"/>
  <c r="W79" i="42"/>
  <c r="W160" i="42"/>
  <c r="W215" i="42"/>
  <c r="W197" i="42"/>
  <c r="W77" i="42"/>
  <c r="W103" i="42"/>
  <c r="L104" i="36"/>
  <c r="L106" i="36"/>
  <c r="L100" i="36"/>
  <c r="F153" i="22"/>
  <c r="D105" i="36" s="1"/>
  <c r="D145" i="36" s="1"/>
  <c r="L102" i="36"/>
  <c r="L108" i="36"/>
  <c r="F159" i="22"/>
  <c r="D111" i="36" s="1"/>
  <c r="F152" i="22"/>
  <c r="D104" i="36" s="1"/>
  <c r="D144" i="36" s="1"/>
  <c r="N227" i="55"/>
  <c r="U227" i="55" s="1"/>
  <c r="W231" i="42"/>
  <c r="W189" i="42"/>
  <c r="W136" i="42"/>
  <c r="W144" i="42"/>
  <c r="W168" i="42"/>
  <c r="W240" i="42"/>
  <c r="W125" i="42"/>
  <c r="W142" i="42"/>
  <c r="W166" i="42"/>
  <c r="W206" i="42"/>
  <c r="W230" i="42"/>
  <c r="W29" i="42"/>
  <c r="W37" i="42"/>
  <c r="W52" i="42"/>
  <c r="W71" i="42"/>
  <c r="W92" i="42"/>
  <c r="W213" i="42"/>
  <c r="W93" i="42"/>
  <c r="W111" i="42"/>
  <c r="W146" i="42"/>
  <c r="W218" i="42"/>
  <c r="W149" i="42"/>
  <c r="W68" i="42"/>
  <c r="W95" i="42"/>
  <c r="W207" i="42"/>
  <c r="W205" i="42"/>
  <c r="W101" i="42"/>
  <c r="W119" i="42"/>
  <c r="W20" i="42"/>
  <c r="W158" i="42"/>
  <c r="W214" i="42"/>
  <c r="W181" i="42"/>
  <c r="W31" i="42"/>
  <c r="W55" i="42"/>
  <c r="W116" i="42"/>
  <c r="W223" i="42"/>
  <c r="W141" i="42"/>
  <c r="W173" i="42"/>
  <c r="W69" i="42"/>
  <c r="W108" i="42"/>
  <c r="W134" i="42"/>
  <c r="W198" i="42"/>
  <c r="W53" i="42"/>
  <c r="W229" i="42"/>
  <c r="W159" i="42"/>
  <c r="W21" i="42"/>
  <c r="W36" i="42"/>
  <c r="W167" i="42"/>
  <c r="W76" i="42"/>
  <c r="W165" i="42"/>
  <c r="F30" i="36"/>
  <c r="M3" i="42"/>
  <c r="L12" i="57"/>
  <c r="O2" i="58"/>
  <c r="N245" i="55"/>
  <c r="U245" i="55" s="1"/>
  <c r="N197" i="55"/>
  <c r="U197" i="55" s="1"/>
  <c r="S133" i="55"/>
  <c r="N65" i="55"/>
  <c r="U65" i="55" s="1"/>
  <c r="N193" i="55"/>
  <c r="U193" i="55" s="1"/>
  <c r="R96" i="55"/>
  <c r="N105" i="55"/>
  <c r="U105" i="55" s="1"/>
  <c r="S213" i="55"/>
  <c r="W16" i="42"/>
  <c r="S245" i="55"/>
  <c r="R149" i="55"/>
  <c r="R157" i="55"/>
  <c r="R72" i="55"/>
  <c r="R173" i="55"/>
  <c r="R37" i="55"/>
  <c r="N237" i="55"/>
  <c r="U237" i="55" s="1"/>
  <c r="S69" i="55"/>
  <c r="R221" i="55"/>
  <c r="R120" i="55"/>
  <c r="N44" i="55"/>
  <c r="U44" i="55" s="1"/>
  <c r="S101" i="55"/>
  <c r="S237" i="55"/>
  <c r="W47" i="42"/>
  <c r="W60" i="42"/>
  <c r="W117" i="42"/>
  <c r="W157" i="42"/>
  <c r="W133" i="42"/>
  <c r="W85" i="42"/>
  <c r="W151" i="42"/>
  <c r="W61" i="42"/>
  <c r="W237" i="42"/>
  <c r="W23" i="42"/>
  <c r="W44" i="42"/>
  <c r="W135" i="42"/>
  <c r="W100" i="42"/>
  <c r="W143" i="42"/>
  <c r="S25" i="52"/>
  <c r="R25" i="52"/>
  <c r="S57" i="52"/>
  <c r="R57" i="52"/>
  <c r="S89" i="52"/>
  <c r="R89" i="52"/>
  <c r="S121" i="52"/>
  <c r="R121" i="52"/>
  <c r="S153" i="52"/>
  <c r="R153" i="52"/>
  <c r="S185" i="52"/>
  <c r="R185" i="52"/>
  <c r="S217" i="52"/>
  <c r="R217" i="52"/>
  <c r="S249" i="52"/>
  <c r="R249" i="52"/>
  <c r="S35" i="52"/>
  <c r="R35" i="52"/>
  <c r="S67" i="52"/>
  <c r="R67" i="52"/>
  <c r="S99" i="52"/>
  <c r="R99" i="52"/>
  <c r="S131" i="52"/>
  <c r="R131" i="52"/>
  <c r="S163" i="52"/>
  <c r="R163" i="52"/>
  <c r="S195" i="52"/>
  <c r="R195" i="52"/>
  <c r="S227" i="52"/>
  <c r="R227" i="52"/>
  <c r="W132" i="42"/>
  <c r="W148" i="42"/>
  <c r="W164" i="42"/>
  <c r="W180" i="42"/>
  <c r="W196" i="42"/>
  <c r="W212" i="42"/>
  <c r="W228" i="42"/>
  <c r="W244" i="42"/>
  <c r="R246" i="55"/>
  <c r="S246" i="55"/>
  <c r="S225" i="55"/>
  <c r="R225" i="55"/>
  <c r="S123" i="55"/>
  <c r="R123" i="55"/>
  <c r="S139" i="55"/>
  <c r="R139" i="55"/>
  <c r="S159" i="55"/>
  <c r="R159" i="55"/>
  <c r="S179" i="55"/>
  <c r="R179" i="55"/>
  <c r="S203" i="55"/>
  <c r="R203" i="55"/>
  <c r="S26" i="55"/>
  <c r="R26" i="55"/>
  <c r="R70" i="55"/>
  <c r="S70" i="55"/>
  <c r="S175" i="55"/>
  <c r="R175" i="55"/>
  <c r="S223" i="55"/>
  <c r="R223" i="55"/>
  <c r="N153" i="55"/>
  <c r="U153" i="55" s="1"/>
  <c r="R29" i="55"/>
  <c r="S61" i="55"/>
  <c r="S93" i="55"/>
  <c r="S125" i="55"/>
  <c r="S189" i="55"/>
  <c r="R24" i="55"/>
  <c r="S56" i="55"/>
  <c r="S88" i="55"/>
  <c r="S120" i="55"/>
  <c r="S11" i="55"/>
  <c r="S43" i="55"/>
  <c r="R75" i="55"/>
  <c r="R107" i="55"/>
  <c r="S248" i="55"/>
  <c r="R126" i="55"/>
  <c r="R158" i="55"/>
  <c r="R190" i="55"/>
  <c r="R222" i="55"/>
  <c r="S17" i="55"/>
  <c r="S49" i="55"/>
  <c r="R81" i="55"/>
  <c r="R113" i="55"/>
  <c r="R145" i="55"/>
  <c r="R177" i="55"/>
  <c r="R209" i="55"/>
  <c r="R12" i="55"/>
  <c r="S44" i="55"/>
  <c r="R76" i="55"/>
  <c r="R108" i="55"/>
  <c r="S241" i="55"/>
  <c r="S15" i="55"/>
  <c r="S47" i="55"/>
  <c r="R79" i="55"/>
  <c r="R111" i="55"/>
  <c r="S252" i="55"/>
  <c r="R138" i="55"/>
  <c r="R170" i="55"/>
  <c r="R202" i="55"/>
  <c r="S165" i="52"/>
  <c r="R165" i="52"/>
  <c r="S47" i="52"/>
  <c r="R47" i="52"/>
  <c r="W186" i="42"/>
  <c r="S29" i="52"/>
  <c r="R29" i="52"/>
  <c r="S61" i="52"/>
  <c r="R61" i="52"/>
  <c r="S93" i="52"/>
  <c r="R93" i="52"/>
  <c r="S125" i="52"/>
  <c r="R125" i="52"/>
  <c r="S157" i="52"/>
  <c r="R157" i="52"/>
  <c r="S189" i="52"/>
  <c r="R189" i="52"/>
  <c r="S221" i="52"/>
  <c r="R221" i="52"/>
  <c r="S253" i="52"/>
  <c r="R253" i="52"/>
  <c r="S39" i="52"/>
  <c r="R39" i="52"/>
  <c r="S71" i="52"/>
  <c r="R71" i="52"/>
  <c r="S103" i="52"/>
  <c r="R103" i="52"/>
  <c r="S135" i="52"/>
  <c r="R135" i="52"/>
  <c r="S167" i="52"/>
  <c r="R167" i="52"/>
  <c r="S199" i="52"/>
  <c r="R199" i="52"/>
  <c r="S231" i="52"/>
  <c r="R231" i="52"/>
  <c r="W22" i="42"/>
  <c r="W182" i="42"/>
  <c r="S255" i="55"/>
  <c r="R255" i="55"/>
  <c r="S247" i="55"/>
  <c r="R247" i="55"/>
  <c r="S38" i="55"/>
  <c r="R38" i="55"/>
  <c r="R58" i="55"/>
  <c r="S58" i="55"/>
  <c r="R102" i="55"/>
  <c r="S102" i="55"/>
  <c r="R132" i="55"/>
  <c r="S132" i="55"/>
  <c r="R148" i="55"/>
  <c r="S148" i="55"/>
  <c r="R164" i="55"/>
  <c r="S164" i="55"/>
  <c r="R180" i="55"/>
  <c r="S180" i="55"/>
  <c r="R196" i="55"/>
  <c r="S196" i="55"/>
  <c r="R98" i="55"/>
  <c r="S98" i="55"/>
  <c r="N161" i="55"/>
  <c r="U161" i="55" s="1"/>
  <c r="R233" i="55"/>
  <c r="S233" i="55"/>
  <c r="S37" i="55"/>
  <c r="R101" i="55"/>
  <c r="R165" i="55"/>
  <c r="S197" i="55"/>
  <c r="S234" i="55"/>
  <c r="S24" i="55"/>
  <c r="R11" i="55"/>
  <c r="S75" i="55"/>
  <c r="R248" i="55"/>
  <c r="S134" i="55"/>
  <c r="S166" i="55"/>
  <c r="S198" i="55"/>
  <c r="R17" i="55"/>
  <c r="S81" i="55"/>
  <c r="S113" i="55"/>
  <c r="S177" i="55"/>
  <c r="R20" i="55"/>
  <c r="R52" i="55"/>
  <c r="S84" i="55"/>
  <c r="S116" i="55"/>
  <c r="S249" i="55"/>
  <c r="S79" i="55"/>
  <c r="S146" i="55"/>
  <c r="S178" i="55"/>
  <c r="S210" i="55"/>
  <c r="S33" i="52"/>
  <c r="R33" i="52"/>
  <c r="S65" i="52"/>
  <c r="R65" i="52"/>
  <c r="S97" i="52"/>
  <c r="R97" i="52"/>
  <c r="S129" i="52"/>
  <c r="R129" i="52"/>
  <c r="S161" i="52"/>
  <c r="R161" i="52"/>
  <c r="S193" i="52"/>
  <c r="R193" i="52"/>
  <c r="S225" i="52"/>
  <c r="R225" i="52"/>
  <c r="S257" i="52"/>
  <c r="R257" i="52"/>
  <c r="S43" i="52"/>
  <c r="R43" i="52"/>
  <c r="S75" i="52"/>
  <c r="R75" i="52"/>
  <c r="S107" i="52"/>
  <c r="R107" i="52"/>
  <c r="S139" i="52"/>
  <c r="R139" i="52"/>
  <c r="S171" i="52"/>
  <c r="R171" i="52"/>
  <c r="S203" i="52"/>
  <c r="R203" i="52"/>
  <c r="S235" i="52"/>
  <c r="R235" i="52"/>
  <c r="W24" i="42"/>
  <c r="W152" i="42"/>
  <c r="W184" i="42"/>
  <c r="W200" i="42"/>
  <c r="W216" i="42"/>
  <c r="W232" i="42"/>
  <c r="W248" i="42"/>
  <c r="R226" i="55"/>
  <c r="S226" i="55"/>
  <c r="R230" i="55"/>
  <c r="S230" i="55"/>
  <c r="S127" i="55"/>
  <c r="R127" i="55"/>
  <c r="S143" i="55"/>
  <c r="R143" i="55"/>
  <c r="S163" i="55"/>
  <c r="R163" i="55"/>
  <c r="S183" i="55"/>
  <c r="R183" i="55"/>
  <c r="S207" i="55"/>
  <c r="R207" i="55"/>
  <c r="S30" i="55"/>
  <c r="R30" i="55"/>
  <c r="R74" i="55"/>
  <c r="S74" i="55"/>
  <c r="S191" i="55"/>
  <c r="R191" i="55"/>
  <c r="S165" i="55"/>
  <c r="R234" i="55"/>
  <c r="R32" i="55"/>
  <c r="S64" i="55"/>
  <c r="S216" i="55"/>
  <c r="S19" i="55"/>
  <c r="S51" i="55"/>
  <c r="R83" i="55"/>
  <c r="R115" i="55"/>
  <c r="S256" i="55"/>
  <c r="S25" i="55"/>
  <c r="R57" i="55"/>
  <c r="R89" i="55"/>
  <c r="R121" i="55"/>
  <c r="R153" i="55"/>
  <c r="S185" i="55"/>
  <c r="S217" i="55"/>
  <c r="S20" i="55"/>
  <c r="S52" i="55"/>
  <c r="R116" i="55"/>
  <c r="S23" i="55"/>
  <c r="R55" i="55"/>
  <c r="R87" i="55"/>
  <c r="S228" i="55"/>
  <c r="N217" i="55"/>
  <c r="U217" i="55" s="1"/>
  <c r="S13" i="55"/>
  <c r="S45" i="55"/>
  <c r="R77" i="55"/>
  <c r="R109" i="55"/>
  <c r="R141" i="55"/>
  <c r="R205" i="55"/>
  <c r="S250" i="55"/>
  <c r="R64" i="55"/>
  <c r="S115" i="55"/>
  <c r="S142" i="55"/>
  <c r="S174" i="55"/>
  <c r="S206" i="55"/>
  <c r="R235" i="55"/>
  <c r="R25" i="55"/>
  <c r="S57" i="55"/>
  <c r="S121" i="55"/>
  <c r="R28" i="55"/>
  <c r="S60" i="55"/>
  <c r="S92" i="55"/>
  <c r="S212" i="55"/>
  <c r="R257" i="55"/>
  <c r="R23" i="55"/>
  <c r="S122" i="55"/>
  <c r="S154" i="55"/>
  <c r="S186" i="55"/>
  <c r="S218" i="55"/>
  <c r="S69" i="52"/>
  <c r="R69" i="52"/>
  <c r="S197" i="52"/>
  <c r="R197" i="52"/>
  <c r="S79" i="52"/>
  <c r="R79" i="52"/>
  <c r="S143" i="52"/>
  <c r="R143" i="52"/>
  <c r="S207" i="52"/>
  <c r="R207" i="52"/>
  <c r="W138" i="42"/>
  <c r="W170" i="42"/>
  <c r="W202" i="42"/>
  <c r="S251" i="55"/>
  <c r="R251" i="55"/>
  <c r="S46" i="55"/>
  <c r="R46" i="55"/>
  <c r="R62" i="55"/>
  <c r="S62" i="55"/>
  <c r="R106" i="55"/>
  <c r="S106" i="55"/>
  <c r="R136" i="55"/>
  <c r="S136" i="55"/>
  <c r="R152" i="55"/>
  <c r="S152" i="55"/>
  <c r="R168" i="55"/>
  <c r="S168" i="55"/>
  <c r="R184" i="55"/>
  <c r="S184" i="55"/>
  <c r="R200" i="55"/>
  <c r="S200" i="55"/>
  <c r="S231" i="55"/>
  <c r="R231" i="55"/>
  <c r="S34" i="55"/>
  <c r="R34" i="55"/>
  <c r="R118" i="55"/>
  <c r="S118" i="55"/>
  <c r="S41" i="52"/>
  <c r="R41" i="52"/>
  <c r="S73" i="52"/>
  <c r="R73" i="52"/>
  <c r="S105" i="52"/>
  <c r="R105" i="52"/>
  <c r="S137" i="52"/>
  <c r="R137" i="52"/>
  <c r="S169" i="52"/>
  <c r="R169" i="52"/>
  <c r="S201" i="52"/>
  <c r="R201" i="52"/>
  <c r="S233" i="52"/>
  <c r="R233" i="52"/>
  <c r="R19" i="52"/>
  <c r="S19" i="52"/>
  <c r="S51" i="52"/>
  <c r="R51" i="52"/>
  <c r="S83" i="52"/>
  <c r="R83" i="52"/>
  <c r="S115" i="52"/>
  <c r="R115" i="52"/>
  <c r="S147" i="52"/>
  <c r="R147" i="52"/>
  <c r="S179" i="52"/>
  <c r="R179" i="52"/>
  <c r="S211" i="52"/>
  <c r="R211" i="52"/>
  <c r="S243" i="52"/>
  <c r="R243" i="52"/>
  <c r="W28" i="42"/>
  <c r="W140" i="42"/>
  <c r="W156" i="42"/>
  <c r="W172" i="42"/>
  <c r="W188" i="42"/>
  <c r="W204" i="42"/>
  <c r="W220" i="42"/>
  <c r="W252" i="42"/>
  <c r="R238" i="55"/>
  <c r="S238" i="55"/>
  <c r="S131" i="55"/>
  <c r="R131" i="55"/>
  <c r="S147" i="55"/>
  <c r="R147" i="55"/>
  <c r="S167" i="55"/>
  <c r="R167" i="55"/>
  <c r="S187" i="55"/>
  <c r="R187" i="55"/>
  <c r="S211" i="55"/>
  <c r="R211" i="55"/>
  <c r="S42" i="55"/>
  <c r="R42" i="55"/>
  <c r="R78" i="55"/>
  <c r="S78" i="55"/>
  <c r="S195" i="55"/>
  <c r="R195" i="55"/>
  <c r="S141" i="55"/>
  <c r="S205" i="55"/>
  <c r="R40" i="55"/>
  <c r="S72" i="55"/>
  <c r="S104" i="55"/>
  <c r="S224" i="55"/>
  <c r="R253" i="55"/>
  <c r="S27" i="55"/>
  <c r="R59" i="55"/>
  <c r="R91" i="55"/>
  <c r="S232" i="55"/>
  <c r="S235" i="55"/>
  <c r="S33" i="55"/>
  <c r="R65" i="55"/>
  <c r="R97" i="55"/>
  <c r="R129" i="55"/>
  <c r="R161" i="55"/>
  <c r="R193" i="55"/>
  <c r="S254" i="55"/>
  <c r="S31" i="55"/>
  <c r="R63" i="55"/>
  <c r="R95" i="55"/>
  <c r="S236" i="55"/>
  <c r="S37" i="52"/>
  <c r="R37" i="52"/>
  <c r="S133" i="52"/>
  <c r="R133" i="52"/>
  <c r="S229" i="52"/>
  <c r="R229" i="52"/>
  <c r="S111" i="52"/>
  <c r="R111" i="52"/>
  <c r="S175" i="52"/>
  <c r="R175" i="52"/>
  <c r="S239" i="52"/>
  <c r="R239" i="52"/>
  <c r="R13" i="52"/>
  <c r="H150" i="22" s="1"/>
  <c r="S13" i="52"/>
  <c r="S45" i="52"/>
  <c r="R45" i="52"/>
  <c r="S77" i="52"/>
  <c r="R77" i="52"/>
  <c r="S109" i="52"/>
  <c r="R109" i="52"/>
  <c r="S141" i="52"/>
  <c r="R141" i="52"/>
  <c r="S173" i="52"/>
  <c r="R173" i="52"/>
  <c r="S205" i="52"/>
  <c r="R205" i="52"/>
  <c r="S237" i="52"/>
  <c r="R237" i="52"/>
  <c r="S23" i="52"/>
  <c r="R23" i="52"/>
  <c r="S55" i="52"/>
  <c r="R55" i="52"/>
  <c r="S87" i="52"/>
  <c r="R87" i="52"/>
  <c r="S119" i="52"/>
  <c r="R119" i="52"/>
  <c r="S151" i="52"/>
  <c r="R151" i="52"/>
  <c r="S183" i="52"/>
  <c r="R183" i="52"/>
  <c r="S215" i="52"/>
  <c r="R215" i="52"/>
  <c r="S247" i="52"/>
  <c r="R247" i="52"/>
  <c r="W30" i="42"/>
  <c r="W174" i="42"/>
  <c r="W190" i="42"/>
  <c r="W222" i="42"/>
  <c r="W254" i="42"/>
  <c r="S18" i="55"/>
  <c r="R18" i="55"/>
  <c r="S50" i="55"/>
  <c r="R50" i="55"/>
  <c r="R86" i="55"/>
  <c r="S86" i="55"/>
  <c r="R110" i="55"/>
  <c r="S110" i="55"/>
  <c r="R124" i="55"/>
  <c r="S124" i="55"/>
  <c r="R140" i="55"/>
  <c r="S140" i="55"/>
  <c r="R156" i="55"/>
  <c r="S156" i="55"/>
  <c r="R172" i="55"/>
  <c r="S172" i="55"/>
  <c r="R188" i="55"/>
  <c r="S188" i="55"/>
  <c r="R204" i="55"/>
  <c r="S204" i="55"/>
  <c r="R82" i="55"/>
  <c r="S82" i="55"/>
  <c r="S243" i="55"/>
  <c r="R243" i="55"/>
  <c r="S21" i="55"/>
  <c r="S53" i="55"/>
  <c r="R85" i="55"/>
  <c r="R117" i="55"/>
  <c r="S181" i="55"/>
  <c r="S14" i="55"/>
  <c r="S150" i="55"/>
  <c r="S182" i="55"/>
  <c r="S214" i="55"/>
  <c r="R33" i="55"/>
  <c r="R254" i="55"/>
  <c r="S11" i="52"/>
  <c r="R36" i="55"/>
  <c r="S68" i="55"/>
  <c r="S100" i="55"/>
  <c r="S220" i="55"/>
  <c r="R31" i="55"/>
  <c r="S63" i="55"/>
  <c r="S130" i="55"/>
  <c r="S162" i="55"/>
  <c r="S194" i="55"/>
  <c r="R239" i="55"/>
  <c r="S101" i="52"/>
  <c r="R101" i="52"/>
  <c r="S15" i="52"/>
  <c r="R15" i="52"/>
  <c r="H152" i="22" s="1"/>
  <c r="W154" i="42"/>
  <c r="R17" i="52"/>
  <c r="S17" i="52"/>
  <c r="S49" i="52"/>
  <c r="R49" i="52"/>
  <c r="S81" i="52"/>
  <c r="R81" i="52"/>
  <c r="S113" i="52"/>
  <c r="R113" i="52"/>
  <c r="S145" i="52"/>
  <c r="R145" i="52"/>
  <c r="S177" i="52"/>
  <c r="R177" i="52"/>
  <c r="S209" i="52"/>
  <c r="R209" i="52"/>
  <c r="S241" i="52"/>
  <c r="R241" i="52"/>
  <c r="S27" i="52"/>
  <c r="R27" i="52"/>
  <c r="S59" i="52"/>
  <c r="R59" i="52"/>
  <c r="S91" i="52"/>
  <c r="R91" i="52"/>
  <c r="S123" i="52"/>
  <c r="R123" i="52"/>
  <c r="S155" i="52"/>
  <c r="R155" i="52"/>
  <c r="S187" i="52"/>
  <c r="R187" i="52"/>
  <c r="S219" i="52"/>
  <c r="R219" i="52"/>
  <c r="S251" i="52"/>
  <c r="R251" i="52"/>
  <c r="W128" i="42"/>
  <c r="W176" i="42"/>
  <c r="W192" i="42"/>
  <c r="W208" i="42"/>
  <c r="W224" i="42"/>
  <c r="W256" i="42"/>
  <c r="R242" i="55"/>
  <c r="S242" i="55"/>
  <c r="S119" i="55"/>
  <c r="R119" i="55"/>
  <c r="S135" i="55"/>
  <c r="R135" i="55"/>
  <c r="S151" i="55"/>
  <c r="R151" i="55"/>
  <c r="S171" i="55"/>
  <c r="R171" i="55"/>
  <c r="S199" i="55"/>
  <c r="R199" i="55"/>
  <c r="S215" i="55"/>
  <c r="R215" i="55"/>
  <c r="R66" i="55"/>
  <c r="S66" i="55"/>
  <c r="S155" i="55"/>
  <c r="R155" i="55"/>
  <c r="S219" i="55"/>
  <c r="R219" i="55"/>
  <c r="S16" i="55"/>
  <c r="R48" i="55"/>
  <c r="S80" i="55"/>
  <c r="S112" i="55"/>
  <c r="S229" i="55"/>
  <c r="S35" i="55"/>
  <c r="R67" i="55"/>
  <c r="R99" i="55"/>
  <c r="S240" i="55"/>
  <c r="R182" i="55"/>
  <c r="S41" i="55"/>
  <c r="R73" i="55"/>
  <c r="R105" i="55"/>
  <c r="R137" i="55"/>
  <c r="R169" i="55"/>
  <c r="S201" i="55"/>
  <c r="S39" i="55"/>
  <c r="R71" i="55"/>
  <c r="R103" i="55"/>
  <c r="S244" i="55"/>
  <c r="S239" i="55"/>
  <c r="R21" i="52"/>
  <c r="S21" i="52"/>
  <c r="S53" i="52"/>
  <c r="R53" i="52"/>
  <c r="S85" i="52"/>
  <c r="R85" i="52"/>
  <c r="S117" i="52"/>
  <c r="R117" i="52"/>
  <c r="S149" i="52"/>
  <c r="R149" i="52"/>
  <c r="S181" i="52"/>
  <c r="R181" i="52"/>
  <c r="S213" i="52"/>
  <c r="R213" i="52"/>
  <c r="S245" i="52"/>
  <c r="R245" i="52"/>
  <c r="S31" i="52"/>
  <c r="R31" i="52"/>
  <c r="S63" i="52"/>
  <c r="R63" i="52"/>
  <c r="S95" i="52"/>
  <c r="R95" i="52"/>
  <c r="S127" i="52"/>
  <c r="R127" i="52"/>
  <c r="S159" i="52"/>
  <c r="R159" i="52"/>
  <c r="S191" i="52"/>
  <c r="R191" i="52"/>
  <c r="S223" i="52"/>
  <c r="R223" i="52"/>
  <c r="S255" i="52"/>
  <c r="R255" i="52"/>
  <c r="W130" i="42"/>
  <c r="W162" i="42"/>
  <c r="W178" i="42"/>
  <c r="W194" i="42"/>
  <c r="W210" i="42"/>
  <c r="S22" i="55"/>
  <c r="R22" i="55"/>
  <c r="S54" i="55"/>
  <c r="R54" i="55"/>
  <c r="R90" i="55"/>
  <c r="S90" i="55"/>
  <c r="R114" i="55"/>
  <c r="S114" i="55"/>
  <c r="R128" i="55"/>
  <c r="S128" i="55"/>
  <c r="R144" i="55"/>
  <c r="S144" i="55"/>
  <c r="R160" i="55"/>
  <c r="S160" i="55"/>
  <c r="R176" i="55"/>
  <c r="S176" i="55"/>
  <c r="R192" i="55"/>
  <c r="S192" i="55"/>
  <c r="R208" i="55"/>
  <c r="S208" i="55"/>
  <c r="R94" i="55"/>
  <c r="S94" i="55"/>
  <c r="R112" i="55"/>
  <c r="S99" i="55"/>
  <c r="S169" i="55"/>
  <c r="R201" i="55"/>
  <c r="S76" i="55"/>
  <c r="S108" i="55"/>
  <c r="R39" i="55"/>
  <c r="S170" i="55"/>
  <c r="N97" i="55"/>
  <c r="U97" i="55" s="1"/>
  <c r="N73" i="55"/>
  <c r="U73" i="55" s="1"/>
  <c r="N166" i="55"/>
  <c r="U166" i="55" s="1"/>
  <c r="N36" i="55"/>
  <c r="U36" i="55" s="1"/>
  <c r="N146" i="55"/>
  <c r="U146" i="55" s="1"/>
  <c r="N117" i="55"/>
  <c r="U117" i="55" s="1"/>
  <c r="N240" i="55"/>
  <c r="U240" i="55" s="1"/>
  <c r="N80" i="55"/>
  <c r="U80" i="55" s="1"/>
  <c r="N67" i="55"/>
  <c r="U67" i="55" s="1"/>
  <c r="N137" i="55"/>
  <c r="U137" i="55" s="1"/>
  <c r="N174" i="55"/>
  <c r="U174" i="55" s="1"/>
  <c r="N145" i="55"/>
  <c r="U145" i="55" s="1"/>
  <c r="N68" i="55"/>
  <c r="U68" i="55" s="1"/>
  <c r="N210" i="55"/>
  <c r="U210" i="55" s="1"/>
  <c r="N133" i="55"/>
  <c r="U133" i="55" s="1"/>
  <c r="N96" i="55"/>
  <c r="U96" i="55" s="1"/>
  <c r="N47" i="55"/>
  <c r="U47" i="55" s="1"/>
  <c r="N107" i="55"/>
  <c r="U107" i="55" s="1"/>
  <c r="N49" i="55"/>
  <c r="U49" i="55" s="1"/>
  <c r="N71" i="55"/>
  <c r="U71" i="55" s="1"/>
  <c r="N40" i="55"/>
  <c r="U40" i="55" s="1"/>
  <c r="N198" i="55"/>
  <c r="U198" i="55" s="1"/>
  <c r="N89" i="55"/>
  <c r="U89" i="55" s="1"/>
  <c r="N157" i="55"/>
  <c r="U157" i="55" s="1"/>
  <c r="N92" i="55"/>
  <c r="U92" i="55" s="1"/>
  <c r="N221" i="55"/>
  <c r="U221" i="55" s="1"/>
  <c r="N56" i="55"/>
  <c r="U56" i="55" s="1"/>
  <c r="N51" i="55"/>
  <c r="U51" i="55" s="1"/>
  <c r="N249" i="55"/>
  <c r="U249" i="55" s="1"/>
  <c r="N224" i="55"/>
  <c r="U224" i="55" s="1"/>
  <c r="N134" i="55"/>
  <c r="U134" i="55" s="1"/>
  <c r="N129" i="55"/>
  <c r="U129" i="55" s="1"/>
  <c r="N53" i="55"/>
  <c r="U53" i="55" s="1"/>
  <c r="N251" i="55"/>
  <c r="U251" i="55" s="1"/>
  <c r="N46" i="55"/>
  <c r="U46" i="55" s="1"/>
  <c r="N62" i="55"/>
  <c r="U62" i="55" s="1"/>
  <c r="N106" i="55"/>
  <c r="U106" i="55" s="1"/>
  <c r="N136" i="55"/>
  <c r="U136" i="55" s="1"/>
  <c r="N152" i="55"/>
  <c r="U152" i="55" s="1"/>
  <c r="N168" i="55"/>
  <c r="U168" i="55" s="1"/>
  <c r="N184" i="55"/>
  <c r="U184" i="55" s="1"/>
  <c r="N200" i="55"/>
  <c r="U200" i="55" s="1"/>
  <c r="N231" i="55"/>
  <c r="U231" i="55" s="1"/>
  <c r="N34" i="55"/>
  <c r="U34" i="55" s="1"/>
  <c r="N118" i="55"/>
  <c r="U118" i="55" s="1"/>
  <c r="N35" i="55"/>
  <c r="U35" i="55" s="1"/>
  <c r="N14" i="55"/>
  <c r="U14" i="55" s="1"/>
  <c r="N142" i="55"/>
  <c r="U142" i="55" s="1"/>
  <c r="N206" i="55"/>
  <c r="U206" i="55" s="1"/>
  <c r="N12" i="55"/>
  <c r="U12" i="55" s="1"/>
  <c r="N100" i="55"/>
  <c r="U100" i="55" s="1"/>
  <c r="N55" i="55"/>
  <c r="U55" i="55" s="1"/>
  <c r="N130" i="55"/>
  <c r="U130" i="55" s="1"/>
  <c r="N154" i="55"/>
  <c r="U154" i="55" s="1"/>
  <c r="N194" i="55"/>
  <c r="U194" i="55" s="1"/>
  <c r="N218" i="55"/>
  <c r="U218" i="55" s="1"/>
  <c r="N61" i="55"/>
  <c r="U61" i="55" s="1"/>
  <c r="N238" i="55"/>
  <c r="U238" i="55" s="1"/>
  <c r="N131" i="55"/>
  <c r="U131" i="55" s="1"/>
  <c r="N147" i="55"/>
  <c r="U147" i="55" s="1"/>
  <c r="N167" i="55"/>
  <c r="U167" i="55" s="1"/>
  <c r="N187" i="55"/>
  <c r="U187" i="55" s="1"/>
  <c r="N211" i="55"/>
  <c r="U211" i="55" s="1"/>
  <c r="N42" i="55"/>
  <c r="U42" i="55" s="1"/>
  <c r="N78" i="55"/>
  <c r="U78" i="55" s="1"/>
  <c r="N195" i="55"/>
  <c r="U195" i="55" s="1"/>
  <c r="N59" i="55"/>
  <c r="U59" i="55" s="1"/>
  <c r="N232" i="55"/>
  <c r="U232" i="55" s="1"/>
  <c r="N41" i="55"/>
  <c r="U41" i="55" s="1"/>
  <c r="N212" i="55"/>
  <c r="U212" i="55" s="1"/>
  <c r="N15" i="55"/>
  <c r="U15" i="55" s="1"/>
  <c r="N103" i="55"/>
  <c r="U103" i="55" s="1"/>
  <c r="N233" i="55"/>
  <c r="U233" i="55" s="1"/>
  <c r="N252" i="55"/>
  <c r="U252" i="55" s="1"/>
  <c r="N21" i="55"/>
  <c r="U21" i="55" s="1"/>
  <c r="N125" i="55"/>
  <c r="U125" i="55" s="1"/>
  <c r="N149" i="55"/>
  <c r="U149" i="55" s="1"/>
  <c r="N189" i="55"/>
  <c r="U189" i="55" s="1"/>
  <c r="N213" i="55"/>
  <c r="U213" i="55" s="1"/>
  <c r="N48" i="55"/>
  <c r="U48" i="55" s="1"/>
  <c r="N88" i="55"/>
  <c r="U88" i="55" s="1"/>
  <c r="N18" i="55"/>
  <c r="U18" i="55" s="1"/>
  <c r="N50" i="55"/>
  <c r="U50" i="55" s="1"/>
  <c r="N86" i="55"/>
  <c r="U86" i="55" s="1"/>
  <c r="N110" i="55"/>
  <c r="U110" i="55" s="1"/>
  <c r="N124" i="55"/>
  <c r="U124" i="55" s="1"/>
  <c r="N140" i="55"/>
  <c r="U140" i="55" s="1"/>
  <c r="N156" i="55"/>
  <c r="U156" i="55" s="1"/>
  <c r="N172" i="55"/>
  <c r="U172" i="55" s="1"/>
  <c r="N188" i="55"/>
  <c r="U188" i="55" s="1"/>
  <c r="N204" i="55"/>
  <c r="U204" i="55" s="1"/>
  <c r="N82" i="55"/>
  <c r="U82" i="55" s="1"/>
  <c r="N243" i="55"/>
  <c r="U243" i="55" s="1"/>
  <c r="N19" i="55"/>
  <c r="U19" i="55" s="1"/>
  <c r="N83" i="55"/>
  <c r="U83" i="55" s="1"/>
  <c r="N253" i="55"/>
  <c r="U253" i="55" s="1"/>
  <c r="N126" i="55"/>
  <c r="U126" i="55" s="1"/>
  <c r="N190" i="55"/>
  <c r="U190" i="55" s="1"/>
  <c r="N256" i="55"/>
  <c r="U256" i="55" s="1"/>
  <c r="N60" i="55"/>
  <c r="U60" i="55" s="1"/>
  <c r="N84" i="55"/>
  <c r="U84" i="55" s="1"/>
  <c r="N241" i="55"/>
  <c r="U241" i="55" s="1"/>
  <c r="N138" i="55"/>
  <c r="U138" i="55" s="1"/>
  <c r="N178" i="55"/>
  <c r="U178" i="55" s="1"/>
  <c r="N202" i="55"/>
  <c r="U202" i="55" s="1"/>
  <c r="N45" i="55"/>
  <c r="U45" i="55" s="1"/>
  <c r="N85" i="55"/>
  <c r="U85" i="55" s="1"/>
  <c r="N109" i="55"/>
  <c r="U109" i="55" s="1"/>
  <c r="N173" i="55"/>
  <c r="U173" i="55" s="1"/>
  <c r="N250" i="55"/>
  <c r="U250" i="55" s="1"/>
  <c r="K12" i="53"/>
  <c r="P12" i="53"/>
  <c r="N242" i="55"/>
  <c r="U242" i="55" s="1"/>
  <c r="N119" i="55"/>
  <c r="U119" i="55" s="1"/>
  <c r="N135" i="55"/>
  <c r="U135" i="55" s="1"/>
  <c r="N151" i="55"/>
  <c r="U151" i="55" s="1"/>
  <c r="N171" i="55"/>
  <c r="U171" i="55" s="1"/>
  <c r="N199" i="55"/>
  <c r="U199" i="55" s="1"/>
  <c r="N215" i="55"/>
  <c r="U215" i="55" s="1"/>
  <c r="N66" i="55"/>
  <c r="U66" i="55" s="1"/>
  <c r="N155" i="55"/>
  <c r="U155" i="55" s="1"/>
  <c r="N219" i="55"/>
  <c r="U219" i="55" s="1"/>
  <c r="J12" i="57"/>
  <c r="N43" i="55"/>
  <c r="U43" i="55" s="1"/>
  <c r="N150" i="55"/>
  <c r="U150" i="55" s="1"/>
  <c r="N214" i="55"/>
  <c r="U214" i="55" s="1"/>
  <c r="N87" i="55"/>
  <c r="U87" i="55" s="1"/>
  <c r="N111" i="55"/>
  <c r="U111" i="55" s="1"/>
  <c r="N162" i="55"/>
  <c r="U162" i="55" s="1"/>
  <c r="N236" i="55"/>
  <c r="U236" i="55" s="1"/>
  <c r="N32" i="55"/>
  <c r="U32" i="55" s="1"/>
  <c r="N22" i="55"/>
  <c r="U22" i="55" s="1"/>
  <c r="N54" i="55"/>
  <c r="U54" i="55" s="1"/>
  <c r="N90" i="55"/>
  <c r="U90" i="55" s="1"/>
  <c r="N114" i="55"/>
  <c r="U114" i="55" s="1"/>
  <c r="N128" i="55"/>
  <c r="U128" i="55" s="1"/>
  <c r="N144" i="55"/>
  <c r="U144" i="55" s="1"/>
  <c r="N160" i="55"/>
  <c r="U160" i="55" s="1"/>
  <c r="N176" i="55"/>
  <c r="U176" i="55" s="1"/>
  <c r="N192" i="55"/>
  <c r="U192" i="55" s="1"/>
  <c r="N208" i="55"/>
  <c r="U208" i="55" s="1"/>
  <c r="N94" i="55"/>
  <c r="U94" i="55" s="1"/>
  <c r="K12" i="57"/>
  <c r="N220" i="55"/>
  <c r="U220" i="55" s="1"/>
  <c r="N29" i="55"/>
  <c r="U29" i="55" s="1"/>
  <c r="N69" i="55"/>
  <c r="U69" i="55" s="1"/>
  <c r="N93" i="55"/>
  <c r="U93" i="55" s="1"/>
  <c r="N229" i="55"/>
  <c r="U229" i="55" s="1"/>
  <c r="N246" i="55"/>
  <c r="U246" i="55" s="1"/>
  <c r="N225" i="55"/>
  <c r="U225" i="55" s="1"/>
  <c r="N123" i="55"/>
  <c r="U123" i="55" s="1"/>
  <c r="N139" i="55"/>
  <c r="U139" i="55" s="1"/>
  <c r="N159" i="55"/>
  <c r="U159" i="55" s="1"/>
  <c r="N179" i="55"/>
  <c r="U179" i="55" s="1"/>
  <c r="N203" i="55"/>
  <c r="U203" i="55" s="1"/>
  <c r="N26" i="55"/>
  <c r="U26" i="55" s="1"/>
  <c r="N70" i="55"/>
  <c r="U70" i="55" s="1"/>
  <c r="N175" i="55"/>
  <c r="U175" i="55" s="1"/>
  <c r="N223" i="55"/>
  <c r="U223" i="55" s="1"/>
  <c r="N27" i="55"/>
  <c r="U27" i="55" s="1"/>
  <c r="N91" i="55"/>
  <c r="U91" i="55" s="1"/>
  <c r="N95" i="55"/>
  <c r="U95" i="55" s="1"/>
  <c r="N122" i="55"/>
  <c r="U122" i="55" s="1"/>
  <c r="N186" i="55"/>
  <c r="U186" i="55" s="1"/>
  <c r="N181" i="55"/>
  <c r="U181" i="55" s="1"/>
  <c r="N16" i="55"/>
  <c r="U16" i="55" s="1"/>
  <c r="N255" i="55"/>
  <c r="U255" i="55" s="1"/>
  <c r="N247" i="55"/>
  <c r="U247" i="55" s="1"/>
  <c r="N38" i="55"/>
  <c r="U38" i="55" s="1"/>
  <c r="N58" i="55"/>
  <c r="U58" i="55" s="1"/>
  <c r="N102" i="55"/>
  <c r="U102" i="55" s="1"/>
  <c r="N132" i="55"/>
  <c r="U132" i="55" s="1"/>
  <c r="N148" i="55"/>
  <c r="U148" i="55" s="1"/>
  <c r="N164" i="55"/>
  <c r="U164" i="55" s="1"/>
  <c r="N180" i="55"/>
  <c r="U180" i="55" s="1"/>
  <c r="N196" i="55"/>
  <c r="U196" i="55" s="1"/>
  <c r="N98" i="55"/>
  <c r="U98" i="55" s="1"/>
  <c r="N158" i="55"/>
  <c r="U158" i="55" s="1"/>
  <c r="N222" i="55"/>
  <c r="U222" i="55" s="1"/>
  <c r="N185" i="55"/>
  <c r="U185" i="55" s="1"/>
  <c r="N209" i="55"/>
  <c r="U209" i="55" s="1"/>
  <c r="N28" i="55"/>
  <c r="U28" i="55" s="1"/>
  <c r="N228" i="55"/>
  <c r="U228" i="55" s="1"/>
  <c r="N244" i="55"/>
  <c r="U244" i="55" s="1"/>
  <c r="N13" i="55"/>
  <c r="U13" i="55" s="1"/>
  <c r="N77" i="55"/>
  <c r="U77" i="55" s="1"/>
  <c r="N104" i="55"/>
  <c r="U104" i="55" s="1"/>
  <c r="N216" i="55"/>
  <c r="U216" i="55" s="1"/>
  <c r="N226" i="55"/>
  <c r="U226" i="55" s="1"/>
  <c r="N230" i="55"/>
  <c r="U230" i="55" s="1"/>
  <c r="N127" i="55"/>
  <c r="U127" i="55" s="1"/>
  <c r="N143" i="55"/>
  <c r="U143" i="55" s="1"/>
  <c r="N163" i="55"/>
  <c r="U163" i="55" s="1"/>
  <c r="N183" i="55"/>
  <c r="U183" i="55" s="1"/>
  <c r="N207" i="55"/>
  <c r="U207" i="55" s="1"/>
  <c r="N30" i="55"/>
  <c r="U30" i="55" s="1"/>
  <c r="N74" i="55"/>
  <c r="U74" i="55" s="1"/>
  <c r="N191" i="55"/>
  <c r="U191" i="55" s="1"/>
  <c r="I12" i="57"/>
  <c r="N257" i="55"/>
  <c r="U257" i="55" s="1"/>
  <c r="R10" i="55"/>
  <c r="V147" i="22" s="1"/>
  <c r="S10" i="55"/>
  <c r="U10" i="55" s="1"/>
  <c r="J12" i="53"/>
  <c r="I12" i="53"/>
  <c r="L12" i="53"/>
  <c r="AK11" i="55" a="1"/>
  <c r="AK11" i="55" s="1"/>
  <c r="B13" i="57" s="1"/>
  <c r="L13" i="57" s="1"/>
  <c r="H12" i="57"/>
  <c r="G12" i="57"/>
  <c r="F12" i="57"/>
  <c r="E12" i="57"/>
  <c r="D12" i="57"/>
  <c r="C12" i="57"/>
  <c r="M12" i="57" s="1"/>
  <c r="D12" i="53"/>
  <c r="AK11" i="52" a="1"/>
  <c r="AK11" i="52" s="1"/>
  <c r="B13" i="53" s="1"/>
  <c r="H12" i="53"/>
  <c r="E12" i="53"/>
  <c r="F12" i="53"/>
  <c r="C12" i="53"/>
  <c r="G12" i="53"/>
  <c r="AJ12" i="55" a="1"/>
  <c r="AJ12" i="55" s="1"/>
  <c r="AJ13" i="55" s="1" a="1"/>
  <c r="AJ13" i="55" s="1"/>
  <c r="AJ12" i="52" a="1"/>
  <c r="AJ12" i="52" s="1"/>
  <c r="R12" i="53" l="1"/>
  <c r="Q12" i="53"/>
  <c r="R12" i="57"/>
  <c r="Q12" i="57"/>
  <c r="T12" i="42"/>
  <c r="U12" i="42" s="1"/>
  <c r="V12" i="58"/>
  <c r="W12" i="58" s="1"/>
  <c r="X159" i="22"/>
  <c r="X154" i="22"/>
  <c r="V148" i="22"/>
  <c r="V159" i="22"/>
  <c r="D151" i="36"/>
  <c r="H159" i="22"/>
  <c r="U10" i="52"/>
  <c r="D139" i="36"/>
  <c r="D140" i="36"/>
  <c r="H153" i="22"/>
  <c r="H157" i="22"/>
  <c r="J147" i="22"/>
  <c r="AP12" i="57"/>
  <c r="W12" i="42"/>
  <c r="W13" i="42"/>
  <c r="L13" i="53"/>
  <c r="K13" i="53"/>
  <c r="I13" i="53"/>
  <c r="H13" i="53"/>
  <c r="G13" i="53"/>
  <c r="C13" i="53"/>
  <c r="P13" i="53"/>
  <c r="E13" i="53"/>
  <c r="D13" i="53"/>
  <c r="F13" i="53"/>
  <c r="J13" i="53"/>
  <c r="I13" i="57"/>
  <c r="G13" i="57"/>
  <c r="K13" i="57"/>
  <c r="D13" i="57"/>
  <c r="P13" i="57"/>
  <c r="F13" i="57"/>
  <c r="J13" i="57"/>
  <c r="C13" i="57"/>
  <c r="M13" i="57" s="1"/>
  <c r="H13" i="57"/>
  <c r="E13" i="57"/>
  <c r="Y260" i="58"/>
  <c r="AK12" i="55" a="1"/>
  <c r="AK12" i="55" s="1"/>
  <c r="B14" i="57" s="1"/>
  <c r="L14" i="57" s="1"/>
  <c r="N258" i="52"/>
  <c r="AK12" i="52" a="1"/>
  <c r="AK12" i="52" s="1"/>
  <c r="B14" i="53" s="1"/>
  <c r="AJ14" i="55" a="1"/>
  <c r="AJ14" i="55" s="1"/>
  <c r="AJ15" i="55" s="1" a="1"/>
  <c r="AJ15" i="55" s="1"/>
  <c r="AJ16" i="55" s="1" a="1"/>
  <c r="AJ16" i="55" s="1"/>
  <c r="R258" i="55"/>
  <c r="S258" i="55"/>
  <c r="N258" i="55"/>
  <c r="S258" i="52"/>
  <c r="R258" i="52"/>
  <c r="AJ13" i="52" a="1"/>
  <c r="AJ13" i="52" s="1"/>
  <c r="L157" i="22" l="1"/>
  <c r="L148" i="22"/>
  <c r="AE13" i="57"/>
  <c r="R13" i="57"/>
  <c r="L147" i="22"/>
  <c r="L159" i="22"/>
  <c r="H9" i="73"/>
  <c r="F22" i="36"/>
  <c r="F28" i="36"/>
  <c r="F25" i="36"/>
  <c r="N12" i="57"/>
  <c r="AD12" i="53"/>
  <c r="U258" i="55"/>
  <c r="N12" i="53"/>
  <c r="AT12" i="53"/>
  <c r="W260" i="42"/>
  <c r="U258" i="52"/>
  <c r="AD12" i="57"/>
  <c r="E14" i="53"/>
  <c r="H14" i="53"/>
  <c r="D14" i="53"/>
  <c r="G14" i="53"/>
  <c r="P14" i="53"/>
  <c r="F14" i="53"/>
  <c r="I14" i="53"/>
  <c r="K14" i="53"/>
  <c r="C14" i="53"/>
  <c r="J14" i="53"/>
  <c r="L14" i="53"/>
  <c r="K14" i="57"/>
  <c r="I14" i="57"/>
  <c r="H14" i="57"/>
  <c r="G14" i="57"/>
  <c r="E14" i="57"/>
  <c r="P14" i="57"/>
  <c r="D14" i="57"/>
  <c r="C14" i="57"/>
  <c r="M14" i="57" s="1"/>
  <c r="F14" i="57"/>
  <c r="J14" i="57"/>
  <c r="AK13" i="55" a="1"/>
  <c r="AK13" i="55" s="1"/>
  <c r="B15" i="57" s="1"/>
  <c r="L15" i="57" s="1"/>
  <c r="AK13" i="52" a="1"/>
  <c r="AK13" i="52" s="1"/>
  <c r="AJ17" i="55" a="1"/>
  <c r="AJ17" i="55" s="1"/>
  <c r="AJ14" i="52" a="1"/>
  <c r="AJ14" i="52" s="1"/>
  <c r="AJ15" i="52" s="1" a="1"/>
  <c r="AJ15" i="52" s="1"/>
  <c r="AE14" i="57" l="1"/>
  <c r="R14" i="57"/>
  <c r="AE13" i="53"/>
  <c r="R13" i="53"/>
  <c r="AE14" i="53"/>
  <c r="R14" i="53"/>
  <c r="F31" i="36"/>
  <c r="AD13" i="57"/>
  <c r="AP14" i="57"/>
  <c r="O12" i="53"/>
  <c r="Q13" i="57"/>
  <c r="AP13" i="57"/>
  <c r="N13" i="57"/>
  <c r="N14" i="57"/>
  <c r="AT13" i="53"/>
  <c r="N14" i="53"/>
  <c r="AT14" i="53"/>
  <c r="AD13" i="53"/>
  <c r="Q13" i="53"/>
  <c r="N13" i="53"/>
  <c r="AD14" i="57"/>
  <c r="AD14" i="53"/>
  <c r="Q14" i="57"/>
  <c r="Q14" i="53"/>
  <c r="AK14" i="52" a="1"/>
  <c r="AK14" i="52" s="1"/>
  <c r="B16" i="53" s="1"/>
  <c r="B15" i="53"/>
  <c r="K15" i="57"/>
  <c r="I15" i="57"/>
  <c r="F15" i="57"/>
  <c r="C15" i="57"/>
  <c r="M15" i="57" s="1"/>
  <c r="P15" i="57"/>
  <c r="H15" i="57"/>
  <c r="D15" i="57"/>
  <c r="G15" i="57"/>
  <c r="E15" i="57"/>
  <c r="J15" i="57"/>
  <c r="T12" i="57"/>
  <c r="AK14" i="55" a="1"/>
  <c r="AK14" i="55" s="1"/>
  <c r="B16" i="57" s="1"/>
  <c r="L16" i="57" s="1"/>
  <c r="AJ18" i="55" a="1"/>
  <c r="AJ18" i="55" s="1"/>
  <c r="AJ16" i="52" a="1"/>
  <c r="AJ16" i="52" s="1"/>
  <c r="AE15" i="57" l="1"/>
  <c r="R15" i="57"/>
  <c r="X12" i="53"/>
  <c r="O12" i="57"/>
  <c r="O13" i="53"/>
  <c r="X13" i="53" s="1"/>
  <c r="AF13" i="53" s="1"/>
  <c r="T13" i="57"/>
  <c r="O13" i="57" s="1"/>
  <c r="X13" i="57" s="1"/>
  <c r="AF13" i="57" s="1"/>
  <c r="AG12" i="53"/>
  <c r="AK15" i="52" a="1"/>
  <c r="AK15" i="52" s="1"/>
  <c r="B17" i="53" s="1"/>
  <c r="O17" i="53" s="1"/>
  <c r="H16" i="57"/>
  <c r="G16" i="57"/>
  <c r="E16" i="57"/>
  <c r="P16" i="57"/>
  <c r="D16" i="57"/>
  <c r="C16" i="57"/>
  <c r="M16" i="57" s="1"/>
  <c r="K16" i="57"/>
  <c r="I16" i="57"/>
  <c r="F16" i="57"/>
  <c r="J16" i="57"/>
  <c r="T14" i="57"/>
  <c r="K15" i="53"/>
  <c r="I15" i="53"/>
  <c r="H15" i="53"/>
  <c r="G15" i="53"/>
  <c r="P15" i="53"/>
  <c r="E15" i="53"/>
  <c r="L15" i="53"/>
  <c r="D15" i="53"/>
  <c r="C15" i="53"/>
  <c r="J15" i="53"/>
  <c r="F15" i="53"/>
  <c r="P16" i="53"/>
  <c r="H16" i="53"/>
  <c r="K16" i="53"/>
  <c r="G16" i="53"/>
  <c r="F16" i="53"/>
  <c r="J16" i="53"/>
  <c r="D16" i="53"/>
  <c r="C16" i="53"/>
  <c r="L16" i="53"/>
  <c r="I16" i="53"/>
  <c r="E16" i="53"/>
  <c r="O14" i="53"/>
  <c r="AK15" i="55" a="1"/>
  <c r="AK15" i="55" s="1"/>
  <c r="B17" i="57" s="1"/>
  <c r="AJ19" i="55" a="1"/>
  <c r="AJ19" i="55" s="1"/>
  <c r="AJ17" i="52" a="1"/>
  <c r="AJ17" i="52" s="1"/>
  <c r="AE16" i="57" l="1"/>
  <c r="R16" i="57"/>
  <c r="O17" i="57"/>
  <c r="AG17" i="57" s="1"/>
  <c r="L17" i="57"/>
  <c r="AP15" i="57"/>
  <c r="AA13" i="57"/>
  <c r="AA12" i="53"/>
  <c r="AE12" i="53" s="1"/>
  <c r="AF12" i="53" s="1"/>
  <c r="AG12" i="57"/>
  <c r="X12" i="57"/>
  <c r="O14" i="57"/>
  <c r="AD15" i="57"/>
  <c r="Q15" i="57"/>
  <c r="N15" i="57"/>
  <c r="AG13" i="57"/>
  <c r="AP16" i="57"/>
  <c r="R16" i="53"/>
  <c r="X14" i="53"/>
  <c r="AF14" i="53" s="1"/>
  <c r="AG13" i="53"/>
  <c r="N17" i="57"/>
  <c r="N17" i="53"/>
  <c r="C17" i="53"/>
  <c r="K17" i="53"/>
  <c r="G17" i="53"/>
  <c r="E17" i="53"/>
  <c r="I17" i="53"/>
  <c r="D17" i="53"/>
  <c r="H17" i="53"/>
  <c r="L17" i="53"/>
  <c r="P17" i="53"/>
  <c r="F17" i="53"/>
  <c r="J17" i="53"/>
  <c r="AK16" i="52" a="1"/>
  <c r="AK16" i="52" s="1"/>
  <c r="B18" i="53" s="1"/>
  <c r="O18" i="53" s="1"/>
  <c r="K17" i="57"/>
  <c r="J17" i="57"/>
  <c r="E17" i="57"/>
  <c r="C17" i="57"/>
  <c r="M17" i="57" s="1"/>
  <c r="P17" i="57"/>
  <c r="I17" i="57"/>
  <c r="H17" i="57"/>
  <c r="F17" i="57"/>
  <c r="D17" i="57"/>
  <c r="G17" i="57"/>
  <c r="AK16" i="55" a="1"/>
  <c r="AK16" i="55" s="1"/>
  <c r="B18" i="57" s="1"/>
  <c r="AJ20" i="55" a="1"/>
  <c r="AJ20" i="55" s="1"/>
  <c r="AJ18" i="52" a="1"/>
  <c r="AJ18" i="52" s="1"/>
  <c r="AJ19" i="52" s="1" a="1"/>
  <c r="AJ19" i="52" s="1"/>
  <c r="AE17" i="57" l="1"/>
  <c r="R17" i="57"/>
  <c r="AE15" i="53"/>
  <c r="R15" i="53"/>
  <c r="AE17" i="53"/>
  <c r="R17" i="53"/>
  <c r="Q16" i="53"/>
  <c r="AE16" i="53"/>
  <c r="AD15" i="53"/>
  <c r="O18" i="57"/>
  <c r="AG18" i="57" s="1"/>
  <c r="L18" i="57"/>
  <c r="AJ17" i="57"/>
  <c r="AC17" i="57"/>
  <c r="AP17" i="57"/>
  <c r="AB13" i="57"/>
  <c r="AC13" i="57" s="1"/>
  <c r="AJ13" i="57" s="1"/>
  <c r="AB12" i="53"/>
  <c r="AA12" i="57"/>
  <c r="AE12" i="57" s="1"/>
  <c r="AF12" i="57" s="1"/>
  <c r="AG14" i="57"/>
  <c r="X14" i="57"/>
  <c r="AF14" i="57" s="1"/>
  <c r="N16" i="57"/>
  <c r="AD16" i="57"/>
  <c r="Q16" i="57"/>
  <c r="T15" i="57"/>
  <c r="AT15" i="53"/>
  <c r="Q15" i="53"/>
  <c r="N15" i="53"/>
  <c r="AT16" i="53"/>
  <c r="AD16" i="53"/>
  <c r="N16" i="53"/>
  <c r="AH17" i="53"/>
  <c r="AC17" i="53"/>
  <c r="AT17" i="53"/>
  <c r="AG17" i="53"/>
  <c r="AA13" i="53"/>
  <c r="AG14" i="53"/>
  <c r="N18" i="57"/>
  <c r="N18" i="53"/>
  <c r="AD17" i="57"/>
  <c r="AD17" i="53"/>
  <c r="G18" i="57"/>
  <c r="E18" i="57"/>
  <c r="P18" i="57"/>
  <c r="D18" i="57"/>
  <c r="C18" i="57"/>
  <c r="M18" i="57" s="1"/>
  <c r="K18" i="57"/>
  <c r="I18" i="57"/>
  <c r="H18" i="57"/>
  <c r="F18" i="57"/>
  <c r="J18" i="57"/>
  <c r="P18" i="53"/>
  <c r="H18" i="53"/>
  <c r="K18" i="53"/>
  <c r="C18" i="53"/>
  <c r="F18" i="53"/>
  <c r="I18" i="53"/>
  <c r="E18" i="53"/>
  <c r="G18" i="53"/>
  <c r="J18" i="53"/>
  <c r="L18" i="53"/>
  <c r="D18" i="53"/>
  <c r="Q17" i="57"/>
  <c r="Q17" i="53"/>
  <c r="AK17" i="52" a="1"/>
  <c r="AK17" i="52" s="1"/>
  <c r="B19" i="53" s="1"/>
  <c r="O19" i="53" s="1"/>
  <c r="AK17" i="55" a="1"/>
  <c r="AK17" i="55" s="1"/>
  <c r="B19" i="57" s="1"/>
  <c r="AJ21" i="55" a="1"/>
  <c r="AJ21" i="55" s="1"/>
  <c r="AJ22" i="55" s="1" a="1"/>
  <c r="AJ22" i="55" s="1"/>
  <c r="AJ23" i="55" s="1" a="1"/>
  <c r="AJ23" i="55" s="1"/>
  <c r="AJ24" i="55" s="1" a="1"/>
  <c r="AJ24" i="55" s="1"/>
  <c r="AJ25" i="55" s="1" a="1"/>
  <c r="AJ25" i="55" s="1"/>
  <c r="AJ26" i="55" s="1" a="1"/>
  <c r="AJ26" i="55" s="1"/>
  <c r="AJ27" i="55" s="1" a="1"/>
  <c r="AJ27" i="55" s="1"/>
  <c r="AJ28" i="55" s="1" a="1"/>
  <c r="AJ28" i="55" s="1"/>
  <c r="AJ29" i="55" s="1" a="1"/>
  <c r="AJ29" i="55" s="1"/>
  <c r="AJ30" i="55" s="1" a="1"/>
  <c r="AJ30" i="55" s="1"/>
  <c r="AJ31" i="55" s="1" a="1"/>
  <c r="AJ31" i="55" s="1"/>
  <c r="AJ32" i="55" s="1" a="1"/>
  <c r="AJ32" i="55" s="1"/>
  <c r="AJ33" i="55" s="1" a="1"/>
  <c r="AJ33" i="55" s="1"/>
  <c r="AJ34" i="55" s="1" a="1"/>
  <c r="AJ34" i="55" s="1"/>
  <c r="AJ35" i="55" s="1" a="1"/>
  <c r="AJ35" i="55" s="1"/>
  <c r="AJ36" i="55" s="1" a="1"/>
  <c r="AJ36" i="55" s="1"/>
  <c r="AJ37" i="55" s="1" a="1"/>
  <c r="AJ37" i="55" s="1"/>
  <c r="AJ38" i="55" s="1" a="1"/>
  <c r="AJ38" i="55" s="1"/>
  <c r="AJ39" i="55" s="1" a="1"/>
  <c r="AJ39" i="55" s="1"/>
  <c r="AJ40" i="55" s="1" a="1"/>
  <c r="AJ40" i="55" s="1"/>
  <c r="AJ41" i="55" s="1" a="1"/>
  <c r="AJ41" i="55" s="1"/>
  <c r="AJ42" i="55" s="1" a="1"/>
  <c r="AJ42" i="55" s="1"/>
  <c r="AJ43" i="55" s="1" a="1"/>
  <c r="AJ43" i="55" s="1"/>
  <c r="AJ44" i="55" s="1" a="1"/>
  <c r="AJ44" i="55" s="1"/>
  <c r="AJ45" i="55" s="1" a="1"/>
  <c r="AJ45" i="55" s="1"/>
  <c r="AJ46" i="55" s="1" a="1"/>
  <c r="AJ46" i="55" s="1"/>
  <c r="AJ47" i="55" s="1" a="1"/>
  <c r="AJ47" i="55" s="1"/>
  <c r="AJ48" i="55" s="1" a="1"/>
  <c r="AJ48" i="55" s="1"/>
  <c r="AJ49" i="55" s="1" a="1"/>
  <c r="AJ49" i="55" s="1"/>
  <c r="AJ50" i="55" s="1" a="1"/>
  <c r="AJ50" i="55" s="1"/>
  <c r="AJ51" i="55" s="1" a="1"/>
  <c r="AJ51" i="55" s="1"/>
  <c r="AJ52" i="55" s="1" a="1"/>
  <c r="AJ52" i="55" s="1"/>
  <c r="AJ53" i="55" s="1" a="1"/>
  <c r="AJ53" i="55" s="1"/>
  <c r="AJ54" i="55" s="1" a="1"/>
  <c r="AJ54" i="55" s="1"/>
  <c r="AJ55" i="55" s="1" a="1"/>
  <c r="AJ55" i="55" s="1"/>
  <c r="AJ56" i="55" s="1" a="1"/>
  <c r="AJ56" i="55" s="1"/>
  <c r="AJ57" i="55" s="1" a="1"/>
  <c r="AJ57" i="55" s="1"/>
  <c r="AJ58" i="55" s="1" a="1"/>
  <c r="AJ58" i="55" s="1"/>
  <c r="AJ59" i="55" s="1" a="1"/>
  <c r="AJ59" i="55" s="1"/>
  <c r="AJ60" i="55" s="1" a="1"/>
  <c r="AJ60" i="55" s="1"/>
  <c r="AJ61" i="55" s="1" a="1"/>
  <c r="AJ61" i="55" s="1"/>
  <c r="AJ62" i="55" s="1" a="1"/>
  <c r="AJ62" i="55" s="1"/>
  <c r="AJ63" i="55" s="1" a="1"/>
  <c r="AJ63" i="55" s="1"/>
  <c r="AJ64" i="55" s="1" a="1"/>
  <c r="AJ64" i="55" s="1"/>
  <c r="AJ65" i="55" s="1" a="1"/>
  <c r="AJ65" i="55" s="1"/>
  <c r="AJ66" i="55" s="1" a="1"/>
  <c r="AJ66" i="55" s="1"/>
  <c r="AJ67" i="55" s="1" a="1"/>
  <c r="AJ67" i="55" s="1"/>
  <c r="AJ68" i="55" s="1" a="1"/>
  <c r="AJ68" i="55" s="1"/>
  <c r="AJ69" i="55" s="1" a="1"/>
  <c r="AJ69" i="55" s="1"/>
  <c r="AJ70" i="55" s="1" a="1"/>
  <c r="AJ70" i="55" s="1"/>
  <c r="AJ71" i="55" s="1" a="1"/>
  <c r="AJ71" i="55" s="1"/>
  <c r="AJ72" i="55" s="1" a="1"/>
  <c r="AJ72" i="55" s="1"/>
  <c r="AJ73" i="55" s="1" a="1"/>
  <c r="AJ73" i="55" s="1"/>
  <c r="AJ74" i="55" s="1" a="1"/>
  <c r="AJ74" i="55" s="1"/>
  <c r="AJ75" i="55" s="1" a="1"/>
  <c r="AJ75" i="55" s="1"/>
  <c r="AJ76" i="55" s="1" a="1"/>
  <c r="AJ76" i="55" s="1"/>
  <c r="AJ77" i="55" s="1" a="1"/>
  <c r="AJ77" i="55" s="1"/>
  <c r="AJ78" i="55" s="1" a="1"/>
  <c r="AJ78" i="55" s="1"/>
  <c r="AJ79" i="55" s="1" a="1"/>
  <c r="AJ79" i="55" s="1"/>
  <c r="AJ80" i="55" s="1" a="1"/>
  <c r="AJ80" i="55" s="1"/>
  <c r="AJ81" i="55" s="1" a="1"/>
  <c r="AJ81" i="55" s="1"/>
  <c r="AJ82" i="55" s="1" a="1"/>
  <c r="AJ82" i="55" s="1"/>
  <c r="AJ83" i="55" s="1" a="1"/>
  <c r="AJ83" i="55" s="1"/>
  <c r="AJ84" i="55" s="1" a="1"/>
  <c r="AJ84" i="55" s="1"/>
  <c r="AJ85" i="55" s="1" a="1"/>
  <c r="AJ85" i="55" s="1"/>
  <c r="AJ86" i="55" s="1" a="1"/>
  <c r="AJ86" i="55" s="1"/>
  <c r="AJ87" i="55" s="1" a="1"/>
  <c r="AJ87" i="55" s="1"/>
  <c r="AJ88" i="55" s="1" a="1"/>
  <c r="AJ88" i="55" s="1"/>
  <c r="AJ89" i="55" s="1" a="1"/>
  <c r="AJ89" i="55" s="1"/>
  <c r="AJ90" i="55" s="1" a="1"/>
  <c r="AJ90" i="55" s="1"/>
  <c r="AJ91" i="55" s="1" a="1"/>
  <c r="AJ91" i="55" s="1"/>
  <c r="AJ92" i="55" s="1" a="1"/>
  <c r="AJ92" i="55" s="1"/>
  <c r="AJ93" i="55" s="1" a="1"/>
  <c r="AJ93" i="55" s="1"/>
  <c r="AJ94" i="55" s="1" a="1"/>
  <c r="AJ94" i="55" s="1"/>
  <c r="AJ95" i="55" s="1" a="1"/>
  <c r="AJ95" i="55" s="1"/>
  <c r="AJ96" i="55" s="1" a="1"/>
  <c r="AJ96" i="55" s="1"/>
  <c r="AJ97" i="55" s="1" a="1"/>
  <c r="AJ97" i="55" s="1"/>
  <c r="AJ98" i="55" s="1" a="1"/>
  <c r="AJ98" i="55" s="1"/>
  <c r="AJ99" i="55" s="1" a="1"/>
  <c r="AJ99" i="55" s="1"/>
  <c r="AJ100" i="55" s="1" a="1"/>
  <c r="AJ100" i="55" s="1"/>
  <c r="AJ101" i="55" s="1" a="1"/>
  <c r="AJ101" i="55" s="1"/>
  <c r="AJ102" i="55" s="1" a="1"/>
  <c r="AJ102" i="55" s="1"/>
  <c r="AJ103" i="55" s="1" a="1"/>
  <c r="AJ103" i="55" s="1"/>
  <c r="AJ104" i="55" s="1" a="1"/>
  <c r="AJ104" i="55" s="1"/>
  <c r="AJ105" i="55" s="1" a="1"/>
  <c r="AJ105" i="55" s="1"/>
  <c r="AJ106" i="55" s="1" a="1"/>
  <c r="AJ106" i="55" s="1"/>
  <c r="AJ107" i="55" s="1" a="1"/>
  <c r="AJ107" i="55" s="1"/>
  <c r="AJ108" i="55" s="1" a="1"/>
  <c r="AJ108" i="55" s="1"/>
  <c r="AJ109" i="55" s="1" a="1"/>
  <c r="AJ109" i="55" s="1"/>
  <c r="AJ110" i="55" s="1" a="1"/>
  <c r="AJ110" i="55" s="1"/>
  <c r="AJ111" i="55" s="1" a="1"/>
  <c r="AJ111" i="55" s="1"/>
  <c r="AJ112" i="55" s="1" a="1"/>
  <c r="AJ112" i="55" s="1"/>
  <c r="AJ113" i="55" s="1" a="1"/>
  <c r="AJ113" i="55" s="1"/>
  <c r="AJ114" i="55" s="1" a="1"/>
  <c r="AJ114" i="55" s="1"/>
  <c r="AJ115" i="55" s="1" a="1"/>
  <c r="AJ115" i="55" s="1"/>
  <c r="AJ116" i="55" s="1" a="1"/>
  <c r="AJ116" i="55" s="1"/>
  <c r="AJ117" i="55" s="1" a="1"/>
  <c r="AJ117" i="55" s="1"/>
  <c r="AJ118" i="55" s="1" a="1"/>
  <c r="AJ118" i="55" s="1"/>
  <c r="AJ119" i="55" s="1" a="1"/>
  <c r="AJ119" i="55" s="1"/>
  <c r="AJ120" i="55" s="1" a="1"/>
  <c r="AJ120" i="55" s="1"/>
  <c r="AJ121" i="55" s="1" a="1"/>
  <c r="AJ121" i="55" s="1"/>
  <c r="AJ122" i="55" s="1" a="1"/>
  <c r="AJ122" i="55" s="1"/>
  <c r="AJ123" i="55" s="1" a="1"/>
  <c r="AJ123" i="55" s="1"/>
  <c r="AJ124" i="55" s="1" a="1"/>
  <c r="AJ124" i="55" s="1"/>
  <c r="AJ125" i="55" s="1" a="1"/>
  <c r="AJ125" i="55" s="1"/>
  <c r="AJ126" i="55" s="1" a="1"/>
  <c r="AJ126" i="55" s="1"/>
  <c r="AJ127" i="55" s="1" a="1"/>
  <c r="AJ127" i="55" s="1"/>
  <c r="AJ128" i="55" s="1" a="1"/>
  <c r="AJ128" i="55" s="1"/>
  <c r="AJ129" i="55" s="1" a="1"/>
  <c r="AJ129" i="55" s="1"/>
  <c r="AJ130" i="55" s="1" a="1"/>
  <c r="AJ130" i="55" s="1"/>
  <c r="AJ131" i="55" s="1" a="1"/>
  <c r="AJ131" i="55" s="1"/>
  <c r="AJ132" i="55" s="1" a="1"/>
  <c r="AJ132" i="55" s="1"/>
  <c r="AJ133" i="55" s="1" a="1"/>
  <c r="AJ133" i="55" s="1"/>
  <c r="AJ134" i="55" s="1" a="1"/>
  <c r="AJ134" i="55" s="1"/>
  <c r="AJ135" i="55" s="1" a="1"/>
  <c r="AJ135" i="55" s="1"/>
  <c r="AJ136" i="55" s="1" a="1"/>
  <c r="AJ136" i="55" s="1"/>
  <c r="AJ137" i="55" s="1" a="1"/>
  <c r="AJ137" i="55" s="1"/>
  <c r="AJ138" i="55" s="1" a="1"/>
  <c r="AJ138" i="55" s="1"/>
  <c r="AJ139" i="55" s="1" a="1"/>
  <c r="AJ139" i="55" s="1"/>
  <c r="AJ140" i="55" s="1" a="1"/>
  <c r="AJ140" i="55" s="1"/>
  <c r="AJ141" i="55" s="1" a="1"/>
  <c r="AJ141" i="55" s="1"/>
  <c r="AJ142" i="55" s="1" a="1"/>
  <c r="AJ142" i="55" s="1"/>
  <c r="AJ143" i="55" s="1" a="1"/>
  <c r="AJ143" i="55" s="1"/>
  <c r="AJ144" i="55" s="1" a="1"/>
  <c r="AJ144" i="55" s="1"/>
  <c r="AJ145" i="55" s="1" a="1"/>
  <c r="AJ145" i="55" s="1"/>
  <c r="AJ146" i="55" s="1" a="1"/>
  <c r="AJ146" i="55" s="1"/>
  <c r="AJ147" i="55" s="1" a="1"/>
  <c r="AJ147" i="55" s="1"/>
  <c r="AJ148" i="55" s="1" a="1"/>
  <c r="AJ148" i="55" s="1"/>
  <c r="AJ149" i="55" s="1" a="1"/>
  <c r="AJ149" i="55" s="1"/>
  <c r="AJ150" i="55" s="1" a="1"/>
  <c r="AJ150" i="55" s="1"/>
  <c r="AJ151" i="55" s="1" a="1"/>
  <c r="AJ151" i="55" s="1"/>
  <c r="AJ152" i="55" s="1" a="1"/>
  <c r="AJ152" i="55" s="1"/>
  <c r="AJ153" i="55" s="1" a="1"/>
  <c r="AJ153" i="55" s="1"/>
  <c r="AJ154" i="55" s="1" a="1"/>
  <c r="AJ154" i="55" s="1"/>
  <c r="AJ155" i="55" s="1" a="1"/>
  <c r="AJ155" i="55" s="1"/>
  <c r="AJ156" i="55" s="1" a="1"/>
  <c r="AJ156" i="55" s="1"/>
  <c r="AJ157" i="55" s="1" a="1"/>
  <c r="AJ157" i="55" s="1"/>
  <c r="AJ158" i="55" s="1" a="1"/>
  <c r="AJ158" i="55" s="1"/>
  <c r="AJ159" i="55" s="1" a="1"/>
  <c r="AJ159" i="55" s="1"/>
  <c r="AJ160" i="55" s="1" a="1"/>
  <c r="AJ160" i="55" s="1"/>
  <c r="AJ161" i="55" s="1" a="1"/>
  <c r="AJ161" i="55" s="1"/>
  <c r="AJ162" i="55" s="1" a="1"/>
  <c r="AJ162" i="55" s="1"/>
  <c r="AJ163" i="55" s="1" a="1"/>
  <c r="AJ163" i="55" s="1"/>
  <c r="AJ164" i="55" s="1" a="1"/>
  <c r="AJ164" i="55" s="1"/>
  <c r="AJ165" i="55" s="1" a="1"/>
  <c r="AJ165" i="55" s="1"/>
  <c r="AJ166" i="55" s="1" a="1"/>
  <c r="AJ166" i="55" s="1"/>
  <c r="AJ167" i="55" s="1" a="1"/>
  <c r="AJ167" i="55" s="1"/>
  <c r="AJ168" i="55" s="1" a="1"/>
  <c r="AJ168" i="55" s="1"/>
  <c r="AJ169" i="55" s="1" a="1"/>
  <c r="AJ169" i="55" s="1"/>
  <c r="AJ170" i="55" s="1" a="1"/>
  <c r="AJ170" i="55" s="1"/>
  <c r="AJ171" i="55" s="1" a="1"/>
  <c r="AJ171" i="55" s="1"/>
  <c r="AJ172" i="55" s="1" a="1"/>
  <c r="AJ172" i="55" s="1"/>
  <c r="AJ173" i="55" s="1" a="1"/>
  <c r="AJ173" i="55" s="1"/>
  <c r="AJ174" i="55" s="1" a="1"/>
  <c r="AJ174" i="55" s="1"/>
  <c r="AJ175" i="55" s="1" a="1"/>
  <c r="AJ175" i="55" s="1"/>
  <c r="AJ176" i="55" s="1" a="1"/>
  <c r="AJ176" i="55" s="1"/>
  <c r="AJ177" i="55" s="1" a="1"/>
  <c r="AJ177" i="55" s="1"/>
  <c r="AJ178" i="55" s="1" a="1"/>
  <c r="AJ178" i="55" s="1"/>
  <c r="AJ179" i="55" s="1" a="1"/>
  <c r="AJ179" i="55" s="1"/>
  <c r="AJ180" i="55" s="1" a="1"/>
  <c r="AJ180" i="55" s="1"/>
  <c r="AJ181" i="55" s="1" a="1"/>
  <c r="AJ181" i="55" s="1"/>
  <c r="AJ182" i="55" s="1" a="1"/>
  <c r="AJ182" i="55" s="1"/>
  <c r="AJ183" i="55" s="1" a="1"/>
  <c r="AJ183" i="55" s="1"/>
  <c r="AJ184" i="55" s="1" a="1"/>
  <c r="AJ184" i="55" s="1"/>
  <c r="AJ185" i="55" s="1" a="1"/>
  <c r="AJ185" i="55" s="1"/>
  <c r="AJ186" i="55" s="1" a="1"/>
  <c r="AJ186" i="55" s="1"/>
  <c r="AJ187" i="55" s="1" a="1"/>
  <c r="AJ187" i="55" s="1"/>
  <c r="AJ188" i="55" s="1" a="1"/>
  <c r="AJ188" i="55" s="1"/>
  <c r="AJ189" i="55" s="1" a="1"/>
  <c r="AJ189" i="55" s="1"/>
  <c r="AJ190" i="55" s="1" a="1"/>
  <c r="AJ190" i="55" s="1"/>
  <c r="AJ191" i="55" s="1" a="1"/>
  <c r="AJ191" i="55" s="1"/>
  <c r="AJ192" i="55" s="1" a="1"/>
  <c r="AJ192" i="55" s="1"/>
  <c r="AJ193" i="55" s="1" a="1"/>
  <c r="AJ193" i="55" s="1"/>
  <c r="AJ194" i="55" s="1" a="1"/>
  <c r="AJ194" i="55" s="1"/>
  <c r="AJ195" i="55" s="1" a="1"/>
  <c r="AJ195" i="55" s="1"/>
  <c r="AJ196" i="55" s="1" a="1"/>
  <c r="AJ196" i="55" s="1"/>
  <c r="AJ197" i="55" s="1" a="1"/>
  <c r="AJ197" i="55" s="1"/>
  <c r="AJ198" i="55" s="1" a="1"/>
  <c r="AJ198" i="55" s="1"/>
  <c r="AJ199" i="55" s="1" a="1"/>
  <c r="AJ199" i="55" s="1"/>
  <c r="AJ200" i="55" s="1" a="1"/>
  <c r="AJ200" i="55" s="1"/>
  <c r="AJ201" i="55" s="1" a="1"/>
  <c r="AJ201" i="55" s="1"/>
  <c r="AJ202" i="55" s="1" a="1"/>
  <c r="AJ202" i="55" s="1"/>
  <c r="AJ203" i="55" s="1" a="1"/>
  <c r="AJ203" i="55" s="1"/>
  <c r="AJ204" i="55" s="1" a="1"/>
  <c r="AJ204" i="55" s="1"/>
  <c r="AJ205" i="55" s="1" a="1"/>
  <c r="AJ205" i="55" s="1"/>
  <c r="AJ206" i="55" s="1" a="1"/>
  <c r="AJ206" i="55" s="1"/>
  <c r="AJ207" i="55" s="1" a="1"/>
  <c r="AJ207" i="55" s="1"/>
  <c r="AJ208" i="55" s="1" a="1"/>
  <c r="AJ208" i="55" s="1"/>
  <c r="AJ209" i="55" s="1" a="1"/>
  <c r="AJ209" i="55" s="1"/>
  <c r="AJ210" i="55" s="1" a="1"/>
  <c r="AJ210" i="55" s="1"/>
  <c r="AJ211" i="55" s="1" a="1"/>
  <c r="AJ211" i="55" s="1"/>
  <c r="AJ212" i="55" s="1" a="1"/>
  <c r="AJ212" i="55" s="1"/>
  <c r="AJ213" i="55" s="1" a="1"/>
  <c r="AJ213" i="55" s="1"/>
  <c r="AJ214" i="55" s="1" a="1"/>
  <c r="AJ214" i="55" s="1"/>
  <c r="AJ215" i="55" s="1" a="1"/>
  <c r="AJ215" i="55" s="1"/>
  <c r="AJ216" i="55" s="1" a="1"/>
  <c r="AJ216" i="55" s="1"/>
  <c r="AJ217" i="55" s="1" a="1"/>
  <c r="AJ217" i="55" s="1"/>
  <c r="AJ218" i="55" s="1" a="1"/>
  <c r="AJ218" i="55" s="1"/>
  <c r="AJ219" i="55" s="1" a="1"/>
  <c r="AJ219" i="55" s="1"/>
  <c r="AJ220" i="55" s="1" a="1"/>
  <c r="AJ220" i="55" s="1"/>
  <c r="AJ221" i="55" s="1" a="1"/>
  <c r="AJ221" i="55" s="1"/>
  <c r="AJ222" i="55" s="1" a="1"/>
  <c r="AJ222" i="55" s="1"/>
  <c r="AJ223" i="55" s="1" a="1"/>
  <c r="AJ223" i="55" s="1"/>
  <c r="AJ224" i="55" s="1" a="1"/>
  <c r="AJ224" i="55" s="1"/>
  <c r="AJ225" i="55" s="1" a="1"/>
  <c r="AJ225" i="55" s="1"/>
  <c r="AJ226" i="55" s="1" a="1"/>
  <c r="AJ226" i="55" s="1"/>
  <c r="AJ227" i="55" s="1" a="1"/>
  <c r="AJ227" i="55" s="1"/>
  <c r="AJ228" i="55" s="1" a="1"/>
  <c r="AJ228" i="55" s="1"/>
  <c r="AJ229" i="55" s="1" a="1"/>
  <c r="AJ229" i="55" s="1"/>
  <c r="AJ230" i="55" s="1" a="1"/>
  <c r="AJ230" i="55" s="1"/>
  <c r="AJ231" i="55" s="1" a="1"/>
  <c r="AJ231" i="55" s="1"/>
  <c r="AJ232" i="55" s="1" a="1"/>
  <c r="AJ232" i="55" s="1"/>
  <c r="AJ233" i="55" s="1" a="1"/>
  <c r="AJ233" i="55" s="1"/>
  <c r="AJ234" i="55" s="1" a="1"/>
  <c r="AJ234" i="55" s="1"/>
  <c r="AJ235" i="55" s="1" a="1"/>
  <c r="AJ235" i="55" s="1"/>
  <c r="AJ236" i="55" s="1" a="1"/>
  <c r="AJ236" i="55" s="1"/>
  <c r="AJ237" i="55" s="1" a="1"/>
  <c r="AJ237" i="55" s="1"/>
  <c r="AJ238" i="55" s="1" a="1"/>
  <c r="AJ238" i="55" s="1"/>
  <c r="AJ239" i="55" s="1" a="1"/>
  <c r="AJ239" i="55" s="1"/>
  <c r="AJ240" i="55" s="1" a="1"/>
  <c r="AJ240" i="55" s="1"/>
  <c r="AJ241" i="55" s="1" a="1"/>
  <c r="AJ241" i="55" s="1"/>
  <c r="AJ242" i="55" s="1" a="1"/>
  <c r="AJ242" i="55" s="1"/>
  <c r="AJ243" i="55" s="1" a="1"/>
  <c r="AJ243" i="55" s="1"/>
  <c r="AJ244" i="55" s="1" a="1"/>
  <c r="AJ244" i="55" s="1"/>
  <c r="AJ245" i="55" s="1" a="1"/>
  <c r="AJ245" i="55" s="1"/>
  <c r="AJ246" i="55" s="1" a="1"/>
  <c r="AJ246" i="55" s="1"/>
  <c r="AJ247" i="55" s="1" a="1"/>
  <c r="AJ247" i="55" s="1"/>
  <c r="AJ248" i="55" s="1" a="1"/>
  <c r="AJ248" i="55" s="1"/>
  <c r="AJ249" i="55" s="1" a="1"/>
  <c r="AJ249" i="55" s="1"/>
  <c r="AJ250" i="55" s="1" a="1"/>
  <c r="AJ250" i="55" s="1"/>
  <c r="AJ251" i="55" s="1" a="1"/>
  <c r="AJ251" i="55" s="1"/>
  <c r="AJ252" i="55" s="1" a="1"/>
  <c r="AJ252" i="55" s="1"/>
  <c r="AJ253" i="55" s="1" a="1"/>
  <c r="AJ253" i="55" s="1"/>
  <c r="AJ254" i="55" s="1" a="1"/>
  <c r="AJ254" i="55" s="1"/>
  <c r="AJ255" i="55" s="1" a="1"/>
  <c r="AJ255" i="55" s="1"/>
  <c r="AJ256" i="55" s="1" a="1"/>
  <c r="AJ256" i="55" s="1"/>
  <c r="AJ257" i="55" s="1" a="1"/>
  <c r="AJ257" i="55" s="1"/>
  <c r="AJ20" i="52" a="1"/>
  <c r="AJ20" i="52" s="1"/>
  <c r="AJ21" i="52" s="1" a="1"/>
  <c r="AJ21" i="52" s="1"/>
  <c r="AJ22" i="52" s="1" a="1"/>
  <c r="AJ22" i="52" s="1"/>
  <c r="AJ23" i="52" s="1" a="1"/>
  <c r="AJ23" i="52" s="1"/>
  <c r="AJ24" i="52" s="1" a="1"/>
  <c r="AJ24" i="52" s="1"/>
  <c r="AJ25" i="52" s="1" a="1"/>
  <c r="AJ25" i="52" s="1"/>
  <c r="AJ26" i="52" s="1" a="1"/>
  <c r="AJ26" i="52" s="1"/>
  <c r="AJ27" i="52" s="1" a="1"/>
  <c r="AJ27" i="52" s="1"/>
  <c r="AJ28" i="52" s="1" a="1"/>
  <c r="AJ28" i="52" s="1"/>
  <c r="AJ29" i="52" s="1" a="1"/>
  <c r="AJ29" i="52" s="1"/>
  <c r="AJ30" i="52" s="1" a="1"/>
  <c r="AJ30" i="52" s="1"/>
  <c r="AJ31" i="52" s="1" a="1"/>
  <c r="AJ31" i="52" s="1"/>
  <c r="AJ32" i="52" s="1" a="1"/>
  <c r="AJ32" i="52" s="1"/>
  <c r="AJ33" i="52" s="1" a="1"/>
  <c r="AJ33" i="52" s="1"/>
  <c r="AJ34" i="52" s="1" a="1"/>
  <c r="AJ34" i="52" s="1"/>
  <c r="AJ35" i="52" s="1" a="1"/>
  <c r="AJ35" i="52" s="1"/>
  <c r="AJ36" i="52" s="1" a="1"/>
  <c r="AJ36" i="52" s="1"/>
  <c r="AJ37" i="52" s="1" a="1"/>
  <c r="AJ37" i="52" s="1"/>
  <c r="AJ38" i="52" s="1" a="1"/>
  <c r="AJ38" i="52" s="1"/>
  <c r="AJ39" i="52" s="1" a="1"/>
  <c r="AJ39" i="52" s="1"/>
  <c r="AJ40" i="52" s="1" a="1"/>
  <c r="AJ40" i="52" s="1"/>
  <c r="AJ41" i="52" s="1" a="1"/>
  <c r="AJ41" i="52" s="1"/>
  <c r="AJ42" i="52" s="1" a="1"/>
  <c r="AJ42" i="52" s="1"/>
  <c r="AJ43" i="52" s="1" a="1"/>
  <c r="AJ43" i="52" s="1"/>
  <c r="AJ44" i="52" s="1" a="1"/>
  <c r="AJ44" i="52" s="1"/>
  <c r="AJ45" i="52" s="1" a="1"/>
  <c r="AJ45" i="52" s="1"/>
  <c r="AJ46" i="52" s="1" a="1"/>
  <c r="AJ46" i="52" s="1"/>
  <c r="AJ47" i="52" s="1" a="1"/>
  <c r="AJ47" i="52" s="1"/>
  <c r="AJ48" i="52" s="1" a="1"/>
  <c r="AJ48" i="52" s="1"/>
  <c r="AJ49" i="52" s="1" a="1"/>
  <c r="AJ49" i="52" s="1"/>
  <c r="AJ50" i="52" s="1" a="1"/>
  <c r="AJ50" i="52" s="1"/>
  <c r="AJ51" i="52" s="1" a="1"/>
  <c r="AJ51" i="52" s="1"/>
  <c r="AJ52" i="52" s="1" a="1"/>
  <c r="AJ52" i="52" s="1"/>
  <c r="AJ53" i="52" s="1" a="1"/>
  <c r="AJ53" i="52" s="1"/>
  <c r="AJ54" i="52" s="1" a="1"/>
  <c r="AJ54" i="52" s="1"/>
  <c r="AJ55" i="52" s="1" a="1"/>
  <c r="AJ55" i="52" s="1"/>
  <c r="AJ56" i="52" s="1" a="1"/>
  <c r="AJ56" i="52" s="1"/>
  <c r="AJ57" i="52" s="1" a="1"/>
  <c r="AJ57" i="52" s="1"/>
  <c r="AJ58" i="52" s="1" a="1"/>
  <c r="AJ58" i="52" s="1"/>
  <c r="AJ59" i="52" s="1" a="1"/>
  <c r="AJ59" i="52" s="1"/>
  <c r="AJ60" i="52" s="1" a="1"/>
  <c r="AJ60" i="52" s="1"/>
  <c r="AJ61" i="52" s="1" a="1"/>
  <c r="AJ61" i="52" s="1"/>
  <c r="AJ62" i="52" s="1" a="1"/>
  <c r="AJ62" i="52" s="1"/>
  <c r="AJ63" i="52" s="1" a="1"/>
  <c r="AJ63" i="52" s="1"/>
  <c r="AJ64" i="52" s="1" a="1"/>
  <c r="AJ64" i="52" s="1"/>
  <c r="AJ65" i="52" s="1" a="1"/>
  <c r="AJ65" i="52" s="1"/>
  <c r="AJ66" i="52" s="1" a="1"/>
  <c r="AJ66" i="52" s="1"/>
  <c r="AJ67" i="52" s="1" a="1"/>
  <c r="AJ67" i="52" s="1"/>
  <c r="AJ68" i="52" s="1" a="1"/>
  <c r="AJ68" i="52" s="1"/>
  <c r="AJ69" i="52" s="1" a="1"/>
  <c r="AJ69" i="52" s="1"/>
  <c r="AJ70" i="52" s="1" a="1"/>
  <c r="AJ70" i="52" s="1"/>
  <c r="AJ71" i="52" s="1" a="1"/>
  <c r="AJ71" i="52" s="1"/>
  <c r="AJ72" i="52" s="1" a="1"/>
  <c r="AJ72" i="52" s="1"/>
  <c r="AJ73" i="52" s="1" a="1"/>
  <c r="AJ73" i="52" s="1"/>
  <c r="AJ74" i="52" s="1" a="1"/>
  <c r="AJ74" i="52" s="1"/>
  <c r="AJ75" i="52" s="1" a="1"/>
  <c r="AJ75" i="52" s="1"/>
  <c r="AJ76" i="52" s="1" a="1"/>
  <c r="AJ76" i="52" s="1"/>
  <c r="AJ77" i="52" s="1" a="1"/>
  <c r="AJ77" i="52" s="1"/>
  <c r="AJ78" i="52" s="1" a="1"/>
  <c r="AJ78" i="52" s="1"/>
  <c r="AJ79" i="52" s="1" a="1"/>
  <c r="AJ79" i="52" s="1"/>
  <c r="AJ80" i="52" s="1" a="1"/>
  <c r="AJ80" i="52" s="1"/>
  <c r="AJ81" i="52" s="1" a="1"/>
  <c r="AJ81" i="52" s="1"/>
  <c r="AJ82" i="52" s="1" a="1"/>
  <c r="AJ82" i="52" s="1"/>
  <c r="AJ83" i="52" s="1" a="1"/>
  <c r="AJ83" i="52" s="1"/>
  <c r="AJ84" i="52" s="1" a="1"/>
  <c r="AJ84" i="52" s="1"/>
  <c r="AJ85" i="52" s="1" a="1"/>
  <c r="AJ85" i="52" s="1"/>
  <c r="AJ86" i="52" s="1" a="1"/>
  <c r="AJ86" i="52" s="1"/>
  <c r="AJ87" i="52" s="1" a="1"/>
  <c r="AJ87" i="52" s="1"/>
  <c r="AJ88" i="52" s="1" a="1"/>
  <c r="AJ88" i="52" s="1"/>
  <c r="AJ89" i="52" s="1" a="1"/>
  <c r="AJ89" i="52" s="1"/>
  <c r="AJ90" i="52" s="1" a="1"/>
  <c r="AJ90" i="52" s="1"/>
  <c r="AJ91" i="52" s="1" a="1"/>
  <c r="AJ91" i="52" s="1"/>
  <c r="AJ92" i="52" s="1" a="1"/>
  <c r="AJ92" i="52" s="1"/>
  <c r="AJ93" i="52" s="1" a="1"/>
  <c r="AJ93" i="52" s="1"/>
  <c r="AJ94" i="52" s="1" a="1"/>
  <c r="AJ94" i="52" s="1"/>
  <c r="AJ95" i="52" s="1" a="1"/>
  <c r="AJ95" i="52" s="1"/>
  <c r="AJ96" i="52" s="1" a="1"/>
  <c r="AJ96" i="52" s="1"/>
  <c r="AJ97" i="52" s="1" a="1"/>
  <c r="AJ97" i="52" s="1"/>
  <c r="AJ98" i="52" s="1" a="1"/>
  <c r="AJ98" i="52" s="1"/>
  <c r="AJ99" i="52" s="1" a="1"/>
  <c r="AJ99" i="52" s="1"/>
  <c r="AJ100" i="52" s="1" a="1"/>
  <c r="AJ100" i="52" s="1"/>
  <c r="AJ101" i="52" s="1" a="1"/>
  <c r="AJ101" i="52" s="1"/>
  <c r="AJ102" i="52" s="1" a="1"/>
  <c r="AJ102" i="52" s="1"/>
  <c r="AJ103" i="52" s="1" a="1"/>
  <c r="AJ103" i="52" s="1"/>
  <c r="AJ104" i="52" s="1" a="1"/>
  <c r="AJ104" i="52" s="1"/>
  <c r="AE18" i="57" l="1"/>
  <c r="R18" i="57"/>
  <c r="AE18" i="53"/>
  <c r="R18" i="53"/>
  <c r="O19" i="57"/>
  <c r="AG19" i="57" s="1"/>
  <c r="L19" i="57"/>
  <c r="AJ18" i="57"/>
  <c r="AC18" i="57"/>
  <c r="AP18" i="57"/>
  <c r="O15" i="57"/>
  <c r="X15" i="57" s="1"/>
  <c r="AF15" i="57" s="1"/>
  <c r="AB12" i="57"/>
  <c r="AC12" i="57" s="1"/>
  <c r="AJ12" i="57" s="1"/>
  <c r="AC12" i="53"/>
  <c r="AH12" i="53" s="1"/>
  <c r="AA14" i="57"/>
  <c r="T16" i="57"/>
  <c r="O16" i="57" s="1"/>
  <c r="O15" i="53"/>
  <c r="O16" i="53"/>
  <c r="X16" i="53" s="1"/>
  <c r="AF16" i="53" s="1"/>
  <c r="AG18" i="53"/>
  <c r="AH18" i="53"/>
  <c r="AC18" i="53"/>
  <c r="AT18" i="53"/>
  <c r="AB13" i="53"/>
  <c r="AC13" i="53" s="1"/>
  <c r="AH13" i="53" s="1"/>
  <c r="AA14" i="53"/>
  <c r="N19" i="57"/>
  <c r="N19" i="53"/>
  <c r="AD18" i="57"/>
  <c r="AD18" i="53"/>
  <c r="Q18" i="57"/>
  <c r="AK18" i="52" a="1"/>
  <c r="AK18" i="52" s="1"/>
  <c r="B20" i="53" s="1"/>
  <c r="O20" i="53" s="1"/>
  <c r="I19" i="57"/>
  <c r="F19" i="57"/>
  <c r="E19" i="57"/>
  <c r="C19" i="57"/>
  <c r="M19" i="57" s="1"/>
  <c r="K19" i="57"/>
  <c r="J19" i="57"/>
  <c r="G19" i="57"/>
  <c r="P19" i="57"/>
  <c r="H19" i="57"/>
  <c r="D19" i="57"/>
  <c r="X17" i="53"/>
  <c r="AF17" i="53" s="1"/>
  <c r="Q18" i="53"/>
  <c r="T17" i="57"/>
  <c r="L19" i="53"/>
  <c r="K19" i="53"/>
  <c r="I19" i="53"/>
  <c r="H19" i="53"/>
  <c r="G19" i="53"/>
  <c r="C19" i="53"/>
  <c r="P19" i="53"/>
  <c r="E19" i="53"/>
  <c r="D19" i="53"/>
  <c r="F19" i="53"/>
  <c r="J19" i="53"/>
  <c r="AK18" i="55" a="1"/>
  <c r="AK18" i="55" s="1"/>
  <c r="B20" i="57" s="1"/>
  <c r="AJ105" i="52" a="1"/>
  <c r="AJ105" i="52" s="1"/>
  <c r="AJ106" i="52" s="1" a="1"/>
  <c r="AJ106" i="52" s="1"/>
  <c r="AJ107" i="52" s="1" a="1"/>
  <c r="AJ107" i="52" s="1"/>
  <c r="AJ108" i="52" s="1" a="1"/>
  <c r="AJ108" i="52" s="1"/>
  <c r="AJ109" i="52" s="1" a="1"/>
  <c r="AJ109" i="52" s="1"/>
  <c r="AJ110" i="52" s="1" a="1"/>
  <c r="AJ110" i="52" s="1"/>
  <c r="AJ111" i="52" s="1" a="1"/>
  <c r="AJ111" i="52" s="1"/>
  <c r="AJ112" i="52" s="1" a="1"/>
  <c r="AJ112" i="52" s="1"/>
  <c r="AJ113" i="52" s="1" a="1"/>
  <c r="AJ113" i="52" s="1"/>
  <c r="AJ114" i="52" s="1" a="1"/>
  <c r="AJ114" i="52" s="1"/>
  <c r="AJ115" i="52" s="1" a="1"/>
  <c r="AJ115" i="52" s="1"/>
  <c r="AJ116" i="52" s="1" a="1"/>
  <c r="AJ116" i="52" s="1"/>
  <c r="AJ117" i="52" s="1" a="1"/>
  <c r="AJ117" i="52" s="1"/>
  <c r="AJ118" i="52" s="1" a="1"/>
  <c r="AJ118" i="52" s="1"/>
  <c r="AJ119" i="52" s="1" a="1"/>
  <c r="AJ119" i="52" s="1"/>
  <c r="AJ120" i="52" s="1" a="1"/>
  <c r="AJ120" i="52" s="1"/>
  <c r="AJ121" i="52" s="1" a="1"/>
  <c r="AJ121" i="52" s="1"/>
  <c r="AJ122" i="52" s="1" a="1"/>
  <c r="AJ122" i="52" s="1"/>
  <c r="AJ123" i="52" s="1" a="1"/>
  <c r="AJ123" i="52" s="1"/>
  <c r="AJ124" i="52" s="1" a="1"/>
  <c r="AJ124" i="52" s="1"/>
  <c r="AJ125" i="52" s="1" a="1"/>
  <c r="AJ125" i="52" s="1"/>
  <c r="AJ126" i="52" s="1" a="1"/>
  <c r="AJ126" i="52" s="1"/>
  <c r="AJ127" i="52" s="1" a="1"/>
  <c r="AJ127" i="52" s="1"/>
  <c r="AJ128" i="52" s="1" a="1"/>
  <c r="AJ128" i="52" s="1"/>
  <c r="AJ129" i="52" s="1" a="1"/>
  <c r="AJ129" i="52" s="1"/>
  <c r="AJ130" i="52" s="1" a="1"/>
  <c r="AJ130" i="52" s="1"/>
  <c r="AJ131" i="52" s="1" a="1"/>
  <c r="AJ131" i="52" s="1"/>
  <c r="AJ132" i="52" s="1" a="1"/>
  <c r="AJ132" i="52" s="1"/>
  <c r="AJ133" i="52" s="1" a="1"/>
  <c r="AJ133" i="52" s="1"/>
  <c r="AJ134" i="52" s="1" a="1"/>
  <c r="AJ134" i="52" s="1"/>
  <c r="AJ135" i="52" s="1" a="1"/>
  <c r="AJ135" i="52" s="1"/>
  <c r="AJ136" i="52" s="1" a="1"/>
  <c r="AJ136" i="52" s="1"/>
  <c r="AJ137" i="52" s="1" a="1"/>
  <c r="AJ137" i="52" s="1"/>
  <c r="AJ138" i="52" s="1" a="1"/>
  <c r="AJ138" i="52" s="1"/>
  <c r="AJ139" i="52" s="1" a="1"/>
  <c r="AJ139" i="52" s="1"/>
  <c r="AJ140" i="52" s="1" a="1"/>
  <c r="AJ140" i="52" s="1"/>
  <c r="AJ141" i="52" s="1" a="1"/>
  <c r="AJ141" i="52" s="1"/>
  <c r="AJ142" i="52" s="1" a="1"/>
  <c r="AJ142" i="52" s="1"/>
  <c r="AJ143" i="52" s="1" a="1"/>
  <c r="AJ143" i="52" s="1"/>
  <c r="AJ144" i="52" s="1" a="1"/>
  <c r="AJ144" i="52" s="1"/>
  <c r="AJ145" i="52" s="1" a="1"/>
  <c r="AJ145" i="52" s="1"/>
  <c r="AJ146" i="52" s="1" a="1"/>
  <c r="AJ146" i="52" s="1"/>
  <c r="AJ147" i="52" s="1" a="1"/>
  <c r="AJ147" i="52" s="1"/>
  <c r="AJ148" i="52" s="1" a="1"/>
  <c r="AJ148" i="52" s="1"/>
  <c r="AJ149" i="52" s="1" a="1"/>
  <c r="AJ149" i="52" s="1"/>
  <c r="AJ150" i="52" s="1" a="1"/>
  <c r="AJ150" i="52" s="1"/>
  <c r="AJ151" i="52" s="1" a="1"/>
  <c r="AJ151" i="52" s="1"/>
  <c r="AJ152" i="52" s="1" a="1"/>
  <c r="AJ152" i="52" s="1"/>
  <c r="AJ153" i="52" s="1" a="1"/>
  <c r="AJ153" i="52" s="1"/>
  <c r="AJ154" i="52" s="1" a="1"/>
  <c r="AJ154" i="52" s="1"/>
  <c r="AJ155" i="52" s="1" a="1"/>
  <c r="AJ155" i="52" s="1"/>
  <c r="AJ156" i="52" s="1" a="1"/>
  <c r="AJ156" i="52" s="1"/>
  <c r="AJ157" i="52" s="1" a="1"/>
  <c r="AJ157" i="52" s="1"/>
  <c r="AJ158" i="52" s="1" a="1"/>
  <c r="AJ158" i="52" s="1"/>
  <c r="AJ159" i="52" s="1" a="1"/>
  <c r="AJ159" i="52" s="1"/>
  <c r="AJ160" i="52" s="1" a="1"/>
  <c r="AJ160" i="52" s="1"/>
  <c r="AJ161" i="52" s="1" a="1"/>
  <c r="AJ161" i="52" s="1"/>
  <c r="AJ162" i="52" s="1" a="1"/>
  <c r="AJ162" i="52" s="1"/>
  <c r="AJ163" i="52" s="1" a="1"/>
  <c r="AJ163" i="52" s="1"/>
  <c r="AJ164" i="52" s="1" a="1"/>
  <c r="AJ164" i="52" s="1"/>
  <c r="AJ165" i="52" s="1" a="1"/>
  <c r="AJ165" i="52" s="1"/>
  <c r="AJ166" i="52" s="1" a="1"/>
  <c r="AJ166" i="52" s="1"/>
  <c r="AJ167" i="52" s="1" a="1"/>
  <c r="AJ167" i="52" s="1"/>
  <c r="AJ168" i="52" s="1" a="1"/>
  <c r="AJ168" i="52" s="1"/>
  <c r="AJ169" i="52" s="1" a="1"/>
  <c r="AJ169" i="52" s="1"/>
  <c r="AJ170" i="52" s="1" a="1"/>
  <c r="AJ170" i="52" s="1"/>
  <c r="AJ171" i="52" s="1" a="1"/>
  <c r="AJ171" i="52" s="1"/>
  <c r="AJ172" i="52" s="1" a="1"/>
  <c r="AJ172" i="52" s="1"/>
  <c r="AJ173" i="52" s="1" a="1"/>
  <c r="AJ173" i="52" s="1"/>
  <c r="AJ174" i="52" s="1" a="1"/>
  <c r="AJ174" i="52" s="1"/>
  <c r="AJ175" i="52" s="1" a="1"/>
  <c r="AJ175" i="52" s="1"/>
  <c r="AJ176" i="52" s="1" a="1"/>
  <c r="AJ176" i="52" s="1"/>
  <c r="AJ177" i="52" s="1" a="1"/>
  <c r="AJ177" i="52" s="1"/>
  <c r="AJ178" i="52" s="1" a="1"/>
  <c r="AJ178" i="52" s="1"/>
  <c r="AJ179" i="52" s="1" a="1"/>
  <c r="AJ179" i="52" s="1"/>
  <c r="AJ180" i="52" s="1" a="1"/>
  <c r="AJ180" i="52" s="1"/>
  <c r="AJ181" i="52" s="1" a="1"/>
  <c r="AJ181" i="52" s="1"/>
  <c r="AJ182" i="52" s="1" a="1"/>
  <c r="AJ182" i="52" s="1"/>
  <c r="AJ183" i="52" s="1" a="1"/>
  <c r="AJ183" i="52" s="1"/>
  <c r="AJ184" i="52" s="1" a="1"/>
  <c r="AJ184" i="52" s="1"/>
  <c r="AJ185" i="52" s="1" a="1"/>
  <c r="AJ185" i="52" s="1"/>
  <c r="AJ186" i="52" s="1" a="1"/>
  <c r="AJ186" i="52" s="1"/>
  <c r="AJ187" i="52" s="1" a="1"/>
  <c r="AJ187" i="52" s="1"/>
  <c r="AJ188" i="52" s="1" a="1"/>
  <c r="AJ188" i="52" s="1"/>
  <c r="AJ189" i="52" s="1" a="1"/>
  <c r="AJ189" i="52" s="1"/>
  <c r="AJ190" i="52" s="1" a="1"/>
  <c r="AJ190" i="52" s="1"/>
  <c r="AJ191" i="52" s="1" a="1"/>
  <c r="AJ191" i="52" s="1"/>
  <c r="AJ192" i="52" s="1" a="1"/>
  <c r="AJ192" i="52" s="1"/>
  <c r="AJ193" i="52" s="1" a="1"/>
  <c r="AJ193" i="52" s="1"/>
  <c r="AJ194" i="52" s="1" a="1"/>
  <c r="AJ194" i="52" s="1"/>
  <c r="AJ195" i="52" s="1" a="1"/>
  <c r="AJ195" i="52" s="1"/>
  <c r="AJ196" i="52" s="1" a="1"/>
  <c r="AJ196" i="52" s="1"/>
  <c r="AJ197" i="52" s="1" a="1"/>
  <c r="AJ197" i="52" s="1"/>
  <c r="AJ198" i="52" s="1" a="1"/>
  <c r="AJ198" i="52" s="1"/>
  <c r="AJ199" i="52" s="1" a="1"/>
  <c r="AJ199" i="52" s="1"/>
  <c r="AJ200" i="52" s="1" a="1"/>
  <c r="AJ200" i="52" s="1"/>
  <c r="AJ201" i="52" s="1" a="1"/>
  <c r="AJ201" i="52" s="1"/>
  <c r="AJ202" i="52" s="1" a="1"/>
  <c r="AJ202" i="52" s="1"/>
  <c r="AJ203" i="52" s="1" a="1"/>
  <c r="AJ203" i="52" s="1"/>
  <c r="AJ204" i="52" s="1" a="1"/>
  <c r="AJ204" i="52" s="1"/>
  <c r="AJ205" i="52" s="1" a="1"/>
  <c r="AJ205" i="52" s="1"/>
  <c r="AJ206" i="52" s="1" a="1"/>
  <c r="AJ206" i="52" s="1"/>
  <c r="AJ207" i="52" s="1" a="1"/>
  <c r="AJ207" i="52" s="1"/>
  <c r="AJ208" i="52" s="1" a="1"/>
  <c r="AJ208" i="52" s="1"/>
  <c r="AJ209" i="52" s="1" a="1"/>
  <c r="AJ209" i="52" s="1"/>
  <c r="AJ210" i="52" s="1" a="1"/>
  <c r="AJ210" i="52" s="1"/>
  <c r="AJ211" i="52" s="1" a="1"/>
  <c r="AJ211" i="52" s="1"/>
  <c r="AJ212" i="52" s="1" a="1"/>
  <c r="AJ212" i="52" s="1"/>
  <c r="AJ213" i="52" s="1" a="1"/>
  <c r="AJ213" i="52" s="1"/>
  <c r="AJ214" i="52" s="1" a="1"/>
  <c r="AJ214" i="52" s="1"/>
  <c r="AJ215" i="52" s="1" a="1"/>
  <c r="AJ215" i="52" s="1"/>
  <c r="AJ216" i="52" s="1" a="1"/>
  <c r="AJ216" i="52" s="1"/>
  <c r="AJ217" i="52" s="1" a="1"/>
  <c r="AJ217" i="52" s="1"/>
  <c r="AJ218" i="52" s="1" a="1"/>
  <c r="AJ218" i="52" s="1"/>
  <c r="AJ219" i="52" s="1" a="1"/>
  <c r="AJ219" i="52" s="1"/>
  <c r="AJ220" i="52" s="1" a="1"/>
  <c r="AJ220" i="52" s="1"/>
  <c r="AJ221" i="52" s="1" a="1"/>
  <c r="AJ221" i="52" s="1"/>
  <c r="AJ222" i="52" s="1" a="1"/>
  <c r="AJ222" i="52" s="1"/>
  <c r="AJ223" i="52" s="1" a="1"/>
  <c r="AJ223" i="52" s="1"/>
  <c r="AJ224" i="52" s="1" a="1"/>
  <c r="AJ224" i="52" s="1"/>
  <c r="AJ225" i="52" s="1" a="1"/>
  <c r="AJ225" i="52" s="1"/>
  <c r="AJ226" i="52" s="1" a="1"/>
  <c r="AJ226" i="52" s="1"/>
  <c r="AJ227" i="52" s="1" a="1"/>
  <c r="AJ227" i="52" s="1"/>
  <c r="AJ228" i="52" s="1" a="1"/>
  <c r="AJ228" i="52" s="1"/>
  <c r="AJ229" i="52" s="1" a="1"/>
  <c r="AJ229" i="52" s="1"/>
  <c r="AJ230" i="52" s="1" a="1"/>
  <c r="AJ230" i="52" s="1"/>
  <c r="AJ231" i="52" s="1" a="1"/>
  <c r="AJ231" i="52" s="1"/>
  <c r="AJ232" i="52" s="1" a="1"/>
  <c r="AJ232" i="52" s="1"/>
  <c r="AJ233" i="52" s="1" a="1"/>
  <c r="AJ233" i="52" s="1"/>
  <c r="AJ234" i="52" s="1" a="1"/>
  <c r="AJ234" i="52" s="1"/>
  <c r="AJ235" i="52" s="1" a="1"/>
  <c r="AJ235" i="52" s="1"/>
  <c r="AJ236" i="52" s="1" a="1"/>
  <c r="AJ236" i="52" s="1"/>
  <c r="AJ237" i="52" s="1" a="1"/>
  <c r="AJ237" i="52" s="1"/>
  <c r="AJ238" i="52" s="1" a="1"/>
  <c r="AJ238" i="52" s="1"/>
  <c r="AJ239" i="52" s="1" a="1"/>
  <c r="AJ239" i="52" s="1"/>
  <c r="AJ240" i="52" s="1" a="1"/>
  <c r="AJ240" i="52" s="1"/>
  <c r="AJ241" i="52" s="1" a="1"/>
  <c r="AJ241" i="52" s="1"/>
  <c r="AJ242" i="52" s="1" a="1"/>
  <c r="AJ242" i="52" s="1"/>
  <c r="AJ243" i="52" s="1" a="1"/>
  <c r="AJ243" i="52" s="1"/>
  <c r="AJ244" i="52" s="1" a="1"/>
  <c r="AJ244" i="52" s="1"/>
  <c r="AJ245" i="52" s="1" a="1"/>
  <c r="AJ245" i="52" s="1"/>
  <c r="AJ246" i="52" s="1" a="1"/>
  <c r="AJ246" i="52" s="1"/>
  <c r="AJ247" i="52" s="1" a="1"/>
  <c r="AJ247" i="52" s="1"/>
  <c r="AJ248" i="52" s="1" a="1"/>
  <c r="AJ248" i="52" s="1"/>
  <c r="AJ249" i="52" s="1" a="1"/>
  <c r="AJ249" i="52" s="1"/>
  <c r="AJ250" i="52" s="1" a="1"/>
  <c r="AJ250" i="52" s="1"/>
  <c r="AJ251" i="52" s="1" a="1"/>
  <c r="AJ251" i="52" s="1"/>
  <c r="AJ252" i="52" s="1" a="1"/>
  <c r="AJ252" i="52" s="1"/>
  <c r="AJ253" i="52" s="1" a="1"/>
  <c r="AJ253" i="52" s="1"/>
  <c r="AJ254" i="52" s="1" a="1"/>
  <c r="AJ254" i="52" s="1"/>
  <c r="AJ255" i="52" s="1" a="1"/>
  <c r="AJ255" i="52" s="1"/>
  <c r="AJ256" i="52" s="1" a="1"/>
  <c r="AJ256" i="52" s="1"/>
  <c r="AJ257" i="52" s="1" a="1"/>
  <c r="AJ257" i="52" s="1"/>
  <c r="AE19" i="57" l="1"/>
  <c r="R19" i="57"/>
  <c r="AE19" i="53"/>
  <c r="R19" i="53"/>
  <c r="O20" i="57"/>
  <c r="AG20" i="57" s="1"/>
  <c r="L20" i="57"/>
  <c r="X17" i="57"/>
  <c r="AJ19" i="57"/>
  <c r="AC19" i="57"/>
  <c r="AP19" i="57"/>
  <c r="AG15" i="57"/>
  <c r="AB14" i="57"/>
  <c r="AC14" i="57" s="1"/>
  <c r="AJ14" i="57" s="1"/>
  <c r="X15" i="53"/>
  <c r="AF15" i="53" s="1"/>
  <c r="AA15" i="57"/>
  <c r="AG16" i="57"/>
  <c r="X16" i="57"/>
  <c r="AF16" i="57" s="1"/>
  <c r="AB17" i="53"/>
  <c r="AA17" i="53"/>
  <c r="AG19" i="53"/>
  <c r="AH19" i="53"/>
  <c r="AC19" i="53"/>
  <c r="AT19" i="53"/>
  <c r="AB14" i="53"/>
  <c r="AG15" i="53"/>
  <c r="AG16" i="53"/>
  <c r="N20" i="57"/>
  <c r="N20" i="53"/>
  <c r="AD19" i="57"/>
  <c r="AD19" i="53"/>
  <c r="X18" i="53"/>
  <c r="AF18" i="53" s="1"/>
  <c r="L20" i="53"/>
  <c r="P20" i="53"/>
  <c r="H20" i="53"/>
  <c r="F20" i="53"/>
  <c r="D20" i="53"/>
  <c r="E20" i="53"/>
  <c r="J20" i="53"/>
  <c r="K20" i="53"/>
  <c r="G20" i="53"/>
  <c r="C20" i="53"/>
  <c r="I20" i="53"/>
  <c r="AK19" i="52" a="1"/>
  <c r="AK19" i="52" s="1"/>
  <c r="B21" i="53" s="1"/>
  <c r="O21" i="53" s="1"/>
  <c r="I20" i="57"/>
  <c r="H20" i="57"/>
  <c r="G20" i="57"/>
  <c r="E20" i="57"/>
  <c r="P20" i="57"/>
  <c r="D20" i="57"/>
  <c r="C20" i="57"/>
  <c r="M20" i="57" s="1"/>
  <c r="K20" i="57"/>
  <c r="F20" i="57"/>
  <c r="J20" i="57"/>
  <c r="Q19" i="57"/>
  <c r="T18" i="57"/>
  <c r="Q19" i="53"/>
  <c r="AK19" i="55" a="1"/>
  <c r="AK19" i="55" s="1"/>
  <c r="B21" i="57" s="1"/>
  <c r="P258" i="11"/>
  <c r="Q258" i="11" s="1"/>
  <c r="P257" i="11"/>
  <c r="Q257" i="11" s="1"/>
  <c r="P256" i="11"/>
  <c r="Q256" i="11" s="1"/>
  <c r="P255" i="11"/>
  <c r="Q255" i="11" s="1"/>
  <c r="P254" i="11"/>
  <c r="Q254" i="11" s="1"/>
  <c r="P253" i="11"/>
  <c r="Q253" i="11" s="1"/>
  <c r="P252" i="11"/>
  <c r="Q252" i="11" s="1"/>
  <c r="P251" i="11"/>
  <c r="Q251" i="11" s="1"/>
  <c r="P250" i="11"/>
  <c r="Q250" i="11" s="1"/>
  <c r="P249" i="11"/>
  <c r="Q249" i="11" s="1"/>
  <c r="P248" i="11"/>
  <c r="Q248" i="11" s="1"/>
  <c r="P247" i="11"/>
  <c r="Q247" i="11" s="1"/>
  <c r="P246" i="11"/>
  <c r="Q246" i="11" s="1"/>
  <c r="P245" i="11"/>
  <c r="Q245" i="11" s="1"/>
  <c r="P244" i="11"/>
  <c r="Q244" i="11" s="1"/>
  <c r="P243" i="11"/>
  <c r="Q243" i="11" s="1"/>
  <c r="P242" i="11"/>
  <c r="Q242" i="11" s="1"/>
  <c r="P241" i="11"/>
  <c r="Q241" i="11" s="1"/>
  <c r="P240" i="11"/>
  <c r="Q240" i="11" s="1"/>
  <c r="P239" i="11"/>
  <c r="Q239" i="11" s="1"/>
  <c r="P238" i="11"/>
  <c r="Q238" i="11" s="1"/>
  <c r="P237" i="11"/>
  <c r="Q237" i="11" s="1"/>
  <c r="P236" i="11"/>
  <c r="Q236" i="11" s="1"/>
  <c r="P235" i="11"/>
  <c r="Q235" i="11" s="1"/>
  <c r="P234" i="11"/>
  <c r="Q234" i="11" s="1"/>
  <c r="P233" i="11"/>
  <c r="Q233" i="11" s="1"/>
  <c r="P232" i="11"/>
  <c r="Q232" i="11" s="1"/>
  <c r="P231" i="11"/>
  <c r="Q231" i="11" s="1"/>
  <c r="P230" i="11"/>
  <c r="Q230" i="11" s="1"/>
  <c r="P229" i="11"/>
  <c r="Q229" i="11" s="1"/>
  <c r="P228" i="11"/>
  <c r="Q228" i="11" s="1"/>
  <c r="P227" i="11"/>
  <c r="Q227" i="11" s="1"/>
  <c r="P226" i="11"/>
  <c r="Q226" i="11" s="1"/>
  <c r="P225" i="11"/>
  <c r="Q225" i="11" s="1"/>
  <c r="P224" i="11"/>
  <c r="Q224" i="11" s="1"/>
  <c r="P223" i="11"/>
  <c r="Q223" i="11" s="1"/>
  <c r="P222" i="11"/>
  <c r="Q222" i="11" s="1"/>
  <c r="P221" i="11"/>
  <c r="Q221" i="11" s="1"/>
  <c r="P220" i="11"/>
  <c r="Q220" i="11" s="1"/>
  <c r="P219" i="11"/>
  <c r="Q219" i="11" s="1"/>
  <c r="P218" i="11"/>
  <c r="Q218" i="11" s="1"/>
  <c r="P217" i="11"/>
  <c r="Q217" i="11" s="1"/>
  <c r="P216" i="11"/>
  <c r="Q216" i="11" s="1"/>
  <c r="P215" i="11"/>
  <c r="Q215" i="11" s="1"/>
  <c r="P214" i="11"/>
  <c r="Q214" i="11" s="1"/>
  <c r="P213" i="11"/>
  <c r="Q213" i="11" s="1"/>
  <c r="P212" i="11"/>
  <c r="Q212" i="11" s="1"/>
  <c r="P211" i="11"/>
  <c r="Q211" i="11" s="1"/>
  <c r="P210" i="11"/>
  <c r="Q210" i="11" s="1"/>
  <c r="P209" i="11"/>
  <c r="Q209" i="11" s="1"/>
  <c r="P208" i="11"/>
  <c r="Q208" i="11" s="1"/>
  <c r="P207" i="11"/>
  <c r="Q207" i="11" s="1"/>
  <c r="P206" i="11"/>
  <c r="Q206" i="11" s="1"/>
  <c r="P205" i="11"/>
  <c r="Q205" i="11" s="1"/>
  <c r="P204" i="11"/>
  <c r="Q204" i="11" s="1"/>
  <c r="P203" i="11"/>
  <c r="Q203" i="11" s="1"/>
  <c r="P202" i="11"/>
  <c r="Q202" i="11" s="1"/>
  <c r="P201" i="11"/>
  <c r="Q201" i="11" s="1"/>
  <c r="P200" i="11"/>
  <c r="Q200" i="11" s="1"/>
  <c r="P199" i="11"/>
  <c r="Q199" i="11" s="1"/>
  <c r="P198" i="11"/>
  <c r="Q198" i="11" s="1"/>
  <c r="P197" i="11"/>
  <c r="Q197" i="11" s="1"/>
  <c r="P196" i="11"/>
  <c r="Q196" i="11" s="1"/>
  <c r="P195" i="11"/>
  <c r="Q195" i="11" s="1"/>
  <c r="P194" i="11"/>
  <c r="Q194" i="11" s="1"/>
  <c r="P193" i="11"/>
  <c r="Q193" i="11" s="1"/>
  <c r="P192" i="11"/>
  <c r="Q192" i="11" s="1"/>
  <c r="P191" i="11"/>
  <c r="Q191" i="11" s="1"/>
  <c r="P190" i="11"/>
  <c r="Q190" i="11" s="1"/>
  <c r="P189" i="11"/>
  <c r="Q189" i="11" s="1"/>
  <c r="P188" i="11"/>
  <c r="Q188" i="11" s="1"/>
  <c r="P187" i="11"/>
  <c r="Q187" i="11" s="1"/>
  <c r="P186" i="11"/>
  <c r="Q186" i="11" s="1"/>
  <c r="P185" i="11"/>
  <c r="Q185" i="11" s="1"/>
  <c r="P184" i="11"/>
  <c r="Q184" i="11" s="1"/>
  <c r="P183" i="11"/>
  <c r="Q183" i="11" s="1"/>
  <c r="P182" i="11"/>
  <c r="Q182" i="11" s="1"/>
  <c r="P181" i="11"/>
  <c r="Q181" i="11" s="1"/>
  <c r="P180" i="11"/>
  <c r="Q180" i="11" s="1"/>
  <c r="P179" i="11"/>
  <c r="Q179" i="11" s="1"/>
  <c r="P178" i="11"/>
  <c r="Q178" i="11" s="1"/>
  <c r="P177" i="11"/>
  <c r="Q177" i="11" s="1"/>
  <c r="P176" i="11"/>
  <c r="Q176" i="11" s="1"/>
  <c r="P175" i="11"/>
  <c r="Q175" i="11" s="1"/>
  <c r="P174" i="11"/>
  <c r="Q174" i="11" s="1"/>
  <c r="P173" i="11"/>
  <c r="Q173" i="11" s="1"/>
  <c r="P172" i="11"/>
  <c r="Q172" i="11" s="1"/>
  <c r="P171" i="11"/>
  <c r="Q171" i="11" s="1"/>
  <c r="P170" i="11"/>
  <c r="Q170" i="11" s="1"/>
  <c r="P169" i="11"/>
  <c r="Q169" i="11" s="1"/>
  <c r="P168" i="11"/>
  <c r="Q168" i="11" s="1"/>
  <c r="P167" i="11"/>
  <c r="Q167" i="11" s="1"/>
  <c r="P166" i="11"/>
  <c r="Q166" i="11" s="1"/>
  <c r="P165" i="11"/>
  <c r="Q165" i="11" s="1"/>
  <c r="P164" i="11"/>
  <c r="Q164" i="11" s="1"/>
  <c r="P163" i="11"/>
  <c r="Q163" i="11" s="1"/>
  <c r="P162" i="11"/>
  <c r="Q162" i="11" s="1"/>
  <c r="P161" i="11"/>
  <c r="Q161" i="11" s="1"/>
  <c r="P160" i="11"/>
  <c r="Q160" i="11" s="1"/>
  <c r="P159" i="11"/>
  <c r="Q159" i="11" s="1"/>
  <c r="P158" i="11"/>
  <c r="Q158" i="11" s="1"/>
  <c r="P157" i="11"/>
  <c r="Q157" i="11" s="1"/>
  <c r="P156" i="11"/>
  <c r="Q156" i="11" s="1"/>
  <c r="P155" i="11"/>
  <c r="Q155" i="11" s="1"/>
  <c r="P154" i="11"/>
  <c r="Q154" i="11" s="1"/>
  <c r="P153" i="11"/>
  <c r="Q153" i="11" s="1"/>
  <c r="P152" i="11"/>
  <c r="Q152" i="11" s="1"/>
  <c r="P151" i="11"/>
  <c r="Q151" i="11" s="1"/>
  <c r="P150" i="11"/>
  <c r="Q150" i="11" s="1"/>
  <c r="P149" i="11"/>
  <c r="Q149" i="11" s="1"/>
  <c r="P148" i="11"/>
  <c r="Q148" i="11" s="1"/>
  <c r="P147" i="11"/>
  <c r="Q147" i="11" s="1"/>
  <c r="P146" i="11"/>
  <c r="Q146" i="11" s="1"/>
  <c r="P145" i="11"/>
  <c r="Q145" i="11" s="1"/>
  <c r="P144" i="11"/>
  <c r="Q144" i="11" s="1"/>
  <c r="H256" i="71"/>
  <c r="H255" i="71"/>
  <c r="H254" i="71"/>
  <c r="H253" i="71"/>
  <c r="H252" i="71"/>
  <c r="H251" i="71"/>
  <c r="H250" i="71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H156" i="71"/>
  <c r="H155" i="71"/>
  <c r="H154" i="71"/>
  <c r="H153" i="71"/>
  <c r="H152" i="71"/>
  <c r="H151" i="71"/>
  <c r="H150" i="71"/>
  <c r="H149" i="71"/>
  <c r="H148" i="71"/>
  <c r="H147" i="71"/>
  <c r="H146" i="71"/>
  <c r="H145" i="71"/>
  <c r="H144" i="71"/>
  <c r="H143" i="71"/>
  <c r="H142" i="71"/>
  <c r="H141" i="71"/>
  <c r="H140" i="71"/>
  <c r="H139" i="71"/>
  <c r="H138" i="71"/>
  <c r="H137" i="71"/>
  <c r="H136" i="71"/>
  <c r="H135" i="71"/>
  <c r="H134" i="71"/>
  <c r="H133" i="71"/>
  <c r="H132" i="71"/>
  <c r="H131" i="71"/>
  <c r="H130" i="71"/>
  <c r="H129" i="71"/>
  <c r="H128" i="71"/>
  <c r="H127" i="71"/>
  <c r="H126" i="71"/>
  <c r="H125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I258" i="59"/>
  <c r="I257" i="59"/>
  <c r="I256" i="59"/>
  <c r="I255" i="59"/>
  <c r="I254" i="59"/>
  <c r="I253" i="59"/>
  <c r="I252" i="59"/>
  <c r="I251" i="59"/>
  <c r="I250" i="59"/>
  <c r="I249" i="59"/>
  <c r="I248" i="59"/>
  <c r="I247" i="59"/>
  <c r="I246" i="59"/>
  <c r="I245" i="59"/>
  <c r="I244" i="59"/>
  <c r="I243" i="59"/>
  <c r="I242" i="59"/>
  <c r="I241" i="59"/>
  <c r="I240" i="59"/>
  <c r="I239" i="59"/>
  <c r="I238" i="59"/>
  <c r="I237" i="59"/>
  <c r="I236" i="59"/>
  <c r="I235" i="59"/>
  <c r="I234" i="59"/>
  <c r="I233" i="59"/>
  <c r="I232" i="59"/>
  <c r="I231" i="59"/>
  <c r="I230" i="59"/>
  <c r="I229" i="59"/>
  <c r="I228" i="59"/>
  <c r="I227" i="59"/>
  <c r="I226" i="59"/>
  <c r="I225" i="59"/>
  <c r="I224" i="59"/>
  <c r="I223" i="59"/>
  <c r="I222" i="59"/>
  <c r="I221" i="59"/>
  <c r="I220" i="59"/>
  <c r="I219" i="59"/>
  <c r="I218" i="59"/>
  <c r="I217" i="59"/>
  <c r="I216" i="59"/>
  <c r="I215" i="59"/>
  <c r="I214" i="59"/>
  <c r="I213" i="59"/>
  <c r="I212" i="59"/>
  <c r="I211" i="59"/>
  <c r="I210" i="59"/>
  <c r="I209" i="59"/>
  <c r="I208" i="59"/>
  <c r="I207" i="59"/>
  <c r="I206" i="59"/>
  <c r="I205" i="59"/>
  <c r="I204" i="59"/>
  <c r="I203" i="59"/>
  <c r="I202" i="59"/>
  <c r="I201" i="59"/>
  <c r="I200" i="59"/>
  <c r="I199" i="59"/>
  <c r="I198" i="59"/>
  <c r="I197" i="59"/>
  <c r="I196" i="59"/>
  <c r="I195" i="59"/>
  <c r="I194" i="59"/>
  <c r="I193" i="59"/>
  <c r="I192" i="59"/>
  <c r="I191" i="59"/>
  <c r="I190" i="59"/>
  <c r="I189" i="59"/>
  <c r="I188" i="59"/>
  <c r="I187" i="59"/>
  <c r="I186" i="59"/>
  <c r="I185" i="59"/>
  <c r="I184" i="59"/>
  <c r="I183" i="59"/>
  <c r="I182" i="59"/>
  <c r="I181" i="59"/>
  <c r="I180" i="59"/>
  <c r="I179" i="59"/>
  <c r="I178" i="59"/>
  <c r="I177" i="59"/>
  <c r="I176" i="59"/>
  <c r="I175" i="59"/>
  <c r="I174" i="59"/>
  <c r="I173" i="59"/>
  <c r="I172" i="59"/>
  <c r="I171" i="59"/>
  <c r="I170" i="59"/>
  <c r="I169" i="59"/>
  <c r="I168" i="59"/>
  <c r="I167" i="59"/>
  <c r="I166" i="59"/>
  <c r="I165" i="59"/>
  <c r="I164" i="59"/>
  <c r="I163" i="59"/>
  <c r="I162" i="59"/>
  <c r="I161" i="59"/>
  <c r="I160" i="59"/>
  <c r="I159" i="59"/>
  <c r="I158" i="59"/>
  <c r="I157" i="59"/>
  <c r="I156" i="59"/>
  <c r="I155" i="59"/>
  <c r="I154" i="59"/>
  <c r="I153" i="59"/>
  <c r="I152" i="59"/>
  <c r="I151" i="59"/>
  <c r="I150" i="59"/>
  <c r="I149" i="59"/>
  <c r="I148" i="59"/>
  <c r="I147" i="59"/>
  <c r="I146" i="59"/>
  <c r="I145" i="59"/>
  <c r="I144" i="59"/>
  <c r="I143" i="59"/>
  <c r="I142" i="59"/>
  <c r="I141" i="59"/>
  <c r="I140" i="59"/>
  <c r="I139" i="59"/>
  <c r="I138" i="59"/>
  <c r="I137" i="59"/>
  <c r="I136" i="59"/>
  <c r="I135" i="59"/>
  <c r="I134" i="59"/>
  <c r="I133" i="59"/>
  <c r="I132" i="59"/>
  <c r="I131" i="59"/>
  <c r="I130" i="59"/>
  <c r="I129" i="59"/>
  <c r="I128" i="59"/>
  <c r="I127" i="59"/>
  <c r="I126" i="59"/>
  <c r="I125" i="59"/>
  <c r="I124" i="59"/>
  <c r="I123" i="59"/>
  <c r="I122" i="59"/>
  <c r="I121" i="59"/>
  <c r="I120" i="59"/>
  <c r="I119" i="59"/>
  <c r="I118" i="59"/>
  <c r="I117" i="59"/>
  <c r="I116" i="59"/>
  <c r="I115" i="59"/>
  <c r="I114" i="59"/>
  <c r="I113" i="59"/>
  <c r="I112" i="59"/>
  <c r="I111" i="59"/>
  <c r="I110" i="59"/>
  <c r="I109" i="59"/>
  <c r="I108" i="59"/>
  <c r="I107" i="59"/>
  <c r="I106" i="59"/>
  <c r="I105" i="59"/>
  <c r="I104" i="59"/>
  <c r="I103" i="59"/>
  <c r="I102" i="59"/>
  <c r="I101" i="59"/>
  <c r="I100" i="59"/>
  <c r="I99" i="59"/>
  <c r="I98" i="59"/>
  <c r="I97" i="59"/>
  <c r="I96" i="59"/>
  <c r="I95" i="59"/>
  <c r="I94" i="59"/>
  <c r="I93" i="59"/>
  <c r="I92" i="59"/>
  <c r="I91" i="59"/>
  <c r="I90" i="59"/>
  <c r="I89" i="59"/>
  <c r="I88" i="59"/>
  <c r="I87" i="59"/>
  <c r="I86" i="59"/>
  <c r="I85" i="59"/>
  <c r="I84" i="59"/>
  <c r="I83" i="59"/>
  <c r="I82" i="59"/>
  <c r="I81" i="59"/>
  <c r="I80" i="59"/>
  <c r="I79" i="59"/>
  <c r="I78" i="59"/>
  <c r="I77" i="59"/>
  <c r="I76" i="59"/>
  <c r="I75" i="59"/>
  <c r="I74" i="59"/>
  <c r="I73" i="59"/>
  <c r="I72" i="59"/>
  <c r="I71" i="59"/>
  <c r="I70" i="59"/>
  <c r="I69" i="59"/>
  <c r="I68" i="59"/>
  <c r="I67" i="59"/>
  <c r="I66" i="59"/>
  <c r="I65" i="59"/>
  <c r="I64" i="59"/>
  <c r="I63" i="59"/>
  <c r="I62" i="59"/>
  <c r="I61" i="59"/>
  <c r="I60" i="59"/>
  <c r="I59" i="59"/>
  <c r="I58" i="59"/>
  <c r="I57" i="59"/>
  <c r="I56" i="59"/>
  <c r="I55" i="59"/>
  <c r="I54" i="59"/>
  <c r="I53" i="59"/>
  <c r="I52" i="59"/>
  <c r="I51" i="59"/>
  <c r="I50" i="59"/>
  <c r="I49" i="59"/>
  <c r="I48" i="59"/>
  <c r="I47" i="59"/>
  <c r="I46" i="59"/>
  <c r="I45" i="59"/>
  <c r="I44" i="59"/>
  <c r="I43" i="59"/>
  <c r="I42" i="59"/>
  <c r="I41" i="59"/>
  <c r="I40" i="59"/>
  <c r="I39" i="59"/>
  <c r="I38" i="59"/>
  <c r="I37" i="59"/>
  <c r="I36" i="59"/>
  <c r="I35" i="59"/>
  <c r="I34" i="59"/>
  <c r="I33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20" i="59"/>
  <c r="I19" i="59"/>
  <c r="I18" i="59"/>
  <c r="I17" i="59"/>
  <c r="I16" i="59"/>
  <c r="I15" i="59"/>
  <c r="I14" i="59"/>
  <c r="I13" i="59"/>
  <c r="I12" i="59"/>
  <c r="I11" i="59"/>
  <c r="H256" i="46"/>
  <c r="H255" i="46"/>
  <c r="H254" i="46"/>
  <c r="H253" i="46"/>
  <c r="H252" i="46"/>
  <c r="H251" i="46"/>
  <c r="H250" i="46"/>
  <c r="H249" i="46"/>
  <c r="H248" i="46"/>
  <c r="H247" i="46"/>
  <c r="H246" i="46"/>
  <c r="H245" i="46"/>
  <c r="H244" i="46"/>
  <c r="H243" i="46"/>
  <c r="H242" i="46"/>
  <c r="H241" i="46"/>
  <c r="H240" i="46"/>
  <c r="H239" i="46"/>
  <c r="H238" i="46"/>
  <c r="H237" i="46"/>
  <c r="H236" i="46"/>
  <c r="H235" i="46"/>
  <c r="H234" i="46"/>
  <c r="H233" i="46"/>
  <c r="H232" i="46"/>
  <c r="H231" i="46"/>
  <c r="H230" i="46"/>
  <c r="H229" i="46"/>
  <c r="H228" i="46"/>
  <c r="H227" i="46"/>
  <c r="H226" i="46"/>
  <c r="H225" i="46"/>
  <c r="H224" i="46"/>
  <c r="H223" i="46"/>
  <c r="H222" i="46"/>
  <c r="H221" i="46"/>
  <c r="H220" i="46"/>
  <c r="H219" i="46"/>
  <c r="H218" i="46"/>
  <c r="H217" i="46"/>
  <c r="H216" i="46"/>
  <c r="H215" i="46"/>
  <c r="H214" i="46"/>
  <c r="H213" i="46"/>
  <c r="H212" i="46"/>
  <c r="H211" i="46"/>
  <c r="H210" i="46"/>
  <c r="H209" i="46"/>
  <c r="H208" i="46"/>
  <c r="H207" i="46"/>
  <c r="H206" i="46"/>
  <c r="H205" i="46"/>
  <c r="H204" i="46"/>
  <c r="H203" i="46"/>
  <c r="H202" i="46"/>
  <c r="H201" i="46"/>
  <c r="H200" i="46"/>
  <c r="H199" i="46"/>
  <c r="H198" i="46"/>
  <c r="H197" i="46"/>
  <c r="H196" i="46"/>
  <c r="H195" i="46"/>
  <c r="H194" i="46"/>
  <c r="H193" i="46"/>
  <c r="H192" i="46"/>
  <c r="H191" i="46"/>
  <c r="H190" i="46"/>
  <c r="H189" i="46"/>
  <c r="H188" i="46"/>
  <c r="H187" i="46"/>
  <c r="H186" i="46"/>
  <c r="H185" i="46"/>
  <c r="H184" i="46"/>
  <c r="H183" i="46"/>
  <c r="H182" i="46"/>
  <c r="H181" i="46"/>
  <c r="H180" i="46"/>
  <c r="H179" i="46"/>
  <c r="H178" i="46"/>
  <c r="H177" i="46"/>
  <c r="H176" i="46"/>
  <c r="H175" i="46"/>
  <c r="H174" i="46"/>
  <c r="H173" i="46"/>
  <c r="H172" i="46"/>
  <c r="H171" i="46"/>
  <c r="H170" i="46"/>
  <c r="H169" i="46"/>
  <c r="H168" i="46"/>
  <c r="H167" i="46"/>
  <c r="H166" i="46"/>
  <c r="H165" i="46"/>
  <c r="H164" i="46"/>
  <c r="H163" i="46"/>
  <c r="H162" i="46"/>
  <c r="H161" i="46"/>
  <c r="H160" i="46"/>
  <c r="H159" i="46"/>
  <c r="H158" i="46"/>
  <c r="H157" i="46"/>
  <c r="H156" i="46"/>
  <c r="H155" i="46"/>
  <c r="H154" i="46"/>
  <c r="H153" i="46"/>
  <c r="H152" i="46"/>
  <c r="H151" i="46"/>
  <c r="H150" i="46"/>
  <c r="H149" i="46"/>
  <c r="H148" i="46"/>
  <c r="H147" i="46"/>
  <c r="H146" i="46"/>
  <c r="H145" i="46"/>
  <c r="H144" i="46"/>
  <c r="H143" i="46"/>
  <c r="H142" i="46"/>
  <c r="H141" i="46"/>
  <c r="H140" i="46"/>
  <c r="H139" i="46"/>
  <c r="H138" i="46"/>
  <c r="H137" i="46"/>
  <c r="H136" i="46"/>
  <c r="H135" i="46"/>
  <c r="H134" i="46"/>
  <c r="H133" i="46"/>
  <c r="H132" i="46"/>
  <c r="H131" i="46"/>
  <c r="H130" i="46"/>
  <c r="H129" i="46"/>
  <c r="H128" i="46"/>
  <c r="H127" i="46"/>
  <c r="H126" i="46"/>
  <c r="H125" i="46"/>
  <c r="H124" i="46"/>
  <c r="H123" i="46"/>
  <c r="H122" i="46"/>
  <c r="H121" i="46"/>
  <c r="H120" i="46"/>
  <c r="H119" i="46"/>
  <c r="H118" i="46"/>
  <c r="H117" i="46"/>
  <c r="H116" i="46"/>
  <c r="H115" i="46"/>
  <c r="H114" i="46"/>
  <c r="H113" i="46"/>
  <c r="H112" i="46"/>
  <c r="H111" i="46"/>
  <c r="H110" i="46"/>
  <c r="H109" i="46"/>
  <c r="H108" i="46"/>
  <c r="H107" i="46"/>
  <c r="H106" i="46"/>
  <c r="H105" i="46"/>
  <c r="H104" i="46"/>
  <c r="H103" i="46"/>
  <c r="H102" i="46"/>
  <c r="H101" i="46"/>
  <c r="H100" i="46"/>
  <c r="H99" i="46"/>
  <c r="H98" i="46"/>
  <c r="H97" i="46"/>
  <c r="H96" i="46"/>
  <c r="H95" i="46"/>
  <c r="H94" i="46"/>
  <c r="H93" i="46"/>
  <c r="H92" i="46"/>
  <c r="H91" i="46"/>
  <c r="H90" i="46"/>
  <c r="H89" i="46"/>
  <c r="H88" i="46"/>
  <c r="H87" i="46"/>
  <c r="H86" i="46"/>
  <c r="H85" i="46"/>
  <c r="H84" i="46"/>
  <c r="H83" i="46"/>
  <c r="H82" i="46"/>
  <c r="H81" i="46"/>
  <c r="H80" i="46"/>
  <c r="H79" i="46"/>
  <c r="H78" i="46"/>
  <c r="H77" i="46"/>
  <c r="H76" i="46"/>
  <c r="H75" i="46"/>
  <c r="H74" i="46"/>
  <c r="H73" i="46"/>
  <c r="H72" i="46"/>
  <c r="H71" i="46"/>
  <c r="H70" i="46"/>
  <c r="H69" i="46"/>
  <c r="H68" i="46"/>
  <c r="H67" i="46"/>
  <c r="H66" i="46"/>
  <c r="H65" i="46"/>
  <c r="H64" i="46"/>
  <c r="H63" i="46"/>
  <c r="H62" i="46"/>
  <c r="H61" i="46"/>
  <c r="H60" i="46"/>
  <c r="H59" i="46"/>
  <c r="H58" i="46"/>
  <c r="H57" i="46"/>
  <c r="H56" i="46"/>
  <c r="H55" i="46"/>
  <c r="H54" i="46"/>
  <c r="H53" i="46"/>
  <c r="H52" i="46"/>
  <c r="H51" i="46"/>
  <c r="H50" i="46"/>
  <c r="H49" i="46"/>
  <c r="H48" i="46"/>
  <c r="H47" i="46"/>
  <c r="H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H32" i="46"/>
  <c r="H31" i="46"/>
  <c r="H30" i="46"/>
  <c r="H29" i="46"/>
  <c r="H28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I258" i="11"/>
  <c r="I257" i="11"/>
  <c r="I256" i="11"/>
  <c r="I255" i="11"/>
  <c r="I254" i="11"/>
  <c r="I253" i="11"/>
  <c r="I252" i="11"/>
  <c r="I251" i="11"/>
  <c r="I250" i="11"/>
  <c r="I249" i="11"/>
  <c r="I248" i="11"/>
  <c r="I247" i="11"/>
  <c r="I246" i="11"/>
  <c r="I245" i="11"/>
  <c r="I244" i="11"/>
  <c r="I243" i="11"/>
  <c r="I242" i="11"/>
  <c r="I241" i="11"/>
  <c r="I240" i="11"/>
  <c r="I239" i="11"/>
  <c r="I238" i="11"/>
  <c r="I237" i="11"/>
  <c r="I236" i="11"/>
  <c r="I235" i="11"/>
  <c r="I234" i="11"/>
  <c r="I233" i="11"/>
  <c r="I232" i="11"/>
  <c r="I231" i="11"/>
  <c r="I230" i="11"/>
  <c r="I229" i="11"/>
  <c r="I228" i="11"/>
  <c r="I227" i="11"/>
  <c r="I226" i="11"/>
  <c r="I225" i="11"/>
  <c r="I224" i="11"/>
  <c r="I223" i="11"/>
  <c r="I222" i="11"/>
  <c r="I221" i="11"/>
  <c r="I220" i="11"/>
  <c r="I219" i="11"/>
  <c r="I218" i="11"/>
  <c r="I217" i="11"/>
  <c r="I216" i="11"/>
  <c r="I215" i="11"/>
  <c r="I214" i="11"/>
  <c r="I213" i="1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I194" i="11"/>
  <c r="I193" i="11"/>
  <c r="I192" i="11"/>
  <c r="I191" i="11"/>
  <c r="I190" i="11"/>
  <c r="I189" i="11"/>
  <c r="I188" i="11"/>
  <c r="I187" i="11"/>
  <c r="I186" i="11"/>
  <c r="I185" i="11"/>
  <c r="I184" i="11"/>
  <c r="I183" i="11"/>
  <c r="I182" i="11"/>
  <c r="I181" i="11"/>
  <c r="I180" i="11"/>
  <c r="I179" i="11"/>
  <c r="I178" i="11"/>
  <c r="I177" i="11"/>
  <c r="I176" i="11"/>
  <c r="I175" i="11"/>
  <c r="I174" i="11"/>
  <c r="I173" i="11"/>
  <c r="I172" i="11"/>
  <c r="I171" i="11"/>
  <c r="I170" i="11"/>
  <c r="I169" i="11"/>
  <c r="I168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1" i="11"/>
  <c r="I20" i="11"/>
  <c r="I19" i="11"/>
  <c r="I18" i="11"/>
  <c r="I17" i="11"/>
  <c r="I16" i="11"/>
  <c r="I15" i="11"/>
  <c r="I14" i="11"/>
  <c r="I13" i="11"/>
  <c r="I12" i="11"/>
  <c r="I11" i="11"/>
  <c r="A131" i="99"/>
  <c r="A130" i="99"/>
  <c r="A129" i="99"/>
  <c r="A128" i="99"/>
  <c r="A127" i="99"/>
  <c r="A122" i="99"/>
  <c r="A121" i="99"/>
  <c r="A117" i="99"/>
  <c r="A114" i="99"/>
  <c r="C129" i="33"/>
  <c r="C128" i="33"/>
  <c r="C132" i="33"/>
  <c r="C131" i="33"/>
  <c r="C130" i="33"/>
  <c r="C123" i="33"/>
  <c r="C122" i="33"/>
  <c r="C118" i="33"/>
  <c r="C115" i="33"/>
  <c r="F131" i="20"/>
  <c r="F130" i="20"/>
  <c r="F129" i="20"/>
  <c r="F128" i="20"/>
  <c r="F127" i="20"/>
  <c r="F122" i="20"/>
  <c r="F121" i="20"/>
  <c r="F117" i="20"/>
  <c r="F114" i="20"/>
  <c r="D130" i="28"/>
  <c r="B130" i="28"/>
  <c r="A130" i="28"/>
  <c r="D129" i="28"/>
  <c r="B129" i="28"/>
  <c r="A129" i="28"/>
  <c r="D128" i="28"/>
  <c r="B128" i="28"/>
  <c r="A128" i="28"/>
  <c r="D127" i="28"/>
  <c r="B127" i="28"/>
  <c r="A127" i="28"/>
  <c r="D126" i="28"/>
  <c r="B126" i="28"/>
  <c r="A126" i="28"/>
  <c r="D125" i="28"/>
  <c r="B125" i="28"/>
  <c r="A125" i="28"/>
  <c r="D124" i="28"/>
  <c r="B124" i="28"/>
  <c r="A124" i="28"/>
  <c r="D123" i="28"/>
  <c r="B123" i="28"/>
  <c r="A123" i="28"/>
  <c r="A122" i="28"/>
  <c r="C122" i="22"/>
  <c r="B122" i="22"/>
  <c r="A122" i="22"/>
  <c r="F122" i="22" s="1"/>
  <c r="C121" i="22"/>
  <c r="B121" i="22"/>
  <c r="A121" i="22"/>
  <c r="F121" i="22" s="1"/>
  <c r="C114" i="22"/>
  <c r="B114" i="22"/>
  <c r="A114" i="22"/>
  <c r="F114" i="22" s="1"/>
  <c r="C113" i="22"/>
  <c r="B113" i="22"/>
  <c r="A113" i="22"/>
  <c r="F113" i="22" s="1"/>
  <c r="C117" i="22"/>
  <c r="B117" i="22"/>
  <c r="A117" i="22"/>
  <c r="F117" i="22" s="1"/>
  <c r="L116" i="29"/>
  <c r="M116" i="29"/>
  <c r="D117" i="22" s="1"/>
  <c r="Q116" i="29"/>
  <c r="E128" i="28" s="1"/>
  <c r="O116" i="29"/>
  <c r="C128" i="28" s="1"/>
  <c r="Q110" i="29"/>
  <c r="E127" i="28" s="1"/>
  <c r="O110" i="29"/>
  <c r="C127" i="28" s="1"/>
  <c r="Q130" i="29"/>
  <c r="E126" i="28" s="1"/>
  <c r="O130" i="29"/>
  <c r="C126" i="28" s="1"/>
  <c r="Q129" i="29"/>
  <c r="E125" i="28" s="1"/>
  <c r="O129" i="29"/>
  <c r="C125" i="28" s="1"/>
  <c r="Q128" i="29"/>
  <c r="E124" i="28" s="1"/>
  <c r="O128" i="29"/>
  <c r="C124" i="28" s="1"/>
  <c r="Q127" i="29"/>
  <c r="E123" i="28" s="1"/>
  <c r="O127" i="29"/>
  <c r="C123" i="28" s="1"/>
  <c r="M127" i="29"/>
  <c r="P62" i="11" s="1"/>
  <c r="L127" i="29"/>
  <c r="M121" i="29"/>
  <c r="D122" i="22" s="1"/>
  <c r="M120" i="29"/>
  <c r="D121" i="22" s="1"/>
  <c r="Q121" i="29"/>
  <c r="E130" i="28" s="1"/>
  <c r="Q120" i="29"/>
  <c r="E129" i="28" s="1"/>
  <c r="O121" i="29"/>
  <c r="C130" i="28" s="1"/>
  <c r="O120" i="29"/>
  <c r="C129" i="28" s="1"/>
  <c r="Q126" i="29"/>
  <c r="O126" i="29"/>
  <c r="AE20" i="57" l="1"/>
  <c r="R20" i="57"/>
  <c r="AE20" i="53"/>
  <c r="R20" i="53"/>
  <c r="AB17" i="57"/>
  <c r="AF17" i="57"/>
  <c r="S117" i="22"/>
  <c r="E117" i="22"/>
  <c r="E121" i="22"/>
  <c r="S121" i="22"/>
  <c r="S113" i="22"/>
  <c r="E113" i="22"/>
  <c r="E122" i="22"/>
  <c r="S122" i="22"/>
  <c r="S114" i="22"/>
  <c r="E114" i="22"/>
  <c r="Q62" i="11"/>
  <c r="P54" i="11"/>
  <c r="P56" i="11"/>
  <c r="P57" i="11"/>
  <c r="AA16" i="53"/>
  <c r="X18" i="57"/>
  <c r="L21" i="57"/>
  <c r="O21" i="57"/>
  <c r="AG21" i="57" s="1"/>
  <c r="AA17" i="57"/>
  <c r="AC20" i="57"/>
  <c r="AJ20" i="57"/>
  <c r="AP20" i="57"/>
  <c r="AB15" i="57"/>
  <c r="AC15" i="57" s="1"/>
  <c r="AJ15" i="57" s="1"/>
  <c r="AA16" i="57"/>
  <c r="AB18" i="53"/>
  <c r="AA18" i="53"/>
  <c r="AG20" i="53"/>
  <c r="AH20" i="53"/>
  <c r="AC20" i="53"/>
  <c r="AT20" i="53"/>
  <c r="AC14" i="53"/>
  <c r="AH14" i="53" s="1"/>
  <c r="AA15" i="53"/>
  <c r="N21" i="57"/>
  <c r="N21" i="53"/>
  <c r="AD20" i="57"/>
  <c r="AD20" i="53"/>
  <c r="AK20" i="52" a="1"/>
  <c r="AK20" i="52" s="1"/>
  <c r="B22" i="53" s="1"/>
  <c r="O22" i="53" s="1"/>
  <c r="G21" i="57"/>
  <c r="J21" i="57"/>
  <c r="F21" i="57"/>
  <c r="K21" i="57"/>
  <c r="P21" i="57"/>
  <c r="C21" i="57"/>
  <c r="M21" i="57" s="1"/>
  <c r="H21" i="57"/>
  <c r="E21" i="57"/>
  <c r="I21" i="57"/>
  <c r="D21" i="57"/>
  <c r="T19" i="57"/>
  <c r="X19" i="53"/>
  <c r="AF19" i="53" s="1"/>
  <c r="Q20" i="57"/>
  <c r="K21" i="53"/>
  <c r="I21" i="53"/>
  <c r="G21" i="53"/>
  <c r="E21" i="53"/>
  <c r="C21" i="53"/>
  <c r="H21" i="53"/>
  <c r="L21" i="53"/>
  <c r="P21" i="53"/>
  <c r="D21" i="53"/>
  <c r="J21" i="53"/>
  <c r="F21" i="53"/>
  <c r="Q20" i="53"/>
  <c r="AK20" i="55" a="1"/>
  <c r="AK20" i="55" s="1"/>
  <c r="B22" i="57" s="1"/>
  <c r="W121" i="22"/>
  <c r="W122" i="22"/>
  <c r="T121" i="22"/>
  <c r="X121" i="22"/>
  <c r="T122" i="22"/>
  <c r="X122" i="22"/>
  <c r="G121" i="22"/>
  <c r="K121" i="22"/>
  <c r="U121" i="22"/>
  <c r="G122" i="22"/>
  <c r="K122" i="22"/>
  <c r="U122" i="22"/>
  <c r="L121" i="22"/>
  <c r="V121" i="22"/>
  <c r="L122" i="22"/>
  <c r="V122" i="22"/>
  <c r="K113" i="22"/>
  <c r="U113" i="22"/>
  <c r="K114" i="22"/>
  <c r="U114" i="22"/>
  <c r="V113" i="22"/>
  <c r="L114" i="22"/>
  <c r="G114" i="22"/>
  <c r="G113" i="22"/>
  <c r="T113" i="22"/>
  <c r="W114" i="22"/>
  <c r="X114" i="22"/>
  <c r="W113" i="22"/>
  <c r="I117" i="22"/>
  <c r="W117" i="22"/>
  <c r="T117" i="22"/>
  <c r="X117" i="22"/>
  <c r="G117" i="22"/>
  <c r="K117" i="22"/>
  <c r="U117" i="22"/>
  <c r="V117" i="22"/>
  <c r="AE21" i="57" l="1"/>
  <c r="R21" i="57"/>
  <c r="AE21" i="53"/>
  <c r="R21" i="53"/>
  <c r="AA18" i="57"/>
  <c r="AF18" i="57"/>
  <c r="Q57" i="11"/>
  <c r="I121" i="22"/>
  <c r="Q56" i="11"/>
  <c r="I122" i="22"/>
  <c r="Q54" i="11"/>
  <c r="AB16" i="53"/>
  <c r="AC16" i="53" s="1"/>
  <c r="AH16" i="53" s="1"/>
  <c r="X19" i="57"/>
  <c r="AB18" i="57"/>
  <c r="O22" i="57"/>
  <c r="AG22" i="57" s="1"/>
  <c r="L22" i="57"/>
  <c r="AC21" i="57"/>
  <c r="AJ21" i="57"/>
  <c r="AP21" i="57"/>
  <c r="AB16" i="57"/>
  <c r="AC16" i="57" s="1"/>
  <c r="AJ16" i="57" s="1"/>
  <c r="AG21" i="53"/>
  <c r="AB19" i="53"/>
  <c r="AA19" i="53"/>
  <c r="AH21" i="53"/>
  <c r="AC21" i="53"/>
  <c r="AT21" i="53"/>
  <c r="AB15" i="53"/>
  <c r="N22" i="57"/>
  <c r="N22" i="53"/>
  <c r="AD21" i="57"/>
  <c r="AD21" i="53"/>
  <c r="X20" i="53"/>
  <c r="AF20" i="53" s="1"/>
  <c r="AK21" i="52" a="1"/>
  <c r="AK21" i="52" s="1"/>
  <c r="B23" i="53" s="1"/>
  <c r="O23" i="53" s="1"/>
  <c r="Q21" i="53"/>
  <c r="Q21" i="57"/>
  <c r="L22" i="53"/>
  <c r="P22" i="53"/>
  <c r="H22" i="53"/>
  <c r="F22" i="53"/>
  <c r="D22" i="53"/>
  <c r="G22" i="53"/>
  <c r="C22" i="53"/>
  <c r="J22" i="53"/>
  <c r="I22" i="53"/>
  <c r="E22" i="53"/>
  <c r="K22" i="53"/>
  <c r="K22" i="57"/>
  <c r="I22" i="57"/>
  <c r="H22" i="57"/>
  <c r="G22" i="57"/>
  <c r="E22" i="57"/>
  <c r="P22" i="57"/>
  <c r="D22" i="57"/>
  <c r="C22" i="57"/>
  <c r="M22" i="57" s="1"/>
  <c r="F22" i="57"/>
  <c r="J22" i="57"/>
  <c r="T20" i="57"/>
  <c r="AK21" i="55" a="1"/>
  <c r="AK21" i="55" s="1"/>
  <c r="B23" i="57" s="1"/>
  <c r="AE22" i="57" l="1"/>
  <c r="R22" i="57"/>
  <c r="AE22" i="53"/>
  <c r="R22" i="53"/>
  <c r="AA19" i="57"/>
  <c r="AF19" i="57"/>
  <c r="AB19" i="57"/>
  <c r="O23" i="57"/>
  <c r="AG23" i="57" s="1"/>
  <c r="L23" i="57"/>
  <c r="X20" i="57"/>
  <c r="AJ22" i="57"/>
  <c r="AC22" i="57"/>
  <c r="AP22" i="57"/>
  <c r="AC15" i="53"/>
  <c r="AH15" i="53" s="1"/>
  <c r="AG22" i="53"/>
  <c r="AH22" i="53"/>
  <c r="AT22" i="53"/>
  <c r="AC22" i="53"/>
  <c r="AB20" i="53"/>
  <c r="AA20" i="53"/>
  <c r="N23" i="57"/>
  <c r="N23" i="53"/>
  <c r="AD22" i="57"/>
  <c r="AD22" i="53"/>
  <c r="K23" i="57"/>
  <c r="I23" i="57"/>
  <c r="F23" i="57"/>
  <c r="C23" i="57"/>
  <c r="M23" i="57" s="1"/>
  <c r="P23" i="57"/>
  <c r="H23" i="57"/>
  <c r="D23" i="57"/>
  <c r="E23" i="57"/>
  <c r="G23" i="57"/>
  <c r="J23" i="57"/>
  <c r="T21" i="57"/>
  <c r="Q22" i="53"/>
  <c r="Q22" i="57"/>
  <c r="X21" i="53"/>
  <c r="AF21" i="53" s="1"/>
  <c r="AK22" i="52" a="1"/>
  <c r="AK22" i="52" s="1"/>
  <c r="B24" i="53" s="1"/>
  <c r="O24" i="53" s="1"/>
  <c r="H23" i="53"/>
  <c r="G23" i="53"/>
  <c r="P23" i="53"/>
  <c r="E23" i="53"/>
  <c r="D23" i="53"/>
  <c r="C23" i="53"/>
  <c r="K23" i="53"/>
  <c r="I23" i="53"/>
  <c r="L23" i="53"/>
  <c r="F23" i="53"/>
  <c r="J23" i="53"/>
  <c r="AK22" i="55" a="1"/>
  <c r="AK22" i="55" s="1"/>
  <c r="B24" i="57" s="1"/>
  <c r="L13" i="68"/>
  <c r="L14" i="68"/>
  <c r="L15" i="68"/>
  <c r="L16" i="68"/>
  <c r="L17" i="68"/>
  <c r="L18" i="68"/>
  <c r="L19" i="68"/>
  <c r="L20" i="68"/>
  <c r="L21" i="68"/>
  <c r="L22" i="68"/>
  <c r="L23" i="68"/>
  <c r="L24" i="68"/>
  <c r="L25" i="68"/>
  <c r="L26" i="68"/>
  <c r="L27" i="68"/>
  <c r="L28" i="68"/>
  <c r="L29" i="68"/>
  <c r="L30" i="68"/>
  <c r="L31" i="68"/>
  <c r="L32" i="68"/>
  <c r="L33" i="68"/>
  <c r="L34" i="68"/>
  <c r="L35" i="68"/>
  <c r="L36" i="68"/>
  <c r="L37" i="68"/>
  <c r="L38" i="68"/>
  <c r="L39" i="68"/>
  <c r="L40" i="68"/>
  <c r="L41" i="68"/>
  <c r="L42" i="68"/>
  <c r="L43" i="68"/>
  <c r="L44" i="68"/>
  <c r="L45" i="68"/>
  <c r="L46" i="68"/>
  <c r="L47" i="68"/>
  <c r="L48" i="68"/>
  <c r="L49" i="68"/>
  <c r="L50" i="68"/>
  <c r="L51" i="68"/>
  <c r="L52" i="68"/>
  <c r="L53" i="68"/>
  <c r="L54" i="68"/>
  <c r="L55" i="68"/>
  <c r="L56" i="68"/>
  <c r="L57" i="68"/>
  <c r="L58" i="68"/>
  <c r="L59" i="68"/>
  <c r="L60" i="68"/>
  <c r="L61" i="68"/>
  <c r="L62" i="68"/>
  <c r="L63" i="68"/>
  <c r="L64" i="68"/>
  <c r="L65" i="68"/>
  <c r="L66" i="68"/>
  <c r="L67" i="68"/>
  <c r="L68" i="68"/>
  <c r="L69" i="68"/>
  <c r="L70" i="68"/>
  <c r="L71" i="68"/>
  <c r="L72" i="68"/>
  <c r="L73" i="68"/>
  <c r="L74" i="68"/>
  <c r="L75" i="68"/>
  <c r="L76" i="68"/>
  <c r="L77" i="68"/>
  <c r="L78" i="68"/>
  <c r="L79" i="68"/>
  <c r="L80" i="68"/>
  <c r="L81" i="68"/>
  <c r="L82" i="68"/>
  <c r="L83" i="68"/>
  <c r="L84" i="68"/>
  <c r="L85" i="68"/>
  <c r="L86" i="68"/>
  <c r="L87" i="68"/>
  <c r="L88" i="68"/>
  <c r="L89" i="68"/>
  <c r="L90" i="68"/>
  <c r="L91" i="68"/>
  <c r="L92" i="68"/>
  <c r="L93" i="68"/>
  <c r="L94" i="68"/>
  <c r="L95" i="68"/>
  <c r="L96" i="68"/>
  <c r="L97" i="68"/>
  <c r="L98" i="68"/>
  <c r="L99" i="68"/>
  <c r="L100" i="68"/>
  <c r="L101" i="68"/>
  <c r="L102" i="68"/>
  <c r="L103" i="68"/>
  <c r="L104" i="68"/>
  <c r="L105" i="68"/>
  <c r="L106" i="68"/>
  <c r="L107" i="68"/>
  <c r="L108" i="68"/>
  <c r="L109" i="68"/>
  <c r="L110" i="68"/>
  <c r="L111" i="68"/>
  <c r="L112" i="68"/>
  <c r="L113" i="68"/>
  <c r="L114" i="68"/>
  <c r="L115" i="68"/>
  <c r="L116" i="68"/>
  <c r="L117" i="68"/>
  <c r="L118" i="68"/>
  <c r="L119" i="68"/>
  <c r="L120" i="68"/>
  <c r="L121" i="68"/>
  <c r="L122" i="68"/>
  <c r="L123" i="68"/>
  <c r="L124" i="68"/>
  <c r="L125" i="68"/>
  <c r="L126" i="68"/>
  <c r="L127" i="68"/>
  <c r="L128" i="68"/>
  <c r="L129" i="68"/>
  <c r="L130" i="68"/>
  <c r="L131" i="68"/>
  <c r="L132" i="68"/>
  <c r="L133" i="68"/>
  <c r="L134" i="68"/>
  <c r="L135" i="68"/>
  <c r="L136" i="68"/>
  <c r="L137" i="68"/>
  <c r="L138" i="68"/>
  <c r="L139" i="68"/>
  <c r="L140" i="68"/>
  <c r="L141" i="68"/>
  <c r="L142" i="68"/>
  <c r="L143" i="68"/>
  <c r="L144" i="68"/>
  <c r="L145" i="68"/>
  <c r="L146" i="68"/>
  <c r="L147" i="68"/>
  <c r="L148" i="68"/>
  <c r="L149" i="68"/>
  <c r="L150" i="68"/>
  <c r="L151" i="68"/>
  <c r="L152" i="68"/>
  <c r="L153" i="68"/>
  <c r="L154" i="68"/>
  <c r="L155" i="68"/>
  <c r="L156" i="68"/>
  <c r="L157" i="68"/>
  <c r="L158" i="68"/>
  <c r="L159" i="68"/>
  <c r="L160" i="68"/>
  <c r="L161" i="68"/>
  <c r="T161" i="68" s="1"/>
  <c r="L162" i="68"/>
  <c r="T162" i="68" s="1"/>
  <c r="L163" i="68"/>
  <c r="T163" i="68" s="1"/>
  <c r="L164" i="68"/>
  <c r="T164" i="68" s="1"/>
  <c r="L165" i="68"/>
  <c r="T165" i="68" s="1"/>
  <c r="L166" i="68"/>
  <c r="T166" i="68" s="1"/>
  <c r="L167" i="68"/>
  <c r="T167" i="68" s="1"/>
  <c r="L168" i="68"/>
  <c r="T168" i="68" s="1"/>
  <c r="L169" i="68"/>
  <c r="T169" i="68" s="1"/>
  <c r="L170" i="68"/>
  <c r="T170" i="68" s="1"/>
  <c r="L171" i="68"/>
  <c r="T171" i="68" s="1"/>
  <c r="L172" i="68"/>
  <c r="T172" i="68" s="1"/>
  <c r="L173" i="68"/>
  <c r="T173" i="68" s="1"/>
  <c r="L174" i="68"/>
  <c r="T174" i="68" s="1"/>
  <c r="L175" i="68"/>
  <c r="T175" i="68" s="1"/>
  <c r="L176" i="68"/>
  <c r="T176" i="68" s="1"/>
  <c r="L177" i="68"/>
  <c r="T177" i="68" s="1"/>
  <c r="L178" i="68"/>
  <c r="T178" i="68" s="1"/>
  <c r="L179" i="68"/>
  <c r="T179" i="68" s="1"/>
  <c r="L180" i="68"/>
  <c r="T180" i="68" s="1"/>
  <c r="L181" i="68"/>
  <c r="T181" i="68" s="1"/>
  <c r="L182" i="68"/>
  <c r="T182" i="68" s="1"/>
  <c r="L183" i="68"/>
  <c r="T183" i="68" s="1"/>
  <c r="L184" i="68"/>
  <c r="T184" i="68" s="1"/>
  <c r="L185" i="68"/>
  <c r="T185" i="68" s="1"/>
  <c r="L186" i="68"/>
  <c r="T186" i="68" s="1"/>
  <c r="L187" i="68"/>
  <c r="T187" i="68" s="1"/>
  <c r="L188" i="68"/>
  <c r="T188" i="68" s="1"/>
  <c r="L189" i="68"/>
  <c r="T189" i="68" s="1"/>
  <c r="L190" i="68"/>
  <c r="T190" i="68" s="1"/>
  <c r="L191" i="68"/>
  <c r="T191" i="68" s="1"/>
  <c r="L192" i="68"/>
  <c r="T192" i="68" s="1"/>
  <c r="L193" i="68"/>
  <c r="T193" i="68" s="1"/>
  <c r="L194" i="68"/>
  <c r="T194" i="68" s="1"/>
  <c r="L195" i="68"/>
  <c r="T195" i="68" s="1"/>
  <c r="L196" i="68"/>
  <c r="T196" i="68" s="1"/>
  <c r="L197" i="68"/>
  <c r="T197" i="68" s="1"/>
  <c r="L198" i="68"/>
  <c r="T198" i="68" s="1"/>
  <c r="L199" i="68"/>
  <c r="T199" i="68" s="1"/>
  <c r="L200" i="68"/>
  <c r="T200" i="68" s="1"/>
  <c r="L201" i="68"/>
  <c r="T201" i="68" s="1"/>
  <c r="L202" i="68"/>
  <c r="T202" i="68" s="1"/>
  <c r="L203" i="68"/>
  <c r="T203" i="68" s="1"/>
  <c r="L204" i="68"/>
  <c r="T204" i="68" s="1"/>
  <c r="L205" i="68"/>
  <c r="T205" i="68" s="1"/>
  <c r="L206" i="68"/>
  <c r="T206" i="68" s="1"/>
  <c r="L207" i="68"/>
  <c r="T207" i="68" s="1"/>
  <c r="L208" i="68"/>
  <c r="T208" i="68" s="1"/>
  <c r="L209" i="68"/>
  <c r="T209" i="68" s="1"/>
  <c r="L210" i="68"/>
  <c r="T210" i="68" s="1"/>
  <c r="L211" i="68"/>
  <c r="T211" i="68" s="1"/>
  <c r="L212" i="68"/>
  <c r="T212" i="68" s="1"/>
  <c r="L213" i="68"/>
  <c r="T213" i="68" s="1"/>
  <c r="L214" i="68"/>
  <c r="T214" i="68" s="1"/>
  <c r="L215" i="68"/>
  <c r="T215" i="68" s="1"/>
  <c r="L216" i="68"/>
  <c r="T216" i="68" s="1"/>
  <c r="L217" i="68"/>
  <c r="T217" i="68" s="1"/>
  <c r="L218" i="68"/>
  <c r="T218" i="68" s="1"/>
  <c r="L219" i="68"/>
  <c r="T219" i="68" s="1"/>
  <c r="L220" i="68"/>
  <c r="T220" i="68" s="1"/>
  <c r="L221" i="68"/>
  <c r="T221" i="68" s="1"/>
  <c r="L222" i="68"/>
  <c r="T222" i="68" s="1"/>
  <c r="L223" i="68"/>
  <c r="T223" i="68" s="1"/>
  <c r="L224" i="68"/>
  <c r="T224" i="68" s="1"/>
  <c r="L225" i="68"/>
  <c r="T225" i="68" s="1"/>
  <c r="L226" i="68"/>
  <c r="T226" i="68" s="1"/>
  <c r="L227" i="68"/>
  <c r="T227" i="68" s="1"/>
  <c r="L228" i="68"/>
  <c r="T228" i="68" s="1"/>
  <c r="L229" i="68"/>
  <c r="T229" i="68" s="1"/>
  <c r="L230" i="68"/>
  <c r="T230" i="68" s="1"/>
  <c r="L231" i="68"/>
  <c r="T231" i="68" s="1"/>
  <c r="L232" i="68"/>
  <c r="T232" i="68" s="1"/>
  <c r="L233" i="68"/>
  <c r="T233" i="68" s="1"/>
  <c r="L234" i="68"/>
  <c r="T234" i="68" s="1"/>
  <c r="L235" i="68"/>
  <c r="T235" i="68" s="1"/>
  <c r="L236" i="68"/>
  <c r="T236" i="68" s="1"/>
  <c r="L237" i="68"/>
  <c r="T237" i="68" s="1"/>
  <c r="L238" i="68"/>
  <c r="T238" i="68" s="1"/>
  <c r="L239" i="68"/>
  <c r="T239" i="68" s="1"/>
  <c r="L240" i="68"/>
  <c r="T240" i="68" s="1"/>
  <c r="L241" i="68"/>
  <c r="T241" i="68" s="1"/>
  <c r="L242" i="68"/>
  <c r="T242" i="68" s="1"/>
  <c r="L243" i="68"/>
  <c r="T243" i="68" s="1"/>
  <c r="L244" i="68"/>
  <c r="T244" i="68" s="1"/>
  <c r="L245" i="68"/>
  <c r="T245" i="68" s="1"/>
  <c r="L246" i="68"/>
  <c r="T246" i="68" s="1"/>
  <c r="L247" i="68"/>
  <c r="T247" i="68" s="1"/>
  <c r="L248" i="68"/>
  <c r="T248" i="68" s="1"/>
  <c r="L249" i="68"/>
  <c r="T249" i="68" s="1"/>
  <c r="L250" i="68"/>
  <c r="T250" i="68" s="1"/>
  <c r="L251" i="68"/>
  <c r="T251" i="68" s="1"/>
  <c r="L252" i="68"/>
  <c r="T252" i="68" s="1"/>
  <c r="L253" i="68"/>
  <c r="T253" i="68" s="1"/>
  <c r="L254" i="68"/>
  <c r="T254" i="68" s="1"/>
  <c r="L255" i="68"/>
  <c r="T255" i="68" s="1"/>
  <c r="L256" i="68"/>
  <c r="T256" i="68" s="1"/>
  <c r="L257" i="68"/>
  <c r="T257" i="68" s="1"/>
  <c r="L258" i="68"/>
  <c r="T258" i="68" s="1"/>
  <c r="L259" i="68"/>
  <c r="T259" i="68" s="1"/>
  <c r="AE23" i="57" l="1"/>
  <c r="R23" i="57"/>
  <c r="AE23" i="53"/>
  <c r="R23" i="53"/>
  <c r="AB20" i="57"/>
  <c r="AF20" i="57"/>
  <c r="O248" i="68"/>
  <c r="P248" i="68" s="1"/>
  <c r="Q248" i="68" s="1"/>
  <c r="O240" i="68"/>
  <c r="P240" i="68" s="1"/>
  <c r="Q240" i="68" s="1"/>
  <c r="O232" i="68"/>
  <c r="P232" i="68" s="1"/>
  <c r="Q232" i="68" s="1"/>
  <c r="O224" i="68"/>
  <c r="P224" i="68" s="1"/>
  <c r="Q224" i="68" s="1"/>
  <c r="O216" i="68"/>
  <c r="P216" i="68" s="1"/>
  <c r="Q216" i="68" s="1"/>
  <c r="O208" i="68"/>
  <c r="P208" i="68" s="1"/>
  <c r="Q208" i="68" s="1"/>
  <c r="O200" i="68"/>
  <c r="P200" i="68" s="1"/>
  <c r="Q200" i="68" s="1"/>
  <c r="O192" i="68"/>
  <c r="P192" i="68" s="1"/>
  <c r="Q192" i="68" s="1"/>
  <c r="O184" i="68"/>
  <c r="P184" i="68" s="1"/>
  <c r="Q184" i="68" s="1"/>
  <c r="O176" i="68"/>
  <c r="P176" i="68" s="1"/>
  <c r="Q176" i="68" s="1"/>
  <c r="O168" i="68"/>
  <c r="P168" i="68" s="1"/>
  <c r="Q168" i="68" s="1"/>
  <c r="O160" i="68"/>
  <c r="P160" i="68" s="1"/>
  <c r="Q160" i="68" s="1"/>
  <c r="T160" i="68"/>
  <c r="O152" i="68"/>
  <c r="P152" i="68" s="1"/>
  <c r="Q152" i="68" s="1"/>
  <c r="T152" i="68"/>
  <c r="O144" i="68"/>
  <c r="P144" i="68" s="1"/>
  <c r="Q144" i="68" s="1"/>
  <c r="T144" i="68"/>
  <c r="O136" i="68"/>
  <c r="P136" i="68" s="1"/>
  <c r="Q136" i="68" s="1"/>
  <c r="T136" i="68"/>
  <c r="O128" i="68"/>
  <c r="P128" i="68" s="1"/>
  <c r="Q128" i="68" s="1"/>
  <c r="T128" i="68"/>
  <c r="O120" i="68"/>
  <c r="P120" i="68" s="1"/>
  <c r="Q120" i="68" s="1"/>
  <c r="T120" i="68"/>
  <c r="O112" i="68"/>
  <c r="P112" i="68" s="1"/>
  <c r="Q112" i="68" s="1"/>
  <c r="T112" i="68"/>
  <c r="O104" i="68"/>
  <c r="P104" i="68" s="1"/>
  <c r="Q104" i="68" s="1"/>
  <c r="T104" i="68"/>
  <c r="O96" i="68"/>
  <c r="P96" i="68" s="1"/>
  <c r="Q96" i="68" s="1"/>
  <c r="T96" i="68"/>
  <c r="O88" i="68"/>
  <c r="P88" i="68" s="1"/>
  <c r="Q88" i="68" s="1"/>
  <c r="T88" i="68"/>
  <c r="O80" i="68"/>
  <c r="P80" i="68" s="1"/>
  <c r="Q80" i="68" s="1"/>
  <c r="T80" i="68"/>
  <c r="O72" i="68"/>
  <c r="P72" i="68" s="1"/>
  <c r="Q72" i="68" s="1"/>
  <c r="T72" i="68"/>
  <c r="O64" i="68"/>
  <c r="P64" i="68" s="1"/>
  <c r="Q64" i="68" s="1"/>
  <c r="T64" i="68"/>
  <c r="O56" i="68"/>
  <c r="P56" i="68" s="1"/>
  <c r="Q56" i="68" s="1"/>
  <c r="T56" i="68"/>
  <c r="O48" i="68"/>
  <c r="P48" i="68" s="1"/>
  <c r="Q48" i="68" s="1"/>
  <c r="T48" i="68"/>
  <c r="O40" i="68"/>
  <c r="P40" i="68" s="1"/>
  <c r="Q40" i="68" s="1"/>
  <c r="T40" i="68"/>
  <c r="O32" i="68"/>
  <c r="P32" i="68" s="1"/>
  <c r="Q32" i="68" s="1"/>
  <c r="T32" i="68"/>
  <c r="O24" i="68"/>
  <c r="P24" i="68" s="1"/>
  <c r="Q24" i="68" s="1"/>
  <c r="T24" i="68"/>
  <c r="O256" i="68"/>
  <c r="P256" i="68" s="1"/>
  <c r="Q256" i="68" s="1"/>
  <c r="O255" i="68"/>
  <c r="P255" i="68" s="1"/>
  <c r="Q255" i="68" s="1"/>
  <c r="O247" i="68"/>
  <c r="P247" i="68" s="1"/>
  <c r="Q247" i="68" s="1"/>
  <c r="O239" i="68"/>
  <c r="P239" i="68" s="1"/>
  <c r="Q239" i="68" s="1"/>
  <c r="O231" i="68"/>
  <c r="P231" i="68" s="1"/>
  <c r="Q231" i="68" s="1"/>
  <c r="O223" i="68"/>
  <c r="P223" i="68" s="1"/>
  <c r="Q223" i="68" s="1"/>
  <c r="O215" i="68"/>
  <c r="P215" i="68" s="1"/>
  <c r="Q215" i="68" s="1"/>
  <c r="O207" i="68"/>
  <c r="P207" i="68" s="1"/>
  <c r="Q207" i="68" s="1"/>
  <c r="O199" i="68"/>
  <c r="P199" i="68" s="1"/>
  <c r="Q199" i="68" s="1"/>
  <c r="O191" i="68"/>
  <c r="P191" i="68" s="1"/>
  <c r="Q191" i="68" s="1"/>
  <c r="O183" i="68"/>
  <c r="P183" i="68" s="1"/>
  <c r="Q183" i="68" s="1"/>
  <c r="O175" i="68"/>
  <c r="P175" i="68" s="1"/>
  <c r="Q175" i="68" s="1"/>
  <c r="O167" i="68"/>
  <c r="P167" i="68" s="1"/>
  <c r="Q167" i="68" s="1"/>
  <c r="O159" i="68"/>
  <c r="P159" i="68" s="1"/>
  <c r="Q159" i="68" s="1"/>
  <c r="T159" i="68"/>
  <c r="O151" i="68"/>
  <c r="P151" i="68" s="1"/>
  <c r="Q151" i="68" s="1"/>
  <c r="T151" i="68"/>
  <c r="O143" i="68"/>
  <c r="P143" i="68" s="1"/>
  <c r="Q143" i="68" s="1"/>
  <c r="T143" i="68"/>
  <c r="O135" i="68"/>
  <c r="P135" i="68" s="1"/>
  <c r="Q135" i="68" s="1"/>
  <c r="T135" i="68"/>
  <c r="O127" i="68"/>
  <c r="P127" i="68" s="1"/>
  <c r="Q127" i="68" s="1"/>
  <c r="T127" i="68"/>
  <c r="O119" i="68"/>
  <c r="P119" i="68" s="1"/>
  <c r="Q119" i="68" s="1"/>
  <c r="T119" i="68"/>
  <c r="O111" i="68"/>
  <c r="P111" i="68" s="1"/>
  <c r="Q111" i="68" s="1"/>
  <c r="T111" i="68"/>
  <c r="O103" i="68"/>
  <c r="P103" i="68" s="1"/>
  <c r="Q103" i="68" s="1"/>
  <c r="T103" i="68"/>
  <c r="O95" i="68"/>
  <c r="P95" i="68" s="1"/>
  <c r="Q95" i="68" s="1"/>
  <c r="T95" i="68"/>
  <c r="O87" i="68"/>
  <c r="P87" i="68" s="1"/>
  <c r="Q87" i="68" s="1"/>
  <c r="T87" i="68"/>
  <c r="O79" i="68"/>
  <c r="P79" i="68" s="1"/>
  <c r="Q79" i="68" s="1"/>
  <c r="T79" i="68"/>
  <c r="O71" i="68"/>
  <c r="P71" i="68" s="1"/>
  <c r="Q71" i="68" s="1"/>
  <c r="T71" i="68"/>
  <c r="O63" i="68"/>
  <c r="P63" i="68" s="1"/>
  <c r="Q63" i="68" s="1"/>
  <c r="T63" i="68"/>
  <c r="O55" i="68"/>
  <c r="P55" i="68" s="1"/>
  <c r="Q55" i="68" s="1"/>
  <c r="T55" i="68"/>
  <c r="O47" i="68"/>
  <c r="P47" i="68" s="1"/>
  <c r="Q47" i="68" s="1"/>
  <c r="T47" i="68"/>
  <c r="O39" i="68"/>
  <c r="P39" i="68" s="1"/>
  <c r="Q39" i="68" s="1"/>
  <c r="T39" i="68"/>
  <c r="O31" i="68"/>
  <c r="P31" i="68" s="1"/>
  <c r="Q31" i="68" s="1"/>
  <c r="T31" i="68"/>
  <c r="O23" i="68"/>
  <c r="P23" i="68" s="1"/>
  <c r="Q23" i="68" s="1"/>
  <c r="T23" i="68"/>
  <c r="O254" i="68"/>
  <c r="P254" i="68" s="1"/>
  <c r="Q254" i="68" s="1"/>
  <c r="O246" i="68"/>
  <c r="P246" i="68" s="1"/>
  <c r="Q246" i="68" s="1"/>
  <c r="O238" i="68"/>
  <c r="P238" i="68" s="1"/>
  <c r="Q238" i="68" s="1"/>
  <c r="O230" i="68"/>
  <c r="P230" i="68" s="1"/>
  <c r="Q230" i="68" s="1"/>
  <c r="O222" i="68"/>
  <c r="P222" i="68" s="1"/>
  <c r="Q222" i="68" s="1"/>
  <c r="O214" i="68"/>
  <c r="P214" i="68" s="1"/>
  <c r="Q214" i="68" s="1"/>
  <c r="O206" i="68"/>
  <c r="P206" i="68" s="1"/>
  <c r="Q206" i="68" s="1"/>
  <c r="O198" i="68"/>
  <c r="P198" i="68" s="1"/>
  <c r="Q198" i="68" s="1"/>
  <c r="O190" i="68"/>
  <c r="P190" i="68" s="1"/>
  <c r="Q190" i="68" s="1"/>
  <c r="O182" i="68"/>
  <c r="P182" i="68" s="1"/>
  <c r="Q182" i="68" s="1"/>
  <c r="O174" i="68"/>
  <c r="P174" i="68" s="1"/>
  <c r="Q174" i="68" s="1"/>
  <c r="O166" i="68"/>
  <c r="P166" i="68" s="1"/>
  <c r="Q166" i="68" s="1"/>
  <c r="O158" i="68"/>
  <c r="P158" i="68" s="1"/>
  <c r="Q158" i="68" s="1"/>
  <c r="T158" i="68"/>
  <c r="O150" i="68"/>
  <c r="P150" i="68" s="1"/>
  <c r="Q150" i="68" s="1"/>
  <c r="T150" i="68"/>
  <c r="O142" i="68"/>
  <c r="P142" i="68" s="1"/>
  <c r="Q142" i="68" s="1"/>
  <c r="T142" i="68"/>
  <c r="O134" i="68"/>
  <c r="P134" i="68" s="1"/>
  <c r="Q134" i="68" s="1"/>
  <c r="T134" i="68"/>
  <c r="O126" i="68"/>
  <c r="P126" i="68" s="1"/>
  <c r="Q126" i="68" s="1"/>
  <c r="T126" i="68"/>
  <c r="O118" i="68"/>
  <c r="P118" i="68" s="1"/>
  <c r="Q118" i="68" s="1"/>
  <c r="T118" i="68"/>
  <c r="O110" i="68"/>
  <c r="P110" i="68" s="1"/>
  <c r="Q110" i="68" s="1"/>
  <c r="T110" i="68"/>
  <c r="O102" i="68"/>
  <c r="P102" i="68" s="1"/>
  <c r="Q102" i="68" s="1"/>
  <c r="T102" i="68"/>
  <c r="O94" i="68"/>
  <c r="P94" i="68" s="1"/>
  <c r="Q94" i="68" s="1"/>
  <c r="T94" i="68"/>
  <c r="O86" i="68"/>
  <c r="P86" i="68" s="1"/>
  <c r="Q86" i="68" s="1"/>
  <c r="T86" i="68"/>
  <c r="O78" i="68"/>
  <c r="P78" i="68" s="1"/>
  <c r="Q78" i="68" s="1"/>
  <c r="T78" i="68"/>
  <c r="O70" i="68"/>
  <c r="P70" i="68" s="1"/>
  <c r="Q70" i="68" s="1"/>
  <c r="T70" i="68"/>
  <c r="O62" i="68"/>
  <c r="P62" i="68" s="1"/>
  <c r="Q62" i="68" s="1"/>
  <c r="T62" i="68"/>
  <c r="O54" i="68"/>
  <c r="P54" i="68" s="1"/>
  <c r="Q54" i="68" s="1"/>
  <c r="T54" i="68"/>
  <c r="O46" i="68"/>
  <c r="P46" i="68" s="1"/>
  <c r="Q46" i="68" s="1"/>
  <c r="T46" i="68"/>
  <c r="O38" i="68"/>
  <c r="P38" i="68" s="1"/>
  <c r="Q38" i="68" s="1"/>
  <c r="T38" i="68"/>
  <c r="O30" i="68"/>
  <c r="P30" i="68" s="1"/>
  <c r="Q30" i="68" s="1"/>
  <c r="T30" i="68"/>
  <c r="O22" i="68"/>
  <c r="P22" i="68" s="1"/>
  <c r="Q22" i="68" s="1"/>
  <c r="T22" i="68"/>
  <c r="O253" i="68"/>
  <c r="P253" i="68" s="1"/>
  <c r="Q253" i="68" s="1"/>
  <c r="O245" i="68"/>
  <c r="P245" i="68" s="1"/>
  <c r="Q245" i="68" s="1"/>
  <c r="O237" i="68"/>
  <c r="P237" i="68" s="1"/>
  <c r="Q237" i="68" s="1"/>
  <c r="O229" i="68"/>
  <c r="P229" i="68" s="1"/>
  <c r="Q229" i="68" s="1"/>
  <c r="O221" i="68"/>
  <c r="P221" i="68" s="1"/>
  <c r="Q221" i="68" s="1"/>
  <c r="O213" i="68"/>
  <c r="P213" i="68" s="1"/>
  <c r="Q213" i="68" s="1"/>
  <c r="O205" i="68"/>
  <c r="P205" i="68" s="1"/>
  <c r="Q205" i="68" s="1"/>
  <c r="O197" i="68"/>
  <c r="P197" i="68" s="1"/>
  <c r="Q197" i="68" s="1"/>
  <c r="O189" i="68"/>
  <c r="P189" i="68" s="1"/>
  <c r="Q189" i="68" s="1"/>
  <c r="O181" i="68"/>
  <c r="P181" i="68" s="1"/>
  <c r="Q181" i="68" s="1"/>
  <c r="O173" i="68"/>
  <c r="P173" i="68" s="1"/>
  <c r="Q173" i="68" s="1"/>
  <c r="O165" i="68"/>
  <c r="P165" i="68" s="1"/>
  <c r="Q165" i="68" s="1"/>
  <c r="O157" i="68"/>
  <c r="P157" i="68" s="1"/>
  <c r="Q157" i="68" s="1"/>
  <c r="T157" i="68"/>
  <c r="O149" i="68"/>
  <c r="P149" i="68" s="1"/>
  <c r="Q149" i="68" s="1"/>
  <c r="T149" i="68"/>
  <c r="T141" i="68"/>
  <c r="O141" i="68"/>
  <c r="P141" i="68" s="1"/>
  <c r="Q141" i="68" s="1"/>
  <c r="O133" i="68"/>
  <c r="P133" i="68" s="1"/>
  <c r="Q133" i="68" s="1"/>
  <c r="T133" i="68"/>
  <c r="O125" i="68"/>
  <c r="P125" i="68" s="1"/>
  <c r="Q125" i="68" s="1"/>
  <c r="T125" i="68"/>
  <c r="T117" i="68"/>
  <c r="O117" i="68"/>
  <c r="P117" i="68" s="1"/>
  <c r="Q117" i="68" s="1"/>
  <c r="O109" i="68"/>
  <c r="P109" i="68" s="1"/>
  <c r="Q109" i="68" s="1"/>
  <c r="T109" i="68"/>
  <c r="O101" i="68"/>
  <c r="P101" i="68" s="1"/>
  <c r="Q101" i="68" s="1"/>
  <c r="T101" i="68"/>
  <c r="O93" i="68"/>
  <c r="P93" i="68" s="1"/>
  <c r="Q93" i="68" s="1"/>
  <c r="T93" i="68"/>
  <c r="O85" i="68"/>
  <c r="P85" i="68" s="1"/>
  <c r="Q85" i="68" s="1"/>
  <c r="T85" i="68"/>
  <c r="T77" i="68"/>
  <c r="O77" i="68"/>
  <c r="P77" i="68" s="1"/>
  <c r="Q77" i="68" s="1"/>
  <c r="O69" i="68"/>
  <c r="P69" i="68" s="1"/>
  <c r="Q69" i="68" s="1"/>
  <c r="T69" i="68"/>
  <c r="O61" i="68"/>
  <c r="P61" i="68" s="1"/>
  <c r="Q61" i="68" s="1"/>
  <c r="T61" i="68"/>
  <c r="T53" i="68"/>
  <c r="O53" i="68"/>
  <c r="P53" i="68" s="1"/>
  <c r="Q53" i="68" s="1"/>
  <c r="O45" i="68"/>
  <c r="P45" i="68" s="1"/>
  <c r="Q45" i="68" s="1"/>
  <c r="T45" i="68"/>
  <c r="O37" i="68"/>
  <c r="P37" i="68" s="1"/>
  <c r="Q37" i="68" s="1"/>
  <c r="T37" i="68"/>
  <c r="O29" i="68"/>
  <c r="P29" i="68" s="1"/>
  <c r="Q29" i="68" s="1"/>
  <c r="T29" i="68"/>
  <c r="O21" i="68"/>
  <c r="P21" i="68" s="1"/>
  <c r="Q21" i="68" s="1"/>
  <c r="T21" i="68"/>
  <c r="O244" i="68"/>
  <c r="P244" i="68" s="1"/>
  <c r="Q244" i="68" s="1"/>
  <c r="O236" i="68"/>
  <c r="P236" i="68" s="1"/>
  <c r="Q236" i="68" s="1"/>
  <c r="O228" i="68"/>
  <c r="P228" i="68" s="1"/>
  <c r="Q228" i="68" s="1"/>
  <c r="O220" i="68"/>
  <c r="P220" i="68" s="1"/>
  <c r="Q220" i="68" s="1"/>
  <c r="O212" i="68"/>
  <c r="P212" i="68" s="1"/>
  <c r="Q212" i="68" s="1"/>
  <c r="O204" i="68"/>
  <c r="P204" i="68" s="1"/>
  <c r="Q204" i="68" s="1"/>
  <c r="O196" i="68"/>
  <c r="P196" i="68" s="1"/>
  <c r="Q196" i="68" s="1"/>
  <c r="O188" i="68"/>
  <c r="P188" i="68" s="1"/>
  <c r="Q188" i="68" s="1"/>
  <c r="O180" i="68"/>
  <c r="P180" i="68" s="1"/>
  <c r="Q180" i="68" s="1"/>
  <c r="O172" i="68"/>
  <c r="P172" i="68" s="1"/>
  <c r="Q172" i="68" s="1"/>
  <c r="O164" i="68"/>
  <c r="P164" i="68" s="1"/>
  <c r="Q164" i="68" s="1"/>
  <c r="O156" i="68"/>
  <c r="P156" i="68" s="1"/>
  <c r="Q156" i="68" s="1"/>
  <c r="T156" i="68"/>
  <c r="O148" i="68"/>
  <c r="P148" i="68" s="1"/>
  <c r="Q148" i="68" s="1"/>
  <c r="T148" i="68"/>
  <c r="O140" i="68"/>
  <c r="P140" i="68" s="1"/>
  <c r="Q140" i="68" s="1"/>
  <c r="T140" i="68"/>
  <c r="O132" i="68"/>
  <c r="P132" i="68" s="1"/>
  <c r="Q132" i="68" s="1"/>
  <c r="T132" i="68"/>
  <c r="O124" i="68"/>
  <c r="P124" i="68" s="1"/>
  <c r="Q124" i="68" s="1"/>
  <c r="T124" i="68"/>
  <c r="O116" i="68"/>
  <c r="P116" i="68" s="1"/>
  <c r="Q116" i="68" s="1"/>
  <c r="T116" i="68"/>
  <c r="O108" i="68"/>
  <c r="P108" i="68" s="1"/>
  <c r="Q108" i="68" s="1"/>
  <c r="T108" i="68"/>
  <c r="O100" i="68"/>
  <c r="P100" i="68" s="1"/>
  <c r="Q100" i="68" s="1"/>
  <c r="T100" i="68"/>
  <c r="O92" i="68"/>
  <c r="P92" i="68" s="1"/>
  <c r="Q92" i="68" s="1"/>
  <c r="T92" i="68"/>
  <c r="O84" i="68"/>
  <c r="P84" i="68" s="1"/>
  <c r="Q84" i="68" s="1"/>
  <c r="T84" i="68"/>
  <c r="O76" i="68"/>
  <c r="P76" i="68" s="1"/>
  <c r="Q76" i="68" s="1"/>
  <c r="T76" i="68"/>
  <c r="O68" i="68"/>
  <c r="P68" i="68" s="1"/>
  <c r="Q68" i="68" s="1"/>
  <c r="T68" i="68"/>
  <c r="O60" i="68"/>
  <c r="P60" i="68" s="1"/>
  <c r="Q60" i="68" s="1"/>
  <c r="T60" i="68"/>
  <c r="O52" i="68"/>
  <c r="P52" i="68" s="1"/>
  <c r="Q52" i="68" s="1"/>
  <c r="T52" i="68"/>
  <c r="O44" i="68"/>
  <c r="P44" i="68" s="1"/>
  <c r="Q44" i="68" s="1"/>
  <c r="T44" i="68"/>
  <c r="O36" i="68"/>
  <c r="P36" i="68" s="1"/>
  <c r="Q36" i="68" s="1"/>
  <c r="T36" i="68"/>
  <c r="O28" i="68"/>
  <c r="P28" i="68" s="1"/>
  <c r="Q28" i="68" s="1"/>
  <c r="T28" i="68"/>
  <c r="O20" i="68"/>
  <c r="P20" i="68" s="1"/>
  <c r="Q20" i="68" s="1"/>
  <c r="T20" i="68"/>
  <c r="O252" i="68"/>
  <c r="P252" i="68" s="1"/>
  <c r="Q252" i="68" s="1"/>
  <c r="O259" i="68"/>
  <c r="P259" i="68" s="1"/>
  <c r="Q259" i="68" s="1"/>
  <c r="O251" i="68"/>
  <c r="P251" i="68" s="1"/>
  <c r="Q251" i="68" s="1"/>
  <c r="O243" i="68"/>
  <c r="P243" i="68" s="1"/>
  <c r="Q243" i="68" s="1"/>
  <c r="O235" i="68"/>
  <c r="P235" i="68" s="1"/>
  <c r="Q235" i="68" s="1"/>
  <c r="O227" i="68"/>
  <c r="P227" i="68" s="1"/>
  <c r="Q227" i="68" s="1"/>
  <c r="O219" i="68"/>
  <c r="P219" i="68" s="1"/>
  <c r="Q219" i="68" s="1"/>
  <c r="O211" i="68"/>
  <c r="P211" i="68" s="1"/>
  <c r="Q211" i="68" s="1"/>
  <c r="O203" i="68"/>
  <c r="P203" i="68" s="1"/>
  <c r="Q203" i="68" s="1"/>
  <c r="O195" i="68"/>
  <c r="P195" i="68" s="1"/>
  <c r="Q195" i="68" s="1"/>
  <c r="O187" i="68"/>
  <c r="P187" i="68" s="1"/>
  <c r="Q187" i="68" s="1"/>
  <c r="O179" i="68"/>
  <c r="P179" i="68" s="1"/>
  <c r="Q179" i="68" s="1"/>
  <c r="O171" i="68"/>
  <c r="P171" i="68" s="1"/>
  <c r="Q171" i="68" s="1"/>
  <c r="O163" i="68"/>
  <c r="P163" i="68" s="1"/>
  <c r="Q163" i="68" s="1"/>
  <c r="O155" i="68"/>
  <c r="P155" i="68" s="1"/>
  <c r="Q155" i="68" s="1"/>
  <c r="T155" i="68"/>
  <c r="O147" i="68"/>
  <c r="P147" i="68" s="1"/>
  <c r="Q147" i="68" s="1"/>
  <c r="T147" i="68"/>
  <c r="O139" i="68"/>
  <c r="P139" i="68" s="1"/>
  <c r="Q139" i="68" s="1"/>
  <c r="T139" i="68"/>
  <c r="O131" i="68"/>
  <c r="P131" i="68" s="1"/>
  <c r="Q131" i="68" s="1"/>
  <c r="T131" i="68"/>
  <c r="O123" i="68"/>
  <c r="P123" i="68" s="1"/>
  <c r="Q123" i="68" s="1"/>
  <c r="T123" i="68"/>
  <c r="O115" i="68"/>
  <c r="P115" i="68" s="1"/>
  <c r="Q115" i="68" s="1"/>
  <c r="T115" i="68"/>
  <c r="O107" i="68"/>
  <c r="P107" i="68" s="1"/>
  <c r="Q107" i="68" s="1"/>
  <c r="T107" i="68"/>
  <c r="O99" i="68"/>
  <c r="P99" i="68" s="1"/>
  <c r="Q99" i="68" s="1"/>
  <c r="T99" i="68"/>
  <c r="O91" i="68"/>
  <c r="P91" i="68" s="1"/>
  <c r="Q91" i="68" s="1"/>
  <c r="T91" i="68"/>
  <c r="O83" i="68"/>
  <c r="P83" i="68" s="1"/>
  <c r="Q83" i="68" s="1"/>
  <c r="T83" i="68"/>
  <c r="O75" i="68"/>
  <c r="P75" i="68" s="1"/>
  <c r="Q75" i="68" s="1"/>
  <c r="T75" i="68"/>
  <c r="O67" i="68"/>
  <c r="P67" i="68" s="1"/>
  <c r="Q67" i="68" s="1"/>
  <c r="T67" i="68"/>
  <c r="O59" i="68"/>
  <c r="P59" i="68" s="1"/>
  <c r="Q59" i="68" s="1"/>
  <c r="T59" i="68"/>
  <c r="O51" i="68"/>
  <c r="P51" i="68" s="1"/>
  <c r="Q51" i="68" s="1"/>
  <c r="T51" i="68"/>
  <c r="O43" i="68"/>
  <c r="P43" i="68" s="1"/>
  <c r="Q43" i="68" s="1"/>
  <c r="T43" i="68"/>
  <c r="O35" i="68"/>
  <c r="P35" i="68" s="1"/>
  <c r="Q35" i="68" s="1"/>
  <c r="T35" i="68"/>
  <c r="O27" i="68"/>
  <c r="P27" i="68" s="1"/>
  <c r="Q27" i="68" s="1"/>
  <c r="T27" i="68"/>
  <c r="O19" i="68"/>
  <c r="P19" i="68" s="1"/>
  <c r="Q19" i="68" s="1"/>
  <c r="T19" i="68"/>
  <c r="O258" i="68"/>
  <c r="P258" i="68" s="1"/>
  <c r="Q258" i="68" s="1"/>
  <c r="O250" i="68"/>
  <c r="P250" i="68" s="1"/>
  <c r="Q250" i="68" s="1"/>
  <c r="O242" i="68"/>
  <c r="P242" i="68" s="1"/>
  <c r="Q242" i="68" s="1"/>
  <c r="O234" i="68"/>
  <c r="P234" i="68" s="1"/>
  <c r="Q234" i="68" s="1"/>
  <c r="O226" i="68"/>
  <c r="P226" i="68" s="1"/>
  <c r="Q226" i="68" s="1"/>
  <c r="O218" i="68"/>
  <c r="P218" i="68" s="1"/>
  <c r="Q218" i="68" s="1"/>
  <c r="O210" i="68"/>
  <c r="P210" i="68" s="1"/>
  <c r="Q210" i="68" s="1"/>
  <c r="O202" i="68"/>
  <c r="P202" i="68" s="1"/>
  <c r="Q202" i="68" s="1"/>
  <c r="O194" i="68"/>
  <c r="P194" i="68" s="1"/>
  <c r="Q194" i="68" s="1"/>
  <c r="O186" i="68"/>
  <c r="P186" i="68" s="1"/>
  <c r="Q186" i="68" s="1"/>
  <c r="O178" i="68"/>
  <c r="P178" i="68" s="1"/>
  <c r="Q178" i="68" s="1"/>
  <c r="O170" i="68"/>
  <c r="P170" i="68" s="1"/>
  <c r="Q170" i="68" s="1"/>
  <c r="O162" i="68"/>
  <c r="P162" i="68" s="1"/>
  <c r="Q162" i="68" s="1"/>
  <c r="O154" i="68"/>
  <c r="P154" i="68" s="1"/>
  <c r="Q154" i="68" s="1"/>
  <c r="T154" i="68"/>
  <c r="O146" i="68"/>
  <c r="P146" i="68" s="1"/>
  <c r="Q146" i="68" s="1"/>
  <c r="T146" i="68"/>
  <c r="O138" i="68"/>
  <c r="P138" i="68" s="1"/>
  <c r="Q138" i="68" s="1"/>
  <c r="T138" i="68"/>
  <c r="O130" i="68"/>
  <c r="P130" i="68" s="1"/>
  <c r="Q130" i="68" s="1"/>
  <c r="T130" i="68"/>
  <c r="O122" i="68"/>
  <c r="P122" i="68" s="1"/>
  <c r="Q122" i="68" s="1"/>
  <c r="T122" i="68"/>
  <c r="O114" i="68"/>
  <c r="P114" i="68" s="1"/>
  <c r="Q114" i="68" s="1"/>
  <c r="T114" i="68"/>
  <c r="O106" i="68"/>
  <c r="P106" i="68" s="1"/>
  <c r="Q106" i="68" s="1"/>
  <c r="T106" i="68"/>
  <c r="O98" i="68"/>
  <c r="P98" i="68" s="1"/>
  <c r="Q98" i="68" s="1"/>
  <c r="T98" i="68"/>
  <c r="O90" i="68"/>
  <c r="P90" i="68" s="1"/>
  <c r="Q90" i="68" s="1"/>
  <c r="T90" i="68"/>
  <c r="O82" i="68"/>
  <c r="P82" i="68" s="1"/>
  <c r="Q82" i="68" s="1"/>
  <c r="T82" i="68"/>
  <c r="O74" i="68"/>
  <c r="P74" i="68" s="1"/>
  <c r="Q74" i="68" s="1"/>
  <c r="T74" i="68"/>
  <c r="O66" i="68"/>
  <c r="P66" i="68" s="1"/>
  <c r="Q66" i="68" s="1"/>
  <c r="T66" i="68"/>
  <c r="O58" i="68"/>
  <c r="P58" i="68" s="1"/>
  <c r="Q58" i="68" s="1"/>
  <c r="T58" i="68"/>
  <c r="O50" i="68"/>
  <c r="P50" i="68" s="1"/>
  <c r="Q50" i="68" s="1"/>
  <c r="T50" i="68"/>
  <c r="O42" i="68"/>
  <c r="P42" i="68" s="1"/>
  <c r="Q42" i="68" s="1"/>
  <c r="T42" i="68"/>
  <c r="O34" i="68"/>
  <c r="P34" i="68" s="1"/>
  <c r="Q34" i="68" s="1"/>
  <c r="T34" i="68"/>
  <c r="O26" i="68"/>
  <c r="P26" i="68" s="1"/>
  <c r="Q26" i="68" s="1"/>
  <c r="T26" i="68"/>
  <c r="O18" i="68"/>
  <c r="P18" i="68" s="1"/>
  <c r="Q18" i="68" s="1"/>
  <c r="T18" i="68"/>
  <c r="O257" i="68"/>
  <c r="P257" i="68" s="1"/>
  <c r="Q257" i="68" s="1"/>
  <c r="O249" i="68"/>
  <c r="P249" i="68" s="1"/>
  <c r="Q249" i="68" s="1"/>
  <c r="O241" i="68"/>
  <c r="P241" i="68" s="1"/>
  <c r="Q241" i="68" s="1"/>
  <c r="O233" i="68"/>
  <c r="P233" i="68" s="1"/>
  <c r="Q233" i="68" s="1"/>
  <c r="O225" i="68"/>
  <c r="P225" i="68" s="1"/>
  <c r="Q225" i="68" s="1"/>
  <c r="O217" i="68"/>
  <c r="P217" i="68" s="1"/>
  <c r="Q217" i="68" s="1"/>
  <c r="O209" i="68"/>
  <c r="P209" i="68" s="1"/>
  <c r="Q209" i="68" s="1"/>
  <c r="O201" i="68"/>
  <c r="P201" i="68" s="1"/>
  <c r="Q201" i="68" s="1"/>
  <c r="O193" i="68"/>
  <c r="P193" i="68" s="1"/>
  <c r="Q193" i="68" s="1"/>
  <c r="O185" i="68"/>
  <c r="P185" i="68" s="1"/>
  <c r="Q185" i="68" s="1"/>
  <c r="O177" i="68"/>
  <c r="P177" i="68" s="1"/>
  <c r="Q177" i="68" s="1"/>
  <c r="O169" i="68"/>
  <c r="P169" i="68" s="1"/>
  <c r="Q169" i="68" s="1"/>
  <c r="O161" i="68"/>
  <c r="P161" i="68" s="1"/>
  <c r="Q161" i="68" s="1"/>
  <c r="O153" i="68"/>
  <c r="P153" i="68" s="1"/>
  <c r="Q153" i="68" s="1"/>
  <c r="T153" i="68"/>
  <c r="O145" i="68"/>
  <c r="P145" i="68" s="1"/>
  <c r="Q145" i="68" s="1"/>
  <c r="T145" i="68"/>
  <c r="T137" i="68"/>
  <c r="O137" i="68"/>
  <c r="P137" i="68" s="1"/>
  <c r="Q137" i="68" s="1"/>
  <c r="T129" i="68"/>
  <c r="O129" i="68"/>
  <c r="P129" i="68" s="1"/>
  <c r="Q129" i="68" s="1"/>
  <c r="O121" i="68"/>
  <c r="P121" i="68" s="1"/>
  <c r="Q121" i="68" s="1"/>
  <c r="T121" i="68"/>
  <c r="O113" i="68"/>
  <c r="P113" i="68" s="1"/>
  <c r="Q113" i="68" s="1"/>
  <c r="T113" i="68"/>
  <c r="T105" i="68"/>
  <c r="O105" i="68"/>
  <c r="P105" i="68" s="1"/>
  <c r="Q105" i="68" s="1"/>
  <c r="T97" i="68"/>
  <c r="O97" i="68"/>
  <c r="P97" i="68" s="1"/>
  <c r="Q97" i="68" s="1"/>
  <c r="O89" i="68"/>
  <c r="P89" i="68" s="1"/>
  <c r="Q89" i="68" s="1"/>
  <c r="T89" i="68"/>
  <c r="O81" i="68"/>
  <c r="P81" i="68" s="1"/>
  <c r="Q81" i="68" s="1"/>
  <c r="T81" i="68"/>
  <c r="T73" i="68"/>
  <c r="O73" i="68"/>
  <c r="P73" i="68" s="1"/>
  <c r="Q73" i="68" s="1"/>
  <c r="T65" i="68"/>
  <c r="O65" i="68"/>
  <c r="P65" i="68" s="1"/>
  <c r="Q65" i="68" s="1"/>
  <c r="O57" i="68"/>
  <c r="P57" i="68" s="1"/>
  <c r="Q57" i="68" s="1"/>
  <c r="T57" i="68"/>
  <c r="O49" i="68"/>
  <c r="P49" i="68" s="1"/>
  <c r="Q49" i="68" s="1"/>
  <c r="T49" i="68"/>
  <c r="T41" i="68"/>
  <c r="O41" i="68"/>
  <c r="P41" i="68" s="1"/>
  <c r="Q41" i="68" s="1"/>
  <c r="T33" i="68"/>
  <c r="O33" i="68"/>
  <c r="P33" i="68" s="1"/>
  <c r="Q33" i="68" s="1"/>
  <c r="O25" i="68"/>
  <c r="P25" i="68" s="1"/>
  <c r="Q25" i="68" s="1"/>
  <c r="T25" i="68"/>
  <c r="O17" i="68"/>
  <c r="P17" i="68" s="1"/>
  <c r="Q17" i="68" s="1"/>
  <c r="T17" i="68"/>
  <c r="O16" i="68"/>
  <c r="P16" i="68" s="1"/>
  <c r="O15" i="68"/>
  <c r="P15" i="68" s="1"/>
  <c r="O14" i="68"/>
  <c r="P14" i="68" s="1"/>
  <c r="O13" i="68"/>
  <c r="P13" i="68" s="1"/>
  <c r="O24" i="57"/>
  <c r="AG24" i="57" s="1"/>
  <c r="L24" i="57"/>
  <c r="AA20" i="57"/>
  <c r="X21" i="57"/>
  <c r="AJ23" i="57"/>
  <c r="AC23" i="57"/>
  <c r="AP23" i="57"/>
  <c r="AH23" i="53"/>
  <c r="AT23" i="53"/>
  <c r="AC23" i="53"/>
  <c r="AG23" i="53"/>
  <c r="AB21" i="53"/>
  <c r="AA21" i="53"/>
  <c r="N24" i="57"/>
  <c r="N24" i="53"/>
  <c r="AD23" i="57"/>
  <c r="AD23" i="53"/>
  <c r="AK23" i="52" a="1"/>
  <c r="AK23" i="52" s="1"/>
  <c r="B25" i="53" s="1"/>
  <c r="O25" i="53" s="1"/>
  <c r="H24" i="57"/>
  <c r="G24" i="57"/>
  <c r="E24" i="57"/>
  <c r="P24" i="57"/>
  <c r="D24" i="57"/>
  <c r="C24" i="57"/>
  <c r="M24" i="57" s="1"/>
  <c r="K24" i="57"/>
  <c r="I24" i="57"/>
  <c r="F24" i="57"/>
  <c r="J24" i="57"/>
  <c r="Q23" i="53"/>
  <c r="Q23" i="57"/>
  <c r="L24" i="53"/>
  <c r="H24" i="53"/>
  <c r="F24" i="53"/>
  <c r="D24" i="53"/>
  <c r="P24" i="53"/>
  <c r="G24" i="53"/>
  <c r="C24" i="53"/>
  <c r="I24" i="53"/>
  <c r="E24" i="53"/>
  <c r="J24" i="53"/>
  <c r="K24" i="53"/>
  <c r="X22" i="53"/>
  <c r="AF22" i="53" s="1"/>
  <c r="T22" i="57"/>
  <c r="AK23" i="55" a="1"/>
  <c r="AK23" i="55" s="1"/>
  <c r="B25" i="57" s="1"/>
  <c r="K11" i="63"/>
  <c r="K12" i="63"/>
  <c r="K13" i="63"/>
  <c r="L12" i="64"/>
  <c r="L13" i="64"/>
  <c r="T13" i="64" s="1"/>
  <c r="L14" i="64"/>
  <c r="T14" i="64" s="1"/>
  <c r="L15" i="64"/>
  <c r="T15" i="64" s="1"/>
  <c r="L16" i="64"/>
  <c r="L17" i="64"/>
  <c r="T17" i="64" s="1"/>
  <c r="L18" i="64"/>
  <c r="T18" i="64" s="1"/>
  <c r="L19" i="64"/>
  <c r="T19" i="64" s="1"/>
  <c r="L20" i="64"/>
  <c r="T20" i="64" s="1"/>
  <c r="L21" i="64"/>
  <c r="T21" i="64" s="1"/>
  <c r="L22" i="64"/>
  <c r="T22" i="64" s="1"/>
  <c r="L23" i="64"/>
  <c r="T23" i="64" s="1"/>
  <c r="L24" i="64"/>
  <c r="T24" i="64" s="1"/>
  <c r="L25" i="64"/>
  <c r="T25" i="64" s="1"/>
  <c r="L26" i="64"/>
  <c r="T26" i="64" s="1"/>
  <c r="L27" i="64"/>
  <c r="T27" i="64" s="1"/>
  <c r="L28" i="64"/>
  <c r="T28" i="64" s="1"/>
  <c r="L29" i="64"/>
  <c r="T29" i="64" s="1"/>
  <c r="L30" i="64"/>
  <c r="T30" i="64" s="1"/>
  <c r="L31" i="64"/>
  <c r="T31" i="64" s="1"/>
  <c r="L32" i="64"/>
  <c r="T32" i="64" s="1"/>
  <c r="L33" i="64"/>
  <c r="T33" i="64" s="1"/>
  <c r="L34" i="64"/>
  <c r="T34" i="64" s="1"/>
  <c r="L35" i="64"/>
  <c r="T35" i="64" s="1"/>
  <c r="L36" i="64"/>
  <c r="T36" i="64" s="1"/>
  <c r="L37" i="64"/>
  <c r="T37" i="64" s="1"/>
  <c r="L38" i="64"/>
  <c r="T38" i="64" s="1"/>
  <c r="L39" i="64"/>
  <c r="T39" i="64" s="1"/>
  <c r="L40" i="64"/>
  <c r="T40" i="64" s="1"/>
  <c r="L41" i="64"/>
  <c r="T41" i="64" s="1"/>
  <c r="L42" i="64"/>
  <c r="T42" i="64" s="1"/>
  <c r="L43" i="64"/>
  <c r="T43" i="64" s="1"/>
  <c r="L44" i="64"/>
  <c r="T44" i="64" s="1"/>
  <c r="L45" i="64"/>
  <c r="T45" i="64" s="1"/>
  <c r="L46" i="64"/>
  <c r="T46" i="64" s="1"/>
  <c r="L47" i="64"/>
  <c r="T47" i="64" s="1"/>
  <c r="L48" i="64"/>
  <c r="T48" i="64" s="1"/>
  <c r="L49" i="64"/>
  <c r="T49" i="64" s="1"/>
  <c r="L50" i="64"/>
  <c r="T50" i="64" s="1"/>
  <c r="L51" i="64"/>
  <c r="T51" i="64" s="1"/>
  <c r="L52" i="64"/>
  <c r="T52" i="64" s="1"/>
  <c r="L53" i="64"/>
  <c r="T53" i="64" s="1"/>
  <c r="L54" i="64"/>
  <c r="T54" i="64" s="1"/>
  <c r="L55" i="64"/>
  <c r="T55" i="64" s="1"/>
  <c r="L56" i="64"/>
  <c r="T56" i="64" s="1"/>
  <c r="L57" i="64"/>
  <c r="T57" i="64" s="1"/>
  <c r="L58" i="64"/>
  <c r="T58" i="64" s="1"/>
  <c r="L59" i="64"/>
  <c r="T59" i="64" s="1"/>
  <c r="L60" i="64"/>
  <c r="T60" i="64" s="1"/>
  <c r="L61" i="64"/>
  <c r="T61" i="64" s="1"/>
  <c r="L62" i="64"/>
  <c r="T62" i="64" s="1"/>
  <c r="L63" i="64"/>
  <c r="T63" i="64" s="1"/>
  <c r="L64" i="64"/>
  <c r="T64" i="64" s="1"/>
  <c r="L65" i="64"/>
  <c r="T65" i="64" s="1"/>
  <c r="L66" i="64"/>
  <c r="T66" i="64" s="1"/>
  <c r="L67" i="64"/>
  <c r="T67" i="64" s="1"/>
  <c r="L68" i="64"/>
  <c r="T68" i="64" s="1"/>
  <c r="L69" i="64"/>
  <c r="T69" i="64" s="1"/>
  <c r="L70" i="64"/>
  <c r="T70" i="64" s="1"/>
  <c r="L71" i="64"/>
  <c r="T71" i="64" s="1"/>
  <c r="L72" i="64"/>
  <c r="T72" i="64" s="1"/>
  <c r="L73" i="64"/>
  <c r="T73" i="64" s="1"/>
  <c r="L74" i="64"/>
  <c r="T74" i="64" s="1"/>
  <c r="L75" i="64"/>
  <c r="T75" i="64" s="1"/>
  <c r="L76" i="64"/>
  <c r="T76" i="64" s="1"/>
  <c r="L77" i="64"/>
  <c r="T77" i="64" s="1"/>
  <c r="L78" i="64"/>
  <c r="T78" i="64" s="1"/>
  <c r="L79" i="64"/>
  <c r="T79" i="64" s="1"/>
  <c r="L80" i="64"/>
  <c r="T80" i="64" s="1"/>
  <c r="L81" i="64"/>
  <c r="T81" i="64" s="1"/>
  <c r="L82" i="64"/>
  <c r="T82" i="64" s="1"/>
  <c r="L83" i="64"/>
  <c r="T83" i="64" s="1"/>
  <c r="L84" i="64"/>
  <c r="T84" i="64" s="1"/>
  <c r="L85" i="64"/>
  <c r="T85" i="64" s="1"/>
  <c r="L86" i="64"/>
  <c r="T86" i="64" s="1"/>
  <c r="L87" i="64"/>
  <c r="T87" i="64" s="1"/>
  <c r="L88" i="64"/>
  <c r="T88" i="64" s="1"/>
  <c r="L89" i="64"/>
  <c r="T89" i="64" s="1"/>
  <c r="L90" i="64"/>
  <c r="T90" i="64" s="1"/>
  <c r="L91" i="64"/>
  <c r="T91" i="64" s="1"/>
  <c r="L92" i="64"/>
  <c r="T92" i="64" s="1"/>
  <c r="L93" i="64"/>
  <c r="T93" i="64" s="1"/>
  <c r="L94" i="64"/>
  <c r="T94" i="64" s="1"/>
  <c r="L95" i="64"/>
  <c r="T95" i="64" s="1"/>
  <c r="L96" i="64"/>
  <c r="T96" i="64" s="1"/>
  <c r="L97" i="64"/>
  <c r="T97" i="64" s="1"/>
  <c r="L98" i="64"/>
  <c r="T98" i="64" s="1"/>
  <c r="L99" i="64"/>
  <c r="T99" i="64" s="1"/>
  <c r="L100" i="64"/>
  <c r="T100" i="64" s="1"/>
  <c r="L101" i="64"/>
  <c r="T101" i="64" s="1"/>
  <c r="L102" i="64"/>
  <c r="T102" i="64" s="1"/>
  <c r="L103" i="64"/>
  <c r="T103" i="64" s="1"/>
  <c r="L104" i="64"/>
  <c r="T104" i="64" s="1"/>
  <c r="L105" i="64"/>
  <c r="T105" i="64" s="1"/>
  <c r="L106" i="64"/>
  <c r="T106" i="64" s="1"/>
  <c r="L107" i="64"/>
  <c r="T107" i="64" s="1"/>
  <c r="L108" i="64"/>
  <c r="T108" i="64" s="1"/>
  <c r="L109" i="64"/>
  <c r="T109" i="64" s="1"/>
  <c r="L110" i="64"/>
  <c r="T110" i="64" s="1"/>
  <c r="L111" i="64"/>
  <c r="T111" i="64" s="1"/>
  <c r="L112" i="64"/>
  <c r="T112" i="64" s="1"/>
  <c r="L113" i="64"/>
  <c r="T113" i="64" s="1"/>
  <c r="L114" i="64"/>
  <c r="T114" i="64" s="1"/>
  <c r="L115" i="64"/>
  <c r="T115" i="64" s="1"/>
  <c r="L116" i="64"/>
  <c r="T116" i="64" s="1"/>
  <c r="L117" i="64"/>
  <c r="T117" i="64" s="1"/>
  <c r="L118" i="64"/>
  <c r="T118" i="64" s="1"/>
  <c r="L119" i="64"/>
  <c r="T119" i="64" s="1"/>
  <c r="L120" i="64"/>
  <c r="T120" i="64" s="1"/>
  <c r="L121" i="64"/>
  <c r="T121" i="64" s="1"/>
  <c r="L122" i="64"/>
  <c r="T122" i="64" s="1"/>
  <c r="L123" i="64"/>
  <c r="T123" i="64" s="1"/>
  <c r="L124" i="64"/>
  <c r="T124" i="64" s="1"/>
  <c r="L125" i="64"/>
  <c r="T125" i="64" s="1"/>
  <c r="L126" i="64"/>
  <c r="T126" i="64" s="1"/>
  <c r="L127" i="64"/>
  <c r="T127" i="64" s="1"/>
  <c r="L128" i="64"/>
  <c r="T128" i="64" s="1"/>
  <c r="L129" i="64"/>
  <c r="T129" i="64" s="1"/>
  <c r="L130" i="64"/>
  <c r="T130" i="64" s="1"/>
  <c r="L131" i="64"/>
  <c r="T131" i="64" s="1"/>
  <c r="L132" i="64"/>
  <c r="T132" i="64" s="1"/>
  <c r="L133" i="64"/>
  <c r="T133" i="64" s="1"/>
  <c r="L134" i="64"/>
  <c r="T134" i="64" s="1"/>
  <c r="L135" i="64"/>
  <c r="T135" i="64" s="1"/>
  <c r="L136" i="64"/>
  <c r="T136" i="64" s="1"/>
  <c r="L137" i="64"/>
  <c r="T137" i="64" s="1"/>
  <c r="L138" i="64"/>
  <c r="T138" i="64" s="1"/>
  <c r="L139" i="64"/>
  <c r="T139" i="64" s="1"/>
  <c r="L140" i="64"/>
  <c r="T140" i="64" s="1"/>
  <c r="L141" i="64"/>
  <c r="T141" i="64" s="1"/>
  <c r="L142" i="64"/>
  <c r="T142" i="64" s="1"/>
  <c r="L143" i="64"/>
  <c r="T143" i="64" s="1"/>
  <c r="L144" i="64"/>
  <c r="T144" i="64" s="1"/>
  <c r="L145" i="64"/>
  <c r="T145" i="64" s="1"/>
  <c r="L146" i="64"/>
  <c r="T146" i="64" s="1"/>
  <c r="L147" i="64"/>
  <c r="T147" i="64" s="1"/>
  <c r="L148" i="64"/>
  <c r="T148" i="64" s="1"/>
  <c r="L149" i="64"/>
  <c r="T149" i="64" s="1"/>
  <c r="L150" i="64"/>
  <c r="T150" i="64" s="1"/>
  <c r="L151" i="64"/>
  <c r="T151" i="64" s="1"/>
  <c r="L152" i="64"/>
  <c r="T152" i="64" s="1"/>
  <c r="L153" i="64"/>
  <c r="T153" i="64" s="1"/>
  <c r="L154" i="64"/>
  <c r="T154" i="64" s="1"/>
  <c r="L155" i="64"/>
  <c r="T155" i="64" s="1"/>
  <c r="L156" i="64"/>
  <c r="T156" i="64" s="1"/>
  <c r="L157" i="64"/>
  <c r="T157" i="64" s="1"/>
  <c r="L158" i="64"/>
  <c r="T158" i="64" s="1"/>
  <c r="L159" i="64"/>
  <c r="T159" i="64" s="1"/>
  <c r="L160" i="64"/>
  <c r="T160" i="64" s="1"/>
  <c r="L161" i="64"/>
  <c r="T161" i="64" s="1"/>
  <c r="L162" i="64"/>
  <c r="T162" i="64" s="1"/>
  <c r="L163" i="64"/>
  <c r="T163" i="64" s="1"/>
  <c r="L164" i="64"/>
  <c r="T164" i="64" s="1"/>
  <c r="L165" i="64"/>
  <c r="T165" i="64" s="1"/>
  <c r="L166" i="64"/>
  <c r="T166" i="64" s="1"/>
  <c r="L167" i="64"/>
  <c r="T167" i="64" s="1"/>
  <c r="L168" i="64"/>
  <c r="T168" i="64" s="1"/>
  <c r="L169" i="64"/>
  <c r="T169" i="64" s="1"/>
  <c r="L170" i="64"/>
  <c r="T170" i="64" s="1"/>
  <c r="L171" i="64"/>
  <c r="T171" i="64" s="1"/>
  <c r="L172" i="64"/>
  <c r="T172" i="64" s="1"/>
  <c r="L173" i="64"/>
  <c r="T173" i="64" s="1"/>
  <c r="L174" i="64"/>
  <c r="T174" i="64" s="1"/>
  <c r="L175" i="64"/>
  <c r="T175" i="64" s="1"/>
  <c r="L176" i="64"/>
  <c r="T176" i="64" s="1"/>
  <c r="L177" i="64"/>
  <c r="T177" i="64" s="1"/>
  <c r="L178" i="64"/>
  <c r="T178" i="64" s="1"/>
  <c r="L179" i="64"/>
  <c r="T179" i="64" s="1"/>
  <c r="L180" i="64"/>
  <c r="T180" i="64" s="1"/>
  <c r="L181" i="64"/>
  <c r="T181" i="64" s="1"/>
  <c r="L182" i="64"/>
  <c r="T182" i="64" s="1"/>
  <c r="L183" i="64"/>
  <c r="T183" i="64" s="1"/>
  <c r="L184" i="64"/>
  <c r="T184" i="64" s="1"/>
  <c r="L185" i="64"/>
  <c r="T185" i="64" s="1"/>
  <c r="L186" i="64"/>
  <c r="T186" i="64" s="1"/>
  <c r="L187" i="64"/>
  <c r="T187" i="64" s="1"/>
  <c r="L188" i="64"/>
  <c r="T188" i="64" s="1"/>
  <c r="L189" i="64"/>
  <c r="T189" i="64" s="1"/>
  <c r="L190" i="64"/>
  <c r="T190" i="64" s="1"/>
  <c r="L191" i="64"/>
  <c r="T191" i="64" s="1"/>
  <c r="L192" i="64"/>
  <c r="T192" i="64" s="1"/>
  <c r="L193" i="64"/>
  <c r="T193" i="64" s="1"/>
  <c r="L194" i="64"/>
  <c r="T194" i="64" s="1"/>
  <c r="L195" i="64"/>
  <c r="T195" i="64" s="1"/>
  <c r="L196" i="64"/>
  <c r="T196" i="64" s="1"/>
  <c r="L197" i="64"/>
  <c r="T197" i="64" s="1"/>
  <c r="L198" i="64"/>
  <c r="T198" i="64" s="1"/>
  <c r="L199" i="64"/>
  <c r="T199" i="64" s="1"/>
  <c r="L200" i="64"/>
  <c r="T200" i="64" s="1"/>
  <c r="L201" i="64"/>
  <c r="T201" i="64" s="1"/>
  <c r="L202" i="64"/>
  <c r="T202" i="64" s="1"/>
  <c r="L203" i="64"/>
  <c r="T203" i="64" s="1"/>
  <c r="L204" i="64"/>
  <c r="T204" i="64" s="1"/>
  <c r="L205" i="64"/>
  <c r="T205" i="64" s="1"/>
  <c r="L206" i="64"/>
  <c r="T206" i="64" s="1"/>
  <c r="L207" i="64"/>
  <c r="T207" i="64" s="1"/>
  <c r="L208" i="64"/>
  <c r="T208" i="64" s="1"/>
  <c r="L209" i="64"/>
  <c r="T209" i="64" s="1"/>
  <c r="L210" i="64"/>
  <c r="T210" i="64" s="1"/>
  <c r="L211" i="64"/>
  <c r="T211" i="64" s="1"/>
  <c r="L212" i="64"/>
  <c r="T212" i="64" s="1"/>
  <c r="L213" i="64"/>
  <c r="T213" i="64" s="1"/>
  <c r="L214" i="64"/>
  <c r="T214" i="64" s="1"/>
  <c r="L215" i="64"/>
  <c r="T215" i="64" s="1"/>
  <c r="L216" i="64"/>
  <c r="T216" i="64" s="1"/>
  <c r="L217" i="64"/>
  <c r="T217" i="64" s="1"/>
  <c r="L218" i="64"/>
  <c r="T218" i="64" s="1"/>
  <c r="L219" i="64"/>
  <c r="T219" i="64" s="1"/>
  <c r="L220" i="64"/>
  <c r="T220" i="64" s="1"/>
  <c r="L221" i="64"/>
  <c r="T221" i="64" s="1"/>
  <c r="L222" i="64"/>
  <c r="T222" i="64" s="1"/>
  <c r="L223" i="64"/>
  <c r="T223" i="64" s="1"/>
  <c r="L224" i="64"/>
  <c r="T224" i="64" s="1"/>
  <c r="L225" i="64"/>
  <c r="T225" i="64" s="1"/>
  <c r="L226" i="64"/>
  <c r="T226" i="64" s="1"/>
  <c r="L227" i="64"/>
  <c r="T227" i="64" s="1"/>
  <c r="L228" i="64"/>
  <c r="T228" i="64" s="1"/>
  <c r="L229" i="64"/>
  <c r="T229" i="64" s="1"/>
  <c r="L230" i="64"/>
  <c r="T230" i="64" s="1"/>
  <c r="L231" i="64"/>
  <c r="T231" i="64" s="1"/>
  <c r="L232" i="64"/>
  <c r="T232" i="64" s="1"/>
  <c r="L233" i="64"/>
  <c r="T233" i="64" s="1"/>
  <c r="L234" i="64"/>
  <c r="T234" i="64" s="1"/>
  <c r="L235" i="64"/>
  <c r="T235" i="64" s="1"/>
  <c r="L236" i="64"/>
  <c r="T236" i="64" s="1"/>
  <c r="L237" i="64"/>
  <c r="T237" i="64" s="1"/>
  <c r="L238" i="64"/>
  <c r="T238" i="64" s="1"/>
  <c r="L239" i="64"/>
  <c r="T239" i="64" s="1"/>
  <c r="L240" i="64"/>
  <c r="T240" i="64" s="1"/>
  <c r="L241" i="64"/>
  <c r="T241" i="64" s="1"/>
  <c r="L242" i="64"/>
  <c r="T242" i="64" s="1"/>
  <c r="L243" i="64"/>
  <c r="T243" i="64" s="1"/>
  <c r="L244" i="64"/>
  <c r="T244" i="64" s="1"/>
  <c r="L245" i="64"/>
  <c r="T245" i="64" s="1"/>
  <c r="L246" i="64"/>
  <c r="T246" i="64" s="1"/>
  <c r="L247" i="64"/>
  <c r="T247" i="64" s="1"/>
  <c r="L248" i="64"/>
  <c r="T248" i="64" s="1"/>
  <c r="L249" i="64"/>
  <c r="T249" i="64" s="1"/>
  <c r="L250" i="64"/>
  <c r="T250" i="64" s="1"/>
  <c r="L251" i="64"/>
  <c r="T251" i="64" s="1"/>
  <c r="L252" i="64"/>
  <c r="T252" i="64" s="1"/>
  <c r="L253" i="64"/>
  <c r="T253" i="64" s="1"/>
  <c r="L254" i="64"/>
  <c r="T254" i="64" s="1"/>
  <c r="L255" i="64"/>
  <c r="T255" i="64" s="1"/>
  <c r="L256" i="64"/>
  <c r="T256" i="64" s="1"/>
  <c r="L257" i="64"/>
  <c r="T257" i="64" s="1"/>
  <c r="W13" i="69"/>
  <c r="X13" i="69"/>
  <c r="AL13" i="69"/>
  <c r="AN13" i="69"/>
  <c r="W14" i="69"/>
  <c r="X14" i="69"/>
  <c r="AL14" i="69"/>
  <c r="AN14" i="69"/>
  <c r="W15" i="69"/>
  <c r="X15" i="69"/>
  <c r="AL15" i="69"/>
  <c r="AN15" i="69"/>
  <c r="W16" i="69"/>
  <c r="X16" i="69"/>
  <c r="AL16" i="69"/>
  <c r="AN16" i="69"/>
  <c r="W17" i="69"/>
  <c r="X17" i="69"/>
  <c r="AL17" i="69"/>
  <c r="AN17" i="69"/>
  <c r="W18" i="69"/>
  <c r="X18" i="69"/>
  <c r="AL18" i="69"/>
  <c r="AN18" i="69"/>
  <c r="W19" i="69"/>
  <c r="X19" i="69"/>
  <c r="AL19" i="69"/>
  <c r="AN19" i="69"/>
  <c r="W20" i="69"/>
  <c r="X20" i="69"/>
  <c r="AL20" i="69"/>
  <c r="AN20" i="69"/>
  <c r="W21" i="69"/>
  <c r="X21" i="69"/>
  <c r="AL21" i="69"/>
  <c r="AN21" i="69"/>
  <c r="W22" i="69"/>
  <c r="X22" i="69"/>
  <c r="AL22" i="69"/>
  <c r="AN22" i="69"/>
  <c r="W23" i="69"/>
  <c r="X23" i="69"/>
  <c r="AL23" i="69"/>
  <c r="AN23" i="69"/>
  <c r="W24" i="69"/>
  <c r="X24" i="69"/>
  <c r="AL24" i="69"/>
  <c r="AN24" i="69"/>
  <c r="W25" i="69"/>
  <c r="X25" i="69"/>
  <c r="AL25" i="69"/>
  <c r="AN25" i="69"/>
  <c r="W26" i="69"/>
  <c r="X26" i="69"/>
  <c r="AL26" i="69"/>
  <c r="AN26" i="69"/>
  <c r="W27" i="69"/>
  <c r="X27" i="69"/>
  <c r="AL27" i="69"/>
  <c r="AN27" i="69"/>
  <c r="W28" i="69"/>
  <c r="X28" i="69"/>
  <c r="AL28" i="69"/>
  <c r="AN28" i="69"/>
  <c r="W29" i="69"/>
  <c r="X29" i="69"/>
  <c r="AL29" i="69"/>
  <c r="AN29" i="69"/>
  <c r="W30" i="69"/>
  <c r="X30" i="69"/>
  <c r="AL30" i="69"/>
  <c r="AN30" i="69"/>
  <c r="W31" i="69"/>
  <c r="X31" i="69"/>
  <c r="AL31" i="69"/>
  <c r="AN31" i="69"/>
  <c r="W32" i="69"/>
  <c r="X32" i="69"/>
  <c r="AL32" i="69"/>
  <c r="AN32" i="69"/>
  <c r="W33" i="69"/>
  <c r="X33" i="69"/>
  <c r="AL33" i="69"/>
  <c r="AN33" i="69"/>
  <c r="W34" i="69"/>
  <c r="X34" i="69"/>
  <c r="AL34" i="69"/>
  <c r="AN34" i="69"/>
  <c r="W35" i="69"/>
  <c r="X35" i="69"/>
  <c r="AL35" i="69"/>
  <c r="AN35" i="69"/>
  <c r="W36" i="69"/>
  <c r="X36" i="69"/>
  <c r="AL36" i="69"/>
  <c r="AN36" i="69"/>
  <c r="W37" i="69"/>
  <c r="X37" i="69"/>
  <c r="AL37" i="69"/>
  <c r="AN37" i="69"/>
  <c r="W38" i="69"/>
  <c r="X38" i="69"/>
  <c r="AL38" i="69"/>
  <c r="AN38" i="69"/>
  <c r="W39" i="69"/>
  <c r="X39" i="69"/>
  <c r="AL39" i="69"/>
  <c r="AN39" i="69"/>
  <c r="W40" i="69"/>
  <c r="X40" i="69"/>
  <c r="AL40" i="69"/>
  <c r="AN40" i="69"/>
  <c r="W41" i="69"/>
  <c r="X41" i="69"/>
  <c r="AL41" i="69"/>
  <c r="AN41" i="69"/>
  <c r="W42" i="69"/>
  <c r="X42" i="69"/>
  <c r="AL42" i="69"/>
  <c r="AN42" i="69"/>
  <c r="W43" i="69"/>
  <c r="X43" i="69"/>
  <c r="AL43" i="69"/>
  <c r="AN43" i="69"/>
  <c r="W44" i="69"/>
  <c r="X44" i="69"/>
  <c r="AL44" i="69"/>
  <c r="AN44" i="69"/>
  <c r="W45" i="69"/>
  <c r="X45" i="69"/>
  <c r="AL45" i="69"/>
  <c r="AN45" i="69"/>
  <c r="W46" i="69"/>
  <c r="X46" i="69"/>
  <c r="AL46" i="69"/>
  <c r="AN46" i="69"/>
  <c r="W47" i="69"/>
  <c r="X47" i="69"/>
  <c r="AL47" i="69"/>
  <c r="AN47" i="69"/>
  <c r="W48" i="69"/>
  <c r="X48" i="69"/>
  <c r="AL48" i="69"/>
  <c r="AN48" i="69"/>
  <c r="W49" i="69"/>
  <c r="X49" i="69"/>
  <c r="AL49" i="69"/>
  <c r="AN49" i="69"/>
  <c r="W50" i="69"/>
  <c r="X50" i="69"/>
  <c r="AL50" i="69"/>
  <c r="AN50" i="69"/>
  <c r="W51" i="69"/>
  <c r="X51" i="69"/>
  <c r="AL51" i="69"/>
  <c r="AN51" i="69"/>
  <c r="W52" i="69"/>
  <c r="X52" i="69"/>
  <c r="AL52" i="69"/>
  <c r="AN52" i="69"/>
  <c r="W53" i="69"/>
  <c r="X53" i="69"/>
  <c r="AL53" i="69"/>
  <c r="AN53" i="69"/>
  <c r="W54" i="69"/>
  <c r="X54" i="69"/>
  <c r="AL54" i="69"/>
  <c r="AN54" i="69"/>
  <c r="W55" i="69"/>
  <c r="X55" i="69"/>
  <c r="AL55" i="69"/>
  <c r="AN55" i="69"/>
  <c r="W56" i="69"/>
  <c r="X56" i="69"/>
  <c r="AL56" i="69"/>
  <c r="AN56" i="69"/>
  <c r="W57" i="69"/>
  <c r="X57" i="69"/>
  <c r="AL57" i="69"/>
  <c r="AN57" i="69"/>
  <c r="W58" i="69"/>
  <c r="X58" i="69"/>
  <c r="AL58" i="69"/>
  <c r="AN58" i="69"/>
  <c r="W59" i="69"/>
  <c r="X59" i="69"/>
  <c r="AL59" i="69"/>
  <c r="AN59" i="69"/>
  <c r="W60" i="69"/>
  <c r="X60" i="69"/>
  <c r="AL60" i="69"/>
  <c r="AN60" i="69"/>
  <c r="W61" i="69"/>
  <c r="X61" i="69"/>
  <c r="AL61" i="69"/>
  <c r="AN61" i="69"/>
  <c r="W62" i="69"/>
  <c r="X62" i="69"/>
  <c r="AL62" i="69"/>
  <c r="AN62" i="69"/>
  <c r="W63" i="69"/>
  <c r="X63" i="69"/>
  <c r="AL63" i="69"/>
  <c r="AN63" i="69"/>
  <c r="W64" i="69"/>
  <c r="X64" i="69"/>
  <c r="AL64" i="69"/>
  <c r="AN64" i="69"/>
  <c r="W65" i="69"/>
  <c r="X65" i="69"/>
  <c r="AL65" i="69"/>
  <c r="AN65" i="69"/>
  <c r="W66" i="69"/>
  <c r="X66" i="69"/>
  <c r="AL66" i="69"/>
  <c r="AN66" i="69"/>
  <c r="W67" i="69"/>
  <c r="X67" i="69"/>
  <c r="AL67" i="69"/>
  <c r="AN67" i="69"/>
  <c r="W68" i="69"/>
  <c r="X68" i="69"/>
  <c r="AL68" i="69"/>
  <c r="AN68" i="69"/>
  <c r="W69" i="69"/>
  <c r="X69" i="69"/>
  <c r="AL69" i="69"/>
  <c r="AN69" i="69"/>
  <c r="W70" i="69"/>
  <c r="X70" i="69"/>
  <c r="AL70" i="69"/>
  <c r="AN70" i="69"/>
  <c r="W71" i="69"/>
  <c r="X71" i="69"/>
  <c r="AL71" i="69"/>
  <c r="AN71" i="69"/>
  <c r="W72" i="69"/>
  <c r="X72" i="69"/>
  <c r="AL72" i="69"/>
  <c r="AN72" i="69"/>
  <c r="W73" i="69"/>
  <c r="X73" i="69"/>
  <c r="AL73" i="69"/>
  <c r="AN73" i="69"/>
  <c r="W74" i="69"/>
  <c r="X74" i="69"/>
  <c r="AL74" i="69"/>
  <c r="AN74" i="69"/>
  <c r="W75" i="69"/>
  <c r="X75" i="69"/>
  <c r="AL75" i="69"/>
  <c r="AN75" i="69"/>
  <c r="W76" i="69"/>
  <c r="X76" i="69"/>
  <c r="AL76" i="69"/>
  <c r="AN76" i="69"/>
  <c r="W77" i="69"/>
  <c r="X77" i="69"/>
  <c r="AL77" i="69"/>
  <c r="AN77" i="69"/>
  <c r="W78" i="69"/>
  <c r="X78" i="69"/>
  <c r="AL78" i="69"/>
  <c r="AN78" i="69"/>
  <c r="W79" i="69"/>
  <c r="X79" i="69"/>
  <c r="AL79" i="69"/>
  <c r="AN79" i="69"/>
  <c r="W80" i="69"/>
  <c r="X80" i="69"/>
  <c r="AL80" i="69"/>
  <c r="AN80" i="69"/>
  <c r="W81" i="69"/>
  <c r="X81" i="69"/>
  <c r="AL81" i="69"/>
  <c r="AN81" i="69"/>
  <c r="W82" i="69"/>
  <c r="X82" i="69"/>
  <c r="AL82" i="69"/>
  <c r="AN82" i="69"/>
  <c r="W83" i="69"/>
  <c r="X83" i="69"/>
  <c r="AL83" i="69"/>
  <c r="AN83" i="69"/>
  <c r="W84" i="69"/>
  <c r="X84" i="69"/>
  <c r="AL84" i="69"/>
  <c r="AN84" i="69"/>
  <c r="W85" i="69"/>
  <c r="X85" i="69"/>
  <c r="AL85" i="69"/>
  <c r="AN85" i="69"/>
  <c r="W86" i="69"/>
  <c r="X86" i="69"/>
  <c r="AL86" i="69"/>
  <c r="AN86" i="69"/>
  <c r="W87" i="69"/>
  <c r="X87" i="69"/>
  <c r="AL87" i="69"/>
  <c r="AN87" i="69"/>
  <c r="W88" i="69"/>
  <c r="X88" i="69"/>
  <c r="AL88" i="69"/>
  <c r="AN88" i="69"/>
  <c r="W89" i="69"/>
  <c r="X89" i="69"/>
  <c r="AL89" i="69"/>
  <c r="AN89" i="69"/>
  <c r="W90" i="69"/>
  <c r="X90" i="69"/>
  <c r="AL90" i="69"/>
  <c r="AN90" i="69"/>
  <c r="W91" i="69"/>
  <c r="X91" i="69"/>
  <c r="AL91" i="69"/>
  <c r="AN91" i="69"/>
  <c r="W92" i="69"/>
  <c r="X92" i="69"/>
  <c r="AL92" i="69"/>
  <c r="AN92" i="69"/>
  <c r="W93" i="69"/>
  <c r="X93" i="69"/>
  <c r="AL93" i="69"/>
  <c r="AN93" i="69"/>
  <c r="W94" i="69"/>
  <c r="X94" i="69"/>
  <c r="AL94" i="69"/>
  <c r="AN94" i="69"/>
  <c r="W95" i="69"/>
  <c r="X95" i="69"/>
  <c r="AL95" i="69"/>
  <c r="AN95" i="69"/>
  <c r="W96" i="69"/>
  <c r="X96" i="69"/>
  <c r="AL96" i="69"/>
  <c r="AN96" i="69"/>
  <c r="W97" i="69"/>
  <c r="X97" i="69"/>
  <c r="AL97" i="69"/>
  <c r="AN97" i="69"/>
  <c r="W98" i="69"/>
  <c r="X98" i="69"/>
  <c r="AL98" i="69"/>
  <c r="AN98" i="69"/>
  <c r="W99" i="69"/>
  <c r="X99" i="69"/>
  <c r="AL99" i="69"/>
  <c r="AN99" i="69"/>
  <c r="W100" i="69"/>
  <c r="X100" i="69"/>
  <c r="AL100" i="69"/>
  <c r="AN100" i="69"/>
  <c r="W101" i="69"/>
  <c r="X101" i="69"/>
  <c r="AL101" i="69"/>
  <c r="AN101" i="69"/>
  <c r="W102" i="69"/>
  <c r="X102" i="69"/>
  <c r="AL102" i="69"/>
  <c r="AN102" i="69"/>
  <c r="W103" i="69"/>
  <c r="X103" i="69"/>
  <c r="AL103" i="69"/>
  <c r="AN103" i="69"/>
  <c r="W104" i="69"/>
  <c r="X104" i="69"/>
  <c r="AL104" i="69"/>
  <c r="AN104" i="69"/>
  <c r="W105" i="69"/>
  <c r="X105" i="69"/>
  <c r="AL105" i="69"/>
  <c r="AN105" i="69"/>
  <c r="W106" i="69"/>
  <c r="X106" i="69"/>
  <c r="AL106" i="69"/>
  <c r="AN106" i="69"/>
  <c r="W107" i="69"/>
  <c r="X107" i="69"/>
  <c r="AL107" i="69"/>
  <c r="AN107" i="69"/>
  <c r="W108" i="69"/>
  <c r="X108" i="69"/>
  <c r="AL108" i="69"/>
  <c r="AN108" i="69"/>
  <c r="W109" i="69"/>
  <c r="X109" i="69"/>
  <c r="AL109" i="69"/>
  <c r="AN109" i="69"/>
  <c r="W110" i="69"/>
  <c r="X110" i="69"/>
  <c r="AL110" i="69"/>
  <c r="AN110" i="69"/>
  <c r="W111" i="69"/>
  <c r="X111" i="69"/>
  <c r="AL111" i="69"/>
  <c r="AN111" i="69"/>
  <c r="W112" i="69"/>
  <c r="X112" i="69"/>
  <c r="AL112" i="69"/>
  <c r="AN112" i="69"/>
  <c r="W113" i="69"/>
  <c r="X113" i="69"/>
  <c r="AL113" i="69"/>
  <c r="AN113" i="69"/>
  <c r="W114" i="69"/>
  <c r="X114" i="69"/>
  <c r="AL114" i="69"/>
  <c r="AN114" i="69"/>
  <c r="W115" i="69"/>
  <c r="X115" i="69"/>
  <c r="AL115" i="69"/>
  <c r="AN115" i="69"/>
  <c r="W116" i="69"/>
  <c r="X116" i="69"/>
  <c r="AL116" i="69"/>
  <c r="AN116" i="69"/>
  <c r="W117" i="69"/>
  <c r="X117" i="69"/>
  <c r="AL117" i="69"/>
  <c r="AN117" i="69"/>
  <c r="W118" i="69"/>
  <c r="X118" i="69"/>
  <c r="AL118" i="69"/>
  <c r="AN118" i="69"/>
  <c r="W119" i="69"/>
  <c r="X119" i="69"/>
  <c r="AL119" i="69"/>
  <c r="AN119" i="69"/>
  <c r="W120" i="69"/>
  <c r="X120" i="69"/>
  <c r="AL120" i="69"/>
  <c r="AN120" i="69"/>
  <c r="W121" i="69"/>
  <c r="X121" i="69"/>
  <c r="AL121" i="69"/>
  <c r="AN121" i="69"/>
  <c r="W122" i="69"/>
  <c r="X122" i="69"/>
  <c r="AL122" i="69"/>
  <c r="AN122" i="69"/>
  <c r="W123" i="69"/>
  <c r="X123" i="69"/>
  <c r="AL123" i="69"/>
  <c r="AN123" i="69"/>
  <c r="W124" i="69"/>
  <c r="X124" i="69"/>
  <c r="AL124" i="69"/>
  <c r="AN124" i="69"/>
  <c r="W125" i="69"/>
  <c r="X125" i="69"/>
  <c r="AL125" i="69"/>
  <c r="AN125" i="69"/>
  <c r="W126" i="69"/>
  <c r="X126" i="69"/>
  <c r="AL126" i="69"/>
  <c r="AN126" i="69"/>
  <c r="W127" i="69"/>
  <c r="X127" i="69"/>
  <c r="AL127" i="69"/>
  <c r="AN127" i="69"/>
  <c r="W128" i="69"/>
  <c r="X128" i="69"/>
  <c r="AL128" i="69"/>
  <c r="AN128" i="69"/>
  <c r="W129" i="69"/>
  <c r="X129" i="69"/>
  <c r="AL129" i="69"/>
  <c r="AN129" i="69"/>
  <c r="W130" i="69"/>
  <c r="X130" i="69"/>
  <c r="AL130" i="69"/>
  <c r="AN130" i="69"/>
  <c r="W131" i="69"/>
  <c r="X131" i="69"/>
  <c r="AL131" i="69"/>
  <c r="AN131" i="69"/>
  <c r="W132" i="69"/>
  <c r="X132" i="69"/>
  <c r="AL132" i="69"/>
  <c r="AN132" i="69"/>
  <c r="W133" i="69"/>
  <c r="X133" i="69"/>
  <c r="AL133" i="69"/>
  <c r="AN133" i="69"/>
  <c r="W134" i="69"/>
  <c r="X134" i="69"/>
  <c r="AL134" i="69"/>
  <c r="AN134" i="69"/>
  <c r="W135" i="69"/>
  <c r="X135" i="69"/>
  <c r="AL135" i="69"/>
  <c r="AN135" i="69"/>
  <c r="W136" i="69"/>
  <c r="X136" i="69"/>
  <c r="AL136" i="69"/>
  <c r="AN136" i="69"/>
  <c r="W137" i="69"/>
  <c r="X137" i="69"/>
  <c r="AL137" i="69"/>
  <c r="AN137" i="69"/>
  <c r="W138" i="69"/>
  <c r="X138" i="69"/>
  <c r="AL138" i="69"/>
  <c r="AN138" i="69"/>
  <c r="W139" i="69"/>
  <c r="X139" i="69"/>
  <c r="AL139" i="69"/>
  <c r="AN139" i="69"/>
  <c r="W140" i="69"/>
  <c r="X140" i="69"/>
  <c r="AL140" i="69"/>
  <c r="AN140" i="69"/>
  <c r="W141" i="69"/>
  <c r="X141" i="69"/>
  <c r="AL141" i="69"/>
  <c r="AN141" i="69"/>
  <c r="W142" i="69"/>
  <c r="X142" i="69"/>
  <c r="AL142" i="69"/>
  <c r="AN142" i="69"/>
  <c r="W143" i="69"/>
  <c r="X143" i="69"/>
  <c r="AL143" i="69"/>
  <c r="AN143" i="69"/>
  <c r="W144" i="69"/>
  <c r="X144" i="69"/>
  <c r="AL144" i="69"/>
  <c r="AN144" i="69"/>
  <c r="W145" i="69"/>
  <c r="X145" i="69"/>
  <c r="AL145" i="69"/>
  <c r="AN145" i="69"/>
  <c r="W146" i="69"/>
  <c r="X146" i="69"/>
  <c r="AL146" i="69"/>
  <c r="AN146" i="69"/>
  <c r="W147" i="69"/>
  <c r="X147" i="69"/>
  <c r="AL147" i="69"/>
  <c r="AN147" i="69"/>
  <c r="W148" i="69"/>
  <c r="X148" i="69"/>
  <c r="AL148" i="69"/>
  <c r="AN148" i="69"/>
  <c r="W149" i="69"/>
  <c r="X149" i="69"/>
  <c r="AL149" i="69"/>
  <c r="AN149" i="69"/>
  <c r="W150" i="69"/>
  <c r="X150" i="69"/>
  <c r="AL150" i="69"/>
  <c r="AN150" i="69"/>
  <c r="W151" i="69"/>
  <c r="X151" i="69"/>
  <c r="AL151" i="69"/>
  <c r="AN151" i="69"/>
  <c r="W152" i="69"/>
  <c r="X152" i="69"/>
  <c r="AL152" i="69"/>
  <c r="AN152" i="69"/>
  <c r="W153" i="69"/>
  <c r="X153" i="69"/>
  <c r="AL153" i="69"/>
  <c r="AN153" i="69"/>
  <c r="W154" i="69"/>
  <c r="X154" i="69"/>
  <c r="AL154" i="69"/>
  <c r="AN154" i="69"/>
  <c r="W155" i="69"/>
  <c r="X155" i="69"/>
  <c r="AL155" i="69"/>
  <c r="AN155" i="69"/>
  <c r="W156" i="69"/>
  <c r="X156" i="69"/>
  <c r="AL156" i="69"/>
  <c r="AN156" i="69"/>
  <c r="W157" i="69"/>
  <c r="X157" i="69"/>
  <c r="AL157" i="69"/>
  <c r="AN157" i="69"/>
  <c r="W158" i="69"/>
  <c r="X158" i="69"/>
  <c r="AL158" i="69"/>
  <c r="AN158" i="69"/>
  <c r="W159" i="69"/>
  <c r="X159" i="69"/>
  <c r="AL159" i="69"/>
  <c r="AN159" i="69"/>
  <c r="W160" i="69"/>
  <c r="X160" i="69"/>
  <c r="AL160" i="69"/>
  <c r="AN160" i="69"/>
  <c r="W161" i="69"/>
  <c r="X161" i="69"/>
  <c r="AL161" i="69"/>
  <c r="AN161" i="69"/>
  <c r="W162" i="69"/>
  <c r="X162" i="69"/>
  <c r="AL162" i="69"/>
  <c r="AN162" i="69"/>
  <c r="W163" i="69"/>
  <c r="X163" i="69"/>
  <c r="AL163" i="69"/>
  <c r="AN163" i="69"/>
  <c r="W164" i="69"/>
  <c r="X164" i="69"/>
  <c r="AL164" i="69"/>
  <c r="AN164" i="69"/>
  <c r="W165" i="69"/>
  <c r="X165" i="69"/>
  <c r="AL165" i="69"/>
  <c r="AN165" i="69"/>
  <c r="W166" i="69"/>
  <c r="X166" i="69"/>
  <c r="AL166" i="69"/>
  <c r="AN166" i="69"/>
  <c r="W167" i="69"/>
  <c r="X167" i="69"/>
  <c r="AL167" i="69"/>
  <c r="AN167" i="69"/>
  <c r="W168" i="69"/>
  <c r="X168" i="69"/>
  <c r="AL168" i="69"/>
  <c r="AN168" i="69"/>
  <c r="W169" i="69"/>
  <c r="X169" i="69"/>
  <c r="AL169" i="69"/>
  <c r="AN169" i="69"/>
  <c r="W170" i="69"/>
  <c r="X170" i="69"/>
  <c r="AL170" i="69"/>
  <c r="AN170" i="69"/>
  <c r="W171" i="69"/>
  <c r="X171" i="69"/>
  <c r="AL171" i="69"/>
  <c r="AN171" i="69"/>
  <c r="W172" i="69"/>
  <c r="X172" i="69"/>
  <c r="AL172" i="69"/>
  <c r="AN172" i="69"/>
  <c r="W173" i="69"/>
  <c r="X173" i="69"/>
  <c r="AL173" i="69"/>
  <c r="AN173" i="69"/>
  <c r="W174" i="69"/>
  <c r="X174" i="69"/>
  <c r="AL174" i="69"/>
  <c r="AN174" i="69"/>
  <c r="W175" i="69"/>
  <c r="X175" i="69"/>
  <c r="AL175" i="69"/>
  <c r="AN175" i="69"/>
  <c r="W176" i="69"/>
  <c r="X176" i="69"/>
  <c r="AL176" i="69"/>
  <c r="AN176" i="69"/>
  <c r="W177" i="69"/>
  <c r="X177" i="69"/>
  <c r="AL177" i="69"/>
  <c r="AN177" i="69"/>
  <c r="W178" i="69"/>
  <c r="X178" i="69"/>
  <c r="AL178" i="69"/>
  <c r="AN178" i="69"/>
  <c r="W179" i="69"/>
  <c r="X179" i="69"/>
  <c r="AL179" i="69"/>
  <c r="AN179" i="69"/>
  <c r="W180" i="69"/>
  <c r="X180" i="69"/>
  <c r="AL180" i="69"/>
  <c r="AN180" i="69"/>
  <c r="W181" i="69"/>
  <c r="X181" i="69"/>
  <c r="AL181" i="69"/>
  <c r="AN181" i="69"/>
  <c r="W182" i="69"/>
  <c r="X182" i="69"/>
  <c r="AL182" i="69"/>
  <c r="AN182" i="69"/>
  <c r="W183" i="69"/>
  <c r="X183" i="69"/>
  <c r="AL183" i="69"/>
  <c r="AN183" i="69"/>
  <c r="W184" i="69"/>
  <c r="X184" i="69"/>
  <c r="AL184" i="69"/>
  <c r="AN184" i="69"/>
  <c r="W185" i="69"/>
  <c r="X185" i="69"/>
  <c r="AL185" i="69"/>
  <c r="AN185" i="69"/>
  <c r="W186" i="69"/>
  <c r="X186" i="69"/>
  <c r="AL186" i="69"/>
  <c r="AN186" i="69"/>
  <c r="W187" i="69"/>
  <c r="X187" i="69"/>
  <c r="AL187" i="69"/>
  <c r="AN187" i="69"/>
  <c r="W188" i="69"/>
  <c r="X188" i="69"/>
  <c r="AL188" i="69"/>
  <c r="AN188" i="69"/>
  <c r="W189" i="69"/>
  <c r="X189" i="69"/>
  <c r="AL189" i="69"/>
  <c r="AN189" i="69"/>
  <c r="W190" i="69"/>
  <c r="X190" i="69"/>
  <c r="AL190" i="69"/>
  <c r="AN190" i="69"/>
  <c r="W191" i="69"/>
  <c r="X191" i="69"/>
  <c r="AL191" i="69"/>
  <c r="AN191" i="69"/>
  <c r="W192" i="69"/>
  <c r="X192" i="69"/>
  <c r="AL192" i="69"/>
  <c r="AN192" i="69"/>
  <c r="W193" i="69"/>
  <c r="X193" i="69"/>
  <c r="AL193" i="69"/>
  <c r="AN193" i="69"/>
  <c r="W194" i="69"/>
  <c r="X194" i="69"/>
  <c r="AL194" i="69"/>
  <c r="AN194" i="69"/>
  <c r="W195" i="69"/>
  <c r="X195" i="69"/>
  <c r="AL195" i="69"/>
  <c r="AN195" i="69"/>
  <c r="W196" i="69"/>
  <c r="X196" i="69"/>
  <c r="AL196" i="69"/>
  <c r="AN196" i="69"/>
  <c r="W197" i="69"/>
  <c r="X197" i="69"/>
  <c r="AL197" i="69"/>
  <c r="AN197" i="69"/>
  <c r="W198" i="69"/>
  <c r="X198" i="69"/>
  <c r="AL198" i="69"/>
  <c r="AN198" i="69"/>
  <c r="W199" i="69"/>
  <c r="X199" i="69"/>
  <c r="AL199" i="69"/>
  <c r="AN199" i="69"/>
  <c r="W200" i="69"/>
  <c r="X200" i="69"/>
  <c r="AL200" i="69"/>
  <c r="AN200" i="69"/>
  <c r="W201" i="69"/>
  <c r="X201" i="69"/>
  <c r="AL201" i="69"/>
  <c r="AN201" i="69"/>
  <c r="W202" i="69"/>
  <c r="X202" i="69"/>
  <c r="AL202" i="69"/>
  <c r="AN202" i="69"/>
  <c r="W203" i="69"/>
  <c r="X203" i="69"/>
  <c r="AL203" i="69"/>
  <c r="AN203" i="69"/>
  <c r="W204" i="69"/>
  <c r="X204" i="69"/>
  <c r="AL204" i="69"/>
  <c r="AN204" i="69"/>
  <c r="W205" i="69"/>
  <c r="X205" i="69"/>
  <c r="AL205" i="69"/>
  <c r="AN205" i="69"/>
  <c r="W206" i="69"/>
  <c r="X206" i="69"/>
  <c r="AL206" i="69"/>
  <c r="AN206" i="69"/>
  <c r="W207" i="69"/>
  <c r="X207" i="69"/>
  <c r="AL207" i="69"/>
  <c r="AN207" i="69"/>
  <c r="W208" i="69"/>
  <c r="X208" i="69"/>
  <c r="AL208" i="69"/>
  <c r="AN208" i="69"/>
  <c r="W209" i="69"/>
  <c r="X209" i="69"/>
  <c r="AL209" i="69"/>
  <c r="AN209" i="69"/>
  <c r="W210" i="69"/>
  <c r="X210" i="69"/>
  <c r="AL210" i="69"/>
  <c r="AN210" i="69"/>
  <c r="W211" i="69"/>
  <c r="X211" i="69"/>
  <c r="AL211" i="69"/>
  <c r="AN211" i="69"/>
  <c r="W212" i="69"/>
  <c r="X212" i="69"/>
  <c r="AL212" i="69"/>
  <c r="AN212" i="69"/>
  <c r="W213" i="69"/>
  <c r="X213" i="69"/>
  <c r="AL213" i="69"/>
  <c r="AN213" i="69"/>
  <c r="W214" i="69"/>
  <c r="X214" i="69"/>
  <c r="AL214" i="69"/>
  <c r="AN214" i="69"/>
  <c r="W215" i="69"/>
  <c r="X215" i="69"/>
  <c r="AL215" i="69"/>
  <c r="AN215" i="69"/>
  <c r="W216" i="69"/>
  <c r="X216" i="69"/>
  <c r="AL216" i="69"/>
  <c r="AN216" i="69"/>
  <c r="W217" i="69"/>
  <c r="X217" i="69"/>
  <c r="AL217" i="69"/>
  <c r="AN217" i="69"/>
  <c r="W218" i="69"/>
  <c r="X218" i="69"/>
  <c r="AL218" i="69"/>
  <c r="AN218" i="69"/>
  <c r="W219" i="69"/>
  <c r="X219" i="69"/>
  <c r="AL219" i="69"/>
  <c r="AN219" i="69"/>
  <c r="W220" i="69"/>
  <c r="X220" i="69"/>
  <c r="AL220" i="69"/>
  <c r="AN220" i="69"/>
  <c r="W221" i="69"/>
  <c r="X221" i="69"/>
  <c r="AL221" i="69"/>
  <c r="AN221" i="69"/>
  <c r="W222" i="69"/>
  <c r="X222" i="69"/>
  <c r="AL222" i="69"/>
  <c r="AN222" i="69"/>
  <c r="W223" i="69"/>
  <c r="X223" i="69"/>
  <c r="AL223" i="69"/>
  <c r="AN223" i="69"/>
  <c r="W224" i="69"/>
  <c r="X224" i="69"/>
  <c r="AL224" i="69"/>
  <c r="AN224" i="69"/>
  <c r="W225" i="69"/>
  <c r="X225" i="69"/>
  <c r="AL225" i="69"/>
  <c r="AN225" i="69"/>
  <c r="W226" i="69"/>
  <c r="X226" i="69"/>
  <c r="AL226" i="69"/>
  <c r="AN226" i="69"/>
  <c r="W227" i="69"/>
  <c r="X227" i="69"/>
  <c r="AL227" i="69"/>
  <c r="AN227" i="69"/>
  <c r="W228" i="69"/>
  <c r="X228" i="69"/>
  <c r="AL228" i="69"/>
  <c r="AN228" i="69"/>
  <c r="W229" i="69"/>
  <c r="X229" i="69"/>
  <c r="AL229" i="69"/>
  <c r="AN229" i="69"/>
  <c r="W230" i="69"/>
  <c r="X230" i="69"/>
  <c r="AL230" i="69"/>
  <c r="AN230" i="69"/>
  <c r="W231" i="69"/>
  <c r="X231" i="69"/>
  <c r="AL231" i="69"/>
  <c r="AN231" i="69"/>
  <c r="W232" i="69"/>
  <c r="X232" i="69"/>
  <c r="AL232" i="69"/>
  <c r="AN232" i="69"/>
  <c r="W233" i="69"/>
  <c r="X233" i="69"/>
  <c r="AL233" i="69"/>
  <c r="AN233" i="69"/>
  <c r="W234" i="69"/>
  <c r="X234" i="69"/>
  <c r="AL234" i="69"/>
  <c r="AN234" i="69"/>
  <c r="W235" i="69"/>
  <c r="X235" i="69"/>
  <c r="AL235" i="69"/>
  <c r="AN235" i="69"/>
  <c r="W236" i="69"/>
  <c r="X236" i="69"/>
  <c r="AL236" i="69"/>
  <c r="AN236" i="69"/>
  <c r="W237" i="69"/>
  <c r="X237" i="69"/>
  <c r="AL237" i="69"/>
  <c r="AN237" i="69"/>
  <c r="W238" i="69"/>
  <c r="X238" i="69"/>
  <c r="AL238" i="69"/>
  <c r="AN238" i="69"/>
  <c r="W239" i="69"/>
  <c r="X239" i="69"/>
  <c r="AL239" i="69"/>
  <c r="AN239" i="69"/>
  <c r="W240" i="69"/>
  <c r="X240" i="69"/>
  <c r="AL240" i="69"/>
  <c r="AN240" i="69"/>
  <c r="W241" i="69"/>
  <c r="X241" i="69"/>
  <c r="AL241" i="69"/>
  <c r="AN241" i="69"/>
  <c r="W242" i="69"/>
  <c r="X242" i="69"/>
  <c r="AL242" i="69"/>
  <c r="AN242" i="69"/>
  <c r="W243" i="69"/>
  <c r="X243" i="69"/>
  <c r="AL243" i="69"/>
  <c r="AN243" i="69"/>
  <c r="W244" i="69"/>
  <c r="X244" i="69"/>
  <c r="AL244" i="69"/>
  <c r="AN244" i="69"/>
  <c r="W245" i="69"/>
  <c r="X245" i="69"/>
  <c r="AL245" i="69"/>
  <c r="AN245" i="69"/>
  <c r="W246" i="69"/>
  <c r="X246" i="69"/>
  <c r="AL246" i="69"/>
  <c r="AN246" i="69"/>
  <c r="W247" i="69"/>
  <c r="X247" i="69"/>
  <c r="AL247" i="69"/>
  <c r="AN247" i="69"/>
  <c r="W248" i="69"/>
  <c r="X248" i="69"/>
  <c r="AL248" i="69"/>
  <c r="AN248" i="69"/>
  <c r="W249" i="69"/>
  <c r="X249" i="69"/>
  <c r="AL249" i="69"/>
  <c r="AN249" i="69"/>
  <c r="W250" i="69"/>
  <c r="X250" i="69"/>
  <c r="AL250" i="69"/>
  <c r="AN250" i="69"/>
  <c r="W251" i="69"/>
  <c r="X251" i="69"/>
  <c r="AL251" i="69"/>
  <c r="AN251" i="69"/>
  <c r="W252" i="69"/>
  <c r="X252" i="69"/>
  <c r="AL252" i="69"/>
  <c r="AN252" i="69"/>
  <c r="W253" i="69"/>
  <c r="X253" i="69"/>
  <c r="AL253" i="69"/>
  <c r="AN253" i="69"/>
  <c r="W254" i="69"/>
  <c r="X254" i="69"/>
  <c r="AL254" i="69"/>
  <c r="AN254" i="69"/>
  <c r="W255" i="69"/>
  <c r="X255" i="69"/>
  <c r="AL255" i="69"/>
  <c r="AN255" i="69"/>
  <c r="W256" i="69"/>
  <c r="X256" i="69"/>
  <c r="AL256" i="69"/>
  <c r="AN256" i="69"/>
  <c r="W257" i="69"/>
  <c r="X257" i="69"/>
  <c r="AL257" i="69"/>
  <c r="AN257" i="69"/>
  <c r="AN12" i="69"/>
  <c r="AL12" i="69"/>
  <c r="X12" i="69"/>
  <c r="W12" i="69"/>
  <c r="E13" i="68"/>
  <c r="F13" i="68" s="1"/>
  <c r="H13" i="68"/>
  <c r="J13" i="68"/>
  <c r="K13" i="68"/>
  <c r="U13" i="68"/>
  <c r="Y13" i="68"/>
  <c r="AA13" i="68"/>
  <c r="E14" i="68"/>
  <c r="F14" i="68" s="1"/>
  <c r="H14" i="68"/>
  <c r="J14" i="68"/>
  <c r="K14" i="68"/>
  <c r="U14" i="68"/>
  <c r="Y14" i="68"/>
  <c r="AA14" i="68"/>
  <c r="E15" i="68"/>
  <c r="F15" i="68" s="1"/>
  <c r="H15" i="68"/>
  <c r="J15" i="68"/>
  <c r="K15" i="68"/>
  <c r="U15" i="68"/>
  <c r="Y15" i="68"/>
  <c r="AA15" i="68"/>
  <c r="E16" i="68"/>
  <c r="F16" i="68" s="1"/>
  <c r="H16" i="68"/>
  <c r="J16" i="68"/>
  <c r="K16" i="68"/>
  <c r="U16" i="68"/>
  <c r="Y16" i="68"/>
  <c r="AA16" i="68"/>
  <c r="E17" i="68"/>
  <c r="F17" i="68" s="1"/>
  <c r="H17" i="68"/>
  <c r="J17" i="68"/>
  <c r="K17" i="68"/>
  <c r="U17" i="68"/>
  <c r="Y17" i="68"/>
  <c r="AA17" i="68"/>
  <c r="E18" i="68"/>
  <c r="F18" i="68" s="1"/>
  <c r="H18" i="68"/>
  <c r="J18" i="68"/>
  <c r="K18" i="68"/>
  <c r="U18" i="68"/>
  <c r="Y18" i="68"/>
  <c r="AA18" i="68"/>
  <c r="E19" i="68"/>
  <c r="F19" i="68" s="1"/>
  <c r="H19" i="68"/>
  <c r="J19" i="68"/>
  <c r="K19" i="68"/>
  <c r="U19" i="68"/>
  <c r="Y19" i="68"/>
  <c r="AA19" i="68"/>
  <c r="E20" i="68"/>
  <c r="F20" i="68" s="1"/>
  <c r="H20" i="68"/>
  <c r="J20" i="68"/>
  <c r="K20" i="68"/>
  <c r="U20" i="68"/>
  <c r="Y20" i="68"/>
  <c r="AA20" i="68"/>
  <c r="E21" i="68"/>
  <c r="F21" i="68" s="1"/>
  <c r="H21" i="68"/>
  <c r="J21" i="68"/>
  <c r="K21" i="68"/>
  <c r="U21" i="68"/>
  <c r="Y21" i="68"/>
  <c r="AA21" i="68"/>
  <c r="E22" i="68"/>
  <c r="F22" i="68" s="1"/>
  <c r="H22" i="68"/>
  <c r="J22" i="68"/>
  <c r="K22" i="68"/>
  <c r="U22" i="68"/>
  <c r="Y22" i="68"/>
  <c r="AA22" i="68"/>
  <c r="E23" i="68"/>
  <c r="F23" i="68" s="1"/>
  <c r="H23" i="68"/>
  <c r="J23" i="68"/>
  <c r="K23" i="68"/>
  <c r="U23" i="68"/>
  <c r="Y23" i="68"/>
  <c r="AA23" i="68"/>
  <c r="E24" i="68"/>
  <c r="F24" i="68" s="1"/>
  <c r="H24" i="68"/>
  <c r="J24" i="68"/>
  <c r="K24" i="68"/>
  <c r="U24" i="68"/>
  <c r="Y24" i="68"/>
  <c r="AA24" i="68"/>
  <c r="E25" i="68"/>
  <c r="F25" i="68" s="1"/>
  <c r="H25" i="68"/>
  <c r="J25" i="68"/>
  <c r="K25" i="68"/>
  <c r="U25" i="68"/>
  <c r="Y25" i="68"/>
  <c r="AA25" i="68"/>
  <c r="E26" i="68"/>
  <c r="F26" i="68" s="1"/>
  <c r="H26" i="68"/>
  <c r="J26" i="68"/>
  <c r="K26" i="68"/>
  <c r="U26" i="68"/>
  <c r="Y26" i="68"/>
  <c r="AA26" i="68"/>
  <c r="E27" i="68"/>
  <c r="F27" i="68" s="1"/>
  <c r="H27" i="68"/>
  <c r="J27" i="68"/>
  <c r="K27" i="68"/>
  <c r="U27" i="68"/>
  <c r="Y27" i="68"/>
  <c r="AA27" i="68"/>
  <c r="E28" i="68"/>
  <c r="F28" i="68" s="1"/>
  <c r="H28" i="68"/>
  <c r="J28" i="68"/>
  <c r="K28" i="68"/>
  <c r="U28" i="68"/>
  <c r="Y28" i="68"/>
  <c r="AA28" i="68"/>
  <c r="E29" i="68"/>
  <c r="F29" i="68" s="1"/>
  <c r="H29" i="68"/>
  <c r="J29" i="68"/>
  <c r="K29" i="68"/>
  <c r="U29" i="68"/>
  <c r="Y29" i="68"/>
  <c r="AA29" i="68"/>
  <c r="E30" i="68"/>
  <c r="F30" i="68" s="1"/>
  <c r="H30" i="68"/>
  <c r="J30" i="68"/>
  <c r="K30" i="68"/>
  <c r="U30" i="68"/>
  <c r="Y30" i="68"/>
  <c r="AA30" i="68"/>
  <c r="E31" i="68"/>
  <c r="F31" i="68" s="1"/>
  <c r="H31" i="68"/>
  <c r="J31" i="68"/>
  <c r="K31" i="68"/>
  <c r="U31" i="68"/>
  <c r="Y31" i="68"/>
  <c r="AA31" i="68"/>
  <c r="E32" i="68"/>
  <c r="F32" i="68" s="1"/>
  <c r="H32" i="68"/>
  <c r="J32" i="68"/>
  <c r="K32" i="68"/>
  <c r="U32" i="68"/>
  <c r="Y32" i="68"/>
  <c r="AA32" i="68"/>
  <c r="E33" i="68"/>
  <c r="F33" i="68" s="1"/>
  <c r="H33" i="68"/>
  <c r="J33" i="68"/>
  <c r="K33" i="68"/>
  <c r="U33" i="68"/>
  <c r="Y33" i="68"/>
  <c r="AA33" i="68"/>
  <c r="E34" i="68"/>
  <c r="F34" i="68" s="1"/>
  <c r="H34" i="68"/>
  <c r="J34" i="68"/>
  <c r="K34" i="68"/>
  <c r="U34" i="68"/>
  <c r="Y34" i="68"/>
  <c r="AA34" i="68"/>
  <c r="E35" i="68"/>
  <c r="F35" i="68" s="1"/>
  <c r="H35" i="68"/>
  <c r="J35" i="68"/>
  <c r="K35" i="68"/>
  <c r="U35" i="68"/>
  <c r="Y35" i="68"/>
  <c r="AA35" i="68"/>
  <c r="E36" i="68"/>
  <c r="F36" i="68" s="1"/>
  <c r="H36" i="68"/>
  <c r="J36" i="68"/>
  <c r="K36" i="68"/>
  <c r="U36" i="68"/>
  <c r="Y36" i="68"/>
  <c r="AA36" i="68"/>
  <c r="E37" i="68"/>
  <c r="F37" i="68" s="1"/>
  <c r="H37" i="68"/>
  <c r="J37" i="68"/>
  <c r="K37" i="68"/>
  <c r="U37" i="68"/>
  <c r="Y37" i="68"/>
  <c r="AA37" i="68"/>
  <c r="E38" i="68"/>
  <c r="F38" i="68" s="1"/>
  <c r="H38" i="68"/>
  <c r="J38" i="68"/>
  <c r="K38" i="68"/>
  <c r="U38" i="68"/>
  <c r="Y38" i="68"/>
  <c r="AA38" i="68"/>
  <c r="E39" i="68"/>
  <c r="F39" i="68" s="1"/>
  <c r="H39" i="68"/>
  <c r="J39" i="68"/>
  <c r="K39" i="68"/>
  <c r="U39" i="68"/>
  <c r="Y39" i="68"/>
  <c r="AA39" i="68"/>
  <c r="E40" i="68"/>
  <c r="F40" i="68" s="1"/>
  <c r="H40" i="68"/>
  <c r="J40" i="68"/>
  <c r="K40" i="68"/>
  <c r="U40" i="68"/>
  <c r="Y40" i="68"/>
  <c r="AA40" i="68"/>
  <c r="E41" i="68"/>
  <c r="F41" i="68" s="1"/>
  <c r="H41" i="68"/>
  <c r="J41" i="68"/>
  <c r="K41" i="68"/>
  <c r="U41" i="68"/>
  <c r="Y41" i="68"/>
  <c r="AA41" i="68"/>
  <c r="E42" i="68"/>
  <c r="F42" i="68" s="1"/>
  <c r="H42" i="68"/>
  <c r="J42" i="68"/>
  <c r="K42" i="68"/>
  <c r="U42" i="68"/>
  <c r="Y42" i="68"/>
  <c r="AA42" i="68"/>
  <c r="E43" i="68"/>
  <c r="F43" i="68" s="1"/>
  <c r="H43" i="68"/>
  <c r="J43" i="68"/>
  <c r="K43" i="68"/>
  <c r="U43" i="68"/>
  <c r="Y43" i="68"/>
  <c r="AA43" i="68"/>
  <c r="E44" i="68"/>
  <c r="F44" i="68" s="1"/>
  <c r="H44" i="68"/>
  <c r="J44" i="68"/>
  <c r="K44" i="68"/>
  <c r="U44" i="68"/>
  <c r="Y44" i="68"/>
  <c r="AA44" i="68"/>
  <c r="E45" i="68"/>
  <c r="F45" i="68" s="1"/>
  <c r="H45" i="68"/>
  <c r="J45" i="68"/>
  <c r="K45" i="68"/>
  <c r="U45" i="68"/>
  <c r="Y45" i="68"/>
  <c r="AA45" i="68"/>
  <c r="E46" i="68"/>
  <c r="F46" i="68" s="1"/>
  <c r="H46" i="68"/>
  <c r="J46" i="68"/>
  <c r="K46" i="68"/>
  <c r="U46" i="68"/>
  <c r="Y46" i="68"/>
  <c r="AA46" i="68"/>
  <c r="E47" i="68"/>
  <c r="F47" i="68" s="1"/>
  <c r="H47" i="68"/>
  <c r="J47" i="68"/>
  <c r="K47" i="68"/>
  <c r="U47" i="68"/>
  <c r="Y47" i="68"/>
  <c r="AA47" i="68"/>
  <c r="E48" i="68"/>
  <c r="F48" i="68" s="1"/>
  <c r="H48" i="68"/>
  <c r="J48" i="68"/>
  <c r="K48" i="68"/>
  <c r="U48" i="68"/>
  <c r="Y48" i="68"/>
  <c r="AA48" i="68"/>
  <c r="E49" i="68"/>
  <c r="F49" i="68" s="1"/>
  <c r="H49" i="68"/>
  <c r="J49" i="68"/>
  <c r="K49" i="68"/>
  <c r="U49" i="68"/>
  <c r="Y49" i="68"/>
  <c r="AA49" i="68"/>
  <c r="E50" i="68"/>
  <c r="F50" i="68" s="1"/>
  <c r="H50" i="68"/>
  <c r="J50" i="68"/>
  <c r="K50" i="68"/>
  <c r="U50" i="68"/>
  <c r="Y50" i="68"/>
  <c r="AA50" i="68"/>
  <c r="E51" i="68"/>
  <c r="F51" i="68" s="1"/>
  <c r="H51" i="68"/>
  <c r="J51" i="68"/>
  <c r="K51" i="68"/>
  <c r="U51" i="68"/>
  <c r="Y51" i="68"/>
  <c r="AA51" i="68"/>
  <c r="E52" i="68"/>
  <c r="F52" i="68" s="1"/>
  <c r="H52" i="68"/>
  <c r="J52" i="68"/>
  <c r="K52" i="68"/>
  <c r="U52" i="68"/>
  <c r="Y52" i="68"/>
  <c r="AA52" i="68"/>
  <c r="E53" i="68"/>
  <c r="F53" i="68" s="1"/>
  <c r="H53" i="68"/>
  <c r="J53" i="68"/>
  <c r="K53" i="68"/>
  <c r="U53" i="68"/>
  <c r="Y53" i="68"/>
  <c r="AA53" i="68"/>
  <c r="E54" i="68"/>
  <c r="F54" i="68" s="1"/>
  <c r="H54" i="68"/>
  <c r="J54" i="68"/>
  <c r="K54" i="68"/>
  <c r="U54" i="68"/>
  <c r="Y54" i="68"/>
  <c r="AA54" i="68"/>
  <c r="E55" i="68"/>
  <c r="F55" i="68" s="1"/>
  <c r="H55" i="68"/>
  <c r="J55" i="68"/>
  <c r="K55" i="68"/>
  <c r="U55" i="68"/>
  <c r="Y55" i="68"/>
  <c r="AA55" i="68"/>
  <c r="E56" i="68"/>
  <c r="F56" i="68" s="1"/>
  <c r="H56" i="68"/>
  <c r="J56" i="68"/>
  <c r="K56" i="68"/>
  <c r="U56" i="68"/>
  <c r="Y56" i="68"/>
  <c r="AA56" i="68"/>
  <c r="E57" i="68"/>
  <c r="F57" i="68" s="1"/>
  <c r="H57" i="68"/>
  <c r="J57" i="68"/>
  <c r="K57" i="68"/>
  <c r="U57" i="68"/>
  <c r="Y57" i="68"/>
  <c r="AA57" i="68"/>
  <c r="E58" i="68"/>
  <c r="F58" i="68" s="1"/>
  <c r="H58" i="68"/>
  <c r="J58" i="68"/>
  <c r="K58" i="68"/>
  <c r="U58" i="68"/>
  <c r="Y58" i="68"/>
  <c r="AA58" i="68"/>
  <c r="E59" i="68"/>
  <c r="F59" i="68" s="1"/>
  <c r="H59" i="68"/>
  <c r="J59" i="68"/>
  <c r="K59" i="68"/>
  <c r="U59" i="68"/>
  <c r="Y59" i="68"/>
  <c r="AA59" i="68"/>
  <c r="E60" i="68"/>
  <c r="F60" i="68" s="1"/>
  <c r="H60" i="68"/>
  <c r="J60" i="68"/>
  <c r="K60" i="68"/>
  <c r="U60" i="68"/>
  <c r="Y60" i="68"/>
  <c r="AA60" i="68"/>
  <c r="E61" i="68"/>
  <c r="F61" i="68" s="1"/>
  <c r="H61" i="68"/>
  <c r="J61" i="68"/>
  <c r="K61" i="68"/>
  <c r="U61" i="68"/>
  <c r="Y61" i="68"/>
  <c r="AA61" i="68"/>
  <c r="E62" i="68"/>
  <c r="F62" i="68" s="1"/>
  <c r="H62" i="68"/>
  <c r="J62" i="68"/>
  <c r="K62" i="68"/>
  <c r="U62" i="68"/>
  <c r="Y62" i="68"/>
  <c r="AA62" i="68"/>
  <c r="E63" i="68"/>
  <c r="F63" i="68" s="1"/>
  <c r="H63" i="68"/>
  <c r="J63" i="68"/>
  <c r="K63" i="68"/>
  <c r="U63" i="68"/>
  <c r="Y63" i="68"/>
  <c r="AA63" i="68"/>
  <c r="E64" i="68"/>
  <c r="F64" i="68" s="1"/>
  <c r="H64" i="68"/>
  <c r="J64" i="68"/>
  <c r="K64" i="68"/>
  <c r="U64" i="68"/>
  <c r="Y64" i="68"/>
  <c r="AA64" i="68"/>
  <c r="E65" i="68"/>
  <c r="F65" i="68" s="1"/>
  <c r="H65" i="68"/>
  <c r="J65" i="68"/>
  <c r="K65" i="68"/>
  <c r="U65" i="68"/>
  <c r="Y65" i="68"/>
  <c r="AA65" i="68"/>
  <c r="E66" i="68"/>
  <c r="F66" i="68" s="1"/>
  <c r="H66" i="68"/>
  <c r="J66" i="68"/>
  <c r="K66" i="68"/>
  <c r="U66" i="68"/>
  <c r="Y66" i="68"/>
  <c r="AA66" i="68"/>
  <c r="E67" i="68"/>
  <c r="F67" i="68" s="1"/>
  <c r="H67" i="68"/>
  <c r="J67" i="68"/>
  <c r="K67" i="68"/>
  <c r="U67" i="68"/>
  <c r="Y67" i="68"/>
  <c r="AA67" i="68"/>
  <c r="E68" i="68"/>
  <c r="F68" i="68" s="1"/>
  <c r="H68" i="68"/>
  <c r="J68" i="68"/>
  <c r="K68" i="68"/>
  <c r="U68" i="68"/>
  <c r="Y68" i="68"/>
  <c r="AA68" i="68"/>
  <c r="E69" i="68"/>
  <c r="F69" i="68" s="1"/>
  <c r="H69" i="68"/>
  <c r="J69" i="68"/>
  <c r="K69" i="68"/>
  <c r="U69" i="68"/>
  <c r="Y69" i="68"/>
  <c r="AA69" i="68"/>
  <c r="E70" i="68"/>
  <c r="F70" i="68" s="1"/>
  <c r="H70" i="68"/>
  <c r="J70" i="68"/>
  <c r="K70" i="68"/>
  <c r="U70" i="68"/>
  <c r="Y70" i="68"/>
  <c r="AA70" i="68"/>
  <c r="E71" i="68"/>
  <c r="F71" i="68" s="1"/>
  <c r="H71" i="68"/>
  <c r="J71" i="68"/>
  <c r="K71" i="68"/>
  <c r="U71" i="68"/>
  <c r="Y71" i="68"/>
  <c r="AA71" i="68"/>
  <c r="E72" i="68"/>
  <c r="F72" i="68" s="1"/>
  <c r="H72" i="68"/>
  <c r="J72" i="68"/>
  <c r="K72" i="68"/>
  <c r="U72" i="68"/>
  <c r="Y72" i="68"/>
  <c r="AA72" i="68"/>
  <c r="E73" i="68"/>
  <c r="F73" i="68" s="1"/>
  <c r="H73" i="68"/>
  <c r="J73" i="68"/>
  <c r="K73" i="68"/>
  <c r="U73" i="68"/>
  <c r="Y73" i="68"/>
  <c r="AA73" i="68"/>
  <c r="E74" i="68"/>
  <c r="F74" i="68" s="1"/>
  <c r="H74" i="68"/>
  <c r="J74" i="68"/>
  <c r="K74" i="68"/>
  <c r="U74" i="68"/>
  <c r="Y74" i="68"/>
  <c r="AA74" i="68"/>
  <c r="E75" i="68"/>
  <c r="F75" i="68" s="1"/>
  <c r="H75" i="68"/>
  <c r="J75" i="68"/>
  <c r="K75" i="68"/>
  <c r="U75" i="68"/>
  <c r="Y75" i="68"/>
  <c r="AA75" i="68"/>
  <c r="E76" i="68"/>
  <c r="F76" i="68" s="1"/>
  <c r="H76" i="68"/>
  <c r="J76" i="68"/>
  <c r="K76" i="68"/>
  <c r="U76" i="68"/>
  <c r="Y76" i="68"/>
  <c r="AA76" i="68"/>
  <c r="E77" i="68"/>
  <c r="F77" i="68" s="1"/>
  <c r="H77" i="68"/>
  <c r="J77" i="68"/>
  <c r="K77" i="68"/>
  <c r="U77" i="68"/>
  <c r="Y77" i="68"/>
  <c r="AA77" i="68"/>
  <c r="E78" i="68"/>
  <c r="F78" i="68" s="1"/>
  <c r="H78" i="68"/>
  <c r="J78" i="68"/>
  <c r="K78" i="68"/>
  <c r="U78" i="68"/>
  <c r="Y78" i="68"/>
  <c r="AA78" i="68"/>
  <c r="E79" i="68"/>
  <c r="F79" i="68" s="1"/>
  <c r="H79" i="68"/>
  <c r="J79" i="68"/>
  <c r="K79" i="68"/>
  <c r="U79" i="68"/>
  <c r="Y79" i="68"/>
  <c r="AA79" i="68"/>
  <c r="E80" i="68"/>
  <c r="F80" i="68" s="1"/>
  <c r="H80" i="68"/>
  <c r="J80" i="68"/>
  <c r="K80" i="68"/>
  <c r="U80" i="68"/>
  <c r="Y80" i="68"/>
  <c r="AA80" i="68"/>
  <c r="E81" i="68"/>
  <c r="F81" i="68" s="1"/>
  <c r="H81" i="68"/>
  <c r="J81" i="68"/>
  <c r="K81" i="68"/>
  <c r="U81" i="68"/>
  <c r="Y81" i="68"/>
  <c r="AA81" i="68"/>
  <c r="E82" i="68"/>
  <c r="F82" i="68" s="1"/>
  <c r="H82" i="68"/>
  <c r="J82" i="68"/>
  <c r="K82" i="68"/>
  <c r="U82" i="68"/>
  <c r="Y82" i="68"/>
  <c r="AA82" i="68"/>
  <c r="E83" i="68"/>
  <c r="F83" i="68" s="1"/>
  <c r="H83" i="68"/>
  <c r="J83" i="68"/>
  <c r="K83" i="68"/>
  <c r="U83" i="68"/>
  <c r="Y83" i="68"/>
  <c r="AA83" i="68"/>
  <c r="E84" i="68"/>
  <c r="F84" i="68" s="1"/>
  <c r="H84" i="68"/>
  <c r="J84" i="68"/>
  <c r="K84" i="68"/>
  <c r="U84" i="68"/>
  <c r="Y84" i="68"/>
  <c r="AA84" i="68"/>
  <c r="E85" i="68"/>
  <c r="F85" i="68" s="1"/>
  <c r="H85" i="68"/>
  <c r="J85" i="68"/>
  <c r="K85" i="68"/>
  <c r="U85" i="68"/>
  <c r="Y85" i="68"/>
  <c r="AA85" i="68"/>
  <c r="E86" i="68"/>
  <c r="F86" i="68" s="1"/>
  <c r="H86" i="68"/>
  <c r="J86" i="68"/>
  <c r="K86" i="68"/>
  <c r="U86" i="68"/>
  <c r="Y86" i="68"/>
  <c r="AA86" i="68"/>
  <c r="E87" i="68"/>
  <c r="F87" i="68" s="1"/>
  <c r="H87" i="68"/>
  <c r="J87" i="68"/>
  <c r="K87" i="68"/>
  <c r="U87" i="68"/>
  <c r="Y87" i="68"/>
  <c r="AA87" i="68"/>
  <c r="E88" i="68"/>
  <c r="F88" i="68" s="1"/>
  <c r="H88" i="68"/>
  <c r="J88" i="68"/>
  <c r="K88" i="68"/>
  <c r="U88" i="68"/>
  <c r="Y88" i="68"/>
  <c r="AA88" i="68"/>
  <c r="E89" i="68"/>
  <c r="F89" i="68" s="1"/>
  <c r="H89" i="68"/>
  <c r="J89" i="68"/>
  <c r="K89" i="68"/>
  <c r="U89" i="68"/>
  <c r="Y89" i="68"/>
  <c r="AA89" i="68"/>
  <c r="E90" i="68"/>
  <c r="F90" i="68" s="1"/>
  <c r="H90" i="68"/>
  <c r="J90" i="68"/>
  <c r="K90" i="68"/>
  <c r="U90" i="68"/>
  <c r="Y90" i="68"/>
  <c r="AA90" i="68"/>
  <c r="E91" i="68"/>
  <c r="F91" i="68" s="1"/>
  <c r="H91" i="68"/>
  <c r="J91" i="68"/>
  <c r="K91" i="68"/>
  <c r="U91" i="68"/>
  <c r="Y91" i="68"/>
  <c r="AA91" i="68"/>
  <c r="E92" i="68"/>
  <c r="F92" i="68" s="1"/>
  <c r="H92" i="68"/>
  <c r="J92" i="68"/>
  <c r="K92" i="68"/>
  <c r="U92" i="68"/>
  <c r="Y92" i="68"/>
  <c r="AA92" i="68"/>
  <c r="E93" i="68"/>
  <c r="F93" i="68" s="1"/>
  <c r="H93" i="68"/>
  <c r="J93" i="68"/>
  <c r="K93" i="68"/>
  <c r="U93" i="68"/>
  <c r="Y93" i="68"/>
  <c r="AA93" i="68"/>
  <c r="E94" i="68"/>
  <c r="F94" i="68" s="1"/>
  <c r="H94" i="68"/>
  <c r="J94" i="68"/>
  <c r="K94" i="68"/>
  <c r="U94" i="68"/>
  <c r="Y94" i="68"/>
  <c r="AA94" i="68"/>
  <c r="E95" i="68"/>
  <c r="F95" i="68" s="1"/>
  <c r="H95" i="68"/>
  <c r="J95" i="68"/>
  <c r="K95" i="68"/>
  <c r="U95" i="68"/>
  <c r="Y95" i="68"/>
  <c r="AA95" i="68"/>
  <c r="E96" i="68"/>
  <c r="F96" i="68" s="1"/>
  <c r="H96" i="68"/>
  <c r="J96" i="68"/>
  <c r="K96" i="68"/>
  <c r="U96" i="68"/>
  <c r="Y96" i="68"/>
  <c r="AA96" i="68"/>
  <c r="E97" i="68"/>
  <c r="F97" i="68" s="1"/>
  <c r="H97" i="68"/>
  <c r="J97" i="68"/>
  <c r="K97" i="68"/>
  <c r="U97" i="68"/>
  <c r="Y97" i="68"/>
  <c r="AA97" i="68"/>
  <c r="E98" i="68"/>
  <c r="F98" i="68" s="1"/>
  <c r="H98" i="68"/>
  <c r="J98" i="68"/>
  <c r="K98" i="68"/>
  <c r="U98" i="68"/>
  <c r="Y98" i="68"/>
  <c r="AA98" i="68"/>
  <c r="E99" i="68"/>
  <c r="F99" i="68" s="1"/>
  <c r="H99" i="68"/>
  <c r="J99" i="68"/>
  <c r="K99" i="68"/>
  <c r="U99" i="68"/>
  <c r="Y99" i="68"/>
  <c r="AA99" i="68"/>
  <c r="E100" i="68"/>
  <c r="F100" i="68" s="1"/>
  <c r="H100" i="68"/>
  <c r="J100" i="68"/>
  <c r="K100" i="68"/>
  <c r="U100" i="68"/>
  <c r="Y100" i="68"/>
  <c r="AA100" i="68"/>
  <c r="E101" i="68"/>
  <c r="F101" i="68" s="1"/>
  <c r="H101" i="68"/>
  <c r="J101" i="68"/>
  <c r="K101" i="68"/>
  <c r="U101" i="68"/>
  <c r="Y101" i="68"/>
  <c r="AA101" i="68"/>
  <c r="E102" i="68"/>
  <c r="F102" i="68" s="1"/>
  <c r="H102" i="68"/>
  <c r="J102" i="68"/>
  <c r="K102" i="68"/>
  <c r="U102" i="68"/>
  <c r="Y102" i="68"/>
  <c r="AA102" i="68"/>
  <c r="E103" i="68"/>
  <c r="F103" i="68" s="1"/>
  <c r="H103" i="68"/>
  <c r="J103" i="68"/>
  <c r="K103" i="68"/>
  <c r="U103" i="68"/>
  <c r="Y103" i="68"/>
  <c r="AA103" i="68"/>
  <c r="E104" i="68"/>
  <c r="F104" i="68" s="1"/>
  <c r="H104" i="68"/>
  <c r="J104" i="68"/>
  <c r="K104" i="68"/>
  <c r="U104" i="68"/>
  <c r="Y104" i="68"/>
  <c r="AA104" i="68"/>
  <c r="E105" i="68"/>
  <c r="F105" i="68" s="1"/>
  <c r="H105" i="68"/>
  <c r="J105" i="68"/>
  <c r="K105" i="68"/>
  <c r="U105" i="68"/>
  <c r="Y105" i="68"/>
  <c r="AA105" i="68"/>
  <c r="E106" i="68"/>
  <c r="F106" i="68" s="1"/>
  <c r="H106" i="68"/>
  <c r="J106" i="68"/>
  <c r="K106" i="68"/>
  <c r="U106" i="68"/>
  <c r="Y106" i="68"/>
  <c r="AA106" i="68"/>
  <c r="E107" i="68"/>
  <c r="F107" i="68" s="1"/>
  <c r="H107" i="68"/>
  <c r="J107" i="68"/>
  <c r="K107" i="68"/>
  <c r="U107" i="68"/>
  <c r="Y107" i="68"/>
  <c r="AA107" i="68"/>
  <c r="E108" i="68"/>
  <c r="F108" i="68" s="1"/>
  <c r="H108" i="68"/>
  <c r="J108" i="68"/>
  <c r="K108" i="68"/>
  <c r="U108" i="68"/>
  <c r="Y108" i="68"/>
  <c r="AA108" i="68"/>
  <c r="E109" i="68"/>
  <c r="F109" i="68" s="1"/>
  <c r="H109" i="68"/>
  <c r="J109" i="68"/>
  <c r="K109" i="68"/>
  <c r="U109" i="68"/>
  <c r="Y109" i="68"/>
  <c r="AA109" i="68"/>
  <c r="E110" i="68"/>
  <c r="F110" i="68" s="1"/>
  <c r="H110" i="68"/>
  <c r="J110" i="68"/>
  <c r="K110" i="68"/>
  <c r="U110" i="68"/>
  <c r="Y110" i="68"/>
  <c r="AA110" i="68"/>
  <c r="E111" i="68"/>
  <c r="F111" i="68" s="1"/>
  <c r="H111" i="68"/>
  <c r="J111" i="68"/>
  <c r="K111" i="68"/>
  <c r="U111" i="68"/>
  <c r="Y111" i="68"/>
  <c r="AA111" i="68"/>
  <c r="E112" i="68"/>
  <c r="F112" i="68" s="1"/>
  <c r="H112" i="68"/>
  <c r="J112" i="68"/>
  <c r="K112" i="68"/>
  <c r="U112" i="68"/>
  <c r="Y112" i="68"/>
  <c r="AA112" i="68"/>
  <c r="E113" i="68"/>
  <c r="F113" i="68" s="1"/>
  <c r="H113" i="68"/>
  <c r="J113" i="68"/>
  <c r="K113" i="68"/>
  <c r="U113" i="68"/>
  <c r="Y113" i="68"/>
  <c r="AA113" i="68"/>
  <c r="E114" i="68"/>
  <c r="F114" i="68" s="1"/>
  <c r="H114" i="68"/>
  <c r="J114" i="68"/>
  <c r="K114" i="68"/>
  <c r="U114" i="68"/>
  <c r="Y114" i="68"/>
  <c r="AA114" i="68"/>
  <c r="E115" i="68"/>
  <c r="F115" i="68" s="1"/>
  <c r="H115" i="68"/>
  <c r="J115" i="68"/>
  <c r="K115" i="68"/>
  <c r="U115" i="68"/>
  <c r="Y115" i="68"/>
  <c r="AA115" i="68"/>
  <c r="E116" i="68"/>
  <c r="F116" i="68" s="1"/>
  <c r="H116" i="68"/>
  <c r="J116" i="68"/>
  <c r="K116" i="68"/>
  <c r="U116" i="68"/>
  <c r="Y116" i="68"/>
  <c r="AA116" i="68"/>
  <c r="E117" i="68"/>
  <c r="F117" i="68" s="1"/>
  <c r="H117" i="68"/>
  <c r="J117" i="68"/>
  <c r="K117" i="68"/>
  <c r="U117" i="68"/>
  <c r="Y117" i="68"/>
  <c r="AA117" i="68"/>
  <c r="E118" i="68"/>
  <c r="F118" i="68" s="1"/>
  <c r="H118" i="68"/>
  <c r="J118" i="68"/>
  <c r="K118" i="68"/>
  <c r="U118" i="68"/>
  <c r="Y118" i="68"/>
  <c r="AA118" i="68"/>
  <c r="E119" i="68"/>
  <c r="F119" i="68" s="1"/>
  <c r="H119" i="68"/>
  <c r="J119" i="68"/>
  <c r="K119" i="68"/>
  <c r="U119" i="68"/>
  <c r="Y119" i="68"/>
  <c r="AA119" i="68"/>
  <c r="E120" i="68"/>
  <c r="F120" i="68" s="1"/>
  <c r="H120" i="68"/>
  <c r="J120" i="68"/>
  <c r="K120" i="68"/>
  <c r="U120" i="68"/>
  <c r="Y120" i="68"/>
  <c r="AA120" i="68"/>
  <c r="E121" i="68"/>
  <c r="F121" i="68" s="1"/>
  <c r="H121" i="68"/>
  <c r="J121" i="68"/>
  <c r="K121" i="68"/>
  <c r="U121" i="68"/>
  <c r="Y121" i="68"/>
  <c r="AA121" i="68"/>
  <c r="E122" i="68"/>
  <c r="F122" i="68" s="1"/>
  <c r="H122" i="68"/>
  <c r="J122" i="68"/>
  <c r="K122" i="68"/>
  <c r="U122" i="68"/>
  <c r="Y122" i="68"/>
  <c r="AA122" i="68"/>
  <c r="E123" i="68"/>
  <c r="F123" i="68" s="1"/>
  <c r="H123" i="68"/>
  <c r="J123" i="68"/>
  <c r="K123" i="68"/>
  <c r="U123" i="68"/>
  <c r="Y123" i="68"/>
  <c r="AA123" i="68"/>
  <c r="E124" i="68"/>
  <c r="F124" i="68" s="1"/>
  <c r="H124" i="68"/>
  <c r="J124" i="68"/>
  <c r="K124" i="68"/>
  <c r="U124" i="68"/>
  <c r="Y124" i="68"/>
  <c r="AA124" i="68"/>
  <c r="E125" i="68"/>
  <c r="F125" i="68" s="1"/>
  <c r="H125" i="68"/>
  <c r="J125" i="68"/>
  <c r="K125" i="68"/>
  <c r="U125" i="68"/>
  <c r="Y125" i="68"/>
  <c r="AA125" i="68"/>
  <c r="E126" i="68"/>
  <c r="F126" i="68" s="1"/>
  <c r="H126" i="68"/>
  <c r="J126" i="68"/>
  <c r="K126" i="68"/>
  <c r="U126" i="68"/>
  <c r="Y126" i="68"/>
  <c r="AA126" i="68"/>
  <c r="E127" i="68"/>
  <c r="F127" i="68" s="1"/>
  <c r="H127" i="68"/>
  <c r="J127" i="68"/>
  <c r="K127" i="68"/>
  <c r="U127" i="68"/>
  <c r="Y127" i="68"/>
  <c r="AA127" i="68"/>
  <c r="E128" i="68"/>
  <c r="F128" i="68" s="1"/>
  <c r="H128" i="68"/>
  <c r="J128" i="68"/>
  <c r="K128" i="68"/>
  <c r="U128" i="68"/>
  <c r="Y128" i="68"/>
  <c r="AA128" i="68"/>
  <c r="E129" i="68"/>
  <c r="F129" i="68" s="1"/>
  <c r="H129" i="68"/>
  <c r="J129" i="68"/>
  <c r="K129" i="68"/>
  <c r="U129" i="68"/>
  <c r="Y129" i="68"/>
  <c r="AA129" i="68"/>
  <c r="E130" i="68"/>
  <c r="F130" i="68" s="1"/>
  <c r="H130" i="68"/>
  <c r="J130" i="68"/>
  <c r="K130" i="68"/>
  <c r="U130" i="68"/>
  <c r="Y130" i="68"/>
  <c r="AA130" i="68"/>
  <c r="E131" i="68"/>
  <c r="F131" i="68" s="1"/>
  <c r="H131" i="68"/>
  <c r="J131" i="68"/>
  <c r="K131" i="68"/>
  <c r="U131" i="68"/>
  <c r="Y131" i="68"/>
  <c r="AA131" i="68"/>
  <c r="E132" i="68"/>
  <c r="F132" i="68" s="1"/>
  <c r="H132" i="68"/>
  <c r="J132" i="68"/>
  <c r="K132" i="68"/>
  <c r="U132" i="68"/>
  <c r="Y132" i="68"/>
  <c r="AA132" i="68"/>
  <c r="E133" i="68"/>
  <c r="F133" i="68" s="1"/>
  <c r="H133" i="68"/>
  <c r="J133" i="68"/>
  <c r="K133" i="68"/>
  <c r="U133" i="68"/>
  <c r="Y133" i="68"/>
  <c r="AA133" i="68"/>
  <c r="E134" i="68"/>
  <c r="F134" i="68" s="1"/>
  <c r="H134" i="68"/>
  <c r="J134" i="68"/>
  <c r="K134" i="68"/>
  <c r="U134" i="68"/>
  <c r="Y134" i="68"/>
  <c r="AA134" i="68"/>
  <c r="E135" i="68"/>
  <c r="F135" i="68" s="1"/>
  <c r="H135" i="68"/>
  <c r="J135" i="68"/>
  <c r="K135" i="68"/>
  <c r="U135" i="68"/>
  <c r="Y135" i="68"/>
  <c r="AA135" i="68"/>
  <c r="E136" i="68"/>
  <c r="F136" i="68" s="1"/>
  <c r="H136" i="68"/>
  <c r="J136" i="68"/>
  <c r="K136" i="68"/>
  <c r="U136" i="68"/>
  <c r="Y136" i="68"/>
  <c r="AA136" i="68"/>
  <c r="E137" i="68"/>
  <c r="F137" i="68" s="1"/>
  <c r="H137" i="68"/>
  <c r="J137" i="68"/>
  <c r="K137" i="68"/>
  <c r="U137" i="68"/>
  <c r="Y137" i="68"/>
  <c r="AA137" i="68"/>
  <c r="E138" i="68"/>
  <c r="F138" i="68" s="1"/>
  <c r="H138" i="68"/>
  <c r="J138" i="68"/>
  <c r="K138" i="68"/>
  <c r="U138" i="68"/>
  <c r="Y138" i="68"/>
  <c r="AA138" i="68"/>
  <c r="E139" i="68"/>
  <c r="F139" i="68" s="1"/>
  <c r="H139" i="68"/>
  <c r="J139" i="68"/>
  <c r="K139" i="68"/>
  <c r="U139" i="68"/>
  <c r="Y139" i="68"/>
  <c r="AA139" i="68"/>
  <c r="E140" i="68"/>
  <c r="F140" i="68" s="1"/>
  <c r="H140" i="68"/>
  <c r="J140" i="68"/>
  <c r="K140" i="68"/>
  <c r="U140" i="68"/>
  <c r="Y140" i="68"/>
  <c r="AA140" i="68"/>
  <c r="E141" i="68"/>
  <c r="F141" i="68" s="1"/>
  <c r="H141" i="68"/>
  <c r="J141" i="68"/>
  <c r="K141" i="68"/>
  <c r="U141" i="68"/>
  <c r="Y141" i="68"/>
  <c r="AA141" i="68"/>
  <c r="E142" i="68"/>
  <c r="F142" i="68" s="1"/>
  <c r="H142" i="68"/>
  <c r="J142" i="68"/>
  <c r="K142" i="68"/>
  <c r="U142" i="68"/>
  <c r="Y142" i="68"/>
  <c r="AA142" i="68"/>
  <c r="E143" i="68"/>
  <c r="F143" i="68" s="1"/>
  <c r="H143" i="68"/>
  <c r="J143" i="68"/>
  <c r="K143" i="68"/>
  <c r="U143" i="68"/>
  <c r="Y143" i="68"/>
  <c r="AA143" i="68"/>
  <c r="E144" i="68"/>
  <c r="F144" i="68" s="1"/>
  <c r="H144" i="68"/>
  <c r="J144" i="68"/>
  <c r="K144" i="68"/>
  <c r="U144" i="68"/>
  <c r="Y144" i="68"/>
  <c r="AA144" i="68"/>
  <c r="E145" i="68"/>
  <c r="F145" i="68" s="1"/>
  <c r="H145" i="68"/>
  <c r="J145" i="68"/>
  <c r="K145" i="68"/>
  <c r="U145" i="68"/>
  <c r="Y145" i="68"/>
  <c r="AA145" i="68"/>
  <c r="E146" i="68"/>
  <c r="F146" i="68" s="1"/>
  <c r="H146" i="68"/>
  <c r="J146" i="68"/>
  <c r="K146" i="68"/>
  <c r="U146" i="68"/>
  <c r="Y146" i="68"/>
  <c r="AA146" i="68"/>
  <c r="E147" i="68"/>
  <c r="F147" i="68" s="1"/>
  <c r="H147" i="68"/>
  <c r="J147" i="68"/>
  <c r="K147" i="68"/>
  <c r="U147" i="68"/>
  <c r="Y147" i="68"/>
  <c r="AA147" i="68"/>
  <c r="E148" i="68"/>
  <c r="F148" i="68" s="1"/>
  <c r="H148" i="68"/>
  <c r="J148" i="68"/>
  <c r="K148" i="68"/>
  <c r="U148" i="68"/>
  <c r="Y148" i="68"/>
  <c r="AA148" i="68"/>
  <c r="E149" i="68"/>
  <c r="F149" i="68" s="1"/>
  <c r="H149" i="68"/>
  <c r="J149" i="68"/>
  <c r="K149" i="68"/>
  <c r="U149" i="68"/>
  <c r="Y149" i="68"/>
  <c r="AA149" i="68"/>
  <c r="E150" i="68"/>
  <c r="F150" i="68" s="1"/>
  <c r="H150" i="68"/>
  <c r="J150" i="68"/>
  <c r="K150" i="68"/>
  <c r="U150" i="68"/>
  <c r="Y150" i="68"/>
  <c r="AA150" i="68"/>
  <c r="E151" i="68"/>
  <c r="F151" i="68" s="1"/>
  <c r="H151" i="68"/>
  <c r="J151" i="68"/>
  <c r="K151" i="68"/>
  <c r="U151" i="68"/>
  <c r="Y151" i="68"/>
  <c r="AA151" i="68"/>
  <c r="E152" i="68"/>
  <c r="F152" i="68" s="1"/>
  <c r="H152" i="68"/>
  <c r="J152" i="68"/>
  <c r="K152" i="68"/>
  <c r="U152" i="68"/>
  <c r="Y152" i="68"/>
  <c r="AA152" i="68"/>
  <c r="E153" i="68"/>
  <c r="F153" i="68" s="1"/>
  <c r="H153" i="68"/>
  <c r="J153" i="68"/>
  <c r="K153" i="68"/>
  <c r="U153" i="68"/>
  <c r="Y153" i="68"/>
  <c r="AA153" i="68"/>
  <c r="E154" i="68"/>
  <c r="F154" i="68" s="1"/>
  <c r="H154" i="68"/>
  <c r="J154" i="68"/>
  <c r="K154" i="68"/>
  <c r="U154" i="68"/>
  <c r="Y154" i="68"/>
  <c r="AA154" i="68"/>
  <c r="E155" i="68"/>
  <c r="F155" i="68" s="1"/>
  <c r="H155" i="68"/>
  <c r="J155" i="68"/>
  <c r="K155" i="68"/>
  <c r="U155" i="68"/>
  <c r="Y155" i="68"/>
  <c r="AA155" i="68"/>
  <c r="E156" i="68"/>
  <c r="F156" i="68" s="1"/>
  <c r="H156" i="68"/>
  <c r="J156" i="68"/>
  <c r="K156" i="68"/>
  <c r="U156" i="68"/>
  <c r="Y156" i="68"/>
  <c r="AA156" i="68"/>
  <c r="E157" i="68"/>
  <c r="F157" i="68" s="1"/>
  <c r="H157" i="68"/>
  <c r="J157" i="68"/>
  <c r="K157" i="68"/>
  <c r="U157" i="68"/>
  <c r="Y157" i="68"/>
  <c r="AA157" i="68"/>
  <c r="E158" i="68"/>
  <c r="F158" i="68" s="1"/>
  <c r="H158" i="68"/>
  <c r="J158" i="68"/>
  <c r="K158" i="68"/>
  <c r="U158" i="68"/>
  <c r="Y158" i="68"/>
  <c r="AA158" i="68"/>
  <c r="E159" i="68"/>
  <c r="F159" i="68" s="1"/>
  <c r="H159" i="68"/>
  <c r="J159" i="68"/>
  <c r="K159" i="68"/>
  <c r="U159" i="68"/>
  <c r="Y159" i="68"/>
  <c r="AA159" i="68"/>
  <c r="E160" i="68"/>
  <c r="F160" i="68" s="1"/>
  <c r="H160" i="68"/>
  <c r="J160" i="68"/>
  <c r="K160" i="68"/>
  <c r="U160" i="68"/>
  <c r="Y160" i="68"/>
  <c r="AA160" i="68"/>
  <c r="E161" i="68"/>
  <c r="F161" i="68" s="1"/>
  <c r="H161" i="68"/>
  <c r="J161" i="68"/>
  <c r="K161" i="68"/>
  <c r="U161" i="68"/>
  <c r="Y161" i="68"/>
  <c r="AA161" i="68"/>
  <c r="E162" i="68"/>
  <c r="F162" i="68" s="1"/>
  <c r="H162" i="68"/>
  <c r="J162" i="68"/>
  <c r="K162" i="68"/>
  <c r="U162" i="68"/>
  <c r="Y162" i="68"/>
  <c r="AA162" i="68"/>
  <c r="E163" i="68"/>
  <c r="F163" i="68" s="1"/>
  <c r="H163" i="68"/>
  <c r="J163" i="68"/>
  <c r="K163" i="68"/>
  <c r="U163" i="68"/>
  <c r="Y163" i="68"/>
  <c r="AA163" i="68"/>
  <c r="E164" i="68"/>
  <c r="F164" i="68" s="1"/>
  <c r="H164" i="68"/>
  <c r="J164" i="68"/>
  <c r="K164" i="68"/>
  <c r="U164" i="68"/>
  <c r="Y164" i="68"/>
  <c r="AA164" i="68"/>
  <c r="E165" i="68"/>
  <c r="F165" i="68" s="1"/>
  <c r="H165" i="68"/>
  <c r="J165" i="68"/>
  <c r="K165" i="68"/>
  <c r="U165" i="68"/>
  <c r="Y165" i="68"/>
  <c r="AA165" i="68"/>
  <c r="E166" i="68"/>
  <c r="F166" i="68" s="1"/>
  <c r="H166" i="68"/>
  <c r="J166" i="68"/>
  <c r="K166" i="68"/>
  <c r="U166" i="68"/>
  <c r="Y166" i="68"/>
  <c r="AA166" i="68"/>
  <c r="E167" i="68"/>
  <c r="F167" i="68" s="1"/>
  <c r="H167" i="68"/>
  <c r="J167" i="68"/>
  <c r="K167" i="68"/>
  <c r="U167" i="68"/>
  <c r="Y167" i="68"/>
  <c r="AA167" i="68"/>
  <c r="E168" i="68"/>
  <c r="F168" i="68" s="1"/>
  <c r="H168" i="68"/>
  <c r="J168" i="68"/>
  <c r="K168" i="68"/>
  <c r="U168" i="68"/>
  <c r="Y168" i="68"/>
  <c r="AA168" i="68"/>
  <c r="E169" i="68"/>
  <c r="F169" i="68" s="1"/>
  <c r="H169" i="68"/>
  <c r="J169" i="68"/>
  <c r="K169" i="68"/>
  <c r="U169" i="68"/>
  <c r="Y169" i="68"/>
  <c r="AA169" i="68"/>
  <c r="E170" i="68"/>
  <c r="F170" i="68" s="1"/>
  <c r="H170" i="68"/>
  <c r="J170" i="68"/>
  <c r="K170" i="68"/>
  <c r="U170" i="68"/>
  <c r="Y170" i="68"/>
  <c r="AA170" i="68"/>
  <c r="E171" i="68"/>
  <c r="F171" i="68" s="1"/>
  <c r="H171" i="68"/>
  <c r="J171" i="68"/>
  <c r="K171" i="68"/>
  <c r="U171" i="68"/>
  <c r="Y171" i="68"/>
  <c r="AA171" i="68"/>
  <c r="E172" i="68"/>
  <c r="F172" i="68" s="1"/>
  <c r="H172" i="68"/>
  <c r="J172" i="68"/>
  <c r="K172" i="68"/>
  <c r="U172" i="68"/>
  <c r="Y172" i="68"/>
  <c r="AA172" i="68"/>
  <c r="E173" i="68"/>
  <c r="F173" i="68" s="1"/>
  <c r="H173" i="68"/>
  <c r="J173" i="68"/>
  <c r="K173" i="68"/>
  <c r="U173" i="68"/>
  <c r="Y173" i="68"/>
  <c r="AA173" i="68"/>
  <c r="E174" i="68"/>
  <c r="F174" i="68" s="1"/>
  <c r="H174" i="68"/>
  <c r="J174" i="68"/>
  <c r="K174" i="68"/>
  <c r="U174" i="68"/>
  <c r="Y174" i="68"/>
  <c r="AA174" i="68"/>
  <c r="E175" i="68"/>
  <c r="F175" i="68" s="1"/>
  <c r="H175" i="68"/>
  <c r="J175" i="68"/>
  <c r="K175" i="68"/>
  <c r="U175" i="68"/>
  <c r="Y175" i="68"/>
  <c r="AA175" i="68"/>
  <c r="E176" i="68"/>
  <c r="F176" i="68" s="1"/>
  <c r="H176" i="68"/>
  <c r="J176" i="68"/>
  <c r="K176" i="68"/>
  <c r="U176" i="68"/>
  <c r="Y176" i="68"/>
  <c r="AA176" i="68"/>
  <c r="E177" i="68"/>
  <c r="F177" i="68" s="1"/>
  <c r="H177" i="68"/>
  <c r="J177" i="68"/>
  <c r="K177" i="68"/>
  <c r="U177" i="68"/>
  <c r="Y177" i="68"/>
  <c r="AA177" i="68"/>
  <c r="E178" i="68"/>
  <c r="F178" i="68" s="1"/>
  <c r="H178" i="68"/>
  <c r="J178" i="68"/>
  <c r="K178" i="68"/>
  <c r="U178" i="68"/>
  <c r="Y178" i="68"/>
  <c r="AA178" i="68"/>
  <c r="E179" i="68"/>
  <c r="F179" i="68" s="1"/>
  <c r="H179" i="68"/>
  <c r="J179" i="68"/>
  <c r="K179" i="68"/>
  <c r="U179" i="68"/>
  <c r="Y179" i="68"/>
  <c r="AA179" i="68"/>
  <c r="E180" i="68"/>
  <c r="F180" i="68" s="1"/>
  <c r="H180" i="68"/>
  <c r="J180" i="68"/>
  <c r="K180" i="68"/>
  <c r="U180" i="68"/>
  <c r="Y180" i="68"/>
  <c r="AA180" i="68"/>
  <c r="E181" i="68"/>
  <c r="F181" i="68" s="1"/>
  <c r="H181" i="68"/>
  <c r="J181" i="68"/>
  <c r="K181" i="68"/>
  <c r="U181" i="68"/>
  <c r="Y181" i="68"/>
  <c r="AA181" i="68"/>
  <c r="E182" i="68"/>
  <c r="F182" i="68" s="1"/>
  <c r="H182" i="68"/>
  <c r="J182" i="68"/>
  <c r="K182" i="68"/>
  <c r="U182" i="68"/>
  <c r="Y182" i="68"/>
  <c r="AA182" i="68"/>
  <c r="E183" i="68"/>
  <c r="F183" i="68" s="1"/>
  <c r="H183" i="68"/>
  <c r="J183" i="68"/>
  <c r="K183" i="68"/>
  <c r="U183" i="68"/>
  <c r="Y183" i="68"/>
  <c r="AA183" i="68"/>
  <c r="E184" i="68"/>
  <c r="F184" i="68" s="1"/>
  <c r="H184" i="68"/>
  <c r="J184" i="68"/>
  <c r="K184" i="68"/>
  <c r="U184" i="68"/>
  <c r="Y184" i="68"/>
  <c r="AA184" i="68"/>
  <c r="E185" i="68"/>
  <c r="F185" i="68" s="1"/>
  <c r="H185" i="68"/>
  <c r="J185" i="68"/>
  <c r="K185" i="68"/>
  <c r="U185" i="68"/>
  <c r="Y185" i="68"/>
  <c r="AA185" i="68"/>
  <c r="E186" i="68"/>
  <c r="F186" i="68" s="1"/>
  <c r="H186" i="68"/>
  <c r="J186" i="68"/>
  <c r="K186" i="68"/>
  <c r="U186" i="68"/>
  <c r="Y186" i="68"/>
  <c r="AA186" i="68"/>
  <c r="E187" i="68"/>
  <c r="F187" i="68" s="1"/>
  <c r="H187" i="68"/>
  <c r="J187" i="68"/>
  <c r="K187" i="68"/>
  <c r="U187" i="68"/>
  <c r="Y187" i="68"/>
  <c r="AA187" i="68"/>
  <c r="E188" i="68"/>
  <c r="F188" i="68" s="1"/>
  <c r="H188" i="68"/>
  <c r="J188" i="68"/>
  <c r="K188" i="68"/>
  <c r="U188" i="68"/>
  <c r="Y188" i="68"/>
  <c r="AA188" i="68"/>
  <c r="E189" i="68"/>
  <c r="F189" i="68" s="1"/>
  <c r="H189" i="68"/>
  <c r="J189" i="68"/>
  <c r="K189" i="68"/>
  <c r="U189" i="68"/>
  <c r="Y189" i="68"/>
  <c r="AA189" i="68"/>
  <c r="E190" i="68"/>
  <c r="F190" i="68" s="1"/>
  <c r="H190" i="68"/>
  <c r="J190" i="68"/>
  <c r="K190" i="68"/>
  <c r="U190" i="68"/>
  <c r="Y190" i="68"/>
  <c r="AA190" i="68"/>
  <c r="E191" i="68"/>
  <c r="F191" i="68" s="1"/>
  <c r="H191" i="68"/>
  <c r="J191" i="68"/>
  <c r="K191" i="68"/>
  <c r="U191" i="68"/>
  <c r="Y191" i="68"/>
  <c r="AA191" i="68"/>
  <c r="E192" i="68"/>
  <c r="F192" i="68" s="1"/>
  <c r="H192" i="68"/>
  <c r="J192" i="68"/>
  <c r="K192" i="68"/>
  <c r="U192" i="68"/>
  <c r="Y192" i="68"/>
  <c r="AA192" i="68"/>
  <c r="E193" i="68"/>
  <c r="F193" i="68" s="1"/>
  <c r="H193" i="68"/>
  <c r="J193" i="68"/>
  <c r="K193" i="68"/>
  <c r="U193" i="68"/>
  <c r="Y193" i="68"/>
  <c r="AA193" i="68"/>
  <c r="E194" i="68"/>
  <c r="F194" i="68" s="1"/>
  <c r="H194" i="68"/>
  <c r="J194" i="68"/>
  <c r="K194" i="68"/>
  <c r="U194" i="68"/>
  <c r="Y194" i="68"/>
  <c r="AA194" i="68"/>
  <c r="E195" i="68"/>
  <c r="F195" i="68" s="1"/>
  <c r="H195" i="68"/>
  <c r="J195" i="68"/>
  <c r="K195" i="68"/>
  <c r="U195" i="68"/>
  <c r="Y195" i="68"/>
  <c r="AA195" i="68"/>
  <c r="E196" i="68"/>
  <c r="F196" i="68" s="1"/>
  <c r="H196" i="68"/>
  <c r="J196" i="68"/>
  <c r="K196" i="68"/>
  <c r="U196" i="68"/>
  <c r="Y196" i="68"/>
  <c r="AA196" i="68"/>
  <c r="E197" i="68"/>
  <c r="F197" i="68" s="1"/>
  <c r="H197" i="68"/>
  <c r="J197" i="68"/>
  <c r="K197" i="68"/>
  <c r="U197" i="68"/>
  <c r="Y197" i="68"/>
  <c r="AA197" i="68"/>
  <c r="E198" i="68"/>
  <c r="F198" i="68" s="1"/>
  <c r="H198" i="68"/>
  <c r="J198" i="68"/>
  <c r="K198" i="68"/>
  <c r="U198" i="68"/>
  <c r="Y198" i="68"/>
  <c r="AA198" i="68"/>
  <c r="E199" i="68"/>
  <c r="F199" i="68" s="1"/>
  <c r="H199" i="68"/>
  <c r="J199" i="68"/>
  <c r="K199" i="68"/>
  <c r="U199" i="68"/>
  <c r="Y199" i="68"/>
  <c r="AA199" i="68"/>
  <c r="E200" i="68"/>
  <c r="F200" i="68" s="1"/>
  <c r="H200" i="68"/>
  <c r="J200" i="68"/>
  <c r="K200" i="68"/>
  <c r="U200" i="68"/>
  <c r="Y200" i="68"/>
  <c r="AA200" i="68"/>
  <c r="E201" i="68"/>
  <c r="F201" i="68" s="1"/>
  <c r="H201" i="68"/>
  <c r="J201" i="68"/>
  <c r="K201" i="68"/>
  <c r="U201" i="68"/>
  <c r="Y201" i="68"/>
  <c r="AA201" i="68"/>
  <c r="E202" i="68"/>
  <c r="F202" i="68" s="1"/>
  <c r="H202" i="68"/>
  <c r="J202" i="68"/>
  <c r="K202" i="68"/>
  <c r="U202" i="68"/>
  <c r="Y202" i="68"/>
  <c r="AA202" i="68"/>
  <c r="E203" i="68"/>
  <c r="F203" i="68" s="1"/>
  <c r="H203" i="68"/>
  <c r="J203" i="68"/>
  <c r="K203" i="68"/>
  <c r="U203" i="68"/>
  <c r="Y203" i="68"/>
  <c r="AA203" i="68"/>
  <c r="E204" i="68"/>
  <c r="F204" i="68" s="1"/>
  <c r="H204" i="68"/>
  <c r="J204" i="68"/>
  <c r="K204" i="68"/>
  <c r="U204" i="68"/>
  <c r="Y204" i="68"/>
  <c r="AA204" i="68"/>
  <c r="E205" i="68"/>
  <c r="F205" i="68" s="1"/>
  <c r="H205" i="68"/>
  <c r="J205" i="68"/>
  <c r="K205" i="68"/>
  <c r="U205" i="68"/>
  <c r="Y205" i="68"/>
  <c r="AA205" i="68"/>
  <c r="E206" i="68"/>
  <c r="F206" i="68" s="1"/>
  <c r="H206" i="68"/>
  <c r="J206" i="68"/>
  <c r="K206" i="68"/>
  <c r="U206" i="68"/>
  <c r="Y206" i="68"/>
  <c r="AA206" i="68"/>
  <c r="E207" i="68"/>
  <c r="F207" i="68" s="1"/>
  <c r="H207" i="68"/>
  <c r="J207" i="68"/>
  <c r="K207" i="68"/>
  <c r="U207" i="68"/>
  <c r="Y207" i="68"/>
  <c r="AA207" i="68"/>
  <c r="E208" i="68"/>
  <c r="F208" i="68" s="1"/>
  <c r="H208" i="68"/>
  <c r="J208" i="68"/>
  <c r="K208" i="68"/>
  <c r="U208" i="68"/>
  <c r="Y208" i="68"/>
  <c r="AA208" i="68"/>
  <c r="E209" i="68"/>
  <c r="F209" i="68" s="1"/>
  <c r="H209" i="68"/>
  <c r="J209" i="68"/>
  <c r="K209" i="68"/>
  <c r="U209" i="68"/>
  <c r="Y209" i="68"/>
  <c r="AA209" i="68"/>
  <c r="E210" i="68"/>
  <c r="F210" i="68" s="1"/>
  <c r="H210" i="68"/>
  <c r="J210" i="68"/>
  <c r="K210" i="68"/>
  <c r="U210" i="68"/>
  <c r="Y210" i="68"/>
  <c r="AA210" i="68"/>
  <c r="E211" i="68"/>
  <c r="F211" i="68" s="1"/>
  <c r="H211" i="68"/>
  <c r="J211" i="68"/>
  <c r="K211" i="68"/>
  <c r="U211" i="68"/>
  <c r="Y211" i="68"/>
  <c r="AA211" i="68"/>
  <c r="E212" i="68"/>
  <c r="F212" i="68" s="1"/>
  <c r="H212" i="68"/>
  <c r="J212" i="68"/>
  <c r="K212" i="68"/>
  <c r="U212" i="68"/>
  <c r="Y212" i="68"/>
  <c r="AA212" i="68"/>
  <c r="E213" i="68"/>
  <c r="F213" i="68" s="1"/>
  <c r="H213" i="68"/>
  <c r="J213" i="68"/>
  <c r="K213" i="68"/>
  <c r="U213" i="68"/>
  <c r="Y213" i="68"/>
  <c r="AA213" i="68"/>
  <c r="E214" i="68"/>
  <c r="F214" i="68" s="1"/>
  <c r="H214" i="68"/>
  <c r="J214" i="68"/>
  <c r="K214" i="68"/>
  <c r="U214" i="68"/>
  <c r="Y214" i="68"/>
  <c r="AA214" i="68"/>
  <c r="E215" i="68"/>
  <c r="F215" i="68" s="1"/>
  <c r="H215" i="68"/>
  <c r="J215" i="68"/>
  <c r="K215" i="68"/>
  <c r="U215" i="68"/>
  <c r="Y215" i="68"/>
  <c r="AA215" i="68"/>
  <c r="E216" i="68"/>
  <c r="F216" i="68" s="1"/>
  <c r="H216" i="68"/>
  <c r="J216" i="68"/>
  <c r="K216" i="68"/>
  <c r="U216" i="68"/>
  <c r="Y216" i="68"/>
  <c r="AA216" i="68"/>
  <c r="E217" i="68"/>
  <c r="F217" i="68" s="1"/>
  <c r="H217" i="68"/>
  <c r="J217" i="68"/>
  <c r="K217" i="68"/>
  <c r="U217" i="68"/>
  <c r="Y217" i="68"/>
  <c r="AA217" i="68"/>
  <c r="E218" i="68"/>
  <c r="F218" i="68" s="1"/>
  <c r="H218" i="68"/>
  <c r="J218" i="68"/>
  <c r="K218" i="68"/>
  <c r="U218" i="68"/>
  <c r="Y218" i="68"/>
  <c r="AA218" i="68"/>
  <c r="E219" i="68"/>
  <c r="F219" i="68" s="1"/>
  <c r="H219" i="68"/>
  <c r="J219" i="68"/>
  <c r="K219" i="68"/>
  <c r="U219" i="68"/>
  <c r="Y219" i="68"/>
  <c r="AA219" i="68"/>
  <c r="E220" i="68"/>
  <c r="F220" i="68" s="1"/>
  <c r="H220" i="68"/>
  <c r="J220" i="68"/>
  <c r="K220" i="68"/>
  <c r="U220" i="68"/>
  <c r="Y220" i="68"/>
  <c r="AA220" i="68"/>
  <c r="E221" i="68"/>
  <c r="F221" i="68" s="1"/>
  <c r="H221" i="68"/>
  <c r="J221" i="68"/>
  <c r="K221" i="68"/>
  <c r="U221" i="68"/>
  <c r="Y221" i="68"/>
  <c r="AA221" i="68"/>
  <c r="E222" i="68"/>
  <c r="F222" i="68" s="1"/>
  <c r="H222" i="68"/>
  <c r="J222" i="68"/>
  <c r="K222" i="68"/>
  <c r="U222" i="68"/>
  <c r="Y222" i="68"/>
  <c r="AA222" i="68"/>
  <c r="E223" i="68"/>
  <c r="F223" i="68" s="1"/>
  <c r="H223" i="68"/>
  <c r="J223" i="68"/>
  <c r="K223" i="68"/>
  <c r="U223" i="68"/>
  <c r="Y223" i="68"/>
  <c r="AA223" i="68"/>
  <c r="E224" i="68"/>
  <c r="F224" i="68" s="1"/>
  <c r="H224" i="68"/>
  <c r="J224" i="68"/>
  <c r="K224" i="68"/>
  <c r="U224" i="68"/>
  <c r="Y224" i="68"/>
  <c r="AA224" i="68"/>
  <c r="E225" i="68"/>
  <c r="F225" i="68" s="1"/>
  <c r="H225" i="68"/>
  <c r="J225" i="68"/>
  <c r="K225" i="68"/>
  <c r="U225" i="68"/>
  <c r="Y225" i="68"/>
  <c r="AA225" i="68"/>
  <c r="E226" i="68"/>
  <c r="F226" i="68" s="1"/>
  <c r="H226" i="68"/>
  <c r="J226" i="68"/>
  <c r="K226" i="68"/>
  <c r="U226" i="68"/>
  <c r="Y226" i="68"/>
  <c r="AA226" i="68"/>
  <c r="E227" i="68"/>
  <c r="F227" i="68" s="1"/>
  <c r="H227" i="68"/>
  <c r="J227" i="68"/>
  <c r="K227" i="68"/>
  <c r="U227" i="68"/>
  <c r="Y227" i="68"/>
  <c r="AA227" i="68"/>
  <c r="E228" i="68"/>
  <c r="F228" i="68" s="1"/>
  <c r="H228" i="68"/>
  <c r="J228" i="68"/>
  <c r="K228" i="68"/>
  <c r="U228" i="68"/>
  <c r="Y228" i="68"/>
  <c r="AA228" i="68"/>
  <c r="E229" i="68"/>
  <c r="F229" i="68" s="1"/>
  <c r="H229" i="68"/>
  <c r="J229" i="68"/>
  <c r="K229" i="68"/>
  <c r="U229" i="68"/>
  <c r="Y229" i="68"/>
  <c r="AA229" i="68"/>
  <c r="E230" i="68"/>
  <c r="F230" i="68" s="1"/>
  <c r="H230" i="68"/>
  <c r="J230" i="68"/>
  <c r="K230" i="68"/>
  <c r="U230" i="68"/>
  <c r="Y230" i="68"/>
  <c r="AA230" i="68"/>
  <c r="E231" i="68"/>
  <c r="F231" i="68" s="1"/>
  <c r="H231" i="68"/>
  <c r="J231" i="68"/>
  <c r="K231" i="68"/>
  <c r="U231" i="68"/>
  <c r="Y231" i="68"/>
  <c r="AA231" i="68"/>
  <c r="E232" i="68"/>
  <c r="F232" i="68" s="1"/>
  <c r="H232" i="68"/>
  <c r="J232" i="68"/>
  <c r="K232" i="68"/>
  <c r="U232" i="68"/>
  <c r="Y232" i="68"/>
  <c r="AA232" i="68"/>
  <c r="E233" i="68"/>
  <c r="F233" i="68" s="1"/>
  <c r="H233" i="68"/>
  <c r="J233" i="68"/>
  <c r="K233" i="68"/>
  <c r="U233" i="68"/>
  <c r="Y233" i="68"/>
  <c r="AA233" i="68"/>
  <c r="E234" i="68"/>
  <c r="F234" i="68" s="1"/>
  <c r="H234" i="68"/>
  <c r="J234" i="68"/>
  <c r="K234" i="68"/>
  <c r="U234" i="68"/>
  <c r="Y234" i="68"/>
  <c r="AA234" i="68"/>
  <c r="E235" i="68"/>
  <c r="F235" i="68" s="1"/>
  <c r="H235" i="68"/>
  <c r="J235" i="68"/>
  <c r="K235" i="68"/>
  <c r="U235" i="68"/>
  <c r="Y235" i="68"/>
  <c r="AA235" i="68"/>
  <c r="E236" i="68"/>
  <c r="F236" i="68" s="1"/>
  <c r="H236" i="68"/>
  <c r="J236" i="68"/>
  <c r="K236" i="68"/>
  <c r="U236" i="68"/>
  <c r="Y236" i="68"/>
  <c r="AA236" i="68"/>
  <c r="E237" i="68"/>
  <c r="F237" i="68" s="1"/>
  <c r="H237" i="68"/>
  <c r="J237" i="68"/>
  <c r="K237" i="68"/>
  <c r="U237" i="68"/>
  <c r="Y237" i="68"/>
  <c r="AA237" i="68"/>
  <c r="E238" i="68"/>
  <c r="F238" i="68" s="1"/>
  <c r="H238" i="68"/>
  <c r="J238" i="68"/>
  <c r="K238" i="68"/>
  <c r="U238" i="68"/>
  <c r="Y238" i="68"/>
  <c r="AA238" i="68"/>
  <c r="E239" i="68"/>
  <c r="F239" i="68" s="1"/>
  <c r="H239" i="68"/>
  <c r="J239" i="68"/>
  <c r="K239" i="68"/>
  <c r="U239" i="68"/>
  <c r="Y239" i="68"/>
  <c r="AA239" i="68"/>
  <c r="E240" i="68"/>
  <c r="F240" i="68" s="1"/>
  <c r="H240" i="68"/>
  <c r="J240" i="68"/>
  <c r="K240" i="68"/>
  <c r="U240" i="68"/>
  <c r="Y240" i="68"/>
  <c r="AA240" i="68"/>
  <c r="E241" i="68"/>
  <c r="F241" i="68" s="1"/>
  <c r="H241" i="68"/>
  <c r="J241" i="68"/>
  <c r="K241" i="68"/>
  <c r="U241" i="68"/>
  <c r="Y241" i="68"/>
  <c r="AA241" i="68"/>
  <c r="E242" i="68"/>
  <c r="F242" i="68" s="1"/>
  <c r="H242" i="68"/>
  <c r="J242" i="68"/>
  <c r="K242" i="68"/>
  <c r="U242" i="68"/>
  <c r="Y242" i="68"/>
  <c r="AA242" i="68"/>
  <c r="E243" i="68"/>
  <c r="F243" i="68" s="1"/>
  <c r="H243" i="68"/>
  <c r="J243" i="68"/>
  <c r="K243" i="68"/>
  <c r="U243" i="68"/>
  <c r="Y243" i="68"/>
  <c r="AA243" i="68"/>
  <c r="E244" i="68"/>
  <c r="F244" i="68" s="1"/>
  <c r="H244" i="68"/>
  <c r="J244" i="68"/>
  <c r="K244" i="68"/>
  <c r="U244" i="68"/>
  <c r="Y244" i="68"/>
  <c r="AA244" i="68"/>
  <c r="E245" i="68"/>
  <c r="F245" i="68" s="1"/>
  <c r="H245" i="68"/>
  <c r="J245" i="68"/>
  <c r="K245" i="68"/>
  <c r="U245" i="68"/>
  <c r="Y245" i="68"/>
  <c r="AA245" i="68"/>
  <c r="E246" i="68"/>
  <c r="F246" i="68" s="1"/>
  <c r="H246" i="68"/>
  <c r="J246" i="68"/>
  <c r="K246" i="68"/>
  <c r="U246" i="68"/>
  <c r="Y246" i="68"/>
  <c r="AA246" i="68"/>
  <c r="E247" i="68"/>
  <c r="F247" i="68" s="1"/>
  <c r="H247" i="68"/>
  <c r="J247" i="68"/>
  <c r="K247" i="68"/>
  <c r="U247" i="68"/>
  <c r="Y247" i="68"/>
  <c r="AA247" i="68"/>
  <c r="E248" i="68"/>
  <c r="F248" i="68" s="1"/>
  <c r="H248" i="68"/>
  <c r="J248" i="68"/>
  <c r="K248" i="68"/>
  <c r="U248" i="68"/>
  <c r="Y248" i="68"/>
  <c r="AA248" i="68"/>
  <c r="E249" i="68"/>
  <c r="F249" i="68" s="1"/>
  <c r="H249" i="68"/>
  <c r="J249" i="68"/>
  <c r="K249" i="68"/>
  <c r="U249" i="68"/>
  <c r="Y249" i="68"/>
  <c r="AA249" i="68"/>
  <c r="E250" i="68"/>
  <c r="F250" i="68" s="1"/>
  <c r="H250" i="68"/>
  <c r="J250" i="68"/>
  <c r="K250" i="68"/>
  <c r="U250" i="68"/>
  <c r="Y250" i="68"/>
  <c r="AA250" i="68"/>
  <c r="E251" i="68"/>
  <c r="F251" i="68" s="1"/>
  <c r="H251" i="68"/>
  <c r="J251" i="68"/>
  <c r="K251" i="68"/>
  <c r="U251" i="68"/>
  <c r="Y251" i="68"/>
  <c r="AA251" i="68"/>
  <c r="E252" i="68"/>
  <c r="F252" i="68" s="1"/>
  <c r="H252" i="68"/>
  <c r="J252" i="68"/>
  <c r="K252" i="68"/>
  <c r="U252" i="68"/>
  <c r="Y252" i="68"/>
  <c r="AA252" i="68"/>
  <c r="E253" i="68"/>
  <c r="F253" i="68" s="1"/>
  <c r="H253" i="68"/>
  <c r="J253" i="68"/>
  <c r="K253" i="68"/>
  <c r="U253" i="68"/>
  <c r="Y253" i="68"/>
  <c r="AA253" i="68"/>
  <c r="E254" i="68"/>
  <c r="F254" i="68" s="1"/>
  <c r="H254" i="68"/>
  <c r="J254" i="68"/>
  <c r="K254" i="68"/>
  <c r="U254" i="68"/>
  <c r="Y254" i="68"/>
  <c r="AA254" i="68"/>
  <c r="E255" i="68"/>
  <c r="F255" i="68" s="1"/>
  <c r="H255" i="68"/>
  <c r="J255" i="68"/>
  <c r="K255" i="68"/>
  <c r="U255" i="68"/>
  <c r="Y255" i="68"/>
  <c r="AA255" i="68"/>
  <c r="E256" i="68"/>
  <c r="F256" i="68" s="1"/>
  <c r="H256" i="68"/>
  <c r="J256" i="68"/>
  <c r="K256" i="68"/>
  <c r="U256" i="68"/>
  <c r="Y256" i="68"/>
  <c r="AA256" i="68"/>
  <c r="E257" i="68"/>
  <c r="F257" i="68" s="1"/>
  <c r="H257" i="68"/>
  <c r="J257" i="68"/>
  <c r="K257" i="68"/>
  <c r="U257" i="68"/>
  <c r="Y257" i="68"/>
  <c r="AA257" i="68"/>
  <c r="E258" i="68"/>
  <c r="F258" i="68" s="1"/>
  <c r="H258" i="68"/>
  <c r="J258" i="68"/>
  <c r="K258" i="68"/>
  <c r="U258" i="68"/>
  <c r="Y258" i="68"/>
  <c r="AA258" i="68"/>
  <c r="E259" i="68"/>
  <c r="F259" i="68" s="1"/>
  <c r="H259" i="68"/>
  <c r="J259" i="68"/>
  <c r="K259" i="68"/>
  <c r="U259" i="68"/>
  <c r="Y259" i="68"/>
  <c r="AA259" i="68"/>
  <c r="AA12" i="68"/>
  <c r="Y12" i="68"/>
  <c r="L12" i="68"/>
  <c r="K12" i="68"/>
  <c r="J12" i="68"/>
  <c r="H12" i="68"/>
  <c r="E12" i="68"/>
  <c r="F12" i="68" s="1"/>
  <c r="P11" i="67"/>
  <c r="Q11" i="67"/>
  <c r="P12" i="67"/>
  <c r="Q12" i="67"/>
  <c r="P13" i="67"/>
  <c r="Q13" i="67"/>
  <c r="P14" i="67"/>
  <c r="Q14" i="67"/>
  <c r="P15" i="67"/>
  <c r="Q15" i="67"/>
  <c r="P16" i="67"/>
  <c r="Q16" i="67"/>
  <c r="P17" i="67"/>
  <c r="Q17" i="67"/>
  <c r="P18" i="67"/>
  <c r="Q18" i="67"/>
  <c r="P19" i="67"/>
  <c r="Q19" i="67"/>
  <c r="P20" i="67"/>
  <c r="Q20" i="67"/>
  <c r="P21" i="67"/>
  <c r="Q21" i="67"/>
  <c r="P22" i="67"/>
  <c r="Q22" i="67"/>
  <c r="P23" i="67"/>
  <c r="Q23" i="67"/>
  <c r="P24" i="67"/>
  <c r="Q24" i="67"/>
  <c r="P25" i="67"/>
  <c r="Q25" i="67"/>
  <c r="P26" i="67"/>
  <c r="Q26" i="67"/>
  <c r="P27" i="67"/>
  <c r="Q27" i="67"/>
  <c r="P28" i="67"/>
  <c r="Q28" i="67"/>
  <c r="P29" i="67"/>
  <c r="Q29" i="67"/>
  <c r="P30" i="67"/>
  <c r="Q30" i="67"/>
  <c r="P31" i="67"/>
  <c r="Q31" i="67"/>
  <c r="P32" i="67"/>
  <c r="Q32" i="67"/>
  <c r="P33" i="67"/>
  <c r="Q33" i="67"/>
  <c r="P34" i="67"/>
  <c r="Q34" i="67"/>
  <c r="P35" i="67"/>
  <c r="Q35" i="67"/>
  <c r="P36" i="67"/>
  <c r="Q36" i="67"/>
  <c r="P37" i="67"/>
  <c r="Q37" i="67"/>
  <c r="P38" i="67"/>
  <c r="Q38" i="67"/>
  <c r="P39" i="67"/>
  <c r="Q39" i="67"/>
  <c r="P40" i="67"/>
  <c r="Q40" i="67"/>
  <c r="P41" i="67"/>
  <c r="Q41" i="67"/>
  <c r="P42" i="67"/>
  <c r="Q42" i="67"/>
  <c r="P43" i="67"/>
  <c r="Q43" i="67"/>
  <c r="P44" i="67"/>
  <c r="Q44" i="67"/>
  <c r="P45" i="67"/>
  <c r="Q45" i="67"/>
  <c r="P46" i="67"/>
  <c r="Q46" i="67"/>
  <c r="P47" i="67"/>
  <c r="Q47" i="67"/>
  <c r="P48" i="67"/>
  <c r="Q48" i="67"/>
  <c r="P49" i="67"/>
  <c r="Q49" i="67"/>
  <c r="P50" i="67"/>
  <c r="Q50" i="67"/>
  <c r="P51" i="67"/>
  <c r="Q51" i="67"/>
  <c r="P52" i="67"/>
  <c r="Q52" i="67"/>
  <c r="P53" i="67"/>
  <c r="Q53" i="67"/>
  <c r="P54" i="67"/>
  <c r="Q54" i="67"/>
  <c r="P55" i="67"/>
  <c r="Q55" i="67"/>
  <c r="P56" i="67"/>
  <c r="Q56" i="67"/>
  <c r="P57" i="67"/>
  <c r="Q57" i="67"/>
  <c r="P58" i="67"/>
  <c r="Q58" i="67"/>
  <c r="P59" i="67"/>
  <c r="Q59" i="67"/>
  <c r="P60" i="67"/>
  <c r="Q60" i="67"/>
  <c r="P61" i="67"/>
  <c r="Q61" i="67"/>
  <c r="P62" i="67"/>
  <c r="Q62" i="67"/>
  <c r="P63" i="67"/>
  <c r="Q63" i="67"/>
  <c r="P64" i="67"/>
  <c r="Q64" i="67"/>
  <c r="P65" i="67"/>
  <c r="Q65" i="67"/>
  <c r="P66" i="67"/>
  <c r="Q66" i="67"/>
  <c r="P67" i="67"/>
  <c r="Q67" i="67"/>
  <c r="P68" i="67"/>
  <c r="Q68" i="67"/>
  <c r="P69" i="67"/>
  <c r="Q69" i="67"/>
  <c r="P70" i="67"/>
  <c r="Q70" i="67"/>
  <c r="P71" i="67"/>
  <c r="Q71" i="67"/>
  <c r="P72" i="67"/>
  <c r="Q72" i="67"/>
  <c r="P73" i="67"/>
  <c r="Q73" i="67"/>
  <c r="P74" i="67"/>
  <c r="Q74" i="67"/>
  <c r="P75" i="67"/>
  <c r="Q75" i="67"/>
  <c r="P76" i="67"/>
  <c r="Q76" i="67"/>
  <c r="P77" i="67"/>
  <c r="Q77" i="67"/>
  <c r="P78" i="67"/>
  <c r="Q78" i="67"/>
  <c r="P79" i="67"/>
  <c r="Q79" i="67"/>
  <c r="P80" i="67"/>
  <c r="Q80" i="67"/>
  <c r="P81" i="67"/>
  <c r="Q81" i="67"/>
  <c r="P82" i="67"/>
  <c r="Q82" i="67"/>
  <c r="P83" i="67"/>
  <c r="Q83" i="67"/>
  <c r="P84" i="67"/>
  <c r="Q84" i="67"/>
  <c r="P85" i="67"/>
  <c r="Q85" i="67"/>
  <c r="P86" i="67"/>
  <c r="Q86" i="67"/>
  <c r="P87" i="67"/>
  <c r="Q87" i="67"/>
  <c r="P88" i="67"/>
  <c r="Q88" i="67"/>
  <c r="P89" i="67"/>
  <c r="Q89" i="67"/>
  <c r="P90" i="67"/>
  <c r="Q90" i="67"/>
  <c r="P91" i="67"/>
  <c r="Q91" i="67"/>
  <c r="P92" i="67"/>
  <c r="Q92" i="67"/>
  <c r="P93" i="67"/>
  <c r="Q93" i="67"/>
  <c r="P94" i="67"/>
  <c r="Q94" i="67"/>
  <c r="P95" i="67"/>
  <c r="Q95" i="67"/>
  <c r="P96" i="67"/>
  <c r="Q96" i="67"/>
  <c r="P97" i="67"/>
  <c r="Q97" i="67"/>
  <c r="P98" i="67"/>
  <c r="Q98" i="67"/>
  <c r="P99" i="67"/>
  <c r="Q99" i="67"/>
  <c r="P100" i="67"/>
  <c r="Q100" i="67"/>
  <c r="P101" i="67"/>
  <c r="Q101" i="67"/>
  <c r="P102" i="67"/>
  <c r="Q102" i="67"/>
  <c r="P103" i="67"/>
  <c r="Q103" i="67"/>
  <c r="P104" i="67"/>
  <c r="Q104" i="67"/>
  <c r="P105" i="67"/>
  <c r="Q105" i="67"/>
  <c r="P106" i="67"/>
  <c r="Q106" i="67"/>
  <c r="P107" i="67"/>
  <c r="Q107" i="67"/>
  <c r="P108" i="67"/>
  <c r="Q108" i="67"/>
  <c r="P109" i="67"/>
  <c r="Q109" i="67"/>
  <c r="P110" i="67"/>
  <c r="Q110" i="67"/>
  <c r="P111" i="67"/>
  <c r="Q111" i="67"/>
  <c r="P112" i="67"/>
  <c r="Q112" i="67"/>
  <c r="P113" i="67"/>
  <c r="Q113" i="67"/>
  <c r="P114" i="67"/>
  <c r="Q114" i="67"/>
  <c r="P115" i="67"/>
  <c r="Q115" i="67"/>
  <c r="P116" i="67"/>
  <c r="Q116" i="67"/>
  <c r="P117" i="67"/>
  <c r="Q117" i="67"/>
  <c r="P118" i="67"/>
  <c r="Q118" i="67"/>
  <c r="P119" i="67"/>
  <c r="Q119" i="67"/>
  <c r="P120" i="67"/>
  <c r="Q120" i="67"/>
  <c r="P121" i="67"/>
  <c r="Q121" i="67"/>
  <c r="P122" i="67"/>
  <c r="Q122" i="67"/>
  <c r="P123" i="67"/>
  <c r="Q123" i="67"/>
  <c r="P124" i="67"/>
  <c r="Q124" i="67"/>
  <c r="P125" i="67"/>
  <c r="Q125" i="67"/>
  <c r="P126" i="67"/>
  <c r="Q126" i="67"/>
  <c r="P127" i="67"/>
  <c r="Q127" i="67"/>
  <c r="P128" i="67"/>
  <c r="Q128" i="67"/>
  <c r="P129" i="67"/>
  <c r="Q129" i="67"/>
  <c r="P130" i="67"/>
  <c r="Q130" i="67"/>
  <c r="P131" i="67"/>
  <c r="Q131" i="67"/>
  <c r="P132" i="67"/>
  <c r="Q132" i="67"/>
  <c r="P133" i="67"/>
  <c r="Q133" i="67"/>
  <c r="P134" i="67"/>
  <c r="Q134" i="67"/>
  <c r="P135" i="67"/>
  <c r="Q135" i="67"/>
  <c r="P136" i="67"/>
  <c r="Q136" i="67"/>
  <c r="P137" i="67"/>
  <c r="Q137" i="67"/>
  <c r="P138" i="67"/>
  <c r="Q138" i="67"/>
  <c r="P139" i="67"/>
  <c r="Q139" i="67"/>
  <c r="P140" i="67"/>
  <c r="Q140" i="67"/>
  <c r="P141" i="67"/>
  <c r="Q141" i="67"/>
  <c r="P142" i="67"/>
  <c r="Q142" i="67"/>
  <c r="P143" i="67"/>
  <c r="Q143" i="67"/>
  <c r="P144" i="67"/>
  <c r="Q144" i="67"/>
  <c r="P145" i="67"/>
  <c r="Q145" i="67"/>
  <c r="P146" i="67"/>
  <c r="Q146" i="67"/>
  <c r="P147" i="67"/>
  <c r="Q147" i="67"/>
  <c r="P148" i="67"/>
  <c r="Q148" i="67"/>
  <c r="P149" i="67"/>
  <c r="Q149" i="67"/>
  <c r="P150" i="67"/>
  <c r="Q150" i="67"/>
  <c r="P151" i="67"/>
  <c r="Q151" i="67"/>
  <c r="P152" i="67"/>
  <c r="Q152" i="67"/>
  <c r="P153" i="67"/>
  <c r="Q153" i="67"/>
  <c r="P154" i="67"/>
  <c r="Q154" i="67"/>
  <c r="P155" i="67"/>
  <c r="Q155" i="67"/>
  <c r="P156" i="67"/>
  <c r="Q156" i="67"/>
  <c r="P157" i="67"/>
  <c r="Q157" i="67"/>
  <c r="P158" i="67"/>
  <c r="Q158" i="67"/>
  <c r="P159" i="67"/>
  <c r="Q159" i="67"/>
  <c r="P160" i="67"/>
  <c r="Q160" i="67"/>
  <c r="P161" i="67"/>
  <c r="Q161" i="67"/>
  <c r="P162" i="67"/>
  <c r="Q162" i="67"/>
  <c r="P163" i="67"/>
  <c r="Q163" i="67"/>
  <c r="P164" i="67"/>
  <c r="Q164" i="67"/>
  <c r="P165" i="67"/>
  <c r="Q165" i="67"/>
  <c r="P166" i="67"/>
  <c r="Q166" i="67"/>
  <c r="P167" i="67"/>
  <c r="Q167" i="67"/>
  <c r="P168" i="67"/>
  <c r="Q168" i="67"/>
  <c r="P169" i="67"/>
  <c r="Q169" i="67"/>
  <c r="P170" i="67"/>
  <c r="Q170" i="67"/>
  <c r="P171" i="67"/>
  <c r="Q171" i="67"/>
  <c r="P172" i="67"/>
  <c r="Q172" i="67"/>
  <c r="P173" i="67"/>
  <c r="Q173" i="67"/>
  <c r="P174" i="67"/>
  <c r="Q174" i="67"/>
  <c r="P175" i="67"/>
  <c r="Q175" i="67"/>
  <c r="P176" i="67"/>
  <c r="Q176" i="67"/>
  <c r="P177" i="67"/>
  <c r="Q177" i="67"/>
  <c r="P178" i="67"/>
  <c r="Q178" i="67"/>
  <c r="P179" i="67"/>
  <c r="Q179" i="67"/>
  <c r="P180" i="67"/>
  <c r="Q180" i="67"/>
  <c r="P181" i="67"/>
  <c r="Q181" i="67"/>
  <c r="P182" i="67"/>
  <c r="Q182" i="67"/>
  <c r="P183" i="67"/>
  <c r="Q183" i="67"/>
  <c r="P184" i="67"/>
  <c r="Q184" i="67"/>
  <c r="P185" i="67"/>
  <c r="Q185" i="67"/>
  <c r="P186" i="67"/>
  <c r="Q186" i="67"/>
  <c r="P187" i="67"/>
  <c r="Q187" i="67"/>
  <c r="P188" i="67"/>
  <c r="Q188" i="67"/>
  <c r="P189" i="67"/>
  <c r="Q189" i="67"/>
  <c r="P190" i="67"/>
  <c r="Q190" i="67"/>
  <c r="P191" i="67"/>
  <c r="Q191" i="67"/>
  <c r="P192" i="67"/>
  <c r="Q192" i="67"/>
  <c r="P193" i="67"/>
  <c r="Q193" i="67"/>
  <c r="P194" i="67"/>
  <c r="Q194" i="67"/>
  <c r="P195" i="67"/>
  <c r="Q195" i="67"/>
  <c r="P196" i="67"/>
  <c r="Q196" i="67"/>
  <c r="P197" i="67"/>
  <c r="Q197" i="67"/>
  <c r="P198" i="67"/>
  <c r="Q198" i="67"/>
  <c r="P199" i="67"/>
  <c r="Q199" i="67"/>
  <c r="P200" i="67"/>
  <c r="Q200" i="67"/>
  <c r="P201" i="67"/>
  <c r="Q201" i="67"/>
  <c r="P202" i="67"/>
  <c r="Q202" i="67"/>
  <c r="P203" i="67"/>
  <c r="Q203" i="67"/>
  <c r="P204" i="67"/>
  <c r="Q204" i="67"/>
  <c r="P205" i="67"/>
  <c r="Q205" i="67"/>
  <c r="P206" i="67"/>
  <c r="Q206" i="67"/>
  <c r="P207" i="67"/>
  <c r="Q207" i="67"/>
  <c r="P208" i="67"/>
  <c r="Q208" i="67"/>
  <c r="P209" i="67"/>
  <c r="Q209" i="67"/>
  <c r="P210" i="67"/>
  <c r="Q210" i="67"/>
  <c r="P211" i="67"/>
  <c r="Q211" i="67"/>
  <c r="P212" i="67"/>
  <c r="Q212" i="67"/>
  <c r="P213" i="67"/>
  <c r="Q213" i="67"/>
  <c r="P214" i="67"/>
  <c r="Q214" i="67"/>
  <c r="P215" i="67"/>
  <c r="Q215" i="67"/>
  <c r="P216" i="67"/>
  <c r="Q216" i="67"/>
  <c r="P217" i="67"/>
  <c r="Q217" i="67"/>
  <c r="P218" i="67"/>
  <c r="Q218" i="67"/>
  <c r="P219" i="67"/>
  <c r="Q219" i="67"/>
  <c r="P220" i="67"/>
  <c r="Q220" i="67"/>
  <c r="P221" i="67"/>
  <c r="Q221" i="67"/>
  <c r="P222" i="67"/>
  <c r="Q222" i="67"/>
  <c r="P223" i="67"/>
  <c r="Q223" i="67"/>
  <c r="P224" i="67"/>
  <c r="Q224" i="67"/>
  <c r="P225" i="67"/>
  <c r="Q225" i="67"/>
  <c r="P226" i="67"/>
  <c r="Q226" i="67"/>
  <c r="P227" i="67"/>
  <c r="Q227" i="67"/>
  <c r="P228" i="67"/>
  <c r="Q228" i="67"/>
  <c r="P229" i="67"/>
  <c r="Q229" i="67"/>
  <c r="P230" i="67"/>
  <c r="Q230" i="67"/>
  <c r="P231" i="67"/>
  <c r="Q231" i="67"/>
  <c r="P232" i="67"/>
  <c r="Q232" i="67"/>
  <c r="P233" i="67"/>
  <c r="Q233" i="67"/>
  <c r="P234" i="67"/>
  <c r="Q234" i="67"/>
  <c r="P235" i="67"/>
  <c r="Q235" i="67"/>
  <c r="P236" i="67"/>
  <c r="Q236" i="67"/>
  <c r="P237" i="67"/>
  <c r="Q237" i="67"/>
  <c r="P238" i="67"/>
  <c r="Q238" i="67"/>
  <c r="P239" i="67"/>
  <c r="Q239" i="67"/>
  <c r="P240" i="67"/>
  <c r="Q240" i="67"/>
  <c r="P241" i="67"/>
  <c r="Q241" i="67"/>
  <c r="P242" i="67"/>
  <c r="Q242" i="67"/>
  <c r="P243" i="67"/>
  <c r="Q243" i="67"/>
  <c r="P244" i="67"/>
  <c r="Q244" i="67"/>
  <c r="P245" i="67"/>
  <c r="Q245" i="67"/>
  <c r="P246" i="67"/>
  <c r="Q246" i="67"/>
  <c r="P247" i="67"/>
  <c r="Q247" i="67"/>
  <c r="P248" i="67"/>
  <c r="Q248" i="67"/>
  <c r="P249" i="67"/>
  <c r="Q249" i="67"/>
  <c r="P250" i="67"/>
  <c r="Q250" i="67"/>
  <c r="P251" i="67"/>
  <c r="Q251" i="67"/>
  <c r="P252" i="67"/>
  <c r="Q252" i="67"/>
  <c r="P253" i="67"/>
  <c r="Q253" i="67"/>
  <c r="P254" i="67"/>
  <c r="Q254" i="67"/>
  <c r="P255" i="67"/>
  <c r="Q255" i="67"/>
  <c r="P256" i="67"/>
  <c r="Q256" i="67"/>
  <c r="P257" i="67"/>
  <c r="Q257" i="67"/>
  <c r="Q10" i="67"/>
  <c r="P10" i="67"/>
  <c r="K11" i="67"/>
  <c r="L11" i="67"/>
  <c r="K12" i="67"/>
  <c r="L12" i="67"/>
  <c r="K13" i="67"/>
  <c r="L13" i="67"/>
  <c r="K14" i="67"/>
  <c r="L14" i="67"/>
  <c r="K15" i="67"/>
  <c r="L15" i="67"/>
  <c r="K16" i="67"/>
  <c r="L16" i="67"/>
  <c r="K17" i="67"/>
  <c r="L17" i="67"/>
  <c r="K18" i="67"/>
  <c r="L18" i="67"/>
  <c r="K19" i="67"/>
  <c r="L19" i="67"/>
  <c r="K20" i="67"/>
  <c r="L20" i="67"/>
  <c r="K21" i="67"/>
  <c r="L21" i="67"/>
  <c r="K22" i="67"/>
  <c r="L22" i="67"/>
  <c r="K23" i="67"/>
  <c r="L23" i="67"/>
  <c r="K24" i="67"/>
  <c r="L24" i="67"/>
  <c r="K25" i="67"/>
  <c r="L25" i="67"/>
  <c r="K26" i="67"/>
  <c r="L26" i="67"/>
  <c r="K27" i="67"/>
  <c r="L27" i="67"/>
  <c r="K28" i="67"/>
  <c r="L28" i="67"/>
  <c r="K29" i="67"/>
  <c r="L29" i="67"/>
  <c r="K30" i="67"/>
  <c r="L30" i="67"/>
  <c r="K31" i="67"/>
  <c r="L31" i="67"/>
  <c r="K32" i="67"/>
  <c r="L32" i="67"/>
  <c r="K33" i="67"/>
  <c r="L33" i="67"/>
  <c r="K34" i="67"/>
  <c r="L34" i="67"/>
  <c r="K35" i="67"/>
  <c r="L35" i="67"/>
  <c r="K36" i="67"/>
  <c r="L36" i="67"/>
  <c r="K37" i="67"/>
  <c r="L37" i="67"/>
  <c r="K38" i="67"/>
  <c r="L38" i="67"/>
  <c r="K39" i="67"/>
  <c r="L39" i="67"/>
  <c r="K40" i="67"/>
  <c r="L40" i="67"/>
  <c r="K41" i="67"/>
  <c r="L41" i="67"/>
  <c r="K42" i="67"/>
  <c r="L42" i="67"/>
  <c r="K43" i="67"/>
  <c r="L43" i="67"/>
  <c r="K44" i="67"/>
  <c r="L44" i="67"/>
  <c r="K45" i="67"/>
  <c r="L45" i="67"/>
  <c r="K46" i="67"/>
  <c r="L46" i="67"/>
  <c r="K47" i="67"/>
  <c r="L47" i="67"/>
  <c r="K48" i="67"/>
  <c r="L48" i="67"/>
  <c r="K49" i="67"/>
  <c r="L49" i="67"/>
  <c r="K50" i="67"/>
  <c r="L50" i="67"/>
  <c r="K51" i="67"/>
  <c r="L51" i="67"/>
  <c r="K52" i="67"/>
  <c r="L52" i="67"/>
  <c r="K53" i="67"/>
  <c r="L53" i="67"/>
  <c r="K54" i="67"/>
  <c r="L54" i="67"/>
  <c r="K55" i="67"/>
  <c r="L55" i="67"/>
  <c r="K56" i="67"/>
  <c r="L56" i="67"/>
  <c r="K57" i="67"/>
  <c r="L57" i="67"/>
  <c r="K58" i="67"/>
  <c r="L58" i="67"/>
  <c r="K59" i="67"/>
  <c r="L59" i="67"/>
  <c r="K60" i="67"/>
  <c r="L60" i="67"/>
  <c r="K61" i="67"/>
  <c r="L61" i="67"/>
  <c r="K62" i="67"/>
  <c r="L62" i="67"/>
  <c r="K63" i="67"/>
  <c r="L63" i="67"/>
  <c r="K64" i="67"/>
  <c r="L64" i="67"/>
  <c r="K65" i="67"/>
  <c r="L65" i="67"/>
  <c r="K66" i="67"/>
  <c r="L66" i="67"/>
  <c r="K67" i="67"/>
  <c r="L67" i="67"/>
  <c r="K68" i="67"/>
  <c r="L68" i="67"/>
  <c r="K69" i="67"/>
  <c r="L69" i="67"/>
  <c r="K70" i="67"/>
  <c r="L70" i="67"/>
  <c r="K71" i="67"/>
  <c r="L71" i="67"/>
  <c r="K72" i="67"/>
  <c r="L72" i="67"/>
  <c r="K73" i="67"/>
  <c r="L73" i="67"/>
  <c r="K74" i="67"/>
  <c r="L74" i="67"/>
  <c r="K75" i="67"/>
  <c r="L75" i="67"/>
  <c r="K76" i="67"/>
  <c r="L76" i="67"/>
  <c r="K77" i="67"/>
  <c r="L77" i="67"/>
  <c r="K78" i="67"/>
  <c r="L78" i="67"/>
  <c r="K79" i="67"/>
  <c r="L79" i="67"/>
  <c r="K80" i="67"/>
  <c r="L80" i="67"/>
  <c r="K81" i="67"/>
  <c r="L81" i="67"/>
  <c r="K82" i="67"/>
  <c r="L82" i="67"/>
  <c r="K83" i="67"/>
  <c r="L83" i="67"/>
  <c r="K84" i="67"/>
  <c r="L84" i="67"/>
  <c r="K85" i="67"/>
  <c r="L85" i="67"/>
  <c r="K86" i="67"/>
  <c r="L86" i="67"/>
  <c r="K87" i="67"/>
  <c r="L87" i="67"/>
  <c r="K88" i="67"/>
  <c r="L88" i="67"/>
  <c r="K89" i="67"/>
  <c r="L89" i="67"/>
  <c r="K90" i="67"/>
  <c r="L90" i="67"/>
  <c r="K91" i="67"/>
  <c r="L91" i="67"/>
  <c r="K92" i="67"/>
  <c r="L92" i="67"/>
  <c r="K93" i="67"/>
  <c r="L93" i="67"/>
  <c r="K94" i="67"/>
  <c r="L94" i="67"/>
  <c r="K95" i="67"/>
  <c r="L95" i="67"/>
  <c r="K96" i="67"/>
  <c r="L96" i="67"/>
  <c r="K97" i="67"/>
  <c r="L97" i="67"/>
  <c r="K98" i="67"/>
  <c r="L98" i="67"/>
  <c r="K99" i="67"/>
  <c r="L99" i="67"/>
  <c r="K100" i="67"/>
  <c r="L100" i="67"/>
  <c r="K101" i="67"/>
  <c r="L101" i="67"/>
  <c r="K102" i="67"/>
  <c r="L102" i="67"/>
  <c r="K103" i="67"/>
  <c r="L103" i="67"/>
  <c r="K104" i="67"/>
  <c r="L104" i="67"/>
  <c r="K105" i="67"/>
  <c r="L105" i="67"/>
  <c r="K106" i="67"/>
  <c r="L106" i="67"/>
  <c r="K107" i="67"/>
  <c r="L107" i="67"/>
  <c r="K108" i="67"/>
  <c r="L108" i="67"/>
  <c r="K109" i="67"/>
  <c r="L109" i="67"/>
  <c r="K110" i="67"/>
  <c r="L110" i="67"/>
  <c r="K111" i="67"/>
  <c r="L111" i="67"/>
  <c r="K112" i="67"/>
  <c r="L112" i="67"/>
  <c r="K113" i="67"/>
  <c r="L113" i="67"/>
  <c r="K114" i="67"/>
  <c r="L114" i="67"/>
  <c r="K115" i="67"/>
  <c r="L115" i="67"/>
  <c r="K116" i="67"/>
  <c r="L116" i="67"/>
  <c r="K117" i="67"/>
  <c r="L117" i="67"/>
  <c r="K118" i="67"/>
  <c r="L118" i="67"/>
  <c r="K119" i="67"/>
  <c r="L119" i="67"/>
  <c r="K120" i="67"/>
  <c r="L120" i="67"/>
  <c r="K121" i="67"/>
  <c r="L121" i="67"/>
  <c r="K122" i="67"/>
  <c r="L122" i="67"/>
  <c r="K123" i="67"/>
  <c r="L123" i="67"/>
  <c r="K124" i="67"/>
  <c r="L124" i="67"/>
  <c r="K125" i="67"/>
  <c r="L125" i="67"/>
  <c r="K126" i="67"/>
  <c r="L126" i="67"/>
  <c r="K127" i="67"/>
  <c r="L127" i="67"/>
  <c r="K128" i="67"/>
  <c r="L128" i="67"/>
  <c r="K129" i="67"/>
  <c r="L129" i="67"/>
  <c r="K130" i="67"/>
  <c r="L130" i="67"/>
  <c r="K131" i="67"/>
  <c r="L131" i="67"/>
  <c r="K132" i="67"/>
  <c r="L132" i="67"/>
  <c r="K133" i="67"/>
  <c r="L133" i="67"/>
  <c r="K134" i="67"/>
  <c r="L134" i="67"/>
  <c r="K135" i="67"/>
  <c r="L135" i="67"/>
  <c r="K136" i="67"/>
  <c r="L136" i="67"/>
  <c r="K137" i="67"/>
  <c r="L137" i="67"/>
  <c r="K138" i="67"/>
  <c r="L138" i="67"/>
  <c r="K139" i="67"/>
  <c r="L139" i="67"/>
  <c r="K140" i="67"/>
  <c r="L140" i="67"/>
  <c r="K141" i="67"/>
  <c r="L141" i="67"/>
  <c r="K142" i="67"/>
  <c r="L142" i="67"/>
  <c r="K143" i="67"/>
  <c r="L143" i="67"/>
  <c r="K144" i="67"/>
  <c r="L144" i="67"/>
  <c r="K145" i="67"/>
  <c r="L145" i="67"/>
  <c r="K146" i="67"/>
  <c r="L146" i="67"/>
  <c r="K147" i="67"/>
  <c r="L147" i="67"/>
  <c r="K148" i="67"/>
  <c r="L148" i="67"/>
  <c r="K149" i="67"/>
  <c r="L149" i="67"/>
  <c r="K150" i="67"/>
  <c r="L150" i="67"/>
  <c r="K151" i="67"/>
  <c r="L151" i="67"/>
  <c r="K152" i="67"/>
  <c r="L152" i="67"/>
  <c r="K153" i="67"/>
  <c r="L153" i="67"/>
  <c r="K154" i="67"/>
  <c r="L154" i="67"/>
  <c r="K155" i="67"/>
  <c r="L155" i="67"/>
  <c r="K156" i="67"/>
  <c r="L156" i="67"/>
  <c r="K157" i="67"/>
  <c r="L157" i="67"/>
  <c r="K158" i="67"/>
  <c r="L158" i="67"/>
  <c r="K159" i="67"/>
  <c r="L159" i="67"/>
  <c r="K160" i="67"/>
  <c r="L160" i="67"/>
  <c r="K161" i="67"/>
  <c r="L161" i="67"/>
  <c r="K162" i="67"/>
  <c r="L162" i="67"/>
  <c r="K163" i="67"/>
  <c r="L163" i="67"/>
  <c r="K164" i="67"/>
  <c r="L164" i="67"/>
  <c r="K165" i="67"/>
  <c r="L165" i="67"/>
  <c r="K166" i="67"/>
  <c r="L166" i="67"/>
  <c r="K167" i="67"/>
  <c r="L167" i="67"/>
  <c r="K168" i="67"/>
  <c r="L168" i="67"/>
  <c r="K169" i="67"/>
  <c r="L169" i="67"/>
  <c r="K170" i="67"/>
  <c r="L170" i="67"/>
  <c r="K171" i="67"/>
  <c r="L171" i="67"/>
  <c r="K172" i="67"/>
  <c r="L172" i="67"/>
  <c r="K173" i="67"/>
  <c r="L173" i="67"/>
  <c r="K174" i="67"/>
  <c r="L174" i="67"/>
  <c r="K175" i="67"/>
  <c r="L175" i="67"/>
  <c r="K176" i="67"/>
  <c r="L176" i="67"/>
  <c r="K177" i="67"/>
  <c r="L177" i="67"/>
  <c r="K178" i="67"/>
  <c r="L178" i="67"/>
  <c r="K179" i="67"/>
  <c r="L179" i="67"/>
  <c r="K180" i="67"/>
  <c r="L180" i="67"/>
  <c r="K181" i="67"/>
  <c r="L181" i="67"/>
  <c r="K182" i="67"/>
  <c r="L182" i="67"/>
  <c r="K183" i="67"/>
  <c r="L183" i="67"/>
  <c r="K184" i="67"/>
  <c r="L184" i="67"/>
  <c r="K185" i="67"/>
  <c r="L185" i="67"/>
  <c r="K186" i="67"/>
  <c r="L186" i="67"/>
  <c r="K187" i="67"/>
  <c r="L187" i="67"/>
  <c r="K188" i="67"/>
  <c r="L188" i="67"/>
  <c r="K189" i="67"/>
  <c r="L189" i="67"/>
  <c r="K190" i="67"/>
  <c r="L190" i="67"/>
  <c r="K191" i="67"/>
  <c r="L191" i="67"/>
  <c r="K192" i="67"/>
  <c r="L192" i="67"/>
  <c r="K193" i="67"/>
  <c r="L193" i="67"/>
  <c r="K194" i="67"/>
  <c r="L194" i="67"/>
  <c r="K195" i="67"/>
  <c r="L195" i="67"/>
  <c r="K196" i="67"/>
  <c r="L196" i="67"/>
  <c r="K197" i="67"/>
  <c r="L197" i="67"/>
  <c r="K198" i="67"/>
  <c r="L198" i="67"/>
  <c r="K199" i="67"/>
  <c r="L199" i="67"/>
  <c r="K200" i="67"/>
  <c r="L200" i="67"/>
  <c r="K201" i="67"/>
  <c r="L201" i="67"/>
  <c r="K202" i="67"/>
  <c r="L202" i="67"/>
  <c r="K203" i="67"/>
  <c r="L203" i="67"/>
  <c r="K204" i="67"/>
  <c r="L204" i="67"/>
  <c r="K205" i="67"/>
  <c r="L205" i="67"/>
  <c r="K206" i="67"/>
  <c r="L206" i="67"/>
  <c r="K207" i="67"/>
  <c r="L207" i="67"/>
  <c r="K208" i="67"/>
  <c r="L208" i="67"/>
  <c r="K209" i="67"/>
  <c r="L209" i="67"/>
  <c r="K210" i="67"/>
  <c r="L210" i="67"/>
  <c r="K211" i="67"/>
  <c r="L211" i="67"/>
  <c r="K212" i="67"/>
  <c r="L212" i="67"/>
  <c r="K213" i="67"/>
  <c r="L213" i="67"/>
  <c r="K214" i="67"/>
  <c r="L214" i="67"/>
  <c r="K215" i="67"/>
  <c r="L215" i="67"/>
  <c r="K216" i="67"/>
  <c r="L216" i="67"/>
  <c r="K217" i="67"/>
  <c r="L217" i="67"/>
  <c r="K218" i="67"/>
  <c r="L218" i="67"/>
  <c r="K219" i="67"/>
  <c r="L219" i="67"/>
  <c r="K220" i="67"/>
  <c r="L220" i="67"/>
  <c r="K221" i="67"/>
  <c r="L221" i="67"/>
  <c r="K222" i="67"/>
  <c r="L222" i="67"/>
  <c r="K223" i="67"/>
  <c r="L223" i="67"/>
  <c r="K224" i="67"/>
  <c r="L224" i="67"/>
  <c r="K225" i="67"/>
  <c r="L225" i="67"/>
  <c r="K226" i="67"/>
  <c r="L226" i="67"/>
  <c r="K227" i="67"/>
  <c r="L227" i="67"/>
  <c r="K228" i="67"/>
  <c r="L228" i="67"/>
  <c r="K229" i="67"/>
  <c r="L229" i="67"/>
  <c r="K230" i="67"/>
  <c r="L230" i="67"/>
  <c r="K231" i="67"/>
  <c r="L231" i="67"/>
  <c r="K232" i="67"/>
  <c r="L232" i="67"/>
  <c r="K233" i="67"/>
  <c r="L233" i="67"/>
  <c r="K234" i="67"/>
  <c r="L234" i="67"/>
  <c r="K235" i="67"/>
  <c r="L235" i="67"/>
  <c r="K236" i="67"/>
  <c r="L236" i="67"/>
  <c r="K237" i="67"/>
  <c r="L237" i="67"/>
  <c r="K238" i="67"/>
  <c r="L238" i="67"/>
  <c r="K239" i="67"/>
  <c r="L239" i="67"/>
  <c r="K240" i="67"/>
  <c r="L240" i="67"/>
  <c r="K241" i="67"/>
  <c r="L241" i="67"/>
  <c r="K242" i="67"/>
  <c r="L242" i="67"/>
  <c r="K243" i="67"/>
  <c r="L243" i="67"/>
  <c r="K244" i="67"/>
  <c r="L244" i="67"/>
  <c r="K245" i="67"/>
  <c r="L245" i="67"/>
  <c r="K246" i="67"/>
  <c r="L246" i="67"/>
  <c r="K247" i="67"/>
  <c r="L247" i="67"/>
  <c r="K248" i="67"/>
  <c r="L248" i="67"/>
  <c r="K249" i="67"/>
  <c r="L249" i="67"/>
  <c r="K250" i="67"/>
  <c r="L250" i="67"/>
  <c r="K251" i="67"/>
  <c r="L251" i="67"/>
  <c r="K252" i="67"/>
  <c r="L252" i="67"/>
  <c r="K253" i="67"/>
  <c r="L253" i="67"/>
  <c r="K254" i="67"/>
  <c r="L254" i="67"/>
  <c r="K255" i="67"/>
  <c r="L255" i="67"/>
  <c r="K256" i="67"/>
  <c r="L256" i="67"/>
  <c r="K257" i="67"/>
  <c r="L257" i="67"/>
  <c r="L10" i="67"/>
  <c r="K10" i="67"/>
  <c r="I11" i="67"/>
  <c r="I12" i="67"/>
  <c r="I13" i="67"/>
  <c r="I14" i="67"/>
  <c r="I15" i="67"/>
  <c r="I16" i="67"/>
  <c r="I17" i="67"/>
  <c r="I18" i="67"/>
  <c r="I19" i="67"/>
  <c r="I20" i="67"/>
  <c r="I21" i="67"/>
  <c r="I22" i="67"/>
  <c r="I23" i="67"/>
  <c r="I24" i="67"/>
  <c r="I25" i="67"/>
  <c r="I26" i="67"/>
  <c r="I27" i="67"/>
  <c r="I28" i="67"/>
  <c r="I29" i="67"/>
  <c r="I30" i="67"/>
  <c r="I31" i="67"/>
  <c r="I32" i="67"/>
  <c r="I33" i="67"/>
  <c r="I34" i="67"/>
  <c r="I35" i="67"/>
  <c r="I36" i="67"/>
  <c r="I37" i="67"/>
  <c r="I38" i="67"/>
  <c r="I39" i="67"/>
  <c r="I40" i="67"/>
  <c r="I41" i="67"/>
  <c r="I42" i="67"/>
  <c r="I43" i="67"/>
  <c r="I44" i="67"/>
  <c r="I45" i="67"/>
  <c r="I46" i="67"/>
  <c r="I47" i="67"/>
  <c r="I48" i="67"/>
  <c r="I49" i="67"/>
  <c r="I50" i="67"/>
  <c r="I51" i="67"/>
  <c r="I52" i="67"/>
  <c r="I53" i="67"/>
  <c r="I54" i="67"/>
  <c r="I55" i="67"/>
  <c r="I56" i="67"/>
  <c r="I57" i="67"/>
  <c r="I58" i="67"/>
  <c r="I59" i="67"/>
  <c r="I60" i="67"/>
  <c r="I61" i="67"/>
  <c r="I62" i="67"/>
  <c r="I63" i="67"/>
  <c r="I64" i="67"/>
  <c r="I65" i="67"/>
  <c r="I66" i="67"/>
  <c r="I67" i="67"/>
  <c r="I68" i="67"/>
  <c r="I69" i="67"/>
  <c r="I70" i="67"/>
  <c r="I71" i="67"/>
  <c r="I72" i="67"/>
  <c r="I73" i="67"/>
  <c r="I74" i="67"/>
  <c r="I75" i="67"/>
  <c r="I76" i="67"/>
  <c r="I77" i="67"/>
  <c r="I78" i="67"/>
  <c r="I79" i="67"/>
  <c r="I80" i="67"/>
  <c r="I81" i="67"/>
  <c r="I82" i="67"/>
  <c r="I83" i="67"/>
  <c r="I84" i="67"/>
  <c r="I85" i="67"/>
  <c r="I86" i="67"/>
  <c r="I87" i="67"/>
  <c r="I88" i="67"/>
  <c r="I89" i="67"/>
  <c r="I90" i="67"/>
  <c r="I91" i="67"/>
  <c r="I92" i="67"/>
  <c r="I93" i="67"/>
  <c r="I94" i="67"/>
  <c r="I95" i="67"/>
  <c r="I96" i="67"/>
  <c r="I97" i="67"/>
  <c r="I98" i="67"/>
  <c r="I99" i="67"/>
  <c r="I100" i="67"/>
  <c r="I101" i="67"/>
  <c r="I102" i="67"/>
  <c r="I103" i="67"/>
  <c r="I104" i="67"/>
  <c r="I105" i="67"/>
  <c r="I106" i="67"/>
  <c r="I107" i="67"/>
  <c r="I108" i="67"/>
  <c r="I109" i="67"/>
  <c r="I110" i="67"/>
  <c r="I111" i="67"/>
  <c r="I112" i="67"/>
  <c r="I113" i="67"/>
  <c r="I114" i="67"/>
  <c r="I115" i="67"/>
  <c r="I116" i="67"/>
  <c r="I117" i="67"/>
  <c r="I118" i="67"/>
  <c r="I119" i="67"/>
  <c r="I120" i="67"/>
  <c r="I121" i="67"/>
  <c r="I122" i="67"/>
  <c r="I123" i="67"/>
  <c r="I124" i="67"/>
  <c r="I125" i="67"/>
  <c r="I126" i="67"/>
  <c r="I127" i="67"/>
  <c r="I128" i="67"/>
  <c r="I129" i="67"/>
  <c r="I130" i="67"/>
  <c r="I131" i="67"/>
  <c r="I132" i="67"/>
  <c r="I133" i="67"/>
  <c r="I134" i="67"/>
  <c r="I135" i="67"/>
  <c r="I136" i="67"/>
  <c r="I137" i="67"/>
  <c r="I138" i="67"/>
  <c r="I139" i="67"/>
  <c r="I140" i="67"/>
  <c r="I141" i="67"/>
  <c r="I142" i="67"/>
  <c r="I143" i="67"/>
  <c r="I144" i="67"/>
  <c r="I145" i="67"/>
  <c r="I146" i="67"/>
  <c r="I147" i="67"/>
  <c r="I148" i="67"/>
  <c r="I149" i="67"/>
  <c r="I150" i="67"/>
  <c r="I151" i="67"/>
  <c r="I152" i="67"/>
  <c r="I153" i="67"/>
  <c r="I154" i="67"/>
  <c r="I155" i="67"/>
  <c r="I156" i="67"/>
  <c r="I157" i="67"/>
  <c r="I158" i="67"/>
  <c r="I159" i="67"/>
  <c r="I160" i="67"/>
  <c r="I161" i="67"/>
  <c r="I162" i="67"/>
  <c r="I163" i="67"/>
  <c r="I164" i="67"/>
  <c r="I165" i="67"/>
  <c r="I166" i="67"/>
  <c r="I167" i="67"/>
  <c r="I168" i="67"/>
  <c r="I169" i="67"/>
  <c r="I170" i="67"/>
  <c r="I171" i="67"/>
  <c r="I172" i="67"/>
  <c r="I173" i="67"/>
  <c r="I174" i="67"/>
  <c r="I175" i="67"/>
  <c r="I176" i="67"/>
  <c r="I177" i="67"/>
  <c r="I178" i="67"/>
  <c r="I179" i="67"/>
  <c r="I180" i="67"/>
  <c r="I181" i="67"/>
  <c r="I182" i="67"/>
  <c r="I183" i="67"/>
  <c r="I184" i="67"/>
  <c r="I185" i="67"/>
  <c r="I186" i="67"/>
  <c r="I187" i="67"/>
  <c r="I188" i="67"/>
  <c r="I189" i="67"/>
  <c r="I190" i="67"/>
  <c r="I191" i="67"/>
  <c r="I192" i="67"/>
  <c r="I193" i="67"/>
  <c r="I194" i="67"/>
  <c r="I195" i="67"/>
  <c r="I196" i="67"/>
  <c r="I197" i="67"/>
  <c r="I198" i="67"/>
  <c r="I199" i="67"/>
  <c r="I200" i="67"/>
  <c r="I201" i="67"/>
  <c r="I202" i="67"/>
  <c r="I203" i="67"/>
  <c r="I204" i="67"/>
  <c r="I205" i="67"/>
  <c r="I206" i="67"/>
  <c r="I207" i="67"/>
  <c r="I208" i="67"/>
  <c r="I209" i="67"/>
  <c r="I210" i="67"/>
  <c r="I211" i="67"/>
  <c r="I212" i="67"/>
  <c r="I213" i="67"/>
  <c r="I214" i="67"/>
  <c r="I215" i="67"/>
  <c r="I216" i="67"/>
  <c r="I217" i="67"/>
  <c r="I218" i="67"/>
  <c r="I219" i="67"/>
  <c r="I220" i="67"/>
  <c r="I221" i="67"/>
  <c r="I222" i="67"/>
  <c r="I223" i="67"/>
  <c r="I224" i="67"/>
  <c r="I225" i="67"/>
  <c r="I226" i="67"/>
  <c r="I227" i="67"/>
  <c r="I228" i="67"/>
  <c r="I229" i="67"/>
  <c r="I230" i="67"/>
  <c r="I231" i="67"/>
  <c r="I232" i="67"/>
  <c r="I233" i="67"/>
  <c r="I234" i="67"/>
  <c r="I235" i="67"/>
  <c r="I236" i="67"/>
  <c r="I237" i="67"/>
  <c r="I238" i="67"/>
  <c r="I239" i="67"/>
  <c r="I240" i="67"/>
  <c r="I241" i="67"/>
  <c r="I242" i="67"/>
  <c r="I243" i="67"/>
  <c r="I244" i="67"/>
  <c r="I245" i="67"/>
  <c r="I246" i="67"/>
  <c r="I247" i="67"/>
  <c r="I248" i="67"/>
  <c r="I249" i="67"/>
  <c r="I250" i="67"/>
  <c r="I251" i="67"/>
  <c r="I252" i="67"/>
  <c r="I253" i="67"/>
  <c r="I254" i="67"/>
  <c r="I255" i="67"/>
  <c r="I256" i="67"/>
  <c r="I257" i="67"/>
  <c r="I10" i="67"/>
  <c r="F11" i="67"/>
  <c r="G11" i="67" s="1"/>
  <c r="V11" i="67" s="1"/>
  <c r="F12" i="67"/>
  <c r="G12" i="67" s="1"/>
  <c r="V12" i="67" s="1"/>
  <c r="F13" i="67"/>
  <c r="G13" i="67" s="1"/>
  <c r="F14" i="67"/>
  <c r="G14" i="67" s="1"/>
  <c r="F15" i="67"/>
  <c r="G15" i="67" s="1"/>
  <c r="F16" i="67"/>
  <c r="G16" i="67" s="1"/>
  <c r="F17" i="67"/>
  <c r="G17" i="67" s="1"/>
  <c r="F18" i="67"/>
  <c r="G18" i="67" s="1"/>
  <c r="F19" i="67"/>
  <c r="G19" i="67" s="1"/>
  <c r="V19" i="67" s="1"/>
  <c r="F20" i="67"/>
  <c r="G20" i="67" s="1"/>
  <c r="V20" i="67" s="1"/>
  <c r="F21" i="67"/>
  <c r="G21" i="67" s="1"/>
  <c r="F22" i="67"/>
  <c r="G22" i="67" s="1"/>
  <c r="F23" i="67"/>
  <c r="G23" i="67" s="1"/>
  <c r="F24" i="67"/>
  <c r="G24" i="67" s="1"/>
  <c r="F25" i="67"/>
  <c r="G25" i="67" s="1"/>
  <c r="F26" i="67"/>
  <c r="G26" i="67" s="1"/>
  <c r="F27" i="67"/>
  <c r="G27" i="67" s="1"/>
  <c r="V27" i="67" s="1"/>
  <c r="F28" i="67"/>
  <c r="G28" i="67" s="1"/>
  <c r="V28" i="67" s="1"/>
  <c r="F29" i="67"/>
  <c r="G29" i="67" s="1"/>
  <c r="F30" i="67"/>
  <c r="G30" i="67" s="1"/>
  <c r="F31" i="67"/>
  <c r="G31" i="67" s="1"/>
  <c r="F32" i="67"/>
  <c r="G32" i="67" s="1"/>
  <c r="F33" i="67"/>
  <c r="G33" i="67" s="1"/>
  <c r="F34" i="67"/>
  <c r="G34" i="67" s="1"/>
  <c r="F35" i="67"/>
  <c r="G35" i="67" s="1"/>
  <c r="V35" i="67" s="1"/>
  <c r="F36" i="67"/>
  <c r="G36" i="67" s="1"/>
  <c r="V36" i="67" s="1"/>
  <c r="F37" i="67"/>
  <c r="G37" i="67" s="1"/>
  <c r="F38" i="67"/>
  <c r="G38" i="67" s="1"/>
  <c r="F39" i="67"/>
  <c r="G39" i="67" s="1"/>
  <c r="F40" i="67"/>
  <c r="G40" i="67" s="1"/>
  <c r="F41" i="67"/>
  <c r="G41" i="67" s="1"/>
  <c r="F42" i="67"/>
  <c r="G42" i="67" s="1"/>
  <c r="F43" i="67"/>
  <c r="G43" i="67" s="1"/>
  <c r="V43" i="67" s="1"/>
  <c r="F44" i="67"/>
  <c r="G44" i="67" s="1"/>
  <c r="V44" i="67" s="1"/>
  <c r="F45" i="67"/>
  <c r="G45" i="67" s="1"/>
  <c r="F46" i="67"/>
  <c r="G46" i="67" s="1"/>
  <c r="F47" i="67"/>
  <c r="G47" i="67" s="1"/>
  <c r="F48" i="67"/>
  <c r="G48" i="67" s="1"/>
  <c r="F49" i="67"/>
  <c r="G49" i="67" s="1"/>
  <c r="F50" i="67"/>
  <c r="G50" i="67" s="1"/>
  <c r="F51" i="67"/>
  <c r="G51" i="67" s="1"/>
  <c r="V51" i="67" s="1"/>
  <c r="F52" i="67"/>
  <c r="G52" i="67" s="1"/>
  <c r="V52" i="67" s="1"/>
  <c r="F53" i="67"/>
  <c r="G53" i="67" s="1"/>
  <c r="F54" i="67"/>
  <c r="G54" i="67" s="1"/>
  <c r="F55" i="67"/>
  <c r="G55" i="67" s="1"/>
  <c r="F56" i="67"/>
  <c r="G56" i="67" s="1"/>
  <c r="F57" i="67"/>
  <c r="G57" i="67" s="1"/>
  <c r="F58" i="67"/>
  <c r="G58" i="67" s="1"/>
  <c r="F59" i="67"/>
  <c r="G59" i="67" s="1"/>
  <c r="V59" i="67" s="1"/>
  <c r="F60" i="67"/>
  <c r="G60" i="67" s="1"/>
  <c r="V60" i="67" s="1"/>
  <c r="F61" i="67"/>
  <c r="G61" i="67" s="1"/>
  <c r="F62" i="67"/>
  <c r="G62" i="67" s="1"/>
  <c r="F63" i="67"/>
  <c r="G63" i="67" s="1"/>
  <c r="F64" i="67"/>
  <c r="G64" i="67" s="1"/>
  <c r="F65" i="67"/>
  <c r="G65" i="67" s="1"/>
  <c r="F66" i="67"/>
  <c r="G66" i="67" s="1"/>
  <c r="F67" i="67"/>
  <c r="G67" i="67" s="1"/>
  <c r="V67" i="67" s="1"/>
  <c r="F68" i="67"/>
  <c r="G68" i="67" s="1"/>
  <c r="V68" i="67" s="1"/>
  <c r="F69" i="67"/>
  <c r="G69" i="67" s="1"/>
  <c r="F70" i="67"/>
  <c r="G70" i="67" s="1"/>
  <c r="F71" i="67"/>
  <c r="G71" i="67" s="1"/>
  <c r="F72" i="67"/>
  <c r="G72" i="67" s="1"/>
  <c r="F73" i="67"/>
  <c r="G73" i="67" s="1"/>
  <c r="F74" i="67"/>
  <c r="G74" i="67" s="1"/>
  <c r="F75" i="67"/>
  <c r="G75" i="67" s="1"/>
  <c r="V75" i="67" s="1"/>
  <c r="F76" i="67"/>
  <c r="G76" i="67" s="1"/>
  <c r="V76" i="67" s="1"/>
  <c r="F77" i="67"/>
  <c r="G77" i="67" s="1"/>
  <c r="F78" i="67"/>
  <c r="G78" i="67" s="1"/>
  <c r="F79" i="67"/>
  <c r="G79" i="67" s="1"/>
  <c r="F80" i="67"/>
  <c r="G80" i="67" s="1"/>
  <c r="F81" i="67"/>
  <c r="G81" i="67" s="1"/>
  <c r="F82" i="67"/>
  <c r="G82" i="67" s="1"/>
  <c r="F83" i="67"/>
  <c r="G83" i="67" s="1"/>
  <c r="V83" i="67" s="1"/>
  <c r="F84" i="67"/>
  <c r="G84" i="67" s="1"/>
  <c r="V84" i="67" s="1"/>
  <c r="F85" i="67"/>
  <c r="G85" i="67" s="1"/>
  <c r="F86" i="67"/>
  <c r="G86" i="67" s="1"/>
  <c r="F87" i="67"/>
  <c r="G87" i="67" s="1"/>
  <c r="F88" i="67"/>
  <c r="G88" i="67" s="1"/>
  <c r="F89" i="67"/>
  <c r="G89" i="67" s="1"/>
  <c r="F90" i="67"/>
  <c r="G90" i="67" s="1"/>
  <c r="F91" i="67"/>
  <c r="G91" i="67" s="1"/>
  <c r="V91" i="67" s="1"/>
  <c r="F92" i="67"/>
  <c r="G92" i="67" s="1"/>
  <c r="V92" i="67" s="1"/>
  <c r="F93" i="67"/>
  <c r="G93" i="67" s="1"/>
  <c r="F94" i="67"/>
  <c r="G94" i="67" s="1"/>
  <c r="F95" i="67"/>
  <c r="G95" i="67" s="1"/>
  <c r="F96" i="67"/>
  <c r="G96" i="67" s="1"/>
  <c r="F97" i="67"/>
  <c r="G97" i="67" s="1"/>
  <c r="F98" i="67"/>
  <c r="G98" i="67" s="1"/>
  <c r="F99" i="67"/>
  <c r="G99" i="67" s="1"/>
  <c r="V99" i="67" s="1"/>
  <c r="F100" i="67"/>
  <c r="G100" i="67" s="1"/>
  <c r="V100" i="67" s="1"/>
  <c r="F101" i="67"/>
  <c r="G101" i="67" s="1"/>
  <c r="F102" i="67"/>
  <c r="G102" i="67" s="1"/>
  <c r="F103" i="67"/>
  <c r="G103" i="67" s="1"/>
  <c r="F104" i="67"/>
  <c r="G104" i="67" s="1"/>
  <c r="F105" i="67"/>
  <c r="G105" i="67" s="1"/>
  <c r="F106" i="67"/>
  <c r="G106" i="67" s="1"/>
  <c r="F107" i="67"/>
  <c r="G107" i="67" s="1"/>
  <c r="V107" i="67" s="1"/>
  <c r="F108" i="67"/>
  <c r="G108" i="67" s="1"/>
  <c r="V108" i="67" s="1"/>
  <c r="F109" i="67"/>
  <c r="G109" i="67" s="1"/>
  <c r="F110" i="67"/>
  <c r="G110" i="67" s="1"/>
  <c r="F111" i="67"/>
  <c r="G111" i="67" s="1"/>
  <c r="F112" i="67"/>
  <c r="G112" i="67" s="1"/>
  <c r="F113" i="67"/>
  <c r="G113" i="67" s="1"/>
  <c r="F114" i="67"/>
  <c r="G114" i="67" s="1"/>
  <c r="F115" i="67"/>
  <c r="G115" i="67" s="1"/>
  <c r="V115" i="67" s="1"/>
  <c r="F116" i="67"/>
  <c r="G116" i="67" s="1"/>
  <c r="V116" i="67" s="1"/>
  <c r="F117" i="67"/>
  <c r="G117" i="67" s="1"/>
  <c r="F118" i="67"/>
  <c r="G118" i="67" s="1"/>
  <c r="F119" i="67"/>
  <c r="G119" i="67" s="1"/>
  <c r="F120" i="67"/>
  <c r="G120" i="67" s="1"/>
  <c r="F121" i="67"/>
  <c r="G121" i="67" s="1"/>
  <c r="F122" i="67"/>
  <c r="G122" i="67" s="1"/>
  <c r="F123" i="67"/>
  <c r="G123" i="67" s="1"/>
  <c r="V123" i="67" s="1"/>
  <c r="F124" i="67"/>
  <c r="G124" i="67" s="1"/>
  <c r="V124" i="67" s="1"/>
  <c r="F125" i="67"/>
  <c r="G125" i="67" s="1"/>
  <c r="F126" i="67"/>
  <c r="G126" i="67" s="1"/>
  <c r="F127" i="67"/>
  <c r="G127" i="67" s="1"/>
  <c r="F128" i="67"/>
  <c r="G128" i="67" s="1"/>
  <c r="F129" i="67"/>
  <c r="G129" i="67" s="1"/>
  <c r="F130" i="67"/>
  <c r="G130" i="67" s="1"/>
  <c r="F131" i="67"/>
  <c r="G131" i="67" s="1"/>
  <c r="V131" i="67" s="1"/>
  <c r="F132" i="67"/>
  <c r="G132" i="67" s="1"/>
  <c r="V132" i="67" s="1"/>
  <c r="F133" i="67"/>
  <c r="G133" i="67" s="1"/>
  <c r="F134" i="67"/>
  <c r="G134" i="67" s="1"/>
  <c r="F135" i="67"/>
  <c r="G135" i="67" s="1"/>
  <c r="F136" i="67"/>
  <c r="G136" i="67" s="1"/>
  <c r="F137" i="67"/>
  <c r="G137" i="67" s="1"/>
  <c r="F138" i="67"/>
  <c r="G138" i="67" s="1"/>
  <c r="F139" i="67"/>
  <c r="G139" i="67" s="1"/>
  <c r="V139" i="67" s="1"/>
  <c r="F140" i="67"/>
  <c r="G140" i="67" s="1"/>
  <c r="V140" i="67" s="1"/>
  <c r="F141" i="67"/>
  <c r="G141" i="67" s="1"/>
  <c r="F142" i="67"/>
  <c r="G142" i="67" s="1"/>
  <c r="F143" i="67"/>
  <c r="G143" i="67" s="1"/>
  <c r="F144" i="67"/>
  <c r="G144" i="67" s="1"/>
  <c r="F145" i="67"/>
  <c r="G145" i="67" s="1"/>
  <c r="F146" i="67"/>
  <c r="G146" i="67" s="1"/>
  <c r="F147" i="67"/>
  <c r="G147" i="67" s="1"/>
  <c r="V147" i="67" s="1"/>
  <c r="F148" i="67"/>
  <c r="G148" i="67" s="1"/>
  <c r="V148" i="67" s="1"/>
  <c r="F149" i="67"/>
  <c r="G149" i="67" s="1"/>
  <c r="F150" i="67"/>
  <c r="G150" i="67" s="1"/>
  <c r="F151" i="67"/>
  <c r="G151" i="67" s="1"/>
  <c r="F152" i="67"/>
  <c r="G152" i="67" s="1"/>
  <c r="F153" i="67"/>
  <c r="G153" i="67" s="1"/>
  <c r="F154" i="67"/>
  <c r="G154" i="67" s="1"/>
  <c r="F155" i="67"/>
  <c r="G155" i="67" s="1"/>
  <c r="V155" i="67" s="1"/>
  <c r="F156" i="67"/>
  <c r="G156" i="67" s="1"/>
  <c r="V156" i="67" s="1"/>
  <c r="F157" i="67"/>
  <c r="G157" i="67" s="1"/>
  <c r="F158" i="67"/>
  <c r="G158" i="67" s="1"/>
  <c r="F159" i="67"/>
  <c r="G159" i="67" s="1"/>
  <c r="F160" i="67"/>
  <c r="G160" i="67" s="1"/>
  <c r="F161" i="67"/>
  <c r="G161" i="67" s="1"/>
  <c r="F162" i="67"/>
  <c r="G162" i="67" s="1"/>
  <c r="F163" i="67"/>
  <c r="G163" i="67" s="1"/>
  <c r="V163" i="67" s="1"/>
  <c r="F164" i="67"/>
  <c r="G164" i="67" s="1"/>
  <c r="V164" i="67" s="1"/>
  <c r="F165" i="67"/>
  <c r="G165" i="67" s="1"/>
  <c r="F166" i="67"/>
  <c r="G166" i="67" s="1"/>
  <c r="F167" i="67"/>
  <c r="G167" i="67" s="1"/>
  <c r="F168" i="67"/>
  <c r="G168" i="67" s="1"/>
  <c r="F169" i="67"/>
  <c r="G169" i="67" s="1"/>
  <c r="F170" i="67"/>
  <c r="G170" i="67" s="1"/>
  <c r="V170" i="67" s="1"/>
  <c r="F171" i="67"/>
  <c r="G171" i="67" s="1"/>
  <c r="V171" i="67" s="1"/>
  <c r="F172" i="67"/>
  <c r="G172" i="67" s="1"/>
  <c r="V172" i="67" s="1"/>
  <c r="F173" i="67"/>
  <c r="G173" i="67" s="1"/>
  <c r="F174" i="67"/>
  <c r="G174" i="67" s="1"/>
  <c r="F175" i="67"/>
  <c r="G175" i="67" s="1"/>
  <c r="F176" i="67"/>
  <c r="G176" i="67" s="1"/>
  <c r="F177" i="67"/>
  <c r="G177" i="67" s="1"/>
  <c r="F178" i="67"/>
  <c r="G178" i="67" s="1"/>
  <c r="V178" i="67" s="1"/>
  <c r="F179" i="67"/>
  <c r="G179" i="67" s="1"/>
  <c r="V179" i="67" s="1"/>
  <c r="F180" i="67"/>
  <c r="G180" i="67" s="1"/>
  <c r="V180" i="67" s="1"/>
  <c r="F181" i="67"/>
  <c r="G181" i="67" s="1"/>
  <c r="F182" i="67"/>
  <c r="G182" i="67" s="1"/>
  <c r="F183" i="67"/>
  <c r="G183" i="67" s="1"/>
  <c r="F184" i="67"/>
  <c r="G184" i="67" s="1"/>
  <c r="F185" i="67"/>
  <c r="G185" i="67" s="1"/>
  <c r="F186" i="67"/>
  <c r="G186" i="67" s="1"/>
  <c r="V186" i="67" s="1"/>
  <c r="F187" i="67"/>
  <c r="G187" i="67" s="1"/>
  <c r="V187" i="67" s="1"/>
  <c r="F188" i="67"/>
  <c r="G188" i="67" s="1"/>
  <c r="V188" i="67" s="1"/>
  <c r="F189" i="67"/>
  <c r="G189" i="67" s="1"/>
  <c r="F190" i="67"/>
  <c r="G190" i="67" s="1"/>
  <c r="F191" i="67"/>
  <c r="G191" i="67" s="1"/>
  <c r="F192" i="67"/>
  <c r="G192" i="67" s="1"/>
  <c r="F193" i="67"/>
  <c r="G193" i="67" s="1"/>
  <c r="F194" i="67"/>
  <c r="G194" i="67" s="1"/>
  <c r="V194" i="67" s="1"/>
  <c r="F195" i="67"/>
  <c r="G195" i="67" s="1"/>
  <c r="V195" i="67" s="1"/>
  <c r="F196" i="67"/>
  <c r="G196" i="67" s="1"/>
  <c r="V196" i="67" s="1"/>
  <c r="F197" i="67"/>
  <c r="G197" i="67" s="1"/>
  <c r="F198" i="67"/>
  <c r="G198" i="67" s="1"/>
  <c r="F199" i="67"/>
  <c r="G199" i="67" s="1"/>
  <c r="F200" i="67"/>
  <c r="G200" i="67" s="1"/>
  <c r="F201" i="67"/>
  <c r="G201" i="67" s="1"/>
  <c r="F202" i="67"/>
  <c r="G202" i="67" s="1"/>
  <c r="V202" i="67" s="1"/>
  <c r="F203" i="67"/>
  <c r="G203" i="67" s="1"/>
  <c r="V203" i="67" s="1"/>
  <c r="F204" i="67"/>
  <c r="G204" i="67" s="1"/>
  <c r="V204" i="67" s="1"/>
  <c r="F205" i="67"/>
  <c r="G205" i="67" s="1"/>
  <c r="F206" i="67"/>
  <c r="G206" i="67" s="1"/>
  <c r="F207" i="67"/>
  <c r="G207" i="67" s="1"/>
  <c r="F208" i="67"/>
  <c r="G208" i="67" s="1"/>
  <c r="F209" i="67"/>
  <c r="G209" i="67" s="1"/>
  <c r="F210" i="67"/>
  <c r="G210" i="67" s="1"/>
  <c r="V210" i="67" s="1"/>
  <c r="F211" i="67"/>
  <c r="G211" i="67" s="1"/>
  <c r="V211" i="67" s="1"/>
  <c r="F212" i="67"/>
  <c r="G212" i="67" s="1"/>
  <c r="V212" i="67" s="1"/>
  <c r="F213" i="67"/>
  <c r="G213" i="67" s="1"/>
  <c r="F214" i="67"/>
  <c r="G214" i="67" s="1"/>
  <c r="F215" i="67"/>
  <c r="G215" i="67" s="1"/>
  <c r="F216" i="67"/>
  <c r="G216" i="67" s="1"/>
  <c r="F217" i="67"/>
  <c r="G217" i="67" s="1"/>
  <c r="F218" i="67"/>
  <c r="G218" i="67" s="1"/>
  <c r="V218" i="67" s="1"/>
  <c r="F219" i="67"/>
  <c r="G219" i="67" s="1"/>
  <c r="V219" i="67" s="1"/>
  <c r="F220" i="67"/>
  <c r="G220" i="67" s="1"/>
  <c r="V220" i="67" s="1"/>
  <c r="F221" i="67"/>
  <c r="G221" i="67" s="1"/>
  <c r="F222" i="67"/>
  <c r="G222" i="67" s="1"/>
  <c r="F223" i="67"/>
  <c r="G223" i="67" s="1"/>
  <c r="F224" i="67"/>
  <c r="G224" i="67" s="1"/>
  <c r="F225" i="67"/>
  <c r="G225" i="67" s="1"/>
  <c r="F226" i="67"/>
  <c r="G226" i="67" s="1"/>
  <c r="V226" i="67" s="1"/>
  <c r="F227" i="67"/>
  <c r="G227" i="67" s="1"/>
  <c r="V227" i="67" s="1"/>
  <c r="F228" i="67"/>
  <c r="G228" i="67" s="1"/>
  <c r="V228" i="67" s="1"/>
  <c r="F229" i="67"/>
  <c r="G229" i="67" s="1"/>
  <c r="F230" i="67"/>
  <c r="G230" i="67" s="1"/>
  <c r="F231" i="67"/>
  <c r="G231" i="67" s="1"/>
  <c r="F232" i="67"/>
  <c r="G232" i="67" s="1"/>
  <c r="F233" i="67"/>
  <c r="G233" i="67" s="1"/>
  <c r="F234" i="67"/>
  <c r="G234" i="67" s="1"/>
  <c r="V234" i="67" s="1"/>
  <c r="F235" i="67"/>
  <c r="G235" i="67" s="1"/>
  <c r="V235" i="67" s="1"/>
  <c r="F236" i="67"/>
  <c r="G236" i="67" s="1"/>
  <c r="V236" i="67" s="1"/>
  <c r="F237" i="67"/>
  <c r="G237" i="67" s="1"/>
  <c r="F238" i="67"/>
  <c r="G238" i="67" s="1"/>
  <c r="F239" i="67"/>
  <c r="G239" i="67" s="1"/>
  <c r="F240" i="67"/>
  <c r="G240" i="67" s="1"/>
  <c r="F241" i="67"/>
  <c r="G241" i="67" s="1"/>
  <c r="F242" i="67"/>
  <c r="G242" i="67" s="1"/>
  <c r="V242" i="67" s="1"/>
  <c r="F243" i="67"/>
  <c r="G243" i="67" s="1"/>
  <c r="V243" i="67" s="1"/>
  <c r="F244" i="67"/>
  <c r="G244" i="67" s="1"/>
  <c r="V244" i="67" s="1"/>
  <c r="F245" i="67"/>
  <c r="G245" i="67" s="1"/>
  <c r="F246" i="67"/>
  <c r="G246" i="67" s="1"/>
  <c r="F247" i="67"/>
  <c r="G247" i="67" s="1"/>
  <c r="F248" i="67"/>
  <c r="G248" i="67" s="1"/>
  <c r="F249" i="67"/>
  <c r="G249" i="67" s="1"/>
  <c r="F250" i="67"/>
  <c r="G250" i="67" s="1"/>
  <c r="V250" i="67" s="1"/>
  <c r="F251" i="67"/>
  <c r="G251" i="67" s="1"/>
  <c r="V251" i="67" s="1"/>
  <c r="F252" i="67"/>
  <c r="G252" i="67" s="1"/>
  <c r="V252" i="67" s="1"/>
  <c r="F253" i="67"/>
  <c r="G253" i="67" s="1"/>
  <c r="F254" i="67"/>
  <c r="G254" i="67" s="1"/>
  <c r="F255" i="67"/>
  <c r="G255" i="67" s="1"/>
  <c r="F256" i="67"/>
  <c r="G256" i="67" s="1"/>
  <c r="F257" i="67"/>
  <c r="G257" i="67" s="1"/>
  <c r="F10" i="67"/>
  <c r="G10" i="67" s="1"/>
  <c r="V257" i="67" l="1"/>
  <c r="V249" i="67"/>
  <c r="V241" i="67"/>
  <c r="V233" i="67"/>
  <c r="V225" i="67"/>
  <c r="V217" i="67"/>
  <c r="V209" i="67"/>
  <c r="V201" i="67"/>
  <c r="V193" i="67"/>
  <c r="V185" i="67"/>
  <c r="V177" i="67"/>
  <c r="V169" i="67"/>
  <c r="V161" i="67"/>
  <c r="V153" i="67"/>
  <c r="V145" i="67"/>
  <c r="V137" i="67"/>
  <c r="V129" i="67"/>
  <c r="V121" i="67"/>
  <c r="V113" i="67"/>
  <c r="V105" i="67"/>
  <c r="V97" i="67"/>
  <c r="V89" i="67"/>
  <c r="V81" i="67"/>
  <c r="V73" i="67"/>
  <c r="V65" i="67"/>
  <c r="V57" i="67"/>
  <c r="V49" i="67"/>
  <c r="V41" i="67"/>
  <c r="V33" i="67"/>
  <c r="V25" i="67"/>
  <c r="V17" i="67"/>
  <c r="V232" i="67"/>
  <c r="V208" i="67"/>
  <c r="V176" i="67"/>
  <c r="V144" i="67"/>
  <c r="V112" i="67"/>
  <c r="V72" i="67"/>
  <c r="V32" i="67"/>
  <c r="V240" i="67"/>
  <c r="V200" i="67"/>
  <c r="V168" i="67"/>
  <c r="V136" i="67"/>
  <c r="V104" i="67"/>
  <c r="V80" i="67"/>
  <c r="V48" i="67"/>
  <c r="V16" i="67"/>
  <c r="V255" i="67"/>
  <c r="V247" i="67"/>
  <c r="V239" i="67"/>
  <c r="V231" i="67"/>
  <c r="V223" i="67"/>
  <c r="V215" i="67"/>
  <c r="V207" i="67"/>
  <c r="V199" i="67"/>
  <c r="V191" i="67"/>
  <c r="V183" i="67"/>
  <c r="V175" i="67"/>
  <c r="V167" i="67"/>
  <c r="V159" i="67"/>
  <c r="V151" i="67"/>
  <c r="V143" i="67"/>
  <c r="V135" i="67"/>
  <c r="V127" i="67"/>
  <c r="V119" i="67"/>
  <c r="V111" i="67"/>
  <c r="V103" i="67"/>
  <c r="V95" i="67"/>
  <c r="V87" i="67"/>
  <c r="V79" i="67"/>
  <c r="V71" i="67"/>
  <c r="V63" i="67"/>
  <c r="V55" i="67"/>
  <c r="V47" i="67"/>
  <c r="V39" i="67"/>
  <c r="V31" i="67"/>
  <c r="V23" i="67"/>
  <c r="V15" i="67"/>
  <c r="V248" i="67"/>
  <c r="V216" i="67"/>
  <c r="V184" i="67"/>
  <c r="V160" i="67"/>
  <c r="V128" i="67"/>
  <c r="V96" i="67"/>
  <c r="V64" i="67"/>
  <c r="V40" i="67"/>
  <c r="V254" i="67"/>
  <c r="V246" i="67"/>
  <c r="V238" i="67"/>
  <c r="V230" i="67"/>
  <c r="V222" i="67"/>
  <c r="V214" i="67"/>
  <c r="V206" i="67"/>
  <c r="V198" i="67"/>
  <c r="V190" i="67"/>
  <c r="V182" i="67"/>
  <c r="V174" i="67"/>
  <c r="V166" i="67"/>
  <c r="V158" i="67"/>
  <c r="V150" i="67"/>
  <c r="V142" i="67"/>
  <c r="V134" i="67"/>
  <c r="V126" i="67"/>
  <c r="V118" i="67"/>
  <c r="V110" i="67"/>
  <c r="V102" i="67"/>
  <c r="V94" i="67"/>
  <c r="V86" i="67"/>
  <c r="V78" i="67"/>
  <c r="V70" i="67"/>
  <c r="V62" i="67"/>
  <c r="V54" i="67"/>
  <c r="V46" i="67"/>
  <c r="V38" i="67"/>
  <c r="V30" i="67"/>
  <c r="V22" i="67"/>
  <c r="V14" i="67"/>
  <c r="V256" i="67"/>
  <c r="V224" i="67"/>
  <c r="V192" i="67"/>
  <c r="V152" i="67"/>
  <c r="V120" i="67"/>
  <c r="V88" i="67"/>
  <c r="V56" i="67"/>
  <c r="V24" i="67"/>
  <c r="V253" i="67"/>
  <c r="V245" i="67"/>
  <c r="V237" i="67"/>
  <c r="V229" i="67"/>
  <c r="V221" i="67"/>
  <c r="V213" i="67"/>
  <c r="V205" i="67"/>
  <c r="V197" i="67"/>
  <c r="V189" i="67"/>
  <c r="V181" i="67"/>
  <c r="V173" i="67"/>
  <c r="V165" i="67"/>
  <c r="V157" i="67"/>
  <c r="V149" i="67"/>
  <c r="V141" i="67"/>
  <c r="V133" i="67"/>
  <c r="V125" i="67"/>
  <c r="V117" i="67"/>
  <c r="V109" i="67"/>
  <c r="V101" i="67"/>
  <c r="V93" i="67"/>
  <c r="V85" i="67"/>
  <c r="V77" i="67"/>
  <c r="V69" i="67"/>
  <c r="V61" i="67"/>
  <c r="V53" i="67"/>
  <c r="V45" i="67"/>
  <c r="V37" i="67"/>
  <c r="V29" i="67"/>
  <c r="V21" i="67"/>
  <c r="V13" i="67"/>
  <c r="V162" i="67"/>
  <c r="V154" i="67"/>
  <c r="V146" i="67"/>
  <c r="V138" i="67"/>
  <c r="V130" i="67"/>
  <c r="V122" i="67"/>
  <c r="V114" i="67"/>
  <c r="V106" i="67"/>
  <c r="V98" i="67"/>
  <c r="V90" i="67"/>
  <c r="V82" i="67"/>
  <c r="V74" i="67"/>
  <c r="V66" i="67"/>
  <c r="V58" i="67"/>
  <c r="V50" i="67"/>
  <c r="V42" i="67"/>
  <c r="V34" i="67"/>
  <c r="V26" i="67"/>
  <c r="V18" i="67"/>
  <c r="AE24" i="57"/>
  <c r="R24" i="57"/>
  <c r="AE24" i="53"/>
  <c r="R24" i="53"/>
  <c r="V10" i="67"/>
  <c r="W10" i="67"/>
  <c r="R250" i="67"/>
  <c r="R242" i="67"/>
  <c r="R234" i="67"/>
  <c r="R226" i="67"/>
  <c r="R218" i="67"/>
  <c r="R210" i="67"/>
  <c r="R202" i="67"/>
  <c r="R194" i="67"/>
  <c r="R186" i="67"/>
  <c r="R178" i="67"/>
  <c r="R170" i="67"/>
  <c r="R162" i="67"/>
  <c r="R154" i="67"/>
  <c r="R146" i="67"/>
  <c r="R138" i="67"/>
  <c r="R130" i="67"/>
  <c r="R122" i="67"/>
  <c r="R114" i="67"/>
  <c r="R106" i="67"/>
  <c r="R98" i="67"/>
  <c r="R90" i="67"/>
  <c r="R82" i="67"/>
  <c r="R74" i="67"/>
  <c r="R66" i="67"/>
  <c r="R58" i="67"/>
  <c r="R50" i="67"/>
  <c r="R42" i="67"/>
  <c r="R34" i="67"/>
  <c r="R26" i="67"/>
  <c r="R18" i="67"/>
  <c r="AB21" i="57"/>
  <c r="AF21" i="57"/>
  <c r="O16" i="64"/>
  <c r="P16" i="64" s="1"/>
  <c r="T16" i="64"/>
  <c r="R10" i="67"/>
  <c r="R255" i="67"/>
  <c r="R251" i="67"/>
  <c r="R247" i="67"/>
  <c r="R243" i="67"/>
  <c r="R239" i="67"/>
  <c r="R235" i="67"/>
  <c r="R231" i="67"/>
  <c r="R227" i="67"/>
  <c r="R223" i="67"/>
  <c r="R219" i="67"/>
  <c r="R215" i="67"/>
  <c r="R211" i="67"/>
  <c r="R207" i="67"/>
  <c r="R203" i="67"/>
  <c r="R199" i="67"/>
  <c r="R195" i="67"/>
  <c r="R191" i="67"/>
  <c r="R187" i="67"/>
  <c r="R183" i="67"/>
  <c r="R179" i="67"/>
  <c r="R175" i="67"/>
  <c r="R171" i="67"/>
  <c r="R167" i="67"/>
  <c r="R163" i="67"/>
  <c r="R159" i="67"/>
  <c r="R155" i="67"/>
  <c r="R151" i="67"/>
  <c r="R147" i="67"/>
  <c r="R143" i="67"/>
  <c r="R139" i="67"/>
  <c r="R135" i="67"/>
  <c r="R131" i="67"/>
  <c r="R127" i="67"/>
  <c r="R123" i="67"/>
  <c r="R119" i="67"/>
  <c r="R115" i="67"/>
  <c r="R111" i="67"/>
  <c r="R107" i="67"/>
  <c r="R103" i="67"/>
  <c r="R99" i="67"/>
  <c r="R95" i="67"/>
  <c r="R91" i="67"/>
  <c r="R87" i="67"/>
  <c r="R83" i="67"/>
  <c r="R79" i="67"/>
  <c r="R75" i="67"/>
  <c r="R71" i="67"/>
  <c r="R67" i="67"/>
  <c r="R63" i="67"/>
  <c r="R59" i="67"/>
  <c r="R55" i="67"/>
  <c r="R51" i="67"/>
  <c r="R47" i="67"/>
  <c r="R43" i="67"/>
  <c r="R39" i="67"/>
  <c r="R35" i="67"/>
  <c r="R31" i="67"/>
  <c r="R27" i="67"/>
  <c r="R23" i="67"/>
  <c r="R19" i="67"/>
  <c r="R15" i="67"/>
  <c r="R257" i="67"/>
  <c r="R249" i="67"/>
  <c r="R241" i="67"/>
  <c r="R233" i="67"/>
  <c r="R225" i="67"/>
  <c r="R217" i="67"/>
  <c r="R209" i="67"/>
  <c r="R201" i="67"/>
  <c r="R193" i="67"/>
  <c r="R185" i="67"/>
  <c r="R177" i="67"/>
  <c r="R169" i="67"/>
  <c r="R161" i="67"/>
  <c r="R153" i="67"/>
  <c r="R145" i="67"/>
  <c r="R137" i="67"/>
  <c r="R129" i="67"/>
  <c r="R121" i="67"/>
  <c r="R113" i="67"/>
  <c r="R105" i="67"/>
  <c r="R97" i="67"/>
  <c r="R89" i="67"/>
  <c r="R81" i="67"/>
  <c r="R73" i="67"/>
  <c r="R65" i="67"/>
  <c r="R57" i="67"/>
  <c r="R49" i="67"/>
  <c r="R41" i="67"/>
  <c r="R33" i="67"/>
  <c r="R252" i="67"/>
  <c r="R244" i="67"/>
  <c r="R236" i="67"/>
  <c r="R228" i="67"/>
  <c r="R220" i="67"/>
  <c r="R212" i="67"/>
  <c r="R204" i="67"/>
  <c r="R196" i="67"/>
  <c r="R188" i="67"/>
  <c r="R180" i="67"/>
  <c r="R172" i="67"/>
  <c r="R164" i="67"/>
  <c r="R156" i="67"/>
  <c r="R148" i="67"/>
  <c r="R140" i="67"/>
  <c r="R132" i="67"/>
  <c r="R124" i="67"/>
  <c r="R116" i="67"/>
  <c r="R108" i="67"/>
  <c r="R100" i="67"/>
  <c r="R92" i="67"/>
  <c r="R84" i="67"/>
  <c r="R76" i="67"/>
  <c r="R68" i="67"/>
  <c r="R60" i="67"/>
  <c r="R52" i="67"/>
  <c r="R44" i="67"/>
  <c r="R36" i="67"/>
  <c r="R28" i="67"/>
  <c r="R20" i="67"/>
  <c r="R12" i="67"/>
  <c r="R25" i="67"/>
  <c r="R17" i="67"/>
  <c r="AB259" i="68"/>
  <c r="AB258" i="68"/>
  <c r="AB257" i="68"/>
  <c r="AB256" i="68"/>
  <c r="AB255" i="68"/>
  <c r="AB254" i="68"/>
  <c r="AB253" i="68"/>
  <c r="AB252" i="68"/>
  <c r="AB251" i="68"/>
  <c r="AB250" i="68"/>
  <c r="AB249" i="68"/>
  <c r="AB248" i="68"/>
  <c r="AB247" i="68"/>
  <c r="AB246" i="68"/>
  <c r="AB245" i="68"/>
  <c r="AB244" i="68"/>
  <c r="AB243" i="68"/>
  <c r="AB242" i="68"/>
  <c r="AB241" i="68"/>
  <c r="AB240" i="68"/>
  <c r="AB239" i="68"/>
  <c r="AB238" i="68"/>
  <c r="AB237" i="68"/>
  <c r="AB236" i="68"/>
  <c r="AB235" i="68"/>
  <c r="AB234" i="68"/>
  <c r="AB233" i="68"/>
  <c r="AB232" i="68"/>
  <c r="AB231" i="68"/>
  <c r="AB230" i="68"/>
  <c r="AB229" i="68"/>
  <c r="AB228" i="68"/>
  <c r="AB227" i="68"/>
  <c r="AB226" i="68"/>
  <c r="AB225" i="68"/>
  <c r="AB224" i="68"/>
  <c r="AB223" i="68"/>
  <c r="AB222" i="68"/>
  <c r="AB221" i="68"/>
  <c r="AB220" i="68"/>
  <c r="AB219" i="68"/>
  <c r="AB218" i="68"/>
  <c r="AB217" i="68"/>
  <c r="AB216" i="68"/>
  <c r="AB215" i="68"/>
  <c r="AB214" i="68"/>
  <c r="AB213" i="68"/>
  <c r="AB212" i="68"/>
  <c r="AB211" i="68"/>
  <c r="AB210" i="68"/>
  <c r="AB209" i="68"/>
  <c r="AB208" i="68"/>
  <c r="AB207" i="68"/>
  <c r="AB206" i="68"/>
  <c r="AB205" i="68"/>
  <c r="AB204" i="68"/>
  <c r="AB203" i="68"/>
  <c r="AB202" i="68"/>
  <c r="AB201" i="68"/>
  <c r="AB200" i="68"/>
  <c r="AB199" i="68"/>
  <c r="AB198" i="68"/>
  <c r="AB197" i="68"/>
  <c r="AB196" i="68"/>
  <c r="AB195" i="68"/>
  <c r="AB194" i="68"/>
  <c r="AB193" i="68"/>
  <c r="AB192" i="68"/>
  <c r="AB191" i="68"/>
  <c r="AB190" i="68"/>
  <c r="AB189" i="68"/>
  <c r="AB188" i="68"/>
  <c r="AB187" i="68"/>
  <c r="AB186" i="68"/>
  <c r="AB185" i="68"/>
  <c r="AB184" i="68"/>
  <c r="AB183" i="68"/>
  <c r="AB182" i="68"/>
  <c r="AB181" i="68"/>
  <c r="AB180" i="68"/>
  <c r="AB179" i="68"/>
  <c r="AB178" i="68"/>
  <c r="AB177" i="68"/>
  <c r="AB176" i="68"/>
  <c r="AB175" i="68"/>
  <c r="AB174" i="68"/>
  <c r="AB173" i="68"/>
  <c r="AB172" i="68"/>
  <c r="AB171" i="68"/>
  <c r="AB170" i="68"/>
  <c r="AB169" i="68"/>
  <c r="AB168" i="68"/>
  <c r="AB167" i="68"/>
  <c r="AB166" i="68"/>
  <c r="AB165" i="68"/>
  <c r="AB164" i="68"/>
  <c r="AB163" i="68"/>
  <c r="AB162" i="68"/>
  <c r="AB161" i="68"/>
  <c r="AB160" i="68"/>
  <c r="AB159" i="68"/>
  <c r="AB158" i="68"/>
  <c r="AB157" i="68"/>
  <c r="AB156" i="68"/>
  <c r="AB155" i="68"/>
  <c r="AB154" i="68"/>
  <c r="AB153" i="68"/>
  <c r="AB152" i="68"/>
  <c r="AB151" i="68"/>
  <c r="AB150" i="68"/>
  <c r="AB149" i="68"/>
  <c r="AB148" i="68"/>
  <c r="AB147" i="68"/>
  <c r="AB146" i="68"/>
  <c r="AB145" i="68"/>
  <c r="AB144" i="68"/>
  <c r="AB143" i="68"/>
  <c r="AB142" i="68"/>
  <c r="AB141" i="68"/>
  <c r="AB140" i="68"/>
  <c r="AB139" i="68"/>
  <c r="AB138" i="68"/>
  <c r="AB137" i="68"/>
  <c r="AB136" i="68"/>
  <c r="AB135" i="68"/>
  <c r="AB134" i="68"/>
  <c r="AB133" i="68"/>
  <c r="AB132" i="68"/>
  <c r="AB131" i="68"/>
  <c r="AB130" i="68"/>
  <c r="AB129" i="68"/>
  <c r="AB128" i="68"/>
  <c r="AB127" i="68"/>
  <c r="AB126" i="68"/>
  <c r="AB125" i="68"/>
  <c r="AB124" i="68"/>
  <c r="AB123" i="68"/>
  <c r="AB122" i="68"/>
  <c r="AB121" i="68"/>
  <c r="AB120" i="68"/>
  <c r="AB119" i="68"/>
  <c r="AB118" i="68"/>
  <c r="AB117" i="68"/>
  <c r="AB116" i="68"/>
  <c r="AB115" i="68"/>
  <c r="AB114" i="68"/>
  <c r="AB113" i="68"/>
  <c r="AB112" i="68"/>
  <c r="AB111" i="68"/>
  <c r="AB110" i="68"/>
  <c r="AB109" i="68"/>
  <c r="AB108" i="68"/>
  <c r="AB107" i="68"/>
  <c r="AB106" i="68"/>
  <c r="AB105" i="68"/>
  <c r="AB104" i="68"/>
  <c r="AB103" i="68"/>
  <c r="AB102" i="68"/>
  <c r="AB101" i="68"/>
  <c r="AB100" i="68"/>
  <c r="AB99" i="68"/>
  <c r="AB98" i="68"/>
  <c r="AB97" i="68"/>
  <c r="AB96" i="68"/>
  <c r="AB95" i="68"/>
  <c r="AB94" i="68"/>
  <c r="AB93" i="68"/>
  <c r="AB92" i="68"/>
  <c r="AB91" i="68"/>
  <c r="AB90" i="68"/>
  <c r="AB89" i="68"/>
  <c r="AB88" i="68"/>
  <c r="AB87" i="68"/>
  <c r="AB86" i="68"/>
  <c r="AB85" i="68"/>
  <c r="AB84" i="68"/>
  <c r="AB83" i="68"/>
  <c r="AB82" i="68"/>
  <c r="AB81" i="68"/>
  <c r="AB80" i="68"/>
  <c r="AB79" i="68"/>
  <c r="AB78" i="68"/>
  <c r="AB77" i="68"/>
  <c r="AB76" i="68"/>
  <c r="AB75" i="68"/>
  <c r="AB74" i="68"/>
  <c r="AB73" i="68"/>
  <c r="AB72" i="68"/>
  <c r="AB71" i="68"/>
  <c r="AB70" i="68"/>
  <c r="AB69" i="68"/>
  <c r="AB68" i="68"/>
  <c r="AB67" i="68"/>
  <c r="AB66" i="68"/>
  <c r="AB65" i="68"/>
  <c r="AB64" i="68"/>
  <c r="AB63" i="68"/>
  <c r="AB62" i="68"/>
  <c r="AB61" i="68"/>
  <c r="AB60" i="68"/>
  <c r="AB59" i="68"/>
  <c r="AB58" i="68"/>
  <c r="AB57" i="68"/>
  <c r="AB56" i="68"/>
  <c r="AB55" i="68"/>
  <c r="AB54" i="68"/>
  <c r="AB53" i="68"/>
  <c r="AB52" i="68"/>
  <c r="AB51" i="68"/>
  <c r="AB50" i="68"/>
  <c r="AB49" i="68"/>
  <c r="AB48" i="68"/>
  <c r="AB47" i="68"/>
  <c r="AB46" i="68"/>
  <c r="AB45" i="68"/>
  <c r="AB44" i="68"/>
  <c r="AB43" i="68"/>
  <c r="AB42" i="68"/>
  <c r="AB41" i="68"/>
  <c r="AB40" i="68"/>
  <c r="AB39" i="68"/>
  <c r="AB38" i="68"/>
  <c r="AB37" i="68"/>
  <c r="AB36" i="68"/>
  <c r="AB35" i="68"/>
  <c r="AB34" i="68"/>
  <c r="AB33" i="68"/>
  <c r="AB32" i="68"/>
  <c r="AB31" i="68"/>
  <c r="AB30" i="68"/>
  <c r="AB29" i="68"/>
  <c r="AB28" i="68"/>
  <c r="AB27" i="68"/>
  <c r="AB26" i="68"/>
  <c r="AB25" i="68"/>
  <c r="AB24" i="68"/>
  <c r="AB23" i="68"/>
  <c r="AB22" i="68"/>
  <c r="AB21" i="68"/>
  <c r="AB20" i="68"/>
  <c r="AB19" i="68"/>
  <c r="AB18" i="68"/>
  <c r="AB17" i="68"/>
  <c r="O256" i="64"/>
  <c r="P256" i="64" s="1"/>
  <c r="Q256" i="64" s="1"/>
  <c r="O248" i="64"/>
  <c r="P248" i="64" s="1"/>
  <c r="Q248" i="64" s="1"/>
  <c r="O240" i="64"/>
  <c r="P240" i="64" s="1"/>
  <c r="Q240" i="64" s="1"/>
  <c r="O232" i="64"/>
  <c r="P232" i="64" s="1"/>
  <c r="Q232" i="64" s="1"/>
  <c r="O224" i="64"/>
  <c r="P224" i="64" s="1"/>
  <c r="Q224" i="64" s="1"/>
  <c r="O216" i="64"/>
  <c r="P216" i="64" s="1"/>
  <c r="Q216" i="64" s="1"/>
  <c r="O208" i="64"/>
  <c r="P208" i="64" s="1"/>
  <c r="Q208" i="64" s="1"/>
  <c r="O200" i="64"/>
  <c r="P200" i="64" s="1"/>
  <c r="Q200" i="64" s="1"/>
  <c r="O192" i="64"/>
  <c r="P192" i="64" s="1"/>
  <c r="Q192" i="64" s="1"/>
  <c r="O184" i="64"/>
  <c r="P184" i="64" s="1"/>
  <c r="Q184" i="64" s="1"/>
  <c r="O176" i="64"/>
  <c r="P176" i="64" s="1"/>
  <c r="Q176" i="64" s="1"/>
  <c r="O168" i="64"/>
  <c r="P168" i="64" s="1"/>
  <c r="Q168" i="64" s="1"/>
  <c r="O160" i="64"/>
  <c r="P160" i="64" s="1"/>
  <c r="Q160" i="64" s="1"/>
  <c r="O152" i="64"/>
  <c r="P152" i="64" s="1"/>
  <c r="Q152" i="64" s="1"/>
  <c r="O144" i="64"/>
  <c r="P144" i="64" s="1"/>
  <c r="Q144" i="64" s="1"/>
  <c r="O136" i="64"/>
  <c r="P136" i="64" s="1"/>
  <c r="Q136" i="64" s="1"/>
  <c r="O128" i="64"/>
  <c r="P128" i="64" s="1"/>
  <c r="Q128" i="64" s="1"/>
  <c r="O120" i="64"/>
  <c r="P120" i="64" s="1"/>
  <c r="Q120" i="64" s="1"/>
  <c r="O112" i="64"/>
  <c r="P112" i="64" s="1"/>
  <c r="Q112" i="64" s="1"/>
  <c r="O104" i="64"/>
  <c r="P104" i="64" s="1"/>
  <c r="Q104" i="64" s="1"/>
  <c r="O96" i="64"/>
  <c r="P96" i="64" s="1"/>
  <c r="Q96" i="64" s="1"/>
  <c r="O88" i="64"/>
  <c r="P88" i="64" s="1"/>
  <c r="Q88" i="64" s="1"/>
  <c r="O80" i="64"/>
  <c r="P80" i="64" s="1"/>
  <c r="Q80" i="64" s="1"/>
  <c r="O72" i="64"/>
  <c r="P72" i="64" s="1"/>
  <c r="Q72" i="64" s="1"/>
  <c r="O64" i="64"/>
  <c r="P64" i="64" s="1"/>
  <c r="Q64" i="64" s="1"/>
  <c r="O56" i="64"/>
  <c r="P56" i="64" s="1"/>
  <c r="Q56" i="64" s="1"/>
  <c r="O48" i="64"/>
  <c r="P48" i="64" s="1"/>
  <c r="Q48" i="64" s="1"/>
  <c r="O40" i="64"/>
  <c r="P40" i="64" s="1"/>
  <c r="Q40" i="64" s="1"/>
  <c r="O32" i="64"/>
  <c r="P32" i="64" s="1"/>
  <c r="Q32" i="64" s="1"/>
  <c r="O24" i="64"/>
  <c r="P24" i="64" s="1"/>
  <c r="Q24" i="64" s="1"/>
  <c r="O255" i="64"/>
  <c r="P255" i="64" s="1"/>
  <c r="Q255" i="64" s="1"/>
  <c r="O247" i="64"/>
  <c r="P247" i="64" s="1"/>
  <c r="Q247" i="64" s="1"/>
  <c r="O239" i="64"/>
  <c r="P239" i="64" s="1"/>
  <c r="Q239" i="64" s="1"/>
  <c r="O231" i="64"/>
  <c r="P231" i="64" s="1"/>
  <c r="Q231" i="64" s="1"/>
  <c r="O223" i="64"/>
  <c r="P223" i="64" s="1"/>
  <c r="Q223" i="64" s="1"/>
  <c r="O215" i="64"/>
  <c r="P215" i="64" s="1"/>
  <c r="Q215" i="64" s="1"/>
  <c r="O207" i="64"/>
  <c r="P207" i="64" s="1"/>
  <c r="Q207" i="64" s="1"/>
  <c r="O199" i="64"/>
  <c r="P199" i="64" s="1"/>
  <c r="Q199" i="64" s="1"/>
  <c r="O191" i="64"/>
  <c r="P191" i="64" s="1"/>
  <c r="Q191" i="64" s="1"/>
  <c r="O183" i="64"/>
  <c r="P183" i="64" s="1"/>
  <c r="Q183" i="64" s="1"/>
  <c r="O175" i="64"/>
  <c r="P175" i="64" s="1"/>
  <c r="Q175" i="64" s="1"/>
  <c r="O167" i="64"/>
  <c r="P167" i="64" s="1"/>
  <c r="Q167" i="64" s="1"/>
  <c r="O159" i="64"/>
  <c r="P159" i="64" s="1"/>
  <c r="Q159" i="64" s="1"/>
  <c r="O151" i="64"/>
  <c r="P151" i="64" s="1"/>
  <c r="Q151" i="64" s="1"/>
  <c r="O143" i="64"/>
  <c r="P143" i="64" s="1"/>
  <c r="Q143" i="64" s="1"/>
  <c r="O135" i="64"/>
  <c r="P135" i="64" s="1"/>
  <c r="Q135" i="64" s="1"/>
  <c r="O127" i="64"/>
  <c r="P127" i="64" s="1"/>
  <c r="Q127" i="64" s="1"/>
  <c r="O119" i="64"/>
  <c r="P119" i="64" s="1"/>
  <c r="Q119" i="64" s="1"/>
  <c r="O111" i="64"/>
  <c r="P111" i="64" s="1"/>
  <c r="Q111" i="64" s="1"/>
  <c r="O103" i="64"/>
  <c r="P103" i="64" s="1"/>
  <c r="Q103" i="64" s="1"/>
  <c r="O95" i="64"/>
  <c r="P95" i="64" s="1"/>
  <c r="Q95" i="64" s="1"/>
  <c r="O87" i="64"/>
  <c r="P87" i="64" s="1"/>
  <c r="Q87" i="64" s="1"/>
  <c r="O79" i="64"/>
  <c r="P79" i="64" s="1"/>
  <c r="Q79" i="64" s="1"/>
  <c r="O71" i="64"/>
  <c r="P71" i="64" s="1"/>
  <c r="Q71" i="64" s="1"/>
  <c r="O63" i="64"/>
  <c r="P63" i="64" s="1"/>
  <c r="Q63" i="64" s="1"/>
  <c r="O55" i="64"/>
  <c r="P55" i="64" s="1"/>
  <c r="Q55" i="64" s="1"/>
  <c r="O47" i="64"/>
  <c r="P47" i="64" s="1"/>
  <c r="Q47" i="64" s="1"/>
  <c r="O39" i="64"/>
  <c r="P39" i="64" s="1"/>
  <c r="Q39" i="64" s="1"/>
  <c r="O31" i="64"/>
  <c r="P31" i="64" s="1"/>
  <c r="Q31" i="64" s="1"/>
  <c r="O23" i="64"/>
  <c r="P23" i="64" s="1"/>
  <c r="Q23" i="64" s="1"/>
  <c r="O254" i="64"/>
  <c r="P254" i="64" s="1"/>
  <c r="Q254" i="64" s="1"/>
  <c r="O246" i="64"/>
  <c r="P246" i="64" s="1"/>
  <c r="Q246" i="64" s="1"/>
  <c r="O238" i="64"/>
  <c r="P238" i="64" s="1"/>
  <c r="Q238" i="64" s="1"/>
  <c r="O230" i="64"/>
  <c r="P230" i="64" s="1"/>
  <c r="Q230" i="64" s="1"/>
  <c r="O222" i="64"/>
  <c r="P222" i="64" s="1"/>
  <c r="Q222" i="64" s="1"/>
  <c r="O214" i="64"/>
  <c r="P214" i="64" s="1"/>
  <c r="Q214" i="64" s="1"/>
  <c r="O206" i="64"/>
  <c r="P206" i="64" s="1"/>
  <c r="Q206" i="64" s="1"/>
  <c r="O198" i="64"/>
  <c r="P198" i="64" s="1"/>
  <c r="Q198" i="64" s="1"/>
  <c r="O190" i="64"/>
  <c r="P190" i="64" s="1"/>
  <c r="Q190" i="64" s="1"/>
  <c r="O182" i="64"/>
  <c r="P182" i="64" s="1"/>
  <c r="Q182" i="64" s="1"/>
  <c r="O174" i="64"/>
  <c r="P174" i="64" s="1"/>
  <c r="Q174" i="64" s="1"/>
  <c r="O166" i="64"/>
  <c r="P166" i="64" s="1"/>
  <c r="Q166" i="64" s="1"/>
  <c r="O158" i="64"/>
  <c r="P158" i="64" s="1"/>
  <c r="Q158" i="64" s="1"/>
  <c r="O150" i="64"/>
  <c r="P150" i="64" s="1"/>
  <c r="Q150" i="64" s="1"/>
  <c r="O142" i="64"/>
  <c r="P142" i="64" s="1"/>
  <c r="Q142" i="64" s="1"/>
  <c r="O134" i="64"/>
  <c r="P134" i="64" s="1"/>
  <c r="Q134" i="64" s="1"/>
  <c r="O126" i="64"/>
  <c r="P126" i="64" s="1"/>
  <c r="Q126" i="64" s="1"/>
  <c r="O118" i="64"/>
  <c r="P118" i="64" s="1"/>
  <c r="Q118" i="64" s="1"/>
  <c r="O110" i="64"/>
  <c r="P110" i="64" s="1"/>
  <c r="Q110" i="64" s="1"/>
  <c r="O102" i="64"/>
  <c r="P102" i="64" s="1"/>
  <c r="Q102" i="64" s="1"/>
  <c r="O94" i="64"/>
  <c r="P94" i="64" s="1"/>
  <c r="Q94" i="64" s="1"/>
  <c r="O86" i="64"/>
  <c r="P86" i="64" s="1"/>
  <c r="Q86" i="64" s="1"/>
  <c r="O78" i="64"/>
  <c r="P78" i="64" s="1"/>
  <c r="Q78" i="64" s="1"/>
  <c r="O70" i="64"/>
  <c r="P70" i="64" s="1"/>
  <c r="Q70" i="64" s="1"/>
  <c r="O62" i="64"/>
  <c r="P62" i="64" s="1"/>
  <c r="Q62" i="64" s="1"/>
  <c r="O54" i="64"/>
  <c r="P54" i="64" s="1"/>
  <c r="Q54" i="64" s="1"/>
  <c r="O46" i="64"/>
  <c r="P46" i="64" s="1"/>
  <c r="Q46" i="64" s="1"/>
  <c r="O38" i="64"/>
  <c r="P38" i="64" s="1"/>
  <c r="Q38" i="64" s="1"/>
  <c r="O30" i="64"/>
  <c r="P30" i="64" s="1"/>
  <c r="Q30" i="64" s="1"/>
  <c r="O22" i="64"/>
  <c r="P22" i="64" s="1"/>
  <c r="Q22" i="64" s="1"/>
  <c r="O253" i="64"/>
  <c r="P253" i="64" s="1"/>
  <c r="Q253" i="64" s="1"/>
  <c r="O245" i="64"/>
  <c r="P245" i="64" s="1"/>
  <c r="Q245" i="64" s="1"/>
  <c r="O237" i="64"/>
  <c r="P237" i="64" s="1"/>
  <c r="Q237" i="64" s="1"/>
  <c r="O229" i="64"/>
  <c r="P229" i="64" s="1"/>
  <c r="Q229" i="64" s="1"/>
  <c r="O221" i="64"/>
  <c r="P221" i="64" s="1"/>
  <c r="Q221" i="64" s="1"/>
  <c r="O213" i="64"/>
  <c r="P213" i="64" s="1"/>
  <c r="Q213" i="64" s="1"/>
  <c r="O205" i="64"/>
  <c r="P205" i="64" s="1"/>
  <c r="Q205" i="64" s="1"/>
  <c r="O197" i="64"/>
  <c r="P197" i="64" s="1"/>
  <c r="Q197" i="64" s="1"/>
  <c r="O189" i="64"/>
  <c r="P189" i="64" s="1"/>
  <c r="Q189" i="64" s="1"/>
  <c r="O181" i="64"/>
  <c r="P181" i="64" s="1"/>
  <c r="Q181" i="64" s="1"/>
  <c r="O173" i="64"/>
  <c r="P173" i="64" s="1"/>
  <c r="Q173" i="64" s="1"/>
  <c r="O165" i="64"/>
  <c r="P165" i="64" s="1"/>
  <c r="Q165" i="64" s="1"/>
  <c r="O157" i="64"/>
  <c r="P157" i="64" s="1"/>
  <c r="Q157" i="64" s="1"/>
  <c r="O149" i="64"/>
  <c r="P149" i="64" s="1"/>
  <c r="Q149" i="64" s="1"/>
  <c r="O141" i="64"/>
  <c r="P141" i="64" s="1"/>
  <c r="Q141" i="64" s="1"/>
  <c r="O133" i="64"/>
  <c r="P133" i="64" s="1"/>
  <c r="Q133" i="64" s="1"/>
  <c r="O125" i="64"/>
  <c r="P125" i="64" s="1"/>
  <c r="Q125" i="64" s="1"/>
  <c r="O117" i="64"/>
  <c r="P117" i="64" s="1"/>
  <c r="Q117" i="64" s="1"/>
  <c r="O109" i="64"/>
  <c r="P109" i="64" s="1"/>
  <c r="Q109" i="64" s="1"/>
  <c r="O101" i="64"/>
  <c r="P101" i="64" s="1"/>
  <c r="Q101" i="64" s="1"/>
  <c r="O93" i="64"/>
  <c r="P93" i="64" s="1"/>
  <c r="Q93" i="64" s="1"/>
  <c r="O85" i="64"/>
  <c r="P85" i="64" s="1"/>
  <c r="Q85" i="64" s="1"/>
  <c r="O77" i="64"/>
  <c r="P77" i="64" s="1"/>
  <c r="Q77" i="64" s="1"/>
  <c r="O69" i="64"/>
  <c r="P69" i="64" s="1"/>
  <c r="Q69" i="64" s="1"/>
  <c r="O61" i="64"/>
  <c r="P61" i="64" s="1"/>
  <c r="Q61" i="64" s="1"/>
  <c r="O53" i="64"/>
  <c r="P53" i="64" s="1"/>
  <c r="Q53" i="64" s="1"/>
  <c r="O45" i="64"/>
  <c r="P45" i="64" s="1"/>
  <c r="Q45" i="64" s="1"/>
  <c r="O37" i="64"/>
  <c r="P37" i="64" s="1"/>
  <c r="Q37" i="64" s="1"/>
  <c r="O29" i="64"/>
  <c r="P29" i="64" s="1"/>
  <c r="Q29" i="64" s="1"/>
  <c r="O21" i="64"/>
  <c r="P21" i="64" s="1"/>
  <c r="Q21" i="64" s="1"/>
  <c r="O252" i="64"/>
  <c r="P252" i="64" s="1"/>
  <c r="Q252" i="64" s="1"/>
  <c r="O244" i="64"/>
  <c r="P244" i="64" s="1"/>
  <c r="Q244" i="64" s="1"/>
  <c r="O236" i="64"/>
  <c r="P236" i="64" s="1"/>
  <c r="Q236" i="64" s="1"/>
  <c r="O228" i="64"/>
  <c r="P228" i="64" s="1"/>
  <c r="Q228" i="64" s="1"/>
  <c r="O220" i="64"/>
  <c r="P220" i="64" s="1"/>
  <c r="Q220" i="64" s="1"/>
  <c r="O212" i="64"/>
  <c r="P212" i="64" s="1"/>
  <c r="Q212" i="64" s="1"/>
  <c r="O204" i="64"/>
  <c r="P204" i="64" s="1"/>
  <c r="Q204" i="64" s="1"/>
  <c r="O196" i="64"/>
  <c r="P196" i="64" s="1"/>
  <c r="Q196" i="64" s="1"/>
  <c r="O188" i="64"/>
  <c r="P188" i="64" s="1"/>
  <c r="Q188" i="64" s="1"/>
  <c r="O180" i="64"/>
  <c r="P180" i="64" s="1"/>
  <c r="Q180" i="64" s="1"/>
  <c r="O172" i="64"/>
  <c r="P172" i="64" s="1"/>
  <c r="Q172" i="64" s="1"/>
  <c r="O164" i="64"/>
  <c r="P164" i="64" s="1"/>
  <c r="Q164" i="64" s="1"/>
  <c r="O156" i="64"/>
  <c r="P156" i="64" s="1"/>
  <c r="Q156" i="64" s="1"/>
  <c r="O148" i="64"/>
  <c r="P148" i="64" s="1"/>
  <c r="Q148" i="64" s="1"/>
  <c r="O140" i="64"/>
  <c r="P140" i="64" s="1"/>
  <c r="Q140" i="64" s="1"/>
  <c r="O132" i="64"/>
  <c r="P132" i="64" s="1"/>
  <c r="Q132" i="64" s="1"/>
  <c r="O124" i="64"/>
  <c r="P124" i="64" s="1"/>
  <c r="Q124" i="64" s="1"/>
  <c r="O116" i="64"/>
  <c r="P116" i="64" s="1"/>
  <c r="Q116" i="64" s="1"/>
  <c r="O108" i="64"/>
  <c r="P108" i="64" s="1"/>
  <c r="Q108" i="64" s="1"/>
  <c r="O100" i="64"/>
  <c r="P100" i="64" s="1"/>
  <c r="Q100" i="64" s="1"/>
  <c r="O92" i="64"/>
  <c r="P92" i="64" s="1"/>
  <c r="Q92" i="64" s="1"/>
  <c r="O84" i="64"/>
  <c r="P84" i="64" s="1"/>
  <c r="Q84" i="64" s="1"/>
  <c r="O76" i="64"/>
  <c r="P76" i="64" s="1"/>
  <c r="Q76" i="64" s="1"/>
  <c r="O68" i="64"/>
  <c r="P68" i="64" s="1"/>
  <c r="Q68" i="64" s="1"/>
  <c r="O60" i="64"/>
  <c r="P60" i="64" s="1"/>
  <c r="Q60" i="64" s="1"/>
  <c r="O52" i="64"/>
  <c r="P52" i="64" s="1"/>
  <c r="Q52" i="64" s="1"/>
  <c r="O44" i="64"/>
  <c r="P44" i="64" s="1"/>
  <c r="Q44" i="64" s="1"/>
  <c r="O36" i="64"/>
  <c r="P36" i="64" s="1"/>
  <c r="Q36" i="64" s="1"/>
  <c r="O28" i="64"/>
  <c r="P28" i="64" s="1"/>
  <c r="Q28" i="64" s="1"/>
  <c r="O20" i="64"/>
  <c r="P20" i="64" s="1"/>
  <c r="Q20" i="64" s="1"/>
  <c r="O251" i="64"/>
  <c r="P251" i="64" s="1"/>
  <c r="Q251" i="64" s="1"/>
  <c r="O243" i="64"/>
  <c r="P243" i="64" s="1"/>
  <c r="Q243" i="64" s="1"/>
  <c r="O235" i="64"/>
  <c r="P235" i="64" s="1"/>
  <c r="Q235" i="64" s="1"/>
  <c r="O227" i="64"/>
  <c r="P227" i="64" s="1"/>
  <c r="Q227" i="64" s="1"/>
  <c r="O219" i="64"/>
  <c r="P219" i="64" s="1"/>
  <c r="Q219" i="64" s="1"/>
  <c r="O211" i="64"/>
  <c r="P211" i="64" s="1"/>
  <c r="Q211" i="64" s="1"/>
  <c r="O203" i="64"/>
  <c r="P203" i="64" s="1"/>
  <c r="Q203" i="64" s="1"/>
  <c r="O195" i="64"/>
  <c r="P195" i="64" s="1"/>
  <c r="Q195" i="64" s="1"/>
  <c r="O187" i="64"/>
  <c r="P187" i="64" s="1"/>
  <c r="Q187" i="64" s="1"/>
  <c r="O179" i="64"/>
  <c r="P179" i="64" s="1"/>
  <c r="Q179" i="64" s="1"/>
  <c r="O171" i="64"/>
  <c r="P171" i="64" s="1"/>
  <c r="Q171" i="64" s="1"/>
  <c r="O163" i="64"/>
  <c r="P163" i="64" s="1"/>
  <c r="Q163" i="64" s="1"/>
  <c r="O155" i="64"/>
  <c r="P155" i="64" s="1"/>
  <c r="Q155" i="64" s="1"/>
  <c r="O147" i="64"/>
  <c r="P147" i="64" s="1"/>
  <c r="Q147" i="64" s="1"/>
  <c r="O139" i="64"/>
  <c r="P139" i="64" s="1"/>
  <c r="Q139" i="64" s="1"/>
  <c r="O131" i="64"/>
  <c r="P131" i="64" s="1"/>
  <c r="Q131" i="64" s="1"/>
  <c r="O123" i="64"/>
  <c r="P123" i="64" s="1"/>
  <c r="Q123" i="64" s="1"/>
  <c r="O115" i="64"/>
  <c r="P115" i="64" s="1"/>
  <c r="Q115" i="64" s="1"/>
  <c r="O107" i="64"/>
  <c r="P107" i="64" s="1"/>
  <c r="Q107" i="64" s="1"/>
  <c r="O99" i="64"/>
  <c r="P99" i="64" s="1"/>
  <c r="Q99" i="64" s="1"/>
  <c r="O91" i="64"/>
  <c r="P91" i="64" s="1"/>
  <c r="Q91" i="64" s="1"/>
  <c r="O83" i="64"/>
  <c r="P83" i="64" s="1"/>
  <c r="Q83" i="64" s="1"/>
  <c r="O75" i="64"/>
  <c r="P75" i="64" s="1"/>
  <c r="Q75" i="64" s="1"/>
  <c r="O67" i="64"/>
  <c r="P67" i="64" s="1"/>
  <c r="Q67" i="64" s="1"/>
  <c r="O59" i="64"/>
  <c r="P59" i="64" s="1"/>
  <c r="Q59" i="64" s="1"/>
  <c r="O51" i="64"/>
  <c r="P51" i="64" s="1"/>
  <c r="Q51" i="64" s="1"/>
  <c r="O43" i="64"/>
  <c r="P43" i="64" s="1"/>
  <c r="Q43" i="64" s="1"/>
  <c r="O35" i="64"/>
  <c r="P35" i="64" s="1"/>
  <c r="Q35" i="64" s="1"/>
  <c r="O27" i="64"/>
  <c r="P27" i="64" s="1"/>
  <c r="Q27" i="64" s="1"/>
  <c r="O19" i="64"/>
  <c r="P19" i="64" s="1"/>
  <c r="Q19" i="64" s="1"/>
  <c r="O250" i="64"/>
  <c r="P250" i="64" s="1"/>
  <c r="Q250" i="64" s="1"/>
  <c r="O242" i="64"/>
  <c r="P242" i="64" s="1"/>
  <c r="Q242" i="64" s="1"/>
  <c r="O234" i="64"/>
  <c r="P234" i="64" s="1"/>
  <c r="Q234" i="64" s="1"/>
  <c r="O226" i="64"/>
  <c r="P226" i="64" s="1"/>
  <c r="Q226" i="64" s="1"/>
  <c r="O218" i="64"/>
  <c r="P218" i="64" s="1"/>
  <c r="Q218" i="64" s="1"/>
  <c r="O210" i="64"/>
  <c r="P210" i="64" s="1"/>
  <c r="Q210" i="64" s="1"/>
  <c r="O202" i="64"/>
  <c r="P202" i="64" s="1"/>
  <c r="Q202" i="64" s="1"/>
  <c r="O194" i="64"/>
  <c r="P194" i="64" s="1"/>
  <c r="Q194" i="64" s="1"/>
  <c r="O186" i="64"/>
  <c r="P186" i="64" s="1"/>
  <c r="Q186" i="64" s="1"/>
  <c r="O178" i="64"/>
  <c r="P178" i="64" s="1"/>
  <c r="Q178" i="64" s="1"/>
  <c r="O170" i="64"/>
  <c r="P170" i="64" s="1"/>
  <c r="Q170" i="64" s="1"/>
  <c r="O162" i="64"/>
  <c r="P162" i="64" s="1"/>
  <c r="Q162" i="64" s="1"/>
  <c r="O154" i="64"/>
  <c r="P154" i="64" s="1"/>
  <c r="Q154" i="64" s="1"/>
  <c r="O146" i="64"/>
  <c r="P146" i="64" s="1"/>
  <c r="Q146" i="64" s="1"/>
  <c r="O138" i="64"/>
  <c r="P138" i="64" s="1"/>
  <c r="Q138" i="64" s="1"/>
  <c r="O130" i="64"/>
  <c r="P130" i="64" s="1"/>
  <c r="Q130" i="64" s="1"/>
  <c r="O122" i="64"/>
  <c r="P122" i="64" s="1"/>
  <c r="Q122" i="64" s="1"/>
  <c r="O114" i="64"/>
  <c r="P114" i="64" s="1"/>
  <c r="Q114" i="64" s="1"/>
  <c r="O106" i="64"/>
  <c r="P106" i="64" s="1"/>
  <c r="Q106" i="64" s="1"/>
  <c r="O98" i="64"/>
  <c r="P98" i="64" s="1"/>
  <c r="Q98" i="64" s="1"/>
  <c r="O90" i="64"/>
  <c r="P90" i="64" s="1"/>
  <c r="Q90" i="64" s="1"/>
  <c r="O82" i="64"/>
  <c r="P82" i="64" s="1"/>
  <c r="Q82" i="64" s="1"/>
  <c r="O74" i="64"/>
  <c r="P74" i="64" s="1"/>
  <c r="Q74" i="64" s="1"/>
  <c r="O66" i="64"/>
  <c r="P66" i="64" s="1"/>
  <c r="Q66" i="64" s="1"/>
  <c r="O58" i="64"/>
  <c r="P58" i="64" s="1"/>
  <c r="Q58" i="64" s="1"/>
  <c r="O50" i="64"/>
  <c r="P50" i="64" s="1"/>
  <c r="Q50" i="64" s="1"/>
  <c r="O42" i="64"/>
  <c r="P42" i="64" s="1"/>
  <c r="Q42" i="64" s="1"/>
  <c r="O34" i="64"/>
  <c r="P34" i="64" s="1"/>
  <c r="Q34" i="64" s="1"/>
  <c r="O26" i="64"/>
  <c r="P26" i="64" s="1"/>
  <c r="Q26" i="64" s="1"/>
  <c r="O18" i="64"/>
  <c r="P18" i="64" s="1"/>
  <c r="Q18" i="64" s="1"/>
  <c r="O257" i="64"/>
  <c r="P257" i="64" s="1"/>
  <c r="Q257" i="64" s="1"/>
  <c r="O249" i="64"/>
  <c r="P249" i="64" s="1"/>
  <c r="Q249" i="64" s="1"/>
  <c r="O241" i="64"/>
  <c r="P241" i="64" s="1"/>
  <c r="Q241" i="64" s="1"/>
  <c r="O233" i="64"/>
  <c r="P233" i="64" s="1"/>
  <c r="Q233" i="64" s="1"/>
  <c r="O225" i="64"/>
  <c r="P225" i="64" s="1"/>
  <c r="Q225" i="64" s="1"/>
  <c r="O217" i="64"/>
  <c r="P217" i="64" s="1"/>
  <c r="Q217" i="64" s="1"/>
  <c r="O209" i="64"/>
  <c r="P209" i="64" s="1"/>
  <c r="Q209" i="64" s="1"/>
  <c r="O201" i="64"/>
  <c r="P201" i="64" s="1"/>
  <c r="Q201" i="64" s="1"/>
  <c r="O193" i="64"/>
  <c r="P193" i="64" s="1"/>
  <c r="Q193" i="64" s="1"/>
  <c r="O185" i="64"/>
  <c r="P185" i="64" s="1"/>
  <c r="Q185" i="64" s="1"/>
  <c r="O177" i="64"/>
  <c r="P177" i="64" s="1"/>
  <c r="Q177" i="64" s="1"/>
  <c r="O169" i="64"/>
  <c r="P169" i="64" s="1"/>
  <c r="Q169" i="64" s="1"/>
  <c r="O161" i="64"/>
  <c r="P161" i="64" s="1"/>
  <c r="Q161" i="64" s="1"/>
  <c r="O153" i="64"/>
  <c r="P153" i="64" s="1"/>
  <c r="Q153" i="64" s="1"/>
  <c r="O145" i="64"/>
  <c r="P145" i="64" s="1"/>
  <c r="Q145" i="64" s="1"/>
  <c r="O137" i="64"/>
  <c r="P137" i="64" s="1"/>
  <c r="Q137" i="64" s="1"/>
  <c r="O129" i="64"/>
  <c r="P129" i="64" s="1"/>
  <c r="Q129" i="64" s="1"/>
  <c r="O121" i="64"/>
  <c r="P121" i="64" s="1"/>
  <c r="Q121" i="64" s="1"/>
  <c r="O113" i="64"/>
  <c r="P113" i="64" s="1"/>
  <c r="Q113" i="64" s="1"/>
  <c r="O105" i="64"/>
  <c r="P105" i="64" s="1"/>
  <c r="Q105" i="64" s="1"/>
  <c r="O97" i="64"/>
  <c r="P97" i="64" s="1"/>
  <c r="Q97" i="64" s="1"/>
  <c r="O89" i="64"/>
  <c r="P89" i="64" s="1"/>
  <c r="Q89" i="64" s="1"/>
  <c r="O81" i="64"/>
  <c r="P81" i="64" s="1"/>
  <c r="Q81" i="64" s="1"/>
  <c r="O73" i="64"/>
  <c r="P73" i="64" s="1"/>
  <c r="Q73" i="64" s="1"/>
  <c r="O65" i="64"/>
  <c r="P65" i="64" s="1"/>
  <c r="Q65" i="64" s="1"/>
  <c r="O57" i="64"/>
  <c r="P57" i="64" s="1"/>
  <c r="Q57" i="64" s="1"/>
  <c r="O49" i="64"/>
  <c r="P49" i="64" s="1"/>
  <c r="Q49" i="64" s="1"/>
  <c r="O41" i="64"/>
  <c r="P41" i="64" s="1"/>
  <c r="Q41" i="64" s="1"/>
  <c r="O33" i="64"/>
  <c r="P33" i="64" s="1"/>
  <c r="Q33" i="64" s="1"/>
  <c r="O25" i="64"/>
  <c r="P25" i="64" s="1"/>
  <c r="Q25" i="64" s="1"/>
  <c r="O17" i="64"/>
  <c r="P17" i="64" s="1"/>
  <c r="Q17" i="64" s="1"/>
  <c r="R256" i="67"/>
  <c r="R248" i="67"/>
  <c r="R240" i="67"/>
  <c r="R232" i="67"/>
  <c r="R224" i="67"/>
  <c r="R216" i="67"/>
  <c r="R208" i="67"/>
  <c r="R200" i="67"/>
  <c r="R192" i="67"/>
  <c r="R184" i="67"/>
  <c r="R176" i="67"/>
  <c r="R168" i="67"/>
  <c r="R160" i="67"/>
  <c r="R152" i="67"/>
  <c r="R144" i="67"/>
  <c r="R136" i="67"/>
  <c r="R128" i="67"/>
  <c r="R120" i="67"/>
  <c r="R112" i="67"/>
  <c r="R104" i="67"/>
  <c r="R96" i="67"/>
  <c r="R88" i="67"/>
  <c r="R80" i="67"/>
  <c r="R72" i="67"/>
  <c r="R64" i="67"/>
  <c r="R56" i="67"/>
  <c r="R48" i="67"/>
  <c r="R40" i="67"/>
  <c r="R32" i="67"/>
  <c r="R24" i="67"/>
  <c r="R16" i="67"/>
  <c r="R174" i="67"/>
  <c r="R166" i="67"/>
  <c r="R158" i="67"/>
  <c r="R150" i="67"/>
  <c r="R142" i="67"/>
  <c r="R134" i="67"/>
  <c r="R126" i="67"/>
  <c r="R118" i="67"/>
  <c r="R110" i="67"/>
  <c r="R102" i="67"/>
  <c r="R94" i="67"/>
  <c r="R86" i="67"/>
  <c r="R78" i="67"/>
  <c r="R70" i="67"/>
  <c r="R62" i="67"/>
  <c r="R54" i="67"/>
  <c r="R46" i="67"/>
  <c r="R38" i="67"/>
  <c r="R30" i="67"/>
  <c r="R22" i="67"/>
  <c r="R14" i="67"/>
  <c r="R238" i="67"/>
  <c r="R214" i="67"/>
  <c r="R198" i="67"/>
  <c r="R190" i="67"/>
  <c r="R182" i="67"/>
  <c r="R253" i="67"/>
  <c r="R245" i="67"/>
  <c r="R237" i="67"/>
  <c r="R229" i="67"/>
  <c r="R221" i="67"/>
  <c r="R213" i="67"/>
  <c r="R205" i="67"/>
  <c r="R197" i="67"/>
  <c r="R189" i="67"/>
  <c r="R181" i="67"/>
  <c r="R173" i="67"/>
  <c r="R165" i="67"/>
  <c r="R157" i="67"/>
  <c r="R149" i="67"/>
  <c r="R141" i="67"/>
  <c r="R133" i="67"/>
  <c r="R125" i="67"/>
  <c r="R117" i="67"/>
  <c r="R109" i="67"/>
  <c r="R101" i="67"/>
  <c r="R93" i="67"/>
  <c r="R85" i="67"/>
  <c r="R77" i="67"/>
  <c r="R69" i="67"/>
  <c r="R61" i="67"/>
  <c r="R53" i="67"/>
  <c r="R45" i="67"/>
  <c r="R37" i="67"/>
  <c r="R29" i="67"/>
  <c r="R21" i="67"/>
  <c r="R246" i="67"/>
  <c r="R222" i="67"/>
  <c r="R254" i="67"/>
  <c r="R230" i="67"/>
  <c r="R206" i="67"/>
  <c r="R11" i="67"/>
  <c r="Q16" i="68"/>
  <c r="AB16" i="68" s="1"/>
  <c r="S16" i="68"/>
  <c r="T16" i="68" s="1"/>
  <c r="Q15" i="68"/>
  <c r="S15" i="68"/>
  <c r="T15" i="68" s="1"/>
  <c r="Q14" i="68"/>
  <c r="AB14" i="68" s="1"/>
  <c r="S14" i="68"/>
  <c r="T14" i="68" s="1"/>
  <c r="Q13" i="68"/>
  <c r="AB13" i="68" s="1"/>
  <c r="S13" i="68"/>
  <c r="T13" i="68" s="1"/>
  <c r="R13" i="67"/>
  <c r="O12" i="68"/>
  <c r="P12" i="68" s="1"/>
  <c r="L2" i="68" s="1"/>
  <c r="AB15" i="68"/>
  <c r="O12" i="64"/>
  <c r="P12" i="64" s="1"/>
  <c r="S12" i="64" s="1"/>
  <c r="T12" i="64" s="1"/>
  <c r="O15" i="64"/>
  <c r="P15" i="64" s="1"/>
  <c r="O14" i="64"/>
  <c r="P14" i="64" s="1"/>
  <c r="O13" i="64"/>
  <c r="P13" i="64" s="1"/>
  <c r="O25" i="57"/>
  <c r="AG25" i="57" s="1"/>
  <c r="L25" i="57"/>
  <c r="AA21" i="57"/>
  <c r="X22" i="57"/>
  <c r="AJ24" i="57"/>
  <c r="AC24" i="57"/>
  <c r="AP24" i="57"/>
  <c r="Q16" i="64"/>
  <c r="AB22" i="53"/>
  <c r="AA22" i="53"/>
  <c r="AH24" i="53"/>
  <c r="AT24" i="53"/>
  <c r="AC24" i="53"/>
  <c r="AG24" i="53"/>
  <c r="N25" i="57"/>
  <c r="N25" i="53"/>
  <c r="AD24" i="57"/>
  <c r="AD24" i="53"/>
  <c r="AK24" i="52" a="1"/>
  <c r="AK24" i="52" s="1"/>
  <c r="B26" i="53" s="1"/>
  <c r="O26" i="53" s="1"/>
  <c r="K25" i="57"/>
  <c r="J25" i="57"/>
  <c r="E25" i="57"/>
  <c r="P25" i="57"/>
  <c r="H25" i="57"/>
  <c r="F25" i="57"/>
  <c r="D25" i="57"/>
  <c r="G25" i="57"/>
  <c r="C25" i="57"/>
  <c r="M25" i="57" s="1"/>
  <c r="I25" i="57"/>
  <c r="T23" i="57"/>
  <c r="Q24" i="53"/>
  <c r="Q24" i="57"/>
  <c r="X23" i="53"/>
  <c r="AF23" i="53" s="1"/>
  <c r="E25" i="53"/>
  <c r="C25" i="53"/>
  <c r="K25" i="53"/>
  <c r="I25" i="53"/>
  <c r="G25" i="53"/>
  <c r="L25" i="53"/>
  <c r="F25" i="53"/>
  <c r="P25" i="53"/>
  <c r="J25" i="53"/>
  <c r="H25" i="53"/>
  <c r="D25" i="53"/>
  <c r="AK24" i="55" a="1"/>
  <c r="AK24" i="55" s="1"/>
  <c r="B26" i="57" s="1"/>
  <c r="AL13" i="65"/>
  <c r="AL14" i="65"/>
  <c r="AL15" i="65"/>
  <c r="AL16" i="65"/>
  <c r="AL17" i="65"/>
  <c r="AL18" i="65"/>
  <c r="AL19" i="65"/>
  <c r="AL20" i="65"/>
  <c r="AL21" i="65"/>
  <c r="AL22" i="65"/>
  <c r="AL23" i="65"/>
  <c r="AL24" i="65"/>
  <c r="AL25" i="65"/>
  <c r="AL26" i="65"/>
  <c r="AL27" i="65"/>
  <c r="AL28" i="65"/>
  <c r="AL29" i="65"/>
  <c r="AL30" i="65"/>
  <c r="AL31" i="65"/>
  <c r="AL32" i="65"/>
  <c r="AL33" i="65"/>
  <c r="AL34" i="65"/>
  <c r="AL35" i="65"/>
  <c r="AL36" i="65"/>
  <c r="AL37" i="65"/>
  <c r="AL38" i="65"/>
  <c r="AL39" i="65"/>
  <c r="AL40" i="65"/>
  <c r="AL41" i="65"/>
  <c r="AL42" i="65"/>
  <c r="AL43" i="65"/>
  <c r="AL44" i="65"/>
  <c r="AL45" i="65"/>
  <c r="AL46" i="65"/>
  <c r="AL47" i="65"/>
  <c r="AL48" i="65"/>
  <c r="AL49" i="65"/>
  <c r="AL50" i="65"/>
  <c r="AL51" i="65"/>
  <c r="AL52" i="65"/>
  <c r="AL53" i="65"/>
  <c r="AL54" i="65"/>
  <c r="AL55" i="65"/>
  <c r="AL56" i="65"/>
  <c r="AL57" i="65"/>
  <c r="AL58" i="65"/>
  <c r="AL59" i="65"/>
  <c r="AL60" i="65"/>
  <c r="AL61" i="65"/>
  <c r="AL62" i="65"/>
  <c r="AL63" i="65"/>
  <c r="AL64" i="65"/>
  <c r="AL65" i="65"/>
  <c r="AL66" i="65"/>
  <c r="AL67" i="65"/>
  <c r="AL68" i="65"/>
  <c r="AL69" i="65"/>
  <c r="AL70" i="65"/>
  <c r="AL71" i="65"/>
  <c r="AL72" i="65"/>
  <c r="AL73" i="65"/>
  <c r="AL74" i="65"/>
  <c r="AL75" i="65"/>
  <c r="AL76" i="65"/>
  <c r="AL77" i="65"/>
  <c r="AL78" i="65"/>
  <c r="AL79" i="65"/>
  <c r="AL80" i="65"/>
  <c r="AL81" i="65"/>
  <c r="AL82" i="65"/>
  <c r="AL83" i="65"/>
  <c r="AL84" i="65"/>
  <c r="AL85" i="65"/>
  <c r="AL86" i="65"/>
  <c r="AL87" i="65"/>
  <c r="AL88" i="65"/>
  <c r="AL89" i="65"/>
  <c r="AL90" i="65"/>
  <c r="AL91" i="65"/>
  <c r="AL92" i="65"/>
  <c r="AL93" i="65"/>
  <c r="AL94" i="65"/>
  <c r="AL95" i="65"/>
  <c r="AL96" i="65"/>
  <c r="AL97" i="65"/>
  <c r="AL98" i="65"/>
  <c r="AL99" i="65"/>
  <c r="AL100" i="65"/>
  <c r="AL101" i="65"/>
  <c r="AL102" i="65"/>
  <c r="AL103" i="65"/>
  <c r="AL104" i="65"/>
  <c r="AL105" i="65"/>
  <c r="AL106" i="65"/>
  <c r="AL107" i="65"/>
  <c r="AL108" i="65"/>
  <c r="AL109" i="65"/>
  <c r="AL110" i="65"/>
  <c r="AL111" i="65"/>
  <c r="AL112" i="65"/>
  <c r="AL113" i="65"/>
  <c r="AL114" i="65"/>
  <c r="AL115" i="65"/>
  <c r="AL116" i="65"/>
  <c r="AL117" i="65"/>
  <c r="AL118" i="65"/>
  <c r="AL119" i="65"/>
  <c r="AL120" i="65"/>
  <c r="AL121" i="65"/>
  <c r="AL122" i="65"/>
  <c r="AL123" i="65"/>
  <c r="AL124" i="65"/>
  <c r="AL125" i="65"/>
  <c r="AL126" i="65"/>
  <c r="AL127" i="65"/>
  <c r="AL128" i="65"/>
  <c r="AL129" i="65"/>
  <c r="AL130" i="65"/>
  <c r="AL131" i="65"/>
  <c r="AL132" i="65"/>
  <c r="AL133" i="65"/>
  <c r="AL134" i="65"/>
  <c r="AL135" i="65"/>
  <c r="AL136" i="65"/>
  <c r="AL137" i="65"/>
  <c r="AL138" i="65"/>
  <c r="AL139" i="65"/>
  <c r="AL140" i="65"/>
  <c r="AL141" i="65"/>
  <c r="AL142" i="65"/>
  <c r="AL143" i="65"/>
  <c r="AL144" i="65"/>
  <c r="AL145" i="65"/>
  <c r="AL146" i="65"/>
  <c r="AL147" i="65"/>
  <c r="AL148" i="65"/>
  <c r="AL149" i="65"/>
  <c r="AL150" i="65"/>
  <c r="AL151" i="65"/>
  <c r="AL152" i="65"/>
  <c r="AL153" i="65"/>
  <c r="AL154" i="65"/>
  <c r="AL155" i="65"/>
  <c r="AL156" i="65"/>
  <c r="AL157" i="65"/>
  <c r="AL158" i="65"/>
  <c r="AL159" i="65"/>
  <c r="AL160" i="65"/>
  <c r="AL161" i="65"/>
  <c r="AL162" i="65"/>
  <c r="AL163" i="65"/>
  <c r="AL164" i="65"/>
  <c r="AL165" i="65"/>
  <c r="AL166" i="65"/>
  <c r="AL167" i="65"/>
  <c r="AL168" i="65"/>
  <c r="AL169" i="65"/>
  <c r="AL170" i="65"/>
  <c r="AL171" i="65"/>
  <c r="AL172" i="65"/>
  <c r="AL173" i="65"/>
  <c r="AL174" i="65"/>
  <c r="AL175" i="65"/>
  <c r="AL176" i="65"/>
  <c r="AL177" i="65"/>
  <c r="AL178" i="65"/>
  <c r="AL179" i="65"/>
  <c r="AL180" i="65"/>
  <c r="AL181" i="65"/>
  <c r="AL182" i="65"/>
  <c r="AL183" i="65"/>
  <c r="AL184" i="65"/>
  <c r="AL185" i="65"/>
  <c r="AL186" i="65"/>
  <c r="AL187" i="65"/>
  <c r="AL188" i="65"/>
  <c r="AL189" i="65"/>
  <c r="AL190" i="65"/>
  <c r="AL191" i="65"/>
  <c r="AL192" i="65"/>
  <c r="AL193" i="65"/>
  <c r="AL194" i="65"/>
  <c r="AL195" i="65"/>
  <c r="AL196" i="65"/>
  <c r="AL197" i="65"/>
  <c r="AL198" i="65"/>
  <c r="AL199" i="65"/>
  <c r="AL200" i="65"/>
  <c r="AL201" i="65"/>
  <c r="AL202" i="65"/>
  <c r="AL203" i="65"/>
  <c r="AL204" i="65"/>
  <c r="AL205" i="65"/>
  <c r="AL206" i="65"/>
  <c r="AL207" i="65"/>
  <c r="AL208" i="65"/>
  <c r="AL209" i="65"/>
  <c r="AL210" i="65"/>
  <c r="AL211" i="65"/>
  <c r="AL212" i="65"/>
  <c r="AL213" i="65"/>
  <c r="AL214" i="65"/>
  <c r="AL215" i="65"/>
  <c r="AL216" i="65"/>
  <c r="AL217" i="65"/>
  <c r="AL218" i="65"/>
  <c r="AL219" i="65"/>
  <c r="AL220" i="65"/>
  <c r="AL221" i="65"/>
  <c r="AL222" i="65"/>
  <c r="AL223" i="65"/>
  <c r="AL224" i="65"/>
  <c r="AL225" i="65"/>
  <c r="AL226" i="65"/>
  <c r="AL227" i="65"/>
  <c r="AL228" i="65"/>
  <c r="AL229" i="65"/>
  <c r="AL230" i="65"/>
  <c r="AL231" i="65"/>
  <c r="AL232" i="65"/>
  <c r="AL233" i="65"/>
  <c r="AL234" i="65"/>
  <c r="AL235" i="65"/>
  <c r="AL236" i="65"/>
  <c r="AL237" i="65"/>
  <c r="AL238" i="65"/>
  <c r="AL239" i="65"/>
  <c r="AL240" i="65"/>
  <c r="AL241" i="65"/>
  <c r="AL242" i="65"/>
  <c r="AL243" i="65"/>
  <c r="AL244" i="65"/>
  <c r="AL245" i="65"/>
  <c r="AL246" i="65"/>
  <c r="AL247" i="65"/>
  <c r="AL248" i="65"/>
  <c r="AL249" i="65"/>
  <c r="AL250" i="65"/>
  <c r="AL251" i="65"/>
  <c r="AL252" i="65"/>
  <c r="AL253" i="65"/>
  <c r="AL254" i="65"/>
  <c r="AL255" i="65"/>
  <c r="AL256" i="65"/>
  <c r="AL257" i="65"/>
  <c r="AL12" i="65"/>
  <c r="W13" i="65"/>
  <c r="X13" i="65"/>
  <c r="W14" i="65"/>
  <c r="X14" i="65"/>
  <c r="W15" i="65"/>
  <c r="X15" i="65"/>
  <c r="W16" i="65"/>
  <c r="X16" i="65"/>
  <c r="W17" i="65"/>
  <c r="X17" i="65"/>
  <c r="W18" i="65"/>
  <c r="X18" i="65"/>
  <c r="W19" i="65"/>
  <c r="X19" i="65"/>
  <c r="W20" i="65"/>
  <c r="X20" i="65"/>
  <c r="W21" i="65"/>
  <c r="X21" i="65"/>
  <c r="W22" i="65"/>
  <c r="X22" i="65"/>
  <c r="W23" i="65"/>
  <c r="X23" i="65"/>
  <c r="W24" i="65"/>
  <c r="X24" i="65"/>
  <c r="W25" i="65"/>
  <c r="X25" i="65"/>
  <c r="W26" i="65"/>
  <c r="X26" i="65"/>
  <c r="W27" i="65"/>
  <c r="X27" i="65"/>
  <c r="W28" i="65"/>
  <c r="X28" i="65"/>
  <c r="W29" i="65"/>
  <c r="X29" i="65"/>
  <c r="W30" i="65"/>
  <c r="X30" i="65"/>
  <c r="W31" i="65"/>
  <c r="X31" i="65"/>
  <c r="W32" i="65"/>
  <c r="X32" i="65"/>
  <c r="W33" i="65"/>
  <c r="X33" i="65"/>
  <c r="W34" i="65"/>
  <c r="X34" i="65"/>
  <c r="W35" i="65"/>
  <c r="X35" i="65"/>
  <c r="W36" i="65"/>
  <c r="X36" i="65"/>
  <c r="W37" i="65"/>
  <c r="X37" i="65"/>
  <c r="W38" i="65"/>
  <c r="X38" i="65"/>
  <c r="W39" i="65"/>
  <c r="X39" i="65"/>
  <c r="U40" i="65"/>
  <c r="W40" i="65"/>
  <c r="X40" i="65"/>
  <c r="W41" i="65"/>
  <c r="X41" i="65"/>
  <c r="W42" i="65"/>
  <c r="X42" i="65"/>
  <c r="W43" i="65"/>
  <c r="X43" i="65"/>
  <c r="W44" i="65"/>
  <c r="X44" i="65"/>
  <c r="W45" i="65"/>
  <c r="X45" i="65"/>
  <c r="W46" i="65"/>
  <c r="X46" i="65"/>
  <c r="W47" i="65"/>
  <c r="X47" i="65"/>
  <c r="W48" i="65"/>
  <c r="X48" i="65"/>
  <c r="W49" i="65"/>
  <c r="X49" i="65"/>
  <c r="W50" i="65"/>
  <c r="X50" i="65"/>
  <c r="W51" i="65"/>
  <c r="X51" i="65"/>
  <c r="W52" i="65"/>
  <c r="X52" i="65"/>
  <c r="W53" i="65"/>
  <c r="X53" i="65"/>
  <c r="W54" i="65"/>
  <c r="X54" i="65"/>
  <c r="W55" i="65"/>
  <c r="X55" i="65"/>
  <c r="W56" i="65"/>
  <c r="X56" i="65"/>
  <c r="W57" i="65"/>
  <c r="X57" i="65"/>
  <c r="W58" i="65"/>
  <c r="X58" i="65"/>
  <c r="W59" i="65"/>
  <c r="X59" i="65"/>
  <c r="W60" i="65"/>
  <c r="X60" i="65"/>
  <c r="W61" i="65"/>
  <c r="X61" i="65"/>
  <c r="W62" i="65"/>
  <c r="X62" i="65"/>
  <c r="W63" i="65"/>
  <c r="X63" i="65"/>
  <c r="W64" i="65"/>
  <c r="X64" i="65"/>
  <c r="W65" i="65"/>
  <c r="X65" i="65"/>
  <c r="W66" i="65"/>
  <c r="X66" i="65"/>
  <c r="W67" i="65"/>
  <c r="X67" i="65"/>
  <c r="W68" i="65"/>
  <c r="X68" i="65"/>
  <c r="W69" i="65"/>
  <c r="X69" i="65"/>
  <c r="W70" i="65"/>
  <c r="X70" i="65"/>
  <c r="W71" i="65"/>
  <c r="X71" i="65"/>
  <c r="W72" i="65"/>
  <c r="X72" i="65"/>
  <c r="W73" i="65"/>
  <c r="X73" i="65"/>
  <c r="W74" i="65"/>
  <c r="X74" i="65"/>
  <c r="W75" i="65"/>
  <c r="X75" i="65"/>
  <c r="W76" i="65"/>
  <c r="X76" i="65"/>
  <c r="W77" i="65"/>
  <c r="X77" i="65"/>
  <c r="W78" i="65"/>
  <c r="X78" i="65"/>
  <c r="W79" i="65"/>
  <c r="X79" i="65"/>
  <c r="W80" i="65"/>
  <c r="X80" i="65"/>
  <c r="W81" i="65"/>
  <c r="X81" i="65"/>
  <c r="W82" i="65"/>
  <c r="X82" i="65"/>
  <c r="W83" i="65"/>
  <c r="X83" i="65"/>
  <c r="W84" i="65"/>
  <c r="X84" i="65"/>
  <c r="W85" i="65"/>
  <c r="X85" i="65"/>
  <c r="W86" i="65"/>
  <c r="X86" i="65"/>
  <c r="W87" i="65"/>
  <c r="X87" i="65"/>
  <c r="W88" i="65"/>
  <c r="X88" i="65"/>
  <c r="W89" i="65"/>
  <c r="X89" i="65"/>
  <c r="W90" i="65"/>
  <c r="X90" i="65"/>
  <c r="W91" i="65"/>
  <c r="X91" i="65"/>
  <c r="W92" i="65"/>
  <c r="X92" i="65"/>
  <c r="W93" i="65"/>
  <c r="X93" i="65"/>
  <c r="W94" i="65"/>
  <c r="X94" i="65"/>
  <c r="W95" i="65"/>
  <c r="X95" i="65"/>
  <c r="W96" i="65"/>
  <c r="X96" i="65"/>
  <c r="W97" i="65"/>
  <c r="X97" i="65"/>
  <c r="W98" i="65"/>
  <c r="X98" i="65"/>
  <c r="W99" i="65"/>
  <c r="X99" i="65"/>
  <c r="W100" i="65"/>
  <c r="X100" i="65"/>
  <c r="W101" i="65"/>
  <c r="X101" i="65"/>
  <c r="W102" i="65"/>
  <c r="X102" i="65"/>
  <c r="W103" i="65"/>
  <c r="X103" i="65"/>
  <c r="W104" i="65"/>
  <c r="X104" i="65"/>
  <c r="W105" i="65"/>
  <c r="X105" i="65"/>
  <c r="W106" i="65"/>
  <c r="X106" i="65"/>
  <c r="W107" i="65"/>
  <c r="X107" i="65"/>
  <c r="W108" i="65"/>
  <c r="X108" i="65"/>
  <c r="W109" i="65"/>
  <c r="X109" i="65"/>
  <c r="W110" i="65"/>
  <c r="X110" i="65"/>
  <c r="W111" i="65"/>
  <c r="X111" i="65"/>
  <c r="W112" i="65"/>
  <c r="X112" i="65"/>
  <c r="W113" i="65"/>
  <c r="X113" i="65"/>
  <c r="W114" i="65"/>
  <c r="X114" i="65"/>
  <c r="W115" i="65"/>
  <c r="X115" i="65"/>
  <c r="W116" i="65"/>
  <c r="X116" i="65"/>
  <c r="W117" i="65"/>
  <c r="X117" i="65"/>
  <c r="W118" i="65"/>
  <c r="X118" i="65"/>
  <c r="W119" i="65"/>
  <c r="X119" i="65"/>
  <c r="W120" i="65"/>
  <c r="X120" i="65"/>
  <c r="W121" i="65"/>
  <c r="X121" i="65"/>
  <c r="W122" i="65"/>
  <c r="X122" i="65"/>
  <c r="W123" i="65"/>
  <c r="X123" i="65"/>
  <c r="W124" i="65"/>
  <c r="X124" i="65"/>
  <c r="W125" i="65"/>
  <c r="X125" i="65"/>
  <c r="W126" i="65"/>
  <c r="X126" i="65"/>
  <c r="W127" i="65"/>
  <c r="X127" i="65"/>
  <c r="W128" i="65"/>
  <c r="X128" i="65"/>
  <c r="W129" i="65"/>
  <c r="X129" i="65"/>
  <c r="W130" i="65"/>
  <c r="X130" i="65"/>
  <c r="W131" i="65"/>
  <c r="X131" i="65"/>
  <c r="W132" i="65"/>
  <c r="X132" i="65"/>
  <c r="W133" i="65"/>
  <c r="X133" i="65"/>
  <c r="W134" i="65"/>
  <c r="X134" i="65"/>
  <c r="W135" i="65"/>
  <c r="X135" i="65"/>
  <c r="W136" i="65"/>
  <c r="X136" i="65"/>
  <c r="W137" i="65"/>
  <c r="X137" i="65"/>
  <c r="W138" i="65"/>
  <c r="X138" i="65"/>
  <c r="W139" i="65"/>
  <c r="X139" i="65"/>
  <c r="W140" i="65"/>
  <c r="X140" i="65"/>
  <c r="W141" i="65"/>
  <c r="X141" i="65"/>
  <c r="W142" i="65"/>
  <c r="X142" i="65"/>
  <c r="W143" i="65"/>
  <c r="X143" i="65"/>
  <c r="W144" i="65"/>
  <c r="X144" i="65"/>
  <c r="W145" i="65"/>
  <c r="X145" i="65"/>
  <c r="W146" i="65"/>
  <c r="X146" i="65"/>
  <c r="W147" i="65"/>
  <c r="X147" i="65"/>
  <c r="W148" i="65"/>
  <c r="X148" i="65"/>
  <c r="W149" i="65"/>
  <c r="X149" i="65"/>
  <c r="W150" i="65"/>
  <c r="X150" i="65"/>
  <c r="W151" i="65"/>
  <c r="X151" i="65"/>
  <c r="W152" i="65"/>
  <c r="X152" i="65"/>
  <c r="W153" i="65"/>
  <c r="X153" i="65"/>
  <c r="W154" i="65"/>
  <c r="X154" i="65"/>
  <c r="W155" i="65"/>
  <c r="X155" i="65"/>
  <c r="W156" i="65"/>
  <c r="X156" i="65"/>
  <c r="W157" i="65"/>
  <c r="X157" i="65"/>
  <c r="W158" i="65"/>
  <c r="X158" i="65"/>
  <c r="W159" i="65"/>
  <c r="X159" i="65"/>
  <c r="W160" i="65"/>
  <c r="X160" i="65"/>
  <c r="W161" i="65"/>
  <c r="X161" i="65"/>
  <c r="W162" i="65"/>
  <c r="X162" i="65"/>
  <c r="W163" i="65"/>
  <c r="X163" i="65"/>
  <c r="W164" i="65"/>
  <c r="X164" i="65"/>
  <c r="W165" i="65"/>
  <c r="X165" i="65"/>
  <c r="W166" i="65"/>
  <c r="X166" i="65"/>
  <c r="W167" i="65"/>
  <c r="X167" i="65"/>
  <c r="W168" i="65"/>
  <c r="X168" i="65"/>
  <c r="W169" i="65"/>
  <c r="X169" i="65"/>
  <c r="W170" i="65"/>
  <c r="X170" i="65"/>
  <c r="W171" i="65"/>
  <c r="X171" i="65"/>
  <c r="W172" i="65"/>
  <c r="X172" i="65"/>
  <c r="W173" i="65"/>
  <c r="X173" i="65"/>
  <c r="W174" i="65"/>
  <c r="X174" i="65"/>
  <c r="W175" i="65"/>
  <c r="X175" i="65"/>
  <c r="W176" i="65"/>
  <c r="X176" i="65"/>
  <c r="W177" i="65"/>
  <c r="X177" i="65"/>
  <c r="W178" i="65"/>
  <c r="X178" i="65"/>
  <c r="W179" i="65"/>
  <c r="X179" i="65"/>
  <c r="W180" i="65"/>
  <c r="X180" i="65"/>
  <c r="W181" i="65"/>
  <c r="X181" i="65"/>
  <c r="W182" i="65"/>
  <c r="X182" i="65"/>
  <c r="W183" i="65"/>
  <c r="X183" i="65"/>
  <c r="W184" i="65"/>
  <c r="X184" i="65"/>
  <c r="W185" i="65"/>
  <c r="X185" i="65"/>
  <c r="W186" i="65"/>
  <c r="X186" i="65"/>
  <c r="W187" i="65"/>
  <c r="X187" i="65"/>
  <c r="W188" i="65"/>
  <c r="X188" i="65"/>
  <c r="W189" i="65"/>
  <c r="X189" i="65"/>
  <c r="W190" i="65"/>
  <c r="X190" i="65"/>
  <c r="W191" i="65"/>
  <c r="X191" i="65"/>
  <c r="W192" i="65"/>
  <c r="X192" i="65"/>
  <c r="W193" i="65"/>
  <c r="X193" i="65"/>
  <c r="W194" i="65"/>
  <c r="X194" i="65"/>
  <c r="W195" i="65"/>
  <c r="X195" i="65"/>
  <c r="W196" i="65"/>
  <c r="X196" i="65"/>
  <c r="W197" i="65"/>
  <c r="X197" i="65"/>
  <c r="W198" i="65"/>
  <c r="X198" i="65"/>
  <c r="W199" i="65"/>
  <c r="X199" i="65"/>
  <c r="W200" i="65"/>
  <c r="X200" i="65"/>
  <c r="W201" i="65"/>
  <c r="X201" i="65"/>
  <c r="W202" i="65"/>
  <c r="X202" i="65"/>
  <c r="W203" i="65"/>
  <c r="X203" i="65"/>
  <c r="W204" i="65"/>
  <c r="X204" i="65"/>
  <c r="W205" i="65"/>
  <c r="X205" i="65"/>
  <c r="W206" i="65"/>
  <c r="X206" i="65"/>
  <c r="W207" i="65"/>
  <c r="X207" i="65"/>
  <c r="W208" i="65"/>
  <c r="X208" i="65"/>
  <c r="W209" i="65"/>
  <c r="X209" i="65"/>
  <c r="W210" i="65"/>
  <c r="X210" i="65"/>
  <c r="W211" i="65"/>
  <c r="X211" i="65"/>
  <c r="W212" i="65"/>
  <c r="X212" i="65"/>
  <c r="W213" i="65"/>
  <c r="X213" i="65"/>
  <c r="W214" i="65"/>
  <c r="X214" i="65"/>
  <c r="W215" i="65"/>
  <c r="X215" i="65"/>
  <c r="W216" i="65"/>
  <c r="X216" i="65"/>
  <c r="W217" i="65"/>
  <c r="X217" i="65"/>
  <c r="W218" i="65"/>
  <c r="X218" i="65"/>
  <c r="W219" i="65"/>
  <c r="X219" i="65"/>
  <c r="W220" i="65"/>
  <c r="X220" i="65"/>
  <c r="W221" i="65"/>
  <c r="X221" i="65"/>
  <c r="W222" i="65"/>
  <c r="X222" i="65"/>
  <c r="W223" i="65"/>
  <c r="X223" i="65"/>
  <c r="W224" i="65"/>
  <c r="X224" i="65"/>
  <c r="W225" i="65"/>
  <c r="X225" i="65"/>
  <c r="W226" i="65"/>
  <c r="X226" i="65"/>
  <c r="W227" i="65"/>
  <c r="X227" i="65"/>
  <c r="W228" i="65"/>
  <c r="X228" i="65"/>
  <c r="W229" i="65"/>
  <c r="X229" i="65"/>
  <c r="W230" i="65"/>
  <c r="X230" i="65"/>
  <c r="W231" i="65"/>
  <c r="X231" i="65"/>
  <c r="W232" i="65"/>
  <c r="X232" i="65"/>
  <c r="W233" i="65"/>
  <c r="X233" i="65"/>
  <c r="W234" i="65"/>
  <c r="X234" i="65"/>
  <c r="W235" i="65"/>
  <c r="X235" i="65"/>
  <c r="W236" i="65"/>
  <c r="X236" i="65"/>
  <c r="W237" i="65"/>
  <c r="X237" i="65"/>
  <c r="W238" i="65"/>
  <c r="X238" i="65"/>
  <c r="W239" i="65"/>
  <c r="X239" i="65"/>
  <c r="W240" i="65"/>
  <c r="X240" i="65"/>
  <c r="W241" i="65"/>
  <c r="X241" i="65"/>
  <c r="W242" i="65"/>
  <c r="X242" i="65"/>
  <c r="W243" i="65"/>
  <c r="X243" i="65"/>
  <c r="W244" i="65"/>
  <c r="X244" i="65"/>
  <c r="W245" i="65"/>
  <c r="X245" i="65"/>
  <c r="W246" i="65"/>
  <c r="X246" i="65"/>
  <c r="W247" i="65"/>
  <c r="X247" i="65"/>
  <c r="W248" i="65"/>
  <c r="X248" i="65"/>
  <c r="W249" i="65"/>
  <c r="X249" i="65"/>
  <c r="W250" i="65"/>
  <c r="X250" i="65"/>
  <c r="W251" i="65"/>
  <c r="X251" i="65"/>
  <c r="W252" i="65"/>
  <c r="X252" i="65"/>
  <c r="W253" i="65"/>
  <c r="X253" i="65"/>
  <c r="W254" i="65"/>
  <c r="X254" i="65"/>
  <c r="W255" i="65"/>
  <c r="X255" i="65"/>
  <c r="W256" i="65"/>
  <c r="X256" i="65"/>
  <c r="W257" i="65"/>
  <c r="X257" i="65"/>
  <c r="X12" i="65"/>
  <c r="W12" i="65"/>
  <c r="Q40" i="65"/>
  <c r="R40" i="65"/>
  <c r="S40" i="65" s="1"/>
  <c r="Y13" i="64"/>
  <c r="Y14" i="64"/>
  <c r="Y15" i="64"/>
  <c r="Y16" i="64"/>
  <c r="Y17" i="64"/>
  <c r="Y18" i="64"/>
  <c r="Y19" i="64"/>
  <c r="Y20" i="64"/>
  <c r="Y21" i="64"/>
  <c r="Y22" i="64"/>
  <c r="Y23" i="64"/>
  <c r="Y24" i="64"/>
  <c r="Y25" i="64"/>
  <c r="Y26" i="64"/>
  <c r="Y27" i="64"/>
  <c r="Y28" i="64"/>
  <c r="Y29" i="64"/>
  <c r="Y30" i="64"/>
  <c r="Y31" i="64"/>
  <c r="Y32" i="64"/>
  <c r="Y33" i="64"/>
  <c r="Y34" i="64"/>
  <c r="Y35" i="64"/>
  <c r="Y36" i="64"/>
  <c r="Y37" i="64"/>
  <c r="Y38" i="64"/>
  <c r="Y39" i="64"/>
  <c r="Y40" i="64"/>
  <c r="Y41" i="64"/>
  <c r="Y42" i="64"/>
  <c r="Y43" i="64"/>
  <c r="Y44" i="64"/>
  <c r="Y45" i="64"/>
  <c r="Y46" i="64"/>
  <c r="Y47" i="64"/>
  <c r="Y48" i="64"/>
  <c r="Y49" i="64"/>
  <c r="Y50" i="64"/>
  <c r="Y51" i="64"/>
  <c r="Y52" i="64"/>
  <c r="Y53" i="64"/>
  <c r="Y54" i="64"/>
  <c r="Y55" i="64"/>
  <c r="Y56" i="64"/>
  <c r="Y57" i="64"/>
  <c r="Y58" i="64"/>
  <c r="Y59" i="64"/>
  <c r="Y60" i="64"/>
  <c r="Y61" i="64"/>
  <c r="Y62" i="64"/>
  <c r="Y63" i="64"/>
  <c r="Y64" i="64"/>
  <c r="Y65" i="64"/>
  <c r="Y66" i="64"/>
  <c r="Y67" i="64"/>
  <c r="Y68" i="64"/>
  <c r="Y69" i="64"/>
  <c r="Y70" i="64"/>
  <c r="Y71" i="64"/>
  <c r="Y72" i="64"/>
  <c r="Y73" i="64"/>
  <c r="Y74" i="64"/>
  <c r="Y75" i="64"/>
  <c r="Y76" i="64"/>
  <c r="Y77" i="64"/>
  <c r="Y78" i="64"/>
  <c r="Y79" i="64"/>
  <c r="Y80" i="64"/>
  <c r="Y81" i="64"/>
  <c r="Y82" i="64"/>
  <c r="Y83" i="64"/>
  <c r="Y84" i="64"/>
  <c r="Y85" i="64"/>
  <c r="Y86" i="64"/>
  <c r="Y87" i="64"/>
  <c r="Y88" i="64"/>
  <c r="Y89" i="64"/>
  <c r="Y90" i="64"/>
  <c r="Y91" i="64"/>
  <c r="Y92" i="64"/>
  <c r="Y93" i="64"/>
  <c r="Y94" i="64"/>
  <c r="Y95" i="64"/>
  <c r="Y96" i="64"/>
  <c r="Y97" i="64"/>
  <c r="Y98" i="64"/>
  <c r="Y99" i="64"/>
  <c r="Y100" i="64"/>
  <c r="Y101" i="64"/>
  <c r="Y102" i="64"/>
  <c r="Y103" i="64"/>
  <c r="Y104" i="64"/>
  <c r="Y105" i="64"/>
  <c r="Y106" i="64"/>
  <c r="Y107" i="64"/>
  <c r="Y108" i="64"/>
  <c r="Y109" i="64"/>
  <c r="Y110" i="64"/>
  <c r="Y111" i="64"/>
  <c r="Y112" i="64"/>
  <c r="Y113" i="64"/>
  <c r="Y114" i="64"/>
  <c r="Y115" i="64"/>
  <c r="Y116" i="64"/>
  <c r="Y117" i="64"/>
  <c r="Y118" i="64"/>
  <c r="Y119" i="64"/>
  <c r="Y120" i="64"/>
  <c r="Y121" i="64"/>
  <c r="Y122" i="64"/>
  <c r="Y123" i="64"/>
  <c r="Y124" i="64"/>
  <c r="Y125" i="64"/>
  <c r="Y126" i="64"/>
  <c r="Y127" i="64"/>
  <c r="Y128" i="64"/>
  <c r="Y129" i="64"/>
  <c r="Y130" i="64"/>
  <c r="Y131" i="64"/>
  <c r="Y132" i="64"/>
  <c r="Y133" i="64"/>
  <c r="Y134" i="64"/>
  <c r="Y135" i="64"/>
  <c r="Y136" i="64"/>
  <c r="Y137" i="64"/>
  <c r="Y138" i="64"/>
  <c r="Y139" i="64"/>
  <c r="Y140" i="64"/>
  <c r="Y141" i="64"/>
  <c r="Y142" i="64"/>
  <c r="Y143" i="64"/>
  <c r="Y144" i="64"/>
  <c r="Y145" i="64"/>
  <c r="Y146" i="64"/>
  <c r="Y147" i="64"/>
  <c r="Y148" i="64"/>
  <c r="Y149" i="64"/>
  <c r="Y150" i="64"/>
  <c r="Y151" i="64"/>
  <c r="Y152" i="64"/>
  <c r="Y153" i="64"/>
  <c r="Y154" i="64"/>
  <c r="Y155" i="64"/>
  <c r="Y156" i="64"/>
  <c r="Y157" i="64"/>
  <c r="Y158" i="64"/>
  <c r="Y159" i="64"/>
  <c r="Y160" i="64"/>
  <c r="Y161" i="64"/>
  <c r="Y162" i="64"/>
  <c r="Y163" i="64"/>
  <c r="Y164" i="64"/>
  <c r="Y165" i="64"/>
  <c r="Y166" i="64"/>
  <c r="Y167" i="64"/>
  <c r="Y168" i="64"/>
  <c r="Y169" i="64"/>
  <c r="Y170" i="64"/>
  <c r="Y171" i="64"/>
  <c r="Y172" i="64"/>
  <c r="Y173" i="64"/>
  <c r="Y174" i="64"/>
  <c r="Y175" i="64"/>
  <c r="Y176" i="64"/>
  <c r="Y177" i="64"/>
  <c r="Y178" i="64"/>
  <c r="Y179" i="64"/>
  <c r="Y180" i="64"/>
  <c r="Y181" i="64"/>
  <c r="Y182" i="64"/>
  <c r="Y183" i="64"/>
  <c r="Y184" i="64"/>
  <c r="Y185" i="64"/>
  <c r="Y186" i="64"/>
  <c r="Y187" i="64"/>
  <c r="Y188" i="64"/>
  <c r="Y189" i="64"/>
  <c r="Y190" i="64"/>
  <c r="Y191" i="64"/>
  <c r="Y192" i="64"/>
  <c r="Y193" i="64"/>
  <c r="Y194" i="64"/>
  <c r="Y195" i="64"/>
  <c r="Y196" i="64"/>
  <c r="Y197" i="64"/>
  <c r="Y198" i="64"/>
  <c r="Y199" i="64"/>
  <c r="Y200" i="64"/>
  <c r="Y201" i="64"/>
  <c r="Y202" i="64"/>
  <c r="Y203" i="64"/>
  <c r="Y204" i="64"/>
  <c r="Y205" i="64"/>
  <c r="Y206" i="64"/>
  <c r="Y207" i="64"/>
  <c r="Y208" i="64"/>
  <c r="Y209" i="64"/>
  <c r="Y210" i="64"/>
  <c r="Y211" i="64"/>
  <c r="Y212" i="64"/>
  <c r="Y213" i="64"/>
  <c r="Y214" i="64"/>
  <c r="Y215" i="64"/>
  <c r="Y216" i="64"/>
  <c r="Y217" i="64"/>
  <c r="Y218" i="64"/>
  <c r="Y219" i="64"/>
  <c r="Y220" i="64"/>
  <c r="Y221" i="64"/>
  <c r="Y222" i="64"/>
  <c r="Y223" i="64"/>
  <c r="Y224" i="64"/>
  <c r="Y225" i="64"/>
  <c r="Y226" i="64"/>
  <c r="Y227" i="64"/>
  <c r="Y228" i="64"/>
  <c r="Y229" i="64"/>
  <c r="Y230" i="64"/>
  <c r="Y231" i="64"/>
  <c r="Y232" i="64"/>
  <c r="Y233" i="64"/>
  <c r="Y234" i="64"/>
  <c r="Y235" i="64"/>
  <c r="Y236" i="64"/>
  <c r="Y237" i="64"/>
  <c r="Y238" i="64"/>
  <c r="Y239" i="64"/>
  <c r="Y240" i="64"/>
  <c r="Y241" i="64"/>
  <c r="Y242" i="64"/>
  <c r="Y243" i="64"/>
  <c r="Y244" i="64"/>
  <c r="Y245" i="64"/>
  <c r="Y246" i="64"/>
  <c r="Y247" i="64"/>
  <c r="Y248" i="64"/>
  <c r="Y249" i="64"/>
  <c r="Y250" i="64"/>
  <c r="Y251" i="64"/>
  <c r="Y252" i="64"/>
  <c r="Y253" i="64"/>
  <c r="Y254" i="64"/>
  <c r="Y255" i="64"/>
  <c r="Y256" i="64"/>
  <c r="Y257" i="64"/>
  <c r="Y258" i="64"/>
  <c r="Y259" i="64"/>
  <c r="Y12" i="64"/>
  <c r="U12" i="64"/>
  <c r="L258" i="64"/>
  <c r="T258" i="64" s="1"/>
  <c r="L259" i="64"/>
  <c r="T259" i="64" s="1"/>
  <c r="K13" i="64"/>
  <c r="K14" i="64"/>
  <c r="K15" i="64"/>
  <c r="K16" i="64"/>
  <c r="K17" i="64"/>
  <c r="K18" i="64"/>
  <c r="K19" i="64"/>
  <c r="K20" i="64"/>
  <c r="K21" i="64"/>
  <c r="K22" i="64"/>
  <c r="K23" i="64"/>
  <c r="K24" i="64"/>
  <c r="K25" i="64"/>
  <c r="K26" i="64"/>
  <c r="K27" i="64"/>
  <c r="K28" i="64"/>
  <c r="K29" i="64"/>
  <c r="K30" i="64"/>
  <c r="K31" i="64"/>
  <c r="K32" i="64"/>
  <c r="K33" i="64"/>
  <c r="K34" i="64"/>
  <c r="K35" i="64"/>
  <c r="K36" i="64"/>
  <c r="K37" i="64"/>
  <c r="K38" i="64"/>
  <c r="K39" i="64"/>
  <c r="K40" i="64"/>
  <c r="K41" i="64"/>
  <c r="K42" i="64"/>
  <c r="K43" i="64"/>
  <c r="K44" i="64"/>
  <c r="K45" i="64"/>
  <c r="K46" i="64"/>
  <c r="K47" i="64"/>
  <c r="K48" i="64"/>
  <c r="K49" i="64"/>
  <c r="K50" i="64"/>
  <c r="K51" i="64"/>
  <c r="K52" i="64"/>
  <c r="K53" i="64"/>
  <c r="K54" i="64"/>
  <c r="K55" i="64"/>
  <c r="K56" i="64"/>
  <c r="K57" i="64"/>
  <c r="K58" i="64"/>
  <c r="K59" i="64"/>
  <c r="K60" i="64"/>
  <c r="K61" i="64"/>
  <c r="K62" i="64"/>
  <c r="K63" i="64"/>
  <c r="K64" i="64"/>
  <c r="K65" i="64"/>
  <c r="K66" i="64"/>
  <c r="K67" i="64"/>
  <c r="K68" i="64"/>
  <c r="K69" i="64"/>
  <c r="K70" i="64"/>
  <c r="K71" i="64"/>
  <c r="K72" i="64"/>
  <c r="K73" i="64"/>
  <c r="K74" i="64"/>
  <c r="K75" i="64"/>
  <c r="K76" i="64"/>
  <c r="K77" i="64"/>
  <c r="K78" i="64"/>
  <c r="K79" i="64"/>
  <c r="K80" i="64"/>
  <c r="K81" i="64"/>
  <c r="K82" i="64"/>
  <c r="K83" i="64"/>
  <c r="K84" i="64"/>
  <c r="K85" i="64"/>
  <c r="K86" i="64"/>
  <c r="K87" i="64"/>
  <c r="K88" i="64"/>
  <c r="K89" i="64"/>
  <c r="K90" i="64"/>
  <c r="K91" i="64"/>
  <c r="K92" i="64"/>
  <c r="K93" i="64"/>
  <c r="K94" i="64"/>
  <c r="K95" i="64"/>
  <c r="K96" i="64"/>
  <c r="K97" i="64"/>
  <c r="K98" i="64"/>
  <c r="K99" i="64"/>
  <c r="K100" i="64"/>
  <c r="K101" i="64"/>
  <c r="K102" i="64"/>
  <c r="K103" i="64"/>
  <c r="K104" i="64"/>
  <c r="K105" i="64"/>
  <c r="K106" i="64"/>
  <c r="K107" i="64"/>
  <c r="K108" i="64"/>
  <c r="K109" i="64"/>
  <c r="K110" i="64"/>
  <c r="K111" i="64"/>
  <c r="K112" i="64"/>
  <c r="K113" i="64"/>
  <c r="K114" i="64"/>
  <c r="K115" i="64"/>
  <c r="K116" i="64"/>
  <c r="K117" i="64"/>
  <c r="K118" i="64"/>
  <c r="K119" i="64"/>
  <c r="K120" i="64"/>
  <c r="K121" i="64"/>
  <c r="K122" i="64"/>
  <c r="K123" i="64"/>
  <c r="K124" i="64"/>
  <c r="K125" i="64"/>
  <c r="K126" i="64"/>
  <c r="K127" i="64"/>
  <c r="K128" i="64"/>
  <c r="K129" i="64"/>
  <c r="K130" i="64"/>
  <c r="K131" i="64"/>
  <c r="K132" i="64"/>
  <c r="K133" i="64"/>
  <c r="K134" i="64"/>
  <c r="K135" i="64"/>
  <c r="K136" i="64"/>
  <c r="K137" i="64"/>
  <c r="K138" i="64"/>
  <c r="K139" i="64"/>
  <c r="K140" i="64"/>
  <c r="K141" i="64"/>
  <c r="K142" i="64"/>
  <c r="K143" i="64"/>
  <c r="K144" i="64"/>
  <c r="K145" i="64"/>
  <c r="K146" i="64"/>
  <c r="K147" i="64"/>
  <c r="K148" i="64"/>
  <c r="K149" i="64"/>
  <c r="K150" i="64"/>
  <c r="K151" i="64"/>
  <c r="K152" i="64"/>
  <c r="K153" i="64"/>
  <c r="K154" i="64"/>
  <c r="K155" i="64"/>
  <c r="K156" i="64"/>
  <c r="K157" i="64"/>
  <c r="K158" i="64"/>
  <c r="K159" i="64"/>
  <c r="K160" i="64"/>
  <c r="K161" i="64"/>
  <c r="K162" i="64"/>
  <c r="K163" i="64"/>
  <c r="K164" i="64"/>
  <c r="K165" i="64"/>
  <c r="K166" i="64"/>
  <c r="K167" i="64"/>
  <c r="K168" i="64"/>
  <c r="K169" i="64"/>
  <c r="K170" i="64"/>
  <c r="K171" i="64"/>
  <c r="K172" i="64"/>
  <c r="K173" i="64"/>
  <c r="K174" i="64"/>
  <c r="K175" i="64"/>
  <c r="K176" i="64"/>
  <c r="K177" i="64"/>
  <c r="K178" i="64"/>
  <c r="K179" i="64"/>
  <c r="K180" i="64"/>
  <c r="K181" i="64"/>
  <c r="K182" i="64"/>
  <c r="K183" i="64"/>
  <c r="K184" i="64"/>
  <c r="K185" i="64"/>
  <c r="K186" i="64"/>
  <c r="K187" i="64"/>
  <c r="K188" i="64"/>
  <c r="K189" i="64"/>
  <c r="K190" i="64"/>
  <c r="K191" i="64"/>
  <c r="K192" i="64"/>
  <c r="K193" i="64"/>
  <c r="K194" i="64"/>
  <c r="K195" i="64"/>
  <c r="K196" i="64"/>
  <c r="K197" i="64"/>
  <c r="K198" i="64"/>
  <c r="K199" i="64"/>
  <c r="K200" i="64"/>
  <c r="K201" i="64"/>
  <c r="K202" i="64"/>
  <c r="K203" i="64"/>
  <c r="K204" i="64"/>
  <c r="K205" i="64"/>
  <c r="K206" i="64"/>
  <c r="K207" i="64"/>
  <c r="K208" i="64"/>
  <c r="K209" i="64"/>
  <c r="K210" i="64"/>
  <c r="K211" i="64"/>
  <c r="K212" i="64"/>
  <c r="K213" i="64"/>
  <c r="K214" i="64"/>
  <c r="K215" i="64"/>
  <c r="K216" i="64"/>
  <c r="K217" i="64"/>
  <c r="K218" i="64"/>
  <c r="K219" i="64"/>
  <c r="K220" i="64"/>
  <c r="K221" i="64"/>
  <c r="K222" i="64"/>
  <c r="K223" i="64"/>
  <c r="K224" i="64"/>
  <c r="K225" i="64"/>
  <c r="K226" i="64"/>
  <c r="K227" i="64"/>
  <c r="K228" i="64"/>
  <c r="K229" i="64"/>
  <c r="K230" i="64"/>
  <c r="K231" i="64"/>
  <c r="K232" i="64"/>
  <c r="K233" i="64"/>
  <c r="K234" i="64"/>
  <c r="K235" i="64"/>
  <c r="K236" i="64"/>
  <c r="K237" i="64"/>
  <c r="K238" i="64"/>
  <c r="K239" i="64"/>
  <c r="K240" i="64"/>
  <c r="K241" i="64"/>
  <c r="K242" i="64"/>
  <c r="K243" i="64"/>
  <c r="K244" i="64"/>
  <c r="K245" i="64"/>
  <c r="K246" i="64"/>
  <c r="K247" i="64"/>
  <c r="K248" i="64"/>
  <c r="K249" i="64"/>
  <c r="K250" i="64"/>
  <c r="K251" i="64"/>
  <c r="K252" i="64"/>
  <c r="K253" i="64"/>
  <c r="K254" i="64"/>
  <c r="K255" i="64"/>
  <c r="K256" i="64"/>
  <c r="K257" i="64"/>
  <c r="K258" i="64"/>
  <c r="K259" i="64"/>
  <c r="K12" i="64"/>
  <c r="J13" i="64"/>
  <c r="J14" i="64"/>
  <c r="J15" i="64"/>
  <c r="J16" i="64"/>
  <c r="J17" i="64"/>
  <c r="J18" i="64"/>
  <c r="J19" i="64"/>
  <c r="J20" i="64"/>
  <c r="J21" i="64"/>
  <c r="J22" i="64"/>
  <c r="J23" i="64"/>
  <c r="J24" i="64"/>
  <c r="J25" i="64"/>
  <c r="J26" i="64"/>
  <c r="J27" i="64"/>
  <c r="J28" i="64"/>
  <c r="J29" i="64"/>
  <c r="J30" i="64"/>
  <c r="J31" i="64"/>
  <c r="J32" i="64"/>
  <c r="J33" i="64"/>
  <c r="J34" i="64"/>
  <c r="J35" i="64"/>
  <c r="J36" i="64"/>
  <c r="J37" i="64"/>
  <c r="J38" i="64"/>
  <c r="J39" i="64"/>
  <c r="J40" i="64"/>
  <c r="J41" i="64"/>
  <c r="J42" i="64"/>
  <c r="J43" i="64"/>
  <c r="J44" i="64"/>
  <c r="J45" i="64"/>
  <c r="J46" i="64"/>
  <c r="J47" i="64"/>
  <c r="J48" i="64"/>
  <c r="J49" i="64"/>
  <c r="J50" i="64"/>
  <c r="J51" i="64"/>
  <c r="J52" i="64"/>
  <c r="J53" i="64"/>
  <c r="J54" i="64"/>
  <c r="J55" i="64"/>
  <c r="J56" i="64"/>
  <c r="J57" i="64"/>
  <c r="J58" i="64"/>
  <c r="J59" i="64"/>
  <c r="J60" i="64"/>
  <c r="J61" i="64"/>
  <c r="J62" i="64"/>
  <c r="J63" i="64"/>
  <c r="J64" i="64"/>
  <c r="J65" i="64"/>
  <c r="J66" i="64"/>
  <c r="J67" i="64"/>
  <c r="J68" i="64"/>
  <c r="J69" i="64"/>
  <c r="J70" i="64"/>
  <c r="J71" i="64"/>
  <c r="J72" i="64"/>
  <c r="J73" i="64"/>
  <c r="J74" i="64"/>
  <c r="J75" i="64"/>
  <c r="J76" i="64"/>
  <c r="J77" i="64"/>
  <c r="J78" i="64"/>
  <c r="J79" i="64"/>
  <c r="J80" i="64"/>
  <c r="J81" i="64"/>
  <c r="J82" i="64"/>
  <c r="J83" i="64"/>
  <c r="J84" i="64"/>
  <c r="J85" i="64"/>
  <c r="J86" i="64"/>
  <c r="J87" i="64"/>
  <c r="J88" i="64"/>
  <c r="J89" i="64"/>
  <c r="J90" i="64"/>
  <c r="J91" i="64"/>
  <c r="J92" i="64"/>
  <c r="J93" i="64"/>
  <c r="J94" i="64"/>
  <c r="J95" i="64"/>
  <c r="J96" i="64"/>
  <c r="J97" i="64"/>
  <c r="J98" i="64"/>
  <c r="J99" i="64"/>
  <c r="J100" i="64"/>
  <c r="J101" i="64"/>
  <c r="J102" i="64"/>
  <c r="J103" i="64"/>
  <c r="J104" i="64"/>
  <c r="J105" i="64"/>
  <c r="J106" i="64"/>
  <c r="J107" i="64"/>
  <c r="J108" i="64"/>
  <c r="J109" i="64"/>
  <c r="J110" i="64"/>
  <c r="J111" i="64"/>
  <c r="J112" i="64"/>
  <c r="J113" i="64"/>
  <c r="J114" i="64"/>
  <c r="J115" i="64"/>
  <c r="J116" i="64"/>
  <c r="J117" i="64"/>
  <c r="J118" i="64"/>
  <c r="J119" i="64"/>
  <c r="J120" i="64"/>
  <c r="J121" i="64"/>
  <c r="J122" i="64"/>
  <c r="J123" i="64"/>
  <c r="J124" i="64"/>
  <c r="J125" i="64"/>
  <c r="J126" i="64"/>
  <c r="J127" i="64"/>
  <c r="J128" i="64"/>
  <c r="J129" i="64"/>
  <c r="J130" i="64"/>
  <c r="J131" i="64"/>
  <c r="J132" i="64"/>
  <c r="J133" i="64"/>
  <c r="J134" i="64"/>
  <c r="J135" i="64"/>
  <c r="J136" i="64"/>
  <c r="J137" i="64"/>
  <c r="J138" i="64"/>
  <c r="J139" i="64"/>
  <c r="J140" i="64"/>
  <c r="J141" i="64"/>
  <c r="J142" i="64"/>
  <c r="J143" i="64"/>
  <c r="J144" i="64"/>
  <c r="J145" i="64"/>
  <c r="J146" i="64"/>
  <c r="J147" i="64"/>
  <c r="J148" i="64"/>
  <c r="J149" i="64"/>
  <c r="J150" i="64"/>
  <c r="J151" i="64"/>
  <c r="J152" i="64"/>
  <c r="J153" i="64"/>
  <c r="J154" i="64"/>
  <c r="J155" i="64"/>
  <c r="J156" i="64"/>
  <c r="J157" i="64"/>
  <c r="J158" i="64"/>
  <c r="J159" i="64"/>
  <c r="J160" i="64"/>
  <c r="J161" i="64"/>
  <c r="J162" i="64"/>
  <c r="J163" i="64"/>
  <c r="J164" i="64"/>
  <c r="J165" i="64"/>
  <c r="J166" i="64"/>
  <c r="J167" i="64"/>
  <c r="J168" i="64"/>
  <c r="J169" i="64"/>
  <c r="J170" i="64"/>
  <c r="J171" i="64"/>
  <c r="J172" i="64"/>
  <c r="J173" i="64"/>
  <c r="J174" i="64"/>
  <c r="J175" i="64"/>
  <c r="J176" i="64"/>
  <c r="J177" i="64"/>
  <c r="J178" i="64"/>
  <c r="J179" i="64"/>
  <c r="J180" i="64"/>
  <c r="J181" i="64"/>
  <c r="J182" i="64"/>
  <c r="J183" i="64"/>
  <c r="J184" i="64"/>
  <c r="J185" i="64"/>
  <c r="J186" i="64"/>
  <c r="J187" i="64"/>
  <c r="J188" i="64"/>
  <c r="J189" i="64"/>
  <c r="J190" i="64"/>
  <c r="J191" i="64"/>
  <c r="J192" i="64"/>
  <c r="J193" i="64"/>
  <c r="J194" i="64"/>
  <c r="J195" i="64"/>
  <c r="J196" i="64"/>
  <c r="J197" i="64"/>
  <c r="J198" i="64"/>
  <c r="J199" i="64"/>
  <c r="J200" i="64"/>
  <c r="J201" i="64"/>
  <c r="J202" i="64"/>
  <c r="J203" i="64"/>
  <c r="J204" i="64"/>
  <c r="J205" i="64"/>
  <c r="J206" i="64"/>
  <c r="J207" i="64"/>
  <c r="J208" i="64"/>
  <c r="J209" i="64"/>
  <c r="J210" i="64"/>
  <c r="J211" i="64"/>
  <c r="J212" i="64"/>
  <c r="J213" i="64"/>
  <c r="J214" i="64"/>
  <c r="J215" i="64"/>
  <c r="J216" i="64"/>
  <c r="J217" i="64"/>
  <c r="J218" i="64"/>
  <c r="J219" i="64"/>
  <c r="J220" i="64"/>
  <c r="J221" i="64"/>
  <c r="J222" i="64"/>
  <c r="J223" i="64"/>
  <c r="J224" i="64"/>
  <c r="J225" i="64"/>
  <c r="J226" i="64"/>
  <c r="J227" i="64"/>
  <c r="J228" i="64"/>
  <c r="J229" i="64"/>
  <c r="J230" i="64"/>
  <c r="J231" i="64"/>
  <c r="J232" i="64"/>
  <c r="J233" i="64"/>
  <c r="J234" i="64"/>
  <c r="J235" i="64"/>
  <c r="J236" i="64"/>
  <c r="J237" i="64"/>
  <c r="J238" i="64"/>
  <c r="J239" i="64"/>
  <c r="J240" i="64"/>
  <c r="J241" i="64"/>
  <c r="J242" i="64"/>
  <c r="J243" i="64"/>
  <c r="J244" i="64"/>
  <c r="J245" i="64"/>
  <c r="J246" i="64"/>
  <c r="J247" i="64"/>
  <c r="J248" i="64"/>
  <c r="J249" i="64"/>
  <c r="J250" i="64"/>
  <c r="J251" i="64"/>
  <c r="J252" i="64"/>
  <c r="J253" i="64"/>
  <c r="J254" i="64"/>
  <c r="J255" i="64"/>
  <c r="J256" i="64"/>
  <c r="J257" i="64"/>
  <c r="J258" i="64"/>
  <c r="J259" i="64"/>
  <c r="J12" i="64"/>
  <c r="H13" i="64"/>
  <c r="H14" i="64"/>
  <c r="H15" i="64"/>
  <c r="H16" i="64"/>
  <c r="H17" i="64"/>
  <c r="H18" i="64"/>
  <c r="H19" i="64"/>
  <c r="H20" i="64"/>
  <c r="H21" i="64"/>
  <c r="H22" i="64"/>
  <c r="H23" i="64"/>
  <c r="H24" i="64"/>
  <c r="H25" i="64"/>
  <c r="H26" i="64"/>
  <c r="H27" i="64"/>
  <c r="H28" i="64"/>
  <c r="H29" i="64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4" i="64"/>
  <c r="H95" i="64"/>
  <c r="H96" i="64"/>
  <c r="H97" i="64"/>
  <c r="H98" i="64"/>
  <c r="H99" i="64"/>
  <c r="H100" i="64"/>
  <c r="H101" i="64"/>
  <c r="H102" i="64"/>
  <c r="H103" i="64"/>
  <c r="H104" i="64"/>
  <c r="H105" i="64"/>
  <c r="H106" i="64"/>
  <c r="H107" i="64"/>
  <c r="H108" i="64"/>
  <c r="H109" i="64"/>
  <c r="H110" i="64"/>
  <c r="H111" i="64"/>
  <c r="H112" i="64"/>
  <c r="H113" i="64"/>
  <c r="H114" i="64"/>
  <c r="H115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139" i="64"/>
  <c r="H140" i="64"/>
  <c r="H141" i="64"/>
  <c r="H142" i="64"/>
  <c r="H143" i="64"/>
  <c r="H144" i="64"/>
  <c r="H145" i="64"/>
  <c r="H146" i="64"/>
  <c r="H147" i="64"/>
  <c r="H148" i="64"/>
  <c r="H149" i="64"/>
  <c r="H150" i="64"/>
  <c r="H151" i="64"/>
  <c r="H152" i="64"/>
  <c r="H153" i="64"/>
  <c r="H154" i="64"/>
  <c r="H155" i="64"/>
  <c r="H156" i="64"/>
  <c r="H157" i="64"/>
  <c r="H158" i="64"/>
  <c r="H159" i="64"/>
  <c r="H160" i="64"/>
  <c r="H161" i="64"/>
  <c r="H162" i="64"/>
  <c r="H163" i="64"/>
  <c r="H164" i="64"/>
  <c r="H165" i="64"/>
  <c r="H166" i="64"/>
  <c r="H167" i="64"/>
  <c r="H168" i="64"/>
  <c r="H169" i="64"/>
  <c r="H170" i="64"/>
  <c r="H171" i="64"/>
  <c r="H172" i="64"/>
  <c r="H173" i="64"/>
  <c r="H174" i="64"/>
  <c r="H175" i="64"/>
  <c r="H176" i="64"/>
  <c r="H177" i="64"/>
  <c r="H178" i="64"/>
  <c r="H179" i="64"/>
  <c r="H180" i="64"/>
  <c r="H181" i="64"/>
  <c r="H182" i="64"/>
  <c r="H183" i="64"/>
  <c r="H184" i="64"/>
  <c r="H185" i="64"/>
  <c r="H186" i="64"/>
  <c r="H187" i="64"/>
  <c r="H188" i="64"/>
  <c r="H189" i="64"/>
  <c r="H190" i="64"/>
  <c r="H191" i="64"/>
  <c r="H192" i="64"/>
  <c r="H193" i="64"/>
  <c r="H194" i="64"/>
  <c r="H195" i="64"/>
  <c r="H196" i="64"/>
  <c r="H197" i="64"/>
  <c r="H198" i="64"/>
  <c r="H199" i="64"/>
  <c r="H200" i="64"/>
  <c r="H201" i="64"/>
  <c r="H202" i="64"/>
  <c r="H203" i="64"/>
  <c r="H204" i="64"/>
  <c r="H205" i="64"/>
  <c r="H206" i="64"/>
  <c r="H207" i="64"/>
  <c r="H208" i="64"/>
  <c r="H209" i="64"/>
  <c r="H210" i="64"/>
  <c r="H211" i="64"/>
  <c r="H212" i="64"/>
  <c r="H213" i="64"/>
  <c r="H214" i="64"/>
  <c r="H215" i="64"/>
  <c r="H216" i="64"/>
  <c r="H217" i="64"/>
  <c r="H218" i="64"/>
  <c r="H219" i="64"/>
  <c r="H220" i="64"/>
  <c r="H221" i="64"/>
  <c r="H222" i="64"/>
  <c r="H223" i="64"/>
  <c r="H224" i="64"/>
  <c r="H225" i="64"/>
  <c r="H226" i="64"/>
  <c r="H227" i="64"/>
  <c r="H228" i="64"/>
  <c r="H229" i="64"/>
  <c r="H230" i="64"/>
  <c r="H231" i="64"/>
  <c r="H232" i="64"/>
  <c r="H233" i="64"/>
  <c r="H234" i="64"/>
  <c r="H235" i="64"/>
  <c r="H236" i="64"/>
  <c r="H237" i="64"/>
  <c r="H238" i="64"/>
  <c r="H239" i="64"/>
  <c r="H240" i="64"/>
  <c r="H241" i="64"/>
  <c r="H242" i="64"/>
  <c r="H243" i="64"/>
  <c r="H244" i="64"/>
  <c r="H245" i="64"/>
  <c r="H246" i="64"/>
  <c r="H247" i="64"/>
  <c r="H248" i="64"/>
  <c r="H249" i="64"/>
  <c r="H250" i="64"/>
  <c r="H251" i="64"/>
  <c r="H252" i="64"/>
  <c r="H253" i="64"/>
  <c r="H254" i="64"/>
  <c r="H255" i="64"/>
  <c r="H256" i="64"/>
  <c r="H257" i="64"/>
  <c r="H258" i="64"/>
  <c r="H259" i="64"/>
  <c r="H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F258" i="64" s="1"/>
  <c r="E259" i="64"/>
  <c r="F259" i="64" s="1"/>
  <c r="E12" i="64"/>
  <c r="Q11" i="63"/>
  <c r="Q12" i="63"/>
  <c r="Q13" i="63"/>
  <c r="Q14" i="63"/>
  <c r="Q15" i="63"/>
  <c r="Q16" i="63"/>
  <c r="Q17" i="63"/>
  <c r="Q18" i="63"/>
  <c r="Q19" i="63"/>
  <c r="Q20" i="63"/>
  <c r="Q21" i="63"/>
  <c r="Q22" i="63"/>
  <c r="Q23" i="63"/>
  <c r="Q24" i="63"/>
  <c r="Q25" i="63"/>
  <c r="Q26" i="63"/>
  <c r="Q27" i="63"/>
  <c r="Q28" i="63"/>
  <c r="Q29" i="63"/>
  <c r="Q30" i="63"/>
  <c r="Q31" i="63"/>
  <c r="Q32" i="63"/>
  <c r="Q33" i="63"/>
  <c r="Q34" i="63"/>
  <c r="Q35" i="63"/>
  <c r="Q36" i="63"/>
  <c r="Q37" i="63"/>
  <c r="Q38" i="63"/>
  <c r="Q39" i="63"/>
  <c r="Q40" i="63"/>
  <c r="Q41" i="63"/>
  <c r="Q42" i="63"/>
  <c r="Q43" i="63"/>
  <c r="Q44" i="63"/>
  <c r="Q45" i="63"/>
  <c r="Q46" i="63"/>
  <c r="Q47" i="63"/>
  <c r="Q48" i="63"/>
  <c r="Q49" i="63"/>
  <c r="Q50" i="63"/>
  <c r="Q51" i="63"/>
  <c r="Q52" i="63"/>
  <c r="Q53" i="63"/>
  <c r="Q54" i="63"/>
  <c r="Q55" i="63"/>
  <c r="Q56" i="63"/>
  <c r="Q57" i="63"/>
  <c r="Q58" i="63"/>
  <c r="Q59" i="63"/>
  <c r="Q60" i="63"/>
  <c r="Q61" i="63"/>
  <c r="Q62" i="63"/>
  <c r="Q63" i="63"/>
  <c r="Q64" i="63"/>
  <c r="Q65" i="63"/>
  <c r="Q66" i="63"/>
  <c r="Q67" i="63"/>
  <c r="Q68" i="63"/>
  <c r="Q69" i="63"/>
  <c r="Q70" i="63"/>
  <c r="Q71" i="63"/>
  <c r="Q72" i="63"/>
  <c r="Q73" i="63"/>
  <c r="Q74" i="63"/>
  <c r="Q75" i="63"/>
  <c r="Q76" i="63"/>
  <c r="Q77" i="63"/>
  <c r="Q78" i="63"/>
  <c r="Q79" i="63"/>
  <c r="Q80" i="63"/>
  <c r="Q81" i="63"/>
  <c r="Q82" i="63"/>
  <c r="Q83" i="63"/>
  <c r="Q84" i="63"/>
  <c r="Q85" i="63"/>
  <c r="Q86" i="63"/>
  <c r="Q87" i="63"/>
  <c r="Q88" i="63"/>
  <c r="Q89" i="63"/>
  <c r="Q90" i="63"/>
  <c r="Q91" i="63"/>
  <c r="Q92" i="63"/>
  <c r="Q93" i="63"/>
  <c r="Q94" i="63"/>
  <c r="Q95" i="63"/>
  <c r="Q96" i="63"/>
  <c r="Q97" i="63"/>
  <c r="Q98" i="63"/>
  <c r="Q99" i="63"/>
  <c r="Q100" i="63"/>
  <c r="Q101" i="63"/>
  <c r="Q102" i="63"/>
  <c r="Q103" i="63"/>
  <c r="Q104" i="63"/>
  <c r="Q105" i="63"/>
  <c r="Q106" i="63"/>
  <c r="Q107" i="63"/>
  <c r="Q108" i="63"/>
  <c r="Q109" i="63"/>
  <c r="Q110" i="63"/>
  <c r="Q111" i="63"/>
  <c r="Q112" i="63"/>
  <c r="Q113" i="63"/>
  <c r="Q114" i="63"/>
  <c r="Q115" i="63"/>
  <c r="Q116" i="63"/>
  <c r="Q117" i="63"/>
  <c r="Q118" i="63"/>
  <c r="Q119" i="63"/>
  <c r="Q120" i="63"/>
  <c r="Q121" i="63"/>
  <c r="Q122" i="63"/>
  <c r="Q123" i="63"/>
  <c r="Q124" i="63"/>
  <c r="Q125" i="63"/>
  <c r="Q126" i="63"/>
  <c r="Q127" i="63"/>
  <c r="Q128" i="63"/>
  <c r="Q129" i="63"/>
  <c r="Q130" i="63"/>
  <c r="Q131" i="63"/>
  <c r="Q132" i="63"/>
  <c r="Q133" i="63"/>
  <c r="Q134" i="63"/>
  <c r="Q135" i="63"/>
  <c r="Q136" i="63"/>
  <c r="Q137" i="63"/>
  <c r="Q138" i="63"/>
  <c r="Q139" i="63"/>
  <c r="Q140" i="63"/>
  <c r="Q141" i="63"/>
  <c r="Q142" i="63"/>
  <c r="Q143" i="63"/>
  <c r="Q144" i="63"/>
  <c r="Q145" i="63"/>
  <c r="Q146" i="63"/>
  <c r="Q147" i="63"/>
  <c r="Q148" i="63"/>
  <c r="Q149" i="63"/>
  <c r="Q150" i="63"/>
  <c r="Q151" i="63"/>
  <c r="Q152" i="63"/>
  <c r="Q153" i="63"/>
  <c r="Q154" i="63"/>
  <c r="Q155" i="63"/>
  <c r="Q156" i="63"/>
  <c r="Q157" i="63"/>
  <c r="Q158" i="63"/>
  <c r="Q159" i="63"/>
  <c r="Q160" i="63"/>
  <c r="Q161" i="63"/>
  <c r="Q162" i="63"/>
  <c r="Q163" i="63"/>
  <c r="Q164" i="63"/>
  <c r="Q165" i="63"/>
  <c r="Q166" i="63"/>
  <c r="Q167" i="63"/>
  <c r="Q168" i="63"/>
  <c r="Q169" i="63"/>
  <c r="Q170" i="63"/>
  <c r="Q171" i="63"/>
  <c r="Q172" i="63"/>
  <c r="Q173" i="63"/>
  <c r="Q174" i="63"/>
  <c r="Q175" i="63"/>
  <c r="Q176" i="63"/>
  <c r="Q177" i="63"/>
  <c r="Q178" i="63"/>
  <c r="Q179" i="63"/>
  <c r="Q180" i="63"/>
  <c r="Q181" i="63"/>
  <c r="Q182" i="63"/>
  <c r="Q183" i="63"/>
  <c r="Q184" i="63"/>
  <c r="Q185" i="63"/>
  <c r="Q186" i="63"/>
  <c r="Q187" i="63"/>
  <c r="Q188" i="63"/>
  <c r="Q189" i="63"/>
  <c r="Q190" i="63"/>
  <c r="Q191" i="63"/>
  <c r="Q192" i="63"/>
  <c r="Q193" i="63"/>
  <c r="Q194" i="63"/>
  <c r="Q195" i="63"/>
  <c r="Q196" i="63"/>
  <c r="Q197" i="63"/>
  <c r="Q198" i="63"/>
  <c r="Q199" i="63"/>
  <c r="Q200" i="63"/>
  <c r="Q201" i="63"/>
  <c r="Q202" i="63"/>
  <c r="Q203" i="63"/>
  <c r="Q204" i="63"/>
  <c r="Q205" i="63"/>
  <c r="Q206" i="63"/>
  <c r="Q207" i="63"/>
  <c r="Q208" i="63"/>
  <c r="Q209" i="63"/>
  <c r="Q210" i="63"/>
  <c r="Q211" i="63"/>
  <c r="Q212" i="63"/>
  <c r="Q213" i="63"/>
  <c r="Q214" i="63"/>
  <c r="Q215" i="63"/>
  <c r="Q216" i="63"/>
  <c r="Q217" i="63"/>
  <c r="Q218" i="63"/>
  <c r="Q219" i="63"/>
  <c r="Q220" i="63"/>
  <c r="Q221" i="63"/>
  <c r="Q222" i="63"/>
  <c r="Q223" i="63"/>
  <c r="Q224" i="63"/>
  <c r="Q225" i="63"/>
  <c r="Q226" i="63"/>
  <c r="Q227" i="63"/>
  <c r="Q228" i="63"/>
  <c r="Q229" i="63"/>
  <c r="Q230" i="63"/>
  <c r="Q231" i="63"/>
  <c r="Q232" i="63"/>
  <c r="Q233" i="63"/>
  <c r="Q234" i="63"/>
  <c r="Q235" i="63"/>
  <c r="Q236" i="63"/>
  <c r="Q237" i="63"/>
  <c r="Q238" i="63"/>
  <c r="Q239" i="63"/>
  <c r="Q240" i="63"/>
  <c r="Q241" i="63"/>
  <c r="Q242" i="63"/>
  <c r="Q243" i="63"/>
  <c r="Q244" i="63"/>
  <c r="Q245" i="63"/>
  <c r="Q246" i="63"/>
  <c r="Q247" i="63"/>
  <c r="Q248" i="63"/>
  <c r="Q249" i="63"/>
  <c r="Q250" i="63"/>
  <c r="Q251" i="63"/>
  <c r="Q252" i="63"/>
  <c r="Q253" i="63"/>
  <c r="Q254" i="63"/>
  <c r="Q255" i="63"/>
  <c r="Q256" i="63"/>
  <c r="Q257" i="63"/>
  <c r="Q10" i="63"/>
  <c r="P11" i="63"/>
  <c r="P12" i="63"/>
  <c r="P13" i="63"/>
  <c r="P14" i="63"/>
  <c r="P15" i="63"/>
  <c r="P16" i="63"/>
  <c r="P17" i="63"/>
  <c r="P18" i="63"/>
  <c r="P19" i="63"/>
  <c r="P20" i="63"/>
  <c r="P21" i="63"/>
  <c r="P22" i="63"/>
  <c r="P23" i="63"/>
  <c r="P24" i="63"/>
  <c r="P25" i="63"/>
  <c r="P26" i="63"/>
  <c r="P27" i="63"/>
  <c r="P28" i="63"/>
  <c r="P29" i="63"/>
  <c r="P30" i="63"/>
  <c r="P31" i="63"/>
  <c r="P32" i="63"/>
  <c r="P33" i="63"/>
  <c r="P34" i="63"/>
  <c r="P35" i="63"/>
  <c r="P36" i="63"/>
  <c r="P37" i="63"/>
  <c r="P38" i="63"/>
  <c r="P39" i="63"/>
  <c r="P40" i="63"/>
  <c r="P41" i="63"/>
  <c r="P42" i="63"/>
  <c r="P43" i="63"/>
  <c r="P44" i="63"/>
  <c r="P45" i="63"/>
  <c r="P46" i="63"/>
  <c r="P47" i="63"/>
  <c r="P48" i="63"/>
  <c r="P49" i="63"/>
  <c r="P50" i="63"/>
  <c r="P51" i="63"/>
  <c r="P52" i="63"/>
  <c r="P53" i="63"/>
  <c r="P54" i="63"/>
  <c r="P55" i="63"/>
  <c r="P56" i="63"/>
  <c r="P57" i="63"/>
  <c r="P58" i="63"/>
  <c r="P59" i="63"/>
  <c r="P60" i="63"/>
  <c r="P61" i="63"/>
  <c r="P62" i="63"/>
  <c r="P63" i="63"/>
  <c r="P64" i="63"/>
  <c r="P65" i="63"/>
  <c r="P66" i="63"/>
  <c r="P67" i="63"/>
  <c r="P68" i="63"/>
  <c r="P69" i="63"/>
  <c r="P70" i="63"/>
  <c r="P71" i="63"/>
  <c r="P72" i="63"/>
  <c r="P73" i="63"/>
  <c r="P74" i="63"/>
  <c r="P75" i="63"/>
  <c r="P76" i="63"/>
  <c r="P77" i="63"/>
  <c r="P78" i="63"/>
  <c r="P79" i="63"/>
  <c r="P80" i="63"/>
  <c r="P81" i="63"/>
  <c r="P82" i="63"/>
  <c r="P83" i="63"/>
  <c r="P84" i="63"/>
  <c r="P85" i="63"/>
  <c r="P86" i="63"/>
  <c r="P87" i="63"/>
  <c r="P88" i="63"/>
  <c r="P89" i="63"/>
  <c r="P90" i="63"/>
  <c r="P91" i="63"/>
  <c r="P92" i="63"/>
  <c r="P93" i="63"/>
  <c r="P94" i="63"/>
  <c r="P95" i="63"/>
  <c r="P96" i="63"/>
  <c r="P97" i="63"/>
  <c r="P98" i="63"/>
  <c r="P99" i="63"/>
  <c r="P100" i="63"/>
  <c r="P101" i="63"/>
  <c r="P102" i="63"/>
  <c r="P103" i="63"/>
  <c r="P104" i="63"/>
  <c r="P105" i="63"/>
  <c r="P106" i="63"/>
  <c r="P107" i="63"/>
  <c r="P108" i="63"/>
  <c r="P109" i="63"/>
  <c r="P110" i="63"/>
  <c r="P111" i="63"/>
  <c r="P112" i="63"/>
  <c r="P113" i="63"/>
  <c r="P114" i="63"/>
  <c r="P115" i="63"/>
  <c r="P116" i="63"/>
  <c r="P117" i="63"/>
  <c r="P118" i="63"/>
  <c r="P119" i="63"/>
  <c r="P120" i="63"/>
  <c r="P121" i="63"/>
  <c r="P122" i="63"/>
  <c r="P123" i="63"/>
  <c r="P124" i="63"/>
  <c r="P125" i="63"/>
  <c r="P126" i="63"/>
  <c r="P127" i="63"/>
  <c r="P128" i="63"/>
  <c r="P129" i="63"/>
  <c r="P130" i="63"/>
  <c r="P131" i="63"/>
  <c r="P132" i="63"/>
  <c r="P133" i="63"/>
  <c r="P134" i="63"/>
  <c r="P135" i="63"/>
  <c r="P136" i="63"/>
  <c r="P137" i="63"/>
  <c r="P138" i="63"/>
  <c r="P139" i="63"/>
  <c r="P140" i="63"/>
  <c r="P141" i="63"/>
  <c r="P142" i="63"/>
  <c r="P143" i="63"/>
  <c r="P144" i="63"/>
  <c r="P145" i="63"/>
  <c r="P146" i="63"/>
  <c r="P147" i="63"/>
  <c r="P148" i="63"/>
  <c r="P149" i="63"/>
  <c r="P150" i="63"/>
  <c r="P151" i="63"/>
  <c r="P152" i="63"/>
  <c r="P153" i="63"/>
  <c r="P154" i="63"/>
  <c r="P155" i="63"/>
  <c r="P156" i="63"/>
  <c r="P157" i="63"/>
  <c r="P158" i="63"/>
  <c r="P159" i="63"/>
  <c r="P160" i="63"/>
  <c r="P161" i="63"/>
  <c r="P162" i="63"/>
  <c r="P163" i="63"/>
  <c r="P164" i="63"/>
  <c r="P165" i="63"/>
  <c r="P166" i="63"/>
  <c r="P167" i="63"/>
  <c r="P168" i="63"/>
  <c r="P169" i="63"/>
  <c r="P170" i="63"/>
  <c r="P171" i="63"/>
  <c r="P172" i="63"/>
  <c r="P173" i="63"/>
  <c r="P174" i="63"/>
  <c r="P175" i="63"/>
  <c r="P176" i="63"/>
  <c r="P177" i="63"/>
  <c r="P178" i="63"/>
  <c r="P179" i="63"/>
  <c r="P180" i="63"/>
  <c r="P181" i="63"/>
  <c r="P182" i="63"/>
  <c r="P183" i="63"/>
  <c r="P184" i="63"/>
  <c r="P185" i="63"/>
  <c r="P186" i="63"/>
  <c r="P187" i="63"/>
  <c r="P188" i="63"/>
  <c r="P189" i="63"/>
  <c r="P190" i="63"/>
  <c r="P191" i="63"/>
  <c r="P192" i="63"/>
  <c r="P193" i="63"/>
  <c r="P194" i="63"/>
  <c r="P195" i="63"/>
  <c r="P196" i="63"/>
  <c r="P197" i="63"/>
  <c r="P198" i="63"/>
  <c r="P199" i="63"/>
  <c r="P200" i="63"/>
  <c r="P201" i="63"/>
  <c r="P202" i="63"/>
  <c r="P203" i="63"/>
  <c r="P204" i="63"/>
  <c r="P205" i="63"/>
  <c r="P206" i="63"/>
  <c r="P207" i="63"/>
  <c r="P208" i="63"/>
  <c r="P209" i="63"/>
  <c r="P210" i="63"/>
  <c r="P211" i="63"/>
  <c r="P212" i="63"/>
  <c r="P213" i="63"/>
  <c r="P214" i="63"/>
  <c r="P215" i="63"/>
  <c r="P216" i="63"/>
  <c r="P217" i="63"/>
  <c r="P218" i="63"/>
  <c r="P219" i="63"/>
  <c r="P220" i="63"/>
  <c r="P221" i="63"/>
  <c r="P222" i="63"/>
  <c r="P223" i="63"/>
  <c r="P224" i="63"/>
  <c r="P225" i="63"/>
  <c r="P226" i="63"/>
  <c r="P227" i="63"/>
  <c r="P228" i="63"/>
  <c r="P229" i="63"/>
  <c r="P230" i="63"/>
  <c r="P231" i="63"/>
  <c r="P232" i="63"/>
  <c r="P233" i="63"/>
  <c r="P234" i="63"/>
  <c r="P235" i="63"/>
  <c r="P236" i="63"/>
  <c r="P237" i="63"/>
  <c r="P238" i="63"/>
  <c r="P239" i="63"/>
  <c r="P240" i="63"/>
  <c r="P241" i="63"/>
  <c r="P242" i="63"/>
  <c r="P243" i="63"/>
  <c r="P244" i="63"/>
  <c r="P245" i="63"/>
  <c r="P246" i="63"/>
  <c r="P247" i="63"/>
  <c r="P248" i="63"/>
  <c r="P249" i="63"/>
  <c r="P250" i="63"/>
  <c r="P251" i="63"/>
  <c r="P252" i="63"/>
  <c r="P253" i="63"/>
  <c r="P254" i="63"/>
  <c r="P255" i="63"/>
  <c r="P256" i="63"/>
  <c r="P257" i="63"/>
  <c r="P10" i="63"/>
  <c r="L11" i="63"/>
  <c r="L12" i="63"/>
  <c r="L13" i="63"/>
  <c r="L14" i="63"/>
  <c r="L15" i="63"/>
  <c r="L16" i="63"/>
  <c r="L17" i="63"/>
  <c r="L18" i="63"/>
  <c r="L19" i="63"/>
  <c r="L20" i="63"/>
  <c r="L21" i="63"/>
  <c r="L22" i="63"/>
  <c r="L23" i="63"/>
  <c r="L24" i="63"/>
  <c r="L25" i="63"/>
  <c r="L26" i="63"/>
  <c r="L27" i="63"/>
  <c r="L28" i="63"/>
  <c r="L29" i="63"/>
  <c r="L30" i="63"/>
  <c r="L31" i="63"/>
  <c r="L32" i="63"/>
  <c r="L33" i="63"/>
  <c r="L34" i="63"/>
  <c r="L35" i="63"/>
  <c r="L36" i="63"/>
  <c r="L37" i="63"/>
  <c r="L38" i="63"/>
  <c r="L39" i="63"/>
  <c r="L40" i="63"/>
  <c r="L41" i="63"/>
  <c r="L42" i="63"/>
  <c r="L43" i="63"/>
  <c r="L44" i="63"/>
  <c r="L45" i="63"/>
  <c r="L46" i="63"/>
  <c r="L47" i="63"/>
  <c r="L48" i="63"/>
  <c r="L49" i="63"/>
  <c r="L50" i="63"/>
  <c r="L51" i="63"/>
  <c r="L52" i="63"/>
  <c r="L53" i="63"/>
  <c r="L54" i="63"/>
  <c r="L55" i="63"/>
  <c r="L56" i="63"/>
  <c r="L57" i="63"/>
  <c r="L58" i="63"/>
  <c r="L59" i="63"/>
  <c r="L60" i="63"/>
  <c r="L61" i="63"/>
  <c r="L62" i="63"/>
  <c r="L63" i="63"/>
  <c r="L64" i="63"/>
  <c r="L65" i="63"/>
  <c r="L66" i="63"/>
  <c r="L67" i="63"/>
  <c r="L68" i="63"/>
  <c r="L69" i="63"/>
  <c r="L70" i="63"/>
  <c r="L71" i="63"/>
  <c r="L72" i="63"/>
  <c r="L73" i="63"/>
  <c r="L74" i="63"/>
  <c r="L75" i="63"/>
  <c r="L76" i="63"/>
  <c r="L77" i="63"/>
  <c r="L78" i="63"/>
  <c r="L79" i="63"/>
  <c r="L80" i="63"/>
  <c r="L81" i="63"/>
  <c r="L82" i="63"/>
  <c r="L83" i="63"/>
  <c r="L84" i="63"/>
  <c r="L85" i="63"/>
  <c r="L86" i="63"/>
  <c r="L87" i="63"/>
  <c r="L88" i="63"/>
  <c r="L89" i="63"/>
  <c r="L90" i="63"/>
  <c r="L91" i="63"/>
  <c r="L92" i="63"/>
  <c r="L93" i="63"/>
  <c r="L94" i="63"/>
  <c r="L95" i="63"/>
  <c r="L96" i="63"/>
  <c r="L97" i="63"/>
  <c r="L98" i="63"/>
  <c r="L99" i="63"/>
  <c r="L100" i="63"/>
  <c r="L101" i="63"/>
  <c r="L102" i="63"/>
  <c r="L103" i="63"/>
  <c r="L104" i="63"/>
  <c r="L105" i="63"/>
  <c r="L106" i="63"/>
  <c r="L107" i="63"/>
  <c r="L108" i="63"/>
  <c r="L109" i="63"/>
  <c r="L110" i="63"/>
  <c r="L111" i="63"/>
  <c r="L112" i="63"/>
  <c r="L113" i="63"/>
  <c r="L114" i="63"/>
  <c r="L115" i="63"/>
  <c r="L116" i="63"/>
  <c r="L117" i="63"/>
  <c r="L118" i="63"/>
  <c r="L119" i="63"/>
  <c r="L120" i="63"/>
  <c r="L121" i="63"/>
  <c r="L122" i="63"/>
  <c r="L123" i="63"/>
  <c r="L124" i="63"/>
  <c r="L125" i="63"/>
  <c r="L126" i="63"/>
  <c r="L127" i="63"/>
  <c r="L128" i="63"/>
  <c r="L129" i="63"/>
  <c r="L130" i="63"/>
  <c r="L131" i="63"/>
  <c r="L132" i="63"/>
  <c r="L133" i="63"/>
  <c r="L134" i="63"/>
  <c r="L135" i="63"/>
  <c r="L136" i="63"/>
  <c r="L137" i="63"/>
  <c r="L138" i="63"/>
  <c r="L139" i="63"/>
  <c r="L140" i="63"/>
  <c r="L141" i="63"/>
  <c r="L142" i="63"/>
  <c r="L143" i="63"/>
  <c r="L144" i="63"/>
  <c r="L145" i="63"/>
  <c r="L146" i="63"/>
  <c r="L147" i="63"/>
  <c r="L148" i="63"/>
  <c r="L149" i="63"/>
  <c r="L150" i="63"/>
  <c r="L151" i="63"/>
  <c r="L152" i="63"/>
  <c r="L153" i="63"/>
  <c r="L154" i="63"/>
  <c r="L155" i="63"/>
  <c r="L156" i="63"/>
  <c r="L157" i="63"/>
  <c r="L158" i="63"/>
  <c r="L159" i="63"/>
  <c r="L160" i="63"/>
  <c r="L161" i="63"/>
  <c r="L162" i="63"/>
  <c r="L163" i="63"/>
  <c r="L164" i="63"/>
  <c r="L165" i="63"/>
  <c r="L166" i="63"/>
  <c r="L167" i="63"/>
  <c r="L168" i="63"/>
  <c r="L169" i="63"/>
  <c r="L170" i="63"/>
  <c r="L171" i="63"/>
  <c r="L172" i="63"/>
  <c r="L173" i="63"/>
  <c r="L174" i="63"/>
  <c r="L175" i="63"/>
  <c r="L176" i="63"/>
  <c r="L177" i="63"/>
  <c r="L178" i="63"/>
  <c r="L179" i="63"/>
  <c r="L180" i="63"/>
  <c r="L181" i="63"/>
  <c r="L182" i="63"/>
  <c r="L183" i="63"/>
  <c r="L184" i="63"/>
  <c r="L185" i="63"/>
  <c r="L186" i="63"/>
  <c r="L187" i="63"/>
  <c r="L188" i="63"/>
  <c r="L189" i="63"/>
  <c r="L190" i="63"/>
  <c r="L191" i="63"/>
  <c r="L192" i="63"/>
  <c r="L193" i="63"/>
  <c r="L194" i="63"/>
  <c r="L195" i="63"/>
  <c r="L196" i="63"/>
  <c r="L197" i="63"/>
  <c r="L198" i="63"/>
  <c r="L199" i="63"/>
  <c r="L200" i="63"/>
  <c r="L201" i="63"/>
  <c r="L202" i="63"/>
  <c r="L203" i="63"/>
  <c r="L204" i="63"/>
  <c r="L205" i="63"/>
  <c r="L206" i="63"/>
  <c r="L207" i="63"/>
  <c r="L208" i="63"/>
  <c r="L209" i="63"/>
  <c r="L210" i="63"/>
  <c r="L211" i="63"/>
  <c r="L212" i="63"/>
  <c r="L213" i="63"/>
  <c r="L214" i="63"/>
  <c r="L215" i="63"/>
  <c r="L216" i="63"/>
  <c r="L217" i="63"/>
  <c r="L218" i="63"/>
  <c r="L219" i="63"/>
  <c r="L220" i="63"/>
  <c r="L221" i="63"/>
  <c r="L222" i="63"/>
  <c r="L223" i="63"/>
  <c r="L224" i="63"/>
  <c r="L225" i="63"/>
  <c r="L226" i="63"/>
  <c r="L227" i="63"/>
  <c r="L228" i="63"/>
  <c r="L229" i="63"/>
  <c r="L230" i="63"/>
  <c r="L231" i="63"/>
  <c r="L232" i="63"/>
  <c r="L233" i="63"/>
  <c r="L234" i="63"/>
  <c r="L235" i="63"/>
  <c r="L236" i="63"/>
  <c r="L237" i="63"/>
  <c r="L238" i="63"/>
  <c r="L239" i="63"/>
  <c r="L240" i="63"/>
  <c r="L241" i="63"/>
  <c r="L242" i="63"/>
  <c r="L243" i="63"/>
  <c r="L244" i="63"/>
  <c r="L245" i="63"/>
  <c r="L246" i="63"/>
  <c r="L247" i="63"/>
  <c r="L248" i="63"/>
  <c r="L249" i="63"/>
  <c r="L250" i="63"/>
  <c r="L251" i="63"/>
  <c r="L252" i="63"/>
  <c r="L253" i="63"/>
  <c r="L254" i="63"/>
  <c r="L255" i="63"/>
  <c r="L256" i="63"/>
  <c r="L257" i="63"/>
  <c r="L10" i="63"/>
  <c r="K14" i="63"/>
  <c r="K15" i="63"/>
  <c r="K16" i="63"/>
  <c r="K17" i="63"/>
  <c r="K18" i="63"/>
  <c r="K19" i="63"/>
  <c r="K20" i="63"/>
  <c r="K21" i="63"/>
  <c r="K22" i="63"/>
  <c r="K23" i="63"/>
  <c r="K24" i="63"/>
  <c r="K25" i="63"/>
  <c r="K26" i="63"/>
  <c r="K27" i="63"/>
  <c r="K28" i="63"/>
  <c r="K29" i="63"/>
  <c r="K30" i="63"/>
  <c r="K31" i="63"/>
  <c r="K32" i="63"/>
  <c r="K33" i="63"/>
  <c r="K34" i="63"/>
  <c r="K35" i="63"/>
  <c r="K36" i="63"/>
  <c r="K37" i="63"/>
  <c r="K38" i="63"/>
  <c r="K39" i="63"/>
  <c r="K40" i="63"/>
  <c r="K41" i="63"/>
  <c r="K42" i="63"/>
  <c r="K43" i="63"/>
  <c r="K44" i="63"/>
  <c r="K45" i="63"/>
  <c r="K46" i="63"/>
  <c r="K47" i="63"/>
  <c r="K48" i="63"/>
  <c r="K49" i="63"/>
  <c r="K50" i="63"/>
  <c r="K51" i="63"/>
  <c r="K52" i="63"/>
  <c r="K53" i="63"/>
  <c r="K54" i="63"/>
  <c r="K55" i="63"/>
  <c r="K56" i="63"/>
  <c r="K57" i="63"/>
  <c r="K58" i="63"/>
  <c r="K59" i="63"/>
  <c r="K60" i="63"/>
  <c r="K61" i="63"/>
  <c r="K62" i="63"/>
  <c r="K63" i="63"/>
  <c r="K64" i="63"/>
  <c r="K65" i="63"/>
  <c r="K66" i="63"/>
  <c r="K67" i="63"/>
  <c r="K68" i="63"/>
  <c r="K69" i="63"/>
  <c r="K70" i="63"/>
  <c r="K71" i="63"/>
  <c r="K72" i="63"/>
  <c r="K73" i="63"/>
  <c r="K74" i="63"/>
  <c r="K75" i="63"/>
  <c r="K76" i="63"/>
  <c r="K77" i="63"/>
  <c r="K78" i="63"/>
  <c r="K79" i="63"/>
  <c r="K80" i="63"/>
  <c r="K81" i="63"/>
  <c r="K82" i="63"/>
  <c r="K83" i="63"/>
  <c r="K84" i="63"/>
  <c r="K85" i="63"/>
  <c r="K86" i="63"/>
  <c r="K87" i="63"/>
  <c r="K88" i="63"/>
  <c r="K89" i="63"/>
  <c r="K90" i="63"/>
  <c r="K91" i="63"/>
  <c r="K92" i="63"/>
  <c r="K93" i="63"/>
  <c r="K94" i="63"/>
  <c r="K95" i="63"/>
  <c r="K96" i="63"/>
  <c r="K97" i="63"/>
  <c r="K98" i="63"/>
  <c r="K99" i="63"/>
  <c r="K100" i="63"/>
  <c r="K101" i="63"/>
  <c r="K102" i="63"/>
  <c r="K103" i="63"/>
  <c r="K104" i="63"/>
  <c r="K105" i="63"/>
  <c r="K106" i="63"/>
  <c r="K107" i="63"/>
  <c r="K108" i="63"/>
  <c r="K109" i="63"/>
  <c r="K110" i="63"/>
  <c r="K111" i="63"/>
  <c r="K112" i="63"/>
  <c r="K113" i="63"/>
  <c r="K114" i="63"/>
  <c r="K115" i="63"/>
  <c r="K116" i="63"/>
  <c r="K117" i="63"/>
  <c r="K118" i="63"/>
  <c r="K119" i="63"/>
  <c r="K120" i="63"/>
  <c r="K121" i="63"/>
  <c r="K122" i="63"/>
  <c r="K123" i="63"/>
  <c r="K124" i="63"/>
  <c r="K125" i="63"/>
  <c r="K126" i="63"/>
  <c r="K127" i="63"/>
  <c r="K128" i="63"/>
  <c r="K129" i="63"/>
  <c r="K130" i="63"/>
  <c r="K131" i="63"/>
  <c r="K132" i="63"/>
  <c r="K133" i="63"/>
  <c r="K134" i="63"/>
  <c r="K135" i="63"/>
  <c r="K136" i="63"/>
  <c r="K137" i="63"/>
  <c r="K138" i="63"/>
  <c r="K139" i="63"/>
  <c r="K140" i="63"/>
  <c r="K141" i="63"/>
  <c r="K142" i="63"/>
  <c r="K143" i="63"/>
  <c r="K144" i="63"/>
  <c r="K145" i="63"/>
  <c r="K146" i="63"/>
  <c r="K147" i="63"/>
  <c r="K148" i="63"/>
  <c r="K149" i="63"/>
  <c r="K150" i="63"/>
  <c r="K151" i="63"/>
  <c r="K152" i="63"/>
  <c r="K153" i="63"/>
  <c r="K154" i="63"/>
  <c r="K155" i="63"/>
  <c r="K156" i="63"/>
  <c r="K157" i="63"/>
  <c r="K158" i="63"/>
  <c r="K159" i="63"/>
  <c r="K160" i="63"/>
  <c r="K161" i="63"/>
  <c r="K162" i="63"/>
  <c r="K163" i="63"/>
  <c r="K164" i="63"/>
  <c r="K165" i="63"/>
  <c r="K166" i="63"/>
  <c r="K167" i="63"/>
  <c r="K168" i="63"/>
  <c r="K169" i="63"/>
  <c r="K170" i="63"/>
  <c r="K171" i="63"/>
  <c r="K172" i="63"/>
  <c r="K173" i="63"/>
  <c r="K174" i="63"/>
  <c r="K175" i="63"/>
  <c r="K176" i="63"/>
  <c r="K177" i="63"/>
  <c r="K178" i="63"/>
  <c r="K179" i="63"/>
  <c r="K180" i="63"/>
  <c r="K181" i="63"/>
  <c r="K182" i="63"/>
  <c r="K183" i="63"/>
  <c r="K184" i="63"/>
  <c r="K185" i="63"/>
  <c r="K186" i="63"/>
  <c r="K187" i="63"/>
  <c r="K188" i="63"/>
  <c r="K189" i="63"/>
  <c r="K190" i="63"/>
  <c r="K191" i="63"/>
  <c r="K192" i="63"/>
  <c r="K193" i="63"/>
  <c r="K194" i="63"/>
  <c r="K195" i="63"/>
  <c r="K196" i="63"/>
  <c r="K197" i="63"/>
  <c r="K198" i="63"/>
  <c r="K199" i="63"/>
  <c r="K200" i="63"/>
  <c r="K201" i="63"/>
  <c r="K202" i="63"/>
  <c r="K203" i="63"/>
  <c r="K204" i="63"/>
  <c r="K205" i="63"/>
  <c r="K206" i="63"/>
  <c r="K207" i="63"/>
  <c r="K208" i="63"/>
  <c r="K209" i="63"/>
  <c r="K210" i="63"/>
  <c r="K211" i="63"/>
  <c r="K212" i="63"/>
  <c r="K213" i="63"/>
  <c r="K214" i="63"/>
  <c r="K215" i="63"/>
  <c r="K216" i="63"/>
  <c r="K217" i="63"/>
  <c r="K218" i="63"/>
  <c r="K219" i="63"/>
  <c r="K220" i="63"/>
  <c r="K221" i="63"/>
  <c r="K222" i="63"/>
  <c r="K223" i="63"/>
  <c r="K224" i="63"/>
  <c r="K225" i="63"/>
  <c r="K226" i="63"/>
  <c r="K227" i="63"/>
  <c r="K228" i="63"/>
  <c r="K229" i="63"/>
  <c r="K230" i="63"/>
  <c r="K231" i="63"/>
  <c r="K232" i="63"/>
  <c r="K233" i="63"/>
  <c r="K234" i="63"/>
  <c r="K235" i="63"/>
  <c r="K236" i="63"/>
  <c r="K237" i="63"/>
  <c r="K238" i="63"/>
  <c r="K239" i="63"/>
  <c r="K240" i="63"/>
  <c r="K241" i="63"/>
  <c r="K242" i="63"/>
  <c r="K243" i="63"/>
  <c r="K244" i="63"/>
  <c r="K245" i="63"/>
  <c r="K246" i="63"/>
  <c r="K247" i="63"/>
  <c r="K248" i="63"/>
  <c r="K249" i="63"/>
  <c r="K250" i="63"/>
  <c r="K251" i="63"/>
  <c r="K252" i="63"/>
  <c r="K253" i="63"/>
  <c r="K254" i="63"/>
  <c r="K255" i="63"/>
  <c r="K256" i="63"/>
  <c r="K257" i="63"/>
  <c r="K10" i="63"/>
  <c r="I11" i="63"/>
  <c r="I12" i="63"/>
  <c r="I13" i="63"/>
  <c r="I14" i="63"/>
  <c r="I15" i="63"/>
  <c r="I16" i="63"/>
  <c r="I17" i="63"/>
  <c r="I18" i="63"/>
  <c r="I19" i="63"/>
  <c r="I20" i="63"/>
  <c r="I21" i="63"/>
  <c r="I22" i="63"/>
  <c r="I23" i="63"/>
  <c r="I24" i="63"/>
  <c r="I25" i="63"/>
  <c r="I26" i="63"/>
  <c r="I27" i="63"/>
  <c r="I28" i="63"/>
  <c r="I29" i="63"/>
  <c r="I30" i="63"/>
  <c r="I31" i="63"/>
  <c r="I32" i="63"/>
  <c r="I33" i="63"/>
  <c r="I34" i="63"/>
  <c r="I35" i="63"/>
  <c r="I36" i="63"/>
  <c r="I37" i="63"/>
  <c r="I38" i="63"/>
  <c r="I39" i="63"/>
  <c r="I40" i="63"/>
  <c r="I41" i="63"/>
  <c r="I42" i="63"/>
  <c r="I43" i="63"/>
  <c r="I44" i="63"/>
  <c r="I45" i="63"/>
  <c r="I46" i="63"/>
  <c r="I47" i="63"/>
  <c r="I48" i="63"/>
  <c r="I49" i="63"/>
  <c r="I50" i="63"/>
  <c r="I51" i="63"/>
  <c r="I52" i="63"/>
  <c r="I53" i="63"/>
  <c r="I54" i="63"/>
  <c r="I55" i="63"/>
  <c r="I56" i="63"/>
  <c r="I57" i="63"/>
  <c r="I58" i="63"/>
  <c r="I59" i="63"/>
  <c r="I60" i="63"/>
  <c r="I61" i="63"/>
  <c r="I62" i="63"/>
  <c r="I63" i="63"/>
  <c r="I64" i="63"/>
  <c r="I65" i="63"/>
  <c r="I66" i="63"/>
  <c r="I67" i="63"/>
  <c r="I68" i="63"/>
  <c r="I69" i="63"/>
  <c r="I70" i="63"/>
  <c r="I71" i="63"/>
  <c r="I72" i="63"/>
  <c r="I73" i="63"/>
  <c r="I74" i="63"/>
  <c r="I75" i="63"/>
  <c r="I76" i="63"/>
  <c r="I77" i="63"/>
  <c r="I78" i="63"/>
  <c r="I79" i="63"/>
  <c r="I80" i="63"/>
  <c r="I81" i="63"/>
  <c r="I82" i="63"/>
  <c r="I83" i="63"/>
  <c r="I84" i="63"/>
  <c r="I85" i="63"/>
  <c r="I86" i="63"/>
  <c r="I87" i="63"/>
  <c r="I88" i="63"/>
  <c r="I89" i="63"/>
  <c r="I90" i="63"/>
  <c r="I91" i="63"/>
  <c r="I92" i="63"/>
  <c r="I93" i="63"/>
  <c r="I94" i="63"/>
  <c r="I95" i="63"/>
  <c r="I96" i="63"/>
  <c r="I97" i="63"/>
  <c r="I98" i="63"/>
  <c r="I99" i="63"/>
  <c r="I100" i="63"/>
  <c r="I101" i="63"/>
  <c r="I102" i="63"/>
  <c r="I103" i="63"/>
  <c r="I104" i="63"/>
  <c r="I105" i="63"/>
  <c r="I106" i="63"/>
  <c r="I107" i="63"/>
  <c r="I108" i="63"/>
  <c r="I109" i="63"/>
  <c r="I110" i="63"/>
  <c r="I111" i="63"/>
  <c r="I112" i="63"/>
  <c r="I113" i="63"/>
  <c r="I114" i="63"/>
  <c r="I115" i="63"/>
  <c r="I116" i="63"/>
  <c r="I117" i="63"/>
  <c r="I118" i="63"/>
  <c r="I119" i="63"/>
  <c r="I120" i="63"/>
  <c r="I121" i="63"/>
  <c r="I122" i="63"/>
  <c r="I123" i="63"/>
  <c r="I124" i="63"/>
  <c r="I125" i="63"/>
  <c r="I126" i="63"/>
  <c r="I127" i="63"/>
  <c r="I128" i="63"/>
  <c r="I129" i="63"/>
  <c r="I130" i="63"/>
  <c r="I131" i="63"/>
  <c r="I132" i="63"/>
  <c r="I133" i="63"/>
  <c r="I134" i="63"/>
  <c r="I135" i="63"/>
  <c r="I136" i="63"/>
  <c r="I137" i="63"/>
  <c r="I138" i="63"/>
  <c r="I139" i="63"/>
  <c r="I140" i="63"/>
  <c r="I141" i="63"/>
  <c r="I142" i="63"/>
  <c r="I143" i="63"/>
  <c r="I144" i="63"/>
  <c r="I145" i="63"/>
  <c r="I146" i="63"/>
  <c r="I147" i="63"/>
  <c r="I148" i="63"/>
  <c r="I149" i="63"/>
  <c r="I150" i="63"/>
  <c r="I151" i="63"/>
  <c r="I152" i="63"/>
  <c r="I153" i="63"/>
  <c r="I154" i="63"/>
  <c r="I155" i="63"/>
  <c r="I156" i="63"/>
  <c r="I157" i="63"/>
  <c r="I158" i="63"/>
  <c r="I159" i="63"/>
  <c r="I160" i="63"/>
  <c r="I161" i="63"/>
  <c r="I162" i="63"/>
  <c r="I163" i="63"/>
  <c r="I164" i="63"/>
  <c r="I165" i="63"/>
  <c r="I166" i="63"/>
  <c r="I167" i="63"/>
  <c r="I168" i="63"/>
  <c r="I169" i="63"/>
  <c r="I170" i="63"/>
  <c r="I171" i="63"/>
  <c r="I172" i="63"/>
  <c r="I173" i="63"/>
  <c r="I174" i="63"/>
  <c r="I175" i="63"/>
  <c r="I176" i="63"/>
  <c r="I177" i="63"/>
  <c r="I178" i="63"/>
  <c r="I179" i="63"/>
  <c r="I180" i="63"/>
  <c r="I181" i="63"/>
  <c r="I182" i="63"/>
  <c r="I183" i="63"/>
  <c r="I184" i="63"/>
  <c r="I185" i="63"/>
  <c r="I186" i="63"/>
  <c r="I187" i="63"/>
  <c r="I188" i="63"/>
  <c r="I189" i="63"/>
  <c r="I190" i="63"/>
  <c r="I191" i="63"/>
  <c r="I192" i="63"/>
  <c r="I193" i="63"/>
  <c r="I194" i="63"/>
  <c r="I195" i="63"/>
  <c r="I196" i="63"/>
  <c r="I197" i="63"/>
  <c r="I198" i="63"/>
  <c r="I199" i="63"/>
  <c r="I200" i="63"/>
  <c r="I201" i="63"/>
  <c r="I202" i="63"/>
  <c r="I203" i="63"/>
  <c r="I204" i="63"/>
  <c r="I205" i="63"/>
  <c r="I206" i="63"/>
  <c r="I207" i="63"/>
  <c r="I208" i="63"/>
  <c r="I209" i="63"/>
  <c r="I210" i="63"/>
  <c r="I211" i="63"/>
  <c r="I212" i="63"/>
  <c r="I213" i="63"/>
  <c r="I214" i="63"/>
  <c r="I215" i="63"/>
  <c r="I216" i="63"/>
  <c r="I217" i="63"/>
  <c r="I218" i="63"/>
  <c r="I219" i="63"/>
  <c r="I220" i="63"/>
  <c r="I221" i="63"/>
  <c r="I222" i="63"/>
  <c r="I223" i="63"/>
  <c r="I224" i="63"/>
  <c r="I225" i="63"/>
  <c r="I226" i="63"/>
  <c r="I227" i="63"/>
  <c r="I228" i="63"/>
  <c r="I229" i="63"/>
  <c r="I230" i="63"/>
  <c r="I231" i="63"/>
  <c r="I232" i="63"/>
  <c r="I233" i="63"/>
  <c r="I234" i="63"/>
  <c r="I235" i="63"/>
  <c r="I236" i="63"/>
  <c r="I237" i="63"/>
  <c r="I238" i="63"/>
  <c r="I239" i="63"/>
  <c r="I240" i="63"/>
  <c r="I241" i="63"/>
  <c r="I242" i="63"/>
  <c r="I243" i="63"/>
  <c r="I244" i="63"/>
  <c r="I245" i="63"/>
  <c r="I246" i="63"/>
  <c r="I247" i="63"/>
  <c r="I248" i="63"/>
  <c r="I249" i="63"/>
  <c r="I250" i="63"/>
  <c r="I251" i="63"/>
  <c r="I252" i="63"/>
  <c r="I253" i="63"/>
  <c r="I254" i="63"/>
  <c r="I255" i="63"/>
  <c r="I256" i="63"/>
  <c r="I257" i="63"/>
  <c r="I10" i="63"/>
  <c r="F11" i="63"/>
  <c r="G11" i="63" s="1"/>
  <c r="V11" i="63" s="1"/>
  <c r="H173" i="22" s="1"/>
  <c r="F12" i="63"/>
  <c r="G12" i="63" s="1"/>
  <c r="V12" i="63" s="1"/>
  <c r="F13" i="63"/>
  <c r="G13" i="63" s="1"/>
  <c r="V13" i="63" s="1"/>
  <c r="F14" i="63"/>
  <c r="G14" i="63" s="1"/>
  <c r="V14" i="63" s="1"/>
  <c r="F15" i="63"/>
  <c r="G15" i="63" s="1"/>
  <c r="V15" i="63" s="1"/>
  <c r="F16" i="63"/>
  <c r="G16" i="63" s="1"/>
  <c r="V16" i="63" s="1"/>
  <c r="F17" i="63"/>
  <c r="G17" i="63" s="1"/>
  <c r="F18" i="63"/>
  <c r="G18" i="63" s="1"/>
  <c r="V18" i="63" s="1"/>
  <c r="F19" i="63"/>
  <c r="G19" i="63" s="1"/>
  <c r="V19" i="63" s="1"/>
  <c r="F20" i="63"/>
  <c r="G20" i="63" s="1"/>
  <c r="V20" i="63" s="1"/>
  <c r="F21" i="63"/>
  <c r="G21" i="63" s="1"/>
  <c r="V21" i="63" s="1"/>
  <c r="F22" i="63"/>
  <c r="G22" i="63" s="1"/>
  <c r="V22" i="63" s="1"/>
  <c r="F23" i="63"/>
  <c r="G23" i="63" s="1"/>
  <c r="V23" i="63" s="1"/>
  <c r="F24" i="63"/>
  <c r="G24" i="63" s="1"/>
  <c r="V24" i="63" s="1"/>
  <c r="F25" i="63"/>
  <c r="G25" i="63" s="1"/>
  <c r="F26" i="63"/>
  <c r="G26" i="63" s="1"/>
  <c r="V26" i="63" s="1"/>
  <c r="F27" i="63"/>
  <c r="G27" i="63" s="1"/>
  <c r="V27" i="63" s="1"/>
  <c r="F28" i="63"/>
  <c r="G28" i="63" s="1"/>
  <c r="V28" i="63" s="1"/>
  <c r="F29" i="63"/>
  <c r="G29" i="63" s="1"/>
  <c r="V29" i="63" s="1"/>
  <c r="F30" i="63"/>
  <c r="G30" i="63" s="1"/>
  <c r="V30" i="63" s="1"/>
  <c r="F31" i="63"/>
  <c r="G31" i="63" s="1"/>
  <c r="V31" i="63" s="1"/>
  <c r="F32" i="63"/>
  <c r="G32" i="63" s="1"/>
  <c r="V32" i="63" s="1"/>
  <c r="F33" i="63"/>
  <c r="G33" i="63" s="1"/>
  <c r="F34" i="63"/>
  <c r="G34" i="63" s="1"/>
  <c r="V34" i="63" s="1"/>
  <c r="F35" i="63"/>
  <c r="G35" i="63" s="1"/>
  <c r="V35" i="63" s="1"/>
  <c r="F36" i="63"/>
  <c r="G36" i="63" s="1"/>
  <c r="V36" i="63" s="1"/>
  <c r="F37" i="63"/>
  <c r="G37" i="63" s="1"/>
  <c r="V37" i="63" s="1"/>
  <c r="F38" i="63"/>
  <c r="G38" i="63" s="1"/>
  <c r="V38" i="63" s="1"/>
  <c r="F39" i="63"/>
  <c r="G39" i="63" s="1"/>
  <c r="V39" i="63" s="1"/>
  <c r="F40" i="63"/>
  <c r="G40" i="63" s="1"/>
  <c r="V40" i="63" s="1"/>
  <c r="F41" i="63"/>
  <c r="G41" i="63" s="1"/>
  <c r="F42" i="63"/>
  <c r="G42" i="63" s="1"/>
  <c r="V42" i="63" s="1"/>
  <c r="F43" i="63"/>
  <c r="G43" i="63" s="1"/>
  <c r="V43" i="63" s="1"/>
  <c r="F44" i="63"/>
  <c r="G44" i="63" s="1"/>
  <c r="V44" i="63" s="1"/>
  <c r="F45" i="63"/>
  <c r="G45" i="63" s="1"/>
  <c r="V45" i="63" s="1"/>
  <c r="F46" i="63"/>
  <c r="G46" i="63" s="1"/>
  <c r="V46" i="63" s="1"/>
  <c r="F47" i="63"/>
  <c r="G47" i="63" s="1"/>
  <c r="V47" i="63" s="1"/>
  <c r="F48" i="63"/>
  <c r="G48" i="63" s="1"/>
  <c r="V48" i="63" s="1"/>
  <c r="F49" i="63"/>
  <c r="G49" i="63" s="1"/>
  <c r="F50" i="63"/>
  <c r="G50" i="63" s="1"/>
  <c r="V50" i="63" s="1"/>
  <c r="F51" i="63"/>
  <c r="G51" i="63" s="1"/>
  <c r="V51" i="63" s="1"/>
  <c r="F52" i="63"/>
  <c r="G52" i="63" s="1"/>
  <c r="V52" i="63" s="1"/>
  <c r="F53" i="63"/>
  <c r="G53" i="63" s="1"/>
  <c r="V53" i="63" s="1"/>
  <c r="F54" i="63"/>
  <c r="G54" i="63" s="1"/>
  <c r="V54" i="63" s="1"/>
  <c r="F55" i="63"/>
  <c r="G55" i="63" s="1"/>
  <c r="V55" i="63" s="1"/>
  <c r="F56" i="63"/>
  <c r="G56" i="63" s="1"/>
  <c r="V56" i="63" s="1"/>
  <c r="F57" i="63"/>
  <c r="G57" i="63" s="1"/>
  <c r="F58" i="63"/>
  <c r="G58" i="63" s="1"/>
  <c r="V58" i="63" s="1"/>
  <c r="F59" i="63"/>
  <c r="G59" i="63" s="1"/>
  <c r="V59" i="63" s="1"/>
  <c r="F60" i="63"/>
  <c r="G60" i="63" s="1"/>
  <c r="V60" i="63" s="1"/>
  <c r="F61" i="63"/>
  <c r="G61" i="63" s="1"/>
  <c r="V61" i="63" s="1"/>
  <c r="F62" i="63"/>
  <c r="G62" i="63" s="1"/>
  <c r="V62" i="63" s="1"/>
  <c r="F63" i="63"/>
  <c r="G63" i="63" s="1"/>
  <c r="V63" i="63" s="1"/>
  <c r="F64" i="63"/>
  <c r="G64" i="63" s="1"/>
  <c r="V64" i="63" s="1"/>
  <c r="F65" i="63"/>
  <c r="G65" i="63" s="1"/>
  <c r="F66" i="63"/>
  <c r="G66" i="63" s="1"/>
  <c r="V66" i="63" s="1"/>
  <c r="F67" i="63"/>
  <c r="G67" i="63" s="1"/>
  <c r="V67" i="63" s="1"/>
  <c r="F68" i="63"/>
  <c r="G68" i="63" s="1"/>
  <c r="V68" i="63" s="1"/>
  <c r="F69" i="63"/>
  <c r="G69" i="63" s="1"/>
  <c r="V69" i="63" s="1"/>
  <c r="F70" i="63"/>
  <c r="G70" i="63" s="1"/>
  <c r="V70" i="63" s="1"/>
  <c r="F71" i="63"/>
  <c r="G71" i="63" s="1"/>
  <c r="V71" i="63" s="1"/>
  <c r="F72" i="63"/>
  <c r="G72" i="63" s="1"/>
  <c r="V72" i="63" s="1"/>
  <c r="F73" i="63"/>
  <c r="G73" i="63" s="1"/>
  <c r="F74" i="63"/>
  <c r="G74" i="63" s="1"/>
  <c r="V74" i="63" s="1"/>
  <c r="F75" i="63"/>
  <c r="G75" i="63" s="1"/>
  <c r="V75" i="63" s="1"/>
  <c r="F76" i="63"/>
  <c r="G76" i="63" s="1"/>
  <c r="V76" i="63" s="1"/>
  <c r="F77" i="63"/>
  <c r="G77" i="63" s="1"/>
  <c r="V77" i="63" s="1"/>
  <c r="F78" i="63"/>
  <c r="G78" i="63" s="1"/>
  <c r="V78" i="63" s="1"/>
  <c r="F79" i="63"/>
  <c r="G79" i="63" s="1"/>
  <c r="V79" i="63" s="1"/>
  <c r="F80" i="63"/>
  <c r="G80" i="63" s="1"/>
  <c r="V80" i="63" s="1"/>
  <c r="F81" i="63"/>
  <c r="G81" i="63" s="1"/>
  <c r="F82" i="63"/>
  <c r="G82" i="63" s="1"/>
  <c r="V82" i="63" s="1"/>
  <c r="F83" i="63"/>
  <c r="G83" i="63" s="1"/>
  <c r="V83" i="63" s="1"/>
  <c r="F84" i="63"/>
  <c r="G84" i="63" s="1"/>
  <c r="V84" i="63" s="1"/>
  <c r="F85" i="63"/>
  <c r="G85" i="63" s="1"/>
  <c r="V85" i="63" s="1"/>
  <c r="F86" i="63"/>
  <c r="G86" i="63" s="1"/>
  <c r="V86" i="63" s="1"/>
  <c r="F87" i="63"/>
  <c r="G87" i="63" s="1"/>
  <c r="V87" i="63" s="1"/>
  <c r="F88" i="63"/>
  <c r="G88" i="63" s="1"/>
  <c r="V88" i="63" s="1"/>
  <c r="F89" i="63"/>
  <c r="G89" i="63" s="1"/>
  <c r="F90" i="63"/>
  <c r="G90" i="63" s="1"/>
  <c r="V90" i="63" s="1"/>
  <c r="F91" i="63"/>
  <c r="G91" i="63" s="1"/>
  <c r="V91" i="63" s="1"/>
  <c r="F92" i="63"/>
  <c r="G92" i="63" s="1"/>
  <c r="V92" i="63" s="1"/>
  <c r="F93" i="63"/>
  <c r="G93" i="63" s="1"/>
  <c r="V93" i="63" s="1"/>
  <c r="F94" i="63"/>
  <c r="G94" i="63" s="1"/>
  <c r="V94" i="63" s="1"/>
  <c r="F95" i="63"/>
  <c r="G95" i="63" s="1"/>
  <c r="V95" i="63" s="1"/>
  <c r="F96" i="63"/>
  <c r="G96" i="63" s="1"/>
  <c r="V96" i="63" s="1"/>
  <c r="F97" i="63"/>
  <c r="G97" i="63" s="1"/>
  <c r="F98" i="63"/>
  <c r="G98" i="63" s="1"/>
  <c r="V98" i="63" s="1"/>
  <c r="F99" i="63"/>
  <c r="G99" i="63" s="1"/>
  <c r="V99" i="63" s="1"/>
  <c r="F100" i="63"/>
  <c r="G100" i="63" s="1"/>
  <c r="V100" i="63" s="1"/>
  <c r="F101" i="63"/>
  <c r="G101" i="63" s="1"/>
  <c r="V101" i="63" s="1"/>
  <c r="F102" i="63"/>
  <c r="G102" i="63" s="1"/>
  <c r="V102" i="63" s="1"/>
  <c r="F103" i="63"/>
  <c r="G103" i="63" s="1"/>
  <c r="V103" i="63" s="1"/>
  <c r="F104" i="63"/>
  <c r="G104" i="63" s="1"/>
  <c r="V104" i="63" s="1"/>
  <c r="F105" i="63"/>
  <c r="G105" i="63" s="1"/>
  <c r="F106" i="63"/>
  <c r="G106" i="63" s="1"/>
  <c r="V106" i="63" s="1"/>
  <c r="F107" i="63"/>
  <c r="G107" i="63" s="1"/>
  <c r="V107" i="63" s="1"/>
  <c r="F108" i="63"/>
  <c r="G108" i="63" s="1"/>
  <c r="V108" i="63" s="1"/>
  <c r="F109" i="63"/>
  <c r="G109" i="63" s="1"/>
  <c r="V109" i="63" s="1"/>
  <c r="F110" i="63"/>
  <c r="G110" i="63" s="1"/>
  <c r="V110" i="63" s="1"/>
  <c r="F111" i="63"/>
  <c r="G111" i="63" s="1"/>
  <c r="V111" i="63" s="1"/>
  <c r="F112" i="63"/>
  <c r="G112" i="63" s="1"/>
  <c r="V112" i="63" s="1"/>
  <c r="F113" i="63"/>
  <c r="G113" i="63" s="1"/>
  <c r="F114" i="63"/>
  <c r="G114" i="63" s="1"/>
  <c r="V114" i="63" s="1"/>
  <c r="F115" i="63"/>
  <c r="G115" i="63" s="1"/>
  <c r="V115" i="63" s="1"/>
  <c r="F116" i="63"/>
  <c r="G116" i="63" s="1"/>
  <c r="V116" i="63" s="1"/>
  <c r="F117" i="63"/>
  <c r="G117" i="63" s="1"/>
  <c r="V117" i="63" s="1"/>
  <c r="F118" i="63"/>
  <c r="G118" i="63" s="1"/>
  <c r="V118" i="63" s="1"/>
  <c r="F119" i="63"/>
  <c r="G119" i="63" s="1"/>
  <c r="V119" i="63" s="1"/>
  <c r="F120" i="63"/>
  <c r="G120" i="63" s="1"/>
  <c r="V120" i="63" s="1"/>
  <c r="F121" i="63"/>
  <c r="G121" i="63" s="1"/>
  <c r="F122" i="63"/>
  <c r="G122" i="63" s="1"/>
  <c r="V122" i="63" s="1"/>
  <c r="F123" i="63"/>
  <c r="G123" i="63" s="1"/>
  <c r="V123" i="63" s="1"/>
  <c r="F124" i="63"/>
  <c r="G124" i="63" s="1"/>
  <c r="V124" i="63" s="1"/>
  <c r="F125" i="63"/>
  <c r="G125" i="63" s="1"/>
  <c r="V125" i="63" s="1"/>
  <c r="F126" i="63"/>
  <c r="G126" i="63" s="1"/>
  <c r="V126" i="63" s="1"/>
  <c r="F127" i="63"/>
  <c r="G127" i="63" s="1"/>
  <c r="V127" i="63" s="1"/>
  <c r="F128" i="63"/>
  <c r="G128" i="63" s="1"/>
  <c r="V128" i="63" s="1"/>
  <c r="F129" i="63"/>
  <c r="G129" i="63" s="1"/>
  <c r="F130" i="63"/>
  <c r="G130" i="63" s="1"/>
  <c r="V130" i="63" s="1"/>
  <c r="F131" i="63"/>
  <c r="G131" i="63" s="1"/>
  <c r="V131" i="63" s="1"/>
  <c r="F132" i="63"/>
  <c r="G132" i="63" s="1"/>
  <c r="V132" i="63" s="1"/>
  <c r="F133" i="63"/>
  <c r="G133" i="63" s="1"/>
  <c r="V133" i="63" s="1"/>
  <c r="F134" i="63"/>
  <c r="G134" i="63" s="1"/>
  <c r="V134" i="63" s="1"/>
  <c r="F135" i="63"/>
  <c r="G135" i="63" s="1"/>
  <c r="V135" i="63" s="1"/>
  <c r="F136" i="63"/>
  <c r="G136" i="63" s="1"/>
  <c r="V136" i="63" s="1"/>
  <c r="F137" i="63"/>
  <c r="G137" i="63" s="1"/>
  <c r="F138" i="63"/>
  <c r="G138" i="63" s="1"/>
  <c r="V138" i="63" s="1"/>
  <c r="F139" i="63"/>
  <c r="G139" i="63" s="1"/>
  <c r="V139" i="63" s="1"/>
  <c r="F140" i="63"/>
  <c r="G140" i="63" s="1"/>
  <c r="V140" i="63" s="1"/>
  <c r="F141" i="63"/>
  <c r="G141" i="63" s="1"/>
  <c r="V141" i="63" s="1"/>
  <c r="F142" i="63"/>
  <c r="G142" i="63" s="1"/>
  <c r="V142" i="63" s="1"/>
  <c r="F143" i="63"/>
  <c r="G143" i="63" s="1"/>
  <c r="V143" i="63" s="1"/>
  <c r="F144" i="63"/>
  <c r="G144" i="63" s="1"/>
  <c r="V144" i="63" s="1"/>
  <c r="F145" i="63"/>
  <c r="G145" i="63" s="1"/>
  <c r="F146" i="63"/>
  <c r="G146" i="63" s="1"/>
  <c r="V146" i="63" s="1"/>
  <c r="F147" i="63"/>
  <c r="G147" i="63" s="1"/>
  <c r="V147" i="63" s="1"/>
  <c r="F148" i="63"/>
  <c r="G148" i="63" s="1"/>
  <c r="V148" i="63" s="1"/>
  <c r="F149" i="63"/>
  <c r="G149" i="63" s="1"/>
  <c r="V149" i="63" s="1"/>
  <c r="F150" i="63"/>
  <c r="G150" i="63" s="1"/>
  <c r="V150" i="63" s="1"/>
  <c r="F151" i="63"/>
  <c r="G151" i="63" s="1"/>
  <c r="V151" i="63" s="1"/>
  <c r="F152" i="63"/>
  <c r="G152" i="63" s="1"/>
  <c r="V152" i="63" s="1"/>
  <c r="F153" i="63"/>
  <c r="G153" i="63" s="1"/>
  <c r="F154" i="63"/>
  <c r="G154" i="63" s="1"/>
  <c r="V154" i="63" s="1"/>
  <c r="F155" i="63"/>
  <c r="G155" i="63" s="1"/>
  <c r="V155" i="63" s="1"/>
  <c r="F156" i="63"/>
  <c r="G156" i="63" s="1"/>
  <c r="V156" i="63" s="1"/>
  <c r="F157" i="63"/>
  <c r="G157" i="63" s="1"/>
  <c r="V157" i="63" s="1"/>
  <c r="F158" i="63"/>
  <c r="G158" i="63" s="1"/>
  <c r="V158" i="63" s="1"/>
  <c r="F159" i="63"/>
  <c r="G159" i="63" s="1"/>
  <c r="V159" i="63" s="1"/>
  <c r="F160" i="63"/>
  <c r="G160" i="63" s="1"/>
  <c r="V160" i="63" s="1"/>
  <c r="F161" i="63"/>
  <c r="G161" i="63" s="1"/>
  <c r="F162" i="63"/>
  <c r="G162" i="63" s="1"/>
  <c r="V162" i="63" s="1"/>
  <c r="F163" i="63"/>
  <c r="G163" i="63" s="1"/>
  <c r="V163" i="63" s="1"/>
  <c r="F164" i="63"/>
  <c r="G164" i="63" s="1"/>
  <c r="V164" i="63" s="1"/>
  <c r="F165" i="63"/>
  <c r="G165" i="63" s="1"/>
  <c r="V165" i="63" s="1"/>
  <c r="F166" i="63"/>
  <c r="G166" i="63" s="1"/>
  <c r="V166" i="63" s="1"/>
  <c r="F167" i="63"/>
  <c r="G167" i="63" s="1"/>
  <c r="V167" i="63" s="1"/>
  <c r="F168" i="63"/>
  <c r="G168" i="63" s="1"/>
  <c r="V168" i="63" s="1"/>
  <c r="F169" i="63"/>
  <c r="G169" i="63" s="1"/>
  <c r="F170" i="63"/>
  <c r="G170" i="63" s="1"/>
  <c r="V170" i="63" s="1"/>
  <c r="F171" i="63"/>
  <c r="G171" i="63" s="1"/>
  <c r="V171" i="63" s="1"/>
  <c r="F172" i="63"/>
  <c r="G172" i="63" s="1"/>
  <c r="V172" i="63" s="1"/>
  <c r="F173" i="63"/>
  <c r="G173" i="63" s="1"/>
  <c r="V173" i="63" s="1"/>
  <c r="F174" i="63"/>
  <c r="G174" i="63" s="1"/>
  <c r="V174" i="63" s="1"/>
  <c r="F175" i="63"/>
  <c r="G175" i="63" s="1"/>
  <c r="V175" i="63" s="1"/>
  <c r="F176" i="63"/>
  <c r="G176" i="63" s="1"/>
  <c r="V176" i="63" s="1"/>
  <c r="F177" i="63"/>
  <c r="G177" i="63" s="1"/>
  <c r="F178" i="63"/>
  <c r="G178" i="63" s="1"/>
  <c r="V178" i="63" s="1"/>
  <c r="F179" i="63"/>
  <c r="G179" i="63" s="1"/>
  <c r="V179" i="63" s="1"/>
  <c r="F180" i="63"/>
  <c r="G180" i="63" s="1"/>
  <c r="V180" i="63" s="1"/>
  <c r="F181" i="63"/>
  <c r="G181" i="63" s="1"/>
  <c r="V181" i="63" s="1"/>
  <c r="F182" i="63"/>
  <c r="G182" i="63" s="1"/>
  <c r="V182" i="63" s="1"/>
  <c r="F183" i="63"/>
  <c r="G183" i="63" s="1"/>
  <c r="V183" i="63" s="1"/>
  <c r="F184" i="63"/>
  <c r="G184" i="63" s="1"/>
  <c r="V184" i="63" s="1"/>
  <c r="F185" i="63"/>
  <c r="G185" i="63" s="1"/>
  <c r="F186" i="63"/>
  <c r="G186" i="63" s="1"/>
  <c r="V186" i="63" s="1"/>
  <c r="F187" i="63"/>
  <c r="G187" i="63" s="1"/>
  <c r="V187" i="63" s="1"/>
  <c r="F188" i="63"/>
  <c r="G188" i="63" s="1"/>
  <c r="V188" i="63" s="1"/>
  <c r="F189" i="63"/>
  <c r="G189" i="63" s="1"/>
  <c r="V189" i="63" s="1"/>
  <c r="F190" i="63"/>
  <c r="G190" i="63" s="1"/>
  <c r="V190" i="63" s="1"/>
  <c r="F191" i="63"/>
  <c r="G191" i="63" s="1"/>
  <c r="V191" i="63" s="1"/>
  <c r="F192" i="63"/>
  <c r="G192" i="63" s="1"/>
  <c r="V192" i="63" s="1"/>
  <c r="F193" i="63"/>
  <c r="G193" i="63" s="1"/>
  <c r="F194" i="63"/>
  <c r="G194" i="63" s="1"/>
  <c r="V194" i="63" s="1"/>
  <c r="F195" i="63"/>
  <c r="G195" i="63" s="1"/>
  <c r="V195" i="63" s="1"/>
  <c r="F196" i="63"/>
  <c r="G196" i="63" s="1"/>
  <c r="V196" i="63" s="1"/>
  <c r="F197" i="63"/>
  <c r="G197" i="63" s="1"/>
  <c r="V197" i="63" s="1"/>
  <c r="F198" i="63"/>
  <c r="G198" i="63" s="1"/>
  <c r="V198" i="63" s="1"/>
  <c r="F199" i="63"/>
  <c r="G199" i="63" s="1"/>
  <c r="V199" i="63" s="1"/>
  <c r="F200" i="63"/>
  <c r="G200" i="63" s="1"/>
  <c r="V200" i="63" s="1"/>
  <c r="F201" i="63"/>
  <c r="G201" i="63" s="1"/>
  <c r="F202" i="63"/>
  <c r="G202" i="63" s="1"/>
  <c r="V202" i="63" s="1"/>
  <c r="F203" i="63"/>
  <c r="G203" i="63" s="1"/>
  <c r="V203" i="63" s="1"/>
  <c r="F204" i="63"/>
  <c r="G204" i="63" s="1"/>
  <c r="V204" i="63" s="1"/>
  <c r="F205" i="63"/>
  <c r="G205" i="63" s="1"/>
  <c r="V205" i="63" s="1"/>
  <c r="F206" i="63"/>
  <c r="G206" i="63" s="1"/>
  <c r="V206" i="63" s="1"/>
  <c r="F207" i="63"/>
  <c r="G207" i="63" s="1"/>
  <c r="V207" i="63" s="1"/>
  <c r="F208" i="63"/>
  <c r="G208" i="63" s="1"/>
  <c r="V208" i="63" s="1"/>
  <c r="F209" i="63"/>
  <c r="G209" i="63" s="1"/>
  <c r="F210" i="63"/>
  <c r="G210" i="63" s="1"/>
  <c r="V210" i="63" s="1"/>
  <c r="F211" i="63"/>
  <c r="G211" i="63" s="1"/>
  <c r="V211" i="63" s="1"/>
  <c r="F212" i="63"/>
  <c r="G212" i="63" s="1"/>
  <c r="V212" i="63" s="1"/>
  <c r="F213" i="63"/>
  <c r="G213" i="63" s="1"/>
  <c r="V213" i="63" s="1"/>
  <c r="F214" i="63"/>
  <c r="G214" i="63" s="1"/>
  <c r="V214" i="63" s="1"/>
  <c r="F215" i="63"/>
  <c r="G215" i="63" s="1"/>
  <c r="V215" i="63" s="1"/>
  <c r="F216" i="63"/>
  <c r="G216" i="63" s="1"/>
  <c r="V216" i="63" s="1"/>
  <c r="F217" i="63"/>
  <c r="G217" i="63" s="1"/>
  <c r="F218" i="63"/>
  <c r="G218" i="63" s="1"/>
  <c r="V218" i="63" s="1"/>
  <c r="F219" i="63"/>
  <c r="G219" i="63" s="1"/>
  <c r="V219" i="63" s="1"/>
  <c r="F220" i="63"/>
  <c r="G220" i="63" s="1"/>
  <c r="V220" i="63" s="1"/>
  <c r="F221" i="63"/>
  <c r="G221" i="63" s="1"/>
  <c r="V221" i="63" s="1"/>
  <c r="F222" i="63"/>
  <c r="G222" i="63" s="1"/>
  <c r="V222" i="63" s="1"/>
  <c r="F223" i="63"/>
  <c r="G223" i="63" s="1"/>
  <c r="V223" i="63" s="1"/>
  <c r="F224" i="63"/>
  <c r="G224" i="63" s="1"/>
  <c r="V224" i="63" s="1"/>
  <c r="F225" i="63"/>
  <c r="G225" i="63" s="1"/>
  <c r="F226" i="63"/>
  <c r="G226" i="63" s="1"/>
  <c r="V226" i="63" s="1"/>
  <c r="F227" i="63"/>
  <c r="G227" i="63" s="1"/>
  <c r="V227" i="63" s="1"/>
  <c r="F228" i="63"/>
  <c r="G228" i="63" s="1"/>
  <c r="V228" i="63" s="1"/>
  <c r="F229" i="63"/>
  <c r="G229" i="63" s="1"/>
  <c r="V229" i="63" s="1"/>
  <c r="F230" i="63"/>
  <c r="G230" i="63" s="1"/>
  <c r="V230" i="63" s="1"/>
  <c r="F231" i="63"/>
  <c r="G231" i="63" s="1"/>
  <c r="V231" i="63" s="1"/>
  <c r="F232" i="63"/>
  <c r="G232" i="63" s="1"/>
  <c r="V232" i="63" s="1"/>
  <c r="F233" i="63"/>
  <c r="G233" i="63" s="1"/>
  <c r="F234" i="63"/>
  <c r="G234" i="63" s="1"/>
  <c r="V234" i="63" s="1"/>
  <c r="F235" i="63"/>
  <c r="G235" i="63" s="1"/>
  <c r="V235" i="63" s="1"/>
  <c r="F236" i="63"/>
  <c r="G236" i="63" s="1"/>
  <c r="V236" i="63" s="1"/>
  <c r="F237" i="63"/>
  <c r="G237" i="63" s="1"/>
  <c r="V237" i="63" s="1"/>
  <c r="F238" i="63"/>
  <c r="G238" i="63" s="1"/>
  <c r="V238" i="63" s="1"/>
  <c r="F239" i="63"/>
  <c r="G239" i="63" s="1"/>
  <c r="V239" i="63" s="1"/>
  <c r="F240" i="63"/>
  <c r="G240" i="63" s="1"/>
  <c r="V240" i="63" s="1"/>
  <c r="F241" i="63"/>
  <c r="G241" i="63" s="1"/>
  <c r="F242" i="63"/>
  <c r="G242" i="63" s="1"/>
  <c r="V242" i="63" s="1"/>
  <c r="F243" i="63"/>
  <c r="G243" i="63" s="1"/>
  <c r="V243" i="63" s="1"/>
  <c r="F244" i="63"/>
  <c r="G244" i="63" s="1"/>
  <c r="V244" i="63" s="1"/>
  <c r="F245" i="63"/>
  <c r="G245" i="63" s="1"/>
  <c r="V245" i="63" s="1"/>
  <c r="F246" i="63"/>
  <c r="G246" i="63" s="1"/>
  <c r="V246" i="63" s="1"/>
  <c r="F247" i="63"/>
  <c r="G247" i="63" s="1"/>
  <c r="V247" i="63" s="1"/>
  <c r="F248" i="63"/>
  <c r="G248" i="63" s="1"/>
  <c r="V248" i="63" s="1"/>
  <c r="F249" i="63"/>
  <c r="G249" i="63" s="1"/>
  <c r="F250" i="63"/>
  <c r="G250" i="63" s="1"/>
  <c r="V250" i="63" s="1"/>
  <c r="F251" i="63"/>
  <c r="G251" i="63" s="1"/>
  <c r="V251" i="63" s="1"/>
  <c r="F252" i="63"/>
  <c r="G252" i="63" s="1"/>
  <c r="V252" i="63" s="1"/>
  <c r="F253" i="63"/>
  <c r="G253" i="63" s="1"/>
  <c r="V253" i="63" s="1"/>
  <c r="F254" i="63"/>
  <c r="G254" i="63" s="1"/>
  <c r="V254" i="63" s="1"/>
  <c r="F255" i="63"/>
  <c r="G255" i="63" s="1"/>
  <c r="V255" i="63" s="1"/>
  <c r="F256" i="63"/>
  <c r="G256" i="63" s="1"/>
  <c r="V256" i="63" s="1"/>
  <c r="F257" i="63"/>
  <c r="G257" i="63" s="1"/>
  <c r="F10" i="63"/>
  <c r="AJ259" i="69"/>
  <c r="AJ258" i="69"/>
  <c r="B3" i="69"/>
  <c r="B2" i="69"/>
  <c r="D260" i="68"/>
  <c r="U12" i="68"/>
  <c r="B3" i="68"/>
  <c r="B2" i="68"/>
  <c r="U258" i="67"/>
  <c r="T258" i="67"/>
  <c r="E258" i="67"/>
  <c r="AI257" i="67"/>
  <c r="AH257" i="67"/>
  <c r="AI256" i="67"/>
  <c r="AH256" i="67"/>
  <c r="AI255" i="67"/>
  <c r="AH255" i="67"/>
  <c r="AI254" i="67"/>
  <c r="AH254" i="67"/>
  <c r="AI253" i="67"/>
  <c r="AH253" i="67"/>
  <c r="AI252" i="67"/>
  <c r="AH252" i="67"/>
  <c r="AI251" i="67"/>
  <c r="AH251" i="67"/>
  <c r="AI250" i="67"/>
  <c r="AH250" i="67"/>
  <c r="AI249" i="67"/>
  <c r="AH249" i="67"/>
  <c r="AI248" i="67"/>
  <c r="AH248" i="67"/>
  <c r="AI247" i="67"/>
  <c r="AH247" i="67"/>
  <c r="AI246" i="67"/>
  <c r="AH246" i="67"/>
  <c r="AI245" i="67"/>
  <c r="AH245" i="67"/>
  <c r="AI244" i="67"/>
  <c r="AH244" i="67"/>
  <c r="AI243" i="67"/>
  <c r="AH243" i="67"/>
  <c r="AI242" i="67"/>
  <c r="AH242" i="67"/>
  <c r="AI241" i="67"/>
  <c r="AH241" i="67"/>
  <c r="AI240" i="67"/>
  <c r="AH240" i="67"/>
  <c r="AI239" i="67"/>
  <c r="AH239" i="67"/>
  <c r="AI238" i="67"/>
  <c r="AH238" i="67"/>
  <c r="AI237" i="67"/>
  <c r="AH237" i="67"/>
  <c r="AI236" i="67"/>
  <c r="AH236" i="67"/>
  <c r="AI235" i="67"/>
  <c r="AH235" i="67"/>
  <c r="AI234" i="67"/>
  <c r="AH234" i="67"/>
  <c r="AI233" i="67"/>
  <c r="AH233" i="67"/>
  <c r="AI232" i="67"/>
  <c r="AH232" i="67"/>
  <c r="AI231" i="67"/>
  <c r="AH231" i="67"/>
  <c r="AI230" i="67"/>
  <c r="AH230" i="67"/>
  <c r="AI229" i="67"/>
  <c r="AH229" i="67"/>
  <c r="AI228" i="67"/>
  <c r="AH228" i="67"/>
  <c r="AI227" i="67"/>
  <c r="AH227" i="67"/>
  <c r="AI226" i="67"/>
  <c r="AH226" i="67"/>
  <c r="AI225" i="67"/>
  <c r="AH225" i="67"/>
  <c r="AI224" i="67"/>
  <c r="AH224" i="67"/>
  <c r="AI223" i="67"/>
  <c r="AH223" i="67"/>
  <c r="AI222" i="67"/>
  <c r="AH222" i="67"/>
  <c r="AI221" i="67"/>
  <c r="AH221" i="67"/>
  <c r="AI220" i="67"/>
  <c r="AH220" i="67"/>
  <c r="AI219" i="67"/>
  <c r="AH219" i="67"/>
  <c r="AI218" i="67"/>
  <c r="AH218" i="67"/>
  <c r="AI217" i="67"/>
  <c r="AH217" i="67"/>
  <c r="AI216" i="67"/>
  <c r="AH216" i="67"/>
  <c r="AI215" i="67"/>
  <c r="AH215" i="67"/>
  <c r="AI214" i="67"/>
  <c r="AH214" i="67"/>
  <c r="AI213" i="67"/>
  <c r="AH213" i="67"/>
  <c r="AI212" i="67"/>
  <c r="AH212" i="67"/>
  <c r="AI211" i="67"/>
  <c r="AH211" i="67"/>
  <c r="AI210" i="67"/>
  <c r="AH210" i="67"/>
  <c r="AI209" i="67"/>
  <c r="AH209" i="67"/>
  <c r="AI208" i="67"/>
  <c r="AH208" i="67"/>
  <c r="AI207" i="67"/>
  <c r="AH207" i="67"/>
  <c r="AI206" i="67"/>
  <c r="AH206" i="67"/>
  <c r="AI205" i="67"/>
  <c r="AH205" i="67"/>
  <c r="AI204" i="67"/>
  <c r="AH204" i="67"/>
  <c r="AI203" i="67"/>
  <c r="AH203" i="67"/>
  <c r="AI202" i="67"/>
  <c r="AH202" i="67"/>
  <c r="AI201" i="67"/>
  <c r="AH201" i="67"/>
  <c r="AI200" i="67"/>
  <c r="AH200" i="67"/>
  <c r="AI199" i="67"/>
  <c r="AH199" i="67"/>
  <c r="AI198" i="67"/>
  <c r="AH198" i="67"/>
  <c r="AI197" i="67"/>
  <c r="AH197" i="67"/>
  <c r="AI196" i="67"/>
  <c r="AH196" i="67"/>
  <c r="AI195" i="67"/>
  <c r="AH195" i="67"/>
  <c r="AI194" i="67"/>
  <c r="AH194" i="67"/>
  <c r="AI193" i="67"/>
  <c r="AH193" i="67"/>
  <c r="AI192" i="67"/>
  <c r="AH192" i="67"/>
  <c r="AI191" i="67"/>
  <c r="AH191" i="67"/>
  <c r="AI190" i="67"/>
  <c r="AH190" i="67"/>
  <c r="AI189" i="67"/>
  <c r="AH189" i="67"/>
  <c r="AI188" i="67"/>
  <c r="AH188" i="67"/>
  <c r="AI187" i="67"/>
  <c r="AH187" i="67"/>
  <c r="AI186" i="67"/>
  <c r="AH186" i="67"/>
  <c r="AI185" i="67"/>
  <c r="AH185" i="67"/>
  <c r="AI184" i="67"/>
  <c r="AH184" i="67"/>
  <c r="AI183" i="67"/>
  <c r="AH183" i="67"/>
  <c r="AI182" i="67"/>
  <c r="AH182" i="67"/>
  <c r="AI181" i="67"/>
  <c r="AH181" i="67"/>
  <c r="AI180" i="67"/>
  <c r="AH180" i="67"/>
  <c r="AI179" i="67"/>
  <c r="AH179" i="67"/>
  <c r="AI178" i="67"/>
  <c r="AH178" i="67"/>
  <c r="AI177" i="67"/>
  <c r="AH177" i="67"/>
  <c r="AI176" i="67"/>
  <c r="AH176" i="67"/>
  <c r="AI175" i="67"/>
  <c r="AH175" i="67"/>
  <c r="AI174" i="67"/>
  <c r="AH174" i="67"/>
  <c r="AI173" i="67"/>
  <c r="AH173" i="67"/>
  <c r="AI172" i="67"/>
  <c r="AH172" i="67"/>
  <c r="AI171" i="67"/>
  <c r="AH171" i="67"/>
  <c r="AI170" i="67"/>
  <c r="AH170" i="67"/>
  <c r="AI169" i="67"/>
  <c r="AH169" i="67"/>
  <c r="AI168" i="67"/>
  <c r="AH168" i="67"/>
  <c r="AI167" i="67"/>
  <c r="AH167" i="67"/>
  <c r="AI166" i="67"/>
  <c r="AH166" i="67"/>
  <c r="AI165" i="67"/>
  <c r="AH165" i="67"/>
  <c r="AI164" i="67"/>
  <c r="AH164" i="67"/>
  <c r="AI163" i="67"/>
  <c r="AH163" i="67"/>
  <c r="AI162" i="67"/>
  <c r="AH162" i="67"/>
  <c r="AI161" i="67"/>
  <c r="AH161" i="67"/>
  <c r="AI160" i="67"/>
  <c r="AH160" i="67"/>
  <c r="AI159" i="67"/>
  <c r="AH159" i="67"/>
  <c r="AI158" i="67"/>
  <c r="AH158" i="67"/>
  <c r="AI157" i="67"/>
  <c r="AH157" i="67"/>
  <c r="AI156" i="67"/>
  <c r="AH156" i="67"/>
  <c r="AI155" i="67"/>
  <c r="AH155" i="67"/>
  <c r="AI154" i="67"/>
  <c r="AH154" i="67"/>
  <c r="AI153" i="67"/>
  <c r="AH153" i="67"/>
  <c r="AI152" i="67"/>
  <c r="AH152" i="67"/>
  <c r="AI151" i="67"/>
  <c r="AH151" i="67"/>
  <c r="AI150" i="67"/>
  <c r="AH150" i="67"/>
  <c r="AI149" i="67"/>
  <c r="AH149" i="67"/>
  <c r="AI148" i="67"/>
  <c r="AH148" i="67"/>
  <c r="AI147" i="67"/>
  <c r="AH147" i="67"/>
  <c r="AI146" i="67"/>
  <c r="AH146" i="67"/>
  <c r="AI145" i="67"/>
  <c r="AH145" i="67"/>
  <c r="AI144" i="67"/>
  <c r="AH144" i="67"/>
  <c r="AI143" i="67"/>
  <c r="AH143" i="67"/>
  <c r="AI142" i="67"/>
  <c r="AH142" i="67"/>
  <c r="AI141" i="67"/>
  <c r="AH141" i="67"/>
  <c r="AI140" i="67"/>
  <c r="AH140" i="67"/>
  <c r="AI139" i="67"/>
  <c r="AH139" i="67"/>
  <c r="AI138" i="67"/>
  <c r="AH138" i="67"/>
  <c r="AI137" i="67"/>
  <c r="AH137" i="67"/>
  <c r="AI136" i="67"/>
  <c r="AH136" i="67"/>
  <c r="AI135" i="67"/>
  <c r="AH135" i="67"/>
  <c r="AI134" i="67"/>
  <c r="AH134" i="67"/>
  <c r="AI133" i="67"/>
  <c r="AH133" i="67"/>
  <c r="AI132" i="67"/>
  <c r="AH132" i="67"/>
  <c r="AI131" i="67"/>
  <c r="AH131" i="67"/>
  <c r="AI130" i="67"/>
  <c r="AH130" i="67"/>
  <c r="AI129" i="67"/>
  <c r="AH129" i="67"/>
  <c r="AI128" i="67"/>
  <c r="AH128" i="67"/>
  <c r="AI127" i="67"/>
  <c r="AH127" i="67"/>
  <c r="AI126" i="67"/>
  <c r="AH126" i="67"/>
  <c r="AI125" i="67"/>
  <c r="AH125" i="67"/>
  <c r="AI124" i="67"/>
  <c r="AH124" i="67"/>
  <c r="AI123" i="67"/>
  <c r="AH123" i="67"/>
  <c r="AI122" i="67"/>
  <c r="AH122" i="67"/>
  <c r="AI121" i="67"/>
  <c r="AH121" i="67"/>
  <c r="AI120" i="67"/>
  <c r="AH120" i="67"/>
  <c r="AI119" i="67"/>
  <c r="AH119" i="67"/>
  <c r="AI118" i="67"/>
  <c r="AH118" i="67"/>
  <c r="AI117" i="67"/>
  <c r="AH117" i="67"/>
  <c r="AI116" i="67"/>
  <c r="AH116" i="67"/>
  <c r="AI115" i="67"/>
  <c r="AH115" i="67"/>
  <c r="AI114" i="67"/>
  <c r="AH114" i="67"/>
  <c r="AI113" i="67"/>
  <c r="AH113" i="67"/>
  <c r="AI112" i="67"/>
  <c r="AH112" i="67"/>
  <c r="AI111" i="67"/>
  <c r="AH111" i="67"/>
  <c r="AI110" i="67"/>
  <c r="AH110" i="67"/>
  <c r="AI109" i="67"/>
  <c r="AH109" i="67"/>
  <c r="AI108" i="67"/>
  <c r="AH108" i="67"/>
  <c r="AI107" i="67"/>
  <c r="AH107" i="67"/>
  <c r="AI106" i="67"/>
  <c r="AH106" i="67"/>
  <c r="AI105" i="67"/>
  <c r="AH105" i="67"/>
  <c r="AI104" i="67"/>
  <c r="AH104" i="67"/>
  <c r="AI103" i="67"/>
  <c r="AH103" i="67"/>
  <c r="AI102" i="67"/>
  <c r="AH102" i="67"/>
  <c r="AI101" i="67"/>
  <c r="AH101" i="67"/>
  <c r="AI100" i="67"/>
  <c r="AH100" i="67"/>
  <c r="AI99" i="67"/>
  <c r="AH99" i="67"/>
  <c r="AI98" i="67"/>
  <c r="AH98" i="67"/>
  <c r="AI97" i="67"/>
  <c r="AH97" i="67"/>
  <c r="AI96" i="67"/>
  <c r="AH96" i="67"/>
  <c r="AI95" i="67"/>
  <c r="AH95" i="67"/>
  <c r="AI94" i="67"/>
  <c r="AH94" i="67"/>
  <c r="AI93" i="67"/>
  <c r="AH93" i="67"/>
  <c r="AI92" i="67"/>
  <c r="AH92" i="67"/>
  <c r="AI91" i="67"/>
  <c r="AH91" i="67"/>
  <c r="AI90" i="67"/>
  <c r="AH90" i="67"/>
  <c r="AI89" i="67"/>
  <c r="AH89" i="67"/>
  <c r="AI88" i="67"/>
  <c r="AH88" i="67"/>
  <c r="AI87" i="67"/>
  <c r="AH87" i="67"/>
  <c r="AI86" i="67"/>
  <c r="AH86" i="67"/>
  <c r="AI85" i="67"/>
  <c r="AH85" i="67"/>
  <c r="AI84" i="67"/>
  <c r="AH84" i="67"/>
  <c r="AI83" i="67"/>
  <c r="AH83" i="67"/>
  <c r="AI82" i="67"/>
  <c r="AH82" i="67"/>
  <c r="AI81" i="67"/>
  <c r="AH81" i="67"/>
  <c r="AI80" i="67"/>
  <c r="AH80" i="67"/>
  <c r="AI79" i="67"/>
  <c r="AH79" i="67"/>
  <c r="AI78" i="67"/>
  <c r="AH78" i="67"/>
  <c r="AI77" i="67"/>
  <c r="AH77" i="67"/>
  <c r="AI76" i="67"/>
  <c r="AH76" i="67"/>
  <c r="AI75" i="67"/>
  <c r="AH75" i="67"/>
  <c r="AI74" i="67"/>
  <c r="AH74" i="67"/>
  <c r="AI73" i="67"/>
  <c r="AH73" i="67"/>
  <c r="AI72" i="67"/>
  <c r="AH72" i="67"/>
  <c r="AI71" i="67"/>
  <c r="AH71" i="67"/>
  <c r="AI70" i="67"/>
  <c r="AH70" i="67"/>
  <c r="AI69" i="67"/>
  <c r="AH69" i="67"/>
  <c r="AI68" i="67"/>
  <c r="AH68" i="67"/>
  <c r="AI67" i="67"/>
  <c r="AH67" i="67"/>
  <c r="AI66" i="67"/>
  <c r="AH66" i="67"/>
  <c r="AI65" i="67"/>
  <c r="AH65" i="67"/>
  <c r="AI64" i="67"/>
  <c r="AH64" i="67"/>
  <c r="AI63" i="67"/>
  <c r="AH63" i="67"/>
  <c r="AI62" i="67"/>
  <c r="AH62" i="67"/>
  <c r="AI61" i="67"/>
  <c r="AH61" i="67"/>
  <c r="AI60" i="67"/>
  <c r="AH60" i="67"/>
  <c r="AI59" i="67"/>
  <c r="AH59" i="67"/>
  <c r="AI58" i="67"/>
  <c r="AH58" i="67"/>
  <c r="AI57" i="67"/>
  <c r="AH57" i="67"/>
  <c r="AI56" i="67"/>
  <c r="AH56" i="67"/>
  <c r="AI55" i="67"/>
  <c r="AH55" i="67"/>
  <c r="AI54" i="67"/>
  <c r="AH54" i="67"/>
  <c r="AI53" i="67"/>
  <c r="AH53" i="67"/>
  <c r="AI52" i="67"/>
  <c r="AH52" i="67"/>
  <c r="AI51" i="67"/>
  <c r="AH51" i="67"/>
  <c r="AI50" i="67"/>
  <c r="AH50" i="67"/>
  <c r="AI49" i="67"/>
  <c r="AH49" i="67"/>
  <c r="AI48" i="67"/>
  <c r="AH48" i="67"/>
  <c r="AI47" i="67"/>
  <c r="AH47" i="67"/>
  <c r="AI46" i="67"/>
  <c r="AH46" i="67"/>
  <c r="AI45" i="67"/>
  <c r="AH45" i="67"/>
  <c r="AI44" i="67"/>
  <c r="AH44" i="67"/>
  <c r="AI43" i="67"/>
  <c r="AH43" i="67"/>
  <c r="AI42" i="67"/>
  <c r="AH42" i="67"/>
  <c r="AI41" i="67"/>
  <c r="AH41" i="67"/>
  <c r="AI40" i="67"/>
  <c r="AH40" i="67"/>
  <c r="AI39" i="67"/>
  <c r="AH39" i="67"/>
  <c r="AI38" i="67"/>
  <c r="AH38" i="67"/>
  <c r="AI37" i="67"/>
  <c r="AH37" i="67"/>
  <c r="AI36" i="67"/>
  <c r="AH36" i="67"/>
  <c r="AI35" i="67"/>
  <c r="AH35" i="67"/>
  <c r="AI34" i="67"/>
  <c r="AH34" i="67"/>
  <c r="AI33" i="67"/>
  <c r="AH33" i="67"/>
  <c r="AI32" i="67"/>
  <c r="AH32" i="67"/>
  <c r="AI31" i="67"/>
  <c r="AH31" i="67"/>
  <c r="AI30" i="67"/>
  <c r="AH30" i="67"/>
  <c r="AI29" i="67"/>
  <c r="AH29" i="67"/>
  <c r="AI28" i="67"/>
  <c r="AH28" i="67"/>
  <c r="AI27" i="67"/>
  <c r="AH27" i="67"/>
  <c r="AI26" i="67"/>
  <c r="AH26" i="67"/>
  <c r="AI25" i="67"/>
  <c r="AH25" i="67"/>
  <c r="AI24" i="67"/>
  <c r="AH24" i="67"/>
  <c r="AI23" i="67"/>
  <c r="AH23" i="67"/>
  <c r="AI22" i="67"/>
  <c r="AH22" i="67"/>
  <c r="AI21" i="67"/>
  <c r="AH21" i="67"/>
  <c r="AI20" i="67"/>
  <c r="AH20" i="67"/>
  <c r="AI19" i="67"/>
  <c r="AH19" i="67"/>
  <c r="AI18" i="67"/>
  <c r="AH18" i="67"/>
  <c r="AI17" i="67"/>
  <c r="AH17" i="67"/>
  <c r="AI16" i="67"/>
  <c r="AH16" i="67"/>
  <c r="AI15" i="67"/>
  <c r="AH15" i="67"/>
  <c r="AI14" i="67"/>
  <c r="AH14" i="67"/>
  <c r="AI13" i="67"/>
  <c r="AH13" i="67"/>
  <c r="AI12" i="67"/>
  <c r="AH12" i="67"/>
  <c r="AI11" i="67"/>
  <c r="AH11" i="67"/>
  <c r="AI10" i="67"/>
  <c r="AH10" i="67"/>
  <c r="B3" i="67"/>
  <c r="B2" i="67"/>
  <c r="AJ259" i="65"/>
  <c r="B3" i="65"/>
  <c r="B2" i="65"/>
  <c r="D260" i="64"/>
  <c r="B3" i="64"/>
  <c r="B2" i="64"/>
  <c r="U258" i="63"/>
  <c r="T258" i="63"/>
  <c r="E258" i="63"/>
  <c r="AI257" i="63"/>
  <c r="AH257" i="63"/>
  <c r="AI256" i="63"/>
  <c r="AH256" i="63"/>
  <c r="AI255" i="63"/>
  <c r="AH255" i="63"/>
  <c r="AI254" i="63"/>
  <c r="AH254" i="63"/>
  <c r="AI253" i="63"/>
  <c r="AH253" i="63"/>
  <c r="AI252" i="63"/>
  <c r="AH252" i="63"/>
  <c r="AI251" i="63"/>
  <c r="AH251" i="63"/>
  <c r="AI250" i="63"/>
  <c r="AH250" i="63"/>
  <c r="AI249" i="63"/>
  <c r="AH249" i="63"/>
  <c r="AI248" i="63"/>
  <c r="AH248" i="63"/>
  <c r="AI247" i="63"/>
  <c r="AH247" i="63"/>
  <c r="AI246" i="63"/>
  <c r="AH246" i="63"/>
  <c r="AI245" i="63"/>
  <c r="AH245" i="63"/>
  <c r="AI244" i="63"/>
  <c r="AH244" i="63"/>
  <c r="AI243" i="63"/>
  <c r="AH243" i="63"/>
  <c r="AI242" i="63"/>
  <c r="AH242" i="63"/>
  <c r="AI241" i="63"/>
  <c r="AH241" i="63"/>
  <c r="AI240" i="63"/>
  <c r="AH240" i="63"/>
  <c r="AI239" i="63"/>
  <c r="AH239" i="63"/>
  <c r="AI238" i="63"/>
  <c r="AH238" i="63"/>
  <c r="AI237" i="63"/>
  <c r="AH237" i="63"/>
  <c r="AI236" i="63"/>
  <c r="AH236" i="63"/>
  <c r="AI235" i="63"/>
  <c r="AH235" i="63"/>
  <c r="AI234" i="63"/>
  <c r="AH234" i="63"/>
  <c r="AI233" i="63"/>
  <c r="AH233" i="63"/>
  <c r="AI232" i="63"/>
  <c r="AH232" i="63"/>
  <c r="AI231" i="63"/>
  <c r="AH231" i="63"/>
  <c r="AI230" i="63"/>
  <c r="AH230" i="63"/>
  <c r="AI229" i="63"/>
  <c r="AH229" i="63"/>
  <c r="AI228" i="63"/>
  <c r="AH228" i="63"/>
  <c r="AI227" i="63"/>
  <c r="AH227" i="63"/>
  <c r="AI226" i="63"/>
  <c r="AH226" i="63"/>
  <c r="AI225" i="63"/>
  <c r="AH225" i="63"/>
  <c r="AI224" i="63"/>
  <c r="AH224" i="63"/>
  <c r="AI223" i="63"/>
  <c r="AH223" i="63"/>
  <c r="AI222" i="63"/>
  <c r="AH222" i="63"/>
  <c r="AI221" i="63"/>
  <c r="AH221" i="63"/>
  <c r="AI220" i="63"/>
  <c r="AH220" i="63"/>
  <c r="AI219" i="63"/>
  <c r="AH219" i="63"/>
  <c r="AI218" i="63"/>
  <c r="AH218" i="63"/>
  <c r="AI217" i="63"/>
  <c r="AH217" i="63"/>
  <c r="AI216" i="63"/>
  <c r="AH216" i="63"/>
  <c r="AI215" i="63"/>
  <c r="AH215" i="63"/>
  <c r="AI214" i="63"/>
  <c r="AH214" i="63"/>
  <c r="AI213" i="63"/>
  <c r="AH213" i="63"/>
  <c r="AI212" i="63"/>
  <c r="AH212" i="63"/>
  <c r="AI211" i="63"/>
  <c r="AH211" i="63"/>
  <c r="AI210" i="63"/>
  <c r="AH210" i="63"/>
  <c r="AI209" i="63"/>
  <c r="AH209" i="63"/>
  <c r="AI208" i="63"/>
  <c r="AH208" i="63"/>
  <c r="AI207" i="63"/>
  <c r="AH207" i="63"/>
  <c r="AI206" i="63"/>
  <c r="AH206" i="63"/>
  <c r="AI205" i="63"/>
  <c r="AH205" i="63"/>
  <c r="AI204" i="63"/>
  <c r="AH204" i="63"/>
  <c r="AI203" i="63"/>
  <c r="AH203" i="63"/>
  <c r="AI202" i="63"/>
  <c r="AH202" i="63"/>
  <c r="AI201" i="63"/>
  <c r="AH201" i="63"/>
  <c r="AI200" i="63"/>
  <c r="AH200" i="63"/>
  <c r="AI199" i="63"/>
  <c r="AH199" i="63"/>
  <c r="AI198" i="63"/>
  <c r="AH198" i="63"/>
  <c r="AI197" i="63"/>
  <c r="AH197" i="63"/>
  <c r="AI196" i="63"/>
  <c r="AH196" i="63"/>
  <c r="AI195" i="63"/>
  <c r="AH195" i="63"/>
  <c r="AI194" i="63"/>
  <c r="AH194" i="63"/>
  <c r="AI193" i="63"/>
  <c r="AH193" i="63"/>
  <c r="AI192" i="63"/>
  <c r="AH192" i="63"/>
  <c r="AI191" i="63"/>
  <c r="AH191" i="63"/>
  <c r="AI190" i="63"/>
  <c r="AH190" i="63"/>
  <c r="AI189" i="63"/>
  <c r="AH189" i="63"/>
  <c r="AI188" i="63"/>
  <c r="AH188" i="63"/>
  <c r="AI187" i="63"/>
  <c r="AH187" i="63"/>
  <c r="AI186" i="63"/>
  <c r="AH186" i="63"/>
  <c r="AI185" i="63"/>
  <c r="AH185" i="63"/>
  <c r="AI184" i="63"/>
  <c r="AH184" i="63"/>
  <c r="AI183" i="63"/>
  <c r="AH183" i="63"/>
  <c r="AI182" i="63"/>
  <c r="AH182" i="63"/>
  <c r="AI181" i="63"/>
  <c r="AH181" i="63"/>
  <c r="AI180" i="63"/>
  <c r="AH180" i="63"/>
  <c r="AI179" i="63"/>
  <c r="AH179" i="63"/>
  <c r="AI178" i="63"/>
  <c r="AH178" i="63"/>
  <c r="AI177" i="63"/>
  <c r="AH177" i="63"/>
  <c r="AI176" i="63"/>
  <c r="AH176" i="63"/>
  <c r="AI175" i="63"/>
  <c r="AH175" i="63"/>
  <c r="AI174" i="63"/>
  <c r="AH174" i="63"/>
  <c r="AI173" i="63"/>
  <c r="AH173" i="63"/>
  <c r="AI172" i="63"/>
  <c r="AH172" i="63"/>
  <c r="AI171" i="63"/>
  <c r="AH171" i="63"/>
  <c r="AI170" i="63"/>
  <c r="AH170" i="63"/>
  <c r="AI169" i="63"/>
  <c r="AH169" i="63"/>
  <c r="AI168" i="63"/>
  <c r="AH168" i="63"/>
  <c r="AI167" i="63"/>
  <c r="AH167" i="63"/>
  <c r="AI166" i="63"/>
  <c r="AH166" i="63"/>
  <c r="AI165" i="63"/>
  <c r="AH165" i="63"/>
  <c r="AI164" i="63"/>
  <c r="AH164" i="63"/>
  <c r="AI163" i="63"/>
  <c r="AH163" i="63"/>
  <c r="AI162" i="63"/>
  <c r="AH162" i="63"/>
  <c r="AI161" i="63"/>
  <c r="AH161" i="63"/>
  <c r="AI160" i="63"/>
  <c r="AH160" i="63"/>
  <c r="AI159" i="63"/>
  <c r="AH159" i="63"/>
  <c r="AI158" i="63"/>
  <c r="AH158" i="63"/>
  <c r="AI157" i="63"/>
  <c r="AH157" i="63"/>
  <c r="AI156" i="63"/>
  <c r="AH156" i="63"/>
  <c r="AI155" i="63"/>
  <c r="AH155" i="63"/>
  <c r="AI154" i="63"/>
  <c r="AH154" i="63"/>
  <c r="AI153" i="63"/>
  <c r="AH153" i="63"/>
  <c r="AI152" i="63"/>
  <c r="AH152" i="63"/>
  <c r="AI151" i="63"/>
  <c r="AH151" i="63"/>
  <c r="AI150" i="63"/>
  <c r="AH150" i="63"/>
  <c r="AI149" i="63"/>
  <c r="AH149" i="63"/>
  <c r="AI148" i="63"/>
  <c r="AH148" i="63"/>
  <c r="AI147" i="63"/>
  <c r="AH147" i="63"/>
  <c r="AI146" i="63"/>
  <c r="AH146" i="63"/>
  <c r="AI145" i="63"/>
  <c r="AH145" i="63"/>
  <c r="AI144" i="63"/>
  <c r="AH144" i="63"/>
  <c r="AI143" i="63"/>
  <c r="AH143" i="63"/>
  <c r="AI142" i="63"/>
  <c r="AH142" i="63"/>
  <c r="AI141" i="63"/>
  <c r="AH141" i="63"/>
  <c r="AI140" i="63"/>
  <c r="AH140" i="63"/>
  <c r="AI139" i="63"/>
  <c r="AH139" i="63"/>
  <c r="AI138" i="63"/>
  <c r="AH138" i="63"/>
  <c r="AI137" i="63"/>
  <c r="AH137" i="63"/>
  <c r="AI136" i="63"/>
  <c r="AH136" i="63"/>
  <c r="AI135" i="63"/>
  <c r="AH135" i="63"/>
  <c r="AI134" i="63"/>
  <c r="AH134" i="63"/>
  <c r="AI133" i="63"/>
  <c r="AH133" i="63"/>
  <c r="AI132" i="63"/>
  <c r="AH132" i="63"/>
  <c r="AI131" i="63"/>
  <c r="AH131" i="63"/>
  <c r="AI130" i="63"/>
  <c r="AH130" i="63"/>
  <c r="AI129" i="63"/>
  <c r="AH129" i="63"/>
  <c r="AI128" i="63"/>
  <c r="AH128" i="63"/>
  <c r="AI127" i="63"/>
  <c r="AH127" i="63"/>
  <c r="AI126" i="63"/>
  <c r="AH126" i="63"/>
  <c r="AI125" i="63"/>
  <c r="AH125" i="63"/>
  <c r="AI124" i="63"/>
  <c r="AH124" i="63"/>
  <c r="AI123" i="63"/>
  <c r="AH123" i="63"/>
  <c r="AI122" i="63"/>
  <c r="AH122" i="63"/>
  <c r="AI121" i="63"/>
  <c r="AH121" i="63"/>
  <c r="AI120" i="63"/>
  <c r="AH120" i="63"/>
  <c r="AI119" i="63"/>
  <c r="AH119" i="63"/>
  <c r="AI118" i="63"/>
  <c r="AH118" i="63"/>
  <c r="AI117" i="63"/>
  <c r="AH117" i="63"/>
  <c r="AI116" i="63"/>
  <c r="AH116" i="63"/>
  <c r="AI115" i="63"/>
  <c r="AH115" i="63"/>
  <c r="AI114" i="63"/>
  <c r="AH114" i="63"/>
  <c r="AI113" i="63"/>
  <c r="AH113" i="63"/>
  <c r="AI112" i="63"/>
  <c r="AH112" i="63"/>
  <c r="AI111" i="63"/>
  <c r="AH111" i="63"/>
  <c r="AI110" i="63"/>
  <c r="AH110" i="63"/>
  <c r="AI109" i="63"/>
  <c r="AH109" i="63"/>
  <c r="AI108" i="63"/>
  <c r="AH108" i="63"/>
  <c r="AI107" i="63"/>
  <c r="AH107" i="63"/>
  <c r="AI106" i="63"/>
  <c r="AH106" i="63"/>
  <c r="AI105" i="63"/>
  <c r="AH105" i="63"/>
  <c r="AI104" i="63"/>
  <c r="AH104" i="63"/>
  <c r="AI103" i="63"/>
  <c r="AH103" i="63"/>
  <c r="AI102" i="63"/>
  <c r="AH102" i="63"/>
  <c r="AI101" i="63"/>
  <c r="AH101" i="63"/>
  <c r="AI100" i="63"/>
  <c r="AH100" i="63"/>
  <c r="AI99" i="63"/>
  <c r="AH99" i="63"/>
  <c r="AI98" i="63"/>
  <c r="AH98" i="63"/>
  <c r="AI97" i="63"/>
  <c r="AH97" i="63"/>
  <c r="AI96" i="63"/>
  <c r="AH96" i="63"/>
  <c r="AI95" i="63"/>
  <c r="AH95" i="63"/>
  <c r="AI94" i="63"/>
  <c r="AH94" i="63"/>
  <c r="AI93" i="63"/>
  <c r="AH93" i="63"/>
  <c r="AI92" i="63"/>
  <c r="AH92" i="63"/>
  <c r="AI91" i="63"/>
  <c r="AH91" i="63"/>
  <c r="AI90" i="63"/>
  <c r="AH90" i="63"/>
  <c r="AI89" i="63"/>
  <c r="AH89" i="63"/>
  <c r="AI88" i="63"/>
  <c r="AH88" i="63"/>
  <c r="AI87" i="63"/>
  <c r="AH87" i="63"/>
  <c r="AI86" i="63"/>
  <c r="AH86" i="63"/>
  <c r="AI85" i="63"/>
  <c r="AH85" i="63"/>
  <c r="AI84" i="63"/>
  <c r="AH84" i="63"/>
  <c r="AI83" i="63"/>
  <c r="AH83" i="63"/>
  <c r="AI82" i="63"/>
  <c r="AH82" i="63"/>
  <c r="AI81" i="63"/>
  <c r="AH81" i="63"/>
  <c r="AI80" i="63"/>
  <c r="AH80" i="63"/>
  <c r="AI79" i="63"/>
  <c r="AH79" i="63"/>
  <c r="AI78" i="63"/>
  <c r="AH78" i="63"/>
  <c r="AI77" i="63"/>
  <c r="AH77" i="63"/>
  <c r="AI76" i="63"/>
  <c r="AH76" i="63"/>
  <c r="AI75" i="63"/>
  <c r="AH75" i="63"/>
  <c r="AI74" i="63"/>
  <c r="AH74" i="63"/>
  <c r="AI73" i="63"/>
  <c r="AH73" i="63"/>
  <c r="AI72" i="63"/>
  <c r="AH72" i="63"/>
  <c r="AI71" i="63"/>
  <c r="AH71" i="63"/>
  <c r="AI70" i="63"/>
  <c r="AH70" i="63"/>
  <c r="AI69" i="63"/>
  <c r="AH69" i="63"/>
  <c r="AI68" i="63"/>
  <c r="AH68" i="63"/>
  <c r="AI67" i="63"/>
  <c r="AH67" i="63"/>
  <c r="AI66" i="63"/>
  <c r="AH66" i="63"/>
  <c r="AI65" i="63"/>
  <c r="AH65" i="63"/>
  <c r="AI64" i="63"/>
  <c r="AH64" i="63"/>
  <c r="AI63" i="63"/>
  <c r="AH63" i="63"/>
  <c r="AI62" i="63"/>
  <c r="AH62" i="63"/>
  <c r="AI61" i="63"/>
  <c r="AH61" i="63"/>
  <c r="AI60" i="63"/>
  <c r="AH60" i="63"/>
  <c r="AI59" i="63"/>
  <c r="AH59" i="63"/>
  <c r="AI58" i="63"/>
  <c r="AH58" i="63"/>
  <c r="AI57" i="63"/>
  <c r="AH57" i="63"/>
  <c r="AI56" i="63"/>
  <c r="AH56" i="63"/>
  <c r="AI55" i="63"/>
  <c r="AH55" i="63"/>
  <c r="AI54" i="63"/>
  <c r="AH54" i="63"/>
  <c r="AI53" i="63"/>
  <c r="AH53" i="63"/>
  <c r="AI52" i="63"/>
  <c r="AH52" i="63"/>
  <c r="AI51" i="63"/>
  <c r="AH51" i="63"/>
  <c r="AI50" i="63"/>
  <c r="AH50" i="63"/>
  <c r="AI49" i="63"/>
  <c r="AH49" i="63"/>
  <c r="AI48" i="63"/>
  <c r="AH48" i="63"/>
  <c r="AI47" i="63"/>
  <c r="AH47" i="63"/>
  <c r="AI46" i="63"/>
  <c r="AH46" i="63"/>
  <c r="AI45" i="63"/>
  <c r="AH45" i="63"/>
  <c r="AI44" i="63"/>
  <c r="AH44" i="63"/>
  <c r="AI43" i="63"/>
  <c r="AH43" i="63"/>
  <c r="AI42" i="63"/>
  <c r="AH42" i="63"/>
  <c r="AI41" i="63"/>
  <c r="AH41" i="63"/>
  <c r="AI40" i="63"/>
  <c r="AH40" i="63"/>
  <c r="AI39" i="63"/>
  <c r="AH39" i="63"/>
  <c r="AI38" i="63"/>
  <c r="AH38" i="63"/>
  <c r="AI37" i="63"/>
  <c r="AH37" i="63"/>
  <c r="AI36" i="63"/>
  <c r="AH36" i="63"/>
  <c r="AI35" i="63"/>
  <c r="AH35" i="63"/>
  <c r="AI34" i="63"/>
  <c r="AH34" i="63"/>
  <c r="AI33" i="63"/>
  <c r="AH33" i="63"/>
  <c r="AI32" i="63"/>
  <c r="AH32" i="63"/>
  <c r="AI31" i="63"/>
  <c r="AH31" i="63"/>
  <c r="AI30" i="63"/>
  <c r="AH30" i="63"/>
  <c r="AI29" i="63"/>
  <c r="AH29" i="63"/>
  <c r="AI28" i="63"/>
  <c r="AH28" i="63"/>
  <c r="AI27" i="63"/>
  <c r="AH27" i="63"/>
  <c r="AI26" i="63"/>
  <c r="AH26" i="63"/>
  <c r="AI25" i="63"/>
  <c r="AH25" i="63"/>
  <c r="AI24" i="63"/>
  <c r="AH24" i="63"/>
  <c r="AI23" i="63"/>
  <c r="AH23" i="63"/>
  <c r="AI22" i="63"/>
  <c r="AH22" i="63"/>
  <c r="AI21" i="63"/>
  <c r="AH21" i="63"/>
  <c r="AI20" i="63"/>
  <c r="AH20" i="63"/>
  <c r="AI19" i="63"/>
  <c r="AH19" i="63"/>
  <c r="AI18" i="63"/>
  <c r="AH18" i="63"/>
  <c r="AI17" i="63"/>
  <c r="AH17" i="63"/>
  <c r="AI16" i="63"/>
  <c r="AH16" i="63"/>
  <c r="AI15" i="63"/>
  <c r="AH15" i="63"/>
  <c r="AI14" i="63"/>
  <c r="AH14" i="63"/>
  <c r="AI13" i="63"/>
  <c r="AH13" i="63"/>
  <c r="AI12" i="63"/>
  <c r="AH12" i="63"/>
  <c r="I172" i="22"/>
  <c r="AI11" i="63"/>
  <c r="AH11" i="63"/>
  <c r="AI10" i="63"/>
  <c r="AH10" i="63"/>
  <c r="I169" i="22"/>
  <c r="B3" i="63"/>
  <c r="B2" i="63"/>
  <c r="H24" i="36" l="1"/>
  <c r="V257" i="63"/>
  <c r="V249" i="63"/>
  <c r="V241" i="63"/>
  <c r="V233" i="63"/>
  <c r="V225" i="63"/>
  <c r="V217" i="63"/>
  <c r="V209" i="63"/>
  <c r="V201" i="63"/>
  <c r="V193" i="63"/>
  <c r="V185" i="63"/>
  <c r="V177" i="63"/>
  <c r="V169" i="63"/>
  <c r="V161" i="63"/>
  <c r="V153" i="63"/>
  <c r="V145" i="63"/>
  <c r="V137" i="63"/>
  <c r="V129" i="63"/>
  <c r="V121" i="63"/>
  <c r="V113" i="63"/>
  <c r="V105" i="63"/>
  <c r="V97" i="63"/>
  <c r="V89" i="63"/>
  <c r="V81" i="63"/>
  <c r="V73" i="63"/>
  <c r="V65" i="63"/>
  <c r="V57" i="63"/>
  <c r="V49" i="63"/>
  <c r="V41" i="63"/>
  <c r="V33" i="63"/>
  <c r="V25" i="63"/>
  <c r="V17" i="63"/>
  <c r="AE25" i="57"/>
  <c r="R25" i="57"/>
  <c r="AE25" i="53"/>
  <c r="R25" i="53"/>
  <c r="Y10" i="67"/>
  <c r="R14" i="63"/>
  <c r="R13" i="63"/>
  <c r="W11" i="63"/>
  <c r="K163" i="36"/>
  <c r="L163" i="36" s="1"/>
  <c r="K165" i="36"/>
  <c r="L165" i="36" s="1"/>
  <c r="K169" i="36"/>
  <c r="L169" i="36" s="1"/>
  <c r="K167" i="36"/>
  <c r="L167" i="36" s="1"/>
  <c r="AB22" i="57"/>
  <c r="AF22" i="57"/>
  <c r="H27" i="36"/>
  <c r="R12" i="63"/>
  <c r="R11" i="63"/>
  <c r="F173" i="22" s="1"/>
  <c r="D166" i="36" s="1"/>
  <c r="D206" i="36" s="1"/>
  <c r="G10" i="63"/>
  <c r="O259" i="64"/>
  <c r="P259" i="64" s="1"/>
  <c r="Q259" i="64" s="1"/>
  <c r="O258" i="64"/>
  <c r="P258" i="64" s="1"/>
  <c r="Q258" i="64" s="1"/>
  <c r="H21" i="36"/>
  <c r="Q12" i="68"/>
  <c r="AB12" i="68" s="1"/>
  <c r="AB260" i="68" s="1"/>
  <c r="S12" i="68"/>
  <c r="T12" i="68" s="1"/>
  <c r="Q15" i="64"/>
  <c r="Q14" i="64"/>
  <c r="Q13" i="64"/>
  <c r="Q12" i="64"/>
  <c r="O26" i="57"/>
  <c r="AG26" i="57" s="1"/>
  <c r="L26" i="57"/>
  <c r="AA22" i="57"/>
  <c r="X23" i="57"/>
  <c r="AJ25" i="57"/>
  <c r="AC25" i="57"/>
  <c r="AP25" i="57"/>
  <c r="AB23" i="53"/>
  <c r="AA23" i="53"/>
  <c r="AG25" i="53"/>
  <c r="AH25" i="53"/>
  <c r="AC25" i="53"/>
  <c r="AT25" i="53"/>
  <c r="N26" i="57"/>
  <c r="N26" i="53"/>
  <c r="AD25" i="57"/>
  <c r="AD25" i="53"/>
  <c r="X24" i="53"/>
  <c r="AF24" i="53" s="1"/>
  <c r="Q25" i="53"/>
  <c r="Q25" i="57"/>
  <c r="T24" i="57"/>
  <c r="AK25" i="52" a="1"/>
  <c r="AK25" i="52" s="1"/>
  <c r="B27" i="53" s="1"/>
  <c r="O27" i="53" s="1"/>
  <c r="G26" i="57"/>
  <c r="E26" i="57"/>
  <c r="P26" i="57"/>
  <c r="D26" i="57"/>
  <c r="C26" i="57"/>
  <c r="M26" i="57" s="1"/>
  <c r="K26" i="57"/>
  <c r="I26" i="57"/>
  <c r="H26" i="57"/>
  <c r="F26" i="57"/>
  <c r="J26" i="57"/>
  <c r="P26" i="53"/>
  <c r="L26" i="53"/>
  <c r="H26" i="53"/>
  <c r="D26" i="53"/>
  <c r="F26" i="53"/>
  <c r="I26" i="53"/>
  <c r="E26" i="53"/>
  <c r="K26" i="53"/>
  <c r="J26" i="53"/>
  <c r="G26" i="53"/>
  <c r="C26" i="53"/>
  <c r="AK25" i="55" a="1"/>
  <c r="AK25" i="55" s="1"/>
  <c r="B27" i="57" s="1"/>
  <c r="F255" i="64"/>
  <c r="F247" i="64"/>
  <c r="F239" i="64"/>
  <c r="F231" i="64"/>
  <c r="F223" i="64"/>
  <c r="F215" i="64"/>
  <c r="F207" i="64"/>
  <c r="F199" i="64"/>
  <c r="F191" i="64"/>
  <c r="F183" i="64"/>
  <c r="F175" i="64"/>
  <c r="F167" i="64"/>
  <c r="F159" i="64"/>
  <c r="F151" i="64"/>
  <c r="F143" i="64"/>
  <c r="F135" i="64"/>
  <c r="F127" i="64"/>
  <c r="F119" i="64"/>
  <c r="F111" i="64"/>
  <c r="F103" i="64"/>
  <c r="F95" i="64"/>
  <c r="F87" i="64"/>
  <c r="F79" i="64"/>
  <c r="F71" i="64"/>
  <c r="F63" i="64"/>
  <c r="F55" i="64"/>
  <c r="F47" i="64"/>
  <c r="F39" i="64"/>
  <c r="F31" i="64"/>
  <c r="F23" i="64"/>
  <c r="F15" i="64"/>
  <c r="F254" i="64"/>
  <c r="F246" i="64"/>
  <c r="F238" i="64"/>
  <c r="F230" i="64"/>
  <c r="F222" i="64"/>
  <c r="F214" i="64"/>
  <c r="F206" i="64"/>
  <c r="F198" i="64"/>
  <c r="F190" i="64"/>
  <c r="F182" i="64"/>
  <c r="F174" i="64"/>
  <c r="F166" i="64"/>
  <c r="F158" i="64"/>
  <c r="F150" i="64"/>
  <c r="F142" i="64"/>
  <c r="F134" i="64"/>
  <c r="F126" i="64"/>
  <c r="F118" i="64"/>
  <c r="F110" i="64"/>
  <c r="F102" i="64"/>
  <c r="F94" i="64"/>
  <c r="F86" i="64"/>
  <c r="F78" i="64"/>
  <c r="F70" i="64"/>
  <c r="F62" i="64"/>
  <c r="F54" i="64"/>
  <c r="F46" i="64"/>
  <c r="F38" i="64"/>
  <c r="F30" i="64"/>
  <c r="F22" i="64"/>
  <c r="F14" i="64"/>
  <c r="F253" i="64"/>
  <c r="F245" i="64"/>
  <c r="F237" i="64"/>
  <c r="F229" i="64"/>
  <c r="F221" i="64"/>
  <c r="F213" i="64"/>
  <c r="F205" i="64"/>
  <c r="F197" i="64"/>
  <c r="F189" i="64"/>
  <c r="F181" i="64"/>
  <c r="F173" i="64"/>
  <c r="F165" i="64"/>
  <c r="F157" i="64"/>
  <c r="F149" i="64"/>
  <c r="F141" i="64"/>
  <c r="F133" i="64"/>
  <c r="F125" i="64"/>
  <c r="F117" i="64"/>
  <c r="F109" i="64"/>
  <c r="F101" i="64"/>
  <c r="F93" i="64"/>
  <c r="F85" i="64"/>
  <c r="F77" i="64"/>
  <c r="F69" i="64"/>
  <c r="F61" i="64"/>
  <c r="F53" i="64"/>
  <c r="F45" i="64"/>
  <c r="F37" i="64"/>
  <c r="F29" i="64"/>
  <c r="F21" i="64"/>
  <c r="F13" i="64"/>
  <c r="F12" i="64"/>
  <c r="F252" i="64"/>
  <c r="F244" i="64"/>
  <c r="F236" i="64"/>
  <c r="F228" i="64"/>
  <c r="F220" i="64"/>
  <c r="F212" i="64"/>
  <c r="F204" i="64"/>
  <c r="F196" i="64"/>
  <c r="F188" i="64"/>
  <c r="F180" i="64"/>
  <c r="F172" i="64"/>
  <c r="F164" i="64"/>
  <c r="F156" i="64"/>
  <c r="F148" i="64"/>
  <c r="F140" i="64"/>
  <c r="F132" i="64"/>
  <c r="F124" i="64"/>
  <c r="F116" i="64"/>
  <c r="F108" i="64"/>
  <c r="F100" i="64"/>
  <c r="F92" i="64"/>
  <c r="F84" i="64"/>
  <c r="F76" i="64"/>
  <c r="F68" i="64"/>
  <c r="F60" i="64"/>
  <c r="F52" i="64"/>
  <c r="F44" i="64"/>
  <c r="F36" i="64"/>
  <c r="F28" i="64"/>
  <c r="F20" i="64"/>
  <c r="F251" i="64"/>
  <c r="F243" i="64"/>
  <c r="F235" i="64"/>
  <c r="F227" i="64"/>
  <c r="F219" i="64"/>
  <c r="F211" i="64"/>
  <c r="F203" i="64"/>
  <c r="F195" i="64"/>
  <c r="F187" i="64"/>
  <c r="F179" i="64"/>
  <c r="F171" i="64"/>
  <c r="F163" i="64"/>
  <c r="F155" i="64"/>
  <c r="F147" i="64"/>
  <c r="F139" i="64"/>
  <c r="F131" i="64"/>
  <c r="F123" i="64"/>
  <c r="F115" i="64"/>
  <c r="F107" i="64"/>
  <c r="F99" i="64"/>
  <c r="F91" i="64"/>
  <c r="F83" i="64"/>
  <c r="F75" i="64"/>
  <c r="F67" i="64"/>
  <c r="F59" i="64"/>
  <c r="F51" i="64"/>
  <c r="F43" i="64"/>
  <c r="F35" i="64"/>
  <c r="F27" i="64"/>
  <c r="F19" i="64"/>
  <c r="F250" i="64"/>
  <c r="F242" i="64"/>
  <c r="F234" i="64"/>
  <c r="F226" i="64"/>
  <c r="F218" i="64"/>
  <c r="F210" i="64"/>
  <c r="F202" i="64"/>
  <c r="F194" i="64"/>
  <c r="F186" i="64"/>
  <c r="F178" i="64"/>
  <c r="F170" i="64"/>
  <c r="F162" i="64"/>
  <c r="F154" i="64"/>
  <c r="F146" i="64"/>
  <c r="F138" i="64"/>
  <c r="F130" i="64"/>
  <c r="F122" i="64"/>
  <c r="F114" i="64"/>
  <c r="F106" i="64"/>
  <c r="F98" i="64"/>
  <c r="F90" i="64"/>
  <c r="F82" i="64"/>
  <c r="F74" i="64"/>
  <c r="F66" i="64"/>
  <c r="F58" i="64"/>
  <c r="F50" i="64"/>
  <c r="F42" i="64"/>
  <c r="F34" i="64"/>
  <c r="F26" i="64"/>
  <c r="F18" i="64"/>
  <c r="F257" i="64"/>
  <c r="F249" i="64"/>
  <c r="F241" i="64"/>
  <c r="F233" i="64"/>
  <c r="F225" i="64"/>
  <c r="F217" i="64"/>
  <c r="F209" i="64"/>
  <c r="F201" i="64"/>
  <c r="F193" i="64"/>
  <c r="F185" i="64"/>
  <c r="F177" i="64"/>
  <c r="F169" i="64"/>
  <c r="F161" i="64"/>
  <c r="F153" i="64"/>
  <c r="F145" i="64"/>
  <c r="F137" i="64"/>
  <c r="F129" i="64"/>
  <c r="F121" i="64"/>
  <c r="F113" i="64"/>
  <c r="F105" i="64"/>
  <c r="F97" i="64"/>
  <c r="F89" i="64"/>
  <c r="F81" i="64"/>
  <c r="F73" i="64"/>
  <c r="F65" i="64"/>
  <c r="F57" i="64"/>
  <c r="F49" i="64"/>
  <c r="F41" i="64"/>
  <c r="F33" i="64"/>
  <c r="F25" i="64"/>
  <c r="F17" i="64"/>
  <c r="F256" i="64"/>
  <c r="F248" i="64"/>
  <c r="F240" i="64"/>
  <c r="F232" i="64"/>
  <c r="F224" i="64"/>
  <c r="F216" i="64"/>
  <c r="F208" i="64"/>
  <c r="F200" i="64"/>
  <c r="F192" i="64"/>
  <c r="F184" i="64"/>
  <c r="F176" i="64"/>
  <c r="F168" i="64"/>
  <c r="F160" i="64"/>
  <c r="F152" i="64"/>
  <c r="F144" i="64"/>
  <c r="F136" i="64"/>
  <c r="F128" i="64"/>
  <c r="F120" i="64"/>
  <c r="F112" i="64"/>
  <c r="F104" i="64"/>
  <c r="F96" i="64"/>
  <c r="F88" i="64"/>
  <c r="F80" i="64"/>
  <c r="F72" i="64"/>
  <c r="F64" i="64"/>
  <c r="F56" i="64"/>
  <c r="F48" i="64"/>
  <c r="F40" i="64"/>
  <c r="F32" i="64"/>
  <c r="F24" i="64"/>
  <c r="F16" i="64"/>
  <c r="Z16" i="64" s="1"/>
  <c r="AM10" i="67" a="1"/>
  <c r="AM10" i="67" s="1"/>
  <c r="AM11" i="67" s="1" a="1"/>
  <c r="AM11" i="67" s="1"/>
  <c r="AM12" i="67" s="1" a="1"/>
  <c r="AM12" i="67" s="1"/>
  <c r="AN10" i="67" a="1"/>
  <c r="AN10" i="67" s="1"/>
  <c r="X258" i="67"/>
  <c r="AN10" i="63" a="1"/>
  <c r="AN10" i="63" s="1"/>
  <c r="AM10" i="63" a="1"/>
  <c r="AM10" i="63" s="1"/>
  <c r="AM11" i="63" s="1" a="1"/>
  <c r="AM11" i="63" s="1"/>
  <c r="H172" i="22"/>
  <c r="X258" i="63"/>
  <c r="L3" i="64" l="1"/>
  <c r="AE26" i="57"/>
  <c r="R26" i="57"/>
  <c r="AE26" i="53"/>
  <c r="R26" i="53"/>
  <c r="R10" i="63"/>
  <c r="F169" i="22" s="1"/>
  <c r="V10" i="63"/>
  <c r="W10" i="63"/>
  <c r="W258" i="63" s="1"/>
  <c r="Y11" i="63"/>
  <c r="J173" i="22" s="1"/>
  <c r="H30" i="36"/>
  <c r="AB23" i="57"/>
  <c r="AF23" i="57"/>
  <c r="F170" i="22"/>
  <c r="F172" i="22"/>
  <c r="Z15" i="64"/>
  <c r="Z14" i="64"/>
  <c r="Z13" i="64"/>
  <c r="Z12" i="64"/>
  <c r="X24" i="57"/>
  <c r="O27" i="57"/>
  <c r="AG27" i="57" s="1"/>
  <c r="L27" i="57"/>
  <c r="AA23" i="57"/>
  <c r="AJ26" i="57"/>
  <c r="AC26" i="57"/>
  <c r="AP26" i="57"/>
  <c r="AH26" i="53"/>
  <c r="AC26" i="53"/>
  <c r="AT26" i="53"/>
  <c r="AG26" i="53"/>
  <c r="AB24" i="53"/>
  <c r="AA24" i="53"/>
  <c r="N27" i="57"/>
  <c r="N27" i="53"/>
  <c r="AD26" i="57"/>
  <c r="AD26" i="53"/>
  <c r="AK26" i="52" a="1"/>
  <c r="AK26" i="52" s="1"/>
  <c r="B28" i="53" s="1"/>
  <c r="O28" i="53" s="1"/>
  <c r="Q26" i="53"/>
  <c r="H27" i="53"/>
  <c r="G27" i="53"/>
  <c r="P27" i="53"/>
  <c r="E27" i="53"/>
  <c r="D27" i="53"/>
  <c r="C27" i="53"/>
  <c r="L27" i="53"/>
  <c r="K27" i="53"/>
  <c r="I27" i="53"/>
  <c r="F27" i="53"/>
  <c r="J27" i="53"/>
  <c r="X25" i="53"/>
  <c r="AF25" i="53" s="1"/>
  <c r="I27" i="57"/>
  <c r="F27" i="57"/>
  <c r="E27" i="57"/>
  <c r="C27" i="57"/>
  <c r="M27" i="57" s="1"/>
  <c r="K27" i="57"/>
  <c r="J27" i="57"/>
  <c r="P27" i="57"/>
  <c r="H27" i="57"/>
  <c r="D27" i="57"/>
  <c r="G27" i="57"/>
  <c r="Q26" i="57"/>
  <c r="T25" i="57"/>
  <c r="AK26" i="55" a="1"/>
  <c r="AK26" i="55" s="1"/>
  <c r="B28" i="57" s="1"/>
  <c r="AN11" i="67" a="1"/>
  <c r="AN11" i="67" s="1"/>
  <c r="B12" i="69"/>
  <c r="L12" i="69" s="1"/>
  <c r="AN11" i="63" a="1"/>
  <c r="AN11" i="63" s="1"/>
  <c r="B12" i="65"/>
  <c r="R258" i="67"/>
  <c r="H22" i="73" s="1"/>
  <c r="V258" i="67"/>
  <c r="AM13" i="67" a="1"/>
  <c r="AM13" i="67" s="1"/>
  <c r="W258" i="67"/>
  <c r="AM12" i="63" a="1"/>
  <c r="AM12" i="63" s="1"/>
  <c r="L169" i="22" l="1"/>
  <c r="L173" i="22"/>
  <c r="R258" i="63"/>
  <c r="H10" i="73" s="1"/>
  <c r="AE27" i="57"/>
  <c r="R27" i="57"/>
  <c r="AE27" i="53"/>
  <c r="R27" i="53"/>
  <c r="Y10" i="63"/>
  <c r="J169" i="22" s="1"/>
  <c r="H169" i="22"/>
  <c r="H170" i="22"/>
  <c r="J170" i="22"/>
  <c r="V258" i="63"/>
  <c r="H25" i="36" s="1"/>
  <c r="AB24" i="57"/>
  <c r="AF24" i="57"/>
  <c r="D163" i="36"/>
  <c r="D203" i="36" s="1"/>
  <c r="D162" i="36"/>
  <c r="D202" i="36" s="1"/>
  <c r="D165" i="36"/>
  <c r="D205" i="36" s="1"/>
  <c r="J172" i="22"/>
  <c r="H28" i="36"/>
  <c r="Z260" i="64"/>
  <c r="C12" i="65"/>
  <c r="L12" i="65"/>
  <c r="AA24" i="57"/>
  <c r="X25" i="57"/>
  <c r="O28" i="57"/>
  <c r="AG28" i="57" s="1"/>
  <c r="L28" i="57"/>
  <c r="AJ27" i="57"/>
  <c r="AC27" i="57"/>
  <c r="AP27" i="57"/>
  <c r="AG27" i="53"/>
  <c r="AH27" i="53"/>
  <c r="AC27" i="53"/>
  <c r="AT27" i="53"/>
  <c r="AB25" i="53"/>
  <c r="AA25" i="53"/>
  <c r="N28" i="57"/>
  <c r="P28" i="53"/>
  <c r="N28" i="53"/>
  <c r="AD27" i="57"/>
  <c r="AD27" i="53"/>
  <c r="F28" i="53"/>
  <c r="K28" i="53"/>
  <c r="E28" i="53"/>
  <c r="I28" i="53"/>
  <c r="J28" i="53"/>
  <c r="G28" i="53"/>
  <c r="AK27" i="52" a="1"/>
  <c r="AK27" i="52" s="1"/>
  <c r="B29" i="53" s="1"/>
  <c r="O29" i="53" s="1"/>
  <c r="C28" i="53"/>
  <c r="H28" i="53"/>
  <c r="D28" i="53"/>
  <c r="L28" i="53"/>
  <c r="Q27" i="57"/>
  <c r="X26" i="53"/>
  <c r="AF26" i="53" s="1"/>
  <c r="T26" i="57"/>
  <c r="Q27" i="53"/>
  <c r="I28" i="57"/>
  <c r="H28" i="57"/>
  <c r="G28" i="57"/>
  <c r="E28" i="57"/>
  <c r="P28" i="57"/>
  <c r="D28" i="57"/>
  <c r="C28" i="57"/>
  <c r="M28" i="57" s="1"/>
  <c r="K28" i="57"/>
  <c r="F28" i="57"/>
  <c r="J28" i="57"/>
  <c r="AK27" i="55" a="1"/>
  <c r="AK27" i="55" s="1"/>
  <c r="B29" i="57" s="1"/>
  <c r="Y258" i="67"/>
  <c r="B13" i="69"/>
  <c r="L13" i="69" s="1"/>
  <c r="AN12" i="67" a="1"/>
  <c r="AN12" i="67" s="1"/>
  <c r="B14" i="69" s="1"/>
  <c r="L14" i="69" s="1"/>
  <c r="C12" i="69"/>
  <c r="AN12" i="63" a="1"/>
  <c r="AN12" i="63" s="1"/>
  <c r="B13" i="65"/>
  <c r="AM14" i="67" a="1"/>
  <c r="AM14" i="67" s="1"/>
  <c r="AM15" i="67" s="1" a="1"/>
  <c r="AM15" i="67" s="1"/>
  <c r="AM13" i="63" a="1"/>
  <c r="AM13" i="63" s="1"/>
  <c r="L121" i="29"/>
  <c r="L120" i="29"/>
  <c r="M128" i="29"/>
  <c r="L128" i="29"/>
  <c r="M129" i="29"/>
  <c r="P66" i="11" s="1"/>
  <c r="Q66" i="11" s="1"/>
  <c r="L129" i="29"/>
  <c r="M130" i="29"/>
  <c r="L130" i="29"/>
  <c r="H22" i="36" l="1"/>
  <c r="AE28" i="57"/>
  <c r="R28" i="57"/>
  <c r="AE28" i="53"/>
  <c r="R28" i="53"/>
  <c r="N12" i="69"/>
  <c r="N12" i="65"/>
  <c r="Y258" i="63"/>
  <c r="H31" i="36" s="1"/>
  <c r="AA25" i="57"/>
  <c r="AF25" i="57"/>
  <c r="P72" i="11"/>
  <c r="Q72" i="11" s="1"/>
  <c r="P71" i="11"/>
  <c r="D114" i="22"/>
  <c r="P51" i="11"/>
  <c r="Q51" i="11" s="1"/>
  <c r="X26" i="57"/>
  <c r="D12" i="65"/>
  <c r="E12" i="65" s="1"/>
  <c r="F12" i="65" s="1"/>
  <c r="G12" i="65" s="1"/>
  <c r="H12" i="65" s="1"/>
  <c r="I12" i="65" s="1"/>
  <c r="J12" i="65" s="1"/>
  <c r="K12" i="65" s="1"/>
  <c r="M12" i="65" s="1"/>
  <c r="C13" i="65"/>
  <c r="AM13" i="65" s="1"/>
  <c r="L13" i="65"/>
  <c r="AB25" i="57"/>
  <c r="L29" i="57"/>
  <c r="O29" i="57"/>
  <c r="AG29" i="57" s="1"/>
  <c r="AC28" i="57"/>
  <c r="AJ28" i="57"/>
  <c r="AP28" i="57"/>
  <c r="AB26" i="53"/>
  <c r="AA26" i="53"/>
  <c r="AG28" i="53"/>
  <c r="AH28" i="53"/>
  <c r="AC28" i="53"/>
  <c r="AT28" i="53"/>
  <c r="N29" i="57"/>
  <c r="N29" i="53"/>
  <c r="AD28" i="57"/>
  <c r="Q28" i="53"/>
  <c r="AD28" i="53"/>
  <c r="H29" i="53"/>
  <c r="F29" i="53"/>
  <c r="K29" i="53"/>
  <c r="C29" i="53"/>
  <c r="L29" i="53"/>
  <c r="G29" i="53"/>
  <c r="E29" i="53"/>
  <c r="D29" i="53"/>
  <c r="P29" i="53"/>
  <c r="AK28" i="52" a="1"/>
  <c r="AK28" i="52" s="1"/>
  <c r="B30" i="53" s="1"/>
  <c r="O30" i="53" s="1"/>
  <c r="J29" i="53"/>
  <c r="I29" i="53"/>
  <c r="P29" i="57"/>
  <c r="J29" i="57"/>
  <c r="G29" i="57"/>
  <c r="H29" i="57"/>
  <c r="D29" i="57"/>
  <c r="C29" i="57"/>
  <c r="M29" i="57" s="1"/>
  <c r="F29" i="57"/>
  <c r="E29" i="57"/>
  <c r="K29" i="57"/>
  <c r="I29" i="57"/>
  <c r="T27" i="57"/>
  <c r="Q28" i="57"/>
  <c r="X27" i="53"/>
  <c r="AF27" i="53" s="1"/>
  <c r="AK28" i="55" a="1"/>
  <c r="AK28" i="55" s="1"/>
  <c r="B30" i="57" s="1"/>
  <c r="AN13" i="67" a="1"/>
  <c r="AN13" i="67" s="1"/>
  <c r="D12" i="69"/>
  <c r="C14" i="69"/>
  <c r="AO14" i="69" s="1"/>
  <c r="C13" i="69"/>
  <c r="AO13" i="69" s="1"/>
  <c r="B14" i="65"/>
  <c r="L14" i="65" s="1"/>
  <c r="AN13" i="63" a="1"/>
  <c r="AN13" i="63" s="1"/>
  <c r="B15" i="65" s="1"/>
  <c r="L15" i="65" s="1"/>
  <c r="AM16" i="67" a="1"/>
  <c r="AM16" i="67" s="1"/>
  <c r="AM17" i="67" s="1" a="1"/>
  <c r="AM17" i="67" s="1"/>
  <c r="AM14" i="63" a="1"/>
  <c r="AM14" i="63" s="1"/>
  <c r="M126" i="29"/>
  <c r="L126" i="29"/>
  <c r="A131" i="22"/>
  <c r="F131" i="22" s="1"/>
  <c r="A130" i="22"/>
  <c r="F130" i="22" s="1"/>
  <c r="A129" i="22"/>
  <c r="D137" i="22"/>
  <c r="C137" i="22"/>
  <c r="B137" i="22"/>
  <c r="A137" i="22"/>
  <c r="F137" i="22" s="1"/>
  <c r="D136" i="22"/>
  <c r="C136" i="22"/>
  <c r="B136" i="22"/>
  <c r="A136" i="22"/>
  <c r="F136" i="22" s="1"/>
  <c r="D135" i="22"/>
  <c r="C135" i="22"/>
  <c r="B135" i="22"/>
  <c r="A135" i="22"/>
  <c r="F135" i="22" s="1"/>
  <c r="D134" i="22"/>
  <c r="C134" i="22"/>
  <c r="B134" i="22"/>
  <c r="A134" i="22"/>
  <c r="F134" i="22" s="1"/>
  <c r="D133" i="22"/>
  <c r="C133" i="22"/>
  <c r="B133" i="22"/>
  <c r="A133" i="22"/>
  <c r="F133" i="22" s="1"/>
  <c r="D132" i="22"/>
  <c r="C132" i="22"/>
  <c r="B132" i="22"/>
  <c r="A132" i="22"/>
  <c r="F132" i="22" s="1"/>
  <c r="D131" i="22"/>
  <c r="C131" i="22"/>
  <c r="B131" i="22"/>
  <c r="D130" i="22"/>
  <c r="C130" i="22"/>
  <c r="B130" i="22"/>
  <c r="A128" i="22"/>
  <c r="F128" i="22" s="1"/>
  <c r="A127" i="22"/>
  <c r="F127" i="22" s="1"/>
  <c r="B127" i="22"/>
  <c r="C127" i="22"/>
  <c r="R12" i="65" l="1"/>
  <c r="AE12" i="65"/>
  <c r="X28" i="53"/>
  <c r="AF28" i="53" s="1"/>
  <c r="AE29" i="57"/>
  <c r="R29" i="57"/>
  <c r="AE29" i="53"/>
  <c r="R29" i="53"/>
  <c r="AE12" i="69"/>
  <c r="AH12" i="69" s="1"/>
  <c r="AX12" i="69"/>
  <c r="AV12" i="65"/>
  <c r="Q12" i="65"/>
  <c r="AH12" i="65"/>
  <c r="U12" i="65"/>
  <c r="AA26" i="57"/>
  <c r="AF26" i="57"/>
  <c r="E127" i="22"/>
  <c r="S127" i="22"/>
  <c r="S131" i="22"/>
  <c r="E131" i="22"/>
  <c r="S133" i="22"/>
  <c r="E133" i="22"/>
  <c r="E135" i="22"/>
  <c r="S135" i="22"/>
  <c r="E137" i="22"/>
  <c r="S137" i="22"/>
  <c r="S132" i="22"/>
  <c r="E132" i="22"/>
  <c r="E134" i="22"/>
  <c r="S134" i="22"/>
  <c r="E136" i="22"/>
  <c r="S136" i="22"/>
  <c r="E130" i="22"/>
  <c r="S130" i="22"/>
  <c r="Q71" i="11"/>
  <c r="D127" i="22"/>
  <c r="P67" i="11"/>
  <c r="Q67" i="11" s="1"/>
  <c r="N13" i="65"/>
  <c r="AE13" i="65" s="1"/>
  <c r="I130" i="22"/>
  <c r="I132" i="22"/>
  <c r="W133" i="22"/>
  <c r="I135" i="22"/>
  <c r="AB26" i="57"/>
  <c r="D13" i="65"/>
  <c r="E13" i="65" s="1"/>
  <c r="F13" i="65" s="1"/>
  <c r="G13" i="65" s="1"/>
  <c r="H13" i="65" s="1"/>
  <c r="I13" i="65" s="1"/>
  <c r="J13" i="65" s="1"/>
  <c r="K13" i="65" s="1"/>
  <c r="M13" i="65" s="1"/>
  <c r="X27" i="57"/>
  <c r="O30" i="57"/>
  <c r="AG30" i="57" s="1"/>
  <c r="L30" i="57"/>
  <c r="AC29" i="57"/>
  <c r="AJ29" i="57"/>
  <c r="AP29" i="57"/>
  <c r="AH29" i="53"/>
  <c r="AC29" i="53"/>
  <c r="AT29" i="53"/>
  <c r="AG29" i="53"/>
  <c r="AB27" i="53"/>
  <c r="AA27" i="53"/>
  <c r="N30" i="57"/>
  <c r="L30" i="53"/>
  <c r="N30" i="53"/>
  <c r="AD29" i="57"/>
  <c r="AD29" i="53"/>
  <c r="Q29" i="53"/>
  <c r="AK29" i="52" a="1"/>
  <c r="AK29" i="52" s="1"/>
  <c r="B31" i="53" s="1"/>
  <c r="O31" i="53" s="1"/>
  <c r="G30" i="53"/>
  <c r="I30" i="53"/>
  <c r="P30" i="53"/>
  <c r="J30" i="53"/>
  <c r="D30" i="53"/>
  <c r="E30" i="53"/>
  <c r="K30" i="53"/>
  <c r="C30" i="53"/>
  <c r="F30" i="53"/>
  <c r="H30" i="53"/>
  <c r="T28" i="57"/>
  <c r="K30" i="57"/>
  <c r="I30" i="57"/>
  <c r="H30" i="57"/>
  <c r="G30" i="57"/>
  <c r="E30" i="57"/>
  <c r="P30" i="57"/>
  <c r="D30" i="57"/>
  <c r="C30" i="57"/>
  <c r="M30" i="57" s="1"/>
  <c r="F30" i="57"/>
  <c r="J30" i="57"/>
  <c r="Q29" i="57"/>
  <c r="AK29" i="55" a="1"/>
  <c r="AK29" i="55" s="1"/>
  <c r="B31" i="57" s="1"/>
  <c r="X127" i="22"/>
  <c r="AN14" i="67" a="1"/>
  <c r="AN14" i="67" s="1"/>
  <c r="B16" i="69" s="1"/>
  <c r="L16" i="69" s="1"/>
  <c r="B15" i="69"/>
  <c r="L15" i="69" s="1"/>
  <c r="D13" i="69"/>
  <c r="E13" i="69" s="1"/>
  <c r="F13" i="69" s="1"/>
  <c r="G13" i="69" s="1"/>
  <c r="H13" i="69" s="1"/>
  <c r="I13" i="69" s="1"/>
  <c r="J13" i="69" s="1"/>
  <c r="K13" i="69" s="1"/>
  <c r="M13" i="69" s="1"/>
  <c r="N13" i="69"/>
  <c r="AF13" i="69" s="1"/>
  <c r="D14" i="69"/>
  <c r="E14" i="69" s="1"/>
  <c r="F14" i="69" s="1"/>
  <c r="G14" i="69" s="1"/>
  <c r="H14" i="69" s="1"/>
  <c r="I14" i="69" s="1"/>
  <c r="J14" i="69" s="1"/>
  <c r="K14" i="69" s="1"/>
  <c r="M14" i="69" s="1"/>
  <c r="N14" i="69"/>
  <c r="R12" i="69"/>
  <c r="S12" i="69" s="1"/>
  <c r="Q12" i="69"/>
  <c r="U12" i="69"/>
  <c r="E12" i="69"/>
  <c r="F12" i="69" s="1"/>
  <c r="G12" i="69" s="1"/>
  <c r="H12" i="69" s="1"/>
  <c r="I12" i="69" s="1"/>
  <c r="J12" i="69" s="1"/>
  <c r="K12" i="69" s="1"/>
  <c r="M12" i="69" s="1"/>
  <c r="C15" i="65"/>
  <c r="AM15" i="65" s="1"/>
  <c r="C14" i="65"/>
  <c r="AN14" i="63" a="1"/>
  <c r="AN14" i="63" s="1"/>
  <c r="B16" i="65" s="1"/>
  <c r="L16" i="65" s="1"/>
  <c r="AM18" i="67" a="1"/>
  <c r="AM18" i="67" s="1"/>
  <c r="AM15" i="63" a="1"/>
  <c r="AM15" i="63" s="1"/>
  <c r="AM16" i="63" s="1" a="1"/>
  <c r="AM16" i="63" s="1"/>
  <c r="W132" i="22"/>
  <c r="W127" i="22"/>
  <c r="L127" i="22"/>
  <c r="I134" i="22"/>
  <c r="V127" i="22"/>
  <c r="W131" i="22"/>
  <c r="I133" i="22"/>
  <c r="W134" i="22"/>
  <c r="W130" i="22"/>
  <c r="V136" i="22"/>
  <c r="L136" i="22"/>
  <c r="H136" i="22"/>
  <c r="U136" i="22"/>
  <c r="K136" i="22"/>
  <c r="G136" i="22"/>
  <c r="V137" i="22"/>
  <c r="L137" i="22"/>
  <c r="H137" i="22"/>
  <c r="U137" i="22"/>
  <c r="K137" i="22"/>
  <c r="G137" i="22"/>
  <c r="V130" i="22"/>
  <c r="V132" i="22"/>
  <c r="L132" i="22"/>
  <c r="H132" i="22"/>
  <c r="J132" i="22"/>
  <c r="X132" i="22"/>
  <c r="V133" i="22"/>
  <c r="L133" i="22"/>
  <c r="H133" i="22"/>
  <c r="J133" i="22"/>
  <c r="X133" i="22"/>
  <c r="V134" i="22"/>
  <c r="L134" i="22"/>
  <c r="H134" i="22"/>
  <c r="J134" i="22"/>
  <c r="X134" i="22"/>
  <c r="V135" i="22"/>
  <c r="L135" i="22"/>
  <c r="H135" i="22"/>
  <c r="U135" i="22"/>
  <c r="J135" i="22"/>
  <c r="T135" i="22"/>
  <c r="T136" i="22"/>
  <c r="T137" i="22"/>
  <c r="K130" i="22"/>
  <c r="T130" i="22"/>
  <c r="K131" i="22"/>
  <c r="K132" i="22"/>
  <c r="T132" i="22"/>
  <c r="K133" i="22"/>
  <c r="T133" i="22"/>
  <c r="K134" i="22"/>
  <c r="T134" i="22"/>
  <c r="K135" i="22"/>
  <c r="W135" i="22"/>
  <c r="I136" i="22"/>
  <c r="W136" i="22"/>
  <c r="I137" i="22"/>
  <c r="W137" i="22"/>
  <c r="G130" i="22"/>
  <c r="U130" i="22"/>
  <c r="G131" i="22"/>
  <c r="U131" i="22"/>
  <c r="G132" i="22"/>
  <c r="U132" i="22"/>
  <c r="G133" i="22"/>
  <c r="U133" i="22"/>
  <c r="G134" i="22"/>
  <c r="U134" i="22"/>
  <c r="G135" i="22"/>
  <c r="X135" i="22"/>
  <c r="J136" i="22"/>
  <c r="X136" i="22"/>
  <c r="J137" i="22"/>
  <c r="X137" i="22"/>
  <c r="U127" i="22"/>
  <c r="K127" i="22"/>
  <c r="G127" i="22"/>
  <c r="T127" i="22"/>
  <c r="AB28" i="53" l="1"/>
  <c r="AA28" i="53"/>
  <c r="AE30" i="57"/>
  <c r="R30" i="57"/>
  <c r="AE30" i="53"/>
  <c r="R30" i="53"/>
  <c r="N14" i="65"/>
  <c r="AM14" i="65"/>
  <c r="AB27" i="57"/>
  <c r="AF27" i="57"/>
  <c r="AX14" i="69"/>
  <c r="AF14" i="69"/>
  <c r="AH13" i="65"/>
  <c r="I127" i="22"/>
  <c r="U13" i="65"/>
  <c r="AV13" i="65"/>
  <c r="Q13" i="65"/>
  <c r="R13" i="65"/>
  <c r="S13" i="65" s="1"/>
  <c r="O13" i="65" s="1"/>
  <c r="AX13" i="69"/>
  <c r="X28" i="57"/>
  <c r="AA27" i="57"/>
  <c r="O31" i="57"/>
  <c r="AG31" i="57" s="1"/>
  <c r="L31" i="57"/>
  <c r="AJ30" i="57"/>
  <c r="AC30" i="57"/>
  <c r="AP30" i="57"/>
  <c r="AH30" i="53"/>
  <c r="AT30" i="53"/>
  <c r="AC30" i="53"/>
  <c r="AG30" i="53"/>
  <c r="N31" i="57"/>
  <c r="N31" i="53"/>
  <c r="AD30" i="57"/>
  <c r="AD30" i="53"/>
  <c r="N15" i="65"/>
  <c r="X29" i="53"/>
  <c r="AF29" i="53" s="1"/>
  <c r="Q30" i="53"/>
  <c r="AK30" i="52" a="1"/>
  <c r="AK30" i="52" s="1"/>
  <c r="B32" i="53" s="1"/>
  <c r="O32" i="53" s="1"/>
  <c r="F31" i="53"/>
  <c r="K31" i="53"/>
  <c r="P31" i="53"/>
  <c r="H31" i="53"/>
  <c r="L31" i="53"/>
  <c r="J31" i="53"/>
  <c r="I31" i="53"/>
  <c r="C31" i="53"/>
  <c r="E31" i="53"/>
  <c r="G31" i="53"/>
  <c r="D31" i="53"/>
  <c r="T29" i="57"/>
  <c r="Q30" i="57"/>
  <c r="K31" i="57"/>
  <c r="I31" i="57"/>
  <c r="F31" i="57"/>
  <c r="C31" i="57"/>
  <c r="M31" i="57" s="1"/>
  <c r="E31" i="57"/>
  <c r="P31" i="57"/>
  <c r="J31" i="57"/>
  <c r="H31" i="57"/>
  <c r="D31" i="57"/>
  <c r="G31" i="57"/>
  <c r="AK30" i="55" a="1"/>
  <c r="AK30" i="55" s="1"/>
  <c r="B32" i="57" s="1"/>
  <c r="O12" i="69"/>
  <c r="P12" i="69" s="1"/>
  <c r="Y12" i="69" s="1"/>
  <c r="AE14" i="69"/>
  <c r="AH14" i="69" s="1"/>
  <c r="Q14" i="69"/>
  <c r="U14" i="69"/>
  <c r="R14" i="69"/>
  <c r="S14" i="69" s="1"/>
  <c r="O14" i="69" s="1"/>
  <c r="AN15" i="67" a="1"/>
  <c r="AN15" i="67" s="1"/>
  <c r="AE13" i="69"/>
  <c r="AH13" i="69" s="1"/>
  <c r="R13" i="69"/>
  <c r="S13" i="69" s="1"/>
  <c r="O13" i="69" s="1"/>
  <c r="Q13" i="69"/>
  <c r="U13" i="69"/>
  <c r="C15" i="69"/>
  <c r="C16" i="69"/>
  <c r="AO16" i="69" s="1"/>
  <c r="C16" i="65"/>
  <c r="AM16" i="65" s="1"/>
  <c r="D15" i="65"/>
  <c r="E15" i="65" s="1"/>
  <c r="F15" i="65" s="1"/>
  <c r="G15" i="65" s="1"/>
  <c r="H15" i="65" s="1"/>
  <c r="I15" i="65" s="1"/>
  <c r="J15" i="65" s="1"/>
  <c r="K15" i="65" s="1"/>
  <c r="M15" i="65" s="1"/>
  <c r="D14" i="65"/>
  <c r="E14" i="65" s="1"/>
  <c r="F14" i="65" s="1"/>
  <c r="G14" i="65" s="1"/>
  <c r="H14" i="65" s="1"/>
  <c r="I14" i="65" s="1"/>
  <c r="J14" i="65" s="1"/>
  <c r="K14" i="65" s="1"/>
  <c r="M14" i="65" s="1"/>
  <c r="AN15" i="63" a="1"/>
  <c r="AN15" i="63" s="1"/>
  <c r="AM19" i="67" a="1"/>
  <c r="AM19" i="67" s="1"/>
  <c r="AM17" i="63" a="1"/>
  <c r="AM17" i="63" s="1"/>
  <c r="E122" i="28"/>
  <c r="D122" i="28"/>
  <c r="C122" i="28"/>
  <c r="B122" i="28"/>
  <c r="D129" i="22"/>
  <c r="C129" i="22"/>
  <c r="B129" i="22"/>
  <c r="AF15" i="65" l="1"/>
  <c r="AE15" i="65"/>
  <c r="AF14" i="65"/>
  <c r="AE14" i="65"/>
  <c r="AE31" i="57"/>
  <c r="R31" i="57"/>
  <c r="AE31" i="53"/>
  <c r="R31" i="53"/>
  <c r="AV14" i="65"/>
  <c r="N15" i="69"/>
  <c r="AX15" i="69" s="1"/>
  <c r="AO15" i="69"/>
  <c r="AB28" i="57"/>
  <c r="AF28" i="57"/>
  <c r="AB12" i="69"/>
  <c r="AC12" i="69" s="1"/>
  <c r="E129" i="22"/>
  <c r="S129" i="22"/>
  <c r="P13" i="65"/>
  <c r="Y13" i="65" s="1"/>
  <c r="AB13" i="65" s="1"/>
  <c r="AC13" i="65" s="1"/>
  <c r="AF13" i="65" s="1"/>
  <c r="AV15" i="65"/>
  <c r="AA28" i="57"/>
  <c r="O32" i="57"/>
  <c r="AG32" i="57" s="1"/>
  <c r="L32" i="57"/>
  <c r="X29" i="57"/>
  <c r="AJ31" i="57"/>
  <c r="AC31" i="57"/>
  <c r="AP31" i="57"/>
  <c r="AB29" i="53"/>
  <c r="AA29" i="53"/>
  <c r="AG31" i="53"/>
  <c r="AH31" i="53"/>
  <c r="AT31" i="53"/>
  <c r="AC31" i="53"/>
  <c r="N32" i="57"/>
  <c r="N32" i="53"/>
  <c r="AH14" i="65"/>
  <c r="AH15" i="65"/>
  <c r="AD31" i="57"/>
  <c r="AD31" i="53"/>
  <c r="N16" i="65"/>
  <c r="AE16" i="65" s="1"/>
  <c r="X30" i="53"/>
  <c r="AF30" i="53" s="1"/>
  <c r="AK31" i="52" a="1"/>
  <c r="AK31" i="52" s="1"/>
  <c r="B33" i="53" s="1"/>
  <c r="O33" i="53" s="1"/>
  <c r="L32" i="53"/>
  <c r="C32" i="53"/>
  <c r="G32" i="53"/>
  <c r="P32" i="53"/>
  <c r="E32" i="53"/>
  <c r="F32" i="53"/>
  <c r="Q31" i="53"/>
  <c r="J32" i="53"/>
  <c r="I32" i="53"/>
  <c r="H32" i="53"/>
  <c r="D32" i="53"/>
  <c r="K32" i="53"/>
  <c r="T30" i="57"/>
  <c r="H32" i="57"/>
  <c r="G32" i="57"/>
  <c r="E32" i="57"/>
  <c r="P32" i="57"/>
  <c r="D32" i="57"/>
  <c r="C32" i="57"/>
  <c r="M32" i="57" s="1"/>
  <c r="K32" i="57"/>
  <c r="I32" i="57"/>
  <c r="F32" i="57"/>
  <c r="J32" i="57"/>
  <c r="Q31" i="57"/>
  <c r="AK31" i="55" a="1"/>
  <c r="AK31" i="55" s="1"/>
  <c r="B33" i="57" s="1"/>
  <c r="P14" i="69"/>
  <c r="Y14" i="69" s="1"/>
  <c r="AB14" i="69" s="1"/>
  <c r="AC14" i="69" s="1"/>
  <c r="P13" i="69"/>
  <c r="Y13" i="69" s="1"/>
  <c r="AN16" i="67" a="1"/>
  <c r="AN16" i="67" s="1"/>
  <c r="B18" i="69" s="1"/>
  <c r="L18" i="69" s="1"/>
  <c r="B17" i="69"/>
  <c r="L17" i="69" s="1"/>
  <c r="D16" i="69"/>
  <c r="E16" i="69" s="1"/>
  <c r="F16" i="69" s="1"/>
  <c r="G16" i="69" s="1"/>
  <c r="H16" i="69" s="1"/>
  <c r="I16" i="69" s="1"/>
  <c r="J16" i="69" s="1"/>
  <c r="K16" i="69" s="1"/>
  <c r="M16" i="69" s="1"/>
  <c r="N16" i="69"/>
  <c r="AF16" i="69" s="1"/>
  <c r="D15" i="69"/>
  <c r="U14" i="65"/>
  <c r="R14" i="65"/>
  <c r="S14" i="65" s="1"/>
  <c r="Q14" i="65"/>
  <c r="R15" i="65"/>
  <c r="S15" i="65" s="1"/>
  <c r="U15" i="65"/>
  <c r="Q15" i="65"/>
  <c r="AN16" i="63" a="1"/>
  <c r="AN16" i="63" s="1"/>
  <c r="B18" i="65" s="1"/>
  <c r="L18" i="65" s="1"/>
  <c r="B17" i="65"/>
  <c r="L17" i="65" s="1"/>
  <c r="D16" i="65"/>
  <c r="E16" i="65" s="1"/>
  <c r="F16" i="65" s="1"/>
  <c r="G16" i="65" s="1"/>
  <c r="H16" i="65" s="1"/>
  <c r="I16" i="65" s="1"/>
  <c r="J16" i="65" s="1"/>
  <c r="K16" i="65" s="1"/>
  <c r="M16" i="65" s="1"/>
  <c r="AM20" i="67" a="1"/>
  <c r="AM20" i="67" s="1"/>
  <c r="AM18" i="63" a="1"/>
  <c r="AM18" i="63" s="1"/>
  <c r="AM19" i="63" s="1" a="1"/>
  <c r="AM19" i="63" s="1"/>
  <c r="AM20" i="63" s="1" a="1"/>
  <c r="AM20" i="63" s="1"/>
  <c r="AM21" i="63" s="1" a="1"/>
  <c r="AM21" i="63" s="1"/>
  <c r="AM22" i="63" s="1" a="1"/>
  <c r="AM22" i="63" s="1"/>
  <c r="AM23" i="63" s="1" a="1"/>
  <c r="AM23" i="63" s="1"/>
  <c r="AM24" i="63" s="1" a="1"/>
  <c r="AM24" i="63" s="1"/>
  <c r="AM25" i="63" s="1" a="1"/>
  <c r="AM25" i="63" s="1"/>
  <c r="AM26" i="63" s="1" a="1"/>
  <c r="AM26" i="63" s="1"/>
  <c r="AM27" i="63" s="1" a="1"/>
  <c r="AM27" i="63" s="1"/>
  <c r="AM28" i="63" s="1" a="1"/>
  <c r="AM28" i="63" s="1"/>
  <c r="AM29" i="63" s="1" a="1"/>
  <c r="AM29" i="63" s="1"/>
  <c r="AM30" i="63" s="1" a="1"/>
  <c r="AM30" i="63" s="1"/>
  <c r="AM31" i="63" s="1" a="1"/>
  <c r="AM31" i="63" s="1"/>
  <c r="AM32" i="63" s="1" a="1"/>
  <c r="AM32" i="63" s="1"/>
  <c r="AM33" i="63" s="1" a="1"/>
  <c r="AM33" i="63" s="1"/>
  <c r="AM34" i="63" s="1" a="1"/>
  <c r="AM34" i="63" s="1"/>
  <c r="AM35" i="63" s="1" a="1"/>
  <c r="AM35" i="63" s="1"/>
  <c r="AM36" i="63" s="1" a="1"/>
  <c r="AM36" i="63" s="1"/>
  <c r="AM37" i="63" s="1" a="1"/>
  <c r="AM37" i="63" s="1"/>
  <c r="AM38" i="63" s="1" a="1"/>
  <c r="AM38" i="63" s="1"/>
  <c r="AM39" i="63" s="1" a="1"/>
  <c r="AM39" i="63" s="1"/>
  <c r="AM40" i="63" s="1" a="1"/>
  <c r="AM40" i="63" s="1"/>
  <c r="AM41" i="63" s="1" a="1"/>
  <c r="AM41" i="63" s="1"/>
  <c r="AM42" i="63" s="1" a="1"/>
  <c r="AM42" i="63" s="1"/>
  <c r="AM43" i="63" s="1" a="1"/>
  <c r="AM43" i="63" s="1"/>
  <c r="AM44" i="63" s="1" a="1"/>
  <c r="AM44" i="63" s="1"/>
  <c r="AM45" i="63" s="1" a="1"/>
  <c r="AM45" i="63" s="1"/>
  <c r="AM46" i="63" s="1" a="1"/>
  <c r="AM46" i="63" s="1"/>
  <c r="AM47" i="63" s="1" a="1"/>
  <c r="AM47" i="63" s="1"/>
  <c r="AM48" i="63" s="1" a="1"/>
  <c r="AM48" i="63" s="1"/>
  <c r="AM49" i="63" s="1" a="1"/>
  <c r="AM49" i="63" s="1"/>
  <c r="AM50" i="63" s="1" a="1"/>
  <c r="AM50" i="63" s="1"/>
  <c r="AM51" i="63" s="1" a="1"/>
  <c r="AM51" i="63" s="1"/>
  <c r="AM52" i="63" s="1" a="1"/>
  <c r="AM52" i="63" s="1"/>
  <c r="AM53" i="63" s="1" a="1"/>
  <c r="AM53" i="63" s="1"/>
  <c r="AM54" i="63" s="1" a="1"/>
  <c r="AM54" i="63" s="1"/>
  <c r="AM55" i="63" s="1" a="1"/>
  <c r="AM55" i="63" s="1"/>
  <c r="AM56" i="63" s="1" a="1"/>
  <c r="AM56" i="63" s="1"/>
  <c r="AM57" i="63" s="1" a="1"/>
  <c r="AM57" i="63" s="1"/>
  <c r="AM58" i="63" s="1" a="1"/>
  <c r="AM58" i="63" s="1"/>
  <c r="AM59" i="63" s="1" a="1"/>
  <c r="AM59" i="63" s="1"/>
  <c r="AM60" i="63" s="1" a="1"/>
  <c r="AM60" i="63" s="1"/>
  <c r="AM61" i="63" s="1" a="1"/>
  <c r="AM61" i="63" s="1"/>
  <c r="AM62" i="63" s="1" a="1"/>
  <c r="AM62" i="63" s="1"/>
  <c r="AM63" i="63" s="1" a="1"/>
  <c r="AM63" i="63" s="1"/>
  <c r="AM64" i="63" s="1" a="1"/>
  <c r="AM64" i="63" s="1"/>
  <c r="AM65" i="63" s="1" a="1"/>
  <c r="AM65" i="63" s="1"/>
  <c r="AM66" i="63" s="1" a="1"/>
  <c r="AM66" i="63" s="1"/>
  <c r="AM67" i="63" s="1" a="1"/>
  <c r="AM67" i="63" s="1"/>
  <c r="AM68" i="63" s="1" a="1"/>
  <c r="AM68" i="63" s="1"/>
  <c r="AM69" i="63" s="1" a="1"/>
  <c r="AM69" i="63" s="1"/>
  <c r="AM70" i="63" s="1" a="1"/>
  <c r="AM70" i="63" s="1"/>
  <c r="AM71" i="63" s="1" a="1"/>
  <c r="AM71" i="63" s="1"/>
  <c r="AM72" i="63" s="1" a="1"/>
  <c r="AM72" i="63" s="1"/>
  <c r="AM73" i="63" s="1" a="1"/>
  <c r="AM73" i="63" s="1"/>
  <c r="AM74" i="63" s="1" a="1"/>
  <c r="AM74" i="63" s="1"/>
  <c r="AM75" i="63" s="1" a="1"/>
  <c r="AM75" i="63" s="1"/>
  <c r="AM76" i="63" s="1" a="1"/>
  <c r="AM76" i="63" s="1"/>
  <c r="AM77" i="63" s="1" a="1"/>
  <c r="AM77" i="63" s="1"/>
  <c r="AM78" i="63" s="1" a="1"/>
  <c r="AM78" i="63" s="1"/>
  <c r="AM79" i="63" s="1" a="1"/>
  <c r="AM79" i="63" s="1"/>
  <c r="AM80" i="63" s="1" a="1"/>
  <c r="AM80" i="63" s="1"/>
  <c r="AM81" i="63" s="1" a="1"/>
  <c r="AM81" i="63" s="1"/>
  <c r="AM82" i="63" s="1" a="1"/>
  <c r="AM82" i="63" s="1"/>
  <c r="AM83" i="63" s="1" a="1"/>
  <c r="AM83" i="63" s="1"/>
  <c r="AM84" i="63" s="1" a="1"/>
  <c r="AM84" i="63" s="1"/>
  <c r="AM85" i="63" s="1" a="1"/>
  <c r="AM85" i="63" s="1"/>
  <c r="AM86" i="63" s="1" a="1"/>
  <c r="AM86" i="63" s="1"/>
  <c r="AM87" i="63" s="1" a="1"/>
  <c r="AM87" i="63" s="1"/>
  <c r="AM88" i="63" s="1" a="1"/>
  <c r="AM88" i="63" s="1"/>
  <c r="AM89" i="63" s="1" a="1"/>
  <c r="AM89" i="63" s="1"/>
  <c r="AM90" i="63" s="1" a="1"/>
  <c r="AM90" i="63" s="1"/>
  <c r="AM91" i="63" s="1" a="1"/>
  <c r="AM91" i="63" s="1"/>
  <c r="AM92" i="63" s="1" a="1"/>
  <c r="AM92" i="63" s="1"/>
  <c r="AM93" i="63" s="1" a="1"/>
  <c r="AM93" i="63" s="1"/>
  <c r="AM94" i="63" s="1" a="1"/>
  <c r="AM94" i="63" s="1"/>
  <c r="AM95" i="63" s="1" a="1"/>
  <c r="AM95" i="63" s="1"/>
  <c r="AM96" i="63" s="1" a="1"/>
  <c r="AM96" i="63" s="1"/>
  <c r="AM97" i="63" s="1" a="1"/>
  <c r="AM97" i="63" s="1"/>
  <c r="AM98" i="63" s="1" a="1"/>
  <c r="AM98" i="63" s="1"/>
  <c r="AM99" i="63" s="1" a="1"/>
  <c r="AM99" i="63" s="1"/>
  <c r="AM100" i="63" s="1" a="1"/>
  <c r="AM100" i="63" s="1"/>
  <c r="AM101" i="63" s="1" a="1"/>
  <c r="AM101" i="63" s="1"/>
  <c r="AM102" i="63" s="1" a="1"/>
  <c r="AM102" i="63" s="1"/>
  <c r="AM103" i="63" s="1" a="1"/>
  <c r="AM103" i="63" s="1"/>
  <c r="AM104" i="63" s="1" a="1"/>
  <c r="AM104" i="63" s="1"/>
  <c r="AM105" i="63" s="1" a="1"/>
  <c r="AM105" i="63" s="1"/>
  <c r="AM106" i="63" s="1" a="1"/>
  <c r="AM106" i="63" s="1"/>
  <c r="AM107" i="63" s="1" a="1"/>
  <c r="AM107" i="63" s="1"/>
  <c r="AM108" i="63" s="1" a="1"/>
  <c r="AM108" i="63" s="1"/>
  <c r="AM109" i="63" s="1" a="1"/>
  <c r="AM109" i="63" s="1"/>
  <c r="AM110" i="63" s="1" a="1"/>
  <c r="AM110" i="63" s="1"/>
  <c r="AM111" i="63" s="1" a="1"/>
  <c r="AM111" i="63" s="1"/>
  <c r="AM112" i="63" s="1" a="1"/>
  <c r="AM112" i="63" s="1"/>
  <c r="AM113" i="63" s="1" a="1"/>
  <c r="AM113" i="63" s="1"/>
  <c r="AM114" i="63" s="1" a="1"/>
  <c r="AM114" i="63" s="1"/>
  <c r="AM115" i="63" s="1" a="1"/>
  <c r="AM115" i="63" s="1"/>
  <c r="AM116" i="63" s="1" a="1"/>
  <c r="AM116" i="63" s="1"/>
  <c r="AM117" i="63" s="1" a="1"/>
  <c r="AM117" i="63" s="1"/>
  <c r="AM118" i="63" s="1" a="1"/>
  <c r="AM118" i="63" s="1"/>
  <c r="AM119" i="63" s="1" a="1"/>
  <c r="AM119" i="63" s="1"/>
  <c r="AM120" i="63" s="1" a="1"/>
  <c r="AM120" i="63" s="1"/>
  <c r="AM121" i="63" s="1" a="1"/>
  <c r="AM121" i="63" s="1"/>
  <c r="AM122" i="63" s="1" a="1"/>
  <c r="AM122" i="63" s="1"/>
  <c r="AM123" i="63" s="1" a="1"/>
  <c r="AM123" i="63" s="1"/>
  <c r="AM124" i="63" s="1" a="1"/>
  <c r="AM124" i="63" s="1"/>
  <c r="AM125" i="63" s="1" a="1"/>
  <c r="AM125" i="63" s="1"/>
  <c r="AM126" i="63" s="1" a="1"/>
  <c r="AM126" i="63" s="1"/>
  <c r="AM127" i="63" s="1" a="1"/>
  <c r="AM127" i="63" s="1"/>
  <c r="AM128" i="63" s="1" a="1"/>
  <c r="AM128" i="63" s="1"/>
  <c r="AM129" i="63" s="1" a="1"/>
  <c r="AM129" i="63" s="1"/>
  <c r="AM130" i="63" s="1" a="1"/>
  <c r="AM130" i="63" s="1"/>
  <c r="AM131" i="63" s="1" a="1"/>
  <c r="AM131" i="63" s="1"/>
  <c r="AM132" i="63" s="1" a="1"/>
  <c r="AM132" i="63" s="1"/>
  <c r="AM133" i="63" s="1" a="1"/>
  <c r="AM133" i="63" s="1"/>
  <c r="AM134" i="63" s="1" a="1"/>
  <c r="AM134" i="63" s="1"/>
  <c r="AM135" i="63" s="1" a="1"/>
  <c r="AM135" i="63" s="1"/>
  <c r="AM136" i="63" s="1" a="1"/>
  <c r="AM136" i="63" s="1"/>
  <c r="AM137" i="63" s="1" a="1"/>
  <c r="AM137" i="63" s="1"/>
  <c r="AM138" i="63" s="1" a="1"/>
  <c r="AM138" i="63" s="1"/>
  <c r="AM139" i="63" s="1" a="1"/>
  <c r="AM139" i="63" s="1"/>
  <c r="AM140" i="63" s="1" a="1"/>
  <c r="AM140" i="63" s="1"/>
  <c r="AM141" i="63" s="1" a="1"/>
  <c r="AM141" i="63" s="1"/>
  <c r="AM142" i="63" s="1" a="1"/>
  <c r="AM142" i="63" s="1"/>
  <c r="AM143" i="63" s="1" a="1"/>
  <c r="AM143" i="63" s="1"/>
  <c r="AM144" i="63" s="1" a="1"/>
  <c r="AM144" i="63" s="1"/>
  <c r="AM145" i="63" s="1" a="1"/>
  <c r="AM145" i="63" s="1"/>
  <c r="AM146" i="63" s="1" a="1"/>
  <c r="AM146" i="63" s="1"/>
  <c r="AM147" i="63" s="1" a="1"/>
  <c r="AM147" i="63" s="1"/>
  <c r="AM148" i="63" s="1" a="1"/>
  <c r="AM148" i="63" s="1"/>
  <c r="AM149" i="63" s="1" a="1"/>
  <c r="AM149" i="63" s="1"/>
  <c r="AM150" i="63" s="1" a="1"/>
  <c r="AM150" i="63" s="1"/>
  <c r="AM151" i="63" s="1" a="1"/>
  <c r="AM151" i="63" s="1"/>
  <c r="AM152" i="63" s="1" a="1"/>
  <c r="AM152" i="63" s="1"/>
  <c r="AM153" i="63" s="1" a="1"/>
  <c r="AM153" i="63" s="1"/>
  <c r="AM154" i="63" s="1" a="1"/>
  <c r="AM154" i="63" s="1"/>
  <c r="AM155" i="63" s="1" a="1"/>
  <c r="AM155" i="63" s="1"/>
  <c r="AM156" i="63" s="1" a="1"/>
  <c r="AM156" i="63" s="1"/>
  <c r="AM157" i="63" s="1" a="1"/>
  <c r="AM157" i="63" s="1"/>
  <c r="AM158" i="63" s="1" a="1"/>
  <c r="AM158" i="63" s="1"/>
  <c r="AM159" i="63" s="1" a="1"/>
  <c r="AM159" i="63" s="1"/>
  <c r="AM160" i="63" s="1" a="1"/>
  <c r="AM160" i="63" s="1"/>
  <c r="AM161" i="63" s="1" a="1"/>
  <c r="AM161" i="63" s="1"/>
  <c r="AM162" i="63" s="1" a="1"/>
  <c r="AM162" i="63" s="1"/>
  <c r="AM163" i="63" s="1" a="1"/>
  <c r="AM163" i="63" s="1"/>
  <c r="AM164" i="63" s="1" a="1"/>
  <c r="AM164" i="63" s="1"/>
  <c r="AM165" i="63" s="1" a="1"/>
  <c r="AM165" i="63" s="1"/>
  <c r="AM166" i="63" s="1" a="1"/>
  <c r="AM166" i="63" s="1"/>
  <c r="AM167" i="63" s="1" a="1"/>
  <c r="AM167" i="63" s="1"/>
  <c r="AM168" i="63" s="1" a="1"/>
  <c r="AM168" i="63" s="1"/>
  <c r="AM169" i="63" s="1" a="1"/>
  <c r="AM169" i="63" s="1"/>
  <c r="AM170" i="63" s="1" a="1"/>
  <c r="AM170" i="63" s="1"/>
  <c r="AM171" i="63" s="1" a="1"/>
  <c r="AM171" i="63" s="1"/>
  <c r="AM172" i="63" s="1" a="1"/>
  <c r="AM172" i="63" s="1"/>
  <c r="AM173" i="63" s="1" a="1"/>
  <c r="AM173" i="63" s="1"/>
  <c r="AM174" i="63" s="1" a="1"/>
  <c r="AM174" i="63" s="1"/>
  <c r="AM175" i="63" s="1" a="1"/>
  <c r="AM175" i="63" s="1"/>
  <c r="AM176" i="63" s="1" a="1"/>
  <c r="AM176" i="63" s="1"/>
  <c r="AM177" i="63" s="1" a="1"/>
  <c r="AM177" i="63" s="1"/>
  <c r="AM178" i="63" s="1" a="1"/>
  <c r="AM178" i="63" s="1"/>
  <c r="AM179" i="63" s="1" a="1"/>
  <c r="AM179" i="63" s="1"/>
  <c r="AM180" i="63" s="1" a="1"/>
  <c r="AM180" i="63" s="1"/>
  <c r="AM181" i="63" s="1" a="1"/>
  <c r="AM181" i="63" s="1"/>
  <c r="AM182" i="63" s="1" a="1"/>
  <c r="AM182" i="63" s="1"/>
  <c r="AM183" i="63" s="1" a="1"/>
  <c r="AM183" i="63" s="1"/>
  <c r="AM184" i="63" s="1" a="1"/>
  <c r="AM184" i="63" s="1"/>
  <c r="AM185" i="63" s="1" a="1"/>
  <c r="AM185" i="63" s="1"/>
  <c r="AM186" i="63" s="1" a="1"/>
  <c r="AM186" i="63" s="1"/>
  <c r="AM187" i="63" s="1" a="1"/>
  <c r="AM187" i="63" s="1"/>
  <c r="AM188" i="63" s="1" a="1"/>
  <c r="AM188" i="63" s="1"/>
  <c r="AM189" i="63" s="1" a="1"/>
  <c r="AM189" i="63" s="1"/>
  <c r="AM190" i="63" s="1" a="1"/>
  <c r="AM190" i="63" s="1"/>
  <c r="AM191" i="63" s="1" a="1"/>
  <c r="AM191" i="63" s="1"/>
  <c r="AM192" i="63" s="1" a="1"/>
  <c r="AM192" i="63" s="1"/>
  <c r="AM193" i="63" s="1" a="1"/>
  <c r="AM193" i="63" s="1"/>
  <c r="AM194" i="63" s="1" a="1"/>
  <c r="AM194" i="63" s="1"/>
  <c r="AM195" i="63" s="1" a="1"/>
  <c r="AM195" i="63" s="1"/>
  <c r="AM196" i="63" s="1" a="1"/>
  <c r="AM196" i="63" s="1"/>
  <c r="AM197" i="63" s="1" a="1"/>
  <c r="AM197" i="63" s="1"/>
  <c r="AM198" i="63" s="1" a="1"/>
  <c r="AM198" i="63" s="1"/>
  <c r="AM199" i="63" s="1" a="1"/>
  <c r="AM199" i="63" s="1"/>
  <c r="AM200" i="63" s="1" a="1"/>
  <c r="AM200" i="63" s="1"/>
  <c r="AM201" i="63" s="1" a="1"/>
  <c r="AM201" i="63" s="1"/>
  <c r="AM202" i="63" s="1" a="1"/>
  <c r="AM202" i="63" s="1"/>
  <c r="AM203" i="63" s="1" a="1"/>
  <c r="AM203" i="63" s="1"/>
  <c r="AM204" i="63" s="1" a="1"/>
  <c r="AM204" i="63" s="1"/>
  <c r="AM205" i="63" s="1" a="1"/>
  <c r="AM205" i="63" s="1"/>
  <c r="AM206" i="63" s="1" a="1"/>
  <c r="AM206" i="63" s="1"/>
  <c r="AM207" i="63" s="1" a="1"/>
  <c r="AM207" i="63" s="1"/>
  <c r="AM208" i="63" s="1" a="1"/>
  <c r="AM208" i="63" s="1"/>
  <c r="AM209" i="63" s="1" a="1"/>
  <c r="AM209" i="63" s="1"/>
  <c r="AM210" i="63" s="1" a="1"/>
  <c r="AM210" i="63" s="1"/>
  <c r="AM211" i="63" s="1" a="1"/>
  <c r="AM211" i="63" s="1"/>
  <c r="AM212" i="63" s="1" a="1"/>
  <c r="AM212" i="63" s="1"/>
  <c r="AM213" i="63" s="1" a="1"/>
  <c r="AM213" i="63" s="1"/>
  <c r="AM214" i="63" s="1" a="1"/>
  <c r="AM214" i="63" s="1"/>
  <c r="AM215" i="63" s="1" a="1"/>
  <c r="AM215" i="63" s="1"/>
  <c r="AM216" i="63" s="1" a="1"/>
  <c r="AM216" i="63" s="1"/>
  <c r="AM217" i="63" s="1" a="1"/>
  <c r="AM217" i="63" s="1"/>
  <c r="AM218" i="63" s="1" a="1"/>
  <c r="AM218" i="63" s="1"/>
  <c r="AM219" i="63" s="1" a="1"/>
  <c r="AM219" i="63" s="1"/>
  <c r="AM220" i="63" s="1" a="1"/>
  <c r="AM220" i="63" s="1"/>
  <c r="AM221" i="63" s="1" a="1"/>
  <c r="AM221" i="63" s="1"/>
  <c r="AM222" i="63" s="1" a="1"/>
  <c r="AM222" i="63" s="1"/>
  <c r="AM223" i="63" s="1" a="1"/>
  <c r="AM223" i="63" s="1"/>
  <c r="AM224" i="63" s="1" a="1"/>
  <c r="AM224" i="63" s="1"/>
  <c r="AM225" i="63" s="1" a="1"/>
  <c r="AM225" i="63" s="1"/>
  <c r="AM226" i="63" s="1" a="1"/>
  <c r="AM226" i="63" s="1"/>
  <c r="AM227" i="63" s="1" a="1"/>
  <c r="AM227" i="63" s="1"/>
  <c r="AM228" i="63" s="1" a="1"/>
  <c r="AM228" i="63" s="1"/>
  <c r="AM229" i="63" s="1" a="1"/>
  <c r="AM229" i="63" s="1"/>
  <c r="AM230" i="63" s="1" a="1"/>
  <c r="AM230" i="63" s="1"/>
  <c r="AM231" i="63" s="1" a="1"/>
  <c r="AM231" i="63" s="1"/>
  <c r="AM232" i="63" s="1" a="1"/>
  <c r="AM232" i="63" s="1"/>
  <c r="AM233" i="63" s="1" a="1"/>
  <c r="AM233" i="63" s="1"/>
  <c r="AM234" i="63" s="1" a="1"/>
  <c r="AM234" i="63" s="1"/>
  <c r="AM235" i="63" s="1" a="1"/>
  <c r="AM235" i="63" s="1"/>
  <c r="AM236" i="63" s="1" a="1"/>
  <c r="AM236" i="63" s="1"/>
  <c r="AM237" i="63" s="1" a="1"/>
  <c r="AM237" i="63" s="1"/>
  <c r="AM238" i="63" s="1" a="1"/>
  <c r="AM238" i="63" s="1"/>
  <c r="AM239" i="63" s="1" a="1"/>
  <c r="AM239" i="63" s="1"/>
  <c r="AM240" i="63" s="1" a="1"/>
  <c r="AM240" i="63" s="1"/>
  <c r="AM241" i="63" s="1" a="1"/>
  <c r="AM241" i="63" s="1"/>
  <c r="AM242" i="63" s="1" a="1"/>
  <c r="AM242" i="63" s="1"/>
  <c r="AM243" i="63" s="1" a="1"/>
  <c r="AM243" i="63" s="1"/>
  <c r="AM244" i="63" s="1" a="1"/>
  <c r="AM244" i="63" s="1"/>
  <c r="AM245" i="63" s="1" a="1"/>
  <c r="AM245" i="63" s="1"/>
  <c r="AM246" i="63" s="1" a="1"/>
  <c r="AM246" i="63" s="1"/>
  <c r="AM247" i="63" s="1" a="1"/>
  <c r="AM247" i="63" s="1"/>
  <c r="AM248" i="63" s="1" a="1"/>
  <c r="AM248" i="63" s="1"/>
  <c r="AM249" i="63" s="1" a="1"/>
  <c r="AM249" i="63" s="1"/>
  <c r="AM250" i="63" s="1" a="1"/>
  <c r="AM250" i="63" s="1"/>
  <c r="AM251" i="63" s="1" a="1"/>
  <c r="AM251" i="63" s="1"/>
  <c r="AM252" i="63" s="1" a="1"/>
  <c r="AM252" i="63" s="1"/>
  <c r="AM253" i="63" s="1" a="1"/>
  <c r="AM253" i="63" s="1"/>
  <c r="AM254" i="63" s="1" a="1"/>
  <c r="AM254" i="63" s="1"/>
  <c r="AM255" i="63" s="1" a="1"/>
  <c r="AM255" i="63" s="1"/>
  <c r="AM256" i="63" s="1" a="1"/>
  <c r="AM256" i="63" s="1"/>
  <c r="AM257" i="63" s="1" a="1"/>
  <c r="AM257" i="63" s="1"/>
  <c r="W129" i="22"/>
  <c r="T129" i="22"/>
  <c r="G129" i="22"/>
  <c r="K129" i="22"/>
  <c r="U129" i="22"/>
  <c r="L129" i="22"/>
  <c r="V129" i="22"/>
  <c r="Y4" i="28"/>
  <c r="Z4" i="28" s="1"/>
  <c r="Y5" i="28"/>
  <c r="Z5" i="28" s="1"/>
  <c r="Y6" i="28"/>
  <c r="Z6" i="28" s="1"/>
  <c r="A3" i="28"/>
  <c r="B3" i="28"/>
  <c r="D3" i="28"/>
  <c r="A4" i="28"/>
  <c r="B4" i="28"/>
  <c r="D4" i="28"/>
  <c r="A5" i="28"/>
  <c r="B5" i="28"/>
  <c r="D5" i="28"/>
  <c r="A6" i="28"/>
  <c r="B6" i="28"/>
  <c r="D6" i="28"/>
  <c r="A7" i="28"/>
  <c r="B7" i="28"/>
  <c r="D7" i="28"/>
  <c r="A8" i="28"/>
  <c r="B8" i="28"/>
  <c r="D8" i="28"/>
  <c r="A9" i="28"/>
  <c r="B9" i="28"/>
  <c r="D9" i="28"/>
  <c r="A10" i="28"/>
  <c r="B10" i="28"/>
  <c r="D10" i="28"/>
  <c r="A11" i="28"/>
  <c r="B11" i="28"/>
  <c r="D11" i="28"/>
  <c r="A12" i="28"/>
  <c r="B12" i="28"/>
  <c r="D12" i="28"/>
  <c r="A13" i="28"/>
  <c r="B13" i="28"/>
  <c r="D13" i="28"/>
  <c r="A14" i="28"/>
  <c r="B14" i="28"/>
  <c r="D14" i="28"/>
  <c r="A15" i="28"/>
  <c r="B15" i="28"/>
  <c r="D15" i="28"/>
  <c r="A16" i="28"/>
  <c r="B16" i="28"/>
  <c r="D16" i="28"/>
  <c r="A17" i="28"/>
  <c r="B17" i="28"/>
  <c r="D17" i="28"/>
  <c r="A18" i="28"/>
  <c r="B18" i="28"/>
  <c r="D18" i="28"/>
  <c r="A19" i="28"/>
  <c r="B19" i="28"/>
  <c r="D19" i="28"/>
  <c r="A20" i="28"/>
  <c r="B20" i="28"/>
  <c r="D20" i="28"/>
  <c r="A21" i="28"/>
  <c r="B21" i="28"/>
  <c r="D21" i="28"/>
  <c r="A22" i="28"/>
  <c r="B22" i="28"/>
  <c r="D22" i="28"/>
  <c r="A23" i="28"/>
  <c r="B23" i="28"/>
  <c r="D23" i="28"/>
  <c r="A24" i="28"/>
  <c r="B24" i="28"/>
  <c r="D24" i="28"/>
  <c r="A25" i="28"/>
  <c r="B25" i="28"/>
  <c r="D25" i="28"/>
  <c r="A26" i="28"/>
  <c r="B26" i="28"/>
  <c r="D26" i="28"/>
  <c r="A27" i="28"/>
  <c r="B27" i="28"/>
  <c r="D27" i="28"/>
  <c r="A28" i="28"/>
  <c r="B28" i="28"/>
  <c r="D28" i="28"/>
  <c r="A29" i="28"/>
  <c r="B29" i="28"/>
  <c r="D29" i="28"/>
  <c r="A30" i="28"/>
  <c r="B30" i="28"/>
  <c r="D30" i="28"/>
  <c r="A31" i="28"/>
  <c r="B31" i="28"/>
  <c r="D31" i="28"/>
  <c r="A32" i="28"/>
  <c r="B32" i="28"/>
  <c r="D32" i="28"/>
  <c r="A33" i="28"/>
  <c r="A34" i="28"/>
  <c r="B34" i="28"/>
  <c r="D34" i="28"/>
  <c r="A35" i="28"/>
  <c r="B35" i="28"/>
  <c r="D35" i="28"/>
  <c r="A36" i="28"/>
  <c r="B36" i="28"/>
  <c r="D36" i="28"/>
  <c r="A37" i="28"/>
  <c r="B37" i="28"/>
  <c r="D37" i="28"/>
  <c r="A38" i="28"/>
  <c r="B38" i="28"/>
  <c r="D38" i="28"/>
  <c r="A39" i="28"/>
  <c r="B39" i="28"/>
  <c r="D39" i="28"/>
  <c r="A40" i="28"/>
  <c r="B40" i="28"/>
  <c r="D40" i="28"/>
  <c r="A41" i="28"/>
  <c r="B41" i="28"/>
  <c r="D41" i="28"/>
  <c r="A42" i="28"/>
  <c r="B42" i="28"/>
  <c r="D42" i="28"/>
  <c r="A43" i="28"/>
  <c r="B43" i="28"/>
  <c r="D43" i="28"/>
  <c r="A44" i="28"/>
  <c r="B44" i="28"/>
  <c r="D44" i="28"/>
  <c r="A45" i="28"/>
  <c r="B45" i="28"/>
  <c r="D45" i="28"/>
  <c r="A46" i="28"/>
  <c r="B46" i="28"/>
  <c r="D46" i="28"/>
  <c r="A47" i="28"/>
  <c r="B47" i="28"/>
  <c r="D47" i="28"/>
  <c r="A48" i="28"/>
  <c r="B48" i="28"/>
  <c r="D48" i="28"/>
  <c r="A49" i="28"/>
  <c r="B49" i="28"/>
  <c r="D49" i="28"/>
  <c r="A50" i="28"/>
  <c r="B50" i="28"/>
  <c r="D50" i="28"/>
  <c r="A51" i="28"/>
  <c r="B51" i="28"/>
  <c r="D51" i="28"/>
  <c r="B52" i="28"/>
  <c r="D52" i="28"/>
  <c r="A53" i="28"/>
  <c r="B53" i="28"/>
  <c r="D53" i="28"/>
  <c r="A54" i="28"/>
  <c r="B54" i="28"/>
  <c r="D54" i="28"/>
  <c r="A55" i="28"/>
  <c r="B55" i="28"/>
  <c r="D55" i="28"/>
  <c r="A56" i="28"/>
  <c r="B56" i="28"/>
  <c r="D56" i="28"/>
  <c r="A57" i="28"/>
  <c r="B57" i="28"/>
  <c r="D57" i="28"/>
  <c r="A58" i="28"/>
  <c r="B58" i="28"/>
  <c r="D58" i="28"/>
  <c r="A59" i="28"/>
  <c r="B59" i="28"/>
  <c r="D59" i="28"/>
  <c r="A60" i="28"/>
  <c r="B60" i="28"/>
  <c r="D60" i="28"/>
  <c r="A61" i="28"/>
  <c r="B61" i="28"/>
  <c r="D61" i="28"/>
  <c r="A62" i="28"/>
  <c r="B62" i="28"/>
  <c r="D62" i="28"/>
  <c r="A63" i="28"/>
  <c r="B63" i="28"/>
  <c r="D63" i="28"/>
  <c r="A64" i="28"/>
  <c r="B64" i="28"/>
  <c r="D64" i="28"/>
  <c r="A65" i="28"/>
  <c r="B65" i="28"/>
  <c r="D65" i="28"/>
  <c r="A66" i="28"/>
  <c r="B66" i="28"/>
  <c r="D66" i="28"/>
  <c r="A67" i="28"/>
  <c r="B67" i="28"/>
  <c r="D67" i="28"/>
  <c r="A68" i="28"/>
  <c r="B68" i="28"/>
  <c r="D68" i="28"/>
  <c r="A69" i="28"/>
  <c r="B69" i="28"/>
  <c r="D69" i="28"/>
  <c r="A70" i="28"/>
  <c r="B70" i="28"/>
  <c r="D70" i="28"/>
  <c r="A71" i="28"/>
  <c r="B71" i="28"/>
  <c r="D71" i="28"/>
  <c r="A72" i="28"/>
  <c r="B72" i="28"/>
  <c r="D72" i="28"/>
  <c r="A73" i="28"/>
  <c r="B73" i="28"/>
  <c r="D73" i="28"/>
  <c r="A74" i="28"/>
  <c r="B74" i="28"/>
  <c r="D74" i="28"/>
  <c r="A75" i="28"/>
  <c r="B75" i="28"/>
  <c r="D75" i="28"/>
  <c r="A76" i="28"/>
  <c r="B76" i="28"/>
  <c r="D76" i="28"/>
  <c r="A77" i="28"/>
  <c r="B77" i="28"/>
  <c r="D77" i="28"/>
  <c r="A78" i="28"/>
  <c r="B78" i="28"/>
  <c r="D78" i="28"/>
  <c r="A79" i="28"/>
  <c r="B79" i="28"/>
  <c r="D79" i="28"/>
  <c r="A80" i="28"/>
  <c r="B80" i="28"/>
  <c r="D80" i="28"/>
  <c r="A81" i="28"/>
  <c r="B81" i="28"/>
  <c r="D81" i="28"/>
  <c r="A82" i="28"/>
  <c r="B82" i="28"/>
  <c r="D82" i="28"/>
  <c r="A83" i="28"/>
  <c r="B83" i="28"/>
  <c r="D83" i="28"/>
  <c r="A84" i="28"/>
  <c r="B84" i="28"/>
  <c r="D84" i="28"/>
  <c r="A85" i="28"/>
  <c r="B85" i="28"/>
  <c r="D85" i="28"/>
  <c r="A86" i="28"/>
  <c r="B86" i="28"/>
  <c r="D86" i="28"/>
  <c r="A87" i="28"/>
  <c r="B87" i="28"/>
  <c r="D87" i="28"/>
  <c r="A88" i="28"/>
  <c r="B88" i="28"/>
  <c r="D88" i="28"/>
  <c r="A89" i="28"/>
  <c r="B89" i="28"/>
  <c r="D89" i="28"/>
  <c r="A90" i="28"/>
  <c r="B90" i="28"/>
  <c r="D90" i="28"/>
  <c r="A91" i="28"/>
  <c r="B91" i="28"/>
  <c r="D91" i="28"/>
  <c r="A92" i="28"/>
  <c r="B92" i="28"/>
  <c r="D92" i="28"/>
  <c r="A93" i="28"/>
  <c r="B93" i="28"/>
  <c r="D93" i="28"/>
  <c r="A94" i="28"/>
  <c r="B94" i="28"/>
  <c r="D94" i="28"/>
  <c r="A95" i="28"/>
  <c r="B95" i="28"/>
  <c r="D95" i="28"/>
  <c r="A96" i="28"/>
  <c r="B96" i="28"/>
  <c r="D96" i="28"/>
  <c r="A97" i="28"/>
  <c r="B97" i="28"/>
  <c r="D97" i="28"/>
  <c r="A98" i="28"/>
  <c r="B98" i="28"/>
  <c r="D98" i="28"/>
  <c r="A99" i="28"/>
  <c r="B99" i="28"/>
  <c r="D99" i="28"/>
  <c r="A100" i="28"/>
  <c r="D100" i="28"/>
  <c r="A101" i="28"/>
  <c r="B101" i="28"/>
  <c r="D101" i="28"/>
  <c r="A102" i="28"/>
  <c r="B102" i="28"/>
  <c r="D102" i="28"/>
  <c r="A103" i="28"/>
  <c r="B103" i="28"/>
  <c r="D103" i="28"/>
  <c r="A104" i="28"/>
  <c r="B104" i="28"/>
  <c r="D104" i="28"/>
  <c r="A105" i="28"/>
  <c r="B105" i="28"/>
  <c r="D105" i="28"/>
  <c r="A106" i="28"/>
  <c r="B106" i="28"/>
  <c r="D106" i="28"/>
  <c r="A107" i="28"/>
  <c r="B107" i="28"/>
  <c r="D107" i="28"/>
  <c r="A108" i="28"/>
  <c r="B108" i="28"/>
  <c r="D108" i="28"/>
  <c r="A109" i="28"/>
  <c r="B109" i="28"/>
  <c r="D109" i="28"/>
  <c r="A110" i="28"/>
  <c r="B110" i="28"/>
  <c r="D110" i="28"/>
  <c r="A111" i="28"/>
  <c r="B111" i="28"/>
  <c r="D111" i="28"/>
  <c r="A112" i="28"/>
  <c r="B112" i="28"/>
  <c r="D112" i="28"/>
  <c r="A113" i="28"/>
  <c r="B113" i="28"/>
  <c r="D113" i="28"/>
  <c r="A114" i="28"/>
  <c r="B114" i="28"/>
  <c r="D114" i="28"/>
  <c r="A115" i="28"/>
  <c r="B115" i="28"/>
  <c r="D115" i="28"/>
  <c r="A116" i="28"/>
  <c r="B116" i="28"/>
  <c r="D116" i="28"/>
  <c r="A117" i="28"/>
  <c r="B117" i="28"/>
  <c r="D117" i="28"/>
  <c r="A118" i="28"/>
  <c r="B118" i="28"/>
  <c r="D118" i="28"/>
  <c r="A119" i="28"/>
  <c r="B119" i="28"/>
  <c r="D119" i="28"/>
  <c r="A120" i="28"/>
  <c r="B120" i="28"/>
  <c r="D120" i="28"/>
  <c r="A121" i="28"/>
  <c r="B121" i="28"/>
  <c r="D121" i="28"/>
  <c r="X31" i="53" l="1"/>
  <c r="AB31" i="53" s="1"/>
  <c r="AE32" i="57"/>
  <c r="R32" i="57"/>
  <c r="AE32" i="53"/>
  <c r="R32" i="53"/>
  <c r="AD12" i="69"/>
  <c r="AO12" i="69" s="1"/>
  <c r="AF12" i="69"/>
  <c r="AG12" i="69" s="1"/>
  <c r="AF15" i="69"/>
  <c r="AF16" i="65"/>
  <c r="AB29" i="57"/>
  <c r="AF29" i="57"/>
  <c r="AB13" i="69"/>
  <c r="AC13" i="69" s="1"/>
  <c r="AD13" i="69" s="1"/>
  <c r="AG13" i="69"/>
  <c r="AG14" i="69"/>
  <c r="AG13" i="65"/>
  <c r="U12" i="46"/>
  <c r="U15" i="46"/>
  <c r="U14" i="46"/>
  <c r="U19" i="46"/>
  <c r="U34" i="46"/>
  <c r="U16" i="46"/>
  <c r="U33" i="46"/>
  <c r="U22" i="46"/>
  <c r="U25" i="46"/>
  <c r="U18" i="46"/>
  <c r="U17" i="46"/>
  <c r="U32" i="46"/>
  <c r="U35" i="46"/>
  <c r="U28" i="46"/>
  <c r="U31" i="46"/>
  <c r="U24" i="46"/>
  <c r="U27" i="46"/>
  <c r="U26" i="46"/>
  <c r="U23" i="46"/>
  <c r="U13" i="46"/>
  <c r="U11" i="46"/>
  <c r="U30" i="46"/>
  <c r="U20" i="46"/>
  <c r="U29" i="46"/>
  <c r="U21" i="46"/>
  <c r="AV16" i="65"/>
  <c r="AX16" i="69"/>
  <c r="AA29" i="57"/>
  <c r="O33" i="57"/>
  <c r="AG33" i="57" s="1"/>
  <c r="L33" i="57"/>
  <c r="X30" i="57"/>
  <c r="AJ32" i="57"/>
  <c r="AC32" i="57"/>
  <c r="AP32" i="57"/>
  <c r="AD14" i="69"/>
  <c r="AB30" i="53"/>
  <c r="AA30" i="53"/>
  <c r="AG32" i="53"/>
  <c r="AH32" i="53"/>
  <c r="AT32" i="53"/>
  <c r="AC32" i="53"/>
  <c r="N33" i="57"/>
  <c r="K33" i="53"/>
  <c r="N33" i="53"/>
  <c r="AH16" i="65"/>
  <c r="AD32" i="57"/>
  <c r="AD32" i="53"/>
  <c r="AK32" i="52" a="1"/>
  <c r="AK32" i="52" s="1"/>
  <c r="B34" i="53" s="1"/>
  <c r="O34" i="53" s="1"/>
  <c r="H33" i="53"/>
  <c r="G33" i="53"/>
  <c r="Q32" i="53"/>
  <c r="L33" i="53"/>
  <c r="F33" i="53"/>
  <c r="I33" i="53"/>
  <c r="J33" i="53"/>
  <c r="E33" i="53"/>
  <c r="P33" i="53"/>
  <c r="D33" i="53"/>
  <c r="C33" i="53"/>
  <c r="K33" i="57"/>
  <c r="J33" i="57"/>
  <c r="E33" i="57"/>
  <c r="P33" i="57"/>
  <c r="C33" i="57"/>
  <c r="M33" i="57" s="1"/>
  <c r="H33" i="57"/>
  <c r="I33" i="57"/>
  <c r="D33" i="57"/>
  <c r="F33" i="57"/>
  <c r="G33" i="57"/>
  <c r="T31" i="57"/>
  <c r="Q32" i="57"/>
  <c r="AK32" i="55" a="1"/>
  <c r="AK32" i="55" s="1"/>
  <c r="B34" i="57" s="1"/>
  <c r="AN17" i="67" a="1"/>
  <c r="AN17" i="67" s="1"/>
  <c r="B19" i="69" s="1"/>
  <c r="C17" i="69"/>
  <c r="AO17" i="69" s="1"/>
  <c r="O17" i="69"/>
  <c r="C18" i="69"/>
  <c r="AO18" i="69" s="1"/>
  <c r="O18" i="69"/>
  <c r="Q16" i="69"/>
  <c r="AE16" i="69"/>
  <c r="AH16" i="69" s="1"/>
  <c r="U16" i="69"/>
  <c r="R16" i="69"/>
  <c r="S16" i="69" s="1"/>
  <c r="O16" i="69" s="1"/>
  <c r="AE15" i="69"/>
  <c r="AH15" i="69" s="1"/>
  <c r="R15" i="69"/>
  <c r="S15" i="69" s="1"/>
  <c r="Q15" i="69"/>
  <c r="U15" i="69"/>
  <c r="E15" i="69"/>
  <c r="F15" i="69" s="1"/>
  <c r="G15" i="69" s="1"/>
  <c r="H15" i="69" s="1"/>
  <c r="I15" i="69" s="1"/>
  <c r="J15" i="69" s="1"/>
  <c r="K15" i="69" s="1"/>
  <c r="M15" i="69" s="1"/>
  <c r="O15" i="65"/>
  <c r="P15" i="65" s="1"/>
  <c r="Y15" i="65" s="1"/>
  <c r="O14" i="65"/>
  <c r="P14" i="65" s="1"/>
  <c r="Y14" i="65" s="1"/>
  <c r="AN17" i="63" a="1"/>
  <c r="AN17" i="63" s="1"/>
  <c r="B19" i="65" s="1"/>
  <c r="L19" i="65" s="1"/>
  <c r="C17" i="65"/>
  <c r="AM17" i="65" s="1"/>
  <c r="O17" i="65"/>
  <c r="C18" i="65"/>
  <c r="AM18" i="65" s="1"/>
  <c r="O18" i="65"/>
  <c r="U16" i="65"/>
  <c r="Q16" i="65"/>
  <c r="R16" i="65"/>
  <c r="S16" i="65" s="1"/>
  <c r="AM21" i="67" a="1"/>
  <c r="AM21" i="67" s="1"/>
  <c r="AM22" i="67" s="1" a="1"/>
  <c r="AM22" i="67" s="1"/>
  <c r="AM23" i="67" s="1" a="1"/>
  <c r="AM23" i="67" s="1"/>
  <c r="AM24" i="67" s="1" a="1"/>
  <c r="AM24" i="67" s="1"/>
  <c r="AM25" i="67" s="1" a="1"/>
  <c r="AM25" i="67" s="1"/>
  <c r="AM26" i="67" s="1" a="1"/>
  <c r="AM26" i="67" s="1"/>
  <c r="AM27" i="67" s="1" a="1"/>
  <c r="AM27" i="67" s="1"/>
  <c r="AM28" i="67" s="1" a="1"/>
  <c r="AM28" i="67" s="1"/>
  <c r="AM29" i="67" s="1" a="1"/>
  <c r="AM29" i="67" s="1"/>
  <c r="AM30" i="67" s="1" a="1"/>
  <c r="AM30" i="67" s="1"/>
  <c r="AM31" i="67" s="1" a="1"/>
  <c r="AM31" i="67" s="1"/>
  <c r="AM32" i="67" s="1" a="1"/>
  <c r="AM32" i="67" s="1"/>
  <c r="AM33" i="67" s="1" a="1"/>
  <c r="AM33" i="67" s="1"/>
  <c r="AM34" i="67" s="1" a="1"/>
  <c r="AM34" i="67" s="1"/>
  <c r="AM35" i="67" s="1" a="1"/>
  <c r="AM35" i="67" s="1"/>
  <c r="AM36" i="67" s="1" a="1"/>
  <c r="AM36" i="67" s="1"/>
  <c r="AM37" i="67" s="1" a="1"/>
  <c r="AM37" i="67" s="1"/>
  <c r="AM38" i="67" s="1" a="1"/>
  <c r="AM38" i="67" s="1"/>
  <c r="AM39" i="67" s="1" a="1"/>
  <c r="AM39" i="67" s="1"/>
  <c r="AM40" i="67" s="1" a="1"/>
  <c r="AM40" i="67" s="1"/>
  <c r="AM41" i="67" s="1" a="1"/>
  <c r="AM41" i="67" s="1"/>
  <c r="AM42" i="67" s="1" a="1"/>
  <c r="AM42" i="67" s="1"/>
  <c r="AM43" i="67" s="1" a="1"/>
  <c r="AM43" i="67" s="1"/>
  <c r="AM44" i="67" s="1" a="1"/>
  <c r="AM44" i="67" s="1"/>
  <c r="AM45" i="67" s="1" a="1"/>
  <c r="AM45" i="67" s="1"/>
  <c r="AM46" i="67" s="1" a="1"/>
  <c r="AM46" i="67" s="1"/>
  <c r="AM47" i="67" s="1" a="1"/>
  <c r="AM47" i="67" s="1"/>
  <c r="AM48" i="67" s="1" a="1"/>
  <c r="AM48" i="67" s="1"/>
  <c r="AM49" i="67" s="1" a="1"/>
  <c r="AM49" i="67" s="1"/>
  <c r="AM50" i="67" s="1" a="1"/>
  <c r="AM50" i="67" s="1"/>
  <c r="AM51" i="67" s="1" a="1"/>
  <c r="AM51" i="67" s="1"/>
  <c r="AM52" i="67" s="1" a="1"/>
  <c r="AM52" i="67" s="1"/>
  <c r="AM53" i="67" s="1" a="1"/>
  <c r="AM53" i="67" s="1"/>
  <c r="AM54" i="67" s="1" a="1"/>
  <c r="AM54" i="67" s="1"/>
  <c r="AM55" i="67" s="1" a="1"/>
  <c r="AM55" i="67" s="1"/>
  <c r="AM56" i="67" s="1" a="1"/>
  <c r="AM56" i="67" s="1"/>
  <c r="AM57" i="67" s="1" a="1"/>
  <c r="AM57" i="67" s="1"/>
  <c r="AM58" i="67" s="1" a="1"/>
  <c r="AM58" i="67" s="1"/>
  <c r="AM59" i="67" s="1" a="1"/>
  <c r="AM59" i="67" s="1"/>
  <c r="AM60" i="67" s="1" a="1"/>
  <c r="AM60" i="67" s="1"/>
  <c r="AM61" i="67" s="1" a="1"/>
  <c r="AM61" i="67" s="1"/>
  <c r="AM62" i="67" s="1" a="1"/>
  <c r="AM62" i="67" s="1"/>
  <c r="AM63" i="67" s="1" a="1"/>
  <c r="AM63" i="67" s="1"/>
  <c r="AM64" i="67" s="1" a="1"/>
  <c r="AM64" i="67" s="1"/>
  <c r="AM65" i="67" s="1" a="1"/>
  <c r="AM65" i="67" s="1"/>
  <c r="AM66" i="67" s="1" a="1"/>
  <c r="AM66" i="67" s="1"/>
  <c r="AM67" i="67" s="1" a="1"/>
  <c r="AM67" i="67" s="1"/>
  <c r="AM68" i="67" s="1" a="1"/>
  <c r="AM68" i="67" s="1"/>
  <c r="AM69" i="67" s="1" a="1"/>
  <c r="AM69" i="67" s="1"/>
  <c r="AM70" i="67" s="1" a="1"/>
  <c r="AM70" i="67" s="1"/>
  <c r="AM71" i="67" s="1" a="1"/>
  <c r="AM71" i="67" s="1"/>
  <c r="AM72" i="67" s="1" a="1"/>
  <c r="AM72" i="67" s="1"/>
  <c r="AM73" i="67" s="1" a="1"/>
  <c r="AM73" i="67" s="1"/>
  <c r="AM74" i="67" s="1" a="1"/>
  <c r="AM74" i="67" s="1"/>
  <c r="AM75" i="67" s="1" a="1"/>
  <c r="AM75" i="67" s="1"/>
  <c r="AM76" i="67" s="1" a="1"/>
  <c r="AM76" i="67" s="1"/>
  <c r="AM77" i="67" s="1" a="1"/>
  <c r="AM77" i="67" s="1"/>
  <c r="AM78" i="67" s="1" a="1"/>
  <c r="AM78" i="67" s="1"/>
  <c r="AM79" i="67" s="1" a="1"/>
  <c r="AM79" i="67" s="1"/>
  <c r="AM80" i="67" s="1" a="1"/>
  <c r="AM80" i="67" s="1"/>
  <c r="AM81" i="67" s="1" a="1"/>
  <c r="AM81" i="67" s="1"/>
  <c r="AM82" i="67" s="1" a="1"/>
  <c r="AM82" i="67" s="1"/>
  <c r="AM83" i="67" s="1" a="1"/>
  <c r="AM83" i="67" s="1"/>
  <c r="AM84" i="67" s="1" a="1"/>
  <c r="AM84" i="67" s="1"/>
  <c r="AM85" i="67" s="1" a="1"/>
  <c r="AM85" i="67" s="1"/>
  <c r="AM86" i="67" s="1" a="1"/>
  <c r="AM86" i="67" s="1"/>
  <c r="AM87" i="67" s="1" a="1"/>
  <c r="AM87" i="67" s="1"/>
  <c r="AM88" i="67" s="1" a="1"/>
  <c r="AM88" i="67" s="1"/>
  <c r="AM89" i="67" s="1" a="1"/>
  <c r="AM89" i="67" s="1"/>
  <c r="AM90" i="67" s="1" a="1"/>
  <c r="AM90" i="67" s="1"/>
  <c r="AM91" i="67" s="1" a="1"/>
  <c r="AM91" i="67" s="1"/>
  <c r="AM92" i="67" s="1" a="1"/>
  <c r="AM92" i="67" s="1"/>
  <c r="AM93" i="67" s="1" a="1"/>
  <c r="AM93" i="67" s="1"/>
  <c r="AM94" i="67" s="1" a="1"/>
  <c r="AM94" i="67" s="1"/>
  <c r="AM95" i="67" s="1" a="1"/>
  <c r="AM95" i="67" s="1"/>
  <c r="AM96" i="67" s="1" a="1"/>
  <c r="AM96" i="67" s="1"/>
  <c r="AM97" i="67" s="1" a="1"/>
  <c r="AM97" i="67" s="1"/>
  <c r="AM98" i="67" s="1" a="1"/>
  <c r="AM98" i="67" s="1"/>
  <c r="AM99" i="67" s="1" a="1"/>
  <c r="AM99" i="67" s="1"/>
  <c r="AM100" i="67" s="1" a="1"/>
  <c r="AM100" i="67" s="1"/>
  <c r="AM101" i="67" s="1" a="1"/>
  <c r="AM101" i="67" s="1"/>
  <c r="AM102" i="67" s="1" a="1"/>
  <c r="AM102" i="67" s="1"/>
  <c r="AM103" i="67" s="1" a="1"/>
  <c r="AM103" i="67" s="1"/>
  <c r="AM104" i="67" s="1" a="1"/>
  <c r="AM104" i="67" s="1"/>
  <c r="AM105" i="67" s="1" a="1"/>
  <c r="AM105" i="67" s="1"/>
  <c r="AM106" i="67" s="1" a="1"/>
  <c r="AM106" i="67" s="1"/>
  <c r="AM107" i="67" s="1" a="1"/>
  <c r="AM107" i="67" s="1"/>
  <c r="AM108" i="67" s="1" a="1"/>
  <c r="AM108" i="67" s="1"/>
  <c r="AM109" i="67" s="1" a="1"/>
  <c r="AM109" i="67" s="1"/>
  <c r="AM110" i="67" s="1" a="1"/>
  <c r="AM110" i="67" s="1"/>
  <c r="AM111" i="67" s="1" a="1"/>
  <c r="AM111" i="67" s="1"/>
  <c r="AM112" i="67" s="1" a="1"/>
  <c r="AM112" i="67" s="1"/>
  <c r="AM113" i="67" s="1" a="1"/>
  <c r="AM113" i="67" s="1"/>
  <c r="AM114" i="67" s="1" a="1"/>
  <c r="AM114" i="67" s="1"/>
  <c r="AM115" i="67" s="1" a="1"/>
  <c r="AM115" i="67" s="1"/>
  <c r="AM116" i="67" s="1" a="1"/>
  <c r="AM116" i="67" s="1"/>
  <c r="AM117" i="67" s="1" a="1"/>
  <c r="AM117" i="67" s="1"/>
  <c r="AM118" i="67" s="1" a="1"/>
  <c r="AM118" i="67" s="1"/>
  <c r="AM119" i="67" s="1" a="1"/>
  <c r="AM119" i="67" s="1"/>
  <c r="AM120" i="67" s="1" a="1"/>
  <c r="AM120" i="67" s="1"/>
  <c r="AM121" i="67" s="1" a="1"/>
  <c r="AM121" i="67" s="1"/>
  <c r="AM122" i="67" s="1" a="1"/>
  <c r="AM122" i="67" s="1"/>
  <c r="AM123" i="67" s="1" a="1"/>
  <c r="AM123" i="67" s="1"/>
  <c r="AM124" i="67" s="1" a="1"/>
  <c r="AM124" i="67" s="1"/>
  <c r="AM125" i="67" s="1" a="1"/>
  <c r="AM125" i="67" s="1"/>
  <c r="AM126" i="67" s="1" a="1"/>
  <c r="AM126" i="67" s="1"/>
  <c r="AM127" i="67" s="1" a="1"/>
  <c r="AM127" i="67" s="1"/>
  <c r="AM128" i="67" s="1" a="1"/>
  <c r="AM128" i="67" s="1"/>
  <c r="AM129" i="67" s="1" a="1"/>
  <c r="AM129" i="67" s="1"/>
  <c r="AM130" i="67" s="1" a="1"/>
  <c r="AM130" i="67" s="1"/>
  <c r="AM131" i="67" s="1" a="1"/>
  <c r="AM131" i="67" s="1"/>
  <c r="AM132" i="67" s="1" a="1"/>
  <c r="AM132" i="67" s="1"/>
  <c r="AM133" i="67" s="1" a="1"/>
  <c r="AM133" i="67" s="1"/>
  <c r="AM134" i="67" s="1" a="1"/>
  <c r="AM134" i="67" s="1"/>
  <c r="AM135" i="67" s="1" a="1"/>
  <c r="AM135" i="67" s="1"/>
  <c r="AM136" i="67" s="1" a="1"/>
  <c r="AM136" i="67" s="1"/>
  <c r="AM137" i="67" s="1" a="1"/>
  <c r="AM137" i="67" s="1"/>
  <c r="AM138" i="67" s="1" a="1"/>
  <c r="AM138" i="67" s="1"/>
  <c r="AM139" i="67" s="1" a="1"/>
  <c r="AM139" i="67" s="1"/>
  <c r="AM140" i="67" s="1" a="1"/>
  <c r="AM140" i="67" s="1"/>
  <c r="AM141" i="67" s="1" a="1"/>
  <c r="AM141" i="67" s="1"/>
  <c r="AM142" i="67" s="1" a="1"/>
  <c r="AM142" i="67" s="1"/>
  <c r="AM143" i="67" s="1" a="1"/>
  <c r="AM143" i="67" s="1"/>
  <c r="AM144" i="67" s="1" a="1"/>
  <c r="AM144" i="67" s="1"/>
  <c r="AM145" i="67" s="1" a="1"/>
  <c r="AM145" i="67" s="1"/>
  <c r="AM146" i="67" s="1" a="1"/>
  <c r="AM146" i="67" s="1"/>
  <c r="AM147" i="67" s="1" a="1"/>
  <c r="AM147" i="67" s="1"/>
  <c r="AM148" i="67" s="1" a="1"/>
  <c r="AM148" i="67" s="1"/>
  <c r="AM149" i="67" s="1" a="1"/>
  <c r="AM149" i="67" s="1"/>
  <c r="AM150" i="67" s="1" a="1"/>
  <c r="AM150" i="67" s="1"/>
  <c r="AM151" i="67" s="1" a="1"/>
  <c r="AM151" i="67" s="1"/>
  <c r="AM152" i="67" s="1" a="1"/>
  <c r="AM152" i="67" s="1"/>
  <c r="AM153" i="67" s="1" a="1"/>
  <c r="AM153" i="67" s="1"/>
  <c r="AM154" i="67" s="1" a="1"/>
  <c r="AM154" i="67" s="1"/>
  <c r="AM155" i="67" s="1" a="1"/>
  <c r="AM155" i="67" s="1"/>
  <c r="AM156" i="67" s="1" a="1"/>
  <c r="AM156" i="67" s="1"/>
  <c r="AM157" i="67" s="1" a="1"/>
  <c r="AM157" i="67" s="1"/>
  <c r="AM158" i="67" s="1" a="1"/>
  <c r="AM158" i="67" s="1"/>
  <c r="AM159" i="67" s="1" a="1"/>
  <c r="AM159" i="67" s="1"/>
  <c r="AM160" i="67" s="1" a="1"/>
  <c r="AM160" i="67" s="1"/>
  <c r="AM161" i="67" s="1" a="1"/>
  <c r="AM161" i="67" s="1"/>
  <c r="AM162" i="67" s="1" a="1"/>
  <c r="AM162" i="67" s="1"/>
  <c r="AM163" i="67" s="1" a="1"/>
  <c r="AM163" i="67" s="1"/>
  <c r="AM164" i="67" s="1" a="1"/>
  <c r="AM164" i="67" s="1"/>
  <c r="AM165" i="67" s="1" a="1"/>
  <c r="AM165" i="67" s="1"/>
  <c r="AM166" i="67" s="1" a="1"/>
  <c r="AM166" i="67" s="1"/>
  <c r="AM167" i="67" s="1" a="1"/>
  <c r="AM167" i="67" s="1"/>
  <c r="AM168" i="67" s="1" a="1"/>
  <c r="AM168" i="67" s="1"/>
  <c r="AM169" i="67" s="1" a="1"/>
  <c r="AM169" i="67" s="1"/>
  <c r="AM170" i="67" s="1" a="1"/>
  <c r="AM170" i="67" s="1"/>
  <c r="AM171" i="67" s="1" a="1"/>
  <c r="AM171" i="67" s="1"/>
  <c r="AM172" i="67" s="1" a="1"/>
  <c r="AM172" i="67" s="1"/>
  <c r="AM173" i="67" s="1" a="1"/>
  <c r="AM173" i="67" s="1"/>
  <c r="AM174" i="67" s="1" a="1"/>
  <c r="AM174" i="67" s="1"/>
  <c r="AM175" i="67" s="1" a="1"/>
  <c r="AM175" i="67" s="1"/>
  <c r="AM176" i="67" s="1" a="1"/>
  <c r="AM176" i="67" s="1"/>
  <c r="AM177" i="67" s="1" a="1"/>
  <c r="AM177" i="67" s="1"/>
  <c r="AM178" i="67" s="1" a="1"/>
  <c r="AM178" i="67" s="1"/>
  <c r="AM179" i="67" s="1" a="1"/>
  <c r="AM179" i="67" s="1"/>
  <c r="AM180" i="67" s="1" a="1"/>
  <c r="AM180" i="67" s="1"/>
  <c r="AM181" i="67" s="1" a="1"/>
  <c r="AM181" i="67" s="1"/>
  <c r="AM182" i="67" s="1" a="1"/>
  <c r="AM182" i="67" s="1"/>
  <c r="AM183" i="67" s="1" a="1"/>
  <c r="AM183" i="67" s="1"/>
  <c r="AM184" i="67" s="1" a="1"/>
  <c r="AM184" i="67" s="1"/>
  <c r="AM185" i="67" s="1" a="1"/>
  <c r="AM185" i="67" s="1"/>
  <c r="AM186" i="67" s="1" a="1"/>
  <c r="AM186" i="67" s="1"/>
  <c r="AM187" i="67" s="1" a="1"/>
  <c r="AM187" i="67" s="1"/>
  <c r="AM188" i="67" s="1" a="1"/>
  <c r="AM188" i="67" s="1"/>
  <c r="AM189" i="67" s="1" a="1"/>
  <c r="AM189" i="67" s="1"/>
  <c r="AM190" i="67" s="1" a="1"/>
  <c r="AM190" i="67" s="1"/>
  <c r="AM191" i="67" s="1" a="1"/>
  <c r="AM191" i="67" s="1"/>
  <c r="AM192" i="67" s="1" a="1"/>
  <c r="AM192" i="67" s="1"/>
  <c r="AM193" i="67" s="1" a="1"/>
  <c r="AM193" i="67" s="1"/>
  <c r="AM194" i="67" s="1" a="1"/>
  <c r="AM194" i="67" s="1"/>
  <c r="AM195" i="67" s="1" a="1"/>
  <c r="AM195" i="67" s="1"/>
  <c r="AM196" i="67" s="1" a="1"/>
  <c r="AM196" i="67" s="1"/>
  <c r="AM197" i="67" s="1" a="1"/>
  <c r="AM197" i="67" s="1"/>
  <c r="AM198" i="67" s="1" a="1"/>
  <c r="AM198" i="67" s="1"/>
  <c r="AM199" i="67" s="1" a="1"/>
  <c r="AM199" i="67" s="1"/>
  <c r="AM200" i="67" s="1" a="1"/>
  <c r="AM200" i="67" s="1"/>
  <c r="AM201" i="67" s="1" a="1"/>
  <c r="AM201" i="67" s="1"/>
  <c r="AM202" i="67" s="1" a="1"/>
  <c r="AM202" i="67" s="1"/>
  <c r="AM203" i="67" s="1" a="1"/>
  <c r="AM203" i="67" s="1"/>
  <c r="AM204" i="67" s="1" a="1"/>
  <c r="AM204" i="67" s="1"/>
  <c r="AM205" i="67" s="1" a="1"/>
  <c r="AM205" i="67" s="1"/>
  <c r="AM206" i="67" s="1" a="1"/>
  <c r="AM206" i="67" s="1"/>
  <c r="AM207" i="67" s="1" a="1"/>
  <c r="AM207" i="67" s="1"/>
  <c r="AM208" i="67" s="1" a="1"/>
  <c r="AM208" i="67" s="1"/>
  <c r="AM209" i="67" s="1" a="1"/>
  <c r="AM209" i="67" s="1"/>
  <c r="AM210" i="67" s="1" a="1"/>
  <c r="AM210" i="67" s="1"/>
  <c r="AM211" i="67" s="1" a="1"/>
  <c r="AM211" i="67" s="1"/>
  <c r="AM212" i="67" s="1" a="1"/>
  <c r="AM212" i="67" s="1"/>
  <c r="AM213" i="67" s="1" a="1"/>
  <c r="AM213" i="67" s="1"/>
  <c r="AM214" i="67" s="1" a="1"/>
  <c r="AM214" i="67" s="1"/>
  <c r="AM215" i="67" s="1" a="1"/>
  <c r="AM215" i="67" s="1"/>
  <c r="AM216" i="67" s="1" a="1"/>
  <c r="AM216" i="67" s="1"/>
  <c r="AM217" i="67" s="1" a="1"/>
  <c r="AM217" i="67" s="1"/>
  <c r="AM218" i="67" s="1" a="1"/>
  <c r="AM218" i="67" s="1"/>
  <c r="AM219" i="67" s="1" a="1"/>
  <c r="AM219" i="67" s="1"/>
  <c r="AM220" i="67" s="1" a="1"/>
  <c r="AM220" i="67" s="1"/>
  <c r="AM221" i="67" s="1" a="1"/>
  <c r="AM221" i="67" s="1"/>
  <c r="AM222" i="67" s="1" a="1"/>
  <c r="AM222" i="67" s="1"/>
  <c r="AM223" i="67" s="1" a="1"/>
  <c r="AM223" i="67" s="1"/>
  <c r="AM224" i="67" s="1" a="1"/>
  <c r="AM224" i="67" s="1"/>
  <c r="AM225" i="67" s="1" a="1"/>
  <c r="AM225" i="67" s="1"/>
  <c r="AM226" i="67" s="1" a="1"/>
  <c r="AM226" i="67" s="1"/>
  <c r="AM227" i="67" s="1" a="1"/>
  <c r="AM227" i="67" s="1"/>
  <c r="AM228" i="67" s="1" a="1"/>
  <c r="AM228" i="67" s="1"/>
  <c r="AM229" i="67" s="1" a="1"/>
  <c r="AM229" i="67" s="1"/>
  <c r="AM230" i="67" s="1" a="1"/>
  <c r="AM230" i="67" s="1"/>
  <c r="AM231" i="67" s="1" a="1"/>
  <c r="AM231" i="67" s="1"/>
  <c r="AM232" i="67" s="1" a="1"/>
  <c r="AM232" i="67" s="1"/>
  <c r="AM233" i="67" s="1" a="1"/>
  <c r="AM233" i="67" s="1"/>
  <c r="AM234" i="67" s="1" a="1"/>
  <c r="AM234" i="67" s="1"/>
  <c r="AM235" i="67" s="1" a="1"/>
  <c r="AM235" i="67" s="1"/>
  <c r="AM236" i="67" s="1" a="1"/>
  <c r="AM236" i="67" s="1"/>
  <c r="AM237" i="67" s="1" a="1"/>
  <c r="AM237" i="67" s="1"/>
  <c r="AM238" i="67" s="1" a="1"/>
  <c r="AM238" i="67" s="1"/>
  <c r="AM239" i="67" s="1" a="1"/>
  <c r="AM239" i="67" s="1"/>
  <c r="AM240" i="67" s="1" a="1"/>
  <c r="AM240" i="67" s="1"/>
  <c r="AM241" i="67" s="1" a="1"/>
  <c r="AM241" i="67" s="1"/>
  <c r="AM242" i="67" s="1" a="1"/>
  <c r="AM242" i="67" s="1"/>
  <c r="AM243" i="67" s="1" a="1"/>
  <c r="AM243" i="67" s="1"/>
  <c r="AM244" i="67" s="1" a="1"/>
  <c r="AM244" i="67" s="1"/>
  <c r="AM245" i="67" s="1" a="1"/>
  <c r="AM245" i="67" s="1"/>
  <c r="AM246" i="67" s="1" a="1"/>
  <c r="AM246" i="67" s="1"/>
  <c r="AM247" i="67" s="1" a="1"/>
  <c r="AM247" i="67" s="1"/>
  <c r="AM248" i="67" s="1" a="1"/>
  <c r="AM248" i="67" s="1"/>
  <c r="AM249" i="67" s="1" a="1"/>
  <c r="AM249" i="67" s="1"/>
  <c r="AM250" i="67" s="1" a="1"/>
  <c r="AM250" i="67" s="1"/>
  <c r="AM251" i="67" s="1" a="1"/>
  <c r="AM251" i="67" s="1"/>
  <c r="AM252" i="67" s="1" a="1"/>
  <c r="AM252" i="67" s="1"/>
  <c r="AM253" i="67" s="1" a="1"/>
  <c r="AM253" i="67" s="1"/>
  <c r="AM254" i="67" s="1" a="1"/>
  <c r="AM254" i="67" s="1"/>
  <c r="AM255" i="67" s="1" a="1"/>
  <c r="AM255" i="67" s="1"/>
  <c r="AM256" i="67" s="1" a="1"/>
  <c r="AM256" i="67" s="1"/>
  <c r="AM257" i="67" s="1" a="1"/>
  <c r="AM257" i="67" s="1"/>
  <c r="C72" i="33"/>
  <c r="D2" i="61"/>
  <c r="D3" i="61"/>
  <c r="D4" i="61"/>
  <c r="D5" i="61"/>
  <c r="D6" i="61"/>
  <c r="D7" i="61"/>
  <c r="D8" i="61"/>
  <c r="D9" i="61"/>
  <c r="D10" i="61"/>
  <c r="D11" i="61"/>
  <c r="D12" i="61"/>
  <c r="D13" i="61"/>
  <c r="D14" i="61"/>
  <c r="D15" i="61"/>
  <c r="D16" i="61"/>
  <c r="D17" i="61"/>
  <c r="D18" i="61"/>
  <c r="D19" i="61"/>
  <c r="D20" i="61"/>
  <c r="D21" i="61"/>
  <c r="D22" i="61"/>
  <c r="D23" i="61"/>
  <c r="D24" i="61"/>
  <c r="D25" i="61"/>
  <c r="D26" i="61"/>
  <c r="D27" i="61"/>
  <c r="D28" i="61"/>
  <c r="D29" i="61"/>
  <c r="D30" i="61"/>
  <c r="D31" i="61"/>
  <c r="D32" i="61"/>
  <c r="D33" i="61"/>
  <c r="D34" i="61"/>
  <c r="D35" i="61"/>
  <c r="D36" i="61"/>
  <c r="D37" i="61"/>
  <c r="D38" i="61"/>
  <c r="D39" i="61"/>
  <c r="D40" i="61"/>
  <c r="D41" i="61"/>
  <c r="D42" i="61"/>
  <c r="D43" i="61"/>
  <c r="D44" i="61"/>
  <c r="D45" i="61"/>
  <c r="D46" i="61"/>
  <c r="D47" i="61"/>
  <c r="D48" i="61"/>
  <c r="D49" i="61"/>
  <c r="D50" i="61"/>
  <c r="D51" i="61"/>
  <c r="D52" i="61"/>
  <c r="D53" i="61"/>
  <c r="D54" i="61"/>
  <c r="D55" i="61"/>
  <c r="D56" i="61"/>
  <c r="D57" i="61"/>
  <c r="D58" i="61"/>
  <c r="D59" i="61"/>
  <c r="D60" i="61"/>
  <c r="D61" i="61"/>
  <c r="D62" i="61"/>
  <c r="D63" i="61"/>
  <c r="D64" i="61"/>
  <c r="D65" i="61"/>
  <c r="D66" i="61"/>
  <c r="D67" i="61"/>
  <c r="D68" i="61"/>
  <c r="D69" i="61"/>
  <c r="D70" i="61"/>
  <c r="D71" i="61"/>
  <c r="D72" i="61"/>
  <c r="D73" i="61"/>
  <c r="D74" i="61"/>
  <c r="D75" i="61"/>
  <c r="D76" i="61"/>
  <c r="D77" i="61"/>
  <c r="D78" i="61"/>
  <c r="D79" i="61"/>
  <c r="D80" i="61"/>
  <c r="D81" i="61"/>
  <c r="D82" i="61"/>
  <c r="D83" i="61"/>
  <c r="D84" i="61"/>
  <c r="D85" i="61"/>
  <c r="D86" i="61"/>
  <c r="D87" i="61"/>
  <c r="D88" i="61"/>
  <c r="D89" i="61"/>
  <c r="D90" i="61"/>
  <c r="D91" i="61"/>
  <c r="D92" i="61"/>
  <c r="D93" i="61"/>
  <c r="D94" i="61"/>
  <c r="D95" i="61"/>
  <c r="D96" i="61"/>
  <c r="D97" i="61"/>
  <c r="D98" i="61"/>
  <c r="D99" i="61"/>
  <c r="D100" i="61"/>
  <c r="D101" i="61"/>
  <c r="D102" i="61"/>
  <c r="D103" i="61"/>
  <c r="D104" i="61"/>
  <c r="D105" i="61"/>
  <c r="D106" i="61"/>
  <c r="D107" i="61"/>
  <c r="D108" i="61"/>
  <c r="D109" i="61"/>
  <c r="D110" i="61"/>
  <c r="D111" i="61"/>
  <c r="D112" i="61"/>
  <c r="D113" i="61"/>
  <c r="D114" i="61"/>
  <c r="D115" i="61"/>
  <c r="D116" i="61"/>
  <c r="D117" i="61"/>
  <c r="D118" i="61"/>
  <c r="D119" i="61"/>
  <c r="D120" i="61"/>
  <c r="D121" i="61"/>
  <c r="D122" i="61"/>
  <c r="D123" i="61"/>
  <c r="D124" i="61"/>
  <c r="D125" i="61"/>
  <c r="D126" i="61"/>
  <c r="D127" i="61"/>
  <c r="D128" i="61"/>
  <c r="D129" i="61"/>
  <c r="D130" i="61"/>
  <c r="D131" i="61"/>
  <c r="D132" i="61"/>
  <c r="D133" i="61"/>
  <c r="D134" i="61"/>
  <c r="D135" i="61"/>
  <c r="D136" i="61"/>
  <c r="D137" i="61"/>
  <c r="D138" i="61"/>
  <c r="D139" i="61"/>
  <c r="D140" i="61"/>
  <c r="D141" i="61"/>
  <c r="D142" i="61"/>
  <c r="D143" i="61"/>
  <c r="D144" i="61"/>
  <c r="D145" i="61"/>
  <c r="D146" i="61"/>
  <c r="D147" i="61"/>
  <c r="D148" i="61"/>
  <c r="D149" i="61"/>
  <c r="D150" i="61"/>
  <c r="D151" i="61"/>
  <c r="D152" i="61"/>
  <c r="D153" i="61"/>
  <c r="D154" i="61"/>
  <c r="D155" i="61"/>
  <c r="D156" i="61"/>
  <c r="AF31" i="53" l="1"/>
  <c r="AA31" i="53"/>
  <c r="AE33" i="57"/>
  <c r="R33" i="57"/>
  <c r="AE33" i="53"/>
  <c r="R33" i="53"/>
  <c r="AB30" i="57"/>
  <c r="AF30" i="57"/>
  <c r="AB15" i="65"/>
  <c r="AC15" i="65" s="1"/>
  <c r="AG15" i="65"/>
  <c r="AB14" i="65"/>
  <c r="AC14" i="65" s="1"/>
  <c r="AG14" i="65"/>
  <c r="C19" i="69"/>
  <c r="L19" i="69"/>
  <c r="AA30" i="57"/>
  <c r="O34" i="57"/>
  <c r="AG34" i="57" s="1"/>
  <c r="L34" i="57"/>
  <c r="X31" i="57"/>
  <c r="AJ33" i="57"/>
  <c r="AC33" i="57"/>
  <c r="AP33" i="57"/>
  <c r="P16" i="69"/>
  <c r="AG33" i="53"/>
  <c r="AH33" i="53"/>
  <c r="AC33" i="53"/>
  <c r="AT33" i="53"/>
  <c r="AD13" i="65"/>
  <c r="O16" i="65"/>
  <c r="P16" i="65" s="1"/>
  <c r="Y16" i="65" s="1"/>
  <c r="N34" i="57"/>
  <c r="N34" i="53"/>
  <c r="AD33" i="57"/>
  <c r="AD33" i="53"/>
  <c r="N18" i="65"/>
  <c r="N17" i="65"/>
  <c r="AE17" i="65" s="1"/>
  <c r="AK33" i="52" a="1"/>
  <c r="AK33" i="52" s="1"/>
  <c r="B35" i="53" s="1"/>
  <c r="O35" i="53" s="1"/>
  <c r="Q33" i="53"/>
  <c r="X32" i="53"/>
  <c r="AF32" i="53" s="1"/>
  <c r="F34" i="53"/>
  <c r="H34" i="53"/>
  <c r="D34" i="53"/>
  <c r="C34" i="53"/>
  <c r="L34" i="53"/>
  <c r="I34" i="53"/>
  <c r="G34" i="53"/>
  <c r="P34" i="53"/>
  <c r="K34" i="53"/>
  <c r="J34" i="53"/>
  <c r="E34" i="53"/>
  <c r="Q33" i="57"/>
  <c r="G34" i="57"/>
  <c r="E34" i="57"/>
  <c r="P34" i="57"/>
  <c r="D34" i="57"/>
  <c r="C34" i="57"/>
  <c r="M34" i="57" s="1"/>
  <c r="K34" i="57"/>
  <c r="I34" i="57"/>
  <c r="H34" i="57"/>
  <c r="F34" i="57"/>
  <c r="J34" i="57"/>
  <c r="T32" i="57"/>
  <c r="AK33" i="55" a="1"/>
  <c r="AK33" i="55" s="1"/>
  <c r="B35" i="57" s="1"/>
  <c r="O15" i="69"/>
  <c r="P15" i="69" s="1"/>
  <c r="Y15" i="69" s="1"/>
  <c r="O19" i="69"/>
  <c r="AN18" i="67" a="1"/>
  <c r="AN18" i="67" s="1"/>
  <c r="B20" i="69" s="1"/>
  <c r="D18" i="69"/>
  <c r="E18" i="69" s="1"/>
  <c r="F18" i="69" s="1"/>
  <c r="G18" i="69" s="1"/>
  <c r="H18" i="69" s="1"/>
  <c r="I18" i="69" s="1"/>
  <c r="J18" i="69" s="1"/>
  <c r="K18" i="69" s="1"/>
  <c r="M18" i="69" s="1"/>
  <c r="P18" i="69"/>
  <c r="N18" i="69"/>
  <c r="AF18" i="69" s="1"/>
  <c r="N17" i="69"/>
  <c r="AF17" i="69" s="1"/>
  <c r="D17" i="69"/>
  <c r="P17" i="69"/>
  <c r="P18" i="65"/>
  <c r="D18" i="65"/>
  <c r="E18" i="65" s="1"/>
  <c r="F18" i="65" s="1"/>
  <c r="G18" i="65" s="1"/>
  <c r="H18" i="65" s="1"/>
  <c r="I18" i="65" s="1"/>
  <c r="J18" i="65" s="1"/>
  <c r="K18" i="65" s="1"/>
  <c r="M18" i="65" s="1"/>
  <c r="AN18" i="63" a="1"/>
  <c r="AN18" i="63" s="1"/>
  <c r="B20" i="65" s="1"/>
  <c r="L20" i="65" s="1"/>
  <c r="P17" i="65"/>
  <c r="D17" i="65"/>
  <c r="E17" i="65" s="1"/>
  <c r="F17" i="65" s="1"/>
  <c r="G17" i="65" s="1"/>
  <c r="H17" i="65" s="1"/>
  <c r="I17" i="65" s="1"/>
  <c r="J17" i="65" s="1"/>
  <c r="K17" i="65" s="1"/>
  <c r="M17" i="65" s="1"/>
  <c r="C19" i="65"/>
  <c r="AM19" i="65" s="1"/>
  <c r="O19" i="65"/>
  <c r="AF18" i="65" l="1"/>
  <c r="AE18" i="65"/>
  <c r="AE34" i="57"/>
  <c r="R34" i="57"/>
  <c r="AE34" i="53"/>
  <c r="R34" i="53"/>
  <c r="N19" i="69"/>
  <c r="AF19" i="69" s="1"/>
  <c r="AO19" i="69"/>
  <c r="AF17" i="65"/>
  <c r="AB31" i="57"/>
  <c r="AF31" i="57"/>
  <c r="AB15" i="69"/>
  <c r="AC15" i="69" s="1"/>
  <c r="AD15" i="69" s="1"/>
  <c r="AG15" i="69"/>
  <c r="AB16" i="65"/>
  <c r="AC16" i="65" s="1"/>
  <c r="AG16" i="65"/>
  <c r="D19" i="69"/>
  <c r="E19" i="69" s="1"/>
  <c r="F19" i="69" s="1"/>
  <c r="G19" i="69" s="1"/>
  <c r="H19" i="69" s="1"/>
  <c r="I19" i="69" s="1"/>
  <c r="J19" i="69" s="1"/>
  <c r="K19" i="69" s="1"/>
  <c r="M19" i="69"/>
  <c r="P19" i="69"/>
  <c r="AX18" i="69"/>
  <c r="O20" i="69"/>
  <c r="L20" i="69"/>
  <c r="AX17" i="69"/>
  <c r="O35" i="57"/>
  <c r="AG35" i="57" s="1"/>
  <c r="L35" i="57"/>
  <c r="X32" i="57"/>
  <c r="AA31" i="57"/>
  <c r="AJ34" i="57"/>
  <c r="AC34" i="57"/>
  <c r="AP34" i="57"/>
  <c r="Y16" i="69"/>
  <c r="AH17" i="65"/>
  <c r="AV17" i="65"/>
  <c r="AH18" i="65"/>
  <c r="AV18" i="65"/>
  <c r="AH34" i="53"/>
  <c r="AC34" i="53"/>
  <c r="AT34" i="53"/>
  <c r="AB32" i="53"/>
  <c r="AA32" i="53"/>
  <c r="AG34" i="53"/>
  <c r="AD15" i="65"/>
  <c r="AD14" i="65"/>
  <c r="N35" i="57"/>
  <c r="E35" i="53"/>
  <c r="N35" i="53"/>
  <c r="AH18" i="69"/>
  <c r="AH17" i="69"/>
  <c r="AD34" i="57"/>
  <c r="AD34" i="53"/>
  <c r="N19" i="65"/>
  <c r="X33" i="53"/>
  <c r="AF33" i="53" s="1"/>
  <c r="Q34" i="53"/>
  <c r="J35" i="53"/>
  <c r="K35" i="53"/>
  <c r="P35" i="53"/>
  <c r="F35" i="53"/>
  <c r="D35" i="53"/>
  <c r="G35" i="53"/>
  <c r="H35" i="53"/>
  <c r="L35" i="53"/>
  <c r="AK34" i="52" a="1"/>
  <c r="AK34" i="52" s="1"/>
  <c r="B36" i="53" s="1"/>
  <c r="O36" i="53" s="1"/>
  <c r="I35" i="53"/>
  <c r="C35" i="53"/>
  <c r="I35" i="57"/>
  <c r="F35" i="57"/>
  <c r="E35" i="57"/>
  <c r="C35" i="57"/>
  <c r="M35" i="57" s="1"/>
  <c r="K35" i="57"/>
  <c r="J35" i="57"/>
  <c r="H35" i="57"/>
  <c r="D35" i="57"/>
  <c r="G35" i="57"/>
  <c r="P35" i="57"/>
  <c r="Q34" i="57"/>
  <c r="T33" i="57"/>
  <c r="AK34" i="55" a="1"/>
  <c r="AK34" i="55" s="1"/>
  <c r="B36" i="57" s="1"/>
  <c r="AN19" i="67" a="1"/>
  <c r="AN19" i="67" s="1"/>
  <c r="B21" i="69" s="1"/>
  <c r="C20" i="69"/>
  <c r="E17" i="69"/>
  <c r="F17" i="69" s="1"/>
  <c r="G17" i="69" s="1"/>
  <c r="H17" i="69" s="1"/>
  <c r="I17" i="69" s="1"/>
  <c r="J17" i="69" s="1"/>
  <c r="K17" i="69" s="1"/>
  <c r="M17" i="69" s="1"/>
  <c r="AE17" i="69"/>
  <c r="R17" i="69"/>
  <c r="S17" i="69" s="1"/>
  <c r="Q17" i="69"/>
  <c r="U17" i="69"/>
  <c r="AE18" i="69"/>
  <c r="R18" i="69"/>
  <c r="S18" i="69" s="1"/>
  <c r="Y18" i="69" s="1"/>
  <c r="AB18" i="69" s="1"/>
  <c r="AC18" i="69" s="1"/>
  <c r="AD18" i="69" s="1"/>
  <c r="U18" i="69"/>
  <c r="Q18" i="69"/>
  <c r="AN19" i="63" a="1"/>
  <c r="AN19" i="63" s="1"/>
  <c r="B21" i="65" s="1"/>
  <c r="L21" i="65" s="1"/>
  <c r="U18" i="65"/>
  <c r="Q18" i="65"/>
  <c r="R18" i="65"/>
  <c r="S18" i="65" s="1"/>
  <c r="Y18" i="65" s="1"/>
  <c r="AB18" i="65" s="1"/>
  <c r="AC18" i="65" s="1"/>
  <c r="AD18" i="65" s="1"/>
  <c r="O20" i="65"/>
  <c r="C20" i="65"/>
  <c r="AM20" i="65" s="1"/>
  <c r="P19" i="65"/>
  <c r="D19" i="65"/>
  <c r="E19" i="65" s="1"/>
  <c r="F19" i="65" s="1"/>
  <c r="G19" i="65" s="1"/>
  <c r="H19" i="65" s="1"/>
  <c r="I19" i="65" s="1"/>
  <c r="J19" i="65" s="1"/>
  <c r="K19" i="65" s="1"/>
  <c r="M19" i="65" s="1"/>
  <c r="Q17" i="65"/>
  <c r="R17" i="65"/>
  <c r="S17" i="65" s="1"/>
  <c r="Y17" i="65" s="1"/>
  <c r="AB17" i="65" s="1"/>
  <c r="AC17" i="65" s="1"/>
  <c r="AD17" i="65" s="1"/>
  <c r="U17" i="65"/>
  <c r="J40" i="36"/>
  <c r="J42" i="36"/>
  <c r="J44" i="36"/>
  <c r="J46" i="36"/>
  <c r="J48" i="36"/>
  <c r="AF19" i="65" l="1"/>
  <c r="AE19" i="65"/>
  <c r="AE35" i="57"/>
  <c r="R35" i="57"/>
  <c r="AE35" i="53"/>
  <c r="R35" i="53"/>
  <c r="AH19" i="69"/>
  <c r="U19" i="69"/>
  <c r="Q19" i="69"/>
  <c r="R19" i="69"/>
  <c r="S19" i="69" s="1"/>
  <c r="Y19" i="69" s="1"/>
  <c r="AE19" i="69"/>
  <c r="AX19" i="69"/>
  <c r="D20" i="69"/>
  <c r="E20" i="69" s="1"/>
  <c r="F20" i="69" s="1"/>
  <c r="G20" i="69" s="1"/>
  <c r="H20" i="69" s="1"/>
  <c r="I20" i="69" s="1"/>
  <c r="J20" i="69" s="1"/>
  <c r="K20" i="69" s="1"/>
  <c r="AO20" i="69"/>
  <c r="AA32" i="57"/>
  <c r="AF32" i="57"/>
  <c r="AB16" i="69"/>
  <c r="AC16" i="69" s="1"/>
  <c r="AD16" i="69" s="1"/>
  <c r="AG16" i="69"/>
  <c r="AG18" i="69"/>
  <c r="AG17" i="65"/>
  <c r="AG18" i="65"/>
  <c r="M20" i="69"/>
  <c r="Y17" i="69"/>
  <c r="O21" i="69"/>
  <c r="L21" i="69"/>
  <c r="X33" i="57"/>
  <c r="AB32" i="57"/>
  <c r="O36" i="57"/>
  <c r="AG36" i="57" s="1"/>
  <c r="L36" i="57"/>
  <c r="AJ35" i="57"/>
  <c r="AC35" i="57"/>
  <c r="AP35" i="57"/>
  <c r="AH19" i="65"/>
  <c r="AV19" i="65"/>
  <c r="AB33" i="53"/>
  <c r="AA33" i="53"/>
  <c r="AH35" i="53"/>
  <c r="AC35" i="53"/>
  <c r="AT35" i="53"/>
  <c r="AG35" i="53"/>
  <c r="AD16" i="65"/>
  <c r="N36" i="57"/>
  <c r="L36" i="53"/>
  <c r="N36" i="53"/>
  <c r="AD35" i="57"/>
  <c r="Q35" i="53"/>
  <c r="X35" i="53" s="1"/>
  <c r="AD35" i="53"/>
  <c r="N20" i="65"/>
  <c r="X34" i="53"/>
  <c r="AF34" i="53" s="1"/>
  <c r="AK35" i="52" a="1"/>
  <c r="AK35" i="52" s="1"/>
  <c r="B37" i="53" s="1"/>
  <c r="O37" i="53" s="1"/>
  <c r="C36" i="53"/>
  <c r="J36" i="53"/>
  <c r="F36" i="53"/>
  <c r="I36" i="53"/>
  <c r="G36" i="53"/>
  <c r="D36" i="53"/>
  <c r="H36" i="53"/>
  <c r="E36" i="53"/>
  <c r="K36" i="53"/>
  <c r="P36" i="53"/>
  <c r="T34" i="57"/>
  <c r="I36" i="57"/>
  <c r="H36" i="57"/>
  <c r="G36" i="57"/>
  <c r="E36" i="57"/>
  <c r="P36" i="57"/>
  <c r="D36" i="57"/>
  <c r="C36" i="57"/>
  <c r="M36" i="57" s="1"/>
  <c r="K36" i="57"/>
  <c r="F36" i="57"/>
  <c r="J36" i="57"/>
  <c r="Q35" i="57"/>
  <c r="AK35" i="55" a="1"/>
  <c r="AK35" i="55" s="1"/>
  <c r="B37" i="57" s="1"/>
  <c r="N20" i="69"/>
  <c r="AF20" i="69" s="1"/>
  <c r="P20" i="69"/>
  <c r="AN20" i="67" a="1"/>
  <c r="AN20" i="67" s="1"/>
  <c r="AN21" i="67" s="1" a="1"/>
  <c r="AN21" i="67" s="1"/>
  <c r="C21" i="69"/>
  <c r="R19" i="65"/>
  <c r="S19" i="65" s="1"/>
  <c r="Y19" i="65" s="1"/>
  <c r="AB19" i="65" s="1"/>
  <c r="AC19" i="65" s="1"/>
  <c r="AD19" i="65" s="1"/>
  <c r="U19" i="65"/>
  <c r="Q19" i="65"/>
  <c r="P20" i="65"/>
  <c r="D20" i="65"/>
  <c r="E20" i="65" s="1"/>
  <c r="F20" i="65" s="1"/>
  <c r="G20" i="65" s="1"/>
  <c r="H20" i="65" s="1"/>
  <c r="I20" i="65" s="1"/>
  <c r="J20" i="65" s="1"/>
  <c r="K20" i="65" s="1"/>
  <c r="M20" i="65" s="1"/>
  <c r="AN20" i="63" a="1"/>
  <c r="AN20" i="63" s="1"/>
  <c r="C21" i="65"/>
  <c r="AM21" i="65" s="1"/>
  <c r="O21" i="65"/>
  <c r="C158" i="72"/>
  <c r="B158" i="72"/>
  <c r="C157" i="72"/>
  <c r="B157" i="72"/>
  <c r="C156" i="72"/>
  <c r="B156" i="72"/>
  <c r="C155" i="72"/>
  <c r="B155" i="72"/>
  <c r="C154" i="72"/>
  <c r="B154" i="72"/>
  <c r="C153" i="72"/>
  <c r="B153" i="72"/>
  <c r="C152" i="72"/>
  <c r="B152" i="72"/>
  <c r="C151" i="72"/>
  <c r="B151" i="72"/>
  <c r="C150" i="72"/>
  <c r="B150" i="72"/>
  <c r="C80" i="72"/>
  <c r="C77" i="72"/>
  <c r="C76" i="72"/>
  <c r="C75" i="72"/>
  <c r="C73" i="72"/>
  <c r="C72" i="72"/>
  <c r="C71" i="72"/>
  <c r="B80" i="72"/>
  <c r="B77" i="72"/>
  <c r="B76" i="72"/>
  <c r="B75" i="72"/>
  <c r="B73" i="72"/>
  <c r="B72" i="72"/>
  <c r="B71" i="72"/>
  <c r="B31" i="72"/>
  <c r="B30" i="72"/>
  <c r="B29" i="72"/>
  <c r="B28" i="72"/>
  <c r="B27" i="72"/>
  <c r="M256" i="71"/>
  <c r="I256" i="71"/>
  <c r="M255" i="71"/>
  <c r="I255" i="71"/>
  <c r="M254" i="71"/>
  <c r="I254" i="71"/>
  <c r="M253" i="71"/>
  <c r="I253" i="71"/>
  <c r="M252" i="71"/>
  <c r="I252" i="71"/>
  <c r="M251" i="71"/>
  <c r="I251" i="71"/>
  <c r="M250" i="71"/>
  <c r="I250" i="71"/>
  <c r="M249" i="71"/>
  <c r="I249" i="71"/>
  <c r="M248" i="71"/>
  <c r="I248" i="71"/>
  <c r="M247" i="71"/>
  <c r="I247" i="71"/>
  <c r="M246" i="71"/>
  <c r="I246" i="71"/>
  <c r="M245" i="71"/>
  <c r="I245" i="71"/>
  <c r="M244" i="71"/>
  <c r="I244" i="71"/>
  <c r="M243" i="71"/>
  <c r="I243" i="71"/>
  <c r="M242" i="71"/>
  <c r="I242" i="71"/>
  <c r="M241" i="71"/>
  <c r="I241" i="71"/>
  <c r="M240" i="71"/>
  <c r="I240" i="71"/>
  <c r="M239" i="71"/>
  <c r="I239" i="71"/>
  <c r="M238" i="71"/>
  <c r="I238" i="71"/>
  <c r="M237" i="71"/>
  <c r="I237" i="71"/>
  <c r="M236" i="71"/>
  <c r="I236" i="71"/>
  <c r="M235" i="71"/>
  <c r="I235" i="71"/>
  <c r="M234" i="71"/>
  <c r="I234" i="71"/>
  <c r="M233" i="71"/>
  <c r="I233" i="71"/>
  <c r="M232" i="71"/>
  <c r="I232" i="71"/>
  <c r="M231" i="71"/>
  <c r="I231" i="71"/>
  <c r="M230" i="71"/>
  <c r="I230" i="71"/>
  <c r="M229" i="71"/>
  <c r="I229" i="71"/>
  <c r="M228" i="71"/>
  <c r="I228" i="71"/>
  <c r="M227" i="71"/>
  <c r="I227" i="71"/>
  <c r="M226" i="71"/>
  <c r="I226" i="71"/>
  <c r="M225" i="71"/>
  <c r="I225" i="71"/>
  <c r="M224" i="71"/>
  <c r="I224" i="71"/>
  <c r="M223" i="71"/>
  <c r="I223" i="71"/>
  <c r="M222" i="71"/>
  <c r="I222" i="71"/>
  <c r="M221" i="71"/>
  <c r="I221" i="71"/>
  <c r="M220" i="71"/>
  <c r="I220" i="71"/>
  <c r="M219" i="71"/>
  <c r="I219" i="71"/>
  <c r="M218" i="71"/>
  <c r="I218" i="71"/>
  <c r="M217" i="71"/>
  <c r="I217" i="71"/>
  <c r="M216" i="71"/>
  <c r="I216" i="71"/>
  <c r="M215" i="71"/>
  <c r="I215" i="71"/>
  <c r="M214" i="71"/>
  <c r="I214" i="71"/>
  <c r="M213" i="71"/>
  <c r="I213" i="71"/>
  <c r="M212" i="71"/>
  <c r="I212" i="71"/>
  <c r="M211" i="71"/>
  <c r="I211" i="71"/>
  <c r="M210" i="71"/>
  <c r="I210" i="71"/>
  <c r="M209" i="71"/>
  <c r="I209" i="71"/>
  <c r="M208" i="71"/>
  <c r="I208" i="71"/>
  <c r="M207" i="71"/>
  <c r="I207" i="71"/>
  <c r="M206" i="71"/>
  <c r="I206" i="71"/>
  <c r="M205" i="71"/>
  <c r="I205" i="71"/>
  <c r="M204" i="71"/>
  <c r="I204" i="71"/>
  <c r="M203" i="71"/>
  <c r="I203" i="71"/>
  <c r="M202" i="71"/>
  <c r="I202" i="71"/>
  <c r="M201" i="71"/>
  <c r="I201" i="71"/>
  <c r="M200" i="71"/>
  <c r="I200" i="71"/>
  <c r="M199" i="71"/>
  <c r="I199" i="71"/>
  <c r="M198" i="71"/>
  <c r="I198" i="71"/>
  <c r="M197" i="71"/>
  <c r="I197" i="71"/>
  <c r="M196" i="71"/>
  <c r="I196" i="71"/>
  <c r="M195" i="71"/>
  <c r="I195" i="71"/>
  <c r="M194" i="71"/>
  <c r="I194" i="71"/>
  <c r="M193" i="71"/>
  <c r="I193" i="71"/>
  <c r="M192" i="71"/>
  <c r="I192" i="71"/>
  <c r="M191" i="71"/>
  <c r="I191" i="71"/>
  <c r="M190" i="71"/>
  <c r="I190" i="71"/>
  <c r="M189" i="71"/>
  <c r="I189" i="71"/>
  <c r="M188" i="71"/>
  <c r="I188" i="71"/>
  <c r="M187" i="71"/>
  <c r="I187" i="71"/>
  <c r="M186" i="71"/>
  <c r="I186" i="71"/>
  <c r="M185" i="71"/>
  <c r="I185" i="71"/>
  <c r="M184" i="71"/>
  <c r="I184" i="71"/>
  <c r="M183" i="71"/>
  <c r="I183" i="71"/>
  <c r="M182" i="71"/>
  <c r="I182" i="71"/>
  <c r="M181" i="71"/>
  <c r="I181" i="71"/>
  <c r="M180" i="71"/>
  <c r="I180" i="71"/>
  <c r="M179" i="71"/>
  <c r="I179" i="71"/>
  <c r="M178" i="71"/>
  <c r="I178" i="71"/>
  <c r="M177" i="71"/>
  <c r="I177" i="71"/>
  <c r="M176" i="71"/>
  <c r="I176" i="71"/>
  <c r="M175" i="71"/>
  <c r="I175" i="71"/>
  <c r="M174" i="71"/>
  <c r="I174" i="71"/>
  <c r="M173" i="71"/>
  <c r="I173" i="71"/>
  <c r="M172" i="71"/>
  <c r="I172" i="71"/>
  <c r="M171" i="71"/>
  <c r="I171" i="71"/>
  <c r="M170" i="71"/>
  <c r="I170" i="71"/>
  <c r="M169" i="71"/>
  <c r="I169" i="71"/>
  <c r="M168" i="71"/>
  <c r="I168" i="71"/>
  <c r="M167" i="71"/>
  <c r="I167" i="71"/>
  <c r="M166" i="71"/>
  <c r="I166" i="71"/>
  <c r="M165" i="71"/>
  <c r="I165" i="71"/>
  <c r="M164" i="71"/>
  <c r="I164" i="71"/>
  <c r="M163" i="71"/>
  <c r="I163" i="71"/>
  <c r="M162" i="71"/>
  <c r="I162" i="71"/>
  <c r="M161" i="71"/>
  <c r="I161" i="71"/>
  <c r="M160" i="71"/>
  <c r="I160" i="71"/>
  <c r="M159" i="71"/>
  <c r="I159" i="71"/>
  <c r="M158" i="71"/>
  <c r="I158" i="71"/>
  <c r="M157" i="71"/>
  <c r="I157" i="71"/>
  <c r="M156" i="71"/>
  <c r="I156" i="71"/>
  <c r="M155" i="71"/>
  <c r="I155" i="71"/>
  <c r="M154" i="71"/>
  <c r="I154" i="71"/>
  <c r="M153" i="71"/>
  <c r="I153" i="71"/>
  <c r="M152" i="71"/>
  <c r="I152" i="71"/>
  <c r="M151" i="71"/>
  <c r="I151" i="71"/>
  <c r="M150" i="71"/>
  <c r="I150" i="71"/>
  <c r="M149" i="71"/>
  <c r="I149" i="71"/>
  <c r="M148" i="71"/>
  <c r="I148" i="71"/>
  <c r="M147" i="71"/>
  <c r="I147" i="71"/>
  <c r="M146" i="71"/>
  <c r="I146" i="71"/>
  <c r="M145" i="71"/>
  <c r="I145" i="71"/>
  <c r="M144" i="71"/>
  <c r="I144" i="71"/>
  <c r="M143" i="71"/>
  <c r="I143" i="71"/>
  <c r="M142" i="71"/>
  <c r="I142" i="71"/>
  <c r="M141" i="71"/>
  <c r="I141" i="71"/>
  <c r="M140" i="71"/>
  <c r="I140" i="71"/>
  <c r="M139" i="71"/>
  <c r="I139" i="71"/>
  <c r="M138" i="71"/>
  <c r="I138" i="71"/>
  <c r="M137" i="71"/>
  <c r="I137" i="71"/>
  <c r="M136" i="71"/>
  <c r="I136" i="71"/>
  <c r="M135" i="71"/>
  <c r="I135" i="71"/>
  <c r="M134" i="71"/>
  <c r="I134" i="71"/>
  <c r="M133" i="71"/>
  <c r="I133" i="71"/>
  <c r="M132" i="71"/>
  <c r="I132" i="71"/>
  <c r="M131" i="71"/>
  <c r="I131" i="71"/>
  <c r="M130" i="71"/>
  <c r="I130" i="71"/>
  <c r="M129" i="71"/>
  <c r="I129" i="71"/>
  <c r="M128" i="71"/>
  <c r="I128" i="71"/>
  <c r="M127" i="71"/>
  <c r="I127" i="71"/>
  <c r="M126" i="71"/>
  <c r="I126" i="71"/>
  <c r="M125" i="71"/>
  <c r="I125" i="71"/>
  <c r="M124" i="71"/>
  <c r="I124" i="71"/>
  <c r="M123" i="71"/>
  <c r="I123" i="71"/>
  <c r="M122" i="71"/>
  <c r="I122" i="71"/>
  <c r="M121" i="71"/>
  <c r="I121" i="71"/>
  <c r="M120" i="71"/>
  <c r="I120" i="71"/>
  <c r="M119" i="71"/>
  <c r="I119" i="71"/>
  <c r="M118" i="71"/>
  <c r="I118" i="71"/>
  <c r="M117" i="71"/>
  <c r="I117" i="71"/>
  <c r="M116" i="71"/>
  <c r="I116" i="71"/>
  <c r="M115" i="71"/>
  <c r="I115" i="71"/>
  <c r="M114" i="71"/>
  <c r="I114" i="71"/>
  <c r="M113" i="71"/>
  <c r="I113" i="71"/>
  <c r="M112" i="71"/>
  <c r="I112" i="71"/>
  <c r="M111" i="71"/>
  <c r="I111" i="71"/>
  <c r="M110" i="71"/>
  <c r="I110" i="71"/>
  <c r="M109" i="71"/>
  <c r="I109" i="71"/>
  <c r="M108" i="71"/>
  <c r="I108" i="71"/>
  <c r="M107" i="71"/>
  <c r="I107" i="71"/>
  <c r="M106" i="71"/>
  <c r="I106" i="71"/>
  <c r="M105" i="71"/>
  <c r="I105" i="71"/>
  <c r="M104" i="71"/>
  <c r="I104" i="71"/>
  <c r="M103" i="71"/>
  <c r="I103" i="71"/>
  <c r="M102" i="71"/>
  <c r="I102" i="71"/>
  <c r="M101" i="71"/>
  <c r="I101" i="71"/>
  <c r="M100" i="71"/>
  <c r="I100" i="71"/>
  <c r="M99" i="71"/>
  <c r="I99" i="71"/>
  <c r="M98" i="71"/>
  <c r="I98" i="71"/>
  <c r="M97" i="71"/>
  <c r="I97" i="71"/>
  <c r="M96" i="71"/>
  <c r="I96" i="71"/>
  <c r="M95" i="71"/>
  <c r="I95" i="71"/>
  <c r="M94" i="71"/>
  <c r="I94" i="71"/>
  <c r="M93" i="71"/>
  <c r="I93" i="71"/>
  <c r="M92" i="71"/>
  <c r="I92" i="71"/>
  <c r="M91" i="71"/>
  <c r="I91" i="71"/>
  <c r="M90" i="71"/>
  <c r="I90" i="71"/>
  <c r="M89" i="71"/>
  <c r="I89" i="71"/>
  <c r="M88" i="71"/>
  <c r="I88" i="71"/>
  <c r="M87" i="71"/>
  <c r="I87" i="71"/>
  <c r="M86" i="71"/>
  <c r="I86" i="71"/>
  <c r="M85" i="71"/>
  <c r="I85" i="71"/>
  <c r="M84" i="71"/>
  <c r="I84" i="71"/>
  <c r="M83" i="71"/>
  <c r="I83" i="71"/>
  <c r="M82" i="71"/>
  <c r="I82" i="71"/>
  <c r="M81" i="71"/>
  <c r="I81" i="71"/>
  <c r="M80" i="71"/>
  <c r="I80" i="71"/>
  <c r="M79" i="71"/>
  <c r="I79" i="71"/>
  <c r="M78" i="71"/>
  <c r="I78" i="71"/>
  <c r="M77" i="71"/>
  <c r="I77" i="71"/>
  <c r="M76" i="71"/>
  <c r="I76" i="71"/>
  <c r="M75" i="71"/>
  <c r="I75" i="71"/>
  <c r="M74" i="71"/>
  <c r="I74" i="71"/>
  <c r="M73" i="71"/>
  <c r="I73" i="71"/>
  <c r="M72" i="71"/>
  <c r="I72" i="71"/>
  <c r="M71" i="71"/>
  <c r="I71" i="71"/>
  <c r="M70" i="71"/>
  <c r="I70" i="71"/>
  <c r="M69" i="71"/>
  <c r="I69" i="71"/>
  <c r="M68" i="71"/>
  <c r="I68" i="71"/>
  <c r="M67" i="71"/>
  <c r="I67" i="71"/>
  <c r="M66" i="71"/>
  <c r="I66" i="71"/>
  <c r="M65" i="71"/>
  <c r="I65" i="71"/>
  <c r="M64" i="71"/>
  <c r="I64" i="71"/>
  <c r="M63" i="71"/>
  <c r="I63" i="71"/>
  <c r="M62" i="71"/>
  <c r="I62" i="71"/>
  <c r="M61" i="71"/>
  <c r="I61" i="71"/>
  <c r="M60" i="71"/>
  <c r="I60" i="71"/>
  <c r="M59" i="71"/>
  <c r="I59" i="71"/>
  <c r="M58" i="71"/>
  <c r="I58" i="71"/>
  <c r="M57" i="71"/>
  <c r="I57" i="71"/>
  <c r="M56" i="71"/>
  <c r="I56" i="71"/>
  <c r="M55" i="71"/>
  <c r="I55" i="71"/>
  <c r="M54" i="71"/>
  <c r="I54" i="71"/>
  <c r="M53" i="71"/>
  <c r="I53" i="71"/>
  <c r="M52" i="71"/>
  <c r="I52" i="71"/>
  <c r="M51" i="71"/>
  <c r="I51" i="71"/>
  <c r="M50" i="71"/>
  <c r="I50" i="71"/>
  <c r="M49" i="71"/>
  <c r="I49" i="71"/>
  <c r="M48" i="71"/>
  <c r="I48" i="71"/>
  <c r="M47" i="71"/>
  <c r="I47" i="71"/>
  <c r="M46" i="71"/>
  <c r="I46" i="71"/>
  <c r="M45" i="71"/>
  <c r="I45" i="71"/>
  <c r="M44" i="71"/>
  <c r="I44" i="71"/>
  <c r="M43" i="71"/>
  <c r="I43" i="71"/>
  <c r="M42" i="71"/>
  <c r="I42" i="71"/>
  <c r="M41" i="71"/>
  <c r="I41" i="71"/>
  <c r="M40" i="71"/>
  <c r="I40" i="71"/>
  <c r="M39" i="71"/>
  <c r="I39" i="71"/>
  <c r="M38" i="71"/>
  <c r="I38" i="71"/>
  <c r="M37" i="71"/>
  <c r="I37" i="71"/>
  <c r="M36" i="71"/>
  <c r="I36" i="71"/>
  <c r="M35" i="71"/>
  <c r="I35" i="71"/>
  <c r="M34" i="71"/>
  <c r="I34" i="71"/>
  <c r="M33" i="71"/>
  <c r="I33" i="71"/>
  <c r="M32" i="71"/>
  <c r="I32" i="71"/>
  <c r="M31" i="71"/>
  <c r="I31" i="71"/>
  <c r="M30" i="71"/>
  <c r="I30" i="71"/>
  <c r="M29" i="71"/>
  <c r="I29" i="71"/>
  <c r="M28" i="71"/>
  <c r="I28" i="71"/>
  <c r="M27" i="71"/>
  <c r="I27" i="71"/>
  <c r="M26" i="71"/>
  <c r="I26" i="71"/>
  <c r="M25" i="71"/>
  <c r="I25" i="71"/>
  <c r="M24" i="71"/>
  <c r="I24" i="71"/>
  <c r="M23" i="71"/>
  <c r="I23" i="71"/>
  <c r="M22" i="71"/>
  <c r="I22" i="71"/>
  <c r="M21" i="71"/>
  <c r="I21" i="71"/>
  <c r="M20" i="71"/>
  <c r="I20" i="71"/>
  <c r="M19" i="71"/>
  <c r="I19" i="71"/>
  <c r="M18" i="71"/>
  <c r="I18" i="71"/>
  <c r="M17" i="71"/>
  <c r="I17" i="71"/>
  <c r="M16" i="71"/>
  <c r="I16" i="71"/>
  <c r="M15" i="71"/>
  <c r="I15" i="71"/>
  <c r="M14" i="71"/>
  <c r="I14" i="71"/>
  <c r="M13" i="71"/>
  <c r="I13" i="71"/>
  <c r="M12" i="71"/>
  <c r="I12" i="71"/>
  <c r="O258" i="59"/>
  <c r="N258" i="59"/>
  <c r="J258" i="59"/>
  <c r="O257" i="59"/>
  <c r="N257" i="59"/>
  <c r="J257" i="59"/>
  <c r="O256" i="59"/>
  <c r="N256" i="59"/>
  <c r="J256" i="59"/>
  <c r="O255" i="59"/>
  <c r="N255" i="59"/>
  <c r="J255" i="59"/>
  <c r="O254" i="59"/>
  <c r="N254" i="59"/>
  <c r="J254" i="59"/>
  <c r="O253" i="59"/>
  <c r="N253" i="59"/>
  <c r="J253" i="59"/>
  <c r="O252" i="59"/>
  <c r="N252" i="59"/>
  <c r="J252" i="59"/>
  <c r="O251" i="59"/>
  <c r="N251" i="59"/>
  <c r="J251" i="59"/>
  <c r="O250" i="59"/>
  <c r="N250" i="59"/>
  <c r="J250" i="59"/>
  <c r="O249" i="59"/>
  <c r="N249" i="59"/>
  <c r="J249" i="59"/>
  <c r="O248" i="59"/>
  <c r="N248" i="59"/>
  <c r="J248" i="59"/>
  <c r="O247" i="59"/>
  <c r="N247" i="59"/>
  <c r="J247" i="59"/>
  <c r="O246" i="59"/>
  <c r="N246" i="59"/>
  <c r="J246" i="59"/>
  <c r="O245" i="59"/>
  <c r="N245" i="59"/>
  <c r="J245" i="59"/>
  <c r="O244" i="59"/>
  <c r="N244" i="59"/>
  <c r="J244" i="59"/>
  <c r="O243" i="59"/>
  <c r="N243" i="59"/>
  <c r="J243" i="59"/>
  <c r="O242" i="59"/>
  <c r="N242" i="59"/>
  <c r="J242" i="59"/>
  <c r="O241" i="59"/>
  <c r="N241" i="59"/>
  <c r="J241" i="59"/>
  <c r="O240" i="59"/>
  <c r="N240" i="59"/>
  <c r="J240" i="59"/>
  <c r="O239" i="59"/>
  <c r="N239" i="59"/>
  <c r="J239" i="59"/>
  <c r="O238" i="59"/>
  <c r="N238" i="59"/>
  <c r="J238" i="59"/>
  <c r="O237" i="59"/>
  <c r="N237" i="59"/>
  <c r="J237" i="59"/>
  <c r="O236" i="59"/>
  <c r="N236" i="59"/>
  <c r="J236" i="59"/>
  <c r="O235" i="59"/>
  <c r="N235" i="59"/>
  <c r="J235" i="59"/>
  <c r="O234" i="59"/>
  <c r="N234" i="59"/>
  <c r="J234" i="59"/>
  <c r="O233" i="59"/>
  <c r="N233" i="59"/>
  <c r="J233" i="59"/>
  <c r="O232" i="59"/>
  <c r="N232" i="59"/>
  <c r="J232" i="59"/>
  <c r="O231" i="59"/>
  <c r="N231" i="59"/>
  <c r="J231" i="59"/>
  <c r="O230" i="59"/>
  <c r="N230" i="59"/>
  <c r="J230" i="59"/>
  <c r="O229" i="59"/>
  <c r="N229" i="59"/>
  <c r="J229" i="59"/>
  <c r="O228" i="59"/>
  <c r="N228" i="59"/>
  <c r="J228" i="59"/>
  <c r="O227" i="59"/>
  <c r="N227" i="59"/>
  <c r="J227" i="59"/>
  <c r="O226" i="59"/>
  <c r="N226" i="59"/>
  <c r="J226" i="59"/>
  <c r="O225" i="59"/>
  <c r="N225" i="59"/>
  <c r="J225" i="59"/>
  <c r="O224" i="59"/>
  <c r="N224" i="59"/>
  <c r="J224" i="59"/>
  <c r="O223" i="59"/>
  <c r="N223" i="59"/>
  <c r="J223" i="59"/>
  <c r="O222" i="59"/>
  <c r="N222" i="59"/>
  <c r="J222" i="59"/>
  <c r="O221" i="59"/>
  <c r="N221" i="59"/>
  <c r="J221" i="59"/>
  <c r="O220" i="59"/>
  <c r="N220" i="59"/>
  <c r="J220" i="59"/>
  <c r="O219" i="59"/>
  <c r="N219" i="59"/>
  <c r="J219" i="59"/>
  <c r="O218" i="59"/>
  <c r="N218" i="59"/>
  <c r="J218" i="59"/>
  <c r="O217" i="59"/>
  <c r="N217" i="59"/>
  <c r="J217" i="59"/>
  <c r="O216" i="59"/>
  <c r="N216" i="59"/>
  <c r="J216" i="59"/>
  <c r="O215" i="59"/>
  <c r="N215" i="59"/>
  <c r="J215" i="59"/>
  <c r="O214" i="59"/>
  <c r="N214" i="59"/>
  <c r="J214" i="59"/>
  <c r="O213" i="59"/>
  <c r="N213" i="59"/>
  <c r="J213" i="59"/>
  <c r="O212" i="59"/>
  <c r="N212" i="59"/>
  <c r="J212" i="59"/>
  <c r="O211" i="59"/>
  <c r="N211" i="59"/>
  <c r="J211" i="59"/>
  <c r="O210" i="59"/>
  <c r="N210" i="59"/>
  <c r="J210" i="59"/>
  <c r="O209" i="59"/>
  <c r="N209" i="59"/>
  <c r="J209" i="59"/>
  <c r="O208" i="59"/>
  <c r="N208" i="59"/>
  <c r="J208" i="59"/>
  <c r="O207" i="59"/>
  <c r="N207" i="59"/>
  <c r="J207" i="59"/>
  <c r="O206" i="59"/>
  <c r="N206" i="59"/>
  <c r="J206" i="59"/>
  <c r="O205" i="59"/>
  <c r="N205" i="59"/>
  <c r="J205" i="59"/>
  <c r="O204" i="59"/>
  <c r="N204" i="59"/>
  <c r="J204" i="59"/>
  <c r="O203" i="59"/>
  <c r="N203" i="59"/>
  <c r="J203" i="59"/>
  <c r="O202" i="59"/>
  <c r="N202" i="59"/>
  <c r="J202" i="59"/>
  <c r="O201" i="59"/>
  <c r="N201" i="59"/>
  <c r="J201" i="59"/>
  <c r="O200" i="59"/>
  <c r="N200" i="59"/>
  <c r="J200" i="59"/>
  <c r="O199" i="59"/>
  <c r="N199" i="59"/>
  <c r="J199" i="59"/>
  <c r="O198" i="59"/>
  <c r="N198" i="59"/>
  <c r="J198" i="59"/>
  <c r="O197" i="59"/>
  <c r="N197" i="59"/>
  <c r="J197" i="59"/>
  <c r="O196" i="59"/>
  <c r="N196" i="59"/>
  <c r="J196" i="59"/>
  <c r="O195" i="59"/>
  <c r="N195" i="59"/>
  <c r="J195" i="59"/>
  <c r="O194" i="59"/>
  <c r="N194" i="59"/>
  <c r="J194" i="59"/>
  <c r="O193" i="59"/>
  <c r="N193" i="59"/>
  <c r="J193" i="59"/>
  <c r="O192" i="59"/>
  <c r="N192" i="59"/>
  <c r="J192" i="59"/>
  <c r="O191" i="59"/>
  <c r="N191" i="59"/>
  <c r="J191" i="59"/>
  <c r="O190" i="59"/>
  <c r="N190" i="59"/>
  <c r="J190" i="59"/>
  <c r="O189" i="59"/>
  <c r="N189" i="59"/>
  <c r="J189" i="59"/>
  <c r="O188" i="59"/>
  <c r="N188" i="59"/>
  <c r="J188" i="59"/>
  <c r="O187" i="59"/>
  <c r="N187" i="59"/>
  <c r="J187" i="59"/>
  <c r="O186" i="59"/>
  <c r="N186" i="59"/>
  <c r="J186" i="59"/>
  <c r="O185" i="59"/>
  <c r="N185" i="59"/>
  <c r="J185" i="59"/>
  <c r="O184" i="59"/>
  <c r="N184" i="59"/>
  <c r="J184" i="59"/>
  <c r="O183" i="59"/>
  <c r="N183" i="59"/>
  <c r="J183" i="59"/>
  <c r="O182" i="59"/>
  <c r="N182" i="59"/>
  <c r="J182" i="59"/>
  <c r="O181" i="59"/>
  <c r="N181" i="59"/>
  <c r="J181" i="59"/>
  <c r="O180" i="59"/>
  <c r="N180" i="59"/>
  <c r="J180" i="59"/>
  <c r="O179" i="59"/>
  <c r="N179" i="59"/>
  <c r="J179" i="59"/>
  <c r="O178" i="59"/>
  <c r="N178" i="59"/>
  <c r="J178" i="59"/>
  <c r="O177" i="59"/>
  <c r="N177" i="59"/>
  <c r="J177" i="59"/>
  <c r="O176" i="59"/>
  <c r="N176" i="59"/>
  <c r="J176" i="59"/>
  <c r="O175" i="59"/>
  <c r="N175" i="59"/>
  <c r="J175" i="59"/>
  <c r="O174" i="59"/>
  <c r="N174" i="59"/>
  <c r="J174" i="59"/>
  <c r="O173" i="59"/>
  <c r="N173" i="59"/>
  <c r="J173" i="59"/>
  <c r="O172" i="59"/>
  <c r="N172" i="59"/>
  <c r="J172" i="59"/>
  <c r="O171" i="59"/>
  <c r="N171" i="59"/>
  <c r="J171" i="59"/>
  <c r="O170" i="59"/>
  <c r="N170" i="59"/>
  <c r="J170" i="59"/>
  <c r="O169" i="59"/>
  <c r="N169" i="59"/>
  <c r="J169" i="59"/>
  <c r="O168" i="59"/>
  <c r="N168" i="59"/>
  <c r="J168" i="59"/>
  <c r="O167" i="59"/>
  <c r="N167" i="59"/>
  <c r="J167" i="59"/>
  <c r="O166" i="59"/>
  <c r="N166" i="59"/>
  <c r="J166" i="59"/>
  <c r="O165" i="59"/>
  <c r="N165" i="59"/>
  <c r="J165" i="59"/>
  <c r="O164" i="59"/>
  <c r="N164" i="59"/>
  <c r="J164" i="59"/>
  <c r="O163" i="59"/>
  <c r="N163" i="59"/>
  <c r="J163" i="59"/>
  <c r="O162" i="59"/>
  <c r="N162" i="59"/>
  <c r="J162" i="59"/>
  <c r="O161" i="59"/>
  <c r="N161" i="59"/>
  <c r="J161" i="59"/>
  <c r="O160" i="59"/>
  <c r="N160" i="59"/>
  <c r="J160" i="59"/>
  <c r="O159" i="59"/>
  <c r="N159" i="59"/>
  <c r="J159" i="59"/>
  <c r="O158" i="59"/>
  <c r="N158" i="59"/>
  <c r="J158" i="59"/>
  <c r="O157" i="59"/>
  <c r="N157" i="59"/>
  <c r="J157" i="59"/>
  <c r="O156" i="59"/>
  <c r="N156" i="59"/>
  <c r="J156" i="59"/>
  <c r="O155" i="59"/>
  <c r="N155" i="59"/>
  <c r="J155" i="59"/>
  <c r="O154" i="59"/>
  <c r="N154" i="59"/>
  <c r="J154" i="59"/>
  <c r="O153" i="59"/>
  <c r="N153" i="59"/>
  <c r="J153" i="59"/>
  <c r="O152" i="59"/>
  <c r="N152" i="59"/>
  <c r="J152" i="59"/>
  <c r="O151" i="59"/>
  <c r="N151" i="59"/>
  <c r="J151" i="59"/>
  <c r="O150" i="59"/>
  <c r="N150" i="59"/>
  <c r="J150" i="59"/>
  <c r="O149" i="59"/>
  <c r="N149" i="59"/>
  <c r="J149" i="59"/>
  <c r="O148" i="59"/>
  <c r="N148" i="59"/>
  <c r="J148" i="59"/>
  <c r="O147" i="59"/>
  <c r="N147" i="59"/>
  <c r="J147" i="59"/>
  <c r="O146" i="59"/>
  <c r="N146" i="59"/>
  <c r="J146" i="59"/>
  <c r="O145" i="59"/>
  <c r="N145" i="59"/>
  <c r="J145" i="59"/>
  <c r="O144" i="59"/>
  <c r="N144" i="59"/>
  <c r="J144" i="59"/>
  <c r="O143" i="59"/>
  <c r="N143" i="59"/>
  <c r="J143" i="59"/>
  <c r="O142" i="59"/>
  <c r="N142" i="59"/>
  <c r="J142" i="59"/>
  <c r="O141" i="59"/>
  <c r="N141" i="59"/>
  <c r="J141" i="59"/>
  <c r="O140" i="59"/>
  <c r="N140" i="59"/>
  <c r="J140" i="59"/>
  <c r="O139" i="59"/>
  <c r="N139" i="59"/>
  <c r="J139" i="59"/>
  <c r="O138" i="59"/>
  <c r="N138" i="59"/>
  <c r="J138" i="59"/>
  <c r="O137" i="59"/>
  <c r="N137" i="59"/>
  <c r="J137" i="59"/>
  <c r="O136" i="59"/>
  <c r="N136" i="59"/>
  <c r="J136" i="59"/>
  <c r="O135" i="59"/>
  <c r="N135" i="59"/>
  <c r="J135" i="59"/>
  <c r="O134" i="59"/>
  <c r="N134" i="59"/>
  <c r="J134" i="59"/>
  <c r="O133" i="59"/>
  <c r="N133" i="59"/>
  <c r="J133" i="59"/>
  <c r="O132" i="59"/>
  <c r="N132" i="59"/>
  <c r="J132" i="59"/>
  <c r="O131" i="59"/>
  <c r="N131" i="59"/>
  <c r="J131" i="59"/>
  <c r="O130" i="59"/>
  <c r="N130" i="59"/>
  <c r="J130" i="59"/>
  <c r="O129" i="59"/>
  <c r="N129" i="59"/>
  <c r="J129" i="59"/>
  <c r="O128" i="59"/>
  <c r="N128" i="59"/>
  <c r="J128" i="59"/>
  <c r="O127" i="59"/>
  <c r="N127" i="59"/>
  <c r="J127" i="59"/>
  <c r="O126" i="59"/>
  <c r="N126" i="59"/>
  <c r="J126" i="59"/>
  <c r="O125" i="59"/>
  <c r="N125" i="59"/>
  <c r="J125" i="59"/>
  <c r="O124" i="59"/>
  <c r="N124" i="59"/>
  <c r="J124" i="59"/>
  <c r="O123" i="59"/>
  <c r="N123" i="59"/>
  <c r="J123" i="59"/>
  <c r="O122" i="59"/>
  <c r="N122" i="59"/>
  <c r="J122" i="59"/>
  <c r="O121" i="59"/>
  <c r="N121" i="59"/>
  <c r="J121" i="59"/>
  <c r="O120" i="59"/>
  <c r="N120" i="59"/>
  <c r="J120" i="59"/>
  <c r="O119" i="59"/>
  <c r="N119" i="59"/>
  <c r="J119" i="59"/>
  <c r="O118" i="59"/>
  <c r="N118" i="59"/>
  <c r="J118" i="59"/>
  <c r="O117" i="59"/>
  <c r="N117" i="59"/>
  <c r="J117" i="59"/>
  <c r="O116" i="59"/>
  <c r="N116" i="59"/>
  <c r="J116" i="59"/>
  <c r="O115" i="59"/>
  <c r="N115" i="59"/>
  <c r="J115" i="59"/>
  <c r="O114" i="59"/>
  <c r="N114" i="59"/>
  <c r="J114" i="59"/>
  <c r="O113" i="59"/>
  <c r="N113" i="59"/>
  <c r="J113" i="59"/>
  <c r="O112" i="59"/>
  <c r="N112" i="59"/>
  <c r="J112" i="59"/>
  <c r="O111" i="59"/>
  <c r="N111" i="59"/>
  <c r="J111" i="59"/>
  <c r="O110" i="59"/>
  <c r="N110" i="59"/>
  <c r="J110" i="59"/>
  <c r="O109" i="59"/>
  <c r="N109" i="59"/>
  <c r="J109" i="59"/>
  <c r="O108" i="59"/>
  <c r="N108" i="59"/>
  <c r="J108" i="59"/>
  <c r="O107" i="59"/>
  <c r="N107" i="59"/>
  <c r="J107" i="59"/>
  <c r="O106" i="59"/>
  <c r="N106" i="59"/>
  <c r="J106" i="59"/>
  <c r="O105" i="59"/>
  <c r="N105" i="59"/>
  <c r="J105" i="59"/>
  <c r="O104" i="59"/>
  <c r="N104" i="59"/>
  <c r="J104" i="59"/>
  <c r="O103" i="59"/>
  <c r="N103" i="59"/>
  <c r="J103" i="59"/>
  <c r="O102" i="59"/>
  <c r="N102" i="59"/>
  <c r="J102" i="59"/>
  <c r="O101" i="59"/>
  <c r="N101" i="59"/>
  <c r="J101" i="59"/>
  <c r="O100" i="59"/>
  <c r="N100" i="59"/>
  <c r="J100" i="59"/>
  <c r="O99" i="59"/>
  <c r="N99" i="59"/>
  <c r="J99" i="59"/>
  <c r="O98" i="59"/>
  <c r="N98" i="59"/>
  <c r="J98" i="59"/>
  <c r="O97" i="59"/>
  <c r="N97" i="59"/>
  <c r="J97" i="59"/>
  <c r="O96" i="59"/>
  <c r="N96" i="59"/>
  <c r="J96" i="59"/>
  <c r="O95" i="59"/>
  <c r="N95" i="59"/>
  <c r="J95" i="59"/>
  <c r="O94" i="59"/>
  <c r="N94" i="59"/>
  <c r="J94" i="59"/>
  <c r="O93" i="59"/>
  <c r="N93" i="59"/>
  <c r="J93" i="59"/>
  <c r="O92" i="59"/>
  <c r="N92" i="59"/>
  <c r="J92" i="59"/>
  <c r="O91" i="59"/>
  <c r="N91" i="59"/>
  <c r="J91" i="59"/>
  <c r="O90" i="59"/>
  <c r="N90" i="59"/>
  <c r="J90" i="59"/>
  <c r="O89" i="59"/>
  <c r="N89" i="59"/>
  <c r="J89" i="59"/>
  <c r="O88" i="59"/>
  <c r="N88" i="59"/>
  <c r="J88" i="59"/>
  <c r="O87" i="59"/>
  <c r="N87" i="59"/>
  <c r="J87" i="59"/>
  <c r="O86" i="59"/>
  <c r="N86" i="59"/>
  <c r="J86" i="59"/>
  <c r="O85" i="59"/>
  <c r="N85" i="59"/>
  <c r="J85" i="59"/>
  <c r="O84" i="59"/>
  <c r="N84" i="59"/>
  <c r="J84" i="59"/>
  <c r="O83" i="59"/>
  <c r="N83" i="59"/>
  <c r="J83" i="59"/>
  <c r="O82" i="59"/>
  <c r="N82" i="59"/>
  <c r="J82" i="59"/>
  <c r="O81" i="59"/>
  <c r="N81" i="59"/>
  <c r="J81" i="59"/>
  <c r="O80" i="59"/>
  <c r="N80" i="59"/>
  <c r="J80" i="59"/>
  <c r="O79" i="59"/>
  <c r="N79" i="59"/>
  <c r="J79" i="59"/>
  <c r="O78" i="59"/>
  <c r="N78" i="59"/>
  <c r="J78" i="59"/>
  <c r="O77" i="59"/>
  <c r="N77" i="59"/>
  <c r="J77" i="59"/>
  <c r="O76" i="59"/>
  <c r="N76" i="59"/>
  <c r="J76" i="59"/>
  <c r="O75" i="59"/>
  <c r="N75" i="59"/>
  <c r="J75" i="59"/>
  <c r="O74" i="59"/>
  <c r="N74" i="59"/>
  <c r="J74" i="59"/>
  <c r="O73" i="59"/>
  <c r="N73" i="59"/>
  <c r="J73" i="59"/>
  <c r="O72" i="59"/>
  <c r="N72" i="59"/>
  <c r="J72" i="59"/>
  <c r="O71" i="59"/>
  <c r="N71" i="59"/>
  <c r="J71" i="59"/>
  <c r="O70" i="59"/>
  <c r="N70" i="59"/>
  <c r="J70" i="59"/>
  <c r="O69" i="59"/>
  <c r="N69" i="59"/>
  <c r="J69" i="59"/>
  <c r="O68" i="59"/>
  <c r="N68" i="59"/>
  <c r="J68" i="59"/>
  <c r="O67" i="59"/>
  <c r="N67" i="59"/>
  <c r="J67" i="59"/>
  <c r="O66" i="59"/>
  <c r="N66" i="59"/>
  <c r="J66" i="59"/>
  <c r="O65" i="59"/>
  <c r="N65" i="59"/>
  <c r="J65" i="59"/>
  <c r="O64" i="59"/>
  <c r="N64" i="59"/>
  <c r="J64" i="59"/>
  <c r="O63" i="59"/>
  <c r="N63" i="59"/>
  <c r="J63" i="59"/>
  <c r="O62" i="59"/>
  <c r="N62" i="59"/>
  <c r="J62" i="59"/>
  <c r="O61" i="59"/>
  <c r="N61" i="59"/>
  <c r="J61" i="59"/>
  <c r="O60" i="59"/>
  <c r="N60" i="59"/>
  <c r="J60" i="59"/>
  <c r="O59" i="59"/>
  <c r="N59" i="59"/>
  <c r="J59" i="59"/>
  <c r="O58" i="59"/>
  <c r="N58" i="59"/>
  <c r="J58" i="59"/>
  <c r="O57" i="59"/>
  <c r="N57" i="59"/>
  <c r="J57" i="59"/>
  <c r="O56" i="59"/>
  <c r="N56" i="59"/>
  <c r="J56" i="59"/>
  <c r="O55" i="59"/>
  <c r="N55" i="59"/>
  <c r="J55" i="59"/>
  <c r="O54" i="59"/>
  <c r="N54" i="59"/>
  <c r="J54" i="59"/>
  <c r="O53" i="59"/>
  <c r="N53" i="59"/>
  <c r="J53" i="59"/>
  <c r="O52" i="59"/>
  <c r="N52" i="59"/>
  <c r="J52" i="59"/>
  <c r="O51" i="59"/>
  <c r="N51" i="59"/>
  <c r="J51" i="59"/>
  <c r="O50" i="59"/>
  <c r="N50" i="59"/>
  <c r="J50" i="59"/>
  <c r="O49" i="59"/>
  <c r="N49" i="59"/>
  <c r="J49" i="59"/>
  <c r="O48" i="59"/>
  <c r="N48" i="59"/>
  <c r="J48" i="59"/>
  <c r="O47" i="59"/>
  <c r="N47" i="59"/>
  <c r="J47" i="59"/>
  <c r="O46" i="59"/>
  <c r="N46" i="59"/>
  <c r="J46" i="59"/>
  <c r="O45" i="59"/>
  <c r="N45" i="59"/>
  <c r="J45" i="59"/>
  <c r="O44" i="59"/>
  <c r="N44" i="59"/>
  <c r="J44" i="59"/>
  <c r="O43" i="59"/>
  <c r="N43" i="59"/>
  <c r="J43" i="59"/>
  <c r="O42" i="59"/>
  <c r="N42" i="59"/>
  <c r="J42" i="59"/>
  <c r="O41" i="59"/>
  <c r="N41" i="59"/>
  <c r="J41" i="59"/>
  <c r="O40" i="59"/>
  <c r="N40" i="59"/>
  <c r="J40" i="59"/>
  <c r="O39" i="59"/>
  <c r="N39" i="59"/>
  <c r="J39" i="59"/>
  <c r="O38" i="59"/>
  <c r="N38" i="59"/>
  <c r="J38" i="59"/>
  <c r="O37" i="59"/>
  <c r="N37" i="59"/>
  <c r="J37" i="59"/>
  <c r="O36" i="59"/>
  <c r="N36" i="59"/>
  <c r="J36" i="59"/>
  <c r="O35" i="59"/>
  <c r="N35" i="59"/>
  <c r="J35" i="59"/>
  <c r="O34" i="59"/>
  <c r="N34" i="59"/>
  <c r="J34" i="59"/>
  <c r="O33" i="59"/>
  <c r="N33" i="59"/>
  <c r="J33" i="59"/>
  <c r="O32" i="59"/>
  <c r="N32" i="59"/>
  <c r="J32" i="59"/>
  <c r="O31" i="59"/>
  <c r="N31" i="59"/>
  <c r="J31" i="59"/>
  <c r="O30" i="59"/>
  <c r="N30" i="59"/>
  <c r="J30" i="59"/>
  <c r="O29" i="59"/>
  <c r="N29" i="59"/>
  <c r="J29" i="59"/>
  <c r="O28" i="59"/>
  <c r="N28" i="59"/>
  <c r="J28" i="59"/>
  <c r="O27" i="59"/>
  <c r="N27" i="59"/>
  <c r="J27" i="59"/>
  <c r="O26" i="59"/>
  <c r="N26" i="59"/>
  <c r="J26" i="59"/>
  <c r="O25" i="59"/>
  <c r="N25" i="59"/>
  <c r="J25" i="59"/>
  <c r="O24" i="59"/>
  <c r="N24" i="59"/>
  <c r="J24" i="59"/>
  <c r="O23" i="59"/>
  <c r="N23" i="59"/>
  <c r="J23" i="59"/>
  <c r="O22" i="59"/>
  <c r="N22" i="59"/>
  <c r="J22" i="59"/>
  <c r="O21" i="59"/>
  <c r="N21" i="59"/>
  <c r="J21" i="59"/>
  <c r="O20" i="59"/>
  <c r="N20" i="59"/>
  <c r="J20" i="59"/>
  <c r="O19" i="59"/>
  <c r="N19" i="59"/>
  <c r="J19" i="59"/>
  <c r="O18" i="59"/>
  <c r="N18" i="59"/>
  <c r="J18" i="59"/>
  <c r="O17" i="59"/>
  <c r="N17" i="59"/>
  <c r="J17" i="59"/>
  <c r="O16" i="59"/>
  <c r="N16" i="59"/>
  <c r="J16" i="59"/>
  <c r="O15" i="59"/>
  <c r="N15" i="59"/>
  <c r="J15" i="59"/>
  <c r="O14" i="59"/>
  <c r="N14" i="59"/>
  <c r="J14" i="59"/>
  <c r="O13" i="59"/>
  <c r="N13" i="59"/>
  <c r="J13" i="59"/>
  <c r="O12" i="59"/>
  <c r="N12" i="59"/>
  <c r="J12" i="59"/>
  <c r="AC257" i="32"/>
  <c r="AB257" i="32"/>
  <c r="AC256" i="32"/>
  <c r="AB256" i="32"/>
  <c r="AC255" i="32"/>
  <c r="AB255" i="32"/>
  <c r="AC254" i="32"/>
  <c r="AB254" i="32"/>
  <c r="AC253" i="32"/>
  <c r="AB253" i="32"/>
  <c r="AC252" i="32"/>
  <c r="AB252" i="32"/>
  <c r="AC251" i="32"/>
  <c r="AB251" i="32"/>
  <c r="AC250" i="32"/>
  <c r="AB250" i="32"/>
  <c r="AC249" i="32"/>
  <c r="AB249" i="32"/>
  <c r="AC248" i="32"/>
  <c r="AB248" i="32"/>
  <c r="AC247" i="32"/>
  <c r="AB247" i="32"/>
  <c r="AC246" i="32"/>
  <c r="AB246" i="32"/>
  <c r="AC245" i="32"/>
  <c r="AB245" i="32"/>
  <c r="AC244" i="32"/>
  <c r="AB244" i="32"/>
  <c r="AC243" i="32"/>
  <c r="AB243" i="32"/>
  <c r="AC242" i="32"/>
  <c r="AB242" i="32"/>
  <c r="AC241" i="32"/>
  <c r="AB241" i="32"/>
  <c r="AC240" i="32"/>
  <c r="AB240" i="32"/>
  <c r="AC239" i="32"/>
  <c r="AB239" i="32"/>
  <c r="AC238" i="32"/>
  <c r="AB238" i="32"/>
  <c r="AC237" i="32"/>
  <c r="AB237" i="32"/>
  <c r="AC236" i="32"/>
  <c r="AB236" i="32"/>
  <c r="AC235" i="32"/>
  <c r="AB235" i="32"/>
  <c r="AC234" i="32"/>
  <c r="AB234" i="32"/>
  <c r="AC233" i="32"/>
  <c r="AB233" i="32"/>
  <c r="AC232" i="32"/>
  <c r="AB232" i="32"/>
  <c r="AC231" i="32"/>
  <c r="AB231" i="32"/>
  <c r="AC230" i="32"/>
  <c r="AB230" i="32"/>
  <c r="AC229" i="32"/>
  <c r="AB229" i="32"/>
  <c r="AC228" i="32"/>
  <c r="AB228" i="32"/>
  <c r="AC227" i="32"/>
  <c r="AB227" i="32"/>
  <c r="AC226" i="32"/>
  <c r="AB226" i="32"/>
  <c r="AC225" i="32"/>
  <c r="AB225" i="32"/>
  <c r="AC224" i="32"/>
  <c r="AB224" i="32"/>
  <c r="AC223" i="32"/>
  <c r="AB223" i="32"/>
  <c r="AC222" i="32"/>
  <c r="AB222" i="32"/>
  <c r="AC221" i="32"/>
  <c r="AB221" i="32"/>
  <c r="AC220" i="32"/>
  <c r="AB220" i="32"/>
  <c r="AC219" i="32"/>
  <c r="AB219" i="32"/>
  <c r="AC218" i="32"/>
  <c r="AB218" i="32"/>
  <c r="AC217" i="32"/>
  <c r="AB217" i="32"/>
  <c r="AC216" i="32"/>
  <c r="AB216" i="32"/>
  <c r="AC215" i="32"/>
  <c r="AB215" i="32"/>
  <c r="AC214" i="32"/>
  <c r="AB214" i="32"/>
  <c r="AC213" i="32"/>
  <c r="AB213" i="32"/>
  <c r="AC212" i="32"/>
  <c r="AB212" i="32"/>
  <c r="AC211" i="32"/>
  <c r="AB211" i="32"/>
  <c r="AC210" i="32"/>
  <c r="AB210" i="32"/>
  <c r="AC209" i="32"/>
  <c r="AB209" i="32"/>
  <c r="AC208" i="32"/>
  <c r="AB208" i="32"/>
  <c r="AC207" i="32"/>
  <c r="AB207" i="32"/>
  <c r="AC206" i="32"/>
  <c r="AB206" i="32"/>
  <c r="AC205" i="32"/>
  <c r="AB205" i="32"/>
  <c r="AC204" i="32"/>
  <c r="AB204" i="32"/>
  <c r="AC203" i="32"/>
  <c r="AB203" i="32"/>
  <c r="AC202" i="32"/>
  <c r="AB202" i="32"/>
  <c r="AC201" i="32"/>
  <c r="AB201" i="32"/>
  <c r="AC200" i="32"/>
  <c r="AB200" i="32"/>
  <c r="AC199" i="32"/>
  <c r="AB199" i="32"/>
  <c r="AC198" i="32"/>
  <c r="AB198" i="32"/>
  <c r="AC197" i="32"/>
  <c r="AB197" i="32"/>
  <c r="AC196" i="32"/>
  <c r="AB196" i="32"/>
  <c r="AC195" i="32"/>
  <c r="AB195" i="32"/>
  <c r="AC194" i="32"/>
  <c r="AB194" i="32"/>
  <c r="AC193" i="32"/>
  <c r="AB193" i="32"/>
  <c r="AC192" i="32"/>
  <c r="AB192" i="32"/>
  <c r="AC191" i="32"/>
  <c r="AB191" i="32"/>
  <c r="AC190" i="32"/>
  <c r="AB190" i="32"/>
  <c r="AC189" i="32"/>
  <c r="AB189" i="32"/>
  <c r="AC188" i="32"/>
  <c r="AB188" i="32"/>
  <c r="AC187" i="32"/>
  <c r="AB187" i="32"/>
  <c r="AC186" i="32"/>
  <c r="AB186" i="32"/>
  <c r="AC185" i="32"/>
  <c r="AB185" i="32"/>
  <c r="AC184" i="32"/>
  <c r="AB184" i="32"/>
  <c r="AC183" i="32"/>
  <c r="AB183" i="32"/>
  <c r="AC182" i="32"/>
  <c r="AB182" i="32"/>
  <c r="AC181" i="32"/>
  <c r="AB181" i="32"/>
  <c r="AC180" i="32"/>
  <c r="AB180" i="32"/>
  <c r="AC179" i="32"/>
  <c r="AB179" i="32"/>
  <c r="AC178" i="32"/>
  <c r="AB178" i="32"/>
  <c r="AC177" i="32"/>
  <c r="AB177" i="32"/>
  <c r="AC176" i="32"/>
  <c r="AB176" i="32"/>
  <c r="AC175" i="32"/>
  <c r="AB175" i="32"/>
  <c r="AC174" i="32"/>
  <c r="AB174" i="32"/>
  <c r="AC173" i="32"/>
  <c r="AB173" i="32"/>
  <c r="AC172" i="32"/>
  <c r="AB172" i="32"/>
  <c r="AC171" i="32"/>
  <c r="AB171" i="32"/>
  <c r="AC170" i="32"/>
  <c r="AB170" i="32"/>
  <c r="AC169" i="32"/>
  <c r="AB169" i="32"/>
  <c r="AC168" i="32"/>
  <c r="AB168" i="32"/>
  <c r="AC167" i="32"/>
  <c r="AB167" i="32"/>
  <c r="AC166" i="32"/>
  <c r="AB166" i="32"/>
  <c r="AC165" i="32"/>
  <c r="AB165" i="32"/>
  <c r="AC164" i="32"/>
  <c r="AB164" i="32"/>
  <c r="AC163" i="32"/>
  <c r="AB163" i="32"/>
  <c r="AC162" i="32"/>
  <c r="AB162" i="32"/>
  <c r="AC161" i="32"/>
  <c r="AB161" i="32"/>
  <c r="AC160" i="32"/>
  <c r="AB160" i="32"/>
  <c r="AC159" i="32"/>
  <c r="AB159" i="32"/>
  <c r="AC158" i="32"/>
  <c r="AB158" i="32"/>
  <c r="AC157" i="32"/>
  <c r="AB157" i="32"/>
  <c r="AC156" i="32"/>
  <c r="AB156" i="32"/>
  <c r="AC155" i="32"/>
  <c r="AB155" i="32"/>
  <c r="AC154" i="32"/>
  <c r="AB154" i="32"/>
  <c r="AC153" i="32"/>
  <c r="AB153" i="32"/>
  <c r="AC152" i="32"/>
  <c r="AB152" i="32"/>
  <c r="AC151" i="32"/>
  <c r="AB151" i="32"/>
  <c r="AC150" i="32"/>
  <c r="AB150" i="32"/>
  <c r="AC149" i="32"/>
  <c r="AB149" i="32"/>
  <c r="AC148" i="32"/>
  <c r="AB148" i="32"/>
  <c r="AC147" i="32"/>
  <c r="AB147" i="32"/>
  <c r="AC146" i="32"/>
  <c r="AB146" i="32"/>
  <c r="AC145" i="32"/>
  <c r="AB145" i="32"/>
  <c r="AC144" i="32"/>
  <c r="AB144" i="32"/>
  <c r="AC143" i="32"/>
  <c r="AB143" i="32"/>
  <c r="AC142" i="32"/>
  <c r="AB142" i="32"/>
  <c r="AC141" i="32"/>
  <c r="AB141" i="32"/>
  <c r="AC140" i="32"/>
  <c r="AB140" i="32"/>
  <c r="AC139" i="32"/>
  <c r="AB139" i="32"/>
  <c r="AC138" i="32"/>
  <c r="AB138" i="32"/>
  <c r="AC137" i="32"/>
  <c r="AB137" i="32"/>
  <c r="AC136" i="32"/>
  <c r="AB136" i="32"/>
  <c r="AC135" i="32"/>
  <c r="AB135" i="32"/>
  <c r="AC134" i="32"/>
  <c r="AB134" i="32"/>
  <c r="AC133" i="32"/>
  <c r="AB133" i="32"/>
  <c r="AC132" i="32"/>
  <c r="AB132" i="32"/>
  <c r="AC131" i="32"/>
  <c r="AB131" i="32"/>
  <c r="AC130" i="32"/>
  <c r="AB130" i="32"/>
  <c r="AC129" i="32"/>
  <c r="AB129" i="32"/>
  <c r="AC128" i="32"/>
  <c r="AB128" i="32"/>
  <c r="AC127" i="32"/>
  <c r="AB127" i="32"/>
  <c r="AC126" i="32"/>
  <c r="AB126" i="32"/>
  <c r="AC125" i="32"/>
  <c r="AB125" i="32"/>
  <c r="AC124" i="32"/>
  <c r="AB124" i="32"/>
  <c r="AC123" i="32"/>
  <c r="AB123" i="32"/>
  <c r="AC122" i="32"/>
  <c r="AB122" i="32"/>
  <c r="AC121" i="32"/>
  <c r="AB121" i="32"/>
  <c r="AC120" i="32"/>
  <c r="AB120" i="32"/>
  <c r="AC119" i="32"/>
  <c r="AB119" i="32"/>
  <c r="AC118" i="32"/>
  <c r="AB118" i="32"/>
  <c r="AC117" i="32"/>
  <c r="AB117" i="32"/>
  <c r="AC116" i="32"/>
  <c r="AB116" i="32"/>
  <c r="AC115" i="32"/>
  <c r="AB115" i="32"/>
  <c r="AC114" i="32"/>
  <c r="AB114" i="32"/>
  <c r="AC113" i="32"/>
  <c r="AB113" i="32"/>
  <c r="AC112" i="32"/>
  <c r="AB112" i="32"/>
  <c r="AC111" i="32"/>
  <c r="AB111" i="32"/>
  <c r="AC110" i="32"/>
  <c r="AB110" i="32"/>
  <c r="AC109" i="32"/>
  <c r="AB109" i="32"/>
  <c r="AC108" i="32"/>
  <c r="AB108" i="32"/>
  <c r="AC107" i="32"/>
  <c r="AB107" i="32"/>
  <c r="AC106" i="32"/>
  <c r="AB106" i="32"/>
  <c r="AC105" i="32"/>
  <c r="AB105" i="32"/>
  <c r="AC104" i="32"/>
  <c r="AB104" i="32"/>
  <c r="AC103" i="32"/>
  <c r="AB103" i="32"/>
  <c r="AC102" i="32"/>
  <c r="AB102" i="32"/>
  <c r="AC101" i="32"/>
  <c r="AB101" i="32"/>
  <c r="AC100" i="32"/>
  <c r="AB100" i="32"/>
  <c r="AC99" i="32"/>
  <c r="AB99" i="32"/>
  <c r="AC98" i="32"/>
  <c r="AB98" i="32"/>
  <c r="AC97" i="32"/>
  <c r="AB97" i="32"/>
  <c r="AC96" i="32"/>
  <c r="AB96" i="32"/>
  <c r="AC95" i="32"/>
  <c r="AB95" i="32"/>
  <c r="AC94" i="32"/>
  <c r="AB94" i="32"/>
  <c r="AC93" i="32"/>
  <c r="AB93" i="32"/>
  <c r="AC92" i="32"/>
  <c r="AB92" i="32"/>
  <c r="AC91" i="32"/>
  <c r="AB91" i="32"/>
  <c r="AC90" i="32"/>
  <c r="AB90" i="32"/>
  <c r="AC89" i="32"/>
  <c r="AB89" i="32"/>
  <c r="AC88" i="32"/>
  <c r="AB88" i="32"/>
  <c r="AC87" i="32"/>
  <c r="AB87" i="32"/>
  <c r="AC86" i="32"/>
  <c r="AB86" i="32"/>
  <c r="AC85" i="32"/>
  <c r="AB85" i="32"/>
  <c r="AC84" i="32"/>
  <c r="AB84" i="32"/>
  <c r="AC83" i="32"/>
  <c r="AB83" i="32"/>
  <c r="AC82" i="32"/>
  <c r="AB82" i="32"/>
  <c r="AC81" i="32"/>
  <c r="AB81" i="32"/>
  <c r="AC80" i="32"/>
  <c r="AB80" i="32"/>
  <c r="AC79" i="32"/>
  <c r="AB79" i="32"/>
  <c r="AC78" i="32"/>
  <c r="AB78" i="32"/>
  <c r="AC77" i="32"/>
  <c r="AB77" i="32"/>
  <c r="AC76" i="32"/>
  <c r="AB76" i="32"/>
  <c r="AC75" i="32"/>
  <c r="AB75" i="32"/>
  <c r="AC74" i="32"/>
  <c r="AB74" i="32"/>
  <c r="AC73" i="32"/>
  <c r="AB73" i="32"/>
  <c r="AC72" i="32"/>
  <c r="AB72" i="32"/>
  <c r="AC71" i="32"/>
  <c r="AB71" i="32"/>
  <c r="AC70" i="32"/>
  <c r="AB70" i="32"/>
  <c r="AC69" i="32"/>
  <c r="AB69" i="32"/>
  <c r="AC68" i="32"/>
  <c r="AB68" i="32"/>
  <c r="AC67" i="32"/>
  <c r="AB67" i="32"/>
  <c r="AC66" i="32"/>
  <c r="AB66" i="32"/>
  <c r="AC65" i="32"/>
  <c r="AB65" i="32"/>
  <c r="AC64" i="32"/>
  <c r="AB64" i="32"/>
  <c r="AC63" i="32"/>
  <c r="AB63" i="32"/>
  <c r="AC62" i="32"/>
  <c r="AB62" i="32"/>
  <c r="AC61" i="32"/>
  <c r="AB61" i="32"/>
  <c r="AC60" i="32"/>
  <c r="AB60" i="32"/>
  <c r="AC59" i="32"/>
  <c r="AB59" i="32"/>
  <c r="AC58" i="32"/>
  <c r="AB58" i="32"/>
  <c r="AC57" i="32"/>
  <c r="AB57" i="32"/>
  <c r="AC56" i="32"/>
  <c r="AB56" i="32"/>
  <c r="AC55" i="32"/>
  <c r="AB55" i="32"/>
  <c r="AC54" i="32"/>
  <c r="AB54" i="32"/>
  <c r="AC53" i="32"/>
  <c r="AB53" i="32"/>
  <c r="AC52" i="32"/>
  <c r="AB52" i="32"/>
  <c r="AC51" i="32"/>
  <c r="AB51" i="32"/>
  <c r="AC50" i="32"/>
  <c r="AB50" i="32"/>
  <c r="AC49" i="32"/>
  <c r="AB49" i="32"/>
  <c r="AC48" i="32"/>
  <c r="AB48" i="32"/>
  <c r="AC47" i="32"/>
  <c r="AB47" i="32"/>
  <c r="AC46" i="32"/>
  <c r="AB46" i="32"/>
  <c r="AC45" i="32"/>
  <c r="AB45" i="32"/>
  <c r="AC44" i="32"/>
  <c r="AB44" i="32"/>
  <c r="AC43" i="32"/>
  <c r="AB43" i="32"/>
  <c r="AC42" i="32"/>
  <c r="AB42" i="32"/>
  <c r="AC41" i="32"/>
  <c r="AB41" i="32"/>
  <c r="AC40" i="32"/>
  <c r="AB40" i="32"/>
  <c r="AC39" i="32"/>
  <c r="AB39" i="32"/>
  <c r="AC38" i="32"/>
  <c r="AB38" i="32"/>
  <c r="AC37" i="32"/>
  <c r="AB37" i="32"/>
  <c r="AC36" i="32"/>
  <c r="AB36" i="32"/>
  <c r="AC35" i="32"/>
  <c r="AB35" i="32"/>
  <c r="AC34" i="32"/>
  <c r="AB34" i="32"/>
  <c r="AC33" i="32"/>
  <c r="AB33" i="32"/>
  <c r="AC32" i="32"/>
  <c r="AB32" i="32"/>
  <c r="AC31" i="32"/>
  <c r="AB31" i="32"/>
  <c r="AC30" i="32"/>
  <c r="AB30" i="32"/>
  <c r="AC29" i="32"/>
  <c r="AB29" i="32"/>
  <c r="AC28" i="32"/>
  <c r="AB28" i="32"/>
  <c r="AC27" i="32"/>
  <c r="AB27" i="32"/>
  <c r="AC26" i="32"/>
  <c r="AB26" i="32"/>
  <c r="AC25" i="32"/>
  <c r="AB25" i="32"/>
  <c r="AC24" i="32"/>
  <c r="AB24" i="32"/>
  <c r="AC23" i="32"/>
  <c r="AB23" i="32"/>
  <c r="AC22" i="32"/>
  <c r="AB22" i="32"/>
  <c r="AC21" i="32"/>
  <c r="AB21" i="32"/>
  <c r="AC20" i="32"/>
  <c r="AB20" i="32"/>
  <c r="AC19" i="32"/>
  <c r="AB19" i="32"/>
  <c r="AC18" i="32"/>
  <c r="AB18" i="32"/>
  <c r="AC17" i="32"/>
  <c r="AB17" i="32"/>
  <c r="AC16" i="32"/>
  <c r="AB16" i="32"/>
  <c r="AC15" i="32"/>
  <c r="AB15" i="32"/>
  <c r="AC14" i="32"/>
  <c r="AB14" i="32"/>
  <c r="AC13" i="32"/>
  <c r="AB13" i="32"/>
  <c r="N256" i="46"/>
  <c r="M256" i="46"/>
  <c r="I256" i="46"/>
  <c r="N255" i="46"/>
  <c r="M255" i="46"/>
  <c r="I255" i="46"/>
  <c r="N254" i="46"/>
  <c r="M254" i="46"/>
  <c r="I254" i="46"/>
  <c r="N253" i="46"/>
  <c r="M253" i="46"/>
  <c r="I253" i="46"/>
  <c r="N252" i="46"/>
  <c r="M252" i="46"/>
  <c r="I252" i="46"/>
  <c r="N251" i="46"/>
  <c r="M251" i="46"/>
  <c r="I251" i="46"/>
  <c r="N250" i="46"/>
  <c r="M250" i="46"/>
  <c r="I250" i="46"/>
  <c r="N249" i="46"/>
  <c r="M249" i="46"/>
  <c r="I249" i="46"/>
  <c r="N248" i="46"/>
  <c r="M248" i="46"/>
  <c r="I248" i="46"/>
  <c r="N247" i="46"/>
  <c r="M247" i="46"/>
  <c r="I247" i="46"/>
  <c r="N246" i="46"/>
  <c r="M246" i="46"/>
  <c r="I246" i="46"/>
  <c r="N245" i="46"/>
  <c r="M245" i="46"/>
  <c r="I245" i="46"/>
  <c r="N244" i="46"/>
  <c r="M244" i="46"/>
  <c r="I244" i="46"/>
  <c r="N243" i="46"/>
  <c r="M243" i="46"/>
  <c r="I243" i="46"/>
  <c r="N242" i="46"/>
  <c r="M242" i="46"/>
  <c r="I242" i="46"/>
  <c r="N241" i="46"/>
  <c r="M241" i="46"/>
  <c r="I241" i="46"/>
  <c r="N240" i="46"/>
  <c r="M240" i="46"/>
  <c r="I240" i="46"/>
  <c r="N239" i="46"/>
  <c r="M239" i="46"/>
  <c r="I239" i="46"/>
  <c r="N238" i="46"/>
  <c r="M238" i="46"/>
  <c r="I238" i="46"/>
  <c r="N237" i="46"/>
  <c r="M237" i="46"/>
  <c r="I237" i="46"/>
  <c r="N236" i="46"/>
  <c r="M236" i="46"/>
  <c r="I236" i="46"/>
  <c r="N235" i="46"/>
  <c r="M235" i="46"/>
  <c r="I235" i="46"/>
  <c r="N234" i="46"/>
  <c r="M234" i="46"/>
  <c r="I234" i="46"/>
  <c r="N233" i="46"/>
  <c r="M233" i="46"/>
  <c r="I233" i="46"/>
  <c r="N232" i="46"/>
  <c r="M232" i="46"/>
  <c r="I232" i="46"/>
  <c r="N231" i="46"/>
  <c r="M231" i="46"/>
  <c r="I231" i="46"/>
  <c r="N230" i="46"/>
  <c r="M230" i="46"/>
  <c r="I230" i="46"/>
  <c r="N229" i="46"/>
  <c r="M229" i="46"/>
  <c r="I229" i="46"/>
  <c r="N228" i="46"/>
  <c r="M228" i="46"/>
  <c r="I228" i="46"/>
  <c r="N227" i="46"/>
  <c r="M227" i="46"/>
  <c r="I227" i="46"/>
  <c r="N226" i="46"/>
  <c r="M226" i="46"/>
  <c r="I226" i="46"/>
  <c r="N225" i="46"/>
  <c r="M225" i="46"/>
  <c r="I225" i="46"/>
  <c r="N224" i="46"/>
  <c r="M224" i="46"/>
  <c r="I224" i="46"/>
  <c r="N223" i="46"/>
  <c r="M223" i="46"/>
  <c r="I223" i="46"/>
  <c r="N222" i="46"/>
  <c r="M222" i="46"/>
  <c r="I222" i="46"/>
  <c r="N221" i="46"/>
  <c r="M221" i="46"/>
  <c r="I221" i="46"/>
  <c r="N220" i="46"/>
  <c r="M220" i="46"/>
  <c r="I220" i="46"/>
  <c r="N219" i="46"/>
  <c r="M219" i="46"/>
  <c r="I219" i="46"/>
  <c r="N218" i="46"/>
  <c r="M218" i="46"/>
  <c r="I218" i="46"/>
  <c r="N217" i="46"/>
  <c r="M217" i="46"/>
  <c r="I217" i="46"/>
  <c r="N216" i="46"/>
  <c r="M216" i="46"/>
  <c r="I216" i="46"/>
  <c r="N215" i="46"/>
  <c r="M215" i="46"/>
  <c r="I215" i="46"/>
  <c r="N214" i="46"/>
  <c r="M214" i="46"/>
  <c r="I214" i="46"/>
  <c r="N213" i="46"/>
  <c r="M213" i="46"/>
  <c r="I213" i="46"/>
  <c r="N212" i="46"/>
  <c r="M212" i="46"/>
  <c r="I212" i="46"/>
  <c r="N211" i="46"/>
  <c r="M211" i="46"/>
  <c r="I211" i="46"/>
  <c r="N210" i="46"/>
  <c r="M210" i="46"/>
  <c r="I210" i="46"/>
  <c r="N209" i="46"/>
  <c r="M209" i="46"/>
  <c r="I209" i="46"/>
  <c r="N208" i="46"/>
  <c r="M208" i="46"/>
  <c r="I208" i="46"/>
  <c r="N207" i="46"/>
  <c r="M207" i="46"/>
  <c r="I207" i="46"/>
  <c r="N206" i="46"/>
  <c r="M206" i="46"/>
  <c r="I206" i="46"/>
  <c r="N205" i="46"/>
  <c r="M205" i="46"/>
  <c r="I205" i="46"/>
  <c r="N204" i="46"/>
  <c r="M204" i="46"/>
  <c r="I204" i="46"/>
  <c r="N203" i="46"/>
  <c r="M203" i="46"/>
  <c r="I203" i="46"/>
  <c r="N202" i="46"/>
  <c r="M202" i="46"/>
  <c r="I202" i="46"/>
  <c r="N201" i="46"/>
  <c r="M201" i="46"/>
  <c r="I201" i="46"/>
  <c r="N200" i="46"/>
  <c r="M200" i="46"/>
  <c r="I200" i="46"/>
  <c r="N199" i="46"/>
  <c r="M199" i="46"/>
  <c r="I199" i="46"/>
  <c r="N198" i="46"/>
  <c r="M198" i="46"/>
  <c r="I198" i="46"/>
  <c r="N197" i="46"/>
  <c r="M197" i="46"/>
  <c r="I197" i="46"/>
  <c r="N196" i="46"/>
  <c r="M196" i="46"/>
  <c r="I196" i="46"/>
  <c r="N195" i="46"/>
  <c r="M195" i="46"/>
  <c r="I195" i="46"/>
  <c r="N194" i="46"/>
  <c r="M194" i="46"/>
  <c r="I194" i="46"/>
  <c r="N193" i="46"/>
  <c r="M193" i="46"/>
  <c r="I193" i="46"/>
  <c r="N192" i="46"/>
  <c r="M192" i="46"/>
  <c r="I192" i="46"/>
  <c r="N191" i="46"/>
  <c r="M191" i="46"/>
  <c r="I191" i="46"/>
  <c r="N190" i="46"/>
  <c r="M190" i="46"/>
  <c r="I190" i="46"/>
  <c r="N189" i="46"/>
  <c r="M189" i="46"/>
  <c r="I189" i="46"/>
  <c r="N188" i="46"/>
  <c r="M188" i="46"/>
  <c r="I188" i="46"/>
  <c r="N187" i="46"/>
  <c r="M187" i="46"/>
  <c r="I187" i="46"/>
  <c r="N186" i="46"/>
  <c r="M186" i="46"/>
  <c r="I186" i="46"/>
  <c r="N185" i="46"/>
  <c r="M185" i="46"/>
  <c r="I185" i="46"/>
  <c r="N184" i="46"/>
  <c r="M184" i="46"/>
  <c r="I184" i="46"/>
  <c r="N183" i="46"/>
  <c r="M183" i="46"/>
  <c r="I183" i="46"/>
  <c r="N182" i="46"/>
  <c r="M182" i="46"/>
  <c r="I182" i="46"/>
  <c r="N181" i="46"/>
  <c r="M181" i="46"/>
  <c r="I181" i="46"/>
  <c r="N180" i="46"/>
  <c r="M180" i="46"/>
  <c r="I180" i="46"/>
  <c r="N179" i="46"/>
  <c r="M179" i="46"/>
  <c r="I179" i="46"/>
  <c r="N178" i="46"/>
  <c r="M178" i="46"/>
  <c r="I178" i="46"/>
  <c r="N177" i="46"/>
  <c r="M177" i="46"/>
  <c r="I177" i="46"/>
  <c r="N176" i="46"/>
  <c r="M176" i="46"/>
  <c r="I176" i="46"/>
  <c r="N175" i="46"/>
  <c r="M175" i="46"/>
  <c r="I175" i="46"/>
  <c r="N174" i="46"/>
  <c r="M174" i="46"/>
  <c r="I174" i="46"/>
  <c r="N173" i="46"/>
  <c r="M173" i="46"/>
  <c r="I173" i="46"/>
  <c r="N172" i="46"/>
  <c r="M172" i="46"/>
  <c r="I172" i="46"/>
  <c r="N171" i="46"/>
  <c r="M171" i="46"/>
  <c r="I171" i="46"/>
  <c r="N170" i="46"/>
  <c r="M170" i="46"/>
  <c r="I170" i="46"/>
  <c r="N169" i="46"/>
  <c r="M169" i="46"/>
  <c r="I169" i="46"/>
  <c r="N168" i="46"/>
  <c r="M168" i="46"/>
  <c r="I168" i="46"/>
  <c r="N167" i="46"/>
  <c r="M167" i="46"/>
  <c r="I167" i="46"/>
  <c r="N166" i="46"/>
  <c r="M166" i="46"/>
  <c r="I166" i="46"/>
  <c r="N165" i="46"/>
  <c r="M165" i="46"/>
  <c r="I165" i="46"/>
  <c r="N164" i="46"/>
  <c r="M164" i="46"/>
  <c r="I164" i="46"/>
  <c r="N163" i="46"/>
  <c r="M163" i="46"/>
  <c r="I163" i="46"/>
  <c r="N162" i="46"/>
  <c r="M162" i="46"/>
  <c r="I162" i="46"/>
  <c r="N161" i="46"/>
  <c r="M161" i="46"/>
  <c r="I161" i="46"/>
  <c r="N160" i="46"/>
  <c r="M160" i="46"/>
  <c r="I160" i="46"/>
  <c r="N159" i="46"/>
  <c r="M159" i="46"/>
  <c r="I159" i="46"/>
  <c r="N158" i="46"/>
  <c r="M158" i="46"/>
  <c r="I158" i="46"/>
  <c r="N157" i="46"/>
  <c r="M157" i="46"/>
  <c r="I157" i="46"/>
  <c r="N156" i="46"/>
  <c r="M156" i="46"/>
  <c r="I156" i="46"/>
  <c r="N155" i="46"/>
  <c r="M155" i="46"/>
  <c r="I155" i="46"/>
  <c r="N154" i="46"/>
  <c r="M154" i="46"/>
  <c r="I154" i="46"/>
  <c r="N153" i="46"/>
  <c r="M153" i="46"/>
  <c r="I153" i="46"/>
  <c r="N152" i="46"/>
  <c r="M152" i="46"/>
  <c r="I152" i="46"/>
  <c r="N151" i="46"/>
  <c r="M151" i="46"/>
  <c r="I151" i="46"/>
  <c r="N150" i="46"/>
  <c r="M150" i="46"/>
  <c r="I150" i="46"/>
  <c r="N149" i="46"/>
  <c r="M149" i="46"/>
  <c r="I149" i="46"/>
  <c r="N148" i="46"/>
  <c r="M148" i="46"/>
  <c r="I148" i="46"/>
  <c r="N147" i="46"/>
  <c r="M147" i="46"/>
  <c r="I147" i="46"/>
  <c r="N146" i="46"/>
  <c r="M146" i="46"/>
  <c r="I146" i="46"/>
  <c r="N145" i="46"/>
  <c r="M145" i="46"/>
  <c r="I145" i="46"/>
  <c r="N144" i="46"/>
  <c r="M144" i="46"/>
  <c r="I144" i="46"/>
  <c r="N143" i="46"/>
  <c r="M143" i="46"/>
  <c r="I143" i="46"/>
  <c r="N142" i="46"/>
  <c r="M142" i="46"/>
  <c r="I142" i="46"/>
  <c r="N141" i="46"/>
  <c r="M141" i="46"/>
  <c r="I141" i="46"/>
  <c r="N140" i="46"/>
  <c r="M140" i="46"/>
  <c r="I140" i="46"/>
  <c r="N139" i="46"/>
  <c r="M139" i="46"/>
  <c r="I139" i="46"/>
  <c r="N138" i="46"/>
  <c r="M138" i="46"/>
  <c r="I138" i="46"/>
  <c r="N137" i="46"/>
  <c r="M137" i="46"/>
  <c r="I137" i="46"/>
  <c r="N136" i="46"/>
  <c r="M136" i="46"/>
  <c r="I136" i="46"/>
  <c r="N135" i="46"/>
  <c r="M135" i="46"/>
  <c r="I135" i="46"/>
  <c r="N134" i="46"/>
  <c r="M134" i="46"/>
  <c r="I134" i="46"/>
  <c r="N133" i="46"/>
  <c r="M133" i="46"/>
  <c r="I133" i="46"/>
  <c r="N132" i="46"/>
  <c r="M132" i="46"/>
  <c r="I132" i="46"/>
  <c r="N131" i="46"/>
  <c r="M131" i="46"/>
  <c r="I131" i="46"/>
  <c r="N130" i="46"/>
  <c r="M130" i="46"/>
  <c r="I130" i="46"/>
  <c r="N129" i="46"/>
  <c r="M129" i="46"/>
  <c r="I129" i="46"/>
  <c r="N128" i="46"/>
  <c r="M128" i="46"/>
  <c r="I128" i="46"/>
  <c r="N127" i="46"/>
  <c r="M127" i="46"/>
  <c r="I127" i="46"/>
  <c r="N126" i="46"/>
  <c r="M126" i="46"/>
  <c r="I126" i="46"/>
  <c r="N125" i="46"/>
  <c r="M125" i="46"/>
  <c r="I125" i="46"/>
  <c r="N124" i="46"/>
  <c r="M124" i="46"/>
  <c r="I124" i="46"/>
  <c r="N123" i="46"/>
  <c r="M123" i="46"/>
  <c r="I123" i="46"/>
  <c r="N122" i="46"/>
  <c r="M122" i="46"/>
  <c r="I122" i="46"/>
  <c r="N121" i="46"/>
  <c r="M121" i="46"/>
  <c r="I121" i="46"/>
  <c r="N120" i="46"/>
  <c r="M120" i="46"/>
  <c r="I120" i="46"/>
  <c r="N119" i="46"/>
  <c r="M119" i="46"/>
  <c r="I119" i="46"/>
  <c r="N118" i="46"/>
  <c r="M118" i="46"/>
  <c r="I118" i="46"/>
  <c r="N117" i="46"/>
  <c r="M117" i="46"/>
  <c r="I117" i="46"/>
  <c r="N116" i="46"/>
  <c r="M116" i="46"/>
  <c r="I116" i="46"/>
  <c r="N115" i="46"/>
  <c r="M115" i="46"/>
  <c r="I115" i="46"/>
  <c r="N114" i="46"/>
  <c r="M114" i="46"/>
  <c r="I114" i="46"/>
  <c r="N113" i="46"/>
  <c r="M113" i="46"/>
  <c r="I113" i="46"/>
  <c r="N112" i="46"/>
  <c r="M112" i="46"/>
  <c r="I112" i="46"/>
  <c r="N111" i="46"/>
  <c r="M111" i="46"/>
  <c r="I111" i="46"/>
  <c r="N110" i="46"/>
  <c r="M110" i="46"/>
  <c r="I110" i="46"/>
  <c r="N109" i="46"/>
  <c r="M109" i="46"/>
  <c r="I109" i="46"/>
  <c r="N108" i="46"/>
  <c r="M108" i="46"/>
  <c r="I108" i="46"/>
  <c r="N107" i="46"/>
  <c r="M107" i="46"/>
  <c r="I107" i="46"/>
  <c r="N106" i="46"/>
  <c r="M106" i="46"/>
  <c r="I106" i="46"/>
  <c r="N105" i="46"/>
  <c r="M105" i="46"/>
  <c r="I105" i="46"/>
  <c r="N104" i="46"/>
  <c r="M104" i="46"/>
  <c r="I104" i="46"/>
  <c r="N103" i="46"/>
  <c r="M103" i="46"/>
  <c r="I103" i="46"/>
  <c r="N102" i="46"/>
  <c r="M102" i="46"/>
  <c r="I102" i="46"/>
  <c r="N101" i="46"/>
  <c r="M101" i="46"/>
  <c r="I101" i="46"/>
  <c r="N100" i="46"/>
  <c r="M100" i="46"/>
  <c r="I100" i="46"/>
  <c r="N99" i="46"/>
  <c r="M99" i="46"/>
  <c r="I99" i="46"/>
  <c r="N98" i="46"/>
  <c r="M98" i="46"/>
  <c r="I98" i="46"/>
  <c r="N97" i="46"/>
  <c r="M97" i="46"/>
  <c r="I97" i="46"/>
  <c r="N96" i="46"/>
  <c r="M96" i="46"/>
  <c r="I96" i="46"/>
  <c r="N95" i="46"/>
  <c r="M95" i="46"/>
  <c r="I95" i="46"/>
  <c r="N94" i="46"/>
  <c r="M94" i="46"/>
  <c r="I94" i="46"/>
  <c r="N93" i="46"/>
  <c r="M93" i="46"/>
  <c r="I93" i="46"/>
  <c r="N92" i="46"/>
  <c r="M92" i="46"/>
  <c r="I92" i="46"/>
  <c r="N91" i="46"/>
  <c r="M91" i="46"/>
  <c r="I91" i="46"/>
  <c r="N90" i="46"/>
  <c r="M90" i="46"/>
  <c r="I90" i="46"/>
  <c r="N89" i="46"/>
  <c r="M89" i="46"/>
  <c r="I89" i="46"/>
  <c r="N88" i="46"/>
  <c r="M88" i="46"/>
  <c r="I88" i="46"/>
  <c r="N87" i="46"/>
  <c r="M87" i="46"/>
  <c r="I87" i="46"/>
  <c r="N86" i="46"/>
  <c r="M86" i="46"/>
  <c r="I86" i="46"/>
  <c r="N85" i="46"/>
  <c r="M85" i="46"/>
  <c r="I85" i="46"/>
  <c r="N84" i="46"/>
  <c r="M84" i="46"/>
  <c r="I84" i="46"/>
  <c r="N83" i="46"/>
  <c r="M83" i="46"/>
  <c r="I83" i="46"/>
  <c r="N82" i="46"/>
  <c r="M82" i="46"/>
  <c r="I82" i="46"/>
  <c r="N81" i="46"/>
  <c r="M81" i="46"/>
  <c r="I81" i="46"/>
  <c r="N80" i="46"/>
  <c r="M80" i="46"/>
  <c r="I80" i="46"/>
  <c r="N79" i="46"/>
  <c r="M79" i="46"/>
  <c r="I79" i="46"/>
  <c r="N78" i="46"/>
  <c r="M78" i="46"/>
  <c r="I78" i="46"/>
  <c r="N77" i="46"/>
  <c r="M77" i="46"/>
  <c r="I77" i="46"/>
  <c r="N76" i="46"/>
  <c r="M76" i="46"/>
  <c r="I76" i="46"/>
  <c r="N75" i="46"/>
  <c r="M75" i="46"/>
  <c r="I75" i="46"/>
  <c r="N74" i="46"/>
  <c r="M74" i="46"/>
  <c r="I74" i="46"/>
  <c r="N73" i="46"/>
  <c r="M73" i="46"/>
  <c r="I73" i="46"/>
  <c r="N72" i="46"/>
  <c r="M72" i="46"/>
  <c r="I72" i="46"/>
  <c r="N71" i="46"/>
  <c r="M71" i="46"/>
  <c r="I71" i="46"/>
  <c r="N70" i="46"/>
  <c r="M70" i="46"/>
  <c r="I70" i="46"/>
  <c r="N69" i="46"/>
  <c r="M69" i="46"/>
  <c r="I69" i="46"/>
  <c r="N68" i="46"/>
  <c r="M68" i="46"/>
  <c r="I68" i="46"/>
  <c r="N67" i="46"/>
  <c r="M67" i="46"/>
  <c r="I67" i="46"/>
  <c r="N66" i="46"/>
  <c r="M66" i="46"/>
  <c r="I66" i="46"/>
  <c r="N65" i="46"/>
  <c r="M65" i="46"/>
  <c r="I65" i="46"/>
  <c r="N64" i="46"/>
  <c r="M64" i="46"/>
  <c r="I64" i="46"/>
  <c r="N63" i="46"/>
  <c r="M63" i="46"/>
  <c r="I63" i="46"/>
  <c r="N62" i="46"/>
  <c r="M62" i="46"/>
  <c r="I62" i="46"/>
  <c r="N61" i="46"/>
  <c r="M61" i="46"/>
  <c r="I61" i="46"/>
  <c r="N60" i="46"/>
  <c r="M60" i="46"/>
  <c r="I60" i="46"/>
  <c r="N59" i="46"/>
  <c r="M59" i="46"/>
  <c r="I59" i="46"/>
  <c r="N58" i="46"/>
  <c r="M58" i="46"/>
  <c r="I58" i="46"/>
  <c r="N57" i="46"/>
  <c r="M57" i="46"/>
  <c r="I57" i="46"/>
  <c r="N56" i="46"/>
  <c r="M56" i="46"/>
  <c r="I56" i="46"/>
  <c r="N55" i="46"/>
  <c r="M55" i="46"/>
  <c r="I55" i="46"/>
  <c r="N54" i="46"/>
  <c r="M54" i="46"/>
  <c r="I54" i="46"/>
  <c r="N53" i="46"/>
  <c r="M53" i="46"/>
  <c r="I53" i="46"/>
  <c r="N52" i="46"/>
  <c r="M52" i="46"/>
  <c r="I52" i="46"/>
  <c r="N51" i="46"/>
  <c r="M51" i="46"/>
  <c r="I51" i="46"/>
  <c r="N50" i="46"/>
  <c r="M50" i="46"/>
  <c r="I50" i="46"/>
  <c r="N49" i="46"/>
  <c r="M49" i="46"/>
  <c r="I49" i="46"/>
  <c r="N48" i="46"/>
  <c r="M48" i="46"/>
  <c r="I48" i="46"/>
  <c r="N47" i="46"/>
  <c r="M47" i="46"/>
  <c r="I47" i="46"/>
  <c r="N46" i="46"/>
  <c r="M46" i="46"/>
  <c r="I46" i="46"/>
  <c r="N45" i="46"/>
  <c r="M45" i="46"/>
  <c r="I45" i="46"/>
  <c r="N44" i="46"/>
  <c r="M44" i="46"/>
  <c r="I44" i="46"/>
  <c r="N43" i="46"/>
  <c r="M43" i="46"/>
  <c r="I43" i="46"/>
  <c r="N42" i="46"/>
  <c r="M42" i="46"/>
  <c r="I42" i="46"/>
  <c r="N41" i="46"/>
  <c r="M41" i="46"/>
  <c r="I41" i="46"/>
  <c r="N40" i="46"/>
  <c r="M40" i="46"/>
  <c r="I40" i="46"/>
  <c r="N39" i="46"/>
  <c r="M39" i="46"/>
  <c r="I39" i="46"/>
  <c r="N38" i="46"/>
  <c r="M38" i="46"/>
  <c r="I38" i="46"/>
  <c r="N37" i="46"/>
  <c r="M37" i="46"/>
  <c r="I37" i="46"/>
  <c r="N36" i="46"/>
  <c r="M36" i="46"/>
  <c r="I36" i="46"/>
  <c r="N35" i="46"/>
  <c r="M35" i="46"/>
  <c r="I35" i="46"/>
  <c r="N34" i="46"/>
  <c r="M34" i="46"/>
  <c r="I34" i="46"/>
  <c r="N33" i="46"/>
  <c r="M33" i="46"/>
  <c r="I33" i="46"/>
  <c r="N32" i="46"/>
  <c r="M32" i="46"/>
  <c r="I32" i="46"/>
  <c r="N31" i="46"/>
  <c r="M31" i="46"/>
  <c r="I31" i="46"/>
  <c r="N30" i="46"/>
  <c r="M30" i="46"/>
  <c r="I30" i="46"/>
  <c r="N29" i="46"/>
  <c r="M29" i="46"/>
  <c r="I29" i="46"/>
  <c r="N28" i="46"/>
  <c r="M28" i="46"/>
  <c r="I28" i="46"/>
  <c r="N27" i="46"/>
  <c r="M27" i="46"/>
  <c r="I27" i="46"/>
  <c r="N26" i="46"/>
  <c r="M26" i="46"/>
  <c r="I26" i="46"/>
  <c r="N25" i="46"/>
  <c r="M25" i="46"/>
  <c r="I25" i="46"/>
  <c r="N24" i="46"/>
  <c r="M24" i="46"/>
  <c r="I24" i="46"/>
  <c r="N23" i="46"/>
  <c r="M23" i="46"/>
  <c r="I23" i="46"/>
  <c r="N22" i="46"/>
  <c r="M22" i="46"/>
  <c r="I22" i="46"/>
  <c r="N21" i="46"/>
  <c r="M21" i="46"/>
  <c r="I21" i="46"/>
  <c r="N20" i="46"/>
  <c r="M20" i="46"/>
  <c r="I20" i="46"/>
  <c r="N19" i="46"/>
  <c r="M19" i="46"/>
  <c r="I19" i="46"/>
  <c r="N18" i="46"/>
  <c r="M18" i="46"/>
  <c r="I18" i="46"/>
  <c r="N17" i="46"/>
  <c r="M17" i="46"/>
  <c r="I17" i="46"/>
  <c r="N16" i="46"/>
  <c r="M16" i="46"/>
  <c r="I16" i="46"/>
  <c r="N15" i="46"/>
  <c r="M15" i="46"/>
  <c r="I15" i="46"/>
  <c r="N14" i="46"/>
  <c r="M14" i="46"/>
  <c r="I14" i="46"/>
  <c r="N13" i="46"/>
  <c r="M13" i="46"/>
  <c r="I13" i="46"/>
  <c r="N12" i="46"/>
  <c r="M12" i="46"/>
  <c r="I12" i="46"/>
  <c r="O258" i="11"/>
  <c r="N258" i="11"/>
  <c r="J258" i="11"/>
  <c r="O257" i="11"/>
  <c r="N257" i="11"/>
  <c r="J257" i="11"/>
  <c r="O256" i="11"/>
  <c r="N256" i="11"/>
  <c r="J256" i="11"/>
  <c r="O255" i="11"/>
  <c r="N255" i="11"/>
  <c r="J255" i="11"/>
  <c r="O254" i="11"/>
  <c r="N254" i="11"/>
  <c r="J254" i="11"/>
  <c r="O253" i="11"/>
  <c r="N253" i="11"/>
  <c r="J253" i="11"/>
  <c r="O252" i="11"/>
  <c r="N252" i="11"/>
  <c r="J252" i="11"/>
  <c r="O251" i="11"/>
  <c r="N251" i="11"/>
  <c r="J251" i="11"/>
  <c r="O250" i="11"/>
  <c r="N250" i="11"/>
  <c r="J250" i="11"/>
  <c r="O249" i="11"/>
  <c r="N249" i="11"/>
  <c r="J249" i="11"/>
  <c r="O248" i="11"/>
  <c r="N248" i="11"/>
  <c r="J248" i="11"/>
  <c r="O247" i="11"/>
  <c r="N247" i="11"/>
  <c r="J247" i="11"/>
  <c r="O246" i="11"/>
  <c r="N246" i="11"/>
  <c r="J246" i="11"/>
  <c r="O245" i="11"/>
  <c r="N245" i="11"/>
  <c r="J245" i="11"/>
  <c r="O244" i="11"/>
  <c r="N244" i="11"/>
  <c r="J244" i="11"/>
  <c r="O243" i="11"/>
  <c r="N243" i="11"/>
  <c r="J243" i="11"/>
  <c r="O242" i="11"/>
  <c r="N242" i="11"/>
  <c r="J242" i="11"/>
  <c r="O241" i="11"/>
  <c r="N241" i="11"/>
  <c r="J241" i="11"/>
  <c r="O240" i="11"/>
  <c r="N240" i="11"/>
  <c r="J240" i="11"/>
  <c r="O239" i="11"/>
  <c r="N239" i="11"/>
  <c r="J239" i="11"/>
  <c r="O238" i="11"/>
  <c r="N238" i="11"/>
  <c r="J238" i="11"/>
  <c r="O237" i="11"/>
  <c r="N237" i="11"/>
  <c r="J237" i="11"/>
  <c r="O236" i="11"/>
  <c r="N236" i="11"/>
  <c r="J236" i="11"/>
  <c r="O235" i="11"/>
  <c r="N235" i="11"/>
  <c r="J235" i="11"/>
  <c r="O234" i="11"/>
  <c r="N234" i="11"/>
  <c r="J234" i="11"/>
  <c r="O233" i="11"/>
  <c r="N233" i="11"/>
  <c r="J233" i="11"/>
  <c r="O232" i="11"/>
  <c r="N232" i="11"/>
  <c r="J232" i="11"/>
  <c r="O231" i="11"/>
  <c r="N231" i="11"/>
  <c r="J231" i="11"/>
  <c r="O230" i="11"/>
  <c r="N230" i="11"/>
  <c r="J230" i="11"/>
  <c r="O229" i="11"/>
  <c r="N229" i="11"/>
  <c r="J229" i="11"/>
  <c r="O228" i="11"/>
  <c r="N228" i="11"/>
  <c r="J228" i="11"/>
  <c r="O227" i="11"/>
  <c r="N227" i="11"/>
  <c r="J227" i="11"/>
  <c r="O226" i="11"/>
  <c r="N226" i="11"/>
  <c r="J226" i="11"/>
  <c r="O225" i="11"/>
  <c r="N225" i="11"/>
  <c r="J225" i="11"/>
  <c r="O224" i="11"/>
  <c r="N224" i="11"/>
  <c r="J224" i="11"/>
  <c r="O223" i="11"/>
  <c r="N223" i="11"/>
  <c r="J223" i="11"/>
  <c r="O222" i="11"/>
  <c r="N222" i="11"/>
  <c r="J222" i="11"/>
  <c r="O221" i="11"/>
  <c r="N221" i="11"/>
  <c r="J221" i="11"/>
  <c r="O220" i="11"/>
  <c r="N220" i="11"/>
  <c r="J220" i="11"/>
  <c r="O219" i="11"/>
  <c r="N219" i="11"/>
  <c r="J219" i="11"/>
  <c r="O218" i="11"/>
  <c r="N218" i="11"/>
  <c r="J218" i="11"/>
  <c r="O217" i="11"/>
  <c r="N217" i="11"/>
  <c r="J217" i="11"/>
  <c r="O216" i="11"/>
  <c r="N216" i="11"/>
  <c r="J216" i="11"/>
  <c r="O215" i="11"/>
  <c r="N215" i="11"/>
  <c r="J215" i="11"/>
  <c r="O214" i="11"/>
  <c r="N214" i="11"/>
  <c r="J214" i="11"/>
  <c r="O213" i="11"/>
  <c r="N213" i="11"/>
  <c r="J213" i="11"/>
  <c r="O212" i="11"/>
  <c r="N212" i="11"/>
  <c r="J212" i="11"/>
  <c r="O211" i="11"/>
  <c r="N211" i="11"/>
  <c r="J211" i="11"/>
  <c r="O210" i="11"/>
  <c r="N210" i="11"/>
  <c r="J210" i="11"/>
  <c r="O209" i="11"/>
  <c r="N209" i="11"/>
  <c r="J209" i="11"/>
  <c r="O208" i="11"/>
  <c r="N208" i="11"/>
  <c r="J208" i="11"/>
  <c r="O207" i="11"/>
  <c r="N207" i="11"/>
  <c r="J207" i="11"/>
  <c r="O206" i="11"/>
  <c r="N206" i="11"/>
  <c r="J206" i="11"/>
  <c r="O205" i="11"/>
  <c r="N205" i="11"/>
  <c r="J205" i="11"/>
  <c r="O204" i="11"/>
  <c r="N204" i="11"/>
  <c r="J204" i="11"/>
  <c r="O203" i="11"/>
  <c r="N203" i="11"/>
  <c r="J203" i="11"/>
  <c r="O202" i="11"/>
  <c r="N202" i="11"/>
  <c r="J202" i="11"/>
  <c r="O201" i="11"/>
  <c r="N201" i="11"/>
  <c r="J201" i="11"/>
  <c r="O200" i="11"/>
  <c r="N200" i="11"/>
  <c r="J200" i="11"/>
  <c r="O199" i="11"/>
  <c r="N199" i="11"/>
  <c r="J199" i="11"/>
  <c r="O198" i="11"/>
  <c r="N198" i="11"/>
  <c r="J198" i="11"/>
  <c r="O197" i="11"/>
  <c r="N197" i="11"/>
  <c r="J197" i="11"/>
  <c r="O196" i="11"/>
  <c r="N196" i="11"/>
  <c r="J196" i="11"/>
  <c r="O195" i="11"/>
  <c r="N195" i="11"/>
  <c r="J195" i="11"/>
  <c r="O194" i="11"/>
  <c r="N194" i="11"/>
  <c r="J194" i="11"/>
  <c r="O193" i="11"/>
  <c r="N193" i="11"/>
  <c r="J193" i="11"/>
  <c r="O192" i="11"/>
  <c r="N192" i="11"/>
  <c r="J192" i="11"/>
  <c r="O191" i="11"/>
  <c r="N191" i="11"/>
  <c r="J191" i="11"/>
  <c r="O190" i="11"/>
  <c r="N190" i="11"/>
  <c r="J190" i="11"/>
  <c r="O189" i="11"/>
  <c r="N189" i="11"/>
  <c r="J189" i="11"/>
  <c r="O188" i="11"/>
  <c r="N188" i="11"/>
  <c r="J188" i="11"/>
  <c r="O187" i="11"/>
  <c r="N187" i="11"/>
  <c r="J187" i="11"/>
  <c r="O186" i="11"/>
  <c r="N186" i="11"/>
  <c r="J186" i="11"/>
  <c r="O185" i="11"/>
  <c r="N185" i="11"/>
  <c r="J185" i="11"/>
  <c r="O184" i="11"/>
  <c r="N184" i="11"/>
  <c r="J184" i="11"/>
  <c r="O183" i="11"/>
  <c r="N183" i="11"/>
  <c r="J183" i="11"/>
  <c r="O182" i="11"/>
  <c r="N182" i="11"/>
  <c r="J182" i="11"/>
  <c r="O181" i="11"/>
  <c r="N181" i="11"/>
  <c r="J181" i="11"/>
  <c r="O180" i="11"/>
  <c r="N180" i="11"/>
  <c r="J180" i="11"/>
  <c r="O179" i="11"/>
  <c r="N179" i="11"/>
  <c r="J179" i="11"/>
  <c r="O178" i="11"/>
  <c r="N178" i="11"/>
  <c r="J178" i="11"/>
  <c r="O177" i="11"/>
  <c r="N177" i="11"/>
  <c r="J177" i="11"/>
  <c r="O176" i="11"/>
  <c r="N176" i="11"/>
  <c r="J176" i="11"/>
  <c r="O175" i="11"/>
  <c r="N175" i="11"/>
  <c r="J175" i="11"/>
  <c r="O174" i="11"/>
  <c r="N174" i="11"/>
  <c r="J174" i="11"/>
  <c r="O173" i="11"/>
  <c r="N173" i="11"/>
  <c r="J173" i="11"/>
  <c r="O172" i="11"/>
  <c r="N172" i="11"/>
  <c r="J172" i="11"/>
  <c r="O171" i="11"/>
  <c r="N171" i="11"/>
  <c r="J171" i="11"/>
  <c r="O170" i="11"/>
  <c r="N170" i="11"/>
  <c r="J170" i="11"/>
  <c r="O169" i="11"/>
  <c r="N169" i="11"/>
  <c r="J169" i="11"/>
  <c r="O168" i="11"/>
  <c r="N168" i="11"/>
  <c r="J168" i="11"/>
  <c r="O167" i="11"/>
  <c r="N167" i="11"/>
  <c r="J167" i="11"/>
  <c r="O166" i="11"/>
  <c r="N166" i="11"/>
  <c r="J166" i="11"/>
  <c r="O165" i="11"/>
  <c r="N165" i="11"/>
  <c r="J165" i="11"/>
  <c r="O164" i="11"/>
  <c r="N164" i="11"/>
  <c r="J164" i="11"/>
  <c r="O163" i="11"/>
  <c r="N163" i="11"/>
  <c r="J163" i="11"/>
  <c r="O162" i="11"/>
  <c r="N162" i="11"/>
  <c r="J162" i="11"/>
  <c r="O161" i="11"/>
  <c r="N161" i="11"/>
  <c r="J161" i="11"/>
  <c r="O160" i="11"/>
  <c r="N160" i="11"/>
  <c r="J160" i="11"/>
  <c r="O159" i="11"/>
  <c r="N159" i="11"/>
  <c r="J159" i="11"/>
  <c r="O158" i="11"/>
  <c r="N158" i="11"/>
  <c r="J158" i="11"/>
  <c r="O157" i="11"/>
  <c r="N157" i="11"/>
  <c r="J157" i="11"/>
  <c r="O156" i="11"/>
  <c r="N156" i="11"/>
  <c r="J156" i="11"/>
  <c r="O155" i="11"/>
  <c r="N155" i="11"/>
  <c r="J155" i="11"/>
  <c r="O154" i="11"/>
  <c r="N154" i="11"/>
  <c r="J154" i="11"/>
  <c r="O153" i="11"/>
  <c r="N153" i="11"/>
  <c r="J153" i="11"/>
  <c r="O152" i="11"/>
  <c r="N152" i="11"/>
  <c r="J152" i="11"/>
  <c r="O151" i="11"/>
  <c r="N151" i="11"/>
  <c r="J151" i="11"/>
  <c r="O150" i="11"/>
  <c r="N150" i="11"/>
  <c r="J150" i="11"/>
  <c r="O149" i="11"/>
  <c r="N149" i="11"/>
  <c r="J149" i="11"/>
  <c r="O148" i="11"/>
  <c r="N148" i="11"/>
  <c r="J148" i="11"/>
  <c r="O147" i="11"/>
  <c r="N147" i="11"/>
  <c r="J147" i="11"/>
  <c r="O146" i="11"/>
  <c r="N146" i="11"/>
  <c r="J146" i="11"/>
  <c r="O145" i="11"/>
  <c r="N145" i="11"/>
  <c r="J145" i="11"/>
  <c r="O144" i="11"/>
  <c r="N144" i="11"/>
  <c r="J144" i="11"/>
  <c r="O143" i="11"/>
  <c r="N143" i="11"/>
  <c r="J143" i="11"/>
  <c r="O142" i="11"/>
  <c r="N142" i="11"/>
  <c r="J142" i="11"/>
  <c r="O141" i="11"/>
  <c r="N141" i="11"/>
  <c r="J141" i="11"/>
  <c r="O140" i="11"/>
  <c r="N140" i="11"/>
  <c r="J140" i="11"/>
  <c r="O139" i="11"/>
  <c r="N139" i="11"/>
  <c r="J139" i="11"/>
  <c r="O138" i="11"/>
  <c r="N138" i="11"/>
  <c r="J138" i="11"/>
  <c r="O137" i="11"/>
  <c r="N137" i="11"/>
  <c r="J137" i="11"/>
  <c r="O136" i="11"/>
  <c r="N136" i="11"/>
  <c r="J136" i="11"/>
  <c r="O135" i="11"/>
  <c r="N135" i="11"/>
  <c r="J135" i="11"/>
  <c r="O134" i="11"/>
  <c r="N134" i="11"/>
  <c r="J134" i="11"/>
  <c r="O133" i="11"/>
  <c r="N133" i="11"/>
  <c r="J133" i="11"/>
  <c r="O132" i="11"/>
  <c r="N132" i="11"/>
  <c r="J132" i="11"/>
  <c r="O131" i="11"/>
  <c r="N131" i="11"/>
  <c r="J131" i="11"/>
  <c r="O130" i="11"/>
  <c r="N130" i="11"/>
  <c r="J130" i="11"/>
  <c r="O129" i="11"/>
  <c r="N129" i="11"/>
  <c r="J129" i="11"/>
  <c r="O128" i="11"/>
  <c r="N128" i="11"/>
  <c r="J128" i="11"/>
  <c r="O127" i="11"/>
  <c r="N127" i="11"/>
  <c r="J127" i="11"/>
  <c r="O126" i="11"/>
  <c r="N126" i="11"/>
  <c r="J126" i="11"/>
  <c r="O125" i="11"/>
  <c r="N125" i="11"/>
  <c r="J125" i="11"/>
  <c r="O124" i="11"/>
  <c r="N124" i="11"/>
  <c r="J124" i="11"/>
  <c r="O123" i="11"/>
  <c r="N123" i="11"/>
  <c r="J123" i="11"/>
  <c r="O122" i="11"/>
  <c r="N122" i="11"/>
  <c r="J122" i="11"/>
  <c r="O121" i="11"/>
  <c r="N121" i="11"/>
  <c r="J121" i="11"/>
  <c r="O120" i="11"/>
  <c r="N120" i="11"/>
  <c r="J120" i="11"/>
  <c r="O119" i="11"/>
  <c r="N119" i="11"/>
  <c r="J119" i="11"/>
  <c r="O118" i="11"/>
  <c r="N118" i="11"/>
  <c r="J118" i="11"/>
  <c r="O117" i="11"/>
  <c r="N117" i="11"/>
  <c r="J117" i="11"/>
  <c r="O116" i="11"/>
  <c r="N116" i="11"/>
  <c r="J116" i="11"/>
  <c r="O115" i="11"/>
  <c r="N115" i="11"/>
  <c r="J115" i="11"/>
  <c r="O114" i="11"/>
  <c r="N114" i="11"/>
  <c r="J114" i="11"/>
  <c r="O113" i="11"/>
  <c r="N113" i="11"/>
  <c r="J113" i="11"/>
  <c r="O112" i="11"/>
  <c r="N112" i="11"/>
  <c r="J112" i="11"/>
  <c r="O111" i="11"/>
  <c r="N111" i="11"/>
  <c r="J111" i="11"/>
  <c r="O110" i="11"/>
  <c r="N110" i="11"/>
  <c r="J110" i="11"/>
  <c r="O109" i="11"/>
  <c r="N109" i="11"/>
  <c r="J109" i="11"/>
  <c r="O108" i="11"/>
  <c r="N108" i="11"/>
  <c r="J108" i="11"/>
  <c r="O107" i="11"/>
  <c r="N107" i="11"/>
  <c r="J107" i="11"/>
  <c r="O106" i="11"/>
  <c r="N106" i="11"/>
  <c r="J106" i="11"/>
  <c r="O105" i="11"/>
  <c r="N105" i="11"/>
  <c r="J105" i="11"/>
  <c r="O104" i="11"/>
  <c r="N104" i="11"/>
  <c r="J104" i="11"/>
  <c r="O103" i="11"/>
  <c r="N103" i="11"/>
  <c r="J103" i="11"/>
  <c r="O102" i="11"/>
  <c r="N102" i="11"/>
  <c r="J102" i="11"/>
  <c r="O101" i="11"/>
  <c r="N101" i="11"/>
  <c r="J101" i="11"/>
  <c r="O100" i="11"/>
  <c r="N100" i="11"/>
  <c r="J100" i="11"/>
  <c r="O99" i="11"/>
  <c r="N99" i="11"/>
  <c r="J99" i="11"/>
  <c r="O98" i="11"/>
  <c r="N98" i="11"/>
  <c r="J98" i="11"/>
  <c r="O97" i="11"/>
  <c r="N97" i="11"/>
  <c r="J97" i="11"/>
  <c r="O96" i="11"/>
  <c r="N96" i="11"/>
  <c r="J96" i="11"/>
  <c r="O95" i="11"/>
  <c r="N95" i="11"/>
  <c r="J95" i="11"/>
  <c r="O94" i="11"/>
  <c r="N94" i="11"/>
  <c r="J94" i="11"/>
  <c r="O93" i="11"/>
  <c r="N93" i="11"/>
  <c r="J93" i="11"/>
  <c r="O92" i="11"/>
  <c r="N92" i="11"/>
  <c r="J92" i="11"/>
  <c r="O91" i="11"/>
  <c r="N91" i="11"/>
  <c r="J91" i="11"/>
  <c r="O90" i="11"/>
  <c r="N90" i="11"/>
  <c r="J90" i="11"/>
  <c r="O89" i="11"/>
  <c r="N89" i="11"/>
  <c r="J89" i="11"/>
  <c r="O88" i="11"/>
  <c r="N88" i="11"/>
  <c r="J88" i="11"/>
  <c r="O87" i="11"/>
  <c r="N87" i="11"/>
  <c r="J87" i="11"/>
  <c r="O86" i="11"/>
  <c r="N86" i="11"/>
  <c r="J86" i="11"/>
  <c r="O85" i="11"/>
  <c r="N85" i="11"/>
  <c r="J85" i="11"/>
  <c r="O84" i="11"/>
  <c r="N84" i="11"/>
  <c r="J84" i="11"/>
  <c r="O83" i="11"/>
  <c r="N83" i="11"/>
  <c r="J83" i="11"/>
  <c r="O82" i="11"/>
  <c r="N82" i="11"/>
  <c r="J82" i="11"/>
  <c r="O81" i="11"/>
  <c r="N81" i="11"/>
  <c r="J81" i="11"/>
  <c r="O80" i="11"/>
  <c r="N80" i="11"/>
  <c r="J80" i="11"/>
  <c r="O79" i="11"/>
  <c r="N79" i="11"/>
  <c r="J79" i="11"/>
  <c r="O78" i="11"/>
  <c r="N78" i="11"/>
  <c r="J78" i="11"/>
  <c r="O77" i="11"/>
  <c r="N77" i="11"/>
  <c r="J77" i="11"/>
  <c r="O76" i="11"/>
  <c r="N76" i="11"/>
  <c r="J76" i="11"/>
  <c r="O75" i="11"/>
  <c r="N75" i="11"/>
  <c r="J75" i="11"/>
  <c r="O74" i="11"/>
  <c r="N74" i="11"/>
  <c r="J74" i="11"/>
  <c r="O73" i="11"/>
  <c r="N73" i="11"/>
  <c r="J73" i="11"/>
  <c r="O72" i="11"/>
  <c r="N72" i="11"/>
  <c r="J72" i="11"/>
  <c r="O71" i="11"/>
  <c r="N71" i="11"/>
  <c r="J71" i="11"/>
  <c r="O70" i="11"/>
  <c r="N70" i="11"/>
  <c r="J70" i="11"/>
  <c r="O69" i="11"/>
  <c r="N69" i="11"/>
  <c r="J69" i="11"/>
  <c r="O68" i="11"/>
  <c r="N68" i="11"/>
  <c r="J68" i="11"/>
  <c r="O67" i="11"/>
  <c r="N67" i="11"/>
  <c r="J67" i="11"/>
  <c r="O66" i="11"/>
  <c r="N66" i="11"/>
  <c r="J66" i="11"/>
  <c r="O65" i="11"/>
  <c r="N65" i="11"/>
  <c r="J65" i="11"/>
  <c r="O64" i="11"/>
  <c r="N64" i="11"/>
  <c r="J64" i="11"/>
  <c r="O63" i="11"/>
  <c r="N63" i="11"/>
  <c r="J63" i="11"/>
  <c r="O62" i="11"/>
  <c r="N62" i="11"/>
  <c r="J62" i="11"/>
  <c r="O61" i="11"/>
  <c r="N61" i="11"/>
  <c r="J61" i="11"/>
  <c r="O60" i="11"/>
  <c r="N60" i="11"/>
  <c r="J60" i="11"/>
  <c r="O59" i="11"/>
  <c r="N59" i="11"/>
  <c r="J59" i="11"/>
  <c r="O58" i="11"/>
  <c r="N58" i="11"/>
  <c r="J58" i="11"/>
  <c r="O57" i="11"/>
  <c r="N57" i="11"/>
  <c r="J57" i="11"/>
  <c r="O56" i="11"/>
  <c r="N56" i="11"/>
  <c r="J56" i="11"/>
  <c r="O55" i="11"/>
  <c r="N55" i="11"/>
  <c r="J55" i="11"/>
  <c r="O54" i="11"/>
  <c r="N54" i="11"/>
  <c r="J54" i="11"/>
  <c r="O53" i="11"/>
  <c r="N53" i="11"/>
  <c r="J53" i="11"/>
  <c r="O52" i="11"/>
  <c r="N52" i="11"/>
  <c r="J52" i="11"/>
  <c r="O51" i="11"/>
  <c r="N51" i="11"/>
  <c r="J51" i="11"/>
  <c r="O50" i="11"/>
  <c r="N50" i="11"/>
  <c r="J50" i="11"/>
  <c r="O49" i="11"/>
  <c r="N49" i="11"/>
  <c r="J49" i="11"/>
  <c r="O48" i="11"/>
  <c r="N48" i="11"/>
  <c r="J48" i="11"/>
  <c r="O47" i="11"/>
  <c r="N47" i="11"/>
  <c r="J47" i="11"/>
  <c r="O46" i="11"/>
  <c r="N46" i="11"/>
  <c r="J46" i="11"/>
  <c r="O45" i="11"/>
  <c r="N45" i="11"/>
  <c r="J45" i="11"/>
  <c r="O44" i="11"/>
  <c r="N44" i="11"/>
  <c r="J44" i="11"/>
  <c r="O43" i="11"/>
  <c r="N43" i="11"/>
  <c r="J43" i="11"/>
  <c r="O42" i="11"/>
  <c r="N42" i="11"/>
  <c r="J42" i="11"/>
  <c r="O41" i="11"/>
  <c r="N41" i="11"/>
  <c r="J41" i="11"/>
  <c r="O40" i="11"/>
  <c r="N40" i="11"/>
  <c r="J40" i="11"/>
  <c r="O39" i="11"/>
  <c r="N39" i="11"/>
  <c r="J39" i="11"/>
  <c r="O38" i="11"/>
  <c r="N38" i="11"/>
  <c r="J38" i="11"/>
  <c r="O37" i="11"/>
  <c r="N37" i="11"/>
  <c r="J37" i="11"/>
  <c r="O36" i="11"/>
  <c r="N36" i="11"/>
  <c r="J36" i="11"/>
  <c r="O35" i="11"/>
  <c r="N35" i="11"/>
  <c r="J35" i="11"/>
  <c r="O34" i="11"/>
  <c r="N34" i="11"/>
  <c r="J34" i="11"/>
  <c r="O33" i="11"/>
  <c r="N33" i="11"/>
  <c r="J33" i="11"/>
  <c r="O32" i="11"/>
  <c r="N32" i="11"/>
  <c r="J32" i="11"/>
  <c r="O31" i="11"/>
  <c r="N31" i="11"/>
  <c r="J31" i="11"/>
  <c r="O30" i="11"/>
  <c r="N30" i="11"/>
  <c r="J30" i="11"/>
  <c r="O29" i="11"/>
  <c r="N29" i="11"/>
  <c r="J29" i="11"/>
  <c r="O28" i="11"/>
  <c r="N28" i="11"/>
  <c r="J28" i="11"/>
  <c r="O27" i="11"/>
  <c r="N27" i="11"/>
  <c r="J27" i="11"/>
  <c r="O26" i="11"/>
  <c r="N26" i="11"/>
  <c r="J26" i="11"/>
  <c r="O25" i="11"/>
  <c r="N25" i="11"/>
  <c r="J25" i="11"/>
  <c r="O24" i="11"/>
  <c r="N24" i="11"/>
  <c r="J24" i="11"/>
  <c r="O23" i="11"/>
  <c r="N23" i="11"/>
  <c r="J23" i="11"/>
  <c r="O22" i="11"/>
  <c r="N22" i="11"/>
  <c r="J22" i="11"/>
  <c r="O21" i="11"/>
  <c r="N21" i="11"/>
  <c r="J21" i="11"/>
  <c r="O20" i="11"/>
  <c r="N20" i="11"/>
  <c r="J20" i="11"/>
  <c r="O19" i="11"/>
  <c r="N19" i="11"/>
  <c r="J19" i="11"/>
  <c r="O18" i="11"/>
  <c r="N18" i="11"/>
  <c r="J18" i="11"/>
  <c r="O17" i="11"/>
  <c r="N17" i="11"/>
  <c r="J17" i="11"/>
  <c r="O16" i="11"/>
  <c r="N16" i="11"/>
  <c r="J16" i="11"/>
  <c r="O15" i="11"/>
  <c r="N15" i="11"/>
  <c r="J15" i="11"/>
  <c r="O14" i="11"/>
  <c r="N14" i="11"/>
  <c r="J14" i="11"/>
  <c r="O13" i="11"/>
  <c r="N13" i="11"/>
  <c r="J13" i="11"/>
  <c r="O12" i="11"/>
  <c r="N12" i="11"/>
  <c r="J12" i="11"/>
  <c r="Q100" i="29"/>
  <c r="E3" i="28" s="1"/>
  <c r="Q125" i="29"/>
  <c r="E41" i="28" s="1"/>
  <c r="O125" i="29"/>
  <c r="C41" i="28" s="1"/>
  <c r="M125" i="29"/>
  <c r="P49" i="11" s="1"/>
  <c r="Q49" i="11" s="1"/>
  <c r="L125" i="29"/>
  <c r="Q124" i="29"/>
  <c r="E45" i="28" s="1"/>
  <c r="O124" i="29"/>
  <c r="C45" i="28" s="1"/>
  <c r="M124" i="29"/>
  <c r="P59" i="11" s="1"/>
  <c r="Q59" i="11" s="1"/>
  <c r="L124" i="29"/>
  <c r="Q123" i="29"/>
  <c r="E43" i="28" s="1"/>
  <c r="O123" i="29"/>
  <c r="C43" i="28" s="1"/>
  <c r="M123" i="29"/>
  <c r="P55" i="11" s="1"/>
  <c r="Q55" i="11" s="1"/>
  <c r="L123" i="29"/>
  <c r="Q122" i="29"/>
  <c r="E44" i="28" s="1"/>
  <c r="O122" i="29"/>
  <c r="C44" i="28" s="1"/>
  <c r="M122" i="29"/>
  <c r="P53" i="11" s="1"/>
  <c r="Q53" i="11" s="1"/>
  <c r="L122" i="29"/>
  <c r="Q119" i="29"/>
  <c r="E42" i="28" s="1"/>
  <c r="O119" i="29"/>
  <c r="C42" i="28" s="1"/>
  <c r="M119" i="29"/>
  <c r="P50" i="11" s="1"/>
  <c r="Q50" i="11" s="1"/>
  <c r="L119" i="29"/>
  <c r="Q118" i="29"/>
  <c r="E46" i="28" s="1"/>
  <c r="O118" i="29"/>
  <c r="C46" i="28" s="1"/>
  <c r="M118" i="29"/>
  <c r="P60" i="11" s="1"/>
  <c r="Q60" i="11" s="1"/>
  <c r="L118" i="29"/>
  <c r="Q117" i="29"/>
  <c r="E47" i="28" s="1"/>
  <c r="O117" i="29"/>
  <c r="C47" i="28" s="1"/>
  <c r="M117" i="29"/>
  <c r="P58" i="11" s="1"/>
  <c r="Q58" i="11" s="1"/>
  <c r="L117" i="29"/>
  <c r="Q115" i="29"/>
  <c r="E52" i="28" s="1"/>
  <c r="O115" i="29"/>
  <c r="C52" i="28" s="1"/>
  <c r="M115" i="29"/>
  <c r="P65" i="11" s="1"/>
  <c r="Q65" i="11" s="1"/>
  <c r="L115" i="29"/>
  <c r="Q114" i="29"/>
  <c r="E51" i="28" s="1"/>
  <c r="O114" i="29"/>
  <c r="C51" i="28" s="1"/>
  <c r="M114" i="29"/>
  <c r="P68" i="11" s="1"/>
  <c r="Q68" i="11" s="1"/>
  <c r="L114" i="29"/>
  <c r="Q109" i="29"/>
  <c r="E4" i="28" s="1"/>
  <c r="O109" i="29"/>
  <c r="C4" i="28" s="1"/>
  <c r="Q113" i="29"/>
  <c r="E49" i="28" s="1"/>
  <c r="O113" i="29"/>
  <c r="C49" i="28" s="1"/>
  <c r="M113" i="29"/>
  <c r="P64" i="11" s="1"/>
  <c r="Q64" i="11" s="1"/>
  <c r="L113" i="29"/>
  <c r="Q112" i="29"/>
  <c r="E50" i="28" s="1"/>
  <c r="O112" i="29"/>
  <c r="C50" i="28" s="1"/>
  <c r="M112" i="29"/>
  <c r="P61" i="11" s="1"/>
  <c r="Q61" i="11" s="1"/>
  <c r="L112" i="29"/>
  <c r="Q111" i="29"/>
  <c r="E48" i="28" s="1"/>
  <c r="O111" i="29"/>
  <c r="C48" i="28" s="1"/>
  <c r="M111" i="29"/>
  <c r="P63" i="11" s="1"/>
  <c r="Q63" i="11" s="1"/>
  <c r="L111" i="29"/>
  <c r="Q108" i="29"/>
  <c r="E65" i="28" s="1"/>
  <c r="O108" i="29"/>
  <c r="C65" i="28" s="1"/>
  <c r="P44" i="11"/>
  <c r="Q44" i="11" s="1"/>
  <c r="Q107" i="29"/>
  <c r="E64" i="28" s="1"/>
  <c r="O107" i="29"/>
  <c r="C64" i="28" s="1"/>
  <c r="P43" i="11"/>
  <c r="Q43" i="11" s="1"/>
  <c r="Q106" i="29"/>
  <c r="E69" i="28" s="1"/>
  <c r="O106" i="29"/>
  <c r="C69" i="28" s="1"/>
  <c r="P48" i="11"/>
  <c r="Q48" i="11" s="1"/>
  <c r="Q105" i="29"/>
  <c r="E68" i="28" s="1"/>
  <c r="O105" i="29"/>
  <c r="C68" i="28" s="1"/>
  <c r="P47" i="11"/>
  <c r="Q47" i="11" s="1"/>
  <c r="Q104" i="29"/>
  <c r="E71" i="28" s="1"/>
  <c r="O104" i="29"/>
  <c r="C71" i="28" s="1"/>
  <c r="P46" i="11"/>
  <c r="Q46" i="11" s="1"/>
  <c r="Q103" i="29"/>
  <c r="E70" i="28" s="1"/>
  <c r="O103" i="29"/>
  <c r="C70" i="28" s="1"/>
  <c r="P45" i="11"/>
  <c r="Q45" i="11" s="1"/>
  <c r="Q102" i="29"/>
  <c r="E67" i="28" s="1"/>
  <c r="O102" i="29"/>
  <c r="C67" i="28" s="1"/>
  <c r="P42" i="11"/>
  <c r="Q42" i="11" s="1"/>
  <c r="Q101" i="29"/>
  <c r="E66" i="28" s="1"/>
  <c r="O101" i="29"/>
  <c r="C66" i="28" s="1"/>
  <c r="P41" i="11"/>
  <c r="Q41" i="11" s="1"/>
  <c r="O100" i="29"/>
  <c r="C3" i="28" s="1"/>
  <c r="P38" i="11"/>
  <c r="Q38" i="11" s="1"/>
  <c r="AF20" i="65" l="1"/>
  <c r="AE20" i="65"/>
  <c r="AE36" i="57"/>
  <c r="R36" i="57"/>
  <c r="AE36" i="53"/>
  <c r="R36" i="53"/>
  <c r="AF35" i="53"/>
  <c r="D21" i="69"/>
  <c r="E21" i="69" s="1"/>
  <c r="F21" i="69" s="1"/>
  <c r="G21" i="69" s="1"/>
  <c r="H21" i="69" s="1"/>
  <c r="I21" i="69" s="1"/>
  <c r="J21" i="69" s="1"/>
  <c r="K21" i="69" s="1"/>
  <c r="AO21" i="69"/>
  <c r="AB33" i="57"/>
  <c r="AF33" i="57"/>
  <c r="AB19" i="69"/>
  <c r="AC19" i="69" s="1"/>
  <c r="AD19" i="69" s="1"/>
  <c r="AG19" i="69"/>
  <c r="AB17" i="69"/>
  <c r="AC17" i="69" s="1"/>
  <c r="AD17" i="69" s="1"/>
  <c r="AG17" i="69"/>
  <c r="AG19" i="65"/>
  <c r="D113" i="22"/>
  <c r="P52" i="11"/>
  <c r="Q52" i="11" s="1"/>
  <c r="M21" i="69"/>
  <c r="AX20" i="69"/>
  <c r="X34" i="57"/>
  <c r="AA33" i="57"/>
  <c r="L37" i="57"/>
  <c r="O37" i="57"/>
  <c r="AG37" i="57" s="1"/>
  <c r="AC36" i="57"/>
  <c r="AJ36" i="57"/>
  <c r="AP36" i="57"/>
  <c r="AH20" i="65"/>
  <c r="AV20" i="65"/>
  <c r="AB35" i="53"/>
  <c r="AA35" i="53"/>
  <c r="AG36" i="53"/>
  <c r="AB34" i="53"/>
  <c r="AA34" i="53"/>
  <c r="AH36" i="53"/>
  <c r="AC36" i="53"/>
  <c r="AT36" i="53"/>
  <c r="N37" i="57"/>
  <c r="N37" i="53"/>
  <c r="AH20" i="69"/>
  <c r="AD36" i="57"/>
  <c r="Q36" i="53"/>
  <c r="AD36" i="53"/>
  <c r="N21" i="65"/>
  <c r="I37" i="53"/>
  <c r="C37" i="53"/>
  <c r="F37" i="53"/>
  <c r="L37" i="53"/>
  <c r="K37" i="53"/>
  <c r="E37" i="53"/>
  <c r="P37" i="53"/>
  <c r="H37" i="53"/>
  <c r="G37" i="53"/>
  <c r="AK36" i="52" a="1"/>
  <c r="AK36" i="52" s="1"/>
  <c r="B38" i="53" s="1"/>
  <c r="O38" i="53" s="1"/>
  <c r="J37" i="53"/>
  <c r="D37" i="53"/>
  <c r="Q36" i="57"/>
  <c r="G37" i="57"/>
  <c r="I37" i="57"/>
  <c r="J37" i="57"/>
  <c r="F37" i="57"/>
  <c r="P37" i="57"/>
  <c r="K37" i="57"/>
  <c r="H37" i="57"/>
  <c r="E37" i="57"/>
  <c r="D37" i="57"/>
  <c r="C37" i="57"/>
  <c r="M37" i="57" s="1"/>
  <c r="T35" i="57"/>
  <c r="AK36" i="55" a="1"/>
  <c r="AK36" i="55" s="1"/>
  <c r="B38" i="57" s="1"/>
  <c r="AE20" i="69"/>
  <c r="Q20" i="69"/>
  <c r="R20" i="69"/>
  <c r="S20" i="69" s="1"/>
  <c r="Y20" i="69" s="1"/>
  <c r="AB20" i="69" s="1"/>
  <c r="AC20" i="69" s="1"/>
  <c r="AD20" i="69" s="1"/>
  <c r="P21" i="69"/>
  <c r="N21" i="69"/>
  <c r="AF21" i="69" s="1"/>
  <c r="U20" i="69"/>
  <c r="B22" i="69"/>
  <c r="AN22" i="67" a="1"/>
  <c r="AN22" i="67" s="1"/>
  <c r="B23" i="69"/>
  <c r="L23" i="69" s="1"/>
  <c r="AN21" i="63" a="1"/>
  <c r="AN21" i="63" s="1"/>
  <c r="B22" i="65"/>
  <c r="L22" i="65" s="1"/>
  <c r="R20" i="65"/>
  <c r="S20" i="65" s="1"/>
  <c r="Y20" i="65" s="1"/>
  <c r="AB20" i="65" s="1"/>
  <c r="AC20" i="65" s="1"/>
  <c r="AD20" i="65" s="1"/>
  <c r="Q20" i="65"/>
  <c r="U20" i="65"/>
  <c r="P21" i="65"/>
  <c r="D21" i="65"/>
  <c r="E21" i="65" s="1"/>
  <c r="F21" i="65" s="1"/>
  <c r="G21" i="65" s="1"/>
  <c r="H21" i="65" s="1"/>
  <c r="I21" i="65" s="1"/>
  <c r="J21" i="65" s="1"/>
  <c r="K21" i="65" s="1"/>
  <c r="M21" i="65" s="1"/>
  <c r="AF21" i="65" l="1"/>
  <c r="AE21" i="65"/>
  <c r="AE37" i="57"/>
  <c r="R37" i="57"/>
  <c r="AE37" i="53"/>
  <c r="R37" i="53"/>
  <c r="AA34" i="57"/>
  <c r="AF34" i="57"/>
  <c r="AG20" i="69"/>
  <c r="AG20" i="65"/>
  <c r="X35" i="57"/>
  <c r="O22" i="69"/>
  <c r="L22" i="69"/>
  <c r="AX21" i="69"/>
  <c r="AB34" i="57"/>
  <c r="O38" i="57"/>
  <c r="AG38" i="57" s="1"/>
  <c r="L38" i="57"/>
  <c r="AC37" i="57"/>
  <c r="AJ37" i="57"/>
  <c r="AP37" i="57"/>
  <c r="AH21" i="65"/>
  <c r="AV21" i="65"/>
  <c r="AG37" i="53"/>
  <c r="AH37" i="53"/>
  <c r="AC37" i="53"/>
  <c r="AT37" i="53"/>
  <c r="N38" i="57"/>
  <c r="H38" i="53"/>
  <c r="N38" i="53"/>
  <c r="Q21" i="69"/>
  <c r="AH21" i="69"/>
  <c r="AD37" i="57"/>
  <c r="X36" i="53"/>
  <c r="AF36" i="53" s="1"/>
  <c r="Q37" i="53"/>
  <c r="AD37" i="53"/>
  <c r="AK37" i="52" a="1"/>
  <c r="AK37" i="52" s="1"/>
  <c r="B39" i="53" s="1"/>
  <c r="O39" i="53" s="1"/>
  <c r="K38" i="53"/>
  <c r="D38" i="53"/>
  <c r="C38" i="53"/>
  <c r="G38" i="53"/>
  <c r="I38" i="53"/>
  <c r="F38" i="53"/>
  <c r="P38" i="53"/>
  <c r="L38" i="53"/>
  <c r="E38" i="53"/>
  <c r="J38" i="53"/>
  <c r="P38" i="57"/>
  <c r="D38" i="57"/>
  <c r="K38" i="57"/>
  <c r="I38" i="57"/>
  <c r="H38" i="57"/>
  <c r="G38" i="57"/>
  <c r="E38" i="57"/>
  <c r="C38" i="57"/>
  <c r="M38" i="57" s="1"/>
  <c r="F38" i="57"/>
  <c r="J38" i="57"/>
  <c r="T36" i="57"/>
  <c r="Q37" i="57"/>
  <c r="AK37" i="55" a="1"/>
  <c r="AK37" i="55" s="1"/>
  <c r="B39" i="57" s="1"/>
  <c r="U21" i="69"/>
  <c r="R21" i="69"/>
  <c r="S21" i="69" s="1"/>
  <c r="Y21" i="69" s="1"/>
  <c r="AB21" i="69" s="1"/>
  <c r="AC21" i="69" s="1"/>
  <c r="AD21" i="69" s="1"/>
  <c r="AE21" i="69"/>
  <c r="C22" i="69"/>
  <c r="C23" i="69"/>
  <c r="AO23" i="69" s="1"/>
  <c r="O23" i="69"/>
  <c r="AN23" i="67" a="1"/>
  <c r="AN23" i="67" s="1"/>
  <c r="B24" i="69"/>
  <c r="L24" i="69" s="1"/>
  <c r="Q21" i="65"/>
  <c r="R21" i="65"/>
  <c r="S21" i="65" s="1"/>
  <c r="Y21" i="65" s="1"/>
  <c r="AB21" i="65" s="1"/>
  <c r="AC21" i="65" s="1"/>
  <c r="AD21" i="65" s="1"/>
  <c r="U21" i="65"/>
  <c r="C22" i="65"/>
  <c r="AM22" i="65" s="1"/>
  <c r="O22" i="65"/>
  <c r="AN22" i="63" a="1"/>
  <c r="AN22" i="63" s="1"/>
  <c r="B23" i="65"/>
  <c r="L23" i="65" s="1"/>
  <c r="A126" i="99"/>
  <c r="A125" i="99"/>
  <c r="A124" i="99"/>
  <c r="A123" i="99"/>
  <c r="A120" i="99"/>
  <c r="A119" i="99"/>
  <c r="A118" i="99"/>
  <c r="A116" i="99"/>
  <c r="A115" i="99"/>
  <c r="A113" i="99"/>
  <c r="A112" i="99"/>
  <c r="A111" i="99"/>
  <c r="A110" i="99"/>
  <c r="A109" i="99"/>
  <c r="A108" i="99"/>
  <c r="A107" i="99"/>
  <c r="A106" i="99"/>
  <c r="A105" i="99"/>
  <c r="A104" i="99"/>
  <c r="A103" i="99"/>
  <c r="A102" i="99"/>
  <c r="A101" i="99"/>
  <c r="C127" i="33"/>
  <c r="C126" i="33"/>
  <c r="C125" i="33"/>
  <c r="C124" i="33"/>
  <c r="C121" i="33"/>
  <c r="C120" i="33"/>
  <c r="C119" i="33"/>
  <c r="C117" i="33"/>
  <c r="C116" i="33"/>
  <c r="C114" i="33"/>
  <c r="C113" i="33"/>
  <c r="C112" i="33"/>
  <c r="C111" i="33"/>
  <c r="C110" i="33"/>
  <c r="C109" i="33"/>
  <c r="C108" i="33"/>
  <c r="C107" i="33"/>
  <c r="C106" i="33"/>
  <c r="C105" i="33"/>
  <c r="C104" i="33"/>
  <c r="C103" i="33"/>
  <c r="C102" i="33"/>
  <c r="F126" i="20"/>
  <c r="F125" i="20"/>
  <c r="F124" i="20"/>
  <c r="F123" i="20"/>
  <c r="F120" i="20"/>
  <c r="F119" i="20"/>
  <c r="F118" i="20"/>
  <c r="F116" i="20"/>
  <c r="F115" i="20"/>
  <c r="F113" i="20"/>
  <c r="F112" i="20"/>
  <c r="F111" i="20"/>
  <c r="F110" i="20"/>
  <c r="F109" i="20"/>
  <c r="F108" i="20"/>
  <c r="F107" i="20"/>
  <c r="F106" i="20"/>
  <c r="F105" i="20"/>
  <c r="F104" i="20"/>
  <c r="F103" i="20"/>
  <c r="F102" i="20"/>
  <c r="F101" i="20"/>
  <c r="D128" i="22"/>
  <c r="C128" i="22"/>
  <c r="B128" i="22"/>
  <c r="D126" i="22"/>
  <c r="C126" i="22"/>
  <c r="B126" i="22"/>
  <c r="A126" i="22"/>
  <c r="F126" i="22" s="1"/>
  <c r="D125" i="22"/>
  <c r="C125" i="22"/>
  <c r="B125" i="22"/>
  <c r="A125" i="22"/>
  <c r="F125" i="22" s="1"/>
  <c r="D124" i="22"/>
  <c r="C124" i="22"/>
  <c r="B124" i="22"/>
  <c r="A124" i="22"/>
  <c r="F124" i="22" s="1"/>
  <c r="D123" i="22"/>
  <c r="C123" i="22"/>
  <c r="B123" i="22"/>
  <c r="A123" i="22"/>
  <c r="F123" i="22" s="1"/>
  <c r="D120" i="22"/>
  <c r="C120" i="22"/>
  <c r="B120" i="22"/>
  <c r="A120" i="22"/>
  <c r="F120" i="22" s="1"/>
  <c r="D119" i="22"/>
  <c r="C119" i="22"/>
  <c r="B119" i="22"/>
  <c r="A119" i="22"/>
  <c r="F119" i="22" s="1"/>
  <c r="D118" i="22"/>
  <c r="C118" i="22"/>
  <c r="B118" i="22"/>
  <c r="A118" i="22"/>
  <c r="F118" i="22" s="1"/>
  <c r="D116" i="22"/>
  <c r="C116" i="22"/>
  <c r="B116" i="22"/>
  <c r="A116" i="22"/>
  <c r="F116" i="22" s="1"/>
  <c r="D115" i="22"/>
  <c r="C115" i="22"/>
  <c r="B115" i="22"/>
  <c r="A115" i="22"/>
  <c r="F115" i="22" s="1"/>
  <c r="D112" i="22"/>
  <c r="C112" i="22"/>
  <c r="B112" i="22"/>
  <c r="A112" i="22"/>
  <c r="F112" i="22" s="1"/>
  <c r="D111" i="22"/>
  <c r="C111" i="22"/>
  <c r="B111" i="22"/>
  <c r="A111" i="22"/>
  <c r="F111" i="22" s="1"/>
  <c r="D110" i="22"/>
  <c r="C110" i="22"/>
  <c r="B110" i="22"/>
  <c r="A110" i="22"/>
  <c r="F110" i="22" s="1"/>
  <c r="D109" i="22"/>
  <c r="C109" i="22"/>
  <c r="B109" i="22"/>
  <c r="A109" i="22"/>
  <c r="F109" i="22" s="1"/>
  <c r="D108" i="22"/>
  <c r="C108" i="22"/>
  <c r="B108" i="22"/>
  <c r="A108" i="22"/>
  <c r="F108" i="22" s="1"/>
  <c r="D107" i="22"/>
  <c r="C107" i="22"/>
  <c r="B107" i="22"/>
  <c r="A107" i="22"/>
  <c r="D106" i="22"/>
  <c r="C106" i="22"/>
  <c r="B106" i="22"/>
  <c r="A106" i="22"/>
  <c r="F106" i="22" s="1"/>
  <c r="D105" i="22"/>
  <c r="C105" i="22"/>
  <c r="B105" i="22"/>
  <c r="A105" i="22"/>
  <c r="F105" i="22" s="1"/>
  <c r="D104" i="22"/>
  <c r="C104" i="22"/>
  <c r="B104" i="22"/>
  <c r="A104" i="22"/>
  <c r="F104" i="22" s="1"/>
  <c r="D103" i="22"/>
  <c r="C103" i="22"/>
  <c r="B103" i="22"/>
  <c r="A103" i="22"/>
  <c r="F103" i="22" s="1"/>
  <c r="D102" i="22"/>
  <c r="C102" i="22"/>
  <c r="B102" i="22"/>
  <c r="A102" i="22"/>
  <c r="F102" i="22" s="1"/>
  <c r="D101" i="22"/>
  <c r="C101" i="22"/>
  <c r="B101" i="22"/>
  <c r="A101" i="22"/>
  <c r="F101" i="22" s="1"/>
  <c r="AE38" i="57" l="1"/>
  <c r="R38" i="57"/>
  <c r="AE38" i="53"/>
  <c r="R38" i="53"/>
  <c r="P22" i="69"/>
  <c r="AO22" i="69"/>
  <c r="AB35" i="57"/>
  <c r="AF35" i="57"/>
  <c r="AG21" i="69"/>
  <c r="AG21" i="65"/>
  <c r="S101" i="22"/>
  <c r="E101" i="22"/>
  <c r="S103" i="22"/>
  <c r="E103" i="22"/>
  <c r="S105" i="22"/>
  <c r="E105" i="22"/>
  <c r="S109" i="22"/>
  <c r="E109" i="22"/>
  <c r="S111" i="22"/>
  <c r="E111" i="22"/>
  <c r="S115" i="22"/>
  <c r="E115" i="22"/>
  <c r="E118" i="22"/>
  <c r="S118" i="22"/>
  <c r="S128" i="22"/>
  <c r="E128" i="22"/>
  <c r="S102" i="22"/>
  <c r="E102" i="22"/>
  <c r="S104" i="22"/>
  <c r="E104" i="22"/>
  <c r="E106" i="22"/>
  <c r="S106" i="22"/>
  <c r="S108" i="22"/>
  <c r="E108" i="22"/>
  <c r="S110" i="22"/>
  <c r="E110" i="22"/>
  <c r="S112" i="22"/>
  <c r="E112" i="22"/>
  <c r="E116" i="22"/>
  <c r="S116" i="22"/>
  <c r="S119" i="22"/>
  <c r="E119" i="22"/>
  <c r="E123" i="22"/>
  <c r="S123" i="22"/>
  <c r="E125" i="22"/>
  <c r="S125" i="22"/>
  <c r="E107" i="22"/>
  <c r="S107" i="22"/>
  <c r="E120" i="22"/>
  <c r="S120" i="22"/>
  <c r="S124" i="22"/>
  <c r="E124" i="22"/>
  <c r="S126" i="22"/>
  <c r="E126" i="22"/>
  <c r="AA35" i="57"/>
  <c r="O39" i="57"/>
  <c r="AG39" i="57" s="1"/>
  <c r="L39" i="57"/>
  <c r="X36" i="57"/>
  <c r="AJ38" i="57"/>
  <c r="AC38" i="57"/>
  <c r="AP38" i="57"/>
  <c r="AH38" i="53"/>
  <c r="AT38" i="53"/>
  <c r="AC38" i="53"/>
  <c r="AG38" i="53"/>
  <c r="AB36" i="53"/>
  <c r="AA36" i="53"/>
  <c r="N39" i="57"/>
  <c r="X37" i="53"/>
  <c r="AF37" i="53" s="1"/>
  <c r="C39" i="53"/>
  <c r="N39" i="53"/>
  <c r="AD38" i="57"/>
  <c r="AD38" i="53"/>
  <c r="N22" i="65"/>
  <c r="Q38" i="53"/>
  <c r="F39" i="53"/>
  <c r="G39" i="53"/>
  <c r="K39" i="53"/>
  <c r="D39" i="53"/>
  <c r="H39" i="53"/>
  <c r="L39" i="53"/>
  <c r="AK38" i="52" a="1"/>
  <c r="AK38" i="52" s="1"/>
  <c r="B40" i="53" s="1"/>
  <c r="O40" i="53" s="1"/>
  <c r="P39" i="53"/>
  <c r="J39" i="53"/>
  <c r="E39" i="53"/>
  <c r="I39" i="53"/>
  <c r="F39" i="57"/>
  <c r="K39" i="57"/>
  <c r="I39" i="57"/>
  <c r="C39" i="57"/>
  <c r="M39" i="57" s="1"/>
  <c r="P39" i="57"/>
  <c r="H39" i="57"/>
  <c r="D39" i="57"/>
  <c r="E39" i="57"/>
  <c r="G39" i="57"/>
  <c r="J39" i="57"/>
  <c r="Q38" i="57"/>
  <c r="T37" i="57"/>
  <c r="AK38" i="55" a="1"/>
  <c r="AK38" i="55" s="1"/>
  <c r="B40" i="57" s="1"/>
  <c r="N22" i="69"/>
  <c r="AF22" i="69" s="1"/>
  <c r="D22" i="69"/>
  <c r="E22" i="69" s="1"/>
  <c r="F22" i="69" s="1"/>
  <c r="G22" i="69" s="1"/>
  <c r="H22" i="69" s="1"/>
  <c r="I22" i="69" s="1"/>
  <c r="J22" i="69" s="1"/>
  <c r="K22" i="69" s="1"/>
  <c r="M22" i="69" s="1"/>
  <c r="AN24" i="67" a="1"/>
  <c r="AN24" i="67" s="1"/>
  <c r="B25" i="69"/>
  <c r="L25" i="69" s="1"/>
  <c r="D23" i="69"/>
  <c r="E23" i="69" s="1"/>
  <c r="F23" i="69" s="1"/>
  <c r="G23" i="69" s="1"/>
  <c r="H23" i="69" s="1"/>
  <c r="I23" i="69" s="1"/>
  <c r="J23" i="69" s="1"/>
  <c r="K23" i="69" s="1"/>
  <c r="M23" i="69" s="1"/>
  <c r="N23" i="69"/>
  <c r="AF23" i="69" s="1"/>
  <c r="P23" i="69"/>
  <c r="C24" i="69"/>
  <c r="AO24" i="69" s="1"/>
  <c r="O24" i="69"/>
  <c r="AN23" i="63" a="1"/>
  <c r="AN23" i="63" s="1"/>
  <c r="B24" i="65"/>
  <c r="L24" i="65" s="1"/>
  <c r="P22" i="65"/>
  <c r="D22" i="65"/>
  <c r="E22" i="65" s="1"/>
  <c r="F22" i="65" s="1"/>
  <c r="G22" i="65" s="1"/>
  <c r="H22" i="65" s="1"/>
  <c r="I22" i="65" s="1"/>
  <c r="J22" i="65" s="1"/>
  <c r="K22" i="65" s="1"/>
  <c r="M22" i="65" s="1"/>
  <c r="C23" i="65"/>
  <c r="AM23" i="65" s="1"/>
  <c r="O23" i="65"/>
  <c r="V106" i="22"/>
  <c r="U106" i="22"/>
  <c r="W110" i="22"/>
  <c r="V110" i="22"/>
  <c r="U110" i="22"/>
  <c r="U108" i="22"/>
  <c r="V108" i="22"/>
  <c r="W111" i="22"/>
  <c r="U111" i="22"/>
  <c r="V125" i="22"/>
  <c r="U125" i="22"/>
  <c r="U101" i="22"/>
  <c r="U103" i="22"/>
  <c r="V103" i="22"/>
  <c r="U105" i="22"/>
  <c r="V105" i="22"/>
  <c r="V107" i="22"/>
  <c r="U107" i="22"/>
  <c r="V109" i="22"/>
  <c r="U109" i="22"/>
  <c r="U112" i="22"/>
  <c r="V112" i="22"/>
  <c r="I115" i="22"/>
  <c r="U115" i="22"/>
  <c r="V115" i="22"/>
  <c r="U118" i="22"/>
  <c r="V118" i="22"/>
  <c r="U119" i="22"/>
  <c r="V124" i="22"/>
  <c r="U124" i="22"/>
  <c r="U126" i="22"/>
  <c r="U128" i="22"/>
  <c r="V128" i="22"/>
  <c r="U104" i="22"/>
  <c r="X116" i="22"/>
  <c r="V116" i="22"/>
  <c r="U116" i="22"/>
  <c r="V123" i="22"/>
  <c r="U123" i="22"/>
  <c r="V102" i="22"/>
  <c r="U102" i="22"/>
  <c r="V120" i="22"/>
  <c r="U120" i="22"/>
  <c r="W116" i="22"/>
  <c r="X104" i="22"/>
  <c r="X107" i="22"/>
  <c r="W108" i="22"/>
  <c r="X105" i="22"/>
  <c r="L108" i="22"/>
  <c r="W104" i="22"/>
  <c r="G106" i="22"/>
  <c r="L106" i="22"/>
  <c r="X106" i="22"/>
  <c r="G104" i="22"/>
  <c r="G108" i="22"/>
  <c r="G116" i="22"/>
  <c r="L119" i="22"/>
  <c r="G124" i="22"/>
  <c r="W106" i="22"/>
  <c r="X119" i="22"/>
  <c r="T107" i="22"/>
  <c r="X118" i="22"/>
  <c r="T124" i="22"/>
  <c r="X125" i="22"/>
  <c r="X128" i="22"/>
  <c r="K103" i="22"/>
  <c r="T103" i="22"/>
  <c r="K116" i="22"/>
  <c r="T116" i="22"/>
  <c r="L118" i="22"/>
  <c r="G103" i="22"/>
  <c r="L103" i="22"/>
  <c r="K111" i="22"/>
  <c r="K110" i="22"/>
  <c r="T110" i="22"/>
  <c r="X102" i="22"/>
  <c r="K104" i="22"/>
  <c r="K106" i="22"/>
  <c r="T106" i="22"/>
  <c r="K108" i="22"/>
  <c r="T108" i="22"/>
  <c r="G110" i="22"/>
  <c r="L110" i="22"/>
  <c r="G111" i="22"/>
  <c r="T118" i="22"/>
  <c r="I120" i="22"/>
  <c r="W101" i="22"/>
  <c r="G101" i="22"/>
  <c r="K101" i="22"/>
  <c r="W112" i="22"/>
  <c r="K112" i="22"/>
  <c r="G112" i="22"/>
  <c r="L109" i="22"/>
  <c r="T109" i="22"/>
  <c r="L112" i="22"/>
  <c r="T112" i="22"/>
  <c r="W115" i="22"/>
  <c r="K115" i="22"/>
  <c r="G115" i="22"/>
  <c r="W109" i="22"/>
  <c r="K109" i="22"/>
  <c r="G109" i="22"/>
  <c r="X109" i="22"/>
  <c r="X112" i="22"/>
  <c r="T115" i="22"/>
  <c r="T123" i="22"/>
  <c r="W123" i="22"/>
  <c r="K123" i="22"/>
  <c r="G123" i="22"/>
  <c r="L123" i="22"/>
  <c r="I123" i="22"/>
  <c r="X123" i="22"/>
  <c r="T102" i="22"/>
  <c r="W105" i="22"/>
  <c r="K105" i="22"/>
  <c r="G105" i="22"/>
  <c r="G102" i="22"/>
  <c r="K102" i="22"/>
  <c r="W102" i="22"/>
  <c r="W103" i="22"/>
  <c r="X103" i="22"/>
  <c r="T105" i="22"/>
  <c r="W107" i="22"/>
  <c r="K107" i="22"/>
  <c r="G107" i="22"/>
  <c r="I112" i="22"/>
  <c r="X115" i="22"/>
  <c r="I118" i="22"/>
  <c r="I119" i="22"/>
  <c r="L120" i="22"/>
  <c r="T120" i="22"/>
  <c r="W120" i="22"/>
  <c r="K120" i="22"/>
  <c r="G120" i="22"/>
  <c r="I104" i="22"/>
  <c r="I106" i="22"/>
  <c r="I108" i="22"/>
  <c r="I111" i="22"/>
  <c r="G118" i="22"/>
  <c r="K118" i="22"/>
  <c r="W118" i="22"/>
  <c r="G119" i="22"/>
  <c r="K119" i="22"/>
  <c r="W119" i="22"/>
  <c r="X120" i="22"/>
  <c r="I124" i="22"/>
  <c r="G125" i="22"/>
  <c r="K125" i="22"/>
  <c r="W125" i="22"/>
  <c r="I126" i="22"/>
  <c r="G128" i="22"/>
  <c r="K128" i="22"/>
  <c r="W128" i="22"/>
  <c r="K124" i="22"/>
  <c r="W124" i="22"/>
  <c r="G126" i="22"/>
  <c r="K126" i="22"/>
  <c r="W126" i="22"/>
  <c r="I128" i="22"/>
  <c r="L124" i="22"/>
  <c r="X124" i="22"/>
  <c r="T125" i="22"/>
  <c r="L126" i="22"/>
  <c r="X126" i="22"/>
  <c r="T128" i="22"/>
  <c r="X38" i="53" l="1"/>
  <c r="AF38" i="53" s="1"/>
  <c r="AF22" i="65"/>
  <c r="AE22" i="65"/>
  <c r="AE39" i="57"/>
  <c r="R39" i="57"/>
  <c r="AE39" i="53"/>
  <c r="R39" i="53"/>
  <c r="AB36" i="57"/>
  <c r="AF36" i="57"/>
  <c r="AX22" i="69"/>
  <c r="AX23" i="69"/>
  <c r="O40" i="57"/>
  <c r="AG40" i="57" s="1"/>
  <c r="L40" i="57"/>
  <c r="X37" i="57"/>
  <c r="AA36" i="57"/>
  <c r="AJ39" i="57"/>
  <c r="AC39" i="57"/>
  <c r="AP39" i="57"/>
  <c r="AH22" i="65"/>
  <c r="AV22" i="65"/>
  <c r="AH39" i="53"/>
  <c r="AC39" i="53"/>
  <c r="AT39" i="53"/>
  <c r="AG39" i="53"/>
  <c r="AB37" i="53"/>
  <c r="AA37" i="53"/>
  <c r="N40" i="57"/>
  <c r="H40" i="53"/>
  <c r="N40" i="53"/>
  <c r="AH22" i="69"/>
  <c r="AH23" i="69"/>
  <c r="AD39" i="57"/>
  <c r="AD39" i="53"/>
  <c r="N23" i="65"/>
  <c r="AK39" i="52" a="1"/>
  <c r="AK39" i="52" s="1"/>
  <c r="B41" i="53" s="1"/>
  <c r="O41" i="53" s="1"/>
  <c r="G40" i="53"/>
  <c r="E40" i="53"/>
  <c r="D40" i="53"/>
  <c r="J40" i="53"/>
  <c r="F40" i="53"/>
  <c r="P40" i="53"/>
  <c r="Q39" i="53"/>
  <c r="K40" i="53"/>
  <c r="L40" i="53"/>
  <c r="I40" i="53"/>
  <c r="C40" i="53"/>
  <c r="T38" i="57"/>
  <c r="K40" i="57"/>
  <c r="G40" i="57"/>
  <c r="E40" i="57"/>
  <c r="P40" i="57"/>
  <c r="D40" i="57"/>
  <c r="C40" i="57"/>
  <c r="M40" i="57" s="1"/>
  <c r="H40" i="57"/>
  <c r="I40" i="57"/>
  <c r="F40" i="57"/>
  <c r="J40" i="57"/>
  <c r="Q39" i="57"/>
  <c r="AK39" i="55" a="1"/>
  <c r="AK39" i="55" s="1"/>
  <c r="B41" i="57" s="1"/>
  <c r="U22" i="69"/>
  <c r="Q22" i="69"/>
  <c r="AE22" i="69"/>
  <c r="R22" i="69"/>
  <c r="S22" i="69" s="1"/>
  <c r="Y22" i="69" s="1"/>
  <c r="AB22" i="69" s="1"/>
  <c r="AC22" i="69" s="1"/>
  <c r="AD22" i="69" s="1"/>
  <c r="D24" i="69"/>
  <c r="E24" i="69" s="1"/>
  <c r="F24" i="69" s="1"/>
  <c r="G24" i="69" s="1"/>
  <c r="H24" i="69" s="1"/>
  <c r="I24" i="69" s="1"/>
  <c r="J24" i="69" s="1"/>
  <c r="K24" i="69" s="1"/>
  <c r="M24" i="69" s="1"/>
  <c r="P24" i="69"/>
  <c r="N24" i="69"/>
  <c r="AF24" i="69" s="1"/>
  <c r="R23" i="69"/>
  <c r="S23" i="69" s="1"/>
  <c r="Y23" i="69" s="1"/>
  <c r="AB23" i="69" s="1"/>
  <c r="AC23" i="69" s="1"/>
  <c r="AD23" i="69" s="1"/>
  <c r="Q23" i="69"/>
  <c r="U23" i="69"/>
  <c r="AE23" i="69"/>
  <c r="C25" i="69"/>
  <c r="AO25" i="69" s="1"/>
  <c r="O25" i="69"/>
  <c r="AN25" i="67" a="1"/>
  <c r="AN25" i="67" s="1"/>
  <c r="B26" i="69"/>
  <c r="L26" i="69" s="1"/>
  <c r="AN24" i="63" a="1"/>
  <c r="AN24" i="63" s="1"/>
  <c r="B25" i="65"/>
  <c r="L25" i="65" s="1"/>
  <c r="P23" i="65"/>
  <c r="D23" i="65"/>
  <c r="E23" i="65" s="1"/>
  <c r="F23" i="65" s="1"/>
  <c r="G23" i="65" s="1"/>
  <c r="H23" i="65" s="1"/>
  <c r="I23" i="65" s="1"/>
  <c r="J23" i="65" s="1"/>
  <c r="K23" i="65" s="1"/>
  <c r="M23" i="65" s="1"/>
  <c r="Q22" i="65"/>
  <c r="U22" i="65"/>
  <c r="R22" i="65"/>
  <c r="S22" i="65" s="1"/>
  <c r="Y22" i="65" s="1"/>
  <c r="AB22" i="65" s="1"/>
  <c r="AC22" i="65" s="1"/>
  <c r="AD22" i="65" s="1"/>
  <c r="C24" i="65"/>
  <c r="AM24" i="65" s="1"/>
  <c r="O24" i="65"/>
  <c r="AA38" i="53" l="1"/>
  <c r="AB38" i="53"/>
  <c r="AF23" i="65"/>
  <c r="AE23" i="65"/>
  <c r="X39" i="53"/>
  <c r="AF39" i="53" s="1"/>
  <c r="AE40" i="57"/>
  <c r="R40" i="57"/>
  <c r="AE40" i="53"/>
  <c r="R40" i="53"/>
  <c r="AB37" i="57"/>
  <c r="AF37" i="57"/>
  <c r="AG22" i="69"/>
  <c r="AG23" i="69"/>
  <c r="AG22" i="65"/>
  <c r="X38" i="57"/>
  <c r="AX24" i="69"/>
  <c r="AA37" i="57"/>
  <c r="O41" i="57"/>
  <c r="AG41" i="57" s="1"/>
  <c r="L41" i="57"/>
  <c r="AJ40" i="57"/>
  <c r="AC40" i="57"/>
  <c r="AP40" i="57"/>
  <c r="AH23" i="65"/>
  <c r="AV23" i="65"/>
  <c r="AG40" i="53"/>
  <c r="AH40" i="53"/>
  <c r="AC40" i="53"/>
  <c r="AT40" i="53"/>
  <c r="N41" i="57"/>
  <c r="I41" i="53"/>
  <c r="N41" i="53"/>
  <c r="AH24" i="69"/>
  <c r="AD40" i="57"/>
  <c r="AD40" i="53"/>
  <c r="N24" i="65"/>
  <c r="D41" i="53"/>
  <c r="K41" i="53"/>
  <c r="P41" i="53"/>
  <c r="J41" i="53"/>
  <c r="E41" i="53"/>
  <c r="L41" i="53"/>
  <c r="F41" i="53"/>
  <c r="G41" i="53"/>
  <c r="Q40" i="53"/>
  <c r="AK40" i="52" a="1"/>
  <c r="AK40" i="52" s="1"/>
  <c r="B42" i="53" s="1"/>
  <c r="O42" i="53" s="1"/>
  <c r="H41" i="53"/>
  <c r="C41" i="53"/>
  <c r="Q40" i="57"/>
  <c r="K41" i="57"/>
  <c r="J41" i="57"/>
  <c r="E41" i="57"/>
  <c r="C41" i="57"/>
  <c r="M41" i="57" s="1"/>
  <c r="I41" i="57"/>
  <c r="P41" i="57"/>
  <c r="H41" i="57"/>
  <c r="D41" i="57"/>
  <c r="G41" i="57"/>
  <c r="F41" i="57"/>
  <c r="T39" i="57"/>
  <c r="AK40" i="55" a="1"/>
  <c r="AK40" i="55" s="1"/>
  <c r="B42" i="57" s="1"/>
  <c r="AN26" i="67" a="1"/>
  <c r="AN26" i="67" s="1"/>
  <c r="B27" i="69"/>
  <c r="L27" i="69" s="1"/>
  <c r="N25" i="69"/>
  <c r="AF25" i="69" s="1"/>
  <c r="P25" i="69"/>
  <c r="D25" i="69"/>
  <c r="E25" i="69" s="1"/>
  <c r="F25" i="69" s="1"/>
  <c r="G25" i="69" s="1"/>
  <c r="H25" i="69" s="1"/>
  <c r="I25" i="69" s="1"/>
  <c r="J25" i="69" s="1"/>
  <c r="K25" i="69" s="1"/>
  <c r="M25" i="69" s="1"/>
  <c r="AE24" i="69"/>
  <c r="R24" i="69"/>
  <c r="S24" i="69" s="1"/>
  <c r="Y24" i="69" s="1"/>
  <c r="AB24" i="69" s="1"/>
  <c r="AC24" i="69" s="1"/>
  <c r="AD24" i="69" s="1"/>
  <c r="Q24" i="69"/>
  <c r="U24" i="69"/>
  <c r="C26" i="69"/>
  <c r="AO26" i="69" s="1"/>
  <c r="O26" i="69"/>
  <c r="C25" i="65"/>
  <c r="AM25" i="65" s="1"/>
  <c r="O25" i="65"/>
  <c r="P24" i="65"/>
  <c r="D24" i="65"/>
  <c r="E24" i="65" s="1"/>
  <c r="F24" i="65" s="1"/>
  <c r="G24" i="65" s="1"/>
  <c r="H24" i="65" s="1"/>
  <c r="I24" i="65" s="1"/>
  <c r="J24" i="65" s="1"/>
  <c r="K24" i="65" s="1"/>
  <c r="M24" i="65" s="1"/>
  <c r="Q23" i="65"/>
  <c r="R23" i="65"/>
  <c r="S23" i="65" s="1"/>
  <c r="Y23" i="65" s="1"/>
  <c r="AB23" i="65" s="1"/>
  <c r="AC23" i="65" s="1"/>
  <c r="AD23" i="65" s="1"/>
  <c r="U23" i="65"/>
  <c r="AN25" i="63" a="1"/>
  <c r="AN25" i="63" s="1"/>
  <c r="B26" i="65"/>
  <c r="L26" i="65" s="1"/>
  <c r="AA39" i="53" l="1"/>
  <c r="AB39" i="53"/>
  <c r="AF24" i="65"/>
  <c r="AE24" i="65"/>
  <c r="AE41" i="57"/>
  <c r="R41" i="57"/>
  <c r="AE41" i="53"/>
  <c r="R41" i="53"/>
  <c r="AB38" i="57"/>
  <c r="AF38" i="57"/>
  <c r="AG24" i="69"/>
  <c r="AG23" i="65"/>
  <c r="AA38" i="57"/>
  <c r="AX25" i="69"/>
  <c r="X39" i="57"/>
  <c r="O42" i="57"/>
  <c r="AG42" i="57" s="1"/>
  <c r="L42" i="57"/>
  <c r="AJ41" i="57"/>
  <c r="AC41" i="57"/>
  <c r="AP41" i="57"/>
  <c r="AH24" i="65"/>
  <c r="AV24" i="65"/>
  <c r="AG41" i="53"/>
  <c r="AH41" i="53"/>
  <c r="AC41" i="53"/>
  <c r="AT41" i="53"/>
  <c r="N42" i="57"/>
  <c r="D42" i="53"/>
  <c r="N42" i="53"/>
  <c r="AH25" i="69"/>
  <c r="AD41" i="57"/>
  <c r="AD41" i="53"/>
  <c r="N25" i="65"/>
  <c r="X40" i="53"/>
  <c r="AF40" i="53" s="1"/>
  <c r="K42" i="53"/>
  <c r="L42" i="53"/>
  <c r="H42" i="53"/>
  <c r="J42" i="53"/>
  <c r="P42" i="53"/>
  <c r="Q41" i="53"/>
  <c r="C42" i="53"/>
  <c r="G42" i="53"/>
  <c r="F42" i="53"/>
  <c r="AK41" i="52" a="1"/>
  <c r="AK41" i="52" s="1"/>
  <c r="B43" i="53" s="1"/>
  <c r="O43" i="53" s="1"/>
  <c r="I42" i="53"/>
  <c r="E42" i="53"/>
  <c r="Q41" i="57"/>
  <c r="I42" i="57"/>
  <c r="E42" i="57"/>
  <c r="P42" i="57"/>
  <c r="D42" i="57"/>
  <c r="C42" i="57"/>
  <c r="M42" i="57" s="1"/>
  <c r="K42" i="57"/>
  <c r="H42" i="57"/>
  <c r="G42" i="57"/>
  <c r="F42" i="57"/>
  <c r="J42" i="57"/>
  <c r="T40" i="57"/>
  <c r="AK41" i="55" a="1"/>
  <c r="AK41" i="55" s="1"/>
  <c r="B43" i="57" s="1"/>
  <c r="AN27" i="67" a="1"/>
  <c r="AN27" i="67" s="1"/>
  <c r="B28" i="69"/>
  <c r="L28" i="69" s="1"/>
  <c r="R25" i="69"/>
  <c r="S25" i="69" s="1"/>
  <c r="Y25" i="69" s="1"/>
  <c r="AB25" i="69" s="1"/>
  <c r="AC25" i="69" s="1"/>
  <c r="AD25" i="69" s="1"/>
  <c r="AE25" i="69"/>
  <c r="Q25" i="69"/>
  <c r="U25" i="69"/>
  <c r="D26" i="69"/>
  <c r="E26" i="69" s="1"/>
  <c r="F26" i="69" s="1"/>
  <c r="G26" i="69" s="1"/>
  <c r="H26" i="69" s="1"/>
  <c r="I26" i="69" s="1"/>
  <c r="J26" i="69" s="1"/>
  <c r="K26" i="69" s="1"/>
  <c r="M26" i="69" s="1"/>
  <c r="N26" i="69"/>
  <c r="AF26" i="69" s="1"/>
  <c r="P26" i="69"/>
  <c r="C27" i="69"/>
  <c r="AO27" i="69" s="1"/>
  <c r="O27" i="69"/>
  <c r="Q24" i="65"/>
  <c r="U24" i="65"/>
  <c r="R24" i="65"/>
  <c r="S24" i="65" s="1"/>
  <c r="Y24" i="65" s="1"/>
  <c r="AB24" i="65" s="1"/>
  <c r="AC24" i="65" s="1"/>
  <c r="AD24" i="65" s="1"/>
  <c r="AN26" i="63" a="1"/>
  <c r="AN26" i="63" s="1"/>
  <c r="B27" i="65"/>
  <c r="L27" i="65" s="1"/>
  <c r="C26" i="65"/>
  <c r="AM26" i="65" s="1"/>
  <c r="O26" i="65"/>
  <c r="P25" i="65"/>
  <c r="D25" i="65"/>
  <c r="E25" i="65" s="1"/>
  <c r="F25" i="65" s="1"/>
  <c r="G25" i="65" s="1"/>
  <c r="H25" i="65" s="1"/>
  <c r="I25" i="65" s="1"/>
  <c r="J25" i="65" s="1"/>
  <c r="K25" i="65" s="1"/>
  <c r="M25" i="65" s="1"/>
  <c r="X41" i="53" l="1"/>
  <c r="AF41" i="53" s="1"/>
  <c r="AF25" i="65"/>
  <c r="AE25" i="65"/>
  <c r="AE42" i="57"/>
  <c r="R42" i="57"/>
  <c r="AE42" i="53"/>
  <c r="R42" i="53"/>
  <c r="AB39" i="57"/>
  <c r="AF39" i="57"/>
  <c r="AG25" i="69"/>
  <c r="AG24" i="65"/>
  <c r="AX26" i="69"/>
  <c r="AA39" i="57"/>
  <c r="O43" i="57"/>
  <c r="AG43" i="57" s="1"/>
  <c r="L43" i="57"/>
  <c r="X40" i="57"/>
  <c r="AJ42" i="57"/>
  <c r="AC42" i="57"/>
  <c r="AP42" i="57"/>
  <c r="AH25" i="65"/>
  <c r="AV25" i="65"/>
  <c r="AH42" i="53"/>
  <c r="AC42" i="53"/>
  <c r="AT42" i="53"/>
  <c r="AG42" i="53"/>
  <c r="AB40" i="53"/>
  <c r="AA40" i="53"/>
  <c r="N43" i="57"/>
  <c r="L43" i="53"/>
  <c r="N43" i="53"/>
  <c r="AH26" i="69"/>
  <c r="AD42" i="57"/>
  <c r="AD42" i="53"/>
  <c r="N26" i="65"/>
  <c r="Q42" i="53"/>
  <c r="P43" i="53"/>
  <c r="K43" i="53"/>
  <c r="F43" i="53"/>
  <c r="E43" i="53"/>
  <c r="I43" i="53"/>
  <c r="C43" i="53"/>
  <c r="J43" i="53"/>
  <c r="G43" i="53"/>
  <c r="AK42" i="52" a="1"/>
  <c r="AK42" i="52" s="1"/>
  <c r="B44" i="53" s="1"/>
  <c r="O44" i="53" s="1"/>
  <c r="D43" i="53"/>
  <c r="H43" i="53"/>
  <c r="K43" i="57"/>
  <c r="F43" i="57"/>
  <c r="E43" i="57"/>
  <c r="C43" i="57"/>
  <c r="M43" i="57" s="1"/>
  <c r="J43" i="57"/>
  <c r="I43" i="57"/>
  <c r="P43" i="57"/>
  <c r="H43" i="57"/>
  <c r="D43" i="57"/>
  <c r="G43" i="57"/>
  <c r="Q42" i="57"/>
  <c r="T41" i="57"/>
  <c r="AK42" i="55" a="1"/>
  <c r="AK42" i="55" s="1"/>
  <c r="B44" i="57" s="1"/>
  <c r="D27" i="69"/>
  <c r="E27" i="69" s="1"/>
  <c r="F27" i="69" s="1"/>
  <c r="G27" i="69" s="1"/>
  <c r="H27" i="69" s="1"/>
  <c r="I27" i="69" s="1"/>
  <c r="J27" i="69" s="1"/>
  <c r="K27" i="69" s="1"/>
  <c r="M27" i="69" s="1"/>
  <c r="N27" i="69"/>
  <c r="AF27" i="69" s="1"/>
  <c r="P27" i="69"/>
  <c r="Q26" i="69"/>
  <c r="AE26" i="69"/>
  <c r="R26" i="69"/>
  <c r="S26" i="69" s="1"/>
  <c r="Y26" i="69" s="1"/>
  <c r="AB26" i="69" s="1"/>
  <c r="AC26" i="69" s="1"/>
  <c r="AD26" i="69" s="1"/>
  <c r="U26" i="69"/>
  <c r="C28" i="69"/>
  <c r="AO28" i="69" s="1"/>
  <c r="O28" i="69"/>
  <c r="AN28" i="67" a="1"/>
  <c r="AN28" i="67" s="1"/>
  <c r="B29" i="69"/>
  <c r="L29" i="69" s="1"/>
  <c r="AN27" i="63" a="1"/>
  <c r="AN27" i="63" s="1"/>
  <c r="B28" i="65"/>
  <c r="L28" i="65" s="1"/>
  <c r="P26" i="65"/>
  <c r="D26" i="65"/>
  <c r="E26" i="65" s="1"/>
  <c r="F26" i="65" s="1"/>
  <c r="G26" i="65" s="1"/>
  <c r="H26" i="65" s="1"/>
  <c r="I26" i="65" s="1"/>
  <c r="J26" i="65" s="1"/>
  <c r="K26" i="65" s="1"/>
  <c r="M26" i="65" s="1"/>
  <c r="U25" i="65"/>
  <c r="Q25" i="65"/>
  <c r="R25" i="65"/>
  <c r="S25" i="65" s="1"/>
  <c r="Y25" i="65" s="1"/>
  <c r="AB25" i="65" s="1"/>
  <c r="AC25" i="65" s="1"/>
  <c r="AD25" i="65" s="1"/>
  <c r="O27" i="65"/>
  <c r="C27" i="65"/>
  <c r="AM27" i="65" s="1"/>
  <c r="AA41" i="53" l="1"/>
  <c r="AB41" i="53"/>
  <c r="X42" i="53"/>
  <c r="AF42" i="53" s="1"/>
  <c r="AF26" i="65"/>
  <c r="AE26" i="65"/>
  <c r="AE43" i="57"/>
  <c r="R43" i="57"/>
  <c r="AE43" i="53"/>
  <c r="R43" i="53"/>
  <c r="AB40" i="57"/>
  <c r="AF40" i="57"/>
  <c r="AG26" i="69"/>
  <c r="AG25" i="65"/>
  <c r="AX27" i="69"/>
  <c r="O44" i="57"/>
  <c r="AG44" i="57" s="1"/>
  <c r="L44" i="57"/>
  <c r="X41" i="57"/>
  <c r="AA40" i="57"/>
  <c r="AJ43" i="57"/>
  <c r="AC43" i="57"/>
  <c r="AP43" i="57"/>
  <c r="AH26" i="65"/>
  <c r="AV26" i="65"/>
  <c r="AG43" i="53"/>
  <c r="AH43" i="53"/>
  <c r="AC43" i="53"/>
  <c r="AT43" i="53"/>
  <c r="N44" i="57"/>
  <c r="E44" i="53"/>
  <c r="N44" i="53"/>
  <c r="AH27" i="69"/>
  <c r="AD43" i="57"/>
  <c r="Q43" i="53"/>
  <c r="AD43" i="53"/>
  <c r="N27" i="65"/>
  <c r="AK43" i="52" a="1"/>
  <c r="AK43" i="52" s="1"/>
  <c r="B45" i="53" s="1"/>
  <c r="O45" i="53" s="1"/>
  <c r="H44" i="53"/>
  <c r="D44" i="53"/>
  <c r="P44" i="53"/>
  <c r="F44" i="53"/>
  <c r="K44" i="53"/>
  <c r="I44" i="53"/>
  <c r="J44" i="53"/>
  <c r="C44" i="53"/>
  <c r="G44" i="53"/>
  <c r="L44" i="53"/>
  <c r="T42" i="57"/>
  <c r="Q43" i="57"/>
  <c r="H44" i="57"/>
  <c r="G44" i="57"/>
  <c r="E44" i="57"/>
  <c r="P44" i="57"/>
  <c r="D44" i="57"/>
  <c r="C44" i="57"/>
  <c r="M44" i="57" s="1"/>
  <c r="K44" i="57"/>
  <c r="I44" i="57"/>
  <c r="F44" i="57"/>
  <c r="J44" i="57"/>
  <c r="AK43" i="55" a="1"/>
  <c r="AK43" i="55" s="1"/>
  <c r="B45" i="57" s="1"/>
  <c r="AN29" i="67" a="1"/>
  <c r="AN29" i="67" s="1"/>
  <c r="B30" i="69"/>
  <c r="L30" i="69" s="1"/>
  <c r="C29" i="69"/>
  <c r="AO29" i="69" s="1"/>
  <c r="O29" i="69"/>
  <c r="N28" i="69"/>
  <c r="AF28" i="69" s="1"/>
  <c r="P28" i="69"/>
  <c r="D28" i="69"/>
  <c r="E28" i="69" s="1"/>
  <c r="F28" i="69" s="1"/>
  <c r="G28" i="69" s="1"/>
  <c r="H28" i="69" s="1"/>
  <c r="I28" i="69" s="1"/>
  <c r="J28" i="69" s="1"/>
  <c r="K28" i="69" s="1"/>
  <c r="M28" i="69" s="1"/>
  <c r="Q27" i="69"/>
  <c r="AE27" i="69"/>
  <c r="R27" i="69"/>
  <c r="S27" i="69" s="1"/>
  <c r="Y27" i="69" s="1"/>
  <c r="AB27" i="69" s="1"/>
  <c r="AC27" i="69" s="1"/>
  <c r="AD27" i="69" s="1"/>
  <c r="U27" i="69"/>
  <c r="P27" i="65"/>
  <c r="D27" i="65"/>
  <c r="E27" i="65" s="1"/>
  <c r="F27" i="65" s="1"/>
  <c r="G27" i="65" s="1"/>
  <c r="H27" i="65" s="1"/>
  <c r="I27" i="65" s="1"/>
  <c r="J27" i="65" s="1"/>
  <c r="K27" i="65" s="1"/>
  <c r="M27" i="65" s="1"/>
  <c r="C28" i="65"/>
  <c r="AM28" i="65" s="1"/>
  <c r="O28" i="65"/>
  <c r="U26" i="65"/>
  <c r="Q26" i="65"/>
  <c r="R26" i="65"/>
  <c r="S26" i="65" s="1"/>
  <c r="Y26" i="65" s="1"/>
  <c r="AB26" i="65" s="1"/>
  <c r="AC26" i="65" s="1"/>
  <c r="AD26" i="65" s="1"/>
  <c r="AN28" i="63" a="1"/>
  <c r="AN28" i="63" s="1"/>
  <c r="B29" i="65"/>
  <c r="L29" i="65" s="1"/>
  <c r="C41" i="33"/>
  <c r="AA42" i="53" l="1"/>
  <c r="AB42" i="53"/>
  <c r="AF27" i="65"/>
  <c r="AE27" i="65"/>
  <c r="AE44" i="57"/>
  <c r="R44" i="57"/>
  <c r="AE44" i="53"/>
  <c r="R44" i="53"/>
  <c r="AA41" i="57"/>
  <c r="AF41" i="57"/>
  <c r="AG27" i="69"/>
  <c r="AG26" i="65"/>
  <c r="AX28" i="69"/>
  <c r="L45" i="57"/>
  <c r="O45" i="57"/>
  <c r="AG45" i="57" s="1"/>
  <c r="AB41" i="57"/>
  <c r="X42" i="57"/>
  <c r="AC44" i="57"/>
  <c r="AJ44" i="57"/>
  <c r="AP44" i="57"/>
  <c r="AH27" i="65"/>
  <c r="AV27" i="65"/>
  <c r="AH44" i="53"/>
  <c r="AC44" i="53"/>
  <c r="AT44" i="53"/>
  <c r="AG44" i="53"/>
  <c r="N45" i="57"/>
  <c r="X43" i="53"/>
  <c r="AF43" i="53" s="1"/>
  <c r="N45" i="53"/>
  <c r="AH28" i="69"/>
  <c r="AD44" i="57"/>
  <c r="Q44" i="53"/>
  <c r="AD44" i="53"/>
  <c r="N28" i="65"/>
  <c r="AK44" i="52" a="1"/>
  <c r="AK44" i="52" s="1"/>
  <c r="B46" i="53" s="1"/>
  <c r="O46" i="53" s="1"/>
  <c r="L45" i="53"/>
  <c r="C45" i="53"/>
  <c r="I45" i="53"/>
  <c r="F45" i="53"/>
  <c r="K45" i="53"/>
  <c r="J45" i="53"/>
  <c r="D45" i="53"/>
  <c r="G45" i="53"/>
  <c r="P45" i="53"/>
  <c r="H45" i="53"/>
  <c r="E45" i="53"/>
  <c r="C45" i="57"/>
  <c r="M45" i="57" s="1"/>
  <c r="J45" i="57"/>
  <c r="F45" i="57"/>
  <c r="P45" i="57"/>
  <c r="I45" i="57"/>
  <c r="K45" i="57"/>
  <c r="H45" i="57"/>
  <c r="D45" i="57"/>
  <c r="G45" i="57"/>
  <c r="E45" i="57"/>
  <c r="Q44" i="57"/>
  <c r="T43" i="57"/>
  <c r="AK44" i="55" a="1"/>
  <c r="AK44" i="55" s="1"/>
  <c r="B46" i="57" s="1"/>
  <c r="N29" i="69"/>
  <c r="AF29" i="69" s="1"/>
  <c r="P29" i="69"/>
  <c r="D29" i="69"/>
  <c r="E29" i="69" s="1"/>
  <c r="F29" i="69" s="1"/>
  <c r="G29" i="69" s="1"/>
  <c r="H29" i="69" s="1"/>
  <c r="I29" i="69" s="1"/>
  <c r="J29" i="69" s="1"/>
  <c r="K29" i="69" s="1"/>
  <c r="M29" i="69" s="1"/>
  <c r="U28" i="69"/>
  <c r="AE28" i="69"/>
  <c r="R28" i="69"/>
  <c r="S28" i="69" s="1"/>
  <c r="Y28" i="69" s="1"/>
  <c r="AB28" i="69" s="1"/>
  <c r="AC28" i="69" s="1"/>
  <c r="AD28" i="69" s="1"/>
  <c r="Q28" i="69"/>
  <c r="C30" i="69"/>
  <c r="AO30" i="69" s="1"/>
  <c r="O30" i="69"/>
  <c r="AN30" i="67" a="1"/>
  <c r="AN30" i="67" s="1"/>
  <c r="B31" i="69"/>
  <c r="L31" i="69" s="1"/>
  <c r="AN29" i="63" a="1"/>
  <c r="AN29" i="63" s="1"/>
  <c r="B30" i="65"/>
  <c r="L30" i="65" s="1"/>
  <c r="P28" i="65"/>
  <c r="D28" i="65"/>
  <c r="E28" i="65" s="1"/>
  <c r="F28" i="65" s="1"/>
  <c r="G28" i="65" s="1"/>
  <c r="H28" i="65" s="1"/>
  <c r="I28" i="65" s="1"/>
  <c r="J28" i="65" s="1"/>
  <c r="K28" i="65" s="1"/>
  <c r="M28" i="65" s="1"/>
  <c r="U27" i="65"/>
  <c r="R27" i="65"/>
  <c r="S27" i="65" s="1"/>
  <c r="Y27" i="65" s="1"/>
  <c r="AB27" i="65" s="1"/>
  <c r="AC27" i="65" s="1"/>
  <c r="AD27" i="65" s="1"/>
  <c r="Q27" i="65"/>
  <c r="C29" i="65"/>
  <c r="AM29" i="65" s="1"/>
  <c r="O29" i="65"/>
  <c r="B2" i="73"/>
  <c r="B2" i="36"/>
  <c r="X44" i="53" l="1"/>
  <c r="AB44" i="53" s="1"/>
  <c r="AF28" i="65"/>
  <c r="AE28" i="65"/>
  <c r="AE45" i="57"/>
  <c r="R45" i="57"/>
  <c r="AE45" i="53"/>
  <c r="R45" i="53"/>
  <c r="AA42" i="57"/>
  <c r="AF42" i="57"/>
  <c r="AG28" i="69"/>
  <c r="AG27" i="65"/>
  <c r="AX29" i="69"/>
  <c r="O46" i="57"/>
  <c r="AG46" i="57" s="1"/>
  <c r="L46" i="57"/>
  <c r="X43" i="57"/>
  <c r="AB42" i="57"/>
  <c r="AC45" i="57"/>
  <c r="AJ45" i="57"/>
  <c r="AP45" i="57"/>
  <c r="AH28" i="65"/>
  <c r="AV28" i="65"/>
  <c r="AG45" i="53"/>
  <c r="AD45" i="53"/>
  <c r="AH45" i="53"/>
  <c r="AC45" i="53"/>
  <c r="AT45" i="53"/>
  <c r="AB43" i="53"/>
  <c r="AA43" i="53"/>
  <c r="N46" i="57"/>
  <c r="Q45" i="53"/>
  <c r="H46" i="53"/>
  <c r="N46" i="53"/>
  <c r="AH29" i="69"/>
  <c r="AD45" i="57"/>
  <c r="N29" i="65"/>
  <c r="AK45" i="52" a="1"/>
  <c r="AK45" i="52" s="1"/>
  <c r="B47" i="53" s="1"/>
  <c r="O47" i="53" s="1"/>
  <c r="K46" i="53"/>
  <c r="G46" i="53"/>
  <c r="D46" i="53"/>
  <c r="E46" i="53"/>
  <c r="J46" i="53"/>
  <c r="C46" i="53"/>
  <c r="P46" i="53"/>
  <c r="F46" i="53"/>
  <c r="I46" i="53"/>
  <c r="L46" i="53"/>
  <c r="T44" i="57"/>
  <c r="Q45" i="57"/>
  <c r="P46" i="57"/>
  <c r="D46" i="57"/>
  <c r="K46" i="57"/>
  <c r="I46" i="57"/>
  <c r="H46" i="57"/>
  <c r="G46" i="57"/>
  <c r="E46" i="57"/>
  <c r="C46" i="57"/>
  <c r="M46" i="57" s="1"/>
  <c r="F46" i="57"/>
  <c r="J46" i="57"/>
  <c r="AK45" i="55" a="1"/>
  <c r="AK45" i="55" s="1"/>
  <c r="B47" i="57" s="1"/>
  <c r="AN31" i="67" a="1"/>
  <c r="AN31" i="67" s="1"/>
  <c r="B32" i="69"/>
  <c r="L32" i="69" s="1"/>
  <c r="U29" i="69"/>
  <c r="Q29" i="69"/>
  <c r="R29" i="69"/>
  <c r="S29" i="69" s="1"/>
  <c r="Y29" i="69" s="1"/>
  <c r="AB29" i="69" s="1"/>
  <c r="AC29" i="69" s="1"/>
  <c r="AD29" i="69" s="1"/>
  <c r="AE29" i="69"/>
  <c r="D30" i="69"/>
  <c r="E30" i="69" s="1"/>
  <c r="F30" i="69" s="1"/>
  <c r="G30" i="69" s="1"/>
  <c r="H30" i="69" s="1"/>
  <c r="I30" i="69" s="1"/>
  <c r="J30" i="69" s="1"/>
  <c r="K30" i="69" s="1"/>
  <c r="M30" i="69" s="1"/>
  <c r="P30" i="69"/>
  <c r="N30" i="69"/>
  <c r="AF30" i="69" s="1"/>
  <c r="C31" i="69"/>
  <c r="AO31" i="69" s="1"/>
  <c r="O31" i="69"/>
  <c r="AN30" i="63" a="1"/>
  <c r="AN30" i="63" s="1"/>
  <c r="B31" i="65"/>
  <c r="L31" i="65" s="1"/>
  <c r="P29" i="65"/>
  <c r="D29" i="65"/>
  <c r="E29" i="65" s="1"/>
  <c r="F29" i="65" s="1"/>
  <c r="G29" i="65" s="1"/>
  <c r="H29" i="65" s="1"/>
  <c r="I29" i="65" s="1"/>
  <c r="J29" i="65" s="1"/>
  <c r="K29" i="65" s="1"/>
  <c r="M29" i="65" s="1"/>
  <c r="Q28" i="65"/>
  <c r="R28" i="65"/>
  <c r="S28" i="65" s="1"/>
  <c r="Y28" i="65" s="1"/>
  <c r="AB28" i="65" s="1"/>
  <c r="AC28" i="65" s="1"/>
  <c r="AD28" i="65" s="1"/>
  <c r="U28" i="65"/>
  <c r="C30" i="65"/>
  <c r="AM30" i="65" s="1"/>
  <c r="O30" i="65"/>
  <c r="E2" i="50"/>
  <c r="D2" i="11"/>
  <c r="AA44" i="53" l="1"/>
  <c r="AF44" i="53"/>
  <c r="X45" i="53"/>
  <c r="AB45" i="53" s="1"/>
  <c r="AF29" i="65"/>
  <c r="AE29" i="65"/>
  <c r="AE46" i="57"/>
  <c r="R46" i="57"/>
  <c r="AE46" i="53"/>
  <c r="R46" i="53"/>
  <c r="AB43" i="57"/>
  <c r="AF43" i="57"/>
  <c r="AG29" i="69"/>
  <c r="AG28" i="65"/>
  <c r="AX30" i="69"/>
  <c r="O47" i="57"/>
  <c r="AG47" i="57" s="1"/>
  <c r="L47" i="57"/>
  <c r="AA43" i="57"/>
  <c r="X44" i="57"/>
  <c r="AJ46" i="57"/>
  <c r="AC46" i="57"/>
  <c r="AP46" i="57"/>
  <c r="AH29" i="65"/>
  <c r="AV29" i="65"/>
  <c r="AH46" i="53"/>
  <c r="AT46" i="53"/>
  <c r="AC46" i="53"/>
  <c r="AG46" i="53"/>
  <c r="N47" i="57"/>
  <c r="K47" i="53"/>
  <c r="N47" i="53"/>
  <c r="AH30" i="69"/>
  <c r="AD46" i="57"/>
  <c r="AD46" i="53"/>
  <c r="N30" i="65"/>
  <c r="Q46" i="53"/>
  <c r="J47" i="53"/>
  <c r="C47" i="53"/>
  <c r="G47" i="53"/>
  <c r="D47" i="53"/>
  <c r="H47" i="53"/>
  <c r="E47" i="53"/>
  <c r="I47" i="53"/>
  <c r="AK46" i="52" a="1"/>
  <c r="AK46" i="52" s="1"/>
  <c r="B48" i="53" s="1"/>
  <c r="O48" i="53" s="1"/>
  <c r="L47" i="53"/>
  <c r="F47" i="53"/>
  <c r="P47" i="53"/>
  <c r="Q46" i="57"/>
  <c r="T45" i="57"/>
  <c r="F47" i="57"/>
  <c r="K47" i="57"/>
  <c r="I47" i="57"/>
  <c r="C47" i="57"/>
  <c r="M47" i="57" s="1"/>
  <c r="E47" i="57"/>
  <c r="P47" i="57"/>
  <c r="J47" i="57"/>
  <c r="H47" i="57"/>
  <c r="D47" i="57"/>
  <c r="G47" i="57"/>
  <c r="AK46" i="55" a="1"/>
  <c r="AK46" i="55" s="1"/>
  <c r="B48" i="57" s="1"/>
  <c r="AN32" i="67" a="1"/>
  <c r="AN32" i="67" s="1"/>
  <c r="B33" i="69"/>
  <c r="L33" i="69" s="1"/>
  <c r="C32" i="69"/>
  <c r="AO32" i="69" s="1"/>
  <c r="O32" i="69"/>
  <c r="R30" i="69"/>
  <c r="S30" i="69" s="1"/>
  <c r="Y30" i="69" s="1"/>
  <c r="AB30" i="69" s="1"/>
  <c r="AC30" i="69" s="1"/>
  <c r="AD30" i="69" s="1"/>
  <c r="U30" i="69"/>
  <c r="AE30" i="69"/>
  <c r="Q30" i="69"/>
  <c r="N31" i="69"/>
  <c r="AF31" i="69" s="1"/>
  <c r="D31" i="69"/>
  <c r="E31" i="69" s="1"/>
  <c r="F31" i="69" s="1"/>
  <c r="G31" i="69" s="1"/>
  <c r="H31" i="69" s="1"/>
  <c r="I31" i="69" s="1"/>
  <c r="J31" i="69" s="1"/>
  <c r="K31" i="69" s="1"/>
  <c r="M31" i="69" s="1"/>
  <c r="P31" i="69"/>
  <c r="AN31" i="63" a="1"/>
  <c r="AN31" i="63" s="1"/>
  <c r="B32" i="65"/>
  <c r="L32" i="65" s="1"/>
  <c r="C31" i="65"/>
  <c r="AM31" i="65" s="1"/>
  <c r="O31" i="65"/>
  <c r="P30" i="65"/>
  <c r="D30" i="65"/>
  <c r="E30" i="65" s="1"/>
  <c r="F30" i="65" s="1"/>
  <c r="G30" i="65" s="1"/>
  <c r="H30" i="65" s="1"/>
  <c r="I30" i="65" s="1"/>
  <c r="J30" i="65" s="1"/>
  <c r="K30" i="65" s="1"/>
  <c r="M30" i="65" s="1"/>
  <c r="U29" i="65"/>
  <c r="Q29" i="65"/>
  <c r="R29" i="65"/>
  <c r="S29" i="65" s="1"/>
  <c r="Y29" i="65" s="1"/>
  <c r="AB29" i="65" s="1"/>
  <c r="AC29" i="65" s="1"/>
  <c r="AD29" i="65" s="1"/>
  <c r="D2" i="46"/>
  <c r="H4" i="32"/>
  <c r="E2" i="32"/>
  <c r="AF30" i="65" l="1"/>
  <c r="AE30" i="65"/>
  <c r="AA45" i="53"/>
  <c r="AF45" i="53"/>
  <c r="AE47" i="57"/>
  <c r="R47" i="57"/>
  <c r="AE47" i="53"/>
  <c r="R47" i="53"/>
  <c r="AB44" i="57"/>
  <c r="AF44" i="57"/>
  <c r="AG30" i="69"/>
  <c r="AG29" i="65"/>
  <c r="AX31" i="69"/>
  <c r="AA44" i="57"/>
  <c r="O48" i="57"/>
  <c r="AG48" i="57" s="1"/>
  <c r="L48" i="57"/>
  <c r="X45" i="57"/>
  <c r="AJ47" i="57"/>
  <c r="AC47" i="57"/>
  <c r="AP47" i="57"/>
  <c r="AH30" i="65"/>
  <c r="AV30" i="65"/>
  <c r="AG47" i="53"/>
  <c r="AH47" i="53"/>
  <c r="AT47" i="53"/>
  <c r="AC47" i="53"/>
  <c r="N48" i="57"/>
  <c r="N48" i="53"/>
  <c r="AH31" i="69"/>
  <c r="AD47" i="57"/>
  <c r="AD47" i="53"/>
  <c r="N31" i="65"/>
  <c r="X46" i="53"/>
  <c r="AF46" i="53" s="1"/>
  <c r="AK47" i="52" a="1"/>
  <c r="AK47" i="52" s="1"/>
  <c r="B49" i="53" s="1"/>
  <c r="O49" i="53" s="1"/>
  <c r="F48" i="53"/>
  <c r="C48" i="53"/>
  <c r="P48" i="53"/>
  <c r="Q47" i="53"/>
  <c r="L48" i="53"/>
  <c r="J48" i="53"/>
  <c r="K48" i="53"/>
  <c r="H48" i="53"/>
  <c r="G48" i="53"/>
  <c r="I48" i="53"/>
  <c r="D48" i="53"/>
  <c r="E48" i="53"/>
  <c r="T46" i="57"/>
  <c r="Q47" i="57"/>
  <c r="K48" i="57"/>
  <c r="G48" i="57"/>
  <c r="E48" i="57"/>
  <c r="P48" i="57"/>
  <c r="D48" i="57"/>
  <c r="C48" i="57"/>
  <c r="M48" i="57" s="1"/>
  <c r="I48" i="57"/>
  <c r="H48" i="57"/>
  <c r="F48" i="57"/>
  <c r="J48" i="57"/>
  <c r="AK47" i="55" a="1"/>
  <c r="AK47" i="55" s="1"/>
  <c r="B49" i="57" s="1"/>
  <c r="AN33" i="67" a="1"/>
  <c r="AN33" i="67" s="1"/>
  <c r="B34" i="69"/>
  <c r="L34" i="69" s="1"/>
  <c r="D32" i="69"/>
  <c r="E32" i="69" s="1"/>
  <c r="F32" i="69" s="1"/>
  <c r="G32" i="69" s="1"/>
  <c r="H32" i="69" s="1"/>
  <c r="I32" i="69" s="1"/>
  <c r="J32" i="69" s="1"/>
  <c r="K32" i="69" s="1"/>
  <c r="M32" i="69" s="1"/>
  <c r="P32" i="69"/>
  <c r="N32" i="69"/>
  <c r="AF32" i="69" s="1"/>
  <c r="U31" i="69"/>
  <c r="Q31" i="69"/>
  <c r="AE31" i="69"/>
  <c r="R31" i="69"/>
  <c r="S31" i="69" s="1"/>
  <c r="Y31" i="69" s="1"/>
  <c r="AB31" i="69" s="1"/>
  <c r="AC31" i="69" s="1"/>
  <c r="AD31" i="69" s="1"/>
  <c r="C33" i="69"/>
  <c r="AO33" i="69" s="1"/>
  <c r="O33" i="69"/>
  <c r="AN32" i="63" a="1"/>
  <c r="AN32" i="63" s="1"/>
  <c r="B33" i="65"/>
  <c r="L33" i="65" s="1"/>
  <c r="Q30" i="65"/>
  <c r="U30" i="65"/>
  <c r="R30" i="65"/>
  <c r="S30" i="65" s="1"/>
  <c r="Y30" i="65" s="1"/>
  <c r="AB30" i="65" s="1"/>
  <c r="AC30" i="65" s="1"/>
  <c r="AD30" i="65" s="1"/>
  <c r="D31" i="65"/>
  <c r="E31" i="65" s="1"/>
  <c r="F31" i="65" s="1"/>
  <c r="G31" i="65" s="1"/>
  <c r="H31" i="65" s="1"/>
  <c r="I31" i="65" s="1"/>
  <c r="J31" i="65" s="1"/>
  <c r="K31" i="65" s="1"/>
  <c r="M31" i="65" s="1"/>
  <c r="P31" i="65"/>
  <c r="C32" i="65"/>
  <c r="AM32" i="65" s="1"/>
  <c r="O32" i="65"/>
  <c r="AF31" i="65" l="1"/>
  <c r="AE31" i="65"/>
  <c r="AE48" i="57"/>
  <c r="R48" i="57"/>
  <c r="AE48" i="53"/>
  <c r="R48" i="53"/>
  <c r="AB45" i="57"/>
  <c r="AF45" i="57"/>
  <c r="AG31" i="69"/>
  <c r="AG30" i="65"/>
  <c r="AX32" i="69"/>
  <c r="X46" i="57"/>
  <c r="AA45" i="57"/>
  <c r="O49" i="57"/>
  <c r="AG49" i="57" s="1"/>
  <c r="L49" i="57"/>
  <c r="AJ48" i="57"/>
  <c r="AC48" i="57"/>
  <c r="AP48" i="57"/>
  <c r="AH31" i="65"/>
  <c r="AV31" i="65"/>
  <c r="AG48" i="53"/>
  <c r="AB46" i="53"/>
  <c r="AA46" i="53"/>
  <c r="AH48" i="53"/>
  <c r="AT48" i="53"/>
  <c r="AC48" i="53"/>
  <c r="N49" i="57"/>
  <c r="N49" i="53"/>
  <c r="AH32" i="69"/>
  <c r="AD48" i="57"/>
  <c r="AD48" i="53"/>
  <c r="N32" i="65"/>
  <c r="X47" i="53"/>
  <c r="AF47" i="53" s="1"/>
  <c r="Q48" i="53"/>
  <c r="F49" i="53"/>
  <c r="H49" i="53"/>
  <c r="I49" i="53"/>
  <c r="C49" i="53"/>
  <c r="D49" i="53"/>
  <c r="K49" i="53"/>
  <c r="P49" i="53"/>
  <c r="E49" i="53"/>
  <c r="AK48" i="52" a="1"/>
  <c r="AK48" i="52" s="1"/>
  <c r="B50" i="53" s="1"/>
  <c r="O50" i="53" s="1"/>
  <c r="J49" i="53"/>
  <c r="L49" i="53"/>
  <c r="G49" i="53"/>
  <c r="T47" i="57"/>
  <c r="E49" i="57"/>
  <c r="G49" i="57"/>
  <c r="F49" i="57"/>
  <c r="I49" i="57"/>
  <c r="P49" i="57"/>
  <c r="H49" i="57"/>
  <c r="D49" i="57"/>
  <c r="C49" i="57"/>
  <c r="M49" i="57" s="1"/>
  <c r="K49" i="57"/>
  <c r="J49" i="57"/>
  <c r="Q48" i="57"/>
  <c r="AK48" i="55" a="1"/>
  <c r="AK48" i="55" s="1"/>
  <c r="B50" i="57" s="1"/>
  <c r="AE32" i="69"/>
  <c r="R32" i="69"/>
  <c r="S32" i="69" s="1"/>
  <c r="Y32" i="69" s="1"/>
  <c r="AB32" i="69" s="1"/>
  <c r="AC32" i="69" s="1"/>
  <c r="AD32" i="69" s="1"/>
  <c r="U32" i="69"/>
  <c r="Q32" i="69"/>
  <c r="P33" i="69"/>
  <c r="D33" i="69"/>
  <c r="E33" i="69" s="1"/>
  <c r="F33" i="69" s="1"/>
  <c r="G33" i="69" s="1"/>
  <c r="H33" i="69" s="1"/>
  <c r="I33" i="69" s="1"/>
  <c r="J33" i="69" s="1"/>
  <c r="K33" i="69" s="1"/>
  <c r="M33" i="69" s="1"/>
  <c r="N33" i="69"/>
  <c r="AF33" i="69" s="1"/>
  <c r="C34" i="69"/>
  <c r="AO34" i="69" s="1"/>
  <c r="O34" i="69"/>
  <c r="AN34" i="67" a="1"/>
  <c r="AN34" i="67" s="1"/>
  <c r="B35" i="69"/>
  <c r="L35" i="69" s="1"/>
  <c r="R31" i="65"/>
  <c r="S31" i="65" s="1"/>
  <c r="Y31" i="65" s="1"/>
  <c r="AB31" i="65" s="1"/>
  <c r="AC31" i="65" s="1"/>
  <c r="AD31" i="65" s="1"/>
  <c r="Q31" i="65"/>
  <c r="U31" i="65"/>
  <c r="P32" i="65"/>
  <c r="D32" i="65"/>
  <c r="E32" i="65" s="1"/>
  <c r="F32" i="65" s="1"/>
  <c r="G32" i="65" s="1"/>
  <c r="H32" i="65" s="1"/>
  <c r="I32" i="65" s="1"/>
  <c r="J32" i="65" s="1"/>
  <c r="K32" i="65" s="1"/>
  <c r="M32" i="65" s="1"/>
  <c r="C33" i="65"/>
  <c r="AM33" i="65" s="1"/>
  <c r="O33" i="65"/>
  <c r="AN33" i="63" a="1"/>
  <c r="AN33" i="63" s="1"/>
  <c r="B34" i="65"/>
  <c r="L34" i="65" s="1"/>
  <c r="D2" i="71"/>
  <c r="D3" i="71"/>
  <c r="D3" i="59"/>
  <c r="D2" i="59"/>
  <c r="AF32" i="65" l="1"/>
  <c r="AE32" i="65"/>
  <c r="AE49" i="57"/>
  <c r="R49" i="57"/>
  <c r="AE49" i="53"/>
  <c r="R49" i="53"/>
  <c r="AB46" i="57"/>
  <c r="AF46" i="57"/>
  <c r="AG32" i="69"/>
  <c r="AG31" i="65"/>
  <c r="AX33" i="69"/>
  <c r="O50" i="57"/>
  <c r="AG50" i="57" s="1"/>
  <c r="L50" i="57"/>
  <c r="AA46" i="57"/>
  <c r="X47" i="57"/>
  <c r="AJ49" i="57"/>
  <c r="AC49" i="57"/>
  <c r="AP49" i="57"/>
  <c r="AH32" i="65"/>
  <c r="AV32" i="65"/>
  <c r="AH49" i="53"/>
  <c r="AC49" i="53"/>
  <c r="AT49" i="53"/>
  <c r="AB47" i="53"/>
  <c r="AA47" i="53"/>
  <c r="AG49" i="53"/>
  <c r="N50" i="57"/>
  <c r="H50" i="53"/>
  <c r="N50" i="53"/>
  <c r="AH33" i="69"/>
  <c r="AD49" i="57"/>
  <c r="Q49" i="53"/>
  <c r="AD49" i="53"/>
  <c r="N33" i="65"/>
  <c r="X48" i="53"/>
  <c r="AF48" i="53" s="1"/>
  <c r="F50" i="53"/>
  <c r="K50" i="53"/>
  <c r="P50" i="53"/>
  <c r="L50" i="53"/>
  <c r="C50" i="53"/>
  <c r="E50" i="53"/>
  <c r="J50" i="53"/>
  <c r="AK49" i="52" a="1"/>
  <c r="AK49" i="52" s="1"/>
  <c r="B51" i="53" s="1"/>
  <c r="O51" i="53" s="1"/>
  <c r="G50" i="53"/>
  <c r="I50" i="53"/>
  <c r="D50" i="53"/>
  <c r="T48" i="57"/>
  <c r="H50" i="57"/>
  <c r="G50" i="57"/>
  <c r="E50" i="57"/>
  <c r="P50" i="57"/>
  <c r="D50" i="57"/>
  <c r="C50" i="57"/>
  <c r="M50" i="57" s="1"/>
  <c r="K50" i="57"/>
  <c r="I50" i="57"/>
  <c r="F50" i="57"/>
  <c r="J50" i="57"/>
  <c r="Q49" i="57"/>
  <c r="AK49" i="55" a="1"/>
  <c r="AK49" i="55" s="1"/>
  <c r="B51" i="57" s="1"/>
  <c r="AN35" i="67" a="1"/>
  <c r="AN35" i="67" s="1"/>
  <c r="B36" i="69"/>
  <c r="L36" i="69" s="1"/>
  <c r="D34" i="69"/>
  <c r="E34" i="69" s="1"/>
  <c r="F34" i="69" s="1"/>
  <c r="G34" i="69" s="1"/>
  <c r="H34" i="69" s="1"/>
  <c r="I34" i="69" s="1"/>
  <c r="J34" i="69" s="1"/>
  <c r="K34" i="69" s="1"/>
  <c r="M34" i="69" s="1"/>
  <c r="N34" i="69"/>
  <c r="AF34" i="69" s="1"/>
  <c r="P34" i="69"/>
  <c r="C35" i="69"/>
  <c r="AO35" i="69" s="1"/>
  <c r="O35" i="69"/>
  <c r="AE33" i="69"/>
  <c r="U33" i="69"/>
  <c r="R33" i="69"/>
  <c r="S33" i="69" s="1"/>
  <c r="Y33" i="69" s="1"/>
  <c r="AB33" i="69" s="1"/>
  <c r="AC33" i="69" s="1"/>
  <c r="AD33" i="69" s="1"/>
  <c r="Q33" i="69"/>
  <c r="AN34" i="63" a="1"/>
  <c r="AN34" i="63" s="1"/>
  <c r="B35" i="65"/>
  <c r="L35" i="65" s="1"/>
  <c r="P33" i="65"/>
  <c r="D33" i="65"/>
  <c r="E33" i="65" s="1"/>
  <c r="F33" i="65" s="1"/>
  <c r="G33" i="65" s="1"/>
  <c r="H33" i="65" s="1"/>
  <c r="I33" i="65" s="1"/>
  <c r="J33" i="65" s="1"/>
  <c r="K33" i="65" s="1"/>
  <c r="M33" i="65" s="1"/>
  <c r="Q32" i="65"/>
  <c r="U32" i="65"/>
  <c r="R32" i="65"/>
  <c r="S32" i="65" s="1"/>
  <c r="Y32" i="65" s="1"/>
  <c r="AB32" i="65" s="1"/>
  <c r="AC32" i="65" s="1"/>
  <c r="AD32" i="65" s="1"/>
  <c r="C34" i="65"/>
  <c r="AM34" i="65" s="1"/>
  <c r="O34" i="65"/>
  <c r="AF33" i="65" l="1"/>
  <c r="AE33" i="65"/>
  <c r="AE50" i="57"/>
  <c r="R50" i="57"/>
  <c r="AE50" i="53"/>
  <c r="R50" i="53"/>
  <c r="AB47" i="57"/>
  <c r="AF47" i="57"/>
  <c r="AG33" i="69"/>
  <c r="AG32" i="65"/>
  <c r="X48" i="57"/>
  <c r="AX34" i="69"/>
  <c r="O51" i="57"/>
  <c r="AG51" i="57" s="1"/>
  <c r="L51" i="57"/>
  <c r="AA47" i="57"/>
  <c r="AJ50" i="57"/>
  <c r="AC50" i="57"/>
  <c r="AP50" i="57"/>
  <c r="AH33" i="65"/>
  <c r="AV33" i="65"/>
  <c r="AB48" i="53"/>
  <c r="AA48" i="53"/>
  <c r="AH50" i="53"/>
  <c r="AC50" i="53"/>
  <c r="AT50" i="53"/>
  <c r="AG50" i="53"/>
  <c r="N51" i="57"/>
  <c r="X49" i="53"/>
  <c r="AF49" i="53" s="1"/>
  <c r="N51" i="53"/>
  <c r="AH34" i="69"/>
  <c r="AD50" i="57"/>
  <c r="Q50" i="53"/>
  <c r="AD50" i="53"/>
  <c r="N34" i="65"/>
  <c r="AK50" i="52" a="1"/>
  <c r="AK50" i="52" s="1"/>
  <c r="B52" i="53" s="1"/>
  <c r="O52" i="53" s="1"/>
  <c r="P51" i="53"/>
  <c r="I51" i="53"/>
  <c r="F51" i="53"/>
  <c r="E51" i="53"/>
  <c r="H51" i="53"/>
  <c r="L51" i="53"/>
  <c r="C51" i="53"/>
  <c r="K51" i="53"/>
  <c r="J51" i="53"/>
  <c r="D51" i="53"/>
  <c r="G51" i="53"/>
  <c r="Q50" i="57"/>
  <c r="T49" i="57"/>
  <c r="P51" i="57"/>
  <c r="K51" i="57"/>
  <c r="I51" i="57"/>
  <c r="G51" i="57"/>
  <c r="E51" i="57"/>
  <c r="C51" i="57"/>
  <c r="M51" i="57" s="1"/>
  <c r="J51" i="57"/>
  <c r="D51" i="57"/>
  <c r="H51" i="57"/>
  <c r="F51" i="57"/>
  <c r="AK50" i="55" a="1"/>
  <c r="AK50" i="55" s="1"/>
  <c r="B52" i="57" s="1"/>
  <c r="AN36" i="67" a="1"/>
  <c r="AN36" i="67" s="1"/>
  <c r="B37" i="69"/>
  <c r="L37" i="69" s="1"/>
  <c r="R34" i="69"/>
  <c r="S34" i="69" s="1"/>
  <c r="Y34" i="69" s="1"/>
  <c r="AB34" i="69" s="1"/>
  <c r="AC34" i="69" s="1"/>
  <c r="AD34" i="69" s="1"/>
  <c r="AE34" i="69"/>
  <c r="Q34" i="69"/>
  <c r="U34" i="69"/>
  <c r="D35" i="69"/>
  <c r="E35" i="69" s="1"/>
  <c r="F35" i="69" s="1"/>
  <c r="G35" i="69" s="1"/>
  <c r="H35" i="69" s="1"/>
  <c r="I35" i="69" s="1"/>
  <c r="J35" i="69" s="1"/>
  <c r="K35" i="69" s="1"/>
  <c r="M35" i="69" s="1"/>
  <c r="N35" i="69"/>
  <c r="AF35" i="69" s="1"/>
  <c r="P35" i="69"/>
  <c r="C36" i="69"/>
  <c r="AO36" i="69" s="1"/>
  <c r="O36" i="69"/>
  <c r="AN35" i="63" a="1"/>
  <c r="AN35" i="63" s="1"/>
  <c r="B36" i="65"/>
  <c r="L36" i="65" s="1"/>
  <c r="U33" i="65"/>
  <c r="R33" i="65"/>
  <c r="S33" i="65" s="1"/>
  <c r="Y33" i="65" s="1"/>
  <c r="AB33" i="65" s="1"/>
  <c r="AC33" i="65" s="1"/>
  <c r="AD33" i="65" s="1"/>
  <c r="Q33" i="65"/>
  <c r="D34" i="65"/>
  <c r="E34" i="65" s="1"/>
  <c r="F34" i="65" s="1"/>
  <c r="G34" i="65" s="1"/>
  <c r="H34" i="65" s="1"/>
  <c r="I34" i="65" s="1"/>
  <c r="J34" i="65" s="1"/>
  <c r="K34" i="65" s="1"/>
  <c r="M34" i="65" s="1"/>
  <c r="P34" i="65"/>
  <c r="C35" i="65"/>
  <c r="AM35" i="65" s="1"/>
  <c r="O35" i="65"/>
  <c r="R8" i="78"/>
  <c r="X50" i="53" l="1"/>
  <c r="AB50" i="53" s="1"/>
  <c r="AF34" i="65"/>
  <c r="AE34" i="65"/>
  <c r="AE51" i="57"/>
  <c r="R51" i="57"/>
  <c r="AE51" i="53"/>
  <c r="R51" i="53"/>
  <c r="AB48" i="57"/>
  <c r="AF48" i="57"/>
  <c r="AG34" i="69"/>
  <c r="AG33" i="65"/>
  <c r="AA48" i="57"/>
  <c r="AX35" i="69"/>
  <c r="O52" i="57"/>
  <c r="AG52" i="57" s="1"/>
  <c r="L52" i="57"/>
  <c r="X49" i="57"/>
  <c r="AJ51" i="57"/>
  <c r="AC51" i="57"/>
  <c r="AP51" i="57"/>
  <c r="AH34" i="65"/>
  <c r="AV34" i="65"/>
  <c r="AG51" i="53"/>
  <c r="AB49" i="53"/>
  <c r="AA49" i="53"/>
  <c r="AH51" i="53"/>
  <c r="AC51" i="53"/>
  <c r="AT51" i="53"/>
  <c r="N52" i="57"/>
  <c r="N52" i="53"/>
  <c r="AH35" i="69"/>
  <c r="AD51" i="57"/>
  <c r="AD51" i="53"/>
  <c r="N35" i="65"/>
  <c r="Q51" i="53"/>
  <c r="I52" i="53"/>
  <c r="K52" i="53"/>
  <c r="H52" i="53"/>
  <c r="L52" i="53"/>
  <c r="E52" i="53"/>
  <c r="C52" i="53"/>
  <c r="D52" i="53"/>
  <c r="P52" i="53"/>
  <c r="AK51" i="52" a="1"/>
  <c r="AK51" i="52" s="1"/>
  <c r="B53" i="53" s="1"/>
  <c r="O53" i="53" s="1"/>
  <c r="J52" i="53"/>
  <c r="G52" i="53"/>
  <c r="F52" i="53"/>
  <c r="Q51" i="57"/>
  <c r="H52" i="57"/>
  <c r="G52" i="57"/>
  <c r="E52" i="57"/>
  <c r="P52" i="57"/>
  <c r="D52" i="57"/>
  <c r="C52" i="57"/>
  <c r="M52" i="57" s="1"/>
  <c r="K52" i="57"/>
  <c r="I52" i="57"/>
  <c r="J52" i="57"/>
  <c r="F52" i="57"/>
  <c r="T50" i="57"/>
  <c r="AK51" i="55" a="1"/>
  <c r="AK51" i="55" s="1"/>
  <c r="B53" i="57" s="1"/>
  <c r="Q35" i="69"/>
  <c r="U35" i="69"/>
  <c r="AE35" i="69"/>
  <c r="R35" i="69"/>
  <c r="S35" i="69" s="1"/>
  <c r="Y35" i="69" s="1"/>
  <c r="AB35" i="69" s="1"/>
  <c r="AC35" i="69" s="1"/>
  <c r="AD35" i="69" s="1"/>
  <c r="P36" i="69"/>
  <c r="D36" i="69"/>
  <c r="E36" i="69" s="1"/>
  <c r="F36" i="69" s="1"/>
  <c r="G36" i="69" s="1"/>
  <c r="H36" i="69" s="1"/>
  <c r="I36" i="69" s="1"/>
  <c r="J36" i="69" s="1"/>
  <c r="K36" i="69" s="1"/>
  <c r="M36" i="69" s="1"/>
  <c r="N36" i="69"/>
  <c r="AF36" i="69" s="1"/>
  <c r="C37" i="69"/>
  <c r="AO37" i="69" s="1"/>
  <c r="O37" i="69"/>
  <c r="AN37" i="67" a="1"/>
  <c r="AN37" i="67" s="1"/>
  <c r="B38" i="69"/>
  <c r="L38" i="69" s="1"/>
  <c r="AN36" i="63" a="1"/>
  <c r="AN36" i="63" s="1"/>
  <c r="B37" i="65"/>
  <c r="L37" i="65" s="1"/>
  <c r="C36" i="65"/>
  <c r="AM36" i="65" s="1"/>
  <c r="O36" i="65"/>
  <c r="P35" i="65"/>
  <c r="D35" i="65"/>
  <c r="E35" i="65" s="1"/>
  <c r="F35" i="65" s="1"/>
  <c r="G35" i="65" s="1"/>
  <c r="H35" i="65" s="1"/>
  <c r="I35" i="65" s="1"/>
  <c r="J35" i="65" s="1"/>
  <c r="K35" i="65" s="1"/>
  <c r="M35" i="65" s="1"/>
  <c r="U34" i="65"/>
  <c r="Q34" i="65"/>
  <c r="R34" i="65"/>
  <c r="S34" i="65" s="1"/>
  <c r="Y34" i="65" s="1"/>
  <c r="AB34" i="65" s="1"/>
  <c r="AC34" i="65" s="1"/>
  <c r="AD34" i="65" s="1"/>
  <c r="A100" i="99"/>
  <c r="A99" i="99"/>
  <c r="A98" i="99"/>
  <c r="A97" i="99"/>
  <c r="A96" i="99"/>
  <c r="A95" i="99"/>
  <c r="A94" i="99"/>
  <c r="A93" i="99"/>
  <c r="A92" i="99"/>
  <c r="A91" i="99"/>
  <c r="A90" i="99"/>
  <c r="A89" i="99"/>
  <c r="A88" i="99"/>
  <c r="A87" i="99"/>
  <c r="A86" i="99"/>
  <c r="A85" i="99"/>
  <c r="A84" i="99"/>
  <c r="A83" i="99"/>
  <c r="A82" i="99"/>
  <c r="A81" i="99"/>
  <c r="A80" i="99"/>
  <c r="A79" i="99"/>
  <c r="A78" i="99"/>
  <c r="A77" i="99"/>
  <c r="A76" i="99"/>
  <c r="A75" i="99"/>
  <c r="A74" i="99"/>
  <c r="A73" i="99"/>
  <c r="A72" i="99"/>
  <c r="A71" i="99"/>
  <c r="A70" i="99"/>
  <c r="A69" i="99"/>
  <c r="A68" i="99"/>
  <c r="A67" i="99"/>
  <c r="A66" i="99"/>
  <c r="A65" i="99"/>
  <c r="A64" i="99"/>
  <c r="A63" i="99"/>
  <c r="A62" i="99"/>
  <c r="A61" i="99"/>
  <c r="A60" i="99"/>
  <c r="A59" i="99"/>
  <c r="A58" i="99"/>
  <c r="A57" i="99"/>
  <c r="A56" i="99"/>
  <c r="A55" i="99"/>
  <c r="A54" i="99"/>
  <c r="A53" i="99"/>
  <c r="A52" i="99"/>
  <c r="A51" i="99"/>
  <c r="A50" i="99"/>
  <c r="A49" i="99"/>
  <c r="A48" i="99"/>
  <c r="A47" i="99"/>
  <c r="A46" i="99"/>
  <c r="A45" i="99"/>
  <c r="A44" i="99"/>
  <c r="A43" i="99"/>
  <c r="A42" i="99"/>
  <c r="A41" i="99"/>
  <c r="A40" i="99"/>
  <c r="A39" i="99"/>
  <c r="A38" i="99"/>
  <c r="A37" i="99"/>
  <c r="A36" i="99"/>
  <c r="A35" i="99"/>
  <c r="A34" i="99"/>
  <c r="A33" i="99"/>
  <c r="A32" i="99"/>
  <c r="A31" i="99"/>
  <c r="A30" i="99"/>
  <c r="A29" i="99"/>
  <c r="A28" i="99"/>
  <c r="A27" i="99"/>
  <c r="A26" i="99"/>
  <c r="A25" i="99"/>
  <c r="A24" i="99"/>
  <c r="A23" i="99"/>
  <c r="A22" i="99"/>
  <c r="A21" i="99"/>
  <c r="A20" i="99"/>
  <c r="A19" i="99"/>
  <c r="A18" i="99"/>
  <c r="A17" i="99"/>
  <c r="A16" i="99"/>
  <c r="A15" i="99"/>
  <c r="A14" i="99"/>
  <c r="A13" i="99"/>
  <c r="A12" i="99"/>
  <c r="A11" i="99"/>
  <c r="A10" i="99"/>
  <c r="A9" i="99"/>
  <c r="A8" i="99"/>
  <c r="A7" i="99"/>
  <c r="A6" i="99"/>
  <c r="A5" i="99"/>
  <c r="A4" i="99"/>
  <c r="X51" i="53" l="1"/>
  <c r="AF51" i="53" s="1"/>
  <c r="AA50" i="53"/>
  <c r="AF50" i="53"/>
  <c r="B11" i="11"/>
  <c r="AF35" i="65"/>
  <c r="AE35" i="65"/>
  <c r="AE52" i="57"/>
  <c r="R52" i="57"/>
  <c r="AE52" i="53"/>
  <c r="R52" i="53"/>
  <c r="AA49" i="57"/>
  <c r="AF49" i="57"/>
  <c r="AG35" i="69"/>
  <c r="AG34" i="65"/>
  <c r="X50" i="57"/>
  <c r="AX36" i="69"/>
  <c r="AB49" i="57"/>
  <c r="L53" i="57"/>
  <c r="O53" i="57"/>
  <c r="AG53" i="57" s="1"/>
  <c r="AC52" i="57"/>
  <c r="AJ52" i="57"/>
  <c r="AP52" i="57"/>
  <c r="AH35" i="65"/>
  <c r="AV35" i="65"/>
  <c r="AC52" i="53"/>
  <c r="AH52" i="53"/>
  <c r="AT52" i="53"/>
  <c r="AG52" i="53"/>
  <c r="A11" i="46"/>
  <c r="A244" i="46"/>
  <c r="B123" i="11"/>
  <c r="B91" i="11"/>
  <c r="B59" i="11"/>
  <c r="B27" i="11"/>
  <c r="B223" i="11"/>
  <c r="B146" i="11"/>
  <c r="B78" i="11"/>
  <c r="B18" i="11"/>
  <c r="A195" i="46"/>
  <c r="B151" i="11"/>
  <c r="B114" i="11"/>
  <c r="B50" i="11"/>
  <c r="A227" i="46"/>
  <c r="B227" i="11"/>
  <c r="B154" i="11"/>
  <c r="B193" i="11"/>
  <c r="B129" i="11"/>
  <c r="B187" i="11"/>
  <c r="B245" i="11"/>
  <c r="B181" i="11"/>
  <c r="B117" i="11"/>
  <c r="B242" i="11"/>
  <c r="B236" i="11"/>
  <c r="B172" i="11"/>
  <c r="B108" i="11"/>
  <c r="B214" i="11"/>
  <c r="B224" i="11"/>
  <c r="B247" i="11"/>
  <c r="B119" i="11"/>
  <c r="B87" i="11"/>
  <c r="B55" i="11"/>
  <c r="B23" i="11"/>
  <c r="B195" i="11"/>
  <c r="B134" i="11"/>
  <c r="B70" i="11"/>
  <c r="A255" i="46"/>
  <c r="A187" i="46"/>
  <c r="B250" i="11"/>
  <c r="B106" i="11"/>
  <c r="B42" i="11"/>
  <c r="A223" i="46"/>
  <c r="B199" i="11"/>
  <c r="B249" i="11"/>
  <c r="B185" i="11"/>
  <c r="B121" i="11"/>
  <c r="B163" i="11"/>
  <c r="B237" i="11"/>
  <c r="B173" i="11"/>
  <c r="B105" i="11"/>
  <c r="B218" i="11"/>
  <c r="B228" i="11"/>
  <c r="B164" i="11"/>
  <c r="B100" i="11"/>
  <c r="B190" i="11"/>
  <c r="B216" i="11"/>
  <c r="B152" i="11"/>
  <c r="A236" i="46"/>
  <c r="A176" i="46"/>
  <c r="A120" i="46"/>
  <c r="A88" i="46"/>
  <c r="A56" i="46"/>
  <c r="A24" i="46"/>
  <c r="B245" i="59"/>
  <c r="B213" i="59"/>
  <c r="B181" i="59"/>
  <c r="B149" i="59"/>
  <c r="B117" i="59"/>
  <c r="A212" i="46"/>
  <c r="A148" i="46"/>
  <c r="A127" i="46"/>
  <c r="A59" i="46"/>
  <c r="B232" i="59"/>
  <c r="B200" i="59"/>
  <c r="B168" i="59"/>
  <c r="B136" i="59"/>
  <c r="B104" i="59"/>
  <c r="B72" i="59"/>
  <c r="A107" i="46"/>
  <c r="A51" i="46"/>
  <c r="A19" i="46"/>
  <c r="B37" i="11"/>
  <c r="A218" i="46"/>
  <c r="A126" i="46"/>
  <c r="A58" i="46"/>
  <c r="B255" i="59"/>
  <c r="B215" i="59"/>
  <c r="B183" i="59"/>
  <c r="B151" i="59"/>
  <c r="B119" i="59"/>
  <c r="B49" i="11"/>
  <c r="A230" i="46"/>
  <c r="A170" i="46"/>
  <c r="A130" i="46"/>
  <c r="A70" i="46"/>
  <c r="B219" i="59"/>
  <c r="B32" i="11"/>
  <c r="A217" i="46"/>
  <c r="A121" i="46"/>
  <c r="A61" i="46"/>
  <c r="B250" i="59"/>
  <c r="B214" i="59"/>
  <c r="B182" i="59"/>
  <c r="B150" i="59"/>
  <c r="B118" i="59"/>
  <c r="B44" i="11"/>
  <c r="A221" i="46"/>
  <c r="A169" i="46"/>
  <c r="A125" i="46"/>
  <c r="A57" i="46"/>
  <c r="A13" i="71"/>
  <c r="B219" i="11"/>
  <c r="B115" i="11"/>
  <c r="B83" i="11"/>
  <c r="B51" i="11"/>
  <c r="B19" i="11"/>
  <c r="B155" i="11"/>
  <c r="B126" i="11"/>
  <c r="B62" i="11"/>
  <c r="A247" i="46"/>
  <c r="A183" i="46"/>
  <c r="B226" i="11"/>
  <c r="B98" i="11"/>
  <c r="B34" i="11"/>
  <c r="A215" i="46"/>
  <c r="B171" i="11"/>
  <c r="B241" i="11"/>
  <c r="B177" i="11"/>
  <c r="B113" i="11"/>
  <c r="B258" i="11"/>
  <c r="B229" i="11"/>
  <c r="B165" i="11"/>
  <c r="B97" i="11"/>
  <c r="B194" i="11"/>
  <c r="B220" i="11"/>
  <c r="B156" i="11"/>
  <c r="B243" i="11"/>
  <c r="B170" i="11"/>
  <c r="B208" i="11"/>
  <c r="B191" i="11"/>
  <c r="B111" i="11"/>
  <c r="B79" i="11"/>
  <c r="B47" i="11"/>
  <c r="B15" i="11"/>
  <c r="B254" i="11"/>
  <c r="B118" i="11"/>
  <c r="B54" i="11"/>
  <c r="A239" i="46"/>
  <c r="A175" i="46"/>
  <c r="B198" i="11"/>
  <c r="B90" i="11"/>
  <c r="B22" i="11"/>
  <c r="A207" i="46"/>
  <c r="B143" i="11"/>
  <c r="B233" i="11"/>
  <c r="B169" i="11"/>
  <c r="B109" i="11"/>
  <c r="B238" i="11"/>
  <c r="B221" i="11"/>
  <c r="B157" i="11"/>
  <c r="B255" i="11"/>
  <c r="B174" i="11"/>
  <c r="B212" i="11"/>
  <c r="B148" i="11"/>
  <c r="B215" i="11"/>
  <c r="B138" i="11"/>
  <c r="B200" i="11"/>
  <c r="B136" i="11"/>
  <c r="A224" i="46"/>
  <c r="A160" i="46"/>
  <c r="A112" i="46"/>
  <c r="A80" i="46"/>
  <c r="A48" i="46"/>
  <c r="A16" i="46"/>
  <c r="B237" i="59"/>
  <c r="B205" i="59"/>
  <c r="B173" i="59"/>
  <c r="B141" i="59"/>
  <c r="B109" i="59"/>
  <c r="A196" i="46"/>
  <c r="A124" i="46"/>
  <c r="A111" i="46"/>
  <c r="B256" i="59"/>
  <c r="B224" i="59"/>
  <c r="B192" i="59"/>
  <c r="B160" i="59"/>
  <c r="B128" i="59"/>
  <c r="B96" i="59"/>
  <c r="A155" i="46"/>
  <c r="A91" i="46"/>
  <c r="A43" i="46"/>
  <c r="B85" i="11"/>
  <c r="B21" i="11"/>
  <c r="A202" i="46"/>
  <c r="A110" i="46"/>
  <c r="A46" i="46"/>
  <c r="B247" i="59"/>
  <c r="B207" i="59"/>
  <c r="B175" i="59"/>
  <c r="B143" i="59"/>
  <c r="B111" i="59"/>
  <c r="B33" i="11"/>
  <c r="A214" i="46"/>
  <c r="A162" i="46"/>
  <c r="A114" i="46"/>
  <c r="A50" i="46"/>
  <c r="B84" i="11"/>
  <c r="B20" i="11"/>
  <c r="A201" i="46"/>
  <c r="A105" i="46"/>
  <c r="A45" i="46"/>
  <c r="B242" i="59"/>
  <c r="B206" i="59"/>
  <c r="B174" i="59"/>
  <c r="B142" i="59"/>
  <c r="B88" i="11"/>
  <c r="B24" i="11"/>
  <c r="A205" i="46"/>
  <c r="A161" i="46"/>
  <c r="A109" i="46"/>
  <c r="A41" i="46"/>
  <c r="B64" i="59"/>
  <c r="B32" i="59"/>
  <c r="A242" i="71"/>
  <c r="B167" i="11"/>
  <c r="B107" i="11"/>
  <c r="B75" i="11"/>
  <c r="B43" i="11"/>
  <c r="A256" i="46"/>
  <c r="B230" i="11"/>
  <c r="B110" i="11"/>
  <c r="B46" i="11"/>
  <c r="A231" i="46"/>
  <c r="A167" i="46"/>
  <c r="B166" i="11"/>
  <c r="B82" i="11"/>
  <c r="B14" i="11"/>
  <c r="A199" i="46"/>
  <c r="B246" i="11"/>
  <c r="B225" i="11"/>
  <c r="B161" i="11"/>
  <c r="B101" i="11"/>
  <c r="B210" i="11"/>
  <c r="B213" i="11"/>
  <c r="B149" i="11"/>
  <c r="B231" i="11"/>
  <c r="B150" i="11"/>
  <c r="B204" i="11"/>
  <c r="B140" i="11"/>
  <c r="B183" i="11"/>
  <c r="B256" i="11"/>
  <c r="B147" i="11"/>
  <c r="B103" i="11"/>
  <c r="B71" i="11"/>
  <c r="B39" i="11"/>
  <c r="A252" i="46"/>
  <c r="B206" i="11"/>
  <c r="B102" i="11"/>
  <c r="B38" i="11"/>
  <c r="A219" i="46"/>
  <c r="B235" i="11"/>
  <c r="B142" i="11"/>
  <c r="B74" i="11"/>
  <c r="A251" i="46"/>
  <c r="A191" i="46"/>
  <c r="B222" i="11"/>
  <c r="B217" i="11"/>
  <c r="B153" i="11"/>
  <c r="B93" i="11"/>
  <c r="B186" i="11"/>
  <c r="B205" i="11"/>
  <c r="B141" i="11"/>
  <c r="B203" i="11"/>
  <c r="B253" i="11"/>
  <c r="B196" i="11"/>
  <c r="B132" i="11"/>
  <c r="B159" i="11"/>
  <c r="B248" i="11"/>
  <c r="B184" i="11"/>
  <c r="B120" i="11"/>
  <c r="A208" i="46"/>
  <c r="A144" i="46"/>
  <c r="A104" i="46"/>
  <c r="A72" i="46"/>
  <c r="A40" i="46"/>
  <c r="B13" i="59"/>
  <c r="B229" i="59"/>
  <c r="B197" i="59"/>
  <c r="B165" i="59"/>
  <c r="B133" i="59"/>
  <c r="B101" i="59"/>
  <c r="A180" i="46"/>
  <c r="A159" i="46"/>
  <c r="A95" i="46"/>
  <c r="B248" i="59"/>
  <c r="B216" i="59"/>
  <c r="B184" i="59"/>
  <c r="B152" i="59"/>
  <c r="B120" i="59"/>
  <c r="B88" i="59"/>
  <c r="A139" i="46"/>
  <c r="A75" i="46"/>
  <c r="A35" i="46"/>
  <c r="B69" i="11"/>
  <c r="A250" i="46"/>
  <c r="A186" i="46"/>
  <c r="A90" i="46"/>
  <c r="A30" i="46"/>
  <c r="B239" i="59"/>
  <c r="B199" i="59"/>
  <c r="B167" i="59"/>
  <c r="B135" i="59"/>
  <c r="B81" i="11"/>
  <c r="B17" i="11"/>
  <c r="A198" i="46"/>
  <c r="A154" i="46"/>
  <c r="A98" i="46"/>
  <c r="A34" i="46"/>
  <c r="B68" i="11"/>
  <c r="A245" i="46"/>
  <c r="A185" i="46"/>
  <c r="A93" i="46"/>
  <c r="A29" i="46"/>
  <c r="B230" i="59"/>
  <c r="B198" i="59"/>
  <c r="B166" i="59"/>
  <c r="B134" i="59"/>
  <c r="B72" i="11"/>
  <c r="A253" i="46"/>
  <c r="A189" i="46"/>
  <c r="A153" i="46"/>
  <c r="A89" i="46"/>
  <c r="A25" i="46"/>
  <c r="B56" i="59"/>
  <c r="B131" i="11"/>
  <c r="B99" i="11"/>
  <c r="B67" i="11"/>
  <c r="B35" i="11"/>
  <c r="A248" i="46"/>
  <c r="B182" i="11"/>
  <c r="B94" i="11"/>
  <c r="B30" i="11"/>
  <c r="A211" i="46"/>
  <c r="B207" i="11"/>
  <c r="B130" i="11"/>
  <c r="B66" i="11"/>
  <c r="A243" i="46"/>
  <c r="A179" i="46"/>
  <c r="B202" i="11"/>
  <c r="B209" i="11"/>
  <c r="B145" i="11"/>
  <c r="B239" i="11"/>
  <c r="B158" i="11"/>
  <c r="B197" i="11"/>
  <c r="B133" i="11"/>
  <c r="B175" i="11"/>
  <c r="B252" i="11"/>
  <c r="B188" i="11"/>
  <c r="B124" i="11"/>
  <c r="B135" i="11"/>
  <c r="B240" i="11"/>
  <c r="B127" i="11"/>
  <c r="B95" i="11"/>
  <c r="B63" i="11"/>
  <c r="B31" i="11"/>
  <c r="B251" i="11"/>
  <c r="B162" i="11"/>
  <c r="B86" i="11"/>
  <c r="B26" i="11"/>
  <c r="A203" i="46"/>
  <c r="B179" i="11"/>
  <c r="B122" i="11"/>
  <c r="B58" i="11"/>
  <c r="A235" i="46"/>
  <c r="A171" i="46"/>
  <c r="B178" i="11"/>
  <c r="B201" i="11"/>
  <c r="B137" i="11"/>
  <c r="B211" i="11"/>
  <c r="B257" i="11"/>
  <c r="B189" i="11"/>
  <c r="B125" i="11"/>
  <c r="B139" i="11"/>
  <c r="B244" i="11"/>
  <c r="B180" i="11"/>
  <c r="B116" i="11"/>
  <c r="B234" i="11"/>
  <c r="B232" i="11"/>
  <c r="B168" i="11"/>
  <c r="B104" i="11"/>
  <c r="A192" i="46"/>
  <c r="A132" i="46"/>
  <c r="A96" i="46"/>
  <c r="A64" i="46"/>
  <c r="A32" i="46"/>
  <c r="B253" i="59"/>
  <c r="B221" i="59"/>
  <c r="B189" i="59"/>
  <c r="B157" i="59"/>
  <c r="B125" i="59"/>
  <c r="A228" i="46"/>
  <c r="A164" i="46"/>
  <c r="A143" i="46"/>
  <c r="A79" i="46"/>
  <c r="B240" i="59"/>
  <c r="B208" i="59"/>
  <c r="B176" i="59"/>
  <c r="B144" i="59"/>
  <c r="B112" i="59"/>
  <c r="B80" i="59"/>
  <c r="A123" i="46"/>
  <c r="A63" i="46"/>
  <c r="A27" i="46"/>
  <c r="B53" i="11"/>
  <c r="A234" i="46"/>
  <c r="A142" i="46"/>
  <c r="A74" i="46"/>
  <c r="A14" i="46"/>
  <c r="B227" i="59"/>
  <c r="B191" i="59"/>
  <c r="B159" i="59"/>
  <c r="B127" i="59"/>
  <c r="B65" i="11"/>
  <c r="A246" i="46"/>
  <c r="A182" i="46"/>
  <c r="A146" i="46"/>
  <c r="A86" i="46"/>
  <c r="A18" i="46"/>
  <c r="B52" i="11"/>
  <c r="A233" i="46"/>
  <c r="A141" i="46"/>
  <c r="A77" i="46"/>
  <c r="A13" i="46"/>
  <c r="B222" i="59"/>
  <c r="B190" i="59"/>
  <c r="B158" i="59"/>
  <c r="B126" i="59"/>
  <c r="B56" i="11"/>
  <c r="A241" i="46"/>
  <c r="A177" i="46"/>
  <c r="A137" i="46"/>
  <c r="A73" i="46"/>
  <c r="B258" i="59"/>
  <c r="B48" i="59"/>
  <c r="B16" i="59"/>
  <c r="A226" i="71"/>
  <c r="A194" i="71"/>
  <c r="B192" i="11"/>
  <c r="A216" i="46"/>
  <c r="A108" i="46"/>
  <c r="A44" i="46"/>
  <c r="B233" i="59"/>
  <c r="B169" i="59"/>
  <c r="B105" i="59"/>
  <c r="B252" i="59"/>
  <c r="B188" i="59"/>
  <c r="B124" i="59"/>
  <c r="A147" i="46"/>
  <c r="A39" i="46"/>
  <c r="B13" i="11"/>
  <c r="A102" i="46"/>
  <c r="B243" i="59"/>
  <c r="B171" i="59"/>
  <c r="B89" i="11"/>
  <c r="A206" i="46"/>
  <c r="A106" i="46"/>
  <c r="B76" i="11"/>
  <c r="A193" i="46"/>
  <c r="A37" i="46"/>
  <c r="B202" i="59"/>
  <c r="B138" i="59"/>
  <c r="B16" i="11"/>
  <c r="A157" i="46"/>
  <c r="A33" i="46"/>
  <c r="B36" i="59"/>
  <c r="A234" i="71"/>
  <c r="A198" i="71"/>
  <c r="A162" i="71"/>
  <c r="A130" i="71"/>
  <c r="A98" i="71"/>
  <c r="A66" i="71"/>
  <c r="A34" i="71"/>
  <c r="B99" i="59"/>
  <c r="B67" i="59"/>
  <c r="B35" i="59"/>
  <c r="A241" i="71"/>
  <c r="A209" i="71"/>
  <c r="A177" i="71"/>
  <c r="A145" i="71"/>
  <c r="A113" i="71"/>
  <c r="A81" i="71"/>
  <c r="A49" i="71"/>
  <c r="A17" i="71"/>
  <c r="B94" i="59"/>
  <c r="B62" i="59"/>
  <c r="B30" i="59"/>
  <c r="A240" i="71"/>
  <c r="A208" i="71"/>
  <c r="A176" i="71"/>
  <c r="A144" i="71"/>
  <c r="A112" i="71"/>
  <c r="A80" i="71"/>
  <c r="A48" i="71"/>
  <c r="A16" i="71"/>
  <c r="B73" i="59"/>
  <c r="B41" i="59"/>
  <c r="A251" i="71"/>
  <c r="A219" i="71"/>
  <c r="A187" i="71"/>
  <c r="A155" i="71"/>
  <c r="A123" i="71"/>
  <c r="A91" i="71"/>
  <c r="A59" i="71"/>
  <c r="A27" i="71"/>
  <c r="B176" i="11"/>
  <c r="A200" i="46"/>
  <c r="A100" i="46"/>
  <c r="A36" i="46"/>
  <c r="B225" i="59"/>
  <c r="B161" i="59"/>
  <c r="A240" i="46"/>
  <c r="A151" i="46"/>
  <c r="B244" i="59"/>
  <c r="B180" i="59"/>
  <c r="B116" i="59"/>
  <c r="A131" i="46"/>
  <c r="A31" i="46"/>
  <c r="A242" i="46"/>
  <c r="A82" i="46"/>
  <c r="B231" i="59"/>
  <c r="B163" i="59"/>
  <c r="B73" i="11"/>
  <c r="A190" i="46"/>
  <c r="A94" i="46"/>
  <c r="B60" i="11"/>
  <c r="A149" i="46"/>
  <c r="A21" i="46"/>
  <c r="B194" i="59"/>
  <c r="B130" i="59"/>
  <c r="A249" i="46"/>
  <c r="A145" i="46"/>
  <c r="A17" i="46"/>
  <c r="B28" i="59"/>
  <c r="A230" i="71"/>
  <c r="A190" i="71"/>
  <c r="A158" i="71"/>
  <c r="A126" i="71"/>
  <c r="A94" i="71"/>
  <c r="A62" i="71"/>
  <c r="A30" i="71"/>
  <c r="B95" i="59"/>
  <c r="B63" i="59"/>
  <c r="B31" i="59"/>
  <c r="A237" i="71"/>
  <c r="A205" i="71"/>
  <c r="A173" i="71"/>
  <c r="A141" i="71"/>
  <c r="A109" i="71"/>
  <c r="A77" i="71"/>
  <c r="A45" i="71"/>
  <c r="B11" i="59"/>
  <c r="B90" i="59"/>
  <c r="B58" i="59"/>
  <c r="B26" i="59"/>
  <c r="A236" i="71"/>
  <c r="A204" i="71"/>
  <c r="A172" i="71"/>
  <c r="A140" i="71"/>
  <c r="A108" i="71"/>
  <c r="A76" i="71"/>
  <c r="A44" i="71"/>
  <c r="A12" i="71"/>
  <c r="B69" i="59"/>
  <c r="B37" i="59"/>
  <c r="A247" i="71"/>
  <c r="A215" i="71"/>
  <c r="A183" i="71"/>
  <c r="A151" i="71"/>
  <c r="A119" i="71"/>
  <c r="A87" i="71"/>
  <c r="A55" i="71"/>
  <c r="A23" i="71"/>
  <c r="B160" i="11"/>
  <c r="A184" i="46"/>
  <c r="A92" i="46"/>
  <c r="A28" i="46"/>
  <c r="B217" i="59"/>
  <c r="B153" i="59"/>
  <c r="A220" i="46"/>
  <c r="A135" i="46"/>
  <c r="B236" i="59"/>
  <c r="B172" i="59"/>
  <c r="B108" i="59"/>
  <c r="A115" i="46"/>
  <c r="A23" i="46"/>
  <c r="A226" i="46"/>
  <c r="A66" i="46"/>
  <c r="B223" i="59"/>
  <c r="B155" i="59"/>
  <c r="B57" i="11"/>
  <c r="A174" i="46"/>
  <c r="A78" i="46"/>
  <c r="B40" i="11"/>
  <c r="A133" i="46"/>
  <c r="B254" i="59"/>
  <c r="B186" i="59"/>
  <c r="B122" i="59"/>
  <c r="A229" i="46"/>
  <c r="A129" i="46"/>
  <c r="B238" i="59"/>
  <c r="B24" i="59"/>
  <c r="A222" i="71"/>
  <c r="A186" i="71"/>
  <c r="A154" i="71"/>
  <c r="A122" i="71"/>
  <c r="A90" i="71"/>
  <c r="A58" i="71"/>
  <c r="A26" i="71"/>
  <c r="B91" i="59"/>
  <c r="B59" i="59"/>
  <c r="B27" i="59"/>
  <c r="A233" i="71"/>
  <c r="A201" i="71"/>
  <c r="A169" i="71"/>
  <c r="A137" i="71"/>
  <c r="A105" i="71"/>
  <c r="A73" i="71"/>
  <c r="A41" i="71"/>
  <c r="B14" i="59"/>
  <c r="B86" i="59"/>
  <c r="B54" i="59"/>
  <c r="B22" i="59"/>
  <c r="A232" i="71"/>
  <c r="A200" i="71"/>
  <c r="A168" i="71"/>
  <c r="A136" i="71"/>
  <c r="A104" i="71"/>
  <c r="A72" i="71"/>
  <c r="A40" i="71"/>
  <c r="B97" i="59"/>
  <c r="B65" i="59"/>
  <c r="B33" i="59"/>
  <c r="A243" i="71"/>
  <c r="A211" i="71"/>
  <c r="A179" i="71"/>
  <c r="A147" i="71"/>
  <c r="A115" i="71"/>
  <c r="A83" i="71"/>
  <c r="A51" i="71"/>
  <c r="A19" i="71"/>
  <c r="B144" i="11"/>
  <c r="A168" i="46"/>
  <c r="A84" i="46"/>
  <c r="A20" i="46"/>
  <c r="B209" i="59"/>
  <c r="B145" i="59"/>
  <c r="A204" i="46"/>
  <c r="A119" i="46"/>
  <c r="B228" i="59"/>
  <c r="B164" i="59"/>
  <c r="B100" i="59"/>
  <c r="A99" i="46"/>
  <c r="A15" i="46"/>
  <c r="A210" i="46"/>
  <c r="A54" i="46"/>
  <c r="B211" i="59"/>
  <c r="B147" i="59"/>
  <c r="B41" i="11"/>
  <c r="A166" i="46"/>
  <c r="A62" i="46"/>
  <c r="B28" i="11"/>
  <c r="A113" i="46"/>
  <c r="B246" i="59"/>
  <c r="B178" i="59"/>
  <c r="B114" i="59"/>
  <c r="A213" i="46"/>
  <c r="A117" i="46"/>
  <c r="B68" i="59"/>
  <c r="B20" i="59"/>
  <c r="A218" i="71"/>
  <c r="A182" i="71"/>
  <c r="A150" i="71"/>
  <c r="A118" i="71"/>
  <c r="A86" i="71"/>
  <c r="A54" i="71"/>
  <c r="A22" i="71"/>
  <c r="B87" i="59"/>
  <c r="B55" i="59"/>
  <c r="B23" i="59"/>
  <c r="A229" i="71"/>
  <c r="A197" i="71"/>
  <c r="A165" i="71"/>
  <c r="A133" i="71"/>
  <c r="A101" i="71"/>
  <c r="A69" i="71"/>
  <c r="A37" i="71"/>
  <c r="A15" i="71"/>
  <c r="B82" i="59"/>
  <c r="B50" i="59"/>
  <c r="B18" i="59"/>
  <c r="A228" i="71"/>
  <c r="A196" i="71"/>
  <c r="A164" i="71"/>
  <c r="A132" i="71"/>
  <c r="A100" i="71"/>
  <c r="A68" i="71"/>
  <c r="A36" i="71"/>
  <c r="B93" i="59"/>
  <c r="B61" i="59"/>
  <c r="B29" i="59"/>
  <c r="A239" i="71"/>
  <c r="A207" i="71"/>
  <c r="A175" i="71"/>
  <c r="A143" i="71"/>
  <c r="A111" i="71"/>
  <c r="A79" i="71"/>
  <c r="A47" i="71"/>
  <c r="A11" i="71"/>
  <c r="B128" i="11"/>
  <c r="A152" i="46"/>
  <c r="A76" i="46"/>
  <c r="A12" i="46"/>
  <c r="B201" i="59"/>
  <c r="B137" i="59"/>
  <c r="A188" i="46"/>
  <c r="A103" i="46"/>
  <c r="B220" i="59"/>
  <c r="B156" i="59"/>
  <c r="B92" i="59"/>
  <c r="A83" i="46"/>
  <c r="B77" i="11"/>
  <c r="A194" i="46"/>
  <c r="A38" i="46"/>
  <c r="B203" i="59"/>
  <c r="B139" i="59"/>
  <c r="B25" i="11"/>
  <c r="A158" i="46"/>
  <c r="A42" i="46"/>
  <c r="B12" i="11"/>
  <c r="A97" i="46"/>
  <c r="B234" i="59"/>
  <c r="B170" i="59"/>
  <c r="B80" i="11"/>
  <c r="A197" i="46"/>
  <c r="A101" i="46"/>
  <c r="B60" i="59"/>
  <c r="A254" i="71"/>
  <c r="A214" i="71"/>
  <c r="A178" i="71"/>
  <c r="A146" i="71"/>
  <c r="A114" i="71"/>
  <c r="A82" i="71"/>
  <c r="A50" i="71"/>
  <c r="A18" i="71"/>
  <c r="B83" i="59"/>
  <c r="B51" i="59"/>
  <c r="B19" i="59"/>
  <c r="A225" i="71"/>
  <c r="A193" i="71"/>
  <c r="A161" i="71"/>
  <c r="A129" i="71"/>
  <c r="A97" i="71"/>
  <c r="A65" i="71"/>
  <c r="A33" i="71"/>
  <c r="B110" i="59"/>
  <c r="B78" i="59"/>
  <c r="B46" i="59"/>
  <c r="A256" i="71"/>
  <c r="A224" i="71"/>
  <c r="A192" i="71"/>
  <c r="A160" i="71"/>
  <c r="A128" i="71"/>
  <c r="A96" i="71"/>
  <c r="A64" i="71"/>
  <c r="A32" i="71"/>
  <c r="B89" i="59"/>
  <c r="B57" i="59"/>
  <c r="B25" i="59"/>
  <c r="A235" i="71"/>
  <c r="A203" i="71"/>
  <c r="A171" i="71"/>
  <c r="A139" i="71"/>
  <c r="A107" i="71"/>
  <c r="A75" i="71"/>
  <c r="A43" i="71"/>
  <c r="B112" i="11"/>
  <c r="A136" i="46"/>
  <c r="A68" i="46"/>
  <c r="B257" i="59"/>
  <c r="B193" i="59"/>
  <c r="B129" i="59"/>
  <c r="A172" i="46"/>
  <c r="A87" i="46"/>
  <c r="B212" i="59"/>
  <c r="B148" i="59"/>
  <c r="B84" i="59"/>
  <c r="A67" i="46"/>
  <c r="B61" i="11"/>
  <c r="A178" i="46"/>
  <c r="A22" i="46"/>
  <c r="B195" i="59"/>
  <c r="B131" i="59"/>
  <c r="A254" i="46"/>
  <c r="A150" i="46"/>
  <c r="A26" i="46"/>
  <c r="A237" i="46"/>
  <c r="A85" i="46"/>
  <c r="B226" i="59"/>
  <c r="B162" i="59"/>
  <c r="B64" i="11"/>
  <c r="A181" i="46"/>
  <c r="A81" i="46"/>
  <c r="B52" i="59"/>
  <c r="A250" i="71"/>
  <c r="A210" i="71"/>
  <c r="A174" i="71"/>
  <c r="A142" i="71"/>
  <c r="A110" i="71"/>
  <c r="A78" i="71"/>
  <c r="A46" i="71"/>
  <c r="A14" i="71"/>
  <c r="B79" i="59"/>
  <c r="B47" i="59"/>
  <c r="A253" i="71"/>
  <c r="A221" i="71"/>
  <c r="A189" i="71"/>
  <c r="A157" i="71"/>
  <c r="A125" i="71"/>
  <c r="A93" i="71"/>
  <c r="A61" i="71"/>
  <c r="A29" i="71"/>
  <c r="B106" i="59"/>
  <c r="B74" i="59"/>
  <c r="B42" i="59"/>
  <c r="A252" i="71"/>
  <c r="A220" i="71"/>
  <c r="A188" i="71"/>
  <c r="A156" i="71"/>
  <c r="A124" i="71"/>
  <c r="A92" i="71"/>
  <c r="A60" i="71"/>
  <c r="A28" i="71"/>
  <c r="B85" i="59"/>
  <c r="B53" i="59"/>
  <c r="B21" i="59"/>
  <c r="A231" i="71"/>
  <c r="A199" i="71"/>
  <c r="A167" i="71"/>
  <c r="A135" i="71"/>
  <c r="A103" i="71"/>
  <c r="A71" i="71"/>
  <c r="A39" i="71"/>
  <c r="B96" i="11"/>
  <c r="A128" i="46"/>
  <c r="A60" i="46"/>
  <c r="B249" i="59"/>
  <c r="B185" i="59"/>
  <c r="B121" i="59"/>
  <c r="A156" i="46"/>
  <c r="A71" i="46"/>
  <c r="B204" i="59"/>
  <c r="B140" i="59"/>
  <c r="B76" i="59"/>
  <c r="A55" i="46"/>
  <c r="B45" i="11"/>
  <c r="A134" i="46"/>
  <c r="B15" i="59"/>
  <c r="B187" i="59"/>
  <c r="B123" i="59"/>
  <c r="A238" i="46"/>
  <c r="A138" i="46"/>
  <c r="B235" i="59"/>
  <c r="A225" i="46"/>
  <c r="A69" i="46"/>
  <c r="B218" i="59"/>
  <c r="B154" i="59"/>
  <c r="B48" i="11"/>
  <c r="A173" i="46"/>
  <c r="A65" i="46"/>
  <c r="B44" i="59"/>
  <c r="A246" i="71"/>
  <c r="A206" i="71"/>
  <c r="A170" i="71"/>
  <c r="A138" i="71"/>
  <c r="A106" i="71"/>
  <c r="A74" i="71"/>
  <c r="A42" i="71"/>
  <c r="B107" i="59"/>
  <c r="B75" i="59"/>
  <c r="B43" i="59"/>
  <c r="A249" i="71"/>
  <c r="A217" i="71"/>
  <c r="A185" i="71"/>
  <c r="A153" i="71"/>
  <c r="A121" i="71"/>
  <c r="A89" i="71"/>
  <c r="A57" i="71"/>
  <c r="A25" i="71"/>
  <c r="B102" i="59"/>
  <c r="B70" i="59"/>
  <c r="B38" i="59"/>
  <c r="A248" i="71"/>
  <c r="A216" i="71"/>
  <c r="A184" i="71"/>
  <c r="A152" i="71"/>
  <c r="A120" i="71"/>
  <c r="A88" i="71"/>
  <c r="A56" i="71"/>
  <c r="A24" i="71"/>
  <c r="B81" i="59"/>
  <c r="B49" i="59"/>
  <c r="B17" i="59"/>
  <c r="A227" i="71"/>
  <c r="A195" i="71"/>
  <c r="A163" i="71"/>
  <c r="A131" i="71"/>
  <c r="A99" i="71"/>
  <c r="A67" i="71"/>
  <c r="A35" i="71"/>
  <c r="A232" i="46"/>
  <c r="A116" i="46"/>
  <c r="A52" i="46"/>
  <c r="B241" i="59"/>
  <c r="B177" i="59"/>
  <c r="B113" i="59"/>
  <c r="A140" i="46"/>
  <c r="B12" i="59"/>
  <c r="B196" i="59"/>
  <c r="B132" i="59"/>
  <c r="A163" i="46"/>
  <c r="A47" i="46"/>
  <c r="B29" i="11"/>
  <c r="A118" i="46"/>
  <c r="B251" i="59"/>
  <c r="B179" i="59"/>
  <c r="B115" i="59"/>
  <c r="A222" i="46"/>
  <c r="A122" i="46"/>
  <c r="B92" i="11"/>
  <c r="A209" i="46"/>
  <c r="A53" i="46"/>
  <c r="B210" i="59"/>
  <c r="B146" i="59"/>
  <c r="B36" i="11"/>
  <c r="A165" i="46"/>
  <c r="A49" i="46"/>
  <c r="B40" i="59"/>
  <c r="A238" i="71"/>
  <c r="A202" i="71"/>
  <c r="A166" i="71"/>
  <c r="A134" i="71"/>
  <c r="A102" i="71"/>
  <c r="A70" i="71"/>
  <c r="A38" i="71"/>
  <c r="B103" i="59"/>
  <c r="B71" i="59"/>
  <c r="B39" i="59"/>
  <c r="A245" i="71"/>
  <c r="A213" i="71"/>
  <c r="A181" i="71"/>
  <c r="A149" i="71"/>
  <c r="A117" i="71"/>
  <c r="A85" i="71"/>
  <c r="A53" i="71"/>
  <c r="A21" i="71"/>
  <c r="B98" i="59"/>
  <c r="B66" i="59"/>
  <c r="B34" i="59"/>
  <c r="A244" i="71"/>
  <c r="A212" i="71"/>
  <c r="A180" i="71"/>
  <c r="A148" i="71"/>
  <c r="A116" i="71"/>
  <c r="A84" i="71"/>
  <c r="A52" i="71"/>
  <c r="A20" i="71"/>
  <c r="B77" i="59"/>
  <c r="B45" i="59"/>
  <c r="A255" i="71"/>
  <c r="A223" i="71"/>
  <c r="A191" i="71"/>
  <c r="A159" i="71"/>
  <c r="A127" i="71"/>
  <c r="A95" i="71"/>
  <c r="A63" i="71"/>
  <c r="A31" i="71"/>
  <c r="N53" i="57"/>
  <c r="N53" i="53"/>
  <c r="AH36" i="69"/>
  <c r="AD52" i="57"/>
  <c r="AD52" i="53"/>
  <c r="N36" i="65"/>
  <c r="Q52" i="53"/>
  <c r="C53" i="53"/>
  <c r="K53" i="53"/>
  <c r="AK52" i="52" a="1"/>
  <c r="AK52" i="52" s="1"/>
  <c r="B54" i="53" s="1"/>
  <c r="O54" i="53" s="1"/>
  <c r="D53" i="53"/>
  <c r="H53" i="53"/>
  <c r="I53" i="53"/>
  <c r="F53" i="53"/>
  <c r="P53" i="53"/>
  <c r="E53" i="53"/>
  <c r="J53" i="53"/>
  <c r="L53" i="53"/>
  <c r="G53" i="53"/>
  <c r="P53" i="57"/>
  <c r="K53" i="57"/>
  <c r="I53" i="57"/>
  <c r="G53" i="57"/>
  <c r="E53" i="57"/>
  <c r="C53" i="57"/>
  <c r="M53" i="57" s="1"/>
  <c r="D53" i="57"/>
  <c r="F53" i="57"/>
  <c r="H53" i="57"/>
  <c r="J53" i="57"/>
  <c r="T51" i="57"/>
  <c r="Q52" i="57"/>
  <c r="AK52" i="55" a="1"/>
  <c r="AK52" i="55" s="1"/>
  <c r="B54" i="57" s="1"/>
  <c r="K253" i="71"/>
  <c r="K245" i="71"/>
  <c r="K237" i="71"/>
  <c r="K229" i="71"/>
  <c r="K221" i="71"/>
  <c r="K213" i="71"/>
  <c r="K205" i="71"/>
  <c r="K197" i="71"/>
  <c r="K189" i="71"/>
  <c r="K181" i="71"/>
  <c r="K173" i="71"/>
  <c r="K165" i="71"/>
  <c r="K157" i="71"/>
  <c r="K149" i="71"/>
  <c r="K141" i="71"/>
  <c r="K133" i="71"/>
  <c r="K125" i="71"/>
  <c r="K117" i="71"/>
  <c r="K109" i="71"/>
  <c r="K101" i="71"/>
  <c r="K93" i="71"/>
  <c r="K85" i="71"/>
  <c r="K77" i="71"/>
  <c r="K69" i="71"/>
  <c r="K61" i="71"/>
  <c r="K53" i="71"/>
  <c r="K45" i="71"/>
  <c r="K37" i="71"/>
  <c r="K29" i="71"/>
  <c r="K21" i="71"/>
  <c r="K13" i="71"/>
  <c r="L253" i="59"/>
  <c r="L245" i="59"/>
  <c r="L237" i="59"/>
  <c r="L229" i="59"/>
  <c r="L221" i="59"/>
  <c r="L213" i="59"/>
  <c r="L205" i="59"/>
  <c r="L197" i="59"/>
  <c r="L189" i="59"/>
  <c r="L181" i="59"/>
  <c r="L173" i="59"/>
  <c r="L165" i="59"/>
  <c r="L157" i="59"/>
  <c r="L149" i="59"/>
  <c r="L141" i="59"/>
  <c r="L133" i="59"/>
  <c r="L125" i="59"/>
  <c r="L117" i="59"/>
  <c r="L109" i="59"/>
  <c r="L101" i="59"/>
  <c r="L93" i="59"/>
  <c r="L85" i="59"/>
  <c r="L77" i="59"/>
  <c r="L69" i="59"/>
  <c r="L61" i="59"/>
  <c r="L53" i="59"/>
  <c r="L45" i="59"/>
  <c r="L37" i="59"/>
  <c r="L29" i="59"/>
  <c r="L21" i="59"/>
  <c r="L13" i="59"/>
  <c r="K251" i="46"/>
  <c r="K243" i="46"/>
  <c r="K235" i="46"/>
  <c r="K227" i="46"/>
  <c r="K219" i="46"/>
  <c r="K211" i="46"/>
  <c r="K203" i="46"/>
  <c r="K195" i="46"/>
  <c r="K187" i="46"/>
  <c r="K179" i="46"/>
  <c r="K171" i="46"/>
  <c r="K163" i="46"/>
  <c r="K155" i="46"/>
  <c r="K147" i="46"/>
  <c r="K139" i="46"/>
  <c r="K131" i="46"/>
  <c r="K123" i="46"/>
  <c r="K115" i="46"/>
  <c r="K107" i="46"/>
  <c r="K99" i="46"/>
  <c r="K91" i="46"/>
  <c r="K251" i="71"/>
  <c r="K243" i="71"/>
  <c r="K235" i="71"/>
  <c r="K227" i="71"/>
  <c r="K219" i="71"/>
  <c r="K211" i="71"/>
  <c r="K203" i="71"/>
  <c r="K195" i="71"/>
  <c r="K187" i="71"/>
  <c r="K179" i="71"/>
  <c r="K171" i="71"/>
  <c r="K163" i="71"/>
  <c r="K155" i="71"/>
  <c r="K147" i="71"/>
  <c r="K139" i="71"/>
  <c r="K131" i="71"/>
  <c r="K123" i="71"/>
  <c r="K115" i="71"/>
  <c r="K107" i="71"/>
  <c r="K99" i="71"/>
  <c r="K91" i="71"/>
  <c r="K83" i="71"/>
  <c r="K75" i="71"/>
  <c r="K67" i="71"/>
  <c r="K59" i="71"/>
  <c r="K250" i="71"/>
  <c r="K242" i="71"/>
  <c r="K234" i="71"/>
  <c r="K226" i="71"/>
  <c r="K218" i="71"/>
  <c r="K210" i="71"/>
  <c r="K202" i="71"/>
  <c r="K194" i="71"/>
  <c r="K186" i="71"/>
  <c r="K178" i="71"/>
  <c r="K170" i="71"/>
  <c r="K162" i="71"/>
  <c r="K154" i="71"/>
  <c r="K146" i="71"/>
  <c r="K138" i="71"/>
  <c r="K130" i="71"/>
  <c r="K122" i="71"/>
  <c r="K114" i="71"/>
  <c r="K106" i="71"/>
  <c r="K98" i="71"/>
  <c r="K90" i="71"/>
  <c r="K82" i="71"/>
  <c r="K74" i="71"/>
  <c r="K66" i="71"/>
  <c r="K58" i="71"/>
  <c r="K50" i="71"/>
  <c r="K42" i="71"/>
  <c r="K34" i="71"/>
  <c r="K26" i="71"/>
  <c r="K18" i="71"/>
  <c r="L258" i="59"/>
  <c r="L250" i="59"/>
  <c r="L242" i="59"/>
  <c r="L234" i="59"/>
  <c r="L226" i="59"/>
  <c r="L218" i="59"/>
  <c r="L210" i="59"/>
  <c r="L202" i="59"/>
  <c r="L194" i="59"/>
  <c r="L186" i="59"/>
  <c r="L178" i="59"/>
  <c r="L170" i="59"/>
  <c r="L162" i="59"/>
  <c r="L154" i="59"/>
  <c r="L146" i="59"/>
  <c r="L138" i="59"/>
  <c r="L130" i="59"/>
  <c r="L122" i="59"/>
  <c r="L114" i="59"/>
  <c r="L106" i="59"/>
  <c r="L98" i="59"/>
  <c r="L90" i="59"/>
  <c r="L82" i="59"/>
  <c r="L74" i="59"/>
  <c r="L66" i="59"/>
  <c r="L58" i="59"/>
  <c r="L50" i="59"/>
  <c r="L42" i="59"/>
  <c r="L34" i="59"/>
  <c r="L26" i="59"/>
  <c r="L18" i="59"/>
  <c r="K256" i="46"/>
  <c r="K248" i="46"/>
  <c r="K240" i="46"/>
  <c r="K232" i="46"/>
  <c r="K224" i="46"/>
  <c r="K216" i="46"/>
  <c r="K208" i="46"/>
  <c r="K200" i="46"/>
  <c r="K192" i="46"/>
  <c r="K184" i="46"/>
  <c r="K176" i="46"/>
  <c r="K168" i="46"/>
  <c r="K160" i="46"/>
  <c r="K152" i="46"/>
  <c r="K144" i="46"/>
  <c r="K136" i="46"/>
  <c r="K128" i="46"/>
  <c r="K120" i="46"/>
  <c r="K112" i="46"/>
  <c r="K104" i="46"/>
  <c r="K96" i="46"/>
  <c r="K88" i="46"/>
  <c r="K80" i="46"/>
  <c r="K249" i="71"/>
  <c r="K241" i="71"/>
  <c r="K233" i="71"/>
  <c r="K225" i="71"/>
  <c r="K217" i="71"/>
  <c r="K209" i="71"/>
  <c r="K201" i="71"/>
  <c r="K193" i="71"/>
  <c r="K185" i="71"/>
  <c r="K177" i="71"/>
  <c r="K169" i="71"/>
  <c r="K161" i="71"/>
  <c r="K153" i="71"/>
  <c r="K145" i="71"/>
  <c r="K137" i="71"/>
  <c r="K129" i="71"/>
  <c r="K121" i="71"/>
  <c r="K113" i="71"/>
  <c r="K105" i="71"/>
  <c r="K97" i="71"/>
  <c r="K89" i="71"/>
  <c r="K81" i="71"/>
  <c r="K73" i="71"/>
  <c r="K65" i="71"/>
  <c r="K57" i="71"/>
  <c r="K49" i="71"/>
  <c r="K41" i="71"/>
  <c r="K33" i="71"/>
  <c r="K25" i="71"/>
  <c r="K17" i="71"/>
  <c r="L257" i="59"/>
  <c r="L249" i="59"/>
  <c r="L241" i="59"/>
  <c r="L233" i="59"/>
  <c r="L225" i="59"/>
  <c r="L217" i="59"/>
  <c r="L209" i="59"/>
  <c r="L201" i="59"/>
  <c r="L193" i="59"/>
  <c r="L185" i="59"/>
  <c r="L177" i="59"/>
  <c r="L169" i="59"/>
  <c r="L161" i="59"/>
  <c r="L153" i="59"/>
  <c r="L145" i="59"/>
  <c r="L137" i="59"/>
  <c r="L129" i="59"/>
  <c r="L121" i="59"/>
  <c r="L113" i="59"/>
  <c r="L105" i="59"/>
  <c r="L97" i="59"/>
  <c r="L89" i="59"/>
  <c r="L81" i="59"/>
  <c r="L73" i="59"/>
  <c r="L65" i="59"/>
  <c r="L57" i="59"/>
  <c r="L49" i="59"/>
  <c r="L41" i="59"/>
  <c r="L33" i="59"/>
  <c r="L25" i="59"/>
  <c r="L17" i="59"/>
  <c r="K255" i="46"/>
  <c r="K247" i="46"/>
  <c r="K239" i="46"/>
  <c r="K231" i="46"/>
  <c r="K223" i="46"/>
  <c r="K215" i="46"/>
  <c r="K207" i="46"/>
  <c r="K199" i="46"/>
  <c r="K191" i="46"/>
  <c r="K183" i="46"/>
  <c r="K175" i="46"/>
  <c r="K167" i="46"/>
  <c r="K159" i="46"/>
  <c r="K151" i="46"/>
  <c r="K143" i="46"/>
  <c r="K135" i="46"/>
  <c r="K127" i="46"/>
  <c r="K119" i="46"/>
  <c r="K111" i="46"/>
  <c r="K103" i="46"/>
  <c r="K95" i="46"/>
  <c r="K87" i="46"/>
  <c r="K256" i="71"/>
  <c r="K248" i="71"/>
  <c r="K240" i="71"/>
  <c r="K232" i="71"/>
  <c r="K224" i="71"/>
  <c r="K216" i="71"/>
  <c r="K208" i="71"/>
  <c r="K200" i="71"/>
  <c r="K192" i="71"/>
  <c r="K184" i="71"/>
  <c r="K176" i="71"/>
  <c r="K168" i="71"/>
  <c r="K160" i="71"/>
  <c r="K152" i="71"/>
  <c r="K144" i="71"/>
  <c r="K136" i="71"/>
  <c r="K128" i="71"/>
  <c r="K120" i="71"/>
  <c r="K112" i="71"/>
  <c r="K104" i="71"/>
  <c r="K96" i="71"/>
  <c r="K88" i="71"/>
  <c r="K80" i="71"/>
  <c r="K72" i="71"/>
  <c r="K64" i="71"/>
  <c r="K56" i="71"/>
  <c r="K48" i="71"/>
  <c r="K40" i="71"/>
  <c r="K32" i="71"/>
  <c r="K24" i="71"/>
  <c r="K16" i="71"/>
  <c r="L256" i="59"/>
  <c r="L248" i="59"/>
  <c r="L240" i="59"/>
  <c r="L232" i="59"/>
  <c r="L224" i="59"/>
  <c r="L216" i="59"/>
  <c r="L208" i="59"/>
  <c r="L200" i="59"/>
  <c r="L192" i="59"/>
  <c r="L184" i="59"/>
  <c r="L176" i="59"/>
  <c r="L168" i="59"/>
  <c r="L160" i="59"/>
  <c r="L152" i="59"/>
  <c r="L144" i="59"/>
  <c r="L136" i="59"/>
  <c r="L128" i="59"/>
  <c r="L120" i="59"/>
  <c r="L112" i="59"/>
  <c r="L104" i="59"/>
  <c r="L96" i="59"/>
  <c r="L88" i="59"/>
  <c r="L80" i="59"/>
  <c r="L72" i="59"/>
  <c r="L64" i="59"/>
  <c r="L56" i="59"/>
  <c r="L48" i="59"/>
  <c r="L40" i="59"/>
  <c r="L32" i="59"/>
  <c r="L24" i="59"/>
  <c r="L16" i="59"/>
  <c r="K254" i="46"/>
  <c r="K246" i="46"/>
  <c r="K238" i="46"/>
  <c r="K230" i="46"/>
  <c r="K222" i="46"/>
  <c r="K214" i="46"/>
  <c r="K206" i="46"/>
  <c r="K198" i="46"/>
  <c r="K190" i="46"/>
  <c r="K182" i="46"/>
  <c r="K174" i="46"/>
  <c r="K166" i="46"/>
  <c r="K158" i="46"/>
  <c r="K150" i="46"/>
  <c r="K142" i="46"/>
  <c r="K134" i="46"/>
  <c r="K126" i="46"/>
  <c r="K118" i="46"/>
  <c r="K110" i="46"/>
  <c r="K102" i="46"/>
  <c r="K94" i="46"/>
  <c r="K255" i="71"/>
  <c r="K247" i="71"/>
  <c r="K239" i="71"/>
  <c r="K231" i="71"/>
  <c r="K223" i="71"/>
  <c r="K215" i="71"/>
  <c r="K207" i="71"/>
  <c r="K199" i="71"/>
  <c r="K191" i="71"/>
  <c r="K183" i="71"/>
  <c r="K175" i="71"/>
  <c r="K167" i="71"/>
  <c r="K159" i="71"/>
  <c r="K151" i="71"/>
  <c r="K143" i="71"/>
  <c r="K135" i="71"/>
  <c r="K127" i="71"/>
  <c r="K119" i="71"/>
  <c r="K111" i="71"/>
  <c r="K103" i="71"/>
  <c r="K95" i="71"/>
  <c r="K87" i="71"/>
  <c r="K79" i="71"/>
  <c r="K71" i="71"/>
  <c r="K252" i="71"/>
  <c r="K220" i="71"/>
  <c r="K188" i="71"/>
  <c r="K156" i="71"/>
  <c r="K124" i="71"/>
  <c r="K92" i="71"/>
  <c r="K62" i="71"/>
  <c r="K44" i="71"/>
  <c r="K28" i="71"/>
  <c r="K12" i="71"/>
  <c r="L244" i="59"/>
  <c r="L228" i="59"/>
  <c r="L212" i="59"/>
  <c r="L196" i="59"/>
  <c r="L180" i="59"/>
  <c r="L164" i="59"/>
  <c r="L148" i="59"/>
  <c r="L132" i="59"/>
  <c r="L116" i="59"/>
  <c r="L100" i="59"/>
  <c r="L84" i="59"/>
  <c r="L68" i="59"/>
  <c r="L52" i="59"/>
  <c r="L36" i="59"/>
  <c r="L20" i="59"/>
  <c r="K250" i="46"/>
  <c r="K234" i="46"/>
  <c r="K218" i="46"/>
  <c r="K202" i="46"/>
  <c r="K186" i="46"/>
  <c r="K170" i="46"/>
  <c r="K154" i="46"/>
  <c r="K138" i="46"/>
  <c r="K122" i="46"/>
  <c r="K106" i="46"/>
  <c r="K90" i="46"/>
  <c r="K79" i="46"/>
  <c r="K71" i="46"/>
  <c r="K63" i="46"/>
  <c r="K55" i="46"/>
  <c r="K47" i="46"/>
  <c r="K39" i="46"/>
  <c r="K31" i="46"/>
  <c r="K23" i="46"/>
  <c r="K15" i="46"/>
  <c r="L255" i="11"/>
  <c r="L247" i="11"/>
  <c r="L239" i="11"/>
  <c r="L231" i="11"/>
  <c r="L223" i="11"/>
  <c r="L215" i="11"/>
  <c r="L207" i="11"/>
  <c r="L199" i="11"/>
  <c r="L191" i="11"/>
  <c r="L183" i="11"/>
  <c r="L175" i="11"/>
  <c r="L167" i="11"/>
  <c r="L159" i="11"/>
  <c r="L151" i="11"/>
  <c r="L143" i="11"/>
  <c r="L135" i="11"/>
  <c r="L127" i="11"/>
  <c r="L119" i="11"/>
  <c r="L111" i="11"/>
  <c r="L103" i="11"/>
  <c r="L95" i="11"/>
  <c r="L87" i="11"/>
  <c r="L79" i="11"/>
  <c r="L71" i="11"/>
  <c r="L63" i="11"/>
  <c r="L55" i="11"/>
  <c r="L47" i="11"/>
  <c r="L39" i="11"/>
  <c r="L31" i="11"/>
  <c r="L23" i="11"/>
  <c r="L15" i="11"/>
  <c r="K246" i="71"/>
  <c r="K214" i="71"/>
  <c r="K182" i="71"/>
  <c r="K150" i="71"/>
  <c r="K118" i="71"/>
  <c r="K86" i="71"/>
  <c r="K60" i="71"/>
  <c r="K43" i="71"/>
  <c r="K27" i="71"/>
  <c r="K11" i="71"/>
  <c r="L243" i="59"/>
  <c r="L227" i="59"/>
  <c r="L211" i="59"/>
  <c r="L195" i="59"/>
  <c r="L179" i="59"/>
  <c r="L163" i="59"/>
  <c r="L147" i="59"/>
  <c r="L131" i="59"/>
  <c r="L115" i="59"/>
  <c r="L99" i="59"/>
  <c r="L83" i="59"/>
  <c r="L67" i="59"/>
  <c r="L51" i="59"/>
  <c r="L35" i="59"/>
  <c r="L19" i="59"/>
  <c r="K249" i="46"/>
  <c r="K233" i="46"/>
  <c r="K217" i="46"/>
  <c r="K201" i="46"/>
  <c r="K185" i="46"/>
  <c r="K169" i="46"/>
  <c r="K153" i="46"/>
  <c r="K137" i="46"/>
  <c r="K121" i="46"/>
  <c r="K105" i="46"/>
  <c r="K89" i="46"/>
  <c r="K78" i="46"/>
  <c r="K70" i="46"/>
  <c r="K62" i="46"/>
  <c r="K54" i="46"/>
  <c r="K46" i="46"/>
  <c r="K38" i="46"/>
  <c r="K30" i="46"/>
  <c r="K22" i="46"/>
  <c r="K14" i="46"/>
  <c r="L254" i="11"/>
  <c r="L246" i="11"/>
  <c r="L238" i="11"/>
  <c r="L230" i="11"/>
  <c r="L222" i="11"/>
  <c r="L214" i="11"/>
  <c r="L206" i="11"/>
  <c r="L198" i="11"/>
  <c r="L190" i="11"/>
  <c r="L182" i="11"/>
  <c r="L174" i="11"/>
  <c r="L166" i="11"/>
  <c r="L158" i="11"/>
  <c r="L150" i="11"/>
  <c r="L142" i="11"/>
  <c r="L134" i="11"/>
  <c r="L126" i="11"/>
  <c r="L118" i="11"/>
  <c r="L110" i="11"/>
  <c r="L102" i="11"/>
  <c r="L94" i="11"/>
  <c r="L86" i="11"/>
  <c r="L78" i="11"/>
  <c r="L70" i="11"/>
  <c r="L62" i="11"/>
  <c r="L54" i="11"/>
  <c r="L46" i="11"/>
  <c r="L38" i="11"/>
  <c r="L30" i="11"/>
  <c r="L22" i="11"/>
  <c r="L14" i="11"/>
  <c r="K244" i="71"/>
  <c r="K212" i="71"/>
  <c r="K180" i="71"/>
  <c r="K148" i="71"/>
  <c r="K116" i="71"/>
  <c r="K84" i="71"/>
  <c r="K55" i="71"/>
  <c r="K39" i="71"/>
  <c r="K23" i="71"/>
  <c r="L255" i="59"/>
  <c r="L239" i="59"/>
  <c r="L223" i="59"/>
  <c r="L207" i="59"/>
  <c r="L191" i="59"/>
  <c r="L175" i="59"/>
  <c r="L159" i="59"/>
  <c r="L143" i="59"/>
  <c r="L127" i="59"/>
  <c r="L111" i="59"/>
  <c r="L95" i="59"/>
  <c r="L79" i="59"/>
  <c r="L63" i="59"/>
  <c r="L47" i="59"/>
  <c r="L31" i="59"/>
  <c r="L15" i="59"/>
  <c r="K245" i="46"/>
  <c r="K229" i="46"/>
  <c r="K213" i="46"/>
  <c r="K197" i="46"/>
  <c r="K181" i="46"/>
  <c r="K165" i="46"/>
  <c r="K149" i="46"/>
  <c r="K133" i="46"/>
  <c r="K117" i="46"/>
  <c r="K101" i="46"/>
  <c r="K86" i="46"/>
  <c r="K77" i="46"/>
  <c r="K69" i="46"/>
  <c r="K61" i="46"/>
  <c r="K53" i="46"/>
  <c r="K45" i="46"/>
  <c r="K37" i="46"/>
  <c r="K29" i="46"/>
  <c r="K21" i="46"/>
  <c r="K13" i="46"/>
  <c r="L253" i="11"/>
  <c r="L245" i="11"/>
  <c r="L237" i="11"/>
  <c r="L229" i="11"/>
  <c r="L221" i="11"/>
  <c r="L213" i="11"/>
  <c r="L205" i="11"/>
  <c r="L197" i="11"/>
  <c r="L189" i="11"/>
  <c r="L181" i="11"/>
  <c r="L173" i="11"/>
  <c r="L165" i="11"/>
  <c r="L157" i="11"/>
  <c r="L149" i="11"/>
  <c r="L141" i="11"/>
  <c r="L133" i="11"/>
  <c r="L125" i="11"/>
  <c r="L117" i="11"/>
  <c r="L109" i="11"/>
  <c r="L101" i="11"/>
  <c r="L93" i="11"/>
  <c r="L85" i="11"/>
  <c r="L77" i="11"/>
  <c r="L69" i="11"/>
  <c r="L61" i="11"/>
  <c r="L53" i="11"/>
  <c r="L45" i="11"/>
  <c r="L37" i="11"/>
  <c r="L29" i="11"/>
  <c r="L21" i="11"/>
  <c r="L13" i="11"/>
  <c r="K238" i="71"/>
  <c r="K206" i="71"/>
  <c r="K174" i="71"/>
  <c r="K142" i="71"/>
  <c r="K110" i="71"/>
  <c r="K78" i="71"/>
  <c r="K54" i="71"/>
  <c r="K38" i="71"/>
  <c r="K22" i="71"/>
  <c r="L254" i="59"/>
  <c r="L238" i="59"/>
  <c r="L222" i="59"/>
  <c r="L206" i="59"/>
  <c r="L190" i="59"/>
  <c r="L174" i="59"/>
  <c r="L158" i="59"/>
  <c r="L142" i="59"/>
  <c r="L126" i="59"/>
  <c r="L110" i="59"/>
  <c r="L94" i="59"/>
  <c r="L78" i="59"/>
  <c r="L62" i="59"/>
  <c r="L46" i="59"/>
  <c r="L30" i="59"/>
  <c r="L14" i="59"/>
  <c r="K244" i="46"/>
  <c r="K228" i="46"/>
  <c r="K212" i="46"/>
  <c r="K196" i="46"/>
  <c r="K180" i="46"/>
  <c r="K164" i="46"/>
  <c r="K148" i="46"/>
  <c r="K132" i="46"/>
  <c r="K116" i="46"/>
  <c r="K100" i="46"/>
  <c r="K85" i="46"/>
  <c r="K76" i="46"/>
  <c r="K68" i="46"/>
  <c r="K60" i="46"/>
  <c r="K52" i="46"/>
  <c r="K44" i="46"/>
  <c r="K36" i="46"/>
  <c r="K28" i="46"/>
  <c r="K20" i="46"/>
  <c r="K12" i="46"/>
  <c r="L252" i="11"/>
  <c r="L244" i="11"/>
  <c r="L236" i="11"/>
  <c r="L228" i="11"/>
  <c r="L220" i="11"/>
  <c r="L212" i="11"/>
  <c r="L204" i="11"/>
  <c r="L196" i="11"/>
  <c r="L188" i="11"/>
  <c r="L180" i="11"/>
  <c r="L172" i="11"/>
  <c r="L164" i="11"/>
  <c r="L156" i="11"/>
  <c r="L148" i="11"/>
  <c r="L140" i="11"/>
  <c r="L132" i="11"/>
  <c r="L124" i="11"/>
  <c r="L116" i="11"/>
  <c r="L108" i="11"/>
  <c r="L100" i="11"/>
  <c r="L92" i="11"/>
  <c r="L84" i="11"/>
  <c r="L76" i="11"/>
  <c r="L68" i="11"/>
  <c r="L60" i="11"/>
  <c r="L52" i="11"/>
  <c r="L44" i="11"/>
  <c r="L36" i="11"/>
  <c r="L28" i="11"/>
  <c r="L20" i="11"/>
  <c r="L12" i="11"/>
  <c r="K236" i="71"/>
  <c r="K204" i="71"/>
  <c r="K172" i="71"/>
  <c r="K140" i="71"/>
  <c r="K108" i="71"/>
  <c r="K76" i="71"/>
  <c r="K52" i="71"/>
  <c r="K36" i="71"/>
  <c r="K20" i="71"/>
  <c r="L252" i="59"/>
  <c r="L236" i="59"/>
  <c r="L220" i="59"/>
  <c r="L204" i="59"/>
  <c r="L188" i="59"/>
  <c r="L172" i="59"/>
  <c r="L156" i="59"/>
  <c r="L140" i="59"/>
  <c r="L124" i="59"/>
  <c r="L108" i="59"/>
  <c r="L92" i="59"/>
  <c r="L76" i="59"/>
  <c r="L60" i="59"/>
  <c r="L44" i="59"/>
  <c r="L28" i="59"/>
  <c r="L12" i="59"/>
  <c r="K242" i="46"/>
  <c r="K226" i="46"/>
  <c r="K210" i="46"/>
  <c r="K194" i="46"/>
  <c r="K178" i="46"/>
  <c r="K162" i="46"/>
  <c r="K146" i="46"/>
  <c r="K130" i="46"/>
  <c r="K114" i="46"/>
  <c r="K98" i="46"/>
  <c r="K84" i="46"/>
  <c r="K75" i="46"/>
  <c r="K67" i="46"/>
  <c r="K59" i="46"/>
  <c r="K51" i="46"/>
  <c r="K43" i="46"/>
  <c r="K35" i="46"/>
  <c r="K27" i="46"/>
  <c r="K19" i="46"/>
  <c r="K11" i="46"/>
  <c r="L251" i="11"/>
  <c r="L243" i="11"/>
  <c r="L235" i="11"/>
  <c r="L227" i="11"/>
  <c r="L219" i="11"/>
  <c r="L211" i="11"/>
  <c r="L203" i="11"/>
  <c r="L195" i="11"/>
  <c r="L187" i="11"/>
  <c r="L179" i="11"/>
  <c r="L171" i="11"/>
  <c r="L163" i="11"/>
  <c r="L155" i="11"/>
  <c r="L147" i="11"/>
  <c r="L139" i="11"/>
  <c r="L131" i="11"/>
  <c r="L123" i="11"/>
  <c r="L115" i="11"/>
  <c r="L107" i="11"/>
  <c r="L99" i="11"/>
  <c r="L91" i="11"/>
  <c r="L83" i="11"/>
  <c r="L75" i="11"/>
  <c r="L67" i="11"/>
  <c r="L59" i="11"/>
  <c r="L51" i="11"/>
  <c r="L43" i="11"/>
  <c r="L35" i="11"/>
  <c r="L27" i="11"/>
  <c r="L19" i="11"/>
  <c r="L11" i="11"/>
  <c r="K230" i="71"/>
  <c r="K198" i="71"/>
  <c r="K166" i="71"/>
  <c r="K134" i="71"/>
  <c r="K102" i="71"/>
  <c r="K70" i="71"/>
  <c r="K51" i="71"/>
  <c r="K35" i="71"/>
  <c r="K19" i="71"/>
  <c r="L251" i="59"/>
  <c r="L235" i="59"/>
  <c r="L219" i="59"/>
  <c r="L203" i="59"/>
  <c r="L187" i="59"/>
  <c r="L171" i="59"/>
  <c r="L155" i="59"/>
  <c r="L139" i="59"/>
  <c r="L123" i="59"/>
  <c r="L107" i="59"/>
  <c r="L91" i="59"/>
  <c r="L75" i="59"/>
  <c r="L59" i="59"/>
  <c r="L43" i="59"/>
  <c r="L27" i="59"/>
  <c r="L11" i="59"/>
  <c r="K241" i="46"/>
  <c r="K225" i="46"/>
  <c r="K209" i="46"/>
  <c r="K193" i="46"/>
  <c r="K177" i="46"/>
  <c r="K161" i="46"/>
  <c r="K145" i="46"/>
  <c r="K129" i="46"/>
  <c r="K113" i="46"/>
  <c r="K97" i="46"/>
  <c r="K83" i="46"/>
  <c r="K74" i="46"/>
  <c r="K66" i="46"/>
  <c r="K58" i="46"/>
  <c r="K50" i="46"/>
  <c r="K42" i="46"/>
  <c r="K34" i="46"/>
  <c r="K26" i="46"/>
  <c r="K18" i="46"/>
  <c r="L258" i="11"/>
  <c r="L250" i="11"/>
  <c r="L242" i="11"/>
  <c r="L234" i="11"/>
  <c r="L226" i="11"/>
  <c r="L218" i="11"/>
  <c r="L210" i="11"/>
  <c r="L202" i="11"/>
  <c r="L194" i="11"/>
  <c r="L186" i="11"/>
  <c r="L178" i="11"/>
  <c r="L170" i="11"/>
  <c r="L162" i="11"/>
  <c r="L154" i="11"/>
  <c r="L146" i="11"/>
  <c r="L138" i="11"/>
  <c r="L130" i="11"/>
  <c r="L122" i="11"/>
  <c r="L114" i="11"/>
  <c r="L106" i="11"/>
  <c r="L98" i="11"/>
  <c r="L90" i="11"/>
  <c r="L82" i="11"/>
  <c r="L74" i="11"/>
  <c r="L66" i="11"/>
  <c r="L58" i="11"/>
  <c r="L50" i="11"/>
  <c r="L42" i="11"/>
  <c r="L34" i="11"/>
  <c r="L26" i="11"/>
  <c r="L18" i="11"/>
  <c r="K228" i="71"/>
  <c r="K196" i="71"/>
  <c r="K164" i="71"/>
  <c r="K132" i="71"/>
  <c r="K100" i="71"/>
  <c r="K68" i="71"/>
  <c r="K47" i="71"/>
  <c r="K31" i="71"/>
  <c r="K15" i="71"/>
  <c r="L247" i="59"/>
  <c r="L231" i="59"/>
  <c r="L215" i="59"/>
  <c r="L199" i="59"/>
  <c r="L183" i="59"/>
  <c r="L167" i="59"/>
  <c r="L151" i="59"/>
  <c r="L135" i="59"/>
  <c r="L119" i="59"/>
  <c r="L103" i="59"/>
  <c r="L87" i="59"/>
  <c r="L71" i="59"/>
  <c r="L55" i="59"/>
  <c r="L39" i="59"/>
  <c r="L23" i="59"/>
  <c r="K253" i="46"/>
  <c r="K237" i="46"/>
  <c r="K221" i="46"/>
  <c r="K205" i="46"/>
  <c r="K189" i="46"/>
  <c r="K173" i="46"/>
  <c r="K157" i="46"/>
  <c r="K141" i="46"/>
  <c r="K125" i="46"/>
  <c r="K109" i="46"/>
  <c r="K93" i="46"/>
  <c r="K82" i="46"/>
  <c r="K73" i="46"/>
  <c r="K65" i="46"/>
  <c r="K57" i="46"/>
  <c r="K49" i="46"/>
  <c r="K41" i="46"/>
  <c r="K33" i="46"/>
  <c r="K25" i="46"/>
  <c r="K17" i="46"/>
  <c r="L257" i="11"/>
  <c r="L249" i="11"/>
  <c r="L241" i="11"/>
  <c r="L233" i="11"/>
  <c r="L225" i="11"/>
  <c r="L217" i="11"/>
  <c r="L209" i="11"/>
  <c r="L201" i="11"/>
  <c r="L193" i="11"/>
  <c r="L185" i="11"/>
  <c r="L177" i="11"/>
  <c r="L169" i="11"/>
  <c r="L161" i="11"/>
  <c r="L153" i="11"/>
  <c r="L145" i="11"/>
  <c r="L137" i="11"/>
  <c r="L129" i="11"/>
  <c r="L121" i="11"/>
  <c r="L113" i="11"/>
  <c r="L105" i="11"/>
  <c r="L97" i="11"/>
  <c r="L89" i="11"/>
  <c r="L81" i="11"/>
  <c r="L73" i="11"/>
  <c r="L65" i="11"/>
  <c r="L57" i="11"/>
  <c r="L49" i="11"/>
  <c r="L41" i="11"/>
  <c r="L33" i="11"/>
  <c r="L25" i="11"/>
  <c r="L17" i="11"/>
  <c r="K254" i="71"/>
  <c r="K222" i="71"/>
  <c r="K190" i="71"/>
  <c r="K158" i="71"/>
  <c r="K126" i="71"/>
  <c r="K94" i="71"/>
  <c r="K63" i="71"/>
  <c r="K46" i="71"/>
  <c r="K30" i="71"/>
  <c r="K14" i="71"/>
  <c r="L246" i="59"/>
  <c r="L230" i="59"/>
  <c r="L214" i="59"/>
  <c r="L198" i="59"/>
  <c r="L182" i="59"/>
  <c r="L166" i="59"/>
  <c r="L150" i="59"/>
  <c r="L134" i="59"/>
  <c r="L118" i="59"/>
  <c r="L102" i="59"/>
  <c r="L86" i="59"/>
  <c r="L70" i="59"/>
  <c r="L54" i="59"/>
  <c r="L38" i="59"/>
  <c r="L22" i="59"/>
  <c r="K252" i="46"/>
  <c r="K236" i="46"/>
  <c r="K220" i="46"/>
  <c r="K204" i="46"/>
  <c r="K188" i="46"/>
  <c r="K172" i="46"/>
  <c r="K156" i="46"/>
  <c r="K140" i="46"/>
  <c r="K124" i="46"/>
  <c r="K108" i="46"/>
  <c r="K92" i="46"/>
  <c r="K81" i="46"/>
  <c r="K72" i="46"/>
  <c r="K64" i="46"/>
  <c r="K56" i="46"/>
  <c r="K48" i="46"/>
  <c r="K40" i="46"/>
  <c r="K32" i="46"/>
  <c r="K24" i="46"/>
  <c r="K16" i="46"/>
  <c r="L256" i="11"/>
  <c r="L248" i="11"/>
  <c r="L240" i="11"/>
  <c r="L232" i="11"/>
  <c r="L224" i="11"/>
  <c r="L216" i="11"/>
  <c r="L208" i="11"/>
  <c r="L200" i="11"/>
  <c r="L192" i="11"/>
  <c r="L184" i="11"/>
  <c r="L176" i="11"/>
  <c r="L168" i="11"/>
  <c r="L160" i="11"/>
  <c r="L152" i="11"/>
  <c r="L144" i="11"/>
  <c r="L136" i="11"/>
  <c r="L128" i="11"/>
  <c r="L120" i="11"/>
  <c r="L112" i="11"/>
  <c r="L104" i="11"/>
  <c r="L96" i="11"/>
  <c r="L88" i="11"/>
  <c r="L80" i="11"/>
  <c r="L72" i="11"/>
  <c r="L64" i="11"/>
  <c r="L56" i="11"/>
  <c r="L48" i="11"/>
  <c r="L40" i="11"/>
  <c r="L32" i="11"/>
  <c r="L24" i="11"/>
  <c r="L16" i="11"/>
  <c r="AN38" i="67" a="1"/>
  <c r="AN38" i="67" s="1"/>
  <c r="B39" i="69"/>
  <c r="L39" i="69" s="1"/>
  <c r="D37" i="69"/>
  <c r="E37" i="69" s="1"/>
  <c r="F37" i="69" s="1"/>
  <c r="G37" i="69" s="1"/>
  <c r="H37" i="69" s="1"/>
  <c r="I37" i="69" s="1"/>
  <c r="J37" i="69" s="1"/>
  <c r="K37" i="69" s="1"/>
  <c r="M37" i="69" s="1"/>
  <c r="N37" i="69"/>
  <c r="AF37" i="69" s="1"/>
  <c r="P37" i="69"/>
  <c r="AE36" i="69"/>
  <c r="R36" i="69"/>
  <c r="S36" i="69" s="1"/>
  <c r="Y36" i="69" s="1"/>
  <c r="AB36" i="69" s="1"/>
  <c r="AC36" i="69" s="1"/>
  <c r="AD36" i="69" s="1"/>
  <c r="Q36" i="69"/>
  <c r="U36" i="69"/>
  <c r="C38" i="69"/>
  <c r="AO38" i="69" s="1"/>
  <c r="O38" i="69"/>
  <c r="AN37" i="63" a="1"/>
  <c r="AN37" i="63" s="1"/>
  <c r="B38" i="65"/>
  <c r="L38" i="65" s="1"/>
  <c r="U35" i="65"/>
  <c r="Q35" i="65"/>
  <c r="R35" i="65"/>
  <c r="S35" i="65" s="1"/>
  <c r="Y35" i="65" s="1"/>
  <c r="AB35" i="65" s="1"/>
  <c r="AC35" i="65" s="1"/>
  <c r="AD35" i="65" s="1"/>
  <c r="P36" i="65"/>
  <c r="D36" i="65"/>
  <c r="E36" i="65" s="1"/>
  <c r="F36" i="65" s="1"/>
  <c r="G36" i="65" s="1"/>
  <c r="H36" i="65" s="1"/>
  <c r="I36" i="65" s="1"/>
  <c r="J36" i="65" s="1"/>
  <c r="K36" i="65" s="1"/>
  <c r="M36" i="65" s="1"/>
  <c r="C37" i="65"/>
  <c r="AM37" i="65" s="1"/>
  <c r="O37" i="65"/>
  <c r="AA51" i="53" l="1"/>
  <c r="AB51" i="53"/>
  <c r="AF36" i="65"/>
  <c r="AE36" i="65"/>
  <c r="AE53" i="57"/>
  <c r="R53" i="57"/>
  <c r="AE53" i="53"/>
  <c r="R53" i="53"/>
  <c r="AB50" i="57"/>
  <c r="AF50" i="57"/>
  <c r="AA50" i="57"/>
  <c r="AG36" i="69"/>
  <c r="AG35" i="65"/>
  <c r="U12" i="59"/>
  <c r="V12" i="59"/>
  <c r="V15" i="59"/>
  <c r="U15" i="59"/>
  <c r="V13" i="59"/>
  <c r="U13" i="59"/>
  <c r="V14" i="59"/>
  <c r="U14" i="59"/>
  <c r="V150" i="59"/>
  <c r="U150" i="59"/>
  <c r="V87" i="59"/>
  <c r="U87" i="59"/>
  <c r="V215" i="59"/>
  <c r="U215" i="59"/>
  <c r="V43" i="59"/>
  <c r="U43" i="59"/>
  <c r="V171" i="59"/>
  <c r="U171" i="59"/>
  <c r="V108" i="59"/>
  <c r="U108" i="59"/>
  <c r="V236" i="59"/>
  <c r="U236" i="59"/>
  <c r="V46" i="59"/>
  <c r="U46" i="59"/>
  <c r="V174" i="59"/>
  <c r="U174" i="59"/>
  <c r="V111" i="59"/>
  <c r="U111" i="59"/>
  <c r="V239" i="59"/>
  <c r="U239" i="59"/>
  <c r="V51" i="59"/>
  <c r="U51" i="59"/>
  <c r="V179" i="59"/>
  <c r="U179" i="59"/>
  <c r="V116" i="59"/>
  <c r="U116" i="59"/>
  <c r="V244" i="59"/>
  <c r="U244" i="59"/>
  <c r="V16" i="59"/>
  <c r="U16" i="59"/>
  <c r="U80" i="59"/>
  <c r="V80" i="59"/>
  <c r="V144" i="59"/>
  <c r="U144" i="59"/>
  <c r="U208" i="59"/>
  <c r="V208" i="59"/>
  <c r="U49" i="59"/>
  <c r="V49" i="59"/>
  <c r="U113" i="59"/>
  <c r="V113" i="59"/>
  <c r="V177" i="59"/>
  <c r="U177" i="59"/>
  <c r="V241" i="59"/>
  <c r="U241" i="59"/>
  <c r="V18" i="59"/>
  <c r="U18" i="59"/>
  <c r="V82" i="59"/>
  <c r="U82" i="59"/>
  <c r="V146" i="59"/>
  <c r="U146" i="59"/>
  <c r="V210" i="59"/>
  <c r="U210" i="59"/>
  <c r="U53" i="59"/>
  <c r="V53" i="59"/>
  <c r="U117" i="59"/>
  <c r="V117" i="59"/>
  <c r="V181" i="59"/>
  <c r="U181" i="59"/>
  <c r="V245" i="59"/>
  <c r="U245" i="59"/>
  <c r="V86" i="59"/>
  <c r="U86" i="59"/>
  <c r="V166" i="59"/>
  <c r="U166" i="59"/>
  <c r="U103" i="59"/>
  <c r="V103" i="59"/>
  <c r="U231" i="59"/>
  <c r="V231" i="59"/>
  <c r="V59" i="59"/>
  <c r="U59" i="59"/>
  <c r="U187" i="59"/>
  <c r="V187" i="59"/>
  <c r="V124" i="59"/>
  <c r="U124" i="59"/>
  <c r="V252" i="59"/>
  <c r="U252" i="59"/>
  <c r="V62" i="59"/>
  <c r="U62" i="59"/>
  <c r="V190" i="59"/>
  <c r="U190" i="59"/>
  <c r="V127" i="59"/>
  <c r="U127" i="59"/>
  <c r="V67" i="59"/>
  <c r="U67" i="59"/>
  <c r="V195" i="59"/>
  <c r="U195" i="59"/>
  <c r="V132" i="59"/>
  <c r="U132" i="59"/>
  <c r="V24" i="59"/>
  <c r="U24" i="59"/>
  <c r="U88" i="59"/>
  <c r="V88" i="59"/>
  <c r="U152" i="59"/>
  <c r="V152" i="59"/>
  <c r="U216" i="59"/>
  <c r="V216" i="59"/>
  <c r="U57" i="59"/>
  <c r="V57" i="59"/>
  <c r="U121" i="59"/>
  <c r="V121" i="59"/>
  <c r="V185" i="59"/>
  <c r="U185" i="59"/>
  <c r="V249" i="59"/>
  <c r="U249" i="59"/>
  <c r="U26" i="59"/>
  <c r="V26" i="59"/>
  <c r="U90" i="59"/>
  <c r="V90" i="59"/>
  <c r="U154" i="59"/>
  <c r="V154" i="59"/>
  <c r="V218" i="59"/>
  <c r="U218" i="59"/>
  <c r="U61" i="59"/>
  <c r="V61" i="59"/>
  <c r="U125" i="59"/>
  <c r="V125" i="59"/>
  <c r="V189" i="59"/>
  <c r="U189" i="59"/>
  <c r="V253" i="59"/>
  <c r="U253" i="59"/>
  <c r="V38" i="59"/>
  <c r="U38" i="59"/>
  <c r="V54" i="59"/>
  <c r="U54" i="59"/>
  <c r="V182" i="59"/>
  <c r="U182" i="59"/>
  <c r="V119" i="59"/>
  <c r="U119" i="59"/>
  <c r="V247" i="59"/>
  <c r="U247" i="59"/>
  <c r="V75" i="59"/>
  <c r="U75" i="59"/>
  <c r="V203" i="59"/>
  <c r="U203" i="59"/>
  <c r="V140" i="59"/>
  <c r="U140" i="59"/>
  <c r="V78" i="59"/>
  <c r="U78" i="59"/>
  <c r="V206" i="59"/>
  <c r="U206" i="59"/>
  <c r="V143" i="59"/>
  <c r="U143" i="59"/>
  <c r="V83" i="59"/>
  <c r="U83" i="59"/>
  <c r="V211" i="59"/>
  <c r="U211" i="59"/>
  <c r="V20" i="59"/>
  <c r="U20" i="59"/>
  <c r="V148" i="59"/>
  <c r="U148" i="59"/>
  <c r="V32" i="59"/>
  <c r="U32" i="59"/>
  <c r="U96" i="59"/>
  <c r="V96" i="59"/>
  <c r="U160" i="59"/>
  <c r="V160" i="59"/>
  <c r="U224" i="59"/>
  <c r="V224" i="59"/>
  <c r="U65" i="59"/>
  <c r="V65" i="59"/>
  <c r="U129" i="59"/>
  <c r="V129" i="59"/>
  <c r="V193" i="59"/>
  <c r="U193" i="59"/>
  <c r="U257" i="59"/>
  <c r="V257" i="59"/>
  <c r="V34" i="59"/>
  <c r="U34" i="59"/>
  <c r="V98" i="59"/>
  <c r="U98" i="59"/>
  <c r="V162" i="59"/>
  <c r="U162" i="59"/>
  <c r="V226" i="59"/>
  <c r="U226" i="59"/>
  <c r="U69" i="59"/>
  <c r="V69" i="59"/>
  <c r="V133" i="59"/>
  <c r="U133" i="59"/>
  <c r="U197" i="59"/>
  <c r="V197" i="59"/>
  <c r="U22" i="59"/>
  <c r="V22" i="59"/>
  <c r="V70" i="59"/>
  <c r="U70" i="59"/>
  <c r="V198" i="59"/>
  <c r="U198" i="59"/>
  <c r="U135" i="59"/>
  <c r="V135" i="59"/>
  <c r="U91" i="59"/>
  <c r="V91" i="59"/>
  <c r="V219" i="59"/>
  <c r="U219" i="59"/>
  <c r="V28" i="59"/>
  <c r="U28" i="59"/>
  <c r="V156" i="59"/>
  <c r="U156" i="59"/>
  <c r="V94" i="59"/>
  <c r="U94" i="59"/>
  <c r="V222" i="59"/>
  <c r="U222" i="59"/>
  <c r="U31" i="59"/>
  <c r="V31" i="59"/>
  <c r="V159" i="59"/>
  <c r="U159" i="59"/>
  <c r="V99" i="59"/>
  <c r="U99" i="59"/>
  <c r="V227" i="59"/>
  <c r="U227" i="59"/>
  <c r="V36" i="59"/>
  <c r="U36" i="59"/>
  <c r="V164" i="59"/>
  <c r="U164" i="59"/>
  <c r="V40" i="59"/>
  <c r="U40" i="59"/>
  <c r="U104" i="59"/>
  <c r="V104" i="59"/>
  <c r="U168" i="59"/>
  <c r="V168" i="59"/>
  <c r="U232" i="59"/>
  <c r="V232" i="59"/>
  <c r="U73" i="59"/>
  <c r="V73" i="59"/>
  <c r="U137" i="59"/>
  <c r="V137" i="59"/>
  <c r="V201" i="59"/>
  <c r="U201" i="59"/>
  <c r="U42" i="59"/>
  <c r="V42" i="59"/>
  <c r="V106" i="59"/>
  <c r="U106" i="59"/>
  <c r="V170" i="59"/>
  <c r="U170" i="59"/>
  <c r="V234" i="59"/>
  <c r="U234" i="59"/>
  <c r="U77" i="59"/>
  <c r="V77" i="59"/>
  <c r="U141" i="59"/>
  <c r="V141" i="59"/>
  <c r="V205" i="59"/>
  <c r="U205" i="59"/>
  <c r="V214" i="59"/>
  <c r="U214" i="59"/>
  <c r="V23" i="59"/>
  <c r="U23" i="59"/>
  <c r="V151" i="59"/>
  <c r="U151" i="59"/>
  <c r="V107" i="59"/>
  <c r="U107" i="59"/>
  <c r="V235" i="59"/>
  <c r="U235" i="59"/>
  <c r="V44" i="59"/>
  <c r="U44" i="59"/>
  <c r="V172" i="59"/>
  <c r="U172" i="59"/>
  <c r="V110" i="59"/>
  <c r="U110" i="59"/>
  <c r="V238" i="59"/>
  <c r="U238" i="59"/>
  <c r="V47" i="59"/>
  <c r="U47" i="59"/>
  <c r="V175" i="59"/>
  <c r="U175" i="59"/>
  <c r="V115" i="59"/>
  <c r="U115" i="59"/>
  <c r="V243" i="59"/>
  <c r="U243" i="59"/>
  <c r="V52" i="59"/>
  <c r="U52" i="59"/>
  <c r="U180" i="59"/>
  <c r="V180" i="59"/>
  <c r="V48" i="59"/>
  <c r="U48" i="59"/>
  <c r="U112" i="59"/>
  <c r="V112" i="59"/>
  <c r="V176" i="59"/>
  <c r="U176" i="59"/>
  <c r="V240" i="59"/>
  <c r="U240" i="59"/>
  <c r="V17" i="59"/>
  <c r="U17" i="59"/>
  <c r="U81" i="59"/>
  <c r="V81" i="59"/>
  <c r="U145" i="59"/>
  <c r="V145" i="59"/>
  <c r="V209" i="59"/>
  <c r="U209" i="59"/>
  <c r="U50" i="59"/>
  <c r="V50" i="59"/>
  <c r="V114" i="59"/>
  <c r="U114" i="59"/>
  <c r="V178" i="59"/>
  <c r="U178" i="59"/>
  <c r="V242" i="59"/>
  <c r="U242" i="59"/>
  <c r="V21" i="59"/>
  <c r="U21" i="59"/>
  <c r="U85" i="59"/>
  <c r="V85" i="59"/>
  <c r="U149" i="59"/>
  <c r="V149" i="59"/>
  <c r="V213" i="59"/>
  <c r="U213" i="59"/>
  <c r="V230" i="59"/>
  <c r="U230" i="59"/>
  <c r="V39" i="59"/>
  <c r="U39" i="59"/>
  <c r="V167" i="59"/>
  <c r="U167" i="59"/>
  <c r="V123" i="59"/>
  <c r="U123" i="59"/>
  <c r="V251" i="59"/>
  <c r="U251" i="59"/>
  <c r="V60" i="59"/>
  <c r="U60" i="59"/>
  <c r="V188" i="59"/>
  <c r="U188" i="59"/>
  <c r="V126" i="59"/>
  <c r="U126" i="59"/>
  <c r="V254" i="59"/>
  <c r="U254" i="59"/>
  <c r="U63" i="59"/>
  <c r="V63" i="59"/>
  <c r="V191" i="59"/>
  <c r="U191" i="59"/>
  <c r="V131" i="59"/>
  <c r="U131" i="59"/>
  <c r="V68" i="59"/>
  <c r="U68" i="59"/>
  <c r="V196" i="59"/>
  <c r="U196" i="59"/>
  <c r="V56" i="59"/>
  <c r="U56" i="59"/>
  <c r="U120" i="59"/>
  <c r="V120" i="59"/>
  <c r="U184" i="59"/>
  <c r="V184" i="59"/>
  <c r="U248" i="59"/>
  <c r="V248" i="59"/>
  <c r="V25" i="59"/>
  <c r="U25" i="59"/>
  <c r="U89" i="59"/>
  <c r="V89" i="59"/>
  <c r="U153" i="59"/>
  <c r="V153" i="59"/>
  <c r="V217" i="59"/>
  <c r="U217" i="59"/>
  <c r="V58" i="59"/>
  <c r="U58" i="59"/>
  <c r="V122" i="59"/>
  <c r="U122" i="59"/>
  <c r="V186" i="59"/>
  <c r="U186" i="59"/>
  <c r="U250" i="59"/>
  <c r="V250" i="59"/>
  <c r="V29" i="59"/>
  <c r="U29" i="59"/>
  <c r="U93" i="59"/>
  <c r="V93" i="59"/>
  <c r="V157" i="59"/>
  <c r="U157" i="59"/>
  <c r="V221" i="59"/>
  <c r="U221" i="59"/>
  <c r="V102" i="59"/>
  <c r="U102" i="59"/>
  <c r="V246" i="59"/>
  <c r="U246" i="59"/>
  <c r="V55" i="59"/>
  <c r="U55" i="59"/>
  <c r="V183" i="59"/>
  <c r="U183" i="59"/>
  <c r="V139" i="59"/>
  <c r="U139" i="59"/>
  <c r="V76" i="59"/>
  <c r="U76" i="59"/>
  <c r="V204" i="59"/>
  <c r="U204" i="59"/>
  <c r="V142" i="59"/>
  <c r="U142" i="59"/>
  <c r="V79" i="59"/>
  <c r="U79" i="59"/>
  <c r="V207" i="59"/>
  <c r="U207" i="59"/>
  <c r="V19" i="59"/>
  <c r="U19" i="59"/>
  <c r="V147" i="59"/>
  <c r="U147" i="59"/>
  <c r="V84" i="59"/>
  <c r="U84" i="59"/>
  <c r="U212" i="59"/>
  <c r="V212" i="59"/>
  <c r="V64" i="59"/>
  <c r="U64" i="59"/>
  <c r="U128" i="59"/>
  <c r="V128" i="59"/>
  <c r="U192" i="59"/>
  <c r="V192" i="59"/>
  <c r="V256" i="59"/>
  <c r="U256" i="59"/>
  <c r="U33" i="59"/>
  <c r="V33" i="59"/>
  <c r="U97" i="59"/>
  <c r="V97" i="59"/>
  <c r="V161" i="59"/>
  <c r="U161" i="59"/>
  <c r="V225" i="59"/>
  <c r="U225" i="59"/>
  <c r="V66" i="59"/>
  <c r="U66" i="59"/>
  <c r="V130" i="59"/>
  <c r="U130" i="59"/>
  <c r="V194" i="59"/>
  <c r="U194" i="59"/>
  <c r="V258" i="59"/>
  <c r="U258" i="59"/>
  <c r="V37" i="59"/>
  <c r="U37" i="59"/>
  <c r="U101" i="59"/>
  <c r="V101" i="59"/>
  <c r="V165" i="59"/>
  <c r="U165" i="59"/>
  <c r="U229" i="59"/>
  <c r="V229" i="59"/>
  <c r="V118" i="59"/>
  <c r="U118" i="59"/>
  <c r="V134" i="59"/>
  <c r="U134" i="59"/>
  <c r="V71" i="59"/>
  <c r="U71" i="59"/>
  <c r="V199" i="59"/>
  <c r="U199" i="59"/>
  <c r="V27" i="59"/>
  <c r="U27" i="59"/>
  <c r="V155" i="59"/>
  <c r="U155" i="59"/>
  <c r="V92" i="59"/>
  <c r="U92" i="59"/>
  <c r="V220" i="59"/>
  <c r="U220" i="59"/>
  <c r="U30" i="59"/>
  <c r="V30" i="59"/>
  <c r="V158" i="59"/>
  <c r="U158" i="59"/>
  <c r="V95" i="59"/>
  <c r="U95" i="59"/>
  <c r="V223" i="59"/>
  <c r="U223" i="59"/>
  <c r="U35" i="59"/>
  <c r="V35" i="59"/>
  <c r="V163" i="59"/>
  <c r="U163" i="59"/>
  <c r="V100" i="59"/>
  <c r="U100" i="59"/>
  <c r="V228" i="59"/>
  <c r="U228" i="59"/>
  <c r="V72" i="59"/>
  <c r="U72" i="59"/>
  <c r="U136" i="59"/>
  <c r="V136" i="59"/>
  <c r="U200" i="59"/>
  <c r="V200" i="59"/>
  <c r="U41" i="59"/>
  <c r="V41" i="59"/>
  <c r="U105" i="59"/>
  <c r="V105" i="59"/>
  <c r="V169" i="59"/>
  <c r="U169" i="59"/>
  <c r="V233" i="59"/>
  <c r="U233" i="59"/>
  <c r="U74" i="59"/>
  <c r="V74" i="59"/>
  <c r="V138" i="59"/>
  <c r="U138" i="59"/>
  <c r="V202" i="59"/>
  <c r="U202" i="59"/>
  <c r="U45" i="59"/>
  <c r="V45" i="59"/>
  <c r="U109" i="59"/>
  <c r="V109" i="59"/>
  <c r="V173" i="59"/>
  <c r="U173" i="59"/>
  <c r="V237" i="59"/>
  <c r="U237" i="59"/>
  <c r="U255" i="59"/>
  <c r="V255" i="59"/>
  <c r="X51" i="57"/>
  <c r="AX37" i="69"/>
  <c r="O54" i="57"/>
  <c r="AG54" i="57" s="1"/>
  <c r="L54" i="57"/>
  <c r="AC53" i="57"/>
  <c r="AJ53" i="57"/>
  <c r="AP53" i="57"/>
  <c r="AH36" i="65"/>
  <c r="AV36" i="65"/>
  <c r="AG53" i="53"/>
  <c r="AH53" i="53"/>
  <c r="AC53" i="53"/>
  <c r="AT53" i="53"/>
  <c r="N54" i="57"/>
  <c r="L54" i="53"/>
  <c r="N54" i="53"/>
  <c r="AH37" i="69"/>
  <c r="AD53" i="57"/>
  <c r="AD53" i="53"/>
  <c r="N37" i="65"/>
  <c r="X52" i="53"/>
  <c r="AF52" i="53" s="1"/>
  <c r="Q53" i="53"/>
  <c r="G54" i="53"/>
  <c r="D54" i="53"/>
  <c r="J54" i="53"/>
  <c r="AK53" i="52" a="1"/>
  <c r="AK53" i="52" s="1"/>
  <c r="B55" i="53" s="1"/>
  <c r="O55" i="53" s="1"/>
  <c r="H54" i="53"/>
  <c r="C54" i="53"/>
  <c r="E54" i="53"/>
  <c r="P54" i="53"/>
  <c r="K54" i="53"/>
  <c r="I54" i="53"/>
  <c r="F54" i="53"/>
  <c r="V81" i="11"/>
  <c r="U81" i="11"/>
  <c r="V91" i="11"/>
  <c r="U91" i="11"/>
  <c r="V252" i="11"/>
  <c r="U252" i="11"/>
  <c r="V29" i="11"/>
  <c r="U29" i="11"/>
  <c r="V190" i="11"/>
  <c r="U190" i="11"/>
  <c r="V120" i="11"/>
  <c r="U120" i="11"/>
  <c r="V153" i="11"/>
  <c r="U153" i="11"/>
  <c r="V194" i="11"/>
  <c r="U194" i="11"/>
  <c r="V227" i="11"/>
  <c r="U227" i="11"/>
  <c r="V132" i="11"/>
  <c r="U132" i="11"/>
  <c r="V165" i="11"/>
  <c r="U165" i="11"/>
  <c r="V198" i="11"/>
  <c r="U198" i="11"/>
  <c r="V167" i="11"/>
  <c r="U167" i="11"/>
  <c r="V16" i="11"/>
  <c r="U16" i="11"/>
  <c r="V80" i="11"/>
  <c r="U80" i="11"/>
  <c r="V144" i="11"/>
  <c r="U144" i="11"/>
  <c r="V208" i="11"/>
  <c r="U208" i="11"/>
  <c r="V49" i="11"/>
  <c r="U49" i="11"/>
  <c r="H126" i="22" s="1"/>
  <c r="V113" i="11"/>
  <c r="U113" i="11"/>
  <c r="V177" i="11"/>
  <c r="U177" i="11"/>
  <c r="V241" i="11"/>
  <c r="U241" i="11"/>
  <c r="V26" i="11"/>
  <c r="U26" i="11"/>
  <c r="U90" i="11"/>
  <c r="V90" i="11"/>
  <c r="V154" i="11"/>
  <c r="U154" i="11"/>
  <c r="V218" i="11"/>
  <c r="U218" i="11"/>
  <c r="V59" i="11"/>
  <c r="U59" i="11"/>
  <c r="V123" i="11"/>
  <c r="U123" i="11"/>
  <c r="V187" i="11"/>
  <c r="U187" i="11"/>
  <c r="V251" i="11"/>
  <c r="U251" i="11"/>
  <c r="V28" i="11"/>
  <c r="U28" i="11"/>
  <c r="V92" i="11"/>
  <c r="U92" i="11"/>
  <c r="V156" i="11"/>
  <c r="U156" i="11"/>
  <c r="V220" i="11"/>
  <c r="U220" i="11"/>
  <c r="V61" i="11"/>
  <c r="U61" i="11"/>
  <c r="V125" i="11"/>
  <c r="U125" i="11"/>
  <c r="V189" i="11"/>
  <c r="U189" i="11"/>
  <c r="V253" i="11"/>
  <c r="U253" i="11"/>
  <c r="V30" i="11"/>
  <c r="U30" i="11"/>
  <c r="V94" i="11"/>
  <c r="U94" i="11"/>
  <c r="V158" i="11"/>
  <c r="U158" i="11"/>
  <c r="V222" i="11"/>
  <c r="U222" i="11"/>
  <c r="U63" i="11"/>
  <c r="V63" i="11"/>
  <c r="V127" i="11"/>
  <c r="U127" i="11"/>
  <c r="V191" i="11"/>
  <c r="U191" i="11"/>
  <c r="U255" i="11"/>
  <c r="V255" i="11"/>
  <c r="V176" i="11"/>
  <c r="U176" i="11"/>
  <c r="U17" i="11"/>
  <c r="V17" i="11"/>
  <c r="V186" i="11"/>
  <c r="U186" i="11"/>
  <c r="V60" i="11"/>
  <c r="U60" i="11"/>
  <c r="H119" i="22" s="1"/>
  <c r="V221" i="11"/>
  <c r="U221" i="11"/>
  <c r="V95" i="11"/>
  <c r="U95" i="11"/>
  <c r="V56" i="11"/>
  <c r="U56" i="11"/>
  <c r="H121" i="22" s="1"/>
  <c r="V89" i="11"/>
  <c r="U89" i="11"/>
  <c r="U130" i="11"/>
  <c r="V130" i="11"/>
  <c r="V99" i="11"/>
  <c r="U99" i="11"/>
  <c r="V24" i="11"/>
  <c r="U24" i="11"/>
  <c r="V88" i="11"/>
  <c r="U88" i="11"/>
  <c r="V152" i="11"/>
  <c r="U152" i="11"/>
  <c r="V216" i="11"/>
  <c r="U216" i="11"/>
  <c r="V57" i="11"/>
  <c r="U57" i="11"/>
  <c r="H117" i="22" s="1"/>
  <c r="U121" i="11"/>
  <c r="V121" i="11"/>
  <c r="V185" i="11"/>
  <c r="U185" i="11"/>
  <c r="V249" i="11"/>
  <c r="U249" i="11"/>
  <c r="U34" i="11"/>
  <c r="V34" i="11"/>
  <c r="V98" i="11"/>
  <c r="U98" i="11"/>
  <c r="V162" i="11"/>
  <c r="U162" i="11"/>
  <c r="U226" i="11"/>
  <c r="V226" i="11"/>
  <c r="V67" i="11"/>
  <c r="U67" i="11"/>
  <c r="H127" i="22" s="1"/>
  <c r="V131" i="11"/>
  <c r="U131" i="11"/>
  <c r="V195" i="11"/>
  <c r="U195" i="11"/>
  <c r="V36" i="11"/>
  <c r="U36" i="11"/>
  <c r="V100" i="11"/>
  <c r="U100" i="11"/>
  <c r="V164" i="11"/>
  <c r="U164" i="11"/>
  <c r="V228" i="11"/>
  <c r="U228" i="11"/>
  <c r="V69" i="11"/>
  <c r="U69" i="11"/>
  <c r="V133" i="11"/>
  <c r="U133" i="11"/>
  <c r="V197" i="11"/>
  <c r="U197" i="11"/>
  <c r="V38" i="11"/>
  <c r="U38" i="11"/>
  <c r="V102" i="11"/>
  <c r="U102" i="11"/>
  <c r="V166" i="11"/>
  <c r="U166" i="11"/>
  <c r="V230" i="11"/>
  <c r="U230" i="11"/>
  <c r="V71" i="11"/>
  <c r="U71" i="11"/>
  <c r="V135" i="11"/>
  <c r="U135" i="11"/>
  <c r="V199" i="11"/>
  <c r="U199" i="11"/>
  <c r="V32" i="11"/>
  <c r="U32" i="11"/>
  <c r="V96" i="11"/>
  <c r="U96" i="11"/>
  <c r="V160" i="11"/>
  <c r="U160" i="11"/>
  <c r="V224" i="11"/>
  <c r="U224" i="11"/>
  <c r="V65" i="11"/>
  <c r="U65" i="11"/>
  <c r="V129" i="11"/>
  <c r="U129" i="11"/>
  <c r="V193" i="11"/>
  <c r="U193" i="11"/>
  <c r="V257" i="11"/>
  <c r="U257" i="11"/>
  <c r="U42" i="11"/>
  <c r="V42" i="11"/>
  <c r="U106" i="11"/>
  <c r="V106" i="11"/>
  <c r="U170" i="11"/>
  <c r="V170" i="11"/>
  <c r="U234" i="11"/>
  <c r="V234" i="11"/>
  <c r="V75" i="11"/>
  <c r="U75" i="11"/>
  <c r="V139" i="11"/>
  <c r="U139" i="11"/>
  <c r="V203" i="11"/>
  <c r="U203" i="11"/>
  <c r="V44" i="11"/>
  <c r="U44" i="11"/>
  <c r="V108" i="11"/>
  <c r="U108" i="11"/>
  <c r="V172" i="11"/>
  <c r="U172" i="11"/>
  <c r="V236" i="11"/>
  <c r="U236" i="11"/>
  <c r="V13" i="11"/>
  <c r="U13" i="11"/>
  <c r="V77" i="11"/>
  <c r="U77" i="11"/>
  <c r="V141" i="11"/>
  <c r="U141" i="11"/>
  <c r="V205" i="11"/>
  <c r="U205" i="11"/>
  <c r="V46" i="11"/>
  <c r="U46" i="11"/>
  <c r="V110" i="11"/>
  <c r="U110" i="11"/>
  <c r="V174" i="11"/>
  <c r="U174" i="11"/>
  <c r="V238" i="11"/>
  <c r="U238" i="11"/>
  <c r="V15" i="11"/>
  <c r="U15" i="11"/>
  <c r="V79" i="11"/>
  <c r="U79" i="11"/>
  <c r="V143" i="11"/>
  <c r="U143" i="11"/>
  <c r="V207" i="11"/>
  <c r="U207" i="11"/>
  <c r="V40" i="11"/>
  <c r="U40" i="11"/>
  <c r="V104" i="11"/>
  <c r="U104" i="11"/>
  <c r="V168" i="11"/>
  <c r="U168" i="11"/>
  <c r="V232" i="11"/>
  <c r="U232" i="11"/>
  <c r="V73" i="11"/>
  <c r="U73" i="11"/>
  <c r="V137" i="11"/>
  <c r="U137" i="11"/>
  <c r="V201" i="11"/>
  <c r="U201" i="11"/>
  <c r="V50" i="11"/>
  <c r="U50" i="11"/>
  <c r="H120" i="22" s="1"/>
  <c r="V114" i="11"/>
  <c r="U114" i="11"/>
  <c r="V178" i="11"/>
  <c r="U178" i="11"/>
  <c r="V242" i="11"/>
  <c r="U242" i="11"/>
  <c r="V19" i="11"/>
  <c r="U19" i="11"/>
  <c r="V83" i="11"/>
  <c r="U83" i="11"/>
  <c r="V147" i="11"/>
  <c r="U147" i="11"/>
  <c r="V211" i="11"/>
  <c r="U211" i="11"/>
  <c r="V52" i="11"/>
  <c r="U52" i="11"/>
  <c r="V116" i="11"/>
  <c r="U116" i="11"/>
  <c r="V180" i="11"/>
  <c r="U180" i="11"/>
  <c r="V244" i="11"/>
  <c r="U244" i="11"/>
  <c r="V21" i="11"/>
  <c r="U21" i="11"/>
  <c r="V85" i="11"/>
  <c r="U85" i="11"/>
  <c r="V149" i="11"/>
  <c r="U149" i="11"/>
  <c r="V213" i="11"/>
  <c r="U213" i="11"/>
  <c r="V54" i="11"/>
  <c r="U54" i="11"/>
  <c r="H122" i="22" s="1"/>
  <c r="V118" i="11"/>
  <c r="U118" i="11"/>
  <c r="V182" i="11"/>
  <c r="U182" i="11"/>
  <c r="V246" i="11"/>
  <c r="U246" i="11"/>
  <c r="V23" i="11"/>
  <c r="U23" i="11"/>
  <c r="V87" i="11"/>
  <c r="U87" i="11"/>
  <c r="V151" i="11"/>
  <c r="U151" i="11"/>
  <c r="V215" i="11"/>
  <c r="U215" i="11"/>
  <c r="Q53" i="57"/>
  <c r="V145" i="11"/>
  <c r="U145" i="11"/>
  <c r="U250" i="11"/>
  <c r="V250" i="11"/>
  <c r="V27" i="11"/>
  <c r="U27" i="11"/>
  <c r="V188" i="11"/>
  <c r="U188" i="11"/>
  <c r="V126" i="11"/>
  <c r="U126" i="11"/>
  <c r="U31" i="11"/>
  <c r="V31" i="11"/>
  <c r="T52" i="57"/>
  <c r="V48" i="11"/>
  <c r="U48" i="11"/>
  <c r="V209" i="11"/>
  <c r="U209" i="11"/>
  <c r="V155" i="11"/>
  <c r="U155" i="11"/>
  <c r="V93" i="11"/>
  <c r="U93" i="11"/>
  <c r="V254" i="11"/>
  <c r="U254" i="11"/>
  <c r="V223" i="11"/>
  <c r="U223" i="11"/>
  <c r="V184" i="11"/>
  <c r="U184" i="11"/>
  <c r="V217" i="11"/>
  <c r="U217" i="11"/>
  <c r="V35" i="11"/>
  <c r="U35" i="11"/>
  <c r="V196" i="11"/>
  <c r="U196" i="11"/>
  <c r="V229" i="11"/>
  <c r="U229" i="11"/>
  <c r="V39" i="11"/>
  <c r="U39" i="11"/>
  <c r="E54" i="57"/>
  <c r="K54" i="57"/>
  <c r="I54" i="57"/>
  <c r="H54" i="57"/>
  <c r="G54" i="57"/>
  <c r="D54" i="57"/>
  <c r="C54" i="57"/>
  <c r="M54" i="57" s="1"/>
  <c r="P54" i="57"/>
  <c r="F54" i="57"/>
  <c r="J54" i="57"/>
  <c r="V240" i="11"/>
  <c r="U240" i="11"/>
  <c r="V122" i="11"/>
  <c r="U122" i="11"/>
  <c r="U124" i="11"/>
  <c r="V124" i="11"/>
  <c r="V62" i="11"/>
  <c r="U62" i="11"/>
  <c r="H128" i="22" s="1"/>
  <c r="V159" i="11"/>
  <c r="U159" i="11"/>
  <c r="V25" i="11"/>
  <c r="U25" i="11"/>
  <c r="V66" i="11"/>
  <c r="U66" i="11"/>
  <c r="H130" i="22" s="1"/>
  <c r="V163" i="11"/>
  <c r="U163" i="11"/>
  <c r="V68" i="11"/>
  <c r="U68" i="11"/>
  <c r="H115" i="22" s="1"/>
  <c r="V37" i="11"/>
  <c r="U37" i="11"/>
  <c r="V70" i="11"/>
  <c r="U70" i="11"/>
  <c r="V103" i="11"/>
  <c r="U103" i="11"/>
  <c r="V64" i="11"/>
  <c r="U64" i="11"/>
  <c r="V128" i="11"/>
  <c r="U128" i="11"/>
  <c r="V192" i="11"/>
  <c r="U192" i="11"/>
  <c r="V256" i="11"/>
  <c r="U256" i="11"/>
  <c r="V33" i="11"/>
  <c r="U33" i="11"/>
  <c r="V97" i="11"/>
  <c r="U97" i="11"/>
  <c r="V161" i="11"/>
  <c r="U161" i="11"/>
  <c r="V225" i="11"/>
  <c r="U225" i="11"/>
  <c r="U74" i="11"/>
  <c r="V74" i="11"/>
  <c r="U138" i="11"/>
  <c r="V138" i="11"/>
  <c r="U202" i="11"/>
  <c r="V202" i="11"/>
  <c r="V43" i="11"/>
  <c r="U43" i="11"/>
  <c r="H108" i="22" s="1"/>
  <c r="V107" i="11"/>
  <c r="U107" i="11"/>
  <c r="V171" i="11"/>
  <c r="U171" i="11"/>
  <c r="V235" i="11"/>
  <c r="U235" i="11"/>
  <c r="V12" i="11"/>
  <c r="U12" i="11"/>
  <c r="V76" i="11"/>
  <c r="U76" i="11"/>
  <c r="V140" i="11"/>
  <c r="U140" i="11"/>
  <c r="V204" i="11"/>
  <c r="U204" i="11"/>
  <c r="V45" i="11"/>
  <c r="U45" i="11"/>
  <c r="V109" i="11"/>
  <c r="U109" i="11"/>
  <c r="V173" i="11"/>
  <c r="U173" i="11"/>
  <c r="V237" i="11"/>
  <c r="U237" i="11"/>
  <c r="V14" i="11"/>
  <c r="U14" i="11"/>
  <c r="V78" i="11"/>
  <c r="U78" i="11"/>
  <c r="V142" i="11"/>
  <c r="U142" i="11"/>
  <c r="V206" i="11"/>
  <c r="U206" i="11"/>
  <c r="V47" i="11"/>
  <c r="U47" i="11"/>
  <c r="V111" i="11"/>
  <c r="U111" i="11"/>
  <c r="V175" i="11"/>
  <c r="U175" i="11"/>
  <c r="V239" i="11"/>
  <c r="U239" i="11"/>
  <c r="V112" i="11"/>
  <c r="U112" i="11"/>
  <c r="V58" i="11"/>
  <c r="U58" i="11"/>
  <c r="H118" i="22" s="1"/>
  <c r="V219" i="11"/>
  <c r="U219" i="11"/>
  <c r="V157" i="11"/>
  <c r="U157" i="11"/>
  <c r="V248" i="11"/>
  <c r="U248" i="11"/>
  <c r="V258" i="11"/>
  <c r="U258" i="11"/>
  <c r="V101" i="11"/>
  <c r="U101" i="11"/>
  <c r="V134" i="11"/>
  <c r="U134" i="11"/>
  <c r="V231" i="11"/>
  <c r="U231" i="11"/>
  <c r="V72" i="11"/>
  <c r="U72" i="11"/>
  <c r="V136" i="11"/>
  <c r="U136" i="11"/>
  <c r="V200" i="11"/>
  <c r="U200" i="11"/>
  <c r="V41" i="11"/>
  <c r="U41" i="11"/>
  <c r="V105" i="11"/>
  <c r="U105" i="11"/>
  <c r="V169" i="11"/>
  <c r="U169" i="11"/>
  <c r="V233" i="11"/>
  <c r="U233" i="11"/>
  <c r="V18" i="11"/>
  <c r="U18" i="11"/>
  <c r="V82" i="11"/>
  <c r="U82" i="11"/>
  <c r="V146" i="11"/>
  <c r="U146" i="11"/>
  <c r="V210" i="11"/>
  <c r="U210" i="11"/>
  <c r="V51" i="11"/>
  <c r="U51" i="11"/>
  <c r="V115" i="11"/>
  <c r="U115" i="11"/>
  <c r="V179" i="11"/>
  <c r="U179" i="11"/>
  <c r="V243" i="11"/>
  <c r="U243" i="11"/>
  <c r="V20" i="11"/>
  <c r="U20" i="11"/>
  <c r="U84" i="11"/>
  <c r="V84" i="11"/>
  <c r="V148" i="11"/>
  <c r="U148" i="11"/>
  <c r="V212" i="11"/>
  <c r="U212" i="11"/>
  <c r="V53" i="11"/>
  <c r="U53" i="11"/>
  <c r="H123" i="22" s="1"/>
  <c r="V117" i="11"/>
  <c r="U117" i="11"/>
  <c r="V181" i="11"/>
  <c r="U181" i="11"/>
  <c r="V245" i="11"/>
  <c r="U245" i="11"/>
  <c r="V22" i="11"/>
  <c r="U22" i="11"/>
  <c r="V86" i="11"/>
  <c r="U86" i="11"/>
  <c r="V150" i="11"/>
  <c r="U150" i="11"/>
  <c r="V214" i="11"/>
  <c r="U214" i="11"/>
  <c r="V55" i="11"/>
  <c r="U55" i="11"/>
  <c r="H124" i="22" s="1"/>
  <c r="V119" i="11"/>
  <c r="U119" i="11"/>
  <c r="V183" i="11"/>
  <c r="U183" i="11"/>
  <c r="V247" i="11"/>
  <c r="U247" i="11"/>
  <c r="AK53" i="55" a="1"/>
  <c r="AK53" i="55" s="1"/>
  <c r="B55" i="57" s="1"/>
  <c r="AE37" i="69"/>
  <c r="Q37" i="69"/>
  <c r="U37" i="69"/>
  <c r="R37" i="69"/>
  <c r="S37" i="69" s="1"/>
  <c r="Y37" i="69" s="1"/>
  <c r="AB37" i="69" s="1"/>
  <c r="AC37" i="69" s="1"/>
  <c r="AD37" i="69" s="1"/>
  <c r="D38" i="69"/>
  <c r="E38" i="69" s="1"/>
  <c r="F38" i="69" s="1"/>
  <c r="G38" i="69" s="1"/>
  <c r="H38" i="69" s="1"/>
  <c r="I38" i="69" s="1"/>
  <c r="J38" i="69" s="1"/>
  <c r="K38" i="69" s="1"/>
  <c r="M38" i="69" s="1"/>
  <c r="N38" i="69"/>
  <c r="AF38" i="69" s="1"/>
  <c r="P38" i="69"/>
  <c r="C39" i="69"/>
  <c r="AO39" i="69" s="1"/>
  <c r="O39" i="69"/>
  <c r="AN39" i="67" a="1"/>
  <c r="AN39" i="67" s="1"/>
  <c r="B40" i="69"/>
  <c r="L40" i="69" s="1"/>
  <c r="D37" i="65"/>
  <c r="E37" i="65" s="1"/>
  <c r="F37" i="65" s="1"/>
  <c r="G37" i="65" s="1"/>
  <c r="H37" i="65" s="1"/>
  <c r="I37" i="65" s="1"/>
  <c r="J37" i="65" s="1"/>
  <c r="K37" i="65" s="1"/>
  <c r="M37" i="65" s="1"/>
  <c r="P37" i="65"/>
  <c r="U36" i="65"/>
  <c r="R36" i="65"/>
  <c r="S36" i="65" s="1"/>
  <c r="Y36" i="65" s="1"/>
  <c r="AB36" i="65" s="1"/>
  <c r="AC36" i="65" s="1"/>
  <c r="AD36" i="65" s="1"/>
  <c r="Q36" i="65"/>
  <c r="C38" i="65"/>
  <c r="AM38" i="65" s="1"/>
  <c r="O38" i="65"/>
  <c r="AN38" i="63" a="1"/>
  <c r="AN38" i="63" s="1"/>
  <c r="B39" i="65"/>
  <c r="L39" i="65" s="1"/>
  <c r="B26" i="72"/>
  <c r="B25" i="72"/>
  <c r="B24" i="72"/>
  <c r="B23" i="72"/>
  <c r="B22" i="72"/>
  <c r="B21" i="72"/>
  <c r="B20" i="72"/>
  <c r="B19" i="72"/>
  <c r="B18" i="72"/>
  <c r="B17" i="72"/>
  <c r="X53" i="53" l="1"/>
  <c r="AA53" i="53" s="1"/>
  <c r="AF37" i="65"/>
  <c r="AE37" i="65"/>
  <c r="AE54" i="57"/>
  <c r="R54" i="57"/>
  <c r="AE54" i="53"/>
  <c r="R54" i="53"/>
  <c r="AB51" i="57"/>
  <c r="AF51" i="57"/>
  <c r="AG37" i="69"/>
  <c r="AG36" i="65"/>
  <c r="H110" i="22"/>
  <c r="H103" i="22"/>
  <c r="H105" i="22"/>
  <c r="H109" i="22"/>
  <c r="H116" i="22"/>
  <c r="V111" i="22"/>
  <c r="V114" i="22"/>
  <c r="V104" i="22"/>
  <c r="V101" i="22"/>
  <c r="AA51" i="57"/>
  <c r="H112" i="22"/>
  <c r="H104" i="22"/>
  <c r="H111" i="22"/>
  <c r="AX38" i="69"/>
  <c r="X52" i="57"/>
  <c r="O55" i="57"/>
  <c r="AG55" i="57" s="1"/>
  <c r="L55" i="57"/>
  <c r="AJ54" i="57"/>
  <c r="AC54" i="57"/>
  <c r="AP54" i="57"/>
  <c r="AH37" i="65"/>
  <c r="AV37" i="65"/>
  <c r="AB52" i="53"/>
  <c r="AA52" i="53"/>
  <c r="AG54" i="53"/>
  <c r="AH54" i="53"/>
  <c r="AT54" i="53"/>
  <c r="AC54" i="53"/>
  <c r="H106" i="22"/>
  <c r="N55" i="57"/>
  <c r="G55" i="53"/>
  <c r="N55" i="53"/>
  <c r="AH38" i="69"/>
  <c r="AD54" i="57"/>
  <c r="Q54" i="53"/>
  <c r="AD54" i="53"/>
  <c r="N38" i="65"/>
  <c r="AK54" i="52" a="1"/>
  <c r="AK54" i="52" s="1"/>
  <c r="B56" i="53" s="1"/>
  <c r="O56" i="53" s="1"/>
  <c r="F55" i="53"/>
  <c r="H55" i="53"/>
  <c r="I55" i="53"/>
  <c r="C55" i="53"/>
  <c r="E55" i="53"/>
  <c r="K55" i="53"/>
  <c r="P55" i="53"/>
  <c r="J55" i="53"/>
  <c r="L55" i="53"/>
  <c r="D55" i="53"/>
  <c r="P55" i="57"/>
  <c r="G55" i="57"/>
  <c r="K55" i="57"/>
  <c r="I55" i="57"/>
  <c r="C55" i="57"/>
  <c r="M55" i="57" s="1"/>
  <c r="E55" i="57"/>
  <c r="F55" i="57"/>
  <c r="J55" i="57"/>
  <c r="D55" i="57"/>
  <c r="H55" i="57"/>
  <c r="Q54" i="57"/>
  <c r="T53" i="57"/>
  <c r="AK54" i="55" a="1"/>
  <c r="AK54" i="55" s="1"/>
  <c r="B56" i="57" s="1"/>
  <c r="AN40" i="67" a="1"/>
  <c r="AN40" i="67" s="1"/>
  <c r="B41" i="69"/>
  <c r="L41" i="69" s="1"/>
  <c r="D39" i="69"/>
  <c r="E39" i="69" s="1"/>
  <c r="F39" i="69" s="1"/>
  <c r="G39" i="69" s="1"/>
  <c r="H39" i="69" s="1"/>
  <c r="I39" i="69" s="1"/>
  <c r="J39" i="69" s="1"/>
  <c r="K39" i="69" s="1"/>
  <c r="M39" i="69" s="1"/>
  <c r="N39" i="69"/>
  <c r="AF39" i="69" s="1"/>
  <c r="P39" i="69"/>
  <c r="Q38" i="69"/>
  <c r="R38" i="69"/>
  <c r="S38" i="69" s="1"/>
  <c r="Y38" i="69" s="1"/>
  <c r="AB38" i="69" s="1"/>
  <c r="AC38" i="69" s="1"/>
  <c r="AD38" i="69" s="1"/>
  <c r="AE38" i="69"/>
  <c r="U38" i="69"/>
  <c r="C40" i="69"/>
  <c r="AO40" i="69" s="1"/>
  <c r="O40" i="69"/>
  <c r="AN39" i="63" a="1"/>
  <c r="AN39" i="63" s="1"/>
  <c r="B40" i="65"/>
  <c r="L40" i="65" s="1"/>
  <c r="D38" i="65"/>
  <c r="E38" i="65" s="1"/>
  <c r="F38" i="65" s="1"/>
  <c r="G38" i="65" s="1"/>
  <c r="H38" i="65" s="1"/>
  <c r="I38" i="65" s="1"/>
  <c r="J38" i="65" s="1"/>
  <c r="K38" i="65" s="1"/>
  <c r="M38" i="65" s="1"/>
  <c r="P38" i="65"/>
  <c r="Q37" i="65"/>
  <c r="R37" i="65"/>
  <c r="S37" i="65" s="1"/>
  <c r="Y37" i="65" s="1"/>
  <c r="AB37" i="65" s="1"/>
  <c r="AC37" i="65" s="1"/>
  <c r="AD37" i="65" s="1"/>
  <c r="U37" i="65"/>
  <c r="C39" i="65"/>
  <c r="AM39" i="65" s="1"/>
  <c r="O39" i="65"/>
  <c r="L16" i="29"/>
  <c r="AF53" i="53" l="1"/>
  <c r="AB53" i="53"/>
  <c r="AF38" i="65"/>
  <c r="AE38" i="65"/>
  <c r="AE55" i="57"/>
  <c r="R55" i="57"/>
  <c r="AE55" i="53"/>
  <c r="R55" i="53"/>
  <c r="AA52" i="57"/>
  <c r="AF52" i="57"/>
  <c r="AG38" i="69"/>
  <c r="AG37" i="65"/>
  <c r="X53" i="57"/>
  <c r="AX39" i="69"/>
  <c r="AB52" i="57"/>
  <c r="O56" i="57"/>
  <c r="AG56" i="57" s="1"/>
  <c r="L56" i="57"/>
  <c r="AJ55" i="57"/>
  <c r="AC55" i="57"/>
  <c r="AP55" i="57"/>
  <c r="AH38" i="65"/>
  <c r="AV38" i="65"/>
  <c r="AG55" i="53"/>
  <c r="AH55" i="53"/>
  <c r="AT55" i="53"/>
  <c r="AC55" i="53"/>
  <c r="N56" i="57"/>
  <c r="X54" i="53"/>
  <c r="AF54" i="53" s="1"/>
  <c r="F56" i="53"/>
  <c r="N56" i="53"/>
  <c r="AH39" i="69"/>
  <c r="AD55" i="57"/>
  <c r="AD55" i="53"/>
  <c r="N39" i="65"/>
  <c r="Q55" i="53"/>
  <c r="AK55" i="52" a="1"/>
  <c r="AK55" i="52" s="1"/>
  <c r="B57" i="53" s="1"/>
  <c r="O57" i="53" s="1"/>
  <c r="D56" i="53"/>
  <c r="L56" i="53"/>
  <c r="I56" i="53"/>
  <c r="C56" i="53"/>
  <c r="G56" i="53"/>
  <c r="E56" i="53"/>
  <c r="P56" i="53"/>
  <c r="H56" i="53"/>
  <c r="J56" i="53"/>
  <c r="K56" i="53"/>
  <c r="T54" i="57"/>
  <c r="Q55" i="57"/>
  <c r="I56" i="57"/>
  <c r="C56" i="57"/>
  <c r="M56" i="57" s="1"/>
  <c r="K56" i="57"/>
  <c r="J56" i="57"/>
  <c r="F56" i="57"/>
  <c r="E56" i="57"/>
  <c r="P56" i="57"/>
  <c r="H56" i="57"/>
  <c r="D56" i="57"/>
  <c r="G56" i="57"/>
  <c r="AK55" i="55" a="1"/>
  <c r="AK55" i="55" s="1"/>
  <c r="B57" i="57" s="1"/>
  <c r="AN41" i="67" a="1"/>
  <c r="AN41" i="67" s="1"/>
  <c r="B42" i="69"/>
  <c r="L42" i="69" s="1"/>
  <c r="C41" i="69"/>
  <c r="AO41" i="69" s="1"/>
  <c r="O41" i="69"/>
  <c r="N40" i="69"/>
  <c r="AF40" i="69" s="1"/>
  <c r="P40" i="69"/>
  <c r="D40" i="69"/>
  <c r="E40" i="69" s="1"/>
  <c r="F40" i="69" s="1"/>
  <c r="G40" i="69" s="1"/>
  <c r="H40" i="69" s="1"/>
  <c r="I40" i="69" s="1"/>
  <c r="J40" i="69" s="1"/>
  <c r="K40" i="69" s="1"/>
  <c r="M40" i="69" s="1"/>
  <c r="U39" i="69"/>
  <c r="Q39" i="69"/>
  <c r="R39" i="69"/>
  <c r="S39" i="69" s="1"/>
  <c r="Y39" i="69" s="1"/>
  <c r="AB39" i="69" s="1"/>
  <c r="AC39" i="69" s="1"/>
  <c r="AD39" i="69" s="1"/>
  <c r="AE39" i="69"/>
  <c r="AN40" i="63" a="1"/>
  <c r="AN40" i="63" s="1"/>
  <c r="B41" i="65"/>
  <c r="L41" i="65" s="1"/>
  <c r="P39" i="65"/>
  <c r="D39" i="65"/>
  <c r="E39" i="65" s="1"/>
  <c r="F39" i="65" s="1"/>
  <c r="G39" i="65" s="1"/>
  <c r="H39" i="65" s="1"/>
  <c r="I39" i="65" s="1"/>
  <c r="J39" i="65" s="1"/>
  <c r="K39" i="65" s="1"/>
  <c r="M39" i="65" s="1"/>
  <c r="Q38" i="65"/>
  <c r="R38" i="65"/>
  <c r="S38" i="65" s="1"/>
  <c r="Y38" i="65" s="1"/>
  <c r="AB38" i="65" s="1"/>
  <c r="AC38" i="65" s="1"/>
  <c r="AD38" i="65" s="1"/>
  <c r="U38" i="65"/>
  <c r="C40" i="65"/>
  <c r="AM40" i="65" s="1"/>
  <c r="O40" i="65"/>
  <c r="X55" i="53" l="1"/>
  <c r="AF55" i="53" s="1"/>
  <c r="AF39" i="65"/>
  <c r="AE39" i="65"/>
  <c r="AE56" i="57"/>
  <c r="R56" i="57"/>
  <c r="AE56" i="53"/>
  <c r="R56" i="53"/>
  <c r="AA53" i="57"/>
  <c r="AF53" i="57"/>
  <c r="AG39" i="69"/>
  <c r="AG38" i="65"/>
  <c r="AB53" i="57"/>
  <c r="AX40" i="69"/>
  <c r="X54" i="57"/>
  <c r="O57" i="57"/>
  <c r="AG57" i="57" s="1"/>
  <c r="L57" i="57"/>
  <c r="AJ56" i="57"/>
  <c r="AC56" i="57"/>
  <c r="AP56" i="57"/>
  <c r="AH39" i="65"/>
  <c r="AV39" i="65"/>
  <c r="AG56" i="53"/>
  <c r="AH56" i="53"/>
  <c r="AT56" i="53"/>
  <c r="AC56" i="53"/>
  <c r="AB54" i="53"/>
  <c r="AA54" i="53"/>
  <c r="N57" i="57"/>
  <c r="C57" i="53"/>
  <c r="N57" i="53"/>
  <c r="AH40" i="69"/>
  <c r="AD56" i="57"/>
  <c r="Q56" i="53"/>
  <c r="X56" i="53" s="1"/>
  <c r="AD56" i="53"/>
  <c r="H57" i="53"/>
  <c r="F57" i="53"/>
  <c r="K57" i="53"/>
  <c r="E57" i="53"/>
  <c r="L57" i="53"/>
  <c r="J57" i="53"/>
  <c r="G57" i="53"/>
  <c r="AK56" i="52" a="1"/>
  <c r="AK56" i="52" s="1"/>
  <c r="B58" i="53" s="1"/>
  <c r="O58" i="53" s="1"/>
  <c r="D57" i="53"/>
  <c r="P57" i="53"/>
  <c r="I57" i="53"/>
  <c r="T55" i="57"/>
  <c r="I57" i="57"/>
  <c r="E57" i="57"/>
  <c r="P57" i="57"/>
  <c r="D57" i="57"/>
  <c r="C57" i="57"/>
  <c r="M57" i="57" s="1"/>
  <c r="K57" i="57"/>
  <c r="H57" i="57"/>
  <c r="G57" i="57"/>
  <c r="F57" i="57"/>
  <c r="J57" i="57"/>
  <c r="Q56" i="57"/>
  <c r="AK56" i="55" a="1"/>
  <c r="AK56" i="55" s="1"/>
  <c r="B58" i="57" s="1"/>
  <c r="Q40" i="69"/>
  <c r="AE40" i="69"/>
  <c r="R40" i="69"/>
  <c r="S40" i="69" s="1"/>
  <c r="Y40" i="69" s="1"/>
  <c r="AB40" i="69" s="1"/>
  <c r="AC40" i="69" s="1"/>
  <c r="AD40" i="69" s="1"/>
  <c r="U40" i="69"/>
  <c r="D41" i="69"/>
  <c r="E41" i="69" s="1"/>
  <c r="F41" i="69" s="1"/>
  <c r="G41" i="69" s="1"/>
  <c r="H41" i="69" s="1"/>
  <c r="I41" i="69" s="1"/>
  <c r="J41" i="69" s="1"/>
  <c r="K41" i="69" s="1"/>
  <c r="M41" i="69" s="1"/>
  <c r="P41" i="69"/>
  <c r="N41" i="69"/>
  <c r="AF41" i="69" s="1"/>
  <c r="C42" i="69"/>
  <c r="AO42" i="69" s="1"/>
  <c r="O42" i="69"/>
  <c r="AN42" i="67" a="1"/>
  <c r="AN42" i="67" s="1"/>
  <c r="B43" i="69"/>
  <c r="L43" i="69" s="1"/>
  <c r="U39" i="65"/>
  <c r="Q39" i="65"/>
  <c r="R39" i="65"/>
  <c r="S39" i="65" s="1"/>
  <c r="Y39" i="65" s="1"/>
  <c r="AB39" i="65" s="1"/>
  <c r="AC39" i="65" s="1"/>
  <c r="AD39" i="65" s="1"/>
  <c r="P40" i="65"/>
  <c r="D40" i="65"/>
  <c r="E40" i="65" s="1"/>
  <c r="F40" i="65" s="1"/>
  <c r="G40" i="65" s="1"/>
  <c r="H40" i="65" s="1"/>
  <c r="I40" i="65" s="1"/>
  <c r="J40" i="65" s="1"/>
  <c r="K40" i="65" s="1"/>
  <c r="M40" i="65" s="1"/>
  <c r="C41" i="65"/>
  <c r="AM41" i="65" s="1"/>
  <c r="O41" i="65"/>
  <c r="AN41" i="63" a="1"/>
  <c r="AN41" i="63" s="1"/>
  <c r="B42" i="65"/>
  <c r="L42" i="65" s="1"/>
  <c r="B3" i="73"/>
  <c r="AA55" i="53" l="1"/>
  <c r="AB55" i="53"/>
  <c r="AE57" i="57"/>
  <c r="R57" i="57"/>
  <c r="AE57" i="53"/>
  <c r="R57" i="53"/>
  <c r="AF56" i="53"/>
  <c r="AA54" i="57"/>
  <c r="AF54" i="57"/>
  <c r="AG40" i="69"/>
  <c r="AG39" i="65"/>
  <c r="AX41" i="69"/>
  <c r="AB54" i="57"/>
  <c r="X55" i="57"/>
  <c r="O58" i="57"/>
  <c r="AG58" i="57" s="1"/>
  <c r="L58" i="57"/>
  <c r="AJ57" i="57"/>
  <c r="AC57" i="57"/>
  <c r="AP57" i="57"/>
  <c r="Y40" i="65"/>
  <c r="AG40" i="65" s="1"/>
  <c r="AB56" i="53"/>
  <c r="AA56" i="53"/>
  <c r="AG57" i="53"/>
  <c r="AH57" i="53"/>
  <c r="AC57" i="53"/>
  <c r="AT57" i="53"/>
  <c r="N58" i="57"/>
  <c r="N58" i="53"/>
  <c r="AH41" i="69"/>
  <c r="AD57" i="57"/>
  <c r="AD57" i="53"/>
  <c r="Q57" i="53"/>
  <c r="K58" i="53"/>
  <c r="P58" i="53"/>
  <c r="I58" i="53"/>
  <c r="E58" i="53"/>
  <c r="H58" i="53"/>
  <c r="AK57" i="52" a="1"/>
  <c r="AK57" i="52" s="1"/>
  <c r="B59" i="53" s="1"/>
  <c r="O59" i="53" s="1"/>
  <c r="J58" i="53"/>
  <c r="D58" i="53"/>
  <c r="L58" i="53"/>
  <c r="C58" i="53"/>
  <c r="G58" i="53"/>
  <c r="F58" i="53"/>
  <c r="T56" i="57"/>
  <c r="Q57" i="57"/>
  <c r="D58" i="57"/>
  <c r="G58" i="57"/>
  <c r="K58" i="57"/>
  <c r="F58" i="57"/>
  <c r="E58" i="57"/>
  <c r="I58" i="57"/>
  <c r="P58" i="57"/>
  <c r="C58" i="57"/>
  <c r="M58" i="57" s="1"/>
  <c r="H58" i="57"/>
  <c r="J58" i="57"/>
  <c r="AK57" i="55" a="1"/>
  <c r="AK57" i="55" s="1"/>
  <c r="B59" i="57" s="1"/>
  <c r="C43" i="69"/>
  <c r="AO43" i="69" s="1"/>
  <c r="O43" i="69"/>
  <c r="P42" i="69"/>
  <c r="N42" i="69"/>
  <c r="AF42" i="69" s="1"/>
  <c r="D42" i="69"/>
  <c r="E42" i="69" s="1"/>
  <c r="F42" i="69" s="1"/>
  <c r="G42" i="69" s="1"/>
  <c r="H42" i="69" s="1"/>
  <c r="I42" i="69" s="1"/>
  <c r="J42" i="69" s="1"/>
  <c r="K42" i="69" s="1"/>
  <c r="M42" i="69" s="1"/>
  <c r="Q41" i="69"/>
  <c r="R41" i="69"/>
  <c r="S41" i="69" s="1"/>
  <c r="Y41" i="69" s="1"/>
  <c r="AB41" i="69" s="1"/>
  <c r="AC41" i="69" s="1"/>
  <c r="AD41" i="69" s="1"/>
  <c r="U41" i="69"/>
  <c r="AE41" i="69"/>
  <c r="AN43" i="67" a="1"/>
  <c r="AN43" i="67" s="1"/>
  <c r="B44" i="69"/>
  <c r="L44" i="69" s="1"/>
  <c r="AN42" i="63" a="1"/>
  <c r="AN42" i="63" s="1"/>
  <c r="B43" i="65"/>
  <c r="L43" i="65" s="1"/>
  <c r="C42" i="65"/>
  <c r="AM42" i="65" s="1"/>
  <c r="O42" i="65"/>
  <c r="P41" i="65"/>
  <c r="D41" i="65"/>
  <c r="E41" i="65" s="1"/>
  <c r="F41" i="65" s="1"/>
  <c r="G41" i="65" s="1"/>
  <c r="H41" i="65" s="1"/>
  <c r="I41" i="65" s="1"/>
  <c r="J41" i="65" s="1"/>
  <c r="K41" i="65" s="1"/>
  <c r="M41" i="65" s="1"/>
  <c r="N41" i="65"/>
  <c r="X57" i="53" l="1"/>
  <c r="AF57" i="53" s="1"/>
  <c r="AF41" i="65"/>
  <c r="AE41" i="65"/>
  <c r="AE58" i="57"/>
  <c r="R58" i="57"/>
  <c r="AE58" i="53"/>
  <c r="R58" i="53"/>
  <c r="AB55" i="57"/>
  <c r="AF55" i="57"/>
  <c r="AG41" i="69"/>
  <c r="AX42" i="69"/>
  <c r="AA55" i="57"/>
  <c r="X56" i="57"/>
  <c r="O59" i="57"/>
  <c r="AG59" i="57" s="1"/>
  <c r="L59" i="57"/>
  <c r="AJ58" i="57"/>
  <c r="AC58" i="57"/>
  <c r="AP58" i="57"/>
  <c r="AH41" i="65"/>
  <c r="AV41" i="65"/>
  <c r="AB40" i="65"/>
  <c r="AC40" i="65" s="1"/>
  <c r="AD40" i="65" s="1"/>
  <c r="AG58" i="53"/>
  <c r="AH58" i="53"/>
  <c r="AC58" i="53"/>
  <c r="AT58" i="53"/>
  <c r="N59" i="57"/>
  <c r="H59" i="53"/>
  <c r="N59" i="53"/>
  <c r="AH42" i="69"/>
  <c r="AD58" i="57"/>
  <c r="Q58" i="53"/>
  <c r="AD58" i="53"/>
  <c r="AK58" i="52" a="1"/>
  <c r="AK58" i="52" s="1"/>
  <c r="B60" i="53" s="1"/>
  <c r="O60" i="53" s="1"/>
  <c r="K59" i="53"/>
  <c r="P59" i="53"/>
  <c r="I59" i="53"/>
  <c r="C59" i="53"/>
  <c r="E59" i="53"/>
  <c r="J59" i="53"/>
  <c r="L59" i="53"/>
  <c r="D59" i="53"/>
  <c r="G59" i="53"/>
  <c r="F59" i="53"/>
  <c r="T57" i="57"/>
  <c r="Q58" i="57"/>
  <c r="K59" i="57"/>
  <c r="G59" i="57"/>
  <c r="E59" i="57"/>
  <c r="P59" i="57"/>
  <c r="D59" i="57"/>
  <c r="C59" i="57"/>
  <c r="M59" i="57" s="1"/>
  <c r="I59" i="57"/>
  <c r="H59" i="57"/>
  <c r="F59" i="57"/>
  <c r="J59" i="57"/>
  <c r="AK58" i="55" a="1"/>
  <c r="AK58" i="55" s="1"/>
  <c r="B60" i="57" s="1"/>
  <c r="C44" i="69"/>
  <c r="AO44" i="69" s="1"/>
  <c r="O44" i="69"/>
  <c r="D43" i="69"/>
  <c r="E43" i="69" s="1"/>
  <c r="F43" i="69" s="1"/>
  <c r="G43" i="69" s="1"/>
  <c r="H43" i="69" s="1"/>
  <c r="I43" i="69" s="1"/>
  <c r="J43" i="69" s="1"/>
  <c r="K43" i="69" s="1"/>
  <c r="M43" i="69" s="1"/>
  <c r="N43" i="69"/>
  <c r="AF43" i="69" s="1"/>
  <c r="P43" i="69"/>
  <c r="Q42" i="69"/>
  <c r="R42" i="69"/>
  <c r="S42" i="69" s="1"/>
  <c r="Y42" i="69" s="1"/>
  <c r="AB42" i="69" s="1"/>
  <c r="AC42" i="69" s="1"/>
  <c r="AD42" i="69" s="1"/>
  <c r="AE42" i="69"/>
  <c r="U42" i="69"/>
  <c r="AN44" i="67" a="1"/>
  <c r="AN44" i="67" s="1"/>
  <c r="B45" i="69"/>
  <c r="L45" i="69" s="1"/>
  <c r="AN43" i="63" a="1"/>
  <c r="AN43" i="63" s="1"/>
  <c r="B44" i="65"/>
  <c r="L44" i="65" s="1"/>
  <c r="R41" i="65"/>
  <c r="S41" i="65" s="1"/>
  <c r="Y41" i="65" s="1"/>
  <c r="AB41" i="65" s="1"/>
  <c r="AC41" i="65" s="1"/>
  <c r="AD41" i="65" s="1"/>
  <c r="Q41" i="65"/>
  <c r="U41" i="65"/>
  <c r="C43" i="65"/>
  <c r="AM43" i="65" s="1"/>
  <c r="O43" i="65"/>
  <c r="P42" i="65"/>
  <c r="D42" i="65"/>
  <c r="E42" i="65" s="1"/>
  <c r="F42" i="65" s="1"/>
  <c r="G42" i="65" s="1"/>
  <c r="H42" i="65" s="1"/>
  <c r="I42" i="65" s="1"/>
  <c r="J42" i="65" s="1"/>
  <c r="K42" i="65" s="1"/>
  <c r="M42" i="65" s="1"/>
  <c r="N42" i="65"/>
  <c r="AA57" i="53" l="1"/>
  <c r="AB57" i="53"/>
  <c r="AF42" i="65"/>
  <c r="AE42" i="65"/>
  <c r="AE59" i="57"/>
  <c r="R59" i="57"/>
  <c r="AE59" i="53"/>
  <c r="R59" i="53"/>
  <c r="AB56" i="57"/>
  <c r="AF56" i="57"/>
  <c r="AG42" i="69"/>
  <c r="AG41" i="65"/>
  <c r="AX43" i="69"/>
  <c r="AA56" i="57"/>
  <c r="X57" i="57"/>
  <c r="O60" i="57"/>
  <c r="AG60" i="57" s="1"/>
  <c r="L60" i="57"/>
  <c r="AJ59" i="57"/>
  <c r="AC59" i="57"/>
  <c r="AP59" i="57"/>
  <c r="AH42" i="65"/>
  <c r="AV42" i="65"/>
  <c r="AG59" i="53"/>
  <c r="AH59" i="53"/>
  <c r="AC59" i="53"/>
  <c r="AT59" i="53"/>
  <c r="N60" i="57"/>
  <c r="N60" i="53"/>
  <c r="AH43" i="69"/>
  <c r="AD59" i="57"/>
  <c r="X58" i="53"/>
  <c r="AF58" i="53" s="1"/>
  <c r="Q59" i="53"/>
  <c r="AD59" i="53"/>
  <c r="J60" i="53"/>
  <c r="K60" i="53"/>
  <c r="E60" i="53"/>
  <c r="F60" i="53"/>
  <c r="P60" i="53"/>
  <c r="I60" i="53"/>
  <c r="L60" i="53"/>
  <c r="C60" i="53"/>
  <c r="AK59" i="52" a="1"/>
  <c r="AK59" i="52" s="1"/>
  <c r="B61" i="53" s="1"/>
  <c r="O61" i="53" s="1"/>
  <c r="D60" i="53"/>
  <c r="H60" i="53"/>
  <c r="G60" i="53"/>
  <c r="K60" i="57"/>
  <c r="I60" i="57"/>
  <c r="F60" i="57"/>
  <c r="C60" i="57"/>
  <c r="M60" i="57" s="1"/>
  <c r="P60" i="57"/>
  <c r="H60" i="57"/>
  <c r="D60" i="57"/>
  <c r="G60" i="57"/>
  <c r="E60" i="57"/>
  <c r="J60" i="57"/>
  <c r="Q59" i="57"/>
  <c r="T58" i="57"/>
  <c r="AK59" i="55" a="1"/>
  <c r="AK59" i="55" s="1"/>
  <c r="B61" i="57" s="1"/>
  <c r="Q43" i="69"/>
  <c r="R43" i="69"/>
  <c r="S43" i="69" s="1"/>
  <c r="Y43" i="69" s="1"/>
  <c r="AB43" i="69" s="1"/>
  <c r="AC43" i="69" s="1"/>
  <c r="AD43" i="69" s="1"/>
  <c r="U43" i="69"/>
  <c r="AE43" i="69"/>
  <c r="C45" i="69"/>
  <c r="AO45" i="69" s="1"/>
  <c r="O45" i="69"/>
  <c r="AN45" i="67" a="1"/>
  <c r="AN45" i="67" s="1"/>
  <c r="B46" i="69"/>
  <c r="L46" i="69" s="1"/>
  <c r="D44" i="69"/>
  <c r="E44" i="69" s="1"/>
  <c r="F44" i="69" s="1"/>
  <c r="G44" i="69" s="1"/>
  <c r="H44" i="69" s="1"/>
  <c r="I44" i="69" s="1"/>
  <c r="J44" i="69" s="1"/>
  <c r="K44" i="69" s="1"/>
  <c r="M44" i="69" s="1"/>
  <c r="N44" i="69"/>
  <c r="AF44" i="69" s="1"/>
  <c r="P44" i="69"/>
  <c r="P43" i="65"/>
  <c r="D43" i="65"/>
  <c r="E43" i="65" s="1"/>
  <c r="F43" i="65" s="1"/>
  <c r="G43" i="65" s="1"/>
  <c r="H43" i="65" s="1"/>
  <c r="I43" i="65" s="1"/>
  <c r="J43" i="65" s="1"/>
  <c r="K43" i="65" s="1"/>
  <c r="M43" i="65" s="1"/>
  <c r="N43" i="65"/>
  <c r="U42" i="65"/>
  <c r="Q42" i="65"/>
  <c r="R42" i="65"/>
  <c r="S42" i="65" s="1"/>
  <c r="Y42" i="65" s="1"/>
  <c r="AB42" i="65" s="1"/>
  <c r="AC42" i="65" s="1"/>
  <c r="AD42" i="65" s="1"/>
  <c r="O44" i="65"/>
  <c r="C44" i="65"/>
  <c r="AM44" i="65" s="1"/>
  <c r="AN44" i="63" a="1"/>
  <c r="AN44" i="63" s="1"/>
  <c r="B45" i="65"/>
  <c r="L45" i="65" s="1"/>
  <c r="AF43" i="65" l="1"/>
  <c r="AE43" i="65"/>
  <c r="AE60" i="57"/>
  <c r="R60" i="57"/>
  <c r="AE60" i="53"/>
  <c r="R60" i="53"/>
  <c r="AB57" i="57"/>
  <c r="AF57" i="57"/>
  <c r="AG43" i="69"/>
  <c r="AG42" i="65"/>
  <c r="AX44" i="69"/>
  <c r="AA57" i="57"/>
  <c r="L61" i="57"/>
  <c r="O61" i="57"/>
  <c r="AG61" i="57" s="1"/>
  <c r="X58" i="57"/>
  <c r="AC60" i="57"/>
  <c r="AJ60" i="57"/>
  <c r="AP60" i="57"/>
  <c r="AH43" i="65"/>
  <c r="AV43" i="65"/>
  <c r="AC60" i="53"/>
  <c r="AT60" i="53"/>
  <c r="AH60" i="53"/>
  <c r="AB58" i="53"/>
  <c r="AA58" i="53"/>
  <c r="AG60" i="53"/>
  <c r="N61" i="57"/>
  <c r="X59" i="53"/>
  <c r="AF59" i="53" s="1"/>
  <c r="N61" i="53"/>
  <c r="AH44" i="69"/>
  <c r="AD60" i="57"/>
  <c r="AD60" i="53"/>
  <c r="Q60" i="53"/>
  <c r="AK60" i="52" a="1"/>
  <c r="AK60" i="52" s="1"/>
  <c r="B62" i="53" s="1"/>
  <c r="O62" i="53" s="1"/>
  <c r="H61" i="53"/>
  <c r="F61" i="53"/>
  <c r="I61" i="53"/>
  <c r="C61" i="53"/>
  <c r="L61" i="53"/>
  <c r="P61" i="53"/>
  <c r="K61" i="53"/>
  <c r="E61" i="53"/>
  <c r="D61" i="53"/>
  <c r="J61" i="53"/>
  <c r="G61" i="53"/>
  <c r="T59" i="57"/>
  <c r="G61" i="57"/>
  <c r="C61" i="57"/>
  <c r="M61" i="57" s="1"/>
  <c r="K61" i="57"/>
  <c r="I61" i="57"/>
  <c r="H61" i="57"/>
  <c r="E61" i="57"/>
  <c r="D61" i="57"/>
  <c r="P61" i="57"/>
  <c r="J61" i="57"/>
  <c r="F61" i="57"/>
  <c r="Q60" i="57"/>
  <c r="AK60" i="55" a="1"/>
  <c r="AK60" i="55" s="1"/>
  <c r="B62" i="57" s="1"/>
  <c r="R44" i="69"/>
  <c r="S44" i="69" s="1"/>
  <c r="Y44" i="69" s="1"/>
  <c r="AB44" i="69" s="1"/>
  <c r="AC44" i="69" s="1"/>
  <c r="AD44" i="69" s="1"/>
  <c r="U44" i="69"/>
  <c r="AE44" i="69"/>
  <c r="Q44" i="69"/>
  <c r="C46" i="69"/>
  <c r="AO46" i="69" s="1"/>
  <c r="O46" i="69"/>
  <c r="AN46" i="67" a="1"/>
  <c r="AN46" i="67" s="1"/>
  <c r="B47" i="69"/>
  <c r="L47" i="69" s="1"/>
  <c r="D45" i="69"/>
  <c r="E45" i="69" s="1"/>
  <c r="F45" i="69" s="1"/>
  <c r="G45" i="69" s="1"/>
  <c r="H45" i="69" s="1"/>
  <c r="I45" i="69" s="1"/>
  <c r="J45" i="69" s="1"/>
  <c r="K45" i="69" s="1"/>
  <c r="M45" i="69" s="1"/>
  <c r="N45" i="69"/>
  <c r="AF45" i="69" s="1"/>
  <c r="P45" i="69"/>
  <c r="AN45" i="63" a="1"/>
  <c r="AN45" i="63" s="1"/>
  <c r="B46" i="65"/>
  <c r="L46" i="65" s="1"/>
  <c r="C45" i="65"/>
  <c r="AM45" i="65" s="1"/>
  <c r="O45" i="65"/>
  <c r="R43" i="65"/>
  <c r="S43" i="65" s="1"/>
  <c r="Y43" i="65" s="1"/>
  <c r="AB43" i="65" s="1"/>
  <c r="AC43" i="65" s="1"/>
  <c r="AD43" i="65" s="1"/>
  <c r="U43" i="65"/>
  <c r="Q43" i="65"/>
  <c r="P44" i="65"/>
  <c r="D44" i="65"/>
  <c r="E44" i="65" s="1"/>
  <c r="F44" i="65" s="1"/>
  <c r="G44" i="65" s="1"/>
  <c r="H44" i="65" s="1"/>
  <c r="I44" i="65" s="1"/>
  <c r="J44" i="65" s="1"/>
  <c r="K44" i="65" s="1"/>
  <c r="M44" i="65" s="1"/>
  <c r="N44" i="65"/>
  <c r="X60" i="53" l="1"/>
  <c r="AB60" i="53" s="1"/>
  <c r="AF44" i="65"/>
  <c r="AE44" i="65"/>
  <c r="AE61" i="57"/>
  <c r="R61" i="57"/>
  <c r="AE61" i="53"/>
  <c r="R61" i="53"/>
  <c r="AA58" i="57"/>
  <c r="AF58" i="57"/>
  <c r="AG44" i="69"/>
  <c r="AG43" i="65"/>
  <c r="AX45" i="69"/>
  <c r="O62" i="57"/>
  <c r="AG62" i="57" s="1"/>
  <c r="L62" i="57"/>
  <c r="AB58" i="57"/>
  <c r="AC61" i="57"/>
  <c r="AJ61" i="57"/>
  <c r="AP61" i="57"/>
  <c r="X59" i="57"/>
  <c r="AF59" i="57" s="1"/>
  <c r="AH44" i="65"/>
  <c r="AV44" i="65"/>
  <c r="AG61" i="53"/>
  <c r="AB59" i="53"/>
  <c r="AA59" i="53"/>
  <c r="AH61" i="53"/>
  <c r="AC61" i="53"/>
  <c r="AT61" i="53"/>
  <c r="N62" i="57"/>
  <c r="H62" i="53"/>
  <c r="N62" i="53"/>
  <c r="AH45" i="69"/>
  <c r="AD61" i="57"/>
  <c r="AD61" i="53"/>
  <c r="Q61" i="53"/>
  <c r="F62" i="53"/>
  <c r="E62" i="53"/>
  <c r="I62" i="53"/>
  <c r="C62" i="53"/>
  <c r="G62" i="53"/>
  <c r="K62" i="53"/>
  <c r="J62" i="53"/>
  <c r="AK61" i="52" a="1"/>
  <c r="AK61" i="52" s="1"/>
  <c r="B63" i="53" s="1"/>
  <c r="O63" i="53" s="1"/>
  <c r="L62" i="53"/>
  <c r="P62" i="53"/>
  <c r="D62" i="53"/>
  <c r="Q61" i="57"/>
  <c r="E62" i="57"/>
  <c r="J62" i="57"/>
  <c r="G62" i="57"/>
  <c r="C62" i="57"/>
  <c r="M62" i="57" s="1"/>
  <c r="K62" i="57"/>
  <c r="P62" i="57"/>
  <c r="F62" i="57"/>
  <c r="H62" i="57"/>
  <c r="D62" i="57"/>
  <c r="I62" i="57"/>
  <c r="T60" i="57"/>
  <c r="AK61" i="55" a="1"/>
  <c r="AK61" i="55" s="1"/>
  <c r="B63" i="57" s="1"/>
  <c r="AN47" i="67" a="1"/>
  <c r="AN47" i="67" s="1"/>
  <c r="B48" i="69"/>
  <c r="L48" i="69" s="1"/>
  <c r="U45" i="69"/>
  <c r="R45" i="69"/>
  <c r="S45" i="69" s="1"/>
  <c r="Y45" i="69" s="1"/>
  <c r="AB45" i="69" s="1"/>
  <c r="AC45" i="69" s="1"/>
  <c r="AD45" i="69" s="1"/>
  <c r="Q45" i="69"/>
  <c r="AE45" i="69"/>
  <c r="C47" i="69"/>
  <c r="AO47" i="69" s="1"/>
  <c r="O47" i="69"/>
  <c r="D46" i="69"/>
  <c r="E46" i="69" s="1"/>
  <c r="F46" i="69" s="1"/>
  <c r="G46" i="69" s="1"/>
  <c r="H46" i="69" s="1"/>
  <c r="I46" i="69" s="1"/>
  <c r="J46" i="69" s="1"/>
  <c r="K46" i="69" s="1"/>
  <c r="M46" i="69" s="1"/>
  <c r="P46" i="69"/>
  <c r="N46" i="69"/>
  <c r="AF46" i="69" s="1"/>
  <c r="C46" i="65"/>
  <c r="AM46" i="65" s="1"/>
  <c r="O46" i="65"/>
  <c r="U44" i="65"/>
  <c r="R44" i="65"/>
  <c r="S44" i="65" s="1"/>
  <c r="Y44" i="65" s="1"/>
  <c r="AB44" i="65" s="1"/>
  <c r="AC44" i="65" s="1"/>
  <c r="AD44" i="65" s="1"/>
  <c r="Q44" i="65"/>
  <c r="P45" i="65"/>
  <c r="D45" i="65"/>
  <c r="E45" i="65" s="1"/>
  <c r="F45" i="65" s="1"/>
  <c r="G45" i="65" s="1"/>
  <c r="H45" i="65" s="1"/>
  <c r="I45" i="65" s="1"/>
  <c r="J45" i="65" s="1"/>
  <c r="K45" i="65" s="1"/>
  <c r="M45" i="65" s="1"/>
  <c r="N45" i="65"/>
  <c r="AN46" i="63" a="1"/>
  <c r="AN46" i="63" s="1"/>
  <c r="B47" i="65"/>
  <c r="L47" i="65" s="1"/>
  <c r="B148" i="72"/>
  <c r="C148" i="72"/>
  <c r="B145" i="72"/>
  <c r="C145" i="72"/>
  <c r="B146" i="72"/>
  <c r="C146" i="72"/>
  <c r="B147" i="72"/>
  <c r="C147" i="72"/>
  <c r="B138" i="72"/>
  <c r="C138" i="72"/>
  <c r="B139" i="72"/>
  <c r="C139" i="72"/>
  <c r="B140" i="72"/>
  <c r="C140" i="72"/>
  <c r="B141" i="72"/>
  <c r="C141" i="72"/>
  <c r="B142" i="72"/>
  <c r="C142" i="72"/>
  <c r="B143" i="72"/>
  <c r="C143" i="72"/>
  <c r="B125" i="72"/>
  <c r="C125" i="72"/>
  <c r="B126" i="72"/>
  <c r="C126" i="72"/>
  <c r="B127" i="72"/>
  <c r="C127" i="72"/>
  <c r="B128" i="72"/>
  <c r="C128" i="72"/>
  <c r="B129" i="72"/>
  <c r="C129" i="72"/>
  <c r="B130" i="72"/>
  <c r="C130" i="72"/>
  <c r="B134" i="72"/>
  <c r="B135" i="72"/>
  <c r="C135" i="72"/>
  <c r="B106" i="72"/>
  <c r="C106" i="72"/>
  <c r="B107" i="72"/>
  <c r="C107" i="72"/>
  <c r="B108" i="72"/>
  <c r="C108" i="72"/>
  <c r="B109" i="72"/>
  <c r="C109" i="72"/>
  <c r="B110" i="72"/>
  <c r="C110" i="72"/>
  <c r="B111" i="72"/>
  <c r="C111" i="72"/>
  <c r="B97" i="72"/>
  <c r="C97" i="72"/>
  <c r="B98" i="72"/>
  <c r="C98" i="72"/>
  <c r="B99" i="72"/>
  <c r="C99" i="72"/>
  <c r="B100" i="72"/>
  <c r="C100" i="72"/>
  <c r="B101" i="72"/>
  <c r="C101" i="72"/>
  <c r="B102" i="72"/>
  <c r="C102" i="72"/>
  <c r="B104" i="72"/>
  <c r="C104" i="72"/>
  <c r="B105" i="72"/>
  <c r="C105" i="72"/>
  <c r="B90" i="72"/>
  <c r="B92" i="72"/>
  <c r="C92" i="72"/>
  <c r="B93" i="72"/>
  <c r="C93" i="72"/>
  <c r="B94" i="72"/>
  <c r="C94" i="72"/>
  <c r="B95" i="72"/>
  <c r="C95" i="72"/>
  <c r="B96" i="72"/>
  <c r="C96" i="72"/>
  <c r="C89" i="72"/>
  <c r="B89" i="72"/>
  <c r="B70" i="72"/>
  <c r="C70" i="72"/>
  <c r="B42" i="72"/>
  <c r="C42" i="72"/>
  <c r="B43" i="72"/>
  <c r="C43" i="72"/>
  <c r="B44" i="72"/>
  <c r="C44" i="72"/>
  <c r="B45" i="72"/>
  <c r="C45" i="72"/>
  <c r="B46" i="72"/>
  <c r="C46" i="72"/>
  <c r="B47" i="72"/>
  <c r="C47" i="72"/>
  <c r="B48" i="72"/>
  <c r="C48" i="72"/>
  <c r="B49" i="72"/>
  <c r="C49" i="72"/>
  <c r="B50" i="72"/>
  <c r="C50" i="72"/>
  <c r="B51" i="72"/>
  <c r="C51" i="72"/>
  <c r="B52" i="72"/>
  <c r="C52" i="72"/>
  <c r="B53" i="72"/>
  <c r="C53" i="72"/>
  <c r="B54" i="72"/>
  <c r="C54" i="72"/>
  <c r="B55" i="72"/>
  <c r="C55" i="72"/>
  <c r="B56" i="72"/>
  <c r="C56" i="72"/>
  <c r="B57" i="72"/>
  <c r="C57" i="72"/>
  <c r="B58" i="72"/>
  <c r="C58" i="72"/>
  <c r="B59" i="72"/>
  <c r="C59" i="72"/>
  <c r="B60" i="72"/>
  <c r="C60" i="72"/>
  <c r="B61" i="72"/>
  <c r="C61" i="72"/>
  <c r="B63" i="72"/>
  <c r="C63" i="72"/>
  <c r="B64" i="72"/>
  <c r="C64" i="72"/>
  <c r="B65" i="72"/>
  <c r="C65" i="72"/>
  <c r="B66" i="72"/>
  <c r="C66" i="72"/>
  <c r="B67" i="72"/>
  <c r="C67" i="72"/>
  <c r="B68" i="72"/>
  <c r="C68" i="72"/>
  <c r="B69" i="72"/>
  <c r="C69" i="72"/>
  <c r="C41" i="72"/>
  <c r="B41" i="72"/>
  <c r="B14" i="72"/>
  <c r="B15" i="72"/>
  <c r="B16" i="72"/>
  <c r="C13" i="72"/>
  <c r="B13" i="72"/>
  <c r="AA60" i="53" l="1"/>
  <c r="AF60" i="53"/>
  <c r="X61" i="53"/>
  <c r="AF61" i="53" s="1"/>
  <c r="AF45" i="65"/>
  <c r="AE45" i="65"/>
  <c r="AE62" i="57"/>
  <c r="R62" i="57"/>
  <c r="AE62" i="53"/>
  <c r="R62" i="53"/>
  <c r="AG45" i="69"/>
  <c r="AG44" i="65"/>
  <c r="AX46" i="69"/>
  <c r="X60" i="57"/>
  <c r="O63" i="57"/>
  <c r="AG63" i="57" s="1"/>
  <c r="L63" i="57"/>
  <c r="AB59" i="57"/>
  <c r="AA59" i="57"/>
  <c r="AJ62" i="57"/>
  <c r="AC62" i="57"/>
  <c r="AP62" i="57"/>
  <c r="AH45" i="65"/>
  <c r="AV45" i="65"/>
  <c r="AG62" i="53"/>
  <c r="AH62" i="53"/>
  <c r="AC62" i="53"/>
  <c r="AT62" i="53"/>
  <c r="N63" i="57"/>
  <c r="P63" i="53"/>
  <c r="N63" i="53"/>
  <c r="AH46" i="69"/>
  <c r="AD62" i="57"/>
  <c r="Q62" i="53"/>
  <c r="AD62" i="53"/>
  <c r="AK62" i="52" a="1"/>
  <c r="AK62" i="52" s="1"/>
  <c r="B64" i="53" s="1"/>
  <c r="O64" i="53" s="1"/>
  <c r="J63" i="53"/>
  <c r="I63" i="53"/>
  <c r="C63" i="53"/>
  <c r="E63" i="53"/>
  <c r="G63" i="53"/>
  <c r="D63" i="53"/>
  <c r="H63" i="53"/>
  <c r="L63" i="53"/>
  <c r="F63" i="53"/>
  <c r="K63" i="53"/>
  <c r="Q62" i="57"/>
  <c r="P63" i="57"/>
  <c r="D63" i="57"/>
  <c r="K63" i="57"/>
  <c r="I63" i="57"/>
  <c r="H63" i="57"/>
  <c r="G63" i="57"/>
  <c r="E63" i="57"/>
  <c r="C63" i="57"/>
  <c r="M63" i="57" s="1"/>
  <c r="F63" i="57"/>
  <c r="J63" i="57"/>
  <c r="T61" i="57"/>
  <c r="AK62" i="55" a="1"/>
  <c r="AK62" i="55" s="1"/>
  <c r="B64" i="57" s="1"/>
  <c r="AN48" i="67" a="1"/>
  <c r="AN48" i="67" s="1"/>
  <c r="B49" i="69"/>
  <c r="L49" i="69" s="1"/>
  <c r="Q46" i="69"/>
  <c r="R46" i="69"/>
  <c r="S46" i="69" s="1"/>
  <c r="Y46" i="69" s="1"/>
  <c r="AB46" i="69" s="1"/>
  <c r="AC46" i="69" s="1"/>
  <c r="AD46" i="69" s="1"/>
  <c r="AE46" i="69"/>
  <c r="U46" i="69"/>
  <c r="C48" i="69"/>
  <c r="AO48" i="69" s="1"/>
  <c r="O48" i="69"/>
  <c r="D47" i="69"/>
  <c r="E47" i="69" s="1"/>
  <c r="F47" i="69" s="1"/>
  <c r="G47" i="69" s="1"/>
  <c r="H47" i="69" s="1"/>
  <c r="I47" i="69" s="1"/>
  <c r="J47" i="69" s="1"/>
  <c r="K47" i="69" s="1"/>
  <c r="M47" i="69" s="1"/>
  <c r="N47" i="69"/>
  <c r="AF47" i="69" s="1"/>
  <c r="P47" i="69"/>
  <c r="C47" i="65"/>
  <c r="AM47" i="65" s="1"/>
  <c r="O47" i="65"/>
  <c r="Q45" i="65"/>
  <c r="R45" i="65"/>
  <c r="S45" i="65" s="1"/>
  <c r="Y45" i="65" s="1"/>
  <c r="AB45" i="65" s="1"/>
  <c r="AC45" i="65" s="1"/>
  <c r="AD45" i="65" s="1"/>
  <c r="U45" i="65"/>
  <c r="AN47" i="63" a="1"/>
  <c r="AN47" i="63" s="1"/>
  <c r="B48" i="65"/>
  <c r="L48" i="65" s="1"/>
  <c r="P46" i="65"/>
  <c r="N46" i="65"/>
  <c r="D46" i="65"/>
  <c r="E46" i="65" s="1"/>
  <c r="F46" i="65" s="1"/>
  <c r="G46" i="65" s="1"/>
  <c r="H46" i="65" s="1"/>
  <c r="I46" i="65" s="1"/>
  <c r="J46" i="65" s="1"/>
  <c r="K46" i="65" s="1"/>
  <c r="M46" i="65" s="1"/>
  <c r="X62" i="53" l="1"/>
  <c r="AF62" i="53" s="1"/>
  <c r="AA61" i="53"/>
  <c r="AB61" i="53"/>
  <c r="AF46" i="65"/>
  <c r="AE46" i="65"/>
  <c r="AE63" i="57"/>
  <c r="R63" i="57"/>
  <c r="AE63" i="53"/>
  <c r="R63" i="53"/>
  <c r="AB60" i="57"/>
  <c r="AF60" i="57"/>
  <c r="AG46" i="69"/>
  <c r="AG45" i="65"/>
  <c r="AX47" i="69"/>
  <c r="X61" i="57"/>
  <c r="AA60" i="57"/>
  <c r="O64" i="57"/>
  <c r="AG64" i="57" s="1"/>
  <c r="L64" i="57"/>
  <c r="AJ63" i="57"/>
  <c r="AC63" i="57"/>
  <c r="AP63" i="57"/>
  <c r="AH46" i="65"/>
  <c r="AV46" i="65"/>
  <c r="AG63" i="53"/>
  <c r="AH63" i="53"/>
  <c r="AC63" i="53"/>
  <c r="AT63" i="53"/>
  <c r="N64" i="57"/>
  <c r="P64" i="53"/>
  <c r="N64" i="53"/>
  <c r="AH47" i="69"/>
  <c r="AD63" i="57"/>
  <c r="Q63" i="53"/>
  <c r="X63" i="53" s="1"/>
  <c r="AD63" i="53"/>
  <c r="G64" i="53"/>
  <c r="E64" i="53"/>
  <c r="C64" i="53"/>
  <c r="L64" i="53"/>
  <c r="H64" i="53"/>
  <c r="AK63" i="52" a="1"/>
  <c r="AK63" i="52" s="1"/>
  <c r="B65" i="53" s="1"/>
  <c r="O65" i="53" s="1"/>
  <c r="F64" i="53"/>
  <c r="J64" i="53"/>
  <c r="I64" i="53"/>
  <c r="D64" i="53"/>
  <c r="K64" i="53"/>
  <c r="Q63" i="57"/>
  <c r="E64" i="57"/>
  <c r="K64" i="57"/>
  <c r="J64" i="57"/>
  <c r="I64" i="57"/>
  <c r="F64" i="57"/>
  <c r="C64" i="57"/>
  <c r="M64" i="57" s="1"/>
  <c r="P64" i="57"/>
  <c r="H64" i="57"/>
  <c r="D64" i="57"/>
  <c r="G64" i="57"/>
  <c r="T62" i="57"/>
  <c r="AK63" i="55" a="1"/>
  <c r="AK63" i="55" s="1"/>
  <c r="B65" i="57" s="1"/>
  <c r="N48" i="69"/>
  <c r="AF48" i="69" s="1"/>
  <c r="P48" i="69"/>
  <c r="D48" i="69"/>
  <c r="E48" i="69" s="1"/>
  <c r="F48" i="69" s="1"/>
  <c r="G48" i="69" s="1"/>
  <c r="H48" i="69" s="1"/>
  <c r="I48" i="69" s="1"/>
  <c r="J48" i="69" s="1"/>
  <c r="K48" i="69" s="1"/>
  <c r="M48" i="69" s="1"/>
  <c r="AE47" i="69"/>
  <c r="R47" i="69"/>
  <c r="S47" i="69" s="1"/>
  <c r="Y47" i="69" s="1"/>
  <c r="AB47" i="69" s="1"/>
  <c r="AC47" i="69" s="1"/>
  <c r="AD47" i="69" s="1"/>
  <c r="U47" i="69"/>
  <c r="Q47" i="69"/>
  <c r="C49" i="69"/>
  <c r="AO49" i="69" s="1"/>
  <c r="O49" i="69"/>
  <c r="AN49" i="67" a="1"/>
  <c r="AN49" i="67" s="1"/>
  <c r="B50" i="69"/>
  <c r="L50" i="69" s="1"/>
  <c r="U46" i="65"/>
  <c r="Q46" i="65"/>
  <c r="R46" i="65"/>
  <c r="S46" i="65" s="1"/>
  <c r="Y46" i="65" s="1"/>
  <c r="AB46" i="65" s="1"/>
  <c r="AC46" i="65" s="1"/>
  <c r="AD46" i="65" s="1"/>
  <c r="C48" i="65"/>
  <c r="AM48" i="65" s="1"/>
  <c r="O48" i="65"/>
  <c r="AN48" i="63" a="1"/>
  <c r="AN48" i="63" s="1"/>
  <c r="B49" i="65"/>
  <c r="L49" i="65" s="1"/>
  <c r="P47" i="65"/>
  <c r="D47" i="65"/>
  <c r="E47" i="65" s="1"/>
  <c r="F47" i="65" s="1"/>
  <c r="G47" i="65" s="1"/>
  <c r="H47" i="65" s="1"/>
  <c r="I47" i="65" s="1"/>
  <c r="J47" i="65" s="1"/>
  <c r="K47" i="65" s="1"/>
  <c r="M47" i="65" s="1"/>
  <c r="N47" i="65"/>
  <c r="M16" i="29"/>
  <c r="A94" i="22"/>
  <c r="B94" i="22"/>
  <c r="C94" i="22"/>
  <c r="A95" i="22"/>
  <c r="F95" i="22" s="1"/>
  <c r="B95" i="22"/>
  <c r="C95" i="22"/>
  <c r="A96" i="22"/>
  <c r="F96" i="22" s="1"/>
  <c r="B96" i="22"/>
  <c r="C96" i="22"/>
  <c r="A97" i="22"/>
  <c r="F97" i="22" s="1"/>
  <c r="B97" i="22"/>
  <c r="C97" i="22"/>
  <c r="A98" i="22"/>
  <c r="F98" i="22" s="1"/>
  <c r="B98" i="22"/>
  <c r="C98" i="22"/>
  <c r="A99" i="22"/>
  <c r="F99" i="22" s="1"/>
  <c r="B99" i="22"/>
  <c r="C99" i="22"/>
  <c r="A100" i="22"/>
  <c r="F100" i="22" s="1"/>
  <c r="B100" i="22"/>
  <c r="C100" i="22"/>
  <c r="A5" i="22"/>
  <c r="F5" i="22" s="1"/>
  <c r="B5" i="22"/>
  <c r="C5" i="22"/>
  <c r="A6" i="22"/>
  <c r="F6" i="22" s="1"/>
  <c r="B6" i="22"/>
  <c r="C6" i="22"/>
  <c r="A7" i="22"/>
  <c r="F7" i="22" s="1"/>
  <c r="B7" i="22"/>
  <c r="C7" i="22"/>
  <c r="A8" i="22"/>
  <c r="F8" i="22" s="1"/>
  <c r="B8" i="22"/>
  <c r="C8" i="22"/>
  <c r="A9" i="22"/>
  <c r="F9" i="22" s="1"/>
  <c r="B9" i="22"/>
  <c r="C9" i="22"/>
  <c r="A10" i="22"/>
  <c r="F10" i="22" s="1"/>
  <c r="B10" i="22"/>
  <c r="C10" i="22"/>
  <c r="A11" i="22"/>
  <c r="F11" i="22" s="1"/>
  <c r="B11" i="22"/>
  <c r="C11" i="22"/>
  <c r="A12" i="22"/>
  <c r="F12" i="22" s="1"/>
  <c r="B12" i="22"/>
  <c r="C12" i="22"/>
  <c r="A13" i="22"/>
  <c r="F13" i="22" s="1"/>
  <c r="B13" i="22"/>
  <c r="C13" i="22"/>
  <c r="A14" i="22"/>
  <c r="F14" i="22" s="1"/>
  <c r="B14" i="22"/>
  <c r="C14" i="22"/>
  <c r="A15" i="22"/>
  <c r="B15" i="22"/>
  <c r="C15" i="22"/>
  <c r="A16" i="22"/>
  <c r="F16" i="22" s="1"/>
  <c r="B16" i="22"/>
  <c r="C16" i="22"/>
  <c r="A17" i="22"/>
  <c r="F17" i="22" s="1"/>
  <c r="B17" i="22"/>
  <c r="C17" i="22"/>
  <c r="A18" i="22"/>
  <c r="F18" i="22" s="1"/>
  <c r="B18" i="22"/>
  <c r="C18" i="22"/>
  <c r="A19" i="22"/>
  <c r="F19" i="22" s="1"/>
  <c r="B19" i="22"/>
  <c r="C19" i="22"/>
  <c r="A20" i="22"/>
  <c r="B20" i="22"/>
  <c r="C20" i="22"/>
  <c r="A21" i="22"/>
  <c r="B21" i="22"/>
  <c r="C21" i="22"/>
  <c r="A22" i="22"/>
  <c r="F22" i="22" s="1"/>
  <c r="B22" i="22"/>
  <c r="C22" i="22"/>
  <c r="A23" i="22"/>
  <c r="F23" i="22" s="1"/>
  <c r="B23" i="22"/>
  <c r="C23" i="22"/>
  <c r="A24" i="22"/>
  <c r="B24" i="22"/>
  <c r="C24" i="22"/>
  <c r="A25" i="22"/>
  <c r="F25" i="22" s="1"/>
  <c r="B25" i="22"/>
  <c r="C25" i="22"/>
  <c r="A26" i="22"/>
  <c r="F26" i="22" s="1"/>
  <c r="B26" i="22"/>
  <c r="C26" i="22"/>
  <c r="A27" i="22"/>
  <c r="B27" i="22"/>
  <c r="C27" i="22"/>
  <c r="A28" i="22"/>
  <c r="F28" i="22" s="1"/>
  <c r="B28" i="22"/>
  <c r="C28" i="22"/>
  <c r="A29" i="22"/>
  <c r="F29" i="22" s="1"/>
  <c r="B29" i="22"/>
  <c r="C29" i="22"/>
  <c r="A30" i="22"/>
  <c r="F30" i="22" s="1"/>
  <c r="B30" i="22"/>
  <c r="C30" i="22"/>
  <c r="A31" i="22"/>
  <c r="F31" i="22" s="1"/>
  <c r="B31" i="22"/>
  <c r="C31" i="22"/>
  <c r="A32" i="22"/>
  <c r="F32" i="22" s="1"/>
  <c r="B32" i="22"/>
  <c r="C32" i="22"/>
  <c r="A33" i="22"/>
  <c r="F33" i="22" s="1"/>
  <c r="B33" i="22"/>
  <c r="C33" i="22"/>
  <c r="A34" i="22"/>
  <c r="B34" i="22"/>
  <c r="C34" i="22"/>
  <c r="A35" i="22"/>
  <c r="B35" i="22"/>
  <c r="C35" i="22"/>
  <c r="A36" i="22"/>
  <c r="F36" i="22" s="1"/>
  <c r="B36" i="22"/>
  <c r="C36" i="22"/>
  <c r="A37" i="22"/>
  <c r="F37" i="22" s="1"/>
  <c r="B37" i="22"/>
  <c r="C37" i="22"/>
  <c r="A38" i="22"/>
  <c r="F38" i="22" s="1"/>
  <c r="B38" i="22"/>
  <c r="C38" i="22"/>
  <c r="A39" i="22"/>
  <c r="F39" i="22" s="1"/>
  <c r="B39" i="22"/>
  <c r="C39" i="22"/>
  <c r="A40" i="22"/>
  <c r="F40" i="22" s="1"/>
  <c r="B40" i="22"/>
  <c r="C40" i="22"/>
  <c r="A42" i="22"/>
  <c r="F42" i="22" s="1"/>
  <c r="B42" i="22"/>
  <c r="C42" i="22"/>
  <c r="A43" i="22"/>
  <c r="F43" i="22" s="1"/>
  <c r="B43" i="22"/>
  <c r="C43" i="22"/>
  <c r="A44" i="22"/>
  <c r="F44" i="22" s="1"/>
  <c r="B44" i="22"/>
  <c r="C44" i="22"/>
  <c r="A45" i="22"/>
  <c r="F45" i="22" s="1"/>
  <c r="B45" i="22"/>
  <c r="C45" i="22"/>
  <c r="A46" i="22"/>
  <c r="F46" i="22" s="1"/>
  <c r="B46" i="22"/>
  <c r="C46" i="22"/>
  <c r="A47" i="22"/>
  <c r="F47" i="22" s="1"/>
  <c r="B47" i="22"/>
  <c r="C47" i="22"/>
  <c r="A48" i="22"/>
  <c r="F48" i="22" s="1"/>
  <c r="B48" i="22"/>
  <c r="C48" i="22"/>
  <c r="A49" i="22"/>
  <c r="F49" i="22" s="1"/>
  <c r="B49" i="22"/>
  <c r="C49" i="22"/>
  <c r="A50" i="22"/>
  <c r="F50" i="22" s="1"/>
  <c r="B50" i="22"/>
  <c r="C50" i="22"/>
  <c r="A51" i="22"/>
  <c r="F51" i="22" s="1"/>
  <c r="B51" i="22"/>
  <c r="C51" i="22"/>
  <c r="A52" i="22"/>
  <c r="F52" i="22" s="1"/>
  <c r="B52" i="22"/>
  <c r="C52" i="22"/>
  <c r="A53" i="22"/>
  <c r="F53" i="22" s="1"/>
  <c r="B53" i="22"/>
  <c r="C53" i="22"/>
  <c r="A54" i="22"/>
  <c r="F54" i="22" s="1"/>
  <c r="B54" i="22"/>
  <c r="C54" i="22"/>
  <c r="A55" i="22"/>
  <c r="F55" i="22" s="1"/>
  <c r="B55" i="22"/>
  <c r="C55" i="22"/>
  <c r="A56" i="22"/>
  <c r="F56" i="22" s="1"/>
  <c r="B56" i="22"/>
  <c r="C56" i="22"/>
  <c r="A57" i="22"/>
  <c r="F57" i="22" s="1"/>
  <c r="B57" i="22"/>
  <c r="C57" i="22"/>
  <c r="A58" i="22"/>
  <c r="F58" i="22" s="1"/>
  <c r="B58" i="22"/>
  <c r="C58" i="22"/>
  <c r="A59" i="22"/>
  <c r="F59" i="22" s="1"/>
  <c r="B59" i="22"/>
  <c r="C59" i="22"/>
  <c r="A41" i="22"/>
  <c r="F41" i="22" s="1"/>
  <c r="B41" i="22"/>
  <c r="C41" i="22"/>
  <c r="A60" i="22"/>
  <c r="F60" i="22" s="1"/>
  <c r="B60" i="22"/>
  <c r="C60" i="22"/>
  <c r="A61" i="22"/>
  <c r="F61" i="22" s="1"/>
  <c r="B61" i="22"/>
  <c r="C61" i="22"/>
  <c r="A62" i="22"/>
  <c r="F62" i="22" s="1"/>
  <c r="B62" i="22"/>
  <c r="C62" i="22"/>
  <c r="A63" i="22"/>
  <c r="F63" i="22" s="1"/>
  <c r="B63" i="22"/>
  <c r="C63" i="22"/>
  <c r="A64" i="22"/>
  <c r="F64" i="22" s="1"/>
  <c r="B64" i="22"/>
  <c r="C64" i="22"/>
  <c r="A65" i="22"/>
  <c r="B65" i="22"/>
  <c r="C65" i="22"/>
  <c r="A66" i="22"/>
  <c r="F66" i="22" s="1"/>
  <c r="B66" i="22"/>
  <c r="C66" i="22"/>
  <c r="A67" i="22"/>
  <c r="F67" i="22" s="1"/>
  <c r="B67" i="22"/>
  <c r="C67" i="22"/>
  <c r="A68" i="22"/>
  <c r="B68" i="22"/>
  <c r="C68" i="22"/>
  <c r="A69" i="22"/>
  <c r="F69" i="22" s="1"/>
  <c r="B69" i="22"/>
  <c r="C69" i="22"/>
  <c r="A70" i="22"/>
  <c r="F70" i="22" s="1"/>
  <c r="B70" i="22"/>
  <c r="C70" i="22"/>
  <c r="A71" i="22"/>
  <c r="B71" i="22"/>
  <c r="C71" i="22"/>
  <c r="A72" i="22"/>
  <c r="F72" i="22" s="1"/>
  <c r="B72" i="22"/>
  <c r="C72" i="22"/>
  <c r="A73" i="22"/>
  <c r="F73" i="22" s="1"/>
  <c r="B73" i="22"/>
  <c r="C73" i="22"/>
  <c r="A74" i="22"/>
  <c r="B74" i="22"/>
  <c r="C74" i="22"/>
  <c r="A75" i="22"/>
  <c r="B75" i="22"/>
  <c r="C75" i="22"/>
  <c r="A76" i="22"/>
  <c r="F76" i="22" s="1"/>
  <c r="B76" i="22"/>
  <c r="C76" i="22"/>
  <c r="A77" i="22"/>
  <c r="F77" i="22" s="1"/>
  <c r="B77" i="22"/>
  <c r="C77" i="22"/>
  <c r="A78" i="22"/>
  <c r="B78" i="22"/>
  <c r="C78" i="22"/>
  <c r="A79" i="22"/>
  <c r="F79" i="22" s="1"/>
  <c r="B79" i="22"/>
  <c r="C79" i="22"/>
  <c r="A80" i="22"/>
  <c r="F80" i="22" s="1"/>
  <c r="B80" i="22"/>
  <c r="C80" i="22"/>
  <c r="A81" i="22"/>
  <c r="F81" i="22" s="1"/>
  <c r="B81" i="22"/>
  <c r="C81" i="22"/>
  <c r="A82" i="22"/>
  <c r="F82" i="22" s="1"/>
  <c r="B82" i="22"/>
  <c r="C82" i="22"/>
  <c r="A83" i="22"/>
  <c r="F83" i="22" s="1"/>
  <c r="B83" i="22"/>
  <c r="C83" i="22"/>
  <c r="A84" i="22"/>
  <c r="F84" i="22" s="1"/>
  <c r="B84" i="22"/>
  <c r="C84" i="22"/>
  <c r="A85" i="22"/>
  <c r="F85" i="22" s="1"/>
  <c r="B85" i="22"/>
  <c r="C85" i="22"/>
  <c r="A86" i="22"/>
  <c r="F86" i="22" s="1"/>
  <c r="B86" i="22"/>
  <c r="C86" i="22"/>
  <c r="A87" i="22"/>
  <c r="F87" i="22" s="1"/>
  <c r="B87" i="22"/>
  <c r="C87" i="22"/>
  <c r="A88" i="22"/>
  <c r="B88" i="22"/>
  <c r="C88" i="22"/>
  <c r="A89" i="22"/>
  <c r="F89" i="22" s="1"/>
  <c r="B89" i="22"/>
  <c r="C89" i="22"/>
  <c r="A90" i="22"/>
  <c r="F90" i="22" s="1"/>
  <c r="B90" i="22"/>
  <c r="C90" i="22"/>
  <c r="A91" i="22"/>
  <c r="F91" i="22" s="1"/>
  <c r="B91" i="22"/>
  <c r="C91" i="22"/>
  <c r="A92" i="22"/>
  <c r="B92" i="22"/>
  <c r="C92" i="22"/>
  <c r="A93" i="22"/>
  <c r="F93" i="22" s="1"/>
  <c r="B93" i="22"/>
  <c r="C93" i="22"/>
  <c r="C4" i="22"/>
  <c r="B4" i="22"/>
  <c r="A4" i="22"/>
  <c r="F4" i="22" s="1"/>
  <c r="AB62" i="53" l="1"/>
  <c r="AA62" i="53"/>
  <c r="AF63" i="53"/>
  <c r="AF47" i="65"/>
  <c r="AE47" i="65"/>
  <c r="AE64" i="57"/>
  <c r="R64" i="57"/>
  <c r="AE64" i="53"/>
  <c r="R64" i="53"/>
  <c r="AB61" i="57"/>
  <c r="AF61" i="57"/>
  <c r="AG47" i="69"/>
  <c r="AG46" i="65"/>
  <c r="E72" i="22"/>
  <c r="S72" i="22"/>
  <c r="E57" i="22"/>
  <c r="S57" i="22"/>
  <c r="S49" i="22"/>
  <c r="E49" i="22"/>
  <c r="S40" i="22"/>
  <c r="E40" i="22"/>
  <c r="E32" i="22"/>
  <c r="S32" i="22"/>
  <c r="E24" i="22"/>
  <c r="S24" i="22"/>
  <c r="E16" i="22"/>
  <c r="S16" i="22"/>
  <c r="S8" i="22"/>
  <c r="E8" i="22"/>
  <c r="S96" i="22"/>
  <c r="E96" i="22"/>
  <c r="S89" i="22"/>
  <c r="E89" i="22"/>
  <c r="E91" i="22"/>
  <c r="S91" i="22"/>
  <c r="S83" i="22"/>
  <c r="E83" i="22"/>
  <c r="E4" i="22"/>
  <c r="S4" i="22"/>
  <c r="S88" i="22"/>
  <c r="E88" i="22"/>
  <c r="S64" i="22"/>
  <c r="E64" i="22"/>
  <c r="E93" i="22"/>
  <c r="S93" i="22"/>
  <c r="E85" i="22"/>
  <c r="S85" i="22"/>
  <c r="S77" i="22"/>
  <c r="E77" i="22"/>
  <c r="S69" i="22"/>
  <c r="E69" i="22"/>
  <c r="E61" i="22"/>
  <c r="S61" i="22"/>
  <c r="S54" i="22"/>
  <c r="E54" i="22"/>
  <c r="S46" i="22"/>
  <c r="E46" i="22"/>
  <c r="S37" i="22"/>
  <c r="E37" i="22"/>
  <c r="S29" i="22"/>
  <c r="E29" i="22"/>
  <c r="S21" i="22"/>
  <c r="E21" i="22"/>
  <c r="S13" i="22"/>
  <c r="E13" i="22"/>
  <c r="S5" i="22"/>
  <c r="E5" i="22"/>
  <c r="E80" i="22"/>
  <c r="S80" i="22"/>
  <c r="S90" i="22"/>
  <c r="E90" i="22"/>
  <c r="E82" i="22"/>
  <c r="S82" i="22"/>
  <c r="S74" i="22"/>
  <c r="E74" i="22"/>
  <c r="E66" i="22"/>
  <c r="S66" i="22"/>
  <c r="E59" i="22"/>
  <c r="S59" i="22"/>
  <c r="S51" i="22"/>
  <c r="E51" i="22"/>
  <c r="S43" i="22"/>
  <c r="E43" i="22"/>
  <c r="S34" i="22"/>
  <c r="E34" i="22"/>
  <c r="S26" i="22"/>
  <c r="E26" i="22"/>
  <c r="E18" i="22"/>
  <c r="S18" i="22"/>
  <c r="S10" i="22"/>
  <c r="E10" i="22"/>
  <c r="S98" i="22"/>
  <c r="E98" i="22"/>
  <c r="E87" i="22"/>
  <c r="S87" i="22"/>
  <c r="E79" i="22"/>
  <c r="S79" i="22"/>
  <c r="E71" i="22"/>
  <c r="S71" i="22"/>
  <c r="E63" i="22"/>
  <c r="S63" i="22"/>
  <c r="E56" i="22"/>
  <c r="S56" i="22"/>
  <c r="S48" i="22"/>
  <c r="E48" i="22"/>
  <c r="S39" i="22"/>
  <c r="E39" i="22"/>
  <c r="E31" i="22"/>
  <c r="S31" i="22"/>
  <c r="E23" i="22"/>
  <c r="S23" i="22"/>
  <c r="E15" i="22"/>
  <c r="S15" i="22"/>
  <c r="E7" i="22"/>
  <c r="S7" i="22"/>
  <c r="S95" i="22"/>
  <c r="E95" i="22"/>
  <c r="AW100" i="22" s="1"/>
  <c r="E92" i="22"/>
  <c r="S92" i="22"/>
  <c r="E84" i="22"/>
  <c r="S84" i="22"/>
  <c r="E76" i="22"/>
  <c r="S76" i="22"/>
  <c r="S68" i="22"/>
  <c r="E68" i="22"/>
  <c r="S60" i="22"/>
  <c r="E60" i="22"/>
  <c r="E53" i="22"/>
  <c r="S53" i="22"/>
  <c r="S45" i="22"/>
  <c r="E45" i="22"/>
  <c r="S36" i="22"/>
  <c r="E36" i="22"/>
  <c r="E28" i="22"/>
  <c r="S28" i="22"/>
  <c r="S20" i="22"/>
  <c r="E20" i="22"/>
  <c r="S12" i="22"/>
  <c r="E12" i="22"/>
  <c r="S100" i="22"/>
  <c r="E100" i="22"/>
  <c r="AW19" i="22" s="1"/>
  <c r="S81" i="22"/>
  <c r="E81" i="22"/>
  <c r="E73" i="22"/>
  <c r="S73" i="22"/>
  <c r="E65" i="22"/>
  <c r="S65" i="22"/>
  <c r="E58" i="22"/>
  <c r="S58" i="22"/>
  <c r="E50" i="22"/>
  <c r="S50" i="22"/>
  <c r="S42" i="22"/>
  <c r="E42" i="22"/>
  <c r="S33" i="22"/>
  <c r="E33" i="22"/>
  <c r="E25" i="22"/>
  <c r="S25" i="22"/>
  <c r="E17" i="22"/>
  <c r="S17" i="22"/>
  <c r="S9" i="22"/>
  <c r="E9" i="22"/>
  <c r="E97" i="22"/>
  <c r="S97" i="22"/>
  <c r="E86" i="22"/>
  <c r="S86" i="22"/>
  <c r="E78" i="22"/>
  <c r="S78" i="22"/>
  <c r="E70" i="22"/>
  <c r="S70" i="22"/>
  <c r="E62" i="22"/>
  <c r="S62" i="22"/>
  <c r="S55" i="22"/>
  <c r="E55" i="22"/>
  <c r="S47" i="22"/>
  <c r="E47" i="22"/>
  <c r="S38" i="22"/>
  <c r="E38" i="22"/>
  <c r="S30" i="22"/>
  <c r="E30" i="22"/>
  <c r="S22" i="22"/>
  <c r="E22" i="22"/>
  <c r="S14" i="22"/>
  <c r="E14" i="22"/>
  <c r="S6" i="22"/>
  <c r="E6" i="22"/>
  <c r="E94" i="22"/>
  <c r="AW99" i="22" s="1"/>
  <c r="S94" i="22"/>
  <c r="S75" i="22"/>
  <c r="E75" i="22"/>
  <c r="S67" i="22"/>
  <c r="E67" i="22"/>
  <c r="S41" i="22"/>
  <c r="E41" i="22"/>
  <c r="S52" i="22"/>
  <c r="E52" i="22"/>
  <c r="S44" i="22"/>
  <c r="E44" i="22"/>
  <c r="E35" i="22"/>
  <c r="S35" i="22"/>
  <c r="S27" i="22"/>
  <c r="E27" i="22"/>
  <c r="S19" i="22"/>
  <c r="E19" i="22"/>
  <c r="E11" i="22"/>
  <c r="S11" i="22"/>
  <c r="E99" i="22"/>
  <c r="S99" i="22"/>
  <c r="AW70" i="22"/>
  <c r="AW69" i="22"/>
  <c r="AW65" i="22"/>
  <c r="AW61" i="22"/>
  <c r="AW68" i="22"/>
  <c r="AW64" i="22"/>
  <c r="AW71" i="22"/>
  <c r="AW67" i="22"/>
  <c r="AW63" i="22"/>
  <c r="AW66" i="22"/>
  <c r="AW62" i="22"/>
  <c r="BG24" i="22"/>
  <c r="AW24" i="22"/>
  <c r="D17" i="22"/>
  <c r="P87" i="11"/>
  <c r="Q87" i="11" s="1"/>
  <c r="U30" i="22"/>
  <c r="U14" i="22"/>
  <c r="U23" i="22"/>
  <c r="U16" i="22"/>
  <c r="U8" i="22"/>
  <c r="U21" i="22"/>
  <c r="U20" i="22"/>
  <c r="AW103" i="22"/>
  <c r="AX48" i="69"/>
  <c r="AA61" i="57"/>
  <c r="O65" i="57"/>
  <c r="AG65" i="57" s="1"/>
  <c r="L65" i="57"/>
  <c r="AJ64" i="57"/>
  <c r="AC64" i="57"/>
  <c r="AP64" i="57"/>
  <c r="X62" i="57"/>
  <c r="AF62" i="57" s="1"/>
  <c r="AH47" i="65"/>
  <c r="AV47" i="65"/>
  <c r="AB63" i="53"/>
  <c r="AA63" i="53"/>
  <c r="AG64" i="53"/>
  <c r="Q64" i="53"/>
  <c r="AH64" i="53"/>
  <c r="AC64" i="53"/>
  <c r="AT64" i="53"/>
  <c r="N65" i="57"/>
  <c r="I65" i="53"/>
  <c r="N65" i="53"/>
  <c r="AH48" i="69"/>
  <c r="AD64" i="57"/>
  <c r="AD64" i="53"/>
  <c r="AK64" i="52" a="1"/>
  <c r="AK64" i="52" s="1"/>
  <c r="B66" i="53" s="1"/>
  <c r="O66" i="53" s="1"/>
  <c r="J65" i="53"/>
  <c r="E65" i="53"/>
  <c r="H65" i="53"/>
  <c r="G65" i="53"/>
  <c r="P65" i="53"/>
  <c r="D65" i="53"/>
  <c r="C65" i="53"/>
  <c r="K65" i="53"/>
  <c r="L65" i="53"/>
  <c r="F65" i="53"/>
  <c r="Q64" i="57"/>
  <c r="G65" i="57"/>
  <c r="C65" i="57"/>
  <c r="M65" i="57" s="1"/>
  <c r="K65" i="57"/>
  <c r="I65" i="57"/>
  <c r="H65" i="57"/>
  <c r="E65" i="57"/>
  <c r="D65" i="57"/>
  <c r="P65" i="57"/>
  <c r="F65" i="57"/>
  <c r="J65" i="57"/>
  <c r="T63" i="57"/>
  <c r="AW136" i="22"/>
  <c r="AW102" i="22"/>
  <c r="AW101" i="22"/>
  <c r="AK16" i="22"/>
  <c r="C51" i="36" s="1"/>
  <c r="AK32" i="22"/>
  <c r="C70" i="36" s="1"/>
  <c r="AK64" i="55" a="1"/>
  <c r="AK64" i="55" s="1"/>
  <c r="B66" i="57" s="1"/>
  <c r="D49" i="69"/>
  <c r="E49" i="69" s="1"/>
  <c r="F49" i="69" s="1"/>
  <c r="G49" i="69" s="1"/>
  <c r="H49" i="69" s="1"/>
  <c r="I49" i="69" s="1"/>
  <c r="J49" i="69" s="1"/>
  <c r="K49" i="69" s="1"/>
  <c r="M49" i="69" s="1"/>
  <c r="N49" i="69"/>
  <c r="AF49" i="69" s="1"/>
  <c r="P49" i="69"/>
  <c r="C50" i="69"/>
  <c r="AO50" i="69" s="1"/>
  <c r="O50" i="69"/>
  <c r="AN50" i="67" a="1"/>
  <c r="AN50" i="67" s="1"/>
  <c r="B51" i="69"/>
  <c r="L51" i="69" s="1"/>
  <c r="AE48" i="69"/>
  <c r="Q48" i="69"/>
  <c r="R48" i="69"/>
  <c r="S48" i="69" s="1"/>
  <c r="Y48" i="69" s="1"/>
  <c r="AB48" i="69" s="1"/>
  <c r="AC48" i="69" s="1"/>
  <c r="AD48" i="69" s="1"/>
  <c r="U48" i="69"/>
  <c r="C49" i="65"/>
  <c r="AM49" i="65" s="1"/>
  <c r="O49" i="65"/>
  <c r="AN49" i="63" a="1"/>
  <c r="AN49" i="63" s="1"/>
  <c r="B50" i="65"/>
  <c r="L50" i="65" s="1"/>
  <c r="D48" i="65"/>
  <c r="E48" i="65" s="1"/>
  <c r="F48" i="65" s="1"/>
  <c r="G48" i="65" s="1"/>
  <c r="H48" i="65" s="1"/>
  <c r="I48" i="65" s="1"/>
  <c r="J48" i="65" s="1"/>
  <c r="K48" i="65" s="1"/>
  <c r="M48" i="65" s="1"/>
  <c r="P48" i="65"/>
  <c r="N48" i="65"/>
  <c r="U47" i="65"/>
  <c r="Q47" i="65"/>
  <c r="R47" i="65"/>
  <c r="S47" i="65" s="1"/>
  <c r="Y47" i="65" s="1"/>
  <c r="AB47" i="65" s="1"/>
  <c r="AC47" i="65" s="1"/>
  <c r="AD47" i="65" s="1"/>
  <c r="V95" i="22"/>
  <c r="U95" i="22"/>
  <c r="U4" i="22"/>
  <c r="V49" i="22"/>
  <c r="U49" i="22"/>
  <c r="U79" i="22"/>
  <c r="V79" i="22"/>
  <c r="U59" i="22"/>
  <c r="V59" i="22"/>
  <c r="U43" i="22"/>
  <c r="V43" i="22"/>
  <c r="AK29" i="22"/>
  <c r="C67" i="36" s="1"/>
  <c r="AK31" i="22"/>
  <c r="C69" i="36" s="1"/>
  <c r="AK28" i="22"/>
  <c r="C66" i="36" s="1"/>
  <c r="AK30" i="22"/>
  <c r="C68" i="36" s="1"/>
  <c r="V22" i="22"/>
  <c r="U22" i="22"/>
  <c r="V6" i="22"/>
  <c r="U6" i="22"/>
  <c r="U86" i="22"/>
  <c r="U66" i="22"/>
  <c r="U35" i="22"/>
  <c r="G99" i="22"/>
  <c r="V99" i="22"/>
  <c r="U99" i="22"/>
  <c r="V91" i="22"/>
  <c r="U91" i="22"/>
  <c r="V83" i="22"/>
  <c r="U83" i="22"/>
  <c r="V76" i="22"/>
  <c r="U76" i="22"/>
  <c r="V71" i="22"/>
  <c r="U71" i="22"/>
  <c r="V63" i="22"/>
  <c r="U63" i="22"/>
  <c r="V56" i="22"/>
  <c r="U56" i="22"/>
  <c r="U88" i="22"/>
  <c r="V88" i="22"/>
  <c r="U80" i="22"/>
  <c r="V80" i="22"/>
  <c r="U68" i="22"/>
  <c r="V68" i="22"/>
  <c r="U60" i="22"/>
  <c r="U53" i="22"/>
  <c r="V53" i="22"/>
  <c r="V37" i="22"/>
  <c r="U37" i="22"/>
  <c r="V5" i="22"/>
  <c r="U5" i="22"/>
  <c r="V46" i="22"/>
  <c r="U46" i="22"/>
  <c r="V27" i="22"/>
  <c r="U27" i="22"/>
  <c r="U19" i="22"/>
  <c r="V11" i="22"/>
  <c r="U11" i="22"/>
  <c r="V48" i="22"/>
  <c r="U48" i="22"/>
  <c r="V40" i="22"/>
  <c r="U40" i="22"/>
  <c r="U32" i="22"/>
  <c r="V24" i="22"/>
  <c r="U24" i="22"/>
  <c r="V96" i="22"/>
  <c r="U96" i="22"/>
  <c r="U94" i="22"/>
  <c r="V94" i="22"/>
  <c r="U93" i="22"/>
  <c r="V93" i="22"/>
  <c r="U85" i="22"/>
  <c r="V85" i="22"/>
  <c r="U78" i="22"/>
  <c r="V78" i="22"/>
  <c r="U72" i="22"/>
  <c r="V72" i="22"/>
  <c r="U65" i="22"/>
  <c r="V65" i="22"/>
  <c r="U58" i="22"/>
  <c r="V58" i="22"/>
  <c r="U50" i="22"/>
  <c r="V50" i="22"/>
  <c r="U42" i="22"/>
  <c r="V42" i="22"/>
  <c r="U34" i="22"/>
  <c r="U26" i="22"/>
  <c r="V26" i="22"/>
  <c r="U18" i="22"/>
  <c r="U10" i="22"/>
  <c r="V10" i="22"/>
  <c r="K98" i="22"/>
  <c r="V98" i="22"/>
  <c r="U98" i="22"/>
  <c r="V92" i="22"/>
  <c r="U92" i="22"/>
  <c r="V84" i="22"/>
  <c r="U84" i="22"/>
  <c r="V77" i="22"/>
  <c r="U77" i="22"/>
  <c r="V64" i="22"/>
  <c r="U64" i="22"/>
  <c r="U25" i="22"/>
  <c r="V25" i="22"/>
  <c r="U17" i="22"/>
  <c r="V17" i="22"/>
  <c r="U9" i="22"/>
  <c r="V9" i="22"/>
  <c r="V89" i="22"/>
  <c r="U89" i="22"/>
  <c r="V75" i="22"/>
  <c r="U75" i="22"/>
  <c r="V61" i="22"/>
  <c r="U61" i="22"/>
  <c r="U38" i="22"/>
  <c r="V74" i="22"/>
  <c r="U74" i="22"/>
  <c r="U45" i="22"/>
  <c r="V45" i="22"/>
  <c r="U29" i="22"/>
  <c r="V29" i="22"/>
  <c r="U13" i="22"/>
  <c r="V13" i="22"/>
  <c r="V90" i="22"/>
  <c r="U90" i="22"/>
  <c r="U82" i="22"/>
  <c r="V82" i="22"/>
  <c r="U70" i="22"/>
  <c r="U62" i="22"/>
  <c r="V62" i="22"/>
  <c r="V55" i="22"/>
  <c r="U55" i="22"/>
  <c r="U47" i="22"/>
  <c r="V47" i="22"/>
  <c r="V39" i="22"/>
  <c r="U39" i="22"/>
  <c r="U31" i="22"/>
  <c r="V31" i="22"/>
  <c r="U15" i="22"/>
  <c r="V15" i="22"/>
  <c r="U7" i="22"/>
  <c r="V57" i="22"/>
  <c r="U57" i="22"/>
  <c r="U33" i="22"/>
  <c r="U97" i="22"/>
  <c r="V97" i="22"/>
  <c r="V81" i="22"/>
  <c r="U81" i="22"/>
  <c r="U69" i="22"/>
  <c r="V54" i="22"/>
  <c r="U54" i="22"/>
  <c r="U51" i="22"/>
  <c r="V51" i="22"/>
  <c r="V87" i="22"/>
  <c r="U87" i="22"/>
  <c r="V73" i="22"/>
  <c r="U73" i="22"/>
  <c r="U67" i="22"/>
  <c r="V41" i="22"/>
  <c r="U41" i="22"/>
  <c r="V52" i="22"/>
  <c r="U52" i="22"/>
  <c r="V44" i="22"/>
  <c r="U44" i="22"/>
  <c r="U36" i="22"/>
  <c r="V28" i="22"/>
  <c r="U28" i="22"/>
  <c r="V12" i="22"/>
  <c r="U12" i="22"/>
  <c r="K100" i="22"/>
  <c r="U100" i="22"/>
  <c r="V100" i="22"/>
  <c r="AW21" i="22"/>
  <c r="BG21" i="22"/>
  <c r="BG23" i="22"/>
  <c r="BG22" i="22"/>
  <c r="AW144" i="22"/>
  <c r="AW143" i="22"/>
  <c r="AW23" i="22"/>
  <c r="AW145" i="22"/>
  <c r="AW141" i="22"/>
  <c r="AW22" i="22"/>
  <c r="AW137" i="22"/>
  <c r="AW142" i="22"/>
  <c r="AW140" i="22"/>
  <c r="AW138" i="22"/>
  <c r="AW139" i="22"/>
  <c r="AW20" i="22"/>
  <c r="AK12" i="22"/>
  <c r="AK13" i="22"/>
  <c r="AK14" i="22"/>
  <c r="AK15" i="22"/>
  <c r="K97" i="22"/>
  <c r="G96" i="22"/>
  <c r="W95" i="22"/>
  <c r="K95" i="22"/>
  <c r="G94" i="22"/>
  <c r="G100" i="22"/>
  <c r="W99" i="22"/>
  <c r="K99" i="22"/>
  <c r="G98" i="22"/>
  <c r="W97" i="22"/>
  <c r="W100" i="22"/>
  <c r="G97" i="22"/>
  <c r="W96" i="22"/>
  <c r="K96" i="22"/>
  <c r="G95" i="22"/>
  <c r="W94" i="22"/>
  <c r="K94" i="22"/>
  <c r="W98" i="22"/>
  <c r="Q4" i="29"/>
  <c r="E6" i="28" s="1"/>
  <c r="Q5" i="29"/>
  <c r="E7" i="28" s="1"/>
  <c r="Q6" i="29"/>
  <c r="E8" i="28" s="1"/>
  <c r="Q7" i="29"/>
  <c r="E9" i="28" s="1"/>
  <c r="Q8" i="29"/>
  <c r="E10" i="28" s="1"/>
  <c r="Q9" i="29"/>
  <c r="E11" i="28" s="1"/>
  <c r="Q10" i="29"/>
  <c r="E12" i="28" s="1"/>
  <c r="Q11" i="29"/>
  <c r="E13" i="28" s="1"/>
  <c r="Q12" i="29"/>
  <c r="E14" i="28" s="1"/>
  <c r="Q13" i="29"/>
  <c r="E15" i="28" s="1"/>
  <c r="Q14" i="29"/>
  <c r="E16" i="28" s="1"/>
  <c r="Q15" i="29"/>
  <c r="E17" i="28" s="1"/>
  <c r="Q16" i="29"/>
  <c r="E18" i="28" s="1"/>
  <c r="Q17" i="29"/>
  <c r="E19" i="28" s="1"/>
  <c r="Q18" i="29"/>
  <c r="E20" i="28" s="1"/>
  <c r="Q19" i="29"/>
  <c r="E21" i="28" s="1"/>
  <c r="Q20" i="29"/>
  <c r="E22" i="28" s="1"/>
  <c r="Q21" i="29"/>
  <c r="E23" i="28" s="1"/>
  <c r="Q22" i="29"/>
  <c r="E24" i="28" s="1"/>
  <c r="Q23" i="29"/>
  <c r="E25" i="28" s="1"/>
  <c r="Q24" i="29"/>
  <c r="E26" i="28" s="1"/>
  <c r="Q25" i="29"/>
  <c r="E27" i="28" s="1"/>
  <c r="Q26" i="29"/>
  <c r="E28" i="28" s="1"/>
  <c r="Q27" i="29"/>
  <c r="E29" i="28" s="1"/>
  <c r="Q28" i="29"/>
  <c r="E30" i="28" s="1"/>
  <c r="Q29" i="29"/>
  <c r="E31" i="28" s="1"/>
  <c r="Q30" i="29"/>
  <c r="E32" i="28" s="1"/>
  <c r="Q31" i="29"/>
  <c r="E33" i="28" s="1"/>
  <c r="Q32" i="29"/>
  <c r="E34" i="28" s="1"/>
  <c r="Q33" i="29"/>
  <c r="E35" i="28" s="1"/>
  <c r="Q34" i="29"/>
  <c r="E36" i="28" s="1"/>
  <c r="Q35" i="29"/>
  <c r="E37" i="28" s="1"/>
  <c r="Q36" i="29"/>
  <c r="E38" i="28" s="1"/>
  <c r="Q37" i="29"/>
  <c r="E39" i="28" s="1"/>
  <c r="Q38" i="29"/>
  <c r="E40" i="28" s="1"/>
  <c r="Q39" i="29"/>
  <c r="E53" i="28" s="1"/>
  <c r="Q41" i="29"/>
  <c r="E55" i="28" s="1"/>
  <c r="Q42" i="29"/>
  <c r="E56" i="28" s="1"/>
  <c r="Q43" i="29"/>
  <c r="E57" i="28" s="1"/>
  <c r="Q44" i="29"/>
  <c r="E58" i="28" s="1"/>
  <c r="Q45" i="29"/>
  <c r="E59" i="28" s="1"/>
  <c r="Q46" i="29"/>
  <c r="E61" i="28" s="1"/>
  <c r="Q47" i="29"/>
  <c r="E60" i="28" s="1"/>
  <c r="Q48" i="29"/>
  <c r="E62" i="28" s="1"/>
  <c r="Q49" i="29"/>
  <c r="E63" i="28" s="1"/>
  <c r="Q50" i="29"/>
  <c r="E72" i="28" s="1"/>
  <c r="Q51" i="29"/>
  <c r="E73" i="28" s="1"/>
  <c r="Q52" i="29"/>
  <c r="E74" i="28" s="1"/>
  <c r="Q53" i="29"/>
  <c r="E79" i="28" s="1"/>
  <c r="Q54" i="29"/>
  <c r="E75" i="28" s="1"/>
  <c r="Q55" i="29"/>
  <c r="E76" i="28" s="1"/>
  <c r="Q56" i="29"/>
  <c r="E77" i="28" s="1"/>
  <c r="Q57" i="29"/>
  <c r="E78" i="28" s="1"/>
  <c r="Q58" i="29"/>
  <c r="E81" i="28" s="1"/>
  <c r="Q40" i="29"/>
  <c r="E54" i="28" s="1"/>
  <c r="Q59" i="29"/>
  <c r="E82" i="28" s="1"/>
  <c r="Q60" i="29"/>
  <c r="E83" i="28" s="1"/>
  <c r="Q61" i="29"/>
  <c r="E84" i="28" s="1"/>
  <c r="Q62" i="29"/>
  <c r="E85" i="28" s="1"/>
  <c r="Q63" i="29"/>
  <c r="E86" i="28" s="1"/>
  <c r="Q64" i="29"/>
  <c r="E87" i="28" s="1"/>
  <c r="Q65" i="29"/>
  <c r="E88" i="28" s="1"/>
  <c r="Q66" i="29"/>
  <c r="E89" i="28" s="1"/>
  <c r="Q67" i="29"/>
  <c r="E90" i="28" s="1"/>
  <c r="Q68" i="29"/>
  <c r="E91" i="28" s="1"/>
  <c r="Q69" i="29"/>
  <c r="E92" i="28" s="1"/>
  <c r="Q70" i="29"/>
  <c r="E93" i="28" s="1"/>
  <c r="Q71" i="29"/>
  <c r="E94" i="28" s="1"/>
  <c r="Q72" i="29"/>
  <c r="E95" i="28" s="1"/>
  <c r="Q73" i="29"/>
  <c r="E96" i="28" s="1"/>
  <c r="Q74" i="29"/>
  <c r="E97" i="28" s="1"/>
  <c r="Q75" i="29"/>
  <c r="E98" i="28" s="1"/>
  <c r="Q76" i="29"/>
  <c r="E99" i="28" s="1"/>
  <c r="Q77" i="29"/>
  <c r="E80" i="28" s="1"/>
  <c r="Q78" i="29"/>
  <c r="E100" i="28" s="1"/>
  <c r="Q79" i="29"/>
  <c r="E101" i="28" s="1"/>
  <c r="Q80" i="29"/>
  <c r="E102" i="28" s="1"/>
  <c r="Q81" i="29"/>
  <c r="E103" i="28" s="1"/>
  <c r="Q82" i="29"/>
  <c r="E104" i="28" s="1"/>
  <c r="Q83" i="29"/>
  <c r="E105" i="28" s="1"/>
  <c r="Q84" i="29"/>
  <c r="E106" i="28" s="1"/>
  <c r="Q85" i="29"/>
  <c r="E107" i="28" s="1"/>
  <c r="Q86" i="29"/>
  <c r="E108" i="28" s="1"/>
  <c r="Q87" i="29"/>
  <c r="E109" i="28" s="1"/>
  <c r="Q88" i="29"/>
  <c r="E110" i="28" s="1"/>
  <c r="Q89" i="29"/>
  <c r="E111" i="28" s="1"/>
  <c r="Q90" i="29"/>
  <c r="E112" i="28" s="1"/>
  <c r="Q91" i="29"/>
  <c r="E113" i="28" s="1"/>
  <c r="Q92" i="29"/>
  <c r="E114" i="28" s="1"/>
  <c r="Q93" i="29"/>
  <c r="E115" i="28" s="1"/>
  <c r="Q94" i="29"/>
  <c r="E116" i="28" s="1"/>
  <c r="Q95" i="29"/>
  <c r="E117" i="28" s="1"/>
  <c r="Q96" i="29"/>
  <c r="E118" i="28" s="1"/>
  <c r="Q97" i="29"/>
  <c r="E119" i="28" s="1"/>
  <c r="Q98" i="29"/>
  <c r="E120" i="28" s="1"/>
  <c r="Q99" i="29"/>
  <c r="E121" i="28" s="1"/>
  <c r="Q3" i="29"/>
  <c r="O4" i="29"/>
  <c r="C6" i="28" s="1"/>
  <c r="O5" i="29"/>
  <c r="C7" i="28" s="1"/>
  <c r="O6" i="29"/>
  <c r="C8" i="28" s="1"/>
  <c r="O7" i="29"/>
  <c r="O8" i="29"/>
  <c r="C10" i="28" s="1"/>
  <c r="O9" i="29"/>
  <c r="C11" i="28" s="1"/>
  <c r="O10" i="29"/>
  <c r="C12" i="28" s="1"/>
  <c r="O11" i="29"/>
  <c r="C13" i="28" s="1"/>
  <c r="O12" i="29"/>
  <c r="C14" i="28" s="1"/>
  <c r="O13" i="29"/>
  <c r="C15" i="28" s="1"/>
  <c r="O14" i="29"/>
  <c r="C16" i="28" s="1"/>
  <c r="O15" i="29"/>
  <c r="C17" i="28" s="1"/>
  <c r="O16" i="29"/>
  <c r="C18" i="28" s="1"/>
  <c r="O17" i="29"/>
  <c r="O18" i="29"/>
  <c r="C20" i="28" s="1"/>
  <c r="O19" i="29"/>
  <c r="C21" i="28" s="1"/>
  <c r="O20" i="29"/>
  <c r="C22" i="28" s="1"/>
  <c r="O21" i="29"/>
  <c r="C23" i="28" s="1"/>
  <c r="O22" i="29"/>
  <c r="C24" i="28" s="1"/>
  <c r="O23" i="29"/>
  <c r="C25" i="28" s="1"/>
  <c r="O24" i="29"/>
  <c r="C26" i="28" s="1"/>
  <c r="O25" i="29"/>
  <c r="C27" i="28" s="1"/>
  <c r="O26" i="29"/>
  <c r="C28" i="28" s="1"/>
  <c r="O27" i="29"/>
  <c r="C29" i="28" s="1"/>
  <c r="O28" i="29"/>
  <c r="C30" i="28" s="1"/>
  <c r="O29" i="29"/>
  <c r="C31" i="28" s="1"/>
  <c r="O30" i="29"/>
  <c r="C32" i="28" s="1"/>
  <c r="O31" i="29"/>
  <c r="C33" i="28" s="1"/>
  <c r="O32" i="29"/>
  <c r="C34" i="28" s="1"/>
  <c r="O33" i="29"/>
  <c r="C35" i="28" s="1"/>
  <c r="O34" i="29"/>
  <c r="C36" i="28" s="1"/>
  <c r="O35" i="29"/>
  <c r="C37" i="28" s="1"/>
  <c r="O36" i="29"/>
  <c r="C38" i="28" s="1"/>
  <c r="O37" i="29"/>
  <c r="C39" i="28" s="1"/>
  <c r="O38" i="29"/>
  <c r="C40" i="28" s="1"/>
  <c r="O39" i="29"/>
  <c r="C53" i="28" s="1"/>
  <c r="O41" i="29"/>
  <c r="C55" i="28" s="1"/>
  <c r="O42" i="29"/>
  <c r="C56" i="28" s="1"/>
  <c r="O43" i="29"/>
  <c r="C57" i="28" s="1"/>
  <c r="O44" i="29"/>
  <c r="C58" i="28" s="1"/>
  <c r="O45" i="29"/>
  <c r="C59" i="28" s="1"/>
  <c r="O46" i="29"/>
  <c r="C61" i="28" s="1"/>
  <c r="O47" i="29"/>
  <c r="C60" i="28" s="1"/>
  <c r="O48" i="29"/>
  <c r="C62" i="28" s="1"/>
  <c r="O49" i="29"/>
  <c r="C63" i="28" s="1"/>
  <c r="O50" i="29"/>
  <c r="C72" i="28" s="1"/>
  <c r="O51" i="29"/>
  <c r="C73" i="28" s="1"/>
  <c r="O52" i="29"/>
  <c r="C74" i="28" s="1"/>
  <c r="O53" i="29"/>
  <c r="C79" i="28" s="1"/>
  <c r="O54" i="29"/>
  <c r="C75" i="28" s="1"/>
  <c r="O55" i="29"/>
  <c r="C76" i="28" s="1"/>
  <c r="O56" i="29"/>
  <c r="C77" i="28" s="1"/>
  <c r="O57" i="29"/>
  <c r="C78" i="28" s="1"/>
  <c r="O58" i="29"/>
  <c r="C81" i="28" s="1"/>
  <c r="O40" i="29"/>
  <c r="C54" i="28" s="1"/>
  <c r="O59" i="29"/>
  <c r="C82" i="28" s="1"/>
  <c r="O60" i="29"/>
  <c r="C83" i="28" s="1"/>
  <c r="O61" i="29"/>
  <c r="C84" i="28" s="1"/>
  <c r="O62" i="29"/>
  <c r="C85" i="28" s="1"/>
  <c r="O63" i="29"/>
  <c r="C86" i="28" s="1"/>
  <c r="O64" i="29"/>
  <c r="C87" i="28" s="1"/>
  <c r="O65" i="29"/>
  <c r="C88" i="28" s="1"/>
  <c r="O66" i="29"/>
  <c r="C89" i="28" s="1"/>
  <c r="O67" i="29"/>
  <c r="C90" i="28" s="1"/>
  <c r="O68" i="29"/>
  <c r="C91" i="28" s="1"/>
  <c r="O69" i="29"/>
  <c r="C92" i="28" s="1"/>
  <c r="O70" i="29"/>
  <c r="C93" i="28" s="1"/>
  <c r="O71" i="29"/>
  <c r="C94" i="28" s="1"/>
  <c r="O72" i="29"/>
  <c r="C95" i="28" s="1"/>
  <c r="O73" i="29"/>
  <c r="C96" i="28" s="1"/>
  <c r="O74" i="29"/>
  <c r="C97" i="28" s="1"/>
  <c r="O75" i="29"/>
  <c r="C98" i="28" s="1"/>
  <c r="O76" i="29"/>
  <c r="C99" i="28" s="1"/>
  <c r="O77" i="29"/>
  <c r="C80" i="28" s="1"/>
  <c r="O78" i="29"/>
  <c r="C100" i="28" s="1"/>
  <c r="O79" i="29"/>
  <c r="C101" i="28" s="1"/>
  <c r="O80" i="29"/>
  <c r="C102" i="28" s="1"/>
  <c r="O81" i="29"/>
  <c r="C103" i="28" s="1"/>
  <c r="O82" i="29"/>
  <c r="C104" i="28" s="1"/>
  <c r="O83" i="29"/>
  <c r="C105" i="28" s="1"/>
  <c r="O84" i="29"/>
  <c r="C106" i="28" s="1"/>
  <c r="O85" i="29"/>
  <c r="C107" i="28" s="1"/>
  <c r="O86" i="29"/>
  <c r="C108" i="28" s="1"/>
  <c r="O87" i="29"/>
  <c r="C109" i="28" s="1"/>
  <c r="O88" i="29"/>
  <c r="C110" i="28" s="1"/>
  <c r="O89" i="29"/>
  <c r="C111" i="28" s="1"/>
  <c r="O90" i="29"/>
  <c r="C112" i="28" s="1"/>
  <c r="O91" i="29"/>
  <c r="C113" i="28" s="1"/>
  <c r="O92" i="29"/>
  <c r="C114" i="28" s="1"/>
  <c r="O93" i="29"/>
  <c r="C115" i="28" s="1"/>
  <c r="O94" i="29"/>
  <c r="C116" i="28" s="1"/>
  <c r="O95" i="29"/>
  <c r="C117" i="28" s="1"/>
  <c r="O96" i="29"/>
  <c r="C118" i="28" s="1"/>
  <c r="O97" i="29"/>
  <c r="C119" i="28" s="1"/>
  <c r="O98" i="29"/>
  <c r="C120" i="28" s="1"/>
  <c r="O99" i="29"/>
  <c r="C121" i="28" s="1"/>
  <c r="O3" i="29"/>
  <c r="C6" i="33"/>
  <c r="C7" i="33"/>
  <c r="C8" i="33"/>
  <c r="C9" i="33"/>
  <c r="C10" i="33"/>
  <c r="C11" i="33"/>
  <c r="C12" i="33"/>
  <c r="C13" i="33"/>
  <c r="C14" i="33"/>
  <c r="C15" i="33"/>
  <c r="C16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29" i="33"/>
  <c r="C30" i="33"/>
  <c r="C31" i="33"/>
  <c r="C32" i="33"/>
  <c r="C33" i="33"/>
  <c r="C34" i="33"/>
  <c r="C35" i="33"/>
  <c r="C36" i="33"/>
  <c r="C37" i="33"/>
  <c r="C38" i="33"/>
  <c r="C39" i="33"/>
  <c r="C40" i="33"/>
  <c r="C42" i="33"/>
  <c r="C43" i="33"/>
  <c r="C44" i="33"/>
  <c r="C45" i="33"/>
  <c r="C46" i="33"/>
  <c r="C47" i="33"/>
  <c r="C48" i="33"/>
  <c r="C49" i="33"/>
  <c r="C50" i="33"/>
  <c r="C51" i="33"/>
  <c r="C52" i="33"/>
  <c r="C53" i="33"/>
  <c r="C54" i="33"/>
  <c r="C55" i="33"/>
  <c r="C56" i="33"/>
  <c r="C57" i="33"/>
  <c r="C58" i="33"/>
  <c r="C59" i="33"/>
  <c r="C60" i="33"/>
  <c r="C61" i="33"/>
  <c r="C62" i="33"/>
  <c r="C63" i="33"/>
  <c r="C64" i="33"/>
  <c r="C65" i="33"/>
  <c r="C66" i="33"/>
  <c r="C67" i="33"/>
  <c r="C68" i="33"/>
  <c r="C69" i="33"/>
  <c r="C70" i="33"/>
  <c r="C71" i="33"/>
  <c r="C73" i="33"/>
  <c r="C74" i="33"/>
  <c r="C75" i="33"/>
  <c r="C76" i="33"/>
  <c r="C77" i="33"/>
  <c r="C78" i="33"/>
  <c r="C79" i="33"/>
  <c r="C80" i="33"/>
  <c r="C81" i="33"/>
  <c r="C82" i="33"/>
  <c r="C83" i="33"/>
  <c r="C84" i="33"/>
  <c r="C85" i="33"/>
  <c r="C86" i="33"/>
  <c r="C87" i="33"/>
  <c r="C88" i="33"/>
  <c r="C89" i="33"/>
  <c r="C90" i="33"/>
  <c r="C91" i="33"/>
  <c r="C92" i="33"/>
  <c r="C93" i="33"/>
  <c r="C94" i="33"/>
  <c r="C95" i="33"/>
  <c r="C96" i="33"/>
  <c r="C97" i="33"/>
  <c r="C98" i="33"/>
  <c r="C99" i="33"/>
  <c r="C100" i="33"/>
  <c r="C101" i="33"/>
  <c r="C5" i="33"/>
  <c r="F96" i="20"/>
  <c r="F97" i="20"/>
  <c r="F98" i="20"/>
  <c r="F99" i="20"/>
  <c r="F100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4" i="20"/>
  <c r="L41" i="29"/>
  <c r="M41" i="29"/>
  <c r="L42" i="29"/>
  <c r="M42" i="29"/>
  <c r="L43" i="29"/>
  <c r="M43" i="29"/>
  <c r="L44" i="29"/>
  <c r="M44" i="29"/>
  <c r="L45" i="29"/>
  <c r="M45" i="29"/>
  <c r="L46" i="29"/>
  <c r="M46" i="29"/>
  <c r="L37" i="29"/>
  <c r="M37" i="29"/>
  <c r="X64" i="53" l="1"/>
  <c r="AB64" i="53" s="1"/>
  <c r="AF48" i="65"/>
  <c r="AE48" i="65"/>
  <c r="AE65" i="57"/>
  <c r="R65" i="57"/>
  <c r="AE65" i="53"/>
  <c r="R65" i="53"/>
  <c r="AG48" i="69"/>
  <c r="AG47" i="65"/>
  <c r="AW60" i="22"/>
  <c r="D46" i="22"/>
  <c r="P114" i="11"/>
  <c r="Q114" i="11" s="1"/>
  <c r="D42" i="22"/>
  <c r="P109" i="11"/>
  <c r="Q109" i="11" s="1"/>
  <c r="D45" i="22"/>
  <c r="P116" i="11"/>
  <c r="D38" i="22"/>
  <c r="P106" i="11"/>
  <c r="Q106" i="11" s="1"/>
  <c r="D44" i="22"/>
  <c r="P115" i="11"/>
  <c r="D47" i="22"/>
  <c r="P120" i="11"/>
  <c r="D43" i="22"/>
  <c r="P110" i="11"/>
  <c r="Q110" i="11" s="1"/>
  <c r="AE13" i="46"/>
  <c r="AE12" i="46"/>
  <c r="AE15" i="46"/>
  <c r="AE14" i="46"/>
  <c r="AE11" i="46"/>
  <c r="AE226" i="46"/>
  <c r="AE150" i="46"/>
  <c r="AE130" i="46"/>
  <c r="AE118" i="46"/>
  <c r="AE98" i="46"/>
  <c r="AE86" i="46"/>
  <c r="AE66" i="46"/>
  <c r="AE54" i="46"/>
  <c r="AE22" i="46"/>
  <c r="AE246" i="46"/>
  <c r="AE182" i="46"/>
  <c r="AE205" i="46"/>
  <c r="AE169" i="46"/>
  <c r="AE57" i="46"/>
  <c r="AE25" i="46"/>
  <c r="AE241" i="46"/>
  <c r="AE177" i="46"/>
  <c r="AE204" i="46"/>
  <c r="AE128" i="46"/>
  <c r="AE96" i="46"/>
  <c r="AE76" i="46"/>
  <c r="AE64" i="46"/>
  <c r="AE44" i="46"/>
  <c r="AE32" i="46"/>
  <c r="AE224" i="46"/>
  <c r="AE255" i="46"/>
  <c r="AE155" i="46"/>
  <c r="AE143" i="46"/>
  <c r="AE123" i="46"/>
  <c r="AE111" i="46"/>
  <c r="AE91" i="46"/>
  <c r="AE79" i="46"/>
  <c r="AE47" i="46"/>
  <c r="AE211" i="46"/>
  <c r="AE191" i="46"/>
  <c r="AE202" i="46"/>
  <c r="AE42" i="46"/>
  <c r="AE222" i="46"/>
  <c r="AE245" i="46"/>
  <c r="AE181" i="46"/>
  <c r="AE153" i="46"/>
  <c r="AE141" i="46"/>
  <c r="AE121" i="46"/>
  <c r="AE109" i="46"/>
  <c r="AE89" i="46"/>
  <c r="AE77" i="46"/>
  <c r="AE45" i="46"/>
  <c r="AE253" i="46"/>
  <c r="AE217" i="46"/>
  <c r="AE244" i="46"/>
  <c r="AE180" i="46"/>
  <c r="AE140" i="46"/>
  <c r="AE108" i="46"/>
  <c r="AE200" i="46"/>
  <c r="AE231" i="46"/>
  <c r="AE187" i="46"/>
  <c r="AE167" i="46"/>
  <c r="AE67" i="46"/>
  <c r="AE35" i="46"/>
  <c r="AE251" i="46"/>
  <c r="AE159" i="46"/>
  <c r="AE16" i="46"/>
  <c r="AE242" i="46"/>
  <c r="AE178" i="46"/>
  <c r="AE138" i="46"/>
  <c r="AE126" i="46"/>
  <c r="AE106" i="46"/>
  <c r="AE94" i="46"/>
  <c r="AE74" i="46"/>
  <c r="AE62" i="46"/>
  <c r="AE30" i="46"/>
  <c r="AE198" i="46"/>
  <c r="AE221" i="46"/>
  <c r="AE33" i="46"/>
  <c r="AE193" i="46"/>
  <c r="AE165" i="46"/>
  <c r="AE220" i="46"/>
  <c r="AE164" i="46"/>
  <c r="AE136" i="46"/>
  <c r="AE104" i="46"/>
  <c r="AE84" i="46"/>
  <c r="AE72" i="46"/>
  <c r="AE52" i="46"/>
  <c r="AE40" i="46"/>
  <c r="AE20" i="46"/>
  <c r="AE240" i="46"/>
  <c r="AE176" i="46"/>
  <c r="AE151" i="46"/>
  <c r="AE131" i="46"/>
  <c r="AE119" i="46"/>
  <c r="AE99" i="46"/>
  <c r="AE87" i="46"/>
  <c r="AE55" i="46"/>
  <c r="AE23" i="46"/>
  <c r="AE227" i="46"/>
  <c r="AE207" i="46"/>
  <c r="AE218" i="46"/>
  <c r="AE162" i="46"/>
  <c r="AE50" i="46"/>
  <c r="AE18" i="46"/>
  <c r="AE238" i="46"/>
  <c r="AE174" i="46"/>
  <c r="AE197" i="46"/>
  <c r="AE161" i="46"/>
  <c r="AE149" i="46"/>
  <c r="AE129" i="46"/>
  <c r="AE117" i="46"/>
  <c r="AE97" i="46"/>
  <c r="AE85" i="46"/>
  <c r="AE65" i="46"/>
  <c r="AE53" i="46"/>
  <c r="AE21" i="46"/>
  <c r="AE233" i="46"/>
  <c r="AE196" i="46"/>
  <c r="AE148" i="46"/>
  <c r="AE116" i="46"/>
  <c r="AE216" i="46"/>
  <c r="AE247" i="46"/>
  <c r="AE203" i="46"/>
  <c r="AE75" i="46"/>
  <c r="AE43" i="46"/>
  <c r="AE183" i="46"/>
  <c r="AE194" i="46"/>
  <c r="AE146" i="46"/>
  <c r="AE134" i="46"/>
  <c r="AE114" i="46"/>
  <c r="AE102" i="46"/>
  <c r="AE82" i="46"/>
  <c r="AE70" i="46"/>
  <c r="AE38" i="46"/>
  <c r="AE214" i="46"/>
  <c r="AE237" i="46"/>
  <c r="AE173" i="46"/>
  <c r="AE41" i="46"/>
  <c r="AE209" i="46"/>
  <c r="AE236" i="46"/>
  <c r="AE172" i="46"/>
  <c r="AE144" i="46"/>
  <c r="AE112" i="46"/>
  <c r="AE80" i="46"/>
  <c r="AE60" i="46"/>
  <c r="AE48" i="46"/>
  <c r="AE28" i="46"/>
  <c r="AE256" i="46"/>
  <c r="AE192" i="46"/>
  <c r="AE223" i="46"/>
  <c r="AE179" i="46"/>
  <c r="AE139" i="46"/>
  <c r="AE127" i="46"/>
  <c r="AE107" i="46"/>
  <c r="AE95" i="46"/>
  <c r="AE63" i="46"/>
  <c r="AE31" i="46"/>
  <c r="AE243" i="46"/>
  <c r="AE234" i="46"/>
  <c r="AE170" i="46"/>
  <c r="AE58" i="46"/>
  <c r="AE26" i="46"/>
  <c r="AE254" i="46"/>
  <c r="AE190" i="46"/>
  <c r="AE213" i="46"/>
  <c r="AE157" i="46"/>
  <c r="AE137" i="46"/>
  <c r="AE125" i="46"/>
  <c r="AE105" i="46"/>
  <c r="AE93" i="46"/>
  <c r="AE73" i="46"/>
  <c r="AE61" i="46"/>
  <c r="AE29" i="46"/>
  <c r="AE249" i="46"/>
  <c r="AE185" i="46"/>
  <c r="AE212" i="46"/>
  <c r="AE168" i="46"/>
  <c r="AE156" i="46"/>
  <c r="AE124" i="46"/>
  <c r="AE92" i="46"/>
  <c r="AE232" i="46"/>
  <c r="AE160" i="46"/>
  <c r="AE163" i="46"/>
  <c r="AE83" i="46"/>
  <c r="AE51" i="46"/>
  <c r="AE19" i="46"/>
  <c r="AE219" i="46"/>
  <c r="AE199" i="46"/>
  <c r="AE210" i="46"/>
  <c r="AE154" i="46"/>
  <c r="AE142" i="46"/>
  <c r="AE122" i="46"/>
  <c r="AE110" i="46"/>
  <c r="AE90" i="46"/>
  <c r="AE78" i="46"/>
  <c r="AE46" i="46"/>
  <c r="AE230" i="46"/>
  <c r="AE158" i="46"/>
  <c r="AE189" i="46"/>
  <c r="AE49" i="46"/>
  <c r="AE17" i="46"/>
  <c r="AE225" i="46"/>
  <c r="AE252" i="46"/>
  <c r="AE188" i="46"/>
  <c r="AE152" i="46"/>
  <c r="AE120" i="46"/>
  <c r="AE88" i="46"/>
  <c r="AE68" i="46"/>
  <c r="AE56" i="46"/>
  <c r="AE36" i="46"/>
  <c r="AE24" i="46"/>
  <c r="AE208" i="46"/>
  <c r="AE239" i="46"/>
  <c r="AE195" i="46"/>
  <c r="AE147" i="46"/>
  <c r="AE135" i="46"/>
  <c r="AE115" i="46"/>
  <c r="AE103" i="46"/>
  <c r="AE71" i="46"/>
  <c r="AE39" i="46"/>
  <c r="AE175" i="46"/>
  <c r="AE250" i="46"/>
  <c r="AE186" i="46"/>
  <c r="AE166" i="46"/>
  <c r="AE34" i="46"/>
  <c r="AE206" i="46"/>
  <c r="AE229" i="46"/>
  <c r="AE145" i="46"/>
  <c r="AE133" i="46"/>
  <c r="AE113" i="46"/>
  <c r="AE101" i="46"/>
  <c r="AE81" i="46"/>
  <c r="AE69" i="46"/>
  <c r="AE37" i="46"/>
  <c r="AE201" i="46"/>
  <c r="AE228" i="46"/>
  <c r="AE132" i="46"/>
  <c r="AE100" i="46"/>
  <c r="AE248" i="46"/>
  <c r="AE184" i="46"/>
  <c r="AE215" i="46"/>
  <c r="AE171" i="46"/>
  <c r="AE59" i="46"/>
  <c r="AE27" i="46"/>
  <c r="AE235" i="46"/>
  <c r="AX49" i="69"/>
  <c r="O66" i="57"/>
  <c r="AG66" i="57" s="1"/>
  <c r="L66" i="57"/>
  <c r="X63" i="57"/>
  <c r="AB62" i="57"/>
  <c r="AA62" i="57"/>
  <c r="AJ65" i="57"/>
  <c r="AC65" i="57"/>
  <c r="AP65" i="57"/>
  <c r="AH48" i="65"/>
  <c r="AV48" i="65"/>
  <c r="AG65" i="53"/>
  <c r="AH65" i="53"/>
  <c r="AC65" i="53"/>
  <c r="AT65" i="53"/>
  <c r="N66" i="57"/>
  <c r="P66" i="53"/>
  <c r="N66" i="53"/>
  <c r="AH49" i="69"/>
  <c r="AD65" i="57"/>
  <c r="AD65" i="53"/>
  <c r="Q65" i="53"/>
  <c r="G66" i="53"/>
  <c r="I66" i="53"/>
  <c r="AK65" i="52" a="1"/>
  <c r="AK65" i="52" s="1"/>
  <c r="B67" i="53" s="1"/>
  <c r="O67" i="53" s="1"/>
  <c r="C66" i="53"/>
  <c r="F66" i="53"/>
  <c r="H66" i="53"/>
  <c r="L66" i="53"/>
  <c r="E66" i="53"/>
  <c r="K66" i="53"/>
  <c r="J66" i="53"/>
  <c r="D66" i="53"/>
  <c r="Q65" i="57"/>
  <c r="T64" i="57"/>
  <c r="E66" i="57"/>
  <c r="J66" i="57"/>
  <c r="H66" i="57"/>
  <c r="D66" i="57"/>
  <c r="K66" i="57"/>
  <c r="F66" i="57"/>
  <c r="I66" i="57"/>
  <c r="P66" i="57"/>
  <c r="C66" i="57"/>
  <c r="M66" i="57" s="1"/>
  <c r="G66" i="57"/>
  <c r="C89" i="36"/>
  <c r="AK65" i="55" a="1"/>
  <c r="AK65" i="55" s="1"/>
  <c r="B67" i="57" s="1"/>
  <c r="O11" i="46"/>
  <c r="C51" i="69"/>
  <c r="AO51" i="69" s="1"/>
  <c r="O51" i="69"/>
  <c r="AN51" i="67" a="1"/>
  <c r="AN51" i="67" s="1"/>
  <c r="B52" i="69"/>
  <c r="L52" i="69" s="1"/>
  <c r="D50" i="69"/>
  <c r="E50" i="69" s="1"/>
  <c r="F50" i="69" s="1"/>
  <c r="G50" i="69" s="1"/>
  <c r="H50" i="69" s="1"/>
  <c r="I50" i="69" s="1"/>
  <c r="J50" i="69" s="1"/>
  <c r="K50" i="69" s="1"/>
  <c r="M50" i="69" s="1"/>
  <c r="N50" i="69"/>
  <c r="AF50" i="69" s="1"/>
  <c r="P50" i="69"/>
  <c r="Q49" i="69"/>
  <c r="U49" i="69"/>
  <c r="R49" i="69"/>
  <c r="S49" i="69" s="1"/>
  <c r="Y49" i="69" s="1"/>
  <c r="AB49" i="69" s="1"/>
  <c r="AC49" i="69" s="1"/>
  <c r="AD49" i="69" s="1"/>
  <c r="AE49" i="69"/>
  <c r="C50" i="65"/>
  <c r="AM50" i="65" s="1"/>
  <c r="O50" i="65"/>
  <c r="AN50" i="63" a="1"/>
  <c r="AN50" i="63" s="1"/>
  <c r="B51" i="65"/>
  <c r="L51" i="65" s="1"/>
  <c r="D49" i="65"/>
  <c r="E49" i="65" s="1"/>
  <c r="F49" i="65" s="1"/>
  <c r="G49" i="65" s="1"/>
  <c r="H49" i="65" s="1"/>
  <c r="I49" i="65" s="1"/>
  <c r="J49" i="65" s="1"/>
  <c r="K49" i="65" s="1"/>
  <c r="M49" i="65" s="1"/>
  <c r="P49" i="65"/>
  <c r="N49" i="65"/>
  <c r="R48" i="65"/>
  <c r="S48" i="65" s="1"/>
  <c r="Y48" i="65" s="1"/>
  <c r="AB48" i="65" s="1"/>
  <c r="AC48" i="65" s="1"/>
  <c r="AD48" i="65" s="1"/>
  <c r="Q48" i="65"/>
  <c r="U48" i="65"/>
  <c r="O11" i="71"/>
  <c r="C19" i="28"/>
  <c r="E5" i="28"/>
  <c r="C9" i="28"/>
  <c r="C5" i="28"/>
  <c r="O239" i="71"/>
  <c r="S239" i="71" s="1"/>
  <c r="O204" i="71"/>
  <c r="S204" i="71" s="1"/>
  <c r="O175" i="71"/>
  <c r="S175" i="71" s="1"/>
  <c r="O140" i="71"/>
  <c r="S140" i="71" s="1"/>
  <c r="O225" i="71"/>
  <c r="S225" i="71" s="1"/>
  <c r="O179" i="71"/>
  <c r="S179" i="71" s="1"/>
  <c r="O129" i="71"/>
  <c r="S129" i="71" s="1"/>
  <c r="O101" i="71"/>
  <c r="S101" i="71" s="1"/>
  <c r="O64" i="71"/>
  <c r="S64" i="71" s="1"/>
  <c r="O19" i="71"/>
  <c r="S19" i="71" s="1"/>
  <c r="O209" i="71"/>
  <c r="S209" i="71" s="1"/>
  <c r="O156" i="71"/>
  <c r="S156" i="71" s="1"/>
  <c r="O110" i="71"/>
  <c r="S110" i="71" s="1"/>
  <c r="O66" i="71"/>
  <c r="S66" i="71" s="1"/>
  <c r="O214" i="71"/>
  <c r="S214" i="71" s="1"/>
  <c r="O159" i="71"/>
  <c r="S159" i="71" s="1"/>
  <c r="O104" i="71"/>
  <c r="S104" i="71" s="1"/>
  <c r="O67" i="71"/>
  <c r="S67" i="71" s="1"/>
  <c r="O26" i="71"/>
  <c r="S26" i="71" s="1"/>
  <c r="O106" i="46"/>
  <c r="S106" i="46" s="1"/>
  <c r="O90" i="46"/>
  <c r="S90" i="46" s="1"/>
  <c r="O74" i="46"/>
  <c r="S74" i="46" s="1"/>
  <c r="O58" i="46"/>
  <c r="S58" i="46" s="1"/>
  <c r="O242" i="71"/>
  <c r="S242" i="71" s="1"/>
  <c r="O150" i="71"/>
  <c r="S150" i="71" s="1"/>
  <c r="O71" i="71"/>
  <c r="S71" i="71" s="1"/>
  <c r="O12" i="71"/>
  <c r="S12" i="71" s="1"/>
  <c r="O190" i="71"/>
  <c r="S190" i="71" s="1"/>
  <c r="O77" i="71"/>
  <c r="S77" i="71" s="1"/>
  <c r="O25" i="71"/>
  <c r="S25" i="71" s="1"/>
  <c r="O76" i="71"/>
  <c r="S76" i="71" s="1"/>
  <c r="O251" i="46"/>
  <c r="S251" i="46" s="1"/>
  <c r="O217" i="46"/>
  <c r="S217" i="46" s="1"/>
  <c r="O185" i="46"/>
  <c r="S185" i="46" s="1"/>
  <c r="O153" i="46"/>
  <c r="S153" i="46" s="1"/>
  <c r="O121" i="46"/>
  <c r="S121" i="46" s="1"/>
  <c r="O71" i="46"/>
  <c r="S71" i="46" s="1"/>
  <c r="O26" i="46"/>
  <c r="O89" i="71"/>
  <c r="S89" i="71" s="1"/>
  <c r="O253" i="46"/>
  <c r="S253" i="46" s="1"/>
  <c r="O214" i="46"/>
  <c r="S214" i="46" s="1"/>
  <c r="O182" i="46"/>
  <c r="S182" i="46" s="1"/>
  <c r="O150" i="46"/>
  <c r="S150" i="46" s="1"/>
  <c r="O118" i="46"/>
  <c r="S118" i="46" s="1"/>
  <c r="O73" i="46"/>
  <c r="S73" i="46" s="1"/>
  <c r="O23" i="46"/>
  <c r="O236" i="46"/>
  <c r="S236" i="46" s="1"/>
  <c r="O173" i="46"/>
  <c r="S173" i="46" s="1"/>
  <c r="O109" i="46"/>
  <c r="S109" i="46" s="1"/>
  <c r="O14" i="46"/>
  <c r="R14" i="46" s="1"/>
  <c r="O197" i="46"/>
  <c r="S197" i="46" s="1"/>
  <c r="O92" i="71"/>
  <c r="S92" i="71" s="1"/>
  <c r="O159" i="46"/>
  <c r="S159" i="46" s="1"/>
  <c r="O85" i="46"/>
  <c r="S85" i="46" s="1"/>
  <c r="O215" i="46"/>
  <c r="S215" i="46" s="1"/>
  <c r="O151" i="46"/>
  <c r="S151" i="46" s="1"/>
  <c r="O61" i="46"/>
  <c r="S61" i="46" s="1"/>
  <c r="O74" i="71"/>
  <c r="S74" i="71" s="1"/>
  <c r="O160" i="46"/>
  <c r="S160" i="46" s="1"/>
  <c r="O22" i="46"/>
  <c r="O175" i="46"/>
  <c r="S175" i="46" s="1"/>
  <c r="O234" i="71"/>
  <c r="S234" i="71" s="1"/>
  <c r="O200" i="71"/>
  <c r="S200" i="71" s="1"/>
  <c r="O170" i="71"/>
  <c r="S170" i="71" s="1"/>
  <c r="O136" i="71"/>
  <c r="S136" i="71" s="1"/>
  <c r="O219" i="71"/>
  <c r="S219" i="71" s="1"/>
  <c r="O173" i="71"/>
  <c r="S173" i="71" s="1"/>
  <c r="O124" i="71"/>
  <c r="S124" i="71" s="1"/>
  <c r="O96" i="71"/>
  <c r="S96" i="71" s="1"/>
  <c r="O55" i="71"/>
  <c r="S55" i="71" s="1"/>
  <c r="O18" i="71"/>
  <c r="S18" i="71" s="1"/>
  <c r="O202" i="71"/>
  <c r="S202" i="71" s="1"/>
  <c r="O153" i="71"/>
  <c r="S153" i="71" s="1"/>
  <c r="O109" i="71"/>
  <c r="S109" i="71" s="1"/>
  <c r="O63" i="71"/>
  <c r="S63" i="71" s="1"/>
  <c r="O212" i="71"/>
  <c r="S212" i="71" s="1"/>
  <c r="O154" i="71"/>
  <c r="S154" i="71" s="1"/>
  <c r="O103" i="71"/>
  <c r="S103" i="71" s="1"/>
  <c r="O60" i="71"/>
  <c r="S60" i="71" s="1"/>
  <c r="O20" i="71"/>
  <c r="S20" i="71" s="1"/>
  <c r="O104" i="46"/>
  <c r="S104" i="46" s="1"/>
  <c r="O88" i="46"/>
  <c r="S88" i="46" s="1"/>
  <c r="O72" i="46"/>
  <c r="S72" i="46" s="1"/>
  <c r="O56" i="46"/>
  <c r="S56" i="46" s="1"/>
  <c r="O213" i="71"/>
  <c r="S213" i="71" s="1"/>
  <c r="O137" i="71"/>
  <c r="S137" i="71" s="1"/>
  <c r="O62" i="71"/>
  <c r="S62" i="71" s="1"/>
  <c r="O252" i="71"/>
  <c r="S252" i="71" s="1"/>
  <c r="O183" i="71"/>
  <c r="S183" i="71" s="1"/>
  <c r="O73" i="71"/>
  <c r="S73" i="71" s="1"/>
  <c r="O233" i="71"/>
  <c r="S233" i="71" s="1"/>
  <c r="O70" i="71"/>
  <c r="S70" i="71" s="1"/>
  <c r="O248" i="46"/>
  <c r="S248" i="46" s="1"/>
  <c r="O212" i="46"/>
  <c r="S212" i="46" s="1"/>
  <c r="O180" i="46"/>
  <c r="S180" i="46" s="1"/>
  <c r="O148" i="46"/>
  <c r="S148" i="46" s="1"/>
  <c r="O116" i="46"/>
  <c r="S116" i="46" s="1"/>
  <c r="O63" i="46"/>
  <c r="S63" i="46" s="1"/>
  <c r="O21" i="46"/>
  <c r="O81" i="71"/>
  <c r="S81" i="71" s="1"/>
  <c r="O250" i="46"/>
  <c r="S250" i="46" s="1"/>
  <c r="O211" i="46"/>
  <c r="S211" i="46" s="1"/>
  <c r="O179" i="46"/>
  <c r="S179" i="46" s="1"/>
  <c r="O147" i="46"/>
  <c r="S147" i="46" s="1"/>
  <c r="O115" i="46"/>
  <c r="S115" i="46" s="1"/>
  <c r="O65" i="46"/>
  <c r="S65" i="46" s="1"/>
  <c r="O20" i="46"/>
  <c r="O226" i="46"/>
  <c r="S226" i="46" s="1"/>
  <c r="O168" i="46"/>
  <c r="S168" i="46" s="1"/>
  <c r="O99" i="46"/>
  <c r="S99" i="46" s="1"/>
  <c r="O187" i="71"/>
  <c r="S187" i="71" s="1"/>
  <c r="O181" i="46"/>
  <c r="S181" i="46" s="1"/>
  <c r="O49" i="71"/>
  <c r="S49" i="71" s="1"/>
  <c r="O154" i="46"/>
  <c r="S154" i="46" s="1"/>
  <c r="O16" i="46"/>
  <c r="O210" i="46"/>
  <c r="S210" i="46" s="1"/>
  <c r="O146" i="46"/>
  <c r="S146" i="46" s="1"/>
  <c r="O45" i="46"/>
  <c r="S45" i="46" s="1"/>
  <c r="O47" i="71"/>
  <c r="S47" i="71" s="1"/>
  <c r="O149" i="46"/>
  <c r="S149" i="46" s="1"/>
  <c r="O17" i="46"/>
  <c r="O170" i="46"/>
  <c r="S170" i="46" s="1"/>
  <c r="O228" i="71"/>
  <c r="S228" i="71" s="1"/>
  <c r="O199" i="71"/>
  <c r="S199" i="71" s="1"/>
  <c r="O164" i="71"/>
  <c r="S164" i="71" s="1"/>
  <c r="O256" i="71"/>
  <c r="S256" i="71" s="1"/>
  <c r="O207" i="71"/>
  <c r="S207" i="71" s="1"/>
  <c r="O168" i="71"/>
  <c r="S168" i="71" s="1"/>
  <c r="O123" i="71"/>
  <c r="S123" i="71" s="1"/>
  <c r="O95" i="71"/>
  <c r="S95" i="71" s="1"/>
  <c r="O51" i="71"/>
  <c r="S51" i="71" s="1"/>
  <c r="O255" i="71"/>
  <c r="S255" i="71" s="1"/>
  <c r="O193" i="71"/>
  <c r="S193" i="71" s="1"/>
  <c r="O138" i="71"/>
  <c r="S138" i="71" s="1"/>
  <c r="O106" i="71"/>
  <c r="S106" i="71" s="1"/>
  <c r="O248" i="71"/>
  <c r="S248" i="71" s="1"/>
  <c r="O205" i="71"/>
  <c r="S205" i="71" s="1"/>
  <c r="O133" i="71"/>
  <c r="S133" i="71" s="1"/>
  <c r="O100" i="71"/>
  <c r="S100" i="71" s="1"/>
  <c r="O57" i="71"/>
  <c r="S57" i="71" s="1"/>
  <c r="O17" i="71"/>
  <c r="S17" i="71" s="1"/>
  <c r="O102" i="46"/>
  <c r="S102" i="46" s="1"/>
  <c r="O86" i="46"/>
  <c r="S86" i="46" s="1"/>
  <c r="O70" i="46"/>
  <c r="S70" i="46" s="1"/>
  <c r="O54" i="46"/>
  <c r="S54" i="46" s="1"/>
  <c r="O208" i="71"/>
  <c r="S208" i="71" s="1"/>
  <c r="O120" i="71"/>
  <c r="S120" i="71" s="1"/>
  <c r="O56" i="71"/>
  <c r="S56" i="71" s="1"/>
  <c r="O251" i="71"/>
  <c r="S251" i="71" s="1"/>
  <c r="O147" i="71"/>
  <c r="S147" i="71" s="1"/>
  <c r="O59" i="71"/>
  <c r="S59" i="71" s="1"/>
  <c r="O197" i="71"/>
  <c r="S197" i="71" s="1"/>
  <c r="O68" i="71"/>
  <c r="S68" i="71" s="1"/>
  <c r="O243" i="46"/>
  <c r="S243" i="46" s="1"/>
  <c r="O209" i="46"/>
  <c r="S209" i="46" s="1"/>
  <c r="O177" i="46"/>
  <c r="S177" i="46" s="1"/>
  <c r="O227" i="71"/>
  <c r="S227" i="71" s="1"/>
  <c r="O192" i="71"/>
  <c r="S192" i="71" s="1"/>
  <c r="O163" i="71"/>
  <c r="S163" i="71" s="1"/>
  <c r="O254" i="71"/>
  <c r="R254" i="71" s="1"/>
  <c r="S254" i="71" s="1"/>
  <c r="O201" i="71"/>
  <c r="S201" i="71" s="1"/>
  <c r="O148" i="71"/>
  <c r="S148" i="71" s="1"/>
  <c r="O118" i="71"/>
  <c r="S118" i="71" s="1"/>
  <c r="O87" i="71"/>
  <c r="S87" i="71" s="1"/>
  <c r="O50" i="71"/>
  <c r="S50" i="71" s="1"/>
  <c r="O253" i="71"/>
  <c r="S253" i="71" s="1"/>
  <c r="O188" i="71"/>
  <c r="S188" i="71" s="1"/>
  <c r="O135" i="71"/>
  <c r="S135" i="71" s="1"/>
  <c r="O99" i="71"/>
  <c r="S99" i="71" s="1"/>
  <c r="O246" i="71"/>
  <c r="S246" i="71" s="1"/>
  <c r="O196" i="71"/>
  <c r="S196" i="71" s="1"/>
  <c r="O126" i="71"/>
  <c r="S126" i="71" s="1"/>
  <c r="O97" i="71"/>
  <c r="S97" i="71" s="1"/>
  <c r="O54" i="71"/>
  <c r="S54" i="71" s="1"/>
  <c r="O13" i="71"/>
  <c r="S13" i="71" s="1"/>
  <c r="O100" i="46"/>
  <c r="S100" i="46" s="1"/>
  <c r="O84" i="46"/>
  <c r="S84" i="46" s="1"/>
  <c r="O68" i="46"/>
  <c r="S68" i="46" s="1"/>
  <c r="O52" i="46"/>
  <c r="S52" i="46" s="1"/>
  <c r="O206" i="71"/>
  <c r="S206" i="71" s="1"/>
  <c r="O114" i="71"/>
  <c r="S114" i="71" s="1"/>
  <c r="O52" i="71"/>
  <c r="S52" i="71" s="1"/>
  <c r="O236" i="71"/>
  <c r="S236" i="71" s="1"/>
  <c r="O144" i="71"/>
  <c r="S144" i="71" s="1"/>
  <c r="O53" i="71"/>
  <c r="S53" i="71" s="1"/>
  <c r="O194" i="71"/>
  <c r="S194" i="71" s="1"/>
  <c r="O65" i="71"/>
  <c r="S65" i="71" s="1"/>
  <c r="O240" i="46"/>
  <c r="S240" i="46" s="1"/>
  <c r="O204" i="46"/>
  <c r="S204" i="46" s="1"/>
  <c r="O172" i="46"/>
  <c r="S172" i="46" s="1"/>
  <c r="O140" i="46"/>
  <c r="S140" i="46" s="1"/>
  <c r="O108" i="46"/>
  <c r="S108" i="46" s="1"/>
  <c r="O47" i="46"/>
  <c r="S47" i="46" s="1"/>
  <c r="O13" i="46"/>
  <c r="R13" i="46" s="1"/>
  <c r="S13" i="46" s="1"/>
  <c r="O58" i="71"/>
  <c r="S58" i="71" s="1"/>
  <c r="O242" i="46"/>
  <c r="S242" i="46" s="1"/>
  <c r="O203" i="46"/>
  <c r="S203" i="46" s="1"/>
  <c r="O171" i="46"/>
  <c r="S171" i="46" s="1"/>
  <c r="O139" i="46"/>
  <c r="S139" i="46" s="1"/>
  <c r="O107" i="46"/>
  <c r="S107" i="46" s="1"/>
  <c r="O49" i="46"/>
  <c r="S49" i="46" s="1"/>
  <c r="O12" i="46"/>
  <c r="R12" i="46" s="1"/>
  <c r="S12" i="46" s="1"/>
  <c r="O216" i="46"/>
  <c r="S216" i="46" s="1"/>
  <c r="O152" i="46"/>
  <c r="S152" i="46" s="1"/>
  <c r="O67" i="46"/>
  <c r="S67" i="46" s="1"/>
  <c r="O45" i="71"/>
  <c r="S45" i="71" s="1"/>
  <c r="O133" i="46"/>
  <c r="S133" i="46" s="1"/>
  <c r="O254" i="46"/>
  <c r="S254" i="46" s="1"/>
  <c r="O138" i="46"/>
  <c r="S138" i="46" s="1"/>
  <c r="O211" i="71"/>
  <c r="S211" i="71" s="1"/>
  <c r="O194" i="46"/>
  <c r="S194" i="46" s="1"/>
  <c r="O130" i="46"/>
  <c r="S130" i="46" s="1"/>
  <c r="O35" i="46"/>
  <c r="O239" i="46"/>
  <c r="S239" i="46" s="1"/>
  <c r="O117" i="46"/>
  <c r="S117" i="46" s="1"/>
  <c r="O238" i="46"/>
  <c r="S238" i="46" s="1"/>
  <c r="O53" i="46"/>
  <c r="S53" i="46" s="1"/>
  <c r="O244" i="71"/>
  <c r="S244" i="71" s="1"/>
  <c r="O215" i="71"/>
  <c r="S215" i="71" s="1"/>
  <c r="O180" i="71"/>
  <c r="S180" i="71" s="1"/>
  <c r="O151" i="71"/>
  <c r="S151" i="71" s="1"/>
  <c r="O238" i="71"/>
  <c r="S238" i="71" s="1"/>
  <c r="O189" i="71"/>
  <c r="S189" i="71" s="1"/>
  <c r="O139" i="71"/>
  <c r="S139" i="71" s="1"/>
  <c r="O107" i="71"/>
  <c r="S107" i="71" s="1"/>
  <c r="O75" i="71"/>
  <c r="S75" i="71" s="1"/>
  <c r="O32" i="71"/>
  <c r="S32" i="71" s="1"/>
  <c r="O226" i="71"/>
  <c r="S226" i="71" s="1"/>
  <c r="O166" i="71"/>
  <c r="S166" i="71" s="1"/>
  <c r="O128" i="71"/>
  <c r="S128" i="71" s="1"/>
  <c r="O79" i="71"/>
  <c r="S79" i="71" s="1"/>
  <c r="O229" i="71"/>
  <c r="S229" i="71" s="1"/>
  <c r="O178" i="71"/>
  <c r="S178" i="71" s="1"/>
  <c r="O119" i="71"/>
  <c r="S119" i="71" s="1"/>
  <c r="O80" i="71"/>
  <c r="S80" i="71" s="1"/>
  <c r="O38" i="71"/>
  <c r="S38" i="71" s="1"/>
  <c r="O229" i="46"/>
  <c r="S229" i="46" s="1"/>
  <c r="O94" i="46"/>
  <c r="S94" i="46" s="1"/>
  <c r="O78" i="46"/>
  <c r="S78" i="46" s="1"/>
  <c r="O62" i="46"/>
  <c r="S62" i="46" s="1"/>
  <c r="O46" i="46"/>
  <c r="S46" i="46" s="1"/>
  <c r="O162" i="71"/>
  <c r="S162" i="71" s="1"/>
  <c r="O90" i="71"/>
  <c r="S90" i="71" s="1"/>
  <c r="O22" i="71"/>
  <c r="S22" i="71" s="1"/>
  <c r="O217" i="71"/>
  <c r="S217" i="71" s="1"/>
  <c r="O91" i="71"/>
  <c r="S91" i="71" s="1"/>
  <c r="O35" i="71"/>
  <c r="S35" i="71" s="1"/>
  <c r="O127" i="71"/>
  <c r="S127" i="71" s="1"/>
  <c r="O14" i="71"/>
  <c r="S14" i="71" s="1"/>
  <c r="O225" i="46"/>
  <c r="S225" i="46" s="1"/>
  <c r="O193" i="46"/>
  <c r="S193" i="46" s="1"/>
  <c r="O161" i="46"/>
  <c r="S161" i="46" s="1"/>
  <c r="O129" i="46"/>
  <c r="S129" i="46" s="1"/>
  <c r="O87" i="46"/>
  <c r="S87" i="46" s="1"/>
  <c r="O34" i="46"/>
  <c r="O240" i="71"/>
  <c r="S240" i="71" s="1"/>
  <c r="O210" i="71"/>
  <c r="S210" i="71" s="1"/>
  <c r="O176" i="71"/>
  <c r="S176" i="71" s="1"/>
  <c r="O146" i="71"/>
  <c r="S146" i="71" s="1"/>
  <c r="O235" i="71"/>
  <c r="S235" i="71" s="1"/>
  <c r="O182" i="71"/>
  <c r="S182" i="71" s="1"/>
  <c r="O130" i="71"/>
  <c r="S130" i="71" s="1"/>
  <c r="O102" i="71"/>
  <c r="S102" i="71" s="1"/>
  <c r="O69" i="71"/>
  <c r="S69" i="71" s="1"/>
  <c r="O23" i="71"/>
  <c r="S23" i="71" s="1"/>
  <c r="O224" i="71"/>
  <c r="S224" i="71" s="1"/>
  <c r="O165" i="71"/>
  <c r="S165" i="71" s="1"/>
  <c r="O121" i="71"/>
  <c r="S121" i="71" s="1"/>
  <c r="O78" i="71"/>
  <c r="S78" i="71" s="1"/>
  <c r="O216" i="71"/>
  <c r="S216" i="71" s="1"/>
  <c r="O161" i="71"/>
  <c r="S161" i="71" s="1"/>
  <c r="O116" i="71"/>
  <c r="S116" i="71" s="1"/>
  <c r="O72" i="71"/>
  <c r="S72" i="71" s="1"/>
  <c r="O29" i="71"/>
  <c r="S29" i="71" s="1"/>
  <c r="O227" i="46"/>
  <c r="S227" i="46" s="1"/>
  <c r="O92" i="46"/>
  <c r="S92" i="46" s="1"/>
  <c r="O76" i="46"/>
  <c r="S76" i="46" s="1"/>
  <c r="O60" i="46"/>
  <c r="S60" i="46" s="1"/>
  <c r="O44" i="46"/>
  <c r="S44" i="46" s="1"/>
  <c r="O152" i="71"/>
  <c r="S152" i="71" s="1"/>
  <c r="O84" i="71"/>
  <c r="S84" i="71" s="1"/>
  <c r="O16" i="71"/>
  <c r="S16" i="71" s="1"/>
  <c r="O203" i="71"/>
  <c r="S203" i="71" s="1"/>
  <c r="O86" i="71"/>
  <c r="S86" i="71" s="1"/>
  <c r="O30" i="71"/>
  <c r="S30" i="71" s="1"/>
  <c r="O115" i="71"/>
  <c r="S115" i="71" s="1"/>
  <c r="O256" i="46"/>
  <c r="S256" i="46" s="1"/>
  <c r="O220" i="46"/>
  <c r="S220" i="46" s="1"/>
  <c r="O188" i="46"/>
  <c r="S188" i="46" s="1"/>
  <c r="O156" i="46"/>
  <c r="S156" i="46" s="1"/>
  <c r="O124" i="46"/>
  <c r="S124" i="46" s="1"/>
  <c r="O79" i="46"/>
  <c r="S79" i="46" s="1"/>
  <c r="O29" i="46"/>
  <c r="O141" i="71"/>
  <c r="S141" i="71" s="1"/>
  <c r="O15" i="71"/>
  <c r="S15" i="71" s="1"/>
  <c r="O219" i="46"/>
  <c r="S219" i="46" s="1"/>
  <c r="O187" i="46"/>
  <c r="S187" i="46" s="1"/>
  <c r="O155" i="46"/>
  <c r="S155" i="46" s="1"/>
  <c r="O123" i="46"/>
  <c r="S123" i="46" s="1"/>
  <c r="O81" i="46"/>
  <c r="S81" i="46" s="1"/>
  <c r="O28" i="46"/>
  <c r="O247" i="46"/>
  <c r="S247" i="46" s="1"/>
  <c r="O184" i="46"/>
  <c r="S184" i="46" s="1"/>
  <c r="O120" i="46"/>
  <c r="S120" i="46" s="1"/>
  <c r="O25" i="46"/>
  <c r="O224" i="46"/>
  <c r="S224" i="46" s="1"/>
  <c r="O33" i="46"/>
  <c r="O202" i="46"/>
  <c r="S202" i="46" s="1"/>
  <c r="O101" i="46"/>
  <c r="S101" i="46" s="1"/>
  <c r="O241" i="46"/>
  <c r="S241" i="46" s="1"/>
  <c r="O162" i="46"/>
  <c r="S162" i="46" s="1"/>
  <c r="O77" i="46"/>
  <c r="S77" i="46" s="1"/>
  <c r="O155" i="71"/>
  <c r="S155" i="71" s="1"/>
  <c r="O165" i="46"/>
  <c r="S165" i="46" s="1"/>
  <c r="O38" i="46"/>
  <c r="S38" i="46" s="1"/>
  <c r="O186" i="46"/>
  <c r="S186" i="46" s="1"/>
  <c r="O186" i="71"/>
  <c r="S186" i="71" s="1"/>
  <c r="O145" i="71"/>
  <c r="S145" i="71" s="1"/>
  <c r="O243" i="71"/>
  <c r="S243" i="71" s="1"/>
  <c r="O237" i="71"/>
  <c r="S237" i="71" s="1"/>
  <c r="O44" i="71"/>
  <c r="S44" i="71" s="1"/>
  <c r="O66" i="46"/>
  <c r="S66" i="46" s="1"/>
  <c r="O39" i="71"/>
  <c r="S39" i="71" s="1"/>
  <c r="O172" i="71"/>
  <c r="S172" i="71" s="1"/>
  <c r="O169" i="46"/>
  <c r="S169" i="46" s="1"/>
  <c r="O55" i="46"/>
  <c r="S55" i="46" s="1"/>
  <c r="O46" i="71"/>
  <c r="S46" i="71" s="1"/>
  <c r="O198" i="46"/>
  <c r="S198" i="46" s="1"/>
  <c r="O134" i="46"/>
  <c r="S134" i="46" s="1"/>
  <c r="O39" i="46"/>
  <c r="S39" i="46" s="1"/>
  <c r="O205" i="46"/>
  <c r="S205" i="46" s="1"/>
  <c r="O51" i="46"/>
  <c r="S51" i="46" s="1"/>
  <c r="O128" i="46"/>
  <c r="S128" i="46" s="1"/>
  <c r="O127" i="46"/>
  <c r="S127" i="46" s="1"/>
  <c r="O183" i="46"/>
  <c r="S183" i="46" s="1"/>
  <c r="O24" i="46"/>
  <c r="O112" i="46"/>
  <c r="S112" i="46" s="1"/>
  <c r="O32" i="46"/>
  <c r="O185" i="71"/>
  <c r="S185" i="71" s="1"/>
  <c r="O142" i="71"/>
  <c r="S142" i="71" s="1"/>
  <c r="O232" i="71"/>
  <c r="S232" i="71" s="1"/>
  <c r="O230" i="71"/>
  <c r="S230" i="71" s="1"/>
  <c r="O41" i="71"/>
  <c r="S41" i="71" s="1"/>
  <c r="O64" i="46"/>
  <c r="S64" i="46" s="1"/>
  <c r="O27" i="71"/>
  <c r="S27" i="71" s="1"/>
  <c r="O160" i="71"/>
  <c r="S160" i="71" s="1"/>
  <c r="O164" i="46"/>
  <c r="S164" i="46" s="1"/>
  <c r="O42" i="46"/>
  <c r="S42" i="46" s="1"/>
  <c r="O34" i="71"/>
  <c r="S34" i="71" s="1"/>
  <c r="O195" i="46"/>
  <c r="S195" i="46" s="1"/>
  <c r="O131" i="46"/>
  <c r="S131" i="46" s="1"/>
  <c r="O36" i="46"/>
  <c r="O200" i="46"/>
  <c r="S200" i="46" s="1"/>
  <c r="O41" i="46"/>
  <c r="S41" i="46" s="1"/>
  <c r="O91" i="46"/>
  <c r="S91" i="46" s="1"/>
  <c r="O122" i="46"/>
  <c r="S122" i="46" s="1"/>
  <c r="O178" i="46"/>
  <c r="S178" i="46" s="1"/>
  <c r="O19" i="46"/>
  <c r="O59" i="46"/>
  <c r="S59" i="46" s="1"/>
  <c r="O27" i="46"/>
  <c r="O158" i="71"/>
  <c r="S158" i="71" s="1"/>
  <c r="O117" i="71"/>
  <c r="S117" i="71" s="1"/>
  <c r="O181" i="71"/>
  <c r="S181" i="71" s="1"/>
  <c r="O191" i="71"/>
  <c r="S191" i="71" s="1"/>
  <c r="O233" i="46"/>
  <c r="S233" i="46" s="1"/>
  <c r="O50" i="46"/>
  <c r="S50" i="46" s="1"/>
  <c r="O231" i="71"/>
  <c r="S231" i="71" s="1"/>
  <c r="O40" i="71"/>
  <c r="S40" i="71" s="1"/>
  <c r="O145" i="46"/>
  <c r="S145" i="46" s="1"/>
  <c r="O37" i="46"/>
  <c r="S37" i="46" s="1"/>
  <c r="O28" i="71"/>
  <c r="S28" i="71" s="1"/>
  <c r="O190" i="46"/>
  <c r="S190" i="46" s="1"/>
  <c r="O126" i="46"/>
  <c r="S126" i="46" s="1"/>
  <c r="O31" i="46"/>
  <c r="O189" i="46"/>
  <c r="S189" i="46" s="1"/>
  <c r="O30" i="46"/>
  <c r="O75" i="46"/>
  <c r="S75" i="46" s="1"/>
  <c r="O111" i="46"/>
  <c r="S111" i="46" s="1"/>
  <c r="O167" i="46"/>
  <c r="S167" i="46" s="1"/>
  <c r="O167" i="71"/>
  <c r="S167" i="71" s="1"/>
  <c r="O43" i="46"/>
  <c r="S43" i="46" s="1"/>
  <c r="O157" i="71"/>
  <c r="S157" i="71" s="1"/>
  <c r="O113" i="71"/>
  <c r="S113" i="71" s="1"/>
  <c r="O177" i="71"/>
  <c r="S177" i="71" s="1"/>
  <c r="O184" i="71"/>
  <c r="S184" i="71" s="1"/>
  <c r="O231" i="46"/>
  <c r="S231" i="46" s="1"/>
  <c r="O48" i="46"/>
  <c r="S48" i="46" s="1"/>
  <c r="O223" i="71"/>
  <c r="S223" i="71" s="1"/>
  <c r="O21" i="71"/>
  <c r="S21" i="71" s="1"/>
  <c r="O137" i="46"/>
  <c r="S137" i="46" s="1"/>
  <c r="O18" i="46"/>
  <c r="O245" i="46"/>
  <c r="S245" i="46" s="1"/>
  <c r="O174" i="46"/>
  <c r="S174" i="46" s="1"/>
  <c r="O110" i="46"/>
  <c r="S110" i="46" s="1"/>
  <c r="O15" i="46"/>
  <c r="R15" i="46" s="1"/>
  <c r="O157" i="46"/>
  <c r="S157" i="46" s="1"/>
  <c r="O149" i="71"/>
  <c r="S149" i="71" s="1"/>
  <c r="O33" i="71"/>
  <c r="S33" i="71" s="1"/>
  <c r="O245" i="71"/>
  <c r="S245" i="71" s="1"/>
  <c r="O135" i="46"/>
  <c r="S135" i="46" s="1"/>
  <c r="O244" i="46"/>
  <c r="S244" i="46" s="1"/>
  <c r="O36" i="71"/>
  <c r="S36" i="71" s="1"/>
  <c r="O250" i="71"/>
  <c r="S250" i="71" s="1"/>
  <c r="O247" i="71"/>
  <c r="S247" i="71" s="1"/>
  <c r="O83" i="71"/>
  <c r="S83" i="71" s="1"/>
  <c r="O132" i="71"/>
  <c r="S132" i="71" s="1"/>
  <c r="O125" i="71"/>
  <c r="S125" i="71" s="1"/>
  <c r="O98" i="46"/>
  <c r="S98" i="46" s="1"/>
  <c r="O171" i="71"/>
  <c r="S171" i="71" s="1"/>
  <c r="O134" i="71"/>
  <c r="S134" i="71" s="1"/>
  <c r="O235" i="46"/>
  <c r="S235" i="46" s="1"/>
  <c r="O132" i="46"/>
  <c r="S132" i="46" s="1"/>
  <c r="O220" i="71"/>
  <c r="S220" i="71" s="1"/>
  <c r="O237" i="46"/>
  <c r="S237" i="46" s="1"/>
  <c r="O166" i="46"/>
  <c r="S166" i="46" s="1"/>
  <c r="O105" i="46"/>
  <c r="S105" i="46" s="1"/>
  <c r="O98" i="71"/>
  <c r="S98" i="71" s="1"/>
  <c r="O141" i="46"/>
  <c r="S141" i="46" s="1"/>
  <c r="O31" i="71"/>
  <c r="S31" i="71" s="1"/>
  <c r="O249" i="46"/>
  <c r="S249" i="46" s="1"/>
  <c r="O143" i="71"/>
  <c r="S143" i="71" s="1"/>
  <c r="O119" i="46"/>
  <c r="S119" i="46" s="1"/>
  <c r="O213" i="46"/>
  <c r="S213" i="46" s="1"/>
  <c r="O223" i="46"/>
  <c r="S223" i="46" s="1"/>
  <c r="O222" i="71"/>
  <c r="S222" i="71" s="1"/>
  <c r="O198" i="71"/>
  <c r="S198" i="71" s="1"/>
  <c r="O43" i="71"/>
  <c r="S43" i="71" s="1"/>
  <c r="O93" i="71"/>
  <c r="S93" i="71" s="1"/>
  <c r="O94" i="71"/>
  <c r="S94" i="71" s="1"/>
  <c r="O82" i="46"/>
  <c r="S82" i="46" s="1"/>
  <c r="O112" i="71"/>
  <c r="S112" i="71" s="1"/>
  <c r="O48" i="71"/>
  <c r="S48" i="71" s="1"/>
  <c r="O201" i="46"/>
  <c r="S201" i="46" s="1"/>
  <c r="O103" i="46"/>
  <c r="S103" i="46" s="1"/>
  <c r="O174" i="71"/>
  <c r="S174" i="71" s="1"/>
  <c r="O222" i="46"/>
  <c r="S222" i="46" s="1"/>
  <c r="O158" i="46"/>
  <c r="S158" i="46" s="1"/>
  <c r="O89" i="46"/>
  <c r="S89" i="46" s="1"/>
  <c r="O252" i="46"/>
  <c r="S252" i="46" s="1"/>
  <c r="O125" i="46"/>
  <c r="S125" i="46" s="1"/>
  <c r="O234" i="46"/>
  <c r="S234" i="46" s="1"/>
  <c r="O207" i="46"/>
  <c r="S207" i="46" s="1"/>
  <c r="O246" i="46"/>
  <c r="S246" i="46" s="1"/>
  <c r="O93" i="46"/>
  <c r="S93" i="46" s="1"/>
  <c r="O192" i="46"/>
  <c r="S192" i="46" s="1"/>
  <c r="O191" i="46"/>
  <c r="S191" i="46" s="1"/>
  <c r="O82" i="71"/>
  <c r="S82" i="71" s="1"/>
  <c r="O169" i="71"/>
  <c r="S169" i="71" s="1"/>
  <c r="O218" i="71"/>
  <c r="S218" i="71" s="1"/>
  <c r="O24" i="71"/>
  <c r="S24" i="71" s="1"/>
  <c r="O111" i="71"/>
  <c r="S111" i="71" s="1"/>
  <c r="O37" i="71"/>
  <c r="S37" i="71" s="1"/>
  <c r="O108" i="71"/>
  <c r="S108" i="71" s="1"/>
  <c r="O61" i="71"/>
  <c r="S61" i="71" s="1"/>
  <c r="O221" i="46"/>
  <c r="S221" i="46" s="1"/>
  <c r="O199" i="46"/>
  <c r="S199" i="46" s="1"/>
  <c r="O131" i="71"/>
  <c r="S131" i="71" s="1"/>
  <c r="O105" i="71"/>
  <c r="S105" i="71" s="1"/>
  <c r="O232" i="46"/>
  <c r="S232" i="46" s="1"/>
  <c r="O136" i="46"/>
  <c r="S136" i="46" s="1"/>
  <c r="O114" i="46"/>
  <c r="S114" i="46" s="1"/>
  <c r="O85" i="71"/>
  <c r="S85" i="71" s="1"/>
  <c r="O42" i="71"/>
  <c r="S42" i="71" s="1"/>
  <c r="O206" i="46"/>
  <c r="S206" i="46" s="1"/>
  <c r="O83" i="46"/>
  <c r="S83" i="46" s="1"/>
  <c r="O40" i="46"/>
  <c r="S40" i="46" s="1"/>
  <c r="O249" i="71"/>
  <c r="S249" i="71" s="1"/>
  <c r="O122" i="71"/>
  <c r="S122" i="71" s="1"/>
  <c r="O230" i="46"/>
  <c r="S230" i="46" s="1"/>
  <c r="O163" i="46"/>
  <c r="S163" i="46" s="1"/>
  <c r="O255" i="46"/>
  <c r="S255" i="46" s="1"/>
  <c r="O208" i="46"/>
  <c r="S208" i="46" s="1"/>
  <c r="O241" i="71"/>
  <c r="S241" i="71" s="1"/>
  <c r="O96" i="46"/>
  <c r="S96" i="46" s="1"/>
  <c r="O113" i="46"/>
  <c r="S113" i="46" s="1"/>
  <c r="O97" i="46"/>
  <c r="S97" i="46" s="1"/>
  <c r="O228" i="46"/>
  <c r="S228" i="46" s="1"/>
  <c r="O218" i="46"/>
  <c r="S218" i="46" s="1"/>
  <c r="O195" i="71"/>
  <c r="S195" i="71" s="1"/>
  <c r="O80" i="46"/>
  <c r="S80" i="46" s="1"/>
  <c r="O95" i="46"/>
  <c r="S95" i="46" s="1"/>
  <c r="O57" i="46"/>
  <c r="S57" i="46" s="1"/>
  <c r="O143" i="46"/>
  <c r="S143" i="46" s="1"/>
  <c r="O69" i="46"/>
  <c r="S69" i="46" s="1"/>
  <c r="O176" i="46"/>
  <c r="S176" i="46" s="1"/>
  <c r="O144" i="46"/>
  <c r="S144" i="46" s="1"/>
  <c r="O221" i="71"/>
  <c r="S221" i="71" s="1"/>
  <c r="O142" i="46"/>
  <c r="S142" i="46" s="1"/>
  <c r="O88" i="71"/>
  <c r="S88" i="71" s="1"/>
  <c r="O196" i="46"/>
  <c r="S196" i="46" s="1"/>
  <c r="M4" i="29"/>
  <c r="M5" i="29"/>
  <c r="M6" i="29"/>
  <c r="M7" i="29"/>
  <c r="M8" i="29"/>
  <c r="M9" i="29"/>
  <c r="M10" i="29"/>
  <c r="M11" i="29"/>
  <c r="M12" i="29"/>
  <c r="P84" i="11" s="1"/>
  <c r="Q84" i="11" s="1"/>
  <c r="M13" i="29"/>
  <c r="M14" i="29"/>
  <c r="P95" i="11" s="1"/>
  <c r="Q95" i="11" s="1"/>
  <c r="M15" i="29"/>
  <c r="M17" i="29"/>
  <c r="P88" i="11" s="1"/>
  <c r="Q88" i="11" s="1"/>
  <c r="M18" i="29"/>
  <c r="M19" i="29"/>
  <c r="M20" i="29"/>
  <c r="M21" i="29"/>
  <c r="M22" i="29"/>
  <c r="M23" i="29"/>
  <c r="M24" i="29"/>
  <c r="M25" i="29"/>
  <c r="M26" i="29"/>
  <c r="M27" i="29"/>
  <c r="M28" i="29"/>
  <c r="M29" i="29"/>
  <c r="M30" i="29"/>
  <c r="M31" i="29"/>
  <c r="P103" i="11" s="1"/>
  <c r="Q103" i="11" s="1"/>
  <c r="M32" i="29"/>
  <c r="M33" i="29"/>
  <c r="M34" i="29"/>
  <c r="M35" i="29"/>
  <c r="M36" i="29"/>
  <c r="M38" i="29"/>
  <c r="M39" i="29"/>
  <c r="M47" i="29"/>
  <c r="M48" i="29"/>
  <c r="M49" i="29"/>
  <c r="M50" i="29"/>
  <c r="M51" i="29"/>
  <c r="M52" i="29"/>
  <c r="M53" i="29"/>
  <c r="M54" i="29"/>
  <c r="M55" i="29"/>
  <c r="M56" i="29"/>
  <c r="M57" i="29"/>
  <c r="M58" i="29"/>
  <c r="M40" i="29"/>
  <c r="M59" i="29"/>
  <c r="M60" i="29"/>
  <c r="M61" i="29"/>
  <c r="M62" i="29"/>
  <c r="M63" i="29"/>
  <c r="M64" i="29"/>
  <c r="M65" i="29"/>
  <c r="M66" i="29"/>
  <c r="D67" i="22" s="1"/>
  <c r="M67" i="29"/>
  <c r="M68" i="29"/>
  <c r="M69" i="29"/>
  <c r="M70" i="29"/>
  <c r="M71" i="29"/>
  <c r="M72" i="29"/>
  <c r="M73" i="29"/>
  <c r="M74" i="29"/>
  <c r="P18" i="11" s="1"/>
  <c r="M75" i="29"/>
  <c r="M76" i="29"/>
  <c r="M77" i="29"/>
  <c r="M78" i="29"/>
  <c r="M79" i="29"/>
  <c r="M80" i="29"/>
  <c r="M81" i="29"/>
  <c r="M82" i="29"/>
  <c r="P28" i="11" s="1"/>
  <c r="Q28" i="11" s="1"/>
  <c r="M83" i="29"/>
  <c r="D84" i="22" s="1"/>
  <c r="M84" i="29"/>
  <c r="M85" i="29"/>
  <c r="M86" i="29"/>
  <c r="M87" i="29"/>
  <c r="M88" i="29"/>
  <c r="D89" i="22" s="1"/>
  <c r="M89" i="29"/>
  <c r="M90" i="29"/>
  <c r="M91" i="29"/>
  <c r="M92" i="29"/>
  <c r="D93" i="22" s="1"/>
  <c r="M93" i="29"/>
  <c r="P33" i="11" s="1"/>
  <c r="Q33" i="11" s="1"/>
  <c r="M94" i="29"/>
  <c r="M95" i="29"/>
  <c r="M96" i="29"/>
  <c r="D97" i="22" s="1"/>
  <c r="M97" i="29"/>
  <c r="M98" i="29"/>
  <c r="M99" i="29"/>
  <c r="T9" i="22"/>
  <c r="T11" i="22"/>
  <c r="T12" i="22"/>
  <c r="T13" i="22"/>
  <c r="T77" i="22"/>
  <c r="T79" i="22"/>
  <c r="T88" i="22"/>
  <c r="W5" i="22"/>
  <c r="W6" i="22"/>
  <c r="W7" i="22"/>
  <c r="W8" i="22"/>
  <c r="W9" i="22"/>
  <c r="W10" i="22"/>
  <c r="W11" i="22"/>
  <c r="W12" i="22"/>
  <c r="W13" i="22"/>
  <c r="W14" i="22"/>
  <c r="W15" i="22"/>
  <c r="W16" i="22"/>
  <c r="W17" i="22"/>
  <c r="W18" i="22"/>
  <c r="W19" i="22"/>
  <c r="W20" i="22"/>
  <c r="W21" i="22"/>
  <c r="W22" i="22"/>
  <c r="W23" i="22"/>
  <c r="W24" i="22"/>
  <c r="W25" i="22"/>
  <c r="W26" i="22"/>
  <c r="W27" i="22"/>
  <c r="W28" i="22"/>
  <c r="W29" i="22"/>
  <c r="W30" i="22"/>
  <c r="W31" i="22"/>
  <c r="W32" i="22"/>
  <c r="W33" i="22"/>
  <c r="W34" i="22"/>
  <c r="W35" i="22"/>
  <c r="W36" i="22"/>
  <c r="W37" i="22"/>
  <c r="W38" i="22"/>
  <c r="W39" i="22"/>
  <c r="W40" i="22"/>
  <c r="W42" i="22"/>
  <c r="W43" i="22"/>
  <c r="W44" i="22"/>
  <c r="W45" i="22"/>
  <c r="W46" i="22"/>
  <c r="W47" i="22"/>
  <c r="W48" i="22"/>
  <c r="W49" i="22"/>
  <c r="W50" i="22"/>
  <c r="W51" i="22"/>
  <c r="W52" i="22"/>
  <c r="W53" i="22"/>
  <c r="W54" i="22"/>
  <c r="W55" i="22"/>
  <c r="W56" i="22"/>
  <c r="W57" i="22"/>
  <c r="W58" i="22"/>
  <c r="W59" i="22"/>
  <c r="W41" i="22"/>
  <c r="W60" i="22"/>
  <c r="W61" i="22"/>
  <c r="W62" i="22"/>
  <c r="W63" i="22"/>
  <c r="W64" i="22"/>
  <c r="W65" i="22"/>
  <c r="W66" i="22"/>
  <c r="W67" i="22"/>
  <c r="W68" i="22"/>
  <c r="W69" i="22"/>
  <c r="W70" i="22"/>
  <c r="W71" i="22"/>
  <c r="W72" i="22"/>
  <c r="W73" i="22"/>
  <c r="W74" i="22"/>
  <c r="W75" i="22"/>
  <c r="W76" i="22"/>
  <c r="W77" i="22"/>
  <c r="W78" i="22"/>
  <c r="W79" i="22"/>
  <c r="W80" i="22"/>
  <c r="W81" i="22"/>
  <c r="W82" i="22"/>
  <c r="W83" i="22"/>
  <c r="W84" i="22"/>
  <c r="W85" i="22"/>
  <c r="W86" i="22"/>
  <c r="W87" i="22"/>
  <c r="W88" i="22"/>
  <c r="W89" i="22"/>
  <c r="W90" i="22"/>
  <c r="W91" i="22"/>
  <c r="W92" i="22"/>
  <c r="W93" i="22"/>
  <c r="W4" i="22"/>
  <c r="AW79" i="22"/>
  <c r="G5" i="22"/>
  <c r="K5" i="22"/>
  <c r="AW80" i="22"/>
  <c r="G6" i="22"/>
  <c r="K6" i="22"/>
  <c r="AW81" i="22"/>
  <c r="G7" i="22"/>
  <c r="K7" i="22"/>
  <c r="G8" i="22"/>
  <c r="K8" i="22"/>
  <c r="AW112" i="22"/>
  <c r="G9" i="22"/>
  <c r="K9" i="22"/>
  <c r="AW82" i="22"/>
  <c r="G10" i="22"/>
  <c r="K10" i="22"/>
  <c r="AW113" i="22"/>
  <c r="G11" i="22"/>
  <c r="K11" i="22"/>
  <c r="AW114" i="22"/>
  <c r="G12" i="22"/>
  <c r="K12" i="22"/>
  <c r="AW115" i="22"/>
  <c r="G13" i="22"/>
  <c r="K13" i="22"/>
  <c r="AW116" i="22"/>
  <c r="G14" i="22"/>
  <c r="K14" i="22"/>
  <c r="AW31" i="22"/>
  <c r="G15" i="22"/>
  <c r="K15" i="22"/>
  <c r="AW118" i="22"/>
  <c r="G16" i="22"/>
  <c r="K16" i="22"/>
  <c r="AW32" i="22"/>
  <c r="G17" i="22"/>
  <c r="K17" i="22"/>
  <c r="AW33" i="22"/>
  <c r="G18" i="22"/>
  <c r="K18" i="22"/>
  <c r="G19" i="22"/>
  <c r="K19" i="22"/>
  <c r="G20" i="22"/>
  <c r="K20" i="22"/>
  <c r="AW117" i="22"/>
  <c r="G21" i="22"/>
  <c r="K21" i="22"/>
  <c r="AW83" i="22"/>
  <c r="G22" i="22"/>
  <c r="K22" i="22"/>
  <c r="AW84" i="22"/>
  <c r="G23" i="22"/>
  <c r="K23" i="22"/>
  <c r="G24" i="22"/>
  <c r="K24" i="22"/>
  <c r="AW85" i="22"/>
  <c r="G25" i="22"/>
  <c r="K25" i="22"/>
  <c r="AW35" i="22"/>
  <c r="G26" i="22"/>
  <c r="K26" i="22"/>
  <c r="G27" i="22"/>
  <c r="K27" i="22"/>
  <c r="G28" i="22"/>
  <c r="K28" i="22"/>
  <c r="AW87" i="22"/>
  <c r="G29" i="22"/>
  <c r="K29" i="22"/>
  <c r="G30" i="22"/>
  <c r="K30" i="22"/>
  <c r="G31" i="22"/>
  <c r="K31" i="22"/>
  <c r="G32" i="22"/>
  <c r="K32" i="22"/>
  <c r="G33" i="22"/>
  <c r="K33" i="22"/>
  <c r="G34" i="22"/>
  <c r="K34" i="22"/>
  <c r="G35" i="22"/>
  <c r="K35" i="22"/>
  <c r="AW119" i="22"/>
  <c r="G36" i="22"/>
  <c r="K36" i="22"/>
  <c r="G37" i="22"/>
  <c r="K37" i="22"/>
  <c r="AW146" i="22"/>
  <c r="G38" i="22"/>
  <c r="K38" i="22"/>
  <c r="G39" i="22"/>
  <c r="K39" i="22"/>
  <c r="G40" i="22"/>
  <c r="K40" i="22"/>
  <c r="G42" i="22"/>
  <c r="K42" i="22"/>
  <c r="G43" i="22"/>
  <c r="K43" i="22"/>
  <c r="G44" i="22"/>
  <c r="K44" i="22"/>
  <c r="G45" i="22"/>
  <c r="K45" i="22"/>
  <c r="G46" i="22"/>
  <c r="K46" i="22"/>
  <c r="G47" i="22"/>
  <c r="K47" i="22"/>
  <c r="AW92" i="22"/>
  <c r="G48" i="22"/>
  <c r="K48" i="22"/>
  <c r="G49" i="22"/>
  <c r="K49" i="22"/>
  <c r="G50" i="22"/>
  <c r="K50" i="22"/>
  <c r="G51" i="22"/>
  <c r="K51" i="22"/>
  <c r="G52" i="22"/>
  <c r="K52" i="22"/>
  <c r="G53" i="22"/>
  <c r="K53" i="22"/>
  <c r="G54" i="22"/>
  <c r="K54" i="22"/>
  <c r="G55" i="22"/>
  <c r="K55" i="22"/>
  <c r="G56" i="22"/>
  <c r="K56" i="22"/>
  <c r="G57" i="22"/>
  <c r="K57" i="22"/>
  <c r="G58" i="22"/>
  <c r="K58" i="22"/>
  <c r="AW123" i="22"/>
  <c r="G59" i="22"/>
  <c r="K59" i="22"/>
  <c r="G41" i="22"/>
  <c r="K41" i="22"/>
  <c r="G60" i="22"/>
  <c r="K60" i="22"/>
  <c r="AW122" i="22"/>
  <c r="G61" i="22"/>
  <c r="K61" i="22"/>
  <c r="G62" i="22"/>
  <c r="K62" i="22"/>
  <c r="G63" i="22"/>
  <c r="K63" i="22"/>
  <c r="G64" i="22"/>
  <c r="K64" i="22"/>
  <c r="G65" i="22"/>
  <c r="K65" i="22"/>
  <c r="G66" i="22"/>
  <c r="K66" i="22"/>
  <c r="G67" i="22"/>
  <c r="K67" i="22"/>
  <c r="G68" i="22"/>
  <c r="K68" i="22"/>
  <c r="G69" i="22"/>
  <c r="K69" i="22"/>
  <c r="G70" i="22"/>
  <c r="K70" i="22"/>
  <c r="G71" i="22"/>
  <c r="K71" i="22"/>
  <c r="AW56" i="22"/>
  <c r="G72" i="22"/>
  <c r="K72" i="22"/>
  <c r="AW129" i="22"/>
  <c r="G73" i="22"/>
  <c r="K73" i="22"/>
  <c r="G74" i="22"/>
  <c r="K74" i="22"/>
  <c r="AW131" i="22"/>
  <c r="G75" i="22"/>
  <c r="K75" i="22"/>
  <c r="G76" i="22"/>
  <c r="K76" i="22"/>
  <c r="AW156" i="22"/>
  <c r="G77" i="22"/>
  <c r="K77" i="22"/>
  <c r="G78" i="22"/>
  <c r="K78" i="22"/>
  <c r="G79" i="22"/>
  <c r="K79" i="22"/>
  <c r="G80" i="22"/>
  <c r="K80" i="22"/>
  <c r="AW9" i="22"/>
  <c r="K81" i="22"/>
  <c r="G82" i="22"/>
  <c r="K82" i="22"/>
  <c r="G83" i="22"/>
  <c r="K83" i="22"/>
  <c r="G84" i="22"/>
  <c r="K84" i="22"/>
  <c r="G85" i="22"/>
  <c r="K85" i="22"/>
  <c r="AW57" i="22"/>
  <c r="G86" i="22"/>
  <c r="K86" i="22"/>
  <c r="G87" i="22"/>
  <c r="K87" i="22"/>
  <c r="AW52" i="22"/>
  <c r="G88" i="22"/>
  <c r="K88" i="22"/>
  <c r="AW59" i="22"/>
  <c r="G89" i="22"/>
  <c r="K89" i="22"/>
  <c r="G90" i="22"/>
  <c r="K90" i="22"/>
  <c r="G91" i="22"/>
  <c r="K91" i="22"/>
  <c r="G92" i="22"/>
  <c r="K92" i="22"/>
  <c r="AW98" i="22"/>
  <c r="G93" i="22"/>
  <c r="K93" i="22"/>
  <c r="K4" i="22"/>
  <c r="S15" i="46" l="1"/>
  <c r="V15" i="46"/>
  <c r="W15" i="46" s="1"/>
  <c r="S14" i="46"/>
  <c r="V14" i="46"/>
  <c r="W14" i="46" s="1"/>
  <c r="AF64" i="53"/>
  <c r="AA64" i="53"/>
  <c r="V13" i="46"/>
  <c r="W13" i="46" s="1"/>
  <c r="X13" i="46" s="1"/>
  <c r="T136" i="46"/>
  <c r="Y136" i="46" s="1"/>
  <c r="T247" i="71"/>
  <c r="T142" i="71"/>
  <c r="T79" i="46"/>
  <c r="T226" i="71"/>
  <c r="AA226" i="71" s="1"/>
  <c r="T206" i="71"/>
  <c r="T199" i="71"/>
  <c r="T124" i="71"/>
  <c r="T156" i="71"/>
  <c r="AA156" i="71" s="1"/>
  <c r="T143" i="46"/>
  <c r="T113" i="46"/>
  <c r="T249" i="71"/>
  <c r="AA249" i="71" s="1"/>
  <c r="T232" i="46"/>
  <c r="Y232" i="46" s="1"/>
  <c r="T111" i="71"/>
  <c r="T246" i="46"/>
  <c r="T174" i="71"/>
  <c r="T43" i="71"/>
  <c r="AA43" i="71" s="1"/>
  <c r="T31" i="71"/>
  <c r="T235" i="46"/>
  <c r="T250" i="71"/>
  <c r="AA250" i="71" s="1"/>
  <c r="T48" i="46"/>
  <c r="Y48" i="46" s="1"/>
  <c r="T167" i="46"/>
  <c r="T28" i="71"/>
  <c r="T181" i="71"/>
  <c r="T91" i="46"/>
  <c r="Y91" i="46" s="1"/>
  <c r="T164" i="46"/>
  <c r="T185" i="71"/>
  <c r="T205" i="46"/>
  <c r="T39" i="71"/>
  <c r="AA39" i="71" s="1"/>
  <c r="T38" i="46"/>
  <c r="T123" i="46"/>
  <c r="T124" i="46"/>
  <c r="T203" i="71"/>
  <c r="AA203" i="71" s="1"/>
  <c r="T227" i="46"/>
  <c r="T165" i="71"/>
  <c r="AA165" i="71" s="1"/>
  <c r="T146" i="71"/>
  <c r="AA146" i="71" s="1"/>
  <c r="T193" i="46"/>
  <c r="T90" i="71"/>
  <c r="T80" i="71"/>
  <c r="T32" i="71"/>
  <c r="T215" i="71"/>
  <c r="AA215" i="71" s="1"/>
  <c r="T194" i="46"/>
  <c r="T216" i="46"/>
  <c r="Y216" i="46" s="1"/>
  <c r="T58" i="71"/>
  <c r="AA58" i="71" s="1"/>
  <c r="T65" i="71"/>
  <c r="AA65" i="71" s="1"/>
  <c r="T52" i="46"/>
  <c r="T196" i="71"/>
  <c r="T118" i="71"/>
  <c r="T209" i="46"/>
  <c r="Y209" i="46" s="1"/>
  <c r="T120" i="71"/>
  <c r="T100" i="71"/>
  <c r="T51" i="71"/>
  <c r="T228" i="71"/>
  <c r="AA228" i="71" s="1"/>
  <c r="T233" i="71"/>
  <c r="T72" i="46"/>
  <c r="T63" i="71"/>
  <c r="T173" i="71"/>
  <c r="AA173" i="71" s="1"/>
  <c r="T160" i="46"/>
  <c r="T197" i="46"/>
  <c r="Y197" i="46" s="1"/>
  <c r="T150" i="46"/>
  <c r="T153" i="46"/>
  <c r="Y153" i="46" s="1"/>
  <c r="T12" i="71"/>
  <c r="T26" i="71"/>
  <c r="T209" i="71"/>
  <c r="T175" i="71"/>
  <c r="AA175" i="71" s="1"/>
  <c r="T69" i="46"/>
  <c r="T93" i="71"/>
  <c r="AA93" i="71" s="1"/>
  <c r="T190" i="46"/>
  <c r="T186" i="46"/>
  <c r="Y186" i="46" s="1"/>
  <c r="T92" i="46"/>
  <c r="T180" i="71"/>
  <c r="T87" i="71"/>
  <c r="T81" i="71"/>
  <c r="AA81" i="71" s="1"/>
  <c r="T118" i="46"/>
  <c r="T196" i="46"/>
  <c r="T57" i="46"/>
  <c r="T96" i="46"/>
  <c r="Y96" i="46" s="1"/>
  <c r="T40" i="46"/>
  <c r="T105" i="71"/>
  <c r="T24" i="71"/>
  <c r="T207" i="46"/>
  <c r="Y207" i="46" s="1"/>
  <c r="T103" i="46"/>
  <c r="T198" i="71"/>
  <c r="T141" i="46"/>
  <c r="T134" i="71"/>
  <c r="AA134" i="71" s="1"/>
  <c r="T36" i="71"/>
  <c r="T110" i="46"/>
  <c r="T231" i="46"/>
  <c r="T111" i="46"/>
  <c r="Y111" i="46" s="1"/>
  <c r="T37" i="46"/>
  <c r="T117" i="71"/>
  <c r="T41" i="46"/>
  <c r="T160" i="71"/>
  <c r="AA160" i="71" s="1"/>
  <c r="T39" i="46"/>
  <c r="T66" i="46"/>
  <c r="T165" i="46"/>
  <c r="T224" i="46"/>
  <c r="Y224" i="46" s="1"/>
  <c r="T155" i="46"/>
  <c r="T156" i="46"/>
  <c r="Y156" i="46" s="1"/>
  <c r="T16" i="71"/>
  <c r="T29" i="71"/>
  <c r="AA29" i="71" s="1"/>
  <c r="T224" i="71"/>
  <c r="T176" i="71"/>
  <c r="T225" i="46"/>
  <c r="T162" i="71"/>
  <c r="AA162" i="71" s="1"/>
  <c r="T119" i="71"/>
  <c r="T75" i="71"/>
  <c r="AA75" i="71" s="1"/>
  <c r="T244" i="71"/>
  <c r="AA244" i="71" s="1"/>
  <c r="T211" i="71"/>
  <c r="AA211" i="71" s="1"/>
  <c r="V12" i="46"/>
  <c r="W12" i="46" s="1"/>
  <c r="X12" i="46" s="1"/>
  <c r="T194" i="71"/>
  <c r="T68" i="46"/>
  <c r="T246" i="71"/>
  <c r="AA246" i="71" s="1"/>
  <c r="T148" i="71"/>
  <c r="T243" i="46"/>
  <c r="T208" i="71"/>
  <c r="AA208" i="71" s="1"/>
  <c r="T133" i="71"/>
  <c r="AA133" i="71" s="1"/>
  <c r="T95" i="71"/>
  <c r="T170" i="46"/>
  <c r="T154" i="46"/>
  <c r="T65" i="46"/>
  <c r="Y65" i="46" s="1"/>
  <c r="T63" i="46"/>
  <c r="T73" i="71"/>
  <c r="T88" i="46"/>
  <c r="T109" i="71"/>
  <c r="AA109" i="71" s="1"/>
  <c r="T219" i="71"/>
  <c r="T74" i="71"/>
  <c r="T182" i="46"/>
  <c r="T185" i="46"/>
  <c r="Y185" i="46" s="1"/>
  <c r="T71" i="71"/>
  <c r="T67" i="71"/>
  <c r="AA67" i="71" s="1"/>
  <c r="T19" i="71"/>
  <c r="T204" i="71"/>
  <c r="AA204" i="71" s="1"/>
  <c r="T93" i="46"/>
  <c r="T223" i="71"/>
  <c r="T51" i="46"/>
  <c r="T235" i="71"/>
  <c r="AA235" i="71" s="1"/>
  <c r="T152" i="46"/>
  <c r="T255" i="71"/>
  <c r="T212" i="71"/>
  <c r="AA212" i="71" s="1"/>
  <c r="T140" i="71"/>
  <c r="AA140" i="71" s="1"/>
  <c r="T95" i="46"/>
  <c r="T241" i="71"/>
  <c r="T83" i="46"/>
  <c r="T131" i="71"/>
  <c r="AA131" i="71" s="1"/>
  <c r="T218" i="71"/>
  <c r="T234" i="46"/>
  <c r="T201" i="46"/>
  <c r="T222" i="71"/>
  <c r="AA222" i="71" s="1"/>
  <c r="T98" i="71"/>
  <c r="T171" i="71"/>
  <c r="T244" i="46"/>
  <c r="T174" i="46"/>
  <c r="Y174" i="46" s="1"/>
  <c r="T184" i="71"/>
  <c r="T75" i="46"/>
  <c r="Y75" i="46" s="1"/>
  <c r="T145" i="46"/>
  <c r="T158" i="71"/>
  <c r="AA158" i="71" s="1"/>
  <c r="T200" i="46"/>
  <c r="T27" i="71"/>
  <c r="T112" i="46"/>
  <c r="T134" i="46"/>
  <c r="Y134" i="46" s="1"/>
  <c r="T44" i="71"/>
  <c r="T155" i="71"/>
  <c r="AA155" i="71" s="1"/>
  <c r="T187" i="46"/>
  <c r="T188" i="46"/>
  <c r="Y188" i="46" s="1"/>
  <c r="T84" i="71"/>
  <c r="T72" i="71"/>
  <c r="T23" i="71"/>
  <c r="T210" i="71"/>
  <c r="AA210" i="71" s="1"/>
  <c r="T14" i="71"/>
  <c r="T46" i="46"/>
  <c r="T178" i="71"/>
  <c r="AA178" i="71" s="1"/>
  <c r="T107" i="71"/>
  <c r="AA107" i="71" s="1"/>
  <c r="T53" i="46"/>
  <c r="T138" i="46"/>
  <c r="T49" i="46"/>
  <c r="T47" i="46"/>
  <c r="Y47" i="46" s="1"/>
  <c r="T53" i="71"/>
  <c r="T84" i="46"/>
  <c r="Y84" i="46" s="1"/>
  <c r="T99" i="71"/>
  <c r="AA99" i="71" s="1"/>
  <c r="T201" i="71"/>
  <c r="AA201" i="71" s="1"/>
  <c r="T68" i="71"/>
  <c r="T54" i="46"/>
  <c r="T205" i="71"/>
  <c r="T123" i="71"/>
  <c r="AA123" i="71" s="1"/>
  <c r="T49" i="71"/>
  <c r="T115" i="46"/>
  <c r="Y115" i="46" s="1"/>
  <c r="T116" i="46"/>
  <c r="T183" i="71"/>
  <c r="AA183" i="71" s="1"/>
  <c r="T104" i="46"/>
  <c r="T153" i="71"/>
  <c r="T136" i="71"/>
  <c r="T61" i="46"/>
  <c r="Y61" i="46" s="1"/>
  <c r="T109" i="46"/>
  <c r="T214" i="46"/>
  <c r="T217" i="46"/>
  <c r="T150" i="71"/>
  <c r="AA150" i="71" s="1"/>
  <c r="T104" i="71"/>
  <c r="T64" i="71"/>
  <c r="T239" i="71"/>
  <c r="T97" i="46"/>
  <c r="Y97" i="46" s="1"/>
  <c r="T132" i="46"/>
  <c r="T191" i="71"/>
  <c r="T202" i="46"/>
  <c r="T161" i="46"/>
  <c r="Y161" i="46" s="1"/>
  <c r="T240" i="46"/>
  <c r="T57" i="71"/>
  <c r="T56" i="46"/>
  <c r="T190" i="71"/>
  <c r="AA190" i="71" s="1"/>
  <c r="T88" i="71"/>
  <c r="T142" i="46"/>
  <c r="T80" i="46"/>
  <c r="T208" i="46"/>
  <c r="Y208" i="46" s="1"/>
  <c r="T206" i="46"/>
  <c r="T199" i="46"/>
  <c r="T169" i="71"/>
  <c r="T125" i="46"/>
  <c r="Y125" i="46" s="1"/>
  <c r="T48" i="71"/>
  <c r="T223" i="46"/>
  <c r="T105" i="46"/>
  <c r="T98" i="46"/>
  <c r="Y98" i="46" s="1"/>
  <c r="T135" i="46"/>
  <c r="T245" i="46"/>
  <c r="T177" i="71"/>
  <c r="T40" i="71"/>
  <c r="T64" i="46"/>
  <c r="T198" i="46"/>
  <c r="Y198" i="46" s="1"/>
  <c r="T237" i="71"/>
  <c r="AA237" i="71" s="1"/>
  <c r="T77" i="46"/>
  <c r="Y77" i="46" s="1"/>
  <c r="T120" i="46"/>
  <c r="T219" i="46"/>
  <c r="T220" i="46"/>
  <c r="T152" i="71"/>
  <c r="AA152" i="71" s="1"/>
  <c r="T116" i="71"/>
  <c r="T69" i="71"/>
  <c r="T240" i="71"/>
  <c r="AA240" i="71" s="1"/>
  <c r="T127" i="71"/>
  <c r="AA127" i="71" s="1"/>
  <c r="T62" i="46"/>
  <c r="T229" i="71"/>
  <c r="T139" i="71"/>
  <c r="T238" i="46"/>
  <c r="Y238" i="46" s="1"/>
  <c r="T107" i="46"/>
  <c r="T108" i="46"/>
  <c r="Y108" i="46" s="1"/>
  <c r="T144" i="71"/>
  <c r="AA144" i="71" s="1"/>
  <c r="T100" i="46"/>
  <c r="Y100" i="46" s="1"/>
  <c r="T135" i="71"/>
  <c r="T197" i="71"/>
  <c r="T70" i="46"/>
  <c r="T248" i="71"/>
  <c r="AA248" i="71" s="1"/>
  <c r="T168" i="71"/>
  <c r="T149" i="46"/>
  <c r="Y149" i="46" s="1"/>
  <c r="T181" i="46"/>
  <c r="T147" i="46"/>
  <c r="Y147" i="46" s="1"/>
  <c r="T148" i="46"/>
  <c r="T252" i="71"/>
  <c r="T20" i="71"/>
  <c r="T202" i="71"/>
  <c r="AA202" i="71" s="1"/>
  <c r="T170" i="71"/>
  <c r="T151" i="46"/>
  <c r="T173" i="46"/>
  <c r="T253" i="46"/>
  <c r="Y253" i="46" s="1"/>
  <c r="T251" i="46"/>
  <c r="T242" i="71"/>
  <c r="T159" i="71"/>
  <c r="T101" i="71"/>
  <c r="AA101" i="71" s="1"/>
  <c r="T37" i="71"/>
  <c r="T157" i="46"/>
  <c r="Y157" i="46" s="1"/>
  <c r="T42" i="46"/>
  <c r="T86" i="71"/>
  <c r="AA86" i="71" s="1"/>
  <c r="T38" i="71"/>
  <c r="T126" i="71"/>
  <c r="T210" i="46"/>
  <c r="T106" i="46"/>
  <c r="Y106" i="46" s="1"/>
  <c r="T221" i="71"/>
  <c r="T195" i="71"/>
  <c r="AA195" i="71" s="1"/>
  <c r="T42" i="71"/>
  <c r="AA42" i="71" s="1"/>
  <c r="T221" i="46"/>
  <c r="Y221" i="46" s="1"/>
  <c r="T82" i="71"/>
  <c r="T252" i="46"/>
  <c r="T112" i="71"/>
  <c r="T213" i="46"/>
  <c r="Y213" i="46" s="1"/>
  <c r="T166" i="46"/>
  <c r="T125" i="71"/>
  <c r="AA125" i="71" s="1"/>
  <c r="T245" i="71"/>
  <c r="AA245" i="71" s="1"/>
  <c r="T113" i="71"/>
  <c r="AA113" i="71" s="1"/>
  <c r="T189" i="46"/>
  <c r="T231" i="71"/>
  <c r="T59" i="46"/>
  <c r="T131" i="46"/>
  <c r="Y131" i="46" s="1"/>
  <c r="T41" i="71"/>
  <c r="T183" i="46"/>
  <c r="Y183" i="46" s="1"/>
  <c r="T46" i="71"/>
  <c r="AA46" i="71" s="1"/>
  <c r="T243" i="71"/>
  <c r="AA243" i="71" s="1"/>
  <c r="T162" i="46"/>
  <c r="T184" i="46"/>
  <c r="T15" i="71"/>
  <c r="T256" i="46"/>
  <c r="Y256" i="46" s="1"/>
  <c r="T44" i="46"/>
  <c r="Y44" i="46" s="1"/>
  <c r="T161" i="71"/>
  <c r="AA161" i="71" s="1"/>
  <c r="T102" i="71"/>
  <c r="AA102" i="71" s="1"/>
  <c r="T35" i="71"/>
  <c r="AA35" i="71" s="1"/>
  <c r="T78" i="46"/>
  <c r="Y78" i="46" s="1"/>
  <c r="T79" i="71"/>
  <c r="T189" i="71"/>
  <c r="T117" i="46"/>
  <c r="Y117" i="46" s="1"/>
  <c r="T133" i="46"/>
  <c r="Y133" i="46" s="1"/>
  <c r="T139" i="46"/>
  <c r="T140" i="46"/>
  <c r="T236" i="71"/>
  <c r="AA236" i="71" s="1"/>
  <c r="T13" i="71"/>
  <c r="T188" i="71"/>
  <c r="AA188" i="71" s="1"/>
  <c r="T163" i="71"/>
  <c r="T59" i="71"/>
  <c r="AA59" i="71" s="1"/>
  <c r="T86" i="46"/>
  <c r="Y86" i="46" s="1"/>
  <c r="T106" i="71"/>
  <c r="AA106" i="71" s="1"/>
  <c r="T207" i="71"/>
  <c r="AA207" i="71" s="1"/>
  <c r="T47" i="71"/>
  <c r="AA47" i="71" s="1"/>
  <c r="T187" i="71"/>
  <c r="AA187" i="71" s="1"/>
  <c r="T179" i="46"/>
  <c r="Y179" i="46" s="1"/>
  <c r="T180" i="46"/>
  <c r="T62" i="71"/>
  <c r="AA62" i="71" s="1"/>
  <c r="T60" i="71"/>
  <c r="AA60" i="71" s="1"/>
  <c r="T18" i="71"/>
  <c r="T200" i="71"/>
  <c r="AA200" i="71" s="1"/>
  <c r="T215" i="46"/>
  <c r="Y215" i="46" s="1"/>
  <c r="T236" i="46"/>
  <c r="Y236" i="46" s="1"/>
  <c r="T89" i="71"/>
  <c r="AA89" i="71" s="1"/>
  <c r="T76" i="71"/>
  <c r="T58" i="46"/>
  <c r="Y58" i="46" s="1"/>
  <c r="T214" i="71"/>
  <c r="AA214" i="71" s="1"/>
  <c r="T129" i="71"/>
  <c r="AA129" i="71" s="1"/>
  <c r="T222" i="46"/>
  <c r="T167" i="71"/>
  <c r="AA167" i="71" s="1"/>
  <c r="T172" i="71"/>
  <c r="AA172" i="71" s="1"/>
  <c r="T121" i="71"/>
  <c r="AA121" i="71" s="1"/>
  <c r="T130" i="46"/>
  <c r="T177" i="46"/>
  <c r="Y177" i="46" s="1"/>
  <c r="T226" i="46"/>
  <c r="Y226" i="46" s="1"/>
  <c r="T121" i="46"/>
  <c r="Y121" i="46" s="1"/>
  <c r="T144" i="46"/>
  <c r="T218" i="46"/>
  <c r="Y218" i="46" s="1"/>
  <c r="T163" i="46"/>
  <c r="Y163" i="46" s="1"/>
  <c r="T85" i="71"/>
  <c r="AA85" i="71" s="1"/>
  <c r="T61" i="71"/>
  <c r="AA61" i="71" s="1"/>
  <c r="T191" i="46"/>
  <c r="Y191" i="46" s="1"/>
  <c r="T89" i="46"/>
  <c r="Y89" i="46" s="1"/>
  <c r="T82" i="46"/>
  <c r="Y82" i="46" s="1"/>
  <c r="T119" i="46"/>
  <c r="Y119" i="46" s="1"/>
  <c r="T237" i="46"/>
  <c r="Y237" i="46" s="1"/>
  <c r="T132" i="71"/>
  <c r="AA132" i="71" s="1"/>
  <c r="T33" i="71"/>
  <c r="AA33" i="71" s="1"/>
  <c r="T137" i="46"/>
  <c r="Y137" i="46" s="1"/>
  <c r="T157" i="71"/>
  <c r="AA157" i="71" s="1"/>
  <c r="T50" i="46"/>
  <c r="Y50" i="46" s="1"/>
  <c r="T195" i="46"/>
  <c r="Y195" i="46" s="1"/>
  <c r="T230" i="71"/>
  <c r="AA230" i="71" s="1"/>
  <c r="T127" i="46"/>
  <c r="Y127" i="46" s="1"/>
  <c r="T55" i="46"/>
  <c r="Y55" i="46" s="1"/>
  <c r="T145" i="71"/>
  <c r="AA145" i="71" s="1"/>
  <c r="T241" i="46"/>
  <c r="Y241" i="46" s="1"/>
  <c r="T247" i="46"/>
  <c r="Y247" i="46" s="1"/>
  <c r="T141" i="71"/>
  <c r="AA141" i="71" s="1"/>
  <c r="T115" i="71"/>
  <c r="AA115" i="71" s="1"/>
  <c r="T60" i="46"/>
  <c r="Y60" i="46" s="1"/>
  <c r="T216" i="71"/>
  <c r="AA216" i="71" s="1"/>
  <c r="T130" i="71"/>
  <c r="AA130" i="71" s="1"/>
  <c r="T87" i="46"/>
  <c r="Y87" i="46" s="1"/>
  <c r="T91" i="71"/>
  <c r="AA91" i="71" s="1"/>
  <c r="T94" i="46"/>
  <c r="Y94" i="46" s="1"/>
  <c r="T128" i="71"/>
  <c r="AA128" i="71" s="1"/>
  <c r="T238" i="71"/>
  <c r="AA238" i="71" s="1"/>
  <c r="T239" i="46"/>
  <c r="Y239" i="46" s="1"/>
  <c r="T45" i="71"/>
  <c r="AA45" i="71" s="1"/>
  <c r="T171" i="46"/>
  <c r="Y171" i="46" s="1"/>
  <c r="T172" i="46"/>
  <c r="Y172" i="46" s="1"/>
  <c r="T52" i="71"/>
  <c r="AA52" i="71" s="1"/>
  <c r="T54" i="71"/>
  <c r="AA54" i="71" s="1"/>
  <c r="T253" i="71"/>
  <c r="AA253" i="71" s="1"/>
  <c r="T192" i="71"/>
  <c r="AA192" i="71" s="1"/>
  <c r="T147" i="71"/>
  <c r="AA147" i="71" s="1"/>
  <c r="T102" i="46"/>
  <c r="Y102" i="46" s="1"/>
  <c r="T138" i="71"/>
  <c r="AA138" i="71" s="1"/>
  <c r="T256" i="71"/>
  <c r="AA256" i="71" s="1"/>
  <c r="T45" i="46"/>
  <c r="Y45" i="46" s="1"/>
  <c r="T99" i="46"/>
  <c r="Y99" i="46" s="1"/>
  <c r="T211" i="46"/>
  <c r="Y211" i="46" s="1"/>
  <c r="T212" i="46"/>
  <c r="Y212" i="46" s="1"/>
  <c r="T137" i="71"/>
  <c r="AA137" i="71" s="1"/>
  <c r="T103" i="71"/>
  <c r="AA103" i="71" s="1"/>
  <c r="T55" i="71"/>
  <c r="AA55" i="71" s="1"/>
  <c r="T234" i="71"/>
  <c r="AA234" i="71" s="1"/>
  <c r="T85" i="46"/>
  <c r="Y85" i="46" s="1"/>
  <c r="T25" i="71"/>
  <c r="AA25" i="71" s="1"/>
  <c r="T74" i="46"/>
  <c r="Y74" i="46" s="1"/>
  <c r="T66" i="71"/>
  <c r="AA66" i="71" s="1"/>
  <c r="T179" i="71"/>
  <c r="AA179" i="71" s="1"/>
  <c r="T122" i="71"/>
  <c r="AA122" i="71" s="1"/>
  <c r="T249" i="46"/>
  <c r="Y249" i="46" s="1"/>
  <c r="T122" i="46"/>
  <c r="Y122" i="46" s="1"/>
  <c r="T81" i="46"/>
  <c r="Y81" i="46" s="1"/>
  <c r="T22" i="71"/>
  <c r="T242" i="46"/>
  <c r="Y242" i="46" s="1"/>
  <c r="T56" i="71"/>
  <c r="AA56" i="71" s="1"/>
  <c r="T70" i="71"/>
  <c r="AA70" i="71" s="1"/>
  <c r="T92" i="71"/>
  <c r="AA92" i="71" s="1"/>
  <c r="T176" i="46"/>
  <c r="Y176" i="46" s="1"/>
  <c r="T228" i="46"/>
  <c r="Y228" i="46" s="1"/>
  <c r="T230" i="46"/>
  <c r="Y230" i="46" s="1"/>
  <c r="T114" i="46"/>
  <c r="Y114" i="46" s="1"/>
  <c r="T108" i="71"/>
  <c r="AA108" i="71" s="1"/>
  <c r="T192" i="46"/>
  <c r="Y192" i="46" s="1"/>
  <c r="T158" i="46"/>
  <c r="Y158" i="46" s="1"/>
  <c r="T94" i="71"/>
  <c r="AA94" i="71" s="1"/>
  <c r="T143" i="71"/>
  <c r="AA143" i="71" s="1"/>
  <c r="T220" i="71"/>
  <c r="AA220" i="71" s="1"/>
  <c r="T83" i="71"/>
  <c r="AA83" i="71" s="1"/>
  <c r="T149" i="71"/>
  <c r="AA149" i="71" s="1"/>
  <c r="T21" i="71"/>
  <c r="T43" i="46"/>
  <c r="Y43" i="46" s="1"/>
  <c r="T126" i="46"/>
  <c r="Y126" i="46" s="1"/>
  <c r="T233" i="46"/>
  <c r="Y233" i="46" s="1"/>
  <c r="T178" i="46"/>
  <c r="Y178" i="46" s="1"/>
  <c r="T34" i="71"/>
  <c r="AA34" i="71" s="1"/>
  <c r="T232" i="71"/>
  <c r="AA232" i="71" s="1"/>
  <c r="T128" i="46"/>
  <c r="Y128" i="46" s="1"/>
  <c r="T169" i="46"/>
  <c r="Y169" i="46" s="1"/>
  <c r="T186" i="71"/>
  <c r="AA186" i="71" s="1"/>
  <c r="T101" i="46"/>
  <c r="Y101" i="46" s="1"/>
  <c r="T30" i="71"/>
  <c r="AA30" i="71" s="1"/>
  <c r="T76" i="46"/>
  <c r="Y76" i="46" s="1"/>
  <c r="T78" i="71"/>
  <c r="AA78" i="71" s="1"/>
  <c r="T182" i="71"/>
  <c r="AA182" i="71" s="1"/>
  <c r="T129" i="46"/>
  <c r="Y129" i="46" s="1"/>
  <c r="T217" i="71"/>
  <c r="AA217" i="71" s="1"/>
  <c r="T229" i="46"/>
  <c r="Y229" i="46" s="1"/>
  <c r="T166" i="71"/>
  <c r="AA166" i="71" s="1"/>
  <c r="T151" i="71"/>
  <c r="AA151" i="71" s="1"/>
  <c r="T67" i="46"/>
  <c r="Y67" i="46" s="1"/>
  <c r="T203" i="46"/>
  <c r="Y203" i="46" s="1"/>
  <c r="T204" i="46"/>
  <c r="Y204" i="46" s="1"/>
  <c r="T114" i="71"/>
  <c r="AA114" i="71" s="1"/>
  <c r="T97" i="71"/>
  <c r="AA97" i="71" s="1"/>
  <c r="T50" i="71"/>
  <c r="AA50" i="71" s="1"/>
  <c r="T227" i="71"/>
  <c r="AA227" i="71" s="1"/>
  <c r="T251" i="71"/>
  <c r="AA251" i="71" s="1"/>
  <c r="T17" i="71"/>
  <c r="T193" i="71"/>
  <c r="AA193" i="71" s="1"/>
  <c r="T164" i="71"/>
  <c r="AA164" i="71" s="1"/>
  <c r="T146" i="46"/>
  <c r="Y146" i="46" s="1"/>
  <c r="T168" i="46"/>
  <c r="Y168" i="46" s="1"/>
  <c r="T250" i="46"/>
  <c r="Y250" i="46" s="1"/>
  <c r="T248" i="46"/>
  <c r="Y248" i="46" s="1"/>
  <c r="T213" i="71"/>
  <c r="AA213" i="71" s="1"/>
  <c r="T154" i="71"/>
  <c r="AA154" i="71" s="1"/>
  <c r="T96" i="71"/>
  <c r="AA96" i="71" s="1"/>
  <c r="T175" i="46"/>
  <c r="Y175" i="46" s="1"/>
  <c r="T159" i="46"/>
  <c r="Y159" i="46" s="1"/>
  <c r="T73" i="46"/>
  <c r="Y73" i="46" s="1"/>
  <c r="T71" i="46"/>
  <c r="Y71" i="46" s="1"/>
  <c r="T77" i="71"/>
  <c r="AA77" i="71" s="1"/>
  <c r="T90" i="46"/>
  <c r="Y90" i="46" s="1"/>
  <c r="T110" i="71"/>
  <c r="AA110" i="71" s="1"/>
  <c r="T225" i="71"/>
  <c r="AA225" i="71" s="1"/>
  <c r="AF49" i="65"/>
  <c r="AE49" i="65"/>
  <c r="AE66" i="57"/>
  <c r="R66" i="57"/>
  <c r="AE66" i="53"/>
  <c r="R66" i="53"/>
  <c r="AB63" i="57"/>
  <c r="AF63" i="57"/>
  <c r="AG49" i="69"/>
  <c r="AG48" i="65"/>
  <c r="Q116" i="11"/>
  <c r="Q120" i="11"/>
  <c r="Q18" i="11"/>
  <c r="Q115" i="11"/>
  <c r="AW11" i="22"/>
  <c r="AW6" i="22"/>
  <c r="AW10" i="22"/>
  <c r="AW124" i="22"/>
  <c r="D86" i="22"/>
  <c r="P26" i="11"/>
  <c r="Q26" i="11" s="1"/>
  <c r="D78" i="22"/>
  <c r="P23" i="11"/>
  <c r="Q23" i="11" s="1"/>
  <c r="D70" i="22"/>
  <c r="P16" i="11"/>
  <c r="W16" i="11" s="1"/>
  <c r="D62" i="22"/>
  <c r="P130" i="11"/>
  <c r="D55" i="22"/>
  <c r="P122" i="11"/>
  <c r="D40" i="22"/>
  <c r="P112" i="11"/>
  <c r="Q112" i="11" s="1"/>
  <c r="D31" i="22"/>
  <c r="P98" i="11"/>
  <c r="Q98" i="11" s="1"/>
  <c r="D23" i="22"/>
  <c r="P89" i="11"/>
  <c r="Q89" i="11" s="1"/>
  <c r="D14" i="22"/>
  <c r="P81" i="11"/>
  <c r="Q81" i="11" s="1"/>
  <c r="D6" i="22"/>
  <c r="P73" i="11"/>
  <c r="Q73" i="11" s="1"/>
  <c r="D85" i="22"/>
  <c r="P25" i="11"/>
  <c r="Q25" i="11" s="1"/>
  <c r="D77" i="22"/>
  <c r="P17" i="11"/>
  <c r="W17" i="11" s="1"/>
  <c r="P139" i="11"/>
  <c r="Q139" i="11" s="1"/>
  <c r="P140" i="11"/>
  <c r="D61" i="22"/>
  <c r="P129" i="11"/>
  <c r="D54" i="22"/>
  <c r="P126" i="11"/>
  <c r="D39" i="22"/>
  <c r="P111" i="11"/>
  <c r="Q111" i="11" s="1"/>
  <c r="D30" i="22"/>
  <c r="P97" i="11"/>
  <c r="Q97" i="11" s="1"/>
  <c r="D22" i="22"/>
  <c r="P92" i="11"/>
  <c r="Q92" i="11" s="1"/>
  <c r="D5" i="22"/>
  <c r="P76" i="11"/>
  <c r="Q76" i="11" s="1"/>
  <c r="D100" i="22"/>
  <c r="P37" i="11"/>
  <c r="Q37" i="11" s="1"/>
  <c r="D92" i="22"/>
  <c r="P36" i="11"/>
  <c r="Q36" i="11" s="1"/>
  <c r="D76" i="22"/>
  <c r="P141" i="11"/>
  <c r="Q141" i="11" s="1"/>
  <c r="D68" i="22"/>
  <c r="P15" i="11"/>
  <c r="W15" i="11" s="1"/>
  <c r="D60" i="22"/>
  <c r="P132" i="11"/>
  <c r="D53" i="22"/>
  <c r="P121" i="11"/>
  <c r="D37" i="22"/>
  <c r="P105" i="11"/>
  <c r="Q105" i="11" s="1"/>
  <c r="D29" i="22"/>
  <c r="P100" i="11"/>
  <c r="Q100" i="11" s="1"/>
  <c r="D21" i="22"/>
  <c r="P91" i="11"/>
  <c r="Q91" i="11" s="1"/>
  <c r="D12" i="22"/>
  <c r="P83" i="11"/>
  <c r="Q83" i="11" s="1"/>
  <c r="D99" i="22"/>
  <c r="P14" i="11"/>
  <c r="W14" i="11" s="1"/>
  <c r="D91" i="22"/>
  <c r="P35" i="11"/>
  <c r="Q35" i="11" s="1"/>
  <c r="X28" i="11"/>
  <c r="AQ28" i="11" s="1"/>
  <c r="D41" i="22"/>
  <c r="P113" i="11"/>
  <c r="Q113" i="11" s="1"/>
  <c r="D52" i="22"/>
  <c r="P124" i="11"/>
  <c r="D36" i="22"/>
  <c r="P108" i="11"/>
  <c r="Q108" i="11" s="1"/>
  <c r="D28" i="22"/>
  <c r="P99" i="11"/>
  <c r="Q99" i="11" s="1"/>
  <c r="D20" i="22"/>
  <c r="P86" i="11"/>
  <c r="Q86" i="11" s="1"/>
  <c r="D11" i="22"/>
  <c r="P78" i="11"/>
  <c r="Q78" i="11" s="1"/>
  <c r="D98" i="22"/>
  <c r="P40" i="11"/>
  <c r="Q40" i="11" s="1"/>
  <c r="D90" i="22"/>
  <c r="P30" i="11"/>
  <c r="Q30" i="11" s="1"/>
  <c r="D82" i="22"/>
  <c r="P27" i="11"/>
  <c r="Q27" i="11" s="1"/>
  <c r="D74" i="22"/>
  <c r="P20" i="11"/>
  <c r="Q20" i="11" s="1"/>
  <c r="D66" i="22"/>
  <c r="P134" i="11"/>
  <c r="Q134" i="11" s="1"/>
  <c r="D59" i="22"/>
  <c r="P131" i="11"/>
  <c r="Q131" i="11" s="1"/>
  <c r="D51" i="22"/>
  <c r="P123" i="11"/>
  <c r="Q123" i="11" s="1"/>
  <c r="D35" i="22"/>
  <c r="P11" i="59"/>
  <c r="W11" i="59" s="1"/>
  <c r="P107" i="11"/>
  <c r="Q107" i="11" s="1"/>
  <c r="D27" i="22"/>
  <c r="P94" i="11"/>
  <c r="Q94" i="11" s="1"/>
  <c r="D19" i="22"/>
  <c r="P85" i="11"/>
  <c r="Q85" i="11" s="1"/>
  <c r="D10" i="22"/>
  <c r="P77" i="11"/>
  <c r="Q77" i="11" s="1"/>
  <c r="D81" i="22"/>
  <c r="P22" i="11"/>
  <c r="Q22" i="11" s="1"/>
  <c r="D73" i="22"/>
  <c r="P19" i="11"/>
  <c r="Q19" i="11" s="1"/>
  <c r="D65" i="22"/>
  <c r="P133" i="11"/>
  <c r="Q133" i="11" s="1"/>
  <c r="D58" i="22"/>
  <c r="P125" i="11"/>
  <c r="D50" i="22"/>
  <c r="P118" i="11"/>
  <c r="D34" i="22"/>
  <c r="P102" i="11"/>
  <c r="Q102" i="11" s="1"/>
  <c r="D26" i="22"/>
  <c r="P93" i="11"/>
  <c r="Q93" i="11" s="1"/>
  <c r="D9" i="22"/>
  <c r="P80" i="11"/>
  <c r="Q80" i="11" s="1"/>
  <c r="D96" i="22"/>
  <c r="P39" i="11"/>
  <c r="Q39" i="11" s="1"/>
  <c r="D88" i="22"/>
  <c r="P29" i="11"/>
  <c r="Q29" i="11" s="1"/>
  <c r="D80" i="22"/>
  <c r="P21" i="11"/>
  <c r="Q21" i="11" s="1"/>
  <c r="D72" i="22"/>
  <c r="P138" i="11"/>
  <c r="Q138" i="11" s="1"/>
  <c r="D64" i="22"/>
  <c r="P136" i="11"/>
  <c r="Q136" i="11" s="1"/>
  <c r="D57" i="22"/>
  <c r="P128" i="11"/>
  <c r="D49" i="22"/>
  <c r="P117" i="11"/>
  <c r="D33" i="22"/>
  <c r="P104" i="11"/>
  <c r="Q104" i="11" s="1"/>
  <c r="P101" i="11"/>
  <c r="Q101" i="11" s="1"/>
  <c r="D25" i="22"/>
  <c r="P96" i="11"/>
  <c r="Q96" i="11" s="1"/>
  <c r="D16" i="22"/>
  <c r="P82" i="11"/>
  <c r="Q82" i="11" s="1"/>
  <c r="D8" i="22"/>
  <c r="P79" i="11"/>
  <c r="Q79" i="11" s="1"/>
  <c r="D95" i="22"/>
  <c r="P34" i="11"/>
  <c r="Q34" i="11" s="1"/>
  <c r="D87" i="22"/>
  <c r="P32" i="11"/>
  <c r="Q32" i="11" s="1"/>
  <c r="P31" i="11"/>
  <c r="Q31" i="11" s="1"/>
  <c r="D79" i="22"/>
  <c r="P24" i="11"/>
  <c r="Q24" i="11" s="1"/>
  <c r="D71" i="22"/>
  <c r="P137" i="11"/>
  <c r="Q137" i="11" s="1"/>
  <c r="D63" i="22"/>
  <c r="P135" i="11"/>
  <c r="Q135" i="11" s="1"/>
  <c r="D56" i="22"/>
  <c r="P127" i="11"/>
  <c r="Q127" i="11" s="1"/>
  <c r="D48" i="22"/>
  <c r="P119" i="11"/>
  <c r="D24" i="22"/>
  <c r="P90" i="11"/>
  <c r="Q90" i="11" s="1"/>
  <c r="D7" i="22"/>
  <c r="P74" i="11"/>
  <c r="Q74" i="11" s="1"/>
  <c r="R36" i="46"/>
  <c r="S36" i="46" s="1"/>
  <c r="R22" i="46"/>
  <c r="R16" i="46"/>
  <c r="R32" i="46"/>
  <c r="S32" i="46" s="1"/>
  <c r="R25" i="46"/>
  <c r="S25" i="46" s="1"/>
  <c r="R17" i="46"/>
  <c r="R30" i="46"/>
  <c r="S30" i="46" s="1"/>
  <c r="R27" i="46"/>
  <c r="S27" i="46" s="1"/>
  <c r="R24" i="46"/>
  <c r="S24" i="46" s="1"/>
  <c r="R33" i="46"/>
  <c r="S33" i="46" s="1"/>
  <c r="R20" i="46"/>
  <c r="R18" i="46"/>
  <c r="R34" i="46"/>
  <c r="S34" i="46" s="1"/>
  <c r="R31" i="46"/>
  <c r="S31" i="46" s="1"/>
  <c r="R19" i="46"/>
  <c r="R23" i="46"/>
  <c r="S23" i="46" s="1"/>
  <c r="R26" i="46"/>
  <c r="S26" i="46" s="1"/>
  <c r="R21" i="46"/>
  <c r="R28" i="46"/>
  <c r="S28" i="46" s="1"/>
  <c r="R29" i="46"/>
  <c r="S29" i="46" s="1"/>
  <c r="R35" i="46"/>
  <c r="S35" i="46" s="1"/>
  <c r="D83" i="22"/>
  <c r="P11" i="11"/>
  <c r="W11" i="11" s="1"/>
  <c r="X255" i="46"/>
  <c r="X254" i="46"/>
  <c r="X15" i="46"/>
  <c r="X14" i="46"/>
  <c r="T254" i="71"/>
  <c r="X254" i="71"/>
  <c r="D94" i="22"/>
  <c r="P13" i="11"/>
  <c r="W13" i="11" s="1"/>
  <c r="AA105" i="71"/>
  <c r="AA24" i="71"/>
  <c r="AA198" i="71"/>
  <c r="AA36" i="71"/>
  <c r="AA117" i="71"/>
  <c r="AA224" i="71"/>
  <c r="AA176" i="71"/>
  <c r="AA119" i="71"/>
  <c r="AA194" i="71"/>
  <c r="AA148" i="71"/>
  <c r="AA95" i="71"/>
  <c r="AA73" i="71"/>
  <c r="AA219" i="71"/>
  <c r="AA74" i="71"/>
  <c r="AA71" i="71"/>
  <c r="AA88" i="71"/>
  <c r="AA241" i="71"/>
  <c r="AA218" i="71"/>
  <c r="AA98" i="71"/>
  <c r="AA171" i="71"/>
  <c r="AA184" i="71"/>
  <c r="AA27" i="71"/>
  <c r="AA44" i="71"/>
  <c r="AA84" i="71"/>
  <c r="AA72" i="71"/>
  <c r="AA53" i="71"/>
  <c r="AA68" i="71"/>
  <c r="AA205" i="71"/>
  <c r="AA49" i="71"/>
  <c r="AA153" i="71"/>
  <c r="AA136" i="71"/>
  <c r="AA104" i="71"/>
  <c r="AA64" i="71"/>
  <c r="AA239" i="71"/>
  <c r="AA169" i="71"/>
  <c r="AA48" i="71"/>
  <c r="AA177" i="71"/>
  <c r="AA40" i="71"/>
  <c r="AA116" i="71"/>
  <c r="AA69" i="71"/>
  <c r="AA229" i="71"/>
  <c r="AA139" i="71"/>
  <c r="AA135" i="71"/>
  <c r="AA197" i="71"/>
  <c r="AA168" i="71"/>
  <c r="AA252" i="71"/>
  <c r="AA170" i="71"/>
  <c r="AA242" i="71"/>
  <c r="AA159" i="71"/>
  <c r="AA221" i="71"/>
  <c r="AA82" i="71"/>
  <c r="AA112" i="71"/>
  <c r="AA231" i="71"/>
  <c r="AA41" i="71"/>
  <c r="AA79" i="71"/>
  <c r="AA189" i="71"/>
  <c r="AA163" i="71"/>
  <c r="AA76" i="71"/>
  <c r="AA37" i="71"/>
  <c r="AA247" i="71"/>
  <c r="AA223" i="71"/>
  <c r="AA191" i="71"/>
  <c r="AA142" i="71"/>
  <c r="AA38" i="71"/>
  <c r="AA180" i="71"/>
  <c r="AA206" i="71"/>
  <c r="AA126" i="71"/>
  <c r="AA87" i="71"/>
  <c r="AA57" i="71"/>
  <c r="AA255" i="71"/>
  <c r="AA199" i="71"/>
  <c r="AA124" i="71"/>
  <c r="AA111" i="71"/>
  <c r="AA174" i="71"/>
  <c r="AA31" i="71"/>
  <c r="AA28" i="71"/>
  <c r="AA181" i="71"/>
  <c r="AA185" i="71"/>
  <c r="AA90" i="71"/>
  <c r="AA80" i="71"/>
  <c r="AA32" i="71"/>
  <c r="AA196" i="71"/>
  <c r="AA118" i="71"/>
  <c r="AA120" i="71"/>
  <c r="AA100" i="71"/>
  <c r="AA51" i="71"/>
  <c r="AA233" i="71"/>
  <c r="AA63" i="71"/>
  <c r="AA26" i="71"/>
  <c r="AA209" i="71"/>
  <c r="Y196" i="46"/>
  <c r="Y57" i="46"/>
  <c r="Y40" i="46"/>
  <c r="Y103" i="46"/>
  <c r="Y141" i="46"/>
  <c r="Y110" i="46"/>
  <c r="Y231" i="46"/>
  <c r="Y37" i="46"/>
  <c r="Y41" i="46"/>
  <c r="Y39" i="46"/>
  <c r="Y66" i="46"/>
  <c r="Y165" i="46"/>
  <c r="Y155" i="46"/>
  <c r="Y225" i="46"/>
  <c r="Y68" i="46"/>
  <c r="Y243" i="46"/>
  <c r="Y170" i="46"/>
  <c r="Y154" i="46"/>
  <c r="Y63" i="46"/>
  <c r="Y88" i="46"/>
  <c r="Y182" i="46"/>
  <c r="Y95" i="46"/>
  <c r="Y83" i="46"/>
  <c r="Y234" i="46"/>
  <c r="Y201" i="46"/>
  <c r="Y244" i="46"/>
  <c r="Y145" i="46"/>
  <c r="Y200" i="46"/>
  <c r="Y112" i="46"/>
  <c r="Y187" i="46"/>
  <c r="Y46" i="46"/>
  <c r="Y53" i="46"/>
  <c r="Y138" i="46"/>
  <c r="Y49" i="46"/>
  <c r="Y54" i="46"/>
  <c r="Y116" i="46"/>
  <c r="Y104" i="46"/>
  <c r="Y109" i="46"/>
  <c r="Y214" i="46"/>
  <c r="Y217" i="46"/>
  <c r="Y142" i="46"/>
  <c r="Y80" i="46"/>
  <c r="Y206" i="46"/>
  <c r="Y199" i="46"/>
  <c r="Y223" i="46"/>
  <c r="Y105" i="46"/>
  <c r="Y135" i="46"/>
  <c r="Y245" i="46"/>
  <c r="Y64" i="46"/>
  <c r="Y120" i="46"/>
  <c r="Y219" i="46"/>
  <c r="Y220" i="46"/>
  <c r="Y62" i="46"/>
  <c r="Y107" i="46"/>
  <c r="Y70" i="46"/>
  <c r="Y181" i="46"/>
  <c r="Y148" i="46"/>
  <c r="Y151" i="46"/>
  <c r="Y173" i="46"/>
  <c r="Y251" i="46"/>
  <c r="Y252" i="46"/>
  <c r="Y166" i="46"/>
  <c r="Y189" i="46"/>
  <c r="Y59" i="46"/>
  <c r="Y162" i="46"/>
  <c r="Y184" i="46"/>
  <c r="Y139" i="46"/>
  <c r="Y140" i="46"/>
  <c r="Y180" i="46"/>
  <c r="Y144" i="46"/>
  <c r="Y69" i="46"/>
  <c r="Y93" i="46"/>
  <c r="Y222" i="46"/>
  <c r="Y132" i="46"/>
  <c r="Y190" i="46"/>
  <c r="Y42" i="46"/>
  <c r="Y51" i="46"/>
  <c r="Y202" i="46"/>
  <c r="Y79" i="46"/>
  <c r="Y92" i="46"/>
  <c r="Y130" i="46"/>
  <c r="Y152" i="46"/>
  <c r="Y240" i="46"/>
  <c r="Y210" i="46"/>
  <c r="Y56" i="46"/>
  <c r="Y118" i="46"/>
  <c r="Y143" i="46"/>
  <c r="Y113" i="46"/>
  <c r="Y246" i="46"/>
  <c r="Y235" i="46"/>
  <c r="Y167" i="46"/>
  <c r="Y164" i="46"/>
  <c r="Y205" i="46"/>
  <c r="Y38" i="46"/>
  <c r="Y123" i="46"/>
  <c r="Y124" i="46"/>
  <c r="Y227" i="46"/>
  <c r="Y193" i="46"/>
  <c r="Y194" i="46"/>
  <c r="Y52" i="46"/>
  <c r="Y72" i="46"/>
  <c r="Y160" i="46"/>
  <c r="Y150" i="46"/>
  <c r="AX50" i="69"/>
  <c r="X64" i="57"/>
  <c r="O67" i="57"/>
  <c r="AG67" i="57" s="1"/>
  <c r="L67" i="57"/>
  <c r="AA63" i="57"/>
  <c r="AJ66" i="57"/>
  <c r="AC66" i="57"/>
  <c r="AP66" i="57"/>
  <c r="AH49" i="65"/>
  <c r="AV49" i="65"/>
  <c r="AG66" i="53"/>
  <c r="AH66" i="53"/>
  <c r="AC66" i="53"/>
  <c r="AT66" i="53"/>
  <c r="N67" i="57"/>
  <c r="G67" i="53"/>
  <c r="N67" i="53"/>
  <c r="AH50" i="69"/>
  <c r="X65" i="53"/>
  <c r="AF65" i="53" s="1"/>
  <c r="AD66" i="57"/>
  <c r="AD66" i="53"/>
  <c r="D18" i="22"/>
  <c r="Q66" i="53"/>
  <c r="H67" i="53"/>
  <c r="C67" i="53"/>
  <c r="E67" i="53"/>
  <c r="J67" i="53"/>
  <c r="I67" i="53"/>
  <c r="P67" i="53"/>
  <c r="AK66" i="52" a="1"/>
  <c r="AK66" i="52" s="1"/>
  <c r="B68" i="53" s="1"/>
  <c r="O68" i="53" s="1"/>
  <c r="L67" i="53"/>
  <c r="F67" i="53"/>
  <c r="K67" i="53"/>
  <c r="D67" i="53"/>
  <c r="L115" i="22"/>
  <c r="D32" i="22"/>
  <c r="D15" i="22"/>
  <c r="P12" i="11"/>
  <c r="W12" i="11" s="1"/>
  <c r="Q66" i="57"/>
  <c r="P67" i="57"/>
  <c r="D67" i="57"/>
  <c r="K67" i="57"/>
  <c r="I67" i="57"/>
  <c r="H67" i="57"/>
  <c r="G67" i="57"/>
  <c r="E67" i="57"/>
  <c r="C67" i="57"/>
  <c r="M67" i="57" s="1"/>
  <c r="F67" i="57"/>
  <c r="J67" i="57"/>
  <c r="T65" i="57"/>
  <c r="AK66" i="55" a="1"/>
  <c r="AK66" i="55" s="1"/>
  <c r="B68" i="57" s="1"/>
  <c r="Q50" i="69"/>
  <c r="R50" i="69"/>
  <c r="S50" i="69" s="1"/>
  <c r="Y50" i="69" s="1"/>
  <c r="AB50" i="69" s="1"/>
  <c r="AC50" i="69" s="1"/>
  <c r="AD50" i="69" s="1"/>
  <c r="AE50" i="69"/>
  <c r="U50" i="69"/>
  <c r="C52" i="69"/>
  <c r="AO52" i="69" s="1"/>
  <c r="O52" i="69"/>
  <c r="AN52" i="67" a="1"/>
  <c r="AN52" i="67" s="1"/>
  <c r="B53" i="69"/>
  <c r="L53" i="69" s="1"/>
  <c r="D51" i="69"/>
  <c r="E51" i="69" s="1"/>
  <c r="F51" i="69" s="1"/>
  <c r="G51" i="69" s="1"/>
  <c r="H51" i="69" s="1"/>
  <c r="I51" i="69" s="1"/>
  <c r="J51" i="69" s="1"/>
  <c r="K51" i="69" s="1"/>
  <c r="M51" i="69" s="1"/>
  <c r="N51" i="69"/>
  <c r="AF51" i="69" s="1"/>
  <c r="P51" i="69"/>
  <c r="Q49" i="65"/>
  <c r="R49" i="65"/>
  <c r="S49" i="65" s="1"/>
  <c r="Y49" i="65" s="1"/>
  <c r="AB49" i="65" s="1"/>
  <c r="AC49" i="65" s="1"/>
  <c r="AD49" i="65" s="1"/>
  <c r="U49" i="65"/>
  <c r="C51" i="65"/>
  <c r="AM51" i="65" s="1"/>
  <c r="O51" i="65"/>
  <c r="AN51" i="63" a="1"/>
  <c r="AN51" i="63" s="1"/>
  <c r="B52" i="65"/>
  <c r="L52" i="65" s="1"/>
  <c r="N50" i="65"/>
  <c r="D50" i="65"/>
  <c r="E50" i="65" s="1"/>
  <c r="F50" i="65" s="1"/>
  <c r="G50" i="65" s="1"/>
  <c r="H50" i="65" s="1"/>
  <c r="I50" i="65" s="1"/>
  <c r="J50" i="65" s="1"/>
  <c r="K50" i="65" s="1"/>
  <c r="M50" i="65" s="1"/>
  <c r="P50" i="65"/>
  <c r="D69" i="22"/>
  <c r="AK26" i="22"/>
  <c r="C64" i="36" s="1"/>
  <c r="AK23" i="22"/>
  <c r="C61" i="36" s="1"/>
  <c r="AK22" i="22"/>
  <c r="C60" i="36" s="1"/>
  <c r="AK21" i="22"/>
  <c r="C59" i="36" s="1"/>
  <c r="AK27" i="22"/>
  <c r="C65" i="36" s="1"/>
  <c r="AK20" i="22"/>
  <c r="C58" i="36" s="1"/>
  <c r="AK25" i="22"/>
  <c r="C63" i="36" s="1"/>
  <c r="AK24" i="22"/>
  <c r="C62" i="36" s="1"/>
  <c r="AK8" i="22"/>
  <c r="AK7" i="22"/>
  <c r="AW86" i="22"/>
  <c r="AK6" i="22"/>
  <c r="AK5" i="22"/>
  <c r="AK9" i="22"/>
  <c r="AK10" i="22"/>
  <c r="AK11" i="22"/>
  <c r="AW12" i="22"/>
  <c r="D75" i="22"/>
  <c r="D13" i="22"/>
  <c r="AW95" i="22"/>
  <c r="AW55" i="22"/>
  <c r="AW96" i="22"/>
  <c r="AW34" i="22"/>
  <c r="AW15" i="22"/>
  <c r="AW97" i="22"/>
  <c r="AW8" i="22"/>
  <c r="AW54" i="22"/>
  <c r="AW53" i="22"/>
  <c r="AW48" i="22"/>
  <c r="AW43" i="22"/>
  <c r="AW40" i="22"/>
  <c r="AW39" i="22"/>
  <c r="AW58" i="22"/>
  <c r="AW14" i="22"/>
  <c r="AW51" i="22"/>
  <c r="AW50" i="22"/>
  <c r="AW18" i="22"/>
  <c r="AW49" i="22"/>
  <c r="AW47" i="22"/>
  <c r="AW45" i="22"/>
  <c r="AW44" i="22"/>
  <c r="AW7" i="22"/>
  <c r="AW17" i="22"/>
  <c r="AW37" i="22"/>
  <c r="AW36" i="22"/>
  <c r="AW16" i="22"/>
  <c r="AW13" i="22"/>
  <c r="AW46" i="22"/>
  <c r="AW42" i="22"/>
  <c r="AW41" i="22"/>
  <c r="AW154" i="22"/>
  <c r="AW153" i="22"/>
  <c r="AW132" i="22"/>
  <c r="AW155" i="22"/>
  <c r="AW134" i="22"/>
  <c r="AW130" i="22"/>
  <c r="AW135" i="22"/>
  <c r="AW128" i="22"/>
  <c r="AW91" i="22"/>
  <c r="AW127" i="22"/>
  <c r="AW90" i="22"/>
  <c r="AW125" i="22"/>
  <c r="AW88" i="22"/>
  <c r="AW121" i="22"/>
  <c r="AW94" i="22"/>
  <c r="AW93" i="22"/>
  <c r="AW38" i="22"/>
  <c r="AW126" i="22"/>
  <c r="AW89" i="22"/>
  <c r="AW120" i="22"/>
  <c r="AW133" i="22"/>
  <c r="N11" i="71"/>
  <c r="M11" i="71"/>
  <c r="I11" i="71"/>
  <c r="S22" i="46" l="1"/>
  <c r="T22" i="46" s="1"/>
  <c r="V22" i="46"/>
  <c r="W22" i="46" s="1"/>
  <c r="X22" i="46" s="1"/>
  <c r="S16" i="46"/>
  <c r="T16" i="46" s="1"/>
  <c r="V16" i="46"/>
  <c r="W16" i="46" s="1"/>
  <c r="X16" i="46" s="1"/>
  <c r="S18" i="46"/>
  <c r="V18" i="46"/>
  <c r="W18" i="46" s="1"/>
  <c r="X18" i="46" s="1"/>
  <c r="S21" i="46"/>
  <c r="T21" i="46" s="1"/>
  <c r="V21" i="46"/>
  <c r="W21" i="46" s="1"/>
  <c r="X21" i="46" s="1"/>
  <c r="S19" i="46"/>
  <c r="T19" i="46" s="1"/>
  <c r="V19" i="46"/>
  <c r="W19" i="46" s="1"/>
  <c r="X19" i="46" s="1"/>
  <c r="S20" i="46"/>
  <c r="T20" i="46" s="1"/>
  <c r="V20" i="46"/>
  <c r="W20" i="46" s="1"/>
  <c r="X20" i="46" s="1"/>
  <c r="S17" i="46"/>
  <c r="T17" i="46" s="1"/>
  <c r="V17" i="46"/>
  <c r="W17" i="46" s="1"/>
  <c r="X17" i="46" s="1"/>
  <c r="X33" i="46"/>
  <c r="T33" i="46"/>
  <c r="X26" i="46"/>
  <c r="X24" i="46"/>
  <c r="X36" i="46"/>
  <c r="T36" i="46"/>
  <c r="X23" i="46"/>
  <c r="T23" i="46"/>
  <c r="X27" i="46"/>
  <c r="X30" i="46"/>
  <c r="T30" i="46"/>
  <c r="X31" i="46"/>
  <c r="T31" i="46"/>
  <c r="X35" i="46"/>
  <c r="X34" i="46"/>
  <c r="T34" i="46"/>
  <c r="X25" i="46"/>
  <c r="T25" i="46"/>
  <c r="X29" i="46"/>
  <c r="X32" i="46"/>
  <c r="T32" i="46"/>
  <c r="Y32" i="46" s="1"/>
  <c r="X28" i="46"/>
  <c r="T28" i="46"/>
  <c r="R11" i="71"/>
  <c r="S11" i="71" s="1"/>
  <c r="AF50" i="65"/>
  <c r="AE50" i="65"/>
  <c r="AE67" i="57"/>
  <c r="R67" i="57"/>
  <c r="AE67" i="53"/>
  <c r="R67" i="53"/>
  <c r="AB64" i="57"/>
  <c r="AF64" i="57"/>
  <c r="AG50" i="69"/>
  <c r="AG49" i="65"/>
  <c r="Q128" i="11"/>
  <c r="Q140" i="11"/>
  <c r="Q132" i="11"/>
  <c r="Q122" i="11"/>
  <c r="Q118" i="11"/>
  <c r="Q130" i="11"/>
  <c r="Q119" i="11"/>
  <c r="Q126" i="11"/>
  <c r="Q125" i="11"/>
  <c r="Q124" i="11"/>
  <c r="Q117" i="11"/>
  <c r="Q129" i="11"/>
  <c r="Q121" i="11"/>
  <c r="X127" i="11"/>
  <c r="AQ127" i="11" s="1"/>
  <c r="T26" i="46"/>
  <c r="T24" i="46"/>
  <c r="T35" i="46"/>
  <c r="T29" i="46"/>
  <c r="T18" i="46"/>
  <c r="T27" i="46"/>
  <c r="AA254" i="71"/>
  <c r="T255" i="46"/>
  <c r="Y255" i="46" s="1"/>
  <c r="T254" i="46"/>
  <c r="Y254" i="46" s="1"/>
  <c r="T15" i="46"/>
  <c r="T14" i="46"/>
  <c r="T13" i="46"/>
  <c r="T12" i="46"/>
  <c r="AA23" i="71"/>
  <c r="X129" i="22" s="1"/>
  <c r="AA22" i="71"/>
  <c r="X110" i="22" s="1"/>
  <c r="AA21" i="71"/>
  <c r="AA20" i="71"/>
  <c r="X108" i="22" s="1"/>
  <c r="AA19" i="71"/>
  <c r="X101" i="22" s="1"/>
  <c r="AA18" i="71"/>
  <c r="X91" i="22" s="1"/>
  <c r="AA17" i="71"/>
  <c r="AA16" i="71"/>
  <c r="AA14" i="71"/>
  <c r="AA13" i="71"/>
  <c r="X32" i="22" s="1"/>
  <c r="AA12" i="71"/>
  <c r="X111" i="22" s="1"/>
  <c r="AX51" i="69"/>
  <c r="AA64" i="57"/>
  <c r="O68" i="57"/>
  <c r="AG68" i="57" s="1"/>
  <c r="L68" i="57"/>
  <c r="X65" i="57"/>
  <c r="AJ67" i="57"/>
  <c r="AC67" i="57"/>
  <c r="AP67" i="57"/>
  <c r="AH50" i="65"/>
  <c r="AV50" i="65"/>
  <c r="AB65" i="53"/>
  <c r="AA65" i="53"/>
  <c r="AG67" i="53"/>
  <c r="AH67" i="53"/>
  <c r="AC67" i="53"/>
  <c r="AT67" i="53"/>
  <c r="N68" i="57"/>
  <c r="H68" i="53"/>
  <c r="N68" i="53"/>
  <c r="AH51" i="69"/>
  <c r="AD67" i="57"/>
  <c r="Q67" i="53"/>
  <c r="AD67" i="53"/>
  <c r="X66" i="53"/>
  <c r="AF66" i="53" s="1"/>
  <c r="C68" i="53"/>
  <c r="P68" i="53"/>
  <c r="E68" i="53"/>
  <c r="G68" i="53"/>
  <c r="L68" i="53"/>
  <c r="AK67" i="52" a="1"/>
  <c r="AK67" i="52" s="1"/>
  <c r="B69" i="53" s="1"/>
  <c r="O69" i="53" s="1"/>
  <c r="I68" i="53"/>
  <c r="K68" i="53"/>
  <c r="F68" i="53"/>
  <c r="J68" i="53"/>
  <c r="D68" i="53"/>
  <c r="F68" i="57"/>
  <c r="K68" i="57"/>
  <c r="I68" i="57"/>
  <c r="C68" i="57"/>
  <c r="M68" i="57" s="1"/>
  <c r="D68" i="57"/>
  <c r="G68" i="57"/>
  <c r="P68" i="57"/>
  <c r="E68" i="57"/>
  <c r="J68" i="57"/>
  <c r="H68" i="57"/>
  <c r="Q67" i="57"/>
  <c r="T66" i="57"/>
  <c r="AK67" i="55" a="1"/>
  <c r="AK67" i="55" s="1"/>
  <c r="B69" i="57" s="1"/>
  <c r="L116" i="22"/>
  <c r="L128" i="22"/>
  <c r="R51" i="69"/>
  <c r="S51" i="69" s="1"/>
  <c r="Y51" i="69" s="1"/>
  <c r="AB51" i="69" s="1"/>
  <c r="AC51" i="69" s="1"/>
  <c r="AD51" i="69" s="1"/>
  <c r="Q51" i="69"/>
  <c r="U51" i="69"/>
  <c r="AE51" i="69"/>
  <c r="C53" i="69"/>
  <c r="AO53" i="69" s="1"/>
  <c r="O53" i="69"/>
  <c r="AN53" i="67" a="1"/>
  <c r="AN53" i="67" s="1"/>
  <c r="B54" i="69"/>
  <c r="L54" i="69" s="1"/>
  <c r="D52" i="69"/>
  <c r="E52" i="69" s="1"/>
  <c r="F52" i="69" s="1"/>
  <c r="G52" i="69" s="1"/>
  <c r="H52" i="69" s="1"/>
  <c r="I52" i="69" s="1"/>
  <c r="J52" i="69" s="1"/>
  <c r="K52" i="69" s="1"/>
  <c r="M52" i="69" s="1"/>
  <c r="N52" i="69"/>
  <c r="AF52" i="69" s="1"/>
  <c r="P52" i="69"/>
  <c r="U50" i="65"/>
  <c r="Q50" i="65"/>
  <c r="R50" i="65"/>
  <c r="S50" i="65" s="1"/>
  <c r="Y50" i="65" s="1"/>
  <c r="AB50" i="65" s="1"/>
  <c r="AC50" i="65" s="1"/>
  <c r="AD50" i="65" s="1"/>
  <c r="O52" i="65"/>
  <c r="C52" i="65"/>
  <c r="AM52" i="65" s="1"/>
  <c r="AN52" i="63" a="1"/>
  <c r="AN52" i="63" s="1"/>
  <c r="B53" i="65"/>
  <c r="L53" i="65" s="1"/>
  <c r="P51" i="65"/>
  <c r="D51" i="65"/>
  <c r="E51" i="65" s="1"/>
  <c r="F51" i="65" s="1"/>
  <c r="G51" i="65" s="1"/>
  <c r="H51" i="65" s="1"/>
  <c r="I51" i="65" s="1"/>
  <c r="J51" i="65" s="1"/>
  <c r="K51" i="65" s="1"/>
  <c r="M51" i="65" s="1"/>
  <c r="N51" i="65"/>
  <c r="X25" i="22"/>
  <c r="X29" i="22"/>
  <c r="X31" i="22"/>
  <c r="X37" i="22"/>
  <c r="X47" i="22"/>
  <c r="X49" i="22"/>
  <c r="X51" i="22"/>
  <c r="X44" i="22"/>
  <c r="X52" i="22"/>
  <c r="X56" i="22"/>
  <c r="X41" i="22"/>
  <c r="X81" i="22"/>
  <c r="X87" i="22"/>
  <c r="X7" i="22"/>
  <c r="Y33" i="46" l="1"/>
  <c r="Y17" i="46"/>
  <c r="L107" i="22" s="1"/>
  <c r="Y30" i="46"/>
  <c r="Y26" i="46"/>
  <c r="Y20" i="46"/>
  <c r="L104" i="22" s="1"/>
  <c r="Y29" i="46"/>
  <c r="Y36" i="46"/>
  <c r="X67" i="53"/>
  <c r="AF67" i="53" s="1"/>
  <c r="Y27" i="46"/>
  <c r="Y28" i="46"/>
  <c r="Y34" i="46"/>
  <c r="Y16" i="46"/>
  <c r="L105" i="22" s="1"/>
  <c r="Y35" i="46"/>
  <c r="Y19" i="46"/>
  <c r="Y25" i="46"/>
  <c r="Y22" i="46"/>
  <c r="L111" i="22" s="1"/>
  <c r="Y31" i="46"/>
  <c r="Y23" i="46"/>
  <c r="Y18" i="46"/>
  <c r="Y24" i="46"/>
  <c r="Y21" i="46"/>
  <c r="V11" i="71"/>
  <c r="W11" i="71" s="1"/>
  <c r="X11" i="71" s="1"/>
  <c r="T11" i="71"/>
  <c r="AF51" i="65"/>
  <c r="AE51" i="65"/>
  <c r="AE68" i="57"/>
  <c r="R68" i="57"/>
  <c r="AE68" i="53"/>
  <c r="R68" i="53"/>
  <c r="AB65" i="57"/>
  <c r="AF65" i="57"/>
  <c r="AG51" i="69"/>
  <c r="AG50" i="65"/>
  <c r="L101" i="22"/>
  <c r="L113" i="22"/>
  <c r="L117" i="22"/>
  <c r="Y14" i="46"/>
  <c r="Y15" i="46"/>
  <c r="Y12" i="46"/>
  <c r="Y13" i="46"/>
  <c r="I113" i="22"/>
  <c r="AX52" i="69"/>
  <c r="X66" i="57"/>
  <c r="L69" i="57"/>
  <c r="O69" i="57"/>
  <c r="AG69" i="57" s="1"/>
  <c r="AA65" i="57"/>
  <c r="AC68" i="57"/>
  <c r="AJ68" i="57"/>
  <c r="AP68" i="57"/>
  <c r="AH51" i="65"/>
  <c r="AV51" i="65"/>
  <c r="O2" i="71"/>
  <c r="AB66" i="53"/>
  <c r="AA66" i="53"/>
  <c r="AG68" i="53"/>
  <c r="AC68" i="53"/>
  <c r="AH68" i="53"/>
  <c r="AT68" i="53"/>
  <c r="N69" i="57"/>
  <c r="C69" i="53"/>
  <c r="N69" i="53"/>
  <c r="AH52" i="69"/>
  <c r="X63" i="22"/>
  <c r="AD68" i="57"/>
  <c r="Q68" i="53"/>
  <c r="AD68" i="53"/>
  <c r="P69" i="53"/>
  <c r="L69" i="53"/>
  <c r="I69" i="53"/>
  <c r="E69" i="53"/>
  <c r="F69" i="53"/>
  <c r="H69" i="53"/>
  <c r="K69" i="53"/>
  <c r="G69" i="53"/>
  <c r="J69" i="53"/>
  <c r="D69" i="53"/>
  <c r="AK68" i="52" a="1"/>
  <c r="AK68" i="52" s="1"/>
  <c r="B70" i="53" s="1"/>
  <c r="O70" i="53" s="1"/>
  <c r="T67" i="57"/>
  <c r="Q68" i="57"/>
  <c r="I69" i="57"/>
  <c r="E69" i="57"/>
  <c r="P69" i="57"/>
  <c r="D69" i="57"/>
  <c r="C69" i="57"/>
  <c r="M69" i="57" s="1"/>
  <c r="K69" i="57"/>
  <c r="H69" i="57"/>
  <c r="G69" i="57"/>
  <c r="J69" i="57"/>
  <c r="F69" i="57"/>
  <c r="AK68" i="55" a="1"/>
  <c r="AK68" i="55" s="1"/>
  <c r="B70" i="57" s="1"/>
  <c r="X5" i="22"/>
  <c r="X131" i="22"/>
  <c r="AN54" i="67" a="1"/>
  <c r="AN54" i="67" s="1"/>
  <c r="B55" i="69"/>
  <c r="L55" i="69" s="1"/>
  <c r="P53" i="69"/>
  <c r="D53" i="69"/>
  <c r="E53" i="69" s="1"/>
  <c r="F53" i="69" s="1"/>
  <c r="G53" i="69" s="1"/>
  <c r="H53" i="69" s="1"/>
  <c r="I53" i="69" s="1"/>
  <c r="J53" i="69" s="1"/>
  <c r="K53" i="69" s="1"/>
  <c r="M53" i="69" s="1"/>
  <c r="N53" i="69"/>
  <c r="AF53" i="69" s="1"/>
  <c r="C54" i="69"/>
  <c r="AO54" i="69" s="1"/>
  <c r="O54" i="69"/>
  <c r="U52" i="69"/>
  <c r="R52" i="69"/>
  <c r="S52" i="69" s="1"/>
  <c r="Y52" i="69" s="1"/>
  <c r="AB52" i="69" s="1"/>
  <c r="AC52" i="69" s="1"/>
  <c r="AD52" i="69" s="1"/>
  <c r="AE52" i="69"/>
  <c r="Q52" i="69"/>
  <c r="AN53" i="63" a="1"/>
  <c r="AN53" i="63" s="1"/>
  <c r="B54" i="65"/>
  <c r="L54" i="65" s="1"/>
  <c r="P52" i="65"/>
  <c r="D52" i="65"/>
  <c r="E52" i="65" s="1"/>
  <c r="F52" i="65" s="1"/>
  <c r="G52" i="65" s="1"/>
  <c r="H52" i="65" s="1"/>
  <c r="I52" i="65" s="1"/>
  <c r="J52" i="65" s="1"/>
  <c r="K52" i="65" s="1"/>
  <c r="M52" i="65" s="1"/>
  <c r="N52" i="65"/>
  <c r="Q51" i="65"/>
  <c r="R51" i="65"/>
  <c r="S51" i="65" s="1"/>
  <c r="Y51" i="65" s="1"/>
  <c r="AB51" i="65" s="1"/>
  <c r="AC51" i="65" s="1"/>
  <c r="AD51" i="65" s="1"/>
  <c r="U51" i="65"/>
  <c r="C53" i="65"/>
  <c r="AM53" i="65" s="1"/>
  <c r="O53" i="65"/>
  <c r="X99" i="22"/>
  <c r="X97" i="22"/>
  <c r="X36" i="22"/>
  <c r="X71" i="22"/>
  <c r="X45" i="22"/>
  <c r="X100" i="22"/>
  <c r="X24" i="22"/>
  <c r="X20" i="22"/>
  <c r="X8" i="22"/>
  <c r="X13" i="22"/>
  <c r="X12" i="22"/>
  <c r="X92" i="22"/>
  <c r="X84" i="22"/>
  <c r="X77" i="22"/>
  <c r="X64" i="22"/>
  <c r="X57" i="22"/>
  <c r="X42" i="22"/>
  <c r="X72" i="22"/>
  <c r="X90" i="22"/>
  <c r="X82" i="22"/>
  <c r="X70" i="22"/>
  <c r="X62" i="22"/>
  <c r="X39" i="22"/>
  <c r="X23" i="22"/>
  <c r="X54" i="22"/>
  <c r="X38" i="22"/>
  <c r="X40" i="22"/>
  <c r="X30" i="22"/>
  <c r="X18" i="22"/>
  <c r="X78" i="22"/>
  <c r="X80" i="22"/>
  <c r="X74" i="22"/>
  <c r="X68" i="22"/>
  <c r="X60" i="22"/>
  <c r="X53" i="22"/>
  <c r="X21" i="22"/>
  <c r="X50" i="22"/>
  <c r="X26" i="22"/>
  <c r="X93" i="22"/>
  <c r="X85" i="22"/>
  <c r="X75" i="22"/>
  <c r="X69" i="22"/>
  <c r="X61" i="22"/>
  <c r="X46" i="22"/>
  <c r="X86" i="22"/>
  <c r="X79" i="22"/>
  <c r="X66" i="22"/>
  <c r="X59" i="22"/>
  <c r="X43" i="22"/>
  <c r="X35" i="22"/>
  <c r="X27" i="22"/>
  <c r="X19" i="22"/>
  <c r="X76" i="22"/>
  <c r="X48" i="22"/>
  <c r="X34" i="22"/>
  <c r="X22" i="22"/>
  <c r="X6" i="22"/>
  <c r="X15" i="22"/>
  <c r="X11" i="22"/>
  <c r="X14" i="22"/>
  <c r="X16" i="22"/>
  <c r="X10" i="22"/>
  <c r="X67" i="22"/>
  <c r="X73" i="22"/>
  <c r="X65" i="22"/>
  <c r="X58" i="22"/>
  <c r="AA67" i="53" l="1"/>
  <c r="AB67" i="53"/>
  <c r="AA11" i="71"/>
  <c r="AF52" i="65"/>
  <c r="AE52" i="65"/>
  <c r="AE69" i="57"/>
  <c r="R69" i="57"/>
  <c r="AE69" i="53"/>
  <c r="R69" i="53"/>
  <c r="X9" i="22"/>
  <c r="X130" i="22"/>
  <c r="AA66" i="57"/>
  <c r="AF66" i="57"/>
  <c r="AG52" i="69"/>
  <c r="AG51" i="65"/>
  <c r="X83" i="22"/>
  <c r="X33" i="22"/>
  <c r="X113" i="22"/>
  <c r="AX53" i="69"/>
  <c r="AB66" i="57"/>
  <c r="X67" i="57"/>
  <c r="O70" i="57"/>
  <c r="AG70" i="57" s="1"/>
  <c r="L70" i="57"/>
  <c r="X94" i="22"/>
  <c r="AA15" i="71"/>
  <c r="AC69" i="57"/>
  <c r="AJ69" i="57"/>
  <c r="AP69" i="57"/>
  <c r="AH52" i="65"/>
  <c r="AV52" i="65"/>
  <c r="X89" i="22"/>
  <c r="X95" i="22"/>
  <c r="AH69" i="53"/>
  <c r="AC69" i="53"/>
  <c r="AT69" i="53"/>
  <c r="AG69" i="53"/>
  <c r="X28" i="22"/>
  <c r="X4" i="22"/>
  <c r="X96" i="22"/>
  <c r="X98" i="22"/>
  <c r="X68" i="53"/>
  <c r="AF68" i="53" s="1"/>
  <c r="N70" i="57"/>
  <c r="P70" i="53"/>
  <c r="N70" i="53"/>
  <c r="AH53" i="69"/>
  <c r="AD69" i="57"/>
  <c r="AD69" i="53"/>
  <c r="Q69" i="53"/>
  <c r="C70" i="53"/>
  <c r="D70" i="53"/>
  <c r="J70" i="53"/>
  <c r="E70" i="53"/>
  <c r="H70" i="53"/>
  <c r="F70" i="53"/>
  <c r="G70" i="53"/>
  <c r="I70" i="53"/>
  <c r="L70" i="53"/>
  <c r="AK69" i="52" a="1"/>
  <c r="AK69" i="52" s="1"/>
  <c r="B71" i="53" s="1"/>
  <c r="O71" i="53" s="1"/>
  <c r="K70" i="53"/>
  <c r="Q69" i="57"/>
  <c r="T68" i="57"/>
  <c r="P70" i="57"/>
  <c r="F70" i="57"/>
  <c r="E70" i="57"/>
  <c r="H70" i="57"/>
  <c r="J70" i="57"/>
  <c r="D70" i="57"/>
  <c r="I70" i="57"/>
  <c r="C70" i="57"/>
  <c r="M70" i="57" s="1"/>
  <c r="K70" i="57"/>
  <c r="G70" i="57"/>
  <c r="AK69" i="55" a="1"/>
  <c r="AK69" i="55" s="1"/>
  <c r="B71" i="57" s="1"/>
  <c r="N54" i="69"/>
  <c r="AF54" i="69" s="1"/>
  <c r="P54" i="69"/>
  <c r="D54" i="69"/>
  <c r="E54" i="69" s="1"/>
  <c r="F54" i="69" s="1"/>
  <c r="G54" i="69" s="1"/>
  <c r="H54" i="69" s="1"/>
  <c r="I54" i="69" s="1"/>
  <c r="J54" i="69" s="1"/>
  <c r="K54" i="69" s="1"/>
  <c r="M54" i="69" s="1"/>
  <c r="R53" i="69"/>
  <c r="S53" i="69" s="1"/>
  <c r="Y53" i="69" s="1"/>
  <c r="AB53" i="69" s="1"/>
  <c r="AC53" i="69" s="1"/>
  <c r="AD53" i="69" s="1"/>
  <c r="Q53" i="69"/>
  <c r="AE53" i="69"/>
  <c r="U53" i="69"/>
  <c r="C55" i="69"/>
  <c r="AO55" i="69" s="1"/>
  <c r="O55" i="69"/>
  <c r="AN55" i="67" a="1"/>
  <c r="AN55" i="67" s="1"/>
  <c r="B56" i="69"/>
  <c r="L56" i="69" s="1"/>
  <c r="C54" i="65"/>
  <c r="AM54" i="65" s="1"/>
  <c r="O54" i="65"/>
  <c r="P53" i="65"/>
  <c r="D53" i="65"/>
  <c r="E53" i="65" s="1"/>
  <c r="F53" i="65" s="1"/>
  <c r="G53" i="65" s="1"/>
  <c r="H53" i="65" s="1"/>
  <c r="I53" i="65" s="1"/>
  <c r="J53" i="65" s="1"/>
  <c r="K53" i="65" s="1"/>
  <c r="M53" i="65" s="1"/>
  <c r="N53" i="65"/>
  <c r="U52" i="65"/>
  <c r="R52" i="65"/>
  <c r="S52" i="65" s="1"/>
  <c r="Y52" i="65" s="1"/>
  <c r="AB52" i="65" s="1"/>
  <c r="AC52" i="65" s="1"/>
  <c r="AD52" i="65" s="1"/>
  <c r="Q52" i="65"/>
  <c r="AN54" i="63" a="1"/>
  <c r="AN54" i="63" s="1"/>
  <c r="B55" i="65"/>
  <c r="L55" i="65" s="1"/>
  <c r="AG258" i="59"/>
  <c r="AF258" i="59"/>
  <c r="AG257" i="59"/>
  <c r="AF257" i="59"/>
  <c r="AG256" i="59"/>
  <c r="AF256" i="59"/>
  <c r="AG255" i="59"/>
  <c r="AF255" i="59"/>
  <c r="AC255" i="59"/>
  <c r="AG254" i="59"/>
  <c r="AF254" i="59"/>
  <c r="AG253" i="59"/>
  <c r="AF253" i="59"/>
  <c r="AG252" i="59"/>
  <c r="AF252" i="59"/>
  <c r="AG251" i="59"/>
  <c r="AF251" i="59"/>
  <c r="AC251" i="59"/>
  <c r="AD251" i="59" s="1"/>
  <c r="AG250" i="59"/>
  <c r="AF250" i="59"/>
  <c r="AG249" i="59"/>
  <c r="AF249" i="59"/>
  <c r="AG248" i="59"/>
  <c r="AF248" i="59"/>
  <c r="AG247" i="59"/>
  <c r="AF247" i="59"/>
  <c r="AC247" i="59"/>
  <c r="AD247" i="59" s="1"/>
  <c r="AG246" i="59"/>
  <c r="AF246" i="59"/>
  <c r="AG245" i="59"/>
  <c r="AF245" i="59"/>
  <c r="AG244" i="59"/>
  <c r="AF244" i="59"/>
  <c r="AG243" i="59"/>
  <c r="AF243" i="59"/>
  <c r="AC243" i="59"/>
  <c r="AD243" i="59" s="1"/>
  <c r="AG242" i="59"/>
  <c r="AF242" i="59"/>
  <c r="AG241" i="59"/>
  <c r="AF241" i="59"/>
  <c r="AG240" i="59"/>
  <c r="AF240" i="59"/>
  <c r="AG239" i="59"/>
  <c r="AF239" i="59"/>
  <c r="AC239" i="59"/>
  <c r="AD239" i="59" s="1"/>
  <c r="AG238" i="59"/>
  <c r="AF238" i="59"/>
  <c r="AG237" i="59"/>
  <c r="AF237" i="59"/>
  <c r="AG236" i="59"/>
  <c r="AF236" i="59"/>
  <c r="AG235" i="59"/>
  <c r="AF235" i="59"/>
  <c r="AC235" i="59"/>
  <c r="AD235" i="59" s="1"/>
  <c r="AG234" i="59"/>
  <c r="AF234" i="59"/>
  <c r="AG233" i="59"/>
  <c r="AF233" i="59"/>
  <c r="AG232" i="59"/>
  <c r="AF232" i="59"/>
  <c r="AG231" i="59"/>
  <c r="AF231" i="59"/>
  <c r="AC231" i="59"/>
  <c r="AD231" i="59" s="1"/>
  <c r="AG230" i="59"/>
  <c r="AF230" i="59"/>
  <c r="AG229" i="59"/>
  <c r="AF229" i="59"/>
  <c r="AG228" i="59"/>
  <c r="AF228" i="59"/>
  <c r="AG227" i="59"/>
  <c r="AF227" i="59"/>
  <c r="AC227" i="59"/>
  <c r="AD227" i="59" s="1"/>
  <c r="AG226" i="59"/>
  <c r="AF226" i="59"/>
  <c r="AG225" i="59"/>
  <c r="AF225" i="59"/>
  <c r="AG224" i="59"/>
  <c r="AF224" i="59"/>
  <c r="AC224" i="59"/>
  <c r="AD224" i="59" s="1"/>
  <c r="AG223" i="59"/>
  <c r="AF223" i="59"/>
  <c r="AC223" i="59"/>
  <c r="AD223" i="59" s="1"/>
  <c r="AG222" i="59"/>
  <c r="AF222" i="59"/>
  <c r="AG221" i="59"/>
  <c r="AF221" i="59"/>
  <c r="AG220" i="59"/>
  <c r="AF220" i="59"/>
  <c r="AC220" i="59"/>
  <c r="AD220" i="59" s="1"/>
  <c r="AG219" i="59"/>
  <c r="AF219" i="59"/>
  <c r="AC219" i="59"/>
  <c r="AD219" i="59" s="1"/>
  <c r="AG218" i="59"/>
  <c r="AF218" i="59"/>
  <c r="AG217" i="59"/>
  <c r="AF217" i="59"/>
  <c r="AG216" i="59"/>
  <c r="AF216" i="59"/>
  <c r="AG215" i="59"/>
  <c r="AF215" i="59"/>
  <c r="AC215" i="59"/>
  <c r="AD215" i="59" s="1"/>
  <c r="AG214" i="59"/>
  <c r="AF214" i="59"/>
  <c r="AG213" i="59"/>
  <c r="AF213" i="59"/>
  <c r="AG212" i="59"/>
  <c r="AF212" i="59"/>
  <c r="AG211" i="59"/>
  <c r="AF211" i="59"/>
  <c r="AC211" i="59"/>
  <c r="AD211" i="59" s="1"/>
  <c r="AG210" i="59"/>
  <c r="AF210" i="59"/>
  <c r="AG209" i="59"/>
  <c r="AF209" i="59"/>
  <c r="AG208" i="59"/>
  <c r="AF208" i="59"/>
  <c r="AC208" i="59"/>
  <c r="AD208" i="59" s="1"/>
  <c r="AG207" i="59"/>
  <c r="AF207" i="59"/>
  <c r="AC207" i="59"/>
  <c r="AD207" i="59" s="1"/>
  <c r="AG206" i="59"/>
  <c r="AF206" i="59"/>
  <c r="AG205" i="59"/>
  <c r="AF205" i="59"/>
  <c r="AG204" i="59"/>
  <c r="AF204" i="59"/>
  <c r="AC204" i="59"/>
  <c r="AD204" i="59" s="1"/>
  <c r="AG203" i="59"/>
  <c r="AF203" i="59"/>
  <c r="AG202" i="59"/>
  <c r="AF202" i="59"/>
  <c r="AG201" i="59"/>
  <c r="AF201" i="59"/>
  <c r="AG200" i="59"/>
  <c r="AF200" i="59"/>
  <c r="AG199" i="59"/>
  <c r="AF199" i="59"/>
  <c r="AC199" i="59"/>
  <c r="AD199" i="59" s="1"/>
  <c r="AG198" i="59"/>
  <c r="AF198" i="59"/>
  <c r="AG197" i="59"/>
  <c r="AF197" i="59"/>
  <c r="AG196" i="59"/>
  <c r="AF196" i="59"/>
  <c r="AG195" i="59"/>
  <c r="AF195" i="59"/>
  <c r="AC195" i="59"/>
  <c r="AD195" i="59" s="1"/>
  <c r="AG194" i="59"/>
  <c r="AF194" i="59"/>
  <c r="AG193" i="59"/>
  <c r="AF193" i="59"/>
  <c r="AG192" i="59"/>
  <c r="AF192" i="59"/>
  <c r="AG191" i="59"/>
  <c r="AF191" i="59"/>
  <c r="AC191" i="59"/>
  <c r="AD191" i="59" s="1"/>
  <c r="AG190" i="59"/>
  <c r="AF190" i="59"/>
  <c r="AG189" i="59"/>
  <c r="AF189" i="59"/>
  <c r="AG188" i="59"/>
  <c r="AF188" i="59"/>
  <c r="AG187" i="59"/>
  <c r="AF187" i="59"/>
  <c r="AG186" i="59"/>
  <c r="AF186" i="59"/>
  <c r="AG185" i="59"/>
  <c r="AF185" i="59"/>
  <c r="AG184" i="59"/>
  <c r="AF184" i="59"/>
  <c r="AC184" i="59"/>
  <c r="AD184" i="59" s="1"/>
  <c r="AG183" i="59"/>
  <c r="AF183" i="59"/>
  <c r="AG182" i="59"/>
  <c r="AF182" i="59"/>
  <c r="AC182" i="59"/>
  <c r="AD182" i="59" s="1"/>
  <c r="AG181" i="59"/>
  <c r="AF181" i="59"/>
  <c r="AG180" i="59"/>
  <c r="AF180" i="59"/>
  <c r="AC180" i="59"/>
  <c r="AD180" i="59" s="1"/>
  <c r="AG179" i="59"/>
  <c r="AF179" i="59"/>
  <c r="AG178" i="59"/>
  <c r="AF178" i="59"/>
  <c r="AG177" i="59"/>
  <c r="AF177" i="59"/>
  <c r="AG176" i="59"/>
  <c r="AF176" i="59"/>
  <c r="AC176" i="59"/>
  <c r="AD176" i="59" s="1"/>
  <c r="AG175" i="59"/>
  <c r="AF175" i="59"/>
  <c r="AG174" i="59"/>
  <c r="AF174" i="59"/>
  <c r="AG173" i="59"/>
  <c r="AF173" i="59"/>
  <c r="AG172" i="59"/>
  <c r="AF172" i="59"/>
  <c r="AC172" i="59"/>
  <c r="AD172" i="59" s="1"/>
  <c r="AG171" i="59"/>
  <c r="AF171" i="59"/>
  <c r="AG170" i="59"/>
  <c r="AF170" i="59"/>
  <c r="AG169" i="59"/>
  <c r="AF169" i="59"/>
  <c r="AG168" i="59"/>
  <c r="AF168" i="59"/>
  <c r="AG167" i="59"/>
  <c r="AF167" i="59"/>
  <c r="AG166" i="59"/>
  <c r="AF166" i="59"/>
  <c r="AG165" i="59"/>
  <c r="AF165" i="59"/>
  <c r="AG164" i="59"/>
  <c r="AF164" i="59"/>
  <c r="AG163" i="59"/>
  <c r="AF163" i="59"/>
  <c r="AG162" i="59"/>
  <c r="AF162" i="59"/>
  <c r="AC162" i="59"/>
  <c r="AD162" i="59" s="1"/>
  <c r="AG161" i="59"/>
  <c r="AF161" i="59"/>
  <c r="AC161" i="59"/>
  <c r="AD161" i="59" s="1"/>
  <c r="AG160" i="59"/>
  <c r="AF160" i="59"/>
  <c r="AG159" i="59"/>
  <c r="AF159" i="59"/>
  <c r="AG158" i="59"/>
  <c r="AF158" i="59"/>
  <c r="AG157" i="59"/>
  <c r="AF157" i="59"/>
  <c r="AC157" i="59"/>
  <c r="AD157" i="59" s="1"/>
  <c r="AG156" i="59"/>
  <c r="AF156" i="59"/>
  <c r="AG155" i="59"/>
  <c r="AF155" i="59"/>
  <c r="AG154" i="59"/>
  <c r="AF154" i="59"/>
  <c r="AC154" i="59"/>
  <c r="AD154" i="59" s="1"/>
  <c r="AG153" i="59"/>
  <c r="AF153" i="59"/>
  <c r="AC153" i="59"/>
  <c r="AD153" i="59" s="1"/>
  <c r="AG152" i="59"/>
  <c r="AF152" i="59"/>
  <c r="AG151" i="59"/>
  <c r="AF151" i="59"/>
  <c r="AG150" i="59"/>
  <c r="AF150" i="59"/>
  <c r="AG149" i="59"/>
  <c r="AF149" i="59"/>
  <c r="AC149" i="59"/>
  <c r="AD149" i="59" s="1"/>
  <c r="AG148" i="59"/>
  <c r="AF148" i="59"/>
  <c r="AG147" i="59"/>
  <c r="AF147" i="59"/>
  <c r="AG146" i="59"/>
  <c r="AF146" i="59"/>
  <c r="AG145" i="59"/>
  <c r="AF145" i="59"/>
  <c r="AC145" i="59"/>
  <c r="AD145" i="59" s="1"/>
  <c r="AG144" i="59"/>
  <c r="AF144" i="59"/>
  <c r="AG143" i="59"/>
  <c r="AF143" i="59"/>
  <c r="AC143" i="59"/>
  <c r="AD143" i="59" s="1"/>
  <c r="AG142" i="59"/>
  <c r="AF142" i="59"/>
  <c r="AG141" i="59"/>
  <c r="AF141" i="59"/>
  <c r="AG140" i="59"/>
  <c r="AF140" i="59"/>
  <c r="AG139" i="59"/>
  <c r="AF139" i="59"/>
  <c r="AG138" i="59"/>
  <c r="AF138" i="59"/>
  <c r="AG137" i="59"/>
  <c r="AF137" i="59"/>
  <c r="AC137" i="59"/>
  <c r="AD137" i="59" s="1"/>
  <c r="AG136" i="59"/>
  <c r="AF136" i="59"/>
  <c r="AG135" i="59"/>
  <c r="AF135" i="59"/>
  <c r="AG134" i="59"/>
  <c r="AF134" i="59"/>
  <c r="AG133" i="59"/>
  <c r="AF133" i="59"/>
  <c r="AC133" i="59"/>
  <c r="AD133" i="59" s="1"/>
  <c r="AG132" i="59"/>
  <c r="AF132" i="59"/>
  <c r="AG131" i="59"/>
  <c r="AF131" i="59"/>
  <c r="AG130" i="59"/>
  <c r="AF130" i="59"/>
  <c r="AG129" i="59"/>
  <c r="AF129" i="59"/>
  <c r="AG128" i="59"/>
  <c r="AF128" i="59"/>
  <c r="AC128" i="59"/>
  <c r="AD128" i="59" s="1"/>
  <c r="AG127" i="59"/>
  <c r="AF127" i="59"/>
  <c r="AG126" i="59"/>
  <c r="AF126" i="59"/>
  <c r="AG125" i="59"/>
  <c r="AF125" i="59"/>
  <c r="AC125" i="59"/>
  <c r="AD125" i="59" s="1"/>
  <c r="AG124" i="59"/>
  <c r="AF124" i="59"/>
  <c r="AG123" i="59"/>
  <c r="AF123" i="59"/>
  <c r="AG122" i="59"/>
  <c r="AF122" i="59"/>
  <c r="AG121" i="59"/>
  <c r="AF121" i="59"/>
  <c r="AC121" i="59"/>
  <c r="AD121" i="59" s="1"/>
  <c r="AG120" i="59"/>
  <c r="AF120" i="59"/>
  <c r="AG119" i="59"/>
  <c r="AF119" i="59"/>
  <c r="AG118" i="59"/>
  <c r="AF118" i="59"/>
  <c r="AG117" i="59"/>
  <c r="AF117" i="59"/>
  <c r="AC117" i="59"/>
  <c r="AD117" i="59" s="1"/>
  <c r="AG116" i="59"/>
  <c r="AF116" i="59"/>
  <c r="AG115" i="59"/>
  <c r="AF115" i="59"/>
  <c r="AG114" i="59"/>
  <c r="AF114" i="59"/>
  <c r="AG113" i="59"/>
  <c r="AF113" i="59"/>
  <c r="AC113" i="59"/>
  <c r="AD113" i="59" s="1"/>
  <c r="AG112" i="59"/>
  <c r="AF112" i="59"/>
  <c r="AG111" i="59"/>
  <c r="AF111" i="59"/>
  <c r="AC111" i="59"/>
  <c r="AD111" i="59" s="1"/>
  <c r="AG110" i="59"/>
  <c r="AF110" i="59"/>
  <c r="AG109" i="59"/>
  <c r="AF109" i="59"/>
  <c r="AG108" i="59"/>
  <c r="AF108" i="59"/>
  <c r="AG107" i="59"/>
  <c r="AF107" i="59"/>
  <c r="AG106" i="59"/>
  <c r="AF106" i="59"/>
  <c r="AG105" i="59"/>
  <c r="AF105" i="59"/>
  <c r="AC105" i="59"/>
  <c r="AD105" i="59" s="1"/>
  <c r="AG104" i="59"/>
  <c r="AF104" i="59"/>
  <c r="AG103" i="59"/>
  <c r="AF103" i="59"/>
  <c r="AG102" i="59"/>
  <c r="AF102" i="59"/>
  <c r="AG101" i="59"/>
  <c r="AF101" i="59"/>
  <c r="AC101" i="59"/>
  <c r="AD101" i="59" s="1"/>
  <c r="AG100" i="59"/>
  <c r="AF100" i="59"/>
  <c r="AG99" i="59"/>
  <c r="AF99" i="59"/>
  <c r="AG98" i="59"/>
  <c r="AF98" i="59"/>
  <c r="AG97" i="59"/>
  <c r="AF97" i="59"/>
  <c r="AC97" i="59"/>
  <c r="AD97" i="59" s="1"/>
  <c r="AG96" i="59"/>
  <c r="AF96" i="59"/>
  <c r="AG95" i="59"/>
  <c r="AF95" i="59"/>
  <c r="AG94" i="59"/>
  <c r="AF94" i="59"/>
  <c r="AG93" i="59"/>
  <c r="AF93" i="59"/>
  <c r="AC93" i="59"/>
  <c r="AD93" i="59" s="1"/>
  <c r="AG92" i="59"/>
  <c r="AF92" i="59"/>
  <c r="AG91" i="59"/>
  <c r="AF91" i="59"/>
  <c r="AC91" i="59"/>
  <c r="AD91" i="59" s="1"/>
  <c r="AG90" i="59"/>
  <c r="AF90" i="59"/>
  <c r="AG89" i="59"/>
  <c r="AF89" i="59"/>
  <c r="AC89" i="59"/>
  <c r="AD89" i="59" s="1"/>
  <c r="AG88" i="59"/>
  <c r="AF88" i="59"/>
  <c r="AG87" i="59"/>
  <c r="AF87" i="59"/>
  <c r="AC87" i="59"/>
  <c r="AD87" i="59" s="1"/>
  <c r="AG86" i="59"/>
  <c r="AF86" i="59"/>
  <c r="AG85" i="59"/>
  <c r="AF85" i="59"/>
  <c r="AC85" i="59"/>
  <c r="AD85" i="59" s="1"/>
  <c r="AG84" i="59"/>
  <c r="AF84" i="59"/>
  <c r="AG83" i="59"/>
  <c r="AF83" i="59"/>
  <c r="AG82" i="59"/>
  <c r="AF82" i="59"/>
  <c r="AG81" i="59"/>
  <c r="AF81" i="59"/>
  <c r="AC81" i="59"/>
  <c r="AD81" i="59" s="1"/>
  <c r="AG80" i="59"/>
  <c r="AF80" i="59"/>
  <c r="AG79" i="59"/>
  <c r="AF79" i="59"/>
  <c r="AG78" i="59"/>
  <c r="AF78" i="59"/>
  <c r="AG77" i="59"/>
  <c r="AF77" i="59"/>
  <c r="AC77" i="59"/>
  <c r="AD77" i="59" s="1"/>
  <c r="AG76" i="59"/>
  <c r="AF76" i="59"/>
  <c r="AG75" i="59"/>
  <c r="AF75" i="59"/>
  <c r="AG74" i="59"/>
  <c r="AF74" i="59"/>
  <c r="AG73" i="59"/>
  <c r="AF73" i="59"/>
  <c r="AG72" i="59"/>
  <c r="AF72" i="59"/>
  <c r="AG71" i="59"/>
  <c r="AF71" i="59"/>
  <c r="AG70" i="59"/>
  <c r="AF70" i="59"/>
  <c r="AC70" i="59"/>
  <c r="AD70" i="59" s="1"/>
  <c r="AG69" i="59"/>
  <c r="AF69" i="59"/>
  <c r="AC69" i="59"/>
  <c r="AD69" i="59" s="1"/>
  <c r="AG68" i="59"/>
  <c r="AF68" i="59"/>
  <c r="AG67" i="59"/>
  <c r="AF67" i="59"/>
  <c r="AG66" i="59"/>
  <c r="AF66" i="59"/>
  <c r="AG65" i="59"/>
  <c r="AF65" i="59"/>
  <c r="AG64" i="59"/>
  <c r="AF64" i="59"/>
  <c r="AG63" i="59"/>
  <c r="AF63" i="59"/>
  <c r="AG62" i="59"/>
  <c r="AF62" i="59"/>
  <c r="AG61" i="59"/>
  <c r="AF61" i="59"/>
  <c r="AG60" i="59"/>
  <c r="AF60" i="59"/>
  <c r="AG59" i="59"/>
  <c r="AF59" i="59"/>
  <c r="AC59" i="59"/>
  <c r="AD59" i="59" s="1"/>
  <c r="AG58" i="59"/>
  <c r="AF58" i="59"/>
  <c r="AG57" i="59"/>
  <c r="AF57" i="59"/>
  <c r="AG56" i="59"/>
  <c r="AF56" i="59"/>
  <c r="AG55" i="59"/>
  <c r="AF55" i="59"/>
  <c r="AG54" i="59"/>
  <c r="AF54" i="59"/>
  <c r="AG53" i="59"/>
  <c r="AF53" i="59"/>
  <c r="AC53" i="59"/>
  <c r="AD53" i="59" s="1"/>
  <c r="AG52" i="59"/>
  <c r="AF52" i="59"/>
  <c r="AG51" i="59"/>
  <c r="AF51" i="59"/>
  <c r="AG50" i="59"/>
  <c r="AF50" i="59"/>
  <c r="AG49" i="59"/>
  <c r="AF49" i="59"/>
  <c r="AG48" i="59"/>
  <c r="AF48" i="59"/>
  <c r="AC48" i="59"/>
  <c r="AD48" i="59" s="1"/>
  <c r="AG47" i="59"/>
  <c r="AF47" i="59"/>
  <c r="AC47" i="59"/>
  <c r="AD47" i="59" s="1"/>
  <c r="AG46" i="59"/>
  <c r="AF46" i="59"/>
  <c r="AG45" i="59"/>
  <c r="AF45" i="59"/>
  <c r="AG44" i="59"/>
  <c r="AF44" i="59"/>
  <c r="AG43" i="59"/>
  <c r="AF43" i="59"/>
  <c r="AG42" i="59"/>
  <c r="AF42" i="59"/>
  <c r="AC42" i="59"/>
  <c r="AD42" i="59" s="1"/>
  <c r="AG41" i="59"/>
  <c r="AF41" i="59"/>
  <c r="AG40" i="59"/>
  <c r="AF40" i="59"/>
  <c r="AG39" i="59"/>
  <c r="AF39" i="59"/>
  <c r="AG38" i="59"/>
  <c r="AF38" i="59"/>
  <c r="AC38" i="59"/>
  <c r="AD38" i="59" s="1"/>
  <c r="AG37" i="59"/>
  <c r="AF37" i="59"/>
  <c r="AG36" i="59"/>
  <c r="AF36" i="59"/>
  <c r="AG35" i="59"/>
  <c r="AF35" i="59"/>
  <c r="AG34" i="59"/>
  <c r="AF34" i="59"/>
  <c r="AC34" i="59"/>
  <c r="AD34" i="59" s="1"/>
  <c r="AG33" i="59"/>
  <c r="AF33" i="59"/>
  <c r="AG32" i="59"/>
  <c r="AF32" i="59"/>
  <c r="AG31" i="59"/>
  <c r="AF31" i="59"/>
  <c r="AG30" i="59"/>
  <c r="AF30" i="59"/>
  <c r="AC30" i="59"/>
  <c r="AD30" i="59" s="1"/>
  <c r="AG29" i="59"/>
  <c r="AF29" i="59"/>
  <c r="AG28" i="59"/>
  <c r="AF28" i="59"/>
  <c r="AG27" i="59"/>
  <c r="AF27" i="59"/>
  <c r="AG26" i="59"/>
  <c r="AF26" i="59"/>
  <c r="AC26" i="59"/>
  <c r="AD26" i="59" s="1"/>
  <c r="AG25" i="59"/>
  <c r="AF25" i="59"/>
  <c r="AG24" i="59"/>
  <c r="AF24" i="59"/>
  <c r="AG23" i="59"/>
  <c r="AF23" i="59"/>
  <c r="AG22" i="59"/>
  <c r="AF22" i="59"/>
  <c r="AC22" i="59"/>
  <c r="AG21" i="59"/>
  <c r="AF21" i="59"/>
  <c r="AG20" i="59"/>
  <c r="AF20" i="59"/>
  <c r="AC20" i="59"/>
  <c r="AG19" i="59"/>
  <c r="AF19" i="59"/>
  <c r="AG18" i="59"/>
  <c r="AF18" i="59"/>
  <c r="AC18" i="59"/>
  <c r="AG17" i="59"/>
  <c r="AF17" i="59"/>
  <c r="AG16" i="59"/>
  <c r="AF16" i="59"/>
  <c r="AG15" i="59"/>
  <c r="AF15" i="59"/>
  <c r="AG14" i="59"/>
  <c r="AF14" i="59"/>
  <c r="AG13" i="59"/>
  <c r="AF13" i="59"/>
  <c r="AG12" i="59"/>
  <c r="AF12" i="59"/>
  <c r="AC12" i="59"/>
  <c r="AG11" i="59"/>
  <c r="AF11" i="59"/>
  <c r="X69" i="53" l="1"/>
  <c r="AB69" i="53" s="1"/>
  <c r="X17" i="22"/>
  <c r="X88" i="22"/>
  <c r="AF53" i="65"/>
  <c r="AE53" i="65"/>
  <c r="AE70" i="57"/>
  <c r="R70" i="57"/>
  <c r="AE70" i="53"/>
  <c r="R70" i="53"/>
  <c r="AB67" i="57"/>
  <c r="AF67" i="57"/>
  <c r="AG53" i="69"/>
  <c r="AG52" i="65"/>
  <c r="Q12" i="59"/>
  <c r="AD255" i="59"/>
  <c r="AA257" i="71"/>
  <c r="X55" i="22"/>
  <c r="AD22" i="59"/>
  <c r="AD20" i="59"/>
  <c r="AD18" i="59"/>
  <c r="X68" i="57"/>
  <c r="AX54" i="69"/>
  <c r="AA67" i="57"/>
  <c r="O71" i="57"/>
  <c r="AG71" i="57" s="1"/>
  <c r="L71" i="57"/>
  <c r="AJ70" i="57"/>
  <c r="AC70" i="57"/>
  <c r="AP70" i="57"/>
  <c r="AH53" i="65"/>
  <c r="AV53" i="65"/>
  <c r="Q70" i="53"/>
  <c r="AH70" i="53"/>
  <c r="AT70" i="53"/>
  <c r="AC70" i="53"/>
  <c r="AG70" i="53"/>
  <c r="AB68" i="53"/>
  <c r="AA68" i="53"/>
  <c r="N71" i="57"/>
  <c r="L71" i="53"/>
  <c r="N71" i="53"/>
  <c r="AH54" i="69"/>
  <c r="AD70" i="57"/>
  <c r="AD70" i="53"/>
  <c r="AD12" i="59"/>
  <c r="J71" i="53"/>
  <c r="D71" i="53"/>
  <c r="I71" i="53"/>
  <c r="C71" i="53"/>
  <c r="F71" i="53"/>
  <c r="K71" i="53"/>
  <c r="E71" i="53"/>
  <c r="P71" i="53"/>
  <c r="AK70" i="52" a="1"/>
  <c r="AK70" i="52" s="1"/>
  <c r="B72" i="53" s="1"/>
  <c r="O72" i="53" s="1"/>
  <c r="G71" i="53"/>
  <c r="H71" i="53"/>
  <c r="Q70" i="57"/>
  <c r="K71" i="57"/>
  <c r="G71" i="57"/>
  <c r="E71" i="57"/>
  <c r="P71" i="57"/>
  <c r="D71" i="57"/>
  <c r="C71" i="57"/>
  <c r="M71" i="57" s="1"/>
  <c r="I71" i="57"/>
  <c r="H71" i="57"/>
  <c r="F71" i="57"/>
  <c r="J71" i="57"/>
  <c r="T69" i="57"/>
  <c r="AK70" i="55" a="1"/>
  <c r="AK70" i="55" s="1"/>
  <c r="B72" i="57" s="1"/>
  <c r="P55" i="69"/>
  <c r="N55" i="69"/>
  <c r="AF55" i="69" s="1"/>
  <c r="D55" i="69"/>
  <c r="E55" i="69" s="1"/>
  <c r="F55" i="69" s="1"/>
  <c r="G55" i="69" s="1"/>
  <c r="H55" i="69" s="1"/>
  <c r="I55" i="69" s="1"/>
  <c r="J55" i="69" s="1"/>
  <c r="K55" i="69" s="1"/>
  <c r="M55" i="69" s="1"/>
  <c r="Q54" i="69"/>
  <c r="AE54" i="69"/>
  <c r="R54" i="69"/>
  <c r="S54" i="69" s="1"/>
  <c r="Y54" i="69" s="1"/>
  <c r="AB54" i="69" s="1"/>
  <c r="AC54" i="69" s="1"/>
  <c r="AD54" i="69" s="1"/>
  <c r="U54" i="69"/>
  <c r="C56" i="69"/>
  <c r="AO56" i="69" s="1"/>
  <c r="O56" i="69"/>
  <c r="AN56" i="67" a="1"/>
  <c r="AN56" i="67" s="1"/>
  <c r="B57" i="69"/>
  <c r="L57" i="69" s="1"/>
  <c r="P54" i="65"/>
  <c r="N54" i="65"/>
  <c r="D54" i="65"/>
  <c r="E54" i="65" s="1"/>
  <c r="F54" i="65" s="1"/>
  <c r="G54" i="65" s="1"/>
  <c r="H54" i="65" s="1"/>
  <c r="I54" i="65" s="1"/>
  <c r="J54" i="65" s="1"/>
  <c r="K54" i="65" s="1"/>
  <c r="M54" i="65" s="1"/>
  <c r="AN55" i="63" a="1"/>
  <c r="AN55" i="63" s="1"/>
  <c r="B56" i="65"/>
  <c r="L56" i="65" s="1"/>
  <c r="Q53" i="65"/>
  <c r="R53" i="65"/>
  <c r="S53" i="65" s="1"/>
  <c r="Y53" i="65" s="1"/>
  <c r="AB53" i="65" s="1"/>
  <c r="AC53" i="65" s="1"/>
  <c r="AD53" i="65" s="1"/>
  <c r="U53" i="65"/>
  <c r="C55" i="65"/>
  <c r="AM55" i="65" s="1"/>
  <c r="O55" i="65"/>
  <c r="AC65" i="59"/>
  <c r="AD65" i="59" s="1"/>
  <c r="AC61" i="59"/>
  <c r="AD61" i="59" s="1"/>
  <c r="AC57" i="59"/>
  <c r="AD57" i="59" s="1"/>
  <c r="AC92" i="59"/>
  <c r="AD92" i="59" s="1"/>
  <c r="AK11" i="59" a="1"/>
  <c r="AK11" i="59" s="1"/>
  <c r="AK12" i="59" s="1" a="1"/>
  <c r="AK12" i="59" s="1"/>
  <c r="AK13" i="59" s="1" a="1"/>
  <c r="AK13" i="59" s="1"/>
  <c r="AL11" i="59" a="1"/>
  <c r="AL11" i="59" s="1"/>
  <c r="AC150" i="59"/>
  <c r="AD150" i="59" s="1"/>
  <c r="AC19" i="59"/>
  <c r="AC216" i="59"/>
  <c r="AD216" i="59" s="1"/>
  <c r="AC217" i="59"/>
  <c r="AD217" i="59" s="1"/>
  <c r="AC55" i="59"/>
  <c r="AD55" i="59" s="1"/>
  <c r="AC86" i="59"/>
  <c r="AD86" i="59" s="1"/>
  <c r="AC103" i="59"/>
  <c r="AD103" i="59" s="1"/>
  <c r="AC17" i="59"/>
  <c r="AC119" i="59"/>
  <c r="AD119" i="59" s="1"/>
  <c r="AC15" i="59"/>
  <c r="AC132" i="59"/>
  <c r="AD132" i="59" s="1"/>
  <c r="AC156" i="59"/>
  <c r="AD156" i="59" s="1"/>
  <c r="AC252" i="59"/>
  <c r="AD252" i="59" s="1"/>
  <c r="AC66" i="59"/>
  <c r="AD66" i="59" s="1"/>
  <c r="AC75" i="59"/>
  <c r="AD75" i="59" s="1"/>
  <c r="AC160" i="59"/>
  <c r="AD160" i="59" s="1"/>
  <c r="AC248" i="59"/>
  <c r="AD248" i="59" s="1"/>
  <c r="AC54" i="59"/>
  <c r="AD54" i="59" s="1"/>
  <c r="AC21" i="59"/>
  <c r="AC64" i="59"/>
  <c r="AD64" i="59" s="1"/>
  <c r="AC107" i="59"/>
  <c r="AD107" i="59" s="1"/>
  <c r="AC130" i="59"/>
  <c r="AD130" i="59" s="1"/>
  <c r="AC139" i="59"/>
  <c r="AD139" i="59" s="1"/>
  <c r="AC178" i="59"/>
  <c r="AD178" i="59" s="1"/>
  <c r="AC52" i="59"/>
  <c r="AD52" i="59" s="1"/>
  <c r="AC83" i="59"/>
  <c r="AD83" i="59" s="1"/>
  <c r="AC122" i="59"/>
  <c r="AD122" i="59" s="1"/>
  <c r="AC166" i="59"/>
  <c r="AD166" i="59" s="1"/>
  <c r="AC181" i="59"/>
  <c r="AD181" i="59" s="1"/>
  <c r="AC185" i="59"/>
  <c r="AD185" i="59" s="1"/>
  <c r="AC13" i="59"/>
  <c r="X13" i="59" s="1"/>
  <c r="AQ13" i="59" s="1"/>
  <c r="AC96" i="59"/>
  <c r="AD96" i="59" s="1"/>
  <c r="AC147" i="59"/>
  <c r="AD147" i="59" s="1"/>
  <c r="AC14" i="59"/>
  <c r="AC62" i="59"/>
  <c r="AD62" i="59" s="1"/>
  <c r="AC16" i="59"/>
  <c r="AC27" i="59"/>
  <c r="AD27" i="59" s="1"/>
  <c r="AC49" i="59"/>
  <c r="AD49" i="59" s="1"/>
  <c r="AC84" i="59"/>
  <c r="AD84" i="59" s="1"/>
  <c r="AC114" i="59"/>
  <c r="AD114" i="59" s="1"/>
  <c r="AC51" i="59"/>
  <c r="AD51" i="59" s="1"/>
  <c r="AC58" i="59"/>
  <c r="AD58" i="59" s="1"/>
  <c r="AC151" i="59"/>
  <c r="AD151" i="59" s="1"/>
  <c r="AC11" i="59"/>
  <c r="AC23" i="59"/>
  <c r="AC31" i="59"/>
  <c r="AD31" i="59" s="1"/>
  <c r="AC79" i="59"/>
  <c r="AD79" i="59" s="1"/>
  <c r="AC129" i="59"/>
  <c r="AD129" i="59" s="1"/>
  <c r="AC165" i="59"/>
  <c r="AD165" i="59" s="1"/>
  <c r="AC90" i="59"/>
  <c r="AD90" i="59" s="1"/>
  <c r="AC98" i="59"/>
  <c r="AD98" i="59" s="1"/>
  <c r="AC158" i="59"/>
  <c r="AD158" i="59" s="1"/>
  <c r="AC100" i="59"/>
  <c r="AD100" i="59" s="1"/>
  <c r="AC118" i="59"/>
  <c r="AD118" i="59" s="1"/>
  <c r="AC124" i="59"/>
  <c r="AD124" i="59" s="1"/>
  <c r="AC212" i="59"/>
  <c r="AD212" i="59" s="1"/>
  <c r="AC170" i="59"/>
  <c r="AD170" i="59" s="1"/>
  <c r="AC179" i="59"/>
  <c r="AD179" i="59" s="1"/>
  <c r="AC228" i="59"/>
  <c r="AD228" i="59" s="1"/>
  <c r="AC186" i="59"/>
  <c r="AD186" i="59" s="1"/>
  <c r="AC190" i="59"/>
  <c r="AD190" i="59" s="1"/>
  <c r="AC200" i="59"/>
  <c r="AD200" i="59" s="1"/>
  <c r="AC213" i="59"/>
  <c r="AD213" i="59" s="1"/>
  <c r="AC229" i="59"/>
  <c r="AD229" i="59" s="1"/>
  <c r="AC240" i="59"/>
  <c r="AD240" i="59" s="1"/>
  <c r="AC135" i="59"/>
  <c r="AD135" i="59" s="1"/>
  <c r="AC146" i="59"/>
  <c r="AD146" i="59" s="1"/>
  <c r="AC197" i="59"/>
  <c r="AD197" i="59" s="1"/>
  <c r="AC201" i="59"/>
  <c r="AD201" i="59" s="1"/>
  <c r="AC174" i="59"/>
  <c r="AD174" i="59" s="1"/>
  <c r="AC187" i="59"/>
  <c r="AD187" i="59" s="1"/>
  <c r="AC232" i="59"/>
  <c r="AD232" i="59" s="1"/>
  <c r="AC244" i="59"/>
  <c r="AD244" i="59" s="1"/>
  <c r="AC36" i="59"/>
  <c r="AD36" i="59" s="1"/>
  <c r="AC39" i="59"/>
  <c r="AD39" i="59" s="1"/>
  <c r="AC40" i="59"/>
  <c r="AD40" i="59" s="1"/>
  <c r="AC43" i="59"/>
  <c r="AD43" i="59" s="1"/>
  <c r="AC44" i="59"/>
  <c r="AD44" i="59" s="1"/>
  <c r="AC63" i="59"/>
  <c r="AD63" i="59" s="1"/>
  <c r="AC25" i="59"/>
  <c r="AD25" i="59" s="1"/>
  <c r="AC46" i="59"/>
  <c r="AD46" i="59" s="1"/>
  <c r="AC29" i="59"/>
  <c r="AD29" i="59" s="1"/>
  <c r="AC24" i="59"/>
  <c r="AD24" i="59" s="1"/>
  <c r="AC33" i="59"/>
  <c r="AD33" i="59" s="1"/>
  <c r="AC50" i="59"/>
  <c r="AD50" i="59" s="1"/>
  <c r="AC28" i="59"/>
  <c r="AD28" i="59" s="1"/>
  <c r="AC37" i="59"/>
  <c r="AD37" i="59" s="1"/>
  <c r="AC72" i="59"/>
  <c r="AD72" i="59" s="1"/>
  <c r="AC73" i="59"/>
  <c r="AD73" i="59" s="1"/>
  <c r="AC74" i="59"/>
  <c r="AD74" i="59" s="1"/>
  <c r="AC94" i="59"/>
  <c r="AD94" i="59" s="1"/>
  <c r="AC32" i="59"/>
  <c r="AD32" i="59" s="1"/>
  <c r="AC35" i="59"/>
  <c r="AD35" i="59" s="1"/>
  <c r="AC41" i="59"/>
  <c r="AD41" i="59" s="1"/>
  <c r="AC45" i="59"/>
  <c r="AD45" i="59" s="1"/>
  <c r="AC76" i="59"/>
  <c r="AD76" i="59" s="1"/>
  <c r="AC56" i="59"/>
  <c r="AD56" i="59" s="1"/>
  <c r="AC67" i="59"/>
  <c r="AD67" i="59" s="1"/>
  <c r="AC78" i="59"/>
  <c r="AD78" i="59" s="1"/>
  <c r="AC88" i="59"/>
  <c r="AD88" i="59" s="1"/>
  <c r="AC99" i="59"/>
  <c r="AD99" i="59" s="1"/>
  <c r="AC169" i="59"/>
  <c r="AD169" i="59" s="1"/>
  <c r="AC68" i="59"/>
  <c r="AD68" i="59" s="1"/>
  <c r="AC80" i="59"/>
  <c r="AD80" i="59" s="1"/>
  <c r="AC140" i="59"/>
  <c r="AD140" i="59" s="1"/>
  <c r="AC141" i="59"/>
  <c r="AD141" i="59" s="1"/>
  <c r="AC142" i="59"/>
  <c r="AD142" i="59" s="1"/>
  <c r="AC60" i="59"/>
  <c r="AD60" i="59" s="1"/>
  <c r="AC71" i="59"/>
  <c r="AD71" i="59" s="1"/>
  <c r="AC82" i="59"/>
  <c r="AD82" i="59" s="1"/>
  <c r="AC95" i="59"/>
  <c r="AD95" i="59" s="1"/>
  <c r="AC108" i="59"/>
  <c r="AD108" i="59" s="1"/>
  <c r="AC109" i="59"/>
  <c r="AD109" i="59" s="1"/>
  <c r="AC110" i="59"/>
  <c r="AD110" i="59" s="1"/>
  <c r="AC131" i="59"/>
  <c r="AD131" i="59" s="1"/>
  <c r="AC163" i="59"/>
  <c r="AD163" i="59" s="1"/>
  <c r="AC102" i="59"/>
  <c r="AD102" i="59" s="1"/>
  <c r="AC112" i="59"/>
  <c r="AD112" i="59" s="1"/>
  <c r="AC123" i="59"/>
  <c r="AD123" i="59" s="1"/>
  <c r="AC134" i="59"/>
  <c r="AD134" i="59" s="1"/>
  <c r="AC144" i="59"/>
  <c r="AD144" i="59" s="1"/>
  <c r="AC155" i="59"/>
  <c r="AD155" i="59" s="1"/>
  <c r="AC104" i="59"/>
  <c r="AD104" i="59" s="1"/>
  <c r="AC115" i="59"/>
  <c r="AD115" i="59" s="1"/>
  <c r="AC126" i="59"/>
  <c r="AD126" i="59" s="1"/>
  <c r="AC136" i="59"/>
  <c r="AD136" i="59" s="1"/>
  <c r="AC167" i="59"/>
  <c r="AD167" i="59" s="1"/>
  <c r="AC106" i="59"/>
  <c r="AD106" i="59" s="1"/>
  <c r="AC116" i="59"/>
  <c r="AD116" i="59" s="1"/>
  <c r="AC127" i="59"/>
  <c r="AD127" i="59" s="1"/>
  <c r="AC138" i="59"/>
  <c r="AD138" i="59" s="1"/>
  <c r="AC148" i="59"/>
  <c r="AD148" i="59" s="1"/>
  <c r="AC159" i="59"/>
  <c r="AD159" i="59" s="1"/>
  <c r="AC168" i="59"/>
  <c r="AD168" i="59" s="1"/>
  <c r="AC120" i="59"/>
  <c r="AD120" i="59" s="1"/>
  <c r="AC152" i="59"/>
  <c r="AD152" i="59" s="1"/>
  <c r="AC164" i="59"/>
  <c r="AD164" i="59" s="1"/>
  <c r="AC177" i="59"/>
  <c r="AD177" i="59" s="1"/>
  <c r="AC205" i="59"/>
  <c r="AD205" i="59" s="1"/>
  <c r="AC206" i="59"/>
  <c r="AD206" i="59" s="1"/>
  <c r="AC188" i="59"/>
  <c r="AD188" i="59" s="1"/>
  <c r="AC171" i="59"/>
  <c r="AD171" i="59" s="1"/>
  <c r="AC192" i="59"/>
  <c r="AD192" i="59" s="1"/>
  <c r="AC173" i="59"/>
  <c r="AD173" i="59" s="1"/>
  <c r="AC183" i="59"/>
  <c r="AD183" i="59" s="1"/>
  <c r="AC189" i="59"/>
  <c r="AD189" i="59" s="1"/>
  <c r="AC175" i="59"/>
  <c r="AD175" i="59" s="1"/>
  <c r="AC203" i="59"/>
  <c r="AD203" i="59" s="1"/>
  <c r="AC194" i="59"/>
  <c r="AD194" i="59" s="1"/>
  <c r="AC210" i="59"/>
  <c r="AD210" i="59" s="1"/>
  <c r="AC221" i="59"/>
  <c r="AD221" i="59" s="1"/>
  <c r="AC226" i="59"/>
  <c r="AD226" i="59" s="1"/>
  <c r="AC253" i="59"/>
  <c r="AD253" i="59" s="1"/>
  <c r="AC256" i="59"/>
  <c r="AD256" i="59" s="1"/>
  <c r="AC234" i="59"/>
  <c r="AD234" i="59" s="1"/>
  <c r="AC257" i="59"/>
  <c r="AD257" i="59" s="1"/>
  <c r="AC222" i="59"/>
  <c r="AD222" i="59" s="1"/>
  <c r="AC238" i="59"/>
  <c r="AD238" i="59" s="1"/>
  <c r="AC233" i="59"/>
  <c r="AD233" i="59" s="1"/>
  <c r="AC236" i="59"/>
  <c r="AD236" i="59" s="1"/>
  <c r="AC242" i="59"/>
  <c r="AD242" i="59" s="1"/>
  <c r="AC196" i="59"/>
  <c r="AD196" i="59" s="1"/>
  <c r="AC202" i="59"/>
  <c r="AD202" i="59" s="1"/>
  <c r="AC218" i="59"/>
  <c r="AD218" i="59" s="1"/>
  <c r="AC237" i="59"/>
  <c r="AD237" i="59" s="1"/>
  <c r="AC246" i="59"/>
  <c r="AD246" i="59" s="1"/>
  <c r="AC241" i="59"/>
  <c r="AD241" i="59" s="1"/>
  <c r="AC250" i="59"/>
  <c r="AD250" i="59" s="1"/>
  <c r="AC193" i="59"/>
  <c r="AD193" i="59" s="1"/>
  <c r="AC198" i="59"/>
  <c r="AD198" i="59" s="1"/>
  <c r="AC209" i="59"/>
  <c r="AD209" i="59" s="1"/>
  <c r="AC214" i="59"/>
  <c r="AD214" i="59" s="1"/>
  <c r="AC225" i="59"/>
  <c r="AD225" i="59" s="1"/>
  <c r="AC230" i="59"/>
  <c r="AD230" i="59" s="1"/>
  <c r="AC245" i="59"/>
  <c r="AD245" i="59" s="1"/>
  <c r="AC254" i="59"/>
  <c r="AD254" i="59" s="1"/>
  <c r="AC249" i="59"/>
  <c r="AD249" i="59" s="1"/>
  <c r="AC258" i="59"/>
  <c r="AD258" i="59" s="1"/>
  <c r="S6" i="78"/>
  <c r="S7" i="78"/>
  <c r="S5" i="78"/>
  <c r="AA69" i="53" l="1"/>
  <c r="AF69" i="53"/>
  <c r="X70" i="53"/>
  <c r="AF70" i="53" s="1"/>
  <c r="AF54" i="65"/>
  <c r="AE54" i="65"/>
  <c r="AE71" i="57"/>
  <c r="R71" i="57"/>
  <c r="AE71" i="53"/>
  <c r="R71" i="53"/>
  <c r="AB68" i="57"/>
  <c r="AF68" i="57"/>
  <c r="AG54" i="69"/>
  <c r="AG53" i="65"/>
  <c r="T65" i="22"/>
  <c r="X14" i="59"/>
  <c r="AQ14" i="59" s="1"/>
  <c r="T15" i="22"/>
  <c r="X255" i="59"/>
  <c r="AQ255" i="59" s="1"/>
  <c r="T104" i="22"/>
  <c r="AL30" i="22" s="1"/>
  <c r="T111" i="22"/>
  <c r="AD23" i="59"/>
  <c r="AD21" i="59"/>
  <c r="AD19" i="59"/>
  <c r="AD17" i="59"/>
  <c r="AD16" i="59"/>
  <c r="AA68" i="57"/>
  <c r="AX55" i="69"/>
  <c r="O72" i="57"/>
  <c r="AG72" i="57" s="1"/>
  <c r="L72" i="57"/>
  <c r="X69" i="57"/>
  <c r="AJ71" i="57"/>
  <c r="AC71" i="57"/>
  <c r="AP71" i="57"/>
  <c r="AH54" i="65"/>
  <c r="AV54" i="65"/>
  <c r="AG71" i="53"/>
  <c r="AH71" i="53"/>
  <c r="AT71" i="53"/>
  <c r="AC71" i="53"/>
  <c r="AD15" i="59"/>
  <c r="AD14" i="59"/>
  <c r="T63" i="22"/>
  <c r="N72" i="57"/>
  <c r="L72" i="53"/>
  <c r="N72" i="53"/>
  <c r="AH55" i="69"/>
  <c r="AD13" i="59"/>
  <c r="AD71" i="57"/>
  <c r="AD71" i="53"/>
  <c r="Q71" i="53"/>
  <c r="AK71" i="52" a="1"/>
  <c r="AK71" i="52" s="1"/>
  <c r="B73" i="53" s="1"/>
  <c r="O73" i="53" s="1"/>
  <c r="P72" i="53"/>
  <c r="E72" i="53"/>
  <c r="D72" i="53"/>
  <c r="C72" i="53"/>
  <c r="F72" i="53"/>
  <c r="K72" i="53"/>
  <c r="H72" i="53"/>
  <c r="G72" i="53"/>
  <c r="J72" i="53"/>
  <c r="I72" i="53"/>
  <c r="Q71" i="57"/>
  <c r="I72" i="57"/>
  <c r="F72" i="57"/>
  <c r="E72" i="57"/>
  <c r="C72" i="57"/>
  <c r="M72" i="57" s="1"/>
  <c r="K72" i="57"/>
  <c r="J72" i="57"/>
  <c r="P72" i="57"/>
  <c r="H72" i="57"/>
  <c r="D72" i="57"/>
  <c r="G72" i="57"/>
  <c r="T70" i="57"/>
  <c r="AK71" i="55" a="1"/>
  <c r="AK71" i="55" s="1"/>
  <c r="B73" i="57" s="1"/>
  <c r="C57" i="69"/>
  <c r="AO57" i="69" s="1"/>
  <c r="O57" i="69"/>
  <c r="D56" i="69"/>
  <c r="E56" i="69" s="1"/>
  <c r="F56" i="69" s="1"/>
  <c r="G56" i="69" s="1"/>
  <c r="H56" i="69" s="1"/>
  <c r="I56" i="69" s="1"/>
  <c r="J56" i="69" s="1"/>
  <c r="K56" i="69" s="1"/>
  <c r="M56" i="69" s="1"/>
  <c r="N56" i="69"/>
  <c r="AF56" i="69" s="1"/>
  <c r="P56" i="69"/>
  <c r="AN57" i="67" a="1"/>
  <c r="AN57" i="67" s="1"/>
  <c r="B58" i="69"/>
  <c r="L58" i="69" s="1"/>
  <c r="AE55" i="69"/>
  <c r="R55" i="69"/>
  <c r="S55" i="69" s="1"/>
  <c r="Y55" i="69" s="1"/>
  <c r="AB55" i="69" s="1"/>
  <c r="AC55" i="69" s="1"/>
  <c r="AD55" i="69" s="1"/>
  <c r="U55" i="69"/>
  <c r="Q55" i="69"/>
  <c r="P55" i="65"/>
  <c r="D55" i="65"/>
  <c r="E55" i="65" s="1"/>
  <c r="F55" i="65" s="1"/>
  <c r="G55" i="65" s="1"/>
  <c r="H55" i="65" s="1"/>
  <c r="I55" i="65" s="1"/>
  <c r="J55" i="65" s="1"/>
  <c r="K55" i="65" s="1"/>
  <c r="M55" i="65" s="1"/>
  <c r="N55" i="65"/>
  <c r="C56" i="65"/>
  <c r="AM56" i="65" s="1"/>
  <c r="O56" i="65"/>
  <c r="AN56" i="63" a="1"/>
  <c r="AN56" i="63" s="1"/>
  <c r="B57" i="65"/>
  <c r="L57" i="65" s="1"/>
  <c r="U54" i="65"/>
  <c r="R54" i="65"/>
  <c r="S54" i="65" s="1"/>
  <c r="Y54" i="65" s="1"/>
  <c r="AB54" i="65" s="1"/>
  <c r="AC54" i="65" s="1"/>
  <c r="AD54" i="65" s="1"/>
  <c r="Q54" i="65"/>
  <c r="T126" i="22"/>
  <c r="S8" i="78"/>
  <c r="AL12" i="59" a="1"/>
  <c r="AL12" i="59" s="1"/>
  <c r="E13" i="50" s="1"/>
  <c r="E12" i="50"/>
  <c r="AK14" i="59" a="1"/>
  <c r="AK14" i="59" s="1"/>
  <c r="L7" i="29"/>
  <c r="X71" i="53" l="1"/>
  <c r="AF71" i="53" s="1"/>
  <c r="AA70" i="53"/>
  <c r="AB70" i="53"/>
  <c r="AF55" i="65"/>
  <c r="AE55" i="65"/>
  <c r="AE72" i="57"/>
  <c r="R72" i="57"/>
  <c r="AE72" i="53"/>
  <c r="R72" i="53"/>
  <c r="AB69" i="57"/>
  <c r="AF69" i="57"/>
  <c r="AG55" i="69"/>
  <c r="AG54" i="65"/>
  <c r="X12" i="59"/>
  <c r="AQ12" i="59" s="1"/>
  <c r="T114" i="22"/>
  <c r="AL29" i="22" s="1"/>
  <c r="T101" i="22"/>
  <c r="AL31" i="22" s="1"/>
  <c r="O12" i="50"/>
  <c r="O13" i="50"/>
  <c r="AX56" i="69"/>
  <c r="AA69" i="57"/>
  <c r="O73" i="57"/>
  <c r="AG73" i="57" s="1"/>
  <c r="L73" i="57"/>
  <c r="X70" i="57"/>
  <c r="AF70" i="57" s="1"/>
  <c r="AJ72" i="57"/>
  <c r="AC72" i="57"/>
  <c r="AP72" i="57"/>
  <c r="AH55" i="65"/>
  <c r="AV55" i="65"/>
  <c r="AH72" i="53"/>
  <c r="AT72" i="53"/>
  <c r="AC72" i="53"/>
  <c r="AG72" i="53"/>
  <c r="N73" i="57"/>
  <c r="N73" i="53"/>
  <c r="AH56" i="69"/>
  <c r="AD72" i="57"/>
  <c r="Q72" i="53"/>
  <c r="AD72" i="53"/>
  <c r="P73" i="53"/>
  <c r="J73" i="53"/>
  <c r="G73" i="53"/>
  <c r="L73" i="53"/>
  <c r="F73" i="53"/>
  <c r="I73" i="53"/>
  <c r="AK72" i="52" a="1"/>
  <c r="AK72" i="52" s="1"/>
  <c r="B74" i="53" s="1"/>
  <c r="O74" i="53" s="1"/>
  <c r="H73" i="53"/>
  <c r="C73" i="53"/>
  <c r="K73" i="53"/>
  <c r="D73" i="53"/>
  <c r="E73" i="53"/>
  <c r="A13" i="50"/>
  <c r="Q13" i="50" s="1"/>
  <c r="I13" i="50"/>
  <c r="M13" i="50"/>
  <c r="G13" i="50"/>
  <c r="B13" i="50"/>
  <c r="R13" i="50" s="1"/>
  <c r="K13" i="50"/>
  <c r="J13" i="50"/>
  <c r="N13" i="50"/>
  <c r="H13" i="50"/>
  <c r="L13" i="50"/>
  <c r="F13" i="50"/>
  <c r="F12" i="50"/>
  <c r="B12" i="50"/>
  <c r="R12" i="50" s="1"/>
  <c r="A12" i="50"/>
  <c r="J12" i="50"/>
  <c r="H12" i="50"/>
  <c r="K12" i="50"/>
  <c r="G12" i="50"/>
  <c r="Q72" i="57"/>
  <c r="T71" i="57"/>
  <c r="C73" i="57"/>
  <c r="M73" i="57" s="1"/>
  <c r="I73" i="57"/>
  <c r="H73" i="57"/>
  <c r="G73" i="57"/>
  <c r="E73" i="57"/>
  <c r="P73" i="57"/>
  <c r="D73" i="57"/>
  <c r="K73" i="57"/>
  <c r="F73" i="57"/>
  <c r="J73" i="57"/>
  <c r="AK72" i="55" a="1"/>
  <c r="AK72" i="55" s="1"/>
  <c r="B74" i="57" s="1"/>
  <c r="Q56" i="69"/>
  <c r="R56" i="69"/>
  <c r="S56" i="69" s="1"/>
  <c r="Y56" i="69" s="1"/>
  <c r="AB56" i="69" s="1"/>
  <c r="AC56" i="69" s="1"/>
  <c r="AD56" i="69" s="1"/>
  <c r="U56" i="69"/>
  <c r="AE56" i="69"/>
  <c r="D57" i="69"/>
  <c r="E57" i="69" s="1"/>
  <c r="F57" i="69" s="1"/>
  <c r="G57" i="69" s="1"/>
  <c r="H57" i="69" s="1"/>
  <c r="I57" i="69" s="1"/>
  <c r="J57" i="69" s="1"/>
  <c r="K57" i="69" s="1"/>
  <c r="M57" i="69" s="1"/>
  <c r="P57" i="69"/>
  <c r="N57" i="69"/>
  <c r="AF57" i="69" s="1"/>
  <c r="C58" i="69"/>
  <c r="AO58" i="69" s="1"/>
  <c r="O58" i="69"/>
  <c r="AN58" i="67" a="1"/>
  <c r="AN58" i="67" s="1"/>
  <c r="B59" i="69"/>
  <c r="L59" i="69" s="1"/>
  <c r="C57" i="65"/>
  <c r="AM57" i="65" s="1"/>
  <c r="O57" i="65"/>
  <c r="U55" i="65"/>
  <c r="R55" i="65"/>
  <c r="S55" i="65" s="1"/>
  <c r="Y55" i="65" s="1"/>
  <c r="AB55" i="65" s="1"/>
  <c r="AC55" i="65" s="1"/>
  <c r="AD55" i="65" s="1"/>
  <c r="Q55" i="65"/>
  <c r="AN57" i="63" a="1"/>
  <c r="AN57" i="63" s="1"/>
  <c r="B58" i="65"/>
  <c r="L58" i="65" s="1"/>
  <c r="N56" i="65"/>
  <c r="P56" i="65"/>
  <c r="D56" i="65"/>
  <c r="E56" i="65" s="1"/>
  <c r="F56" i="65" s="1"/>
  <c r="G56" i="65" s="1"/>
  <c r="H56" i="65" s="1"/>
  <c r="I56" i="65" s="1"/>
  <c r="J56" i="65" s="1"/>
  <c r="K56" i="65" s="1"/>
  <c r="M56" i="65" s="1"/>
  <c r="AL13" i="59" a="1"/>
  <c r="AL13" i="59" s="1"/>
  <c r="E14" i="50" s="1"/>
  <c r="AK14" i="50" s="1"/>
  <c r="AK15" i="59" a="1"/>
  <c r="AK15" i="59" s="1"/>
  <c r="AA71" i="53" l="1"/>
  <c r="AB71" i="53"/>
  <c r="Q12" i="50"/>
  <c r="AD5" i="50" s="1"/>
  <c r="AF56" i="65"/>
  <c r="AE56" i="65"/>
  <c r="AE73" i="57"/>
  <c r="R73" i="57"/>
  <c r="AE73" i="53"/>
  <c r="R73" i="53"/>
  <c r="AG56" i="69"/>
  <c r="AG55" i="65"/>
  <c r="O14" i="50"/>
  <c r="AX57" i="69"/>
  <c r="X71" i="57"/>
  <c r="O74" i="57"/>
  <c r="AG74" i="57" s="1"/>
  <c r="L74" i="57"/>
  <c r="AJ73" i="57"/>
  <c r="AC73" i="57"/>
  <c r="AP73" i="57"/>
  <c r="AB70" i="57"/>
  <c r="AA70" i="57"/>
  <c r="AH56" i="65"/>
  <c r="AV56" i="65"/>
  <c r="P13" i="50"/>
  <c r="AG73" i="53"/>
  <c r="AH73" i="53"/>
  <c r="AC73" i="53"/>
  <c r="AT73" i="53"/>
  <c r="Q73" i="53"/>
  <c r="N74" i="57"/>
  <c r="X72" i="53"/>
  <c r="AF72" i="53" s="1"/>
  <c r="AD73" i="53"/>
  <c r="D74" i="53"/>
  <c r="N74" i="53"/>
  <c r="AH57" i="69"/>
  <c r="AD73" i="57"/>
  <c r="S13" i="50"/>
  <c r="S12" i="50"/>
  <c r="I74" i="53"/>
  <c r="G74" i="53"/>
  <c r="F74" i="53"/>
  <c r="P74" i="53"/>
  <c r="K74" i="53"/>
  <c r="L74" i="53"/>
  <c r="AK73" i="52" a="1"/>
  <c r="AK73" i="52" s="1"/>
  <c r="B75" i="53" s="1"/>
  <c r="O75" i="53" s="1"/>
  <c r="C74" i="53"/>
  <c r="E74" i="53"/>
  <c r="H74" i="53"/>
  <c r="J74" i="53"/>
  <c r="I14" i="50"/>
  <c r="B14" i="50"/>
  <c r="R14" i="50" s="1"/>
  <c r="H14" i="50"/>
  <c r="N14" i="50"/>
  <c r="F14" i="50"/>
  <c r="L14" i="50"/>
  <c r="M14" i="50"/>
  <c r="A14" i="50"/>
  <c r="G14" i="50"/>
  <c r="K14" i="50"/>
  <c r="J14" i="50"/>
  <c r="J74" i="57"/>
  <c r="G74" i="57"/>
  <c r="D74" i="57"/>
  <c r="K74" i="57"/>
  <c r="F74" i="57"/>
  <c r="E74" i="57"/>
  <c r="I74" i="57"/>
  <c r="P74" i="57"/>
  <c r="C74" i="57"/>
  <c r="M74" i="57" s="1"/>
  <c r="H74" i="57"/>
  <c r="Q73" i="57"/>
  <c r="T72" i="57"/>
  <c r="AK73" i="55" a="1"/>
  <c r="AK73" i="55" s="1"/>
  <c r="B75" i="57" s="1"/>
  <c r="AN59" i="67" a="1"/>
  <c r="AN59" i="67" s="1"/>
  <c r="B60" i="69"/>
  <c r="L60" i="69" s="1"/>
  <c r="P58" i="69"/>
  <c r="D58" i="69"/>
  <c r="E58" i="69" s="1"/>
  <c r="F58" i="69" s="1"/>
  <c r="G58" i="69" s="1"/>
  <c r="H58" i="69" s="1"/>
  <c r="I58" i="69" s="1"/>
  <c r="J58" i="69" s="1"/>
  <c r="K58" i="69" s="1"/>
  <c r="M58" i="69" s="1"/>
  <c r="N58" i="69"/>
  <c r="AF58" i="69" s="1"/>
  <c r="AE57" i="69"/>
  <c r="Q57" i="69"/>
  <c r="R57" i="69"/>
  <c r="S57" i="69" s="1"/>
  <c r="Y57" i="69" s="1"/>
  <c r="AB57" i="69" s="1"/>
  <c r="AC57" i="69" s="1"/>
  <c r="AD57" i="69" s="1"/>
  <c r="U57" i="69"/>
  <c r="C59" i="69"/>
  <c r="AO59" i="69" s="1"/>
  <c r="O59" i="69"/>
  <c r="P57" i="65"/>
  <c r="N57" i="65"/>
  <c r="D57" i="65"/>
  <c r="E57" i="65" s="1"/>
  <c r="F57" i="65" s="1"/>
  <c r="G57" i="65" s="1"/>
  <c r="H57" i="65" s="1"/>
  <c r="I57" i="65" s="1"/>
  <c r="J57" i="65" s="1"/>
  <c r="K57" i="65" s="1"/>
  <c r="M57" i="65" s="1"/>
  <c r="AN58" i="63" a="1"/>
  <c r="AN58" i="63" s="1"/>
  <c r="B59" i="65"/>
  <c r="L59" i="65" s="1"/>
  <c r="U56" i="65"/>
  <c r="R56" i="65"/>
  <c r="S56" i="65" s="1"/>
  <c r="Y56" i="65" s="1"/>
  <c r="AB56" i="65" s="1"/>
  <c r="AC56" i="65" s="1"/>
  <c r="AD56" i="65" s="1"/>
  <c r="Q56" i="65"/>
  <c r="C58" i="65"/>
  <c r="AM58" i="65" s="1"/>
  <c r="O58" i="65"/>
  <c r="AL14" i="59" a="1"/>
  <c r="AL14" i="59" s="1"/>
  <c r="E15" i="50" s="1"/>
  <c r="AK15" i="50" s="1"/>
  <c r="AK16" i="59" a="1"/>
  <c r="AK16" i="59" s="1"/>
  <c r="AK17" i="59" s="1" a="1"/>
  <c r="AK17" i="59" s="1"/>
  <c r="P12" i="50" l="1"/>
  <c r="X73" i="53"/>
  <c r="AF73" i="53" s="1"/>
  <c r="AF57" i="65"/>
  <c r="AE57" i="65"/>
  <c r="AE74" i="57"/>
  <c r="R74" i="57"/>
  <c r="AE74" i="53"/>
  <c r="R74" i="53"/>
  <c r="AB71" i="57"/>
  <c r="AF71" i="57"/>
  <c r="AG57" i="69"/>
  <c r="AG56" i="65"/>
  <c r="C12" i="50"/>
  <c r="O15" i="50"/>
  <c r="Q14" i="50"/>
  <c r="P14" i="50" s="1"/>
  <c r="AX58" i="69"/>
  <c r="AA71" i="57"/>
  <c r="X72" i="57"/>
  <c r="O75" i="57"/>
  <c r="AG75" i="57" s="1"/>
  <c r="L75" i="57"/>
  <c r="AJ74" i="57"/>
  <c r="AC74" i="57"/>
  <c r="AP74" i="57"/>
  <c r="AH57" i="65"/>
  <c r="AV57" i="65"/>
  <c r="AH74" i="53"/>
  <c r="AC74" i="53"/>
  <c r="AT74" i="53"/>
  <c r="AG74" i="53"/>
  <c r="AB72" i="53"/>
  <c r="AA72" i="53"/>
  <c r="N75" i="57"/>
  <c r="E75" i="53"/>
  <c r="N75" i="53"/>
  <c r="AH58" i="69"/>
  <c r="AJ13" i="50"/>
  <c r="C13" i="50"/>
  <c r="AJ12" i="50"/>
  <c r="AD74" i="57"/>
  <c r="AD74" i="53"/>
  <c r="Q74" i="53"/>
  <c r="W12" i="50"/>
  <c r="V12" i="50"/>
  <c r="V13" i="50"/>
  <c r="S14" i="50"/>
  <c r="Z12" i="50"/>
  <c r="F75" i="53"/>
  <c r="H75" i="53"/>
  <c r="P75" i="53"/>
  <c r="J75" i="53"/>
  <c r="I75" i="53"/>
  <c r="D75" i="53"/>
  <c r="G75" i="53"/>
  <c r="K75" i="53"/>
  <c r="L75" i="53"/>
  <c r="AK74" i="52" a="1"/>
  <c r="AK74" i="52" s="1"/>
  <c r="B76" i="53" s="1"/>
  <c r="O76" i="53" s="1"/>
  <c r="C75" i="53"/>
  <c r="K15" i="50"/>
  <c r="B15" i="50"/>
  <c r="R15" i="50" s="1"/>
  <c r="A15" i="50"/>
  <c r="F15" i="50"/>
  <c r="M15" i="50"/>
  <c r="H15" i="50"/>
  <c r="I15" i="50"/>
  <c r="J15" i="50"/>
  <c r="N15" i="50"/>
  <c r="G15" i="50"/>
  <c r="L15" i="50"/>
  <c r="P75" i="57"/>
  <c r="D75" i="57"/>
  <c r="K75" i="57"/>
  <c r="I75" i="57"/>
  <c r="H75" i="57"/>
  <c r="G75" i="57"/>
  <c r="E75" i="57"/>
  <c r="C75" i="57"/>
  <c r="M75" i="57" s="1"/>
  <c r="F75" i="57"/>
  <c r="J75" i="57"/>
  <c r="W13" i="50"/>
  <c r="X13" i="50" s="1"/>
  <c r="T13" i="50" s="1"/>
  <c r="Z13" i="50"/>
  <c r="T73" i="57"/>
  <c r="Q74" i="57"/>
  <c r="AK74" i="55" a="1"/>
  <c r="AK74" i="55" s="1"/>
  <c r="B76" i="57" s="1"/>
  <c r="AN60" i="67" a="1"/>
  <c r="AN60" i="67" s="1"/>
  <c r="B61" i="69"/>
  <c r="L61" i="69" s="1"/>
  <c r="P59" i="69"/>
  <c r="D59" i="69"/>
  <c r="E59" i="69" s="1"/>
  <c r="F59" i="69" s="1"/>
  <c r="G59" i="69" s="1"/>
  <c r="H59" i="69" s="1"/>
  <c r="I59" i="69" s="1"/>
  <c r="J59" i="69" s="1"/>
  <c r="K59" i="69" s="1"/>
  <c r="M59" i="69" s="1"/>
  <c r="N59" i="69"/>
  <c r="AF59" i="69" s="1"/>
  <c r="AE58" i="69"/>
  <c r="U58" i="69"/>
  <c r="Q58" i="69"/>
  <c r="R58" i="69"/>
  <c r="S58" i="69" s="1"/>
  <c r="Y58" i="69" s="1"/>
  <c r="AB58" i="69" s="1"/>
  <c r="AC58" i="69" s="1"/>
  <c r="AD58" i="69" s="1"/>
  <c r="C60" i="69"/>
  <c r="AO60" i="69" s="1"/>
  <c r="O60" i="69"/>
  <c r="U57" i="65"/>
  <c r="Q57" i="65"/>
  <c r="R57" i="65"/>
  <c r="S57" i="65" s="1"/>
  <c r="Y57" i="65" s="1"/>
  <c r="AB57" i="65" s="1"/>
  <c r="AC57" i="65" s="1"/>
  <c r="AD57" i="65" s="1"/>
  <c r="N58" i="65"/>
  <c r="P58" i="65"/>
  <c r="D58" i="65"/>
  <c r="E58" i="65" s="1"/>
  <c r="F58" i="65" s="1"/>
  <c r="G58" i="65" s="1"/>
  <c r="H58" i="65" s="1"/>
  <c r="I58" i="65" s="1"/>
  <c r="J58" i="65" s="1"/>
  <c r="K58" i="65" s="1"/>
  <c r="M58" i="65" s="1"/>
  <c r="C59" i="65"/>
  <c r="AM59" i="65" s="1"/>
  <c r="O59" i="65"/>
  <c r="AN59" i="63" a="1"/>
  <c r="AN59" i="63" s="1"/>
  <c r="B60" i="65"/>
  <c r="L60" i="65" s="1"/>
  <c r="AL15" i="59" a="1"/>
  <c r="AL15" i="59" s="1"/>
  <c r="E16" i="50" s="1"/>
  <c r="AK16" i="50" s="1"/>
  <c r="AK18" i="59" a="1"/>
  <c r="AK18" i="59" s="1"/>
  <c r="AB73" i="53" l="1"/>
  <c r="AA73" i="53"/>
  <c r="AF58" i="65"/>
  <c r="AE58" i="65"/>
  <c r="AE75" i="57"/>
  <c r="R75" i="57"/>
  <c r="AE75" i="53"/>
  <c r="R75" i="53"/>
  <c r="AA72" i="57"/>
  <c r="AF72" i="57"/>
  <c r="AG58" i="69"/>
  <c r="AG57" i="65"/>
  <c r="X73" i="57"/>
  <c r="O16" i="50"/>
  <c r="Q15" i="50"/>
  <c r="P15" i="50" s="1"/>
  <c r="AX59" i="69"/>
  <c r="AB72" i="57"/>
  <c r="O76" i="57"/>
  <c r="AG76" i="57" s="1"/>
  <c r="L76" i="57"/>
  <c r="AJ75" i="57"/>
  <c r="AC75" i="57"/>
  <c r="AP75" i="57"/>
  <c r="AH58" i="65"/>
  <c r="AV58" i="65"/>
  <c r="AG75" i="53"/>
  <c r="AH75" i="53"/>
  <c r="AC75" i="53"/>
  <c r="AT75" i="53"/>
  <c r="N76" i="57"/>
  <c r="N76" i="53"/>
  <c r="AH59" i="69"/>
  <c r="AJ14" i="50"/>
  <c r="C14" i="50"/>
  <c r="AD75" i="57"/>
  <c r="AD75" i="53"/>
  <c r="X74" i="53"/>
  <c r="AF74" i="53" s="1"/>
  <c r="V14" i="50"/>
  <c r="S15" i="50"/>
  <c r="Q75" i="53"/>
  <c r="H76" i="53"/>
  <c r="P76" i="53"/>
  <c r="E76" i="53"/>
  <c r="K76" i="53"/>
  <c r="C76" i="53"/>
  <c r="I76" i="53"/>
  <c r="D76" i="53"/>
  <c r="F76" i="53"/>
  <c r="L76" i="53"/>
  <c r="AK75" i="52" a="1"/>
  <c r="AK75" i="52" s="1"/>
  <c r="B77" i="53" s="1"/>
  <c r="O77" i="53" s="1"/>
  <c r="G76" i="53"/>
  <c r="J76" i="53"/>
  <c r="B16" i="50"/>
  <c r="R16" i="50" s="1"/>
  <c r="M16" i="50"/>
  <c r="L16" i="50"/>
  <c r="K16" i="50"/>
  <c r="G16" i="50"/>
  <c r="N16" i="50"/>
  <c r="A16" i="50"/>
  <c r="F16" i="50"/>
  <c r="H16" i="50"/>
  <c r="I16" i="50"/>
  <c r="J16" i="50"/>
  <c r="F76" i="57"/>
  <c r="K76" i="57"/>
  <c r="I76" i="57"/>
  <c r="C76" i="57"/>
  <c r="M76" i="57" s="1"/>
  <c r="P76" i="57"/>
  <c r="H76" i="57"/>
  <c r="D76" i="57"/>
  <c r="G76" i="57"/>
  <c r="E76" i="57"/>
  <c r="J76" i="57"/>
  <c r="Z14" i="50"/>
  <c r="W14" i="50"/>
  <c r="X14" i="50" s="1"/>
  <c r="T14" i="50" s="1"/>
  <c r="T74" i="57"/>
  <c r="Q75" i="57"/>
  <c r="AK75" i="55" a="1"/>
  <c r="AK75" i="55" s="1"/>
  <c r="B77" i="57" s="1"/>
  <c r="D60" i="69"/>
  <c r="E60" i="69" s="1"/>
  <c r="F60" i="69" s="1"/>
  <c r="G60" i="69" s="1"/>
  <c r="H60" i="69" s="1"/>
  <c r="I60" i="69" s="1"/>
  <c r="J60" i="69" s="1"/>
  <c r="K60" i="69" s="1"/>
  <c r="M60" i="69" s="1"/>
  <c r="N60" i="69"/>
  <c r="AF60" i="69" s="1"/>
  <c r="P60" i="69"/>
  <c r="AE59" i="69"/>
  <c r="R59" i="69"/>
  <c r="S59" i="69" s="1"/>
  <c r="Y59" i="69" s="1"/>
  <c r="AB59" i="69" s="1"/>
  <c r="AC59" i="69" s="1"/>
  <c r="AD59" i="69" s="1"/>
  <c r="Q59" i="69"/>
  <c r="U59" i="69"/>
  <c r="C61" i="69"/>
  <c r="AO61" i="69" s="1"/>
  <c r="O61" i="69"/>
  <c r="AN61" i="67" a="1"/>
  <c r="AN61" i="67" s="1"/>
  <c r="B62" i="69"/>
  <c r="L62" i="69" s="1"/>
  <c r="AN60" i="63" a="1"/>
  <c r="AN60" i="63" s="1"/>
  <c r="B61" i="65"/>
  <c r="L61" i="65" s="1"/>
  <c r="U58" i="65"/>
  <c r="Q58" i="65"/>
  <c r="R58" i="65"/>
  <c r="S58" i="65" s="1"/>
  <c r="Y58" i="65" s="1"/>
  <c r="AB58" i="65" s="1"/>
  <c r="AC58" i="65" s="1"/>
  <c r="AD58" i="65" s="1"/>
  <c r="P59" i="65"/>
  <c r="D59" i="65"/>
  <c r="E59" i="65" s="1"/>
  <c r="F59" i="65" s="1"/>
  <c r="G59" i="65" s="1"/>
  <c r="H59" i="65" s="1"/>
  <c r="I59" i="65" s="1"/>
  <c r="J59" i="65" s="1"/>
  <c r="K59" i="65" s="1"/>
  <c r="M59" i="65" s="1"/>
  <c r="N59" i="65"/>
  <c r="C60" i="65"/>
  <c r="AM60" i="65" s="1"/>
  <c r="O60" i="65"/>
  <c r="AL16" i="59" a="1"/>
  <c r="AL16" i="59" s="1"/>
  <c r="E17" i="50" s="1"/>
  <c r="AK17" i="50" s="1"/>
  <c r="AK19" i="59" a="1"/>
  <c r="AK19" i="59" s="1"/>
  <c r="X75" i="53" l="1"/>
  <c r="AB75" i="53" s="1"/>
  <c r="AF59" i="65"/>
  <c r="AE59" i="65"/>
  <c r="AE76" i="57"/>
  <c r="R76" i="57"/>
  <c r="AE76" i="53"/>
  <c r="R76" i="53"/>
  <c r="AB73" i="57"/>
  <c r="AF73" i="57"/>
  <c r="AG59" i="69"/>
  <c r="AG58" i="65"/>
  <c r="AA73" i="57"/>
  <c r="Q16" i="50"/>
  <c r="P16" i="50" s="1"/>
  <c r="AX60" i="69"/>
  <c r="L77" i="57"/>
  <c r="O77" i="57"/>
  <c r="AG77" i="57" s="1"/>
  <c r="O17" i="50"/>
  <c r="X74" i="57"/>
  <c r="AC76" i="57"/>
  <c r="AJ76" i="57"/>
  <c r="AP76" i="57"/>
  <c r="AH59" i="65"/>
  <c r="AV59" i="65"/>
  <c r="U14" i="50"/>
  <c r="AD14" i="50" s="1"/>
  <c r="AL14" i="50" s="1"/>
  <c r="AC76" i="53"/>
  <c r="AH76" i="53"/>
  <c r="AT76" i="53"/>
  <c r="AB74" i="53"/>
  <c r="AA74" i="53"/>
  <c r="AG76" i="53"/>
  <c r="N77" i="57"/>
  <c r="C77" i="53"/>
  <c r="N77" i="53"/>
  <c r="AH60" i="69"/>
  <c r="AJ15" i="50"/>
  <c r="C15" i="50"/>
  <c r="AD76" i="57"/>
  <c r="AD76" i="53"/>
  <c r="V15" i="50"/>
  <c r="S16" i="50"/>
  <c r="Q76" i="53"/>
  <c r="L77" i="53"/>
  <c r="I77" i="53"/>
  <c r="J77" i="53"/>
  <c r="D77" i="53"/>
  <c r="K77" i="53"/>
  <c r="F77" i="53"/>
  <c r="G77" i="53"/>
  <c r="AK76" i="52" a="1"/>
  <c r="AK76" i="52" s="1"/>
  <c r="B78" i="53" s="1"/>
  <c r="O78" i="53" s="1"/>
  <c r="P77" i="53"/>
  <c r="H77" i="53"/>
  <c r="E77" i="53"/>
  <c r="M17" i="50"/>
  <c r="K17" i="50"/>
  <c r="H17" i="50"/>
  <c r="N17" i="50"/>
  <c r="B17" i="50"/>
  <c r="R17" i="50" s="1"/>
  <c r="L17" i="50"/>
  <c r="G17" i="50"/>
  <c r="I17" i="50"/>
  <c r="A17" i="50"/>
  <c r="Q17" i="50" s="1"/>
  <c r="P17" i="50" s="1"/>
  <c r="J17" i="50"/>
  <c r="F17" i="50"/>
  <c r="K77" i="57"/>
  <c r="G77" i="57"/>
  <c r="E77" i="57"/>
  <c r="P77" i="57"/>
  <c r="D77" i="57"/>
  <c r="C77" i="57"/>
  <c r="M77" i="57" s="1"/>
  <c r="I77" i="57"/>
  <c r="H77" i="57"/>
  <c r="F77" i="57"/>
  <c r="J77" i="57"/>
  <c r="T75" i="57"/>
  <c r="Q76" i="57"/>
  <c r="Z15" i="50"/>
  <c r="W15" i="50"/>
  <c r="X15" i="50" s="1"/>
  <c r="T15" i="50" s="1"/>
  <c r="AK76" i="55" a="1"/>
  <c r="AK76" i="55" s="1"/>
  <c r="B78" i="57" s="1"/>
  <c r="AN62" i="67" a="1"/>
  <c r="AN62" i="67" s="1"/>
  <c r="B63" i="69"/>
  <c r="L63" i="69" s="1"/>
  <c r="AE60" i="69"/>
  <c r="R60" i="69"/>
  <c r="S60" i="69" s="1"/>
  <c r="Y60" i="69" s="1"/>
  <c r="AB60" i="69" s="1"/>
  <c r="AC60" i="69" s="1"/>
  <c r="AD60" i="69" s="1"/>
  <c r="U60" i="69"/>
  <c r="Q60" i="69"/>
  <c r="C62" i="69"/>
  <c r="AO62" i="69" s="1"/>
  <c r="O62" i="69"/>
  <c r="N61" i="69"/>
  <c r="AF61" i="69" s="1"/>
  <c r="D61" i="69"/>
  <c r="E61" i="69" s="1"/>
  <c r="F61" i="69" s="1"/>
  <c r="G61" i="69" s="1"/>
  <c r="H61" i="69" s="1"/>
  <c r="I61" i="69" s="1"/>
  <c r="J61" i="69" s="1"/>
  <c r="K61" i="69" s="1"/>
  <c r="M61" i="69" s="1"/>
  <c r="P61" i="69"/>
  <c r="P60" i="65"/>
  <c r="D60" i="65"/>
  <c r="E60" i="65" s="1"/>
  <c r="F60" i="65" s="1"/>
  <c r="G60" i="65" s="1"/>
  <c r="H60" i="65" s="1"/>
  <c r="I60" i="65" s="1"/>
  <c r="J60" i="65" s="1"/>
  <c r="K60" i="65" s="1"/>
  <c r="M60" i="65" s="1"/>
  <c r="N60" i="65"/>
  <c r="C61" i="65"/>
  <c r="AM61" i="65" s="1"/>
  <c r="O61" i="65"/>
  <c r="U59" i="65"/>
  <c r="Q59" i="65"/>
  <c r="R59" i="65"/>
  <c r="S59" i="65" s="1"/>
  <c r="Y59" i="65" s="1"/>
  <c r="AB59" i="65" s="1"/>
  <c r="AC59" i="65" s="1"/>
  <c r="AD59" i="65" s="1"/>
  <c r="AN61" i="63" a="1"/>
  <c r="AN61" i="63" s="1"/>
  <c r="B62" i="65"/>
  <c r="L62" i="65" s="1"/>
  <c r="AL17" i="59" a="1"/>
  <c r="AL17" i="59" s="1"/>
  <c r="E18" i="50" s="1"/>
  <c r="AK18" i="50" s="1"/>
  <c r="AK20" i="59" a="1"/>
  <c r="AK20" i="59" s="1"/>
  <c r="AK21" i="59" s="1" a="1"/>
  <c r="AK21" i="59" s="1"/>
  <c r="AK22" i="59" s="1" a="1"/>
  <c r="AK22" i="59" s="1"/>
  <c r="AK23" i="59" s="1" a="1"/>
  <c r="AK23" i="59" s="1"/>
  <c r="AK24" i="59" s="1" a="1"/>
  <c r="AK24" i="59" s="1"/>
  <c r="AK25" i="59" s="1" a="1"/>
  <c r="AK25" i="59" s="1"/>
  <c r="AK26" i="59" s="1" a="1"/>
  <c r="AK26" i="59" s="1"/>
  <c r="AK27" i="59" s="1" a="1"/>
  <c r="AK27" i="59" s="1"/>
  <c r="AK28" i="59" s="1" a="1"/>
  <c r="AK28" i="59" s="1"/>
  <c r="AK29" i="59" s="1" a="1"/>
  <c r="AK29" i="59" s="1"/>
  <c r="AK30" i="59" s="1" a="1"/>
  <c r="AK30" i="59" s="1"/>
  <c r="AK31" i="59" s="1" a="1"/>
  <c r="AK31" i="59" s="1"/>
  <c r="AK32" i="59" s="1" a="1"/>
  <c r="AK32" i="59" s="1"/>
  <c r="AK33" i="59" s="1" a="1"/>
  <c r="AK33" i="59" s="1"/>
  <c r="AK34" i="59" s="1" a="1"/>
  <c r="AK34" i="59" s="1"/>
  <c r="AK35" i="59" s="1" a="1"/>
  <c r="AK35" i="59" s="1"/>
  <c r="AK36" i="59" s="1" a="1"/>
  <c r="AK36" i="59" s="1"/>
  <c r="AK37" i="59" s="1" a="1"/>
  <c r="AK37" i="59" s="1"/>
  <c r="AK38" i="59" s="1" a="1"/>
  <c r="AK38" i="59" s="1"/>
  <c r="AK39" i="59" s="1" a="1"/>
  <c r="AK39" i="59" s="1"/>
  <c r="AK40" i="59" s="1" a="1"/>
  <c r="AK40" i="59" s="1"/>
  <c r="AK41" i="59" s="1" a="1"/>
  <c r="AK41" i="59" s="1"/>
  <c r="AK42" i="59" s="1" a="1"/>
  <c r="AK42" i="59" s="1"/>
  <c r="AK43" i="59" s="1" a="1"/>
  <c r="AK43" i="59" s="1"/>
  <c r="AK44" i="59" s="1" a="1"/>
  <c r="AK44" i="59" s="1"/>
  <c r="AK45" i="59" s="1" a="1"/>
  <c r="AK45" i="59" s="1"/>
  <c r="AK46" i="59" s="1" a="1"/>
  <c r="AK46" i="59" s="1"/>
  <c r="AK47" i="59" s="1" a="1"/>
  <c r="AK47" i="59" s="1"/>
  <c r="AK48" i="59" s="1" a="1"/>
  <c r="AK48" i="59" s="1"/>
  <c r="AK49" i="59" s="1" a="1"/>
  <c r="AK49" i="59" s="1"/>
  <c r="AK50" i="59" s="1" a="1"/>
  <c r="AK50" i="59" s="1"/>
  <c r="AK51" i="59" s="1" a="1"/>
  <c r="AK51" i="59" s="1"/>
  <c r="AK52" i="59" s="1" a="1"/>
  <c r="AK52" i="59" s="1"/>
  <c r="AK53" i="59" s="1" a="1"/>
  <c r="AK53" i="59" s="1"/>
  <c r="AK54" i="59" s="1" a="1"/>
  <c r="AK54" i="59" s="1"/>
  <c r="AK55" i="59" s="1" a="1"/>
  <c r="AK55" i="59" s="1"/>
  <c r="AK56" i="59" s="1" a="1"/>
  <c r="AK56" i="59" s="1"/>
  <c r="AK57" i="59" s="1" a="1"/>
  <c r="AK57" i="59" s="1"/>
  <c r="AK58" i="59" s="1" a="1"/>
  <c r="AK58" i="59" s="1"/>
  <c r="AK59" i="59" s="1" a="1"/>
  <c r="AK59" i="59" s="1"/>
  <c r="AK60" i="59" s="1" a="1"/>
  <c r="AK60" i="59" s="1"/>
  <c r="AK61" i="59" s="1" a="1"/>
  <c r="AK61" i="59" s="1"/>
  <c r="AK62" i="59" s="1" a="1"/>
  <c r="AK62" i="59" s="1"/>
  <c r="AK63" i="59" s="1" a="1"/>
  <c r="AK63" i="59" s="1"/>
  <c r="AK64" i="59" s="1" a="1"/>
  <c r="AK64" i="59" s="1"/>
  <c r="AK65" i="59" s="1" a="1"/>
  <c r="AK65" i="59" s="1"/>
  <c r="AK66" i="59" s="1" a="1"/>
  <c r="AK66" i="59" s="1"/>
  <c r="AK67" i="59" s="1" a="1"/>
  <c r="AK67" i="59" s="1"/>
  <c r="AK68" i="59" s="1" a="1"/>
  <c r="AK68" i="59" s="1"/>
  <c r="AK69" i="59" s="1" a="1"/>
  <c r="AK69" i="59" s="1"/>
  <c r="AK70" i="59" s="1" a="1"/>
  <c r="AK70" i="59" s="1"/>
  <c r="AK71" i="59" s="1" a="1"/>
  <c r="AK71" i="59" s="1"/>
  <c r="AK72" i="59" s="1" a="1"/>
  <c r="AK72" i="59" s="1"/>
  <c r="AK73" i="59" s="1" a="1"/>
  <c r="AK73" i="59" s="1"/>
  <c r="AK74" i="59" s="1" a="1"/>
  <c r="AK74" i="59" s="1"/>
  <c r="AK75" i="59" s="1" a="1"/>
  <c r="AK75" i="59" s="1"/>
  <c r="AK76" i="59" s="1" a="1"/>
  <c r="AK76" i="59" s="1"/>
  <c r="AK77" i="59" s="1" a="1"/>
  <c r="AK77" i="59" s="1"/>
  <c r="AK78" i="59" s="1" a="1"/>
  <c r="AK78" i="59" s="1"/>
  <c r="AK79" i="59" s="1" a="1"/>
  <c r="AK79" i="59" s="1"/>
  <c r="AK80" i="59" s="1" a="1"/>
  <c r="AK80" i="59" s="1"/>
  <c r="AK81" i="59" s="1" a="1"/>
  <c r="AK81" i="59" s="1"/>
  <c r="AK82" i="59" s="1" a="1"/>
  <c r="AK82" i="59" s="1"/>
  <c r="AK83" i="59" s="1" a="1"/>
  <c r="AK83" i="59" s="1"/>
  <c r="AK84" i="59" s="1" a="1"/>
  <c r="AK84" i="59" s="1"/>
  <c r="AK85" i="59" s="1" a="1"/>
  <c r="AK85" i="59" s="1"/>
  <c r="AK86" i="59" s="1" a="1"/>
  <c r="AK86" i="59" s="1"/>
  <c r="AK87" i="59" s="1" a="1"/>
  <c r="AK87" i="59" s="1"/>
  <c r="AK88" i="59" s="1" a="1"/>
  <c r="AK88" i="59" s="1"/>
  <c r="AK89" i="59" s="1" a="1"/>
  <c r="AK89" i="59" s="1"/>
  <c r="AK90" i="59" s="1" a="1"/>
  <c r="AK90" i="59" s="1"/>
  <c r="AK91" i="59" s="1" a="1"/>
  <c r="AK91" i="59" s="1"/>
  <c r="AK92" i="59" s="1" a="1"/>
  <c r="AK92" i="59" s="1"/>
  <c r="AK93" i="59" s="1" a="1"/>
  <c r="AK93" i="59" s="1"/>
  <c r="AK94" i="59" s="1" a="1"/>
  <c r="AK94" i="59" s="1"/>
  <c r="AK95" i="59" s="1" a="1"/>
  <c r="AK95" i="59" s="1"/>
  <c r="AK96" i="59" s="1" a="1"/>
  <c r="AK96" i="59" s="1"/>
  <c r="AK97" i="59" s="1" a="1"/>
  <c r="AK97" i="59" s="1"/>
  <c r="AK98" i="59" s="1" a="1"/>
  <c r="AK98" i="59" s="1"/>
  <c r="AK99" i="59" s="1" a="1"/>
  <c r="AK99" i="59" s="1"/>
  <c r="AK100" i="59" s="1" a="1"/>
  <c r="AK100" i="59" s="1"/>
  <c r="AK101" i="59" s="1" a="1"/>
  <c r="AK101" i="59" s="1"/>
  <c r="AK102" i="59" s="1" a="1"/>
  <c r="AK102" i="59" s="1"/>
  <c r="AK103" i="59" s="1" a="1"/>
  <c r="AK103" i="59" s="1"/>
  <c r="AK104" i="59" s="1" a="1"/>
  <c r="AK104" i="59" s="1"/>
  <c r="AK105" i="59" s="1" a="1"/>
  <c r="AK105" i="59" s="1"/>
  <c r="AK106" i="59" s="1" a="1"/>
  <c r="AK106" i="59" s="1"/>
  <c r="AK107" i="59" s="1" a="1"/>
  <c r="AK107" i="59" s="1"/>
  <c r="AK108" i="59" s="1" a="1"/>
  <c r="AK108" i="59" s="1"/>
  <c r="AK109" i="59" s="1" a="1"/>
  <c r="AK109" i="59" s="1"/>
  <c r="AK110" i="59" s="1" a="1"/>
  <c r="AK110" i="59" s="1"/>
  <c r="AK111" i="59" s="1" a="1"/>
  <c r="AK111" i="59" s="1"/>
  <c r="AK112" i="59" s="1" a="1"/>
  <c r="AK112" i="59" s="1"/>
  <c r="AK113" i="59" s="1" a="1"/>
  <c r="AK113" i="59" s="1"/>
  <c r="AK114" i="59" s="1" a="1"/>
  <c r="AK114" i="59" s="1"/>
  <c r="AK115" i="59" s="1" a="1"/>
  <c r="AK115" i="59" s="1"/>
  <c r="AK116" i="59" s="1" a="1"/>
  <c r="AK116" i="59" s="1"/>
  <c r="AK117" i="59" s="1" a="1"/>
  <c r="AK117" i="59" s="1"/>
  <c r="AK118" i="59" s="1" a="1"/>
  <c r="AK118" i="59" s="1"/>
  <c r="AK119" i="59" s="1" a="1"/>
  <c r="AK119" i="59" s="1"/>
  <c r="AK120" i="59" s="1" a="1"/>
  <c r="AK120" i="59" s="1"/>
  <c r="AK121" i="59" s="1" a="1"/>
  <c r="AK121" i="59" s="1"/>
  <c r="AK122" i="59" s="1" a="1"/>
  <c r="AK122" i="59" s="1"/>
  <c r="AK123" i="59" s="1" a="1"/>
  <c r="AK123" i="59" s="1"/>
  <c r="AK124" i="59" s="1" a="1"/>
  <c r="AK124" i="59" s="1"/>
  <c r="AK125" i="59" s="1" a="1"/>
  <c r="AK125" i="59" s="1"/>
  <c r="AK126" i="59" s="1" a="1"/>
  <c r="AK126" i="59" s="1"/>
  <c r="AK127" i="59" s="1" a="1"/>
  <c r="AK127" i="59" s="1"/>
  <c r="AK128" i="59" s="1" a="1"/>
  <c r="AK128" i="59" s="1"/>
  <c r="AK129" i="59" s="1" a="1"/>
  <c r="AK129" i="59" s="1"/>
  <c r="AK130" i="59" s="1" a="1"/>
  <c r="AK130" i="59" s="1"/>
  <c r="AK131" i="59" s="1" a="1"/>
  <c r="AK131" i="59" s="1"/>
  <c r="AK132" i="59" s="1" a="1"/>
  <c r="AK132" i="59" s="1"/>
  <c r="AK133" i="59" s="1" a="1"/>
  <c r="AK133" i="59" s="1"/>
  <c r="AK134" i="59" s="1" a="1"/>
  <c r="AK134" i="59" s="1"/>
  <c r="AK135" i="59" s="1" a="1"/>
  <c r="AK135" i="59" s="1"/>
  <c r="AK136" i="59" s="1" a="1"/>
  <c r="AK136" i="59" s="1"/>
  <c r="AK137" i="59" s="1" a="1"/>
  <c r="AK137" i="59" s="1"/>
  <c r="AK138" i="59" s="1" a="1"/>
  <c r="AK138" i="59" s="1"/>
  <c r="AK139" i="59" s="1" a="1"/>
  <c r="AK139" i="59" s="1"/>
  <c r="AK140" i="59" s="1" a="1"/>
  <c r="AK140" i="59" s="1"/>
  <c r="AK141" i="59" s="1" a="1"/>
  <c r="AK141" i="59" s="1"/>
  <c r="AK142" i="59" s="1" a="1"/>
  <c r="AK142" i="59" s="1"/>
  <c r="AK143" i="59" s="1" a="1"/>
  <c r="AK143" i="59" s="1"/>
  <c r="AK144" i="59" s="1" a="1"/>
  <c r="AK144" i="59" s="1"/>
  <c r="AK145" i="59" s="1" a="1"/>
  <c r="AK145" i="59" s="1"/>
  <c r="AK146" i="59" s="1" a="1"/>
  <c r="AK146" i="59" s="1"/>
  <c r="AK147" i="59" s="1" a="1"/>
  <c r="AK147" i="59" s="1"/>
  <c r="AK148" i="59" s="1" a="1"/>
  <c r="AK148" i="59" s="1"/>
  <c r="AK149" i="59" s="1" a="1"/>
  <c r="AK149" i="59" s="1"/>
  <c r="AK150" i="59" s="1" a="1"/>
  <c r="AK150" i="59" s="1"/>
  <c r="AK151" i="59" s="1" a="1"/>
  <c r="AK151" i="59" s="1"/>
  <c r="AK152" i="59" s="1" a="1"/>
  <c r="AK152" i="59" s="1"/>
  <c r="AK153" i="59" s="1" a="1"/>
  <c r="AK153" i="59" s="1"/>
  <c r="AK154" i="59" s="1" a="1"/>
  <c r="AK154" i="59" s="1"/>
  <c r="AK155" i="59" s="1" a="1"/>
  <c r="AK155" i="59" s="1"/>
  <c r="AK156" i="59" s="1" a="1"/>
  <c r="AK156" i="59" s="1"/>
  <c r="AK157" i="59" s="1" a="1"/>
  <c r="AK157" i="59" s="1"/>
  <c r="AK158" i="59" s="1" a="1"/>
  <c r="AK158" i="59" s="1"/>
  <c r="AK159" i="59" s="1" a="1"/>
  <c r="AK159" i="59" s="1"/>
  <c r="AK160" i="59" s="1" a="1"/>
  <c r="AK160" i="59" s="1"/>
  <c r="AK161" i="59" s="1" a="1"/>
  <c r="AK161" i="59" s="1"/>
  <c r="AK162" i="59" s="1" a="1"/>
  <c r="AK162" i="59" s="1"/>
  <c r="AK163" i="59" s="1" a="1"/>
  <c r="AK163" i="59" s="1"/>
  <c r="AK164" i="59" s="1" a="1"/>
  <c r="AK164" i="59" s="1"/>
  <c r="AK165" i="59" s="1" a="1"/>
  <c r="AK165" i="59" s="1"/>
  <c r="AK166" i="59" s="1" a="1"/>
  <c r="AK166" i="59" s="1"/>
  <c r="AK167" i="59" s="1" a="1"/>
  <c r="AK167" i="59" s="1"/>
  <c r="AK168" i="59" s="1" a="1"/>
  <c r="AK168" i="59" s="1"/>
  <c r="AK169" i="59" s="1" a="1"/>
  <c r="AK169" i="59" s="1"/>
  <c r="AK170" i="59" s="1" a="1"/>
  <c r="AK170" i="59" s="1"/>
  <c r="AK171" i="59" s="1" a="1"/>
  <c r="AK171" i="59" s="1"/>
  <c r="AK172" i="59" s="1" a="1"/>
  <c r="AK172" i="59" s="1"/>
  <c r="AK173" i="59" s="1" a="1"/>
  <c r="AK173" i="59" s="1"/>
  <c r="AK174" i="59" s="1" a="1"/>
  <c r="AK174" i="59" s="1"/>
  <c r="AK175" i="59" s="1" a="1"/>
  <c r="AK175" i="59" s="1"/>
  <c r="AK176" i="59" s="1" a="1"/>
  <c r="AK176" i="59" s="1"/>
  <c r="AK177" i="59" s="1" a="1"/>
  <c r="AK177" i="59" s="1"/>
  <c r="AK178" i="59" s="1" a="1"/>
  <c r="AK178" i="59" s="1"/>
  <c r="AK179" i="59" s="1" a="1"/>
  <c r="AK179" i="59" s="1"/>
  <c r="AK180" i="59" s="1" a="1"/>
  <c r="AK180" i="59" s="1"/>
  <c r="AK181" i="59" s="1" a="1"/>
  <c r="AK181" i="59" s="1"/>
  <c r="AK182" i="59" s="1" a="1"/>
  <c r="AK182" i="59" s="1"/>
  <c r="AK183" i="59" s="1" a="1"/>
  <c r="AK183" i="59" s="1"/>
  <c r="AK184" i="59" s="1" a="1"/>
  <c r="AK184" i="59" s="1"/>
  <c r="AK185" i="59" s="1" a="1"/>
  <c r="AK185" i="59" s="1"/>
  <c r="AK186" i="59" s="1" a="1"/>
  <c r="AK186" i="59" s="1"/>
  <c r="AK187" i="59" s="1" a="1"/>
  <c r="AK187" i="59" s="1"/>
  <c r="AK188" i="59" s="1" a="1"/>
  <c r="AK188" i="59" s="1"/>
  <c r="AK189" i="59" s="1" a="1"/>
  <c r="AK189" i="59" s="1"/>
  <c r="AK190" i="59" s="1" a="1"/>
  <c r="AK190" i="59" s="1"/>
  <c r="AK191" i="59" s="1" a="1"/>
  <c r="AK191" i="59" s="1"/>
  <c r="AK192" i="59" s="1" a="1"/>
  <c r="AK192" i="59" s="1"/>
  <c r="AK193" i="59" s="1" a="1"/>
  <c r="AK193" i="59" s="1"/>
  <c r="AK194" i="59" s="1" a="1"/>
  <c r="AK194" i="59" s="1"/>
  <c r="AK195" i="59" s="1" a="1"/>
  <c r="AK195" i="59" s="1"/>
  <c r="AK196" i="59" s="1" a="1"/>
  <c r="AK196" i="59" s="1"/>
  <c r="AK197" i="59" s="1" a="1"/>
  <c r="AK197" i="59" s="1"/>
  <c r="AK198" i="59" s="1" a="1"/>
  <c r="AK198" i="59" s="1"/>
  <c r="AK199" i="59" s="1" a="1"/>
  <c r="AK199" i="59" s="1"/>
  <c r="AK200" i="59" s="1" a="1"/>
  <c r="AK200" i="59" s="1"/>
  <c r="AK201" i="59" s="1" a="1"/>
  <c r="AK201" i="59" s="1"/>
  <c r="AK202" i="59" s="1" a="1"/>
  <c r="AK202" i="59" s="1"/>
  <c r="AK203" i="59" s="1" a="1"/>
  <c r="AK203" i="59" s="1"/>
  <c r="AK204" i="59" s="1" a="1"/>
  <c r="AK204" i="59" s="1"/>
  <c r="AK205" i="59" s="1" a="1"/>
  <c r="AK205" i="59" s="1"/>
  <c r="AK206" i="59" s="1" a="1"/>
  <c r="AK206" i="59" s="1"/>
  <c r="AK207" i="59" s="1" a="1"/>
  <c r="AK207" i="59" s="1"/>
  <c r="AK208" i="59" s="1" a="1"/>
  <c r="AK208" i="59" s="1"/>
  <c r="AK209" i="59" s="1" a="1"/>
  <c r="AK209" i="59" s="1"/>
  <c r="AK210" i="59" s="1" a="1"/>
  <c r="AK210" i="59" s="1"/>
  <c r="AK211" i="59" s="1" a="1"/>
  <c r="AK211" i="59" s="1"/>
  <c r="AK212" i="59" s="1" a="1"/>
  <c r="AK212" i="59" s="1"/>
  <c r="AK213" i="59" s="1" a="1"/>
  <c r="AK213" i="59" s="1"/>
  <c r="AK214" i="59" s="1" a="1"/>
  <c r="AK214" i="59" s="1"/>
  <c r="AK215" i="59" s="1" a="1"/>
  <c r="AK215" i="59" s="1"/>
  <c r="AK216" i="59" s="1" a="1"/>
  <c r="AK216" i="59" s="1"/>
  <c r="AK217" i="59" s="1" a="1"/>
  <c r="AK217" i="59" s="1"/>
  <c r="AK218" i="59" s="1" a="1"/>
  <c r="AK218" i="59" s="1"/>
  <c r="AK219" i="59" s="1" a="1"/>
  <c r="AK219" i="59" s="1"/>
  <c r="AK220" i="59" s="1" a="1"/>
  <c r="AK220" i="59" s="1"/>
  <c r="AK221" i="59" s="1" a="1"/>
  <c r="AK221" i="59" s="1"/>
  <c r="AK222" i="59" s="1" a="1"/>
  <c r="AK222" i="59" s="1"/>
  <c r="AK223" i="59" s="1" a="1"/>
  <c r="AK223" i="59" s="1"/>
  <c r="AK224" i="59" s="1" a="1"/>
  <c r="AK224" i="59" s="1"/>
  <c r="AK225" i="59" s="1" a="1"/>
  <c r="AK225" i="59" s="1"/>
  <c r="AK226" i="59" s="1" a="1"/>
  <c r="AK226" i="59" s="1"/>
  <c r="AK227" i="59" s="1" a="1"/>
  <c r="AK227" i="59" s="1"/>
  <c r="AK228" i="59" s="1" a="1"/>
  <c r="AK228" i="59" s="1"/>
  <c r="AK229" i="59" s="1" a="1"/>
  <c r="AK229" i="59" s="1"/>
  <c r="AK230" i="59" s="1" a="1"/>
  <c r="AK230" i="59" s="1"/>
  <c r="AK231" i="59" s="1" a="1"/>
  <c r="AK231" i="59" s="1"/>
  <c r="AK232" i="59" s="1" a="1"/>
  <c r="AK232" i="59" s="1"/>
  <c r="AK233" i="59" s="1" a="1"/>
  <c r="AK233" i="59" s="1"/>
  <c r="AK234" i="59" s="1" a="1"/>
  <c r="AK234" i="59" s="1"/>
  <c r="AK235" i="59" s="1" a="1"/>
  <c r="AK235" i="59" s="1"/>
  <c r="AK236" i="59" s="1" a="1"/>
  <c r="AK236" i="59" s="1"/>
  <c r="AK237" i="59" s="1" a="1"/>
  <c r="AK237" i="59" s="1"/>
  <c r="AK238" i="59" s="1" a="1"/>
  <c r="AK238" i="59" s="1"/>
  <c r="AK239" i="59" s="1" a="1"/>
  <c r="AK239" i="59" s="1"/>
  <c r="AK240" i="59" s="1" a="1"/>
  <c r="AK240" i="59" s="1"/>
  <c r="AK241" i="59" s="1" a="1"/>
  <c r="AK241" i="59" s="1"/>
  <c r="AK242" i="59" s="1" a="1"/>
  <c r="AK242" i="59" s="1"/>
  <c r="AK243" i="59" s="1" a="1"/>
  <c r="AK243" i="59" s="1"/>
  <c r="AK244" i="59" s="1" a="1"/>
  <c r="AK244" i="59" s="1"/>
  <c r="AK245" i="59" s="1" a="1"/>
  <c r="AK245" i="59" s="1"/>
  <c r="AK246" i="59" s="1" a="1"/>
  <c r="AK246" i="59" s="1"/>
  <c r="AK247" i="59" s="1" a="1"/>
  <c r="AK247" i="59" s="1"/>
  <c r="AK248" i="59" s="1" a="1"/>
  <c r="AK248" i="59" s="1"/>
  <c r="AK249" i="59" s="1" a="1"/>
  <c r="AK249" i="59" s="1"/>
  <c r="AK250" i="59" s="1" a="1"/>
  <c r="AK250" i="59" s="1"/>
  <c r="AK251" i="59" s="1" a="1"/>
  <c r="AK251" i="59" s="1"/>
  <c r="AK252" i="59" s="1" a="1"/>
  <c r="AK252" i="59" s="1"/>
  <c r="AK253" i="59" s="1" a="1"/>
  <c r="AK253" i="59" s="1"/>
  <c r="AK254" i="59" s="1" a="1"/>
  <c r="AK254" i="59" s="1"/>
  <c r="AK255" i="59" s="1" a="1"/>
  <c r="AK255" i="59" s="1"/>
  <c r="AK256" i="59" s="1" a="1"/>
  <c r="AK256" i="59" s="1"/>
  <c r="AK257" i="59" s="1" a="1"/>
  <c r="AK257" i="59" s="1"/>
  <c r="AK258" i="59" s="1" a="1"/>
  <c r="AK258" i="59" s="1"/>
  <c r="I102" i="22"/>
  <c r="AF75" i="53" l="1"/>
  <c r="AA75" i="53"/>
  <c r="AF60" i="65"/>
  <c r="AE60" i="65"/>
  <c r="AE77" i="57"/>
  <c r="R77" i="57"/>
  <c r="AE77" i="53"/>
  <c r="R77" i="53"/>
  <c r="AA74" i="57"/>
  <c r="AF74" i="57"/>
  <c r="AG60" i="69"/>
  <c r="AG59" i="65"/>
  <c r="D4" i="22"/>
  <c r="P143" i="11"/>
  <c r="Q143" i="11" s="1"/>
  <c r="P142" i="11"/>
  <c r="AC142" i="11" s="1"/>
  <c r="X142" i="11" s="1"/>
  <c r="AQ142" i="11" s="1"/>
  <c r="P70" i="11"/>
  <c r="AC70" i="11" s="1"/>
  <c r="X70" i="11" s="1"/>
  <c r="AQ70" i="11" s="1"/>
  <c r="P69" i="11"/>
  <c r="AC69" i="11" s="1"/>
  <c r="P75" i="11"/>
  <c r="Q75" i="11" s="1"/>
  <c r="AX61" i="69"/>
  <c r="X75" i="57"/>
  <c r="O78" i="57"/>
  <c r="AG78" i="57" s="1"/>
  <c r="L78" i="57"/>
  <c r="AG14" i="50"/>
  <c r="AH14" i="50" s="1"/>
  <c r="O18" i="50"/>
  <c r="AB74" i="57"/>
  <c r="AC77" i="57"/>
  <c r="AJ77" i="57"/>
  <c r="AP77" i="57"/>
  <c r="AH60" i="65"/>
  <c r="AV60" i="65"/>
  <c r="U15" i="50"/>
  <c r="AD15" i="50" s="1"/>
  <c r="AL15" i="50" s="1"/>
  <c r="AG77" i="53"/>
  <c r="AH77" i="53"/>
  <c r="AC77" i="53"/>
  <c r="AT77" i="53"/>
  <c r="N78" i="57"/>
  <c r="P78" i="53"/>
  <c r="N78" i="53"/>
  <c r="AH61" i="69"/>
  <c r="AJ16" i="50"/>
  <c r="C16" i="50"/>
  <c r="AD77" i="57"/>
  <c r="AD77" i="53"/>
  <c r="Q77" i="53"/>
  <c r="V16" i="50"/>
  <c r="S17" i="50"/>
  <c r="X76" i="53"/>
  <c r="AF76" i="53" s="1"/>
  <c r="J78" i="53"/>
  <c r="C78" i="53"/>
  <c r="F78" i="53"/>
  <c r="G78" i="53"/>
  <c r="K78" i="53"/>
  <c r="L78" i="53"/>
  <c r="E78" i="53"/>
  <c r="D78" i="53"/>
  <c r="AK77" i="52" a="1"/>
  <c r="AK77" i="52" s="1"/>
  <c r="B79" i="53" s="1"/>
  <c r="O79" i="53" s="1"/>
  <c r="H78" i="53"/>
  <c r="I78" i="53"/>
  <c r="F18" i="50"/>
  <c r="L18" i="50"/>
  <c r="M18" i="50"/>
  <c r="B18" i="50"/>
  <c r="R18" i="50" s="1"/>
  <c r="A18" i="50"/>
  <c r="Q18" i="50" s="1"/>
  <c r="P18" i="50" s="1"/>
  <c r="J18" i="50"/>
  <c r="H18" i="50"/>
  <c r="I18" i="50"/>
  <c r="N18" i="50"/>
  <c r="K18" i="50"/>
  <c r="G18" i="50"/>
  <c r="Q77" i="57"/>
  <c r="J78" i="57"/>
  <c r="E78" i="57"/>
  <c r="D78" i="57"/>
  <c r="G78" i="57"/>
  <c r="I78" i="57"/>
  <c r="C78" i="57"/>
  <c r="M78" i="57" s="1"/>
  <c r="K78" i="57"/>
  <c r="P78" i="57"/>
  <c r="F78" i="57"/>
  <c r="H78" i="57"/>
  <c r="Z16" i="50"/>
  <c r="W16" i="50"/>
  <c r="X16" i="50" s="1"/>
  <c r="T16" i="50" s="1"/>
  <c r="T76" i="57"/>
  <c r="AK77" i="55" a="1"/>
  <c r="AK77" i="55" s="1"/>
  <c r="B79" i="57" s="1"/>
  <c r="AE61" i="69"/>
  <c r="R61" i="69"/>
  <c r="S61" i="69" s="1"/>
  <c r="Y61" i="69" s="1"/>
  <c r="AB61" i="69" s="1"/>
  <c r="AC61" i="69" s="1"/>
  <c r="AD61" i="69" s="1"/>
  <c r="U61" i="69"/>
  <c r="Q61" i="69"/>
  <c r="D62" i="69"/>
  <c r="E62" i="69" s="1"/>
  <c r="F62" i="69" s="1"/>
  <c r="G62" i="69" s="1"/>
  <c r="H62" i="69" s="1"/>
  <c r="I62" i="69" s="1"/>
  <c r="J62" i="69" s="1"/>
  <c r="K62" i="69" s="1"/>
  <c r="M62" i="69" s="1"/>
  <c r="N62" i="69"/>
  <c r="AF62" i="69" s="1"/>
  <c r="P62" i="69"/>
  <c r="C63" i="69"/>
  <c r="AO63" i="69" s="1"/>
  <c r="O63" i="69"/>
  <c r="AN63" i="67" a="1"/>
  <c r="AN63" i="67" s="1"/>
  <c r="B64" i="69"/>
  <c r="L64" i="69" s="1"/>
  <c r="P61" i="65"/>
  <c r="N61" i="65"/>
  <c r="D61" i="65"/>
  <c r="E61" i="65" s="1"/>
  <c r="F61" i="65" s="1"/>
  <c r="G61" i="65" s="1"/>
  <c r="H61" i="65" s="1"/>
  <c r="I61" i="65" s="1"/>
  <c r="J61" i="65" s="1"/>
  <c r="K61" i="65" s="1"/>
  <c r="M61" i="65" s="1"/>
  <c r="O62" i="65"/>
  <c r="C62" i="65"/>
  <c r="AM62" i="65" s="1"/>
  <c r="U60" i="65"/>
  <c r="Q60" i="65"/>
  <c r="R60" i="65"/>
  <c r="S60" i="65" s="1"/>
  <c r="Y60" i="65" s="1"/>
  <c r="AB60" i="65" s="1"/>
  <c r="AC60" i="65" s="1"/>
  <c r="AD60" i="65" s="1"/>
  <c r="AN62" i="63" a="1"/>
  <c r="AN62" i="63" s="1"/>
  <c r="B63" i="65"/>
  <c r="L63" i="65" s="1"/>
  <c r="I101" i="22"/>
  <c r="I44" i="22"/>
  <c r="I16" i="22"/>
  <c r="I31" i="22"/>
  <c r="I55" i="22"/>
  <c r="I28" i="22"/>
  <c r="I48" i="22"/>
  <c r="I45" i="22"/>
  <c r="I64" i="22"/>
  <c r="I68" i="22"/>
  <c r="I77" i="22"/>
  <c r="I92" i="22"/>
  <c r="I39" i="22"/>
  <c r="I43" i="22"/>
  <c r="I66" i="22"/>
  <c r="I70" i="22"/>
  <c r="I79" i="22"/>
  <c r="I97" i="22"/>
  <c r="I36" i="22"/>
  <c r="I63" i="22"/>
  <c r="I67" i="22"/>
  <c r="I71" i="22"/>
  <c r="I73" i="22"/>
  <c r="I76" i="22"/>
  <c r="I91" i="22"/>
  <c r="I30" i="22"/>
  <c r="I42" i="22"/>
  <c r="I61" i="22"/>
  <c r="I78" i="22"/>
  <c r="I89" i="22"/>
  <c r="I96" i="22"/>
  <c r="I60" i="22"/>
  <c r="AL18" i="59" a="1"/>
  <c r="AL18" i="59" s="1"/>
  <c r="E19" i="50" s="1"/>
  <c r="AK19" i="50" s="1"/>
  <c r="AC17" i="11"/>
  <c r="Q17" i="11" s="1"/>
  <c r="AC14" i="11"/>
  <c r="Q14" i="11" s="1"/>
  <c r="F71" i="22" s="1"/>
  <c r="AC20" i="11"/>
  <c r="AC32" i="11"/>
  <c r="AC44" i="11"/>
  <c r="AC60" i="11"/>
  <c r="AC76" i="11"/>
  <c r="AC92" i="11"/>
  <c r="AC108" i="11"/>
  <c r="AC120" i="11"/>
  <c r="AC136" i="11"/>
  <c r="AC148" i="11"/>
  <c r="AC164" i="11"/>
  <c r="AC184" i="11"/>
  <c r="AC192" i="11"/>
  <c r="AC208" i="11"/>
  <c r="AC224" i="11"/>
  <c r="AC244" i="11"/>
  <c r="AC256" i="11"/>
  <c r="AC16" i="11"/>
  <c r="Q16" i="11" s="1"/>
  <c r="F68" i="22" s="1"/>
  <c r="AC25" i="11"/>
  <c r="AC29" i="11"/>
  <c r="AC33" i="11"/>
  <c r="X33" i="11" s="1"/>
  <c r="AQ33" i="11" s="1"/>
  <c r="AC37" i="11"/>
  <c r="AC41" i="11"/>
  <c r="AC45" i="11"/>
  <c r="AC49" i="11"/>
  <c r="AC53" i="11"/>
  <c r="AC57" i="11"/>
  <c r="AC61" i="11"/>
  <c r="AC65" i="11"/>
  <c r="AC73" i="11"/>
  <c r="AC77" i="11"/>
  <c r="AC81" i="11"/>
  <c r="AC85" i="11"/>
  <c r="AC89" i="11"/>
  <c r="AC97" i="11"/>
  <c r="AC101" i="11"/>
  <c r="X101" i="11" s="1"/>
  <c r="AQ101" i="11" s="1"/>
  <c r="AC105" i="11"/>
  <c r="AC109" i="11"/>
  <c r="AC113" i="11"/>
  <c r="AC117" i="11"/>
  <c r="AC121" i="11"/>
  <c r="AC125" i="11"/>
  <c r="AC129" i="11"/>
  <c r="AC133" i="11"/>
  <c r="X133" i="11" s="1"/>
  <c r="AQ133" i="11" s="1"/>
  <c r="AC137" i="11"/>
  <c r="AC141" i="11"/>
  <c r="AC145" i="11"/>
  <c r="AC149" i="11"/>
  <c r="AC153" i="11"/>
  <c r="AC157" i="11"/>
  <c r="AC161" i="11"/>
  <c r="AC165" i="11"/>
  <c r="AC169" i="11"/>
  <c r="AC173" i="11"/>
  <c r="AC177" i="11"/>
  <c r="AC181" i="11"/>
  <c r="AC185" i="11"/>
  <c r="AC189" i="11"/>
  <c r="AC193" i="11"/>
  <c r="AC197" i="11"/>
  <c r="AC201" i="11"/>
  <c r="AC205" i="11"/>
  <c r="AC209" i="11"/>
  <c r="AC213" i="11"/>
  <c r="AC217" i="11"/>
  <c r="AC221" i="11"/>
  <c r="AC225" i="11"/>
  <c r="AC229" i="11"/>
  <c r="AC233" i="11"/>
  <c r="AC237" i="11"/>
  <c r="AC241" i="11"/>
  <c r="AC245" i="11"/>
  <c r="AC249" i="11"/>
  <c r="AC253" i="11"/>
  <c r="AC257" i="11"/>
  <c r="AC28" i="11"/>
  <c r="AC48" i="11"/>
  <c r="AC56" i="11"/>
  <c r="AC72" i="11"/>
  <c r="X72" i="11" s="1"/>
  <c r="AQ72" i="11" s="1"/>
  <c r="AC88" i="11"/>
  <c r="AC104" i="11"/>
  <c r="X104" i="11" s="1"/>
  <c r="AQ104" i="11" s="1"/>
  <c r="AC116" i="11"/>
  <c r="AC132" i="11"/>
  <c r="AC152" i="11"/>
  <c r="AC168" i="11"/>
  <c r="AC180" i="11"/>
  <c r="AC196" i="11"/>
  <c r="AC212" i="11"/>
  <c r="AC228" i="11"/>
  <c r="AC240" i="11"/>
  <c r="AC252" i="11"/>
  <c r="AC26" i="11"/>
  <c r="X26" i="11" s="1"/>
  <c r="AQ26" i="11" s="1"/>
  <c r="AC34" i="11"/>
  <c r="AC46" i="11"/>
  <c r="AC58" i="11"/>
  <c r="AC66" i="11"/>
  <c r="AC74" i="11"/>
  <c r="AC78" i="11"/>
  <c r="AC82" i="11"/>
  <c r="AC86" i="11"/>
  <c r="AC90" i="11"/>
  <c r="AC94" i="11"/>
  <c r="AC98" i="11"/>
  <c r="AC102" i="11"/>
  <c r="AC106" i="11"/>
  <c r="X106" i="11" s="1"/>
  <c r="AQ106" i="11" s="1"/>
  <c r="AC110" i="11"/>
  <c r="AC114" i="11"/>
  <c r="AC118" i="11"/>
  <c r="AC122" i="11"/>
  <c r="AC126" i="11"/>
  <c r="AC130" i="11"/>
  <c r="X130" i="11" s="1"/>
  <c r="AQ130" i="11" s="1"/>
  <c r="AC134" i="11"/>
  <c r="X134" i="11" s="1"/>
  <c r="AQ134" i="11" s="1"/>
  <c r="AC138" i="11"/>
  <c r="AC146" i="11"/>
  <c r="AC150" i="11"/>
  <c r="AC154" i="11"/>
  <c r="AC158" i="11"/>
  <c r="AC162" i="11"/>
  <c r="AC166" i="11"/>
  <c r="AC170" i="11"/>
  <c r="AC174" i="11"/>
  <c r="AC178" i="11"/>
  <c r="AC182" i="11"/>
  <c r="AC186" i="11"/>
  <c r="AC190" i="11"/>
  <c r="AC194" i="11"/>
  <c r="AC198" i="11"/>
  <c r="AC202" i="11"/>
  <c r="AC206" i="11"/>
  <c r="AC210" i="11"/>
  <c r="AC214" i="11"/>
  <c r="AC218" i="11"/>
  <c r="AC222" i="11"/>
  <c r="AC226" i="11"/>
  <c r="AC230" i="11"/>
  <c r="AC234" i="11"/>
  <c r="AC238" i="11"/>
  <c r="AC242" i="11"/>
  <c r="AC246" i="11"/>
  <c r="AC250" i="11"/>
  <c r="AC254" i="11"/>
  <c r="AC258" i="11"/>
  <c r="AC19" i="11"/>
  <c r="AC24" i="11"/>
  <c r="AC36" i="11"/>
  <c r="AC40" i="11"/>
  <c r="AC52" i="11"/>
  <c r="AC64" i="11"/>
  <c r="AC68" i="11"/>
  <c r="AC80" i="11"/>
  <c r="AC84" i="11"/>
  <c r="AC96" i="11"/>
  <c r="AC100" i="11"/>
  <c r="AC112" i="11"/>
  <c r="AC124" i="11"/>
  <c r="AC128" i="11"/>
  <c r="AC140" i="11"/>
  <c r="X140" i="11" s="1"/>
  <c r="AQ140" i="11" s="1"/>
  <c r="AC144" i="11"/>
  <c r="AC156" i="11"/>
  <c r="AC160" i="11"/>
  <c r="AC172" i="11"/>
  <c r="AC176" i="11"/>
  <c r="AC188" i="11"/>
  <c r="AC200" i="11"/>
  <c r="AC204" i="11"/>
  <c r="AC216" i="11"/>
  <c r="AC220" i="11"/>
  <c r="AC232" i="11"/>
  <c r="AC236" i="11"/>
  <c r="AC248" i="11"/>
  <c r="AC22" i="11"/>
  <c r="AC30" i="11"/>
  <c r="AC38" i="11"/>
  <c r="AC42" i="11"/>
  <c r="AC50" i="11"/>
  <c r="AC54" i="11"/>
  <c r="AC62" i="11"/>
  <c r="AC23" i="11"/>
  <c r="AC27" i="11"/>
  <c r="AC31" i="11"/>
  <c r="AC35" i="11"/>
  <c r="AC39" i="11"/>
  <c r="AC43" i="11"/>
  <c r="AC47" i="11"/>
  <c r="AC51" i="11"/>
  <c r="AC55" i="11"/>
  <c r="AC59" i="11"/>
  <c r="AC63" i="11"/>
  <c r="AC67" i="11"/>
  <c r="AC71" i="11"/>
  <c r="AC79" i="11"/>
  <c r="AC83" i="11"/>
  <c r="AC87" i="11"/>
  <c r="AC91" i="11"/>
  <c r="X91" i="11" s="1"/>
  <c r="AQ91" i="11" s="1"/>
  <c r="AC95" i="11"/>
  <c r="X95" i="11" s="1"/>
  <c r="AQ95" i="11" s="1"/>
  <c r="AC99" i="11"/>
  <c r="AC103" i="11"/>
  <c r="AC107" i="11"/>
  <c r="AC111" i="11"/>
  <c r="AC115" i="11"/>
  <c r="AC119" i="11"/>
  <c r="AC123" i="11"/>
  <c r="AC127" i="11"/>
  <c r="AC131" i="11"/>
  <c r="AC135" i="11"/>
  <c r="X135" i="11" s="1"/>
  <c r="AQ135" i="11" s="1"/>
  <c r="AC139" i="11"/>
  <c r="AC147" i="11"/>
  <c r="AC151" i="11"/>
  <c r="AC155" i="11"/>
  <c r="AC159" i="11"/>
  <c r="AC163" i="11"/>
  <c r="AC167" i="11"/>
  <c r="AC171" i="11"/>
  <c r="AC175" i="11"/>
  <c r="AC179" i="11"/>
  <c r="AC183" i="11"/>
  <c r="AC187" i="11"/>
  <c r="AC191" i="11"/>
  <c r="AC195" i="11"/>
  <c r="AC199" i="11"/>
  <c r="AC203" i="11"/>
  <c r="AC207" i="11"/>
  <c r="AC211" i="11"/>
  <c r="AC215" i="11"/>
  <c r="AC219" i="11"/>
  <c r="AC223" i="11"/>
  <c r="AC227" i="11"/>
  <c r="AC231" i="11"/>
  <c r="AC235" i="11"/>
  <c r="AC239" i="11"/>
  <c r="AC243" i="11"/>
  <c r="AC247" i="11"/>
  <c r="AC251" i="11"/>
  <c r="AC255" i="11"/>
  <c r="AC18" i="11"/>
  <c r="AC75" i="11" l="1"/>
  <c r="X77" i="53"/>
  <c r="AF77" i="53" s="1"/>
  <c r="AF61" i="65"/>
  <c r="AE61" i="65"/>
  <c r="AE78" i="57"/>
  <c r="R78" i="57"/>
  <c r="AE78" i="53"/>
  <c r="R78" i="53"/>
  <c r="AC143" i="11"/>
  <c r="AA75" i="57"/>
  <c r="AF75" i="57"/>
  <c r="AG61" i="69"/>
  <c r="AG60" i="65"/>
  <c r="Q69" i="11"/>
  <c r="Q70" i="11"/>
  <c r="Q142" i="11"/>
  <c r="X40" i="11"/>
  <c r="AQ40" i="11" s="1"/>
  <c r="X114" i="11"/>
  <c r="AQ114" i="11" s="1"/>
  <c r="X82" i="11"/>
  <c r="AQ82" i="11" s="1"/>
  <c r="X76" i="11"/>
  <c r="AQ76" i="11" s="1"/>
  <c r="X23" i="11"/>
  <c r="AQ23" i="11" s="1"/>
  <c r="X83" i="11"/>
  <c r="AQ83" i="11" s="1"/>
  <c r="X62" i="11"/>
  <c r="X36" i="11"/>
  <c r="AQ36" i="11" s="1"/>
  <c r="X110" i="11"/>
  <c r="AQ110" i="11" s="1"/>
  <c r="X78" i="11"/>
  <c r="AQ78" i="11" s="1"/>
  <c r="X97" i="11"/>
  <c r="AQ97" i="11" s="1"/>
  <c r="X61" i="11"/>
  <c r="X29" i="11"/>
  <c r="AQ29" i="11" s="1"/>
  <c r="X60" i="11"/>
  <c r="X87" i="11"/>
  <c r="AQ87" i="11" s="1"/>
  <c r="X51" i="11"/>
  <c r="AQ51" i="11" s="1"/>
  <c r="X100" i="11"/>
  <c r="AQ100" i="11" s="1"/>
  <c r="X111" i="11"/>
  <c r="AQ111" i="11" s="1"/>
  <c r="X79" i="11"/>
  <c r="AQ79" i="11" s="1"/>
  <c r="X47" i="11"/>
  <c r="AQ47" i="11" s="1"/>
  <c r="X54" i="11"/>
  <c r="X96" i="11"/>
  <c r="AQ96" i="11" s="1"/>
  <c r="X24" i="11"/>
  <c r="AQ24" i="11" s="1"/>
  <c r="X138" i="11"/>
  <c r="AQ138" i="11" s="1"/>
  <c r="X74" i="11"/>
  <c r="AQ74" i="11" s="1"/>
  <c r="X89" i="11"/>
  <c r="AQ89" i="11" s="1"/>
  <c r="X57" i="11"/>
  <c r="X44" i="11"/>
  <c r="X55" i="11"/>
  <c r="X43" i="11"/>
  <c r="X50" i="11"/>
  <c r="X84" i="11"/>
  <c r="AQ84" i="11" s="1"/>
  <c r="X19" i="11"/>
  <c r="AQ19" i="11" s="1"/>
  <c r="X102" i="11"/>
  <c r="AQ102" i="11" s="1"/>
  <c r="X85" i="11"/>
  <c r="AQ85" i="11" s="1"/>
  <c r="X53" i="11"/>
  <c r="X32" i="11"/>
  <c r="AQ32" i="11" s="1"/>
  <c r="X112" i="11"/>
  <c r="AQ112" i="11" s="1"/>
  <c r="X103" i="11"/>
  <c r="AQ103" i="11" s="1"/>
  <c r="X39" i="11"/>
  <c r="AQ39" i="11" s="1"/>
  <c r="I103" i="22"/>
  <c r="X80" i="11"/>
  <c r="AQ80" i="11" s="1"/>
  <c r="X98" i="11"/>
  <c r="AQ98" i="11" s="1"/>
  <c r="X66" i="11"/>
  <c r="X88" i="11"/>
  <c r="AQ88" i="11" s="1"/>
  <c r="X81" i="11"/>
  <c r="AQ81" i="11" s="1"/>
  <c r="X49" i="11"/>
  <c r="X136" i="11"/>
  <c r="AQ136" i="11" s="1"/>
  <c r="X20" i="11"/>
  <c r="AQ20" i="11" s="1"/>
  <c r="X99" i="11"/>
  <c r="AQ99" i="11" s="1"/>
  <c r="X35" i="11"/>
  <c r="AQ35" i="11" s="1"/>
  <c r="X68" i="11"/>
  <c r="X94" i="11"/>
  <c r="AQ94" i="11" s="1"/>
  <c r="X58" i="11"/>
  <c r="X113" i="11"/>
  <c r="AQ113" i="11" s="1"/>
  <c r="X77" i="11"/>
  <c r="AQ77" i="11" s="1"/>
  <c r="X45" i="11"/>
  <c r="AQ45" i="11" s="1"/>
  <c r="X67" i="11"/>
  <c r="X38" i="11"/>
  <c r="AQ38" i="11" s="1"/>
  <c r="X63" i="11"/>
  <c r="AQ63" i="11" s="1"/>
  <c r="X31" i="11"/>
  <c r="AQ31" i="11" s="1"/>
  <c r="X30" i="11"/>
  <c r="AQ30" i="11" s="1"/>
  <c r="X64" i="11"/>
  <c r="AQ64" i="11" s="1"/>
  <c r="X90" i="11"/>
  <c r="AQ90" i="11" s="1"/>
  <c r="I105" i="22"/>
  <c r="X56" i="11"/>
  <c r="X141" i="11"/>
  <c r="AQ141" i="11" s="1"/>
  <c r="X109" i="11"/>
  <c r="AQ109" i="11" s="1"/>
  <c r="X73" i="11"/>
  <c r="AQ73" i="11" s="1"/>
  <c r="X41" i="11"/>
  <c r="AQ41" i="11" s="1"/>
  <c r="X108" i="11"/>
  <c r="AQ108" i="11" s="1"/>
  <c r="X131" i="11"/>
  <c r="AQ131" i="11" s="1"/>
  <c r="X123" i="11"/>
  <c r="AQ123" i="11" s="1"/>
  <c r="X59" i="11"/>
  <c r="AQ59" i="11" s="1"/>
  <c r="X27" i="11"/>
  <c r="AQ27" i="11" s="1"/>
  <c r="X22" i="11"/>
  <c r="AQ22" i="11" s="1"/>
  <c r="X52" i="11"/>
  <c r="AQ52" i="11" s="1"/>
  <c r="X86" i="11"/>
  <c r="AQ86" i="11" s="1"/>
  <c r="X34" i="11"/>
  <c r="AQ34" i="11" s="1"/>
  <c r="X137" i="11"/>
  <c r="AQ137" i="11" s="1"/>
  <c r="X105" i="11"/>
  <c r="AQ105" i="11" s="1"/>
  <c r="X37" i="11"/>
  <c r="AQ37" i="11" s="1"/>
  <c r="X92" i="11"/>
  <c r="AQ92" i="11" s="1"/>
  <c r="X107" i="11"/>
  <c r="AQ107" i="11" s="1"/>
  <c r="X25" i="11"/>
  <c r="AQ25" i="11" s="1"/>
  <c r="X144" i="11"/>
  <c r="AQ144" i="11" s="1"/>
  <c r="X139" i="11"/>
  <c r="AQ139" i="11" s="1"/>
  <c r="X42" i="11"/>
  <c r="X46" i="11"/>
  <c r="X48" i="11"/>
  <c r="X65" i="11"/>
  <c r="I116" i="22"/>
  <c r="I100" i="22"/>
  <c r="I109" i="22"/>
  <c r="X121" i="11"/>
  <c r="AQ121" i="11" s="1"/>
  <c r="X71" i="11"/>
  <c r="X117" i="11"/>
  <c r="AQ117" i="11" s="1"/>
  <c r="X119" i="11"/>
  <c r="AQ119" i="11" s="1"/>
  <c r="X115" i="11"/>
  <c r="AQ115" i="11" s="1"/>
  <c r="X126" i="11"/>
  <c r="AQ126" i="11" s="1"/>
  <c r="X120" i="11"/>
  <c r="AQ120" i="11" s="1"/>
  <c r="X122" i="11"/>
  <c r="AQ122" i="11" s="1"/>
  <c r="X17" i="11"/>
  <c r="AQ17" i="11" s="1"/>
  <c r="X128" i="11"/>
  <c r="AQ128" i="11" s="1"/>
  <c r="X124" i="11"/>
  <c r="AQ124" i="11" s="1"/>
  <c r="X118" i="11"/>
  <c r="AQ118" i="11" s="1"/>
  <c r="X69" i="11"/>
  <c r="AQ69" i="11" s="1"/>
  <c r="X132" i="11"/>
  <c r="AQ132" i="11" s="1"/>
  <c r="X129" i="11"/>
  <c r="AQ129" i="11" s="1"/>
  <c r="X116" i="11"/>
  <c r="AQ116" i="11" s="1"/>
  <c r="X125" i="11"/>
  <c r="AQ125" i="11" s="1"/>
  <c r="X14" i="11"/>
  <c r="AQ14" i="11" s="1"/>
  <c r="X16" i="11"/>
  <c r="AQ16" i="11" s="1"/>
  <c r="X18" i="11"/>
  <c r="AQ18" i="11" s="1"/>
  <c r="K48" i="36"/>
  <c r="AI14" i="50"/>
  <c r="J112" i="22"/>
  <c r="AX66" i="22" s="1"/>
  <c r="J104" i="22"/>
  <c r="AX62" i="22" s="1"/>
  <c r="AX62" i="69"/>
  <c r="AB75" i="57"/>
  <c r="O79" i="57"/>
  <c r="AG79" i="57" s="1"/>
  <c r="L79" i="57"/>
  <c r="X76" i="57"/>
  <c r="AG15" i="50"/>
  <c r="AH15" i="50" s="1"/>
  <c r="O19" i="50"/>
  <c r="AJ78" i="57"/>
  <c r="AC78" i="57"/>
  <c r="AP78" i="57"/>
  <c r="AH61" i="65"/>
  <c r="AV61" i="65"/>
  <c r="U16" i="50"/>
  <c r="AB76" i="53"/>
  <c r="AA76" i="53"/>
  <c r="AG78" i="53"/>
  <c r="AH78" i="53"/>
  <c r="AT78" i="53"/>
  <c r="AC78" i="53"/>
  <c r="N79" i="57"/>
  <c r="N79" i="53"/>
  <c r="AH62" i="69"/>
  <c r="AJ17" i="50"/>
  <c r="C17" i="50"/>
  <c r="AD78" i="57"/>
  <c r="AD78" i="53"/>
  <c r="S18" i="50"/>
  <c r="V17" i="50"/>
  <c r="H79" i="53"/>
  <c r="K79" i="53"/>
  <c r="AK78" i="52" a="1"/>
  <c r="AK78" i="52" s="1"/>
  <c r="B80" i="53" s="1"/>
  <c r="O80" i="53" s="1"/>
  <c r="Q78" i="53"/>
  <c r="F79" i="53"/>
  <c r="E79" i="53"/>
  <c r="D79" i="53"/>
  <c r="G79" i="53"/>
  <c r="I79" i="53"/>
  <c r="C79" i="53"/>
  <c r="J79" i="53"/>
  <c r="P79" i="53"/>
  <c r="L79" i="53"/>
  <c r="F19" i="50"/>
  <c r="M19" i="50"/>
  <c r="K19" i="50"/>
  <c r="A19" i="50"/>
  <c r="Q19" i="50" s="1"/>
  <c r="P19" i="50" s="1"/>
  <c r="L19" i="50"/>
  <c r="H19" i="50"/>
  <c r="N19" i="50"/>
  <c r="I19" i="50"/>
  <c r="J19" i="50"/>
  <c r="G19" i="50"/>
  <c r="B19" i="50"/>
  <c r="R19" i="50" s="1"/>
  <c r="W17" i="50"/>
  <c r="X17" i="50" s="1"/>
  <c r="T17" i="50" s="1"/>
  <c r="Z17" i="50"/>
  <c r="Q78" i="57"/>
  <c r="H79" i="57"/>
  <c r="P79" i="57"/>
  <c r="D79" i="57"/>
  <c r="C79" i="57"/>
  <c r="M79" i="57" s="1"/>
  <c r="K79" i="57"/>
  <c r="I79" i="57"/>
  <c r="G79" i="57"/>
  <c r="E79" i="57"/>
  <c r="F79" i="57"/>
  <c r="J79" i="57"/>
  <c r="T77" i="57"/>
  <c r="AK78" i="55" a="1"/>
  <c r="AK78" i="55" s="1"/>
  <c r="B80" i="57" s="1"/>
  <c r="N63" i="69"/>
  <c r="AF63" i="69" s="1"/>
  <c r="D63" i="69"/>
  <c r="E63" i="69" s="1"/>
  <c r="F63" i="69" s="1"/>
  <c r="G63" i="69" s="1"/>
  <c r="H63" i="69" s="1"/>
  <c r="I63" i="69" s="1"/>
  <c r="J63" i="69" s="1"/>
  <c r="K63" i="69" s="1"/>
  <c r="M63" i="69" s="1"/>
  <c r="P63" i="69"/>
  <c r="AE62" i="69"/>
  <c r="U62" i="69"/>
  <c r="R62" i="69"/>
  <c r="S62" i="69" s="1"/>
  <c r="Y62" i="69" s="1"/>
  <c r="AB62" i="69" s="1"/>
  <c r="AC62" i="69" s="1"/>
  <c r="AD62" i="69" s="1"/>
  <c r="Q62" i="69"/>
  <c r="C64" i="69"/>
  <c r="AO64" i="69" s="1"/>
  <c r="O64" i="69"/>
  <c r="AN64" i="67" a="1"/>
  <c r="AN64" i="67" s="1"/>
  <c r="B65" i="69"/>
  <c r="L65" i="69" s="1"/>
  <c r="U61" i="65"/>
  <c r="Q61" i="65"/>
  <c r="R61" i="65"/>
  <c r="S61" i="65" s="1"/>
  <c r="Y61" i="65" s="1"/>
  <c r="AB61" i="65" s="1"/>
  <c r="AC61" i="65" s="1"/>
  <c r="AD61" i="65" s="1"/>
  <c r="D62" i="65"/>
  <c r="E62" i="65" s="1"/>
  <c r="F62" i="65" s="1"/>
  <c r="G62" i="65" s="1"/>
  <c r="H62" i="65" s="1"/>
  <c r="I62" i="65" s="1"/>
  <c r="J62" i="65" s="1"/>
  <c r="K62" i="65" s="1"/>
  <c r="M62" i="65" s="1"/>
  <c r="P62" i="65"/>
  <c r="N62" i="65"/>
  <c r="C63" i="65"/>
  <c r="AM63" i="65" s="1"/>
  <c r="O63" i="65"/>
  <c r="AN63" i="63" a="1"/>
  <c r="AN63" i="63" s="1"/>
  <c r="B64" i="65"/>
  <c r="L64" i="65" s="1"/>
  <c r="I22" i="22"/>
  <c r="AC11" i="11"/>
  <c r="I88" i="22" s="1"/>
  <c r="I40" i="22"/>
  <c r="I54" i="22"/>
  <c r="I47" i="22"/>
  <c r="AL19" i="59" a="1"/>
  <c r="AL19" i="59" s="1"/>
  <c r="E20" i="50" s="1"/>
  <c r="AK20" i="50" s="1"/>
  <c r="I90" i="22"/>
  <c r="I50" i="22"/>
  <c r="I34" i="22"/>
  <c r="I25" i="22"/>
  <c r="I93" i="22"/>
  <c r="I72" i="22"/>
  <c r="I41" i="22"/>
  <c r="AC15" i="11"/>
  <c r="AC13" i="11"/>
  <c r="Q13" i="11" s="1"/>
  <c r="AC12" i="11"/>
  <c r="Q12" i="11" s="1"/>
  <c r="Q15" i="11" l="1"/>
  <c r="F75" i="22" s="1"/>
  <c r="F34" i="22"/>
  <c r="F65" i="22"/>
  <c r="I107" i="22"/>
  <c r="AB77" i="53"/>
  <c r="AA77" i="53"/>
  <c r="F92" i="22"/>
  <c r="AF62" i="65"/>
  <c r="AE62" i="65"/>
  <c r="I129" i="22"/>
  <c r="I74" i="22"/>
  <c r="AE79" i="57"/>
  <c r="R79" i="57"/>
  <c r="AE79" i="53"/>
  <c r="R79" i="53"/>
  <c r="AA76" i="57"/>
  <c r="AF76" i="57"/>
  <c r="AG62" i="69"/>
  <c r="AG61" i="65"/>
  <c r="J109" i="22"/>
  <c r="AX23" i="22" s="1"/>
  <c r="AQ44" i="11"/>
  <c r="J116" i="22"/>
  <c r="AX24" i="22" s="1"/>
  <c r="AQ65" i="11"/>
  <c r="AQ71" i="11"/>
  <c r="J121" i="22"/>
  <c r="AX138" i="22" s="1"/>
  <c r="AQ56" i="11"/>
  <c r="J127" i="22"/>
  <c r="AX102" i="22" s="1"/>
  <c r="AQ67" i="11"/>
  <c r="AQ58" i="11"/>
  <c r="J118" i="22"/>
  <c r="AX69" i="22" s="1"/>
  <c r="AQ43" i="11"/>
  <c r="J108" i="22"/>
  <c r="AX64" i="22" s="1"/>
  <c r="J117" i="22"/>
  <c r="AX68" i="22" s="1"/>
  <c r="AQ57" i="11"/>
  <c r="AQ62" i="11"/>
  <c r="J128" i="22"/>
  <c r="AX71" i="22" s="1"/>
  <c r="AQ48" i="11"/>
  <c r="AQ60" i="11"/>
  <c r="J119" i="22"/>
  <c r="AX70" i="22" s="1"/>
  <c r="J105" i="22"/>
  <c r="AX21" i="22" s="1"/>
  <c r="AQ46" i="11"/>
  <c r="AQ68" i="11"/>
  <c r="J115" i="22"/>
  <c r="AQ66" i="11"/>
  <c r="J130" i="22"/>
  <c r="AX145" i="22" s="1"/>
  <c r="AQ53" i="11"/>
  <c r="J123" i="22"/>
  <c r="AX140" i="22" s="1"/>
  <c r="AQ55" i="11"/>
  <c r="J124" i="22"/>
  <c r="AX141" i="22" s="1"/>
  <c r="J122" i="22"/>
  <c r="AX139" i="22" s="1"/>
  <c r="AQ54" i="11"/>
  <c r="J103" i="22"/>
  <c r="AX20" i="22" s="1"/>
  <c r="AQ42" i="11"/>
  <c r="I82" i="22"/>
  <c r="AQ49" i="11"/>
  <c r="J126" i="22"/>
  <c r="AX143" i="22" s="1"/>
  <c r="AQ50" i="11"/>
  <c r="J120" i="22"/>
  <c r="AX137" i="22" s="1"/>
  <c r="AQ61" i="11"/>
  <c r="J111" i="22"/>
  <c r="AX65" i="22" s="1"/>
  <c r="X143" i="11"/>
  <c r="AQ143" i="11" s="1"/>
  <c r="BG19" i="22"/>
  <c r="BG20" i="22"/>
  <c r="X75" i="11"/>
  <c r="AQ75" i="11" s="1"/>
  <c r="I62" i="22"/>
  <c r="X13" i="11"/>
  <c r="AQ13" i="11" s="1"/>
  <c r="I29" i="22"/>
  <c r="K46" i="36"/>
  <c r="I94" i="22"/>
  <c r="K42" i="36"/>
  <c r="I99" i="22"/>
  <c r="K44" i="36"/>
  <c r="I23" i="22"/>
  <c r="AM14" i="50"/>
  <c r="AP14" i="50" s="1"/>
  <c r="AI15" i="50"/>
  <c r="U17" i="50"/>
  <c r="AD17" i="50" s="1"/>
  <c r="I110" i="22"/>
  <c r="AX63" i="69"/>
  <c r="AB76" i="57"/>
  <c r="O80" i="57"/>
  <c r="AG80" i="57" s="1"/>
  <c r="L80" i="57"/>
  <c r="O20" i="50"/>
  <c r="X77" i="57"/>
  <c r="AF77" i="57" s="1"/>
  <c r="AJ79" i="57"/>
  <c r="AC79" i="57"/>
  <c r="AP79" i="57"/>
  <c r="AH62" i="65"/>
  <c r="AV62" i="65"/>
  <c r="AD16" i="50"/>
  <c r="AL16" i="50" s="1"/>
  <c r="AG79" i="53"/>
  <c r="AH79" i="53"/>
  <c r="AT79" i="53"/>
  <c r="AC79" i="53"/>
  <c r="N80" i="57"/>
  <c r="P80" i="53"/>
  <c r="N80" i="53"/>
  <c r="AH63" i="69"/>
  <c r="AJ18" i="50"/>
  <c r="C18" i="50"/>
  <c r="AD79" i="57"/>
  <c r="AD79" i="53"/>
  <c r="Q79" i="53"/>
  <c r="X78" i="53"/>
  <c r="AF78" i="53" s="1"/>
  <c r="S19" i="50"/>
  <c r="V18" i="50"/>
  <c r="AK79" i="52" a="1"/>
  <c r="AK79" i="52" s="1"/>
  <c r="B81" i="53" s="1"/>
  <c r="O81" i="53" s="1"/>
  <c r="K80" i="53"/>
  <c r="J80" i="53"/>
  <c r="F80" i="53"/>
  <c r="I80" i="53"/>
  <c r="H80" i="53"/>
  <c r="G80" i="53"/>
  <c r="D80" i="53"/>
  <c r="C80" i="53"/>
  <c r="L80" i="53"/>
  <c r="E80" i="53"/>
  <c r="I20" i="50"/>
  <c r="F20" i="50"/>
  <c r="H20" i="50"/>
  <c r="M20" i="50"/>
  <c r="N20" i="50"/>
  <c r="G20" i="50"/>
  <c r="A20" i="50"/>
  <c r="Q20" i="50" s="1"/>
  <c r="P20" i="50" s="1"/>
  <c r="J20" i="50"/>
  <c r="B20" i="50"/>
  <c r="R20" i="50" s="1"/>
  <c r="K20" i="50"/>
  <c r="L20" i="50"/>
  <c r="J106" i="22"/>
  <c r="AX63" i="22" s="1"/>
  <c r="T78" i="57"/>
  <c r="Z18" i="50"/>
  <c r="W18" i="50"/>
  <c r="X18" i="50" s="1"/>
  <c r="T18" i="50" s="1"/>
  <c r="J80" i="57"/>
  <c r="E80" i="57"/>
  <c r="C80" i="57"/>
  <c r="M80" i="57" s="1"/>
  <c r="K80" i="57"/>
  <c r="I80" i="57"/>
  <c r="F80" i="57"/>
  <c r="P80" i="57"/>
  <c r="H80" i="57"/>
  <c r="D80" i="57"/>
  <c r="G80" i="57"/>
  <c r="Q79" i="57"/>
  <c r="I86" i="22"/>
  <c r="AK79" i="55" a="1"/>
  <c r="AK79" i="55" s="1"/>
  <c r="B81" i="57" s="1"/>
  <c r="AN65" i="67" a="1"/>
  <c r="AN65" i="67" s="1"/>
  <c r="B66" i="69"/>
  <c r="L66" i="69" s="1"/>
  <c r="D64" i="69"/>
  <c r="E64" i="69" s="1"/>
  <c r="F64" i="69" s="1"/>
  <c r="G64" i="69" s="1"/>
  <c r="H64" i="69" s="1"/>
  <c r="I64" i="69" s="1"/>
  <c r="J64" i="69" s="1"/>
  <c r="K64" i="69" s="1"/>
  <c r="M64" i="69" s="1"/>
  <c r="N64" i="69"/>
  <c r="AF64" i="69" s="1"/>
  <c r="P64" i="69"/>
  <c r="AE63" i="69"/>
  <c r="Q63" i="69"/>
  <c r="R63" i="69"/>
  <c r="S63" i="69" s="1"/>
  <c r="Y63" i="69" s="1"/>
  <c r="AB63" i="69" s="1"/>
  <c r="AC63" i="69" s="1"/>
  <c r="AD63" i="69" s="1"/>
  <c r="U63" i="69"/>
  <c r="C65" i="69"/>
  <c r="AO65" i="69" s="1"/>
  <c r="O65" i="69"/>
  <c r="AN64" i="63" a="1"/>
  <c r="AN64" i="63" s="1"/>
  <c r="B65" i="65"/>
  <c r="L65" i="65" s="1"/>
  <c r="C64" i="65"/>
  <c r="AM64" i="65" s="1"/>
  <c r="O64" i="65"/>
  <c r="P63" i="65"/>
  <c r="D63" i="65"/>
  <c r="E63" i="65" s="1"/>
  <c r="F63" i="65" s="1"/>
  <c r="G63" i="65" s="1"/>
  <c r="H63" i="65" s="1"/>
  <c r="I63" i="65" s="1"/>
  <c r="J63" i="65" s="1"/>
  <c r="K63" i="65" s="1"/>
  <c r="M63" i="65" s="1"/>
  <c r="N63" i="65"/>
  <c r="Q62" i="65"/>
  <c r="R62" i="65"/>
  <c r="S62" i="65" s="1"/>
  <c r="Y62" i="65" s="1"/>
  <c r="AB62" i="65" s="1"/>
  <c r="AC62" i="65" s="1"/>
  <c r="AD62" i="65" s="1"/>
  <c r="U62" i="65"/>
  <c r="I125" i="22"/>
  <c r="I33" i="22"/>
  <c r="I32" i="22"/>
  <c r="I26" i="22"/>
  <c r="I38" i="22"/>
  <c r="I75" i="22"/>
  <c r="I13" i="22"/>
  <c r="I12" i="22"/>
  <c r="I10" i="22"/>
  <c r="I6" i="22"/>
  <c r="I87" i="22"/>
  <c r="I19" i="22"/>
  <c r="BG5" i="22" s="1"/>
  <c r="I8" i="22"/>
  <c r="I35" i="22"/>
  <c r="I37" i="22"/>
  <c r="I95" i="22"/>
  <c r="I15" i="22"/>
  <c r="I83" i="22"/>
  <c r="I56" i="22"/>
  <c r="AL20" i="59" a="1"/>
  <c r="AL20" i="59" s="1"/>
  <c r="E21" i="50" s="1"/>
  <c r="AK21" i="50" s="1"/>
  <c r="I59" i="22"/>
  <c r="AF12" i="11"/>
  <c r="AG12" i="11"/>
  <c r="AF13" i="11"/>
  <c r="AG13" i="11"/>
  <c r="AF14" i="11"/>
  <c r="AG14" i="11"/>
  <c r="AF15" i="11"/>
  <c r="AG15" i="11"/>
  <c r="AF16" i="11"/>
  <c r="AG16" i="11"/>
  <c r="AF17" i="11"/>
  <c r="AG17" i="11"/>
  <c r="AF18" i="11"/>
  <c r="AG18" i="11"/>
  <c r="AF19" i="11"/>
  <c r="AG19" i="11"/>
  <c r="AF20" i="11"/>
  <c r="AG20" i="11"/>
  <c r="AF21" i="11"/>
  <c r="AG21" i="11"/>
  <c r="AF22" i="11"/>
  <c r="AG22" i="11"/>
  <c r="AF23" i="11"/>
  <c r="AG23" i="11"/>
  <c r="AF24" i="11"/>
  <c r="AG24" i="11"/>
  <c r="AF25" i="11"/>
  <c r="AG25" i="11"/>
  <c r="AF26" i="11"/>
  <c r="AG26" i="11"/>
  <c r="AF27" i="11"/>
  <c r="AG27" i="11"/>
  <c r="AF28" i="11"/>
  <c r="AG28" i="11"/>
  <c r="AF29" i="11"/>
  <c r="AG29" i="11"/>
  <c r="AF30" i="11"/>
  <c r="AG30" i="11"/>
  <c r="AF31" i="11"/>
  <c r="AG31" i="11"/>
  <c r="AF32" i="11"/>
  <c r="AG32" i="11"/>
  <c r="AF33" i="11"/>
  <c r="AG33" i="11"/>
  <c r="AF34" i="11"/>
  <c r="AG34" i="11"/>
  <c r="AF35" i="11"/>
  <c r="AG35" i="11"/>
  <c r="AF36" i="11"/>
  <c r="AG36" i="11"/>
  <c r="AF37" i="11"/>
  <c r="AG37" i="11"/>
  <c r="AF38" i="11"/>
  <c r="AG38" i="11"/>
  <c r="AF39" i="11"/>
  <c r="AG39" i="11"/>
  <c r="AF40" i="11"/>
  <c r="AG40" i="11"/>
  <c r="AF41" i="11"/>
  <c r="AG41" i="11"/>
  <c r="AF42" i="11"/>
  <c r="AG42" i="11"/>
  <c r="AF43" i="11"/>
  <c r="AG43" i="11"/>
  <c r="AF44" i="11"/>
  <c r="AG44" i="11"/>
  <c r="AF45" i="11"/>
  <c r="AG45" i="11"/>
  <c r="AF46" i="11"/>
  <c r="AG46" i="11"/>
  <c r="AF47" i="11"/>
  <c r="AG47" i="11"/>
  <c r="AF48" i="11"/>
  <c r="AG48" i="11"/>
  <c r="AF49" i="11"/>
  <c r="AG49" i="11"/>
  <c r="AF50" i="11"/>
  <c r="AG50" i="11"/>
  <c r="AF51" i="11"/>
  <c r="AG51" i="11"/>
  <c r="AF52" i="11"/>
  <c r="AG52" i="11"/>
  <c r="AF53" i="11"/>
  <c r="AG53" i="11"/>
  <c r="AF54" i="11"/>
  <c r="AG54" i="11"/>
  <c r="AF55" i="11"/>
  <c r="AG55" i="11"/>
  <c r="AF56" i="11"/>
  <c r="AG56" i="11"/>
  <c r="AF57" i="11"/>
  <c r="AG57" i="11"/>
  <c r="AF58" i="11"/>
  <c r="AG58" i="11"/>
  <c r="AF59" i="11"/>
  <c r="AG59" i="11"/>
  <c r="AF60" i="11"/>
  <c r="AG60" i="11"/>
  <c r="AF61" i="11"/>
  <c r="AG61" i="11"/>
  <c r="AF62" i="11"/>
  <c r="AG62" i="11"/>
  <c r="AF63" i="11"/>
  <c r="AG63" i="11"/>
  <c r="AF64" i="11"/>
  <c r="AG64" i="11"/>
  <c r="AF65" i="11"/>
  <c r="AG65" i="11"/>
  <c r="AF66" i="11"/>
  <c r="AG66" i="11"/>
  <c r="AF67" i="11"/>
  <c r="AG67" i="11"/>
  <c r="AF68" i="11"/>
  <c r="AG68" i="11"/>
  <c r="AF69" i="11"/>
  <c r="AG69" i="11"/>
  <c r="AF70" i="11"/>
  <c r="AG70" i="11"/>
  <c r="AF71" i="11"/>
  <c r="AG71" i="11"/>
  <c r="AF72" i="11"/>
  <c r="AG72" i="11"/>
  <c r="AF73" i="11"/>
  <c r="AG73" i="11"/>
  <c r="AF74" i="11"/>
  <c r="AG74" i="11"/>
  <c r="AF75" i="11"/>
  <c r="AG75" i="11"/>
  <c r="AF76" i="11"/>
  <c r="AG76" i="11"/>
  <c r="AF77" i="11"/>
  <c r="AG77" i="11"/>
  <c r="AF78" i="11"/>
  <c r="AG78" i="11"/>
  <c r="AF79" i="11"/>
  <c r="AG79" i="11"/>
  <c r="AF80" i="11"/>
  <c r="AG80" i="11"/>
  <c r="AF81" i="11"/>
  <c r="AG81" i="11"/>
  <c r="AF82" i="11"/>
  <c r="AG82" i="11"/>
  <c r="AF83" i="11"/>
  <c r="AG83" i="11"/>
  <c r="AF84" i="11"/>
  <c r="AG84" i="11"/>
  <c r="AF85" i="11"/>
  <c r="AG85" i="11"/>
  <c r="AF86" i="11"/>
  <c r="AG86" i="11"/>
  <c r="AF87" i="11"/>
  <c r="AG87" i="11"/>
  <c r="AF88" i="11"/>
  <c r="AG88" i="11"/>
  <c r="AF89" i="11"/>
  <c r="AG89" i="11"/>
  <c r="AF90" i="11"/>
  <c r="AG90" i="11"/>
  <c r="AF91" i="11"/>
  <c r="AG91" i="11"/>
  <c r="AF92" i="11"/>
  <c r="AG92" i="11"/>
  <c r="AG93" i="11"/>
  <c r="AF94" i="11"/>
  <c r="AG94" i="11"/>
  <c r="AF95" i="11"/>
  <c r="AG95" i="11"/>
  <c r="AF96" i="11"/>
  <c r="AG96" i="11"/>
  <c r="AF97" i="11"/>
  <c r="AG97" i="11"/>
  <c r="AF98" i="11"/>
  <c r="AG98" i="11"/>
  <c r="AF99" i="11"/>
  <c r="AG99" i="11"/>
  <c r="AF100" i="11"/>
  <c r="AG100" i="11"/>
  <c r="AF101" i="11"/>
  <c r="AG101" i="11"/>
  <c r="AF102" i="11"/>
  <c r="AG102" i="11"/>
  <c r="AF103" i="11"/>
  <c r="AG103" i="11"/>
  <c r="AF104" i="11"/>
  <c r="AG104" i="11"/>
  <c r="AF105" i="11"/>
  <c r="AG105" i="11"/>
  <c r="AF106" i="11"/>
  <c r="AG106" i="11"/>
  <c r="AF107" i="11"/>
  <c r="AG107" i="11"/>
  <c r="AF108" i="11"/>
  <c r="AG108" i="11"/>
  <c r="AF109" i="11"/>
  <c r="AG109" i="11"/>
  <c r="AF110" i="11"/>
  <c r="AG110" i="11"/>
  <c r="AF111" i="11"/>
  <c r="AG111" i="11"/>
  <c r="AF112" i="11"/>
  <c r="AG112" i="11"/>
  <c r="AF113" i="11"/>
  <c r="AG113" i="11"/>
  <c r="AF114" i="11"/>
  <c r="AG114" i="11"/>
  <c r="AF115" i="11"/>
  <c r="AG115" i="11"/>
  <c r="AF116" i="11"/>
  <c r="AG116" i="11"/>
  <c r="AF117" i="11"/>
  <c r="AG117" i="11"/>
  <c r="AF118" i="11"/>
  <c r="AG118" i="11"/>
  <c r="AF119" i="11"/>
  <c r="AG119" i="11"/>
  <c r="AF120" i="11"/>
  <c r="AG120" i="11"/>
  <c r="AF121" i="11"/>
  <c r="AG121" i="11"/>
  <c r="AF122" i="11"/>
  <c r="AG122" i="11"/>
  <c r="AF123" i="11"/>
  <c r="AG123" i="11"/>
  <c r="AF124" i="11"/>
  <c r="AG124" i="11"/>
  <c r="AF125" i="11"/>
  <c r="AG125" i="11"/>
  <c r="AF126" i="11"/>
  <c r="AG126" i="11"/>
  <c r="AF127" i="11"/>
  <c r="AG127" i="11"/>
  <c r="AF128" i="11"/>
  <c r="AG128" i="11"/>
  <c r="AF129" i="11"/>
  <c r="AG129" i="11"/>
  <c r="AF130" i="11"/>
  <c r="AG130" i="11"/>
  <c r="AF131" i="11"/>
  <c r="AG131" i="11"/>
  <c r="AF132" i="11"/>
  <c r="AG132" i="11"/>
  <c r="AF133" i="11"/>
  <c r="AG133" i="11"/>
  <c r="AF134" i="11"/>
  <c r="AG134" i="11"/>
  <c r="AF135" i="11"/>
  <c r="AG135" i="11"/>
  <c r="AF136" i="11"/>
  <c r="AG136" i="11"/>
  <c r="AF137" i="11"/>
  <c r="AG137" i="11"/>
  <c r="AF138" i="11"/>
  <c r="AG138" i="11"/>
  <c r="AF139" i="11"/>
  <c r="AG139" i="11"/>
  <c r="AF140" i="11"/>
  <c r="AG140" i="11"/>
  <c r="AF141" i="11"/>
  <c r="AG141" i="11"/>
  <c r="AF142" i="11"/>
  <c r="AG142" i="11"/>
  <c r="AF143" i="11"/>
  <c r="AG143" i="11"/>
  <c r="AF144" i="11"/>
  <c r="AG144" i="11"/>
  <c r="AF145" i="11"/>
  <c r="AG145" i="11"/>
  <c r="AF146" i="11"/>
  <c r="AG146" i="11"/>
  <c r="AF147" i="11"/>
  <c r="AG147" i="11"/>
  <c r="AF148" i="11"/>
  <c r="AG148" i="11"/>
  <c r="AF149" i="11"/>
  <c r="AG149" i="11"/>
  <c r="AF150" i="11"/>
  <c r="AG150" i="11"/>
  <c r="AF151" i="11"/>
  <c r="AG151" i="11"/>
  <c r="AF152" i="11"/>
  <c r="AG152" i="11"/>
  <c r="AF153" i="11"/>
  <c r="AG153" i="11"/>
  <c r="AF154" i="11"/>
  <c r="AG154" i="11"/>
  <c r="AF155" i="11"/>
  <c r="AG155" i="11"/>
  <c r="AF156" i="11"/>
  <c r="AG156" i="11"/>
  <c r="AF157" i="11"/>
  <c r="AG157" i="11"/>
  <c r="AF158" i="11"/>
  <c r="AG158" i="11"/>
  <c r="AF159" i="11"/>
  <c r="AG159" i="11"/>
  <c r="AF160" i="11"/>
  <c r="AG160" i="11"/>
  <c r="AF161" i="11"/>
  <c r="AG161" i="11"/>
  <c r="AF162" i="11"/>
  <c r="AG162" i="11"/>
  <c r="AF163" i="11"/>
  <c r="AG163" i="11"/>
  <c r="AF164" i="11"/>
  <c r="AG164" i="11"/>
  <c r="AF165" i="11"/>
  <c r="AG165" i="11"/>
  <c r="AF166" i="11"/>
  <c r="AG166" i="11"/>
  <c r="AF167" i="11"/>
  <c r="AG167" i="11"/>
  <c r="AF168" i="11"/>
  <c r="AG168" i="11"/>
  <c r="AF169" i="11"/>
  <c r="AG169" i="11"/>
  <c r="AF170" i="11"/>
  <c r="AG170" i="11"/>
  <c r="AF171" i="11"/>
  <c r="AG171" i="11"/>
  <c r="AF172" i="11"/>
  <c r="AG172" i="11"/>
  <c r="AF173" i="11"/>
  <c r="AG173" i="11"/>
  <c r="AF174" i="11"/>
  <c r="AG174" i="11"/>
  <c r="AF175" i="11"/>
  <c r="AG175" i="11"/>
  <c r="AF176" i="11"/>
  <c r="AG176" i="11"/>
  <c r="AF177" i="11"/>
  <c r="AG177" i="11"/>
  <c r="AF178" i="11"/>
  <c r="AG178" i="11"/>
  <c r="AF179" i="11"/>
  <c r="AG179" i="11"/>
  <c r="AF180" i="11"/>
  <c r="AG180" i="11"/>
  <c r="AF181" i="11"/>
  <c r="AG181" i="11"/>
  <c r="AF182" i="11"/>
  <c r="AG182" i="11"/>
  <c r="AF183" i="11"/>
  <c r="AG183" i="11"/>
  <c r="AF184" i="11"/>
  <c r="AG184" i="11"/>
  <c r="AF185" i="11"/>
  <c r="AG185" i="11"/>
  <c r="AF186" i="11"/>
  <c r="AG186" i="11"/>
  <c r="AF187" i="11"/>
  <c r="AG187" i="11"/>
  <c r="AF188" i="11"/>
  <c r="AG188" i="11"/>
  <c r="AF189" i="11"/>
  <c r="AG189" i="11"/>
  <c r="AF190" i="11"/>
  <c r="AG190" i="11"/>
  <c r="AF191" i="11"/>
  <c r="AG191" i="11"/>
  <c r="AF192" i="11"/>
  <c r="AG192" i="11"/>
  <c r="AF193" i="11"/>
  <c r="AG193" i="11"/>
  <c r="AF194" i="11"/>
  <c r="AG194" i="11"/>
  <c r="AF195" i="11"/>
  <c r="AG195" i="11"/>
  <c r="AF196" i="11"/>
  <c r="AG196" i="11"/>
  <c r="AF197" i="11"/>
  <c r="AG197" i="11"/>
  <c r="AF198" i="11"/>
  <c r="AG198" i="11"/>
  <c r="AF199" i="11"/>
  <c r="AG199" i="11"/>
  <c r="AF200" i="11"/>
  <c r="AG200" i="11"/>
  <c r="AF201" i="11"/>
  <c r="AG201" i="11"/>
  <c r="AF202" i="11"/>
  <c r="AG202" i="11"/>
  <c r="AF203" i="11"/>
  <c r="AG203" i="11"/>
  <c r="AF204" i="11"/>
  <c r="AG204" i="11"/>
  <c r="AF205" i="11"/>
  <c r="AG205" i="11"/>
  <c r="AF206" i="11"/>
  <c r="AG206" i="11"/>
  <c r="AF207" i="11"/>
  <c r="AG207" i="11"/>
  <c r="AF208" i="11"/>
  <c r="AG208" i="11"/>
  <c r="AF209" i="11"/>
  <c r="AG209" i="11"/>
  <c r="AF210" i="11"/>
  <c r="AG210" i="11"/>
  <c r="AF211" i="11"/>
  <c r="AG211" i="11"/>
  <c r="AF212" i="11"/>
  <c r="AG212" i="11"/>
  <c r="AF213" i="11"/>
  <c r="AG213" i="11"/>
  <c r="AF214" i="11"/>
  <c r="AG214" i="11"/>
  <c r="AF215" i="11"/>
  <c r="AG215" i="11"/>
  <c r="AF216" i="11"/>
  <c r="AG216" i="11"/>
  <c r="AF217" i="11"/>
  <c r="AG217" i="11"/>
  <c r="AF218" i="11"/>
  <c r="AG218" i="11"/>
  <c r="AF219" i="11"/>
  <c r="AG219" i="11"/>
  <c r="AF220" i="11"/>
  <c r="AG220" i="11"/>
  <c r="AF221" i="11"/>
  <c r="AG221" i="11"/>
  <c r="AF222" i="11"/>
  <c r="AG222" i="11"/>
  <c r="AF223" i="11"/>
  <c r="AG223" i="11"/>
  <c r="AF224" i="11"/>
  <c r="AG224" i="11"/>
  <c r="AF225" i="11"/>
  <c r="AG225" i="11"/>
  <c r="AF226" i="11"/>
  <c r="AG226" i="11"/>
  <c r="AF227" i="11"/>
  <c r="AG227" i="11"/>
  <c r="AF228" i="11"/>
  <c r="AG228" i="11"/>
  <c r="AF229" i="11"/>
  <c r="AG229" i="11"/>
  <c r="AF230" i="11"/>
  <c r="AG230" i="11"/>
  <c r="AF231" i="11"/>
  <c r="AG231" i="11"/>
  <c r="AF232" i="11"/>
  <c r="AG232" i="11"/>
  <c r="AF233" i="11"/>
  <c r="AG233" i="11"/>
  <c r="AF234" i="11"/>
  <c r="AG234" i="11"/>
  <c r="AF235" i="11"/>
  <c r="AG235" i="11"/>
  <c r="AF236" i="11"/>
  <c r="AG236" i="11"/>
  <c r="AF237" i="11"/>
  <c r="AG237" i="11"/>
  <c r="AF238" i="11"/>
  <c r="AG238" i="11"/>
  <c r="AF239" i="11"/>
  <c r="AG239" i="11"/>
  <c r="AF240" i="11"/>
  <c r="AG240" i="11"/>
  <c r="AF241" i="11"/>
  <c r="AG241" i="11"/>
  <c r="AF242" i="11"/>
  <c r="AG242" i="11"/>
  <c r="AF243" i="11"/>
  <c r="AG243" i="11"/>
  <c r="AF244" i="11"/>
  <c r="AG244" i="11"/>
  <c r="AF245" i="11"/>
  <c r="AG245" i="11"/>
  <c r="AF246" i="11"/>
  <c r="AG246" i="11"/>
  <c r="AF247" i="11"/>
  <c r="AG247" i="11"/>
  <c r="AF248" i="11"/>
  <c r="AG248" i="11"/>
  <c r="AF249" i="11"/>
  <c r="AG249" i="11"/>
  <c r="AF250" i="11"/>
  <c r="AG250" i="11"/>
  <c r="AF251" i="11"/>
  <c r="AG251" i="11"/>
  <c r="AF252" i="11"/>
  <c r="AG252" i="11"/>
  <c r="AF253" i="11"/>
  <c r="AG253" i="11"/>
  <c r="AF254" i="11"/>
  <c r="AG254" i="11"/>
  <c r="AF255" i="11"/>
  <c r="AG255" i="11"/>
  <c r="AF256" i="11"/>
  <c r="AG256" i="11"/>
  <c r="AF257" i="11"/>
  <c r="AG257" i="11"/>
  <c r="AF258" i="11"/>
  <c r="AG258" i="11"/>
  <c r="AG11" i="11"/>
  <c r="AF11" i="11"/>
  <c r="F78" i="22" l="1"/>
  <c r="X15" i="11"/>
  <c r="AQ15" i="11" s="1"/>
  <c r="X79" i="53"/>
  <c r="AF79" i="53" s="1"/>
  <c r="AF63" i="65"/>
  <c r="AE63" i="65"/>
  <c r="AE80" i="57"/>
  <c r="R80" i="57"/>
  <c r="AE80" i="53"/>
  <c r="R80" i="53"/>
  <c r="AG17" i="50"/>
  <c r="AH17" i="50" s="1"/>
  <c r="AL17" i="50"/>
  <c r="AG63" i="69"/>
  <c r="AG62" i="65"/>
  <c r="BG14" i="22"/>
  <c r="BG11" i="22"/>
  <c r="X12" i="11"/>
  <c r="AQ12" i="11" s="1"/>
  <c r="I84" i="22"/>
  <c r="AM15" i="50"/>
  <c r="AP15" i="50" s="1"/>
  <c r="U18" i="50"/>
  <c r="AD18" i="50" s="1"/>
  <c r="J110" i="22"/>
  <c r="AX101" i="22" s="1"/>
  <c r="AX64" i="69"/>
  <c r="X78" i="57"/>
  <c r="O81" i="57"/>
  <c r="AG81" i="57" s="1"/>
  <c r="L81" i="57"/>
  <c r="AG16" i="50"/>
  <c r="AH16" i="50" s="1"/>
  <c r="O21" i="50"/>
  <c r="AJ80" i="57"/>
  <c r="AC80" i="57"/>
  <c r="AP80" i="57"/>
  <c r="AB77" i="57"/>
  <c r="AA77" i="57"/>
  <c r="AH63" i="65"/>
  <c r="AV63" i="65"/>
  <c r="AG80" i="53"/>
  <c r="AH80" i="53"/>
  <c r="AC80" i="53"/>
  <c r="AT80" i="53"/>
  <c r="AB78" i="53"/>
  <c r="AA78" i="53"/>
  <c r="I20" i="22"/>
  <c r="BG15" i="22" s="1"/>
  <c r="N81" i="57"/>
  <c r="N81" i="53"/>
  <c r="AH64" i="69"/>
  <c r="AJ19" i="50"/>
  <c r="C19" i="50"/>
  <c r="AD80" i="57"/>
  <c r="Q80" i="53"/>
  <c r="AD80" i="53"/>
  <c r="S20" i="50"/>
  <c r="V19" i="50"/>
  <c r="AK80" i="52" a="1"/>
  <c r="AK80" i="52" s="1"/>
  <c r="B82" i="53" s="1"/>
  <c r="O82" i="53" s="1"/>
  <c r="F81" i="53"/>
  <c r="H81" i="53"/>
  <c r="I81" i="53"/>
  <c r="P81" i="53"/>
  <c r="K81" i="53"/>
  <c r="E81" i="53"/>
  <c r="J81" i="53"/>
  <c r="L81" i="53"/>
  <c r="G81" i="53"/>
  <c r="D81" i="53"/>
  <c r="C81" i="53"/>
  <c r="F21" i="50"/>
  <c r="K21" i="50"/>
  <c r="A21" i="50"/>
  <c r="Q21" i="50" s="1"/>
  <c r="P21" i="50" s="1"/>
  <c r="H21" i="50"/>
  <c r="B21" i="50"/>
  <c r="R21" i="50" s="1"/>
  <c r="L21" i="50"/>
  <c r="I21" i="50"/>
  <c r="M21" i="50"/>
  <c r="G21" i="50"/>
  <c r="J21" i="50"/>
  <c r="N21" i="50"/>
  <c r="Z19" i="50"/>
  <c r="W19" i="50"/>
  <c r="X19" i="50" s="1"/>
  <c r="T19" i="50" s="1"/>
  <c r="T79" i="57"/>
  <c r="Q80" i="57"/>
  <c r="K81" i="57"/>
  <c r="G81" i="57"/>
  <c r="E81" i="57"/>
  <c r="P81" i="57"/>
  <c r="D81" i="57"/>
  <c r="C81" i="57"/>
  <c r="M81" i="57" s="1"/>
  <c r="I81" i="57"/>
  <c r="H81" i="57"/>
  <c r="F81" i="57"/>
  <c r="J81" i="57"/>
  <c r="I131" i="22"/>
  <c r="I114" i="22"/>
  <c r="AK80" i="55" a="1"/>
  <c r="AK80" i="55" s="1"/>
  <c r="B82" i="57" s="1"/>
  <c r="D65" i="69"/>
  <c r="E65" i="69" s="1"/>
  <c r="F65" i="69" s="1"/>
  <c r="G65" i="69" s="1"/>
  <c r="H65" i="69" s="1"/>
  <c r="I65" i="69" s="1"/>
  <c r="J65" i="69" s="1"/>
  <c r="K65" i="69" s="1"/>
  <c r="M65" i="69" s="1"/>
  <c r="N65" i="69"/>
  <c r="AF65" i="69" s="1"/>
  <c r="P65" i="69"/>
  <c r="Q64" i="69"/>
  <c r="R64" i="69"/>
  <c r="S64" i="69" s="1"/>
  <c r="Y64" i="69" s="1"/>
  <c r="AB64" i="69" s="1"/>
  <c r="AC64" i="69" s="1"/>
  <c r="AD64" i="69" s="1"/>
  <c r="U64" i="69"/>
  <c r="AE64" i="69"/>
  <c r="C66" i="69"/>
  <c r="AO66" i="69" s="1"/>
  <c r="O66" i="69"/>
  <c r="AN66" i="67" a="1"/>
  <c r="AN66" i="67" s="1"/>
  <c r="B67" i="69"/>
  <c r="L67" i="69" s="1"/>
  <c r="AN65" i="63" a="1"/>
  <c r="AN65" i="63" s="1"/>
  <c r="B66" i="65"/>
  <c r="L66" i="65" s="1"/>
  <c r="U63" i="65"/>
  <c r="Q63" i="65"/>
  <c r="R63" i="65"/>
  <c r="S63" i="65" s="1"/>
  <c r="Y63" i="65" s="1"/>
  <c r="AB63" i="65" s="1"/>
  <c r="AC63" i="65" s="1"/>
  <c r="AD63" i="65" s="1"/>
  <c r="P64" i="65"/>
  <c r="D64" i="65"/>
  <c r="E64" i="65" s="1"/>
  <c r="F64" i="65" s="1"/>
  <c r="G64" i="65" s="1"/>
  <c r="H64" i="65" s="1"/>
  <c r="I64" i="65" s="1"/>
  <c r="J64" i="65" s="1"/>
  <c r="K64" i="65" s="1"/>
  <c r="M64" i="65" s="1"/>
  <c r="N64" i="65"/>
  <c r="C65" i="65"/>
  <c r="AM65" i="65" s="1"/>
  <c r="O65" i="65"/>
  <c r="I69" i="22"/>
  <c r="I18" i="22"/>
  <c r="I98" i="22"/>
  <c r="I52" i="22"/>
  <c r="I85" i="22"/>
  <c r="I53" i="22"/>
  <c r="I51" i="22"/>
  <c r="J40" i="22"/>
  <c r="AX9" i="22" s="1"/>
  <c r="I17" i="22"/>
  <c r="I21" i="22"/>
  <c r="J87" i="22"/>
  <c r="AX18" i="22" s="1"/>
  <c r="AL21" i="59" a="1"/>
  <c r="AL21" i="59" s="1"/>
  <c r="E22" i="50" s="1"/>
  <c r="AK22" i="50" s="1"/>
  <c r="AL11" i="11" a="1"/>
  <c r="AL11" i="11" s="1"/>
  <c r="E12" i="32" s="1"/>
  <c r="AA79" i="53" l="1"/>
  <c r="AB79" i="53"/>
  <c r="X80" i="53"/>
  <c r="AB80" i="53" s="1"/>
  <c r="AI17" i="50"/>
  <c r="AF64" i="65"/>
  <c r="AE64" i="65"/>
  <c r="AE81" i="57"/>
  <c r="R81" i="57"/>
  <c r="AE81" i="53"/>
  <c r="R81" i="53"/>
  <c r="AG18" i="50"/>
  <c r="AH18" i="50" s="1"/>
  <c r="AL18" i="50"/>
  <c r="AB78" i="57"/>
  <c r="AF78" i="57"/>
  <c r="AG64" i="69"/>
  <c r="AG63" i="65"/>
  <c r="BG18" i="22"/>
  <c r="BG10" i="22"/>
  <c r="BG17" i="22"/>
  <c r="BG6" i="22"/>
  <c r="X79" i="57"/>
  <c r="AI16" i="50"/>
  <c r="AM17" i="50"/>
  <c r="U19" i="50"/>
  <c r="AD19" i="50" s="1"/>
  <c r="AA78" i="57"/>
  <c r="AX65" i="69"/>
  <c r="O82" i="57"/>
  <c r="AG82" i="57" s="1"/>
  <c r="L82" i="57"/>
  <c r="O22" i="50"/>
  <c r="AJ81" i="57"/>
  <c r="AC81" i="57"/>
  <c r="AP81" i="57"/>
  <c r="AH64" i="65"/>
  <c r="AV64" i="65"/>
  <c r="AG81" i="53"/>
  <c r="AH81" i="53"/>
  <c r="AC81" i="53"/>
  <c r="AT81" i="53"/>
  <c r="N82" i="57"/>
  <c r="H82" i="53"/>
  <c r="N82" i="53"/>
  <c r="AH65" i="69"/>
  <c r="AJ20" i="50"/>
  <c r="C20" i="50"/>
  <c r="AD81" i="57"/>
  <c r="AD81" i="53"/>
  <c r="Q81" i="53"/>
  <c r="V20" i="50"/>
  <c r="S21" i="50"/>
  <c r="AK81" i="52" a="1"/>
  <c r="AK81" i="52" s="1"/>
  <c r="B83" i="53" s="1"/>
  <c r="O83" i="53" s="1"/>
  <c r="K82" i="53"/>
  <c r="I82" i="53"/>
  <c r="P82" i="53"/>
  <c r="D82" i="53"/>
  <c r="F82" i="53"/>
  <c r="L82" i="53"/>
  <c r="G82" i="53"/>
  <c r="J82" i="53"/>
  <c r="C82" i="53"/>
  <c r="E82" i="53"/>
  <c r="I22" i="50"/>
  <c r="B22" i="50"/>
  <c r="R22" i="50" s="1"/>
  <c r="H22" i="50"/>
  <c r="G22" i="50"/>
  <c r="A22" i="50"/>
  <c r="Q22" i="50" s="1"/>
  <c r="P22" i="50" s="1"/>
  <c r="M22" i="50"/>
  <c r="N22" i="50"/>
  <c r="K22" i="50"/>
  <c r="L22" i="50"/>
  <c r="F22" i="50"/>
  <c r="J22" i="50"/>
  <c r="Q81" i="57"/>
  <c r="T80" i="57"/>
  <c r="Z20" i="50"/>
  <c r="W20" i="50"/>
  <c r="X20" i="50" s="1"/>
  <c r="T20" i="50" s="1"/>
  <c r="J82" i="57"/>
  <c r="G82" i="57"/>
  <c r="E82" i="57"/>
  <c r="H82" i="57"/>
  <c r="D82" i="57"/>
  <c r="K82" i="57"/>
  <c r="F82" i="57"/>
  <c r="I82" i="57"/>
  <c r="P82" i="57"/>
  <c r="C82" i="57"/>
  <c r="M82" i="57" s="1"/>
  <c r="AK81" i="55" a="1"/>
  <c r="AK81" i="55" s="1"/>
  <c r="B83" i="57" s="1"/>
  <c r="AN67" i="67" a="1"/>
  <c r="AN67" i="67" s="1"/>
  <c r="B68" i="69"/>
  <c r="L68" i="69" s="1"/>
  <c r="C67" i="69"/>
  <c r="AO67" i="69" s="1"/>
  <c r="O67" i="69"/>
  <c r="AE65" i="69"/>
  <c r="Q65" i="69"/>
  <c r="U65" i="69"/>
  <c r="R65" i="69"/>
  <c r="S65" i="69" s="1"/>
  <c r="Y65" i="69" s="1"/>
  <c r="AB65" i="69" s="1"/>
  <c r="AC65" i="69" s="1"/>
  <c r="AD65" i="69" s="1"/>
  <c r="D66" i="69"/>
  <c r="E66" i="69" s="1"/>
  <c r="F66" i="69" s="1"/>
  <c r="G66" i="69" s="1"/>
  <c r="H66" i="69" s="1"/>
  <c r="I66" i="69" s="1"/>
  <c r="J66" i="69" s="1"/>
  <c r="K66" i="69" s="1"/>
  <c r="M66" i="69" s="1"/>
  <c r="P66" i="69"/>
  <c r="N66" i="69"/>
  <c r="AF66" i="69" s="1"/>
  <c r="AN66" i="63" a="1"/>
  <c r="AN66" i="63" s="1"/>
  <c r="B67" i="65"/>
  <c r="L67" i="65" s="1"/>
  <c r="N65" i="65"/>
  <c r="P65" i="65"/>
  <c r="D65" i="65"/>
  <c r="E65" i="65" s="1"/>
  <c r="F65" i="65" s="1"/>
  <c r="G65" i="65" s="1"/>
  <c r="H65" i="65" s="1"/>
  <c r="I65" i="65" s="1"/>
  <c r="J65" i="65" s="1"/>
  <c r="K65" i="65" s="1"/>
  <c r="M65" i="65" s="1"/>
  <c r="C66" i="65"/>
  <c r="AM66" i="65" s="1"/>
  <c r="O66" i="65"/>
  <c r="R64" i="65"/>
  <c r="S64" i="65" s="1"/>
  <c r="Y64" i="65" s="1"/>
  <c r="AB64" i="65" s="1"/>
  <c r="AC64" i="65" s="1"/>
  <c r="AD64" i="65" s="1"/>
  <c r="Q64" i="65"/>
  <c r="U64" i="65"/>
  <c r="AL22" i="59" a="1"/>
  <c r="AL22" i="59" s="1"/>
  <c r="E23" i="50" s="1"/>
  <c r="AK23" i="50" s="1"/>
  <c r="AL12" i="11" a="1"/>
  <c r="AL12" i="11" s="1"/>
  <c r="E13" i="32" s="1"/>
  <c r="X81" i="53" l="1"/>
  <c r="AF81" i="53" s="1"/>
  <c r="AF80" i="53"/>
  <c r="AA80" i="53"/>
  <c r="AP17" i="50"/>
  <c r="AF65" i="65"/>
  <c r="AE65" i="65"/>
  <c r="AE82" i="57"/>
  <c r="R82" i="57"/>
  <c r="AE82" i="53"/>
  <c r="R82" i="53"/>
  <c r="AG19" i="50"/>
  <c r="AH19" i="50" s="1"/>
  <c r="AL19" i="50"/>
  <c r="AA79" i="57"/>
  <c r="AF79" i="57"/>
  <c r="AG65" i="69"/>
  <c r="AG64" i="65"/>
  <c r="U20" i="50"/>
  <c r="AD20" i="50" s="1"/>
  <c r="AB79" i="57"/>
  <c r="X80" i="57"/>
  <c r="AM16" i="50"/>
  <c r="AP16" i="50" s="1"/>
  <c r="AI18" i="50"/>
  <c r="AM18" i="50"/>
  <c r="AX66" i="69"/>
  <c r="O83" i="57"/>
  <c r="AG83" i="57" s="1"/>
  <c r="L83" i="57"/>
  <c r="O23" i="50"/>
  <c r="AJ82" i="57"/>
  <c r="AC82" i="57"/>
  <c r="AP82" i="57"/>
  <c r="AH65" i="65"/>
  <c r="AV65" i="65"/>
  <c r="AH82" i="53"/>
  <c r="AC82" i="53"/>
  <c r="AT82" i="53"/>
  <c r="AG82" i="53"/>
  <c r="N83" i="57"/>
  <c r="E83" i="53"/>
  <c r="N83" i="53"/>
  <c r="AH66" i="69"/>
  <c r="AJ21" i="50"/>
  <c r="C21" i="50"/>
  <c r="AD82" i="57"/>
  <c r="AD82" i="53"/>
  <c r="Q82" i="53"/>
  <c r="V21" i="50"/>
  <c r="S22" i="50"/>
  <c r="F83" i="53"/>
  <c r="K83" i="53"/>
  <c r="P83" i="53"/>
  <c r="G83" i="53"/>
  <c r="D83" i="53"/>
  <c r="H83" i="53"/>
  <c r="L83" i="53"/>
  <c r="AK82" i="52" a="1"/>
  <c r="AK82" i="52" s="1"/>
  <c r="B84" i="53" s="1"/>
  <c r="O84" i="53" s="1"/>
  <c r="J83" i="53"/>
  <c r="I83" i="53"/>
  <c r="C83" i="53"/>
  <c r="B23" i="50"/>
  <c r="R23" i="50" s="1"/>
  <c r="N23" i="50"/>
  <c r="M23" i="50"/>
  <c r="A23" i="50"/>
  <c r="Q23" i="50" s="1"/>
  <c r="P23" i="50" s="1"/>
  <c r="L23" i="50"/>
  <c r="G23" i="50"/>
  <c r="K23" i="50"/>
  <c r="J23" i="50"/>
  <c r="I23" i="50"/>
  <c r="F23" i="50"/>
  <c r="H23" i="50"/>
  <c r="Z21" i="50"/>
  <c r="W21" i="50"/>
  <c r="X21" i="50" s="1"/>
  <c r="T21" i="50" s="1"/>
  <c r="H83" i="57"/>
  <c r="P83" i="57"/>
  <c r="D83" i="57"/>
  <c r="C83" i="57"/>
  <c r="M83" i="57" s="1"/>
  <c r="K83" i="57"/>
  <c r="I83" i="57"/>
  <c r="G83" i="57"/>
  <c r="E83" i="57"/>
  <c r="F83" i="57"/>
  <c r="J83" i="57"/>
  <c r="Q82" i="57"/>
  <c r="T81" i="57"/>
  <c r="AK82" i="55" a="1"/>
  <c r="AK82" i="55" s="1"/>
  <c r="B84" i="57" s="1"/>
  <c r="N67" i="69"/>
  <c r="AF67" i="69" s="1"/>
  <c r="P67" i="69"/>
  <c r="D67" i="69"/>
  <c r="E67" i="69" s="1"/>
  <c r="F67" i="69" s="1"/>
  <c r="G67" i="69" s="1"/>
  <c r="H67" i="69" s="1"/>
  <c r="I67" i="69" s="1"/>
  <c r="J67" i="69" s="1"/>
  <c r="K67" i="69" s="1"/>
  <c r="M67" i="69" s="1"/>
  <c r="Q66" i="69"/>
  <c r="R66" i="69"/>
  <c r="S66" i="69" s="1"/>
  <c r="Y66" i="69" s="1"/>
  <c r="AB66" i="69" s="1"/>
  <c r="AC66" i="69" s="1"/>
  <c r="AD66" i="69" s="1"/>
  <c r="U66" i="69"/>
  <c r="AE66" i="69"/>
  <c r="C68" i="69"/>
  <c r="AO68" i="69" s="1"/>
  <c r="O68" i="69"/>
  <c r="AN68" i="67" a="1"/>
  <c r="AN68" i="67" s="1"/>
  <c r="B69" i="69"/>
  <c r="L69" i="69" s="1"/>
  <c r="AN67" i="63" a="1"/>
  <c r="AN67" i="63" s="1"/>
  <c r="B68" i="65"/>
  <c r="L68" i="65" s="1"/>
  <c r="O67" i="65"/>
  <c r="C67" i="65"/>
  <c r="AM67" i="65" s="1"/>
  <c r="D66" i="65"/>
  <c r="E66" i="65" s="1"/>
  <c r="F66" i="65" s="1"/>
  <c r="G66" i="65" s="1"/>
  <c r="H66" i="65" s="1"/>
  <c r="I66" i="65" s="1"/>
  <c r="J66" i="65" s="1"/>
  <c r="K66" i="65" s="1"/>
  <c r="M66" i="65" s="1"/>
  <c r="P66" i="65"/>
  <c r="N66" i="65"/>
  <c r="U65" i="65"/>
  <c r="R65" i="65"/>
  <c r="S65" i="65" s="1"/>
  <c r="Y65" i="65" s="1"/>
  <c r="AB65" i="65" s="1"/>
  <c r="AC65" i="65" s="1"/>
  <c r="AD65" i="65" s="1"/>
  <c r="Q65" i="65"/>
  <c r="AL23" i="59" a="1"/>
  <c r="AL23" i="59" s="1"/>
  <c r="E24" i="50" s="1"/>
  <c r="AK24" i="50" s="1"/>
  <c r="AL13" i="11" a="1"/>
  <c r="AL13" i="11" s="1"/>
  <c r="E14" i="32" s="1"/>
  <c r="AK14" i="32" s="1"/>
  <c r="AB81" i="53" l="1"/>
  <c r="AA81" i="53"/>
  <c r="AI19" i="50"/>
  <c r="AF66" i="65"/>
  <c r="AE66" i="65"/>
  <c r="AE83" i="57"/>
  <c r="R83" i="57"/>
  <c r="AE83" i="53"/>
  <c r="R83" i="53"/>
  <c r="AG20" i="50"/>
  <c r="AH20" i="50" s="1"/>
  <c r="AL20" i="50"/>
  <c r="AB80" i="57"/>
  <c r="AF80" i="57"/>
  <c r="AG66" i="69"/>
  <c r="AG65" i="65"/>
  <c r="AP18" i="50"/>
  <c r="AA80" i="57"/>
  <c r="AM19" i="50"/>
  <c r="U21" i="50"/>
  <c r="AD21" i="50" s="1"/>
  <c r="AX67" i="69"/>
  <c r="O84" i="57"/>
  <c r="AG84" i="57" s="1"/>
  <c r="L84" i="57"/>
  <c r="O24" i="50"/>
  <c r="X81" i="57"/>
  <c r="AF81" i="57" s="1"/>
  <c r="AJ83" i="57"/>
  <c r="AC83" i="57"/>
  <c r="AP83" i="57"/>
  <c r="AH66" i="65"/>
  <c r="AV66" i="65"/>
  <c r="AG83" i="53"/>
  <c r="AH83" i="53"/>
  <c r="AC83" i="53"/>
  <c r="AT83" i="53"/>
  <c r="N84" i="57"/>
  <c r="D84" i="53"/>
  <c r="N84" i="53"/>
  <c r="AH67" i="69"/>
  <c r="AJ22" i="50"/>
  <c r="C22" i="50"/>
  <c r="AD83" i="57"/>
  <c r="AD83" i="53"/>
  <c r="X82" i="53"/>
  <c r="AF82" i="53" s="1"/>
  <c r="S23" i="50"/>
  <c r="V22" i="50"/>
  <c r="Q83" i="53"/>
  <c r="G84" i="53"/>
  <c r="P84" i="53"/>
  <c r="H84" i="53"/>
  <c r="F84" i="53"/>
  <c r="AK83" i="52" a="1"/>
  <c r="AK83" i="52" s="1"/>
  <c r="B85" i="53" s="1"/>
  <c r="O85" i="53" s="1"/>
  <c r="K84" i="53"/>
  <c r="E84" i="53"/>
  <c r="L84" i="53"/>
  <c r="C84" i="53"/>
  <c r="J84" i="53"/>
  <c r="I84" i="53"/>
  <c r="F24" i="50"/>
  <c r="J24" i="50"/>
  <c r="I24" i="50"/>
  <c r="M24" i="50"/>
  <c r="L24" i="50"/>
  <c r="B24" i="50"/>
  <c r="R24" i="50" s="1"/>
  <c r="K24" i="50"/>
  <c r="A24" i="50"/>
  <c r="Q24" i="50" s="1"/>
  <c r="P24" i="50" s="1"/>
  <c r="G24" i="50"/>
  <c r="N24" i="50"/>
  <c r="H24" i="50"/>
  <c r="Q83" i="57"/>
  <c r="T82" i="57"/>
  <c r="F84" i="57"/>
  <c r="C84" i="57"/>
  <c r="M84" i="57" s="1"/>
  <c r="K84" i="57"/>
  <c r="I84" i="57"/>
  <c r="H84" i="57"/>
  <c r="D84" i="57"/>
  <c r="G84" i="57"/>
  <c r="E84" i="57"/>
  <c r="J84" i="57"/>
  <c r="P84" i="57"/>
  <c r="Z22" i="50"/>
  <c r="W22" i="50"/>
  <c r="X22" i="50" s="1"/>
  <c r="T22" i="50" s="1"/>
  <c r="AK83" i="55" a="1"/>
  <c r="AK83" i="55" s="1"/>
  <c r="B85" i="57" s="1"/>
  <c r="AN69" i="67" a="1"/>
  <c r="AN69" i="67" s="1"/>
  <c r="B70" i="69"/>
  <c r="L70" i="69" s="1"/>
  <c r="AE67" i="69"/>
  <c r="Q67" i="69"/>
  <c r="R67" i="69"/>
  <c r="S67" i="69" s="1"/>
  <c r="Y67" i="69" s="1"/>
  <c r="AB67" i="69" s="1"/>
  <c r="AC67" i="69" s="1"/>
  <c r="AD67" i="69" s="1"/>
  <c r="U67" i="69"/>
  <c r="C69" i="69"/>
  <c r="AO69" i="69" s="1"/>
  <c r="O69" i="69"/>
  <c r="D68" i="69"/>
  <c r="E68" i="69" s="1"/>
  <c r="F68" i="69" s="1"/>
  <c r="G68" i="69" s="1"/>
  <c r="H68" i="69" s="1"/>
  <c r="I68" i="69" s="1"/>
  <c r="J68" i="69" s="1"/>
  <c r="K68" i="69" s="1"/>
  <c r="M68" i="69" s="1"/>
  <c r="P68" i="69"/>
  <c r="N68" i="69"/>
  <c r="AF68" i="69" s="1"/>
  <c r="AN68" i="63" a="1"/>
  <c r="AN68" i="63" s="1"/>
  <c r="B69" i="65"/>
  <c r="L69" i="65" s="1"/>
  <c r="U66" i="65"/>
  <c r="Q66" i="65"/>
  <c r="R66" i="65"/>
  <c r="S66" i="65" s="1"/>
  <c r="Y66" i="65" s="1"/>
  <c r="AB66" i="65" s="1"/>
  <c r="AC66" i="65" s="1"/>
  <c r="AD66" i="65" s="1"/>
  <c r="P67" i="65"/>
  <c r="N67" i="65"/>
  <c r="D67" i="65"/>
  <c r="E67" i="65" s="1"/>
  <c r="F67" i="65" s="1"/>
  <c r="G67" i="65" s="1"/>
  <c r="H67" i="65" s="1"/>
  <c r="I67" i="65" s="1"/>
  <c r="J67" i="65" s="1"/>
  <c r="K67" i="65" s="1"/>
  <c r="M67" i="65" s="1"/>
  <c r="C68" i="65"/>
  <c r="AM68" i="65" s="1"/>
  <c r="O68" i="65"/>
  <c r="AL24" i="59" a="1"/>
  <c r="AL24" i="59" s="1"/>
  <c r="E25" i="50" s="1"/>
  <c r="AK25" i="50" s="1"/>
  <c r="AL14" i="11" a="1"/>
  <c r="AL14" i="11" s="1"/>
  <c r="E15" i="32" s="1"/>
  <c r="AK15" i="32" s="1"/>
  <c r="AP19" i="50" l="1"/>
  <c r="AI20" i="50"/>
  <c r="AF67" i="65"/>
  <c r="AE67" i="65"/>
  <c r="AE84" i="57"/>
  <c r="R84" i="57"/>
  <c r="AE84" i="53"/>
  <c r="R84" i="53"/>
  <c r="AG21" i="50"/>
  <c r="AH21" i="50" s="1"/>
  <c r="AL21" i="50"/>
  <c r="AG67" i="69"/>
  <c r="AG66" i="65"/>
  <c r="AM20" i="50"/>
  <c r="U22" i="50"/>
  <c r="AD22" i="50" s="1"/>
  <c r="AX68" i="69"/>
  <c r="L85" i="57"/>
  <c r="O85" i="57"/>
  <c r="AG85" i="57" s="1"/>
  <c r="T25" i="50"/>
  <c r="O25" i="50"/>
  <c r="X82" i="57"/>
  <c r="AC84" i="57"/>
  <c r="AJ84" i="57"/>
  <c r="AP84" i="57"/>
  <c r="AB81" i="57"/>
  <c r="AA81" i="57"/>
  <c r="AH67" i="65"/>
  <c r="AV67" i="65"/>
  <c r="AG84" i="53"/>
  <c r="AH84" i="53"/>
  <c r="AC84" i="53"/>
  <c r="AT84" i="53"/>
  <c r="AB82" i="53"/>
  <c r="AA82" i="53"/>
  <c r="N85" i="57"/>
  <c r="J85" i="53"/>
  <c r="N85" i="53"/>
  <c r="AH68" i="69"/>
  <c r="AJ23" i="50"/>
  <c r="C23" i="50"/>
  <c r="AD84" i="57"/>
  <c r="AD84" i="53"/>
  <c r="X83" i="53"/>
  <c r="AF83" i="53" s="1"/>
  <c r="Q84" i="53"/>
  <c r="S24" i="50"/>
  <c r="V23" i="50"/>
  <c r="E85" i="53"/>
  <c r="D85" i="53"/>
  <c r="P85" i="53"/>
  <c r="C85" i="53"/>
  <c r="AK84" i="52" a="1"/>
  <c r="AK84" i="52" s="1"/>
  <c r="B86" i="53" s="1"/>
  <c r="O86" i="53" s="1"/>
  <c r="G85" i="53"/>
  <c r="H85" i="53"/>
  <c r="F85" i="53"/>
  <c r="L85" i="53"/>
  <c r="K85" i="53"/>
  <c r="I85" i="53"/>
  <c r="M25" i="50"/>
  <c r="J25" i="50"/>
  <c r="G25" i="50"/>
  <c r="L25" i="50"/>
  <c r="H25" i="50"/>
  <c r="I25" i="50"/>
  <c r="K25" i="50"/>
  <c r="B25" i="50"/>
  <c r="R25" i="50" s="1"/>
  <c r="F25" i="50"/>
  <c r="A25" i="50"/>
  <c r="Q25" i="50" s="1"/>
  <c r="P25" i="50" s="1"/>
  <c r="N25" i="50"/>
  <c r="Z23" i="50"/>
  <c r="W23" i="50"/>
  <c r="X23" i="50" s="1"/>
  <c r="T23" i="50" s="1"/>
  <c r="T83" i="57"/>
  <c r="Q84" i="57"/>
  <c r="C85" i="57"/>
  <c r="M85" i="57" s="1"/>
  <c r="I85" i="57"/>
  <c r="H85" i="57"/>
  <c r="G85" i="57"/>
  <c r="E85" i="57"/>
  <c r="P85" i="57"/>
  <c r="D85" i="57"/>
  <c r="K85" i="57"/>
  <c r="F85" i="57"/>
  <c r="J85" i="57"/>
  <c r="AK84" i="55" a="1"/>
  <c r="AK84" i="55" s="1"/>
  <c r="B86" i="57" s="1"/>
  <c r="D69" i="69"/>
  <c r="E69" i="69" s="1"/>
  <c r="F69" i="69" s="1"/>
  <c r="G69" i="69" s="1"/>
  <c r="H69" i="69" s="1"/>
  <c r="I69" i="69" s="1"/>
  <c r="J69" i="69" s="1"/>
  <c r="K69" i="69" s="1"/>
  <c r="M69" i="69" s="1"/>
  <c r="N69" i="69"/>
  <c r="AF69" i="69" s="1"/>
  <c r="P69" i="69"/>
  <c r="AE68" i="69"/>
  <c r="U68" i="69"/>
  <c r="Q68" i="69"/>
  <c r="R68" i="69"/>
  <c r="S68" i="69" s="1"/>
  <c r="Y68" i="69" s="1"/>
  <c r="AB68" i="69" s="1"/>
  <c r="AC68" i="69" s="1"/>
  <c r="AD68" i="69" s="1"/>
  <c r="C70" i="69"/>
  <c r="AO70" i="69" s="1"/>
  <c r="O70" i="69"/>
  <c r="AN70" i="67" a="1"/>
  <c r="AN70" i="67" s="1"/>
  <c r="B71" i="69"/>
  <c r="L71" i="69" s="1"/>
  <c r="C69" i="65"/>
  <c r="AM69" i="65" s="1"/>
  <c r="O69" i="65"/>
  <c r="P68" i="65"/>
  <c r="D68" i="65"/>
  <c r="E68" i="65" s="1"/>
  <c r="F68" i="65" s="1"/>
  <c r="G68" i="65" s="1"/>
  <c r="H68" i="65" s="1"/>
  <c r="I68" i="65" s="1"/>
  <c r="J68" i="65" s="1"/>
  <c r="K68" i="65" s="1"/>
  <c r="M68" i="65" s="1"/>
  <c r="N68" i="65"/>
  <c r="AN69" i="63" a="1"/>
  <c r="AN69" i="63" s="1"/>
  <c r="B70" i="65"/>
  <c r="L70" i="65" s="1"/>
  <c r="U67" i="65"/>
  <c r="R67" i="65"/>
  <c r="S67" i="65" s="1"/>
  <c r="Y67" i="65" s="1"/>
  <c r="AB67" i="65" s="1"/>
  <c r="AC67" i="65" s="1"/>
  <c r="AD67" i="65" s="1"/>
  <c r="Q67" i="65"/>
  <c r="AL25" i="59" a="1"/>
  <c r="AL25" i="59" s="1"/>
  <c r="E26" i="50" s="1"/>
  <c r="AK26" i="50" s="1"/>
  <c r="AL15" i="11" a="1"/>
  <c r="AL15" i="11" s="1"/>
  <c r="E16" i="32" s="1"/>
  <c r="AK16" i="32" s="1"/>
  <c r="X84" i="53" l="1"/>
  <c r="AA84" i="53" s="1"/>
  <c r="AP20" i="50"/>
  <c r="AI21" i="50"/>
  <c r="AF68" i="65"/>
  <c r="AE68" i="65"/>
  <c r="AE85" i="57"/>
  <c r="R85" i="57"/>
  <c r="AE85" i="53"/>
  <c r="R85" i="53"/>
  <c r="AG22" i="50"/>
  <c r="AH22" i="50" s="1"/>
  <c r="AL22" i="50"/>
  <c r="AB82" i="57"/>
  <c r="AF82" i="57"/>
  <c r="AG68" i="69"/>
  <c r="AG67" i="65"/>
  <c r="AM21" i="50"/>
  <c r="U23" i="50"/>
  <c r="AD23" i="50" s="1"/>
  <c r="AX69" i="69"/>
  <c r="AA82" i="57"/>
  <c r="O86" i="57"/>
  <c r="AG86" i="57" s="1"/>
  <c r="L86" i="57"/>
  <c r="O26" i="50"/>
  <c r="T26" i="50"/>
  <c r="X83" i="57"/>
  <c r="AC85" i="57"/>
  <c r="AJ85" i="57"/>
  <c r="AP85" i="57"/>
  <c r="AM25" i="50"/>
  <c r="U25" i="50"/>
  <c r="AH68" i="65"/>
  <c r="AV68" i="65"/>
  <c r="AH85" i="53"/>
  <c r="AC85" i="53"/>
  <c r="AT85" i="53"/>
  <c r="AG85" i="53"/>
  <c r="AB83" i="53"/>
  <c r="AA83" i="53"/>
  <c r="N86" i="57"/>
  <c r="N86" i="53"/>
  <c r="AH69" i="69"/>
  <c r="AJ24" i="50"/>
  <c r="C24" i="50"/>
  <c r="AD85" i="57"/>
  <c r="AD85" i="53"/>
  <c r="Q85" i="53"/>
  <c r="S25" i="50"/>
  <c r="V24" i="50"/>
  <c r="C86" i="53"/>
  <c r="H86" i="53"/>
  <c r="AK85" i="52" a="1"/>
  <c r="AK85" i="52" s="1"/>
  <c r="B87" i="53" s="1"/>
  <c r="O87" i="53" s="1"/>
  <c r="J86" i="53"/>
  <c r="E86" i="53"/>
  <c r="I86" i="53"/>
  <c r="F86" i="53"/>
  <c r="L86" i="53"/>
  <c r="P86" i="53"/>
  <c r="K86" i="53"/>
  <c r="D86" i="53"/>
  <c r="G86" i="53"/>
  <c r="A26" i="50"/>
  <c r="Q26" i="50" s="1"/>
  <c r="P26" i="50" s="1"/>
  <c r="H26" i="50"/>
  <c r="J26" i="50"/>
  <c r="M26" i="50"/>
  <c r="G26" i="50"/>
  <c r="K26" i="50"/>
  <c r="N26" i="50"/>
  <c r="F26" i="50"/>
  <c r="L26" i="50"/>
  <c r="B26" i="50"/>
  <c r="R26" i="50" s="1"/>
  <c r="I26" i="50"/>
  <c r="Q85" i="57"/>
  <c r="Z24" i="50"/>
  <c r="W24" i="50"/>
  <c r="X24" i="50" s="1"/>
  <c r="T24" i="50" s="1"/>
  <c r="J86" i="57"/>
  <c r="G86" i="57"/>
  <c r="E86" i="57"/>
  <c r="H86" i="57"/>
  <c r="D86" i="57"/>
  <c r="I86" i="57"/>
  <c r="C86" i="57"/>
  <c r="M86" i="57" s="1"/>
  <c r="K86" i="57"/>
  <c r="P86" i="57"/>
  <c r="F86" i="57"/>
  <c r="T84" i="57"/>
  <c r="AK85" i="55" a="1"/>
  <c r="AK85" i="55" s="1"/>
  <c r="B87" i="57" s="1"/>
  <c r="AN71" i="67" a="1"/>
  <c r="AN71" i="67" s="1"/>
  <c r="B72" i="69"/>
  <c r="L72" i="69" s="1"/>
  <c r="C71" i="69"/>
  <c r="AO71" i="69" s="1"/>
  <c r="O71" i="69"/>
  <c r="D70" i="69"/>
  <c r="E70" i="69" s="1"/>
  <c r="F70" i="69" s="1"/>
  <c r="G70" i="69" s="1"/>
  <c r="H70" i="69" s="1"/>
  <c r="I70" i="69" s="1"/>
  <c r="J70" i="69" s="1"/>
  <c r="K70" i="69" s="1"/>
  <c r="M70" i="69" s="1"/>
  <c r="N70" i="69"/>
  <c r="AF70" i="69" s="1"/>
  <c r="P70" i="69"/>
  <c r="AE69" i="69"/>
  <c r="Q69" i="69"/>
  <c r="U69" i="69"/>
  <c r="R69" i="69"/>
  <c r="S69" i="69" s="1"/>
  <c r="Y69" i="69" s="1"/>
  <c r="AB69" i="69" s="1"/>
  <c r="AC69" i="69" s="1"/>
  <c r="AD69" i="69" s="1"/>
  <c r="N69" i="65"/>
  <c r="D69" i="65"/>
  <c r="E69" i="65" s="1"/>
  <c r="F69" i="65" s="1"/>
  <c r="G69" i="65" s="1"/>
  <c r="H69" i="65" s="1"/>
  <c r="I69" i="65" s="1"/>
  <c r="J69" i="65" s="1"/>
  <c r="K69" i="65" s="1"/>
  <c r="M69" i="65" s="1"/>
  <c r="P69" i="65"/>
  <c r="C70" i="65"/>
  <c r="AM70" i="65" s="1"/>
  <c r="O70" i="65"/>
  <c r="AN70" i="63" a="1"/>
  <c r="AN70" i="63" s="1"/>
  <c r="B71" i="65"/>
  <c r="L71" i="65" s="1"/>
  <c r="U68" i="65"/>
  <c r="Q68" i="65"/>
  <c r="R68" i="65"/>
  <c r="S68" i="65" s="1"/>
  <c r="Y68" i="65" s="1"/>
  <c r="AB68" i="65" s="1"/>
  <c r="AC68" i="65" s="1"/>
  <c r="AD68" i="65" s="1"/>
  <c r="AL26" i="59" a="1"/>
  <c r="AL26" i="59" s="1"/>
  <c r="E27" i="50" s="1"/>
  <c r="AK27" i="50" s="1"/>
  <c r="AL16" i="11" a="1"/>
  <c r="AL16" i="11" s="1"/>
  <c r="E17" i="32" s="1"/>
  <c r="AK17" i="32" s="1"/>
  <c r="AB84" i="53" l="1"/>
  <c r="AF84" i="53"/>
  <c r="AI22" i="50"/>
  <c r="AP21" i="50"/>
  <c r="X85" i="53"/>
  <c r="AF85" i="53" s="1"/>
  <c r="AF69" i="65"/>
  <c r="AE69" i="65"/>
  <c r="AE86" i="57"/>
  <c r="R86" i="57"/>
  <c r="AE86" i="53"/>
  <c r="R86" i="53"/>
  <c r="AG23" i="50"/>
  <c r="AH23" i="50" s="1"/>
  <c r="AL23" i="50"/>
  <c r="AA83" i="57"/>
  <c r="AF83" i="57"/>
  <c r="AG69" i="69"/>
  <c r="AG68" i="65"/>
  <c r="U24" i="50"/>
  <c r="AD24" i="50" s="1"/>
  <c r="AM22" i="50"/>
  <c r="AX70" i="69"/>
  <c r="X84" i="57"/>
  <c r="AB83" i="57"/>
  <c r="O87" i="57"/>
  <c r="AG87" i="57" s="1"/>
  <c r="L87" i="57"/>
  <c r="O27" i="50"/>
  <c r="T27" i="50"/>
  <c r="AD25" i="50"/>
  <c r="AM26" i="50"/>
  <c r="U26" i="50"/>
  <c r="AJ86" i="57"/>
  <c r="AC86" i="57"/>
  <c r="AP86" i="57"/>
  <c r="AH69" i="65"/>
  <c r="AV69" i="65"/>
  <c r="AH86" i="53"/>
  <c r="AT86" i="53"/>
  <c r="AC86" i="53"/>
  <c r="AG86" i="53"/>
  <c r="N87" i="57"/>
  <c r="J87" i="53"/>
  <c r="N87" i="53"/>
  <c r="AH70" i="69"/>
  <c r="AJ25" i="50"/>
  <c r="C25" i="50"/>
  <c r="AD86" i="57"/>
  <c r="AD86" i="53"/>
  <c r="S26" i="50"/>
  <c r="V25" i="50"/>
  <c r="Q86" i="53"/>
  <c r="C87" i="53"/>
  <c r="D87" i="53"/>
  <c r="AK86" i="52" a="1"/>
  <c r="AK86" i="52" s="1"/>
  <c r="B88" i="53" s="1"/>
  <c r="O88" i="53" s="1"/>
  <c r="L87" i="53"/>
  <c r="I87" i="53"/>
  <c r="G87" i="53"/>
  <c r="P87" i="53"/>
  <c r="K87" i="53"/>
  <c r="E87" i="53"/>
  <c r="H87" i="53"/>
  <c r="F87" i="53"/>
  <c r="F27" i="50"/>
  <c r="A27" i="50"/>
  <c r="Q27" i="50" s="1"/>
  <c r="P27" i="50" s="1"/>
  <c r="K27" i="50"/>
  <c r="M27" i="50"/>
  <c r="L27" i="50"/>
  <c r="B27" i="50"/>
  <c r="R27" i="50" s="1"/>
  <c r="I27" i="50"/>
  <c r="H27" i="50"/>
  <c r="J27" i="50"/>
  <c r="G27" i="50"/>
  <c r="N27" i="50"/>
  <c r="Q86" i="57"/>
  <c r="Z25" i="50"/>
  <c r="W25" i="50"/>
  <c r="X25" i="50" s="1"/>
  <c r="T85" i="57"/>
  <c r="P87" i="57"/>
  <c r="D87" i="57"/>
  <c r="C87" i="57"/>
  <c r="M87" i="57" s="1"/>
  <c r="K87" i="57"/>
  <c r="I87" i="57"/>
  <c r="H87" i="57"/>
  <c r="G87" i="57"/>
  <c r="E87" i="57"/>
  <c r="F87" i="57"/>
  <c r="J87" i="57"/>
  <c r="AK86" i="55" a="1"/>
  <c r="AK86" i="55" s="1"/>
  <c r="B88" i="57" s="1"/>
  <c r="AN72" i="67" a="1"/>
  <c r="AN72" i="67" s="1"/>
  <c r="B73" i="69"/>
  <c r="L73" i="69" s="1"/>
  <c r="P71" i="69"/>
  <c r="D71" i="69"/>
  <c r="E71" i="69" s="1"/>
  <c r="F71" i="69" s="1"/>
  <c r="G71" i="69" s="1"/>
  <c r="H71" i="69" s="1"/>
  <c r="I71" i="69" s="1"/>
  <c r="J71" i="69" s="1"/>
  <c r="K71" i="69" s="1"/>
  <c r="M71" i="69" s="1"/>
  <c r="N71" i="69"/>
  <c r="AF71" i="69" s="1"/>
  <c r="AE70" i="69"/>
  <c r="R70" i="69"/>
  <c r="S70" i="69" s="1"/>
  <c r="Y70" i="69" s="1"/>
  <c r="AB70" i="69" s="1"/>
  <c r="AC70" i="69" s="1"/>
  <c r="AD70" i="69" s="1"/>
  <c r="U70" i="69"/>
  <c r="Q70" i="69"/>
  <c r="C72" i="69"/>
  <c r="AO72" i="69" s="1"/>
  <c r="O72" i="69"/>
  <c r="AN71" i="63" a="1"/>
  <c r="AN71" i="63" s="1"/>
  <c r="B72" i="65"/>
  <c r="L72" i="65" s="1"/>
  <c r="P70" i="65"/>
  <c r="D70" i="65"/>
  <c r="E70" i="65" s="1"/>
  <c r="F70" i="65" s="1"/>
  <c r="G70" i="65" s="1"/>
  <c r="H70" i="65" s="1"/>
  <c r="I70" i="65" s="1"/>
  <c r="J70" i="65" s="1"/>
  <c r="K70" i="65" s="1"/>
  <c r="M70" i="65" s="1"/>
  <c r="N70" i="65"/>
  <c r="C71" i="65"/>
  <c r="AM71" i="65" s="1"/>
  <c r="O71" i="65"/>
  <c r="U69" i="65"/>
  <c r="Q69" i="65"/>
  <c r="R69" i="65"/>
  <c r="S69" i="65" s="1"/>
  <c r="Y69" i="65" s="1"/>
  <c r="AB69" i="65" s="1"/>
  <c r="AC69" i="65" s="1"/>
  <c r="AD69" i="65" s="1"/>
  <c r="AL27" i="59" a="1"/>
  <c r="AL27" i="59" s="1"/>
  <c r="E28" i="50" s="1"/>
  <c r="AK28" i="50" s="1"/>
  <c r="AL17" i="11" a="1"/>
  <c r="AL17" i="11" s="1"/>
  <c r="E18" i="32" s="1"/>
  <c r="AK18" i="32" s="1"/>
  <c r="AP22" i="50" l="1"/>
  <c r="AA85" i="53"/>
  <c r="AB85" i="53"/>
  <c r="AF70" i="65"/>
  <c r="AE70" i="65"/>
  <c r="AE87" i="57"/>
  <c r="R87" i="57"/>
  <c r="AE87" i="53"/>
  <c r="R87" i="53"/>
  <c r="AG24" i="50"/>
  <c r="AH24" i="50" s="1"/>
  <c r="AL24" i="50"/>
  <c r="AG25" i="50"/>
  <c r="AH25" i="50" s="1"/>
  <c r="AL25" i="50"/>
  <c r="AB84" i="57"/>
  <c r="AF84" i="57"/>
  <c r="AG70" i="69"/>
  <c r="AG69" i="65"/>
  <c r="AM23" i="50"/>
  <c r="AI23" i="50"/>
  <c r="AX71" i="69"/>
  <c r="AA84" i="57"/>
  <c r="O88" i="57"/>
  <c r="AG88" i="57" s="1"/>
  <c r="L88" i="57"/>
  <c r="T28" i="50"/>
  <c r="O28" i="50"/>
  <c r="X85" i="57"/>
  <c r="AJ87" i="57"/>
  <c r="AC87" i="57"/>
  <c r="AP87" i="57"/>
  <c r="AD26" i="50"/>
  <c r="AM27" i="50"/>
  <c r="U27" i="50"/>
  <c r="AH70" i="65"/>
  <c r="AV70" i="65"/>
  <c r="AG87" i="53"/>
  <c r="AH87" i="53"/>
  <c r="AT87" i="53"/>
  <c r="AC87" i="53"/>
  <c r="N88" i="57"/>
  <c r="K88" i="53"/>
  <c r="N88" i="53"/>
  <c r="AH71" i="69"/>
  <c r="AJ26" i="50"/>
  <c r="C26" i="50"/>
  <c r="AD87" i="57"/>
  <c r="AD87" i="53"/>
  <c r="X86" i="53"/>
  <c r="AF86" i="53" s="1"/>
  <c r="S27" i="50"/>
  <c r="V26" i="50"/>
  <c r="Q87" i="53"/>
  <c r="P88" i="53"/>
  <c r="D88" i="53"/>
  <c r="C88" i="53"/>
  <c r="E88" i="53"/>
  <c r="H88" i="53"/>
  <c r="F88" i="53"/>
  <c r="AK87" i="52" a="1"/>
  <c r="AK87" i="52" s="1"/>
  <c r="B89" i="53" s="1"/>
  <c r="O89" i="53" s="1"/>
  <c r="L88" i="53"/>
  <c r="I88" i="53"/>
  <c r="G88" i="53"/>
  <c r="J88" i="53"/>
  <c r="I28" i="50"/>
  <c r="N28" i="50"/>
  <c r="H28" i="50"/>
  <c r="M28" i="50"/>
  <c r="L28" i="50"/>
  <c r="K28" i="50"/>
  <c r="G28" i="50"/>
  <c r="F28" i="50"/>
  <c r="J28" i="50"/>
  <c r="B28" i="50"/>
  <c r="R28" i="50" s="1"/>
  <c r="A28" i="50"/>
  <c r="Q28" i="50" s="1"/>
  <c r="P28" i="50" s="1"/>
  <c r="W26" i="50"/>
  <c r="X26" i="50" s="1"/>
  <c r="Z26" i="50"/>
  <c r="E88" i="57"/>
  <c r="C88" i="57"/>
  <c r="M88" i="57" s="1"/>
  <c r="K88" i="57"/>
  <c r="J88" i="57"/>
  <c r="I88" i="57"/>
  <c r="F88" i="57"/>
  <c r="P88" i="57"/>
  <c r="H88" i="57"/>
  <c r="D88" i="57"/>
  <c r="G88" i="57"/>
  <c r="Q87" i="57"/>
  <c r="T86" i="57"/>
  <c r="AK87" i="55" a="1"/>
  <c r="AK87" i="55" s="1"/>
  <c r="B89" i="57" s="1"/>
  <c r="AE71" i="69"/>
  <c r="Q71" i="69"/>
  <c r="U71" i="69"/>
  <c r="R71" i="69"/>
  <c r="S71" i="69" s="1"/>
  <c r="Y71" i="69" s="1"/>
  <c r="AB71" i="69" s="1"/>
  <c r="AC71" i="69" s="1"/>
  <c r="AD71" i="69" s="1"/>
  <c r="D72" i="69"/>
  <c r="E72" i="69" s="1"/>
  <c r="F72" i="69" s="1"/>
  <c r="G72" i="69" s="1"/>
  <c r="H72" i="69" s="1"/>
  <c r="I72" i="69" s="1"/>
  <c r="J72" i="69" s="1"/>
  <c r="K72" i="69" s="1"/>
  <c r="M72" i="69" s="1"/>
  <c r="N72" i="69"/>
  <c r="AF72" i="69" s="1"/>
  <c r="P72" i="69"/>
  <c r="C73" i="69"/>
  <c r="AO73" i="69" s="1"/>
  <c r="O73" i="69"/>
  <c r="AN73" i="67" a="1"/>
  <c r="AN73" i="67" s="1"/>
  <c r="B74" i="69"/>
  <c r="L74" i="69" s="1"/>
  <c r="AN72" i="63" a="1"/>
  <c r="AN72" i="63" s="1"/>
  <c r="B73" i="65"/>
  <c r="L73" i="65" s="1"/>
  <c r="P71" i="65"/>
  <c r="D71" i="65"/>
  <c r="E71" i="65" s="1"/>
  <c r="F71" i="65" s="1"/>
  <c r="G71" i="65" s="1"/>
  <c r="H71" i="65" s="1"/>
  <c r="I71" i="65" s="1"/>
  <c r="J71" i="65" s="1"/>
  <c r="K71" i="65" s="1"/>
  <c r="M71" i="65" s="1"/>
  <c r="N71" i="65"/>
  <c r="C72" i="65"/>
  <c r="AM72" i="65" s="1"/>
  <c r="O72" i="65"/>
  <c r="Q70" i="65"/>
  <c r="R70" i="65"/>
  <c r="S70" i="65" s="1"/>
  <c r="Y70" i="65" s="1"/>
  <c r="AB70" i="65" s="1"/>
  <c r="AC70" i="65" s="1"/>
  <c r="AD70" i="65" s="1"/>
  <c r="U70" i="65"/>
  <c r="AL28" i="59" a="1"/>
  <c r="AL28" i="59" s="1"/>
  <c r="E29" i="50" s="1"/>
  <c r="AK29" i="50" s="1"/>
  <c r="AL18" i="11" a="1"/>
  <c r="AL18" i="11" s="1"/>
  <c r="E19" i="32" s="1"/>
  <c r="AK19" i="32" s="1"/>
  <c r="X87" i="53" l="1"/>
  <c r="AA87" i="53" s="1"/>
  <c r="AI25" i="50"/>
  <c r="AP25" i="50" s="1"/>
  <c r="AI24" i="50"/>
  <c r="AF71" i="65"/>
  <c r="AE71" i="65"/>
  <c r="AE88" i="57"/>
  <c r="R88" i="57"/>
  <c r="AE88" i="53"/>
  <c r="R88" i="53"/>
  <c r="AG26" i="50"/>
  <c r="AH26" i="50" s="1"/>
  <c r="AL26" i="50"/>
  <c r="AA85" i="57"/>
  <c r="AF85" i="57"/>
  <c r="AG71" i="69"/>
  <c r="AG70" i="65"/>
  <c r="AP23" i="50"/>
  <c r="AM24" i="50"/>
  <c r="AX72" i="69"/>
  <c r="AB85" i="57"/>
  <c r="O89" i="57"/>
  <c r="AG89" i="57" s="1"/>
  <c r="L89" i="57"/>
  <c r="T29" i="50"/>
  <c r="O29" i="50"/>
  <c r="AM28" i="50"/>
  <c r="U28" i="50"/>
  <c r="AD27" i="50"/>
  <c r="X86" i="57"/>
  <c r="AF86" i="57" s="1"/>
  <c r="AJ88" i="57"/>
  <c r="AC88" i="57"/>
  <c r="AP88" i="57"/>
  <c r="AH71" i="65"/>
  <c r="AV71" i="65"/>
  <c r="AB86" i="53"/>
  <c r="AA86" i="53"/>
  <c r="AG88" i="53"/>
  <c r="AH88" i="53"/>
  <c r="AT88" i="53"/>
  <c r="AC88" i="53"/>
  <c r="N89" i="57"/>
  <c r="J89" i="53"/>
  <c r="N89" i="53"/>
  <c r="AH72" i="69"/>
  <c r="AJ27" i="50"/>
  <c r="C27" i="50"/>
  <c r="AD88" i="57"/>
  <c r="AD88" i="53"/>
  <c r="S28" i="50"/>
  <c r="V27" i="50"/>
  <c r="Q88" i="53"/>
  <c r="E89" i="53"/>
  <c r="L89" i="53"/>
  <c r="K89" i="53"/>
  <c r="C89" i="53"/>
  <c r="G89" i="53"/>
  <c r="D89" i="53"/>
  <c r="P89" i="53"/>
  <c r="H89" i="53"/>
  <c r="AK88" i="52" a="1"/>
  <c r="AK88" i="52" s="1"/>
  <c r="B90" i="53" s="1"/>
  <c r="O90" i="53" s="1"/>
  <c r="I89" i="53"/>
  <c r="F89" i="53"/>
  <c r="B29" i="50"/>
  <c r="R29" i="50" s="1"/>
  <c r="I29" i="50"/>
  <c r="A29" i="50"/>
  <c r="Q29" i="50" s="1"/>
  <c r="P29" i="50" s="1"/>
  <c r="M29" i="50"/>
  <c r="H29" i="50"/>
  <c r="K29" i="50"/>
  <c r="G29" i="50"/>
  <c r="F29" i="50"/>
  <c r="J29" i="50"/>
  <c r="N29" i="50"/>
  <c r="L29" i="50"/>
  <c r="G89" i="57"/>
  <c r="E89" i="57"/>
  <c r="P89" i="57"/>
  <c r="D89" i="57"/>
  <c r="C89" i="57"/>
  <c r="M89" i="57" s="1"/>
  <c r="K89" i="57"/>
  <c r="I89" i="57"/>
  <c r="H89" i="57"/>
  <c r="F89" i="57"/>
  <c r="J89" i="57"/>
  <c r="Z27" i="50"/>
  <c r="W27" i="50"/>
  <c r="X27" i="50" s="1"/>
  <c r="T87" i="57"/>
  <c r="Q88" i="57"/>
  <c r="AK88" i="55" a="1"/>
  <c r="AK88" i="55" s="1"/>
  <c r="B90" i="57" s="1"/>
  <c r="AN74" i="67" a="1"/>
  <c r="AN74" i="67" s="1"/>
  <c r="B75" i="69"/>
  <c r="L75" i="69" s="1"/>
  <c r="AE72" i="69"/>
  <c r="U72" i="69"/>
  <c r="Q72" i="69"/>
  <c r="R72" i="69"/>
  <c r="S72" i="69" s="1"/>
  <c r="Y72" i="69" s="1"/>
  <c r="AB72" i="69" s="1"/>
  <c r="AC72" i="69" s="1"/>
  <c r="AD72" i="69" s="1"/>
  <c r="D73" i="69"/>
  <c r="E73" i="69" s="1"/>
  <c r="F73" i="69" s="1"/>
  <c r="G73" i="69" s="1"/>
  <c r="H73" i="69" s="1"/>
  <c r="I73" i="69" s="1"/>
  <c r="J73" i="69" s="1"/>
  <c r="K73" i="69" s="1"/>
  <c r="M73" i="69" s="1"/>
  <c r="N73" i="69"/>
  <c r="AF73" i="69" s="1"/>
  <c r="P73" i="69"/>
  <c r="C74" i="69"/>
  <c r="AO74" i="69" s="1"/>
  <c r="O74" i="69"/>
  <c r="P72" i="65"/>
  <c r="N72" i="65"/>
  <c r="D72" i="65"/>
  <c r="E72" i="65" s="1"/>
  <c r="F72" i="65" s="1"/>
  <c r="G72" i="65" s="1"/>
  <c r="H72" i="65" s="1"/>
  <c r="I72" i="65" s="1"/>
  <c r="J72" i="65" s="1"/>
  <c r="K72" i="65" s="1"/>
  <c r="M72" i="65" s="1"/>
  <c r="C73" i="65"/>
  <c r="AM73" i="65" s="1"/>
  <c r="O73" i="65"/>
  <c r="U71" i="65"/>
  <c r="R71" i="65"/>
  <c r="S71" i="65" s="1"/>
  <c r="Y71" i="65" s="1"/>
  <c r="AB71" i="65" s="1"/>
  <c r="AC71" i="65" s="1"/>
  <c r="AD71" i="65" s="1"/>
  <c r="Q71" i="65"/>
  <c r="AN73" i="63" a="1"/>
  <c r="AN73" i="63" s="1"/>
  <c r="B74" i="65"/>
  <c r="L74" i="65" s="1"/>
  <c r="AL29" i="59" a="1"/>
  <c r="AL29" i="59" s="1"/>
  <c r="E30" i="50" s="1"/>
  <c r="AK30" i="50" s="1"/>
  <c r="AL19" i="11" a="1"/>
  <c r="AL19" i="11" s="1"/>
  <c r="E20" i="32" s="1"/>
  <c r="AK20" i="32" s="1"/>
  <c r="AB87" i="53" l="1"/>
  <c r="AF87" i="53"/>
  <c r="AI26" i="50"/>
  <c r="AP26" i="50" s="1"/>
  <c r="AP24" i="50"/>
  <c r="X88" i="53"/>
  <c r="AB88" i="53" s="1"/>
  <c r="AF72" i="65"/>
  <c r="AE72" i="65"/>
  <c r="AE89" i="57"/>
  <c r="R89" i="57"/>
  <c r="AE89" i="53"/>
  <c r="R89" i="53"/>
  <c r="AG27" i="50"/>
  <c r="AH27" i="50" s="1"/>
  <c r="AL27" i="50"/>
  <c r="AG72" i="69"/>
  <c r="AG71" i="65"/>
  <c r="AX73" i="69"/>
  <c r="O90" i="57"/>
  <c r="AG90" i="57" s="1"/>
  <c r="L90" i="57"/>
  <c r="X87" i="57"/>
  <c r="T30" i="50"/>
  <c r="O30" i="50"/>
  <c r="AM29" i="50"/>
  <c r="U29" i="50"/>
  <c r="AB86" i="57"/>
  <c r="AA86" i="57"/>
  <c r="AJ89" i="57"/>
  <c r="AC89" i="57"/>
  <c r="AP89" i="57"/>
  <c r="AD28" i="50"/>
  <c r="AH72" i="65"/>
  <c r="AV72" i="65"/>
  <c r="AG89" i="53"/>
  <c r="AH89" i="53"/>
  <c r="AC89" i="53"/>
  <c r="AT89" i="53"/>
  <c r="N90" i="57"/>
  <c r="P90" i="53"/>
  <c r="N90" i="53"/>
  <c r="AH73" i="69"/>
  <c r="AJ28" i="50"/>
  <c r="C28" i="50"/>
  <c r="AD89" i="57"/>
  <c r="AD89" i="53"/>
  <c r="S29" i="50"/>
  <c r="V28" i="50"/>
  <c r="Q89" i="53"/>
  <c r="F90" i="53"/>
  <c r="L90" i="53"/>
  <c r="D90" i="53"/>
  <c r="G90" i="53"/>
  <c r="H90" i="53"/>
  <c r="I90" i="53"/>
  <c r="C90" i="53"/>
  <c r="E90" i="53"/>
  <c r="AK89" i="52" a="1"/>
  <c r="AK89" i="52" s="1"/>
  <c r="B91" i="53" s="1"/>
  <c r="O91" i="53" s="1"/>
  <c r="J90" i="53"/>
  <c r="K90" i="53"/>
  <c r="G30" i="50"/>
  <c r="B30" i="50"/>
  <c r="R30" i="50" s="1"/>
  <c r="M30" i="50"/>
  <c r="L30" i="50"/>
  <c r="F30" i="50"/>
  <c r="A30" i="50"/>
  <c r="Q30" i="50" s="1"/>
  <c r="P30" i="50" s="1"/>
  <c r="N30" i="50"/>
  <c r="H30" i="50"/>
  <c r="K30" i="50"/>
  <c r="J30" i="50"/>
  <c r="I30" i="50"/>
  <c r="Q89" i="57"/>
  <c r="T88" i="57"/>
  <c r="Z28" i="50"/>
  <c r="W28" i="50"/>
  <c r="X28" i="50" s="1"/>
  <c r="P90" i="57"/>
  <c r="C90" i="57"/>
  <c r="M90" i="57" s="1"/>
  <c r="H90" i="57"/>
  <c r="J90" i="57"/>
  <c r="D90" i="57"/>
  <c r="G90" i="57"/>
  <c r="K90" i="57"/>
  <c r="E90" i="57"/>
  <c r="F90" i="57"/>
  <c r="I90" i="57"/>
  <c r="AK89" i="55" a="1"/>
  <c r="AK89" i="55" s="1"/>
  <c r="B91" i="57" s="1"/>
  <c r="N74" i="69"/>
  <c r="AF74" i="69" s="1"/>
  <c r="D74" i="69"/>
  <c r="E74" i="69" s="1"/>
  <c r="F74" i="69" s="1"/>
  <c r="G74" i="69" s="1"/>
  <c r="H74" i="69" s="1"/>
  <c r="I74" i="69" s="1"/>
  <c r="J74" i="69" s="1"/>
  <c r="K74" i="69" s="1"/>
  <c r="M74" i="69" s="1"/>
  <c r="P74" i="69"/>
  <c r="AE73" i="69"/>
  <c r="Q73" i="69"/>
  <c r="R73" i="69"/>
  <c r="S73" i="69" s="1"/>
  <c r="Y73" i="69" s="1"/>
  <c r="AB73" i="69" s="1"/>
  <c r="AC73" i="69" s="1"/>
  <c r="AD73" i="69" s="1"/>
  <c r="U73" i="69"/>
  <c r="C75" i="69"/>
  <c r="AO75" i="69" s="1"/>
  <c r="O75" i="69"/>
  <c r="AN75" i="67" a="1"/>
  <c r="AN75" i="67" s="1"/>
  <c r="B76" i="69"/>
  <c r="L76" i="69" s="1"/>
  <c r="AN74" i="63" a="1"/>
  <c r="AN74" i="63" s="1"/>
  <c r="B75" i="65"/>
  <c r="L75" i="65" s="1"/>
  <c r="P73" i="65"/>
  <c r="D73" i="65"/>
  <c r="E73" i="65" s="1"/>
  <c r="F73" i="65" s="1"/>
  <c r="G73" i="65" s="1"/>
  <c r="H73" i="65" s="1"/>
  <c r="I73" i="65" s="1"/>
  <c r="J73" i="65" s="1"/>
  <c r="K73" i="65" s="1"/>
  <c r="M73" i="65" s="1"/>
  <c r="N73" i="65"/>
  <c r="C74" i="65"/>
  <c r="AM74" i="65" s="1"/>
  <c r="O74" i="65"/>
  <c r="R72" i="65"/>
  <c r="S72" i="65" s="1"/>
  <c r="Y72" i="65" s="1"/>
  <c r="AB72" i="65" s="1"/>
  <c r="AC72" i="65" s="1"/>
  <c r="AD72" i="65" s="1"/>
  <c r="U72" i="65"/>
  <c r="Q72" i="65"/>
  <c r="AL30" i="59" a="1"/>
  <c r="AL30" i="59" s="1"/>
  <c r="E31" i="50" s="1"/>
  <c r="AK31" i="50" s="1"/>
  <c r="AL20" i="11" a="1"/>
  <c r="AL20" i="11" s="1"/>
  <c r="E21" i="32" s="1"/>
  <c r="AK21" i="32" s="1"/>
  <c r="AA88" i="53" l="1"/>
  <c r="AI27" i="50"/>
  <c r="AP27" i="50" s="1"/>
  <c r="AF88" i="53"/>
  <c r="AF73" i="65"/>
  <c r="AE73" i="65"/>
  <c r="AE90" i="57"/>
  <c r="R90" i="57"/>
  <c r="AE90" i="53"/>
  <c r="R90" i="53"/>
  <c r="AG28" i="50"/>
  <c r="AH28" i="50" s="1"/>
  <c r="AL28" i="50"/>
  <c r="AB87" i="57"/>
  <c r="AF87" i="57"/>
  <c r="AG73" i="69"/>
  <c r="AG72" i="65"/>
  <c r="AX74" i="69"/>
  <c r="AA87" i="57"/>
  <c r="X88" i="57"/>
  <c r="O91" i="57"/>
  <c r="AG91" i="57" s="1"/>
  <c r="L91" i="57"/>
  <c r="T31" i="50"/>
  <c r="O31" i="50"/>
  <c r="AM30" i="50"/>
  <c r="U30" i="50"/>
  <c r="AJ90" i="57"/>
  <c r="AC90" i="57"/>
  <c r="AP90" i="57"/>
  <c r="AD29" i="50"/>
  <c r="AH73" i="65"/>
  <c r="AV73" i="65"/>
  <c r="AH90" i="53"/>
  <c r="AC90" i="53"/>
  <c r="AT90" i="53"/>
  <c r="AG90" i="53"/>
  <c r="N91" i="57"/>
  <c r="G91" i="53"/>
  <c r="N91" i="53"/>
  <c r="AH74" i="69"/>
  <c r="AJ29" i="50"/>
  <c r="C29" i="50"/>
  <c r="AD90" i="57"/>
  <c r="AD90" i="53"/>
  <c r="S30" i="50"/>
  <c r="V29" i="50"/>
  <c r="X89" i="53"/>
  <c r="AF89" i="53" s="1"/>
  <c r="Q90" i="53"/>
  <c r="F91" i="53"/>
  <c r="H91" i="53"/>
  <c r="E91" i="53"/>
  <c r="J91" i="53"/>
  <c r="C91" i="53"/>
  <c r="I91" i="53"/>
  <c r="D91" i="53"/>
  <c r="AK90" i="52" a="1"/>
  <c r="AK90" i="52" s="1"/>
  <c r="B92" i="53" s="1"/>
  <c r="O92" i="53" s="1"/>
  <c r="P91" i="53"/>
  <c r="L91" i="53"/>
  <c r="K91" i="53"/>
  <c r="M31" i="50"/>
  <c r="H31" i="50"/>
  <c r="I31" i="50"/>
  <c r="J31" i="50"/>
  <c r="N31" i="50"/>
  <c r="F31" i="50"/>
  <c r="G31" i="50"/>
  <c r="K31" i="50"/>
  <c r="A31" i="50"/>
  <c r="Q31" i="50" s="1"/>
  <c r="P31" i="50" s="1"/>
  <c r="L31" i="50"/>
  <c r="B31" i="50"/>
  <c r="R31" i="50" s="1"/>
  <c r="T89" i="57"/>
  <c r="Q90" i="57"/>
  <c r="Z29" i="50"/>
  <c r="W29" i="50"/>
  <c r="X29" i="50" s="1"/>
  <c r="H91" i="57"/>
  <c r="G91" i="57"/>
  <c r="E91" i="57"/>
  <c r="P91" i="57"/>
  <c r="D91" i="57"/>
  <c r="C91" i="57"/>
  <c r="M91" i="57" s="1"/>
  <c r="K91" i="57"/>
  <c r="I91" i="57"/>
  <c r="F91" i="57"/>
  <c r="J91" i="57"/>
  <c r="AK90" i="55" a="1"/>
  <c r="AK90" i="55" s="1"/>
  <c r="B92" i="57" s="1"/>
  <c r="AN76" i="67" a="1"/>
  <c r="AN76" i="67" s="1"/>
  <c r="B77" i="69"/>
  <c r="L77" i="69" s="1"/>
  <c r="AE74" i="69"/>
  <c r="Q74" i="69"/>
  <c r="R74" i="69"/>
  <c r="S74" i="69" s="1"/>
  <c r="Y74" i="69" s="1"/>
  <c r="AB74" i="69" s="1"/>
  <c r="AC74" i="69" s="1"/>
  <c r="AD74" i="69" s="1"/>
  <c r="U74" i="69"/>
  <c r="C76" i="69"/>
  <c r="AO76" i="69" s="1"/>
  <c r="O76" i="69"/>
  <c r="P75" i="69"/>
  <c r="N75" i="69"/>
  <c r="AF75" i="69" s="1"/>
  <c r="D75" i="69"/>
  <c r="E75" i="69" s="1"/>
  <c r="F75" i="69" s="1"/>
  <c r="G75" i="69" s="1"/>
  <c r="H75" i="69" s="1"/>
  <c r="I75" i="69" s="1"/>
  <c r="J75" i="69" s="1"/>
  <c r="K75" i="69" s="1"/>
  <c r="M75" i="69" s="1"/>
  <c r="AN75" i="63" a="1"/>
  <c r="AN75" i="63" s="1"/>
  <c r="B76" i="65"/>
  <c r="L76" i="65" s="1"/>
  <c r="P74" i="65"/>
  <c r="D74" i="65"/>
  <c r="E74" i="65" s="1"/>
  <c r="F74" i="65" s="1"/>
  <c r="G74" i="65" s="1"/>
  <c r="H74" i="65" s="1"/>
  <c r="I74" i="65" s="1"/>
  <c r="J74" i="65" s="1"/>
  <c r="K74" i="65" s="1"/>
  <c r="M74" i="65" s="1"/>
  <c r="N74" i="65"/>
  <c r="U73" i="65"/>
  <c r="Q73" i="65"/>
  <c r="R73" i="65"/>
  <c r="S73" i="65" s="1"/>
  <c r="Y73" i="65" s="1"/>
  <c r="AB73" i="65" s="1"/>
  <c r="AC73" i="65" s="1"/>
  <c r="AD73" i="65" s="1"/>
  <c r="C75" i="65"/>
  <c r="AM75" i="65" s="1"/>
  <c r="O75" i="65"/>
  <c r="AL31" i="59" a="1"/>
  <c r="AL31" i="59" s="1"/>
  <c r="E32" i="50" s="1"/>
  <c r="AK32" i="50" s="1"/>
  <c r="AL21" i="11" a="1"/>
  <c r="AL21" i="11" s="1"/>
  <c r="E22" i="32" s="1"/>
  <c r="AK22" i="32" s="1"/>
  <c r="AI28" i="50" l="1"/>
  <c r="AP28" i="50" s="1"/>
  <c r="AF74" i="65"/>
  <c r="AE74" i="65"/>
  <c r="AE91" i="57"/>
  <c r="R91" i="57"/>
  <c r="AE91" i="53"/>
  <c r="R91" i="53"/>
  <c r="AG29" i="50"/>
  <c r="AH29" i="50" s="1"/>
  <c r="AL29" i="50"/>
  <c r="AB88" i="57"/>
  <c r="AF88" i="57"/>
  <c r="AG74" i="69"/>
  <c r="AG73" i="65"/>
  <c r="AX75" i="69"/>
  <c r="AA88" i="57"/>
  <c r="O92" i="57"/>
  <c r="AG92" i="57" s="1"/>
  <c r="L92" i="57"/>
  <c r="X89" i="57"/>
  <c r="T32" i="50"/>
  <c r="O32" i="50"/>
  <c r="AJ91" i="57"/>
  <c r="AC91" i="57"/>
  <c r="AP91" i="57"/>
  <c r="AM31" i="50"/>
  <c r="U31" i="50"/>
  <c r="AD30" i="50"/>
  <c r="AH74" i="65"/>
  <c r="AV74" i="65"/>
  <c r="AB89" i="53"/>
  <c r="AA89" i="53"/>
  <c r="AG91" i="53"/>
  <c r="AH91" i="53"/>
  <c r="AC91" i="53"/>
  <c r="AT91" i="53"/>
  <c r="N92" i="57"/>
  <c r="I92" i="53"/>
  <c r="N92" i="53"/>
  <c r="AH75" i="69"/>
  <c r="AJ30" i="50"/>
  <c r="C30" i="50"/>
  <c r="AD91" i="57"/>
  <c r="Q91" i="53"/>
  <c r="AD91" i="53"/>
  <c r="X90" i="53"/>
  <c r="AF90" i="53" s="1"/>
  <c r="S31" i="50"/>
  <c r="V30" i="50"/>
  <c r="G92" i="53"/>
  <c r="L92" i="53"/>
  <c r="J92" i="53"/>
  <c r="E92" i="53"/>
  <c r="H92" i="53"/>
  <c r="C92" i="53"/>
  <c r="P92" i="53"/>
  <c r="K92" i="53"/>
  <c r="F92" i="53"/>
  <c r="AK91" i="52" a="1"/>
  <c r="AK91" i="52" s="1"/>
  <c r="B93" i="53" s="1"/>
  <c r="O93" i="53" s="1"/>
  <c r="D92" i="53"/>
  <c r="F32" i="50"/>
  <c r="I32" i="50"/>
  <c r="J32" i="50"/>
  <c r="L32" i="50"/>
  <c r="M32" i="50"/>
  <c r="K32" i="50"/>
  <c r="N32" i="50"/>
  <c r="B32" i="50"/>
  <c r="R32" i="50" s="1"/>
  <c r="A32" i="50"/>
  <c r="Q32" i="50" s="1"/>
  <c r="P32" i="50" s="1"/>
  <c r="G32" i="50"/>
  <c r="H32" i="50"/>
  <c r="K92" i="57"/>
  <c r="I92" i="57"/>
  <c r="F92" i="57"/>
  <c r="C92" i="57"/>
  <c r="M92" i="57" s="1"/>
  <c r="G92" i="57"/>
  <c r="P92" i="57"/>
  <c r="H92" i="57"/>
  <c r="E92" i="57"/>
  <c r="D92" i="57"/>
  <c r="J92" i="57"/>
  <c r="Q91" i="57"/>
  <c r="W30" i="50"/>
  <c r="X30" i="50" s="1"/>
  <c r="Z30" i="50"/>
  <c r="T90" i="57"/>
  <c r="AK91" i="55" a="1"/>
  <c r="AK91" i="55" s="1"/>
  <c r="B93" i="57" s="1"/>
  <c r="C77" i="69"/>
  <c r="AO77" i="69" s="1"/>
  <c r="O77" i="69"/>
  <c r="AE75" i="69"/>
  <c r="R75" i="69"/>
  <c r="S75" i="69" s="1"/>
  <c r="Y75" i="69" s="1"/>
  <c r="AB75" i="69" s="1"/>
  <c r="AC75" i="69" s="1"/>
  <c r="AD75" i="69" s="1"/>
  <c r="Q75" i="69"/>
  <c r="U75" i="69"/>
  <c r="D76" i="69"/>
  <c r="E76" i="69" s="1"/>
  <c r="F76" i="69" s="1"/>
  <c r="G76" i="69" s="1"/>
  <c r="H76" i="69" s="1"/>
  <c r="I76" i="69" s="1"/>
  <c r="J76" i="69" s="1"/>
  <c r="K76" i="69" s="1"/>
  <c r="M76" i="69" s="1"/>
  <c r="N76" i="69"/>
  <c r="AF76" i="69" s="1"/>
  <c r="P76" i="69"/>
  <c r="AN77" i="67" a="1"/>
  <c r="AN77" i="67" s="1"/>
  <c r="B78" i="69"/>
  <c r="L78" i="69" s="1"/>
  <c r="AN76" i="63" a="1"/>
  <c r="AN76" i="63" s="1"/>
  <c r="B77" i="65"/>
  <c r="L77" i="65" s="1"/>
  <c r="N75" i="65"/>
  <c r="P75" i="65"/>
  <c r="D75" i="65"/>
  <c r="E75" i="65" s="1"/>
  <c r="F75" i="65" s="1"/>
  <c r="G75" i="65" s="1"/>
  <c r="H75" i="65" s="1"/>
  <c r="I75" i="65" s="1"/>
  <c r="J75" i="65" s="1"/>
  <c r="K75" i="65" s="1"/>
  <c r="M75" i="65" s="1"/>
  <c r="O76" i="65"/>
  <c r="C76" i="65"/>
  <c r="AM76" i="65" s="1"/>
  <c r="U74" i="65"/>
  <c r="Q74" i="65"/>
  <c r="R74" i="65"/>
  <c r="S74" i="65" s="1"/>
  <c r="Y74" i="65" s="1"/>
  <c r="AB74" i="65" s="1"/>
  <c r="AC74" i="65" s="1"/>
  <c r="AD74" i="65" s="1"/>
  <c r="AL32" i="59" a="1"/>
  <c r="AL32" i="59" s="1"/>
  <c r="E33" i="50" s="1"/>
  <c r="AK33" i="50" s="1"/>
  <c r="AL22" i="11" a="1"/>
  <c r="AL22" i="11" s="1"/>
  <c r="E23" i="32" s="1"/>
  <c r="AK23" i="32" s="1"/>
  <c r="AI29" i="50" l="1"/>
  <c r="AP29" i="50" s="1"/>
  <c r="AF75" i="65"/>
  <c r="AE75" i="65"/>
  <c r="AE92" i="57"/>
  <c r="R92" i="57"/>
  <c r="AE92" i="53"/>
  <c r="R92" i="53"/>
  <c r="AG30" i="50"/>
  <c r="AH30" i="50" s="1"/>
  <c r="AL30" i="50"/>
  <c r="AB89" i="57"/>
  <c r="AF89" i="57"/>
  <c r="AG75" i="69"/>
  <c r="AG74" i="65"/>
  <c r="AX76" i="69"/>
  <c r="X90" i="57"/>
  <c r="AA89" i="57"/>
  <c r="L93" i="57"/>
  <c r="O93" i="57"/>
  <c r="AG93" i="57" s="1"/>
  <c r="T33" i="50"/>
  <c r="O33" i="50"/>
  <c r="AD31" i="50"/>
  <c r="AC92" i="57"/>
  <c r="AJ92" i="57"/>
  <c r="AP92" i="57"/>
  <c r="AM32" i="50"/>
  <c r="U32" i="50"/>
  <c r="AH75" i="65"/>
  <c r="AV75" i="65"/>
  <c r="AG92" i="53"/>
  <c r="AH92" i="53"/>
  <c r="AC92" i="53"/>
  <c r="AT92" i="53"/>
  <c r="AB90" i="53"/>
  <c r="AA90" i="53"/>
  <c r="X91" i="53"/>
  <c r="AF91" i="53" s="1"/>
  <c r="N93" i="57"/>
  <c r="C93" i="53"/>
  <c r="N93" i="53"/>
  <c r="AH76" i="69"/>
  <c r="AJ31" i="50"/>
  <c r="C31" i="50"/>
  <c r="AD92" i="57"/>
  <c r="AD92" i="53"/>
  <c r="Q92" i="53"/>
  <c r="V31" i="50"/>
  <c r="S32" i="50"/>
  <c r="G93" i="53"/>
  <c r="F93" i="53"/>
  <c r="P93" i="53"/>
  <c r="I93" i="53"/>
  <c r="J93" i="53"/>
  <c r="K93" i="53"/>
  <c r="H93" i="53"/>
  <c r="E93" i="53"/>
  <c r="AK92" i="52" a="1"/>
  <c r="AK92" i="52" s="1"/>
  <c r="B94" i="53" s="1"/>
  <c r="O94" i="53" s="1"/>
  <c r="L93" i="53"/>
  <c r="D93" i="53"/>
  <c r="M33" i="50"/>
  <c r="F33" i="50"/>
  <c r="A33" i="50"/>
  <c r="Q33" i="50" s="1"/>
  <c r="P33" i="50" s="1"/>
  <c r="B33" i="50"/>
  <c r="R33" i="50" s="1"/>
  <c r="L33" i="50"/>
  <c r="G33" i="50"/>
  <c r="H33" i="50"/>
  <c r="I33" i="50"/>
  <c r="K33" i="50"/>
  <c r="J33" i="50"/>
  <c r="N33" i="50"/>
  <c r="W31" i="50"/>
  <c r="X31" i="50" s="1"/>
  <c r="Z31" i="50"/>
  <c r="Q92" i="57"/>
  <c r="P93" i="57"/>
  <c r="D93" i="57"/>
  <c r="C93" i="57"/>
  <c r="M93" i="57" s="1"/>
  <c r="K93" i="57"/>
  <c r="I93" i="57"/>
  <c r="H93" i="57"/>
  <c r="G93" i="57"/>
  <c r="E93" i="57"/>
  <c r="F93" i="57"/>
  <c r="J93" i="57"/>
  <c r="T91" i="57"/>
  <c r="AK92" i="55" a="1"/>
  <c r="AK92" i="55" s="1"/>
  <c r="B94" i="57" s="1"/>
  <c r="AN78" i="67" a="1"/>
  <c r="AN78" i="67" s="1"/>
  <c r="B79" i="69"/>
  <c r="L79" i="69" s="1"/>
  <c r="D77" i="69"/>
  <c r="E77" i="69" s="1"/>
  <c r="F77" i="69" s="1"/>
  <c r="G77" i="69" s="1"/>
  <c r="H77" i="69" s="1"/>
  <c r="I77" i="69" s="1"/>
  <c r="J77" i="69" s="1"/>
  <c r="K77" i="69" s="1"/>
  <c r="M77" i="69" s="1"/>
  <c r="N77" i="69"/>
  <c r="AF77" i="69" s="1"/>
  <c r="P77" i="69"/>
  <c r="C78" i="69"/>
  <c r="AO78" i="69" s="1"/>
  <c r="O78" i="69"/>
  <c r="AE76" i="69"/>
  <c r="Q76" i="69"/>
  <c r="R76" i="69"/>
  <c r="S76" i="69" s="1"/>
  <c r="Y76" i="69" s="1"/>
  <c r="AB76" i="69" s="1"/>
  <c r="AC76" i="69" s="1"/>
  <c r="AD76" i="69" s="1"/>
  <c r="U76" i="69"/>
  <c r="AN77" i="63" a="1"/>
  <c r="AN77" i="63" s="1"/>
  <c r="B78" i="65"/>
  <c r="L78" i="65" s="1"/>
  <c r="P76" i="65"/>
  <c r="D76" i="65"/>
  <c r="E76" i="65" s="1"/>
  <c r="F76" i="65" s="1"/>
  <c r="G76" i="65" s="1"/>
  <c r="H76" i="65" s="1"/>
  <c r="I76" i="65" s="1"/>
  <c r="J76" i="65" s="1"/>
  <c r="K76" i="65" s="1"/>
  <c r="M76" i="65" s="1"/>
  <c r="N76" i="65"/>
  <c r="U75" i="65"/>
  <c r="Q75" i="65"/>
  <c r="R75" i="65"/>
  <c r="S75" i="65" s="1"/>
  <c r="Y75" i="65" s="1"/>
  <c r="AB75" i="65" s="1"/>
  <c r="AC75" i="65" s="1"/>
  <c r="AD75" i="65" s="1"/>
  <c r="C77" i="65"/>
  <c r="AM77" i="65" s="1"/>
  <c r="O77" i="65"/>
  <c r="AL23" i="11" a="1"/>
  <c r="AL23" i="11" s="1"/>
  <c r="E24" i="32" s="1"/>
  <c r="AK24" i="32" s="1"/>
  <c r="AL33" i="59" a="1"/>
  <c r="AL33" i="59" s="1"/>
  <c r="E34" i="50" s="1"/>
  <c r="AK34" i="50" s="1"/>
  <c r="AI30" i="50" l="1"/>
  <c r="AP30" i="50" s="1"/>
  <c r="AF76" i="65"/>
  <c r="AE76" i="65"/>
  <c r="AE93" i="57"/>
  <c r="R93" i="57"/>
  <c r="AE93" i="53"/>
  <c r="R93" i="53"/>
  <c r="AG31" i="50"/>
  <c r="AH31" i="50" s="1"/>
  <c r="AL31" i="50"/>
  <c r="AA90" i="57"/>
  <c r="AF90" i="57"/>
  <c r="AG76" i="69"/>
  <c r="AG75" i="65"/>
  <c r="X91" i="57"/>
  <c r="AX77" i="69"/>
  <c r="AB90" i="57"/>
  <c r="O94" i="57"/>
  <c r="AG94" i="57" s="1"/>
  <c r="L94" i="57"/>
  <c r="O34" i="50"/>
  <c r="T34" i="50"/>
  <c r="AC93" i="57"/>
  <c r="AJ93" i="57"/>
  <c r="AP93" i="57"/>
  <c r="AM33" i="50"/>
  <c r="U33" i="50"/>
  <c r="AD32" i="50"/>
  <c r="AH76" i="65"/>
  <c r="AV76" i="65"/>
  <c r="AH93" i="53"/>
  <c r="AC93" i="53"/>
  <c r="AT93" i="53"/>
  <c r="AB91" i="53"/>
  <c r="AA91" i="53"/>
  <c r="AG93" i="53"/>
  <c r="N94" i="57"/>
  <c r="X92" i="53"/>
  <c r="AF92" i="53" s="1"/>
  <c r="N94" i="53"/>
  <c r="AH77" i="69"/>
  <c r="AJ32" i="50"/>
  <c r="C32" i="50"/>
  <c r="AD93" i="57"/>
  <c r="AD93" i="53"/>
  <c r="Q93" i="53"/>
  <c r="V32" i="50"/>
  <c r="S33" i="50"/>
  <c r="F94" i="53"/>
  <c r="K94" i="53"/>
  <c r="P94" i="53"/>
  <c r="H94" i="53"/>
  <c r="J94" i="53"/>
  <c r="G94" i="53"/>
  <c r="C94" i="53"/>
  <c r="E94" i="53"/>
  <c r="AK93" i="52" a="1"/>
  <c r="AK93" i="52" s="1"/>
  <c r="B95" i="53" s="1"/>
  <c r="O95" i="53" s="1"/>
  <c r="I94" i="53"/>
  <c r="L94" i="53"/>
  <c r="D94" i="53"/>
  <c r="A34" i="50"/>
  <c r="Q34" i="50" s="1"/>
  <c r="P34" i="50" s="1"/>
  <c r="M34" i="50"/>
  <c r="J34" i="50"/>
  <c r="N34" i="50"/>
  <c r="H34" i="50"/>
  <c r="B34" i="50"/>
  <c r="R34" i="50" s="1"/>
  <c r="I34" i="50"/>
  <c r="F34" i="50"/>
  <c r="K34" i="50"/>
  <c r="L34" i="50"/>
  <c r="G34" i="50"/>
  <c r="Q93" i="57"/>
  <c r="T92" i="57"/>
  <c r="W32" i="50"/>
  <c r="X32" i="50" s="1"/>
  <c r="Z32" i="50"/>
  <c r="J94" i="57"/>
  <c r="G94" i="57"/>
  <c r="E94" i="57"/>
  <c r="D94" i="57"/>
  <c r="I94" i="57"/>
  <c r="C94" i="57"/>
  <c r="M94" i="57" s="1"/>
  <c r="K94" i="57"/>
  <c r="P94" i="57"/>
  <c r="F94" i="57"/>
  <c r="H94" i="57"/>
  <c r="AK93" i="55" a="1"/>
  <c r="AK93" i="55" s="1"/>
  <c r="B95" i="57" s="1"/>
  <c r="C79" i="69"/>
  <c r="AO79" i="69" s="1"/>
  <c r="O79" i="69"/>
  <c r="N78" i="69"/>
  <c r="AF78" i="69" s="1"/>
  <c r="D78" i="69"/>
  <c r="E78" i="69" s="1"/>
  <c r="F78" i="69" s="1"/>
  <c r="G78" i="69" s="1"/>
  <c r="H78" i="69" s="1"/>
  <c r="I78" i="69" s="1"/>
  <c r="J78" i="69" s="1"/>
  <c r="K78" i="69" s="1"/>
  <c r="M78" i="69" s="1"/>
  <c r="P78" i="69"/>
  <c r="AE77" i="69"/>
  <c r="Q77" i="69"/>
  <c r="R77" i="69"/>
  <c r="S77" i="69" s="1"/>
  <c r="Y77" i="69" s="1"/>
  <c r="AB77" i="69" s="1"/>
  <c r="AC77" i="69" s="1"/>
  <c r="AD77" i="69" s="1"/>
  <c r="U77" i="69"/>
  <c r="AN79" i="67" a="1"/>
  <c r="AN79" i="67" s="1"/>
  <c r="B80" i="69"/>
  <c r="L80" i="69" s="1"/>
  <c r="AN78" i="63" a="1"/>
  <c r="AN78" i="63" s="1"/>
  <c r="B79" i="65"/>
  <c r="L79" i="65" s="1"/>
  <c r="D77" i="65"/>
  <c r="E77" i="65" s="1"/>
  <c r="F77" i="65" s="1"/>
  <c r="G77" i="65" s="1"/>
  <c r="H77" i="65" s="1"/>
  <c r="I77" i="65" s="1"/>
  <c r="J77" i="65" s="1"/>
  <c r="K77" i="65" s="1"/>
  <c r="M77" i="65" s="1"/>
  <c r="N77" i="65"/>
  <c r="P77" i="65"/>
  <c r="C78" i="65"/>
  <c r="AM78" i="65" s="1"/>
  <c r="O78" i="65"/>
  <c r="Q76" i="65"/>
  <c r="R76" i="65"/>
  <c r="S76" i="65" s="1"/>
  <c r="Y76" i="65" s="1"/>
  <c r="AB76" i="65" s="1"/>
  <c r="AC76" i="65" s="1"/>
  <c r="AD76" i="65" s="1"/>
  <c r="U76" i="65"/>
  <c r="AL24" i="11" a="1"/>
  <c r="AL24" i="11" s="1"/>
  <c r="E25" i="32" s="1"/>
  <c r="AK25" i="32" s="1"/>
  <c r="AL34" i="59" a="1"/>
  <c r="AL34" i="59" s="1"/>
  <c r="E35" i="50" s="1"/>
  <c r="AK35" i="50" s="1"/>
  <c r="AI31" i="50" l="1"/>
  <c r="AP31" i="50" s="1"/>
  <c r="AF77" i="65"/>
  <c r="AE77" i="65"/>
  <c r="AE94" i="57"/>
  <c r="R94" i="57"/>
  <c r="AE94" i="53"/>
  <c r="R94" i="53"/>
  <c r="AG32" i="50"/>
  <c r="AH32" i="50" s="1"/>
  <c r="AL32" i="50"/>
  <c r="AB91" i="57"/>
  <c r="AF91" i="57"/>
  <c r="AG77" i="69"/>
  <c r="AG76" i="65"/>
  <c r="AA91" i="57"/>
  <c r="AX78" i="69"/>
  <c r="X92" i="57"/>
  <c r="O95" i="57"/>
  <c r="AG95" i="57" s="1"/>
  <c r="L95" i="57"/>
  <c r="O35" i="50"/>
  <c r="T35" i="50"/>
  <c r="AJ94" i="57"/>
  <c r="AC94" i="57"/>
  <c r="AP94" i="57"/>
  <c r="AM34" i="50"/>
  <c r="U34" i="50"/>
  <c r="AD33" i="50"/>
  <c r="AH77" i="65"/>
  <c r="AV77" i="65"/>
  <c r="AB92" i="53"/>
  <c r="AA92" i="53"/>
  <c r="AH94" i="53"/>
  <c r="AT94" i="53"/>
  <c r="AC94" i="53"/>
  <c r="AG94" i="53"/>
  <c r="N95" i="57"/>
  <c r="G95" i="53"/>
  <c r="N95" i="53"/>
  <c r="AH78" i="69"/>
  <c r="AJ33" i="50"/>
  <c r="C33" i="50"/>
  <c r="AD94" i="57"/>
  <c r="AD94" i="53"/>
  <c r="X93" i="53"/>
  <c r="AF93" i="53" s="1"/>
  <c r="V33" i="50"/>
  <c r="S34" i="50"/>
  <c r="Q94" i="53"/>
  <c r="I95" i="53"/>
  <c r="L95" i="53"/>
  <c r="F95" i="53"/>
  <c r="E95" i="53"/>
  <c r="AK94" i="52" a="1"/>
  <c r="AK94" i="52" s="1"/>
  <c r="B96" i="53" s="1"/>
  <c r="O96" i="53" s="1"/>
  <c r="H95" i="53"/>
  <c r="K95" i="53"/>
  <c r="J95" i="53"/>
  <c r="C95" i="53"/>
  <c r="D95" i="53"/>
  <c r="P95" i="53"/>
  <c r="F35" i="50"/>
  <c r="A35" i="50"/>
  <c r="Q35" i="50" s="1"/>
  <c r="P35" i="50" s="1"/>
  <c r="M35" i="50"/>
  <c r="K35" i="50"/>
  <c r="L35" i="50"/>
  <c r="J35" i="50"/>
  <c r="I35" i="50"/>
  <c r="H35" i="50"/>
  <c r="N35" i="50"/>
  <c r="B35" i="50"/>
  <c r="R35" i="50" s="1"/>
  <c r="G35" i="50"/>
  <c r="Z33" i="50"/>
  <c r="W33" i="50"/>
  <c r="X33" i="50" s="1"/>
  <c r="T93" i="57"/>
  <c r="E95" i="57"/>
  <c r="C95" i="57"/>
  <c r="M95" i="57" s="1"/>
  <c r="K95" i="57"/>
  <c r="G95" i="57"/>
  <c r="H95" i="57"/>
  <c r="D95" i="57"/>
  <c r="P95" i="57"/>
  <c r="I95" i="57"/>
  <c r="F95" i="57"/>
  <c r="J95" i="57"/>
  <c r="Q94" i="57"/>
  <c r="AK94" i="55" a="1"/>
  <c r="AK94" i="55" s="1"/>
  <c r="B96" i="57" s="1"/>
  <c r="AN80" i="67" a="1"/>
  <c r="AN80" i="67" s="1"/>
  <c r="B81" i="69"/>
  <c r="L81" i="69" s="1"/>
  <c r="D79" i="69"/>
  <c r="E79" i="69" s="1"/>
  <c r="F79" i="69" s="1"/>
  <c r="G79" i="69" s="1"/>
  <c r="H79" i="69" s="1"/>
  <c r="I79" i="69" s="1"/>
  <c r="J79" i="69" s="1"/>
  <c r="K79" i="69" s="1"/>
  <c r="M79" i="69" s="1"/>
  <c r="N79" i="69"/>
  <c r="AF79" i="69" s="1"/>
  <c r="P79" i="69"/>
  <c r="C80" i="69"/>
  <c r="AO80" i="69" s="1"/>
  <c r="O80" i="69"/>
  <c r="R78" i="69"/>
  <c r="S78" i="69" s="1"/>
  <c r="Y78" i="69" s="1"/>
  <c r="AB78" i="69" s="1"/>
  <c r="AC78" i="69" s="1"/>
  <c r="AD78" i="69" s="1"/>
  <c r="U78" i="69"/>
  <c r="AE78" i="69"/>
  <c r="Q78" i="69"/>
  <c r="AN79" i="63" a="1"/>
  <c r="AN79" i="63" s="1"/>
  <c r="B80" i="65"/>
  <c r="L80" i="65" s="1"/>
  <c r="P78" i="65"/>
  <c r="D78" i="65"/>
  <c r="E78" i="65" s="1"/>
  <c r="F78" i="65" s="1"/>
  <c r="G78" i="65" s="1"/>
  <c r="H78" i="65" s="1"/>
  <c r="I78" i="65" s="1"/>
  <c r="J78" i="65" s="1"/>
  <c r="K78" i="65" s="1"/>
  <c r="M78" i="65" s="1"/>
  <c r="N78" i="65"/>
  <c r="C79" i="65"/>
  <c r="AM79" i="65" s="1"/>
  <c r="O79" i="65"/>
  <c r="U77" i="65"/>
  <c r="Q77" i="65"/>
  <c r="R77" i="65"/>
  <c r="S77" i="65" s="1"/>
  <c r="Y77" i="65" s="1"/>
  <c r="AB77" i="65" s="1"/>
  <c r="AC77" i="65" s="1"/>
  <c r="AD77" i="65" s="1"/>
  <c r="AL25" i="11" a="1"/>
  <c r="AL25" i="11" s="1"/>
  <c r="E26" i="32" s="1"/>
  <c r="AK26" i="32" s="1"/>
  <c r="AL35" i="59" a="1"/>
  <c r="AL35" i="59" s="1"/>
  <c r="E36" i="50" s="1"/>
  <c r="AK36" i="50" s="1"/>
  <c r="AI32" i="50" l="1"/>
  <c r="AP32" i="50" s="1"/>
  <c r="X94" i="53"/>
  <c r="AA94" i="53" s="1"/>
  <c r="AF78" i="65"/>
  <c r="AE78" i="65"/>
  <c r="AE95" i="57"/>
  <c r="R95" i="57"/>
  <c r="AE95" i="53"/>
  <c r="R95" i="53"/>
  <c r="AG33" i="50"/>
  <c r="AH33" i="50" s="1"/>
  <c r="AL33" i="50"/>
  <c r="AB92" i="57"/>
  <c r="AF92" i="57"/>
  <c r="AG78" i="69"/>
  <c r="AG77" i="65"/>
  <c r="AX79" i="69"/>
  <c r="AA92" i="57"/>
  <c r="O96" i="57"/>
  <c r="AG96" i="57" s="1"/>
  <c r="L96" i="57"/>
  <c r="O36" i="50"/>
  <c r="T36" i="50"/>
  <c r="AJ95" i="57"/>
  <c r="AC95" i="57"/>
  <c r="AP95" i="57"/>
  <c r="X93" i="57"/>
  <c r="AF93" i="57" s="1"/>
  <c r="AM35" i="50"/>
  <c r="U35" i="50"/>
  <c r="AD34" i="50"/>
  <c r="AH78" i="65"/>
  <c r="AV78" i="65"/>
  <c r="AB93" i="53"/>
  <c r="AA93" i="53"/>
  <c r="AG95" i="53"/>
  <c r="AH95" i="53"/>
  <c r="AT95" i="53"/>
  <c r="AC95" i="53"/>
  <c r="N96" i="57"/>
  <c r="N96" i="53"/>
  <c r="AH79" i="69"/>
  <c r="AJ34" i="50"/>
  <c r="C34" i="50"/>
  <c r="AD95" i="57"/>
  <c r="AD95" i="53"/>
  <c r="V34" i="50"/>
  <c r="S35" i="50"/>
  <c r="J96" i="53"/>
  <c r="F96" i="53"/>
  <c r="H96" i="53"/>
  <c r="I96" i="53"/>
  <c r="P96" i="53"/>
  <c r="G96" i="53"/>
  <c r="E96" i="53"/>
  <c r="K96" i="53"/>
  <c r="Q95" i="53"/>
  <c r="AK95" i="52" a="1"/>
  <c r="AK95" i="52" s="1"/>
  <c r="B97" i="53" s="1"/>
  <c r="O97" i="53" s="1"/>
  <c r="L96" i="53"/>
  <c r="D96" i="53"/>
  <c r="C96" i="53"/>
  <c r="F36" i="50"/>
  <c r="H36" i="50"/>
  <c r="M36" i="50"/>
  <c r="N36" i="50"/>
  <c r="G36" i="50"/>
  <c r="L36" i="50"/>
  <c r="K36" i="50"/>
  <c r="I36" i="50"/>
  <c r="J36" i="50"/>
  <c r="B36" i="50"/>
  <c r="R36" i="50" s="1"/>
  <c r="A36" i="50"/>
  <c r="Q36" i="50" s="1"/>
  <c r="P36" i="50" s="1"/>
  <c r="Z34" i="50"/>
  <c r="W34" i="50"/>
  <c r="X34" i="50" s="1"/>
  <c r="Q95" i="57"/>
  <c r="T94" i="57"/>
  <c r="F96" i="57"/>
  <c r="E96" i="57"/>
  <c r="C96" i="57"/>
  <c r="M96" i="57" s="1"/>
  <c r="I96" i="57"/>
  <c r="J96" i="57"/>
  <c r="K96" i="57"/>
  <c r="P96" i="57"/>
  <c r="H96" i="57"/>
  <c r="D96" i="57"/>
  <c r="G96" i="57"/>
  <c r="AK95" i="55" a="1"/>
  <c r="AK95" i="55" s="1"/>
  <c r="B97" i="57" s="1"/>
  <c r="AN81" i="67" a="1"/>
  <c r="AN81" i="67" s="1"/>
  <c r="B82" i="69"/>
  <c r="L82" i="69" s="1"/>
  <c r="C81" i="69"/>
  <c r="AO81" i="69" s="1"/>
  <c r="O81" i="69"/>
  <c r="P80" i="69"/>
  <c r="D80" i="69"/>
  <c r="E80" i="69" s="1"/>
  <c r="F80" i="69" s="1"/>
  <c r="G80" i="69" s="1"/>
  <c r="H80" i="69" s="1"/>
  <c r="I80" i="69" s="1"/>
  <c r="J80" i="69" s="1"/>
  <c r="K80" i="69" s="1"/>
  <c r="M80" i="69" s="1"/>
  <c r="N80" i="69"/>
  <c r="AF80" i="69" s="1"/>
  <c r="AE79" i="69"/>
  <c r="Q79" i="69"/>
  <c r="R79" i="69"/>
  <c r="S79" i="69" s="1"/>
  <c r="Y79" i="69" s="1"/>
  <c r="AB79" i="69" s="1"/>
  <c r="AC79" i="69" s="1"/>
  <c r="AD79" i="69" s="1"/>
  <c r="U79" i="69"/>
  <c r="AN80" i="63" a="1"/>
  <c r="AN80" i="63" s="1"/>
  <c r="B81" i="65"/>
  <c r="L81" i="65" s="1"/>
  <c r="N79" i="65"/>
  <c r="D79" i="65"/>
  <c r="E79" i="65" s="1"/>
  <c r="F79" i="65" s="1"/>
  <c r="G79" i="65" s="1"/>
  <c r="H79" i="65" s="1"/>
  <c r="I79" i="65" s="1"/>
  <c r="J79" i="65" s="1"/>
  <c r="K79" i="65" s="1"/>
  <c r="M79" i="65" s="1"/>
  <c r="P79" i="65"/>
  <c r="C80" i="65"/>
  <c r="AM80" i="65" s="1"/>
  <c r="O80" i="65"/>
  <c r="U78" i="65"/>
  <c r="R78" i="65"/>
  <c r="S78" i="65" s="1"/>
  <c r="Y78" i="65" s="1"/>
  <c r="AB78" i="65" s="1"/>
  <c r="AC78" i="65" s="1"/>
  <c r="AD78" i="65" s="1"/>
  <c r="Q78" i="65"/>
  <c r="AL26" i="11" a="1"/>
  <c r="AL26" i="11" s="1"/>
  <c r="E27" i="32" s="1"/>
  <c r="AK27" i="32" s="1"/>
  <c r="AL36" i="59" a="1"/>
  <c r="AL36" i="59" s="1"/>
  <c r="E37" i="50" s="1"/>
  <c r="AK37" i="50" s="1"/>
  <c r="AB94" i="53" l="1"/>
  <c r="AI33" i="50"/>
  <c r="AP33" i="50" s="1"/>
  <c r="AF94" i="53"/>
  <c r="AF79" i="65"/>
  <c r="AE79" i="65"/>
  <c r="AE96" i="57"/>
  <c r="R96" i="57"/>
  <c r="AE96" i="53"/>
  <c r="R96" i="53"/>
  <c r="AG34" i="50"/>
  <c r="AH34" i="50" s="1"/>
  <c r="AL34" i="50"/>
  <c r="AG79" i="69"/>
  <c r="AG78" i="65"/>
  <c r="AX80" i="69"/>
  <c r="O97" i="57"/>
  <c r="AG97" i="57" s="1"/>
  <c r="L97" i="57"/>
  <c r="T37" i="50"/>
  <c r="O37" i="50"/>
  <c r="AM36" i="50"/>
  <c r="U36" i="50"/>
  <c r="AD35" i="50"/>
  <c r="AJ96" i="57"/>
  <c r="AC96" i="57"/>
  <c r="AP96" i="57"/>
  <c r="AB93" i="57"/>
  <c r="AA93" i="57"/>
  <c r="X94" i="57"/>
  <c r="AF94" i="57" s="1"/>
  <c r="AH79" i="65"/>
  <c r="AV79" i="65"/>
  <c r="AG96" i="53"/>
  <c r="AH96" i="53"/>
  <c r="AT96" i="53"/>
  <c r="AC96" i="53"/>
  <c r="N97" i="57"/>
  <c r="J97" i="53"/>
  <c r="N97" i="53"/>
  <c r="AH80" i="69"/>
  <c r="AJ35" i="50"/>
  <c r="C35" i="50"/>
  <c r="AD96" i="57"/>
  <c r="AD96" i="53"/>
  <c r="Q96" i="53"/>
  <c r="S36" i="50"/>
  <c r="V35" i="50"/>
  <c r="X95" i="53"/>
  <c r="AF95" i="53" s="1"/>
  <c r="C97" i="53"/>
  <c r="E97" i="53"/>
  <c r="P97" i="53"/>
  <c r="G97" i="53"/>
  <c r="K97" i="53"/>
  <c r="F97" i="53"/>
  <c r="L97" i="53"/>
  <c r="H97" i="53"/>
  <c r="AK96" i="52" a="1"/>
  <c r="AK96" i="52" s="1"/>
  <c r="B98" i="53" s="1"/>
  <c r="O98" i="53" s="1"/>
  <c r="I97" i="53"/>
  <c r="D97" i="53"/>
  <c r="B37" i="50"/>
  <c r="R37" i="50" s="1"/>
  <c r="K37" i="50"/>
  <c r="M37" i="50"/>
  <c r="I37" i="50"/>
  <c r="A37" i="50"/>
  <c r="Q37" i="50" s="1"/>
  <c r="P37" i="50" s="1"/>
  <c r="H37" i="50"/>
  <c r="G37" i="50"/>
  <c r="F37" i="50"/>
  <c r="N37" i="50"/>
  <c r="J37" i="50"/>
  <c r="L37" i="50"/>
  <c r="Q96" i="57"/>
  <c r="Z35" i="50"/>
  <c r="W35" i="50"/>
  <c r="X35" i="50" s="1"/>
  <c r="H97" i="57"/>
  <c r="G97" i="57"/>
  <c r="E97" i="57"/>
  <c r="P97" i="57"/>
  <c r="D97" i="57"/>
  <c r="C97" i="57"/>
  <c r="M97" i="57" s="1"/>
  <c r="I97" i="57"/>
  <c r="K97" i="57"/>
  <c r="F97" i="57"/>
  <c r="J97" i="57"/>
  <c r="T95" i="57"/>
  <c r="AK96" i="55" a="1"/>
  <c r="AK96" i="55" s="1"/>
  <c r="B98" i="57" s="1"/>
  <c r="AE80" i="69"/>
  <c r="R80" i="69"/>
  <c r="S80" i="69" s="1"/>
  <c r="Y80" i="69" s="1"/>
  <c r="AB80" i="69" s="1"/>
  <c r="AC80" i="69" s="1"/>
  <c r="AD80" i="69" s="1"/>
  <c r="U80" i="69"/>
  <c r="Q80" i="69"/>
  <c r="D81" i="69"/>
  <c r="E81" i="69" s="1"/>
  <c r="F81" i="69" s="1"/>
  <c r="G81" i="69" s="1"/>
  <c r="H81" i="69" s="1"/>
  <c r="I81" i="69" s="1"/>
  <c r="J81" i="69" s="1"/>
  <c r="K81" i="69" s="1"/>
  <c r="M81" i="69" s="1"/>
  <c r="N81" i="69"/>
  <c r="AF81" i="69" s="1"/>
  <c r="P81" i="69"/>
  <c r="C82" i="69"/>
  <c r="AO82" i="69" s="1"/>
  <c r="O82" i="69"/>
  <c r="AN82" i="67" a="1"/>
  <c r="AN82" i="67" s="1"/>
  <c r="B83" i="69"/>
  <c r="L83" i="69" s="1"/>
  <c r="AN81" i="63" a="1"/>
  <c r="AN81" i="63" s="1"/>
  <c r="B82" i="65"/>
  <c r="L82" i="65" s="1"/>
  <c r="P80" i="65"/>
  <c r="D80" i="65"/>
  <c r="E80" i="65" s="1"/>
  <c r="F80" i="65" s="1"/>
  <c r="G80" i="65" s="1"/>
  <c r="H80" i="65" s="1"/>
  <c r="I80" i="65" s="1"/>
  <c r="J80" i="65" s="1"/>
  <c r="K80" i="65" s="1"/>
  <c r="M80" i="65" s="1"/>
  <c r="N80" i="65"/>
  <c r="Q79" i="65"/>
  <c r="R79" i="65"/>
  <c r="S79" i="65" s="1"/>
  <c r="Y79" i="65" s="1"/>
  <c r="AB79" i="65" s="1"/>
  <c r="AC79" i="65" s="1"/>
  <c r="AD79" i="65" s="1"/>
  <c r="U79" i="65"/>
  <c r="C81" i="65"/>
  <c r="AM81" i="65" s="1"/>
  <c r="O81" i="65"/>
  <c r="AL27" i="11" a="1"/>
  <c r="AL27" i="11" s="1"/>
  <c r="E28" i="32" s="1"/>
  <c r="AK28" i="32" s="1"/>
  <c r="AL37" i="59" a="1"/>
  <c r="AL37" i="59" s="1"/>
  <c r="E38" i="50" s="1"/>
  <c r="AK38" i="50" s="1"/>
  <c r="AI34" i="50" l="1"/>
  <c r="AP34" i="50" s="1"/>
  <c r="AF80" i="65"/>
  <c r="AE80" i="65"/>
  <c r="AE97" i="57"/>
  <c r="R97" i="57"/>
  <c r="AE97" i="53"/>
  <c r="R97" i="53"/>
  <c r="AG35" i="50"/>
  <c r="AH35" i="50" s="1"/>
  <c r="AL35" i="50"/>
  <c r="AG80" i="69"/>
  <c r="AG79" i="65"/>
  <c r="AX81" i="69"/>
  <c r="O98" i="57"/>
  <c r="AG98" i="57" s="1"/>
  <c r="L98" i="57"/>
  <c r="X95" i="57"/>
  <c r="T38" i="50"/>
  <c r="O38" i="50"/>
  <c r="AM37" i="50"/>
  <c r="U37" i="50"/>
  <c r="AJ97" i="57"/>
  <c r="AC97" i="57"/>
  <c r="AP97" i="57"/>
  <c r="AD36" i="50"/>
  <c r="AB94" i="57"/>
  <c r="AA94" i="57"/>
  <c r="AH80" i="65"/>
  <c r="AV80" i="65"/>
  <c r="AB95" i="53"/>
  <c r="AA95" i="53"/>
  <c r="AG97" i="53"/>
  <c r="AH97" i="53"/>
  <c r="AC97" i="53"/>
  <c r="AT97" i="53"/>
  <c r="N98" i="57"/>
  <c r="G98" i="53"/>
  <c r="N98" i="53"/>
  <c r="AH81" i="69"/>
  <c r="AJ36" i="50"/>
  <c r="C36" i="50"/>
  <c r="AD97" i="57"/>
  <c r="AD97" i="53"/>
  <c r="X96" i="53"/>
  <c r="AF96" i="53" s="1"/>
  <c r="S37" i="50"/>
  <c r="V36" i="50"/>
  <c r="Q97" i="53"/>
  <c r="J98" i="53"/>
  <c r="E98" i="53"/>
  <c r="I98" i="53"/>
  <c r="AK97" i="52" a="1"/>
  <c r="AK97" i="52" s="1"/>
  <c r="B99" i="53" s="1"/>
  <c r="O99" i="53" s="1"/>
  <c r="K98" i="53"/>
  <c r="P98" i="53"/>
  <c r="F98" i="53"/>
  <c r="L98" i="53"/>
  <c r="H98" i="53"/>
  <c r="C98" i="53"/>
  <c r="D98" i="53"/>
  <c r="G38" i="50"/>
  <c r="F38" i="50"/>
  <c r="M38" i="50"/>
  <c r="L38" i="50"/>
  <c r="K38" i="50"/>
  <c r="H38" i="50"/>
  <c r="B38" i="50"/>
  <c r="R38" i="50" s="1"/>
  <c r="N38" i="50"/>
  <c r="A38" i="50"/>
  <c r="Q38" i="50" s="1"/>
  <c r="P38" i="50" s="1"/>
  <c r="J38" i="50"/>
  <c r="I38" i="50"/>
  <c r="Q97" i="57"/>
  <c r="J98" i="57"/>
  <c r="E98" i="57"/>
  <c r="H98" i="57"/>
  <c r="G98" i="57"/>
  <c r="D98" i="57"/>
  <c r="K98" i="57"/>
  <c r="F98" i="57"/>
  <c r="I98" i="57"/>
  <c r="C98" i="57"/>
  <c r="M98" i="57" s="1"/>
  <c r="P98" i="57"/>
  <c r="W36" i="50"/>
  <c r="X36" i="50" s="1"/>
  <c r="Z36" i="50"/>
  <c r="T96" i="57"/>
  <c r="AK97" i="55" a="1"/>
  <c r="AK97" i="55" s="1"/>
  <c r="B99" i="57" s="1"/>
  <c r="P82" i="69"/>
  <c r="D82" i="69"/>
  <c r="E82" i="69" s="1"/>
  <c r="F82" i="69" s="1"/>
  <c r="G82" i="69" s="1"/>
  <c r="H82" i="69" s="1"/>
  <c r="I82" i="69" s="1"/>
  <c r="J82" i="69" s="1"/>
  <c r="K82" i="69" s="1"/>
  <c r="M82" i="69" s="1"/>
  <c r="N82" i="69"/>
  <c r="AF82" i="69" s="1"/>
  <c r="U81" i="69"/>
  <c r="Q81" i="69"/>
  <c r="R81" i="69"/>
  <c r="S81" i="69" s="1"/>
  <c r="Y81" i="69" s="1"/>
  <c r="AB81" i="69" s="1"/>
  <c r="AC81" i="69" s="1"/>
  <c r="AD81" i="69" s="1"/>
  <c r="AE81" i="69"/>
  <c r="C83" i="69"/>
  <c r="AO83" i="69" s="1"/>
  <c r="O83" i="69"/>
  <c r="AN83" i="67" a="1"/>
  <c r="AN83" i="67" s="1"/>
  <c r="B84" i="69"/>
  <c r="L84" i="69" s="1"/>
  <c r="AN82" i="63" a="1"/>
  <c r="AN82" i="63" s="1"/>
  <c r="B83" i="65"/>
  <c r="L83" i="65" s="1"/>
  <c r="C82" i="65"/>
  <c r="AM82" i="65" s="1"/>
  <c r="O82" i="65"/>
  <c r="N81" i="65"/>
  <c r="D81" i="65"/>
  <c r="E81" i="65" s="1"/>
  <c r="F81" i="65" s="1"/>
  <c r="G81" i="65" s="1"/>
  <c r="H81" i="65" s="1"/>
  <c r="I81" i="65" s="1"/>
  <c r="J81" i="65" s="1"/>
  <c r="K81" i="65" s="1"/>
  <c r="M81" i="65" s="1"/>
  <c r="P81" i="65"/>
  <c r="U80" i="65"/>
  <c r="R80" i="65"/>
  <c r="S80" i="65" s="1"/>
  <c r="Y80" i="65" s="1"/>
  <c r="AB80" i="65" s="1"/>
  <c r="AC80" i="65" s="1"/>
  <c r="AD80" i="65" s="1"/>
  <c r="Q80" i="65"/>
  <c r="AL28" i="11" a="1"/>
  <c r="AL28" i="11" s="1"/>
  <c r="E29" i="32" s="1"/>
  <c r="AK29" i="32" s="1"/>
  <c r="AL38" i="59" a="1"/>
  <c r="AL38" i="59" s="1"/>
  <c r="E39" i="50" s="1"/>
  <c r="AK39" i="50" s="1"/>
  <c r="AI35" i="50" l="1"/>
  <c r="AP35" i="50" s="1"/>
  <c r="X97" i="53"/>
  <c r="AF97" i="53" s="1"/>
  <c r="AF81" i="65"/>
  <c r="AE81" i="65"/>
  <c r="AE98" i="57"/>
  <c r="R98" i="57"/>
  <c r="AE98" i="53"/>
  <c r="R98" i="53"/>
  <c r="AG36" i="50"/>
  <c r="AH36" i="50" s="1"/>
  <c r="AL36" i="50"/>
  <c r="AA95" i="57"/>
  <c r="AF95" i="57"/>
  <c r="AG81" i="69"/>
  <c r="AG80" i="65"/>
  <c r="AX82" i="69"/>
  <c r="AB95" i="57"/>
  <c r="O99" i="57"/>
  <c r="AG99" i="57" s="1"/>
  <c r="L99" i="57"/>
  <c r="T39" i="50"/>
  <c r="O39" i="50"/>
  <c r="AM38" i="50"/>
  <c r="U38" i="50"/>
  <c r="X96" i="57"/>
  <c r="AF96" i="57" s="1"/>
  <c r="AD37" i="50"/>
  <c r="AJ98" i="57"/>
  <c r="AC98" i="57"/>
  <c r="AP98" i="57"/>
  <c r="AH81" i="65"/>
  <c r="AV81" i="65"/>
  <c r="AH98" i="53"/>
  <c r="AC98" i="53"/>
  <c r="AT98" i="53"/>
  <c r="AB96" i="53"/>
  <c r="AA96" i="53"/>
  <c r="AG98" i="53"/>
  <c r="N99" i="57"/>
  <c r="L99" i="53"/>
  <c r="N99" i="53"/>
  <c r="AH82" i="69"/>
  <c r="AJ37" i="50"/>
  <c r="C37" i="50"/>
  <c r="AD98" i="57"/>
  <c r="Q98" i="53"/>
  <c r="AD98" i="53"/>
  <c r="S38" i="50"/>
  <c r="V37" i="50"/>
  <c r="G99" i="53"/>
  <c r="C99" i="53"/>
  <c r="P99" i="53"/>
  <c r="I99" i="53"/>
  <c r="D99" i="53"/>
  <c r="J99" i="53"/>
  <c r="F99" i="53"/>
  <c r="H99" i="53"/>
  <c r="AK98" i="52" a="1"/>
  <c r="AK98" i="52" s="1"/>
  <c r="B100" i="53" s="1"/>
  <c r="O100" i="53" s="1"/>
  <c r="K99" i="53"/>
  <c r="E99" i="53"/>
  <c r="J39" i="50"/>
  <c r="M39" i="50"/>
  <c r="F39" i="50"/>
  <c r="N39" i="50"/>
  <c r="G39" i="50"/>
  <c r="K39" i="50"/>
  <c r="I39" i="50"/>
  <c r="A39" i="50"/>
  <c r="Q39" i="50" s="1"/>
  <c r="P39" i="50" s="1"/>
  <c r="L39" i="50"/>
  <c r="H39" i="50"/>
  <c r="B39" i="50"/>
  <c r="R39" i="50" s="1"/>
  <c r="Z37" i="50"/>
  <c r="W37" i="50"/>
  <c r="X37" i="50" s="1"/>
  <c r="E99" i="57"/>
  <c r="P99" i="57"/>
  <c r="D99" i="57"/>
  <c r="C99" i="57"/>
  <c r="M99" i="57" s="1"/>
  <c r="K99" i="57"/>
  <c r="G99" i="57"/>
  <c r="I99" i="57"/>
  <c r="H99" i="57"/>
  <c r="F99" i="57"/>
  <c r="J99" i="57"/>
  <c r="Q98" i="57"/>
  <c r="T97" i="57"/>
  <c r="AK98" i="55" a="1"/>
  <c r="AK98" i="55" s="1"/>
  <c r="B100" i="57" s="1"/>
  <c r="AN84" i="67" a="1"/>
  <c r="AN84" i="67" s="1"/>
  <c r="B85" i="69"/>
  <c r="L85" i="69" s="1"/>
  <c r="AE82" i="69"/>
  <c r="Q82" i="69"/>
  <c r="R82" i="69"/>
  <c r="S82" i="69" s="1"/>
  <c r="Y82" i="69" s="1"/>
  <c r="AB82" i="69" s="1"/>
  <c r="AC82" i="69" s="1"/>
  <c r="AD82" i="69" s="1"/>
  <c r="U82" i="69"/>
  <c r="C84" i="69"/>
  <c r="AO84" i="69" s="1"/>
  <c r="O84" i="69"/>
  <c r="D83" i="69"/>
  <c r="E83" i="69" s="1"/>
  <c r="F83" i="69" s="1"/>
  <c r="G83" i="69" s="1"/>
  <c r="H83" i="69" s="1"/>
  <c r="I83" i="69" s="1"/>
  <c r="J83" i="69" s="1"/>
  <c r="K83" i="69" s="1"/>
  <c r="M83" i="69" s="1"/>
  <c r="P83" i="69"/>
  <c r="N83" i="69"/>
  <c r="AF83" i="69" s="1"/>
  <c r="AN83" i="63" a="1"/>
  <c r="AN83" i="63" s="1"/>
  <c r="B84" i="65"/>
  <c r="L84" i="65" s="1"/>
  <c r="C83" i="65"/>
  <c r="AM83" i="65" s="1"/>
  <c r="O83" i="65"/>
  <c r="R81" i="65"/>
  <c r="S81" i="65" s="1"/>
  <c r="Y81" i="65" s="1"/>
  <c r="AB81" i="65" s="1"/>
  <c r="AC81" i="65" s="1"/>
  <c r="AD81" i="65" s="1"/>
  <c r="U81" i="65"/>
  <c r="Q81" i="65"/>
  <c r="P82" i="65"/>
  <c r="D82" i="65"/>
  <c r="E82" i="65" s="1"/>
  <c r="F82" i="65" s="1"/>
  <c r="G82" i="65" s="1"/>
  <c r="H82" i="65" s="1"/>
  <c r="I82" i="65" s="1"/>
  <c r="J82" i="65" s="1"/>
  <c r="K82" i="65" s="1"/>
  <c r="M82" i="65" s="1"/>
  <c r="N82" i="65"/>
  <c r="AL29" i="11" a="1"/>
  <c r="AL29" i="11" s="1"/>
  <c r="E30" i="32" s="1"/>
  <c r="AK30" i="32" s="1"/>
  <c r="AL39" i="59" a="1"/>
  <c r="AL39" i="59" s="1"/>
  <c r="E40" i="50" s="1"/>
  <c r="AK40" i="50" s="1"/>
  <c r="AA97" i="53" l="1"/>
  <c r="AI36" i="50"/>
  <c r="AP36" i="50" s="1"/>
  <c r="AB97" i="53"/>
  <c r="AF82" i="65"/>
  <c r="AE82" i="65"/>
  <c r="AE99" i="57"/>
  <c r="R99" i="57"/>
  <c r="AE99" i="53"/>
  <c r="R99" i="53"/>
  <c r="AG37" i="50"/>
  <c r="AH37" i="50" s="1"/>
  <c r="AL37" i="50"/>
  <c r="AG82" i="69"/>
  <c r="AG81" i="65"/>
  <c r="AX83" i="69"/>
  <c r="X97" i="57"/>
  <c r="O100" i="57"/>
  <c r="AG100" i="57" s="1"/>
  <c r="L100" i="57"/>
  <c r="T40" i="50"/>
  <c r="O40" i="50"/>
  <c r="AJ99" i="57"/>
  <c r="AC99" i="57"/>
  <c r="AP99" i="57"/>
  <c r="AM39" i="50"/>
  <c r="U39" i="50"/>
  <c r="AB96" i="57"/>
  <c r="AA96" i="57"/>
  <c r="AD38" i="50"/>
  <c r="AH82" i="65"/>
  <c r="AV82" i="65"/>
  <c r="AH99" i="53"/>
  <c r="AC99" i="53"/>
  <c r="AT99" i="53"/>
  <c r="AG99" i="53"/>
  <c r="X98" i="53"/>
  <c r="AF98" i="53" s="1"/>
  <c r="N100" i="57"/>
  <c r="K100" i="53"/>
  <c r="N100" i="53"/>
  <c r="AH83" i="69"/>
  <c r="AJ38" i="50"/>
  <c r="C38" i="50"/>
  <c r="AD99" i="57"/>
  <c r="Q99" i="53"/>
  <c r="AD99" i="53"/>
  <c r="V38" i="50"/>
  <c r="S39" i="50"/>
  <c r="L100" i="53"/>
  <c r="D100" i="53"/>
  <c r="G100" i="53"/>
  <c r="P100" i="53"/>
  <c r="F100" i="53"/>
  <c r="E100" i="53"/>
  <c r="J100" i="53"/>
  <c r="C100" i="53"/>
  <c r="I100" i="53"/>
  <c r="AK99" i="52" a="1"/>
  <c r="AK99" i="52" s="1"/>
  <c r="B101" i="53" s="1"/>
  <c r="O101" i="53" s="1"/>
  <c r="H100" i="53"/>
  <c r="N40" i="50"/>
  <c r="I40" i="50"/>
  <c r="J40" i="50"/>
  <c r="G40" i="50"/>
  <c r="B40" i="50"/>
  <c r="R40" i="50" s="1"/>
  <c r="A40" i="50"/>
  <c r="Q40" i="50" s="1"/>
  <c r="P40" i="50" s="1"/>
  <c r="H40" i="50"/>
  <c r="M40" i="50"/>
  <c r="K40" i="50"/>
  <c r="F40" i="50"/>
  <c r="L40" i="50"/>
  <c r="I100" i="57"/>
  <c r="F100" i="57"/>
  <c r="C100" i="57"/>
  <c r="M100" i="57" s="1"/>
  <c r="K100" i="57"/>
  <c r="P100" i="57"/>
  <c r="H100" i="57"/>
  <c r="D100" i="57"/>
  <c r="G100" i="57"/>
  <c r="E100" i="57"/>
  <c r="J100" i="57"/>
  <c r="T98" i="57"/>
  <c r="Q99" i="57"/>
  <c r="Z38" i="50"/>
  <c r="W38" i="50"/>
  <c r="X38" i="50" s="1"/>
  <c r="AK99" i="55" a="1"/>
  <c r="AK99" i="55" s="1"/>
  <c r="B101" i="57" s="1"/>
  <c r="Q83" i="69"/>
  <c r="R83" i="69"/>
  <c r="S83" i="69" s="1"/>
  <c r="Y83" i="69" s="1"/>
  <c r="AB83" i="69" s="1"/>
  <c r="AC83" i="69" s="1"/>
  <c r="AD83" i="69" s="1"/>
  <c r="U83" i="69"/>
  <c r="AE83" i="69"/>
  <c r="D84" i="69"/>
  <c r="E84" i="69" s="1"/>
  <c r="F84" i="69" s="1"/>
  <c r="G84" i="69" s="1"/>
  <c r="H84" i="69" s="1"/>
  <c r="I84" i="69" s="1"/>
  <c r="J84" i="69" s="1"/>
  <c r="K84" i="69" s="1"/>
  <c r="M84" i="69" s="1"/>
  <c r="N84" i="69"/>
  <c r="AF84" i="69" s="1"/>
  <c r="P84" i="69"/>
  <c r="C85" i="69"/>
  <c r="AO85" i="69" s="1"/>
  <c r="O85" i="69"/>
  <c r="AN85" i="67" a="1"/>
  <c r="AN85" i="67" s="1"/>
  <c r="B86" i="69"/>
  <c r="L86" i="69" s="1"/>
  <c r="AN84" i="63" a="1"/>
  <c r="AN84" i="63" s="1"/>
  <c r="B85" i="65"/>
  <c r="L85" i="65" s="1"/>
  <c r="C84" i="65"/>
  <c r="AM84" i="65" s="1"/>
  <c r="O84" i="65"/>
  <c r="Q82" i="65"/>
  <c r="R82" i="65"/>
  <c r="S82" i="65" s="1"/>
  <c r="Y82" i="65" s="1"/>
  <c r="AB82" i="65" s="1"/>
  <c r="AC82" i="65" s="1"/>
  <c r="AD82" i="65" s="1"/>
  <c r="U82" i="65"/>
  <c r="P83" i="65"/>
  <c r="N83" i="65"/>
  <c r="D83" i="65"/>
  <c r="E83" i="65" s="1"/>
  <c r="F83" i="65" s="1"/>
  <c r="G83" i="65" s="1"/>
  <c r="H83" i="65" s="1"/>
  <c r="I83" i="65" s="1"/>
  <c r="J83" i="65" s="1"/>
  <c r="K83" i="65" s="1"/>
  <c r="M83" i="65" s="1"/>
  <c r="AL30" i="11" a="1"/>
  <c r="AL30" i="11" s="1"/>
  <c r="E31" i="32" s="1"/>
  <c r="AK31" i="32" s="1"/>
  <c r="AL40" i="59" a="1"/>
  <c r="AL40" i="59" s="1"/>
  <c r="E41" i="50" s="1"/>
  <c r="AK41" i="50" s="1"/>
  <c r="AI37" i="50" l="1"/>
  <c r="AP37" i="50" s="1"/>
  <c r="X99" i="53"/>
  <c r="AF99" i="53" s="1"/>
  <c r="AF83" i="65"/>
  <c r="AE83" i="65"/>
  <c r="AE100" i="57"/>
  <c r="R100" i="57"/>
  <c r="AE100" i="53"/>
  <c r="R100" i="53"/>
  <c r="AG38" i="50"/>
  <c r="AH38" i="50" s="1"/>
  <c r="AL38" i="50"/>
  <c r="AA97" i="57"/>
  <c r="AF97" i="57"/>
  <c r="AG83" i="69"/>
  <c r="AG82" i="65"/>
  <c r="AB97" i="57"/>
  <c r="AX84" i="69"/>
  <c r="X98" i="57"/>
  <c r="L101" i="57"/>
  <c r="O101" i="57"/>
  <c r="AG101" i="57" s="1"/>
  <c r="O41" i="50"/>
  <c r="T41" i="50"/>
  <c r="AM40" i="50"/>
  <c r="U40" i="50"/>
  <c r="AC100" i="57"/>
  <c r="AJ100" i="57"/>
  <c r="AP100" i="57"/>
  <c r="AD39" i="50"/>
  <c r="AH83" i="65"/>
  <c r="AV83" i="65"/>
  <c r="AB98" i="53"/>
  <c r="AA98" i="53"/>
  <c r="AH100" i="53"/>
  <c r="AC100" i="53"/>
  <c r="AT100" i="53"/>
  <c r="AG100" i="53"/>
  <c r="N101" i="57"/>
  <c r="N101" i="53"/>
  <c r="AH84" i="69"/>
  <c r="AJ39" i="50"/>
  <c r="C39" i="50"/>
  <c r="AD100" i="57"/>
  <c r="AD100" i="53"/>
  <c r="S40" i="50"/>
  <c r="V39" i="50"/>
  <c r="Q100" i="53"/>
  <c r="K101" i="53"/>
  <c r="L101" i="53"/>
  <c r="C101" i="53"/>
  <c r="P101" i="53"/>
  <c r="AK100" i="52" a="1"/>
  <c r="AK100" i="52" s="1"/>
  <c r="B102" i="53" s="1"/>
  <c r="O102" i="53" s="1"/>
  <c r="I101" i="53"/>
  <c r="F101" i="53"/>
  <c r="E101" i="53"/>
  <c r="D101" i="53"/>
  <c r="J101" i="53"/>
  <c r="G101" i="53"/>
  <c r="H101" i="53"/>
  <c r="M41" i="50"/>
  <c r="K41" i="50"/>
  <c r="H41" i="50"/>
  <c r="N41" i="50"/>
  <c r="I41" i="50"/>
  <c r="A41" i="50"/>
  <c r="Q41" i="50" s="1"/>
  <c r="P41" i="50" s="1"/>
  <c r="B41" i="50"/>
  <c r="R41" i="50" s="1"/>
  <c r="L41" i="50"/>
  <c r="G41" i="50"/>
  <c r="J41" i="50"/>
  <c r="F41" i="50"/>
  <c r="Q100" i="57"/>
  <c r="T99" i="57"/>
  <c r="K101" i="57"/>
  <c r="I101" i="57"/>
  <c r="H101" i="57"/>
  <c r="G101" i="57"/>
  <c r="E101" i="57"/>
  <c r="P101" i="57"/>
  <c r="D101" i="57"/>
  <c r="C101" i="57"/>
  <c r="M101" i="57" s="1"/>
  <c r="F101" i="57"/>
  <c r="J101" i="57"/>
  <c r="Z39" i="50"/>
  <c r="W39" i="50"/>
  <c r="X39" i="50" s="1"/>
  <c r="AK100" i="55" a="1"/>
  <c r="AK100" i="55" s="1"/>
  <c r="B102" i="57" s="1"/>
  <c r="AN86" i="67" a="1"/>
  <c r="AN86" i="67" s="1"/>
  <c r="B87" i="69"/>
  <c r="L87" i="69" s="1"/>
  <c r="P85" i="69"/>
  <c r="N85" i="69"/>
  <c r="AF85" i="69" s="1"/>
  <c r="D85" i="69"/>
  <c r="E85" i="69" s="1"/>
  <c r="F85" i="69" s="1"/>
  <c r="G85" i="69" s="1"/>
  <c r="H85" i="69" s="1"/>
  <c r="I85" i="69" s="1"/>
  <c r="J85" i="69" s="1"/>
  <c r="K85" i="69" s="1"/>
  <c r="M85" i="69" s="1"/>
  <c r="C86" i="69"/>
  <c r="AO86" i="69" s="1"/>
  <c r="O86" i="69"/>
  <c r="AE84" i="69"/>
  <c r="Q84" i="69"/>
  <c r="U84" i="69"/>
  <c r="R84" i="69"/>
  <c r="S84" i="69" s="1"/>
  <c r="Y84" i="69" s="1"/>
  <c r="AB84" i="69" s="1"/>
  <c r="AC84" i="69" s="1"/>
  <c r="AD84" i="69" s="1"/>
  <c r="AN85" i="63" a="1"/>
  <c r="AN85" i="63" s="1"/>
  <c r="B86" i="65"/>
  <c r="L86" i="65" s="1"/>
  <c r="Q83" i="65"/>
  <c r="U83" i="65"/>
  <c r="R83" i="65"/>
  <c r="S83" i="65" s="1"/>
  <c r="Y83" i="65" s="1"/>
  <c r="AB83" i="65" s="1"/>
  <c r="AC83" i="65" s="1"/>
  <c r="AD83" i="65" s="1"/>
  <c r="P84" i="65"/>
  <c r="N84" i="65"/>
  <c r="D84" i="65"/>
  <c r="E84" i="65" s="1"/>
  <c r="F84" i="65" s="1"/>
  <c r="G84" i="65" s="1"/>
  <c r="H84" i="65" s="1"/>
  <c r="I84" i="65" s="1"/>
  <c r="J84" i="65" s="1"/>
  <c r="K84" i="65" s="1"/>
  <c r="M84" i="65" s="1"/>
  <c r="C85" i="65"/>
  <c r="AM85" i="65" s="1"/>
  <c r="O85" i="65"/>
  <c r="AL31" i="11" a="1"/>
  <c r="AL31" i="11" s="1"/>
  <c r="E32" i="32" s="1"/>
  <c r="AK32" i="32" s="1"/>
  <c r="AL41" i="59" a="1"/>
  <c r="AL41" i="59" s="1"/>
  <c r="E42" i="50" s="1"/>
  <c r="AK42" i="50" s="1"/>
  <c r="AA99" i="53" l="1"/>
  <c r="AB99" i="53"/>
  <c r="AI38" i="50"/>
  <c r="AP38" i="50" s="1"/>
  <c r="AF84" i="65"/>
  <c r="AE84" i="65"/>
  <c r="AE101" i="57"/>
  <c r="R101" i="57"/>
  <c r="AE101" i="53"/>
  <c r="R101" i="53"/>
  <c r="AG39" i="50"/>
  <c r="AH39" i="50" s="1"/>
  <c r="AL39" i="50"/>
  <c r="AA98" i="57"/>
  <c r="AF98" i="57"/>
  <c r="AG84" i="69"/>
  <c r="AG83" i="65"/>
  <c r="AX85" i="69"/>
  <c r="AB98" i="57"/>
  <c r="O102" i="57"/>
  <c r="AG102" i="57" s="1"/>
  <c r="L102" i="57"/>
  <c r="X99" i="57"/>
  <c r="O42" i="50"/>
  <c r="T42" i="50"/>
  <c r="AM41" i="50"/>
  <c r="U41" i="50"/>
  <c r="AC101" i="57"/>
  <c r="AJ101" i="57"/>
  <c r="AP101" i="57"/>
  <c r="AD40" i="50"/>
  <c r="AH84" i="65"/>
  <c r="AV84" i="65"/>
  <c r="AH101" i="53"/>
  <c r="AC101" i="53"/>
  <c r="AT101" i="53"/>
  <c r="AG101" i="53"/>
  <c r="N102" i="57"/>
  <c r="N102" i="53"/>
  <c r="AH85" i="69"/>
  <c r="AJ40" i="50"/>
  <c r="C40" i="50"/>
  <c r="AD101" i="57"/>
  <c r="AD101" i="53"/>
  <c r="X100" i="53"/>
  <c r="AF100" i="53" s="1"/>
  <c r="S41" i="50"/>
  <c r="V40" i="50"/>
  <c r="Q101" i="53"/>
  <c r="G102" i="53"/>
  <c r="I102" i="53"/>
  <c r="C102" i="53"/>
  <c r="H102" i="53"/>
  <c r="J102" i="53"/>
  <c r="E102" i="53"/>
  <c r="K102" i="53"/>
  <c r="D102" i="53"/>
  <c r="AK101" i="52" a="1"/>
  <c r="AK101" i="52" s="1"/>
  <c r="B103" i="53" s="1"/>
  <c r="O103" i="53" s="1"/>
  <c r="F102" i="53"/>
  <c r="P102" i="53"/>
  <c r="L102" i="53"/>
  <c r="A42" i="50"/>
  <c r="Q42" i="50" s="1"/>
  <c r="P42" i="50" s="1"/>
  <c r="M42" i="50"/>
  <c r="B42" i="50"/>
  <c r="R42" i="50" s="1"/>
  <c r="L42" i="50"/>
  <c r="K42" i="50"/>
  <c r="I42" i="50"/>
  <c r="F42" i="50"/>
  <c r="H42" i="50"/>
  <c r="N42" i="50"/>
  <c r="J42" i="50"/>
  <c r="G42" i="50"/>
  <c r="Z40" i="50"/>
  <c r="W40" i="50"/>
  <c r="X40" i="50" s="1"/>
  <c r="Q101" i="57"/>
  <c r="T100" i="57"/>
  <c r="I102" i="57"/>
  <c r="C102" i="57"/>
  <c r="M102" i="57" s="1"/>
  <c r="E102" i="57"/>
  <c r="K102" i="57"/>
  <c r="G102" i="57"/>
  <c r="P102" i="57"/>
  <c r="F102" i="57"/>
  <c r="H102" i="57"/>
  <c r="J102" i="57"/>
  <c r="D102" i="57"/>
  <c r="AK101" i="55" a="1"/>
  <c r="AK101" i="55" s="1"/>
  <c r="B103" i="57" s="1"/>
  <c r="AN87" i="67" a="1"/>
  <c r="AN87" i="67" s="1"/>
  <c r="B88" i="69"/>
  <c r="L88" i="69" s="1"/>
  <c r="D86" i="69"/>
  <c r="E86" i="69" s="1"/>
  <c r="F86" i="69" s="1"/>
  <c r="G86" i="69" s="1"/>
  <c r="H86" i="69" s="1"/>
  <c r="I86" i="69" s="1"/>
  <c r="J86" i="69" s="1"/>
  <c r="K86" i="69" s="1"/>
  <c r="M86" i="69" s="1"/>
  <c r="N86" i="69"/>
  <c r="AF86" i="69" s="1"/>
  <c r="P86" i="69"/>
  <c r="AE85" i="69"/>
  <c r="R85" i="69"/>
  <c r="S85" i="69" s="1"/>
  <c r="Y85" i="69" s="1"/>
  <c r="AB85" i="69" s="1"/>
  <c r="AC85" i="69" s="1"/>
  <c r="AD85" i="69" s="1"/>
  <c r="U85" i="69"/>
  <c r="Q85" i="69"/>
  <c r="O87" i="69"/>
  <c r="C87" i="69"/>
  <c r="AO87" i="69" s="1"/>
  <c r="U84" i="65"/>
  <c r="R84" i="65"/>
  <c r="S84" i="65" s="1"/>
  <c r="Y84" i="65" s="1"/>
  <c r="AB84" i="65" s="1"/>
  <c r="AC84" i="65" s="1"/>
  <c r="AD84" i="65" s="1"/>
  <c r="Q84" i="65"/>
  <c r="C86" i="65"/>
  <c r="AM86" i="65" s="1"/>
  <c r="O86" i="65"/>
  <c r="P85" i="65"/>
  <c r="N85" i="65"/>
  <c r="D85" i="65"/>
  <c r="E85" i="65" s="1"/>
  <c r="F85" i="65" s="1"/>
  <c r="G85" i="65" s="1"/>
  <c r="H85" i="65" s="1"/>
  <c r="I85" i="65" s="1"/>
  <c r="J85" i="65" s="1"/>
  <c r="K85" i="65" s="1"/>
  <c r="M85" i="65" s="1"/>
  <c r="AN86" i="63" a="1"/>
  <c r="AN86" i="63" s="1"/>
  <c r="B87" i="65"/>
  <c r="L87" i="65" s="1"/>
  <c r="AL32" i="11" a="1"/>
  <c r="AL32" i="11" s="1"/>
  <c r="E33" i="32" s="1"/>
  <c r="AK33" i="32" s="1"/>
  <c r="AL42" i="59" a="1"/>
  <c r="AL42" i="59" s="1"/>
  <c r="E43" i="50" s="1"/>
  <c r="AK43" i="50" s="1"/>
  <c r="AI39" i="50" l="1"/>
  <c r="AP39" i="50" s="1"/>
  <c r="AF85" i="65"/>
  <c r="AE85" i="65"/>
  <c r="AE102" i="57"/>
  <c r="R102" i="57"/>
  <c r="AE102" i="53"/>
  <c r="R102" i="53"/>
  <c r="AG40" i="50"/>
  <c r="AH40" i="50" s="1"/>
  <c r="AL40" i="50"/>
  <c r="AB99" i="57"/>
  <c r="AF99" i="57"/>
  <c r="AG85" i="69"/>
  <c r="AG84" i="65"/>
  <c r="AX86" i="69"/>
  <c r="AA99" i="57"/>
  <c r="O103" i="57"/>
  <c r="AG103" i="57" s="1"/>
  <c r="L103" i="57"/>
  <c r="O43" i="50"/>
  <c r="T43" i="50"/>
  <c r="X100" i="57"/>
  <c r="AF100" i="57" s="1"/>
  <c r="AM42" i="50"/>
  <c r="U42" i="50"/>
  <c r="AD41" i="50"/>
  <c r="AJ102" i="57"/>
  <c r="AC102" i="57"/>
  <c r="AP102" i="57"/>
  <c r="AH85" i="65"/>
  <c r="AV85" i="65"/>
  <c r="AG102" i="53"/>
  <c r="AB100" i="53"/>
  <c r="AA100" i="53"/>
  <c r="AH102" i="53"/>
  <c r="AT102" i="53"/>
  <c r="AC102" i="53"/>
  <c r="N103" i="57"/>
  <c r="N103" i="53"/>
  <c r="AH86" i="69"/>
  <c r="AJ41" i="50"/>
  <c r="C41" i="50"/>
  <c r="AD102" i="57"/>
  <c r="Q102" i="53"/>
  <c r="AD102" i="53"/>
  <c r="X101" i="53"/>
  <c r="AF101" i="53" s="1"/>
  <c r="S42" i="50"/>
  <c r="V41" i="50"/>
  <c r="J103" i="53"/>
  <c r="E103" i="53"/>
  <c r="AK102" i="52" a="1"/>
  <c r="AK102" i="52" s="1"/>
  <c r="B104" i="53" s="1"/>
  <c r="O104" i="53" s="1"/>
  <c r="F103" i="53"/>
  <c r="D103" i="53"/>
  <c r="G103" i="53"/>
  <c r="K103" i="53"/>
  <c r="C103" i="53"/>
  <c r="P103" i="53"/>
  <c r="H103" i="53"/>
  <c r="I103" i="53"/>
  <c r="L103" i="53"/>
  <c r="F43" i="50"/>
  <c r="M43" i="50"/>
  <c r="K43" i="50"/>
  <c r="J43" i="50"/>
  <c r="A43" i="50"/>
  <c r="Q43" i="50" s="1"/>
  <c r="P43" i="50" s="1"/>
  <c r="N43" i="50"/>
  <c r="L43" i="50"/>
  <c r="B43" i="50"/>
  <c r="R43" i="50" s="1"/>
  <c r="I43" i="50"/>
  <c r="H43" i="50"/>
  <c r="G43" i="50"/>
  <c r="Z41" i="50"/>
  <c r="W41" i="50"/>
  <c r="X41" i="50" s="1"/>
  <c r="Q102" i="57"/>
  <c r="K103" i="57"/>
  <c r="I103" i="57"/>
  <c r="H103" i="57"/>
  <c r="G103" i="57"/>
  <c r="C103" i="57"/>
  <c r="M103" i="57" s="1"/>
  <c r="P103" i="57"/>
  <c r="E103" i="57"/>
  <c r="D103" i="57"/>
  <c r="F103" i="57"/>
  <c r="J103" i="57"/>
  <c r="T101" i="57"/>
  <c r="AK102" i="55" a="1"/>
  <c r="AK102" i="55" s="1"/>
  <c r="B104" i="57" s="1"/>
  <c r="AN88" i="67" a="1"/>
  <c r="AN88" i="67" s="1"/>
  <c r="B89" i="69"/>
  <c r="L89" i="69" s="1"/>
  <c r="D87" i="69"/>
  <c r="E87" i="69" s="1"/>
  <c r="F87" i="69" s="1"/>
  <c r="G87" i="69" s="1"/>
  <c r="H87" i="69" s="1"/>
  <c r="I87" i="69" s="1"/>
  <c r="J87" i="69" s="1"/>
  <c r="K87" i="69" s="1"/>
  <c r="M87" i="69" s="1"/>
  <c r="N87" i="69"/>
  <c r="AF87" i="69" s="1"/>
  <c r="P87" i="69"/>
  <c r="C88" i="69"/>
  <c r="AO88" i="69" s="1"/>
  <c r="O88" i="69"/>
  <c r="AE86" i="69"/>
  <c r="R86" i="69"/>
  <c r="S86" i="69" s="1"/>
  <c r="Y86" i="69" s="1"/>
  <c r="AB86" i="69" s="1"/>
  <c r="AC86" i="69" s="1"/>
  <c r="AD86" i="69" s="1"/>
  <c r="Q86" i="69"/>
  <c r="U86" i="69"/>
  <c r="AN87" i="63" a="1"/>
  <c r="AN87" i="63" s="1"/>
  <c r="B88" i="65"/>
  <c r="L88" i="65" s="1"/>
  <c r="C87" i="65"/>
  <c r="AM87" i="65" s="1"/>
  <c r="O87" i="65"/>
  <c r="U85" i="65"/>
  <c r="Q85" i="65"/>
  <c r="R85" i="65"/>
  <c r="S85" i="65" s="1"/>
  <c r="Y85" i="65" s="1"/>
  <c r="AB85" i="65" s="1"/>
  <c r="AC85" i="65" s="1"/>
  <c r="AD85" i="65" s="1"/>
  <c r="P86" i="65"/>
  <c r="N86" i="65"/>
  <c r="D86" i="65"/>
  <c r="E86" i="65" s="1"/>
  <c r="F86" i="65" s="1"/>
  <c r="G86" i="65" s="1"/>
  <c r="H86" i="65" s="1"/>
  <c r="I86" i="65" s="1"/>
  <c r="J86" i="65" s="1"/>
  <c r="K86" i="65" s="1"/>
  <c r="M86" i="65" s="1"/>
  <c r="AL33" i="11" a="1"/>
  <c r="AL33" i="11" s="1"/>
  <c r="E34" i="32" s="1"/>
  <c r="AK34" i="32" s="1"/>
  <c r="AL43" i="59" a="1"/>
  <c r="AL43" i="59" s="1"/>
  <c r="E44" i="50" s="1"/>
  <c r="AK44" i="50" s="1"/>
  <c r="AI40" i="50" l="1"/>
  <c r="AP40" i="50" s="1"/>
  <c r="X102" i="53"/>
  <c r="AB102" i="53" s="1"/>
  <c r="AF86" i="65"/>
  <c r="AE86" i="65"/>
  <c r="AE103" i="57"/>
  <c r="R103" i="57"/>
  <c r="AE103" i="53"/>
  <c r="R103" i="53"/>
  <c r="AG41" i="50"/>
  <c r="AH41" i="50" s="1"/>
  <c r="AL41" i="50"/>
  <c r="AG86" i="69"/>
  <c r="AG85" i="65"/>
  <c r="AX87" i="69"/>
  <c r="O104" i="57"/>
  <c r="AG104" i="57" s="1"/>
  <c r="L104" i="57"/>
  <c r="O44" i="50"/>
  <c r="T44" i="50"/>
  <c r="AD42" i="50"/>
  <c r="AJ103" i="57"/>
  <c r="AC103" i="57"/>
  <c r="AP103" i="57"/>
  <c r="X101" i="57"/>
  <c r="AF101" i="57" s="1"/>
  <c r="AB100" i="57"/>
  <c r="AA100" i="57"/>
  <c r="AM43" i="50"/>
  <c r="U43" i="50"/>
  <c r="AH86" i="65"/>
  <c r="AV86" i="65"/>
  <c r="AG103" i="53"/>
  <c r="AH103" i="53"/>
  <c r="AC103" i="53"/>
  <c r="AT103" i="53"/>
  <c r="AB101" i="53"/>
  <c r="AA101" i="53"/>
  <c r="N104" i="57"/>
  <c r="I104" i="53"/>
  <c r="N104" i="53"/>
  <c r="AH87" i="69"/>
  <c r="AJ42" i="50"/>
  <c r="C42" i="50"/>
  <c r="AD103" i="57"/>
  <c r="AD103" i="53"/>
  <c r="V42" i="50"/>
  <c r="S43" i="50"/>
  <c r="Q103" i="53"/>
  <c r="D104" i="53"/>
  <c r="L104" i="53"/>
  <c r="H104" i="53"/>
  <c r="G104" i="53"/>
  <c r="AK103" i="52" a="1"/>
  <c r="AK103" i="52" s="1"/>
  <c r="B105" i="53" s="1"/>
  <c r="O105" i="53" s="1"/>
  <c r="P104" i="53"/>
  <c r="K104" i="53"/>
  <c r="J104" i="53"/>
  <c r="E104" i="53"/>
  <c r="F104" i="53"/>
  <c r="C104" i="53"/>
  <c r="H44" i="50"/>
  <c r="F44" i="50"/>
  <c r="M44" i="50"/>
  <c r="K44" i="50"/>
  <c r="J44" i="50"/>
  <c r="N44" i="50"/>
  <c r="A44" i="50"/>
  <c r="Q44" i="50" s="1"/>
  <c r="P44" i="50" s="1"/>
  <c r="L44" i="50"/>
  <c r="B44" i="50"/>
  <c r="R44" i="50" s="1"/>
  <c r="I44" i="50"/>
  <c r="G44" i="50"/>
  <c r="T102" i="57"/>
  <c r="K104" i="57"/>
  <c r="J104" i="57"/>
  <c r="I104" i="57"/>
  <c r="C104" i="57"/>
  <c r="M104" i="57" s="1"/>
  <c r="F104" i="57"/>
  <c r="E104" i="57"/>
  <c r="P104" i="57"/>
  <c r="H104" i="57"/>
  <c r="D104" i="57"/>
  <c r="G104" i="57"/>
  <c r="Z42" i="50"/>
  <c r="W42" i="50"/>
  <c r="X42" i="50" s="1"/>
  <c r="Q103" i="57"/>
  <c r="AK103" i="55" a="1"/>
  <c r="AK103" i="55" s="1"/>
  <c r="B105" i="57" s="1"/>
  <c r="AE87" i="69"/>
  <c r="U87" i="69"/>
  <c r="R87" i="69"/>
  <c r="S87" i="69" s="1"/>
  <c r="Y87" i="69" s="1"/>
  <c r="AB87" i="69" s="1"/>
  <c r="AC87" i="69" s="1"/>
  <c r="AD87" i="69" s="1"/>
  <c r="Q87" i="69"/>
  <c r="P88" i="69"/>
  <c r="N88" i="69"/>
  <c r="AF88" i="69" s="1"/>
  <c r="D88" i="69"/>
  <c r="E88" i="69" s="1"/>
  <c r="F88" i="69" s="1"/>
  <c r="G88" i="69" s="1"/>
  <c r="H88" i="69" s="1"/>
  <c r="I88" i="69" s="1"/>
  <c r="J88" i="69" s="1"/>
  <c r="K88" i="69" s="1"/>
  <c r="M88" i="69" s="1"/>
  <c r="C89" i="69"/>
  <c r="AO89" i="69" s="1"/>
  <c r="O89" i="69"/>
  <c r="AN89" i="67" a="1"/>
  <c r="AN89" i="67" s="1"/>
  <c r="B90" i="69"/>
  <c r="L90" i="69" s="1"/>
  <c r="AN88" i="63" a="1"/>
  <c r="AN88" i="63" s="1"/>
  <c r="B89" i="65"/>
  <c r="L89" i="65" s="1"/>
  <c r="D87" i="65"/>
  <c r="E87" i="65" s="1"/>
  <c r="F87" i="65" s="1"/>
  <c r="G87" i="65" s="1"/>
  <c r="H87" i="65" s="1"/>
  <c r="I87" i="65" s="1"/>
  <c r="J87" i="65" s="1"/>
  <c r="K87" i="65" s="1"/>
  <c r="M87" i="65" s="1"/>
  <c r="N87" i="65"/>
  <c r="P87" i="65"/>
  <c r="C88" i="65"/>
  <c r="AM88" i="65" s="1"/>
  <c r="O88" i="65"/>
  <c r="R86" i="65"/>
  <c r="S86" i="65" s="1"/>
  <c r="Y86" i="65" s="1"/>
  <c r="AB86" i="65" s="1"/>
  <c r="AC86" i="65" s="1"/>
  <c r="AD86" i="65" s="1"/>
  <c r="U86" i="65"/>
  <c r="Q86" i="65"/>
  <c r="AL34" i="11" a="1"/>
  <c r="AL34" i="11" s="1"/>
  <c r="E35" i="32" s="1"/>
  <c r="AK35" i="32" s="1"/>
  <c r="AL44" i="59" a="1"/>
  <c r="AL44" i="59" s="1"/>
  <c r="E45" i="50" s="1"/>
  <c r="AK45" i="50" s="1"/>
  <c r="X103" i="53" l="1"/>
  <c r="AF103" i="53" s="1"/>
  <c r="AA102" i="53"/>
  <c r="AI41" i="50"/>
  <c r="AP41" i="50" s="1"/>
  <c r="AF102" i="53"/>
  <c r="AF87" i="65"/>
  <c r="AE87" i="65"/>
  <c r="AE104" i="57"/>
  <c r="R104" i="57"/>
  <c r="AE104" i="53"/>
  <c r="R104" i="53"/>
  <c r="AG42" i="50"/>
  <c r="AH42" i="50" s="1"/>
  <c r="AL42" i="50"/>
  <c r="AG87" i="69"/>
  <c r="AG86" i="65"/>
  <c r="AX88" i="69"/>
  <c r="O105" i="57"/>
  <c r="AG105" i="57" s="1"/>
  <c r="L105" i="57"/>
  <c r="T45" i="50"/>
  <c r="O45" i="50"/>
  <c r="AJ104" i="57"/>
  <c r="AC104" i="57"/>
  <c r="AP104" i="57"/>
  <c r="AM44" i="50"/>
  <c r="U44" i="50"/>
  <c r="AD43" i="50"/>
  <c r="AB101" i="57"/>
  <c r="AA101" i="57"/>
  <c r="X102" i="57"/>
  <c r="AF102" i="57" s="1"/>
  <c r="AH87" i="65"/>
  <c r="AV87" i="65"/>
  <c r="AH104" i="53"/>
  <c r="AC104" i="53"/>
  <c r="AT104" i="53"/>
  <c r="AG104" i="53"/>
  <c r="N105" i="57"/>
  <c r="F105" i="53"/>
  <c r="N105" i="53"/>
  <c r="AH88" i="69"/>
  <c r="AJ43" i="50"/>
  <c r="C43" i="50"/>
  <c r="AD104" i="57"/>
  <c r="AD104" i="53"/>
  <c r="V43" i="50"/>
  <c r="S44" i="50"/>
  <c r="D105" i="53"/>
  <c r="E105" i="53"/>
  <c r="C105" i="53"/>
  <c r="G105" i="53"/>
  <c r="AK104" i="52" a="1"/>
  <c r="AK104" i="52" s="1"/>
  <c r="B106" i="53" s="1"/>
  <c r="O106" i="53" s="1"/>
  <c r="P105" i="53"/>
  <c r="I105" i="53"/>
  <c r="Q104" i="53"/>
  <c r="L105" i="53"/>
  <c r="H105" i="53"/>
  <c r="K105" i="53"/>
  <c r="J105" i="53"/>
  <c r="M45" i="50"/>
  <c r="B45" i="50"/>
  <c r="R45" i="50" s="1"/>
  <c r="I45" i="50"/>
  <c r="A45" i="50"/>
  <c r="Q45" i="50" s="1"/>
  <c r="P45" i="50" s="1"/>
  <c r="H45" i="50"/>
  <c r="G45" i="50"/>
  <c r="K45" i="50"/>
  <c r="J45" i="50"/>
  <c r="F45" i="50"/>
  <c r="N45" i="50"/>
  <c r="L45" i="50"/>
  <c r="Q104" i="57"/>
  <c r="W43" i="50"/>
  <c r="X43" i="50" s="1"/>
  <c r="Z43" i="50"/>
  <c r="P105" i="57"/>
  <c r="D105" i="57"/>
  <c r="C105" i="57"/>
  <c r="M105" i="57" s="1"/>
  <c r="K105" i="57"/>
  <c r="I105" i="57"/>
  <c r="E105" i="57"/>
  <c r="G105" i="57"/>
  <c r="H105" i="57"/>
  <c r="F105" i="57"/>
  <c r="J105" i="57"/>
  <c r="T103" i="57"/>
  <c r="AK104" i="55" a="1"/>
  <c r="AK104" i="55" s="1"/>
  <c r="B106" i="57" s="1"/>
  <c r="AN90" i="67" a="1"/>
  <c r="AN90" i="67" s="1"/>
  <c r="B91" i="69"/>
  <c r="L91" i="69" s="1"/>
  <c r="AE88" i="69"/>
  <c r="R88" i="69"/>
  <c r="S88" i="69" s="1"/>
  <c r="Y88" i="69" s="1"/>
  <c r="AB88" i="69" s="1"/>
  <c r="AC88" i="69" s="1"/>
  <c r="AD88" i="69" s="1"/>
  <c r="Q88" i="69"/>
  <c r="U88" i="69"/>
  <c r="C90" i="69"/>
  <c r="AO90" i="69" s="1"/>
  <c r="O90" i="69"/>
  <c r="N89" i="69"/>
  <c r="AF89" i="69" s="1"/>
  <c r="D89" i="69"/>
  <c r="E89" i="69" s="1"/>
  <c r="F89" i="69" s="1"/>
  <c r="G89" i="69" s="1"/>
  <c r="H89" i="69" s="1"/>
  <c r="I89" i="69" s="1"/>
  <c r="J89" i="69" s="1"/>
  <c r="K89" i="69" s="1"/>
  <c r="M89" i="69" s="1"/>
  <c r="P89" i="69"/>
  <c r="AN89" i="63" a="1"/>
  <c r="AN89" i="63" s="1"/>
  <c r="B90" i="65"/>
  <c r="L90" i="65" s="1"/>
  <c r="C89" i="65"/>
  <c r="AM89" i="65" s="1"/>
  <c r="O89" i="65"/>
  <c r="R87" i="65"/>
  <c r="S87" i="65" s="1"/>
  <c r="Y87" i="65" s="1"/>
  <c r="AB87" i="65" s="1"/>
  <c r="AC87" i="65" s="1"/>
  <c r="AD87" i="65" s="1"/>
  <c r="U87" i="65"/>
  <c r="Q87" i="65"/>
  <c r="D88" i="65"/>
  <c r="E88" i="65" s="1"/>
  <c r="F88" i="65" s="1"/>
  <c r="G88" i="65" s="1"/>
  <c r="H88" i="65" s="1"/>
  <c r="I88" i="65" s="1"/>
  <c r="J88" i="65" s="1"/>
  <c r="K88" i="65" s="1"/>
  <c r="M88" i="65" s="1"/>
  <c r="N88" i="65"/>
  <c r="P88" i="65"/>
  <c r="AL35" i="11" a="1"/>
  <c r="AL35" i="11" s="1"/>
  <c r="E36" i="32" s="1"/>
  <c r="AK36" i="32" s="1"/>
  <c r="AL45" i="59" a="1"/>
  <c r="AL45" i="59" s="1"/>
  <c r="E46" i="50" s="1"/>
  <c r="AK46" i="50" s="1"/>
  <c r="AA103" i="53" l="1"/>
  <c r="AB103" i="53"/>
  <c r="X104" i="53"/>
  <c r="AA104" i="53" s="1"/>
  <c r="AI42" i="50"/>
  <c r="AP42" i="50" s="1"/>
  <c r="AF88" i="65"/>
  <c r="AE88" i="65"/>
  <c r="AE105" i="57"/>
  <c r="R105" i="57"/>
  <c r="AE105" i="53"/>
  <c r="R105" i="53"/>
  <c r="AG43" i="50"/>
  <c r="AH43" i="50" s="1"/>
  <c r="AL43" i="50"/>
  <c r="AG88" i="69"/>
  <c r="AG87" i="65"/>
  <c r="AX89" i="69"/>
  <c r="O106" i="57"/>
  <c r="AG106" i="57" s="1"/>
  <c r="L106" i="57"/>
  <c r="T46" i="50"/>
  <c r="O46" i="50"/>
  <c r="X103" i="57"/>
  <c r="AJ105" i="57"/>
  <c r="AC105" i="57"/>
  <c r="AP105" i="57"/>
  <c r="AM45" i="50"/>
  <c r="U45" i="50"/>
  <c r="AB102" i="57"/>
  <c r="AA102" i="57"/>
  <c r="AD44" i="50"/>
  <c r="AH88" i="65"/>
  <c r="AV88" i="65"/>
  <c r="AH105" i="53"/>
  <c r="AC105" i="53"/>
  <c r="AT105" i="53"/>
  <c r="AG105" i="53"/>
  <c r="N106" i="57"/>
  <c r="N106" i="53"/>
  <c r="AH89" i="69"/>
  <c r="AJ44" i="50"/>
  <c r="C44" i="50"/>
  <c r="AD105" i="57"/>
  <c r="AD105" i="53"/>
  <c r="S45" i="50"/>
  <c r="V44" i="50"/>
  <c r="Q105" i="53"/>
  <c r="K106" i="53"/>
  <c r="D106" i="53"/>
  <c r="G106" i="53"/>
  <c r="J106" i="53"/>
  <c r="L106" i="53"/>
  <c r="H106" i="53"/>
  <c r="AK105" i="52" a="1"/>
  <c r="AK105" i="52" s="1"/>
  <c r="B107" i="53" s="1"/>
  <c r="O107" i="53" s="1"/>
  <c r="F106" i="53"/>
  <c r="E106" i="53"/>
  <c r="I106" i="53"/>
  <c r="C106" i="53"/>
  <c r="P106" i="53"/>
  <c r="G46" i="50"/>
  <c r="H46" i="50"/>
  <c r="N46" i="50"/>
  <c r="M46" i="50"/>
  <c r="F46" i="50"/>
  <c r="L46" i="50"/>
  <c r="A46" i="50"/>
  <c r="Q46" i="50" s="1"/>
  <c r="P46" i="50" s="1"/>
  <c r="J46" i="50"/>
  <c r="K46" i="50"/>
  <c r="B46" i="50"/>
  <c r="R46" i="50" s="1"/>
  <c r="I46" i="50"/>
  <c r="J106" i="57"/>
  <c r="G106" i="57"/>
  <c r="P106" i="57"/>
  <c r="C106" i="57"/>
  <c r="M106" i="57" s="1"/>
  <c r="H106" i="57"/>
  <c r="D106" i="57"/>
  <c r="K106" i="57"/>
  <c r="F106" i="57"/>
  <c r="E106" i="57"/>
  <c r="I106" i="57"/>
  <c r="Q105" i="57"/>
  <c r="T104" i="57"/>
  <c r="Z44" i="50"/>
  <c r="W44" i="50"/>
  <c r="X44" i="50" s="1"/>
  <c r="AK105" i="55" a="1"/>
  <c r="AK105" i="55" s="1"/>
  <c r="B107" i="57" s="1"/>
  <c r="AN91" i="67" a="1"/>
  <c r="AN91" i="67" s="1"/>
  <c r="B92" i="69"/>
  <c r="L92" i="69" s="1"/>
  <c r="D90" i="69"/>
  <c r="E90" i="69" s="1"/>
  <c r="F90" i="69" s="1"/>
  <c r="G90" i="69" s="1"/>
  <c r="H90" i="69" s="1"/>
  <c r="I90" i="69" s="1"/>
  <c r="J90" i="69" s="1"/>
  <c r="K90" i="69" s="1"/>
  <c r="M90" i="69" s="1"/>
  <c r="N90" i="69"/>
  <c r="AF90" i="69" s="1"/>
  <c r="P90" i="69"/>
  <c r="AE89" i="69"/>
  <c r="U89" i="69"/>
  <c r="Q89" i="69"/>
  <c r="R89" i="69"/>
  <c r="S89" i="69" s="1"/>
  <c r="Y89" i="69" s="1"/>
  <c r="AB89" i="69" s="1"/>
  <c r="AC89" i="69" s="1"/>
  <c r="AD89" i="69" s="1"/>
  <c r="C91" i="69"/>
  <c r="AO91" i="69" s="1"/>
  <c r="O91" i="69"/>
  <c r="AN90" i="63" a="1"/>
  <c r="AN90" i="63" s="1"/>
  <c r="B91" i="65"/>
  <c r="L91" i="65" s="1"/>
  <c r="C90" i="65"/>
  <c r="AM90" i="65" s="1"/>
  <c r="O90" i="65"/>
  <c r="Q88" i="65"/>
  <c r="U88" i="65"/>
  <c r="R88" i="65"/>
  <c r="S88" i="65" s="1"/>
  <c r="Y88" i="65" s="1"/>
  <c r="AB88" i="65" s="1"/>
  <c r="AC88" i="65" s="1"/>
  <c r="AD88" i="65" s="1"/>
  <c r="N89" i="65"/>
  <c r="P89" i="65"/>
  <c r="D89" i="65"/>
  <c r="E89" i="65" s="1"/>
  <c r="F89" i="65" s="1"/>
  <c r="G89" i="65" s="1"/>
  <c r="H89" i="65" s="1"/>
  <c r="I89" i="65" s="1"/>
  <c r="J89" i="65" s="1"/>
  <c r="K89" i="65" s="1"/>
  <c r="M89" i="65" s="1"/>
  <c r="AL36" i="11" a="1"/>
  <c r="AL36" i="11" s="1"/>
  <c r="E37" i="32" s="1"/>
  <c r="AK37" i="32" s="1"/>
  <c r="AL46" i="59" a="1"/>
  <c r="AL46" i="59" s="1"/>
  <c r="E47" i="50" s="1"/>
  <c r="AK47" i="50" s="1"/>
  <c r="AF104" i="53" l="1"/>
  <c r="AB104" i="53"/>
  <c r="X105" i="53"/>
  <c r="AA105" i="53" s="1"/>
  <c r="AI43" i="50"/>
  <c r="AP43" i="50" s="1"/>
  <c r="AF89" i="65"/>
  <c r="AE89" i="65"/>
  <c r="AE106" i="57"/>
  <c r="R106" i="57"/>
  <c r="AE106" i="53"/>
  <c r="R106" i="53"/>
  <c r="AG44" i="50"/>
  <c r="AH44" i="50" s="1"/>
  <c r="AL44" i="50"/>
  <c r="AB103" i="57"/>
  <c r="AF103" i="57"/>
  <c r="AG89" i="69"/>
  <c r="AG88" i="65"/>
  <c r="X104" i="57"/>
  <c r="AX90" i="69"/>
  <c r="O107" i="57"/>
  <c r="AG107" i="57" s="1"/>
  <c r="L107" i="57"/>
  <c r="T47" i="50"/>
  <c r="O47" i="50"/>
  <c r="AA103" i="57"/>
  <c r="AM46" i="50"/>
  <c r="U46" i="50"/>
  <c r="AJ106" i="57"/>
  <c r="AC106" i="57"/>
  <c r="AP106" i="57"/>
  <c r="AD45" i="50"/>
  <c r="AH89" i="65"/>
  <c r="AV89" i="65"/>
  <c r="AH106" i="53"/>
  <c r="AC106" i="53"/>
  <c r="AT106" i="53"/>
  <c r="AG106" i="53"/>
  <c r="N107" i="57"/>
  <c r="H107" i="53"/>
  <c r="N107" i="53"/>
  <c r="AH90" i="69"/>
  <c r="AJ45" i="50"/>
  <c r="C45" i="50"/>
  <c r="AD106" i="57"/>
  <c r="AD106" i="53"/>
  <c r="V45" i="50"/>
  <c r="S46" i="50"/>
  <c r="Q106" i="53"/>
  <c r="C107" i="53"/>
  <c r="J107" i="53"/>
  <c r="AK106" i="52" a="1"/>
  <c r="AK106" i="52" s="1"/>
  <c r="B108" i="53" s="1"/>
  <c r="O108" i="53" s="1"/>
  <c r="G107" i="53"/>
  <c r="E107" i="53"/>
  <c r="F107" i="53"/>
  <c r="I107" i="53"/>
  <c r="D107" i="53"/>
  <c r="L107" i="53"/>
  <c r="K107" i="53"/>
  <c r="P107" i="53"/>
  <c r="G47" i="50"/>
  <c r="I47" i="50"/>
  <c r="M47" i="50"/>
  <c r="J47" i="50"/>
  <c r="F47" i="50"/>
  <c r="N47" i="50"/>
  <c r="L47" i="50"/>
  <c r="B47" i="50"/>
  <c r="R47" i="50" s="1"/>
  <c r="H47" i="50"/>
  <c r="A47" i="50"/>
  <c r="Q47" i="50" s="1"/>
  <c r="P47" i="50" s="1"/>
  <c r="K47" i="50"/>
  <c r="Z45" i="50"/>
  <c r="W45" i="50"/>
  <c r="X45" i="50" s="1"/>
  <c r="E107" i="57"/>
  <c r="P107" i="57"/>
  <c r="D107" i="57"/>
  <c r="C107" i="57"/>
  <c r="M107" i="57" s="1"/>
  <c r="K107" i="57"/>
  <c r="G107" i="57"/>
  <c r="I107" i="57"/>
  <c r="H107" i="57"/>
  <c r="F107" i="57"/>
  <c r="J107" i="57"/>
  <c r="Q106" i="57"/>
  <c r="T105" i="57"/>
  <c r="AK106" i="55" a="1"/>
  <c r="AK106" i="55" s="1"/>
  <c r="B108" i="57" s="1"/>
  <c r="AN92" i="67" a="1"/>
  <c r="AN92" i="67" s="1"/>
  <c r="B93" i="69"/>
  <c r="L93" i="69" s="1"/>
  <c r="C92" i="69"/>
  <c r="AO92" i="69" s="1"/>
  <c r="O92" i="69"/>
  <c r="D91" i="69"/>
  <c r="E91" i="69" s="1"/>
  <c r="F91" i="69" s="1"/>
  <c r="G91" i="69" s="1"/>
  <c r="H91" i="69" s="1"/>
  <c r="I91" i="69" s="1"/>
  <c r="J91" i="69" s="1"/>
  <c r="K91" i="69" s="1"/>
  <c r="M91" i="69" s="1"/>
  <c r="N91" i="69"/>
  <c r="AF91" i="69" s="1"/>
  <c r="P91" i="69"/>
  <c r="Q90" i="69"/>
  <c r="AE90" i="69"/>
  <c r="U90" i="69"/>
  <c r="R90" i="69"/>
  <c r="S90" i="69" s="1"/>
  <c r="Y90" i="69" s="1"/>
  <c r="AB90" i="69" s="1"/>
  <c r="AC90" i="69" s="1"/>
  <c r="AD90" i="69" s="1"/>
  <c r="AN91" i="63" a="1"/>
  <c r="AN91" i="63" s="1"/>
  <c r="B92" i="65"/>
  <c r="L92" i="65" s="1"/>
  <c r="C91" i="65"/>
  <c r="AM91" i="65" s="1"/>
  <c r="O91" i="65"/>
  <c r="Q89" i="65"/>
  <c r="U89" i="65"/>
  <c r="R89" i="65"/>
  <c r="S89" i="65" s="1"/>
  <c r="Y89" i="65" s="1"/>
  <c r="AB89" i="65" s="1"/>
  <c r="AC89" i="65" s="1"/>
  <c r="AD89" i="65" s="1"/>
  <c r="P90" i="65"/>
  <c r="D90" i="65"/>
  <c r="E90" i="65" s="1"/>
  <c r="F90" i="65" s="1"/>
  <c r="G90" i="65" s="1"/>
  <c r="H90" i="65" s="1"/>
  <c r="I90" i="65" s="1"/>
  <c r="J90" i="65" s="1"/>
  <c r="K90" i="65" s="1"/>
  <c r="M90" i="65" s="1"/>
  <c r="N90" i="65"/>
  <c r="AL37" i="11" a="1"/>
  <c r="AL37" i="11" s="1"/>
  <c r="E38" i="32" s="1"/>
  <c r="AK38" i="32" s="1"/>
  <c r="AL47" i="59" a="1"/>
  <c r="AL47" i="59" s="1"/>
  <c r="E48" i="50" s="1"/>
  <c r="AK48" i="50" s="1"/>
  <c r="AF105" i="53" l="1"/>
  <c r="AB105" i="53"/>
  <c r="AI44" i="50"/>
  <c r="AP44" i="50" s="1"/>
  <c r="AF90" i="65"/>
  <c r="AE90" i="65"/>
  <c r="AE107" i="57"/>
  <c r="R107" i="57"/>
  <c r="AE107" i="53"/>
  <c r="R107" i="53"/>
  <c r="AG45" i="50"/>
  <c r="AH45" i="50" s="1"/>
  <c r="AL45" i="50"/>
  <c r="AB104" i="57"/>
  <c r="AF104" i="57"/>
  <c r="AG90" i="69"/>
  <c r="AG89" i="65"/>
  <c r="AA104" i="57"/>
  <c r="AX91" i="69"/>
  <c r="X105" i="57"/>
  <c r="O108" i="57"/>
  <c r="AG108" i="57" s="1"/>
  <c r="L108" i="57"/>
  <c r="T48" i="50"/>
  <c r="O48" i="50"/>
  <c r="AM47" i="50"/>
  <c r="U47" i="50"/>
  <c r="AJ107" i="57"/>
  <c r="AC107" i="57"/>
  <c r="AP107" i="57"/>
  <c r="AD46" i="50"/>
  <c r="AH90" i="65"/>
  <c r="AV90" i="65"/>
  <c r="AG107" i="53"/>
  <c r="AH107" i="53"/>
  <c r="AC107" i="53"/>
  <c r="AT107" i="53"/>
  <c r="N108" i="57"/>
  <c r="E108" i="53"/>
  <c r="N108" i="53"/>
  <c r="AH91" i="69"/>
  <c r="AJ46" i="50"/>
  <c r="C46" i="50"/>
  <c r="AD107" i="57"/>
  <c r="AD107" i="53"/>
  <c r="X106" i="53"/>
  <c r="AF106" i="53" s="1"/>
  <c r="S47" i="50"/>
  <c r="V46" i="50"/>
  <c r="H108" i="53"/>
  <c r="P108" i="53"/>
  <c r="G108" i="53"/>
  <c r="Q107" i="53"/>
  <c r="J108" i="53"/>
  <c r="L108" i="53"/>
  <c r="F108" i="53"/>
  <c r="I108" i="53"/>
  <c r="C108" i="53"/>
  <c r="AK107" i="52" a="1"/>
  <c r="AK107" i="52" s="1"/>
  <c r="B109" i="53" s="1"/>
  <c r="O109" i="53" s="1"/>
  <c r="D108" i="53"/>
  <c r="K108" i="53"/>
  <c r="B48" i="50"/>
  <c r="R48" i="50" s="1"/>
  <c r="F48" i="50"/>
  <c r="H48" i="50"/>
  <c r="L48" i="50"/>
  <c r="I48" i="50"/>
  <c r="N48" i="50"/>
  <c r="M48" i="50"/>
  <c r="J48" i="50"/>
  <c r="K48" i="50"/>
  <c r="G48" i="50"/>
  <c r="A48" i="50"/>
  <c r="Q48" i="50" s="1"/>
  <c r="P48" i="50" s="1"/>
  <c r="I108" i="57"/>
  <c r="F108" i="57"/>
  <c r="C108" i="57"/>
  <c r="M108" i="57" s="1"/>
  <c r="K108" i="57"/>
  <c r="H108" i="57"/>
  <c r="D108" i="57"/>
  <c r="G108" i="57"/>
  <c r="P108" i="57"/>
  <c r="E108" i="57"/>
  <c r="J108" i="57"/>
  <c r="Z46" i="50"/>
  <c r="W46" i="50"/>
  <c r="X46" i="50" s="1"/>
  <c r="T106" i="57"/>
  <c r="Q107" i="57"/>
  <c r="AK107" i="55" a="1"/>
  <c r="AK107" i="55" s="1"/>
  <c r="B109" i="57" s="1"/>
  <c r="C93" i="69"/>
  <c r="AO93" i="69" s="1"/>
  <c r="O93" i="69"/>
  <c r="Q91" i="69"/>
  <c r="AE91" i="69"/>
  <c r="U91" i="69"/>
  <c r="R91" i="69"/>
  <c r="S91" i="69" s="1"/>
  <c r="Y91" i="69" s="1"/>
  <c r="AB91" i="69" s="1"/>
  <c r="AC91" i="69" s="1"/>
  <c r="AD91" i="69" s="1"/>
  <c r="D92" i="69"/>
  <c r="E92" i="69" s="1"/>
  <c r="F92" i="69" s="1"/>
  <c r="G92" i="69" s="1"/>
  <c r="H92" i="69" s="1"/>
  <c r="I92" i="69" s="1"/>
  <c r="J92" i="69" s="1"/>
  <c r="K92" i="69" s="1"/>
  <c r="M92" i="69" s="1"/>
  <c r="P92" i="69"/>
  <c r="N92" i="69"/>
  <c r="AF92" i="69" s="1"/>
  <c r="AN93" i="67" a="1"/>
  <c r="AN93" i="67" s="1"/>
  <c r="B94" i="69"/>
  <c r="L94" i="69" s="1"/>
  <c r="AN92" i="63" a="1"/>
  <c r="AN92" i="63" s="1"/>
  <c r="B93" i="65"/>
  <c r="L93" i="65" s="1"/>
  <c r="D91" i="65"/>
  <c r="E91" i="65" s="1"/>
  <c r="F91" i="65" s="1"/>
  <c r="G91" i="65" s="1"/>
  <c r="H91" i="65" s="1"/>
  <c r="I91" i="65" s="1"/>
  <c r="J91" i="65" s="1"/>
  <c r="K91" i="65" s="1"/>
  <c r="M91" i="65" s="1"/>
  <c r="N91" i="65"/>
  <c r="P91" i="65"/>
  <c r="U90" i="65"/>
  <c r="Q90" i="65"/>
  <c r="R90" i="65"/>
  <c r="S90" i="65" s="1"/>
  <c r="Y90" i="65" s="1"/>
  <c r="AB90" i="65" s="1"/>
  <c r="AC90" i="65" s="1"/>
  <c r="AD90" i="65" s="1"/>
  <c r="O92" i="65"/>
  <c r="C92" i="65"/>
  <c r="AM92" i="65" s="1"/>
  <c r="AL38" i="11" a="1"/>
  <c r="AL38" i="11" s="1"/>
  <c r="E39" i="32" s="1"/>
  <c r="AK39" i="32" s="1"/>
  <c r="AL48" i="59" a="1"/>
  <c r="AL48" i="59" s="1"/>
  <c r="E49" i="50" s="1"/>
  <c r="AK49" i="50" s="1"/>
  <c r="AI45" i="50" l="1"/>
  <c r="AP45" i="50" s="1"/>
  <c r="AF91" i="65"/>
  <c r="AE91" i="65"/>
  <c r="AE108" i="57"/>
  <c r="R108" i="57"/>
  <c r="AE108" i="53"/>
  <c r="R108" i="53"/>
  <c r="AG46" i="50"/>
  <c r="AH46" i="50" s="1"/>
  <c r="AL46" i="50"/>
  <c r="AB105" i="57"/>
  <c r="AF105" i="57"/>
  <c r="AG91" i="69"/>
  <c r="AG90" i="65"/>
  <c r="AX92" i="69"/>
  <c r="AA105" i="57"/>
  <c r="L109" i="57"/>
  <c r="O109" i="57"/>
  <c r="AG109" i="57" s="1"/>
  <c r="T49" i="50"/>
  <c r="O49" i="50"/>
  <c r="X106" i="57"/>
  <c r="AM48" i="50"/>
  <c r="U48" i="50"/>
  <c r="AC108" i="57"/>
  <c r="AJ108" i="57"/>
  <c r="AP108" i="57"/>
  <c r="AD47" i="50"/>
  <c r="AH91" i="65"/>
  <c r="AV91" i="65"/>
  <c r="AH108" i="53"/>
  <c r="AC108" i="53"/>
  <c r="AT108" i="53"/>
  <c r="AB106" i="53"/>
  <c r="AA106" i="53"/>
  <c r="AG108" i="53"/>
  <c r="N109" i="57"/>
  <c r="P109" i="53"/>
  <c r="N109" i="53"/>
  <c r="AH92" i="69"/>
  <c r="AJ47" i="50"/>
  <c r="C47" i="50"/>
  <c r="AD108" i="57"/>
  <c r="Q108" i="53"/>
  <c r="AD108" i="53"/>
  <c r="X107" i="53"/>
  <c r="AF107" i="53" s="1"/>
  <c r="S48" i="50"/>
  <c r="V47" i="50"/>
  <c r="I109" i="53"/>
  <c r="G109" i="53"/>
  <c r="D109" i="53"/>
  <c r="L109" i="53"/>
  <c r="K109" i="53"/>
  <c r="J109" i="53"/>
  <c r="F109" i="53"/>
  <c r="AK108" i="52" a="1"/>
  <c r="AK108" i="52" s="1"/>
  <c r="B110" i="53" s="1"/>
  <c r="O110" i="53" s="1"/>
  <c r="E109" i="53"/>
  <c r="C109" i="53"/>
  <c r="H109" i="53"/>
  <c r="M49" i="50"/>
  <c r="B49" i="50"/>
  <c r="R49" i="50" s="1"/>
  <c r="I49" i="50"/>
  <c r="H49" i="50"/>
  <c r="J49" i="50"/>
  <c r="K49" i="50"/>
  <c r="L49" i="50"/>
  <c r="F49" i="50"/>
  <c r="G49" i="50"/>
  <c r="A49" i="50"/>
  <c r="Q49" i="50" s="1"/>
  <c r="P49" i="50" s="1"/>
  <c r="N49" i="50"/>
  <c r="T107" i="57"/>
  <c r="K109" i="57"/>
  <c r="I109" i="57"/>
  <c r="H109" i="57"/>
  <c r="G109" i="57"/>
  <c r="C109" i="57"/>
  <c r="M109" i="57" s="1"/>
  <c r="P109" i="57"/>
  <c r="E109" i="57"/>
  <c r="D109" i="57"/>
  <c r="F109" i="57"/>
  <c r="J109" i="57"/>
  <c r="Q108" i="57"/>
  <c r="Z47" i="50"/>
  <c r="W47" i="50"/>
  <c r="X47" i="50" s="1"/>
  <c r="AK108" i="55" a="1"/>
  <c r="AK108" i="55" s="1"/>
  <c r="B110" i="57" s="1"/>
  <c r="AN94" i="67" a="1"/>
  <c r="AN94" i="67" s="1"/>
  <c r="B95" i="69"/>
  <c r="L95" i="69" s="1"/>
  <c r="D93" i="69"/>
  <c r="E93" i="69" s="1"/>
  <c r="F93" i="69" s="1"/>
  <c r="G93" i="69" s="1"/>
  <c r="H93" i="69" s="1"/>
  <c r="I93" i="69" s="1"/>
  <c r="J93" i="69" s="1"/>
  <c r="K93" i="69" s="1"/>
  <c r="M93" i="69" s="1"/>
  <c r="N93" i="69"/>
  <c r="AF93" i="69" s="1"/>
  <c r="P93" i="69"/>
  <c r="AE92" i="69"/>
  <c r="Q92" i="69"/>
  <c r="R92" i="69"/>
  <c r="S92" i="69" s="1"/>
  <c r="Y92" i="69" s="1"/>
  <c r="AB92" i="69" s="1"/>
  <c r="AC92" i="69" s="1"/>
  <c r="AD92" i="69" s="1"/>
  <c r="U92" i="69"/>
  <c r="C94" i="69"/>
  <c r="AO94" i="69" s="1"/>
  <c r="O94" i="69"/>
  <c r="AN93" i="63" a="1"/>
  <c r="AN93" i="63" s="1"/>
  <c r="B94" i="65"/>
  <c r="L94" i="65" s="1"/>
  <c r="C93" i="65"/>
  <c r="AM93" i="65" s="1"/>
  <c r="O93" i="65"/>
  <c r="P92" i="65"/>
  <c r="D92" i="65"/>
  <c r="E92" i="65" s="1"/>
  <c r="F92" i="65" s="1"/>
  <c r="G92" i="65" s="1"/>
  <c r="H92" i="65" s="1"/>
  <c r="I92" i="65" s="1"/>
  <c r="J92" i="65" s="1"/>
  <c r="K92" i="65" s="1"/>
  <c r="M92" i="65" s="1"/>
  <c r="N92" i="65"/>
  <c r="Q91" i="65"/>
  <c r="R91" i="65"/>
  <c r="S91" i="65" s="1"/>
  <c r="Y91" i="65" s="1"/>
  <c r="AB91" i="65" s="1"/>
  <c r="AC91" i="65" s="1"/>
  <c r="AD91" i="65" s="1"/>
  <c r="U91" i="65"/>
  <c r="AL39" i="11" a="1"/>
  <c r="AL39" i="11" s="1"/>
  <c r="E40" i="32" s="1"/>
  <c r="AK40" i="32" s="1"/>
  <c r="AL49" i="59" a="1"/>
  <c r="AL49" i="59" s="1"/>
  <c r="E50" i="50" s="1"/>
  <c r="AK50" i="50" s="1"/>
  <c r="AI46" i="50" l="1"/>
  <c r="AP46" i="50" s="1"/>
  <c r="X108" i="53"/>
  <c r="AA108" i="53" s="1"/>
  <c r="AF92" i="65"/>
  <c r="AE92" i="65"/>
  <c r="AE109" i="57"/>
  <c r="R109" i="57"/>
  <c r="AE109" i="53"/>
  <c r="R109" i="53"/>
  <c r="AG47" i="50"/>
  <c r="AH47" i="50" s="1"/>
  <c r="AL47" i="50"/>
  <c r="AA106" i="57"/>
  <c r="AF106" i="57"/>
  <c r="AG92" i="69"/>
  <c r="AG91" i="65"/>
  <c r="AX93" i="69"/>
  <c r="X107" i="57"/>
  <c r="O110" i="57"/>
  <c r="AG110" i="57" s="1"/>
  <c r="L110" i="57"/>
  <c r="AB106" i="57"/>
  <c r="O50" i="50"/>
  <c r="T50" i="50"/>
  <c r="AC109" i="57"/>
  <c r="AJ109" i="57"/>
  <c r="AP109" i="57"/>
  <c r="AD48" i="50"/>
  <c r="AM49" i="50"/>
  <c r="U49" i="50"/>
  <c r="AH92" i="65"/>
  <c r="AV92" i="65"/>
  <c r="AG109" i="53"/>
  <c r="AB107" i="53"/>
  <c r="AA107" i="53"/>
  <c r="AH109" i="53"/>
  <c r="AC109" i="53"/>
  <c r="AT109" i="53"/>
  <c r="N110" i="57"/>
  <c r="I110" i="53"/>
  <c r="N110" i="53"/>
  <c r="AH93" i="69"/>
  <c r="AJ48" i="50"/>
  <c r="C48" i="50"/>
  <c r="AD109" i="57"/>
  <c r="AD109" i="53"/>
  <c r="S49" i="50"/>
  <c r="V48" i="50"/>
  <c r="Q109" i="53"/>
  <c r="C110" i="53"/>
  <c r="D110" i="53"/>
  <c r="G110" i="53"/>
  <c r="AK109" i="52" a="1"/>
  <c r="AK109" i="52" s="1"/>
  <c r="B111" i="53" s="1"/>
  <c r="O111" i="53" s="1"/>
  <c r="K110" i="53"/>
  <c r="H110" i="53"/>
  <c r="F110" i="53"/>
  <c r="P110" i="53"/>
  <c r="J110" i="53"/>
  <c r="L110" i="53"/>
  <c r="E110" i="53"/>
  <c r="I50" i="50"/>
  <c r="F50" i="50"/>
  <c r="G50" i="50"/>
  <c r="M50" i="50"/>
  <c r="A50" i="50"/>
  <c r="Q50" i="50" s="1"/>
  <c r="P50" i="50" s="1"/>
  <c r="N50" i="50"/>
  <c r="H50" i="50"/>
  <c r="J50" i="50"/>
  <c r="K50" i="50"/>
  <c r="L50" i="50"/>
  <c r="B50" i="50"/>
  <c r="R50" i="50" s="1"/>
  <c r="J110" i="57"/>
  <c r="E110" i="57"/>
  <c r="H110" i="57"/>
  <c r="D110" i="57"/>
  <c r="I110" i="57"/>
  <c r="G110" i="57"/>
  <c r="C110" i="57"/>
  <c r="M110" i="57" s="1"/>
  <c r="K110" i="57"/>
  <c r="P110" i="57"/>
  <c r="F110" i="57"/>
  <c r="T108" i="57"/>
  <c r="Q109" i="57"/>
  <c r="W48" i="50"/>
  <c r="X48" i="50" s="1"/>
  <c r="Z48" i="50"/>
  <c r="AK109" i="55" a="1"/>
  <c r="AK109" i="55" s="1"/>
  <c r="B111" i="57" s="1"/>
  <c r="AN95" i="67" a="1"/>
  <c r="AN95" i="67" s="1"/>
  <c r="B96" i="69"/>
  <c r="L96" i="69" s="1"/>
  <c r="AE93" i="69"/>
  <c r="U93" i="69"/>
  <c r="Q93" i="69"/>
  <c r="R93" i="69"/>
  <c r="S93" i="69" s="1"/>
  <c r="Y93" i="69" s="1"/>
  <c r="AB93" i="69" s="1"/>
  <c r="AC93" i="69" s="1"/>
  <c r="AD93" i="69" s="1"/>
  <c r="N94" i="69"/>
  <c r="AF94" i="69" s="1"/>
  <c r="P94" i="69"/>
  <c r="D94" i="69"/>
  <c r="E94" i="69" s="1"/>
  <c r="F94" i="69" s="1"/>
  <c r="G94" i="69" s="1"/>
  <c r="H94" i="69" s="1"/>
  <c r="I94" i="69" s="1"/>
  <c r="J94" i="69" s="1"/>
  <c r="K94" i="69" s="1"/>
  <c r="M94" i="69" s="1"/>
  <c r="C95" i="69"/>
  <c r="AO95" i="69" s="1"/>
  <c r="O95" i="69"/>
  <c r="AN94" i="63" a="1"/>
  <c r="AN94" i="63" s="1"/>
  <c r="B95" i="65"/>
  <c r="L95" i="65" s="1"/>
  <c r="R92" i="65"/>
  <c r="S92" i="65" s="1"/>
  <c r="Y92" i="65" s="1"/>
  <c r="AB92" i="65" s="1"/>
  <c r="AC92" i="65" s="1"/>
  <c r="AD92" i="65" s="1"/>
  <c r="Q92" i="65"/>
  <c r="U92" i="65"/>
  <c r="P93" i="65"/>
  <c r="N93" i="65"/>
  <c r="D93" i="65"/>
  <c r="E93" i="65" s="1"/>
  <c r="F93" i="65" s="1"/>
  <c r="G93" i="65" s="1"/>
  <c r="H93" i="65" s="1"/>
  <c r="I93" i="65" s="1"/>
  <c r="J93" i="65" s="1"/>
  <c r="K93" i="65" s="1"/>
  <c r="M93" i="65" s="1"/>
  <c r="C94" i="65"/>
  <c r="AM94" i="65" s="1"/>
  <c r="O94" i="65"/>
  <c r="AL40" i="11" a="1"/>
  <c r="AL40" i="11" s="1"/>
  <c r="E41" i="32" s="1"/>
  <c r="AK41" i="32" s="1"/>
  <c r="AL50" i="59" a="1"/>
  <c r="AL50" i="59" s="1"/>
  <c r="E51" i="50" s="1"/>
  <c r="AK51" i="50" s="1"/>
  <c r="X109" i="53" l="1"/>
  <c r="AF109" i="53" s="1"/>
  <c r="AB108" i="53"/>
  <c r="AI47" i="50"/>
  <c r="AP47" i="50" s="1"/>
  <c r="AF93" i="65"/>
  <c r="AE93" i="65"/>
  <c r="AF108" i="53"/>
  <c r="AE110" i="57"/>
  <c r="R110" i="57"/>
  <c r="AE110" i="53"/>
  <c r="R110" i="53"/>
  <c r="AG48" i="50"/>
  <c r="AH48" i="50" s="1"/>
  <c r="AL48" i="50"/>
  <c r="AB107" i="57"/>
  <c r="AF107" i="57"/>
  <c r="AG93" i="69"/>
  <c r="AG92" i="65"/>
  <c r="AX94" i="69"/>
  <c r="AA107" i="57"/>
  <c r="O111" i="57"/>
  <c r="AG111" i="57" s="1"/>
  <c r="L111" i="57"/>
  <c r="X108" i="57"/>
  <c r="O51" i="50"/>
  <c r="T51" i="50"/>
  <c r="AD49" i="50"/>
  <c r="AJ110" i="57"/>
  <c r="AC110" i="57"/>
  <c r="AP110" i="57"/>
  <c r="AM50" i="50"/>
  <c r="U50" i="50"/>
  <c r="AH93" i="65"/>
  <c r="AV93" i="65"/>
  <c r="AH110" i="53"/>
  <c r="AT110" i="53"/>
  <c r="AC110" i="53"/>
  <c r="AG110" i="53"/>
  <c r="N111" i="57"/>
  <c r="N111" i="53"/>
  <c r="AH94" i="69"/>
  <c r="AJ49" i="50"/>
  <c r="C49" i="50"/>
  <c r="AD110" i="57"/>
  <c r="Q110" i="53"/>
  <c r="AD110" i="53"/>
  <c r="S50" i="50"/>
  <c r="V49" i="50"/>
  <c r="AK110" i="52" a="1"/>
  <c r="AK110" i="52" s="1"/>
  <c r="B112" i="53" s="1"/>
  <c r="O112" i="53" s="1"/>
  <c r="D111" i="53"/>
  <c r="G111" i="53"/>
  <c r="H111" i="53"/>
  <c r="L111" i="53"/>
  <c r="P111" i="53"/>
  <c r="K111" i="53"/>
  <c r="E111" i="53"/>
  <c r="J111" i="53"/>
  <c r="I111" i="53"/>
  <c r="C111" i="53"/>
  <c r="F111" i="53"/>
  <c r="F51" i="50"/>
  <c r="A51" i="50"/>
  <c r="Q51" i="50" s="1"/>
  <c r="P51" i="50" s="1"/>
  <c r="M51" i="50"/>
  <c r="K51" i="50"/>
  <c r="H51" i="50"/>
  <c r="L51" i="50"/>
  <c r="B51" i="50"/>
  <c r="R51" i="50" s="1"/>
  <c r="G51" i="50"/>
  <c r="N51" i="50"/>
  <c r="J51" i="50"/>
  <c r="I51" i="50"/>
  <c r="W49" i="50"/>
  <c r="X49" i="50" s="1"/>
  <c r="Z49" i="50"/>
  <c r="T109" i="57"/>
  <c r="Q110" i="57"/>
  <c r="I111" i="57"/>
  <c r="H111" i="57"/>
  <c r="G111" i="57"/>
  <c r="E111" i="57"/>
  <c r="P111" i="57"/>
  <c r="D111" i="57"/>
  <c r="K111" i="57"/>
  <c r="C111" i="57"/>
  <c r="M111" i="57" s="1"/>
  <c r="F111" i="57"/>
  <c r="J111" i="57"/>
  <c r="AK110" i="55" a="1"/>
  <c r="AK110" i="55" s="1"/>
  <c r="B112" i="57" s="1"/>
  <c r="AN96" i="67" a="1"/>
  <c r="AN96" i="67" s="1"/>
  <c r="B97" i="69"/>
  <c r="L97" i="69" s="1"/>
  <c r="P95" i="69"/>
  <c r="N95" i="69"/>
  <c r="AF95" i="69" s="1"/>
  <c r="D95" i="69"/>
  <c r="E95" i="69" s="1"/>
  <c r="F95" i="69" s="1"/>
  <c r="G95" i="69" s="1"/>
  <c r="H95" i="69" s="1"/>
  <c r="I95" i="69" s="1"/>
  <c r="J95" i="69" s="1"/>
  <c r="K95" i="69" s="1"/>
  <c r="M95" i="69" s="1"/>
  <c r="U94" i="69"/>
  <c r="R94" i="69"/>
  <c r="S94" i="69" s="1"/>
  <c r="Y94" i="69" s="1"/>
  <c r="AB94" i="69" s="1"/>
  <c r="AC94" i="69" s="1"/>
  <c r="AD94" i="69" s="1"/>
  <c r="AE94" i="69"/>
  <c r="Q94" i="69"/>
  <c r="C96" i="69"/>
  <c r="AO96" i="69" s="1"/>
  <c r="O96" i="69"/>
  <c r="AN95" i="63" a="1"/>
  <c r="AN95" i="63" s="1"/>
  <c r="B96" i="65"/>
  <c r="L96" i="65" s="1"/>
  <c r="U93" i="65"/>
  <c r="Q93" i="65"/>
  <c r="R93" i="65"/>
  <c r="S93" i="65" s="1"/>
  <c r="Y93" i="65" s="1"/>
  <c r="AB93" i="65" s="1"/>
  <c r="AC93" i="65" s="1"/>
  <c r="AD93" i="65" s="1"/>
  <c r="C95" i="65"/>
  <c r="AM95" i="65" s="1"/>
  <c r="O95" i="65"/>
  <c r="P94" i="65"/>
  <c r="D94" i="65"/>
  <c r="E94" i="65" s="1"/>
  <c r="F94" i="65" s="1"/>
  <c r="G94" i="65" s="1"/>
  <c r="H94" i="65" s="1"/>
  <c r="I94" i="65" s="1"/>
  <c r="J94" i="65" s="1"/>
  <c r="K94" i="65" s="1"/>
  <c r="M94" i="65" s="1"/>
  <c r="N94" i="65"/>
  <c r="AL41" i="11" a="1"/>
  <c r="AL41" i="11" s="1"/>
  <c r="E42" i="32" s="1"/>
  <c r="AK42" i="32" s="1"/>
  <c r="AL51" i="59" a="1"/>
  <c r="AL51" i="59" s="1"/>
  <c r="E52" i="50" s="1"/>
  <c r="AK52" i="50" s="1"/>
  <c r="AA109" i="53" l="1"/>
  <c r="AB109" i="53"/>
  <c r="AI48" i="50"/>
  <c r="AP48" i="50" s="1"/>
  <c r="X110" i="53"/>
  <c r="AF110" i="53" s="1"/>
  <c r="AF94" i="65"/>
  <c r="AE94" i="65"/>
  <c r="AE111" i="57"/>
  <c r="R111" i="57"/>
  <c r="AE111" i="53"/>
  <c r="R111" i="53"/>
  <c r="AG49" i="50"/>
  <c r="AH49" i="50" s="1"/>
  <c r="AL49" i="50"/>
  <c r="AB108" i="57"/>
  <c r="AF108" i="57"/>
  <c r="AG94" i="69"/>
  <c r="AG93" i="65"/>
  <c r="AX95" i="69"/>
  <c r="X109" i="57"/>
  <c r="O112" i="57"/>
  <c r="AG112" i="57" s="1"/>
  <c r="L112" i="57"/>
  <c r="AA108" i="57"/>
  <c r="T52" i="50"/>
  <c r="O52" i="50"/>
  <c r="AD50" i="50"/>
  <c r="AJ111" i="57"/>
  <c r="AC111" i="57"/>
  <c r="AP111" i="57"/>
  <c r="AM51" i="50"/>
  <c r="U51" i="50"/>
  <c r="AH94" i="65"/>
  <c r="AV94" i="65"/>
  <c r="AG111" i="53"/>
  <c r="Q111" i="53"/>
  <c r="AH111" i="53"/>
  <c r="AT111" i="53"/>
  <c r="AC111" i="53"/>
  <c r="N112" i="57"/>
  <c r="E112" i="53"/>
  <c r="N112" i="53"/>
  <c r="AD111" i="53"/>
  <c r="AH95" i="69"/>
  <c r="AJ50" i="50"/>
  <c r="C50" i="50"/>
  <c r="AD111" i="57"/>
  <c r="S51" i="50"/>
  <c r="V50" i="50"/>
  <c r="H112" i="53"/>
  <c r="G112" i="53"/>
  <c r="J112" i="53"/>
  <c r="P112" i="53"/>
  <c r="L112" i="53"/>
  <c r="I112" i="53"/>
  <c r="C112" i="53"/>
  <c r="AK111" i="52" a="1"/>
  <c r="AK111" i="52" s="1"/>
  <c r="B113" i="53" s="1"/>
  <c r="O113" i="53" s="1"/>
  <c r="F112" i="53"/>
  <c r="D112" i="53"/>
  <c r="K112" i="53"/>
  <c r="H52" i="50"/>
  <c r="N52" i="50"/>
  <c r="M52" i="50"/>
  <c r="F52" i="50"/>
  <c r="L52" i="50"/>
  <c r="B52" i="50"/>
  <c r="R52" i="50" s="1"/>
  <c r="J52" i="50"/>
  <c r="I52" i="50"/>
  <c r="A52" i="50"/>
  <c r="Q52" i="50" s="1"/>
  <c r="P52" i="50" s="1"/>
  <c r="G52" i="50"/>
  <c r="K52" i="50"/>
  <c r="K112" i="57"/>
  <c r="I112" i="57"/>
  <c r="F112" i="57"/>
  <c r="E112" i="57"/>
  <c r="C112" i="57"/>
  <c r="M112" i="57" s="1"/>
  <c r="P112" i="57"/>
  <c r="H112" i="57"/>
  <c r="D112" i="57"/>
  <c r="J112" i="57"/>
  <c r="G112" i="57"/>
  <c r="Z50" i="50"/>
  <c r="W50" i="50"/>
  <c r="X50" i="50" s="1"/>
  <c r="T110" i="57"/>
  <c r="Q111" i="57"/>
  <c r="AK111" i="55" a="1"/>
  <c r="AK111" i="55" s="1"/>
  <c r="B113" i="57" s="1"/>
  <c r="D96" i="69"/>
  <c r="E96" i="69" s="1"/>
  <c r="F96" i="69" s="1"/>
  <c r="G96" i="69" s="1"/>
  <c r="H96" i="69" s="1"/>
  <c r="I96" i="69" s="1"/>
  <c r="J96" i="69" s="1"/>
  <c r="K96" i="69" s="1"/>
  <c r="M96" i="69" s="1"/>
  <c r="P96" i="69"/>
  <c r="N96" i="69"/>
  <c r="AF96" i="69" s="1"/>
  <c r="U95" i="69"/>
  <c r="Q95" i="69"/>
  <c r="AE95" i="69"/>
  <c r="R95" i="69"/>
  <c r="S95" i="69" s="1"/>
  <c r="Y95" i="69" s="1"/>
  <c r="AB95" i="69" s="1"/>
  <c r="AC95" i="69" s="1"/>
  <c r="AD95" i="69" s="1"/>
  <c r="C97" i="69"/>
  <c r="AO97" i="69" s="1"/>
  <c r="O97" i="69"/>
  <c r="AN97" i="67" a="1"/>
  <c r="AN97" i="67" s="1"/>
  <c r="B98" i="69"/>
  <c r="L98" i="69" s="1"/>
  <c r="C96" i="65"/>
  <c r="AM96" i="65" s="1"/>
  <c r="O96" i="65"/>
  <c r="U94" i="65"/>
  <c r="Q94" i="65"/>
  <c r="R94" i="65"/>
  <c r="S94" i="65" s="1"/>
  <c r="Y94" i="65" s="1"/>
  <c r="AB94" i="65" s="1"/>
  <c r="AC94" i="65" s="1"/>
  <c r="AD94" i="65" s="1"/>
  <c r="D95" i="65"/>
  <c r="E95" i="65" s="1"/>
  <c r="F95" i="65" s="1"/>
  <c r="G95" i="65" s="1"/>
  <c r="H95" i="65" s="1"/>
  <c r="I95" i="65" s="1"/>
  <c r="J95" i="65" s="1"/>
  <c r="K95" i="65" s="1"/>
  <c r="M95" i="65" s="1"/>
  <c r="N95" i="65"/>
  <c r="P95" i="65"/>
  <c r="AN96" i="63" a="1"/>
  <c r="AN96" i="63" s="1"/>
  <c r="B97" i="65"/>
  <c r="L97" i="65" s="1"/>
  <c r="AL42" i="11" a="1"/>
  <c r="AL42" i="11" s="1"/>
  <c r="E43" i="32" s="1"/>
  <c r="AK43" i="32" s="1"/>
  <c r="AL52" i="59" a="1"/>
  <c r="AL52" i="59" s="1"/>
  <c r="E53" i="50" s="1"/>
  <c r="AK53" i="50" s="1"/>
  <c r="AA110" i="53" l="1"/>
  <c r="AB110" i="53"/>
  <c r="AI49" i="50"/>
  <c r="AP49" i="50" s="1"/>
  <c r="AF95" i="65"/>
  <c r="AE95" i="65"/>
  <c r="X111" i="53"/>
  <c r="AF111" i="53" s="1"/>
  <c r="AE112" i="57"/>
  <c r="R112" i="57"/>
  <c r="AE112" i="53"/>
  <c r="R112" i="53"/>
  <c r="AG50" i="50"/>
  <c r="AH50" i="50" s="1"/>
  <c r="AL50" i="50"/>
  <c r="AB109" i="57"/>
  <c r="AF109" i="57"/>
  <c r="AG95" i="69"/>
  <c r="AG94" i="65"/>
  <c r="AX96" i="69"/>
  <c r="X110" i="57"/>
  <c r="AA109" i="57"/>
  <c r="O113" i="57"/>
  <c r="AG113" i="57" s="1"/>
  <c r="L113" i="57"/>
  <c r="AD51" i="50"/>
  <c r="T53" i="50"/>
  <c r="O53" i="50"/>
  <c r="AM52" i="50"/>
  <c r="U52" i="50"/>
  <c r="AJ112" i="57"/>
  <c r="AC112" i="57"/>
  <c r="AP112" i="57"/>
  <c r="AH95" i="65"/>
  <c r="AV95" i="65"/>
  <c r="AH112" i="53"/>
  <c r="AT112" i="53"/>
  <c r="AC112" i="53"/>
  <c r="AG112" i="53"/>
  <c r="N113" i="57"/>
  <c r="E113" i="53"/>
  <c r="N113" i="53"/>
  <c r="AH96" i="69"/>
  <c r="AJ51" i="50"/>
  <c r="C51" i="50"/>
  <c r="AD112" i="57"/>
  <c r="AD112" i="53"/>
  <c r="Q112" i="53"/>
  <c r="S52" i="50"/>
  <c r="V51" i="50"/>
  <c r="H113" i="53"/>
  <c r="F113" i="53"/>
  <c r="D113" i="53"/>
  <c r="P113" i="53"/>
  <c r="AK112" i="52" a="1"/>
  <c r="AK112" i="52" s="1"/>
  <c r="B114" i="53" s="1"/>
  <c r="O114" i="53" s="1"/>
  <c r="I113" i="53"/>
  <c r="K113" i="53"/>
  <c r="L113" i="53"/>
  <c r="C113" i="53"/>
  <c r="J113" i="53"/>
  <c r="G113" i="53"/>
  <c r="B53" i="50"/>
  <c r="R53" i="50" s="1"/>
  <c r="I53" i="50"/>
  <c r="H53" i="50"/>
  <c r="A53" i="50"/>
  <c r="Q53" i="50" s="1"/>
  <c r="P53" i="50" s="1"/>
  <c r="G53" i="50"/>
  <c r="K53" i="50"/>
  <c r="J53" i="50"/>
  <c r="L53" i="50"/>
  <c r="N53" i="50"/>
  <c r="F53" i="50"/>
  <c r="M53" i="50"/>
  <c r="W51" i="50"/>
  <c r="X51" i="50" s="1"/>
  <c r="Z51" i="50"/>
  <c r="Q112" i="57"/>
  <c r="T111" i="57"/>
  <c r="P113" i="57"/>
  <c r="D113" i="57"/>
  <c r="C113" i="57"/>
  <c r="M113" i="57" s="1"/>
  <c r="K113" i="57"/>
  <c r="I113" i="57"/>
  <c r="E113" i="57"/>
  <c r="H113" i="57"/>
  <c r="G113" i="57"/>
  <c r="F113" i="57"/>
  <c r="J113" i="57"/>
  <c r="AK112" i="55" a="1"/>
  <c r="AK112" i="55" s="1"/>
  <c r="B114" i="57" s="1"/>
  <c r="AN98" i="67" a="1"/>
  <c r="AN98" i="67" s="1"/>
  <c r="B99" i="69"/>
  <c r="L99" i="69" s="1"/>
  <c r="AE96" i="69"/>
  <c r="Q96" i="69"/>
  <c r="U96" i="69"/>
  <c r="R96" i="69"/>
  <c r="S96" i="69" s="1"/>
  <c r="Y96" i="69" s="1"/>
  <c r="AB96" i="69" s="1"/>
  <c r="AC96" i="69" s="1"/>
  <c r="AD96" i="69" s="1"/>
  <c r="C98" i="69"/>
  <c r="AO98" i="69" s="1"/>
  <c r="O98" i="69"/>
  <c r="D97" i="69"/>
  <c r="E97" i="69" s="1"/>
  <c r="F97" i="69" s="1"/>
  <c r="G97" i="69" s="1"/>
  <c r="H97" i="69" s="1"/>
  <c r="I97" i="69" s="1"/>
  <c r="J97" i="69" s="1"/>
  <c r="K97" i="69" s="1"/>
  <c r="M97" i="69" s="1"/>
  <c r="N97" i="69"/>
  <c r="AF97" i="69" s="1"/>
  <c r="P97" i="69"/>
  <c r="C97" i="65"/>
  <c r="AM97" i="65" s="1"/>
  <c r="O97" i="65"/>
  <c r="U95" i="65"/>
  <c r="Q95" i="65"/>
  <c r="R95" i="65"/>
  <c r="S95" i="65" s="1"/>
  <c r="Y95" i="65" s="1"/>
  <c r="AB95" i="65" s="1"/>
  <c r="AC95" i="65" s="1"/>
  <c r="AD95" i="65" s="1"/>
  <c r="P96" i="65"/>
  <c r="D96" i="65"/>
  <c r="E96" i="65" s="1"/>
  <c r="F96" i="65" s="1"/>
  <c r="G96" i="65" s="1"/>
  <c r="H96" i="65" s="1"/>
  <c r="I96" i="65" s="1"/>
  <c r="J96" i="65" s="1"/>
  <c r="K96" i="65" s="1"/>
  <c r="M96" i="65" s="1"/>
  <c r="N96" i="65"/>
  <c r="AN97" i="63" a="1"/>
  <c r="AN97" i="63" s="1"/>
  <c r="B98" i="65"/>
  <c r="L98" i="65" s="1"/>
  <c r="AL43" i="11" a="1"/>
  <c r="AL43" i="11" s="1"/>
  <c r="E44" i="32" s="1"/>
  <c r="AK44" i="32" s="1"/>
  <c r="AL53" i="59" a="1"/>
  <c r="AL53" i="59" s="1"/>
  <c r="E54" i="50" s="1"/>
  <c r="AK54" i="50" s="1"/>
  <c r="X112" i="53" l="1"/>
  <c r="AA112" i="53" s="1"/>
  <c r="AB111" i="53"/>
  <c r="AA111" i="53"/>
  <c r="AL51" i="50"/>
  <c r="AI50" i="50"/>
  <c r="AP50" i="50" s="1"/>
  <c r="AF96" i="65"/>
  <c r="AE96" i="65"/>
  <c r="AE113" i="57"/>
  <c r="R113" i="57"/>
  <c r="AE113" i="53"/>
  <c r="R113" i="53"/>
  <c r="AA110" i="57"/>
  <c r="AF110" i="57"/>
  <c r="AG96" i="69"/>
  <c r="AG95" i="65"/>
  <c r="AG51" i="50"/>
  <c r="AH51" i="50" s="1"/>
  <c r="AX97" i="69"/>
  <c r="AB110" i="57"/>
  <c r="O114" i="57"/>
  <c r="AG114" i="57" s="1"/>
  <c r="L114" i="57"/>
  <c r="X111" i="57"/>
  <c r="T54" i="50"/>
  <c r="O54" i="50"/>
  <c r="AJ113" i="57"/>
  <c r="AC113" i="57"/>
  <c r="AP113" i="57"/>
  <c r="AM53" i="50"/>
  <c r="U53" i="50"/>
  <c r="AD52" i="50"/>
  <c r="AH96" i="65"/>
  <c r="AV96" i="65"/>
  <c r="AH113" i="53"/>
  <c r="AC113" i="53"/>
  <c r="AT113" i="53"/>
  <c r="AG113" i="53"/>
  <c r="N114" i="57"/>
  <c r="G114" i="53"/>
  <c r="N114" i="53"/>
  <c r="AH97" i="69"/>
  <c r="AJ52" i="50"/>
  <c r="C52" i="50"/>
  <c r="AD113" i="57"/>
  <c r="AD113" i="53"/>
  <c r="Q113" i="53"/>
  <c r="S53" i="50"/>
  <c r="V52" i="50"/>
  <c r="F114" i="53"/>
  <c r="L114" i="53"/>
  <c r="H114" i="53"/>
  <c r="E114" i="53"/>
  <c r="I114" i="53"/>
  <c r="P114" i="53"/>
  <c r="AK113" i="52" a="1"/>
  <c r="AK113" i="52" s="1"/>
  <c r="B115" i="53" s="1"/>
  <c r="O115" i="53" s="1"/>
  <c r="C114" i="53"/>
  <c r="J114" i="53"/>
  <c r="K114" i="53"/>
  <c r="D114" i="53"/>
  <c r="F54" i="50"/>
  <c r="G54" i="50"/>
  <c r="H54" i="50"/>
  <c r="L54" i="50"/>
  <c r="J54" i="50"/>
  <c r="K54" i="50"/>
  <c r="M54" i="50"/>
  <c r="A54" i="50"/>
  <c r="Q54" i="50" s="1"/>
  <c r="P54" i="50" s="1"/>
  <c r="I54" i="50"/>
  <c r="B54" i="50"/>
  <c r="R54" i="50" s="1"/>
  <c r="N54" i="50"/>
  <c r="P114" i="57"/>
  <c r="E114" i="57"/>
  <c r="C114" i="57"/>
  <c r="M114" i="57" s="1"/>
  <c r="G114" i="57"/>
  <c r="I114" i="57"/>
  <c r="K114" i="57"/>
  <c r="F114" i="57"/>
  <c r="J114" i="57"/>
  <c r="D114" i="57"/>
  <c r="H114" i="57"/>
  <c r="Z52" i="50"/>
  <c r="W52" i="50"/>
  <c r="X52" i="50" s="1"/>
  <c r="Q113" i="57"/>
  <c r="T112" i="57"/>
  <c r="AK113" i="55" a="1"/>
  <c r="AK113" i="55" s="1"/>
  <c r="B115" i="57" s="1"/>
  <c r="C99" i="69"/>
  <c r="AO99" i="69" s="1"/>
  <c r="O99" i="69"/>
  <c r="D98" i="69"/>
  <c r="E98" i="69" s="1"/>
  <c r="F98" i="69" s="1"/>
  <c r="G98" i="69" s="1"/>
  <c r="H98" i="69" s="1"/>
  <c r="I98" i="69" s="1"/>
  <c r="J98" i="69" s="1"/>
  <c r="K98" i="69" s="1"/>
  <c r="M98" i="69" s="1"/>
  <c r="P98" i="69"/>
  <c r="N98" i="69"/>
  <c r="AF98" i="69" s="1"/>
  <c r="Q97" i="69"/>
  <c r="R97" i="69"/>
  <c r="S97" i="69" s="1"/>
  <c r="Y97" i="69" s="1"/>
  <c r="AB97" i="69" s="1"/>
  <c r="AC97" i="69" s="1"/>
  <c r="AD97" i="69" s="1"/>
  <c r="AE97" i="69"/>
  <c r="U97" i="69"/>
  <c r="AN99" i="67" a="1"/>
  <c r="AN99" i="67" s="1"/>
  <c r="B100" i="69"/>
  <c r="L100" i="69" s="1"/>
  <c r="D97" i="65"/>
  <c r="E97" i="65" s="1"/>
  <c r="F97" i="65" s="1"/>
  <c r="G97" i="65" s="1"/>
  <c r="H97" i="65" s="1"/>
  <c r="I97" i="65" s="1"/>
  <c r="J97" i="65" s="1"/>
  <c r="K97" i="65" s="1"/>
  <c r="M97" i="65" s="1"/>
  <c r="N97" i="65"/>
  <c r="P97" i="65"/>
  <c r="AN98" i="63" a="1"/>
  <c r="AN98" i="63" s="1"/>
  <c r="B99" i="65"/>
  <c r="L99" i="65" s="1"/>
  <c r="C98" i="65"/>
  <c r="AM98" i="65" s="1"/>
  <c r="O98" i="65"/>
  <c r="U96" i="65"/>
  <c r="Q96" i="65"/>
  <c r="R96" i="65"/>
  <c r="S96" i="65" s="1"/>
  <c r="Y96" i="65" s="1"/>
  <c r="AB96" i="65" s="1"/>
  <c r="AC96" i="65" s="1"/>
  <c r="AD96" i="65" s="1"/>
  <c r="AL44" i="11" a="1"/>
  <c r="AL44" i="11" s="1"/>
  <c r="E45" i="32" s="1"/>
  <c r="AK45" i="32" s="1"/>
  <c r="AL54" i="59" a="1"/>
  <c r="AL54" i="59" s="1"/>
  <c r="E55" i="50" s="1"/>
  <c r="AK55" i="50" s="1"/>
  <c r="X113" i="53" l="1"/>
  <c r="AF113" i="53" s="1"/>
  <c r="AB112" i="53"/>
  <c r="AF112" i="53"/>
  <c r="AF97" i="65"/>
  <c r="AE97" i="65"/>
  <c r="AE114" i="57"/>
  <c r="R114" i="57"/>
  <c r="AE114" i="53"/>
  <c r="R114" i="53"/>
  <c r="AG52" i="50"/>
  <c r="AH52" i="50" s="1"/>
  <c r="AL52" i="50"/>
  <c r="AA111" i="57"/>
  <c r="AF111" i="57"/>
  <c r="AG97" i="69"/>
  <c r="AG96" i="65"/>
  <c r="AI51" i="50"/>
  <c r="AP51" i="50" s="1"/>
  <c r="AX98" i="69"/>
  <c r="AB111" i="57"/>
  <c r="O115" i="57"/>
  <c r="AG115" i="57" s="1"/>
  <c r="L115" i="57"/>
  <c r="T55" i="50"/>
  <c r="O55" i="50"/>
  <c r="AM54" i="50"/>
  <c r="U54" i="50"/>
  <c r="AJ114" i="57"/>
  <c r="AC114" i="57"/>
  <c r="AP114" i="57"/>
  <c r="AD53" i="50"/>
  <c r="X112" i="57"/>
  <c r="AF112" i="57" s="1"/>
  <c r="AH97" i="65"/>
  <c r="AV97" i="65"/>
  <c r="AG114" i="53"/>
  <c r="AH114" i="53"/>
  <c r="AC114" i="53"/>
  <c r="AT114" i="53"/>
  <c r="N115" i="57"/>
  <c r="N115" i="53"/>
  <c r="AH98" i="69"/>
  <c r="AJ53" i="50"/>
  <c r="C53" i="50"/>
  <c r="AD114" i="57"/>
  <c r="AD114" i="53"/>
  <c r="Q114" i="53"/>
  <c r="S54" i="50"/>
  <c r="V53" i="50"/>
  <c r="G115" i="53"/>
  <c r="H115" i="53"/>
  <c r="E115" i="53"/>
  <c r="I115" i="53"/>
  <c r="K115" i="53"/>
  <c r="L115" i="53"/>
  <c r="F115" i="53"/>
  <c r="P115" i="53"/>
  <c r="AK114" i="52" a="1"/>
  <c r="AK114" i="52" s="1"/>
  <c r="B116" i="53" s="1"/>
  <c r="O116" i="53" s="1"/>
  <c r="J115" i="53"/>
  <c r="C115" i="53"/>
  <c r="D115" i="53"/>
  <c r="J55" i="50"/>
  <c r="M55" i="50"/>
  <c r="I55" i="50"/>
  <c r="N55" i="50"/>
  <c r="G55" i="50"/>
  <c r="F55" i="50"/>
  <c r="K55" i="50"/>
  <c r="B55" i="50"/>
  <c r="R55" i="50" s="1"/>
  <c r="H55" i="50"/>
  <c r="L55" i="50"/>
  <c r="A55" i="50"/>
  <c r="Q55" i="50" s="1"/>
  <c r="P55" i="50" s="1"/>
  <c r="T113" i="57"/>
  <c r="Z53" i="50"/>
  <c r="W53" i="50"/>
  <c r="X53" i="50" s="1"/>
  <c r="E115" i="57"/>
  <c r="P115" i="57"/>
  <c r="D115" i="57"/>
  <c r="C115" i="57"/>
  <c r="M115" i="57" s="1"/>
  <c r="K115" i="57"/>
  <c r="G115" i="57"/>
  <c r="I115" i="57"/>
  <c r="H115" i="57"/>
  <c r="F115" i="57"/>
  <c r="J115" i="57"/>
  <c r="Q114" i="57"/>
  <c r="AK114" i="55" a="1"/>
  <c r="AK114" i="55" s="1"/>
  <c r="B116" i="57" s="1"/>
  <c r="AN100" i="67" a="1"/>
  <c r="AN100" i="67" s="1"/>
  <c r="B101" i="69"/>
  <c r="L101" i="69" s="1"/>
  <c r="D99" i="69"/>
  <c r="E99" i="69" s="1"/>
  <c r="F99" i="69" s="1"/>
  <c r="G99" i="69" s="1"/>
  <c r="H99" i="69" s="1"/>
  <c r="I99" i="69" s="1"/>
  <c r="J99" i="69" s="1"/>
  <c r="K99" i="69" s="1"/>
  <c r="M99" i="69" s="1"/>
  <c r="N99" i="69"/>
  <c r="AF99" i="69" s="1"/>
  <c r="P99" i="69"/>
  <c r="C100" i="69"/>
  <c r="AO100" i="69" s="1"/>
  <c r="O100" i="69"/>
  <c r="U98" i="69"/>
  <c r="R98" i="69"/>
  <c r="S98" i="69" s="1"/>
  <c r="Y98" i="69" s="1"/>
  <c r="AB98" i="69" s="1"/>
  <c r="AC98" i="69" s="1"/>
  <c r="AD98" i="69" s="1"/>
  <c r="AE98" i="69"/>
  <c r="Q98" i="69"/>
  <c r="AN99" i="63" a="1"/>
  <c r="AN99" i="63" s="1"/>
  <c r="B100" i="65"/>
  <c r="L100" i="65" s="1"/>
  <c r="D98" i="65"/>
  <c r="E98" i="65" s="1"/>
  <c r="F98" i="65" s="1"/>
  <c r="G98" i="65" s="1"/>
  <c r="H98" i="65" s="1"/>
  <c r="I98" i="65" s="1"/>
  <c r="J98" i="65" s="1"/>
  <c r="K98" i="65" s="1"/>
  <c r="M98" i="65" s="1"/>
  <c r="N98" i="65"/>
  <c r="P98" i="65"/>
  <c r="C99" i="65"/>
  <c r="AM99" i="65" s="1"/>
  <c r="O99" i="65"/>
  <c r="U97" i="65"/>
  <c r="Q97" i="65"/>
  <c r="R97" i="65"/>
  <c r="S97" i="65" s="1"/>
  <c r="Y97" i="65" s="1"/>
  <c r="AB97" i="65" s="1"/>
  <c r="AC97" i="65" s="1"/>
  <c r="AD97" i="65" s="1"/>
  <c r="AL45" i="11" a="1"/>
  <c r="AL45" i="11" s="1"/>
  <c r="E46" i="32" s="1"/>
  <c r="AK46" i="32" s="1"/>
  <c r="AL55" i="59" a="1"/>
  <c r="AL55" i="59" s="1"/>
  <c r="E56" i="50" s="1"/>
  <c r="AK56" i="50" s="1"/>
  <c r="AB113" i="53" l="1"/>
  <c r="AA113" i="53"/>
  <c r="AI52" i="50"/>
  <c r="AP52" i="50" s="1"/>
  <c r="AF98" i="65"/>
  <c r="AE98" i="65"/>
  <c r="X114" i="53"/>
  <c r="AF114" i="53" s="1"/>
  <c r="AE115" i="57"/>
  <c r="R115" i="57"/>
  <c r="AE115" i="53"/>
  <c r="R115" i="53"/>
  <c r="AG53" i="50"/>
  <c r="AH53" i="50" s="1"/>
  <c r="AL53" i="50"/>
  <c r="AG98" i="69"/>
  <c r="AG97" i="65"/>
  <c r="AX99" i="69"/>
  <c r="O116" i="57"/>
  <c r="AG116" i="57" s="1"/>
  <c r="L116" i="57"/>
  <c r="T56" i="50"/>
  <c r="O56" i="50"/>
  <c r="X113" i="57"/>
  <c r="AF113" i="57" s="1"/>
  <c r="AJ115" i="57"/>
  <c r="AC115" i="57"/>
  <c r="AP115" i="57"/>
  <c r="AB112" i="57"/>
  <c r="AA112" i="57"/>
  <c r="AD54" i="50"/>
  <c r="AM55" i="50"/>
  <c r="U55" i="50"/>
  <c r="AH98" i="65"/>
  <c r="AV98" i="65"/>
  <c r="AG115" i="53"/>
  <c r="AH115" i="53"/>
  <c r="AC115" i="53"/>
  <c r="AT115" i="53"/>
  <c r="N116" i="57"/>
  <c r="G116" i="53"/>
  <c r="N116" i="53"/>
  <c r="AH99" i="69"/>
  <c r="AJ54" i="50"/>
  <c r="C54" i="50"/>
  <c r="AD115" i="57"/>
  <c r="AD115" i="53"/>
  <c r="Q115" i="53"/>
  <c r="V54" i="50"/>
  <c r="S55" i="50"/>
  <c r="P116" i="53"/>
  <c r="F116" i="53"/>
  <c r="C116" i="53"/>
  <c r="K116" i="53"/>
  <c r="AK115" i="52" a="1"/>
  <c r="AK115" i="52" s="1"/>
  <c r="B117" i="53" s="1"/>
  <c r="O117" i="53" s="1"/>
  <c r="H116" i="53"/>
  <c r="E116" i="53"/>
  <c r="L116" i="53"/>
  <c r="J116" i="53"/>
  <c r="I116" i="53"/>
  <c r="D116" i="53"/>
  <c r="F56" i="50"/>
  <c r="L56" i="50"/>
  <c r="B56" i="50"/>
  <c r="R56" i="50" s="1"/>
  <c r="J56" i="50"/>
  <c r="M56" i="50"/>
  <c r="I56" i="50"/>
  <c r="H56" i="50"/>
  <c r="N56" i="50"/>
  <c r="G56" i="50"/>
  <c r="K56" i="50"/>
  <c r="A56" i="50"/>
  <c r="Q56" i="50" s="1"/>
  <c r="P56" i="50" s="1"/>
  <c r="P116" i="57"/>
  <c r="G116" i="57"/>
  <c r="E116" i="57"/>
  <c r="C116" i="57"/>
  <c r="M116" i="57" s="1"/>
  <c r="I116" i="57"/>
  <c r="K116" i="57"/>
  <c r="J116" i="57"/>
  <c r="F116" i="57"/>
  <c r="D116" i="57"/>
  <c r="H116" i="57"/>
  <c r="T114" i="57"/>
  <c r="Q115" i="57"/>
  <c r="Z54" i="50"/>
  <c r="W54" i="50"/>
  <c r="X54" i="50" s="1"/>
  <c r="AK115" i="55" a="1"/>
  <c r="AK115" i="55" s="1"/>
  <c r="B117" i="57" s="1"/>
  <c r="R99" i="69"/>
  <c r="S99" i="69" s="1"/>
  <c r="Y99" i="69" s="1"/>
  <c r="AB99" i="69" s="1"/>
  <c r="AC99" i="69" s="1"/>
  <c r="AD99" i="69" s="1"/>
  <c r="AE99" i="69"/>
  <c r="U99" i="69"/>
  <c r="Q99" i="69"/>
  <c r="C101" i="69"/>
  <c r="AO101" i="69" s="1"/>
  <c r="O101" i="69"/>
  <c r="D100" i="69"/>
  <c r="E100" i="69" s="1"/>
  <c r="F100" i="69" s="1"/>
  <c r="G100" i="69" s="1"/>
  <c r="H100" i="69" s="1"/>
  <c r="I100" i="69" s="1"/>
  <c r="J100" i="69" s="1"/>
  <c r="K100" i="69" s="1"/>
  <c r="M100" i="69" s="1"/>
  <c r="N100" i="69"/>
  <c r="AF100" i="69" s="1"/>
  <c r="P100" i="69"/>
  <c r="AN101" i="67" a="1"/>
  <c r="AN101" i="67" s="1"/>
  <c r="B102" i="69"/>
  <c r="L102" i="69" s="1"/>
  <c r="AN100" i="63" a="1"/>
  <c r="AN100" i="63" s="1"/>
  <c r="B101" i="65"/>
  <c r="L101" i="65" s="1"/>
  <c r="O100" i="65"/>
  <c r="C100" i="65"/>
  <c r="AM100" i="65" s="1"/>
  <c r="P99" i="65"/>
  <c r="D99" i="65"/>
  <c r="E99" i="65" s="1"/>
  <c r="F99" i="65" s="1"/>
  <c r="G99" i="65" s="1"/>
  <c r="H99" i="65" s="1"/>
  <c r="I99" i="65" s="1"/>
  <c r="J99" i="65" s="1"/>
  <c r="K99" i="65" s="1"/>
  <c r="M99" i="65" s="1"/>
  <c r="N99" i="65"/>
  <c r="U98" i="65"/>
  <c r="Q98" i="65"/>
  <c r="R98" i="65"/>
  <c r="S98" i="65" s="1"/>
  <c r="Y98" i="65" s="1"/>
  <c r="AB98" i="65" s="1"/>
  <c r="AC98" i="65" s="1"/>
  <c r="AD98" i="65" s="1"/>
  <c r="AL46" i="11" a="1"/>
  <c r="AL46" i="11" s="1"/>
  <c r="E47" i="32" s="1"/>
  <c r="AK47" i="32" s="1"/>
  <c r="AL56" i="59" a="1"/>
  <c r="AL56" i="59" s="1"/>
  <c r="E57" i="50" s="1"/>
  <c r="AK57" i="50" s="1"/>
  <c r="AA114" i="53" l="1"/>
  <c r="AB114" i="53"/>
  <c r="X115" i="53"/>
  <c r="AA115" i="53" s="1"/>
  <c r="AI53" i="50"/>
  <c r="AP53" i="50" s="1"/>
  <c r="AF99" i="65"/>
  <c r="AE99" i="65"/>
  <c r="AE116" i="57"/>
  <c r="R116" i="57"/>
  <c r="AE116" i="53"/>
  <c r="R116" i="53"/>
  <c r="AG54" i="50"/>
  <c r="AH54" i="50" s="1"/>
  <c r="AL54" i="50"/>
  <c r="AG99" i="69"/>
  <c r="AG98" i="65"/>
  <c r="X114" i="57"/>
  <c r="AX100" i="69"/>
  <c r="L117" i="57"/>
  <c r="O117" i="57"/>
  <c r="AG117" i="57" s="1"/>
  <c r="O57" i="50"/>
  <c r="T57" i="50"/>
  <c r="AC116" i="57"/>
  <c r="AJ116" i="57"/>
  <c r="AP116" i="57"/>
  <c r="AM56" i="50"/>
  <c r="U56" i="50"/>
  <c r="AD55" i="50"/>
  <c r="AB113" i="57"/>
  <c r="AA113" i="57"/>
  <c r="AH99" i="65"/>
  <c r="AV99" i="65"/>
  <c r="AC116" i="53"/>
  <c r="AH116" i="53"/>
  <c r="AT116" i="53"/>
  <c r="AG116" i="53"/>
  <c r="N117" i="57"/>
  <c r="L117" i="53"/>
  <c r="N117" i="53"/>
  <c r="AH100" i="69"/>
  <c r="AJ55" i="50"/>
  <c r="C55" i="50"/>
  <c r="AD116" i="57"/>
  <c r="AD116" i="53"/>
  <c r="S56" i="50"/>
  <c r="V55" i="50"/>
  <c r="Q116" i="53"/>
  <c r="AK116" i="52" a="1"/>
  <c r="AK116" i="52" s="1"/>
  <c r="B118" i="53" s="1"/>
  <c r="O118" i="53" s="1"/>
  <c r="K117" i="53"/>
  <c r="P117" i="53"/>
  <c r="D117" i="53"/>
  <c r="G117" i="53"/>
  <c r="E117" i="53"/>
  <c r="J117" i="53"/>
  <c r="H117" i="53"/>
  <c r="C117" i="53"/>
  <c r="I117" i="53"/>
  <c r="F117" i="53"/>
  <c r="M57" i="50"/>
  <c r="J57" i="50"/>
  <c r="G57" i="50"/>
  <c r="L57" i="50"/>
  <c r="H57" i="50"/>
  <c r="I57" i="50"/>
  <c r="K57" i="50"/>
  <c r="B57" i="50"/>
  <c r="R57" i="50" s="1"/>
  <c r="F57" i="50"/>
  <c r="A57" i="50"/>
  <c r="Q57" i="50" s="1"/>
  <c r="P57" i="50" s="1"/>
  <c r="N57" i="50"/>
  <c r="Z55" i="50"/>
  <c r="W55" i="50"/>
  <c r="X55" i="50" s="1"/>
  <c r="G117" i="57"/>
  <c r="E117" i="57"/>
  <c r="P117" i="57"/>
  <c r="D117" i="57"/>
  <c r="C117" i="57"/>
  <c r="M117" i="57" s="1"/>
  <c r="H117" i="57"/>
  <c r="K117" i="57"/>
  <c r="I117" i="57"/>
  <c r="F117" i="57"/>
  <c r="J117" i="57"/>
  <c r="T115" i="57"/>
  <c r="Q116" i="57"/>
  <c r="AK116" i="55" a="1"/>
  <c r="AK116" i="55" s="1"/>
  <c r="B118" i="57" s="1"/>
  <c r="C102" i="69"/>
  <c r="AO102" i="69" s="1"/>
  <c r="O102" i="69"/>
  <c r="AE100" i="69"/>
  <c r="U100" i="69"/>
  <c r="Q100" i="69"/>
  <c r="R100" i="69"/>
  <c r="S100" i="69" s="1"/>
  <c r="Y100" i="69" s="1"/>
  <c r="AB100" i="69" s="1"/>
  <c r="AC100" i="69" s="1"/>
  <c r="AD100" i="69" s="1"/>
  <c r="AN102" i="67" a="1"/>
  <c r="AN102" i="67" s="1"/>
  <c r="B103" i="69"/>
  <c r="L103" i="69" s="1"/>
  <c r="N101" i="69"/>
  <c r="AF101" i="69" s="1"/>
  <c r="P101" i="69"/>
  <c r="D101" i="69"/>
  <c r="E101" i="69" s="1"/>
  <c r="F101" i="69" s="1"/>
  <c r="G101" i="69" s="1"/>
  <c r="H101" i="69" s="1"/>
  <c r="I101" i="69" s="1"/>
  <c r="J101" i="69" s="1"/>
  <c r="K101" i="69" s="1"/>
  <c r="M101" i="69" s="1"/>
  <c r="AN101" i="63" a="1"/>
  <c r="AN101" i="63" s="1"/>
  <c r="B102" i="65"/>
  <c r="L102" i="65" s="1"/>
  <c r="U99" i="65"/>
  <c r="R99" i="65"/>
  <c r="S99" i="65" s="1"/>
  <c r="Y99" i="65" s="1"/>
  <c r="AB99" i="65" s="1"/>
  <c r="AC99" i="65" s="1"/>
  <c r="AD99" i="65" s="1"/>
  <c r="Q99" i="65"/>
  <c r="C101" i="65"/>
  <c r="AM101" i="65" s="1"/>
  <c r="O101" i="65"/>
  <c r="P100" i="65"/>
  <c r="D100" i="65"/>
  <c r="E100" i="65" s="1"/>
  <c r="F100" i="65" s="1"/>
  <c r="G100" i="65" s="1"/>
  <c r="H100" i="65" s="1"/>
  <c r="I100" i="65" s="1"/>
  <c r="J100" i="65" s="1"/>
  <c r="K100" i="65" s="1"/>
  <c r="M100" i="65" s="1"/>
  <c r="N100" i="65"/>
  <c r="AL47" i="11" a="1"/>
  <c r="AL47" i="11" s="1"/>
  <c r="E48" i="32" s="1"/>
  <c r="AK48" i="32" s="1"/>
  <c r="AL57" i="59" a="1"/>
  <c r="AL57" i="59" s="1"/>
  <c r="E58" i="50" s="1"/>
  <c r="AK58" i="50" s="1"/>
  <c r="AB115" i="53" l="1"/>
  <c r="AF115" i="53"/>
  <c r="AI54" i="50"/>
  <c r="AP54" i="50" s="1"/>
  <c r="AF100" i="65"/>
  <c r="AE100" i="65"/>
  <c r="AE117" i="57"/>
  <c r="R117" i="57"/>
  <c r="AE117" i="53"/>
  <c r="R117" i="53"/>
  <c r="AG55" i="50"/>
  <c r="AH55" i="50" s="1"/>
  <c r="AL55" i="50"/>
  <c r="AB114" i="57"/>
  <c r="AF114" i="57"/>
  <c r="AG100" i="69"/>
  <c r="AG99" i="65"/>
  <c r="AA114" i="57"/>
  <c r="AX101" i="69"/>
  <c r="O118" i="57"/>
  <c r="AG118" i="57" s="1"/>
  <c r="L118" i="57"/>
  <c r="X115" i="57"/>
  <c r="O58" i="50"/>
  <c r="T58" i="50"/>
  <c r="AC117" i="57"/>
  <c r="AJ117" i="57"/>
  <c r="AP117" i="57"/>
  <c r="AM57" i="50"/>
  <c r="U57" i="50"/>
  <c r="AD56" i="50"/>
  <c r="AH100" i="65"/>
  <c r="AV100" i="65"/>
  <c r="AH117" i="53"/>
  <c r="AC117" i="53"/>
  <c r="AT117" i="53"/>
  <c r="AG117" i="53"/>
  <c r="N118" i="57"/>
  <c r="N118" i="53"/>
  <c r="AH101" i="69"/>
  <c r="AJ56" i="50"/>
  <c r="C56" i="50"/>
  <c r="AD117" i="57"/>
  <c r="AD117" i="53"/>
  <c r="X116" i="53"/>
  <c r="AF116" i="53" s="1"/>
  <c r="S57" i="50"/>
  <c r="V56" i="50"/>
  <c r="Q117" i="53"/>
  <c r="L118" i="53"/>
  <c r="J118" i="53"/>
  <c r="E118" i="53"/>
  <c r="G118" i="53"/>
  <c r="C118" i="53"/>
  <c r="AK117" i="52" a="1"/>
  <c r="AK117" i="52" s="1"/>
  <c r="B119" i="53" s="1"/>
  <c r="O119" i="53" s="1"/>
  <c r="P118" i="53"/>
  <c r="K118" i="53"/>
  <c r="D118" i="53"/>
  <c r="F118" i="53"/>
  <c r="H118" i="53"/>
  <c r="I118" i="53"/>
  <c r="I58" i="50"/>
  <c r="J58" i="50"/>
  <c r="K58" i="50"/>
  <c r="M58" i="50"/>
  <c r="L58" i="50"/>
  <c r="N58" i="50"/>
  <c r="G58" i="50"/>
  <c r="F58" i="50"/>
  <c r="A58" i="50"/>
  <c r="Q58" i="50" s="1"/>
  <c r="P58" i="50" s="1"/>
  <c r="H58" i="50"/>
  <c r="B58" i="50"/>
  <c r="R58" i="50" s="1"/>
  <c r="P118" i="57"/>
  <c r="I118" i="57"/>
  <c r="G118" i="57"/>
  <c r="E118" i="57"/>
  <c r="C118" i="57"/>
  <c r="M118" i="57" s="1"/>
  <c r="K118" i="57"/>
  <c r="F118" i="57"/>
  <c r="J118" i="57"/>
  <c r="D118" i="57"/>
  <c r="H118" i="57"/>
  <c r="T116" i="57"/>
  <c r="Q117" i="57"/>
  <c r="Z56" i="50"/>
  <c r="W56" i="50"/>
  <c r="X56" i="50" s="1"/>
  <c r="AK117" i="55" a="1"/>
  <c r="AK117" i="55" s="1"/>
  <c r="B119" i="57" s="1"/>
  <c r="C103" i="69"/>
  <c r="AO103" i="69" s="1"/>
  <c r="O103" i="69"/>
  <c r="U101" i="69"/>
  <c r="R101" i="69"/>
  <c r="S101" i="69" s="1"/>
  <c r="Y101" i="69" s="1"/>
  <c r="AB101" i="69" s="1"/>
  <c r="AC101" i="69" s="1"/>
  <c r="AD101" i="69" s="1"/>
  <c r="AE101" i="69"/>
  <c r="Q101" i="69"/>
  <c r="AN103" i="67" a="1"/>
  <c r="AN103" i="67" s="1"/>
  <c r="B104" i="69"/>
  <c r="L104" i="69" s="1"/>
  <c r="D102" i="69"/>
  <c r="E102" i="69" s="1"/>
  <c r="F102" i="69" s="1"/>
  <c r="G102" i="69" s="1"/>
  <c r="H102" i="69" s="1"/>
  <c r="I102" i="69" s="1"/>
  <c r="J102" i="69" s="1"/>
  <c r="K102" i="69" s="1"/>
  <c r="M102" i="69" s="1"/>
  <c r="N102" i="69"/>
  <c r="AF102" i="69" s="1"/>
  <c r="P102" i="69"/>
  <c r="AN102" i="63" a="1"/>
  <c r="AN102" i="63" s="1"/>
  <c r="B103" i="65"/>
  <c r="L103" i="65" s="1"/>
  <c r="U100" i="65"/>
  <c r="R100" i="65"/>
  <c r="S100" i="65" s="1"/>
  <c r="Y100" i="65" s="1"/>
  <c r="AB100" i="65" s="1"/>
  <c r="AC100" i="65" s="1"/>
  <c r="AD100" i="65" s="1"/>
  <c r="Q100" i="65"/>
  <c r="C102" i="65"/>
  <c r="AM102" i="65" s="1"/>
  <c r="O102" i="65"/>
  <c r="N101" i="65"/>
  <c r="P101" i="65"/>
  <c r="D101" i="65"/>
  <c r="E101" i="65" s="1"/>
  <c r="F101" i="65" s="1"/>
  <c r="G101" i="65" s="1"/>
  <c r="H101" i="65" s="1"/>
  <c r="I101" i="65" s="1"/>
  <c r="J101" i="65" s="1"/>
  <c r="K101" i="65" s="1"/>
  <c r="M101" i="65" s="1"/>
  <c r="AL48" i="11" a="1"/>
  <c r="AL48" i="11" s="1"/>
  <c r="E49" i="32" s="1"/>
  <c r="AK49" i="32" s="1"/>
  <c r="AL58" i="59" a="1"/>
  <c r="AL58" i="59" s="1"/>
  <c r="E59" i="50" s="1"/>
  <c r="AK59" i="50" s="1"/>
  <c r="AI55" i="50" l="1"/>
  <c r="AP55" i="50" s="1"/>
  <c r="AF101" i="65"/>
  <c r="AE101" i="65"/>
  <c r="AE118" i="57"/>
  <c r="R118" i="57"/>
  <c r="AE118" i="53"/>
  <c r="R118" i="53"/>
  <c r="AG56" i="50"/>
  <c r="AH56" i="50" s="1"/>
  <c r="AL56" i="50"/>
  <c r="AA115" i="57"/>
  <c r="AF115" i="57"/>
  <c r="AG101" i="69"/>
  <c r="AG100" i="65"/>
  <c r="AX102" i="69"/>
  <c r="AB115" i="57"/>
  <c r="O119" i="57"/>
  <c r="AG119" i="57" s="1"/>
  <c r="L119" i="57"/>
  <c r="O59" i="50"/>
  <c r="T59" i="50"/>
  <c r="AJ118" i="57"/>
  <c r="AC118" i="57"/>
  <c r="AP118" i="57"/>
  <c r="X116" i="57"/>
  <c r="AF116" i="57" s="1"/>
  <c r="AM58" i="50"/>
  <c r="U58" i="50"/>
  <c r="AD57" i="50"/>
  <c r="AH101" i="65"/>
  <c r="AV101" i="65"/>
  <c r="AB116" i="53"/>
  <c r="AA116" i="53"/>
  <c r="AH118" i="53"/>
  <c r="AT118" i="53"/>
  <c r="AC118" i="53"/>
  <c r="AG118" i="53"/>
  <c r="N119" i="57"/>
  <c r="N119" i="53"/>
  <c r="Q118" i="53"/>
  <c r="AD118" i="53"/>
  <c r="AH102" i="69"/>
  <c r="AJ57" i="50"/>
  <c r="C57" i="50"/>
  <c r="AD118" i="57"/>
  <c r="X117" i="53"/>
  <c r="AF117" i="53" s="1"/>
  <c r="V57" i="50"/>
  <c r="S58" i="50"/>
  <c r="AK118" i="52" a="1"/>
  <c r="AK118" i="52" s="1"/>
  <c r="B120" i="53" s="1"/>
  <c r="O120" i="53" s="1"/>
  <c r="G119" i="53"/>
  <c r="E119" i="53"/>
  <c r="F119" i="53"/>
  <c r="K119" i="53"/>
  <c r="H119" i="53"/>
  <c r="I119" i="53"/>
  <c r="C119" i="53"/>
  <c r="P119" i="53"/>
  <c r="D119" i="53"/>
  <c r="L119" i="53"/>
  <c r="J119" i="53"/>
  <c r="F59" i="50"/>
  <c r="M59" i="50"/>
  <c r="I59" i="50"/>
  <c r="K59" i="50"/>
  <c r="A59" i="50"/>
  <c r="Q59" i="50" s="1"/>
  <c r="P59" i="50" s="1"/>
  <c r="J59" i="50"/>
  <c r="L59" i="50"/>
  <c r="B59" i="50"/>
  <c r="R59" i="50" s="1"/>
  <c r="H59" i="50"/>
  <c r="G59" i="50"/>
  <c r="N59" i="50"/>
  <c r="T117" i="57"/>
  <c r="Z57" i="50"/>
  <c r="W57" i="50"/>
  <c r="X57" i="50" s="1"/>
  <c r="Q118" i="57"/>
  <c r="H119" i="57"/>
  <c r="G119" i="57"/>
  <c r="E119" i="57"/>
  <c r="P119" i="57"/>
  <c r="D119" i="57"/>
  <c r="C119" i="57"/>
  <c r="M119" i="57" s="1"/>
  <c r="I119" i="57"/>
  <c r="K119" i="57"/>
  <c r="F119" i="57"/>
  <c r="J119" i="57"/>
  <c r="AK118" i="55" a="1"/>
  <c r="AK118" i="55" s="1"/>
  <c r="B120" i="57" s="1"/>
  <c r="Q102" i="69"/>
  <c r="U102" i="69"/>
  <c r="R102" i="69"/>
  <c r="S102" i="69" s="1"/>
  <c r="Y102" i="69" s="1"/>
  <c r="AB102" i="69" s="1"/>
  <c r="AC102" i="69" s="1"/>
  <c r="AD102" i="69" s="1"/>
  <c r="AE102" i="69"/>
  <c r="C104" i="69"/>
  <c r="AO104" i="69" s="1"/>
  <c r="O104" i="69"/>
  <c r="AN104" i="67" a="1"/>
  <c r="AN104" i="67" s="1"/>
  <c r="B105" i="69"/>
  <c r="L105" i="69" s="1"/>
  <c r="D103" i="69"/>
  <c r="E103" i="69" s="1"/>
  <c r="F103" i="69" s="1"/>
  <c r="G103" i="69" s="1"/>
  <c r="H103" i="69" s="1"/>
  <c r="I103" i="69" s="1"/>
  <c r="J103" i="69" s="1"/>
  <c r="K103" i="69" s="1"/>
  <c r="M103" i="69" s="1"/>
  <c r="N103" i="69"/>
  <c r="AF103" i="69" s="1"/>
  <c r="P103" i="69"/>
  <c r="AN103" i="63" a="1"/>
  <c r="AN103" i="63" s="1"/>
  <c r="B104" i="65"/>
  <c r="L104" i="65" s="1"/>
  <c r="Q101" i="65"/>
  <c r="U101" i="65"/>
  <c r="R101" i="65"/>
  <c r="S101" i="65" s="1"/>
  <c r="Y101" i="65" s="1"/>
  <c r="AB101" i="65" s="1"/>
  <c r="AC101" i="65" s="1"/>
  <c r="AD101" i="65" s="1"/>
  <c r="C103" i="65"/>
  <c r="AM103" i="65" s="1"/>
  <c r="O103" i="65"/>
  <c r="P102" i="65"/>
  <c r="D102" i="65"/>
  <c r="E102" i="65" s="1"/>
  <c r="F102" i="65" s="1"/>
  <c r="G102" i="65" s="1"/>
  <c r="H102" i="65" s="1"/>
  <c r="I102" i="65" s="1"/>
  <c r="J102" i="65" s="1"/>
  <c r="K102" i="65" s="1"/>
  <c r="M102" i="65" s="1"/>
  <c r="N102" i="65"/>
  <c r="AL49" i="11" a="1"/>
  <c r="AL49" i="11" s="1"/>
  <c r="E50" i="32" s="1"/>
  <c r="AK50" i="32" s="1"/>
  <c r="AL59" i="59" a="1"/>
  <c r="AL59" i="59" s="1"/>
  <c r="E60" i="50" s="1"/>
  <c r="AK60" i="50" s="1"/>
  <c r="AI56" i="50" l="1"/>
  <c r="AP56" i="50" s="1"/>
  <c r="AF102" i="65"/>
  <c r="AE102" i="65"/>
  <c r="X118" i="53"/>
  <c r="AF118" i="53" s="1"/>
  <c r="AE119" i="57"/>
  <c r="R119" i="57"/>
  <c r="AE119" i="53"/>
  <c r="R119" i="53"/>
  <c r="AG57" i="50"/>
  <c r="AH57" i="50" s="1"/>
  <c r="AL57" i="50"/>
  <c r="AG102" i="69"/>
  <c r="AG101" i="65"/>
  <c r="X117" i="57"/>
  <c r="AX103" i="69"/>
  <c r="O120" i="57"/>
  <c r="AG120" i="57" s="1"/>
  <c r="L120" i="57"/>
  <c r="O60" i="50"/>
  <c r="T60" i="50"/>
  <c r="AB116" i="57"/>
  <c r="AA116" i="57"/>
  <c r="AD58" i="50"/>
  <c r="AJ119" i="57"/>
  <c r="AC119" i="57"/>
  <c r="AP119" i="57"/>
  <c r="AM59" i="50"/>
  <c r="U59" i="50"/>
  <c r="AH102" i="65"/>
  <c r="AV102" i="65"/>
  <c r="AB117" i="53"/>
  <c r="AA117" i="53"/>
  <c r="AG119" i="53"/>
  <c r="AH119" i="53"/>
  <c r="AT119" i="53"/>
  <c r="AC119" i="53"/>
  <c r="N120" i="57"/>
  <c r="N120" i="53"/>
  <c r="AH103" i="69"/>
  <c r="AJ58" i="50"/>
  <c r="C58" i="50"/>
  <c r="AD119" i="57"/>
  <c r="AD119" i="53"/>
  <c r="S59" i="50"/>
  <c r="V58" i="50"/>
  <c r="Q119" i="53"/>
  <c r="AK119" i="52" a="1"/>
  <c r="AK119" i="52" s="1"/>
  <c r="B121" i="53" s="1"/>
  <c r="O121" i="53" s="1"/>
  <c r="H120" i="53"/>
  <c r="J120" i="53"/>
  <c r="E120" i="53"/>
  <c r="D120" i="53"/>
  <c r="K120" i="53"/>
  <c r="G120" i="53"/>
  <c r="C120" i="53"/>
  <c r="P120" i="53"/>
  <c r="I120" i="53"/>
  <c r="L120" i="53"/>
  <c r="F120" i="53"/>
  <c r="H60" i="50"/>
  <c r="N60" i="50"/>
  <c r="B60" i="50"/>
  <c r="R60" i="50" s="1"/>
  <c r="M60" i="50"/>
  <c r="L60" i="50"/>
  <c r="F60" i="50"/>
  <c r="I60" i="50"/>
  <c r="K60" i="50"/>
  <c r="J60" i="50"/>
  <c r="G60" i="50"/>
  <c r="A60" i="50"/>
  <c r="Q60" i="50" s="1"/>
  <c r="P60" i="50" s="1"/>
  <c r="P120" i="57"/>
  <c r="K120" i="57"/>
  <c r="I120" i="57"/>
  <c r="G120" i="57"/>
  <c r="E120" i="57"/>
  <c r="C120" i="57"/>
  <c r="M120" i="57" s="1"/>
  <c r="F120" i="57"/>
  <c r="J120" i="57"/>
  <c r="H120" i="57"/>
  <c r="D120" i="57"/>
  <c r="Q119" i="57"/>
  <c r="W58" i="50"/>
  <c r="X58" i="50" s="1"/>
  <c r="Z58" i="50"/>
  <c r="T118" i="57"/>
  <c r="AK119" i="55" a="1"/>
  <c r="AK119" i="55" s="1"/>
  <c r="B121" i="57" s="1"/>
  <c r="C105" i="69"/>
  <c r="AO105" i="69" s="1"/>
  <c r="O105" i="69"/>
  <c r="AN105" i="67" a="1"/>
  <c r="AN105" i="67" s="1"/>
  <c r="B106" i="69"/>
  <c r="L106" i="69" s="1"/>
  <c r="P104" i="69"/>
  <c r="N104" i="69"/>
  <c r="AF104" i="69" s="1"/>
  <c r="D104" i="69"/>
  <c r="E104" i="69" s="1"/>
  <c r="F104" i="69" s="1"/>
  <c r="G104" i="69" s="1"/>
  <c r="H104" i="69" s="1"/>
  <c r="I104" i="69" s="1"/>
  <c r="J104" i="69" s="1"/>
  <c r="K104" i="69" s="1"/>
  <c r="M104" i="69" s="1"/>
  <c r="Q103" i="69"/>
  <c r="AE103" i="69"/>
  <c r="U103" i="69"/>
  <c r="R103" i="69"/>
  <c r="S103" i="69" s="1"/>
  <c r="Y103" i="69" s="1"/>
  <c r="AB103" i="69" s="1"/>
  <c r="AC103" i="69" s="1"/>
  <c r="AD103" i="69" s="1"/>
  <c r="AN104" i="63" a="1"/>
  <c r="AN104" i="63" s="1"/>
  <c r="B105" i="65"/>
  <c r="L105" i="65" s="1"/>
  <c r="C104" i="65"/>
  <c r="AM104" i="65" s="1"/>
  <c r="O104" i="65"/>
  <c r="D103" i="65"/>
  <c r="E103" i="65" s="1"/>
  <c r="F103" i="65" s="1"/>
  <c r="G103" i="65" s="1"/>
  <c r="H103" i="65" s="1"/>
  <c r="I103" i="65" s="1"/>
  <c r="J103" i="65" s="1"/>
  <c r="K103" i="65" s="1"/>
  <c r="M103" i="65" s="1"/>
  <c r="P103" i="65"/>
  <c r="N103" i="65"/>
  <c r="R102" i="65"/>
  <c r="S102" i="65" s="1"/>
  <c r="Y102" i="65" s="1"/>
  <c r="AB102" i="65" s="1"/>
  <c r="AC102" i="65" s="1"/>
  <c r="AD102" i="65" s="1"/>
  <c r="U102" i="65"/>
  <c r="Q102" i="65"/>
  <c r="AL50" i="11" a="1"/>
  <c r="AL50" i="11" s="1"/>
  <c r="E51" i="32" s="1"/>
  <c r="AK51" i="32" s="1"/>
  <c r="AL60" i="59" a="1"/>
  <c r="AL60" i="59" s="1"/>
  <c r="E61" i="50" s="1"/>
  <c r="AK61" i="50" s="1"/>
  <c r="AB118" i="53" l="1"/>
  <c r="AA118" i="53"/>
  <c r="AI57" i="50"/>
  <c r="AP57" i="50" s="1"/>
  <c r="AF103" i="65"/>
  <c r="AE103" i="65"/>
  <c r="AE120" i="57"/>
  <c r="R120" i="57"/>
  <c r="AE120" i="53"/>
  <c r="R120" i="53"/>
  <c r="AG58" i="50"/>
  <c r="AH58" i="50" s="1"/>
  <c r="AL58" i="50"/>
  <c r="AB117" i="57"/>
  <c r="AF117" i="57"/>
  <c r="AG103" i="69"/>
  <c r="AG102" i="65"/>
  <c r="AA117" i="57"/>
  <c r="AX104" i="69"/>
  <c r="O121" i="57"/>
  <c r="AG121" i="57" s="1"/>
  <c r="L121" i="57"/>
  <c r="T61" i="50"/>
  <c r="O61" i="50"/>
  <c r="X118" i="57"/>
  <c r="AJ120" i="57"/>
  <c r="AC120" i="57"/>
  <c r="AP120" i="57"/>
  <c r="AM60" i="50"/>
  <c r="U60" i="50"/>
  <c r="AD59" i="50"/>
  <c r="AH103" i="65"/>
  <c r="AV103" i="65"/>
  <c r="AH120" i="53"/>
  <c r="AT120" i="53"/>
  <c r="AC120" i="53"/>
  <c r="AG120" i="53"/>
  <c r="N121" i="57"/>
  <c r="F121" i="53"/>
  <c r="N121" i="53"/>
  <c r="AH104" i="69"/>
  <c r="AJ59" i="50"/>
  <c r="C59" i="50"/>
  <c r="AD120" i="57"/>
  <c r="Q120" i="53"/>
  <c r="AD120" i="53"/>
  <c r="X119" i="53"/>
  <c r="AF119" i="53" s="1"/>
  <c r="S60" i="50"/>
  <c r="V59" i="50"/>
  <c r="P121" i="53"/>
  <c r="K121" i="53"/>
  <c r="L121" i="53"/>
  <c r="D121" i="53"/>
  <c r="J121" i="53"/>
  <c r="E121" i="53"/>
  <c r="I121" i="53"/>
  <c r="C121" i="53"/>
  <c r="AK120" i="52" a="1"/>
  <c r="AK120" i="52" s="1"/>
  <c r="B122" i="53" s="1"/>
  <c r="O122" i="53" s="1"/>
  <c r="H121" i="53"/>
  <c r="G121" i="53"/>
  <c r="B61" i="50"/>
  <c r="R61" i="50" s="1"/>
  <c r="A61" i="50"/>
  <c r="Q61" i="50" s="1"/>
  <c r="P61" i="50" s="1"/>
  <c r="H61" i="50"/>
  <c r="K61" i="50"/>
  <c r="M61" i="50"/>
  <c r="I61" i="50"/>
  <c r="G61" i="50"/>
  <c r="J61" i="50"/>
  <c r="L61" i="50"/>
  <c r="N61" i="50"/>
  <c r="F61" i="50"/>
  <c r="Q120" i="57"/>
  <c r="Z59" i="50"/>
  <c r="W59" i="50"/>
  <c r="X59" i="50" s="1"/>
  <c r="T119" i="57"/>
  <c r="I121" i="57"/>
  <c r="H121" i="57"/>
  <c r="G121" i="57"/>
  <c r="E121" i="57"/>
  <c r="P121" i="57"/>
  <c r="D121" i="57"/>
  <c r="K121" i="57"/>
  <c r="C121" i="57"/>
  <c r="M121" i="57" s="1"/>
  <c r="F121" i="57"/>
  <c r="J121" i="57"/>
  <c r="AK120" i="55" a="1"/>
  <c r="AK120" i="55" s="1"/>
  <c r="B122" i="57" s="1"/>
  <c r="AN106" i="67" a="1"/>
  <c r="AN106" i="67" s="1"/>
  <c r="B107" i="69"/>
  <c r="L107" i="69" s="1"/>
  <c r="D105" i="69"/>
  <c r="E105" i="69" s="1"/>
  <c r="F105" i="69" s="1"/>
  <c r="G105" i="69" s="1"/>
  <c r="H105" i="69" s="1"/>
  <c r="I105" i="69" s="1"/>
  <c r="J105" i="69" s="1"/>
  <c r="K105" i="69" s="1"/>
  <c r="M105" i="69" s="1"/>
  <c r="P105" i="69"/>
  <c r="N105" i="69"/>
  <c r="AF105" i="69" s="1"/>
  <c r="U104" i="69"/>
  <c r="AE104" i="69"/>
  <c r="Q104" i="69"/>
  <c r="R104" i="69"/>
  <c r="S104" i="69" s="1"/>
  <c r="Y104" i="69" s="1"/>
  <c r="AB104" i="69" s="1"/>
  <c r="AC104" i="69" s="1"/>
  <c r="AD104" i="69" s="1"/>
  <c r="C106" i="69"/>
  <c r="AO106" i="69" s="1"/>
  <c r="O106" i="69"/>
  <c r="U103" i="65"/>
  <c r="Q103" i="65"/>
  <c r="R103" i="65"/>
  <c r="S103" i="65" s="1"/>
  <c r="Y103" i="65" s="1"/>
  <c r="AB103" i="65" s="1"/>
  <c r="AC103" i="65" s="1"/>
  <c r="AD103" i="65" s="1"/>
  <c r="C105" i="65"/>
  <c r="AM105" i="65" s="1"/>
  <c r="O105" i="65"/>
  <c r="AN105" i="63" a="1"/>
  <c r="AN105" i="63" s="1"/>
  <c r="B106" i="65"/>
  <c r="L106" i="65" s="1"/>
  <c r="P104" i="65"/>
  <c r="D104" i="65"/>
  <c r="E104" i="65" s="1"/>
  <c r="F104" i="65" s="1"/>
  <c r="G104" i="65" s="1"/>
  <c r="H104" i="65" s="1"/>
  <c r="I104" i="65" s="1"/>
  <c r="J104" i="65" s="1"/>
  <c r="K104" i="65" s="1"/>
  <c r="M104" i="65" s="1"/>
  <c r="N104" i="65"/>
  <c r="AL51" i="11" a="1"/>
  <c r="AL51" i="11" s="1"/>
  <c r="E52" i="32" s="1"/>
  <c r="AK52" i="32" s="1"/>
  <c r="AL61" i="59" a="1"/>
  <c r="AL61" i="59" s="1"/>
  <c r="E62" i="50" s="1"/>
  <c r="AK62" i="50" s="1"/>
  <c r="X120" i="53" l="1"/>
  <c r="AB120" i="53" s="1"/>
  <c r="AI58" i="50"/>
  <c r="AP58" i="50" s="1"/>
  <c r="AF104" i="65"/>
  <c r="AE104" i="65"/>
  <c r="AE121" i="57"/>
  <c r="R121" i="57"/>
  <c r="AE121" i="53"/>
  <c r="R121" i="53"/>
  <c r="AG59" i="50"/>
  <c r="AH59" i="50" s="1"/>
  <c r="AL59" i="50"/>
  <c r="AB118" i="57"/>
  <c r="AF118" i="57"/>
  <c r="AG104" i="69"/>
  <c r="AG103" i="65"/>
  <c r="AX105" i="69"/>
  <c r="AA118" i="57"/>
  <c r="O122" i="57"/>
  <c r="AG122" i="57" s="1"/>
  <c r="L122" i="57"/>
  <c r="X119" i="57"/>
  <c r="T62" i="50"/>
  <c r="O62" i="50"/>
  <c r="AD60" i="50"/>
  <c r="AM61" i="50"/>
  <c r="U61" i="50"/>
  <c r="AJ121" i="57"/>
  <c r="AC121" i="57"/>
  <c r="AP121" i="57"/>
  <c r="AH104" i="65"/>
  <c r="AV104" i="65"/>
  <c r="AH121" i="53"/>
  <c r="AC121" i="53"/>
  <c r="AT121" i="53"/>
  <c r="AG121" i="53"/>
  <c r="AB119" i="53"/>
  <c r="AA119" i="53"/>
  <c r="N122" i="57"/>
  <c r="P122" i="53"/>
  <c r="N122" i="53"/>
  <c r="AH105" i="69"/>
  <c r="AJ60" i="50"/>
  <c r="C60" i="50"/>
  <c r="AD121" i="57"/>
  <c r="AD121" i="53"/>
  <c r="S61" i="50"/>
  <c r="V60" i="50"/>
  <c r="Q121" i="53"/>
  <c r="C122" i="53"/>
  <c r="K122" i="53"/>
  <c r="D122" i="53"/>
  <c r="J122" i="53"/>
  <c r="G122" i="53"/>
  <c r="I122" i="53"/>
  <c r="E122" i="53"/>
  <c r="AK121" i="52" a="1"/>
  <c r="AK121" i="52" s="1"/>
  <c r="B123" i="53" s="1"/>
  <c r="O123" i="53" s="1"/>
  <c r="F122" i="53"/>
  <c r="H122" i="53"/>
  <c r="L122" i="53"/>
  <c r="G62" i="50"/>
  <c r="L62" i="50"/>
  <c r="A62" i="50"/>
  <c r="Q62" i="50" s="1"/>
  <c r="P62" i="50" s="1"/>
  <c r="B62" i="50"/>
  <c r="R62" i="50" s="1"/>
  <c r="F62" i="50"/>
  <c r="H62" i="50"/>
  <c r="N62" i="50"/>
  <c r="K62" i="50"/>
  <c r="M62" i="50"/>
  <c r="J62" i="50"/>
  <c r="I62" i="50"/>
  <c r="P122" i="57"/>
  <c r="K122" i="57"/>
  <c r="I122" i="57"/>
  <c r="G122" i="57"/>
  <c r="E122" i="57"/>
  <c r="C122" i="57"/>
  <c r="M122" i="57" s="1"/>
  <c r="F122" i="57"/>
  <c r="J122" i="57"/>
  <c r="D122" i="57"/>
  <c r="H122" i="57"/>
  <c r="Z60" i="50"/>
  <c r="W60" i="50"/>
  <c r="X60" i="50" s="1"/>
  <c r="Q121" i="57"/>
  <c r="T120" i="57"/>
  <c r="AK121" i="55" a="1"/>
  <c r="AK121" i="55" s="1"/>
  <c r="B123" i="57" s="1"/>
  <c r="N106" i="69"/>
  <c r="AF106" i="69" s="1"/>
  <c r="D106" i="69"/>
  <c r="E106" i="69" s="1"/>
  <c r="F106" i="69" s="1"/>
  <c r="G106" i="69" s="1"/>
  <c r="H106" i="69" s="1"/>
  <c r="I106" i="69" s="1"/>
  <c r="J106" i="69" s="1"/>
  <c r="K106" i="69" s="1"/>
  <c r="M106" i="69" s="1"/>
  <c r="P106" i="69"/>
  <c r="C107" i="69"/>
  <c r="AO107" i="69" s="1"/>
  <c r="O107" i="69"/>
  <c r="Q105" i="69"/>
  <c r="R105" i="69"/>
  <c r="S105" i="69" s="1"/>
  <c r="Y105" i="69" s="1"/>
  <c r="AB105" i="69" s="1"/>
  <c r="AC105" i="69" s="1"/>
  <c r="AD105" i="69" s="1"/>
  <c r="U105" i="69"/>
  <c r="AE105" i="69"/>
  <c r="AN107" i="67" a="1"/>
  <c r="AN107" i="67" s="1"/>
  <c r="B108" i="69"/>
  <c r="L108" i="69" s="1"/>
  <c r="AN106" i="63" a="1"/>
  <c r="AN106" i="63" s="1"/>
  <c r="B107" i="65"/>
  <c r="L107" i="65" s="1"/>
  <c r="N105" i="65"/>
  <c r="P105" i="65"/>
  <c r="D105" i="65"/>
  <c r="E105" i="65" s="1"/>
  <c r="F105" i="65" s="1"/>
  <c r="G105" i="65" s="1"/>
  <c r="H105" i="65" s="1"/>
  <c r="I105" i="65" s="1"/>
  <c r="J105" i="65" s="1"/>
  <c r="K105" i="65" s="1"/>
  <c r="M105" i="65" s="1"/>
  <c r="Q104" i="65"/>
  <c r="R104" i="65"/>
  <c r="S104" i="65" s="1"/>
  <c r="Y104" i="65" s="1"/>
  <c r="AB104" i="65" s="1"/>
  <c r="AC104" i="65" s="1"/>
  <c r="AD104" i="65" s="1"/>
  <c r="U104" i="65"/>
  <c r="C106" i="65"/>
  <c r="AM106" i="65" s="1"/>
  <c r="O106" i="65"/>
  <c r="AL52" i="11" a="1"/>
  <c r="AL52" i="11" s="1"/>
  <c r="E53" i="32" s="1"/>
  <c r="AK53" i="32" s="1"/>
  <c r="AL62" i="59" a="1"/>
  <c r="AL62" i="59" s="1"/>
  <c r="E63" i="50" s="1"/>
  <c r="AK63" i="50" s="1"/>
  <c r="AF120" i="53" l="1"/>
  <c r="AA120" i="53"/>
  <c r="AI59" i="50"/>
  <c r="AP59" i="50" s="1"/>
  <c r="X121" i="53"/>
  <c r="AF121" i="53" s="1"/>
  <c r="AF105" i="65"/>
  <c r="AE105" i="65"/>
  <c r="AE122" i="57"/>
  <c r="R122" i="57"/>
  <c r="AE122" i="53"/>
  <c r="R122" i="53"/>
  <c r="AG60" i="50"/>
  <c r="AH60" i="50" s="1"/>
  <c r="AL60" i="50"/>
  <c r="AA119" i="57"/>
  <c r="AF119" i="57"/>
  <c r="AG105" i="69"/>
  <c r="AG104" i="65"/>
  <c r="AX106" i="69"/>
  <c r="AB119" i="57"/>
  <c r="O123" i="57"/>
  <c r="AG123" i="57" s="1"/>
  <c r="L123" i="57"/>
  <c r="T63" i="50"/>
  <c r="O63" i="50"/>
  <c r="AD61" i="50"/>
  <c r="AM62" i="50"/>
  <c r="U62" i="50"/>
  <c r="X120" i="57"/>
  <c r="AF120" i="57" s="1"/>
  <c r="AJ122" i="57"/>
  <c r="AC122" i="57"/>
  <c r="AP122" i="57"/>
  <c r="AH105" i="65"/>
  <c r="AV105" i="65"/>
  <c r="AH122" i="53"/>
  <c r="AC122" i="53"/>
  <c r="AT122" i="53"/>
  <c r="AG122" i="53"/>
  <c r="N123" i="57"/>
  <c r="N123" i="53"/>
  <c r="AH106" i="69"/>
  <c r="AJ61" i="50"/>
  <c r="C61" i="50"/>
  <c r="AD122" i="57"/>
  <c r="Q122" i="53"/>
  <c r="AD122" i="53"/>
  <c r="S62" i="50"/>
  <c r="V61" i="50"/>
  <c r="C123" i="53"/>
  <c r="J123" i="53"/>
  <c r="P123" i="53"/>
  <c r="F123" i="53"/>
  <c r="I123" i="53"/>
  <c r="G123" i="53"/>
  <c r="H123" i="53"/>
  <c r="D123" i="53"/>
  <c r="AK122" i="52" a="1"/>
  <c r="AK122" i="52" s="1"/>
  <c r="B124" i="53" s="1"/>
  <c r="O124" i="53" s="1"/>
  <c r="E123" i="53"/>
  <c r="K123" i="53"/>
  <c r="L123" i="53"/>
  <c r="I63" i="50"/>
  <c r="M63" i="50"/>
  <c r="G63" i="50"/>
  <c r="F63" i="50"/>
  <c r="L63" i="50"/>
  <c r="K63" i="50"/>
  <c r="A63" i="50"/>
  <c r="Q63" i="50" s="1"/>
  <c r="P63" i="50" s="1"/>
  <c r="H63" i="50"/>
  <c r="N63" i="50"/>
  <c r="J63" i="50"/>
  <c r="B63" i="50"/>
  <c r="R63" i="50" s="1"/>
  <c r="Z61" i="50"/>
  <c r="W61" i="50"/>
  <c r="X61" i="50" s="1"/>
  <c r="Q122" i="57"/>
  <c r="K123" i="57"/>
  <c r="I123" i="57"/>
  <c r="H123" i="57"/>
  <c r="G123" i="57"/>
  <c r="E123" i="57"/>
  <c r="D123" i="57"/>
  <c r="C123" i="57"/>
  <c r="M123" i="57" s="1"/>
  <c r="P123" i="57"/>
  <c r="J123" i="57"/>
  <c r="F123" i="57"/>
  <c r="T121" i="57"/>
  <c r="AK122" i="55" a="1"/>
  <c r="AK122" i="55" s="1"/>
  <c r="B124" i="57" s="1"/>
  <c r="AN108" i="67" a="1"/>
  <c r="AN108" i="67" s="1"/>
  <c r="B109" i="69"/>
  <c r="L109" i="69" s="1"/>
  <c r="N107" i="69"/>
  <c r="AF107" i="69" s="1"/>
  <c r="D107" i="69"/>
  <c r="E107" i="69" s="1"/>
  <c r="F107" i="69" s="1"/>
  <c r="G107" i="69" s="1"/>
  <c r="H107" i="69" s="1"/>
  <c r="I107" i="69" s="1"/>
  <c r="J107" i="69" s="1"/>
  <c r="K107" i="69" s="1"/>
  <c r="M107" i="69" s="1"/>
  <c r="P107" i="69"/>
  <c r="AE106" i="69"/>
  <c r="R106" i="69"/>
  <c r="S106" i="69" s="1"/>
  <c r="Y106" i="69" s="1"/>
  <c r="AB106" i="69" s="1"/>
  <c r="AC106" i="69" s="1"/>
  <c r="AD106" i="69" s="1"/>
  <c r="U106" i="69"/>
  <c r="Q106" i="69"/>
  <c r="C108" i="69"/>
  <c r="AO108" i="69" s="1"/>
  <c r="O108" i="69"/>
  <c r="AN107" i="63" a="1"/>
  <c r="AN107" i="63" s="1"/>
  <c r="B108" i="65"/>
  <c r="L108" i="65" s="1"/>
  <c r="P106" i="65"/>
  <c r="D106" i="65"/>
  <c r="E106" i="65" s="1"/>
  <c r="F106" i="65" s="1"/>
  <c r="G106" i="65" s="1"/>
  <c r="H106" i="65" s="1"/>
  <c r="I106" i="65" s="1"/>
  <c r="J106" i="65" s="1"/>
  <c r="K106" i="65" s="1"/>
  <c r="M106" i="65" s="1"/>
  <c r="N106" i="65"/>
  <c r="R105" i="65"/>
  <c r="S105" i="65" s="1"/>
  <c r="Y105" i="65" s="1"/>
  <c r="AB105" i="65" s="1"/>
  <c r="AC105" i="65" s="1"/>
  <c r="AD105" i="65" s="1"/>
  <c r="Q105" i="65"/>
  <c r="U105" i="65"/>
  <c r="C107" i="65"/>
  <c r="AM107" i="65" s="1"/>
  <c r="O107" i="65"/>
  <c r="AL53" i="11" a="1"/>
  <c r="AL53" i="11" s="1"/>
  <c r="E54" i="32" s="1"/>
  <c r="AK54" i="32" s="1"/>
  <c r="AL63" i="59" a="1"/>
  <c r="AL63" i="59" s="1"/>
  <c r="E64" i="50" s="1"/>
  <c r="AK64" i="50" s="1"/>
  <c r="AA121" i="53" l="1"/>
  <c r="AB121" i="53"/>
  <c r="AI60" i="50"/>
  <c r="AP60" i="50" s="1"/>
  <c r="AF106" i="65"/>
  <c r="AE106" i="65"/>
  <c r="X122" i="53"/>
  <c r="AA122" i="53" s="1"/>
  <c r="AE123" i="57"/>
  <c r="R123" i="57"/>
  <c r="AE123" i="53"/>
  <c r="R123" i="53"/>
  <c r="AL61" i="50"/>
  <c r="AG106" i="69"/>
  <c r="AG105" i="65"/>
  <c r="AG61" i="50"/>
  <c r="AH61" i="50" s="1"/>
  <c r="AX107" i="69"/>
  <c r="O124" i="57"/>
  <c r="AG124" i="57" s="1"/>
  <c r="L124" i="57"/>
  <c r="T64" i="50"/>
  <c r="O64" i="50"/>
  <c r="AD62" i="50"/>
  <c r="X121" i="57"/>
  <c r="AM63" i="50"/>
  <c r="U63" i="50"/>
  <c r="AJ123" i="57"/>
  <c r="AC123" i="57"/>
  <c r="AP123" i="57"/>
  <c r="AB120" i="57"/>
  <c r="AA120" i="57"/>
  <c r="AH106" i="65"/>
  <c r="AV106" i="65"/>
  <c r="AG123" i="53"/>
  <c r="AH123" i="53"/>
  <c r="AC123" i="53"/>
  <c r="AT123" i="53"/>
  <c r="N124" i="57"/>
  <c r="K124" i="53"/>
  <c r="N124" i="53"/>
  <c r="AH107" i="69"/>
  <c r="AJ62" i="50"/>
  <c r="C62" i="50"/>
  <c r="AD123" i="57"/>
  <c r="Q123" i="53"/>
  <c r="AD123" i="53"/>
  <c r="S63" i="50"/>
  <c r="V62" i="50"/>
  <c r="P124" i="53"/>
  <c r="D124" i="53"/>
  <c r="J124" i="53"/>
  <c r="H124" i="53"/>
  <c r="I124" i="53"/>
  <c r="F124" i="53"/>
  <c r="E124" i="53"/>
  <c r="G124" i="53"/>
  <c r="AK123" i="52" a="1"/>
  <c r="AK123" i="52" s="1"/>
  <c r="B125" i="53" s="1"/>
  <c r="O125" i="53" s="1"/>
  <c r="L124" i="53"/>
  <c r="C124" i="53"/>
  <c r="F64" i="50"/>
  <c r="H64" i="50"/>
  <c r="J64" i="50"/>
  <c r="L64" i="50"/>
  <c r="B64" i="50"/>
  <c r="R64" i="50" s="1"/>
  <c r="I64" i="50"/>
  <c r="G64" i="50"/>
  <c r="K64" i="50"/>
  <c r="M64" i="50"/>
  <c r="N64" i="50"/>
  <c r="A64" i="50"/>
  <c r="Q64" i="50" s="1"/>
  <c r="P64" i="50" s="1"/>
  <c r="W62" i="50"/>
  <c r="X62" i="50" s="1"/>
  <c r="Z62" i="50"/>
  <c r="T122" i="57"/>
  <c r="P124" i="57"/>
  <c r="K124" i="57"/>
  <c r="I124" i="57"/>
  <c r="G124" i="57"/>
  <c r="E124" i="57"/>
  <c r="C124" i="57"/>
  <c r="M124" i="57" s="1"/>
  <c r="F124" i="57"/>
  <c r="J124" i="57"/>
  <c r="H124" i="57"/>
  <c r="D124" i="57"/>
  <c r="Q123" i="57"/>
  <c r="AK123" i="55" a="1"/>
  <c r="AK123" i="55" s="1"/>
  <c r="B125" i="57" s="1"/>
  <c r="C109" i="69"/>
  <c r="AO109" i="69" s="1"/>
  <c r="O109" i="69"/>
  <c r="N108" i="69"/>
  <c r="AF108" i="69" s="1"/>
  <c r="P108" i="69"/>
  <c r="D108" i="69"/>
  <c r="E108" i="69" s="1"/>
  <c r="F108" i="69" s="1"/>
  <c r="G108" i="69" s="1"/>
  <c r="H108" i="69" s="1"/>
  <c r="I108" i="69" s="1"/>
  <c r="J108" i="69" s="1"/>
  <c r="K108" i="69" s="1"/>
  <c r="M108" i="69" s="1"/>
  <c r="AE107" i="69"/>
  <c r="U107" i="69"/>
  <c r="Q107" i="69"/>
  <c r="R107" i="69"/>
  <c r="S107" i="69" s="1"/>
  <c r="Y107" i="69" s="1"/>
  <c r="AB107" i="69" s="1"/>
  <c r="AC107" i="69" s="1"/>
  <c r="AD107" i="69" s="1"/>
  <c r="AN109" i="67" a="1"/>
  <c r="AN109" i="67" s="1"/>
  <c r="B110" i="69"/>
  <c r="L110" i="69" s="1"/>
  <c r="AN108" i="63" a="1"/>
  <c r="AN108" i="63" s="1"/>
  <c r="B109" i="65"/>
  <c r="L109" i="65" s="1"/>
  <c r="C108" i="65"/>
  <c r="AM108" i="65" s="1"/>
  <c r="O108" i="65"/>
  <c r="U106" i="65"/>
  <c r="Q106" i="65"/>
  <c r="R106" i="65"/>
  <c r="S106" i="65" s="1"/>
  <c r="Y106" i="65" s="1"/>
  <c r="AB106" i="65" s="1"/>
  <c r="AC106" i="65" s="1"/>
  <c r="AD106" i="65" s="1"/>
  <c r="N107" i="65"/>
  <c r="P107" i="65"/>
  <c r="D107" i="65"/>
  <c r="E107" i="65" s="1"/>
  <c r="F107" i="65" s="1"/>
  <c r="G107" i="65" s="1"/>
  <c r="H107" i="65" s="1"/>
  <c r="I107" i="65" s="1"/>
  <c r="J107" i="65" s="1"/>
  <c r="K107" i="65" s="1"/>
  <c r="M107" i="65" s="1"/>
  <c r="AL54" i="11" a="1"/>
  <c r="AL54" i="11" s="1"/>
  <c r="AL64" i="59" a="1"/>
  <c r="AL64" i="59" s="1"/>
  <c r="E65" i="50" s="1"/>
  <c r="AK65" i="50" s="1"/>
  <c r="AF122" i="53" l="1"/>
  <c r="AB122" i="53"/>
  <c r="AF107" i="65"/>
  <c r="AE107" i="65"/>
  <c r="X123" i="53"/>
  <c r="AB123" i="53" s="1"/>
  <c r="AE124" i="57"/>
  <c r="R124" i="57"/>
  <c r="AE124" i="53"/>
  <c r="R124" i="53"/>
  <c r="AL62" i="50"/>
  <c r="AB121" i="57"/>
  <c r="AF121" i="57"/>
  <c r="AG107" i="69"/>
  <c r="AG106" i="65"/>
  <c r="AI61" i="50"/>
  <c r="AP61" i="50" s="1"/>
  <c r="AG62" i="50"/>
  <c r="AH62" i="50" s="1"/>
  <c r="AX108" i="69"/>
  <c r="O125" i="57"/>
  <c r="AG125" i="57" s="1"/>
  <c r="L125" i="57"/>
  <c r="AA121" i="57"/>
  <c r="T65" i="50"/>
  <c r="O65" i="50"/>
  <c r="AC124" i="57"/>
  <c r="AJ124" i="57"/>
  <c r="AP124" i="57"/>
  <c r="AD63" i="50"/>
  <c r="X122" i="57"/>
  <c r="AF122" i="57" s="1"/>
  <c r="AM64" i="50"/>
  <c r="U64" i="50"/>
  <c r="AH107" i="65"/>
  <c r="AV107" i="65"/>
  <c r="AC124" i="53"/>
  <c r="AH124" i="53"/>
  <c r="AT124" i="53"/>
  <c r="AG124" i="53"/>
  <c r="N125" i="57"/>
  <c r="J125" i="53"/>
  <c r="N125" i="53"/>
  <c r="AH108" i="69"/>
  <c r="AJ63" i="50"/>
  <c r="C63" i="50"/>
  <c r="AD124" i="57"/>
  <c r="AD124" i="53"/>
  <c r="S64" i="50"/>
  <c r="V63" i="50"/>
  <c r="Q124" i="53"/>
  <c r="E125" i="53"/>
  <c r="H125" i="53"/>
  <c r="G125" i="53"/>
  <c r="K125" i="53"/>
  <c r="D125" i="53"/>
  <c r="I125" i="53"/>
  <c r="C125" i="53"/>
  <c r="P125" i="53"/>
  <c r="AK124" i="52" a="1"/>
  <c r="AK124" i="52" s="1"/>
  <c r="B126" i="53" s="1"/>
  <c r="O126" i="53" s="1"/>
  <c r="L125" i="53"/>
  <c r="F125" i="53"/>
  <c r="M65" i="50"/>
  <c r="I65" i="50"/>
  <c r="B65" i="50"/>
  <c r="R65" i="50" s="1"/>
  <c r="J65" i="50"/>
  <c r="A65" i="50"/>
  <c r="Q65" i="50" s="1"/>
  <c r="P65" i="50" s="1"/>
  <c r="L65" i="50"/>
  <c r="F65" i="50"/>
  <c r="G65" i="50"/>
  <c r="N65" i="50"/>
  <c r="H65" i="50"/>
  <c r="K65" i="50"/>
  <c r="Q124" i="57"/>
  <c r="K125" i="57"/>
  <c r="I125" i="57"/>
  <c r="H125" i="57"/>
  <c r="G125" i="57"/>
  <c r="C125" i="57"/>
  <c r="M125" i="57" s="1"/>
  <c r="P125" i="57"/>
  <c r="E125" i="57"/>
  <c r="D125" i="57"/>
  <c r="F125" i="57"/>
  <c r="J125" i="57"/>
  <c r="Z63" i="50"/>
  <c r="W63" i="50"/>
  <c r="X63" i="50" s="1"/>
  <c r="T123" i="57"/>
  <c r="E55" i="32"/>
  <c r="AK55" i="32" s="1"/>
  <c r="AK124" i="55" a="1"/>
  <c r="AK124" i="55" s="1"/>
  <c r="B126" i="57" s="1"/>
  <c r="AN110" i="67" a="1"/>
  <c r="AN110" i="67" s="1"/>
  <c r="B111" i="69"/>
  <c r="L111" i="69" s="1"/>
  <c r="P109" i="69"/>
  <c r="N109" i="69"/>
  <c r="AF109" i="69" s="1"/>
  <c r="D109" i="69"/>
  <c r="E109" i="69" s="1"/>
  <c r="F109" i="69" s="1"/>
  <c r="G109" i="69" s="1"/>
  <c r="H109" i="69" s="1"/>
  <c r="I109" i="69" s="1"/>
  <c r="J109" i="69" s="1"/>
  <c r="K109" i="69" s="1"/>
  <c r="M109" i="69" s="1"/>
  <c r="C110" i="69"/>
  <c r="AO110" i="69" s="1"/>
  <c r="O110" i="69"/>
  <c r="Q108" i="69"/>
  <c r="U108" i="69"/>
  <c r="AE108" i="69"/>
  <c r="R108" i="69"/>
  <c r="S108" i="69" s="1"/>
  <c r="Y108" i="69" s="1"/>
  <c r="AB108" i="69" s="1"/>
  <c r="AC108" i="69" s="1"/>
  <c r="AD108" i="69" s="1"/>
  <c r="AN109" i="63" a="1"/>
  <c r="AN109" i="63" s="1"/>
  <c r="B110" i="65"/>
  <c r="L110" i="65" s="1"/>
  <c r="C109" i="65"/>
  <c r="AM109" i="65" s="1"/>
  <c r="O109" i="65"/>
  <c r="Q107" i="65"/>
  <c r="U107" i="65"/>
  <c r="R107" i="65"/>
  <c r="S107" i="65" s="1"/>
  <c r="Y107" i="65" s="1"/>
  <c r="AB107" i="65" s="1"/>
  <c r="AC107" i="65" s="1"/>
  <c r="AD107" i="65" s="1"/>
  <c r="P108" i="65"/>
  <c r="D108" i="65"/>
  <c r="E108" i="65" s="1"/>
  <c r="F108" i="65" s="1"/>
  <c r="G108" i="65" s="1"/>
  <c r="H108" i="65" s="1"/>
  <c r="I108" i="65" s="1"/>
  <c r="J108" i="65" s="1"/>
  <c r="K108" i="65" s="1"/>
  <c r="M108" i="65" s="1"/>
  <c r="N108" i="65"/>
  <c r="AL55" i="11" a="1"/>
  <c r="AL55" i="11" s="1"/>
  <c r="E56" i="32" s="1"/>
  <c r="AK56" i="32" s="1"/>
  <c r="AL65" i="59" a="1"/>
  <c r="AL65" i="59" s="1"/>
  <c r="E66" i="50" s="1"/>
  <c r="AK66" i="50" s="1"/>
  <c r="AF108" i="65" l="1"/>
  <c r="AE108" i="65"/>
  <c r="AA123" i="53"/>
  <c r="AF123" i="53"/>
  <c r="AE125" i="57"/>
  <c r="R125" i="57"/>
  <c r="AE125" i="53"/>
  <c r="R125" i="53"/>
  <c r="AG63" i="50"/>
  <c r="AH63" i="50" s="1"/>
  <c r="AL63" i="50"/>
  <c r="AG108" i="69"/>
  <c r="AG107" i="65"/>
  <c r="AI62" i="50"/>
  <c r="AP62" i="50" s="1"/>
  <c r="AX109" i="69"/>
  <c r="O126" i="57"/>
  <c r="AG126" i="57" s="1"/>
  <c r="L126" i="57"/>
  <c r="O66" i="50"/>
  <c r="T66" i="50"/>
  <c r="X123" i="57"/>
  <c r="AC125" i="57"/>
  <c r="AJ125" i="57"/>
  <c r="AP125" i="57"/>
  <c r="AD64" i="50"/>
  <c r="AM65" i="50"/>
  <c r="U65" i="50"/>
  <c r="AA122" i="57"/>
  <c r="AB122" i="57"/>
  <c r="AH108" i="65"/>
  <c r="AV108" i="65"/>
  <c r="AH125" i="53"/>
  <c r="AC125" i="53"/>
  <c r="AT125" i="53"/>
  <c r="AG125" i="53"/>
  <c r="N126" i="57"/>
  <c r="X124" i="53"/>
  <c r="AF124" i="53" s="1"/>
  <c r="J126" i="53"/>
  <c r="N126" i="53"/>
  <c r="AH109" i="69"/>
  <c r="AJ64" i="50"/>
  <c r="C64" i="50"/>
  <c r="AD125" i="57"/>
  <c r="Q125" i="53"/>
  <c r="AD125" i="53"/>
  <c r="S65" i="50"/>
  <c r="V64" i="50"/>
  <c r="I126" i="53"/>
  <c r="D126" i="53"/>
  <c r="F126" i="53"/>
  <c r="E126" i="53"/>
  <c r="L126" i="53"/>
  <c r="C126" i="53"/>
  <c r="K126" i="53"/>
  <c r="H126" i="53"/>
  <c r="G126" i="53"/>
  <c r="AK125" i="52" a="1"/>
  <c r="AK125" i="52" s="1"/>
  <c r="B127" i="53" s="1"/>
  <c r="O127" i="53" s="1"/>
  <c r="P126" i="53"/>
  <c r="I66" i="50"/>
  <c r="A66" i="50"/>
  <c r="Q66" i="50" s="1"/>
  <c r="P66" i="50" s="1"/>
  <c r="L66" i="50"/>
  <c r="K66" i="50"/>
  <c r="G66" i="50"/>
  <c r="N66" i="50"/>
  <c r="B66" i="50"/>
  <c r="R66" i="50" s="1"/>
  <c r="H66" i="50"/>
  <c r="J66" i="50"/>
  <c r="F66" i="50"/>
  <c r="M66" i="50"/>
  <c r="T124" i="57"/>
  <c r="Z64" i="50"/>
  <c r="W64" i="50"/>
  <c r="X64" i="50" s="1"/>
  <c r="P126" i="57"/>
  <c r="K126" i="57"/>
  <c r="I126" i="57"/>
  <c r="C126" i="57"/>
  <c r="M126" i="57" s="1"/>
  <c r="G126" i="57"/>
  <c r="E126" i="57"/>
  <c r="F126" i="57"/>
  <c r="J126" i="57"/>
  <c r="D126" i="57"/>
  <c r="H126" i="57"/>
  <c r="Q125" i="57"/>
  <c r="AK125" i="55" a="1"/>
  <c r="AK125" i="55" s="1"/>
  <c r="B127" i="57" s="1"/>
  <c r="C111" i="69"/>
  <c r="AO111" i="69" s="1"/>
  <c r="O111" i="69"/>
  <c r="AE109" i="69"/>
  <c r="U109" i="69"/>
  <c r="R109" i="69"/>
  <c r="S109" i="69" s="1"/>
  <c r="Y109" i="69" s="1"/>
  <c r="AB109" i="69" s="1"/>
  <c r="AC109" i="69" s="1"/>
  <c r="AD109" i="69" s="1"/>
  <c r="Q109" i="69"/>
  <c r="P110" i="69"/>
  <c r="N110" i="69"/>
  <c r="AF110" i="69" s="1"/>
  <c r="D110" i="69"/>
  <c r="E110" i="69" s="1"/>
  <c r="F110" i="69" s="1"/>
  <c r="G110" i="69" s="1"/>
  <c r="H110" i="69" s="1"/>
  <c r="I110" i="69" s="1"/>
  <c r="J110" i="69" s="1"/>
  <c r="K110" i="69" s="1"/>
  <c r="M110" i="69" s="1"/>
  <c r="AN111" i="67" a="1"/>
  <c r="AN111" i="67" s="1"/>
  <c r="B112" i="69"/>
  <c r="L112" i="69" s="1"/>
  <c r="AN110" i="63" a="1"/>
  <c r="AN110" i="63" s="1"/>
  <c r="B111" i="65"/>
  <c r="L111" i="65" s="1"/>
  <c r="R108" i="65"/>
  <c r="S108" i="65" s="1"/>
  <c r="Y108" i="65" s="1"/>
  <c r="AB108" i="65" s="1"/>
  <c r="AC108" i="65" s="1"/>
  <c r="AD108" i="65" s="1"/>
  <c r="Q108" i="65"/>
  <c r="U108" i="65"/>
  <c r="O110" i="65"/>
  <c r="C110" i="65"/>
  <c r="AM110" i="65" s="1"/>
  <c r="N109" i="65"/>
  <c r="P109" i="65"/>
  <c r="D109" i="65"/>
  <c r="E109" i="65" s="1"/>
  <c r="F109" i="65" s="1"/>
  <c r="G109" i="65" s="1"/>
  <c r="H109" i="65" s="1"/>
  <c r="I109" i="65" s="1"/>
  <c r="J109" i="65" s="1"/>
  <c r="K109" i="65" s="1"/>
  <c r="M109" i="65" s="1"/>
  <c r="AL56" i="11" a="1"/>
  <c r="AL56" i="11" s="1"/>
  <c r="AL66" i="59" a="1"/>
  <c r="AL66" i="59" s="1"/>
  <c r="E67" i="50" s="1"/>
  <c r="AK67" i="50" s="1"/>
  <c r="X125" i="53" l="1"/>
  <c r="AF125" i="53" s="1"/>
  <c r="AI63" i="50"/>
  <c r="AP63" i="50" s="1"/>
  <c r="AF109" i="65"/>
  <c r="AE109" i="65"/>
  <c r="AE126" i="57"/>
  <c r="R126" i="57"/>
  <c r="AE126" i="53"/>
  <c r="R126" i="53"/>
  <c r="AG64" i="50"/>
  <c r="AH64" i="50" s="1"/>
  <c r="AL64" i="50"/>
  <c r="AB123" i="57"/>
  <c r="AF123" i="57"/>
  <c r="AG109" i="69"/>
  <c r="AG108" i="65"/>
  <c r="X124" i="57"/>
  <c r="AX110" i="69"/>
  <c r="O127" i="57"/>
  <c r="AG127" i="57" s="1"/>
  <c r="L127" i="57"/>
  <c r="O67" i="50"/>
  <c r="T67" i="50"/>
  <c r="AA123" i="57"/>
  <c r="AM66" i="50"/>
  <c r="U66" i="50"/>
  <c r="AD65" i="50"/>
  <c r="AJ126" i="57"/>
  <c r="AC126" i="57"/>
  <c r="AP126" i="57"/>
  <c r="AH109" i="65"/>
  <c r="AV109" i="65"/>
  <c r="AB124" i="53"/>
  <c r="AA124" i="53"/>
  <c r="AG126" i="53"/>
  <c r="AH126" i="53"/>
  <c r="AC126" i="53"/>
  <c r="AT126" i="53"/>
  <c r="N127" i="57"/>
  <c r="L127" i="53"/>
  <c r="N127" i="53"/>
  <c r="AH110" i="69"/>
  <c r="AJ65" i="50"/>
  <c r="C65" i="50"/>
  <c r="AD126" i="57"/>
  <c r="AD126" i="53"/>
  <c r="V65" i="50"/>
  <c r="S66" i="50"/>
  <c r="J127" i="53"/>
  <c r="G127" i="53"/>
  <c r="P127" i="53"/>
  <c r="Q126" i="53"/>
  <c r="H127" i="53"/>
  <c r="K127" i="53"/>
  <c r="D127" i="53"/>
  <c r="AK126" i="52" a="1"/>
  <c r="AK126" i="52" s="1"/>
  <c r="B128" i="53" s="1"/>
  <c r="O128" i="53" s="1"/>
  <c r="E127" i="53"/>
  <c r="F127" i="53"/>
  <c r="I127" i="53"/>
  <c r="C127" i="53"/>
  <c r="F67" i="50"/>
  <c r="K67" i="50"/>
  <c r="M67" i="50"/>
  <c r="A67" i="50"/>
  <c r="Q67" i="50" s="1"/>
  <c r="P67" i="50" s="1"/>
  <c r="I67" i="50"/>
  <c r="G67" i="50"/>
  <c r="L67" i="50"/>
  <c r="B67" i="50"/>
  <c r="R67" i="50" s="1"/>
  <c r="H67" i="50"/>
  <c r="N67" i="50"/>
  <c r="J67" i="50"/>
  <c r="C127" i="57"/>
  <c r="M127" i="57" s="1"/>
  <c r="K127" i="57"/>
  <c r="I127" i="57"/>
  <c r="H127" i="57"/>
  <c r="P127" i="57"/>
  <c r="D127" i="57"/>
  <c r="G127" i="57"/>
  <c r="E127" i="57"/>
  <c r="J127" i="57"/>
  <c r="F127" i="57"/>
  <c r="T125" i="57"/>
  <c r="Z65" i="50"/>
  <c r="W65" i="50"/>
  <c r="X65" i="50" s="1"/>
  <c r="Q126" i="57"/>
  <c r="E57" i="32"/>
  <c r="AK57" i="32" s="1"/>
  <c r="AK126" i="55" a="1"/>
  <c r="AK126" i="55" s="1"/>
  <c r="B128" i="57" s="1"/>
  <c r="AN112" i="67" a="1"/>
  <c r="AN112" i="67" s="1"/>
  <c r="B113" i="69"/>
  <c r="L113" i="69" s="1"/>
  <c r="D111" i="69"/>
  <c r="E111" i="69" s="1"/>
  <c r="F111" i="69" s="1"/>
  <c r="G111" i="69" s="1"/>
  <c r="H111" i="69" s="1"/>
  <c r="I111" i="69" s="1"/>
  <c r="J111" i="69" s="1"/>
  <c r="K111" i="69" s="1"/>
  <c r="M111" i="69" s="1"/>
  <c r="P111" i="69"/>
  <c r="N111" i="69"/>
  <c r="AF111" i="69" s="1"/>
  <c r="C112" i="69"/>
  <c r="AO112" i="69" s="1"/>
  <c r="O112" i="69"/>
  <c r="Q110" i="69"/>
  <c r="R110" i="69"/>
  <c r="S110" i="69" s="1"/>
  <c r="Y110" i="69" s="1"/>
  <c r="AB110" i="69" s="1"/>
  <c r="AC110" i="69" s="1"/>
  <c r="AD110" i="69" s="1"/>
  <c r="U110" i="69"/>
  <c r="AE110" i="69"/>
  <c r="AN111" i="63" a="1"/>
  <c r="AN111" i="63" s="1"/>
  <c r="B112" i="65"/>
  <c r="L112" i="65" s="1"/>
  <c r="U109" i="65"/>
  <c r="Q109" i="65"/>
  <c r="R109" i="65"/>
  <c r="S109" i="65" s="1"/>
  <c r="Y109" i="65" s="1"/>
  <c r="AB109" i="65" s="1"/>
  <c r="AC109" i="65" s="1"/>
  <c r="AD109" i="65" s="1"/>
  <c r="P110" i="65"/>
  <c r="D110" i="65"/>
  <c r="E110" i="65" s="1"/>
  <c r="F110" i="65" s="1"/>
  <c r="G110" i="65" s="1"/>
  <c r="H110" i="65" s="1"/>
  <c r="I110" i="65" s="1"/>
  <c r="J110" i="65" s="1"/>
  <c r="K110" i="65" s="1"/>
  <c r="M110" i="65" s="1"/>
  <c r="N110" i="65"/>
  <c r="C111" i="65"/>
  <c r="AM111" i="65" s="1"/>
  <c r="O111" i="65"/>
  <c r="AL57" i="11" a="1"/>
  <c r="AL57" i="11" s="1"/>
  <c r="E58" i="32" s="1"/>
  <c r="AK58" i="32" s="1"/>
  <c r="AL67" i="59" a="1"/>
  <c r="AL67" i="59" s="1"/>
  <c r="E68" i="50" s="1"/>
  <c r="AK68" i="50" s="1"/>
  <c r="AA125" i="53" l="1"/>
  <c r="AB125" i="53"/>
  <c r="AI64" i="50"/>
  <c r="AP64" i="50" s="1"/>
  <c r="AF110" i="65"/>
  <c r="AE110" i="65"/>
  <c r="AE127" i="57"/>
  <c r="R127" i="57"/>
  <c r="AE127" i="53"/>
  <c r="R127" i="53"/>
  <c r="AG65" i="50"/>
  <c r="AH65" i="50" s="1"/>
  <c r="AL65" i="50"/>
  <c r="AA124" i="57"/>
  <c r="AF124" i="57"/>
  <c r="AG110" i="69"/>
  <c r="AG109" i="65"/>
  <c r="AB124" i="57"/>
  <c r="AX111" i="69"/>
  <c r="X125" i="57"/>
  <c r="O128" i="57"/>
  <c r="AG128" i="57" s="1"/>
  <c r="L128" i="57"/>
  <c r="O68" i="50"/>
  <c r="T68" i="50"/>
  <c r="AM67" i="50"/>
  <c r="U67" i="50"/>
  <c r="AJ127" i="57"/>
  <c r="AC127" i="57"/>
  <c r="AP127" i="57"/>
  <c r="AD66" i="50"/>
  <c r="AH110" i="65"/>
  <c r="AV110" i="65"/>
  <c r="AH127" i="53"/>
  <c r="AC127" i="53"/>
  <c r="AT127" i="53"/>
  <c r="AG127" i="53"/>
  <c r="N128" i="57"/>
  <c r="N128" i="53"/>
  <c r="AH111" i="69"/>
  <c r="AJ66" i="50"/>
  <c r="C66" i="50"/>
  <c r="AD127" i="57"/>
  <c r="Q127" i="53"/>
  <c r="X127" i="53" s="1"/>
  <c r="AD127" i="53"/>
  <c r="X126" i="53"/>
  <c r="AF126" i="53" s="1"/>
  <c r="S67" i="50"/>
  <c r="V66" i="50"/>
  <c r="C128" i="53"/>
  <c r="I128" i="53"/>
  <c r="F128" i="53"/>
  <c r="G128" i="53"/>
  <c r="E128" i="53"/>
  <c r="J128" i="53"/>
  <c r="K128" i="53"/>
  <c r="L128" i="53"/>
  <c r="P128" i="53"/>
  <c r="AK127" i="52" a="1"/>
  <c r="AK127" i="52" s="1"/>
  <c r="B129" i="53" s="1"/>
  <c r="O129" i="53" s="1"/>
  <c r="H128" i="53"/>
  <c r="D128" i="53"/>
  <c r="I68" i="50"/>
  <c r="N68" i="50"/>
  <c r="H68" i="50"/>
  <c r="M68" i="50"/>
  <c r="L68" i="50"/>
  <c r="F68" i="50"/>
  <c r="B68" i="50"/>
  <c r="R68" i="50" s="1"/>
  <c r="K68" i="50"/>
  <c r="A68" i="50"/>
  <c r="Q68" i="50" s="1"/>
  <c r="P68" i="50" s="1"/>
  <c r="J68" i="50"/>
  <c r="G68" i="50"/>
  <c r="P128" i="57"/>
  <c r="C128" i="57"/>
  <c r="M128" i="57" s="1"/>
  <c r="K128" i="57"/>
  <c r="E128" i="57"/>
  <c r="I128" i="57"/>
  <c r="G128" i="57"/>
  <c r="F128" i="57"/>
  <c r="J128" i="57"/>
  <c r="D128" i="57"/>
  <c r="H128" i="57"/>
  <c r="W66" i="50"/>
  <c r="X66" i="50" s="1"/>
  <c r="Z66" i="50"/>
  <c r="Q127" i="57"/>
  <c r="T126" i="57"/>
  <c r="AK127" i="55" a="1"/>
  <c r="AK127" i="55" s="1"/>
  <c r="B129" i="57" s="1"/>
  <c r="AE111" i="69"/>
  <c r="Q111" i="69"/>
  <c r="R111" i="69"/>
  <c r="S111" i="69" s="1"/>
  <c r="Y111" i="69" s="1"/>
  <c r="AB111" i="69" s="1"/>
  <c r="AC111" i="69" s="1"/>
  <c r="AD111" i="69" s="1"/>
  <c r="U111" i="69"/>
  <c r="D112" i="69"/>
  <c r="E112" i="69" s="1"/>
  <c r="F112" i="69" s="1"/>
  <c r="G112" i="69" s="1"/>
  <c r="H112" i="69" s="1"/>
  <c r="I112" i="69" s="1"/>
  <c r="J112" i="69" s="1"/>
  <c r="K112" i="69" s="1"/>
  <c r="M112" i="69" s="1"/>
  <c r="N112" i="69"/>
  <c r="AF112" i="69" s="1"/>
  <c r="P112" i="69"/>
  <c r="C113" i="69"/>
  <c r="AO113" i="69" s="1"/>
  <c r="O113" i="69"/>
  <c r="AN113" i="67" a="1"/>
  <c r="AN113" i="67" s="1"/>
  <c r="B114" i="69"/>
  <c r="L114" i="69" s="1"/>
  <c r="AN112" i="63" a="1"/>
  <c r="AN112" i="63" s="1"/>
  <c r="B113" i="65"/>
  <c r="L113" i="65" s="1"/>
  <c r="C112" i="65"/>
  <c r="AM112" i="65" s="1"/>
  <c r="O112" i="65"/>
  <c r="N111" i="65"/>
  <c r="P111" i="65"/>
  <c r="D111" i="65"/>
  <c r="E111" i="65" s="1"/>
  <c r="F111" i="65" s="1"/>
  <c r="G111" i="65" s="1"/>
  <c r="H111" i="65" s="1"/>
  <c r="I111" i="65" s="1"/>
  <c r="J111" i="65" s="1"/>
  <c r="K111" i="65" s="1"/>
  <c r="M111" i="65" s="1"/>
  <c r="Q110" i="65"/>
  <c r="U110" i="65"/>
  <c r="R110" i="65"/>
  <c r="S110" i="65" s="1"/>
  <c r="Y110" i="65" s="1"/>
  <c r="AB110" i="65" s="1"/>
  <c r="AC110" i="65" s="1"/>
  <c r="AD110" i="65" s="1"/>
  <c r="AL58" i="11" a="1"/>
  <c r="AL58" i="11" s="1"/>
  <c r="AL68" i="59" a="1"/>
  <c r="AL68" i="59" s="1"/>
  <c r="E69" i="50" s="1"/>
  <c r="AK69" i="50" s="1"/>
  <c r="AI65" i="50" l="1"/>
  <c r="AP65" i="50" s="1"/>
  <c r="AF111" i="65"/>
  <c r="AE111" i="65"/>
  <c r="AE128" i="57"/>
  <c r="R128" i="57"/>
  <c r="AE128" i="53"/>
  <c r="R128" i="53"/>
  <c r="AF127" i="53"/>
  <c r="AG66" i="50"/>
  <c r="AH66" i="50" s="1"/>
  <c r="AL66" i="50"/>
  <c r="AB125" i="57"/>
  <c r="AF125" i="57"/>
  <c r="AG111" i="69"/>
  <c r="AG110" i="65"/>
  <c r="AX112" i="69"/>
  <c r="X126" i="57"/>
  <c r="AA125" i="57"/>
  <c r="O129" i="57"/>
  <c r="AG129" i="57" s="1"/>
  <c r="L129" i="57"/>
  <c r="T69" i="50"/>
  <c r="O69" i="50"/>
  <c r="AM68" i="50"/>
  <c r="U68" i="50"/>
  <c r="AJ128" i="57"/>
  <c r="AC128" i="57"/>
  <c r="AP128" i="57"/>
  <c r="AD67" i="50"/>
  <c r="AH111" i="65"/>
  <c r="AV111" i="65"/>
  <c r="AB127" i="53"/>
  <c r="AA127" i="53"/>
  <c r="AG128" i="53"/>
  <c r="AH128" i="53"/>
  <c r="AC128" i="53"/>
  <c r="AT128" i="53"/>
  <c r="AB126" i="53"/>
  <c r="AA126" i="53"/>
  <c r="N129" i="57"/>
  <c r="F129" i="53"/>
  <c r="N129" i="53"/>
  <c r="AH112" i="69"/>
  <c r="AJ67" i="50"/>
  <c r="C67" i="50"/>
  <c r="AD128" i="57"/>
  <c r="AD128" i="53"/>
  <c r="V67" i="50"/>
  <c r="S68" i="50"/>
  <c r="Q128" i="53"/>
  <c r="I129" i="53"/>
  <c r="L129" i="53"/>
  <c r="H129" i="53"/>
  <c r="E129" i="53"/>
  <c r="G129" i="53"/>
  <c r="C129" i="53"/>
  <c r="P129" i="53"/>
  <c r="AK128" i="52" a="1"/>
  <c r="AK128" i="52" s="1"/>
  <c r="B130" i="53" s="1"/>
  <c r="O130" i="53" s="1"/>
  <c r="J129" i="53"/>
  <c r="D129" i="53"/>
  <c r="K129" i="53"/>
  <c r="B69" i="50"/>
  <c r="R69" i="50" s="1"/>
  <c r="I69" i="50"/>
  <c r="G69" i="50"/>
  <c r="A69" i="50"/>
  <c r="Q69" i="50" s="1"/>
  <c r="P69" i="50" s="1"/>
  <c r="M69" i="50"/>
  <c r="K69" i="50"/>
  <c r="H69" i="50"/>
  <c r="J69" i="50"/>
  <c r="F69" i="50"/>
  <c r="L69" i="50"/>
  <c r="N69" i="50"/>
  <c r="T127" i="57"/>
  <c r="Z67" i="50"/>
  <c r="W67" i="50"/>
  <c r="X67" i="50" s="1"/>
  <c r="P129" i="57"/>
  <c r="D129" i="57"/>
  <c r="C129" i="57"/>
  <c r="M129" i="57" s="1"/>
  <c r="K129" i="57"/>
  <c r="I129" i="57"/>
  <c r="E129" i="57"/>
  <c r="H129" i="57"/>
  <c r="G129" i="57"/>
  <c r="F129" i="57"/>
  <c r="J129" i="57"/>
  <c r="Q128" i="57"/>
  <c r="E59" i="32"/>
  <c r="AK59" i="32" s="1"/>
  <c r="AK128" i="55" a="1"/>
  <c r="AK128" i="55" s="1"/>
  <c r="B130" i="57" s="1"/>
  <c r="AN114" i="67" a="1"/>
  <c r="AN114" i="67" s="1"/>
  <c r="B115" i="69"/>
  <c r="L115" i="69" s="1"/>
  <c r="C114" i="69"/>
  <c r="AO114" i="69" s="1"/>
  <c r="O114" i="69"/>
  <c r="D113" i="69"/>
  <c r="E113" i="69" s="1"/>
  <c r="F113" i="69" s="1"/>
  <c r="G113" i="69" s="1"/>
  <c r="H113" i="69" s="1"/>
  <c r="I113" i="69" s="1"/>
  <c r="J113" i="69" s="1"/>
  <c r="K113" i="69" s="1"/>
  <c r="M113" i="69" s="1"/>
  <c r="N113" i="69"/>
  <c r="AF113" i="69" s="1"/>
  <c r="P113" i="69"/>
  <c r="AE112" i="69"/>
  <c r="Q112" i="69"/>
  <c r="R112" i="69"/>
  <c r="S112" i="69" s="1"/>
  <c r="Y112" i="69" s="1"/>
  <c r="AB112" i="69" s="1"/>
  <c r="AC112" i="69" s="1"/>
  <c r="AD112" i="69" s="1"/>
  <c r="U112" i="69"/>
  <c r="AN113" i="63" a="1"/>
  <c r="AN113" i="63" s="1"/>
  <c r="B114" i="65"/>
  <c r="L114" i="65" s="1"/>
  <c r="C113" i="65"/>
  <c r="AM113" i="65" s="1"/>
  <c r="O113" i="65"/>
  <c r="U111" i="65"/>
  <c r="Q111" i="65"/>
  <c r="R111" i="65"/>
  <c r="S111" i="65" s="1"/>
  <c r="Y111" i="65" s="1"/>
  <c r="AB111" i="65" s="1"/>
  <c r="AC111" i="65" s="1"/>
  <c r="AD111" i="65" s="1"/>
  <c r="P112" i="65"/>
  <c r="N112" i="65"/>
  <c r="D112" i="65"/>
  <c r="E112" i="65" s="1"/>
  <c r="F112" i="65" s="1"/>
  <c r="G112" i="65" s="1"/>
  <c r="H112" i="65" s="1"/>
  <c r="I112" i="65" s="1"/>
  <c r="J112" i="65" s="1"/>
  <c r="K112" i="65" s="1"/>
  <c r="M112" i="65" s="1"/>
  <c r="AL59" i="11" a="1"/>
  <c r="AL59" i="11" s="1"/>
  <c r="AL69" i="59" a="1"/>
  <c r="AL69" i="59" s="1"/>
  <c r="E70" i="50" s="1"/>
  <c r="AK70" i="50" s="1"/>
  <c r="X128" i="53" l="1"/>
  <c r="AF128" i="53" s="1"/>
  <c r="AI66" i="50"/>
  <c r="AP66" i="50" s="1"/>
  <c r="AF112" i="65"/>
  <c r="AE112" i="65"/>
  <c r="AE129" i="57"/>
  <c r="R129" i="57"/>
  <c r="AE129" i="53"/>
  <c r="R129" i="53"/>
  <c r="AG67" i="50"/>
  <c r="AH67" i="50" s="1"/>
  <c r="AL67" i="50"/>
  <c r="AB126" i="57"/>
  <c r="AF126" i="57"/>
  <c r="AG112" i="69"/>
  <c r="AG111" i="65"/>
  <c r="AX113" i="69"/>
  <c r="AA126" i="57"/>
  <c r="O130" i="57"/>
  <c r="AG130" i="57" s="1"/>
  <c r="L130" i="57"/>
  <c r="T70" i="50"/>
  <c r="O70" i="50"/>
  <c r="X127" i="57"/>
  <c r="AJ129" i="57"/>
  <c r="AC129" i="57"/>
  <c r="AP129" i="57"/>
  <c r="AM69" i="50"/>
  <c r="U69" i="50"/>
  <c r="AD68" i="50"/>
  <c r="AH112" i="65"/>
  <c r="AV112" i="65"/>
  <c r="AG129" i="53"/>
  <c r="AH129" i="53"/>
  <c r="AC129" i="53"/>
  <c r="AT129" i="53"/>
  <c r="N130" i="57"/>
  <c r="G130" i="53"/>
  <c r="N130" i="53"/>
  <c r="AH113" i="69"/>
  <c r="AJ68" i="50"/>
  <c r="C68" i="50"/>
  <c r="AD129" i="57"/>
  <c r="Q129" i="53"/>
  <c r="X129" i="53" s="1"/>
  <c r="AD129" i="53"/>
  <c r="S69" i="50"/>
  <c r="V68" i="50"/>
  <c r="I130" i="53"/>
  <c r="E130" i="53"/>
  <c r="L130" i="53"/>
  <c r="K130" i="53"/>
  <c r="C130" i="53"/>
  <c r="D130" i="53"/>
  <c r="H130" i="53"/>
  <c r="P130" i="53"/>
  <c r="J130" i="53"/>
  <c r="AK129" i="52" a="1"/>
  <c r="AK129" i="52" s="1"/>
  <c r="B131" i="53" s="1"/>
  <c r="O131" i="53" s="1"/>
  <c r="F130" i="53"/>
  <c r="I70" i="50"/>
  <c r="G70" i="50"/>
  <c r="N70" i="50"/>
  <c r="A70" i="50"/>
  <c r="Q70" i="50" s="1"/>
  <c r="P70" i="50" s="1"/>
  <c r="L70" i="50"/>
  <c r="K70" i="50"/>
  <c r="F70" i="50"/>
  <c r="J70" i="50"/>
  <c r="M70" i="50"/>
  <c r="B70" i="50"/>
  <c r="R70" i="50" s="1"/>
  <c r="H70" i="50"/>
  <c r="P130" i="57"/>
  <c r="E130" i="57"/>
  <c r="C130" i="57"/>
  <c r="M130" i="57" s="1"/>
  <c r="G130" i="57"/>
  <c r="K130" i="57"/>
  <c r="I130" i="57"/>
  <c r="F130" i="57"/>
  <c r="J130" i="57"/>
  <c r="D130" i="57"/>
  <c r="H130" i="57"/>
  <c r="Q129" i="57"/>
  <c r="W68" i="50"/>
  <c r="X68" i="50" s="1"/>
  <c r="Z68" i="50"/>
  <c r="T128" i="57"/>
  <c r="E60" i="32"/>
  <c r="AK60" i="32" s="1"/>
  <c r="AK129" i="55" a="1"/>
  <c r="AK129" i="55" s="1"/>
  <c r="B131" i="57" s="1"/>
  <c r="D114" i="69"/>
  <c r="E114" i="69" s="1"/>
  <c r="F114" i="69" s="1"/>
  <c r="G114" i="69" s="1"/>
  <c r="H114" i="69" s="1"/>
  <c r="I114" i="69" s="1"/>
  <c r="J114" i="69" s="1"/>
  <c r="K114" i="69" s="1"/>
  <c r="M114" i="69" s="1"/>
  <c r="P114" i="69"/>
  <c r="N114" i="69"/>
  <c r="AF114" i="69" s="1"/>
  <c r="C115" i="69"/>
  <c r="AO115" i="69" s="1"/>
  <c r="O115" i="69"/>
  <c r="R113" i="69"/>
  <c r="S113" i="69" s="1"/>
  <c r="Y113" i="69" s="1"/>
  <c r="AB113" i="69" s="1"/>
  <c r="AC113" i="69" s="1"/>
  <c r="AD113" i="69" s="1"/>
  <c r="AE113" i="69"/>
  <c r="U113" i="69"/>
  <c r="Q113" i="69"/>
  <c r="AN115" i="67" a="1"/>
  <c r="AN115" i="67" s="1"/>
  <c r="B116" i="69"/>
  <c r="L116" i="69" s="1"/>
  <c r="AN114" i="63" a="1"/>
  <c r="AN114" i="63" s="1"/>
  <c r="B115" i="65"/>
  <c r="L115" i="65" s="1"/>
  <c r="C114" i="65"/>
  <c r="AM114" i="65" s="1"/>
  <c r="O114" i="65"/>
  <c r="R112" i="65"/>
  <c r="S112" i="65" s="1"/>
  <c r="Y112" i="65" s="1"/>
  <c r="AB112" i="65" s="1"/>
  <c r="AC112" i="65" s="1"/>
  <c r="AD112" i="65" s="1"/>
  <c r="U112" i="65"/>
  <c r="Q112" i="65"/>
  <c r="D113" i="65"/>
  <c r="E113" i="65" s="1"/>
  <c r="F113" i="65" s="1"/>
  <c r="G113" i="65" s="1"/>
  <c r="H113" i="65" s="1"/>
  <c r="I113" i="65" s="1"/>
  <c r="J113" i="65" s="1"/>
  <c r="K113" i="65" s="1"/>
  <c r="M113" i="65" s="1"/>
  <c r="P113" i="65"/>
  <c r="N113" i="65"/>
  <c r="AL60" i="11" a="1"/>
  <c r="AL60" i="11" s="1"/>
  <c r="E61" i="32" s="1"/>
  <c r="AK61" i="32" s="1"/>
  <c r="AL70" i="59" a="1"/>
  <c r="AL70" i="59" s="1"/>
  <c r="E71" i="50" s="1"/>
  <c r="AK71" i="50" s="1"/>
  <c r="AA128" i="53" l="1"/>
  <c r="AB128" i="53"/>
  <c r="AI67" i="50"/>
  <c r="AP67" i="50" s="1"/>
  <c r="AF113" i="65"/>
  <c r="AE113" i="65"/>
  <c r="AE130" i="57"/>
  <c r="R130" i="57"/>
  <c r="AE130" i="53"/>
  <c r="R130" i="53"/>
  <c r="AF129" i="53"/>
  <c r="AG68" i="50"/>
  <c r="AH68" i="50" s="1"/>
  <c r="AL68" i="50"/>
  <c r="AB127" i="57"/>
  <c r="AF127" i="57"/>
  <c r="AG113" i="69"/>
  <c r="AG112" i="65"/>
  <c r="AX114" i="69"/>
  <c r="O131" i="57"/>
  <c r="AG131" i="57" s="1"/>
  <c r="L131" i="57"/>
  <c r="T71" i="50"/>
  <c r="O71" i="50"/>
  <c r="AA127" i="57"/>
  <c r="AM70" i="50"/>
  <c r="U70" i="50"/>
  <c r="X128" i="57"/>
  <c r="AF128" i="57" s="1"/>
  <c r="AD69" i="50"/>
  <c r="AJ130" i="57"/>
  <c r="AC130" i="57"/>
  <c r="AP130" i="57"/>
  <c r="AH113" i="65"/>
  <c r="AV113" i="65"/>
  <c r="AB129" i="53"/>
  <c r="AA129" i="53"/>
  <c r="AH130" i="53"/>
  <c r="AC130" i="53"/>
  <c r="AT130" i="53"/>
  <c r="AG130" i="53"/>
  <c r="N131" i="57"/>
  <c r="J131" i="53"/>
  <c r="N131" i="53"/>
  <c r="AH114" i="69"/>
  <c r="AJ69" i="50"/>
  <c r="C69" i="50"/>
  <c r="AD130" i="57"/>
  <c r="Q130" i="53"/>
  <c r="AD130" i="53"/>
  <c r="S70" i="50"/>
  <c r="V69" i="50"/>
  <c r="AK130" i="52" a="1"/>
  <c r="AK130" i="52" s="1"/>
  <c r="B132" i="53" s="1"/>
  <c r="O132" i="53" s="1"/>
  <c r="E131" i="53"/>
  <c r="H131" i="53"/>
  <c r="D131" i="53"/>
  <c r="L131" i="53"/>
  <c r="G131" i="53"/>
  <c r="C131" i="53"/>
  <c r="I131" i="53"/>
  <c r="F131" i="53"/>
  <c r="K131" i="53"/>
  <c r="P131" i="53"/>
  <c r="F71" i="50"/>
  <c r="N71" i="50"/>
  <c r="H71" i="50"/>
  <c r="G71" i="50"/>
  <c r="A71" i="50"/>
  <c r="Q71" i="50" s="1"/>
  <c r="P71" i="50" s="1"/>
  <c r="K71" i="50"/>
  <c r="I71" i="50"/>
  <c r="B71" i="50"/>
  <c r="R71" i="50" s="1"/>
  <c r="L71" i="50"/>
  <c r="M71" i="50"/>
  <c r="J71" i="50"/>
  <c r="T129" i="57"/>
  <c r="E131" i="57"/>
  <c r="P131" i="57"/>
  <c r="D131" i="57"/>
  <c r="C131" i="57"/>
  <c r="M131" i="57" s="1"/>
  <c r="K131" i="57"/>
  <c r="G131" i="57"/>
  <c r="I131" i="57"/>
  <c r="H131" i="57"/>
  <c r="F131" i="57"/>
  <c r="J131" i="57"/>
  <c r="Z69" i="50"/>
  <c r="W69" i="50"/>
  <c r="X69" i="50" s="1"/>
  <c r="Q130" i="57"/>
  <c r="AK130" i="55" a="1"/>
  <c r="AK130" i="55" s="1"/>
  <c r="B132" i="57" s="1"/>
  <c r="O116" i="69"/>
  <c r="C116" i="69"/>
  <c r="AO116" i="69" s="1"/>
  <c r="Q114" i="69"/>
  <c r="R114" i="69"/>
  <c r="S114" i="69" s="1"/>
  <c r="Y114" i="69" s="1"/>
  <c r="AB114" i="69" s="1"/>
  <c r="AC114" i="69" s="1"/>
  <c r="AD114" i="69" s="1"/>
  <c r="AE114" i="69"/>
  <c r="U114" i="69"/>
  <c r="AN116" i="67" a="1"/>
  <c r="AN116" i="67" s="1"/>
  <c r="B117" i="69"/>
  <c r="L117" i="69" s="1"/>
  <c r="N115" i="69"/>
  <c r="AF115" i="69" s="1"/>
  <c r="P115" i="69"/>
  <c r="D115" i="69"/>
  <c r="E115" i="69" s="1"/>
  <c r="F115" i="69" s="1"/>
  <c r="G115" i="69" s="1"/>
  <c r="H115" i="69" s="1"/>
  <c r="I115" i="69" s="1"/>
  <c r="J115" i="69" s="1"/>
  <c r="K115" i="69" s="1"/>
  <c r="M115" i="69" s="1"/>
  <c r="AN115" i="63" a="1"/>
  <c r="AN115" i="63" s="1"/>
  <c r="B116" i="65"/>
  <c r="L116" i="65" s="1"/>
  <c r="U113" i="65"/>
  <c r="R113" i="65"/>
  <c r="S113" i="65" s="1"/>
  <c r="Y113" i="65" s="1"/>
  <c r="AB113" i="65" s="1"/>
  <c r="AC113" i="65" s="1"/>
  <c r="AD113" i="65" s="1"/>
  <c r="Q113" i="65"/>
  <c r="C115" i="65"/>
  <c r="AM115" i="65" s="1"/>
  <c r="O115" i="65"/>
  <c r="D114" i="65"/>
  <c r="E114" i="65" s="1"/>
  <c r="F114" i="65" s="1"/>
  <c r="G114" i="65" s="1"/>
  <c r="H114" i="65" s="1"/>
  <c r="I114" i="65" s="1"/>
  <c r="J114" i="65" s="1"/>
  <c r="K114" i="65" s="1"/>
  <c r="M114" i="65" s="1"/>
  <c r="P114" i="65"/>
  <c r="N114" i="65"/>
  <c r="AL61" i="11" a="1"/>
  <c r="AL61" i="11" s="1"/>
  <c r="E62" i="32" s="1"/>
  <c r="AK62" i="32" s="1"/>
  <c r="AL71" i="59" a="1"/>
  <c r="AL71" i="59" s="1"/>
  <c r="E72" i="50" s="1"/>
  <c r="AK72" i="50" s="1"/>
  <c r="X130" i="53" l="1"/>
  <c r="AA130" i="53" s="1"/>
  <c r="AI68" i="50"/>
  <c r="AP68" i="50" s="1"/>
  <c r="AF114" i="65"/>
  <c r="AE114" i="65"/>
  <c r="AE131" i="57"/>
  <c r="R131" i="57"/>
  <c r="AE131" i="53"/>
  <c r="R131" i="53"/>
  <c r="AG69" i="50"/>
  <c r="AH69" i="50" s="1"/>
  <c r="AL69" i="50"/>
  <c r="AG114" i="69"/>
  <c r="AG113" i="65"/>
  <c r="AX115" i="69"/>
  <c r="O132" i="57"/>
  <c r="AG132" i="57" s="1"/>
  <c r="L132" i="57"/>
  <c r="T72" i="50"/>
  <c r="O72" i="50"/>
  <c r="AB128" i="57"/>
  <c r="AA128" i="57"/>
  <c r="AD70" i="50"/>
  <c r="AJ131" i="57"/>
  <c r="AC131" i="57"/>
  <c r="AP131" i="57"/>
  <c r="X129" i="57"/>
  <c r="AF129" i="57" s="1"/>
  <c r="AM71" i="50"/>
  <c r="U71" i="50"/>
  <c r="AH114" i="65"/>
  <c r="AV114" i="65"/>
  <c r="AG131" i="53"/>
  <c r="AH131" i="53"/>
  <c r="AC131" i="53"/>
  <c r="AT131" i="53"/>
  <c r="N132" i="57"/>
  <c r="N132" i="53"/>
  <c r="AH115" i="69"/>
  <c r="AJ70" i="50"/>
  <c r="C70" i="50"/>
  <c r="AD131" i="57"/>
  <c r="AD131" i="53"/>
  <c r="Q131" i="53"/>
  <c r="S71" i="50"/>
  <c r="V70" i="50"/>
  <c r="AK131" i="52" a="1"/>
  <c r="AK131" i="52" s="1"/>
  <c r="B133" i="53" s="1"/>
  <c r="O133" i="53" s="1"/>
  <c r="J132" i="53"/>
  <c r="E132" i="53"/>
  <c r="H132" i="53"/>
  <c r="D132" i="53"/>
  <c r="I132" i="53"/>
  <c r="P132" i="53"/>
  <c r="C132" i="53"/>
  <c r="G132" i="53"/>
  <c r="F132" i="53"/>
  <c r="L132" i="53"/>
  <c r="K132" i="53"/>
  <c r="M72" i="50"/>
  <c r="B72" i="50"/>
  <c r="R72" i="50" s="1"/>
  <c r="G72" i="50"/>
  <c r="N72" i="50"/>
  <c r="I72" i="50"/>
  <c r="F72" i="50"/>
  <c r="L72" i="50"/>
  <c r="J72" i="50"/>
  <c r="A72" i="50"/>
  <c r="Q72" i="50" s="1"/>
  <c r="P72" i="50" s="1"/>
  <c r="H72" i="50"/>
  <c r="K72" i="50"/>
  <c r="P132" i="57"/>
  <c r="G132" i="57"/>
  <c r="E132" i="57"/>
  <c r="C132" i="57"/>
  <c r="M132" i="57" s="1"/>
  <c r="I132" i="57"/>
  <c r="K132" i="57"/>
  <c r="J132" i="57"/>
  <c r="D132" i="57"/>
  <c r="H132" i="57"/>
  <c r="F132" i="57"/>
  <c r="T130" i="57"/>
  <c r="W70" i="50"/>
  <c r="X70" i="50" s="1"/>
  <c r="Z70" i="50"/>
  <c r="Q131" i="57"/>
  <c r="AK131" i="55" a="1"/>
  <c r="AK131" i="55" s="1"/>
  <c r="B133" i="57" s="1"/>
  <c r="AN117" i="67" a="1"/>
  <c r="AN117" i="67" s="1"/>
  <c r="B118" i="69"/>
  <c r="L118" i="69" s="1"/>
  <c r="R115" i="69"/>
  <c r="S115" i="69" s="1"/>
  <c r="Y115" i="69" s="1"/>
  <c r="AB115" i="69" s="1"/>
  <c r="AC115" i="69" s="1"/>
  <c r="AD115" i="69" s="1"/>
  <c r="U115" i="69"/>
  <c r="Q115" i="69"/>
  <c r="AE115" i="69"/>
  <c r="D116" i="69"/>
  <c r="E116" i="69" s="1"/>
  <c r="F116" i="69" s="1"/>
  <c r="G116" i="69" s="1"/>
  <c r="H116" i="69" s="1"/>
  <c r="I116" i="69" s="1"/>
  <c r="J116" i="69" s="1"/>
  <c r="K116" i="69" s="1"/>
  <c r="M116" i="69" s="1"/>
  <c r="P116" i="69"/>
  <c r="N116" i="69"/>
  <c r="AF116" i="69" s="1"/>
  <c r="O117" i="69"/>
  <c r="C117" i="69"/>
  <c r="AO117" i="69" s="1"/>
  <c r="AN116" i="63" a="1"/>
  <c r="AN116" i="63" s="1"/>
  <c r="B117" i="65"/>
  <c r="L117" i="65" s="1"/>
  <c r="O116" i="65"/>
  <c r="C116" i="65"/>
  <c r="AM116" i="65" s="1"/>
  <c r="U114" i="65"/>
  <c r="Q114" i="65"/>
  <c r="R114" i="65"/>
  <c r="S114" i="65" s="1"/>
  <c r="Y114" i="65" s="1"/>
  <c r="AB114" i="65" s="1"/>
  <c r="AC114" i="65" s="1"/>
  <c r="AD114" i="65" s="1"/>
  <c r="P115" i="65"/>
  <c r="N115" i="65"/>
  <c r="D115" i="65"/>
  <c r="E115" i="65" s="1"/>
  <c r="F115" i="65" s="1"/>
  <c r="G115" i="65" s="1"/>
  <c r="H115" i="65" s="1"/>
  <c r="I115" i="65" s="1"/>
  <c r="J115" i="65" s="1"/>
  <c r="K115" i="65" s="1"/>
  <c r="M115" i="65" s="1"/>
  <c r="AL62" i="11" a="1"/>
  <c r="AL62" i="11" s="1"/>
  <c r="AL72" i="59" a="1"/>
  <c r="AL72" i="59" s="1"/>
  <c r="E73" i="50" s="1"/>
  <c r="AK73" i="50" s="1"/>
  <c r="AB130" i="53" l="1"/>
  <c r="AF130" i="53"/>
  <c r="AI69" i="50"/>
  <c r="AP69" i="50" s="1"/>
  <c r="AF115" i="65"/>
  <c r="AE115" i="65"/>
  <c r="AE132" i="57"/>
  <c r="R132" i="57"/>
  <c r="AE132" i="53"/>
  <c r="R132" i="53"/>
  <c r="AG70" i="50"/>
  <c r="AH70" i="50" s="1"/>
  <c r="AL70" i="50"/>
  <c r="AG115" i="69"/>
  <c r="AG114" i="65"/>
  <c r="AX116" i="69"/>
  <c r="X130" i="57"/>
  <c r="O133" i="57"/>
  <c r="AG133" i="57" s="1"/>
  <c r="L133" i="57"/>
  <c r="O73" i="50"/>
  <c r="T73" i="50"/>
  <c r="AM72" i="50"/>
  <c r="U72" i="50"/>
  <c r="AC132" i="57"/>
  <c r="AJ132" i="57"/>
  <c r="AP132" i="57"/>
  <c r="AD71" i="50"/>
  <c r="AB129" i="57"/>
  <c r="AA129" i="57"/>
  <c r="AH115" i="65"/>
  <c r="AV115" i="65"/>
  <c r="AG132" i="53"/>
  <c r="AC132" i="53"/>
  <c r="AH132" i="53"/>
  <c r="AT132" i="53"/>
  <c r="N133" i="57"/>
  <c r="J133" i="53"/>
  <c r="N133" i="53"/>
  <c r="AH116" i="69"/>
  <c r="AJ71" i="50"/>
  <c r="C71" i="50"/>
  <c r="AD132" i="57"/>
  <c r="AD132" i="53"/>
  <c r="X131" i="53"/>
  <c r="AF131" i="53" s="1"/>
  <c r="V71" i="50"/>
  <c r="S72" i="50"/>
  <c r="K133" i="53"/>
  <c r="C133" i="53"/>
  <c r="D133" i="53"/>
  <c r="L133" i="53"/>
  <c r="E133" i="53"/>
  <c r="Q132" i="53"/>
  <c r="P133" i="53"/>
  <c r="I133" i="53"/>
  <c r="H133" i="53"/>
  <c r="AK132" i="52" a="1"/>
  <c r="AK132" i="52" s="1"/>
  <c r="B134" i="53" s="1"/>
  <c r="O134" i="53" s="1"/>
  <c r="G133" i="53"/>
  <c r="F133" i="53"/>
  <c r="G73" i="50"/>
  <c r="A73" i="50"/>
  <c r="Q73" i="50" s="1"/>
  <c r="P73" i="50" s="1"/>
  <c r="L73" i="50"/>
  <c r="H73" i="50"/>
  <c r="I73" i="50"/>
  <c r="K73" i="50"/>
  <c r="F73" i="50"/>
  <c r="N73" i="50"/>
  <c r="J73" i="50"/>
  <c r="B73" i="50"/>
  <c r="R73" i="50" s="1"/>
  <c r="M73" i="50"/>
  <c r="G133" i="57"/>
  <c r="E133" i="57"/>
  <c r="P133" i="57"/>
  <c r="D133" i="57"/>
  <c r="C133" i="57"/>
  <c r="M133" i="57" s="1"/>
  <c r="H133" i="57"/>
  <c r="I133" i="57"/>
  <c r="K133" i="57"/>
  <c r="F133" i="57"/>
  <c r="J133" i="57"/>
  <c r="Q132" i="57"/>
  <c r="T131" i="57"/>
  <c r="W71" i="50"/>
  <c r="X71" i="50" s="1"/>
  <c r="Z71" i="50"/>
  <c r="E63" i="32"/>
  <c r="AK63" i="32" s="1"/>
  <c r="AK132" i="55" a="1"/>
  <c r="AK132" i="55" s="1"/>
  <c r="B134" i="57" s="1"/>
  <c r="AN118" i="67" a="1"/>
  <c r="AN118" i="67" s="1"/>
  <c r="B119" i="69"/>
  <c r="L119" i="69" s="1"/>
  <c r="Q116" i="69"/>
  <c r="AE116" i="69"/>
  <c r="R116" i="69"/>
  <c r="S116" i="69" s="1"/>
  <c r="Y116" i="69" s="1"/>
  <c r="AB116" i="69" s="1"/>
  <c r="AC116" i="69" s="1"/>
  <c r="AD116" i="69" s="1"/>
  <c r="U116" i="69"/>
  <c r="D117" i="69"/>
  <c r="E117" i="69" s="1"/>
  <c r="F117" i="69" s="1"/>
  <c r="G117" i="69" s="1"/>
  <c r="H117" i="69" s="1"/>
  <c r="I117" i="69" s="1"/>
  <c r="J117" i="69" s="1"/>
  <c r="K117" i="69" s="1"/>
  <c r="M117" i="69" s="1"/>
  <c r="N117" i="69"/>
  <c r="AF117" i="69" s="1"/>
  <c r="P117" i="69"/>
  <c r="O118" i="69"/>
  <c r="C118" i="69"/>
  <c r="AO118" i="69" s="1"/>
  <c r="AN117" i="63" a="1"/>
  <c r="AN117" i="63" s="1"/>
  <c r="B118" i="65"/>
  <c r="L118" i="65" s="1"/>
  <c r="C117" i="65"/>
  <c r="AM117" i="65" s="1"/>
  <c r="O117" i="65"/>
  <c r="U115" i="65"/>
  <c r="R115" i="65"/>
  <c r="S115" i="65" s="1"/>
  <c r="Y115" i="65" s="1"/>
  <c r="AB115" i="65" s="1"/>
  <c r="AC115" i="65" s="1"/>
  <c r="AD115" i="65" s="1"/>
  <c r="Q115" i="65"/>
  <c r="P116" i="65"/>
  <c r="D116" i="65"/>
  <c r="E116" i="65" s="1"/>
  <c r="F116" i="65" s="1"/>
  <c r="G116" i="65" s="1"/>
  <c r="H116" i="65" s="1"/>
  <c r="I116" i="65" s="1"/>
  <c r="J116" i="65" s="1"/>
  <c r="K116" i="65" s="1"/>
  <c r="M116" i="65" s="1"/>
  <c r="N116" i="65"/>
  <c r="AL63" i="11" a="1"/>
  <c r="AL63" i="11" s="1"/>
  <c r="E64" i="32" s="1"/>
  <c r="AK64" i="32" s="1"/>
  <c r="AL73" i="59" a="1"/>
  <c r="AL73" i="59" s="1"/>
  <c r="E74" i="50" s="1"/>
  <c r="AK74" i="50" s="1"/>
  <c r="X132" i="53" l="1"/>
  <c r="AF132" i="53" s="1"/>
  <c r="AI70" i="50"/>
  <c r="AP70" i="50" s="1"/>
  <c r="AF116" i="65"/>
  <c r="AE116" i="65"/>
  <c r="AE133" i="57"/>
  <c r="R133" i="57"/>
  <c r="AE133" i="53"/>
  <c r="R133" i="53"/>
  <c r="AG71" i="50"/>
  <c r="AH71" i="50" s="1"/>
  <c r="AL71" i="50"/>
  <c r="AA130" i="57"/>
  <c r="AF130" i="57"/>
  <c r="AG116" i="69"/>
  <c r="AG115" i="65"/>
  <c r="AX117" i="69"/>
  <c r="X131" i="57"/>
  <c r="O134" i="57"/>
  <c r="AG134" i="57" s="1"/>
  <c r="L134" i="57"/>
  <c r="AB130" i="57"/>
  <c r="O74" i="50"/>
  <c r="T74" i="50"/>
  <c r="AM73" i="50"/>
  <c r="U73" i="50"/>
  <c r="AC133" i="57"/>
  <c r="AJ133" i="57"/>
  <c r="AP133" i="57"/>
  <c r="AD72" i="50"/>
  <c r="AH116" i="65"/>
  <c r="AV116" i="65"/>
  <c r="AG133" i="53"/>
  <c r="AH133" i="53"/>
  <c r="AC133" i="53"/>
  <c r="AT133" i="53"/>
  <c r="AB131" i="53"/>
  <c r="AA131" i="53"/>
  <c r="N134" i="57"/>
  <c r="L134" i="53"/>
  <c r="N134" i="53"/>
  <c r="AH117" i="69"/>
  <c r="AJ72" i="50"/>
  <c r="C72" i="50"/>
  <c r="AD133" i="57"/>
  <c r="AD133" i="53"/>
  <c r="S73" i="50"/>
  <c r="V72" i="50"/>
  <c r="Q133" i="53"/>
  <c r="I134" i="53"/>
  <c r="P134" i="53"/>
  <c r="H134" i="53"/>
  <c r="K134" i="53"/>
  <c r="E134" i="53"/>
  <c r="C134" i="53"/>
  <c r="F134" i="53"/>
  <c r="AK133" i="52" a="1"/>
  <c r="AK133" i="52" s="1"/>
  <c r="B135" i="53" s="1"/>
  <c r="O135" i="53" s="1"/>
  <c r="G134" i="53"/>
  <c r="J134" i="53"/>
  <c r="D134" i="53"/>
  <c r="I74" i="50"/>
  <c r="N74" i="50"/>
  <c r="J74" i="50"/>
  <c r="H74" i="50"/>
  <c r="G74" i="50"/>
  <c r="K74" i="50"/>
  <c r="M74" i="50"/>
  <c r="B74" i="50"/>
  <c r="R74" i="50" s="1"/>
  <c r="F74" i="50"/>
  <c r="A74" i="50"/>
  <c r="Q74" i="50" s="1"/>
  <c r="P74" i="50" s="1"/>
  <c r="L74" i="50"/>
  <c r="Q133" i="57"/>
  <c r="P134" i="57"/>
  <c r="I134" i="57"/>
  <c r="G134" i="57"/>
  <c r="E134" i="57"/>
  <c r="C134" i="57"/>
  <c r="M134" i="57" s="1"/>
  <c r="K134" i="57"/>
  <c r="F134" i="57"/>
  <c r="J134" i="57"/>
  <c r="D134" i="57"/>
  <c r="H134" i="57"/>
  <c r="T132" i="57"/>
  <c r="W72" i="50"/>
  <c r="X72" i="50" s="1"/>
  <c r="Z72" i="50"/>
  <c r="AK133" i="55" a="1"/>
  <c r="AK133" i="55" s="1"/>
  <c r="B135" i="57" s="1"/>
  <c r="O119" i="69"/>
  <c r="C119" i="69"/>
  <c r="AO119" i="69" s="1"/>
  <c r="D118" i="69"/>
  <c r="E118" i="69" s="1"/>
  <c r="F118" i="69" s="1"/>
  <c r="G118" i="69" s="1"/>
  <c r="H118" i="69" s="1"/>
  <c r="I118" i="69" s="1"/>
  <c r="J118" i="69" s="1"/>
  <c r="K118" i="69" s="1"/>
  <c r="M118" i="69" s="1"/>
  <c r="P118" i="69"/>
  <c r="N118" i="69"/>
  <c r="AF118" i="69" s="1"/>
  <c r="AE117" i="69"/>
  <c r="Q117" i="69"/>
  <c r="U117" i="69"/>
  <c r="R117" i="69"/>
  <c r="S117" i="69" s="1"/>
  <c r="Y117" i="69" s="1"/>
  <c r="AB117" i="69" s="1"/>
  <c r="AC117" i="69" s="1"/>
  <c r="AD117" i="69" s="1"/>
  <c r="AN119" i="67" a="1"/>
  <c r="AN119" i="67" s="1"/>
  <c r="B120" i="69"/>
  <c r="L120" i="69" s="1"/>
  <c r="AN118" i="63" a="1"/>
  <c r="AN118" i="63" s="1"/>
  <c r="B119" i="65"/>
  <c r="L119" i="65" s="1"/>
  <c r="D117" i="65"/>
  <c r="E117" i="65" s="1"/>
  <c r="F117" i="65" s="1"/>
  <c r="G117" i="65" s="1"/>
  <c r="H117" i="65" s="1"/>
  <c r="I117" i="65" s="1"/>
  <c r="J117" i="65" s="1"/>
  <c r="K117" i="65" s="1"/>
  <c r="M117" i="65" s="1"/>
  <c r="P117" i="65"/>
  <c r="N117" i="65"/>
  <c r="C118" i="65"/>
  <c r="AM118" i="65" s="1"/>
  <c r="O118" i="65"/>
  <c r="U116" i="65"/>
  <c r="R116" i="65"/>
  <c r="S116" i="65" s="1"/>
  <c r="Y116" i="65" s="1"/>
  <c r="AB116" i="65" s="1"/>
  <c r="AC116" i="65" s="1"/>
  <c r="AD116" i="65" s="1"/>
  <c r="Q116" i="65"/>
  <c r="AL64" i="11" a="1"/>
  <c r="AL64" i="11" s="1"/>
  <c r="AL74" i="59" a="1"/>
  <c r="AL74" i="59" s="1"/>
  <c r="E75" i="50" s="1"/>
  <c r="AK75" i="50" s="1"/>
  <c r="X133" i="53" l="1"/>
  <c r="AA133" i="53" s="1"/>
  <c r="AA132" i="53"/>
  <c r="AB132" i="53"/>
  <c r="AI71" i="50"/>
  <c r="AP71" i="50" s="1"/>
  <c r="AF117" i="65"/>
  <c r="AE117" i="65"/>
  <c r="AE134" i="57"/>
  <c r="R134" i="57"/>
  <c r="AE134" i="53"/>
  <c r="R134" i="53"/>
  <c r="AG72" i="50"/>
  <c r="AH72" i="50" s="1"/>
  <c r="AL72" i="50"/>
  <c r="AB131" i="57"/>
  <c r="AF131" i="57"/>
  <c r="AG117" i="69"/>
  <c r="AG116" i="65"/>
  <c r="X132" i="57"/>
  <c r="AX118" i="69"/>
  <c r="AA131" i="57"/>
  <c r="O135" i="57"/>
  <c r="AG135" i="57" s="1"/>
  <c r="L135" i="57"/>
  <c r="O75" i="50"/>
  <c r="T75" i="50"/>
  <c r="AM74" i="50"/>
  <c r="U74" i="50"/>
  <c r="AJ134" i="57"/>
  <c r="AC134" i="57"/>
  <c r="AP134" i="57"/>
  <c r="AD73" i="50"/>
  <c r="AH117" i="65"/>
  <c r="AV117" i="65"/>
  <c r="AH134" i="53"/>
  <c r="AT134" i="53"/>
  <c r="AC134" i="53"/>
  <c r="AG134" i="53"/>
  <c r="N135" i="57"/>
  <c r="P135" i="53"/>
  <c r="N135" i="53"/>
  <c r="AH118" i="69"/>
  <c r="AJ73" i="50"/>
  <c r="C73" i="50"/>
  <c r="AD134" i="57"/>
  <c r="AD134" i="53"/>
  <c r="Q134" i="53"/>
  <c r="S74" i="50"/>
  <c r="V73" i="50"/>
  <c r="F135" i="53"/>
  <c r="K135" i="53"/>
  <c r="I135" i="53"/>
  <c r="AK134" i="52" a="1"/>
  <c r="AK134" i="52" s="1"/>
  <c r="B136" i="53" s="1"/>
  <c r="O136" i="53" s="1"/>
  <c r="D135" i="53"/>
  <c r="L135" i="53"/>
  <c r="E135" i="53"/>
  <c r="J135" i="53"/>
  <c r="G135" i="53"/>
  <c r="C135" i="53"/>
  <c r="H135" i="53"/>
  <c r="I75" i="50"/>
  <c r="H75" i="50"/>
  <c r="M75" i="50"/>
  <c r="K75" i="50"/>
  <c r="A75" i="50"/>
  <c r="Q75" i="50" s="1"/>
  <c r="P75" i="50" s="1"/>
  <c r="L75" i="50"/>
  <c r="B75" i="50"/>
  <c r="R75" i="50" s="1"/>
  <c r="G75" i="50"/>
  <c r="J75" i="50"/>
  <c r="N75" i="50"/>
  <c r="F75" i="50"/>
  <c r="H135" i="57"/>
  <c r="G135" i="57"/>
  <c r="E135" i="57"/>
  <c r="P135" i="57"/>
  <c r="D135" i="57"/>
  <c r="C135" i="57"/>
  <c r="M135" i="57" s="1"/>
  <c r="I135" i="57"/>
  <c r="K135" i="57"/>
  <c r="F135" i="57"/>
  <c r="J135" i="57"/>
  <c r="Q134" i="57"/>
  <c r="T133" i="57"/>
  <c r="Z73" i="50"/>
  <c r="W73" i="50"/>
  <c r="X73" i="50" s="1"/>
  <c r="E65" i="32"/>
  <c r="AK65" i="32" s="1"/>
  <c r="AK134" i="55" a="1"/>
  <c r="AK134" i="55" s="1"/>
  <c r="B136" i="57" s="1"/>
  <c r="AN120" i="67" a="1"/>
  <c r="AN120" i="67" s="1"/>
  <c r="B121" i="69"/>
  <c r="L121" i="69" s="1"/>
  <c r="O120" i="69"/>
  <c r="C120" i="69"/>
  <c r="AO120" i="69" s="1"/>
  <c r="Q118" i="69"/>
  <c r="U118" i="69"/>
  <c r="R118" i="69"/>
  <c r="S118" i="69" s="1"/>
  <c r="Y118" i="69" s="1"/>
  <c r="AB118" i="69" s="1"/>
  <c r="AC118" i="69" s="1"/>
  <c r="AD118" i="69" s="1"/>
  <c r="AE118" i="69"/>
  <c r="D119" i="69"/>
  <c r="E119" i="69" s="1"/>
  <c r="F119" i="69" s="1"/>
  <c r="G119" i="69" s="1"/>
  <c r="H119" i="69" s="1"/>
  <c r="I119" i="69" s="1"/>
  <c r="J119" i="69" s="1"/>
  <c r="K119" i="69" s="1"/>
  <c r="M119" i="69" s="1"/>
  <c r="N119" i="69"/>
  <c r="AF119" i="69" s="1"/>
  <c r="P119" i="69"/>
  <c r="AN119" i="63" a="1"/>
  <c r="AN119" i="63" s="1"/>
  <c r="B120" i="65"/>
  <c r="L120" i="65" s="1"/>
  <c r="R117" i="65"/>
  <c r="S117" i="65" s="1"/>
  <c r="Y117" i="65" s="1"/>
  <c r="AB117" i="65" s="1"/>
  <c r="AC117" i="65" s="1"/>
  <c r="AD117" i="65" s="1"/>
  <c r="U117" i="65"/>
  <c r="Q117" i="65"/>
  <c r="P118" i="65"/>
  <c r="N118" i="65"/>
  <c r="D118" i="65"/>
  <c r="E118" i="65" s="1"/>
  <c r="F118" i="65" s="1"/>
  <c r="G118" i="65" s="1"/>
  <c r="H118" i="65" s="1"/>
  <c r="I118" i="65" s="1"/>
  <c r="J118" i="65" s="1"/>
  <c r="K118" i="65" s="1"/>
  <c r="M118" i="65" s="1"/>
  <c r="C119" i="65"/>
  <c r="AM119" i="65" s="1"/>
  <c r="O119" i="65"/>
  <c r="AL65" i="11" a="1"/>
  <c r="AL65" i="11" s="1"/>
  <c r="AL75" i="59" a="1"/>
  <c r="AL75" i="59" s="1"/>
  <c r="E76" i="50" s="1"/>
  <c r="AK76" i="50" s="1"/>
  <c r="AB133" i="53" l="1"/>
  <c r="AF133" i="53"/>
  <c r="AI72" i="50"/>
  <c r="AP72" i="50" s="1"/>
  <c r="AF118" i="65"/>
  <c r="AE118" i="65"/>
  <c r="X134" i="53"/>
  <c r="AA134" i="53" s="1"/>
  <c r="AE135" i="57"/>
  <c r="R135" i="57"/>
  <c r="AE135" i="53"/>
  <c r="R135" i="53"/>
  <c r="AG73" i="50"/>
  <c r="AH73" i="50" s="1"/>
  <c r="AL73" i="50"/>
  <c r="AA132" i="57"/>
  <c r="AF132" i="57"/>
  <c r="AG118" i="69"/>
  <c r="AG117" i="65"/>
  <c r="AB132" i="57"/>
  <c r="X133" i="57"/>
  <c r="AX119" i="69"/>
  <c r="O136" i="57"/>
  <c r="AG136" i="57" s="1"/>
  <c r="L136" i="57"/>
  <c r="O76" i="50"/>
  <c r="T76" i="50"/>
  <c r="AD74" i="50"/>
  <c r="AJ135" i="57"/>
  <c r="AC135" i="57"/>
  <c r="AP135" i="57"/>
  <c r="AM75" i="50"/>
  <c r="U75" i="50"/>
  <c r="AH118" i="65"/>
  <c r="AV118" i="65"/>
  <c r="AG135" i="53"/>
  <c r="AH135" i="53"/>
  <c r="AT135" i="53"/>
  <c r="AC135" i="53"/>
  <c r="N136" i="57"/>
  <c r="J136" i="53"/>
  <c r="N136" i="53"/>
  <c r="AH119" i="69"/>
  <c r="AJ74" i="50"/>
  <c r="C74" i="50"/>
  <c r="AD135" i="57"/>
  <c r="Q135" i="53"/>
  <c r="AD135" i="53"/>
  <c r="V74" i="50"/>
  <c r="S75" i="50"/>
  <c r="AK135" i="52" a="1"/>
  <c r="AK135" i="52" s="1"/>
  <c r="B137" i="53" s="1"/>
  <c r="O137" i="53" s="1"/>
  <c r="P136" i="53"/>
  <c r="D136" i="53"/>
  <c r="F136" i="53"/>
  <c r="G136" i="53"/>
  <c r="E136" i="53"/>
  <c r="L136" i="53"/>
  <c r="C136" i="53"/>
  <c r="K136" i="53"/>
  <c r="I136" i="53"/>
  <c r="H136" i="53"/>
  <c r="F76" i="50"/>
  <c r="M76" i="50"/>
  <c r="I76" i="50"/>
  <c r="K76" i="50"/>
  <c r="B76" i="50"/>
  <c r="R76" i="50" s="1"/>
  <c r="J76" i="50"/>
  <c r="G76" i="50"/>
  <c r="H76" i="50"/>
  <c r="N76" i="50"/>
  <c r="A76" i="50"/>
  <c r="Q76" i="50" s="1"/>
  <c r="P76" i="50" s="1"/>
  <c r="L76" i="50"/>
  <c r="P136" i="57"/>
  <c r="K136" i="57"/>
  <c r="I136" i="57"/>
  <c r="G136" i="57"/>
  <c r="E136" i="57"/>
  <c r="C136" i="57"/>
  <c r="M136" i="57" s="1"/>
  <c r="F136" i="57"/>
  <c r="J136" i="57"/>
  <c r="H136" i="57"/>
  <c r="D136" i="57"/>
  <c r="T134" i="57"/>
  <c r="Q135" i="57"/>
  <c r="Z74" i="50"/>
  <c r="W74" i="50"/>
  <c r="X74" i="50" s="1"/>
  <c r="E66" i="32"/>
  <c r="AK66" i="32" s="1"/>
  <c r="AK135" i="55" a="1"/>
  <c r="AK135" i="55" s="1"/>
  <c r="B137" i="57" s="1"/>
  <c r="D120" i="69"/>
  <c r="E120" i="69" s="1"/>
  <c r="F120" i="69" s="1"/>
  <c r="G120" i="69" s="1"/>
  <c r="H120" i="69" s="1"/>
  <c r="I120" i="69" s="1"/>
  <c r="J120" i="69" s="1"/>
  <c r="K120" i="69" s="1"/>
  <c r="M120" i="69" s="1"/>
  <c r="N120" i="69"/>
  <c r="AF120" i="69" s="1"/>
  <c r="P120" i="69"/>
  <c r="AE119" i="69"/>
  <c r="R119" i="69"/>
  <c r="S119" i="69" s="1"/>
  <c r="Y119" i="69" s="1"/>
  <c r="AB119" i="69" s="1"/>
  <c r="AC119" i="69" s="1"/>
  <c r="AD119" i="69" s="1"/>
  <c r="U119" i="69"/>
  <c r="Q119" i="69"/>
  <c r="C121" i="69"/>
  <c r="AO121" i="69" s="1"/>
  <c r="O121" i="69"/>
  <c r="AN121" i="67" a="1"/>
  <c r="AN121" i="67" s="1"/>
  <c r="B122" i="69"/>
  <c r="L122" i="69" s="1"/>
  <c r="AN120" i="63" a="1"/>
  <c r="AN120" i="63" s="1"/>
  <c r="B121" i="65"/>
  <c r="L121" i="65" s="1"/>
  <c r="Q118" i="65"/>
  <c r="R118" i="65"/>
  <c r="S118" i="65" s="1"/>
  <c r="Y118" i="65" s="1"/>
  <c r="AB118" i="65" s="1"/>
  <c r="AC118" i="65" s="1"/>
  <c r="AD118" i="65" s="1"/>
  <c r="U118" i="65"/>
  <c r="C120" i="65"/>
  <c r="AM120" i="65" s="1"/>
  <c r="O120" i="65"/>
  <c r="N119" i="65"/>
  <c r="P119" i="65"/>
  <c r="D119" i="65"/>
  <c r="E119" i="65" s="1"/>
  <c r="F119" i="65" s="1"/>
  <c r="G119" i="65" s="1"/>
  <c r="H119" i="65" s="1"/>
  <c r="I119" i="65" s="1"/>
  <c r="J119" i="65" s="1"/>
  <c r="K119" i="65" s="1"/>
  <c r="M119" i="65" s="1"/>
  <c r="AL66" i="11" a="1"/>
  <c r="AL66" i="11" s="1"/>
  <c r="E67" i="32" s="1"/>
  <c r="AK67" i="32" s="1"/>
  <c r="AL76" i="59" a="1"/>
  <c r="AL76" i="59" s="1"/>
  <c r="E77" i="50" s="1"/>
  <c r="AK77" i="50" s="1"/>
  <c r="AB134" i="53" l="1"/>
  <c r="AI73" i="50"/>
  <c r="AP73" i="50" s="1"/>
  <c r="AF119" i="65"/>
  <c r="AE119" i="65"/>
  <c r="AF134" i="53"/>
  <c r="AE136" i="57"/>
  <c r="R136" i="57"/>
  <c r="AE136" i="53"/>
  <c r="R136" i="53"/>
  <c r="AG74" i="50"/>
  <c r="AH74" i="50" s="1"/>
  <c r="AL74" i="50"/>
  <c r="AB133" i="57"/>
  <c r="AF133" i="57"/>
  <c r="AG119" i="69"/>
  <c r="AG118" i="65"/>
  <c r="AA133" i="57"/>
  <c r="AX120" i="69"/>
  <c r="O137" i="57"/>
  <c r="AG137" i="57" s="1"/>
  <c r="L137" i="57"/>
  <c r="T77" i="50"/>
  <c r="O77" i="50"/>
  <c r="X134" i="57"/>
  <c r="AD75" i="50"/>
  <c r="AM76" i="50"/>
  <c r="U76" i="50"/>
  <c r="AJ136" i="57"/>
  <c r="AC136" i="57"/>
  <c r="AP136" i="57"/>
  <c r="AH119" i="65"/>
  <c r="AV119" i="65"/>
  <c r="Q136" i="53"/>
  <c r="AH136" i="53"/>
  <c r="AT136" i="53"/>
  <c r="AC136" i="53"/>
  <c r="AG136" i="53"/>
  <c r="X135" i="53"/>
  <c r="AF135" i="53" s="1"/>
  <c r="N137" i="57"/>
  <c r="K137" i="53"/>
  <c r="N137" i="53"/>
  <c r="AH120" i="69"/>
  <c r="AJ75" i="50"/>
  <c r="C75" i="50"/>
  <c r="AD136" i="57"/>
  <c r="AD136" i="53"/>
  <c r="S76" i="50"/>
  <c r="V75" i="50"/>
  <c r="G137" i="53"/>
  <c r="C137" i="53"/>
  <c r="P137" i="53"/>
  <c r="D137" i="53"/>
  <c r="I137" i="53"/>
  <c r="E137" i="53"/>
  <c r="AK136" i="52" a="1"/>
  <c r="AK136" i="52" s="1"/>
  <c r="B138" i="53" s="1"/>
  <c r="O138" i="53" s="1"/>
  <c r="F137" i="53"/>
  <c r="L137" i="53"/>
  <c r="H137" i="53"/>
  <c r="J137" i="53"/>
  <c r="G77" i="50"/>
  <c r="M77" i="50"/>
  <c r="K77" i="50"/>
  <c r="F77" i="50"/>
  <c r="H77" i="50"/>
  <c r="J77" i="50"/>
  <c r="I77" i="50"/>
  <c r="L77" i="50"/>
  <c r="B77" i="50"/>
  <c r="R77" i="50" s="1"/>
  <c r="A77" i="50"/>
  <c r="Q77" i="50" s="1"/>
  <c r="P77" i="50" s="1"/>
  <c r="N77" i="50"/>
  <c r="T135" i="57"/>
  <c r="W75" i="50"/>
  <c r="X75" i="50" s="1"/>
  <c r="Z75" i="50"/>
  <c r="Q136" i="57"/>
  <c r="I137" i="57"/>
  <c r="H137" i="57"/>
  <c r="G137" i="57"/>
  <c r="E137" i="57"/>
  <c r="P137" i="57"/>
  <c r="D137" i="57"/>
  <c r="K137" i="57"/>
  <c r="C137" i="57"/>
  <c r="M137" i="57" s="1"/>
  <c r="F137" i="57"/>
  <c r="J137" i="57"/>
  <c r="AK136" i="55" a="1"/>
  <c r="AK136" i="55" s="1"/>
  <c r="B138" i="57" s="1"/>
  <c r="AN122" i="67" a="1"/>
  <c r="AN122" i="67" s="1"/>
  <c r="B123" i="69"/>
  <c r="L123" i="69" s="1"/>
  <c r="Q120" i="69"/>
  <c r="R120" i="69"/>
  <c r="S120" i="69" s="1"/>
  <c r="Y120" i="69" s="1"/>
  <c r="AB120" i="69" s="1"/>
  <c r="AC120" i="69" s="1"/>
  <c r="AD120" i="69" s="1"/>
  <c r="AE120" i="69"/>
  <c r="U120" i="69"/>
  <c r="O122" i="69"/>
  <c r="C122" i="69"/>
  <c r="AO122" i="69" s="1"/>
  <c r="D121" i="69"/>
  <c r="E121" i="69" s="1"/>
  <c r="F121" i="69" s="1"/>
  <c r="G121" i="69" s="1"/>
  <c r="H121" i="69" s="1"/>
  <c r="I121" i="69" s="1"/>
  <c r="J121" i="69" s="1"/>
  <c r="K121" i="69" s="1"/>
  <c r="M121" i="69" s="1"/>
  <c r="N121" i="69"/>
  <c r="AF121" i="69" s="1"/>
  <c r="P121" i="69"/>
  <c r="N120" i="65"/>
  <c r="P120" i="65"/>
  <c r="D120" i="65"/>
  <c r="E120" i="65" s="1"/>
  <c r="F120" i="65" s="1"/>
  <c r="G120" i="65" s="1"/>
  <c r="H120" i="65" s="1"/>
  <c r="I120" i="65" s="1"/>
  <c r="J120" i="65" s="1"/>
  <c r="K120" i="65" s="1"/>
  <c r="M120" i="65" s="1"/>
  <c r="C121" i="65"/>
  <c r="AM121" i="65" s="1"/>
  <c r="O121" i="65"/>
  <c r="U119" i="65"/>
  <c r="Q119" i="65"/>
  <c r="R119" i="65"/>
  <c r="S119" i="65" s="1"/>
  <c r="Y119" i="65" s="1"/>
  <c r="AB119" i="65" s="1"/>
  <c r="AC119" i="65" s="1"/>
  <c r="AD119" i="65" s="1"/>
  <c r="AN121" i="63" a="1"/>
  <c r="AN121" i="63" s="1"/>
  <c r="B122" i="65"/>
  <c r="L122" i="65" s="1"/>
  <c r="AL67" i="11" a="1"/>
  <c r="AL67" i="11" s="1"/>
  <c r="E68" i="32" s="1"/>
  <c r="AK68" i="32" s="1"/>
  <c r="AL77" i="59" a="1"/>
  <c r="AL77" i="59" s="1"/>
  <c r="E78" i="50" s="1"/>
  <c r="AK78" i="50" s="1"/>
  <c r="AI74" i="50" l="1"/>
  <c r="AP74" i="50" s="1"/>
  <c r="AF120" i="65"/>
  <c r="AE120" i="65"/>
  <c r="X136" i="53"/>
  <c r="AF136" i="53" s="1"/>
  <c r="AE137" i="57"/>
  <c r="R137" i="57"/>
  <c r="AE137" i="53"/>
  <c r="R137" i="53"/>
  <c r="AG75" i="50"/>
  <c r="AH75" i="50" s="1"/>
  <c r="AL75" i="50"/>
  <c r="AB134" i="57"/>
  <c r="AF134" i="57"/>
  <c r="AG120" i="69"/>
  <c r="AG119" i="65"/>
  <c r="AX121" i="69"/>
  <c r="X135" i="57"/>
  <c r="O138" i="57"/>
  <c r="AG138" i="57" s="1"/>
  <c r="L138" i="57"/>
  <c r="T78" i="50"/>
  <c r="O78" i="50"/>
  <c r="AA134" i="57"/>
  <c r="AJ137" i="57"/>
  <c r="AC137" i="57"/>
  <c r="AP137" i="57"/>
  <c r="AM77" i="50"/>
  <c r="U77" i="50"/>
  <c r="AD76" i="50"/>
  <c r="AH120" i="65"/>
  <c r="AV120" i="65"/>
  <c r="AB135" i="53"/>
  <c r="AA135" i="53"/>
  <c r="AH137" i="53"/>
  <c r="AC137" i="53"/>
  <c r="AT137" i="53"/>
  <c r="AG137" i="53"/>
  <c r="N138" i="57"/>
  <c r="I138" i="53"/>
  <c r="N138" i="53"/>
  <c r="AH121" i="69"/>
  <c r="AJ76" i="50"/>
  <c r="C76" i="50"/>
  <c r="AD137" i="57"/>
  <c r="Q137" i="53"/>
  <c r="AD137" i="53"/>
  <c r="S77" i="50"/>
  <c r="V76" i="50"/>
  <c r="AK137" i="52" a="1"/>
  <c r="AK137" i="52" s="1"/>
  <c r="B139" i="53" s="1"/>
  <c r="O139" i="53" s="1"/>
  <c r="G138" i="53"/>
  <c r="J138" i="53"/>
  <c r="P138" i="53"/>
  <c r="K138" i="53"/>
  <c r="H138" i="53"/>
  <c r="F138" i="53"/>
  <c r="L138" i="53"/>
  <c r="C138" i="53"/>
  <c r="D138" i="53"/>
  <c r="E138" i="53"/>
  <c r="F78" i="50"/>
  <c r="A78" i="50"/>
  <c r="Q78" i="50" s="1"/>
  <c r="P78" i="50" s="1"/>
  <c r="K78" i="50"/>
  <c r="H78" i="50"/>
  <c r="L78" i="50"/>
  <c r="M78" i="50"/>
  <c r="B78" i="50"/>
  <c r="R78" i="50" s="1"/>
  <c r="G78" i="50"/>
  <c r="N78" i="50"/>
  <c r="I78" i="50"/>
  <c r="J78" i="50"/>
  <c r="P138" i="57"/>
  <c r="K138" i="57"/>
  <c r="I138" i="57"/>
  <c r="G138" i="57"/>
  <c r="E138" i="57"/>
  <c r="C138" i="57"/>
  <c r="M138" i="57" s="1"/>
  <c r="F138" i="57"/>
  <c r="J138" i="57"/>
  <c r="D138" i="57"/>
  <c r="H138" i="57"/>
  <c r="Q137" i="57"/>
  <c r="W76" i="50"/>
  <c r="X76" i="50" s="1"/>
  <c r="Z76" i="50"/>
  <c r="T136" i="57"/>
  <c r="AK137" i="55" a="1"/>
  <c r="AK137" i="55" s="1"/>
  <c r="B139" i="57" s="1"/>
  <c r="D122" i="69"/>
  <c r="E122" i="69" s="1"/>
  <c r="F122" i="69" s="1"/>
  <c r="G122" i="69" s="1"/>
  <c r="H122" i="69" s="1"/>
  <c r="I122" i="69" s="1"/>
  <c r="J122" i="69" s="1"/>
  <c r="K122" i="69" s="1"/>
  <c r="M122" i="69" s="1"/>
  <c r="N122" i="69"/>
  <c r="AF122" i="69" s="1"/>
  <c r="P122" i="69"/>
  <c r="O123" i="69"/>
  <c r="C123" i="69"/>
  <c r="AO123" i="69" s="1"/>
  <c r="Q121" i="69"/>
  <c r="U121" i="69"/>
  <c r="AE121" i="69"/>
  <c r="R121" i="69"/>
  <c r="S121" i="69" s="1"/>
  <c r="Y121" i="69" s="1"/>
  <c r="AB121" i="69" s="1"/>
  <c r="AC121" i="69" s="1"/>
  <c r="AD121" i="69" s="1"/>
  <c r="AN123" i="67" a="1"/>
  <c r="AN123" i="67" s="1"/>
  <c r="B124" i="69"/>
  <c r="L124" i="69" s="1"/>
  <c r="AN122" i="63" a="1"/>
  <c r="AN122" i="63" s="1"/>
  <c r="B123" i="65"/>
  <c r="L123" i="65" s="1"/>
  <c r="Q120" i="65"/>
  <c r="R120" i="65"/>
  <c r="S120" i="65" s="1"/>
  <c r="Y120" i="65" s="1"/>
  <c r="AB120" i="65" s="1"/>
  <c r="AC120" i="65" s="1"/>
  <c r="AD120" i="65" s="1"/>
  <c r="U120" i="65"/>
  <c r="C122" i="65"/>
  <c r="AM122" i="65" s="1"/>
  <c r="O122" i="65"/>
  <c r="P121" i="65"/>
  <c r="D121" i="65"/>
  <c r="E121" i="65" s="1"/>
  <c r="F121" i="65" s="1"/>
  <c r="G121" i="65" s="1"/>
  <c r="H121" i="65" s="1"/>
  <c r="I121" i="65" s="1"/>
  <c r="J121" i="65" s="1"/>
  <c r="K121" i="65" s="1"/>
  <c r="M121" i="65" s="1"/>
  <c r="N121" i="65"/>
  <c r="AL68" i="11" a="1"/>
  <c r="AL68" i="11" s="1"/>
  <c r="AL78" i="59" a="1"/>
  <c r="AL78" i="59" s="1"/>
  <c r="E79" i="50" s="1"/>
  <c r="AK79" i="50" s="1"/>
  <c r="AA136" i="53" l="1"/>
  <c r="AB136" i="53"/>
  <c r="AI75" i="50"/>
  <c r="AP75" i="50" s="1"/>
  <c r="AF121" i="65"/>
  <c r="AE121" i="65"/>
  <c r="AE138" i="57"/>
  <c r="R138" i="57"/>
  <c r="AE138" i="53"/>
  <c r="R138" i="53"/>
  <c r="AG76" i="50"/>
  <c r="AH76" i="50" s="1"/>
  <c r="AL76" i="50"/>
  <c r="AB135" i="57"/>
  <c r="AF135" i="57"/>
  <c r="AG121" i="69"/>
  <c r="AG120" i="65"/>
  <c r="AX122" i="69"/>
  <c r="AA135" i="57"/>
  <c r="O139" i="57"/>
  <c r="AG139" i="57" s="1"/>
  <c r="L139" i="57"/>
  <c r="X136" i="57"/>
  <c r="T79" i="50"/>
  <c r="O79" i="50"/>
  <c r="AJ138" i="57"/>
  <c r="AC138" i="57"/>
  <c r="AP138" i="57"/>
  <c r="AM78" i="50"/>
  <c r="U78" i="50"/>
  <c r="AD77" i="50"/>
  <c r="AH121" i="65"/>
  <c r="AV121" i="65"/>
  <c r="AH138" i="53"/>
  <c r="AC138" i="53"/>
  <c r="AT138" i="53"/>
  <c r="AG138" i="53"/>
  <c r="X137" i="53"/>
  <c r="AF137" i="53" s="1"/>
  <c r="N139" i="57"/>
  <c r="N139" i="53"/>
  <c r="AH122" i="69"/>
  <c r="AJ77" i="50"/>
  <c r="C77" i="50"/>
  <c r="AD138" i="57"/>
  <c r="AD138" i="53"/>
  <c r="S78" i="50"/>
  <c r="V77" i="50"/>
  <c r="Q138" i="53"/>
  <c r="AK138" i="52" a="1"/>
  <c r="AK138" i="52" s="1"/>
  <c r="B140" i="53" s="1"/>
  <c r="O140" i="53" s="1"/>
  <c r="J139" i="53"/>
  <c r="K139" i="53"/>
  <c r="I139" i="53"/>
  <c r="L139" i="53"/>
  <c r="E139" i="53"/>
  <c r="G139" i="53"/>
  <c r="C139" i="53"/>
  <c r="H139" i="53"/>
  <c r="F139" i="53"/>
  <c r="D139" i="53"/>
  <c r="P139" i="53"/>
  <c r="A79" i="50"/>
  <c r="Q79" i="50" s="1"/>
  <c r="P79" i="50" s="1"/>
  <c r="M79" i="50"/>
  <c r="B79" i="50"/>
  <c r="R79" i="50" s="1"/>
  <c r="L79" i="50"/>
  <c r="J79" i="50"/>
  <c r="N79" i="50"/>
  <c r="F79" i="50"/>
  <c r="I79" i="50"/>
  <c r="G79" i="50"/>
  <c r="K79" i="50"/>
  <c r="H79" i="50"/>
  <c r="Q138" i="57"/>
  <c r="K139" i="57"/>
  <c r="I139" i="57"/>
  <c r="H139" i="57"/>
  <c r="G139" i="57"/>
  <c r="E139" i="57"/>
  <c r="C139" i="57"/>
  <c r="M139" i="57" s="1"/>
  <c r="P139" i="57"/>
  <c r="D139" i="57"/>
  <c r="J139" i="57"/>
  <c r="F139" i="57"/>
  <c r="Z77" i="50"/>
  <c r="W77" i="50"/>
  <c r="X77" i="50" s="1"/>
  <c r="T137" i="57"/>
  <c r="E69" i="32"/>
  <c r="AK69" i="32" s="1"/>
  <c r="AK138" i="55" a="1"/>
  <c r="AK138" i="55" s="1"/>
  <c r="B140" i="57" s="1"/>
  <c r="AN124" i="67" a="1"/>
  <c r="AN124" i="67" s="1"/>
  <c r="B125" i="69"/>
  <c r="L125" i="69" s="1"/>
  <c r="O124" i="69"/>
  <c r="C124" i="69"/>
  <c r="AO124" i="69" s="1"/>
  <c r="D123" i="69"/>
  <c r="E123" i="69" s="1"/>
  <c r="F123" i="69" s="1"/>
  <c r="G123" i="69" s="1"/>
  <c r="H123" i="69" s="1"/>
  <c r="I123" i="69" s="1"/>
  <c r="J123" i="69" s="1"/>
  <c r="K123" i="69" s="1"/>
  <c r="M123" i="69" s="1"/>
  <c r="N123" i="69"/>
  <c r="AF123" i="69" s="1"/>
  <c r="P123" i="69"/>
  <c r="R122" i="69"/>
  <c r="S122" i="69" s="1"/>
  <c r="Y122" i="69" s="1"/>
  <c r="AB122" i="69" s="1"/>
  <c r="AC122" i="69" s="1"/>
  <c r="AD122" i="69" s="1"/>
  <c r="Q122" i="69"/>
  <c r="U122" i="69"/>
  <c r="AE122" i="69"/>
  <c r="AN123" i="63" a="1"/>
  <c r="AN123" i="63" s="1"/>
  <c r="B124" i="65"/>
  <c r="L124" i="65" s="1"/>
  <c r="U121" i="65"/>
  <c r="R121" i="65"/>
  <c r="S121" i="65" s="1"/>
  <c r="Y121" i="65" s="1"/>
  <c r="AB121" i="65" s="1"/>
  <c r="AC121" i="65" s="1"/>
  <c r="AD121" i="65" s="1"/>
  <c r="Q121" i="65"/>
  <c r="P122" i="65"/>
  <c r="D122" i="65"/>
  <c r="E122" i="65" s="1"/>
  <c r="F122" i="65" s="1"/>
  <c r="G122" i="65" s="1"/>
  <c r="H122" i="65" s="1"/>
  <c r="I122" i="65" s="1"/>
  <c r="J122" i="65" s="1"/>
  <c r="K122" i="65" s="1"/>
  <c r="M122" i="65" s="1"/>
  <c r="N122" i="65"/>
  <c r="C123" i="65"/>
  <c r="AM123" i="65" s="1"/>
  <c r="O123" i="65"/>
  <c r="AL69" i="11" a="1"/>
  <c r="AL69" i="11" s="1"/>
  <c r="E70" i="32" s="1"/>
  <c r="AK70" i="32" s="1"/>
  <c r="AL79" i="59" a="1"/>
  <c r="AL79" i="59" s="1"/>
  <c r="E80" i="50" s="1"/>
  <c r="AK80" i="50" s="1"/>
  <c r="X138" i="53" l="1"/>
  <c r="AB138" i="53" s="1"/>
  <c r="AI76" i="50"/>
  <c r="AP76" i="50" s="1"/>
  <c r="AF122" i="65"/>
  <c r="AE122" i="65"/>
  <c r="AE139" i="57"/>
  <c r="R139" i="57"/>
  <c r="AE139" i="53"/>
  <c r="R139" i="53"/>
  <c r="AG77" i="50"/>
  <c r="AH77" i="50" s="1"/>
  <c r="AL77" i="50"/>
  <c r="AB136" i="57"/>
  <c r="AF136" i="57"/>
  <c r="AG122" i="69"/>
  <c r="AG121" i="65"/>
  <c r="AX123" i="69"/>
  <c r="O140" i="57"/>
  <c r="AG140" i="57" s="1"/>
  <c r="L140" i="57"/>
  <c r="AA136" i="57"/>
  <c r="T80" i="50"/>
  <c r="O80" i="50"/>
  <c r="AD78" i="50"/>
  <c r="X137" i="57"/>
  <c r="AF137" i="57" s="1"/>
  <c r="AJ139" i="57"/>
  <c r="AC139" i="57"/>
  <c r="AP139" i="57"/>
  <c r="AM79" i="50"/>
  <c r="U79" i="50"/>
  <c r="AH122" i="65"/>
  <c r="AV122" i="65"/>
  <c r="AG139" i="53"/>
  <c r="AH139" i="53"/>
  <c r="AC139" i="53"/>
  <c r="AT139" i="53"/>
  <c r="AB137" i="53"/>
  <c r="AA137" i="53"/>
  <c r="N140" i="57"/>
  <c r="N140" i="53"/>
  <c r="AH123" i="69"/>
  <c r="AJ78" i="50"/>
  <c r="C78" i="50"/>
  <c r="AD139" i="57"/>
  <c r="Q139" i="53"/>
  <c r="AD139" i="53"/>
  <c r="S79" i="50"/>
  <c r="V78" i="50"/>
  <c r="AK139" i="52" a="1"/>
  <c r="AK139" i="52" s="1"/>
  <c r="B141" i="53" s="1"/>
  <c r="O141" i="53" s="1"/>
  <c r="H140" i="53"/>
  <c r="G140" i="53"/>
  <c r="I140" i="53"/>
  <c r="F140" i="53"/>
  <c r="P140" i="53"/>
  <c r="K140" i="53"/>
  <c r="E140" i="53"/>
  <c r="D140" i="53"/>
  <c r="C140" i="53"/>
  <c r="L140" i="53"/>
  <c r="J140" i="53"/>
  <c r="M80" i="50"/>
  <c r="A80" i="50"/>
  <c r="Q80" i="50" s="1"/>
  <c r="P80" i="50" s="1"/>
  <c r="N80" i="50"/>
  <c r="G80" i="50"/>
  <c r="I80" i="50"/>
  <c r="J80" i="50"/>
  <c r="K80" i="50"/>
  <c r="F80" i="50"/>
  <c r="L80" i="50"/>
  <c r="H80" i="50"/>
  <c r="B80" i="50"/>
  <c r="R80" i="50" s="1"/>
  <c r="P140" i="57"/>
  <c r="K140" i="57"/>
  <c r="I140" i="57"/>
  <c r="G140" i="57"/>
  <c r="E140" i="57"/>
  <c r="C140" i="57"/>
  <c r="M140" i="57" s="1"/>
  <c r="F140" i="57"/>
  <c r="J140" i="57"/>
  <c r="H140" i="57"/>
  <c r="D140" i="57"/>
  <c r="Z78" i="50"/>
  <c r="W78" i="50"/>
  <c r="X78" i="50" s="1"/>
  <c r="Q139" i="57"/>
  <c r="T138" i="57"/>
  <c r="AK139" i="55" a="1"/>
  <c r="AK139" i="55" s="1"/>
  <c r="B141" i="57" s="1"/>
  <c r="R123" i="69"/>
  <c r="S123" i="69" s="1"/>
  <c r="Y123" i="69" s="1"/>
  <c r="AB123" i="69" s="1"/>
  <c r="AC123" i="69" s="1"/>
  <c r="AD123" i="69" s="1"/>
  <c r="U123" i="69"/>
  <c r="Q123" i="69"/>
  <c r="AE123" i="69"/>
  <c r="O125" i="69"/>
  <c r="C125" i="69"/>
  <c r="AO125" i="69" s="1"/>
  <c r="D124" i="69"/>
  <c r="E124" i="69" s="1"/>
  <c r="F124" i="69" s="1"/>
  <c r="G124" i="69" s="1"/>
  <c r="H124" i="69" s="1"/>
  <c r="I124" i="69" s="1"/>
  <c r="J124" i="69" s="1"/>
  <c r="K124" i="69" s="1"/>
  <c r="M124" i="69" s="1"/>
  <c r="N124" i="69"/>
  <c r="AF124" i="69" s="1"/>
  <c r="P124" i="69"/>
  <c r="AN125" i="67" a="1"/>
  <c r="AN125" i="67" s="1"/>
  <c r="B126" i="69"/>
  <c r="L126" i="69" s="1"/>
  <c r="AN124" i="63" a="1"/>
  <c r="AN124" i="63" s="1"/>
  <c r="B125" i="65"/>
  <c r="L125" i="65" s="1"/>
  <c r="N123" i="65"/>
  <c r="P123" i="65"/>
  <c r="D123" i="65"/>
  <c r="E123" i="65" s="1"/>
  <c r="F123" i="65" s="1"/>
  <c r="G123" i="65" s="1"/>
  <c r="H123" i="65" s="1"/>
  <c r="I123" i="65" s="1"/>
  <c r="J123" i="65" s="1"/>
  <c r="K123" i="65" s="1"/>
  <c r="M123" i="65" s="1"/>
  <c r="O124" i="65"/>
  <c r="C124" i="65"/>
  <c r="AM124" i="65" s="1"/>
  <c r="Q122" i="65"/>
  <c r="U122" i="65"/>
  <c r="R122" i="65"/>
  <c r="S122" i="65" s="1"/>
  <c r="Y122" i="65" s="1"/>
  <c r="AB122" i="65" s="1"/>
  <c r="AC122" i="65" s="1"/>
  <c r="AD122" i="65" s="1"/>
  <c r="AL70" i="11" a="1"/>
  <c r="AL70" i="11" s="1"/>
  <c r="E71" i="32" s="1"/>
  <c r="AK71" i="32" s="1"/>
  <c r="AL80" i="59" a="1"/>
  <c r="AL80" i="59" s="1"/>
  <c r="E81" i="50" s="1"/>
  <c r="AK81" i="50" s="1"/>
  <c r="AF138" i="53" l="1"/>
  <c r="AA138" i="53"/>
  <c r="AI77" i="50"/>
  <c r="AP77" i="50" s="1"/>
  <c r="AF123" i="65"/>
  <c r="AE123" i="65"/>
  <c r="X139" i="53"/>
  <c r="AB139" i="53" s="1"/>
  <c r="AE140" i="57"/>
  <c r="R140" i="57"/>
  <c r="AE140" i="53"/>
  <c r="R140" i="53"/>
  <c r="AG78" i="50"/>
  <c r="AH78" i="50" s="1"/>
  <c r="AL78" i="50"/>
  <c r="AG123" i="69"/>
  <c r="AG122" i="65"/>
  <c r="AX124" i="69"/>
  <c r="O141" i="57"/>
  <c r="AG141" i="57" s="1"/>
  <c r="L141" i="57"/>
  <c r="X138" i="57"/>
  <c r="O81" i="50"/>
  <c r="T81" i="50"/>
  <c r="AC140" i="57"/>
  <c r="AJ140" i="57"/>
  <c r="AP140" i="57"/>
  <c r="AD79" i="50"/>
  <c r="AB137" i="57"/>
  <c r="AA137" i="57"/>
  <c r="AM80" i="50"/>
  <c r="U80" i="50"/>
  <c r="AH123" i="65"/>
  <c r="AV123" i="65"/>
  <c r="AC140" i="53"/>
  <c r="AH140" i="53"/>
  <c r="AT140" i="53"/>
  <c r="AG140" i="53"/>
  <c r="N141" i="57"/>
  <c r="N141" i="53"/>
  <c r="AH124" i="69"/>
  <c r="AJ79" i="50"/>
  <c r="C79" i="50"/>
  <c r="AD140" i="57"/>
  <c r="Q140" i="53"/>
  <c r="AD140" i="53"/>
  <c r="S80" i="50"/>
  <c r="V79" i="50"/>
  <c r="J141" i="53"/>
  <c r="D141" i="53"/>
  <c r="G141" i="53"/>
  <c r="C141" i="53"/>
  <c r="H141" i="53"/>
  <c r="K141" i="53"/>
  <c r="F141" i="53"/>
  <c r="I141" i="53"/>
  <c r="L141" i="53"/>
  <c r="AK140" i="52" a="1"/>
  <c r="AK140" i="52" s="1"/>
  <c r="B142" i="53" s="1"/>
  <c r="O142" i="53" s="1"/>
  <c r="E141" i="53"/>
  <c r="P141" i="53"/>
  <c r="F81" i="50"/>
  <c r="B81" i="50"/>
  <c r="R81" i="50" s="1"/>
  <c r="H81" i="50"/>
  <c r="I81" i="50"/>
  <c r="L81" i="50"/>
  <c r="K81" i="50"/>
  <c r="A81" i="50"/>
  <c r="Q81" i="50" s="1"/>
  <c r="P81" i="50" s="1"/>
  <c r="M81" i="50"/>
  <c r="J81" i="50"/>
  <c r="G81" i="50"/>
  <c r="N81" i="50"/>
  <c r="W79" i="50"/>
  <c r="X79" i="50" s="1"/>
  <c r="Z79" i="50"/>
  <c r="Q140" i="57"/>
  <c r="K141" i="57"/>
  <c r="I141" i="57"/>
  <c r="H141" i="57"/>
  <c r="G141" i="57"/>
  <c r="E141" i="57"/>
  <c r="C141" i="57"/>
  <c r="M141" i="57" s="1"/>
  <c r="D141" i="57"/>
  <c r="P141" i="57"/>
  <c r="F141" i="57"/>
  <c r="J141" i="57"/>
  <c r="T139" i="57"/>
  <c r="AK140" i="55" a="1"/>
  <c r="AK140" i="55" s="1"/>
  <c r="B142" i="57" s="1"/>
  <c r="O126" i="69"/>
  <c r="C126" i="69"/>
  <c r="AO126" i="69" s="1"/>
  <c r="AE124" i="69"/>
  <c r="U124" i="69"/>
  <c r="Q124" i="69"/>
  <c r="R124" i="69"/>
  <c r="S124" i="69" s="1"/>
  <c r="Y124" i="69" s="1"/>
  <c r="AB124" i="69" s="1"/>
  <c r="AC124" i="69" s="1"/>
  <c r="AD124" i="69" s="1"/>
  <c r="P125" i="69"/>
  <c r="N125" i="69"/>
  <c r="AF125" i="69" s="1"/>
  <c r="D125" i="69"/>
  <c r="E125" i="69" s="1"/>
  <c r="F125" i="69" s="1"/>
  <c r="G125" i="69" s="1"/>
  <c r="H125" i="69" s="1"/>
  <c r="I125" i="69" s="1"/>
  <c r="J125" i="69" s="1"/>
  <c r="K125" i="69" s="1"/>
  <c r="M125" i="69" s="1"/>
  <c r="AN126" i="67" a="1"/>
  <c r="AN126" i="67" s="1"/>
  <c r="B127" i="69"/>
  <c r="L127" i="69" s="1"/>
  <c r="AN125" i="63" a="1"/>
  <c r="AN125" i="63" s="1"/>
  <c r="B126" i="65"/>
  <c r="L126" i="65" s="1"/>
  <c r="P124" i="65"/>
  <c r="D124" i="65"/>
  <c r="E124" i="65" s="1"/>
  <c r="F124" i="65" s="1"/>
  <c r="G124" i="65" s="1"/>
  <c r="H124" i="65" s="1"/>
  <c r="I124" i="65" s="1"/>
  <c r="J124" i="65" s="1"/>
  <c r="K124" i="65" s="1"/>
  <c r="M124" i="65" s="1"/>
  <c r="N124" i="65"/>
  <c r="U123" i="65"/>
  <c r="Q123" i="65"/>
  <c r="R123" i="65"/>
  <c r="S123" i="65" s="1"/>
  <c r="Y123" i="65" s="1"/>
  <c r="AB123" i="65" s="1"/>
  <c r="AC123" i="65" s="1"/>
  <c r="AD123" i="65" s="1"/>
  <c r="C125" i="65"/>
  <c r="AM125" i="65" s="1"/>
  <c r="O125" i="65"/>
  <c r="AL71" i="11" a="1"/>
  <c r="AL71" i="11" s="1"/>
  <c r="E72" i="32" s="1"/>
  <c r="AK72" i="32" s="1"/>
  <c r="AL81" i="59" a="1"/>
  <c r="AL81" i="59" s="1"/>
  <c r="E82" i="50" s="1"/>
  <c r="AK82" i="50" s="1"/>
  <c r="AI78" i="50" l="1"/>
  <c r="AP78" i="50" s="1"/>
  <c r="AF124" i="65"/>
  <c r="AE124" i="65"/>
  <c r="AF139" i="53"/>
  <c r="AA139" i="53"/>
  <c r="AE141" i="57"/>
  <c r="R141" i="57"/>
  <c r="AE141" i="53"/>
  <c r="R141" i="53"/>
  <c r="AG79" i="50"/>
  <c r="AH79" i="50" s="1"/>
  <c r="AL79" i="50"/>
  <c r="AA138" i="57"/>
  <c r="AF138" i="57"/>
  <c r="AG124" i="69"/>
  <c r="AG123" i="65"/>
  <c r="X139" i="57"/>
  <c r="AX125" i="69"/>
  <c r="AB138" i="57"/>
  <c r="O142" i="57"/>
  <c r="AG142" i="57" s="1"/>
  <c r="L142" i="57"/>
  <c r="O82" i="50"/>
  <c r="T82" i="50"/>
  <c r="AM81" i="50"/>
  <c r="U81" i="50"/>
  <c r="AD80" i="50"/>
  <c r="AC141" i="57"/>
  <c r="AJ141" i="57"/>
  <c r="AP141" i="57"/>
  <c r="AH124" i="65"/>
  <c r="AV124" i="65"/>
  <c r="AG141" i="53"/>
  <c r="AH141" i="53"/>
  <c r="AC141" i="53"/>
  <c r="AT141" i="53"/>
  <c r="X140" i="53"/>
  <c r="AF140" i="53" s="1"/>
  <c r="N142" i="57"/>
  <c r="N142" i="53"/>
  <c r="AH125" i="69"/>
  <c r="AJ80" i="50"/>
  <c r="C80" i="50"/>
  <c r="AD141" i="57"/>
  <c r="Q141" i="53"/>
  <c r="AD141" i="53"/>
  <c r="V80" i="50"/>
  <c r="S81" i="50"/>
  <c r="AK141" i="52" a="1"/>
  <c r="AK141" i="52" s="1"/>
  <c r="B143" i="53" s="1"/>
  <c r="O143" i="53" s="1"/>
  <c r="L142" i="53"/>
  <c r="I142" i="53"/>
  <c r="D142" i="53"/>
  <c r="P142" i="53"/>
  <c r="F142" i="53"/>
  <c r="K142" i="53"/>
  <c r="H142" i="53"/>
  <c r="C142" i="53"/>
  <c r="E142" i="53"/>
  <c r="G142" i="53"/>
  <c r="J142" i="53"/>
  <c r="K82" i="50"/>
  <c r="B82" i="50"/>
  <c r="R82" i="50" s="1"/>
  <c r="M82" i="50"/>
  <c r="A82" i="50"/>
  <c r="Q82" i="50" s="1"/>
  <c r="P82" i="50" s="1"/>
  <c r="I82" i="50"/>
  <c r="F82" i="50"/>
  <c r="L82" i="50"/>
  <c r="H82" i="50"/>
  <c r="N82" i="50"/>
  <c r="J82" i="50"/>
  <c r="G82" i="50"/>
  <c r="W80" i="50"/>
  <c r="X80" i="50" s="1"/>
  <c r="Z80" i="50"/>
  <c r="P142" i="57"/>
  <c r="K142" i="57"/>
  <c r="I142" i="57"/>
  <c r="G142" i="57"/>
  <c r="C142" i="57"/>
  <c r="M142" i="57" s="1"/>
  <c r="E142" i="57"/>
  <c r="F142" i="57"/>
  <c r="D142" i="57"/>
  <c r="J142" i="57"/>
  <c r="H142" i="57"/>
  <c r="T140" i="57"/>
  <c r="Q141" i="57"/>
  <c r="AK141" i="55" a="1"/>
  <c r="AK141" i="55" s="1"/>
  <c r="B143" i="57" s="1"/>
  <c r="Q125" i="69"/>
  <c r="AE125" i="69"/>
  <c r="U125" i="69"/>
  <c r="R125" i="69"/>
  <c r="S125" i="69" s="1"/>
  <c r="Y125" i="69" s="1"/>
  <c r="AB125" i="69" s="1"/>
  <c r="AC125" i="69" s="1"/>
  <c r="AD125" i="69" s="1"/>
  <c r="D126" i="69"/>
  <c r="E126" i="69" s="1"/>
  <c r="F126" i="69" s="1"/>
  <c r="G126" i="69" s="1"/>
  <c r="H126" i="69" s="1"/>
  <c r="I126" i="69" s="1"/>
  <c r="J126" i="69" s="1"/>
  <c r="K126" i="69" s="1"/>
  <c r="M126" i="69" s="1"/>
  <c r="P126" i="69"/>
  <c r="N126" i="69"/>
  <c r="AF126" i="69" s="1"/>
  <c r="C127" i="69"/>
  <c r="AO127" i="69" s="1"/>
  <c r="O127" i="69"/>
  <c r="AN127" i="67" a="1"/>
  <c r="AN127" i="67" s="1"/>
  <c r="B128" i="69"/>
  <c r="L128" i="69" s="1"/>
  <c r="AN126" i="63" a="1"/>
  <c r="AN126" i="63" s="1"/>
  <c r="B127" i="65"/>
  <c r="L127" i="65" s="1"/>
  <c r="C126" i="65"/>
  <c r="AM126" i="65" s="1"/>
  <c r="O126" i="65"/>
  <c r="P125" i="65"/>
  <c r="N125" i="65"/>
  <c r="D125" i="65"/>
  <c r="E125" i="65" s="1"/>
  <c r="F125" i="65" s="1"/>
  <c r="G125" i="65" s="1"/>
  <c r="H125" i="65" s="1"/>
  <c r="I125" i="65" s="1"/>
  <c r="J125" i="65" s="1"/>
  <c r="K125" i="65" s="1"/>
  <c r="M125" i="65" s="1"/>
  <c r="Q124" i="65"/>
  <c r="R124" i="65"/>
  <c r="S124" i="65" s="1"/>
  <c r="Y124" i="65" s="1"/>
  <c r="AB124" i="65" s="1"/>
  <c r="AC124" i="65" s="1"/>
  <c r="AD124" i="65" s="1"/>
  <c r="U124" i="65"/>
  <c r="AL72" i="11" a="1"/>
  <c r="AL72" i="11" s="1"/>
  <c r="E73" i="32" s="1"/>
  <c r="AK73" i="32" s="1"/>
  <c r="AL82" i="59" a="1"/>
  <c r="AL82" i="59" s="1"/>
  <c r="E83" i="50" s="1"/>
  <c r="AK83" i="50" s="1"/>
  <c r="AI79" i="50" l="1"/>
  <c r="AP79" i="50" s="1"/>
  <c r="AF125" i="65"/>
  <c r="AE125" i="65"/>
  <c r="AE142" i="57"/>
  <c r="R142" i="57"/>
  <c r="AE142" i="53"/>
  <c r="R142" i="53"/>
  <c r="AG80" i="50"/>
  <c r="AH80" i="50" s="1"/>
  <c r="AL80" i="50"/>
  <c r="AB139" i="57"/>
  <c r="AF139" i="57"/>
  <c r="AG125" i="69"/>
  <c r="AG124" i="65"/>
  <c r="X140" i="57"/>
  <c r="AA139" i="57"/>
  <c r="AX126" i="69"/>
  <c r="O143" i="57"/>
  <c r="AG143" i="57" s="1"/>
  <c r="L143" i="57"/>
  <c r="O83" i="50"/>
  <c r="T83" i="50"/>
  <c r="AM82" i="50"/>
  <c r="U82" i="50"/>
  <c r="AJ142" i="57"/>
  <c r="AC142" i="57"/>
  <c r="AP142" i="57"/>
  <c r="AD81" i="50"/>
  <c r="AH125" i="65"/>
  <c r="AV125" i="65"/>
  <c r="AB140" i="53"/>
  <c r="AA140" i="53"/>
  <c r="AG142" i="53"/>
  <c r="AH142" i="53"/>
  <c r="AT142" i="53"/>
  <c r="AC142" i="53"/>
  <c r="N143" i="57"/>
  <c r="X141" i="53"/>
  <c r="AF141" i="53" s="1"/>
  <c r="N143" i="53"/>
  <c r="AH126" i="69"/>
  <c r="AJ81" i="50"/>
  <c r="C81" i="50"/>
  <c r="AD142" i="57"/>
  <c r="AD142" i="53"/>
  <c r="S82" i="50"/>
  <c r="V81" i="50"/>
  <c r="Q142" i="53"/>
  <c r="F143" i="53"/>
  <c r="E143" i="53"/>
  <c r="H143" i="53"/>
  <c r="D143" i="53"/>
  <c r="J143" i="53"/>
  <c r="G143" i="53"/>
  <c r="K143" i="53"/>
  <c r="P143" i="53"/>
  <c r="I143" i="53"/>
  <c r="C143" i="53"/>
  <c r="AK142" i="52" a="1"/>
  <c r="AK142" i="52" s="1"/>
  <c r="B144" i="53" s="1"/>
  <c r="O144" i="53" s="1"/>
  <c r="L143" i="53"/>
  <c r="B83" i="50"/>
  <c r="R83" i="50" s="1"/>
  <c r="J83" i="50"/>
  <c r="F83" i="50"/>
  <c r="K83" i="50"/>
  <c r="A83" i="50"/>
  <c r="Q83" i="50" s="1"/>
  <c r="P83" i="50" s="1"/>
  <c r="N83" i="50"/>
  <c r="I83" i="50"/>
  <c r="M83" i="50"/>
  <c r="H83" i="50"/>
  <c r="G83" i="50"/>
  <c r="L83" i="50"/>
  <c r="Q142" i="57"/>
  <c r="T141" i="57"/>
  <c r="Z81" i="50"/>
  <c r="W81" i="50"/>
  <c r="X81" i="50" s="1"/>
  <c r="C143" i="57"/>
  <c r="M143" i="57" s="1"/>
  <c r="K143" i="57"/>
  <c r="I143" i="57"/>
  <c r="H143" i="57"/>
  <c r="G143" i="57"/>
  <c r="P143" i="57"/>
  <c r="D143" i="57"/>
  <c r="E143" i="57"/>
  <c r="J143" i="57"/>
  <c r="F143" i="57"/>
  <c r="AK142" i="55" a="1"/>
  <c r="AK142" i="55" s="1"/>
  <c r="B144" i="57" s="1"/>
  <c r="N127" i="69"/>
  <c r="AF127" i="69" s="1"/>
  <c r="D127" i="69"/>
  <c r="E127" i="69" s="1"/>
  <c r="F127" i="69" s="1"/>
  <c r="G127" i="69" s="1"/>
  <c r="H127" i="69" s="1"/>
  <c r="I127" i="69" s="1"/>
  <c r="J127" i="69" s="1"/>
  <c r="K127" i="69" s="1"/>
  <c r="M127" i="69" s="1"/>
  <c r="P127" i="69"/>
  <c r="O128" i="69"/>
  <c r="C128" i="69"/>
  <c r="AO128" i="69" s="1"/>
  <c r="AN128" i="67" a="1"/>
  <c r="AN128" i="67" s="1"/>
  <c r="B129" i="69"/>
  <c r="L129" i="69" s="1"/>
  <c r="R126" i="69"/>
  <c r="S126" i="69" s="1"/>
  <c r="Y126" i="69" s="1"/>
  <c r="AB126" i="69" s="1"/>
  <c r="AC126" i="69" s="1"/>
  <c r="AD126" i="69" s="1"/>
  <c r="AE126" i="69"/>
  <c r="Q126" i="69"/>
  <c r="U126" i="69"/>
  <c r="AN127" i="63" a="1"/>
  <c r="AN127" i="63" s="1"/>
  <c r="B128" i="65"/>
  <c r="L128" i="65" s="1"/>
  <c r="D126" i="65"/>
  <c r="E126" i="65" s="1"/>
  <c r="F126" i="65" s="1"/>
  <c r="G126" i="65" s="1"/>
  <c r="H126" i="65" s="1"/>
  <c r="I126" i="65" s="1"/>
  <c r="J126" i="65" s="1"/>
  <c r="K126" i="65" s="1"/>
  <c r="M126" i="65" s="1"/>
  <c r="P126" i="65"/>
  <c r="N126" i="65"/>
  <c r="C127" i="65"/>
  <c r="AM127" i="65" s="1"/>
  <c r="O127" i="65"/>
  <c r="Q125" i="65"/>
  <c r="R125" i="65"/>
  <c r="S125" i="65" s="1"/>
  <c r="Y125" i="65" s="1"/>
  <c r="AB125" i="65" s="1"/>
  <c r="AC125" i="65" s="1"/>
  <c r="AD125" i="65" s="1"/>
  <c r="U125" i="65"/>
  <c r="AL73" i="11" a="1"/>
  <c r="AL73" i="11" s="1"/>
  <c r="AL83" i="59" a="1"/>
  <c r="AL83" i="59" s="1"/>
  <c r="E84" i="50" s="1"/>
  <c r="AK84" i="50" s="1"/>
  <c r="AI80" i="50" l="1"/>
  <c r="AP80" i="50" s="1"/>
  <c r="AF126" i="65"/>
  <c r="AE126" i="65"/>
  <c r="AE143" i="57"/>
  <c r="R143" i="57"/>
  <c r="AE143" i="53"/>
  <c r="R143" i="53"/>
  <c r="AG81" i="50"/>
  <c r="AH81" i="50" s="1"/>
  <c r="AL81" i="50"/>
  <c r="AB140" i="57"/>
  <c r="AF140" i="57"/>
  <c r="AG126" i="69"/>
  <c r="AG125" i="65"/>
  <c r="AA140" i="57"/>
  <c r="X141" i="57"/>
  <c r="AX127" i="69"/>
  <c r="O144" i="57"/>
  <c r="AG144" i="57" s="1"/>
  <c r="L144" i="57"/>
  <c r="T84" i="50"/>
  <c r="O84" i="50"/>
  <c r="AD82" i="50"/>
  <c r="AJ143" i="57"/>
  <c r="AC143" i="57"/>
  <c r="AP143" i="57"/>
  <c r="AM83" i="50"/>
  <c r="U83" i="50"/>
  <c r="AH126" i="65"/>
  <c r="AV126" i="65"/>
  <c r="Q143" i="53"/>
  <c r="AH143" i="53"/>
  <c r="AT143" i="53"/>
  <c r="AC143" i="53"/>
  <c r="AB141" i="53"/>
  <c r="AA141" i="53"/>
  <c r="AG143" i="53"/>
  <c r="N144" i="57"/>
  <c r="D144" i="53"/>
  <c r="N144" i="53"/>
  <c r="X142" i="53"/>
  <c r="AF142" i="53" s="1"/>
  <c r="AD143" i="53"/>
  <c r="AH127" i="69"/>
  <c r="AJ82" i="50"/>
  <c r="C82" i="50"/>
  <c r="AD143" i="57"/>
  <c r="S83" i="50"/>
  <c r="V82" i="50"/>
  <c r="AK143" i="52" a="1"/>
  <c r="AK143" i="52" s="1"/>
  <c r="B145" i="53" s="1"/>
  <c r="O145" i="53" s="1"/>
  <c r="F144" i="53"/>
  <c r="H144" i="53"/>
  <c r="P144" i="53"/>
  <c r="E144" i="53"/>
  <c r="G144" i="53"/>
  <c r="J144" i="53"/>
  <c r="C144" i="53"/>
  <c r="L144" i="53"/>
  <c r="I144" i="53"/>
  <c r="K144" i="53"/>
  <c r="J84" i="50"/>
  <c r="M84" i="50"/>
  <c r="I84" i="50"/>
  <c r="K84" i="50"/>
  <c r="A84" i="50"/>
  <c r="Q84" i="50" s="1"/>
  <c r="P84" i="50" s="1"/>
  <c r="H84" i="50"/>
  <c r="F84" i="50"/>
  <c r="N84" i="50"/>
  <c r="L84" i="50"/>
  <c r="G84" i="50"/>
  <c r="B84" i="50"/>
  <c r="R84" i="50" s="1"/>
  <c r="Z82" i="50"/>
  <c r="W82" i="50"/>
  <c r="X82" i="50" s="1"/>
  <c r="P144" i="57"/>
  <c r="C144" i="57"/>
  <c r="M144" i="57" s="1"/>
  <c r="K144" i="57"/>
  <c r="I144" i="57"/>
  <c r="E144" i="57"/>
  <c r="G144" i="57"/>
  <c r="F144" i="57"/>
  <c r="J144" i="57"/>
  <c r="D144" i="57"/>
  <c r="H144" i="57"/>
  <c r="Q143" i="57"/>
  <c r="T142" i="57"/>
  <c r="E74" i="32"/>
  <c r="AK74" i="32" s="1"/>
  <c r="AK143" i="55" a="1"/>
  <c r="AK143" i="55" s="1"/>
  <c r="B145" i="57" s="1"/>
  <c r="D128" i="69"/>
  <c r="E128" i="69" s="1"/>
  <c r="F128" i="69" s="1"/>
  <c r="G128" i="69" s="1"/>
  <c r="H128" i="69" s="1"/>
  <c r="I128" i="69" s="1"/>
  <c r="J128" i="69" s="1"/>
  <c r="K128" i="69" s="1"/>
  <c r="M128" i="69" s="1"/>
  <c r="P128" i="69"/>
  <c r="N128" i="69"/>
  <c r="AF128" i="69" s="1"/>
  <c r="AN129" i="67" a="1"/>
  <c r="AN129" i="67" s="1"/>
  <c r="B130" i="69"/>
  <c r="L130" i="69" s="1"/>
  <c r="O129" i="69"/>
  <c r="C129" i="69"/>
  <c r="AO129" i="69" s="1"/>
  <c r="AE127" i="69"/>
  <c r="U127" i="69"/>
  <c r="Q127" i="69"/>
  <c r="R127" i="69"/>
  <c r="S127" i="69" s="1"/>
  <c r="Y127" i="69" s="1"/>
  <c r="AB127" i="69" s="1"/>
  <c r="AC127" i="69" s="1"/>
  <c r="AD127" i="69" s="1"/>
  <c r="AN128" i="63" a="1"/>
  <c r="AN128" i="63" s="1"/>
  <c r="B129" i="65"/>
  <c r="L129" i="65" s="1"/>
  <c r="D127" i="65"/>
  <c r="E127" i="65" s="1"/>
  <c r="F127" i="65" s="1"/>
  <c r="G127" i="65" s="1"/>
  <c r="H127" i="65" s="1"/>
  <c r="I127" i="65" s="1"/>
  <c r="J127" i="65" s="1"/>
  <c r="K127" i="65" s="1"/>
  <c r="M127" i="65" s="1"/>
  <c r="P127" i="65"/>
  <c r="N127" i="65"/>
  <c r="C128" i="65"/>
  <c r="AM128" i="65" s="1"/>
  <c r="O128" i="65"/>
  <c r="U126" i="65"/>
  <c r="Q126" i="65"/>
  <c r="R126" i="65"/>
  <c r="S126" i="65" s="1"/>
  <c r="Y126" i="65" s="1"/>
  <c r="AB126" i="65" s="1"/>
  <c r="AC126" i="65" s="1"/>
  <c r="AD126" i="65" s="1"/>
  <c r="AL74" i="11" a="1"/>
  <c r="AL74" i="11" s="1"/>
  <c r="AL84" i="59" a="1"/>
  <c r="AL84" i="59" s="1"/>
  <c r="E85" i="50" s="1"/>
  <c r="AK85" i="50" s="1"/>
  <c r="AI81" i="50" l="1"/>
  <c r="AP81" i="50" s="1"/>
  <c r="X143" i="53"/>
  <c r="AF143" i="53" s="1"/>
  <c r="AF127" i="65"/>
  <c r="AE127" i="65"/>
  <c r="AE144" i="57"/>
  <c r="R144" i="57"/>
  <c r="AE144" i="53"/>
  <c r="R144" i="53"/>
  <c r="AG82" i="50"/>
  <c r="AH82" i="50" s="1"/>
  <c r="AL82" i="50"/>
  <c r="AA141" i="57"/>
  <c r="AF141" i="57"/>
  <c r="AG127" i="69"/>
  <c r="AG126" i="65"/>
  <c r="AB141" i="57"/>
  <c r="AX128" i="69"/>
  <c r="O145" i="57"/>
  <c r="AG145" i="57" s="1"/>
  <c r="L145" i="57"/>
  <c r="T85" i="50"/>
  <c r="O85" i="50"/>
  <c r="X142" i="57"/>
  <c r="AD83" i="50"/>
  <c r="AJ144" i="57"/>
  <c r="AC144" i="57"/>
  <c r="AP144" i="57"/>
  <c r="AM84" i="50"/>
  <c r="U84" i="50"/>
  <c r="AH127" i="65"/>
  <c r="AV127" i="65"/>
  <c r="AH144" i="53"/>
  <c r="AC144" i="53"/>
  <c r="AT144" i="53"/>
  <c r="AB142" i="53"/>
  <c r="AA142" i="53"/>
  <c r="AG144" i="53"/>
  <c r="N145" i="57"/>
  <c r="K145" i="53"/>
  <c r="N145" i="53"/>
  <c r="AH128" i="69"/>
  <c r="AJ83" i="50"/>
  <c r="C83" i="50"/>
  <c r="AD144" i="57"/>
  <c r="Q144" i="53"/>
  <c r="AD144" i="53"/>
  <c r="S84" i="50"/>
  <c r="V83" i="50"/>
  <c r="AK144" i="52" a="1"/>
  <c r="AK144" i="52" s="1"/>
  <c r="B146" i="53" s="1"/>
  <c r="O146" i="53" s="1"/>
  <c r="H145" i="53"/>
  <c r="J145" i="53"/>
  <c r="F145" i="53"/>
  <c r="L145" i="53"/>
  <c r="E145" i="53"/>
  <c r="G145" i="53"/>
  <c r="P145" i="53"/>
  <c r="I145" i="53"/>
  <c r="D145" i="53"/>
  <c r="C145" i="53"/>
  <c r="M85" i="50"/>
  <c r="F85" i="50"/>
  <c r="N85" i="50"/>
  <c r="L85" i="50"/>
  <c r="G85" i="50"/>
  <c r="H85" i="50"/>
  <c r="B85" i="50"/>
  <c r="R85" i="50" s="1"/>
  <c r="J85" i="50"/>
  <c r="K85" i="50"/>
  <c r="A85" i="50"/>
  <c r="Q85" i="50" s="1"/>
  <c r="P85" i="50" s="1"/>
  <c r="I85" i="50"/>
  <c r="P145" i="57"/>
  <c r="D145" i="57"/>
  <c r="C145" i="57"/>
  <c r="M145" i="57" s="1"/>
  <c r="K145" i="57"/>
  <c r="I145" i="57"/>
  <c r="H145" i="57"/>
  <c r="E145" i="57"/>
  <c r="G145" i="57"/>
  <c r="F145" i="57"/>
  <c r="J145" i="57"/>
  <c r="T143" i="57"/>
  <c r="Q144" i="57"/>
  <c r="W83" i="50"/>
  <c r="X83" i="50" s="1"/>
  <c r="Z83" i="50"/>
  <c r="E75" i="32"/>
  <c r="AK75" i="32" s="1"/>
  <c r="AK144" i="55" a="1"/>
  <c r="AK144" i="55" s="1"/>
  <c r="B146" i="57" s="1"/>
  <c r="U128" i="69"/>
  <c r="Q128" i="69"/>
  <c r="R128" i="69"/>
  <c r="S128" i="69" s="1"/>
  <c r="Y128" i="69" s="1"/>
  <c r="AB128" i="69" s="1"/>
  <c r="AC128" i="69" s="1"/>
  <c r="AD128" i="69" s="1"/>
  <c r="AE128" i="69"/>
  <c r="P129" i="69"/>
  <c r="D129" i="69"/>
  <c r="E129" i="69" s="1"/>
  <c r="F129" i="69" s="1"/>
  <c r="G129" i="69" s="1"/>
  <c r="H129" i="69" s="1"/>
  <c r="I129" i="69" s="1"/>
  <c r="J129" i="69" s="1"/>
  <c r="K129" i="69" s="1"/>
  <c r="M129" i="69" s="1"/>
  <c r="N129" i="69"/>
  <c r="AF129" i="69" s="1"/>
  <c r="O130" i="69"/>
  <c r="C130" i="69"/>
  <c r="AO130" i="69" s="1"/>
  <c r="AN130" i="67" a="1"/>
  <c r="AN130" i="67" s="1"/>
  <c r="B131" i="69"/>
  <c r="L131" i="69" s="1"/>
  <c r="AN129" i="63" a="1"/>
  <c r="AN129" i="63" s="1"/>
  <c r="B130" i="65"/>
  <c r="L130" i="65" s="1"/>
  <c r="D128" i="65"/>
  <c r="E128" i="65" s="1"/>
  <c r="F128" i="65" s="1"/>
  <c r="G128" i="65" s="1"/>
  <c r="H128" i="65" s="1"/>
  <c r="I128" i="65" s="1"/>
  <c r="J128" i="65" s="1"/>
  <c r="K128" i="65" s="1"/>
  <c r="M128" i="65" s="1"/>
  <c r="P128" i="65"/>
  <c r="N128" i="65"/>
  <c r="C129" i="65"/>
  <c r="AM129" i="65" s="1"/>
  <c r="O129" i="65"/>
  <c r="U127" i="65"/>
  <c r="Q127" i="65"/>
  <c r="R127" i="65"/>
  <c r="S127" i="65" s="1"/>
  <c r="Y127" i="65" s="1"/>
  <c r="AB127" i="65" s="1"/>
  <c r="AC127" i="65" s="1"/>
  <c r="AD127" i="65" s="1"/>
  <c r="AL75" i="11" a="1"/>
  <c r="AL75" i="11" s="1"/>
  <c r="E76" i="32" s="1"/>
  <c r="AK76" i="32" s="1"/>
  <c r="AL85" i="59" a="1"/>
  <c r="AL85" i="59" s="1"/>
  <c r="E86" i="50" s="1"/>
  <c r="AK86" i="50" s="1"/>
  <c r="AA143" i="53" l="1"/>
  <c r="AB143" i="53"/>
  <c r="AI82" i="50"/>
  <c r="AP82" i="50" s="1"/>
  <c r="AF128" i="65"/>
  <c r="AE128" i="65"/>
  <c r="X144" i="53"/>
  <c r="AF144" i="53" s="1"/>
  <c r="AE145" i="57"/>
  <c r="R145" i="57"/>
  <c r="AE145" i="53"/>
  <c r="R145" i="53"/>
  <c r="AG83" i="50"/>
  <c r="AH83" i="50" s="1"/>
  <c r="AL83" i="50"/>
  <c r="AB142" i="57"/>
  <c r="AF142" i="57"/>
  <c r="AG128" i="69"/>
  <c r="AG127" i="65"/>
  <c r="AX129" i="69"/>
  <c r="X143" i="57"/>
  <c r="O146" i="57"/>
  <c r="AG146" i="57" s="1"/>
  <c r="L146" i="57"/>
  <c r="T86" i="50"/>
  <c r="O86" i="50"/>
  <c r="AA142" i="57"/>
  <c r="AJ145" i="57"/>
  <c r="AC145" i="57"/>
  <c r="AP145" i="57"/>
  <c r="AD84" i="50"/>
  <c r="AM85" i="50"/>
  <c r="U85" i="50"/>
  <c r="AH128" i="65"/>
  <c r="AV128" i="65"/>
  <c r="AH145" i="53"/>
  <c r="AC145" i="53"/>
  <c r="AT145" i="53"/>
  <c r="AG145" i="53"/>
  <c r="N146" i="57"/>
  <c r="N146" i="53"/>
  <c r="AH129" i="69"/>
  <c r="AJ84" i="50"/>
  <c r="C84" i="50"/>
  <c r="AD145" i="57"/>
  <c r="AD145" i="53"/>
  <c r="S85" i="50"/>
  <c r="V84" i="50"/>
  <c r="Q145" i="53"/>
  <c r="AK145" i="52" a="1"/>
  <c r="AK145" i="52" s="1"/>
  <c r="B147" i="53" s="1"/>
  <c r="O147" i="53" s="1"/>
  <c r="G146" i="53"/>
  <c r="H146" i="53"/>
  <c r="P146" i="53"/>
  <c r="J146" i="53"/>
  <c r="E146" i="53"/>
  <c r="C146" i="53"/>
  <c r="F146" i="53"/>
  <c r="I146" i="53"/>
  <c r="L146" i="53"/>
  <c r="D146" i="53"/>
  <c r="K146" i="53"/>
  <c r="F86" i="50"/>
  <c r="G86" i="50"/>
  <c r="J86" i="50"/>
  <c r="A86" i="50"/>
  <c r="Q86" i="50" s="1"/>
  <c r="P86" i="50" s="1"/>
  <c r="H86" i="50"/>
  <c r="L86" i="50"/>
  <c r="N86" i="50"/>
  <c r="I86" i="50"/>
  <c r="M86" i="50"/>
  <c r="K86" i="50"/>
  <c r="B86" i="50"/>
  <c r="R86" i="50" s="1"/>
  <c r="P146" i="57"/>
  <c r="C146" i="57"/>
  <c r="M146" i="57" s="1"/>
  <c r="K146" i="57"/>
  <c r="I146" i="57"/>
  <c r="G146" i="57"/>
  <c r="E146" i="57"/>
  <c r="F146" i="57"/>
  <c r="J146" i="57"/>
  <c r="D146" i="57"/>
  <c r="H146" i="57"/>
  <c r="W84" i="50"/>
  <c r="X84" i="50" s="1"/>
  <c r="Z84" i="50"/>
  <c r="Q145" i="57"/>
  <c r="T144" i="57"/>
  <c r="AK145" i="55" a="1"/>
  <c r="AK145" i="55" s="1"/>
  <c r="B147" i="57" s="1"/>
  <c r="D130" i="69"/>
  <c r="E130" i="69" s="1"/>
  <c r="F130" i="69" s="1"/>
  <c r="G130" i="69" s="1"/>
  <c r="H130" i="69" s="1"/>
  <c r="I130" i="69" s="1"/>
  <c r="J130" i="69" s="1"/>
  <c r="K130" i="69" s="1"/>
  <c r="M130" i="69" s="1"/>
  <c r="P130" i="69"/>
  <c r="N130" i="69"/>
  <c r="AF130" i="69" s="1"/>
  <c r="O131" i="69"/>
  <c r="C131" i="69"/>
  <c r="AO131" i="69" s="1"/>
  <c r="AN131" i="67" a="1"/>
  <c r="AN131" i="67" s="1"/>
  <c r="B132" i="69"/>
  <c r="L132" i="69" s="1"/>
  <c r="U129" i="69"/>
  <c r="AE129" i="69"/>
  <c r="R129" i="69"/>
  <c r="S129" i="69" s="1"/>
  <c r="Y129" i="69" s="1"/>
  <c r="AB129" i="69" s="1"/>
  <c r="AC129" i="69" s="1"/>
  <c r="AD129" i="69" s="1"/>
  <c r="Q129" i="69"/>
  <c r="AN130" i="63" a="1"/>
  <c r="AN130" i="63" s="1"/>
  <c r="B131" i="65"/>
  <c r="L131" i="65" s="1"/>
  <c r="P129" i="65"/>
  <c r="D129" i="65"/>
  <c r="E129" i="65" s="1"/>
  <c r="F129" i="65" s="1"/>
  <c r="G129" i="65" s="1"/>
  <c r="H129" i="65" s="1"/>
  <c r="I129" i="65" s="1"/>
  <c r="J129" i="65" s="1"/>
  <c r="K129" i="65" s="1"/>
  <c r="M129" i="65" s="1"/>
  <c r="N129" i="65"/>
  <c r="C130" i="65"/>
  <c r="AM130" i="65" s="1"/>
  <c r="O130" i="65"/>
  <c r="U128" i="65"/>
  <c r="Q128" i="65"/>
  <c r="R128" i="65"/>
  <c r="S128" i="65" s="1"/>
  <c r="Y128" i="65" s="1"/>
  <c r="AB128" i="65" s="1"/>
  <c r="AC128" i="65" s="1"/>
  <c r="AD128" i="65" s="1"/>
  <c r="AL76" i="11" a="1"/>
  <c r="AL76" i="11" s="1"/>
  <c r="E77" i="32" s="1"/>
  <c r="AK77" i="32" s="1"/>
  <c r="AL86" i="59" a="1"/>
  <c r="AL86" i="59" s="1"/>
  <c r="E87" i="50" s="1"/>
  <c r="AK87" i="50" s="1"/>
  <c r="X145" i="53" l="1"/>
  <c r="AA145" i="53" s="1"/>
  <c r="AB144" i="53"/>
  <c r="AA144" i="53"/>
  <c r="AI83" i="50"/>
  <c r="AP83" i="50" s="1"/>
  <c r="AF129" i="65"/>
  <c r="AE129" i="65"/>
  <c r="AE146" i="57"/>
  <c r="R146" i="57"/>
  <c r="AE146" i="53"/>
  <c r="R146" i="53"/>
  <c r="AG84" i="50"/>
  <c r="AH84" i="50" s="1"/>
  <c r="AL84" i="50"/>
  <c r="AB143" i="57"/>
  <c r="AF143" i="57"/>
  <c r="AG129" i="69"/>
  <c r="AG128" i="65"/>
  <c r="AX130" i="69"/>
  <c r="AA143" i="57"/>
  <c r="O147" i="57"/>
  <c r="AG147" i="57" s="1"/>
  <c r="L147" i="57"/>
  <c r="T87" i="50"/>
  <c r="O87" i="50"/>
  <c r="AD85" i="50"/>
  <c r="AJ146" i="57"/>
  <c r="AC146" i="57"/>
  <c r="AP146" i="57"/>
  <c r="AM86" i="50"/>
  <c r="U86" i="50"/>
  <c r="X144" i="57"/>
  <c r="AF144" i="57" s="1"/>
  <c r="AH129" i="65"/>
  <c r="AV129" i="65"/>
  <c r="AG146" i="53"/>
  <c r="Q146" i="53"/>
  <c r="AH146" i="53"/>
  <c r="AC146" i="53"/>
  <c r="AT146" i="53"/>
  <c r="N147" i="57"/>
  <c r="AD146" i="53"/>
  <c r="G147" i="53"/>
  <c r="N147" i="53"/>
  <c r="AH130" i="69"/>
  <c r="AJ85" i="50"/>
  <c r="C85" i="50"/>
  <c r="AD146" i="57"/>
  <c r="V85" i="50"/>
  <c r="S86" i="50"/>
  <c r="K147" i="53"/>
  <c r="C147" i="53"/>
  <c r="P147" i="53"/>
  <c r="H147" i="53"/>
  <c r="E147" i="53"/>
  <c r="J147" i="53"/>
  <c r="F147" i="53"/>
  <c r="D147" i="53"/>
  <c r="L147" i="53"/>
  <c r="AK146" i="52" a="1"/>
  <c r="AK146" i="52" s="1"/>
  <c r="B148" i="53" s="1"/>
  <c r="O148" i="53" s="1"/>
  <c r="I147" i="53"/>
  <c r="J87" i="50"/>
  <c r="N87" i="50"/>
  <c r="B87" i="50"/>
  <c r="R87" i="50" s="1"/>
  <c r="M87" i="50"/>
  <c r="A87" i="50"/>
  <c r="Q87" i="50" s="1"/>
  <c r="P87" i="50" s="1"/>
  <c r="L87" i="50"/>
  <c r="F87" i="50"/>
  <c r="I87" i="50"/>
  <c r="K87" i="50"/>
  <c r="H87" i="50"/>
  <c r="G87" i="50"/>
  <c r="Z85" i="50"/>
  <c r="W85" i="50"/>
  <c r="X85" i="50" s="1"/>
  <c r="Q146" i="57"/>
  <c r="P147" i="57"/>
  <c r="D147" i="57"/>
  <c r="C147" i="57"/>
  <c r="M147" i="57" s="1"/>
  <c r="K147" i="57"/>
  <c r="I147" i="57"/>
  <c r="H147" i="57"/>
  <c r="G147" i="57"/>
  <c r="E147" i="57"/>
  <c r="F147" i="57"/>
  <c r="J147" i="57"/>
  <c r="T145" i="57"/>
  <c r="AK146" i="55" a="1"/>
  <c r="AK146" i="55" s="1"/>
  <c r="B148" i="57" s="1"/>
  <c r="AN132" i="67" a="1"/>
  <c r="AN132" i="67" s="1"/>
  <c r="B133" i="69"/>
  <c r="L133" i="69" s="1"/>
  <c r="O132" i="69"/>
  <c r="C132" i="69"/>
  <c r="AO132" i="69" s="1"/>
  <c r="N131" i="69"/>
  <c r="AF131" i="69" s="1"/>
  <c r="P131" i="69"/>
  <c r="D131" i="69"/>
  <c r="E131" i="69" s="1"/>
  <c r="F131" i="69" s="1"/>
  <c r="G131" i="69" s="1"/>
  <c r="H131" i="69" s="1"/>
  <c r="I131" i="69" s="1"/>
  <c r="J131" i="69" s="1"/>
  <c r="K131" i="69" s="1"/>
  <c r="M131" i="69" s="1"/>
  <c r="AE130" i="69"/>
  <c r="U130" i="69"/>
  <c r="Q130" i="69"/>
  <c r="R130" i="69"/>
  <c r="S130" i="69" s="1"/>
  <c r="Y130" i="69" s="1"/>
  <c r="AB130" i="69" s="1"/>
  <c r="AC130" i="69" s="1"/>
  <c r="AD130" i="69" s="1"/>
  <c r="AN131" i="63" a="1"/>
  <c r="AN131" i="63" s="1"/>
  <c r="B132" i="65"/>
  <c r="L132" i="65" s="1"/>
  <c r="P130" i="65"/>
  <c r="N130" i="65"/>
  <c r="D130" i="65"/>
  <c r="E130" i="65" s="1"/>
  <c r="F130" i="65" s="1"/>
  <c r="G130" i="65" s="1"/>
  <c r="H130" i="65" s="1"/>
  <c r="I130" i="65" s="1"/>
  <c r="J130" i="65" s="1"/>
  <c r="K130" i="65" s="1"/>
  <c r="M130" i="65" s="1"/>
  <c r="C131" i="65"/>
  <c r="AM131" i="65" s="1"/>
  <c r="O131" i="65"/>
  <c r="R129" i="65"/>
  <c r="S129" i="65" s="1"/>
  <c r="Y129" i="65" s="1"/>
  <c r="AB129" i="65" s="1"/>
  <c r="AC129" i="65" s="1"/>
  <c r="AD129" i="65" s="1"/>
  <c r="Q129" i="65"/>
  <c r="U129" i="65"/>
  <c r="AL77" i="11" a="1"/>
  <c r="AL77" i="11" s="1"/>
  <c r="E78" i="32" s="1"/>
  <c r="AK78" i="32" s="1"/>
  <c r="AL87" i="59" a="1"/>
  <c r="AL87" i="59" s="1"/>
  <c r="E88" i="50" s="1"/>
  <c r="AK88" i="50" s="1"/>
  <c r="AB145" i="53" l="1"/>
  <c r="AF145" i="53"/>
  <c r="AI84" i="50"/>
  <c r="AP84" i="50" s="1"/>
  <c r="X146" i="53"/>
  <c r="AF146" i="53" s="1"/>
  <c r="AF130" i="65"/>
  <c r="AE130" i="65"/>
  <c r="AE147" i="57"/>
  <c r="R147" i="57"/>
  <c r="AE147" i="53"/>
  <c r="R147" i="53"/>
  <c r="AL85" i="50"/>
  <c r="AG130" i="69"/>
  <c r="AG129" i="65"/>
  <c r="X145" i="57"/>
  <c r="AG85" i="50"/>
  <c r="AH85" i="50" s="1"/>
  <c r="AX131" i="69"/>
  <c r="O148" i="57"/>
  <c r="AG148" i="57" s="1"/>
  <c r="L148" i="57"/>
  <c r="T88" i="50"/>
  <c r="O88" i="50"/>
  <c r="AJ147" i="57"/>
  <c r="AC147" i="57"/>
  <c r="AP147" i="57"/>
  <c r="AM87" i="50"/>
  <c r="U87" i="50"/>
  <c r="AD86" i="50"/>
  <c r="AB144" i="57"/>
  <c r="AA144" i="57"/>
  <c r="AH130" i="65"/>
  <c r="AV130" i="65"/>
  <c r="AH147" i="53"/>
  <c r="AC147" i="53"/>
  <c r="AT147" i="53"/>
  <c r="AG147" i="53"/>
  <c r="N148" i="57"/>
  <c r="J148" i="53"/>
  <c r="N148" i="53"/>
  <c r="AH131" i="69"/>
  <c r="AJ86" i="50"/>
  <c r="C86" i="50"/>
  <c r="AD147" i="57"/>
  <c r="AD147" i="53"/>
  <c r="S87" i="50"/>
  <c r="V86" i="50"/>
  <c r="Q147" i="53"/>
  <c r="D148" i="53"/>
  <c r="I148" i="53"/>
  <c r="E148" i="53"/>
  <c r="L148" i="53"/>
  <c r="K148" i="53"/>
  <c r="G148" i="53"/>
  <c r="P148" i="53"/>
  <c r="F148" i="53"/>
  <c r="C148" i="53"/>
  <c r="AK147" i="52" a="1"/>
  <c r="AK147" i="52" s="1"/>
  <c r="B149" i="53" s="1"/>
  <c r="O149" i="53" s="1"/>
  <c r="H148" i="53"/>
  <c r="F88" i="50"/>
  <c r="L88" i="50"/>
  <c r="N88" i="50"/>
  <c r="M88" i="50"/>
  <c r="H88" i="50"/>
  <c r="I88" i="50"/>
  <c r="G88" i="50"/>
  <c r="A88" i="50"/>
  <c r="Q88" i="50" s="1"/>
  <c r="P88" i="50" s="1"/>
  <c r="K88" i="50"/>
  <c r="B88" i="50"/>
  <c r="R88" i="50" s="1"/>
  <c r="J88" i="50"/>
  <c r="W86" i="50"/>
  <c r="X86" i="50" s="1"/>
  <c r="Z86" i="50"/>
  <c r="T146" i="57"/>
  <c r="Q147" i="57"/>
  <c r="F148" i="57"/>
  <c r="C148" i="57"/>
  <c r="M148" i="57" s="1"/>
  <c r="P148" i="57"/>
  <c r="K148" i="57"/>
  <c r="H148" i="57"/>
  <c r="E148" i="57"/>
  <c r="G148" i="57"/>
  <c r="I148" i="57"/>
  <c r="D148" i="57"/>
  <c r="J148" i="57"/>
  <c r="AK147" i="55" a="1"/>
  <c r="AK147" i="55" s="1"/>
  <c r="B149" i="57" s="1"/>
  <c r="AN133" i="67" a="1"/>
  <c r="AN133" i="67" s="1"/>
  <c r="B134" i="69"/>
  <c r="L134" i="69" s="1"/>
  <c r="O133" i="69"/>
  <c r="C133" i="69"/>
  <c r="AO133" i="69" s="1"/>
  <c r="Q131" i="69"/>
  <c r="R131" i="69"/>
  <c r="S131" i="69" s="1"/>
  <c r="Y131" i="69" s="1"/>
  <c r="AB131" i="69" s="1"/>
  <c r="AC131" i="69" s="1"/>
  <c r="AD131" i="69" s="1"/>
  <c r="U131" i="69"/>
  <c r="AE131" i="69"/>
  <c r="D132" i="69"/>
  <c r="E132" i="69" s="1"/>
  <c r="F132" i="69" s="1"/>
  <c r="G132" i="69" s="1"/>
  <c r="H132" i="69" s="1"/>
  <c r="I132" i="69" s="1"/>
  <c r="J132" i="69" s="1"/>
  <c r="K132" i="69" s="1"/>
  <c r="M132" i="69" s="1"/>
  <c r="P132" i="69"/>
  <c r="N132" i="69"/>
  <c r="AF132" i="69" s="1"/>
  <c r="AN132" i="63" a="1"/>
  <c r="AN132" i="63" s="1"/>
  <c r="B133" i="65"/>
  <c r="L133" i="65" s="1"/>
  <c r="C132" i="65"/>
  <c r="AM132" i="65" s="1"/>
  <c r="O132" i="65"/>
  <c r="D131" i="65"/>
  <c r="E131" i="65" s="1"/>
  <c r="F131" i="65" s="1"/>
  <c r="G131" i="65" s="1"/>
  <c r="H131" i="65" s="1"/>
  <c r="I131" i="65" s="1"/>
  <c r="J131" i="65" s="1"/>
  <c r="K131" i="65" s="1"/>
  <c r="M131" i="65" s="1"/>
  <c r="P131" i="65"/>
  <c r="N131" i="65"/>
  <c r="U130" i="65"/>
  <c r="Q130" i="65"/>
  <c r="R130" i="65"/>
  <c r="S130" i="65" s="1"/>
  <c r="Y130" i="65" s="1"/>
  <c r="AB130" i="65" s="1"/>
  <c r="AC130" i="65" s="1"/>
  <c r="AD130" i="65" s="1"/>
  <c r="AL78" i="11" a="1"/>
  <c r="AL78" i="11" s="1"/>
  <c r="AL88" i="59" a="1"/>
  <c r="AL88" i="59" s="1"/>
  <c r="E89" i="50" s="1"/>
  <c r="AK89" i="50" s="1"/>
  <c r="X147" i="53" l="1"/>
  <c r="AF147" i="53" s="1"/>
  <c r="AA146" i="53"/>
  <c r="AF131" i="65"/>
  <c r="AE131" i="65"/>
  <c r="AB146" i="53"/>
  <c r="AE148" i="57"/>
  <c r="R148" i="57"/>
  <c r="AE148" i="53"/>
  <c r="R148" i="53"/>
  <c r="AG86" i="50"/>
  <c r="AH86" i="50" s="1"/>
  <c r="AL86" i="50"/>
  <c r="AB145" i="57"/>
  <c r="AF145" i="57"/>
  <c r="AG131" i="69"/>
  <c r="AG130" i="65"/>
  <c r="AI85" i="50"/>
  <c r="AP85" i="50" s="1"/>
  <c r="AA145" i="57"/>
  <c r="AX132" i="69"/>
  <c r="O149" i="57"/>
  <c r="AG149" i="57" s="1"/>
  <c r="L149" i="57"/>
  <c r="T89" i="50"/>
  <c r="O89" i="50"/>
  <c r="X146" i="57"/>
  <c r="AF146" i="57" s="1"/>
  <c r="AM88" i="50"/>
  <c r="U88" i="50"/>
  <c r="AD87" i="50"/>
  <c r="AC148" i="57"/>
  <c r="AJ148" i="57"/>
  <c r="AP148" i="57"/>
  <c r="AH131" i="65"/>
  <c r="AV131" i="65"/>
  <c r="AH148" i="53"/>
  <c r="AC148" i="53"/>
  <c r="AT148" i="53"/>
  <c r="AG148" i="53"/>
  <c r="N149" i="57"/>
  <c r="N149" i="53"/>
  <c r="AH132" i="69"/>
  <c r="AJ87" i="50"/>
  <c r="C87" i="50"/>
  <c r="AD148" i="57"/>
  <c r="AD148" i="53"/>
  <c r="Q148" i="53"/>
  <c r="S88" i="50"/>
  <c r="V87" i="50"/>
  <c r="AK148" i="52" a="1"/>
  <c r="AK148" i="52" s="1"/>
  <c r="B150" i="53" s="1"/>
  <c r="O150" i="53" s="1"/>
  <c r="I149" i="53"/>
  <c r="L149" i="53"/>
  <c r="K149" i="53"/>
  <c r="F149" i="53"/>
  <c r="C149" i="53"/>
  <c r="E149" i="53"/>
  <c r="P149" i="53"/>
  <c r="D149" i="53"/>
  <c r="J149" i="53"/>
  <c r="H149" i="53"/>
  <c r="G149" i="53"/>
  <c r="I89" i="50"/>
  <c r="K89" i="50"/>
  <c r="A89" i="50"/>
  <c r="Q89" i="50" s="1"/>
  <c r="P89" i="50" s="1"/>
  <c r="L89" i="50"/>
  <c r="J89" i="50"/>
  <c r="B89" i="50"/>
  <c r="R89" i="50" s="1"/>
  <c r="M89" i="50"/>
  <c r="G89" i="50"/>
  <c r="N89" i="50"/>
  <c r="F89" i="50"/>
  <c r="H89" i="50"/>
  <c r="P149" i="57"/>
  <c r="J149" i="57"/>
  <c r="H149" i="57"/>
  <c r="E149" i="57"/>
  <c r="F149" i="57"/>
  <c r="K149" i="57"/>
  <c r="G149" i="57"/>
  <c r="C149" i="57"/>
  <c r="M149" i="57" s="1"/>
  <c r="I149" i="57"/>
  <c r="D149" i="57"/>
  <c r="T147" i="57"/>
  <c r="Q148" i="57"/>
  <c r="Z87" i="50"/>
  <c r="W87" i="50"/>
  <c r="X87" i="50" s="1"/>
  <c r="E79" i="32"/>
  <c r="AK79" i="32" s="1"/>
  <c r="AK148" i="55" a="1"/>
  <c r="AK148" i="55" s="1"/>
  <c r="B150" i="57" s="1"/>
  <c r="AE132" i="69"/>
  <c r="R132" i="69"/>
  <c r="S132" i="69" s="1"/>
  <c r="Y132" i="69" s="1"/>
  <c r="AB132" i="69" s="1"/>
  <c r="AC132" i="69" s="1"/>
  <c r="AD132" i="69" s="1"/>
  <c r="Q132" i="69"/>
  <c r="U132" i="69"/>
  <c r="C134" i="69"/>
  <c r="AO134" i="69" s="1"/>
  <c r="O134" i="69"/>
  <c r="N133" i="69"/>
  <c r="AF133" i="69" s="1"/>
  <c r="D133" i="69"/>
  <c r="E133" i="69" s="1"/>
  <c r="F133" i="69" s="1"/>
  <c r="G133" i="69" s="1"/>
  <c r="H133" i="69" s="1"/>
  <c r="I133" i="69" s="1"/>
  <c r="J133" i="69" s="1"/>
  <c r="K133" i="69" s="1"/>
  <c r="M133" i="69" s="1"/>
  <c r="P133" i="69"/>
  <c r="AN134" i="67" a="1"/>
  <c r="AN134" i="67" s="1"/>
  <c r="B135" i="69"/>
  <c r="L135" i="69" s="1"/>
  <c r="U131" i="65"/>
  <c r="R131" i="65"/>
  <c r="S131" i="65" s="1"/>
  <c r="Y131" i="65" s="1"/>
  <c r="AB131" i="65" s="1"/>
  <c r="AC131" i="65" s="1"/>
  <c r="AD131" i="65" s="1"/>
  <c r="Q131" i="65"/>
  <c r="P132" i="65"/>
  <c r="D132" i="65"/>
  <c r="E132" i="65" s="1"/>
  <c r="F132" i="65" s="1"/>
  <c r="G132" i="65" s="1"/>
  <c r="H132" i="65" s="1"/>
  <c r="I132" i="65" s="1"/>
  <c r="J132" i="65" s="1"/>
  <c r="K132" i="65" s="1"/>
  <c r="M132" i="65" s="1"/>
  <c r="N132" i="65"/>
  <c r="C133" i="65"/>
  <c r="AM133" i="65" s="1"/>
  <c r="O133" i="65"/>
  <c r="AN133" i="63" a="1"/>
  <c r="AN133" i="63" s="1"/>
  <c r="B134" i="65"/>
  <c r="L134" i="65" s="1"/>
  <c r="AL79" i="11" a="1"/>
  <c r="AL79" i="11" s="1"/>
  <c r="AL89" i="59" a="1"/>
  <c r="AL89" i="59" s="1"/>
  <c r="E90" i="50" s="1"/>
  <c r="AK90" i="50" s="1"/>
  <c r="AB147" i="53" l="1"/>
  <c r="AA147" i="53"/>
  <c r="AI86" i="50"/>
  <c r="AP86" i="50" s="1"/>
  <c r="AF132" i="65"/>
  <c r="AE132" i="65"/>
  <c r="AE149" i="57"/>
  <c r="R149" i="57"/>
  <c r="AE149" i="53"/>
  <c r="R149" i="53"/>
  <c r="AG87" i="50"/>
  <c r="AH87" i="50" s="1"/>
  <c r="AL87" i="50"/>
  <c r="AG132" i="69"/>
  <c r="AG131" i="65"/>
  <c r="AX133" i="69"/>
  <c r="O150" i="57"/>
  <c r="AG150" i="57" s="1"/>
  <c r="L150" i="57"/>
  <c r="O90" i="50"/>
  <c r="T90" i="50"/>
  <c r="AM89" i="50"/>
  <c r="U89" i="50"/>
  <c r="X147" i="57"/>
  <c r="AF147" i="57" s="1"/>
  <c r="AD88" i="50"/>
  <c r="AC149" i="57"/>
  <c r="AJ149" i="57"/>
  <c r="AP149" i="57"/>
  <c r="AA146" i="57"/>
  <c r="AB146" i="57"/>
  <c r="AH132" i="65"/>
  <c r="AV132" i="65"/>
  <c r="AG149" i="53"/>
  <c r="AH149" i="53"/>
  <c r="AC149" i="53"/>
  <c r="AT149" i="53"/>
  <c r="N150" i="57"/>
  <c r="N150" i="53"/>
  <c r="AH133" i="69"/>
  <c r="AJ88" i="50"/>
  <c r="C88" i="50"/>
  <c r="AD149" i="57"/>
  <c r="Q149" i="53"/>
  <c r="AD149" i="53"/>
  <c r="X148" i="53"/>
  <c r="AF148" i="53" s="1"/>
  <c r="S89" i="50"/>
  <c r="V88" i="50"/>
  <c r="AK149" i="52" a="1"/>
  <c r="AK149" i="52" s="1"/>
  <c r="B151" i="53" s="1"/>
  <c r="O151" i="53" s="1"/>
  <c r="J150" i="53"/>
  <c r="G150" i="53"/>
  <c r="H150" i="53"/>
  <c r="D150" i="53"/>
  <c r="F150" i="53"/>
  <c r="I150" i="53"/>
  <c r="K150" i="53"/>
  <c r="E150" i="53"/>
  <c r="P150" i="53"/>
  <c r="L150" i="53"/>
  <c r="C150" i="53"/>
  <c r="K90" i="50"/>
  <c r="M90" i="50"/>
  <c r="A90" i="50"/>
  <c r="Q90" i="50" s="1"/>
  <c r="P90" i="50" s="1"/>
  <c r="G90" i="50"/>
  <c r="F90" i="50"/>
  <c r="J90" i="50"/>
  <c r="L90" i="50"/>
  <c r="N90" i="50"/>
  <c r="H90" i="50"/>
  <c r="I90" i="50"/>
  <c r="B90" i="50"/>
  <c r="R90" i="50" s="1"/>
  <c r="Q149" i="57"/>
  <c r="T148" i="57"/>
  <c r="J150" i="57"/>
  <c r="D150" i="57"/>
  <c r="I150" i="57"/>
  <c r="E150" i="57"/>
  <c r="P150" i="57"/>
  <c r="G150" i="57"/>
  <c r="K150" i="57"/>
  <c r="F150" i="57"/>
  <c r="H150" i="57"/>
  <c r="C150" i="57"/>
  <c r="M150" i="57" s="1"/>
  <c r="Z88" i="50"/>
  <c r="W88" i="50"/>
  <c r="X88" i="50" s="1"/>
  <c r="E80" i="32"/>
  <c r="AK80" i="32" s="1"/>
  <c r="AK149" i="55" a="1"/>
  <c r="AK149" i="55" s="1"/>
  <c r="B151" i="57" s="1"/>
  <c r="AN135" i="67" a="1"/>
  <c r="AN135" i="67" s="1"/>
  <c r="B136" i="69"/>
  <c r="L136" i="69" s="1"/>
  <c r="O135" i="69"/>
  <c r="C135" i="69"/>
  <c r="AO135" i="69" s="1"/>
  <c r="Q133" i="69"/>
  <c r="AE133" i="69"/>
  <c r="R133" i="69"/>
  <c r="S133" i="69" s="1"/>
  <c r="Y133" i="69" s="1"/>
  <c r="AB133" i="69" s="1"/>
  <c r="AC133" i="69" s="1"/>
  <c r="AD133" i="69" s="1"/>
  <c r="U133" i="69"/>
  <c r="D134" i="69"/>
  <c r="E134" i="69" s="1"/>
  <c r="F134" i="69" s="1"/>
  <c r="G134" i="69" s="1"/>
  <c r="H134" i="69" s="1"/>
  <c r="I134" i="69" s="1"/>
  <c r="J134" i="69" s="1"/>
  <c r="K134" i="69" s="1"/>
  <c r="M134" i="69" s="1"/>
  <c r="P134" i="69"/>
  <c r="N134" i="69"/>
  <c r="AF134" i="69" s="1"/>
  <c r="AN134" i="63" a="1"/>
  <c r="AN134" i="63" s="1"/>
  <c r="B135" i="65"/>
  <c r="L135" i="65" s="1"/>
  <c r="O134" i="65"/>
  <c r="C134" i="65"/>
  <c r="AM134" i="65" s="1"/>
  <c r="P133" i="65"/>
  <c r="D133" i="65"/>
  <c r="E133" i="65" s="1"/>
  <c r="F133" i="65" s="1"/>
  <c r="G133" i="65" s="1"/>
  <c r="H133" i="65" s="1"/>
  <c r="I133" i="65" s="1"/>
  <c r="J133" i="65" s="1"/>
  <c r="K133" i="65" s="1"/>
  <c r="M133" i="65" s="1"/>
  <c r="N133" i="65"/>
  <c r="Q132" i="65"/>
  <c r="R132" i="65"/>
  <c r="S132" i="65" s="1"/>
  <c r="Y132" i="65" s="1"/>
  <c r="AB132" i="65" s="1"/>
  <c r="AC132" i="65" s="1"/>
  <c r="AD132" i="65" s="1"/>
  <c r="U132" i="65"/>
  <c r="AL80" i="11" a="1"/>
  <c r="AL80" i="11" s="1"/>
  <c r="E81" i="32" s="1"/>
  <c r="AK81" i="32" s="1"/>
  <c r="AL90" i="59" a="1"/>
  <c r="AL90" i="59" s="1"/>
  <c r="E91" i="50" s="1"/>
  <c r="AK91" i="50" s="1"/>
  <c r="AI87" i="50" l="1"/>
  <c r="AP87" i="50" s="1"/>
  <c r="AF133" i="65"/>
  <c r="AE133" i="65"/>
  <c r="AE150" i="57"/>
  <c r="R150" i="57"/>
  <c r="AE150" i="53"/>
  <c r="R150" i="53"/>
  <c r="AG88" i="50"/>
  <c r="AH88" i="50" s="1"/>
  <c r="AL88" i="50"/>
  <c r="AG133" i="69"/>
  <c r="AG132" i="65"/>
  <c r="AX134" i="69"/>
  <c r="X148" i="57"/>
  <c r="O151" i="57"/>
  <c r="AG151" i="57" s="1"/>
  <c r="L151" i="57"/>
  <c r="O91" i="50"/>
  <c r="T91" i="50"/>
  <c r="AJ150" i="57"/>
  <c r="AC150" i="57"/>
  <c r="AP150" i="57"/>
  <c r="AB147" i="57"/>
  <c r="AA147" i="57"/>
  <c r="AM90" i="50"/>
  <c r="U90" i="50"/>
  <c r="AD89" i="50"/>
  <c r="AH133" i="65"/>
  <c r="AV133" i="65"/>
  <c r="AH150" i="53"/>
  <c r="AT150" i="53"/>
  <c r="AC150" i="53"/>
  <c r="AB148" i="53"/>
  <c r="AA148" i="53"/>
  <c r="AG150" i="53"/>
  <c r="N151" i="57"/>
  <c r="P151" i="53"/>
  <c r="N151" i="53"/>
  <c r="AH134" i="69"/>
  <c r="AJ89" i="50"/>
  <c r="C89" i="50"/>
  <c r="X149" i="53"/>
  <c r="AF149" i="53" s="1"/>
  <c r="AD150" i="57"/>
  <c r="AD150" i="53"/>
  <c r="V89" i="50"/>
  <c r="S90" i="50"/>
  <c r="Q150" i="53"/>
  <c r="AK150" i="52" a="1"/>
  <c r="AK150" i="52" s="1"/>
  <c r="B152" i="53" s="1"/>
  <c r="O152" i="53" s="1"/>
  <c r="L151" i="53"/>
  <c r="I151" i="53"/>
  <c r="C151" i="53"/>
  <c r="F151" i="53"/>
  <c r="E151" i="53"/>
  <c r="J151" i="53"/>
  <c r="H151" i="53"/>
  <c r="G151" i="53"/>
  <c r="K151" i="53"/>
  <c r="D151" i="53"/>
  <c r="I91" i="50"/>
  <c r="N91" i="50"/>
  <c r="H91" i="50"/>
  <c r="G91" i="50"/>
  <c r="B91" i="50"/>
  <c r="R91" i="50" s="1"/>
  <c r="A91" i="50"/>
  <c r="Q91" i="50" s="1"/>
  <c r="P91" i="50" s="1"/>
  <c r="K91" i="50"/>
  <c r="M91" i="50"/>
  <c r="F91" i="50"/>
  <c r="J91" i="50"/>
  <c r="L91" i="50"/>
  <c r="Z89" i="50"/>
  <c r="W89" i="50"/>
  <c r="X89" i="50" s="1"/>
  <c r="I151" i="57"/>
  <c r="F151" i="57"/>
  <c r="D151" i="57"/>
  <c r="K151" i="57"/>
  <c r="G151" i="57"/>
  <c r="C151" i="57"/>
  <c r="M151" i="57" s="1"/>
  <c r="P151" i="57"/>
  <c r="H151" i="57"/>
  <c r="E151" i="57"/>
  <c r="J151" i="57"/>
  <c r="Q150" i="57"/>
  <c r="T149" i="57"/>
  <c r="AK150" i="55" a="1"/>
  <c r="AK150" i="55" s="1"/>
  <c r="B152" i="57" s="1"/>
  <c r="AN136" i="67" a="1"/>
  <c r="AN136" i="67" s="1"/>
  <c r="B137" i="69"/>
  <c r="L137" i="69" s="1"/>
  <c r="O136" i="69"/>
  <c r="C136" i="69"/>
  <c r="AO136" i="69" s="1"/>
  <c r="AE134" i="69"/>
  <c r="R134" i="69"/>
  <c r="S134" i="69" s="1"/>
  <c r="Y134" i="69" s="1"/>
  <c r="AB134" i="69" s="1"/>
  <c r="AC134" i="69" s="1"/>
  <c r="AD134" i="69" s="1"/>
  <c r="Q134" i="69"/>
  <c r="U134" i="69"/>
  <c r="P135" i="69"/>
  <c r="D135" i="69"/>
  <c r="E135" i="69" s="1"/>
  <c r="F135" i="69" s="1"/>
  <c r="G135" i="69" s="1"/>
  <c r="H135" i="69" s="1"/>
  <c r="I135" i="69" s="1"/>
  <c r="J135" i="69" s="1"/>
  <c r="K135" i="69" s="1"/>
  <c r="M135" i="69" s="1"/>
  <c r="N135" i="69"/>
  <c r="AF135" i="69" s="1"/>
  <c r="AN135" i="63" a="1"/>
  <c r="AN135" i="63" s="1"/>
  <c r="B136" i="65"/>
  <c r="L136" i="65" s="1"/>
  <c r="N134" i="65"/>
  <c r="P134" i="65"/>
  <c r="D134" i="65"/>
  <c r="E134" i="65" s="1"/>
  <c r="F134" i="65" s="1"/>
  <c r="G134" i="65" s="1"/>
  <c r="H134" i="65" s="1"/>
  <c r="I134" i="65" s="1"/>
  <c r="J134" i="65" s="1"/>
  <c r="K134" i="65" s="1"/>
  <c r="M134" i="65" s="1"/>
  <c r="U133" i="65"/>
  <c r="Q133" i="65"/>
  <c r="R133" i="65"/>
  <c r="S133" i="65" s="1"/>
  <c r="Y133" i="65" s="1"/>
  <c r="AB133" i="65" s="1"/>
  <c r="AC133" i="65" s="1"/>
  <c r="AD133" i="65" s="1"/>
  <c r="C135" i="65"/>
  <c r="AM135" i="65" s="1"/>
  <c r="O135" i="65"/>
  <c r="AL81" i="11" a="1"/>
  <c r="AL81" i="11" s="1"/>
  <c r="E82" i="32" s="1"/>
  <c r="AK82" i="32" s="1"/>
  <c r="AL91" i="59" a="1"/>
  <c r="AL91" i="59" s="1"/>
  <c r="E92" i="50" s="1"/>
  <c r="AK92" i="50" s="1"/>
  <c r="AI88" i="50" l="1"/>
  <c r="AP88" i="50" s="1"/>
  <c r="AF134" i="65"/>
  <c r="AE134" i="65"/>
  <c r="X150" i="53"/>
  <c r="AB150" i="53" s="1"/>
  <c r="AE151" i="57"/>
  <c r="R151" i="57"/>
  <c r="AE151" i="53"/>
  <c r="R151" i="53"/>
  <c r="AG89" i="50"/>
  <c r="AH89" i="50" s="1"/>
  <c r="AL89" i="50"/>
  <c r="AA148" i="57"/>
  <c r="AF148" i="57"/>
  <c r="AG134" i="69"/>
  <c r="AG133" i="65"/>
  <c r="AB148" i="57"/>
  <c r="AX135" i="69"/>
  <c r="O152" i="57"/>
  <c r="AG152" i="57" s="1"/>
  <c r="L152" i="57"/>
  <c r="O92" i="50"/>
  <c r="T92" i="50"/>
  <c r="X149" i="57"/>
  <c r="AJ151" i="57"/>
  <c r="AC151" i="57"/>
  <c r="AP151" i="57"/>
  <c r="AD90" i="50"/>
  <c r="AM91" i="50"/>
  <c r="U91" i="50"/>
  <c r="AH134" i="65"/>
  <c r="AV134" i="65"/>
  <c r="AH151" i="53"/>
  <c r="AT151" i="53"/>
  <c r="AC151" i="53"/>
  <c r="AG151" i="53"/>
  <c r="AB149" i="53"/>
  <c r="AA149" i="53"/>
  <c r="N152" i="57"/>
  <c r="C152" i="53"/>
  <c r="N152" i="53"/>
  <c r="AH135" i="69"/>
  <c r="AJ90" i="50"/>
  <c r="C90" i="50"/>
  <c r="AD151" i="57"/>
  <c r="Q151" i="53"/>
  <c r="AD151" i="53"/>
  <c r="S91" i="50"/>
  <c r="V90" i="50"/>
  <c r="D152" i="53"/>
  <c r="F152" i="53"/>
  <c r="E152" i="53"/>
  <c r="G152" i="53"/>
  <c r="K152" i="53"/>
  <c r="J152" i="53"/>
  <c r="H152" i="53"/>
  <c r="AK151" i="52" a="1"/>
  <c r="AK151" i="52" s="1"/>
  <c r="B153" i="53" s="1"/>
  <c r="O153" i="53" s="1"/>
  <c r="L152" i="53"/>
  <c r="I152" i="53"/>
  <c r="P152" i="53"/>
  <c r="M92" i="50"/>
  <c r="I92" i="50"/>
  <c r="K92" i="50"/>
  <c r="G92" i="50"/>
  <c r="B92" i="50"/>
  <c r="R92" i="50" s="1"/>
  <c r="J92" i="50"/>
  <c r="A92" i="50"/>
  <c r="Q92" i="50" s="1"/>
  <c r="P92" i="50" s="1"/>
  <c r="F92" i="50"/>
  <c r="N92" i="50"/>
  <c r="H92" i="50"/>
  <c r="L92" i="50"/>
  <c r="K152" i="57"/>
  <c r="J152" i="57"/>
  <c r="H152" i="57"/>
  <c r="F152" i="57"/>
  <c r="P152" i="57"/>
  <c r="D152" i="57"/>
  <c r="C152" i="57"/>
  <c r="M152" i="57" s="1"/>
  <c r="I152" i="57"/>
  <c r="E152" i="57"/>
  <c r="G152" i="57"/>
  <c r="Q151" i="57"/>
  <c r="T150" i="57"/>
  <c r="W90" i="50"/>
  <c r="X90" i="50" s="1"/>
  <c r="Z90" i="50"/>
  <c r="AK151" i="55" a="1"/>
  <c r="AK151" i="55" s="1"/>
  <c r="B153" i="57" s="1"/>
  <c r="AN137" i="67" a="1"/>
  <c r="AN137" i="67" s="1"/>
  <c r="B138" i="69"/>
  <c r="L138" i="69" s="1"/>
  <c r="D136" i="69"/>
  <c r="E136" i="69" s="1"/>
  <c r="F136" i="69" s="1"/>
  <c r="G136" i="69" s="1"/>
  <c r="H136" i="69" s="1"/>
  <c r="I136" i="69" s="1"/>
  <c r="J136" i="69" s="1"/>
  <c r="K136" i="69" s="1"/>
  <c r="M136" i="69" s="1"/>
  <c r="N136" i="69"/>
  <c r="AF136" i="69" s="1"/>
  <c r="P136" i="69"/>
  <c r="U135" i="69"/>
  <c r="AE135" i="69"/>
  <c r="Q135" i="69"/>
  <c r="R135" i="69"/>
  <c r="S135" i="69" s="1"/>
  <c r="Y135" i="69" s="1"/>
  <c r="AB135" i="69" s="1"/>
  <c r="AC135" i="69" s="1"/>
  <c r="AD135" i="69" s="1"/>
  <c r="C137" i="69"/>
  <c r="AO137" i="69" s="1"/>
  <c r="O137" i="69"/>
  <c r="AN136" i="63" a="1"/>
  <c r="AN136" i="63" s="1"/>
  <c r="B137" i="65"/>
  <c r="L137" i="65" s="1"/>
  <c r="Q134" i="65"/>
  <c r="R134" i="65"/>
  <c r="S134" i="65" s="1"/>
  <c r="Y134" i="65" s="1"/>
  <c r="AB134" i="65" s="1"/>
  <c r="AC134" i="65" s="1"/>
  <c r="AD134" i="65" s="1"/>
  <c r="U134" i="65"/>
  <c r="C136" i="65"/>
  <c r="AM136" i="65" s="1"/>
  <c r="O136" i="65"/>
  <c r="D135" i="65"/>
  <c r="E135" i="65" s="1"/>
  <c r="F135" i="65" s="1"/>
  <c r="G135" i="65" s="1"/>
  <c r="H135" i="65" s="1"/>
  <c r="I135" i="65" s="1"/>
  <c r="J135" i="65" s="1"/>
  <c r="K135" i="65" s="1"/>
  <c r="M135" i="65" s="1"/>
  <c r="N135" i="65"/>
  <c r="P135" i="65"/>
  <c r="AL82" i="11" a="1"/>
  <c r="AL82" i="11" s="1"/>
  <c r="E83" i="32" s="1"/>
  <c r="AK83" i="32" s="1"/>
  <c r="AL92" i="59" a="1"/>
  <c r="AL92" i="59" s="1"/>
  <c r="E93" i="50" s="1"/>
  <c r="AK93" i="50" s="1"/>
  <c r="AI89" i="50" l="1"/>
  <c r="AP89" i="50" s="1"/>
  <c r="AF150" i="53"/>
  <c r="AA150" i="53"/>
  <c r="AF135" i="65"/>
  <c r="AE135" i="65"/>
  <c r="AE152" i="57"/>
  <c r="R152" i="57"/>
  <c r="AE152" i="53"/>
  <c r="R152" i="53"/>
  <c r="AG90" i="50"/>
  <c r="AH90" i="50" s="1"/>
  <c r="AL90" i="50"/>
  <c r="AB149" i="57"/>
  <c r="AF149" i="57"/>
  <c r="AG135" i="69"/>
  <c r="AG134" i="65"/>
  <c r="AX136" i="69"/>
  <c r="X150" i="57"/>
  <c r="O153" i="57"/>
  <c r="AG153" i="57" s="1"/>
  <c r="L153" i="57"/>
  <c r="T93" i="50"/>
  <c r="O93" i="50"/>
  <c r="AA149" i="57"/>
  <c r="AJ152" i="57"/>
  <c r="AC152" i="57"/>
  <c r="AP152" i="57"/>
  <c r="AD91" i="50"/>
  <c r="AM92" i="50"/>
  <c r="U92" i="50"/>
  <c r="AH135" i="65"/>
  <c r="AV135" i="65"/>
  <c r="AG152" i="53"/>
  <c r="AH152" i="53"/>
  <c r="AT152" i="53"/>
  <c r="AC152" i="53"/>
  <c r="X151" i="53"/>
  <c r="AF151" i="53" s="1"/>
  <c r="N153" i="57"/>
  <c r="N153" i="53"/>
  <c r="AH136" i="69"/>
  <c r="AJ91" i="50"/>
  <c r="C91" i="50"/>
  <c r="AD152" i="57"/>
  <c r="AD152" i="53"/>
  <c r="V91" i="50"/>
  <c r="S92" i="50"/>
  <c r="Q152" i="53"/>
  <c r="D153" i="53"/>
  <c r="H153" i="53"/>
  <c r="F153" i="53"/>
  <c r="L153" i="53"/>
  <c r="I153" i="53"/>
  <c r="C153" i="53"/>
  <c r="K153" i="53"/>
  <c r="E153" i="53"/>
  <c r="J153" i="53"/>
  <c r="P153" i="53"/>
  <c r="AK152" i="52" a="1"/>
  <c r="AK152" i="52" s="1"/>
  <c r="B154" i="53" s="1"/>
  <c r="O154" i="53" s="1"/>
  <c r="G153" i="53"/>
  <c r="J93" i="50"/>
  <c r="M93" i="50"/>
  <c r="I93" i="50"/>
  <c r="B93" i="50"/>
  <c r="R93" i="50" s="1"/>
  <c r="F93" i="50"/>
  <c r="N93" i="50"/>
  <c r="L93" i="50"/>
  <c r="G93" i="50"/>
  <c r="H93" i="50"/>
  <c r="K93" i="50"/>
  <c r="A93" i="50"/>
  <c r="Q93" i="50" s="1"/>
  <c r="P93" i="50" s="1"/>
  <c r="E153" i="57"/>
  <c r="P153" i="57"/>
  <c r="J153" i="57"/>
  <c r="I153" i="57"/>
  <c r="D153" i="57"/>
  <c r="K153" i="57"/>
  <c r="G153" i="57"/>
  <c r="H153" i="57"/>
  <c r="C153" i="57"/>
  <c r="M153" i="57" s="1"/>
  <c r="F153" i="57"/>
  <c r="T151" i="57"/>
  <c r="Z91" i="50"/>
  <c r="W91" i="50"/>
  <c r="X91" i="50" s="1"/>
  <c r="Q152" i="57"/>
  <c r="AK152" i="55" a="1"/>
  <c r="AK152" i="55" s="1"/>
  <c r="B154" i="57" s="1"/>
  <c r="AE136" i="69"/>
  <c r="U136" i="69"/>
  <c r="R136" i="69"/>
  <c r="S136" i="69" s="1"/>
  <c r="Y136" i="69" s="1"/>
  <c r="AB136" i="69" s="1"/>
  <c r="AC136" i="69" s="1"/>
  <c r="AD136" i="69" s="1"/>
  <c r="Q136" i="69"/>
  <c r="O138" i="69"/>
  <c r="C138" i="69"/>
  <c r="AO138" i="69" s="1"/>
  <c r="N137" i="69"/>
  <c r="AF137" i="69" s="1"/>
  <c r="P137" i="69"/>
  <c r="D137" i="69"/>
  <c r="E137" i="69" s="1"/>
  <c r="F137" i="69" s="1"/>
  <c r="G137" i="69" s="1"/>
  <c r="H137" i="69" s="1"/>
  <c r="I137" i="69" s="1"/>
  <c r="J137" i="69" s="1"/>
  <c r="K137" i="69" s="1"/>
  <c r="M137" i="69" s="1"/>
  <c r="AN138" i="67" a="1"/>
  <c r="AN138" i="67" s="1"/>
  <c r="B139" i="69"/>
  <c r="L139" i="69" s="1"/>
  <c r="AN137" i="63" a="1"/>
  <c r="AN137" i="63" s="1"/>
  <c r="B138" i="65"/>
  <c r="L138" i="65" s="1"/>
  <c r="C137" i="65"/>
  <c r="AM137" i="65" s="1"/>
  <c r="O137" i="65"/>
  <c r="P136" i="65"/>
  <c r="D136" i="65"/>
  <c r="E136" i="65" s="1"/>
  <c r="F136" i="65" s="1"/>
  <c r="G136" i="65" s="1"/>
  <c r="H136" i="65" s="1"/>
  <c r="I136" i="65" s="1"/>
  <c r="J136" i="65" s="1"/>
  <c r="K136" i="65" s="1"/>
  <c r="M136" i="65" s="1"/>
  <c r="N136" i="65"/>
  <c r="U135" i="65"/>
  <c r="R135" i="65"/>
  <c r="S135" i="65" s="1"/>
  <c r="Y135" i="65" s="1"/>
  <c r="AB135" i="65" s="1"/>
  <c r="AC135" i="65" s="1"/>
  <c r="AD135" i="65" s="1"/>
  <c r="Q135" i="65"/>
  <c r="AL83" i="11" a="1"/>
  <c r="AL83" i="11" s="1"/>
  <c r="E84" i="32" s="1"/>
  <c r="AK84" i="32" s="1"/>
  <c r="AL93" i="59" a="1"/>
  <c r="AL93" i="59" s="1"/>
  <c r="E94" i="50" s="1"/>
  <c r="AK94" i="50" s="1"/>
  <c r="AI90" i="50" l="1"/>
  <c r="AP90" i="50" s="1"/>
  <c r="AF136" i="65"/>
  <c r="AE136" i="65"/>
  <c r="AE153" i="57"/>
  <c r="R153" i="57"/>
  <c r="AE153" i="53"/>
  <c r="R153" i="53"/>
  <c r="AG91" i="50"/>
  <c r="AH91" i="50" s="1"/>
  <c r="AL91" i="50"/>
  <c r="AA150" i="57"/>
  <c r="AF150" i="57"/>
  <c r="AG136" i="69"/>
  <c r="AG135" i="65"/>
  <c r="AX137" i="69"/>
  <c r="AB150" i="57"/>
  <c r="X151" i="57"/>
  <c r="O154" i="57"/>
  <c r="AG154" i="57" s="1"/>
  <c r="L154" i="57"/>
  <c r="T94" i="50"/>
  <c r="O94" i="50"/>
  <c r="AJ153" i="57"/>
  <c r="AC153" i="57"/>
  <c r="AP153" i="57"/>
  <c r="AM93" i="50"/>
  <c r="U93" i="50"/>
  <c r="AD92" i="50"/>
  <c r="AH136" i="65"/>
  <c r="AV136" i="65"/>
  <c r="AG153" i="53"/>
  <c r="AB151" i="53"/>
  <c r="AA151" i="53"/>
  <c r="AH153" i="53"/>
  <c r="AC153" i="53"/>
  <c r="AT153" i="53"/>
  <c r="N154" i="57"/>
  <c r="P154" i="53"/>
  <c r="N154" i="53"/>
  <c r="AH137" i="69"/>
  <c r="AJ92" i="50"/>
  <c r="C92" i="50"/>
  <c r="AD153" i="57"/>
  <c r="AD153" i="53"/>
  <c r="X152" i="53"/>
  <c r="AF152" i="53" s="1"/>
  <c r="V92" i="50"/>
  <c r="S93" i="50"/>
  <c r="Q153" i="53"/>
  <c r="AK153" i="52" a="1"/>
  <c r="AK153" i="52" s="1"/>
  <c r="B155" i="53" s="1"/>
  <c r="O155" i="53" s="1"/>
  <c r="D154" i="53"/>
  <c r="H154" i="53"/>
  <c r="E154" i="53"/>
  <c r="F154" i="53"/>
  <c r="L154" i="53"/>
  <c r="C154" i="53"/>
  <c r="G154" i="53"/>
  <c r="J154" i="53"/>
  <c r="I154" i="53"/>
  <c r="K154" i="53"/>
  <c r="F94" i="50"/>
  <c r="J94" i="50"/>
  <c r="K94" i="50"/>
  <c r="M94" i="50"/>
  <c r="A94" i="50"/>
  <c r="Q94" i="50" s="1"/>
  <c r="P94" i="50" s="1"/>
  <c r="L94" i="50"/>
  <c r="B94" i="50"/>
  <c r="R94" i="50" s="1"/>
  <c r="H94" i="50"/>
  <c r="I94" i="50"/>
  <c r="G94" i="50"/>
  <c r="N94" i="50"/>
  <c r="J154" i="57"/>
  <c r="G154" i="57"/>
  <c r="D154" i="57"/>
  <c r="C154" i="57"/>
  <c r="M154" i="57" s="1"/>
  <c r="P154" i="57"/>
  <c r="K154" i="57"/>
  <c r="F154" i="57"/>
  <c r="I154" i="57"/>
  <c r="E154" i="57"/>
  <c r="H154" i="57"/>
  <c r="Q153" i="57"/>
  <c r="W92" i="50"/>
  <c r="X92" i="50" s="1"/>
  <c r="Z92" i="50"/>
  <c r="T152" i="57"/>
  <c r="AK153" i="55" a="1"/>
  <c r="AK153" i="55" s="1"/>
  <c r="B155" i="57" s="1"/>
  <c r="C139" i="69"/>
  <c r="AO139" i="69" s="1"/>
  <c r="O139" i="69"/>
  <c r="P138" i="69"/>
  <c r="N138" i="69"/>
  <c r="AF138" i="69" s="1"/>
  <c r="D138" i="69"/>
  <c r="E138" i="69" s="1"/>
  <c r="F138" i="69" s="1"/>
  <c r="G138" i="69" s="1"/>
  <c r="H138" i="69" s="1"/>
  <c r="I138" i="69" s="1"/>
  <c r="J138" i="69" s="1"/>
  <c r="K138" i="69" s="1"/>
  <c r="M138" i="69" s="1"/>
  <c r="AN139" i="67" a="1"/>
  <c r="AN139" i="67" s="1"/>
  <c r="B140" i="69"/>
  <c r="L140" i="69" s="1"/>
  <c r="R137" i="69"/>
  <c r="S137" i="69" s="1"/>
  <c r="Y137" i="69" s="1"/>
  <c r="AB137" i="69" s="1"/>
  <c r="AC137" i="69" s="1"/>
  <c r="AD137" i="69" s="1"/>
  <c r="U137" i="69"/>
  <c r="Q137" i="69"/>
  <c r="AE137" i="69"/>
  <c r="AN138" i="63" a="1"/>
  <c r="AN138" i="63" s="1"/>
  <c r="B139" i="65"/>
  <c r="L139" i="65" s="1"/>
  <c r="U136" i="65"/>
  <c r="Q136" i="65"/>
  <c r="R136" i="65"/>
  <c r="S136" i="65" s="1"/>
  <c r="Y136" i="65" s="1"/>
  <c r="AB136" i="65" s="1"/>
  <c r="AC136" i="65" s="1"/>
  <c r="AD136" i="65" s="1"/>
  <c r="D137" i="65"/>
  <c r="E137" i="65" s="1"/>
  <c r="F137" i="65" s="1"/>
  <c r="G137" i="65" s="1"/>
  <c r="H137" i="65" s="1"/>
  <c r="I137" i="65" s="1"/>
  <c r="J137" i="65" s="1"/>
  <c r="K137" i="65" s="1"/>
  <c r="M137" i="65" s="1"/>
  <c r="P137" i="65"/>
  <c r="N137" i="65"/>
  <c r="C138" i="65"/>
  <c r="AM138" i="65" s="1"/>
  <c r="O138" i="65"/>
  <c r="AL84" i="11" a="1"/>
  <c r="AL84" i="11" s="1"/>
  <c r="E85" i="32" s="1"/>
  <c r="AK85" i="32" s="1"/>
  <c r="AL94" i="59" a="1"/>
  <c r="AL94" i="59" s="1"/>
  <c r="E95" i="50" s="1"/>
  <c r="AK95" i="50" s="1"/>
  <c r="AI91" i="50" l="1"/>
  <c r="AP91" i="50" s="1"/>
  <c r="AF137" i="65"/>
  <c r="AE137" i="65"/>
  <c r="X153" i="53"/>
  <c r="AF153" i="53" s="1"/>
  <c r="AE154" i="57"/>
  <c r="R154" i="57"/>
  <c r="AE154" i="53"/>
  <c r="R154" i="53"/>
  <c r="AG92" i="50"/>
  <c r="AH92" i="50" s="1"/>
  <c r="AL92" i="50"/>
  <c r="AB151" i="57"/>
  <c r="AF151" i="57"/>
  <c r="AG137" i="69"/>
  <c r="AG136" i="65"/>
  <c r="AX138" i="69"/>
  <c r="AA151" i="57"/>
  <c r="O155" i="57"/>
  <c r="AG155" i="57" s="1"/>
  <c r="L155" i="57"/>
  <c r="X152" i="57"/>
  <c r="T95" i="50"/>
  <c r="O95" i="50"/>
  <c r="AD93" i="50"/>
  <c r="AJ154" i="57"/>
  <c r="AC154" i="57"/>
  <c r="AP154" i="57"/>
  <c r="AM94" i="50"/>
  <c r="U94" i="50"/>
  <c r="AH137" i="65"/>
  <c r="AV137" i="65"/>
  <c r="AH154" i="53"/>
  <c r="AC154" i="53"/>
  <c r="AT154" i="53"/>
  <c r="AB152" i="53"/>
  <c r="AA152" i="53"/>
  <c r="AG154" i="53"/>
  <c r="N155" i="57"/>
  <c r="P155" i="53"/>
  <c r="N155" i="53"/>
  <c r="AH138" i="69"/>
  <c r="AJ93" i="50"/>
  <c r="C93" i="50"/>
  <c r="AD154" i="57"/>
  <c r="AD154" i="53"/>
  <c r="V93" i="50"/>
  <c r="S94" i="50"/>
  <c r="AK154" i="52" a="1"/>
  <c r="AK154" i="52" s="1"/>
  <c r="B156" i="53" s="1"/>
  <c r="O156" i="53" s="1"/>
  <c r="Q154" i="53"/>
  <c r="C155" i="53"/>
  <c r="H155" i="53"/>
  <c r="I155" i="53"/>
  <c r="K155" i="53"/>
  <c r="E155" i="53"/>
  <c r="D155" i="53"/>
  <c r="L155" i="53"/>
  <c r="F155" i="53"/>
  <c r="J155" i="53"/>
  <c r="G155" i="53"/>
  <c r="B95" i="50"/>
  <c r="R95" i="50" s="1"/>
  <c r="L95" i="50"/>
  <c r="A95" i="50"/>
  <c r="Q95" i="50" s="1"/>
  <c r="P95" i="50" s="1"/>
  <c r="J95" i="50"/>
  <c r="F95" i="50"/>
  <c r="M95" i="50"/>
  <c r="N95" i="50"/>
  <c r="I95" i="50"/>
  <c r="K95" i="50"/>
  <c r="G95" i="50"/>
  <c r="H95" i="50"/>
  <c r="J155" i="57"/>
  <c r="I155" i="57"/>
  <c r="F155" i="57"/>
  <c r="E155" i="57"/>
  <c r="D155" i="57"/>
  <c r="P155" i="57"/>
  <c r="C155" i="57"/>
  <c r="M155" i="57" s="1"/>
  <c r="H155" i="57"/>
  <c r="K155" i="57"/>
  <c r="G155" i="57"/>
  <c r="T153" i="57"/>
  <c r="Q154" i="57"/>
  <c r="Z93" i="50"/>
  <c r="W93" i="50"/>
  <c r="X93" i="50" s="1"/>
  <c r="AK154" i="55" a="1"/>
  <c r="AK154" i="55" s="1"/>
  <c r="B156" i="57" s="1"/>
  <c r="Q138" i="69"/>
  <c r="R138" i="69"/>
  <c r="S138" i="69" s="1"/>
  <c r="Y138" i="69" s="1"/>
  <c r="AB138" i="69" s="1"/>
  <c r="AC138" i="69" s="1"/>
  <c r="AD138" i="69" s="1"/>
  <c r="AE138" i="69"/>
  <c r="U138" i="69"/>
  <c r="AN140" i="67" a="1"/>
  <c r="AN140" i="67" s="1"/>
  <c r="B141" i="69"/>
  <c r="L141" i="69" s="1"/>
  <c r="O140" i="69"/>
  <c r="C140" i="69"/>
  <c r="AO140" i="69" s="1"/>
  <c r="D139" i="69"/>
  <c r="E139" i="69" s="1"/>
  <c r="F139" i="69" s="1"/>
  <c r="G139" i="69" s="1"/>
  <c r="H139" i="69" s="1"/>
  <c r="I139" i="69" s="1"/>
  <c r="J139" i="69" s="1"/>
  <c r="K139" i="69" s="1"/>
  <c r="M139" i="69" s="1"/>
  <c r="P139" i="69"/>
  <c r="N139" i="69"/>
  <c r="AF139" i="69" s="1"/>
  <c r="AN139" i="63" a="1"/>
  <c r="AN139" i="63" s="1"/>
  <c r="B140" i="65"/>
  <c r="L140" i="65" s="1"/>
  <c r="U137" i="65"/>
  <c r="R137" i="65"/>
  <c r="S137" i="65" s="1"/>
  <c r="Y137" i="65" s="1"/>
  <c r="AB137" i="65" s="1"/>
  <c r="AC137" i="65" s="1"/>
  <c r="AD137" i="65" s="1"/>
  <c r="Q137" i="65"/>
  <c r="C139" i="65"/>
  <c r="AM139" i="65" s="1"/>
  <c r="O139" i="65"/>
  <c r="P138" i="65"/>
  <c r="N138" i="65"/>
  <c r="D138" i="65"/>
  <c r="E138" i="65" s="1"/>
  <c r="F138" i="65" s="1"/>
  <c r="G138" i="65" s="1"/>
  <c r="H138" i="65" s="1"/>
  <c r="I138" i="65" s="1"/>
  <c r="J138" i="65" s="1"/>
  <c r="K138" i="65" s="1"/>
  <c r="M138" i="65" s="1"/>
  <c r="AL85" i="11" a="1"/>
  <c r="AL85" i="11" s="1"/>
  <c r="E86" i="32" s="1"/>
  <c r="AK86" i="32" s="1"/>
  <c r="AL95" i="59" a="1"/>
  <c r="AL95" i="59" s="1"/>
  <c r="E96" i="50" s="1"/>
  <c r="AK96" i="50" s="1"/>
  <c r="X154" i="53" l="1"/>
  <c r="AA154" i="53" s="1"/>
  <c r="AA153" i="53"/>
  <c r="AB153" i="53"/>
  <c r="AI92" i="50"/>
  <c r="AP92" i="50" s="1"/>
  <c r="AF138" i="65"/>
  <c r="AE138" i="65"/>
  <c r="AE155" i="57"/>
  <c r="R155" i="57"/>
  <c r="AE155" i="53"/>
  <c r="R155" i="53"/>
  <c r="AG93" i="50"/>
  <c r="AH93" i="50" s="1"/>
  <c r="AL93" i="50"/>
  <c r="AA152" i="57"/>
  <c r="AF152" i="57"/>
  <c r="AG138" i="69"/>
  <c r="AG137" i="65"/>
  <c r="AX139" i="69"/>
  <c r="AB152" i="57"/>
  <c r="X153" i="57"/>
  <c r="O156" i="57"/>
  <c r="AG156" i="57" s="1"/>
  <c r="L156" i="57"/>
  <c r="T96" i="50"/>
  <c r="O96" i="50"/>
  <c r="AJ155" i="57"/>
  <c r="AC155" i="57"/>
  <c r="AP155" i="57"/>
  <c r="AM95" i="50"/>
  <c r="U95" i="50"/>
  <c r="AD94" i="50"/>
  <c r="AH138" i="65"/>
  <c r="AV138" i="65"/>
  <c r="AH155" i="53"/>
  <c r="AC155" i="53"/>
  <c r="AT155" i="53"/>
  <c r="AG155" i="53"/>
  <c r="N156" i="57"/>
  <c r="N156" i="53"/>
  <c r="AH139" i="69"/>
  <c r="AJ94" i="50"/>
  <c r="C94" i="50"/>
  <c r="AD155" i="57"/>
  <c r="Q155" i="53"/>
  <c r="AD155" i="53"/>
  <c r="V94" i="50"/>
  <c r="S95" i="50"/>
  <c r="L156" i="53"/>
  <c r="P156" i="53"/>
  <c r="C156" i="53"/>
  <c r="E156" i="53"/>
  <c r="G156" i="53"/>
  <c r="H156" i="53"/>
  <c r="D156" i="53"/>
  <c r="I156" i="53"/>
  <c r="K156" i="53"/>
  <c r="AK155" i="52" a="1"/>
  <c r="AK155" i="52" s="1"/>
  <c r="B157" i="53" s="1"/>
  <c r="O157" i="53" s="1"/>
  <c r="J156" i="53"/>
  <c r="F156" i="53"/>
  <c r="L96" i="50"/>
  <c r="H96" i="50"/>
  <c r="A96" i="50"/>
  <c r="Q96" i="50" s="1"/>
  <c r="P96" i="50" s="1"/>
  <c r="K96" i="50"/>
  <c r="B96" i="50"/>
  <c r="R96" i="50" s="1"/>
  <c r="I96" i="50"/>
  <c r="M96" i="50"/>
  <c r="F96" i="50"/>
  <c r="G96" i="50"/>
  <c r="J96" i="50"/>
  <c r="N96" i="50"/>
  <c r="Q155" i="57"/>
  <c r="T154" i="57"/>
  <c r="Z94" i="50"/>
  <c r="W94" i="50"/>
  <c r="X94" i="50" s="1"/>
  <c r="P156" i="57"/>
  <c r="K156" i="57"/>
  <c r="H156" i="57"/>
  <c r="F156" i="57"/>
  <c r="C156" i="57"/>
  <c r="M156" i="57" s="1"/>
  <c r="I156" i="57"/>
  <c r="E156" i="57"/>
  <c r="G156" i="57"/>
  <c r="D156" i="57"/>
  <c r="J156" i="57"/>
  <c r="AK155" i="55" a="1"/>
  <c r="AK155" i="55" s="1"/>
  <c r="B157" i="57" s="1"/>
  <c r="O141" i="69"/>
  <c r="C141" i="69"/>
  <c r="AO141" i="69" s="1"/>
  <c r="U139" i="69"/>
  <c r="Q139" i="69"/>
  <c r="AE139" i="69"/>
  <c r="R139" i="69"/>
  <c r="S139" i="69" s="1"/>
  <c r="Y139" i="69" s="1"/>
  <c r="AB139" i="69" s="1"/>
  <c r="AC139" i="69" s="1"/>
  <c r="AD139" i="69" s="1"/>
  <c r="P140" i="69"/>
  <c r="D140" i="69"/>
  <c r="E140" i="69" s="1"/>
  <c r="F140" i="69" s="1"/>
  <c r="G140" i="69" s="1"/>
  <c r="H140" i="69" s="1"/>
  <c r="I140" i="69" s="1"/>
  <c r="J140" i="69" s="1"/>
  <c r="K140" i="69" s="1"/>
  <c r="M140" i="69" s="1"/>
  <c r="N140" i="69"/>
  <c r="AF140" i="69" s="1"/>
  <c r="AN141" i="67" a="1"/>
  <c r="AN141" i="67" s="1"/>
  <c r="B142" i="69"/>
  <c r="L142" i="69" s="1"/>
  <c r="AN140" i="63" a="1"/>
  <c r="AN140" i="63" s="1"/>
  <c r="B141" i="65"/>
  <c r="L141" i="65" s="1"/>
  <c r="C140" i="65"/>
  <c r="AM140" i="65" s="1"/>
  <c r="O140" i="65"/>
  <c r="U138" i="65"/>
  <c r="Q138" i="65"/>
  <c r="R138" i="65"/>
  <c r="S138" i="65" s="1"/>
  <c r="Y138" i="65" s="1"/>
  <c r="AB138" i="65" s="1"/>
  <c r="AC138" i="65" s="1"/>
  <c r="AD138" i="65" s="1"/>
  <c r="P139" i="65"/>
  <c r="D139" i="65"/>
  <c r="E139" i="65" s="1"/>
  <c r="F139" i="65" s="1"/>
  <c r="G139" i="65" s="1"/>
  <c r="H139" i="65" s="1"/>
  <c r="I139" i="65" s="1"/>
  <c r="J139" i="65" s="1"/>
  <c r="K139" i="65" s="1"/>
  <c r="M139" i="65" s="1"/>
  <c r="N139" i="65"/>
  <c r="AL86" i="11" a="1"/>
  <c r="AL86" i="11" s="1"/>
  <c r="E87" i="32" s="1"/>
  <c r="AK87" i="32" s="1"/>
  <c r="AL96" i="59" a="1"/>
  <c r="AL96" i="59" s="1"/>
  <c r="E97" i="50" s="1"/>
  <c r="AK97" i="50" s="1"/>
  <c r="AB154" i="53" l="1"/>
  <c r="AF154" i="53"/>
  <c r="AI93" i="50"/>
  <c r="AP93" i="50" s="1"/>
  <c r="AF139" i="65"/>
  <c r="AE139" i="65"/>
  <c r="AE156" i="57"/>
  <c r="R156" i="57"/>
  <c r="AE156" i="53"/>
  <c r="R156" i="53"/>
  <c r="AG94" i="50"/>
  <c r="AH94" i="50" s="1"/>
  <c r="AL94" i="50"/>
  <c r="AA153" i="57"/>
  <c r="AF153" i="57"/>
  <c r="AG139" i="69"/>
  <c r="AG138" i="65"/>
  <c r="AX140" i="69"/>
  <c r="AB153" i="57"/>
  <c r="O157" i="57"/>
  <c r="AG157" i="57" s="1"/>
  <c r="L157" i="57"/>
  <c r="T97" i="50"/>
  <c r="O97" i="50"/>
  <c r="AM96" i="50"/>
  <c r="U96" i="50"/>
  <c r="X154" i="57"/>
  <c r="AF154" i="57" s="1"/>
  <c r="AC156" i="57"/>
  <c r="AJ156" i="57"/>
  <c r="AP156" i="57"/>
  <c r="AD95" i="50"/>
  <c r="AH139" i="65"/>
  <c r="AV139" i="65"/>
  <c r="AD156" i="53"/>
  <c r="AH156" i="53"/>
  <c r="AC156" i="53"/>
  <c r="AT156" i="53"/>
  <c r="AG156" i="53"/>
  <c r="X155" i="53"/>
  <c r="AF155" i="53" s="1"/>
  <c r="N157" i="57"/>
  <c r="I157" i="53"/>
  <c r="N157" i="53"/>
  <c r="Q156" i="53"/>
  <c r="AH140" i="69"/>
  <c r="AJ95" i="50"/>
  <c r="C95" i="50"/>
  <c r="AD156" i="57"/>
  <c r="V95" i="50"/>
  <c r="S96" i="50"/>
  <c r="K157" i="53"/>
  <c r="P157" i="53"/>
  <c r="J157" i="53"/>
  <c r="F157" i="53"/>
  <c r="D157" i="53"/>
  <c r="E157" i="53"/>
  <c r="C157" i="53"/>
  <c r="H157" i="53"/>
  <c r="AK156" i="52" a="1"/>
  <c r="AK156" i="52" s="1"/>
  <c r="B158" i="53" s="1"/>
  <c r="O158" i="53" s="1"/>
  <c r="G157" i="53"/>
  <c r="L157" i="53"/>
  <c r="I97" i="50"/>
  <c r="L97" i="50"/>
  <c r="K97" i="50"/>
  <c r="M97" i="50"/>
  <c r="H97" i="50"/>
  <c r="B97" i="50"/>
  <c r="R97" i="50" s="1"/>
  <c r="J97" i="50"/>
  <c r="A97" i="50"/>
  <c r="Q97" i="50" s="1"/>
  <c r="P97" i="50" s="1"/>
  <c r="N97" i="50"/>
  <c r="G97" i="50"/>
  <c r="F97" i="50"/>
  <c r="Z95" i="50"/>
  <c r="W95" i="50"/>
  <c r="X95" i="50" s="1"/>
  <c r="P157" i="57"/>
  <c r="J157" i="57"/>
  <c r="H157" i="57"/>
  <c r="E157" i="57"/>
  <c r="C157" i="57"/>
  <c r="M157" i="57" s="1"/>
  <c r="I157" i="57"/>
  <c r="D157" i="57"/>
  <c r="F157" i="57"/>
  <c r="K157" i="57"/>
  <c r="G157" i="57"/>
  <c r="T155" i="57"/>
  <c r="Q156" i="57"/>
  <c r="AK156" i="55" a="1"/>
  <c r="AK156" i="55" s="1"/>
  <c r="B158" i="57" s="1"/>
  <c r="O142" i="69"/>
  <c r="C142" i="69"/>
  <c r="AO142" i="69" s="1"/>
  <c r="N141" i="69"/>
  <c r="AF141" i="69" s="1"/>
  <c r="D141" i="69"/>
  <c r="E141" i="69" s="1"/>
  <c r="F141" i="69" s="1"/>
  <c r="G141" i="69" s="1"/>
  <c r="H141" i="69" s="1"/>
  <c r="I141" i="69" s="1"/>
  <c r="J141" i="69" s="1"/>
  <c r="K141" i="69" s="1"/>
  <c r="M141" i="69" s="1"/>
  <c r="P141" i="69"/>
  <c r="U140" i="69"/>
  <c r="AE140" i="69"/>
  <c r="Q140" i="69"/>
  <c r="R140" i="69"/>
  <c r="S140" i="69" s="1"/>
  <c r="Y140" i="69" s="1"/>
  <c r="AB140" i="69" s="1"/>
  <c r="AC140" i="69" s="1"/>
  <c r="AD140" i="69" s="1"/>
  <c r="AN142" i="67" a="1"/>
  <c r="AN142" i="67" s="1"/>
  <c r="B143" i="69"/>
  <c r="L143" i="69" s="1"/>
  <c r="AN141" i="63" a="1"/>
  <c r="AN141" i="63" s="1"/>
  <c r="B142" i="65"/>
  <c r="L142" i="65" s="1"/>
  <c r="P140" i="65"/>
  <c r="D140" i="65"/>
  <c r="E140" i="65" s="1"/>
  <c r="F140" i="65" s="1"/>
  <c r="G140" i="65" s="1"/>
  <c r="H140" i="65" s="1"/>
  <c r="I140" i="65" s="1"/>
  <c r="J140" i="65" s="1"/>
  <c r="K140" i="65" s="1"/>
  <c r="M140" i="65" s="1"/>
  <c r="N140" i="65"/>
  <c r="C141" i="65"/>
  <c r="AM141" i="65" s="1"/>
  <c r="O141" i="65"/>
  <c r="R139" i="65"/>
  <c r="S139" i="65" s="1"/>
  <c r="Y139" i="65" s="1"/>
  <c r="AB139" i="65" s="1"/>
  <c r="AC139" i="65" s="1"/>
  <c r="AD139" i="65" s="1"/>
  <c r="Q139" i="65"/>
  <c r="U139" i="65"/>
  <c r="AL87" i="11" a="1"/>
  <c r="AL87" i="11" s="1"/>
  <c r="E88" i="32" s="1"/>
  <c r="AK88" i="32" s="1"/>
  <c r="AL97" i="59" a="1"/>
  <c r="AL97" i="59" s="1"/>
  <c r="E98" i="50" s="1"/>
  <c r="AK98" i="50" s="1"/>
  <c r="B3" i="36"/>
  <c r="X156" i="53" l="1"/>
  <c r="AB156" i="53" s="1"/>
  <c r="AI94" i="50"/>
  <c r="AP94" i="50" s="1"/>
  <c r="AF140" i="65"/>
  <c r="AE140" i="65"/>
  <c r="AE157" i="57"/>
  <c r="R157" i="57"/>
  <c r="AE157" i="53"/>
  <c r="R157" i="53"/>
  <c r="AG95" i="50"/>
  <c r="AH95" i="50" s="1"/>
  <c r="AL95" i="50"/>
  <c r="AG140" i="69"/>
  <c r="AG139" i="65"/>
  <c r="AX141" i="69"/>
  <c r="O158" i="57"/>
  <c r="AG158" i="57" s="1"/>
  <c r="L158" i="57"/>
  <c r="O98" i="50"/>
  <c r="T98" i="50"/>
  <c r="AA154" i="57"/>
  <c r="AB154" i="57"/>
  <c r="AD96" i="50"/>
  <c r="AC157" i="57"/>
  <c r="AJ157" i="57"/>
  <c r="AP157" i="57"/>
  <c r="X155" i="57"/>
  <c r="AF155" i="57" s="1"/>
  <c r="AM97" i="50"/>
  <c r="U97" i="50"/>
  <c r="AH140" i="65"/>
  <c r="AV140" i="65"/>
  <c r="AG157" i="53"/>
  <c r="AH157" i="53"/>
  <c r="AC157" i="53"/>
  <c r="AT157" i="53"/>
  <c r="AB155" i="53"/>
  <c r="AA155" i="53"/>
  <c r="N158" i="57"/>
  <c r="N158" i="53"/>
  <c r="AH141" i="69"/>
  <c r="AJ96" i="50"/>
  <c r="C96" i="50"/>
  <c r="AD157" i="57"/>
  <c r="AD157" i="53"/>
  <c r="V96" i="50"/>
  <c r="S97" i="50"/>
  <c r="Q157" i="53"/>
  <c r="I158" i="53"/>
  <c r="D158" i="53"/>
  <c r="H158" i="53"/>
  <c r="AK157" i="52" a="1"/>
  <c r="AK157" i="52" s="1"/>
  <c r="B159" i="53" s="1"/>
  <c r="O159" i="53" s="1"/>
  <c r="G158" i="53"/>
  <c r="K158" i="53"/>
  <c r="F158" i="53"/>
  <c r="C158" i="53"/>
  <c r="P158" i="53"/>
  <c r="L158" i="53"/>
  <c r="J158" i="53"/>
  <c r="E158" i="53"/>
  <c r="K98" i="50"/>
  <c r="M98" i="50"/>
  <c r="A98" i="50"/>
  <c r="Q98" i="50" s="1"/>
  <c r="P98" i="50" s="1"/>
  <c r="G98" i="50"/>
  <c r="F98" i="50"/>
  <c r="J98" i="50"/>
  <c r="I98" i="50"/>
  <c r="B98" i="50"/>
  <c r="R98" i="50" s="1"/>
  <c r="L98" i="50"/>
  <c r="H98" i="50"/>
  <c r="N98" i="50"/>
  <c r="T156" i="57"/>
  <c r="J158" i="57"/>
  <c r="D158" i="57"/>
  <c r="P158" i="57"/>
  <c r="K158" i="57"/>
  <c r="F158" i="57"/>
  <c r="H158" i="57"/>
  <c r="C158" i="57"/>
  <c r="M158" i="57" s="1"/>
  <c r="I158" i="57"/>
  <c r="G158" i="57"/>
  <c r="E158" i="57"/>
  <c r="W96" i="50"/>
  <c r="X96" i="50" s="1"/>
  <c r="Z96" i="50"/>
  <c r="Q157" i="57"/>
  <c r="AK157" i="55" a="1"/>
  <c r="AK157" i="55" s="1"/>
  <c r="B159" i="57" s="1"/>
  <c r="AN143" i="67" a="1"/>
  <c r="AN143" i="67" s="1"/>
  <c r="B144" i="69"/>
  <c r="L144" i="69" s="1"/>
  <c r="AE141" i="69"/>
  <c r="U141" i="69"/>
  <c r="R141" i="69"/>
  <c r="S141" i="69" s="1"/>
  <c r="Y141" i="69" s="1"/>
  <c r="AB141" i="69" s="1"/>
  <c r="AC141" i="69" s="1"/>
  <c r="AD141" i="69" s="1"/>
  <c r="Q141" i="69"/>
  <c r="D142" i="69"/>
  <c r="E142" i="69" s="1"/>
  <c r="F142" i="69" s="1"/>
  <c r="G142" i="69" s="1"/>
  <c r="H142" i="69" s="1"/>
  <c r="I142" i="69" s="1"/>
  <c r="J142" i="69" s="1"/>
  <c r="K142" i="69" s="1"/>
  <c r="M142" i="69" s="1"/>
  <c r="P142" i="69"/>
  <c r="N142" i="69"/>
  <c r="AF142" i="69" s="1"/>
  <c r="O143" i="69"/>
  <c r="C143" i="69"/>
  <c r="AO143" i="69" s="1"/>
  <c r="C142" i="65"/>
  <c r="AM142" i="65" s="1"/>
  <c r="O142" i="65"/>
  <c r="AN142" i="63" a="1"/>
  <c r="AN142" i="63" s="1"/>
  <c r="B143" i="65"/>
  <c r="L143" i="65" s="1"/>
  <c r="P141" i="65"/>
  <c r="D141" i="65"/>
  <c r="E141" i="65" s="1"/>
  <c r="F141" i="65" s="1"/>
  <c r="G141" i="65" s="1"/>
  <c r="H141" i="65" s="1"/>
  <c r="I141" i="65" s="1"/>
  <c r="J141" i="65" s="1"/>
  <c r="K141" i="65" s="1"/>
  <c r="M141" i="65" s="1"/>
  <c r="N141" i="65"/>
  <c r="U140" i="65"/>
  <c r="Q140" i="65"/>
  <c r="R140" i="65"/>
  <c r="S140" i="65" s="1"/>
  <c r="Y140" i="65" s="1"/>
  <c r="AB140" i="65" s="1"/>
  <c r="AC140" i="65" s="1"/>
  <c r="AD140" i="65" s="1"/>
  <c r="AL88" i="11" a="1"/>
  <c r="AL88" i="11" s="1"/>
  <c r="E89" i="32" s="1"/>
  <c r="AK89" i="32" s="1"/>
  <c r="AL98" i="59" a="1"/>
  <c r="AL98" i="59" s="1"/>
  <c r="E99" i="50" s="1"/>
  <c r="AK99" i="50" s="1"/>
  <c r="E3" i="32"/>
  <c r="AF156" i="53" l="1"/>
  <c r="AA156" i="53"/>
  <c r="AI95" i="50"/>
  <c r="AP95" i="50" s="1"/>
  <c r="AF141" i="65"/>
  <c r="AE141" i="65"/>
  <c r="AE158" i="57"/>
  <c r="R158" i="57"/>
  <c r="AE158" i="53"/>
  <c r="R158" i="53"/>
  <c r="AG96" i="50"/>
  <c r="AH96" i="50" s="1"/>
  <c r="AL96" i="50"/>
  <c r="AG141" i="69"/>
  <c r="AG140" i="65"/>
  <c r="AX142" i="69"/>
  <c r="X156" i="57"/>
  <c r="O159" i="57"/>
  <c r="AG159" i="57" s="1"/>
  <c r="L159" i="57"/>
  <c r="O99" i="50"/>
  <c r="T99" i="50"/>
  <c r="AM98" i="50"/>
  <c r="U98" i="50"/>
  <c r="AB155" i="57"/>
  <c r="AA155" i="57"/>
  <c r="AD97" i="50"/>
  <c r="AJ158" i="57"/>
  <c r="AC158" i="57"/>
  <c r="AP158" i="57"/>
  <c r="AH141" i="65"/>
  <c r="AV141" i="65"/>
  <c r="AH158" i="53"/>
  <c r="AT158" i="53"/>
  <c r="AC158" i="53"/>
  <c r="AG158" i="53"/>
  <c r="N159" i="57"/>
  <c r="D159" i="53"/>
  <c r="N159" i="53"/>
  <c r="AH142" i="69"/>
  <c r="AJ97" i="50"/>
  <c r="C97" i="50"/>
  <c r="AD158" i="57"/>
  <c r="AD158" i="53"/>
  <c r="V97" i="50"/>
  <c r="S98" i="50"/>
  <c r="X157" i="53"/>
  <c r="AF157" i="53" s="1"/>
  <c r="Q158" i="53"/>
  <c r="AK158" i="52" a="1"/>
  <c r="AK158" i="52" s="1"/>
  <c r="B160" i="53" s="1"/>
  <c r="O160" i="53" s="1"/>
  <c r="C159" i="53"/>
  <c r="I159" i="53"/>
  <c r="H159" i="53"/>
  <c r="L159" i="53"/>
  <c r="G159" i="53"/>
  <c r="E159" i="53"/>
  <c r="F159" i="53"/>
  <c r="K159" i="53"/>
  <c r="P159" i="53"/>
  <c r="J159" i="53"/>
  <c r="K99" i="50"/>
  <c r="I99" i="50"/>
  <c r="N99" i="50"/>
  <c r="B99" i="50"/>
  <c r="R99" i="50" s="1"/>
  <c r="J99" i="50"/>
  <c r="G99" i="50"/>
  <c r="M99" i="50"/>
  <c r="H99" i="50"/>
  <c r="A99" i="50"/>
  <c r="Q99" i="50" s="1"/>
  <c r="P99" i="50" s="1"/>
  <c r="L99" i="50"/>
  <c r="F99" i="50"/>
  <c r="T157" i="57"/>
  <c r="Q158" i="57"/>
  <c r="D159" i="57"/>
  <c r="I159" i="57"/>
  <c r="F159" i="57"/>
  <c r="H159" i="57"/>
  <c r="K159" i="57"/>
  <c r="G159" i="57"/>
  <c r="C159" i="57"/>
  <c r="M159" i="57" s="1"/>
  <c r="J159" i="57"/>
  <c r="E159" i="57"/>
  <c r="P159" i="57"/>
  <c r="Z97" i="50"/>
  <c r="W97" i="50"/>
  <c r="X97" i="50" s="1"/>
  <c r="AK158" i="55" a="1"/>
  <c r="AK158" i="55" s="1"/>
  <c r="B160" i="57" s="1"/>
  <c r="D143" i="69"/>
  <c r="E143" i="69" s="1"/>
  <c r="F143" i="69" s="1"/>
  <c r="G143" i="69" s="1"/>
  <c r="H143" i="69" s="1"/>
  <c r="I143" i="69" s="1"/>
  <c r="J143" i="69" s="1"/>
  <c r="K143" i="69" s="1"/>
  <c r="M143" i="69" s="1"/>
  <c r="N143" i="69"/>
  <c r="AF143" i="69" s="1"/>
  <c r="P143" i="69"/>
  <c r="C144" i="69"/>
  <c r="AO144" i="69" s="1"/>
  <c r="O144" i="69"/>
  <c r="Q142" i="69"/>
  <c r="AE142" i="69"/>
  <c r="U142" i="69"/>
  <c r="R142" i="69"/>
  <c r="S142" i="69" s="1"/>
  <c r="Y142" i="69" s="1"/>
  <c r="AB142" i="69" s="1"/>
  <c r="AC142" i="69" s="1"/>
  <c r="AD142" i="69" s="1"/>
  <c r="AN144" i="67" a="1"/>
  <c r="AN144" i="67" s="1"/>
  <c r="B145" i="69"/>
  <c r="L145" i="69" s="1"/>
  <c r="N142" i="65"/>
  <c r="P142" i="65"/>
  <c r="D142" i="65"/>
  <c r="E142" i="65" s="1"/>
  <c r="F142" i="65" s="1"/>
  <c r="G142" i="65" s="1"/>
  <c r="H142" i="65" s="1"/>
  <c r="I142" i="65" s="1"/>
  <c r="J142" i="65" s="1"/>
  <c r="K142" i="65" s="1"/>
  <c r="M142" i="65" s="1"/>
  <c r="C143" i="65"/>
  <c r="AM143" i="65" s="1"/>
  <c r="O143" i="65"/>
  <c r="AN143" i="63" a="1"/>
  <c r="AN143" i="63" s="1"/>
  <c r="B144" i="65"/>
  <c r="L144" i="65" s="1"/>
  <c r="U141" i="65"/>
  <c r="R141" i="65"/>
  <c r="S141" i="65" s="1"/>
  <c r="Y141" i="65" s="1"/>
  <c r="AB141" i="65" s="1"/>
  <c r="AC141" i="65" s="1"/>
  <c r="AD141" i="65" s="1"/>
  <c r="Q141" i="65"/>
  <c r="AL89" i="11" a="1"/>
  <c r="AL89" i="11" s="1"/>
  <c r="E90" i="32" s="1"/>
  <c r="AK90" i="32" s="1"/>
  <c r="AL99" i="59" a="1"/>
  <c r="AL99" i="59" s="1"/>
  <c r="E100" i="50" s="1"/>
  <c r="AK100" i="50" s="1"/>
  <c r="AI96" i="50" l="1"/>
  <c r="AP96" i="50" s="1"/>
  <c r="AF142" i="65"/>
  <c r="AE142" i="65"/>
  <c r="X158" i="53"/>
  <c r="AF158" i="53" s="1"/>
  <c r="AE159" i="57"/>
  <c r="R159" i="57"/>
  <c r="AE159" i="53"/>
  <c r="R159" i="53"/>
  <c r="AG97" i="50"/>
  <c r="AH97" i="50" s="1"/>
  <c r="AL97" i="50"/>
  <c r="AB156" i="57"/>
  <c r="AF156" i="57"/>
  <c r="AG142" i="69"/>
  <c r="AG141" i="65"/>
  <c r="AX143" i="69"/>
  <c r="AA156" i="57"/>
  <c r="O160" i="57"/>
  <c r="AG160" i="57" s="1"/>
  <c r="L160" i="57"/>
  <c r="O100" i="50"/>
  <c r="T100" i="50"/>
  <c r="AJ159" i="57"/>
  <c r="AC159" i="57"/>
  <c r="AP159" i="57"/>
  <c r="X157" i="57"/>
  <c r="AF157" i="57" s="1"/>
  <c r="AD98" i="50"/>
  <c r="AM99" i="50"/>
  <c r="U99" i="50"/>
  <c r="AH142" i="65"/>
  <c r="AV142" i="65"/>
  <c r="AG159" i="53"/>
  <c r="AH159" i="53"/>
  <c r="AT159" i="53"/>
  <c r="AC159" i="53"/>
  <c r="AB157" i="53"/>
  <c r="AA157" i="53"/>
  <c r="N160" i="57"/>
  <c r="N160" i="53"/>
  <c r="AH143" i="69"/>
  <c r="AJ98" i="50"/>
  <c r="C98" i="50"/>
  <c r="AD159" i="57"/>
  <c r="AD159" i="53"/>
  <c r="Q159" i="53"/>
  <c r="S99" i="50"/>
  <c r="V98" i="50"/>
  <c r="AK159" i="52" a="1"/>
  <c r="AK159" i="52" s="1"/>
  <c r="B161" i="53" s="1"/>
  <c r="O161" i="53" s="1"/>
  <c r="D160" i="53"/>
  <c r="E160" i="53"/>
  <c r="L160" i="53"/>
  <c r="J160" i="53"/>
  <c r="G160" i="53"/>
  <c r="K160" i="53"/>
  <c r="P160" i="53"/>
  <c r="C160" i="53"/>
  <c r="I160" i="53"/>
  <c r="H160" i="53"/>
  <c r="F160" i="53"/>
  <c r="I100" i="50"/>
  <c r="M100" i="50"/>
  <c r="K100" i="50"/>
  <c r="G100" i="50"/>
  <c r="B100" i="50"/>
  <c r="R100" i="50" s="1"/>
  <c r="H100" i="50"/>
  <c r="A100" i="50"/>
  <c r="Q100" i="50" s="1"/>
  <c r="P100" i="50" s="1"/>
  <c r="J100" i="50"/>
  <c r="L100" i="50"/>
  <c r="N100" i="50"/>
  <c r="F100" i="50"/>
  <c r="Q159" i="57"/>
  <c r="K160" i="57"/>
  <c r="J160" i="57"/>
  <c r="H160" i="57"/>
  <c r="F160" i="57"/>
  <c r="D160" i="57"/>
  <c r="P160" i="57"/>
  <c r="C160" i="57"/>
  <c r="M160" i="57" s="1"/>
  <c r="I160" i="57"/>
  <c r="E160" i="57"/>
  <c r="G160" i="57"/>
  <c r="T158" i="57"/>
  <c r="Z98" i="50"/>
  <c r="W98" i="50"/>
  <c r="X98" i="50" s="1"/>
  <c r="AK159" i="55" a="1"/>
  <c r="AK159" i="55" s="1"/>
  <c r="B161" i="57" s="1"/>
  <c r="O145" i="69"/>
  <c r="C145" i="69"/>
  <c r="AO145" i="69" s="1"/>
  <c r="AE143" i="69"/>
  <c r="U143" i="69"/>
  <c r="Q143" i="69"/>
  <c r="R143" i="69"/>
  <c r="S143" i="69" s="1"/>
  <c r="Y143" i="69" s="1"/>
  <c r="AB143" i="69" s="1"/>
  <c r="AC143" i="69" s="1"/>
  <c r="AD143" i="69" s="1"/>
  <c r="AN145" i="67" a="1"/>
  <c r="AN145" i="67" s="1"/>
  <c r="B146" i="69"/>
  <c r="L146" i="69" s="1"/>
  <c r="N144" i="69"/>
  <c r="AF144" i="69" s="1"/>
  <c r="P144" i="69"/>
  <c r="D144" i="69"/>
  <c r="E144" i="69" s="1"/>
  <c r="F144" i="69" s="1"/>
  <c r="G144" i="69" s="1"/>
  <c r="H144" i="69" s="1"/>
  <c r="I144" i="69" s="1"/>
  <c r="J144" i="69" s="1"/>
  <c r="K144" i="69" s="1"/>
  <c r="M144" i="69" s="1"/>
  <c r="U142" i="65"/>
  <c r="Q142" i="65"/>
  <c r="R142" i="65"/>
  <c r="S142" i="65" s="1"/>
  <c r="Y142" i="65" s="1"/>
  <c r="AB142" i="65" s="1"/>
  <c r="AC142" i="65" s="1"/>
  <c r="AD142" i="65" s="1"/>
  <c r="N143" i="65"/>
  <c r="P143" i="65"/>
  <c r="D143" i="65"/>
  <c r="E143" i="65" s="1"/>
  <c r="F143" i="65" s="1"/>
  <c r="G143" i="65" s="1"/>
  <c r="H143" i="65" s="1"/>
  <c r="I143" i="65" s="1"/>
  <c r="J143" i="65" s="1"/>
  <c r="K143" i="65" s="1"/>
  <c r="M143" i="65" s="1"/>
  <c r="C144" i="65"/>
  <c r="AM144" i="65" s="1"/>
  <c r="O144" i="65"/>
  <c r="AN144" i="63" a="1"/>
  <c r="AN144" i="63" s="1"/>
  <c r="B145" i="65"/>
  <c r="L145" i="65" s="1"/>
  <c r="AL90" i="11" a="1"/>
  <c r="AL90" i="11" s="1"/>
  <c r="E91" i="32" s="1"/>
  <c r="AK91" i="32" s="1"/>
  <c r="AL100" i="59" a="1"/>
  <c r="AL100" i="59" s="1"/>
  <c r="E101" i="50" s="1"/>
  <c r="AK101" i="50" s="1"/>
  <c r="X159" i="53" l="1"/>
  <c r="AF159" i="53" s="1"/>
  <c r="AA158" i="53"/>
  <c r="AB158" i="53"/>
  <c r="AI97" i="50"/>
  <c r="AP97" i="50" s="1"/>
  <c r="AF143" i="65"/>
  <c r="AE143" i="65"/>
  <c r="AE160" i="57"/>
  <c r="R160" i="57"/>
  <c r="AE160" i="53"/>
  <c r="R160" i="53"/>
  <c r="AG98" i="50"/>
  <c r="AH98" i="50" s="1"/>
  <c r="AL98" i="50"/>
  <c r="AG143" i="69"/>
  <c r="AG142" i="65"/>
  <c r="AX144" i="69"/>
  <c r="O161" i="57"/>
  <c r="AG161" i="57" s="1"/>
  <c r="L161" i="57"/>
  <c r="X158" i="57"/>
  <c r="T101" i="50"/>
  <c r="O101" i="50"/>
  <c r="AJ160" i="57"/>
  <c r="AC160" i="57"/>
  <c r="AP160" i="57"/>
  <c r="AM100" i="50"/>
  <c r="U100" i="50"/>
  <c r="AD99" i="50"/>
  <c r="AB157" i="57"/>
  <c r="AA157" i="57"/>
  <c r="AH143" i="65"/>
  <c r="AV143" i="65"/>
  <c r="AG160" i="53"/>
  <c r="AH160" i="53"/>
  <c r="AT160" i="53"/>
  <c r="AC160" i="53"/>
  <c r="N161" i="57"/>
  <c r="N161" i="53"/>
  <c r="AH144" i="69"/>
  <c r="AJ99" i="50"/>
  <c r="C99" i="50"/>
  <c r="AD160" i="57"/>
  <c r="AD160" i="53"/>
  <c r="Q160" i="53"/>
  <c r="V99" i="50"/>
  <c r="S100" i="50"/>
  <c r="P161" i="53"/>
  <c r="F161" i="53"/>
  <c r="C161" i="53"/>
  <c r="J161" i="53"/>
  <c r="I161" i="53"/>
  <c r="G161" i="53"/>
  <c r="H161" i="53"/>
  <c r="D161" i="53"/>
  <c r="AK160" i="52" a="1"/>
  <c r="AK160" i="52" s="1"/>
  <c r="B162" i="53" s="1"/>
  <c r="O162" i="53" s="1"/>
  <c r="E161" i="53"/>
  <c r="K161" i="53"/>
  <c r="L161" i="53"/>
  <c r="J101" i="50"/>
  <c r="M101" i="50"/>
  <c r="I101" i="50"/>
  <c r="G101" i="50"/>
  <c r="F101" i="50"/>
  <c r="L101" i="50"/>
  <c r="N101" i="50"/>
  <c r="B101" i="50"/>
  <c r="R101" i="50" s="1"/>
  <c r="H101" i="50"/>
  <c r="K101" i="50"/>
  <c r="A101" i="50"/>
  <c r="Q101" i="50" s="1"/>
  <c r="P101" i="50" s="1"/>
  <c r="T159" i="57"/>
  <c r="Z99" i="50"/>
  <c r="W99" i="50"/>
  <c r="X99" i="50" s="1"/>
  <c r="P161" i="57"/>
  <c r="J161" i="57"/>
  <c r="E161" i="57"/>
  <c r="K161" i="57"/>
  <c r="G161" i="57"/>
  <c r="C161" i="57"/>
  <c r="M161" i="57" s="1"/>
  <c r="F161" i="57"/>
  <c r="I161" i="57"/>
  <c r="H161" i="57"/>
  <c r="D161" i="57"/>
  <c r="Q160" i="57"/>
  <c r="AK160" i="55" a="1"/>
  <c r="AK160" i="55" s="1"/>
  <c r="B162" i="57" s="1"/>
  <c r="Q144" i="69"/>
  <c r="AE144" i="69"/>
  <c r="U144" i="69"/>
  <c r="R144" i="69"/>
  <c r="S144" i="69" s="1"/>
  <c r="Y144" i="69" s="1"/>
  <c r="AB144" i="69" s="1"/>
  <c r="AC144" i="69" s="1"/>
  <c r="AD144" i="69" s="1"/>
  <c r="O146" i="69"/>
  <c r="C146" i="69"/>
  <c r="AO146" i="69" s="1"/>
  <c r="D145" i="69"/>
  <c r="E145" i="69" s="1"/>
  <c r="F145" i="69" s="1"/>
  <c r="G145" i="69" s="1"/>
  <c r="H145" i="69" s="1"/>
  <c r="I145" i="69" s="1"/>
  <c r="J145" i="69" s="1"/>
  <c r="K145" i="69" s="1"/>
  <c r="M145" i="69" s="1"/>
  <c r="N145" i="69"/>
  <c r="AF145" i="69" s="1"/>
  <c r="P145" i="69"/>
  <c r="AN146" i="67" a="1"/>
  <c r="AN146" i="67" s="1"/>
  <c r="B147" i="69"/>
  <c r="L147" i="69" s="1"/>
  <c r="N144" i="65"/>
  <c r="P144" i="65"/>
  <c r="D144" i="65"/>
  <c r="E144" i="65" s="1"/>
  <c r="F144" i="65" s="1"/>
  <c r="G144" i="65" s="1"/>
  <c r="H144" i="65" s="1"/>
  <c r="I144" i="65" s="1"/>
  <c r="J144" i="65" s="1"/>
  <c r="K144" i="65" s="1"/>
  <c r="M144" i="65" s="1"/>
  <c r="R143" i="65"/>
  <c r="S143" i="65" s="1"/>
  <c r="Y143" i="65" s="1"/>
  <c r="AB143" i="65" s="1"/>
  <c r="AC143" i="65" s="1"/>
  <c r="AD143" i="65" s="1"/>
  <c r="Q143" i="65"/>
  <c r="U143" i="65"/>
  <c r="C145" i="65"/>
  <c r="AM145" i="65" s="1"/>
  <c r="O145" i="65"/>
  <c r="AN145" i="63" a="1"/>
  <c r="AN145" i="63" s="1"/>
  <c r="B146" i="65"/>
  <c r="L146" i="65" s="1"/>
  <c r="AL91" i="11" a="1"/>
  <c r="AL91" i="11" s="1"/>
  <c r="E92" i="32" s="1"/>
  <c r="AK92" i="32" s="1"/>
  <c r="AL101" i="59" a="1"/>
  <c r="AL101" i="59" s="1"/>
  <c r="E102" i="50" s="1"/>
  <c r="AK102" i="50" s="1"/>
  <c r="E3" i="50"/>
  <c r="AA159" i="53" l="1"/>
  <c r="AB159" i="53"/>
  <c r="X160" i="53"/>
  <c r="AA160" i="53" s="1"/>
  <c r="AI98" i="50"/>
  <c r="AP98" i="50" s="1"/>
  <c r="AF144" i="65"/>
  <c r="AE144" i="65"/>
  <c r="AE161" i="57"/>
  <c r="R161" i="57"/>
  <c r="AE161" i="53"/>
  <c r="R161" i="53"/>
  <c r="AG99" i="50"/>
  <c r="AH99" i="50" s="1"/>
  <c r="AL99" i="50"/>
  <c r="AA158" i="57"/>
  <c r="AF158" i="57"/>
  <c r="AG144" i="69"/>
  <c r="AG143" i="65"/>
  <c r="AX145" i="69"/>
  <c r="AB158" i="57"/>
  <c r="O162" i="57"/>
  <c r="AG162" i="57" s="1"/>
  <c r="L162" i="57"/>
  <c r="T102" i="50"/>
  <c r="O102" i="50"/>
  <c r="X159" i="57"/>
  <c r="AD100" i="50"/>
  <c r="AM101" i="50"/>
  <c r="U101" i="50"/>
  <c r="AJ161" i="57"/>
  <c r="AC161" i="57"/>
  <c r="AP161" i="57"/>
  <c r="AH144" i="65"/>
  <c r="AV144" i="65"/>
  <c r="AH161" i="53"/>
  <c r="AC161" i="53"/>
  <c r="AT161" i="53"/>
  <c r="AG161" i="53"/>
  <c r="N162" i="57"/>
  <c r="L162" i="53"/>
  <c r="N162" i="53"/>
  <c r="AH145" i="69"/>
  <c r="AJ100" i="50"/>
  <c r="C100" i="50"/>
  <c r="AD161" i="57"/>
  <c r="Q161" i="53"/>
  <c r="X161" i="53" s="1"/>
  <c r="AD161" i="53"/>
  <c r="V100" i="50"/>
  <c r="S101" i="50"/>
  <c r="D162" i="53"/>
  <c r="H162" i="53"/>
  <c r="AK161" i="52" a="1"/>
  <c r="AK161" i="52" s="1"/>
  <c r="B163" i="53" s="1"/>
  <c r="O163" i="53" s="1"/>
  <c r="F162" i="53"/>
  <c r="K162" i="53"/>
  <c r="C162" i="53"/>
  <c r="I162" i="53"/>
  <c r="P162" i="53"/>
  <c r="J162" i="53"/>
  <c r="G162" i="53"/>
  <c r="E162" i="53"/>
  <c r="I102" i="50"/>
  <c r="N102" i="50"/>
  <c r="F102" i="50"/>
  <c r="J102" i="50"/>
  <c r="K102" i="50"/>
  <c r="H102" i="50"/>
  <c r="A102" i="50"/>
  <c r="Q102" i="50" s="1"/>
  <c r="P102" i="50" s="1"/>
  <c r="G102" i="50"/>
  <c r="B102" i="50"/>
  <c r="R102" i="50" s="1"/>
  <c r="M102" i="50"/>
  <c r="L102" i="50"/>
  <c r="Q161" i="57"/>
  <c r="J162" i="57"/>
  <c r="G162" i="57"/>
  <c r="D162" i="57"/>
  <c r="I162" i="57"/>
  <c r="E162" i="57"/>
  <c r="H162" i="57"/>
  <c r="C162" i="57"/>
  <c r="M162" i="57" s="1"/>
  <c r="P162" i="57"/>
  <c r="K162" i="57"/>
  <c r="F162" i="57"/>
  <c r="T160" i="57"/>
  <c r="Z100" i="50"/>
  <c r="W100" i="50"/>
  <c r="X100" i="50" s="1"/>
  <c r="AK161" i="55" a="1"/>
  <c r="AK161" i="55" s="1"/>
  <c r="B163" i="57" s="1"/>
  <c r="U145" i="69"/>
  <c r="R145" i="69"/>
  <c r="S145" i="69" s="1"/>
  <c r="Y145" i="69" s="1"/>
  <c r="AB145" i="69" s="1"/>
  <c r="AC145" i="69" s="1"/>
  <c r="AD145" i="69" s="1"/>
  <c r="Q145" i="69"/>
  <c r="AE145" i="69"/>
  <c r="D146" i="69"/>
  <c r="E146" i="69" s="1"/>
  <c r="F146" i="69" s="1"/>
  <c r="G146" i="69" s="1"/>
  <c r="H146" i="69" s="1"/>
  <c r="I146" i="69" s="1"/>
  <c r="J146" i="69" s="1"/>
  <c r="K146" i="69" s="1"/>
  <c r="M146" i="69" s="1"/>
  <c r="P146" i="69"/>
  <c r="N146" i="69"/>
  <c r="AF146" i="69" s="1"/>
  <c r="O147" i="69"/>
  <c r="C147" i="69"/>
  <c r="AO147" i="69" s="1"/>
  <c r="AN147" i="67" a="1"/>
  <c r="AN147" i="67" s="1"/>
  <c r="B148" i="69"/>
  <c r="L148" i="69" s="1"/>
  <c r="AN146" i="63" a="1"/>
  <c r="AN146" i="63" s="1"/>
  <c r="B147" i="65"/>
  <c r="L147" i="65" s="1"/>
  <c r="D145" i="65"/>
  <c r="E145" i="65" s="1"/>
  <c r="F145" i="65" s="1"/>
  <c r="G145" i="65" s="1"/>
  <c r="H145" i="65" s="1"/>
  <c r="I145" i="65" s="1"/>
  <c r="J145" i="65" s="1"/>
  <c r="K145" i="65" s="1"/>
  <c r="M145" i="65" s="1"/>
  <c r="P145" i="65"/>
  <c r="N145" i="65"/>
  <c r="C146" i="65"/>
  <c r="AM146" i="65" s="1"/>
  <c r="O146" i="65"/>
  <c r="U144" i="65"/>
  <c r="Q144" i="65"/>
  <c r="R144" i="65"/>
  <c r="S144" i="65" s="1"/>
  <c r="Y144" i="65" s="1"/>
  <c r="AB144" i="65" s="1"/>
  <c r="AC144" i="65" s="1"/>
  <c r="AD144" i="65" s="1"/>
  <c r="AL92" i="11" a="1"/>
  <c r="AL92" i="11" s="1"/>
  <c r="E93" i="32" s="1"/>
  <c r="AK93" i="32" s="1"/>
  <c r="AL102" i="59" a="1"/>
  <c r="AL102" i="59" s="1"/>
  <c r="E103" i="50" s="1"/>
  <c r="AK103" i="50" s="1"/>
  <c r="D3" i="11"/>
  <c r="A13" i="32" s="1"/>
  <c r="AF160" i="53" l="1"/>
  <c r="AB160" i="53"/>
  <c r="AI99" i="50"/>
  <c r="AP99" i="50" s="1"/>
  <c r="AF145" i="65"/>
  <c r="AE145" i="65"/>
  <c r="AE162" i="57"/>
  <c r="R162" i="57"/>
  <c r="AE162" i="53"/>
  <c r="R162" i="53"/>
  <c r="AF161" i="53"/>
  <c r="AG100" i="50"/>
  <c r="AH100" i="50" s="1"/>
  <c r="AL100" i="50"/>
  <c r="AB159" i="57"/>
  <c r="AF159" i="57"/>
  <c r="AG145" i="69"/>
  <c r="AG144" i="65"/>
  <c r="A12" i="32"/>
  <c r="F12" i="32"/>
  <c r="M92" i="32"/>
  <c r="O92" i="32"/>
  <c r="L92" i="32"/>
  <c r="I92" i="32"/>
  <c r="K92" i="32"/>
  <c r="G92" i="32"/>
  <c r="L25" i="32"/>
  <c r="K25" i="32"/>
  <c r="M25" i="32"/>
  <c r="J25" i="32"/>
  <c r="F25" i="32"/>
  <c r="A25" i="32"/>
  <c r="N25" i="32"/>
  <c r="B25" i="32"/>
  <c r="G25" i="32"/>
  <c r="O25" i="32"/>
  <c r="H25" i="32"/>
  <c r="I25" i="32"/>
  <c r="A26" i="32"/>
  <c r="M26" i="32"/>
  <c r="B26" i="32"/>
  <c r="F26" i="32"/>
  <c r="G26" i="32"/>
  <c r="O26" i="32"/>
  <c r="J26" i="32"/>
  <c r="H26" i="32"/>
  <c r="K26" i="32"/>
  <c r="I26" i="32"/>
  <c r="N26" i="32"/>
  <c r="L26" i="32"/>
  <c r="A27" i="32"/>
  <c r="F27" i="32"/>
  <c r="B27" i="32"/>
  <c r="L27" i="32"/>
  <c r="H27" i="32"/>
  <c r="G27" i="32"/>
  <c r="O27" i="32"/>
  <c r="I27" i="32"/>
  <c r="N27" i="32"/>
  <c r="M27" i="32"/>
  <c r="J27" i="32"/>
  <c r="K27" i="32"/>
  <c r="F28" i="32"/>
  <c r="M28" i="32"/>
  <c r="N28" i="32"/>
  <c r="L28" i="32"/>
  <c r="G28" i="32"/>
  <c r="A28" i="32"/>
  <c r="O28" i="32"/>
  <c r="B28" i="32"/>
  <c r="H28" i="32"/>
  <c r="J28" i="32"/>
  <c r="K28" i="32"/>
  <c r="I28" i="32"/>
  <c r="L29" i="32"/>
  <c r="M29" i="32"/>
  <c r="F29" i="32"/>
  <c r="A29" i="32"/>
  <c r="N29" i="32"/>
  <c r="K29" i="32"/>
  <c r="B29" i="32"/>
  <c r="G29" i="32"/>
  <c r="O29" i="32"/>
  <c r="H29" i="32"/>
  <c r="I29" i="32"/>
  <c r="J29" i="32"/>
  <c r="L30" i="32"/>
  <c r="H30" i="32"/>
  <c r="A30" i="32"/>
  <c r="M30" i="32"/>
  <c r="B30" i="32"/>
  <c r="F30" i="32"/>
  <c r="N30" i="32"/>
  <c r="G30" i="32"/>
  <c r="O30" i="32"/>
  <c r="J30" i="32"/>
  <c r="I30" i="32"/>
  <c r="K30" i="32"/>
  <c r="G31" i="32"/>
  <c r="H31" i="32"/>
  <c r="A31" i="32"/>
  <c r="L31" i="32"/>
  <c r="B31" i="32"/>
  <c r="I31" i="32"/>
  <c r="N31" i="32"/>
  <c r="J31" i="32"/>
  <c r="M31" i="32"/>
  <c r="O31" i="32"/>
  <c r="F31" i="32"/>
  <c r="K31" i="32"/>
  <c r="N32" i="32"/>
  <c r="M32" i="32"/>
  <c r="G32" i="32"/>
  <c r="K32" i="32"/>
  <c r="A32" i="32"/>
  <c r="O32" i="32"/>
  <c r="I32" i="32"/>
  <c r="F32" i="32"/>
  <c r="L32" i="32"/>
  <c r="B32" i="32"/>
  <c r="H32" i="32"/>
  <c r="J32" i="32"/>
  <c r="M33" i="32"/>
  <c r="F33" i="32"/>
  <c r="A33" i="32"/>
  <c r="N33" i="32"/>
  <c r="B33" i="32"/>
  <c r="G33" i="32"/>
  <c r="O33" i="32"/>
  <c r="H33" i="32"/>
  <c r="J33" i="32"/>
  <c r="I33" i="32"/>
  <c r="L33" i="32"/>
  <c r="K33" i="32"/>
  <c r="B34" i="32"/>
  <c r="F34" i="32"/>
  <c r="N34" i="32"/>
  <c r="G34" i="32"/>
  <c r="J34" i="32"/>
  <c r="K34" i="32"/>
  <c r="O34" i="32"/>
  <c r="I34" i="32"/>
  <c r="H34" i="32"/>
  <c r="L34" i="32"/>
  <c r="A34" i="32"/>
  <c r="M34" i="32"/>
  <c r="J35" i="32"/>
  <c r="B35" i="32"/>
  <c r="L35" i="32"/>
  <c r="M35" i="32"/>
  <c r="G35" i="32"/>
  <c r="F35" i="32"/>
  <c r="N35" i="32"/>
  <c r="O35" i="32"/>
  <c r="H35" i="32"/>
  <c r="I35" i="32"/>
  <c r="A35" i="32"/>
  <c r="K35" i="32"/>
  <c r="M36" i="32"/>
  <c r="L36" i="32"/>
  <c r="H36" i="32"/>
  <c r="G36" i="32"/>
  <c r="A36" i="32"/>
  <c r="O36" i="32"/>
  <c r="B36" i="32"/>
  <c r="I36" i="32"/>
  <c r="K36" i="32"/>
  <c r="J36" i="32"/>
  <c r="F36" i="32"/>
  <c r="N36" i="32"/>
  <c r="F37" i="32"/>
  <c r="A37" i="32"/>
  <c r="N37" i="32"/>
  <c r="B37" i="32"/>
  <c r="G37" i="32"/>
  <c r="O37" i="32"/>
  <c r="H37" i="32"/>
  <c r="K37" i="32"/>
  <c r="M37" i="32"/>
  <c r="I37" i="32"/>
  <c r="L37" i="32"/>
  <c r="J37" i="32"/>
  <c r="L38" i="32"/>
  <c r="A38" i="32"/>
  <c r="M38" i="32"/>
  <c r="B38" i="32"/>
  <c r="F38" i="32"/>
  <c r="N38" i="32"/>
  <c r="I38" i="32"/>
  <c r="G38" i="32"/>
  <c r="O38" i="32"/>
  <c r="J38" i="32"/>
  <c r="K38" i="32"/>
  <c r="H38" i="32"/>
  <c r="I39" i="32"/>
  <c r="N39" i="32"/>
  <c r="J39" i="32"/>
  <c r="A39" i="32"/>
  <c r="K39" i="32"/>
  <c r="L39" i="32"/>
  <c r="M39" i="32"/>
  <c r="F39" i="32"/>
  <c r="G39" i="32"/>
  <c r="H39" i="32"/>
  <c r="O39" i="32"/>
  <c r="B39" i="32"/>
  <c r="J40" i="32"/>
  <c r="L40" i="32"/>
  <c r="K40" i="32"/>
  <c r="F40" i="32"/>
  <c r="M40" i="32"/>
  <c r="N40" i="32"/>
  <c r="G40" i="32"/>
  <c r="A40" i="32"/>
  <c r="O40" i="32"/>
  <c r="B40" i="32"/>
  <c r="H40" i="32"/>
  <c r="I40" i="32"/>
  <c r="F41" i="32"/>
  <c r="A41" i="32"/>
  <c r="N41" i="32"/>
  <c r="B41" i="32"/>
  <c r="G41" i="32"/>
  <c r="H41" i="32"/>
  <c r="M41" i="32"/>
  <c r="O41" i="32"/>
  <c r="K41" i="32"/>
  <c r="I41" i="32"/>
  <c r="L41" i="32"/>
  <c r="J41" i="32"/>
  <c r="J42" i="32"/>
  <c r="M42" i="32"/>
  <c r="K42" i="32"/>
  <c r="I42" i="32"/>
  <c r="L42" i="32"/>
  <c r="B42" i="32"/>
  <c r="F42" i="32"/>
  <c r="N42" i="32"/>
  <c r="G42" i="32"/>
  <c r="A42" i="32"/>
  <c r="O42" i="32"/>
  <c r="H42" i="32"/>
  <c r="O43" i="32"/>
  <c r="H43" i="32"/>
  <c r="F43" i="32"/>
  <c r="I43" i="32"/>
  <c r="J43" i="32"/>
  <c r="A43" i="32"/>
  <c r="K43" i="32"/>
  <c r="B43" i="32"/>
  <c r="L43" i="32"/>
  <c r="M43" i="32"/>
  <c r="G43" i="32"/>
  <c r="N43" i="32"/>
  <c r="K44" i="32"/>
  <c r="N44" i="32"/>
  <c r="G44" i="32"/>
  <c r="A44" i="32"/>
  <c r="O44" i="32"/>
  <c r="B44" i="32"/>
  <c r="H44" i="32"/>
  <c r="J44" i="32"/>
  <c r="F44" i="32"/>
  <c r="I44" i="32"/>
  <c r="M44" i="32"/>
  <c r="L44" i="32"/>
  <c r="H45" i="32"/>
  <c r="I45" i="32"/>
  <c r="L45" i="32"/>
  <c r="M45" i="32"/>
  <c r="K45" i="32"/>
  <c r="F45" i="32"/>
  <c r="A45" i="32"/>
  <c r="N45" i="32"/>
  <c r="B45" i="32"/>
  <c r="G45" i="32"/>
  <c r="O45" i="32"/>
  <c r="J45" i="32"/>
  <c r="O46" i="32"/>
  <c r="J46" i="32"/>
  <c r="K46" i="32"/>
  <c r="L46" i="32"/>
  <c r="A46" i="32"/>
  <c r="M46" i="32"/>
  <c r="B46" i="32"/>
  <c r="F46" i="32"/>
  <c r="G46" i="32"/>
  <c r="H46" i="32"/>
  <c r="N46" i="32"/>
  <c r="I46" i="32"/>
  <c r="G47" i="32"/>
  <c r="F47" i="32"/>
  <c r="O47" i="32"/>
  <c r="H47" i="32"/>
  <c r="I47" i="32"/>
  <c r="N47" i="32"/>
  <c r="J47" i="32"/>
  <c r="A47" i="32"/>
  <c r="K47" i="32"/>
  <c r="B47" i="32"/>
  <c r="L47" i="32"/>
  <c r="M47" i="32"/>
  <c r="N48" i="32"/>
  <c r="M48" i="32"/>
  <c r="G48" i="32"/>
  <c r="A48" i="32"/>
  <c r="O48" i="32"/>
  <c r="B48" i="32"/>
  <c r="H48" i="32"/>
  <c r="I48" i="32"/>
  <c r="L48" i="32"/>
  <c r="J48" i="32"/>
  <c r="K48" i="32"/>
  <c r="F48" i="32"/>
  <c r="L49" i="32"/>
  <c r="J49" i="32"/>
  <c r="F49" i="32"/>
  <c r="A49" i="32"/>
  <c r="N49" i="32"/>
  <c r="B49" i="32"/>
  <c r="G49" i="32"/>
  <c r="O49" i="32"/>
  <c r="H49" i="32"/>
  <c r="M49" i="32"/>
  <c r="I49" i="32"/>
  <c r="K49" i="32"/>
  <c r="N50" i="32"/>
  <c r="O50" i="32"/>
  <c r="I50" i="32"/>
  <c r="B50" i="32"/>
  <c r="G50" i="32"/>
  <c r="J50" i="32"/>
  <c r="F50" i="32"/>
  <c r="K50" i="32"/>
  <c r="H50" i="32"/>
  <c r="L50" i="32"/>
  <c r="A50" i="32"/>
  <c r="M50" i="32"/>
  <c r="A51" i="32"/>
  <c r="K51" i="32"/>
  <c r="B51" i="32"/>
  <c r="L51" i="32"/>
  <c r="N51" i="32"/>
  <c r="O51" i="32"/>
  <c r="H51" i="32"/>
  <c r="J51" i="32"/>
  <c r="M51" i="32"/>
  <c r="G51" i="32"/>
  <c r="I51" i="32"/>
  <c r="F51" i="32"/>
  <c r="J52" i="32"/>
  <c r="M52" i="32"/>
  <c r="N52" i="32"/>
  <c r="B52" i="32"/>
  <c r="H52" i="32"/>
  <c r="I52" i="32"/>
  <c r="K52" i="32"/>
  <c r="F52" i="32"/>
  <c r="L52" i="32"/>
  <c r="G52" i="32"/>
  <c r="A52" i="32"/>
  <c r="O52" i="32"/>
  <c r="L53" i="32"/>
  <c r="K53" i="32"/>
  <c r="M53" i="32"/>
  <c r="J53" i="32"/>
  <c r="F53" i="32"/>
  <c r="A53" i="32"/>
  <c r="N53" i="32"/>
  <c r="B53" i="32"/>
  <c r="G53" i="32"/>
  <c r="O53" i="32"/>
  <c r="H53" i="32"/>
  <c r="I53" i="32"/>
  <c r="O54" i="32"/>
  <c r="J54" i="32"/>
  <c r="K54" i="32"/>
  <c r="L54" i="32"/>
  <c r="A54" i="32"/>
  <c r="M54" i="32"/>
  <c r="B54" i="32"/>
  <c r="F54" i="32"/>
  <c r="I54" i="32"/>
  <c r="H54" i="32"/>
  <c r="N54" i="32"/>
  <c r="G54" i="32"/>
  <c r="K56" i="32"/>
  <c r="M56" i="32"/>
  <c r="F55" i="32"/>
  <c r="A55" i="32"/>
  <c r="N56" i="32"/>
  <c r="L56" i="32"/>
  <c r="G55" i="32"/>
  <c r="I55" i="32"/>
  <c r="B55" i="32"/>
  <c r="G56" i="32"/>
  <c r="H55" i="32"/>
  <c r="O55" i="32"/>
  <c r="N55" i="32"/>
  <c r="I56" i="32"/>
  <c r="A56" i="32"/>
  <c r="O56" i="32"/>
  <c r="B56" i="32"/>
  <c r="H56" i="32"/>
  <c r="J55" i="32"/>
  <c r="J56" i="32"/>
  <c r="L55" i="32"/>
  <c r="M55" i="32"/>
  <c r="F56" i="32"/>
  <c r="K55" i="32"/>
  <c r="G58" i="32"/>
  <c r="G57" i="32"/>
  <c r="O58" i="32"/>
  <c r="O57" i="32"/>
  <c r="J58" i="32"/>
  <c r="H58" i="32"/>
  <c r="H57" i="32"/>
  <c r="L58" i="32"/>
  <c r="K57" i="32"/>
  <c r="M58" i="32"/>
  <c r="F58" i="32"/>
  <c r="B57" i="32"/>
  <c r="N57" i="32"/>
  <c r="A58" i="32"/>
  <c r="K58" i="32"/>
  <c r="I58" i="32"/>
  <c r="I57" i="32"/>
  <c r="B58" i="32"/>
  <c r="L57" i="32"/>
  <c r="A57" i="32"/>
  <c r="J57" i="32"/>
  <c r="F57" i="32"/>
  <c r="M57" i="32"/>
  <c r="N58" i="32"/>
  <c r="B59" i="32"/>
  <c r="J59" i="32"/>
  <c r="A59" i="32"/>
  <c r="G59" i="32"/>
  <c r="N59" i="32"/>
  <c r="F59" i="32"/>
  <c r="H59" i="32"/>
  <c r="O59" i="32"/>
  <c r="I59" i="32"/>
  <c r="K59" i="32"/>
  <c r="L59" i="32"/>
  <c r="M59" i="32"/>
  <c r="I61" i="32"/>
  <c r="O60" i="32"/>
  <c r="H61" i="32"/>
  <c r="J61" i="32"/>
  <c r="H60" i="32"/>
  <c r="O61" i="32"/>
  <c r="J60" i="32"/>
  <c r="L60" i="32"/>
  <c r="L61" i="32"/>
  <c r="G61" i="32"/>
  <c r="K60" i="32"/>
  <c r="M60" i="32"/>
  <c r="A61" i="32"/>
  <c r="M61" i="32"/>
  <c r="K61" i="32"/>
  <c r="B60" i="32"/>
  <c r="B61" i="32"/>
  <c r="F61" i="32"/>
  <c r="F60" i="32"/>
  <c r="G60" i="32"/>
  <c r="A60" i="32"/>
  <c r="N61" i="32"/>
  <c r="N60" i="32"/>
  <c r="I60" i="32"/>
  <c r="O62" i="32"/>
  <c r="M62" i="32"/>
  <c r="J62" i="32"/>
  <c r="I62" i="32"/>
  <c r="K62" i="32"/>
  <c r="H62" i="32"/>
  <c r="A62" i="32"/>
  <c r="F62" i="32"/>
  <c r="B62" i="32"/>
  <c r="N62" i="32"/>
  <c r="G62" i="32"/>
  <c r="L62" i="32"/>
  <c r="A63" i="32"/>
  <c r="O64" i="32"/>
  <c r="I63" i="32"/>
  <c r="N63" i="32"/>
  <c r="F64" i="32"/>
  <c r="B63" i="32"/>
  <c r="H64" i="32"/>
  <c r="J63" i="32"/>
  <c r="J64" i="32"/>
  <c r="L63" i="32"/>
  <c r="K64" i="32"/>
  <c r="M63" i="32"/>
  <c r="M64" i="32"/>
  <c r="F63" i="32"/>
  <c r="K63" i="32"/>
  <c r="L64" i="32"/>
  <c r="A64" i="32"/>
  <c r="N64" i="32"/>
  <c r="I64" i="32"/>
  <c r="O63" i="32"/>
  <c r="B64" i="32"/>
  <c r="G64" i="32"/>
  <c r="H63" i="32"/>
  <c r="G63" i="32"/>
  <c r="F65" i="32"/>
  <c r="A65" i="32"/>
  <c r="N65" i="32"/>
  <c r="K65" i="32"/>
  <c r="L65" i="32"/>
  <c r="B65" i="32"/>
  <c r="H65" i="32"/>
  <c r="I65" i="32"/>
  <c r="G65" i="32"/>
  <c r="J65" i="32"/>
  <c r="M65" i="32"/>
  <c r="O65" i="32"/>
  <c r="N67" i="32"/>
  <c r="G66" i="32"/>
  <c r="K67" i="32"/>
  <c r="J66" i="32"/>
  <c r="H67" i="32"/>
  <c r="L66" i="32"/>
  <c r="A67" i="32"/>
  <c r="I67" i="32"/>
  <c r="O67" i="32"/>
  <c r="H66" i="32"/>
  <c r="B67" i="32"/>
  <c r="M66" i="32"/>
  <c r="A66" i="32"/>
  <c r="L67" i="32"/>
  <c r="K66" i="32"/>
  <c r="I66" i="32"/>
  <c r="B66" i="32"/>
  <c r="F67" i="32"/>
  <c r="F66" i="32"/>
  <c r="O66" i="32"/>
  <c r="G67" i="32"/>
  <c r="N66" i="32"/>
  <c r="J67" i="32"/>
  <c r="M67" i="32"/>
  <c r="B68" i="32"/>
  <c r="G68" i="32"/>
  <c r="O68" i="32"/>
  <c r="J68" i="32"/>
  <c r="K68" i="32"/>
  <c r="H68" i="32"/>
  <c r="M68" i="32"/>
  <c r="I68" i="32"/>
  <c r="A68" i="32"/>
  <c r="N68" i="32"/>
  <c r="L68" i="32"/>
  <c r="F68" i="32"/>
  <c r="A70" i="32"/>
  <c r="F70" i="32"/>
  <c r="M69" i="32"/>
  <c r="K69" i="32"/>
  <c r="B70" i="32"/>
  <c r="N70" i="32"/>
  <c r="F69" i="32"/>
  <c r="G70" i="32"/>
  <c r="N69" i="32"/>
  <c r="J69" i="32"/>
  <c r="H69" i="32"/>
  <c r="I70" i="32"/>
  <c r="I69" i="32"/>
  <c r="J70" i="32"/>
  <c r="H70" i="32"/>
  <c r="G69" i="32"/>
  <c r="A69" i="32"/>
  <c r="K70" i="32"/>
  <c r="M70" i="32"/>
  <c r="B69" i="32"/>
  <c r="L70" i="32"/>
  <c r="L69" i="32"/>
  <c r="O69" i="32"/>
  <c r="O70" i="32"/>
  <c r="K71" i="32"/>
  <c r="M71" i="32"/>
  <c r="O71" i="32"/>
  <c r="H71" i="32"/>
  <c r="F71" i="32"/>
  <c r="N71" i="32"/>
  <c r="I71" i="32"/>
  <c r="J71" i="32"/>
  <c r="A71" i="32"/>
  <c r="L71" i="32"/>
  <c r="B71" i="32"/>
  <c r="G71" i="32"/>
  <c r="F72" i="32"/>
  <c r="M72" i="32"/>
  <c r="K72" i="32"/>
  <c r="N72" i="32"/>
  <c r="I72" i="32"/>
  <c r="J72" i="32"/>
  <c r="G72" i="32"/>
  <c r="A72" i="32"/>
  <c r="O72" i="32"/>
  <c r="B72" i="32"/>
  <c r="H72" i="32"/>
  <c r="L72" i="32"/>
  <c r="J73" i="32"/>
  <c r="K73" i="32"/>
  <c r="L73" i="32"/>
  <c r="O73" i="32"/>
  <c r="M73" i="32"/>
  <c r="G73" i="32"/>
  <c r="F73" i="32"/>
  <c r="A73" i="32"/>
  <c r="N73" i="32"/>
  <c r="I73" i="32"/>
  <c r="B73" i="32"/>
  <c r="H73" i="32"/>
  <c r="L74" i="32"/>
  <c r="A74" i="32"/>
  <c r="B74" i="32"/>
  <c r="N74" i="32"/>
  <c r="G74" i="32"/>
  <c r="F74" i="32"/>
  <c r="O74" i="32"/>
  <c r="H74" i="32"/>
  <c r="K74" i="32"/>
  <c r="J74" i="32"/>
  <c r="M74" i="32"/>
  <c r="I74" i="32"/>
  <c r="B75" i="32"/>
  <c r="G76" i="32"/>
  <c r="H75" i="32"/>
  <c r="O75" i="32"/>
  <c r="A76" i="32"/>
  <c r="O76" i="32"/>
  <c r="I75" i="32"/>
  <c r="F75" i="32"/>
  <c r="M76" i="32"/>
  <c r="N76" i="32"/>
  <c r="L76" i="32"/>
  <c r="B76" i="32"/>
  <c r="H76" i="32"/>
  <c r="J75" i="32"/>
  <c r="M75" i="32"/>
  <c r="I76" i="32"/>
  <c r="N75" i="32"/>
  <c r="G75" i="32"/>
  <c r="J76" i="32"/>
  <c r="L75" i="32"/>
  <c r="K76" i="32"/>
  <c r="K75" i="32"/>
  <c r="F76" i="32"/>
  <c r="A75" i="32"/>
  <c r="N77" i="32"/>
  <c r="L77" i="32"/>
  <c r="M77" i="32"/>
  <c r="H77" i="32"/>
  <c r="A77" i="32"/>
  <c r="I77" i="32"/>
  <c r="K77" i="32"/>
  <c r="G77" i="32"/>
  <c r="F77" i="32"/>
  <c r="B77" i="32"/>
  <c r="J77" i="32"/>
  <c r="O77" i="32"/>
  <c r="M78" i="32"/>
  <c r="K78" i="32"/>
  <c r="L78" i="32"/>
  <c r="I78" i="32"/>
  <c r="J78" i="32"/>
  <c r="H78" i="32"/>
  <c r="O78" i="32"/>
  <c r="F78" i="32"/>
  <c r="A78" i="32"/>
  <c r="N78" i="32"/>
  <c r="B78" i="32"/>
  <c r="G78" i="32"/>
  <c r="K79" i="32"/>
  <c r="A79" i="32"/>
  <c r="O79" i="32"/>
  <c r="B79" i="32"/>
  <c r="G79" i="32"/>
  <c r="H79" i="32"/>
  <c r="J79" i="32"/>
  <c r="I79" i="32"/>
  <c r="N79" i="32"/>
  <c r="L79" i="32"/>
  <c r="M79" i="32"/>
  <c r="F79" i="32"/>
  <c r="A81" i="32"/>
  <c r="M81" i="32"/>
  <c r="N81" i="32"/>
  <c r="M80" i="32"/>
  <c r="B81" i="32"/>
  <c r="H81" i="32"/>
  <c r="F80" i="32"/>
  <c r="I80" i="32"/>
  <c r="N80" i="32"/>
  <c r="B80" i="32"/>
  <c r="K81" i="32"/>
  <c r="O80" i="32"/>
  <c r="F81" i="32"/>
  <c r="J80" i="32"/>
  <c r="O81" i="32"/>
  <c r="K80" i="32"/>
  <c r="L81" i="32"/>
  <c r="J81" i="32"/>
  <c r="L80" i="32"/>
  <c r="A80" i="32"/>
  <c r="I81" i="32"/>
  <c r="H80" i="32"/>
  <c r="G81" i="32"/>
  <c r="G80" i="32"/>
  <c r="I82" i="32"/>
  <c r="H82" i="32"/>
  <c r="J82" i="32"/>
  <c r="M82" i="32"/>
  <c r="K82" i="32"/>
  <c r="L82" i="32"/>
  <c r="F82" i="32"/>
  <c r="A82" i="32"/>
  <c r="N82" i="32"/>
  <c r="B82" i="32"/>
  <c r="G82" i="32"/>
  <c r="O82" i="32"/>
  <c r="K83" i="32"/>
  <c r="H83" i="32"/>
  <c r="J83" i="32"/>
  <c r="L83" i="32"/>
  <c r="I83" i="32"/>
  <c r="F83" i="32"/>
  <c r="M83" i="32"/>
  <c r="B83" i="32"/>
  <c r="G83" i="32"/>
  <c r="O83" i="32"/>
  <c r="A83" i="32"/>
  <c r="L84" i="32"/>
  <c r="O84" i="32"/>
  <c r="F84" i="32"/>
  <c r="M84" i="32"/>
  <c r="I84" i="32"/>
  <c r="A84" i="32"/>
  <c r="N84" i="32"/>
  <c r="J84" i="32"/>
  <c r="B84" i="32"/>
  <c r="H84" i="32"/>
  <c r="G84" i="32"/>
  <c r="K84" i="32"/>
  <c r="M85" i="32"/>
  <c r="I85" i="32"/>
  <c r="G85" i="32"/>
  <c r="J85" i="32"/>
  <c r="O85" i="32"/>
  <c r="L85" i="32"/>
  <c r="K85" i="32"/>
  <c r="H85" i="32"/>
  <c r="A85" i="32"/>
  <c r="F85" i="32"/>
  <c r="B85" i="32"/>
  <c r="N85" i="32"/>
  <c r="A86" i="32"/>
  <c r="J86" i="32"/>
  <c r="B86" i="32"/>
  <c r="L86" i="32"/>
  <c r="I86" i="32"/>
  <c r="M86" i="32"/>
  <c r="K86" i="32"/>
  <c r="H86" i="32"/>
  <c r="F86" i="32"/>
  <c r="G86" i="32"/>
  <c r="O86" i="32"/>
  <c r="N86" i="32"/>
  <c r="G87" i="32"/>
  <c r="L87" i="32"/>
  <c r="B87" i="32"/>
  <c r="O87" i="32"/>
  <c r="M87" i="32"/>
  <c r="I87" i="32"/>
  <c r="N87" i="32"/>
  <c r="A87" i="32"/>
  <c r="H87" i="32"/>
  <c r="J87" i="32"/>
  <c r="F87" i="32"/>
  <c r="K87" i="32"/>
  <c r="L88" i="32"/>
  <c r="G88" i="32"/>
  <c r="F88" i="32"/>
  <c r="M88" i="32"/>
  <c r="I88" i="32"/>
  <c r="A88" i="32"/>
  <c r="N88" i="32"/>
  <c r="K88" i="32"/>
  <c r="B88" i="32"/>
  <c r="H88" i="32"/>
  <c r="J88" i="32"/>
  <c r="O88" i="32"/>
  <c r="A89" i="32"/>
  <c r="F89" i="32"/>
  <c r="H89" i="32"/>
  <c r="G89" i="32"/>
  <c r="M89" i="32"/>
  <c r="B89" i="32"/>
  <c r="N89" i="32"/>
  <c r="I89" i="32"/>
  <c r="J89" i="32"/>
  <c r="K89" i="32"/>
  <c r="O89" i="32"/>
  <c r="L89" i="32"/>
  <c r="G90" i="32"/>
  <c r="K90" i="32"/>
  <c r="H90" i="32"/>
  <c r="O90" i="32"/>
  <c r="M90" i="32"/>
  <c r="B90" i="32"/>
  <c r="L90" i="32"/>
  <c r="I90" i="32"/>
  <c r="N90" i="32"/>
  <c r="F90" i="32"/>
  <c r="A90" i="32"/>
  <c r="J90" i="32"/>
  <c r="F91" i="32"/>
  <c r="N91" i="32"/>
  <c r="A91" i="32"/>
  <c r="H91" i="32"/>
  <c r="B91" i="32"/>
  <c r="J91" i="32"/>
  <c r="O91" i="32"/>
  <c r="L91" i="32"/>
  <c r="K91" i="32"/>
  <c r="M91" i="32"/>
  <c r="I91" i="32"/>
  <c r="G91" i="32"/>
  <c r="N92" i="32"/>
  <c r="A92" i="32"/>
  <c r="J92" i="32"/>
  <c r="H92" i="32"/>
  <c r="B92" i="32"/>
  <c r="F92" i="32"/>
  <c r="I17" i="32"/>
  <c r="K17" i="32"/>
  <c r="L17" i="32"/>
  <c r="M17" i="32"/>
  <c r="J17" i="32"/>
  <c r="F17" i="32"/>
  <c r="G17" i="32"/>
  <c r="A17" i="32"/>
  <c r="N17" i="32"/>
  <c r="B17" i="32"/>
  <c r="O17" i="32"/>
  <c r="H17" i="32"/>
  <c r="G18" i="32"/>
  <c r="M18" i="32"/>
  <c r="O18" i="32"/>
  <c r="I18" i="32"/>
  <c r="J18" i="32"/>
  <c r="K18" i="32"/>
  <c r="H18" i="32"/>
  <c r="A18" i="32"/>
  <c r="L18" i="32"/>
  <c r="B18" i="32"/>
  <c r="F18" i="32"/>
  <c r="N18" i="32"/>
  <c r="N19" i="32"/>
  <c r="O19" i="32"/>
  <c r="H19" i="32"/>
  <c r="G19" i="32"/>
  <c r="I19" i="32"/>
  <c r="F19" i="32"/>
  <c r="J19" i="32"/>
  <c r="A19" i="32"/>
  <c r="K19" i="32"/>
  <c r="B19" i="32"/>
  <c r="L19" i="32"/>
  <c r="M19" i="32"/>
  <c r="J20" i="32"/>
  <c r="K20" i="32"/>
  <c r="M20" i="32"/>
  <c r="F20" i="32"/>
  <c r="N20" i="32"/>
  <c r="L20" i="32"/>
  <c r="G20" i="32"/>
  <c r="A20" i="32"/>
  <c r="O20" i="32"/>
  <c r="B20" i="32"/>
  <c r="I20" i="32"/>
  <c r="H20" i="32"/>
  <c r="L21" i="32"/>
  <c r="K21" i="32"/>
  <c r="M21" i="32"/>
  <c r="J21" i="32"/>
  <c r="F21" i="32"/>
  <c r="A21" i="32"/>
  <c r="N21" i="32"/>
  <c r="B21" i="32"/>
  <c r="G21" i="32"/>
  <c r="O21" i="32"/>
  <c r="H21" i="32"/>
  <c r="I21" i="32"/>
  <c r="O22" i="32"/>
  <c r="J22" i="32"/>
  <c r="I22" i="32"/>
  <c r="K22" i="32"/>
  <c r="H22" i="32"/>
  <c r="L22" i="32"/>
  <c r="A22" i="32"/>
  <c r="M22" i="32"/>
  <c r="B22" i="32"/>
  <c r="F22" i="32"/>
  <c r="G22" i="32"/>
  <c r="F23" i="32"/>
  <c r="G23" i="32"/>
  <c r="H23" i="32"/>
  <c r="O23" i="32"/>
  <c r="I23" i="32"/>
  <c r="N23" i="32"/>
  <c r="J23" i="32"/>
  <c r="A23" i="32"/>
  <c r="K23" i="32"/>
  <c r="B23" i="32"/>
  <c r="L23" i="32"/>
  <c r="M23" i="32"/>
  <c r="I24" i="32"/>
  <c r="J24" i="32"/>
  <c r="K24" i="32"/>
  <c r="F24" i="32"/>
  <c r="M24" i="32"/>
  <c r="N24" i="32"/>
  <c r="L24" i="32"/>
  <c r="G24" i="32"/>
  <c r="A24" i="32"/>
  <c r="O24" i="32"/>
  <c r="B24" i="32"/>
  <c r="H24" i="32"/>
  <c r="AX146" i="69"/>
  <c r="X160" i="57"/>
  <c r="O163" i="57"/>
  <c r="AG163" i="57" s="1"/>
  <c r="L163" i="57"/>
  <c r="T103" i="50"/>
  <c r="O103" i="50"/>
  <c r="AA159" i="57"/>
  <c r="AJ162" i="57"/>
  <c r="AC162" i="57"/>
  <c r="AP162" i="57"/>
  <c r="AM102" i="50"/>
  <c r="U102" i="50"/>
  <c r="AD101" i="50"/>
  <c r="AH145" i="65"/>
  <c r="AV145" i="65"/>
  <c r="AB161" i="53"/>
  <c r="AA161" i="53"/>
  <c r="AH162" i="53"/>
  <c r="AC162" i="53"/>
  <c r="AT162" i="53"/>
  <c r="AG162" i="53"/>
  <c r="J16" i="32"/>
  <c r="K16" i="32"/>
  <c r="F16" i="32"/>
  <c r="L16" i="32"/>
  <c r="N16" i="32"/>
  <c r="M16" i="32"/>
  <c r="A16" i="32"/>
  <c r="G16" i="32"/>
  <c r="B16" i="32"/>
  <c r="O16" i="32"/>
  <c r="H16" i="32"/>
  <c r="I16" i="32"/>
  <c r="N163" i="57"/>
  <c r="N163" i="53"/>
  <c r="AH146" i="69"/>
  <c r="AJ101" i="50"/>
  <c r="C101" i="50"/>
  <c r="AD162" i="57"/>
  <c r="AD162" i="53"/>
  <c r="V101" i="50"/>
  <c r="S102" i="50"/>
  <c r="Q162" i="53"/>
  <c r="K163" i="53"/>
  <c r="E163" i="53"/>
  <c r="F163" i="53"/>
  <c r="C163" i="53"/>
  <c r="P163" i="53"/>
  <c r="I163" i="53"/>
  <c r="J163" i="53"/>
  <c r="L163" i="53"/>
  <c r="AK162" i="52" a="1"/>
  <c r="AK162" i="52" s="1"/>
  <c r="B164" i="53" s="1"/>
  <c r="O164" i="53" s="1"/>
  <c r="G163" i="53"/>
  <c r="H163" i="53"/>
  <c r="D163" i="53"/>
  <c r="A93" i="32"/>
  <c r="B93" i="32"/>
  <c r="L103" i="50"/>
  <c r="N103" i="50"/>
  <c r="A103" i="50"/>
  <c r="Q103" i="50" s="1"/>
  <c r="P103" i="50" s="1"/>
  <c r="J103" i="50"/>
  <c r="M103" i="50"/>
  <c r="B103" i="50"/>
  <c r="R103" i="50" s="1"/>
  <c r="F103" i="50"/>
  <c r="K103" i="50"/>
  <c r="G103" i="50"/>
  <c r="I103" i="50"/>
  <c r="H103" i="50"/>
  <c r="B12" i="32"/>
  <c r="B13" i="32"/>
  <c r="A14" i="32"/>
  <c r="B14" i="32"/>
  <c r="A15" i="32"/>
  <c r="B15" i="32"/>
  <c r="I93" i="32"/>
  <c r="J93" i="32"/>
  <c r="L93" i="32"/>
  <c r="F93" i="32"/>
  <c r="N93" i="32"/>
  <c r="K93" i="32"/>
  <c r="H93" i="32"/>
  <c r="G93" i="32"/>
  <c r="M93" i="32"/>
  <c r="O93" i="32"/>
  <c r="F13" i="32"/>
  <c r="N13" i="32"/>
  <c r="L14" i="32"/>
  <c r="J15" i="32"/>
  <c r="G13" i="32"/>
  <c r="O13" i="32"/>
  <c r="M14" i="32"/>
  <c r="K15" i="32"/>
  <c r="H13" i="32"/>
  <c r="F14" i="32"/>
  <c r="N14" i="32"/>
  <c r="L15" i="32"/>
  <c r="I13" i="32"/>
  <c r="G14" i="32"/>
  <c r="O14" i="32"/>
  <c r="M15" i="32"/>
  <c r="H15" i="32"/>
  <c r="J13" i="32"/>
  <c r="H14" i="32"/>
  <c r="F15" i="32"/>
  <c r="N15" i="32"/>
  <c r="J14" i="32"/>
  <c r="K13" i="32"/>
  <c r="I14" i="32"/>
  <c r="G15" i="32"/>
  <c r="O15" i="32"/>
  <c r="L13" i="32"/>
  <c r="M13" i="32"/>
  <c r="K14" i="32"/>
  <c r="I15" i="32"/>
  <c r="O12" i="32"/>
  <c r="J12" i="32"/>
  <c r="K12" i="32"/>
  <c r="H12" i="32"/>
  <c r="G12" i="32"/>
  <c r="Q162" i="57"/>
  <c r="T161" i="57"/>
  <c r="I163" i="57"/>
  <c r="F163" i="57"/>
  <c r="E163" i="57"/>
  <c r="D163" i="57"/>
  <c r="P163" i="57"/>
  <c r="J163" i="57"/>
  <c r="H163" i="57"/>
  <c r="G163" i="57"/>
  <c r="C163" i="57"/>
  <c r="M163" i="57" s="1"/>
  <c r="K163" i="57"/>
  <c r="W101" i="50"/>
  <c r="X101" i="50" s="1"/>
  <c r="Z101" i="50"/>
  <c r="AK162" i="55" a="1"/>
  <c r="AK162" i="55" s="1"/>
  <c r="B164" i="57" s="1"/>
  <c r="C148" i="69"/>
  <c r="AO148" i="69" s="1"/>
  <c r="O148" i="69"/>
  <c r="AN148" i="67" a="1"/>
  <c r="AN148" i="67" s="1"/>
  <c r="B149" i="69"/>
  <c r="L149" i="69" s="1"/>
  <c r="P147" i="69"/>
  <c r="N147" i="69"/>
  <c r="AF147" i="69" s="1"/>
  <c r="D147" i="69"/>
  <c r="E147" i="69" s="1"/>
  <c r="F147" i="69" s="1"/>
  <c r="G147" i="69" s="1"/>
  <c r="H147" i="69" s="1"/>
  <c r="I147" i="69" s="1"/>
  <c r="J147" i="69" s="1"/>
  <c r="K147" i="69" s="1"/>
  <c r="M147" i="69" s="1"/>
  <c r="Q146" i="69"/>
  <c r="AE146" i="69"/>
  <c r="R146" i="69"/>
  <c r="S146" i="69" s="1"/>
  <c r="Y146" i="69" s="1"/>
  <c r="AB146" i="69" s="1"/>
  <c r="AC146" i="69" s="1"/>
  <c r="AD146" i="69" s="1"/>
  <c r="U146" i="69"/>
  <c r="U145" i="65"/>
  <c r="Q145" i="65"/>
  <c r="R145" i="65"/>
  <c r="S145" i="65" s="1"/>
  <c r="Y145" i="65" s="1"/>
  <c r="AB145" i="65" s="1"/>
  <c r="AC145" i="65" s="1"/>
  <c r="AD145" i="65" s="1"/>
  <c r="P146" i="65"/>
  <c r="D146" i="65"/>
  <c r="E146" i="65" s="1"/>
  <c r="F146" i="65" s="1"/>
  <c r="G146" i="65" s="1"/>
  <c r="H146" i="65" s="1"/>
  <c r="I146" i="65" s="1"/>
  <c r="J146" i="65" s="1"/>
  <c r="K146" i="65" s="1"/>
  <c r="M146" i="65" s="1"/>
  <c r="N146" i="65"/>
  <c r="O147" i="65"/>
  <c r="C147" i="65"/>
  <c r="AM147" i="65" s="1"/>
  <c r="AN147" i="63" a="1"/>
  <c r="AN147" i="63" s="1"/>
  <c r="B148" i="65"/>
  <c r="L148" i="65" s="1"/>
  <c r="AL93" i="11" a="1"/>
  <c r="AL93" i="11" s="1"/>
  <c r="E94" i="32" s="1"/>
  <c r="AK94" i="32" s="1"/>
  <c r="AL103" i="59" a="1"/>
  <c r="AL103" i="59" s="1"/>
  <c r="E104" i="50" s="1"/>
  <c r="AK104" i="50" s="1"/>
  <c r="X162" i="53" l="1"/>
  <c r="AB162" i="53" s="1"/>
  <c r="AD5" i="32"/>
  <c r="AI100" i="50"/>
  <c r="AP100" i="50" s="1"/>
  <c r="AF146" i="65"/>
  <c r="AE146" i="65"/>
  <c r="AE163" i="57"/>
  <c r="R163" i="57"/>
  <c r="AE163" i="53"/>
  <c r="R163" i="53"/>
  <c r="S87" i="32"/>
  <c r="S85" i="32"/>
  <c r="S77" i="32"/>
  <c r="S58" i="32"/>
  <c r="S48" i="32"/>
  <c r="S47" i="32"/>
  <c r="S44" i="32"/>
  <c r="S42" i="32"/>
  <c r="S35" i="32"/>
  <c r="S90" i="32"/>
  <c r="S81" i="32"/>
  <c r="S75" i="32"/>
  <c r="S59" i="32"/>
  <c r="S56" i="32"/>
  <c r="S55" i="32"/>
  <c r="S45" i="32"/>
  <c r="S30" i="32"/>
  <c r="S92" i="32"/>
  <c r="S83" i="32"/>
  <c r="S53" i="32"/>
  <c r="S52" i="32"/>
  <c r="S50" i="32"/>
  <c r="S43" i="32"/>
  <c r="S38" i="32"/>
  <c r="S25" i="32"/>
  <c r="S78" i="32"/>
  <c r="S74" i="32"/>
  <c r="S67" i="32"/>
  <c r="S29" i="32"/>
  <c r="S26" i="32"/>
  <c r="S86" i="32"/>
  <c r="S82" i="32"/>
  <c r="S80" i="32"/>
  <c r="S72" i="32"/>
  <c r="S65" i="32"/>
  <c r="S63" i="32"/>
  <c r="S49" i="32"/>
  <c r="S40" i="32"/>
  <c r="S32" i="32"/>
  <c r="S89" i="32"/>
  <c r="S70" i="32"/>
  <c r="S68" i="32"/>
  <c r="S66" i="32"/>
  <c r="S64" i="32"/>
  <c r="S62" i="32"/>
  <c r="S61" i="32"/>
  <c r="S34" i="32"/>
  <c r="S33" i="32"/>
  <c r="S31" i="32"/>
  <c r="S91" i="32"/>
  <c r="S88" i="32"/>
  <c r="S84" i="32"/>
  <c r="S79" i="32"/>
  <c r="S76" i="32"/>
  <c r="S69" i="32"/>
  <c r="S60" i="32"/>
  <c r="S57" i="32"/>
  <c r="S41" i="32"/>
  <c r="S39" i="32"/>
  <c r="S37" i="32"/>
  <c r="S28" i="32"/>
  <c r="S73" i="32"/>
  <c r="S71" i="32"/>
  <c r="S54" i="32"/>
  <c r="S51" i="32"/>
  <c r="S46" i="32"/>
  <c r="S36" i="32"/>
  <c r="S27" i="32"/>
  <c r="AG101" i="50"/>
  <c r="AH101" i="50" s="1"/>
  <c r="AL101" i="50"/>
  <c r="AA160" i="57"/>
  <c r="AF160" i="57"/>
  <c r="AG146" i="69"/>
  <c r="AG145" i="65"/>
  <c r="P79" i="32"/>
  <c r="P80" i="32"/>
  <c r="P75" i="32"/>
  <c r="P73" i="32"/>
  <c r="P48" i="32"/>
  <c r="P47" i="32"/>
  <c r="P44" i="32"/>
  <c r="P93" i="32"/>
  <c r="P21" i="32"/>
  <c r="P87" i="32"/>
  <c r="P56" i="32"/>
  <c r="P52" i="32"/>
  <c r="P50" i="32"/>
  <c r="P45" i="32"/>
  <c r="P34" i="32"/>
  <c r="P30" i="32"/>
  <c r="P23" i="32"/>
  <c r="P89" i="32"/>
  <c r="P85" i="32"/>
  <c r="P90" i="32"/>
  <c r="P74" i="32"/>
  <c r="P58" i="32"/>
  <c r="P53" i="32"/>
  <c r="P43" i="32"/>
  <c r="P42" i="32"/>
  <c r="P38" i="32"/>
  <c r="P25" i="32"/>
  <c r="P24" i="32"/>
  <c r="P20" i="32"/>
  <c r="P18" i="32"/>
  <c r="P92" i="32"/>
  <c r="P81" i="32"/>
  <c r="P78" i="32"/>
  <c r="P77" i="32"/>
  <c r="P76" i="32"/>
  <c r="P68" i="32"/>
  <c r="P26" i="32"/>
  <c r="P91" i="32"/>
  <c r="P22" i="32"/>
  <c r="P86" i="32"/>
  <c r="P82" i="32"/>
  <c r="P72" i="32"/>
  <c r="P57" i="32"/>
  <c r="P55" i="32"/>
  <c r="P49" i="32"/>
  <c r="P40" i="32"/>
  <c r="P39" i="32"/>
  <c r="P29" i="32"/>
  <c r="P83" i="32"/>
  <c r="P67" i="32"/>
  <c r="P62" i="32"/>
  <c r="P59" i="32"/>
  <c r="P35" i="32"/>
  <c r="P33" i="32"/>
  <c r="P31" i="32"/>
  <c r="P41" i="32"/>
  <c r="P37" i="32"/>
  <c r="P28" i="32"/>
  <c r="P65" i="32"/>
  <c r="P19" i="32"/>
  <c r="P17" i="32"/>
  <c r="P88" i="32"/>
  <c r="P84" i="32"/>
  <c r="P71" i="32"/>
  <c r="P69" i="32"/>
  <c r="P70" i="32"/>
  <c r="P66" i="32"/>
  <c r="P64" i="32"/>
  <c r="P63" i="32"/>
  <c r="P60" i="32"/>
  <c r="P61" i="32"/>
  <c r="P54" i="32"/>
  <c r="P51" i="32"/>
  <c r="P46" i="32"/>
  <c r="P36" i="32"/>
  <c r="P32" i="32"/>
  <c r="P27" i="32"/>
  <c r="T79" i="32"/>
  <c r="T71" i="32"/>
  <c r="T78" i="32"/>
  <c r="T74" i="32"/>
  <c r="U74" i="32" s="1"/>
  <c r="T47" i="32"/>
  <c r="U47" i="32" s="1"/>
  <c r="T45" i="32"/>
  <c r="U45" i="32" s="1"/>
  <c r="T39" i="32"/>
  <c r="U39" i="32" s="1"/>
  <c r="T70" i="32"/>
  <c r="U70" i="32" s="1"/>
  <c r="T56" i="32"/>
  <c r="U56" i="32" s="1"/>
  <c r="T30" i="32"/>
  <c r="U30" i="32" s="1"/>
  <c r="T81" i="32"/>
  <c r="U81" i="32" s="1"/>
  <c r="T34" i="32"/>
  <c r="T28" i="32"/>
  <c r="U28" i="32" s="1"/>
  <c r="T89" i="32"/>
  <c r="U89" i="32" s="1"/>
  <c r="T83" i="32"/>
  <c r="U83" i="32" s="1"/>
  <c r="T59" i="32"/>
  <c r="U59" i="32" s="1"/>
  <c r="T52" i="32"/>
  <c r="U52" i="32" s="1"/>
  <c r="T41" i="32"/>
  <c r="U41" i="32" s="1"/>
  <c r="T35" i="32"/>
  <c r="T88" i="32"/>
  <c r="U88" i="32" s="1"/>
  <c r="T72" i="32"/>
  <c r="U72" i="32" s="1"/>
  <c r="T67" i="32"/>
  <c r="U67" i="32" s="1"/>
  <c r="T62" i="32"/>
  <c r="U62" i="32" s="1"/>
  <c r="T85" i="32"/>
  <c r="U85" i="32" s="1"/>
  <c r="T77" i="32"/>
  <c r="U77" i="32" s="1"/>
  <c r="T65" i="32"/>
  <c r="U65" i="32" s="1"/>
  <c r="T57" i="32"/>
  <c r="U57" i="32" s="1"/>
  <c r="T64" i="32"/>
  <c r="U64" i="32" s="1"/>
  <c r="T61" i="32"/>
  <c r="U61" i="32" s="1"/>
  <c r="T53" i="32"/>
  <c r="U53" i="32" s="1"/>
  <c r="T36" i="32"/>
  <c r="U36" i="32" s="1"/>
  <c r="T32" i="32"/>
  <c r="U32" i="32" s="1"/>
  <c r="T31" i="32"/>
  <c r="U31" i="32" s="1"/>
  <c r="T26" i="32"/>
  <c r="U26" i="32" s="1"/>
  <c r="T25" i="32"/>
  <c r="U25" i="32" s="1"/>
  <c r="T48" i="32"/>
  <c r="U48" i="32" s="1"/>
  <c r="T44" i="32"/>
  <c r="U44" i="32" s="1"/>
  <c r="T43" i="32"/>
  <c r="U43" i="32" s="1"/>
  <c r="T29" i="32"/>
  <c r="U29" i="32" s="1"/>
  <c r="T58" i="32"/>
  <c r="U58" i="32" s="1"/>
  <c r="T90" i="32"/>
  <c r="U90" i="32" s="1"/>
  <c r="T82" i="32"/>
  <c r="U82" i="32" s="1"/>
  <c r="T80" i="32"/>
  <c r="U80" i="32" s="1"/>
  <c r="T66" i="32"/>
  <c r="U66" i="32" s="1"/>
  <c r="T49" i="32"/>
  <c r="U49" i="32" s="1"/>
  <c r="T91" i="32"/>
  <c r="U91" i="32" s="1"/>
  <c r="T86" i="32"/>
  <c r="U86" i="32" s="1"/>
  <c r="T69" i="32"/>
  <c r="U69" i="32" s="1"/>
  <c r="T68" i="32"/>
  <c r="U68" i="32" s="1"/>
  <c r="T42" i="32"/>
  <c r="U42" i="32" s="1"/>
  <c r="T33" i="32"/>
  <c r="U33" i="32" s="1"/>
  <c r="T27" i="32"/>
  <c r="U27" i="32" s="1"/>
  <c r="T84" i="32"/>
  <c r="U84" i="32" s="1"/>
  <c r="T76" i="32"/>
  <c r="U76" i="32" s="1"/>
  <c r="T60" i="32"/>
  <c r="U60" i="32" s="1"/>
  <c r="T51" i="32"/>
  <c r="U51" i="32" s="1"/>
  <c r="T50" i="32"/>
  <c r="U50" i="32" s="1"/>
  <c r="T37" i="32"/>
  <c r="U37" i="32" s="1"/>
  <c r="U35" i="32"/>
  <c r="U34" i="32"/>
  <c r="U71" i="32"/>
  <c r="T54" i="32"/>
  <c r="U54" i="32" s="1"/>
  <c r="T46" i="32"/>
  <c r="U46" i="32" s="1"/>
  <c r="T40" i="32"/>
  <c r="U40" i="32" s="1"/>
  <c r="T38" i="32"/>
  <c r="U38" i="32" s="1"/>
  <c r="T87" i="32"/>
  <c r="U87" i="32" s="1"/>
  <c r="U79" i="32"/>
  <c r="U78" i="32"/>
  <c r="T75" i="32"/>
  <c r="U75" i="32" s="1"/>
  <c r="T73" i="32"/>
  <c r="U73" i="32" s="1"/>
  <c r="T63" i="32"/>
  <c r="U63" i="32" s="1"/>
  <c r="T55" i="32"/>
  <c r="U55" i="32" s="1"/>
  <c r="P16" i="32"/>
  <c r="P15" i="32"/>
  <c r="S14" i="32"/>
  <c r="V14" i="32" s="1"/>
  <c r="S21" i="32"/>
  <c r="S24" i="32"/>
  <c r="S20" i="32"/>
  <c r="S18" i="32"/>
  <c r="S22" i="32"/>
  <c r="S23" i="32"/>
  <c r="S19" i="32"/>
  <c r="S17" i="32"/>
  <c r="AX147" i="69"/>
  <c r="AB160" i="57"/>
  <c r="O164" i="57"/>
  <c r="AG164" i="57" s="1"/>
  <c r="L164" i="57"/>
  <c r="T104" i="50"/>
  <c r="O104" i="50"/>
  <c r="X161" i="57"/>
  <c r="AD102" i="50"/>
  <c r="AM103" i="50"/>
  <c r="U103" i="50"/>
  <c r="AJ163" i="57"/>
  <c r="AC163" i="57"/>
  <c r="AP163" i="57"/>
  <c r="AH146" i="65"/>
  <c r="AV146" i="65"/>
  <c r="P14" i="32"/>
  <c r="AG163" i="53"/>
  <c r="AH163" i="53"/>
  <c r="AC163" i="53"/>
  <c r="AT163" i="53"/>
  <c r="S16" i="32"/>
  <c r="N164" i="57"/>
  <c r="K164" i="53"/>
  <c r="N164" i="53"/>
  <c r="AH147" i="69"/>
  <c r="AJ102" i="50"/>
  <c r="C102" i="50"/>
  <c r="AD163" i="57"/>
  <c r="Q163" i="53"/>
  <c r="AD163" i="53"/>
  <c r="P13" i="32"/>
  <c r="V102" i="50"/>
  <c r="S103" i="50"/>
  <c r="P12" i="32"/>
  <c r="S93" i="32"/>
  <c r="P164" i="53"/>
  <c r="J164" i="53"/>
  <c r="D164" i="53"/>
  <c r="C164" i="53"/>
  <c r="AK163" i="52" a="1"/>
  <c r="AK163" i="52" s="1"/>
  <c r="B165" i="53" s="1"/>
  <c r="O165" i="53" s="1"/>
  <c r="H164" i="53"/>
  <c r="L164" i="53"/>
  <c r="E164" i="53"/>
  <c r="G164" i="53"/>
  <c r="F164" i="53"/>
  <c r="I164" i="53"/>
  <c r="A94" i="32"/>
  <c r="B94" i="32"/>
  <c r="G104" i="50"/>
  <c r="M104" i="50"/>
  <c r="B104" i="50"/>
  <c r="R104" i="50" s="1"/>
  <c r="I104" i="50"/>
  <c r="N104" i="50"/>
  <c r="K104" i="50"/>
  <c r="L104" i="50"/>
  <c r="F104" i="50"/>
  <c r="H104" i="50"/>
  <c r="A104" i="50"/>
  <c r="Q104" i="50" s="1"/>
  <c r="P104" i="50" s="1"/>
  <c r="J104" i="50"/>
  <c r="G94" i="32"/>
  <c r="O94" i="32"/>
  <c r="H94" i="32"/>
  <c r="J94" i="32"/>
  <c r="L94" i="32"/>
  <c r="F94" i="32"/>
  <c r="I94" i="32"/>
  <c r="N94" i="32"/>
  <c r="M94" i="32"/>
  <c r="K94" i="32"/>
  <c r="T162" i="57"/>
  <c r="Q163" i="57"/>
  <c r="W102" i="50"/>
  <c r="X102" i="50" s="1"/>
  <c r="Z102" i="50"/>
  <c r="P164" i="57"/>
  <c r="K164" i="57"/>
  <c r="H164" i="57"/>
  <c r="F164" i="57"/>
  <c r="C164" i="57"/>
  <c r="M164" i="57" s="1"/>
  <c r="I164" i="57"/>
  <c r="E164" i="57"/>
  <c r="G164" i="57"/>
  <c r="D164" i="57"/>
  <c r="J164" i="57"/>
  <c r="AK163" i="55" a="1"/>
  <c r="AK163" i="55" s="1"/>
  <c r="B165" i="57" s="1"/>
  <c r="AN149" i="67" a="1"/>
  <c r="AN149" i="67" s="1"/>
  <c r="B150" i="69"/>
  <c r="L150" i="69" s="1"/>
  <c r="D148" i="69"/>
  <c r="E148" i="69" s="1"/>
  <c r="F148" i="69" s="1"/>
  <c r="G148" i="69" s="1"/>
  <c r="H148" i="69" s="1"/>
  <c r="I148" i="69" s="1"/>
  <c r="J148" i="69" s="1"/>
  <c r="K148" i="69" s="1"/>
  <c r="M148" i="69" s="1"/>
  <c r="P148" i="69"/>
  <c r="N148" i="69"/>
  <c r="AF148" i="69" s="1"/>
  <c r="U147" i="69"/>
  <c r="AE147" i="69"/>
  <c r="Q147" i="69"/>
  <c r="R147" i="69"/>
  <c r="S147" i="69" s="1"/>
  <c r="Y147" i="69" s="1"/>
  <c r="AB147" i="69" s="1"/>
  <c r="AC147" i="69" s="1"/>
  <c r="AD147" i="69" s="1"/>
  <c r="O149" i="69"/>
  <c r="C149" i="69"/>
  <c r="AO149" i="69" s="1"/>
  <c r="AN148" i="63" a="1"/>
  <c r="AN148" i="63" s="1"/>
  <c r="B149" i="65"/>
  <c r="L149" i="65" s="1"/>
  <c r="P147" i="65"/>
  <c r="D147" i="65"/>
  <c r="E147" i="65" s="1"/>
  <c r="F147" i="65" s="1"/>
  <c r="G147" i="65" s="1"/>
  <c r="H147" i="65" s="1"/>
  <c r="I147" i="65" s="1"/>
  <c r="J147" i="65" s="1"/>
  <c r="K147" i="65" s="1"/>
  <c r="M147" i="65" s="1"/>
  <c r="N147" i="65"/>
  <c r="U146" i="65"/>
  <c r="Q146" i="65"/>
  <c r="R146" i="65"/>
  <c r="S146" i="65" s="1"/>
  <c r="Y146" i="65" s="1"/>
  <c r="AB146" i="65" s="1"/>
  <c r="AC146" i="65" s="1"/>
  <c r="AD146" i="65" s="1"/>
  <c r="O148" i="65"/>
  <c r="C148" i="65"/>
  <c r="AM148" i="65" s="1"/>
  <c r="AL94" i="11" a="1"/>
  <c r="AL94" i="11" s="1"/>
  <c r="AL104" i="59" a="1"/>
  <c r="AL104" i="59" s="1"/>
  <c r="E105" i="50" s="1"/>
  <c r="AK105" i="50" s="1"/>
  <c r="X163" i="53" l="1"/>
  <c r="AA163" i="53" s="1"/>
  <c r="AF162" i="53"/>
  <c r="AA162" i="53"/>
  <c r="AI101" i="50"/>
  <c r="AP101" i="50" s="1"/>
  <c r="AF147" i="65"/>
  <c r="AE147" i="65"/>
  <c r="AE164" i="57"/>
  <c r="R164" i="57"/>
  <c r="AE164" i="53"/>
  <c r="R164" i="53"/>
  <c r="W54" i="32"/>
  <c r="X54" i="32" s="1"/>
  <c r="V54" i="32"/>
  <c r="AJ54" i="32"/>
  <c r="C54" i="32"/>
  <c r="Z54" i="32"/>
  <c r="C60" i="32"/>
  <c r="Z60" i="32"/>
  <c r="V60" i="32"/>
  <c r="AJ60" i="32"/>
  <c r="W60" i="32"/>
  <c r="X60" i="32" s="1"/>
  <c r="Z33" i="32"/>
  <c r="V33" i="32"/>
  <c r="AJ33" i="32"/>
  <c r="C33" i="32"/>
  <c r="W33" i="32"/>
  <c r="X33" i="32" s="1"/>
  <c r="AJ89" i="32"/>
  <c r="C89" i="32"/>
  <c r="Z89" i="32"/>
  <c r="W89" i="32"/>
  <c r="X89" i="32" s="1"/>
  <c r="V89" i="32"/>
  <c r="W82" i="32"/>
  <c r="X82" i="32" s="1"/>
  <c r="V82" i="32"/>
  <c r="C82" i="32"/>
  <c r="AJ82" i="32"/>
  <c r="Z82" i="32"/>
  <c r="Z38" i="32"/>
  <c r="AJ38" i="32"/>
  <c r="C38" i="32"/>
  <c r="W38" i="32"/>
  <c r="X38" i="32" s="1"/>
  <c r="V38" i="32"/>
  <c r="Z45" i="32"/>
  <c r="V45" i="32"/>
  <c r="AJ45" i="32"/>
  <c r="C45" i="32"/>
  <c r="W45" i="32"/>
  <c r="X45" i="32" s="1"/>
  <c r="W42" i="32"/>
  <c r="X42" i="32" s="1"/>
  <c r="V42" i="32"/>
  <c r="AJ42" i="32"/>
  <c r="Z42" i="32"/>
  <c r="C42" i="32"/>
  <c r="AJ34" i="32"/>
  <c r="C34" i="32"/>
  <c r="W34" i="32"/>
  <c r="X34" i="32" s="1"/>
  <c r="Z34" i="32"/>
  <c r="V34" i="32"/>
  <c r="V43" i="32"/>
  <c r="AJ43" i="32"/>
  <c r="C43" i="32"/>
  <c r="W43" i="32"/>
  <c r="X43" i="32" s="1"/>
  <c r="Z43" i="32"/>
  <c r="Z55" i="32"/>
  <c r="V55" i="32"/>
  <c r="C55" i="32"/>
  <c r="W55" i="32"/>
  <c r="X55" i="32" s="1"/>
  <c r="AJ55" i="32"/>
  <c r="AJ44" i="32"/>
  <c r="C44" i="32"/>
  <c r="W44" i="32"/>
  <c r="X44" i="32" s="1"/>
  <c r="Z44" i="32"/>
  <c r="V44" i="32"/>
  <c r="AJ32" i="32"/>
  <c r="C32" i="32"/>
  <c r="V32" i="32"/>
  <c r="W32" i="32"/>
  <c r="X32" i="32" s="1"/>
  <c r="Z32" i="32"/>
  <c r="Z73" i="32"/>
  <c r="W73" i="32"/>
  <c r="X73" i="32" s="1"/>
  <c r="AJ73" i="32"/>
  <c r="C73" i="32"/>
  <c r="V73" i="32"/>
  <c r="V76" i="32"/>
  <c r="AJ76" i="32"/>
  <c r="C76" i="32"/>
  <c r="W76" i="32"/>
  <c r="X76" i="32" s="1"/>
  <c r="Z76" i="32"/>
  <c r="V61" i="32"/>
  <c r="AJ61" i="32"/>
  <c r="C61" i="32"/>
  <c r="W61" i="32"/>
  <c r="X61" i="32" s="1"/>
  <c r="Z61" i="32"/>
  <c r="W40" i="32"/>
  <c r="X40" i="32" s="1"/>
  <c r="AJ40" i="32"/>
  <c r="C40" i="32"/>
  <c r="Z40" i="32"/>
  <c r="V40" i="32"/>
  <c r="C26" i="32"/>
  <c r="W26" i="32"/>
  <c r="X26" i="32" s="1"/>
  <c r="Z26" i="32"/>
  <c r="V26" i="32"/>
  <c r="AJ26" i="32"/>
  <c r="V50" i="32"/>
  <c r="Z50" i="32"/>
  <c r="AJ50" i="32"/>
  <c r="C50" i="32"/>
  <c r="W50" i="32"/>
  <c r="X50" i="32" s="1"/>
  <c r="AJ56" i="32"/>
  <c r="W56" i="32"/>
  <c r="X56" i="32" s="1"/>
  <c r="C56" i="32"/>
  <c r="Z56" i="32"/>
  <c r="V56" i="32"/>
  <c r="V47" i="32"/>
  <c r="AJ47" i="32"/>
  <c r="W47" i="32"/>
  <c r="X47" i="32" s="1"/>
  <c r="Z47" i="32"/>
  <c r="C47" i="32"/>
  <c r="W86" i="32"/>
  <c r="X86" i="32" s="1"/>
  <c r="Z86" i="32"/>
  <c r="AJ86" i="32"/>
  <c r="C86" i="32"/>
  <c r="V86" i="32"/>
  <c r="AJ28" i="32"/>
  <c r="V28" i="32"/>
  <c r="C28" i="32"/>
  <c r="W28" i="32"/>
  <c r="X28" i="32" s="1"/>
  <c r="Z28" i="32"/>
  <c r="C79" i="32"/>
  <c r="W79" i="32"/>
  <c r="X79" i="32" s="1"/>
  <c r="V79" i="32"/>
  <c r="Z79" i="32"/>
  <c r="AJ79" i="32"/>
  <c r="C62" i="32"/>
  <c r="W62" i="32"/>
  <c r="X62" i="32" s="1"/>
  <c r="V62" i="32"/>
  <c r="Z62" i="32"/>
  <c r="AJ62" i="32"/>
  <c r="V49" i="32"/>
  <c r="W49" i="32"/>
  <c r="X49" i="32" s="1"/>
  <c r="Z49" i="32"/>
  <c r="AJ49" i="32"/>
  <c r="C49" i="32"/>
  <c r="V29" i="32"/>
  <c r="Z29" i="32"/>
  <c r="AJ29" i="32"/>
  <c r="C29" i="32"/>
  <c r="W29" i="32"/>
  <c r="X29" i="32" s="1"/>
  <c r="W52" i="32"/>
  <c r="X52" i="32" s="1"/>
  <c r="Z52" i="32"/>
  <c r="V52" i="32"/>
  <c r="AJ52" i="32"/>
  <c r="C52" i="32"/>
  <c r="V59" i="32"/>
  <c r="AJ59" i="32"/>
  <c r="C59" i="32"/>
  <c r="Z59" i="32"/>
  <c r="W59" i="32"/>
  <c r="X59" i="32" s="1"/>
  <c r="AJ48" i="32"/>
  <c r="C48" i="32"/>
  <c r="V48" i="32"/>
  <c r="W48" i="32"/>
  <c r="X48" i="32" s="1"/>
  <c r="Z48" i="32"/>
  <c r="V27" i="32"/>
  <c r="Z27" i="32"/>
  <c r="AJ27" i="32"/>
  <c r="C27" i="32"/>
  <c r="W27" i="32"/>
  <c r="X27" i="32" s="1"/>
  <c r="W37" i="32"/>
  <c r="X37" i="32" s="1"/>
  <c r="Z37" i="32"/>
  <c r="AJ37" i="32"/>
  <c r="V37" i="32"/>
  <c r="C37" i="32"/>
  <c r="AJ84" i="32"/>
  <c r="C84" i="32"/>
  <c r="W84" i="32"/>
  <c r="X84" i="32" s="1"/>
  <c r="Z84" i="32"/>
  <c r="V84" i="32"/>
  <c r="V64" i="32"/>
  <c r="W64" i="32"/>
  <c r="X64" i="32" s="1"/>
  <c r="AJ64" i="32"/>
  <c r="Z64" i="32"/>
  <c r="C64" i="32"/>
  <c r="V63" i="32"/>
  <c r="AJ63" i="32"/>
  <c r="C63" i="32"/>
  <c r="W63" i="32"/>
  <c r="X63" i="32" s="1"/>
  <c r="Z63" i="32"/>
  <c r="W67" i="32"/>
  <c r="X67" i="32" s="1"/>
  <c r="Z67" i="32"/>
  <c r="AJ67" i="32"/>
  <c r="V67" i="32"/>
  <c r="C67" i="32"/>
  <c r="V53" i="32"/>
  <c r="Z53" i="32"/>
  <c r="AJ53" i="32"/>
  <c r="C53" i="32"/>
  <c r="W53" i="32"/>
  <c r="X53" i="32" s="1"/>
  <c r="AJ75" i="32"/>
  <c r="C75" i="32"/>
  <c r="V75" i="32"/>
  <c r="Z75" i="32"/>
  <c r="W75" i="32"/>
  <c r="X75" i="32" s="1"/>
  <c r="V58" i="32"/>
  <c r="AJ58" i="32"/>
  <c r="W58" i="32"/>
  <c r="X58" i="32" s="1"/>
  <c r="Z58" i="32"/>
  <c r="C58" i="32"/>
  <c r="C71" i="32"/>
  <c r="Z71" i="32"/>
  <c r="AJ71" i="32"/>
  <c r="W71" i="32"/>
  <c r="X71" i="32" s="1"/>
  <c r="V71" i="32"/>
  <c r="V36" i="32"/>
  <c r="W36" i="32"/>
  <c r="X36" i="32" s="1"/>
  <c r="Z36" i="32"/>
  <c r="AJ36" i="32"/>
  <c r="C36" i="32"/>
  <c r="V39" i="32"/>
  <c r="AJ39" i="32"/>
  <c r="W39" i="32"/>
  <c r="X39" i="32" s="1"/>
  <c r="C39" i="32"/>
  <c r="Z39" i="32"/>
  <c r="V88" i="32"/>
  <c r="Z88" i="32"/>
  <c r="AJ88" i="32"/>
  <c r="C88" i="32"/>
  <c r="W88" i="32"/>
  <c r="X88" i="32" s="1"/>
  <c r="V66" i="32"/>
  <c r="AJ66" i="32"/>
  <c r="C66" i="32"/>
  <c r="W66" i="32"/>
  <c r="X66" i="32" s="1"/>
  <c r="Z66" i="32"/>
  <c r="C65" i="32"/>
  <c r="V65" i="32"/>
  <c r="Z65" i="32"/>
  <c r="W65" i="32"/>
  <c r="X65" i="32" s="1"/>
  <c r="AJ65" i="32"/>
  <c r="V74" i="32"/>
  <c r="AJ74" i="32"/>
  <c r="C74" i="32"/>
  <c r="W74" i="32"/>
  <c r="X74" i="32" s="1"/>
  <c r="Z74" i="32"/>
  <c r="V83" i="32"/>
  <c r="Z83" i="32"/>
  <c r="AJ83" i="32"/>
  <c r="C83" i="32"/>
  <c r="W83" i="32"/>
  <c r="X83" i="32" s="1"/>
  <c r="V81" i="32"/>
  <c r="Z81" i="32"/>
  <c r="C81" i="32"/>
  <c r="W81" i="32"/>
  <c r="X81" i="32" s="1"/>
  <c r="AJ81" i="32"/>
  <c r="W77" i="32"/>
  <c r="X77" i="32" s="1"/>
  <c r="Z77" i="32"/>
  <c r="AJ77" i="32"/>
  <c r="V77" i="32"/>
  <c r="C77" i="32"/>
  <c r="V69" i="32"/>
  <c r="C69" i="32"/>
  <c r="Z69" i="32"/>
  <c r="W69" i="32"/>
  <c r="X69" i="32" s="1"/>
  <c r="AJ69" i="32"/>
  <c r="Z46" i="32"/>
  <c r="C46" i="32"/>
  <c r="AJ46" i="32"/>
  <c r="V46" i="32"/>
  <c r="W46" i="32"/>
  <c r="X46" i="32" s="1"/>
  <c r="V41" i="32"/>
  <c r="AJ41" i="32"/>
  <c r="W41" i="32"/>
  <c r="X41" i="32" s="1"/>
  <c r="C41" i="32"/>
  <c r="Z41" i="32"/>
  <c r="V91" i="32"/>
  <c r="AJ91" i="32"/>
  <c r="C91" i="32"/>
  <c r="Z91" i="32"/>
  <c r="W91" i="32"/>
  <c r="X91" i="32" s="1"/>
  <c r="C68" i="32"/>
  <c r="Z68" i="32"/>
  <c r="W68" i="32"/>
  <c r="X68" i="32" s="1"/>
  <c r="V68" i="32"/>
  <c r="AJ68" i="32"/>
  <c r="AJ72" i="32"/>
  <c r="C72" i="32"/>
  <c r="W72" i="32"/>
  <c r="X72" i="32" s="1"/>
  <c r="Z72" i="32"/>
  <c r="V72" i="32"/>
  <c r="Z78" i="32"/>
  <c r="AJ78" i="32"/>
  <c r="V78" i="32"/>
  <c r="C78" i="32"/>
  <c r="W78" i="32"/>
  <c r="X78" i="32" s="1"/>
  <c r="V92" i="32"/>
  <c r="W92" i="32"/>
  <c r="X92" i="32" s="1"/>
  <c r="T92" i="32" s="1"/>
  <c r="Z92" i="32"/>
  <c r="AJ92" i="32"/>
  <c r="C92" i="32"/>
  <c r="W90" i="32"/>
  <c r="X90" i="32" s="1"/>
  <c r="V90" i="32"/>
  <c r="AJ90" i="32"/>
  <c r="C90" i="32"/>
  <c r="Z90" i="32"/>
  <c r="V85" i="32"/>
  <c r="AJ85" i="32"/>
  <c r="C85" i="32"/>
  <c r="W85" i="32"/>
  <c r="X85" i="32" s="1"/>
  <c r="Z85" i="32"/>
  <c r="V51" i="32"/>
  <c r="C51" i="32"/>
  <c r="Z51" i="32"/>
  <c r="W51" i="32"/>
  <c r="X51" i="32" s="1"/>
  <c r="AJ51" i="32"/>
  <c r="W57" i="32"/>
  <c r="X57" i="32" s="1"/>
  <c r="C57" i="32"/>
  <c r="AJ57" i="32"/>
  <c r="V57" i="32"/>
  <c r="Z57" i="32"/>
  <c r="V31" i="32"/>
  <c r="AJ31" i="32"/>
  <c r="W31" i="32"/>
  <c r="X31" i="32" s="1"/>
  <c r="C31" i="32"/>
  <c r="Z31" i="32"/>
  <c r="V70" i="32"/>
  <c r="Z70" i="32"/>
  <c r="W70" i="32"/>
  <c r="X70" i="32" s="1"/>
  <c r="AJ70" i="32"/>
  <c r="C70" i="32"/>
  <c r="V80" i="32"/>
  <c r="C80" i="32"/>
  <c r="Z80" i="32"/>
  <c r="W80" i="32"/>
  <c r="X80" i="32" s="1"/>
  <c r="AJ80" i="32"/>
  <c r="Z25" i="32"/>
  <c r="V25" i="32"/>
  <c r="AJ25" i="32"/>
  <c r="C25" i="32"/>
  <c r="W25" i="32"/>
  <c r="X25" i="32" s="1"/>
  <c r="V30" i="32"/>
  <c r="Z30" i="32"/>
  <c r="W30" i="32"/>
  <c r="X30" i="32" s="1"/>
  <c r="AJ30" i="32"/>
  <c r="C30" i="32"/>
  <c r="V35" i="32"/>
  <c r="AJ35" i="32"/>
  <c r="C35" i="32"/>
  <c r="W35" i="32"/>
  <c r="X35" i="32" s="1"/>
  <c r="Z35" i="32"/>
  <c r="V87" i="32"/>
  <c r="W87" i="32"/>
  <c r="X87" i="32" s="1"/>
  <c r="Z87" i="32"/>
  <c r="AJ87" i="32"/>
  <c r="C87" i="32"/>
  <c r="AD63" i="32"/>
  <c r="AG63" i="32" s="1"/>
  <c r="AH63" i="32" s="1"/>
  <c r="AD46" i="32"/>
  <c r="AG46" i="32" s="1"/>
  <c r="AH46" i="32" s="1"/>
  <c r="AD60" i="32"/>
  <c r="AG60" i="32" s="1"/>
  <c r="AH60" i="32" s="1"/>
  <c r="AD86" i="32"/>
  <c r="AG86" i="32" s="1"/>
  <c r="AH86" i="32" s="1"/>
  <c r="AD29" i="32"/>
  <c r="AL29" i="32" s="1"/>
  <c r="AD36" i="32"/>
  <c r="AG36" i="32" s="1"/>
  <c r="AH36" i="32" s="1"/>
  <c r="AD62" i="32"/>
  <c r="AG62" i="32" s="1"/>
  <c r="AH62" i="32" s="1"/>
  <c r="AD83" i="32"/>
  <c r="AG83" i="32" s="1"/>
  <c r="AH83" i="32" s="1"/>
  <c r="AD39" i="32"/>
  <c r="AG39" i="32" s="1"/>
  <c r="AH39" i="32" s="1"/>
  <c r="AD73" i="32"/>
  <c r="AD54" i="32"/>
  <c r="AG54" i="32" s="1"/>
  <c r="AH54" i="32" s="1"/>
  <c r="AD76" i="32"/>
  <c r="AG76" i="32" s="1"/>
  <c r="AH76" i="32" s="1"/>
  <c r="AD91" i="32"/>
  <c r="AG91" i="32" s="1"/>
  <c r="AH91" i="32" s="1"/>
  <c r="AD43" i="32"/>
  <c r="AG43" i="32" s="1"/>
  <c r="AH43" i="32" s="1"/>
  <c r="AD53" i="32"/>
  <c r="AG53" i="32" s="1"/>
  <c r="AH53" i="32" s="1"/>
  <c r="AD67" i="32"/>
  <c r="AG67" i="32" s="1"/>
  <c r="AH67" i="32" s="1"/>
  <c r="AD89" i="32"/>
  <c r="AG89" i="32" s="1"/>
  <c r="AH89" i="32" s="1"/>
  <c r="AD45" i="32"/>
  <c r="AG45" i="32" s="1"/>
  <c r="AH45" i="32" s="1"/>
  <c r="AD75" i="32"/>
  <c r="AG75" i="32" s="1"/>
  <c r="AH75" i="32" s="1"/>
  <c r="AD84" i="32"/>
  <c r="AG84" i="32" s="1"/>
  <c r="AH84" i="32" s="1"/>
  <c r="AD49" i="32"/>
  <c r="AG49" i="32" s="1"/>
  <c r="AH49" i="32" s="1"/>
  <c r="AD44" i="32"/>
  <c r="AG44" i="32" s="1"/>
  <c r="AH44" i="32" s="1"/>
  <c r="AD61" i="32"/>
  <c r="AG61" i="32" s="1"/>
  <c r="AH61" i="32" s="1"/>
  <c r="AD72" i="32"/>
  <c r="AG72" i="32" s="1"/>
  <c r="AH72" i="32" s="1"/>
  <c r="AD28" i="32"/>
  <c r="AG28" i="32" s="1"/>
  <c r="AH28" i="32" s="1"/>
  <c r="AD47" i="32"/>
  <c r="AG47" i="32" s="1"/>
  <c r="AH47" i="32" s="1"/>
  <c r="AD34" i="32"/>
  <c r="AG34" i="32" s="1"/>
  <c r="AH34" i="32" s="1"/>
  <c r="AD27" i="32"/>
  <c r="AG27" i="32" s="1"/>
  <c r="AH27" i="32" s="1"/>
  <c r="AD66" i="32"/>
  <c r="AL66" i="32" s="1"/>
  <c r="AD48" i="32"/>
  <c r="AG48" i="32" s="1"/>
  <c r="AH48" i="32" s="1"/>
  <c r="AD64" i="32"/>
  <c r="AG64" i="32" s="1"/>
  <c r="AH64" i="32" s="1"/>
  <c r="AD88" i="32"/>
  <c r="AG88" i="32" s="1"/>
  <c r="AH88" i="32" s="1"/>
  <c r="AD74" i="32"/>
  <c r="AG74" i="32" s="1"/>
  <c r="AH74" i="32" s="1"/>
  <c r="AD35" i="32"/>
  <c r="AD33" i="32"/>
  <c r="AL33" i="32" s="1"/>
  <c r="AD80" i="32"/>
  <c r="AG80" i="32" s="1"/>
  <c r="AH80" i="32" s="1"/>
  <c r="AD25" i="32"/>
  <c r="AG25" i="32" s="1"/>
  <c r="AH25" i="32" s="1"/>
  <c r="AD57" i="32"/>
  <c r="AG57" i="32" s="1"/>
  <c r="AH57" i="32" s="1"/>
  <c r="AD81" i="32"/>
  <c r="AG81" i="32" s="1"/>
  <c r="AH81" i="32" s="1"/>
  <c r="AD87" i="32"/>
  <c r="AG87" i="32" s="1"/>
  <c r="AH87" i="32" s="1"/>
  <c r="AD37" i="32"/>
  <c r="AG37" i="32" s="1"/>
  <c r="AH37" i="32" s="1"/>
  <c r="AD42" i="32"/>
  <c r="AL42" i="32" s="1"/>
  <c r="AD82" i="32"/>
  <c r="AG82" i="32" s="1"/>
  <c r="AH82" i="32" s="1"/>
  <c r="AD26" i="32"/>
  <c r="AG26" i="32" s="1"/>
  <c r="AH26" i="32" s="1"/>
  <c r="AD65" i="32"/>
  <c r="AG65" i="32" s="1"/>
  <c r="AH65" i="32" s="1"/>
  <c r="AD41" i="32"/>
  <c r="AG41" i="32" s="1"/>
  <c r="AH41" i="32" s="1"/>
  <c r="AD30" i="32"/>
  <c r="AG30" i="32" s="1"/>
  <c r="AH30" i="32" s="1"/>
  <c r="AD38" i="32"/>
  <c r="AG38" i="32" s="1"/>
  <c r="AH38" i="32" s="1"/>
  <c r="AD50" i="32"/>
  <c r="AL50" i="32" s="1"/>
  <c r="AD68" i="32"/>
  <c r="AL68" i="32" s="1"/>
  <c r="AD90" i="32"/>
  <c r="AD31" i="32"/>
  <c r="AG31" i="32" s="1"/>
  <c r="AH31" i="32" s="1"/>
  <c r="AD77" i="32"/>
  <c r="AG77" i="32" s="1"/>
  <c r="AH77" i="32" s="1"/>
  <c r="AD52" i="32"/>
  <c r="AG52" i="32" s="1"/>
  <c r="AH52" i="32" s="1"/>
  <c r="AD56" i="32"/>
  <c r="AG56" i="32" s="1"/>
  <c r="AH56" i="32" s="1"/>
  <c r="AD55" i="32"/>
  <c r="AG55" i="32" s="1"/>
  <c r="AH55" i="32" s="1"/>
  <c r="AD40" i="32"/>
  <c r="AG40" i="32" s="1"/>
  <c r="AH40" i="32" s="1"/>
  <c r="AD51" i="32"/>
  <c r="AD69" i="32"/>
  <c r="AG69" i="32" s="1"/>
  <c r="AH69" i="32" s="1"/>
  <c r="AD58" i="32"/>
  <c r="AG58" i="32" s="1"/>
  <c r="AH58" i="32" s="1"/>
  <c r="AD32" i="32"/>
  <c r="AG32" i="32" s="1"/>
  <c r="AH32" i="32" s="1"/>
  <c r="AD85" i="32"/>
  <c r="AG85" i="32" s="1"/>
  <c r="AH85" i="32" s="1"/>
  <c r="AD59" i="32"/>
  <c r="AG59" i="32" s="1"/>
  <c r="AH59" i="32" s="1"/>
  <c r="AD70" i="32"/>
  <c r="AG70" i="32" s="1"/>
  <c r="AH70" i="32" s="1"/>
  <c r="AD78" i="32"/>
  <c r="AG78" i="32" s="1"/>
  <c r="AH78" i="32" s="1"/>
  <c r="AD79" i="32"/>
  <c r="AG79" i="32" s="1"/>
  <c r="AH79" i="32" s="1"/>
  <c r="AG102" i="50"/>
  <c r="AH102" i="50" s="1"/>
  <c r="AL102" i="50"/>
  <c r="AB161" i="57"/>
  <c r="AF161" i="57"/>
  <c r="AG147" i="69"/>
  <c r="AG146" i="65"/>
  <c r="P94" i="32"/>
  <c r="AD71" i="32"/>
  <c r="U92" i="32"/>
  <c r="S15" i="32"/>
  <c r="V15" i="32" s="1"/>
  <c r="V20" i="32"/>
  <c r="C20" i="32"/>
  <c r="W20" i="32"/>
  <c r="X20" i="32" s="1"/>
  <c r="T20" i="32" s="1"/>
  <c r="Z20" i="32"/>
  <c r="AJ20" i="32"/>
  <c r="V18" i="32"/>
  <c r="AJ18" i="32"/>
  <c r="C18" i="32"/>
  <c r="W18" i="32"/>
  <c r="X18" i="32" s="1"/>
  <c r="T18" i="32" s="1"/>
  <c r="Z18" i="32"/>
  <c r="V17" i="32"/>
  <c r="AJ17" i="32"/>
  <c r="C17" i="32"/>
  <c r="W17" i="32"/>
  <c r="X17" i="32" s="1"/>
  <c r="T17" i="32" s="1"/>
  <c r="Z17" i="32"/>
  <c r="V22" i="32"/>
  <c r="AJ22" i="32"/>
  <c r="C22" i="32"/>
  <c r="W22" i="32"/>
  <c r="X22" i="32" s="1"/>
  <c r="T22" i="32" s="1"/>
  <c r="Z22" i="32"/>
  <c r="V23" i="32"/>
  <c r="AJ23" i="32"/>
  <c r="C23" i="32"/>
  <c r="W23" i="32"/>
  <c r="X23" i="32" s="1"/>
  <c r="T23" i="32" s="1"/>
  <c r="Z23" i="32"/>
  <c r="V21" i="32"/>
  <c r="AJ21" i="32"/>
  <c r="C21" i="32"/>
  <c r="W21" i="32"/>
  <c r="X21" i="32" s="1"/>
  <c r="T21" i="32" s="1"/>
  <c r="Z21" i="32"/>
  <c r="V19" i="32"/>
  <c r="W19" i="32"/>
  <c r="X19" i="32" s="1"/>
  <c r="T19" i="32" s="1"/>
  <c r="Z19" i="32"/>
  <c r="AJ19" i="32"/>
  <c r="C19" i="32"/>
  <c r="V24" i="32"/>
  <c r="Z24" i="32"/>
  <c r="AJ24" i="32"/>
  <c r="C24" i="32"/>
  <c r="W24" i="32"/>
  <c r="X24" i="32" s="1"/>
  <c r="T24" i="32" s="1"/>
  <c r="AX148" i="69"/>
  <c r="O165" i="57"/>
  <c r="AG165" i="57" s="1"/>
  <c r="L165" i="57"/>
  <c r="O105" i="50"/>
  <c r="T105" i="50"/>
  <c r="AA161" i="57"/>
  <c r="AM104" i="50"/>
  <c r="U104" i="50"/>
  <c r="AC164" i="57"/>
  <c r="AJ164" i="57"/>
  <c r="AP164" i="57"/>
  <c r="X162" i="57"/>
  <c r="AF162" i="57" s="1"/>
  <c r="AD103" i="50"/>
  <c r="AH147" i="65"/>
  <c r="AV147" i="65"/>
  <c r="AH164" i="53"/>
  <c r="AC164" i="53"/>
  <c r="AT164" i="53"/>
  <c r="AG164" i="53"/>
  <c r="V16" i="32"/>
  <c r="Z16" i="32"/>
  <c r="W16" i="32"/>
  <c r="X16" i="32" s="1"/>
  <c r="T16" i="32" s="1"/>
  <c r="AJ16" i="32"/>
  <c r="C16" i="32"/>
  <c r="N165" i="57"/>
  <c r="K165" i="53"/>
  <c r="N165" i="53"/>
  <c r="AH148" i="69"/>
  <c r="C93" i="32"/>
  <c r="V93" i="32"/>
  <c r="AJ103" i="50"/>
  <c r="C103" i="50"/>
  <c r="AJ14" i="32"/>
  <c r="C14" i="32"/>
  <c r="AD164" i="57"/>
  <c r="Q164" i="53"/>
  <c r="AD164" i="53"/>
  <c r="S12" i="32"/>
  <c r="V12" i="32" s="1"/>
  <c r="AJ93" i="32"/>
  <c r="V103" i="50"/>
  <c r="S104" i="50"/>
  <c r="S94" i="32"/>
  <c r="V94" i="32" s="1"/>
  <c r="S13" i="32"/>
  <c r="E165" i="53"/>
  <c r="H165" i="53"/>
  <c r="J165" i="53"/>
  <c r="D165" i="53"/>
  <c r="P165" i="53"/>
  <c r="C165" i="53"/>
  <c r="L165" i="53"/>
  <c r="I165" i="53"/>
  <c r="G165" i="53"/>
  <c r="F165" i="53"/>
  <c r="AK164" i="52" a="1"/>
  <c r="AK164" i="52" s="1"/>
  <c r="B166" i="53" s="1"/>
  <c r="O166" i="53" s="1"/>
  <c r="H105" i="50"/>
  <c r="I105" i="50"/>
  <c r="J105" i="50"/>
  <c r="B105" i="50"/>
  <c r="R105" i="50" s="1"/>
  <c r="L105" i="50"/>
  <c r="M105" i="50"/>
  <c r="A105" i="50"/>
  <c r="Q105" i="50" s="1"/>
  <c r="P105" i="50" s="1"/>
  <c r="G105" i="50"/>
  <c r="F105" i="50"/>
  <c r="K105" i="50"/>
  <c r="N105" i="50"/>
  <c r="W14" i="32"/>
  <c r="X14" i="32" s="1"/>
  <c r="T14" i="32" s="1"/>
  <c r="Z14" i="32"/>
  <c r="Z103" i="50"/>
  <c r="W103" i="50"/>
  <c r="X103" i="50" s="1"/>
  <c r="Q164" i="57"/>
  <c r="H165" i="57"/>
  <c r="E165" i="57"/>
  <c r="P165" i="57"/>
  <c r="J165" i="57"/>
  <c r="F165" i="57"/>
  <c r="K165" i="57"/>
  <c r="G165" i="57"/>
  <c r="C165" i="57"/>
  <c r="M165" i="57" s="1"/>
  <c r="I165" i="57"/>
  <c r="D165" i="57"/>
  <c r="T163" i="57"/>
  <c r="E95" i="32"/>
  <c r="AK95" i="32" s="1"/>
  <c r="AK164" i="55" a="1"/>
  <c r="AK164" i="55" s="1"/>
  <c r="B166" i="57" s="1"/>
  <c r="W93" i="32"/>
  <c r="X93" i="32" s="1"/>
  <c r="T93" i="32" s="1"/>
  <c r="U93" i="32" s="1"/>
  <c r="AD93" i="32" s="1"/>
  <c r="Z93" i="32"/>
  <c r="AN150" i="67" a="1"/>
  <c r="AN150" i="67" s="1"/>
  <c r="B151" i="69"/>
  <c r="L151" i="69" s="1"/>
  <c r="Q148" i="69"/>
  <c r="AE148" i="69"/>
  <c r="R148" i="69"/>
  <c r="S148" i="69" s="1"/>
  <c r="Y148" i="69" s="1"/>
  <c r="AB148" i="69" s="1"/>
  <c r="AC148" i="69" s="1"/>
  <c r="AD148" i="69" s="1"/>
  <c r="U148" i="69"/>
  <c r="D149" i="69"/>
  <c r="E149" i="69" s="1"/>
  <c r="F149" i="69" s="1"/>
  <c r="G149" i="69" s="1"/>
  <c r="H149" i="69" s="1"/>
  <c r="I149" i="69" s="1"/>
  <c r="J149" i="69" s="1"/>
  <c r="K149" i="69" s="1"/>
  <c r="M149" i="69" s="1"/>
  <c r="N149" i="69"/>
  <c r="AF149" i="69" s="1"/>
  <c r="P149" i="69"/>
  <c r="O150" i="69"/>
  <c r="C150" i="69"/>
  <c r="AO150" i="69" s="1"/>
  <c r="AN149" i="63" a="1"/>
  <c r="AN149" i="63" s="1"/>
  <c r="B150" i="65"/>
  <c r="L150" i="65" s="1"/>
  <c r="C149" i="65"/>
  <c r="AM149" i="65" s="1"/>
  <c r="O149" i="65"/>
  <c r="Q147" i="65"/>
  <c r="U147" i="65"/>
  <c r="R147" i="65"/>
  <c r="S147" i="65" s="1"/>
  <c r="Y147" i="65" s="1"/>
  <c r="AB147" i="65" s="1"/>
  <c r="AC147" i="65" s="1"/>
  <c r="AD147" i="65" s="1"/>
  <c r="D148" i="65"/>
  <c r="E148" i="65" s="1"/>
  <c r="F148" i="65" s="1"/>
  <c r="G148" i="65" s="1"/>
  <c r="H148" i="65" s="1"/>
  <c r="I148" i="65" s="1"/>
  <c r="J148" i="65" s="1"/>
  <c r="K148" i="65" s="1"/>
  <c r="M148" i="65" s="1"/>
  <c r="P148" i="65"/>
  <c r="N148" i="65"/>
  <c r="AL95" i="11" a="1"/>
  <c r="AL95" i="11" s="1"/>
  <c r="E96" i="32" s="1"/>
  <c r="AK96" i="32" s="1"/>
  <c r="AL105" i="59" a="1"/>
  <c r="AL105" i="59" s="1"/>
  <c r="E106" i="50" s="1"/>
  <c r="AK106" i="50" s="1"/>
  <c r="AG29" i="32" l="1"/>
  <c r="AH29" i="32" s="1"/>
  <c r="AB163" i="53"/>
  <c r="AF163" i="53"/>
  <c r="AL63" i="32"/>
  <c r="AI102" i="50"/>
  <c r="AP102" i="50" s="1"/>
  <c r="AF148" i="65"/>
  <c r="AE148" i="65"/>
  <c r="AL73" i="32"/>
  <c r="AL38" i="32"/>
  <c r="AL87" i="32"/>
  <c r="AL88" i="32"/>
  <c r="AL51" i="32"/>
  <c r="AL35" i="32"/>
  <c r="AL62" i="32"/>
  <c r="AL61" i="32"/>
  <c r="AE165" i="57"/>
  <c r="R165" i="57"/>
  <c r="AE165" i="53"/>
  <c r="R165" i="53"/>
  <c r="AG35" i="32"/>
  <c r="AH35" i="32" s="1"/>
  <c r="AG73" i="32"/>
  <c r="AH73" i="32" s="1"/>
  <c r="AL48" i="32"/>
  <c r="AG68" i="32"/>
  <c r="AH68" i="32" s="1"/>
  <c r="AG50" i="32"/>
  <c r="AH50" i="32" s="1"/>
  <c r="AL47" i="32"/>
  <c r="AL30" i="32"/>
  <c r="AL83" i="32"/>
  <c r="AG66" i="32"/>
  <c r="AH66" i="32" s="1"/>
  <c r="AL25" i="32"/>
  <c r="AL49" i="32"/>
  <c r="AG33" i="32"/>
  <c r="AH33" i="32" s="1"/>
  <c r="AL27" i="32"/>
  <c r="AL67" i="32"/>
  <c r="AG51" i="32"/>
  <c r="AH51" i="32" s="1"/>
  <c r="AD92" i="32"/>
  <c r="AG92" i="32" s="1"/>
  <c r="AH92" i="32" s="1"/>
  <c r="AL37" i="32"/>
  <c r="AL74" i="32"/>
  <c r="AL40" i="32"/>
  <c r="AL31" i="32"/>
  <c r="AL81" i="32"/>
  <c r="AL64" i="32"/>
  <c r="AL79" i="32"/>
  <c r="AL56" i="32"/>
  <c r="AL89" i="32"/>
  <c r="AL90" i="32"/>
  <c r="AL26" i="32"/>
  <c r="AL86" i="32"/>
  <c r="AL84" i="32"/>
  <c r="AL76" i="32"/>
  <c r="AL80" i="32"/>
  <c r="AL41" i="32"/>
  <c r="AL36" i="32"/>
  <c r="AG42" i="32"/>
  <c r="AH42" i="32" s="1"/>
  <c r="AL52" i="32"/>
  <c r="AL65" i="32"/>
  <c r="AL46" i="32"/>
  <c r="AL77" i="32"/>
  <c r="AL44" i="32"/>
  <c r="AL45" i="32"/>
  <c r="AL91" i="32"/>
  <c r="AL32" i="32"/>
  <c r="AG90" i="32"/>
  <c r="AH90" i="32" s="1"/>
  <c r="AL57" i="32"/>
  <c r="AL72" i="32"/>
  <c r="AL39" i="32"/>
  <c r="AL53" i="32"/>
  <c r="AL28" i="32"/>
  <c r="AL43" i="32"/>
  <c r="AL82" i="32"/>
  <c r="AL34" i="32"/>
  <c r="AL60" i="32"/>
  <c r="AL69" i="32"/>
  <c r="AL75" i="32"/>
  <c r="AL54" i="32"/>
  <c r="AL58" i="32"/>
  <c r="AL70" i="32"/>
  <c r="AL55" i="32"/>
  <c r="AL59" i="32"/>
  <c r="AL85" i="32"/>
  <c r="AL78" i="32"/>
  <c r="AG103" i="50"/>
  <c r="AH103" i="50" s="1"/>
  <c r="AL103" i="50"/>
  <c r="AG93" i="32"/>
  <c r="AH93" i="32" s="1"/>
  <c r="AL93" i="32"/>
  <c r="AG71" i="32"/>
  <c r="AH71" i="32" s="1"/>
  <c r="AL71" i="32"/>
  <c r="AG148" i="69"/>
  <c r="AG147" i="65"/>
  <c r="AM92" i="32"/>
  <c r="AI57" i="32"/>
  <c r="AM57" i="32"/>
  <c r="AI41" i="32"/>
  <c r="AM41" i="32"/>
  <c r="AI28" i="32"/>
  <c r="AM28" i="32"/>
  <c r="AI44" i="32"/>
  <c r="AM44" i="32"/>
  <c r="AI40" i="32"/>
  <c r="AM40" i="32"/>
  <c r="AI80" i="32"/>
  <c r="AM80" i="32"/>
  <c r="AI37" i="32"/>
  <c r="AM37" i="32"/>
  <c r="AI31" i="32"/>
  <c r="AM31" i="32"/>
  <c r="AI45" i="32"/>
  <c r="AM45" i="32"/>
  <c r="AI35" i="32"/>
  <c r="AM35" i="32"/>
  <c r="AI69" i="32"/>
  <c r="AM69" i="32"/>
  <c r="AI39" i="32"/>
  <c r="AM39" i="32"/>
  <c r="AI51" i="32"/>
  <c r="AM51" i="32"/>
  <c r="AI60" i="32"/>
  <c r="AM60" i="32"/>
  <c r="AI72" i="32"/>
  <c r="AM72" i="32"/>
  <c r="AI78" i="32"/>
  <c r="AM78" i="32"/>
  <c r="AI43" i="32"/>
  <c r="AM43" i="32"/>
  <c r="AI47" i="32"/>
  <c r="AM47" i="32"/>
  <c r="AI26" i="32"/>
  <c r="AM26" i="32"/>
  <c r="AI46" i="32"/>
  <c r="AM46" i="32"/>
  <c r="AI38" i="32"/>
  <c r="AM38" i="32"/>
  <c r="AI81" i="32"/>
  <c r="AM81" i="32"/>
  <c r="AI52" i="32"/>
  <c r="AM52" i="32"/>
  <c r="AI76" i="32"/>
  <c r="AM76" i="32"/>
  <c r="AI65" i="32"/>
  <c r="AM65" i="32"/>
  <c r="AI89" i="32"/>
  <c r="AM89" i="32"/>
  <c r="AI30" i="32"/>
  <c r="AM30" i="32"/>
  <c r="AI82" i="32"/>
  <c r="AM82" i="32"/>
  <c r="AI75" i="32"/>
  <c r="AM75" i="32"/>
  <c r="AM73" i="32"/>
  <c r="AI58" i="32"/>
  <c r="AM58" i="32"/>
  <c r="AI62" i="32"/>
  <c r="AM62" i="32"/>
  <c r="AI32" i="32"/>
  <c r="AM32" i="32"/>
  <c r="AI54" i="32"/>
  <c r="AM54" i="32"/>
  <c r="AI53" i="32"/>
  <c r="AM53" i="32"/>
  <c r="AI63" i="32"/>
  <c r="AM63" i="32"/>
  <c r="AI49" i="32"/>
  <c r="AM49" i="32"/>
  <c r="AI74" i="32"/>
  <c r="AM74" i="32"/>
  <c r="AM90" i="32"/>
  <c r="AI29" i="32"/>
  <c r="AM29" i="32"/>
  <c r="AI70" i="32"/>
  <c r="AM70" i="32"/>
  <c r="AI61" i="32"/>
  <c r="AM61" i="32"/>
  <c r="AI88" i="32"/>
  <c r="AM88" i="32"/>
  <c r="AI59" i="32"/>
  <c r="AM59" i="32"/>
  <c r="AI48" i="32"/>
  <c r="AM48" i="32"/>
  <c r="AI64" i="32"/>
  <c r="AM64" i="32"/>
  <c r="AI67" i="32"/>
  <c r="AM67" i="32"/>
  <c r="AI27" i="32"/>
  <c r="AM27" i="32"/>
  <c r="AI84" i="32"/>
  <c r="AM84" i="32"/>
  <c r="AM50" i="32"/>
  <c r="AM66" i="32"/>
  <c r="AM42" i="32"/>
  <c r="AI85" i="32"/>
  <c r="AM85" i="32"/>
  <c r="AM68" i="32"/>
  <c r="AI55" i="32"/>
  <c r="AM55" i="32"/>
  <c r="AM33" i="32"/>
  <c r="AI91" i="32"/>
  <c r="AM91" i="32"/>
  <c r="AI36" i="32"/>
  <c r="AM36" i="32"/>
  <c r="AI77" i="32"/>
  <c r="AM77" i="32"/>
  <c r="AI34" i="32"/>
  <c r="AM34" i="32"/>
  <c r="AI86" i="32"/>
  <c r="AM86" i="32"/>
  <c r="AI83" i="32"/>
  <c r="AM83" i="32"/>
  <c r="AI79" i="32"/>
  <c r="AM79" i="32"/>
  <c r="AI25" i="32"/>
  <c r="AM25" i="32"/>
  <c r="AI56" i="32"/>
  <c r="AM56" i="32"/>
  <c r="AM71" i="32"/>
  <c r="AI87" i="32"/>
  <c r="AM87" i="32"/>
  <c r="C15" i="32"/>
  <c r="Z15" i="32"/>
  <c r="W15" i="32"/>
  <c r="X15" i="32" s="1"/>
  <c r="T15" i="32" s="1"/>
  <c r="AJ15" i="32"/>
  <c r="U22" i="32"/>
  <c r="AD22" i="32" s="1"/>
  <c r="U20" i="32"/>
  <c r="AD20" i="32" s="1"/>
  <c r="U19" i="32"/>
  <c r="AD19" i="32" s="1"/>
  <c r="U17" i="32"/>
  <c r="AD17" i="32" s="1"/>
  <c r="U21" i="32"/>
  <c r="AD21" i="32" s="1"/>
  <c r="U23" i="32"/>
  <c r="AD23" i="32" s="1"/>
  <c r="U18" i="32"/>
  <c r="AD18" i="32" s="1"/>
  <c r="U24" i="32"/>
  <c r="AD24" i="32" s="1"/>
  <c r="AX149" i="69"/>
  <c r="O166" i="57"/>
  <c r="AG166" i="57" s="1"/>
  <c r="L166" i="57"/>
  <c r="Z12" i="32"/>
  <c r="W12" i="32"/>
  <c r="X12" i="32" s="1"/>
  <c r="AJ12" i="32"/>
  <c r="O106" i="50"/>
  <c r="T106" i="50"/>
  <c r="X163" i="57"/>
  <c r="AA162" i="57"/>
  <c r="AB162" i="57"/>
  <c r="AD104" i="50"/>
  <c r="AC165" i="57"/>
  <c r="AJ165" i="57"/>
  <c r="AP165" i="57"/>
  <c r="AM105" i="50"/>
  <c r="U105" i="50"/>
  <c r="AH148" i="65"/>
  <c r="AV148" i="65"/>
  <c r="U16" i="32"/>
  <c r="AD16" i="32" s="1"/>
  <c r="U14" i="32"/>
  <c r="V13" i="32"/>
  <c r="AH165" i="53"/>
  <c r="AC165" i="53"/>
  <c r="AT165" i="53"/>
  <c r="AG165" i="53"/>
  <c r="N166" i="57"/>
  <c r="X164" i="53"/>
  <c r="AF164" i="53" s="1"/>
  <c r="P166" i="53"/>
  <c r="N166" i="53"/>
  <c r="AH149" i="69"/>
  <c r="C13" i="32"/>
  <c r="AJ104" i="50"/>
  <c r="C104" i="50"/>
  <c r="AJ94" i="32"/>
  <c r="C94" i="32"/>
  <c r="C12" i="32"/>
  <c r="AD165" i="57"/>
  <c r="AD165" i="53"/>
  <c r="S105" i="50"/>
  <c r="V104" i="50"/>
  <c r="AJ13" i="32"/>
  <c r="W13" i="32"/>
  <c r="X13" i="32" s="1"/>
  <c r="T13" i="32" s="1"/>
  <c r="Z13" i="32"/>
  <c r="Q165" i="53"/>
  <c r="AK165" i="52" a="1"/>
  <c r="AK165" i="52" s="1"/>
  <c r="B167" i="53" s="1"/>
  <c r="O167" i="53" s="1"/>
  <c r="K166" i="53"/>
  <c r="E166" i="53"/>
  <c r="J166" i="53"/>
  <c r="D166" i="53"/>
  <c r="C166" i="53"/>
  <c r="H166" i="53"/>
  <c r="F166" i="53"/>
  <c r="G166" i="53"/>
  <c r="I166" i="53"/>
  <c r="L166" i="53"/>
  <c r="A96" i="32"/>
  <c r="B96" i="32"/>
  <c r="A95" i="32"/>
  <c r="B95" i="32"/>
  <c r="K106" i="50"/>
  <c r="A106" i="50"/>
  <c r="Q106" i="50" s="1"/>
  <c r="P106" i="50" s="1"/>
  <c r="M106" i="50"/>
  <c r="G106" i="50"/>
  <c r="F106" i="50"/>
  <c r="N106" i="50"/>
  <c r="J106" i="50"/>
  <c r="L106" i="50"/>
  <c r="H106" i="50"/>
  <c r="B106" i="50"/>
  <c r="R106" i="50" s="1"/>
  <c r="I106" i="50"/>
  <c r="K96" i="32"/>
  <c r="L96" i="32"/>
  <c r="F96" i="32"/>
  <c r="N96" i="32"/>
  <c r="H96" i="32"/>
  <c r="M96" i="32"/>
  <c r="J96" i="32"/>
  <c r="I96" i="32"/>
  <c r="O96" i="32"/>
  <c r="G96" i="32"/>
  <c r="M95" i="32"/>
  <c r="F95" i="32"/>
  <c r="N95" i="32"/>
  <c r="H95" i="32"/>
  <c r="J95" i="32"/>
  <c r="G95" i="32"/>
  <c r="L95" i="32"/>
  <c r="O95" i="32"/>
  <c r="I95" i="32"/>
  <c r="K95" i="32"/>
  <c r="Q165" i="57"/>
  <c r="Z104" i="50"/>
  <c r="W104" i="50"/>
  <c r="X104" i="50" s="1"/>
  <c r="J166" i="57"/>
  <c r="D166" i="57"/>
  <c r="F166" i="57"/>
  <c r="H166" i="57"/>
  <c r="G166" i="57"/>
  <c r="C166" i="57"/>
  <c r="M166" i="57" s="1"/>
  <c r="I166" i="57"/>
  <c r="E166" i="57"/>
  <c r="P166" i="57"/>
  <c r="K166" i="57"/>
  <c r="T164" i="57"/>
  <c r="AK165" i="55" a="1"/>
  <c r="AK165" i="55" s="1"/>
  <c r="B167" i="57" s="1"/>
  <c r="W94" i="32"/>
  <c r="X94" i="32" s="1"/>
  <c r="T94" i="32" s="1"/>
  <c r="Z94" i="32"/>
  <c r="AN151" i="67" a="1"/>
  <c r="AN151" i="67" s="1"/>
  <c r="B152" i="69"/>
  <c r="L152" i="69" s="1"/>
  <c r="R149" i="69"/>
  <c r="S149" i="69" s="1"/>
  <c r="Y149" i="69" s="1"/>
  <c r="AB149" i="69" s="1"/>
  <c r="AC149" i="69" s="1"/>
  <c r="AD149" i="69" s="1"/>
  <c r="U149" i="69"/>
  <c r="AE149" i="69"/>
  <c r="Q149" i="69"/>
  <c r="O151" i="69"/>
  <c r="C151" i="69"/>
  <c r="AO151" i="69" s="1"/>
  <c r="D150" i="69"/>
  <c r="E150" i="69" s="1"/>
  <c r="F150" i="69" s="1"/>
  <c r="G150" i="69" s="1"/>
  <c r="H150" i="69" s="1"/>
  <c r="I150" i="69" s="1"/>
  <c r="J150" i="69" s="1"/>
  <c r="K150" i="69" s="1"/>
  <c r="M150" i="69" s="1"/>
  <c r="N150" i="69"/>
  <c r="AF150" i="69" s="1"/>
  <c r="P150" i="69"/>
  <c r="AN150" i="63" a="1"/>
  <c r="AN150" i="63" s="1"/>
  <c r="B151" i="65"/>
  <c r="L151" i="65" s="1"/>
  <c r="U148" i="65"/>
  <c r="R148" i="65"/>
  <c r="S148" i="65" s="1"/>
  <c r="Y148" i="65" s="1"/>
  <c r="AB148" i="65" s="1"/>
  <c r="AC148" i="65" s="1"/>
  <c r="AD148" i="65" s="1"/>
  <c r="Q148" i="65"/>
  <c r="C150" i="65"/>
  <c r="AM150" i="65" s="1"/>
  <c r="O150" i="65"/>
  <c r="P149" i="65"/>
  <c r="D149" i="65"/>
  <c r="E149" i="65" s="1"/>
  <c r="F149" i="65" s="1"/>
  <c r="G149" i="65" s="1"/>
  <c r="H149" i="65" s="1"/>
  <c r="I149" i="65" s="1"/>
  <c r="J149" i="65" s="1"/>
  <c r="K149" i="65" s="1"/>
  <c r="M149" i="65" s="1"/>
  <c r="N149" i="65"/>
  <c r="AL96" i="11" a="1"/>
  <c r="AL96" i="11" s="1"/>
  <c r="AL106" i="59" a="1"/>
  <c r="AL106" i="59" s="1"/>
  <c r="E107" i="50" s="1"/>
  <c r="AK107" i="50" s="1"/>
  <c r="G4" i="22"/>
  <c r="L9" i="29"/>
  <c r="L8" i="29"/>
  <c r="L5" i="29"/>
  <c r="L4" i="29"/>
  <c r="L3" i="29"/>
  <c r="X165" i="53" l="1"/>
  <c r="AF165" i="53" s="1"/>
  <c r="AI93" i="32"/>
  <c r="AI92" i="32"/>
  <c r="AN92" i="32" s="1"/>
  <c r="AI66" i="32"/>
  <c r="AN66" i="32" s="1"/>
  <c r="AI50" i="32"/>
  <c r="AN50" i="32" s="1"/>
  <c r="AI33" i="32"/>
  <c r="AN33" i="32" s="1"/>
  <c r="AI68" i="32"/>
  <c r="AN68" i="32" s="1"/>
  <c r="AI90" i="32"/>
  <c r="AN90" i="32" s="1"/>
  <c r="AI71" i="32"/>
  <c r="AN71" i="32" s="1"/>
  <c r="AI42" i="32"/>
  <c r="AN42" i="32" s="1"/>
  <c r="AI73" i="32"/>
  <c r="AN73" i="32" s="1"/>
  <c r="AI103" i="50"/>
  <c r="AP103" i="50" s="1"/>
  <c r="AF149" i="65"/>
  <c r="AE149" i="65"/>
  <c r="AE166" i="57"/>
  <c r="R166" i="57"/>
  <c r="AE166" i="53"/>
  <c r="R166" i="53"/>
  <c r="AL92" i="32"/>
  <c r="AG104" i="50"/>
  <c r="AH104" i="50" s="1"/>
  <c r="AL104" i="50"/>
  <c r="AG17" i="32"/>
  <c r="AH17" i="32" s="1"/>
  <c r="AL17" i="32"/>
  <c r="AG19" i="32"/>
  <c r="AH19" i="32" s="1"/>
  <c r="AL19" i="32"/>
  <c r="AG20" i="32"/>
  <c r="AH20" i="32" s="1"/>
  <c r="AL20" i="32"/>
  <c r="AG22" i="32"/>
  <c r="AH22" i="32" s="1"/>
  <c r="AL22" i="32"/>
  <c r="AG16" i="32"/>
  <c r="AH16" i="32" s="1"/>
  <c r="AL16" i="32"/>
  <c r="AG24" i="32"/>
  <c r="AH24" i="32" s="1"/>
  <c r="AL24" i="32"/>
  <c r="AG18" i="32"/>
  <c r="AH18" i="32" s="1"/>
  <c r="AL18" i="32"/>
  <c r="AG23" i="32"/>
  <c r="AH23" i="32" s="1"/>
  <c r="AL23" i="32"/>
  <c r="AG21" i="32"/>
  <c r="AH21" i="32" s="1"/>
  <c r="AL21" i="32"/>
  <c r="AB163" i="57"/>
  <c r="AF163" i="57"/>
  <c r="AG149" i="69"/>
  <c r="AG148" i="65"/>
  <c r="P95" i="32"/>
  <c r="P96" i="32"/>
  <c r="U94" i="32"/>
  <c r="AD94" i="32" s="1"/>
  <c r="AN63" i="32"/>
  <c r="AN62" i="32"/>
  <c r="AN82" i="32"/>
  <c r="AN76" i="32"/>
  <c r="AN46" i="32"/>
  <c r="AN78" i="32"/>
  <c r="AN39" i="32"/>
  <c r="AN31" i="32"/>
  <c r="AN25" i="32"/>
  <c r="AN54" i="32"/>
  <c r="AN89" i="32"/>
  <c r="AN81" i="32"/>
  <c r="AN53" i="32"/>
  <c r="AN87" i="32"/>
  <c r="AN79" i="32"/>
  <c r="AN77" i="32"/>
  <c r="AN55" i="32"/>
  <c r="AN67" i="32"/>
  <c r="AN44" i="32"/>
  <c r="AN83" i="32"/>
  <c r="AN36" i="32"/>
  <c r="AN64" i="32"/>
  <c r="AN61" i="32"/>
  <c r="AN74" i="32"/>
  <c r="AN26" i="32"/>
  <c r="AN72" i="32"/>
  <c r="AN69" i="32"/>
  <c r="AN37" i="32"/>
  <c r="AN28" i="32"/>
  <c r="AN56" i="32"/>
  <c r="AN86" i="32"/>
  <c r="AN91" i="32"/>
  <c r="AN85" i="32"/>
  <c r="AN84" i="32"/>
  <c r="AN48" i="32"/>
  <c r="AN70" i="32"/>
  <c r="AN49" i="32"/>
  <c r="AN47" i="32"/>
  <c r="AN60" i="32"/>
  <c r="AN35" i="32"/>
  <c r="AN80" i="32"/>
  <c r="AN41" i="32"/>
  <c r="AN32" i="32"/>
  <c r="AN75" i="32"/>
  <c r="AN65" i="32"/>
  <c r="AN34" i="32"/>
  <c r="AN27" i="32"/>
  <c r="AN59" i="32"/>
  <c r="AN29" i="32"/>
  <c r="AN38" i="32"/>
  <c r="AN43" i="32"/>
  <c r="AN51" i="32"/>
  <c r="AN45" i="32"/>
  <c r="AN40" i="32"/>
  <c r="AN57" i="32"/>
  <c r="AN88" i="32"/>
  <c r="AN58" i="32"/>
  <c r="AN30" i="32"/>
  <c r="AN52" i="32"/>
  <c r="AM93" i="32"/>
  <c r="U15" i="32"/>
  <c r="AD15" i="32" s="1"/>
  <c r="AL15" i="32" s="1"/>
  <c r="AM22" i="32"/>
  <c r="AM21" i="32"/>
  <c r="AM23" i="32"/>
  <c r="AX150" i="69"/>
  <c r="O167" i="57"/>
  <c r="AG167" i="57" s="1"/>
  <c r="L167" i="57"/>
  <c r="O107" i="50"/>
  <c r="T107" i="50"/>
  <c r="AA163" i="57"/>
  <c r="AJ166" i="57"/>
  <c r="AC166" i="57"/>
  <c r="AP166" i="57"/>
  <c r="AD105" i="50"/>
  <c r="X164" i="57"/>
  <c r="AF164" i="57" s="1"/>
  <c r="AM106" i="50"/>
  <c r="U106" i="50"/>
  <c r="AH149" i="65"/>
  <c r="AV149" i="65"/>
  <c r="AD14" i="32"/>
  <c r="AL14" i="32" s="1"/>
  <c r="U13" i="32"/>
  <c r="AH166" i="53"/>
  <c r="AT166" i="53"/>
  <c r="AC166" i="53"/>
  <c r="AB164" i="53"/>
  <c r="AA164" i="53"/>
  <c r="AG166" i="53"/>
  <c r="N167" i="57"/>
  <c r="I167" i="53"/>
  <c r="N167" i="53"/>
  <c r="AH150" i="69"/>
  <c r="AJ105" i="50"/>
  <c r="C105" i="50"/>
  <c r="AD166" i="57"/>
  <c r="Q166" i="53"/>
  <c r="AD166" i="53"/>
  <c r="V105" i="50"/>
  <c r="S106" i="50"/>
  <c r="S96" i="32"/>
  <c r="V96" i="32" s="1"/>
  <c r="S95" i="32"/>
  <c r="C167" i="53"/>
  <c r="L167" i="53"/>
  <c r="P167" i="53"/>
  <c r="K167" i="53"/>
  <c r="E167" i="53"/>
  <c r="J167" i="53"/>
  <c r="H167" i="53"/>
  <c r="F167" i="53"/>
  <c r="D167" i="53"/>
  <c r="AK166" i="52" a="1"/>
  <c r="AK166" i="52" s="1"/>
  <c r="B168" i="53" s="1"/>
  <c r="O168" i="53" s="1"/>
  <c r="G167" i="53"/>
  <c r="H107" i="50"/>
  <c r="A107" i="50"/>
  <c r="Q107" i="50" s="1"/>
  <c r="P107" i="50" s="1"/>
  <c r="B107" i="50"/>
  <c r="R107" i="50" s="1"/>
  <c r="J107" i="50"/>
  <c r="G107" i="50"/>
  <c r="F107" i="50"/>
  <c r="K107" i="50"/>
  <c r="N107" i="50"/>
  <c r="I107" i="50"/>
  <c r="M107" i="50"/>
  <c r="L107" i="50"/>
  <c r="I167" i="57"/>
  <c r="F167" i="57"/>
  <c r="D167" i="57"/>
  <c r="C167" i="57"/>
  <c r="M167" i="57" s="1"/>
  <c r="H167" i="57"/>
  <c r="K167" i="57"/>
  <c r="G167" i="57"/>
  <c r="E167" i="57"/>
  <c r="P167" i="57"/>
  <c r="J167" i="57"/>
  <c r="T165" i="57"/>
  <c r="W105" i="50"/>
  <c r="X105" i="50" s="1"/>
  <c r="Z105" i="50"/>
  <c r="Q166" i="57"/>
  <c r="E97" i="32"/>
  <c r="AK97" i="32" s="1"/>
  <c r="AK166" i="55" a="1"/>
  <c r="AK166" i="55" s="1"/>
  <c r="B168" i="57" s="1"/>
  <c r="AN152" i="67" a="1"/>
  <c r="AN152" i="67" s="1"/>
  <c r="B153" i="69"/>
  <c r="L153" i="69" s="1"/>
  <c r="O152" i="69"/>
  <c r="C152" i="69"/>
  <c r="AO152" i="69" s="1"/>
  <c r="R150" i="69"/>
  <c r="S150" i="69" s="1"/>
  <c r="Y150" i="69" s="1"/>
  <c r="AB150" i="69" s="1"/>
  <c r="AC150" i="69" s="1"/>
  <c r="AD150" i="69" s="1"/>
  <c r="U150" i="69"/>
  <c r="AE150" i="69"/>
  <c r="Q150" i="69"/>
  <c r="D151" i="69"/>
  <c r="E151" i="69" s="1"/>
  <c r="F151" i="69" s="1"/>
  <c r="G151" i="69" s="1"/>
  <c r="H151" i="69" s="1"/>
  <c r="I151" i="69" s="1"/>
  <c r="J151" i="69" s="1"/>
  <c r="K151" i="69" s="1"/>
  <c r="M151" i="69" s="1"/>
  <c r="N151" i="69"/>
  <c r="AF151" i="69" s="1"/>
  <c r="P151" i="69"/>
  <c r="AN151" i="63" a="1"/>
  <c r="AN151" i="63" s="1"/>
  <c r="B152" i="65"/>
  <c r="L152" i="65" s="1"/>
  <c r="R149" i="65"/>
  <c r="S149" i="65" s="1"/>
  <c r="Y149" i="65" s="1"/>
  <c r="AB149" i="65" s="1"/>
  <c r="AC149" i="65" s="1"/>
  <c r="AD149" i="65" s="1"/>
  <c r="U149" i="65"/>
  <c r="Q149" i="65"/>
  <c r="C151" i="65"/>
  <c r="AM151" i="65" s="1"/>
  <c r="O151" i="65"/>
  <c r="N150" i="65"/>
  <c r="D150" i="65"/>
  <c r="E150" i="65" s="1"/>
  <c r="F150" i="65" s="1"/>
  <c r="G150" i="65" s="1"/>
  <c r="H150" i="65" s="1"/>
  <c r="I150" i="65" s="1"/>
  <c r="J150" i="65" s="1"/>
  <c r="K150" i="65" s="1"/>
  <c r="M150" i="65" s="1"/>
  <c r="P150" i="65"/>
  <c r="AW78" i="22"/>
  <c r="AK4" i="22"/>
  <c r="AL97" i="11" a="1"/>
  <c r="AL97" i="11" s="1"/>
  <c r="E98" i="32" s="1"/>
  <c r="AK98" i="32" s="1"/>
  <c r="AL107" i="59" a="1"/>
  <c r="AL107" i="59" s="1"/>
  <c r="E108" i="50" s="1"/>
  <c r="AK108" i="50" s="1"/>
  <c r="AA165" i="53" l="1"/>
  <c r="AB165" i="53"/>
  <c r="AI23" i="32"/>
  <c r="AN23" i="32" s="1"/>
  <c r="AI22" i="32"/>
  <c r="AN22" i="32" s="1"/>
  <c r="AN93" i="32"/>
  <c r="AI20" i="32"/>
  <c r="AI19" i="32"/>
  <c r="AI21" i="32"/>
  <c r="AN21" i="32" s="1"/>
  <c r="AI104" i="50"/>
  <c r="AP104" i="50" s="1"/>
  <c r="AF150" i="65"/>
  <c r="AE150" i="65"/>
  <c r="AE167" i="57"/>
  <c r="R167" i="57"/>
  <c r="AE167" i="53"/>
  <c r="R167" i="53"/>
  <c r="AG105" i="50"/>
  <c r="AH105" i="50" s="1"/>
  <c r="AL105" i="50"/>
  <c r="AG94" i="32"/>
  <c r="AH94" i="32" s="1"/>
  <c r="AL94" i="32"/>
  <c r="AG150" i="69"/>
  <c r="AG149" i="65"/>
  <c r="AM94" i="32"/>
  <c r="AM17" i="32"/>
  <c r="AM20" i="32"/>
  <c r="AM19" i="32"/>
  <c r="AI17" i="32"/>
  <c r="AI24" i="32"/>
  <c r="AM24" i="32"/>
  <c r="AI18" i="32"/>
  <c r="AM18" i="32"/>
  <c r="AG15" i="32"/>
  <c r="AH15" i="32" s="1"/>
  <c r="AG14" i="32"/>
  <c r="AH14" i="32" s="1"/>
  <c r="AX151" i="69"/>
  <c r="O168" i="57"/>
  <c r="AG168" i="57" s="1"/>
  <c r="L168" i="57"/>
  <c r="X165" i="57"/>
  <c r="O108" i="50"/>
  <c r="T108" i="50"/>
  <c r="AD106" i="50"/>
  <c r="AB164" i="57"/>
  <c r="AA164" i="57"/>
  <c r="AJ167" i="57"/>
  <c r="AC167" i="57"/>
  <c r="AP167" i="57"/>
  <c r="AM107" i="50"/>
  <c r="U107" i="50"/>
  <c r="AH150" i="65"/>
  <c r="AV150" i="65"/>
  <c r="AD13" i="32"/>
  <c r="AG167" i="53"/>
  <c r="AH167" i="53"/>
  <c r="AC167" i="53"/>
  <c r="AT167" i="53"/>
  <c r="AI16" i="32"/>
  <c r="N168" i="57"/>
  <c r="X166" i="53"/>
  <c r="AF166" i="53" s="1"/>
  <c r="E168" i="53"/>
  <c r="N168" i="53"/>
  <c r="AH151" i="69"/>
  <c r="C95" i="32"/>
  <c r="V95" i="32"/>
  <c r="AJ106" i="50"/>
  <c r="C106" i="50"/>
  <c r="AJ96" i="32"/>
  <c r="C96" i="32"/>
  <c r="AD167" i="57"/>
  <c r="AD167" i="53"/>
  <c r="AJ95" i="32"/>
  <c r="V106" i="50"/>
  <c r="S107" i="50"/>
  <c r="AK167" i="52" a="1"/>
  <c r="AK167" i="52" s="1"/>
  <c r="B169" i="53" s="1"/>
  <c r="O169" i="53" s="1"/>
  <c r="J168" i="53"/>
  <c r="Q167" i="53"/>
  <c r="F168" i="53"/>
  <c r="L168" i="53"/>
  <c r="I168" i="53"/>
  <c r="D168" i="53"/>
  <c r="H168" i="53"/>
  <c r="C168" i="53"/>
  <c r="G168" i="53"/>
  <c r="P168" i="53"/>
  <c r="K168" i="53"/>
  <c r="A97" i="32"/>
  <c r="B97" i="32"/>
  <c r="A98" i="32"/>
  <c r="B98" i="32"/>
  <c r="K108" i="50"/>
  <c r="M108" i="50"/>
  <c r="I108" i="50"/>
  <c r="G108" i="50"/>
  <c r="B108" i="50"/>
  <c r="R108" i="50" s="1"/>
  <c r="L108" i="50"/>
  <c r="F108" i="50"/>
  <c r="H108" i="50"/>
  <c r="J108" i="50"/>
  <c r="A108" i="50"/>
  <c r="Q108" i="50" s="1"/>
  <c r="P108" i="50" s="1"/>
  <c r="N108" i="50"/>
  <c r="I97" i="32"/>
  <c r="J97" i="32"/>
  <c r="L97" i="32"/>
  <c r="F97" i="32"/>
  <c r="N97" i="32"/>
  <c r="H97" i="32"/>
  <c r="K97" i="32"/>
  <c r="O97" i="32"/>
  <c r="G97" i="32"/>
  <c r="M97" i="32"/>
  <c r="G98" i="32"/>
  <c r="O98" i="32"/>
  <c r="H98" i="32"/>
  <c r="J98" i="32"/>
  <c r="L98" i="32"/>
  <c r="I98" i="32"/>
  <c r="N98" i="32"/>
  <c r="F98" i="32"/>
  <c r="K98" i="32"/>
  <c r="M98" i="32"/>
  <c r="Z95" i="32"/>
  <c r="W95" i="32"/>
  <c r="X95" i="32" s="1"/>
  <c r="T95" i="32" s="1"/>
  <c r="Q167" i="57"/>
  <c r="T166" i="57"/>
  <c r="H168" i="57"/>
  <c r="F168" i="57"/>
  <c r="D168" i="57"/>
  <c r="P168" i="57"/>
  <c r="C168" i="57"/>
  <c r="M168" i="57" s="1"/>
  <c r="K168" i="57"/>
  <c r="J168" i="57"/>
  <c r="E168" i="57"/>
  <c r="G168" i="57"/>
  <c r="I168" i="57"/>
  <c r="Z106" i="50"/>
  <c r="W106" i="50"/>
  <c r="X106" i="50" s="1"/>
  <c r="AK167" i="55" a="1"/>
  <c r="AK167" i="55" s="1"/>
  <c r="B169" i="57" s="1"/>
  <c r="W96" i="32"/>
  <c r="X96" i="32" s="1"/>
  <c r="T96" i="32" s="1"/>
  <c r="U96" i="32" s="1"/>
  <c r="AD96" i="32" s="1"/>
  <c r="Z96" i="32"/>
  <c r="O153" i="69"/>
  <c r="C153" i="69"/>
  <c r="AO153" i="69" s="1"/>
  <c r="AE151" i="69"/>
  <c r="U151" i="69"/>
  <c r="R151" i="69"/>
  <c r="S151" i="69" s="1"/>
  <c r="Y151" i="69" s="1"/>
  <c r="AB151" i="69" s="1"/>
  <c r="AC151" i="69" s="1"/>
  <c r="AD151" i="69" s="1"/>
  <c r="Q151" i="69"/>
  <c r="D152" i="69"/>
  <c r="E152" i="69" s="1"/>
  <c r="F152" i="69" s="1"/>
  <c r="G152" i="69" s="1"/>
  <c r="H152" i="69" s="1"/>
  <c r="I152" i="69" s="1"/>
  <c r="J152" i="69" s="1"/>
  <c r="K152" i="69" s="1"/>
  <c r="M152" i="69" s="1"/>
  <c r="N152" i="69"/>
  <c r="AF152" i="69" s="1"/>
  <c r="P152" i="69"/>
  <c r="AN153" i="67" a="1"/>
  <c r="AN153" i="67" s="1"/>
  <c r="B154" i="69"/>
  <c r="L154" i="69" s="1"/>
  <c r="AN152" i="63" a="1"/>
  <c r="AN152" i="63" s="1"/>
  <c r="B153" i="65"/>
  <c r="L153" i="65" s="1"/>
  <c r="C152" i="65"/>
  <c r="AM152" i="65" s="1"/>
  <c r="O152" i="65"/>
  <c r="N151" i="65"/>
  <c r="P151" i="65"/>
  <c r="D151" i="65"/>
  <c r="E151" i="65" s="1"/>
  <c r="F151" i="65" s="1"/>
  <c r="G151" i="65" s="1"/>
  <c r="H151" i="65" s="1"/>
  <c r="I151" i="65" s="1"/>
  <c r="J151" i="65" s="1"/>
  <c r="K151" i="65" s="1"/>
  <c r="M151" i="65" s="1"/>
  <c r="Q150" i="65"/>
  <c r="U150" i="65"/>
  <c r="R150" i="65"/>
  <c r="S150" i="65" s="1"/>
  <c r="Y150" i="65" s="1"/>
  <c r="AB150" i="65" s="1"/>
  <c r="AC150" i="65" s="1"/>
  <c r="AD150" i="65" s="1"/>
  <c r="AL98" i="11" a="1"/>
  <c r="AL98" i="11" s="1"/>
  <c r="E99" i="32" s="1"/>
  <c r="AK99" i="32" s="1"/>
  <c r="AL108" i="59" a="1"/>
  <c r="AL108" i="59" s="1"/>
  <c r="E109" i="50" s="1"/>
  <c r="AK109" i="50" s="1"/>
  <c r="X167" i="53" l="1"/>
  <c r="AF167" i="53" s="1"/>
  <c r="AN19" i="32"/>
  <c r="AI94" i="32"/>
  <c r="AN94" i="32" s="1"/>
  <c r="AN20" i="32"/>
  <c r="AI105" i="50"/>
  <c r="AP105" i="50" s="1"/>
  <c r="AF151" i="65"/>
  <c r="AE151" i="65"/>
  <c r="AE168" i="57"/>
  <c r="R168" i="57"/>
  <c r="AE168" i="53"/>
  <c r="R168" i="53"/>
  <c r="AG106" i="50"/>
  <c r="AH106" i="50" s="1"/>
  <c r="AL106" i="50"/>
  <c r="AG96" i="32"/>
  <c r="AH96" i="32" s="1"/>
  <c r="AL96" i="32"/>
  <c r="AB165" i="57"/>
  <c r="AF165" i="57"/>
  <c r="AG151" i="69"/>
  <c r="AG150" i="65"/>
  <c r="P98" i="32"/>
  <c r="P97" i="32"/>
  <c r="U95" i="32"/>
  <c r="AD95" i="32" s="1"/>
  <c r="AN17" i="32"/>
  <c r="AI14" i="32"/>
  <c r="AI15" i="32"/>
  <c r="AN24" i="32"/>
  <c r="AN18" i="32"/>
  <c r="AG13" i="32"/>
  <c r="AH13" i="32" s="1"/>
  <c r="AX152" i="69"/>
  <c r="AA165" i="57"/>
  <c r="O169" i="57"/>
  <c r="AG169" i="57" s="1"/>
  <c r="L169" i="57"/>
  <c r="T109" i="50"/>
  <c r="O109" i="50"/>
  <c r="AM108" i="50"/>
  <c r="U108" i="50"/>
  <c r="AJ168" i="57"/>
  <c r="AC168" i="57"/>
  <c r="AP168" i="57"/>
  <c r="AD107" i="50"/>
  <c r="X166" i="57"/>
  <c r="AF166" i="57" s="1"/>
  <c r="AH151" i="65"/>
  <c r="AV151" i="65"/>
  <c r="AM16" i="32"/>
  <c r="AN16" i="32" s="1"/>
  <c r="AH168" i="53"/>
  <c r="AC168" i="53"/>
  <c r="AT168" i="53"/>
  <c r="AB166" i="53"/>
  <c r="AA166" i="53"/>
  <c r="AG168" i="53"/>
  <c r="N169" i="57"/>
  <c r="K169" i="53"/>
  <c r="N169" i="53"/>
  <c r="AH152" i="69"/>
  <c r="AJ107" i="50"/>
  <c r="C107" i="50"/>
  <c r="AD168" i="57"/>
  <c r="Q168" i="53"/>
  <c r="AD168" i="53"/>
  <c r="S108" i="50"/>
  <c r="V107" i="50"/>
  <c r="S98" i="32"/>
  <c r="V98" i="32" s="1"/>
  <c r="S97" i="32"/>
  <c r="AK168" i="52" a="1"/>
  <c r="AK168" i="52" s="1"/>
  <c r="B170" i="53" s="1"/>
  <c r="O170" i="53" s="1"/>
  <c r="I169" i="53"/>
  <c r="P169" i="53"/>
  <c r="D169" i="53"/>
  <c r="G169" i="53"/>
  <c r="J169" i="53"/>
  <c r="H169" i="53"/>
  <c r="F169" i="53"/>
  <c r="L169" i="53"/>
  <c r="E169" i="53"/>
  <c r="C169" i="53"/>
  <c r="A99" i="32"/>
  <c r="B99" i="32"/>
  <c r="N109" i="50"/>
  <c r="M109" i="50"/>
  <c r="F109" i="50"/>
  <c r="G109" i="50"/>
  <c r="H109" i="50"/>
  <c r="L109" i="50"/>
  <c r="B109" i="50"/>
  <c r="R109" i="50" s="1"/>
  <c r="J109" i="50"/>
  <c r="I109" i="50"/>
  <c r="A109" i="50"/>
  <c r="Q109" i="50" s="1"/>
  <c r="P109" i="50" s="1"/>
  <c r="K109" i="50"/>
  <c r="M99" i="32"/>
  <c r="F99" i="32"/>
  <c r="N99" i="32"/>
  <c r="H99" i="32"/>
  <c r="J99" i="32"/>
  <c r="O99" i="32"/>
  <c r="G99" i="32"/>
  <c r="L99" i="32"/>
  <c r="K99" i="32"/>
  <c r="I99" i="32"/>
  <c r="W107" i="50"/>
  <c r="X107" i="50" s="1"/>
  <c r="Z107" i="50"/>
  <c r="Q168" i="57"/>
  <c r="P169" i="57"/>
  <c r="J169" i="57"/>
  <c r="E169" i="57"/>
  <c r="C169" i="57"/>
  <c r="M169" i="57" s="1"/>
  <c r="F169" i="57"/>
  <c r="H169" i="57"/>
  <c r="I169" i="57"/>
  <c r="D169" i="57"/>
  <c r="K169" i="57"/>
  <c r="G169" i="57"/>
  <c r="T167" i="57"/>
  <c r="AK168" i="55" a="1"/>
  <c r="AK168" i="55" s="1"/>
  <c r="B170" i="57" s="1"/>
  <c r="AN154" i="67" a="1"/>
  <c r="AN154" i="67" s="1"/>
  <c r="B155" i="69"/>
  <c r="L155" i="69" s="1"/>
  <c r="U152" i="69"/>
  <c r="AE152" i="69"/>
  <c r="Q152" i="69"/>
  <c r="R152" i="69"/>
  <c r="S152" i="69" s="1"/>
  <c r="Y152" i="69" s="1"/>
  <c r="AB152" i="69" s="1"/>
  <c r="AC152" i="69" s="1"/>
  <c r="AD152" i="69" s="1"/>
  <c r="O154" i="69"/>
  <c r="C154" i="69"/>
  <c r="AO154" i="69" s="1"/>
  <c r="D153" i="69"/>
  <c r="E153" i="69" s="1"/>
  <c r="F153" i="69" s="1"/>
  <c r="G153" i="69" s="1"/>
  <c r="H153" i="69" s="1"/>
  <c r="I153" i="69" s="1"/>
  <c r="J153" i="69" s="1"/>
  <c r="K153" i="69" s="1"/>
  <c r="M153" i="69" s="1"/>
  <c r="P153" i="69"/>
  <c r="N153" i="69"/>
  <c r="AF153" i="69" s="1"/>
  <c r="AN153" i="63" a="1"/>
  <c r="AN153" i="63" s="1"/>
  <c r="B154" i="65"/>
  <c r="L154" i="65" s="1"/>
  <c r="P152" i="65"/>
  <c r="D152" i="65"/>
  <c r="E152" i="65" s="1"/>
  <c r="F152" i="65" s="1"/>
  <c r="G152" i="65" s="1"/>
  <c r="H152" i="65" s="1"/>
  <c r="I152" i="65" s="1"/>
  <c r="J152" i="65" s="1"/>
  <c r="K152" i="65" s="1"/>
  <c r="M152" i="65" s="1"/>
  <c r="N152" i="65"/>
  <c r="U151" i="65"/>
  <c r="Q151" i="65"/>
  <c r="R151" i="65"/>
  <c r="S151" i="65" s="1"/>
  <c r="Y151" i="65" s="1"/>
  <c r="AB151" i="65" s="1"/>
  <c r="AC151" i="65" s="1"/>
  <c r="AD151" i="65" s="1"/>
  <c r="C153" i="65"/>
  <c r="AM153" i="65" s="1"/>
  <c r="O153" i="65"/>
  <c r="AL99" i="11" a="1"/>
  <c r="AL99" i="11" s="1"/>
  <c r="E100" i="32" s="1"/>
  <c r="AK100" i="32" s="1"/>
  <c r="AL109" i="59" a="1"/>
  <c r="AL109" i="59" s="1"/>
  <c r="E110" i="50" s="1"/>
  <c r="AK110" i="50" s="1"/>
  <c r="AA167" i="53" l="1"/>
  <c r="AB167" i="53"/>
  <c r="AM96" i="32"/>
  <c r="AI96" i="32"/>
  <c r="AI106" i="50"/>
  <c r="AP106" i="50" s="1"/>
  <c r="AK13" i="32"/>
  <c r="AL13" i="32" s="1"/>
  <c r="AI13" i="32"/>
  <c r="X168" i="53"/>
  <c r="AA168" i="53" s="1"/>
  <c r="AF152" i="65"/>
  <c r="AE152" i="65"/>
  <c r="AE169" i="57"/>
  <c r="R169" i="57"/>
  <c r="AE169" i="53"/>
  <c r="R169" i="53"/>
  <c r="AG107" i="50"/>
  <c r="AH107" i="50" s="1"/>
  <c r="AL107" i="50"/>
  <c r="AG95" i="32"/>
  <c r="AH95" i="32" s="1"/>
  <c r="AL95" i="32"/>
  <c r="AG152" i="69"/>
  <c r="AG151" i="65"/>
  <c r="P99" i="32"/>
  <c r="AM95" i="32"/>
  <c r="AM14" i="32"/>
  <c r="AN14" i="32" s="1"/>
  <c r="AM15" i="32"/>
  <c r="AN15" i="32" s="1"/>
  <c r="AX153" i="69"/>
  <c r="O170" i="57"/>
  <c r="AG170" i="57" s="1"/>
  <c r="L170" i="57"/>
  <c r="X167" i="57"/>
  <c r="T110" i="50"/>
  <c r="O110" i="50"/>
  <c r="AJ169" i="57"/>
  <c r="AC169" i="57"/>
  <c r="AP169" i="57"/>
  <c r="AM109" i="50"/>
  <c r="U109" i="50"/>
  <c r="AB166" i="57"/>
  <c r="AA166" i="57"/>
  <c r="AD108" i="50"/>
  <c r="AH152" i="65"/>
  <c r="AV152" i="65"/>
  <c r="AG169" i="53"/>
  <c r="AH169" i="53"/>
  <c r="AC169" i="53"/>
  <c r="AT169" i="53"/>
  <c r="N170" i="57"/>
  <c r="N170" i="53"/>
  <c r="AH153" i="69"/>
  <c r="C97" i="32"/>
  <c r="V97" i="32"/>
  <c r="AJ108" i="50"/>
  <c r="C108" i="50"/>
  <c r="AJ98" i="32"/>
  <c r="C98" i="32"/>
  <c r="AD169" i="57"/>
  <c r="AD169" i="53"/>
  <c r="Q169" i="53"/>
  <c r="AJ97" i="32"/>
  <c r="S109" i="50"/>
  <c r="V108" i="50"/>
  <c r="S99" i="32"/>
  <c r="V99" i="32" s="1"/>
  <c r="AK169" i="52" a="1"/>
  <c r="AK169" i="52" s="1"/>
  <c r="B171" i="53" s="1"/>
  <c r="O171" i="53" s="1"/>
  <c r="G170" i="53"/>
  <c r="P170" i="53"/>
  <c r="K170" i="53"/>
  <c r="J170" i="53"/>
  <c r="H170" i="53"/>
  <c r="D170" i="53"/>
  <c r="L170" i="53"/>
  <c r="E170" i="53"/>
  <c r="F170" i="53"/>
  <c r="C170" i="53"/>
  <c r="I170" i="53"/>
  <c r="A100" i="32"/>
  <c r="B100" i="32"/>
  <c r="A110" i="50"/>
  <c r="Q110" i="50" s="1"/>
  <c r="P110" i="50" s="1"/>
  <c r="N110" i="50"/>
  <c r="J110" i="50"/>
  <c r="K110" i="50"/>
  <c r="F110" i="50"/>
  <c r="I110" i="50"/>
  <c r="H110" i="50"/>
  <c r="G110" i="50"/>
  <c r="M110" i="50"/>
  <c r="L110" i="50"/>
  <c r="B110" i="50"/>
  <c r="R110" i="50" s="1"/>
  <c r="K100" i="32"/>
  <c r="L100" i="32"/>
  <c r="F100" i="32"/>
  <c r="N100" i="32"/>
  <c r="H100" i="32"/>
  <c r="J100" i="32"/>
  <c r="M100" i="32"/>
  <c r="G100" i="32"/>
  <c r="I100" i="32"/>
  <c r="O100" i="32"/>
  <c r="W97" i="32"/>
  <c r="X97" i="32" s="1"/>
  <c r="T97" i="32" s="1"/>
  <c r="Z97" i="32"/>
  <c r="T168" i="57"/>
  <c r="J170" i="57"/>
  <c r="G170" i="57"/>
  <c r="D170" i="57"/>
  <c r="P170" i="57"/>
  <c r="H170" i="57"/>
  <c r="C170" i="57"/>
  <c r="M170" i="57" s="1"/>
  <c r="I170" i="57"/>
  <c r="F170" i="57"/>
  <c r="E170" i="57"/>
  <c r="K170" i="57"/>
  <c r="Q169" i="57"/>
  <c r="W108" i="50"/>
  <c r="X108" i="50" s="1"/>
  <c r="Z108" i="50"/>
  <c r="AK169" i="55" a="1"/>
  <c r="AK169" i="55" s="1"/>
  <c r="B171" i="57" s="1"/>
  <c r="W98" i="32"/>
  <c r="X98" i="32" s="1"/>
  <c r="T98" i="32" s="1"/>
  <c r="Z98" i="32"/>
  <c r="O155" i="69"/>
  <c r="C155" i="69"/>
  <c r="AO155" i="69" s="1"/>
  <c r="D154" i="69"/>
  <c r="E154" i="69" s="1"/>
  <c r="F154" i="69" s="1"/>
  <c r="G154" i="69" s="1"/>
  <c r="H154" i="69" s="1"/>
  <c r="I154" i="69" s="1"/>
  <c r="J154" i="69" s="1"/>
  <c r="K154" i="69" s="1"/>
  <c r="M154" i="69" s="1"/>
  <c r="N154" i="69"/>
  <c r="AF154" i="69" s="1"/>
  <c r="P154" i="69"/>
  <c r="Q153" i="69"/>
  <c r="AE153" i="69"/>
  <c r="U153" i="69"/>
  <c r="R153" i="69"/>
  <c r="S153" i="69" s="1"/>
  <c r="Y153" i="69" s="1"/>
  <c r="AB153" i="69" s="1"/>
  <c r="AC153" i="69" s="1"/>
  <c r="AD153" i="69" s="1"/>
  <c r="AN155" i="67" a="1"/>
  <c r="AN155" i="67" s="1"/>
  <c r="B156" i="69"/>
  <c r="L156" i="69" s="1"/>
  <c r="AN154" i="63" a="1"/>
  <c r="AN154" i="63" s="1"/>
  <c r="B155" i="65"/>
  <c r="L155" i="65" s="1"/>
  <c r="U152" i="65"/>
  <c r="R152" i="65"/>
  <c r="S152" i="65" s="1"/>
  <c r="Y152" i="65" s="1"/>
  <c r="AB152" i="65" s="1"/>
  <c r="AC152" i="65" s="1"/>
  <c r="AD152" i="65" s="1"/>
  <c r="Q152" i="65"/>
  <c r="C154" i="65"/>
  <c r="AM154" i="65" s="1"/>
  <c r="O154" i="65"/>
  <c r="P153" i="65"/>
  <c r="D153" i="65"/>
  <c r="E153" i="65" s="1"/>
  <c r="F153" i="65" s="1"/>
  <c r="G153" i="65" s="1"/>
  <c r="H153" i="65" s="1"/>
  <c r="I153" i="65" s="1"/>
  <c r="J153" i="65" s="1"/>
  <c r="K153" i="65" s="1"/>
  <c r="M153" i="65" s="1"/>
  <c r="N153" i="65"/>
  <c r="AL100" i="11" a="1"/>
  <c r="AL100" i="11" s="1"/>
  <c r="E101" i="32" s="1"/>
  <c r="AK101" i="32" s="1"/>
  <c r="AL110" i="59" a="1"/>
  <c r="AL110" i="59" s="1"/>
  <c r="E111" i="50" s="1"/>
  <c r="AK111" i="50" s="1"/>
  <c r="AN96" i="32" l="1"/>
  <c r="AB168" i="53"/>
  <c r="AI95" i="32"/>
  <c r="AN95" i="32" s="1"/>
  <c r="AI107" i="50"/>
  <c r="AP107" i="50" s="1"/>
  <c r="AF168" i="53"/>
  <c r="AF153" i="65"/>
  <c r="AE153" i="65"/>
  <c r="AE170" i="57"/>
  <c r="R170" i="57"/>
  <c r="AE170" i="53"/>
  <c r="R170" i="53"/>
  <c r="AG108" i="50"/>
  <c r="AH108" i="50" s="1"/>
  <c r="AL108" i="50"/>
  <c r="AB167" i="57"/>
  <c r="AF167" i="57"/>
  <c r="AG153" i="69"/>
  <c r="AG152" i="65"/>
  <c r="P100" i="32"/>
  <c r="U98" i="32"/>
  <c r="AD98" i="32" s="1"/>
  <c r="U97" i="32"/>
  <c r="AD97" i="32" s="1"/>
  <c r="AM13" i="32"/>
  <c r="AN13" i="32" s="1"/>
  <c r="AX154" i="69"/>
  <c r="O171" i="57"/>
  <c r="AG171" i="57" s="1"/>
  <c r="L171" i="57"/>
  <c r="AA167" i="57"/>
  <c r="T111" i="50"/>
  <c r="O111" i="50"/>
  <c r="X168" i="57"/>
  <c r="AM110" i="50"/>
  <c r="U110" i="50"/>
  <c r="AJ170" i="57"/>
  <c r="AC170" i="57"/>
  <c r="AP170" i="57"/>
  <c r="AD109" i="50"/>
  <c r="AH153" i="65"/>
  <c r="AV153" i="65"/>
  <c r="AG170" i="53"/>
  <c r="AH170" i="53"/>
  <c r="AC170" i="53"/>
  <c r="AT170" i="53"/>
  <c r="N171" i="57"/>
  <c r="N171" i="53"/>
  <c r="AH154" i="69"/>
  <c r="AJ109" i="50"/>
  <c r="C109" i="50"/>
  <c r="AJ99" i="32"/>
  <c r="C99" i="32"/>
  <c r="AD170" i="57"/>
  <c r="AD170" i="53"/>
  <c r="X169" i="53"/>
  <c r="AF169" i="53" s="1"/>
  <c r="V109" i="50"/>
  <c r="S110" i="50"/>
  <c r="S100" i="32"/>
  <c r="V100" i="32" s="1"/>
  <c r="AK170" i="52" a="1"/>
  <c r="AK170" i="52" s="1"/>
  <c r="B172" i="53" s="1"/>
  <c r="O172" i="53" s="1"/>
  <c r="Q170" i="53"/>
  <c r="I171" i="53"/>
  <c r="G171" i="53"/>
  <c r="C171" i="53"/>
  <c r="K171" i="53"/>
  <c r="E171" i="53"/>
  <c r="J171" i="53"/>
  <c r="F171" i="53"/>
  <c r="H171" i="53"/>
  <c r="D171" i="53"/>
  <c r="L171" i="53"/>
  <c r="P171" i="53"/>
  <c r="A101" i="32"/>
  <c r="B101" i="32"/>
  <c r="A111" i="50"/>
  <c r="Q111" i="50" s="1"/>
  <c r="P111" i="50" s="1"/>
  <c r="M111" i="50"/>
  <c r="J111" i="50"/>
  <c r="L111" i="50"/>
  <c r="N111" i="50"/>
  <c r="F111" i="50"/>
  <c r="G111" i="50"/>
  <c r="B111" i="50"/>
  <c r="R111" i="50" s="1"/>
  <c r="K111" i="50"/>
  <c r="I111" i="50"/>
  <c r="H111" i="50"/>
  <c r="I101" i="32"/>
  <c r="J101" i="32"/>
  <c r="L101" i="32"/>
  <c r="F101" i="32"/>
  <c r="N101" i="32"/>
  <c r="K101" i="32"/>
  <c r="H101" i="32"/>
  <c r="M101" i="32"/>
  <c r="G101" i="32"/>
  <c r="O101" i="32"/>
  <c r="T169" i="57"/>
  <c r="Z109" i="50"/>
  <c r="W109" i="50"/>
  <c r="X109" i="50" s="1"/>
  <c r="Q170" i="57"/>
  <c r="H171" i="57"/>
  <c r="D171" i="57"/>
  <c r="P171" i="57"/>
  <c r="J171" i="57"/>
  <c r="K171" i="57"/>
  <c r="G171" i="57"/>
  <c r="C171" i="57"/>
  <c r="M171" i="57" s="1"/>
  <c r="I171" i="57"/>
  <c r="F171" i="57"/>
  <c r="E171" i="57"/>
  <c r="AK170" i="55" a="1"/>
  <c r="AK170" i="55" s="1"/>
  <c r="B172" i="57" s="1"/>
  <c r="W99" i="32"/>
  <c r="X99" i="32" s="1"/>
  <c r="T99" i="32" s="1"/>
  <c r="Z99" i="32"/>
  <c r="AN156" i="67" a="1"/>
  <c r="AN156" i="67" s="1"/>
  <c r="B157" i="69"/>
  <c r="L157" i="69" s="1"/>
  <c r="N155" i="69"/>
  <c r="AF155" i="69" s="1"/>
  <c r="D155" i="69"/>
  <c r="E155" i="69" s="1"/>
  <c r="F155" i="69" s="1"/>
  <c r="G155" i="69" s="1"/>
  <c r="H155" i="69" s="1"/>
  <c r="I155" i="69" s="1"/>
  <c r="J155" i="69" s="1"/>
  <c r="K155" i="69" s="1"/>
  <c r="M155" i="69" s="1"/>
  <c r="P155" i="69"/>
  <c r="C156" i="69"/>
  <c r="AO156" i="69" s="1"/>
  <c r="O156" i="69"/>
  <c r="R154" i="69"/>
  <c r="S154" i="69" s="1"/>
  <c r="Y154" i="69" s="1"/>
  <c r="AB154" i="69" s="1"/>
  <c r="AC154" i="69" s="1"/>
  <c r="AD154" i="69" s="1"/>
  <c r="U154" i="69"/>
  <c r="Q154" i="69"/>
  <c r="AE154" i="69"/>
  <c r="AN155" i="63" a="1"/>
  <c r="AN155" i="63" s="1"/>
  <c r="B156" i="65"/>
  <c r="L156" i="65" s="1"/>
  <c r="O155" i="65"/>
  <c r="C155" i="65"/>
  <c r="AM155" i="65" s="1"/>
  <c r="D154" i="65"/>
  <c r="E154" i="65" s="1"/>
  <c r="F154" i="65" s="1"/>
  <c r="G154" i="65" s="1"/>
  <c r="H154" i="65" s="1"/>
  <c r="I154" i="65" s="1"/>
  <c r="J154" i="65" s="1"/>
  <c r="K154" i="65" s="1"/>
  <c r="M154" i="65" s="1"/>
  <c r="P154" i="65"/>
  <c r="N154" i="65"/>
  <c r="Q153" i="65"/>
  <c r="R153" i="65"/>
  <c r="S153" i="65" s="1"/>
  <c r="Y153" i="65" s="1"/>
  <c r="AB153" i="65" s="1"/>
  <c r="AC153" i="65" s="1"/>
  <c r="AD153" i="65" s="1"/>
  <c r="U153" i="65"/>
  <c r="AL101" i="11" a="1"/>
  <c r="AL101" i="11" s="1"/>
  <c r="E102" i="32" s="1"/>
  <c r="AK102" i="32" s="1"/>
  <c r="AL111" i="59" a="1"/>
  <c r="AL111" i="59" s="1"/>
  <c r="E112" i="50" s="1"/>
  <c r="AK112" i="50" s="1"/>
  <c r="AI108" i="50" l="1"/>
  <c r="AP108" i="50" s="1"/>
  <c r="AF154" i="65"/>
  <c r="AE154" i="65"/>
  <c r="AE171" i="57"/>
  <c r="R171" i="57"/>
  <c r="AE171" i="53"/>
  <c r="R171" i="53"/>
  <c r="AG109" i="50"/>
  <c r="AH109" i="50" s="1"/>
  <c r="AL109" i="50"/>
  <c r="AG98" i="32"/>
  <c r="AH98" i="32" s="1"/>
  <c r="AL98" i="32"/>
  <c r="AG97" i="32"/>
  <c r="AH97" i="32" s="1"/>
  <c r="AL97" i="32"/>
  <c r="AB168" i="57"/>
  <c r="AF168" i="57"/>
  <c r="AG154" i="69"/>
  <c r="AG153" i="65"/>
  <c r="P101" i="32"/>
  <c r="AM98" i="32"/>
  <c r="U99" i="32"/>
  <c r="AD99" i="32" s="1"/>
  <c r="AX155" i="69"/>
  <c r="X169" i="57"/>
  <c r="O172" i="57"/>
  <c r="AG172" i="57" s="1"/>
  <c r="L172" i="57"/>
  <c r="T112" i="50"/>
  <c r="O112" i="50"/>
  <c r="AA168" i="57"/>
  <c r="AD110" i="50"/>
  <c r="AM111" i="50"/>
  <c r="U111" i="50"/>
  <c r="AJ171" i="57"/>
  <c r="AC171" i="57"/>
  <c r="AP171" i="57"/>
  <c r="AH154" i="65"/>
  <c r="AV154" i="65"/>
  <c r="AG171" i="53"/>
  <c r="AH171" i="53"/>
  <c r="AC171" i="53"/>
  <c r="AT171" i="53"/>
  <c r="AB169" i="53"/>
  <c r="AA169" i="53"/>
  <c r="N172" i="57"/>
  <c r="N172" i="53"/>
  <c r="AH155" i="69"/>
  <c r="AJ110" i="50"/>
  <c r="C110" i="50"/>
  <c r="AJ100" i="32"/>
  <c r="C100" i="32"/>
  <c r="AD171" i="57"/>
  <c r="AD171" i="53"/>
  <c r="V110" i="50"/>
  <c r="S111" i="50"/>
  <c r="S101" i="32"/>
  <c r="V101" i="32" s="1"/>
  <c r="Q171" i="53"/>
  <c r="X170" i="53"/>
  <c r="AF170" i="53" s="1"/>
  <c r="AK171" i="52" a="1"/>
  <c r="AK171" i="52" s="1"/>
  <c r="B173" i="53" s="1"/>
  <c r="O173" i="53" s="1"/>
  <c r="H172" i="53"/>
  <c r="L172" i="53"/>
  <c r="F172" i="53"/>
  <c r="G172" i="53"/>
  <c r="C172" i="53"/>
  <c r="E172" i="53"/>
  <c r="J172" i="53"/>
  <c r="I172" i="53"/>
  <c r="K172" i="53"/>
  <c r="D172" i="53"/>
  <c r="P172" i="53"/>
  <c r="A102" i="32"/>
  <c r="B102" i="32"/>
  <c r="G112" i="50"/>
  <c r="I112" i="50"/>
  <c r="M112" i="50"/>
  <c r="L112" i="50"/>
  <c r="J112" i="50"/>
  <c r="H112" i="50"/>
  <c r="A112" i="50"/>
  <c r="Q112" i="50" s="1"/>
  <c r="P112" i="50" s="1"/>
  <c r="B112" i="50"/>
  <c r="R112" i="50" s="1"/>
  <c r="N112" i="50"/>
  <c r="F112" i="50"/>
  <c r="K112" i="50"/>
  <c r="G102" i="32"/>
  <c r="O102" i="32"/>
  <c r="H102" i="32"/>
  <c r="J102" i="32"/>
  <c r="L102" i="32"/>
  <c r="F102" i="32"/>
  <c r="I102" i="32"/>
  <c r="N102" i="32"/>
  <c r="M102" i="32"/>
  <c r="K102" i="32"/>
  <c r="W110" i="50"/>
  <c r="X110" i="50" s="1"/>
  <c r="Z110" i="50"/>
  <c r="T170" i="57"/>
  <c r="Q171" i="57"/>
  <c r="F172" i="57"/>
  <c r="P172" i="57"/>
  <c r="K172" i="57"/>
  <c r="J172" i="57"/>
  <c r="E172" i="57"/>
  <c r="G172" i="57"/>
  <c r="C172" i="57"/>
  <c r="M172" i="57" s="1"/>
  <c r="I172" i="57"/>
  <c r="D172" i="57"/>
  <c r="H172" i="57"/>
  <c r="AK171" i="55" a="1"/>
  <c r="AK171" i="55" s="1"/>
  <c r="B173" i="57" s="1"/>
  <c r="W100" i="32"/>
  <c r="X100" i="32" s="1"/>
  <c r="T100" i="32" s="1"/>
  <c r="Z100" i="32"/>
  <c r="AN157" i="67" a="1"/>
  <c r="AN157" i="67" s="1"/>
  <c r="B158" i="69"/>
  <c r="L158" i="69" s="1"/>
  <c r="AE155" i="69"/>
  <c r="Q155" i="69"/>
  <c r="R155" i="69"/>
  <c r="S155" i="69" s="1"/>
  <c r="Y155" i="69" s="1"/>
  <c r="AB155" i="69" s="1"/>
  <c r="AC155" i="69" s="1"/>
  <c r="AD155" i="69" s="1"/>
  <c r="U155" i="69"/>
  <c r="D156" i="69"/>
  <c r="E156" i="69" s="1"/>
  <c r="F156" i="69" s="1"/>
  <c r="G156" i="69" s="1"/>
  <c r="H156" i="69" s="1"/>
  <c r="I156" i="69" s="1"/>
  <c r="J156" i="69" s="1"/>
  <c r="K156" i="69" s="1"/>
  <c r="M156" i="69" s="1"/>
  <c r="N156" i="69"/>
  <c r="AF156" i="69" s="1"/>
  <c r="P156" i="69"/>
  <c r="O157" i="69"/>
  <c r="C157" i="69"/>
  <c r="AO157" i="69" s="1"/>
  <c r="Q154" i="65"/>
  <c r="R154" i="65"/>
  <c r="S154" i="65" s="1"/>
  <c r="Y154" i="65" s="1"/>
  <c r="AB154" i="65" s="1"/>
  <c r="AC154" i="65" s="1"/>
  <c r="AD154" i="65" s="1"/>
  <c r="U154" i="65"/>
  <c r="O156" i="65"/>
  <c r="C156" i="65"/>
  <c r="AM156" i="65" s="1"/>
  <c r="AN156" i="63" a="1"/>
  <c r="AN156" i="63" s="1"/>
  <c r="B157" i="65"/>
  <c r="L157" i="65" s="1"/>
  <c r="P155" i="65"/>
  <c r="N155" i="65"/>
  <c r="D155" i="65"/>
  <c r="E155" i="65" s="1"/>
  <c r="F155" i="65" s="1"/>
  <c r="G155" i="65" s="1"/>
  <c r="H155" i="65" s="1"/>
  <c r="I155" i="65" s="1"/>
  <c r="J155" i="65" s="1"/>
  <c r="K155" i="65" s="1"/>
  <c r="M155" i="65" s="1"/>
  <c r="AL102" i="11" a="1"/>
  <c r="AL102" i="11" s="1"/>
  <c r="AL112" i="59" a="1"/>
  <c r="AL112" i="59" s="1"/>
  <c r="E113" i="50" s="1"/>
  <c r="AK113" i="50" s="1"/>
  <c r="AI98" i="32" l="1"/>
  <c r="AN98" i="32" s="1"/>
  <c r="AI109" i="50"/>
  <c r="AP109" i="50" s="1"/>
  <c r="AF155" i="65"/>
  <c r="AE155" i="65"/>
  <c r="X171" i="53"/>
  <c r="AF171" i="53" s="1"/>
  <c r="AE172" i="57"/>
  <c r="R172" i="57"/>
  <c r="AE172" i="53"/>
  <c r="R172" i="53"/>
  <c r="AG110" i="50"/>
  <c r="AH110" i="50" s="1"/>
  <c r="AL110" i="50"/>
  <c r="AG99" i="32"/>
  <c r="AH99" i="32" s="1"/>
  <c r="AL99" i="32"/>
  <c r="AA169" i="57"/>
  <c r="AF169" i="57"/>
  <c r="AG155" i="69"/>
  <c r="AG154" i="65"/>
  <c r="P102" i="32"/>
  <c r="U100" i="32"/>
  <c r="AD100" i="32" s="1"/>
  <c r="AI97" i="32"/>
  <c r="AM97" i="32"/>
  <c r="AX156" i="69"/>
  <c r="AB169" i="57"/>
  <c r="O173" i="57"/>
  <c r="AG173" i="57" s="1"/>
  <c r="L173" i="57"/>
  <c r="T113" i="50"/>
  <c r="O113" i="50"/>
  <c r="AD111" i="50"/>
  <c r="AM112" i="50"/>
  <c r="U112" i="50"/>
  <c r="AC172" i="57"/>
  <c r="AJ172" i="57"/>
  <c r="AP172" i="57"/>
  <c r="X170" i="57"/>
  <c r="AF170" i="57" s="1"/>
  <c r="AH155" i="65"/>
  <c r="AV155" i="65"/>
  <c r="AB170" i="53"/>
  <c r="AA170" i="53"/>
  <c r="AG172" i="53"/>
  <c r="AH172" i="53"/>
  <c r="AC172" i="53"/>
  <c r="AT172" i="53"/>
  <c r="N173" i="57"/>
  <c r="J173" i="53"/>
  <c r="N173" i="53"/>
  <c r="AH156" i="69"/>
  <c r="AJ111" i="50"/>
  <c r="C111" i="50"/>
  <c r="AJ101" i="32"/>
  <c r="C101" i="32"/>
  <c r="AD172" i="57"/>
  <c r="AD172" i="53"/>
  <c r="V111" i="50"/>
  <c r="S112" i="50"/>
  <c r="S102" i="32"/>
  <c r="V102" i="32" s="1"/>
  <c r="Q172" i="53"/>
  <c r="E173" i="53"/>
  <c r="P173" i="53"/>
  <c r="I173" i="53"/>
  <c r="F173" i="53"/>
  <c r="G173" i="53"/>
  <c r="H173" i="53"/>
  <c r="AK172" i="52" a="1"/>
  <c r="AK172" i="52" s="1"/>
  <c r="B174" i="53" s="1"/>
  <c r="O174" i="53" s="1"/>
  <c r="K173" i="53"/>
  <c r="D173" i="53"/>
  <c r="C173" i="53"/>
  <c r="L173" i="53"/>
  <c r="I113" i="50"/>
  <c r="M113" i="50"/>
  <c r="L113" i="50"/>
  <c r="J113" i="50"/>
  <c r="H113" i="50"/>
  <c r="B113" i="50"/>
  <c r="R113" i="50" s="1"/>
  <c r="K113" i="50"/>
  <c r="F113" i="50"/>
  <c r="G113" i="50"/>
  <c r="N113" i="50"/>
  <c r="A113" i="50"/>
  <c r="Q113" i="50" s="1"/>
  <c r="P113" i="50" s="1"/>
  <c r="Q172" i="57"/>
  <c r="P173" i="57"/>
  <c r="E173" i="57"/>
  <c r="J173" i="57"/>
  <c r="F173" i="57"/>
  <c r="K173" i="57"/>
  <c r="G173" i="57"/>
  <c r="C173" i="57"/>
  <c r="M173" i="57" s="1"/>
  <c r="I173" i="57"/>
  <c r="H173" i="57"/>
  <c r="D173" i="57"/>
  <c r="T171" i="57"/>
  <c r="W111" i="50"/>
  <c r="X111" i="50" s="1"/>
  <c r="Z111" i="50"/>
  <c r="E103" i="32"/>
  <c r="AK103" i="32" s="1"/>
  <c r="AK172" i="55" a="1"/>
  <c r="AK172" i="55" s="1"/>
  <c r="B174" i="57" s="1"/>
  <c r="W101" i="32"/>
  <c r="X101" i="32" s="1"/>
  <c r="T101" i="32" s="1"/>
  <c r="Z101" i="32"/>
  <c r="AN158" i="67" a="1"/>
  <c r="AN158" i="67" s="1"/>
  <c r="B159" i="69"/>
  <c r="L159" i="69" s="1"/>
  <c r="Q156" i="69"/>
  <c r="R156" i="69"/>
  <c r="S156" i="69" s="1"/>
  <c r="Y156" i="69" s="1"/>
  <c r="AB156" i="69" s="1"/>
  <c r="AC156" i="69" s="1"/>
  <c r="AD156" i="69" s="1"/>
  <c r="AE156" i="69"/>
  <c r="U156" i="69"/>
  <c r="C158" i="69"/>
  <c r="AO158" i="69" s="1"/>
  <c r="O158" i="69"/>
  <c r="D157" i="69"/>
  <c r="E157" i="69" s="1"/>
  <c r="F157" i="69" s="1"/>
  <c r="G157" i="69" s="1"/>
  <c r="H157" i="69" s="1"/>
  <c r="I157" i="69" s="1"/>
  <c r="J157" i="69" s="1"/>
  <c r="K157" i="69" s="1"/>
  <c r="M157" i="69" s="1"/>
  <c r="P157" i="69"/>
  <c r="N157" i="69"/>
  <c r="AF157" i="69" s="1"/>
  <c r="Q155" i="65"/>
  <c r="U155" i="65"/>
  <c r="R155" i="65"/>
  <c r="S155" i="65" s="1"/>
  <c r="Y155" i="65" s="1"/>
  <c r="AB155" i="65" s="1"/>
  <c r="AC155" i="65" s="1"/>
  <c r="AD155" i="65" s="1"/>
  <c r="P156" i="65"/>
  <c r="D156" i="65"/>
  <c r="E156" i="65" s="1"/>
  <c r="F156" i="65" s="1"/>
  <c r="G156" i="65" s="1"/>
  <c r="H156" i="65" s="1"/>
  <c r="I156" i="65" s="1"/>
  <c r="J156" i="65" s="1"/>
  <c r="K156" i="65" s="1"/>
  <c r="M156" i="65" s="1"/>
  <c r="N156" i="65"/>
  <c r="AN157" i="63" a="1"/>
  <c r="AN157" i="63" s="1"/>
  <c r="B158" i="65"/>
  <c r="L158" i="65" s="1"/>
  <c r="C157" i="65"/>
  <c r="AM157" i="65" s="1"/>
  <c r="O157" i="65"/>
  <c r="AL103" i="11" a="1"/>
  <c r="AL103" i="11" s="1"/>
  <c r="AL113" i="59" a="1"/>
  <c r="AL113" i="59" s="1"/>
  <c r="E114" i="50" s="1"/>
  <c r="AK114" i="50" s="1"/>
  <c r="AA171" i="53" l="1"/>
  <c r="AB171" i="53"/>
  <c r="AI110" i="50"/>
  <c r="AP110" i="50" s="1"/>
  <c r="AF156" i="65"/>
  <c r="AE156" i="65"/>
  <c r="AE173" i="57"/>
  <c r="R173" i="57"/>
  <c r="AE173" i="53"/>
  <c r="R173" i="53"/>
  <c r="AG111" i="50"/>
  <c r="AH111" i="50" s="1"/>
  <c r="AL111" i="50"/>
  <c r="AG100" i="32"/>
  <c r="AH100" i="32" s="1"/>
  <c r="AL100" i="32"/>
  <c r="AG156" i="69"/>
  <c r="AG155" i="65"/>
  <c r="AM100" i="32"/>
  <c r="U101" i="32"/>
  <c r="AD101" i="32" s="1"/>
  <c r="AM99" i="32"/>
  <c r="AI99" i="32"/>
  <c r="AN97" i="32"/>
  <c r="AX157" i="69"/>
  <c r="O174" i="57"/>
  <c r="AG174" i="57" s="1"/>
  <c r="L174" i="57"/>
  <c r="O114" i="50"/>
  <c r="T114" i="50"/>
  <c r="AM113" i="50"/>
  <c r="U113" i="50"/>
  <c r="AD112" i="50"/>
  <c r="X171" i="57"/>
  <c r="AF171" i="57" s="1"/>
  <c r="AA170" i="57"/>
  <c r="AB170" i="57"/>
  <c r="AC173" i="57"/>
  <c r="AJ173" i="57"/>
  <c r="AP173" i="57"/>
  <c r="AH156" i="65"/>
  <c r="AV156" i="65"/>
  <c r="AG173" i="53"/>
  <c r="AH173" i="53"/>
  <c r="AC173" i="53"/>
  <c r="AT173" i="53"/>
  <c r="N174" i="57"/>
  <c r="N174" i="53"/>
  <c r="AH157" i="69"/>
  <c r="AJ112" i="50"/>
  <c r="C112" i="50"/>
  <c r="AJ102" i="32"/>
  <c r="C102" i="32"/>
  <c r="AD173" i="57"/>
  <c r="Q173" i="53"/>
  <c r="X173" i="53" s="1"/>
  <c r="AD173" i="53"/>
  <c r="X172" i="53"/>
  <c r="AF172" i="53" s="1"/>
  <c r="S113" i="50"/>
  <c r="V112" i="50"/>
  <c r="G174" i="53"/>
  <c r="I174" i="53"/>
  <c r="L174" i="53"/>
  <c r="H174" i="53"/>
  <c r="AK173" i="52" a="1"/>
  <c r="AK173" i="52" s="1"/>
  <c r="B175" i="53" s="1"/>
  <c r="O175" i="53" s="1"/>
  <c r="J174" i="53"/>
  <c r="P174" i="53"/>
  <c r="C174" i="53"/>
  <c r="K174" i="53"/>
  <c r="F174" i="53"/>
  <c r="E174" i="53"/>
  <c r="D174" i="53"/>
  <c r="A103" i="32"/>
  <c r="B103" i="32"/>
  <c r="G114" i="50"/>
  <c r="K114" i="50"/>
  <c r="M114" i="50"/>
  <c r="I114" i="50"/>
  <c r="J114" i="50"/>
  <c r="L114" i="50"/>
  <c r="A114" i="50"/>
  <c r="Q114" i="50" s="1"/>
  <c r="P114" i="50" s="1"/>
  <c r="F114" i="50"/>
  <c r="N114" i="50"/>
  <c r="H114" i="50"/>
  <c r="B114" i="50"/>
  <c r="R114" i="50" s="1"/>
  <c r="M103" i="32"/>
  <c r="F103" i="32"/>
  <c r="N103" i="32"/>
  <c r="H103" i="32"/>
  <c r="J103" i="32"/>
  <c r="G103" i="32"/>
  <c r="L103" i="32"/>
  <c r="O103" i="32"/>
  <c r="I103" i="32"/>
  <c r="K103" i="32"/>
  <c r="W112" i="50"/>
  <c r="X112" i="50" s="1"/>
  <c r="Z112" i="50"/>
  <c r="T172" i="57"/>
  <c r="J174" i="57"/>
  <c r="G174" i="57"/>
  <c r="D174" i="57"/>
  <c r="P174" i="57"/>
  <c r="K174" i="57"/>
  <c r="F174" i="57"/>
  <c r="H174" i="57"/>
  <c r="I174" i="57"/>
  <c r="E174" i="57"/>
  <c r="C174" i="57"/>
  <c r="M174" i="57" s="1"/>
  <c r="Q173" i="57"/>
  <c r="E104" i="32"/>
  <c r="AK104" i="32" s="1"/>
  <c r="AK173" i="55" a="1"/>
  <c r="AK173" i="55" s="1"/>
  <c r="B175" i="57" s="1"/>
  <c r="W102" i="32"/>
  <c r="X102" i="32" s="1"/>
  <c r="T102" i="32" s="1"/>
  <c r="Z102" i="32"/>
  <c r="AN159" i="67" a="1"/>
  <c r="AN159" i="67" s="1"/>
  <c r="B160" i="69"/>
  <c r="L160" i="69" s="1"/>
  <c r="O159" i="69"/>
  <c r="C159" i="69"/>
  <c r="AO159" i="69" s="1"/>
  <c r="R157" i="69"/>
  <c r="S157" i="69" s="1"/>
  <c r="Y157" i="69" s="1"/>
  <c r="AB157" i="69" s="1"/>
  <c r="AC157" i="69" s="1"/>
  <c r="AD157" i="69" s="1"/>
  <c r="Q157" i="69"/>
  <c r="U157" i="69"/>
  <c r="AE157" i="69"/>
  <c r="D158" i="69"/>
  <c r="E158" i="69" s="1"/>
  <c r="F158" i="69" s="1"/>
  <c r="G158" i="69" s="1"/>
  <c r="H158" i="69" s="1"/>
  <c r="I158" i="69" s="1"/>
  <c r="J158" i="69" s="1"/>
  <c r="K158" i="69" s="1"/>
  <c r="M158" i="69" s="1"/>
  <c r="N158" i="69"/>
  <c r="AF158" i="69" s="1"/>
  <c r="P158" i="69"/>
  <c r="C158" i="65"/>
  <c r="AM158" i="65" s="1"/>
  <c r="O158" i="65"/>
  <c r="Q156" i="65"/>
  <c r="U156" i="65"/>
  <c r="R156" i="65"/>
  <c r="S156" i="65" s="1"/>
  <c r="Y156" i="65" s="1"/>
  <c r="AB156" i="65" s="1"/>
  <c r="AC156" i="65" s="1"/>
  <c r="AD156" i="65" s="1"/>
  <c r="P157" i="65"/>
  <c r="N157" i="65"/>
  <c r="D157" i="65"/>
  <c r="E157" i="65" s="1"/>
  <c r="F157" i="65" s="1"/>
  <c r="G157" i="65" s="1"/>
  <c r="H157" i="65" s="1"/>
  <c r="I157" i="65" s="1"/>
  <c r="J157" i="65" s="1"/>
  <c r="K157" i="65" s="1"/>
  <c r="M157" i="65" s="1"/>
  <c r="AN158" i="63" a="1"/>
  <c r="AN158" i="63" s="1"/>
  <c r="B159" i="65"/>
  <c r="L159" i="65" s="1"/>
  <c r="AL104" i="11" a="1"/>
  <c r="AL104" i="11" s="1"/>
  <c r="E105" i="32" s="1"/>
  <c r="AK105" i="32" s="1"/>
  <c r="AL114" i="59" a="1"/>
  <c r="AL114" i="59" s="1"/>
  <c r="E115" i="50" s="1"/>
  <c r="AK115" i="50" s="1"/>
  <c r="AI100" i="32" l="1"/>
  <c r="AN100" i="32" s="1"/>
  <c r="AI111" i="50"/>
  <c r="AP111" i="50" s="1"/>
  <c r="AF157" i="65"/>
  <c r="AE157" i="65"/>
  <c r="AE174" i="57"/>
  <c r="R174" i="57"/>
  <c r="AE174" i="53"/>
  <c r="R174" i="53"/>
  <c r="AF173" i="53"/>
  <c r="AG112" i="50"/>
  <c r="AH112" i="50" s="1"/>
  <c r="AL112" i="50"/>
  <c r="AG101" i="32"/>
  <c r="AH101" i="32" s="1"/>
  <c r="AL101" i="32"/>
  <c r="AG157" i="69"/>
  <c r="AG156" i="65"/>
  <c r="P103" i="32"/>
  <c r="U102" i="32"/>
  <c r="AD102" i="32" s="1"/>
  <c r="AM101" i="32"/>
  <c r="AN99" i="32"/>
  <c r="AX158" i="69"/>
  <c r="O175" i="57"/>
  <c r="AG175" i="57" s="1"/>
  <c r="L175" i="57"/>
  <c r="O115" i="50"/>
  <c r="T115" i="50"/>
  <c r="X172" i="57"/>
  <c r="AJ174" i="57"/>
  <c r="AC174" i="57"/>
  <c r="AP174" i="57"/>
  <c r="AB171" i="57"/>
  <c r="AA171" i="57"/>
  <c r="AD113" i="50"/>
  <c r="AM114" i="50"/>
  <c r="U114" i="50"/>
  <c r="AH157" i="65"/>
  <c r="AV157" i="65"/>
  <c r="AB173" i="53"/>
  <c r="AA173" i="53"/>
  <c r="AB172" i="53"/>
  <c r="AA172" i="53"/>
  <c r="AH174" i="53"/>
  <c r="AT174" i="53"/>
  <c r="AC174" i="53"/>
  <c r="AG174" i="53"/>
  <c r="N175" i="57"/>
  <c r="L175" i="53"/>
  <c r="N175" i="53"/>
  <c r="AH158" i="69"/>
  <c r="AJ113" i="50"/>
  <c r="C113" i="50"/>
  <c r="AD174" i="57"/>
  <c r="AD174" i="53"/>
  <c r="S114" i="50"/>
  <c r="V113" i="50"/>
  <c r="S103" i="32"/>
  <c r="V103" i="32" s="1"/>
  <c r="Q174" i="53"/>
  <c r="G175" i="53"/>
  <c r="I175" i="53"/>
  <c r="P175" i="53"/>
  <c r="K175" i="53"/>
  <c r="D175" i="53"/>
  <c r="C175" i="53"/>
  <c r="H175" i="53"/>
  <c r="AK174" i="52" a="1"/>
  <c r="AK174" i="52" s="1"/>
  <c r="B176" i="53" s="1"/>
  <c r="O176" i="53" s="1"/>
  <c r="J175" i="53"/>
  <c r="E175" i="53"/>
  <c r="F175" i="53"/>
  <c r="A105" i="32"/>
  <c r="B105" i="32"/>
  <c r="A104" i="32"/>
  <c r="B104" i="32"/>
  <c r="B115" i="50"/>
  <c r="R115" i="50" s="1"/>
  <c r="K115" i="50"/>
  <c r="A115" i="50"/>
  <c r="Q115" i="50" s="1"/>
  <c r="P115" i="50" s="1"/>
  <c r="G115" i="50"/>
  <c r="M115" i="50"/>
  <c r="N115" i="50"/>
  <c r="H115" i="50"/>
  <c r="F115" i="50"/>
  <c r="J115" i="50"/>
  <c r="I115" i="50"/>
  <c r="L115" i="50"/>
  <c r="I105" i="32"/>
  <c r="J105" i="32"/>
  <c r="L105" i="32"/>
  <c r="F105" i="32"/>
  <c r="N105" i="32"/>
  <c r="H105" i="32"/>
  <c r="K105" i="32"/>
  <c r="O105" i="32"/>
  <c r="G105" i="32"/>
  <c r="M105" i="32"/>
  <c r="K104" i="32"/>
  <c r="L104" i="32"/>
  <c r="F104" i="32"/>
  <c r="N104" i="32"/>
  <c r="H104" i="32"/>
  <c r="M104" i="32"/>
  <c r="J104" i="32"/>
  <c r="O104" i="32"/>
  <c r="I104" i="32"/>
  <c r="G104" i="32"/>
  <c r="Z113" i="50"/>
  <c r="W113" i="50"/>
  <c r="X113" i="50" s="1"/>
  <c r="I175" i="57"/>
  <c r="F175" i="57"/>
  <c r="D175" i="57"/>
  <c r="K175" i="57"/>
  <c r="G175" i="57"/>
  <c r="C175" i="57"/>
  <c r="M175" i="57" s="1"/>
  <c r="J175" i="57"/>
  <c r="P175" i="57"/>
  <c r="H175" i="57"/>
  <c r="E175" i="57"/>
  <c r="T173" i="57"/>
  <c r="Q174" i="57"/>
  <c r="AK174" i="55" a="1"/>
  <c r="AK174" i="55" s="1"/>
  <c r="B176" i="57" s="1"/>
  <c r="AN160" i="67" a="1"/>
  <c r="AN160" i="67" s="1"/>
  <c r="B161" i="69"/>
  <c r="L161" i="69" s="1"/>
  <c r="U158" i="69"/>
  <c r="R158" i="69"/>
  <c r="S158" i="69" s="1"/>
  <c r="Y158" i="69" s="1"/>
  <c r="AB158" i="69" s="1"/>
  <c r="AC158" i="69" s="1"/>
  <c r="AD158" i="69" s="1"/>
  <c r="Q158" i="69"/>
  <c r="AE158" i="69"/>
  <c r="N159" i="69"/>
  <c r="AF159" i="69" s="1"/>
  <c r="P159" i="69"/>
  <c r="D159" i="69"/>
  <c r="E159" i="69" s="1"/>
  <c r="F159" i="69" s="1"/>
  <c r="G159" i="69" s="1"/>
  <c r="H159" i="69" s="1"/>
  <c r="I159" i="69" s="1"/>
  <c r="J159" i="69" s="1"/>
  <c r="K159" i="69" s="1"/>
  <c r="M159" i="69" s="1"/>
  <c r="C160" i="69"/>
  <c r="AO160" i="69" s="1"/>
  <c r="O160" i="69"/>
  <c r="R157" i="65"/>
  <c r="S157" i="65" s="1"/>
  <c r="Y157" i="65" s="1"/>
  <c r="AB157" i="65" s="1"/>
  <c r="AC157" i="65" s="1"/>
  <c r="AD157" i="65" s="1"/>
  <c r="U157" i="65"/>
  <c r="Q157" i="65"/>
  <c r="C159" i="65"/>
  <c r="AM159" i="65" s="1"/>
  <c r="O159" i="65"/>
  <c r="P158" i="65"/>
  <c r="D158" i="65"/>
  <c r="E158" i="65" s="1"/>
  <c r="F158" i="65" s="1"/>
  <c r="G158" i="65" s="1"/>
  <c r="H158" i="65" s="1"/>
  <c r="I158" i="65" s="1"/>
  <c r="J158" i="65" s="1"/>
  <c r="K158" i="65" s="1"/>
  <c r="M158" i="65" s="1"/>
  <c r="N158" i="65"/>
  <c r="AN159" i="63" a="1"/>
  <c r="AN159" i="63" s="1"/>
  <c r="B160" i="65"/>
  <c r="L160" i="65" s="1"/>
  <c r="AL105" i="11" a="1"/>
  <c r="AL105" i="11" s="1"/>
  <c r="E106" i="32" s="1"/>
  <c r="AK106" i="32" s="1"/>
  <c r="AL115" i="59" a="1"/>
  <c r="AL115" i="59" s="1"/>
  <c r="E116" i="50" s="1"/>
  <c r="AK116" i="50" s="1"/>
  <c r="L74" i="29"/>
  <c r="X174" i="53" l="1"/>
  <c r="AB174" i="53" s="1"/>
  <c r="AI101" i="32"/>
  <c r="AN101" i="32" s="1"/>
  <c r="AI112" i="50"/>
  <c r="AP112" i="50" s="1"/>
  <c r="AF158" i="65"/>
  <c r="AE158" i="65"/>
  <c r="AE175" i="57"/>
  <c r="R175" i="57"/>
  <c r="AE175" i="53"/>
  <c r="R175" i="53"/>
  <c r="AG113" i="50"/>
  <c r="AH113" i="50" s="1"/>
  <c r="AL113" i="50"/>
  <c r="AG102" i="32"/>
  <c r="AH102" i="32" s="1"/>
  <c r="AL102" i="32"/>
  <c r="AB172" i="57"/>
  <c r="AF172" i="57"/>
  <c r="AG158" i="69"/>
  <c r="AG157" i="65"/>
  <c r="P104" i="32"/>
  <c r="P105" i="32"/>
  <c r="AM102" i="32"/>
  <c r="AX159" i="69"/>
  <c r="O176" i="57"/>
  <c r="AG176" i="57" s="1"/>
  <c r="L176" i="57"/>
  <c r="AA172" i="57"/>
  <c r="T116" i="50"/>
  <c r="O116" i="50"/>
  <c r="AM115" i="50"/>
  <c r="U115" i="50"/>
  <c r="AJ175" i="57"/>
  <c r="AC175" i="57"/>
  <c r="AP175" i="57"/>
  <c r="AD114" i="50"/>
  <c r="X173" i="57"/>
  <c r="AF173" i="57" s="1"/>
  <c r="AH158" i="65"/>
  <c r="AV158" i="65"/>
  <c r="AH175" i="53"/>
  <c r="AT175" i="53"/>
  <c r="AC175" i="53"/>
  <c r="AG175" i="53"/>
  <c r="N176" i="57"/>
  <c r="I176" i="53"/>
  <c r="N176" i="53"/>
  <c r="AH159" i="69"/>
  <c r="AJ114" i="50"/>
  <c r="C114" i="50"/>
  <c r="AJ103" i="32"/>
  <c r="C103" i="32"/>
  <c r="AD175" i="57"/>
  <c r="AD175" i="53"/>
  <c r="Z103" i="32"/>
  <c r="S115" i="50"/>
  <c r="V114" i="50"/>
  <c r="S105" i="32"/>
  <c r="V105" i="32" s="1"/>
  <c r="S104" i="32"/>
  <c r="Q175" i="53"/>
  <c r="L176" i="53"/>
  <c r="D176" i="53"/>
  <c r="AK175" i="52" a="1"/>
  <c r="AK175" i="52" s="1"/>
  <c r="B177" i="53" s="1"/>
  <c r="O177" i="53" s="1"/>
  <c r="J176" i="53"/>
  <c r="G176" i="53"/>
  <c r="E176" i="53"/>
  <c r="P176" i="53"/>
  <c r="F176" i="53"/>
  <c r="K176" i="53"/>
  <c r="H176" i="53"/>
  <c r="C176" i="53"/>
  <c r="A106" i="32"/>
  <c r="B106" i="32"/>
  <c r="F116" i="50"/>
  <c r="I116" i="50"/>
  <c r="K116" i="50"/>
  <c r="M116" i="50"/>
  <c r="B116" i="50"/>
  <c r="R116" i="50" s="1"/>
  <c r="N116" i="50"/>
  <c r="G116" i="50"/>
  <c r="A116" i="50"/>
  <c r="Q116" i="50" s="1"/>
  <c r="P116" i="50" s="1"/>
  <c r="L116" i="50"/>
  <c r="H116" i="50"/>
  <c r="J116" i="50"/>
  <c r="G106" i="32"/>
  <c r="O106" i="32"/>
  <c r="H106" i="32"/>
  <c r="J106" i="32"/>
  <c r="L106" i="32"/>
  <c r="I106" i="32"/>
  <c r="N106" i="32"/>
  <c r="F106" i="32"/>
  <c r="K106" i="32"/>
  <c r="M106" i="32"/>
  <c r="T174" i="57"/>
  <c r="Q175" i="57"/>
  <c r="Z114" i="50"/>
  <c r="W114" i="50"/>
  <c r="X114" i="50" s="1"/>
  <c r="D176" i="57"/>
  <c r="P176" i="57"/>
  <c r="C176" i="57"/>
  <c r="M176" i="57" s="1"/>
  <c r="K176" i="57"/>
  <c r="J176" i="57"/>
  <c r="H176" i="57"/>
  <c r="F176" i="57"/>
  <c r="I176" i="57"/>
  <c r="E176" i="57"/>
  <c r="G176" i="57"/>
  <c r="W103" i="32"/>
  <c r="X103" i="32" s="1"/>
  <c r="T103" i="32" s="1"/>
  <c r="AK175" i="55" a="1"/>
  <c r="AK175" i="55" s="1"/>
  <c r="B177" i="57" s="1"/>
  <c r="AN161" i="67" a="1"/>
  <c r="AN161" i="67" s="1"/>
  <c r="B162" i="69"/>
  <c r="L162" i="69" s="1"/>
  <c r="N160" i="69"/>
  <c r="AF160" i="69" s="1"/>
  <c r="D160" i="69"/>
  <c r="E160" i="69" s="1"/>
  <c r="F160" i="69" s="1"/>
  <c r="G160" i="69" s="1"/>
  <c r="H160" i="69" s="1"/>
  <c r="I160" i="69" s="1"/>
  <c r="J160" i="69" s="1"/>
  <c r="K160" i="69" s="1"/>
  <c r="M160" i="69" s="1"/>
  <c r="P160" i="69"/>
  <c r="C161" i="69"/>
  <c r="AO161" i="69" s="1"/>
  <c r="O161" i="69"/>
  <c r="AE159" i="69"/>
  <c r="Q159" i="69"/>
  <c r="R159" i="69"/>
  <c r="S159" i="69" s="1"/>
  <c r="Y159" i="69" s="1"/>
  <c r="AB159" i="69" s="1"/>
  <c r="AC159" i="69" s="1"/>
  <c r="AD159" i="69" s="1"/>
  <c r="U159" i="69"/>
  <c r="AN160" i="63" a="1"/>
  <c r="AN160" i="63" s="1"/>
  <c r="B161" i="65"/>
  <c r="L161" i="65" s="1"/>
  <c r="C160" i="65"/>
  <c r="AM160" i="65" s="1"/>
  <c r="O160" i="65"/>
  <c r="U158" i="65"/>
  <c r="R158" i="65"/>
  <c r="S158" i="65" s="1"/>
  <c r="Y158" i="65" s="1"/>
  <c r="AB158" i="65" s="1"/>
  <c r="AC158" i="65" s="1"/>
  <c r="AD158" i="65" s="1"/>
  <c r="Q158" i="65"/>
  <c r="D159" i="65"/>
  <c r="E159" i="65" s="1"/>
  <c r="F159" i="65" s="1"/>
  <c r="G159" i="65" s="1"/>
  <c r="H159" i="65" s="1"/>
  <c r="I159" i="65" s="1"/>
  <c r="J159" i="65" s="1"/>
  <c r="K159" i="65" s="1"/>
  <c r="M159" i="65" s="1"/>
  <c r="N159" i="65"/>
  <c r="P159" i="65"/>
  <c r="AL106" i="11" a="1"/>
  <c r="AL106" i="11" s="1"/>
  <c r="E107" i="32" s="1"/>
  <c r="AK107" i="32" s="1"/>
  <c r="AL116" i="59" a="1"/>
  <c r="AL116" i="59" s="1"/>
  <c r="E117" i="50" s="1"/>
  <c r="AK117" i="50" s="1"/>
  <c r="AF174" i="53" l="1"/>
  <c r="AA174" i="53"/>
  <c r="X175" i="53"/>
  <c r="AF175" i="53" s="1"/>
  <c r="AI102" i="32"/>
  <c r="AN102" i="32" s="1"/>
  <c r="AI113" i="50"/>
  <c r="AP113" i="50" s="1"/>
  <c r="AF159" i="65"/>
  <c r="AE159" i="65"/>
  <c r="AE176" i="57"/>
  <c r="R176" i="57"/>
  <c r="AE176" i="53"/>
  <c r="R176" i="53"/>
  <c r="AG114" i="50"/>
  <c r="AH114" i="50" s="1"/>
  <c r="AL114" i="50"/>
  <c r="AG159" i="69"/>
  <c r="AG158" i="65"/>
  <c r="P106" i="32"/>
  <c r="U103" i="32"/>
  <c r="AD103" i="32" s="1"/>
  <c r="AX160" i="69"/>
  <c r="O177" i="57"/>
  <c r="AG177" i="57" s="1"/>
  <c r="L177" i="57"/>
  <c r="T117" i="50"/>
  <c r="O117" i="50"/>
  <c r="X174" i="57"/>
  <c r="AJ176" i="57"/>
  <c r="AC176" i="57"/>
  <c r="AP176" i="57"/>
  <c r="AD115" i="50"/>
  <c r="AM116" i="50"/>
  <c r="U116" i="50"/>
  <c r="AB173" i="57"/>
  <c r="AA173" i="57"/>
  <c r="AH159" i="65"/>
  <c r="AV159" i="65"/>
  <c r="AH176" i="53"/>
  <c r="AT176" i="53"/>
  <c r="AC176" i="53"/>
  <c r="AG176" i="53"/>
  <c r="N177" i="57"/>
  <c r="N177" i="53"/>
  <c r="AH160" i="69"/>
  <c r="C104" i="32"/>
  <c r="V104" i="32"/>
  <c r="AJ115" i="50"/>
  <c r="C115" i="50"/>
  <c r="AJ105" i="32"/>
  <c r="C105" i="32"/>
  <c r="AD176" i="57"/>
  <c r="AD176" i="53"/>
  <c r="AJ104" i="32"/>
  <c r="V115" i="50"/>
  <c r="S116" i="50"/>
  <c r="S106" i="32"/>
  <c r="V106" i="32" s="1"/>
  <c r="Q176" i="53"/>
  <c r="AK176" i="52" a="1"/>
  <c r="AK176" i="52" s="1"/>
  <c r="B178" i="53" s="1"/>
  <c r="O178" i="53" s="1"/>
  <c r="E177" i="53"/>
  <c r="C177" i="53"/>
  <c r="P177" i="53"/>
  <c r="D177" i="53"/>
  <c r="I177" i="53"/>
  <c r="K177" i="53"/>
  <c r="H177" i="53"/>
  <c r="L177" i="53"/>
  <c r="J177" i="53"/>
  <c r="G177" i="53"/>
  <c r="F177" i="53"/>
  <c r="A107" i="32"/>
  <c r="B107" i="32"/>
  <c r="J117" i="50"/>
  <c r="G117" i="50"/>
  <c r="N117" i="50"/>
  <c r="M117" i="50"/>
  <c r="B117" i="50"/>
  <c r="R117" i="50" s="1"/>
  <c r="H117" i="50"/>
  <c r="F117" i="50"/>
  <c r="I117" i="50"/>
  <c r="L117" i="50"/>
  <c r="K117" i="50"/>
  <c r="A117" i="50"/>
  <c r="Q117" i="50" s="1"/>
  <c r="P117" i="50" s="1"/>
  <c r="M107" i="32"/>
  <c r="F107" i="32"/>
  <c r="N107" i="32"/>
  <c r="H107" i="32"/>
  <c r="J107" i="32"/>
  <c r="O107" i="32"/>
  <c r="G107" i="32"/>
  <c r="L107" i="32"/>
  <c r="K107" i="32"/>
  <c r="I107" i="32"/>
  <c r="Z104" i="32"/>
  <c r="W104" i="32"/>
  <c r="X104" i="32" s="1"/>
  <c r="T104" i="32" s="1"/>
  <c r="J177" i="57"/>
  <c r="H177" i="57"/>
  <c r="E177" i="57"/>
  <c r="P177" i="57"/>
  <c r="K177" i="57"/>
  <c r="G177" i="57"/>
  <c r="C177" i="57"/>
  <c r="M177" i="57" s="1"/>
  <c r="F177" i="57"/>
  <c r="I177" i="57"/>
  <c r="D177" i="57"/>
  <c r="T175" i="57"/>
  <c r="Z115" i="50"/>
  <c r="W115" i="50"/>
  <c r="X115" i="50" s="1"/>
  <c r="Q176" i="57"/>
  <c r="AK176" i="55" a="1"/>
  <c r="AK176" i="55" s="1"/>
  <c r="B178" i="57" s="1"/>
  <c r="W105" i="32"/>
  <c r="X105" i="32" s="1"/>
  <c r="T105" i="32" s="1"/>
  <c r="Z105" i="32"/>
  <c r="AN162" i="67" a="1"/>
  <c r="AN162" i="67" s="1"/>
  <c r="B163" i="69"/>
  <c r="L163" i="69" s="1"/>
  <c r="U160" i="69"/>
  <c r="AE160" i="69"/>
  <c r="Q160" i="69"/>
  <c r="R160" i="69"/>
  <c r="S160" i="69" s="1"/>
  <c r="Y160" i="69" s="1"/>
  <c r="AB160" i="69" s="1"/>
  <c r="AC160" i="69" s="1"/>
  <c r="AD160" i="69" s="1"/>
  <c r="N161" i="69"/>
  <c r="AF161" i="69" s="1"/>
  <c r="P161" i="69"/>
  <c r="D161" i="69"/>
  <c r="E161" i="69" s="1"/>
  <c r="F161" i="69" s="1"/>
  <c r="G161" i="69" s="1"/>
  <c r="H161" i="69" s="1"/>
  <c r="I161" i="69" s="1"/>
  <c r="J161" i="69" s="1"/>
  <c r="K161" i="69" s="1"/>
  <c r="M161" i="69" s="1"/>
  <c r="O162" i="69"/>
  <c r="C162" i="69"/>
  <c r="AO162" i="69" s="1"/>
  <c r="AN161" i="63" a="1"/>
  <c r="AN161" i="63" s="1"/>
  <c r="B162" i="65"/>
  <c r="L162" i="65" s="1"/>
  <c r="C161" i="65"/>
  <c r="AM161" i="65" s="1"/>
  <c r="O161" i="65"/>
  <c r="Q159" i="65"/>
  <c r="U159" i="65"/>
  <c r="R159" i="65"/>
  <c r="S159" i="65" s="1"/>
  <c r="Y159" i="65" s="1"/>
  <c r="AB159" i="65" s="1"/>
  <c r="AC159" i="65" s="1"/>
  <c r="AD159" i="65" s="1"/>
  <c r="D160" i="65"/>
  <c r="E160" i="65" s="1"/>
  <c r="F160" i="65" s="1"/>
  <c r="G160" i="65" s="1"/>
  <c r="H160" i="65" s="1"/>
  <c r="I160" i="65" s="1"/>
  <c r="J160" i="65" s="1"/>
  <c r="K160" i="65" s="1"/>
  <c r="M160" i="65" s="1"/>
  <c r="P160" i="65"/>
  <c r="N160" i="65"/>
  <c r="AL107" i="11" a="1"/>
  <c r="AL107" i="11" s="1"/>
  <c r="E108" i="32" s="1"/>
  <c r="AK108" i="32" s="1"/>
  <c r="AL117" i="59" a="1"/>
  <c r="AL117" i="59" s="1"/>
  <c r="E118" i="50" s="1"/>
  <c r="AK118" i="50" s="1"/>
  <c r="AB175" i="53" l="1"/>
  <c r="AA175" i="53"/>
  <c r="AI114" i="50"/>
  <c r="AP114" i="50" s="1"/>
  <c r="AF160" i="65"/>
  <c r="AE160" i="65"/>
  <c r="AE177" i="57"/>
  <c r="R177" i="57"/>
  <c r="AE177" i="53"/>
  <c r="R177" i="53"/>
  <c r="AG115" i="50"/>
  <c r="AH115" i="50" s="1"/>
  <c r="AL115" i="50"/>
  <c r="AG103" i="32"/>
  <c r="AH103" i="32" s="1"/>
  <c r="AL103" i="32"/>
  <c r="AB174" i="57"/>
  <c r="AF174" i="57"/>
  <c r="AG160" i="69"/>
  <c r="AG159" i="65"/>
  <c r="P107" i="32"/>
  <c r="AM103" i="32"/>
  <c r="U104" i="32"/>
  <c r="AD104" i="32" s="1"/>
  <c r="U105" i="32"/>
  <c r="AD105" i="32" s="1"/>
  <c r="AX161" i="69"/>
  <c r="AA174" i="57"/>
  <c r="O178" i="57"/>
  <c r="AG178" i="57" s="1"/>
  <c r="L178" i="57"/>
  <c r="T118" i="50"/>
  <c r="O118" i="50"/>
  <c r="X175" i="57"/>
  <c r="AM117" i="50"/>
  <c r="U117" i="50"/>
  <c r="AJ177" i="57"/>
  <c r="AC177" i="57"/>
  <c r="AP177" i="57"/>
  <c r="AD116" i="50"/>
  <c r="AH160" i="65"/>
  <c r="AV160" i="65"/>
  <c r="AG177" i="53"/>
  <c r="AH177" i="53"/>
  <c r="AC177" i="53"/>
  <c r="AT177" i="53"/>
  <c r="N178" i="57"/>
  <c r="K178" i="53"/>
  <c r="N178" i="53"/>
  <c r="X176" i="53"/>
  <c r="AF176" i="53" s="1"/>
  <c r="AH161" i="69"/>
  <c r="AJ116" i="50"/>
  <c r="C116" i="50"/>
  <c r="AJ106" i="32"/>
  <c r="C106" i="32"/>
  <c r="AD177" i="57"/>
  <c r="AD177" i="53"/>
  <c r="S117" i="50"/>
  <c r="V116" i="50"/>
  <c r="S107" i="32"/>
  <c r="V107" i="32" s="1"/>
  <c r="Q177" i="53"/>
  <c r="AK177" i="52" a="1"/>
  <c r="AK177" i="52" s="1"/>
  <c r="B179" i="53" s="1"/>
  <c r="O179" i="53" s="1"/>
  <c r="F178" i="53"/>
  <c r="D178" i="53"/>
  <c r="C178" i="53"/>
  <c r="J178" i="53"/>
  <c r="E178" i="53"/>
  <c r="G178" i="53"/>
  <c r="I178" i="53"/>
  <c r="H178" i="53"/>
  <c r="P178" i="53"/>
  <c r="L178" i="53"/>
  <c r="A108" i="32"/>
  <c r="B108" i="32"/>
  <c r="I118" i="50"/>
  <c r="M118" i="50"/>
  <c r="L118" i="50"/>
  <c r="H118" i="50"/>
  <c r="J118" i="50"/>
  <c r="A118" i="50"/>
  <c r="Q118" i="50" s="1"/>
  <c r="P118" i="50" s="1"/>
  <c r="B118" i="50"/>
  <c r="R118" i="50" s="1"/>
  <c r="N118" i="50"/>
  <c r="K118" i="50"/>
  <c r="G118" i="50"/>
  <c r="F118" i="50"/>
  <c r="K108" i="32"/>
  <c r="L108" i="32"/>
  <c r="F108" i="32"/>
  <c r="N108" i="32"/>
  <c r="H108" i="32"/>
  <c r="J108" i="32"/>
  <c r="M108" i="32"/>
  <c r="G108" i="32"/>
  <c r="I108" i="32"/>
  <c r="O108" i="32"/>
  <c r="Q177" i="57"/>
  <c r="D178" i="57"/>
  <c r="J178" i="57"/>
  <c r="K178" i="57"/>
  <c r="F178" i="57"/>
  <c r="I178" i="57"/>
  <c r="E178" i="57"/>
  <c r="H178" i="57"/>
  <c r="C178" i="57"/>
  <c r="M178" i="57" s="1"/>
  <c r="G178" i="57"/>
  <c r="P178" i="57"/>
  <c r="W116" i="50"/>
  <c r="X116" i="50" s="1"/>
  <c r="Z116" i="50"/>
  <c r="T176" i="57"/>
  <c r="AK177" i="55" a="1"/>
  <c r="AK177" i="55" s="1"/>
  <c r="B179" i="57" s="1"/>
  <c r="W106" i="32"/>
  <c r="X106" i="32" s="1"/>
  <c r="T106" i="32" s="1"/>
  <c r="Z106" i="32"/>
  <c r="Q161" i="69"/>
  <c r="R161" i="69"/>
  <c r="S161" i="69" s="1"/>
  <c r="Y161" i="69" s="1"/>
  <c r="AB161" i="69" s="1"/>
  <c r="AC161" i="69" s="1"/>
  <c r="AD161" i="69" s="1"/>
  <c r="U161" i="69"/>
  <c r="AE161" i="69"/>
  <c r="O163" i="69"/>
  <c r="C163" i="69"/>
  <c r="AO163" i="69" s="1"/>
  <c r="N162" i="69"/>
  <c r="AF162" i="69" s="1"/>
  <c r="P162" i="69"/>
  <c r="D162" i="69"/>
  <c r="E162" i="69" s="1"/>
  <c r="F162" i="69" s="1"/>
  <c r="G162" i="69" s="1"/>
  <c r="H162" i="69" s="1"/>
  <c r="I162" i="69" s="1"/>
  <c r="J162" i="69" s="1"/>
  <c r="K162" i="69" s="1"/>
  <c r="M162" i="69" s="1"/>
  <c r="AN163" i="67" a="1"/>
  <c r="AN163" i="67" s="1"/>
  <c r="B164" i="69"/>
  <c r="L164" i="69" s="1"/>
  <c r="AN162" i="63" a="1"/>
  <c r="AN162" i="63" s="1"/>
  <c r="B163" i="65"/>
  <c r="L163" i="65" s="1"/>
  <c r="C162" i="65"/>
  <c r="AM162" i="65" s="1"/>
  <c r="O162" i="65"/>
  <c r="U160" i="65"/>
  <c r="Q160" i="65"/>
  <c r="R160" i="65"/>
  <c r="S160" i="65" s="1"/>
  <c r="Y160" i="65" s="1"/>
  <c r="AB160" i="65" s="1"/>
  <c r="AC160" i="65" s="1"/>
  <c r="AD160" i="65" s="1"/>
  <c r="P161" i="65"/>
  <c r="D161" i="65"/>
  <c r="E161" i="65" s="1"/>
  <c r="F161" i="65" s="1"/>
  <c r="G161" i="65" s="1"/>
  <c r="H161" i="65" s="1"/>
  <c r="I161" i="65" s="1"/>
  <c r="J161" i="65" s="1"/>
  <c r="K161" i="65" s="1"/>
  <c r="M161" i="65" s="1"/>
  <c r="N161" i="65"/>
  <c r="AL108" i="11" a="1"/>
  <c r="AL108" i="11" s="1"/>
  <c r="E109" i="32" s="1"/>
  <c r="AK109" i="32" s="1"/>
  <c r="AL118" i="59" a="1"/>
  <c r="AL118" i="59" s="1"/>
  <c r="E119" i="50" s="1"/>
  <c r="AK119" i="50" s="1"/>
  <c r="X177" i="53" l="1"/>
  <c r="AB177" i="53" s="1"/>
  <c r="AI103" i="32"/>
  <c r="AN103" i="32" s="1"/>
  <c r="AI115" i="50"/>
  <c r="AP115" i="50" s="1"/>
  <c r="AF161" i="65"/>
  <c r="AE161" i="65"/>
  <c r="AE178" i="57"/>
  <c r="R178" i="57"/>
  <c r="AE178" i="53"/>
  <c r="R178" i="53"/>
  <c r="AG116" i="50"/>
  <c r="AH116" i="50" s="1"/>
  <c r="AL116" i="50"/>
  <c r="AG105" i="32"/>
  <c r="AH105" i="32" s="1"/>
  <c r="AL105" i="32"/>
  <c r="AG104" i="32"/>
  <c r="AH104" i="32" s="1"/>
  <c r="AL104" i="32"/>
  <c r="AB175" i="57"/>
  <c r="AF175" i="57"/>
  <c r="AG161" i="69"/>
  <c r="AG160" i="65"/>
  <c r="P108" i="32"/>
  <c r="AM104" i="32"/>
  <c r="U106" i="32"/>
  <c r="AD106" i="32" s="1"/>
  <c r="AX162" i="69"/>
  <c r="X176" i="57"/>
  <c r="O179" i="57"/>
  <c r="AG179" i="57" s="1"/>
  <c r="L179" i="57"/>
  <c r="T119" i="50"/>
  <c r="O119" i="50"/>
  <c r="AA175" i="57"/>
  <c r="AJ178" i="57"/>
  <c r="AC178" i="57"/>
  <c r="AP178" i="57"/>
  <c r="AD117" i="50"/>
  <c r="AM118" i="50"/>
  <c r="U118" i="50"/>
  <c r="AH161" i="65"/>
  <c r="AV161" i="65"/>
  <c r="AB176" i="53"/>
  <c r="AA176" i="53"/>
  <c r="AH178" i="53"/>
  <c r="AC178" i="53"/>
  <c r="AT178" i="53"/>
  <c r="AG178" i="53"/>
  <c r="N179" i="57"/>
  <c r="D179" i="53"/>
  <c r="N179" i="53"/>
  <c r="AH162" i="69"/>
  <c r="AJ117" i="50"/>
  <c r="C117" i="50"/>
  <c r="AJ107" i="32"/>
  <c r="C107" i="32"/>
  <c r="AD178" i="57"/>
  <c r="AD178" i="53"/>
  <c r="S118" i="50"/>
  <c r="V117" i="50"/>
  <c r="S108" i="32"/>
  <c r="Q178" i="53"/>
  <c r="AK178" i="52" a="1"/>
  <c r="AK178" i="52" s="1"/>
  <c r="B180" i="53" s="1"/>
  <c r="O180" i="53" s="1"/>
  <c r="C179" i="53"/>
  <c r="P179" i="53"/>
  <c r="J179" i="53"/>
  <c r="H179" i="53"/>
  <c r="G179" i="53"/>
  <c r="E179" i="53"/>
  <c r="F179" i="53"/>
  <c r="K179" i="53"/>
  <c r="I179" i="53"/>
  <c r="L179" i="53"/>
  <c r="A109" i="32"/>
  <c r="B109" i="32"/>
  <c r="J119" i="50"/>
  <c r="F119" i="50"/>
  <c r="G119" i="50"/>
  <c r="M119" i="50"/>
  <c r="A119" i="50"/>
  <c r="Q119" i="50" s="1"/>
  <c r="P119" i="50" s="1"/>
  <c r="N119" i="50"/>
  <c r="B119" i="50"/>
  <c r="R119" i="50" s="1"/>
  <c r="L119" i="50"/>
  <c r="I119" i="50"/>
  <c r="K119" i="50"/>
  <c r="H119" i="50"/>
  <c r="I109" i="32"/>
  <c r="J109" i="32"/>
  <c r="L109" i="32"/>
  <c r="F109" i="32"/>
  <c r="N109" i="32"/>
  <c r="K109" i="32"/>
  <c r="H109" i="32"/>
  <c r="G109" i="32"/>
  <c r="M109" i="32"/>
  <c r="O109" i="32"/>
  <c r="Z117" i="50"/>
  <c r="W117" i="50"/>
  <c r="X117" i="50" s="1"/>
  <c r="T177" i="57"/>
  <c r="P179" i="57"/>
  <c r="J179" i="57"/>
  <c r="I179" i="57"/>
  <c r="F179" i="57"/>
  <c r="D179" i="57"/>
  <c r="E179" i="57"/>
  <c r="H179" i="57"/>
  <c r="G179" i="57"/>
  <c r="K179" i="57"/>
  <c r="C179" i="57"/>
  <c r="M179" i="57" s="1"/>
  <c r="Q178" i="57"/>
  <c r="AK178" i="55" a="1"/>
  <c r="AK178" i="55" s="1"/>
  <c r="B180" i="57" s="1"/>
  <c r="W107" i="32"/>
  <c r="X107" i="32" s="1"/>
  <c r="T107" i="32" s="1"/>
  <c r="Z107" i="32"/>
  <c r="R162" i="69"/>
  <c r="S162" i="69" s="1"/>
  <c r="Y162" i="69" s="1"/>
  <c r="AB162" i="69" s="1"/>
  <c r="AC162" i="69" s="1"/>
  <c r="AD162" i="69" s="1"/>
  <c r="U162" i="69"/>
  <c r="Q162" i="69"/>
  <c r="AE162" i="69"/>
  <c r="N163" i="69"/>
  <c r="AF163" i="69" s="1"/>
  <c r="D163" i="69"/>
  <c r="E163" i="69" s="1"/>
  <c r="F163" i="69" s="1"/>
  <c r="G163" i="69" s="1"/>
  <c r="H163" i="69" s="1"/>
  <c r="I163" i="69" s="1"/>
  <c r="J163" i="69" s="1"/>
  <c r="K163" i="69" s="1"/>
  <c r="M163" i="69" s="1"/>
  <c r="P163" i="69"/>
  <c r="O164" i="69"/>
  <c r="C164" i="69"/>
  <c r="AO164" i="69" s="1"/>
  <c r="AN164" i="67" a="1"/>
  <c r="AN164" i="67" s="1"/>
  <c r="B165" i="69"/>
  <c r="L165" i="69" s="1"/>
  <c r="P162" i="65"/>
  <c r="N162" i="65"/>
  <c r="D162" i="65"/>
  <c r="E162" i="65" s="1"/>
  <c r="F162" i="65" s="1"/>
  <c r="G162" i="65" s="1"/>
  <c r="H162" i="65" s="1"/>
  <c r="I162" i="65" s="1"/>
  <c r="J162" i="65" s="1"/>
  <c r="K162" i="65" s="1"/>
  <c r="M162" i="65" s="1"/>
  <c r="R161" i="65"/>
  <c r="S161" i="65" s="1"/>
  <c r="Y161" i="65" s="1"/>
  <c r="AB161" i="65" s="1"/>
  <c r="AC161" i="65" s="1"/>
  <c r="AD161" i="65" s="1"/>
  <c r="U161" i="65"/>
  <c r="Q161" i="65"/>
  <c r="O163" i="65"/>
  <c r="C163" i="65"/>
  <c r="AM163" i="65" s="1"/>
  <c r="AN163" i="63" a="1"/>
  <c r="AN163" i="63" s="1"/>
  <c r="B164" i="65"/>
  <c r="L164" i="65" s="1"/>
  <c r="AL109" i="11" a="1"/>
  <c r="AL109" i="11" s="1"/>
  <c r="AL119" i="59" a="1"/>
  <c r="AL119" i="59" s="1"/>
  <c r="E120" i="50" s="1"/>
  <c r="AK120" i="50" s="1"/>
  <c r="O11" i="59"/>
  <c r="N11" i="59"/>
  <c r="L12" i="50" s="1"/>
  <c r="AF177" i="53" l="1"/>
  <c r="AA177" i="53"/>
  <c r="AI104" i="32"/>
  <c r="AN104" i="32" s="1"/>
  <c r="AI116" i="50"/>
  <c r="AP116" i="50" s="1"/>
  <c r="AF162" i="65"/>
  <c r="AE162" i="65"/>
  <c r="AE179" i="57"/>
  <c r="R179" i="57"/>
  <c r="AE179" i="53"/>
  <c r="R179" i="53"/>
  <c r="AG117" i="50"/>
  <c r="AH117" i="50" s="1"/>
  <c r="AL117" i="50"/>
  <c r="AG106" i="32"/>
  <c r="AH106" i="32" s="1"/>
  <c r="AL106" i="32"/>
  <c r="AB176" i="57"/>
  <c r="AF176" i="57"/>
  <c r="AG162" i="69"/>
  <c r="AG161" i="65"/>
  <c r="P109" i="32"/>
  <c r="V108" i="32"/>
  <c r="U107" i="32"/>
  <c r="AD107" i="32" s="1"/>
  <c r="AM106" i="32"/>
  <c r="AM105" i="32"/>
  <c r="AI105" i="32"/>
  <c r="M12" i="50"/>
  <c r="AX163" i="69"/>
  <c r="X177" i="57"/>
  <c r="AA176" i="57"/>
  <c r="O180" i="57"/>
  <c r="AG180" i="57" s="1"/>
  <c r="L180" i="57"/>
  <c r="T120" i="50"/>
  <c r="O120" i="50"/>
  <c r="AJ179" i="57"/>
  <c r="AC179" i="57"/>
  <c r="AP179" i="57"/>
  <c r="AM119" i="50"/>
  <c r="U119" i="50"/>
  <c r="AD118" i="50"/>
  <c r="AH162" i="65"/>
  <c r="AV162" i="65"/>
  <c r="AG179" i="53"/>
  <c r="AH179" i="53"/>
  <c r="AC179" i="53"/>
  <c r="AT179" i="53"/>
  <c r="N180" i="57"/>
  <c r="N180" i="53"/>
  <c r="AH163" i="69"/>
  <c r="AJ118" i="50"/>
  <c r="C118" i="50"/>
  <c r="AJ108" i="32"/>
  <c r="C108" i="32"/>
  <c r="AD179" i="57"/>
  <c r="AD179" i="53"/>
  <c r="Q179" i="53"/>
  <c r="V118" i="50"/>
  <c r="S119" i="50"/>
  <c r="S109" i="32"/>
  <c r="V109" i="32" s="1"/>
  <c r="X178" i="53"/>
  <c r="AF178" i="53" s="1"/>
  <c r="P180" i="53"/>
  <c r="C180" i="53"/>
  <c r="L180" i="53"/>
  <c r="J180" i="53"/>
  <c r="E180" i="53"/>
  <c r="H180" i="53"/>
  <c r="I180" i="53"/>
  <c r="K180" i="53"/>
  <c r="AK179" i="52" a="1"/>
  <c r="AK179" i="52" s="1"/>
  <c r="B181" i="53" s="1"/>
  <c r="O181" i="53" s="1"/>
  <c r="F180" i="53"/>
  <c r="D180" i="53"/>
  <c r="G180" i="53"/>
  <c r="I120" i="50"/>
  <c r="M120" i="50"/>
  <c r="G120" i="50"/>
  <c r="H120" i="50"/>
  <c r="J120" i="50"/>
  <c r="A120" i="50"/>
  <c r="Q120" i="50" s="1"/>
  <c r="P120" i="50" s="1"/>
  <c r="K120" i="50"/>
  <c r="N120" i="50"/>
  <c r="B120" i="50"/>
  <c r="R120" i="50" s="1"/>
  <c r="L120" i="50"/>
  <c r="F120" i="50"/>
  <c r="Q179" i="57"/>
  <c r="Z118" i="50"/>
  <c r="W118" i="50"/>
  <c r="X118" i="50" s="1"/>
  <c r="T178" i="57"/>
  <c r="F180" i="57"/>
  <c r="C180" i="57"/>
  <c r="M180" i="57" s="1"/>
  <c r="P180" i="57"/>
  <c r="K180" i="57"/>
  <c r="H180" i="57"/>
  <c r="G180" i="57"/>
  <c r="D180" i="57"/>
  <c r="J180" i="57"/>
  <c r="I180" i="57"/>
  <c r="E180" i="57"/>
  <c r="E110" i="32"/>
  <c r="AK110" i="32" s="1"/>
  <c r="AK179" i="55" a="1"/>
  <c r="AK179" i="55" s="1"/>
  <c r="B181" i="57" s="1"/>
  <c r="W108" i="32"/>
  <c r="X108" i="32" s="1"/>
  <c r="T108" i="32" s="1"/>
  <c r="Z108" i="32"/>
  <c r="D164" i="69"/>
  <c r="E164" i="69" s="1"/>
  <c r="F164" i="69" s="1"/>
  <c r="G164" i="69" s="1"/>
  <c r="H164" i="69" s="1"/>
  <c r="I164" i="69" s="1"/>
  <c r="J164" i="69" s="1"/>
  <c r="K164" i="69" s="1"/>
  <c r="M164" i="69" s="1"/>
  <c r="N164" i="69"/>
  <c r="AF164" i="69" s="1"/>
  <c r="P164" i="69"/>
  <c r="AE163" i="69"/>
  <c r="U163" i="69"/>
  <c r="Q163" i="69"/>
  <c r="R163" i="69"/>
  <c r="S163" i="69" s="1"/>
  <c r="Y163" i="69" s="1"/>
  <c r="AB163" i="69" s="1"/>
  <c r="AC163" i="69" s="1"/>
  <c r="AD163" i="69" s="1"/>
  <c r="C165" i="69"/>
  <c r="AO165" i="69" s="1"/>
  <c r="O165" i="69"/>
  <c r="AN165" i="67" a="1"/>
  <c r="AN165" i="67" s="1"/>
  <c r="B166" i="69"/>
  <c r="L166" i="69" s="1"/>
  <c r="AN164" i="63" a="1"/>
  <c r="AN164" i="63" s="1"/>
  <c r="B165" i="65"/>
  <c r="L165" i="65" s="1"/>
  <c r="N163" i="65"/>
  <c r="D163" i="65"/>
  <c r="E163" i="65" s="1"/>
  <c r="F163" i="65" s="1"/>
  <c r="G163" i="65" s="1"/>
  <c r="H163" i="65" s="1"/>
  <c r="I163" i="65" s="1"/>
  <c r="J163" i="65" s="1"/>
  <c r="K163" i="65" s="1"/>
  <c r="M163" i="65" s="1"/>
  <c r="P163" i="65"/>
  <c r="U162" i="65"/>
  <c r="Q162" i="65"/>
  <c r="R162" i="65"/>
  <c r="S162" i="65" s="1"/>
  <c r="Y162" i="65" s="1"/>
  <c r="AB162" i="65" s="1"/>
  <c r="AC162" i="65" s="1"/>
  <c r="AD162" i="65" s="1"/>
  <c r="C164" i="65"/>
  <c r="AM164" i="65" s="1"/>
  <c r="O164" i="65"/>
  <c r="AL110" i="11" a="1"/>
  <c r="AL110" i="11" s="1"/>
  <c r="E111" i="32" s="1"/>
  <c r="AK111" i="32" s="1"/>
  <c r="AH11" i="59"/>
  <c r="J11" i="59"/>
  <c r="Q11" i="59" s="1"/>
  <c r="AL120" i="59" a="1"/>
  <c r="AL120" i="59" s="1"/>
  <c r="E121" i="50" s="1"/>
  <c r="AK121" i="50" s="1"/>
  <c r="AH12" i="59"/>
  <c r="AH13" i="59"/>
  <c r="AH21" i="59"/>
  <c r="AH29" i="59"/>
  <c r="AH37" i="59"/>
  <c r="AH45" i="59"/>
  <c r="AH53" i="59"/>
  <c r="AH61" i="59"/>
  <c r="AH69" i="59"/>
  <c r="AH76" i="59"/>
  <c r="AH84" i="59"/>
  <c r="AH92" i="59"/>
  <c r="AH100" i="59"/>
  <c r="AH108" i="59"/>
  <c r="AH116" i="59"/>
  <c r="AH124" i="59"/>
  <c r="AH132" i="59"/>
  <c r="AH140" i="59"/>
  <c r="AH148" i="59"/>
  <c r="AH156" i="59"/>
  <c r="AH164" i="59"/>
  <c r="AH172" i="59"/>
  <c r="AH180" i="59"/>
  <c r="AH188" i="59"/>
  <c r="AH196" i="59"/>
  <c r="AH204" i="59"/>
  <c r="AH212" i="59"/>
  <c r="AH220" i="59"/>
  <c r="AH228" i="59"/>
  <c r="AH236" i="59"/>
  <c r="AH244" i="59"/>
  <c r="AH252" i="59"/>
  <c r="AH20" i="59"/>
  <c r="AH28" i="59"/>
  <c r="AH36" i="59"/>
  <c r="AH44" i="59"/>
  <c r="AH52" i="59"/>
  <c r="AH60" i="59"/>
  <c r="AH68" i="59"/>
  <c r="AH83" i="59"/>
  <c r="AH91" i="59"/>
  <c r="AH99" i="59"/>
  <c r="AH107" i="59"/>
  <c r="AH115" i="59"/>
  <c r="AH123" i="59"/>
  <c r="AH131" i="59"/>
  <c r="AH139" i="59"/>
  <c r="AH147" i="59"/>
  <c r="AH155" i="59"/>
  <c r="AH163" i="59"/>
  <c r="AH171" i="59"/>
  <c r="AH179" i="59"/>
  <c r="AH187" i="59"/>
  <c r="AH195" i="59"/>
  <c r="AH203" i="59"/>
  <c r="AH211" i="59"/>
  <c r="AH219" i="59"/>
  <c r="AH227" i="59"/>
  <c r="AH235" i="59"/>
  <c r="AH243" i="59"/>
  <c r="AH251" i="59"/>
  <c r="AH19" i="59"/>
  <c r="AH27" i="59"/>
  <c r="AH35" i="59"/>
  <c r="AH43" i="59"/>
  <c r="AH51" i="59"/>
  <c r="AH59" i="59"/>
  <c r="AH67" i="59"/>
  <c r="AH75" i="59"/>
  <c r="AH82" i="59"/>
  <c r="AH90" i="59"/>
  <c r="AH98" i="59"/>
  <c r="AH106" i="59"/>
  <c r="AH114" i="59"/>
  <c r="AH122" i="59"/>
  <c r="AH130" i="59"/>
  <c r="AH138" i="59"/>
  <c r="AH146" i="59"/>
  <c r="AH154" i="59"/>
  <c r="AH162" i="59"/>
  <c r="AH170" i="59"/>
  <c r="AH178" i="59"/>
  <c r="AH186" i="59"/>
  <c r="AH194" i="59"/>
  <c r="AH202" i="59"/>
  <c r="AH210" i="59"/>
  <c r="AH218" i="59"/>
  <c r="AH226" i="59"/>
  <c r="AH234" i="59"/>
  <c r="AH242" i="59"/>
  <c r="AH250" i="59"/>
  <c r="AH258" i="59"/>
  <c r="AH18" i="59"/>
  <c r="AH26" i="59"/>
  <c r="AH34" i="59"/>
  <c r="AH42" i="59"/>
  <c r="AH50" i="59"/>
  <c r="AH58" i="59"/>
  <c r="AH66" i="59"/>
  <c r="AH74" i="59"/>
  <c r="AH81" i="59"/>
  <c r="AH89" i="59"/>
  <c r="AH97" i="59"/>
  <c r="AH105" i="59"/>
  <c r="AH113" i="59"/>
  <c r="AH121" i="59"/>
  <c r="AH129" i="59"/>
  <c r="AH137" i="59"/>
  <c r="AH145" i="59"/>
  <c r="AH153" i="59"/>
  <c r="AH161" i="59"/>
  <c r="AH169" i="59"/>
  <c r="AH177" i="59"/>
  <c r="AH185" i="59"/>
  <c r="AH193" i="59"/>
  <c r="AH201" i="59"/>
  <c r="AH209" i="59"/>
  <c r="AH217" i="59"/>
  <c r="AH225" i="59"/>
  <c r="AH233" i="59"/>
  <c r="AH241" i="59"/>
  <c r="AH249" i="59"/>
  <c r="AH257" i="59"/>
  <c r="AH17" i="59"/>
  <c r="AH25" i="59"/>
  <c r="AH33" i="59"/>
  <c r="AH41" i="59"/>
  <c r="AH49" i="59"/>
  <c r="AH57" i="59"/>
  <c r="AH65" i="59"/>
  <c r="AH73" i="59"/>
  <c r="AH80" i="59"/>
  <c r="AH88" i="59"/>
  <c r="AH96" i="59"/>
  <c r="AH104" i="59"/>
  <c r="AH112" i="59"/>
  <c r="AH120" i="59"/>
  <c r="AH128" i="59"/>
  <c r="AH136" i="59"/>
  <c r="AH144" i="59"/>
  <c r="AH152" i="59"/>
  <c r="AH160" i="59"/>
  <c r="AH168" i="59"/>
  <c r="AH176" i="59"/>
  <c r="AH184" i="59"/>
  <c r="AH192" i="59"/>
  <c r="AH200" i="59"/>
  <c r="AH208" i="59"/>
  <c r="AH216" i="59"/>
  <c r="AH224" i="59"/>
  <c r="AH232" i="59"/>
  <c r="AH240" i="59"/>
  <c r="AH248" i="59"/>
  <c r="AH256" i="59"/>
  <c r="AH16" i="59"/>
  <c r="AH24" i="59"/>
  <c r="AH32" i="59"/>
  <c r="AH40" i="59"/>
  <c r="AH48" i="59"/>
  <c r="AH56" i="59"/>
  <c r="AH64" i="59"/>
  <c r="AH72" i="59"/>
  <c r="AH79" i="59"/>
  <c r="AH87" i="59"/>
  <c r="AH95" i="59"/>
  <c r="AH103" i="59"/>
  <c r="AH111" i="59"/>
  <c r="AH119" i="59"/>
  <c r="AH127" i="59"/>
  <c r="AH135" i="59"/>
  <c r="AH143" i="59"/>
  <c r="AH151" i="59"/>
  <c r="AH159" i="59"/>
  <c r="AH167" i="59"/>
  <c r="AH175" i="59"/>
  <c r="AH183" i="59"/>
  <c r="AH191" i="59"/>
  <c r="AH199" i="59"/>
  <c r="AH207" i="59"/>
  <c r="AH215" i="59"/>
  <c r="AH223" i="59"/>
  <c r="AH231" i="59"/>
  <c r="AH239" i="59"/>
  <c r="AH247" i="59"/>
  <c r="AH255" i="59"/>
  <c r="AH15" i="59"/>
  <c r="AH23" i="59"/>
  <c r="AH31" i="59"/>
  <c r="AH39" i="59"/>
  <c r="AH47" i="59"/>
  <c r="AH55" i="59"/>
  <c r="AH63" i="59"/>
  <c r="AH71" i="59"/>
  <c r="AH78" i="59"/>
  <c r="AH86" i="59"/>
  <c r="AH94" i="59"/>
  <c r="AH102" i="59"/>
  <c r="AH110" i="59"/>
  <c r="AH118" i="59"/>
  <c r="AH126" i="59"/>
  <c r="AH134" i="59"/>
  <c r="AH142" i="59"/>
  <c r="AH150" i="59"/>
  <c r="AH158" i="59"/>
  <c r="AH166" i="59"/>
  <c r="AH174" i="59"/>
  <c r="AH182" i="59"/>
  <c r="AH190" i="59"/>
  <c r="AH198" i="59"/>
  <c r="AH206" i="59"/>
  <c r="AH214" i="59"/>
  <c r="AH222" i="59"/>
  <c r="AH230" i="59"/>
  <c r="AH238" i="59"/>
  <c r="AH246" i="59"/>
  <c r="AH254" i="59"/>
  <c r="AH14" i="59"/>
  <c r="AH22" i="59"/>
  <c r="AH30" i="59"/>
  <c r="AH38" i="59"/>
  <c r="AH46" i="59"/>
  <c r="AH54" i="59"/>
  <c r="AH62" i="59"/>
  <c r="AH70" i="59"/>
  <c r="AH77" i="59"/>
  <c r="AH85" i="59"/>
  <c r="AH93" i="59"/>
  <c r="AH101" i="59"/>
  <c r="AH109" i="59"/>
  <c r="AH117" i="59"/>
  <c r="AH125" i="59"/>
  <c r="AH133" i="59"/>
  <c r="AH141" i="59"/>
  <c r="AH149" i="59"/>
  <c r="AH157" i="59"/>
  <c r="AH165" i="59"/>
  <c r="AH173" i="59"/>
  <c r="AH181" i="59"/>
  <c r="AH189" i="59"/>
  <c r="AH197" i="59"/>
  <c r="AH205" i="59"/>
  <c r="AH213" i="59"/>
  <c r="AH221" i="59"/>
  <c r="AH229" i="59"/>
  <c r="AH237" i="59"/>
  <c r="AH245" i="59"/>
  <c r="AH253" i="59"/>
  <c r="X179" i="53" l="1"/>
  <c r="AF179" i="53" s="1"/>
  <c r="AI106" i="32"/>
  <c r="AN106" i="32" s="1"/>
  <c r="AI117" i="50"/>
  <c r="AP117" i="50" s="1"/>
  <c r="AF163" i="65"/>
  <c r="AE163" i="65"/>
  <c r="AE180" i="57"/>
  <c r="R180" i="57"/>
  <c r="AE180" i="53"/>
  <c r="R180" i="53"/>
  <c r="AG118" i="50"/>
  <c r="AH118" i="50" s="1"/>
  <c r="AL118" i="50"/>
  <c r="AG107" i="32"/>
  <c r="AH107" i="32" s="1"/>
  <c r="AL107" i="32"/>
  <c r="AA177" i="57"/>
  <c r="AF177" i="57"/>
  <c r="AG163" i="69"/>
  <c r="AG162" i="65"/>
  <c r="AM107" i="32"/>
  <c r="U108" i="32"/>
  <c r="AD108" i="32" s="1"/>
  <c r="AN105" i="32"/>
  <c r="U11" i="59"/>
  <c r="V11" i="59"/>
  <c r="T60" i="22"/>
  <c r="AX164" i="69"/>
  <c r="AB177" i="57"/>
  <c r="O181" i="57"/>
  <c r="AG181" i="57" s="1"/>
  <c r="L181" i="57"/>
  <c r="O121" i="50"/>
  <c r="T121" i="50"/>
  <c r="T111" i="32"/>
  <c r="AD119" i="50"/>
  <c r="AM120" i="50"/>
  <c r="U120" i="50"/>
  <c r="AC180" i="57"/>
  <c r="AJ180" i="57"/>
  <c r="AP180" i="57"/>
  <c r="X178" i="57"/>
  <c r="AF178" i="57" s="1"/>
  <c r="AH163" i="65"/>
  <c r="AV163" i="65"/>
  <c r="AB178" i="53"/>
  <c r="AA178" i="53"/>
  <c r="AG180" i="53"/>
  <c r="AC180" i="53"/>
  <c r="AH180" i="53"/>
  <c r="AT180" i="53"/>
  <c r="N181" i="57"/>
  <c r="N181" i="53"/>
  <c r="AH164" i="69"/>
  <c r="AJ119" i="50"/>
  <c r="C119" i="50"/>
  <c r="AJ109" i="32"/>
  <c r="C109" i="32"/>
  <c r="AD11" i="59"/>
  <c r="I12" i="50"/>
  <c r="AD180" i="57"/>
  <c r="AD180" i="53"/>
  <c r="S120" i="50"/>
  <c r="V119" i="50"/>
  <c r="Q180" i="53"/>
  <c r="I181" i="53"/>
  <c r="C181" i="53"/>
  <c r="AK180" i="52" a="1"/>
  <c r="AK180" i="52" s="1"/>
  <c r="B182" i="53" s="1"/>
  <c r="O182" i="53" s="1"/>
  <c r="E181" i="53"/>
  <c r="H181" i="53"/>
  <c r="J181" i="53"/>
  <c r="F181" i="53"/>
  <c r="P181" i="53"/>
  <c r="K181" i="53"/>
  <c r="L181" i="53"/>
  <c r="G181" i="53"/>
  <c r="D181" i="53"/>
  <c r="A111" i="32"/>
  <c r="B111" i="32"/>
  <c r="A110" i="32"/>
  <c r="B110" i="32"/>
  <c r="K121" i="50"/>
  <c r="M121" i="50"/>
  <c r="H121" i="50"/>
  <c r="J121" i="50"/>
  <c r="L121" i="50"/>
  <c r="A121" i="50"/>
  <c r="Q121" i="50" s="1"/>
  <c r="P121" i="50" s="1"/>
  <c r="G121" i="50"/>
  <c r="N121" i="50"/>
  <c r="B121" i="50"/>
  <c r="R121" i="50" s="1"/>
  <c r="F121" i="50"/>
  <c r="I121" i="50"/>
  <c r="G110" i="32"/>
  <c r="O110" i="32"/>
  <c r="H110" i="32"/>
  <c r="J110" i="32"/>
  <c r="L110" i="32"/>
  <c r="F110" i="32"/>
  <c r="I110" i="32"/>
  <c r="N110" i="32"/>
  <c r="M110" i="32"/>
  <c r="K110" i="32"/>
  <c r="M111" i="32"/>
  <c r="F111" i="32"/>
  <c r="N111" i="32"/>
  <c r="H111" i="32"/>
  <c r="J111" i="32"/>
  <c r="G111" i="32"/>
  <c r="L111" i="32"/>
  <c r="O111" i="32"/>
  <c r="I111" i="32"/>
  <c r="K111" i="32"/>
  <c r="Q180" i="57"/>
  <c r="V69" i="22"/>
  <c r="Z119" i="50"/>
  <c r="W119" i="50"/>
  <c r="X119" i="50" s="1"/>
  <c r="T179" i="57"/>
  <c r="P181" i="57"/>
  <c r="J181" i="57"/>
  <c r="E181" i="57"/>
  <c r="I181" i="57"/>
  <c r="D181" i="57"/>
  <c r="F181" i="57"/>
  <c r="K181" i="57"/>
  <c r="G181" i="57"/>
  <c r="C181" i="57"/>
  <c r="M181" i="57" s="1"/>
  <c r="H181" i="57"/>
  <c r="AK180" i="55" a="1"/>
  <c r="AK180" i="55" s="1"/>
  <c r="B182" i="57" s="1"/>
  <c r="W109" i="32"/>
  <c r="X109" i="32" s="1"/>
  <c r="T109" i="32" s="1"/>
  <c r="Z109" i="32"/>
  <c r="D165" i="69"/>
  <c r="E165" i="69" s="1"/>
  <c r="F165" i="69" s="1"/>
  <c r="G165" i="69" s="1"/>
  <c r="H165" i="69" s="1"/>
  <c r="I165" i="69" s="1"/>
  <c r="J165" i="69" s="1"/>
  <c r="K165" i="69" s="1"/>
  <c r="M165" i="69" s="1"/>
  <c r="P165" i="69"/>
  <c r="N165" i="69"/>
  <c r="AF165" i="69" s="1"/>
  <c r="O166" i="69"/>
  <c r="C166" i="69"/>
  <c r="AO166" i="69" s="1"/>
  <c r="AN166" i="67" a="1"/>
  <c r="AN166" i="67" s="1"/>
  <c r="B167" i="69"/>
  <c r="L167" i="69" s="1"/>
  <c r="U164" i="69"/>
  <c r="Q164" i="69"/>
  <c r="R164" i="69"/>
  <c r="S164" i="69" s="1"/>
  <c r="Y164" i="69" s="1"/>
  <c r="AB164" i="69" s="1"/>
  <c r="AC164" i="69" s="1"/>
  <c r="AD164" i="69" s="1"/>
  <c r="AE164" i="69"/>
  <c r="AN165" i="63" a="1"/>
  <c r="AN165" i="63" s="1"/>
  <c r="B166" i="65"/>
  <c r="L166" i="65" s="1"/>
  <c r="P164" i="65"/>
  <c r="D164" i="65"/>
  <c r="E164" i="65" s="1"/>
  <c r="F164" i="65" s="1"/>
  <c r="G164" i="65" s="1"/>
  <c r="H164" i="65" s="1"/>
  <c r="I164" i="65" s="1"/>
  <c r="J164" i="65" s="1"/>
  <c r="K164" i="65" s="1"/>
  <c r="M164" i="65" s="1"/>
  <c r="N164" i="65"/>
  <c r="C165" i="65"/>
  <c r="AM165" i="65" s="1"/>
  <c r="O165" i="65"/>
  <c r="U163" i="65"/>
  <c r="Q163" i="65"/>
  <c r="R163" i="65"/>
  <c r="S163" i="65" s="1"/>
  <c r="Y163" i="65" s="1"/>
  <c r="AB163" i="65" s="1"/>
  <c r="AC163" i="65" s="1"/>
  <c r="AD163" i="65" s="1"/>
  <c r="AL111" i="11" a="1"/>
  <c r="AL111" i="11" s="1"/>
  <c r="E112" i="32" s="1"/>
  <c r="AK112" i="32" s="1"/>
  <c r="AL121" i="59" a="1"/>
  <c r="AL121" i="59" s="1"/>
  <c r="E122" i="50" s="1"/>
  <c r="AK122" i="50" s="1"/>
  <c r="AM11" i="59" a="1"/>
  <c r="AM11" i="59" s="1"/>
  <c r="V126" i="22"/>
  <c r="T56" i="22"/>
  <c r="H21" i="73"/>
  <c r="AW5" i="22"/>
  <c r="AC12" i="50"/>
  <c r="AB12" i="50"/>
  <c r="X12" i="50"/>
  <c r="AB179" i="53" l="1"/>
  <c r="AA179" i="53"/>
  <c r="AI107" i="32"/>
  <c r="AN107" i="32" s="1"/>
  <c r="V36" i="22"/>
  <c r="V19" i="22"/>
  <c r="AI118" i="50"/>
  <c r="AP118" i="50" s="1"/>
  <c r="AF164" i="65"/>
  <c r="AE164" i="65"/>
  <c r="AE181" i="57"/>
  <c r="R181" i="57"/>
  <c r="AE181" i="53"/>
  <c r="R181" i="53"/>
  <c r="AG119" i="50"/>
  <c r="AH119" i="50" s="1"/>
  <c r="AL119" i="50"/>
  <c r="AG108" i="32"/>
  <c r="AH108" i="32" s="1"/>
  <c r="AL108" i="32"/>
  <c r="AG164" i="69"/>
  <c r="AG163" i="65"/>
  <c r="P111" i="32"/>
  <c r="P110" i="32"/>
  <c r="T35" i="22"/>
  <c r="V34" i="22"/>
  <c r="V38" i="22"/>
  <c r="V33" i="22"/>
  <c r="V35" i="22"/>
  <c r="AM108" i="32"/>
  <c r="U109" i="32"/>
  <c r="AD109" i="32" s="1"/>
  <c r="X11" i="59"/>
  <c r="AQ11" i="59" s="1"/>
  <c r="AQ259" i="59" s="1"/>
  <c r="V70" i="22"/>
  <c r="V67" i="22"/>
  <c r="V21" i="22"/>
  <c r="V66" i="22"/>
  <c r="V4" i="22"/>
  <c r="V60" i="22"/>
  <c r="AX165" i="69"/>
  <c r="O182" i="57"/>
  <c r="AG182" i="57" s="1"/>
  <c r="L182" i="57"/>
  <c r="X179" i="57"/>
  <c r="O122" i="50"/>
  <c r="T122" i="50"/>
  <c r="T112" i="32"/>
  <c r="AM121" i="50"/>
  <c r="U121" i="50"/>
  <c r="AA178" i="57"/>
  <c r="AB178" i="57"/>
  <c r="AD120" i="50"/>
  <c r="AC181" i="57"/>
  <c r="AJ181" i="57"/>
  <c r="AP181" i="57"/>
  <c r="AM111" i="32"/>
  <c r="U111" i="32"/>
  <c r="AH164" i="65"/>
  <c r="AV164" i="65"/>
  <c r="T12" i="50"/>
  <c r="U12" i="50" s="1"/>
  <c r="AD12" i="50" s="1"/>
  <c r="U13" i="50"/>
  <c r="AH181" i="53"/>
  <c r="AC181" i="53"/>
  <c r="AT181" i="53"/>
  <c r="AG181" i="53"/>
  <c r="N182" i="57"/>
  <c r="N182" i="53"/>
  <c r="AH165" i="69"/>
  <c r="AJ120" i="50"/>
  <c r="C120" i="50"/>
  <c r="AD181" i="57"/>
  <c r="X180" i="53"/>
  <c r="AF180" i="53" s="1"/>
  <c r="AD181" i="53"/>
  <c r="V131" i="22"/>
  <c r="V18" i="22"/>
  <c r="V120" i="50"/>
  <c r="S121" i="50"/>
  <c r="S111" i="32"/>
  <c r="V111" i="32" s="1"/>
  <c r="S110" i="32"/>
  <c r="Q181" i="53"/>
  <c r="AK181" i="52" a="1"/>
  <c r="AK181" i="52" s="1"/>
  <c r="B183" i="53" s="1"/>
  <c r="O183" i="53" s="1"/>
  <c r="C182" i="53"/>
  <c r="E182" i="53"/>
  <c r="H182" i="53"/>
  <c r="G182" i="53"/>
  <c r="J182" i="53"/>
  <c r="K182" i="53"/>
  <c r="I182" i="53"/>
  <c r="L182" i="53"/>
  <c r="F182" i="53"/>
  <c r="P182" i="53"/>
  <c r="D182" i="53"/>
  <c r="A112" i="32"/>
  <c r="B112" i="32"/>
  <c r="H122" i="50"/>
  <c r="A122" i="50"/>
  <c r="Q122" i="50" s="1"/>
  <c r="P122" i="50" s="1"/>
  <c r="M122" i="50"/>
  <c r="K122" i="50"/>
  <c r="G122" i="50"/>
  <c r="F122" i="50"/>
  <c r="N122" i="50"/>
  <c r="B122" i="50"/>
  <c r="R122" i="50" s="1"/>
  <c r="J122" i="50"/>
  <c r="I122" i="50"/>
  <c r="L122" i="50"/>
  <c r="V32" i="22"/>
  <c r="V86" i="22"/>
  <c r="K112" i="32"/>
  <c r="L112" i="32"/>
  <c r="F112" i="32"/>
  <c r="N112" i="32"/>
  <c r="H112" i="32"/>
  <c r="M112" i="32"/>
  <c r="J112" i="32"/>
  <c r="I112" i="32"/>
  <c r="O112" i="32"/>
  <c r="G112" i="32"/>
  <c r="W120" i="50"/>
  <c r="X120" i="50" s="1"/>
  <c r="Z120" i="50"/>
  <c r="T180" i="57"/>
  <c r="J182" i="57"/>
  <c r="G182" i="57"/>
  <c r="D182" i="57"/>
  <c r="P182" i="57"/>
  <c r="K182" i="57"/>
  <c r="F182" i="57"/>
  <c r="H182" i="57"/>
  <c r="I182" i="57"/>
  <c r="E182" i="57"/>
  <c r="C182" i="57"/>
  <c r="M182" i="57" s="1"/>
  <c r="Q181" i="57"/>
  <c r="AK181" i="55" a="1"/>
  <c r="AK181" i="55" s="1"/>
  <c r="B183" i="57" s="1"/>
  <c r="T7" i="22"/>
  <c r="T131" i="22"/>
  <c r="AL32" i="22" s="1"/>
  <c r="D70" i="36" s="1"/>
  <c r="V119" i="22"/>
  <c r="V7" i="22"/>
  <c r="D166" i="69"/>
  <c r="E166" i="69" s="1"/>
  <c r="F166" i="69" s="1"/>
  <c r="G166" i="69" s="1"/>
  <c r="H166" i="69" s="1"/>
  <c r="I166" i="69" s="1"/>
  <c r="J166" i="69" s="1"/>
  <c r="K166" i="69" s="1"/>
  <c r="M166" i="69" s="1"/>
  <c r="P166" i="69"/>
  <c r="N166" i="69"/>
  <c r="AF166" i="69" s="1"/>
  <c r="O167" i="69"/>
  <c r="C167" i="69"/>
  <c r="AO167" i="69" s="1"/>
  <c r="AN167" i="67" a="1"/>
  <c r="AN167" i="67" s="1"/>
  <c r="B168" i="69"/>
  <c r="L168" i="69" s="1"/>
  <c r="U165" i="69"/>
  <c r="AE165" i="69"/>
  <c r="Q165" i="69"/>
  <c r="R165" i="69"/>
  <c r="S165" i="69" s="1"/>
  <c r="Y165" i="69" s="1"/>
  <c r="AB165" i="69" s="1"/>
  <c r="AC165" i="69" s="1"/>
  <c r="AD165" i="69" s="1"/>
  <c r="N165" i="65"/>
  <c r="D165" i="65"/>
  <c r="E165" i="65" s="1"/>
  <c r="F165" i="65" s="1"/>
  <c r="G165" i="65" s="1"/>
  <c r="H165" i="65" s="1"/>
  <c r="I165" i="65" s="1"/>
  <c r="J165" i="65" s="1"/>
  <c r="K165" i="65" s="1"/>
  <c r="M165" i="65" s="1"/>
  <c r="P165" i="65"/>
  <c r="R164" i="65"/>
  <c r="S164" i="65" s="1"/>
  <c r="Y164" i="65" s="1"/>
  <c r="AB164" i="65" s="1"/>
  <c r="AC164" i="65" s="1"/>
  <c r="AD164" i="65" s="1"/>
  <c r="Q164" i="65"/>
  <c r="U164" i="65"/>
  <c r="O166" i="65"/>
  <c r="C166" i="65"/>
  <c r="AM166" i="65" s="1"/>
  <c r="AN166" i="63" a="1"/>
  <c r="AN166" i="63" s="1"/>
  <c r="B167" i="65"/>
  <c r="L167" i="65" s="1"/>
  <c r="V16" i="22"/>
  <c r="V30" i="22"/>
  <c r="V8" i="22"/>
  <c r="V14" i="22"/>
  <c r="V20" i="22"/>
  <c r="V23" i="22"/>
  <c r="T17" i="22"/>
  <c r="T119" i="22"/>
  <c r="AL28" i="22" s="1"/>
  <c r="AL112" i="11" a="1"/>
  <c r="AL112" i="11" s="1"/>
  <c r="E113" i="32" s="1"/>
  <c r="AK113" i="32" s="1"/>
  <c r="T82" i="22"/>
  <c r="T18" i="22"/>
  <c r="T87" i="22"/>
  <c r="T27" i="22"/>
  <c r="T84" i="22"/>
  <c r="T20" i="22"/>
  <c r="T38" i="22"/>
  <c r="T98" i="22"/>
  <c r="T34" i="22"/>
  <c r="T53" i="22"/>
  <c r="T32" i="22"/>
  <c r="T78" i="22"/>
  <c r="T58" i="22"/>
  <c r="T21" i="22"/>
  <c r="T28" i="22"/>
  <c r="T94" i="22"/>
  <c r="T43" i="22"/>
  <c r="T92" i="22"/>
  <c r="T55" i="22"/>
  <c r="T33" i="22"/>
  <c r="T64" i="22"/>
  <c r="T40" i="22"/>
  <c r="T97" i="22"/>
  <c r="T75" i="22"/>
  <c r="T26" i="22"/>
  <c r="T50" i="22"/>
  <c r="T25" i="22"/>
  <c r="T44" i="22"/>
  <c r="T51" i="22"/>
  <c r="T91" i="22"/>
  <c r="T70" i="22"/>
  <c r="T47" i="22"/>
  <c r="T57" i="22"/>
  <c r="T48" i="22"/>
  <c r="T61" i="22"/>
  <c r="T66" i="22"/>
  <c r="T69" i="22"/>
  <c r="T80" i="22"/>
  <c r="T37" i="22"/>
  <c r="T73" i="22"/>
  <c r="T41" i="22"/>
  <c r="T86" i="22"/>
  <c r="T42" i="22"/>
  <c r="T99" i="22"/>
  <c r="T49" i="22"/>
  <c r="T76" i="22"/>
  <c r="T16" i="22"/>
  <c r="T74" i="22"/>
  <c r="T95" i="22"/>
  <c r="T67" i="22"/>
  <c r="T72" i="22"/>
  <c r="T83" i="22"/>
  <c r="T29" i="22"/>
  <c r="T96" i="22"/>
  <c r="T46" i="22"/>
  <c r="T89" i="22"/>
  <c r="T45" i="22"/>
  <c r="T59" i="22"/>
  <c r="T31" i="22"/>
  <c r="T22" i="22"/>
  <c r="T71" i="22"/>
  <c r="T90" i="22"/>
  <c r="T81" i="22"/>
  <c r="T19" i="22"/>
  <c r="T54" i="22"/>
  <c r="T62" i="22"/>
  <c r="T24" i="22"/>
  <c r="T68" i="22"/>
  <c r="T36" i="22"/>
  <c r="T52" i="22"/>
  <c r="T39" i="22"/>
  <c r="T30" i="22"/>
  <c r="AL122" i="59" a="1"/>
  <c r="AL122" i="59" s="1"/>
  <c r="E123" i="50" s="1"/>
  <c r="AK123" i="50" s="1"/>
  <c r="T23" i="22"/>
  <c r="T85" i="22"/>
  <c r="T6" i="22"/>
  <c r="T10" i="22"/>
  <c r="T5" i="22"/>
  <c r="AM12" i="59" a="1"/>
  <c r="AM12" i="59" s="1"/>
  <c r="T4" i="22"/>
  <c r="T93" i="22"/>
  <c r="T100" i="22"/>
  <c r="T8" i="22"/>
  <c r="T14" i="22"/>
  <c r="AI108" i="32" l="1"/>
  <c r="AN108" i="32" s="1"/>
  <c r="AI119" i="50"/>
  <c r="AP119" i="50" s="1"/>
  <c r="AF165" i="65"/>
  <c r="AE165" i="65"/>
  <c r="AE182" i="57"/>
  <c r="R182" i="57"/>
  <c r="AE182" i="53"/>
  <c r="R182" i="53"/>
  <c r="AG12" i="50"/>
  <c r="AH12" i="50" s="1"/>
  <c r="AG120" i="50"/>
  <c r="AH120" i="50" s="1"/>
  <c r="AL120" i="50"/>
  <c r="AG109" i="32"/>
  <c r="AH109" i="32" s="1"/>
  <c r="AL109" i="32"/>
  <c r="AB179" i="57"/>
  <c r="AF179" i="57"/>
  <c r="AG165" i="69"/>
  <c r="AG164" i="65"/>
  <c r="P112" i="32"/>
  <c r="N12" i="50"/>
  <c r="AX166" i="69"/>
  <c r="AA179" i="57"/>
  <c r="O183" i="57"/>
  <c r="AG183" i="57" s="1"/>
  <c r="L183" i="57"/>
  <c r="O123" i="50"/>
  <c r="T123" i="50"/>
  <c r="T113" i="32"/>
  <c r="AD111" i="32"/>
  <c r="X180" i="57"/>
  <c r="AF180" i="57" s="1"/>
  <c r="AM122" i="50"/>
  <c r="U122" i="50"/>
  <c r="AM112" i="32"/>
  <c r="U112" i="32"/>
  <c r="AD121" i="50"/>
  <c r="AJ182" i="57"/>
  <c r="AC182" i="57"/>
  <c r="AP182" i="57"/>
  <c r="AH165" i="65"/>
  <c r="AV165" i="65"/>
  <c r="AD13" i="50"/>
  <c r="AG182" i="53"/>
  <c r="AB180" i="53"/>
  <c r="AA180" i="53"/>
  <c r="AH182" i="53"/>
  <c r="AT182" i="53"/>
  <c r="AC182" i="53"/>
  <c r="N183" i="57"/>
  <c r="D183" i="53"/>
  <c r="N183" i="53"/>
  <c r="AH166" i="69"/>
  <c r="C110" i="32"/>
  <c r="V110" i="32"/>
  <c r="AJ121" i="50"/>
  <c r="C121" i="50"/>
  <c r="AJ111" i="32"/>
  <c r="C111" i="32"/>
  <c r="AD182" i="57"/>
  <c r="Q182" i="53"/>
  <c r="AD182" i="53"/>
  <c r="X181" i="53"/>
  <c r="AF181" i="53" s="1"/>
  <c r="AJ110" i="32"/>
  <c r="V121" i="50"/>
  <c r="S122" i="50"/>
  <c r="S112" i="32"/>
  <c r="V112" i="32" s="1"/>
  <c r="C183" i="53"/>
  <c r="L183" i="53"/>
  <c r="F183" i="53"/>
  <c r="P183" i="53"/>
  <c r="I183" i="53"/>
  <c r="K183" i="53"/>
  <c r="E183" i="53"/>
  <c r="AK182" i="52" a="1"/>
  <c r="AK182" i="52" s="1"/>
  <c r="B184" i="53" s="1"/>
  <c r="O184" i="53" s="1"/>
  <c r="G183" i="53"/>
  <c r="J183" i="53"/>
  <c r="H183" i="53"/>
  <c r="A113" i="32"/>
  <c r="B113" i="32"/>
  <c r="B123" i="50"/>
  <c r="R123" i="50" s="1"/>
  <c r="G123" i="50"/>
  <c r="A123" i="50"/>
  <c r="Q123" i="50" s="1"/>
  <c r="P123" i="50" s="1"/>
  <c r="N123" i="50"/>
  <c r="H123" i="50"/>
  <c r="K123" i="50"/>
  <c r="M123" i="50"/>
  <c r="I123" i="50"/>
  <c r="J123" i="50"/>
  <c r="F123" i="50"/>
  <c r="L123" i="50"/>
  <c r="I113" i="32"/>
  <c r="J113" i="32"/>
  <c r="L113" i="32"/>
  <c r="F113" i="32"/>
  <c r="N113" i="32"/>
  <c r="H113" i="32"/>
  <c r="K113" i="32"/>
  <c r="O113" i="32"/>
  <c r="G113" i="32"/>
  <c r="M113" i="32"/>
  <c r="Z110" i="32"/>
  <c r="W110" i="32"/>
  <c r="X110" i="32" s="1"/>
  <c r="T110" i="32" s="1"/>
  <c r="T181" i="57"/>
  <c r="I183" i="57"/>
  <c r="F183" i="57"/>
  <c r="D183" i="57"/>
  <c r="K183" i="57"/>
  <c r="G183" i="57"/>
  <c r="E183" i="57"/>
  <c r="H183" i="57"/>
  <c r="P183" i="57"/>
  <c r="C183" i="57"/>
  <c r="M183" i="57" s="1"/>
  <c r="J183" i="57"/>
  <c r="W121" i="50"/>
  <c r="X121" i="50" s="1"/>
  <c r="Z121" i="50"/>
  <c r="Q182" i="57"/>
  <c r="AK182" i="55" a="1"/>
  <c r="AK182" i="55" s="1"/>
  <c r="B184" i="57" s="1"/>
  <c r="W111" i="32"/>
  <c r="X111" i="32" s="1"/>
  <c r="Z111" i="32"/>
  <c r="O168" i="69"/>
  <c r="C168" i="69"/>
  <c r="AO168" i="69" s="1"/>
  <c r="AN168" i="67" a="1"/>
  <c r="AN168" i="67" s="1"/>
  <c r="B169" i="69"/>
  <c r="L169" i="69" s="1"/>
  <c r="N167" i="69"/>
  <c r="AF167" i="69" s="1"/>
  <c r="P167" i="69"/>
  <c r="D167" i="69"/>
  <c r="E167" i="69" s="1"/>
  <c r="F167" i="69" s="1"/>
  <c r="G167" i="69" s="1"/>
  <c r="H167" i="69" s="1"/>
  <c r="I167" i="69" s="1"/>
  <c r="J167" i="69" s="1"/>
  <c r="K167" i="69" s="1"/>
  <c r="M167" i="69" s="1"/>
  <c r="Q166" i="69"/>
  <c r="AE166" i="69"/>
  <c r="U166" i="69"/>
  <c r="R166" i="69"/>
  <c r="S166" i="69" s="1"/>
  <c r="Y166" i="69" s="1"/>
  <c r="AB166" i="69" s="1"/>
  <c r="AC166" i="69" s="1"/>
  <c r="AD166" i="69" s="1"/>
  <c r="P166" i="65"/>
  <c r="D166" i="65"/>
  <c r="E166" i="65" s="1"/>
  <c r="F166" i="65" s="1"/>
  <c r="G166" i="65" s="1"/>
  <c r="H166" i="65" s="1"/>
  <c r="I166" i="65" s="1"/>
  <c r="J166" i="65" s="1"/>
  <c r="K166" i="65" s="1"/>
  <c r="M166" i="65" s="1"/>
  <c r="N166" i="65"/>
  <c r="C167" i="65"/>
  <c r="AM167" i="65" s="1"/>
  <c r="O167" i="65"/>
  <c r="AN167" i="63" a="1"/>
  <c r="AN167" i="63" s="1"/>
  <c r="B168" i="65"/>
  <c r="L168" i="65" s="1"/>
  <c r="R165" i="65"/>
  <c r="S165" i="65" s="1"/>
  <c r="Y165" i="65" s="1"/>
  <c r="AB165" i="65" s="1"/>
  <c r="AC165" i="65" s="1"/>
  <c r="AD165" i="65" s="1"/>
  <c r="U165" i="65"/>
  <c r="Q165" i="65"/>
  <c r="AL23" i="22"/>
  <c r="AL22" i="22"/>
  <c r="AL26" i="22"/>
  <c r="AL21" i="22"/>
  <c r="AL25" i="22"/>
  <c r="AL27" i="22"/>
  <c r="AL24" i="22"/>
  <c r="AL20" i="22"/>
  <c r="D58" i="36" s="1"/>
  <c r="AL113" i="11" a="1"/>
  <c r="AL113" i="11" s="1"/>
  <c r="E114" i="32" s="1"/>
  <c r="AK114" i="32" s="1"/>
  <c r="AL123" i="59" a="1"/>
  <c r="AL123" i="59" s="1"/>
  <c r="E124" i="50" s="1"/>
  <c r="AK124" i="50" s="1"/>
  <c r="AM13" i="59" a="1"/>
  <c r="AM13" i="59" s="1"/>
  <c r="X182" i="53" l="1"/>
  <c r="AF182" i="53" s="1"/>
  <c r="AI120" i="50"/>
  <c r="AP120" i="50" s="1"/>
  <c r="AK12" i="50"/>
  <c r="AL12" i="50" s="1"/>
  <c r="AI12" i="50"/>
  <c r="AF166" i="65"/>
  <c r="AE166" i="65"/>
  <c r="AE183" i="57"/>
  <c r="R183" i="57"/>
  <c r="AE183" i="53"/>
  <c r="R183" i="53"/>
  <c r="AG121" i="50"/>
  <c r="AH121" i="50" s="1"/>
  <c r="AL121" i="50"/>
  <c r="AG111" i="32"/>
  <c r="AH111" i="32" s="1"/>
  <c r="AL111" i="32"/>
  <c r="AG166" i="69"/>
  <c r="AG165" i="65"/>
  <c r="P113" i="32"/>
  <c r="U110" i="32"/>
  <c r="AD110" i="32" s="1"/>
  <c r="AI109" i="32"/>
  <c r="AM109" i="32"/>
  <c r="AX167" i="69"/>
  <c r="O184" i="57"/>
  <c r="AG184" i="57" s="1"/>
  <c r="L184" i="57"/>
  <c r="AG13" i="50"/>
  <c r="AH13" i="50" s="1"/>
  <c r="O124" i="50"/>
  <c r="T124" i="50"/>
  <c r="T114" i="32"/>
  <c r="AD112" i="32"/>
  <c r="AJ183" i="57"/>
  <c r="AC183" i="57"/>
  <c r="AP183" i="57"/>
  <c r="AM123" i="50"/>
  <c r="U123" i="50"/>
  <c r="AD122" i="50"/>
  <c r="X181" i="57"/>
  <c r="AF181" i="57" s="1"/>
  <c r="AM113" i="32"/>
  <c r="U113" i="32"/>
  <c r="AB180" i="57"/>
  <c r="AA180" i="57"/>
  <c r="AH166" i="65"/>
  <c r="AV166" i="65"/>
  <c r="AH183" i="53"/>
  <c r="AT183" i="53"/>
  <c r="AC183" i="53"/>
  <c r="AB181" i="53"/>
  <c r="AA181" i="53"/>
  <c r="AG183" i="53"/>
  <c r="N184" i="57"/>
  <c r="N184" i="53"/>
  <c r="AH167" i="69"/>
  <c r="AJ122" i="50"/>
  <c r="C122" i="50"/>
  <c r="AJ112" i="32"/>
  <c r="C112" i="32"/>
  <c r="AD183" i="57"/>
  <c r="AD183" i="53"/>
  <c r="Q183" i="53"/>
  <c r="S123" i="50"/>
  <c r="V122" i="50"/>
  <c r="S113" i="32"/>
  <c r="P184" i="53"/>
  <c r="C184" i="53"/>
  <c r="D184" i="53"/>
  <c r="F184" i="53"/>
  <c r="I184" i="53"/>
  <c r="L184" i="53"/>
  <c r="E184" i="53"/>
  <c r="AK183" i="52" a="1"/>
  <c r="AK183" i="52" s="1"/>
  <c r="B185" i="53" s="1"/>
  <c r="O185" i="53" s="1"/>
  <c r="G184" i="53"/>
  <c r="J184" i="53"/>
  <c r="H184" i="53"/>
  <c r="K184" i="53"/>
  <c r="A114" i="32"/>
  <c r="B114" i="32"/>
  <c r="F124" i="50"/>
  <c r="N124" i="50"/>
  <c r="A124" i="50"/>
  <c r="Q124" i="50" s="1"/>
  <c r="P124" i="50" s="1"/>
  <c r="I124" i="50"/>
  <c r="K124" i="50"/>
  <c r="H124" i="50"/>
  <c r="M124" i="50"/>
  <c r="L124" i="50"/>
  <c r="J124" i="50"/>
  <c r="B124" i="50"/>
  <c r="R124" i="50" s="1"/>
  <c r="G124" i="50"/>
  <c r="G114" i="32"/>
  <c r="O114" i="32"/>
  <c r="H114" i="32"/>
  <c r="J114" i="32"/>
  <c r="L114" i="32"/>
  <c r="I114" i="32"/>
  <c r="N114" i="32"/>
  <c r="F114" i="32"/>
  <c r="K114" i="32"/>
  <c r="M114" i="32"/>
  <c r="K184" i="57"/>
  <c r="J184" i="57"/>
  <c r="H184" i="57"/>
  <c r="F184" i="57"/>
  <c r="C184" i="57"/>
  <c r="M184" i="57" s="1"/>
  <c r="D184" i="57"/>
  <c r="P184" i="57"/>
  <c r="E184" i="57"/>
  <c r="G184" i="57"/>
  <c r="I184" i="57"/>
  <c r="T182" i="57"/>
  <c r="W122" i="50"/>
  <c r="X122" i="50" s="1"/>
  <c r="Z122" i="50"/>
  <c r="Q183" i="57"/>
  <c r="AK183" i="55" a="1"/>
  <c r="AK183" i="55" s="1"/>
  <c r="B185" i="57" s="1"/>
  <c r="W112" i="32"/>
  <c r="X112" i="32" s="1"/>
  <c r="Z112" i="32"/>
  <c r="Q167" i="69"/>
  <c r="AE167" i="69"/>
  <c r="U167" i="69"/>
  <c r="R167" i="69"/>
  <c r="S167" i="69" s="1"/>
  <c r="Y167" i="69" s="1"/>
  <c r="AB167" i="69" s="1"/>
  <c r="AC167" i="69" s="1"/>
  <c r="AD167" i="69" s="1"/>
  <c r="C169" i="69"/>
  <c r="AO169" i="69" s="1"/>
  <c r="O169" i="69"/>
  <c r="AN169" i="67" a="1"/>
  <c r="AN169" i="67" s="1"/>
  <c r="B170" i="69"/>
  <c r="L170" i="69" s="1"/>
  <c r="P168" i="69"/>
  <c r="D168" i="69"/>
  <c r="E168" i="69" s="1"/>
  <c r="F168" i="69" s="1"/>
  <c r="G168" i="69" s="1"/>
  <c r="H168" i="69" s="1"/>
  <c r="I168" i="69" s="1"/>
  <c r="J168" i="69" s="1"/>
  <c r="K168" i="69" s="1"/>
  <c r="M168" i="69" s="1"/>
  <c r="N168" i="69"/>
  <c r="AF168" i="69" s="1"/>
  <c r="C168" i="65"/>
  <c r="AM168" i="65" s="1"/>
  <c r="O168" i="65"/>
  <c r="AN168" i="63" a="1"/>
  <c r="AN168" i="63" s="1"/>
  <c r="B169" i="65"/>
  <c r="L169" i="65" s="1"/>
  <c r="U166" i="65"/>
  <c r="R166" i="65"/>
  <c r="S166" i="65" s="1"/>
  <c r="Y166" i="65" s="1"/>
  <c r="AB166" i="65" s="1"/>
  <c r="AC166" i="65" s="1"/>
  <c r="AD166" i="65" s="1"/>
  <c r="Q166" i="65"/>
  <c r="D167" i="65"/>
  <c r="E167" i="65" s="1"/>
  <c r="F167" i="65" s="1"/>
  <c r="G167" i="65" s="1"/>
  <c r="H167" i="65" s="1"/>
  <c r="I167" i="65" s="1"/>
  <c r="J167" i="65" s="1"/>
  <c r="K167" i="65" s="1"/>
  <c r="M167" i="65" s="1"/>
  <c r="P167" i="65"/>
  <c r="N167" i="65"/>
  <c r="AL114" i="11" a="1"/>
  <c r="AL114" i="11" s="1"/>
  <c r="E115" i="32" s="1"/>
  <c r="AK115" i="32" s="1"/>
  <c r="AL124" i="59" a="1"/>
  <c r="AL124" i="59" s="1"/>
  <c r="E125" i="50" s="1"/>
  <c r="AK125" i="50" s="1"/>
  <c r="AM14" i="59" a="1"/>
  <c r="AM14" i="59" s="1"/>
  <c r="N11" i="46"/>
  <c r="M11" i="46"/>
  <c r="I11" i="46"/>
  <c r="R11" i="46" s="1"/>
  <c r="S11" i="46" s="1"/>
  <c r="AA182" i="53" l="1"/>
  <c r="AB182" i="53"/>
  <c r="AI111" i="32"/>
  <c r="AN111" i="32" s="1"/>
  <c r="AI13" i="50"/>
  <c r="AK13" i="50"/>
  <c r="AL13" i="50" s="1"/>
  <c r="AI121" i="50"/>
  <c r="AP121" i="50" s="1"/>
  <c r="AF167" i="65"/>
  <c r="AE167" i="65"/>
  <c r="V11" i="46"/>
  <c r="W11" i="46" s="1"/>
  <c r="X11" i="46" s="1"/>
  <c r="T11" i="46"/>
  <c r="AE184" i="57"/>
  <c r="R184" i="57"/>
  <c r="AE184" i="53"/>
  <c r="R184" i="53"/>
  <c r="AG122" i="50"/>
  <c r="AH122" i="50" s="1"/>
  <c r="AL122" i="50"/>
  <c r="AG110" i="32"/>
  <c r="AH110" i="32" s="1"/>
  <c r="AL110" i="32"/>
  <c r="AG112" i="32"/>
  <c r="AH112" i="32" s="1"/>
  <c r="AL112" i="32"/>
  <c r="AG167" i="69"/>
  <c r="AG166" i="65"/>
  <c r="P114" i="32"/>
  <c r="V113" i="32"/>
  <c r="AN109" i="32"/>
  <c r="AX168" i="69"/>
  <c r="O185" i="57"/>
  <c r="AG185" i="57" s="1"/>
  <c r="L185" i="57"/>
  <c r="T125" i="50"/>
  <c r="O125" i="50"/>
  <c r="T115" i="32"/>
  <c r="AM124" i="50"/>
  <c r="U124" i="50"/>
  <c r="X182" i="57"/>
  <c r="AF182" i="57" s="1"/>
  <c r="AD123" i="50"/>
  <c r="AD113" i="32"/>
  <c r="AB181" i="57"/>
  <c r="AA181" i="57"/>
  <c r="AM114" i="32"/>
  <c r="U114" i="32"/>
  <c r="AJ184" i="57"/>
  <c r="AC184" i="57"/>
  <c r="AP184" i="57"/>
  <c r="AH167" i="65"/>
  <c r="AV167" i="65"/>
  <c r="AH184" i="53"/>
  <c r="AT184" i="53"/>
  <c r="AC184" i="53"/>
  <c r="AG184" i="53"/>
  <c r="N185" i="57"/>
  <c r="N185" i="53"/>
  <c r="AH168" i="69"/>
  <c r="AJ123" i="50"/>
  <c r="C123" i="50"/>
  <c r="AJ113" i="32"/>
  <c r="C113" i="32"/>
  <c r="AD184" i="57"/>
  <c r="Q184" i="53"/>
  <c r="AD184" i="53"/>
  <c r="X183" i="53"/>
  <c r="AF183" i="53" s="1"/>
  <c r="S124" i="50"/>
  <c r="V123" i="50"/>
  <c r="S114" i="32"/>
  <c r="V114" i="32" s="1"/>
  <c r="AK184" i="52" a="1"/>
  <c r="AK184" i="52" s="1"/>
  <c r="B186" i="53" s="1"/>
  <c r="O186" i="53" s="1"/>
  <c r="G185" i="53"/>
  <c r="E185" i="53"/>
  <c r="C185" i="53"/>
  <c r="K185" i="53"/>
  <c r="P185" i="53"/>
  <c r="J185" i="53"/>
  <c r="F185" i="53"/>
  <c r="L185" i="53"/>
  <c r="I185" i="53"/>
  <c r="D185" i="53"/>
  <c r="H185" i="53"/>
  <c r="A115" i="32"/>
  <c r="B115" i="32"/>
  <c r="H125" i="50"/>
  <c r="F125" i="50"/>
  <c r="G125" i="50"/>
  <c r="M125" i="50"/>
  <c r="B125" i="50"/>
  <c r="R125" i="50" s="1"/>
  <c r="L125" i="50"/>
  <c r="K125" i="50"/>
  <c r="J125" i="50"/>
  <c r="N125" i="50"/>
  <c r="I125" i="50"/>
  <c r="A125" i="50"/>
  <c r="Q125" i="50" s="1"/>
  <c r="P125" i="50" s="1"/>
  <c r="M115" i="32"/>
  <c r="F115" i="32"/>
  <c r="N115" i="32"/>
  <c r="H115" i="32"/>
  <c r="J115" i="32"/>
  <c r="O115" i="32"/>
  <c r="G115" i="32"/>
  <c r="L115" i="32"/>
  <c r="K115" i="32"/>
  <c r="I115" i="32"/>
  <c r="W123" i="50"/>
  <c r="X123" i="50" s="1"/>
  <c r="Z123" i="50"/>
  <c r="Q184" i="57"/>
  <c r="E185" i="57"/>
  <c r="P185" i="57"/>
  <c r="H185" i="57"/>
  <c r="J185" i="57"/>
  <c r="K185" i="57"/>
  <c r="G185" i="57"/>
  <c r="C185" i="57"/>
  <c r="M185" i="57" s="1"/>
  <c r="F185" i="57"/>
  <c r="I185" i="57"/>
  <c r="D185" i="57"/>
  <c r="L131" i="22"/>
  <c r="T183" i="57"/>
  <c r="AK184" i="55" a="1"/>
  <c r="AK184" i="55" s="1"/>
  <c r="B186" i="57" s="1"/>
  <c r="W113" i="32"/>
  <c r="X113" i="32" s="1"/>
  <c r="Z113" i="32"/>
  <c r="O170" i="69"/>
  <c r="C170" i="69"/>
  <c r="AO170" i="69" s="1"/>
  <c r="AN170" i="67" a="1"/>
  <c r="AN170" i="67" s="1"/>
  <c r="B171" i="69"/>
  <c r="L171" i="69" s="1"/>
  <c r="D169" i="69"/>
  <c r="E169" i="69" s="1"/>
  <c r="F169" i="69" s="1"/>
  <c r="G169" i="69" s="1"/>
  <c r="H169" i="69" s="1"/>
  <c r="I169" i="69" s="1"/>
  <c r="J169" i="69" s="1"/>
  <c r="K169" i="69" s="1"/>
  <c r="M169" i="69" s="1"/>
  <c r="P169" i="69"/>
  <c r="N169" i="69"/>
  <c r="AF169" i="69" s="1"/>
  <c r="U168" i="69"/>
  <c r="AE168" i="69"/>
  <c r="Q168" i="69"/>
  <c r="R168" i="69"/>
  <c r="S168" i="69" s="1"/>
  <c r="Y168" i="69" s="1"/>
  <c r="AB168" i="69" s="1"/>
  <c r="AC168" i="69" s="1"/>
  <c r="AD168" i="69" s="1"/>
  <c r="AN169" i="63" a="1"/>
  <c r="AN169" i="63" s="1"/>
  <c r="B170" i="65"/>
  <c r="L170" i="65" s="1"/>
  <c r="P168" i="65"/>
  <c r="D168" i="65"/>
  <c r="E168" i="65" s="1"/>
  <c r="F168" i="65" s="1"/>
  <c r="G168" i="65" s="1"/>
  <c r="H168" i="65" s="1"/>
  <c r="I168" i="65" s="1"/>
  <c r="J168" i="65" s="1"/>
  <c r="K168" i="65" s="1"/>
  <c r="M168" i="65" s="1"/>
  <c r="N168" i="65"/>
  <c r="C169" i="65"/>
  <c r="AM169" i="65" s="1"/>
  <c r="O169" i="65"/>
  <c r="U167" i="65"/>
  <c r="R167" i="65"/>
  <c r="S167" i="65" s="1"/>
  <c r="Y167" i="65" s="1"/>
  <c r="AB167" i="65" s="1"/>
  <c r="AC167" i="65" s="1"/>
  <c r="AD167" i="65" s="1"/>
  <c r="Q167" i="65"/>
  <c r="AL115" i="11" a="1"/>
  <c r="AL115" i="11" s="1"/>
  <c r="E116" i="32" s="1"/>
  <c r="AK116" i="32" s="1"/>
  <c r="AL125" i="59" a="1"/>
  <c r="AL125" i="59" s="1"/>
  <c r="E126" i="50" s="1"/>
  <c r="AK126" i="50" s="1"/>
  <c r="AM15" i="59" a="1"/>
  <c r="AM15" i="59" s="1"/>
  <c r="X184" i="53" l="1"/>
  <c r="AA184" i="53" s="1"/>
  <c r="AI112" i="32"/>
  <c r="AN112" i="32" s="1"/>
  <c r="AI122" i="50"/>
  <c r="AP122" i="50" s="1"/>
  <c r="AF168" i="65"/>
  <c r="AE168" i="65"/>
  <c r="AE185" i="57"/>
  <c r="R185" i="57"/>
  <c r="AE185" i="53"/>
  <c r="R185" i="53"/>
  <c r="AG123" i="50"/>
  <c r="AH123" i="50" s="1"/>
  <c r="AL123" i="50"/>
  <c r="AG113" i="32"/>
  <c r="AH113" i="32" s="1"/>
  <c r="AL113" i="32"/>
  <c r="AG168" i="69"/>
  <c r="AG167" i="65"/>
  <c r="P115" i="32"/>
  <c r="AI110" i="32"/>
  <c r="AM110" i="32"/>
  <c r="AM13" i="50"/>
  <c r="AP13" i="50" s="1"/>
  <c r="Y11" i="46"/>
  <c r="L130" i="22" s="1"/>
  <c r="P2" i="46"/>
  <c r="AX169" i="69"/>
  <c r="O186" i="57"/>
  <c r="AG186" i="57" s="1"/>
  <c r="L186" i="57"/>
  <c r="T126" i="50"/>
  <c r="O126" i="50"/>
  <c r="T116" i="32"/>
  <c r="X183" i="57"/>
  <c r="AJ185" i="57"/>
  <c r="AC185" i="57"/>
  <c r="AP185" i="57"/>
  <c r="AM115" i="32"/>
  <c r="U115" i="32"/>
  <c r="AD114" i="32"/>
  <c r="AB182" i="57"/>
  <c r="AA182" i="57"/>
  <c r="AM125" i="50"/>
  <c r="U125" i="50"/>
  <c r="AD124" i="50"/>
  <c r="AH168" i="65"/>
  <c r="AV168" i="65"/>
  <c r="AB183" i="53"/>
  <c r="AA183" i="53"/>
  <c r="AH185" i="53"/>
  <c r="AC185" i="53"/>
  <c r="AT185" i="53"/>
  <c r="AG185" i="53"/>
  <c r="N186" i="57"/>
  <c r="E186" i="53"/>
  <c r="N186" i="53"/>
  <c r="AH169" i="69"/>
  <c r="AJ124" i="50"/>
  <c r="C124" i="50"/>
  <c r="AJ114" i="32"/>
  <c r="C114" i="32"/>
  <c r="AD185" i="57"/>
  <c r="Q185" i="53"/>
  <c r="AD185" i="53"/>
  <c r="S125" i="50"/>
  <c r="V124" i="50"/>
  <c r="S115" i="32"/>
  <c r="D186" i="53"/>
  <c r="I186" i="53"/>
  <c r="L186" i="53"/>
  <c r="P186" i="53"/>
  <c r="K186" i="53"/>
  <c r="H186" i="53"/>
  <c r="C186" i="53"/>
  <c r="J186" i="53"/>
  <c r="AK185" i="52" a="1"/>
  <c r="AK185" i="52" s="1"/>
  <c r="B187" i="53" s="1"/>
  <c r="O187" i="53" s="1"/>
  <c r="G186" i="53"/>
  <c r="F186" i="53"/>
  <c r="A116" i="32"/>
  <c r="B116" i="32"/>
  <c r="F126" i="50"/>
  <c r="N126" i="50"/>
  <c r="M126" i="50"/>
  <c r="L126" i="50"/>
  <c r="G126" i="50"/>
  <c r="A126" i="50"/>
  <c r="Q126" i="50" s="1"/>
  <c r="P126" i="50" s="1"/>
  <c r="I126" i="50"/>
  <c r="K126" i="50"/>
  <c r="B126" i="50"/>
  <c r="R126" i="50" s="1"/>
  <c r="J126" i="50"/>
  <c r="H126" i="50"/>
  <c r="K116" i="32"/>
  <c r="L116" i="32"/>
  <c r="F116" i="32"/>
  <c r="N116" i="32"/>
  <c r="H116" i="32"/>
  <c r="J116" i="32"/>
  <c r="M116" i="32"/>
  <c r="G116" i="32"/>
  <c r="I116" i="32"/>
  <c r="O116" i="32"/>
  <c r="Q185" i="57"/>
  <c r="T184" i="57"/>
  <c r="J186" i="57"/>
  <c r="D186" i="57"/>
  <c r="C186" i="57"/>
  <c r="M186" i="57" s="1"/>
  <c r="P186" i="57"/>
  <c r="K186" i="57"/>
  <c r="F186" i="57"/>
  <c r="I186" i="57"/>
  <c r="E186" i="57"/>
  <c r="H186" i="57"/>
  <c r="G186" i="57"/>
  <c r="W124" i="50"/>
  <c r="X124" i="50" s="1"/>
  <c r="Z124" i="50"/>
  <c r="AK185" i="55" a="1"/>
  <c r="AK185" i="55" s="1"/>
  <c r="B187" i="57" s="1"/>
  <c r="W114" i="32"/>
  <c r="X114" i="32" s="1"/>
  <c r="Z114" i="32"/>
  <c r="Q169" i="69"/>
  <c r="U169" i="69"/>
  <c r="AE169" i="69"/>
  <c r="R169" i="69"/>
  <c r="S169" i="69" s="1"/>
  <c r="Y169" i="69" s="1"/>
  <c r="AB169" i="69" s="1"/>
  <c r="AC169" i="69" s="1"/>
  <c r="AD169" i="69" s="1"/>
  <c r="O171" i="69"/>
  <c r="C171" i="69"/>
  <c r="AO171" i="69" s="1"/>
  <c r="AN171" i="67" a="1"/>
  <c r="AN171" i="67" s="1"/>
  <c r="B172" i="69"/>
  <c r="L172" i="69" s="1"/>
  <c r="D170" i="69"/>
  <c r="E170" i="69" s="1"/>
  <c r="F170" i="69" s="1"/>
  <c r="G170" i="69" s="1"/>
  <c r="H170" i="69" s="1"/>
  <c r="I170" i="69" s="1"/>
  <c r="J170" i="69" s="1"/>
  <c r="K170" i="69" s="1"/>
  <c r="M170" i="69" s="1"/>
  <c r="P170" i="69"/>
  <c r="N170" i="69"/>
  <c r="AF170" i="69" s="1"/>
  <c r="AN170" i="63" a="1"/>
  <c r="AN170" i="63" s="1"/>
  <c r="B171" i="65"/>
  <c r="L171" i="65" s="1"/>
  <c r="N169" i="65"/>
  <c r="P169" i="65"/>
  <c r="D169" i="65"/>
  <c r="E169" i="65" s="1"/>
  <c r="F169" i="65" s="1"/>
  <c r="G169" i="65" s="1"/>
  <c r="H169" i="65" s="1"/>
  <c r="I169" i="65" s="1"/>
  <c r="J169" i="65" s="1"/>
  <c r="K169" i="65" s="1"/>
  <c r="M169" i="65" s="1"/>
  <c r="C170" i="65"/>
  <c r="AM170" i="65" s="1"/>
  <c r="O170" i="65"/>
  <c r="R168" i="65"/>
  <c r="S168" i="65" s="1"/>
  <c r="Y168" i="65" s="1"/>
  <c r="AB168" i="65" s="1"/>
  <c r="AC168" i="65" s="1"/>
  <c r="AD168" i="65" s="1"/>
  <c r="Q168" i="65"/>
  <c r="U168" i="65"/>
  <c r="AL116" i="11" a="1"/>
  <c r="AL116" i="11" s="1"/>
  <c r="E117" i="32" s="1"/>
  <c r="AK117" i="32" s="1"/>
  <c r="AL126" i="59" a="1"/>
  <c r="AL126" i="59" s="1"/>
  <c r="E127" i="50" s="1"/>
  <c r="AK127" i="50" s="1"/>
  <c r="AM16" i="59" a="1"/>
  <c r="AM16" i="59" s="1"/>
  <c r="AF184" i="53" l="1"/>
  <c r="AB184" i="53"/>
  <c r="AI113" i="32"/>
  <c r="AN113" i="32" s="1"/>
  <c r="AI123" i="50"/>
  <c r="AP123" i="50" s="1"/>
  <c r="AF169" i="65"/>
  <c r="AE169" i="65"/>
  <c r="AE186" i="57"/>
  <c r="R186" i="57"/>
  <c r="AE186" i="53"/>
  <c r="R186" i="53"/>
  <c r="AG124" i="50"/>
  <c r="AH124" i="50" s="1"/>
  <c r="AL124" i="50"/>
  <c r="AG114" i="32"/>
  <c r="AH114" i="32" s="1"/>
  <c r="AL114" i="32"/>
  <c r="AB183" i="57"/>
  <c r="AF183" i="57"/>
  <c r="AG169" i="69"/>
  <c r="AG168" i="65"/>
  <c r="P116" i="32"/>
  <c r="V115" i="32"/>
  <c r="AN110" i="32"/>
  <c r="Y257" i="46"/>
  <c r="L102" i="22"/>
  <c r="AX170" i="69"/>
  <c r="O187" i="57"/>
  <c r="AG187" i="57" s="1"/>
  <c r="L187" i="57"/>
  <c r="T127" i="50"/>
  <c r="O127" i="50"/>
  <c r="T117" i="32"/>
  <c r="AA183" i="57"/>
  <c r="AM126" i="50"/>
  <c r="U126" i="50"/>
  <c r="X184" i="57"/>
  <c r="AF184" i="57" s="1"/>
  <c r="AM116" i="32"/>
  <c r="U116" i="32"/>
  <c r="AD125" i="50"/>
  <c r="AD115" i="32"/>
  <c r="AJ186" i="57"/>
  <c r="AC186" i="57"/>
  <c r="AP186" i="57"/>
  <c r="AH169" i="65"/>
  <c r="AV169" i="65"/>
  <c r="AG186" i="53"/>
  <c r="AH186" i="53"/>
  <c r="AC186" i="53"/>
  <c r="AT186" i="53"/>
  <c r="X185" i="53"/>
  <c r="AF185" i="53" s="1"/>
  <c r="N187" i="57"/>
  <c r="I187" i="53"/>
  <c r="N187" i="53"/>
  <c r="AH170" i="69"/>
  <c r="AJ125" i="50"/>
  <c r="C125" i="50"/>
  <c r="AJ115" i="32"/>
  <c r="C115" i="32"/>
  <c r="AD186" i="57"/>
  <c r="Q186" i="53"/>
  <c r="AD186" i="53"/>
  <c r="V125" i="50"/>
  <c r="S126" i="50"/>
  <c r="S116" i="32"/>
  <c r="V116" i="32" s="1"/>
  <c r="AK186" i="52" a="1"/>
  <c r="AK186" i="52" s="1"/>
  <c r="B188" i="53" s="1"/>
  <c r="O188" i="53" s="1"/>
  <c r="E187" i="53"/>
  <c r="C187" i="53"/>
  <c r="F187" i="53"/>
  <c r="P187" i="53"/>
  <c r="H187" i="53"/>
  <c r="G187" i="53"/>
  <c r="J187" i="53"/>
  <c r="L187" i="53"/>
  <c r="K187" i="53"/>
  <c r="D187" i="53"/>
  <c r="A117" i="32"/>
  <c r="B117" i="32"/>
  <c r="J127" i="50"/>
  <c r="F127" i="50"/>
  <c r="G127" i="50"/>
  <c r="M127" i="50"/>
  <c r="A127" i="50"/>
  <c r="Q127" i="50" s="1"/>
  <c r="P127" i="50" s="1"/>
  <c r="N127" i="50"/>
  <c r="H127" i="50"/>
  <c r="B127" i="50"/>
  <c r="R127" i="50" s="1"/>
  <c r="I127" i="50"/>
  <c r="L127" i="50"/>
  <c r="K127" i="50"/>
  <c r="I117" i="32"/>
  <c r="J117" i="32"/>
  <c r="L117" i="32"/>
  <c r="F117" i="32"/>
  <c r="N117" i="32"/>
  <c r="K117" i="32"/>
  <c r="H117" i="32"/>
  <c r="M117" i="32"/>
  <c r="G117" i="32"/>
  <c r="O117" i="32"/>
  <c r="Q186" i="57"/>
  <c r="T185" i="57"/>
  <c r="J187" i="57"/>
  <c r="I187" i="57"/>
  <c r="F187" i="57"/>
  <c r="E187" i="57"/>
  <c r="D187" i="57"/>
  <c r="P187" i="57"/>
  <c r="K187" i="57"/>
  <c r="C187" i="57"/>
  <c r="M187" i="57" s="1"/>
  <c r="G187" i="57"/>
  <c r="H187" i="57"/>
  <c r="Z125" i="50"/>
  <c r="W125" i="50"/>
  <c r="X125" i="50" s="1"/>
  <c r="AK186" i="55" a="1"/>
  <c r="AK186" i="55" s="1"/>
  <c r="B188" i="57" s="1"/>
  <c r="W115" i="32"/>
  <c r="X115" i="32" s="1"/>
  <c r="Z115" i="32"/>
  <c r="R170" i="69"/>
  <c r="S170" i="69" s="1"/>
  <c r="Y170" i="69" s="1"/>
  <c r="AB170" i="69" s="1"/>
  <c r="AC170" i="69" s="1"/>
  <c r="AD170" i="69" s="1"/>
  <c r="AE170" i="69"/>
  <c r="Q170" i="69"/>
  <c r="U170" i="69"/>
  <c r="O172" i="69"/>
  <c r="C172" i="69"/>
  <c r="AO172" i="69" s="1"/>
  <c r="AN172" i="67" a="1"/>
  <c r="AN172" i="67" s="1"/>
  <c r="B173" i="69"/>
  <c r="L173" i="69" s="1"/>
  <c r="P171" i="69"/>
  <c r="D171" i="69"/>
  <c r="E171" i="69" s="1"/>
  <c r="F171" i="69" s="1"/>
  <c r="G171" i="69" s="1"/>
  <c r="H171" i="69" s="1"/>
  <c r="I171" i="69" s="1"/>
  <c r="J171" i="69" s="1"/>
  <c r="K171" i="69" s="1"/>
  <c r="M171" i="69" s="1"/>
  <c r="N171" i="69"/>
  <c r="AF171" i="69" s="1"/>
  <c r="AN171" i="63" a="1"/>
  <c r="AN171" i="63" s="1"/>
  <c r="B172" i="65"/>
  <c r="L172" i="65" s="1"/>
  <c r="P170" i="65"/>
  <c r="D170" i="65"/>
  <c r="E170" i="65" s="1"/>
  <c r="F170" i="65" s="1"/>
  <c r="G170" i="65" s="1"/>
  <c r="H170" i="65" s="1"/>
  <c r="I170" i="65" s="1"/>
  <c r="J170" i="65" s="1"/>
  <c r="K170" i="65" s="1"/>
  <c r="M170" i="65" s="1"/>
  <c r="N170" i="65"/>
  <c r="O171" i="65"/>
  <c r="C171" i="65"/>
  <c r="AM171" i="65" s="1"/>
  <c r="U169" i="65"/>
  <c r="R169" i="65"/>
  <c r="S169" i="65" s="1"/>
  <c r="Y169" i="65" s="1"/>
  <c r="AB169" i="65" s="1"/>
  <c r="AC169" i="65" s="1"/>
  <c r="AD169" i="65" s="1"/>
  <c r="Q169" i="65"/>
  <c r="AL117" i="11" a="1"/>
  <c r="AL117" i="11" s="1"/>
  <c r="E118" i="32" s="1"/>
  <c r="AK118" i="32" s="1"/>
  <c r="AL127" i="59" a="1"/>
  <c r="AL127" i="59" s="1"/>
  <c r="E128" i="50" s="1"/>
  <c r="AK128" i="50" s="1"/>
  <c r="AM17" i="59" a="1"/>
  <c r="AM17" i="59" s="1"/>
  <c r="AI114" i="32" l="1"/>
  <c r="AN114" i="32" s="1"/>
  <c r="AI124" i="50"/>
  <c r="AP124" i="50" s="1"/>
  <c r="AF170" i="65"/>
  <c r="AE170" i="65"/>
  <c r="AE187" i="57"/>
  <c r="R187" i="57"/>
  <c r="AE187" i="53"/>
  <c r="R187" i="53"/>
  <c r="AG125" i="50"/>
  <c r="AH125" i="50" s="1"/>
  <c r="AL125" i="50"/>
  <c r="AG115" i="32"/>
  <c r="AH115" i="32" s="1"/>
  <c r="AL115" i="32"/>
  <c r="AG170" i="69"/>
  <c r="AG169" i="65"/>
  <c r="P117" i="32"/>
  <c r="AX171" i="69"/>
  <c r="O188" i="57"/>
  <c r="AG188" i="57" s="1"/>
  <c r="L188" i="57"/>
  <c r="T128" i="50"/>
  <c r="O128" i="50"/>
  <c r="T118" i="32"/>
  <c r="X185" i="57"/>
  <c r="AM127" i="50"/>
  <c r="U127" i="50"/>
  <c r="AD116" i="32"/>
  <c r="AJ187" i="57"/>
  <c r="AC187" i="57"/>
  <c r="AP187" i="57"/>
  <c r="AB184" i="57"/>
  <c r="AA184" i="57"/>
  <c r="AM117" i="32"/>
  <c r="U117" i="32"/>
  <c r="AD126" i="50"/>
  <c r="AH170" i="65"/>
  <c r="AV170" i="65"/>
  <c r="AG187" i="53"/>
  <c r="AH187" i="53"/>
  <c r="AC187" i="53"/>
  <c r="AT187" i="53"/>
  <c r="AB185" i="53"/>
  <c r="AA185" i="53"/>
  <c r="N188" i="57"/>
  <c r="X186" i="53"/>
  <c r="AF186" i="53" s="1"/>
  <c r="C188" i="53"/>
  <c r="N188" i="53"/>
  <c r="AH171" i="69"/>
  <c r="AJ126" i="50"/>
  <c r="C126" i="50"/>
  <c r="AJ116" i="32"/>
  <c r="C116" i="32"/>
  <c r="AD187" i="57"/>
  <c r="AD187" i="53"/>
  <c r="S127" i="50"/>
  <c r="V126" i="50"/>
  <c r="S117" i="32"/>
  <c r="V117" i="32" s="1"/>
  <c r="J188" i="53"/>
  <c r="D188" i="53"/>
  <c r="H188" i="53"/>
  <c r="G188" i="53"/>
  <c r="E188" i="53"/>
  <c r="F188" i="53"/>
  <c r="L188" i="53"/>
  <c r="P188" i="53"/>
  <c r="Q187" i="53"/>
  <c r="AK187" i="52" a="1"/>
  <c r="AK187" i="52" s="1"/>
  <c r="B189" i="53" s="1"/>
  <c r="O189" i="53" s="1"/>
  <c r="K188" i="53"/>
  <c r="I188" i="53"/>
  <c r="A118" i="32"/>
  <c r="B118" i="32"/>
  <c r="N128" i="50"/>
  <c r="J128" i="50"/>
  <c r="F128" i="50"/>
  <c r="I128" i="50"/>
  <c r="H128" i="50"/>
  <c r="M128" i="50"/>
  <c r="K128" i="50"/>
  <c r="B128" i="50"/>
  <c r="R128" i="50" s="1"/>
  <c r="L128" i="50"/>
  <c r="G128" i="50"/>
  <c r="A128" i="50"/>
  <c r="Q128" i="50" s="1"/>
  <c r="P128" i="50" s="1"/>
  <c r="G118" i="32"/>
  <c r="O118" i="32"/>
  <c r="H118" i="32"/>
  <c r="J118" i="32"/>
  <c r="L118" i="32"/>
  <c r="F118" i="32"/>
  <c r="I118" i="32"/>
  <c r="N118" i="32"/>
  <c r="M118" i="32"/>
  <c r="K118" i="32"/>
  <c r="P188" i="57"/>
  <c r="K188" i="57"/>
  <c r="H188" i="57"/>
  <c r="F188" i="57"/>
  <c r="C188" i="57"/>
  <c r="M188" i="57" s="1"/>
  <c r="E188" i="57"/>
  <c r="D188" i="57"/>
  <c r="G188" i="57"/>
  <c r="J188" i="57"/>
  <c r="I188" i="57"/>
  <c r="Q187" i="57"/>
  <c r="Z126" i="50"/>
  <c r="W126" i="50"/>
  <c r="X126" i="50" s="1"/>
  <c r="T186" i="57"/>
  <c r="AK187" i="55" a="1"/>
  <c r="AK187" i="55" s="1"/>
  <c r="B189" i="57" s="1"/>
  <c r="W116" i="32"/>
  <c r="X116" i="32" s="1"/>
  <c r="Z116" i="32"/>
  <c r="O173" i="69"/>
  <c r="C173" i="69"/>
  <c r="AO173" i="69" s="1"/>
  <c r="AN173" i="67" a="1"/>
  <c r="AN173" i="67" s="1"/>
  <c r="B174" i="69"/>
  <c r="L174" i="69" s="1"/>
  <c r="R171" i="69"/>
  <c r="S171" i="69" s="1"/>
  <c r="Y171" i="69" s="1"/>
  <c r="AB171" i="69" s="1"/>
  <c r="AC171" i="69" s="1"/>
  <c r="AD171" i="69" s="1"/>
  <c r="Q171" i="69"/>
  <c r="U171" i="69"/>
  <c r="AE171" i="69"/>
  <c r="N172" i="69"/>
  <c r="AF172" i="69" s="1"/>
  <c r="P172" i="69"/>
  <c r="D172" i="69"/>
  <c r="E172" i="69" s="1"/>
  <c r="F172" i="69" s="1"/>
  <c r="G172" i="69" s="1"/>
  <c r="H172" i="69" s="1"/>
  <c r="I172" i="69" s="1"/>
  <c r="J172" i="69" s="1"/>
  <c r="K172" i="69" s="1"/>
  <c r="M172" i="69" s="1"/>
  <c r="AN172" i="63" a="1"/>
  <c r="AN172" i="63" s="1"/>
  <c r="B173" i="65"/>
  <c r="L173" i="65" s="1"/>
  <c r="O172" i="65"/>
  <c r="C172" i="65"/>
  <c r="AM172" i="65" s="1"/>
  <c r="D171" i="65"/>
  <c r="E171" i="65" s="1"/>
  <c r="F171" i="65" s="1"/>
  <c r="G171" i="65" s="1"/>
  <c r="H171" i="65" s="1"/>
  <c r="I171" i="65" s="1"/>
  <c r="J171" i="65" s="1"/>
  <c r="K171" i="65" s="1"/>
  <c r="M171" i="65" s="1"/>
  <c r="P171" i="65"/>
  <c r="N171" i="65"/>
  <c r="R170" i="65"/>
  <c r="S170" i="65" s="1"/>
  <c r="Y170" i="65" s="1"/>
  <c r="AB170" i="65" s="1"/>
  <c r="AC170" i="65" s="1"/>
  <c r="AD170" i="65" s="1"/>
  <c r="U170" i="65"/>
  <c r="Q170" i="65"/>
  <c r="AL118" i="11" a="1"/>
  <c r="AL118" i="11" s="1"/>
  <c r="E119" i="32" s="1"/>
  <c r="AK119" i="32" s="1"/>
  <c r="AL128" i="59" a="1"/>
  <c r="AL128" i="59" s="1"/>
  <c r="E129" i="50" s="1"/>
  <c r="AK129" i="50" s="1"/>
  <c r="AM18" i="59" a="1"/>
  <c r="AM18" i="59" s="1"/>
  <c r="X187" i="53" l="1"/>
  <c r="AF187" i="53" s="1"/>
  <c r="AI115" i="32"/>
  <c r="AN115" i="32" s="1"/>
  <c r="AI125" i="50"/>
  <c r="AP125" i="50" s="1"/>
  <c r="AF171" i="65"/>
  <c r="AE171" i="65"/>
  <c r="AE188" i="57"/>
  <c r="R188" i="57"/>
  <c r="AE188" i="53"/>
  <c r="R188" i="53"/>
  <c r="AL116" i="32"/>
  <c r="AG126" i="50"/>
  <c r="AH126" i="50" s="1"/>
  <c r="AL126" i="50"/>
  <c r="AB185" i="57"/>
  <c r="AF185" i="57"/>
  <c r="AG171" i="69"/>
  <c r="AG170" i="65"/>
  <c r="P118" i="32"/>
  <c r="AG116" i="32"/>
  <c r="AH116" i="32" s="1"/>
  <c r="AX172" i="69"/>
  <c r="AA185" i="57"/>
  <c r="X186" i="57"/>
  <c r="O189" i="57"/>
  <c r="AG189" i="57" s="1"/>
  <c r="L189" i="57"/>
  <c r="T129" i="50"/>
  <c r="O129" i="50"/>
  <c r="T119" i="32"/>
  <c r="AM118" i="32"/>
  <c r="U118" i="32"/>
  <c r="AM128" i="50"/>
  <c r="U128" i="50"/>
  <c r="AD117" i="32"/>
  <c r="AC188" i="57"/>
  <c r="AJ188" i="57"/>
  <c r="AP188" i="57"/>
  <c r="AD127" i="50"/>
  <c r="AH171" i="65"/>
  <c r="AV171" i="65"/>
  <c r="AB186" i="53"/>
  <c r="AA186" i="53"/>
  <c r="AC188" i="53"/>
  <c r="AH188" i="53"/>
  <c r="AT188" i="53"/>
  <c r="AG188" i="53"/>
  <c r="N189" i="57"/>
  <c r="N189" i="53"/>
  <c r="AH172" i="69"/>
  <c r="AJ127" i="50"/>
  <c r="C127" i="50"/>
  <c r="AJ117" i="32"/>
  <c r="C117" i="32"/>
  <c r="AD188" i="57"/>
  <c r="AD188" i="53"/>
  <c r="S128" i="50"/>
  <c r="V127" i="50"/>
  <c r="S118" i="32"/>
  <c r="Q188" i="53"/>
  <c r="AK188" i="52" a="1"/>
  <c r="AK188" i="52" s="1"/>
  <c r="B190" i="53" s="1"/>
  <c r="O190" i="53" s="1"/>
  <c r="P189" i="53"/>
  <c r="J189" i="53"/>
  <c r="I189" i="53"/>
  <c r="E189" i="53"/>
  <c r="H189" i="53"/>
  <c r="F189" i="53"/>
  <c r="K189" i="53"/>
  <c r="G189" i="53"/>
  <c r="L189" i="53"/>
  <c r="D189" i="53"/>
  <c r="C189" i="53"/>
  <c r="A119" i="32"/>
  <c r="B119" i="32"/>
  <c r="K129" i="50"/>
  <c r="L129" i="50"/>
  <c r="J129" i="50"/>
  <c r="M129" i="50"/>
  <c r="I129" i="50"/>
  <c r="A129" i="50"/>
  <c r="Q129" i="50" s="1"/>
  <c r="P129" i="50" s="1"/>
  <c r="G129" i="50"/>
  <c r="N129" i="50"/>
  <c r="B129" i="50"/>
  <c r="R129" i="50" s="1"/>
  <c r="H129" i="50"/>
  <c r="F129" i="50"/>
  <c r="M119" i="32"/>
  <c r="F119" i="32"/>
  <c r="N119" i="32"/>
  <c r="H119" i="32"/>
  <c r="J119" i="32"/>
  <c r="G119" i="32"/>
  <c r="L119" i="32"/>
  <c r="O119" i="32"/>
  <c r="I119" i="32"/>
  <c r="K119" i="32"/>
  <c r="W127" i="50"/>
  <c r="X127" i="50" s="1"/>
  <c r="Z127" i="50"/>
  <c r="P189" i="57"/>
  <c r="J189" i="57"/>
  <c r="E189" i="57"/>
  <c r="C189" i="57"/>
  <c r="M189" i="57" s="1"/>
  <c r="I189" i="57"/>
  <c r="D189" i="57"/>
  <c r="F189" i="57"/>
  <c r="K189" i="57"/>
  <c r="G189" i="57"/>
  <c r="H189" i="57"/>
  <c r="T187" i="57"/>
  <c r="Q188" i="57"/>
  <c r="AK188" i="55" a="1"/>
  <c r="AK188" i="55" s="1"/>
  <c r="B190" i="57" s="1"/>
  <c r="W117" i="32"/>
  <c r="X117" i="32" s="1"/>
  <c r="Z117" i="32"/>
  <c r="AN174" i="67" a="1"/>
  <c r="AN174" i="67" s="1"/>
  <c r="B175" i="69"/>
  <c r="L175" i="69" s="1"/>
  <c r="O174" i="69"/>
  <c r="C174" i="69"/>
  <c r="AO174" i="69" s="1"/>
  <c r="Q172" i="69"/>
  <c r="AE172" i="69"/>
  <c r="U172" i="69"/>
  <c r="R172" i="69"/>
  <c r="S172" i="69" s="1"/>
  <c r="Y172" i="69" s="1"/>
  <c r="AB172" i="69" s="1"/>
  <c r="AC172" i="69" s="1"/>
  <c r="AD172" i="69" s="1"/>
  <c r="P173" i="69"/>
  <c r="N173" i="69"/>
  <c r="AF173" i="69" s="1"/>
  <c r="D173" i="69"/>
  <c r="E173" i="69" s="1"/>
  <c r="F173" i="69" s="1"/>
  <c r="G173" i="69" s="1"/>
  <c r="H173" i="69" s="1"/>
  <c r="I173" i="69" s="1"/>
  <c r="J173" i="69" s="1"/>
  <c r="K173" i="69" s="1"/>
  <c r="M173" i="69" s="1"/>
  <c r="AN173" i="63" a="1"/>
  <c r="AN173" i="63" s="1"/>
  <c r="B174" i="65"/>
  <c r="L174" i="65" s="1"/>
  <c r="U171" i="65"/>
  <c r="Q171" i="65"/>
  <c r="R171" i="65"/>
  <c r="S171" i="65" s="1"/>
  <c r="Y171" i="65" s="1"/>
  <c r="AB171" i="65" s="1"/>
  <c r="AC171" i="65" s="1"/>
  <c r="AD171" i="65" s="1"/>
  <c r="C173" i="65"/>
  <c r="AM173" i="65" s="1"/>
  <c r="O173" i="65"/>
  <c r="P172" i="65"/>
  <c r="D172" i="65"/>
  <c r="E172" i="65" s="1"/>
  <c r="F172" i="65" s="1"/>
  <c r="G172" i="65" s="1"/>
  <c r="H172" i="65" s="1"/>
  <c r="I172" i="65" s="1"/>
  <c r="J172" i="65" s="1"/>
  <c r="K172" i="65" s="1"/>
  <c r="M172" i="65" s="1"/>
  <c r="N172" i="65"/>
  <c r="AL119" i="11" a="1"/>
  <c r="AL119" i="11" s="1"/>
  <c r="E120" i="32" s="1"/>
  <c r="AK120" i="32" s="1"/>
  <c r="AL129" i="59" a="1"/>
  <c r="AL129" i="59" s="1"/>
  <c r="E130" i="50" s="1"/>
  <c r="AK130" i="50" s="1"/>
  <c r="AM19" i="59" a="1"/>
  <c r="AM19" i="59" s="1"/>
  <c r="N11" i="11"/>
  <c r="L12" i="32" s="1"/>
  <c r="L6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40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39" i="29"/>
  <c r="L38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5" i="29"/>
  <c r="L14" i="29"/>
  <c r="L13" i="29"/>
  <c r="L12" i="29"/>
  <c r="L11" i="29"/>
  <c r="L10" i="29"/>
  <c r="AA187" i="53" l="1"/>
  <c r="AB187" i="53"/>
  <c r="X188" i="53"/>
  <c r="AB188" i="53" s="1"/>
  <c r="AI126" i="50"/>
  <c r="AP126" i="50" s="1"/>
  <c r="AF172" i="65"/>
  <c r="AE172" i="65"/>
  <c r="AE189" i="57"/>
  <c r="R189" i="57"/>
  <c r="AE189" i="53"/>
  <c r="R189" i="53"/>
  <c r="AG127" i="50"/>
  <c r="AH127" i="50" s="1"/>
  <c r="AL127" i="50"/>
  <c r="AG117" i="32"/>
  <c r="AH117" i="32" s="1"/>
  <c r="AL117" i="32"/>
  <c r="AB186" i="57"/>
  <c r="AF186" i="57"/>
  <c r="AG172" i="69"/>
  <c r="AG171" i="65"/>
  <c r="P119" i="32"/>
  <c r="V118" i="32"/>
  <c r="AI116" i="32"/>
  <c r="AN116" i="32" s="1"/>
  <c r="AX173" i="69"/>
  <c r="X187" i="57"/>
  <c r="AA186" i="57"/>
  <c r="O190" i="57"/>
  <c r="AG190" i="57" s="1"/>
  <c r="L190" i="57"/>
  <c r="O130" i="50"/>
  <c r="T130" i="50"/>
  <c r="T120" i="32"/>
  <c r="AM119" i="32"/>
  <c r="U119" i="32"/>
  <c r="AD128" i="50"/>
  <c r="AM129" i="50"/>
  <c r="U129" i="50"/>
  <c r="AC189" i="57"/>
  <c r="AJ189" i="57"/>
  <c r="AP189" i="57"/>
  <c r="AD118" i="32"/>
  <c r="AH172" i="65"/>
  <c r="AV172" i="65"/>
  <c r="AG189" i="53"/>
  <c r="AH189" i="53"/>
  <c r="AC189" i="53"/>
  <c r="AT189" i="53"/>
  <c r="N190" i="57"/>
  <c r="Q189" i="53"/>
  <c r="AD189" i="53"/>
  <c r="N190" i="53"/>
  <c r="AH173" i="69"/>
  <c r="AJ128" i="50"/>
  <c r="C128" i="50"/>
  <c r="AJ118" i="32"/>
  <c r="C118" i="32"/>
  <c r="AD189" i="57"/>
  <c r="S129" i="50"/>
  <c r="V128" i="50"/>
  <c r="S119" i="32"/>
  <c r="V119" i="32" s="1"/>
  <c r="AK189" i="52" a="1"/>
  <c r="AK189" i="52" s="1"/>
  <c r="B191" i="53" s="1"/>
  <c r="O191" i="53" s="1"/>
  <c r="G190" i="53"/>
  <c r="F190" i="53"/>
  <c r="C190" i="53"/>
  <c r="L190" i="53"/>
  <c r="P190" i="53"/>
  <c r="J190" i="53"/>
  <c r="D190" i="53"/>
  <c r="H190" i="53"/>
  <c r="I190" i="53"/>
  <c r="K190" i="53"/>
  <c r="E190" i="53"/>
  <c r="A120" i="32"/>
  <c r="B120" i="32"/>
  <c r="G130" i="50"/>
  <c r="F130" i="50"/>
  <c r="H130" i="50"/>
  <c r="L130" i="50"/>
  <c r="K130" i="50"/>
  <c r="B130" i="50"/>
  <c r="R130" i="50" s="1"/>
  <c r="J130" i="50"/>
  <c r="I130" i="50"/>
  <c r="M130" i="50"/>
  <c r="N130" i="50"/>
  <c r="A130" i="50"/>
  <c r="Q130" i="50" s="1"/>
  <c r="P130" i="50" s="1"/>
  <c r="K120" i="32"/>
  <c r="L120" i="32"/>
  <c r="F120" i="32"/>
  <c r="N120" i="32"/>
  <c r="H120" i="32"/>
  <c r="M120" i="32"/>
  <c r="J120" i="32"/>
  <c r="O120" i="32"/>
  <c r="I120" i="32"/>
  <c r="G120" i="32"/>
  <c r="Z128" i="50"/>
  <c r="W128" i="50"/>
  <c r="X128" i="50" s="1"/>
  <c r="J190" i="57"/>
  <c r="G190" i="57"/>
  <c r="D190" i="57"/>
  <c r="P190" i="57"/>
  <c r="K190" i="57"/>
  <c r="F190" i="57"/>
  <c r="H190" i="57"/>
  <c r="I190" i="57"/>
  <c r="C190" i="57"/>
  <c r="M190" i="57" s="1"/>
  <c r="E190" i="57"/>
  <c r="Q189" i="57"/>
  <c r="T188" i="57"/>
  <c r="AK189" i="55" a="1"/>
  <c r="AK189" i="55" s="1"/>
  <c r="B191" i="57" s="1"/>
  <c r="W118" i="32"/>
  <c r="X118" i="32" s="1"/>
  <c r="Z118" i="32"/>
  <c r="O175" i="69"/>
  <c r="C175" i="69"/>
  <c r="AO175" i="69" s="1"/>
  <c r="AE173" i="69"/>
  <c r="R173" i="69"/>
  <c r="S173" i="69" s="1"/>
  <c r="Y173" i="69" s="1"/>
  <c r="AB173" i="69" s="1"/>
  <c r="AC173" i="69" s="1"/>
  <c r="AD173" i="69" s="1"/>
  <c r="Q173" i="69"/>
  <c r="U173" i="69"/>
  <c r="D174" i="69"/>
  <c r="E174" i="69" s="1"/>
  <c r="F174" i="69" s="1"/>
  <c r="G174" i="69" s="1"/>
  <c r="H174" i="69" s="1"/>
  <c r="I174" i="69" s="1"/>
  <c r="J174" i="69" s="1"/>
  <c r="K174" i="69" s="1"/>
  <c r="M174" i="69" s="1"/>
  <c r="P174" i="69"/>
  <c r="N174" i="69"/>
  <c r="AF174" i="69" s="1"/>
  <c r="AN175" i="67" a="1"/>
  <c r="AN175" i="67" s="1"/>
  <c r="B176" i="69"/>
  <c r="L176" i="69" s="1"/>
  <c r="AN174" i="63" a="1"/>
  <c r="AN174" i="63" s="1"/>
  <c r="B175" i="65"/>
  <c r="L175" i="65" s="1"/>
  <c r="U172" i="65"/>
  <c r="Q172" i="65"/>
  <c r="R172" i="65"/>
  <c r="S172" i="65" s="1"/>
  <c r="Y172" i="65" s="1"/>
  <c r="AB172" i="65" s="1"/>
  <c r="AC172" i="65" s="1"/>
  <c r="AD172" i="65" s="1"/>
  <c r="C174" i="65"/>
  <c r="AM174" i="65" s="1"/>
  <c r="O174" i="65"/>
  <c r="N173" i="65"/>
  <c r="P173" i="65"/>
  <c r="D173" i="65"/>
  <c r="E173" i="65" s="1"/>
  <c r="F173" i="65" s="1"/>
  <c r="G173" i="65" s="1"/>
  <c r="H173" i="65" s="1"/>
  <c r="I173" i="65" s="1"/>
  <c r="J173" i="65" s="1"/>
  <c r="K173" i="65" s="1"/>
  <c r="M173" i="65" s="1"/>
  <c r="AL120" i="11" a="1"/>
  <c r="AL120" i="11" s="1"/>
  <c r="E121" i="32" s="1"/>
  <c r="AK121" i="32" s="1"/>
  <c r="AL130" i="59" a="1"/>
  <c r="AL130" i="59" s="1"/>
  <c r="E131" i="50" s="1"/>
  <c r="AK131" i="50" s="1"/>
  <c r="AM20" i="59" a="1"/>
  <c r="AM20" i="59" s="1"/>
  <c r="AA188" i="53" l="1"/>
  <c r="AF188" i="53"/>
  <c r="AI117" i="32"/>
  <c r="AN117" i="32" s="1"/>
  <c r="AI127" i="50"/>
  <c r="AP127" i="50" s="1"/>
  <c r="AF173" i="65"/>
  <c r="AE173" i="65"/>
  <c r="AE190" i="57"/>
  <c r="R190" i="57"/>
  <c r="AE190" i="53"/>
  <c r="R190" i="53"/>
  <c r="AG128" i="50"/>
  <c r="AH128" i="50" s="1"/>
  <c r="AL128" i="50"/>
  <c r="AG118" i="32"/>
  <c r="AH118" i="32" s="1"/>
  <c r="AL118" i="32"/>
  <c r="AB187" i="57"/>
  <c r="AF187" i="57"/>
  <c r="AG173" i="69"/>
  <c r="AG172" i="65"/>
  <c r="P120" i="32"/>
  <c r="AX174" i="69"/>
  <c r="AA187" i="57"/>
  <c r="O191" i="57"/>
  <c r="AG191" i="57" s="1"/>
  <c r="L191" i="57"/>
  <c r="O131" i="50"/>
  <c r="T131" i="50"/>
  <c r="T121" i="32"/>
  <c r="X188" i="57"/>
  <c r="AM120" i="32"/>
  <c r="U120" i="32"/>
  <c r="AJ190" i="57"/>
  <c r="AC190" i="57"/>
  <c r="AP190" i="57"/>
  <c r="AD119" i="32"/>
  <c r="AM130" i="50"/>
  <c r="U130" i="50"/>
  <c r="AD129" i="50"/>
  <c r="AH173" i="65"/>
  <c r="AV173" i="65"/>
  <c r="AH190" i="53"/>
  <c r="AC190" i="53"/>
  <c r="AT190" i="53"/>
  <c r="AG190" i="53"/>
  <c r="N191" i="57"/>
  <c r="X189" i="53"/>
  <c r="AF189" i="53" s="1"/>
  <c r="N191" i="53"/>
  <c r="AH174" i="69"/>
  <c r="AJ129" i="50"/>
  <c r="C129" i="50"/>
  <c r="AJ119" i="32"/>
  <c r="C119" i="32"/>
  <c r="AD190" i="57"/>
  <c r="AD190" i="53"/>
  <c r="Q190" i="53"/>
  <c r="S130" i="50"/>
  <c r="V129" i="50"/>
  <c r="S120" i="32"/>
  <c r="V120" i="32" s="1"/>
  <c r="AK190" i="52" a="1"/>
  <c r="AK190" i="52" s="1"/>
  <c r="B192" i="53" s="1"/>
  <c r="O192" i="53" s="1"/>
  <c r="E191" i="53"/>
  <c r="D191" i="53"/>
  <c r="G191" i="53"/>
  <c r="C191" i="53"/>
  <c r="F191" i="53"/>
  <c r="I191" i="53"/>
  <c r="H191" i="53"/>
  <c r="J191" i="53"/>
  <c r="L191" i="53"/>
  <c r="P191" i="53"/>
  <c r="K191" i="53"/>
  <c r="A121" i="32"/>
  <c r="B121" i="32"/>
  <c r="B131" i="50"/>
  <c r="R131" i="50" s="1"/>
  <c r="A131" i="50"/>
  <c r="Q131" i="50" s="1"/>
  <c r="P131" i="50" s="1"/>
  <c r="K131" i="50"/>
  <c r="G131" i="50"/>
  <c r="H131" i="50"/>
  <c r="M131" i="50"/>
  <c r="N131" i="50"/>
  <c r="I131" i="50"/>
  <c r="J131" i="50"/>
  <c r="L131" i="50"/>
  <c r="F131" i="50"/>
  <c r="I121" i="32"/>
  <c r="J121" i="32"/>
  <c r="L121" i="32"/>
  <c r="F121" i="32"/>
  <c r="N121" i="32"/>
  <c r="H121" i="32"/>
  <c r="K121" i="32"/>
  <c r="O121" i="32"/>
  <c r="G121" i="32"/>
  <c r="M121" i="32"/>
  <c r="Z129" i="50"/>
  <c r="W129" i="50"/>
  <c r="X129" i="50" s="1"/>
  <c r="T189" i="57"/>
  <c r="D191" i="57"/>
  <c r="F191" i="57"/>
  <c r="I191" i="57"/>
  <c r="E191" i="57"/>
  <c r="K191" i="57"/>
  <c r="J191" i="57"/>
  <c r="C191" i="57"/>
  <c r="M191" i="57" s="1"/>
  <c r="G191" i="57"/>
  <c r="H191" i="57"/>
  <c r="P191" i="57"/>
  <c r="Q190" i="57"/>
  <c r="AK190" i="55" a="1"/>
  <c r="AK190" i="55" s="1"/>
  <c r="B192" i="57" s="1"/>
  <c r="W119" i="32"/>
  <c r="X119" i="32" s="1"/>
  <c r="Z119" i="32"/>
  <c r="AN176" i="67" a="1"/>
  <c r="AN176" i="67" s="1"/>
  <c r="B177" i="69"/>
  <c r="L177" i="69" s="1"/>
  <c r="P175" i="69"/>
  <c r="D175" i="69"/>
  <c r="E175" i="69" s="1"/>
  <c r="F175" i="69" s="1"/>
  <c r="G175" i="69" s="1"/>
  <c r="H175" i="69" s="1"/>
  <c r="I175" i="69" s="1"/>
  <c r="J175" i="69" s="1"/>
  <c r="K175" i="69" s="1"/>
  <c r="M175" i="69" s="1"/>
  <c r="N175" i="69"/>
  <c r="AF175" i="69" s="1"/>
  <c r="O176" i="69"/>
  <c r="C176" i="69"/>
  <c r="AO176" i="69" s="1"/>
  <c r="U174" i="69"/>
  <c r="R174" i="69"/>
  <c r="S174" i="69" s="1"/>
  <c r="Y174" i="69" s="1"/>
  <c r="AB174" i="69" s="1"/>
  <c r="AC174" i="69" s="1"/>
  <c r="AD174" i="69" s="1"/>
  <c r="AE174" i="69"/>
  <c r="Q174" i="69"/>
  <c r="AN175" i="63" a="1"/>
  <c r="AN175" i="63" s="1"/>
  <c r="B176" i="65"/>
  <c r="L176" i="65" s="1"/>
  <c r="C175" i="65"/>
  <c r="AM175" i="65" s="1"/>
  <c r="O175" i="65"/>
  <c r="R173" i="65"/>
  <c r="S173" i="65" s="1"/>
  <c r="Y173" i="65" s="1"/>
  <c r="AB173" i="65" s="1"/>
  <c r="AC173" i="65" s="1"/>
  <c r="AD173" i="65" s="1"/>
  <c r="Q173" i="65"/>
  <c r="U173" i="65"/>
  <c r="P174" i="65"/>
  <c r="D174" i="65"/>
  <c r="E174" i="65" s="1"/>
  <c r="F174" i="65" s="1"/>
  <c r="G174" i="65" s="1"/>
  <c r="H174" i="65" s="1"/>
  <c r="I174" i="65" s="1"/>
  <c r="J174" i="65" s="1"/>
  <c r="K174" i="65" s="1"/>
  <c r="M174" i="65" s="1"/>
  <c r="N174" i="65"/>
  <c r="AL121" i="11" a="1"/>
  <c r="AL121" i="11" s="1"/>
  <c r="AL131" i="59" a="1"/>
  <c r="AL131" i="59" s="1"/>
  <c r="E132" i="50" s="1"/>
  <c r="AK132" i="50" s="1"/>
  <c r="AM21" i="59" a="1"/>
  <c r="AM21" i="59" s="1"/>
  <c r="O11" i="11"/>
  <c r="AI118" i="32" l="1"/>
  <c r="AN118" i="32" s="1"/>
  <c r="AI128" i="50"/>
  <c r="AP128" i="50" s="1"/>
  <c r="AF174" i="65"/>
  <c r="AE174" i="65"/>
  <c r="AE191" i="57"/>
  <c r="R191" i="57"/>
  <c r="AE191" i="53"/>
  <c r="R191" i="53"/>
  <c r="AL119" i="32"/>
  <c r="AG129" i="50"/>
  <c r="AH129" i="50" s="1"/>
  <c r="AL129" i="50"/>
  <c r="AB188" i="57"/>
  <c r="AF188" i="57"/>
  <c r="AG174" i="69"/>
  <c r="AG173" i="65"/>
  <c r="P121" i="32"/>
  <c r="AG119" i="32"/>
  <c r="AH119" i="32" s="1"/>
  <c r="AX175" i="69"/>
  <c r="X189" i="57"/>
  <c r="O192" i="57"/>
  <c r="AG192" i="57" s="1"/>
  <c r="L192" i="57"/>
  <c r="AA188" i="57"/>
  <c r="O132" i="50"/>
  <c r="T132" i="50"/>
  <c r="AD130" i="50"/>
  <c r="AM121" i="32"/>
  <c r="U121" i="32"/>
  <c r="AJ191" i="57"/>
  <c r="AC191" i="57"/>
  <c r="AP191" i="57"/>
  <c r="AD120" i="32"/>
  <c r="AM131" i="50"/>
  <c r="U131" i="50"/>
  <c r="AH174" i="65"/>
  <c r="AV174" i="65"/>
  <c r="AH191" i="53"/>
  <c r="AC191" i="53"/>
  <c r="AT191" i="53"/>
  <c r="AG191" i="53"/>
  <c r="AB189" i="53"/>
  <c r="AA189" i="53"/>
  <c r="N192" i="57"/>
  <c r="P192" i="53"/>
  <c r="N192" i="53"/>
  <c r="AH175" i="69"/>
  <c r="AJ130" i="50"/>
  <c r="C130" i="50"/>
  <c r="AJ120" i="32"/>
  <c r="C120" i="32"/>
  <c r="AD191" i="57"/>
  <c r="AD191" i="53"/>
  <c r="X190" i="53"/>
  <c r="AF190" i="53" s="1"/>
  <c r="M12" i="32"/>
  <c r="S131" i="50"/>
  <c r="V130" i="50"/>
  <c r="S121" i="32"/>
  <c r="V121" i="32" s="1"/>
  <c r="J192" i="53"/>
  <c r="G192" i="53"/>
  <c r="H192" i="53"/>
  <c r="K192" i="53"/>
  <c r="L192" i="53"/>
  <c r="Q191" i="53"/>
  <c r="I192" i="53"/>
  <c r="C192" i="53"/>
  <c r="D192" i="53"/>
  <c r="AK191" i="52" a="1"/>
  <c r="AK191" i="52" s="1"/>
  <c r="B193" i="53" s="1"/>
  <c r="O193" i="53" s="1"/>
  <c r="F192" i="53"/>
  <c r="E192" i="53"/>
  <c r="K132" i="50"/>
  <c r="I132" i="50"/>
  <c r="L132" i="50"/>
  <c r="A132" i="50"/>
  <c r="Q132" i="50" s="1"/>
  <c r="P132" i="50" s="1"/>
  <c r="J132" i="50"/>
  <c r="N132" i="50"/>
  <c r="B132" i="50"/>
  <c r="R132" i="50" s="1"/>
  <c r="M132" i="50"/>
  <c r="F132" i="50"/>
  <c r="G132" i="50"/>
  <c r="H132" i="50"/>
  <c r="Q191" i="57"/>
  <c r="K192" i="57"/>
  <c r="J192" i="57"/>
  <c r="H192" i="57"/>
  <c r="F192" i="57"/>
  <c r="D192" i="57"/>
  <c r="P192" i="57"/>
  <c r="C192" i="57"/>
  <c r="M192" i="57" s="1"/>
  <c r="G192" i="57"/>
  <c r="I192" i="57"/>
  <c r="E192" i="57"/>
  <c r="T190" i="57"/>
  <c r="W130" i="50"/>
  <c r="X130" i="50" s="1"/>
  <c r="Z130" i="50"/>
  <c r="E122" i="32"/>
  <c r="AK122" i="32" s="1"/>
  <c r="AK191" i="55" a="1"/>
  <c r="AK191" i="55" s="1"/>
  <c r="B193" i="57" s="1"/>
  <c r="W120" i="32"/>
  <c r="X120" i="32" s="1"/>
  <c r="Z120" i="32"/>
  <c r="AN177" i="67" a="1"/>
  <c r="AN177" i="67" s="1"/>
  <c r="B178" i="69"/>
  <c r="L178" i="69" s="1"/>
  <c r="P176" i="69"/>
  <c r="N176" i="69"/>
  <c r="AF176" i="69" s="1"/>
  <c r="D176" i="69"/>
  <c r="E176" i="69" s="1"/>
  <c r="F176" i="69" s="1"/>
  <c r="G176" i="69" s="1"/>
  <c r="H176" i="69" s="1"/>
  <c r="I176" i="69" s="1"/>
  <c r="J176" i="69" s="1"/>
  <c r="K176" i="69" s="1"/>
  <c r="M176" i="69" s="1"/>
  <c r="C177" i="69"/>
  <c r="AO177" i="69" s="1"/>
  <c r="O177" i="69"/>
  <c r="U175" i="69"/>
  <c r="AE175" i="69"/>
  <c r="Q175" i="69"/>
  <c r="R175" i="69"/>
  <c r="S175" i="69" s="1"/>
  <c r="Y175" i="69" s="1"/>
  <c r="AB175" i="69" s="1"/>
  <c r="AC175" i="69" s="1"/>
  <c r="AD175" i="69" s="1"/>
  <c r="AN176" i="63" a="1"/>
  <c r="AN176" i="63" s="1"/>
  <c r="B177" i="65"/>
  <c r="L177" i="65" s="1"/>
  <c r="C176" i="65"/>
  <c r="AM176" i="65" s="1"/>
  <c r="O176" i="65"/>
  <c r="U174" i="65"/>
  <c r="Q174" i="65"/>
  <c r="R174" i="65"/>
  <c r="S174" i="65" s="1"/>
  <c r="Y174" i="65" s="1"/>
  <c r="AB174" i="65" s="1"/>
  <c r="AC174" i="65" s="1"/>
  <c r="AD174" i="65" s="1"/>
  <c r="N175" i="65"/>
  <c r="D175" i="65"/>
  <c r="E175" i="65" s="1"/>
  <c r="F175" i="65" s="1"/>
  <c r="G175" i="65" s="1"/>
  <c r="H175" i="65" s="1"/>
  <c r="I175" i="65" s="1"/>
  <c r="J175" i="65" s="1"/>
  <c r="K175" i="65" s="1"/>
  <c r="M175" i="65" s="1"/>
  <c r="P175" i="65"/>
  <c r="AL122" i="11" a="1"/>
  <c r="AL122" i="11" s="1"/>
  <c r="E123" i="32" s="1"/>
  <c r="AK123" i="32" s="1"/>
  <c r="AL132" i="59" a="1"/>
  <c r="AL132" i="59" s="1"/>
  <c r="E133" i="50" s="1"/>
  <c r="AK133" i="50" s="1"/>
  <c r="AM22" i="59" a="1"/>
  <c r="AM22" i="59" s="1"/>
  <c r="AI129" i="50" l="1"/>
  <c r="AP129" i="50" s="1"/>
  <c r="X191" i="53"/>
  <c r="AF191" i="53" s="1"/>
  <c r="AF175" i="65"/>
  <c r="AE175" i="65"/>
  <c r="AE192" i="57"/>
  <c r="R192" i="57"/>
  <c r="AE192" i="53"/>
  <c r="R192" i="53"/>
  <c r="AG130" i="50"/>
  <c r="AH130" i="50" s="1"/>
  <c r="AL130" i="50"/>
  <c r="AG120" i="32"/>
  <c r="AH120" i="32" s="1"/>
  <c r="AL120" i="32"/>
  <c r="AA189" i="57"/>
  <c r="AF189" i="57"/>
  <c r="AG175" i="69"/>
  <c r="AG174" i="65"/>
  <c r="AI119" i="32"/>
  <c r="AN119" i="32" s="1"/>
  <c r="AB189" i="57"/>
  <c r="AX176" i="69"/>
  <c r="O193" i="57"/>
  <c r="AG193" i="57" s="1"/>
  <c r="L193" i="57"/>
  <c r="T133" i="50"/>
  <c r="O133" i="50"/>
  <c r="T123" i="32"/>
  <c r="T122" i="32"/>
  <c r="AD131" i="50"/>
  <c r="AM132" i="50"/>
  <c r="U132" i="50"/>
  <c r="X190" i="57"/>
  <c r="AF190" i="57" s="1"/>
  <c r="AD121" i="32"/>
  <c r="AJ192" i="57"/>
  <c r="AC192" i="57"/>
  <c r="AP192" i="57"/>
  <c r="AH175" i="65"/>
  <c r="AV175" i="65"/>
  <c r="AH192" i="53"/>
  <c r="AC192" i="53"/>
  <c r="AT192" i="53"/>
  <c r="AB190" i="53"/>
  <c r="AA190" i="53"/>
  <c r="AG192" i="53"/>
  <c r="N193" i="57"/>
  <c r="K193" i="53"/>
  <c r="N193" i="53"/>
  <c r="AH176" i="69"/>
  <c r="AJ131" i="50"/>
  <c r="C131" i="50"/>
  <c r="AJ121" i="32"/>
  <c r="C121" i="32"/>
  <c r="AD192" i="57"/>
  <c r="AD192" i="53"/>
  <c r="Q192" i="53"/>
  <c r="V131" i="50"/>
  <c r="S132" i="50"/>
  <c r="AK192" i="52" a="1"/>
  <c r="AK192" i="52" s="1"/>
  <c r="B194" i="53" s="1"/>
  <c r="O194" i="53" s="1"/>
  <c r="J193" i="53"/>
  <c r="D193" i="53"/>
  <c r="I193" i="53"/>
  <c r="C193" i="53"/>
  <c r="P193" i="53"/>
  <c r="E193" i="53"/>
  <c r="F193" i="53"/>
  <c r="H193" i="53"/>
  <c r="G193" i="53"/>
  <c r="L193" i="53"/>
  <c r="A123" i="32"/>
  <c r="B123" i="32"/>
  <c r="A122" i="32"/>
  <c r="B122" i="32"/>
  <c r="M133" i="50"/>
  <c r="F133" i="50"/>
  <c r="H133" i="50"/>
  <c r="G133" i="50"/>
  <c r="I133" i="50"/>
  <c r="L133" i="50"/>
  <c r="N133" i="50"/>
  <c r="A133" i="50"/>
  <c r="Q133" i="50" s="1"/>
  <c r="P133" i="50" s="1"/>
  <c r="J133" i="50"/>
  <c r="K133" i="50"/>
  <c r="B133" i="50"/>
  <c r="R133" i="50" s="1"/>
  <c r="M123" i="32"/>
  <c r="F123" i="32"/>
  <c r="N123" i="32"/>
  <c r="H123" i="32"/>
  <c r="J123" i="32"/>
  <c r="O123" i="32"/>
  <c r="G123" i="32"/>
  <c r="L123" i="32"/>
  <c r="K123" i="32"/>
  <c r="I123" i="32"/>
  <c r="G122" i="32"/>
  <c r="O122" i="32"/>
  <c r="H122" i="32"/>
  <c r="J122" i="32"/>
  <c r="L122" i="32"/>
  <c r="I122" i="32"/>
  <c r="N122" i="32"/>
  <c r="F122" i="32"/>
  <c r="K122" i="32"/>
  <c r="M122" i="32"/>
  <c r="W131" i="50"/>
  <c r="X131" i="50" s="1"/>
  <c r="Z131" i="50"/>
  <c r="P193" i="57"/>
  <c r="J193" i="57"/>
  <c r="H193" i="57"/>
  <c r="E193" i="57"/>
  <c r="K193" i="57"/>
  <c r="G193" i="57"/>
  <c r="C193" i="57"/>
  <c r="M193" i="57" s="1"/>
  <c r="F193" i="57"/>
  <c r="I193" i="57"/>
  <c r="D193" i="57"/>
  <c r="T191" i="57"/>
  <c r="Q192" i="57"/>
  <c r="AK192" i="55" a="1"/>
  <c r="AK192" i="55" s="1"/>
  <c r="B194" i="57" s="1"/>
  <c r="W121" i="32"/>
  <c r="X121" i="32" s="1"/>
  <c r="Z121" i="32"/>
  <c r="AN178" i="67" a="1"/>
  <c r="AN178" i="67" s="1"/>
  <c r="B179" i="69"/>
  <c r="L179" i="69" s="1"/>
  <c r="R176" i="69"/>
  <c r="S176" i="69" s="1"/>
  <c r="Y176" i="69" s="1"/>
  <c r="AB176" i="69" s="1"/>
  <c r="AC176" i="69" s="1"/>
  <c r="AD176" i="69" s="1"/>
  <c r="AE176" i="69"/>
  <c r="Q176" i="69"/>
  <c r="U176" i="69"/>
  <c r="P177" i="69"/>
  <c r="D177" i="69"/>
  <c r="E177" i="69" s="1"/>
  <c r="F177" i="69" s="1"/>
  <c r="G177" i="69" s="1"/>
  <c r="H177" i="69" s="1"/>
  <c r="I177" i="69" s="1"/>
  <c r="J177" i="69" s="1"/>
  <c r="K177" i="69" s="1"/>
  <c r="M177" i="69" s="1"/>
  <c r="N177" i="69"/>
  <c r="AF177" i="69" s="1"/>
  <c r="O178" i="69"/>
  <c r="C178" i="69"/>
  <c r="AO178" i="69" s="1"/>
  <c r="AN177" i="63" a="1"/>
  <c r="AN177" i="63" s="1"/>
  <c r="B178" i="65"/>
  <c r="L178" i="65" s="1"/>
  <c r="R175" i="65"/>
  <c r="S175" i="65" s="1"/>
  <c r="Y175" i="65" s="1"/>
  <c r="AB175" i="65" s="1"/>
  <c r="AC175" i="65" s="1"/>
  <c r="AD175" i="65" s="1"/>
  <c r="U175" i="65"/>
  <c r="Q175" i="65"/>
  <c r="D176" i="65"/>
  <c r="E176" i="65" s="1"/>
  <c r="F176" i="65" s="1"/>
  <c r="G176" i="65" s="1"/>
  <c r="H176" i="65" s="1"/>
  <c r="I176" i="65" s="1"/>
  <c r="J176" i="65" s="1"/>
  <c r="K176" i="65" s="1"/>
  <c r="M176" i="65" s="1"/>
  <c r="P176" i="65"/>
  <c r="N176" i="65"/>
  <c r="C177" i="65"/>
  <c r="AM177" i="65" s="1"/>
  <c r="O177" i="65"/>
  <c r="AL123" i="11" a="1"/>
  <c r="AL123" i="11" s="1"/>
  <c r="E124" i="32" s="1"/>
  <c r="AK124" i="32" s="1"/>
  <c r="AL133" i="59" a="1"/>
  <c r="AL133" i="59" s="1"/>
  <c r="E134" i="50" s="1"/>
  <c r="AK134" i="50" s="1"/>
  <c r="AM23" i="59" a="1"/>
  <c r="AM23" i="59" s="1"/>
  <c r="X192" i="53" l="1"/>
  <c r="AF192" i="53" s="1"/>
  <c r="AA191" i="53"/>
  <c r="AB191" i="53"/>
  <c r="AI120" i="32"/>
  <c r="AN120" i="32" s="1"/>
  <c r="AI130" i="50"/>
  <c r="AP130" i="50" s="1"/>
  <c r="AF176" i="65"/>
  <c r="AE176" i="65"/>
  <c r="AE193" i="57"/>
  <c r="R193" i="57"/>
  <c r="AE193" i="53"/>
  <c r="R193" i="53"/>
  <c r="AG131" i="50"/>
  <c r="AH131" i="50" s="1"/>
  <c r="AL131" i="50"/>
  <c r="AG121" i="32"/>
  <c r="AH121" i="32" s="1"/>
  <c r="AL121" i="32"/>
  <c r="AG176" i="69"/>
  <c r="AG175" i="65"/>
  <c r="P122" i="32"/>
  <c r="P123" i="32"/>
  <c r="AX177" i="69"/>
  <c r="X191" i="57"/>
  <c r="O194" i="57"/>
  <c r="AG194" i="57" s="1"/>
  <c r="L194" i="57"/>
  <c r="T134" i="50"/>
  <c r="O134" i="50"/>
  <c r="T124" i="32"/>
  <c r="AM122" i="32"/>
  <c r="U122" i="32"/>
  <c r="AM123" i="32"/>
  <c r="U123" i="32"/>
  <c r="AM133" i="50"/>
  <c r="U133" i="50"/>
  <c r="AB190" i="57"/>
  <c r="AA190" i="57"/>
  <c r="AD132" i="50"/>
  <c r="AJ193" i="57"/>
  <c r="AC193" i="57"/>
  <c r="AP193" i="57"/>
  <c r="AH176" i="65"/>
  <c r="AV176" i="65"/>
  <c r="AH193" i="53"/>
  <c r="AC193" i="53"/>
  <c r="AT193" i="53"/>
  <c r="AG193" i="53"/>
  <c r="N194" i="57"/>
  <c r="L194" i="53"/>
  <c r="N194" i="53"/>
  <c r="AH177" i="69"/>
  <c r="AJ132" i="50"/>
  <c r="C132" i="50"/>
  <c r="AD193" i="57"/>
  <c r="AD193" i="53"/>
  <c r="Q193" i="53"/>
  <c r="V132" i="50"/>
  <c r="S133" i="50"/>
  <c r="S123" i="32"/>
  <c r="V123" i="32" s="1"/>
  <c r="S122" i="32"/>
  <c r="V122" i="32" s="1"/>
  <c r="AK193" i="52" a="1"/>
  <c r="AK193" i="52" s="1"/>
  <c r="B195" i="53" s="1"/>
  <c r="O195" i="53" s="1"/>
  <c r="F194" i="53"/>
  <c r="E194" i="53"/>
  <c r="P194" i="53"/>
  <c r="J194" i="53"/>
  <c r="I194" i="53"/>
  <c r="D194" i="53"/>
  <c r="C194" i="53"/>
  <c r="H194" i="53"/>
  <c r="G194" i="53"/>
  <c r="K194" i="53"/>
  <c r="A124" i="32"/>
  <c r="B124" i="32"/>
  <c r="F134" i="50"/>
  <c r="G134" i="50"/>
  <c r="B134" i="50"/>
  <c r="R134" i="50" s="1"/>
  <c r="L134" i="50"/>
  <c r="K134" i="50"/>
  <c r="I134" i="50"/>
  <c r="A134" i="50"/>
  <c r="Q134" i="50" s="1"/>
  <c r="P134" i="50" s="1"/>
  <c r="M134" i="50"/>
  <c r="J134" i="50"/>
  <c r="N134" i="50"/>
  <c r="H134" i="50"/>
  <c r="K124" i="32"/>
  <c r="L124" i="32"/>
  <c r="F124" i="32"/>
  <c r="N124" i="32"/>
  <c r="H124" i="32"/>
  <c r="J124" i="32"/>
  <c r="M124" i="32"/>
  <c r="G124" i="32"/>
  <c r="I124" i="32"/>
  <c r="O124" i="32"/>
  <c r="J194" i="57"/>
  <c r="D194" i="57"/>
  <c r="H194" i="57"/>
  <c r="C194" i="57"/>
  <c r="M194" i="57" s="1"/>
  <c r="P194" i="57"/>
  <c r="K194" i="57"/>
  <c r="F194" i="57"/>
  <c r="I194" i="57"/>
  <c r="G194" i="57"/>
  <c r="E194" i="57"/>
  <c r="Q193" i="57"/>
  <c r="T192" i="57"/>
  <c r="W132" i="50"/>
  <c r="X132" i="50" s="1"/>
  <c r="Z132" i="50"/>
  <c r="AK193" i="55" a="1"/>
  <c r="AK193" i="55" s="1"/>
  <c r="B195" i="57" s="1"/>
  <c r="AN179" i="67" a="1"/>
  <c r="AN179" i="67" s="1"/>
  <c r="B180" i="69"/>
  <c r="L180" i="69" s="1"/>
  <c r="U177" i="69"/>
  <c r="Q177" i="69"/>
  <c r="R177" i="69"/>
  <c r="S177" i="69" s="1"/>
  <c r="Y177" i="69" s="1"/>
  <c r="AB177" i="69" s="1"/>
  <c r="AC177" i="69" s="1"/>
  <c r="AD177" i="69" s="1"/>
  <c r="AE177" i="69"/>
  <c r="O179" i="69"/>
  <c r="C179" i="69"/>
  <c r="AO179" i="69" s="1"/>
  <c r="D178" i="69"/>
  <c r="E178" i="69" s="1"/>
  <c r="F178" i="69" s="1"/>
  <c r="G178" i="69" s="1"/>
  <c r="H178" i="69" s="1"/>
  <c r="I178" i="69" s="1"/>
  <c r="J178" i="69" s="1"/>
  <c r="K178" i="69" s="1"/>
  <c r="M178" i="69" s="1"/>
  <c r="N178" i="69"/>
  <c r="AF178" i="69" s="1"/>
  <c r="P178" i="69"/>
  <c r="AN178" i="63" a="1"/>
  <c r="AN178" i="63" s="1"/>
  <c r="B179" i="65"/>
  <c r="L179" i="65" s="1"/>
  <c r="U176" i="65"/>
  <c r="Q176" i="65"/>
  <c r="R176" i="65"/>
  <c r="S176" i="65" s="1"/>
  <c r="Y176" i="65" s="1"/>
  <c r="AB176" i="65" s="1"/>
  <c r="AC176" i="65" s="1"/>
  <c r="AD176" i="65" s="1"/>
  <c r="D177" i="65"/>
  <c r="E177" i="65" s="1"/>
  <c r="F177" i="65" s="1"/>
  <c r="G177" i="65" s="1"/>
  <c r="H177" i="65" s="1"/>
  <c r="I177" i="65" s="1"/>
  <c r="J177" i="65" s="1"/>
  <c r="K177" i="65" s="1"/>
  <c r="M177" i="65" s="1"/>
  <c r="P177" i="65"/>
  <c r="N177" i="65"/>
  <c r="C178" i="65"/>
  <c r="AM178" i="65" s="1"/>
  <c r="O178" i="65"/>
  <c r="AL124" i="11" a="1"/>
  <c r="AL124" i="11" s="1"/>
  <c r="E125" i="32" s="1"/>
  <c r="AK125" i="32" s="1"/>
  <c r="AL134" i="59" a="1"/>
  <c r="AL134" i="59" s="1"/>
  <c r="E135" i="50" s="1"/>
  <c r="AK135" i="50" s="1"/>
  <c r="AM24" i="59" a="1"/>
  <c r="AM24" i="59" s="1"/>
  <c r="AC21" i="11"/>
  <c r="X193" i="53" l="1"/>
  <c r="AF193" i="53" s="1"/>
  <c r="AA192" i="53"/>
  <c r="AB192" i="53"/>
  <c r="AI121" i="32"/>
  <c r="AN121" i="32" s="1"/>
  <c r="AI131" i="50"/>
  <c r="AP131" i="50" s="1"/>
  <c r="AF177" i="65"/>
  <c r="AE177" i="65"/>
  <c r="AE194" i="57"/>
  <c r="R194" i="57"/>
  <c r="AE194" i="53"/>
  <c r="R194" i="53"/>
  <c r="AG132" i="50"/>
  <c r="AH132" i="50" s="1"/>
  <c r="AL132" i="50"/>
  <c r="AB191" i="57"/>
  <c r="AF191" i="57"/>
  <c r="AG177" i="69"/>
  <c r="AG176" i="65"/>
  <c r="P124" i="32"/>
  <c r="K40" i="36"/>
  <c r="I80" i="22"/>
  <c r="X192" i="57"/>
  <c r="N22" i="32"/>
  <c r="AX178" i="69"/>
  <c r="O195" i="57"/>
  <c r="AG195" i="57" s="1"/>
  <c r="L195" i="57"/>
  <c r="AA191" i="57"/>
  <c r="T135" i="50"/>
  <c r="O135" i="50"/>
  <c r="T125" i="32"/>
  <c r="AM124" i="32"/>
  <c r="U124" i="32"/>
  <c r="AJ194" i="57"/>
  <c r="AC194" i="57"/>
  <c r="AP194" i="57"/>
  <c r="AD123" i="32"/>
  <c r="AD133" i="50"/>
  <c r="AM134" i="50"/>
  <c r="U134" i="50"/>
  <c r="AD122" i="32"/>
  <c r="AH177" i="65"/>
  <c r="AV177" i="65"/>
  <c r="AG194" i="53"/>
  <c r="AH194" i="53"/>
  <c r="AC194" i="53"/>
  <c r="AT194" i="53"/>
  <c r="N195" i="57"/>
  <c r="N195" i="53"/>
  <c r="AH178" i="69"/>
  <c r="AJ133" i="50"/>
  <c r="C133" i="50"/>
  <c r="AJ123" i="32"/>
  <c r="C123" i="32"/>
  <c r="AJ122" i="32"/>
  <c r="C122" i="32"/>
  <c r="AD194" i="57"/>
  <c r="Q194" i="53"/>
  <c r="AD194" i="53"/>
  <c r="S134" i="50"/>
  <c r="V133" i="50"/>
  <c r="S124" i="32"/>
  <c r="V124" i="32" s="1"/>
  <c r="AK194" i="52" a="1"/>
  <c r="AK194" i="52" s="1"/>
  <c r="B196" i="53" s="1"/>
  <c r="O196" i="53" s="1"/>
  <c r="J195" i="53"/>
  <c r="E195" i="53"/>
  <c r="H195" i="53"/>
  <c r="G195" i="53"/>
  <c r="K195" i="53"/>
  <c r="D195" i="53"/>
  <c r="F195" i="53"/>
  <c r="P195" i="53"/>
  <c r="C195" i="53"/>
  <c r="I195" i="53"/>
  <c r="L195" i="53"/>
  <c r="A125" i="32"/>
  <c r="B125" i="32"/>
  <c r="M135" i="50"/>
  <c r="G135" i="50"/>
  <c r="A135" i="50"/>
  <c r="Q135" i="50" s="1"/>
  <c r="P135" i="50" s="1"/>
  <c r="L135" i="50"/>
  <c r="J135" i="50"/>
  <c r="K135" i="50"/>
  <c r="F135" i="50"/>
  <c r="I135" i="50"/>
  <c r="B135" i="50"/>
  <c r="R135" i="50" s="1"/>
  <c r="N135" i="50"/>
  <c r="H135" i="50"/>
  <c r="I125" i="32"/>
  <c r="J125" i="32"/>
  <c r="L125" i="32"/>
  <c r="F125" i="32"/>
  <c r="N125" i="32"/>
  <c r="K125" i="32"/>
  <c r="H125" i="32"/>
  <c r="G125" i="32"/>
  <c r="M125" i="32"/>
  <c r="O125" i="32"/>
  <c r="Z133" i="50"/>
  <c r="W133" i="50"/>
  <c r="X133" i="50" s="1"/>
  <c r="T193" i="57"/>
  <c r="Q194" i="57"/>
  <c r="I195" i="57"/>
  <c r="F195" i="57"/>
  <c r="E195" i="57"/>
  <c r="D195" i="57"/>
  <c r="P195" i="57"/>
  <c r="J195" i="57"/>
  <c r="K195" i="57"/>
  <c r="G195" i="57"/>
  <c r="H195" i="57"/>
  <c r="C195" i="57"/>
  <c r="M195" i="57" s="1"/>
  <c r="W122" i="32"/>
  <c r="X122" i="32" s="1"/>
  <c r="Z122" i="32"/>
  <c r="AK194" i="55" a="1"/>
  <c r="AK194" i="55" s="1"/>
  <c r="B196" i="57" s="1"/>
  <c r="W123" i="32"/>
  <c r="X123" i="32" s="1"/>
  <c r="Z123" i="32"/>
  <c r="AN180" i="67" a="1"/>
  <c r="AN180" i="67" s="1"/>
  <c r="B181" i="69"/>
  <c r="L181" i="69" s="1"/>
  <c r="Q178" i="69"/>
  <c r="R178" i="69"/>
  <c r="S178" i="69" s="1"/>
  <c r="Y178" i="69" s="1"/>
  <c r="AB178" i="69" s="1"/>
  <c r="AC178" i="69" s="1"/>
  <c r="AD178" i="69" s="1"/>
  <c r="U178" i="69"/>
  <c r="AE178" i="69"/>
  <c r="N179" i="69"/>
  <c r="AF179" i="69" s="1"/>
  <c r="D179" i="69"/>
  <c r="E179" i="69" s="1"/>
  <c r="F179" i="69" s="1"/>
  <c r="G179" i="69" s="1"/>
  <c r="H179" i="69" s="1"/>
  <c r="I179" i="69" s="1"/>
  <c r="J179" i="69" s="1"/>
  <c r="K179" i="69" s="1"/>
  <c r="M179" i="69" s="1"/>
  <c r="P179" i="69"/>
  <c r="O180" i="69"/>
  <c r="C180" i="69"/>
  <c r="AO180" i="69" s="1"/>
  <c r="AN179" i="63" a="1"/>
  <c r="AN179" i="63" s="1"/>
  <c r="B180" i="65"/>
  <c r="L180" i="65" s="1"/>
  <c r="R177" i="65"/>
  <c r="S177" i="65" s="1"/>
  <c r="Y177" i="65" s="1"/>
  <c r="AB177" i="65" s="1"/>
  <c r="AC177" i="65" s="1"/>
  <c r="AD177" i="65" s="1"/>
  <c r="Q177" i="65"/>
  <c r="U177" i="65"/>
  <c r="O179" i="65"/>
  <c r="C179" i="65"/>
  <c r="AM179" i="65" s="1"/>
  <c r="P178" i="65"/>
  <c r="N178" i="65"/>
  <c r="D178" i="65"/>
  <c r="E178" i="65" s="1"/>
  <c r="F178" i="65" s="1"/>
  <c r="G178" i="65" s="1"/>
  <c r="H178" i="65" s="1"/>
  <c r="I178" i="65" s="1"/>
  <c r="J178" i="65" s="1"/>
  <c r="K178" i="65" s="1"/>
  <c r="M178" i="65" s="1"/>
  <c r="AL125" i="11" a="1"/>
  <c r="AL125" i="11" s="1"/>
  <c r="E126" i="32" s="1"/>
  <c r="AK126" i="32" s="1"/>
  <c r="AL135" i="59" a="1"/>
  <c r="AL135" i="59" s="1"/>
  <c r="E136" i="50" s="1"/>
  <c r="AK136" i="50" s="1"/>
  <c r="I4" i="22"/>
  <c r="I14" i="22"/>
  <c r="AM25" i="59" a="1"/>
  <c r="AM25" i="59" s="1"/>
  <c r="I65" i="22"/>
  <c r="I7" i="22"/>
  <c r="I58" i="22"/>
  <c r="I11" i="22"/>
  <c r="AH13" i="11"/>
  <c r="AH15" i="11"/>
  <c r="AH16" i="11"/>
  <c r="AH17" i="11"/>
  <c r="AH19" i="11"/>
  <c r="X194" i="53" l="1"/>
  <c r="AB194" i="53" s="1"/>
  <c r="AB193" i="53"/>
  <c r="AA193" i="53"/>
  <c r="AI132" i="50"/>
  <c r="AP132" i="50" s="1"/>
  <c r="AF178" i="65"/>
  <c r="AE178" i="65"/>
  <c r="AE195" i="57"/>
  <c r="R195" i="57"/>
  <c r="AE195" i="53"/>
  <c r="R195" i="53"/>
  <c r="AL123" i="32"/>
  <c r="AG133" i="50"/>
  <c r="AH133" i="50" s="1"/>
  <c r="AL133" i="50"/>
  <c r="AG122" i="32"/>
  <c r="AH122" i="32" s="1"/>
  <c r="AL122" i="32"/>
  <c r="AB192" i="57"/>
  <c r="AF192" i="57"/>
  <c r="AG178" i="69"/>
  <c r="AG177" i="65"/>
  <c r="P125" i="32"/>
  <c r="X21" i="11"/>
  <c r="AQ21" i="11" s="1"/>
  <c r="BG8" i="22"/>
  <c r="BG12" i="22"/>
  <c r="G257" i="46"/>
  <c r="T259" i="59"/>
  <c r="G257" i="71"/>
  <c r="H259" i="11"/>
  <c r="S259" i="11"/>
  <c r="L48" i="36"/>
  <c r="L42" i="36"/>
  <c r="L46" i="36"/>
  <c r="L44" i="36"/>
  <c r="W259" i="11"/>
  <c r="S259" i="59"/>
  <c r="W259" i="59"/>
  <c r="T259" i="11"/>
  <c r="H259" i="59"/>
  <c r="L40" i="36"/>
  <c r="V259" i="59"/>
  <c r="U259" i="59"/>
  <c r="X259" i="59"/>
  <c r="Q259" i="59"/>
  <c r="AA192" i="57"/>
  <c r="AG123" i="32"/>
  <c r="AH123" i="32" s="1"/>
  <c r="AX179" i="69"/>
  <c r="X193" i="57"/>
  <c r="O196" i="57"/>
  <c r="AG196" i="57" s="1"/>
  <c r="L196" i="57"/>
  <c r="T136" i="50"/>
  <c r="O136" i="50"/>
  <c r="T126" i="32"/>
  <c r="AI133" i="50"/>
  <c r="AP133" i="50" s="1"/>
  <c r="AM125" i="32"/>
  <c r="U125" i="32"/>
  <c r="AJ195" i="57"/>
  <c r="AC195" i="57"/>
  <c r="AP195" i="57"/>
  <c r="AM135" i="50"/>
  <c r="U135" i="50"/>
  <c r="AD124" i="32"/>
  <c r="AD134" i="50"/>
  <c r="AH178" i="65"/>
  <c r="AV178" i="65"/>
  <c r="AH195" i="53"/>
  <c r="AC195" i="53"/>
  <c r="AT195" i="53"/>
  <c r="AG195" i="53"/>
  <c r="N196" i="57"/>
  <c r="I196" i="53"/>
  <c r="N196" i="53"/>
  <c r="AH179" i="69"/>
  <c r="AJ134" i="50"/>
  <c r="C134" i="50"/>
  <c r="AJ124" i="32"/>
  <c r="C124" i="32"/>
  <c r="AD195" i="57"/>
  <c r="AD195" i="53"/>
  <c r="S135" i="50"/>
  <c r="V134" i="50"/>
  <c r="S125" i="32"/>
  <c r="V125" i="32" s="1"/>
  <c r="Q195" i="53"/>
  <c r="L196" i="53"/>
  <c r="G196" i="53"/>
  <c r="H196" i="53"/>
  <c r="F196" i="53"/>
  <c r="D196" i="53"/>
  <c r="K196" i="53"/>
  <c r="E196" i="53"/>
  <c r="P196" i="53"/>
  <c r="J196" i="53"/>
  <c r="AK195" i="52" a="1"/>
  <c r="AK195" i="52" s="1"/>
  <c r="B197" i="53" s="1"/>
  <c r="O197" i="53" s="1"/>
  <c r="C196" i="53"/>
  <c r="A126" i="32"/>
  <c r="B126" i="32"/>
  <c r="F136" i="50"/>
  <c r="N136" i="50"/>
  <c r="G136" i="50"/>
  <c r="J136" i="50"/>
  <c r="H136" i="50"/>
  <c r="I136" i="50"/>
  <c r="B136" i="50"/>
  <c r="R136" i="50" s="1"/>
  <c r="M136" i="50"/>
  <c r="A136" i="50"/>
  <c r="Q136" i="50" s="1"/>
  <c r="P136" i="50" s="1"/>
  <c r="K136" i="50"/>
  <c r="L136" i="50"/>
  <c r="G126" i="32"/>
  <c r="O126" i="32"/>
  <c r="H126" i="32"/>
  <c r="J126" i="32"/>
  <c r="L126" i="32"/>
  <c r="F126" i="32"/>
  <c r="I126" i="32"/>
  <c r="N126" i="32"/>
  <c r="M126" i="32"/>
  <c r="K126" i="32"/>
  <c r="Q195" i="57"/>
  <c r="Z134" i="50"/>
  <c r="W134" i="50"/>
  <c r="X134" i="50" s="1"/>
  <c r="P196" i="57"/>
  <c r="K196" i="57"/>
  <c r="H196" i="57"/>
  <c r="F196" i="57"/>
  <c r="C196" i="57"/>
  <c r="M196" i="57" s="1"/>
  <c r="I196" i="57"/>
  <c r="J196" i="57"/>
  <c r="E196" i="57"/>
  <c r="G196" i="57"/>
  <c r="D196" i="57"/>
  <c r="T194" i="57"/>
  <c r="AK195" i="55" a="1"/>
  <c r="AK195" i="55" s="1"/>
  <c r="B197" i="57" s="1"/>
  <c r="W124" i="32"/>
  <c r="X124" i="32" s="1"/>
  <c r="Z124" i="32"/>
  <c r="AN181" i="67" a="1"/>
  <c r="AN181" i="67" s="1"/>
  <c r="B182" i="69"/>
  <c r="L182" i="69" s="1"/>
  <c r="U179" i="69"/>
  <c r="Q179" i="69"/>
  <c r="AE179" i="69"/>
  <c r="R179" i="69"/>
  <c r="S179" i="69" s="1"/>
  <c r="Y179" i="69" s="1"/>
  <c r="AB179" i="69" s="1"/>
  <c r="AC179" i="69" s="1"/>
  <c r="AD179" i="69" s="1"/>
  <c r="P180" i="69"/>
  <c r="D180" i="69"/>
  <c r="E180" i="69" s="1"/>
  <c r="F180" i="69" s="1"/>
  <c r="G180" i="69" s="1"/>
  <c r="H180" i="69" s="1"/>
  <c r="I180" i="69" s="1"/>
  <c r="J180" i="69" s="1"/>
  <c r="K180" i="69" s="1"/>
  <c r="M180" i="69" s="1"/>
  <c r="N180" i="69"/>
  <c r="AF180" i="69" s="1"/>
  <c r="C181" i="69"/>
  <c r="AO181" i="69" s="1"/>
  <c r="O181" i="69"/>
  <c r="AN180" i="63" a="1"/>
  <c r="AN180" i="63" s="1"/>
  <c r="B181" i="65"/>
  <c r="L181" i="65" s="1"/>
  <c r="C180" i="65"/>
  <c r="AM180" i="65" s="1"/>
  <c r="O180" i="65"/>
  <c r="Q178" i="65"/>
  <c r="U178" i="65"/>
  <c r="R178" i="65"/>
  <c r="S178" i="65" s="1"/>
  <c r="Y178" i="65" s="1"/>
  <c r="AB178" i="65" s="1"/>
  <c r="AC178" i="65" s="1"/>
  <c r="AD178" i="65" s="1"/>
  <c r="P179" i="65"/>
  <c r="N179" i="65"/>
  <c r="D179" i="65"/>
  <c r="E179" i="65" s="1"/>
  <c r="F179" i="65" s="1"/>
  <c r="G179" i="65" s="1"/>
  <c r="H179" i="65" s="1"/>
  <c r="I179" i="65" s="1"/>
  <c r="J179" i="65" s="1"/>
  <c r="K179" i="65" s="1"/>
  <c r="M179" i="65" s="1"/>
  <c r="AL126" i="11" a="1"/>
  <c r="AL126" i="11" s="1"/>
  <c r="E127" i="32" s="1"/>
  <c r="AK127" i="32" s="1"/>
  <c r="I9" i="22"/>
  <c r="I27" i="22"/>
  <c r="AL136" i="59" a="1"/>
  <c r="AL136" i="59" s="1"/>
  <c r="E137" i="50" s="1"/>
  <c r="AK137" i="50" s="1"/>
  <c r="AH11" i="11"/>
  <c r="I5" i="22"/>
  <c r="I46" i="22"/>
  <c r="AM26" i="59" a="1"/>
  <c r="AM26" i="59" s="1"/>
  <c r="I57" i="22"/>
  <c r="I24" i="22"/>
  <c r="AH20" i="11"/>
  <c r="AH258" i="11"/>
  <c r="AH24" i="11"/>
  <c r="AH31" i="11"/>
  <c r="I49" i="22"/>
  <c r="AH22" i="11"/>
  <c r="AH21" i="11"/>
  <c r="AH18" i="11"/>
  <c r="AH14" i="11"/>
  <c r="AH23" i="11"/>
  <c r="AH12" i="11"/>
  <c r="AH25" i="11"/>
  <c r="AH233" i="11"/>
  <c r="AH256" i="11"/>
  <c r="AH240" i="11"/>
  <c r="AH216" i="11"/>
  <c r="AH200" i="11"/>
  <c r="AH184" i="11"/>
  <c r="AH168" i="11"/>
  <c r="AH152" i="11"/>
  <c r="AH136" i="11"/>
  <c r="AH120" i="11"/>
  <c r="AH104" i="11"/>
  <c r="AH88" i="11"/>
  <c r="AH72" i="11"/>
  <c r="AH56" i="11"/>
  <c r="AH40" i="11"/>
  <c r="AH255" i="11"/>
  <c r="AH247" i="11"/>
  <c r="AH239" i="11"/>
  <c r="AH231" i="11"/>
  <c r="AH223" i="11"/>
  <c r="AH215" i="11"/>
  <c r="AH207" i="11"/>
  <c r="AH199" i="11"/>
  <c r="AH191" i="11"/>
  <c r="AH183" i="11"/>
  <c r="AH175" i="11"/>
  <c r="AH167" i="11"/>
  <c r="AH159" i="11"/>
  <c r="AH151" i="11"/>
  <c r="AH143" i="11"/>
  <c r="AH135" i="11"/>
  <c r="AH127" i="11"/>
  <c r="AH119" i="11"/>
  <c r="AH111" i="11"/>
  <c r="AH103" i="11"/>
  <c r="AH95" i="11"/>
  <c r="AH87" i="11"/>
  <c r="AH79" i="11"/>
  <c r="AH71" i="11"/>
  <c r="AH63" i="11"/>
  <c r="AH55" i="11"/>
  <c r="AH47" i="11"/>
  <c r="AH39" i="11"/>
  <c r="AH226" i="11"/>
  <c r="AH178" i="11"/>
  <c r="AH130" i="11"/>
  <c r="AH66" i="11"/>
  <c r="AH254" i="11"/>
  <c r="AH230" i="11"/>
  <c r="AH222" i="11"/>
  <c r="AH214" i="11"/>
  <c r="AH206" i="11"/>
  <c r="AH198" i="11"/>
  <c r="AH190" i="11"/>
  <c r="AH182" i="11"/>
  <c r="AH174" i="11"/>
  <c r="AH166" i="11"/>
  <c r="AH158" i="11"/>
  <c r="AH150" i="11"/>
  <c r="AH142" i="11"/>
  <c r="AH134" i="11"/>
  <c r="AH126" i="11"/>
  <c r="AH118" i="11"/>
  <c r="AH110" i="11"/>
  <c r="AH102" i="11"/>
  <c r="AH94" i="11"/>
  <c r="AH86" i="11"/>
  <c r="AH78" i="11"/>
  <c r="AH70" i="11"/>
  <c r="AH62" i="11"/>
  <c r="AH54" i="11"/>
  <c r="AH46" i="11"/>
  <c r="AH38" i="11"/>
  <c r="AH30" i="11"/>
  <c r="AH210" i="11"/>
  <c r="AH162" i="11"/>
  <c r="AH114" i="11"/>
  <c r="AH74" i="11"/>
  <c r="AH34" i="11"/>
  <c r="AH253" i="11"/>
  <c r="AH237" i="11"/>
  <c r="AH221" i="11"/>
  <c r="AH213" i="11"/>
  <c r="AH205" i="11"/>
  <c r="AH197" i="11"/>
  <c r="AH189" i="11"/>
  <c r="AH181" i="11"/>
  <c r="AH173" i="11"/>
  <c r="AH165" i="11"/>
  <c r="AH157" i="11"/>
  <c r="AH149" i="11"/>
  <c r="AH141" i="11"/>
  <c r="AH133" i="11"/>
  <c r="AH125" i="11"/>
  <c r="AH117" i="11"/>
  <c r="AH109" i="11"/>
  <c r="AH101" i="11"/>
  <c r="AH93" i="11"/>
  <c r="AH85" i="11"/>
  <c r="AH77" i="11"/>
  <c r="AH69" i="11"/>
  <c r="AH61" i="11"/>
  <c r="AH53" i="11"/>
  <c r="AH45" i="11"/>
  <c r="AH37" i="11"/>
  <c r="AH29" i="11"/>
  <c r="AH250" i="11"/>
  <c r="AH218" i="11"/>
  <c r="AH186" i="11"/>
  <c r="AH154" i="11"/>
  <c r="AH122" i="11"/>
  <c r="AH90" i="11"/>
  <c r="AH42" i="11"/>
  <c r="AH238" i="11"/>
  <c r="AH245" i="11"/>
  <c r="AH244" i="11"/>
  <c r="AH220" i="11"/>
  <c r="AH204" i="11"/>
  <c r="AH188" i="11"/>
  <c r="AH172" i="11"/>
  <c r="AH148" i="11"/>
  <c r="AH132" i="11"/>
  <c r="AH116" i="11"/>
  <c r="AH100" i="11"/>
  <c r="AH84" i="11"/>
  <c r="AH68" i="11"/>
  <c r="AH52" i="11"/>
  <c r="AH44" i="11"/>
  <c r="AH36" i="11"/>
  <c r="AH28" i="11"/>
  <c r="AH242" i="11"/>
  <c r="AH194" i="11"/>
  <c r="AH146" i="11"/>
  <c r="AH106" i="11"/>
  <c r="AH82" i="11"/>
  <c r="AH50" i="11"/>
  <c r="AH26" i="11"/>
  <c r="AH246" i="11"/>
  <c r="AH229" i="11"/>
  <c r="AH252" i="11"/>
  <c r="AH236" i="11"/>
  <c r="AH228" i="11"/>
  <c r="AH212" i="11"/>
  <c r="AH196" i="11"/>
  <c r="AH180" i="11"/>
  <c r="AH164" i="11"/>
  <c r="AH156" i="11"/>
  <c r="AH140" i="11"/>
  <c r="AH124" i="11"/>
  <c r="AH108" i="11"/>
  <c r="AH92" i="11"/>
  <c r="AH76" i="11"/>
  <c r="AH60" i="11"/>
  <c r="AH251" i="11"/>
  <c r="AH243" i="11"/>
  <c r="AH235" i="11"/>
  <c r="AH227" i="11"/>
  <c r="AH219" i="11"/>
  <c r="AH211" i="11"/>
  <c r="AH203" i="11"/>
  <c r="AH195" i="11"/>
  <c r="AH187" i="11"/>
  <c r="AH179" i="11"/>
  <c r="AH171" i="11"/>
  <c r="AH163" i="11"/>
  <c r="AH155" i="11"/>
  <c r="AH147" i="11"/>
  <c r="AH139" i="11"/>
  <c r="AH131" i="11"/>
  <c r="AH123" i="11"/>
  <c r="AH115" i="11"/>
  <c r="AH107" i="11"/>
  <c r="AH99" i="11"/>
  <c r="AH91" i="11"/>
  <c r="AH83" i="11"/>
  <c r="AH75" i="11"/>
  <c r="AH67" i="11"/>
  <c r="AH59" i="11"/>
  <c r="AH51" i="11"/>
  <c r="AH43" i="11"/>
  <c r="AH35" i="11"/>
  <c r="AH27" i="11"/>
  <c r="AH257" i="11"/>
  <c r="AH249" i="11"/>
  <c r="AH225" i="11"/>
  <c r="AH217" i="11"/>
  <c r="AH209" i="11"/>
  <c r="AH201" i="11"/>
  <c r="AH193" i="11"/>
  <c r="AH185" i="11"/>
  <c r="AH177" i="11"/>
  <c r="AH169" i="11"/>
  <c r="AH161" i="11"/>
  <c r="AH153" i="11"/>
  <c r="AH145" i="11"/>
  <c r="AH137" i="11"/>
  <c r="AH129" i="11"/>
  <c r="AH121" i="11"/>
  <c r="AH113" i="11"/>
  <c r="AH105" i="11"/>
  <c r="AH97" i="11"/>
  <c r="AH89" i="11"/>
  <c r="AH81" i="11"/>
  <c r="AH73" i="11"/>
  <c r="AH65" i="11"/>
  <c r="AH57" i="11"/>
  <c r="AH49" i="11"/>
  <c r="AH41" i="11"/>
  <c r="AH33" i="11"/>
  <c r="AH234" i="11"/>
  <c r="AH202" i="11"/>
  <c r="AH170" i="11"/>
  <c r="AH138" i="11"/>
  <c r="AH98" i="11"/>
  <c r="AH58" i="11"/>
  <c r="AH241" i="11"/>
  <c r="AH248" i="11"/>
  <c r="AH232" i="11"/>
  <c r="AH224" i="11"/>
  <c r="AH208" i="11"/>
  <c r="AH192" i="11"/>
  <c r="AH176" i="11"/>
  <c r="AH160" i="11"/>
  <c r="AH144" i="11"/>
  <c r="AH128" i="11"/>
  <c r="AH112" i="11"/>
  <c r="AH96" i="11"/>
  <c r="AH80" i="11"/>
  <c r="AH64" i="11"/>
  <c r="AH48" i="11"/>
  <c r="AH32" i="11"/>
  <c r="L88" i="22"/>
  <c r="L57" i="22"/>
  <c r="L33" i="22"/>
  <c r="L29" i="22"/>
  <c r="L60" i="22"/>
  <c r="L47" i="22"/>
  <c r="L43" i="22"/>
  <c r="L40" i="22"/>
  <c r="L36" i="22"/>
  <c r="L83" i="22"/>
  <c r="L32" i="22"/>
  <c r="J11" i="11"/>
  <c r="D21" i="36" l="1"/>
  <c r="AA194" i="53"/>
  <c r="AF194" i="53"/>
  <c r="P5" i="46"/>
  <c r="O5" i="71"/>
  <c r="X195" i="53"/>
  <c r="AB195" i="53" s="1"/>
  <c r="AI122" i="32"/>
  <c r="AN122" i="32" s="1"/>
  <c r="AF179" i="65"/>
  <c r="AE179" i="65"/>
  <c r="AE196" i="57"/>
  <c r="R196" i="57"/>
  <c r="AE196" i="53"/>
  <c r="R196" i="53"/>
  <c r="D30" i="36"/>
  <c r="AG134" i="50"/>
  <c r="AH134" i="50" s="1"/>
  <c r="AL134" i="50"/>
  <c r="AL124" i="32"/>
  <c r="AB193" i="57"/>
  <c r="AF193" i="57"/>
  <c r="AG179" i="69"/>
  <c r="AG178" i="65"/>
  <c r="P126" i="32"/>
  <c r="D27" i="36"/>
  <c r="BG16" i="22"/>
  <c r="BG7" i="22"/>
  <c r="D24" i="36"/>
  <c r="AI123" i="32"/>
  <c r="AN123" i="32" s="1"/>
  <c r="AG124" i="32"/>
  <c r="AH124" i="32" s="1"/>
  <c r="AX180" i="69"/>
  <c r="O197" i="57"/>
  <c r="AG197" i="57" s="1"/>
  <c r="L197" i="57"/>
  <c r="X194" i="57"/>
  <c r="AA193" i="57"/>
  <c r="O137" i="50"/>
  <c r="T137" i="50"/>
  <c r="T127" i="32"/>
  <c r="AC196" i="57"/>
  <c r="AJ196" i="57"/>
  <c r="AP196" i="57"/>
  <c r="AD125" i="32"/>
  <c r="AD135" i="50"/>
  <c r="AM126" i="32"/>
  <c r="U126" i="32"/>
  <c r="AM136" i="50"/>
  <c r="U136" i="50"/>
  <c r="AH179" i="65"/>
  <c r="AV179" i="65"/>
  <c r="AC196" i="53"/>
  <c r="AH196" i="53"/>
  <c r="AT196" i="53"/>
  <c r="AG196" i="53"/>
  <c r="N197" i="57"/>
  <c r="E197" i="53"/>
  <c r="N197" i="53"/>
  <c r="AH180" i="69"/>
  <c r="AJ135" i="50"/>
  <c r="C135" i="50"/>
  <c r="AJ125" i="32"/>
  <c r="C125" i="32"/>
  <c r="AD196" i="57"/>
  <c r="AD196" i="53"/>
  <c r="I12" i="32"/>
  <c r="Q196" i="53"/>
  <c r="S136" i="50"/>
  <c r="V135" i="50"/>
  <c r="S126" i="32"/>
  <c r="V126" i="32" s="1"/>
  <c r="P197" i="53"/>
  <c r="H197" i="53"/>
  <c r="C197" i="53"/>
  <c r="I197" i="53"/>
  <c r="F197" i="53"/>
  <c r="K197" i="53"/>
  <c r="L197" i="53"/>
  <c r="D197" i="53"/>
  <c r="AK196" i="52" a="1"/>
  <c r="AK196" i="52" s="1"/>
  <c r="B198" i="53" s="1"/>
  <c r="O198" i="53" s="1"/>
  <c r="J197" i="53"/>
  <c r="G197" i="53"/>
  <c r="A127" i="32"/>
  <c r="B127" i="32"/>
  <c r="J137" i="50"/>
  <c r="F137" i="50"/>
  <c r="M137" i="50"/>
  <c r="H137" i="50"/>
  <c r="K137" i="50"/>
  <c r="I137" i="50"/>
  <c r="G137" i="50"/>
  <c r="A137" i="50"/>
  <c r="Q137" i="50" s="1"/>
  <c r="P137" i="50" s="1"/>
  <c r="N137" i="50"/>
  <c r="L137" i="50"/>
  <c r="B137" i="50"/>
  <c r="R137" i="50" s="1"/>
  <c r="M127" i="32"/>
  <c r="F127" i="32"/>
  <c r="N127" i="32"/>
  <c r="H127" i="32"/>
  <c r="J127" i="32"/>
  <c r="G127" i="32"/>
  <c r="L127" i="32"/>
  <c r="O127" i="32"/>
  <c r="I127" i="32"/>
  <c r="K127" i="32"/>
  <c r="V11" i="11"/>
  <c r="V259" i="11" s="1"/>
  <c r="U11" i="11"/>
  <c r="Z135" i="50"/>
  <c r="W135" i="50"/>
  <c r="X135" i="50" s="1"/>
  <c r="J197" i="57"/>
  <c r="E197" i="57"/>
  <c r="P197" i="57"/>
  <c r="K197" i="57"/>
  <c r="G197" i="57"/>
  <c r="C197" i="57"/>
  <c r="M197" i="57" s="1"/>
  <c r="I197" i="57"/>
  <c r="D197" i="57"/>
  <c r="F197" i="57"/>
  <c r="H197" i="57"/>
  <c r="T195" i="57"/>
  <c r="Q196" i="57"/>
  <c r="AK196" i="55" a="1"/>
  <c r="AK196" i="55" s="1"/>
  <c r="B198" i="57" s="1"/>
  <c r="W125" i="32"/>
  <c r="X125" i="32" s="1"/>
  <c r="Z125" i="32"/>
  <c r="Q180" i="69"/>
  <c r="R180" i="69"/>
  <c r="S180" i="69" s="1"/>
  <c r="Y180" i="69" s="1"/>
  <c r="AB180" i="69" s="1"/>
  <c r="AC180" i="69" s="1"/>
  <c r="AD180" i="69" s="1"/>
  <c r="U180" i="69"/>
  <c r="AE180" i="69"/>
  <c r="P181" i="69"/>
  <c r="N181" i="69"/>
  <c r="AF181" i="69" s="1"/>
  <c r="D181" i="69"/>
  <c r="E181" i="69" s="1"/>
  <c r="F181" i="69" s="1"/>
  <c r="G181" i="69" s="1"/>
  <c r="H181" i="69" s="1"/>
  <c r="I181" i="69" s="1"/>
  <c r="J181" i="69" s="1"/>
  <c r="K181" i="69" s="1"/>
  <c r="M181" i="69" s="1"/>
  <c r="O182" i="69"/>
  <c r="C182" i="69"/>
  <c r="AO182" i="69" s="1"/>
  <c r="AN182" i="67" a="1"/>
  <c r="AN182" i="67" s="1"/>
  <c r="B183" i="69"/>
  <c r="L183" i="69" s="1"/>
  <c r="U179" i="65"/>
  <c r="R179" i="65"/>
  <c r="S179" i="65" s="1"/>
  <c r="Y179" i="65" s="1"/>
  <c r="AB179" i="65" s="1"/>
  <c r="AC179" i="65" s="1"/>
  <c r="AD179" i="65" s="1"/>
  <c r="Q179" i="65"/>
  <c r="P180" i="65"/>
  <c r="D180" i="65"/>
  <c r="E180" i="65" s="1"/>
  <c r="F180" i="65" s="1"/>
  <c r="G180" i="65" s="1"/>
  <c r="H180" i="65" s="1"/>
  <c r="I180" i="65" s="1"/>
  <c r="J180" i="65" s="1"/>
  <c r="K180" i="65" s="1"/>
  <c r="M180" i="65" s="1"/>
  <c r="N180" i="65"/>
  <c r="C181" i="65"/>
  <c r="AM181" i="65" s="1"/>
  <c r="O181" i="65"/>
  <c r="AN181" i="63" a="1"/>
  <c r="AN181" i="63" s="1"/>
  <c r="B182" i="65"/>
  <c r="L182" i="65" s="1"/>
  <c r="AL127" i="11" a="1"/>
  <c r="AL127" i="11" s="1"/>
  <c r="E128" i="32" s="1"/>
  <c r="AK128" i="32" s="1"/>
  <c r="L56" i="22"/>
  <c r="L53" i="22"/>
  <c r="L54" i="22"/>
  <c r="L15" i="22"/>
  <c r="L45" i="22"/>
  <c r="L59" i="22"/>
  <c r="L39" i="22"/>
  <c r="L98" i="22"/>
  <c r="L80" i="22"/>
  <c r="L68" i="22"/>
  <c r="L99" i="22"/>
  <c r="L61" i="22"/>
  <c r="L73" i="22"/>
  <c r="L71" i="22"/>
  <c r="L41" i="22"/>
  <c r="L37" i="22"/>
  <c r="L74" i="22"/>
  <c r="L24" i="22"/>
  <c r="L55" i="22"/>
  <c r="L70" i="22"/>
  <c r="L82" i="22"/>
  <c r="L97" i="22"/>
  <c r="L25" i="22"/>
  <c r="L84" i="22"/>
  <c r="L86" i="22"/>
  <c r="L78" i="22"/>
  <c r="L51" i="22"/>
  <c r="L96" i="22"/>
  <c r="L38" i="22"/>
  <c r="L28" i="22"/>
  <c r="L89" i="22"/>
  <c r="L62" i="22"/>
  <c r="L87" i="22"/>
  <c r="L19" i="22"/>
  <c r="L48" i="22"/>
  <c r="L91" i="22"/>
  <c r="L50" i="22"/>
  <c r="L27" i="22"/>
  <c r="L72" i="22"/>
  <c r="L85" i="22"/>
  <c r="L46" i="22"/>
  <c r="L26" i="22"/>
  <c r="L94" i="22"/>
  <c r="L66" i="22"/>
  <c r="L81" i="22"/>
  <c r="L17" i="22"/>
  <c r="L31" i="22"/>
  <c r="L49" i="22"/>
  <c r="L64" i="22"/>
  <c r="L42" i="22"/>
  <c r="L21" i="22"/>
  <c r="L22" i="22"/>
  <c r="L30" i="22"/>
  <c r="L44" i="22"/>
  <c r="L69" i="22"/>
  <c r="L20" i="22"/>
  <c r="L34" i="22"/>
  <c r="L52" i="22"/>
  <c r="L67" i="22"/>
  <c r="L95" i="22"/>
  <c r="L16" i="22"/>
  <c r="AL137" i="59" a="1"/>
  <c r="AL137" i="59" s="1"/>
  <c r="E138" i="50" s="1"/>
  <c r="AK138" i="50" s="1"/>
  <c r="AM27" i="59" a="1"/>
  <c r="AM27" i="59" s="1"/>
  <c r="L11" i="22"/>
  <c r="L35" i="22"/>
  <c r="L10" i="22"/>
  <c r="L12" i="22"/>
  <c r="L23" i="22"/>
  <c r="L13" i="22"/>
  <c r="AD258" i="11"/>
  <c r="AD13" i="11"/>
  <c r="AD17" i="11"/>
  <c r="AD24" i="11"/>
  <c r="AD22" i="11"/>
  <c r="AD31" i="11"/>
  <c r="AD32" i="11"/>
  <c r="AD64" i="11"/>
  <c r="AD96" i="11"/>
  <c r="AD128" i="11"/>
  <c r="AD160" i="11"/>
  <c r="AD192" i="11"/>
  <c r="AD224" i="11"/>
  <c r="AD248" i="11"/>
  <c r="AD58" i="11"/>
  <c r="AD138" i="11"/>
  <c r="AD202" i="11"/>
  <c r="AD33" i="11"/>
  <c r="AD49" i="11"/>
  <c r="AD65" i="11"/>
  <c r="AD81" i="11"/>
  <c r="AD97" i="11"/>
  <c r="AD113" i="11"/>
  <c r="AD129" i="11"/>
  <c r="AD145" i="11"/>
  <c r="AD161" i="11"/>
  <c r="AD177" i="11"/>
  <c r="AD193" i="11"/>
  <c r="AD209" i="11"/>
  <c r="AD225" i="11"/>
  <c r="AD257" i="11"/>
  <c r="AD35" i="11"/>
  <c r="AD51" i="11"/>
  <c r="AD67" i="11"/>
  <c r="AD83" i="11"/>
  <c r="AD99" i="11"/>
  <c r="AD115" i="11"/>
  <c r="AD131" i="11"/>
  <c r="AD147" i="11"/>
  <c r="AD163" i="11"/>
  <c r="AD179" i="11"/>
  <c r="AD195" i="11"/>
  <c r="AD211" i="11"/>
  <c r="AD227" i="11"/>
  <c r="AD243" i="11"/>
  <c r="AD60" i="11"/>
  <c r="AD92" i="11"/>
  <c r="AD124" i="11"/>
  <c r="AD156" i="11"/>
  <c r="AD180" i="11"/>
  <c r="AD212" i="11"/>
  <c r="AD236" i="11"/>
  <c r="AD229" i="11"/>
  <c r="AD26" i="11"/>
  <c r="AD82" i="11"/>
  <c r="AD146" i="11"/>
  <c r="AD242" i="11"/>
  <c r="AD36" i="11"/>
  <c r="AD52" i="11"/>
  <c r="AD84" i="11"/>
  <c r="AD116" i="11"/>
  <c r="AD148" i="11"/>
  <c r="AD188" i="11"/>
  <c r="AD220" i="11"/>
  <c r="AD245" i="11"/>
  <c r="AD42" i="11"/>
  <c r="AD122" i="11"/>
  <c r="AD186" i="11"/>
  <c r="AD250" i="11"/>
  <c r="AD37" i="11"/>
  <c r="AD53" i="11"/>
  <c r="AD69" i="11"/>
  <c r="AD85" i="11"/>
  <c r="AD101" i="11"/>
  <c r="AD117" i="11"/>
  <c r="AD133" i="11"/>
  <c r="AD149" i="11"/>
  <c r="AD165" i="11"/>
  <c r="AD181" i="11"/>
  <c r="AD197" i="11"/>
  <c r="AD213" i="11"/>
  <c r="AD237" i="11"/>
  <c r="AD34" i="11"/>
  <c r="AD114" i="11"/>
  <c r="AD210" i="11"/>
  <c r="AD38" i="11"/>
  <c r="AD54" i="11"/>
  <c r="AD70" i="11"/>
  <c r="AD86" i="11"/>
  <c r="AD102" i="11"/>
  <c r="AD118" i="11"/>
  <c r="AD134" i="11"/>
  <c r="AD150" i="11"/>
  <c r="AD166" i="11"/>
  <c r="AD182" i="11"/>
  <c r="AD198" i="11"/>
  <c r="AD214" i="11"/>
  <c r="AD230" i="11"/>
  <c r="AD66" i="11"/>
  <c r="AD178" i="11"/>
  <c r="AD39" i="11"/>
  <c r="AD55" i="11"/>
  <c r="AD71" i="11"/>
  <c r="AD87" i="11"/>
  <c r="AD103" i="11"/>
  <c r="AD119" i="11"/>
  <c r="AD135" i="11"/>
  <c r="AD151" i="11"/>
  <c r="AD167" i="11"/>
  <c r="AD183" i="11"/>
  <c r="AD199" i="11"/>
  <c r="AD215" i="11"/>
  <c r="AD231" i="11"/>
  <c r="AD247" i="11"/>
  <c r="AD40" i="11"/>
  <c r="AD72" i="11"/>
  <c r="AD104" i="11"/>
  <c r="AD136" i="11"/>
  <c r="AD168" i="11"/>
  <c r="AD200" i="11"/>
  <c r="AD240" i="11"/>
  <c r="AD233" i="11"/>
  <c r="AD12" i="11"/>
  <c r="AD11" i="11"/>
  <c r="AD16" i="11"/>
  <c r="AD14" i="11"/>
  <c r="AD19" i="11"/>
  <c r="AD20" i="11"/>
  <c r="AD21" i="11"/>
  <c r="AD15" i="11"/>
  <c r="AD48" i="11"/>
  <c r="AD80" i="11"/>
  <c r="AD112" i="11"/>
  <c r="AD144" i="11"/>
  <c r="AD176" i="11"/>
  <c r="AD208" i="11"/>
  <c r="AD232" i="11"/>
  <c r="AD241" i="11"/>
  <c r="AD98" i="11"/>
  <c r="AD170" i="11"/>
  <c r="AD234" i="11"/>
  <c r="AD41" i="11"/>
  <c r="AD57" i="11"/>
  <c r="AD73" i="11"/>
  <c r="AD89" i="11"/>
  <c r="AD105" i="11"/>
  <c r="AD121" i="11"/>
  <c r="AD137" i="11"/>
  <c r="AD153" i="11"/>
  <c r="AD169" i="11"/>
  <c r="AD185" i="11"/>
  <c r="AD201" i="11"/>
  <c r="AD217" i="11"/>
  <c r="AD249" i="11"/>
  <c r="H125" i="22"/>
  <c r="AD27" i="11"/>
  <c r="AD43" i="11"/>
  <c r="AD59" i="11"/>
  <c r="AD75" i="11"/>
  <c r="AD91" i="11"/>
  <c r="AD107" i="11"/>
  <c r="AD123" i="11"/>
  <c r="AD139" i="11"/>
  <c r="AD155" i="11"/>
  <c r="AD171" i="11"/>
  <c r="AD187" i="11"/>
  <c r="AD203" i="11"/>
  <c r="AD219" i="11"/>
  <c r="AD235" i="11"/>
  <c r="AD251" i="11"/>
  <c r="AD76" i="11"/>
  <c r="AD108" i="11"/>
  <c r="AD140" i="11"/>
  <c r="AD164" i="11"/>
  <c r="AD196" i="11"/>
  <c r="AD228" i="11"/>
  <c r="AD252" i="11"/>
  <c r="AD246" i="11"/>
  <c r="H43" i="22"/>
  <c r="AD50" i="11"/>
  <c r="AD106" i="11"/>
  <c r="AD194" i="11"/>
  <c r="AD28" i="11"/>
  <c r="AD44" i="11"/>
  <c r="AD68" i="11"/>
  <c r="AD100" i="11"/>
  <c r="AD132" i="11"/>
  <c r="AD172" i="11"/>
  <c r="AD204" i="11"/>
  <c r="AD244" i="11"/>
  <c r="AD238" i="11"/>
  <c r="AD90" i="11"/>
  <c r="AD154" i="11"/>
  <c r="AD218" i="11"/>
  <c r="AD29" i="11"/>
  <c r="AD45" i="11"/>
  <c r="AD61" i="11"/>
  <c r="AD77" i="11"/>
  <c r="AD109" i="11"/>
  <c r="AD125" i="11"/>
  <c r="AD141" i="11"/>
  <c r="AD157" i="11"/>
  <c r="AD173" i="11"/>
  <c r="AD189" i="11"/>
  <c r="AD205" i="11"/>
  <c r="AD221" i="11"/>
  <c r="AD253" i="11"/>
  <c r="AD74" i="11"/>
  <c r="AD162" i="11"/>
  <c r="H102" i="22"/>
  <c r="AD30" i="11"/>
  <c r="AD46" i="11"/>
  <c r="AD62" i="11"/>
  <c r="AD78" i="11"/>
  <c r="AD94" i="11"/>
  <c r="AD110" i="11"/>
  <c r="AD126" i="11"/>
  <c r="AD142" i="11"/>
  <c r="AD158" i="11"/>
  <c r="AD174" i="11"/>
  <c r="AD190" i="11"/>
  <c r="AD206" i="11"/>
  <c r="AD222" i="11"/>
  <c r="AD254" i="11"/>
  <c r="AD130" i="11"/>
  <c r="AD226" i="11"/>
  <c r="AD47" i="11"/>
  <c r="AD63" i="11"/>
  <c r="AD79" i="11"/>
  <c r="AD95" i="11"/>
  <c r="AD111" i="11"/>
  <c r="AD127" i="11"/>
  <c r="AD143" i="11"/>
  <c r="AD159" i="11"/>
  <c r="AD175" i="11"/>
  <c r="AD191" i="11"/>
  <c r="AD207" i="11"/>
  <c r="AD223" i="11"/>
  <c r="AD239" i="11"/>
  <c r="AD255" i="11"/>
  <c r="AD56" i="11"/>
  <c r="AD88" i="11"/>
  <c r="AD120" i="11"/>
  <c r="AD152" i="11"/>
  <c r="AD184" i="11"/>
  <c r="AD216" i="11"/>
  <c r="AD256" i="11"/>
  <c r="AD25" i="11"/>
  <c r="AD23" i="11"/>
  <c r="AM11" i="11" a="1"/>
  <c r="AM11" i="11" s="1"/>
  <c r="AD18" i="11"/>
  <c r="L14" i="22"/>
  <c r="AF195" i="53" l="1"/>
  <c r="H129" i="22"/>
  <c r="H107" i="22"/>
  <c r="AA195" i="53"/>
  <c r="AI134" i="50"/>
  <c r="AP134" i="50" s="1"/>
  <c r="AF180" i="65"/>
  <c r="AE180" i="65"/>
  <c r="AE197" i="57"/>
  <c r="R197" i="57"/>
  <c r="AE197" i="53"/>
  <c r="R197" i="53"/>
  <c r="AG135" i="50"/>
  <c r="AH135" i="50" s="1"/>
  <c r="AL135" i="50"/>
  <c r="AG125" i="32"/>
  <c r="AH125" i="32" s="1"/>
  <c r="AL125" i="32"/>
  <c r="AB194" i="57"/>
  <c r="AF194" i="57"/>
  <c r="AG180" i="69"/>
  <c r="AG179" i="65"/>
  <c r="P127" i="32"/>
  <c r="U259" i="11"/>
  <c r="D25" i="36" s="1"/>
  <c r="Q11" i="11"/>
  <c r="F27" i="22"/>
  <c r="D28" i="36"/>
  <c r="AI124" i="32"/>
  <c r="AN124" i="32" s="1"/>
  <c r="H113" i="22"/>
  <c r="AX181" i="69"/>
  <c r="AA194" i="57"/>
  <c r="O198" i="57"/>
  <c r="AG198" i="57" s="1"/>
  <c r="L198" i="57"/>
  <c r="O138" i="50"/>
  <c r="T138" i="50"/>
  <c r="T128" i="32"/>
  <c r="X195" i="57"/>
  <c r="AF195" i="57" s="1"/>
  <c r="AM127" i="32"/>
  <c r="U127" i="32"/>
  <c r="AD136" i="50"/>
  <c r="AM137" i="50"/>
  <c r="U137" i="50"/>
  <c r="AD126" i="32"/>
  <c r="AC197" i="57"/>
  <c r="AJ197" i="57"/>
  <c r="AP197" i="57"/>
  <c r="AH180" i="65"/>
  <c r="AV180" i="65"/>
  <c r="T12" i="32"/>
  <c r="U12" i="32" s="1"/>
  <c r="AD12" i="32" s="1"/>
  <c r="AG197" i="53"/>
  <c r="AH197" i="53"/>
  <c r="AC197" i="53"/>
  <c r="AT197" i="53"/>
  <c r="N198" i="57"/>
  <c r="G198" i="53"/>
  <c r="N198" i="53"/>
  <c r="AH181" i="69"/>
  <c r="AJ136" i="50"/>
  <c r="C136" i="50"/>
  <c r="AJ126" i="32"/>
  <c r="C126" i="32"/>
  <c r="AD197" i="57"/>
  <c r="AD197" i="53"/>
  <c r="X196" i="53"/>
  <c r="AF196" i="53" s="1"/>
  <c r="S137" i="50"/>
  <c r="V136" i="50"/>
  <c r="S127" i="32"/>
  <c r="V127" i="32" s="1"/>
  <c r="Q197" i="53"/>
  <c r="F198" i="53"/>
  <c r="H198" i="53"/>
  <c r="AK197" i="52" a="1"/>
  <c r="AK197" i="52" s="1"/>
  <c r="B199" i="53" s="1"/>
  <c r="O199" i="53" s="1"/>
  <c r="K198" i="53"/>
  <c r="J198" i="53"/>
  <c r="D198" i="53"/>
  <c r="L198" i="53"/>
  <c r="I198" i="53"/>
  <c r="C198" i="53"/>
  <c r="P198" i="53"/>
  <c r="E198" i="53"/>
  <c r="A128" i="32"/>
  <c r="B128" i="32"/>
  <c r="H138" i="50"/>
  <c r="I138" i="50"/>
  <c r="M138" i="50"/>
  <c r="F138" i="50"/>
  <c r="G138" i="50"/>
  <c r="N138" i="50"/>
  <c r="J138" i="50"/>
  <c r="K138" i="50"/>
  <c r="B138" i="50"/>
  <c r="R138" i="50" s="1"/>
  <c r="A138" i="50"/>
  <c r="Q138" i="50" s="1"/>
  <c r="P138" i="50" s="1"/>
  <c r="L138" i="50"/>
  <c r="K128" i="32"/>
  <c r="L128" i="32"/>
  <c r="F128" i="32"/>
  <c r="N128" i="32"/>
  <c r="H128" i="32"/>
  <c r="M128" i="32"/>
  <c r="J128" i="32"/>
  <c r="I128" i="32"/>
  <c r="O128" i="32"/>
  <c r="G128" i="32"/>
  <c r="T196" i="57"/>
  <c r="D198" i="57"/>
  <c r="J198" i="57"/>
  <c r="G198" i="57"/>
  <c r="P198" i="57"/>
  <c r="K198" i="57"/>
  <c r="F198" i="57"/>
  <c r="H198" i="57"/>
  <c r="I198" i="57"/>
  <c r="E198" i="57"/>
  <c r="C198" i="57"/>
  <c r="M198" i="57" s="1"/>
  <c r="Q197" i="57"/>
  <c r="Z136" i="50"/>
  <c r="W136" i="50"/>
  <c r="X136" i="50" s="1"/>
  <c r="H131" i="22"/>
  <c r="H114" i="22"/>
  <c r="AK197" i="55" a="1"/>
  <c r="AK197" i="55" s="1"/>
  <c r="B199" i="57" s="1"/>
  <c r="W126" i="32"/>
  <c r="X126" i="32" s="1"/>
  <c r="Z126" i="32"/>
  <c r="P182" i="69"/>
  <c r="N182" i="69"/>
  <c r="AF182" i="69" s="1"/>
  <c r="D182" i="69"/>
  <c r="E182" i="69" s="1"/>
  <c r="F182" i="69" s="1"/>
  <c r="G182" i="69" s="1"/>
  <c r="H182" i="69" s="1"/>
  <c r="I182" i="69" s="1"/>
  <c r="J182" i="69" s="1"/>
  <c r="K182" i="69" s="1"/>
  <c r="M182" i="69" s="1"/>
  <c r="R181" i="69"/>
  <c r="S181" i="69" s="1"/>
  <c r="Y181" i="69" s="1"/>
  <c r="AB181" i="69" s="1"/>
  <c r="AC181" i="69" s="1"/>
  <c r="AD181" i="69" s="1"/>
  <c r="Q181" i="69"/>
  <c r="U181" i="69"/>
  <c r="AE181" i="69"/>
  <c r="O183" i="69"/>
  <c r="C183" i="69"/>
  <c r="AO183" i="69" s="1"/>
  <c r="AN183" i="67" a="1"/>
  <c r="AN183" i="67" s="1"/>
  <c r="B184" i="69"/>
  <c r="L184" i="69" s="1"/>
  <c r="AN182" i="63" a="1"/>
  <c r="AN182" i="63" s="1"/>
  <c r="B183" i="65"/>
  <c r="L183" i="65" s="1"/>
  <c r="P181" i="65"/>
  <c r="N181" i="65"/>
  <c r="D181" i="65"/>
  <c r="E181" i="65" s="1"/>
  <c r="F181" i="65" s="1"/>
  <c r="G181" i="65" s="1"/>
  <c r="H181" i="65" s="1"/>
  <c r="I181" i="65" s="1"/>
  <c r="J181" i="65" s="1"/>
  <c r="K181" i="65" s="1"/>
  <c r="M181" i="65" s="1"/>
  <c r="U180" i="65"/>
  <c r="Q180" i="65"/>
  <c r="R180" i="65"/>
  <c r="S180" i="65" s="1"/>
  <c r="Y180" i="65" s="1"/>
  <c r="AB180" i="65" s="1"/>
  <c r="AC180" i="65" s="1"/>
  <c r="AD180" i="65" s="1"/>
  <c r="O182" i="65"/>
  <c r="C182" i="65"/>
  <c r="AM182" i="65" s="1"/>
  <c r="L92" i="22"/>
  <c r="H101" i="22"/>
  <c r="L125" i="22"/>
  <c r="AL128" i="11" a="1"/>
  <c r="AL128" i="11" s="1"/>
  <c r="E129" i="32" s="1"/>
  <c r="AK129" i="32" s="1"/>
  <c r="H78" i="22"/>
  <c r="H68" i="22"/>
  <c r="H96" i="22"/>
  <c r="H99" i="22"/>
  <c r="H97" i="22"/>
  <c r="H39" i="22"/>
  <c r="H55" i="22"/>
  <c r="H66" i="22"/>
  <c r="H98" i="22"/>
  <c r="H94" i="22"/>
  <c r="H86" i="22"/>
  <c r="J60" i="22"/>
  <c r="AX153" i="22" s="1"/>
  <c r="H92" i="22"/>
  <c r="H91" i="22"/>
  <c r="H76" i="22"/>
  <c r="H71" i="22"/>
  <c r="H32" i="22"/>
  <c r="H44" i="22"/>
  <c r="H70" i="22"/>
  <c r="H67" i="22"/>
  <c r="H36" i="22"/>
  <c r="H31" i="22"/>
  <c r="H30" i="22"/>
  <c r="H23" i="22"/>
  <c r="H87" i="22"/>
  <c r="H84" i="22"/>
  <c r="H40" i="22"/>
  <c r="L75" i="22"/>
  <c r="L7" i="22"/>
  <c r="L8" i="22"/>
  <c r="L5" i="22"/>
  <c r="H16" i="22"/>
  <c r="H11" i="22"/>
  <c r="H74" i="22"/>
  <c r="H79" i="22"/>
  <c r="H89" i="22"/>
  <c r="H19" i="22"/>
  <c r="H10" i="22"/>
  <c r="H63" i="22"/>
  <c r="H29" i="22"/>
  <c r="H100" i="22"/>
  <c r="H42" i="22"/>
  <c r="H33" i="22"/>
  <c r="H48" i="22"/>
  <c r="H35" i="22"/>
  <c r="H77" i="22"/>
  <c r="H88" i="22"/>
  <c r="H13" i="22"/>
  <c r="H64" i="22"/>
  <c r="H62" i="22"/>
  <c r="H61" i="22"/>
  <c r="H45" i="22"/>
  <c r="H73" i="22"/>
  <c r="H28" i="22"/>
  <c r="AL138" i="59" a="1"/>
  <c r="AL138" i="59" s="1"/>
  <c r="E139" i="50" s="1"/>
  <c r="AK139" i="50" s="1"/>
  <c r="H9" i="22"/>
  <c r="H6" i="22"/>
  <c r="H60" i="22"/>
  <c r="H22" i="22"/>
  <c r="H54" i="22"/>
  <c r="H12" i="22"/>
  <c r="H58" i="22"/>
  <c r="H14" i="22"/>
  <c r="H38" i="22"/>
  <c r="H15" i="22"/>
  <c r="H80" i="22"/>
  <c r="H17" i="22"/>
  <c r="H37" i="22"/>
  <c r="H82" i="22"/>
  <c r="H47" i="22"/>
  <c r="H24" i="22"/>
  <c r="H46" i="22"/>
  <c r="H83" i="22"/>
  <c r="H95" i="22"/>
  <c r="L6" i="22"/>
  <c r="L4" i="22"/>
  <c r="H5" i="22"/>
  <c r="H18" i="22"/>
  <c r="H56" i="22"/>
  <c r="AM28" i="59" a="1"/>
  <c r="AM28" i="59" s="1"/>
  <c r="H21" i="22"/>
  <c r="H90" i="22"/>
  <c r="H7" i="22"/>
  <c r="L77" i="22"/>
  <c r="L90" i="22"/>
  <c r="L63" i="22"/>
  <c r="L79" i="22"/>
  <c r="L76" i="22"/>
  <c r="H50" i="22"/>
  <c r="H34" i="22"/>
  <c r="H53" i="22"/>
  <c r="H25" i="22"/>
  <c r="H20" i="22"/>
  <c r="H27" i="22"/>
  <c r="H26" i="22"/>
  <c r="H85" i="22"/>
  <c r="H93" i="22"/>
  <c r="H69" i="22"/>
  <c r="H75" i="22"/>
  <c r="L93" i="22"/>
  <c r="L100" i="22"/>
  <c r="H59" i="22"/>
  <c r="H52" i="22"/>
  <c r="H41" i="22"/>
  <c r="H57" i="22"/>
  <c r="L65" i="22"/>
  <c r="H65" i="22"/>
  <c r="H72" i="22"/>
  <c r="L58" i="22"/>
  <c r="H51" i="22"/>
  <c r="H49" i="22"/>
  <c r="H8" i="22"/>
  <c r="L9" i="22"/>
  <c r="AM12" i="11" a="1"/>
  <c r="AM12" i="11" s="1"/>
  <c r="AM13" i="11" s="1" a="1"/>
  <c r="AM13" i="11" s="1"/>
  <c r="H4" i="22"/>
  <c r="F88" i="22" l="1"/>
  <c r="F107" i="22"/>
  <c r="F15" i="22"/>
  <c r="F24" i="22"/>
  <c r="AI125" i="32"/>
  <c r="AN125" i="32" s="1"/>
  <c r="AI135" i="50"/>
  <c r="AP135" i="50" s="1"/>
  <c r="X197" i="53"/>
  <c r="AB197" i="53" s="1"/>
  <c r="AF181" i="65"/>
  <c r="AE181" i="65"/>
  <c r="F129" i="22"/>
  <c r="F74" i="22"/>
  <c r="AE198" i="57"/>
  <c r="R198" i="57"/>
  <c r="AE198" i="53"/>
  <c r="R198" i="53"/>
  <c r="F21" i="22"/>
  <c r="F94" i="22"/>
  <c r="AL126" i="32"/>
  <c r="AG136" i="50"/>
  <c r="AH136" i="50" s="1"/>
  <c r="AL136" i="50"/>
  <c r="AG12" i="32"/>
  <c r="AH12" i="32" s="1"/>
  <c r="AG181" i="69"/>
  <c r="AG180" i="65"/>
  <c r="P128" i="32"/>
  <c r="F35" i="22"/>
  <c r="F20" i="22"/>
  <c r="N12" i="32"/>
  <c r="X11" i="11"/>
  <c r="J84" i="22"/>
  <c r="AX16" i="22" s="1"/>
  <c r="J113" i="22"/>
  <c r="AX67" i="22" s="1"/>
  <c r="AG126" i="32"/>
  <c r="AH126" i="32" s="1"/>
  <c r="AX182" i="69"/>
  <c r="O199" i="57"/>
  <c r="AG199" i="57" s="1"/>
  <c r="L199" i="57"/>
  <c r="O139" i="50"/>
  <c r="T139" i="50"/>
  <c r="T129" i="32"/>
  <c r="X196" i="57"/>
  <c r="AJ198" i="57"/>
  <c r="AC198" i="57"/>
  <c r="AP198" i="57"/>
  <c r="AD127" i="32"/>
  <c r="AM128" i="32"/>
  <c r="U128" i="32"/>
  <c r="AB195" i="57"/>
  <c r="AA195" i="57"/>
  <c r="AM138" i="50"/>
  <c r="U138" i="50"/>
  <c r="AD137" i="50"/>
  <c r="AH181" i="65"/>
  <c r="AV181" i="65"/>
  <c r="AM12" i="50"/>
  <c r="AP12" i="50" s="1"/>
  <c r="AB196" i="53"/>
  <c r="AA196" i="53"/>
  <c r="AH198" i="53"/>
  <c r="AT198" i="53"/>
  <c r="AC198" i="53"/>
  <c r="AG198" i="53"/>
  <c r="N199" i="57"/>
  <c r="N199" i="53"/>
  <c r="AH182" i="69"/>
  <c r="AJ137" i="50"/>
  <c r="C137" i="50"/>
  <c r="AJ127" i="32"/>
  <c r="C127" i="32"/>
  <c r="AD198" i="57"/>
  <c r="Q198" i="53"/>
  <c r="AD198" i="53"/>
  <c r="S138" i="50"/>
  <c r="V137" i="50"/>
  <c r="S128" i="32"/>
  <c r="V128" i="32" s="1"/>
  <c r="AK198" i="52" a="1"/>
  <c r="AK198" i="52" s="1"/>
  <c r="B200" i="53" s="1"/>
  <c r="O200" i="53" s="1"/>
  <c r="G199" i="53"/>
  <c r="D199" i="53"/>
  <c r="J199" i="53"/>
  <c r="I199" i="53"/>
  <c r="C199" i="53"/>
  <c r="F199" i="53"/>
  <c r="L199" i="53"/>
  <c r="H199" i="53"/>
  <c r="E199" i="53"/>
  <c r="P199" i="53"/>
  <c r="K199" i="53"/>
  <c r="A129" i="32"/>
  <c r="B129" i="32"/>
  <c r="I139" i="50"/>
  <c r="N139" i="50"/>
  <c r="H139" i="50"/>
  <c r="A139" i="50"/>
  <c r="Q139" i="50" s="1"/>
  <c r="P139" i="50" s="1"/>
  <c r="L139" i="50"/>
  <c r="B139" i="50"/>
  <c r="R139" i="50" s="1"/>
  <c r="G139" i="50"/>
  <c r="F139" i="50"/>
  <c r="K139" i="50"/>
  <c r="M139" i="50"/>
  <c r="J139" i="50"/>
  <c r="I129" i="32"/>
  <c r="J129" i="32"/>
  <c r="L129" i="32"/>
  <c r="F129" i="32"/>
  <c r="N129" i="32"/>
  <c r="H129" i="32"/>
  <c r="K129" i="32"/>
  <c r="O129" i="32"/>
  <c r="G129" i="32"/>
  <c r="M129" i="32"/>
  <c r="T197" i="57"/>
  <c r="Q198" i="57"/>
  <c r="I199" i="57"/>
  <c r="F199" i="57"/>
  <c r="D199" i="57"/>
  <c r="H199" i="57"/>
  <c r="E199" i="57"/>
  <c r="J199" i="57"/>
  <c r="P199" i="57"/>
  <c r="G199" i="57"/>
  <c r="K199" i="57"/>
  <c r="C199" i="57"/>
  <c r="M199" i="57" s="1"/>
  <c r="W137" i="50"/>
  <c r="X137" i="50" s="1"/>
  <c r="Z137" i="50"/>
  <c r="AK198" i="55" a="1"/>
  <c r="AK198" i="55" s="1"/>
  <c r="B200" i="57" s="1"/>
  <c r="W127" i="32"/>
  <c r="X127" i="32" s="1"/>
  <c r="Z127" i="32"/>
  <c r="AN184" i="67" a="1"/>
  <c r="AN184" i="67" s="1"/>
  <c r="B185" i="69"/>
  <c r="L185" i="69" s="1"/>
  <c r="D183" i="69"/>
  <c r="E183" i="69" s="1"/>
  <c r="F183" i="69" s="1"/>
  <c r="G183" i="69" s="1"/>
  <c r="H183" i="69" s="1"/>
  <c r="I183" i="69" s="1"/>
  <c r="J183" i="69" s="1"/>
  <c r="K183" i="69" s="1"/>
  <c r="M183" i="69" s="1"/>
  <c r="P183" i="69"/>
  <c r="N183" i="69"/>
  <c r="AF183" i="69" s="1"/>
  <c r="O184" i="69"/>
  <c r="C184" i="69"/>
  <c r="AO184" i="69" s="1"/>
  <c r="R182" i="69"/>
  <c r="S182" i="69" s="1"/>
  <c r="Y182" i="69" s="1"/>
  <c r="AB182" i="69" s="1"/>
  <c r="AC182" i="69" s="1"/>
  <c r="AD182" i="69" s="1"/>
  <c r="U182" i="69"/>
  <c r="Q182" i="69"/>
  <c r="AE182" i="69"/>
  <c r="U181" i="65"/>
  <c r="R181" i="65"/>
  <c r="S181" i="65" s="1"/>
  <c r="Y181" i="65" s="1"/>
  <c r="AB181" i="65" s="1"/>
  <c r="AC181" i="65" s="1"/>
  <c r="AD181" i="65" s="1"/>
  <c r="Q181" i="65"/>
  <c r="C183" i="65"/>
  <c r="AM183" i="65" s="1"/>
  <c r="O183" i="65"/>
  <c r="N182" i="65"/>
  <c r="D182" i="65"/>
  <c r="E182" i="65" s="1"/>
  <c r="F182" i="65" s="1"/>
  <c r="G182" i="65" s="1"/>
  <c r="H182" i="65" s="1"/>
  <c r="I182" i="65" s="1"/>
  <c r="J182" i="65" s="1"/>
  <c r="K182" i="65" s="1"/>
  <c r="M182" i="65" s="1"/>
  <c r="P182" i="65"/>
  <c r="AN183" i="63" a="1"/>
  <c r="AN183" i="63" s="1"/>
  <c r="B184" i="65"/>
  <c r="L184" i="65" s="1"/>
  <c r="J102" i="22"/>
  <c r="AX61" i="22" s="1"/>
  <c r="D69" i="36"/>
  <c r="J101" i="22"/>
  <c r="AX60" i="22" s="1"/>
  <c r="D67" i="36"/>
  <c r="AL129" i="11" a="1"/>
  <c r="AL129" i="11" s="1"/>
  <c r="E130" i="32" s="1"/>
  <c r="AK130" i="32" s="1"/>
  <c r="J73" i="22"/>
  <c r="AX129" i="22" s="1"/>
  <c r="J45" i="22"/>
  <c r="AX42" i="22" s="1"/>
  <c r="J62" i="22"/>
  <c r="AX95" i="22" s="1"/>
  <c r="J74" i="22"/>
  <c r="AX130" i="22" s="1"/>
  <c r="J42" i="22"/>
  <c r="AX39" i="22" s="1"/>
  <c r="J70" i="22"/>
  <c r="AX97" i="22" s="1"/>
  <c r="J100" i="22"/>
  <c r="AX19" i="22" s="1"/>
  <c r="J67" i="22"/>
  <c r="AX124" i="22" s="1"/>
  <c r="J86" i="22"/>
  <c r="AX51" i="22" s="1"/>
  <c r="J63" i="22"/>
  <c r="AX154" i="22" s="1"/>
  <c r="J29" i="22"/>
  <c r="AX87" i="22" s="1"/>
  <c r="J19" i="22"/>
  <c r="AX5" i="22" s="1"/>
  <c r="J28" i="22"/>
  <c r="AX86" i="22" s="1"/>
  <c r="J48" i="22"/>
  <c r="AX92" i="22" s="1"/>
  <c r="J77" i="22"/>
  <c r="AX156" i="22" s="1"/>
  <c r="J64" i="22"/>
  <c r="AX96" i="22" s="1"/>
  <c r="J13" i="22"/>
  <c r="AX115" i="22" s="1"/>
  <c r="J22" i="22"/>
  <c r="AX83" i="22" s="1"/>
  <c r="J79" i="22"/>
  <c r="AX134" i="22" s="1"/>
  <c r="J61" i="22"/>
  <c r="AX122" i="22" s="1"/>
  <c r="J89" i="22"/>
  <c r="AX53" i="22" s="1"/>
  <c r="J92" i="22"/>
  <c r="AX135" i="22" s="1"/>
  <c r="J94" i="22"/>
  <c r="AX99" i="22" s="1"/>
  <c r="J96" i="22"/>
  <c r="AX56" i="22" s="1"/>
  <c r="J91" i="22"/>
  <c r="AX55" i="22" s="1"/>
  <c r="J97" i="22"/>
  <c r="AX57" i="22" s="1"/>
  <c r="J55" i="22"/>
  <c r="AX48" i="22" s="1"/>
  <c r="J78" i="22"/>
  <c r="AX133" i="22" s="1"/>
  <c r="J68" i="22"/>
  <c r="AX125" i="22" s="1"/>
  <c r="J76" i="22"/>
  <c r="AX132" i="22" s="1"/>
  <c r="J71" i="22"/>
  <c r="AX128" i="22" s="1"/>
  <c r="J66" i="22"/>
  <c r="AX127" i="22" s="1"/>
  <c r="J43" i="22"/>
  <c r="AX40" i="22" s="1"/>
  <c r="J39" i="22"/>
  <c r="AX38" i="22" s="1"/>
  <c r="J36" i="22"/>
  <c r="AX119" i="22" s="1"/>
  <c r="J31" i="22"/>
  <c r="AX89" i="22" s="1"/>
  <c r="J30" i="22"/>
  <c r="AX88" i="22" s="1"/>
  <c r="J23" i="22"/>
  <c r="AX84" i="22" s="1"/>
  <c r="AL139" i="59" a="1"/>
  <c r="AL139" i="59" s="1"/>
  <c r="E140" i="50" s="1"/>
  <c r="AK140" i="50" s="1"/>
  <c r="J99" i="22"/>
  <c r="AX59" i="22" s="1"/>
  <c r="J9" i="22"/>
  <c r="AX112" i="22" s="1"/>
  <c r="J6" i="22"/>
  <c r="AX80" i="22" s="1"/>
  <c r="J12" i="22"/>
  <c r="AX114" i="22" s="1"/>
  <c r="J10" i="22"/>
  <c r="AX82" i="22" s="1"/>
  <c r="J16" i="22"/>
  <c r="AX118" i="22" s="1"/>
  <c r="J80" i="22"/>
  <c r="AX12" i="22" s="1"/>
  <c r="J38" i="22"/>
  <c r="AX146" i="22" s="1"/>
  <c r="J37" i="22"/>
  <c r="AX37" i="22" s="1"/>
  <c r="J44" i="22"/>
  <c r="AX41" i="22" s="1"/>
  <c r="J47" i="22"/>
  <c r="AX44" i="22" s="1"/>
  <c r="J46" i="22"/>
  <c r="AX43" i="22" s="1"/>
  <c r="J95" i="22"/>
  <c r="AX100" i="22" s="1"/>
  <c r="J83" i="22"/>
  <c r="AX15" i="22" s="1"/>
  <c r="J56" i="22"/>
  <c r="AX11" i="22" s="1"/>
  <c r="AM29" i="59" a="1"/>
  <c r="AM29" i="59" s="1"/>
  <c r="J82" i="22"/>
  <c r="AX14" i="22" s="1"/>
  <c r="J54" i="22"/>
  <c r="AX121" i="22" s="1"/>
  <c r="J24" i="22"/>
  <c r="AX34" i="22" s="1"/>
  <c r="J7" i="22"/>
  <c r="AX81" i="22" s="1"/>
  <c r="J90" i="22"/>
  <c r="AX54" i="22" s="1"/>
  <c r="J34" i="22"/>
  <c r="AX91" i="22" s="1"/>
  <c r="J17" i="22"/>
  <c r="AX32" i="22" s="1"/>
  <c r="J20" i="22"/>
  <c r="AX6" i="22" s="1"/>
  <c r="J25" i="22"/>
  <c r="AX85" i="22" s="1"/>
  <c r="J27" i="22"/>
  <c r="AX7" i="22" s="1"/>
  <c r="J59" i="22"/>
  <c r="AX123" i="22" s="1"/>
  <c r="J75" i="22"/>
  <c r="AX131" i="22" s="1"/>
  <c r="J41" i="22"/>
  <c r="AX120" i="22" s="1"/>
  <c r="J57" i="22"/>
  <c r="AX49" i="22" s="1"/>
  <c r="J93" i="22"/>
  <c r="AX98" i="22" s="1"/>
  <c r="J72" i="22"/>
  <c r="AX50" i="22" s="1"/>
  <c r="J49" i="22"/>
  <c r="AX93" i="22" s="1"/>
  <c r="J8" i="22"/>
  <c r="AX111" i="22" s="1"/>
  <c r="J85" i="22"/>
  <c r="AX17" i="22" s="1"/>
  <c r="J69" i="22"/>
  <c r="AX126" i="22" s="1"/>
  <c r="J52" i="22"/>
  <c r="AX46" i="22" s="1"/>
  <c r="J58" i="22"/>
  <c r="AX94" i="22" s="1"/>
  <c r="J65" i="22"/>
  <c r="AX155" i="22" s="1"/>
  <c r="J50" i="22"/>
  <c r="AX45" i="22" s="1"/>
  <c r="AM14" i="11" a="1"/>
  <c r="AM14" i="11" s="1"/>
  <c r="J88" i="22" l="1"/>
  <c r="AX52" i="22" s="1"/>
  <c r="J107" i="22"/>
  <c r="AX22" i="22" s="1"/>
  <c r="AA197" i="53"/>
  <c r="AF197" i="53"/>
  <c r="AI136" i="50"/>
  <c r="AP136" i="50" s="1"/>
  <c r="AK12" i="32"/>
  <c r="AL12" i="32" s="1"/>
  <c r="AI12" i="32"/>
  <c r="AF182" i="65"/>
  <c r="AE182" i="65"/>
  <c r="AE199" i="57"/>
  <c r="R199" i="57"/>
  <c r="AE199" i="53"/>
  <c r="R199" i="53"/>
  <c r="J35" i="22"/>
  <c r="AX8" i="22" s="1"/>
  <c r="J129" i="22"/>
  <c r="AX144" i="22" s="1"/>
  <c r="AG137" i="50"/>
  <c r="AH137" i="50" s="1"/>
  <c r="AL137" i="50"/>
  <c r="AG127" i="32"/>
  <c r="AH127" i="32" s="1"/>
  <c r="AL127" i="32"/>
  <c r="AA196" i="57"/>
  <c r="AF196" i="57"/>
  <c r="AG182" i="69"/>
  <c r="AG181" i="65"/>
  <c r="P129" i="32"/>
  <c r="AQ11" i="11"/>
  <c r="AI126" i="32"/>
  <c r="AN126" i="32" s="1"/>
  <c r="AB196" i="57"/>
  <c r="AX183" i="69"/>
  <c r="O200" i="57"/>
  <c r="AG200" i="57" s="1"/>
  <c r="L200" i="57"/>
  <c r="O140" i="50"/>
  <c r="T140" i="50"/>
  <c r="T130" i="32"/>
  <c r="X197" i="57"/>
  <c r="AJ199" i="57"/>
  <c r="AC199" i="57"/>
  <c r="AP199" i="57"/>
  <c r="AM139" i="50"/>
  <c r="U139" i="50"/>
  <c r="AM129" i="32"/>
  <c r="U129" i="32"/>
  <c r="AD128" i="32"/>
  <c r="AD138" i="50"/>
  <c r="AH182" i="65"/>
  <c r="AV182" i="65"/>
  <c r="AH199" i="53"/>
  <c r="AT199" i="53"/>
  <c r="AC199" i="53"/>
  <c r="AG199" i="53"/>
  <c r="X198" i="53"/>
  <c r="AF198" i="53" s="1"/>
  <c r="N200" i="57"/>
  <c r="N200" i="53"/>
  <c r="AH183" i="69"/>
  <c r="AJ138" i="50"/>
  <c r="C138" i="50"/>
  <c r="AJ128" i="32"/>
  <c r="C128" i="32"/>
  <c r="AD199" i="57"/>
  <c r="AD199" i="53"/>
  <c r="S139" i="50"/>
  <c r="V138" i="50"/>
  <c r="S129" i="32"/>
  <c r="Q199" i="53"/>
  <c r="AK199" i="52" a="1"/>
  <c r="AK199" i="52" s="1"/>
  <c r="B201" i="53" s="1"/>
  <c r="O201" i="53" s="1"/>
  <c r="E200" i="53"/>
  <c r="C200" i="53"/>
  <c r="D200" i="53"/>
  <c r="G200" i="53"/>
  <c r="H200" i="53"/>
  <c r="L200" i="53"/>
  <c r="J200" i="53"/>
  <c r="P200" i="53"/>
  <c r="K200" i="53"/>
  <c r="I200" i="53"/>
  <c r="F200" i="53"/>
  <c r="A130" i="32"/>
  <c r="B130" i="32"/>
  <c r="H140" i="50"/>
  <c r="A140" i="50"/>
  <c r="Q140" i="50" s="1"/>
  <c r="P140" i="50" s="1"/>
  <c r="G140" i="50"/>
  <c r="N140" i="50"/>
  <c r="M140" i="50"/>
  <c r="F140" i="50"/>
  <c r="K140" i="50"/>
  <c r="I140" i="50"/>
  <c r="L140" i="50"/>
  <c r="B140" i="50"/>
  <c r="R140" i="50" s="1"/>
  <c r="J140" i="50"/>
  <c r="G130" i="32"/>
  <c r="H130" i="32"/>
  <c r="J130" i="32"/>
  <c r="L130" i="32"/>
  <c r="I130" i="32"/>
  <c r="N130" i="32"/>
  <c r="O130" i="32"/>
  <c r="F130" i="32"/>
  <c r="K130" i="32"/>
  <c r="M130" i="32"/>
  <c r="T198" i="57"/>
  <c r="H200" i="57"/>
  <c r="F200" i="57"/>
  <c r="D200" i="57"/>
  <c r="P200" i="57"/>
  <c r="C200" i="57"/>
  <c r="M200" i="57" s="1"/>
  <c r="K200" i="57"/>
  <c r="J200" i="57"/>
  <c r="E200" i="57"/>
  <c r="I200" i="57"/>
  <c r="G200" i="57"/>
  <c r="Q199" i="57"/>
  <c r="Z138" i="50"/>
  <c r="W138" i="50"/>
  <c r="X138" i="50" s="1"/>
  <c r="J114" i="22"/>
  <c r="AX136" i="22" s="1"/>
  <c r="J11" i="22"/>
  <c r="AX113" i="22" s="1"/>
  <c r="AK199" i="55" a="1"/>
  <c r="AK199" i="55" s="1"/>
  <c r="B201" i="57" s="1"/>
  <c r="W128" i="32"/>
  <c r="X128" i="32" s="1"/>
  <c r="Z128" i="32"/>
  <c r="J131" i="22"/>
  <c r="AX103" i="22" s="1"/>
  <c r="U183" i="69"/>
  <c r="Q183" i="69"/>
  <c r="AE183" i="69"/>
  <c r="R183" i="69"/>
  <c r="S183" i="69" s="1"/>
  <c r="Y183" i="69" s="1"/>
  <c r="AB183" i="69" s="1"/>
  <c r="AC183" i="69" s="1"/>
  <c r="AD183" i="69" s="1"/>
  <c r="C185" i="69"/>
  <c r="AO185" i="69" s="1"/>
  <c r="O185" i="69"/>
  <c r="N184" i="69"/>
  <c r="AF184" i="69" s="1"/>
  <c r="D184" i="69"/>
  <c r="E184" i="69" s="1"/>
  <c r="F184" i="69" s="1"/>
  <c r="G184" i="69" s="1"/>
  <c r="H184" i="69" s="1"/>
  <c r="I184" i="69" s="1"/>
  <c r="J184" i="69" s="1"/>
  <c r="K184" i="69" s="1"/>
  <c r="M184" i="69" s="1"/>
  <c r="P184" i="69"/>
  <c r="AN185" i="67" a="1"/>
  <c r="AN185" i="67" s="1"/>
  <c r="B186" i="69"/>
  <c r="L186" i="69" s="1"/>
  <c r="AN184" i="63" a="1"/>
  <c r="AN184" i="63" s="1"/>
  <c r="B185" i="65"/>
  <c r="L185" i="65" s="1"/>
  <c r="N183" i="65"/>
  <c r="P183" i="65"/>
  <c r="D183" i="65"/>
  <c r="E183" i="65" s="1"/>
  <c r="F183" i="65" s="1"/>
  <c r="G183" i="65" s="1"/>
  <c r="H183" i="65" s="1"/>
  <c r="I183" i="65" s="1"/>
  <c r="J183" i="65" s="1"/>
  <c r="K183" i="65" s="1"/>
  <c r="M183" i="65" s="1"/>
  <c r="C184" i="65"/>
  <c r="AM184" i="65" s="1"/>
  <c r="O184" i="65"/>
  <c r="R182" i="65"/>
  <c r="S182" i="65" s="1"/>
  <c r="Y182" i="65" s="1"/>
  <c r="AB182" i="65" s="1"/>
  <c r="AC182" i="65" s="1"/>
  <c r="AD182" i="65" s="1"/>
  <c r="U182" i="65"/>
  <c r="Q182" i="65"/>
  <c r="AL7" i="22"/>
  <c r="J98" i="22"/>
  <c r="AX58" i="22" s="1"/>
  <c r="J14" i="22"/>
  <c r="AX116" i="22" s="1"/>
  <c r="D68" i="36"/>
  <c r="D63" i="36"/>
  <c r="D65" i="36"/>
  <c r="D61" i="36"/>
  <c r="AL14" i="22"/>
  <c r="AL15" i="22"/>
  <c r="AL9" i="22"/>
  <c r="AL130" i="11" a="1"/>
  <c r="AL130" i="11" s="1"/>
  <c r="E131" i="32" s="1"/>
  <c r="AK131" i="32" s="1"/>
  <c r="J33" i="22"/>
  <c r="AX36" i="22" s="1"/>
  <c r="J125" i="22"/>
  <c r="AX142" i="22" s="1"/>
  <c r="J51" i="22"/>
  <c r="AX10" i="22" s="1"/>
  <c r="D62" i="36"/>
  <c r="J53" i="22"/>
  <c r="AX47" i="22" s="1"/>
  <c r="J32" i="22"/>
  <c r="AX90" i="22" s="1"/>
  <c r="J18" i="22"/>
  <c r="AX33" i="22" s="1"/>
  <c r="J4" i="22"/>
  <c r="AX78" i="22" s="1"/>
  <c r="J5" i="22"/>
  <c r="AX79" i="22" s="1"/>
  <c r="J15" i="22"/>
  <c r="AX31" i="22" s="1"/>
  <c r="AL140" i="59" a="1"/>
  <c r="AL140" i="59" s="1"/>
  <c r="E141" i="50" s="1"/>
  <c r="AK141" i="50" s="1"/>
  <c r="J21" i="22"/>
  <c r="AX117" i="22" s="1"/>
  <c r="AM30" i="59" a="1"/>
  <c r="AM30" i="59" s="1"/>
  <c r="AM15" i="11" a="1"/>
  <c r="AM15" i="11" s="1"/>
  <c r="AI127" i="32" l="1"/>
  <c r="AN127" i="32" s="1"/>
  <c r="AI137" i="50"/>
  <c r="AP137" i="50" s="1"/>
  <c r="AF183" i="65"/>
  <c r="AE183" i="65"/>
  <c r="AE200" i="57"/>
  <c r="R200" i="57"/>
  <c r="AE200" i="53"/>
  <c r="R200" i="53"/>
  <c r="AG138" i="50"/>
  <c r="AH138" i="50" s="1"/>
  <c r="AL138" i="50"/>
  <c r="AG128" i="32"/>
  <c r="AH128" i="32" s="1"/>
  <c r="AL128" i="32"/>
  <c r="AB197" i="57"/>
  <c r="AF197" i="57"/>
  <c r="AG183" i="69"/>
  <c r="AG182" i="65"/>
  <c r="P130" i="32"/>
  <c r="AX184" i="69"/>
  <c r="X198" i="57"/>
  <c r="O201" i="57"/>
  <c r="AG201" i="57" s="1"/>
  <c r="L201" i="57"/>
  <c r="T141" i="50"/>
  <c r="O141" i="50"/>
  <c r="T131" i="32"/>
  <c r="AA197" i="57"/>
  <c r="AD139" i="50"/>
  <c r="AM140" i="50"/>
  <c r="U140" i="50"/>
  <c r="AJ200" i="57"/>
  <c r="AC200" i="57"/>
  <c r="AP200" i="57"/>
  <c r="AM130" i="32"/>
  <c r="U130" i="32"/>
  <c r="AD129" i="32"/>
  <c r="AH183" i="65"/>
  <c r="AV183" i="65"/>
  <c r="AM12" i="32"/>
  <c r="AN12" i="32" s="1"/>
  <c r="AG200" i="53"/>
  <c r="AB198" i="53"/>
  <c r="AA198" i="53"/>
  <c r="AH200" i="53"/>
  <c r="AT200" i="53"/>
  <c r="AC200" i="53"/>
  <c r="N201" i="57"/>
  <c r="E201" i="53"/>
  <c r="N201" i="53"/>
  <c r="AH184" i="69"/>
  <c r="C129" i="32"/>
  <c r="V129" i="32"/>
  <c r="AJ139" i="50"/>
  <c r="C139" i="50"/>
  <c r="AD200" i="57"/>
  <c r="AD200" i="53"/>
  <c r="X199" i="53"/>
  <c r="AF199" i="53" s="1"/>
  <c r="AJ129" i="32"/>
  <c r="V139" i="50"/>
  <c r="S140" i="50"/>
  <c r="L18" i="22"/>
  <c r="S130" i="32"/>
  <c r="V130" i="32" s="1"/>
  <c r="Q200" i="53"/>
  <c r="AK200" i="52" a="1"/>
  <c r="AK200" i="52" s="1"/>
  <c r="B202" i="53" s="1"/>
  <c r="O202" i="53" s="1"/>
  <c r="H201" i="53"/>
  <c r="L201" i="53"/>
  <c r="F201" i="53"/>
  <c r="K201" i="53"/>
  <c r="I201" i="53"/>
  <c r="D201" i="53"/>
  <c r="P201" i="53"/>
  <c r="C201" i="53"/>
  <c r="J201" i="53"/>
  <c r="G201" i="53"/>
  <c r="A131" i="32"/>
  <c r="B131" i="32"/>
  <c r="M141" i="50"/>
  <c r="A141" i="50"/>
  <c r="Q141" i="50" s="1"/>
  <c r="P141" i="50" s="1"/>
  <c r="J141" i="50"/>
  <c r="F141" i="50"/>
  <c r="H141" i="50"/>
  <c r="I141" i="50"/>
  <c r="N141" i="50"/>
  <c r="B141" i="50"/>
  <c r="R141" i="50" s="1"/>
  <c r="G141" i="50"/>
  <c r="K141" i="50"/>
  <c r="L141" i="50"/>
  <c r="F131" i="32"/>
  <c r="J131" i="32"/>
  <c r="M131" i="32"/>
  <c r="N131" i="32"/>
  <c r="I131" i="32"/>
  <c r="H131" i="32"/>
  <c r="K131" i="32"/>
  <c r="G131" i="32"/>
  <c r="O131" i="32"/>
  <c r="L131" i="32"/>
  <c r="Q200" i="57"/>
  <c r="T199" i="57"/>
  <c r="P201" i="57"/>
  <c r="J201" i="57"/>
  <c r="H201" i="57"/>
  <c r="E201" i="57"/>
  <c r="K201" i="57"/>
  <c r="G201" i="57"/>
  <c r="C201" i="57"/>
  <c r="M201" i="57" s="1"/>
  <c r="F201" i="57"/>
  <c r="I201" i="57"/>
  <c r="D201" i="57"/>
  <c r="Z139" i="50"/>
  <c r="W139" i="50"/>
  <c r="X139" i="50" s="1"/>
  <c r="AL13" i="22"/>
  <c r="AL16" i="22"/>
  <c r="D51" i="36" s="1"/>
  <c r="D89" i="36" s="1"/>
  <c r="AK200" i="55" a="1"/>
  <c r="AK200" i="55" s="1"/>
  <c r="B202" i="57" s="1"/>
  <c r="W129" i="32"/>
  <c r="X129" i="32" s="1"/>
  <c r="Z129" i="32"/>
  <c r="AN186" i="67" a="1"/>
  <c r="AN186" i="67" s="1"/>
  <c r="B187" i="69"/>
  <c r="L187" i="69" s="1"/>
  <c r="O186" i="69"/>
  <c r="C186" i="69"/>
  <c r="AO186" i="69" s="1"/>
  <c r="P185" i="69"/>
  <c r="D185" i="69"/>
  <c r="E185" i="69" s="1"/>
  <c r="F185" i="69" s="1"/>
  <c r="G185" i="69" s="1"/>
  <c r="H185" i="69" s="1"/>
  <c r="I185" i="69" s="1"/>
  <c r="J185" i="69" s="1"/>
  <c r="K185" i="69" s="1"/>
  <c r="M185" i="69" s="1"/>
  <c r="N185" i="69"/>
  <c r="AF185" i="69" s="1"/>
  <c r="U184" i="69"/>
  <c r="R184" i="69"/>
  <c r="S184" i="69" s="1"/>
  <c r="Y184" i="69" s="1"/>
  <c r="AB184" i="69" s="1"/>
  <c r="AC184" i="69" s="1"/>
  <c r="AD184" i="69" s="1"/>
  <c r="Q184" i="69"/>
  <c r="AE184" i="69"/>
  <c r="AN185" i="63" a="1"/>
  <c r="AN185" i="63" s="1"/>
  <c r="B186" i="65"/>
  <c r="L186" i="65" s="1"/>
  <c r="N184" i="65"/>
  <c r="P184" i="65"/>
  <c r="D184" i="65"/>
  <c r="E184" i="65" s="1"/>
  <c r="F184" i="65" s="1"/>
  <c r="G184" i="65" s="1"/>
  <c r="H184" i="65" s="1"/>
  <c r="I184" i="65" s="1"/>
  <c r="J184" i="65" s="1"/>
  <c r="K184" i="65" s="1"/>
  <c r="M184" i="65" s="1"/>
  <c r="U183" i="65"/>
  <c r="Q183" i="65"/>
  <c r="R183" i="65"/>
  <c r="S183" i="65" s="1"/>
  <c r="Y183" i="65" s="1"/>
  <c r="AB183" i="65" s="1"/>
  <c r="AC183" i="65" s="1"/>
  <c r="AD183" i="65" s="1"/>
  <c r="C185" i="65"/>
  <c r="AM185" i="65" s="1"/>
  <c r="O185" i="65"/>
  <c r="AL11" i="22"/>
  <c r="D59" i="36"/>
  <c r="D60" i="36"/>
  <c r="D66" i="36"/>
  <c r="AL12" i="22"/>
  <c r="AL8" i="22"/>
  <c r="AL6" i="22"/>
  <c r="AL4" i="22"/>
  <c r="AL131" i="11" a="1"/>
  <c r="AL131" i="11" s="1"/>
  <c r="E132" i="32" s="1"/>
  <c r="AK132" i="32" s="1"/>
  <c r="AL141" i="59" a="1"/>
  <c r="AL141" i="59" s="1"/>
  <c r="E142" i="50" s="1"/>
  <c r="AK142" i="50" s="1"/>
  <c r="AM31" i="59" a="1"/>
  <c r="AM31" i="59" s="1"/>
  <c r="AM16" i="11" a="1"/>
  <c r="AM16" i="11" s="1"/>
  <c r="AI128" i="32" l="1"/>
  <c r="AN128" i="32" s="1"/>
  <c r="AI138" i="50"/>
  <c r="AP138" i="50" s="1"/>
  <c r="AF184" i="65"/>
  <c r="AE184" i="65"/>
  <c r="AE201" i="57"/>
  <c r="R201" i="57"/>
  <c r="AE201" i="53"/>
  <c r="R201" i="53"/>
  <c r="AG139" i="50"/>
  <c r="AH139" i="50" s="1"/>
  <c r="AL139" i="50"/>
  <c r="AG129" i="32"/>
  <c r="AH129" i="32" s="1"/>
  <c r="AL129" i="32"/>
  <c r="AB198" i="57"/>
  <c r="AF198" i="57"/>
  <c r="AG184" i="69"/>
  <c r="AG183" i="65"/>
  <c r="P131" i="32"/>
  <c r="X199" i="57"/>
  <c r="AX185" i="69"/>
  <c r="O202" i="57"/>
  <c r="AG202" i="57" s="1"/>
  <c r="L202" i="57"/>
  <c r="AA198" i="57"/>
  <c r="T142" i="50"/>
  <c r="O142" i="50"/>
  <c r="T132" i="32"/>
  <c r="AJ201" i="57"/>
  <c r="AC201" i="57"/>
  <c r="AP201" i="57"/>
  <c r="AM131" i="32"/>
  <c r="U131" i="32"/>
  <c r="AD140" i="50"/>
  <c r="AM141" i="50"/>
  <c r="U141" i="50"/>
  <c r="AD130" i="32"/>
  <c r="AH184" i="65"/>
  <c r="AV184" i="65"/>
  <c r="AH201" i="53"/>
  <c r="AC201" i="53"/>
  <c r="AT201" i="53"/>
  <c r="AB199" i="53"/>
  <c r="AA199" i="53"/>
  <c r="AG201" i="53"/>
  <c r="N202" i="57"/>
  <c r="F202" i="53"/>
  <c r="N202" i="53"/>
  <c r="AH185" i="69"/>
  <c r="AJ140" i="50"/>
  <c r="C140" i="50"/>
  <c r="AJ130" i="32"/>
  <c r="C130" i="32"/>
  <c r="AD201" i="57"/>
  <c r="AD201" i="53"/>
  <c r="X200" i="53"/>
  <c r="AF200" i="53" s="1"/>
  <c r="V140" i="50"/>
  <c r="S141" i="50"/>
  <c r="S131" i="32"/>
  <c r="V131" i="32" s="1"/>
  <c r="C202" i="53"/>
  <c r="D202" i="53"/>
  <c r="H202" i="53"/>
  <c r="AK201" i="52" a="1"/>
  <c r="AK201" i="52" s="1"/>
  <c r="B203" i="53" s="1"/>
  <c r="O203" i="53" s="1"/>
  <c r="K202" i="53"/>
  <c r="I202" i="53"/>
  <c r="Q201" i="53"/>
  <c r="J202" i="53"/>
  <c r="P202" i="53"/>
  <c r="G202" i="53"/>
  <c r="E202" i="53"/>
  <c r="L202" i="53"/>
  <c r="A132" i="32"/>
  <c r="B132" i="32"/>
  <c r="L142" i="50"/>
  <c r="I142" i="50"/>
  <c r="M142" i="50"/>
  <c r="J142" i="50"/>
  <c r="A142" i="50"/>
  <c r="Q142" i="50" s="1"/>
  <c r="P142" i="50" s="1"/>
  <c r="K142" i="50"/>
  <c r="F142" i="50"/>
  <c r="G142" i="50"/>
  <c r="B142" i="50"/>
  <c r="R142" i="50" s="1"/>
  <c r="N142" i="50"/>
  <c r="H142" i="50"/>
  <c r="H132" i="32"/>
  <c r="K132" i="32"/>
  <c r="L132" i="32"/>
  <c r="G132" i="32"/>
  <c r="O132" i="32"/>
  <c r="I132" i="32"/>
  <c r="N132" i="32"/>
  <c r="F132" i="32"/>
  <c r="J132" i="32"/>
  <c r="M132" i="32"/>
  <c r="J202" i="57"/>
  <c r="D202" i="57"/>
  <c r="I202" i="57"/>
  <c r="F202" i="57"/>
  <c r="E202" i="57"/>
  <c r="K202" i="57"/>
  <c r="P202" i="57"/>
  <c r="H202" i="57"/>
  <c r="C202" i="57"/>
  <c r="M202" i="57" s="1"/>
  <c r="G202" i="57"/>
  <c r="T200" i="57"/>
  <c r="W140" i="50"/>
  <c r="X140" i="50" s="1"/>
  <c r="Z140" i="50"/>
  <c r="Q201" i="57"/>
  <c r="AK201" i="55" a="1"/>
  <c r="AK201" i="55" s="1"/>
  <c r="B203" i="57" s="1"/>
  <c r="W130" i="32"/>
  <c r="X130" i="32" s="1"/>
  <c r="Z130" i="32"/>
  <c r="AN187" i="67" a="1"/>
  <c r="AN187" i="67" s="1"/>
  <c r="B188" i="69"/>
  <c r="L188" i="69" s="1"/>
  <c r="Q185" i="69"/>
  <c r="U185" i="69"/>
  <c r="AE185" i="69"/>
  <c r="R185" i="69"/>
  <c r="S185" i="69" s="1"/>
  <c r="Y185" i="69" s="1"/>
  <c r="AB185" i="69" s="1"/>
  <c r="AC185" i="69" s="1"/>
  <c r="AD185" i="69" s="1"/>
  <c r="O187" i="69"/>
  <c r="C187" i="69"/>
  <c r="AO187" i="69" s="1"/>
  <c r="D186" i="69"/>
  <c r="E186" i="69" s="1"/>
  <c r="F186" i="69" s="1"/>
  <c r="G186" i="69" s="1"/>
  <c r="H186" i="69" s="1"/>
  <c r="I186" i="69" s="1"/>
  <c r="J186" i="69" s="1"/>
  <c r="K186" i="69" s="1"/>
  <c r="M186" i="69" s="1"/>
  <c r="P186" i="69"/>
  <c r="N186" i="69"/>
  <c r="AF186" i="69" s="1"/>
  <c r="AN186" i="63" a="1"/>
  <c r="AN186" i="63" s="1"/>
  <c r="B187" i="65"/>
  <c r="L187" i="65" s="1"/>
  <c r="Q184" i="65"/>
  <c r="U184" i="65"/>
  <c r="R184" i="65"/>
  <c r="S184" i="65" s="1"/>
  <c r="Y184" i="65" s="1"/>
  <c r="AB184" i="65" s="1"/>
  <c r="AC184" i="65" s="1"/>
  <c r="AD184" i="65" s="1"/>
  <c r="C186" i="65"/>
  <c r="AM186" i="65" s="1"/>
  <c r="O186" i="65"/>
  <c r="P185" i="65"/>
  <c r="D185" i="65"/>
  <c r="E185" i="65" s="1"/>
  <c r="F185" i="65" s="1"/>
  <c r="G185" i="65" s="1"/>
  <c r="H185" i="65" s="1"/>
  <c r="I185" i="65" s="1"/>
  <c r="J185" i="65" s="1"/>
  <c r="K185" i="65" s="1"/>
  <c r="M185" i="65" s="1"/>
  <c r="N185" i="65"/>
  <c r="AL132" i="11" a="1"/>
  <c r="AL132" i="11" s="1"/>
  <c r="E133" i="32" s="1"/>
  <c r="AK133" i="32" s="1"/>
  <c r="AL142" i="59" a="1"/>
  <c r="AL142" i="59" s="1"/>
  <c r="E143" i="50" s="1"/>
  <c r="AK143" i="50" s="1"/>
  <c r="AM32" i="59" a="1"/>
  <c r="AM32" i="59" s="1"/>
  <c r="AM17" i="11" a="1"/>
  <c r="AM17" i="11" s="1"/>
  <c r="AI129" i="32" l="1"/>
  <c r="AN129" i="32" s="1"/>
  <c r="AI139" i="50"/>
  <c r="AP139" i="50" s="1"/>
  <c r="AF185" i="65"/>
  <c r="AE185" i="65"/>
  <c r="AE202" i="57"/>
  <c r="R202" i="57"/>
  <c r="AE202" i="53"/>
  <c r="R202" i="53"/>
  <c r="AL130" i="32"/>
  <c r="AG140" i="50"/>
  <c r="AH140" i="50" s="1"/>
  <c r="AL140" i="50"/>
  <c r="AA199" i="57"/>
  <c r="AF199" i="57"/>
  <c r="AG185" i="69"/>
  <c r="AG184" i="65"/>
  <c r="P132" i="32"/>
  <c r="AB199" i="57"/>
  <c r="AG130" i="32"/>
  <c r="AH130" i="32" s="1"/>
  <c r="AX186" i="69"/>
  <c r="L203" i="57"/>
  <c r="O203" i="57"/>
  <c r="AG203" i="57" s="1"/>
  <c r="T143" i="50"/>
  <c r="O143" i="50"/>
  <c r="T133" i="32"/>
  <c r="AJ202" i="57"/>
  <c r="AC202" i="57"/>
  <c r="AP202" i="57"/>
  <c r="AD131" i="32"/>
  <c r="AM132" i="32"/>
  <c r="U132" i="32"/>
  <c r="X200" i="57"/>
  <c r="AF200" i="57" s="1"/>
  <c r="AD141" i="50"/>
  <c r="AM142" i="50"/>
  <c r="U142" i="50"/>
  <c r="AH185" i="65"/>
  <c r="AV185" i="65"/>
  <c r="AB200" i="53"/>
  <c r="AA200" i="53"/>
  <c r="AH202" i="53"/>
  <c r="AC202" i="53"/>
  <c r="AT202" i="53"/>
  <c r="AG202" i="53"/>
  <c r="N203" i="57"/>
  <c r="I203" i="53"/>
  <c r="N203" i="53"/>
  <c r="AH186" i="69"/>
  <c r="AJ141" i="50"/>
  <c r="C141" i="50"/>
  <c r="AJ131" i="32"/>
  <c r="C131" i="32"/>
  <c r="AD202" i="57"/>
  <c r="Q202" i="53"/>
  <c r="AD202" i="53"/>
  <c r="X201" i="53"/>
  <c r="AF201" i="53" s="1"/>
  <c r="V141" i="50"/>
  <c r="S142" i="50"/>
  <c r="S132" i="32"/>
  <c r="V132" i="32" s="1"/>
  <c r="J203" i="53"/>
  <c r="D203" i="53"/>
  <c r="C203" i="53"/>
  <c r="F203" i="53"/>
  <c r="E203" i="53"/>
  <c r="L203" i="53"/>
  <c r="H203" i="53"/>
  <c r="K203" i="53"/>
  <c r="G203" i="53"/>
  <c r="AK202" i="52" a="1"/>
  <c r="AK202" i="52" s="1"/>
  <c r="B204" i="53" s="1"/>
  <c r="O204" i="53" s="1"/>
  <c r="P203" i="53"/>
  <c r="A133" i="32"/>
  <c r="B133" i="32"/>
  <c r="J143" i="50"/>
  <c r="I143" i="50"/>
  <c r="H143" i="50"/>
  <c r="N143" i="50"/>
  <c r="M143" i="50"/>
  <c r="F143" i="50"/>
  <c r="G143" i="50"/>
  <c r="A143" i="50"/>
  <c r="Q143" i="50" s="1"/>
  <c r="P143" i="50" s="1"/>
  <c r="K143" i="50"/>
  <c r="L143" i="50"/>
  <c r="B143" i="50"/>
  <c r="R143" i="50" s="1"/>
  <c r="F133" i="32"/>
  <c r="N133" i="32"/>
  <c r="I133" i="32"/>
  <c r="J133" i="32"/>
  <c r="M133" i="32"/>
  <c r="O133" i="32"/>
  <c r="G133" i="32"/>
  <c r="L133" i="32"/>
  <c r="H133" i="32"/>
  <c r="K133" i="32"/>
  <c r="T201" i="57"/>
  <c r="Q202" i="57"/>
  <c r="H203" i="57"/>
  <c r="D203" i="57"/>
  <c r="P203" i="57"/>
  <c r="F203" i="57"/>
  <c r="K203" i="57"/>
  <c r="G203" i="57"/>
  <c r="C203" i="57"/>
  <c r="M203" i="57" s="1"/>
  <c r="E203" i="57"/>
  <c r="J203" i="57"/>
  <c r="I203" i="57"/>
  <c r="W141" i="50"/>
  <c r="X141" i="50" s="1"/>
  <c r="Z141" i="50"/>
  <c r="AK202" i="55" a="1"/>
  <c r="AK202" i="55" s="1"/>
  <c r="B204" i="57" s="1"/>
  <c r="W131" i="32"/>
  <c r="X131" i="32" s="1"/>
  <c r="Z131" i="32"/>
  <c r="AN188" i="67" a="1"/>
  <c r="AN188" i="67" s="1"/>
  <c r="B189" i="69"/>
  <c r="L189" i="69" s="1"/>
  <c r="D187" i="69"/>
  <c r="E187" i="69" s="1"/>
  <c r="F187" i="69" s="1"/>
  <c r="G187" i="69" s="1"/>
  <c r="H187" i="69" s="1"/>
  <c r="I187" i="69" s="1"/>
  <c r="J187" i="69" s="1"/>
  <c r="K187" i="69" s="1"/>
  <c r="M187" i="69" s="1"/>
  <c r="P187" i="69"/>
  <c r="N187" i="69"/>
  <c r="AF187" i="69" s="1"/>
  <c r="Q186" i="69"/>
  <c r="R186" i="69"/>
  <c r="S186" i="69" s="1"/>
  <c r="Y186" i="69" s="1"/>
  <c r="AB186" i="69" s="1"/>
  <c r="AC186" i="69" s="1"/>
  <c r="AD186" i="69" s="1"/>
  <c r="AE186" i="69"/>
  <c r="U186" i="69"/>
  <c r="O188" i="69"/>
  <c r="C188" i="69"/>
  <c r="AO188" i="69" s="1"/>
  <c r="AN187" i="63" a="1"/>
  <c r="AN187" i="63" s="1"/>
  <c r="B188" i="65"/>
  <c r="L188" i="65" s="1"/>
  <c r="P186" i="65"/>
  <c r="D186" i="65"/>
  <c r="E186" i="65" s="1"/>
  <c r="F186" i="65" s="1"/>
  <c r="G186" i="65" s="1"/>
  <c r="H186" i="65" s="1"/>
  <c r="I186" i="65" s="1"/>
  <c r="J186" i="65" s="1"/>
  <c r="K186" i="65" s="1"/>
  <c r="M186" i="65" s="1"/>
  <c r="N186" i="65"/>
  <c r="O187" i="65"/>
  <c r="C187" i="65"/>
  <c r="AM187" i="65" s="1"/>
  <c r="Q185" i="65"/>
  <c r="U185" i="65"/>
  <c r="R185" i="65"/>
  <c r="S185" i="65" s="1"/>
  <c r="Y185" i="65" s="1"/>
  <c r="AB185" i="65" s="1"/>
  <c r="AC185" i="65" s="1"/>
  <c r="AD185" i="65" s="1"/>
  <c r="AL133" i="11" a="1"/>
  <c r="AL133" i="11" s="1"/>
  <c r="E134" i="32" s="1"/>
  <c r="AK134" i="32" s="1"/>
  <c r="AL143" i="59" a="1"/>
  <c r="AL143" i="59" s="1"/>
  <c r="E144" i="50" s="1"/>
  <c r="AK144" i="50" s="1"/>
  <c r="AM33" i="59" a="1"/>
  <c r="AM33" i="59" s="1"/>
  <c r="AM18" i="11" a="1"/>
  <c r="AM18" i="11" s="1"/>
  <c r="AI140" i="50" l="1"/>
  <c r="AP140" i="50" s="1"/>
  <c r="AF186" i="65"/>
  <c r="AE186" i="65"/>
  <c r="AE203" i="57"/>
  <c r="R203" i="57"/>
  <c r="AE203" i="53"/>
  <c r="R203" i="53"/>
  <c r="AG141" i="50"/>
  <c r="AH141" i="50" s="1"/>
  <c r="AL141" i="50"/>
  <c r="AG131" i="32"/>
  <c r="AH131" i="32" s="1"/>
  <c r="AL131" i="32"/>
  <c r="AG186" i="69"/>
  <c r="AG185" i="65"/>
  <c r="P133" i="32"/>
  <c r="AI130" i="32"/>
  <c r="AN130" i="32" s="1"/>
  <c r="AX187" i="69"/>
  <c r="O204" i="57"/>
  <c r="AG204" i="57" s="1"/>
  <c r="L204" i="57"/>
  <c r="T144" i="50"/>
  <c r="O144" i="50"/>
  <c r="T134" i="32"/>
  <c r="AD142" i="50"/>
  <c r="AM143" i="50"/>
  <c r="U143" i="50"/>
  <c r="X201" i="57"/>
  <c r="AF201" i="57" s="1"/>
  <c r="AB200" i="57"/>
  <c r="AA200" i="57"/>
  <c r="AD132" i="32"/>
  <c r="AJ203" i="57"/>
  <c r="AC203" i="57"/>
  <c r="AP203" i="57"/>
  <c r="AM133" i="32"/>
  <c r="U133" i="32"/>
  <c r="AH186" i="65"/>
  <c r="AV186" i="65"/>
  <c r="AB201" i="53"/>
  <c r="AA201" i="53"/>
  <c r="AH203" i="53"/>
  <c r="AC203" i="53"/>
  <c r="AT203" i="53"/>
  <c r="AG203" i="53"/>
  <c r="X202" i="53"/>
  <c r="AF202" i="53" s="1"/>
  <c r="N204" i="57"/>
  <c r="N204" i="53"/>
  <c r="AH187" i="69"/>
  <c r="AJ142" i="50"/>
  <c r="C142" i="50"/>
  <c r="AJ132" i="32"/>
  <c r="C132" i="32"/>
  <c r="AD203" i="57"/>
  <c r="Q203" i="53"/>
  <c r="AD203" i="53"/>
  <c r="S143" i="50"/>
  <c r="V142" i="50"/>
  <c r="S133" i="32"/>
  <c r="V133" i="32" s="1"/>
  <c r="J204" i="53"/>
  <c r="H204" i="53"/>
  <c r="P204" i="53"/>
  <c r="F204" i="53"/>
  <c r="L204" i="53"/>
  <c r="G204" i="53"/>
  <c r="I204" i="53"/>
  <c r="AK203" i="52" a="1"/>
  <c r="AK203" i="52" s="1"/>
  <c r="B205" i="53" s="1"/>
  <c r="O205" i="53" s="1"/>
  <c r="D204" i="53"/>
  <c r="C204" i="53"/>
  <c r="K204" i="53"/>
  <c r="E204" i="53"/>
  <c r="A134" i="32"/>
  <c r="B134" i="32"/>
  <c r="K144" i="50"/>
  <c r="B144" i="50"/>
  <c r="R144" i="50" s="1"/>
  <c r="F144" i="50"/>
  <c r="G144" i="50"/>
  <c r="N144" i="50"/>
  <c r="I144" i="50"/>
  <c r="J144" i="50"/>
  <c r="A144" i="50"/>
  <c r="Q144" i="50" s="1"/>
  <c r="P144" i="50" s="1"/>
  <c r="M144" i="50"/>
  <c r="H144" i="50"/>
  <c r="L144" i="50"/>
  <c r="L134" i="32"/>
  <c r="G134" i="32"/>
  <c r="O134" i="32"/>
  <c r="H134" i="32"/>
  <c r="K134" i="32"/>
  <c r="J134" i="32"/>
  <c r="M134" i="32"/>
  <c r="F134" i="32"/>
  <c r="I134" i="32"/>
  <c r="N134" i="32"/>
  <c r="Q203" i="57"/>
  <c r="T202" i="57"/>
  <c r="F204" i="57"/>
  <c r="D204" i="57"/>
  <c r="I204" i="57"/>
  <c r="P204" i="57"/>
  <c r="E204" i="57"/>
  <c r="H204" i="57"/>
  <c r="K204" i="57"/>
  <c r="G204" i="57"/>
  <c r="J204" i="57"/>
  <c r="C204" i="57"/>
  <c r="M204" i="57" s="1"/>
  <c r="W142" i="50"/>
  <c r="X142" i="50" s="1"/>
  <c r="Z142" i="50"/>
  <c r="AK203" i="55" a="1"/>
  <c r="AK203" i="55" s="1"/>
  <c r="B205" i="57" s="1"/>
  <c r="W132" i="32"/>
  <c r="X132" i="32" s="1"/>
  <c r="Z132" i="32"/>
  <c r="AN189" i="67" a="1"/>
  <c r="AN189" i="67" s="1"/>
  <c r="B190" i="69"/>
  <c r="L190" i="69" s="1"/>
  <c r="C189" i="69"/>
  <c r="AO189" i="69" s="1"/>
  <c r="O189" i="69"/>
  <c r="AE187" i="69"/>
  <c r="U187" i="69"/>
  <c r="Q187" i="69"/>
  <c r="R187" i="69"/>
  <c r="S187" i="69" s="1"/>
  <c r="Y187" i="69" s="1"/>
  <c r="AB187" i="69" s="1"/>
  <c r="AC187" i="69" s="1"/>
  <c r="AD187" i="69" s="1"/>
  <c r="P188" i="69"/>
  <c r="D188" i="69"/>
  <c r="E188" i="69" s="1"/>
  <c r="F188" i="69" s="1"/>
  <c r="G188" i="69" s="1"/>
  <c r="H188" i="69" s="1"/>
  <c r="I188" i="69" s="1"/>
  <c r="J188" i="69" s="1"/>
  <c r="K188" i="69" s="1"/>
  <c r="M188" i="69" s="1"/>
  <c r="N188" i="69"/>
  <c r="AF188" i="69" s="1"/>
  <c r="AN188" i="63" a="1"/>
  <c r="AN188" i="63" s="1"/>
  <c r="B189" i="65"/>
  <c r="L189" i="65" s="1"/>
  <c r="D187" i="65"/>
  <c r="E187" i="65" s="1"/>
  <c r="F187" i="65" s="1"/>
  <c r="G187" i="65" s="1"/>
  <c r="H187" i="65" s="1"/>
  <c r="I187" i="65" s="1"/>
  <c r="J187" i="65" s="1"/>
  <c r="K187" i="65" s="1"/>
  <c r="M187" i="65" s="1"/>
  <c r="P187" i="65"/>
  <c r="N187" i="65"/>
  <c r="O188" i="65"/>
  <c r="C188" i="65"/>
  <c r="AM188" i="65" s="1"/>
  <c r="U186" i="65"/>
  <c r="Q186" i="65"/>
  <c r="R186" i="65"/>
  <c r="S186" i="65" s="1"/>
  <c r="Y186" i="65" s="1"/>
  <c r="AB186" i="65" s="1"/>
  <c r="AC186" i="65" s="1"/>
  <c r="AD186" i="65" s="1"/>
  <c r="AL134" i="11" a="1"/>
  <c r="AL134" i="11" s="1"/>
  <c r="E135" i="32" s="1"/>
  <c r="AK135" i="32" s="1"/>
  <c r="AL144" i="59" a="1"/>
  <c r="AL144" i="59" s="1"/>
  <c r="E145" i="50" s="1"/>
  <c r="AK145" i="50" s="1"/>
  <c r="AM34" i="59" a="1"/>
  <c r="AM34" i="59" s="1"/>
  <c r="AM19" i="11" a="1"/>
  <c r="AM19" i="11" s="1"/>
  <c r="AI131" i="32" l="1"/>
  <c r="AN131" i="32" s="1"/>
  <c r="AI141" i="50"/>
  <c r="AP141" i="50" s="1"/>
  <c r="AF187" i="65"/>
  <c r="AE187" i="65"/>
  <c r="X203" i="53"/>
  <c r="AF203" i="53" s="1"/>
  <c r="AE204" i="57"/>
  <c r="R204" i="57"/>
  <c r="AE204" i="53"/>
  <c r="R204" i="53"/>
  <c r="AL142" i="50"/>
  <c r="AL132" i="32"/>
  <c r="AG187" i="69"/>
  <c r="AG186" i="65"/>
  <c r="P134" i="32"/>
  <c r="AG142" i="50"/>
  <c r="AH142" i="50" s="1"/>
  <c r="AG132" i="32"/>
  <c r="AH132" i="32" s="1"/>
  <c r="AX188" i="69"/>
  <c r="O205" i="57"/>
  <c r="AG205" i="57" s="1"/>
  <c r="L205" i="57"/>
  <c r="X202" i="57"/>
  <c r="T145" i="50"/>
  <c r="O145" i="50"/>
  <c r="T135" i="32"/>
  <c r="AB201" i="57"/>
  <c r="AA201" i="57"/>
  <c r="AD143" i="50"/>
  <c r="AM134" i="32"/>
  <c r="U134" i="32"/>
  <c r="AM144" i="50"/>
  <c r="U144" i="50"/>
  <c r="AC204" i="57"/>
  <c r="AJ204" i="57"/>
  <c r="AP204" i="57"/>
  <c r="AD133" i="32"/>
  <c r="AH187" i="65"/>
  <c r="AV187" i="65"/>
  <c r="AB202" i="53"/>
  <c r="AA202" i="53"/>
  <c r="AG204" i="53"/>
  <c r="AC204" i="53"/>
  <c r="AT204" i="53"/>
  <c r="AH204" i="53"/>
  <c r="AD204" i="53"/>
  <c r="N205" i="57"/>
  <c r="Q204" i="53"/>
  <c r="N205" i="53"/>
  <c r="AH188" i="69"/>
  <c r="AJ143" i="50"/>
  <c r="C143" i="50"/>
  <c r="AJ133" i="32"/>
  <c r="C133" i="32"/>
  <c r="AD204" i="57"/>
  <c r="S144" i="50"/>
  <c r="V143" i="50"/>
  <c r="S134" i="32"/>
  <c r="V134" i="32" s="1"/>
  <c r="H205" i="53"/>
  <c r="K205" i="53"/>
  <c r="L205" i="53"/>
  <c r="D205" i="53"/>
  <c r="C205" i="53"/>
  <c r="AK204" i="52" a="1"/>
  <c r="AK204" i="52" s="1"/>
  <c r="B206" i="53" s="1"/>
  <c r="O206" i="53" s="1"/>
  <c r="P205" i="53"/>
  <c r="E205" i="53"/>
  <c r="G205" i="53"/>
  <c r="F205" i="53"/>
  <c r="J205" i="53"/>
  <c r="I205" i="53"/>
  <c r="A135" i="32"/>
  <c r="B135" i="32"/>
  <c r="J145" i="50"/>
  <c r="M145" i="50"/>
  <c r="H145" i="50"/>
  <c r="F145" i="50"/>
  <c r="K145" i="50"/>
  <c r="L145" i="50"/>
  <c r="G145" i="50"/>
  <c r="A145" i="50"/>
  <c r="Q145" i="50" s="1"/>
  <c r="P145" i="50" s="1"/>
  <c r="B145" i="50"/>
  <c r="R145" i="50" s="1"/>
  <c r="N145" i="50"/>
  <c r="I145" i="50"/>
  <c r="J135" i="32"/>
  <c r="M135" i="32"/>
  <c r="F135" i="32"/>
  <c r="N135" i="32"/>
  <c r="I135" i="32"/>
  <c r="K135" i="32"/>
  <c r="H135" i="32"/>
  <c r="L135" i="32"/>
  <c r="O135" i="32"/>
  <c r="G135" i="32"/>
  <c r="Z143" i="50"/>
  <c r="W143" i="50"/>
  <c r="X143" i="50" s="1"/>
  <c r="Q204" i="57"/>
  <c r="T203" i="57"/>
  <c r="P205" i="57"/>
  <c r="C205" i="57"/>
  <c r="M205" i="57" s="1"/>
  <c r="K205" i="57"/>
  <c r="J205" i="57"/>
  <c r="H205" i="57"/>
  <c r="D205" i="57"/>
  <c r="F205" i="57"/>
  <c r="I205" i="57"/>
  <c r="G205" i="57"/>
  <c r="E205" i="57"/>
  <c r="AK204" i="55" a="1"/>
  <c r="AK204" i="55" s="1"/>
  <c r="B206" i="57" s="1"/>
  <c r="W133" i="32"/>
  <c r="X133" i="32" s="1"/>
  <c r="Z133" i="32"/>
  <c r="AN190" i="67" a="1"/>
  <c r="AN190" i="67" s="1"/>
  <c r="B191" i="69"/>
  <c r="L191" i="69" s="1"/>
  <c r="N189" i="69"/>
  <c r="AF189" i="69" s="1"/>
  <c r="D189" i="69"/>
  <c r="E189" i="69" s="1"/>
  <c r="F189" i="69" s="1"/>
  <c r="G189" i="69" s="1"/>
  <c r="H189" i="69" s="1"/>
  <c r="I189" i="69" s="1"/>
  <c r="J189" i="69" s="1"/>
  <c r="K189" i="69" s="1"/>
  <c r="M189" i="69" s="1"/>
  <c r="P189" i="69"/>
  <c r="AE188" i="69"/>
  <c r="R188" i="69"/>
  <c r="S188" i="69" s="1"/>
  <c r="Y188" i="69" s="1"/>
  <c r="AB188" i="69" s="1"/>
  <c r="AC188" i="69" s="1"/>
  <c r="AD188" i="69" s="1"/>
  <c r="U188" i="69"/>
  <c r="Q188" i="69"/>
  <c r="C190" i="69"/>
  <c r="AO190" i="69" s="1"/>
  <c r="O190" i="69"/>
  <c r="AN189" i="63" a="1"/>
  <c r="AN189" i="63" s="1"/>
  <c r="B190" i="65"/>
  <c r="L190" i="65" s="1"/>
  <c r="P188" i="65"/>
  <c r="N188" i="65"/>
  <c r="D188" i="65"/>
  <c r="E188" i="65" s="1"/>
  <c r="F188" i="65" s="1"/>
  <c r="G188" i="65" s="1"/>
  <c r="H188" i="65" s="1"/>
  <c r="I188" i="65" s="1"/>
  <c r="J188" i="65" s="1"/>
  <c r="K188" i="65" s="1"/>
  <c r="M188" i="65" s="1"/>
  <c r="C189" i="65"/>
  <c r="AM189" i="65" s="1"/>
  <c r="O189" i="65"/>
  <c r="Q187" i="65"/>
  <c r="R187" i="65"/>
  <c r="S187" i="65" s="1"/>
  <c r="Y187" i="65" s="1"/>
  <c r="AB187" i="65" s="1"/>
  <c r="AC187" i="65" s="1"/>
  <c r="AD187" i="65" s="1"/>
  <c r="U187" i="65"/>
  <c r="AL135" i="11" a="1"/>
  <c r="AL135" i="11" s="1"/>
  <c r="E136" i="32" s="1"/>
  <c r="AK136" i="32" s="1"/>
  <c r="AL145" i="59" a="1"/>
  <c r="AL145" i="59" s="1"/>
  <c r="E146" i="50" s="1"/>
  <c r="AK146" i="50" s="1"/>
  <c r="AM35" i="59" a="1"/>
  <c r="AM35" i="59" s="1"/>
  <c r="AM20" i="11" a="1"/>
  <c r="AM20" i="11" s="1"/>
  <c r="AA203" i="53" l="1"/>
  <c r="AB203" i="53"/>
  <c r="AF188" i="65"/>
  <c r="AE188" i="65"/>
  <c r="AE205" i="57"/>
  <c r="R205" i="57"/>
  <c r="AE205" i="53"/>
  <c r="R205" i="53"/>
  <c r="AL133" i="32"/>
  <c r="AG143" i="50"/>
  <c r="AH143" i="50" s="1"/>
  <c r="AL143" i="50"/>
  <c r="AB202" i="57"/>
  <c r="AF202" i="57"/>
  <c r="AG188" i="69"/>
  <c r="AG187" i="65"/>
  <c r="P135" i="32"/>
  <c r="AI142" i="50"/>
  <c r="AP142" i="50" s="1"/>
  <c r="AI132" i="32"/>
  <c r="AN132" i="32" s="1"/>
  <c r="AG133" i="32"/>
  <c r="AH133" i="32" s="1"/>
  <c r="AX189" i="69"/>
  <c r="AA202" i="57"/>
  <c r="X203" i="57"/>
  <c r="O206" i="57"/>
  <c r="AG206" i="57" s="1"/>
  <c r="L206" i="57"/>
  <c r="O146" i="50"/>
  <c r="T146" i="50"/>
  <c r="T136" i="32"/>
  <c r="AC205" i="57"/>
  <c r="AJ205" i="57"/>
  <c r="AP205" i="57"/>
  <c r="AM145" i="50"/>
  <c r="U145" i="50"/>
  <c r="AD134" i="32"/>
  <c r="AM135" i="32"/>
  <c r="U135" i="32"/>
  <c r="AD144" i="50"/>
  <c r="AH188" i="65"/>
  <c r="AV188" i="65"/>
  <c r="AH205" i="53"/>
  <c r="AC205" i="53"/>
  <c r="AT205" i="53"/>
  <c r="AG205" i="53"/>
  <c r="X204" i="53"/>
  <c r="AF204" i="53" s="1"/>
  <c r="N206" i="57"/>
  <c r="J206" i="53"/>
  <c r="N206" i="53"/>
  <c r="AH189" i="69"/>
  <c r="AJ144" i="50"/>
  <c r="C144" i="50"/>
  <c r="AJ134" i="32"/>
  <c r="C134" i="32"/>
  <c r="AD205" i="57"/>
  <c r="Q205" i="53"/>
  <c r="AD205" i="53"/>
  <c r="V144" i="50"/>
  <c r="S145" i="50"/>
  <c r="S135" i="32"/>
  <c r="V135" i="32" s="1"/>
  <c r="D206" i="53"/>
  <c r="P206" i="53"/>
  <c r="F206" i="53"/>
  <c r="G206" i="53"/>
  <c r="K206" i="53"/>
  <c r="H206" i="53"/>
  <c r="E206" i="53"/>
  <c r="C206" i="53"/>
  <c r="AK205" i="52" a="1"/>
  <c r="AK205" i="52" s="1"/>
  <c r="B207" i="53" s="1"/>
  <c r="O207" i="53" s="1"/>
  <c r="L206" i="53"/>
  <c r="I206" i="53"/>
  <c r="A136" i="32"/>
  <c r="B136" i="32"/>
  <c r="H146" i="50"/>
  <c r="I146" i="50"/>
  <c r="G146" i="50"/>
  <c r="N146" i="50"/>
  <c r="M146" i="50"/>
  <c r="J146" i="50"/>
  <c r="A146" i="50"/>
  <c r="Q146" i="50" s="1"/>
  <c r="P146" i="50" s="1"/>
  <c r="B146" i="50"/>
  <c r="R146" i="50" s="1"/>
  <c r="L146" i="50"/>
  <c r="F146" i="50"/>
  <c r="K146" i="50"/>
  <c r="H136" i="32"/>
  <c r="K136" i="32"/>
  <c r="L136" i="32"/>
  <c r="G136" i="32"/>
  <c r="O136" i="32"/>
  <c r="F136" i="32"/>
  <c r="I136" i="32"/>
  <c r="N136" i="32"/>
  <c r="J136" i="32"/>
  <c r="M136" i="32"/>
  <c r="Q205" i="57"/>
  <c r="T204" i="57"/>
  <c r="H206" i="57"/>
  <c r="F206" i="57"/>
  <c r="I206" i="57"/>
  <c r="D206" i="57"/>
  <c r="K206" i="57"/>
  <c r="J206" i="57"/>
  <c r="G206" i="57"/>
  <c r="P206" i="57"/>
  <c r="E206" i="57"/>
  <c r="C206" i="57"/>
  <c r="M206" i="57" s="1"/>
  <c r="W144" i="50"/>
  <c r="X144" i="50" s="1"/>
  <c r="Z144" i="50"/>
  <c r="AK205" i="55" a="1"/>
  <c r="AK205" i="55" s="1"/>
  <c r="B207" i="57" s="1"/>
  <c r="W134" i="32"/>
  <c r="X134" i="32" s="1"/>
  <c r="Z134" i="32"/>
  <c r="AN191" i="67" a="1"/>
  <c r="AN191" i="67" s="1"/>
  <c r="B192" i="69"/>
  <c r="L192" i="69" s="1"/>
  <c r="U189" i="69"/>
  <c r="AE189" i="69"/>
  <c r="R189" i="69"/>
  <c r="S189" i="69" s="1"/>
  <c r="Y189" i="69" s="1"/>
  <c r="AB189" i="69" s="1"/>
  <c r="AC189" i="69" s="1"/>
  <c r="AD189" i="69" s="1"/>
  <c r="Q189" i="69"/>
  <c r="C191" i="69"/>
  <c r="AO191" i="69" s="1"/>
  <c r="O191" i="69"/>
  <c r="D190" i="69"/>
  <c r="E190" i="69" s="1"/>
  <c r="F190" i="69" s="1"/>
  <c r="G190" i="69" s="1"/>
  <c r="H190" i="69" s="1"/>
  <c r="I190" i="69" s="1"/>
  <c r="J190" i="69" s="1"/>
  <c r="K190" i="69" s="1"/>
  <c r="M190" i="69" s="1"/>
  <c r="N190" i="69"/>
  <c r="AF190" i="69" s="1"/>
  <c r="P190" i="69"/>
  <c r="AN190" i="63" a="1"/>
  <c r="AN190" i="63" s="1"/>
  <c r="B191" i="65"/>
  <c r="L191" i="65" s="1"/>
  <c r="P189" i="65"/>
  <c r="N189" i="65"/>
  <c r="D189" i="65"/>
  <c r="E189" i="65" s="1"/>
  <c r="F189" i="65" s="1"/>
  <c r="G189" i="65" s="1"/>
  <c r="H189" i="65" s="1"/>
  <c r="I189" i="65" s="1"/>
  <c r="J189" i="65" s="1"/>
  <c r="K189" i="65" s="1"/>
  <c r="M189" i="65" s="1"/>
  <c r="C190" i="65"/>
  <c r="AM190" i="65" s="1"/>
  <c r="O190" i="65"/>
  <c r="Q188" i="65"/>
  <c r="R188" i="65"/>
  <c r="S188" i="65" s="1"/>
  <c r="Y188" i="65" s="1"/>
  <c r="AB188" i="65" s="1"/>
  <c r="AC188" i="65" s="1"/>
  <c r="AD188" i="65" s="1"/>
  <c r="U188" i="65"/>
  <c r="AL136" i="11" a="1"/>
  <c r="AL136" i="11" s="1"/>
  <c r="AL146" i="59" a="1"/>
  <c r="AL146" i="59" s="1"/>
  <c r="E147" i="50" s="1"/>
  <c r="AK147" i="50" s="1"/>
  <c r="AM36" i="59" a="1"/>
  <c r="AM36" i="59" s="1"/>
  <c r="AM21" i="11" a="1"/>
  <c r="AM21" i="11" s="1"/>
  <c r="X205" i="53" l="1"/>
  <c r="AB205" i="53" s="1"/>
  <c r="AI143" i="50"/>
  <c r="AP143" i="50" s="1"/>
  <c r="AF189" i="65"/>
  <c r="AE189" i="65"/>
  <c r="AE206" i="57"/>
  <c r="R206" i="57"/>
  <c r="AE206" i="53"/>
  <c r="R206" i="53"/>
  <c r="AG144" i="50"/>
  <c r="AH144" i="50" s="1"/>
  <c r="AL144" i="50"/>
  <c r="AG134" i="32"/>
  <c r="AH134" i="32" s="1"/>
  <c r="AL134" i="32"/>
  <c r="AB203" i="57"/>
  <c r="AF203" i="57"/>
  <c r="AG189" i="69"/>
  <c r="AG188" i="65"/>
  <c r="P136" i="32"/>
  <c r="AI133" i="32"/>
  <c r="AN133" i="32" s="1"/>
  <c r="AX190" i="69"/>
  <c r="AA203" i="57"/>
  <c r="O207" i="57"/>
  <c r="AG207" i="57" s="1"/>
  <c r="L207" i="57"/>
  <c r="O147" i="50"/>
  <c r="T147" i="50"/>
  <c r="AD135" i="32"/>
  <c r="AJ206" i="57"/>
  <c r="AC206" i="57"/>
  <c r="AP206" i="57"/>
  <c r="AM146" i="50"/>
  <c r="U146" i="50"/>
  <c r="AD145" i="50"/>
  <c r="AM136" i="32"/>
  <c r="U136" i="32"/>
  <c r="X204" i="57"/>
  <c r="AF204" i="57" s="1"/>
  <c r="AH189" i="65"/>
  <c r="AV189" i="65"/>
  <c r="AB204" i="53"/>
  <c r="AA204" i="53"/>
  <c r="AH206" i="53"/>
  <c r="AT206" i="53"/>
  <c r="AC206" i="53"/>
  <c r="AG206" i="53"/>
  <c r="N207" i="57"/>
  <c r="N207" i="53"/>
  <c r="AH190" i="69"/>
  <c r="AJ145" i="50"/>
  <c r="C145" i="50"/>
  <c r="AJ135" i="32"/>
  <c r="C135" i="32"/>
  <c r="AD206" i="57"/>
  <c r="AD206" i="53"/>
  <c r="V145" i="50"/>
  <c r="S146" i="50"/>
  <c r="S136" i="32"/>
  <c r="V136" i="32" s="1"/>
  <c r="Q206" i="53"/>
  <c r="F207" i="53"/>
  <c r="P207" i="53"/>
  <c r="C207" i="53"/>
  <c r="G207" i="53"/>
  <c r="I207" i="53"/>
  <c r="E207" i="53"/>
  <c r="K207" i="53"/>
  <c r="H207" i="53"/>
  <c r="D207" i="53"/>
  <c r="AK206" i="52" a="1"/>
  <c r="AK206" i="52" s="1"/>
  <c r="B208" i="53" s="1"/>
  <c r="O208" i="53" s="1"/>
  <c r="J207" i="53"/>
  <c r="L207" i="53"/>
  <c r="M147" i="50"/>
  <c r="B147" i="50"/>
  <c r="R147" i="50" s="1"/>
  <c r="J147" i="50"/>
  <c r="I147" i="50"/>
  <c r="L147" i="50"/>
  <c r="N147" i="50"/>
  <c r="A147" i="50"/>
  <c r="Q147" i="50" s="1"/>
  <c r="P147" i="50" s="1"/>
  <c r="H147" i="50"/>
  <c r="F147" i="50"/>
  <c r="K147" i="50"/>
  <c r="G147" i="50"/>
  <c r="T205" i="57"/>
  <c r="W145" i="50"/>
  <c r="X145" i="50" s="1"/>
  <c r="Z145" i="50"/>
  <c r="Q206" i="57"/>
  <c r="G207" i="57"/>
  <c r="K207" i="57"/>
  <c r="F207" i="57"/>
  <c r="I207" i="57"/>
  <c r="E207" i="57"/>
  <c r="D207" i="57"/>
  <c r="J207" i="57"/>
  <c r="C207" i="57"/>
  <c r="M207" i="57" s="1"/>
  <c r="H207" i="57"/>
  <c r="P207" i="57"/>
  <c r="E137" i="32"/>
  <c r="AK137" i="32" s="1"/>
  <c r="AK206" i="55" a="1"/>
  <c r="AK206" i="55" s="1"/>
  <c r="B208" i="57" s="1"/>
  <c r="W135" i="32"/>
  <c r="X135" i="32" s="1"/>
  <c r="Z135" i="32"/>
  <c r="AN192" i="67" a="1"/>
  <c r="AN192" i="67" s="1"/>
  <c r="B193" i="69"/>
  <c r="L193" i="69" s="1"/>
  <c r="P191" i="69"/>
  <c r="D191" i="69"/>
  <c r="E191" i="69" s="1"/>
  <c r="F191" i="69" s="1"/>
  <c r="G191" i="69" s="1"/>
  <c r="H191" i="69" s="1"/>
  <c r="I191" i="69" s="1"/>
  <c r="J191" i="69" s="1"/>
  <c r="K191" i="69" s="1"/>
  <c r="M191" i="69" s="1"/>
  <c r="N191" i="69"/>
  <c r="AF191" i="69" s="1"/>
  <c r="Q190" i="69"/>
  <c r="AE190" i="69"/>
  <c r="R190" i="69"/>
  <c r="S190" i="69" s="1"/>
  <c r="Y190" i="69" s="1"/>
  <c r="AB190" i="69" s="1"/>
  <c r="AC190" i="69" s="1"/>
  <c r="AD190" i="69" s="1"/>
  <c r="U190" i="69"/>
  <c r="C192" i="69"/>
  <c r="AO192" i="69" s="1"/>
  <c r="O192" i="69"/>
  <c r="AN191" i="63" a="1"/>
  <c r="AN191" i="63" s="1"/>
  <c r="B192" i="65"/>
  <c r="L192" i="65" s="1"/>
  <c r="Q189" i="65"/>
  <c r="R189" i="65"/>
  <c r="S189" i="65" s="1"/>
  <c r="Y189" i="65" s="1"/>
  <c r="AB189" i="65" s="1"/>
  <c r="AC189" i="65" s="1"/>
  <c r="AD189" i="65" s="1"/>
  <c r="U189" i="65"/>
  <c r="P190" i="65"/>
  <c r="N190" i="65"/>
  <c r="D190" i="65"/>
  <c r="E190" i="65" s="1"/>
  <c r="F190" i="65" s="1"/>
  <c r="G190" i="65" s="1"/>
  <c r="H190" i="65" s="1"/>
  <c r="I190" i="65" s="1"/>
  <c r="J190" i="65" s="1"/>
  <c r="K190" i="65" s="1"/>
  <c r="M190" i="65" s="1"/>
  <c r="C191" i="65"/>
  <c r="AM191" i="65" s="1"/>
  <c r="O191" i="65"/>
  <c r="AL137" i="11" a="1"/>
  <c r="AL137" i="11" s="1"/>
  <c r="E138" i="32" s="1"/>
  <c r="AK138" i="32" s="1"/>
  <c r="AL147" i="59" a="1"/>
  <c r="AL147" i="59" s="1"/>
  <c r="E148" i="50" s="1"/>
  <c r="AK148" i="50" s="1"/>
  <c r="AM37" i="59" a="1"/>
  <c r="AM37" i="59" s="1"/>
  <c r="AM22" i="11" a="1"/>
  <c r="AM22" i="11" s="1"/>
  <c r="AF205" i="53" l="1"/>
  <c r="AA205" i="53"/>
  <c r="AI134" i="32"/>
  <c r="AN134" i="32" s="1"/>
  <c r="AI144" i="50"/>
  <c r="AP144" i="50" s="1"/>
  <c r="AF190" i="65"/>
  <c r="AE190" i="65"/>
  <c r="AE207" i="57"/>
  <c r="R207" i="57"/>
  <c r="AE207" i="53"/>
  <c r="R207" i="53"/>
  <c r="AL135" i="32"/>
  <c r="AG145" i="50"/>
  <c r="AH145" i="50" s="1"/>
  <c r="AL145" i="50"/>
  <c r="AG190" i="69"/>
  <c r="AG189" i="65"/>
  <c r="AG135" i="32"/>
  <c r="AH135" i="32" s="1"/>
  <c r="AX191" i="69"/>
  <c r="O208" i="57"/>
  <c r="AG208" i="57" s="1"/>
  <c r="L208" i="57"/>
  <c r="O148" i="50"/>
  <c r="T148" i="50"/>
  <c r="T137" i="32"/>
  <c r="T138" i="32"/>
  <c r="AD146" i="50"/>
  <c r="AM147" i="50"/>
  <c r="U147" i="50"/>
  <c r="AJ207" i="57"/>
  <c r="AC207" i="57"/>
  <c r="AP207" i="57"/>
  <c r="AB204" i="57"/>
  <c r="AA204" i="57"/>
  <c r="X205" i="57"/>
  <c r="AF205" i="57" s="1"/>
  <c r="AD136" i="32"/>
  <c r="AH190" i="65"/>
  <c r="AV190" i="65"/>
  <c r="AH207" i="53"/>
  <c r="AT207" i="53"/>
  <c r="AC207" i="53"/>
  <c r="AG207" i="53"/>
  <c r="N208" i="57"/>
  <c r="L208" i="53"/>
  <c r="N208" i="53"/>
  <c r="AH191" i="69"/>
  <c r="AJ146" i="50"/>
  <c r="C146" i="50"/>
  <c r="AJ136" i="32"/>
  <c r="C136" i="32"/>
  <c r="AD207" i="57"/>
  <c r="AD207" i="53"/>
  <c r="V146" i="50"/>
  <c r="S147" i="50"/>
  <c r="X206" i="53"/>
  <c r="AF206" i="53" s="1"/>
  <c r="Q207" i="53"/>
  <c r="AK207" i="52" a="1"/>
  <c r="AK207" i="52" s="1"/>
  <c r="B209" i="53" s="1"/>
  <c r="O209" i="53" s="1"/>
  <c r="C208" i="53"/>
  <c r="E208" i="53"/>
  <c r="P208" i="53"/>
  <c r="G208" i="53"/>
  <c r="H208" i="53"/>
  <c r="J208" i="53"/>
  <c r="K208" i="53"/>
  <c r="I208" i="53"/>
  <c r="D208" i="53"/>
  <c r="F208" i="53"/>
  <c r="A138" i="32"/>
  <c r="B138" i="32"/>
  <c r="A137" i="32"/>
  <c r="B137" i="32"/>
  <c r="H148" i="50"/>
  <c r="J148" i="50"/>
  <c r="K148" i="50"/>
  <c r="F148" i="50"/>
  <c r="N148" i="50"/>
  <c r="M148" i="50"/>
  <c r="G148" i="50"/>
  <c r="A148" i="50"/>
  <c r="Q148" i="50" s="1"/>
  <c r="P148" i="50" s="1"/>
  <c r="B148" i="50"/>
  <c r="R148" i="50" s="1"/>
  <c r="I148" i="50"/>
  <c r="L148" i="50"/>
  <c r="L138" i="32"/>
  <c r="G138" i="32"/>
  <c r="O138" i="32"/>
  <c r="H138" i="32"/>
  <c r="K138" i="32"/>
  <c r="M138" i="32"/>
  <c r="J138" i="32"/>
  <c r="N138" i="32"/>
  <c r="F138" i="32"/>
  <c r="I138" i="32"/>
  <c r="F137" i="32"/>
  <c r="N137" i="32"/>
  <c r="I137" i="32"/>
  <c r="J137" i="32"/>
  <c r="M137" i="32"/>
  <c r="G137" i="32"/>
  <c r="L137" i="32"/>
  <c r="O137" i="32"/>
  <c r="H137" i="32"/>
  <c r="K137" i="32"/>
  <c r="Z146" i="50"/>
  <c r="W146" i="50"/>
  <c r="X146" i="50" s="1"/>
  <c r="Q207" i="57"/>
  <c r="F208" i="57"/>
  <c r="E208" i="57"/>
  <c r="D208" i="57"/>
  <c r="P208" i="57"/>
  <c r="J208" i="57"/>
  <c r="I208" i="57"/>
  <c r="K208" i="57"/>
  <c r="G208" i="57"/>
  <c r="C208" i="57"/>
  <c r="M208" i="57" s="1"/>
  <c r="H208" i="57"/>
  <c r="T206" i="57"/>
  <c r="AK207" i="55" a="1"/>
  <c r="AK207" i="55" s="1"/>
  <c r="B209" i="57" s="1"/>
  <c r="W136" i="32"/>
  <c r="X136" i="32" s="1"/>
  <c r="Z136" i="32"/>
  <c r="AN193" i="67" a="1"/>
  <c r="AN193" i="67" s="1"/>
  <c r="B194" i="69"/>
  <c r="L194" i="69" s="1"/>
  <c r="O193" i="69"/>
  <c r="C193" i="69"/>
  <c r="AO193" i="69" s="1"/>
  <c r="N192" i="69"/>
  <c r="AF192" i="69" s="1"/>
  <c r="P192" i="69"/>
  <c r="D192" i="69"/>
  <c r="E192" i="69" s="1"/>
  <c r="F192" i="69" s="1"/>
  <c r="G192" i="69" s="1"/>
  <c r="H192" i="69" s="1"/>
  <c r="I192" i="69" s="1"/>
  <c r="J192" i="69" s="1"/>
  <c r="K192" i="69" s="1"/>
  <c r="M192" i="69" s="1"/>
  <c r="AE191" i="69"/>
  <c r="U191" i="69"/>
  <c r="Q191" i="69"/>
  <c r="R191" i="69"/>
  <c r="S191" i="69" s="1"/>
  <c r="Y191" i="69" s="1"/>
  <c r="AB191" i="69" s="1"/>
  <c r="AC191" i="69" s="1"/>
  <c r="AD191" i="69" s="1"/>
  <c r="AN192" i="63" a="1"/>
  <c r="AN192" i="63" s="1"/>
  <c r="B193" i="65"/>
  <c r="L193" i="65" s="1"/>
  <c r="Q190" i="65"/>
  <c r="R190" i="65"/>
  <c r="S190" i="65" s="1"/>
  <c r="Y190" i="65" s="1"/>
  <c r="AB190" i="65" s="1"/>
  <c r="AC190" i="65" s="1"/>
  <c r="AD190" i="65" s="1"/>
  <c r="U190" i="65"/>
  <c r="C192" i="65"/>
  <c r="AM192" i="65" s="1"/>
  <c r="O192" i="65"/>
  <c r="D191" i="65"/>
  <c r="E191" i="65" s="1"/>
  <c r="F191" i="65" s="1"/>
  <c r="G191" i="65" s="1"/>
  <c r="H191" i="65" s="1"/>
  <c r="I191" i="65" s="1"/>
  <c r="J191" i="65" s="1"/>
  <c r="K191" i="65" s="1"/>
  <c r="M191" i="65" s="1"/>
  <c r="P191" i="65"/>
  <c r="N191" i="65"/>
  <c r="AL138" i="11" a="1"/>
  <c r="AL138" i="11" s="1"/>
  <c r="E139" i="32" s="1"/>
  <c r="AK139" i="32" s="1"/>
  <c r="AL148" i="59" a="1"/>
  <c r="AL148" i="59" s="1"/>
  <c r="E149" i="50" s="1"/>
  <c r="AK149" i="50" s="1"/>
  <c r="AM38" i="59" a="1"/>
  <c r="AM38" i="59" s="1"/>
  <c r="AM23" i="11" a="1"/>
  <c r="AM23" i="11" s="1"/>
  <c r="AI145" i="50" l="1"/>
  <c r="AP145" i="50" s="1"/>
  <c r="AF191" i="65"/>
  <c r="AE191" i="65"/>
  <c r="AE208" i="57"/>
  <c r="R208" i="57"/>
  <c r="AE208" i="53"/>
  <c r="R208" i="53"/>
  <c r="AG146" i="50"/>
  <c r="AH146" i="50" s="1"/>
  <c r="AL146" i="50"/>
  <c r="AG136" i="32"/>
  <c r="AH136" i="32" s="1"/>
  <c r="AL136" i="32"/>
  <c r="AG191" i="69"/>
  <c r="AG190" i="65"/>
  <c r="P138" i="32"/>
  <c r="P137" i="32"/>
  <c r="AI135" i="32"/>
  <c r="AN135" i="32" s="1"/>
  <c r="AX192" i="69"/>
  <c r="O209" i="57"/>
  <c r="AG209" i="57" s="1"/>
  <c r="L209" i="57"/>
  <c r="T149" i="50"/>
  <c r="O149" i="50"/>
  <c r="T139" i="32"/>
  <c r="AM137" i="32"/>
  <c r="U137" i="32"/>
  <c r="X206" i="57"/>
  <c r="AF206" i="57" s="1"/>
  <c r="AM138" i="32"/>
  <c r="U138" i="32"/>
  <c r="AM148" i="50"/>
  <c r="U148" i="50"/>
  <c r="AD147" i="50"/>
  <c r="AJ208" i="57"/>
  <c r="AC208" i="57"/>
  <c r="AP208" i="57"/>
  <c r="AB205" i="57"/>
  <c r="AA205" i="57"/>
  <c r="AH191" i="65"/>
  <c r="AV191" i="65"/>
  <c r="AB206" i="53"/>
  <c r="AA206" i="53"/>
  <c r="AH208" i="53"/>
  <c r="AC208" i="53"/>
  <c r="AT208" i="53"/>
  <c r="AG208" i="53"/>
  <c r="N209" i="57"/>
  <c r="I209" i="53"/>
  <c r="N209" i="53"/>
  <c r="AH192" i="69"/>
  <c r="AJ147" i="50"/>
  <c r="C147" i="50"/>
  <c r="AD208" i="57"/>
  <c r="Q208" i="53"/>
  <c r="AD208" i="53"/>
  <c r="X207" i="53"/>
  <c r="AF207" i="53" s="1"/>
  <c r="S148" i="50"/>
  <c r="V147" i="50"/>
  <c r="S137" i="32"/>
  <c r="V137" i="32" s="1"/>
  <c r="S138" i="32"/>
  <c r="V138" i="32" s="1"/>
  <c r="L209" i="53"/>
  <c r="G209" i="53"/>
  <c r="C209" i="53"/>
  <c r="F209" i="53"/>
  <c r="E209" i="53"/>
  <c r="H209" i="53"/>
  <c r="P209" i="53"/>
  <c r="AK208" i="52" a="1"/>
  <c r="AK208" i="52" s="1"/>
  <c r="B210" i="53" s="1"/>
  <c r="O210" i="53" s="1"/>
  <c r="J209" i="53"/>
  <c r="D209" i="53"/>
  <c r="K209" i="53"/>
  <c r="A139" i="32"/>
  <c r="B139" i="32"/>
  <c r="M149" i="50"/>
  <c r="F149" i="50"/>
  <c r="J149" i="50"/>
  <c r="H149" i="50"/>
  <c r="A149" i="50"/>
  <c r="Q149" i="50" s="1"/>
  <c r="P149" i="50" s="1"/>
  <c r="K149" i="50"/>
  <c r="N149" i="50"/>
  <c r="L149" i="50"/>
  <c r="I149" i="50"/>
  <c r="B149" i="50"/>
  <c r="R149" i="50" s="1"/>
  <c r="G149" i="50"/>
  <c r="J139" i="32"/>
  <c r="M139" i="32"/>
  <c r="F139" i="32"/>
  <c r="N139" i="32"/>
  <c r="I139" i="32"/>
  <c r="H139" i="32"/>
  <c r="K139" i="32"/>
  <c r="G139" i="32"/>
  <c r="L139" i="32"/>
  <c r="O139" i="32"/>
  <c r="K209" i="57"/>
  <c r="H209" i="57"/>
  <c r="F209" i="57"/>
  <c r="C209" i="57"/>
  <c r="M209" i="57" s="1"/>
  <c r="P209" i="57"/>
  <c r="E209" i="57"/>
  <c r="G209" i="57"/>
  <c r="J209" i="57"/>
  <c r="I209" i="57"/>
  <c r="D209" i="57"/>
  <c r="T207" i="57"/>
  <c r="Q208" i="57"/>
  <c r="Z147" i="50"/>
  <c r="W147" i="50"/>
  <c r="X147" i="50" s="1"/>
  <c r="AK208" i="55" a="1"/>
  <c r="AK208" i="55" s="1"/>
  <c r="B210" i="57" s="1"/>
  <c r="AN194" i="67" a="1"/>
  <c r="AN194" i="67" s="1"/>
  <c r="B195" i="69"/>
  <c r="L195" i="69" s="1"/>
  <c r="P193" i="69"/>
  <c r="N193" i="69"/>
  <c r="AF193" i="69" s="1"/>
  <c r="D193" i="69"/>
  <c r="E193" i="69" s="1"/>
  <c r="F193" i="69" s="1"/>
  <c r="G193" i="69" s="1"/>
  <c r="H193" i="69" s="1"/>
  <c r="I193" i="69" s="1"/>
  <c r="J193" i="69" s="1"/>
  <c r="K193" i="69" s="1"/>
  <c r="M193" i="69" s="1"/>
  <c r="U192" i="69"/>
  <c r="Q192" i="69"/>
  <c r="R192" i="69"/>
  <c r="S192" i="69" s="1"/>
  <c r="Y192" i="69" s="1"/>
  <c r="AB192" i="69" s="1"/>
  <c r="AC192" i="69" s="1"/>
  <c r="AD192" i="69" s="1"/>
  <c r="AE192" i="69"/>
  <c r="C194" i="69"/>
  <c r="AO194" i="69" s="1"/>
  <c r="O194" i="69"/>
  <c r="AN193" i="63" a="1"/>
  <c r="AN193" i="63" s="1"/>
  <c r="B194" i="65"/>
  <c r="L194" i="65" s="1"/>
  <c r="U191" i="65"/>
  <c r="Q191" i="65"/>
  <c r="R191" i="65"/>
  <c r="S191" i="65" s="1"/>
  <c r="Y191" i="65" s="1"/>
  <c r="AB191" i="65" s="1"/>
  <c r="AC191" i="65" s="1"/>
  <c r="AD191" i="65" s="1"/>
  <c r="C193" i="65"/>
  <c r="AM193" i="65" s="1"/>
  <c r="O193" i="65"/>
  <c r="P192" i="65"/>
  <c r="D192" i="65"/>
  <c r="E192" i="65" s="1"/>
  <c r="F192" i="65" s="1"/>
  <c r="G192" i="65" s="1"/>
  <c r="H192" i="65" s="1"/>
  <c r="I192" i="65" s="1"/>
  <c r="J192" i="65" s="1"/>
  <c r="K192" i="65" s="1"/>
  <c r="M192" i="65" s="1"/>
  <c r="N192" i="65"/>
  <c r="AL139" i="11" a="1"/>
  <c r="AL139" i="11" s="1"/>
  <c r="E140" i="32" s="1"/>
  <c r="AK140" i="32" s="1"/>
  <c r="AL149" i="59" a="1"/>
  <c r="AL149" i="59" s="1"/>
  <c r="E150" i="50" s="1"/>
  <c r="AK150" i="50" s="1"/>
  <c r="AM39" i="59" a="1"/>
  <c r="AM39" i="59" s="1"/>
  <c r="AM24" i="11" a="1"/>
  <c r="AM24" i="11" s="1"/>
  <c r="X208" i="53" l="1"/>
  <c r="AF208" i="53" s="1"/>
  <c r="AI136" i="32"/>
  <c r="AN136" i="32" s="1"/>
  <c r="AI146" i="50"/>
  <c r="AP146" i="50" s="1"/>
  <c r="AF192" i="65"/>
  <c r="AE192" i="65"/>
  <c r="AE209" i="57"/>
  <c r="R209" i="57"/>
  <c r="AE209" i="53"/>
  <c r="R209" i="53"/>
  <c r="AG147" i="50"/>
  <c r="AH147" i="50" s="1"/>
  <c r="AL147" i="50"/>
  <c r="AG192" i="69"/>
  <c r="AG191" i="65"/>
  <c r="P139" i="32"/>
  <c r="AX193" i="69"/>
  <c r="O210" i="57"/>
  <c r="AG210" i="57" s="1"/>
  <c r="L210" i="57"/>
  <c r="T150" i="50"/>
  <c r="O150" i="50"/>
  <c r="T140" i="32"/>
  <c r="AJ209" i="57"/>
  <c r="AC209" i="57"/>
  <c r="AP209" i="57"/>
  <c r="X207" i="57"/>
  <c r="AF207" i="57" s="1"/>
  <c r="AD138" i="32"/>
  <c r="AM139" i="32"/>
  <c r="U139" i="32"/>
  <c r="AB206" i="57"/>
  <c r="AA206" i="57"/>
  <c r="AD137" i="32"/>
  <c r="AM149" i="50"/>
  <c r="U149" i="50"/>
  <c r="AD148" i="50"/>
  <c r="AH192" i="65"/>
  <c r="AV192" i="65"/>
  <c r="AB207" i="53"/>
  <c r="AA207" i="53"/>
  <c r="AH209" i="53"/>
  <c r="AC209" i="53"/>
  <c r="AT209" i="53"/>
  <c r="AG209" i="53"/>
  <c r="N210" i="57"/>
  <c r="N210" i="53"/>
  <c r="AH193" i="69"/>
  <c r="AJ148" i="50"/>
  <c r="C148" i="50"/>
  <c r="AJ137" i="32"/>
  <c r="C137" i="32"/>
  <c r="AJ138" i="32"/>
  <c r="C138" i="32"/>
  <c r="AD209" i="57"/>
  <c r="AD209" i="53"/>
  <c r="S149" i="50"/>
  <c r="V148" i="50"/>
  <c r="S139" i="32"/>
  <c r="V139" i="32" s="1"/>
  <c r="Q209" i="53"/>
  <c r="K210" i="53"/>
  <c r="I210" i="53"/>
  <c r="G210" i="53"/>
  <c r="AK209" i="52" a="1"/>
  <c r="AK209" i="52" s="1"/>
  <c r="B211" i="53" s="1"/>
  <c r="O211" i="53" s="1"/>
  <c r="F210" i="53"/>
  <c r="L210" i="53"/>
  <c r="E210" i="53"/>
  <c r="C210" i="53"/>
  <c r="H210" i="53"/>
  <c r="J210" i="53"/>
  <c r="P210" i="53"/>
  <c r="D210" i="53"/>
  <c r="A140" i="32"/>
  <c r="B140" i="32"/>
  <c r="F150" i="50"/>
  <c r="L150" i="50"/>
  <c r="N150" i="50"/>
  <c r="M150" i="50"/>
  <c r="G150" i="50"/>
  <c r="A150" i="50"/>
  <c r="Q150" i="50" s="1"/>
  <c r="P150" i="50" s="1"/>
  <c r="B150" i="50"/>
  <c r="R150" i="50" s="1"/>
  <c r="H150" i="50"/>
  <c r="I150" i="50"/>
  <c r="J150" i="50"/>
  <c r="K150" i="50"/>
  <c r="H140" i="32"/>
  <c r="K140" i="32"/>
  <c r="L140" i="32"/>
  <c r="G140" i="32"/>
  <c r="O140" i="32"/>
  <c r="I140" i="32"/>
  <c r="N140" i="32"/>
  <c r="F140" i="32"/>
  <c r="J140" i="32"/>
  <c r="M140" i="32"/>
  <c r="Z137" i="32"/>
  <c r="W137" i="32"/>
  <c r="X137" i="32" s="1"/>
  <c r="T208" i="57"/>
  <c r="Q209" i="57"/>
  <c r="Z148" i="50"/>
  <c r="W148" i="50"/>
  <c r="X148" i="50" s="1"/>
  <c r="K210" i="57"/>
  <c r="P210" i="57"/>
  <c r="G210" i="57"/>
  <c r="E210" i="57"/>
  <c r="C210" i="57"/>
  <c r="M210" i="57" s="1"/>
  <c r="J210" i="57"/>
  <c r="H210" i="57"/>
  <c r="I210" i="57"/>
  <c r="D210" i="57"/>
  <c r="F210" i="57"/>
  <c r="AK209" i="55" a="1"/>
  <c r="AK209" i="55" s="1"/>
  <c r="B211" i="57" s="1"/>
  <c r="W138" i="32"/>
  <c r="X138" i="32" s="1"/>
  <c r="Z138" i="32"/>
  <c r="O195" i="69"/>
  <c r="C195" i="69"/>
  <c r="AO195" i="69" s="1"/>
  <c r="N194" i="69"/>
  <c r="AF194" i="69" s="1"/>
  <c r="D194" i="69"/>
  <c r="E194" i="69" s="1"/>
  <c r="F194" i="69" s="1"/>
  <c r="G194" i="69" s="1"/>
  <c r="H194" i="69" s="1"/>
  <c r="I194" i="69" s="1"/>
  <c r="J194" i="69" s="1"/>
  <c r="K194" i="69" s="1"/>
  <c r="M194" i="69" s="1"/>
  <c r="P194" i="69"/>
  <c r="Q193" i="69"/>
  <c r="U193" i="69"/>
  <c r="AE193" i="69"/>
  <c r="R193" i="69"/>
  <c r="S193" i="69" s="1"/>
  <c r="Y193" i="69" s="1"/>
  <c r="AB193" i="69" s="1"/>
  <c r="AC193" i="69" s="1"/>
  <c r="AD193" i="69" s="1"/>
  <c r="AN195" i="67" a="1"/>
  <c r="AN195" i="67" s="1"/>
  <c r="B196" i="69"/>
  <c r="L196" i="69" s="1"/>
  <c r="C194" i="65"/>
  <c r="AM194" i="65" s="1"/>
  <c r="O194" i="65"/>
  <c r="N193" i="65"/>
  <c r="P193" i="65"/>
  <c r="D193" i="65"/>
  <c r="E193" i="65" s="1"/>
  <c r="F193" i="65" s="1"/>
  <c r="G193" i="65" s="1"/>
  <c r="H193" i="65" s="1"/>
  <c r="I193" i="65" s="1"/>
  <c r="J193" i="65" s="1"/>
  <c r="K193" i="65" s="1"/>
  <c r="M193" i="65" s="1"/>
  <c r="U192" i="65"/>
  <c r="Q192" i="65"/>
  <c r="R192" i="65"/>
  <c r="S192" i="65" s="1"/>
  <c r="Y192" i="65" s="1"/>
  <c r="AB192" i="65" s="1"/>
  <c r="AC192" i="65" s="1"/>
  <c r="AD192" i="65" s="1"/>
  <c r="AN194" i="63" a="1"/>
  <c r="AN194" i="63" s="1"/>
  <c r="B195" i="65"/>
  <c r="L195" i="65" s="1"/>
  <c r="AL140" i="11" a="1"/>
  <c r="AL140" i="11" s="1"/>
  <c r="E141" i="32" s="1"/>
  <c r="AK141" i="32" s="1"/>
  <c r="AL150" i="59" a="1"/>
  <c r="AL150" i="59" s="1"/>
  <c r="E151" i="50" s="1"/>
  <c r="AK151" i="50" s="1"/>
  <c r="AM40" i="59" a="1"/>
  <c r="AM40" i="59" s="1"/>
  <c r="AM25" i="11" a="1"/>
  <c r="AM25" i="11" s="1"/>
  <c r="AA208" i="53" l="1"/>
  <c r="AB208" i="53"/>
  <c r="X209" i="53"/>
  <c r="AF209" i="53" s="1"/>
  <c r="AI147" i="50"/>
  <c r="AP147" i="50" s="1"/>
  <c r="AF193" i="65"/>
  <c r="AE193" i="65"/>
  <c r="AE210" i="57"/>
  <c r="R210" i="57"/>
  <c r="AE210" i="53"/>
  <c r="R210" i="53"/>
  <c r="AG148" i="50"/>
  <c r="AH148" i="50" s="1"/>
  <c r="AL148" i="50"/>
  <c r="AG138" i="32"/>
  <c r="AH138" i="32" s="1"/>
  <c r="AL138" i="32"/>
  <c r="AG137" i="32"/>
  <c r="AH137" i="32" s="1"/>
  <c r="AL137" i="32"/>
  <c r="AG193" i="69"/>
  <c r="AG192" i="65"/>
  <c r="P140" i="32"/>
  <c r="AX194" i="69"/>
  <c r="L211" i="57"/>
  <c r="O211" i="57"/>
  <c r="AG211" i="57" s="1"/>
  <c r="T151" i="50"/>
  <c r="O151" i="50"/>
  <c r="T141" i="32"/>
  <c r="AD139" i="32"/>
  <c r="AM140" i="32"/>
  <c r="U140" i="32"/>
  <c r="AD149" i="50"/>
  <c r="AB207" i="57"/>
  <c r="AA207" i="57"/>
  <c r="AM150" i="50"/>
  <c r="U150" i="50"/>
  <c r="X208" i="57"/>
  <c r="AF208" i="57" s="1"/>
  <c r="AJ210" i="57"/>
  <c r="AC210" i="57"/>
  <c r="AP210" i="57"/>
  <c r="AH193" i="65"/>
  <c r="AV193" i="65"/>
  <c r="AH210" i="53"/>
  <c r="AC210" i="53"/>
  <c r="AT210" i="53"/>
  <c r="AG210" i="53"/>
  <c r="N211" i="57"/>
  <c r="F211" i="53"/>
  <c r="N211" i="53"/>
  <c r="AH194" i="69"/>
  <c r="AJ149" i="50"/>
  <c r="C149" i="50"/>
  <c r="AJ139" i="32"/>
  <c r="C139" i="32"/>
  <c r="AD210" i="57"/>
  <c r="Q210" i="53"/>
  <c r="AD210" i="53"/>
  <c r="S150" i="50"/>
  <c r="V149" i="50"/>
  <c r="S140" i="32"/>
  <c r="V140" i="32" s="1"/>
  <c r="AK210" i="52" a="1"/>
  <c r="AK210" i="52" s="1"/>
  <c r="B212" i="53" s="1"/>
  <c r="O212" i="53" s="1"/>
  <c r="K211" i="53"/>
  <c r="L211" i="53"/>
  <c r="J211" i="53"/>
  <c r="H211" i="53"/>
  <c r="I211" i="53"/>
  <c r="P211" i="53"/>
  <c r="C211" i="53"/>
  <c r="E211" i="53"/>
  <c r="G211" i="53"/>
  <c r="D211" i="53"/>
  <c r="A141" i="32"/>
  <c r="B141" i="32"/>
  <c r="G151" i="50"/>
  <c r="M151" i="50"/>
  <c r="F151" i="50"/>
  <c r="I151" i="50"/>
  <c r="J151" i="50"/>
  <c r="A151" i="50"/>
  <c r="Q151" i="50" s="1"/>
  <c r="P151" i="50" s="1"/>
  <c r="L151" i="50"/>
  <c r="N151" i="50"/>
  <c r="H151" i="50"/>
  <c r="K151" i="50"/>
  <c r="B151" i="50"/>
  <c r="R151" i="50" s="1"/>
  <c r="F141" i="32"/>
  <c r="N141" i="32"/>
  <c r="I141" i="32"/>
  <c r="J141" i="32"/>
  <c r="M141" i="32"/>
  <c r="O141" i="32"/>
  <c r="G141" i="32"/>
  <c r="L141" i="32"/>
  <c r="H141" i="32"/>
  <c r="K141" i="32"/>
  <c r="P211" i="57"/>
  <c r="D211" i="57"/>
  <c r="K211" i="57"/>
  <c r="G211" i="57"/>
  <c r="F211" i="57"/>
  <c r="H211" i="57"/>
  <c r="C211" i="57"/>
  <c r="M211" i="57" s="1"/>
  <c r="I211" i="57"/>
  <c r="J211" i="57"/>
  <c r="E211" i="57"/>
  <c r="Q210" i="57"/>
  <c r="T209" i="57"/>
  <c r="W149" i="50"/>
  <c r="X149" i="50" s="1"/>
  <c r="Z149" i="50"/>
  <c r="AK210" i="55" a="1"/>
  <c r="AK210" i="55" s="1"/>
  <c r="B212" i="57" s="1"/>
  <c r="W139" i="32"/>
  <c r="X139" i="32" s="1"/>
  <c r="Z139" i="32"/>
  <c r="AN196" i="67" a="1"/>
  <c r="AN196" i="67" s="1"/>
  <c r="B197" i="69"/>
  <c r="L197" i="69" s="1"/>
  <c r="D195" i="69"/>
  <c r="E195" i="69" s="1"/>
  <c r="F195" i="69" s="1"/>
  <c r="G195" i="69" s="1"/>
  <c r="H195" i="69" s="1"/>
  <c r="I195" i="69" s="1"/>
  <c r="J195" i="69" s="1"/>
  <c r="K195" i="69" s="1"/>
  <c r="M195" i="69" s="1"/>
  <c r="N195" i="69"/>
  <c r="AF195" i="69" s="1"/>
  <c r="P195" i="69"/>
  <c r="AE194" i="69"/>
  <c r="R194" i="69"/>
  <c r="S194" i="69" s="1"/>
  <c r="Y194" i="69" s="1"/>
  <c r="AB194" i="69" s="1"/>
  <c r="AC194" i="69" s="1"/>
  <c r="AD194" i="69" s="1"/>
  <c r="Q194" i="69"/>
  <c r="U194" i="69"/>
  <c r="O196" i="69"/>
  <c r="C196" i="69"/>
  <c r="AO196" i="69" s="1"/>
  <c r="AN195" i="63" a="1"/>
  <c r="AN195" i="63" s="1"/>
  <c r="B196" i="65"/>
  <c r="L196" i="65" s="1"/>
  <c r="C195" i="65"/>
  <c r="AM195" i="65" s="1"/>
  <c r="O195" i="65"/>
  <c r="U193" i="65"/>
  <c r="Q193" i="65"/>
  <c r="R193" i="65"/>
  <c r="S193" i="65" s="1"/>
  <c r="Y193" i="65" s="1"/>
  <c r="AB193" i="65" s="1"/>
  <c r="AC193" i="65" s="1"/>
  <c r="AD193" i="65" s="1"/>
  <c r="N194" i="65"/>
  <c r="P194" i="65"/>
  <c r="D194" i="65"/>
  <c r="E194" i="65" s="1"/>
  <c r="F194" i="65" s="1"/>
  <c r="G194" i="65" s="1"/>
  <c r="H194" i="65" s="1"/>
  <c r="I194" i="65" s="1"/>
  <c r="J194" i="65" s="1"/>
  <c r="K194" i="65" s="1"/>
  <c r="M194" i="65" s="1"/>
  <c r="AL141" i="11" a="1"/>
  <c r="AL141" i="11" s="1"/>
  <c r="E142" i="32" s="1"/>
  <c r="AK142" i="32" s="1"/>
  <c r="AL151" i="59" a="1"/>
  <c r="AL151" i="59" s="1"/>
  <c r="E152" i="50" s="1"/>
  <c r="AK152" i="50" s="1"/>
  <c r="AM41" i="59" a="1"/>
  <c r="AM41" i="59" s="1"/>
  <c r="AM26" i="11" a="1"/>
  <c r="AM26" i="11" s="1"/>
  <c r="AA209" i="53" l="1"/>
  <c r="AB209" i="53"/>
  <c r="X210" i="53"/>
  <c r="AB210" i="53" s="1"/>
  <c r="AI137" i="32"/>
  <c r="AN137" i="32" s="1"/>
  <c r="AI138" i="32"/>
  <c r="AN138" i="32" s="1"/>
  <c r="AI148" i="50"/>
  <c r="AP148" i="50" s="1"/>
  <c r="AF194" i="65"/>
  <c r="AE194" i="65"/>
  <c r="AE211" i="57"/>
  <c r="R211" i="57"/>
  <c r="AE211" i="53"/>
  <c r="R211" i="53"/>
  <c r="AG149" i="50"/>
  <c r="AH149" i="50" s="1"/>
  <c r="AL149" i="50"/>
  <c r="AG139" i="32"/>
  <c r="AH139" i="32" s="1"/>
  <c r="AL139" i="32"/>
  <c r="AG194" i="69"/>
  <c r="AG193" i="65"/>
  <c r="P141" i="32"/>
  <c r="AX195" i="69"/>
  <c r="O212" i="57"/>
  <c r="AG212" i="57" s="1"/>
  <c r="L212" i="57"/>
  <c r="T152" i="50"/>
  <c r="O152" i="50"/>
  <c r="T142" i="32"/>
  <c r="X209" i="57"/>
  <c r="AJ211" i="57"/>
  <c r="AC211" i="57"/>
  <c r="AP211" i="57"/>
  <c r="AM151" i="50"/>
  <c r="U151" i="50"/>
  <c r="AM141" i="32"/>
  <c r="U141" i="32"/>
  <c r="AB208" i="57"/>
  <c r="AA208" i="57"/>
  <c r="AD150" i="50"/>
  <c r="AD140" i="32"/>
  <c r="AH194" i="65"/>
  <c r="AV194" i="65"/>
  <c r="AH211" i="53"/>
  <c r="AC211" i="53"/>
  <c r="AT211" i="53"/>
  <c r="AG211" i="53"/>
  <c r="N212" i="57"/>
  <c r="N212" i="53"/>
  <c r="AH195" i="69"/>
  <c r="AJ150" i="50"/>
  <c r="C150" i="50"/>
  <c r="AJ140" i="32"/>
  <c r="C140" i="32"/>
  <c r="AD211" i="57"/>
  <c r="AD211" i="53"/>
  <c r="S151" i="50"/>
  <c r="V150" i="50"/>
  <c r="S141" i="32"/>
  <c r="V141" i="32" s="1"/>
  <c r="Q211" i="53"/>
  <c r="AK211" i="52" a="1"/>
  <c r="AK211" i="52" s="1"/>
  <c r="B213" i="53" s="1"/>
  <c r="O213" i="53" s="1"/>
  <c r="J212" i="53"/>
  <c r="L212" i="53"/>
  <c r="H212" i="53"/>
  <c r="C212" i="53"/>
  <c r="E212" i="53"/>
  <c r="D212" i="53"/>
  <c r="G212" i="53"/>
  <c r="K212" i="53"/>
  <c r="F212" i="53"/>
  <c r="P212" i="53"/>
  <c r="I212" i="53"/>
  <c r="A142" i="32"/>
  <c r="B142" i="32"/>
  <c r="B152" i="50"/>
  <c r="R152" i="50" s="1"/>
  <c r="I152" i="50"/>
  <c r="N152" i="50"/>
  <c r="A152" i="50"/>
  <c r="Q152" i="50" s="1"/>
  <c r="P152" i="50" s="1"/>
  <c r="G152" i="50"/>
  <c r="J152" i="50"/>
  <c r="K152" i="50"/>
  <c r="M152" i="50"/>
  <c r="F152" i="50"/>
  <c r="H152" i="50"/>
  <c r="L152" i="50"/>
  <c r="L142" i="32"/>
  <c r="G142" i="32"/>
  <c r="O142" i="32"/>
  <c r="H142" i="32"/>
  <c r="K142" i="32"/>
  <c r="J142" i="32"/>
  <c r="M142" i="32"/>
  <c r="F142" i="32"/>
  <c r="I142" i="32"/>
  <c r="N142" i="32"/>
  <c r="Q211" i="57"/>
  <c r="I212" i="57"/>
  <c r="F212" i="57"/>
  <c r="D212" i="57"/>
  <c r="E212" i="57"/>
  <c r="J212" i="57"/>
  <c r="P212" i="57"/>
  <c r="K212" i="57"/>
  <c r="C212" i="57"/>
  <c r="M212" i="57" s="1"/>
  <c r="G212" i="57"/>
  <c r="H212" i="57"/>
  <c r="T210" i="57"/>
  <c r="W150" i="50"/>
  <c r="X150" i="50" s="1"/>
  <c r="Z150" i="50"/>
  <c r="AK211" i="55" a="1"/>
  <c r="AK211" i="55" s="1"/>
  <c r="B213" i="57" s="1"/>
  <c r="W140" i="32"/>
  <c r="X140" i="32" s="1"/>
  <c r="Z140" i="32"/>
  <c r="AN197" i="67" a="1"/>
  <c r="AN197" i="67" s="1"/>
  <c r="B198" i="69"/>
  <c r="L198" i="69" s="1"/>
  <c r="AE195" i="69"/>
  <c r="U195" i="69"/>
  <c r="R195" i="69"/>
  <c r="S195" i="69" s="1"/>
  <c r="Y195" i="69" s="1"/>
  <c r="AB195" i="69" s="1"/>
  <c r="AC195" i="69" s="1"/>
  <c r="AD195" i="69" s="1"/>
  <c r="Q195" i="69"/>
  <c r="C197" i="69"/>
  <c r="AO197" i="69" s="1"/>
  <c r="O197" i="69"/>
  <c r="N196" i="69"/>
  <c r="AF196" i="69" s="1"/>
  <c r="D196" i="69"/>
  <c r="E196" i="69" s="1"/>
  <c r="F196" i="69" s="1"/>
  <c r="G196" i="69" s="1"/>
  <c r="H196" i="69" s="1"/>
  <c r="I196" i="69" s="1"/>
  <c r="J196" i="69" s="1"/>
  <c r="K196" i="69" s="1"/>
  <c r="M196" i="69" s="1"/>
  <c r="P196" i="69"/>
  <c r="AN196" i="63" a="1"/>
  <c r="AN196" i="63" s="1"/>
  <c r="B197" i="65"/>
  <c r="L197" i="65" s="1"/>
  <c r="U194" i="65"/>
  <c r="R194" i="65"/>
  <c r="S194" i="65" s="1"/>
  <c r="Y194" i="65" s="1"/>
  <c r="AB194" i="65" s="1"/>
  <c r="AC194" i="65" s="1"/>
  <c r="AD194" i="65" s="1"/>
  <c r="Q194" i="65"/>
  <c r="O196" i="65"/>
  <c r="C196" i="65"/>
  <c r="AM196" i="65" s="1"/>
  <c r="D195" i="65"/>
  <c r="E195" i="65" s="1"/>
  <c r="F195" i="65" s="1"/>
  <c r="G195" i="65" s="1"/>
  <c r="H195" i="65" s="1"/>
  <c r="I195" i="65" s="1"/>
  <c r="J195" i="65" s="1"/>
  <c r="K195" i="65" s="1"/>
  <c r="M195" i="65" s="1"/>
  <c r="N195" i="65"/>
  <c r="P195" i="65"/>
  <c r="AL142" i="11" a="1"/>
  <c r="AL142" i="11" s="1"/>
  <c r="E143" i="32" s="1"/>
  <c r="AK143" i="32" s="1"/>
  <c r="AL152" i="59" a="1"/>
  <c r="AL152" i="59" s="1"/>
  <c r="E153" i="50" s="1"/>
  <c r="AK153" i="50" s="1"/>
  <c r="AM42" i="59" a="1"/>
  <c r="AM42" i="59" s="1"/>
  <c r="AM27" i="11" a="1"/>
  <c r="AM27" i="11" s="1"/>
  <c r="X211" i="53" l="1"/>
  <c r="AF211" i="53" s="1"/>
  <c r="AF210" i="53"/>
  <c r="AA210" i="53"/>
  <c r="AI139" i="32"/>
  <c r="AN139" i="32" s="1"/>
  <c r="AI149" i="50"/>
  <c r="AP149" i="50" s="1"/>
  <c r="AF195" i="65"/>
  <c r="AE195" i="65"/>
  <c r="AE212" i="57"/>
  <c r="R212" i="57"/>
  <c r="AE212" i="53"/>
  <c r="R212" i="53"/>
  <c r="AG150" i="50"/>
  <c r="AH150" i="50" s="1"/>
  <c r="AL150" i="50"/>
  <c r="AG140" i="32"/>
  <c r="AH140" i="32" s="1"/>
  <c r="AL140" i="32"/>
  <c r="AA209" i="57"/>
  <c r="AF209" i="57"/>
  <c r="AG195" i="69"/>
  <c r="AG194" i="65"/>
  <c r="P142" i="32"/>
  <c r="AX196" i="69"/>
  <c r="AB209" i="57"/>
  <c r="L213" i="57"/>
  <c r="O213" i="57"/>
  <c r="AG213" i="57" s="1"/>
  <c r="X210" i="57"/>
  <c r="T153" i="50"/>
  <c r="O153" i="50"/>
  <c r="T143" i="32"/>
  <c r="AC212" i="57"/>
  <c r="AJ212" i="57"/>
  <c r="AP212" i="57"/>
  <c r="AD151" i="50"/>
  <c r="AM142" i="32"/>
  <c r="U142" i="32"/>
  <c r="AM152" i="50"/>
  <c r="U152" i="50"/>
  <c r="AD141" i="32"/>
  <c r="AH195" i="65"/>
  <c r="AV195" i="65"/>
  <c r="AH212" i="53"/>
  <c r="AC212" i="53"/>
  <c r="AT212" i="53"/>
  <c r="AG212" i="53"/>
  <c r="Q212" i="53"/>
  <c r="N213" i="57"/>
  <c r="N213" i="53"/>
  <c r="AD212" i="53"/>
  <c r="AH196" i="69"/>
  <c r="AJ151" i="50"/>
  <c r="C151" i="50"/>
  <c r="AJ141" i="32"/>
  <c r="C141" i="32"/>
  <c r="AD212" i="57"/>
  <c r="S152" i="50"/>
  <c r="V151" i="50"/>
  <c r="S142" i="32"/>
  <c r="V142" i="32" s="1"/>
  <c r="L213" i="53"/>
  <c r="E213" i="53"/>
  <c r="J213" i="53"/>
  <c r="H213" i="53"/>
  <c r="P213" i="53"/>
  <c r="I213" i="53"/>
  <c r="G213" i="53"/>
  <c r="K213" i="53"/>
  <c r="C213" i="53"/>
  <c r="AK212" i="52" a="1"/>
  <c r="AK212" i="52" s="1"/>
  <c r="B214" i="53" s="1"/>
  <c r="O214" i="53" s="1"/>
  <c r="D213" i="53"/>
  <c r="F213" i="53"/>
  <c r="A143" i="32"/>
  <c r="B143" i="32"/>
  <c r="F153" i="50"/>
  <c r="L153" i="50"/>
  <c r="M153" i="50"/>
  <c r="I153" i="50"/>
  <c r="N153" i="50"/>
  <c r="J153" i="50"/>
  <c r="G153" i="50"/>
  <c r="H153" i="50"/>
  <c r="B153" i="50"/>
  <c r="R153" i="50" s="1"/>
  <c r="A153" i="50"/>
  <c r="Q153" i="50" s="1"/>
  <c r="P153" i="50" s="1"/>
  <c r="K153" i="50"/>
  <c r="J143" i="32"/>
  <c r="M143" i="32"/>
  <c r="F143" i="32"/>
  <c r="N143" i="32"/>
  <c r="I143" i="32"/>
  <c r="K143" i="32"/>
  <c r="H143" i="32"/>
  <c r="G143" i="32"/>
  <c r="L143" i="32"/>
  <c r="O143" i="32"/>
  <c r="Z151" i="50"/>
  <c r="W151" i="50"/>
  <c r="X151" i="50" s="1"/>
  <c r="Q212" i="57"/>
  <c r="T211" i="57"/>
  <c r="D213" i="57"/>
  <c r="P213" i="57"/>
  <c r="C213" i="57"/>
  <c r="M213" i="57" s="1"/>
  <c r="K213" i="57"/>
  <c r="J213" i="57"/>
  <c r="H213" i="57"/>
  <c r="F213" i="57"/>
  <c r="I213" i="57"/>
  <c r="E213" i="57"/>
  <c r="G213" i="57"/>
  <c r="AK212" i="55" a="1"/>
  <c r="AK212" i="55" s="1"/>
  <c r="B214" i="57" s="1"/>
  <c r="W141" i="32"/>
  <c r="X141" i="32" s="1"/>
  <c r="Z141" i="32"/>
  <c r="AN198" i="67" a="1"/>
  <c r="AN198" i="67" s="1"/>
  <c r="B199" i="69"/>
  <c r="L199" i="69" s="1"/>
  <c r="D197" i="69"/>
  <c r="E197" i="69" s="1"/>
  <c r="F197" i="69" s="1"/>
  <c r="G197" i="69" s="1"/>
  <c r="H197" i="69" s="1"/>
  <c r="I197" i="69" s="1"/>
  <c r="J197" i="69" s="1"/>
  <c r="K197" i="69" s="1"/>
  <c r="M197" i="69" s="1"/>
  <c r="P197" i="69"/>
  <c r="N197" i="69"/>
  <c r="AF197" i="69" s="1"/>
  <c r="AE196" i="69"/>
  <c r="U196" i="69"/>
  <c r="Q196" i="69"/>
  <c r="R196" i="69"/>
  <c r="S196" i="69" s="1"/>
  <c r="Y196" i="69" s="1"/>
  <c r="AB196" i="69" s="1"/>
  <c r="AC196" i="69" s="1"/>
  <c r="AD196" i="69" s="1"/>
  <c r="O198" i="69"/>
  <c r="C198" i="69"/>
  <c r="AO198" i="69" s="1"/>
  <c r="AN197" i="63" a="1"/>
  <c r="AN197" i="63" s="1"/>
  <c r="B198" i="65"/>
  <c r="L198" i="65" s="1"/>
  <c r="P196" i="65"/>
  <c r="D196" i="65"/>
  <c r="E196" i="65" s="1"/>
  <c r="F196" i="65" s="1"/>
  <c r="G196" i="65" s="1"/>
  <c r="H196" i="65" s="1"/>
  <c r="I196" i="65" s="1"/>
  <c r="J196" i="65" s="1"/>
  <c r="K196" i="65" s="1"/>
  <c r="M196" i="65" s="1"/>
  <c r="N196" i="65"/>
  <c r="C197" i="65"/>
  <c r="AM197" i="65" s="1"/>
  <c r="O197" i="65"/>
  <c r="R195" i="65"/>
  <c r="S195" i="65" s="1"/>
  <c r="Y195" i="65" s="1"/>
  <c r="AB195" i="65" s="1"/>
  <c r="AC195" i="65" s="1"/>
  <c r="AD195" i="65" s="1"/>
  <c r="Q195" i="65"/>
  <c r="U195" i="65"/>
  <c r="AL143" i="11" a="1"/>
  <c r="AL143" i="11" s="1"/>
  <c r="E144" i="32" s="1"/>
  <c r="AK144" i="32" s="1"/>
  <c r="AL153" i="59" a="1"/>
  <c r="AL153" i="59" s="1"/>
  <c r="E154" i="50" s="1"/>
  <c r="AK154" i="50" s="1"/>
  <c r="AM43" i="59" a="1"/>
  <c r="AM43" i="59" s="1"/>
  <c r="AM28" i="11" a="1"/>
  <c r="AM28" i="11" s="1"/>
  <c r="X212" i="53" l="1"/>
  <c r="AF212" i="53" s="1"/>
  <c r="AA211" i="53"/>
  <c r="AB211" i="53"/>
  <c r="AI140" i="32"/>
  <c r="AN140" i="32" s="1"/>
  <c r="AI150" i="50"/>
  <c r="AP150" i="50" s="1"/>
  <c r="AF196" i="65"/>
  <c r="AE196" i="65"/>
  <c r="AE213" i="57"/>
  <c r="R213" i="57"/>
  <c r="AE213" i="53"/>
  <c r="R213" i="53"/>
  <c r="AL141" i="32"/>
  <c r="AG151" i="50"/>
  <c r="AH151" i="50" s="1"/>
  <c r="AL151" i="50"/>
  <c r="AA210" i="57"/>
  <c r="AF210" i="57"/>
  <c r="AG196" i="69"/>
  <c r="AG195" i="65"/>
  <c r="P143" i="32"/>
  <c r="AG141" i="32"/>
  <c r="AH141" i="32" s="1"/>
  <c r="AX197" i="69"/>
  <c r="AB210" i="57"/>
  <c r="O214" i="57"/>
  <c r="AG214" i="57" s="1"/>
  <c r="L214" i="57"/>
  <c r="O154" i="50"/>
  <c r="T154" i="50"/>
  <c r="T144" i="32"/>
  <c r="X211" i="57"/>
  <c r="AC213" i="57"/>
  <c r="AJ213" i="57"/>
  <c r="AP213" i="57"/>
  <c r="AD152" i="50"/>
  <c r="AM143" i="32"/>
  <c r="U143" i="32"/>
  <c r="AM153" i="50"/>
  <c r="U153" i="50"/>
  <c r="AD142" i="32"/>
  <c r="AH196" i="65"/>
  <c r="AV196" i="65"/>
  <c r="AH213" i="53"/>
  <c r="AC213" i="53"/>
  <c r="AT213" i="53"/>
  <c r="AG213" i="53"/>
  <c r="N214" i="57"/>
  <c r="N214" i="53"/>
  <c r="AH197" i="69"/>
  <c r="AJ152" i="50"/>
  <c r="C152" i="50"/>
  <c r="AJ142" i="32"/>
  <c r="C142" i="32"/>
  <c r="AD213" i="57"/>
  <c r="AD213" i="53"/>
  <c r="S153" i="50"/>
  <c r="V152" i="50"/>
  <c r="S143" i="32"/>
  <c r="V143" i="32" s="1"/>
  <c r="Q213" i="53"/>
  <c r="F214" i="53"/>
  <c r="H214" i="53"/>
  <c r="C214" i="53"/>
  <c r="J214" i="53"/>
  <c r="P214" i="53"/>
  <c r="E214" i="53"/>
  <c r="K214" i="53"/>
  <c r="L214" i="53"/>
  <c r="I214" i="53"/>
  <c r="AK213" i="52" a="1"/>
  <c r="AK213" i="52" s="1"/>
  <c r="B215" i="53" s="1"/>
  <c r="O215" i="53" s="1"/>
  <c r="D214" i="53"/>
  <c r="G214" i="53"/>
  <c r="A144" i="32"/>
  <c r="B144" i="32"/>
  <c r="L154" i="50"/>
  <c r="M154" i="50"/>
  <c r="G154" i="50"/>
  <c r="H154" i="50"/>
  <c r="I154" i="50"/>
  <c r="K154" i="50"/>
  <c r="F154" i="50"/>
  <c r="N154" i="50"/>
  <c r="J154" i="50"/>
  <c r="B154" i="50"/>
  <c r="R154" i="50" s="1"/>
  <c r="A154" i="50"/>
  <c r="Q154" i="50" s="1"/>
  <c r="P154" i="50" s="1"/>
  <c r="H144" i="32"/>
  <c r="K144" i="32"/>
  <c r="L144" i="32"/>
  <c r="G144" i="32"/>
  <c r="O144" i="32"/>
  <c r="F144" i="32"/>
  <c r="I144" i="32"/>
  <c r="N144" i="32"/>
  <c r="J144" i="32"/>
  <c r="M144" i="32"/>
  <c r="Q213" i="57"/>
  <c r="T212" i="57"/>
  <c r="Z152" i="50"/>
  <c r="W152" i="50"/>
  <c r="X152" i="50" s="1"/>
  <c r="I214" i="57"/>
  <c r="D214" i="57"/>
  <c r="K214" i="57"/>
  <c r="J214" i="57"/>
  <c r="G214" i="57"/>
  <c r="P214" i="57"/>
  <c r="C214" i="57"/>
  <c r="M214" i="57" s="1"/>
  <c r="E214" i="57"/>
  <c r="H214" i="57"/>
  <c r="F214" i="57"/>
  <c r="AK213" i="55" a="1"/>
  <c r="AK213" i="55" s="1"/>
  <c r="B215" i="57" s="1"/>
  <c r="W142" i="32"/>
  <c r="X142" i="32" s="1"/>
  <c r="Z142" i="32"/>
  <c r="AN199" i="67" a="1"/>
  <c r="AN199" i="67" s="1"/>
  <c r="B200" i="69"/>
  <c r="L200" i="69" s="1"/>
  <c r="N198" i="69"/>
  <c r="AF198" i="69" s="1"/>
  <c r="D198" i="69"/>
  <c r="E198" i="69" s="1"/>
  <c r="F198" i="69" s="1"/>
  <c r="G198" i="69" s="1"/>
  <c r="H198" i="69" s="1"/>
  <c r="I198" i="69" s="1"/>
  <c r="J198" i="69" s="1"/>
  <c r="K198" i="69" s="1"/>
  <c r="M198" i="69" s="1"/>
  <c r="P198" i="69"/>
  <c r="C199" i="69"/>
  <c r="AO199" i="69" s="1"/>
  <c r="O199" i="69"/>
  <c r="U197" i="69"/>
  <c r="AE197" i="69"/>
  <c r="Q197" i="69"/>
  <c r="R197" i="69"/>
  <c r="S197" i="69" s="1"/>
  <c r="Y197" i="69" s="1"/>
  <c r="AB197" i="69" s="1"/>
  <c r="AC197" i="69" s="1"/>
  <c r="AD197" i="69" s="1"/>
  <c r="AN198" i="63" a="1"/>
  <c r="AN198" i="63" s="1"/>
  <c r="B199" i="65"/>
  <c r="L199" i="65" s="1"/>
  <c r="N197" i="65"/>
  <c r="P197" i="65"/>
  <c r="D197" i="65"/>
  <c r="E197" i="65" s="1"/>
  <c r="F197" i="65" s="1"/>
  <c r="G197" i="65" s="1"/>
  <c r="H197" i="65" s="1"/>
  <c r="I197" i="65" s="1"/>
  <c r="J197" i="65" s="1"/>
  <c r="K197" i="65" s="1"/>
  <c r="M197" i="65" s="1"/>
  <c r="O198" i="65"/>
  <c r="C198" i="65"/>
  <c r="AM198" i="65" s="1"/>
  <c r="Q196" i="65"/>
  <c r="U196" i="65"/>
  <c r="R196" i="65"/>
  <c r="S196" i="65" s="1"/>
  <c r="Y196" i="65" s="1"/>
  <c r="AB196" i="65" s="1"/>
  <c r="AC196" i="65" s="1"/>
  <c r="AD196" i="65" s="1"/>
  <c r="AL144" i="11" a="1"/>
  <c r="AL144" i="11" s="1"/>
  <c r="AL154" i="59" a="1"/>
  <c r="AL154" i="59" s="1"/>
  <c r="E155" i="50" s="1"/>
  <c r="AK155" i="50" s="1"/>
  <c r="AM44" i="59" a="1"/>
  <c r="AM44" i="59" s="1"/>
  <c r="AM29" i="11" a="1"/>
  <c r="AM29" i="11" s="1"/>
  <c r="X213" i="53" l="1"/>
  <c r="AA213" i="53" s="1"/>
  <c r="AA212" i="53"/>
  <c r="AB212" i="53"/>
  <c r="AI151" i="50"/>
  <c r="AP151" i="50" s="1"/>
  <c r="AF197" i="65"/>
  <c r="AE197" i="65"/>
  <c r="AE214" i="57"/>
  <c r="R214" i="57"/>
  <c r="AE214" i="53"/>
  <c r="R214" i="53"/>
  <c r="AG152" i="50"/>
  <c r="AH152" i="50" s="1"/>
  <c r="AL152" i="50"/>
  <c r="AG142" i="32"/>
  <c r="AH142" i="32" s="1"/>
  <c r="AL142" i="32"/>
  <c r="AB211" i="57"/>
  <c r="AF211" i="57"/>
  <c r="AG197" i="69"/>
  <c r="AG196" i="65"/>
  <c r="P144" i="32"/>
  <c r="AI141" i="32"/>
  <c r="AN141" i="32" s="1"/>
  <c r="AX198" i="69"/>
  <c r="O215" i="57"/>
  <c r="AG215" i="57" s="1"/>
  <c r="L215" i="57"/>
  <c r="O155" i="50"/>
  <c r="T155" i="50"/>
  <c r="AA211" i="57"/>
  <c r="X212" i="57"/>
  <c r="AM144" i="32"/>
  <c r="U144" i="32"/>
  <c r="AD153" i="50"/>
  <c r="AM154" i="50"/>
  <c r="U154" i="50"/>
  <c r="AD143" i="32"/>
  <c r="AJ214" i="57"/>
  <c r="AC214" i="57"/>
  <c r="AP214" i="57"/>
  <c r="AH197" i="65"/>
  <c r="AV197" i="65"/>
  <c r="AG214" i="53"/>
  <c r="AH214" i="53"/>
  <c r="AT214" i="53"/>
  <c r="AC214" i="53"/>
  <c r="N215" i="57"/>
  <c r="L215" i="53"/>
  <c r="N215" i="53"/>
  <c r="AH198" i="69"/>
  <c r="AJ153" i="50"/>
  <c r="C153" i="50"/>
  <c r="AJ143" i="32"/>
  <c r="C143" i="32"/>
  <c r="AD214" i="57"/>
  <c r="AD214" i="53"/>
  <c r="S154" i="50"/>
  <c r="V153" i="50"/>
  <c r="S144" i="32"/>
  <c r="V144" i="32" s="1"/>
  <c r="Q214" i="53"/>
  <c r="AK214" i="52" a="1"/>
  <c r="AK214" i="52" s="1"/>
  <c r="B216" i="53" s="1"/>
  <c r="O216" i="53" s="1"/>
  <c r="K215" i="53"/>
  <c r="I215" i="53"/>
  <c r="H215" i="53"/>
  <c r="G215" i="53"/>
  <c r="F215" i="53"/>
  <c r="E215" i="53"/>
  <c r="D215" i="53"/>
  <c r="J215" i="53"/>
  <c r="C215" i="53"/>
  <c r="P215" i="53"/>
  <c r="K155" i="50"/>
  <c r="B155" i="50"/>
  <c r="R155" i="50" s="1"/>
  <c r="N155" i="50"/>
  <c r="A155" i="50"/>
  <c r="Q155" i="50" s="1"/>
  <c r="P155" i="50" s="1"/>
  <c r="I155" i="50"/>
  <c r="F155" i="50"/>
  <c r="M155" i="50"/>
  <c r="G155" i="50"/>
  <c r="J155" i="50"/>
  <c r="H155" i="50"/>
  <c r="L155" i="50"/>
  <c r="Q214" i="57"/>
  <c r="F215" i="57"/>
  <c r="I215" i="57"/>
  <c r="E215" i="57"/>
  <c r="D215" i="57"/>
  <c r="J215" i="57"/>
  <c r="H215" i="57"/>
  <c r="G215" i="57"/>
  <c r="C215" i="57"/>
  <c r="M215" i="57" s="1"/>
  <c r="P215" i="57"/>
  <c r="K215" i="57"/>
  <c r="W153" i="50"/>
  <c r="X153" i="50" s="1"/>
  <c r="Z153" i="50"/>
  <c r="T213" i="57"/>
  <c r="E145" i="32"/>
  <c r="AK145" i="32" s="1"/>
  <c r="AK214" i="55" a="1"/>
  <c r="AK214" i="55" s="1"/>
  <c r="B216" i="57" s="1"/>
  <c r="W143" i="32"/>
  <c r="X143" i="32" s="1"/>
  <c r="Z143" i="32"/>
  <c r="AN200" i="67" a="1"/>
  <c r="AN200" i="67" s="1"/>
  <c r="B201" i="69"/>
  <c r="L201" i="69" s="1"/>
  <c r="Q198" i="69"/>
  <c r="AE198" i="69"/>
  <c r="R198" i="69"/>
  <c r="S198" i="69" s="1"/>
  <c r="Y198" i="69" s="1"/>
  <c r="AB198" i="69" s="1"/>
  <c r="AC198" i="69" s="1"/>
  <c r="AD198" i="69" s="1"/>
  <c r="U198" i="69"/>
  <c r="D199" i="69"/>
  <c r="E199" i="69" s="1"/>
  <c r="F199" i="69" s="1"/>
  <c r="G199" i="69" s="1"/>
  <c r="H199" i="69" s="1"/>
  <c r="I199" i="69" s="1"/>
  <c r="J199" i="69" s="1"/>
  <c r="K199" i="69" s="1"/>
  <c r="M199" i="69" s="1"/>
  <c r="P199" i="69"/>
  <c r="N199" i="69"/>
  <c r="AF199" i="69" s="1"/>
  <c r="C200" i="69"/>
  <c r="AO200" i="69" s="1"/>
  <c r="O200" i="69"/>
  <c r="AN199" i="63" a="1"/>
  <c r="AN199" i="63" s="1"/>
  <c r="B200" i="65"/>
  <c r="L200" i="65" s="1"/>
  <c r="D198" i="65"/>
  <c r="E198" i="65" s="1"/>
  <c r="F198" i="65" s="1"/>
  <c r="G198" i="65" s="1"/>
  <c r="H198" i="65" s="1"/>
  <c r="I198" i="65" s="1"/>
  <c r="J198" i="65" s="1"/>
  <c r="K198" i="65" s="1"/>
  <c r="M198" i="65" s="1"/>
  <c r="P198" i="65"/>
  <c r="N198" i="65"/>
  <c r="C199" i="65"/>
  <c r="AM199" i="65" s="1"/>
  <c r="O199" i="65"/>
  <c r="U197" i="65"/>
  <c r="R197" i="65"/>
  <c r="S197" i="65" s="1"/>
  <c r="Y197" i="65" s="1"/>
  <c r="AB197" i="65" s="1"/>
  <c r="AC197" i="65" s="1"/>
  <c r="AD197" i="65" s="1"/>
  <c r="Q197" i="65"/>
  <c r="AL145" i="11" a="1"/>
  <c r="AL145" i="11" s="1"/>
  <c r="E146" i="32" s="1"/>
  <c r="AK146" i="32" s="1"/>
  <c r="AL155" i="59" a="1"/>
  <c r="AL155" i="59" s="1"/>
  <c r="E156" i="50" s="1"/>
  <c r="AK156" i="50" s="1"/>
  <c r="AM45" i="59" a="1"/>
  <c r="AM45" i="59" s="1"/>
  <c r="AM30" i="11" a="1"/>
  <c r="AM30" i="11" s="1"/>
  <c r="AF213" i="53" l="1"/>
  <c r="AB213" i="53"/>
  <c r="AI142" i="32"/>
  <c r="AN142" i="32" s="1"/>
  <c r="AI152" i="50"/>
  <c r="AP152" i="50" s="1"/>
  <c r="AF198" i="65"/>
  <c r="AE198" i="65"/>
  <c r="AE215" i="57"/>
  <c r="R215" i="57"/>
  <c r="AE215" i="53"/>
  <c r="R215" i="53"/>
  <c r="AG153" i="50"/>
  <c r="AH153" i="50" s="1"/>
  <c r="AL153" i="50"/>
  <c r="AG143" i="32"/>
  <c r="AH143" i="32" s="1"/>
  <c r="AL143" i="32"/>
  <c r="AB212" i="57"/>
  <c r="AF212" i="57"/>
  <c r="AG198" i="69"/>
  <c r="AG197" i="65"/>
  <c r="X213" i="57"/>
  <c r="AX199" i="69"/>
  <c r="O216" i="57"/>
  <c r="AG216" i="57" s="1"/>
  <c r="L216" i="57"/>
  <c r="T156" i="50"/>
  <c r="O156" i="50"/>
  <c r="T146" i="32"/>
  <c r="T145" i="32"/>
  <c r="AA212" i="57"/>
  <c r="AD154" i="50"/>
  <c r="AM155" i="50"/>
  <c r="U155" i="50"/>
  <c r="AJ215" i="57"/>
  <c r="AC215" i="57"/>
  <c r="AP215" i="57"/>
  <c r="AD144" i="32"/>
  <c r="AH198" i="65"/>
  <c r="AV198" i="65"/>
  <c r="AG215" i="53"/>
  <c r="AH215" i="53"/>
  <c r="AT215" i="53"/>
  <c r="AC215" i="53"/>
  <c r="N216" i="57"/>
  <c r="N216" i="53"/>
  <c r="AH199" i="69"/>
  <c r="AJ154" i="50"/>
  <c r="C154" i="50"/>
  <c r="AJ144" i="32"/>
  <c r="C144" i="32"/>
  <c r="AD215" i="57"/>
  <c r="Q215" i="53"/>
  <c r="AD215" i="53"/>
  <c r="X214" i="53"/>
  <c r="AF214" i="53" s="1"/>
  <c r="S155" i="50"/>
  <c r="V154" i="50"/>
  <c r="J216" i="53"/>
  <c r="P216" i="53"/>
  <c r="AK215" i="52" a="1"/>
  <c r="AK215" i="52" s="1"/>
  <c r="B217" i="53" s="1"/>
  <c r="O217" i="53" s="1"/>
  <c r="F216" i="53"/>
  <c r="L216" i="53"/>
  <c r="D216" i="53"/>
  <c r="H216" i="53"/>
  <c r="K216" i="53"/>
  <c r="C216" i="53"/>
  <c r="E216" i="53"/>
  <c r="G216" i="53"/>
  <c r="I216" i="53"/>
  <c r="A146" i="32"/>
  <c r="B146" i="32"/>
  <c r="A145" i="32"/>
  <c r="B145" i="32"/>
  <c r="F156" i="50"/>
  <c r="I156" i="50"/>
  <c r="K156" i="50"/>
  <c r="M156" i="50"/>
  <c r="H156" i="50"/>
  <c r="A156" i="50"/>
  <c r="Q156" i="50" s="1"/>
  <c r="P156" i="50" s="1"/>
  <c r="J156" i="50"/>
  <c r="L156" i="50"/>
  <c r="G156" i="50"/>
  <c r="B156" i="50"/>
  <c r="R156" i="50" s="1"/>
  <c r="N156" i="50"/>
  <c r="L146" i="32"/>
  <c r="G146" i="32"/>
  <c r="O146" i="32"/>
  <c r="H146" i="32"/>
  <c r="K146" i="32"/>
  <c r="M146" i="32"/>
  <c r="J146" i="32"/>
  <c r="F146" i="32"/>
  <c r="I146" i="32"/>
  <c r="N146" i="32"/>
  <c r="F145" i="32"/>
  <c r="N145" i="32"/>
  <c r="I145" i="32"/>
  <c r="J145" i="32"/>
  <c r="M145" i="32"/>
  <c r="G145" i="32"/>
  <c r="L145" i="32"/>
  <c r="O145" i="32"/>
  <c r="H145" i="32"/>
  <c r="K145" i="32"/>
  <c r="T214" i="57"/>
  <c r="Q215" i="57"/>
  <c r="J216" i="57"/>
  <c r="I216" i="57"/>
  <c r="F216" i="57"/>
  <c r="E216" i="57"/>
  <c r="D216" i="57"/>
  <c r="P216" i="57"/>
  <c r="K216" i="57"/>
  <c r="G216" i="57"/>
  <c r="C216" i="57"/>
  <c r="M216" i="57" s="1"/>
  <c r="H216" i="57"/>
  <c r="W154" i="50"/>
  <c r="X154" i="50" s="1"/>
  <c r="Z154" i="50"/>
  <c r="AK215" i="55" a="1"/>
  <c r="AK215" i="55" s="1"/>
  <c r="B217" i="57" s="1"/>
  <c r="W144" i="32"/>
  <c r="X144" i="32" s="1"/>
  <c r="Z144" i="32"/>
  <c r="AN201" i="67" a="1"/>
  <c r="AN201" i="67" s="1"/>
  <c r="B202" i="69"/>
  <c r="L202" i="69" s="1"/>
  <c r="N200" i="69"/>
  <c r="AF200" i="69" s="1"/>
  <c r="D200" i="69"/>
  <c r="E200" i="69" s="1"/>
  <c r="F200" i="69" s="1"/>
  <c r="G200" i="69" s="1"/>
  <c r="H200" i="69" s="1"/>
  <c r="I200" i="69" s="1"/>
  <c r="J200" i="69" s="1"/>
  <c r="K200" i="69" s="1"/>
  <c r="M200" i="69" s="1"/>
  <c r="P200" i="69"/>
  <c r="U199" i="69"/>
  <c r="AE199" i="69"/>
  <c r="R199" i="69"/>
  <c r="S199" i="69" s="1"/>
  <c r="Y199" i="69" s="1"/>
  <c r="AB199" i="69" s="1"/>
  <c r="AC199" i="69" s="1"/>
  <c r="AD199" i="69" s="1"/>
  <c r="Q199" i="69"/>
  <c r="C201" i="69"/>
  <c r="AO201" i="69" s="1"/>
  <c r="O201" i="69"/>
  <c r="AN200" i="63" a="1"/>
  <c r="AN200" i="63" s="1"/>
  <c r="B201" i="65"/>
  <c r="L201" i="65" s="1"/>
  <c r="D199" i="65"/>
  <c r="E199" i="65" s="1"/>
  <c r="F199" i="65" s="1"/>
  <c r="G199" i="65" s="1"/>
  <c r="H199" i="65" s="1"/>
  <c r="I199" i="65" s="1"/>
  <c r="J199" i="65" s="1"/>
  <c r="K199" i="65" s="1"/>
  <c r="M199" i="65" s="1"/>
  <c r="P199" i="65"/>
  <c r="N199" i="65"/>
  <c r="C200" i="65"/>
  <c r="AM200" i="65" s="1"/>
  <c r="O200" i="65"/>
  <c r="U198" i="65"/>
  <c r="Q198" i="65"/>
  <c r="R198" i="65"/>
  <c r="S198" i="65" s="1"/>
  <c r="Y198" i="65" s="1"/>
  <c r="AB198" i="65" s="1"/>
  <c r="AC198" i="65" s="1"/>
  <c r="AD198" i="65" s="1"/>
  <c r="AL146" i="11" a="1"/>
  <c r="AL146" i="11" s="1"/>
  <c r="E147" i="32" s="1"/>
  <c r="AK147" i="32" s="1"/>
  <c r="AL156" i="59" a="1"/>
  <c r="AL156" i="59" s="1"/>
  <c r="E157" i="50" s="1"/>
  <c r="AK157" i="50" s="1"/>
  <c r="AM46" i="59" a="1"/>
  <c r="AM46" i="59" s="1"/>
  <c r="AM31" i="11" a="1"/>
  <c r="AM31" i="11" s="1"/>
  <c r="AI143" i="32" l="1"/>
  <c r="AN143" i="32" s="1"/>
  <c r="AI153" i="50"/>
  <c r="AP153" i="50" s="1"/>
  <c r="AF199" i="65"/>
  <c r="AE199" i="65"/>
  <c r="AE216" i="57"/>
  <c r="R216" i="57"/>
  <c r="AE216" i="53"/>
  <c r="R216" i="53"/>
  <c r="AG154" i="50"/>
  <c r="AH154" i="50" s="1"/>
  <c r="AL154" i="50"/>
  <c r="AG144" i="32"/>
  <c r="AH144" i="32" s="1"/>
  <c r="AL144" i="32"/>
  <c r="AA213" i="57"/>
  <c r="AF213" i="57"/>
  <c r="AG199" i="69"/>
  <c r="AG198" i="65"/>
  <c r="P145" i="32"/>
  <c r="P146" i="32"/>
  <c r="AB213" i="57"/>
  <c r="AX200" i="69"/>
  <c r="O217" i="57"/>
  <c r="AG217" i="57" s="1"/>
  <c r="L217" i="57"/>
  <c r="T157" i="50"/>
  <c r="O157" i="50"/>
  <c r="T147" i="32"/>
  <c r="X214" i="57"/>
  <c r="AD155" i="50"/>
  <c r="AM145" i="32"/>
  <c r="U145" i="32"/>
  <c r="AJ216" i="57"/>
  <c r="AC216" i="57"/>
  <c r="AP216" i="57"/>
  <c r="AM146" i="32"/>
  <c r="U146" i="32"/>
  <c r="AM156" i="50"/>
  <c r="U156" i="50"/>
  <c r="AH199" i="65"/>
  <c r="AV199" i="65"/>
  <c r="AB214" i="53"/>
  <c r="AA214" i="53"/>
  <c r="AH216" i="53"/>
  <c r="AT216" i="53"/>
  <c r="AC216" i="53"/>
  <c r="AG216" i="53"/>
  <c r="X215" i="53"/>
  <c r="AF215" i="53" s="1"/>
  <c r="N217" i="57"/>
  <c r="F217" i="53"/>
  <c r="N217" i="53"/>
  <c r="AH200" i="69"/>
  <c r="AJ155" i="50"/>
  <c r="C155" i="50"/>
  <c r="AD216" i="57"/>
  <c r="AD216" i="53"/>
  <c r="S156" i="50"/>
  <c r="V155" i="50"/>
  <c r="S145" i="32"/>
  <c r="V145" i="32" s="1"/>
  <c r="S146" i="32"/>
  <c r="V146" i="32" s="1"/>
  <c r="Q216" i="53"/>
  <c r="L217" i="53"/>
  <c r="G217" i="53"/>
  <c r="J217" i="53"/>
  <c r="P217" i="53"/>
  <c r="D217" i="53"/>
  <c r="K217" i="53"/>
  <c r="AK216" i="52" a="1"/>
  <c r="AK216" i="52" s="1"/>
  <c r="B218" i="53" s="1"/>
  <c r="O218" i="53" s="1"/>
  <c r="C217" i="53"/>
  <c r="I217" i="53"/>
  <c r="H217" i="53"/>
  <c r="E217" i="53"/>
  <c r="A147" i="32"/>
  <c r="B147" i="32"/>
  <c r="F157" i="50"/>
  <c r="J157" i="50"/>
  <c r="I157" i="50"/>
  <c r="G157" i="50"/>
  <c r="M157" i="50"/>
  <c r="K157" i="50"/>
  <c r="N157" i="50"/>
  <c r="H157" i="50"/>
  <c r="A157" i="50"/>
  <c r="Q157" i="50" s="1"/>
  <c r="P157" i="50" s="1"/>
  <c r="B157" i="50"/>
  <c r="R157" i="50" s="1"/>
  <c r="L157" i="50"/>
  <c r="J147" i="32"/>
  <c r="M147" i="32"/>
  <c r="F147" i="32"/>
  <c r="N147" i="32"/>
  <c r="I147" i="32"/>
  <c r="H147" i="32"/>
  <c r="K147" i="32"/>
  <c r="G147" i="32"/>
  <c r="L147" i="32"/>
  <c r="O147" i="32"/>
  <c r="Q216" i="57"/>
  <c r="T215" i="57"/>
  <c r="C217" i="57"/>
  <c r="M217" i="57" s="1"/>
  <c r="P217" i="57"/>
  <c r="K217" i="57"/>
  <c r="H217" i="57"/>
  <c r="F217" i="57"/>
  <c r="I217" i="57"/>
  <c r="E217" i="57"/>
  <c r="G217" i="57"/>
  <c r="D217" i="57"/>
  <c r="J217" i="57"/>
  <c r="Z155" i="50"/>
  <c r="W155" i="50"/>
  <c r="X155" i="50" s="1"/>
  <c r="AK216" i="55" a="1"/>
  <c r="AK216" i="55" s="1"/>
  <c r="B218" i="57" s="1"/>
  <c r="AN202" i="67" a="1"/>
  <c r="AN202" i="67" s="1"/>
  <c r="B203" i="69"/>
  <c r="L203" i="69" s="1"/>
  <c r="Q200" i="69"/>
  <c r="AE200" i="69"/>
  <c r="R200" i="69"/>
  <c r="S200" i="69" s="1"/>
  <c r="Y200" i="69" s="1"/>
  <c r="AB200" i="69" s="1"/>
  <c r="AC200" i="69" s="1"/>
  <c r="AD200" i="69" s="1"/>
  <c r="U200" i="69"/>
  <c r="P201" i="69"/>
  <c r="N201" i="69"/>
  <c r="AF201" i="69" s="1"/>
  <c r="D201" i="69"/>
  <c r="E201" i="69" s="1"/>
  <c r="F201" i="69" s="1"/>
  <c r="G201" i="69" s="1"/>
  <c r="H201" i="69" s="1"/>
  <c r="I201" i="69" s="1"/>
  <c r="J201" i="69" s="1"/>
  <c r="K201" i="69" s="1"/>
  <c r="M201" i="69" s="1"/>
  <c r="C202" i="69"/>
  <c r="AO202" i="69" s="1"/>
  <c r="O202" i="69"/>
  <c r="AN201" i="63" a="1"/>
  <c r="AN201" i="63" s="1"/>
  <c r="B202" i="65"/>
  <c r="L202" i="65" s="1"/>
  <c r="U199" i="65"/>
  <c r="Q199" i="65"/>
  <c r="R199" i="65"/>
  <c r="S199" i="65" s="1"/>
  <c r="Y199" i="65" s="1"/>
  <c r="AB199" i="65" s="1"/>
  <c r="AC199" i="65" s="1"/>
  <c r="AD199" i="65" s="1"/>
  <c r="P200" i="65"/>
  <c r="N200" i="65"/>
  <c r="D200" i="65"/>
  <c r="E200" i="65" s="1"/>
  <c r="F200" i="65" s="1"/>
  <c r="G200" i="65" s="1"/>
  <c r="H200" i="65" s="1"/>
  <c r="I200" i="65" s="1"/>
  <c r="J200" i="65" s="1"/>
  <c r="K200" i="65" s="1"/>
  <c r="M200" i="65" s="1"/>
  <c r="O201" i="65"/>
  <c r="C201" i="65"/>
  <c r="AM201" i="65" s="1"/>
  <c r="AL147" i="11" a="1"/>
  <c r="AL147" i="11" s="1"/>
  <c r="E148" i="32" s="1"/>
  <c r="AK148" i="32" s="1"/>
  <c r="AL157" i="59" a="1"/>
  <c r="AL157" i="59" s="1"/>
  <c r="E158" i="50" s="1"/>
  <c r="AK158" i="50" s="1"/>
  <c r="AM47" i="59" a="1"/>
  <c r="AM47" i="59" s="1"/>
  <c r="AM32" i="11" a="1"/>
  <c r="AM32" i="11" s="1"/>
  <c r="AI144" i="32" l="1"/>
  <c r="AN144" i="32" s="1"/>
  <c r="AI154" i="50"/>
  <c r="AP154" i="50" s="1"/>
  <c r="AF200" i="65"/>
  <c r="AE200" i="65"/>
  <c r="AE217" i="57"/>
  <c r="R217" i="57"/>
  <c r="AE217" i="53"/>
  <c r="R217" i="53"/>
  <c r="AG155" i="50"/>
  <c r="AH155" i="50" s="1"/>
  <c r="AL155" i="50"/>
  <c r="AB214" i="57"/>
  <c r="AF214" i="57"/>
  <c r="AG200" i="69"/>
  <c r="AG199" i="65"/>
  <c r="P147" i="32"/>
  <c r="AX201" i="69"/>
  <c r="O218" i="57"/>
  <c r="AG218" i="57" s="1"/>
  <c r="L218" i="57"/>
  <c r="AA214" i="57"/>
  <c r="T158" i="50"/>
  <c r="O158" i="50"/>
  <c r="T148" i="32"/>
  <c r="X215" i="57"/>
  <c r="AJ217" i="57"/>
  <c r="AC217" i="57"/>
  <c r="AP217" i="57"/>
  <c r="AD145" i="32"/>
  <c r="AM147" i="32"/>
  <c r="U147" i="32"/>
  <c r="AD146" i="32"/>
  <c r="AM157" i="50"/>
  <c r="U157" i="50"/>
  <c r="AD156" i="50"/>
  <c r="AH200" i="65"/>
  <c r="AV200" i="65"/>
  <c r="AH217" i="53"/>
  <c r="AC217" i="53"/>
  <c r="AT217" i="53"/>
  <c r="AG217" i="53"/>
  <c r="AB215" i="53"/>
  <c r="AA215" i="53"/>
  <c r="N218" i="57"/>
  <c r="N218" i="53"/>
  <c r="AH201" i="69"/>
  <c r="AJ156" i="50"/>
  <c r="C156" i="50"/>
  <c r="AJ145" i="32"/>
  <c r="C145" i="32"/>
  <c r="AJ146" i="32"/>
  <c r="C146" i="32"/>
  <c r="AD217" i="57"/>
  <c r="AD217" i="53"/>
  <c r="X216" i="53"/>
  <c r="AF216" i="53" s="1"/>
  <c r="Q217" i="53"/>
  <c r="S157" i="50"/>
  <c r="V156" i="50"/>
  <c r="S147" i="32"/>
  <c r="V147" i="32" s="1"/>
  <c r="L218" i="53"/>
  <c r="G218" i="53"/>
  <c r="AK217" i="52" a="1"/>
  <c r="AK217" i="52" s="1"/>
  <c r="B219" i="53" s="1"/>
  <c r="O219" i="53" s="1"/>
  <c r="D218" i="53"/>
  <c r="I218" i="53"/>
  <c r="F218" i="53"/>
  <c r="H218" i="53"/>
  <c r="E218" i="53"/>
  <c r="C218" i="53"/>
  <c r="P218" i="53"/>
  <c r="J218" i="53"/>
  <c r="K218" i="53"/>
  <c r="A148" i="32"/>
  <c r="B148" i="32"/>
  <c r="G158" i="50"/>
  <c r="K158" i="50"/>
  <c r="M158" i="50"/>
  <c r="L158" i="50"/>
  <c r="A158" i="50"/>
  <c r="Q158" i="50" s="1"/>
  <c r="P158" i="50" s="1"/>
  <c r="I158" i="50"/>
  <c r="H158" i="50"/>
  <c r="F158" i="50"/>
  <c r="N158" i="50"/>
  <c r="J158" i="50"/>
  <c r="B158" i="50"/>
  <c r="R158" i="50" s="1"/>
  <c r="H148" i="32"/>
  <c r="K148" i="32"/>
  <c r="L148" i="32"/>
  <c r="G148" i="32"/>
  <c r="O148" i="32"/>
  <c r="I148" i="32"/>
  <c r="N148" i="32"/>
  <c r="F148" i="32"/>
  <c r="J148" i="32"/>
  <c r="M148" i="32"/>
  <c r="Z145" i="32"/>
  <c r="W145" i="32"/>
  <c r="X145" i="32" s="1"/>
  <c r="T216" i="57"/>
  <c r="H218" i="57"/>
  <c r="I218" i="57"/>
  <c r="D218" i="57"/>
  <c r="F218" i="57"/>
  <c r="K218" i="57"/>
  <c r="P218" i="57"/>
  <c r="G218" i="57"/>
  <c r="E218" i="57"/>
  <c r="C218" i="57"/>
  <c r="M218" i="57" s="1"/>
  <c r="J218" i="57"/>
  <c r="Q217" i="57"/>
  <c r="W156" i="50"/>
  <c r="X156" i="50" s="1"/>
  <c r="Z156" i="50"/>
  <c r="AK217" i="55" a="1"/>
  <c r="AK217" i="55" s="1"/>
  <c r="B219" i="57" s="1"/>
  <c r="W146" i="32"/>
  <c r="X146" i="32" s="1"/>
  <c r="Z146" i="32"/>
  <c r="C203" i="69"/>
  <c r="AO203" i="69" s="1"/>
  <c r="O203" i="69"/>
  <c r="Q201" i="69"/>
  <c r="U201" i="69"/>
  <c r="AE201" i="69"/>
  <c r="R201" i="69"/>
  <c r="S201" i="69" s="1"/>
  <c r="Y201" i="69" s="1"/>
  <c r="AB201" i="69" s="1"/>
  <c r="AC201" i="69" s="1"/>
  <c r="AD201" i="69" s="1"/>
  <c r="D202" i="69"/>
  <c r="E202" i="69" s="1"/>
  <c r="F202" i="69" s="1"/>
  <c r="G202" i="69" s="1"/>
  <c r="H202" i="69" s="1"/>
  <c r="I202" i="69" s="1"/>
  <c r="J202" i="69" s="1"/>
  <c r="K202" i="69" s="1"/>
  <c r="M202" i="69" s="1"/>
  <c r="N202" i="69"/>
  <c r="AF202" i="69" s="1"/>
  <c r="P202" i="69"/>
  <c r="AN203" i="67" a="1"/>
  <c r="AN203" i="67" s="1"/>
  <c r="B204" i="69"/>
  <c r="L204" i="69" s="1"/>
  <c r="AN202" i="63" a="1"/>
  <c r="AN202" i="63" s="1"/>
  <c r="B203" i="65"/>
  <c r="L203" i="65" s="1"/>
  <c r="Q200" i="65"/>
  <c r="R200" i="65"/>
  <c r="S200" i="65" s="1"/>
  <c r="Y200" i="65" s="1"/>
  <c r="AB200" i="65" s="1"/>
  <c r="AC200" i="65" s="1"/>
  <c r="AD200" i="65" s="1"/>
  <c r="U200" i="65"/>
  <c r="C202" i="65"/>
  <c r="AM202" i="65" s="1"/>
  <c r="O202" i="65"/>
  <c r="P201" i="65"/>
  <c r="D201" i="65"/>
  <c r="E201" i="65" s="1"/>
  <c r="F201" i="65" s="1"/>
  <c r="G201" i="65" s="1"/>
  <c r="H201" i="65" s="1"/>
  <c r="I201" i="65" s="1"/>
  <c r="J201" i="65" s="1"/>
  <c r="K201" i="65" s="1"/>
  <c r="M201" i="65" s="1"/>
  <c r="N201" i="65"/>
  <c r="AL148" i="11" a="1"/>
  <c r="AL148" i="11" s="1"/>
  <c r="E149" i="32" s="1"/>
  <c r="AK149" i="32" s="1"/>
  <c r="AL158" i="59" a="1"/>
  <c r="AL158" i="59" s="1"/>
  <c r="E159" i="50" s="1"/>
  <c r="AK159" i="50" s="1"/>
  <c r="AM48" i="59" a="1"/>
  <c r="AM48" i="59" s="1"/>
  <c r="AM33" i="11" a="1"/>
  <c r="AM33" i="11" s="1"/>
  <c r="AI155" i="50" l="1"/>
  <c r="AP155" i="50" s="1"/>
  <c r="AF201" i="65"/>
  <c r="AE201" i="65"/>
  <c r="AE218" i="57"/>
  <c r="R218" i="57"/>
  <c r="AE218" i="53"/>
  <c r="R218" i="53"/>
  <c r="AL145" i="32"/>
  <c r="AG156" i="50"/>
  <c r="AH156" i="50" s="1"/>
  <c r="AL156" i="50"/>
  <c r="AG146" i="32"/>
  <c r="AH146" i="32" s="1"/>
  <c r="AL146" i="32"/>
  <c r="AB215" i="57"/>
  <c r="AF215" i="57"/>
  <c r="AG201" i="69"/>
  <c r="AG200" i="65"/>
  <c r="P148" i="32"/>
  <c r="AG145" i="32"/>
  <c r="AH145" i="32" s="1"/>
  <c r="AX202" i="69"/>
  <c r="L219" i="57"/>
  <c r="O219" i="57"/>
  <c r="AG219" i="57" s="1"/>
  <c r="X216" i="57"/>
  <c r="T159" i="50"/>
  <c r="O159" i="50"/>
  <c r="T149" i="32"/>
  <c r="AA215" i="57"/>
  <c r="AD157" i="50"/>
  <c r="AM148" i="32"/>
  <c r="U148" i="32"/>
  <c r="AJ218" i="57"/>
  <c r="AC218" i="57"/>
  <c r="AP218" i="57"/>
  <c r="AM158" i="50"/>
  <c r="U158" i="50"/>
  <c r="AD147" i="32"/>
  <c r="AH201" i="65"/>
  <c r="AV201" i="65"/>
  <c r="AB216" i="53"/>
  <c r="AA216" i="53"/>
  <c r="AH218" i="53"/>
  <c r="AC218" i="53"/>
  <c r="AT218" i="53"/>
  <c r="AG218" i="53"/>
  <c r="N219" i="57"/>
  <c r="X217" i="53"/>
  <c r="AF217" i="53" s="1"/>
  <c r="N219" i="53"/>
  <c r="AH202" i="69"/>
  <c r="AJ157" i="50"/>
  <c r="C157" i="50"/>
  <c r="AJ147" i="32"/>
  <c r="C147" i="32"/>
  <c r="AD218" i="57"/>
  <c r="Q218" i="53"/>
  <c r="AD218" i="53"/>
  <c r="S158" i="50"/>
  <c r="V157" i="50"/>
  <c r="S148" i="32"/>
  <c r="V148" i="32" s="1"/>
  <c r="H219" i="53"/>
  <c r="P219" i="53"/>
  <c r="L219" i="53"/>
  <c r="K219" i="53"/>
  <c r="E219" i="53"/>
  <c r="F219" i="53"/>
  <c r="D219" i="53"/>
  <c r="I219" i="53"/>
  <c r="AK218" i="52" a="1"/>
  <c r="AK218" i="52" s="1"/>
  <c r="B220" i="53" s="1"/>
  <c r="O220" i="53" s="1"/>
  <c r="G219" i="53"/>
  <c r="J219" i="53"/>
  <c r="C219" i="53"/>
  <c r="A149" i="32"/>
  <c r="B149" i="32"/>
  <c r="F159" i="50"/>
  <c r="A159" i="50"/>
  <c r="Q159" i="50" s="1"/>
  <c r="P159" i="50" s="1"/>
  <c r="L159" i="50"/>
  <c r="B159" i="50"/>
  <c r="R159" i="50" s="1"/>
  <c r="K159" i="50"/>
  <c r="J159" i="50"/>
  <c r="G159" i="50"/>
  <c r="N159" i="50"/>
  <c r="M159" i="50"/>
  <c r="I159" i="50"/>
  <c r="H159" i="50"/>
  <c r="F149" i="32"/>
  <c r="N149" i="32"/>
  <c r="I149" i="32"/>
  <c r="J149" i="32"/>
  <c r="M149" i="32"/>
  <c r="O149" i="32"/>
  <c r="G149" i="32"/>
  <c r="L149" i="32"/>
  <c r="H149" i="32"/>
  <c r="K149" i="32"/>
  <c r="T217" i="57"/>
  <c r="G219" i="57"/>
  <c r="K219" i="57"/>
  <c r="F219" i="57"/>
  <c r="H219" i="57"/>
  <c r="C219" i="57"/>
  <c r="M219" i="57" s="1"/>
  <c r="E219" i="57"/>
  <c r="I219" i="57"/>
  <c r="P219" i="57"/>
  <c r="D219" i="57"/>
  <c r="J219" i="57"/>
  <c r="W157" i="50"/>
  <c r="X157" i="50" s="1"/>
  <c r="Z157" i="50"/>
  <c r="Q218" i="57"/>
  <c r="AK218" i="55" a="1"/>
  <c r="AK218" i="55" s="1"/>
  <c r="B220" i="57" s="1"/>
  <c r="W147" i="32"/>
  <c r="X147" i="32" s="1"/>
  <c r="Z147" i="32"/>
  <c r="AN204" i="67" a="1"/>
  <c r="AN204" i="67" s="1"/>
  <c r="B205" i="69"/>
  <c r="L205" i="69" s="1"/>
  <c r="P203" i="69"/>
  <c r="D203" i="69"/>
  <c r="E203" i="69" s="1"/>
  <c r="F203" i="69" s="1"/>
  <c r="G203" i="69" s="1"/>
  <c r="H203" i="69" s="1"/>
  <c r="I203" i="69" s="1"/>
  <c r="J203" i="69" s="1"/>
  <c r="K203" i="69" s="1"/>
  <c r="M203" i="69" s="1"/>
  <c r="N203" i="69"/>
  <c r="AF203" i="69" s="1"/>
  <c r="R202" i="69"/>
  <c r="S202" i="69" s="1"/>
  <c r="Y202" i="69" s="1"/>
  <c r="AB202" i="69" s="1"/>
  <c r="AC202" i="69" s="1"/>
  <c r="AD202" i="69" s="1"/>
  <c r="Q202" i="69"/>
  <c r="AE202" i="69"/>
  <c r="U202" i="69"/>
  <c r="O204" i="69"/>
  <c r="C204" i="69"/>
  <c r="AO204" i="69" s="1"/>
  <c r="AN203" i="63" a="1"/>
  <c r="AN203" i="63" s="1"/>
  <c r="B204" i="65"/>
  <c r="L204" i="65" s="1"/>
  <c r="U201" i="65"/>
  <c r="Q201" i="65"/>
  <c r="R201" i="65"/>
  <c r="S201" i="65" s="1"/>
  <c r="Y201" i="65" s="1"/>
  <c r="AB201" i="65" s="1"/>
  <c r="AC201" i="65" s="1"/>
  <c r="AD201" i="65" s="1"/>
  <c r="C203" i="65"/>
  <c r="AM203" i="65" s="1"/>
  <c r="O203" i="65"/>
  <c r="P202" i="65"/>
  <c r="D202" i="65"/>
  <c r="E202" i="65" s="1"/>
  <c r="F202" i="65" s="1"/>
  <c r="G202" i="65" s="1"/>
  <c r="H202" i="65" s="1"/>
  <c r="I202" i="65" s="1"/>
  <c r="J202" i="65" s="1"/>
  <c r="K202" i="65" s="1"/>
  <c r="M202" i="65" s="1"/>
  <c r="N202" i="65"/>
  <c r="AL149" i="11" a="1"/>
  <c r="AL149" i="11" s="1"/>
  <c r="E150" i="32" s="1"/>
  <c r="AK150" i="32" s="1"/>
  <c r="AL159" i="59" a="1"/>
  <c r="AL159" i="59" s="1"/>
  <c r="E160" i="50" s="1"/>
  <c r="AK160" i="50" s="1"/>
  <c r="AM49" i="59" a="1"/>
  <c r="AM49" i="59" s="1"/>
  <c r="AM34" i="11" a="1"/>
  <c r="AM34" i="11" s="1"/>
  <c r="AI146" i="32" l="1"/>
  <c r="AN146" i="32" s="1"/>
  <c r="AI156" i="50"/>
  <c r="AP156" i="50" s="1"/>
  <c r="AF202" i="65"/>
  <c r="AE202" i="65"/>
  <c r="AE219" i="57"/>
  <c r="R219" i="57"/>
  <c r="AE219" i="53"/>
  <c r="R219" i="53"/>
  <c r="AG157" i="50"/>
  <c r="AH157" i="50" s="1"/>
  <c r="AL157" i="50"/>
  <c r="AG147" i="32"/>
  <c r="AH147" i="32" s="1"/>
  <c r="AL147" i="32"/>
  <c r="AB216" i="57"/>
  <c r="AF216" i="57"/>
  <c r="AG202" i="69"/>
  <c r="AG201" i="65"/>
  <c r="P149" i="32"/>
  <c r="AI145" i="32"/>
  <c r="AN145" i="32" s="1"/>
  <c r="AX203" i="69"/>
  <c r="X217" i="57"/>
  <c r="AA216" i="57"/>
  <c r="O220" i="57"/>
  <c r="AG220" i="57" s="1"/>
  <c r="L220" i="57"/>
  <c r="T160" i="50"/>
  <c r="O160" i="50"/>
  <c r="T150" i="32"/>
  <c r="AJ219" i="57"/>
  <c r="AC219" i="57"/>
  <c r="AP219" i="57"/>
  <c r="AM149" i="32"/>
  <c r="U149" i="32"/>
  <c r="AD158" i="50"/>
  <c r="AD148" i="32"/>
  <c r="AM159" i="50"/>
  <c r="U159" i="50"/>
  <c r="AH202" i="65"/>
  <c r="AV202" i="65"/>
  <c r="AG219" i="53"/>
  <c r="AH219" i="53"/>
  <c r="AC219" i="53"/>
  <c r="AT219" i="53"/>
  <c r="AB217" i="53"/>
  <c r="AA217" i="53"/>
  <c r="N220" i="57"/>
  <c r="X218" i="53"/>
  <c r="AF218" i="53" s="1"/>
  <c r="N220" i="53"/>
  <c r="AH203" i="69"/>
  <c r="AJ158" i="50"/>
  <c r="C158" i="50"/>
  <c r="AJ148" i="32"/>
  <c r="C148" i="32"/>
  <c r="AD219" i="57"/>
  <c r="AD219" i="53"/>
  <c r="S159" i="50"/>
  <c r="V158" i="50"/>
  <c r="S149" i="32"/>
  <c r="V149" i="32" s="1"/>
  <c r="AK219" i="52" a="1"/>
  <c r="AK219" i="52" s="1"/>
  <c r="B221" i="53" s="1"/>
  <c r="O221" i="53" s="1"/>
  <c r="G220" i="53"/>
  <c r="D220" i="53"/>
  <c r="K220" i="53"/>
  <c r="Q219" i="53"/>
  <c r="J220" i="53"/>
  <c r="L220" i="53"/>
  <c r="H220" i="53"/>
  <c r="C220" i="53"/>
  <c r="F220" i="53"/>
  <c r="P220" i="53"/>
  <c r="I220" i="53"/>
  <c r="E220" i="53"/>
  <c r="A150" i="32"/>
  <c r="B150" i="32"/>
  <c r="F160" i="50"/>
  <c r="J160" i="50"/>
  <c r="M160" i="50"/>
  <c r="G160" i="50"/>
  <c r="K160" i="50"/>
  <c r="B160" i="50"/>
  <c r="R160" i="50" s="1"/>
  <c r="N160" i="50"/>
  <c r="L160" i="50"/>
  <c r="H160" i="50"/>
  <c r="I160" i="50"/>
  <c r="A160" i="50"/>
  <c r="Q160" i="50" s="1"/>
  <c r="P160" i="50" s="1"/>
  <c r="L150" i="32"/>
  <c r="G150" i="32"/>
  <c r="O150" i="32"/>
  <c r="H150" i="32"/>
  <c r="K150" i="32"/>
  <c r="J150" i="32"/>
  <c r="M150" i="32"/>
  <c r="F150" i="32"/>
  <c r="I150" i="32"/>
  <c r="N150" i="32"/>
  <c r="T218" i="57"/>
  <c r="I220" i="57"/>
  <c r="F220" i="57"/>
  <c r="D220" i="57"/>
  <c r="H220" i="57"/>
  <c r="J220" i="57"/>
  <c r="P220" i="57"/>
  <c r="G220" i="57"/>
  <c r="E220" i="57"/>
  <c r="C220" i="57"/>
  <c r="M220" i="57" s="1"/>
  <c r="K220" i="57"/>
  <c r="Z158" i="50"/>
  <c r="W158" i="50"/>
  <c r="X158" i="50" s="1"/>
  <c r="Q219" i="57"/>
  <c r="AK219" i="55" a="1"/>
  <c r="AK219" i="55" s="1"/>
  <c r="B221" i="57" s="1"/>
  <c r="W148" i="32"/>
  <c r="X148" i="32" s="1"/>
  <c r="Z148" i="32"/>
  <c r="AN205" i="67" a="1"/>
  <c r="AN205" i="67" s="1"/>
  <c r="B206" i="69"/>
  <c r="L206" i="69" s="1"/>
  <c r="D204" i="69"/>
  <c r="E204" i="69" s="1"/>
  <c r="F204" i="69" s="1"/>
  <c r="G204" i="69" s="1"/>
  <c r="H204" i="69" s="1"/>
  <c r="I204" i="69" s="1"/>
  <c r="J204" i="69" s="1"/>
  <c r="K204" i="69" s="1"/>
  <c r="M204" i="69" s="1"/>
  <c r="N204" i="69"/>
  <c r="AF204" i="69" s="1"/>
  <c r="P204" i="69"/>
  <c r="C205" i="69"/>
  <c r="AO205" i="69" s="1"/>
  <c r="O205" i="69"/>
  <c r="AE203" i="69"/>
  <c r="U203" i="69"/>
  <c r="Q203" i="69"/>
  <c r="R203" i="69"/>
  <c r="S203" i="69" s="1"/>
  <c r="Y203" i="69" s="1"/>
  <c r="AB203" i="69" s="1"/>
  <c r="AC203" i="69" s="1"/>
  <c r="AD203" i="69" s="1"/>
  <c r="AN204" i="63" a="1"/>
  <c r="AN204" i="63" s="1"/>
  <c r="B205" i="65"/>
  <c r="L205" i="65" s="1"/>
  <c r="U202" i="65"/>
  <c r="Q202" i="65"/>
  <c r="R202" i="65"/>
  <c r="S202" i="65" s="1"/>
  <c r="Y202" i="65" s="1"/>
  <c r="AB202" i="65" s="1"/>
  <c r="AC202" i="65" s="1"/>
  <c r="AD202" i="65" s="1"/>
  <c r="O204" i="65"/>
  <c r="C204" i="65"/>
  <c r="AM204" i="65" s="1"/>
  <c r="D203" i="65"/>
  <c r="E203" i="65" s="1"/>
  <c r="F203" i="65" s="1"/>
  <c r="G203" i="65" s="1"/>
  <c r="H203" i="65" s="1"/>
  <c r="I203" i="65" s="1"/>
  <c r="J203" i="65" s="1"/>
  <c r="K203" i="65" s="1"/>
  <c r="M203" i="65" s="1"/>
  <c r="P203" i="65"/>
  <c r="N203" i="65"/>
  <c r="AL150" i="11" a="1"/>
  <c r="AL150" i="11" s="1"/>
  <c r="E151" i="32" s="1"/>
  <c r="AK151" i="32" s="1"/>
  <c r="AL160" i="59" a="1"/>
  <c r="AL160" i="59" s="1"/>
  <c r="E161" i="50" s="1"/>
  <c r="AK161" i="50" s="1"/>
  <c r="AM50" i="59" a="1"/>
  <c r="AM50" i="59" s="1"/>
  <c r="AM35" i="11" a="1"/>
  <c r="AM35" i="11" s="1"/>
  <c r="AI147" i="32" l="1"/>
  <c r="AN147" i="32" s="1"/>
  <c r="AI157" i="50"/>
  <c r="AP157" i="50" s="1"/>
  <c r="AF203" i="65"/>
  <c r="AE203" i="65"/>
  <c r="AE220" i="57"/>
  <c r="R220" i="57"/>
  <c r="AE220" i="53"/>
  <c r="R220" i="53"/>
  <c r="AG158" i="50"/>
  <c r="AH158" i="50" s="1"/>
  <c r="AL158" i="50"/>
  <c r="AG148" i="32"/>
  <c r="AH148" i="32" s="1"/>
  <c r="AL148" i="32"/>
  <c r="AB217" i="57"/>
  <c r="AF217" i="57"/>
  <c r="AG203" i="69"/>
  <c r="AG202" i="65"/>
  <c r="P150" i="32"/>
  <c r="AX204" i="69"/>
  <c r="AA217" i="57"/>
  <c r="O221" i="57"/>
  <c r="AG221" i="57" s="1"/>
  <c r="L221" i="57"/>
  <c r="O161" i="50"/>
  <c r="T161" i="50"/>
  <c r="T151" i="32"/>
  <c r="X218" i="57"/>
  <c r="AF218" i="57" s="1"/>
  <c r="AD159" i="50"/>
  <c r="AM150" i="32"/>
  <c r="U150" i="32"/>
  <c r="AD149" i="32"/>
  <c r="AM160" i="50"/>
  <c r="U160" i="50"/>
  <c r="AJ220" i="57"/>
  <c r="AC220" i="57"/>
  <c r="AP220" i="57"/>
  <c r="AH203" i="65"/>
  <c r="AV203" i="65"/>
  <c r="AG220" i="53"/>
  <c r="AB218" i="53"/>
  <c r="AA218" i="53"/>
  <c r="AH220" i="53"/>
  <c r="AC220" i="53"/>
  <c r="AT220" i="53"/>
  <c r="N221" i="57"/>
  <c r="P221" i="53"/>
  <c r="N221" i="53"/>
  <c r="AH204" i="69"/>
  <c r="AJ159" i="50"/>
  <c r="C159" i="50"/>
  <c r="AJ149" i="32"/>
  <c r="C149" i="32"/>
  <c r="AD220" i="57"/>
  <c r="AD220" i="53"/>
  <c r="Q220" i="53"/>
  <c r="S160" i="50"/>
  <c r="V159" i="50"/>
  <c r="S150" i="32"/>
  <c r="V150" i="32" s="1"/>
  <c r="X219" i="53"/>
  <c r="AF219" i="53" s="1"/>
  <c r="E221" i="53"/>
  <c r="C221" i="53"/>
  <c r="K221" i="53"/>
  <c r="I221" i="53"/>
  <c r="H221" i="53"/>
  <c r="L221" i="53"/>
  <c r="G221" i="53"/>
  <c r="F221" i="53"/>
  <c r="AK220" i="52" a="1"/>
  <c r="AK220" i="52" s="1"/>
  <c r="B222" i="53" s="1"/>
  <c r="O222" i="53" s="1"/>
  <c r="J221" i="53"/>
  <c r="D221" i="53"/>
  <c r="A151" i="32"/>
  <c r="B151" i="32"/>
  <c r="H161" i="50"/>
  <c r="I161" i="50"/>
  <c r="J161" i="50"/>
  <c r="F161" i="50"/>
  <c r="L161" i="50"/>
  <c r="M161" i="50"/>
  <c r="K161" i="50"/>
  <c r="N161" i="50"/>
  <c r="B161" i="50"/>
  <c r="R161" i="50" s="1"/>
  <c r="A161" i="50"/>
  <c r="Q161" i="50" s="1"/>
  <c r="P161" i="50" s="1"/>
  <c r="G161" i="50"/>
  <c r="J151" i="32"/>
  <c r="M151" i="32"/>
  <c r="F151" i="32"/>
  <c r="N151" i="32"/>
  <c r="I151" i="32"/>
  <c r="K151" i="32"/>
  <c r="H151" i="32"/>
  <c r="L151" i="32"/>
  <c r="O151" i="32"/>
  <c r="G151" i="32"/>
  <c r="T219" i="57"/>
  <c r="Q220" i="57"/>
  <c r="F221" i="57"/>
  <c r="D221" i="57"/>
  <c r="P221" i="57"/>
  <c r="C221" i="57"/>
  <c r="M221" i="57" s="1"/>
  <c r="K221" i="57"/>
  <c r="J221" i="57"/>
  <c r="H221" i="57"/>
  <c r="I221" i="57"/>
  <c r="E221" i="57"/>
  <c r="G221" i="57"/>
  <c r="W159" i="50"/>
  <c r="X159" i="50" s="1"/>
  <c r="Z159" i="50"/>
  <c r="AK220" i="55" a="1"/>
  <c r="AK220" i="55" s="1"/>
  <c r="B222" i="57" s="1"/>
  <c r="W149" i="32"/>
  <c r="X149" i="32" s="1"/>
  <c r="Z149" i="32"/>
  <c r="AN206" i="67" a="1"/>
  <c r="AN206" i="67" s="1"/>
  <c r="B207" i="69"/>
  <c r="L207" i="69" s="1"/>
  <c r="Q204" i="69"/>
  <c r="U204" i="69"/>
  <c r="AE204" i="69"/>
  <c r="R204" i="69"/>
  <c r="S204" i="69" s="1"/>
  <c r="Y204" i="69" s="1"/>
  <c r="AB204" i="69" s="1"/>
  <c r="AC204" i="69" s="1"/>
  <c r="AD204" i="69" s="1"/>
  <c r="N205" i="69"/>
  <c r="AF205" i="69" s="1"/>
  <c r="D205" i="69"/>
  <c r="E205" i="69" s="1"/>
  <c r="F205" i="69" s="1"/>
  <c r="G205" i="69" s="1"/>
  <c r="H205" i="69" s="1"/>
  <c r="I205" i="69" s="1"/>
  <c r="J205" i="69" s="1"/>
  <c r="K205" i="69" s="1"/>
  <c r="M205" i="69" s="1"/>
  <c r="P205" i="69"/>
  <c r="O206" i="69"/>
  <c r="C206" i="69"/>
  <c r="AO206" i="69" s="1"/>
  <c r="AN205" i="63" a="1"/>
  <c r="AN205" i="63" s="1"/>
  <c r="B206" i="65"/>
  <c r="L206" i="65" s="1"/>
  <c r="P204" i="65"/>
  <c r="D204" i="65"/>
  <c r="E204" i="65" s="1"/>
  <c r="F204" i="65" s="1"/>
  <c r="G204" i="65" s="1"/>
  <c r="H204" i="65" s="1"/>
  <c r="I204" i="65" s="1"/>
  <c r="J204" i="65" s="1"/>
  <c r="K204" i="65" s="1"/>
  <c r="M204" i="65" s="1"/>
  <c r="N204" i="65"/>
  <c r="C205" i="65"/>
  <c r="AM205" i="65" s="1"/>
  <c r="O205" i="65"/>
  <c r="Q203" i="65"/>
  <c r="R203" i="65"/>
  <c r="S203" i="65" s="1"/>
  <c r="Y203" i="65" s="1"/>
  <c r="AB203" i="65" s="1"/>
  <c r="AC203" i="65" s="1"/>
  <c r="AD203" i="65" s="1"/>
  <c r="U203" i="65"/>
  <c r="AL151" i="11" a="1"/>
  <c r="AL151" i="11" s="1"/>
  <c r="E152" i="32" s="1"/>
  <c r="AK152" i="32" s="1"/>
  <c r="AL161" i="59" a="1"/>
  <c r="AL161" i="59" s="1"/>
  <c r="E162" i="50" s="1"/>
  <c r="AK162" i="50" s="1"/>
  <c r="AM51" i="59" a="1"/>
  <c r="AM51" i="59" s="1"/>
  <c r="AM36" i="11" a="1"/>
  <c r="AM36" i="11" s="1"/>
  <c r="X220" i="53" l="1"/>
  <c r="AF220" i="53" s="1"/>
  <c r="AI148" i="32"/>
  <c r="AN148" i="32" s="1"/>
  <c r="AI158" i="50"/>
  <c r="AP158" i="50" s="1"/>
  <c r="AF204" i="65"/>
  <c r="AE204" i="65"/>
  <c r="AE221" i="57"/>
  <c r="R221" i="57"/>
  <c r="AE221" i="53"/>
  <c r="R221" i="53"/>
  <c r="AG159" i="50"/>
  <c r="AH159" i="50" s="1"/>
  <c r="AL159" i="50"/>
  <c r="AG149" i="32"/>
  <c r="AH149" i="32" s="1"/>
  <c r="AL149" i="32"/>
  <c r="AG204" i="69"/>
  <c r="AG203" i="65"/>
  <c r="P151" i="32"/>
  <c r="AX205" i="69"/>
  <c r="O222" i="57"/>
  <c r="AG222" i="57" s="1"/>
  <c r="L222" i="57"/>
  <c r="X219" i="57"/>
  <c r="O162" i="50"/>
  <c r="T162" i="50"/>
  <c r="T152" i="32"/>
  <c r="AM151" i="32"/>
  <c r="U151" i="32"/>
  <c r="AD160" i="50"/>
  <c r="AJ221" i="57"/>
  <c r="AC221" i="57"/>
  <c r="AP221" i="57"/>
  <c r="AM161" i="50"/>
  <c r="U161" i="50"/>
  <c r="AA218" i="57"/>
  <c r="AB218" i="57"/>
  <c r="AD150" i="32"/>
  <c r="AH204" i="65"/>
  <c r="AV204" i="65"/>
  <c r="AH221" i="53"/>
  <c r="AC221" i="53"/>
  <c r="AT221" i="53"/>
  <c r="AG221" i="53"/>
  <c r="AB219" i="53"/>
  <c r="AA219" i="53"/>
  <c r="N222" i="57"/>
  <c r="I222" i="53"/>
  <c r="N222" i="53"/>
  <c r="AH205" i="69"/>
  <c r="AJ160" i="50"/>
  <c r="C160" i="50"/>
  <c r="AJ150" i="32"/>
  <c r="C150" i="32"/>
  <c r="AD221" i="57"/>
  <c r="AD221" i="53"/>
  <c r="S161" i="50"/>
  <c r="V160" i="50"/>
  <c r="S151" i="32"/>
  <c r="V151" i="32" s="1"/>
  <c r="Q221" i="53"/>
  <c r="AK221" i="52" a="1"/>
  <c r="AK221" i="52" s="1"/>
  <c r="B223" i="53" s="1"/>
  <c r="O223" i="53" s="1"/>
  <c r="C222" i="53"/>
  <c r="G222" i="53"/>
  <c r="L222" i="53"/>
  <c r="F222" i="53"/>
  <c r="D222" i="53"/>
  <c r="P222" i="53"/>
  <c r="E222" i="53"/>
  <c r="H222" i="53"/>
  <c r="J222" i="53"/>
  <c r="K222" i="53"/>
  <c r="A152" i="32"/>
  <c r="B152" i="32"/>
  <c r="G162" i="50"/>
  <c r="K162" i="50"/>
  <c r="I162" i="50"/>
  <c r="L162" i="50"/>
  <c r="A162" i="50"/>
  <c r="Q162" i="50" s="1"/>
  <c r="P162" i="50" s="1"/>
  <c r="M162" i="50"/>
  <c r="J162" i="50"/>
  <c r="B162" i="50"/>
  <c r="R162" i="50" s="1"/>
  <c r="F162" i="50"/>
  <c r="N162" i="50"/>
  <c r="H162" i="50"/>
  <c r="H152" i="32"/>
  <c r="K152" i="32"/>
  <c r="L152" i="32"/>
  <c r="G152" i="32"/>
  <c r="O152" i="32"/>
  <c r="F152" i="32"/>
  <c r="I152" i="32"/>
  <c r="N152" i="32"/>
  <c r="J152" i="32"/>
  <c r="M152" i="32"/>
  <c r="H222" i="57"/>
  <c r="D222" i="57"/>
  <c r="K222" i="57"/>
  <c r="J222" i="57"/>
  <c r="G222" i="57"/>
  <c r="P222" i="57"/>
  <c r="C222" i="57"/>
  <c r="M222" i="57" s="1"/>
  <c r="E222" i="57"/>
  <c r="F222" i="57"/>
  <c r="I222" i="57"/>
  <c r="Q221" i="57"/>
  <c r="T220" i="57"/>
  <c r="W160" i="50"/>
  <c r="X160" i="50" s="1"/>
  <c r="Z160" i="50"/>
  <c r="AK221" i="55" a="1"/>
  <c r="AK221" i="55" s="1"/>
  <c r="B223" i="57" s="1"/>
  <c r="W150" i="32"/>
  <c r="X150" i="32" s="1"/>
  <c r="Z150" i="32"/>
  <c r="C207" i="69"/>
  <c r="AO207" i="69" s="1"/>
  <c r="O207" i="69"/>
  <c r="U205" i="69"/>
  <c r="R205" i="69"/>
  <c r="S205" i="69" s="1"/>
  <c r="Y205" i="69" s="1"/>
  <c r="AB205" i="69" s="1"/>
  <c r="AC205" i="69" s="1"/>
  <c r="AD205" i="69" s="1"/>
  <c r="AE205" i="69"/>
  <c r="Q205" i="69"/>
  <c r="D206" i="69"/>
  <c r="E206" i="69" s="1"/>
  <c r="F206" i="69" s="1"/>
  <c r="G206" i="69" s="1"/>
  <c r="H206" i="69" s="1"/>
  <c r="I206" i="69" s="1"/>
  <c r="J206" i="69" s="1"/>
  <c r="K206" i="69" s="1"/>
  <c r="M206" i="69" s="1"/>
  <c r="P206" i="69"/>
  <c r="N206" i="69"/>
  <c r="AF206" i="69" s="1"/>
  <c r="AN207" i="67" a="1"/>
  <c r="AN207" i="67" s="1"/>
  <c r="B208" i="69"/>
  <c r="L208" i="69" s="1"/>
  <c r="AN206" i="63" a="1"/>
  <c r="AN206" i="63" s="1"/>
  <c r="B207" i="65"/>
  <c r="L207" i="65" s="1"/>
  <c r="P205" i="65"/>
  <c r="D205" i="65"/>
  <c r="E205" i="65" s="1"/>
  <c r="F205" i="65" s="1"/>
  <c r="G205" i="65" s="1"/>
  <c r="H205" i="65" s="1"/>
  <c r="I205" i="65" s="1"/>
  <c r="J205" i="65" s="1"/>
  <c r="K205" i="65" s="1"/>
  <c r="M205" i="65" s="1"/>
  <c r="N205" i="65"/>
  <c r="U204" i="65"/>
  <c r="Q204" i="65"/>
  <c r="R204" i="65"/>
  <c r="S204" i="65" s="1"/>
  <c r="Y204" i="65" s="1"/>
  <c r="AB204" i="65" s="1"/>
  <c r="AC204" i="65" s="1"/>
  <c r="AD204" i="65" s="1"/>
  <c r="O206" i="65"/>
  <c r="C206" i="65"/>
  <c r="AM206" i="65" s="1"/>
  <c r="AL152" i="11" a="1"/>
  <c r="AL152" i="11" s="1"/>
  <c r="E153" i="32" s="1"/>
  <c r="AK153" i="32" s="1"/>
  <c r="AL162" i="59" a="1"/>
  <c r="AL162" i="59" s="1"/>
  <c r="E163" i="50" s="1"/>
  <c r="AK163" i="50" s="1"/>
  <c r="AM52" i="59" a="1"/>
  <c r="AM52" i="59" s="1"/>
  <c r="AM37" i="11" a="1"/>
  <c r="AM37" i="11" s="1"/>
  <c r="X221" i="53" l="1"/>
  <c r="AA221" i="53" s="1"/>
  <c r="AA220" i="53"/>
  <c r="AB220" i="53"/>
  <c r="AI149" i="32"/>
  <c r="AN149" i="32" s="1"/>
  <c r="AI159" i="50"/>
  <c r="AP159" i="50" s="1"/>
  <c r="AF205" i="65"/>
  <c r="AE205" i="65"/>
  <c r="AE222" i="57"/>
  <c r="R222" i="57"/>
  <c r="AE222" i="53"/>
  <c r="R222" i="53"/>
  <c r="AG160" i="50"/>
  <c r="AH160" i="50" s="1"/>
  <c r="AL160" i="50"/>
  <c r="AG150" i="32"/>
  <c r="AH150" i="32" s="1"/>
  <c r="AL150" i="32"/>
  <c r="AA219" i="57"/>
  <c r="AF219" i="57"/>
  <c r="AG205" i="69"/>
  <c r="AG204" i="65"/>
  <c r="P152" i="32"/>
  <c r="AX206" i="69"/>
  <c r="AB219" i="57"/>
  <c r="O223" i="57"/>
  <c r="AG223" i="57" s="1"/>
  <c r="L223" i="57"/>
  <c r="O163" i="50"/>
  <c r="T163" i="50"/>
  <c r="T153" i="32"/>
  <c r="AD161" i="50"/>
  <c r="X220" i="57"/>
  <c r="AM152" i="32"/>
  <c r="U152" i="32"/>
  <c r="AD151" i="32"/>
  <c r="AM162" i="50"/>
  <c r="U162" i="50"/>
  <c r="AJ222" i="57"/>
  <c r="AC222" i="57"/>
  <c r="AP222" i="57"/>
  <c r="AH205" i="65"/>
  <c r="AV205" i="65"/>
  <c r="AH222" i="53"/>
  <c r="AT222" i="53"/>
  <c r="AC222" i="53"/>
  <c r="AG222" i="53"/>
  <c r="N223" i="57"/>
  <c r="H223" i="53"/>
  <c r="N223" i="53"/>
  <c r="AH206" i="69"/>
  <c r="AJ161" i="50"/>
  <c r="C161" i="50"/>
  <c r="AJ151" i="32"/>
  <c r="C151" i="32"/>
  <c r="AD222" i="57"/>
  <c r="AD222" i="53"/>
  <c r="Q222" i="53"/>
  <c r="S162" i="50"/>
  <c r="V161" i="50"/>
  <c r="S152" i="32"/>
  <c r="V152" i="32" s="1"/>
  <c r="AK222" i="52" a="1"/>
  <c r="AK222" i="52" s="1"/>
  <c r="B224" i="53" s="1"/>
  <c r="O224" i="53" s="1"/>
  <c r="J223" i="53"/>
  <c r="P223" i="53"/>
  <c r="G223" i="53"/>
  <c r="E223" i="53"/>
  <c r="L223" i="53"/>
  <c r="F223" i="53"/>
  <c r="K223" i="53"/>
  <c r="I223" i="53"/>
  <c r="C223" i="53"/>
  <c r="D223" i="53"/>
  <c r="A153" i="32"/>
  <c r="B153" i="32"/>
  <c r="J163" i="50"/>
  <c r="M163" i="50"/>
  <c r="N163" i="50"/>
  <c r="I163" i="50"/>
  <c r="A163" i="50"/>
  <c r="Q163" i="50" s="1"/>
  <c r="P163" i="50" s="1"/>
  <c r="L163" i="50"/>
  <c r="K163" i="50"/>
  <c r="G163" i="50"/>
  <c r="B163" i="50"/>
  <c r="R163" i="50" s="1"/>
  <c r="F163" i="50"/>
  <c r="H163" i="50"/>
  <c r="F153" i="32"/>
  <c r="N153" i="32"/>
  <c r="I153" i="32"/>
  <c r="J153" i="32"/>
  <c r="M153" i="32"/>
  <c r="G153" i="32"/>
  <c r="L153" i="32"/>
  <c r="O153" i="32"/>
  <c r="H153" i="32"/>
  <c r="K153" i="32"/>
  <c r="T221" i="57"/>
  <c r="Q222" i="57"/>
  <c r="G223" i="57"/>
  <c r="I223" i="57"/>
  <c r="E223" i="57"/>
  <c r="D223" i="57"/>
  <c r="J223" i="57"/>
  <c r="H223" i="57"/>
  <c r="C223" i="57"/>
  <c r="M223" i="57" s="1"/>
  <c r="P223" i="57"/>
  <c r="K223" i="57"/>
  <c r="F223" i="57"/>
  <c r="W161" i="50"/>
  <c r="X161" i="50" s="1"/>
  <c r="Z161" i="50"/>
  <c r="AK222" i="55" a="1"/>
  <c r="AK222" i="55" s="1"/>
  <c r="B224" i="57" s="1"/>
  <c r="Z151" i="32"/>
  <c r="W151" i="32"/>
  <c r="X151" i="32" s="1"/>
  <c r="AN208" i="67" a="1"/>
  <c r="AN208" i="67" s="1"/>
  <c r="B209" i="69"/>
  <c r="L209" i="69" s="1"/>
  <c r="D207" i="69"/>
  <c r="E207" i="69" s="1"/>
  <c r="F207" i="69" s="1"/>
  <c r="G207" i="69" s="1"/>
  <c r="H207" i="69" s="1"/>
  <c r="I207" i="69" s="1"/>
  <c r="J207" i="69" s="1"/>
  <c r="K207" i="69" s="1"/>
  <c r="M207" i="69" s="1"/>
  <c r="P207" i="69"/>
  <c r="N207" i="69"/>
  <c r="AF207" i="69" s="1"/>
  <c r="R206" i="69"/>
  <c r="S206" i="69" s="1"/>
  <c r="Y206" i="69" s="1"/>
  <c r="AB206" i="69" s="1"/>
  <c r="AC206" i="69" s="1"/>
  <c r="AD206" i="69" s="1"/>
  <c r="U206" i="69"/>
  <c r="Q206" i="69"/>
  <c r="AE206" i="69"/>
  <c r="C208" i="69"/>
  <c r="AO208" i="69" s="1"/>
  <c r="O208" i="69"/>
  <c r="AN207" i="63" a="1"/>
  <c r="AN207" i="63" s="1"/>
  <c r="B208" i="65"/>
  <c r="L208" i="65" s="1"/>
  <c r="C207" i="65"/>
  <c r="AM207" i="65" s="1"/>
  <c r="O207" i="65"/>
  <c r="N206" i="65"/>
  <c r="D206" i="65"/>
  <c r="E206" i="65" s="1"/>
  <c r="F206" i="65" s="1"/>
  <c r="G206" i="65" s="1"/>
  <c r="H206" i="65" s="1"/>
  <c r="I206" i="65" s="1"/>
  <c r="J206" i="65" s="1"/>
  <c r="K206" i="65" s="1"/>
  <c r="M206" i="65" s="1"/>
  <c r="P206" i="65"/>
  <c r="R205" i="65"/>
  <c r="S205" i="65" s="1"/>
  <c r="Y205" i="65" s="1"/>
  <c r="AB205" i="65" s="1"/>
  <c r="AC205" i="65" s="1"/>
  <c r="AD205" i="65" s="1"/>
  <c r="U205" i="65"/>
  <c r="Q205" i="65"/>
  <c r="AL153" i="11" a="1"/>
  <c r="AL153" i="11" s="1"/>
  <c r="E154" i="32" s="1"/>
  <c r="AK154" i="32" s="1"/>
  <c r="AL163" i="59" a="1"/>
  <c r="AL163" i="59" s="1"/>
  <c r="E164" i="50" s="1"/>
  <c r="AK164" i="50" s="1"/>
  <c r="AM53" i="59" a="1"/>
  <c r="AM53" i="59" s="1"/>
  <c r="AM38" i="11" a="1"/>
  <c r="AM38" i="11" s="1"/>
  <c r="AB221" i="53" l="1"/>
  <c r="AF221" i="53"/>
  <c r="AI150" i="32"/>
  <c r="AN150" i="32" s="1"/>
  <c r="AI160" i="50"/>
  <c r="AP160" i="50" s="1"/>
  <c r="AF206" i="65"/>
  <c r="AE206" i="65"/>
  <c r="AE223" i="57"/>
  <c r="R223" i="57"/>
  <c r="AE223" i="53"/>
  <c r="R223" i="53"/>
  <c r="AL161" i="50"/>
  <c r="AG151" i="32"/>
  <c r="AH151" i="32" s="1"/>
  <c r="AL151" i="32"/>
  <c r="AB220" i="57"/>
  <c r="AF220" i="57"/>
  <c r="AG206" i="69"/>
  <c r="AG205" i="65"/>
  <c r="P153" i="32"/>
  <c r="AG161" i="50"/>
  <c r="AH161" i="50" s="1"/>
  <c r="AX207" i="69"/>
  <c r="O224" i="57"/>
  <c r="AG224" i="57" s="1"/>
  <c r="L224" i="57"/>
  <c r="O164" i="50"/>
  <c r="T164" i="50"/>
  <c r="T154" i="32"/>
  <c r="AA220" i="57"/>
  <c r="X221" i="57"/>
  <c r="AF221" i="57" s="1"/>
  <c r="AD162" i="50"/>
  <c r="AD152" i="32"/>
  <c r="AM153" i="32"/>
  <c r="U153" i="32"/>
  <c r="AM163" i="50"/>
  <c r="U163" i="50"/>
  <c r="AJ223" i="57"/>
  <c r="AC223" i="57"/>
  <c r="AP223" i="57"/>
  <c r="AH206" i="65"/>
  <c r="AV206" i="65"/>
  <c r="AG223" i="53"/>
  <c r="AH223" i="53"/>
  <c r="AT223" i="53"/>
  <c r="AC223" i="53"/>
  <c r="N224" i="57"/>
  <c r="N224" i="53"/>
  <c r="AH207" i="69"/>
  <c r="AJ162" i="50"/>
  <c r="C162" i="50"/>
  <c r="AJ152" i="32"/>
  <c r="C152" i="32"/>
  <c r="AD223" i="57"/>
  <c r="AD223" i="53"/>
  <c r="X222" i="53"/>
  <c r="AF222" i="53" s="1"/>
  <c r="S163" i="50"/>
  <c r="V162" i="50"/>
  <c r="S153" i="32"/>
  <c r="V153" i="32" s="1"/>
  <c r="Q223" i="53"/>
  <c r="D224" i="53"/>
  <c r="C224" i="53"/>
  <c r="I224" i="53"/>
  <c r="J224" i="53"/>
  <c r="E224" i="53"/>
  <c r="F224" i="53"/>
  <c r="L224" i="53"/>
  <c r="AK223" i="52" a="1"/>
  <c r="AK223" i="52" s="1"/>
  <c r="B225" i="53" s="1"/>
  <c r="O225" i="53" s="1"/>
  <c r="G224" i="53"/>
  <c r="K224" i="53"/>
  <c r="P224" i="53"/>
  <c r="H224" i="53"/>
  <c r="A154" i="32"/>
  <c r="B154" i="32"/>
  <c r="F164" i="50"/>
  <c r="K164" i="50"/>
  <c r="M164" i="50"/>
  <c r="J164" i="50"/>
  <c r="I164" i="50"/>
  <c r="N164" i="50"/>
  <c r="A164" i="50"/>
  <c r="Q164" i="50" s="1"/>
  <c r="P164" i="50" s="1"/>
  <c r="G164" i="50"/>
  <c r="L164" i="50"/>
  <c r="B164" i="50"/>
  <c r="R164" i="50" s="1"/>
  <c r="H164" i="50"/>
  <c r="L154" i="32"/>
  <c r="G154" i="32"/>
  <c r="O154" i="32"/>
  <c r="H154" i="32"/>
  <c r="K154" i="32"/>
  <c r="M154" i="32"/>
  <c r="J154" i="32"/>
  <c r="N154" i="32"/>
  <c r="F154" i="32"/>
  <c r="I154" i="32"/>
  <c r="T222" i="57"/>
  <c r="W162" i="50"/>
  <c r="X162" i="50" s="1"/>
  <c r="Z162" i="50"/>
  <c r="Q223" i="57"/>
  <c r="J224" i="57"/>
  <c r="F224" i="57"/>
  <c r="E224" i="57"/>
  <c r="D224" i="57"/>
  <c r="G224" i="57"/>
  <c r="C224" i="57"/>
  <c r="M224" i="57" s="1"/>
  <c r="I224" i="57"/>
  <c r="H224" i="57"/>
  <c r="P224" i="57"/>
  <c r="K224" i="57"/>
  <c r="AK223" i="55" a="1"/>
  <c r="AK223" i="55" s="1"/>
  <c r="B225" i="57" s="1"/>
  <c r="W152" i="32"/>
  <c r="X152" i="32" s="1"/>
  <c r="Z152" i="32"/>
  <c r="AN209" i="67" a="1"/>
  <c r="AN209" i="67" s="1"/>
  <c r="B210" i="69"/>
  <c r="L210" i="69" s="1"/>
  <c r="C209" i="69"/>
  <c r="AO209" i="69" s="1"/>
  <c r="O209" i="69"/>
  <c r="AE207" i="69"/>
  <c r="U207" i="69"/>
  <c r="Q207" i="69"/>
  <c r="R207" i="69"/>
  <c r="S207" i="69" s="1"/>
  <c r="Y207" i="69" s="1"/>
  <c r="AB207" i="69" s="1"/>
  <c r="AC207" i="69" s="1"/>
  <c r="AD207" i="69" s="1"/>
  <c r="D208" i="69"/>
  <c r="E208" i="69" s="1"/>
  <c r="F208" i="69" s="1"/>
  <c r="G208" i="69" s="1"/>
  <c r="H208" i="69" s="1"/>
  <c r="I208" i="69" s="1"/>
  <c r="J208" i="69" s="1"/>
  <c r="K208" i="69" s="1"/>
  <c r="M208" i="69" s="1"/>
  <c r="P208" i="69"/>
  <c r="N208" i="69"/>
  <c r="AF208" i="69" s="1"/>
  <c r="AN208" i="63" a="1"/>
  <c r="AN208" i="63" s="1"/>
  <c r="B209" i="65"/>
  <c r="L209" i="65" s="1"/>
  <c r="C208" i="65"/>
  <c r="AM208" i="65" s="1"/>
  <c r="O208" i="65"/>
  <c r="Q206" i="65"/>
  <c r="R206" i="65"/>
  <c r="S206" i="65" s="1"/>
  <c r="Y206" i="65" s="1"/>
  <c r="AB206" i="65" s="1"/>
  <c r="AC206" i="65" s="1"/>
  <c r="AD206" i="65" s="1"/>
  <c r="U206" i="65"/>
  <c r="P207" i="65"/>
  <c r="D207" i="65"/>
  <c r="E207" i="65" s="1"/>
  <c r="F207" i="65" s="1"/>
  <c r="G207" i="65" s="1"/>
  <c r="H207" i="65" s="1"/>
  <c r="I207" i="65" s="1"/>
  <c r="J207" i="65" s="1"/>
  <c r="K207" i="65" s="1"/>
  <c r="M207" i="65" s="1"/>
  <c r="N207" i="65"/>
  <c r="AL154" i="11" a="1"/>
  <c r="AL154" i="11" s="1"/>
  <c r="E155" i="32" s="1"/>
  <c r="AK155" i="32" s="1"/>
  <c r="AL164" i="59" a="1"/>
  <c r="AL164" i="59" s="1"/>
  <c r="E165" i="50" s="1"/>
  <c r="AK165" i="50" s="1"/>
  <c r="AM54" i="59" a="1"/>
  <c r="AM54" i="59" s="1"/>
  <c r="AM39" i="11" a="1"/>
  <c r="AM39" i="11" s="1"/>
  <c r="X223" i="53" l="1"/>
  <c r="AB223" i="53" s="1"/>
  <c r="AI151" i="32"/>
  <c r="AN151" i="32" s="1"/>
  <c r="AF207" i="65"/>
  <c r="AE207" i="65"/>
  <c r="AE224" i="57"/>
  <c r="R224" i="57"/>
  <c r="AE224" i="53"/>
  <c r="R224" i="53"/>
  <c r="AG162" i="50"/>
  <c r="AH162" i="50" s="1"/>
  <c r="AL162" i="50"/>
  <c r="AG152" i="32"/>
  <c r="AH152" i="32" s="1"/>
  <c r="AL152" i="32"/>
  <c r="AG207" i="69"/>
  <c r="AG206" i="65"/>
  <c r="P154" i="32"/>
  <c r="AI161" i="50"/>
  <c r="AP161" i="50" s="1"/>
  <c r="AX208" i="69"/>
  <c r="O225" i="57"/>
  <c r="AG225" i="57" s="1"/>
  <c r="L225" i="57"/>
  <c r="T165" i="50"/>
  <c r="O165" i="50"/>
  <c r="T155" i="32"/>
  <c r="AM164" i="50"/>
  <c r="U164" i="50"/>
  <c r="AJ224" i="57"/>
  <c r="AC224" i="57"/>
  <c r="AP224" i="57"/>
  <c r="X222" i="57"/>
  <c r="AF222" i="57" s="1"/>
  <c r="AD163" i="50"/>
  <c r="AM154" i="32"/>
  <c r="U154" i="32"/>
  <c r="AD153" i="32"/>
  <c r="AB221" i="57"/>
  <c r="AA221" i="57"/>
  <c r="AH207" i="65"/>
  <c r="AV207" i="65"/>
  <c r="AB222" i="53"/>
  <c r="AA222" i="53"/>
  <c r="AG224" i="53"/>
  <c r="AH224" i="53"/>
  <c r="AT224" i="53"/>
  <c r="AC224" i="53"/>
  <c r="N225" i="57"/>
  <c r="N225" i="53"/>
  <c r="AH208" i="69"/>
  <c r="AJ163" i="50"/>
  <c r="C163" i="50"/>
  <c r="AJ153" i="32"/>
  <c r="C153" i="32"/>
  <c r="AD224" i="57"/>
  <c r="AD224" i="53"/>
  <c r="Q224" i="53"/>
  <c r="S164" i="50"/>
  <c r="V163" i="50"/>
  <c r="S154" i="32"/>
  <c r="V154" i="32" s="1"/>
  <c r="G225" i="53"/>
  <c r="P225" i="53"/>
  <c r="K225" i="53"/>
  <c r="E225" i="53"/>
  <c r="F225" i="53"/>
  <c r="I225" i="53"/>
  <c r="C225" i="53"/>
  <c r="J225" i="53"/>
  <c r="AK224" i="52" a="1"/>
  <c r="AK224" i="52" s="1"/>
  <c r="B226" i="53" s="1"/>
  <c r="O226" i="53" s="1"/>
  <c r="L225" i="53"/>
  <c r="D225" i="53"/>
  <c r="H225" i="53"/>
  <c r="A155" i="32"/>
  <c r="B155" i="32"/>
  <c r="J165" i="50"/>
  <c r="B165" i="50"/>
  <c r="R165" i="50" s="1"/>
  <c r="I165" i="50"/>
  <c r="H165" i="50"/>
  <c r="F165" i="50"/>
  <c r="N165" i="50"/>
  <c r="L165" i="50"/>
  <c r="M165" i="50"/>
  <c r="A165" i="50"/>
  <c r="Q165" i="50" s="1"/>
  <c r="P165" i="50" s="1"/>
  <c r="G165" i="50"/>
  <c r="K165" i="50"/>
  <c r="J155" i="32"/>
  <c r="M155" i="32"/>
  <c r="F155" i="32"/>
  <c r="N155" i="32"/>
  <c r="I155" i="32"/>
  <c r="H155" i="32"/>
  <c r="K155" i="32"/>
  <c r="G155" i="32"/>
  <c r="L155" i="32"/>
  <c r="O155" i="32"/>
  <c r="Q224" i="57"/>
  <c r="H225" i="57"/>
  <c r="D225" i="57"/>
  <c r="P225" i="57"/>
  <c r="I225" i="57"/>
  <c r="E225" i="57"/>
  <c r="K225" i="57"/>
  <c r="C225" i="57"/>
  <c r="M225" i="57" s="1"/>
  <c r="G225" i="57"/>
  <c r="J225" i="57"/>
  <c r="F225" i="57"/>
  <c r="T223" i="57"/>
  <c r="W163" i="50"/>
  <c r="X163" i="50" s="1"/>
  <c r="Z163" i="50"/>
  <c r="AK224" i="55" a="1"/>
  <c r="AK224" i="55" s="1"/>
  <c r="B226" i="57" s="1"/>
  <c r="Z153" i="32"/>
  <c r="W153" i="32"/>
  <c r="X153" i="32" s="1"/>
  <c r="AN210" i="67" a="1"/>
  <c r="AN210" i="67" s="1"/>
  <c r="B211" i="69"/>
  <c r="L211" i="69" s="1"/>
  <c r="P209" i="69"/>
  <c r="N209" i="69"/>
  <c r="AF209" i="69" s="1"/>
  <c r="D209" i="69"/>
  <c r="E209" i="69" s="1"/>
  <c r="F209" i="69" s="1"/>
  <c r="G209" i="69" s="1"/>
  <c r="H209" i="69" s="1"/>
  <c r="I209" i="69" s="1"/>
  <c r="J209" i="69" s="1"/>
  <c r="K209" i="69" s="1"/>
  <c r="M209" i="69" s="1"/>
  <c r="AE208" i="69"/>
  <c r="R208" i="69"/>
  <c r="S208" i="69" s="1"/>
  <c r="Y208" i="69" s="1"/>
  <c r="AB208" i="69" s="1"/>
  <c r="AC208" i="69" s="1"/>
  <c r="AD208" i="69" s="1"/>
  <c r="Q208" i="69"/>
  <c r="U208" i="69"/>
  <c r="C210" i="69"/>
  <c r="AO210" i="69" s="1"/>
  <c r="O210" i="69"/>
  <c r="AN209" i="63" a="1"/>
  <c r="AN209" i="63" s="1"/>
  <c r="B210" i="65"/>
  <c r="L210" i="65" s="1"/>
  <c r="N208" i="65"/>
  <c r="P208" i="65"/>
  <c r="D208" i="65"/>
  <c r="E208" i="65" s="1"/>
  <c r="F208" i="65" s="1"/>
  <c r="G208" i="65" s="1"/>
  <c r="H208" i="65" s="1"/>
  <c r="I208" i="65" s="1"/>
  <c r="J208" i="65" s="1"/>
  <c r="K208" i="65" s="1"/>
  <c r="M208" i="65" s="1"/>
  <c r="C209" i="65"/>
  <c r="AM209" i="65" s="1"/>
  <c r="O209" i="65"/>
  <c r="Q207" i="65"/>
  <c r="R207" i="65"/>
  <c r="S207" i="65" s="1"/>
  <c r="Y207" i="65" s="1"/>
  <c r="AB207" i="65" s="1"/>
  <c r="AC207" i="65" s="1"/>
  <c r="AD207" i="65" s="1"/>
  <c r="U207" i="65"/>
  <c r="AL155" i="11" a="1"/>
  <c r="AL155" i="11" s="1"/>
  <c r="E156" i="32" s="1"/>
  <c r="AK156" i="32" s="1"/>
  <c r="AL165" i="59" a="1"/>
  <c r="AL165" i="59" s="1"/>
  <c r="E166" i="50" s="1"/>
  <c r="AK166" i="50" s="1"/>
  <c r="AM55" i="59" a="1"/>
  <c r="AM55" i="59" s="1"/>
  <c r="AM40" i="11" a="1"/>
  <c r="AM40" i="11" s="1"/>
  <c r="AF223" i="53" l="1"/>
  <c r="AA223" i="53"/>
  <c r="AI152" i="32"/>
  <c r="AN152" i="32" s="1"/>
  <c r="AI162" i="50"/>
  <c r="AP162" i="50" s="1"/>
  <c r="AF208" i="65"/>
  <c r="AE208" i="65"/>
  <c r="AE225" i="57"/>
  <c r="R225" i="57"/>
  <c r="AE225" i="53"/>
  <c r="R225" i="53"/>
  <c r="AG163" i="50"/>
  <c r="AH163" i="50" s="1"/>
  <c r="AL163" i="50"/>
  <c r="AG153" i="32"/>
  <c r="AH153" i="32" s="1"/>
  <c r="AL153" i="32"/>
  <c r="AG208" i="69"/>
  <c r="AG207" i="65"/>
  <c r="P155" i="32"/>
  <c r="AX209" i="69"/>
  <c r="X223" i="57"/>
  <c r="O226" i="57"/>
  <c r="AG226" i="57" s="1"/>
  <c r="L226" i="57"/>
  <c r="T166" i="50"/>
  <c r="O166" i="50"/>
  <c r="T156" i="32"/>
  <c r="AJ225" i="57"/>
  <c r="AC225" i="57"/>
  <c r="AP225" i="57"/>
  <c r="AM165" i="50"/>
  <c r="U165" i="50"/>
  <c r="AD154" i="32"/>
  <c r="AM155" i="32"/>
  <c r="U155" i="32"/>
  <c r="AD164" i="50"/>
  <c r="AB222" i="57"/>
  <c r="AA222" i="57"/>
  <c r="AH208" i="65"/>
  <c r="AV208" i="65"/>
  <c r="AH225" i="53"/>
  <c r="AC225" i="53"/>
  <c r="AT225" i="53"/>
  <c r="AG225" i="53"/>
  <c r="N226" i="57"/>
  <c r="E226" i="53"/>
  <c r="N226" i="53"/>
  <c r="AH209" i="69"/>
  <c r="AJ164" i="50"/>
  <c r="C164" i="50"/>
  <c r="AJ154" i="32"/>
  <c r="C154" i="32"/>
  <c r="X224" i="53"/>
  <c r="AF224" i="53" s="1"/>
  <c r="AD225" i="57"/>
  <c r="Q225" i="53"/>
  <c r="AD225" i="53"/>
  <c r="S165" i="50"/>
  <c r="V164" i="50"/>
  <c r="S155" i="32"/>
  <c r="V155" i="32" s="1"/>
  <c r="AK225" i="52" a="1"/>
  <c r="AK225" i="52" s="1"/>
  <c r="B227" i="53" s="1"/>
  <c r="O227" i="53" s="1"/>
  <c r="K226" i="53"/>
  <c r="G226" i="53"/>
  <c r="H226" i="53"/>
  <c r="L226" i="53"/>
  <c r="P226" i="53"/>
  <c r="I226" i="53"/>
  <c r="D226" i="53"/>
  <c r="J226" i="53"/>
  <c r="F226" i="53"/>
  <c r="C226" i="53"/>
  <c r="A156" i="32"/>
  <c r="B156" i="32"/>
  <c r="H166" i="50"/>
  <c r="B166" i="50"/>
  <c r="R166" i="50" s="1"/>
  <c r="G166" i="50"/>
  <c r="I166" i="50"/>
  <c r="M166" i="50"/>
  <c r="A166" i="50"/>
  <c r="Q166" i="50" s="1"/>
  <c r="P166" i="50" s="1"/>
  <c r="L166" i="50"/>
  <c r="J166" i="50"/>
  <c r="N166" i="50"/>
  <c r="F166" i="50"/>
  <c r="K166" i="50"/>
  <c r="H156" i="32"/>
  <c r="K156" i="32"/>
  <c r="L156" i="32"/>
  <c r="G156" i="32"/>
  <c r="O156" i="32"/>
  <c r="I156" i="32"/>
  <c r="N156" i="32"/>
  <c r="F156" i="32"/>
  <c r="J156" i="32"/>
  <c r="M156" i="32"/>
  <c r="Z164" i="50"/>
  <c r="W164" i="50"/>
  <c r="X164" i="50" s="1"/>
  <c r="J226" i="57"/>
  <c r="G226" i="57"/>
  <c r="F226" i="57"/>
  <c r="C226" i="57"/>
  <c r="M226" i="57" s="1"/>
  <c r="I226" i="57"/>
  <c r="E226" i="57"/>
  <c r="K226" i="57"/>
  <c r="H226" i="57"/>
  <c r="D226" i="57"/>
  <c r="P226" i="57"/>
  <c r="T224" i="57"/>
  <c r="Q225" i="57"/>
  <c r="AK225" i="55" a="1"/>
  <c r="AK225" i="55" s="1"/>
  <c r="B227" i="57" s="1"/>
  <c r="W154" i="32"/>
  <c r="X154" i="32" s="1"/>
  <c r="Z154" i="32"/>
  <c r="AN211" i="67" a="1"/>
  <c r="AN211" i="67" s="1"/>
  <c r="B212" i="69"/>
  <c r="L212" i="69" s="1"/>
  <c r="Q209" i="69"/>
  <c r="U209" i="69"/>
  <c r="AE209" i="69"/>
  <c r="R209" i="69"/>
  <c r="S209" i="69" s="1"/>
  <c r="Y209" i="69" s="1"/>
  <c r="AB209" i="69" s="1"/>
  <c r="AC209" i="69" s="1"/>
  <c r="AD209" i="69" s="1"/>
  <c r="O211" i="69"/>
  <c r="C211" i="69"/>
  <c r="AO211" i="69" s="1"/>
  <c r="D210" i="69"/>
  <c r="E210" i="69" s="1"/>
  <c r="F210" i="69" s="1"/>
  <c r="G210" i="69" s="1"/>
  <c r="H210" i="69" s="1"/>
  <c r="I210" i="69" s="1"/>
  <c r="J210" i="69" s="1"/>
  <c r="K210" i="69" s="1"/>
  <c r="M210" i="69" s="1"/>
  <c r="P210" i="69"/>
  <c r="N210" i="69"/>
  <c r="AF210" i="69" s="1"/>
  <c r="AN210" i="63" a="1"/>
  <c r="AN210" i="63" s="1"/>
  <c r="B211" i="65"/>
  <c r="L211" i="65" s="1"/>
  <c r="C210" i="65"/>
  <c r="AM210" i="65" s="1"/>
  <c r="O210" i="65"/>
  <c r="Q208" i="65"/>
  <c r="U208" i="65"/>
  <c r="R208" i="65"/>
  <c r="S208" i="65" s="1"/>
  <c r="Y208" i="65" s="1"/>
  <c r="AB208" i="65" s="1"/>
  <c r="AC208" i="65" s="1"/>
  <c r="AD208" i="65" s="1"/>
  <c r="D209" i="65"/>
  <c r="E209" i="65" s="1"/>
  <c r="F209" i="65" s="1"/>
  <c r="G209" i="65" s="1"/>
  <c r="H209" i="65" s="1"/>
  <c r="I209" i="65" s="1"/>
  <c r="J209" i="65" s="1"/>
  <c r="K209" i="65" s="1"/>
  <c r="M209" i="65" s="1"/>
  <c r="P209" i="65"/>
  <c r="N209" i="65"/>
  <c r="AL156" i="11" a="1"/>
  <c r="AL156" i="11" s="1"/>
  <c r="E157" i="32" s="1"/>
  <c r="AK157" i="32" s="1"/>
  <c r="AL166" i="59" a="1"/>
  <c r="AL166" i="59" s="1"/>
  <c r="E167" i="50" s="1"/>
  <c r="AK167" i="50" s="1"/>
  <c r="AM56" i="59" a="1"/>
  <c r="AM56" i="59" s="1"/>
  <c r="AM41" i="11" a="1"/>
  <c r="AM41" i="11" s="1"/>
  <c r="X225" i="53" l="1"/>
  <c r="AF225" i="53" s="1"/>
  <c r="AI153" i="32"/>
  <c r="AN153" i="32" s="1"/>
  <c r="AI163" i="50"/>
  <c r="AP163" i="50" s="1"/>
  <c r="AF209" i="65"/>
  <c r="AE209" i="65"/>
  <c r="AE226" i="57"/>
  <c r="R226" i="57"/>
  <c r="AE226" i="53"/>
  <c r="R226" i="53"/>
  <c r="AL154" i="32"/>
  <c r="AG164" i="50"/>
  <c r="AH164" i="50" s="1"/>
  <c r="AL164" i="50"/>
  <c r="AB223" i="57"/>
  <c r="AF223" i="57"/>
  <c r="AG209" i="69"/>
  <c r="AG208" i="65"/>
  <c r="P156" i="32"/>
  <c r="X224" i="57"/>
  <c r="AG154" i="32"/>
  <c r="AH154" i="32" s="1"/>
  <c r="AX210" i="69"/>
  <c r="AA223" i="57"/>
  <c r="L227" i="57"/>
  <c r="O227" i="57"/>
  <c r="AG227" i="57" s="1"/>
  <c r="T167" i="50"/>
  <c r="O167" i="50"/>
  <c r="T157" i="32"/>
  <c r="AJ226" i="57"/>
  <c r="AC226" i="57"/>
  <c r="AP226" i="57"/>
  <c r="AM156" i="32"/>
  <c r="U156" i="32"/>
  <c r="AD155" i="32"/>
  <c r="AM166" i="50"/>
  <c r="U166" i="50"/>
  <c r="AD165" i="50"/>
  <c r="AH209" i="65"/>
  <c r="AV209" i="65"/>
  <c r="AG226" i="53"/>
  <c r="AB224" i="53"/>
  <c r="AA224" i="53"/>
  <c r="AH226" i="53"/>
  <c r="AC226" i="53"/>
  <c r="AT226" i="53"/>
  <c r="N227" i="57"/>
  <c r="N227" i="53"/>
  <c r="AH210" i="69"/>
  <c r="AJ165" i="50"/>
  <c r="C165" i="50"/>
  <c r="AJ155" i="32"/>
  <c r="C155" i="32"/>
  <c r="AD226" i="57"/>
  <c r="AD226" i="53"/>
  <c r="S166" i="50"/>
  <c r="V165" i="50"/>
  <c r="S156" i="32"/>
  <c r="V156" i="32" s="1"/>
  <c r="Q226" i="53"/>
  <c r="AK226" i="52" a="1"/>
  <c r="AK226" i="52" s="1"/>
  <c r="B228" i="53" s="1"/>
  <c r="O228" i="53" s="1"/>
  <c r="P227" i="53"/>
  <c r="E227" i="53"/>
  <c r="I227" i="53"/>
  <c r="G227" i="53"/>
  <c r="J227" i="53"/>
  <c r="D227" i="53"/>
  <c r="L227" i="53"/>
  <c r="K227" i="53"/>
  <c r="C227" i="53"/>
  <c r="H227" i="53"/>
  <c r="F227" i="53"/>
  <c r="A157" i="32"/>
  <c r="B157" i="32"/>
  <c r="A167" i="50"/>
  <c r="Q167" i="50" s="1"/>
  <c r="P167" i="50" s="1"/>
  <c r="I167" i="50"/>
  <c r="F167" i="50"/>
  <c r="N167" i="50"/>
  <c r="J167" i="50"/>
  <c r="M167" i="50"/>
  <c r="K167" i="50"/>
  <c r="G167" i="50"/>
  <c r="H167" i="50"/>
  <c r="L167" i="50"/>
  <c r="B167" i="50"/>
  <c r="R167" i="50" s="1"/>
  <c r="F157" i="32"/>
  <c r="N157" i="32"/>
  <c r="I157" i="32"/>
  <c r="J157" i="32"/>
  <c r="M157" i="32"/>
  <c r="O157" i="32"/>
  <c r="G157" i="32"/>
  <c r="L157" i="32"/>
  <c r="K157" i="32"/>
  <c r="H157" i="32"/>
  <c r="Q226" i="57"/>
  <c r="T225" i="57"/>
  <c r="W165" i="50"/>
  <c r="X165" i="50" s="1"/>
  <c r="Z165" i="50"/>
  <c r="D227" i="57"/>
  <c r="J227" i="57"/>
  <c r="I227" i="57"/>
  <c r="E227" i="57"/>
  <c r="H227" i="57"/>
  <c r="C227" i="57"/>
  <c r="M227" i="57" s="1"/>
  <c r="K227" i="57"/>
  <c r="P227" i="57"/>
  <c r="F227" i="57"/>
  <c r="G227" i="57"/>
  <c r="AK226" i="55" a="1"/>
  <c r="AK226" i="55" s="1"/>
  <c r="B228" i="57" s="1"/>
  <c r="W155" i="32"/>
  <c r="X155" i="32" s="1"/>
  <c r="Z155" i="32"/>
  <c r="AN212" i="67" a="1"/>
  <c r="AN212" i="67" s="1"/>
  <c r="B213" i="69"/>
  <c r="L213" i="69" s="1"/>
  <c r="P211" i="69"/>
  <c r="N211" i="69"/>
  <c r="AF211" i="69" s="1"/>
  <c r="D211" i="69"/>
  <c r="E211" i="69" s="1"/>
  <c r="F211" i="69" s="1"/>
  <c r="G211" i="69" s="1"/>
  <c r="H211" i="69" s="1"/>
  <c r="I211" i="69" s="1"/>
  <c r="J211" i="69" s="1"/>
  <c r="K211" i="69" s="1"/>
  <c r="M211" i="69" s="1"/>
  <c r="AE210" i="69"/>
  <c r="Q210" i="69"/>
  <c r="U210" i="69"/>
  <c r="R210" i="69"/>
  <c r="S210" i="69" s="1"/>
  <c r="Y210" i="69" s="1"/>
  <c r="AB210" i="69" s="1"/>
  <c r="AC210" i="69" s="1"/>
  <c r="AD210" i="69" s="1"/>
  <c r="C212" i="69"/>
  <c r="AO212" i="69" s="1"/>
  <c r="O212" i="69"/>
  <c r="AN211" i="63" a="1"/>
  <c r="AN211" i="63" s="1"/>
  <c r="B212" i="65"/>
  <c r="L212" i="65" s="1"/>
  <c r="R209" i="65"/>
  <c r="S209" i="65" s="1"/>
  <c r="Y209" i="65" s="1"/>
  <c r="AB209" i="65" s="1"/>
  <c r="AC209" i="65" s="1"/>
  <c r="AD209" i="65" s="1"/>
  <c r="U209" i="65"/>
  <c r="Q209" i="65"/>
  <c r="C211" i="65"/>
  <c r="AM211" i="65" s="1"/>
  <c r="O211" i="65"/>
  <c r="P210" i="65"/>
  <c r="D210" i="65"/>
  <c r="E210" i="65" s="1"/>
  <c r="F210" i="65" s="1"/>
  <c r="G210" i="65" s="1"/>
  <c r="H210" i="65" s="1"/>
  <c r="I210" i="65" s="1"/>
  <c r="J210" i="65" s="1"/>
  <c r="K210" i="65" s="1"/>
  <c r="M210" i="65" s="1"/>
  <c r="N210" i="65"/>
  <c r="AL157" i="11" a="1"/>
  <c r="AL157" i="11" s="1"/>
  <c r="E158" i="32" s="1"/>
  <c r="AK158" i="32" s="1"/>
  <c r="AL167" i="59" a="1"/>
  <c r="AL167" i="59" s="1"/>
  <c r="E168" i="50" s="1"/>
  <c r="AK168" i="50" s="1"/>
  <c r="AM57" i="59" a="1"/>
  <c r="AM57" i="59" s="1"/>
  <c r="AM42" i="11" a="1"/>
  <c r="AM42" i="11" s="1"/>
  <c r="AA225" i="53" l="1"/>
  <c r="AB225" i="53"/>
  <c r="AI164" i="50"/>
  <c r="AP164" i="50" s="1"/>
  <c r="AF210" i="65"/>
  <c r="AE210" i="65"/>
  <c r="AE227" i="57"/>
  <c r="R227" i="57"/>
  <c r="AE227" i="53"/>
  <c r="R227" i="53"/>
  <c r="AG165" i="50"/>
  <c r="AH165" i="50" s="1"/>
  <c r="AL165" i="50"/>
  <c r="AG155" i="32"/>
  <c r="AH155" i="32" s="1"/>
  <c r="AL155" i="32"/>
  <c r="AA224" i="57"/>
  <c r="AF224" i="57"/>
  <c r="AG210" i="69"/>
  <c r="AG209" i="65"/>
  <c r="P157" i="32"/>
  <c r="AI154" i="32"/>
  <c r="AN154" i="32" s="1"/>
  <c r="AB224" i="57"/>
  <c r="AX211" i="69"/>
  <c r="O228" i="57"/>
  <c r="AG228" i="57" s="1"/>
  <c r="L228" i="57"/>
  <c r="T168" i="50"/>
  <c r="O168" i="50"/>
  <c r="T158" i="32"/>
  <c r="X225" i="57"/>
  <c r="AM157" i="32"/>
  <c r="U157" i="32"/>
  <c r="AD166" i="50"/>
  <c r="AM167" i="50"/>
  <c r="U167" i="50"/>
  <c r="AJ227" i="57"/>
  <c r="AC227" i="57"/>
  <c r="AP227" i="57"/>
  <c r="AD156" i="32"/>
  <c r="AH210" i="65"/>
  <c r="AV210" i="65"/>
  <c r="AH227" i="53"/>
  <c r="AC227" i="53"/>
  <c r="AT227" i="53"/>
  <c r="AG227" i="53"/>
  <c r="N228" i="57"/>
  <c r="I228" i="53"/>
  <c r="N228" i="53"/>
  <c r="AH211" i="69"/>
  <c r="AJ166" i="50"/>
  <c r="C166" i="50"/>
  <c r="AJ156" i="32"/>
  <c r="C156" i="32"/>
  <c r="AD227" i="57"/>
  <c r="X226" i="53"/>
  <c r="AF226" i="53" s="1"/>
  <c r="Q227" i="53"/>
  <c r="AD227" i="53"/>
  <c r="S167" i="50"/>
  <c r="V166" i="50"/>
  <c r="S157" i="32"/>
  <c r="V157" i="32" s="1"/>
  <c r="F228" i="53"/>
  <c r="K228" i="53"/>
  <c r="P228" i="53"/>
  <c r="D228" i="53"/>
  <c r="G228" i="53"/>
  <c r="C228" i="53"/>
  <c r="AK227" i="52" a="1"/>
  <c r="AK227" i="52" s="1"/>
  <c r="B229" i="53" s="1"/>
  <c r="O229" i="53" s="1"/>
  <c r="H228" i="53"/>
  <c r="J228" i="53"/>
  <c r="L228" i="53"/>
  <c r="E228" i="53"/>
  <c r="A158" i="32"/>
  <c r="B158" i="32"/>
  <c r="K168" i="50"/>
  <c r="A168" i="50"/>
  <c r="Q168" i="50" s="1"/>
  <c r="P168" i="50" s="1"/>
  <c r="G168" i="50"/>
  <c r="N168" i="50"/>
  <c r="F168" i="50"/>
  <c r="I168" i="50"/>
  <c r="H168" i="50"/>
  <c r="J168" i="50"/>
  <c r="M168" i="50"/>
  <c r="B168" i="50"/>
  <c r="R168" i="50" s="1"/>
  <c r="L168" i="50"/>
  <c r="L158" i="32"/>
  <c r="G158" i="32"/>
  <c r="O158" i="32"/>
  <c r="H158" i="32"/>
  <c r="K158" i="32"/>
  <c r="J158" i="32"/>
  <c r="M158" i="32"/>
  <c r="F158" i="32"/>
  <c r="I158" i="32"/>
  <c r="N158" i="32"/>
  <c r="Q227" i="57"/>
  <c r="P228" i="57"/>
  <c r="J228" i="57"/>
  <c r="I228" i="57"/>
  <c r="F228" i="57"/>
  <c r="E228" i="57"/>
  <c r="D228" i="57"/>
  <c r="C228" i="57"/>
  <c r="M228" i="57" s="1"/>
  <c r="H228" i="57"/>
  <c r="K228" i="57"/>
  <c r="G228" i="57"/>
  <c r="Z166" i="50"/>
  <c r="W166" i="50"/>
  <c r="X166" i="50" s="1"/>
  <c r="T226" i="57"/>
  <c r="AK227" i="55" a="1"/>
  <c r="AK227" i="55" s="1"/>
  <c r="B229" i="57" s="1"/>
  <c r="W156" i="32"/>
  <c r="X156" i="32" s="1"/>
  <c r="Z156" i="32"/>
  <c r="N212" i="69"/>
  <c r="AF212" i="69" s="1"/>
  <c r="D212" i="69"/>
  <c r="E212" i="69" s="1"/>
  <c r="F212" i="69" s="1"/>
  <c r="G212" i="69" s="1"/>
  <c r="H212" i="69" s="1"/>
  <c r="I212" i="69" s="1"/>
  <c r="J212" i="69" s="1"/>
  <c r="K212" i="69" s="1"/>
  <c r="M212" i="69" s="1"/>
  <c r="P212" i="69"/>
  <c r="R211" i="69"/>
  <c r="S211" i="69" s="1"/>
  <c r="Y211" i="69" s="1"/>
  <c r="AB211" i="69" s="1"/>
  <c r="AC211" i="69" s="1"/>
  <c r="AD211" i="69" s="1"/>
  <c r="AE211" i="69"/>
  <c r="Q211" i="69"/>
  <c r="U211" i="69"/>
  <c r="C213" i="69"/>
  <c r="AO213" i="69" s="1"/>
  <c r="O213" i="69"/>
  <c r="AN213" i="67" a="1"/>
  <c r="AN213" i="67" s="1"/>
  <c r="B214" i="69"/>
  <c r="L214" i="69" s="1"/>
  <c r="R210" i="65"/>
  <c r="S210" i="65" s="1"/>
  <c r="Y210" i="65" s="1"/>
  <c r="AB210" i="65" s="1"/>
  <c r="AC210" i="65" s="1"/>
  <c r="AD210" i="65" s="1"/>
  <c r="U210" i="65"/>
  <c r="Q210" i="65"/>
  <c r="P211" i="65"/>
  <c r="D211" i="65"/>
  <c r="E211" i="65" s="1"/>
  <c r="F211" i="65" s="1"/>
  <c r="G211" i="65" s="1"/>
  <c r="H211" i="65" s="1"/>
  <c r="I211" i="65" s="1"/>
  <c r="J211" i="65" s="1"/>
  <c r="K211" i="65" s="1"/>
  <c r="M211" i="65" s="1"/>
  <c r="N211" i="65"/>
  <c r="O212" i="65"/>
  <c r="C212" i="65"/>
  <c r="AM212" i="65" s="1"/>
  <c r="AN212" i="63" a="1"/>
  <c r="AN212" i="63" s="1"/>
  <c r="B213" i="65"/>
  <c r="L213" i="65" s="1"/>
  <c r="AL158" i="11" a="1"/>
  <c r="AL158" i="11" s="1"/>
  <c r="E159" i="32" s="1"/>
  <c r="AK159" i="32" s="1"/>
  <c r="AL168" i="59" a="1"/>
  <c r="AL168" i="59" s="1"/>
  <c r="E169" i="50" s="1"/>
  <c r="AK169" i="50" s="1"/>
  <c r="AM58" i="59" a="1"/>
  <c r="AM58" i="59" s="1"/>
  <c r="AM43" i="11" a="1"/>
  <c r="AM43" i="11" s="1"/>
  <c r="AI155" i="32" l="1"/>
  <c r="AN155" i="32" s="1"/>
  <c r="AI165" i="50"/>
  <c r="AP165" i="50" s="1"/>
  <c r="AF211" i="65"/>
  <c r="AE211" i="65"/>
  <c r="AE228" i="57"/>
  <c r="R228" i="57"/>
  <c r="AE228" i="53"/>
  <c r="R228" i="53"/>
  <c r="AG166" i="50"/>
  <c r="AH166" i="50" s="1"/>
  <c r="AL166" i="50"/>
  <c r="AG156" i="32"/>
  <c r="AH156" i="32" s="1"/>
  <c r="AL156" i="32"/>
  <c r="AB225" i="57"/>
  <c r="AF225" i="57"/>
  <c r="AG211" i="69"/>
  <c r="AG210" i="65"/>
  <c r="P158" i="32"/>
  <c r="AX212" i="69"/>
  <c r="L229" i="57"/>
  <c r="O229" i="57"/>
  <c r="AG229" i="57" s="1"/>
  <c r="O169" i="50"/>
  <c r="T169" i="50"/>
  <c r="T159" i="32"/>
  <c r="AA225" i="57"/>
  <c r="AD167" i="50"/>
  <c r="AJ228" i="57"/>
  <c r="AC228" i="57"/>
  <c r="AP228" i="57"/>
  <c r="AM168" i="50"/>
  <c r="U168" i="50"/>
  <c r="AD157" i="32"/>
  <c r="X226" i="57"/>
  <c r="AF226" i="57" s="1"/>
  <c r="AM158" i="32"/>
  <c r="U158" i="32"/>
  <c r="AH211" i="65"/>
  <c r="AV211" i="65"/>
  <c r="AG228" i="53"/>
  <c r="AB226" i="53"/>
  <c r="AA226" i="53"/>
  <c r="AH228" i="53"/>
  <c r="AC228" i="53"/>
  <c r="AT228" i="53"/>
  <c r="N229" i="57"/>
  <c r="X227" i="53"/>
  <c r="AF227" i="53" s="1"/>
  <c r="H229" i="53"/>
  <c r="N229" i="53"/>
  <c r="AH212" i="69"/>
  <c r="AJ167" i="50"/>
  <c r="C167" i="50"/>
  <c r="AJ157" i="32"/>
  <c r="C157" i="32"/>
  <c r="AD228" i="57"/>
  <c r="Q228" i="53"/>
  <c r="AD228" i="53"/>
  <c r="S168" i="50"/>
  <c r="V167" i="50"/>
  <c r="S158" i="32"/>
  <c r="V158" i="32" s="1"/>
  <c r="AK228" i="52" a="1"/>
  <c r="AK228" i="52" s="1"/>
  <c r="B230" i="53" s="1"/>
  <c r="O230" i="53" s="1"/>
  <c r="D229" i="53"/>
  <c r="F229" i="53"/>
  <c r="P229" i="53"/>
  <c r="G229" i="53"/>
  <c r="J229" i="53"/>
  <c r="C229" i="53"/>
  <c r="K229" i="53"/>
  <c r="L229" i="53"/>
  <c r="I229" i="53"/>
  <c r="E229" i="53"/>
  <c r="A159" i="32"/>
  <c r="B159" i="32"/>
  <c r="H169" i="50"/>
  <c r="B169" i="50"/>
  <c r="R169" i="50" s="1"/>
  <c r="F169" i="50"/>
  <c r="N169" i="50"/>
  <c r="I169" i="50"/>
  <c r="L169" i="50"/>
  <c r="A169" i="50"/>
  <c r="Q169" i="50" s="1"/>
  <c r="P169" i="50" s="1"/>
  <c r="J169" i="50"/>
  <c r="K169" i="50"/>
  <c r="M169" i="50"/>
  <c r="G169" i="50"/>
  <c r="J159" i="32"/>
  <c r="M159" i="32"/>
  <c r="F159" i="32"/>
  <c r="N159" i="32"/>
  <c r="I159" i="32"/>
  <c r="K159" i="32"/>
  <c r="H159" i="32"/>
  <c r="G159" i="32"/>
  <c r="L159" i="32"/>
  <c r="O159" i="32"/>
  <c r="W167" i="50"/>
  <c r="X167" i="50" s="1"/>
  <c r="Z167" i="50"/>
  <c r="Q228" i="57"/>
  <c r="F229" i="57"/>
  <c r="C229" i="57"/>
  <c r="M229" i="57" s="1"/>
  <c r="P229" i="57"/>
  <c r="H229" i="57"/>
  <c r="K229" i="57"/>
  <c r="E229" i="57"/>
  <c r="G229" i="57"/>
  <c r="D229" i="57"/>
  <c r="J229" i="57"/>
  <c r="I229" i="57"/>
  <c r="T227" i="57"/>
  <c r="AK228" i="55" a="1"/>
  <c r="AK228" i="55" s="1"/>
  <c r="B230" i="57" s="1"/>
  <c r="W157" i="32"/>
  <c r="X157" i="32" s="1"/>
  <c r="Z157" i="32"/>
  <c r="AN214" i="67" a="1"/>
  <c r="AN214" i="67" s="1"/>
  <c r="B215" i="69"/>
  <c r="L215" i="69" s="1"/>
  <c r="U212" i="69"/>
  <c r="Q212" i="69"/>
  <c r="R212" i="69"/>
  <c r="S212" i="69" s="1"/>
  <c r="Y212" i="69" s="1"/>
  <c r="AB212" i="69" s="1"/>
  <c r="AC212" i="69" s="1"/>
  <c r="AD212" i="69" s="1"/>
  <c r="AE212" i="69"/>
  <c r="O214" i="69"/>
  <c r="C214" i="69"/>
  <c r="AO214" i="69" s="1"/>
  <c r="D213" i="69"/>
  <c r="E213" i="69" s="1"/>
  <c r="F213" i="69" s="1"/>
  <c r="G213" i="69" s="1"/>
  <c r="H213" i="69" s="1"/>
  <c r="I213" i="69" s="1"/>
  <c r="J213" i="69" s="1"/>
  <c r="K213" i="69" s="1"/>
  <c r="M213" i="69" s="1"/>
  <c r="P213" i="69"/>
  <c r="N213" i="69"/>
  <c r="AF213" i="69" s="1"/>
  <c r="P212" i="65"/>
  <c r="D212" i="65"/>
  <c r="E212" i="65" s="1"/>
  <c r="F212" i="65" s="1"/>
  <c r="G212" i="65" s="1"/>
  <c r="H212" i="65" s="1"/>
  <c r="I212" i="65" s="1"/>
  <c r="J212" i="65" s="1"/>
  <c r="K212" i="65" s="1"/>
  <c r="M212" i="65" s="1"/>
  <c r="N212" i="65"/>
  <c r="C213" i="65"/>
  <c r="AM213" i="65" s="1"/>
  <c r="O213" i="65"/>
  <c r="Q211" i="65"/>
  <c r="R211" i="65"/>
  <c r="S211" i="65" s="1"/>
  <c r="Y211" i="65" s="1"/>
  <c r="AB211" i="65" s="1"/>
  <c r="AC211" i="65" s="1"/>
  <c r="AD211" i="65" s="1"/>
  <c r="U211" i="65"/>
  <c r="AN213" i="63" a="1"/>
  <c r="AN213" i="63" s="1"/>
  <c r="B214" i="65"/>
  <c r="L214" i="65" s="1"/>
  <c r="AL159" i="11" a="1"/>
  <c r="AL159" i="11" s="1"/>
  <c r="E160" i="32" s="1"/>
  <c r="AK160" i="32" s="1"/>
  <c r="AL169" i="59" a="1"/>
  <c r="AL169" i="59" s="1"/>
  <c r="E170" i="50" s="1"/>
  <c r="AK170" i="50" s="1"/>
  <c r="AM59" i="59" a="1"/>
  <c r="AM59" i="59" s="1"/>
  <c r="AM44" i="11" a="1"/>
  <c r="AM44" i="11" s="1"/>
  <c r="X228" i="53" l="1"/>
  <c r="AF228" i="53" s="1"/>
  <c r="AI156" i="32"/>
  <c r="AN156" i="32" s="1"/>
  <c r="AI166" i="50"/>
  <c r="AP166" i="50" s="1"/>
  <c r="AF212" i="65"/>
  <c r="AE212" i="65"/>
  <c r="AE229" i="57"/>
  <c r="R229" i="57"/>
  <c r="AE229" i="53"/>
  <c r="R229" i="53"/>
  <c r="AL157" i="32"/>
  <c r="AG167" i="50"/>
  <c r="AH167" i="50" s="1"/>
  <c r="AL167" i="50"/>
  <c r="AG212" i="69"/>
  <c r="AG211" i="65"/>
  <c r="P159" i="32"/>
  <c r="AG157" i="32"/>
  <c r="AH157" i="32" s="1"/>
  <c r="AX213" i="69"/>
  <c r="X227" i="57"/>
  <c r="O230" i="57"/>
  <c r="AG230" i="57" s="1"/>
  <c r="L230" i="57"/>
  <c r="O170" i="50"/>
  <c r="T170" i="50"/>
  <c r="T160" i="32"/>
  <c r="AM159" i="32"/>
  <c r="U159" i="32"/>
  <c r="AA226" i="57"/>
  <c r="AB226" i="57"/>
  <c r="AD168" i="50"/>
  <c r="AM169" i="50"/>
  <c r="U169" i="50"/>
  <c r="AJ229" i="57"/>
  <c r="AC229" i="57"/>
  <c r="AP229" i="57"/>
  <c r="AD158" i="32"/>
  <c r="AH212" i="65"/>
  <c r="AV212" i="65"/>
  <c r="AB227" i="53"/>
  <c r="AA227" i="53"/>
  <c r="AH229" i="53"/>
  <c r="AC229" i="53"/>
  <c r="AT229" i="53"/>
  <c r="AG229" i="53"/>
  <c r="N230" i="57"/>
  <c r="N230" i="53"/>
  <c r="AH213" i="69"/>
  <c r="AJ168" i="50"/>
  <c r="C168" i="50"/>
  <c r="AJ158" i="32"/>
  <c r="C158" i="32"/>
  <c r="AD229" i="57"/>
  <c r="AD229" i="53"/>
  <c r="S169" i="50"/>
  <c r="V168" i="50"/>
  <c r="S159" i="32"/>
  <c r="V159" i="32" s="1"/>
  <c r="Q229" i="53"/>
  <c r="C230" i="53"/>
  <c r="K230" i="53"/>
  <c r="L230" i="53"/>
  <c r="AK229" i="52" a="1"/>
  <c r="AK229" i="52" s="1"/>
  <c r="B231" i="53" s="1"/>
  <c r="O231" i="53" s="1"/>
  <c r="G230" i="53"/>
  <c r="J230" i="53"/>
  <c r="E230" i="53"/>
  <c r="I230" i="53"/>
  <c r="F230" i="53"/>
  <c r="D230" i="53"/>
  <c r="H230" i="53"/>
  <c r="P230" i="53"/>
  <c r="A160" i="32"/>
  <c r="B160" i="32"/>
  <c r="G170" i="50"/>
  <c r="B170" i="50"/>
  <c r="R170" i="50" s="1"/>
  <c r="A170" i="50"/>
  <c r="Q170" i="50" s="1"/>
  <c r="P170" i="50" s="1"/>
  <c r="H170" i="50"/>
  <c r="J170" i="50"/>
  <c r="L170" i="50"/>
  <c r="I170" i="50"/>
  <c r="M170" i="50"/>
  <c r="N170" i="50"/>
  <c r="K170" i="50"/>
  <c r="F170" i="50"/>
  <c r="H160" i="32"/>
  <c r="K160" i="32"/>
  <c r="L160" i="32"/>
  <c r="G160" i="32"/>
  <c r="O160" i="32"/>
  <c r="F160" i="32"/>
  <c r="I160" i="32"/>
  <c r="N160" i="32"/>
  <c r="M160" i="32"/>
  <c r="J160" i="32"/>
  <c r="Q229" i="57"/>
  <c r="W168" i="50"/>
  <c r="X168" i="50" s="1"/>
  <c r="Z168" i="50"/>
  <c r="P230" i="57"/>
  <c r="J230" i="57"/>
  <c r="E230" i="57"/>
  <c r="F230" i="57"/>
  <c r="K230" i="57"/>
  <c r="G230" i="57"/>
  <c r="C230" i="57"/>
  <c r="M230" i="57" s="1"/>
  <c r="H230" i="57"/>
  <c r="I230" i="57"/>
  <c r="D230" i="57"/>
  <c r="T228" i="57"/>
  <c r="AK229" i="55" a="1"/>
  <c r="AK229" i="55" s="1"/>
  <c r="B231" i="57" s="1"/>
  <c r="W158" i="32"/>
  <c r="X158" i="32" s="1"/>
  <c r="Z158" i="32"/>
  <c r="AN215" i="67" a="1"/>
  <c r="AN215" i="67" s="1"/>
  <c r="B216" i="69"/>
  <c r="L216" i="69" s="1"/>
  <c r="AE213" i="69"/>
  <c r="Q213" i="69"/>
  <c r="R213" i="69"/>
  <c r="S213" i="69" s="1"/>
  <c r="Y213" i="69" s="1"/>
  <c r="AB213" i="69" s="1"/>
  <c r="AC213" i="69" s="1"/>
  <c r="AD213" i="69" s="1"/>
  <c r="U213" i="69"/>
  <c r="D214" i="69"/>
  <c r="E214" i="69" s="1"/>
  <c r="F214" i="69" s="1"/>
  <c r="G214" i="69" s="1"/>
  <c r="H214" i="69" s="1"/>
  <c r="I214" i="69" s="1"/>
  <c r="J214" i="69" s="1"/>
  <c r="K214" i="69" s="1"/>
  <c r="M214" i="69" s="1"/>
  <c r="P214" i="69"/>
  <c r="N214" i="69"/>
  <c r="AF214" i="69" s="1"/>
  <c r="C215" i="69"/>
  <c r="AO215" i="69" s="1"/>
  <c r="O215" i="69"/>
  <c r="AN214" i="63" a="1"/>
  <c r="AN214" i="63" s="1"/>
  <c r="B215" i="65"/>
  <c r="L215" i="65" s="1"/>
  <c r="Q212" i="65"/>
  <c r="R212" i="65"/>
  <c r="S212" i="65" s="1"/>
  <c r="Y212" i="65" s="1"/>
  <c r="AB212" i="65" s="1"/>
  <c r="AC212" i="65" s="1"/>
  <c r="AD212" i="65" s="1"/>
  <c r="U212" i="65"/>
  <c r="D213" i="65"/>
  <c r="E213" i="65" s="1"/>
  <c r="F213" i="65" s="1"/>
  <c r="G213" i="65" s="1"/>
  <c r="H213" i="65" s="1"/>
  <c r="I213" i="65" s="1"/>
  <c r="J213" i="65" s="1"/>
  <c r="K213" i="65" s="1"/>
  <c r="M213" i="65" s="1"/>
  <c r="P213" i="65"/>
  <c r="N213" i="65"/>
  <c r="C214" i="65"/>
  <c r="AM214" i="65" s="1"/>
  <c r="O214" i="65"/>
  <c r="AL160" i="11" a="1"/>
  <c r="AL160" i="11" s="1"/>
  <c r="AL170" i="59" a="1"/>
  <c r="AL170" i="59" s="1"/>
  <c r="E171" i="50" s="1"/>
  <c r="AK171" i="50" s="1"/>
  <c r="AM60" i="59" a="1"/>
  <c r="AM60" i="59" s="1"/>
  <c r="AM45" i="11" a="1"/>
  <c r="AM45" i="11" s="1"/>
  <c r="AA228" i="53" l="1"/>
  <c r="AB228" i="53"/>
  <c r="AI167" i="50"/>
  <c r="AP167" i="50" s="1"/>
  <c r="AF213" i="65"/>
  <c r="AE213" i="65"/>
  <c r="AE230" i="57"/>
  <c r="R230" i="57"/>
  <c r="AE230" i="53"/>
  <c r="R230" i="53"/>
  <c r="AG168" i="50"/>
  <c r="AH168" i="50" s="1"/>
  <c r="AL168" i="50"/>
  <c r="AG158" i="32"/>
  <c r="AH158" i="32" s="1"/>
  <c r="AL158" i="32"/>
  <c r="AA227" i="57"/>
  <c r="AF227" i="57"/>
  <c r="AG213" i="69"/>
  <c r="AG212" i="65"/>
  <c r="P160" i="32"/>
  <c r="AI157" i="32"/>
  <c r="AN157" i="32" s="1"/>
  <c r="AB227" i="57"/>
  <c r="AX214" i="69"/>
  <c r="O231" i="57"/>
  <c r="AG231" i="57" s="1"/>
  <c r="L231" i="57"/>
  <c r="O171" i="50"/>
  <c r="T171" i="50"/>
  <c r="AJ230" i="57"/>
  <c r="AC230" i="57"/>
  <c r="AP230" i="57"/>
  <c r="X228" i="57"/>
  <c r="AF228" i="57" s="1"/>
  <c r="AM170" i="50"/>
  <c r="U170" i="50"/>
  <c r="AM160" i="32"/>
  <c r="U160" i="32"/>
  <c r="AD159" i="32"/>
  <c r="AD169" i="50"/>
  <c r="AH213" i="65"/>
  <c r="AV213" i="65"/>
  <c r="AH230" i="53"/>
  <c r="AT230" i="53"/>
  <c r="AC230" i="53"/>
  <c r="AG230" i="53"/>
  <c r="N231" i="57"/>
  <c r="E231" i="53"/>
  <c r="N231" i="53"/>
  <c r="AH214" i="69"/>
  <c r="AJ169" i="50"/>
  <c r="C169" i="50"/>
  <c r="AJ159" i="32"/>
  <c r="C159" i="32"/>
  <c r="AD230" i="57"/>
  <c r="AD230" i="53"/>
  <c r="X229" i="53"/>
  <c r="AF229" i="53" s="1"/>
  <c r="V169" i="50"/>
  <c r="S170" i="50"/>
  <c r="S160" i="32"/>
  <c r="V160" i="32" s="1"/>
  <c r="Q230" i="53"/>
  <c r="D231" i="53"/>
  <c r="H231" i="53"/>
  <c r="C231" i="53"/>
  <c r="F231" i="53"/>
  <c r="AK230" i="52" a="1"/>
  <c r="AK230" i="52" s="1"/>
  <c r="B232" i="53" s="1"/>
  <c r="O232" i="53" s="1"/>
  <c r="L231" i="53"/>
  <c r="G231" i="53"/>
  <c r="I231" i="53"/>
  <c r="K231" i="53"/>
  <c r="J231" i="53"/>
  <c r="P231" i="53"/>
  <c r="I171" i="50"/>
  <c r="H171" i="50"/>
  <c r="F171" i="50"/>
  <c r="L171" i="50"/>
  <c r="N171" i="50"/>
  <c r="M171" i="50"/>
  <c r="B171" i="50"/>
  <c r="R171" i="50" s="1"/>
  <c r="G171" i="50"/>
  <c r="J171" i="50"/>
  <c r="K171" i="50"/>
  <c r="A171" i="50"/>
  <c r="Q171" i="50" s="1"/>
  <c r="P171" i="50" s="1"/>
  <c r="T229" i="57"/>
  <c r="J231" i="57"/>
  <c r="G231" i="57"/>
  <c r="D231" i="57"/>
  <c r="K231" i="57"/>
  <c r="F231" i="57"/>
  <c r="H231" i="57"/>
  <c r="C231" i="57"/>
  <c r="M231" i="57" s="1"/>
  <c r="E231" i="57"/>
  <c r="P231" i="57"/>
  <c r="I231" i="57"/>
  <c r="Z169" i="50"/>
  <c r="W169" i="50"/>
  <c r="X169" i="50" s="1"/>
  <c r="Q230" i="57"/>
  <c r="E161" i="32"/>
  <c r="AK161" i="32" s="1"/>
  <c r="AK230" i="55" a="1"/>
  <c r="AK230" i="55" s="1"/>
  <c r="B232" i="57" s="1"/>
  <c r="W159" i="32"/>
  <c r="X159" i="32" s="1"/>
  <c r="Z159" i="32"/>
  <c r="AN216" i="67" a="1"/>
  <c r="AN216" i="67" s="1"/>
  <c r="B217" i="69"/>
  <c r="L217" i="69" s="1"/>
  <c r="C216" i="69"/>
  <c r="AO216" i="69" s="1"/>
  <c r="O216" i="69"/>
  <c r="P215" i="69"/>
  <c r="D215" i="69"/>
  <c r="E215" i="69" s="1"/>
  <c r="F215" i="69" s="1"/>
  <c r="G215" i="69" s="1"/>
  <c r="H215" i="69" s="1"/>
  <c r="I215" i="69" s="1"/>
  <c r="J215" i="69" s="1"/>
  <c r="K215" i="69" s="1"/>
  <c r="M215" i="69" s="1"/>
  <c r="N215" i="69"/>
  <c r="AF215" i="69" s="1"/>
  <c r="AE214" i="69"/>
  <c r="Q214" i="69"/>
  <c r="R214" i="69"/>
  <c r="S214" i="69" s="1"/>
  <c r="Y214" i="69" s="1"/>
  <c r="AB214" i="69" s="1"/>
  <c r="AC214" i="69" s="1"/>
  <c r="AD214" i="69" s="1"/>
  <c r="U214" i="69"/>
  <c r="AN215" i="63" a="1"/>
  <c r="AN215" i="63" s="1"/>
  <c r="B216" i="65"/>
  <c r="L216" i="65" s="1"/>
  <c r="U213" i="65"/>
  <c r="Q213" i="65"/>
  <c r="R213" i="65"/>
  <c r="S213" i="65" s="1"/>
  <c r="Y213" i="65" s="1"/>
  <c r="AB213" i="65" s="1"/>
  <c r="AC213" i="65" s="1"/>
  <c r="AD213" i="65" s="1"/>
  <c r="C215" i="65"/>
  <c r="AM215" i="65" s="1"/>
  <c r="O215" i="65"/>
  <c r="D214" i="65"/>
  <c r="E214" i="65" s="1"/>
  <c r="F214" i="65" s="1"/>
  <c r="G214" i="65" s="1"/>
  <c r="H214" i="65" s="1"/>
  <c r="I214" i="65" s="1"/>
  <c r="J214" i="65" s="1"/>
  <c r="K214" i="65" s="1"/>
  <c r="M214" i="65" s="1"/>
  <c r="P214" i="65"/>
  <c r="N214" i="65"/>
  <c r="AL161" i="11" a="1"/>
  <c r="AL161" i="11" s="1"/>
  <c r="E162" i="32" s="1"/>
  <c r="AK162" i="32" s="1"/>
  <c r="AL171" i="59" a="1"/>
  <c r="AL171" i="59" s="1"/>
  <c r="E172" i="50" s="1"/>
  <c r="AK172" i="50" s="1"/>
  <c r="AM61" i="59" a="1"/>
  <c r="AM61" i="59" s="1"/>
  <c r="AM46" i="11" a="1"/>
  <c r="AM46" i="11" s="1"/>
  <c r="X230" i="53" l="1"/>
  <c r="AF230" i="53" s="1"/>
  <c r="AI158" i="32"/>
  <c r="AN158" i="32" s="1"/>
  <c r="AI168" i="50"/>
  <c r="AP168" i="50" s="1"/>
  <c r="AF214" i="65"/>
  <c r="AE214" i="65"/>
  <c r="AE231" i="57"/>
  <c r="R231" i="57"/>
  <c r="AE231" i="53"/>
  <c r="R231" i="53"/>
  <c r="AG169" i="50"/>
  <c r="AH169" i="50" s="1"/>
  <c r="AL169" i="50"/>
  <c r="AG159" i="32"/>
  <c r="AH159" i="32" s="1"/>
  <c r="AL159" i="32"/>
  <c r="AG214" i="69"/>
  <c r="AG213" i="65"/>
  <c r="X229" i="57"/>
  <c r="AX215" i="69"/>
  <c r="O232" i="57"/>
  <c r="AG232" i="57" s="1"/>
  <c r="L232" i="57"/>
  <c r="O172" i="50"/>
  <c r="T172" i="50"/>
  <c r="T161" i="32"/>
  <c r="T162" i="32"/>
  <c r="AJ231" i="57"/>
  <c r="AC231" i="57"/>
  <c r="AP231" i="57"/>
  <c r="AD170" i="50"/>
  <c r="AM171" i="50"/>
  <c r="U171" i="50"/>
  <c r="AB228" i="57"/>
  <c r="AA228" i="57"/>
  <c r="AD160" i="32"/>
  <c r="AH214" i="65"/>
  <c r="AV214" i="65"/>
  <c r="AH231" i="53"/>
  <c r="AC231" i="53"/>
  <c r="AT231" i="53"/>
  <c r="AG231" i="53"/>
  <c r="AB229" i="53"/>
  <c r="AA229" i="53"/>
  <c r="N232" i="57"/>
  <c r="H232" i="53"/>
  <c r="N232" i="53"/>
  <c r="AH215" i="69"/>
  <c r="AJ170" i="50"/>
  <c r="C170" i="50"/>
  <c r="AJ160" i="32"/>
  <c r="C160" i="32"/>
  <c r="AD231" i="57"/>
  <c r="AD231" i="53"/>
  <c r="S171" i="50"/>
  <c r="V170" i="50"/>
  <c r="Q231" i="53"/>
  <c r="F232" i="53"/>
  <c r="P232" i="53"/>
  <c r="L232" i="53"/>
  <c r="I232" i="53"/>
  <c r="D232" i="53"/>
  <c r="K232" i="53"/>
  <c r="E232" i="53"/>
  <c r="AK231" i="52" a="1"/>
  <c r="AK231" i="52" s="1"/>
  <c r="B233" i="53" s="1"/>
  <c r="O233" i="53" s="1"/>
  <c r="J232" i="53"/>
  <c r="G232" i="53"/>
  <c r="C232" i="53"/>
  <c r="A162" i="32"/>
  <c r="B162" i="32"/>
  <c r="A161" i="32"/>
  <c r="B161" i="32"/>
  <c r="L172" i="50"/>
  <c r="N172" i="50"/>
  <c r="F172" i="50"/>
  <c r="G172" i="50"/>
  <c r="I172" i="50"/>
  <c r="H172" i="50"/>
  <c r="K172" i="50"/>
  <c r="J172" i="50"/>
  <c r="M172" i="50"/>
  <c r="A172" i="50"/>
  <c r="Q172" i="50" s="1"/>
  <c r="P172" i="50" s="1"/>
  <c r="B172" i="50"/>
  <c r="R172" i="50" s="1"/>
  <c r="F161" i="32"/>
  <c r="N161" i="32"/>
  <c r="I161" i="32"/>
  <c r="J161" i="32"/>
  <c r="M161" i="32"/>
  <c r="G161" i="32"/>
  <c r="L161" i="32"/>
  <c r="O161" i="32"/>
  <c r="H161" i="32"/>
  <c r="K161" i="32"/>
  <c r="L162" i="32"/>
  <c r="G162" i="32"/>
  <c r="O162" i="32"/>
  <c r="H162" i="32"/>
  <c r="K162" i="32"/>
  <c r="M162" i="32"/>
  <c r="J162" i="32"/>
  <c r="F162" i="32"/>
  <c r="I162" i="32"/>
  <c r="N162" i="32"/>
  <c r="Q231" i="57"/>
  <c r="T230" i="57"/>
  <c r="I232" i="57"/>
  <c r="F232" i="57"/>
  <c r="D232" i="57"/>
  <c r="C232" i="57"/>
  <c r="M232" i="57" s="1"/>
  <c r="J232" i="57"/>
  <c r="K232" i="57"/>
  <c r="E232" i="57"/>
  <c r="G232" i="57"/>
  <c r="P232" i="57"/>
  <c r="H232" i="57"/>
  <c r="Z170" i="50"/>
  <c r="W170" i="50"/>
  <c r="X170" i="50" s="1"/>
  <c r="AK231" i="55" a="1"/>
  <c r="AK231" i="55" s="1"/>
  <c r="B233" i="57" s="1"/>
  <c r="W160" i="32"/>
  <c r="X160" i="32" s="1"/>
  <c r="Z160" i="32"/>
  <c r="AN217" i="67" a="1"/>
  <c r="AN217" i="67" s="1"/>
  <c r="B218" i="69"/>
  <c r="L218" i="69" s="1"/>
  <c r="D216" i="69"/>
  <c r="E216" i="69" s="1"/>
  <c r="F216" i="69" s="1"/>
  <c r="G216" i="69" s="1"/>
  <c r="H216" i="69" s="1"/>
  <c r="I216" i="69" s="1"/>
  <c r="J216" i="69" s="1"/>
  <c r="K216" i="69" s="1"/>
  <c r="M216" i="69" s="1"/>
  <c r="P216" i="69"/>
  <c r="N216" i="69"/>
  <c r="AF216" i="69" s="1"/>
  <c r="Q215" i="69"/>
  <c r="U215" i="69"/>
  <c r="AE215" i="69"/>
  <c r="R215" i="69"/>
  <c r="S215" i="69" s="1"/>
  <c r="Y215" i="69" s="1"/>
  <c r="AB215" i="69" s="1"/>
  <c r="AC215" i="69" s="1"/>
  <c r="AD215" i="69" s="1"/>
  <c r="C217" i="69"/>
  <c r="AO217" i="69" s="1"/>
  <c r="O217" i="69"/>
  <c r="AN216" i="63" a="1"/>
  <c r="AN216" i="63" s="1"/>
  <c r="B217" i="65"/>
  <c r="L217" i="65" s="1"/>
  <c r="Q214" i="65"/>
  <c r="R214" i="65"/>
  <c r="S214" i="65" s="1"/>
  <c r="Y214" i="65" s="1"/>
  <c r="AB214" i="65" s="1"/>
  <c r="AC214" i="65" s="1"/>
  <c r="AD214" i="65" s="1"/>
  <c r="U214" i="65"/>
  <c r="C216" i="65"/>
  <c r="AM216" i="65" s="1"/>
  <c r="O216" i="65"/>
  <c r="D215" i="65"/>
  <c r="E215" i="65" s="1"/>
  <c r="F215" i="65" s="1"/>
  <c r="G215" i="65" s="1"/>
  <c r="H215" i="65" s="1"/>
  <c r="I215" i="65" s="1"/>
  <c r="J215" i="65" s="1"/>
  <c r="K215" i="65" s="1"/>
  <c r="M215" i="65" s="1"/>
  <c r="N215" i="65"/>
  <c r="P215" i="65"/>
  <c r="AL162" i="11" a="1"/>
  <c r="AL162" i="11" s="1"/>
  <c r="E163" i="32" s="1"/>
  <c r="AK163" i="32" s="1"/>
  <c r="AL172" i="59" a="1"/>
  <c r="AL172" i="59" s="1"/>
  <c r="E173" i="50" s="1"/>
  <c r="AK173" i="50" s="1"/>
  <c r="AM62" i="59" a="1"/>
  <c r="AM62" i="59" s="1"/>
  <c r="AM47" i="11" a="1"/>
  <c r="AM47" i="11" s="1"/>
  <c r="AB230" i="53" l="1"/>
  <c r="AA230" i="53"/>
  <c r="X231" i="53"/>
  <c r="AA231" i="53" s="1"/>
  <c r="AI159" i="32"/>
  <c r="AN159" i="32" s="1"/>
  <c r="AI169" i="50"/>
  <c r="AP169" i="50" s="1"/>
  <c r="AF215" i="65"/>
  <c r="AE215" i="65"/>
  <c r="AE232" i="57"/>
  <c r="R232" i="57"/>
  <c r="AE232" i="53"/>
  <c r="R232" i="53"/>
  <c r="AG170" i="50"/>
  <c r="AH170" i="50" s="1"/>
  <c r="AL170" i="50"/>
  <c r="AG160" i="32"/>
  <c r="AH160" i="32" s="1"/>
  <c r="AL160" i="32"/>
  <c r="AA229" i="57"/>
  <c r="AF229" i="57"/>
  <c r="AG215" i="69"/>
  <c r="AG214" i="65"/>
  <c r="P161" i="32"/>
  <c r="P162" i="32"/>
  <c r="AB229" i="57"/>
  <c r="AX216" i="69"/>
  <c r="O233" i="57"/>
  <c r="AG233" i="57" s="1"/>
  <c r="L233" i="57"/>
  <c r="T173" i="50"/>
  <c r="O173" i="50"/>
  <c r="T163" i="32"/>
  <c r="AM161" i="32"/>
  <c r="U161" i="32"/>
  <c r="AM172" i="50"/>
  <c r="U172" i="50"/>
  <c r="X230" i="57"/>
  <c r="AF230" i="57" s="1"/>
  <c r="AJ232" i="57"/>
  <c r="AC232" i="57"/>
  <c r="AP232" i="57"/>
  <c r="AD171" i="50"/>
  <c r="AM162" i="32"/>
  <c r="U162" i="32"/>
  <c r="AH215" i="65"/>
  <c r="AV215" i="65"/>
  <c r="AH232" i="53"/>
  <c r="AC232" i="53"/>
  <c r="AT232" i="53"/>
  <c r="AG232" i="53"/>
  <c r="N233" i="57"/>
  <c r="N233" i="53"/>
  <c r="AH216" i="69"/>
  <c r="AJ171" i="50"/>
  <c r="C171" i="50"/>
  <c r="AD232" i="57"/>
  <c r="Q232" i="53"/>
  <c r="AD232" i="53"/>
  <c r="S172" i="50"/>
  <c r="V171" i="50"/>
  <c r="S161" i="32"/>
  <c r="V161" i="32" s="1"/>
  <c r="S162" i="32"/>
  <c r="V162" i="32" s="1"/>
  <c r="AK232" i="52" a="1"/>
  <c r="AK232" i="52" s="1"/>
  <c r="B234" i="53" s="1"/>
  <c r="O234" i="53" s="1"/>
  <c r="E233" i="53"/>
  <c r="J233" i="53"/>
  <c r="H233" i="53"/>
  <c r="L233" i="53"/>
  <c r="F233" i="53"/>
  <c r="D233" i="53"/>
  <c r="K233" i="53"/>
  <c r="C233" i="53"/>
  <c r="I233" i="53"/>
  <c r="G233" i="53"/>
  <c r="P233" i="53"/>
  <c r="A163" i="32"/>
  <c r="B163" i="32"/>
  <c r="F173" i="50"/>
  <c r="M173" i="50"/>
  <c r="J173" i="50"/>
  <c r="K173" i="50"/>
  <c r="B173" i="50"/>
  <c r="R173" i="50" s="1"/>
  <c r="L173" i="50"/>
  <c r="H173" i="50"/>
  <c r="A173" i="50"/>
  <c r="Q173" i="50" s="1"/>
  <c r="P173" i="50" s="1"/>
  <c r="G173" i="50"/>
  <c r="I173" i="50"/>
  <c r="N173" i="50"/>
  <c r="J163" i="32"/>
  <c r="M163" i="32"/>
  <c r="F163" i="32"/>
  <c r="N163" i="32"/>
  <c r="I163" i="32"/>
  <c r="H163" i="32"/>
  <c r="K163" i="32"/>
  <c r="G163" i="32"/>
  <c r="L163" i="32"/>
  <c r="O163" i="32"/>
  <c r="K233" i="57"/>
  <c r="J233" i="57"/>
  <c r="H233" i="57"/>
  <c r="F233" i="57"/>
  <c r="P233" i="57"/>
  <c r="D233" i="57"/>
  <c r="C233" i="57"/>
  <c r="M233" i="57" s="1"/>
  <c r="I233" i="57"/>
  <c r="E233" i="57"/>
  <c r="G233" i="57"/>
  <c r="Q232" i="57"/>
  <c r="Z171" i="50"/>
  <c r="W171" i="50"/>
  <c r="X171" i="50" s="1"/>
  <c r="T231" i="57"/>
  <c r="AK232" i="55" a="1"/>
  <c r="AK232" i="55" s="1"/>
  <c r="B234" i="57" s="1"/>
  <c r="U216" i="69"/>
  <c r="Q216" i="69"/>
  <c r="R216" i="69"/>
  <c r="S216" i="69" s="1"/>
  <c r="Y216" i="69" s="1"/>
  <c r="AB216" i="69" s="1"/>
  <c r="AC216" i="69" s="1"/>
  <c r="AD216" i="69" s="1"/>
  <c r="AE216" i="69"/>
  <c r="O218" i="69"/>
  <c r="C218" i="69"/>
  <c r="AO218" i="69" s="1"/>
  <c r="N217" i="69"/>
  <c r="AF217" i="69" s="1"/>
  <c r="P217" i="69"/>
  <c r="D217" i="69"/>
  <c r="E217" i="69" s="1"/>
  <c r="F217" i="69" s="1"/>
  <c r="G217" i="69" s="1"/>
  <c r="H217" i="69" s="1"/>
  <c r="I217" i="69" s="1"/>
  <c r="J217" i="69" s="1"/>
  <c r="K217" i="69" s="1"/>
  <c r="M217" i="69" s="1"/>
  <c r="AN218" i="67" a="1"/>
  <c r="AN218" i="67" s="1"/>
  <c r="B219" i="69"/>
  <c r="L219" i="69" s="1"/>
  <c r="AN217" i="63" a="1"/>
  <c r="AN217" i="63" s="1"/>
  <c r="B218" i="65"/>
  <c r="L218" i="65" s="1"/>
  <c r="P216" i="65"/>
  <c r="D216" i="65"/>
  <c r="E216" i="65" s="1"/>
  <c r="F216" i="65" s="1"/>
  <c r="G216" i="65" s="1"/>
  <c r="H216" i="65" s="1"/>
  <c r="I216" i="65" s="1"/>
  <c r="J216" i="65" s="1"/>
  <c r="K216" i="65" s="1"/>
  <c r="M216" i="65" s="1"/>
  <c r="N216" i="65"/>
  <c r="C217" i="65"/>
  <c r="AM217" i="65" s="1"/>
  <c r="O217" i="65"/>
  <c r="U215" i="65"/>
  <c r="Q215" i="65"/>
  <c r="R215" i="65"/>
  <c r="S215" i="65" s="1"/>
  <c r="Y215" i="65" s="1"/>
  <c r="AB215" i="65" s="1"/>
  <c r="AC215" i="65" s="1"/>
  <c r="AD215" i="65" s="1"/>
  <c r="AL163" i="11" a="1"/>
  <c r="AL163" i="11" s="1"/>
  <c r="E164" i="32" s="1"/>
  <c r="AK164" i="32" s="1"/>
  <c r="AL173" i="59" a="1"/>
  <c r="AL173" i="59" s="1"/>
  <c r="E174" i="50" s="1"/>
  <c r="AK174" i="50" s="1"/>
  <c r="AM63" i="59" a="1"/>
  <c r="AM63" i="59" s="1"/>
  <c r="AM48" i="11" a="1"/>
  <c r="AM48" i="11" s="1"/>
  <c r="AB231" i="53" l="1"/>
  <c r="AF231" i="53"/>
  <c r="X232" i="53"/>
  <c r="AB232" i="53" s="1"/>
  <c r="AI160" i="32"/>
  <c r="AN160" i="32" s="1"/>
  <c r="AI170" i="50"/>
  <c r="AP170" i="50" s="1"/>
  <c r="AF216" i="65"/>
  <c r="AE216" i="65"/>
  <c r="AE233" i="57"/>
  <c r="R233" i="57"/>
  <c r="AE233" i="53"/>
  <c r="R233" i="53"/>
  <c r="AG171" i="50"/>
  <c r="AH171" i="50" s="1"/>
  <c r="AL171" i="50"/>
  <c r="AG216" i="69"/>
  <c r="AG215" i="65"/>
  <c r="P163" i="32"/>
  <c r="AX217" i="69"/>
  <c r="O234" i="57"/>
  <c r="AG234" i="57" s="1"/>
  <c r="L234" i="57"/>
  <c r="T174" i="50"/>
  <c r="O174" i="50"/>
  <c r="T164" i="32"/>
  <c r="AM163" i="32"/>
  <c r="U163" i="32"/>
  <c r="AB230" i="57"/>
  <c r="AA230" i="57"/>
  <c r="AD172" i="50"/>
  <c r="X231" i="57"/>
  <c r="AF231" i="57" s="1"/>
  <c r="AJ233" i="57"/>
  <c r="AC233" i="57"/>
  <c r="AP233" i="57"/>
  <c r="AD161" i="32"/>
  <c r="AD162" i="32"/>
  <c r="AM173" i="50"/>
  <c r="U173" i="50"/>
  <c r="AH216" i="65"/>
  <c r="AV216" i="65"/>
  <c r="AG233" i="53"/>
  <c r="Q233" i="53"/>
  <c r="AH233" i="53"/>
  <c r="AC233" i="53"/>
  <c r="AT233" i="53"/>
  <c r="AD233" i="53"/>
  <c r="N234" i="57"/>
  <c r="J234" i="53"/>
  <c r="N234" i="53"/>
  <c r="AH217" i="69"/>
  <c r="AJ172" i="50"/>
  <c r="C172" i="50"/>
  <c r="AJ162" i="32"/>
  <c r="C162" i="32"/>
  <c r="AJ161" i="32"/>
  <c r="C161" i="32"/>
  <c r="AD233" i="57"/>
  <c r="S173" i="50"/>
  <c r="V172" i="50"/>
  <c r="S163" i="32"/>
  <c r="V163" i="32" s="1"/>
  <c r="I234" i="53"/>
  <c r="H234" i="53"/>
  <c r="P234" i="53"/>
  <c r="E234" i="53"/>
  <c r="F234" i="53"/>
  <c r="AK233" i="52" a="1"/>
  <c r="AK233" i="52" s="1"/>
  <c r="B235" i="53" s="1"/>
  <c r="O235" i="53" s="1"/>
  <c r="K234" i="53"/>
  <c r="D234" i="53"/>
  <c r="L234" i="53"/>
  <c r="G234" i="53"/>
  <c r="C234" i="53"/>
  <c r="A164" i="32"/>
  <c r="B164" i="32"/>
  <c r="M174" i="50"/>
  <c r="A174" i="50"/>
  <c r="Q174" i="50" s="1"/>
  <c r="P174" i="50" s="1"/>
  <c r="K174" i="50"/>
  <c r="G174" i="50"/>
  <c r="N174" i="50"/>
  <c r="I174" i="50"/>
  <c r="L174" i="50"/>
  <c r="H174" i="50"/>
  <c r="B174" i="50"/>
  <c r="R174" i="50" s="1"/>
  <c r="J174" i="50"/>
  <c r="F174" i="50"/>
  <c r="H164" i="32"/>
  <c r="K164" i="32"/>
  <c r="L164" i="32"/>
  <c r="G164" i="32"/>
  <c r="O164" i="32"/>
  <c r="I164" i="32"/>
  <c r="N164" i="32"/>
  <c r="F164" i="32"/>
  <c r="J164" i="32"/>
  <c r="M164" i="32"/>
  <c r="Z161" i="32"/>
  <c r="W161" i="32"/>
  <c r="X161" i="32" s="1"/>
  <c r="E234" i="57"/>
  <c r="P234" i="57"/>
  <c r="J234" i="57"/>
  <c r="H234" i="57"/>
  <c r="G234" i="57"/>
  <c r="C234" i="57"/>
  <c r="M234" i="57" s="1"/>
  <c r="F234" i="57"/>
  <c r="D234" i="57"/>
  <c r="K234" i="57"/>
  <c r="I234" i="57"/>
  <c r="Z172" i="50"/>
  <c r="W172" i="50"/>
  <c r="X172" i="50" s="1"/>
  <c r="T232" i="57"/>
  <c r="Q233" i="57"/>
  <c r="AK233" i="55" a="1"/>
  <c r="AK233" i="55" s="1"/>
  <c r="B235" i="57" s="1"/>
  <c r="W162" i="32"/>
  <c r="X162" i="32" s="1"/>
  <c r="Z162" i="32"/>
  <c r="U217" i="69"/>
  <c r="Q217" i="69"/>
  <c r="R217" i="69"/>
  <c r="S217" i="69" s="1"/>
  <c r="Y217" i="69" s="1"/>
  <c r="AB217" i="69" s="1"/>
  <c r="AC217" i="69" s="1"/>
  <c r="AD217" i="69" s="1"/>
  <c r="AE217" i="69"/>
  <c r="P218" i="69"/>
  <c r="D218" i="69"/>
  <c r="E218" i="69" s="1"/>
  <c r="F218" i="69" s="1"/>
  <c r="G218" i="69" s="1"/>
  <c r="H218" i="69" s="1"/>
  <c r="I218" i="69" s="1"/>
  <c r="J218" i="69" s="1"/>
  <c r="K218" i="69" s="1"/>
  <c r="M218" i="69" s="1"/>
  <c r="N218" i="69"/>
  <c r="AF218" i="69" s="1"/>
  <c r="AN219" i="67" a="1"/>
  <c r="AN219" i="67" s="1"/>
  <c r="B220" i="69"/>
  <c r="L220" i="69" s="1"/>
  <c r="C219" i="69"/>
  <c r="AO219" i="69" s="1"/>
  <c r="O219" i="69"/>
  <c r="AN218" i="63" a="1"/>
  <c r="AN218" i="63" s="1"/>
  <c r="B219" i="65"/>
  <c r="L219" i="65" s="1"/>
  <c r="C218" i="65"/>
  <c r="AM218" i="65" s="1"/>
  <c r="O218" i="65"/>
  <c r="P217" i="65"/>
  <c r="D217" i="65"/>
  <c r="E217" i="65" s="1"/>
  <c r="F217" i="65" s="1"/>
  <c r="G217" i="65" s="1"/>
  <c r="H217" i="65" s="1"/>
  <c r="I217" i="65" s="1"/>
  <c r="J217" i="65" s="1"/>
  <c r="K217" i="65" s="1"/>
  <c r="M217" i="65" s="1"/>
  <c r="N217" i="65"/>
  <c r="U216" i="65"/>
  <c r="Q216" i="65"/>
  <c r="R216" i="65"/>
  <c r="S216" i="65" s="1"/>
  <c r="Y216" i="65" s="1"/>
  <c r="AB216" i="65" s="1"/>
  <c r="AC216" i="65" s="1"/>
  <c r="AD216" i="65" s="1"/>
  <c r="AL164" i="11" a="1"/>
  <c r="AL164" i="11" s="1"/>
  <c r="E165" i="32" s="1"/>
  <c r="AK165" i="32" s="1"/>
  <c r="AL174" i="59" a="1"/>
  <c r="AL174" i="59" s="1"/>
  <c r="E175" i="50" s="1"/>
  <c r="AK175" i="50" s="1"/>
  <c r="AM64" i="59" a="1"/>
  <c r="AM64" i="59" s="1"/>
  <c r="AM49" i="11" a="1"/>
  <c r="AM49" i="11" s="1"/>
  <c r="X233" i="53" l="1"/>
  <c r="AA233" i="53" s="1"/>
  <c r="AF232" i="53"/>
  <c r="AA232" i="53"/>
  <c r="AI171" i="50"/>
  <c r="AP171" i="50" s="1"/>
  <c r="AF217" i="65"/>
  <c r="AE217" i="65"/>
  <c r="AE234" i="57"/>
  <c r="R234" i="57"/>
  <c r="AE234" i="53"/>
  <c r="R234" i="53"/>
  <c r="AG172" i="50"/>
  <c r="AH172" i="50" s="1"/>
  <c r="AL172" i="50"/>
  <c r="AG162" i="32"/>
  <c r="AH162" i="32" s="1"/>
  <c r="AL162" i="32"/>
  <c r="AG161" i="32"/>
  <c r="AH161" i="32" s="1"/>
  <c r="AL161" i="32"/>
  <c r="AG217" i="69"/>
  <c r="AG216" i="65"/>
  <c r="P164" i="32"/>
  <c r="AX218" i="69"/>
  <c r="X232" i="57"/>
  <c r="L235" i="57"/>
  <c r="O235" i="57"/>
  <c r="AG235" i="57" s="1"/>
  <c r="T175" i="50"/>
  <c r="O175" i="50"/>
  <c r="T165" i="32"/>
  <c r="AD173" i="50"/>
  <c r="AB231" i="57"/>
  <c r="AA231" i="57"/>
  <c r="AM174" i="50"/>
  <c r="U174" i="50"/>
  <c r="AM164" i="32"/>
  <c r="U164" i="32"/>
  <c r="AD163" i="32"/>
  <c r="AJ234" i="57"/>
  <c r="AC234" i="57"/>
  <c r="AP234" i="57"/>
  <c r="AH217" i="65"/>
  <c r="AV217" i="65"/>
  <c r="AH234" i="53"/>
  <c r="AC234" i="53"/>
  <c r="AT234" i="53"/>
  <c r="AG234" i="53"/>
  <c r="N235" i="57"/>
  <c r="N235" i="53"/>
  <c r="AH218" i="69"/>
  <c r="AJ173" i="50"/>
  <c r="C173" i="50"/>
  <c r="AJ163" i="32"/>
  <c r="C163" i="32"/>
  <c r="AD234" i="57"/>
  <c r="AD234" i="53"/>
  <c r="Q234" i="53"/>
  <c r="S174" i="50"/>
  <c r="V173" i="50"/>
  <c r="S164" i="32"/>
  <c r="V164" i="32" s="1"/>
  <c r="L235" i="53"/>
  <c r="C235" i="53"/>
  <c r="D235" i="53"/>
  <c r="I235" i="53"/>
  <c r="AK234" i="52" a="1"/>
  <c r="AK234" i="52" s="1"/>
  <c r="B236" i="53" s="1"/>
  <c r="O236" i="53" s="1"/>
  <c r="H235" i="53"/>
  <c r="G235" i="53"/>
  <c r="K235" i="53"/>
  <c r="F235" i="53"/>
  <c r="P235" i="53"/>
  <c r="J235" i="53"/>
  <c r="E235" i="53"/>
  <c r="A165" i="32"/>
  <c r="B165" i="32"/>
  <c r="F175" i="50"/>
  <c r="L175" i="50"/>
  <c r="A175" i="50"/>
  <c r="Q175" i="50" s="1"/>
  <c r="P175" i="50" s="1"/>
  <c r="K175" i="50"/>
  <c r="H175" i="50"/>
  <c r="M175" i="50"/>
  <c r="I175" i="50"/>
  <c r="J175" i="50"/>
  <c r="B175" i="50"/>
  <c r="R175" i="50" s="1"/>
  <c r="G175" i="50"/>
  <c r="N175" i="50"/>
  <c r="F165" i="32"/>
  <c r="K165" i="32"/>
  <c r="N165" i="32"/>
  <c r="G165" i="32"/>
  <c r="O165" i="32"/>
  <c r="J165" i="32"/>
  <c r="H165" i="32"/>
  <c r="I165" i="32"/>
  <c r="L165" i="32"/>
  <c r="M165" i="32"/>
  <c r="W173" i="50"/>
  <c r="X173" i="50" s="1"/>
  <c r="Z173" i="50"/>
  <c r="Q234" i="57"/>
  <c r="T233" i="57"/>
  <c r="J235" i="57"/>
  <c r="D235" i="57"/>
  <c r="K235" i="57"/>
  <c r="F235" i="57"/>
  <c r="I235" i="57"/>
  <c r="E235" i="57"/>
  <c r="C235" i="57"/>
  <c r="M235" i="57" s="1"/>
  <c r="G235" i="57"/>
  <c r="P235" i="57"/>
  <c r="H235" i="57"/>
  <c r="AK234" i="55" a="1"/>
  <c r="AK234" i="55" s="1"/>
  <c r="B236" i="57" s="1"/>
  <c r="W163" i="32"/>
  <c r="X163" i="32" s="1"/>
  <c r="Z163" i="32"/>
  <c r="AN220" i="67" a="1"/>
  <c r="AN220" i="67" s="1"/>
  <c r="B221" i="69"/>
  <c r="L221" i="69" s="1"/>
  <c r="Q218" i="69"/>
  <c r="U218" i="69"/>
  <c r="AE218" i="69"/>
  <c r="R218" i="69"/>
  <c r="S218" i="69" s="1"/>
  <c r="Y218" i="69" s="1"/>
  <c r="AB218" i="69" s="1"/>
  <c r="AC218" i="69" s="1"/>
  <c r="AD218" i="69" s="1"/>
  <c r="C220" i="69"/>
  <c r="AO220" i="69" s="1"/>
  <c r="O220" i="69"/>
  <c r="N219" i="69"/>
  <c r="AF219" i="69" s="1"/>
  <c r="P219" i="69"/>
  <c r="D219" i="69"/>
  <c r="E219" i="69" s="1"/>
  <c r="F219" i="69" s="1"/>
  <c r="G219" i="69" s="1"/>
  <c r="H219" i="69" s="1"/>
  <c r="I219" i="69" s="1"/>
  <c r="J219" i="69" s="1"/>
  <c r="K219" i="69" s="1"/>
  <c r="M219" i="69" s="1"/>
  <c r="AN219" i="63" a="1"/>
  <c r="AN219" i="63" s="1"/>
  <c r="B220" i="65"/>
  <c r="L220" i="65" s="1"/>
  <c r="C219" i="65"/>
  <c r="AM219" i="65" s="1"/>
  <c r="O219" i="65"/>
  <c r="D218" i="65"/>
  <c r="E218" i="65" s="1"/>
  <c r="F218" i="65" s="1"/>
  <c r="G218" i="65" s="1"/>
  <c r="H218" i="65" s="1"/>
  <c r="I218" i="65" s="1"/>
  <c r="J218" i="65" s="1"/>
  <c r="K218" i="65" s="1"/>
  <c r="M218" i="65" s="1"/>
  <c r="P218" i="65"/>
  <c r="N218" i="65"/>
  <c r="R217" i="65"/>
  <c r="S217" i="65" s="1"/>
  <c r="Y217" i="65" s="1"/>
  <c r="AB217" i="65" s="1"/>
  <c r="AC217" i="65" s="1"/>
  <c r="AD217" i="65" s="1"/>
  <c r="U217" i="65"/>
  <c r="Q217" i="65"/>
  <c r="AL165" i="11" a="1"/>
  <c r="AL165" i="11" s="1"/>
  <c r="E166" i="32" s="1"/>
  <c r="AK166" i="32" s="1"/>
  <c r="AL175" i="59" a="1"/>
  <c r="AL175" i="59" s="1"/>
  <c r="E176" i="50" s="1"/>
  <c r="AK176" i="50" s="1"/>
  <c r="AM65" i="59" a="1"/>
  <c r="AM65" i="59" s="1"/>
  <c r="AM50" i="11" a="1"/>
  <c r="AM50" i="11" s="1"/>
  <c r="AB233" i="53" l="1"/>
  <c r="AF233" i="53"/>
  <c r="AI161" i="32"/>
  <c r="AN161" i="32" s="1"/>
  <c r="AI162" i="32"/>
  <c r="AN162" i="32" s="1"/>
  <c r="AI172" i="50"/>
  <c r="AP172" i="50" s="1"/>
  <c r="AF218" i="65"/>
  <c r="AE218" i="65"/>
  <c r="AE235" i="57"/>
  <c r="R235" i="57"/>
  <c r="AE235" i="53"/>
  <c r="R235" i="53"/>
  <c r="AG173" i="50"/>
  <c r="AH173" i="50" s="1"/>
  <c r="AL173" i="50"/>
  <c r="AG163" i="32"/>
  <c r="AH163" i="32" s="1"/>
  <c r="AL163" i="32"/>
  <c r="AA232" i="57"/>
  <c r="AF232" i="57"/>
  <c r="AG218" i="69"/>
  <c r="AG217" i="65"/>
  <c r="P165" i="32"/>
  <c r="AB232" i="57"/>
  <c r="AX219" i="69"/>
  <c r="X233" i="57"/>
  <c r="O236" i="57"/>
  <c r="AG236" i="57" s="1"/>
  <c r="L236" i="57"/>
  <c r="T176" i="50"/>
  <c r="O176" i="50"/>
  <c r="T166" i="32"/>
  <c r="AD164" i="32"/>
  <c r="AD174" i="50"/>
  <c r="AM175" i="50"/>
  <c r="U175" i="50"/>
  <c r="AJ235" i="57"/>
  <c r="AC235" i="57"/>
  <c r="AP235" i="57"/>
  <c r="AM165" i="32"/>
  <c r="U165" i="32"/>
  <c r="AH218" i="65"/>
  <c r="AV218" i="65"/>
  <c r="AG235" i="53"/>
  <c r="AH235" i="53"/>
  <c r="AC235" i="53"/>
  <c r="AT235" i="53"/>
  <c r="Q235" i="53"/>
  <c r="AD235" i="53"/>
  <c r="N236" i="57"/>
  <c r="I236" i="53"/>
  <c r="N236" i="53"/>
  <c r="AH219" i="69"/>
  <c r="AJ174" i="50"/>
  <c r="C174" i="50"/>
  <c r="AJ164" i="32"/>
  <c r="C164" i="32"/>
  <c r="AD235" i="57"/>
  <c r="X234" i="53"/>
  <c r="AF234" i="53" s="1"/>
  <c r="S175" i="50"/>
  <c r="V174" i="50"/>
  <c r="S165" i="32"/>
  <c r="V165" i="32" s="1"/>
  <c r="C236" i="53"/>
  <c r="H236" i="53"/>
  <c r="E236" i="53"/>
  <c r="D236" i="53"/>
  <c r="K236" i="53"/>
  <c r="P236" i="53"/>
  <c r="AK235" i="52" a="1"/>
  <c r="AK235" i="52" s="1"/>
  <c r="B237" i="53" s="1"/>
  <c r="O237" i="53" s="1"/>
  <c r="F236" i="53"/>
  <c r="G236" i="53"/>
  <c r="J236" i="53"/>
  <c r="L236" i="53"/>
  <c r="A166" i="32"/>
  <c r="B166" i="32"/>
  <c r="G176" i="50"/>
  <c r="A176" i="50"/>
  <c r="Q176" i="50" s="1"/>
  <c r="P176" i="50" s="1"/>
  <c r="I176" i="50"/>
  <c r="H176" i="50"/>
  <c r="N176" i="50"/>
  <c r="F176" i="50"/>
  <c r="J176" i="50"/>
  <c r="K176" i="50"/>
  <c r="M176" i="50"/>
  <c r="B176" i="50"/>
  <c r="R176" i="50" s="1"/>
  <c r="L176" i="50"/>
  <c r="I166" i="32"/>
  <c r="L166" i="32"/>
  <c r="M166" i="32"/>
  <c r="H166" i="32"/>
  <c r="J166" i="32"/>
  <c r="K166" i="32"/>
  <c r="N166" i="32"/>
  <c r="O166" i="32"/>
  <c r="F166" i="32"/>
  <c r="G166" i="32"/>
  <c r="Q235" i="57"/>
  <c r="T234" i="57"/>
  <c r="J236" i="57"/>
  <c r="I236" i="57"/>
  <c r="F236" i="57"/>
  <c r="E236" i="57"/>
  <c r="D236" i="57"/>
  <c r="P236" i="57"/>
  <c r="H236" i="57"/>
  <c r="G236" i="57"/>
  <c r="C236" i="57"/>
  <c r="M236" i="57" s="1"/>
  <c r="K236" i="57"/>
  <c r="Z174" i="50"/>
  <c r="W174" i="50"/>
  <c r="X174" i="50" s="1"/>
  <c r="AK235" i="55" a="1"/>
  <c r="AK235" i="55" s="1"/>
  <c r="B237" i="57" s="1"/>
  <c r="W164" i="32"/>
  <c r="X164" i="32" s="1"/>
  <c r="Z164" i="32"/>
  <c r="AN221" i="67" a="1"/>
  <c r="AN221" i="67" s="1"/>
  <c r="B222" i="69"/>
  <c r="L222" i="69" s="1"/>
  <c r="C221" i="69"/>
  <c r="AO221" i="69" s="1"/>
  <c r="O221" i="69"/>
  <c r="R219" i="69"/>
  <c r="S219" i="69" s="1"/>
  <c r="Y219" i="69" s="1"/>
  <c r="AB219" i="69" s="1"/>
  <c r="AC219" i="69" s="1"/>
  <c r="AD219" i="69" s="1"/>
  <c r="Q219" i="69"/>
  <c r="AE219" i="69"/>
  <c r="U219" i="69"/>
  <c r="D220" i="69"/>
  <c r="E220" i="69" s="1"/>
  <c r="F220" i="69" s="1"/>
  <c r="G220" i="69" s="1"/>
  <c r="H220" i="69" s="1"/>
  <c r="I220" i="69" s="1"/>
  <c r="J220" i="69" s="1"/>
  <c r="K220" i="69" s="1"/>
  <c r="M220" i="69" s="1"/>
  <c r="P220" i="69"/>
  <c r="N220" i="69"/>
  <c r="AF220" i="69" s="1"/>
  <c r="AN220" i="63" a="1"/>
  <c r="AN220" i="63" s="1"/>
  <c r="B221" i="65"/>
  <c r="L221" i="65" s="1"/>
  <c r="Q218" i="65"/>
  <c r="R218" i="65"/>
  <c r="S218" i="65" s="1"/>
  <c r="Y218" i="65" s="1"/>
  <c r="AB218" i="65" s="1"/>
  <c r="AC218" i="65" s="1"/>
  <c r="AD218" i="65" s="1"/>
  <c r="U218" i="65"/>
  <c r="P219" i="65"/>
  <c r="D219" i="65"/>
  <c r="E219" i="65" s="1"/>
  <c r="F219" i="65" s="1"/>
  <c r="G219" i="65" s="1"/>
  <c r="H219" i="65" s="1"/>
  <c r="I219" i="65" s="1"/>
  <c r="J219" i="65" s="1"/>
  <c r="K219" i="65" s="1"/>
  <c r="M219" i="65" s="1"/>
  <c r="N219" i="65"/>
  <c r="C220" i="65"/>
  <c r="AM220" i="65" s="1"/>
  <c r="O220" i="65"/>
  <c r="AL166" i="11" a="1"/>
  <c r="AL166" i="11" s="1"/>
  <c r="E167" i="32" s="1"/>
  <c r="AK167" i="32" s="1"/>
  <c r="AL176" i="59" a="1"/>
  <c r="AL176" i="59" s="1"/>
  <c r="E177" i="50" s="1"/>
  <c r="AK177" i="50" s="1"/>
  <c r="AM66" i="59" a="1"/>
  <c r="AM66" i="59" s="1"/>
  <c r="AM51" i="11" a="1"/>
  <c r="AM51" i="11" s="1"/>
  <c r="X235" i="53" l="1"/>
  <c r="AB235" i="53" s="1"/>
  <c r="AI163" i="32"/>
  <c r="AN163" i="32" s="1"/>
  <c r="AI173" i="50"/>
  <c r="AP173" i="50" s="1"/>
  <c r="AF219" i="65"/>
  <c r="AE219" i="65"/>
  <c r="AE236" i="57"/>
  <c r="R236" i="57"/>
  <c r="AE236" i="53"/>
  <c r="R236" i="53"/>
  <c r="AG174" i="50"/>
  <c r="AH174" i="50" s="1"/>
  <c r="AL174" i="50"/>
  <c r="AG164" i="32"/>
  <c r="AH164" i="32" s="1"/>
  <c r="AL164" i="32"/>
  <c r="AB233" i="57"/>
  <c r="AF233" i="57"/>
  <c r="AG219" i="69"/>
  <c r="AG218" i="65"/>
  <c r="P166" i="32"/>
  <c r="AX220" i="69"/>
  <c r="X234" i="57"/>
  <c r="AA233" i="57"/>
  <c r="O237" i="57"/>
  <c r="AG237" i="57" s="1"/>
  <c r="L237" i="57"/>
  <c r="T177" i="50"/>
  <c r="O177" i="50"/>
  <c r="T167" i="32"/>
  <c r="AM176" i="50"/>
  <c r="U176" i="50"/>
  <c r="AM166" i="32"/>
  <c r="U166" i="32"/>
  <c r="AD175" i="50"/>
  <c r="AJ236" i="57"/>
  <c r="AC236" i="57"/>
  <c r="AP236" i="57"/>
  <c r="AD165" i="32"/>
  <c r="AH219" i="65"/>
  <c r="AV219" i="65"/>
  <c r="AB234" i="53"/>
  <c r="AA234" i="53"/>
  <c r="AH236" i="53"/>
  <c r="AC236" i="53"/>
  <c r="AT236" i="53"/>
  <c r="AG236" i="53"/>
  <c r="N237" i="57"/>
  <c r="N237" i="53"/>
  <c r="AH220" i="69"/>
  <c r="AJ175" i="50"/>
  <c r="C175" i="50"/>
  <c r="AJ165" i="32"/>
  <c r="C165" i="32"/>
  <c r="AD236" i="57"/>
  <c r="Q236" i="53"/>
  <c r="AD236" i="53"/>
  <c r="S176" i="50"/>
  <c r="V175" i="50"/>
  <c r="S166" i="32"/>
  <c r="V166" i="32" s="1"/>
  <c r="J237" i="53"/>
  <c r="C237" i="53"/>
  <c r="K237" i="53"/>
  <c r="I237" i="53"/>
  <c r="F237" i="53"/>
  <c r="H237" i="53"/>
  <c r="AK236" i="52" a="1"/>
  <c r="AK236" i="52" s="1"/>
  <c r="B238" i="53" s="1"/>
  <c r="O238" i="53" s="1"/>
  <c r="P237" i="53"/>
  <c r="D237" i="53"/>
  <c r="E237" i="53"/>
  <c r="L237" i="53"/>
  <c r="G237" i="53"/>
  <c r="A167" i="32"/>
  <c r="B167" i="32"/>
  <c r="J177" i="50"/>
  <c r="L177" i="50"/>
  <c r="B177" i="50"/>
  <c r="R177" i="50" s="1"/>
  <c r="M177" i="50"/>
  <c r="N177" i="50"/>
  <c r="F177" i="50"/>
  <c r="A177" i="50"/>
  <c r="Q177" i="50" s="1"/>
  <c r="P177" i="50" s="1"/>
  <c r="I177" i="50"/>
  <c r="K177" i="50"/>
  <c r="H177" i="50"/>
  <c r="G177" i="50"/>
  <c r="G167" i="32"/>
  <c r="O167" i="32"/>
  <c r="J167" i="32"/>
  <c r="K167" i="32"/>
  <c r="F167" i="32"/>
  <c r="N167" i="32"/>
  <c r="H167" i="32"/>
  <c r="I167" i="32"/>
  <c r="L167" i="32"/>
  <c r="M167" i="32"/>
  <c r="W175" i="50"/>
  <c r="X175" i="50" s="1"/>
  <c r="Z175" i="50"/>
  <c r="P237" i="57"/>
  <c r="K237" i="57"/>
  <c r="H237" i="57"/>
  <c r="C237" i="57"/>
  <c r="M237" i="57" s="1"/>
  <c r="F237" i="57"/>
  <c r="I237" i="57"/>
  <c r="E237" i="57"/>
  <c r="D237" i="57"/>
  <c r="G237" i="57"/>
  <c r="J237" i="57"/>
  <c r="T235" i="57"/>
  <c r="Q236" i="57"/>
  <c r="AK236" i="55" a="1"/>
  <c r="AK236" i="55" s="1"/>
  <c r="B238" i="57" s="1"/>
  <c r="W165" i="32"/>
  <c r="X165" i="32" s="1"/>
  <c r="Z165" i="32"/>
  <c r="AN222" i="67" a="1"/>
  <c r="AN222" i="67" s="1"/>
  <c r="B223" i="69"/>
  <c r="L223" i="69" s="1"/>
  <c r="N221" i="69"/>
  <c r="AF221" i="69" s="1"/>
  <c r="P221" i="69"/>
  <c r="D221" i="69"/>
  <c r="E221" i="69" s="1"/>
  <c r="F221" i="69" s="1"/>
  <c r="G221" i="69" s="1"/>
  <c r="H221" i="69" s="1"/>
  <c r="I221" i="69" s="1"/>
  <c r="J221" i="69" s="1"/>
  <c r="K221" i="69" s="1"/>
  <c r="M221" i="69" s="1"/>
  <c r="R220" i="69"/>
  <c r="S220" i="69" s="1"/>
  <c r="Y220" i="69" s="1"/>
  <c r="AB220" i="69" s="1"/>
  <c r="AC220" i="69" s="1"/>
  <c r="AD220" i="69" s="1"/>
  <c r="AE220" i="69"/>
  <c r="U220" i="69"/>
  <c r="Q220" i="69"/>
  <c r="O222" i="69"/>
  <c r="C222" i="69"/>
  <c r="AO222" i="69" s="1"/>
  <c r="AN221" i="63" a="1"/>
  <c r="AN221" i="63" s="1"/>
  <c r="B222" i="65"/>
  <c r="L222" i="65" s="1"/>
  <c r="P220" i="65"/>
  <c r="D220" i="65"/>
  <c r="E220" i="65" s="1"/>
  <c r="F220" i="65" s="1"/>
  <c r="G220" i="65" s="1"/>
  <c r="H220" i="65" s="1"/>
  <c r="I220" i="65" s="1"/>
  <c r="J220" i="65" s="1"/>
  <c r="K220" i="65" s="1"/>
  <c r="M220" i="65" s="1"/>
  <c r="N220" i="65"/>
  <c r="Q219" i="65"/>
  <c r="R219" i="65"/>
  <c r="S219" i="65" s="1"/>
  <c r="Y219" i="65" s="1"/>
  <c r="AB219" i="65" s="1"/>
  <c r="AC219" i="65" s="1"/>
  <c r="AD219" i="65" s="1"/>
  <c r="U219" i="65"/>
  <c r="C221" i="65"/>
  <c r="AM221" i="65" s="1"/>
  <c r="O221" i="65"/>
  <c r="AL167" i="11" a="1"/>
  <c r="AL167" i="11" s="1"/>
  <c r="E168" i="32" s="1"/>
  <c r="AK168" i="32" s="1"/>
  <c r="AL177" i="59" a="1"/>
  <c r="AL177" i="59" s="1"/>
  <c r="E178" i="50" s="1"/>
  <c r="AK178" i="50" s="1"/>
  <c r="AM67" i="59" a="1"/>
  <c r="AM67" i="59" s="1"/>
  <c r="AM52" i="11" a="1"/>
  <c r="AM52" i="11" s="1"/>
  <c r="AF235" i="53" l="1"/>
  <c r="X236" i="53"/>
  <c r="AB236" i="53" s="1"/>
  <c r="AA235" i="53"/>
  <c r="AI164" i="32"/>
  <c r="AN164" i="32" s="1"/>
  <c r="AI174" i="50"/>
  <c r="AP174" i="50" s="1"/>
  <c r="AF220" i="65"/>
  <c r="AE220" i="65"/>
  <c r="AE237" i="57"/>
  <c r="R237" i="57"/>
  <c r="AE237" i="53"/>
  <c r="R237" i="53"/>
  <c r="AG175" i="50"/>
  <c r="AH175" i="50" s="1"/>
  <c r="AL175" i="50"/>
  <c r="AG165" i="32"/>
  <c r="AH165" i="32" s="1"/>
  <c r="AL165" i="32"/>
  <c r="AA234" i="57"/>
  <c r="AF234" i="57"/>
  <c r="AG220" i="69"/>
  <c r="AG219" i="65"/>
  <c r="P167" i="32"/>
  <c r="AX221" i="69"/>
  <c r="AB234" i="57"/>
  <c r="O238" i="57"/>
  <c r="AG238" i="57" s="1"/>
  <c r="L238" i="57"/>
  <c r="O178" i="50"/>
  <c r="T178" i="50"/>
  <c r="T168" i="32"/>
  <c r="AM177" i="50"/>
  <c r="U177" i="50"/>
  <c r="AD166" i="32"/>
  <c r="AJ237" i="57"/>
  <c r="AC237" i="57"/>
  <c r="AP237" i="57"/>
  <c r="X235" i="57"/>
  <c r="AF235" i="57" s="1"/>
  <c r="AD176" i="50"/>
  <c r="AM167" i="32"/>
  <c r="U167" i="32"/>
  <c r="AH220" i="65"/>
  <c r="AV220" i="65"/>
  <c r="AH237" i="53"/>
  <c r="AC237" i="53"/>
  <c r="AT237" i="53"/>
  <c r="AG237" i="53"/>
  <c r="N238" i="57"/>
  <c r="Q237" i="53"/>
  <c r="AD237" i="53"/>
  <c r="F238" i="53"/>
  <c r="N238" i="53"/>
  <c r="AH221" i="69"/>
  <c r="AJ176" i="50"/>
  <c r="C176" i="50"/>
  <c r="AJ166" i="32"/>
  <c r="C166" i="32"/>
  <c r="AD237" i="57"/>
  <c r="S177" i="50"/>
  <c r="V176" i="50"/>
  <c r="S167" i="32"/>
  <c r="V167" i="32" s="1"/>
  <c r="L238" i="53"/>
  <c r="P238" i="53"/>
  <c r="I238" i="53"/>
  <c r="G238" i="53"/>
  <c r="K238" i="53"/>
  <c r="J238" i="53"/>
  <c r="AK237" i="52" a="1"/>
  <c r="AK237" i="52" s="1"/>
  <c r="B239" i="53" s="1"/>
  <c r="O239" i="53" s="1"/>
  <c r="H238" i="53"/>
  <c r="D238" i="53"/>
  <c r="C238" i="53"/>
  <c r="E238" i="53"/>
  <c r="A168" i="32"/>
  <c r="B168" i="32"/>
  <c r="A178" i="50"/>
  <c r="Q178" i="50" s="1"/>
  <c r="P178" i="50" s="1"/>
  <c r="G178" i="50"/>
  <c r="H178" i="50"/>
  <c r="K178" i="50"/>
  <c r="M178" i="50"/>
  <c r="I178" i="50"/>
  <c r="L178" i="50"/>
  <c r="B178" i="50"/>
  <c r="R178" i="50" s="1"/>
  <c r="F178" i="50"/>
  <c r="N178" i="50"/>
  <c r="J178" i="50"/>
  <c r="M168" i="32"/>
  <c r="H168" i="32"/>
  <c r="I168" i="32"/>
  <c r="L168" i="32"/>
  <c r="F168" i="32"/>
  <c r="G168" i="32"/>
  <c r="J168" i="32"/>
  <c r="K168" i="32"/>
  <c r="N168" i="32"/>
  <c r="O168" i="32"/>
  <c r="Q237" i="57"/>
  <c r="Z176" i="50"/>
  <c r="W176" i="50"/>
  <c r="X176" i="50" s="1"/>
  <c r="T236" i="57"/>
  <c r="P238" i="57"/>
  <c r="J238" i="57"/>
  <c r="E238" i="57"/>
  <c r="I238" i="57"/>
  <c r="D238" i="57"/>
  <c r="F238" i="57"/>
  <c r="K238" i="57"/>
  <c r="C238" i="57"/>
  <c r="M238" i="57" s="1"/>
  <c r="G238" i="57"/>
  <c r="H238" i="57"/>
  <c r="AK237" i="55" a="1"/>
  <c r="AK237" i="55" s="1"/>
  <c r="B239" i="57" s="1"/>
  <c r="W166" i="32"/>
  <c r="X166" i="32" s="1"/>
  <c r="Z166" i="32"/>
  <c r="AN223" i="67" a="1"/>
  <c r="AN223" i="67" s="1"/>
  <c r="B224" i="69"/>
  <c r="L224" i="69" s="1"/>
  <c r="C223" i="69"/>
  <c r="AO223" i="69" s="1"/>
  <c r="O223" i="69"/>
  <c r="AE221" i="69"/>
  <c r="Q221" i="69"/>
  <c r="R221" i="69"/>
  <c r="S221" i="69" s="1"/>
  <c r="Y221" i="69" s="1"/>
  <c r="AB221" i="69" s="1"/>
  <c r="AC221" i="69" s="1"/>
  <c r="AD221" i="69" s="1"/>
  <c r="U221" i="69"/>
  <c r="D222" i="69"/>
  <c r="E222" i="69" s="1"/>
  <c r="F222" i="69" s="1"/>
  <c r="G222" i="69" s="1"/>
  <c r="H222" i="69" s="1"/>
  <c r="I222" i="69" s="1"/>
  <c r="J222" i="69" s="1"/>
  <c r="K222" i="69" s="1"/>
  <c r="M222" i="69" s="1"/>
  <c r="P222" i="69"/>
  <c r="N222" i="69"/>
  <c r="AF222" i="69" s="1"/>
  <c r="AN222" i="63" a="1"/>
  <c r="AN222" i="63" s="1"/>
  <c r="B223" i="65"/>
  <c r="L223" i="65" s="1"/>
  <c r="C222" i="65"/>
  <c r="AM222" i="65" s="1"/>
  <c r="O222" i="65"/>
  <c r="P221" i="65"/>
  <c r="N221" i="65"/>
  <c r="D221" i="65"/>
  <c r="E221" i="65" s="1"/>
  <c r="F221" i="65" s="1"/>
  <c r="G221" i="65" s="1"/>
  <c r="H221" i="65" s="1"/>
  <c r="I221" i="65" s="1"/>
  <c r="J221" i="65" s="1"/>
  <c r="K221" i="65" s="1"/>
  <c r="M221" i="65" s="1"/>
  <c r="U220" i="65"/>
  <c r="R220" i="65"/>
  <c r="S220" i="65" s="1"/>
  <c r="Y220" i="65" s="1"/>
  <c r="AB220" i="65" s="1"/>
  <c r="AC220" i="65" s="1"/>
  <c r="AD220" i="65" s="1"/>
  <c r="Q220" i="65"/>
  <c r="AL168" i="11" a="1"/>
  <c r="AL168" i="11" s="1"/>
  <c r="E169" i="32" s="1"/>
  <c r="AK169" i="32" s="1"/>
  <c r="AL178" i="59" a="1"/>
  <c r="AL178" i="59" s="1"/>
  <c r="E179" i="50" s="1"/>
  <c r="AK179" i="50" s="1"/>
  <c r="AM68" i="59" a="1"/>
  <c r="AM68" i="59" s="1"/>
  <c r="AM53" i="11" a="1"/>
  <c r="AM53" i="11" s="1"/>
  <c r="AF236" i="53" l="1"/>
  <c r="AA236" i="53"/>
  <c r="X237" i="53"/>
  <c r="AA237" i="53" s="1"/>
  <c r="AI165" i="32"/>
  <c r="AN165" i="32" s="1"/>
  <c r="AI175" i="50"/>
  <c r="AP175" i="50" s="1"/>
  <c r="AF221" i="65"/>
  <c r="AE221" i="65"/>
  <c r="AE238" i="57"/>
  <c r="R238" i="57"/>
  <c r="AE238" i="53"/>
  <c r="R238" i="53"/>
  <c r="AG176" i="50"/>
  <c r="AH176" i="50" s="1"/>
  <c r="AL176" i="50"/>
  <c r="AG166" i="32"/>
  <c r="AH166" i="32" s="1"/>
  <c r="AL166" i="32"/>
  <c r="AG221" i="69"/>
  <c r="AG220" i="65"/>
  <c r="P168" i="32"/>
  <c r="AX222" i="69"/>
  <c r="X236" i="57"/>
  <c r="O239" i="57"/>
  <c r="AG239" i="57" s="1"/>
  <c r="L239" i="57"/>
  <c r="O179" i="50"/>
  <c r="T179" i="50"/>
  <c r="T169" i="32"/>
  <c r="AM178" i="50"/>
  <c r="U178" i="50"/>
  <c r="AB235" i="57"/>
  <c r="AA235" i="57"/>
  <c r="AD177" i="50"/>
  <c r="AJ238" i="57"/>
  <c r="AC238" i="57"/>
  <c r="AP238" i="57"/>
  <c r="AD167" i="32"/>
  <c r="AM168" i="32"/>
  <c r="U168" i="32"/>
  <c r="AH221" i="65"/>
  <c r="AV221" i="65"/>
  <c r="AH238" i="53"/>
  <c r="AC238" i="53"/>
  <c r="AT238" i="53"/>
  <c r="AG238" i="53"/>
  <c r="N239" i="57"/>
  <c r="F239" i="53"/>
  <c r="N239" i="53"/>
  <c r="AH222" i="69"/>
  <c r="AJ177" i="50"/>
  <c r="C177" i="50"/>
  <c r="AJ167" i="32"/>
  <c r="C167" i="32"/>
  <c r="AD238" i="57"/>
  <c r="Q238" i="53"/>
  <c r="AD238" i="53"/>
  <c r="S178" i="50"/>
  <c r="V177" i="50"/>
  <c r="S168" i="32"/>
  <c r="V168" i="32" s="1"/>
  <c r="J239" i="53"/>
  <c r="P239" i="53"/>
  <c r="AK238" i="52" a="1"/>
  <c r="AK238" i="52" s="1"/>
  <c r="B240" i="53" s="1"/>
  <c r="O240" i="53" s="1"/>
  <c r="H239" i="53"/>
  <c r="C239" i="53"/>
  <c r="D239" i="53"/>
  <c r="E239" i="53"/>
  <c r="I239" i="53"/>
  <c r="K239" i="53"/>
  <c r="L239" i="53"/>
  <c r="G239" i="53"/>
  <c r="A169" i="32"/>
  <c r="B169" i="32"/>
  <c r="F179" i="50"/>
  <c r="I179" i="50"/>
  <c r="N179" i="50"/>
  <c r="A179" i="50"/>
  <c r="Q179" i="50" s="1"/>
  <c r="P179" i="50" s="1"/>
  <c r="M179" i="50"/>
  <c r="H179" i="50"/>
  <c r="K179" i="50"/>
  <c r="J179" i="50"/>
  <c r="L179" i="50"/>
  <c r="B179" i="50"/>
  <c r="R179" i="50" s="1"/>
  <c r="G179" i="50"/>
  <c r="K169" i="32"/>
  <c r="F169" i="32"/>
  <c r="N169" i="32"/>
  <c r="G169" i="32"/>
  <c r="O169" i="32"/>
  <c r="J169" i="32"/>
  <c r="L169" i="32"/>
  <c r="M169" i="32"/>
  <c r="I169" i="32"/>
  <c r="H169" i="32"/>
  <c r="Q238" i="57"/>
  <c r="H239" i="57"/>
  <c r="F239" i="57"/>
  <c r="D239" i="57"/>
  <c r="P239" i="57"/>
  <c r="G239" i="57"/>
  <c r="C239" i="57"/>
  <c r="M239" i="57" s="1"/>
  <c r="J239" i="57"/>
  <c r="I239" i="57"/>
  <c r="E239" i="57"/>
  <c r="K239" i="57"/>
  <c r="T237" i="57"/>
  <c r="W177" i="50"/>
  <c r="X177" i="50" s="1"/>
  <c r="Z177" i="50"/>
  <c r="AK238" i="55" a="1"/>
  <c r="AK238" i="55" s="1"/>
  <c r="B240" i="57" s="1"/>
  <c r="W167" i="32"/>
  <c r="X167" i="32" s="1"/>
  <c r="Z167" i="32"/>
  <c r="AN224" i="67" a="1"/>
  <c r="AN224" i="67" s="1"/>
  <c r="B225" i="69"/>
  <c r="L225" i="69" s="1"/>
  <c r="P223" i="69"/>
  <c r="N223" i="69"/>
  <c r="AF223" i="69" s="1"/>
  <c r="D223" i="69"/>
  <c r="E223" i="69" s="1"/>
  <c r="F223" i="69" s="1"/>
  <c r="G223" i="69" s="1"/>
  <c r="H223" i="69" s="1"/>
  <c r="I223" i="69" s="1"/>
  <c r="J223" i="69" s="1"/>
  <c r="K223" i="69" s="1"/>
  <c r="M223" i="69" s="1"/>
  <c r="R222" i="69"/>
  <c r="S222" i="69" s="1"/>
  <c r="Y222" i="69" s="1"/>
  <c r="AB222" i="69" s="1"/>
  <c r="AC222" i="69" s="1"/>
  <c r="AD222" i="69" s="1"/>
  <c r="Q222" i="69"/>
  <c r="AE222" i="69"/>
  <c r="U222" i="69"/>
  <c r="O224" i="69"/>
  <c r="C224" i="69"/>
  <c r="AO224" i="69" s="1"/>
  <c r="AN223" i="63" a="1"/>
  <c r="AN223" i="63" s="1"/>
  <c r="B224" i="65"/>
  <c r="L224" i="65" s="1"/>
  <c r="Q221" i="65"/>
  <c r="R221" i="65"/>
  <c r="S221" i="65" s="1"/>
  <c r="Y221" i="65" s="1"/>
  <c r="AB221" i="65" s="1"/>
  <c r="AC221" i="65" s="1"/>
  <c r="AD221" i="65" s="1"/>
  <c r="U221" i="65"/>
  <c r="P222" i="65"/>
  <c r="D222" i="65"/>
  <c r="E222" i="65" s="1"/>
  <c r="F222" i="65" s="1"/>
  <c r="G222" i="65" s="1"/>
  <c r="H222" i="65" s="1"/>
  <c r="I222" i="65" s="1"/>
  <c r="J222" i="65" s="1"/>
  <c r="K222" i="65" s="1"/>
  <c r="M222" i="65" s="1"/>
  <c r="N222" i="65"/>
  <c r="C223" i="65"/>
  <c r="AM223" i="65" s="1"/>
  <c r="O223" i="65"/>
  <c r="AL169" i="11" a="1"/>
  <c r="AL169" i="11" s="1"/>
  <c r="E170" i="32" s="1"/>
  <c r="AK170" i="32" s="1"/>
  <c r="AL179" i="59" a="1"/>
  <c r="AL179" i="59" s="1"/>
  <c r="E180" i="50" s="1"/>
  <c r="AK180" i="50" s="1"/>
  <c r="AM69" i="59" a="1"/>
  <c r="AM69" i="59" s="1"/>
  <c r="AM54" i="11" a="1"/>
  <c r="AM54" i="11" s="1"/>
  <c r="AB237" i="53" l="1"/>
  <c r="AF237" i="53"/>
  <c r="AI166" i="32"/>
  <c r="AN166" i="32" s="1"/>
  <c r="AI176" i="50"/>
  <c r="AP176" i="50" s="1"/>
  <c r="AF222" i="65"/>
  <c r="AE222" i="65"/>
  <c r="AE239" i="57"/>
  <c r="R239" i="57"/>
  <c r="AE239" i="53"/>
  <c r="R239" i="53"/>
  <c r="AG177" i="50"/>
  <c r="AH177" i="50" s="1"/>
  <c r="AL177" i="50"/>
  <c r="AG167" i="32"/>
  <c r="AH167" i="32" s="1"/>
  <c r="AL167" i="32"/>
  <c r="AB236" i="57"/>
  <c r="AF236" i="57"/>
  <c r="AG222" i="69"/>
  <c r="AG221" i="65"/>
  <c r="P169" i="32"/>
  <c r="AX223" i="69"/>
  <c r="AA236" i="57"/>
  <c r="O240" i="57"/>
  <c r="AG240" i="57" s="1"/>
  <c r="L240" i="57"/>
  <c r="O180" i="50"/>
  <c r="T180" i="50"/>
  <c r="T170" i="32"/>
  <c r="AM169" i="32"/>
  <c r="U169" i="32"/>
  <c r="AM179" i="50"/>
  <c r="U179" i="50"/>
  <c r="AJ239" i="57"/>
  <c r="AC239" i="57"/>
  <c r="AP239" i="57"/>
  <c r="X237" i="57"/>
  <c r="AF237" i="57" s="1"/>
  <c r="AD168" i="32"/>
  <c r="AD178" i="50"/>
  <c r="AH222" i="65"/>
  <c r="AV222" i="65"/>
  <c r="AG239" i="53"/>
  <c r="AH239" i="53"/>
  <c r="AC239" i="53"/>
  <c r="AT239" i="53"/>
  <c r="N240" i="57"/>
  <c r="X238" i="53"/>
  <c r="AF238" i="53" s="1"/>
  <c r="H240" i="53"/>
  <c r="N240" i="53"/>
  <c r="AH223" i="69"/>
  <c r="AJ178" i="50"/>
  <c r="C178" i="50"/>
  <c r="AJ168" i="32"/>
  <c r="C168" i="32"/>
  <c r="AD239" i="57"/>
  <c r="Q239" i="53"/>
  <c r="AD239" i="53"/>
  <c r="S179" i="50"/>
  <c r="V178" i="50"/>
  <c r="S169" i="32"/>
  <c r="V169" i="32" s="1"/>
  <c r="E240" i="53"/>
  <c r="C240" i="53"/>
  <c r="G240" i="53"/>
  <c r="D240" i="53"/>
  <c r="F240" i="53"/>
  <c r="L240" i="53"/>
  <c r="J240" i="53"/>
  <c r="P240" i="53"/>
  <c r="I240" i="53"/>
  <c r="AK239" i="52" a="1"/>
  <c r="AK239" i="52" s="1"/>
  <c r="B241" i="53" s="1"/>
  <c r="O241" i="53" s="1"/>
  <c r="K240" i="53"/>
  <c r="A170" i="32"/>
  <c r="B170" i="32"/>
  <c r="G180" i="50"/>
  <c r="L180" i="50"/>
  <c r="M180" i="50"/>
  <c r="H180" i="50"/>
  <c r="N180" i="50"/>
  <c r="I180" i="50"/>
  <c r="J180" i="50"/>
  <c r="B180" i="50"/>
  <c r="R180" i="50" s="1"/>
  <c r="K180" i="50"/>
  <c r="A180" i="50"/>
  <c r="Q180" i="50" s="1"/>
  <c r="P180" i="50" s="1"/>
  <c r="F180" i="50"/>
  <c r="I170" i="32"/>
  <c r="L170" i="32"/>
  <c r="M170" i="32"/>
  <c r="H170" i="32"/>
  <c r="F170" i="32"/>
  <c r="G170" i="32"/>
  <c r="J170" i="32"/>
  <c r="K170" i="32"/>
  <c r="N170" i="32"/>
  <c r="O170" i="32"/>
  <c r="Q239" i="57"/>
  <c r="T238" i="57"/>
  <c r="J240" i="57"/>
  <c r="K240" i="57"/>
  <c r="D240" i="57"/>
  <c r="G240" i="57"/>
  <c r="C240" i="57"/>
  <c r="M240" i="57" s="1"/>
  <c r="F240" i="57"/>
  <c r="I240" i="57"/>
  <c r="P240" i="57"/>
  <c r="E240" i="57"/>
  <c r="H240" i="57"/>
  <c r="W178" i="50"/>
  <c r="X178" i="50" s="1"/>
  <c r="Z178" i="50"/>
  <c r="AK239" i="55" a="1"/>
  <c r="AK239" i="55" s="1"/>
  <c r="B241" i="57" s="1"/>
  <c r="W168" i="32"/>
  <c r="X168" i="32" s="1"/>
  <c r="Z168" i="32"/>
  <c r="D224" i="69"/>
  <c r="E224" i="69" s="1"/>
  <c r="F224" i="69" s="1"/>
  <c r="G224" i="69" s="1"/>
  <c r="H224" i="69" s="1"/>
  <c r="I224" i="69" s="1"/>
  <c r="J224" i="69" s="1"/>
  <c r="K224" i="69" s="1"/>
  <c r="M224" i="69" s="1"/>
  <c r="N224" i="69"/>
  <c r="AF224" i="69" s="1"/>
  <c r="P224" i="69"/>
  <c r="C225" i="69"/>
  <c r="AO225" i="69" s="1"/>
  <c r="O225" i="69"/>
  <c r="AE223" i="69"/>
  <c r="Q223" i="69"/>
  <c r="R223" i="69"/>
  <c r="S223" i="69" s="1"/>
  <c r="Y223" i="69" s="1"/>
  <c r="AB223" i="69" s="1"/>
  <c r="AC223" i="69" s="1"/>
  <c r="AD223" i="69" s="1"/>
  <c r="U223" i="69"/>
  <c r="AN225" i="67" a="1"/>
  <c r="AN225" i="67" s="1"/>
  <c r="B226" i="69"/>
  <c r="L226" i="69" s="1"/>
  <c r="AN224" i="63" a="1"/>
  <c r="AN224" i="63" s="1"/>
  <c r="B225" i="65"/>
  <c r="L225" i="65" s="1"/>
  <c r="D223" i="65"/>
  <c r="E223" i="65" s="1"/>
  <c r="F223" i="65" s="1"/>
  <c r="G223" i="65" s="1"/>
  <c r="H223" i="65" s="1"/>
  <c r="I223" i="65" s="1"/>
  <c r="J223" i="65" s="1"/>
  <c r="K223" i="65" s="1"/>
  <c r="M223" i="65" s="1"/>
  <c r="P223" i="65"/>
  <c r="N223" i="65"/>
  <c r="C224" i="65"/>
  <c r="AM224" i="65" s="1"/>
  <c r="O224" i="65"/>
  <c r="U222" i="65"/>
  <c r="Q222" i="65"/>
  <c r="R222" i="65"/>
  <c r="S222" i="65" s="1"/>
  <c r="Y222" i="65" s="1"/>
  <c r="AB222" i="65" s="1"/>
  <c r="AC222" i="65" s="1"/>
  <c r="AD222" i="65" s="1"/>
  <c r="AL170" i="11" a="1"/>
  <c r="AL170" i="11" s="1"/>
  <c r="E171" i="32" s="1"/>
  <c r="AK171" i="32" s="1"/>
  <c r="AL180" i="59" a="1"/>
  <c r="AL180" i="59" s="1"/>
  <c r="E181" i="50" s="1"/>
  <c r="AK181" i="50" s="1"/>
  <c r="AM70" i="59" a="1"/>
  <c r="AM70" i="59" s="1"/>
  <c r="AM55" i="11" a="1"/>
  <c r="AM55" i="11" s="1"/>
  <c r="X239" i="53" l="1"/>
  <c r="AF239" i="53" s="1"/>
  <c r="AI167" i="32"/>
  <c r="AN167" i="32" s="1"/>
  <c r="AI177" i="50"/>
  <c r="AP177" i="50" s="1"/>
  <c r="AF223" i="65"/>
  <c r="AE223" i="65"/>
  <c r="AE240" i="57"/>
  <c r="R240" i="57"/>
  <c r="AE240" i="53"/>
  <c r="R240" i="53"/>
  <c r="AG178" i="50"/>
  <c r="AH178" i="50" s="1"/>
  <c r="AL178" i="50"/>
  <c r="AG168" i="32"/>
  <c r="AH168" i="32" s="1"/>
  <c r="AL168" i="32"/>
  <c r="AG223" i="69"/>
  <c r="AG222" i="65"/>
  <c r="P170" i="32"/>
  <c r="AX224" i="69"/>
  <c r="X238" i="57"/>
  <c r="O241" i="57"/>
  <c r="AG241" i="57" s="1"/>
  <c r="L241" i="57"/>
  <c r="T181" i="50"/>
  <c r="O181" i="50"/>
  <c r="T171" i="32"/>
  <c r="AM170" i="32"/>
  <c r="U170" i="32"/>
  <c r="AD179" i="50"/>
  <c r="AD169" i="32"/>
  <c r="AB237" i="57"/>
  <c r="AA237" i="57"/>
  <c r="AJ240" i="57"/>
  <c r="AC240" i="57"/>
  <c r="AP240" i="57"/>
  <c r="AM180" i="50"/>
  <c r="U180" i="50"/>
  <c r="AH223" i="65"/>
  <c r="AV223" i="65"/>
  <c r="AG240" i="53"/>
  <c r="AB238" i="53"/>
  <c r="AA238" i="53"/>
  <c r="AH240" i="53"/>
  <c r="AC240" i="53"/>
  <c r="AT240" i="53"/>
  <c r="N241" i="57"/>
  <c r="L241" i="53"/>
  <c r="N241" i="53"/>
  <c r="AH224" i="69"/>
  <c r="AJ179" i="50"/>
  <c r="C179" i="50"/>
  <c r="AJ169" i="32"/>
  <c r="C169" i="32"/>
  <c r="AD240" i="57"/>
  <c r="AD240" i="53"/>
  <c r="S180" i="50"/>
  <c r="V179" i="50"/>
  <c r="S170" i="32"/>
  <c r="V170" i="32" s="1"/>
  <c r="Q240" i="53"/>
  <c r="E241" i="53"/>
  <c r="G241" i="53"/>
  <c r="P241" i="53"/>
  <c r="D241" i="53"/>
  <c r="J241" i="53"/>
  <c r="K241" i="53"/>
  <c r="F241" i="53"/>
  <c r="AK240" i="52" a="1"/>
  <c r="AK240" i="52" s="1"/>
  <c r="B242" i="53" s="1"/>
  <c r="O242" i="53" s="1"/>
  <c r="I241" i="53"/>
  <c r="C241" i="53"/>
  <c r="H241" i="53"/>
  <c r="A171" i="32"/>
  <c r="B171" i="32"/>
  <c r="M181" i="50"/>
  <c r="A181" i="50"/>
  <c r="Q181" i="50" s="1"/>
  <c r="P181" i="50" s="1"/>
  <c r="G181" i="50"/>
  <c r="K181" i="50"/>
  <c r="F181" i="50"/>
  <c r="I181" i="50"/>
  <c r="L181" i="50"/>
  <c r="N181" i="50"/>
  <c r="H181" i="50"/>
  <c r="J181" i="50"/>
  <c r="B181" i="50"/>
  <c r="R181" i="50" s="1"/>
  <c r="G171" i="32"/>
  <c r="O171" i="32"/>
  <c r="J171" i="32"/>
  <c r="K171" i="32"/>
  <c r="F171" i="32"/>
  <c r="N171" i="32"/>
  <c r="H171" i="32"/>
  <c r="I171" i="32"/>
  <c r="L171" i="32"/>
  <c r="M171" i="32"/>
  <c r="T239" i="57"/>
  <c r="P241" i="57"/>
  <c r="H241" i="57"/>
  <c r="D241" i="57"/>
  <c r="G241" i="57"/>
  <c r="C241" i="57"/>
  <c r="M241" i="57" s="1"/>
  <c r="J241" i="57"/>
  <c r="F241" i="57"/>
  <c r="K241" i="57"/>
  <c r="E241" i="57"/>
  <c r="I241" i="57"/>
  <c r="Q240" i="57"/>
  <c r="Z179" i="50"/>
  <c r="W179" i="50"/>
  <c r="X179" i="50" s="1"/>
  <c r="AK240" i="55" a="1"/>
  <c r="AK240" i="55" s="1"/>
  <c r="B242" i="57" s="1"/>
  <c r="W169" i="32"/>
  <c r="X169" i="32" s="1"/>
  <c r="Z169" i="32"/>
  <c r="AN226" i="67" a="1"/>
  <c r="AN226" i="67" s="1"/>
  <c r="B227" i="69"/>
  <c r="L227" i="69" s="1"/>
  <c r="P225" i="69"/>
  <c r="D225" i="69"/>
  <c r="E225" i="69" s="1"/>
  <c r="F225" i="69" s="1"/>
  <c r="G225" i="69" s="1"/>
  <c r="H225" i="69" s="1"/>
  <c r="I225" i="69" s="1"/>
  <c r="J225" i="69" s="1"/>
  <c r="K225" i="69" s="1"/>
  <c r="M225" i="69" s="1"/>
  <c r="N225" i="69"/>
  <c r="AF225" i="69" s="1"/>
  <c r="O226" i="69"/>
  <c r="C226" i="69"/>
  <c r="AO226" i="69" s="1"/>
  <c r="U224" i="69"/>
  <c r="AE224" i="69"/>
  <c r="Q224" i="69"/>
  <c r="R224" i="69"/>
  <c r="S224" i="69" s="1"/>
  <c r="Y224" i="69" s="1"/>
  <c r="AB224" i="69" s="1"/>
  <c r="AC224" i="69" s="1"/>
  <c r="AD224" i="69" s="1"/>
  <c r="AN225" i="63" a="1"/>
  <c r="AN225" i="63" s="1"/>
  <c r="B226" i="65"/>
  <c r="L226" i="65" s="1"/>
  <c r="P224" i="65"/>
  <c r="D224" i="65"/>
  <c r="E224" i="65" s="1"/>
  <c r="F224" i="65" s="1"/>
  <c r="G224" i="65" s="1"/>
  <c r="H224" i="65" s="1"/>
  <c r="I224" i="65" s="1"/>
  <c r="J224" i="65" s="1"/>
  <c r="K224" i="65" s="1"/>
  <c r="M224" i="65" s="1"/>
  <c r="N224" i="65"/>
  <c r="U223" i="65"/>
  <c r="R223" i="65"/>
  <c r="S223" i="65" s="1"/>
  <c r="Y223" i="65" s="1"/>
  <c r="AB223" i="65" s="1"/>
  <c r="AC223" i="65" s="1"/>
  <c r="AD223" i="65" s="1"/>
  <c r="Q223" i="65"/>
  <c r="C225" i="65"/>
  <c r="AM225" i="65" s="1"/>
  <c r="O225" i="65"/>
  <c r="AL171" i="11" a="1"/>
  <c r="AL171" i="11" s="1"/>
  <c r="E172" i="32" s="1"/>
  <c r="AK172" i="32" s="1"/>
  <c r="AL181" i="59" a="1"/>
  <c r="AL181" i="59" s="1"/>
  <c r="E182" i="50" s="1"/>
  <c r="AK182" i="50" s="1"/>
  <c r="AM71" i="59" a="1"/>
  <c r="AM71" i="59" s="1"/>
  <c r="AM56" i="11" a="1"/>
  <c r="AM56" i="11" s="1"/>
  <c r="AA239" i="53" l="1"/>
  <c r="AB239" i="53"/>
  <c r="AI168" i="32"/>
  <c r="AN168" i="32" s="1"/>
  <c r="AI178" i="50"/>
  <c r="AP178" i="50" s="1"/>
  <c r="AF224" i="65"/>
  <c r="AE224" i="65"/>
  <c r="AE241" i="57"/>
  <c r="R241" i="57"/>
  <c r="AE241" i="53"/>
  <c r="R241" i="53"/>
  <c r="AG179" i="50"/>
  <c r="AH179" i="50" s="1"/>
  <c r="AL179" i="50"/>
  <c r="AG169" i="32"/>
  <c r="AH169" i="32" s="1"/>
  <c r="AL169" i="32"/>
  <c r="AB238" i="57"/>
  <c r="AF238" i="57"/>
  <c r="AG224" i="69"/>
  <c r="AG223" i="65"/>
  <c r="P171" i="32"/>
  <c r="AX225" i="69"/>
  <c r="AA238" i="57"/>
  <c r="O242" i="57"/>
  <c r="AG242" i="57" s="1"/>
  <c r="L242" i="57"/>
  <c r="T182" i="50"/>
  <c r="O182" i="50"/>
  <c r="T172" i="32"/>
  <c r="X239" i="57"/>
  <c r="AF239" i="57" s="1"/>
  <c r="AM181" i="50"/>
  <c r="U181" i="50"/>
  <c r="AJ241" i="57"/>
  <c r="AC241" i="57"/>
  <c r="AP241" i="57"/>
  <c r="AD170" i="32"/>
  <c r="AM171" i="32"/>
  <c r="U171" i="32"/>
  <c r="AD180" i="50"/>
  <c r="AH224" i="65"/>
  <c r="AV224" i="65"/>
  <c r="AH241" i="53"/>
  <c r="AC241" i="53"/>
  <c r="AT241" i="53"/>
  <c r="AG241" i="53"/>
  <c r="N242" i="57"/>
  <c r="I242" i="53"/>
  <c r="N242" i="53"/>
  <c r="AH225" i="69"/>
  <c r="AJ180" i="50"/>
  <c r="C180" i="50"/>
  <c r="AJ170" i="32"/>
  <c r="C170" i="32"/>
  <c r="AD241" i="57"/>
  <c r="X240" i="53"/>
  <c r="AF240" i="53" s="1"/>
  <c r="Q241" i="53"/>
  <c r="AD241" i="53"/>
  <c r="S181" i="50"/>
  <c r="V180" i="50"/>
  <c r="S171" i="32"/>
  <c r="V171" i="32" s="1"/>
  <c r="J242" i="53"/>
  <c r="F242" i="53"/>
  <c r="G242" i="53"/>
  <c r="L242" i="53"/>
  <c r="P242" i="53"/>
  <c r="K242" i="53"/>
  <c r="AK241" i="52" a="1"/>
  <c r="AK241" i="52" s="1"/>
  <c r="B243" i="53" s="1"/>
  <c r="O243" i="53" s="1"/>
  <c r="C242" i="53"/>
  <c r="H242" i="53"/>
  <c r="D242" i="53"/>
  <c r="E242" i="53"/>
  <c r="A172" i="32"/>
  <c r="B172" i="32"/>
  <c r="H182" i="50"/>
  <c r="I182" i="50"/>
  <c r="G182" i="50"/>
  <c r="M182" i="50"/>
  <c r="N182" i="50"/>
  <c r="A182" i="50"/>
  <c r="Q182" i="50" s="1"/>
  <c r="P182" i="50" s="1"/>
  <c r="F182" i="50"/>
  <c r="L182" i="50"/>
  <c r="B182" i="50"/>
  <c r="R182" i="50" s="1"/>
  <c r="J182" i="50"/>
  <c r="K182" i="50"/>
  <c r="M172" i="32"/>
  <c r="H172" i="32"/>
  <c r="I172" i="32"/>
  <c r="L172" i="32"/>
  <c r="N172" i="32"/>
  <c r="O172" i="32"/>
  <c r="F172" i="32"/>
  <c r="G172" i="32"/>
  <c r="J172" i="32"/>
  <c r="K172" i="32"/>
  <c r="J242" i="57"/>
  <c r="F242" i="57"/>
  <c r="C242" i="57"/>
  <c r="M242" i="57" s="1"/>
  <c r="I242" i="57"/>
  <c r="E242" i="57"/>
  <c r="K242" i="57"/>
  <c r="H242" i="57"/>
  <c r="D242" i="57"/>
  <c r="P242" i="57"/>
  <c r="G242" i="57"/>
  <c r="T240" i="57"/>
  <c r="Z180" i="50"/>
  <c r="W180" i="50"/>
  <c r="X180" i="50" s="1"/>
  <c r="Q241" i="57"/>
  <c r="AK241" i="55" a="1"/>
  <c r="AK241" i="55" s="1"/>
  <c r="B243" i="57" s="1"/>
  <c r="W170" i="32"/>
  <c r="X170" i="32" s="1"/>
  <c r="Z170" i="32"/>
  <c r="AN227" i="67" a="1"/>
  <c r="AN227" i="67" s="1"/>
  <c r="B228" i="69"/>
  <c r="L228" i="69" s="1"/>
  <c r="P226" i="69"/>
  <c r="D226" i="69"/>
  <c r="E226" i="69" s="1"/>
  <c r="F226" i="69" s="1"/>
  <c r="G226" i="69" s="1"/>
  <c r="H226" i="69" s="1"/>
  <c r="I226" i="69" s="1"/>
  <c r="J226" i="69" s="1"/>
  <c r="K226" i="69" s="1"/>
  <c r="M226" i="69" s="1"/>
  <c r="N226" i="69"/>
  <c r="AF226" i="69" s="1"/>
  <c r="U225" i="69"/>
  <c r="Q225" i="69"/>
  <c r="R225" i="69"/>
  <c r="S225" i="69" s="1"/>
  <c r="Y225" i="69" s="1"/>
  <c r="AB225" i="69" s="1"/>
  <c r="AC225" i="69" s="1"/>
  <c r="AD225" i="69" s="1"/>
  <c r="AE225" i="69"/>
  <c r="C227" i="69"/>
  <c r="AO227" i="69" s="1"/>
  <c r="O227" i="69"/>
  <c r="AN226" i="63" a="1"/>
  <c r="AN226" i="63" s="1"/>
  <c r="B227" i="65"/>
  <c r="L227" i="65" s="1"/>
  <c r="D225" i="65"/>
  <c r="E225" i="65" s="1"/>
  <c r="F225" i="65" s="1"/>
  <c r="G225" i="65" s="1"/>
  <c r="H225" i="65" s="1"/>
  <c r="I225" i="65" s="1"/>
  <c r="J225" i="65" s="1"/>
  <c r="K225" i="65" s="1"/>
  <c r="M225" i="65" s="1"/>
  <c r="N225" i="65"/>
  <c r="P225" i="65"/>
  <c r="C226" i="65"/>
  <c r="AM226" i="65" s="1"/>
  <c r="O226" i="65"/>
  <c r="U224" i="65"/>
  <c r="R224" i="65"/>
  <c r="S224" i="65" s="1"/>
  <c r="Y224" i="65" s="1"/>
  <c r="AB224" i="65" s="1"/>
  <c r="AC224" i="65" s="1"/>
  <c r="AD224" i="65" s="1"/>
  <c r="Q224" i="65"/>
  <c r="AL172" i="11" a="1"/>
  <c r="AL172" i="11" s="1"/>
  <c r="E173" i="32" s="1"/>
  <c r="AK173" i="32" s="1"/>
  <c r="AL182" i="59" a="1"/>
  <c r="AL182" i="59" s="1"/>
  <c r="E183" i="50" s="1"/>
  <c r="AK183" i="50" s="1"/>
  <c r="AM72" i="59" a="1"/>
  <c r="AM72" i="59" s="1"/>
  <c r="AM57" i="11" a="1"/>
  <c r="AM57" i="11" s="1"/>
  <c r="X241" i="53" l="1"/>
  <c r="AF241" i="53" s="1"/>
  <c r="AI169" i="32"/>
  <c r="AN169" i="32" s="1"/>
  <c r="AI179" i="50"/>
  <c r="AP179" i="50" s="1"/>
  <c r="AF225" i="65"/>
  <c r="AE225" i="65"/>
  <c r="AE242" i="57"/>
  <c r="R242" i="57"/>
  <c r="AE242" i="53"/>
  <c r="R242" i="53"/>
  <c r="AG180" i="50"/>
  <c r="AH180" i="50" s="1"/>
  <c r="AL180" i="50"/>
  <c r="AG170" i="32"/>
  <c r="AH170" i="32" s="1"/>
  <c r="AL170" i="32"/>
  <c r="AG225" i="69"/>
  <c r="AG224" i="65"/>
  <c r="P172" i="32"/>
  <c r="AX226" i="69"/>
  <c r="L243" i="57"/>
  <c r="O243" i="57"/>
  <c r="AG243" i="57" s="1"/>
  <c r="T183" i="50"/>
  <c r="O183" i="50"/>
  <c r="T173" i="32"/>
  <c r="AM182" i="50"/>
  <c r="U182" i="50"/>
  <c r="AD171" i="32"/>
  <c r="AD181" i="50"/>
  <c r="AJ242" i="57"/>
  <c r="AC242" i="57"/>
  <c r="AP242" i="57"/>
  <c r="AM172" i="32"/>
  <c r="U172" i="32"/>
  <c r="X240" i="57"/>
  <c r="AF240" i="57" s="1"/>
  <c r="AB239" i="57"/>
  <c r="AA239" i="57"/>
  <c r="AH225" i="65"/>
  <c r="AV225" i="65"/>
  <c r="AB240" i="53"/>
  <c r="AA240" i="53"/>
  <c r="AH242" i="53"/>
  <c r="AC242" i="53"/>
  <c r="AT242" i="53"/>
  <c r="AG242" i="53"/>
  <c r="N243" i="57"/>
  <c r="N243" i="53"/>
  <c r="AH226" i="69"/>
  <c r="AJ181" i="50"/>
  <c r="C181" i="50"/>
  <c r="AJ171" i="32"/>
  <c r="C171" i="32"/>
  <c r="AD242" i="57"/>
  <c r="AD242" i="53"/>
  <c r="Q242" i="53"/>
  <c r="S182" i="50"/>
  <c r="V181" i="50"/>
  <c r="S172" i="32"/>
  <c r="V172" i="32" s="1"/>
  <c r="J243" i="53"/>
  <c r="I243" i="53"/>
  <c r="F243" i="53"/>
  <c r="K243" i="53"/>
  <c r="P243" i="53"/>
  <c r="L243" i="53"/>
  <c r="G243" i="53"/>
  <c r="E243" i="53"/>
  <c r="C243" i="53"/>
  <c r="D243" i="53"/>
  <c r="AK242" i="52" a="1"/>
  <c r="AK242" i="52" s="1"/>
  <c r="B244" i="53" s="1"/>
  <c r="O244" i="53" s="1"/>
  <c r="H243" i="53"/>
  <c r="A173" i="32"/>
  <c r="B173" i="32"/>
  <c r="A183" i="50"/>
  <c r="Q183" i="50" s="1"/>
  <c r="P183" i="50" s="1"/>
  <c r="B183" i="50"/>
  <c r="R183" i="50" s="1"/>
  <c r="L183" i="50"/>
  <c r="F183" i="50"/>
  <c r="N183" i="50"/>
  <c r="H183" i="50"/>
  <c r="K183" i="50"/>
  <c r="J183" i="50"/>
  <c r="M183" i="50"/>
  <c r="I183" i="50"/>
  <c r="G183" i="50"/>
  <c r="K173" i="32"/>
  <c r="F173" i="32"/>
  <c r="N173" i="32"/>
  <c r="G173" i="32"/>
  <c r="O173" i="32"/>
  <c r="J173" i="32"/>
  <c r="H173" i="32"/>
  <c r="I173" i="32"/>
  <c r="L173" i="32"/>
  <c r="M173" i="32"/>
  <c r="T241" i="57"/>
  <c r="Q242" i="57"/>
  <c r="W181" i="50"/>
  <c r="X181" i="50" s="1"/>
  <c r="Z181" i="50"/>
  <c r="H243" i="57"/>
  <c r="F243" i="57"/>
  <c r="D243" i="57"/>
  <c r="P243" i="57"/>
  <c r="K243" i="57"/>
  <c r="G243" i="57"/>
  <c r="C243" i="57"/>
  <c r="M243" i="57" s="1"/>
  <c r="J243" i="57"/>
  <c r="E243" i="57"/>
  <c r="I243" i="57"/>
  <c r="AK242" i="55" a="1"/>
  <c r="AK242" i="55" s="1"/>
  <c r="B244" i="57" s="1"/>
  <c r="W171" i="32"/>
  <c r="X171" i="32" s="1"/>
  <c r="Z171" i="32"/>
  <c r="AN228" i="67" a="1"/>
  <c r="AN228" i="67" s="1"/>
  <c r="B229" i="69"/>
  <c r="L229" i="69" s="1"/>
  <c r="D227" i="69"/>
  <c r="E227" i="69" s="1"/>
  <c r="F227" i="69" s="1"/>
  <c r="G227" i="69" s="1"/>
  <c r="H227" i="69" s="1"/>
  <c r="I227" i="69" s="1"/>
  <c r="J227" i="69" s="1"/>
  <c r="K227" i="69" s="1"/>
  <c r="M227" i="69" s="1"/>
  <c r="N227" i="69"/>
  <c r="AF227" i="69" s="1"/>
  <c r="P227" i="69"/>
  <c r="Q226" i="69"/>
  <c r="R226" i="69"/>
  <c r="S226" i="69" s="1"/>
  <c r="Y226" i="69" s="1"/>
  <c r="AB226" i="69" s="1"/>
  <c r="AC226" i="69" s="1"/>
  <c r="AD226" i="69" s="1"/>
  <c r="U226" i="69"/>
  <c r="AE226" i="69"/>
  <c r="C228" i="69"/>
  <c r="AO228" i="69" s="1"/>
  <c r="O228" i="69"/>
  <c r="AN227" i="63" a="1"/>
  <c r="AN227" i="63" s="1"/>
  <c r="B228" i="65"/>
  <c r="L228" i="65" s="1"/>
  <c r="U225" i="65"/>
  <c r="R225" i="65"/>
  <c r="S225" i="65" s="1"/>
  <c r="Y225" i="65" s="1"/>
  <c r="AB225" i="65" s="1"/>
  <c r="AC225" i="65" s="1"/>
  <c r="AD225" i="65" s="1"/>
  <c r="Q225" i="65"/>
  <c r="P226" i="65"/>
  <c r="D226" i="65"/>
  <c r="E226" i="65" s="1"/>
  <c r="F226" i="65" s="1"/>
  <c r="G226" i="65" s="1"/>
  <c r="H226" i="65" s="1"/>
  <c r="I226" i="65" s="1"/>
  <c r="J226" i="65" s="1"/>
  <c r="K226" i="65" s="1"/>
  <c r="M226" i="65" s="1"/>
  <c r="N226" i="65"/>
  <c r="C227" i="65"/>
  <c r="AM227" i="65" s="1"/>
  <c r="O227" i="65"/>
  <c r="AL173" i="11" a="1"/>
  <c r="AL173" i="11" s="1"/>
  <c r="E174" i="32" s="1"/>
  <c r="AK174" i="32" s="1"/>
  <c r="AL183" i="59" a="1"/>
  <c r="AL183" i="59" s="1"/>
  <c r="E184" i="50" s="1"/>
  <c r="AK184" i="50" s="1"/>
  <c r="AM73" i="59" a="1"/>
  <c r="AM73" i="59" s="1"/>
  <c r="AM58" i="11" a="1"/>
  <c r="AM58" i="11" s="1"/>
  <c r="X242" i="53" l="1"/>
  <c r="AF242" i="53" s="1"/>
  <c r="AB241" i="53"/>
  <c r="AA241" i="53"/>
  <c r="AI170" i="32"/>
  <c r="AN170" i="32" s="1"/>
  <c r="AI180" i="50"/>
  <c r="AP180" i="50" s="1"/>
  <c r="AF226" i="65"/>
  <c r="AE226" i="65"/>
  <c r="AE243" i="57"/>
  <c r="R243" i="57"/>
  <c r="AE243" i="53"/>
  <c r="R243" i="53"/>
  <c r="AG181" i="50"/>
  <c r="AH181" i="50" s="1"/>
  <c r="AL181" i="50"/>
  <c r="AG171" i="32"/>
  <c r="AH171" i="32" s="1"/>
  <c r="AL171" i="32"/>
  <c r="AG226" i="69"/>
  <c r="AG225" i="65"/>
  <c r="P173" i="32"/>
  <c r="AX227" i="69"/>
  <c r="O244" i="57"/>
  <c r="AG244" i="57" s="1"/>
  <c r="L244" i="57"/>
  <c r="T184" i="50"/>
  <c r="O184" i="50"/>
  <c r="T174" i="32"/>
  <c r="X241" i="57"/>
  <c r="AB240" i="57"/>
  <c r="AA240" i="57"/>
  <c r="AM173" i="32"/>
  <c r="U173" i="32"/>
  <c r="AD172" i="32"/>
  <c r="AM183" i="50"/>
  <c r="U183" i="50"/>
  <c r="AJ243" i="57"/>
  <c r="AC243" i="57"/>
  <c r="AP243" i="57"/>
  <c r="AD182" i="50"/>
  <c r="AH226" i="65"/>
  <c r="AV226" i="65"/>
  <c r="AH243" i="53"/>
  <c r="AC243" i="53"/>
  <c r="AT243" i="53"/>
  <c r="AG243" i="53"/>
  <c r="N244" i="57"/>
  <c r="N244" i="53"/>
  <c r="AH227" i="69"/>
  <c r="AJ182" i="50"/>
  <c r="C182" i="50"/>
  <c r="AJ172" i="32"/>
  <c r="C172" i="32"/>
  <c r="AD243" i="57"/>
  <c r="AD243" i="53"/>
  <c r="Q243" i="53"/>
  <c r="S183" i="50"/>
  <c r="V182" i="50"/>
  <c r="S173" i="32"/>
  <c r="V173" i="32" s="1"/>
  <c r="J244" i="53"/>
  <c r="D244" i="53"/>
  <c r="C244" i="53"/>
  <c r="L244" i="53"/>
  <c r="E244" i="53"/>
  <c r="I244" i="53"/>
  <c r="AK243" i="52" a="1"/>
  <c r="AK243" i="52" s="1"/>
  <c r="B245" i="53" s="1"/>
  <c r="O245" i="53" s="1"/>
  <c r="F244" i="53"/>
  <c r="G244" i="53"/>
  <c r="K244" i="53"/>
  <c r="P244" i="53"/>
  <c r="H244" i="53"/>
  <c r="A174" i="32"/>
  <c r="B174" i="32"/>
  <c r="M184" i="50"/>
  <c r="F184" i="50"/>
  <c r="N184" i="50"/>
  <c r="G184" i="50"/>
  <c r="H184" i="50"/>
  <c r="B184" i="50"/>
  <c r="R184" i="50" s="1"/>
  <c r="L184" i="50"/>
  <c r="K184" i="50"/>
  <c r="I184" i="50"/>
  <c r="A184" i="50"/>
  <c r="Q184" i="50" s="1"/>
  <c r="P184" i="50" s="1"/>
  <c r="J184" i="50"/>
  <c r="I174" i="32"/>
  <c r="L174" i="32"/>
  <c r="M174" i="32"/>
  <c r="H174" i="32"/>
  <c r="J174" i="32"/>
  <c r="K174" i="32"/>
  <c r="N174" i="32"/>
  <c r="O174" i="32"/>
  <c r="G174" i="32"/>
  <c r="F174" i="32"/>
  <c r="T242" i="57"/>
  <c r="J244" i="57"/>
  <c r="E244" i="57"/>
  <c r="P244" i="57"/>
  <c r="H244" i="57"/>
  <c r="K244" i="57"/>
  <c r="D244" i="57"/>
  <c r="C244" i="57"/>
  <c r="M244" i="57" s="1"/>
  <c r="F244" i="57"/>
  <c r="G244" i="57"/>
  <c r="I244" i="57"/>
  <c r="W182" i="50"/>
  <c r="X182" i="50" s="1"/>
  <c r="Z182" i="50"/>
  <c r="Q243" i="57"/>
  <c r="AK243" i="55" a="1"/>
  <c r="AK243" i="55" s="1"/>
  <c r="B245" i="57" s="1"/>
  <c r="W172" i="32"/>
  <c r="X172" i="32" s="1"/>
  <c r="Z172" i="32"/>
  <c r="AN229" i="67" a="1"/>
  <c r="AN229" i="67" s="1"/>
  <c r="B230" i="69"/>
  <c r="L230" i="69" s="1"/>
  <c r="C229" i="69"/>
  <c r="AO229" i="69" s="1"/>
  <c r="O229" i="69"/>
  <c r="R227" i="69"/>
  <c r="S227" i="69" s="1"/>
  <c r="Y227" i="69" s="1"/>
  <c r="AB227" i="69" s="1"/>
  <c r="AC227" i="69" s="1"/>
  <c r="AD227" i="69" s="1"/>
  <c r="AE227" i="69"/>
  <c r="Q227" i="69"/>
  <c r="U227" i="69"/>
  <c r="D228" i="69"/>
  <c r="E228" i="69" s="1"/>
  <c r="F228" i="69" s="1"/>
  <c r="G228" i="69" s="1"/>
  <c r="H228" i="69" s="1"/>
  <c r="I228" i="69" s="1"/>
  <c r="J228" i="69" s="1"/>
  <c r="K228" i="69" s="1"/>
  <c r="M228" i="69" s="1"/>
  <c r="N228" i="69"/>
  <c r="AF228" i="69" s="1"/>
  <c r="P228" i="69"/>
  <c r="AN228" i="63" a="1"/>
  <c r="AN228" i="63" s="1"/>
  <c r="B229" i="65"/>
  <c r="L229" i="65" s="1"/>
  <c r="R226" i="65"/>
  <c r="S226" i="65" s="1"/>
  <c r="Y226" i="65" s="1"/>
  <c r="AB226" i="65" s="1"/>
  <c r="AC226" i="65" s="1"/>
  <c r="AD226" i="65" s="1"/>
  <c r="U226" i="65"/>
  <c r="Q226" i="65"/>
  <c r="O228" i="65"/>
  <c r="C228" i="65"/>
  <c r="AM228" i="65" s="1"/>
  <c r="P227" i="65"/>
  <c r="D227" i="65"/>
  <c r="E227" i="65" s="1"/>
  <c r="F227" i="65" s="1"/>
  <c r="G227" i="65" s="1"/>
  <c r="H227" i="65" s="1"/>
  <c r="I227" i="65" s="1"/>
  <c r="J227" i="65" s="1"/>
  <c r="K227" i="65" s="1"/>
  <c r="M227" i="65" s="1"/>
  <c r="N227" i="65"/>
  <c r="AL174" i="11" a="1"/>
  <c r="AL174" i="11" s="1"/>
  <c r="E175" i="32" s="1"/>
  <c r="AK175" i="32" s="1"/>
  <c r="AL184" i="59" a="1"/>
  <c r="AL184" i="59" s="1"/>
  <c r="E185" i="50" s="1"/>
  <c r="AK185" i="50" s="1"/>
  <c r="AM74" i="59" a="1"/>
  <c r="AM74" i="59" s="1"/>
  <c r="AM59" i="11" a="1"/>
  <c r="AM59" i="11" s="1"/>
  <c r="AA242" i="53" l="1"/>
  <c r="AB242" i="53"/>
  <c r="AI171" i="32"/>
  <c r="AN171" i="32" s="1"/>
  <c r="AI181" i="50"/>
  <c r="AP181" i="50" s="1"/>
  <c r="AF227" i="65"/>
  <c r="AE227" i="65"/>
  <c r="AE244" i="57"/>
  <c r="R244" i="57"/>
  <c r="AE244" i="53"/>
  <c r="R244" i="53"/>
  <c r="AG182" i="50"/>
  <c r="AH182" i="50" s="1"/>
  <c r="AL182" i="50"/>
  <c r="AG172" i="32"/>
  <c r="AH172" i="32" s="1"/>
  <c r="AL172" i="32"/>
  <c r="AB241" i="57"/>
  <c r="AF241" i="57"/>
  <c r="AG227" i="69"/>
  <c r="AG226" i="65"/>
  <c r="P174" i="32"/>
  <c r="AX228" i="69"/>
  <c r="O245" i="57"/>
  <c r="AG245" i="57" s="1"/>
  <c r="L245" i="57"/>
  <c r="T185" i="50"/>
  <c r="O185" i="50"/>
  <c r="T175" i="32"/>
  <c r="AA241" i="57"/>
  <c r="AD173" i="32"/>
  <c r="AM184" i="50"/>
  <c r="U184" i="50"/>
  <c r="AJ244" i="57"/>
  <c r="AC244" i="57"/>
  <c r="AP244" i="57"/>
  <c r="X242" i="57"/>
  <c r="AF242" i="57" s="1"/>
  <c r="AD183" i="50"/>
  <c r="AM174" i="32"/>
  <c r="U174" i="32"/>
  <c r="AH227" i="65"/>
  <c r="AV227" i="65"/>
  <c r="AC244" i="53"/>
  <c r="AH244" i="53"/>
  <c r="AT244" i="53"/>
  <c r="AG244" i="53"/>
  <c r="Q244" i="53"/>
  <c r="N245" i="57"/>
  <c r="AD244" i="53"/>
  <c r="I245" i="53"/>
  <c r="N245" i="53"/>
  <c r="AH228" i="69"/>
  <c r="AJ183" i="50"/>
  <c r="C183" i="50"/>
  <c r="AJ173" i="32"/>
  <c r="C173" i="32"/>
  <c r="AD244" i="57"/>
  <c r="X243" i="53"/>
  <c r="AF243" i="53" s="1"/>
  <c r="S184" i="50"/>
  <c r="V183" i="50"/>
  <c r="S174" i="32"/>
  <c r="V174" i="32" s="1"/>
  <c r="D245" i="53"/>
  <c r="L245" i="53"/>
  <c r="C245" i="53"/>
  <c r="H245" i="53"/>
  <c r="E245" i="53"/>
  <c r="G245" i="53"/>
  <c r="F245" i="53"/>
  <c r="AK244" i="52" a="1"/>
  <c r="AK244" i="52" s="1"/>
  <c r="B246" i="53" s="1"/>
  <c r="O246" i="53" s="1"/>
  <c r="J245" i="53"/>
  <c r="P245" i="53"/>
  <c r="K245" i="53"/>
  <c r="A175" i="32"/>
  <c r="B175" i="32"/>
  <c r="G185" i="50"/>
  <c r="I185" i="50"/>
  <c r="H185" i="50"/>
  <c r="K185" i="50"/>
  <c r="M185" i="50"/>
  <c r="J185" i="50"/>
  <c r="B185" i="50"/>
  <c r="R185" i="50" s="1"/>
  <c r="A185" i="50"/>
  <c r="Q185" i="50" s="1"/>
  <c r="P185" i="50" s="1"/>
  <c r="N185" i="50"/>
  <c r="L185" i="50"/>
  <c r="F185" i="50"/>
  <c r="G175" i="32"/>
  <c r="O175" i="32"/>
  <c r="J175" i="32"/>
  <c r="K175" i="32"/>
  <c r="F175" i="32"/>
  <c r="N175" i="32"/>
  <c r="H175" i="32"/>
  <c r="I175" i="32"/>
  <c r="L175" i="32"/>
  <c r="M175" i="32"/>
  <c r="Q244" i="57"/>
  <c r="T243" i="57"/>
  <c r="W183" i="50"/>
  <c r="X183" i="50" s="1"/>
  <c r="Z183" i="50"/>
  <c r="I245" i="57"/>
  <c r="D245" i="57"/>
  <c r="E245" i="57"/>
  <c r="H245" i="57"/>
  <c r="C245" i="57"/>
  <c r="M245" i="57" s="1"/>
  <c r="P245" i="57"/>
  <c r="K245" i="57"/>
  <c r="G245" i="57"/>
  <c r="J245" i="57"/>
  <c r="F245" i="57"/>
  <c r="AK244" i="55" a="1"/>
  <c r="AK244" i="55" s="1"/>
  <c r="B246" i="57" s="1"/>
  <c r="W173" i="32"/>
  <c r="X173" i="32" s="1"/>
  <c r="Z173" i="32"/>
  <c r="AN230" i="67" a="1"/>
  <c r="AN230" i="67" s="1"/>
  <c r="B231" i="69"/>
  <c r="L231" i="69" s="1"/>
  <c r="P229" i="69"/>
  <c r="N229" i="69"/>
  <c r="AF229" i="69" s="1"/>
  <c r="D229" i="69"/>
  <c r="E229" i="69" s="1"/>
  <c r="F229" i="69" s="1"/>
  <c r="G229" i="69" s="1"/>
  <c r="H229" i="69" s="1"/>
  <c r="I229" i="69" s="1"/>
  <c r="J229" i="69" s="1"/>
  <c r="K229" i="69" s="1"/>
  <c r="M229" i="69" s="1"/>
  <c r="AE228" i="69"/>
  <c r="U228" i="69"/>
  <c r="Q228" i="69"/>
  <c r="R228" i="69"/>
  <c r="S228" i="69" s="1"/>
  <c r="Y228" i="69" s="1"/>
  <c r="AB228" i="69" s="1"/>
  <c r="AC228" i="69" s="1"/>
  <c r="AD228" i="69" s="1"/>
  <c r="O230" i="69"/>
  <c r="C230" i="69"/>
  <c r="AO230" i="69" s="1"/>
  <c r="AN229" i="63" a="1"/>
  <c r="AN229" i="63" s="1"/>
  <c r="B230" i="65"/>
  <c r="L230" i="65" s="1"/>
  <c r="P228" i="65"/>
  <c r="N228" i="65"/>
  <c r="D228" i="65"/>
  <c r="E228" i="65" s="1"/>
  <c r="F228" i="65" s="1"/>
  <c r="G228" i="65" s="1"/>
  <c r="H228" i="65" s="1"/>
  <c r="I228" i="65" s="1"/>
  <c r="J228" i="65" s="1"/>
  <c r="K228" i="65" s="1"/>
  <c r="M228" i="65" s="1"/>
  <c r="C229" i="65"/>
  <c r="AM229" i="65" s="1"/>
  <c r="O229" i="65"/>
  <c r="U227" i="65"/>
  <c r="Q227" i="65"/>
  <c r="R227" i="65"/>
  <c r="S227" i="65" s="1"/>
  <c r="Y227" i="65" s="1"/>
  <c r="AB227" i="65" s="1"/>
  <c r="AC227" i="65" s="1"/>
  <c r="AD227" i="65" s="1"/>
  <c r="AL175" i="11" a="1"/>
  <c r="AL175" i="11" s="1"/>
  <c r="E176" i="32" s="1"/>
  <c r="AK176" i="32" s="1"/>
  <c r="AL185" i="59" a="1"/>
  <c r="AL185" i="59" s="1"/>
  <c r="E186" i="50" s="1"/>
  <c r="AK186" i="50" s="1"/>
  <c r="AM75" i="59" a="1"/>
  <c r="AM75" i="59" s="1"/>
  <c r="AM60" i="11" a="1"/>
  <c r="AM60" i="11" s="1"/>
  <c r="AI172" i="32" l="1"/>
  <c r="AN172" i="32" s="1"/>
  <c r="AI182" i="50"/>
  <c r="AP182" i="50" s="1"/>
  <c r="AF228" i="65"/>
  <c r="AE228" i="65"/>
  <c r="AE245" i="57"/>
  <c r="R245" i="57"/>
  <c r="AE245" i="53"/>
  <c r="R245" i="53"/>
  <c r="AL173" i="32"/>
  <c r="AG183" i="50"/>
  <c r="AH183" i="50" s="1"/>
  <c r="AL183" i="50"/>
  <c r="AG228" i="69"/>
  <c r="AG227" i="65"/>
  <c r="P175" i="32"/>
  <c r="AG173" i="32"/>
  <c r="AH173" i="32" s="1"/>
  <c r="AX229" i="69"/>
  <c r="O246" i="57"/>
  <c r="AG246" i="57" s="1"/>
  <c r="L246" i="57"/>
  <c r="O186" i="50"/>
  <c r="T186" i="50"/>
  <c r="T176" i="32"/>
  <c r="X243" i="57"/>
  <c r="AM185" i="50"/>
  <c r="U185" i="50"/>
  <c r="AD174" i="32"/>
  <c r="AM175" i="32"/>
  <c r="U175" i="32"/>
  <c r="AJ245" i="57"/>
  <c r="AC245" i="57"/>
  <c r="AP245" i="57"/>
  <c r="AD184" i="50"/>
  <c r="AA242" i="57"/>
  <c r="AB242" i="57"/>
  <c r="AH228" i="65"/>
  <c r="AV228" i="65"/>
  <c r="AH245" i="53"/>
  <c r="AC245" i="53"/>
  <c r="AT245" i="53"/>
  <c r="AB243" i="53"/>
  <c r="AA243" i="53"/>
  <c r="AG245" i="53"/>
  <c r="X244" i="53"/>
  <c r="AF244" i="53" s="1"/>
  <c r="N246" i="57"/>
  <c r="L246" i="53"/>
  <c r="N246" i="53"/>
  <c r="AH229" i="69"/>
  <c r="AJ184" i="50"/>
  <c r="C184" i="50"/>
  <c r="AJ174" i="32"/>
  <c r="C174" i="32"/>
  <c r="AD245" i="57"/>
  <c r="Q245" i="53"/>
  <c r="AD245" i="53"/>
  <c r="S185" i="50"/>
  <c r="V184" i="50"/>
  <c r="S175" i="32"/>
  <c r="V175" i="32" s="1"/>
  <c r="I246" i="53"/>
  <c r="J246" i="53"/>
  <c r="F246" i="53"/>
  <c r="P246" i="53"/>
  <c r="G246" i="53"/>
  <c r="D246" i="53"/>
  <c r="C246" i="53"/>
  <c r="K246" i="53"/>
  <c r="AK245" i="52" a="1"/>
  <c r="AK245" i="52" s="1"/>
  <c r="B247" i="53" s="1"/>
  <c r="O247" i="53" s="1"/>
  <c r="E246" i="53"/>
  <c r="H246" i="53"/>
  <c r="A176" i="32"/>
  <c r="B176" i="32"/>
  <c r="K186" i="50"/>
  <c r="B186" i="50"/>
  <c r="R186" i="50" s="1"/>
  <c r="A186" i="50"/>
  <c r="Q186" i="50" s="1"/>
  <c r="P186" i="50" s="1"/>
  <c r="N186" i="50"/>
  <c r="G186" i="50"/>
  <c r="L186" i="50"/>
  <c r="F186" i="50"/>
  <c r="J186" i="50"/>
  <c r="M186" i="50"/>
  <c r="H186" i="50"/>
  <c r="I186" i="50"/>
  <c r="M176" i="32"/>
  <c r="H176" i="32"/>
  <c r="I176" i="32"/>
  <c r="L176" i="32"/>
  <c r="F176" i="32"/>
  <c r="G176" i="32"/>
  <c r="J176" i="32"/>
  <c r="K176" i="32"/>
  <c r="N176" i="32"/>
  <c r="O176" i="32"/>
  <c r="W184" i="50"/>
  <c r="X184" i="50" s="1"/>
  <c r="Z184" i="50"/>
  <c r="Q245" i="57"/>
  <c r="T244" i="57"/>
  <c r="P246" i="57"/>
  <c r="C246" i="57"/>
  <c r="M246" i="57" s="1"/>
  <c r="K246" i="57"/>
  <c r="J246" i="57"/>
  <c r="H246" i="57"/>
  <c r="D246" i="57"/>
  <c r="F246" i="57"/>
  <c r="I246" i="57"/>
  <c r="E246" i="57"/>
  <c r="G246" i="57"/>
  <c r="AK245" i="55" a="1"/>
  <c r="AK245" i="55" s="1"/>
  <c r="B247" i="57" s="1"/>
  <c r="W174" i="32"/>
  <c r="X174" i="32" s="1"/>
  <c r="Z174" i="32"/>
  <c r="C231" i="69"/>
  <c r="AO231" i="69" s="1"/>
  <c r="O231" i="69"/>
  <c r="Q229" i="69"/>
  <c r="R229" i="69"/>
  <c r="S229" i="69" s="1"/>
  <c r="Y229" i="69" s="1"/>
  <c r="AB229" i="69" s="1"/>
  <c r="AC229" i="69" s="1"/>
  <c r="AD229" i="69" s="1"/>
  <c r="U229" i="69"/>
  <c r="AE229" i="69"/>
  <c r="D230" i="69"/>
  <c r="E230" i="69" s="1"/>
  <c r="F230" i="69" s="1"/>
  <c r="G230" i="69" s="1"/>
  <c r="H230" i="69" s="1"/>
  <c r="I230" i="69" s="1"/>
  <c r="J230" i="69" s="1"/>
  <c r="K230" i="69" s="1"/>
  <c r="M230" i="69" s="1"/>
  <c r="N230" i="69"/>
  <c r="AF230" i="69" s="1"/>
  <c r="P230" i="69"/>
  <c r="AN231" i="67" a="1"/>
  <c r="AN231" i="67" s="1"/>
  <c r="B232" i="69"/>
  <c r="L232" i="69" s="1"/>
  <c r="AN230" i="63" a="1"/>
  <c r="AN230" i="63" s="1"/>
  <c r="B231" i="65"/>
  <c r="L231" i="65" s="1"/>
  <c r="P229" i="65"/>
  <c r="D229" i="65"/>
  <c r="E229" i="65" s="1"/>
  <c r="F229" i="65" s="1"/>
  <c r="G229" i="65" s="1"/>
  <c r="H229" i="65" s="1"/>
  <c r="I229" i="65" s="1"/>
  <c r="J229" i="65" s="1"/>
  <c r="K229" i="65" s="1"/>
  <c r="M229" i="65" s="1"/>
  <c r="N229" i="65"/>
  <c r="U228" i="65"/>
  <c r="Q228" i="65"/>
  <c r="R228" i="65"/>
  <c r="S228" i="65" s="1"/>
  <c r="Y228" i="65" s="1"/>
  <c r="AB228" i="65" s="1"/>
  <c r="AC228" i="65" s="1"/>
  <c r="AD228" i="65" s="1"/>
  <c r="C230" i="65"/>
  <c r="AM230" i="65" s="1"/>
  <c r="O230" i="65"/>
  <c r="AL176" i="11" a="1"/>
  <c r="AL176" i="11" s="1"/>
  <c r="E177" i="32" s="1"/>
  <c r="AK177" i="32" s="1"/>
  <c r="AL186" i="59" a="1"/>
  <c r="AL186" i="59" s="1"/>
  <c r="E187" i="50" s="1"/>
  <c r="AK187" i="50" s="1"/>
  <c r="AM76" i="59" a="1"/>
  <c r="AM76" i="59" s="1"/>
  <c r="AM61" i="11" a="1"/>
  <c r="AM61" i="11" s="1"/>
  <c r="AI183" i="50" l="1"/>
  <c r="AP183" i="50" s="1"/>
  <c r="AF229" i="65"/>
  <c r="AE229" i="65"/>
  <c r="AE246" i="57"/>
  <c r="R246" i="57"/>
  <c r="AE246" i="53"/>
  <c r="R246" i="53"/>
  <c r="AL174" i="32"/>
  <c r="AG184" i="50"/>
  <c r="AH184" i="50" s="1"/>
  <c r="AL184" i="50"/>
  <c r="AB243" i="57"/>
  <c r="AF243" i="57"/>
  <c r="AG229" i="69"/>
  <c r="AG228" i="65"/>
  <c r="P176" i="32"/>
  <c r="AI173" i="32"/>
  <c r="AN173" i="32" s="1"/>
  <c r="AG174" i="32"/>
  <c r="AH174" i="32" s="1"/>
  <c r="AX230" i="69"/>
  <c r="AA243" i="57"/>
  <c r="O247" i="57"/>
  <c r="AG247" i="57" s="1"/>
  <c r="L247" i="57"/>
  <c r="O187" i="50"/>
  <c r="T187" i="50"/>
  <c r="T177" i="32"/>
  <c r="AJ246" i="57"/>
  <c r="AC246" i="57"/>
  <c r="AP246" i="57"/>
  <c r="AD175" i="32"/>
  <c r="X244" i="57"/>
  <c r="AF244" i="57" s="1"/>
  <c r="AM176" i="32"/>
  <c r="U176" i="32"/>
  <c r="AD185" i="50"/>
  <c r="AM186" i="50"/>
  <c r="U186" i="50"/>
  <c r="AH229" i="65"/>
  <c r="AV229" i="65"/>
  <c r="AH246" i="53"/>
  <c r="AC246" i="53"/>
  <c r="AT246" i="53"/>
  <c r="AB244" i="53"/>
  <c r="AA244" i="53"/>
  <c r="AG246" i="53"/>
  <c r="N247" i="57"/>
  <c r="X245" i="53"/>
  <c r="AF245" i="53" s="1"/>
  <c r="K247" i="53"/>
  <c r="N247" i="53"/>
  <c r="AH230" i="69"/>
  <c r="AJ185" i="50"/>
  <c r="C185" i="50"/>
  <c r="AJ175" i="32"/>
  <c r="C175" i="32"/>
  <c r="AD246" i="57"/>
  <c r="Q246" i="53"/>
  <c r="AD246" i="53"/>
  <c r="S186" i="50"/>
  <c r="V185" i="50"/>
  <c r="S176" i="32"/>
  <c r="V176" i="32" s="1"/>
  <c r="G247" i="53"/>
  <c r="L247" i="53"/>
  <c r="H247" i="53"/>
  <c r="E247" i="53"/>
  <c r="P247" i="53"/>
  <c r="F247" i="53"/>
  <c r="C247" i="53"/>
  <c r="I247" i="53"/>
  <c r="AK246" i="52" a="1"/>
  <c r="AK246" i="52" s="1"/>
  <c r="B248" i="53" s="1"/>
  <c r="O248" i="53" s="1"/>
  <c r="J247" i="53"/>
  <c r="D247" i="53"/>
  <c r="A177" i="32"/>
  <c r="B177" i="32"/>
  <c r="I187" i="50"/>
  <c r="G187" i="50"/>
  <c r="M187" i="50"/>
  <c r="N187" i="50"/>
  <c r="H187" i="50"/>
  <c r="J187" i="50"/>
  <c r="A187" i="50"/>
  <c r="Q187" i="50" s="1"/>
  <c r="P187" i="50" s="1"/>
  <c r="B187" i="50"/>
  <c r="R187" i="50" s="1"/>
  <c r="F187" i="50"/>
  <c r="L187" i="50"/>
  <c r="K187" i="50"/>
  <c r="K177" i="32"/>
  <c r="F177" i="32"/>
  <c r="N177" i="32"/>
  <c r="G177" i="32"/>
  <c r="O177" i="32"/>
  <c r="J177" i="32"/>
  <c r="L177" i="32"/>
  <c r="M177" i="32"/>
  <c r="H177" i="32"/>
  <c r="I177" i="32"/>
  <c r="T245" i="57"/>
  <c r="Q246" i="57"/>
  <c r="J247" i="57"/>
  <c r="E247" i="57"/>
  <c r="P247" i="57"/>
  <c r="F247" i="57"/>
  <c r="I247" i="57"/>
  <c r="G247" i="57"/>
  <c r="K247" i="57"/>
  <c r="D247" i="57"/>
  <c r="H247" i="57"/>
  <c r="C247" i="57"/>
  <c r="M247" i="57" s="1"/>
  <c r="W185" i="50"/>
  <c r="X185" i="50" s="1"/>
  <c r="Z185" i="50"/>
  <c r="AK246" i="55" a="1"/>
  <c r="AK246" i="55" s="1"/>
  <c r="B248" i="57" s="1"/>
  <c r="W175" i="32"/>
  <c r="X175" i="32" s="1"/>
  <c r="Z175" i="32"/>
  <c r="AN232" i="67" a="1"/>
  <c r="AN232" i="67" s="1"/>
  <c r="B233" i="69"/>
  <c r="L233" i="69" s="1"/>
  <c r="N231" i="69"/>
  <c r="AF231" i="69" s="1"/>
  <c r="P231" i="69"/>
  <c r="D231" i="69"/>
  <c r="E231" i="69" s="1"/>
  <c r="F231" i="69" s="1"/>
  <c r="G231" i="69" s="1"/>
  <c r="H231" i="69" s="1"/>
  <c r="I231" i="69" s="1"/>
  <c r="J231" i="69" s="1"/>
  <c r="K231" i="69" s="1"/>
  <c r="M231" i="69" s="1"/>
  <c r="O232" i="69"/>
  <c r="C232" i="69"/>
  <c r="AO232" i="69" s="1"/>
  <c r="U230" i="69"/>
  <c r="AE230" i="69"/>
  <c r="Q230" i="69"/>
  <c r="R230" i="69"/>
  <c r="S230" i="69" s="1"/>
  <c r="Y230" i="69" s="1"/>
  <c r="AB230" i="69" s="1"/>
  <c r="AC230" i="69" s="1"/>
  <c r="AD230" i="69" s="1"/>
  <c r="AN231" i="63" a="1"/>
  <c r="AN231" i="63" s="1"/>
  <c r="B232" i="65"/>
  <c r="L232" i="65" s="1"/>
  <c r="P230" i="65"/>
  <c r="D230" i="65"/>
  <c r="E230" i="65" s="1"/>
  <c r="F230" i="65" s="1"/>
  <c r="G230" i="65" s="1"/>
  <c r="H230" i="65" s="1"/>
  <c r="I230" i="65" s="1"/>
  <c r="J230" i="65" s="1"/>
  <c r="K230" i="65" s="1"/>
  <c r="M230" i="65" s="1"/>
  <c r="N230" i="65"/>
  <c r="C231" i="65"/>
  <c r="AM231" i="65" s="1"/>
  <c r="O231" i="65"/>
  <c r="Q229" i="65"/>
  <c r="U229" i="65"/>
  <c r="R229" i="65"/>
  <c r="S229" i="65" s="1"/>
  <c r="Y229" i="65" s="1"/>
  <c r="AB229" i="65" s="1"/>
  <c r="AC229" i="65" s="1"/>
  <c r="AD229" i="65" s="1"/>
  <c r="AL177" i="11" a="1"/>
  <c r="AL177" i="11" s="1"/>
  <c r="E178" i="32" s="1"/>
  <c r="AK178" i="32" s="1"/>
  <c r="AL187" i="59" a="1"/>
  <c r="AL187" i="59" s="1"/>
  <c r="E188" i="50" s="1"/>
  <c r="AK188" i="50" s="1"/>
  <c r="AM77" i="59" a="1"/>
  <c r="AM77" i="59" s="1"/>
  <c r="AM62" i="11" a="1"/>
  <c r="AM62" i="11" s="1"/>
  <c r="AI184" i="50" l="1"/>
  <c r="AP184" i="50" s="1"/>
  <c r="AF230" i="65"/>
  <c r="AE230" i="65"/>
  <c r="AE247" i="57"/>
  <c r="R247" i="57"/>
  <c r="AE247" i="53"/>
  <c r="R247" i="53"/>
  <c r="AG185" i="50"/>
  <c r="AH185" i="50" s="1"/>
  <c r="AL185" i="50"/>
  <c r="AG175" i="32"/>
  <c r="AH175" i="32" s="1"/>
  <c r="AL175" i="32"/>
  <c r="AG230" i="69"/>
  <c r="AG229" i="65"/>
  <c r="P177" i="32"/>
  <c r="AI174" i="32"/>
  <c r="AN174" i="32" s="1"/>
  <c r="AX231" i="69"/>
  <c r="O248" i="57"/>
  <c r="AG248" i="57" s="1"/>
  <c r="L248" i="57"/>
  <c r="T188" i="50"/>
  <c r="O188" i="50"/>
  <c r="T178" i="32"/>
  <c r="X245" i="57"/>
  <c r="AM187" i="50"/>
  <c r="U187" i="50"/>
  <c r="AD186" i="50"/>
  <c r="AB244" i="57"/>
  <c r="AA244" i="57"/>
  <c r="AM177" i="32"/>
  <c r="U177" i="32"/>
  <c r="AD176" i="32"/>
  <c r="AJ247" i="57"/>
  <c r="AC247" i="57"/>
  <c r="AP247" i="57"/>
  <c r="AH230" i="65"/>
  <c r="AV230" i="65"/>
  <c r="AG247" i="53"/>
  <c r="AH247" i="53"/>
  <c r="AC247" i="53"/>
  <c r="AT247" i="53"/>
  <c r="AB245" i="53"/>
  <c r="AA245" i="53"/>
  <c r="N248" i="57"/>
  <c r="X246" i="53"/>
  <c r="AF246" i="53" s="1"/>
  <c r="D248" i="53"/>
  <c r="N248" i="53"/>
  <c r="AH231" i="69"/>
  <c r="AJ186" i="50"/>
  <c r="C186" i="50"/>
  <c r="AJ176" i="32"/>
  <c r="C176" i="32"/>
  <c r="AD247" i="57"/>
  <c r="AD247" i="53"/>
  <c r="S187" i="50"/>
  <c r="V186" i="50"/>
  <c r="S177" i="32"/>
  <c r="V177" i="32" s="1"/>
  <c r="Q247" i="53"/>
  <c r="L248" i="53"/>
  <c r="E248" i="53"/>
  <c r="C248" i="53"/>
  <c r="G248" i="53"/>
  <c r="AK247" i="52" a="1"/>
  <c r="AK247" i="52" s="1"/>
  <c r="B249" i="53" s="1"/>
  <c r="O249" i="53" s="1"/>
  <c r="F248" i="53"/>
  <c r="K248" i="53"/>
  <c r="H248" i="53"/>
  <c r="J248" i="53"/>
  <c r="P248" i="53"/>
  <c r="I248" i="53"/>
  <c r="A178" i="32"/>
  <c r="B178" i="32"/>
  <c r="I188" i="50"/>
  <c r="B188" i="50"/>
  <c r="R188" i="50" s="1"/>
  <c r="F188" i="50"/>
  <c r="K188" i="50"/>
  <c r="G188" i="50"/>
  <c r="N188" i="50"/>
  <c r="H188" i="50"/>
  <c r="L188" i="50"/>
  <c r="J188" i="50"/>
  <c r="M188" i="50"/>
  <c r="A188" i="50"/>
  <c r="Q188" i="50" s="1"/>
  <c r="P188" i="50" s="1"/>
  <c r="I178" i="32"/>
  <c r="L178" i="32"/>
  <c r="M178" i="32"/>
  <c r="H178" i="32"/>
  <c r="F178" i="32"/>
  <c r="G178" i="32"/>
  <c r="J178" i="32"/>
  <c r="K178" i="32"/>
  <c r="N178" i="32"/>
  <c r="O178" i="32"/>
  <c r="T246" i="57"/>
  <c r="Q247" i="57"/>
  <c r="W186" i="50"/>
  <c r="X186" i="50" s="1"/>
  <c r="Z186" i="50"/>
  <c r="D248" i="57"/>
  <c r="J248" i="57"/>
  <c r="G248" i="57"/>
  <c r="H248" i="57"/>
  <c r="C248" i="57"/>
  <c r="M248" i="57" s="1"/>
  <c r="P248" i="57"/>
  <c r="I248" i="57"/>
  <c r="E248" i="57"/>
  <c r="K248" i="57"/>
  <c r="F248" i="57"/>
  <c r="AK247" i="55" a="1"/>
  <c r="AK247" i="55" s="1"/>
  <c r="B249" i="57" s="1"/>
  <c r="W176" i="32"/>
  <c r="X176" i="32" s="1"/>
  <c r="Z176" i="32"/>
  <c r="C233" i="69"/>
  <c r="AO233" i="69" s="1"/>
  <c r="O233" i="69"/>
  <c r="D232" i="69"/>
  <c r="E232" i="69" s="1"/>
  <c r="F232" i="69" s="1"/>
  <c r="G232" i="69" s="1"/>
  <c r="H232" i="69" s="1"/>
  <c r="I232" i="69" s="1"/>
  <c r="J232" i="69" s="1"/>
  <c r="K232" i="69" s="1"/>
  <c r="M232" i="69" s="1"/>
  <c r="P232" i="69"/>
  <c r="N232" i="69"/>
  <c r="AF232" i="69" s="1"/>
  <c r="U231" i="69"/>
  <c r="AE231" i="69"/>
  <c r="R231" i="69"/>
  <c r="S231" i="69" s="1"/>
  <c r="Y231" i="69" s="1"/>
  <c r="AB231" i="69" s="1"/>
  <c r="AC231" i="69" s="1"/>
  <c r="AD231" i="69" s="1"/>
  <c r="Q231" i="69"/>
  <c r="AN233" i="67" a="1"/>
  <c r="AN233" i="67" s="1"/>
  <c r="B234" i="69"/>
  <c r="L234" i="69" s="1"/>
  <c r="AN232" i="63" a="1"/>
  <c r="AN232" i="63" s="1"/>
  <c r="B233" i="65"/>
  <c r="L233" i="65" s="1"/>
  <c r="D231" i="65"/>
  <c r="E231" i="65" s="1"/>
  <c r="F231" i="65" s="1"/>
  <c r="G231" i="65" s="1"/>
  <c r="H231" i="65" s="1"/>
  <c r="I231" i="65" s="1"/>
  <c r="J231" i="65" s="1"/>
  <c r="K231" i="65" s="1"/>
  <c r="M231" i="65" s="1"/>
  <c r="P231" i="65"/>
  <c r="N231" i="65"/>
  <c r="C232" i="65"/>
  <c r="AM232" i="65" s="1"/>
  <c r="O232" i="65"/>
  <c r="U230" i="65"/>
  <c r="Q230" i="65"/>
  <c r="R230" i="65"/>
  <c r="S230" i="65" s="1"/>
  <c r="Y230" i="65" s="1"/>
  <c r="AB230" i="65" s="1"/>
  <c r="AC230" i="65" s="1"/>
  <c r="AD230" i="65" s="1"/>
  <c r="AL178" i="11" a="1"/>
  <c r="AL178" i="11" s="1"/>
  <c r="E179" i="32" s="1"/>
  <c r="AK179" i="32" s="1"/>
  <c r="AL188" i="59" a="1"/>
  <c r="AL188" i="59" s="1"/>
  <c r="E189" i="50" s="1"/>
  <c r="AK189" i="50" s="1"/>
  <c r="AM78" i="59" a="1"/>
  <c r="AM78" i="59" s="1"/>
  <c r="AM63" i="11" a="1"/>
  <c r="AM63" i="11" s="1"/>
  <c r="X247" i="53" l="1"/>
  <c r="AA247" i="53" s="1"/>
  <c r="AI175" i="32"/>
  <c r="AN175" i="32" s="1"/>
  <c r="AI185" i="50"/>
  <c r="AP185" i="50" s="1"/>
  <c r="AF231" i="65"/>
  <c r="AE231" i="65"/>
  <c r="AE248" i="57"/>
  <c r="R248" i="57"/>
  <c r="AE248" i="53"/>
  <c r="R248" i="53"/>
  <c r="AG186" i="50"/>
  <c r="AH186" i="50" s="1"/>
  <c r="AL186" i="50"/>
  <c r="AG176" i="32"/>
  <c r="AH176" i="32" s="1"/>
  <c r="AL176" i="32"/>
  <c r="AB245" i="57"/>
  <c r="AF245" i="57"/>
  <c r="AG231" i="69"/>
  <c r="AG230" i="65"/>
  <c r="P178" i="32"/>
  <c r="X246" i="57"/>
  <c r="AX232" i="69"/>
  <c r="AA245" i="57"/>
  <c r="O249" i="57"/>
  <c r="AG249" i="57" s="1"/>
  <c r="L249" i="57"/>
  <c r="T189" i="50"/>
  <c r="O189" i="50"/>
  <c r="T179" i="32"/>
  <c r="AM188" i="50"/>
  <c r="U188" i="50"/>
  <c r="AM178" i="32"/>
  <c r="U178" i="32"/>
  <c r="AD177" i="32"/>
  <c r="AD187" i="50"/>
  <c r="AJ248" i="57"/>
  <c r="AC248" i="57"/>
  <c r="AP248" i="57"/>
  <c r="AH231" i="65"/>
  <c r="AV231" i="65"/>
  <c r="AB246" i="53"/>
  <c r="AA246" i="53"/>
  <c r="AH248" i="53"/>
  <c r="AC248" i="53"/>
  <c r="AT248" i="53"/>
  <c r="AG248" i="53"/>
  <c r="N249" i="57"/>
  <c r="K249" i="53"/>
  <c r="N249" i="53"/>
  <c r="AH232" i="69"/>
  <c r="AJ187" i="50"/>
  <c r="C187" i="50"/>
  <c r="AJ177" i="32"/>
  <c r="C177" i="32"/>
  <c r="AD248" i="57"/>
  <c r="AD248" i="53"/>
  <c r="S188" i="50"/>
  <c r="V187" i="50"/>
  <c r="S178" i="32"/>
  <c r="V178" i="32" s="1"/>
  <c r="Q248" i="53"/>
  <c r="E249" i="53"/>
  <c r="C249" i="53"/>
  <c r="D249" i="53"/>
  <c r="P249" i="53"/>
  <c r="F249" i="53"/>
  <c r="AK248" i="52" a="1"/>
  <c r="AK248" i="52" s="1"/>
  <c r="B250" i="53" s="1"/>
  <c r="O250" i="53" s="1"/>
  <c r="G249" i="53"/>
  <c r="H249" i="53"/>
  <c r="I249" i="53"/>
  <c r="J249" i="53"/>
  <c r="L249" i="53"/>
  <c r="A179" i="32"/>
  <c r="B179" i="32"/>
  <c r="J189" i="50"/>
  <c r="L189" i="50"/>
  <c r="A189" i="50"/>
  <c r="Q189" i="50" s="1"/>
  <c r="P189" i="50" s="1"/>
  <c r="N189" i="50"/>
  <c r="H189" i="50"/>
  <c r="I189" i="50"/>
  <c r="G189" i="50"/>
  <c r="M189" i="50"/>
  <c r="K189" i="50"/>
  <c r="B189" i="50"/>
  <c r="R189" i="50" s="1"/>
  <c r="F189" i="50"/>
  <c r="G179" i="32"/>
  <c r="O179" i="32"/>
  <c r="J179" i="32"/>
  <c r="K179" i="32"/>
  <c r="F179" i="32"/>
  <c r="N179" i="32"/>
  <c r="H179" i="32"/>
  <c r="I179" i="32"/>
  <c r="L179" i="32"/>
  <c r="M179" i="32"/>
  <c r="W187" i="50"/>
  <c r="X187" i="50" s="1"/>
  <c r="Z187" i="50"/>
  <c r="J249" i="57"/>
  <c r="I249" i="57"/>
  <c r="F249" i="57"/>
  <c r="E249" i="57"/>
  <c r="P249" i="57"/>
  <c r="D249" i="57"/>
  <c r="C249" i="57"/>
  <c r="M249" i="57" s="1"/>
  <c r="H249" i="57"/>
  <c r="K249" i="57"/>
  <c r="G249" i="57"/>
  <c r="Q248" i="57"/>
  <c r="T247" i="57"/>
  <c r="AK248" i="55" a="1"/>
  <c r="AK248" i="55" s="1"/>
  <c r="B250" i="57" s="1"/>
  <c r="W177" i="32"/>
  <c r="X177" i="32" s="1"/>
  <c r="Z177" i="32"/>
  <c r="AN234" i="67" a="1"/>
  <c r="AN234" i="67" s="1"/>
  <c r="B235" i="69"/>
  <c r="L235" i="69" s="1"/>
  <c r="O234" i="69"/>
  <c r="C234" i="69"/>
  <c r="AO234" i="69" s="1"/>
  <c r="Q232" i="69"/>
  <c r="U232" i="69"/>
  <c r="R232" i="69"/>
  <c r="S232" i="69" s="1"/>
  <c r="Y232" i="69" s="1"/>
  <c r="AB232" i="69" s="1"/>
  <c r="AC232" i="69" s="1"/>
  <c r="AD232" i="69" s="1"/>
  <c r="AE232" i="69"/>
  <c r="N233" i="69"/>
  <c r="AF233" i="69" s="1"/>
  <c r="P233" i="69"/>
  <c r="D233" i="69"/>
  <c r="E233" i="69" s="1"/>
  <c r="F233" i="69" s="1"/>
  <c r="G233" i="69" s="1"/>
  <c r="H233" i="69" s="1"/>
  <c r="I233" i="69" s="1"/>
  <c r="J233" i="69" s="1"/>
  <c r="K233" i="69" s="1"/>
  <c r="M233" i="69" s="1"/>
  <c r="AN233" i="63" a="1"/>
  <c r="AN233" i="63" s="1"/>
  <c r="B234" i="65"/>
  <c r="L234" i="65" s="1"/>
  <c r="C233" i="65"/>
  <c r="AM233" i="65" s="1"/>
  <c r="O233" i="65"/>
  <c r="P232" i="65"/>
  <c r="D232" i="65"/>
  <c r="E232" i="65" s="1"/>
  <c r="F232" i="65" s="1"/>
  <c r="G232" i="65" s="1"/>
  <c r="H232" i="65" s="1"/>
  <c r="I232" i="65" s="1"/>
  <c r="J232" i="65" s="1"/>
  <c r="K232" i="65" s="1"/>
  <c r="M232" i="65" s="1"/>
  <c r="N232" i="65"/>
  <c r="U231" i="65"/>
  <c r="Q231" i="65"/>
  <c r="R231" i="65"/>
  <c r="S231" i="65" s="1"/>
  <c r="Y231" i="65" s="1"/>
  <c r="AB231" i="65" s="1"/>
  <c r="AC231" i="65" s="1"/>
  <c r="AD231" i="65" s="1"/>
  <c r="AL179" i="11" a="1"/>
  <c r="AL179" i="11" s="1"/>
  <c r="E180" i="32" s="1"/>
  <c r="AK180" i="32" s="1"/>
  <c r="AL189" i="59" a="1"/>
  <c r="AL189" i="59" s="1"/>
  <c r="E190" i="50" s="1"/>
  <c r="AK190" i="50" s="1"/>
  <c r="AM79" i="59" a="1"/>
  <c r="AM79" i="59" s="1"/>
  <c r="AM64" i="11" a="1"/>
  <c r="AM64" i="11" s="1"/>
  <c r="AB247" i="53" l="1"/>
  <c r="AF247" i="53"/>
  <c r="AI176" i="32"/>
  <c r="AN176" i="32" s="1"/>
  <c r="AI186" i="50"/>
  <c r="AP186" i="50" s="1"/>
  <c r="AF232" i="65"/>
  <c r="AE232" i="65"/>
  <c r="AE249" i="57"/>
  <c r="R249" i="57"/>
  <c r="AE249" i="53"/>
  <c r="R249" i="53"/>
  <c r="AG187" i="50"/>
  <c r="AH187" i="50" s="1"/>
  <c r="AL187" i="50"/>
  <c r="AG177" i="32"/>
  <c r="AH177" i="32" s="1"/>
  <c r="AL177" i="32"/>
  <c r="AB246" i="57"/>
  <c r="AF246" i="57"/>
  <c r="AG232" i="69"/>
  <c r="AG231" i="65"/>
  <c r="P179" i="32"/>
  <c r="AA246" i="57"/>
  <c r="AX233" i="69"/>
  <c r="O250" i="57"/>
  <c r="AG250" i="57" s="1"/>
  <c r="L250" i="57"/>
  <c r="X247" i="57"/>
  <c r="T190" i="50"/>
  <c r="O190" i="50"/>
  <c r="T180" i="32"/>
  <c r="AM179" i="32"/>
  <c r="U179" i="32"/>
  <c r="AJ249" i="57"/>
  <c r="AC249" i="57"/>
  <c r="AP249" i="57"/>
  <c r="AM189" i="50"/>
  <c r="U189" i="50"/>
  <c r="AD178" i="32"/>
  <c r="AD188" i="50"/>
  <c r="AH232" i="65"/>
  <c r="AV232" i="65"/>
  <c r="AH249" i="53"/>
  <c r="AC249" i="53"/>
  <c r="AT249" i="53"/>
  <c r="AG249" i="53"/>
  <c r="N250" i="57"/>
  <c r="N250" i="53"/>
  <c r="AH233" i="69"/>
  <c r="AJ188" i="50"/>
  <c r="C188" i="50"/>
  <c r="AJ178" i="32"/>
  <c r="C178" i="32"/>
  <c r="AD249" i="57"/>
  <c r="AD249" i="53"/>
  <c r="X248" i="53"/>
  <c r="AF248" i="53" s="1"/>
  <c r="S189" i="50"/>
  <c r="V188" i="50"/>
  <c r="S179" i="32"/>
  <c r="V179" i="32" s="1"/>
  <c r="Q249" i="53"/>
  <c r="AK249" i="52" a="1"/>
  <c r="AK249" i="52" s="1"/>
  <c r="B251" i="53" s="1"/>
  <c r="O251" i="53" s="1"/>
  <c r="J250" i="53"/>
  <c r="H250" i="53"/>
  <c r="I250" i="53"/>
  <c r="F250" i="53"/>
  <c r="E250" i="53"/>
  <c r="D250" i="53"/>
  <c r="L250" i="53"/>
  <c r="C250" i="53"/>
  <c r="G250" i="53"/>
  <c r="P250" i="53"/>
  <c r="K250" i="53"/>
  <c r="A180" i="32"/>
  <c r="B180" i="32"/>
  <c r="A190" i="50"/>
  <c r="Q190" i="50" s="1"/>
  <c r="P190" i="50" s="1"/>
  <c r="G190" i="50"/>
  <c r="H190" i="50"/>
  <c r="J190" i="50"/>
  <c r="I190" i="50"/>
  <c r="L190" i="50"/>
  <c r="N190" i="50"/>
  <c r="F190" i="50"/>
  <c r="M190" i="50"/>
  <c r="B190" i="50"/>
  <c r="R190" i="50" s="1"/>
  <c r="K190" i="50"/>
  <c r="M180" i="32"/>
  <c r="H180" i="32"/>
  <c r="I180" i="32"/>
  <c r="L180" i="32"/>
  <c r="N180" i="32"/>
  <c r="O180" i="32"/>
  <c r="F180" i="32"/>
  <c r="G180" i="32"/>
  <c r="J180" i="32"/>
  <c r="K180" i="32"/>
  <c r="W188" i="50"/>
  <c r="X188" i="50" s="1"/>
  <c r="Z188" i="50"/>
  <c r="Q249" i="57"/>
  <c r="C250" i="57"/>
  <c r="M250" i="57" s="1"/>
  <c r="P250" i="57"/>
  <c r="H250" i="57"/>
  <c r="I250" i="57"/>
  <c r="E250" i="57"/>
  <c r="D250" i="57"/>
  <c r="K250" i="57"/>
  <c r="F250" i="57"/>
  <c r="G250" i="57"/>
  <c r="J250" i="57"/>
  <c r="T248" i="57"/>
  <c r="AK249" i="55" a="1"/>
  <c r="AK249" i="55" s="1"/>
  <c r="B251" i="57" s="1"/>
  <c r="Z178" i="32"/>
  <c r="W178" i="32"/>
  <c r="X178" i="32" s="1"/>
  <c r="AN235" i="67" a="1"/>
  <c r="AN235" i="67" s="1"/>
  <c r="B236" i="69"/>
  <c r="L236" i="69" s="1"/>
  <c r="U233" i="69"/>
  <c r="Q233" i="69"/>
  <c r="R233" i="69"/>
  <c r="S233" i="69" s="1"/>
  <c r="Y233" i="69" s="1"/>
  <c r="AB233" i="69" s="1"/>
  <c r="AC233" i="69" s="1"/>
  <c r="AD233" i="69" s="1"/>
  <c r="AE233" i="69"/>
  <c r="C235" i="69"/>
  <c r="AO235" i="69" s="1"/>
  <c r="O235" i="69"/>
  <c r="D234" i="69"/>
  <c r="E234" i="69" s="1"/>
  <c r="F234" i="69" s="1"/>
  <c r="G234" i="69" s="1"/>
  <c r="H234" i="69" s="1"/>
  <c r="I234" i="69" s="1"/>
  <c r="J234" i="69" s="1"/>
  <c r="K234" i="69" s="1"/>
  <c r="M234" i="69" s="1"/>
  <c r="P234" i="69"/>
  <c r="N234" i="69"/>
  <c r="AF234" i="69" s="1"/>
  <c r="AN234" i="63" a="1"/>
  <c r="AN234" i="63" s="1"/>
  <c r="B235" i="65"/>
  <c r="L235" i="65" s="1"/>
  <c r="C234" i="65"/>
  <c r="AM234" i="65" s="1"/>
  <c r="O234" i="65"/>
  <c r="R232" i="65"/>
  <c r="S232" i="65" s="1"/>
  <c r="Y232" i="65" s="1"/>
  <c r="AB232" i="65" s="1"/>
  <c r="AC232" i="65" s="1"/>
  <c r="AD232" i="65" s="1"/>
  <c r="Q232" i="65"/>
  <c r="U232" i="65"/>
  <c r="D233" i="65"/>
  <c r="E233" i="65" s="1"/>
  <c r="F233" i="65" s="1"/>
  <c r="G233" i="65" s="1"/>
  <c r="H233" i="65" s="1"/>
  <c r="I233" i="65" s="1"/>
  <c r="J233" i="65" s="1"/>
  <c r="K233" i="65" s="1"/>
  <c r="M233" i="65" s="1"/>
  <c r="P233" i="65"/>
  <c r="N233" i="65"/>
  <c r="AL180" i="11" a="1"/>
  <c r="AL180" i="11" s="1"/>
  <c r="E181" i="32" s="1"/>
  <c r="AK181" i="32" s="1"/>
  <c r="AL190" i="59" a="1"/>
  <c r="AL190" i="59" s="1"/>
  <c r="E191" i="50" s="1"/>
  <c r="AK191" i="50" s="1"/>
  <c r="AM80" i="59" a="1"/>
  <c r="AM80" i="59" s="1"/>
  <c r="AM65" i="11" a="1"/>
  <c r="AM65" i="11" s="1"/>
  <c r="X249" i="53" l="1"/>
  <c r="AF249" i="53" s="1"/>
  <c r="AI177" i="32"/>
  <c r="AN177" i="32" s="1"/>
  <c r="AI187" i="50"/>
  <c r="AP187" i="50" s="1"/>
  <c r="AF233" i="65"/>
  <c r="AE233" i="65"/>
  <c r="AE250" i="57"/>
  <c r="R250" i="57"/>
  <c r="AE250" i="53"/>
  <c r="R250" i="53"/>
  <c r="AG188" i="50"/>
  <c r="AH188" i="50" s="1"/>
  <c r="AL188" i="50"/>
  <c r="AG178" i="32"/>
  <c r="AH178" i="32" s="1"/>
  <c r="AL178" i="32"/>
  <c r="AA247" i="57"/>
  <c r="AF247" i="57"/>
  <c r="AG233" i="69"/>
  <c r="AG232" i="65"/>
  <c r="P180" i="32"/>
  <c r="AX234" i="69"/>
  <c r="L251" i="57"/>
  <c r="O251" i="57"/>
  <c r="AG251" i="57" s="1"/>
  <c r="AB247" i="57"/>
  <c r="X248" i="57"/>
  <c r="T191" i="50"/>
  <c r="O191" i="50"/>
  <c r="T181" i="32"/>
  <c r="AD189" i="50"/>
  <c r="AD179" i="32"/>
  <c r="AM190" i="50"/>
  <c r="U190" i="50"/>
  <c r="AM180" i="32"/>
  <c r="U180" i="32"/>
  <c r="AJ250" i="57"/>
  <c r="AC250" i="57"/>
  <c r="AP250" i="57"/>
  <c r="AH233" i="65"/>
  <c r="AV233" i="65"/>
  <c r="AG250" i="53"/>
  <c r="Q250" i="53"/>
  <c r="AH250" i="53"/>
  <c r="AC250" i="53"/>
  <c r="AT250" i="53"/>
  <c r="AB248" i="53"/>
  <c r="AA248" i="53"/>
  <c r="AD250" i="53"/>
  <c r="N251" i="57"/>
  <c r="G251" i="53"/>
  <c r="N251" i="53"/>
  <c r="AH234" i="69"/>
  <c r="AJ189" i="50"/>
  <c r="C189" i="50"/>
  <c r="AJ179" i="32"/>
  <c r="C179" i="32"/>
  <c r="AD250" i="57"/>
  <c r="V189" i="50"/>
  <c r="S190" i="50"/>
  <c r="S180" i="32"/>
  <c r="I251" i="53"/>
  <c r="J251" i="53"/>
  <c r="K251" i="53"/>
  <c r="P251" i="53"/>
  <c r="AK250" i="52" a="1"/>
  <c r="AK250" i="52" s="1"/>
  <c r="B252" i="53" s="1"/>
  <c r="O252" i="53" s="1"/>
  <c r="H251" i="53"/>
  <c r="C251" i="53"/>
  <c r="E251" i="53"/>
  <c r="F251" i="53"/>
  <c r="L251" i="53"/>
  <c r="D251" i="53"/>
  <c r="A181" i="32"/>
  <c r="B181" i="32"/>
  <c r="I191" i="50"/>
  <c r="A191" i="50"/>
  <c r="Q191" i="50" s="1"/>
  <c r="P191" i="50" s="1"/>
  <c r="M191" i="50"/>
  <c r="K191" i="50"/>
  <c r="N191" i="50"/>
  <c r="H191" i="50"/>
  <c r="B191" i="50"/>
  <c r="R191" i="50" s="1"/>
  <c r="L191" i="50"/>
  <c r="F191" i="50"/>
  <c r="G191" i="50"/>
  <c r="J191" i="50"/>
  <c r="K181" i="32"/>
  <c r="F181" i="32"/>
  <c r="N181" i="32"/>
  <c r="G181" i="32"/>
  <c r="O181" i="32"/>
  <c r="J181" i="32"/>
  <c r="H181" i="32"/>
  <c r="I181" i="32"/>
  <c r="L181" i="32"/>
  <c r="M181" i="32"/>
  <c r="W189" i="50"/>
  <c r="X189" i="50" s="1"/>
  <c r="Z189" i="50"/>
  <c r="H251" i="57"/>
  <c r="D251" i="57"/>
  <c r="P251" i="57"/>
  <c r="E251" i="57"/>
  <c r="J251" i="57"/>
  <c r="F251" i="57"/>
  <c r="C251" i="57"/>
  <c r="M251" i="57" s="1"/>
  <c r="K251" i="57"/>
  <c r="G251" i="57"/>
  <c r="I251" i="57"/>
  <c r="T249" i="57"/>
  <c r="Q250" i="57"/>
  <c r="AK250" i="55" a="1"/>
  <c r="AK250" i="55" s="1"/>
  <c r="B252" i="57" s="1"/>
  <c r="W179" i="32"/>
  <c r="X179" i="32" s="1"/>
  <c r="Z179" i="32"/>
  <c r="AN236" i="67" a="1"/>
  <c r="AN236" i="67" s="1"/>
  <c r="B237" i="69"/>
  <c r="L237" i="69" s="1"/>
  <c r="D235" i="69"/>
  <c r="E235" i="69" s="1"/>
  <c r="F235" i="69" s="1"/>
  <c r="G235" i="69" s="1"/>
  <c r="H235" i="69" s="1"/>
  <c r="I235" i="69" s="1"/>
  <c r="J235" i="69" s="1"/>
  <c r="K235" i="69" s="1"/>
  <c r="M235" i="69" s="1"/>
  <c r="P235" i="69"/>
  <c r="N235" i="69"/>
  <c r="AF235" i="69" s="1"/>
  <c r="AE234" i="69"/>
  <c r="Q234" i="69"/>
  <c r="U234" i="69"/>
  <c r="R234" i="69"/>
  <c r="S234" i="69" s="1"/>
  <c r="Y234" i="69" s="1"/>
  <c r="AB234" i="69" s="1"/>
  <c r="AC234" i="69" s="1"/>
  <c r="AD234" i="69" s="1"/>
  <c r="O236" i="69"/>
  <c r="C236" i="69"/>
  <c r="AO236" i="69" s="1"/>
  <c r="AN235" i="63" a="1"/>
  <c r="AN235" i="63" s="1"/>
  <c r="B236" i="65"/>
  <c r="L236" i="65" s="1"/>
  <c r="P234" i="65"/>
  <c r="D234" i="65"/>
  <c r="E234" i="65" s="1"/>
  <c r="F234" i="65" s="1"/>
  <c r="G234" i="65" s="1"/>
  <c r="H234" i="65" s="1"/>
  <c r="I234" i="65" s="1"/>
  <c r="J234" i="65" s="1"/>
  <c r="K234" i="65" s="1"/>
  <c r="M234" i="65" s="1"/>
  <c r="N234" i="65"/>
  <c r="C235" i="65"/>
  <c r="AM235" i="65" s="1"/>
  <c r="O235" i="65"/>
  <c r="Q233" i="65"/>
  <c r="R233" i="65"/>
  <c r="S233" i="65" s="1"/>
  <c r="Y233" i="65" s="1"/>
  <c r="AB233" i="65" s="1"/>
  <c r="AC233" i="65" s="1"/>
  <c r="AD233" i="65" s="1"/>
  <c r="U233" i="65"/>
  <c r="AL181" i="11" a="1"/>
  <c r="AL181" i="11" s="1"/>
  <c r="AL191" i="59" a="1"/>
  <c r="AL191" i="59" s="1"/>
  <c r="E192" i="50" s="1"/>
  <c r="AK192" i="50" s="1"/>
  <c r="AM81" i="59" a="1"/>
  <c r="AM81" i="59" s="1"/>
  <c r="AM66" i="11" a="1"/>
  <c r="AM66" i="11" s="1"/>
  <c r="X250" i="53" l="1"/>
  <c r="AF250" i="53" s="1"/>
  <c r="AA249" i="53"/>
  <c r="AB249" i="53"/>
  <c r="AI178" i="32"/>
  <c r="AN178" i="32" s="1"/>
  <c r="AI188" i="50"/>
  <c r="AP188" i="50" s="1"/>
  <c r="AF234" i="65"/>
  <c r="AE234" i="65"/>
  <c r="AE251" i="57"/>
  <c r="R251" i="57"/>
  <c r="AE251" i="53"/>
  <c r="R251" i="53"/>
  <c r="AL179" i="32"/>
  <c r="AG189" i="50"/>
  <c r="AH189" i="50" s="1"/>
  <c r="AL189" i="50"/>
  <c r="AB248" i="57"/>
  <c r="AF248" i="57"/>
  <c r="AG234" i="69"/>
  <c r="AG233" i="65"/>
  <c r="P181" i="32"/>
  <c r="AG179" i="32"/>
  <c r="AH179" i="32" s="1"/>
  <c r="AX235" i="69"/>
  <c r="X249" i="57"/>
  <c r="AA248" i="57"/>
  <c r="O252" i="57"/>
  <c r="AG252" i="57" s="1"/>
  <c r="L252" i="57"/>
  <c r="T192" i="50"/>
  <c r="O192" i="50"/>
  <c r="AD180" i="32"/>
  <c r="AM191" i="50"/>
  <c r="U191" i="50"/>
  <c r="AD190" i="50"/>
  <c r="AJ251" i="57"/>
  <c r="AC251" i="57"/>
  <c r="AP251" i="57"/>
  <c r="AM181" i="32"/>
  <c r="U181" i="32"/>
  <c r="AH234" i="65"/>
  <c r="AV234" i="65"/>
  <c r="AH251" i="53"/>
  <c r="AC251" i="53"/>
  <c r="AT251" i="53"/>
  <c r="AG251" i="53"/>
  <c r="N252" i="57"/>
  <c r="N252" i="53"/>
  <c r="AH235" i="69"/>
  <c r="C180" i="32"/>
  <c r="V180" i="32"/>
  <c r="AJ190" i="50"/>
  <c r="C190" i="50"/>
  <c r="AD251" i="57"/>
  <c r="AD251" i="53"/>
  <c r="AJ180" i="32"/>
  <c r="S191" i="50"/>
  <c r="V190" i="50"/>
  <c r="S181" i="32"/>
  <c r="V181" i="32" s="1"/>
  <c r="Q251" i="53"/>
  <c r="F252" i="53"/>
  <c r="L252" i="53"/>
  <c r="H252" i="53"/>
  <c r="D252" i="53"/>
  <c r="E252" i="53"/>
  <c r="G252" i="53"/>
  <c r="K252" i="53"/>
  <c r="C252" i="53"/>
  <c r="J252" i="53"/>
  <c r="AK251" i="52" a="1"/>
  <c r="AK251" i="52" s="1"/>
  <c r="B253" i="53" s="1"/>
  <c r="O253" i="53" s="1"/>
  <c r="P252" i="53"/>
  <c r="I252" i="53"/>
  <c r="G192" i="50"/>
  <c r="H192" i="50"/>
  <c r="M192" i="50"/>
  <c r="F192" i="50"/>
  <c r="N192" i="50"/>
  <c r="L192" i="50"/>
  <c r="B192" i="50"/>
  <c r="R192" i="50" s="1"/>
  <c r="K192" i="50"/>
  <c r="I192" i="50"/>
  <c r="J192" i="50"/>
  <c r="A192" i="50"/>
  <c r="Q192" i="50" s="1"/>
  <c r="P192" i="50" s="1"/>
  <c r="Q251" i="57"/>
  <c r="W190" i="50"/>
  <c r="X190" i="50" s="1"/>
  <c r="Z190" i="50"/>
  <c r="F252" i="57"/>
  <c r="J252" i="57"/>
  <c r="E252" i="57"/>
  <c r="H252" i="57"/>
  <c r="K252" i="57"/>
  <c r="G252" i="57"/>
  <c r="D252" i="57"/>
  <c r="I252" i="57"/>
  <c r="C252" i="57"/>
  <c r="M252" i="57" s="1"/>
  <c r="P252" i="57"/>
  <c r="T250" i="57"/>
  <c r="E182" i="32"/>
  <c r="AK182" i="32" s="1"/>
  <c r="AK251" i="55" a="1"/>
  <c r="AK251" i="55" s="1"/>
  <c r="B253" i="57" s="1"/>
  <c r="W180" i="32"/>
  <c r="X180" i="32" s="1"/>
  <c r="Z180" i="32"/>
  <c r="C237" i="69"/>
  <c r="AO237" i="69" s="1"/>
  <c r="O237" i="69"/>
  <c r="R235" i="69"/>
  <c r="S235" i="69" s="1"/>
  <c r="Y235" i="69" s="1"/>
  <c r="AB235" i="69" s="1"/>
  <c r="AC235" i="69" s="1"/>
  <c r="AD235" i="69" s="1"/>
  <c r="Q235" i="69"/>
  <c r="U235" i="69"/>
  <c r="AE235" i="69"/>
  <c r="D236" i="69"/>
  <c r="E236" i="69" s="1"/>
  <c r="F236" i="69" s="1"/>
  <c r="G236" i="69" s="1"/>
  <c r="H236" i="69" s="1"/>
  <c r="I236" i="69" s="1"/>
  <c r="J236" i="69" s="1"/>
  <c r="K236" i="69" s="1"/>
  <c r="M236" i="69" s="1"/>
  <c r="P236" i="69"/>
  <c r="N236" i="69"/>
  <c r="AF236" i="69" s="1"/>
  <c r="AN237" i="67" a="1"/>
  <c r="AN237" i="67" s="1"/>
  <c r="B238" i="69"/>
  <c r="L238" i="69" s="1"/>
  <c r="AN236" i="63" a="1"/>
  <c r="AN236" i="63" s="1"/>
  <c r="B237" i="65"/>
  <c r="L237" i="65" s="1"/>
  <c r="C236" i="65"/>
  <c r="AM236" i="65" s="1"/>
  <c r="O236" i="65"/>
  <c r="U234" i="65"/>
  <c r="Q234" i="65"/>
  <c r="R234" i="65"/>
  <c r="S234" i="65" s="1"/>
  <c r="Y234" i="65" s="1"/>
  <c r="AB234" i="65" s="1"/>
  <c r="AC234" i="65" s="1"/>
  <c r="AD234" i="65" s="1"/>
  <c r="P235" i="65"/>
  <c r="D235" i="65"/>
  <c r="E235" i="65" s="1"/>
  <c r="F235" i="65" s="1"/>
  <c r="G235" i="65" s="1"/>
  <c r="H235" i="65" s="1"/>
  <c r="I235" i="65" s="1"/>
  <c r="J235" i="65" s="1"/>
  <c r="K235" i="65" s="1"/>
  <c r="M235" i="65" s="1"/>
  <c r="N235" i="65"/>
  <c r="AL182" i="11" a="1"/>
  <c r="AL182" i="11" s="1"/>
  <c r="E183" i="32" s="1"/>
  <c r="AK183" i="32" s="1"/>
  <c r="AL192" i="59" a="1"/>
  <c r="AL192" i="59" s="1"/>
  <c r="E193" i="50" s="1"/>
  <c r="AK193" i="50" s="1"/>
  <c r="AM82" i="59" a="1"/>
  <c r="AM82" i="59" s="1"/>
  <c r="AM67" i="11" a="1"/>
  <c r="AM67" i="11" s="1"/>
  <c r="AA250" i="53" l="1"/>
  <c r="AB250" i="53"/>
  <c r="X251" i="53"/>
  <c r="AB251" i="53" s="1"/>
  <c r="AI189" i="50"/>
  <c r="AP189" i="50" s="1"/>
  <c r="AF235" i="65"/>
  <c r="AE235" i="65"/>
  <c r="AE252" i="57"/>
  <c r="R252" i="57"/>
  <c r="AE252" i="53"/>
  <c r="R252" i="53"/>
  <c r="AG190" i="50"/>
  <c r="AH190" i="50" s="1"/>
  <c r="AL190" i="50"/>
  <c r="AG180" i="32"/>
  <c r="AH180" i="32" s="1"/>
  <c r="AL180" i="32"/>
  <c r="AB249" i="57"/>
  <c r="AF249" i="57"/>
  <c r="AG235" i="69"/>
  <c r="AG234" i="65"/>
  <c r="AI179" i="32"/>
  <c r="AN179" i="32" s="1"/>
  <c r="AX236" i="69"/>
  <c r="AA249" i="57"/>
  <c r="L253" i="57"/>
  <c r="O253" i="57"/>
  <c r="AG253" i="57" s="1"/>
  <c r="O193" i="50"/>
  <c r="T193" i="50"/>
  <c r="T183" i="32"/>
  <c r="T182" i="32"/>
  <c r="X250" i="57"/>
  <c r="AD181" i="32"/>
  <c r="AD191" i="50"/>
  <c r="AJ252" i="57"/>
  <c r="AC252" i="57"/>
  <c r="AP252" i="57"/>
  <c r="AM192" i="50"/>
  <c r="U192" i="50"/>
  <c r="AH235" i="65"/>
  <c r="AV235" i="65"/>
  <c r="AG252" i="53"/>
  <c r="AC252" i="53"/>
  <c r="AH252" i="53"/>
  <c r="AT252" i="53"/>
  <c r="N253" i="57"/>
  <c r="F253" i="53"/>
  <c r="N253" i="53"/>
  <c r="AH236" i="69"/>
  <c r="AJ191" i="50"/>
  <c r="C191" i="50"/>
  <c r="AJ181" i="32"/>
  <c r="C181" i="32"/>
  <c r="AD252" i="57"/>
  <c r="AD252" i="53"/>
  <c r="S192" i="50"/>
  <c r="V191" i="50"/>
  <c r="Q252" i="53"/>
  <c r="K253" i="53"/>
  <c r="C253" i="53"/>
  <c r="H253" i="53"/>
  <c r="I253" i="53"/>
  <c r="P253" i="53"/>
  <c r="G253" i="53"/>
  <c r="J253" i="53"/>
  <c r="E253" i="53"/>
  <c r="AK252" i="52" a="1"/>
  <c r="AK252" i="52" s="1"/>
  <c r="B254" i="53" s="1"/>
  <c r="O254" i="53" s="1"/>
  <c r="L253" i="53"/>
  <c r="D253" i="53"/>
  <c r="A183" i="32"/>
  <c r="B183" i="32"/>
  <c r="A182" i="32"/>
  <c r="B182" i="32"/>
  <c r="H193" i="50"/>
  <c r="B193" i="50"/>
  <c r="R193" i="50" s="1"/>
  <c r="J193" i="50"/>
  <c r="I193" i="50"/>
  <c r="A193" i="50"/>
  <c r="Q193" i="50" s="1"/>
  <c r="P193" i="50" s="1"/>
  <c r="G193" i="50"/>
  <c r="M193" i="50"/>
  <c r="K193" i="50"/>
  <c r="N193" i="50"/>
  <c r="F193" i="50"/>
  <c r="L193" i="50"/>
  <c r="I182" i="32"/>
  <c r="L182" i="32"/>
  <c r="M182" i="32"/>
  <c r="H182" i="32"/>
  <c r="J182" i="32"/>
  <c r="K182" i="32"/>
  <c r="N182" i="32"/>
  <c r="O182" i="32"/>
  <c r="G182" i="32"/>
  <c r="F182" i="32"/>
  <c r="G183" i="32"/>
  <c r="O183" i="32"/>
  <c r="J183" i="32"/>
  <c r="K183" i="32"/>
  <c r="F183" i="32"/>
  <c r="N183" i="32"/>
  <c r="H183" i="32"/>
  <c r="I183" i="32"/>
  <c r="L183" i="32"/>
  <c r="M183" i="32"/>
  <c r="Q252" i="57"/>
  <c r="P253" i="57"/>
  <c r="H253" i="57"/>
  <c r="F253" i="57"/>
  <c r="D253" i="57"/>
  <c r="I253" i="57"/>
  <c r="E253" i="57"/>
  <c r="J253" i="57"/>
  <c r="G253" i="57"/>
  <c r="K253" i="57"/>
  <c r="C253" i="57"/>
  <c r="M253" i="57" s="1"/>
  <c r="W191" i="50"/>
  <c r="X191" i="50" s="1"/>
  <c r="Z191" i="50"/>
  <c r="T251" i="57"/>
  <c r="AK252" i="55" a="1"/>
  <c r="AK252" i="55" s="1"/>
  <c r="B254" i="57" s="1"/>
  <c r="W181" i="32"/>
  <c r="X181" i="32" s="1"/>
  <c r="Z181" i="32"/>
  <c r="D237" i="69"/>
  <c r="E237" i="69" s="1"/>
  <c r="F237" i="69" s="1"/>
  <c r="G237" i="69" s="1"/>
  <c r="H237" i="69" s="1"/>
  <c r="I237" i="69" s="1"/>
  <c r="J237" i="69" s="1"/>
  <c r="K237" i="69" s="1"/>
  <c r="M237" i="69" s="1"/>
  <c r="N237" i="69"/>
  <c r="AF237" i="69" s="1"/>
  <c r="P237" i="69"/>
  <c r="R236" i="69"/>
  <c r="S236" i="69" s="1"/>
  <c r="Y236" i="69" s="1"/>
  <c r="AB236" i="69" s="1"/>
  <c r="AC236" i="69" s="1"/>
  <c r="AD236" i="69" s="1"/>
  <c r="AE236" i="69"/>
  <c r="Q236" i="69"/>
  <c r="U236" i="69"/>
  <c r="AN238" i="67" a="1"/>
  <c r="AN238" i="67" s="1"/>
  <c r="B239" i="69"/>
  <c r="L239" i="69" s="1"/>
  <c r="O238" i="69"/>
  <c r="C238" i="69"/>
  <c r="AO238" i="69" s="1"/>
  <c r="D236" i="65"/>
  <c r="E236" i="65" s="1"/>
  <c r="F236" i="65" s="1"/>
  <c r="G236" i="65" s="1"/>
  <c r="H236" i="65" s="1"/>
  <c r="I236" i="65" s="1"/>
  <c r="J236" i="65" s="1"/>
  <c r="K236" i="65" s="1"/>
  <c r="M236" i="65" s="1"/>
  <c r="P236" i="65"/>
  <c r="N236" i="65"/>
  <c r="Q235" i="65"/>
  <c r="R235" i="65"/>
  <c r="S235" i="65" s="1"/>
  <c r="Y235" i="65" s="1"/>
  <c r="AB235" i="65" s="1"/>
  <c r="AC235" i="65" s="1"/>
  <c r="AD235" i="65" s="1"/>
  <c r="U235" i="65"/>
  <c r="C237" i="65"/>
  <c r="AM237" i="65" s="1"/>
  <c r="O237" i="65"/>
  <c r="AN237" i="63" a="1"/>
  <c r="AN237" i="63" s="1"/>
  <c r="B238" i="65"/>
  <c r="L238" i="65" s="1"/>
  <c r="AL183" i="11" a="1"/>
  <c r="AL183" i="11" s="1"/>
  <c r="E184" i="32" s="1"/>
  <c r="AK184" i="32" s="1"/>
  <c r="AL193" i="59" a="1"/>
  <c r="AL193" i="59" s="1"/>
  <c r="E194" i="50" s="1"/>
  <c r="AK194" i="50" s="1"/>
  <c r="AM83" i="59" a="1"/>
  <c r="AM83" i="59" s="1"/>
  <c r="AM68" i="11" a="1"/>
  <c r="AM68" i="11" s="1"/>
  <c r="AF251" i="53" l="1"/>
  <c r="AA251" i="53"/>
  <c r="AI180" i="32"/>
  <c r="AN180" i="32" s="1"/>
  <c r="AI190" i="50"/>
  <c r="AP190" i="50" s="1"/>
  <c r="AF236" i="65"/>
  <c r="AE236" i="65"/>
  <c r="AE253" i="57"/>
  <c r="R253" i="57"/>
  <c r="AE253" i="53"/>
  <c r="R253" i="53"/>
  <c r="AG191" i="50"/>
  <c r="AH191" i="50" s="1"/>
  <c r="AL191" i="50"/>
  <c r="AG181" i="32"/>
  <c r="AH181" i="32" s="1"/>
  <c r="AL181" i="32"/>
  <c r="AA250" i="57"/>
  <c r="AF250" i="57"/>
  <c r="AG236" i="69"/>
  <c r="AG235" i="65"/>
  <c r="P183" i="32"/>
  <c r="P182" i="32"/>
  <c r="X251" i="57"/>
  <c r="AX237" i="69"/>
  <c r="O254" i="57"/>
  <c r="AG254" i="57" s="1"/>
  <c r="L254" i="57"/>
  <c r="O194" i="50"/>
  <c r="T194" i="50"/>
  <c r="T184" i="32"/>
  <c r="AB250" i="57"/>
  <c r="AD192" i="50"/>
  <c r="AM182" i="32"/>
  <c r="U182" i="32"/>
  <c r="AJ253" i="57"/>
  <c r="AC253" i="57"/>
  <c r="AP253" i="57"/>
  <c r="AM183" i="32"/>
  <c r="U183" i="32"/>
  <c r="AM193" i="50"/>
  <c r="U193" i="50"/>
  <c r="AH236" i="65"/>
  <c r="AV236" i="65"/>
  <c r="AH253" i="53"/>
  <c r="AC253" i="53"/>
  <c r="AT253" i="53"/>
  <c r="AG253" i="53"/>
  <c r="N254" i="57"/>
  <c r="C254" i="53"/>
  <c r="N254" i="53"/>
  <c r="AH237" i="69"/>
  <c r="AJ192" i="50"/>
  <c r="C192" i="50"/>
  <c r="AD253" i="57"/>
  <c r="AD253" i="53"/>
  <c r="X252" i="53"/>
  <c r="AF252" i="53" s="1"/>
  <c r="Q253" i="53"/>
  <c r="V192" i="50"/>
  <c r="S193" i="50"/>
  <c r="S183" i="32"/>
  <c r="V183" i="32" s="1"/>
  <c r="S182" i="32"/>
  <c r="V182" i="32" s="1"/>
  <c r="F254" i="53"/>
  <c r="D254" i="53"/>
  <c r="P254" i="53"/>
  <c r="AK253" i="52" a="1"/>
  <c r="AK253" i="52" s="1"/>
  <c r="B255" i="53" s="1"/>
  <c r="O255" i="53" s="1"/>
  <c r="J254" i="53"/>
  <c r="E254" i="53"/>
  <c r="L254" i="53"/>
  <c r="K254" i="53"/>
  <c r="I254" i="53"/>
  <c r="H254" i="53"/>
  <c r="G254" i="53"/>
  <c r="A184" i="32"/>
  <c r="B184" i="32"/>
  <c r="F194" i="50"/>
  <c r="A194" i="50"/>
  <c r="Q194" i="50" s="1"/>
  <c r="P194" i="50" s="1"/>
  <c r="N194" i="50"/>
  <c r="B194" i="50"/>
  <c r="R194" i="50" s="1"/>
  <c r="J194" i="50"/>
  <c r="M194" i="50"/>
  <c r="L194" i="50"/>
  <c r="K194" i="50"/>
  <c r="I194" i="50"/>
  <c r="G194" i="50"/>
  <c r="H194" i="50"/>
  <c r="M184" i="32"/>
  <c r="H184" i="32"/>
  <c r="I184" i="32"/>
  <c r="L184" i="32"/>
  <c r="F184" i="32"/>
  <c r="G184" i="32"/>
  <c r="J184" i="32"/>
  <c r="K184" i="32"/>
  <c r="N184" i="32"/>
  <c r="O184" i="32"/>
  <c r="Q253" i="57"/>
  <c r="Z192" i="50"/>
  <c r="W192" i="50"/>
  <c r="X192" i="50" s="1"/>
  <c r="I254" i="57"/>
  <c r="E254" i="57"/>
  <c r="D254" i="57"/>
  <c r="K254" i="57"/>
  <c r="F254" i="57"/>
  <c r="G254" i="57"/>
  <c r="J254" i="57"/>
  <c r="P254" i="57"/>
  <c r="C254" i="57"/>
  <c r="M254" i="57" s="1"/>
  <c r="H254" i="57"/>
  <c r="T252" i="57"/>
  <c r="AK253" i="55" a="1"/>
  <c r="AK253" i="55" s="1"/>
  <c r="B255" i="57" s="1"/>
  <c r="AN239" i="67" a="1"/>
  <c r="AN239" i="67" s="1"/>
  <c r="B240" i="69"/>
  <c r="L240" i="69" s="1"/>
  <c r="U237" i="69"/>
  <c r="Q237" i="69"/>
  <c r="AE237" i="69"/>
  <c r="R237" i="69"/>
  <c r="S237" i="69" s="1"/>
  <c r="Y237" i="69" s="1"/>
  <c r="AB237" i="69" s="1"/>
  <c r="AC237" i="69" s="1"/>
  <c r="AD237" i="69" s="1"/>
  <c r="C239" i="69"/>
  <c r="AO239" i="69" s="1"/>
  <c r="O239" i="69"/>
  <c r="D238" i="69"/>
  <c r="E238" i="69" s="1"/>
  <c r="F238" i="69" s="1"/>
  <c r="G238" i="69" s="1"/>
  <c r="H238" i="69" s="1"/>
  <c r="I238" i="69" s="1"/>
  <c r="J238" i="69" s="1"/>
  <c r="K238" i="69" s="1"/>
  <c r="M238" i="69" s="1"/>
  <c r="N238" i="69"/>
  <c r="AF238" i="69" s="1"/>
  <c r="P238" i="69"/>
  <c r="C238" i="65"/>
  <c r="AM238" i="65" s="1"/>
  <c r="O238" i="65"/>
  <c r="P237" i="65"/>
  <c r="D237" i="65"/>
  <c r="E237" i="65" s="1"/>
  <c r="F237" i="65" s="1"/>
  <c r="G237" i="65" s="1"/>
  <c r="H237" i="65" s="1"/>
  <c r="I237" i="65" s="1"/>
  <c r="J237" i="65" s="1"/>
  <c r="K237" i="65" s="1"/>
  <c r="M237" i="65" s="1"/>
  <c r="N237" i="65"/>
  <c r="AN238" i="63" a="1"/>
  <c r="AN238" i="63" s="1"/>
  <c r="B239" i="65"/>
  <c r="L239" i="65" s="1"/>
  <c r="Q236" i="65"/>
  <c r="U236" i="65"/>
  <c r="R236" i="65"/>
  <c r="S236" i="65" s="1"/>
  <c r="Y236" i="65" s="1"/>
  <c r="AB236" i="65" s="1"/>
  <c r="AC236" i="65" s="1"/>
  <c r="AD236" i="65" s="1"/>
  <c r="AL184" i="11" a="1"/>
  <c r="AL184" i="11" s="1"/>
  <c r="E185" i="32" s="1"/>
  <c r="AK185" i="32" s="1"/>
  <c r="AL194" i="59" a="1"/>
  <c r="AL194" i="59" s="1"/>
  <c r="E195" i="50" s="1"/>
  <c r="AK195" i="50" s="1"/>
  <c r="AM84" i="59" a="1"/>
  <c r="AM84" i="59" s="1"/>
  <c r="AM69" i="11" a="1"/>
  <c r="AM69" i="11" s="1"/>
  <c r="AI181" i="32" l="1"/>
  <c r="AN181" i="32" s="1"/>
  <c r="AI191" i="50"/>
  <c r="AP191" i="50" s="1"/>
  <c r="AF237" i="65"/>
  <c r="AE237" i="65"/>
  <c r="AE254" i="57"/>
  <c r="R254" i="57"/>
  <c r="AE254" i="53"/>
  <c r="R254" i="53"/>
  <c r="AG192" i="50"/>
  <c r="AH192" i="50" s="1"/>
  <c r="AL192" i="50"/>
  <c r="AB251" i="57"/>
  <c r="AF251" i="57"/>
  <c r="AG237" i="69"/>
  <c r="AG236" i="65"/>
  <c r="P184" i="32"/>
  <c r="AA251" i="57"/>
  <c r="AX238" i="69"/>
  <c r="X252" i="57"/>
  <c r="O255" i="57"/>
  <c r="AG255" i="57" s="1"/>
  <c r="L255" i="57"/>
  <c r="O195" i="50"/>
  <c r="T195" i="50"/>
  <c r="T185" i="32"/>
  <c r="AM184" i="32"/>
  <c r="U184" i="32"/>
  <c r="AJ254" i="57"/>
  <c r="AC254" i="57"/>
  <c r="AP254" i="57"/>
  <c r="AM194" i="50"/>
  <c r="U194" i="50"/>
  <c r="AD193" i="50"/>
  <c r="AD183" i="32"/>
  <c r="AD182" i="32"/>
  <c r="AH237" i="65"/>
  <c r="AV237" i="65"/>
  <c r="AB252" i="53"/>
  <c r="AA252" i="53"/>
  <c r="AG254" i="53"/>
  <c r="AH254" i="53"/>
  <c r="AC254" i="53"/>
  <c r="AT254" i="53"/>
  <c r="N255" i="57"/>
  <c r="P255" i="53"/>
  <c r="N255" i="53"/>
  <c r="AH238" i="69"/>
  <c r="AJ193" i="50"/>
  <c r="C193" i="50"/>
  <c r="AJ182" i="32"/>
  <c r="C182" i="32"/>
  <c r="AJ183" i="32"/>
  <c r="C183" i="32"/>
  <c r="AD254" i="57"/>
  <c r="AD254" i="53"/>
  <c r="X253" i="53"/>
  <c r="AF253" i="53" s="1"/>
  <c r="Q254" i="53"/>
  <c r="V193" i="50"/>
  <c r="S194" i="50"/>
  <c r="S184" i="32"/>
  <c r="V184" i="32" s="1"/>
  <c r="AK254" i="52" a="1"/>
  <c r="AK254" i="52" s="1"/>
  <c r="B256" i="53" s="1"/>
  <c r="O256" i="53" s="1"/>
  <c r="G255" i="53"/>
  <c r="H255" i="53"/>
  <c r="L255" i="53"/>
  <c r="D255" i="53"/>
  <c r="J255" i="53"/>
  <c r="I255" i="53"/>
  <c r="C255" i="53"/>
  <c r="E255" i="53"/>
  <c r="F255" i="53"/>
  <c r="K255" i="53"/>
  <c r="A185" i="32"/>
  <c r="B185" i="32"/>
  <c r="M195" i="50"/>
  <c r="G195" i="50"/>
  <c r="J195" i="50"/>
  <c r="B195" i="50"/>
  <c r="R195" i="50" s="1"/>
  <c r="I195" i="50"/>
  <c r="K195" i="50"/>
  <c r="L195" i="50"/>
  <c r="N195" i="50"/>
  <c r="H195" i="50"/>
  <c r="F195" i="50"/>
  <c r="A195" i="50"/>
  <c r="Q195" i="50" s="1"/>
  <c r="P195" i="50" s="1"/>
  <c r="K185" i="32"/>
  <c r="F185" i="32"/>
  <c r="N185" i="32"/>
  <c r="G185" i="32"/>
  <c r="O185" i="32"/>
  <c r="J185" i="32"/>
  <c r="L185" i="32"/>
  <c r="M185" i="32"/>
  <c r="H185" i="32"/>
  <c r="I185" i="32"/>
  <c r="Z182" i="32"/>
  <c r="W182" i="32"/>
  <c r="X182" i="32" s="1"/>
  <c r="Q254" i="57"/>
  <c r="P255" i="57"/>
  <c r="H255" i="57"/>
  <c r="D255" i="57"/>
  <c r="J255" i="57"/>
  <c r="K255" i="57"/>
  <c r="F255" i="57"/>
  <c r="I255" i="57"/>
  <c r="G255" i="57"/>
  <c r="E255" i="57"/>
  <c r="C255" i="57"/>
  <c r="M255" i="57" s="1"/>
  <c r="T253" i="57"/>
  <c r="Z193" i="50"/>
  <c r="W193" i="50"/>
  <c r="X193" i="50" s="1"/>
  <c r="AK254" i="55" a="1"/>
  <c r="AK254" i="55" s="1"/>
  <c r="B256" i="57" s="1"/>
  <c r="W183" i="32"/>
  <c r="X183" i="32" s="1"/>
  <c r="Z183" i="32"/>
  <c r="AN240" i="67" a="1"/>
  <c r="AN240" i="67" s="1"/>
  <c r="B241" i="69"/>
  <c r="L241" i="69" s="1"/>
  <c r="AE238" i="69"/>
  <c r="U238" i="69"/>
  <c r="Q238" i="69"/>
  <c r="R238" i="69"/>
  <c r="S238" i="69" s="1"/>
  <c r="Y238" i="69" s="1"/>
  <c r="AB238" i="69" s="1"/>
  <c r="AC238" i="69" s="1"/>
  <c r="AD238" i="69" s="1"/>
  <c r="D239" i="69"/>
  <c r="E239" i="69" s="1"/>
  <c r="F239" i="69" s="1"/>
  <c r="G239" i="69" s="1"/>
  <c r="H239" i="69" s="1"/>
  <c r="I239" i="69" s="1"/>
  <c r="J239" i="69" s="1"/>
  <c r="K239" i="69" s="1"/>
  <c r="M239" i="69" s="1"/>
  <c r="N239" i="69"/>
  <c r="AF239" i="69" s="1"/>
  <c r="P239" i="69"/>
  <c r="C240" i="69"/>
  <c r="AO240" i="69" s="1"/>
  <c r="O240" i="69"/>
  <c r="AN239" i="63" a="1"/>
  <c r="AN239" i="63" s="1"/>
  <c r="B240" i="65"/>
  <c r="L240" i="65" s="1"/>
  <c r="D238" i="65"/>
  <c r="E238" i="65" s="1"/>
  <c r="F238" i="65" s="1"/>
  <c r="G238" i="65" s="1"/>
  <c r="H238" i="65" s="1"/>
  <c r="I238" i="65" s="1"/>
  <c r="J238" i="65" s="1"/>
  <c r="K238" i="65" s="1"/>
  <c r="M238" i="65" s="1"/>
  <c r="N238" i="65"/>
  <c r="P238" i="65"/>
  <c r="C239" i="65"/>
  <c r="AM239" i="65" s="1"/>
  <c r="O239" i="65"/>
  <c r="R237" i="65"/>
  <c r="S237" i="65" s="1"/>
  <c r="Y237" i="65" s="1"/>
  <c r="AB237" i="65" s="1"/>
  <c r="AC237" i="65" s="1"/>
  <c r="AD237" i="65" s="1"/>
  <c r="U237" i="65"/>
  <c r="Q237" i="65"/>
  <c r="AL185" i="11" a="1"/>
  <c r="AL185" i="11" s="1"/>
  <c r="E186" i="32" s="1"/>
  <c r="AK186" i="32" s="1"/>
  <c r="AL195" i="59" a="1"/>
  <c r="AL195" i="59" s="1"/>
  <c r="E196" i="50" s="1"/>
  <c r="AK196" i="50" s="1"/>
  <c r="AM85" i="59" a="1"/>
  <c r="AM85" i="59" s="1"/>
  <c r="AM70" i="11" a="1"/>
  <c r="AM70" i="11" s="1"/>
  <c r="X254" i="53" l="1"/>
  <c r="AA254" i="53" s="1"/>
  <c r="AI192" i="50"/>
  <c r="AP192" i="50" s="1"/>
  <c r="AF238" i="65"/>
  <c r="AE238" i="65"/>
  <c r="AE255" i="57"/>
  <c r="R255" i="57"/>
  <c r="AE255" i="53"/>
  <c r="R255" i="53"/>
  <c r="AL182" i="32"/>
  <c r="AG193" i="50"/>
  <c r="AH193" i="50" s="1"/>
  <c r="AL193" i="50"/>
  <c r="AG183" i="32"/>
  <c r="AH183" i="32" s="1"/>
  <c r="AL183" i="32"/>
  <c r="AB252" i="57"/>
  <c r="AF252" i="57"/>
  <c r="AG238" i="69"/>
  <c r="AG237" i="65"/>
  <c r="P185" i="32"/>
  <c r="AG182" i="32"/>
  <c r="AH182" i="32" s="1"/>
  <c r="AX239" i="69"/>
  <c r="AA252" i="57"/>
  <c r="O256" i="57"/>
  <c r="AG256" i="57" s="1"/>
  <c r="L256" i="57"/>
  <c r="X253" i="57"/>
  <c r="O196" i="50"/>
  <c r="T196" i="50"/>
  <c r="T186" i="32"/>
  <c r="AM185" i="32"/>
  <c r="U185" i="32"/>
  <c r="AJ255" i="57"/>
  <c r="AC255" i="57"/>
  <c r="AP255" i="57"/>
  <c r="AM195" i="50"/>
  <c r="U195" i="50"/>
  <c r="AD184" i="32"/>
  <c r="AD194" i="50"/>
  <c r="AH238" i="65"/>
  <c r="AV238" i="65"/>
  <c r="AB253" i="53"/>
  <c r="AA253" i="53"/>
  <c r="AH255" i="53"/>
  <c r="AC255" i="53"/>
  <c r="AT255" i="53"/>
  <c r="AG255" i="53"/>
  <c r="N256" i="57"/>
  <c r="N256" i="53"/>
  <c r="AH239" i="69"/>
  <c r="AJ194" i="50"/>
  <c r="C194" i="50"/>
  <c r="AJ184" i="32"/>
  <c r="C184" i="32"/>
  <c r="AD255" i="57"/>
  <c r="Q255" i="53"/>
  <c r="AD255" i="53"/>
  <c r="V194" i="50"/>
  <c r="S195" i="50"/>
  <c r="S185" i="32"/>
  <c r="V185" i="32" s="1"/>
  <c r="L256" i="53"/>
  <c r="G256" i="53"/>
  <c r="P256" i="53"/>
  <c r="E256" i="53"/>
  <c r="K256" i="53"/>
  <c r="C256" i="53"/>
  <c r="D256" i="53"/>
  <c r="J256" i="53"/>
  <c r="AK255" i="52" a="1"/>
  <c r="AK255" i="52" s="1"/>
  <c r="B257" i="53" s="1"/>
  <c r="O257" i="53" s="1"/>
  <c r="I256" i="53"/>
  <c r="F256" i="53"/>
  <c r="H256" i="53"/>
  <c r="A186" i="32"/>
  <c r="B186" i="32"/>
  <c r="I196" i="50"/>
  <c r="F196" i="50"/>
  <c r="K196" i="50"/>
  <c r="G196" i="50"/>
  <c r="M196" i="50"/>
  <c r="N196" i="50"/>
  <c r="J196" i="50"/>
  <c r="A196" i="50"/>
  <c r="Q196" i="50" s="1"/>
  <c r="P196" i="50" s="1"/>
  <c r="B196" i="50"/>
  <c r="R196" i="50" s="1"/>
  <c r="H196" i="50"/>
  <c r="L196" i="50"/>
  <c r="I186" i="32"/>
  <c r="L186" i="32"/>
  <c r="M186" i="32"/>
  <c r="H186" i="32"/>
  <c r="F186" i="32"/>
  <c r="G186" i="32"/>
  <c r="J186" i="32"/>
  <c r="K186" i="32"/>
  <c r="O186" i="32"/>
  <c r="N186" i="32"/>
  <c r="T254" i="57"/>
  <c r="Z194" i="50"/>
  <c r="W194" i="50"/>
  <c r="X194" i="50" s="1"/>
  <c r="Q255" i="57"/>
  <c r="J256" i="57"/>
  <c r="F256" i="57"/>
  <c r="D256" i="57"/>
  <c r="I256" i="57"/>
  <c r="P256" i="57"/>
  <c r="E256" i="57"/>
  <c r="H256" i="57"/>
  <c r="C256" i="57"/>
  <c r="M256" i="57" s="1"/>
  <c r="G256" i="57"/>
  <c r="K256" i="57"/>
  <c r="AK255" i="55" a="1"/>
  <c r="AK255" i="55" s="1"/>
  <c r="B257" i="57" s="1"/>
  <c r="W184" i="32"/>
  <c r="X184" i="32" s="1"/>
  <c r="Z184" i="32"/>
  <c r="C241" i="69"/>
  <c r="AO241" i="69" s="1"/>
  <c r="O241" i="69"/>
  <c r="N240" i="69"/>
  <c r="AF240" i="69" s="1"/>
  <c r="D240" i="69"/>
  <c r="E240" i="69" s="1"/>
  <c r="F240" i="69" s="1"/>
  <c r="G240" i="69" s="1"/>
  <c r="H240" i="69" s="1"/>
  <c r="I240" i="69" s="1"/>
  <c r="J240" i="69" s="1"/>
  <c r="K240" i="69" s="1"/>
  <c r="M240" i="69" s="1"/>
  <c r="P240" i="69"/>
  <c r="U239" i="69"/>
  <c r="AE239" i="69"/>
  <c r="Q239" i="69"/>
  <c r="R239" i="69"/>
  <c r="S239" i="69" s="1"/>
  <c r="Y239" i="69" s="1"/>
  <c r="AB239" i="69" s="1"/>
  <c r="AC239" i="69" s="1"/>
  <c r="AD239" i="69" s="1"/>
  <c r="AN241" i="67" a="1"/>
  <c r="AN241" i="67" s="1"/>
  <c r="B242" i="69"/>
  <c r="L242" i="69" s="1"/>
  <c r="AN240" i="63" a="1"/>
  <c r="AN240" i="63" s="1"/>
  <c r="B241" i="65"/>
  <c r="L241" i="65" s="1"/>
  <c r="C240" i="65"/>
  <c r="AM240" i="65" s="1"/>
  <c r="O240" i="65"/>
  <c r="P239" i="65"/>
  <c r="D239" i="65"/>
  <c r="E239" i="65" s="1"/>
  <c r="F239" i="65" s="1"/>
  <c r="G239" i="65" s="1"/>
  <c r="H239" i="65" s="1"/>
  <c r="I239" i="65" s="1"/>
  <c r="J239" i="65" s="1"/>
  <c r="K239" i="65" s="1"/>
  <c r="M239" i="65" s="1"/>
  <c r="N239" i="65"/>
  <c r="U238" i="65"/>
  <c r="R238" i="65"/>
  <c r="S238" i="65" s="1"/>
  <c r="Y238" i="65" s="1"/>
  <c r="AB238" i="65" s="1"/>
  <c r="AC238" i="65" s="1"/>
  <c r="AD238" i="65" s="1"/>
  <c r="Q238" i="65"/>
  <c r="AL186" i="11" a="1"/>
  <c r="AL186" i="11" s="1"/>
  <c r="E187" i="32" s="1"/>
  <c r="AK187" i="32" s="1"/>
  <c r="AL196" i="59" a="1"/>
  <c r="AL196" i="59" s="1"/>
  <c r="E197" i="50" s="1"/>
  <c r="AK197" i="50" s="1"/>
  <c r="AM86" i="59" a="1"/>
  <c r="AM86" i="59" s="1"/>
  <c r="AM71" i="11" a="1"/>
  <c r="AM71" i="11" s="1"/>
  <c r="AB254" i="53" l="1"/>
  <c r="AF254" i="53"/>
  <c r="AI183" i="32"/>
  <c r="AN183" i="32" s="1"/>
  <c r="AI193" i="50"/>
  <c r="AP193" i="50" s="1"/>
  <c r="AF239" i="65"/>
  <c r="AE239" i="65"/>
  <c r="AE256" i="57"/>
  <c r="R256" i="57"/>
  <c r="AE256" i="53"/>
  <c r="R256" i="53"/>
  <c r="AG194" i="50"/>
  <c r="AH194" i="50" s="1"/>
  <c r="AL194" i="50"/>
  <c r="AG184" i="32"/>
  <c r="AH184" i="32" s="1"/>
  <c r="AL184" i="32"/>
  <c r="AB253" i="57"/>
  <c r="AF253" i="57"/>
  <c r="AG239" i="69"/>
  <c r="AG238" i="65"/>
  <c r="P186" i="32"/>
  <c r="AI182" i="32"/>
  <c r="AN182" i="32" s="1"/>
  <c r="AX240" i="69"/>
  <c r="O257" i="57"/>
  <c r="AG257" i="57" s="1"/>
  <c r="L257" i="57"/>
  <c r="AA253" i="57"/>
  <c r="T197" i="50"/>
  <c r="O197" i="50"/>
  <c r="T187" i="32"/>
  <c r="X254" i="57"/>
  <c r="AJ256" i="57"/>
  <c r="AC256" i="57"/>
  <c r="AP256" i="57"/>
  <c r="AM196" i="50"/>
  <c r="U196" i="50"/>
  <c r="AM186" i="32"/>
  <c r="U186" i="32"/>
  <c r="AD195" i="50"/>
  <c r="AD185" i="32"/>
  <c r="AH239" i="65"/>
  <c r="AV239" i="65"/>
  <c r="AH256" i="53"/>
  <c r="AC256" i="53"/>
  <c r="AT256" i="53"/>
  <c r="AG256" i="53"/>
  <c r="N257" i="57"/>
  <c r="X255" i="53"/>
  <c r="AF255" i="53" s="1"/>
  <c r="N257" i="53"/>
  <c r="AH240" i="69"/>
  <c r="AJ195" i="50"/>
  <c r="C195" i="50"/>
  <c r="AJ185" i="32"/>
  <c r="C185" i="32"/>
  <c r="AD256" i="57"/>
  <c r="Q256" i="53"/>
  <c r="AD256" i="53"/>
  <c r="V195" i="50"/>
  <c r="S196" i="50"/>
  <c r="S186" i="32"/>
  <c r="V186" i="32" s="1"/>
  <c r="J257" i="53"/>
  <c r="F257" i="53"/>
  <c r="AK256" i="52" a="1"/>
  <c r="AK256" i="52" s="1"/>
  <c r="AK257" i="52" s="1" a="1"/>
  <c r="AK257" i="52" s="1"/>
  <c r="L257" i="53"/>
  <c r="K257" i="53"/>
  <c r="D257" i="53"/>
  <c r="E257" i="53"/>
  <c r="H257" i="53"/>
  <c r="I257" i="53"/>
  <c r="P257" i="53"/>
  <c r="P258" i="53" s="1"/>
  <c r="G257" i="53"/>
  <c r="C257" i="53"/>
  <c r="A187" i="32"/>
  <c r="B187" i="32"/>
  <c r="K197" i="50"/>
  <c r="A197" i="50"/>
  <c r="Q197" i="50" s="1"/>
  <c r="P197" i="50" s="1"/>
  <c r="M197" i="50"/>
  <c r="G197" i="50"/>
  <c r="N197" i="50"/>
  <c r="J197" i="50"/>
  <c r="B197" i="50"/>
  <c r="R197" i="50" s="1"/>
  <c r="L197" i="50"/>
  <c r="F197" i="50"/>
  <c r="H197" i="50"/>
  <c r="I197" i="50"/>
  <c r="G187" i="32"/>
  <c r="O187" i="32"/>
  <c r="J187" i="32"/>
  <c r="K187" i="32"/>
  <c r="F187" i="32"/>
  <c r="N187" i="32"/>
  <c r="H187" i="32"/>
  <c r="I187" i="32"/>
  <c r="L187" i="32"/>
  <c r="M187" i="32"/>
  <c r="T255" i="57"/>
  <c r="H257" i="57"/>
  <c r="F257" i="57"/>
  <c r="D257" i="57"/>
  <c r="P257" i="57"/>
  <c r="P258" i="57" s="1"/>
  <c r="C257" i="57"/>
  <c r="M257" i="57" s="1"/>
  <c r="I257" i="57"/>
  <c r="E257" i="57"/>
  <c r="J257" i="57"/>
  <c r="K257" i="57"/>
  <c r="G257" i="57"/>
  <c r="Q256" i="57"/>
  <c r="Z195" i="50"/>
  <c r="W195" i="50"/>
  <c r="X195" i="50" s="1"/>
  <c r="AK256" i="55" a="1"/>
  <c r="AK256" i="55" s="1"/>
  <c r="AK257" i="55" s="1" a="1"/>
  <c r="AK257" i="55" s="1"/>
  <c r="W185" i="32"/>
  <c r="X185" i="32" s="1"/>
  <c r="Z185" i="32"/>
  <c r="AN242" i="67" a="1"/>
  <c r="AN242" i="67" s="1"/>
  <c r="B243" i="69"/>
  <c r="L243" i="69" s="1"/>
  <c r="Q240" i="69"/>
  <c r="R240" i="69"/>
  <c r="S240" i="69" s="1"/>
  <c r="Y240" i="69" s="1"/>
  <c r="AB240" i="69" s="1"/>
  <c r="AC240" i="69" s="1"/>
  <c r="AD240" i="69" s="1"/>
  <c r="U240" i="69"/>
  <c r="AE240" i="69"/>
  <c r="O242" i="69"/>
  <c r="C242" i="69"/>
  <c r="AO242" i="69" s="1"/>
  <c r="D241" i="69"/>
  <c r="E241" i="69" s="1"/>
  <c r="F241" i="69" s="1"/>
  <c r="G241" i="69" s="1"/>
  <c r="H241" i="69" s="1"/>
  <c r="I241" i="69" s="1"/>
  <c r="J241" i="69" s="1"/>
  <c r="K241" i="69" s="1"/>
  <c r="M241" i="69" s="1"/>
  <c r="P241" i="69"/>
  <c r="N241" i="69"/>
  <c r="AF241" i="69" s="1"/>
  <c r="AN241" i="63" a="1"/>
  <c r="AN241" i="63" s="1"/>
  <c r="B242" i="65"/>
  <c r="L242" i="65" s="1"/>
  <c r="P240" i="65"/>
  <c r="D240" i="65"/>
  <c r="E240" i="65" s="1"/>
  <c r="F240" i="65" s="1"/>
  <c r="G240" i="65" s="1"/>
  <c r="H240" i="65" s="1"/>
  <c r="I240" i="65" s="1"/>
  <c r="J240" i="65" s="1"/>
  <c r="K240" i="65" s="1"/>
  <c r="M240" i="65" s="1"/>
  <c r="N240" i="65"/>
  <c r="C241" i="65"/>
  <c r="AM241" i="65" s="1"/>
  <c r="O241" i="65"/>
  <c r="U239" i="65"/>
  <c r="R239" i="65"/>
  <c r="S239" i="65" s="1"/>
  <c r="Y239" i="65" s="1"/>
  <c r="AB239" i="65" s="1"/>
  <c r="AC239" i="65" s="1"/>
  <c r="AD239" i="65" s="1"/>
  <c r="Q239" i="65"/>
  <c r="AL187" i="11" a="1"/>
  <c r="AL187" i="11" s="1"/>
  <c r="AL197" i="59" a="1"/>
  <c r="AL197" i="59" s="1"/>
  <c r="E198" i="50" s="1"/>
  <c r="AK198" i="50" s="1"/>
  <c r="AM87" i="59" a="1"/>
  <c r="AM87" i="59" s="1"/>
  <c r="AM72" i="11" a="1"/>
  <c r="AM72" i="11" s="1"/>
  <c r="X256" i="53" l="1"/>
  <c r="AF256" i="53" s="1"/>
  <c r="AI184" i="32"/>
  <c r="AN184" i="32" s="1"/>
  <c r="AI194" i="50"/>
  <c r="AP194" i="50" s="1"/>
  <c r="AF240" i="65"/>
  <c r="AE240" i="65"/>
  <c r="AE257" i="57"/>
  <c r="R257" i="57"/>
  <c r="AE257" i="53"/>
  <c r="R257" i="53"/>
  <c r="AG195" i="50"/>
  <c r="AH195" i="50" s="1"/>
  <c r="AL195" i="50"/>
  <c r="AG185" i="32"/>
  <c r="AH185" i="32" s="1"/>
  <c r="AL185" i="32"/>
  <c r="AB254" i="57"/>
  <c r="AF254" i="57"/>
  <c r="AG240" i="69"/>
  <c r="AG239" i="65"/>
  <c r="P187" i="32"/>
  <c r="Z157" i="22"/>
  <c r="Z156" i="22"/>
  <c r="Z147" i="22"/>
  <c r="Z158" i="22"/>
  <c r="Z155" i="22"/>
  <c r="Z150" i="22"/>
  <c r="Z152" i="22"/>
  <c r="Z153" i="22"/>
  <c r="Z148" i="22"/>
  <c r="Z154" i="22"/>
  <c r="Z151" i="22"/>
  <c r="Z149" i="22"/>
  <c r="Z159" i="22"/>
  <c r="Y155" i="22"/>
  <c r="Y156" i="22"/>
  <c r="Y149" i="22"/>
  <c r="Y150" i="22"/>
  <c r="Y154" i="22"/>
  <c r="Y147" i="22"/>
  <c r="AA147" i="22" s="1"/>
  <c r="E119" i="36" s="1"/>
  <c r="G119" i="36" s="1"/>
  <c r="Y152" i="22"/>
  <c r="Y157" i="22"/>
  <c r="Y158" i="22"/>
  <c r="Y151" i="22"/>
  <c r="Y159" i="22"/>
  <c r="Y148" i="22"/>
  <c r="Y153" i="22"/>
  <c r="N151" i="22"/>
  <c r="P151" i="22" s="1"/>
  <c r="M151" i="22"/>
  <c r="O151" i="22" s="1"/>
  <c r="M147" i="22"/>
  <c r="O147" i="22" s="1"/>
  <c r="M159" i="22"/>
  <c r="O159" i="22" s="1"/>
  <c r="N153" i="22"/>
  <c r="P153" i="22" s="1"/>
  <c r="N155" i="22"/>
  <c r="P155" i="22" s="1"/>
  <c r="M152" i="22"/>
  <c r="O152" i="22" s="1"/>
  <c r="M153" i="22"/>
  <c r="O153" i="22" s="1"/>
  <c r="M156" i="22"/>
  <c r="O156" i="22" s="1"/>
  <c r="N148" i="22"/>
  <c r="P148" i="22" s="1"/>
  <c r="N152" i="22"/>
  <c r="P152" i="22" s="1"/>
  <c r="N150" i="22"/>
  <c r="P150" i="22" s="1"/>
  <c r="N156" i="22"/>
  <c r="P156" i="22" s="1"/>
  <c r="N158" i="22"/>
  <c r="P158" i="22" s="1"/>
  <c r="M149" i="22"/>
  <c r="O149" i="22" s="1"/>
  <c r="N159" i="22"/>
  <c r="P159" i="22" s="1"/>
  <c r="M158" i="22"/>
  <c r="O158" i="22" s="1"/>
  <c r="M157" i="22"/>
  <c r="O157" i="22" s="1"/>
  <c r="M150" i="22"/>
  <c r="O150" i="22" s="1"/>
  <c r="M148" i="22"/>
  <c r="O148" i="22" s="1"/>
  <c r="M155" i="22"/>
  <c r="O155" i="22" s="1"/>
  <c r="N157" i="22"/>
  <c r="P157" i="22" s="1"/>
  <c r="N154" i="22"/>
  <c r="P154" i="22" s="1"/>
  <c r="M154" i="22"/>
  <c r="O154" i="22" s="1"/>
  <c r="N149" i="22"/>
  <c r="P149" i="22" s="1"/>
  <c r="N147" i="22"/>
  <c r="P147" i="22" s="1"/>
  <c r="AX241" i="69"/>
  <c r="T198" i="50"/>
  <c r="O198" i="50"/>
  <c r="AA254" i="57"/>
  <c r="AM197" i="50"/>
  <c r="U197" i="50"/>
  <c r="X255" i="57"/>
  <c r="AF255" i="57" s="1"/>
  <c r="AD186" i="32"/>
  <c r="AM187" i="32"/>
  <c r="U187" i="32"/>
  <c r="AJ257" i="57"/>
  <c r="AC257" i="57"/>
  <c r="AP257" i="57"/>
  <c r="AD196" i="50"/>
  <c r="AH240" i="65"/>
  <c r="AV240" i="65"/>
  <c r="AG257" i="53"/>
  <c r="AH257" i="53"/>
  <c r="AH258" i="53" s="1"/>
  <c r="H13" i="73" s="1"/>
  <c r="H17" i="73" s="1"/>
  <c r="AC257" i="53"/>
  <c r="AT257" i="53"/>
  <c r="AB255" i="53"/>
  <c r="AA255" i="53"/>
  <c r="AH241" i="69"/>
  <c r="AJ196" i="50"/>
  <c r="C196" i="50"/>
  <c r="AJ186" i="32"/>
  <c r="C186" i="32"/>
  <c r="AD257" i="57"/>
  <c r="Q257" i="53"/>
  <c r="AD257" i="53"/>
  <c r="S197" i="50"/>
  <c r="V196" i="50"/>
  <c r="S187" i="32"/>
  <c r="V187" i="32" s="1"/>
  <c r="A198" i="50"/>
  <c r="Q198" i="50" s="1"/>
  <c r="P198" i="50" s="1"/>
  <c r="N198" i="50"/>
  <c r="I198" i="50"/>
  <c r="F198" i="50"/>
  <c r="J198" i="50"/>
  <c r="G198" i="50"/>
  <c r="L198" i="50"/>
  <c r="H198" i="50"/>
  <c r="B198" i="50"/>
  <c r="R198" i="50" s="1"/>
  <c r="M198" i="50"/>
  <c r="K198" i="50"/>
  <c r="T256" i="57"/>
  <c r="Q257" i="57"/>
  <c r="Z196" i="50"/>
  <c r="W196" i="50"/>
  <c r="X196" i="50" s="1"/>
  <c r="E188" i="32"/>
  <c r="AK188" i="32" s="1"/>
  <c r="W186" i="32"/>
  <c r="X186" i="32" s="1"/>
  <c r="Z186" i="32"/>
  <c r="Q241" i="69"/>
  <c r="U241" i="69"/>
  <c r="AE241" i="69"/>
  <c r="R241" i="69"/>
  <c r="S241" i="69" s="1"/>
  <c r="Y241" i="69" s="1"/>
  <c r="AB241" i="69" s="1"/>
  <c r="AC241" i="69" s="1"/>
  <c r="AD241" i="69" s="1"/>
  <c r="P242" i="69"/>
  <c r="D242" i="69"/>
  <c r="E242" i="69" s="1"/>
  <c r="F242" i="69" s="1"/>
  <c r="G242" i="69" s="1"/>
  <c r="H242" i="69" s="1"/>
  <c r="I242" i="69" s="1"/>
  <c r="J242" i="69" s="1"/>
  <c r="K242" i="69" s="1"/>
  <c r="M242" i="69" s="1"/>
  <c r="N242" i="69"/>
  <c r="AF242" i="69" s="1"/>
  <c r="C243" i="69"/>
  <c r="AO243" i="69" s="1"/>
  <c r="O243" i="69"/>
  <c r="AN243" i="67" a="1"/>
  <c r="AN243" i="67" s="1"/>
  <c r="B244" i="69"/>
  <c r="L244" i="69" s="1"/>
  <c r="AN242" i="63" a="1"/>
  <c r="AN242" i="63" s="1"/>
  <c r="B243" i="65"/>
  <c r="L243" i="65" s="1"/>
  <c r="C242" i="65"/>
  <c r="AM242" i="65" s="1"/>
  <c r="O242" i="65"/>
  <c r="D241" i="65"/>
  <c r="E241" i="65" s="1"/>
  <c r="F241" i="65" s="1"/>
  <c r="G241" i="65" s="1"/>
  <c r="H241" i="65" s="1"/>
  <c r="I241" i="65" s="1"/>
  <c r="J241" i="65" s="1"/>
  <c r="K241" i="65" s="1"/>
  <c r="M241" i="65" s="1"/>
  <c r="P241" i="65"/>
  <c r="N241" i="65"/>
  <c r="R240" i="65"/>
  <c r="S240" i="65" s="1"/>
  <c r="Y240" i="65" s="1"/>
  <c r="AB240" i="65" s="1"/>
  <c r="AC240" i="65" s="1"/>
  <c r="AD240" i="65" s="1"/>
  <c r="Q240" i="65"/>
  <c r="U240" i="65"/>
  <c r="AL188" i="11" a="1"/>
  <c r="AL188" i="11" s="1"/>
  <c r="E189" i="32" s="1"/>
  <c r="AK189" i="32" s="1"/>
  <c r="AL198" i="59" a="1"/>
  <c r="AL198" i="59" s="1"/>
  <c r="E199" i="50" s="1"/>
  <c r="AK199" i="50" s="1"/>
  <c r="AM88" i="59" a="1"/>
  <c r="AM88" i="59" s="1"/>
  <c r="AM73" i="11" a="1"/>
  <c r="AM73" i="11" s="1"/>
  <c r="AB256" i="53" l="1"/>
  <c r="AA256" i="53"/>
  <c r="AI185" i="32"/>
  <c r="AN185" i="32" s="1"/>
  <c r="AI195" i="50"/>
  <c r="AP195" i="50" s="1"/>
  <c r="AF241" i="65"/>
  <c r="AE241" i="65"/>
  <c r="AG196" i="50"/>
  <c r="AH196" i="50" s="1"/>
  <c r="AL196" i="50"/>
  <c r="AG186" i="32"/>
  <c r="AH186" i="32" s="1"/>
  <c r="AL186" i="32"/>
  <c r="AG241" i="69"/>
  <c r="AG240" i="65"/>
  <c r="Q154" i="22"/>
  <c r="E106" i="36"/>
  <c r="R159" i="22"/>
  <c r="F111" i="36"/>
  <c r="Q159" i="22"/>
  <c r="E111" i="36"/>
  <c r="Q150" i="22"/>
  <c r="E102" i="36"/>
  <c r="R152" i="22"/>
  <c r="F104" i="36"/>
  <c r="Q147" i="22"/>
  <c r="E99" i="36"/>
  <c r="R147" i="22"/>
  <c r="F99" i="36"/>
  <c r="R157" i="22"/>
  <c r="F109" i="36"/>
  <c r="Q157" i="22"/>
  <c r="E109" i="36"/>
  <c r="R158" i="22"/>
  <c r="F110" i="36"/>
  <c r="R148" i="22"/>
  <c r="F100" i="36"/>
  <c r="R155" i="22"/>
  <c r="F107" i="36"/>
  <c r="Q151" i="22"/>
  <c r="E103" i="36"/>
  <c r="Q148" i="22"/>
  <c r="E100" i="36"/>
  <c r="R150" i="22"/>
  <c r="F102" i="36"/>
  <c r="Q153" i="22"/>
  <c r="E105" i="36"/>
  <c r="R154" i="22"/>
  <c r="F106" i="36"/>
  <c r="Q149" i="22"/>
  <c r="E101" i="36"/>
  <c r="Q152" i="22"/>
  <c r="E104" i="36"/>
  <c r="R149" i="22"/>
  <c r="F101" i="36"/>
  <c r="Q155" i="22"/>
  <c r="E107" i="36"/>
  <c r="Q158" i="22"/>
  <c r="E110" i="36"/>
  <c r="R156" i="22"/>
  <c r="F108" i="36"/>
  <c r="Q156" i="22"/>
  <c r="E108" i="36"/>
  <c r="R153" i="22"/>
  <c r="F105" i="36"/>
  <c r="R151" i="22"/>
  <c r="F103" i="36"/>
  <c r="AX242" i="69"/>
  <c r="T199" i="50"/>
  <c r="O199" i="50"/>
  <c r="T189" i="32"/>
  <c r="T188" i="32"/>
  <c r="AB255" i="57"/>
  <c r="AA255" i="57"/>
  <c r="X256" i="57"/>
  <c r="AF256" i="57" s="1"/>
  <c r="AM198" i="50"/>
  <c r="U198" i="50"/>
  <c r="AD197" i="50"/>
  <c r="AD187" i="32"/>
  <c r="AH241" i="65"/>
  <c r="AV241" i="65"/>
  <c r="X257" i="53"/>
  <c r="AF257" i="53" s="1"/>
  <c r="AH242" i="69"/>
  <c r="AJ197" i="50"/>
  <c r="C197" i="50"/>
  <c r="AJ187" i="32"/>
  <c r="C187" i="32"/>
  <c r="S198" i="50"/>
  <c r="V197" i="50"/>
  <c r="A189" i="32"/>
  <c r="B189" i="32"/>
  <c r="A188" i="32"/>
  <c r="B188" i="32"/>
  <c r="K199" i="50"/>
  <c r="M199" i="50"/>
  <c r="I199" i="50"/>
  <c r="A199" i="50"/>
  <c r="Q199" i="50" s="1"/>
  <c r="P199" i="50" s="1"/>
  <c r="G199" i="50"/>
  <c r="H199" i="50"/>
  <c r="J199" i="50"/>
  <c r="L199" i="50"/>
  <c r="B199" i="50"/>
  <c r="R199" i="50" s="1"/>
  <c r="N199" i="50"/>
  <c r="F199" i="50"/>
  <c r="K189" i="32"/>
  <c r="F189" i="32"/>
  <c r="N189" i="32"/>
  <c r="G189" i="32"/>
  <c r="O189" i="32"/>
  <c r="J189" i="32"/>
  <c r="H189" i="32"/>
  <c r="I189" i="32"/>
  <c r="L189" i="32"/>
  <c r="M189" i="32"/>
  <c r="M188" i="32"/>
  <c r="H188" i="32"/>
  <c r="I188" i="32"/>
  <c r="L188" i="32"/>
  <c r="N188" i="32"/>
  <c r="O188" i="32"/>
  <c r="F188" i="32"/>
  <c r="G188" i="32"/>
  <c r="K188" i="32"/>
  <c r="J188" i="32"/>
  <c r="T257" i="57"/>
  <c r="W197" i="50"/>
  <c r="X197" i="50" s="1"/>
  <c r="Z197" i="50"/>
  <c r="AJ258" i="57"/>
  <c r="H25" i="73" s="1"/>
  <c r="H29" i="73" s="1"/>
  <c r="H33" i="73" s="1"/>
  <c r="W187" i="32"/>
  <c r="X187" i="32" s="1"/>
  <c r="Z187" i="32"/>
  <c r="AN244" i="67" a="1"/>
  <c r="AN244" i="67" s="1"/>
  <c r="B245" i="69"/>
  <c r="L245" i="69" s="1"/>
  <c r="N243" i="69"/>
  <c r="AF243" i="69" s="1"/>
  <c r="P243" i="69"/>
  <c r="D243" i="69"/>
  <c r="E243" i="69" s="1"/>
  <c r="F243" i="69" s="1"/>
  <c r="G243" i="69" s="1"/>
  <c r="H243" i="69" s="1"/>
  <c r="I243" i="69" s="1"/>
  <c r="J243" i="69" s="1"/>
  <c r="K243" i="69" s="1"/>
  <c r="M243" i="69" s="1"/>
  <c r="Q242" i="69"/>
  <c r="AE242" i="69"/>
  <c r="U242" i="69"/>
  <c r="R242" i="69"/>
  <c r="S242" i="69" s="1"/>
  <c r="Y242" i="69" s="1"/>
  <c r="AB242" i="69" s="1"/>
  <c r="AC242" i="69" s="1"/>
  <c r="AD242" i="69" s="1"/>
  <c r="O244" i="69"/>
  <c r="C244" i="69"/>
  <c r="AO244" i="69" s="1"/>
  <c r="AN243" i="63" a="1"/>
  <c r="AN243" i="63" s="1"/>
  <c r="B244" i="65"/>
  <c r="L244" i="65" s="1"/>
  <c r="P242" i="65"/>
  <c r="N242" i="65"/>
  <c r="D242" i="65"/>
  <c r="E242" i="65" s="1"/>
  <c r="F242" i="65" s="1"/>
  <c r="G242" i="65" s="1"/>
  <c r="H242" i="65" s="1"/>
  <c r="I242" i="65" s="1"/>
  <c r="J242" i="65" s="1"/>
  <c r="K242" i="65" s="1"/>
  <c r="M242" i="65" s="1"/>
  <c r="C243" i="65"/>
  <c r="AM243" i="65" s="1"/>
  <c r="O243" i="65"/>
  <c r="U241" i="65"/>
  <c r="Q241" i="65"/>
  <c r="R241" i="65"/>
  <c r="S241" i="65" s="1"/>
  <c r="Y241" i="65" s="1"/>
  <c r="AB241" i="65" s="1"/>
  <c r="AC241" i="65" s="1"/>
  <c r="AD241" i="65" s="1"/>
  <c r="AL189" i="11" a="1"/>
  <c r="AL189" i="11" s="1"/>
  <c r="E190" i="32" s="1"/>
  <c r="AK190" i="32" s="1"/>
  <c r="AL199" i="59" a="1"/>
  <c r="AL199" i="59" s="1"/>
  <c r="E200" i="50" s="1"/>
  <c r="AK200" i="50" s="1"/>
  <c r="AM89" i="59" a="1"/>
  <c r="AM89" i="59" s="1"/>
  <c r="AM74" i="11" a="1"/>
  <c r="AM74" i="11" s="1"/>
  <c r="H11" i="36" l="1"/>
  <c r="AI186" i="32"/>
  <c r="AN186" i="32" s="1"/>
  <c r="AI196" i="50"/>
  <c r="AP196" i="50" s="1"/>
  <c r="AF242" i="65"/>
  <c r="AE242" i="65"/>
  <c r="AG197" i="50"/>
  <c r="AH197" i="50" s="1"/>
  <c r="AL197" i="50"/>
  <c r="AG187" i="32"/>
  <c r="AH187" i="32" s="1"/>
  <c r="AL187" i="32"/>
  <c r="AG242" i="69"/>
  <c r="AG241" i="65"/>
  <c r="P188" i="32"/>
  <c r="P189" i="32"/>
  <c r="G108" i="36"/>
  <c r="G110" i="36"/>
  <c r="H101" i="36"/>
  <c r="G101" i="36"/>
  <c r="G100" i="36"/>
  <c r="H107" i="36"/>
  <c r="H110" i="36"/>
  <c r="H109" i="36"/>
  <c r="E139" i="36"/>
  <c r="G99" i="36"/>
  <c r="G139" i="36" s="1"/>
  <c r="G102" i="36"/>
  <c r="H111" i="36"/>
  <c r="H105" i="36"/>
  <c r="H108" i="36"/>
  <c r="G107" i="36"/>
  <c r="G104" i="36"/>
  <c r="H106" i="36"/>
  <c r="H102" i="36"/>
  <c r="G103" i="36"/>
  <c r="H100" i="36"/>
  <c r="G109" i="36"/>
  <c r="H99" i="36"/>
  <c r="H104" i="36"/>
  <c r="G111" i="36"/>
  <c r="G106" i="36"/>
  <c r="H103" i="36"/>
  <c r="G105" i="36"/>
  <c r="AX243" i="69"/>
  <c r="T200" i="50"/>
  <c r="O200" i="50"/>
  <c r="T190" i="32"/>
  <c r="X257" i="57"/>
  <c r="AD198" i="50"/>
  <c r="AM189" i="32"/>
  <c r="U189" i="32"/>
  <c r="AM188" i="32"/>
  <c r="U188" i="32"/>
  <c r="AB256" i="57"/>
  <c r="AA256" i="57"/>
  <c r="AM199" i="50"/>
  <c r="U199" i="50"/>
  <c r="X2" i="53"/>
  <c r="AH242" i="65"/>
  <c r="AV242" i="65"/>
  <c r="AB257" i="53"/>
  <c r="AA257" i="53"/>
  <c r="AH243" i="69"/>
  <c r="AJ198" i="50"/>
  <c r="C198" i="50"/>
  <c r="S199" i="50"/>
  <c r="V198" i="50"/>
  <c r="S189" i="32"/>
  <c r="V189" i="32" s="1"/>
  <c r="S188" i="32"/>
  <c r="V188" i="32" s="1"/>
  <c r="A190" i="32"/>
  <c r="B190" i="32"/>
  <c r="L200" i="50"/>
  <c r="M200" i="50"/>
  <c r="G200" i="50"/>
  <c r="B200" i="50"/>
  <c r="R200" i="50" s="1"/>
  <c r="N200" i="50"/>
  <c r="F200" i="50"/>
  <c r="H200" i="50"/>
  <c r="I200" i="50"/>
  <c r="J200" i="50"/>
  <c r="K200" i="50"/>
  <c r="A200" i="50"/>
  <c r="Q200" i="50" s="1"/>
  <c r="P200" i="50" s="1"/>
  <c r="I190" i="32"/>
  <c r="L190" i="32"/>
  <c r="M190" i="32"/>
  <c r="H190" i="32"/>
  <c r="J190" i="32"/>
  <c r="K190" i="32"/>
  <c r="N190" i="32"/>
  <c r="O190" i="32"/>
  <c r="F190" i="32"/>
  <c r="G190" i="32"/>
  <c r="Z198" i="50"/>
  <c r="W198" i="50"/>
  <c r="X198" i="50" s="1"/>
  <c r="AN245" i="67" a="1"/>
  <c r="AN245" i="67" s="1"/>
  <c r="B246" i="69"/>
  <c r="L246" i="69" s="1"/>
  <c r="O245" i="69"/>
  <c r="C245" i="69"/>
  <c r="AO245" i="69" s="1"/>
  <c r="D244" i="69"/>
  <c r="E244" i="69" s="1"/>
  <c r="F244" i="69" s="1"/>
  <c r="G244" i="69" s="1"/>
  <c r="H244" i="69" s="1"/>
  <c r="I244" i="69" s="1"/>
  <c r="J244" i="69" s="1"/>
  <c r="K244" i="69" s="1"/>
  <c r="M244" i="69" s="1"/>
  <c r="N244" i="69"/>
  <c r="AF244" i="69" s="1"/>
  <c r="P244" i="69"/>
  <c r="R243" i="69"/>
  <c r="S243" i="69" s="1"/>
  <c r="Y243" i="69" s="1"/>
  <c r="AB243" i="69" s="1"/>
  <c r="AC243" i="69" s="1"/>
  <c r="AD243" i="69" s="1"/>
  <c r="AE243" i="69"/>
  <c r="Q243" i="69"/>
  <c r="U243" i="69"/>
  <c r="AN244" i="63" a="1"/>
  <c r="AN244" i="63" s="1"/>
  <c r="B245" i="65"/>
  <c r="L245" i="65" s="1"/>
  <c r="C244" i="65"/>
  <c r="AM244" i="65" s="1"/>
  <c r="O244" i="65"/>
  <c r="P243" i="65"/>
  <c r="D243" i="65"/>
  <c r="E243" i="65" s="1"/>
  <c r="F243" i="65" s="1"/>
  <c r="G243" i="65" s="1"/>
  <c r="H243" i="65" s="1"/>
  <c r="I243" i="65" s="1"/>
  <c r="J243" i="65" s="1"/>
  <c r="K243" i="65" s="1"/>
  <c r="M243" i="65" s="1"/>
  <c r="N243" i="65"/>
  <c r="Q242" i="65"/>
  <c r="R242" i="65"/>
  <c r="S242" i="65" s="1"/>
  <c r="Y242" i="65" s="1"/>
  <c r="AB242" i="65" s="1"/>
  <c r="AC242" i="65" s="1"/>
  <c r="AD242" i="65" s="1"/>
  <c r="U242" i="65"/>
  <c r="AL190" i="11" a="1"/>
  <c r="AL190" i="11" s="1"/>
  <c r="E191" i="32" s="1"/>
  <c r="AK191" i="32" s="1"/>
  <c r="AL200" i="59" a="1"/>
  <c r="AL200" i="59" s="1"/>
  <c r="E201" i="50" s="1"/>
  <c r="AK201" i="50" s="1"/>
  <c r="AM90" i="59" a="1"/>
  <c r="AM90" i="59" s="1"/>
  <c r="AM75" i="11" a="1"/>
  <c r="AM75" i="11" s="1"/>
  <c r="X2" i="57" l="1"/>
  <c r="AI187" i="32"/>
  <c r="AN187" i="32" s="1"/>
  <c r="AI197" i="50"/>
  <c r="AP197" i="50" s="1"/>
  <c r="AF243" i="65"/>
  <c r="AE243" i="65"/>
  <c r="AG198" i="50"/>
  <c r="AH198" i="50" s="1"/>
  <c r="AL198" i="50"/>
  <c r="AB257" i="57"/>
  <c r="AF257" i="57"/>
  <c r="AG243" i="69"/>
  <c r="AG242" i="65"/>
  <c r="P190" i="32"/>
  <c r="AX244" i="69"/>
  <c r="O201" i="50"/>
  <c r="T201" i="50"/>
  <c r="T191" i="32"/>
  <c r="AA257" i="57"/>
  <c r="AD189" i="32"/>
  <c r="AD199" i="50"/>
  <c r="AM200" i="50"/>
  <c r="U200" i="50"/>
  <c r="AM190" i="32"/>
  <c r="U190" i="32"/>
  <c r="AD188" i="32"/>
  <c r="AH243" i="65"/>
  <c r="AV243" i="65"/>
  <c r="AH244" i="69"/>
  <c r="AJ199" i="50"/>
  <c r="C199" i="50"/>
  <c r="AJ189" i="32"/>
  <c r="C189" i="32"/>
  <c r="AJ188" i="32"/>
  <c r="C188" i="32"/>
  <c r="S200" i="50"/>
  <c r="V199" i="50"/>
  <c r="S190" i="32"/>
  <c r="A191" i="32"/>
  <c r="B191" i="32"/>
  <c r="H201" i="50"/>
  <c r="B201" i="50"/>
  <c r="R201" i="50" s="1"/>
  <c r="I201" i="50"/>
  <c r="M201" i="50"/>
  <c r="J201" i="50"/>
  <c r="A201" i="50"/>
  <c r="Q201" i="50" s="1"/>
  <c r="P201" i="50" s="1"/>
  <c r="G201" i="50"/>
  <c r="K201" i="50"/>
  <c r="F201" i="50"/>
  <c r="L201" i="50"/>
  <c r="N201" i="50"/>
  <c r="G191" i="32"/>
  <c r="O191" i="32"/>
  <c r="J191" i="32"/>
  <c r="K191" i="32"/>
  <c r="F191" i="32"/>
  <c r="N191" i="32"/>
  <c r="H191" i="32"/>
  <c r="I191" i="32"/>
  <c r="L191" i="32"/>
  <c r="M191" i="32"/>
  <c r="Z199" i="50"/>
  <c r="W199" i="50"/>
  <c r="X199" i="50" s="1"/>
  <c r="W188" i="32"/>
  <c r="X188" i="32" s="1"/>
  <c r="Z188" i="32"/>
  <c r="W189" i="32"/>
  <c r="X189" i="32" s="1"/>
  <c r="Z189" i="32"/>
  <c r="AN246" i="67" a="1"/>
  <c r="AN246" i="67" s="1"/>
  <c r="B247" i="69"/>
  <c r="L247" i="69" s="1"/>
  <c r="AE244" i="69"/>
  <c r="Q244" i="69"/>
  <c r="R244" i="69"/>
  <c r="S244" i="69" s="1"/>
  <c r="Y244" i="69" s="1"/>
  <c r="AB244" i="69" s="1"/>
  <c r="AC244" i="69" s="1"/>
  <c r="AD244" i="69" s="1"/>
  <c r="U244" i="69"/>
  <c r="D245" i="69"/>
  <c r="E245" i="69" s="1"/>
  <c r="F245" i="69" s="1"/>
  <c r="G245" i="69" s="1"/>
  <c r="H245" i="69" s="1"/>
  <c r="I245" i="69" s="1"/>
  <c r="J245" i="69" s="1"/>
  <c r="K245" i="69" s="1"/>
  <c r="M245" i="69" s="1"/>
  <c r="N245" i="69"/>
  <c r="AF245" i="69" s="1"/>
  <c r="P245" i="69"/>
  <c r="O246" i="69"/>
  <c r="C246" i="69"/>
  <c r="AO246" i="69" s="1"/>
  <c r="AN245" i="63" a="1"/>
  <c r="AN245" i="63" s="1"/>
  <c r="B246" i="65"/>
  <c r="L246" i="65" s="1"/>
  <c r="P244" i="65"/>
  <c r="D244" i="65"/>
  <c r="E244" i="65" s="1"/>
  <c r="F244" i="65" s="1"/>
  <c r="G244" i="65" s="1"/>
  <c r="H244" i="65" s="1"/>
  <c r="I244" i="65" s="1"/>
  <c r="J244" i="65" s="1"/>
  <c r="K244" i="65" s="1"/>
  <c r="M244" i="65" s="1"/>
  <c r="N244" i="65"/>
  <c r="R243" i="65"/>
  <c r="S243" i="65" s="1"/>
  <c r="Y243" i="65" s="1"/>
  <c r="AB243" i="65" s="1"/>
  <c r="AC243" i="65" s="1"/>
  <c r="AD243" i="65" s="1"/>
  <c r="Q243" i="65"/>
  <c r="U243" i="65"/>
  <c r="C245" i="65"/>
  <c r="AM245" i="65" s="1"/>
  <c r="O245" i="65"/>
  <c r="AL191" i="11" a="1"/>
  <c r="AL191" i="11" s="1"/>
  <c r="E192" i="32" s="1"/>
  <c r="AK192" i="32" s="1"/>
  <c r="AL201" i="59" a="1"/>
  <c r="AL201" i="59" s="1"/>
  <c r="E202" i="50" s="1"/>
  <c r="AK202" i="50" s="1"/>
  <c r="AM91" i="59" a="1"/>
  <c r="AM91" i="59" s="1"/>
  <c r="AM76" i="11" a="1"/>
  <c r="AM76" i="11" s="1"/>
  <c r="AI198" i="50" l="1"/>
  <c r="AP198" i="50" s="1"/>
  <c r="AF244" i="65"/>
  <c r="AE244" i="65"/>
  <c r="AG199" i="50"/>
  <c r="AH199" i="50" s="1"/>
  <c r="AL199" i="50"/>
  <c r="AG189" i="32"/>
  <c r="AH189" i="32" s="1"/>
  <c r="AL189" i="32"/>
  <c r="AG188" i="32"/>
  <c r="AH188" i="32" s="1"/>
  <c r="AL188" i="32"/>
  <c r="AG244" i="69"/>
  <c r="AG243" i="65"/>
  <c r="P191" i="32"/>
  <c r="AX245" i="69"/>
  <c r="O202" i="50"/>
  <c r="T202" i="50"/>
  <c r="T192" i="32"/>
  <c r="AD200" i="50"/>
  <c r="AM191" i="32"/>
  <c r="U191" i="32"/>
  <c r="AM201" i="50"/>
  <c r="U201" i="50"/>
  <c r="AD190" i="32"/>
  <c r="AH244" i="65"/>
  <c r="AV244" i="65"/>
  <c r="AH245" i="69"/>
  <c r="C190" i="32"/>
  <c r="V190" i="32"/>
  <c r="AJ200" i="50"/>
  <c r="C200" i="50"/>
  <c r="AJ190" i="32"/>
  <c r="S201" i="50"/>
  <c r="V200" i="50"/>
  <c r="S191" i="32"/>
  <c r="V191" i="32" s="1"/>
  <c r="A192" i="32"/>
  <c r="B192" i="32"/>
  <c r="G202" i="50"/>
  <c r="F202" i="50"/>
  <c r="A202" i="50"/>
  <c r="Q202" i="50" s="1"/>
  <c r="P202" i="50" s="1"/>
  <c r="M202" i="50"/>
  <c r="N202" i="50"/>
  <c r="K202" i="50"/>
  <c r="J202" i="50"/>
  <c r="L202" i="50"/>
  <c r="B202" i="50"/>
  <c r="R202" i="50" s="1"/>
  <c r="I202" i="50"/>
  <c r="H202" i="50"/>
  <c r="M192" i="32"/>
  <c r="H192" i="32"/>
  <c r="I192" i="32"/>
  <c r="L192" i="32"/>
  <c r="F192" i="32"/>
  <c r="G192" i="32"/>
  <c r="J192" i="32"/>
  <c r="K192" i="32"/>
  <c r="N192" i="32"/>
  <c r="O192" i="32"/>
  <c r="Z200" i="50"/>
  <c r="W200" i="50"/>
  <c r="X200" i="50" s="1"/>
  <c r="W190" i="32"/>
  <c r="X190" i="32" s="1"/>
  <c r="Z190" i="32"/>
  <c r="AN247" i="67" a="1"/>
  <c r="AN247" i="67" s="1"/>
  <c r="B248" i="69"/>
  <c r="L248" i="69" s="1"/>
  <c r="Q245" i="69"/>
  <c r="R245" i="69"/>
  <c r="S245" i="69" s="1"/>
  <c r="Y245" i="69" s="1"/>
  <c r="AB245" i="69" s="1"/>
  <c r="AC245" i="69" s="1"/>
  <c r="AD245" i="69" s="1"/>
  <c r="AE245" i="69"/>
  <c r="U245" i="69"/>
  <c r="P246" i="69"/>
  <c r="N246" i="69"/>
  <c r="AF246" i="69" s="1"/>
  <c r="D246" i="69"/>
  <c r="E246" i="69" s="1"/>
  <c r="F246" i="69" s="1"/>
  <c r="G246" i="69" s="1"/>
  <c r="H246" i="69" s="1"/>
  <c r="I246" i="69" s="1"/>
  <c r="J246" i="69" s="1"/>
  <c r="K246" i="69" s="1"/>
  <c r="M246" i="69" s="1"/>
  <c r="O247" i="69"/>
  <c r="C247" i="69"/>
  <c r="AO247" i="69" s="1"/>
  <c r="P245" i="65"/>
  <c r="D245" i="65"/>
  <c r="E245" i="65" s="1"/>
  <c r="F245" i="65" s="1"/>
  <c r="G245" i="65" s="1"/>
  <c r="H245" i="65" s="1"/>
  <c r="I245" i="65" s="1"/>
  <c r="J245" i="65" s="1"/>
  <c r="K245" i="65" s="1"/>
  <c r="M245" i="65" s="1"/>
  <c r="N245" i="65"/>
  <c r="R244" i="65"/>
  <c r="S244" i="65" s="1"/>
  <c r="Y244" i="65" s="1"/>
  <c r="AB244" i="65" s="1"/>
  <c r="AC244" i="65" s="1"/>
  <c r="AD244" i="65" s="1"/>
  <c r="U244" i="65"/>
  <c r="Q244" i="65"/>
  <c r="C246" i="65"/>
  <c r="AM246" i="65" s="1"/>
  <c r="O246" i="65"/>
  <c r="AN246" i="63" a="1"/>
  <c r="AN246" i="63" s="1"/>
  <c r="B247" i="65"/>
  <c r="L247" i="65" s="1"/>
  <c r="AL192" i="11" a="1"/>
  <c r="AL192" i="11" s="1"/>
  <c r="AL202" i="59" a="1"/>
  <c r="AL202" i="59" s="1"/>
  <c r="E203" i="50" s="1"/>
  <c r="AK203" i="50" s="1"/>
  <c r="AM92" i="59" a="1"/>
  <c r="AM92" i="59" s="1"/>
  <c r="AM77" i="11" a="1"/>
  <c r="AM77" i="11" s="1"/>
  <c r="AI188" i="32" l="1"/>
  <c r="AN188" i="32" s="1"/>
  <c r="AI189" i="32"/>
  <c r="AN189" i="32" s="1"/>
  <c r="AI199" i="50"/>
  <c r="AP199" i="50" s="1"/>
  <c r="AF245" i="65"/>
  <c r="AE245" i="65"/>
  <c r="AL190" i="32"/>
  <c r="AG200" i="50"/>
  <c r="AH200" i="50" s="1"/>
  <c r="AL200" i="50"/>
  <c r="AG245" i="69"/>
  <c r="AG244" i="65"/>
  <c r="P192" i="32"/>
  <c r="AG190" i="32"/>
  <c r="AH190" i="32" s="1"/>
  <c r="AX246" i="69"/>
  <c r="O203" i="50"/>
  <c r="T203" i="50"/>
  <c r="AM192" i="32"/>
  <c r="U192" i="32"/>
  <c r="AD201" i="50"/>
  <c r="AD191" i="32"/>
  <c r="AM202" i="50"/>
  <c r="U202" i="50"/>
  <c r="AH245" i="65"/>
  <c r="AV245" i="65"/>
  <c r="AH246" i="69"/>
  <c r="AJ201" i="50"/>
  <c r="C201" i="50"/>
  <c r="AJ191" i="32"/>
  <c r="C191" i="32"/>
  <c r="S202" i="50"/>
  <c r="V201" i="50"/>
  <c r="S192" i="32"/>
  <c r="M203" i="50"/>
  <c r="N203" i="50"/>
  <c r="G203" i="50"/>
  <c r="I203" i="50"/>
  <c r="F203" i="50"/>
  <c r="K203" i="50"/>
  <c r="H203" i="50"/>
  <c r="J203" i="50"/>
  <c r="B203" i="50"/>
  <c r="R203" i="50" s="1"/>
  <c r="A203" i="50"/>
  <c r="Q203" i="50" s="1"/>
  <c r="P203" i="50" s="1"/>
  <c r="L203" i="50"/>
  <c r="Z201" i="50"/>
  <c r="W201" i="50"/>
  <c r="X201" i="50" s="1"/>
  <c r="E193" i="32"/>
  <c r="AK193" i="32" s="1"/>
  <c r="W191" i="32"/>
  <c r="X191" i="32" s="1"/>
  <c r="Z191" i="32"/>
  <c r="O248" i="69"/>
  <c r="C248" i="69"/>
  <c r="AO248" i="69" s="1"/>
  <c r="P247" i="69"/>
  <c r="N247" i="69"/>
  <c r="AF247" i="69" s="1"/>
  <c r="D247" i="69"/>
  <c r="E247" i="69" s="1"/>
  <c r="F247" i="69" s="1"/>
  <c r="G247" i="69" s="1"/>
  <c r="H247" i="69" s="1"/>
  <c r="I247" i="69" s="1"/>
  <c r="J247" i="69" s="1"/>
  <c r="K247" i="69" s="1"/>
  <c r="M247" i="69" s="1"/>
  <c r="R246" i="69"/>
  <c r="S246" i="69" s="1"/>
  <c r="Y246" i="69" s="1"/>
  <c r="AB246" i="69" s="1"/>
  <c r="AC246" i="69" s="1"/>
  <c r="AD246" i="69" s="1"/>
  <c r="AE246" i="69"/>
  <c r="Q246" i="69"/>
  <c r="U246" i="69"/>
  <c r="AN248" i="67" a="1"/>
  <c r="AN248" i="67" s="1"/>
  <c r="B249" i="69"/>
  <c r="L249" i="69" s="1"/>
  <c r="AN247" i="63" a="1"/>
  <c r="AN247" i="63" s="1"/>
  <c r="B248" i="65"/>
  <c r="L248" i="65" s="1"/>
  <c r="P246" i="65"/>
  <c r="D246" i="65"/>
  <c r="E246" i="65" s="1"/>
  <c r="F246" i="65" s="1"/>
  <c r="G246" i="65" s="1"/>
  <c r="H246" i="65" s="1"/>
  <c r="I246" i="65" s="1"/>
  <c r="J246" i="65" s="1"/>
  <c r="K246" i="65" s="1"/>
  <c r="M246" i="65" s="1"/>
  <c r="N246" i="65"/>
  <c r="U245" i="65"/>
  <c r="R245" i="65"/>
  <c r="S245" i="65" s="1"/>
  <c r="Y245" i="65" s="1"/>
  <c r="AB245" i="65" s="1"/>
  <c r="AC245" i="65" s="1"/>
  <c r="AD245" i="65" s="1"/>
  <c r="Q245" i="65"/>
  <c r="C247" i="65"/>
  <c r="AM247" i="65" s="1"/>
  <c r="O247" i="65"/>
  <c r="AL193" i="11" a="1"/>
  <c r="AL193" i="11" s="1"/>
  <c r="AL203" i="59" a="1"/>
  <c r="AL203" i="59" s="1"/>
  <c r="E204" i="50" s="1"/>
  <c r="AK204" i="50" s="1"/>
  <c r="AM93" i="59" a="1"/>
  <c r="AM93" i="59" s="1"/>
  <c r="AM78" i="11" a="1"/>
  <c r="AM78" i="11" s="1"/>
  <c r="AI200" i="50" l="1"/>
  <c r="AP200" i="50" s="1"/>
  <c r="AF246" i="65"/>
  <c r="AE246" i="65"/>
  <c r="AG201" i="50"/>
  <c r="AH201" i="50" s="1"/>
  <c r="AL201" i="50"/>
  <c r="AG191" i="32"/>
  <c r="AH191" i="32" s="1"/>
  <c r="AL191" i="32"/>
  <c r="AG246" i="69"/>
  <c r="AG245" i="65"/>
  <c r="AI190" i="32"/>
  <c r="AN190" i="32" s="1"/>
  <c r="AX247" i="69"/>
  <c r="O204" i="50"/>
  <c r="T204" i="50"/>
  <c r="T193" i="32"/>
  <c r="AM203" i="50"/>
  <c r="U203" i="50"/>
  <c r="AD192" i="32"/>
  <c r="AD202" i="50"/>
  <c r="AH246" i="65"/>
  <c r="AV246" i="65"/>
  <c r="AH247" i="69"/>
  <c r="C192" i="32"/>
  <c r="V192" i="32"/>
  <c r="AJ202" i="50"/>
  <c r="C202" i="50"/>
  <c r="AJ192" i="32"/>
  <c r="V202" i="50"/>
  <c r="S203" i="50"/>
  <c r="A193" i="32"/>
  <c r="B193" i="32"/>
  <c r="F204" i="50"/>
  <c r="N204" i="50"/>
  <c r="B204" i="50"/>
  <c r="R204" i="50" s="1"/>
  <c r="A204" i="50"/>
  <c r="Q204" i="50" s="1"/>
  <c r="P204" i="50" s="1"/>
  <c r="J204" i="50"/>
  <c r="L204" i="50"/>
  <c r="G204" i="50"/>
  <c r="M204" i="50"/>
  <c r="H204" i="50"/>
  <c r="I204" i="50"/>
  <c r="K204" i="50"/>
  <c r="K193" i="32"/>
  <c r="F193" i="32"/>
  <c r="N193" i="32"/>
  <c r="G193" i="32"/>
  <c r="O193" i="32"/>
  <c r="J193" i="32"/>
  <c r="L193" i="32"/>
  <c r="M193" i="32"/>
  <c r="H193" i="32"/>
  <c r="I193" i="32"/>
  <c r="Z202" i="50"/>
  <c r="W202" i="50"/>
  <c r="X202" i="50" s="1"/>
  <c r="E194" i="32"/>
  <c r="AK194" i="32" s="1"/>
  <c r="W192" i="32"/>
  <c r="X192" i="32" s="1"/>
  <c r="Z192" i="32"/>
  <c r="AN249" i="67" a="1"/>
  <c r="AN249" i="67" s="1"/>
  <c r="B250" i="69"/>
  <c r="L250" i="69" s="1"/>
  <c r="AE247" i="69"/>
  <c r="R247" i="69"/>
  <c r="S247" i="69" s="1"/>
  <c r="Y247" i="69" s="1"/>
  <c r="AB247" i="69" s="1"/>
  <c r="AC247" i="69" s="1"/>
  <c r="AD247" i="69" s="1"/>
  <c r="U247" i="69"/>
  <c r="Q247" i="69"/>
  <c r="O249" i="69"/>
  <c r="C249" i="69"/>
  <c r="AO249" i="69" s="1"/>
  <c r="P248" i="69"/>
  <c r="N248" i="69"/>
  <c r="AF248" i="69" s="1"/>
  <c r="D248" i="69"/>
  <c r="E248" i="69" s="1"/>
  <c r="F248" i="69" s="1"/>
  <c r="G248" i="69" s="1"/>
  <c r="H248" i="69" s="1"/>
  <c r="I248" i="69" s="1"/>
  <c r="J248" i="69" s="1"/>
  <c r="K248" i="69" s="1"/>
  <c r="M248" i="69" s="1"/>
  <c r="AN248" i="63" a="1"/>
  <c r="AN248" i="63" s="1"/>
  <c r="B249" i="65"/>
  <c r="L249" i="65" s="1"/>
  <c r="D247" i="65"/>
  <c r="E247" i="65" s="1"/>
  <c r="F247" i="65" s="1"/>
  <c r="G247" i="65" s="1"/>
  <c r="H247" i="65" s="1"/>
  <c r="I247" i="65" s="1"/>
  <c r="J247" i="65" s="1"/>
  <c r="K247" i="65" s="1"/>
  <c r="M247" i="65" s="1"/>
  <c r="P247" i="65"/>
  <c r="N247" i="65"/>
  <c r="U246" i="65"/>
  <c r="R246" i="65"/>
  <c r="S246" i="65" s="1"/>
  <c r="Y246" i="65" s="1"/>
  <c r="AB246" i="65" s="1"/>
  <c r="AC246" i="65" s="1"/>
  <c r="AD246" i="65" s="1"/>
  <c r="Q246" i="65"/>
  <c r="C248" i="65"/>
  <c r="AM248" i="65" s="1"/>
  <c r="O248" i="65"/>
  <c r="AL194" i="11" a="1"/>
  <c r="AL194" i="11" s="1"/>
  <c r="E195" i="32" s="1"/>
  <c r="AK195" i="32" s="1"/>
  <c r="AL204" i="59" a="1"/>
  <c r="AL204" i="59" s="1"/>
  <c r="E205" i="50" s="1"/>
  <c r="AK205" i="50" s="1"/>
  <c r="AM94" i="59" a="1"/>
  <c r="AM94" i="59" s="1"/>
  <c r="AM79" i="11" a="1"/>
  <c r="AM79" i="11" s="1"/>
  <c r="AI191" i="32" l="1"/>
  <c r="AN191" i="32" s="1"/>
  <c r="AI201" i="50"/>
  <c r="AP201" i="50" s="1"/>
  <c r="AF247" i="65"/>
  <c r="AE247" i="65"/>
  <c r="AG202" i="50"/>
  <c r="AH202" i="50" s="1"/>
  <c r="AL202" i="50"/>
  <c r="AG192" i="32"/>
  <c r="AH192" i="32" s="1"/>
  <c r="AL192" i="32"/>
  <c r="AG247" i="69"/>
  <c r="AG246" i="65"/>
  <c r="P193" i="32"/>
  <c r="AX248" i="69"/>
  <c r="T205" i="50"/>
  <c r="O205" i="50"/>
  <c r="T195" i="32"/>
  <c r="T194" i="32"/>
  <c r="AM193" i="32"/>
  <c r="U193" i="32"/>
  <c r="AD203" i="50"/>
  <c r="AM204" i="50"/>
  <c r="U204" i="50"/>
  <c r="AH247" i="65"/>
  <c r="AV247" i="65"/>
  <c r="AH248" i="69"/>
  <c r="AJ203" i="50"/>
  <c r="C203" i="50"/>
  <c r="V203" i="50"/>
  <c r="S204" i="50"/>
  <c r="S193" i="32"/>
  <c r="V193" i="32" s="1"/>
  <c r="A195" i="32"/>
  <c r="B195" i="32"/>
  <c r="A194" i="32"/>
  <c r="B194" i="32"/>
  <c r="K205" i="50"/>
  <c r="F205" i="50"/>
  <c r="M205" i="50"/>
  <c r="G205" i="50"/>
  <c r="B205" i="50"/>
  <c r="R205" i="50" s="1"/>
  <c r="L205" i="50"/>
  <c r="N205" i="50"/>
  <c r="H205" i="50"/>
  <c r="I205" i="50"/>
  <c r="A205" i="50"/>
  <c r="Q205" i="50" s="1"/>
  <c r="P205" i="50" s="1"/>
  <c r="J205" i="50"/>
  <c r="G195" i="32"/>
  <c r="O195" i="32"/>
  <c r="J195" i="32"/>
  <c r="K195" i="32"/>
  <c r="F195" i="32"/>
  <c r="N195" i="32"/>
  <c r="H195" i="32"/>
  <c r="I195" i="32"/>
  <c r="L195" i="32"/>
  <c r="M195" i="32"/>
  <c r="I194" i="32"/>
  <c r="L194" i="32"/>
  <c r="M194" i="32"/>
  <c r="H194" i="32"/>
  <c r="F194" i="32"/>
  <c r="G194" i="32"/>
  <c r="J194" i="32"/>
  <c r="K194" i="32"/>
  <c r="N194" i="32"/>
  <c r="O194" i="32"/>
  <c r="Z203" i="50"/>
  <c r="W203" i="50"/>
  <c r="X203" i="50" s="1"/>
  <c r="D249" i="69"/>
  <c r="E249" i="69" s="1"/>
  <c r="F249" i="69" s="1"/>
  <c r="G249" i="69" s="1"/>
  <c r="H249" i="69" s="1"/>
  <c r="I249" i="69" s="1"/>
  <c r="J249" i="69" s="1"/>
  <c r="K249" i="69" s="1"/>
  <c r="M249" i="69" s="1"/>
  <c r="N249" i="69"/>
  <c r="AF249" i="69" s="1"/>
  <c r="P249" i="69"/>
  <c r="AN250" i="67" a="1"/>
  <c r="AN250" i="67" s="1"/>
  <c r="B251" i="69"/>
  <c r="L251" i="69" s="1"/>
  <c r="Q248" i="69"/>
  <c r="U248" i="69"/>
  <c r="R248" i="69"/>
  <c r="S248" i="69" s="1"/>
  <c r="Y248" i="69" s="1"/>
  <c r="AB248" i="69" s="1"/>
  <c r="AC248" i="69" s="1"/>
  <c r="AD248" i="69" s="1"/>
  <c r="AE248" i="69"/>
  <c r="O250" i="69"/>
  <c r="C250" i="69"/>
  <c r="AO250" i="69" s="1"/>
  <c r="AN249" i="63" a="1"/>
  <c r="AN249" i="63" s="1"/>
  <c r="B250" i="65"/>
  <c r="L250" i="65" s="1"/>
  <c r="C249" i="65"/>
  <c r="AM249" i="65" s="1"/>
  <c r="O249" i="65"/>
  <c r="P248" i="65"/>
  <c r="D248" i="65"/>
  <c r="E248" i="65" s="1"/>
  <c r="F248" i="65" s="1"/>
  <c r="G248" i="65" s="1"/>
  <c r="H248" i="65" s="1"/>
  <c r="I248" i="65" s="1"/>
  <c r="J248" i="65" s="1"/>
  <c r="K248" i="65" s="1"/>
  <c r="M248" i="65" s="1"/>
  <c r="N248" i="65"/>
  <c r="Q247" i="65"/>
  <c r="R247" i="65"/>
  <c r="S247" i="65" s="1"/>
  <c r="Y247" i="65" s="1"/>
  <c r="AB247" i="65" s="1"/>
  <c r="AC247" i="65" s="1"/>
  <c r="AD247" i="65" s="1"/>
  <c r="U247" i="65"/>
  <c r="AL195" i="11" a="1"/>
  <c r="AL195" i="11" s="1"/>
  <c r="E196" i="32" s="1"/>
  <c r="AK196" i="32" s="1"/>
  <c r="AL205" i="59" a="1"/>
  <c r="AL205" i="59" s="1"/>
  <c r="E206" i="50" s="1"/>
  <c r="AK206" i="50" s="1"/>
  <c r="AM95" i="59" a="1"/>
  <c r="AM95" i="59" s="1"/>
  <c r="AM80" i="11" a="1"/>
  <c r="AM80" i="11" s="1"/>
  <c r="AI192" i="32" l="1"/>
  <c r="AN192" i="32" s="1"/>
  <c r="AI202" i="50"/>
  <c r="AP202" i="50" s="1"/>
  <c r="AF248" i="65"/>
  <c r="AE248" i="65"/>
  <c r="AG203" i="50"/>
  <c r="AH203" i="50" s="1"/>
  <c r="AL203" i="50"/>
  <c r="AG248" i="69"/>
  <c r="AG247" i="65"/>
  <c r="P194" i="32"/>
  <c r="P195" i="32"/>
  <c r="AX249" i="69"/>
  <c r="T206" i="50"/>
  <c r="O206" i="50"/>
  <c r="T196" i="32"/>
  <c r="AM194" i="32"/>
  <c r="U194" i="32"/>
  <c r="AD204" i="50"/>
  <c r="AM205" i="50"/>
  <c r="U205" i="50"/>
  <c r="AD193" i="32"/>
  <c r="AM195" i="32"/>
  <c r="U195" i="32"/>
  <c r="AH248" i="65"/>
  <c r="AV248" i="65"/>
  <c r="AH249" i="69"/>
  <c r="AJ204" i="50"/>
  <c r="C204" i="50"/>
  <c r="AJ193" i="32"/>
  <c r="C193" i="32"/>
  <c r="S205" i="50"/>
  <c r="V204" i="50"/>
  <c r="S195" i="32"/>
  <c r="V195" i="32" s="1"/>
  <c r="S194" i="32"/>
  <c r="V194" i="32" s="1"/>
  <c r="A196" i="32"/>
  <c r="B196" i="32"/>
  <c r="I206" i="50"/>
  <c r="G206" i="50"/>
  <c r="H206" i="50"/>
  <c r="A206" i="50"/>
  <c r="Q206" i="50" s="1"/>
  <c r="P206" i="50" s="1"/>
  <c r="N206" i="50"/>
  <c r="L206" i="50"/>
  <c r="F206" i="50"/>
  <c r="M206" i="50"/>
  <c r="J206" i="50"/>
  <c r="B206" i="50"/>
  <c r="R206" i="50" s="1"/>
  <c r="K206" i="50"/>
  <c r="M196" i="32"/>
  <c r="H196" i="32"/>
  <c r="I196" i="32"/>
  <c r="L196" i="32"/>
  <c r="N196" i="32"/>
  <c r="O196" i="32"/>
  <c r="F196" i="32"/>
  <c r="G196" i="32"/>
  <c r="J196" i="32"/>
  <c r="K196" i="32"/>
  <c r="Z204" i="50"/>
  <c r="W204" i="50"/>
  <c r="X204" i="50" s="1"/>
  <c r="Z193" i="32"/>
  <c r="W193" i="32"/>
  <c r="X193" i="32" s="1"/>
  <c r="D250" i="69"/>
  <c r="E250" i="69" s="1"/>
  <c r="F250" i="69" s="1"/>
  <c r="G250" i="69" s="1"/>
  <c r="H250" i="69" s="1"/>
  <c r="I250" i="69" s="1"/>
  <c r="J250" i="69" s="1"/>
  <c r="K250" i="69" s="1"/>
  <c r="M250" i="69" s="1"/>
  <c r="N250" i="69"/>
  <c r="AF250" i="69" s="1"/>
  <c r="P250" i="69"/>
  <c r="Q249" i="69"/>
  <c r="AE249" i="69"/>
  <c r="R249" i="69"/>
  <c r="S249" i="69" s="1"/>
  <c r="Y249" i="69" s="1"/>
  <c r="AB249" i="69" s="1"/>
  <c r="AC249" i="69" s="1"/>
  <c r="AD249" i="69" s="1"/>
  <c r="U249" i="69"/>
  <c r="O251" i="69"/>
  <c r="C251" i="69"/>
  <c r="AO251" i="69" s="1"/>
  <c r="AN251" i="67" a="1"/>
  <c r="AN251" i="67" s="1"/>
  <c r="B252" i="69"/>
  <c r="L252" i="69" s="1"/>
  <c r="AN250" i="63" a="1"/>
  <c r="AN250" i="63" s="1"/>
  <c r="B251" i="65"/>
  <c r="L251" i="65" s="1"/>
  <c r="U248" i="65"/>
  <c r="Q248" i="65"/>
  <c r="R248" i="65"/>
  <c r="S248" i="65" s="1"/>
  <c r="Y248" i="65" s="1"/>
  <c r="AB248" i="65" s="1"/>
  <c r="AC248" i="65" s="1"/>
  <c r="AD248" i="65" s="1"/>
  <c r="P249" i="65"/>
  <c r="D249" i="65"/>
  <c r="E249" i="65" s="1"/>
  <c r="F249" i="65" s="1"/>
  <c r="G249" i="65" s="1"/>
  <c r="H249" i="65" s="1"/>
  <c r="I249" i="65" s="1"/>
  <c r="J249" i="65" s="1"/>
  <c r="K249" i="65" s="1"/>
  <c r="M249" i="65" s="1"/>
  <c r="N249" i="65"/>
  <c r="C250" i="65"/>
  <c r="AM250" i="65" s="1"/>
  <c r="O250" i="65"/>
  <c r="AL196" i="11" a="1"/>
  <c r="AL196" i="11" s="1"/>
  <c r="E197" i="32" s="1"/>
  <c r="AK197" i="32" s="1"/>
  <c r="AL206" i="59" a="1"/>
  <c r="AL206" i="59" s="1"/>
  <c r="E207" i="50" s="1"/>
  <c r="AK207" i="50" s="1"/>
  <c r="AM96" i="59" a="1"/>
  <c r="AM96" i="59" s="1"/>
  <c r="AM81" i="11" a="1"/>
  <c r="AM81" i="11" s="1"/>
  <c r="AI203" i="50" l="1"/>
  <c r="AP203" i="50" s="1"/>
  <c r="AF249" i="65"/>
  <c r="AE249" i="65"/>
  <c r="AG204" i="50"/>
  <c r="AH204" i="50" s="1"/>
  <c r="AL204" i="50"/>
  <c r="AG193" i="32"/>
  <c r="AH193" i="32" s="1"/>
  <c r="AL193" i="32"/>
  <c r="AG249" i="69"/>
  <c r="AG248" i="65"/>
  <c r="P196" i="32"/>
  <c r="AX250" i="69"/>
  <c r="T207" i="50"/>
  <c r="O207" i="50"/>
  <c r="T197" i="32"/>
  <c r="AM196" i="32"/>
  <c r="U196" i="32"/>
  <c r="AM206" i="50"/>
  <c r="U206" i="50"/>
  <c r="AD205" i="50"/>
  <c r="AD195" i="32"/>
  <c r="AD194" i="32"/>
  <c r="AH249" i="65"/>
  <c r="AV249" i="65"/>
  <c r="AH250" i="69"/>
  <c r="AJ205" i="50"/>
  <c r="C205" i="50"/>
  <c r="AJ194" i="32"/>
  <c r="C194" i="32"/>
  <c r="AJ195" i="32"/>
  <c r="C195" i="32"/>
  <c r="S206" i="50"/>
  <c r="V205" i="50"/>
  <c r="S196" i="32"/>
  <c r="V196" i="32" s="1"/>
  <c r="A197" i="32"/>
  <c r="B197" i="32"/>
  <c r="I207" i="50"/>
  <c r="K207" i="50"/>
  <c r="A207" i="50"/>
  <c r="Q207" i="50" s="1"/>
  <c r="P207" i="50" s="1"/>
  <c r="B207" i="50"/>
  <c r="R207" i="50" s="1"/>
  <c r="G207" i="50"/>
  <c r="M207" i="50"/>
  <c r="H207" i="50"/>
  <c r="J207" i="50"/>
  <c r="L207" i="50"/>
  <c r="F207" i="50"/>
  <c r="N207" i="50"/>
  <c r="K197" i="32"/>
  <c r="F197" i="32"/>
  <c r="N197" i="32"/>
  <c r="G197" i="32"/>
  <c r="O197" i="32"/>
  <c r="J197" i="32"/>
  <c r="H197" i="32"/>
  <c r="I197" i="32"/>
  <c r="L197" i="32"/>
  <c r="M197" i="32"/>
  <c r="Z194" i="32"/>
  <c r="W194" i="32"/>
  <c r="X194" i="32" s="1"/>
  <c r="W205" i="50"/>
  <c r="X205" i="50" s="1"/>
  <c r="Z205" i="50"/>
  <c r="W195" i="32"/>
  <c r="X195" i="32" s="1"/>
  <c r="Z195" i="32"/>
  <c r="O252" i="69"/>
  <c r="C252" i="69"/>
  <c r="AO252" i="69" s="1"/>
  <c r="AN252" i="67" a="1"/>
  <c r="AN252" i="67" s="1"/>
  <c r="B253" i="69"/>
  <c r="L253" i="69" s="1"/>
  <c r="AE250" i="69"/>
  <c r="U250" i="69"/>
  <c r="R250" i="69"/>
  <c r="S250" i="69" s="1"/>
  <c r="Y250" i="69" s="1"/>
  <c r="AB250" i="69" s="1"/>
  <c r="AC250" i="69" s="1"/>
  <c r="AD250" i="69" s="1"/>
  <c r="Q250" i="69"/>
  <c r="D251" i="69"/>
  <c r="E251" i="69" s="1"/>
  <c r="F251" i="69" s="1"/>
  <c r="G251" i="69" s="1"/>
  <c r="H251" i="69" s="1"/>
  <c r="I251" i="69" s="1"/>
  <c r="J251" i="69" s="1"/>
  <c r="K251" i="69" s="1"/>
  <c r="M251" i="69" s="1"/>
  <c r="N251" i="69"/>
  <c r="AF251" i="69" s="1"/>
  <c r="P251" i="69"/>
  <c r="AN251" i="63" a="1"/>
  <c r="AN251" i="63" s="1"/>
  <c r="B252" i="65"/>
  <c r="L252" i="65" s="1"/>
  <c r="C251" i="65"/>
  <c r="AM251" i="65" s="1"/>
  <c r="O251" i="65"/>
  <c r="N250" i="65"/>
  <c r="D250" i="65"/>
  <c r="E250" i="65" s="1"/>
  <c r="F250" i="65" s="1"/>
  <c r="G250" i="65" s="1"/>
  <c r="H250" i="65" s="1"/>
  <c r="I250" i="65" s="1"/>
  <c r="J250" i="65" s="1"/>
  <c r="K250" i="65" s="1"/>
  <c r="M250" i="65" s="1"/>
  <c r="P250" i="65"/>
  <c r="U249" i="65"/>
  <c r="R249" i="65"/>
  <c r="S249" i="65" s="1"/>
  <c r="Y249" i="65" s="1"/>
  <c r="AB249" i="65" s="1"/>
  <c r="AC249" i="65" s="1"/>
  <c r="AD249" i="65" s="1"/>
  <c r="Q249" i="65"/>
  <c r="AL197" i="11" a="1"/>
  <c r="AL197" i="11" s="1"/>
  <c r="E198" i="32" s="1"/>
  <c r="AK198" i="32" s="1"/>
  <c r="AL207" i="59" a="1"/>
  <c r="AL207" i="59" s="1"/>
  <c r="E208" i="50" s="1"/>
  <c r="AK208" i="50" s="1"/>
  <c r="AM97" i="59" a="1"/>
  <c r="AM97" i="59" s="1"/>
  <c r="AM82" i="11" a="1"/>
  <c r="AM82" i="11" s="1"/>
  <c r="AI193" i="32" l="1"/>
  <c r="AN193" i="32" s="1"/>
  <c r="AI204" i="50"/>
  <c r="AP204" i="50" s="1"/>
  <c r="AF250" i="65"/>
  <c r="AE250" i="65"/>
  <c r="AG205" i="50"/>
  <c r="AH205" i="50" s="1"/>
  <c r="AL205" i="50"/>
  <c r="AG194" i="32"/>
  <c r="AH194" i="32" s="1"/>
  <c r="AL194" i="32"/>
  <c r="AG195" i="32"/>
  <c r="AH195" i="32" s="1"/>
  <c r="AL195" i="32"/>
  <c r="AG250" i="69"/>
  <c r="AG249" i="65"/>
  <c r="P197" i="32"/>
  <c r="AX251" i="69"/>
  <c r="T208" i="50"/>
  <c r="O208" i="50"/>
  <c r="T198" i="32"/>
  <c r="AD206" i="50"/>
  <c r="AM197" i="32"/>
  <c r="U197" i="32"/>
  <c r="AD196" i="32"/>
  <c r="AM207" i="50"/>
  <c r="U207" i="50"/>
  <c r="AH250" i="65"/>
  <c r="AV250" i="65"/>
  <c r="AH251" i="69"/>
  <c r="AJ206" i="50"/>
  <c r="C206" i="50"/>
  <c r="AJ196" i="32"/>
  <c r="C196" i="32"/>
  <c r="S207" i="50"/>
  <c r="V206" i="50"/>
  <c r="S197" i="32"/>
  <c r="V197" i="32" s="1"/>
  <c r="A198" i="32"/>
  <c r="B198" i="32"/>
  <c r="F208" i="50"/>
  <c r="G208" i="50"/>
  <c r="N208" i="50"/>
  <c r="J208" i="50"/>
  <c r="M208" i="50"/>
  <c r="B208" i="50"/>
  <c r="R208" i="50" s="1"/>
  <c r="K208" i="50"/>
  <c r="L208" i="50"/>
  <c r="A208" i="50"/>
  <c r="Q208" i="50" s="1"/>
  <c r="P208" i="50" s="1"/>
  <c r="I208" i="50"/>
  <c r="H208" i="50"/>
  <c r="I198" i="32"/>
  <c r="L198" i="32"/>
  <c r="M198" i="32"/>
  <c r="H198" i="32"/>
  <c r="J198" i="32"/>
  <c r="K198" i="32"/>
  <c r="N198" i="32"/>
  <c r="O198" i="32"/>
  <c r="F198" i="32"/>
  <c r="G198" i="32"/>
  <c r="Z206" i="50"/>
  <c r="W206" i="50"/>
  <c r="X206" i="50" s="1"/>
  <c r="W196" i="32"/>
  <c r="X196" i="32" s="1"/>
  <c r="Z196" i="32"/>
  <c r="AN253" i="67" a="1"/>
  <c r="AN253" i="67" s="1"/>
  <c r="B254" i="69"/>
  <c r="L254" i="69" s="1"/>
  <c r="C253" i="69"/>
  <c r="AO253" i="69" s="1"/>
  <c r="O253" i="69"/>
  <c r="Q251" i="69"/>
  <c r="R251" i="69"/>
  <c r="S251" i="69" s="1"/>
  <c r="Y251" i="69" s="1"/>
  <c r="AB251" i="69" s="1"/>
  <c r="AC251" i="69" s="1"/>
  <c r="AD251" i="69" s="1"/>
  <c r="U251" i="69"/>
  <c r="AE251" i="69"/>
  <c r="N252" i="69"/>
  <c r="AF252" i="69" s="1"/>
  <c r="P252" i="69"/>
  <c r="D252" i="69"/>
  <c r="E252" i="69" s="1"/>
  <c r="F252" i="69" s="1"/>
  <c r="G252" i="69" s="1"/>
  <c r="H252" i="69" s="1"/>
  <c r="I252" i="69" s="1"/>
  <c r="J252" i="69" s="1"/>
  <c r="K252" i="69" s="1"/>
  <c r="M252" i="69" s="1"/>
  <c r="AN252" i="63" a="1"/>
  <c r="AN252" i="63" s="1"/>
  <c r="B253" i="65"/>
  <c r="L253" i="65" s="1"/>
  <c r="U250" i="65"/>
  <c r="R250" i="65"/>
  <c r="S250" i="65" s="1"/>
  <c r="Y250" i="65" s="1"/>
  <c r="AB250" i="65" s="1"/>
  <c r="AC250" i="65" s="1"/>
  <c r="AD250" i="65" s="1"/>
  <c r="Q250" i="65"/>
  <c r="P251" i="65"/>
  <c r="D251" i="65"/>
  <c r="E251" i="65" s="1"/>
  <c r="F251" i="65" s="1"/>
  <c r="G251" i="65" s="1"/>
  <c r="H251" i="65" s="1"/>
  <c r="I251" i="65" s="1"/>
  <c r="J251" i="65" s="1"/>
  <c r="K251" i="65" s="1"/>
  <c r="M251" i="65" s="1"/>
  <c r="N251" i="65"/>
  <c r="C252" i="65"/>
  <c r="AM252" i="65" s="1"/>
  <c r="O252" i="65"/>
  <c r="AL198" i="11" a="1"/>
  <c r="AL198" i="11" s="1"/>
  <c r="AL208" i="59" a="1"/>
  <c r="AL208" i="59" s="1"/>
  <c r="E209" i="50" s="1"/>
  <c r="AK209" i="50" s="1"/>
  <c r="AM98" i="59" a="1"/>
  <c r="AM98" i="59" s="1"/>
  <c r="AM83" i="11" a="1"/>
  <c r="AM83" i="11" s="1"/>
  <c r="AI194" i="32" l="1"/>
  <c r="AN194" i="32" s="1"/>
  <c r="AI195" i="32"/>
  <c r="AN195" i="32" s="1"/>
  <c r="AI205" i="50"/>
  <c r="AP205" i="50" s="1"/>
  <c r="AF251" i="65"/>
  <c r="AE251" i="65"/>
  <c r="AL196" i="32"/>
  <c r="AG206" i="50"/>
  <c r="AH206" i="50" s="1"/>
  <c r="AL206" i="50"/>
  <c r="AG251" i="69"/>
  <c r="AG250" i="65"/>
  <c r="P198" i="32"/>
  <c r="AG196" i="32"/>
  <c r="AH196" i="32" s="1"/>
  <c r="AX252" i="69"/>
  <c r="T209" i="50"/>
  <c r="O209" i="50"/>
  <c r="AD197" i="32"/>
  <c r="AD207" i="50"/>
  <c r="AM198" i="32"/>
  <c r="U198" i="32"/>
  <c r="AM208" i="50"/>
  <c r="U208" i="50"/>
  <c r="AH251" i="65"/>
  <c r="AV251" i="65"/>
  <c r="AH252" i="69"/>
  <c r="AJ207" i="50"/>
  <c r="C207" i="50"/>
  <c r="AJ197" i="32"/>
  <c r="C197" i="32"/>
  <c r="V207" i="50"/>
  <c r="S208" i="50"/>
  <c r="S198" i="32"/>
  <c r="B209" i="50"/>
  <c r="R209" i="50" s="1"/>
  <c r="M209" i="50"/>
  <c r="K209" i="50"/>
  <c r="G209" i="50"/>
  <c r="H209" i="50"/>
  <c r="A209" i="50"/>
  <c r="Q209" i="50" s="1"/>
  <c r="P209" i="50" s="1"/>
  <c r="J209" i="50"/>
  <c r="I209" i="50"/>
  <c r="N209" i="50"/>
  <c r="F209" i="50"/>
  <c r="L209" i="50"/>
  <c r="W207" i="50"/>
  <c r="X207" i="50" s="1"/>
  <c r="Z207" i="50"/>
  <c r="E199" i="32"/>
  <c r="AK199" i="32" s="1"/>
  <c r="W197" i="32"/>
  <c r="X197" i="32" s="1"/>
  <c r="Z197" i="32"/>
  <c r="AN254" i="67" a="1"/>
  <c r="AN254" i="67" s="1"/>
  <c r="B255" i="69"/>
  <c r="L255" i="69" s="1"/>
  <c r="AE252" i="69"/>
  <c r="U252" i="69"/>
  <c r="R252" i="69"/>
  <c r="S252" i="69" s="1"/>
  <c r="Y252" i="69" s="1"/>
  <c r="AB252" i="69" s="1"/>
  <c r="AC252" i="69" s="1"/>
  <c r="AD252" i="69" s="1"/>
  <c r="Q252" i="69"/>
  <c r="N253" i="69"/>
  <c r="AF253" i="69" s="1"/>
  <c r="D253" i="69"/>
  <c r="E253" i="69" s="1"/>
  <c r="F253" i="69" s="1"/>
  <c r="G253" i="69" s="1"/>
  <c r="H253" i="69" s="1"/>
  <c r="I253" i="69" s="1"/>
  <c r="J253" i="69" s="1"/>
  <c r="K253" i="69" s="1"/>
  <c r="M253" i="69" s="1"/>
  <c r="P253" i="69"/>
  <c r="C254" i="69"/>
  <c r="AO254" i="69" s="1"/>
  <c r="O254" i="69"/>
  <c r="AN253" i="63" a="1"/>
  <c r="AN253" i="63" s="1"/>
  <c r="B254" i="65"/>
  <c r="L254" i="65" s="1"/>
  <c r="U251" i="65"/>
  <c r="Q251" i="65"/>
  <c r="R251" i="65"/>
  <c r="S251" i="65" s="1"/>
  <c r="Y251" i="65" s="1"/>
  <c r="AB251" i="65" s="1"/>
  <c r="AC251" i="65" s="1"/>
  <c r="AD251" i="65" s="1"/>
  <c r="C253" i="65"/>
  <c r="AM253" i="65" s="1"/>
  <c r="O253" i="65"/>
  <c r="P252" i="65"/>
  <c r="D252" i="65"/>
  <c r="E252" i="65" s="1"/>
  <c r="F252" i="65" s="1"/>
  <c r="G252" i="65" s="1"/>
  <c r="H252" i="65" s="1"/>
  <c r="I252" i="65" s="1"/>
  <c r="J252" i="65" s="1"/>
  <c r="K252" i="65" s="1"/>
  <c r="M252" i="65" s="1"/>
  <c r="N252" i="65"/>
  <c r="AL199" i="11" a="1"/>
  <c r="AL199" i="11" s="1"/>
  <c r="E200" i="32" s="1"/>
  <c r="AK200" i="32" s="1"/>
  <c r="AL209" i="59" a="1"/>
  <c r="AL209" i="59" s="1"/>
  <c r="E210" i="50" s="1"/>
  <c r="AK210" i="50" s="1"/>
  <c r="AM99" i="59" a="1"/>
  <c r="AM99" i="59" s="1"/>
  <c r="AM84" i="11" a="1"/>
  <c r="AM84" i="11" s="1"/>
  <c r="AI206" i="50" l="1"/>
  <c r="AP206" i="50" s="1"/>
  <c r="AF252" i="65"/>
  <c r="AE252" i="65"/>
  <c r="AG207" i="50"/>
  <c r="AH207" i="50" s="1"/>
  <c r="AL207" i="50"/>
  <c r="AG197" i="32"/>
  <c r="AH197" i="32" s="1"/>
  <c r="AL197" i="32"/>
  <c r="AG252" i="69"/>
  <c r="AG251" i="65"/>
  <c r="AI196" i="32"/>
  <c r="AN196" i="32" s="1"/>
  <c r="AX253" i="69"/>
  <c r="O210" i="50"/>
  <c r="T210" i="50"/>
  <c r="T200" i="32"/>
  <c r="T199" i="32"/>
  <c r="AD198" i="32"/>
  <c r="AM209" i="50"/>
  <c r="U209" i="50"/>
  <c r="AD208" i="50"/>
  <c r="AH252" i="65"/>
  <c r="AV252" i="65"/>
  <c r="AH253" i="69"/>
  <c r="C198" i="32"/>
  <c r="V198" i="32"/>
  <c r="AJ208" i="50"/>
  <c r="C208" i="50"/>
  <c r="AJ198" i="32"/>
  <c r="S209" i="50"/>
  <c r="V208" i="50"/>
  <c r="A199" i="32"/>
  <c r="B199" i="32"/>
  <c r="A200" i="32"/>
  <c r="B200" i="32"/>
  <c r="F210" i="50"/>
  <c r="L210" i="50"/>
  <c r="K210" i="50"/>
  <c r="H210" i="50"/>
  <c r="J210" i="50"/>
  <c r="I210" i="50"/>
  <c r="B210" i="50"/>
  <c r="R210" i="50" s="1"/>
  <c r="M210" i="50"/>
  <c r="A210" i="50"/>
  <c r="Q210" i="50" s="1"/>
  <c r="P210" i="50" s="1"/>
  <c r="N210" i="50"/>
  <c r="G210" i="50"/>
  <c r="G199" i="32"/>
  <c r="F199" i="32"/>
  <c r="L199" i="32"/>
  <c r="M199" i="32"/>
  <c r="N199" i="32"/>
  <c r="O199" i="32"/>
  <c r="H199" i="32"/>
  <c r="I199" i="32"/>
  <c r="K199" i="32"/>
  <c r="J199" i="32"/>
  <c r="J200" i="32"/>
  <c r="K200" i="32"/>
  <c r="L200" i="32"/>
  <c r="M200" i="32"/>
  <c r="F200" i="32"/>
  <c r="N200" i="32"/>
  <c r="G200" i="32"/>
  <c r="O200" i="32"/>
  <c r="H200" i="32"/>
  <c r="I200" i="32"/>
  <c r="W208" i="50"/>
  <c r="X208" i="50" s="1"/>
  <c r="Z208" i="50"/>
  <c r="W198" i="32"/>
  <c r="X198" i="32" s="1"/>
  <c r="Z198" i="32"/>
  <c r="AN255" i="67" a="1"/>
  <c r="AN255" i="67" s="1"/>
  <c r="B256" i="69"/>
  <c r="L256" i="69" s="1"/>
  <c r="U253" i="69"/>
  <c r="AE253" i="69"/>
  <c r="R253" i="69"/>
  <c r="S253" i="69" s="1"/>
  <c r="Y253" i="69" s="1"/>
  <c r="AB253" i="69" s="1"/>
  <c r="AC253" i="69" s="1"/>
  <c r="AD253" i="69" s="1"/>
  <c r="Q253" i="69"/>
  <c r="D254" i="69"/>
  <c r="E254" i="69" s="1"/>
  <c r="F254" i="69" s="1"/>
  <c r="G254" i="69" s="1"/>
  <c r="H254" i="69" s="1"/>
  <c r="I254" i="69" s="1"/>
  <c r="J254" i="69" s="1"/>
  <c r="K254" i="69" s="1"/>
  <c r="M254" i="69" s="1"/>
  <c r="N254" i="69"/>
  <c r="AF254" i="69" s="1"/>
  <c r="P254" i="69"/>
  <c r="C255" i="69"/>
  <c r="AO255" i="69" s="1"/>
  <c r="O255" i="69"/>
  <c r="AN254" i="63" a="1"/>
  <c r="AN254" i="63" s="1"/>
  <c r="B255" i="65"/>
  <c r="L255" i="65" s="1"/>
  <c r="C254" i="65"/>
  <c r="AM254" i="65" s="1"/>
  <c r="O254" i="65"/>
  <c r="U252" i="65"/>
  <c r="Q252" i="65"/>
  <c r="R252" i="65"/>
  <c r="S252" i="65" s="1"/>
  <c r="Y252" i="65" s="1"/>
  <c r="AB252" i="65" s="1"/>
  <c r="AC252" i="65" s="1"/>
  <c r="AD252" i="65" s="1"/>
  <c r="P253" i="65"/>
  <c r="D253" i="65"/>
  <c r="E253" i="65" s="1"/>
  <c r="F253" i="65" s="1"/>
  <c r="G253" i="65" s="1"/>
  <c r="H253" i="65" s="1"/>
  <c r="I253" i="65" s="1"/>
  <c r="J253" i="65" s="1"/>
  <c r="K253" i="65" s="1"/>
  <c r="M253" i="65" s="1"/>
  <c r="N253" i="65"/>
  <c r="AL200" i="11" a="1"/>
  <c r="AL200" i="11" s="1"/>
  <c r="E201" i="32" s="1"/>
  <c r="AK201" i="32" s="1"/>
  <c r="AL210" i="59" a="1"/>
  <c r="AL210" i="59" s="1"/>
  <c r="E211" i="50" s="1"/>
  <c r="AK211" i="50" s="1"/>
  <c r="AM100" i="59" a="1"/>
  <c r="AM100" i="59" s="1"/>
  <c r="AM85" i="11" a="1"/>
  <c r="AM85" i="11" s="1"/>
  <c r="AI197" i="32" l="1"/>
  <c r="AN197" i="32" s="1"/>
  <c r="AI207" i="50"/>
  <c r="AP207" i="50" s="1"/>
  <c r="AF253" i="65"/>
  <c r="AE253" i="65"/>
  <c r="AL198" i="32"/>
  <c r="AG208" i="50"/>
  <c r="AH208" i="50" s="1"/>
  <c r="AL208" i="50"/>
  <c r="AG253" i="69"/>
  <c r="AG252" i="65"/>
  <c r="P200" i="32"/>
  <c r="P199" i="32"/>
  <c r="AG198" i="32"/>
  <c r="AH198" i="32" s="1"/>
  <c r="AX254" i="69"/>
  <c r="O211" i="50"/>
  <c r="T211" i="50"/>
  <c r="T201" i="32"/>
  <c r="AM199" i="32"/>
  <c r="U199" i="32"/>
  <c r="AM200" i="32"/>
  <c r="U200" i="32"/>
  <c r="AM210" i="50"/>
  <c r="U210" i="50"/>
  <c r="AD209" i="50"/>
  <c r="AH253" i="65"/>
  <c r="AV253" i="65"/>
  <c r="AH254" i="69"/>
  <c r="AJ209" i="50"/>
  <c r="C209" i="50"/>
  <c r="S210" i="50"/>
  <c r="V209" i="50"/>
  <c r="S199" i="32"/>
  <c r="V199" i="32" s="1"/>
  <c r="S200" i="32"/>
  <c r="A201" i="32"/>
  <c r="B201" i="32"/>
  <c r="M211" i="50"/>
  <c r="F211" i="50"/>
  <c r="G211" i="50"/>
  <c r="I211" i="50"/>
  <c r="B211" i="50"/>
  <c r="R211" i="50" s="1"/>
  <c r="H211" i="50"/>
  <c r="L211" i="50"/>
  <c r="N211" i="50"/>
  <c r="J211" i="50"/>
  <c r="K211" i="50"/>
  <c r="A211" i="50"/>
  <c r="Q211" i="50" s="1"/>
  <c r="P211" i="50" s="1"/>
  <c r="H201" i="32"/>
  <c r="I201" i="32"/>
  <c r="J201" i="32"/>
  <c r="K201" i="32"/>
  <c r="L201" i="32"/>
  <c r="M201" i="32"/>
  <c r="F201" i="32"/>
  <c r="G201" i="32"/>
  <c r="N201" i="32"/>
  <c r="O201" i="32"/>
  <c r="Z209" i="50"/>
  <c r="W209" i="50"/>
  <c r="X209" i="50" s="1"/>
  <c r="D255" i="69"/>
  <c r="E255" i="69" s="1"/>
  <c r="F255" i="69" s="1"/>
  <c r="G255" i="69" s="1"/>
  <c r="H255" i="69" s="1"/>
  <c r="I255" i="69" s="1"/>
  <c r="J255" i="69" s="1"/>
  <c r="K255" i="69" s="1"/>
  <c r="M255" i="69" s="1"/>
  <c r="N255" i="69"/>
  <c r="AF255" i="69" s="1"/>
  <c r="P255" i="69"/>
  <c r="U254" i="69"/>
  <c r="AE254" i="69"/>
  <c r="R254" i="69"/>
  <c r="S254" i="69" s="1"/>
  <c r="Y254" i="69" s="1"/>
  <c r="AB254" i="69" s="1"/>
  <c r="AC254" i="69" s="1"/>
  <c r="AD254" i="69" s="1"/>
  <c r="Q254" i="69"/>
  <c r="O256" i="69"/>
  <c r="C256" i="69"/>
  <c r="AO256" i="69" s="1"/>
  <c r="AN256" i="67" a="1"/>
  <c r="AN256" i="67" s="1"/>
  <c r="AN257" i="67" s="1" a="1"/>
  <c r="AN257" i="67" s="1"/>
  <c r="B257" i="69"/>
  <c r="L257" i="69" s="1"/>
  <c r="AN255" i="63" a="1"/>
  <c r="AN255" i="63" s="1"/>
  <c r="B256" i="65"/>
  <c r="L256" i="65" s="1"/>
  <c r="U253" i="65"/>
  <c r="Q253" i="65"/>
  <c r="R253" i="65"/>
  <c r="S253" i="65" s="1"/>
  <c r="Y253" i="65" s="1"/>
  <c r="AB253" i="65" s="1"/>
  <c r="AC253" i="65" s="1"/>
  <c r="AD253" i="65" s="1"/>
  <c r="C255" i="65"/>
  <c r="AM255" i="65" s="1"/>
  <c r="O255" i="65"/>
  <c r="P254" i="65"/>
  <c r="D254" i="65"/>
  <c r="E254" i="65" s="1"/>
  <c r="F254" i="65" s="1"/>
  <c r="G254" i="65" s="1"/>
  <c r="H254" i="65" s="1"/>
  <c r="I254" i="65" s="1"/>
  <c r="J254" i="65" s="1"/>
  <c r="K254" i="65" s="1"/>
  <c r="M254" i="65" s="1"/>
  <c r="N254" i="65"/>
  <c r="AL201" i="11" a="1"/>
  <c r="AL201" i="11" s="1"/>
  <c r="E202" i="32" s="1"/>
  <c r="AK202" i="32" s="1"/>
  <c r="AL211" i="59" a="1"/>
  <c r="AL211" i="59" s="1"/>
  <c r="E212" i="50" s="1"/>
  <c r="AK212" i="50" s="1"/>
  <c r="AM101" i="59" a="1"/>
  <c r="AM101" i="59" s="1"/>
  <c r="AM86" i="11" a="1"/>
  <c r="AM86" i="11" s="1"/>
  <c r="AI208" i="50" l="1"/>
  <c r="AP208" i="50" s="1"/>
  <c r="AF254" i="65"/>
  <c r="AE254" i="65"/>
  <c r="AG209" i="50"/>
  <c r="AH209" i="50" s="1"/>
  <c r="AL209" i="50"/>
  <c r="AG254" i="69"/>
  <c r="AG253" i="65"/>
  <c r="P201" i="32"/>
  <c r="AI198" i="32"/>
  <c r="AN198" i="32" s="1"/>
  <c r="AX255" i="69"/>
  <c r="O212" i="50"/>
  <c r="T212" i="50"/>
  <c r="T202" i="32"/>
  <c r="AD200" i="32"/>
  <c r="AM201" i="32"/>
  <c r="U201" i="32"/>
  <c r="AM211" i="50"/>
  <c r="U211" i="50"/>
  <c r="AD199" i="32"/>
  <c r="AD210" i="50"/>
  <c r="AH254" i="65"/>
  <c r="AV254" i="65"/>
  <c r="AH255" i="69"/>
  <c r="C200" i="32"/>
  <c r="V200" i="32"/>
  <c r="AJ210" i="50"/>
  <c r="C210" i="50"/>
  <c r="AJ199" i="32"/>
  <c r="C199" i="32"/>
  <c r="AJ200" i="32"/>
  <c r="S211" i="50"/>
  <c r="V210" i="50"/>
  <c r="S201" i="32"/>
  <c r="V201" i="32" s="1"/>
  <c r="A202" i="32"/>
  <c r="B202" i="32"/>
  <c r="I212" i="50"/>
  <c r="N212" i="50"/>
  <c r="H212" i="50"/>
  <c r="M212" i="50"/>
  <c r="L212" i="50"/>
  <c r="G212" i="50"/>
  <c r="A212" i="50"/>
  <c r="Q212" i="50" s="1"/>
  <c r="P212" i="50" s="1"/>
  <c r="J212" i="50"/>
  <c r="F212" i="50"/>
  <c r="K212" i="50"/>
  <c r="B212" i="50"/>
  <c r="R212" i="50" s="1"/>
  <c r="F202" i="32"/>
  <c r="N202" i="32"/>
  <c r="G202" i="32"/>
  <c r="O202" i="32"/>
  <c r="H202" i="32"/>
  <c r="I202" i="32"/>
  <c r="J202" i="32"/>
  <c r="K202" i="32"/>
  <c r="L202" i="32"/>
  <c r="M202" i="32"/>
  <c r="W210" i="50"/>
  <c r="X210" i="50" s="1"/>
  <c r="Z210" i="50"/>
  <c r="Z199" i="32"/>
  <c r="W199" i="32"/>
  <c r="X199" i="32" s="1"/>
  <c r="W200" i="32"/>
  <c r="X200" i="32" s="1"/>
  <c r="Z200" i="32"/>
  <c r="P256" i="69"/>
  <c r="N256" i="69"/>
  <c r="AF256" i="69" s="1"/>
  <c r="D256" i="69"/>
  <c r="E256" i="69" s="1"/>
  <c r="F256" i="69" s="1"/>
  <c r="G256" i="69" s="1"/>
  <c r="H256" i="69" s="1"/>
  <c r="I256" i="69" s="1"/>
  <c r="J256" i="69" s="1"/>
  <c r="K256" i="69" s="1"/>
  <c r="M256" i="69" s="1"/>
  <c r="C257" i="69"/>
  <c r="AO257" i="69" s="1"/>
  <c r="O257" i="69"/>
  <c r="Q255" i="69"/>
  <c r="U255" i="69"/>
  <c r="R255" i="69"/>
  <c r="S255" i="69" s="1"/>
  <c r="Y255" i="69" s="1"/>
  <c r="AB255" i="69" s="1"/>
  <c r="AC255" i="69" s="1"/>
  <c r="AD255" i="69" s="1"/>
  <c r="AE255" i="69"/>
  <c r="AN256" i="63" a="1"/>
  <c r="AN256" i="63" s="1"/>
  <c r="AN257" i="63" s="1" a="1"/>
  <c r="AN257" i="63" s="1"/>
  <c r="B257" i="65"/>
  <c r="L257" i="65" s="1"/>
  <c r="C256" i="65"/>
  <c r="AM256" i="65" s="1"/>
  <c r="O256" i="65"/>
  <c r="U254" i="65"/>
  <c r="Q254" i="65"/>
  <c r="R254" i="65"/>
  <c r="S254" i="65" s="1"/>
  <c r="Y254" i="65" s="1"/>
  <c r="AB254" i="65" s="1"/>
  <c r="AC254" i="65" s="1"/>
  <c r="AD254" i="65" s="1"/>
  <c r="P255" i="65"/>
  <c r="D255" i="65"/>
  <c r="E255" i="65" s="1"/>
  <c r="F255" i="65" s="1"/>
  <c r="G255" i="65" s="1"/>
  <c r="H255" i="65" s="1"/>
  <c r="I255" i="65" s="1"/>
  <c r="J255" i="65" s="1"/>
  <c r="K255" i="65" s="1"/>
  <c r="M255" i="65" s="1"/>
  <c r="N255" i="65"/>
  <c r="AL202" i="11" a="1"/>
  <c r="AL202" i="11" s="1"/>
  <c r="E203" i="32" s="1"/>
  <c r="AK203" i="32" s="1"/>
  <c r="AL212" i="59" a="1"/>
  <c r="AL212" i="59" s="1"/>
  <c r="E213" i="50" s="1"/>
  <c r="AK213" i="50" s="1"/>
  <c r="AM102" i="59" a="1"/>
  <c r="AM102" i="59" s="1"/>
  <c r="AM87" i="11" a="1"/>
  <c r="AM87" i="11" s="1"/>
  <c r="AI209" i="50" l="1"/>
  <c r="AP209" i="50" s="1"/>
  <c r="AF255" i="65"/>
  <c r="AE255" i="65"/>
  <c r="AG210" i="50"/>
  <c r="AH210" i="50" s="1"/>
  <c r="AL210" i="50"/>
  <c r="AG200" i="32"/>
  <c r="AH200" i="32" s="1"/>
  <c r="AL200" i="32"/>
  <c r="AG199" i="32"/>
  <c r="AH199" i="32" s="1"/>
  <c r="AL199" i="32"/>
  <c r="AG255" i="69"/>
  <c r="AG254" i="65"/>
  <c r="P202" i="32"/>
  <c r="AX256" i="69"/>
  <c r="T213" i="50"/>
  <c r="O213" i="50"/>
  <c r="T203" i="32"/>
  <c r="AM212" i="50"/>
  <c r="U212" i="50"/>
  <c r="AD211" i="50"/>
  <c r="AD201" i="32"/>
  <c r="AM202" i="32"/>
  <c r="U202" i="32"/>
  <c r="AH255" i="65"/>
  <c r="AV255" i="65"/>
  <c r="AH256" i="69"/>
  <c r="AJ211" i="50"/>
  <c r="C211" i="50"/>
  <c r="AJ201" i="32"/>
  <c r="C201" i="32"/>
  <c r="S212" i="50"/>
  <c r="V211" i="50"/>
  <c r="S202" i="32"/>
  <c r="V202" i="32" s="1"/>
  <c r="A203" i="32"/>
  <c r="B203" i="32"/>
  <c r="F213" i="50"/>
  <c r="N213" i="50"/>
  <c r="K213" i="50"/>
  <c r="G213" i="50"/>
  <c r="A213" i="50"/>
  <c r="Q213" i="50" s="1"/>
  <c r="P213" i="50" s="1"/>
  <c r="L213" i="50"/>
  <c r="H213" i="50"/>
  <c r="B213" i="50"/>
  <c r="R213" i="50" s="1"/>
  <c r="I213" i="50"/>
  <c r="J213" i="50"/>
  <c r="M213" i="50"/>
  <c r="L203" i="32"/>
  <c r="M203" i="32"/>
  <c r="F203" i="32"/>
  <c r="N203" i="32"/>
  <c r="G203" i="32"/>
  <c r="O203" i="32"/>
  <c r="H203" i="32"/>
  <c r="I203" i="32"/>
  <c r="J203" i="32"/>
  <c r="K203" i="32"/>
  <c r="Z211" i="50"/>
  <c r="W211" i="50"/>
  <c r="X211" i="50" s="1"/>
  <c r="W201" i="32"/>
  <c r="X201" i="32" s="1"/>
  <c r="Z201" i="32"/>
  <c r="R256" i="69"/>
  <c r="S256" i="69" s="1"/>
  <c r="Y256" i="69" s="1"/>
  <c r="AB256" i="69" s="1"/>
  <c r="AC256" i="69" s="1"/>
  <c r="AD256" i="69" s="1"/>
  <c r="U256" i="69"/>
  <c r="AE256" i="69"/>
  <c r="Q256" i="69"/>
  <c r="N257" i="69"/>
  <c r="AF257" i="69" s="1"/>
  <c r="D257" i="69"/>
  <c r="P257" i="69"/>
  <c r="P256" i="65"/>
  <c r="N256" i="65"/>
  <c r="D256" i="65"/>
  <c r="E256" i="65" s="1"/>
  <c r="F256" i="65" s="1"/>
  <c r="G256" i="65" s="1"/>
  <c r="H256" i="65" s="1"/>
  <c r="I256" i="65" s="1"/>
  <c r="J256" i="65" s="1"/>
  <c r="K256" i="65" s="1"/>
  <c r="M256" i="65" s="1"/>
  <c r="C257" i="65"/>
  <c r="AM257" i="65" s="1"/>
  <c r="O257" i="65"/>
  <c r="U255" i="65"/>
  <c r="R255" i="65"/>
  <c r="S255" i="65" s="1"/>
  <c r="Y255" i="65" s="1"/>
  <c r="AB255" i="65" s="1"/>
  <c r="AC255" i="65" s="1"/>
  <c r="AD255" i="65" s="1"/>
  <c r="Q255" i="65"/>
  <c r="AL203" i="11" a="1"/>
  <c r="AL203" i="11" s="1"/>
  <c r="E204" i="32" s="1"/>
  <c r="AK204" i="32" s="1"/>
  <c r="AL213" i="59" a="1"/>
  <c r="AL213" i="59" s="1"/>
  <c r="E214" i="50" s="1"/>
  <c r="AK214" i="50" s="1"/>
  <c r="AM103" i="59" a="1"/>
  <c r="AM103" i="59" s="1"/>
  <c r="AM88" i="11" a="1"/>
  <c r="AM88" i="11" s="1"/>
  <c r="AI199" i="32" l="1"/>
  <c r="AN199" i="32" s="1"/>
  <c r="AI200" i="32"/>
  <c r="AN200" i="32" s="1"/>
  <c r="AI210" i="50"/>
  <c r="AP210" i="50" s="1"/>
  <c r="AF256" i="65"/>
  <c r="AE256" i="65"/>
  <c r="AG211" i="50"/>
  <c r="AH211" i="50" s="1"/>
  <c r="AL211" i="50"/>
  <c r="AG201" i="32"/>
  <c r="AH201" i="32" s="1"/>
  <c r="AL201" i="32"/>
  <c r="AG256" i="69"/>
  <c r="AG255" i="65"/>
  <c r="P203" i="32"/>
  <c r="Y169" i="22"/>
  <c r="AA169" i="22" s="1"/>
  <c r="Y170" i="22"/>
  <c r="AA170" i="22" s="1"/>
  <c r="Y172" i="22"/>
  <c r="AA172" i="22" s="1"/>
  <c r="Y171" i="22"/>
  <c r="AA171" i="22" s="1"/>
  <c r="AB171" i="22"/>
  <c r="AD171" i="22" s="1"/>
  <c r="AB173" i="22"/>
  <c r="AD173" i="22" s="1"/>
  <c r="AB172" i="22"/>
  <c r="AD172" i="22" s="1"/>
  <c r="Y173" i="22"/>
  <c r="AA173" i="22" s="1"/>
  <c r="AB170" i="22"/>
  <c r="AD170" i="22" s="1"/>
  <c r="AB169" i="22"/>
  <c r="AD169" i="22" s="1"/>
  <c r="AX257" i="69"/>
  <c r="T214" i="50"/>
  <c r="O214" i="50"/>
  <c r="T204" i="32"/>
  <c r="AM213" i="50"/>
  <c r="U213" i="50"/>
  <c r="AD212" i="50"/>
  <c r="AD202" i="32"/>
  <c r="AM203" i="32"/>
  <c r="U203" i="32"/>
  <c r="AH256" i="65"/>
  <c r="AV256" i="65"/>
  <c r="AH257" i="69"/>
  <c r="AJ212" i="50"/>
  <c r="C212" i="50"/>
  <c r="AJ202" i="32"/>
  <c r="C202" i="32"/>
  <c r="V212" i="50"/>
  <c r="S213" i="50"/>
  <c r="S203" i="32"/>
  <c r="V203" i="32" s="1"/>
  <c r="A204" i="32"/>
  <c r="B204" i="32"/>
  <c r="A214" i="50"/>
  <c r="Q214" i="50" s="1"/>
  <c r="P214" i="50" s="1"/>
  <c r="G214" i="50"/>
  <c r="L214" i="50"/>
  <c r="N214" i="50"/>
  <c r="F214" i="50"/>
  <c r="J214" i="50"/>
  <c r="I214" i="50"/>
  <c r="B214" i="50"/>
  <c r="R214" i="50" s="1"/>
  <c r="M214" i="50"/>
  <c r="K214" i="50"/>
  <c r="H214" i="50"/>
  <c r="J204" i="32"/>
  <c r="K204" i="32"/>
  <c r="L204" i="32"/>
  <c r="M204" i="32"/>
  <c r="F204" i="32"/>
  <c r="N204" i="32"/>
  <c r="G204" i="32"/>
  <c r="O204" i="32"/>
  <c r="H204" i="32"/>
  <c r="I204" i="32"/>
  <c r="W212" i="50"/>
  <c r="X212" i="50" s="1"/>
  <c r="Z212" i="50"/>
  <c r="W202" i="32"/>
  <c r="X202" i="32" s="1"/>
  <c r="Z202" i="32"/>
  <c r="E257" i="69"/>
  <c r="F257" i="69" s="1"/>
  <c r="G257" i="69" s="1"/>
  <c r="H257" i="69" s="1"/>
  <c r="I257" i="69" s="1"/>
  <c r="J257" i="69" s="1"/>
  <c r="K257" i="69" s="1"/>
  <c r="M257" i="69" s="1"/>
  <c r="D258" i="69"/>
  <c r="R257" i="69"/>
  <c r="S257" i="69" s="1"/>
  <c r="U257" i="69"/>
  <c r="AE257" i="69"/>
  <c r="Q257" i="69"/>
  <c r="D257" i="65"/>
  <c r="E257" i="65" s="1"/>
  <c r="F257" i="65" s="1"/>
  <c r="G257" i="65" s="1"/>
  <c r="H257" i="65" s="1"/>
  <c r="I257" i="65" s="1"/>
  <c r="J257" i="65" s="1"/>
  <c r="K257" i="65" s="1"/>
  <c r="M257" i="65" s="1"/>
  <c r="P257" i="65"/>
  <c r="N257" i="65"/>
  <c r="AE257" i="65" s="1"/>
  <c r="U256" i="65"/>
  <c r="Q256" i="65"/>
  <c r="R256" i="65"/>
  <c r="S256" i="65" s="1"/>
  <c r="Y256" i="65" s="1"/>
  <c r="AB256" i="65" s="1"/>
  <c r="AC256" i="65" s="1"/>
  <c r="AD256" i="65" s="1"/>
  <c r="AL204" i="11" a="1"/>
  <c r="AL204" i="11" s="1"/>
  <c r="E205" i="32" s="1"/>
  <c r="AK205" i="32" s="1"/>
  <c r="AL214" i="59" a="1"/>
  <c r="AL214" i="59" s="1"/>
  <c r="E215" i="50" s="1"/>
  <c r="AK215" i="50" s="1"/>
  <c r="AM104" i="59" a="1"/>
  <c r="AM104" i="59" s="1"/>
  <c r="AM89" i="11" a="1"/>
  <c r="AM89" i="11" s="1"/>
  <c r="AI201" i="32" l="1"/>
  <c r="AN201" i="32" s="1"/>
  <c r="AI211" i="50"/>
  <c r="AP211" i="50" s="1"/>
  <c r="AF257" i="65"/>
  <c r="M173" i="22"/>
  <c r="O173" i="22" s="1"/>
  <c r="M171" i="22"/>
  <c r="O171" i="22" s="1"/>
  <c r="M172" i="22"/>
  <c r="O172" i="22" s="1"/>
  <c r="M169" i="22"/>
  <c r="O169" i="22" s="1"/>
  <c r="M170" i="22"/>
  <c r="O170" i="22" s="1"/>
  <c r="AG212" i="50"/>
  <c r="AH212" i="50" s="1"/>
  <c r="AL212" i="50"/>
  <c r="AG202" i="32"/>
  <c r="AH202" i="32" s="1"/>
  <c r="AL202" i="32"/>
  <c r="AG256" i="65"/>
  <c r="P204" i="32"/>
  <c r="N171" i="22"/>
  <c r="P171" i="22" s="1"/>
  <c r="N173" i="22"/>
  <c r="P173" i="22" s="1"/>
  <c r="N172" i="22"/>
  <c r="P172" i="22" s="1"/>
  <c r="AC173" i="22"/>
  <c r="E186" i="36"/>
  <c r="G186" i="36" s="1"/>
  <c r="AC171" i="22"/>
  <c r="E184" i="36"/>
  <c r="G184" i="36" s="1"/>
  <c r="AC172" i="22"/>
  <c r="E185" i="36"/>
  <c r="G185" i="36" s="1"/>
  <c r="E183" i="36"/>
  <c r="G183" i="36" s="1"/>
  <c r="AC170" i="22"/>
  <c r="AC169" i="22"/>
  <c r="E182" i="36"/>
  <c r="G182" i="36" s="1"/>
  <c r="Q258" i="69"/>
  <c r="Y257" i="69"/>
  <c r="T215" i="50"/>
  <c r="O215" i="50"/>
  <c r="T205" i="32"/>
  <c r="AM214" i="50"/>
  <c r="U214" i="50"/>
  <c r="AD213" i="50"/>
  <c r="AM204" i="32"/>
  <c r="U204" i="32"/>
  <c r="AD203" i="32"/>
  <c r="AH257" i="65"/>
  <c r="AV257" i="65"/>
  <c r="AJ213" i="50"/>
  <c r="C213" i="50"/>
  <c r="AJ203" i="32"/>
  <c r="C203" i="32"/>
  <c r="S214" i="50"/>
  <c r="V213" i="50"/>
  <c r="S204" i="32"/>
  <c r="V204" i="32" s="1"/>
  <c r="A205" i="32"/>
  <c r="B205" i="32"/>
  <c r="K215" i="50"/>
  <c r="I215" i="50"/>
  <c r="M215" i="50"/>
  <c r="H215" i="50"/>
  <c r="J215" i="50"/>
  <c r="L215" i="50"/>
  <c r="B215" i="50"/>
  <c r="R215" i="50" s="1"/>
  <c r="A215" i="50"/>
  <c r="Q215" i="50" s="1"/>
  <c r="P215" i="50" s="1"/>
  <c r="F215" i="50"/>
  <c r="G215" i="50"/>
  <c r="N215" i="50"/>
  <c r="H205" i="32"/>
  <c r="I205" i="32"/>
  <c r="J205" i="32"/>
  <c r="K205" i="32"/>
  <c r="L205" i="32"/>
  <c r="M205" i="32"/>
  <c r="F205" i="32"/>
  <c r="G205" i="32"/>
  <c r="O205" i="32"/>
  <c r="N205" i="32"/>
  <c r="W213" i="50"/>
  <c r="X213" i="50" s="1"/>
  <c r="Z213" i="50"/>
  <c r="W203" i="32"/>
  <c r="X203" i="32" s="1"/>
  <c r="Z203" i="32"/>
  <c r="U257" i="65"/>
  <c r="Q257" i="65"/>
  <c r="Q258" i="65" s="1"/>
  <c r="R257" i="65"/>
  <c r="S257" i="65" s="1"/>
  <c r="Y257" i="65" s="1"/>
  <c r="AB257" i="65" s="1"/>
  <c r="AC257" i="65" s="1"/>
  <c r="AD257" i="65" s="1"/>
  <c r="AL205" i="11" a="1"/>
  <c r="AL205" i="11" s="1"/>
  <c r="E206" i="32" s="1"/>
  <c r="AK206" i="32" s="1"/>
  <c r="AL215" i="59" a="1"/>
  <c r="AL215" i="59" s="1"/>
  <c r="E216" i="50" s="1"/>
  <c r="AK216" i="50" s="1"/>
  <c r="AM105" i="59" a="1"/>
  <c r="AM105" i="59" s="1"/>
  <c r="AM90" i="11" a="1"/>
  <c r="AM90" i="11" s="1"/>
  <c r="Y2" i="69" l="1"/>
  <c r="AI202" i="32"/>
  <c r="AN202" i="32" s="1"/>
  <c r="AI212" i="50"/>
  <c r="AP212" i="50" s="1"/>
  <c r="AG213" i="50"/>
  <c r="AH213" i="50" s="1"/>
  <c r="AL213" i="50"/>
  <c r="AG203" i="32"/>
  <c r="AH203" i="32" s="1"/>
  <c r="AL203" i="32"/>
  <c r="AB257" i="69"/>
  <c r="AC257" i="69" s="1"/>
  <c r="AD257" i="69" s="1"/>
  <c r="AO258" i="69" s="1"/>
  <c r="H26" i="73" s="1"/>
  <c r="AG257" i="69"/>
  <c r="AG257" i="65"/>
  <c r="P205" i="32"/>
  <c r="Q172" i="22"/>
  <c r="AE172" i="22" s="1"/>
  <c r="E165" i="36"/>
  <c r="Q173" i="22"/>
  <c r="AE173" i="22" s="1"/>
  <c r="E166" i="36"/>
  <c r="E162" i="36"/>
  <c r="Q169" i="22"/>
  <c r="AE169" i="22" s="1"/>
  <c r="R173" i="22"/>
  <c r="AF173" i="22" s="1"/>
  <c r="F166" i="36"/>
  <c r="R172" i="22"/>
  <c r="AF172" i="22" s="1"/>
  <c r="F165" i="36"/>
  <c r="Q171" i="22"/>
  <c r="AE171" i="22" s="1"/>
  <c r="E164" i="36"/>
  <c r="Q170" i="22"/>
  <c r="AE170" i="22" s="1"/>
  <c r="E163" i="36"/>
  <c r="R171" i="22"/>
  <c r="AF171" i="22" s="1"/>
  <c r="F164" i="36"/>
  <c r="T216" i="50"/>
  <c r="O216" i="50"/>
  <c r="T206" i="32"/>
  <c r="AD204" i="32"/>
  <c r="AD214" i="50"/>
  <c r="AM205" i="32"/>
  <c r="U205" i="32"/>
  <c r="AM215" i="50"/>
  <c r="U215" i="50"/>
  <c r="AJ214" i="50"/>
  <c r="C214" i="50"/>
  <c r="AJ204" i="32"/>
  <c r="C204" i="32"/>
  <c r="S215" i="50"/>
  <c r="V214" i="50"/>
  <c r="S205" i="32"/>
  <c r="V205" i="32" s="1"/>
  <c r="A206" i="32"/>
  <c r="B206" i="32"/>
  <c r="L216" i="50"/>
  <c r="M216" i="50"/>
  <c r="N216" i="50"/>
  <c r="G216" i="50"/>
  <c r="F216" i="50"/>
  <c r="I216" i="50"/>
  <c r="H216" i="50"/>
  <c r="J216" i="50"/>
  <c r="K216" i="50"/>
  <c r="A216" i="50"/>
  <c r="Q216" i="50" s="1"/>
  <c r="P216" i="50" s="1"/>
  <c r="B216" i="50"/>
  <c r="R216" i="50" s="1"/>
  <c r="F206" i="32"/>
  <c r="N206" i="32"/>
  <c r="G206" i="32"/>
  <c r="O206" i="32"/>
  <c r="H206" i="32"/>
  <c r="I206" i="32"/>
  <c r="J206" i="32"/>
  <c r="K206" i="32"/>
  <c r="L206" i="32"/>
  <c r="M206" i="32"/>
  <c r="Z214" i="50"/>
  <c r="W214" i="50"/>
  <c r="X214" i="50" s="1"/>
  <c r="W204" i="32"/>
  <c r="X204" i="32" s="1"/>
  <c r="Z204" i="32"/>
  <c r="AL206" i="11" a="1"/>
  <c r="AL206" i="11" s="1"/>
  <c r="E207" i="32" s="1"/>
  <c r="AK207" i="32" s="1"/>
  <c r="AL216" i="59" a="1"/>
  <c r="AL216" i="59" s="1"/>
  <c r="E217" i="50" s="1"/>
  <c r="AK217" i="50" s="1"/>
  <c r="AM106" i="59" a="1"/>
  <c r="AM106" i="59" s="1"/>
  <c r="AM91" i="11" a="1"/>
  <c r="AM91" i="11" s="1"/>
  <c r="AI203" i="32" l="1"/>
  <c r="AN203" i="32" s="1"/>
  <c r="AI213" i="50"/>
  <c r="AP213" i="50" s="1"/>
  <c r="AG214" i="50"/>
  <c r="AH214" i="50" s="1"/>
  <c r="AL214" i="50"/>
  <c r="AG204" i="32"/>
  <c r="AH204" i="32" s="1"/>
  <c r="AL204" i="32"/>
  <c r="P206" i="32"/>
  <c r="G162" i="36"/>
  <c r="G202" i="36" s="1"/>
  <c r="E202" i="36"/>
  <c r="G164" i="36"/>
  <c r="G204" i="36" s="1"/>
  <c r="E204" i="36"/>
  <c r="G166" i="36"/>
  <c r="G206" i="36" s="1"/>
  <c r="E206" i="36"/>
  <c r="F204" i="36"/>
  <c r="H164" i="36"/>
  <c r="H204" i="36" s="1"/>
  <c r="H165" i="36"/>
  <c r="H205" i="36" s="1"/>
  <c r="F205" i="36"/>
  <c r="G165" i="36"/>
  <c r="G205" i="36" s="1"/>
  <c r="E205" i="36"/>
  <c r="H166" i="36"/>
  <c r="H206" i="36" s="1"/>
  <c r="F206" i="36"/>
  <c r="G163" i="36"/>
  <c r="G203" i="36" s="1"/>
  <c r="E203" i="36"/>
  <c r="O217" i="50"/>
  <c r="T217" i="50"/>
  <c r="T207" i="32"/>
  <c r="AM216" i="50"/>
  <c r="U216" i="50"/>
  <c r="AD205" i="32"/>
  <c r="AM206" i="32"/>
  <c r="U206" i="32"/>
  <c r="AD215" i="50"/>
  <c r="AJ215" i="50"/>
  <c r="C215" i="50"/>
  <c r="AJ205" i="32"/>
  <c r="C205" i="32"/>
  <c r="S216" i="50"/>
  <c r="V215" i="50"/>
  <c r="S206" i="32"/>
  <c r="V206" i="32" s="1"/>
  <c r="A207" i="32"/>
  <c r="B207" i="32"/>
  <c r="B217" i="50"/>
  <c r="R217" i="50" s="1"/>
  <c r="G217" i="50"/>
  <c r="I217" i="50"/>
  <c r="H217" i="50"/>
  <c r="A217" i="50"/>
  <c r="Q217" i="50" s="1"/>
  <c r="P217" i="50" s="1"/>
  <c r="K217" i="50"/>
  <c r="J217" i="50"/>
  <c r="M217" i="50"/>
  <c r="F217" i="50"/>
  <c r="L217" i="50"/>
  <c r="N217" i="50"/>
  <c r="L207" i="32"/>
  <c r="M207" i="32"/>
  <c r="F207" i="32"/>
  <c r="N207" i="32"/>
  <c r="G207" i="32"/>
  <c r="O207" i="32"/>
  <c r="H207" i="32"/>
  <c r="I207" i="32"/>
  <c r="J207" i="32"/>
  <c r="K207" i="32"/>
  <c r="Z215" i="50"/>
  <c r="W215" i="50"/>
  <c r="X215" i="50" s="1"/>
  <c r="W205" i="32"/>
  <c r="X205" i="32" s="1"/>
  <c r="Z205" i="32"/>
  <c r="AL207" i="11" a="1"/>
  <c r="AL207" i="11" s="1"/>
  <c r="E208" i="32" s="1"/>
  <c r="AK208" i="32" s="1"/>
  <c r="AL217" i="59" a="1"/>
  <c r="AL217" i="59" s="1"/>
  <c r="E218" i="50" s="1"/>
  <c r="AK218" i="50" s="1"/>
  <c r="AM107" i="59" a="1"/>
  <c r="AM107" i="59" s="1"/>
  <c r="AM92" i="11" a="1"/>
  <c r="AM92" i="11" s="1"/>
  <c r="AI204" i="32" l="1"/>
  <c r="AN204" i="32" s="1"/>
  <c r="AI214" i="50"/>
  <c r="AP214" i="50" s="1"/>
  <c r="AG215" i="50"/>
  <c r="AH215" i="50" s="1"/>
  <c r="AL215" i="50"/>
  <c r="AG205" i="32"/>
  <c r="AH205" i="32" s="1"/>
  <c r="AL205" i="32"/>
  <c r="P207" i="32"/>
  <c r="O218" i="50"/>
  <c r="T218" i="50"/>
  <c r="T208" i="32"/>
  <c r="AM207" i="32"/>
  <c r="U207" i="32"/>
  <c r="AD206" i="32"/>
  <c r="AD216" i="50"/>
  <c r="AM217" i="50"/>
  <c r="U217" i="50"/>
  <c r="AJ216" i="50"/>
  <c r="C216" i="50"/>
  <c r="AJ206" i="32"/>
  <c r="C206" i="32"/>
  <c r="S217" i="50"/>
  <c r="V216" i="50"/>
  <c r="S207" i="32"/>
  <c r="A208" i="32"/>
  <c r="B208" i="32"/>
  <c r="F218" i="50"/>
  <c r="B218" i="50"/>
  <c r="R218" i="50" s="1"/>
  <c r="A218" i="50"/>
  <c r="Q218" i="50" s="1"/>
  <c r="P218" i="50" s="1"/>
  <c r="J218" i="50"/>
  <c r="N218" i="50"/>
  <c r="K218" i="50"/>
  <c r="G218" i="50"/>
  <c r="H218" i="50"/>
  <c r="I218" i="50"/>
  <c r="L218" i="50"/>
  <c r="M218" i="50"/>
  <c r="J208" i="32"/>
  <c r="K208" i="32"/>
  <c r="L208" i="32"/>
  <c r="M208" i="32"/>
  <c r="F208" i="32"/>
  <c r="N208" i="32"/>
  <c r="G208" i="32"/>
  <c r="O208" i="32"/>
  <c r="H208" i="32"/>
  <c r="I208" i="32"/>
  <c r="Z216" i="50"/>
  <c r="W216" i="50"/>
  <c r="X216" i="50" s="1"/>
  <c r="W206" i="32"/>
  <c r="X206" i="32" s="1"/>
  <c r="Z206" i="32"/>
  <c r="AL208" i="11" a="1"/>
  <c r="AL208" i="11" s="1"/>
  <c r="AL218" i="59" a="1"/>
  <c r="AL218" i="59" s="1"/>
  <c r="E219" i="50" s="1"/>
  <c r="AK219" i="50" s="1"/>
  <c r="AM108" i="59" a="1"/>
  <c r="AM108" i="59" s="1"/>
  <c r="AM93" i="11" a="1"/>
  <c r="AM93" i="11" s="1"/>
  <c r="AI205" i="32" l="1"/>
  <c r="AN205" i="32" s="1"/>
  <c r="AI215" i="50"/>
  <c r="AP215" i="50" s="1"/>
  <c r="AG216" i="50"/>
  <c r="AH216" i="50" s="1"/>
  <c r="AL216" i="50"/>
  <c r="AG206" i="32"/>
  <c r="AH206" i="32" s="1"/>
  <c r="AL206" i="32"/>
  <c r="P208" i="32"/>
  <c r="O219" i="50"/>
  <c r="T219" i="50"/>
  <c r="AD217" i="50"/>
  <c r="AM218" i="50"/>
  <c r="U218" i="50"/>
  <c r="AM208" i="32"/>
  <c r="U208" i="32"/>
  <c r="AD207" i="32"/>
  <c r="C207" i="32"/>
  <c r="V207" i="32"/>
  <c r="AJ217" i="50"/>
  <c r="C217" i="50"/>
  <c r="AJ207" i="32"/>
  <c r="S218" i="50"/>
  <c r="V217" i="50"/>
  <c r="S208" i="32"/>
  <c r="V208" i="32" s="1"/>
  <c r="N219" i="50"/>
  <c r="K219" i="50"/>
  <c r="J219" i="50"/>
  <c r="B219" i="50"/>
  <c r="R219" i="50" s="1"/>
  <c r="A219" i="50"/>
  <c r="Q219" i="50" s="1"/>
  <c r="P219" i="50" s="1"/>
  <c r="L219" i="50"/>
  <c r="M219" i="50"/>
  <c r="I219" i="50"/>
  <c r="F219" i="50"/>
  <c r="G219" i="50"/>
  <c r="H219" i="50"/>
  <c r="Z217" i="50"/>
  <c r="W217" i="50"/>
  <c r="X217" i="50" s="1"/>
  <c r="E209" i="32"/>
  <c r="AK209" i="32" s="1"/>
  <c r="W207" i="32"/>
  <c r="X207" i="32" s="1"/>
  <c r="Z207" i="32"/>
  <c r="AL209" i="11" a="1"/>
  <c r="AL209" i="11" s="1"/>
  <c r="E210" i="32" s="1"/>
  <c r="AK210" i="32" s="1"/>
  <c r="AL219" i="59" a="1"/>
  <c r="AL219" i="59" s="1"/>
  <c r="E220" i="50" s="1"/>
  <c r="AK220" i="50" s="1"/>
  <c r="AM109" i="59" a="1"/>
  <c r="AM109" i="59" s="1"/>
  <c r="AM94" i="11" a="1"/>
  <c r="AM94" i="11" s="1"/>
  <c r="AI206" i="32" l="1"/>
  <c r="AN206" i="32" s="1"/>
  <c r="AI216" i="50"/>
  <c r="AP216" i="50" s="1"/>
  <c r="AL217" i="50"/>
  <c r="AG207" i="32"/>
  <c r="AH207" i="32" s="1"/>
  <c r="AL207" i="32"/>
  <c r="AG217" i="50"/>
  <c r="AH217" i="50" s="1"/>
  <c r="T220" i="50"/>
  <c r="O220" i="50"/>
  <c r="T209" i="32"/>
  <c r="T210" i="32"/>
  <c r="AM219" i="50"/>
  <c r="U219" i="50"/>
  <c r="AD208" i="32"/>
  <c r="AD218" i="50"/>
  <c r="AJ218" i="50"/>
  <c r="C218" i="50"/>
  <c r="AJ208" i="32"/>
  <c r="C208" i="32"/>
  <c r="S219" i="50"/>
  <c r="V218" i="50"/>
  <c r="A210" i="32"/>
  <c r="B210" i="32"/>
  <c r="A209" i="32"/>
  <c r="B209" i="32"/>
  <c r="I220" i="50"/>
  <c r="J220" i="50"/>
  <c r="G220" i="50"/>
  <c r="A220" i="50"/>
  <c r="Q220" i="50" s="1"/>
  <c r="P220" i="50" s="1"/>
  <c r="L220" i="50"/>
  <c r="H220" i="50"/>
  <c r="N220" i="50"/>
  <c r="F220" i="50"/>
  <c r="K220" i="50"/>
  <c r="B220" i="50"/>
  <c r="R220" i="50" s="1"/>
  <c r="M220" i="50"/>
  <c r="H209" i="32"/>
  <c r="I209" i="32"/>
  <c r="J209" i="32"/>
  <c r="K209" i="32"/>
  <c r="L209" i="32"/>
  <c r="M209" i="32"/>
  <c r="G209" i="32"/>
  <c r="N209" i="32"/>
  <c r="O209" i="32"/>
  <c r="F209" i="32"/>
  <c r="F210" i="32"/>
  <c r="N210" i="32"/>
  <c r="G210" i="32"/>
  <c r="O210" i="32"/>
  <c r="H210" i="32"/>
  <c r="I210" i="32"/>
  <c r="J210" i="32"/>
  <c r="K210" i="32"/>
  <c r="L210" i="32"/>
  <c r="M210" i="32"/>
  <c r="Z218" i="50"/>
  <c r="W218" i="50"/>
  <c r="X218" i="50" s="1"/>
  <c r="W208" i="32"/>
  <c r="X208" i="32" s="1"/>
  <c r="Z208" i="32"/>
  <c r="AL210" i="11" a="1"/>
  <c r="AL210" i="11" s="1"/>
  <c r="E211" i="32" s="1"/>
  <c r="AK211" i="32" s="1"/>
  <c r="AL220" i="59" a="1"/>
  <c r="AL220" i="59" s="1"/>
  <c r="E221" i="50" s="1"/>
  <c r="AK221" i="50" s="1"/>
  <c r="AM110" i="59" a="1"/>
  <c r="AM110" i="59" s="1"/>
  <c r="AM95" i="11" a="1"/>
  <c r="AM95" i="11" s="1"/>
  <c r="AI207" i="32" l="1"/>
  <c r="AN207" i="32" s="1"/>
  <c r="AG218" i="50"/>
  <c r="AH218" i="50" s="1"/>
  <c r="AL218" i="50"/>
  <c r="AG208" i="32"/>
  <c r="AH208" i="32" s="1"/>
  <c r="AL208" i="32"/>
  <c r="P209" i="32"/>
  <c r="P210" i="32"/>
  <c r="AI217" i="50"/>
  <c r="AP217" i="50" s="1"/>
  <c r="T221" i="50"/>
  <c r="O221" i="50"/>
  <c r="T211" i="32"/>
  <c r="AM220" i="50"/>
  <c r="U220" i="50"/>
  <c r="AM210" i="32"/>
  <c r="U210" i="32"/>
  <c r="AM209" i="32"/>
  <c r="U209" i="32"/>
  <c r="AD219" i="50"/>
  <c r="AJ219" i="50"/>
  <c r="C219" i="50"/>
  <c r="S220" i="50"/>
  <c r="V219" i="50"/>
  <c r="S209" i="32"/>
  <c r="V209" i="32" s="1"/>
  <c r="S210" i="32"/>
  <c r="A211" i="32"/>
  <c r="B211" i="32"/>
  <c r="N221" i="50"/>
  <c r="G221" i="50"/>
  <c r="M221" i="50"/>
  <c r="F221" i="50"/>
  <c r="K221" i="50"/>
  <c r="B221" i="50"/>
  <c r="R221" i="50" s="1"/>
  <c r="A221" i="50"/>
  <c r="Q221" i="50" s="1"/>
  <c r="P221" i="50" s="1"/>
  <c r="L221" i="50"/>
  <c r="H221" i="50"/>
  <c r="I221" i="50"/>
  <c r="J221" i="50"/>
  <c r="L211" i="32"/>
  <c r="M211" i="32"/>
  <c r="F211" i="32"/>
  <c r="N211" i="32"/>
  <c r="G211" i="32"/>
  <c r="O211" i="32"/>
  <c r="H211" i="32"/>
  <c r="I211" i="32"/>
  <c r="J211" i="32"/>
  <c r="K211" i="32"/>
  <c r="Z219" i="50"/>
  <c r="W219" i="50"/>
  <c r="X219" i="50" s="1"/>
  <c r="AL211" i="11" a="1"/>
  <c r="AL211" i="11" s="1"/>
  <c r="E212" i="32" s="1"/>
  <c r="AK212" i="32" s="1"/>
  <c r="AL221" i="59" a="1"/>
  <c r="AL221" i="59" s="1"/>
  <c r="E222" i="50" s="1"/>
  <c r="AK222" i="50" s="1"/>
  <c r="AM111" i="59" a="1"/>
  <c r="AM111" i="59" s="1"/>
  <c r="AM96" i="11" a="1"/>
  <c r="AM96" i="11" s="1"/>
  <c r="AI208" i="32" l="1"/>
  <c r="AN208" i="32" s="1"/>
  <c r="AI218" i="50"/>
  <c r="AP218" i="50" s="1"/>
  <c r="AG219" i="50"/>
  <c r="AH219" i="50" s="1"/>
  <c r="AL219" i="50"/>
  <c r="P211" i="32"/>
  <c r="T222" i="50"/>
  <c r="O222" i="50"/>
  <c r="T212" i="32"/>
  <c r="AM221" i="50"/>
  <c r="U221" i="50"/>
  <c r="AD210" i="32"/>
  <c r="AM211" i="32"/>
  <c r="U211" i="32"/>
  <c r="AD220" i="50"/>
  <c r="AD209" i="32"/>
  <c r="C210" i="32"/>
  <c r="V210" i="32"/>
  <c r="AJ220" i="50"/>
  <c r="C220" i="50"/>
  <c r="AJ209" i="32"/>
  <c r="C209" i="32"/>
  <c r="AJ210" i="32"/>
  <c r="V220" i="50"/>
  <c r="S221" i="50"/>
  <c r="S211" i="32"/>
  <c r="A212" i="32"/>
  <c r="B212" i="32"/>
  <c r="H222" i="50"/>
  <c r="L222" i="50"/>
  <c r="M222" i="50"/>
  <c r="K222" i="50"/>
  <c r="A222" i="50"/>
  <c r="Q222" i="50" s="1"/>
  <c r="P222" i="50" s="1"/>
  <c r="F222" i="50"/>
  <c r="G222" i="50"/>
  <c r="J222" i="50"/>
  <c r="B222" i="50"/>
  <c r="R222" i="50" s="1"/>
  <c r="N222" i="50"/>
  <c r="I222" i="50"/>
  <c r="J212" i="32"/>
  <c r="K212" i="32"/>
  <c r="L212" i="32"/>
  <c r="M212" i="32"/>
  <c r="F212" i="32"/>
  <c r="N212" i="32"/>
  <c r="I212" i="32"/>
  <c r="O212" i="32"/>
  <c r="H212" i="32"/>
  <c r="G212" i="32"/>
  <c r="W209" i="32"/>
  <c r="X209" i="32" s="1"/>
  <c r="Z209" i="32"/>
  <c r="Z220" i="50"/>
  <c r="W220" i="50"/>
  <c r="X220" i="50" s="1"/>
  <c r="W210" i="32"/>
  <c r="X210" i="32" s="1"/>
  <c r="Z210" i="32"/>
  <c r="AL212" i="11" a="1"/>
  <c r="AL212" i="11" s="1"/>
  <c r="E213" i="32" s="1"/>
  <c r="AK213" i="32" s="1"/>
  <c r="AL222" i="59" a="1"/>
  <c r="AL222" i="59" s="1"/>
  <c r="E223" i="50" s="1"/>
  <c r="AK223" i="50" s="1"/>
  <c r="AM112" i="59" a="1"/>
  <c r="AM112" i="59" s="1"/>
  <c r="AM97" i="11" a="1"/>
  <c r="AM97" i="11" s="1"/>
  <c r="AI219" i="50" l="1"/>
  <c r="AP219" i="50" s="1"/>
  <c r="AG220" i="50"/>
  <c r="AH220" i="50" s="1"/>
  <c r="AL220" i="50"/>
  <c r="AG210" i="32"/>
  <c r="AH210" i="32" s="1"/>
  <c r="AL210" i="32"/>
  <c r="AG209" i="32"/>
  <c r="AH209" i="32" s="1"/>
  <c r="AL209" i="32"/>
  <c r="P212" i="32"/>
  <c r="T223" i="50"/>
  <c r="O223" i="50"/>
  <c r="T213" i="32"/>
  <c r="AM212" i="32"/>
  <c r="U212" i="32"/>
  <c r="AD211" i="32"/>
  <c r="AM222" i="50"/>
  <c r="U222" i="50"/>
  <c r="AD221" i="50"/>
  <c r="C211" i="32"/>
  <c r="V211" i="32"/>
  <c r="AJ221" i="50"/>
  <c r="C221" i="50"/>
  <c r="AJ211" i="32"/>
  <c r="V221" i="50"/>
  <c r="S222" i="50"/>
  <c r="S212" i="32"/>
  <c r="V212" i="32" s="1"/>
  <c r="A213" i="32"/>
  <c r="B213" i="32"/>
  <c r="G223" i="50"/>
  <c r="K223" i="50"/>
  <c r="J223" i="50"/>
  <c r="I223" i="50"/>
  <c r="F223" i="50"/>
  <c r="B223" i="50"/>
  <c r="R223" i="50" s="1"/>
  <c r="H223" i="50"/>
  <c r="M223" i="50"/>
  <c r="A223" i="50"/>
  <c r="Q223" i="50" s="1"/>
  <c r="P223" i="50" s="1"/>
  <c r="N223" i="50"/>
  <c r="L223" i="50"/>
  <c r="H213" i="32"/>
  <c r="I213" i="32"/>
  <c r="J213" i="32"/>
  <c r="K213" i="32"/>
  <c r="L213" i="32"/>
  <c r="F213" i="32"/>
  <c r="G213" i="32"/>
  <c r="O213" i="32"/>
  <c r="M213" i="32"/>
  <c r="N213" i="32"/>
  <c r="Z221" i="50"/>
  <c r="W221" i="50"/>
  <c r="X221" i="50" s="1"/>
  <c r="W211" i="32"/>
  <c r="X211" i="32" s="1"/>
  <c r="Z211" i="32"/>
  <c r="AL213" i="11" a="1"/>
  <c r="AL213" i="11" s="1"/>
  <c r="E214" i="32" s="1"/>
  <c r="AK214" i="32" s="1"/>
  <c r="AL223" i="59" a="1"/>
  <c r="AL223" i="59" s="1"/>
  <c r="E224" i="50" s="1"/>
  <c r="AK224" i="50" s="1"/>
  <c r="AM113" i="59" a="1"/>
  <c r="AM113" i="59" s="1"/>
  <c r="AM98" i="11" a="1"/>
  <c r="AM98" i="11" s="1"/>
  <c r="AI209" i="32" l="1"/>
  <c r="AN209" i="32" s="1"/>
  <c r="AI210" i="32"/>
  <c r="AN210" i="32" s="1"/>
  <c r="AI220" i="50"/>
  <c r="AP220" i="50" s="1"/>
  <c r="AL211" i="32"/>
  <c r="AG221" i="50"/>
  <c r="AH221" i="50" s="1"/>
  <c r="AL221" i="50"/>
  <c r="P213" i="32"/>
  <c r="AG211" i="32"/>
  <c r="AH211" i="32" s="1"/>
  <c r="T224" i="50"/>
  <c r="O224" i="50"/>
  <c r="T214" i="32"/>
  <c r="AM213" i="32"/>
  <c r="U213" i="32"/>
  <c r="AM223" i="50"/>
  <c r="U223" i="50"/>
  <c r="AD222" i="50"/>
  <c r="AD212" i="32"/>
  <c r="AJ222" i="50"/>
  <c r="C222" i="50"/>
  <c r="AJ212" i="32"/>
  <c r="C212" i="32"/>
  <c r="V222" i="50"/>
  <c r="S223" i="50"/>
  <c r="S213" i="32"/>
  <c r="A214" i="32"/>
  <c r="B214" i="32"/>
  <c r="L224" i="50"/>
  <c r="N224" i="50"/>
  <c r="J224" i="50"/>
  <c r="F224" i="50"/>
  <c r="H224" i="50"/>
  <c r="M224" i="50"/>
  <c r="G224" i="50"/>
  <c r="K224" i="50"/>
  <c r="I224" i="50"/>
  <c r="B224" i="50"/>
  <c r="R224" i="50" s="1"/>
  <c r="A224" i="50"/>
  <c r="Q224" i="50" s="1"/>
  <c r="P224" i="50" s="1"/>
  <c r="F214" i="32"/>
  <c r="N214" i="32"/>
  <c r="G214" i="32"/>
  <c r="O214" i="32"/>
  <c r="H214" i="32"/>
  <c r="I214" i="32"/>
  <c r="J214" i="32"/>
  <c r="L214" i="32"/>
  <c r="M214" i="32"/>
  <c r="K214" i="32"/>
  <c r="Z222" i="50"/>
  <c r="W222" i="50"/>
  <c r="X222" i="50" s="1"/>
  <c r="W212" i="32"/>
  <c r="X212" i="32" s="1"/>
  <c r="Z212" i="32"/>
  <c r="AL214" i="11" a="1"/>
  <c r="AL214" i="11" s="1"/>
  <c r="E215" i="32" s="1"/>
  <c r="AK215" i="32" s="1"/>
  <c r="AL224" i="59" a="1"/>
  <c r="AL224" i="59" s="1"/>
  <c r="E225" i="50" s="1"/>
  <c r="AK225" i="50" s="1"/>
  <c r="AM114" i="59" a="1"/>
  <c r="AM114" i="59" s="1"/>
  <c r="AM99" i="11" a="1"/>
  <c r="AM99" i="11" s="1"/>
  <c r="AI221" i="50" l="1"/>
  <c r="AP221" i="50" s="1"/>
  <c r="AG222" i="50"/>
  <c r="AH222" i="50" s="1"/>
  <c r="AL222" i="50"/>
  <c r="AG212" i="32"/>
  <c r="AH212" i="32" s="1"/>
  <c r="AL212" i="32"/>
  <c r="P214" i="32"/>
  <c r="AI211" i="32"/>
  <c r="AN211" i="32" s="1"/>
  <c r="T225" i="50"/>
  <c r="O225" i="50"/>
  <c r="T215" i="32"/>
  <c r="AD223" i="50"/>
  <c r="AM214" i="32"/>
  <c r="U214" i="32"/>
  <c r="AM224" i="50"/>
  <c r="U224" i="50"/>
  <c r="AD213" i="32"/>
  <c r="C213" i="32"/>
  <c r="V213" i="32"/>
  <c r="AJ223" i="50"/>
  <c r="C223" i="50"/>
  <c r="AJ213" i="32"/>
  <c r="S224" i="50"/>
  <c r="V223" i="50"/>
  <c r="S214" i="32"/>
  <c r="V214" i="32" s="1"/>
  <c r="A215" i="32"/>
  <c r="B215" i="32"/>
  <c r="F225" i="50"/>
  <c r="N225" i="50"/>
  <c r="M225" i="50"/>
  <c r="G225" i="50"/>
  <c r="H225" i="50"/>
  <c r="A225" i="50"/>
  <c r="Q225" i="50" s="1"/>
  <c r="P225" i="50" s="1"/>
  <c r="L225" i="50"/>
  <c r="K225" i="50"/>
  <c r="B225" i="50"/>
  <c r="R225" i="50" s="1"/>
  <c r="J225" i="50"/>
  <c r="I225" i="50"/>
  <c r="L215" i="32"/>
  <c r="M215" i="32"/>
  <c r="F215" i="32"/>
  <c r="N215" i="32"/>
  <c r="G215" i="32"/>
  <c r="O215" i="32"/>
  <c r="H215" i="32"/>
  <c r="I215" i="32"/>
  <c r="J215" i="32"/>
  <c r="K215" i="32"/>
  <c r="Z223" i="50"/>
  <c r="W223" i="50"/>
  <c r="X223" i="50" s="1"/>
  <c r="W213" i="32"/>
  <c r="X213" i="32" s="1"/>
  <c r="Z213" i="32"/>
  <c r="AL215" i="11" a="1"/>
  <c r="AL215" i="11" s="1"/>
  <c r="E216" i="32" s="1"/>
  <c r="AK216" i="32" s="1"/>
  <c r="AL225" i="59" a="1"/>
  <c r="AL225" i="59" s="1"/>
  <c r="E226" i="50" s="1"/>
  <c r="AK226" i="50" s="1"/>
  <c r="AM115" i="59" a="1"/>
  <c r="AM115" i="59" s="1"/>
  <c r="AM100" i="11" a="1"/>
  <c r="AM100" i="11" s="1"/>
  <c r="AI212" i="32" l="1"/>
  <c r="AN212" i="32" s="1"/>
  <c r="AI222" i="50"/>
  <c r="AP222" i="50" s="1"/>
  <c r="AG223" i="50"/>
  <c r="AH223" i="50" s="1"/>
  <c r="AL223" i="50"/>
  <c r="AG213" i="32"/>
  <c r="AH213" i="32" s="1"/>
  <c r="AL213" i="32"/>
  <c r="P215" i="32"/>
  <c r="O226" i="50"/>
  <c r="T226" i="50"/>
  <c r="T216" i="32"/>
  <c r="AM215" i="32"/>
  <c r="U215" i="32"/>
  <c r="AD214" i="32"/>
  <c r="AM225" i="50"/>
  <c r="U225" i="50"/>
  <c r="AD224" i="50"/>
  <c r="AJ224" i="50"/>
  <c r="C224" i="50"/>
  <c r="AJ214" i="32"/>
  <c r="C214" i="32"/>
  <c r="S225" i="50"/>
  <c r="V224" i="50"/>
  <c r="S215" i="32"/>
  <c r="V215" i="32" s="1"/>
  <c r="A216" i="32"/>
  <c r="B216" i="32"/>
  <c r="I226" i="50"/>
  <c r="M226" i="50"/>
  <c r="H226" i="50"/>
  <c r="J226" i="50"/>
  <c r="F226" i="50"/>
  <c r="G226" i="50"/>
  <c r="L226" i="50"/>
  <c r="B226" i="50"/>
  <c r="R226" i="50" s="1"/>
  <c r="A226" i="50"/>
  <c r="Q226" i="50" s="1"/>
  <c r="P226" i="50" s="1"/>
  <c r="N226" i="50"/>
  <c r="K226" i="50"/>
  <c r="J216" i="32"/>
  <c r="K216" i="32"/>
  <c r="L216" i="32"/>
  <c r="M216" i="32"/>
  <c r="F216" i="32"/>
  <c r="N216" i="32"/>
  <c r="O216" i="32"/>
  <c r="G216" i="32"/>
  <c r="H216" i="32"/>
  <c r="I216" i="32"/>
  <c r="Z224" i="50"/>
  <c r="W224" i="50"/>
  <c r="X224" i="50" s="1"/>
  <c r="W214" i="32"/>
  <c r="X214" i="32" s="1"/>
  <c r="Z214" i="32"/>
  <c r="AL216" i="11" a="1"/>
  <c r="AL216" i="11" s="1"/>
  <c r="E217" i="32" s="1"/>
  <c r="AK217" i="32" s="1"/>
  <c r="AL226" i="59" a="1"/>
  <c r="AL226" i="59" s="1"/>
  <c r="E227" i="50" s="1"/>
  <c r="AK227" i="50" s="1"/>
  <c r="AM116" i="59" a="1"/>
  <c r="AM116" i="59" s="1"/>
  <c r="AM101" i="11" a="1"/>
  <c r="AM101" i="11" s="1"/>
  <c r="AI213" i="32" l="1"/>
  <c r="AN213" i="32" s="1"/>
  <c r="AI223" i="50"/>
  <c r="AP223" i="50" s="1"/>
  <c r="AG224" i="50"/>
  <c r="AH224" i="50" s="1"/>
  <c r="AL224" i="50"/>
  <c r="AG214" i="32"/>
  <c r="AH214" i="32" s="1"/>
  <c r="AL214" i="32"/>
  <c r="P216" i="32"/>
  <c r="O227" i="50"/>
  <c r="T227" i="50"/>
  <c r="T217" i="32"/>
  <c r="AD225" i="50"/>
  <c r="AM226" i="50"/>
  <c r="U226" i="50"/>
  <c r="AM216" i="32"/>
  <c r="U216" i="32"/>
  <c r="AD215" i="32"/>
  <c r="AJ225" i="50"/>
  <c r="C225" i="50"/>
  <c r="AJ215" i="32"/>
  <c r="C215" i="32"/>
  <c r="S226" i="50"/>
  <c r="V225" i="50"/>
  <c r="S216" i="32"/>
  <c r="V216" i="32" s="1"/>
  <c r="A217" i="32"/>
  <c r="B217" i="32"/>
  <c r="M227" i="50"/>
  <c r="K227" i="50"/>
  <c r="N227" i="50"/>
  <c r="F227" i="50"/>
  <c r="H227" i="50"/>
  <c r="G227" i="50"/>
  <c r="L227" i="50"/>
  <c r="A227" i="50"/>
  <c r="Q227" i="50" s="1"/>
  <c r="P227" i="50" s="1"/>
  <c r="J227" i="50"/>
  <c r="I227" i="50"/>
  <c r="B227" i="50"/>
  <c r="R227" i="50" s="1"/>
  <c r="H217" i="32"/>
  <c r="I217" i="32"/>
  <c r="J217" i="32"/>
  <c r="K217" i="32"/>
  <c r="L217" i="32"/>
  <c r="F217" i="32"/>
  <c r="G217" i="32"/>
  <c r="M217" i="32"/>
  <c r="N217" i="32"/>
  <c r="O217" i="32"/>
  <c r="W225" i="50"/>
  <c r="X225" i="50" s="1"/>
  <c r="Z225" i="50"/>
  <c r="W215" i="32"/>
  <c r="X215" i="32" s="1"/>
  <c r="Z215" i="32"/>
  <c r="AL217" i="11" a="1"/>
  <c r="AL217" i="11" s="1"/>
  <c r="E218" i="32" s="1"/>
  <c r="AK218" i="32" s="1"/>
  <c r="AL227" i="59" a="1"/>
  <c r="AL227" i="59" s="1"/>
  <c r="E228" i="50" s="1"/>
  <c r="AK228" i="50" s="1"/>
  <c r="AM117" i="59" a="1"/>
  <c r="AM117" i="59" s="1"/>
  <c r="AM102" i="11" a="1"/>
  <c r="AM102" i="11" s="1"/>
  <c r="AI214" i="32" l="1"/>
  <c r="AN214" i="32" s="1"/>
  <c r="AI224" i="50"/>
  <c r="AP224" i="50" s="1"/>
  <c r="AG225" i="50"/>
  <c r="AH225" i="50" s="1"/>
  <c r="AL225" i="50"/>
  <c r="AG215" i="32"/>
  <c r="AH215" i="32" s="1"/>
  <c r="AL215" i="32"/>
  <c r="P217" i="32"/>
  <c r="O228" i="50"/>
  <c r="T228" i="50"/>
  <c r="T218" i="32"/>
  <c r="AM227" i="50"/>
  <c r="U227" i="50"/>
  <c r="AD226" i="50"/>
  <c r="AM217" i="32"/>
  <c r="U217" i="32"/>
  <c r="AD216" i="32"/>
  <c r="AJ226" i="50"/>
  <c r="C226" i="50"/>
  <c r="AJ216" i="32"/>
  <c r="C216" i="32"/>
  <c r="V226" i="50"/>
  <c r="S227" i="50"/>
  <c r="S217" i="32"/>
  <c r="V217" i="32" s="1"/>
  <c r="A218" i="32"/>
  <c r="B218" i="32"/>
  <c r="F228" i="50"/>
  <c r="H228" i="50"/>
  <c r="J228" i="50"/>
  <c r="I228" i="50"/>
  <c r="A228" i="50"/>
  <c r="Q228" i="50" s="1"/>
  <c r="P228" i="50" s="1"/>
  <c r="L228" i="50"/>
  <c r="B228" i="50"/>
  <c r="R228" i="50" s="1"/>
  <c r="M228" i="50"/>
  <c r="N228" i="50"/>
  <c r="G228" i="50"/>
  <c r="K228" i="50"/>
  <c r="F218" i="32"/>
  <c r="N218" i="32"/>
  <c r="G218" i="32"/>
  <c r="O218" i="32"/>
  <c r="H218" i="32"/>
  <c r="I218" i="32"/>
  <c r="J218" i="32"/>
  <c r="M218" i="32"/>
  <c r="K218" i="32"/>
  <c r="L218" i="32"/>
  <c r="Z226" i="50"/>
  <c r="W226" i="50"/>
  <c r="X226" i="50" s="1"/>
  <c r="W216" i="32"/>
  <c r="X216" i="32" s="1"/>
  <c r="Z216" i="32"/>
  <c r="AL218" i="11" a="1"/>
  <c r="AL218" i="11" s="1"/>
  <c r="AL228" i="59" a="1"/>
  <c r="AL228" i="59" s="1"/>
  <c r="E229" i="50" s="1"/>
  <c r="AK229" i="50" s="1"/>
  <c r="AM118" i="59" a="1"/>
  <c r="AM118" i="59" s="1"/>
  <c r="AM103" i="11" a="1"/>
  <c r="AM103" i="11" s="1"/>
  <c r="AI215" i="32" l="1"/>
  <c r="AN215" i="32" s="1"/>
  <c r="AI225" i="50"/>
  <c r="AP225" i="50" s="1"/>
  <c r="AG226" i="50"/>
  <c r="AH226" i="50" s="1"/>
  <c r="AL226" i="50"/>
  <c r="AG216" i="32"/>
  <c r="AH216" i="32" s="1"/>
  <c r="AL216" i="32"/>
  <c r="P218" i="32"/>
  <c r="T229" i="50"/>
  <c r="O229" i="50"/>
  <c r="AM218" i="32"/>
  <c r="U218" i="32"/>
  <c r="AM228" i="50"/>
  <c r="U228" i="50"/>
  <c r="AD227" i="50"/>
  <c r="AD217" i="32"/>
  <c r="AJ227" i="50"/>
  <c r="C227" i="50"/>
  <c r="AJ217" i="32"/>
  <c r="C217" i="32"/>
  <c r="S228" i="50"/>
  <c r="V227" i="50"/>
  <c r="S218" i="32"/>
  <c r="A229" i="50"/>
  <c r="Q229" i="50" s="1"/>
  <c r="P229" i="50" s="1"/>
  <c r="M229" i="50"/>
  <c r="I229" i="50"/>
  <c r="J229" i="50"/>
  <c r="H229" i="50"/>
  <c r="L229" i="50"/>
  <c r="B229" i="50"/>
  <c r="R229" i="50" s="1"/>
  <c r="N229" i="50"/>
  <c r="K229" i="50"/>
  <c r="F229" i="50"/>
  <c r="G229" i="50"/>
  <c r="Z227" i="50"/>
  <c r="W227" i="50"/>
  <c r="X227" i="50" s="1"/>
  <c r="E219" i="32"/>
  <c r="AK219" i="32" s="1"/>
  <c r="W217" i="32"/>
  <c r="X217" i="32" s="1"/>
  <c r="Z217" i="32"/>
  <c r="AL219" i="11" a="1"/>
  <c r="AL219" i="11" s="1"/>
  <c r="E220" i="32" s="1"/>
  <c r="AK220" i="32" s="1"/>
  <c r="AL229" i="59" a="1"/>
  <c r="AL229" i="59" s="1"/>
  <c r="E230" i="50" s="1"/>
  <c r="AK230" i="50" s="1"/>
  <c r="AM119" i="59" a="1"/>
  <c r="AM119" i="59" s="1"/>
  <c r="AM104" i="11" a="1"/>
  <c r="AM104" i="11" s="1"/>
  <c r="AI216" i="32" l="1"/>
  <c r="AN216" i="32" s="1"/>
  <c r="AI226" i="50"/>
  <c r="AP226" i="50" s="1"/>
  <c r="AG227" i="50"/>
  <c r="AH227" i="50" s="1"/>
  <c r="AL227" i="50"/>
  <c r="AG217" i="32"/>
  <c r="AH217" i="32" s="1"/>
  <c r="AL217" i="32"/>
  <c r="T230" i="50"/>
  <c r="O230" i="50"/>
  <c r="T219" i="32"/>
  <c r="T220" i="32"/>
  <c r="AD228" i="50"/>
  <c r="AM229" i="50"/>
  <c r="U229" i="50"/>
  <c r="AD218" i="32"/>
  <c r="C218" i="32"/>
  <c r="V218" i="32"/>
  <c r="AJ228" i="50"/>
  <c r="C228" i="50"/>
  <c r="AJ218" i="32"/>
  <c r="S229" i="50"/>
  <c r="V228" i="50"/>
  <c r="A220" i="32"/>
  <c r="B220" i="32"/>
  <c r="A219" i="32"/>
  <c r="B219" i="32"/>
  <c r="G230" i="50"/>
  <c r="M230" i="50"/>
  <c r="K230" i="50"/>
  <c r="F230" i="50"/>
  <c r="I230" i="50"/>
  <c r="L230" i="50"/>
  <c r="N230" i="50"/>
  <c r="A230" i="50"/>
  <c r="Q230" i="50" s="1"/>
  <c r="P230" i="50" s="1"/>
  <c r="H230" i="50"/>
  <c r="B230" i="50"/>
  <c r="R230" i="50" s="1"/>
  <c r="J230" i="50"/>
  <c r="J220" i="32"/>
  <c r="K220" i="32"/>
  <c r="L220" i="32"/>
  <c r="M220" i="32"/>
  <c r="F220" i="32"/>
  <c r="N220" i="32"/>
  <c r="H220" i="32"/>
  <c r="I220" i="32"/>
  <c r="O220" i="32"/>
  <c r="G220" i="32"/>
  <c r="L219" i="32"/>
  <c r="M219" i="32"/>
  <c r="F219" i="32"/>
  <c r="N219" i="32"/>
  <c r="G219" i="32"/>
  <c r="O219" i="32"/>
  <c r="H219" i="32"/>
  <c r="I219" i="32"/>
  <c r="J219" i="32"/>
  <c r="K219" i="32"/>
  <c r="W228" i="50"/>
  <c r="X228" i="50" s="1"/>
  <c r="Z228" i="50"/>
  <c r="W218" i="32"/>
  <c r="X218" i="32" s="1"/>
  <c r="Z218" i="32"/>
  <c r="AL220" i="11" a="1"/>
  <c r="AL220" i="11" s="1"/>
  <c r="AL230" i="59" a="1"/>
  <c r="AL230" i="59" s="1"/>
  <c r="E231" i="50" s="1"/>
  <c r="AK231" i="50" s="1"/>
  <c r="AM120" i="59" a="1"/>
  <c r="AM120" i="59" s="1"/>
  <c r="AM105" i="11" a="1"/>
  <c r="AM105" i="11" s="1"/>
  <c r="AI217" i="32" l="1"/>
  <c r="AN217" i="32" s="1"/>
  <c r="AI227" i="50"/>
  <c r="AP227" i="50" s="1"/>
  <c r="AG228" i="50"/>
  <c r="AH228" i="50" s="1"/>
  <c r="AL228" i="50"/>
  <c r="AG218" i="32"/>
  <c r="AH218" i="32" s="1"/>
  <c r="AL218" i="32"/>
  <c r="P219" i="32"/>
  <c r="P220" i="32"/>
  <c r="T231" i="50"/>
  <c r="O231" i="50"/>
  <c r="AM230" i="50"/>
  <c r="U230" i="50"/>
  <c r="AD229" i="50"/>
  <c r="AM220" i="32"/>
  <c r="U220" i="32"/>
  <c r="AM219" i="32"/>
  <c r="U219" i="32"/>
  <c r="AJ229" i="50"/>
  <c r="C229" i="50"/>
  <c r="S230" i="50"/>
  <c r="V229" i="50"/>
  <c r="S220" i="32"/>
  <c r="S219" i="32"/>
  <c r="V219" i="32" s="1"/>
  <c r="G231" i="50"/>
  <c r="K231" i="50"/>
  <c r="N231" i="50"/>
  <c r="M231" i="50"/>
  <c r="I231" i="50"/>
  <c r="A231" i="50"/>
  <c r="Q231" i="50" s="1"/>
  <c r="P231" i="50" s="1"/>
  <c r="B231" i="50"/>
  <c r="R231" i="50" s="1"/>
  <c r="H231" i="50"/>
  <c r="J231" i="50"/>
  <c r="F231" i="50"/>
  <c r="L231" i="50"/>
  <c r="W229" i="50"/>
  <c r="X229" i="50" s="1"/>
  <c r="Z229" i="50"/>
  <c r="E221" i="32"/>
  <c r="AK221" i="32" s="1"/>
  <c r="AL221" i="11" a="1"/>
  <c r="AL221" i="11" s="1"/>
  <c r="E222" i="32" s="1"/>
  <c r="AK222" i="32" s="1"/>
  <c r="AL231" i="59" a="1"/>
  <c r="AL231" i="59" s="1"/>
  <c r="E232" i="50" s="1"/>
  <c r="AK232" i="50" s="1"/>
  <c r="AM121" i="59" a="1"/>
  <c r="AM121" i="59" s="1"/>
  <c r="AM106" i="11" a="1"/>
  <c r="AM106" i="11" s="1"/>
  <c r="AI218" i="32" l="1"/>
  <c r="AN218" i="32" s="1"/>
  <c r="AI228" i="50"/>
  <c r="AP228" i="50" s="1"/>
  <c r="AG229" i="50"/>
  <c r="AH229" i="50" s="1"/>
  <c r="AL229" i="50"/>
  <c r="T232" i="50"/>
  <c r="O232" i="50"/>
  <c r="T222" i="32"/>
  <c r="T221" i="32"/>
  <c r="AD219" i="32"/>
  <c r="AD230" i="50"/>
  <c r="AM231" i="50"/>
  <c r="U231" i="50"/>
  <c r="AD220" i="32"/>
  <c r="C220" i="32"/>
  <c r="V220" i="32"/>
  <c r="AJ230" i="50"/>
  <c r="C230" i="50"/>
  <c r="AJ219" i="32"/>
  <c r="C219" i="32"/>
  <c r="AJ220" i="32"/>
  <c r="S231" i="50"/>
  <c r="V230" i="50"/>
  <c r="A221" i="32"/>
  <c r="B221" i="32"/>
  <c r="A222" i="32"/>
  <c r="B222" i="32"/>
  <c r="F232" i="50"/>
  <c r="M232" i="50"/>
  <c r="J232" i="50"/>
  <c r="N232" i="50"/>
  <c r="B232" i="50"/>
  <c r="R232" i="50" s="1"/>
  <c r="K232" i="50"/>
  <c r="A232" i="50"/>
  <c r="Q232" i="50" s="1"/>
  <c r="P232" i="50" s="1"/>
  <c r="I232" i="50"/>
  <c r="G232" i="50"/>
  <c r="L232" i="50"/>
  <c r="H232" i="50"/>
  <c r="H221" i="32"/>
  <c r="I221" i="32"/>
  <c r="J221" i="32"/>
  <c r="K221" i="32"/>
  <c r="L221" i="32"/>
  <c r="F221" i="32"/>
  <c r="G221" i="32"/>
  <c r="M221" i="32"/>
  <c r="N221" i="32"/>
  <c r="O221" i="32"/>
  <c r="F222" i="32"/>
  <c r="N222" i="32"/>
  <c r="G222" i="32"/>
  <c r="O222" i="32"/>
  <c r="H222" i="32"/>
  <c r="I222" i="32"/>
  <c r="J222" i="32"/>
  <c r="K222" i="32"/>
  <c r="L222" i="32"/>
  <c r="M222" i="32"/>
  <c r="W230" i="50"/>
  <c r="X230" i="50" s="1"/>
  <c r="Z230" i="50"/>
  <c r="Z219" i="32"/>
  <c r="W219" i="32"/>
  <c r="X219" i="32" s="1"/>
  <c r="W220" i="32"/>
  <c r="X220" i="32" s="1"/>
  <c r="Z220" i="32"/>
  <c r="AL222" i="11" a="1"/>
  <c r="AL222" i="11" s="1"/>
  <c r="E223" i="32" s="1"/>
  <c r="AK223" i="32" s="1"/>
  <c r="AL232" i="59" a="1"/>
  <c r="AL232" i="59" s="1"/>
  <c r="E233" i="50" s="1"/>
  <c r="AK233" i="50" s="1"/>
  <c r="AM122" i="59" a="1"/>
  <c r="AM122" i="59" s="1"/>
  <c r="AM107" i="11" a="1"/>
  <c r="AM107" i="11" s="1"/>
  <c r="AI229" i="50" l="1"/>
  <c r="AP229" i="50" s="1"/>
  <c r="AG230" i="50"/>
  <c r="AH230" i="50" s="1"/>
  <c r="AL230" i="50"/>
  <c r="AG219" i="32"/>
  <c r="AH219" i="32" s="1"/>
  <c r="AL219" i="32"/>
  <c r="AG220" i="32"/>
  <c r="AH220" i="32" s="1"/>
  <c r="AL220" i="32"/>
  <c r="P221" i="32"/>
  <c r="P222" i="32"/>
  <c r="O233" i="50"/>
  <c r="T233" i="50"/>
  <c r="T223" i="32"/>
  <c r="AM221" i="32"/>
  <c r="U221" i="32"/>
  <c r="AM232" i="50"/>
  <c r="U232" i="50"/>
  <c r="AM222" i="32"/>
  <c r="U222" i="32"/>
  <c r="AD231" i="50"/>
  <c r="AJ231" i="50"/>
  <c r="C231" i="50"/>
  <c r="S232" i="50"/>
  <c r="V231" i="50"/>
  <c r="S221" i="32"/>
  <c r="S222" i="32"/>
  <c r="A223" i="32"/>
  <c r="B223" i="32"/>
  <c r="G233" i="50"/>
  <c r="A233" i="50"/>
  <c r="Q233" i="50" s="1"/>
  <c r="P233" i="50" s="1"/>
  <c r="F233" i="50"/>
  <c r="L233" i="50"/>
  <c r="B233" i="50"/>
  <c r="R233" i="50" s="1"/>
  <c r="I233" i="50"/>
  <c r="N233" i="50"/>
  <c r="M233" i="50"/>
  <c r="K233" i="50"/>
  <c r="H233" i="50"/>
  <c r="J233" i="50"/>
  <c r="L223" i="32"/>
  <c r="M223" i="32"/>
  <c r="F223" i="32"/>
  <c r="N223" i="32"/>
  <c r="G223" i="32"/>
  <c r="O223" i="32"/>
  <c r="H223" i="32"/>
  <c r="I223" i="32"/>
  <c r="J223" i="32"/>
  <c r="K223" i="32"/>
  <c r="Z231" i="50"/>
  <c r="W231" i="50"/>
  <c r="X231" i="50" s="1"/>
  <c r="AL223" i="11" a="1"/>
  <c r="AL223" i="11" s="1"/>
  <c r="E224" i="32" s="1"/>
  <c r="AK224" i="32" s="1"/>
  <c r="AL233" i="59" a="1"/>
  <c r="AL233" i="59" s="1"/>
  <c r="E234" i="50" s="1"/>
  <c r="AK234" i="50" s="1"/>
  <c r="AM123" i="59" a="1"/>
  <c r="AM123" i="59" s="1"/>
  <c r="AM108" i="11" a="1"/>
  <c r="AM108" i="11" s="1"/>
  <c r="AI220" i="32" l="1"/>
  <c r="AN220" i="32" s="1"/>
  <c r="AI219" i="32"/>
  <c r="AN219" i="32" s="1"/>
  <c r="AI230" i="50"/>
  <c r="AP230" i="50" s="1"/>
  <c r="AG231" i="50"/>
  <c r="AH231" i="50" s="1"/>
  <c r="AL231" i="50"/>
  <c r="P223" i="32"/>
  <c r="O234" i="50"/>
  <c r="T234" i="50"/>
  <c r="T224" i="32"/>
  <c r="AD232" i="50"/>
  <c r="AM233" i="50"/>
  <c r="U233" i="50"/>
  <c r="AD221" i="32"/>
  <c r="AL221" i="32" s="1"/>
  <c r="AD222" i="32"/>
  <c r="AM223" i="32"/>
  <c r="U223" i="32"/>
  <c r="C222" i="32"/>
  <c r="V222" i="32"/>
  <c r="C221" i="32"/>
  <c r="V221" i="32"/>
  <c r="AJ232" i="50"/>
  <c r="C232" i="50"/>
  <c r="AJ222" i="32"/>
  <c r="AJ221" i="32"/>
  <c r="V232" i="50"/>
  <c r="S233" i="50"/>
  <c r="S223" i="32"/>
  <c r="V223" i="32" s="1"/>
  <c r="A224" i="32"/>
  <c r="B224" i="32"/>
  <c r="B234" i="50"/>
  <c r="R234" i="50" s="1"/>
  <c r="M234" i="50"/>
  <c r="L234" i="50"/>
  <c r="K234" i="50"/>
  <c r="F234" i="50"/>
  <c r="I234" i="50"/>
  <c r="A234" i="50"/>
  <c r="Q234" i="50" s="1"/>
  <c r="P234" i="50" s="1"/>
  <c r="H234" i="50"/>
  <c r="J234" i="50"/>
  <c r="G234" i="50"/>
  <c r="N234" i="50"/>
  <c r="J224" i="32"/>
  <c r="K224" i="32"/>
  <c r="L224" i="32"/>
  <c r="M224" i="32"/>
  <c r="F224" i="32"/>
  <c r="N224" i="32"/>
  <c r="G224" i="32"/>
  <c r="I224" i="32"/>
  <c r="O224" i="32"/>
  <c r="H224" i="32"/>
  <c r="Z221" i="32"/>
  <c r="W221" i="32"/>
  <c r="X221" i="32" s="1"/>
  <c r="W232" i="50"/>
  <c r="X232" i="50" s="1"/>
  <c r="Z232" i="50"/>
  <c r="W222" i="32"/>
  <c r="X222" i="32" s="1"/>
  <c r="Z222" i="32"/>
  <c r="AL224" i="11" a="1"/>
  <c r="AL224" i="11" s="1"/>
  <c r="E225" i="32" s="1"/>
  <c r="AK225" i="32" s="1"/>
  <c r="AL234" i="59" a="1"/>
  <c r="AL234" i="59" s="1"/>
  <c r="E235" i="50" s="1"/>
  <c r="AK235" i="50" s="1"/>
  <c r="AM124" i="59" a="1"/>
  <c r="AM124" i="59" s="1"/>
  <c r="AM109" i="11" a="1"/>
  <c r="AM109" i="11" s="1"/>
  <c r="AI231" i="50" l="1"/>
  <c r="AP231" i="50" s="1"/>
  <c r="AG232" i="50"/>
  <c r="AH232" i="50" s="1"/>
  <c r="AL232" i="50"/>
  <c r="AG222" i="32"/>
  <c r="AH222" i="32" s="1"/>
  <c r="AL222" i="32"/>
  <c r="P224" i="32"/>
  <c r="AG221" i="32"/>
  <c r="AH221" i="32" s="1"/>
  <c r="O235" i="50"/>
  <c r="T235" i="50"/>
  <c r="T225" i="32"/>
  <c r="AM224" i="32"/>
  <c r="U224" i="32"/>
  <c r="AD223" i="32"/>
  <c r="AD233" i="50"/>
  <c r="AM234" i="50"/>
  <c r="U234" i="50"/>
  <c r="AJ233" i="50"/>
  <c r="C233" i="50"/>
  <c r="AJ223" i="32"/>
  <c r="C223" i="32"/>
  <c r="V233" i="50"/>
  <c r="S234" i="50"/>
  <c r="S224" i="32"/>
  <c r="V224" i="32" s="1"/>
  <c r="A225" i="32"/>
  <c r="B225" i="32"/>
  <c r="H235" i="50"/>
  <c r="M235" i="50"/>
  <c r="G235" i="50"/>
  <c r="K235" i="50"/>
  <c r="N235" i="50"/>
  <c r="F235" i="50"/>
  <c r="B235" i="50"/>
  <c r="R235" i="50" s="1"/>
  <c r="I235" i="50"/>
  <c r="J235" i="50"/>
  <c r="A235" i="50"/>
  <c r="Q235" i="50" s="1"/>
  <c r="P235" i="50" s="1"/>
  <c r="L235" i="50"/>
  <c r="H225" i="32"/>
  <c r="I225" i="32"/>
  <c r="J225" i="32"/>
  <c r="K225" i="32"/>
  <c r="L225" i="32"/>
  <c r="G225" i="32"/>
  <c r="M225" i="32"/>
  <c r="N225" i="32"/>
  <c r="O225" i="32"/>
  <c r="F225" i="32"/>
  <c r="Z233" i="50"/>
  <c r="W233" i="50"/>
  <c r="X233" i="50" s="1"/>
  <c r="W223" i="32"/>
  <c r="X223" i="32" s="1"/>
  <c r="Z223" i="32"/>
  <c r="AL225" i="11" a="1"/>
  <c r="AL225" i="11" s="1"/>
  <c r="E226" i="32" s="1"/>
  <c r="AK226" i="32" s="1"/>
  <c r="AL235" i="59" a="1"/>
  <c r="AL235" i="59" s="1"/>
  <c r="E236" i="50" s="1"/>
  <c r="AK236" i="50" s="1"/>
  <c r="AM125" i="59" a="1"/>
  <c r="AM125" i="59" s="1"/>
  <c r="AM110" i="11" a="1"/>
  <c r="AM110" i="11" s="1"/>
  <c r="AI222" i="32" l="1"/>
  <c r="AN222" i="32" s="1"/>
  <c r="AI232" i="50"/>
  <c r="AP232" i="50" s="1"/>
  <c r="AG233" i="50"/>
  <c r="AH233" i="50" s="1"/>
  <c r="AL233" i="50"/>
  <c r="AG223" i="32"/>
  <c r="AH223" i="32" s="1"/>
  <c r="AL223" i="32"/>
  <c r="P225" i="32"/>
  <c r="AI221" i="32"/>
  <c r="AN221" i="32" s="1"/>
  <c r="O236" i="50"/>
  <c r="T236" i="50"/>
  <c r="T226" i="32"/>
  <c r="AM235" i="50"/>
  <c r="U235" i="50"/>
  <c r="AD224" i="32"/>
  <c r="AM225" i="32"/>
  <c r="U225" i="32"/>
  <c r="AD234" i="50"/>
  <c r="AJ234" i="50"/>
  <c r="C234" i="50"/>
  <c r="AJ224" i="32"/>
  <c r="C224" i="32"/>
  <c r="V234" i="50"/>
  <c r="S235" i="50"/>
  <c r="S225" i="32"/>
  <c r="V225" i="32" s="1"/>
  <c r="A226" i="32"/>
  <c r="B226" i="32"/>
  <c r="A236" i="50"/>
  <c r="Q236" i="50" s="1"/>
  <c r="P236" i="50" s="1"/>
  <c r="F236" i="50"/>
  <c r="H236" i="50"/>
  <c r="J236" i="50"/>
  <c r="I236" i="50"/>
  <c r="N236" i="50"/>
  <c r="M236" i="50"/>
  <c r="L236" i="50"/>
  <c r="B236" i="50"/>
  <c r="R236" i="50" s="1"/>
  <c r="G236" i="50"/>
  <c r="K236" i="50"/>
  <c r="F226" i="32"/>
  <c r="N226" i="32"/>
  <c r="G226" i="32"/>
  <c r="O226" i="32"/>
  <c r="H226" i="32"/>
  <c r="I226" i="32"/>
  <c r="J226" i="32"/>
  <c r="K226" i="32"/>
  <c r="L226" i="32"/>
  <c r="M226" i="32"/>
  <c r="Z234" i="50"/>
  <c r="W234" i="50"/>
  <c r="X234" i="50" s="1"/>
  <c r="W224" i="32"/>
  <c r="X224" i="32" s="1"/>
  <c r="Z224" i="32"/>
  <c r="AL226" i="11" a="1"/>
  <c r="AL226" i="11" s="1"/>
  <c r="E227" i="32" s="1"/>
  <c r="AK227" i="32" s="1"/>
  <c r="AL236" i="59" a="1"/>
  <c r="AL236" i="59" s="1"/>
  <c r="E237" i="50" s="1"/>
  <c r="AK237" i="50" s="1"/>
  <c r="AM126" i="59" a="1"/>
  <c r="AM126" i="59" s="1"/>
  <c r="AM111" i="11" a="1"/>
  <c r="AM111" i="11" s="1"/>
  <c r="AI223" i="32" l="1"/>
  <c r="AN223" i="32" s="1"/>
  <c r="AI233" i="50"/>
  <c r="AP233" i="50" s="1"/>
  <c r="AG234" i="50"/>
  <c r="AH234" i="50" s="1"/>
  <c r="AL234" i="50"/>
  <c r="AG224" i="32"/>
  <c r="AH224" i="32" s="1"/>
  <c r="AL224" i="32"/>
  <c r="P226" i="32"/>
  <c r="T237" i="50"/>
  <c r="O237" i="50"/>
  <c r="T227" i="32"/>
  <c r="AD235" i="50"/>
  <c r="AM226" i="32"/>
  <c r="U226" i="32"/>
  <c r="AM236" i="50"/>
  <c r="U236" i="50"/>
  <c r="AD225" i="32"/>
  <c r="AJ235" i="50"/>
  <c r="C235" i="50"/>
  <c r="AJ225" i="32"/>
  <c r="C225" i="32"/>
  <c r="S236" i="50"/>
  <c r="V235" i="50"/>
  <c r="S226" i="32"/>
  <c r="V226" i="32" s="1"/>
  <c r="A227" i="32"/>
  <c r="B227" i="32"/>
  <c r="A237" i="50"/>
  <c r="Q237" i="50" s="1"/>
  <c r="P237" i="50" s="1"/>
  <c r="M237" i="50"/>
  <c r="I237" i="50"/>
  <c r="H237" i="50"/>
  <c r="G237" i="50"/>
  <c r="K237" i="50"/>
  <c r="J237" i="50"/>
  <c r="L237" i="50"/>
  <c r="B237" i="50"/>
  <c r="R237" i="50" s="1"/>
  <c r="F237" i="50"/>
  <c r="N237" i="50"/>
  <c r="L227" i="32"/>
  <c r="M227" i="32"/>
  <c r="F227" i="32"/>
  <c r="N227" i="32"/>
  <c r="G227" i="32"/>
  <c r="O227" i="32"/>
  <c r="H227" i="32"/>
  <c r="J227" i="32"/>
  <c r="K227" i="32"/>
  <c r="I227" i="32"/>
  <c r="W235" i="50"/>
  <c r="X235" i="50" s="1"/>
  <c r="Z235" i="50"/>
  <c r="W225" i="32"/>
  <c r="X225" i="32" s="1"/>
  <c r="Z225" i="32"/>
  <c r="AL227" i="11" a="1"/>
  <c r="AL227" i="11" s="1"/>
  <c r="E228" i="32" s="1"/>
  <c r="AK228" i="32" s="1"/>
  <c r="AL237" i="59" a="1"/>
  <c r="AL237" i="59" s="1"/>
  <c r="E238" i="50" s="1"/>
  <c r="AK238" i="50" s="1"/>
  <c r="AM127" i="59" a="1"/>
  <c r="AM127" i="59" s="1"/>
  <c r="AM112" i="11" a="1"/>
  <c r="AM112" i="11" s="1"/>
  <c r="AI224" i="32" l="1"/>
  <c r="AN224" i="32" s="1"/>
  <c r="AI234" i="50"/>
  <c r="AP234" i="50" s="1"/>
  <c r="AL225" i="32"/>
  <c r="AG235" i="50"/>
  <c r="AH235" i="50" s="1"/>
  <c r="AL235" i="50"/>
  <c r="P227" i="32"/>
  <c r="AG225" i="32"/>
  <c r="AH225" i="32" s="1"/>
  <c r="T238" i="50"/>
  <c r="O238" i="50"/>
  <c r="T228" i="32"/>
  <c r="AM227" i="32"/>
  <c r="U227" i="32"/>
  <c r="AD226" i="32"/>
  <c r="AM237" i="50"/>
  <c r="U237" i="50"/>
  <c r="AD236" i="50"/>
  <c r="AJ236" i="50"/>
  <c r="C236" i="50"/>
  <c r="AJ226" i="32"/>
  <c r="C226" i="32"/>
  <c r="S237" i="50"/>
  <c r="V236" i="50"/>
  <c r="S227" i="32"/>
  <c r="V227" i="32" s="1"/>
  <c r="A228" i="32"/>
  <c r="B228" i="32"/>
  <c r="I238" i="50"/>
  <c r="L238" i="50"/>
  <c r="M238" i="50"/>
  <c r="B238" i="50"/>
  <c r="R238" i="50" s="1"/>
  <c r="A238" i="50"/>
  <c r="Q238" i="50" s="1"/>
  <c r="P238" i="50" s="1"/>
  <c r="K238" i="50"/>
  <c r="H238" i="50"/>
  <c r="F238" i="50"/>
  <c r="N238" i="50"/>
  <c r="G238" i="50"/>
  <c r="J238" i="50"/>
  <c r="J228" i="32"/>
  <c r="K228" i="32"/>
  <c r="L228" i="32"/>
  <c r="M228" i="32"/>
  <c r="F228" i="32"/>
  <c r="N228" i="32"/>
  <c r="G228" i="32"/>
  <c r="H228" i="32"/>
  <c r="O228" i="32"/>
  <c r="I228" i="32"/>
  <c r="W236" i="50"/>
  <c r="X236" i="50" s="1"/>
  <c r="Z236" i="50"/>
  <c r="W226" i="32"/>
  <c r="X226" i="32" s="1"/>
  <c r="Z226" i="32"/>
  <c r="AL228" i="11" a="1"/>
  <c r="AL228" i="11" s="1"/>
  <c r="AL238" i="59" a="1"/>
  <c r="AL238" i="59" s="1"/>
  <c r="E239" i="50" s="1"/>
  <c r="AK239" i="50" s="1"/>
  <c r="AM128" i="59" a="1"/>
  <c r="AM128" i="59" s="1"/>
  <c r="AM113" i="11" a="1"/>
  <c r="AM113" i="11" s="1"/>
  <c r="AI235" i="50" l="1"/>
  <c r="AP235" i="50" s="1"/>
  <c r="AG236" i="50"/>
  <c r="AH236" i="50" s="1"/>
  <c r="AL236" i="50"/>
  <c r="AG226" i="32"/>
  <c r="AH226" i="32" s="1"/>
  <c r="AL226" i="32"/>
  <c r="P228" i="32"/>
  <c r="AI225" i="32"/>
  <c r="AN225" i="32" s="1"/>
  <c r="T239" i="50"/>
  <c r="O239" i="50"/>
  <c r="AM228" i="32"/>
  <c r="U228" i="32"/>
  <c r="AD237" i="50"/>
  <c r="AD227" i="32"/>
  <c r="AM238" i="50"/>
  <c r="U238" i="50"/>
  <c r="AJ237" i="50"/>
  <c r="C237" i="50"/>
  <c r="AJ227" i="32"/>
  <c r="C227" i="32"/>
  <c r="V237" i="50"/>
  <c r="S238" i="50"/>
  <c r="S228" i="32"/>
  <c r="V228" i="32" s="1"/>
  <c r="B239" i="50"/>
  <c r="R239" i="50" s="1"/>
  <c r="A239" i="50"/>
  <c r="Q239" i="50" s="1"/>
  <c r="P239" i="50" s="1"/>
  <c r="K239" i="50"/>
  <c r="H239" i="50"/>
  <c r="I239" i="50"/>
  <c r="N239" i="50"/>
  <c r="M239" i="50"/>
  <c r="F239" i="50"/>
  <c r="G239" i="50"/>
  <c r="J239" i="50"/>
  <c r="L239" i="50"/>
  <c r="W237" i="50"/>
  <c r="X237" i="50" s="1"/>
  <c r="Z237" i="50"/>
  <c r="E229" i="32"/>
  <c r="AK229" i="32" s="1"/>
  <c r="W227" i="32"/>
  <c r="X227" i="32" s="1"/>
  <c r="Z227" i="32"/>
  <c r="AL229" i="11" a="1"/>
  <c r="AL229" i="11" s="1"/>
  <c r="E230" i="32" s="1"/>
  <c r="AK230" i="32" s="1"/>
  <c r="AL239" i="59" a="1"/>
  <c r="AL239" i="59" s="1"/>
  <c r="E240" i="50" s="1"/>
  <c r="AK240" i="50" s="1"/>
  <c r="AM129" i="59" a="1"/>
  <c r="AM129" i="59" s="1"/>
  <c r="AM114" i="11" a="1"/>
  <c r="AM114" i="11" s="1"/>
  <c r="AI226" i="32" l="1"/>
  <c r="AN226" i="32" s="1"/>
  <c r="AI236" i="50"/>
  <c r="AP236" i="50" s="1"/>
  <c r="AG237" i="50"/>
  <c r="AH237" i="50" s="1"/>
  <c r="AL237" i="50"/>
  <c r="AG227" i="32"/>
  <c r="AH227" i="32" s="1"/>
  <c r="AL227" i="32"/>
  <c r="T240" i="50"/>
  <c r="O240" i="50"/>
  <c r="T229" i="32"/>
  <c r="T230" i="32"/>
  <c r="AM239" i="50"/>
  <c r="U239" i="50"/>
  <c r="AD238" i="50"/>
  <c r="AD228" i="32"/>
  <c r="AJ238" i="50"/>
  <c r="C238" i="50"/>
  <c r="AJ228" i="32"/>
  <c r="C228" i="32"/>
  <c r="S239" i="50"/>
  <c r="V238" i="50"/>
  <c r="A230" i="32"/>
  <c r="B230" i="32"/>
  <c r="A229" i="32"/>
  <c r="B229" i="32"/>
  <c r="B240" i="50"/>
  <c r="R240" i="50" s="1"/>
  <c r="F240" i="50"/>
  <c r="N240" i="50"/>
  <c r="M240" i="50"/>
  <c r="H240" i="50"/>
  <c r="J240" i="50"/>
  <c r="G240" i="50"/>
  <c r="K240" i="50"/>
  <c r="L240" i="50"/>
  <c r="A240" i="50"/>
  <c r="Q240" i="50" s="1"/>
  <c r="P240" i="50" s="1"/>
  <c r="I240" i="50"/>
  <c r="H229" i="32"/>
  <c r="I229" i="32"/>
  <c r="J229" i="32"/>
  <c r="K229" i="32"/>
  <c r="L229" i="32"/>
  <c r="M229" i="32"/>
  <c r="N229" i="32"/>
  <c r="O229" i="32"/>
  <c r="F229" i="32"/>
  <c r="G229" i="32"/>
  <c r="F230" i="32"/>
  <c r="N230" i="32"/>
  <c r="G230" i="32"/>
  <c r="O230" i="32"/>
  <c r="H230" i="32"/>
  <c r="I230" i="32"/>
  <c r="J230" i="32"/>
  <c r="K230" i="32"/>
  <c r="L230" i="32"/>
  <c r="M230" i="32"/>
  <c r="Z238" i="50"/>
  <c r="W238" i="50"/>
  <c r="X238" i="50" s="1"/>
  <c r="W228" i="32"/>
  <c r="X228" i="32" s="1"/>
  <c r="Z228" i="32"/>
  <c r="AL230" i="11" a="1"/>
  <c r="AL230" i="11" s="1"/>
  <c r="AL240" i="59" a="1"/>
  <c r="AL240" i="59" s="1"/>
  <c r="E241" i="50" s="1"/>
  <c r="AK241" i="50" s="1"/>
  <c r="AM130" i="59" a="1"/>
  <c r="AM130" i="59" s="1"/>
  <c r="AM115" i="11" a="1"/>
  <c r="AM115" i="11" s="1"/>
  <c r="AI227" i="32" l="1"/>
  <c r="AN227" i="32" s="1"/>
  <c r="AI237" i="50"/>
  <c r="AP237" i="50" s="1"/>
  <c r="AG238" i="50"/>
  <c r="AH238" i="50" s="1"/>
  <c r="AL238" i="50"/>
  <c r="AG228" i="32"/>
  <c r="AH228" i="32" s="1"/>
  <c r="AL228" i="32"/>
  <c r="P229" i="32"/>
  <c r="P230" i="32"/>
  <c r="T241" i="50"/>
  <c r="O241" i="50"/>
  <c r="AM230" i="32"/>
  <c r="U230" i="32"/>
  <c r="AM229" i="32"/>
  <c r="U229" i="32"/>
  <c r="AM240" i="50"/>
  <c r="U240" i="50"/>
  <c r="AD239" i="50"/>
  <c r="AJ239" i="50"/>
  <c r="C239" i="50"/>
  <c r="V239" i="50"/>
  <c r="S240" i="50"/>
  <c r="S229" i="32"/>
  <c r="S230" i="32"/>
  <c r="G241" i="50"/>
  <c r="M241" i="50"/>
  <c r="L241" i="50"/>
  <c r="N241" i="50"/>
  <c r="F241" i="50"/>
  <c r="J241" i="50"/>
  <c r="I241" i="50"/>
  <c r="B241" i="50"/>
  <c r="R241" i="50" s="1"/>
  <c r="K241" i="50"/>
  <c r="H241" i="50"/>
  <c r="A241" i="50"/>
  <c r="Q241" i="50" s="1"/>
  <c r="P241" i="50" s="1"/>
  <c r="Z239" i="50"/>
  <c r="W239" i="50"/>
  <c r="X239" i="50" s="1"/>
  <c r="E231" i="32"/>
  <c r="AK231" i="32" s="1"/>
  <c r="AL231" i="11" a="1"/>
  <c r="AL231" i="11" s="1"/>
  <c r="E232" i="32" s="1"/>
  <c r="AK232" i="32" s="1"/>
  <c r="AL241" i="59" a="1"/>
  <c r="AL241" i="59" s="1"/>
  <c r="E242" i="50" s="1"/>
  <c r="AK242" i="50" s="1"/>
  <c r="AM131" i="59" a="1"/>
  <c r="AM131" i="59" s="1"/>
  <c r="AM116" i="11" a="1"/>
  <c r="AM116" i="11" s="1"/>
  <c r="AI228" i="32" l="1"/>
  <c r="AN228" i="32" s="1"/>
  <c r="AI238" i="50"/>
  <c r="AP238" i="50" s="1"/>
  <c r="AG239" i="50"/>
  <c r="AH239" i="50" s="1"/>
  <c r="AL239" i="50"/>
  <c r="O242" i="50"/>
  <c r="T242" i="50"/>
  <c r="T232" i="32"/>
  <c r="T231" i="32"/>
  <c r="AD229" i="32"/>
  <c r="AD230" i="32"/>
  <c r="AM241" i="50"/>
  <c r="U241" i="50"/>
  <c r="AD240" i="50"/>
  <c r="C229" i="32"/>
  <c r="V229" i="32"/>
  <c r="C230" i="32"/>
  <c r="V230" i="32"/>
  <c r="AJ240" i="50"/>
  <c r="C240" i="50"/>
  <c r="AJ229" i="32"/>
  <c r="AJ230" i="32"/>
  <c r="S241" i="50"/>
  <c r="V240" i="50"/>
  <c r="A231" i="32"/>
  <c r="B231" i="32"/>
  <c r="A232" i="32"/>
  <c r="B232" i="32"/>
  <c r="B242" i="50"/>
  <c r="R242" i="50" s="1"/>
  <c r="G242" i="50"/>
  <c r="A242" i="50"/>
  <c r="Q242" i="50" s="1"/>
  <c r="P242" i="50" s="1"/>
  <c r="K242" i="50"/>
  <c r="I242" i="50"/>
  <c r="J242" i="50"/>
  <c r="F242" i="50"/>
  <c r="N242" i="50"/>
  <c r="M242" i="50"/>
  <c r="L242" i="50"/>
  <c r="H242" i="50"/>
  <c r="L231" i="32"/>
  <c r="M231" i="32"/>
  <c r="N231" i="32"/>
  <c r="F231" i="32"/>
  <c r="G231" i="32"/>
  <c r="O231" i="32"/>
  <c r="H231" i="32"/>
  <c r="K231" i="32"/>
  <c r="I231" i="32"/>
  <c r="J231" i="32"/>
  <c r="J232" i="32"/>
  <c r="K232" i="32"/>
  <c r="L232" i="32"/>
  <c r="M232" i="32"/>
  <c r="F232" i="32"/>
  <c r="N232" i="32"/>
  <c r="G232" i="32"/>
  <c r="H232" i="32"/>
  <c r="I232" i="32"/>
  <c r="O232" i="32"/>
  <c r="Z229" i="32"/>
  <c r="W229" i="32"/>
  <c r="X229" i="32" s="1"/>
  <c r="Z240" i="50"/>
  <c r="W240" i="50"/>
  <c r="X240" i="50" s="1"/>
  <c r="W230" i="32"/>
  <c r="X230" i="32" s="1"/>
  <c r="Z230" i="32"/>
  <c r="AL232" i="11" a="1"/>
  <c r="AL232" i="11" s="1"/>
  <c r="E233" i="32" s="1"/>
  <c r="AK233" i="32" s="1"/>
  <c r="AL242" i="59" a="1"/>
  <c r="AL242" i="59" s="1"/>
  <c r="E243" i="50" s="1"/>
  <c r="AK243" i="50" s="1"/>
  <c r="AM132" i="59" a="1"/>
  <c r="AM132" i="59" s="1"/>
  <c r="AM117" i="11" a="1"/>
  <c r="AM117" i="11" s="1"/>
  <c r="AI239" i="50" l="1"/>
  <c r="AP239" i="50" s="1"/>
  <c r="AG240" i="50"/>
  <c r="AH240" i="50" s="1"/>
  <c r="AL240" i="50"/>
  <c r="AG229" i="32"/>
  <c r="AH229" i="32" s="1"/>
  <c r="AL229" i="32"/>
  <c r="AG230" i="32"/>
  <c r="AH230" i="32" s="1"/>
  <c r="AL230" i="32"/>
  <c r="P232" i="32"/>
  <c r="P231" i="32"/>
  <c r="O243" i="50"/>
  <c r="T243" i="50"/>
  <c r="T233" i="32"/>
  <c r="AM231" i="32"/>
  <c r="U231" i="32"/>
  <c r="AM242" i="50"/>
  <c r="U242" i="50"/>
  <c r="AM232" i="32"/>
  <c r="U232" i="32"/>
  <c r="AD241" i="50"/>
  <c r="AJ241" i="50"/>
  <c r="C241" i="50"/>
  <c r="V241" i="50"/>
  <c r="S242" i="50"/>
  <c r="S231" i="32"/>
  <c r="V231" i="32" s="1"/>
  <c r="S232" i="32"/>
  <c r="A233" i="32"/>
  <c r="B233" i="32"/>
  <c r="H243" i="50"/>
  <c r="F243" i="50"/>
  <c r="G243" i="50"/>
  <c r="A243" i="50"/>
  <c r="Q243" i="50" s="1"/>
  <c r="P243" i="50" s="1"/>
  <c r="K243" i="50"/>
  <c r="B243" i="50"/>
  <c r="R243" i="50" s="1"/>
  <c r="M243" i="50"/>
  <c r="N243" i="50"/>
  <c r="J243" i="50"/>
  <c r="I243" i="50"/>
  <c r="L243" i="50"/>
  <c r="H233" i="32"/>
  <c r="I233" i="32"/>
  <c r="J233" i="32"/>
  <c r="K233" i="32"/>
  <c r="L233" i="32"/>
  <c r="N233" i="32"/>
  <c r="O233" i="32"/>
  <c r="F233" i="32"/>
  <c r="G233" i="32"/>
  <c r="M233" i="32"/>
  <c r="Z241" i="50"/>
  <c r="W241" i="50"/>
  <c r="X241" i="50" s="1"/>
  <c r="AL233" i="11" a="1"/>
  <c r="AL233" i="11" s="1"/>
  <c r="AL243" i="59" a="1"/>
  <c r="AL243" i="59" s="1"/>
  <c r="E244" i="50" s="1"/>
  <c r="AK244" i="50" s="1"/>
  <c r="AM133" i="59" a="1"/>
  <c r="AM133" i="59" s="1"/>
  <c r="AM118" i="11" a="1"/>
  <c r="AM118" i="11" s="1"/>
  <c r="AI229" i="32" l="1"/>
  <c r="AN229" i="32" s="1"/>
  <c r="AI230" i="32"/>
  <c r="AN230" i="32" s="1"/>
  <c r="AI240" i="50"/>
  <c r="AP240" i="50" s="1"/>
  <c r="AG241" i="50"/>
  <c r="AH241" i="50" s="1"/>
  <c r="AL241" i="50"/>
  <c r="P233" i="32"/>
  <c r="O244" i="50"/>
  <c r="T244" i="50"/>
  <c r="AD232" i="32"/>
  <c r="AM233" i="32"/>
  <c r="U233" i="32"/>
  <c r="AM243" i="50"/>
  <c r="U243" i="50"/>
  <c r="AD242" i="50"/>
  <c r="AD231" i="32"/>
  <c r="C232" i="32"/>
  <c r="V232" i="32"/>
  <c r="AJ242" i="50"/>
  <c r="C242" i="50"/>
  <c r="AJ231" i="32"/>
  <c r="C231" i="32"/>
  <c r="AJ232" i="32"/>
  <c r="S243" i="50"/>
  <c r="V242" i="50"/>
  <c r="S233" i="32"/>
  <c r="V233" i="32" s="1"/>
  <c r="A244" i="50"/>
  <c r="Q244" i="50" s="1"/>
  <c r="P244" i="50" s="1"/>
  <c r="J244" i="50"/>
  <c r="I244" i="50"/>
  <c r="F244" i="50"/>
  <c r="H244" i="50"/>
  <c r="G244" i="50"/>
  <c r="K244" i="50"/>
  <c r="M244" i="50"/>
  <c r="L244" i="50"/>
  <c r="N244" i="50"/>
  <c r="B244" i="50"/>
  <c r="R244" i="50" s="1"/>
  <c r="W242" i="50"/>
  <c r="X242" i="50" s="1"/>
  <c r="Z242" i="50"/>
  <c r="E234" i="32"/>
  <c r="AK234" i="32" s="1"/>
  <c r="Z231" i="32"/>
  <c r="W231" i="32"/>
  <c r="X231" i="32" s="1"/>
  <c r="W232" i="32"/>
  <c r="X232" i="32" s="1"/>
  <c r="Z232" i="32"/>
  <c r="AL234" i="11" a="1"/>
  <c r="AL234" i="11" s="1"/>
  <c r="E235" i="32" s="1"/>
  <c r="AK235" i="32" s="1"/>
  <c r="AL244" i="59" a="1"/>
  <c r="AL244" i="59" s="1"/>
  <c r="E245" i="50" s="1"/>
  <c r="AK245" i="50" s="1"/>
  <c r="AM134" i="59" a="1"/>
  <c r="AM134" i="59" s="1"/>
  <c r="AM119" i="11" a="1"/>
  <c r="AM119" i="11" s="1"/>
  <c r="AI241" i="50" l="1"/>
  <c r="AP241" i="50" s="1"/>
  <c r="AL232" i="32"/>
  <c r="AL231" i="32"/>
  <c r="AG242" i="50"/>
  <c r="AH242" i="50" s="1"/>
  <c r="AL242" i="50"/>
  <c r="AG232" i="32"/>
  <c r="AH232" i="32" s="1"/>
  <c r="AG231" i="32"/>
  <c r="AH231" i="32" s="1"/>
  <c r="T245" i="50"/>
  <c r="O245" i="50"/>
  <c r="T234" i="32"/>
  <c r="T235" i="32"/>
  <c r="AM244" i="50"/>
  <c r="U244" i="50"/>
  <c r="AD243" i="50"/>
  <c r="AD233" i="32"/>
  <c r="AJ243" i="50"/>
  <c r="C243" i="50"/>
  <c r="AJ233" i="32"/>
  <c r="C233" i="32"/>
  <c r="S244" i="50"/>
  <c r="V243" i="50"/>
  <c r="A235" i="32"/>
  <c r="B235" i="32"/>
  <c r="A234" i="32"/>
  <c r="B234" i="32"/>
  <c r="A245" i="50"/>
  <c r="Q245" i="50" s="1"/>
  <c r="P245" i="50" s="1"/>
  <c r="I245" i="50"/>
  <c r="M245" i="50"/>
  <c r="F245" i="50"/>
  <c r="H245" i="50"/>
  <c r="G245" i="50"/>
  <c r="L245" i="50"/>
  <c r="J245" i="50"/>
  <c r="B245" i="50"/>
  <c r="R245" i="50" s="1"/>
  <c r="K245" i="50"/>
  <c r="N245" i="50"/>
  <c r="F234" i="32"/>
  <c r="N234" i="32"/>
  <c r="G234" i="32"/>
  <c r="O234" i="32"/>
  <c r="H234" i="32"/>
  <c r="I234" i="32"/>
  <c r="J234" i="32"/>
  <c r="K234" i="32"/>
  <c r="L234" i="32"/>
  <c r="M234" i="32"/>
  <c r="L235" i="32"/>
  <c r="M235" i="32"/>
  <c r="N235" i="32"/>
  <c r="F235" i="32"/>
  <c r="G235" i="32"/>
  <c r="O235" i="32"/>
  <c r="H235" i="32"/>
  <c r="I235" i="32"/>
  <c r="J235" i="32"/>
  <c r="K235" i="32"/>
  <c r="Z243" i="50"/>
  <c r="W243" i="50"/>
  <c r="X243" i="50" s="1"/>
  <c r="W233" i="32"/>
  <c r="X233" i="32" s="1"/>
  <c r="Z233" i="32"/>
  <c r="AL235" i="11" a="1"/>
  <c r="AL235" i="11" s="1"/>
  <c r="E236" i="32" s="1"/>
  <c r="AK236" i="32" s="1"/>
  <c r="AL245" i="59" a="1"/>
  <c r="AL245" i="59" s="1"/>
  <c r="E246" i="50" s="1"/>
  <c r="AK246" i="50" s="1"/>
  <c r="AM135" i="59" a="1"/>
  <c r="AM135" i="59" s="1"/>
  <c r="AM120" i="11" a="1"/>
  <c r="AM120" i="11" s="1"/>
  <c r="AI242" i="50" l="1"/>
  <c r="AP242" i="50" s="1"/>
  <c r="AG243" i="50"/>
  <c r="AH243" i="50" s="1"/>
  <c r="AL243" i="50"/>
  <c r="AG233" i="32"/>
  <c r="AH233" i="32" s="1"/>
  <c r="AL233" i="32"/>
  <c r="P235" i="32"/>
  <c r="P234" i="32"/>
  <c r="AI231" i="32"/>
  <c r="AN231" i="32" s="1"/>
  <c r="AI232" i="32"/>
  <c r="AN232" i="32" s="1"/>
  <c r="T246" i="50"/>
  <c r="O246" i="50"/>
  <c r="T236" i="32"/>
  <c r="AM234" i="32"/>
  <c r="U234" i="32"/>
  <c r="AM245" i="50"/>
  <c r="U245" i="50"/>
  <c r="AD244" i="50"/>
  <c r="AM235" i="32"/>
  <c r="U235" i="32"/>
  <c r="AJ244" i="50"/>
  <c r="C244" i="50"/>
  <c r="S245" i="50"/>
  <c r="V244" i="50"/>
  <c r="S235" i="32"/>
  <c r="S234" i="32"/>
  <c r="A236" i="32"/>
  <c r="B236" i="32"/>
  <c r="I246" i="50"/>
  <c r="H246" i="50"/>
  <c r="M246" i="50"/>
  <c r="K246" i="50"/>
  <c r="N246" i="50"/>
  <c r="A246" i="50"/>
  <c r="Q246" i="50" s="1"/>
  <c r="P246" i="50" s="1"/>
  <c r="B246" i="50"/>
  <c r="R246" i="50" s="1"/>
  <c r="G246" i="50"/>
  <c r="F246" i="50"/>
  <c r="J246" i="50"/>
  <c r="L246" i="50"/>
  <c r="K236" i="32"/>
  <c r="L236" i="32"/>
  <c r="M236" i="32"/>
  <c r="F236" i="32"/>
  <c r="N236" i="32"/>
  <c r="G236" i="32"/>
  <c r="H236" i="32"/>
  <c r="I236" i="32"/>
  <c r="J236" i="32"/>
  <c r="O236" i="32"/>
  <c r="W244" i="50"/>
  <c r="X244" i="50" s="1"/>
  <c r="Z244" i="50"/>
  <c r="AL236" i="11" a="1"/>
  <c r="AL236" i="11" s="1"/>
  <c r="AL246" i="59" a="1"/>
  <c r="AL246" i="59" s="1"/>
  <c r="E247" i="50" s="1"/>
  <c r="AK247" i="50" s="1"/>
  <c r="AM136" i="59" a="1"/>
  <c r="AM136" i="59" s="1"/>
  <c r="AM121" i="11" a="1"/>
  <c r="AM121" i="11" s="1"/>
  <c r="AI233" i="32" l="1"/>
  <c r="AN233" i="32" s="1"/>
  <c r="AI243" i="50"/>
  <c r="AP243" i="50" s="1"/>
  <c r="AG244" i="50"/>
  <c r="AH244" i="50" s="1"/>
  <c r="AL244" i="50"/>
  <c r="P236" i="32"/>
  <c r="T247" i="50"/>
  <c r="O247" i="50"/>
  <c r="AM236" i="32"/>
  <c r="U236" i="32"/>
  <c r="AD245" i="50"/>
  <c r="AD234" i="32"/>
  <c r="AD235" i="32"/>
  <c r="AM246" i="50"/>
  <c r="U246" i="50"/>
  <c r="C234" i="32"/>
  <c r="V234" i="32"/>
  <c r="C235" i="32"/>
  <c r="V235" i="32"/>
  <c r="AJ245" i="50"/>
  <c r="C245" i="50"/>
  <c r="AJ234" i="32"/>
  <c r="AJ235" i="32"/>
  <c r="S246" i="50"/>
  <c r="V245" i="50"/>
  <c r="S236" i="32"/>
  <c r="V236" i="32" s="1"/>
  <c r="B247" i="50"/>
  <c r="R247" i="50" s="1"/>
  <c r="F247" i="50"/>
  <c r="G247" i="50"/>
  <c r="J247" i="50"/>
  <c r="N247" i="50"/>
  <c r="K247" i="50"/>
  <c r="I247" i="50"/>
  <c r="H247" i="50"/>
  <c r="A247" i="50"/>
  <c r="Q247" i="50" s="1"/>
  <c r="P247" i="50" s="1"/>
  <c r="M247" i="50"/>
  <c r="L247" i="50"/>
  <c r="Z234" i="32"/>
  <c r="W234" i="32"/>
  <c r="X234" i="32" s="1"/>
  <c r="W245" i="50"/>
  <c r="X245" i="50" s="1"/>
  <c r="Z245" i="50"/>
  <c r="E237" i="32"/>
  <c r="AK237" i="32" s="1"/>
  <c r="W235" i="32"/>
  <c r="X235" i="32" s="1"/>
  <c r="Z235" i="32"/>
  <c r="AL237" i="11" a="1"/>
  <c r="AL237" i="11" s="1"/>
  <c r="E238" i="32" s="1"/>
  <c r="AK238" i="32" s="1"/>
  <c r="AL247" i="59" a="1"/>
  <c r="AL247" i="59" s="1"/>
  <c r="E248" i="50" s="1"/>
  <c r="AK248" i="50" s="1"/>
  <c r="AM137" i="59" a="1"/>
  <c r="AM137" i="59" s="1"/>
  <c r="AM122" i="11" a="1"/>
  <c r="AM122" i="11" s="1"/>
  <c r="AI244" i="50" l="1"/>
  <c r="AP244" i="50" s="1"/>
  <c r="AL234" i="32"/>
  <c r="AG245" i="50"/>
  <c r="AH245" i="50" s="1"/>
  <c r="AL245" i="50"/>
  <c r="AG235" i="32"/>
  <c r="AH235" i="32" s="1"/>
  <c r="AL235" i="32"/>
  <c r="AG234" i="32"/>
  <c r="AH234" i="32" s="1"/>
  <c r="T248" i="50"/>
  <c r="O248" i="50"/>
  <c r="T238" i="32"/>
  <c r="T237" i="32"/>
  <c r="AD246" i="50"/>
  <c r="AM247" i="50"/>
  <c r="U247" i="50"/>
  <c r="AD236" i="32"/>
  <c r="AJ246" i="50"/>
  <c r="C246" i="50"/>
  <c r="AJ236" i="32"/>
  <c r="C236" i="32"/>
  <c r="S247" i="50"/>
  <c r="V246" i="50"/>
  <c r="A238" i="32"/>
  <c r="B238" i="32"/>
  <c r="A237" i="32"/>
  <c r="B237" i="32"/>
  <c r="B248" i="50"/>
  <c r="R248" i="50" s="1"/>
  <c r="M248" i="50"/>
  <c r="F248" i="50"/>
  <c r="N248" i="50"/>
  <c r="J248" i="50"/>
  <c r="I248" i="50"/>
  <c r="H248" i="50"/>
  <c r="K248" i="50"/>
  <c r="A248" i="50"/>
  <c r="Q248" i="50" s="1"/>
  <c r="P248" i="50" s="1"/>
  <c r="G248" i="50"/>
  <c r="L248" i="50"/>
  <c r="G238" i="32"/>
  <c r="O238" i="32"/>
  <c r="H238" i="32"/>
  <c r="I238" i="32"/>
  <c r="J238" i="32"/>
  <c r="N238" i="32"/>
  <c r="F238" i="32"/>
  <c r="M238" i="32"/>
  <c r="K238" i="32"/>
  <c r="L238" i="32"/>
  <c r="I237" i="32"/>
  <c r="J237" i="32"/>
  <c r="K237" i="32"/>
  <c r="L237" i="32"/>
  <c r="M237" i="32"/>
  <c r="N237" i="32"/>
  <c r="O237" i="32"/>
  <c r="F237" i="32"/>
  <c r="G237" i="32"/>
  <c r="H237" i="32"/>
  <c r="W246" i="50"/>
  <c r="X246" i="50" s="1"/>
  <c r="Z246" i="50"/>
  <c r="W236" i="32"/>
  <c r="X236" i="32" s="1"/>
  <c r="Z236" i="32"/>
  <c r="AL238" i="11" a="1"/>
  <c r="AL238" i="11" s="1"/>
  <c r="AL248" i="59" a="1"/>
  <c r="AL248" i="59" s="1"/>
  <c r="E249" i="50" s="1"/>
  <c r="AK249" i="50" s="1"/>
  <c r="AM138" i="59" a="1"/>
  <c r="AM138" i="59" s="1"/>
  <c r="AM123" i="11" a="1"/>
  <c r="AM123" i="11" s="1"/>
  <c r="AI235" i="32" l="1"/>
  <c r="AN235" i="32" s="1"/>
  <c r="AI245" i="50"/>
  <c r="AP245" i="50" s="1"/>
  <c r="AG246" i="50"/>
  <c r="AH246" i="50" s="1"/>
  <c r="AL246" i="50"/>
  <c r="AG236" i="32"/>
  <c r="AH236" i="32" s="1"/>
  <c r="AL236" i="32"/>
  <c r="P238" i="32"/>
  <c r="P237" i="32"/>
  <c r="AI234" i="32"/>
  <c r="AN234" i="32" s="1"/>
  <c r="O249" i="50"/>
  <c r="T249" i="50"/>
  <c r="AM238" i="32"/>
  <c r="U238" i="32"/>
  <c r="AD247" i="50"/>
  <c r="AM237" i="32"/>
  <c r="U237" i="32"/>
  <c r="AM248" i="50"/>
  <c r="U248" i="50"/>
  <c r="AJ247" i="50"/>
  <c r="C247" i="50"/>
  <c r="S248" i="50"/>
  <c r="V247" i="50"/>
  <c r="S238" i="32"/>
  <c r="V238" i="32" s="1"/>
  <c r="S237" i="32"/>
  <c r="V237" i="32" s="1"/>
  <c r="G249" i="50"/>
  <c r="F249" i="50"/>
  <c r="L249" i="50"/>
  <c r="B249" i="50"/>
  <c r="R249" i="50" s="1"/>
  <c r="N249" i="50"/>
  <c r="I249" i="50"/>
  <c r="H249" i="50"/>
  <c r="K249" i="50"/>
  <c r="M249" i="50"/>
  <c r="A249" i="50"/>
  <c r="Q249" i="50" s="1"/>
  <c r="P249" i="50" s="1"/>
  <c r="J249" i="50"/>
  <c r="Z247" i="50"/>
  <c r="W247" i="50"/>
  <c r="X247" i="50" s="1"/>
  <c r="E239" i="32"/>
  <c r="AK239" i="32" s="1"/>
  <c r="AL239" i="11" a="1"/>
  <c r="AL239" i="11" s="1"/>
  <c r="E240" i="32" s="1"/>
  <c r="AK240" i="32" s="1"/>
  <c r="AL249" i="59" a="1"/>
  <c r="AL249" i="59" s="1"/>
  <c r="E250" i="50" s="1"/>
  <c r="AK250" i="50" s="1"/>
  <c r="AM139" i="59" a="1"/>
  <c r="AM139" i="59" s="1"/>
  <c r="AM124" i="11" a="1"/>
  <c r="AM124" i="11" s="1"/>
  <c r="AI236" i="32" l="1"/>
  <c r="AN236" i="32" s="1"/>
  <c r="AI246" i="50"/>
  <c r="AP246" i="50" s="1"/>
  <c r="AG247" i="50"/>
  <c r="AH247" i="50" s="1"/>
  <c r="AL247" i="50"/>
  <c r="O250" i="50"/>
  <c r="T250" i="50"/>
  <c r="T239" i="32"/>
  <c r="T240" i="32"/>
  <c r="AM249" i="50"/>
  <c r="U249" i="50"/>
  <c r="AD237" i="32"/>
  <c r="AD238" i="32"/>
  <c r="AD248" i="50"/>
  <c r="AJ248" i="50"/>
  <c r="C248" i="50"/>
  <c r="AJ237" i="32"/>
  <c r="C237" i="32"/>
  <c r="AJ238" i="32"/>
  <c r="C238" i="32"/>
  <c r="S249" i="50"/>
  <c r="V248" i="50"/>
  <c r="A240" i="32"/>
  <c r="B240" i="32"/>
  <c r="A239" i="32"/>
  <c r="B239" i="32"/>
  <c r="F250" i="50"/>
  <c r="G250" i="50"/>
  <c r="B250" i="50"/>
  <c r="R250" i="50" s="1"/>
  <c r="M250" i="50"/>
  <c r="L250" i="50"/>
  <c r="K250" i="50"/>
  <c r="A250" i="50"/>
  <c r="Q250" i="50" s="1"/>
  <c r="P250" i="50" s="1"/>
  <c r="J250" i="50"/>
  <c r="H250" i="50"/>
  <c r="I250" i="50"/>
  <c r="N250" i="50"/>
  <c r="K240" i="32"/>
  <c r="M240" i="32"/>
  <c r="F240" i="32"/>
  <c r="N240" i="32"/>
  <c r="J240" i="32"/>
  <c r="L240" i="32"/>
  <c r="O240" i="32"/>
  <c r="G240" i="32"/>
  <c r="I240" i="32"/>
  <c r="H240" i="32"/>
  <c r="M239" i="32"/>
  <c r="F239" i="32"/>
  <c r="G239" i="32"/>
  <c r="O239" i="32"/>
  <c r="H239" i="32"/>
  <c r="I239" i="32"/>
  <c r="J239" i="32"/>
  <c r="K239" i="32"/>
  <c r="L239" i="32"/>
  <c r="N239" i="32"/>
  <c r="Z248" i="50"/>
  <c r="W248" i="50"/>
  <c r="X248" i="50" s="1"/>
  <c r="W237" i="32"/>
  <c r="X237" i="32" s="1"/>
  <c r="Z237" i="32"/>
  <c r="W238" i="32"/>
  <c r="X238" i="32" s="1"/>
  <c r="Z238" i="32"/>
  <c r="AL240" i="11" a="1"/>
  <c r="AL240" i="11" s="1"/>
  <c r="E241" i="32" s="1"/>
  <c r="AK241" i="32" s="1"/>
  <c r="AL250" i="59" a="1"/>
  <c r="AL250" i="59" s="1"/>
  <c r="E251" i="50" s="1"/>
  <c r="AK251" i="50" s="1"/>
  <c r="AM140" i="59" a="1"/>
  <c r="AM140" i="59" s="1"/>
  <c r="AM125" i="11" a="1"/>
  <c r="AM125" i="11" s="1"/>
  <c r="AI247" i="50" l="1"/>
  <c r="AP247" i="50" s="1"/>
  <c r="AL237" i="32"/>
  <c r="AG248" i="50"/>
  <c r="AH248" i="50" s="1"/>
  <c r="AL248" i="50"/>
  <c r="AG238" i="32"/>
  <c r="AH238" i="32" s="1"/>
  <c r="AL238" i="32"/>
  <c r="P240" i="32"/>
  <c r="P239" i="32"/>
  <c r="AG237" i="32"/>
  <c r="AH237" i="32" s="1"/>
  <c r="O251" i="50"/>
  <c r="T251" i="50"/>
  <c r="T241" i="32"/>
  <c r="AM239" i="32"/>
  <c r="U239" i="32"/>
  <c r="AM250" i="50"/>
  <c r="U250" i="50"/>
  <c r="AD249" i="50"/>
  <c r="AM240" i="32"/>
  <c r="U240" i="32"/>
  <c r="AJ249" i="50"/>
  <c r="C249" i="50"/>
  <c r="S250" i="50"/>
  <c r="V249" i="50"/>
  <c r="S240" i="32"/>
  <c r="V240" i="32" s="1"/>
  <c r="S239" i="32"/>
  <c r="V239" i="32" s="1"/>
  <c r="A241" i="32"/>
  <c r="B241" i="32"/>
  <c r="H251" i="50"/>
  <c r="M251" i="50"/>
  <c r="A251" i="50"/>
  <c r="Q251" i="50" s="1"/>
  <c r="P251" i="50" s="1"/>
  <c r="N251" i="50"/>
  <c r="F251" i="50"/>
  <c r="K251" i="50"/>
  <c r="G251" i="50"/>
  <c r="L251" i="50"/>
  <c r="J251" i="50"/>
  <c r="B251" i="50"/>
  <c r="R251" i="50" s="1"/>
  <c r="I251" i="50"/>
  <c r="I241" i="32"/>
  <c r="K241" i="32"/>
  <c r="L241" i="32"/>
  <c r="N241" i="32"/>
  <c r="O241" i="32"/>
  <c r="J241" i="32"/>
  <c r="F241" i="32"/>
  <c r="G241" i="32"/>
  <c r="H241" i="32"/>
  <c r="M241" i="32"/>
  <c r="W249" i="50"/>
  <c r="X249" i="50" s="1"/>
  <c r="Z249" i="50"/>
  <c r="AL241" i="11" a="1"/>
  <c r="AL241" i="11" s="1"/>
  <c r="E242" i="32" s="1"/>
  <c r="AK242" i="32" s="1"/>
  <c r="AL251" i="59" a="1"/>
  <c r="AL251" i="59" s="1"/>
  <c r="E252" i="50" s="1"/>
  <c r="AK252" i="50" s="1"/>
  <c r="AM141" i="59" a="1"/>
  <c r="AM141" i="59" s="1"/>
  <c r="AM126" i="11" a="1"/>
  <c r="AM126" i="11" s="1"/>
  <c r="AI238" i="32" l="1"/>
  <c r="AN238" i="32" s="1"/>
  <c r="AI248" i="50"/>
  <c r="AP248" i="50" s="1"/>
  <c r="AG249" i="50"/>
  <c r="AH249" i="50" s="1"/>
  <c r="AL249" i="50"/>
  <c r="P241" i="32"/>
  <c r="AI237" i="32"/>
  <c r="AN237" i="32" s="1"/>
  <c r="O252" i="50"/>
  <c r="T252" i="50"/>
  <c r="T242" i="32"/>
  <c r="AM251" i="50"/>
  <c r="U251" i="50"/>
  <c r="AM241" i="32"/>
  <c r="U241" i="32"/>
  <c r="AD240" i="32"/>
  <c r="AD250" i="50"/>
  <c r="AD239" i="32"/>
  <c r="AJ250" i="50"/>
  <c r="C250" i="50"/>
  <c r="AJ239" i="32"/>
  <c r="C239" i="32"/>
  <c r="AJ240" i="32"/>
  <c r="C240" i="32"/>
  <c r="S251" i="50"/>
  <c r="V250" i="50"/>
  <c r="S241" i="32"/>
  <c r="V241" i="32" s="1"/>
  <c r="A242" i="32"/>
  <c r="B242" i="32"/>
  <c r="A252" i="50"/>
  <c r="Q252" i="50" s="1"/>
  <c r="P252" i="50" s="1"/>
  <c r="N252" i="50"/>
  <c r="J252" i="50"/>
  <c r="I252" i="50"/>
  <c r="H252" i="50"/>
  <c r="M252" i="50"/>
  <c r="B252" i="50"/>
  <c r="R252" i="50" s="1"/>
  <c r="G252" i="50"/>
  <c r="K252" i="50"/>
  <c r="F252" i="50"/>
  <c r="L252" i="50"/>
  <c r="G242" i="32"/>
  <c r="O242" i="32"/>
  <c r="I242" i="32"/>
  <c r="J242" i="32"/>
  <c r="M242" i="32"/>
  <c r="F242" i="32"/>
  <c r="H242" i="32"/>
  <c r="L242" i="32"/>
  <c r="K242" i="32"/>
  <c r="N242" i="32"/>
  <c r="Z239" i="32"/>
  <c r="W239" i="32"/>
  <c r="X239" i="32" s="1"/>
  <c r="W250" i="50"/>
  <c r="X250" i="50" s="1"/>
  <c r="Z250" i="50"/>
  <c r="W240" i="32"/>
  <c r="X240" i="32" s="1"/>
  <c r="Z240" i="32"/>
  <c r="AL242" i="11" a="1"/>
  <c r="AL242" i="11" s="1"/>
  <c r="E243" i="32" s="1"/>
  <c r="AK243" i="32" s="1"/>
  <c r="AL252" i="59" a="1"/>
  <c r="AL252" i="59" s="1"/>
  <c r="E253" i="50" s="1"/>
  <c r="AK253" i="50" s="1"/>
  <c r="AM142" i="59" a="1"/>
  <c r="AM142" i="59" s="1"/>
  <c r="AM127" i="11" a="1"/>
  <c r="AM127" i="11" s="1"/>
  <c r="AI249" i="50" l="1"/>
  <c r="AP249" i="50" s="1"/>
  <c r="AG250" i="50"/>
  <c r="AH250" i="50" s="1"/>
  <c r="AL250" i="50"/>
  <c r="AG239" i="32"/>
  <c r="AH239" i="32" s="1"/>
  <c r="AL239" i="32"/>
  <c r="AG240" i="32"/>
  <c r="AH240" i="32" s="1"/>
  <c r="AL240" i="32"/>
  <c r="P242" i="32"/>
  <c r="T253" i="50"/>
  <c r="O253" i="50"/>
  <c r="T243" i="32"/>
  <c r="AM242" i="32"/>
  <c r="U242" i="32"/>
  <c r="AD241" i="32"/>
  <c r="AM252" i="50"/>
  <c r="U252" i="50"/>
  <c r="AD251" i="50"/>
  <c r="AJ251" i="50"/>
  <c r="C251" i="50"/>
  <c r="AJ241" i="32"/>
  <c r="C241" i="32"/>
  <c r="S252" i="50"/>
  <c r="V251" i="50"/>
  <c r="S242" i="32"/>
  <c r="V242" i="32" s="1"/>
  <c r="A243" i="32"/>
  <c r="B243" i="32"/>
  <c r="A253" i="50"/>
  <c r="Q253" i="50" s="1"/>
  <c r="P253" i="50" s="1"/>
  <c r="I253" i="50"/>
  <c r="M253" i="50"/>
  <c r="F253" i="50"/>
  <c r="B253" i="50"/>
  <c r="R253" i="50" s="1"/>
  <c r="N253" i="50"/>
  <c r="G253" i="50"/>
  <c r="K253" i="50"/>
  <c r="H253" i="50"/>
  <c r="J253" i="50"/>
  <c r="L253" i="50"/>
  <c r="M243" i="32"/>
  <c r="G243" i="32"/>
  <c r="O243" i="32"/>
  <c r="H243" i="32"/>
  <c r="F243" i="32"/>
  <c r="I243" i="32"/>
  <c r="J243" i="32"/>
  <c r="K243" i="32"/>
  <c r="L243" i="32"/>
  <c r="N243" i="32"/>
  <c r="Z251" i="50"/>
  <c r="W251" i="50"/>
  <c r="X251" i="50" s="1"/>
  <c r="W241" i="32"/>
  <c r="X241" i="32" s="1"/>
  <c r="Z241" i="32"/>
  <c r="AL243" i="11" a="1"/>
  <c r="AL243" i="11" s="1"/>
  <c r="E244" i="32" s="1"/>
  <c r="AK244" i="32" s="1"/>
  <c r="AL253" i="59" a="1"/>
  <c r="AL253" i="59" s="1"/>
  <c r="E254" i="50" s="1"/>
  <c r="AK254" i="50" s="1"/>
  <c r="AM143" i="59" a="1"/>
  <c r="AM143" i="59" s="1"/>
  <c r="AM128" i="11" a="1"/>
  <c r="AM128" i="11" s="1"/>
  <c r="AI240" i="32" l="1"/>
  <c r="AN240" i="32" s="1"/>
  <c r="AI239" i="32"/>
  <c r="AN239" i="32" s="1"/>
  <c r="AI250" i="50"/>
  <c r="AP250" i="50" s="1"/>
  <c r="AG251" i="50"/>
  <c r="AH251" i="50" s="1"/>
  <c r="AL251" i="50"/>
  <c r="AG241" i="32"/>
  <c r="AH241" i="32" s="1"/>
  <c r="AL241" i="32"/>
  <c r="P243" i="32"/>
  <c r="T254" i="50"/>
  <c r="O254" i="50"/>
  <c r="T244" i="32"/>
  <c r="AD242" i="32"/>
  <c r="AM243" i="32"/>
  <c r="U243" i="32"/>
  <c r="AM253" i="50"/>
  <c r="U253" i="50"/>
  <c r="AD252" i="50"/>
  <c r="AJ252" i="50"/>
  <c r="C252" i="50"/>
  <c r="AJ242" i="32"/>
  <c r="C242" i="32"/>
  <c r="S253" i="50"/>
  <c r="V252" i="50"/>
  <c r="S243" i="32"/>
  <c r="V243" i="32" s="1"/>
  <c r="A244" i="32"/>
  <c r="B244" i="32"/>
  <c r="I254" i="50"/>
  <c r="F254" i="50"/>
  <c r="A254" i="50"/>
  <c r="Q254" i="50" s="1"/>
  <c r="P254" i="50" s="1"/>
  <c r="G254" i="50"/>
  <c r="H254" i="50"/>
  <c r="L254" i="50"/>
  <c r="K254" i="50"/>
  <c r="M254" i="50"/>
  <c r="N254" i="50"/>
  <c r="B254" i="50"/>
  <c r="R254" i="50" s="1"/>
  <c r="J254" i="50"/>
  <c r="K244" i="32"/>
  <c r="M244" i="32"/>
  <c r="F244" i="32"/>
  <c r="N244" i="32"/>
  <c r="I244" i="32"/>
  <c r="J244" i="32"/>
  <c r="L244" i="32"/>
  <c r="H244" i="32"/>
  <c r="O244" i="32"/>
  <c r="G244" i="32"/>
  <c r="Z252" i="50"/>
  <c r="W252" i="50"/>
  <c r="X252" i="50" s="1"/>
  <c r="W242" i="32"/>
  <c r="X242" i="32" s="1"/>
  <c r="Z242" i="32"/>
  <c r="AL244" i="11" a="1"/>
  <c r="AL244" i="11" s="1"/>
  <c r="E245" i="32" s="1"/>
  <c r="AK245" i="32" s="1"/>
  <c r="AL254" i="59" a="1"/>
  <c r="AL254" i="59" s="1"/>
  <c r="E255" i="50" s="1"/>
  <c r="AK255" i="50" s="1"/>
  <c r="AM144" i="59" a="1"/>
  <c r="AM144" i="59" s="1"/>
  <c r="AM129" i="11" a="1"/>
  <c r="AM129" i="11" s="1"/>
  <c r="AI241" i="32" l="1"/>
  <c r="AN241" i="32" s="1"/>
  <c r="AI251" i="50"/>
  <c r="AP251" i="50" s="1"/>
  <c r="AG252" i="50"/>
  <c r="AH252" i="50" s="1"/>
  <c r="AL252" i="50"/>
  <c r="AG242" i="32"/>
  <c r="AH242" i="32" s="1"/>
  <c r="AL242" i="32"/>
  <c r="P244" i="32"/>
  <c r="T255" i="50"/>
  <c r="O255" i="50"/>
  <c r="T245" i="32"/>
  <c r="AM244" i="32"/>
  <c r="U244" i="32"/>
  <c r="AD253" i="50"/>
  <c r="AD243" i="32"/>
  <c r="AM254" i="50"/>
  <c r="U254" i="50"/>
  <c r="AJ253" i="50"/>
  <c r="C253" i="50"/>
  <c r="AJ243" i="32"/>
  <c r="C243" i="32"/>
  <c r="S254" i="50"/>
  <c r="V253" i="50"/>
  <c r="S244" i="32"/>
  <c r="V244" i="32" s="1"/>
  <c r="A245" i="32"/>
  <c r="B245" i="32"/>
  <c r="B255" i="50"/>
  <c r="R255" i="50" s="1"/>
  <c r="F255" i="50"/>
  <c r="G255" i="50"/>
  <c r="J255" i="50"/>
  <c r="N255" i="50"/>
  <c r="H255" i="50"/>
  <c r="I255" i="50"/>
  <c r="A255" i="50"/>
  <c r="Q255" i="50" s="1"/>
  <c r="P255" i="50" s="1"/>
  <c r="K255" i="50"/>
  <c r="M255" i="50"/>
  <c r="L255" i="50"/>
  <c r="I245" i="32"/>
  <c r="K245" i="32"/>
  <c r="L245" i="32"/>
  <c r="M245" i="32"/>
  <c r="N245" i="32"/>
  <c r="O245" i="32"/>
  <c r="G245" i="32"/>
  <c r="H245" i="32"/>
  <c r="J245" i="32"/>
  <c r="F245" i="32"/>
  <c r="Z253" i="50"/>
  <c r="W253" i="50"/>
  <c r="X253" i="50" s="1"/>
  <c r="W243" i="32"/>
  <c r="X243" i="32" s="1"/>
  <c r="Z243" i="32"/>
  <c r="AL245" i="11" a="1"/>
  <c r="AL245" i="11" s="1"/>
  <c r="E246" i="32" s="1"/>
  <c r="AK246" i="32" s="1"/>
  <c r="AL255" i="59" a="1"/>
  <c r="AL255" i="59" s="1"/>
  <c r="E256" i="50" s="1"/>
  <c r="AK256" i="50" s="1"/>
  <c r="AM145" i="59" a="1"/>
  <c r="AM145" i="59" s="1"/>
  <c r="AM130" i="11" a="1"/>
  <c r="AM130" i="11" s="1"/>
  <c r="AI242" i="32" l="1"/>
  <c r="AN242" i="32" s="1"/>
  <c r="AI252" i="50"/>
  <c r="AP252" i="50" s="1"/>
  <c r="AG253" i="50"/>
  <c r="AH253" i="50" s="1"/>
  <c r="AL253" i="50"/>
  <c r="AG243" i="32"/>
  <c r="AH243" i="32" s="1"/>
  <c r="AL243" i="32"/>
  <c r="P245" i="32"/>
  <c r="T256" i="50"/>
  <c r="O256" i="50"/>
  <c r="T246" i="32"/>
  <c r="AD254" i="50"/>
  <c r="AM245" i="32"/>
  <c r="U245" i="32"/>
  <c r="AM255" i="50"/>
  <c r="U255" i="50"/>
  <c r="AD244" i="32"/>
  <c r="AJ254" i="50"/>
  <c r="C254" i="50"/>
  <c r="AJ244" i="32"/>
  <c r="C244" i="32"/>
  <c r="S255" i="50"/>
  <c r="V254" i="50"/>
  <c r="S245" i="32"/>
  <c r="V245" i="32" s="1"/>
  <c r="A246" i="32"/>
  <c r="B246" i="32"/>
  <c r="B256" i="50"/>
  <c r="R256" i="50" s="1"/>
  <c r="M256" i="50"/>
  <c r="N256" i="50"/>
  <c r="J256" i="50"/>
  <c r="I256" i="50"/>
  <c r="K256" i="50"/>
  <c r="G256" i="50"/>
  <c r="H256" i="50"/>
  <c r="L256" i="50"/>
  <c r="A256" i="50"/>
  <c r="Q256" i="50" s="1"/>
  <c r="P256" i="50" s="1"/>
  <c r="F256" i="50"/>
  <c r="G246" i="32"/>
  <c r="O246" i="32"/>
  <c r="I246" i="32"/>
  <c r="J246" i="32"/>
  <c r="N246" i="32"/>
  <c r="F246" i="32"/>
  <c r="K246" i="32"/>
  <c r="L246" i="32"/>
  <c r="H246" i="32"/>
  <c r="M246" i="32"/>
  <c r="W254" i="50"/>
  <c r="X254" i="50" s="1"/>
  <c r="Z254" i="50"/>
  <c r="W244" i="32"/>
  <c r="X244" i="32" s="1"/>
  <c r="Z244" i="32"/>
  <c r="AL246" i="11" a="1"/>
  <c r="AL246" i="11" s="1"/>
  <c r="E247" i="32" s="1"/>
  <c r="AK247" i="32" s="1"/>
  <c r="AL256" i="59" a="1"/>
  <c r="AL256" i="59" s="1"/>
  <c r="E257" i="50" s="1"/>
  <c r="AK257" i="50" s="1"/>
  <c r="AM146" i="59" a="1"/>
  <c r="AM146" i="59" s="1"/>
  <c r="AM131" i="11" a="1"/>
  <c r="AM131" i="11" s="1"/>
  <c r="AI243" i="32" l="1"/>
  <c r="AN243" i="32" s="1"/>
  <c r="AI253" i="50"/>
  <c r="AP253" i="50" s="1"/>
  <c r="AG254" i="50"/>
  <c r="AH254" i="50" s="1"/>
  <c r="AL254" i="50"/>
  <c r="AG244" i="32"/>
  <c r="AH244" i="32" s="1"/>
  <c r="AL244" i="32"/>
  <c r="P246" i="32"/>
  <c r="T257" i="50"/>
  <c r="O257" i="50"/>
  <c r="T247" i="32"/>
  <c r="AD245" i="32"/>
  <c r="AM256" i="50"/>
  <c r="U256" i="50"/>
  <c r="AM246" i="32"/>
  <c r="U246" i="32"/>
  <c r="AD255" i="50"/>
  <c r="AJ255" i="50"/>
  <c r="C255" i="50"/>
  <c r="AJ245" i="32"/>
  <c r="C245" i="32"/>
  <c r="V255" i="50"/>
  <c r="S256" i="50"/>
  <c r="S246" i="32"/>
  <c r="V246" i="32" s="1"/>
  <c r="A247" i="32"/>
  <c r="B247" i="32"/>
  <c r="G257" i="50"/>
  <c r="J257" i="50"/>
  <c r="A257" i="50"/>
  <c r="Q257" i="50" s="1"/>
  <c r="P257" i="50" s="1"/>
  <c r="N257" i="50"/>
  <c r="F257" i="50"/>
  <c r="L257" i="50"/>
  <c r="I257" i="50"/>
  <c r="B257" i="50"/>
  <c r="R257" i="50" s="1"/>
  <c r="M257" i="50"/>
  <c r="K257" i="50"/>
  <c r="H257" i="50"/>
  <c r="M247" i="32"/>
  <c r="G247" i="32"/>
  <c r="O247" i="32"/>
  <c r="H247" i="32"/>
  <c r="F247" i="32"/>
  <c r="I247" i="32"/>
  <c r="J247" i="32"/>
  <c r="K247" i="32"/>
  <c r="L247" i="32"/>
  <c r="N247" i="32"/>
  <c r="W255" i="50"/>
  <c r="X255" i="50" s="1"/>
  <c r="Z255" i="50"/>
  <c r="W245" i="32"/>
  <c r="X245" i="32" s="1"/>
  <c r="Z245" i="32"/>
  <c r="AL247" i="11" a="1"/>
  <c r="AL247" i="11" s="1"/>
  <c r="AL257" i="59" a="1"/>
  <c r="AL257" i="59" s="1"/>
  <c r="E258" i="50" s="1"/>
  <c r="AK258" i="50" s="1"/>
  <c r="AM147" i="59" a="1"/>
  <c r="AM147" i="59" s="1"/>
  <c r="AM132" i="11" a="1"/>
  <c r="AM132" i="11" s="1"/>
  <c r="AI244" i="32" l="1"/>
  <c r="AN244" i="32" s="1"/>
  <c r="AI254" i="50"/>
  <c r="AP254" i="50" s="1"/>
  <c r="AG255" i="50"/>
  <c r="AH255" i="50" s="1"/>
  <c r="AL255" i="50"/>
  <c r="AG245" i="32"/>
  <c r="AH245" i="32" s="1"/>
  <c r="AL245" i="32"/>
  <c r="P247" i="32"/>
  <c r="O258" i="50"/>
  <c r="T258" i="50"/>
  <c r="AD246" i="32"/>
  <c r="AM247" i="32"/>
  <c r="U247" i="32"/>
  <c r="AM257" i="50"/>
  <c r="U257" i="50"/>
  <c r="AD256" i="50"/>
  <c r="AJ256" i="50"/>
  <c r="C256" i="50"/>
  <c r="AJ246" i="32"/>
  <c r="C246" i="32"/>
  <c r="V256" i="50"/>
  <c r="S257" i="50"/>
  <c r="S247" i="32"/>
  <c r="F258" i="50"/>
  <c r="N258" i="50"/>
  <c r="L258" i="50"/>
  <c r="B258" i="50"/>
  <c r="R258" i="50" s="1"/>
  <c r="I258" i="50"/>
  <c r="M258" i="50"/>
  <c r="J258" i="50"/>
  <c r="G258" i="50"/>
  <c r="H258" i="50"/>
  <c r="K258" i="50"/>
  <c r="A258" i="50"/>
  <c r="Q258" i="50" s="1"/>
  <c r="P258" i="50" s="1"/>
  <c r="Z256" i="50"/>
  <c r="W256" i="50"/>
  <c r="X256" i="50" s="1"/>
  <c r="E248" i="32"/>
  <c r="AK248" i="32" s="1"/>
  <c r="W246" i="32"/>
  <c r="X246" i="32" s="1"/>
  <c r="Z246" i="32"/>
  <c r="AL248" i="11" a="1"/>
  <c r="AL248" i="11" s="1"/>
  <c r="E249" i="32" s="1"/>
  <c r="AK249" i="32" s="1"/>
  <c r="AL258" i="59" a="1"/>
  <c r="AL258" i="59" s="1"/>
  <c r="AM148" i="59" a="1"/>
  <c r="AM148" i="59" s="1"/>
  <c r="AM133" i="11" a="1"/>
  <c r="AM133" i="11" s="1"/>
  <c r="AI245" i="32" l="1"/>
  <c r="AN245" i="32" s="1"/>
  <c r="AI255" i="50"/>
  <c r="AP255" i="50" s="1"/>
  <c r="AG256" i="50"/>
  <c r="AH256" i="50" s="1"/>
  <c r="AL256" i="50"/>
  <c r="AG246" i="32"/>
  <c r="AH246" i="32" s="1"/>
  <c r="AL246" i="32"/>
  <c r="T249" i="32"/>
  <c r="T248" i="32"/>
  <c r="AM258" i="50"/>
  <c r="U258" i="50"/>
  <c r="AD257" i="50"/>
  <c r="AD247" i="32"/>
  <c r="C247" i="32"/>
  <c r="V247" i="32"/>
  <c r="AJ257" i="50"/>
  <c r="C257" i="50"/>
  <c r="AJ247" i="32"/>
  <c r="S258" i="50"/>
  <c r="V257" i="50"/>
  <c r="A249" i="32"/>
  <c r="B249" i="32"/>
  <c r="A248" i="32"/>
  <c r="B248" i="32"/>
  <c r="K248" i="32"/>
  <c r="M248" i="32"/>
  <c r="F248" i="32"/>
  <c r="N248" i="32"/>
  <c r="H248" i="32"/>
  <c r="I248" i="32"/>
  <c r="J248" i="32"/>
  <c r="L248" i="32"/>
  <c r="G248" i="32"/>
  <c r="O248" i="32"/>
  <c r="I249" i="32"/>
  <c r="K249" i="32"/>
  <c r="L249" i="32"/>
  <c r="J249" i="32"/>
  <c r="M249" i="32"/>
  <c r="N249" i="32"/>
  <c r="O249" i="32"/>
  <c r="F249" i="32"/>
  <c r="G249" i="32"/>
  <c r="H249" i="32"/>
  <c r="Z257" i="50"/>
  <c r="W257" i="50"/>
  <c r="X257" i="50" s="1"/>
  <c r="W247" i="32"/>
  <c r="X247" i="32" s="1"/>
  <c r="Z247" i="32"/>
  <c r="AL249" i="11" a="1"/>
  <c r="AL249" i="11" s="1"/>
  <c r="AM149" i="59" a="1"/>
  <c r="AM149" i="59" s="1"/>
  <c r="AM134" i="11" a="1"/>
  <c r="AM134" i="11" s="1"/>
  <c r="AI246" i="32" l="1"/>
  <c r="AN246" i="32" s="1"/>
  <c r="AI256" i="50"/>
  <c r="AP256" i="50" s="1"/>
  <c r="AG257" i="50"/>
  <c r="AH257" i="50" s="1"/>
  <c r="AL257" i="50"/>
  <c r="AG247" i="32"/>
  <c r="AH247" i="32" s="1"/>
  <c r="AL247" i="32"/>
  <c r="P249" i="32"/>
  <c r="P248" i="32"/>
  <c r="AB155" i="22"/>
  <c r="AB149" i="22"/>
  <c r="AA152" i="22"/>
  <c r="AB159" i="22"/>
  <c r="AB150" i="22"/>
  <c r="AB158" i="22"/>
  <c r="AA148" i="22"/>
  <c r="AA153" i="22"/>
  <c r="AA156" i="22"/>
  <c r="AB148" i="22"/>
  <c r="AA159" i="22"/>
  <c r="AB156" i="22"/>
  <c r="AB154" i="22"/>
  <c r="AA158" i="22"/>
  <c r="AC147" i="22"/>
  <c r="AE147" i="22" s="1"/>
  <c r="AA154" i="22"/>
  <c r="AB152" i="22"/>
  <c r="AA151" i="22"/>
  <c r="AB157" i="22"/>
  <c r="AA155" i="22"/>
  <c r="AB153" i="22"/>
  <c r="AB147" i="22"/>
  <c r="AA150" i="22"/>
  <c r="AA149" i="22"/>
  <c r="AA157" i="22"/>
  <c r="AB151" i="22"/>
  <c r="AD258" i="50"/>
  <c r="AM249" i="32"/>
  <c r="U249" i="32"/>
  <c r="AM248" i="32"/>
  <c r="U248" i="32"/>
  <c r="AJ258" i="50"/>
  <c r="C258" i="50"/>
  <c r="V258" i="50"/>
  <c r="S249" i="32"/>
  <c r="S248" i="32"/>
  <c r="V248" i="32" s="1"/>
  <c r="Z258" i="50"/>
  <c r="W258" i="50"/>
  <c r="X258" i="50" s="1"/>
  <c r="E250" i="32"/>
  <c r="AK250" i="32" s="1"/>
  <c r="Z121" i="22"/>
  <c r="AB121" i="22" s="1"/>
  <c r="Y121" i="22"/>
  <c r="AA121" i="22" s="1"/>
  <c r="Y114" i="22"/>
  <c r="AA114" i="22" s="1"/>
  <c r="Y122" i="22"/>
  <c r="AA122" i="22" s="1"/>
  <c r="Z122" i="22"/>
  <c r="AB122" i="22" s="1"/>
  <c r="Y113" i="22"/>
  <c r="AA113" i="22" s="1"/>
  <c r="BC67" i="22" s="1"/>
  <c r="Z114" i="22"/>
  <c r="AB114" i="22" s="1"/>
  <c r="Z113" i="22"/>
  <c r="AB113" i="22" s="1"/>
  <c r="Z117" i="22"/>
  <c r="AB117" i="22" s="1"/>
  <c r="Y117" i="22"/>
  <c r="AA117" i="22" s="1"/>
  <c r="BC68" i="22" s="1"/>
  <c r="Y137" i="22"/>
  <c r="Y127" i="22"/>
  <c r="AA127" i="22" s="1"/>
  <c r="Y136" i="22"/>
  <c r="Z133" i="22"/>
  <c r="Z136" i="22"/>
  <c r="Y131" i="22"/>
  <c r="AA131" i="22" s="1"/>
  <c r="BC103" i="22" s="1"/>
  <c r="Z137" i="22"/>
  <c r="Y135" i="22"/>
  <c r="Z132" i="22"/>
  <c r="Y133" i="22"/>
  <c r="Z135" i="22"/>
  <c r="Y132" i="22"/>
  <c r="Z130" i="22"/>
  <c r="AB130" i="22" s="1"/>
  <c r="Z131" i="22"/>
  <c r="AB131" i="22" s="1"/>
  <c r="Y134" i="22"/>
  <c r="Z134" i="22"/>
  <c r="Y130" i="22"/>
  <c r="AA130" i="22" s="1"/>
  <c r="Z127" i="22"/>
  <c r="AB127" i="22" s="1"/>
  <c r="Z129" i="22"/>
  <c r="AB129" i="22" s="1"/>
  <c r="Y129" i="22"/>
  <c r="AA129" i="22" s="1"/>
  <c r="AL250" i="11" a="1"/>
  <c r="AL250" i="11" s="1"/>
  <c r="E251" i="32" s="1"/>
  <c r="AK251" i="32" s="1"/>
  <c r="Y50" i="22"/>
  <c r="Y120" i="22"/>
  <c r="AA120" i="22" s="1"/>
  <c r="Z125" i="22"/>
  <c r="AB125" i="22" s="1"/>
  <c r="Y111" i="22"/>
  <c r="AA111" i="22" s="1"/>
  <c r="BC65" i="22" s="1"/>
  <c r="Y106" i="22"/>
  <c r="AA106" i="22" s="1"/>
  <c r="BC63" i="22" s="1"/>
  <c r="Y105" i="22"/>
  <c r="AA105" i="22" s="1"/>
  <c r="Z128" i="22"/>
  <c r="Y124" i="22"/>
  <c r="AA124" i="22" s="1"/>
  <c r="Z116" i="22"/>
  <c r="AB116" i="22" s="1"/>
  <c r="Y101" i="22"/>
  <c r="AA101" i="22" s="1"/>
  <c r="Z124" i="22"/>
  <c r="AB124" i="22" s="1"/>
  <c r="Y115" i="22"/>
  <c r="AA115" i="22" s="1"/>
  <c r="Y116" i="22"/>
  <c r="AA116" i="22" s="1"/>
  <c r="BC24" i="22" s="1"/>
  <c r="Z118" i="22"/>
  <c r="AB118" i="22" s="1"/>
  <c r="Y104" i="22"/>
  <c r="AA104" i="22" s="1"/>
  <c r="BC62" i="22" s="1"/>
  <c r="Z126" i="22"/>
  <c r="AB126" i="22" s="1"/>
  <c r="Z112" i="22"/>
  <c r="AB112" i="22" s="1"/>
  <c r="Z104" i="22"/>
  <c r="AB104" i="22" s="1"/>
  <c r="Z111" i="22"/>
  <c r="AB111" i="22" s="1"/>
  <c r="Z108" i="22"/>
  <c r="AB108" i="22" s="1"/>
  <c r="Z123" i="22"/>
  <c r="AB123" i="22" s="1"/>
  <c r="Z102" i="22"/>
  <c r="AB102" i="22" s="1"/>
  <c r="Y119" i="22"/>
  <c r="AA119" i="22" s="1"/>
  <c r="BC70" i="22" s="1"/>
  <c r="Z115" i="22"/>
  <c r="AB115" i="22" s="1"/>
  <c r="Z107" i="22"/>
  <c r="AB107" i="22" s="1"/>
  <c r="Y110" i="22"/>
  <c r="AA110" i="22" s="1"/>
  <c r="Y123" i="22"/>
  <c r="AA123" i="22" s="1"/>
  <c r="Y108" i="22"/>
  <c r="AA108" i="22" s="1"/>
  <c r="BC64" i="22" s="1"/>
  <c r="Z120" i="22"/>
  <c r="AB120" i="22" s="1"/>
  <c r="Y109" i="22"/>
  <c r="AA109" i="22" s="1"/>
  <c r="Z110" i="22"/>
  <c r="AB110" i="22" s="1"/>
  <c r="Y128" i="22"/>
  <c r="Y102" i="22"/>
  <c r="AA102" i="22" s="1"/>
  <c r="BC61" i="22" s="1"/>
  <c r="Z106" i="22"/>
  <c r="AB106" i="22" s="1"/>
  <c r="Y125" i="22"/>
  <c r="AA125" i="22" s="1"/>
  <c r="Y112" i="22"/>
  <c r="AA112" i="22" s="1"/>
  <c r="BC66" i="22" s="1"/>
  <c r="Y126" i="22"/>
  <c r="AA126" i="22" s="1"/>
  <c r="Y118" i="22"/>
  <c r="AA118" i="22" s="1"/>
  <c r="BC69" i="22" s="1"/>
  <c r="Z105" i="22"/>
  <c r="AB105" i="22" s="1"/>
  <c r="Z119" i="22"/>
  <c r="AB119" i="22" s="1"/>
  <c r="Z101" i="22"/>
  <c r="AB101" i="22" s="1"/>
  <c r="Z103" i="22"/>
  <c r="AB103" i="22" s="1"/>
  <c r="Y107" i="22"/>
  <c r="AA107" i="22" s="1"/>
  <c r="Y103" i="22"/>
  <c r="AA103" i="22" s="1"/>
  <c r="Z109" i="22"/>
  <c r="AB109" i="22" s="1"/>
  <c r="Z21" i="22"/>
  <c r="Z83" i="22"/>
  <c r="Z30" i="22"/>
  <c r="Z89" i="22"/>
  <c r="Z56" i="22"/>
  <c r="Y51" i="22"/>
  <c r="Y28" i="22"/>
  <c r="Z66" i="22"/>
  <c r="Y59" i="22"/>
  <c r="Y32" i="22"/>
  <c r="Z100" i="22"/>
  <c r="Y81" i="22"/>
  <c r="Z98" i="22"/>
  <c r="Y35" i="22"/>
  <c r="Z86" i="22"/>
  <c r="Y4" i="22"/>
  <c r="Y45" i="22"/>
  <c r="Z73" i="22"/>
  <c r="Z55" i="22"/>
  <c r="Y15" i="22"/>
  <c r="Y18" i="22"/>
  <c r="Y63" i="22"/>
  <c r="Y34" i="22"/>
  <c r="Y20" i="22"/>
  <c r="Y55" i="22"/>
  <c r="Z10" i="22"/>
  <c r="Y22" i="22"/>
  <c r="Z96" i="22"/>
  <c r="Z75" i="22"/>
  <c r="Y72" i="22"/>
  <c r="Z47" i="22"/>
  <c r="Z22" i="22"/>
  <c r="Z34" i="22"/>
  <c r="Y89" i="22"/>
  <c r="Z4" i="22"/>
  <c r="Z93" i="22"/>
  <c r="Z88" i="22"/>
  <c r="Y8" i="22"/>
  <c r="Y14" i="22"/>
  <c r="Y10" i="22"/>
  <c r="Y93" i="22"/>
  <c r="Y85" i="22"/>
  <c r="Z99" i="22"/>
  <c r="Z63" i="22"/>
  <c r="Y92" i="22"/>
  <c r="Z39" i="22"/>
  <c r="Z58" i="22"/>
  <c r="Z78" i="22"/>
  <c r="Y29" i="22"/>
  <c r="Z48" i="22"/>
  <c r="Z70" i="22"/>
  <c r="Y54" i="22"/>
  <c r="Z94" i="22"/>
  <c r="Z51" i="22"/>
  <c r="Y99" i="22"/>
  <c r="Z11" i="22"/>
  <c r="Y23" i="22"/>
  <c r="Z84" i="22"/>
  <c r="Y96" i="22"/>
  <c r="Y69" i="22"/>
  <c r="Y24" i="22"/>
  <c r="Z14" i="22"/>
  <c r="Z40" i="22"/>
  <c r="Z46" i="22"/>
  <c r="Y77" i="22"/>
  <c r="Y70" i="22"/>
  <c r="Z31" i="22"/>
  <c r="Y75" i="22"/>
  <c r="Z37" i="22"/>
  <c r="Y97" i="22"/>
  <c r="Y67" i="22"/>
  <c r="AA67" i="22" s="1"/>
  <c r="Y76" i="22"/>
  <c r="Y47" i="22"/>
  <c r="Y78" i="22"/>
  <c r="Y5" i="22"/>
  <c r="Z81" i="22"/>
  <c r="Z74" i="22"/>
  <c r="Y33" i="22"/>
  <c r="Y53" i="22"/>
  <c r="Z18" i="22"/>
  <c r="Y61" i="22"/>
  <c r="Y68" i="22"/>
  <c r="Y88" i="22"/>
  <c r="Z26" i="22"/>
  <c r="Y60" i="22"/>
  <c r="Z64" i="22"/>
  <c r="Y65" i="22"/>
  <c r="Z69" i="22"/>
  <c r="Z8" i="22"/>
  <c r="Z7" i="22"/>
  <c r="Z44" i="22"/>
  <c r="Y31" i="22"/>
  <c r="Z42" i="22"/>
  <c r="Z97" i="22"/>
  <c r="Z43" i="22"/>
  <c r="Z87" i="22"/>
  <c r="Z17" i="22"/>
  <c r="Y6" i="22"/>
  <c r="Y84" i="22"/>
  <c r="Y80" i="22"/>
  <c r="Z38" i="22"/>
  <c r="Z50" i="22"/>
  <c r="Z53" i="22"/>
  <c r="Y36" i="22"/>
  <c r="Y66" i="22"/>
  <c r="Z61" i="22"/>
  <c r="Z68" i="22"/>
  <c r="Z76" i="22"/>
  <c r="Z23" i="22"/>
  <c r="Z57" i="22"/>
  <c r="Z36" i="22"/>
  <c r="Y71" i="22"/>
  <c r="Y73" i="22"/>
  <c r="Y26" i="22"/>
  <c r="Z62" i="22"/>
  <c r="Z45" i="22"/>
  <c r="Z5" i="22"/>
  <c r="Z29" i="22"/>
  <c r="Y100" i="22"/>
  <c r="Y43" i="22"/>
  <c r="Y11" i="22"/>
  <c r="Y86" i="22"/>
  <c r="Y87" i="22"/>
  <c r="Y40" i="22"/>
  <c r="Z35" i="22"/>
  <c r="Z77" i="22"/>
  <c r="Z59" i="22"/>
  <c r="Y44" i="22"/>
  <c r="Y17" i="22"/>
  <c r="Y56" i="22"/>
  <c r="Y13" i="22"/>
  <c r="Z32" i="22"/>
  <c r="Z82" i="22"/>
  <c r="Z28" i="22"/>
  <c r="Y39" i="22"/>
  <c r="Y94" i="22"/>
  <c r="Y38" i="22"/>
  <c r="Z85" i="22"/>
  <c r="Y41" i="22"/>
  <c r="Z24" i="22"/>
  <c r="Y58" i="22"/>
  <c r="Y82" i="22"/>
  <c r="Z6" i="22"/>
  <c r="Z19" i="22"/>
  <c r="Y83" i="22"/>
  <c r="Z92" i="22"/>
  <c r="Z54" i="22"/>
  <c r="Y48" i="22"/>
  <c r="Y74" i="22"/>
  <c r="Z33" i="22"/>
  <c r="Y57" i="22"/>
  <c r="Y12" i="22"/>
  <c r="Y62" i="22"/>
  <c r="Y64" i="22"/>
  <c r="Z65" i="22"/>
  <c r="Z71" i="22"/>
  <c r="Z27" i="22"/>
  <c r="Y98" i="22"/>
  <c r="Z72" i="22"/>
  <c r="Y21" i="22"/>
  <c r="Z90" i="22"/>
  <c r="Z15" i="22"/>
  <c r="Y7" i="22"/>
  <c r="Z52" i="22"/>
  <c r="Z79" i="22"/>
  <c r="Z67" i="22"/>
  <c r="AB67" i="22" s="1"/>
  <c r="Y19" i="22"/>
  <c r="Z60" i="22"/>
  <c r="Y42" i="22"/>
  <c r="Z49" i="22"/>
  <c r="Y52" i="22"/>
  <c r="Z95" i="22"/>
  <c r="Y91" i="22"/>
  <c r="Y49" i="22"/>
  <c r="Y27" i="22"/>
  <c r="Y9" i="22"/>
  <c r="Z12" i="22"/>
  <c r="Y46" i="22"/>
  <c r="Z9" i="22"/>
  <c r="Y95" i="22"/>
  <c r="Y90" i="22"/>
  <c r="Y30" i="22"/>
  <c r="Z91" i="22"/>
  <c r="Z13" i="22"/>
  <c r="Z80" i="22"/>
  <c r="Z20" i="22"/>
  <c r="Y79" i="22"/>
  <c r="Z41" i="22"/>
  <c r="Y37" i="22"/>
  <c r="Y25" i="22"/>
  <c r="AM150" i="59" a="1"/>
  <c r="AM150" i="59" s="1"/>
  <c r="AM135" i="11" a="1"/>
  <c r="AM135" i="11" s="1"/>
  <c r="AI247" i="32" l="1"/>
  <c r="AN247" i="32" s="1"/>
  <c r="AI257" i="50"/>
  <c r="AP257" i="50" s="1"/>
  <c r="AG258" i="50"/>
  <c r="AH258" i="50" s="1"/>
  <c r="AL258" i="50"/>
  <c r="AC149" i="22"/>
  <c r="AE149" i="22" s="1"/>
  <c r="E121" i="36"/>
  <c r="AC154" i="22"/>
  <c r="AE154" i="22" s="1"/>
  <c r="E126" i="36"/>
  <c r="AC153" i="22"/>
  <c r="AE153" i="22" s="1"/>
  <c r="E125" i="36"/>
  <c r="AC150" i="22"/>
  <c r="AE150" i="22" s="1"/>
  <c r="E122" i="36"/>
  <c r="AC148" i="22"/>
  <c r="AE148" i="22" s="1"/>
  <c r="E120" i="36"/>
  <c r="AD147" i="22"/>
  <c r="AF147" i="22" s="1"/>
  <c r="F119" i="36"/>
  <c r="AC158" i="22"/>
  <c r="AE158" i="22" s="1"/>
  <c r="E130" i="36"/>
  <c r="AD158" i="22"/>
  <c r="AF158" i="22" s="1"/>
  <c r="F130" i="36"/>
  <c r="AD153" i="22"/>
  <c r="AF153" i="22" s="1"/>
  <c r="F125" i="36"/>
  <c r="AD154" i="22"/>
  <c r="AF154" i="22" s="1"/>
  <c r="F126" i="36"/>
  <c r="AD150" i="22"/>
  <c r="AF150" i="22" s="1"/>
  <c r="F122" i="36"/>
  <c r="AC155" i="22"/>
  <c r="AE155" i="22" s="1"/>
  <c r="E127" i="36"/>
  <c r="AD156" i="22"/>
  <c r="AF156" i="22" s="1"/>
  <c r="F128" i="36"/>
  <c r="AD159" i="22"/>
  <c r="AF159" i="22" s="1"/>
  <c r="F131" i="36"/>
  <c r="AD157" i="22"/>
  <c r="AF157" i="22" s="1"/>
  <c r="F129" i="36"/>
  <c r="AC159" i="22"/>
  <c r="AE159" i="22" s="1"/>
  <c r="E131" i="36"/>
  <c r="AC152" i="22"/>
  <c r="AE152" i="22" s="1"/>
  <c r="E124" i="36"/>
  <c r="AD151" i="22"/>
  <c r="AF151" i="22" s="1"/>
  <c r="F123" i="36"/>
  <c r="AC151" i="22"/>
  <c r="AE151" i="22" s="1"/>
  <c r="E123" i="36"/>
  <c r="AD148" i="22"/>
  <c r="AF148" i="22" s="1"/>
  <c r="F120" i="36"/>
  <c r="AD149" i="22"/>
  <c r="AF149" i="22" s="1"/>
  <c r="F121" i="36"/>
  <c r="AC157" i="22"/>
  <c r="AE157" i="22" s="1"/>
  <c r="E129" i="36"/>
  <c r="AD152" i="22"/>
  <c r="AF152" i="22" s="1"/>
  <c r="F124" i="36"/>
  <c r="AC156" i="22"/>
  <c r="AE156" i="22" s="1"/>
  <c r="E128" i="36"/>
  <c r="AD155" i="22"/>
  <c r="AF155" i="22" s="1"/>
  <c r="F127" i="36"/>
  <c r="T250" i="32"/>
  <c r="T251" i="32"/>
  <c r="AD249" i="32"/>
  <c r="AD248" i="32"/>
  <c r="C249" i="32"/>
  <c r="V249" i="32"/>
  <c r="AJ248" i="32"/>
  <c r="C248" i="32"/>
  <c r="AJ249" i="32"/>
  <c r="A250" i="32"/>
  <c r="B250" i="32"/>
  <c r="A251" i="32"/>
  <c r="B251" i="32"/>
  <c r="G250" i="32"/>
  <c r="O250" i="32"/>
  <c r="I250" i="32"/>
  <c r="J250" i="32"/>
  <c r="M250" i="32"/>
  <c r="N250" i="32"/>
  <c r="L250" i="32"/>
  <c r="F250" i="32"/>
  <c r="H250" i="32"/>
  <c r="K250" i="32"/>
  <c r="M251" i="32"/>
  <c r="G251" i="32"/>
  <c r="O251" i="32"/>
  <c r="H251" i="32"/>
  <c r="F251" i="32"/>
  <c r="I251" i="32"/>
  <c r="L251" i="32"/>
  <c r="J251" i="32"/>
  <c r="K251" i="32"/>
  <c r="N251" i="32"/>
  <c r="W248" i="32"/>
  <c r="X248" i="32" s="1"/>
  <c r="Z248" i="32"/>
  <c r="AB82" i="22"/>
  <c r="AB23" i="22"/>
  <c r="AB17" i="22"/>
  <c r="AB94" i="22"/>
  <c r="AB75" i="22"/>
  <c r="AB56" i="22"/>
  <c r="AB135" i="22"/>
  <c r="AB20" i="22"/>
  <c r="AB49" i="22"/>
  <c r="AB15" i="22"/>
  <c r="AB33" i="22"/>
  <c r="AB92" i="22"/>
  <c r="AB85" i="22"/>
  <c r="AB28" i="22"/>
  <c r="AB77" i="22"/>
  <c r="AB29" i="22"/>
  <c r="AB57" i="22"/>
  <c r="AB61" i="22"/>
  <c r="AB50" i="22"/>
  <c r="AB97" i="22"/>
  <c r="AB7" i="22"/>
  <c r="AB64" i="22"/>
  <c r="AB14" i="22"/>
  <c r="AB84" i="22"/>
  <c r="AB51" i="22"/>
  <c r="AB48" i="22"/>
  <c r="AB39" i="22"/>
  <c r="AB10" i="22"/>
  <c r="AB73" i="22"/>
  <c r="AB83" i="22"/>
  <c r="AB134" i="22"/>
  <c r="AB133" i="22"/>
  <c r="AB27" i="22"/>
  <c r="AB80" i="22"/>
  <c r="AB12" i="22"/>
  <c r="AB79" i="22"/>
  <c r="AB90" i="22"/>
  <c r="AB35" i="22"/>
  <c r="AB5" i="22"/>
  <c r="AB38" i="22"/>
  <c r="AB42" i="22"/>
  <c r="AB8" i="22"/>
  <c r="AB74" i="22"/>
  <c r="AB37" i="22"/>
  <c r="AB88" i="22"/>
  <c r="AB34" i="22"/>
  <c r="AB98" i="22"/>
  <c r="AB137" i="22"/>
  <c r="AB41" i="22"/>
  <c r="AB13" i="22"/>
  <c r="AB95" i="22"/>
  <c r="AB60" i="22"/>
  <c r="AB52" i="22"/>
  <c r="AB71" i="22"/>
  <c r="AB19" i="22"/>
  <c r="AB24" i="22"/>
  <c r="AB32" i="22"/>
  <c r="AB45" i="22"/>
  <c r="AB76" i="22"/>
  <c r="AB87" i="22"/>
  <c r="AB69" i="22"/>
  <c r="AB26" i="22"/>
  <c r="AB18" i="22"/>
  <c r="AB81" i="22"/>
  <c r="AB46" i="22"/>
  <c r="AB11" i="22"/>
  <c r="AB78" i="22"/>
  <c r="AB63" i="22"/>
  <c r="AB93" i="22"/>
  <c r="AB22" i="22"/>
  <c r="AB96" i="22"/>
  <c r="AB66" i="22"/>
  <c r="AB89" i="22"/>
  <c r="AB21" i="22"/>
  <c r="AB91" i="22"/>
  <c r="AB9" i="22"/>
  <c r="AB72" i="22"/>
  <c r="AB65" i="22"/>
  <c r="AB54" i="22"/>
  <c r="AB6" i="22"/>
  <c r="AB59" i="22"/>
  <c r="AB62" i="22"/>
  <c r="AB36" i="22"/>
  <c r="AB68" i="22"/>
  <c r="AB53" i="22"/>
  <c r="AB43" i="22"/>
  <c r="AB44" i="22"/>
  <c r="AB31" i="22"/>
  <c r="AB40" i="22"/>
  <c r="AB70" i="22"/>
  <c r="AB58" i="22"/>
  <c r="AB99" i="22"/>
  <c r="AB47" i="22"/>
  <c r="AB55" i="22"/>
  <c r="AB86" i="22"/>
  <c r="AB100" i="22"/>
  <c r="AB30" i="22"/>
  <c r="AB128" i="22"/>
  <c r="AB132" i="22"/>
  <c r="AB136" i="22"/>
  <c r="AB4" i="22"/>
  <c r="AA46" i="22"/>
  <c r="BC43" i="22" s="1"/>
  <c r="AA86" i="22"/>
  <c r="BC51" i="22" s="1"/>
  <c r="AA6" i="22"/>
  <c r="BC80" i="22" s="1"/>
  <c r="AA68" i="22"/>
  <c r="AA70" i="22"/>
  <c r="AA8" i="22"/>
  <c r="AA51" i="22"/>
  <c r="AA135" i="22"/>
  <c r="AC135" i="22" s="1"/>
  <c r="AA91" i="22"/>
  <c r="BC55" i="22" s="1"/>
  <c r="AA74" i="22"/>
  <c r="BC130" i="22" s="1"/>
  <c r="AA11" i="22"/>
  <c r="BC113" i="22" s="1"/>
  <c r="AA73" i="22"/>
  <c r="BC129" i="22" s="1"/>
  <c r="AA66" i="22"/>
  <c r="BC97" i="22" s="1"/>
  <c r="AA60" i="22"/>
  <c r="BC153" i="22" s="1"/>
  <c r="AA61" i="22"/>
  <c r="BC122" i="22" s="1"/>
  <c r="AA47" i="22"/>
  <c r="BC44" i="22" s="1"/>
  <c r="AA77" i="22"/>
  <c r="BC156" i="22" s="1"/>
  <c r="AA24" i="22"/>
  <c r="BC34" i="22" s="1"/>
  <c r="AA23" i="22"/>
  <c r="BC84" i="22" s="1"/>
  <c r="AA29" i="22"/>
  <c r="BC87" i="22" s="1"/>
  <c r="AA92" i="22"/>
  <c r="BC135" i="22" s="1"/>
  <c r="AA93" i="22"/>
  <c r="BC98" i="22" s="1"/>
  <c r="AA55" i="22"/>
  <c r="BC48" i="22" s="1"/>
  <c r="AA18" i="22"/>
  <c r="BC33" i="22" s="1"/>
  <c r="AA45" i="22"/>
  <c r="BC42" i="22" s="1"/>
  <c r="AA59" i="22"/>
  <c r="BC123" i="22" s="1"/>
  <c r="AA50" i="22"/>
  <c r="BC45" i="22" s="1"/>
  <c r="AA134" i="22"/>
  <c r="AC134" i="22" s="1"/>
  <c r="AA136" i="22"/>
  <c r="AC136" i="22" s="1"/>
  <c r="AA64" i="22"/>
  <c r="BC96" i="22" s="1"/>
  <c r="AA78" i="22"/>
  <c r="BC133" i="22" s="1"/>
  <c r="AA85" i="22"/>
  <c r="AA37" i="22"/>
  <c r="BC37" i="22" s="1"/>
  <c r="AA83" i="22"/>
  <c r="AA38" i="22"/>
  <c r="BC146" i="22" s="1"/>
  <c r="AA94" i="22"/>
  <c r="BC99" i="22" s="1"/>
  <c r="AA40" i="22"/>
  <c r="AA80" i="22"/>
  <c r="AA31" i="22"/>
  <c r="BC89" i="22" s="1"/>
  <c r="AA76" i="22"/>
  <c r="BC132" i="22" s="1"/>
  <c r="AA75" i="22"/>
  <c r="BC131" i="22" s="1"/>
  <c r="AA69" i="22"/>
  <c r="BC126" i="22" s="1"/>
  <c r="AA54" i="22"/>
  <c r="BC121" i="22" s="1"/>
  <c r="AA10" i="22"/>
  <c r="BC82" i="22" s="1"/>
  <c r="AA20" i="22"/>
  <c r="AA15" i="22"/>
  <c r="BC31" i="22" s="1"/>
  <c r="AA81" i="22"/>
  <c r="AA128" i="22"/>
  <c r="BC71" i="22" s="1"/>
  <c r="AA133" i="22"/>
  <c r="AC133" i="22" s="1"/>
  <c r="AA25" i="22"/>
  <c r="BC85" i="22" s="1"/>
  <c r="AA30" i="22"/>
  <c r="BC88" i="22" s="1"/>
  <c r="AA49" i="22"/>
  <c r="BC93" i="22" s="1"/>
  <c r="AA98" i="22"/>
  <c r="BC58" i="22" s="1"/>
  <c r="AA82" i="22"/>
  <c r="AA56" i="22"/>
  <c r="AA26" i="22"/>
  <c r="BC35" i="22" s="1"/>
  <c r="AA33" i="22"/>
  <c r="BC36" i="22" s="1"/>
  <c r="AA97" i="22"/>
  <c r="BC57" i="22" s="1"/>
  <c r="AA89" i="22"/>
  <c r="BC53" i="22" s="1"/>
  <c r="AA72" i="22"/>
  <c r="BC50" i="22" s="1"/>
  <c r="AA63" i="22"/>
  <c r="BC154" i="22" s="1"/>
  <c r="AA35" i="22"/>
  <c r="AA32" i="22"/>
  <c r="BC90" i="22" s="1"/>
  <c r="AA132" i="22"/>
  <c r="AC132" i="22" s="1"/>
  <c r="AA90" i="22"/>
  <c r="BC54" i="22" s="1"/>
  <c r="AA42" i="22"/>
  <c r="BC39" i="22" s="1"/>
  <c r="AA62" i="22"/>
  <c r="BC95" i="22" s="1"/>
  <c r="AA58" i="22"/>
  <c r="BC94" i="22" s="1"/>
  <c r="AA17" i="22"/>
  <c r="BC32" i="22" s="1"/>
  <c r="AA95" i="22"/>
  <c r="BC100" i="22" s="1"/>
  <c r="AA9" i="22"/>
  <c r="BC112" i="22" s="1"/>
  <c r="AA21" i="22"/>
  <c r="BC117" i="22" s="1"/>
  <c r="AA12" i="22"/>
  <c r="BC114" i="22" s="1"/>
  <c r="AA48" i="22"/>
  <c r="BC92" i="22" s="1"/>
  <c r="AA44" i="22"/>
  <c r="BC41" i="22" s="1"/>
  <c r="AA43" i="22"/>
  <c r="BC40" i="22" s="1"/>
  <c r="AA71" i="22"/>
  <c r="BC128" i="22" s="1"/>
  <c r="AA36" i="22"/>
  <c r="BC119" i="22" s="1"/>
  <c r="AA79" i="22"/>
  <c r="BC134" i="22" s="1"/>
  <c r="AA27" i="22"/>
  <c r="AA52" i="22"/>
  <c r="BC46" i="22" s="1"/>
  <c r="AA19" i="22"/>
  <c r="BC5" i="22" s="1"/>
  <c r="AA7" i="22"/>
  <c r="BC81" i="22" s="1"/>
  <c r="AA57" i="22"/>
  <c r="BC49" i="22" s="1"/>
  <c r="AA41" i="22"/>
  <c r="BC120" i="22" s="1"/>
  <c r="AA39" i="22"/>
  <c r="BC38" i="22" s="1"/>
  <c r="AA13" i="22"/>
  <c r="BC115" i="22" s="1"/>
  <c r="AA87" i="22"/>
  <c r="AA100" i="22"/>
  <c r="BC60" i="22" s="1"/>
  <c r="AA84" i="22"/>
  <c r="AA65" i="22"/>
  <c r="BC155" i="22" s="1"/>
  <c r="AA88" i="22"/>
  <c r="BC52" i="22" s="1"/>
  <c r="AA53" i="22"/>
  <c r="BC47" i="22" s="1"/>
  <c r="AA5" i="22"/>
  <c r="BC79" i="22" s="1"/>
  <c r="AA96" i="22"/>
  <c r="BC56" i="22" s="1"/>
  <c r="AA99" i="22"/>
  <c r="BC59" i="22" s="1"/>
  <c r="AA14" i="22"/>
  <c r="BC116" i="22" s="1"/>
  <c r="AA22" i="22"/>
  <c r="BC83" i="22" s="1"/>
  <c r="AA34" i="22"/>
  <c r="BC91" i="22" s="1"/>
  <c r="AA28" i="22"/>
  <c r="BC86" i="22" s="1"/>
  <c r="AA137" i="22"/>
  <c r="AC137" i="22" s="1"/>
  <c r="AA4" i="22"/>
  <c r="BC78" i="22" s="1"/>
  <c r="AC129" i="22"/>
  <c r="BC144" i="22"/>
  <c r="AC120" i="22"/>
  <c r="BC137" i="22"/>
  <c r="AC122" i="22"/>
  <c r="BC139" i="22"/>
  <c r="AC126" i="22"/>
  <c r="BC143" i="22"/>
  <c r="AC114" i="22"/>
  <c r="BC136" i="22"/>
  <c r="AC124" i="22"/>
  <c r="BC141" i="22"/>
  <c r="AC121" i="22"/>
  <c r="BC138" i="22"/>
  <c r="AC125" i="22"/>
  <c r="BC142" i="22"/>
  <c r="AC123" i="22"/>
  <c r="BC140" i="22"/>
  <c r="AC130" i="22"/>
  <c r="BC145" i="22"/>
  <c r="AD120" i="22"/>
  <c r="BD137" i="22" s="1"/>
  <c r="E150" i="72" s="1"/>
  <c r="AD123" i="22"/>
  <c r="BD140" i="22" s="1"/>
  <c r="E153" i="72" s="1"/>
  <c r="AD129" i="22"/>
  <c r="BD144" i="22" s="1"/>
  <c r="E157" i="72" s="1"/>
  <c r="AD114" i="22"/>
  <c r="BD136" i="22" s="1"/>
  <c r="E149" i="72" s="1"/>
  <c r="AD126" i="22"/>
  <c r="BD143" i="22" s="1"/>
  <c r="E156" i="72" s="1"/>
  <c r="AD124" i="22"/>
  <c r="BD141" i="22" s="1"/>
  <c r="E154" i="72" s="1"/>
  <c r="AD125" i="22"/>
  <c r="BD142" i="22" s="1"/>
  <c r="E155" i="72" s="1"/>
  <c r="AD130" i="22"/>
  <c r="BD145" i="22" s="1"/>
  <c r="E158" i="72" s="1"/>
  <c r="AD122" i="22"/>
  <c r="BD139" i="22" s="1"/>
  <c r="E152" i="72" s="1"/>
  <c r="AD121" i="22"/>
  <c r="BD138" i="22" s="1"/>
  <c r="E151" i="72" s="1"/>
  <c r="AD110" i="22"/>
  <c r="BD101" i="22" s="1"/>
  <c r="E112" i="72" s="1"/>
  <c r="AC110" i="22"/>
  <c r="BC101" i="22"/>
  <c r="AC131" i="22"/>
  <c r="AC127" i="22"/>
  <c r="BC102" i="22"/>
  <c r="AC118" i="22"/>
  <c r="AC102" i="22"/>
  <c r="AC106" i="22"/>
  <c r="AC112" i="22"/>
  <c r="AC108" i="22"/>
  <c r="AC111" i="22"/>
  <c r="AC117" i="22"/>
  <c r="AC113" i="22"/>
  <c r="AC119" i="22"/>
  <c r="AC104" i="22"/>
  <c r="AD117" i="22"/>
  <c r="BD68" i="22" s="1"/>
  <c r="AD106" i="22"/>
  <c r="BD63" i="22" s="1"/>
  <c r="AD102" i="22"/>
  <c r="BD61" i="22" s="1"/>
  <c r="AD104" i="22"/>
  <c r="BD62" i="22" s="1"/>
  <c r="AD118" i="22"/>
  <c r="BD69" i="22" s="1"/>
  <c r="AD113" i="22"/>
  <c r="BD67" i="22" s="1"/>
  <c r="AD111" i="22"/>
  <c r="BD65" i="22" s="1"/>
  <c r="AD112" i="22"/>
  <c r="BD66" i="22" s="1"/>
  <c r="AD119" i="22"/>
  <c r="BD70" i="22" s="1"/>
  <c r="AD108" i="22"/>
  <c r="BD64" i="22" s="1"/>
  <c r="AD109" i="22"/>
  <c r="AD107" i="22"/>
  <c r="AD116" i="22"/>
  <c r="AD105" i="22"/>
  <c r="AC116" i="22"/>
  <c r="BC23" i="22"/>
  <c r="AC103" i="22"/>
  <c r="AC109" i="22"/>
  <c r="BC22" i="22"/>
  <c r="AC105" i="22"/>
  <c r="BC20" i="22"/>
  <c r="AC107" i="22"/>
  <c r="BC21" i="22"/>
  <c r="AD127" i="22"/>
  <c r="BD102" i="22" s="1"/>
  <c r="E113" i="72" s="1"/>
  <c r="W249" i="32"/>
  <c r="X249" i="32" s="1"/>
  <c r="Z249" i="32"/>
  <c r="AN31" i="22"/>
  <c r="AM31" i="22"/>
  <c r="AD115" i="22"/>
  <c r="AD101" i="22"/>
  <c r="AC115" i="22"/>
  <c r="AC101" i="22"/>
  <c r="AL251" i="11" a="1"/>
  <c r="AL251" i="11" s="1"/>
  <c r="Z25" i="22"/>
  <c r="V259" i="50"/>
  <c r="V260" i="50" s="1"/>
  <c r="Y16" i="22"/>
  <c r="AM151" i="59" a="1"/>
  <c r="AM151" i="59" s="1"/>
  <c r="AM136" i="11" a="1"/>
  <c r="AM136" i="11" s="1"/>
  <c r="AD2" i="50" l="1"/>
  <c r="AI258" i="50"/>
  <c r="AP258" i="50" s="1"/>
  <c r="AP259" i="50" s="1"/>
  <c r="AG248" i="32"/>
  <c r="AH248" i="32" s="1"/>
  <c r="AL248" i="32"/>
  <c r="AG249" i="32"/>
  <c r="AH249" i="32" s="1"/>
  <c r="AL249" i="32"/>
  <c r="P251" i="32"/>
  <c r="P250" i="32"/>
  <c r="BC12" i="22"/>
  <c r="AD136" i="22"/>
  <c r="AD132" i="22"/>
  <c r="AD137" i="22"/>
  <c r="AD133" i="22"/>
  <c r="AD134" i="22"/>
  <c r="AD135" i="22"/>
  <c r="BC19" i="22"/>
  <c r="BC10" i="22"/>
  <c r="BC9" i="22"/>
  <c r="BC6" i="22"/>
  <c r="BC14" i="22"/>
  <c r="E79" i="72"/>
  <c r="E72" i="72"/>
  <c r="E71" i="72"/>
  <c r="E74" i="72"/>
  <c r="E73" i="72"/>
  <c r="E76" i="72"/>
  <c r="E80" i="72"/>
  <c r="E78" i="72"/>
  <c r="E75" i="72"/>
  <c r="E77" i="72"/>
  <c r="BD23" i="22"/>
  <c r="E31" i="72" s="1"/>
  <c r="BD24" i="22"/>
  <c r="E32" i="72" s="1"/>
  <c r="BD21" i="22"/>
  <c r="E29" i="72" s="1"/>
  <c r="BC15" i="22"/>
  <c r="BC17" i="22"/>
  <c r="BD22" i="22"/>
  <c r="E30" i="72" s="1"/>
  <c r="BC16" i="22"/>
  <c r="BC13" i="22"/>
  <c r="BC7" i="22"/>
  <c r="BC18" i="22"/>
  <c r="BC8" i="22"/>
  <c r="BC11" i="22"/>
  <c r="BC125" i="22"/>
  <c r="BC124" i="22"/>
  <c r="G128" i="36"/>
  <c r="G148" i="36" s="1"/>
  <c r="E148" i="36"/>
  <c r="H120" i="36"/>
  <c r="H140" i="36" s="1"/>
  <c r="F140" i="36"/>
  <c r="G131" i="36"/>
  <c r="G151" i="36" s="1"/>
  <c r="E151" i="36"/>
  <c r="G127" i="36"/>
  <c r="G147" i="36" s="1"/>
  <c r="E147" i="36"/>
  <c r="H130" i="36"/>
  <c r="H150" i="36" s="1"/>
  <c r="F150" i="36"/>
  <c r="G122" i="36"/>
  <c r="G142" i="36" s="1"/>
  <c r="E142" i="36"/>
  <c r="H124" i="36"/>
  <c r="H144" i="36" s="1"/>
  <c r="F144" i="36"/>
  <c r="G123" i="36"/>
  <c r="G143" i="36" s="1"/>
  <c r="E143" i="36"/>
  <c r="H129" i="36"/>
  <c r="H149" i="36" s="1"/>
  <c r="F149" i="36"/>
  <c r="H122" i="36"/>
  <c r="H142" i="36" s="1"/>
  <c r="F142" i="36"/>
  <c r="G130" i="36"/>
  <c r="G150" i="36" s="1"/>
  <c r="E150" i="36"/>
  <c r="G125" i="36"/>
  <c r="G145" i="36" s="1"/>
  <c r="E145" i="36"/>
  <c r="G129" i="36"/>
  <c r="G149" i="36" s="1"/>
  <c r="E149" i="36"/>
  <c r="H123" i="36"/>
  <c r="H143" i="36" s="1"/>
  <c r="F143" i="36"/>
  <c r="H131" i="36"/>
  <c r="H151" i="36" s="1"/>
  <c r="F151" i="36"/>
  <c r="H126" i="36"/>
  <c r="H146" i="36" s="1"/>
  <c r="F146" i="36"/>
  <c r="H119" i="36"/>
  <c r="H139" i="36" s="1"/>
  <c r="F139" i="36"/>
  <c r="G126" i="36"/>
  <c r="G146" i="36" s="1"/>
  <c r="E146" i="36"/>
  <c r="H127" i="36"/>
  <c r="H147" i="36" s="1"/>
  <c r="F147" i="36"/>
  <c r="H121" i="36"/>
  <c r="H141" i="36" s="1"/>
  <c r="F141" i="36"/>
  <c r="G124" i="36"/>
  <c r="G144" i="36" s="1"/>
  <c r="E144" i="36"/>
  <c r="H128" i="36"/>
  <c r="H148" i="36" s="1"/>
  <c r="F148" i="36"/>
  <c r="H125" i="36"/>
  <c r="H145" i="36" s="1"/>
  <c r="F145" i="36"/>
  <c r="G120" i="36"/>
  <c r="G140" i="36" s="1"/>
  <c r="E140" i="36"/>
  <c r="G121" i="36"/>
  <c r="G141" i="36" s="1"/>
  <c r="E141" i="36"/>
  <c r="BC127" i="22"/>
  <c r="AM251" i="32"/>
  <c r="U251" i="32"/>
  <c r="AM250" i="32"/>
  <c r="U250" i="32"/>
  <c r="S251" i="32"/>
  <c r="S250" i="32"/>
  <c r="V250" i="32" s="1"/>
  <c r="E252" i="32"/>
  <c r="AK252" i="32" s="1"/>
  <c r="AP29" i="22"/>
  <c r="AB25" i="22"/>
  <c r="AA16" i="22"/>
  <c r="BC118" i="22" s="1"/>
  <c r="AO29" i="22"/>
  <c r="AN32" i="22"/>
  <c r="F70" i="36" s="1"/>
  <c r="H70" i="36" s="1"/>
  <c r="AM32" i="22"/>
  <c r="E70" i="36" s="1"/>
  <c r="G70" i="36" s="1"/>
  <c r="AD131" i="22"/>
  <c r="BD103" i="22" s="1"/>
  <c r="AM29" i="22"/>
  <c r="AN29" i="22"/>
  <c r="AN30" i="22"/>
  <c r="AD103" i="22"/>
  <c r="BD20" i="22" s="1"/>
  <c r="E28" i="72" s="1"/>
  <c r="AM30" i="22"/>
  <c r="AD128" i="22"/>
  <c r="BD71" i="22" s="1"/>
  <c r="E81" i="72" s="1"/>
  <c r="AC128" i="22"/>
  <c r="AO28" i="22" s="1"/>
  <c r="AO31" i="22"/>
  <c r="AO32" i="22"/>
  <c r="AP31" i="22"/>
  <c r="AM28" i="22"/>
  <c r="AN28" i="22"/>
  <c r="AO30" i="22"/>
  <c r="AL252" i="11" a="1"/>
  <c r="AL252" i="11" s="1"/>
  <c r="E253" i="32" s="1"/>
  <c r="AK253" i="32" s="1"/>
  <c r="Z16" i="22"/>
  <c r="AM152" i="59" a="1"/>
  <c r="AM152" i="59" s="1"/>
  <c r="AM137" i="11" a="1"/>
  <c r="AM137" i="11" s="1"/>
  <c r="AI249" i="32" l="1"/>
  <c r="AN249" i="32" s="1"/>
  <c r="AI248" i="32"/>
  <c r="AN248" i="32" s="1"/>
  <c r="AP32" i="22"/>
  <c r="AP28" i="22"/>
  <c r="E114" i="72"/>
  <c r="AP30" i="22"/>
  <c r="T252" i="32"/>
  <c r="T253" i="32"/>
  <c r="AD250" i="32"/>
  <c r="AD251" i="32"/>
  <c r="C251" i="32"/>
  <c r="V251" i="32"/>
  <c r="AJ250" i="32"/>
  <c r="C250" i="32"/>
  <c r="AJ251" i="32"/>
  <c r="A253" i="32"/>
  <c r="B253" i="32"/>
  <c r="A252" i="32"/>
  <c r="B252" i="32"/>
  <c r="I253" i="32"/>
  <c r="K253" i="32"/>
  <c r="L253" i="32"/>
  <c r="H253" i="32"/>
  <c r="J253" i="32"/>
  <c r="M253" i="32"/>
  <c r="G253" i="32"/>
  <c r="N253" i="32"/>
  <c r="O253" i="32"/>
  <c r="F253" i="32"/>
  <c r="K252" i="32"/>
  <c r="M252" i="32"/>
  <c r="F252" i="32"/>
  <c r="N252" i="32"/>
  <c r="G252" i="32"/>
  <c r="H252" i="32"/>
  <c r="I252" i="32"/>
  <c r="J252" i="32"/>
  <c r="O252" i="32"/>
  <c r="L252" i="32"/>
  <c r="W250" i="32"/>
  <c r="X250" i="32" s="1"/>
  <c r="Z250" i="32"/>
  <c r="AB16" i="22"/>
  <c r="W251" i="32"/>
  <c r="X251" i="32" s="1"/>
  <c r="Z251" i="32"/>
  <c r="AL253" i="11" a="1"/>
  <c r="AL253" i="11" s="1"/>
  <c r="AM153" i="59" a="1"/>
  <c r="AM153" i="59" s="1"/>
  <c r="AM138" i="11" a="1"/>
  <c r="AM138" i="11" s="1"/>
  <c r="AG251" i="32" l="1"/>
  <c r="AH251" i="32" s="1"/>
  <c r="AL251" i="32"/>
  <c r="AG250" i="32"/>
  <c r="AH250" i="32" s="1"/>
  <c r="AL250" i="32"/>
  <c r="P253" i="32"/>
  <c r="P252" i="32"/>
  <c r="AM253" i="32"/>
  <c r="U253" i="32"/>
  <c r="AM252" i="32"/>
  <c r="U252" i="32"/>
  <c r="S252" i="32"/>
  <c r="V252" i="32" s="1"/>
  <c r="S253" i="32"/>
  <c r="E254" i="32"/>
  <c r="AK254" i="32" s="1"/>
  <c r="AL254" i="11" a="1"/>
  <c r="AL254" i="11" s="1"/>
  <c r="AM154" i="59" a="1"/>
  <c r="AM154" i="59" s="1"/>
  <c r="AM139" i="11" a="1"/>
  <c r="AM139" i="11" s="1"/>
  <c r="AI250" i="32" l="1"/>
  <c r="AN250" i="32" s="1"/>
  <c r="AI251" i="32"/>
  <c r="AN251" i="32" s="1"/>
  <c r="T254" i="32"/>
  <c r="AD252" i="32"/>
  <c r="AD253" i="32"/>
  <c r="C253" i="32"/>
  <c r="V253" i="32"/>
  <c r="AJ252" i="32"/>
  <c r="C252" i="32"/>
  <c r="AJ253" i="32"/>
  <c r="A254" i="32"/>
  <c r="B254" i="32"/>
  <c r="G254" i="32"/>
  <c r="O254" i="32"/>
  <c r="I254" i="32"/>
  <c r="J254" i="32"/>
  <c r="L254" i="32"/>
  <c r="M254" i="32"/>
  <c r="N254" i="32"/>
  <c r="H254" i="32"/>
  <c r="F254" i="32"/>
  <c r="K254" i="32"/>
  <c r="E255" i="32"/>
  <c r="AK255" i="32" s="1"/>
  <c r="Z252" i="32"/>
  <c r="W252" i="32"/>
  <c r="X252" i="32" s="1"/>
  <c r="W253" i="32"/>
  <c r="X253" i="32" s="1"/>
  <c r="Z253" i="32"/>
  <c r="AL255" i="11" a="1"/>
  <c r="AL255" i="11" s="1"/>
  <c r="E256" i="32" s="1"/>
  <c r="AK256" i="32" s="1"/>
  <c r="AM155" i="59" a="1"/>
  <c r="AM155" i="59" s="1"/>
  <c r="AM140" i="11" a="1"/>
  <c r="AM140" i="11" s="1"/>
  <c r="AL252" i="32" l="1"/>
  <c r="AG253" i="32"/>
  <c r="AH253" i="32" s="1"/>
  <c r="AL253" i="32"/>
  <c r="P254" i="32"/>
  <c r="AG252" i="32"/>
  <c r="AH252" i="32" s="1"/>
  <c r="T255" i="32"/>
  <c r="T256" i="32"/>
  <c r="AM254" i="32"/>
  <c r="U254" i="32"/>
  <c r="S254" i="32"/>
  <c r="A255" i="32"/>
  <c r="B255" i="32"/>
  <c r="A256" i="32"/>
  <c r="B256" i="32"/>
  <c r="K256" i="32"/>
  <c r="F256" i="32"/>
  <c r="N256" i="32"/>
  <c r="G256" i="32"/>
  <c r="H256" i="32"/>
  <c r="O256" i="32"/>
  <c r="I256" i="32"/>
  <c r="M256" i="32"/>
  <c r="J256" i="32"/>
  <c r="L256" i="32"/>
  <c r="M255" i="32"/>
  <c r="G255" i="32"/>
  <c r="O255" i="32"/>
  <c r="H255" i="32"/>
  <c r="N255" i="32"/>
  <c r="L255" i="32"/>
  <c r="F255" i="32"/>
  <c r="J255" i="32"/>
  <c r="I255" i="32"/>
  <c r="K255" i="32"/>
  <c r="AL256" i="11" a="1"/>
  <c r="AL256" i="11" s="1"/>
  <c r="E257" i="32" s="1"/>
  <c r="AK257" i="32" s="1"/>
  <c r="AM156" i="59" a="1"/>
  <c r="AM156" i="59" s="1"/>
  <c r="AM141" i="11" a="1"/>
  <c r="AM141" i="11" s="1"/>
  <c r="AI253" i="32" l="1"/>
  <c r="AN253" i="32" s="1"/>
  <c r="P256" i="32"/>
  <c r="P255" i="32"/>
  <c r="AI252" i="32"/>
  <c r="AN252" i="32" s="1"/>
  <c r="T257" i="32"/>
  <c r="AM256" i="32"/>
  <c r="U256" i="32"/>
  <c r="AM255" i="32"/>
  <c r="U255" i="32"/>
  <c r="AD254" i="32"/>
  <c r="C254" i="32"/>
  <c r="V254" i="32"/>
  <c r="AJ254" i="32"/>
  <c r="S255" i="32"/>
  <c r="S256" i="32"/>
  <c r="A257" i="32"/>
  <c r="B257" i="32"/>
  <c r="I257" i="32"/>
  <c r="L257" i="32"/>
  <c r="F257" i="32"/>
  <c r="G257" i="32"/>
  <c r="H257" i="32"/>
  <c r="J257" i="32"/>
  <c r="M257" i="32"/>
  <c r="O257" i="32"/>
  <c r="K257" i="32"/>
  <c r="N257" i="32"/>
  <c r="Z254" i="32"/>
  <c r="W254" i="32"/>
  <c r="X254" i="32" s="1"/>
  <c r="AL257" i="11" a="1"/>
  <c r="AL257" i="11" s="1"/>
  <c r="AL258" i="11" s="1" a="1"/>
  <c r="AL258" i="11" s="1"/>
  <c r="AM157" i="59" a="1"/>
  <c r="AM157" i="59" s="1"/>
  <c r="AM142" i="11" a="1"/>
  <c r="AM142" i="11" s="1"/>
  <c r="AG254" i="32" l="1"/>
  <c r="AH254" i="32" s="1"/>
  <c r="AL254" i="32"/>
  <c r="P257" i="32"/>
  <c r="AD255" i="32"/>
  <c r="AM257" i="32"/>
  <c r="U257" i="32"/>
  <c r="AD256" i="32"/>
  <c r="C256" i="32"/>
  <c r="V256" i="32"/>
  <c r="C255" i="32"/>
  <c r="V255" i="32"/>
  <c r="AJ255" i="32"/>
  <c r="AJ256" i="32"/>
  <c r="S257" i="32"/>
  <c r="W255" i="32"/>
  <c r="X255" i="32" s="1"/>
  <c r="Z255" i="32"/>
  <c r="W256" i="32"/>
  <c r="X256" i="32" s="1"/>
  <c r="Z256" i="32"/>
  <c r="AM158" i="59" a="1"/>
  <c r="AM158" i="59" s="1"/>
  <c r="AM143" i="11" a="1"/>
  <c r="AM143" i="11" s="1"/>
  <c r="AI254" i="32" l="1"/>
  <c r="AN254" i="32" s="1"/>
  <c r="AL255" i="32"/>
  <c r="AG256" i="32"/>
  <c r="AH256" i="32" s="1"/>
  <c r="AL256" i="32"/>
  <c r="V257" i="32"/>
  <c r="V258" i="32" s="1"/>
  <c r="V259" i="32" s="1"/>
  <c r="M35" i="22"/>
  <c r="M4" i="22"/>
  <c r="O4" i="22" s="1"/>
  <c r="AG255" i="32"/>
  <c r="AH255" i="32" s="1"/>
  <c r="AD257" i="32"/>
  <c r="AJ257" i="32"/>
  <c r="C257" i="32"/>
  <c r="N45" i="22"/>
  <c r="P45" i="22" s="1"/>
  <c r="W257" i="32"/>
  <c r="X257" i="32" s="1"/>
  <c r="Z257" i="32"/>
  <c r="N121" i="22"/>
  <c r="P121" i="22" s="1"/>
  <c r="N122" i="22"/>
  <c r="P122" i="22" s="1"/>
  <c r="M121" i="22"/>
  <c r="M114" i="22"/>
  <c r="O114" i="22" s="1"/>
  <c r="M113" i="22"/>
  <c r="N113" i="22"/>
  <c r="P113" i="22" s="1"/>
  <c r="N114" i="22"/>
  <c r="M122" i="22"/>
  <c r="N117" i="22"/>
  <c r="P117" i="22" s="1"/>
  <c r="M117" i="22"/>
  <c r="M132" i="22"/>
  <c r="N130" i="22"/>
  <c r="P130" i="22" s="1"/>
  <c r="M135" i="22"/>
  <c r="N135" i="22"/>
  <c r="M133" i="22"/>
  <c r="N136" i="22"/>
  <c r="N127" i="22"/>
  <c r="M136" i="22"/>
  <c r="M137" i="22"/>
  <c r="M131" i="22"/>
  <c r="O131" i="22" s="1"/>
  <c r="AY103" i="22" s="1"/>
  <c r="M134" i="22"/>
  <c r="N134" i="22"/>
  <c r="N137" i="22"/>
  <c r="M127" i="22"/>
  <c r="O127" i="22" s="1"/>
  <c r="N132" i="22"/>
  <c r="N131" i="22"/>
  <c r="M130" i="22"/>
  <c r="N133" i="22"/>
  <c r="N129" i="22"/>
  <c r="P129" i="22" s="1"/>
  <c r="AZ144" i="22" s="1"/>
  <c r="M129" i="22"/>
  <c r="M86" i="22"/>
  <c r="O86" i="22" s="1"/>
  <c r="M95" i="22"/>
  <c r="O95" i="22" s="1"/>
  <c r="N93" i="22"/>
  <c r="P93" i="22" s="1"/>
  <c r="N51" i="22"/>
  <c r="P51" i="22" s="1"/>
  <c r="M71" i="22"/>
  <c r="O71" i="22" s="1"/>
  <c r="M126" i="22"/>
  <c r="O126" i="22" s="1"/>
  <c r="N10" i="22"/>
  <c r="P10" i="22" s="1"/>
  <c r="N22" i="22"/>
  <c r="P22" i="22" s="1"/>
  <c r="N52" i="22"/>
  <c r="P52" i="22" s="1"/>
  <c r="N109" i="22"/>
  <c r="P109" i="22" s="1"/>
  <c r="N15" i="22"/>
  <c r="P15" i="22" s="1"/>
  <c r="N38" i="22"/>
  <c r="P38" i="22" s="1"/>
  <c r="N67" i="22"/>
  <c r="P67" i="22" s="1"/>
  <c r="N105" i="22"/>
  <c r="P105" i="22" s="1"/>
  <c r="N55" i="22"/>
  <c r="P55" i="22" s="1"/>
  <c r="M84" i="22"/>
  <c r="O84" i="22" s="1"/>
  <c r="M70" i="22"/>
  <c r="O70" i="22" s="1"/>
  <c r="N68" i="22"/>
  <c r="P68" i="22" s="1"/>
  <c r="M61" i="22"/>
  <c r="O61" i="22" s="1"/>
  <c r="M32" i="22"/>
  <c r="O32" i="22" s="1"/>
  <c r="M73" i="22"/>
  <c r="O73" i="22" s="1"/>
  <c r="M74" i="22"/>
  <c r="O74" i="22" s="1"/>
  <c r="N31" i="22"/>
  <c r="P31" i="22" s="1"/>
  <c r="N89" i="22"/>
  <c r="P89" i="22" s="1"/>
  <c r="M83" i="22"/>
  <c r="O83" i="22" s="1"/>
  <c r="N58" i="22"/>
  <c r="P58" i="22" s="1"/>
  <c r="M111" i="22"/>
  <c r="M120" i="22"/>
  <c r="N119" i="22"/>
  <c r="P119" i="22" s="1"/>
  <c r="N107" i="22"/>
  <c r="M13" i="22"/>
  <c r="O13" i="22" s="1"/>
  <c r="N35" i="22"/>
  <c r="P35" i="22" s="1"/>
  <c r="M79" i="22"/>
  <c r="O79" i="22" s="1"/>
  <c r="N94" i="22"/>
  <c r="P94" i="22" s="1"/>
  <c r="N26" i="22"/>
  <c r="P26" i="22" s="1"/>
  <c r="M89" i="22"/>
  <c r="O89" i="22" s="1"/>
  <c r="N81" i="22"/>
  <c r="M85" i="22"/>
  <c r="O85" i="22" s="1"/>
  <c r="M47" i="22"/>
  <c r="O47" i="22" s="1"/>
  <c r="N46" i="22"/>
  <c r="P46" i="22" s="1"/>
  <c r="N37" i="22"/>
  <c r="P37" i="22" s="1"/>
  <c r="M102" i="22"/>
  <c r="N104" i="22"/>
  <c r="P104" i="22" s="1"/>
  <c r="M108" i="22"/>
  <c r="N13" i="22"/>
  <c r="P13" i="22" s="1"/>
  <c r="M20" i="22"/>
  <c r="O20" i="22" s="1"/>
  <c r="M11" i="22"/>
  <c r="O11" i="22" s="1"/>
  <c r="N88" i="22"/>
  <c r="P88" i="22" s="1"/>
  <c r="M24" i="22"/>
  <c r="O24" i="22" s="1"/>
  <c r="N79" i="22"/>
  <c r="P79" i="22" s="1"/>
  <c r="N11" i="22"/>
  <c r="P11" i="22" s="1"/>
  <c r="M31" i="22"/>
  <c r="O31" i="22" s="1"/>
  <c r="M90" i="22"/>
  <c r="O90" i="22" s="1"/>
  <c r="M26" i="22"/>
  <c r="O26" i="22" s="1"/>
  <c r="M87" i="22"/>
  <c r="O87" i="22" s="1"/>
  <c r="N101" i="22"/>
  <c r="P101" i="22" s="1"/>
  <c r="M125" i="22"/>
  <c r="O125" i="22" s="1"/>
  <c r="N9" i="22"/>
  <c r="P9" i="22" s="1"/>
  <c r="N43" i="22"/>
  <c r="P43" i="22" s="1"/>
  <c r="M78" i="22"/>
  <c r="O78" i="22" s="1"/>
  <c r="M96" i="22"/>
  <c r="O96" i="22" s="1"/>
  <c r="N100" i="22"/>
  <c r="P100" i="22" s="1"/>
  <c r="M65" i="22"/>
  <c r="O65" i="22" s="1"/>
  <c r="M53" i="22"/>
  <c r="O53" i="22" s="1"/>
  <c r="N33" i="22"/>
  <c r="P33" i="22" s="1"/>
  <c r="M93" i="22"/>
  <c r="O93" i="22" s="1"/>
  <c r="M45" i="22"/>
  <c r="O45" i="22" s="1"/>
  <c r="M18" i="22"/>
  <c r="O18" i="22" s="1"/>
  <c r="N99" i="22"/>
  <c r="P99" i="22" s="1"/>
  <c r="N85" i="22"/>
  <c r="P85" i="22" s="1"/>
  <c r="M75" i="22"/>
  <c r="O75" i="22" s="1"/>
  <c r="N57" i="22"/>
  <c r="P57" i="22" s="1"/>
  <c r="N64" i="22"/>
  <c r="P64" i="22" s="1"/>
  <c r="M43" i="22"/>
  <c r="O43" i="22" s="1"/>
  <c r="N61" i="22"/>
  <c r="P61" i="22" s="1"/>
  <c r="N63" i="22"/>
  <c r="P63" i="22" s="1"/>
  <c r="M39" i="22"/>
  <c r="O39" i="22" s="1"/>
  <c r="N84" i="22"/>
  <c r="P84" i="22" s="1"/>
  <c r="M34" i="22"/>
  <c r="O34" i="22" s="1"/>
  <c r="M62" i="22"/>
  <c r="O62" i="22" s="1"/>
  <c r="N125" i="22"/>
  <c r="P125" i="22" s="1"/>
  <c r="M119" i="22"/>
  <c r="N123" i="22"/>
  <c r="P123" i="22" s="1"/>
  <c r="AZ140" i="22" s="1"/>
  <c r="M103" i="22"/>
  <c r="N116" i="22"/>
  <c r="N108" i="22"/>
  <c r="P108" i="22" s="1"/>
  <c r="AZ64" i="22" s="1"/>
  <c r="N106" i="22"/>
  <c r="P106" i="22" s="1"/>
  <c r="M33" i="22"/>
  <c r="O33" i="22" s="1"/>
  <c r="M80" i="22"/>
  <c r="O80" i="22" s="1"/>
  <c r="M97" i="22"/>
  <c r="O97" i="22" s="1"/>
  <c r="N78" i="22"/>
  <c r="P78" i="22" s="1"/>
  <c r="N59" i="22"/>
  <c r="P59" i="22" s="1"/>
  <c r="N73" i="22"/>
  <c r="P73" i="22" s="1"/>
  <c r="N40" i="22"/>
  <c r="P40" i="22" s="1"/>
  <c r="N75" i="22"/>
  <c r="P75" i="22" s="1"/>
  <c r="M51" i="22"/>
  <c r="O51" i="22" s="1"/>
  <c r="N53" i="22"/>
  <c r="P53" i="22" s="1"/>
  <c r="M56" i="22"/>
  <c r="O56" i="22" s="1"/>
  <c r="M52" i="22"/>
  <c r="O52" i="22" s="1"/>
  <c r="N97" i="22"/>
  <c r="P97" i="22" s="1"/>
  <c r="N50" i="22"/>
  <c r="P50" i="22" s="1"/>
  <c r="M17" i="22"/>
  <c r="O17" i="22" s="1"/>
  <c r="M10" i="22"/>
  <c r="O10" i="22" s="1"/>
  <c r="N20" i="22"/>
  <c r="P20" i="22" s="1"/>
  <c r="N70" i="22"/>
  <c r="P70" i="22" s="1"/>
  <c r="N56" i="22"/>
  <c r="P56" i="22" s="1"/>
  <c r="M25" i="22"/>
  <c r="O25" i="22" s="1"/>
  <c r="M28" i="22"/>
  <c r="O28" i="22" s="1"/>
  <c r="N23" i="22"/>
  <c r="P23" i="22" s="1"/>
  <c r="M118" i="22"/>
  <c r="O118" i="22" s="1"/>
  <c r="AY69" i="22" s="1"/>
  <c r="M115" i="22"/>
  <c r="M112" i="22"/>
  <c r="N115" i="22"/>
  <c r="N71" i="22"/>
  <c r="P71" i="22" s="1"/>
  <c r="M9" i="22"/>
  <c r="O9" i="22" s="1"/>
  <c r="N39" i="22"/>
  <c r="P39" i="22" s="1"/>
  <c r="M19" i="22"/>
  <c r="O19" i="22" s="1"/>
  <c r="M54" i="22"/>
  <c r="O54" i="22" s="1"/>
  <c r="N12" i="22"/>
  <c r="P12" i="22" s="1"/>
  <c r="M40" i="22"/>
  <c r="O40" i="22" s="1"/>
  <c r="M68" i="22"/>
  <c r="O68" i="22" s="1"/>
  <c r="N36" i="22"/>
  <c r="P36" i="22" s="1"/>
  <c r="M57" i="22"/>
  <c r="O57" i="22" s="1"/>
  <c r="M27" i="22"/>
  <c r="O27" i="22" s="1"/>
  <c r="N65" i="22"/>
  <c r="P65" i="22" s="1"/>
  <c r="N60" i="22"/>
  <c r="P60" i="22" s="1"/>
  <c r="M49" i="22"/>
  <c r="O49" i="22" s="1"/>
  <c r="M77" i="22"/>
  <c r="O77" i="22" s="1"/>
  <c r="M7" i="22"/>
  <c r="O7" i="22" s="1"/>
  <c r="M100" i="22"/>
  <c r="O100" i="22" s="1"/>
  <c r="M69" i="22"/>
  <c r="O69" i="22" s="1"/>
  <c r="N32" i="22"/>
  <c r="P32" i="22" s="1"/>
  <c r="N17" i="22"/>
  <c r="P17" i="22" s="1"/>
  <c r="N92" i="22"/>
  <c r="P92" i="22" s="1"/>
  <c r="N48" i="22"/>
  <c r="P48" i="22" s="1"/>
  <c r="M91" i="22"/>
  <c r="O91" i="22" s="1"/>
  <c r="N41" i="22"/>
  <c r="P41" i="22" s="1"/>
  <c r="M92" i="22"/>
  <c r="O92" i="22" s="1"/>
  <c r="N95" i="22"/>
  <c r="P95" i="22" s="1"/>
  <c r="N54" i="22"/>
  <c r="P54" i="22" s="1"/>
  <c r="N98" i="22"/>
  <c r="P98" i="22" s="1"/>
  <c r="N91" i="22"/>
  <c r="P91" i="22" s="1"/>
  <c r="M48" i="22"/>
  <c r="O48" i="22" s="1"/>
  <c r="M66" i="22"/>
  <c r="O66" i="22" s="1"/>
  <c r="N76" i="22"/>
  <c r="P76" i="22" s="1"/>
  <c r="N19" i="22"/>
  <c r="P19" i="22" s="1"/>
  <c r="M88" i="22"/>
  <c r="O88" i="22" s="1"/>
  <c r="N77" i="22"/>
  <c r="P77" i="22" s="1"/>
  <c r="M22" i="22"/>
  <c r="O22" i="22" s="1"/>
  <c r="N90" i="22"/>
  <c r="P90" i="22" s="1"/>
  <c r="N66" i="22"/>
  <c r="P66" i="22" s="1"/>
  <c r="M50" i="22"/>
  <c r="O50" i="22" s="1"/>
  <c r="M72" i="22"/>
  <c r="O72" i="22" s="1"/>
  <c r="N6" i="22"/>
  <c r="P6" i="22" s="1"/>
  <c r="M94" i="22"/>
  <c r="O94" i="22" s="1"/>
  <c r="N4" i="22"/>
  <c r="P4" i="22" s="1"/>
  <c r="N29" i="22"/>
  <c r="P29" i="22" s="1"/>
  <c r="N18" i="22"/>
  <c r="P18" i="22" s="1"/>
  <c r="M5" i="22"/>
  <c r="O5" i="22" s="1"/>
  <c r="N44" i="22"/>
  <c r="P44" i="22" s="1"/>
  <c r="N8" i="22"/>
  <c r="P8" i="22" s="1"/>
  <c r="M81" i="22"/>
  <c r="N21" i="22"/>
  <c r="P21" i="22" s="1"/>
  <c r="N24" i="22"/>
  <c r="P24" i="22" s="1"/>
  <c r="M109" i="22"/>
  <c r="N126" i="22"/>
  <c r="P126" i="22" s="1"/>
  <c r="M107" i="22"/>
  <c r="O107" i="22" s="1"/>
  <c r="M110" i="22"/>
  <c r="M105" i="22"/>
  <c r="N118" i="22"/>
  <c r="M116" i="22"/>
  <c r="N111" i="22"/>
  <c r="P111" i="22" s="1"/>
  <c r="N120" i="22"/>
  <c r="P120" i="22" s="1"/>
  <c r="M128" i="22"/>
  <c r="O128" i="22" s="1"/>
  <c r="AY71" i="22" s="1"/>
  <c r="N103" i="22"/>
  <c r="N7" i="22"/>
  <c r="P7" i="22" s="1"/>
  <c r="M63" i="22"/>
  <c r="O63" i="22" s="1"/>
  <c r="M30" i="22"/>
  <c r="O30" i="22" s="1"/>
  <c r="M59" i="22"/>
  <c r="O59" i="22" s="1"/>
  <c r="M46" i="22"/>
  <c r="O46" i="22" s="1"/>
  <c r="O35" i="22"/>
  <c r="M41" i="22"/>
  <c r="O41" i="22" s="1"/>
  <c r="M8" i="22"/>
  <c r="O8" i="22" s="1"/>
  <c r="N96" i="22"/>
  <c r="P96" i="22" s="1"/>
  <c r="M15" i="22"/>
  <c r="O15" i="22" s="1"/>
  <c r="M6" i="22"/>
  <c r="O6" i="22" s="1"/>
  <c r="N82" i="22"/>
  <c r="P82" i="22" s="1"/>
  <c r="N5" i="22"/>
  <c r="P5" i="22" s="1"/>
  <c r="N30" i="22"/>
  <c r="P30" i="22" s="1"/>
  <c r="M36" i="22"/>
  <c r="O36" i="22" s="1"/>
  <c r="M67" i="22"/>
  <c r="O67" i="22" s="1"/>
  <c r="N49" i="22"/>
  <c r="P49" i="22" s="1"/>
  <c r="M44" i="22"/>
  <c r="O44" i="22" s="1"/>
  <c r="N47" i="22"/>
  <c r="P47" i="22" s="1"/>
  <c r="M14" i="22"/>
  <c r="O14" i="22" s="1"/>
  <c r="M37" i="22"/>
  <c r="O37" i="22" s="1"/>
  <c r="N86" i="22"/>
  <c r="P86" i="22" s="1"/>
  <c r="M42" i="22"/>
  <c r="O42" i="22" s="1"/>
  <c r="M60" i="22"/>
  <c r="O60" i="22" s="1"/>
  <c r="M58" i="22"/>
  <c r="O58" i="22" s="1"/>
  <c r="M82" i="22"/>
  <c r="O82" i="22" s="1"/>
  <c r="M12" i="22"/>
  <c r="O12" i="22" s="1"/>
  <c r="N27" i="22"/>
  <c r="P27" i="22" s="1"/>
  <c r="N42" i="22"/>
  <c r="P42" i="22" s="1"/>
  <c r="M23" i="22"/>
  <c r="O23" i="22" s="1"/>
  <c r="M29" i="22"/>
  <c r="O29" i="22" s="1"/>
  <c r="N14" i="22"/>
  <c r="P14" i="22" s="1"/>
  <c r="M55" i="22"/>
  <c r="O55" i="22" s="1"/>
  <c r="N80" i="22"/>
  <c r="P80" i="22" s="1"/>
  <c r="N83" i="22"/>
  <c r="P83" i="22" s="1"/>
  <c r="N28" i="22"/>
  <c r="P28" i="22" s="1"/>
  <c r="N62" i="22"/>
  <c r="P62" i="22" s="1"/>
  <c r="M99" i="22"/>
  <c r="O99" i="22" s="1"/>
  <c r="M38" i="22"/>
  <c r="O38" i="22" s="1"/>
  <c r="M76" i="22"/>
  <c r="O76" i="22" s="1"/>
  <c r="M16" i="22"/>
  <c r="O16" i="22" s="1"/>
  <c r="N72" i="22"/>
  <c r="P72" i="22" s="1"/>
  <c r="N74" i="22"/>
  <c r="P74" i="22" s="1"/>
  <c r="M21" i="22"/>
  <c r="O21" i="22" s="1"/>
  <c r="N87" i="22"/>
  <c r="P87" i="22" s="1"/>
  <c r="M64" i="22"/>
  <c r="O64" i="22" s="1"/>
  <c r="N34" i="22"/>
  <c r="P34" i="22" s="1"/>
  <c r="M98" i="22"/>
  <c r="O98" i="22" s="1"/>
  <c r="N69" i="22"/>
  <c r="P69" i="22" s="1"/>
  <c r="M124" i="22"/>
  <c r="M101" i="22"/>
  <c r="O101" i="22" s="1"/>
  <c r="N110" i="22"/>
  <c r="N128" i="22"/>
  <c r="M123" i="22"/>
  <c r="N124" i="22"/>
  <c r="P124" i="22" s="1"/>
  <c r="E67" i="36"/>
  <c r="G67" i="36" s="1"/>
  <c r="F67" i="36"/>
  <c r="H67" i="36" s="1"/>
  <c r="M106" i="22"/>
  <c r="N102" i="22"/>
  <c r="P102" i="22" s="1"/>
  <c r="M104" i="22"/>
  <c r="N112" i="22"/>
  <c r="P112" i="22" s="1"/>
  <c r="E68" i="36"/>
  <c r="G68" i="36" s="1"/>
  <c r="E66" i="36"/>
  <c r="G66" i="36" s="1"/>
  <c r="F66" i="36"/>
  <c r="H66" i="36" s="1"/>
  <c r="F68" i="36"/>
  <c r="H68" i="36" s="1"/>
  <c r="N16" i="22"/>
  <c r="P16" i="22" s="1"/>
  <c r="AM159" i="59" a="1"/>
  <c r="AM159" i="59" s="1"/>
  <c r="AM144" i="11" a="1"/>
  <c r="AM144" i="11" s="1"/>
  <c r="AM5" i="22" l="1"/>
  <c r="AI256" i="32"/>
  <c r="AN256" i="32" s="1"/>
  <c r="AG257" i="32"/>
  <c r="AH257" i="32" s="1"/>
  <c r="AL257" i="32"/>
  <c r="AZ143" i="22"/>
  <c r="AZ145" i="22"/>
  <c r="AZ137" i="22"/>
  <c r="AZ70" i="22"/>
  <c r="AZ141" i="22"/>
  <c r="AZ65" i="22"/>
  <c r="AZ139" i="22"/>
  <c r="AZ62" i="22"/>
  <c r="AZ68" i="22"/>
  <c r="AZ138" i="22"/>
  <c r="AZ63" i="22"/>
  <c r="AZ61" i="22"/>
  <c r="AZ142" i="22"/>
  <c r="AZ66" i="22"/>
  <c r="AZ67" i="22"/>
  <c r="AY60" i="22"/>
  <c r="AZ60" i="22"/>
  <c r="AZ124" i="22"/>
  <c r="AY124" i="22"/>
  <c r="AI255" i="32"/>
  <c r="AN255" i="32" s="1"/>
  <c r="AY143" i="22"/>
  <c r="AY142" i="22"/>
  <c r="AY102" i="22"/>
  <c r="AY136" i="22"/>
  <c r="P137" i="22"/>
  <c r="R137" i="22" s="1"/>
  <c r="AF137" i="22" s="1"/>
  <c r="P114" i="22"/>
  <c r="P110" i="22"/>
  <c r="P103" i="22"/>
  <c r="P131" i="22"/>
  <c r="AZ103" i="22" s="1"/>
  <c r="P134" i="22"/>
  <c r="R134" i="22" s="1"/>
  <c r="AF134" i="22" s="1"/>
  <c r="P135" i="22"/>
  <c r="R135" i="22" s="1"/>
  <c r="AF135" i="22" s="1"/>
  <c r="P118" i="22"/>
  <c r="P107" i="22"/>
  <c r="P132" i="22"/>
  <c r="R132" i="22" s="1"/>
  <c r="AF132" i="22" s="1"/>
  <c r="P127" i="22"/>
  <c r="P128" i="22"/>
  <c r="P115" i="22"/>
  <c r="P116" i="22"/>
  <c r="P133" i="22"/>
  <c r="R133" i="22" s="1"/>
  <c r="AF133" i="22" s="1"/>
  <c r="P136" i="22"/>
  <c r="R136" i="22" s="1"/>
  <c r="AF136" i="22" s="1"/>
  <c r="R124" i="22"/>
  <c r="AF124" i="22" s="1"/>
  <c r="R123" i="22"/>
  <c r="R122" i="22"/>
  <c r="AF122" i="22" s="1"/>
  <c r="R126" i="22"/>
  <c r="R129" i="22"/>
  <c r="AF129" i="22" s="1"/>
  <c r="R121" i="22"/>
  <c r="R120" i="22"/>
  <c r="AF120" i="22" s="1"/>
  <c r="R125" i="22"/>
  <c r="R130" i="22"/>
  <c r="AF130" i="22" s="1"/>
  <c r="R111" i="22"/>
  <c r="BB65" i="22" s="1"/>
  <c r="BE65" i="22" s="1"/>
  <c r="BF65" i="22" s="1"/>
  <c r="R102" i="22"/>
  <c r="BB61" i="22" s="1"/>
  <c r="BE61" i="22" s="1"/>
  <c r="BF61" i="22" s="1"/>
  <c r="R106" i="22"/>
  <c r="BB63" i="22" s="1"/>
  <c r="BE63" i="22" s="1"/>
  <c r="BF63" i="22" s="1"/>
  <c r="R113" i="22"/>
  <c r="BB67" i="22" s="1"/>
  <c r="BE67" i="22" s="1"/>
  <c r="BF67" i="22" s="1"/>
  <c r="R108" i="22"/>
  <c r="BB64" i="22" s="1"/>
  <c r="BE64" i="22" s="1"/>
  <c r="BF64" i="22" s="1"/>
  <c r="R117" i="22"/>
  <c r="BB68" i="22" s="1"/>
  <c r="BE68" i="22" s="1"/>
  <c r="BF68" i="22" s="1"/>
  <c r="R112" i="22"/>
  <c r="BB66" i="22" s="1"/>
  <c r="BE66" i="22" s="1"/>
  <c r="BF66" i="22" s="1"/>
  <c r="R119" i="22"/>
  <c r="BB70" i="22" s="1"/>
  <c r="BE70" i="22" s="1"/>
  <c r="BF70" i="22" s="1"/>
  <c r="R105" i="22"/>
  <c r="AF105" i="22" s="1"/>
  <c r="R109" i="22"/>
  <c r="O104" i="22"/>
  <c r="AY62" i="22" s="1"/>
  <c r="O110" i="22"/>
  <c r="O112" i="22"/>
  <c r="AY66" i="22" s="1"/>
  <c r="O103" i="22"/>
  <c r="AY19" i="22" s="1"/>
  <c r="O108" i="22"/>
  <c r="AY64" i="22" s="1"/>
  <c r="O120" i="22"/>
  <c r="AY137" i="22" s="1"/>
  <c r="O130" i="22"/>
  <c r="AY145" i="22" s="1"/>
  <c r="O137" i="22"/>
  <c r="Q137" i="22" s="1"/>
  <c r="AE137" i="22" s="1"/>
  <c r="O133" i="22"/>
  <c r="Q133" i="22" s="1"/>
  <c r="AE133" i="22" s="1"/>
  <c r="O132" i="22"/>
  <c r="Q132" i="22" s="1"/>
  <c r="AE132" i="22" s="1"/>
  <c r="O121" i="22"/>
  <c r="AY138" i="22" s="1"/>
  <c r="O116" i="22"/>
  <c r="AY24" i="22" s="1"/>
  <c r="O115" i="22"/>
  <c r="Q115" i="22" s="1"/>
  <c r="AE115" i="22" s="1"/>
  <c r="O111" i="22"/>
  <c r="AY65" i="22" s="1"/>
  <c r="O129" i="22"/>
  <c r="AY144" i="22" s="1"/>
  <c r="O136" i="22"/>
  <c r="Q136" i="22" s="1"/>
  <c r="AE136" i="22" s="1"/>
  <c r="O117" i="22"/>
  <c r="AY68" i="22" s="1"/>
  <c r="O106" i="22"/>
  <c r="AY63" i="22" s="1"/>
  <c r="O124" i="22"/>
  <c r="AY141" i="22" s="1"/>
  <c r="O119" i="22"/>
  <c r="AY70" i="22" s="1"/>
  <c r="O102" i="22"/>
  <c r="AY61" i="22" s="1"/>
  <c r="O134" i="22"/>
  <c r="Q134" i="22" s="1"/>
  <c r="AE134" i="22" s="1"/>
  <c r="O135" i="22"/>
  <c r="Q135" i="22" s="1"/>
  <c r="AE135" i="22" s="1"/>
  <c r="O113" i="22"/>
  <c r="AY67" i="22" s="1"/>
  <c r="O123" i="22"/>
  <c r="AY140" i="22" s="1"/>
  <c r="O105" i="22"/>
  <c r="O109" i="22"/>
  <c r="AY22" i="22" s="1"/>
  <c r="O122" i="22"/>
  <c r="AY139" i="22" s="1"/>
  <c r="Q114" i="22"/>
  <c r="BA136" i="22" s="1"/>
  <c r="Q128" i="22"/>
  <c r="BA71" i="22" s="1"/>
  <c r="Q127" i="22"/>
  <c r="BA102" i="22" s="1"/>
  <c r="Q131" i="22"/>
  <c r="BA103" i="22" s="1"/>
  <c r="Q118" i="22"/>
  <c r="BA69" i="22" s="1"/>
  <c r="E69" i="36"/>
  <c r="G69" i="36" s="1"/>
  <c r="F69" i="36"/>
  <c r="H69" i="36" s="1"/>
  <c r="Q126" i="22"/>
  <c r="BA143" i="22" s="1"/>
  <c r="Q125" i="22"/>
  <c r="AE125" i="22" s="1"/>
  <c r="Q107" i="22"/>
  <c r="AE107" i="22" s="1"/>
  <c r="AN15" i="22"/>
  <c r="F50" i="36" s="1"/>
  <c r="R104" i="22"/>
  <c r="BB62" i="22" s="1"/>
  <c r="BE62" i="22" s="1"/>
  <c r="BF62" i="22" s="1"/>
  <c r="R101" i="22"/>
  <c r="AM15" i="22"/>
  <c r="E50" i="36" s="1"/>
  <c r="Q101" i="22"/>
  <c r="N25" i="22"/>
  <c r="P25" i="22" s="1"/>
  <c r="AM160" i="59" a="1"/>
  <c r="AM160" i="59" s="1"/>
  <c r="AM145" i="11" a="1"/>
  <c r="AM145" i="11" s="1"/>
  <c r="AI257" i="32" l="1"/>
  <c r="AN257" i="32" s="1"/>
  <c r="AN258" i="32" s="1"/>
  <c r="H12" i="73" s="1"/>
  <c r="AZ24" i="22"/>
  <c r="AZ71" i="22"/>
  <c r="AZ20" i="22"/>
  <c r="AZ101" i="22"/>
  <c r="R107" i="22"/>
  <c r="AF107" i="22" s="1"/>
  <c r="AZ69" i="22"/>
  <c r="AF108" i="22"/>
  <c r="AF102" i="22"/>
  <c r="AF112" i="22"/>
  <c r="AY20" i="22"/>
  <c r="AZ22" i="22"/>
  <c r="AY23" i="22"/>
  <c r="AY21" i="22"/>
  <c r="AD2" i="32"/>
  <c r="R128" i="22"/>
  <c r="BB71" i="22" s="1"/>
  <c r="BB141" i="22"/>
  <c r="D154" i="72" s="1"/>
  <c r="R110" i="22"/>
  <c r="BB101" i="22" s="1"/>
  <c r="BB137" i="22"/>
  <c r="D150" i="72" s="1"/>
  <c r="D74" i="72"/>
  <c r="BB144" i="22"/>
  <c r="D157" i="72" s="1"/>
  <c r="BB145" i="22"/>
  <c r="D158" i="72" s="1"/>
  <c r="BA142" i="22"/>
  <c r="D71" i="72"/>
  <c r="BB139" i="22"/>
  <c r="D152" i="72" s="1"/>
  <c r="AF109" i="22"/>
  <c r="AF106" i="22"/>
  <c r="AF126" i="22"/>
  <c r="BB143" i="22"/>
  <c r="D156" i="72" s="1"/>
  <c r="AZ23" i="22"/>
  <c r="AF113" i="22"/>
  <c r="AF121" i="22"/>
  <c r="BB138" i="22"/>
  <c r="D151" i="72" s="1"/>
  <c r="AY101" i="22"/>
  <c r="AF117" i="22"/>
  <c r="AF125" i="22"/>
  <c r="BB142" i="22"/>
  <c r="D155" i="72" s="1"/>
  <c r="AF119" i="22"/>
  <c r="AF111" i="22"/>
  <c r="AF123" i="22"/>
  <c r="BB140" i="22"/>
  <c r="AZ102" i="22"/>
  <c r="R127" i="22"/>
  <c r="BB102" i="22" s="1"/>
  <c r="R118" i="22"/>
  <c r="BB69" i="22" s="1"/>
  <c r="BE69" i="22" s="1"/>
  <c r="BF69" i="22" s="1"/>
  <c r="AZ19" i="22"/>
  <c r="R103" i="22"/>
  <c r="AF103" i="22" s="1"/>
  <c r="Q102" i="22"/>
  <c r="BA61" i="22" s="1"/>
  <c r="BB21" i="22"/>
  <c r="AZ21" i="22"/>
  <c r="R131" i="22"/>
  <c r="AN13" i="22"/>
  <c r="F48" i="36" s="1"/>
  <c r="AZ136" i="22"/>
  <c r="R114" i="22"/>
  <c r="AF114" i="22" s="1"/>
  <c r="R116" i="22"/>
  <c r="AN12" i="22"/>
  <c r="F47" i="36" s="1"/>
  <c r="AN16" i="22"/>
  <c r="F51" i="36" s="1"/>
  <c r="R115" i="22"/>
  <c r="AF115" i="22" s="1"/>
  <c r="AN14" i="22"/>
  <c r="F49" i="36" s="1"/>
  <c r="Q124" i="22"/>
  <c r="AE124" i="22" s="1"/>
  <c r="Q129" i="22"/>
  <c r="AE129" i="22" s="1"/>
  <c r="Q121" i="22"/>
  <c r="AE121" i="22" s="1"/>
  <c r="Q130" i="22"/>
  <c r="AE130" i="22" s="1"/>
  <c r="Q122" i="22"/>
  <c r="AE122" i="22" s="1"/>
  <c r="Q120" i="22"/>
  <c r="AE120" i="22" s="1"/>
  <c r="Q123" i="22"/>
  <c r="AE123" i="22" s="1"/>
  <c r="Q117" i="22"/>
  <c r="BA68" i="22" s="1"/>
  <c r="Q108" i="22"/>
  <c r="BA64" i="22" s="1"/>
  <c r="Q104" i="22"/>
  <c r="BA62" i="22" s="1"/>
  <c r="Q113" i="22"/>
  <c r="BA67" i="22" s="1"/>
  <c r="Q119" i="22"/>
  <c r="BA70" i="22" s="1"/>
  <c r="Q106" i="22"/>
  <c r="BA63" i="22" s="1"/>
  <c r="Q112" i="22"/>
  <c r="BA66" i="22" s="1"/>
  <c r="Q111" i="22"/>
  <c r="BA65" i="22" s="1"/>
  <c r="Q109" i="22"/>
  <c r="AE109" i="22" s="1"/>
  <c r="Q103" i="22"/>
  <c r="AE103" i="22" s="1"/>
  <c r="Q105" i="22"/>
  <c r="AE105" i="22" s="1"/>
  <c r="Q116" i="22"/>
  <c r="AM16" i="22"/>
  <c r="E51" i="36" s="1"/>
  <c r="Q110" i="22"/>
  <c r="BA101" i="22" s="1"/>
  <c r="AM13" i="22"/>
  <c r="E48" i="36" s="1"/>
  <c r="AM14" i="22"/>
  <c r="E49" i="36" s="1"/>
  <c r="AM12" i="22"/>
  <c r="E47" i="36" s="1"/>
  <c r="AE114" i="22"/>
  <c r="AE127" i="22"/>
  <c r="AE131" i="22"/>
  <c r="AE128" i="22"/>
  <c r="AE118" i="22"/>
  <c r="AE101" i="22"/>
  <c r="AP15" i="22"/>
  <c r="AE126" i="22"/>
  <c r="AF104" i="22"/>
  <c r="AF101" i="22"/>
  <c r="AO15" i="22"/>
  <c r="D72" i="72"/>
  <c r="AM161" i="59" a="1"/>
  <c r="AM161" i="59" s="1"/>
  <c r="AM146" i="11" a="1"/>
  <c r="AM146" i="11" s="1"/>
  <c r="BB22" i="22" l="1"/>
  <c r="BE22" i="22" s="1"/>
  <c r="BE140" i="22"/>
  <c r="F153" i="72" s="1"/>
  <c r="D153" i="72"/>
  <c r="BE142" i="22"/>
  <c r="F155" i="72" s="1"/>
  <c r="BE143" i="22"/>
  <c r="F156" i="72" s="1"/>
  <c r="BE145" i="22"/>
  <c r="F158" i="72" s="1"/>
  <c r="BE138" i="22"/>
  <c r="F151" i="72" s="1"/>
  <c r="BE139" i="22"/>
  <c r="F152" i="72" s="1"/>
  <c r="BE141" i="22"/>
  <c r="F154" i="72" s="1"/>
  <c r="BE71" i="22"/>
  <c r="D81" i="72"/>
  <c r="AE117" i="22"/>
  <c r="AE111" i="22"/>
  <c r="AE106" i="22"/>
  <c r="AE102" i="22"/>
  <c r="AE112" i="22"/>
  <c r="AE119" i="22"/>
  <c r="AE113" i="22"/>
  <c r="D76" i="72"/>
  <c r="AE108" i="22"/>
  <c r="AE104" i="22"/>
  <c r="AE116" i="22"/>
  <c r="BA24" i="22"/>
  <c r="BB23" i="22"/>
  <c r="D31" i="72" s="1"/>
  <c r="BB24" i="22"/>
  <c r="BA21" i="22"/>
  <c r="BB20" i="22"/>
  <c r="BE20" i="22" s="1"/>
  <c r="AF128" i="22"/>
  <c r="AF131" i="22"/>
  <c r="BB103" i="22"/>
  <c r="BE103" i="22" s="1"/>
  <c r="BF103" i="22" s="1"/>
  <c r="BE21" i="22"/>
  <c r="D29" i="72"/>
  <c r="AF110" i="22"/>
  <c r="F78" i="72"/>
  <c r="D78" i="72"/>
  <c r="BE101" i="22"/>
  <c r="D112" i="72"/>
  <c r="BE102" i="22"/>
  <c r="D113" i="72"/>
  <c r="D79" i="72"/>
  <c r="BE137" i="22"/>
  <c r="F150" i="72" s="1"/>
  <c r="F74" i="72"/>
  <c r="D75" i="72"/>
  <c r="AF116" i="22"/>
  <c r="BE144" i="22"/>
  <c r="F157" i="72" s="1"/>
  <c r="D80" i="72"/>
  <c r="F76" i="72"/>
  <c r="BA137" i="22"/>
  <c r="D77" i="72"/>
  <c r="AP13" i="22"/>
  <c r="BA145" i="22"/>
  <c r="BA23" i="22"/>
  <c r="BA144" i="22"/>
  <c r="BA140" i="22"/>
  <c r="BA139" i="22"/>
  <c r="BA138" i="22"/>
  <c r="BA141" i="22"/>
  <c r="BB136" i="22"/>
  <c r="D149" i="72" s="1"/>
  <c r="G71" i="72"/>
  <c r="AP12" i="22"/>
  <c r="AP16" i="22"/>
  <c r="F89" i="36" s="1"/>
  <c r="D73" i="72"/>
  <c r="AP14" i="22"/>
  <c r="AF127" i="22"/>
  <c r="AF118" i="22"/>
  <c r="BA20" i="22"/>
  <c r="BA22" i="22"/>
  <c r="AO16" i="22"/>
  <c r="AO13" i="22"/>
  <c r="AE110" i="22"/>
  <c r="AO14" i="22"/>
  <c r="AO12" i="22"/>
  <c r="G77" i="72"/>
  <c r="F77" i="72"/>
  <c r="G72" i="72"/>
  <c r="F72" i="72"/>
  <c r="G75" i="72"/>
  <c r="F75" i="72"/>
  <c r="G73" i="72"/>
  <c r="F73" i="72"/>
  <c r="G80" i="72"/>
  <c r="F80" i="72"/>
  <c r="AM162" i="59" a="1"/>
  <c r="AM162" i="59" s="1"/>
  <c r="AM147" i="11" a="1"/>
  <c r="AM147" i="11" s="1"/>
  <c r="D30" i="72" l="1"/>
  <c r="BF140" i="22"/>
  <c r="BF145" i="22"/>
  <c r="BF142" i="22"/>
  <c r="BF139" i="22"/>
  <c r="BF138" i="22"/>
  <c r="BF141" i="22"/>
  <c r="BF143" i="22"/>
  <c r="BF137" i="22"/>
  <c r="BF71" i="22"/>
  <c r="G81" i="72" s="1"/>
  <c r="F81" i="72"/>
  <c r="BE24" i="22"/>
  <c r="D32" i="72"/>
  <c r="BE23" i="22"/>
  <c r="BF23" i="22" s="1"/>
  <c r="G31" i="72" s="1"/>
  <c r="D28" i="72"/>
  <c r="D114" i="72"/>
  <c r="BF20" i="22"/>
  <c r="G28" i="72" s="1"/>
  <c r="F28" i="72"/>
  <c r="BF21" i="22"/>
  <c r="G29" i="72" s="1"/>
  <c r="F29" i="72"/>
  <c r="BF22" i="22"/>
  <c r="G30" i="72" s="1"/>
  <c r="F30" i="72"/>
  <c r="G78" i="72"/>
  <c r="BF102" i="22"/>
  <c r="F113" i="72"/>
  <c r="BE136" i="22"/>
  <c r="F149" i="72" s="1"/>
  <c r="G79" i="72"/>
  <c r="F79" i="72"/>
  <c r="BF101" i="22"/>
  <c r="F112" i="72"/>
  <c r="F114" i="72"/>
  <c r="G74" i="72"/>
  <c r="G51" i="36"/>
  <c r="BF144" i="22"/>
  <c r="G76" i="72"/>
  <c r="H51" i="36"/>
  <c r="F71" i="72"/>
  <c r="AM163" i="59" a="1"/>
  <c r="AM163" i="59" s="1"/>
  <c r="AM148" i="11" a="1"/>
  <c r="AM148" i="11" s="1"/>
  <c r="BF24" i="22" l="1"/>
  <c r="G32" i="72" s="1"/>
  <c r="F32" i="72"/>
  <c r="F31" i="72"/>
  <c r="G112" i="72"/>
  <c r="BF136" i="22"/>
  <c r="E89" i="36"/>
  <c r="H89" i="36"/>
  <c r="G89" i="36"/>
  <c r="AM164" i="59" a="1"/>
  <c r="AM164" i="59" s="1"/>
  <c r="AM149" i="11" a="1"/>
  <c r="AM149" i="11" s="1"/>
  <c r="AM165" i="59" l="1" a="1"/>
  <c r="AM165" i="59" s="1"/>
  <c r="AM150" i="11" a="1"/>
  <c r="AM150" i="11" s="1"/>
  <c r="AM166" i="59" l="1" a="1"/>
  <c r="AM166" i="59" s="1"/>
  <c r="AM151" i="11" a="1"/>
  <c r="AM151" i="11" s="1"/>
  <c r="AM167" i="59" l="1" a="1"/>
  <c r="AM167" i="59" s="1"/>
  <c r="AM152" i="11" a="1"/>
  <c r="AM152" i="11" s="1"/>
  <c r="AM168" i="59" l="1" a="1"/>
  <c r="AM168" i="59" s="1"/>
  <c r="AM153" i="11" a="1"/>
  <c r="AM153" i="11" s="1"/>
  <c r="AM169" i="59" l="1" a="1"/>
  <c r="AM169" i="59" s="1"/>
  <c r="AM154" i="11" a="1"/>
  <c r="AM154" i="11" s="1"/>
  <c r="AM170" i="59" l="1" a="1"/>
  <c r="AM170" i="59" s="1"/>
  <c r="AM155" i="11" a="1"/>
  <c r="AM155" i="11" s="1"/>
  <c r="AM171" i="59" l="1" a="1"/>
  <c r="AM171" i="59" s="1"/>
  <c r="AM156" i="11" a="1"/>
  <c r="AM156" i="11" s="1"/>
  <c r="AM172" i="59" l="1" a="1"/>
  <c r="AM172" i="59" s="1"/>
  <c r="AM157" i="11" a="1"/>
  <c r="AM157" i="11" s="1"/>
  <c r="AM173" i="59" l="1" a="1"/>
  <c r="AM173" i="59" s="1"/>
  <c r="AM158" i="11" a="1"/>
  <c r="AM158" i="11" s="1"/>
  <c r="AM174" i="59" l="1" a="1"/>
  <c r="AM174" i="59" s="1"/>
  <c r="AM159" i="11" a="1"/>
  <c r="AM159" i="11" s="1"/>
  <c r="AM175" i="59" l="1" a="1"/>
  <c r="AM175" i="59" s="1"/>
  <c r="AM160" i="11" a="1"/>
  <c r="AM160" i="11" s="1"/>
  <c r="AM176" i="59" l="1" a="1"/>
  <c r="AM176" i="59" s="1"/>
  <c r="AM161" i="11" a="1"/>
  <c r="AM161" i="11" s="1"/>
  <c r="AM177" i="59" l="1" a="1"/>
  <c r="AM177" i="59" s="1"/>
  <c r="AM162" i="11" a="1"/>
  <c r="AM162" i="11" s="1"/>
  <c r="AM178" i="59" l="1" a="1"/>
  <c r="AM178" i="59" s="1"/>
  <c r="AM163" i="11" a="1"/>
  <c r="AM163" i="11" s="1"/>
  <c r="AM179" i="59" l="1" a="1"/>
  <c r="AM179" i="59" s="1"/>
  <c r="AM164" i="11" a="1"/>
  <c r="AM164" i="11" s="1"/>
  <c r="AM180" i="59" l="1" a="1"/>
  <c r="AM180" i="59" s="1"/>
  <c r="AM165" i="11" a="1"/>
  <c r="AM165" i="11" s="1"/>
  <c r="AM181" i="59" l="1" a="1"/>
  <c r="AM181" i="59" s="1"/>
  <c r="AM166" i="11" a="1"/>
  <c r="AM166" i="11" s="1"/>
  <c r="AM182" i="59" l="1" a="1"/>
  <c r="AM182" i="59" s="1"/>
  <c r="AM167" i="11" a="1"/>
  <c r="AM167" i="11" s="1"/>
  <c r="AM183" i="59" l="1" a="1"/>
  <c r="AM183" i="59" s="1"/>
  <c r="AM168" i="11" a="1"/>
  <c r="AM168" i="11" s="1"/>
  <c r="AM184" i="59" l="1" a="1"/>
  <c r="AM184" i="59" s="1"/>
  <c r="AM169" i="11" a="1"/>
  <c r="AM169" i="11" s="1"/>
  <c r="AM185" i="59" l="1" a="1"/>
  <c r="AM185" i="59" s="1"/>
  <c r="AM170" i="11" a="1"/>
  <c r="AM170" i="11" s="1"/>
  <c r="AM186" i="59" l="1" a="1"/>
  <c r="AM186" i="59" s="1"/>
  <c r="AM171" i="11" a="1"/>
  <c r="AM171" i="11" s="1"/>
  <c r="AM187" i="59" l="1" a="1"/>
  <c r="AM187" i="59" s="1"/>
  <c r="AM172" i="11" a="1"/>
  <c r="AM172" i="11" s="1"/>
  <c r="AM188" i="59" l="1" a="1"/>
  <c r="AM188" i="59" s="1"/>
  <c r="AM173" i="11" a="1"/>
  <c r="AM173" i="11" s="1"/>
  <c r="AM189" i="59" l="1" a="1"/>
  <c r="AM189" i="59" s="1"/>
  <c r="AM174" i="11" a="1"/>
  <c r="AM174" i="11" s="1"/>
  <c r="AM190" i="59" l="1" a="1"/>
  <c r="AM190" i="59" s="1"/>
  <c r="AM175" i="11" a="1"/>
  <c r="AM175" i="11" s="1"/>
  <c r="AM191" i="59" l="1" a="1"/>
  <c r="AM191" i="59" s="1"/>
  <c r="AM176" i="11" a="1"/>
  <c r="AM176" i="11" s="1"/>
  <c r="AM192" i="59" l="1" a="1"/>
  <c r="AM192" i="59" s="1"/>
  <c r="AM177" i="11" a="1"/>
  <c r="AM177" i="11" s="1"/>
  <c r="AM193" i="59" l="1" a="1"/>
  <c r="AM193" i="59" s="1"/>
  <c r="AM178" i="11" a="1"/>
  <c r="AM178" i="11" s="1"/>
  <c r="AM194" i="59" l="1" a="1"/>
  <c r="AM194" i="59" s="1"/>
  <c r="AM179" i="11" a="1"/>
  <c r="AM179" i="11" s="1"/>
  <c r="AM195" i="59" l="1" a="1"/>
  <c r="AM195" i="59" s="1"/>
  <c r="AM180" i="11" a="1"/>
  <c r="AM180" i="11" s="1"/>
  <c r="AM196" i="59" l="1" a="1"/>
  <c r="AM196" i="59" s="1"/>
  <c r="AM181" i="11" a="1"/>
  <c r="AM181" i="11" s="1"/>
  <c r="AM197" i="59" l="1" a="1"/>
  <c r="AM197" i="59" s="1"/>
  <c r="AM182" i="11" a="1"/>
  <c r="AM182" i="11" s="1"/>
  <c r="AM198" i="59" l="1" a="1"/>
  <c r="AM198" i="59" s="1"/>
  <c r="AM183" i="11" a="1"/>
  <c r="AM183" i="11" s="1"/>
  <c r="AM199" i="59" l="1" a="1"/>
  <c r="AM199" i="59" s="1"/>
  <c r="AM184" i="11" a="1"/>
  <c r="AM184" i="11" s="1"/>
  <c r="AM200" i="59" l="1" a="1"/>
  <c r="AM200" i="59" s="1"/>
  <c r="AM185" i="11" a="1"/>
  <c r="AM185" i="11" s="1"/>
  <c r="AM201" i="59" l="1" a="1"/>
  <c r="AM201" i="59" s="1"/>
  <c r="AM186" i="11" a="1"/>
  <c r="AM186" i="11" s="1"/>
  <c r="AM202" i="59" l="1" a="1"/>
  <c r="AM202" i="59" s="1"/>
  <c r="AM187" i="11" a="1"/>
  <c r="AM187" i="11" s="1"/>
  <c r="AM203" i="59" l="1" a="1"/>
  <c r="AM203" i="59" s="1"/>
  <c r="AM188" i="11" a="1"/>
  <c r="AM188" i="11" s="1"/>
  <c r="AM204" i="59" l="1" a="1"/>
  <c r="AM204" i="59" s="1"/>
  <c r="AM189" i="11" a="1"/>
  <c r="AM189" i="11" s="1"/>
  <c r="AM205" i="59" l="1" a="1"/>
  <c r="AM205" i="59" s="1"/>
  <c r="AM190" i="11" a="1"/>
  <c r="AM190" i="11" s="1"/>
  <c r="AM206" i="59" l="1" a="1"/>
  <c r="AM206" i="59" s="1"/>
  <c r="AM191" i="11" a="1"/>
  <c r="AM191" i="11" s="1"/>
  <c r="AM207" i="59" l="1" a="1"/>
  <c r="AM207" i="59" s="1"/>
  <c r="AM192" i="11" a="1"/>
  <c r="AM192" i="11" s="1"/>
  <c r="AM208" i="59" l="1" a="1"/>
  <c r="AM208" i="59" s="1"/>
  <c r="AM193" i="11" a="1"/>
  <c r="AM193" i="11" s="1"/>
  <c r="AM209" i="59" l="1" a="1"/>
  <c r="AM209" i="59" s="1"/>
  <c r="AM194" i="11" a="1"/>
  <c r="AM194" i="11" s="1"/>
  <c r="AM210" i="59" l="1" a="1"/>
  <c r="AM210" i="59" s="1"/>
  <c r="AM195" i="11" a="1"/>
  <c r="AM195" i="11" s="1"/>
  <c r="AM211" i="59" l="1" a="1"/>
  <c r="AM211" i="59" s="1"/>
  <c r="AM196" i="11" a="1"/>
  <c r="AM196" i="11" s="1"/>
  <c r="AM212" i="59" l="1" a="1"/>
  <c r="AM212" i="59" s="1"/>
  <c r="AM197" i="11" a="1"/>
  <c r="AM197" i="11" s="1"/>
  <c r="AM213" i="59" l="1" a="1"/>
  <c r="AM213" i="59" s="1"/>
  <c r="AM198" i="11" a="1"/>
  <c r="AM198" i="11" s="1"/>
  <c r="AM214" i="59" l="1" a="1"/>
  <c r="AM214" i="59" s="1"/>
  <c r="AM199" i="11" a="1"/>
  <c r="AM199" i="11" s="1"/>
  <c r="AM215" i="59" l="1" a="1"/>
  <c r="AM215" i="59" s="1"/>
  <c r="AM200" i="11" a="1"/>
  <c r="AM200" i="11" s="1"/>
  <c r="AM216" i="59" l="1" a="1"/>
  <c r="AM216" i="59" s="1"/>
  <c r="AM201" i="11" a="1"/>
  <c r="AM201" i="11" s="1"/>
  <c r="AM217" i="59" l="1" a="1"/>
  <c r="AM217" i="59" s="1"/>
  <c r="AM202" i="11" a="1"/>
  <c r="AM202" i="11" s="1"/>
  <c r="AM218" i="59" l="1" a="1"/>
  <c r="AM218" i="59" s="1"/>
  <c r="AM203" i="11" a="1"/>
  <c r="AM203" i="11" s="1"/>
  <c r="AM219" i="59" l="1" a="1"/>
  <c r="AM219" i="59" s="1"/>
  <c r="AM204" i="11" a="1"/>
  <c r="AM204" i="11" s="1"/>
  <c r="AM220" i="59" l="1" a="1"/>
  <c r="AM220" i="59" s="1"/>
  <c r="AM205" i="11" a="1"/>
  <c r="AM205" i="11" s="1"/>
  <c r="AM221" i="59" l="1" a="1"/>
  <c r="AM221" i="59" s="1"/>
  <c r="AM206" i="11" a="1"/>
  <c r="AM206" i="11" s="1"/>
  <c r="AM222" i="59" l="1" a="1"/>
  <c r="AM222" i="59" s="1"/>
  <c r="AM207" i="11" a="1"/>
  <c r="AM207" i="11" s="1"/>
  <c r="AM223" i="59" l="1" a="1"/>
  <c r="AM223" i="59" s="1"/>
  <c r="AM208" i="11" a="1"/>
  <c r="AM208" i="11" s="1"/>
  <c r="AM224" i="59" l="1" a="1"/>
  <c r="AM224" i="59" s="1"/>
  <c r="AM209" i="11" a="1"/>
  <c r="AM209" i="11" s="1"/>
  <c r="AM225" i="59" l="1" a="1"/>
  <c r="AM225" i="59" s="1"/>
  <c r="AM210" i="11" a="1"/>
  <c r="AM210" i="11" s="1"/>
  <c r="AM226" i="59" l="1" a="1"/>
  <c r="AM226" i="59" s="1"/>
  <c r="AM211" i="11" a="1"/>
  <c r="AM211" i="11" s="1"/>
  <c r="AM227" i="59" l="1" a="1"/>
  <c r="AM227" i="59" s="1"/>
  <c r="AM212" i="11" a="1"/>
  <c r="AM212" i="11" s="1"/>
  <c r="AM228" i="59" l="1" a="1"/>
  <c r="AM228" i="59" s="1"/>
  <c r="AM213" i="11" a="1"/>
  <c r="AM213" i="11" s="1"/>
  <c r="AM229" i="59" l="1" a="1"/>
  <c r="AM229" i="59" s="1"/>
  <c r="AM214" i="11" a="1"/>
  <c r="AM214" i="11" s="1"/>
  <c r="AM230" i="59" l="1" a="1"/>
  <c r="AM230" i="59" s="1"/>
  <c r="AM215" i="11" a="1"/>
  <c r="AM215" i="11" s="1"/>
  <c r="AM231" i="59" l="1" a="1"/>
  <c r="AM231" i="59" s="1"/>
  <c r="AM216" i="11" a="1"/>
  <c r="AM216" i="11" s="1"/>
  <c r="AM232" i="59" l="1" a="1"/>
  <c r="AM232" i="59" s="1"/>
  <c r="AM217" i="11" a="1"/>
  <c r="AM217" i="11" s="1"/>
  <c r="AM233" i="59" l="1" a="1"/>
  <c r="AM233" i="59" s="1"/>
  <c r="AM218" i="11" a="1"/>
  <c r="AM218" i="11" s="1"/>
  <c r="AM234" i="59" l="1" a="1"/>
  <c r="AM234" i="59" s="1"/>
  <c r="AM219" i="11" a="1"/>
  <c r="AM219" i="11" s="1"/>
  <c r="AM235" i="59" l="1" a="1"/>
  <c r="AM235" i="59" s="1"/>
  <c r="AM220" i="11" a="1"/>
  <c r="AM220" i="11" s="1"/>
  <c r="AM236" i="59" l="1" a="1"/>
  <c r="AM236" i="59" s="1"/>
  <c r="AM221" i="11" a="1"/>
  <c r="AM221" i="11" s="1"/>
  <c r="AM237" i="59" l="1" a="1"/>
  <c r="AM237" i="59" s="1"/>
  <c r="AM222" i="11" a="1"/>
  <c r="AM222" i="11" s="1"/>
  <c r="AM238" i="59" l="1" a="1"/>
  <c r="AM238" i="59" s="1"/>
  <c r="AM223" i="11" a="1"/>
  <c r="AM223" i="11" s="1"/>
  <c r="AM239" i="59" l="1" a="1"/>
  <c r="AM239" i="59" s="1"/>
  <c r="AM224" i="11" a="1"/>
  <c r="AM224" i="11" s="1"/>
  <c r="AM240" i="59" l="1" a="1"/>
  <c r="AM240" i="59" s="1"/>
  <c r="AM225" i="11" a="1"/>
  <c r="AM225" i="11" s="1"/>
  <c r="AM241" i="59" l="1" a="1"/>
  <c r="AM241" i="59" s="1"/>
  <c r="AM226" i="11" a="1"/>
  <c r="AM226" i="11" s="1"/>
  <c r="AM242" i="59" l="1" a="1"/>
  <c r="AM242" i="59" s="1"/>
  <c r="AM227" i="11" a="1"/>
  <c r="AM227" i="11" s="1"/>
  <c r="AM243" i="59" l="1" a="1"/>
  <c r="AM243" i="59" s="1"/>
  <c r="AM228" i="11" a="1"/>
  <c r="AM228" i="11" s="1"/>
  <c r="AM244" i="59" l="1" a="1"/>
  <c r="AM244" i="59" s="1"/>
  <c r="AM229" i="11" a="1"/>
  <c r="AM229" i="11" s="1"/>
  <c r="AM245" i="59" l="1" a="1"/>
  <c r="AM245" i="59" s="1"/>
  <c r="AM230" i="11" a="1"/>
  <c r="AM230" i="11" s="1"/>
  <c r="AM246" i="59" l="1" a="1"/>
  <c r="AM246" i="59" s="1"/>
  <c r="AM231" i="11" a="1"/>
  <c r="AM231" i="11" s="1"/>
  <c r="AM247" i="59" l="1" a="1"/>
  <c r="AM247" i="59" s="1"/>
  <c r="AM232" i="11" a="1"/>
  <c r="AM232" i="11" s="1"/>
  <c r="AM248" i="59" l="1" a="1"/>
  <c r="AM248" i="59" s="1"/>
  <c r="AM233" i="11" a="1"/>
  <c r="AM233" i="11" s="1"/>
  <c r="AM249" i="59" l="1" a="1"/>
  <c r="AM249" i="59" s="1"/>
  <c r="AM234" i="11" a="1"/>
  <c r="AM234" i="11" s="1"/>
  <c r="AM250" i="59" l="1" a="1"/>
  <c r="AM250" i="59" s="1"/>
  <c r="AM235" i="11" a="1"/>
  <c r="AM235" i="11" s="1"/>
  <c r="AM251" i="59" l="1" a="1"/>
  <c r="AM251" i="59" s="1"/>
  <c r="AM236" i="11" a="1"/>
  <c r="AM236" i="11" s="1"/>
  <c r="AM252" i="59" l="1" a="1"/>
  <c r="AM252" i="59" s="1"/>
  <c r="AM237" i="11" a="1"/>
  <c r="AM237" i="11" s="1"/>
  <c r="AM253" i="59" l="1" a="1"/>
  <c r="AM253" i="59" s="1"/>
  <c r="AM238" i="11" a="1"/>
  <c r="AM238" i="11" s="1"/>
  <c r="AM254" i="59" l="1" a="1"/>
  <c r="AM254" i="59" s="1"/>
  <c r="AM239" i="11" a="1"/>
  <c r="AM239" i="11" s="1"/>
  <c r="AM255" i="59" l="1" a="1"/>
  <c r="AM255" i="59" s="1"/>
  <c r="AM240" i="11" a="1"/>
  <c r="AM240" i="11" s="1"/>
  <c r="AM256" i="59" l="1" a="1"/>
  <c r="AM256" i="59" s="1"/>
  <c r="AM241" i="11" a="1"/>
  <c r="AM241" i="11" s="1"/>
  <c r="AM257" i="59" l="1" a="1"/>
  <c r="AM257" i="59" s="1"/>
  <c r="AM258" i="59" s="1" a="1"/>
  <c r="AM258" i="59" s="1"/>
  <c r="AM242" i="11" a="1"/>
  <c r="AM242" i="11" s="1"/>
  <c r="AM243" i="11" l="1" a="1"/>
  <c r="AM243" i="11" s="1"/>
  <c r="AM244" i="11" l="1" a="1"/>
  <c r="AM244" i="11" s="1"/>
  <c r="AM245" i="11" l="1" a="1"/>
  <c r="AM245" i="11" s="1"/>
  <c r="AD59" i="22" l="1"/>
  <c r="BD123" i="22" s="1"/>
  <c r="E136" i="72" s="1"/>
  <c r="AD75" i="22"/>
  <c r="BD131" i="22" s="1"/>
  <c r="E144" i="72" s="1"/>
  <c r="AC59" i="22"/>
  <c r="AN22" i="22"/>
  <c r="AM21" i="22"/>
  <c r="AD61" i="22"/>
  <c r="BD122" i="22" s="1"/>
  <c r="E135" i="72" s="1"/>
  <c r="AN20" i="22"/>
  <c r="F58" i="36" s="1"/>
  <c r="H58" i="36" s="1"/>
  <c r="AM20" i="22"/>
  <c r="E58" i="36" s="1"/>
  <c r="G58" i="36" s="1"/>
  <c r="AM22" i="22"/>
  <c r="AC61" i="22"/>
  <c r="AN21" i="22"/>
  <c r="AM24" i="22"/>
  <c r="AN24" i="22"/>
  <c r="AN27" i="22"/>
  <c r="AN23" i="22"/>
  <c r="AN26" i="22"/>
  <c r="AM23" i="22"/>
  <c r="AM26" i="22"/>
  <c r="AC4" i="22"/>
  <c r="AC92" i="22"/>
  <c r="AD74" i="22"/>
  <c r="BD130" i="22" s="1"/>
  <c r="E143" i="72" s="1"/>
  <c r="AC80" i="22"/>
  <c r="AC58" i="22"/>
  <c r="AD34" i="22"/>
  <c r="BD91" i="22" s="1"/>
  <c r="AD80" i="22"/>
  <c r="AC60" i="22"/>
  <c r="AC72" i="22"/>
  <c r="AD26" i="22"/>
  <c r="BD35" i="22" s="1"/>
  <c r="AD37" i="22"/>
  <c r="BD37" i="22" s="1"/>
  <c r="AD99" i="22"/>
  <c r="BD59" i="22" s="1"/>
  <c r="AC13" i="22"/>
  <c r="AD63" i="22"/>
  <c r="BD154" i="22" s="1"/>
  <c r="AD67" i="22"/>
  <c r="AD40" i="22"/>
  <c r="AC78" i="22"/>
  <c r="AD69" i="22"/>
  <c r="BD126" i="22" s="1"/>
  <c r="E139" i="72" s="1"/>
  <c r="AC9" i="22"/>
  <c r="AD64" i="22"/>
  <c r="BD96" i="22" s="1"/>
  <c r="AC57" i="22"/>
  <c r="AC30" i="22"/>
  <c r="AC31" i="22"/>
  <c r="AC17" i="22"/>
  <c r="AD30" i="22"/>
  <c r="BD88" i="22" s="1"/>
  <c r="AD22" i="22"/>
  <c r="BD83" i="22" s="1"/>
  <c r="AD58" i="22"/>
  <c r="BD94" i="22" s="1"/>
  <c r="AC79" i="22"/>
  <c r="AC66" i="22"/>
  <c r="AC54" i="22"/>
  <c r="AC6" i="22"/>
  <c r="AC55" i="22"/>
  <c r="AD53" i="22"/>
  <c r="BD47" i="22" s="1"/>
  <c r="AD25" i="22"/>
  <c r="BD85" i="22" s="1"/>
  <c r="AD12" i="22"/>
  <c r="BD114" i="22" s="1"/>
  <c r="E127" i="72" s="1"/>
  <c r="AD77" i="22"/>
  <c r="BD156" i="22" s="1"/>
  <c r="AC32" i="22"/>
  <c r="AC43" i="22"/>
  <c r="AD38" i="22"/>
  <c r="BD146" i="22" s="1"/>
  <c r="E159" i="72" s="1"/>
  <c r="AD91" i="22"/>
  <c r="BD55" i="22" s="1"/>
  <c r="AC34" i="22"/>
  <c r="AC7" i="22"/>
  <c r="AD45" i="22"/>
  <c r="BD42" i="22" s="1"/>
  <c r="AC56" i="22"/>
  <c r="AD13" i="22"/>
  <c r="BD115" i="22" s="1"/>
  <c r="E128" i="72" s="1"/>
  <c r="AC99" i="22"/>
  <c r="AC18" i="22"/>
  <c r="AC14" i="22"/>
  <c r="AC76" i="22"/>
  <c r="AC44" i="22"/>
  <c r="AD43" i="22"/>
  <c r="BD40" i="22" s="1"/>
  <c r="AD89" i="22"/>
  <c r="BD53" i="22" s="1"/>
  <c r="AD46" i="22"/>
  <c r="BD43" i="22" s="1"/>
  <c r="AD60" i="22"/>
  <c r="BD153" i="22" s="1"/>
  <c r="AC45" i="22"/>
  <c r="AC27" i="22"/>
  <c r="AD41" i="22"/>
  <c r="BD120" i="22" s="1"/>
  <c r="E133" i="72" s="1"/>
  <c r="AD19" i="22"/>
  <c r="BD5" i="22" s="1"/>
  <c r="E13" i="72" s="1"/>
  <c r="AD39" i="22"/>
  <c r="BD38" i="22" s="1"/>
  <c r="AC38" i="22"/>
  <c r="AC52" i="22"/>
  <c r="AC96" i="22"/>
  <c r="AD88" i="22"/>
  <c r="BD52" i="22" s="1"/>
  <c r="E62" i="72" s="1"/>
  <c r="AD10" i="22"/>
  <c r="BD82" i="22" s="1"/>
  <c r="AC89" i="22"/>
  <c r="AD11" i="22"/>
  <c r="BD113" i="22" s="1"/>
  <c r="E126" i="72" s="1"/>
  <c r="AC39" i="22"/>
  <c r="AD71" i="22"/>
  <c r="BD128" i="22" s="1"/>
  <c r="E141" i="72" s="1"/>
  <c r="AD29" i="22"/>
  <c r="BD87" i="22" s="1"/>
  <c r="AC69" i="22"/>
  <c r="AC35" i="22"/>
  <c r="AD98" i="22"/>
  <c r="BD58" i="22" s="1"/>
  <c r="AD94" i="22"/>
  <c r="BD99" i="22" s="1"/>
  <c r="AC67" i="22"/>
  <c r="AD70" i="22"/>
  <c r="AD48" i="22"/>
  <c r="BD92" i="22" s="1"/>
  <c r="E103" i="72" s="1"/>
  <c r="AC40" i="22"/>
  <c r="AD24" i="22"/>
  <c r="BD34" i="22" s="1"/>
  <c r="AD18" i="22"/>
  <c r="BD33" i="22" s="1"/>
  <c r="AD27" i="22"/>
  <c r="AD51" i="22"/>
  <c r="AD54" i="22"/>
  <c r="BD121" i="22" s="1"/>
  <c r="E134" i="72" s="1"/>
  <c r="AC37" i="22"/>
  <c r="AC64" i="22"/>
  <c r="AC20" i="22"/>
  <c r="AD95" i="22"/>
  <c r="BD100" i="22" s="1"/>
  <c r="AD66" i="22"/>
  <c r="AC23" i="22"/>
  <c r="AD81" i="22"/>
  <c r="AD86" i="22"/>
  <c r="BD51" i="22" s="1"/>
  <c r="AD56" i="22"/>
  <c r="AC5" i="22"/>
  <c r="AD42" i="22"/>
  <c r="BD39" i="22" s="1"/>
  <c r="AC87" i="22"/>
  <c r="AC51" i="22"/>
  <c r="AD9" i="22"/>
  <c r="BD112" i="22" s="1"/>
  <c r="E125" i="72" s="1"/>
  <c r="AC77" i="22"/>
  <c r="AD32" i="22"/>
  <c r="BD90" i="22" s="1"/>
  <c r="AC75" i="22"/>
  <c r="AC62" i="22"/>
  <c r="AC42" i="22"/>
  <c r="AD85" i="22"/>
  <c r="AD5" i="22"/>
  <c r="BD79" i="22" s="1"/>
  <c r="E90" i="72" s="1"/>
  <c r="AC70" i="22"/>
  <c r="AC68" i="22"/>
  <c r="AC71" i="22"/>
  <c r="AC46" i="22"/>
  <c r="AC91" i="22"/>
  <c r="AD100" i="22"/>
  <c r="BD60" i="22" s="1"/>
  <c r="AD6" i="22"/>
  <c r="BD80" i="22" s="1"/>
  <c r="E91" i="72" s="1"/>
  <c r="AC49" i="22"/>
  <c r="AC48" i="22"/>
  <c r="AD23" i="22"/>
  <c r="BD84" i="22" s="1"/>
  <c r="AC11" i="22"/>
  <c r="AD83" i="22"/>
  <c r="BD11" i="22" s="1"/>
  <c r="E19" i="72" s="1"/>
  <c r="AD62" i="22"/>
  <c r="BD95" i="22" s="1"/>
  <c r="AC97" i="22"/>
  <c r="AC26" i="22"/>
  <c r="AC82" i="22"/>
  <c r="AD52" i="22"/>
  <c r="BD46" i="22" s="1"/>
  <c r="AD49" i="22"/>
  <c r="BD93" i="22" s="1"/>
  <c r="AC19" i="22"/>
  <c r="AD93" i="22"/>
  <c r="BD98" i="22" s="1"/>
  <c r="AD87" i="22"/>
  <c r="AD84" i="22"/>
  <c r="AD65" i="22"/>
  <c r="BD155" i="22" s="1"/>
  <c r="AD21" i="22"/>
  <c r="BD117" i="22" s="1"/>
  <c r="E130" i="72" s="1"/>
  <c r="AD68" i="22"/>
  <c r="AC95" i="22"/>
  <c r="AC63" i="22"/>
  <c r="AC10" i="22"/>
  <c r="AD31" i="22"/>
  <c r="BD89" i="22" s="1"/>
  <c r="AC53" i="22"/>
  <c r="AD92" i="22"/>
  <c r="BD135" i="22" s="1"/>
  <c r="E148" i="72" s="1"/>
  <c r="AC21" i="22"/>
  <c r="AD28" i="22"/>
  <c r="BD86" i="22" s="1"/>
  <c r="AD72" i="22"/>
  <c r="BD50" i="22" s="1"/>
  <c r="AC84" i="22"/>
  <c r="AD96" i="22"/>
  <c r="BD56" i="22" s="1"/>
  <c r="AC15" i="22"/>
  <c r="AC100" i="22"/>
  <c r="AD15" i="22"/>
  <c r="BD31" i="22" s="1"/>
  <c r="AD17" i="22"/>
  <c r="BD32" i="22" s="1"/>
  <c r="AD47" i="22"/>
  <c r="BD44" i="22" s="1"/>
  <c r="AC47" i="22"/>
  <c r="AD78" i="22"/>
  <c r="BD133" i="22" s="1"/>
  <c r="E146" i="72" s="1"/>
  <c r="AD82" i="22"/>
  <c r="AC65" i="22"/>
  <c r="AD20" i="22"/>
  <c r="AD7" i="22"/>
  <c r="BD81" i="22" s="1"/>
  <c r="AD35" i="22"/>
  <c r="AC12" i="22"/>
  <c r="AD97" i="22"/>
  <c r="BD57" i="22" s="1"/>
  <c r="AC33" i="22"/>
  <c r="AC28" i="22"/>
  <c r="AC50" i="22"/>
  <c r="AC81" i="22"/>
  <c r="AC74" i="22"/>
  <c r="AC83" i="22"/>
  <c r="AC90" i="22"/>
  <c r="AC94" i="22"/>
  <c r="AC25" i="22"/>
  <c r="AD33" i="22"/>
  <c r="BD36" i="22" s="1"/>
  <c r="AD55" i="22"/>
  <c r="BD48" i="22" s="1"/>
  <c r="AC88" i="22"/>
  <c r="AC24" i="22"/>
  <c r="AC93" i="22"/>
  <c r="AD50" i="22"/>
  <c r="BD45" i="22" s="1"/>
  <c r="AC85" i="22"/>
  <c r="AD90" i="22"/>
  <c r="BD54" i="22" s="1"/>
  <c r="AD57" i="22"/>
  <c r="BD49" i="22" s="1"/>
  <c r="AC41" i="22"/>
  <c r="AC86" i="22"/>
  <c r="AD76" i="22"/>
  <c r="BD132" i="22" s="1"/>
  <c r="E145" i="72" s="1"/>
  <c r="AC29" i="22"/>
  <c r="AD14" i="22"/>
  <c r="BD116" i="22" s="1"/>
  <c r="E129" i="72" s="1"/>
  <c r="AD79" i="22"/>
  <c r="BD134" i="22" s="1"/>
  <c r="E147" i="72" s="1"/>
  <c r="AC22" i="22"/>
  <c r="AD44" i="22"/>
  <c r="BD41" i="22" s="1"/>
  <c r="AM246" i="11" a="1"/>
  <c r="AM246" i="11" s="1"/>
  <c r="BD9" i="22" l="1"/>
  <c r="E17" i="72" s="1"/>
  <c r="BD12" i="22"/>
  <c r="E20" i="72" s="1"/>
  <c r="BD15" i="22"/>
  <c r="E23" i="72" s="1"/>
  <c r="BD13" i="22"/>
  <c r="E21" i="72" s="1"/>
  <c r="BD14" i="22"/>
  <c r="E22" i="72" s="1"/>
  <c r="BD10" i="22"/>
  <c r="E18" i="72" s="1"/>
  <c r="BD7" i="22"/>
  <c r="E15" i="72" s="1"/>
  <c r="BD16" i="22"/>
  <c r="E24" i="72" s="1"/>
  <c r="BD17" i="22"/>
  <c r="E25" i="72" s="1"/>
  <c r="E70" i="72"/>
  <c r="BD19" i="22"/>
  <c r="E27" i="72" s="1"/>
  <c r="BD18" i="22"/>
  <c r="E26" i="72" s="1"/>
  <c r="BD6" i="22"/>
  <c r="E14" i="72" s="1"/>
  <c r="BD8" i="22"/>
  <c r="E16" i="72" s="1"/>
  <c r="BD125" i="22"/>
  <c r="E138" i="72" s="1"/>
  <c r="BD124" i="22"/>
  <c r="E137" i="72" s="1"/>
  <c r="BD97" i="22"/>
  <c r="E108" i="72" s="1"/>
  <c r="BD127" i="22"/>
  <c r="E140" i="72" s="1"/>
  <c r="AD8" i="22"/>
  <c r="AC16" i="22"/>
  <c r="AO21" i="22" s="1"/>
  <c r="AD36" i="22"/>
  <c r="AM25" i="22"/>
  <c r="AD16" i="22"/>
  <c r="AN25" i="22"/>
  <c r="AC8" i="22"/>
  <c r="AO20" i="22" s="1"/>
  <c r="AC36" i="22"/>
  <c r="AO22" i="22" s="1"/>
  <c r="AD73" i="22"/>
  <c r="AC73" i="22"/>
  <c r="AO25" i="22" s="1"/>
  <c r="AO23" i="22"/>
  <c r="AP27" i="22"/>
  <c r="AP26" i="22"/>
  <c r="AP24" i="22"/>
  <c r="AP23" i="22"/>
  <c r="AO26" i="22"/>
  <c r="AO24" i="22"/>
  <c r="AM27" i="22"/>
  <c r="AC98" i="22"/>
  <c r="AO27" i="22" s="1"/>
  <c r="E53" i="72"/>
  <c r="E100" i="72"/>
  <c r="E51" i="72"/>
  <c r="E55" i="72"/>
  <c r="E54" i="72"/>
  <c r="E41" i="72"/>
  <c r="E58" i="72"/>
  <c r="E95" i="72"/>
  <c r="E98" i="72"/>
  <c r="E69" i="72"/>
  <c r="E42" i="72"/>
  <c r="E68" i="72"/>
  <c r="E46" i="72"/>
  <c r="E57" i="72"/>
  <c r="E110" i="72"/>
  <c r="E105" i="72"/>
  <c r="E52" i="72"/>
  <c r="E96" i="72"/>
  <c r="E99" i="72"/>
  <c r="E48" i="72"/>
  <c r="E102" i="72"/>
  <c r="E59" i="72"/>
  <c r="E104" i="72"/>
  <c r="E92" i="72"/>
  <c r="E56" i="72"/>
  <c r="E109" i="72"/>
  <c r="E101" i="72"/>
  <c r="E67" i="72"/>
  <c r="E50" i="72"/>
  <c r="E111" i="72"/>
  <c r="E60" i="72"/>
  <c r="E43" i="72"/>
  <c r="E107" i="72"/>
  <c r="E66" i="72"/>
  <c r="E61" i="72"/>
  <c r="E65" i="72"/>
  <c r="E64" i="72"/>
  <c r="E47" i="72"/>
  <c r="E44" i="72"/>
  <c r="E97" i="72"/>
  <c r="E93" i="72"/>
  <c r="E106" i="72"/>
  <c r="E49" i="72"/>
  <c r="E63" i="72"/>
  <c r="AD4" i="22"/>
  <c r="BD78" i="22" s="1"/>
  <c r="E94" i="72"/>
  <c r="E45" i="72"/>
  <c r="AM247" i="11" a="1"/>
  <c r="AM247" i="11" s="1"/>
  <c r="E33" i="72" l="1"/>
  <c r="E82" i="72"/>
  <c r="AP21" i="22"/>
  <c r="BD118" i="22"/>
  <c r="E131" i="72" s="1"/>
  <c r="AP22" i="22"/>
  <c r="BD119" i="22"/>
  <c r="E132" i="72" s="1"/>
  <c r="AP25" i="22"/>
  <c r="BD129" i="22"/>
  <c r="E142" i="72" s="1"/>
  <c r="AP20" i="22"/>
  <c r="E89" i="72"/>
  <c r="E115" i="72" s="1"/>
  <c r="AM248" i="11" a="1"/>
  <c r="AM248" i="11" s="1"/>
  <c r="AM249" i="11" l="1" a="1"/>
  <c r="AM249" i="11" s="1"/>
  <c r="AM250" i="11" l="1" a="1"/>
  <c r="AM250" i="11" s="1"/>
  <c r="AM251" i="11" l="1" a="1"/>
  <c r="AM251" i="11" s="1"/>
  <c r="AM252" i="11" l="1" a="1"/>
  <c r="AM252" i="11" s="1"/>
  <c r="AM253" i="11" l="1" a="1"/>
  <c r="AM253" i="11" s="1"/>
  <c r="AM254" i="11" l="1" a="1"/>
  <c r="AM254" i="11" s="1"/>
  <c r="AM255" i="11" l="1" a="1"/>
  <c r="AM255" i="11" s="1"/>
  <c r="AM256" i="11" l="1" a="1"/>
  <c r="AM256" i="11" s="1"/>
  <c r="AM257" i="11" l="1" a="1"/>
  <c r="AM257" i="11" s="1"/>
  <c r="AM258" i="11" s="1" a="1"/>
  <c r="AM258" i="11" s="1"/>
  <c r="AZ81" i="22" l="1"/>
  <c r="AY155" i="22"/>
  <c r="AY51" i="22"/>
  <c r="AY50" i="22"/>
  <c r="AY53" i="22"/>
  <c r="AY116" i="22"/>
  <c r="AY99" i="22"/>
  <c r="AY125" i="22"/>
  <c r="AY132" i="22"/>
  <c r="AY122" i="22"/>
  <c r="AY123" i="22"/>
  <c r="AZ122" i="22"/>
  <c r="AY44" i="22"/>
  <c r="AZ123" i="22"/>
  <c r="AY112" i="22"/>
  <c r="AY33" i="22"/>
  <c r="AY95" i="22"/>
  <c r="AY88" i="22"/>
  <c r="AY86" i="22"/>
  <c r="AY131" i="22"/>
  <c r="AY59" i="22"/>
  <c r="AY55" i="22"/>
  <c r="AY57" i="22"/>
  <c r="AY58" i="22"/>
  <c r="AY49" i="22"/>
  <c r="AY11" i="22"/>
  <c r="AZ52" i="22"/>
  <c r="AY45" i="22"/>
  <c r="AY5" i="22"/>
  <c r="AY126" i="22"/>
  <c r="AY6" i="22"/>
  <c r="AY96" i="22"/>
  <c r="AZ129" i="22"/>
  <c r="AY89" i="22"/>
  <c r="AY43" i="22"/>
  <c r="AY113" i="22"/>
  <c r="AY128" i="22"/>
  <c r="AY47" i="22"/>
  <c r="AZ118" i="22"/>
  <c r="AY93" i="22"/>
  <c r="AY135" i="22"/>
  <c r="AY17" i="22"/>
  <c r="AY119" i="22"/>
  <c r="AY14" i="22"/>
  <c r="AY115" i="22"/>
  <c r="AY81" i="22"/>
  <c r="AY118" i="22"/>
  <c r="AY156" i="22"/>
  <c r="AY91" i="22"/>
  <c r="AY8" i="22"/>
  <c r="AY94" i="22"/>
  <c r="AY82" i="22"/>
  <c r="AY38" i="22"/>
  <c r="AY80" i="22"/>
  <c r="AY100" i="22"/>
  <c r="AY41" i="22"/>
  <c r="AY133" i="22"/>
  <c r="AY87" i="22"/>
  <c r="AY54" i="22"/>
  <c r="AY134" i="22"/>
  <c r="AY153" i="22"/>
  <c r="AY129" i="22"/>
  <c r="AY40" i="22"/>
  <c r="AY84" i="22"/>
  <c r="AZ131" i="22"/>
  <c r="AY46" i="22"/>
  <c r="AY16" i="22"/>
  <c r="AY12" i="22"/>
  <c r="AY121" i="22"/>
  <c r="AY154" i="22"/>
  <c r="AY32" i="22"/>
  <c r="AY36" i="22"/>
  <c r="AY37" i="22"/>
  <c r="AY56" i="22"/>
  <c r="AY48" i="22"/>
  <c r="AY127" i="22"/>
  <c r="AY120" i="22"/>
  <c r="AY85" i="22"/>
  <c r="AY92" i="22"/>
  <c r="AY10" i="22"/>
  <c r="AY98" i="22"/>
  <c r="AY79" i="22"/>
  <c r="AY117" i="22"/>
  <c r="AY34" i="22"/>
  <c r="AY18" i="22"/>
  <c r="AY31" i="22"/>
  <c r="AY15" i="22"/>
  <c r="AY90" i="22"/>
  <c r="AY7" i="22"/>
  <c r="AY146" i="22"/>
  <c r="AY83" i="22"/>
  <c r="AY52" i="22"/>
  <c r="AY39" i="22"/>
  <c r="AZ119" i="22"/>
  <c r="AY114" i="22"/>
  <c r="AY97" i="22"/>
  <c r="AY130" i="22"/>
  <c r="AY35" i="22"/>
  <c r="AY42" i="22"/>
  <c r="AZ98" i="22" l="1"/>
  <c r="AZ79" i="22"/>
  <c r="AZ96" i="22"/>
  <c r="AZ33" i="22"/>
  <c r="AZ11" i="22"/>
  <c r="AZ12" i="22"/>
  <c r="AZ48" i="22"/>
  <c r="AZ120" i="22"/>
  <c r="AZ31" i="22"/>
  <c r="AZ57" i="22"/>
  <c r="AZ117" i="22"/>
  <c r="AZ115" i="22"/>
  <c r="AZ153" i="22"/>
  <c r="AZ18" i="22"/>
  <c r="AZ135" i="22"/>
  <c r="AZ89" i="22"/>
  <c r="AZ88" i="22"/>
  <c r="AZ16" i="22"/>
  <c r="AZ87" i="22"/>
  <c r="AZ10" i="22"/>
  <c r="AZ154" i="22"/>
  <c r="AZ8" i="22"/>
  <c r="AZ45" i="22"/>
  <c r="AZ99" i="22"/>
  <c r="AZ156" i="22"/>
  <c r="AZ50" i="22"/>
  <c r="AZ113" i="22"/>
  <c r="AZ5" i="22"/>
  <c r="AZ92" i="22"/>
  <c r="AZ80" i="22"/>
  <c r="AZ132" i="22"/>
  <c r="AZ43" i="22"/>
  <c r="AZ47" i="22"/>
  <c r="AZ7" i="22"/>
  <c r="AZ97" i="22"/>
  <c r="AZ59" i="22"/>
  <c r="AZ49" i="22"/>
  <c r="AZ114" i="22"/>
  <c r="AZ128" i="22"/>
  <c r="AZ83" i="22"/>
  <c r="AZ125" i="22"/>
  <c r="AZ127" i="22"/>
  <c r="AZ56" i="22"/>
  <c r="AZ85" i="22"/>
  <c r="AZ55" i="22"/>
  <c r="AZ90" i="22"/>
  <c r="AZ100" i="22"/>
  <c r="AZ17" i="22"/>
  <c r="AZ91" i="22"/>
  <c r="AZ94" i="22"/>
  <c r="AZ130" i="22"/>
  <c r="AZ86" i="22"/>
  <c r="AZ15" i="22"/>
  <c r="AZ78" i="22"/>
  <c r="AZ36" i="22"/>
  <c r="AZ51" i="22"/>
  <c r="AZ54" i="22"/>
  <c r="AZ35" i="22"/>
  <c r="AZ84" i="22"/>
  <c r="AZ32" i="22"/>
  <c r="AZ34" i="22"/>
  <c r="Q4" i="22"/>
  <c r="BA78" i="22" s="1"/>
  <c r="AY78" i="22"/>
  <c r="AZ82" i="22"/>
  <c r="AZ146" i="22"/>
  <c r="AZ126" i="22"/>
  <c r="AZ41" i="22"/>
  <c r="AZ42" i="22"/>
  <c r="AZ53" i="22"/>
  <c r="AZ37" i="22"/>
  <c r="AZ46" i="22"/>
  <c r="AZ121" i="22"/>
  <c r="AZ134" i="22"/>
  <c r="AZ14" i="22"/>
  <c r="AZ133" i="22"/>
  <c r="AZ93" i="22"/>
  <c r="AZ6" i="22"/>
  <c r="AZ116" i="22"/>
  <c r="AZ155" i="22"/>
  <c r="AZ112" i="22"/>
  <c r="AZ38" i="22"/>
  <c r="AZ95" i="22"/>
  <c r="AZ39" i="22"/>
  <c r="AZ40" i="22"/>
  <c r="AZ44" i="22"/>
  <c r="R7" i="22"/>
  <c r="AF7" i="22" s="1"/>
  <c r="E59" i="36"/>
  <c r="G59" i="36" s="1"/>
  <c r="E65" i="36"/>
  <c r="G65" i="36" s="1"/>
  <c r="E61" i="36"/>
  <c r="G61" i="36" s="1"/>
  <c r="E62" i="36"/>
  <c r="G62" i="36" s="1"/>
  <c r="E63" i="36"/>
  <c r="G63" i="36" s="1"/>
  <c r="F61" i="36"/>
  <c r="H61" i="36" s="1"/>
  <c r="F62" i="36"/>
  <c r="H62" i="36" s="1"/>
  <c r="F60" i="36"/>
  <c r="H60" i="36" s="1"/>
  <c r="F59" i="36"/>
  <c r="H59" i="36" s="1"/>
  <c r="E60" i="36"/>
  <c r="G60" i="36" s="1"/>
  <c r="F63" i="36"/>
  <c r="H63" i="36" s="1"/>
  <c r="AM11" i="22"/>
  <c r="E46" i="36" s="1"/>
  <c r="E40" i="36"/>
  <c r="AM9" i="22"/>
  <c r="E44" i="36" s="1"/>
  <c r="AN7" i="22"/>
  <c r="F42" i="36" s="1"/>
  <c r="AM7" i="22"/>
  <c r="E42" i="36" s="1"/>
  <c r="AM4" i="22"/>
  <c r="AM8" i="22"/>
  <c r="E43" i="36" s="1"/>
  <c r="AN8" i="22"/>
  <c r="F43" i="36" s="1"/>
  <c r="AN6" i="22"/>
  <c r="F41" i="36" s="1"/>
  <c r="AN5" i="22"/>
  <c r="F40" i="36" s="1"/>
  <c r="AM6" i="22"/>
  <c r="E41" i="36" s="1"/>
  <c r="AN9" i="22"/>
  <c r="R15" i="22"/>
  <c r="BB31" i="22" s="1"/>
  <c r="R25" i="22"/>
  <c r="R76" i="22"/>
  <c r="BB132" i="22" s="1"/>
  <c r="D145" i="72" s="1"/>
  <c r="R5" i="22"/>
  <c r="BB79" i="22" s="1"/>
  <c r="D90" i="72" s="1"/>
  <c r="R21" i="22"/>
  <c r="BB117" i="22" s="1"/>
  <c r="D130" i="72" s="1"/>
  <c r="R13" i="22"/>
  <c r="BB115" i="22" s="1"/>
  <c r="D128" i="72" s="1"/>
  <c r="Q51" i="22"/>
  <c r="Q5" i="22"/>
  <c r="BA79" i="22" s="1"/>
  <c r="Q25" i="22"/>
  <c r="BA85" i="22" s="1"/>
  <c r="Q70" i="22"/>
  <c r="Q55" i="22"/>
  <c r="BA48" i="22" s="1"/>
  <c r="R46" i="22"/>
  <c r="BB43" i="22" s="1"/>
  <c r="Q33" i="22"/>
  <c r="BA36" i="22" s="1"/>
  <c r="R31" i="22"/>
  <c r="BB89" i="22" s="1"/>
  <c r="Q84" i="22"/>
  <c r="R30" i="22"/>
  <c r="BB88" i="22" s="1"/>
  <c r="Q43" i="22"/>
  <c r="BA40" i="22" s="1"/>
  <c r="Q73" i="22"/>
  <c r="BA129" i="22" s="1"/>
  <c r="Q90" i="22"/>
  <c r="BA54" i="22" s="1"/>
  <c r="Q29" i="22"/>
  <c r="BA87" i="22" s="1"/>
  <c r="Q95" i="22"/>
  <c r="BA100" i="22" s="1"/>
  <c r="R58" i="22"/>
  <c r="BB94" i="22" s="1"/>
  <c r="Q80" i="22"/>
  <c r="R55" i="22"/>
  <c r="BB48" i="22" s="1"/>
  <c r="Q7" i="22"/>
  <c r="BA81" i="22" s="1"/>
  <c r="R66" i="22"/>
  <c r="Q49" i="22"/>
  <c r="BA93" i="22" s="1"/>
  <c r="Q53" i="22"/>
  <c r="BA47" i="22" s="1"/>
  <c r="R100" i="22"/>
  <c r="BB60" i="22" s="1"/>
  <c r="BE60" i="22" s="1"/>
  <c r="BF60" i="22" s="1"/>
  <c r="R67" i="22"/>
  <c r="R14" i="22"/>
  <c r="BB116" i="22" s="1"/>
  <c r="D129" i="72" s="1"/>
  <c r="Q50" i="22"/>
  <c r="BA45" i="22" s="1"/>
  <c r="R86" i="22"/>
  <c r="BB51" i="22" s="1"/>
  <c r="R57" i="22"/>
  <c r="BB49" i="22" s="1"/>
  <c r="Q97" i="22"/>
  <c r="BA57" i="22" s="1"/>
  <c r="R12" i="22"/>
  <c r="BB114" i="22" s="1"/>
  <c r="D127" i="72" s="1"/>
  <c r="R71" i="22"/>
  <c r="BB128" i="22" s="1"/>
  <c r="D141" i="72" s="1"/>
  <c r="R22" i="22"/>
  <c r="R94" i="22"/>
  <c r="BB99" i="22" s="1"/>
  <c r="R62" i="22"/>
  <c r="BB95" i="22" s="1"/>
  <c r="R42" i="22"/>
  <c r="BB39" i="22" s="1"/>
  <c r="R43" i="22"/>
  <c r="BB40" i="22" s="1"/>
  <c r="Q59" i="22"/>
  <c r="BA123" i="22" s="1"/>
  <c r="Q68" i="22"/>
  <c r="R10" i="22"/>
  <c r="R38" i="22"/>
  <c r="BB146" i="22" s="1"/>
  <c r="D159" i="72" s="1"/>
  <c r="Q45" i="22"/>
  <c r="BA42" i="22" s="1"/>
  <c r="Q74" i="22"/>
  <c r="BA130" i="22" s="1"/>
  <c r="R93" i="22"/>
  <c r="BB98" i="22" s="1"/>
  <c r="Q12" i="22"/>
  <c r="BA114" i="22" s="1"/>
  <c r="Q88" i="22"/>
  <c r="BA52" i="22" s="1"/>
  <c r="R91" i="22"/>
  <c r="BB55" i="22" s="1"/>
  <c r="Q38" i="22"/>
  <c r="BA146" i="22" s="1"/>
  <c r="R64" i="22"/>
  <c r="BB96" i="22" s="1"/>
  <c r="Q20" i="22"/>
  <c r="R45" i="22"/>
  <c r="BB42" i="22" s="1"/>
  <c r="Q93" i="22"/>
  <c r="BA98" i="22" s="1"/>
  <c r="R89" i="22"/>
  <c r="BB53" i="22" s="1"/>
  <c r="R37" i="22"/>
  <c r="BB37" i="22" s="1"/>
  <c r="R95" i="22"/>
  <c r="BB100" i="22" s="1"/>
  <c r="Q37" i="22"/>
  <c r="BA37" i="22" s="1"/>
  <c r="R83" i="22"/>
  <c r="Q63" i="22"/>
  <c r="BA154" i="22" s="1"/>
  <c r="Q27" i="22"/>
  <c r="R79" i="22"/>
  <c r="BB134" i="22" s="1"/>
  <c r="D147" i="72" s="1"/>
  <c r="R8" i="22"/>
  <c r="R87" i="22"/>
  <c r="R78" i="22"/>
  <c r="BB133" i="22" s="1"/>
  <c r="D146" i="72" s="1"/>
  <c r="Q78" i="22"/>
  <c r="BA133" i="22" s="1"/>
  <c r="R49" i="22"/>
  <c r="BB93" i="22" s="1"/>
  <c r="Q10" i="22"/>
  <c r="BA82" i="22" s="1"/>
  <c r="Q34" i="22"/>
  <c r="BA91" i="22" s="1"/>
  <c r="R74" i="22"/>
  <c r="BB130" i="22" s="1"/>
  <c r="D143" i="72" s="1"/>
  <c r="R28" i="22"/>
  <c r="BB86" i="22" s="1"/>
  <c r="Q36" i="22"/>
  <c r="BA119" i="22" s="1"/>
  <c r="R16" i="22"/>
  <c r="BB118" i="22" s="1"/>
  <c r="D131" i="72" s="1"/>
  <c r="Q71" i="22"/>
  <c r="BA128" i="22" s="1"/>
  <c r="Q46" i="22"/>
  <c r="BA43" i="22" s="1"/>
  <c r="R73" i="22"/>
  <c r="BB129" i="22" s="1"/>
  <c r="D142" i="72" s="1"/>
  <c r="Q69" i="22"/>
  <c r="BA126" i="22" s="1"/>
  <c r="R88" i="22"/>
  <c r="BB52" i="22" s="1"/>
  <c r="D62" i="72" s="1"/>
  <c r="Q83" i="22"/>
  <c r="R90" i="22"/>
  <c r="BB54" i="22" s="1"/>
  <c r="Q75" i="22"/>
  <c r="BA131" i="22" s="1"/>
  <c r="Q28" i="22"/>
  <c r="BA86" i="22" s="1"/>
  <c r="Q62" i="22"/>
  <c r="BA95" i="22" s="1"/>
  <c r="Q18" i="22"/>
  <c r="BA33" i="22" s="1"/>
  <c r="R77" i="22"/>
  <c r="BB156" i="22" s="1"/>
  <c r="Q9" i="22"/>
  <c r="BA112" i="22" s="1"/>
  <c r="R72" i="22"/>
  <c r="BB50" i="22" s="1"/>
  <c r="R11" i="22"/>
  <c r="BB113" i="22" s="1"/>
  <c r="D126" i="72" s="1"/>
  <c r="Q76" i="22"/>
  <c r="BA132" i="22" s="1"/>
  <c r="R47" i="22"/>
  <c r="BB44" i="22" s="1"/>
  <c r="Q89" i="22"/>
  <c r="BA53" i="22" s="1"/>
  <c r="Q65" i="22"/>
  <c r="BA155" i="22" s="1"/>
  <c r="R41" i="22"/>
  <c r="BB120" i="22" s="1"/>
  <c r="D133" i="72" s="1"/>
  <c r="R70" i="22"/>
  <c r="Q85" i="22"/>
  <c r="R96" i="22"/>
  <c r="BB56" i="22" s="1"/>
  <c r="R6" i="22"/>
  <c r="R36" i="22"/>
  <c r="BB119" i="22" s="1"/>
  <c r="Q22" i="22"/>
  <c r="BA83" i="22" s="1"/>
  <c r="R32" i="22"/>
  <c r="BB90" i="22" s="1"/>
  <c r="Q32" i="22"/>
  <c r="BA90" i="22" s="1"/>
  <c r="R60" i="22"/>
  <c r="BB153" i="22" s="1"/>
  <c r="Q24" i="22"/>
  <c r="BA34" i="22" s="1"/>
  <c r="Q82" i="22"/>
  <c r="Q41" i="22"/>
  <c r="BA120" i="22" s="1"/>
  <c r="R51" i="22"/>
  <c r="Q96" i="22"/>
  <c r="BA56" i="22" s="1"/>
  <c r="R52" i="22"/>
  <c r="BB46" i="22" s="1"/>
  <c r="Q17" i="22"/>
  <c r="BA32" i="22" s="1"/>
  <c r="Q54" i="22"/>
  <c r="BA121" i="22" s="1"/>
  <c r="R40" i="22"/>
  <c r="Q52" i="22"/>
  <c r="BA46" i="22" s="1"/>
  <c r="R75" i="22"/>
  <c r="BB131" i="22" s="1"/>
  <c r="D144" i="72" s="1"/>
  <c r="Q67" i="22"/>
  <c r="Q60" i="22"/>
  <c r="BA153" i="22" s="1"/>
  <c r="R27" i="22"/>
  <c r="R29" i="22"/>
  <c r="Q6" i="22"/>
  <c r="BA80" i="22" s="1"/>
  <c r="Q58" i="22"/>
  <c r="BA94" i="22" s="1"/>
  <c r="Q77" i="22"/>
  <c r="BA156" i="22" s="1"/>
  <c r="Q16" i="22"/>
  <c r="BA118" i="22" s="1"/>
  <c r="Q13" i="22"/>
  <c r="BA115" i="22" s="1"/>
  <c r="Q40" i="22"/>
  <c r="R35" i="22"/>
  <c r="R20" i="22"/>
  <c r="R33" i="22"/>
  <c r="BB36" i="22" s="1"/>
  <c r="Q64" i="22"/>
  <c r="BA96" i="22" s="1"/>
  <c r="Q19" i="22"/>
  <c r="BA5" i="22" s="1"/>
  <c r="R63" i="22"/>
  <c r="BB154" i="22" s="1"/>
  <c r="Q57" i="22"/>
  <c r="BA49" i="22" s="1"/>
  <c r="R65" i="22"/>
  <c r="BB155" i="22" s="1"/>
  <c r="Q91" i="22"/>
  <c r="BA55" i="22" s="1"/>
  <c r="R9" i="22"/>
  <c r="BB112" i="22" s="1"/>
  <c r="D125" i="72" s="1"/>
  <c r="Q30" i="22"/>
  <c r="BA88" i="22" s="1"/>
  <c r="R39" i="22"/>
  <c r="BB38" i="22" s="1"/>
  <c r="R23" i="22"/>
  <c r="R85" i="22"/>
  <c r="R59" i="22"/>
  <c r="BB123" i="22" s="1"/>
  <c r="D136" i="72" s="1"/>
  <c r="R61" i="22"/>
  <c r="BB122" i="22" s="1"/>
  <c r="D135" i="72" s="1"/>
  <c r="Q61" i="22"/>
  <c r="BA122" i="22" s="1"/>
  <c r="R19" i="22"/>
  <c r="BB5" i="22" s="1"/>
  <c r="D13" i="72" s="1"/>
  <c r="Q94" i="22"/>
  <c r="BA99" i="22" s="1"/>
  <c r="Q72" i="22"/>
  <c r="BA50" i="22" s="1"/>
  <c r="Q26" i="22"/>
  <c r="BA35" i="22" s="1"/>
  <c r="Q66" i="22"/>
  <c r="R69" i="22"/>
  <c r="BB126" i="22" s="1"/>
  <c r="D139" i="72" s="1"/>
  <c r="Q42" i="22"/>
  <c r="BA39" i="22" s="1"/>
  <c r="R97" i="22"/>
  <c r="BB57" i="22" s="1"/>
  <c r="R44" i="22"/>
  <c r="BB41" i="22" s="1"/>
  <c r="Q56" i="22"/>
  <c r="Q15" i="22"/>
  <c r="BA31" i="22" s="1"/>
  <c r="Q21" i="22"/>
  <c r="BA117" i="22" s="1"/>
  <c r="Q48" i="22"/>
  <c r="BA92" i="22" s="1"/>
  <c r="R18" i="22"/>
  <c r="BB33" i="22" s="1"/>
  <c r="R92" i="22"/>
  <c r="BB135" i="22" s="1"/>
  <c r="D148" i="72" s="1"/>
  <c r="Q8" i="22"/>
  <c r="R54" i="22"/>
  <c r="BB121" i="22" s="1"/>
  <c r="D134" i="72" s="1"/>
  <c r="R34" i="22"/>
  <c r="BB91" i="22" s="1"/>
  <c r="Q23" i="22"/>
  <c r="BA84" i="22" s="1"/>
  <c r="R84" i="22"/>
  <c r="Q79" i="22"/>
  <c r="BA134" i="22" s="1"/>
  <c r="R53" i="22"/>
  <c r="BB47" i="22" s="1"/>
  <c r="Q44" i="22"/>
  <c r="BA41" i="22" s="1"/>
  <c r="Q39" i="22"/>
  <c r="BA38" i="22" s="1"/>
  <c r="R56" i="22"/>
  <c r="R82" i="22"/>
  <c r="Q87" i="22"/>
  <c r="Q92" i="22"/>
  <c r="BA135" i="22" s="1"/>
  <c r="Q11" i="22"/>
  <c r="BA113" i="22" s="1"/>
  <c r="Q100" i="22"/>
  <c r="BA60" i="22" s="1"/>
  <c r="Q31" i="22"/>
  <c r="BA89" i="22" s="1"/>
  <c r="Q35" i="22"/>
  <c r="BA6" i="22" s="1"/>
  <c r="R99" i="22"/>
  <c r="BB59" i="22" s="1"/>
  <c r="Q98" i="22"/>
  <c r="BA58" i="22" s="1"/>
  <c r="Q99" i="22"/>
  <c r="BA59" i="22" s="1"/>
  <c r="R80" i="22"/>
  <c r="R50" i="22"/>
  <c r="BB45" i="22" s="1"/>
  <c r="R17" i="22"/>
  <c r="BB32" i="22" s="1"/>
  <c r="Q47" i="22"/>
  <c r="BA44" i="22" s="1"/>
  <c r="R24" i="22"/>
  <c r="BB34" i="22" s="1"/>
  <c r="R68" i="22"/>
  <c r="Q14" i="22"/>
  <c r="BA116" i="22" s="1"/>
  <c r="Q86" i="22"/>
  <c r="BA51" i="22" s="1"/>
  <c r="R48" i="22"/>
  <c r="BB92" i="22" s="1"/>
  <c r="D103" i="72" s="1"/>
  <c r="BA10" i="22" l="1"/>
  <c r="D132" i="72"/>
  <c r="BB18" i="22"/>
  <c r="D26" i="72" s="1"/>
  <c r="BA7" i="22"/>
  <c r="BB8" i="22"/>
  <c r="D16" i="72" s="1"/>
  <c r="BB7" i="22"/>
  <c r="D15" i="72" s="1"/>
  <c r="BA16" i="22"/>
  <c r="BA17" i="22"/>
  <c r="BA15" i="22"/>
  <c r="BA14" i="22"/>
  <c r="BA11" i="22"/>
  <c r="BA8" i="22"/>
  <c r="BA12" i="22"/>
  <c r="BA18" i="22"/>
  <c r="BB11" i="22"/>
  <c r="D19" i="72" s="1"/>
  <c r="BA19" i="22"/>
  <c r="BB10" i="22"/>
  <c r="D18" i="72" s="1"/>
  <c r="BB12" i="22"/>
  <c r="D20" i="72" s="1"/>
  <c r="BB6" i="22"/>
  <c r="D14" i="72" s="1"/>
  <c r="BB19" i="22"/>
  <c r="BB14" i="22"/>
  <c r="D22" i="72" s="1"/>
  <c r="BB17" i="22"/>
  <c r="D25" i="72" s="1"/>
  <c r="BA125" i="22"/>
  <c r="BA124" i="22"/>
  <c r="BB125" i="22"/>
  <c r="D138" i="72" s="1"/>
  <c r="BB124" i="22"/>
  <c r="D137" i="72" s="1"/>
  <c r="BB127" i="22"/>
  <c r="D140" i="72" s="1"/>
  <c r="BA97" i="22"/>
  <c r="BB97" i="22"/>
  <c r="BA127" i="22"/>
  <c r="BB85" i="22"/>
  <c r="BE85" i="22" s="1"/>
  <c r="BF85" i="22" s="1"/>
  <c r="BB16" i="22"/>
  <c r="BE79" i="22"/>
  <c r="BE92" i="22"/>
  <c r="BB81" i="22"/>
  <c r="BE81" i="22" s="1"/>
  <c r="BF81" i="22" s="1"/>
  <c r="BB82" i="22"/>
  <c r="BE82" i="22" s="1"/>
  <c r="BF82" i="22" s="1"/>
  <c r="BB84" i="22"/>
  <c r="BE84" i="22" s="1"/>
  <c r="BF84" i="22" s="1"/>
  <c r="BB15" i="22"/>
  <c r="D23" i="72" s="1"/>
  <c r="BB83" i="22"/>
  <c r="BE83" i="22" s="1"/>
  <c r="BF83" i="22" s="1"/>
  <c r="BB80" i="22"/>
  <c r="BB87" i="22"/>
  <c r="BE87" i="22" s="1"/>
  <c r="BF87" i="22" s="1"/>
  <c r="BE131" i="22"/>
  <c r="F144" i="72" s="1"/>
  <c r="BE118" i="22"/>
  <c r="F131" i="72" s="1"/>
  <c r="BE52" i="22"/>
  <c r="BE119" i="22"/>
  <c r="BE129" i="22"/>
  <c r="F142" i="72" s="1"/>
  <c r="BE122" i="22"/>
  <c r="F135" i="72" s="1"/>
  <c r="BE123" i="22"/>
  <c r="F136" i="72" s="1"/>
  <c r="E39" i="36"/>
  <c r="AO5" i="22"/>
  <c r="AO11" i="22"/>
  <c r="AO9" i="22"/>
  <c r="AO7" i="22"/>
  <c r="AP7" i="22"/>
  <c r="AO6" i="22"/>
  <c r="AO8" i="22"/>
  <c r="AP8" i="22"/>
  <c r="AP9" i="22"/>
  <c r="AN4" i="22"/>
  <c r="F39" i="36" s="1"/>
  <c r="BE86" i="22"/>
  <c r="BF86" i="22" s="1"/>
  <c r="AP6" i="22"/>
  <c r="BE156" i="22"/>
  <c r="BF156" i="22" s="1"/>
  <c r="BE48" i="22"/>
  <c r="D60" i="72"/>
  <c r="AE31" i="22"/>
  <c r="AE11" i="22"/>
  <c r="AE92" i="22"/>
  <c r="AE39" i="22"/>
  <c r="AF84" i="22"/>
  <c r="AF34" i="22"/>
  <c r="AF18" i="22"/>
  <c r="AF97" i="22"/>
  <c r="AE66" i="22"/>
  <c r="AF59" i="22"/>
  <c r="BE154" i="22"/>
  <c r="BF154" i="22" s="1"/>
  <c r="AF65" i="22"/>
  <c r="BE153" i="22"/>
  <c r="BF153" i="22" s="1"/>
  <c r="AF63" i="22"/>
  <c r="AE13" i="22"/>
  <c r="AE77" i="22"/>
  <c r="AE67" i="22"/>
  <c r="AF52" i="22"/>
  <c r="AF41" i="22"/>
  <c r="AE89" i="22"/>
  <c r="AE76" i="22"/>
  <c r="BE155" i="22"/>
  <c r="BF155" i="22" s="1"/>
  <c r="AF77" i="22"/>
  <c r="AE69" i="22"/>
  <c r="AE71" i="22"/>
  <c r="AF16" i="22"/>
  <c r="AF28" i="22"/>
  <c r="AE63" i="22"/>
  <c r="AE37" i="22"/>
  <c r="AF37" i="22"/>
  <c r="AE93" i="22"/>
  <c r="AE20" i="22"/>
  <c r="AE74" i="22"/>
  <c r="AF94" i="22"/>
  <c r="AF71" i="22"/>
  <c r="AE97" i="22"/>
  <c r="AF67" i="22"/>
  <c r="AE49" i="22"/>
  <c r="AE43" i="22"/>
  <c r="AE84" i="22"/>
  <c r="AE25" i="22"/>
  <c r="AF21" i="22"/>
  <c r="AF76" i="22"/>
  <c r="AF68" i="22"/>
  <c r="AF80" i="22"/>
  <c r="AE98" i="22"/>
  <c r="AE94" i="22"/>
  <c r="AE61" i="22"/>
  <c r="AF23" i="22"/>
  <c r="AE91" i="22"/>
  <c r="AF33" i="22"/>
  <c r="AF20" i="22"/>
  <c r="AE6" i="22"/>
  <c r="AF27" i="22"/>
  <c r="AE52" i="22"/>
  <c r="AE54" i="22"/>
  <c r="AE82" i="22"/>
  <c r="AF60" i="22"/>
  <c r="AF32" i="22"/>
  <c r="AE22" i="22"/>
  <c r="AF6" i="22"/>
  <c r="AE85" i="22"/>
  <c r="AF72" i="22"/>
  <c r="AE62" i="22"/>
  <c r="AE75" i="22"/>
  <c r="AE36" i="22"/>
  <c r="AE34" i="22"/>
  <c r="AF78" i="22"/>
  <c r="AF8" i="22"/>
  <c r="AE38" i="22"/>
  <c r="AF10" i="22"/>
  <c r="AF42" i="22"/>
  <c r="AF86" i="22"/>
  <c r="AF14" i="22"/>
  <c r="AF66" i="22"/>
  <c r="AF55" i="22"/>
  <c r="AE95" i="22"/>
  <c r="AE90" i="22"/>
  <c r="AE33" i="22"/>
  <c r="AE55" i="22"/>
  <c r="AE51" i="22"/>
  <c r="AE86" i="22"/>
  <c r="AE21" i="22"/>
  <c r="AE56" i="22"/>
  <c r="AF99" i="22"/>
  <c r="AE35" i="22"/>
  <c r="AE100" i="22"/>
  <c r="AF56" i="22"/>
  <c r="AE44" i="22"/>
  <c r="AE79" i="22"/>
  <c r="AE48" i="22"/>
  <c r="AE42" i="22"/>
  <c r="AF69" i="22"/>
  <c r="AE26" i="22"/>
  <c r="AE72" i="22"/>
  <c r="BE5" i="22"/>
  <c r="AF19" i="22"/>
  <c r="AF61" i="22"/>
  <c r="AE30" i="22"/>
  <c r="AE57" i="22"/>
  <c r="AE19" i="22"/>
  <c r="AE40" i="22"/>
  <c r="AE16" i="22"/>
  <c r="AE58" i="22"/>
  <c r="AE60" i="22"/>
  <c r="AF40" i="22"/>
  <c r="AE41" i="22"/>
  <c r="AE24" i="22"/>
  <c r="AF36" i="22"/>
  <c r="AE18" i="22"/>
  <c r="AE28" i="22"/>
  <c r="AF90" i="22"/>
  <c r="AF88" i="22"/>
  <c r="AF73" i="22"/>
  <c r="AF74" i="22"/>
  <c r="AE10" i="22"/>
  <c r="AE78" i="22"/>
  <c r="AF87" i="22"/>
  <c r="AE27" i="22"/>
  <c r="AF83" i="22"/>
  <c r="AF64" i="22"/>
  <c r="AF91" i="22"/>
  <c r="AE88" i="22"/>
  <c r="AF93" i="22"/>
  <c r="AE45" i="22"/>
  <c r="AF22" i="22"/>
  <c r="AF12" i="22"/>
  <c r="AE50" i="22"/>
  <c r="AE53" i="22"/>
  <c r="AF30" i="22"/>
  <c r="AF46" i="22"/>
  <c r="AE70" i="22"/>
  <c r="AF5" i="22"/>
  <c r="AF25" i="22"/>
  <c r="AF24" i="22"/>
  <c r="AF17" i="22"/>
  <c r="AE87" i="22"/>
  <c r="AF92" i="22"/>
  <c r="AF48" i="22"/>
  <c r="AE14" i="22"/>
  <c r="AE47" i="22"/>
  <c r="AF50" i="22"/>
  <c r="AE99" i="22"/>
  <c r="AF82" i="22"/>
  <c r="AF53" i="22"/>
  <c r="AE23" i="22"/>
  <c r="AF54" i="22"/>
  <c r="AE8" i="22"/>
  <c r="AE15" i="22"/>
  <c r="AF44" i="22"/>
  <c r="AF85" i="22"/>
  <c r="AF39" i="22"/>
  <c r="AF9" i="22"/>
  <c r="AE64" i="22"/>
  <c r="R4" i="22"/>
  <c r="BB78" i="22" s="1"/>
  <c r="AF35" i="22"/>
  <c r="AF29" i="22"/>
  <c r="AF75" i="22"/>
  <c r="AE17" i="22"/>
  <c r="AE96" i="22"/>
  <c r="AE32" i="22"/>
  <c r="AF96" i="22"/>
  <c r="AF70" i="22"/>
  <c r="AE65" i="22"/>
  <c r="AF47" i="22"/>
  <c r="AF11" i="22"/>
  <c r="AE9" i="22"/>
  <c r="AE83" i="22"/>
  <c r="AE46" i="22"/>
  <c r="AF79" i="22"/>
  <c r="AF95" i="22"/>
  <c r="AF89" i="22"/>
  <c r="AF45" i="22"/>
  <c r="AE12" i="22"/>
  <c r="AF38" i="22"/>
  <c r="AE68" i="22"/>
  <c r="AE59" i="22"/>
  <c r="AF43" i="22"/>
  <c r="AF62" i="22"/>
  <c r="AF57" i="22"/>
  <c r="AF100" i="22"/>
  <c r="AE7" i="22"/>
  <c r="AE80" i="22"/>
  <c r="AF58" i="22"/>
  <c r="AE29" i="22"/>
  <c r="AE73" i="22"/>
  <c r="AF31" i="22"/>
  <c r="AE5" i="22"/>
  <c r="AF13" i="22"/>
  <c r="AF15" i="22"/>
  <c r="BE18" i="22" l="1"/>
  <c r="BF18" i="22" s="1"/>
  <c r="G26" i="72" s="1"/>
  <c r="F132" i="72"/>
  <c r="BE124" i="22"/>
  <c r="F137" i="72" s="1"/>
  <c r="BF129" i="22"/>
  <c r="BF123" i="22"/>
  <c r="BF52" i="22"/>
  <c r="G62" i="72" s="1"/>
  <c r="F62" i="72"/>
  <c r="BE7" i="22"/>
  <c r="F15" i="72" s="1"/>
  <c r="BE8" i="22"/>
  <c r="BF8" i="22" s="1"/>
  <c r="G16" i="72" s="1"/>
  <c r="BE6" i="22"/>
  <c r="F14" i="72" s="1"/>
  <c r="BE17" i="22"/>
  <c r="BF17" i="22" s="1"/>
  <c r="G25" i="72" s="1"/>
  <c r="BE10" i="22"/>
  <c r="BF10" i="22" s="1"/>
  <c r="G18" i="72" s="1"/>
  <c r="BE12" i="22"/>
  <c r="BF12" i="22" s="1"/>
  <c r="G20" i="72" s="1"/>
  <c r="BE11" i="22"/>
  <c r="F19" i="72" s="1"/>
  <c r="BE14" i="22"/>
  <c r="BF14" i="22" s="1"/>
  <c r="G22" i="72" s="1"/>
  <c r="BE19" i="22"/>
  <c r="D27" i="72"/>
  <c r="BE16" i="22"/>
  <c r="D24" i="72"/>
  <c r="BF5" i="22"/>
  <c r="G13" i="72" s="1"/>
  <c r="F13" i="72"/>
  <c r="BE15" i="22"/>
  <c r="F23" i="72" s="1"/>
  <c r="BF119" i="22"/>
  <c r="BF131" i="22"/>
  <c r="BF92" i="22"/>
  <c r="F103" i="72"/>
  <c r="BF122" i="22"/>
  <c r="BF79" i="22"/>
  <c r="F90" i="72"/>
  <c r="BE80" i="22"/>
  <c r="D91" i="72"/>
  <c r="BF118" i="22"/>
  <c r="D92" i="72"/>
  <c r="AZ58" i="22"/>
  <c r="AN11" i="22"/>
  <c r="F46" i="36" s="1"/>
  <c r="F65" i="36"/>
  <c r="H65" i="36" s="1"/>
  <c r="AP4" i="22"/>
  <c r="E77" i="36"/>
  <c r="AO4" i="22"/>
  <c r="R98" i="22"/>
  <c r="BB58" i="22" s="1"/>
  <c r="D58" i="72"/>
  <c r="BE78" i="22"/>
  <c r="BF78" i="22" s="1"/>
  <c r="BE50" i="22"/>
  <c r="BF50" i="22" s="1"/>
  <c r="G60" i="72" s="1"/>
  <c r="F92" i="72"/>
  <c r="BE146" i="22"/>
  <c r="F159" i="72" s="1"/>
  <c r="D100" i="72"/>
  <c r="BE89" i="22"/>
  <c r="D56" i="72"/>
  <c r="BE46" i="22"/>
  <c r="D53" i="72"/>
  <c r="BE43" i="22"/>
  <c r="D50" i="72"/>
  <c r="BE40" i="22"/>
  <c r="BE114" i="22"/>
  <c r="F127" i="72" s="1"/>
  <c r="D70" i="72"/>
  <c r="BE125" i="22"/>
  <c r="F138" i="72" s="1"/>
  <c r="BE128" i="22"/>
  <c r="F141" i="72" s="1"/>
  <c r="D64" i="72"/>
  <c r="BE54" i="22"/>
  <c r="BE116" i="22"/>
  <c r="F129" i="72" s="1"/>
  <c r="D51" i="72"/>
  <c r="BE41" i="22"/>
  <c r="D93" i="72"/>
  <c r="D66" i="72"/>
  <c r="BE56" i="22"/>
  <c r="D101" i="72"/>
  <c r="BE90" i="22"/>
  <c r="D47" i="72"/>
  <c r="BE37" i="22"/>
  <c r="D95" i="72"/>
  <c r="F58" i="72"/>
  <c r="BF48" i="22"/>
  <c r="G58" i="72" s="1"/>
  <c r="D97" i="72"/>
  <c r="BE112" i="22"/>
  <c r="F125" i="72" s="1"/>
  <c r="D57" i="72"/>
  <c r="BE47" i="22"/>
  <c r="D55" i="72"/>
  <c r="BE45" i="22"/>
  <c r="D107" i="72"/>
  <c r="BE96" i="22"/>
  <c r="D108" i="72"/>
  <c r="BE97" i="22"/>
  <c r="BE117" i="22"/>
  <c r="F130" i="72" s="1"/>
  <c r="D110" i="72"/>
  <c r="BE99" i="22"/>
  <c r="D48" i="72"/>
  <c r="BE38" i="22"/>
  <c r="D105" i="72"/>
  <c r="BE94" i="22"/>
  <c r="D61" i="72"/>
  <c r="BE51" i="22"/>
  <c r="D104" i="72"/>
  <c r="BE93" i="22"/>
  <c r="D41" i="72"/>
  <c r="BE31" i="22"/>
  <c r="D111" i="72"/>
  <c r="BE100" i="22"/>
  <c r="BE121" i="22"/>
  <c r="F134" i="72" s="1"/>
  <c r="D63" i="72"/>
  <c r="BE53" i="22"/>
  <c r="D59" i="72"/>
  <c r="BE49" i="22"/>
  <c r="AE4" i="22"/>
  <c r="D65" i="72"/>
  <c r="BE55" i="22"/>
  <c r="D52" i="72"/>
  <c r="BE42" i="22"/>
  <c r="AF4" i="22"/>
  <c r="D94" i="72"/>
  <c r="D109" i="72"/>
  <c r="BE98" i="22"/>
  <c r="BE130" i="22"/>
  <c r="F143" i="72" s="1"/>
  <c r="D67" i="72"/>
  <c r="BE57" i="22"/>
  <c r="BE134" i="22"/>
  <c r="F147" i="72" s="1"/>
  <c r="D46" i="72"/>
  <c r="BE36" i="22"/>
  <c r="D44" i="72"/>
  <c r="BE34" i="22"/>
  <c r="D54" i="72"/>
  <c r="BE44" i="22"/>
  <c r="BE113" i="22"/>
  <c r="F126" i="72" s="1"/>
  <c r="BE115" i="22"/>
  <c r="F128" i="72" s="1"/>
  <c r="D69" i="72"/>
  <c r="BE59" i="22"/>
  <c r="D98" i="72"/>
  <c r="D49" i="72"/>
  <c r="BE39" i="22"/>
  <c r="BE132" i="22"/>
  <c r="F145" i="72" s="1"/>
  <c r="BE135" i="22"/>
  <c r="F148" i="72" s="1"/>
  <c r="D42" i="72"/>
  <c r="BE32" i="22"/>
  <c r="D96" i="72"/>
  <c r="D99" i="72"/>
  <c r="BE88" i="22"/>
  <c r="BE120" i="22"/>
  <c r="F133" i="72" s="1"/>
  <c r="BE127" i="22"/>
  <c r="F140" i="72" s="1"/>
  <c r="BE133" i="22"/>
  <c r="F146" i="72" s="1"/>
  <c r="BE126" i="22"/>
  <c r="F139" i="72" s="1"/>
  <c r="D106" i="72"/>
  <c r="BE95" i="22"/>
  <c r="D43" i="72"/>
  <c r="BE33" i="22"/>
  <c r="D102" i="72"/>
  <c r="BE91" i="22"/>
  <c r="AF51" i="22"/>
  <c r="AF49" i="22"/>
  <c r="BF7" i="22" l="1"/>
  <c r="G15" i="72" s="1"/>
  <c r="F26" i="72"/>
  <c r="BF124" i="22"/>
  <c r="F16" i="72"/>
  <c r="F25" i="72"/>
  <c r="BF6" i="22"/>
  <c r="G14" i="72" s="1"/>
  <c r="BF11" i="22"/>
  <c r="G19" i="72" s="1"/>
  <c r="F22" i="72"/>
  <c r="F18" i="72"/>
  <c r="F20" i="72"/>
  <c r="BF19" i="22"/>
  <c r="G27" i="72" s="1"/>
  <c r="F27" i="72"/>
  <c r="BF16" i="22"/>
  <c r="G24" i="72" s="1"/>
  <c r="F24" i="72"/>
  <c r="BF15" i="22"/>
  <c r="G23" i="72" s="1"/>
  <c r="BF80" i="22"/>
  <c r="F91" i="72"/>
  <c r="F77" i="36"/>
  <c r="AP11" i="22"/>
  <c r="AF98" i="22"/>
  <c r="F60" i="72"/>
  <c r="F102" i="72"/>
  <c r="BF91" i="22"/>
  <c r="BF133" i="22"/>
  <c r="BF120" i="22"/>
  <c r="F96" i="72"/>
  <c r="BF135" i="22"/>
  <c r="BF39" i="22"/>
  <c r="G49" i="72" s="1"/>
  <c r="F49" i="72"/>
  <c r="BF115" i="22"/>
  <c r="F46" i="72"/>
  <c r="BF36" i="22"/>
  <c r="G46" i="72" s="1"/>
  <c r="BF134" i="22"/>
  <c r="BF130" i="22"/>
  <c r="F109" i="72"/>
  <c r="BF98" i="22"/>
  <c r="F52" i="72"/>
  <c r="BF42" i="22"/>
  <c r="G52" i="72" s="1"/>
  <c r="BF49" i="22"/>
  <c r="G59" i="72" s="1"/>
  <c r="F59" i="72"/>
  <c r="BF121" i="22"/>
  <c r="BF100" i="22"/>
  <c r="F111" i="72"/>
  <c r="BF93" i="22"/>
  <c r="F104" i="72"/>
  <c r="G103" i="72" s="1"/>
  <c r="BF94" i="22"/>
  <c r="F105" i="72"/>
  <c r="G105" i="72" s="1"/>
  <c r="BF99" i="22"/>
  <c r="F110" i="72"/>
  <c r="F108" i="72"/>
  <c r="BF97" i="22"/>
  <c r="BF112" i="22"/>
  <c r="F95" i="72"/>
  <c r="BF90" i="22"/>
  <c r="F101" i="72"/>
  <c r="BF56" i="22"/>
  <c r="G66" i="72" s="1"/>
  <c r="F66" i="72"/>
  <c r="F93" i="72"/>
  <c r="BF116" i="22"/>
  <c r="BF128" i="22"/>
  <c r="G70" i="72"/>
  <c r="F70" i="72"/>
  <c r="BF40" i="22"/>
  <c r="G50" i="72" s="1"/>
  <c r="F50" i="72"/>
  <c r="F53" i="72"/>
  <c r="BF43" i="22"/>
  <c r="G53" i="72" s="1"/>
  <c r="D89" i="72"/>
  <c r="D115" i="72" s="1"/>
  <c r="F43" i="72"/>
  <c r="BF33" i="22"/>
  <c r="G43" i="72" s="1"/>
  <c r="BF95" i="22"/>
  <c r="F106" i="72"/>
  <c r="BF126" i="22"/>
  <c r="BF127" i="22"/>
  <c r="F99" i="72"/>
  <c r="BF88" i="22"/>
  <c r="BF32" i="22"/>
  <c r="G42" i="72" s="1"/>
  <c r="F42" i="72"/>
  <c r="BF132" i="22"/>
  <c r="F98" i="72"/>
  <c r="BF59" i="22"/>
  <c r="G69" i="72" s="1"/>
  <c r="F69" i="72"/>
  <c r="BF113" i="22"/>
  <c r="BF44" i="22"/>
  <c r="G54" i="72" s="1"/>
  <c r="F54" i="72"/>
  <c r="BF34" i="22"/>
  <c r="G44" i="72" s="1"/>
  <c r="F44" i="72"/>
  <c r="F67" i="72"/>
  <c r="BF57" i="22"/>
  <c r="G67" i="72" s="1"/>
  <c r="F94" i="72"/>
  <c r="BF55" i="22"/>
  <c r="G65" i="72" s="1"/>
  <c r="F65" i="72"/>
  <c r="F63" i="72"/>
  <c r="BF53" i="22"/>
  <c r="G63" i="72" s="1"/>
  <c r="F41" i="72"/>
  <c r="BF31" i="22"/>
  <c r="G41" i="72" s="1"/>
  <c r="F61" i="72"/>
  <c r="BF51" i="22"/>
  <c r="G61" i="72" s="1"/>
  <c r="BF38" i="22"/>
  <c r="G48" i="72" s="1"/>
  <c r="F48" i="72"/>
  <c r="BF117" i="22"/>
  <c r="F107" i="72"/>
  <c r="BF96" i="22"/>
  <c r="BF45" i="22"/>
  <c r="G55" i="72" s="1"/>
  <c r="F55" i="72"/>
  <c r="F57" i="72"/>
  <c r="BF47" i="22"/>
  <c r="G57" i="72" s="1"/>
  <c r="F97" i="72"/>
  <c r="F47" i="72"/>
  <c r="BF37" i="22"/>
  <c r="G47" i="72" s="1"/>
  <c r="BF41" i="22"/>
  <c r="G51" i="72" s="1"/>
  <c r="F51" i="72"/>
  <c r="BF54" i="22"/>
  <c r="G64" i="72" s="1"/>
  <c r="F64" i="72"/>
  <c r="BF125" i="22"/>
  <c r="BF114" i="22"/>
  <c r="BF46" i="22"/>
  <c r="G56" i="72" s="1"/>
  <c r="F56" i="72"/>
  <c r="BF89" i="22"/>
  <c r="F100" i="72"/>
  <c r="BF146" i="22"/>
  <c r="G97" i="72" l="1"/>
  <c r="G94" i="72"/>
  <c r="G106" i="72"/>
  <c r="G109" i="72"/>
  <c r="D68" i="72"/>
  <c r="BE58" i="22"/>
  <c r="F89" i="72"/>
  <c r="G89" i="72" s="1"/>
  <c r="J88" i="72" l="1"/>
  <c r="J89" i="72"/>
  <c r="BF58" i="22"/>
  <c r="F68" i="72"/>
  <c r="F115" i="72"/>
  <c r="G68" i="72" l="1"/>
  <c r="AF93" i="11" l="1"/>
  <c r="G81" i="22"/>
  <c r="O81" i="22" s="1"/>
  <c r="AY13" i="22" s="1"/>
  <c r="AC93" i="11"/>
  <c r="H81" i="22"/>
  <c r="AD93" i="11" l="1"/>
  <c r="X93" i="11"/>
  <c r="X259" i="11" s="1"/>
  <c r="AY9" i="22"/>
  <c r="P81" i="22"/>
  <c r="H15" i="36"/>
  <c r="F64" i="36"/>
  <c r="AK11" i="11" a="1"/>
  <c r="AK11" i="11" s="1"/>
  <c r="D31" i="36" l="1"/>
  <c r="AQ93" i="11"/>
  <c r="AQ259" i="11" s="1"/>
  <c r="G5" i="72" s="1"/>
  <c r="J26" i="22"/>
  <c r="AX35" i="22" s="1"/>
  <c r="AZ13" i="22"/>
  <c r="N83" i="32"/>
  <c r="Q259" i="11"/>
  <c r="AZ9" i="22"/>
  <c r="AN10" i="22"/>
  <c r="F45" i="36" s="1"/>
  <c r="AM10" i="22"/>
  <c r="E45" i="36" s="1"/>
  <c r="E64" i="36"/>
  <c r="G64" i="36" s="1"/>
  <c r="AK12" i="11" a="1"/>
  <c r="AK12" i="11" s="1"/>
  <c r="AK13" i="11" s="1" a="1"/>
  <c r="AK13" i="11" s="1"/>
  <c r="AK14" i="11" s="1" a="1"/>
  <c r="AK14" i="11" s="1"/>
  <c r="Q81" i="22"/>
  <c r="I81" i="22"/>
  <c r="BG13" i="22" s="1"/>
  <c r="BA9" i="22" l="1"/>
  <c r="BA13" i="22"/>
  <c r="H8" i="73"/>
  <c r="H16" i="73" s="1"/>
  <c r="D22" i="36"/>
  <c r="AL5" i="22"/>
  <c r="R26" i="22"/>
  <c r="AO10" i="22"/>
  <c r="AK15" i="11" a="1"/>
  <c r="AK15" i="11" s="1"/>
  <c r="AK16" i="11" s="1" a="1"/>
  <c r="AK16" i="11" s="1"/>
  <c r="H20" i="73"/>
  <c r="BG9" i="22"/>
  <c r="J81" i="22"/>
  <c r="AX13" i="22" s="1"/>
  <c r="AE81" i="22"/>
  <c r="BB35" i="22" l="1"/>
  <c r="AP5" i="22"/>
  <c r="AF26" i="22"/>
  <c r="H24" i="73"/>
  <c r="AL10" i="22"/>
  <c r="D64" i="36"/>
  <c r="H64" i="36" s="1"/>
  <c r="AK17" i="11" a="1"/>
  <c r="AK17" i="11" s="1"/>
  <c r="AK18" i="11" s="1" a="1"/>
  <c r="AK18" i="11" s="1"/>
  <c r="R81" i="22"/>
  <c r="BB9" i="22" l="1"/>
  <c r="D17" i="72" s="1"/>
  <c r="BB13" i="22"/>
  <c r="BE35" i="22"/>
  <c r="D45" i="72"/>
  <c r="D82" i="72" s="1"/>
  <c r="H28" i="73"/>
  <c r="H32" i="73" s="1"/>
  <c r="AP10" i="22"/>
  <c r="AK19" i="11" a="1"/>
  <c r="AK19" i="11" s="1"/>
  <c r="AK20" i="11" s="1" a="1"/>
  <c r="AK20" i="11" s="1"/>
  <c r="AF81" i="22"/>
  <c r="H10" i="36" l="1"/>
  <c r="BE9" i="22"/>
  <c r="BF9" i="22" s="1"/>
  <c r="G17" i="72" s="1"/>
  <c r="D21" i="72"/>
  <c r="D33" i="72" s="1"/>
  <c r="BE13" i="22"/>
  <c r="BF35" i="22"/>
  <c r="G45" i="72" s="1"/>
  <c r="F45" i="72"/>
  <c r="AK21" i="11" a="1"/>
  <c r="AK21" i="11" s="1"/>
  <c r="H14" i="36" l="1"/>
  <c r="F82" i="72"/>
  <c r="J40" i="72"/>
  <c r="G82" i="72"/>
  <c r="F17" i="72"/>
  <c r="BF13" i="22"/>
  <c r="G21" i="72" s="1"/>
  <c r="F21" i="72"/>
  <c r="AK22" i="11" a="1"/>
  <c r="AK22" i="11" s="1"/>
  <c r="J12" i="72" l="1"/>
  <c r="J90" i="72" s="1"/>
  <c r="J91" i="72" s="1"/>
  <c r="J41" i="72"/>
  <c r="G6" i="72" s="1"/>
  <c r="F33" i="72"/>
  <c r="G33" i="72"/>
  <c r="I13" i="72" s="1"/>
  <c r="AK23" i="11" a="1"/>
  <c r="AK23" i="11" s="1"/>
  <c r="AK24" i="11" l="1" a="1"/>
  <c r="AK24" i="11" s="1"/>
  <c r="AK25" i="11" s="1" a="1"/>
  <c r="AK25" i="11" s="1"/>
  <c r="G7" i="72" l="1"/>
  <c r="AK26" i="11" a="1"/>
  <c r="AK26" i="11" s="1"/>
  <c r="AK27" i="11" s="1" a="1"/>
  <c r="AK27" i="11" s="1"/>
  <c r="AK28" i="11" s="1" a="1"/>
  <c r="AK28" i="11" s="1"/>
  <c r="AK29" i="11" s="1" a="1"/>
  <c r="AK29" i="11" s="1"/>
  <c r="AK30" i="11" s="1" a="1"/>
  <c r="AK30" i="11" s="1"/>
  <c r="AK31" i="11" s="1" a="1"/>
  <c r="AK31" i="11" s="1"/>
  <c r="AK32" i="11" s="1" a="1"/>
  <c r="AK32" i="11" s="1"/>
  <c r="AK33" i="11" s="1" a="1"/>
  <c r="AK33" i="11" s="1"/>
  <c r="AK34" i="11" s="1" a="1"/>
  <c r="AK34" i="11" s="1"/>
  <c r="AK35" i="11" s="1" a="1"/>
  <c r="AK35" i="11" s="1"/>
  <c r="AK36" i="11" s="1" a="1"/>
  <c r="AK36" i="11" s="1"/>
  <c r="AK37" i="11" s="1" a="1"/>
  <c r="AK37" i="11" s="1"/>
  <c r="AK38" i="11" s="1" a="1"/>
  <c r="AK38" i="11" s="1"/>
  <c r="AK39" i="11" s="1" a="1"/>
  <c r="AK39" i="11" s="1"/>
  <c r="AK40" i="11" s="1" a="1"/>
  <c r="AK40" i="11" s="1"/>
  <c r="AK41" i="11" s="1" a="1"/>
  <c r="AK41" i="11" s="1"/>
  <c r="AK42" i="11" s="1" a="1"/>
  <c r="AK42" i="11" s="1"/>
  <c r="AK43" i="11" s="1" a="1"/>
  <c r="AK43" i="11" s="1"/>
  <c r="AK44" i="11" s="1" a="1"/>
  <c r="AK44" i="11" s="1"/>
  <c r="AK45" i="11" s="1" a="1"/>
  <c r="AK45" i="11" s="1"/>
  <c r="AK46" i="11" s="1" a="1"/>
  <c r="AK46" i="11" s="1"/>
  <c r="AK47" i="11" s="1" a="1"/>
  <c r="AK47" i="11" s="1"/>
  <c r="AK48" i="11" s="1" a="1"/>
  <c r="AK48" i="11" s="1"/>
  <c r="AK49" i="11" s="1" a="1"/>
  <c r="AK49" i="11" s="1"/>
  <c r="AK50" i="11" s="1" a="1"/>
  <c r="AK50" i="11" s="1"/>
  <c r="AK51" i="11" s="1" a="1"/>
  <c r="AK51" i="11" s="1"/>
  <c r="AK52" i="11" s="1" a="1"/>
  <c r="AK52" i="11" s="1"/>
  <c r="AK53" i="11" s="1" a="1"/>
  <c r="AK53" i="11" s="1"/>
  <c r="AK54" i="11" s="1" a="1"/>
  <c r="AK54" i="11" s="1"/>
  <c r="AK55" i="11" s="1" a="1"/>
  <c r="AK55" i="11" s="1"/>
  <c r="AK56" i="11" s="1" a="1"/>
  <c r="AK56" i="11" s="1"/>
  <c r="AK57" i="11" s="1" a="1"/>
  <c r="AK57" i="11" s="1"/>
  <c r="AK58" i="11" s="1" a="1"/>
  <c r="AK58" i="11" s="1"/>
  <c r="AK59" i="11" s="1" a="1"/>
  <c r="AK59" i="11" s="1"/>
  <c r="AK60" i="11" s="1" a="1"/>
  <c r="AK60" i="11" s="1"/>
  <c r="AK61" i="11" s="1" a="1"/>
  <c r="AK61" i="11" s="1"/>
  <c r="AK62" i="11" s="1" a="1"/>
  <c r="AK62" i="11" s="1"/>
  <c r="AK63" i="11" s="1" a="1"/>
  <c r="AK63" i="11" s="1"/>
  <c r="AK64" i="11" s="1" a="1"/>
  <c r="AK64" i="11" s="1"/>
  <c r="AK65" i="11" s="1" a="1"/>
  <c r="AK65" i="11" s="1"/>
  <c r="AK66" i="11" s="1" a="1"/>
  <c r="AK66" i="11" s="1"/>
  <c r="AK67" i="11" s="1" a="1"/>
  <c r="AK67" i="11" s="1"/>
  <c r="AK68" i="11" s="1" a="1"/>
  <c r="AK68" i="11" s="1"/>
  <c r="AK69" i="11" s="1" a="1"/>
  <c r="AK69" i="11" s="1"/>
  <c r="AK70" i="11" s="1" a="1"/>
  <c r="AK70" i="11" s="1"/>
  <c r="AK71" i="11" s="1" a="1"/>
  <c r="AK71" i="11" s="1"/>
  <c r="AK72" i="11" s="1" a="1"/>
  <c r="AK72" i="11" s="1"/>
  <c r="AK73" i="11" s="1" a="1"/>
  <c r="AK73" i="11" s="1"/>
  <c r="AK74" i="11" s="1" a="1"/>
  <c r="AK74" i="11" s="1"/>
  <c r="AK75" i="11" s="1" a="1"/>
  <c r="AK75" i="11" s="1"/>
  <c r="AK76" i="11" s="1" a="1"/>
  <c r="AK76" i="11" s="1"/>
  <c r="AK77" i="11" s="1" a="1"/>
  <c r="AK77" i="11" s="1"/>
  <c r="AK78" i="11" s="1" a="1"/>
  <c r="AK78" i="11" s="1"/>
  <c r="AK79" i="11" s="1" a="1"/>
  <c r="AK79" i="11" s="1"/>
  <c r="AK80" i="11" s="1" a="1"/>
  <c r="AK80" i="11" s="1"/>
  <c r="AK81" i="11" s="1" a="1"/>
  <c r="AK81" i="11" s="1"/>
  <c r="AK82" i="11" s="1" a="1"/>
  <c r="AK82" i="11" s="1"/>
  <c r="AK83" i="11" s="1" a="1"/>
  <c r="AK83" i="11" s="1"/>
  <c r="AK84" i="11" s="1" a="1"/>
  <c r="AK84" i="11" s="1"/>
  <c r="AK85" i="11" s="1" a="1"/>
  <c r="AK85" i="11" s="1"/>
  <c r="AK86" i="11" s="1" a="1"/>
  <c r="AK86" i="11" s="1"/>
  <c r="AK87" i="11" s="1" a="1"/>
  <c r="AK87" i="11" s="1"/>
  <c r="AK88" i="11" s="1" a="1"/>
  <c r="AK88" i="11" s="1"/>
  <c r="AK89" i="11" s="1" a="1"/>
  <c r="AK89" i="11" s="1"/>
  <c r="AK90" i="11" s="1" a="1"/>
  <c r="AK90" i="11" s="1"/>
  <c r="AK91" i="11" s="1" a="1"/>
  <c r="AK91" i="11" s="1"/>
  <c r="AK92" i="11" s="1" a="1"/>
  <c r="AK92" i="11" s="1"/>
  <c r="AK93" i="11" s="1" a="1"/>
  <c r="AK93" i="11" s="1"/>
  <c r="AK94" i="11" s="1" a="1"/>
  <c r="AK94" i="11" s="1"/>
  <c r="AK95" i="11" s="1" a="1"/>
  <c r="AK95" i="11" s="1"/>
  <c r="AK96" i="11" s="1" a="1"/>
  <c r="AK96" i="11" s="1"/>
  <c r="AK97" i="11" s="1" a="1"/>
  <c r="AK97" i="11" s="1"/>
  <c r="AK98" i="11" s="1" a="1"/>
  <c r="AK98" i="11" s="1"/>
  <c r="AK99" i="11" s="1" a="1"/>
  <c r="AK99" i="11" s="1"/>
  <c r="AK100" i="11" s="1" a="1"/>
  <c r="AK100" i="11" s="1"/>
  <c r="AK101" i="11" s="1" a="1"/>
  <c r="AK101" i="11" s="1"/>
  <c r="AK102" i="11" s="1" a="1"/>
  <c r="AK102" i="11" s="1"/>
  <c r="AK103" i="11" s="1" a="1"/>
  <c r="AK103" i="11" s="1"/>
  <c r="AK104" i="11" s="1" a="1"/>
  <c r="AK104" i="11" s="1"/>
  <c r="AK105" i="11" s="1" a="1"/>
  <c r="AK105" i="11" s="1"/>
  <c r="AK106" i="11" s="1" a="1"/>
  <c r="AK106" i="11" s="1"/>
  <c r="AK107" i="11" s="1" a="1"/>
  <c r="AK107" i="11" s="1"/>
  <c r="AK108" i="11" s="1" a="1"/>
  <c r="AK108" i="11" s="1"/>
  <c r="AK109" i="11" s="1" a="1"/>
  <c r="AK109" i="11" s="1"/>
  <c r="AK110" i="11" s="1" a="1"/>
  <c r="AK110" i="11" s="1"/>
  <c r="AK111" i="11" s="1" a="1"/>
  <c r="AK111" i="11" s="1"/>
  <c r="AK112" i="11" s="1" a="1"/>
  <c r="AK112" i="11" s="1"/>
  <c r="AK113" i="11" s="1" a="1"/>
  <c r="AK113" i="11" s="1"/>
  <c r="AK114" i="11" s="1" a="1"/>
  <c r="AK114" i="11" s="1"/>
  <c r="AK115" i="11" s="1" a="1"/>
  <c r="AK115" i="11" s="1"/>
  <c r="AK116" i="11" s="1" a="1"/>
  <c r="AK116" i="11" s="1"/>
  <c r="AK117" i="11" s="1" a="1"/>
  <c r="AK117" i="11" s="1"/>
  <c r="AK118" i="11" s="1" a="1"/>
  <c r="AK118" i="11" s="1"/>
  <c r="AK119" i="11" s="1" a="1"/>
  <c r="AK119" i="11" s="1"/>
  <c r="AK120" i="11" s="1" a="1"/>
  <c r="AK120" i="11" s="1"/>
  <c r="AK121" i="11" s="1" a="1"/>
  <c r="AK121" i="11" s="1"/>
  <c r="AK122" i="11" s="1" a="1"/>
  <c r="AK122" i="11" s="1"/>
  <c r="AK123" i="11" s="1" a="1"/>
  <c r="AK123" i="11" s="1"/>
  <c r="AK124" i="11" s="1" a="1"/>
  <c r="AK124" i="11" s="1"/>
  <c r="AK125" i="11" s="1" a="1"/>
  <c r="AK125" i="11" s="1"/>
  <c r="AK126" i="11" s="1" a="1"/>
  <c r="AK126" i="11" s="1"/>
  <c r="AK127" i="11" s="1" a="1"/>
  <c r="AK127" i="11" s="1"/>
  <c r="AK128" i="11" s="1" a="1"/>
  <c r="AK128" i="11" s="1"/>
  <c r="AK129" i="11" s="1" a="1"/>
  <c r="AK129" i="11" s="1"/>
  <c r="AK130" i="11" s="1" a="1"/>
  <c r="AK130" i="11" s="1"/>
  <c r="AK131" i="11" s="1" a="1"/>
  <c r="AK131" i="11" s="1"/>
  <c r="AK132" i="11" s="1" a="1"/>
  <c r="AK132" i="11" s="1"/>
  <c r="AK133" i="11" s="1" a="1"/>
  <c r="AK133" i="11" s="1"/>
  <c r="AK134" i="11" s="1" a="1"/>
  <c r="AK134" i="11" s="1"/>
  <c r="AK135" i="11" s="1" a="1"/>
  <c r="AK135" i="11" s="1"/>
  <c r="AK136" i="11" s="1" a="1"/>
  <c r="AK136" i="11" s="1"/>
  <c r="AK137" i="11" s="1" a="1"/>
  <c r="AK137" i="11" s="1"/>
  <c r="AK138" i="11" s="1" a="1"/>
  <c r="AK138" i="11" s="1"/>
  <c r="AK139" i="11" s="1" a="1"/>
  <c r="AK139" i="11" s="1"/>
  <c r="AK140" i="11" s="1" a="1"/>
  <c r="AK140" i="11" s="1"/>
  <c r="AK141" i="11" s="1" a="1"/>
  <c r="AK141" i="11" s="1"/>
  <c r="AK142" i="11" s="1" a="1"/>
  <c r="AK142" i="11" s="1"/>
  <c r="AK143" i="11" s="1" a="1"/>
  <c r="AK143" i="11" s="1"/>
  <c r="AK144" i="11" s="1" a="1"/>
  <c r="AK144" i="11" s="1"/>
  <c r="AK145" i="11" s="1" a="1"/>
  <c r="AK145" i="11" s="1"/>
  <c r="AK146" i="11" s="1" a="1"/>
  <c r="AK146" i="11" s="1"/>
  <c r="AK147" i="11" s="1" a="1"/>
  <c r="AK147" i="11" s="1"/>
  <c r="AK148" i="11" s="1" a="1"/>
  <c r="AK148" i="11" s="1"/>
  <c r="AK149" i="11" s="1" a="1"/>
  <c r="AK149" i="11" s="1"/>
  <c r="AK150" i="11" s="1" a="1"/>
  <c r="AK150" i="11" s="1"/>
  <c r="AK151" i="11" s="1" a="1"/>
  <c r="AK151" i="11" s="1"/>
  <c r="AK152" i="11" s="1" a="1"/>
  <c r="AK152" i="11" s="1"/>
  <c r="AK153" i="11" s="1" a="1"/>
  <c r="AK153" i="11" s="1"/>
  <c r="AK154" i="11" s="1" a="1"/>
  <c r="AK154" i="11" s="1"/>
  <c r="AK155" i="11" s="1" a="1"/>
  <c r="AK155" i="11" s="1"/>
  <c r="AK156" i="11" s="1" a="1"/>
  <c r="AK156" i="11" s="1"/>
  <c r="AK157" i="11" s="1" a="1"/>
  <c r="AK157" i="11" s="1"/>
  <c r="AK158" i="11" s="1" a="1"/>
  <c r="AK158" i="11" s="1"/>
  <c r="AK159" i="11" s="1" a="1"/>
  <c r="AK159" i="11" s="1"/>
  <c r="AK160" i="11" s="1" a="1"/>
  <c r="AK160" i="11" s="1"/>
  <c r="AK161" i="11" s="1" a="1"/>
  <c r="AK161" i="11" s="1"/>
  <c r="AK162" i="11" s="1" a="1"/>
  <c r="AK162" i="11" s="1"/>
  <c r="AK163" i="11" s="1" a="1"/>
  <c r="AK163" i="11" s="1"/>
  <c r="AK164" i="11" s="1" a="1"/>
  <c r="AK164" i="11" s="1"/>
  <c r="AK165" i="11" s="1" a="1"/>
  <c r="AK165" i="11" s="1"/>
  <c r="AK166" i="11" s="1" a="1"/>
  <c r="AK166" i="11" s="1"/>
  <c r="AK167" i="11" s="1" a="1"/>
  <c r="AK167" i="11" s="1"/>
  <c r="AK168" i="11" s="1" a="1"/>
  <c r="AK168" i="11" s="1"/>
  <c r="AK169" i="11" s="1" a="1"/>
  <c r="AK169" i="11" s="1"/>
  <c r="AK170" i="11" s="1" a="1"/>
  <c r="AK170" i="11" s="1"/>
  <c r="AK171" i="11" s="1" a="1"/>
  <c r="AK171" i="11" s="1"/>
  <c r="AK172" i="11" s="1" a="1"/>
  <c r="AK172" i="11" s="1"/>
  <c r="AK173" i="11" s="1" a="1"/>
  <c r="AK173" i="11" s="1"/>
  <c r="AK174" i="11" s="1" a="1"/>
  <c r="AK174" i="11" s="1"/>
  <c r="AK175" i="11" s="1" a="1"/>
  <c r="AK175" i="11" s="1"/>
  <c r="AK176" i="11" s="1" a="1"/>
  <c r="AK176" i="11" s="1"/>
  <c r="AK177" i="11" s="1" a="1"/>
  <c r="AK177" i="11" s="1"/>
  <c r="AK178" i="11" s="1" a="1"/>
  <c r="AK178" i="11" s="1"/>
  <c r="AK179" i="11" s="1" a="1"/>
  <c r="AK179" i="11" s="1"/>
  <c r="AK180" i="11" s="1" a="1"/>
  <c r="AK180" i="11" s="1"/>
  <c r="AK181" i="11" s="1" a="1"/>
  <c r="AK181" i="11" s="1"/>
  <c r="AK182" i="11" s="1" a="1"/>
  <c r="AK182" i="11" s="1"/>
  <c r="AK183" i="11" s="1" a="1"/>
  <c r="AK183" i="11" s="1"/>
  <c r="AK184" i="11" s="1" a="1"/>
  <c r="AK184" i="11" s="1"/>
  <c r="AK185" i="11" s="1" a="1"/>
  <c r="AK185" i="11" s="1"/>
  <c r="AK186" i="11" s="1" a="1"/>
  <c r="AK186" i="11" s="1"/>
  <c r="AK187" i="11" s="1" a="1"/>
  <c r="AK187" i="11" s="1"/>
  <c r="AK188" i="11" s="1" a="1"/>
  <c r="AK188" i="11" s="1"/>
  <c r="AK189" i="11" s="1" a="1"/>
  <c r="AK189" i="11" s="1"/>
  <c r="AK190" i="11" s="1" a="1"/>
  <c r="AK190" i="11" s="1"/>
  <c r="AK191" i="11" s="1" a="1"/>
  <c r="AK191" i="11" s="1"/>
  <c r="AK192" i="11" s="1" a="1"/>
  <c r="AK192" i="11" s="1"/>
  <c r="AK193" i="11" s="1" a="1"/>
  <c r="AK193" i="11" s="1"/>
  <c r="AK194" i="11" s="1" a="1"/>
  <c r="AK194" i="11" s="1"/>
  <c r="AK195" i="11" s="1" a="1"/>
  <c r="AK195" i="11" s="1"/>
  <c r="AK196" i="11" s="1" a="1"/>
  <c r="AK196" i="11" s="1"/>
  <c r="AK197" i="11" s="1" a="1"/>
  <c r="AK197" i="11" s="1"/>
  <c r="AK198" i="11" s="1" a="1"/>
  <c r="AK198" i="11" s="1"/>
  <c r="AK199" i="11" s="1" a="1"/>
  <c r="AK199" i="11" s="1"/>
  <c r="AK200" i="11" s="1" a="1"/>
  <c r="AK200" i="11" s="1"/>
  <c r="AK201" i="11" s="1" a="1"/>
  <c r="AK201" i="11" s="1"/>
  <c r="AK202" i="11" s="1" a="1"/>
  <c r="AK202" i="11" s="1"/>
  <c r="AK203" i="11" s="1" a="1"/>
  <c r="AK203" i="11" s="1"/>
  <c r="AK204" i="11" s="1" a="1"/>
  <c r="AK204" i="11" s="1"/>
  <c r="AK205" i="11" s="1" a="1"/>
  <c r="AK205" i="11" s="1"/>
  <c r="AK206" i="11" s="1" a="1"/>
  <c r="AK206" i="11" s="1"/>
  <c r="AK207" i="11" s="1" a="1"/>
  <c r="AK207" i="11" s="1"/>
  <c r="AK208" i="11" s="1" a="1"/>
  <c r="AK208" i="11" s="1"/>
  <c r="AK209" i="11" s="1" a="1"/>
  <c r="AK209" i="11" s="1"/>
  <c r="AK210" i="11" s="1" a="1"/>
  <c r="AK210" i="11" s="1"/>
  <c r="AK211" i="11" s="1" a="1"/>
  <c r="AK211" i="11" s="1"/>
  <c r="AK212" i="11" s="1" a="1"/>
  <c r="AK212" i="11" s="1"/>
  <c r="AK213" i="11" s="1" a="1"/>
  <c r="AK213" i="11" s="1"/>
  <c r="AK214" i="11" s="1" a="1"/>
  <c r="AK214" i="11" s="1"/>
  <c r="AK215" i="11" s="1" a="1"/>
  <c r="AK215" i="11" s="1"/>
  <c r="AK216" i="11" s="1" a="1"/>
  <c r="AK216" i="11" s="1"/>
  <c r="AK217" i="11" s="1" a="1"/>
  <c r="AK217" i="11" s="1"/>
  <c r="AK218" i="11" s="1" a="1"/>
  <c r="AK218" i="11" s="1"/>
  <c r="AK219" i="11" s="1" a="1"/>
  <c r="AK219" i="11" s="1"/>
  <c r="AK220" i="11" s="1" a="1"/>
  <c r="AK220" i="11" s="1"/>
  <c r="AK221" i="11" s="1" a="1"/>
  <c r="AK221" i="11" s="1"/>
  <c r="AK222" i="11" s="1" a="1"/>
  <c r="AK222" i="11" s="1"/>
  <c r="AK223" i="11" s="1" a="1"/>
  <c r="AK223" i="11" s="1"/>
  <c r="AK224" i="11" s="1" a="1"/>
  <c r="AK224" i="11" s="1"/>
  <c r="AK225" i="11" s="1" a="1"/>
  <c r="AK225" i="11" s="1"/>
  <c r="AK226" i="11" s="1" a="1"/>
  <c r="AK226" i="11" s="1"/>
  <c r="AK227" i="11" s="1" a="1"/>
  <c r="AK227" i="11" s="1"/>
  <c r="AK228" i="11" s="1" a="1"/>
  <c r="AK228" i="11" s="1"/>
  <c r="AK229" i="11" s="1" a="1"/>
  <c r="AK229" i="11" s="1"/>
  <c r="AK230" i="11" s="1" a="1"/>
  <c r="AK230" i="11" s="1"/>
  <c r="AK231" i="11" s="1" a="1"/>
  <c r="AK231" i="11" s="1"/>
  <c r="AK232" i="11" s="1" a="1"/>
  <c r="AK232" i="11" s="1"/>
  <c r="AK233" i="11" s="1" a="1"/>
  <c r="AK233" i="11" s="1"/>
  <c r="AK234" i="11" s="1" a="1"/>
  <c r="AK234" i="11" s="1"/>
  <c r="AK235" i="11" s="1" a="1"/>
  <c r="AK235" i="11" s="1"/>
  <c r="AK236" i="11" s="1" a="1"/>
  <c r="AK236" i="11" s="1"/>
  <c r="AK237" i="11" s="1" a="1"/>
  <c r="AK237" i="11" s="1"/>
  <c r="AK238" i="11" s="1" a="1"/>
  <c r="AK238" i="11" s="1"/>
  <c r="AK239" i="11" s="1" a="1"/>
  <c r="AK239" i="11" s="1"/>
  <c r="AK240" i="11" s="1" a="1"/>
  <c r="AK240" i="11" s="1"/>
  <c r="AK241" i="11" s="1" a="1"/>
  <c r="AK241" i="11" s="1"/>
  <c r="AK242" i="11" s="1" a="1"/>
  <c r="AK242" i="11" s="1"/>
  <c r="AK243" i="11" s="1" a="1"/>
  <c r="AK243" i="11" s="1"/>
  <c r="AK244" i="11" s="1" a="1"/>
  <c r="AK244" i="11" s="1"/>
  <c r="AK245" i="11" s="1" a="1"/>
  <c r="AK245" i="11" s="1"/>
  <c r="AK246" i="11" s="1" a="1"/>
  <c r="AK246" i="11" s="1"/>
  <c r="AK247" i="11" s="1" a="1"/>
  <c r="AK247" i="11" s="1"/>
  <c r="AK248" i="11" s="1" a="1"/>
  <c r="AK248" i="11" s="1"/>
  <c r="AK249" i="11" s="1" a="1"/>
  <c r="AK249" i="11" s="1"/>
  <c r="AK250" i="11" s="1" a="1"/>
  <c r="AK250" i="11" s="1"/>
  <c r="AK251" i="11" s="1" a="1"/>
  <c r="AK251" i="11" s="1"/>
  <c r="AK252" i="11" s="1" a="1"/>
  <c r="AK252" i="11" s="1"/>
  <c r="AK253" i="11" s="1" a="1"/>
  <c r="AK253" i="11" s="1"/>
  <c r="AK254" i="11" s="1" a="1"/>
  <c r="AK254" i="11" s="1"/>
  <c r="AK255" i="11" s="1" a="1"/>
  <c r="AK255" i="11" s="1"/>
  <c r="AK256" i="11" s="1" a="1"/>
  <c r="AK256" i="11" s="1"/>
  <c r="AK257" i="11" s="1" a="1"/>
  <c r="AK257" i="11" s="1"/>
  <c r="AK258" i="11" s="1" a="1"/>
  <c r="AK258" i="11" s="1"/>
  <c r="C49" i="36"/>
  <c r="C87" i="36" s="1"/>
  <c r="D48" i="36"/>
  <c r="C41" i="36"/>
  <c r="C79" i="36" s="1"/>
  <c r="D39" i="36"/>
  <c r="C48" i="36"/>
  <c r="C86" i="36" s="1"/>
  <c r="C45" i="36"/>
  <c r="C83" i="36" s="1"/>
  <c r="D46" i="36"/>
  <c r="D84" i="36" s="1"/>
  <c r="D42" i="36"/>
  <c r="F44" i="36"/>
  <c r="D47" i="36"/>
  <c r="C43" i="36"/>
  <c r="C81" i="36" s="1"/>
  <c r="C46" i="36"/>
  <c r="C84" i="36" s="1"/>
  <c r="C50" i="36"/>
  <c r="C88" i="36" s="1"/>
  <c r="C47" i="36"/>
  <c r="C85" i="36" s="1"/>
  <c r="C44" i="36"/>
  <c r="C82" i="36" s="1"/>
  <c r="D49" i="36"/>
  <c r="C42" i="36"/>
  <c r="C80" i="36" s="1"/>
  <c r="C39" i="36"/>
  <c r="D44" i="36"/>
  <c r="D43" i="36"/>
  <c r="D50" i="36"/>
  <c r="D88" i="36" s="1"/>
  <c r="D41" i="36"/>
  <c r="C40" i="36"/>
  <c r="C78" i="36" s="1"/>
  <c r="D40" i="36"/>
  <c r="D45" i="36"/>
  <c r="C77" i="36" l="1"/>
  <c r="G39" i="36"/>
  <c r="F80" i="36"/>
  <c r="H42" i="36"/>
  <c r="F87" i="36"/>
  <c r="H49" i="36"/>
  <c r="G44" i="36"/>
  <c r="E82" i="36"/>
  <c r="D85" i="36"/>
  <c r="F83" i="36"/>
  <c r="H45" i="36"/>
  <c r="E81" i="36"/>
  <c r="G43" i="36"/>
  <c r="H48" i="36"/>
  <c r="F86" i="36"/>
  <c r="D86" i="36"/>
  <c r="D83" i="36"/>
  <c r="E83" i="36"/>
  <c r="G45" i="36"/>
  <c r="D81" i="36"/>
  <c r="E88" i="36"/>
  <c r="G50" i="36"/>
  <c r="H43" i="36"/>
  <c r="F81" i="36"/>
  <c r="E84" i="36"/>
  <c r="G46" i="36"/>
  <c r="F85" i="36"/>
  <c r="H47" i="36"/>
  <c r="D78" i="36"/>
  <c r="D79" i="36"/>
  <c r="F79" i="36"/>
  <c r="H41" i="36"/>
  <c r="D82" i="36"/>
  <c r="D87" i="36"/>
  <c r="H44" i="36"/>
  <c r="F82" i="36"/>
  <c r="F84" i="36"/>
  <c r="H46" i="36"/>
  <c r="E80" i="36"/>
  <c r="G42" i="36"/>
  <c r="E85" i="36"/>
  <c r="G47" i="36"/>
  <c r="F88" i="36"/>
  <c r="H50" i="36"/>
  <c r="H40" i="36"/>
  <c r="F78" i="36"/>
  <c r="G40" i="36"/>
  <c r="E78" i="36"/>
  <c r="D80" i="36"/>
  <c r="D77" i="36"/>
  <c r="H39" i="36"/>
  <c r="E79" i="36"/>
  <c r="G41" i="36"/>
  <c r="E87" i="36"/>
  <c r="G49" i="36"/>
  <c r="G48" i="36"/>
  <c r="E86" i="36"/>
  <c r="H77" i="36" l="1"/>
  <c r="H83" i="36"/>
  <c r="G82" i="36"/>
  <c r="G86" i="36"/>
  <c r="G80" i="36"/>
  <c r="H85" i="36"/>
  <c r="H80" i="36"/>
  <c r="G78" i="36"/>
  <c r="G85" i="36"/>
  <c r="G84" i="36"/>
  <c r="G88" i="36"/>
  <c r="H86" i="36"/>
  <c r="H87" i="36"/>
  <c r="G77" i="36"/>
  <c r="H88" i="36"/>
  <c r="H79" i="36"/>
  <c r="G87" i="36"/>
  <c r="H82" i="36"/>
  <c r="H81" i="36"/>
  <c r="H84" i="36"/>
  <c r="G79" i="36"/>
  <c r="H78" i="36"/>
  <c r="G81" i="36"/>
  <c r="G83" i="36"/>
  <c r="S12" i="65" l="1"/>
  <c r="O12" i="65" l="1"/>
  <c r="P12" i="65" s="1"/>
  <c r="Y12" i="65" l="1"/>
  <c r="Y2" i="65" l="1"/>
  <c r="AB12" i="65"/>
  <c r="AC12" i="65" s="1"/>
  <c r="AD12" i="65" l="1"/>
  <c r="AF12" i="65"/>
  <c r="AG12" i="65" s="1"/>
  <c r="N170" i="22" l="1"/>
  <c r="P170" i="22" s="1"/>
  <c r="R170" i="22" s="1"/>
  <c r="AF170" i="22" s="1"/>
  <c r="AM12" i="65"/>
  <c r="AM258" i="65" l="1"/>
  <c r="H14" i="73" s="1"/>
  <c r="H18" i="73" s="1"/>
  <c r="N169" i="22"/>
  <c r="P169" i="22" s="1"/>
  <c r="F163" i="36"/>
  <c r="H163" i="36" s="1"/>
  <c r="H203" i="36" s="1"/>
  <c r="H30" i="73" l="1"/>
  <c r="F203" i="36"/>
  <c r="R169" i="22"/>
  <c r="AF169" i="22" s="1"/>
  <c r="F162" i="36"/>
  <c r="B124" i="72"/>
  <c r="BA111" i="22"/>
  <c r="BC111" i="22"/>
  <c r="AY111" i="22"/>
  <c r="AW111" i="22"/>
  <c r="AZ111" i="22"/>
  <c r="BD111" i="22"/>
  <c r="E124" i="72" s="1"/>
  <c r="BB111" i="22"/>
  <c r="D124" i="72" s="1"/>
  <c r="D160" i="72" s="1"/>
  <c r="H12" i="36" l="1"/>
  <c r="H34" i="73"/>
  <c r="H16" i="36"/>
  <c r="H162" i="36"/>
  <c r="H202" i="36" s="1"/>
  <c r="F202" i="36"/>
  <c r="BE111" i="22"/>
  <c r="BF111" i="22" s="1"/>
  <c r="F124" i="72" l="1"/>
  <c r="F160" i="72" s="1"/>
  <c r="J124" i="72" s="1"/>
  <c r="J125" i="72" s="1"/>
  <c r="G8" i="72" l="1"/>
  <c r="F36" i="73" s="1"/>
</calcChain>
</file>

<file path=xl/sharedStrings.xml><?xml version="1.0" encoding="utf-8"?>
<sst xmlns="http://schemas.openxmlformats.org/spreadsheetml/2006/main" count="6476" uniqueCount="1529">
  <si>
    <t>Good</t>
  </si>
  <si>
    <t>Moderate</t>
  </si>
  <si>
    <t>Poor</t>
  </si>
  <si>
    <t>Strategic Significance</t>
  </si>
  <si>
    <t>u1b</t>
  </si>
  <si>
    <t>High</t>
  </si>
  <si>
    <t>Medium</t>
  </si>
  <si>
    <t>V.Low</t>
  </si>
  <si>
    <t>Low</t>
  </si>
  <si>
    <t>V.High</t>
  </si>
  <si>
    <t>Distinctiveness Category</t>
  </si>
  <si>
    <t>Lowland dry acid grassland</t>
  </si>
  <si>
    <t>Upland acid grassland</t>
  </si>
  <si>
    <t>Bracken</t>
  </si>
  <si>
    <t>Other lowland acid grassland</t>
  </si>
  <si>
    <t>Lowland calcareous grassland</t>
  </si>
  <si>
    <t>Upland calcareous grassland</t>
  </si>
  <si>
    <t>Lowland meadows</t>
  </si>
  <si>
    <t>Other neutral grassland</t>
  </si>
  <si>
    <t>Upland mixed ashwoods</t>
  </si>
  <si>
    <t>Lowland beech and yew woodland</t>
  </si>
  <si>
    <t>Wet woodland</t>
  </si>
  <si>
    <t>Upland birchwoods</t>
  </si>
  <si>
    <t>Lowland mixed deciduous woodland</t>
  </si>
  <si>
    <t>Other woodland; broadleaved</t>
  </si>
  <si>
    <t>Native pine woodlands</t>
  </si>
  <si>
    <t>Other Scot's Pine woodland</t>
  </si>
  <si>
    <t>Other coniferous woodland</t>
  </si>
  <si>
    <t>Lowland Heathland</t>
  </si>
  <si>
    <t>Upland Heathland</t>
  </si>
  <si>
    <t>Mountain heaths and willow scrub</t>
  </si>
  <si>
    <t>Blackthorn scrub</t>
  </si>
  <si>
    <t>Hazel scrub</t>
  </si>
  <si>
    <t>Sea buckthorn scrub</t>
  </si>
  <si>
    <t>Bramble scrub</t>
  </si>
  <si>
    <t>Gorse scrub</t>
  </si>
  <si>
    <t>Hawthorn scrub</t>
  </si>
  <si>
    <t>Rhododendron scrub</t>
  </si>
  <si>
    <t>Mixed scrub</t>
  </si>
  <si>
    <t>Blanket bog</t>
  </si>
  <si>
    <t>Lowland raised bog</t>
  </si>
  <si>
    <t>Lowland fens</t>
  </si>
  <si>
    <t>Reedbeds</t>
  </si>
  <si>
    <t>Arable field margins</t>
  </si>
  <si>
    <t>Temporary grass and clover leys</t>
  </si>
  <si>
    <t>Cereal crops</t>
  </si>
  <si>
    <t>Intensive orchards</t>
  </si>
  <si>
    <t>Horticulture</t>
  </si>
  <si>
    <t>Artificial unvegetated, unsealed surface</t>
  </si>
  <si>
    <t>Built linear features</t>
  </si>
  <si>
    <t>Inland rock outcrop and scree habitats</t>
  </si>
  <si>
    <t>Calaminarian grasslands</t>
  </si>
  <si>
    <t>Other inland rock and scree</t>
  </si>
  <si>
    <t>Maritime cliff and slopes</t>
  </si>
  <si>
    <t>Aquifer fed naturally fluctuating water bodies</t>
  </si>
  <si>
    <t>Multiplier</t>
  </si>
  <si>
    <t>Distinctivness Score</t>
  </si>
  <si>
    <t>g1a</t>
  </si>
  <si>
    <t>g1b</t>
  </si>
  <si>
    <t>g1c</t>
  </si>
  <si>
    <t>g1d</t>
  </si>
  <si>
    <t>g2a</t>
  </si>
  <si>
    <t>g2b</t>
  </si>
  <si>
    <t>g3a</t>
  </si>
  <si>
    <t>g3b</t>
  </si>
  <si>
    <t>g3c</t>
  </si>
  <si>
    <t>w1a</t>
  </si>
  <si>
    <t>w1b</t>
  </si>
  <si>
    <t>w1c</t>
  </si>
  <si>
    <t>w1d</t>
  </si>
  <si>
    <t>w1e</t>
  </si>
  <si>
    <t>w1f</t>
  </si>
  <si>
    <t>w1g</t>
  </si>
  <si>
    <t>w1h</t>
  </si>
  <si>
    <t>w2a</t>
  </si>
  <si>
    <t>w2b</t>
  </si>
  <si>
    <t>w2c</t>
  </si>
  <si>
    <t>h1a</t>
  </si>
  <si>
    <t>h1b</t>
  </si>
  <si>
    <t>h1c</t>
  </si>
  <si>
    <t>h3a</t>
  </si>
  <si>
    <t>h3b</t>
  </si>
  <si>
    <t>h3c</t>
  </si>
  <si>
    <t>h3d</t>
  </si>
  <si>
    <t>h3e</t>
  </si>
  <si>
    <t>h3f</t>
  </si>
  <si>
    <t>h3g</t>
  </si>
  <si>
    <t>h3h</t>
  </si>
  <si>
    <t>f1a</t>
  </si>
  <si>
    <t>f1b</t>
  </si>
  <si>
    <t>f2a</t>
  </si>
  <si>
    <t>f2b</t>
  </si>
  <si>
    <t>f2e</t>
  </si>
  <si>
    <t>f2f</t>
  </si>
  <si>
    <t>c1a</t>
  </si>
  <si>
    <t>c1b</t>
  </si>
  <si>
    <t>c1c</t>
  </si>
  <si>
    <t>c1d</t>
  </si>
  <si>
    <t>c1e</t>
  </si>
  <si>
    <t>c1f</t>
  </si>
  <si>
    <t>u1a</t>
  </si>
  <si>
    <t>u1c</t>
  </si>
  <si>
    <t>u1e</t>
  </si>
  <si>
    <t>s1a</t>
  </si>
  <si>
    <t>s1b</t>
  </si>
  <si>
    <t>s1c</t>
  </si>
  <si>
    <t>s1d</t>
  </si>
  <si>
    <t>s2a</t>
  </si>
  <si>
    <t>r1b</t>
  </si>
  <si>
    <t>r1c</t>
  </si>
  <si>
    <t>r1d</t>
  </si>
  <si>
    <t xml:space="preserve">Distinctivness Category </t>
  </si>
  <si>
    <t>Upland hay meadows</t>
  </si>
  <si>
    <t>Upland oakwood</t>
  </si>
  <si>
    <t>Limestone pavement</t>
  </si>
  <si>
    <t>Avoid</t>
  </si>
  <si>
    <t>Condition Multiplier</t>
  </si>
  <si>
    <t>Condition Assesmennt Score</t>
  </si>
  <si>
    <t>N/A -Agricultural</t>
  </si>
  <si>
    <t>N/A - Other</t>
  </si>
  <si>
    <t>Result</t>
  </si>
  <si>
    <t>Fairly Poor</t>
  </si>
  <si>
    <t>Creation</t>
  </si>
  <si>
    <t>Technical Difficulty Creation</t>
  </si>
  <si>
    <t>Technical Difficulty Enhancement</t>
  </si>
  <si>
    <t>Year</t>
  </si>
  <si>
    <t>% of original unit</t>
  </si>
  <si>
    <t>Distinctiveness</t>
  </si>
  <si>
    <t>Fairly Good</t>
  </si>
  <si>
    <t>Time to target Multiplier</t>
  </si>
  <si>
    <t>Sugested Action</t>
  </si>
  <si>
    <t>connectivity</t>
  </si>
  <si>
    <t>score</t>
  </si>
  <si>
    <t>strategic significance</t>
  </si>
  <si>
    <t>Group</t>
  </si>
  <si>
    <t>Grassland</t>
  </si>
  <si>
    <t>Bog</t>
  </si>
  <si>
    <t>Wetland</t>
  </si>
  <si>
    <t>trading notes</t>
  </si>
  <si>
    <t>Area ha</t>
  </si>
  <si>
    <t>Score</t>
  </si>
  <si>
    <t xml:space="preserve">Condition </t>
  </si>
  <si>
    <t>Units Retained</t>
  </si>
  <si>
    <t>Units Lost</t>
  </si>
  <si>
    <t>Assessor Comments</t>
  </si>
  <si>
    <t>Comments</t>
  </si>
  <si>
    <t>Assessor:</t>
  </si>
  <si>
    <t>Automatic lookup</t>
  </si>
  <si>
    <t>Habitat Group</t>
  </si>
  <si>
    <t>Existing Area</t>
  </si>
  <si>
    <t>Existing Value</t>
  </si>
  <si>
    <t>Grassland - Lowland dry acid grassland</t>
  </si>
  <si>
    <t>Grassland - Upland acid grassland</t>
  </si>
  <si>
    <t>Grassland - Other lowland acid grassland</t>
  </si>
  <si>
    <t>Grassland - Lowland calcareous grassland</t>
  </si>
  <si>
    <t>Grassland - Upland calcareous grassland</t>
  </si>
  <si>
    <t>Grassland - Lowland meadows</t>
  </si>
  <si>
    <t>Grassland - Upland hay meadows</t>
  </si>
  <si>
    <t>Grassland - Other neutral grassland</t>
  </si>
  <si>
    <t>Wetland - Reedbeds</t>
  </si>
  <si>
    <t>Group Sub-totals</t>
  </si>
  <si>
    <t>Avoid, Mitigate or Compensate</t>
  </si>
  <si>
    <t>Ref</t>
  </si>
  <si>
    <t>Woodland and forest</t>
  </si>
  <si>
    <t>Heathland and shrub</t>
  </si>
  <si>
    <t>Cropland</t>
  </si>
  <si>
    <t>Urban</t>
  </si>
  <si>
    <t>Sparsely vegetated land</t>
  </si>
  <si>
    <t>Acid grassland</t>
  </si>
  <si>
    <t>Calcareous grassland</t>
  </si>
  <si>
    <t>Neutral grassland</t>
  </si>
  <si>
    <t>Modified grassland</t>
  </si>
  <si>
    <t>Temporal multipliers</t>
  </si>
  <si>
    <t>Terrestrial</t>
  </si>
  <si>
    <t>g</t>
  </si>
  <si>
    <t>g1</t>
  </si>
  <si>
    <t>g2</t>
  </si>
  <si>
    <t>g3</t>
  </si>
  <si>
    <t>g4</t>
  </si>
  <si>
    <t>w</t>
  </si>
  <si>
    <t>w1</t>
  </si>
  <si>
    <t>Broadleaved mixed and yew woodland</t>
  </si>
  <si>
    <t>Other woodland; mixed</t>
  </si>
  <si>
    <t>w2</t>
  </si>
  <si>
    <t>Coniferous woodland</t>
  </si>
  <si>
    <t>h</t>
  </si>
  <si>
    <t>h1</t>
  </si>
  <si>
    <t>Dwarf shrub heath</t>
  </si>
  <si>
    <t>h3</t>
  </si>
  <si>
    <t>Dense scrub</t>
  </si>
  <si>
    <t>f</t>
  </si>
  <si>
    <t>f1</t>
  </si>
  <si>
    <t>f2</t>
  </si>
  <si>
    <t>Fen marsh and swamp</t>
  </si>
  <si>
    <t>Purple moor grass and rush pastures</t>
  </si>
  <si>
    <t>c</t>
  </si>
  <si>
    <t>c1</t>
  </si>
  <si>
    <t>Arable and horticulture</t>
  </si>
  <si>
    <t>Non-cereal crops</t>
  </si>
  <si>
    <t>u</t>
  </si>
  <si>
    <t>u1</t>
  </si>
  <si>
    <t>Built-up areas and gardens</t>
  </si>
  <si>
    <t>Open Mosaic Habitats on Previously Developed Land</t>
  </si>
  <si>
    <t>Developed land; sealed surface</t>
  </si>
  <si>
    <t>s</t>
  </si>
  <si>
    <t>s1</t>
  </si>
  <si>
    <t>Inland rock</t>
  </si>
  <si>
    <t>s2</t>
  </si>
  <si>
    <t>Supralittoral Rock</t>
  </si>
  <si>
    <t>Supralittoral Sediment</t>
  </si>
  <si>
    <t>Freshwater</t>
  </si>
  <si>
    <t>Standing open water and canals</t>
  </si>
  <si>
    <t>Level 1</t>
  </si>
  <si>
    <t>Level 2 code</t>
  </si>
  <si>
    <t>Level 2 Label</t>
  </si>
  <si>
    <t>Level 3 code</t>
  </si>
  <si>
    <t>Level 3 Label</t>
  </si>
  <si>
    <t>Level 4 code</t>
  </si>
  <si>
    <t>Level 4 Label
(Priority Habitats in Bold)</t>
  </si>
  <si>
    <t>Carried forward</t>
  </si>
  <si>
    <t>Vegetated garden</t>
  </si>
  <si>
    <t>Un-vegetated garden</t>
  </si>
  <si>
    <t>Cemeteries and churchyards</t>
  </si>
  <si>
    <t>Allotments</t>
  </si>
  <si>
    <t>Sand pit quarry or open cast mine</t>
  </si>
  <si>
    <t>Extensive green roof</t>
  </si>
  <si>
    <t>Intensive green roof</t>
  </si>
  <si>
    <t>Brown roof</t>
  </si>
  <si>
    <t>Ground based green wall</t>
  </si>
  <si>
    <t>Façade-bound green wall</t>
  </si>
  <si>
    <t>Ground level planters</t>
  </si>
  <si>
    <t>Introduced shrub</t>
  </si>
  <si>
    <t>Sustainable urban drainage feature</t>
  </si>
  <si>
    <t>Bioswale</t>
  </si>
  <si>
    <t>Rain garden</t>
  </si>
  <si>
    <t>Vacant/derelict land/ bareground</t>
  </si>
  <si>
    <t>Wood-pasture and parkland</t>
  </si>
  <si>
    <t>Traditional orchards</t>
  </si>
  <si>
    <t>Felled</t>
  </si>
  <si>
    <t>Other woodland</t>
  </si>
  <si>
    <t>Ephemeral</t>
  </si>
  <si>
    <t>Tall herb communities</t>
  </si>
  <si>
    <t>g5</t>
  </si>
  <si>
    <t>Other grassland</t>
  </si>
  <si>
    <t>Labeling Column</t>
  </si>
  <si>
    <t>Woodland and forest - Other coniferous woodland</t>
  </si>
  <si>
    <t>Urban - Open Mosaic Habitats on Previously Developed Land</t>
  </si>
  <si>
    <t>Woodland and forest - Felled</t>
  </si>
  <si>
    <t>Grassland - Bracken</t>
  </si>
  <si>
    <t>Grassland - Modified grassland</t>
  </si>
  <si>
    <t>Grassland - Tall herb communities</t>
  </si>
  <si>
    <t>Woodland and forest - Upland oakwood</t>
  </si>
  <si>
    <t>Woodland and forest - Upland mixed ashwoods</t>
  </si>
  <si>
    <t>Woodland and forest - Lowland beech and yew woodland</t>
  </si>
  <si>
    <t>Woodland and forest - Wet woodland</t>
  </si>
  <si>
    <t>Woodland and forest - Upland birchwoods</t>
  </si>
  <si>
    <t>Woodland and forest - Lowland mixed deciduous woodland</t>
  </si>
  <si>
    <t>Woodland and forest - Other woodland; broadleaved</t>
  </si>
  <si>
    <t>Woodland and forest - Other woodland; mixed</t>
  </si>
  <si>
    <t>Woodland and forest - Native pine woodlands</t>
  </si>
  <si>
    <t>Woodland and forest - Other Scot's Pine woodland</t>
  </si>
  <si>
    <t>Woodland and forest - Wood-pasture and parkland</t>
  </si>
  <si>
    <t>Heathland and shrub - Lowland Heathland</t>
  </si>
  <si>
    <t>Heathland and shrub - Upland Heathland</t>
  </si>
  <si>
    <t>Heathland and shrub - Mountain heaths and willow scrub</t>
  </si>
  <si>
    <t>Heathland and shrub - Blackthorn scrub</t>
  </si>
  <si>
    <t>Heathland and shrub - Hazel scrub</t>
  </si>
  <si>
    <t>Heathland and shrub - Bramble scrub</t>
  </si>
  <si>
    <t>Heathland and shrub - Gorse scrub</t>
  </si>
  <si>
    <t>Heathland and shrub - Hawthorn scrub</t>
  </si>
  <si>
    <t>Heathland and shrub - Rhododendron scrub</t>
  </si>
  <si>
    <t>Heathland and shrub - Mixed scrub</t>
  </si>
  <si>
    <t>Wetland - Blanket bog</t>
  </si>
  <si>
    <t>Wetland - Lowland raised bog</t>
  </si>
  <si>
    <t>Wetland - Purple moor grass and rush pastures</t>
  </si>
  <si>
    <t>Cropland - Temporary grass and clover leys</t>
  </si>
  <si>
    <t>Cropland - Cereal crops</t>
  </si>
  <si>
    <t>Cropland - Non-cereal crops</t>
  </si>
  <si>
    <t>Cropland - Intensive orchards</t>
  </si>
  <si>
    <t>Cropland - Horticulture</t>
  </si>
  <si>
    <t>Urban - Developed land; sealed surface</t>
  </si>
  <si>
    <t>Urban - Artificial unvegetated, unsealed surface</t>
  </si>
  <si>
    <t>Urban - Built linear features</t>
  </si>
  <si>
    <t>Urban - Vegetated garden</t>
  </si>
  <si>
    <t>Urban - Un-vegetated garden</t>
  </si>
  <si>
    <t>Urban - Vacant/derelict land/ bareground</t>
  </si>
  <si>
    <t>Urban - Cemeteries and churchyards</t>
  </si>
  <si>
    <t>Urban - Allotments</t>
  </si>
  <si>
    <t>Urban - Sand pit quarry or open cast mine</t>
  </si>
  <si>
    <t>Urban - Extensive green roof</t>
  </si>
  <si>
    <t>Urban - Intensive green roof</t>
  </si>
  <si>
    <t>Urban - Brown roof</t>
  </si>
  <si>
    <t>Urban - Ground based green wall</t>
  </si>
  <si>
    <t>Urban - Ground level planters</t>
  </si>
  <si>
    <t>Urban - Introduced shrub</t>
  </si>
  <si>
    <t>Urban - Sustainable urban drainage feature</t>
  </si>
  <si>
    <t>Urban - Bioswale</t>
  </si>
  <si>
    <t>Urban - Rain garden</t>
  </si>
  <si>
    <t>Sparsely vegetated land - Inland rock outcrop and scree habitats</t>
  </si>
  <si>
    <t>Sparsely vegetated land - Limestone pavement</t>
  </si>
  <si>
    <t>Sparsely vegetated land - Calaminarian grasslands</t>
  </si>
  <si>
    <t>Sparsely vegetated land - Other inland rock and scree</t>
  </si>
  <si>
    <t>Sparsely vegetated land - Maritime cliff and slopes</t>
  </si>
  <si>
    <t>Distinctivness categories</t>
  </si>
  <si>
    <t>Condition categories</t>
  </si>
  <si>
    <t>Net area change</t>
  </si>
  <si>
    <t>Net unit change</t>
  </si>
  <si>
    <t>Habitat</t>
  </si>
  <si>
    <t>Hedgerow type</t>
  </si>
  <si>
    <t>Length km</t>
  </si>
  <si>
    <t>Distinctivness</t>
  </si>
  <si>
    <t>Difficulty</t>
  </si>
  <si>
    <t>Fairly Poor - Fairly Good</t>
  </si>
  <si>
    <t>Poor - Fairly Good</t>
  </si>
  <si>
    <t>Poor - Moderate</t>
  </si>
  <si>
    <t>Poor - Good</t>
  </si>
  <si>
    <t>Fairly Poor - Good</t>
  </si>
  <si>
    <t>Fairly Good - Good</t>
  </si>
  <si>
    <t>Moderate - Fairly Good</t>
  </si>
  <si>
    <t>Fairly Poor - Moderate</t>
  </si>
  <si>
    <t>Poor - Fairly Poor</t>
  </si>
  <si>
    <t>Moderate - Good</t>
  </si>
  <si>
    <t>Native Species Rich Hedgerow with trees</t>
  </si>
  <si>
    <t>Native Species Rich Hedgerow</t>
  </si>
  <si>
    <t>Native Hedgerow</t>
  </si>
  <si>
    <t>Native Hedgerow with trees</t>
  </si>
  <si>
    <t>Line of Trees (Ecologically Valuable) - with Bank or Ditch</t>
  </si>
  <si>
    <t>Line of Trees (Ecologically Valuable)</t>
  </si>
  <si>
    <t>Creation - Years to Target Condition</t>
  </si>
  <si>
    <t>Enhancement  - Years to Target Condition</t>
  </si>
  <si>
    <t>Condition Category</t>
  </si>
  <si>
    <t>Condition Score</t>
  </si>
  <si>
    <t>Condition</t>
  </si>
  <si>
    <t>Hide</t>
  </si>
  <si>
    <t>Risk</t>
  </si>
  <si>
    <t xml:space="preserve">High strategic significance </t>
  </si>
  <si>
    <t>Low Strategic Significance</t>
  </si>
  <si>
    <t>Description</t>
  </si>
  <si>
    <t xml:space="preserve">Medium strategic significance </t>
  </si>
  <si>
    <t>Suggested Action</t>
  </si>
  <si>
    <t>category</t>
  </si>
  <si>
    <t>value</t>
  </si>
  <si>
    <t>Very High</t>
  </si>
  <si>
    <t>Category</t>
  </si>
  <si>
    <t>Compensation inside LPA or NCA, or deemed to be sufficiently local, to site of biodiversity loss</t>
  </si>
  <si>
    <t>Encroachment into riparian zone</t>
  </si>
  <si>
    <t>multiplier</t>
  </si>
  <si>
    <t>Encroachment</t>
  </si>
  <si>
    <t>Strategic multiplier</t>
  </si>
  <si>
    <t>Description of multiplier</t>
  </si>
  <si>
    <t>Outside Catchment</t>
  </si>
  <si>
    <t>Spatial</t>
  </si>
  <si>
    <t>Delivery within Local Plans</t>
  </si>
  <si>
    <t>Delivery within River Basin Management Plan</t>
  </si>
  <si>
    <t>Delivery within Catchment Plans</t>
  </si>
  <si>
    <t>Delivery within Catchment Planning System</t>
  </si>
  <si>
    <t>Delivery within Priority Habitats for Restoration</t>
  </si>
  <si>
    <t>Total site area ha</t>
  </si>
  <si>
    <t>Total Site baseline</t>
  </si>
  <si>
    <t>Baseline Habitats</t>
  </si>
  <si>
    <t>Condition movement</t>
  </si>
  <si>
    <t>Lower Distinctiveness Habitat</t>
  </si>
  <si>
    <t>Strategic significance</t>
  </si>
  <si>
    <t>Existing Units retained on site</t>
  </si>
  <si>
    <t>Existing area Lost  on site</t>
  </si>
  <si>
    <t>Total proposed area on site post development</t>
  </si>
  <si>
    <t>Total proposed units onsite post development</t>
  </si>
  <si>
    <t>Overall area change</t>
  </si>
  <si>
    <t>length KM</t>
  </si>
  <si>
    <t>Length KM</t>
  </si>
  <si>
    <t>New hedge number</t>
  </si>
  <si>
    <t>Street Tree</t>
  </si>
  <si>
    <t>Broad Habitat</t>
  </si>
  <si>
    <t>Woodland</t>
  </si>
  <si>
    <t>Cropland - Arable field margins tussocky</t>
  </si>
  <si>
    <t>Cropland - Arable field margins cultivated annually</t>
  </si>
  <si>
    <t>Cropland - Arable field margins pollen &amp; nectar</t>
  </si>
  <si>
    <t>Cropland - Cereal crops winter stubble</t>
  </si>
  <si>
    <t>Cropland - Arable field margins game bird mix</t>
  </si>
  <si>
    <t>Cropland - Cereal crops other</t>
  </si>
  <si>
    <t>Total Units</t>
  </si>
  <si>
    <t>Project name:</t>
  </si>
  <si>
    <t>Adur and Worthing Borough Council</t>
  </si>
  <si>
    <t>Adur District Council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</si>
  <si>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</si>
  <si>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</si>
  <si>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</si>
  <si>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</si>
  <si>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</si>
  <si>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Aylesbury Vale District Council</t>
  </si>
  <si>
    <t>Babergh District Council</t>
  </si>
  <si>
    <t>Barnsley Metropolitan Borough Council</t>
  </si>
  <si>
    <t>Barrow-in-Furness Borough Council</t>
  </si>
  <si>
    <t>Basildon Borough Council</t>
  </si>
  <si>
    <t>Basingstoke and Deane Borough Council</t>
  </si>
  <si>
    <t>Bassetlaw District Council</t>
  </si>
  <si>
    <t>Bath and North East Somerset Council</t>
  </si>
  <si>
    <t>Bedford Borough Council</t>
  </si>
  <si>
    <t>Birmingham City Council</t>
  </si>
  <si>
    <t>Blaby District Council</t>
  </si>
  <si>
    <t>Blackburn with Darwen Borough Council</t>
  </si>
  <si>
    <t>Blackpool Borough Council</t>
  </si>
  <si>
    <t>Blaenau Gwent County Borough Council</t>
  </si>
  <si>
    <t>Bolsover District Council</t>
  </si>
  <si>
    <t>Bolton Metropolitan Borough Council</t>
  </si>
  <si>
    <t>Borough of Broxbourne</t>
  </si>
  <si>
    <t>Borough of Poole</t>
  </si>
  <si>
    <t>Boston Borough Council</t>
  </si>
  <si>
    <t>Bournemouth Borough Council</t>
  </si>
  <si>
    <t>Bracknell Forest Council</t>
  </si>
  <si>
    <t>Bradford Metropolitan District Council</t>
  </si>
  <si>
    <t>Braintree District Council</t>
  </si>
  <si>
    <t>Breckland District Council</t>
  </si>
  <si>
    <t>Brentwood Borough Council</t>
  </si>
  <si>
    <t>Bridgend County Borough Council</t>
  </si>
  <si>
    <t>Brighton and Hove City Council</t>
  </si>
  <si>
    <t>Bristol City Council</t>
  </si>
  <si>
    <t>Broadland District Council</t>
  </si>
  <si>
    <t>Bromsgrove District Council</t>
  </si>
  <si>
    <t>Broxtowe Borough Council</t>
  </si>
  <si>
    <t>Buckinghamshire County Council</t>
  </si>
  <si>
    <t>Burnley Borough Council</t>
  </si>
  <si>
    <t>Bury Metropolitan Borough Council</t>
  </si>
  <si>
    <t>Caerphilly County Borough Council</t>
  </si>
  <si>
    <t>Calderdale Metropolitan Borough Council</t>
  </si>
  <si>
    <t>Cambridge City Council</t>
  </si>
  <si>
    <t>Cambridgeshire County Council</t>
  </si>
  <si>
    <t>Cannock Chase District Council</t>
  </si>
  <si>
    <t>Canterbury City Council</t>
  </si>
  <si>
    <t>Cardiff Council</t>
  </si>
  <si>
    <t>Carlisle City Council</t>
  </si>
  <si>
    <t>Carmarthenshire County Council</t>
  </si>
  <si>
    <t>Castle Point Borough Council</t>
  </si>
  <si>
    <t>Central Bedfordshire Council</t>
  </si>
  <si>
    <t>Ceredigion County Council</t>
  </si>
  <si>
    <t>Charnwood Borough Council</t>
  </si>
  <si>
    <t>Chelmsford City Council</t>
  </si>
  <si>
    <t>Cheltenham Borough Council</t>
  </si>
  <si>
    <t>Cherwell District Council</t>
  </si>
  <si>
    <t>Cheshire East Council (Unitary)</t>
  </si>
  <si>
    <t>Cheshire West and Chester Council</t>
  </si>
  <si>
    <t>Chesterfield Borough Council</t>
  </si>
  <si>
    <t>Chichester District Council</t>
  </si>
  <si>
    <t>Chiltern District Council</t>
  </si>
  <si>
    <t>Chorley Council</t>
  </si>
  <si>
    <t>Christchurch Borough Council</t>
  </si>
  <si>
    <t>City of Lincoln Council</t>
  </si>
  <si>
    <t>City of London</t>
  </si>
  <si>
    <t>City of York Council</t>
  </si>
  <si>
    <t>Colchester Borough Council</t>
  </si>
  <si>
    <t>Conwy County Borough Council</t>
  </si>
  <si>
    <t>Copeland Borough Council</t>
  </si>
  <si>
    <t>Corby Borough Council</t>
  </si>
  <si>
    <t>Cornwall Council (Unitary)</t>
  </si>
  <si>
    <t>Cotswold District Council</t>
  </si>
  <si>
    <t>Coventry City Council</t>
  </si>
  <si>
    <t>Craven District Council</t>
  </si>
  <si>
    <t>Crawley Borough Council</t>
  </si>
  <si>
    <t>Cumbria County Council</t>
  </si>
  <si>
    <t>Dacorum Council</t>
  </si>
  <si>
    <t>Darlington Borough Council</t>
  </si>
  <si>
    <t>Dartford Borough Council</t>
  </si>
  <si>
    <t>Daventry District Council</t>
  </si>
  <si>
    <t>Denbighshire County Council</t>
  </si>
  <si>
    <t>Derby City Council</t>
  </si>
  <si>
    <t>Derbyshire County Council</t>
  </si>
  <si>
    <t>Derbyshire Dales District Council</t>
  </si>
  <si>
    <t>Devon County Council</t>
  </si>
  <si>
    <t>Doncaster Metropolitan Borough Council</t>
  </si>
  <si>
    <t>Dorset County Council</t>
  </si>
  <si>
    <t>Dover District Council</t>
  </si>
  <si>
    <t>Dudley Metropolitan Borough Council</t>
  </si>
  <si>
    <t>Durham County Council</t>
  </si>
  <si>
    <t>East Cambridgeshire District Council</t>
  </si>
  <si>
    <t>East Devon District Council</t>
  </si>
  <si>
    <t>East Dorset District Council</t>
  </si>
  <si>
    <t>East Hampshire District Council</t>
  </si>
  <si>
    <t>East Hertfordshire District Council</t>
  </si>
  <si>
    <t>East Lindsey District Council</t>
  </si>
  <si>
    <t>East Northamptonshire Council</t>
  </si>
  <si>
    <t>East Riding of Yorkshire Council</t>
  </si>
  <si>
    <t>East Staffordshire Borough Council</t>
  </si>
  <si>
    <t>East Sussex County Council</t>
  </si>
  <si>
    <t>Eastbourne Borough Council</t>
  </si>
  <si>
    <t>Eastleigh Borough Council</t>
  </si>
  <si>
    <t>Eden District Council</t>
  </si>
  <si>
    <t>Elmbridge Borough Council</t>
  </si>
  <si>
    <t>Epping Forest District Council</t>
  </si>
  <si>
    <t>Epsom and Ewell Borough Council</t>
  </si>
  <si>
    <t>Erewash Borough Council</t>
  </si>
  <si>
    <t>Essex County Council</t>
  </si>
  <si>
    <t>Exeter City Council</t>
  </si>
  <si>
    <t>Fareham Borough Council</t>
  </si>
  <si>
    <t>Fenland District Council</t>
  </si>
  <si>
    <t>Flintshire County Council</t>
  </si>
  <si>
    <t>Forest Heath District Council</t>
  </si>
  <si>
    <t>Forest of Dean District Council</t>
  </si>
  <si>
    <t>Fylde Borough Council</t>
  </si>
  <si>
    <t>Gateshead Metropolitan Borough Council</t>
  </si>
  <si>
    <t>Gedling Borough Council</t>
  </si>
  <si>
    <t>Gloucester City Council</t>
  </si>
  <si>
    <t>Gloucestershire County Council</t>
  </si>
  <si>
    <t>Gosport Borough Council</t>
  </si>
  <si>
    <t>Gravesham Borough Council</t>
  </si>
  <si>
    <t>Great Yarmouth Borough Council</t>
  </si>
  <si>
    <t>Guildford Borough Council</t>
  </si>
  <si>
    <t>Gwynedd County Council</t>
  </si>
  <si>
    <t>Halton Borough Council</t>
  </si>
  <si>
    <t>Hambleton District Council</t>
  </si>
  <si>
    <t>Hampshire County Council</t>
  </si>
  <si>
    <t>Harborough District Council</t>
  </si>
  <si>
    <t>Harlow Council</t>
  </si>
  <si>
    <t>Harrogate Borough Council</t>
  </si>
  <si>
    <t>Hart District Council</t>
  </si>
  <si>
    <t>Hartlepool Borough Council</t>
  </si>
  <si>
    <t>Hastings Borough Council</t>
  </si>
  <si>
    <t>Havant Borough Council</t>
  </si>
  <si>
    <t>Herefordshire Council</t>
  </si>
  <si>
    <t>Hertfordshire County Council</t>
  </si>
  <si>
    <t>Hertsmere Borough Council</t>
  </si>
  <si>
    <t>High Peak Borough Council</t>
  </si>
  <si>
    <t>Hinckley and Bosworth Borough Council</t>
  </si>
  <si>
    <t>Horsham District Council</t>
  </si>
  <si>
    <t>Huntingdonshire District Council</t>
  </si>
  <si>
    <t>Hyndburn Borough Council</t>
  </si>
  <si>
    <t>Ipswich Borough Council</t>
  </si>
  <si>
    <t>Isle of Anglesey County Council</t>
  </si>
  <si>
    <t>Isle of Wight Council</t>
  </si>
  <si>
    <t>Isles of Scilly</t>
  </si>
  <si>
    <t>Kent County Council</t>
  </si>
  <si>
    <t>Kettering Borough Council</t>
  </si>
  <si>
    <t>King's Lynn and West Norfolk Borough Council</t>
  </si>
  <si>
    <t>Kingston-upon-Hull City Council</t>
  </si>
  <si>
    <t>Kirklees Council</t>
  </si>
  <si>
    <t>Knowsley Metropolitan Borough Council</t>
  </si>
  <si>
    <t>Lancashire County Council</t>
  </si>
  <si>
    <t>Lancaster City Council</t>
  </si>
  <si>
    <t>Leeds City Council</t>
  </si>
  <si>
    <t>Leicester City Council</t>
  </si>
  <si>
    <t>Leicestershire County Council</t>
  </si>
  <si>
    <t>Lewes District Council</t>
  </si>
  <si>
    <t>Lichfield District Council</t>
  </si>
  <si>
    <t>Lincolnshire County Council</t>
  </si>
  <si>
    <t>Liverpool City Council</t>
  </si>
  <si>
    <t>London Borough of Barking and Dagenham</t>
  </si>
  <si>
    <t>London Borough of Barnet</t>
  </si>
  <si>
    <t>London Borough of Bexley</t>
  </si>
  <si>
    <t>London Borough of Brent</t>
  </si>
  <si>
    <t>London Borough of Bromley</t>
  </si>
  <si>
    <t>London Borough of Camden</t>
  </si>
  <si>
    <t>London Borough of Croydon</t>
  </si>
  <si>
    <t>London Borough of Ealing</t>
  </si>
  <si>
    <t>London Borough of Enfield</t>
  </si>
  <si>
    <t>London Borough of Hackney</t>
  </si>
  <si>
    <t>London Borough of Hammersmith &amp; Fulham</t>
  </si>
  <si>
    <t>London Borough of Haringey</t>
  </si>
  <si>
    <t>London Borough of Harrow</t>
  </si>
  <si>
    <t>London Borough of Havering</t>
  </si>
  <si>
    <t>London Borough of Hillingdon</t>
  </si>
  <si>
    <t>London Borough of Hounslow</t>
  </si>
  <si>
    <t>London Borough of Islington</t>
  </si>
  <si>
    <t>London Borough of Lambeth</t>
  </si>
  <si>
    <t>London Borough of Lewisham</t>
  </si>
  <si>
    <t>London Borough of Merton</t>
  </si>
  <si>
    <t>London Borough of Newham</t>
  </si>
  <si>
    <t>London Borough of Redbridge</t>
  </si>
  <si>
    <t>London Borough of Richmond upon Thames</t>
  </si>
  <si>
    <t>London Borough of Southwark</t>
  </si>
  <si>
    <t>London Borough of Sutton</t>
  </si>
  <si>
    <t>London Borough of Tower Hamlets</t>
  </si>
  <si>
    <t>London Borough of Waltham Forest</t>
  </si>
  <si>
    <t>London Borough of Wandsworth</t>
  </si>
  <si>
    <t>Luton Borough Council</t>
  </si>
  <si>
    <t>Maidstone Borough Council</t>
  </si>
  <si>
    <t>Maldon District Council</t>
  </si>
  <si>
    <t>Malvern Hills District Council</t>
  </si>
  <si>
    <t>Manchester City Council</t>
  </si>
  <si>
    <t>Mansfield District Council</t>
  </si>
  <si>
    <t>Medway Council</t>
  </si>
  <si>
    <t>Melton Borough Council</t>
  </si>
  <si>
    <t>Mendip District Council</t>
  </si>
  <si>
    <t>Merthyr Tydfil County Borough Council</t>
  </si>
  <si>
    <t>Mid Devon District Council</t>
  </si>
  <si>
    <t>Mid Suffolk District Council</t>
  </si>
  <si>
    <t>Mid Sussex District Council</t>
  </si>
  <si>
    <t>Middlesbrough Borough Council</t>
  </si>
  <si>
    <t>Milton Keynes</t>
  </si>
  <si>
    <t>Mole Valley District Council</t>
  </si>
  <si>
    <t>Monmouthshire County Council</t>
  </si>
  <si>
    <t>Neath Port Talbot County Borough Council</t>
  </si>
  <si>
    <t>New Forest District Council</t>
  </si>
  <si>
    <t>Newark and Sherwood District Council</t>
  </si>
  <si>
    <t>Newcastle-Under-Lyme District Council</t>
  </si>
  <si>
    <t>Newport City Council</t>
  </si>
  <si>
    <t>Newcastle-upon-Tyne City Council</t>
  </si>
  <si>
    <t>Norfolk County Council</t>
  </si>
  <si>
    <t>North Devon Council</t>
  </si>
  <si>
    <t>North Dorset District Council</t>
  </si>
  <si>
    <t>North East Derbyshire District Council</t>
  </si>
  <si>
    <t>North East Lincolnshire Council</t>
  </si>
  <si>
    <t>North Hertfordshire District Council</t>
  </si>
  <si>
    <t>North Kesteven District Council</t>
  </si>
  <si>
    <t>North Lincolnshire Council</t>
  </si>
  <si>
    <t>North Norfolk District Council</t>
  </si>
  <si>
    <t>North Somerset Council</t>
  </si>
  <si>
    <t>North Tyneside Metropolitan Borough Council</t>
  </si>
  <si>
    <t>North Warwickshire Borough Council</t>
  </si>
  <si>
    <t>North West Leicestershire District Council</t>
  </si>
  <si>
    <t>North Yorkshire County Council</t>
  </si>
  <si>
    <t>Northampton Borough Council</t>
  </si>
  <si>
    <t>Northamptonshire County Council</t>
  </si>
  <si>
    <t>Northumberland Council</t>
  </si>
  <si>
    <t>Norwich City Council</t>
  </si>
  <si>
    <t>Nottingham City Council</t>
  </si>
  <si>
    <t>Nottinghamshire County Council</t>
  </si>
  <si>
    <t>Nuneaton and Bedworth Borough Council</t>
  </si>
  <si>
    <t>Oadby and Wigston District Council</t>
  </si>
  <si>
    <t>Oldham Metropolitan Borough Council</t>
  </si>
  <si>
    <t>Oxford City Council</t>
  </si>
  <si>
    <t>Oxfordshire County Council</t>
  </si>
  <si>
    <t>Pembrokeshire County Council</t>
  </si>
  <si>
    <t>Pendle Borough Council</t>
  </si>
  <si>
    <t>Perth and Kinross Council</t>
  </si>
  <si>
    <t>Peterborough City Council</t>
  </si>
  <si>
    <t>Plymouth City Council</t>
  </si>
  <si>
    <t>Portsmouth City Council</t>
  </si>
  <si>
    <t>Powys County Council</t>
  </si>
  <si>
    <t>Preston City Council</t>
  </si>
  <si>
    <t>Purbeck District Council</t>
  </si>
  <si>
    <t>Reading Borough Council</t>
  </si>
  <si>
    <t>Redcar and Cleveland Council</t>
  </si>
  <si>
    <t>Redditch Borough Council</t>
  </si>
  <si>
    <t>Reigate &amp; Banstead Borough Council</t>
  </si>
  <si>
    <t>Rhondda Cynon Taf County Borough Council</t>
  </si>
  <si>
    <t>Ribble Valley Borough Council</t>
  </si>
  <si>
    <t>Richmondshire District Council</t>
  </si>
  <si>
    <t>Rochdale Metropolitan Borough Council</t>
  </si>
  <si>
    <t>Rochford District Council</t>
  </si>
  <si>
    <t>Rossendale Borough Council</t>
  </si>
  <si>
    <t>Rother District Council</t>
  </si>
  <si>
    <t>Rotherham Metropolitan Borough Council</t>
  </si>
  <si>
    <t>Royal Borough of Greenwich</t>
  </si>
  <si>
    <t>Royal Borough of Kensington and Chelsea</t>
  </si>
  <si>
    <t>Royal Borough of Kingston upon Thames</t>
  </si>
  <si>
    <t>Royal Borough of Windsor and Maidenhead</t>
  </si>
  <si>
    <t>Rugby Borough Council</t>
  </si>
  <si>
    <t>Runnymede Borough Council</t>
  </si>
  <si>
    <t>Rushcliffe Borough Council</t>
  </si>
  <si>
    <t>Rushmoor Borough Council</t>
  </si>
  <si>
    <t>Rutland County Council</t>
  </si>
  <si>
    <t>Ryedale District Council</t>
  </si>
  <si>
    <t>Salford City Council</t>
  </si>
  <si>
    <t>Sandwell Metropolitan Borough Council</t>
  </si>
  <si>
    <t>Scarborough Borough Council</t>
  </si>
  <si>
    <t>Sedgemoor District Council</t>
  </si>
  <si>
    <t>Sefton Metropolitan Borough Council</t>
  </si>
  <si>
    <t>Selby District Council</t>
  </si>
  <si>
    <t>Sevenoaks District Council</t>
  </si>
  <si>
    <t>Sheffield City Council</t>
  </si>
  <si>
    <t>Shepway District Council</t>
  </si>
  <si>
    <t>Shropshire Council - Unitary</t>
  </si>
  <si>
    <t>Slough Borough Council</t>
  </si>
  <si>
    <t>Solihull Metropolitan Borough Council</t>
  </si>
  <si>
    <t>Somerset County Council</t>
  </si>
  <si>
    <t>South Buckinghamshire District Council</t>
  </si>
  <si>
    <t>South Cambridgeshire District Council</t>
  </si>
  <si>
    <t>South Derbyshire District Council</t>
  </si>
  <si>
    <t>South Gloucestershire Council</t>
  </si>
  <si>
    <t>South Hams District Council</t>
  </si>
  <si>
    <t>South Holland District Council</t>
  </si>
  <si>
    <t>South Kesteven District Council</t>
  </si>
  <si>
    <t>South Lakeland District Council</t>
  </si>
  <si>
    <t>South Norfolk District Council</t>
  </si>
  <si>
    <t>South Northamptonshire Council</t>
  </si>
  <si>
    <t>South Oxfordshire District Council</t>
  </si>
  <si>
    <t>South Ribble Borough Council</t>
  </si>
  <si>
    <t>South Somerset District Council</t>
  </si>
  <si>
    <t>South Staffordshire Council</t>
  </si>
  <si>
    <t>South Tyneside Council</t>
  </si>
  <si>
    <t>Southampton City Council</t>
  </si>
  <si>
    <t>Southend-on-Sea Borough Council</t>
  </si>
  <si>
    <t>Spelthorne Borough Council</t>
  </si>
  <si>
    <t>St Albans City and District Council</t>
  </si>
  <si>
    <t>St Edmundsbury Borough Council</t>
  </si>
  <si>
    <t>St Helens Metropolitan Borough Council</t>
  </si>
  <si>
    <t>Stafford Borough Council</t>
  </si>
  <si>
    <t>Staffordshire County Council</t>
  </si>
  <si>
    <t>Staffordshire Moorlands District Council</t>
  </si>
  <si>
    <t>Stevenage Borough Council</t>
  </si>
  <si>
    <t>Stockport Metropolitan Borough Council</t>
  </si>
  <si>
    <t>Stockton-on-Tees Borough Council</t>
  </si>
  <si>
    <t>Stoke-on-Trent City Council</t>
  </si>
  <si>
    <t>Strabane District Council</t>
  </si>
  <si>
    <t>Stratford-on-Avon District Council</t>
  </si>
  <si>
    <t>Stroud District Council</t>
  </si>
  <si>
    <t>Suffolk Coastal District Council</t>
  </si>
  <si>
    <t>Suffolk County Council</t>
  </si>
  <si>
    <t>Sunderland City Council</t>
  </si>
  <si>
    <t>Surrey County Council</t>
  </si>
  <si>
    <t>Surrey Heath Borough Council</t>
  </si>
  <si>
    <t>Swale Borough Council</t>
  </si>
  <si>
    <t>Swansea City and Borough Council</t>
  </si>
  <si>
    <t>Swindon Borough Council</t>
  </si>
  <si>
    <t>Tameside Metropolitan Borough Council</t>
  </si>
  <si>
    <t>Tamworth Borough Council</t>
  </si>
  <si>
    <t>Tandridge District Council</t>
  </si>
  <si>
    <t>Taunton Deane Borough Council</t>
  </si>
  <si>
    <t>Teignbridge District Council</t>
  </si>
  <si>
    <t>Telford &amp; Wrekin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</si>
  <si>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</si>
  <si>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</si>
  <si>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</si>
  <si>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</si>
  <si>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</si>
  <si>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Thurrock Council</t>
  </si>
  <si>
    <t>Tonbridge and Malling Borough Council</t>
  </si>
  <si>
    <t>Torbay Council</t>
  </si>
  <si>
    <t>Torfaen County Borough Council</t>
  </si>
  <si>
    <t>Torridge District Council</t>
  </si>
  <si>
    <t>Trafford Metropolitan Borough Council</t>
  </si>
  <si>
    <t>Tunbridge Wells Borough Council</t>
  </si>
  <si>
    <t>Uttlesford District Council</t>
  </si>
  <si>
    <t>Vale of Glamorgan Council</t>
  </si>
  <si>
    <t>Vale of White Horse District Council</t>
  </si>
  <si>
    <t>Wakefield Metropolitan District Council</t>
  </si>
  <si>
    <t>Walsall Metropolitan Borough Council</t>
  </si>
  <si>
    <t>Warrington Borough Council</t>
  </si>
  <si>
    <t>Warwick District Council</t>
  </si>
  <si>
    <t>Warwickshire County Council</t>
  </si>
  <si>
    <t>Watford Borough Council</t>
  </si>
  <si>
    <t>Waveney District Council</t>
  </si>
  <si>
    <t>Waverley Borough Council</t>
  </si>
  <si>
    <t>Wealden District Council</t>
  </si>
  <si>
    <t>Wellingborough Borough Council</t>
  </si>
  <si>
    <t>Welwyn Hatfield Council</t>
  </si>
  <si>
    <t>West Berkshire Council</t>
  </si>
  <si>
    <t>West Devon Borough Council</t>
  </si>
  <si>
    <t>West Dorset District Council</t>
  </si>
  <si>
    <t>West Lancashire Borough Council</t>
  </si>
  <si>
    <t>West Lindsey District Council</t>
  </si>
  <si>
    <t>West Oxfordshire District Council</t>
  </si>
  <si>
    <t>West Somerset District Council</t>
  </si>
  <si>
    <t>West Sussex County Council</t>
  </si>
  <si>
    <t>Westminster City Council</t>
  </si>
  <si>
    <t>Weymouth and Portland Borough Council</t>
  </si>
  <si>
    <t>Wigan Metropolitan Borough Council</t>
  </si>
  <si>
    <t>Wiltshire Council</t>
  </si>
  <si>
    <t>Winchester City Council</t>
  </si>
  <si>
    <t>Wirral Council</t>
  </si>
  <si>
    <t>Woking Borough Council</t>
  </si>
  <si>
    <t>Wokingham Borough Council</t>
  </si>
  <si>
    <t>Wolverhampton City Council</t>
  </si>
  <si>
    <t>Worcester City Council</t>
  </si>
  <si>
    <t>Worcestershire County Council</t>
  </si>
  <si>
    <t>Wrexham County Borough Council</t>
  </si>
  <si>
    <t>Wychavon District Council</t>
  </si>
  <si>
    <t>Wycombe District Council</t>
  </si>
  <si>
    <t>Wyre Council</t>
  </si>
  <si>
    <t>Wyre Forest District Council</t>
  </si>
  <si>
    <t>Local Authority List</t>
  </si>
  <si>
    <t>Application type</t>
  </si>
  <si>
    <t>Householder planning consent</t>
  </si>
  <si>
    <t>Full planning consent;</t>
  </si>
  <si>
    <t>Outline planning consent</t>
  </si>
  <si>
    <t>Reserved Matters</t>
  </si>
  <si>
    <t>Listed building consent</t>
  </si>
  <si>
    <t>Advertisement consent</t>
  </si>
  <si>
    <t>Lawful Development Certificate (LDC)</t>
  </si>
  <si>
    <t>Prior notification </t>
  </si>
  <si>
    <t>Removal/variation of conditions</t>
  </si>
  <si>
    <t>Approval of conditions</t>
  </si>
  <si>
    <t>Consent under Tree Preservation Orders </t>
  </si>
  <si>
    <t>Notification of proposed works to trees in conservation areas</t>
  </si>
  <si>
    <t>Application for non-material amendments</t>
  </si>
  <si>
    <t>Hybrid planning consent</t>
  </si>
  <si>
    <t>Proposed Area On Site</t>
  </si>
  <si>
    <t>Proposed Value On Site</t>
  </si>
  <si>
    <t>On Site Area Change</t>
  </si>
  <si>
    <t>On Site  Unit Change</t>
  </si>
  <si>
    <t>Proposed Area Off Site</t>
  </si>
  <si>
    <t>Proposed Value Off Site</t>
  </si>
  <si>
    <t>Distcinctivness Band Sub-totals</t>
  </si>
  <si>
    <t>Very Low</t>
  </si>
  <si>
    <t>unit change including offsite</t>
  </si>
  <si>
    <t>units required offsite</t>
  </si>
  <si>
    <t>Existing Value Lost</t>
  </si>
  <si>
    <t>Lower Distinctiveness Habitat - N/A - Other</t>
  </si>
  <si>
    <t>Lower Distinctiveness Habitat - N/A -Agricultural</t>
  </si>
  <si>
    <t>Lower Distinctiveness Habitat - Poor</t>
  </si>
  <si>
    <t>Lower Distinctiveness Habitat - Fairly Poor</t>
  </si>
  <si>
    <t>Lower Distinctiveness Habitat - Moderate</t>
  </si>
  <si>
    <t>Lower Distinctiveness Habitat - Fairly Good</t>
  </si>
  <si>
    <t>Lower Distinctiveness Habitat - Good</t>
  </si>
  <si>
    <t>Good - Good</t>
  </si>
  <si>
    <t>Totals</t>
  </si>
  <si>
    <t>Applicant:</t>
  </si>
  <si>
    <t>Summary Figures</t>
  </si>
  <si>
    <t>Habitats</t>
  </si>
  <si>
    <t>Rivers</t>
  </si>
  <si>
    <t>River type</t>
  </si>
  <si>
    <t>Retained</t>
  </si>
  <si>
    <t>Enhanced</t>
  </si>
  <si>
    <t>Succession</t>
  </si>
  <si>
    <t>retention cat checks</t>
  </si>
  <si>
    <t>line number</t>
  </si>
  <si>
    <t>Hedgerows</t>
  </si>
  <si>
    <t>Within River Basin Management Plan</t>
  </si>
  <si>
    <t>Within Catchment Plans</t>
  </si>
  <si>
    <t>Within Priority Habitats for Restoration</t>
  </si>
  <si>
    <t>Yes</t>
  </si>
  <si>
    <t>No</t>
  </si>
  <si>
    <t>Loss Unacceptable</t>
  </si>
  <si>
    <t>Street trees</t>
  </si>
  <si>
    <t>Tree size</t>
  </si>
  <si>
    <t>Small</t>
  </si>
  <si>
    <t>Large</t>
  </si>
  <si>
    <t>RPA Radius M</t>
  </si>
  <si>
    <t>Diameter M</t>
  </si>
  <si>
    <t>RPA ha</t>
  </si>
  <si>
    <t>HIDDEN - NOT SHOWN BY BUTTON</t>
  </si>
  <si>
    <t xml:space="preserve">Total proposed units offsite </t>
  </si>
  <si>
    <t>Existing units offsite</t>
  </si>
  <si>
    <t>Total</t>
  </si>
  <si>
    <t>Other Sea buckthorn scrub</t>
  </si>
  <si>
    <t>Floodplain Wetland Mosaic</t>
  </si>
  <si>
    <t xml:space="preserve"> lakes - Aquifer fed naturally fluctuating water bodies</t>
  </si>
  <si>
    <t>Lakes - Low alkalinity lakes</t>
  </si>
  <si>
    <t>Lakes - Moderate alkalinity lakes</t>
  </si>
  <si>
    <t>Lakes - High alkalinity lakes</t>
  </si>
  <si>
    <t>Lakes - Marl Lakes</t>
  </si>
  <si>
    <t>Lakes - Peat Lakes</t>
  </si>
  <si>
    <t>Lakes - Temporary lakes, ponds and pools</t>
  </si>
  <si>
    <t>Not Possible</t>
  </si>
  <si>
    <t>N/A</t>
  </si>
  <si>
    <t xml:space="preserve">Tree number </t>
  </si>
  <si>
    <t>Lakes</t>
  </si>
  <si>
    <t>area lost</t>
  </si>
  <si>
    <t xml:space="preserve">Project wide Unit Change </t>
  </si>
  <si>
    <t>`</t>
  </si>
  <si>
    <t>All Habitats Based on UKHab</t>
  </si>
  <si>
    <t>Baseline ref</t>
  </si>
  <si>
    <t>Reviewer:</t>
  </si>
  <si>
    <t xml:space="preserve"> Lakes - Ponds (Priority Habitat)</t>
  </si>
  <si>
    <t xml:space="preserve"> Lakes - Reservoirs</t>
  </si>
  <si>
    <t>Within Waterbody</t>
  </si>
  <si>
    <t>Heathland and shrub - Sea buckthorn scrub (Annex 1)</t>
  </si>
  <si>
    <t>Heathland and shrub - Sea buckthorn scrub (other)</t>
  </si>
  <si>
    <t>Grassland - Floodplain Wetland Mosaic (CFGM)</t>
  </si>
  <si>
    <t>Compensation Not Required</t>
  </si>
  <si>
    <t>Like for like or better</t>
  </si>
  <si>
    <t>Bespoke compensation likely to be required</t>
  </si>
  <si>
    <t>Same distinctiveness band or better</t>
  </si>
  <si>
    <t>Wetland - Fens (upland and lowland)</t>
  </si>
  <si>
    <t>Lakes - Ditches</t>
  </si>
  <si>
    <t xml:space="preserve"> Lakes - Ponds (Non- Priority Habitat)</t>
  </si>
  <si>
    <t>Sparsely vegetated land - Coastal sand dunes</t>
  </si>
  <si>
    <t>Sparsely vegetated land - Coastal vegetated shingle</t>
  </si>
  <si>
    <t>Wetland – Oceanic Valley Mire[1] (D2.1)</t>
  </si>
  <si>
    <t>Wetland - Depressions on Peat substrates (H7150)</t>
  </si>
  <si>
    <t>Depressions on Peat substrates (H7150)</t>
  </si>
  <si>
    <t>Oceanic Valley Mire[1] (D2.1)</t>
  </si>
  <si>
    <t>Wetland - Transition mires and quaking bogs (H7140)</t>
  </si>
  <si>
    <t>Mixed woodland</t>
  </si>
  <si>
    <t>Scrub</t>
  </si>
  <si>
    <t>Improved grassland</t>
  </si>
  <si>
    <t>Marsh/marshy grassland</t>
  </si>
  <si>
    <t>Poor semi-improved grassland</t>
  </si>
  <si>
    <t>Wet dwarf shrub heath</t>
  </si>
  <si>
    <t>Sphagnum bog</t>
  </si>
  <si>
    <t>Wet modified bog</t>
  </si>
  <si>
    <t>Dry modified bog</t>
  </si>
  <si>
    <t>Flush and spring</t>
  </si>
  <si>
    <t>Fen</t>
  </si>
  <si>
    <t>Swamp</t>
  </si>
  <si>
    <t>Marginal and inundation</t>
  </si>
  <si>
    <t>Sand dune</t>
  </si>
  <si>
    <t>Crevice/ledge vegetation</t>
  </si>
  <si>
    <t>Coastal grassland</t>
  </si>
  <si>
    <t>Coastal heathland</t>
  </si>
  <si>
    <t>Inland cliff</t>
  </si>
  <si>
    <t>Scree</t>
  </si>
  <si>
    <t>Quarry</t>
  </si>
  <si>
    <t>Mine</t>
  </si>
  <si>
    <t>Fence</t>
  </si>
  <si>
    <t>Wall</t>
  </si>
  <si>
    <t>Built-up areas</t>
  </si>
  <si>
    <t>Buildings</t>
  </si>
  <si>
    <t>Bare ground</t>
  </si>
  <si>
    <t>Broadleaved woodland</t>
  </si>
  <si>
    <t>Semi-natural broadleaved woodland</t>
  </si>
  <si>
    <t>Plantation broadleaved woodland</t>
  </si>
  <si>
    <t>Semi-natural coniferous woodland</t>
  </si>
  <si>
    <t>Plantation coniferous woodland</t>
  </si>
  <si>
    <t>Semi-natural mixed woodland</t>
  </si>
  <si>
    <t>Plantation mixed woodland</t>
  </si>
  <si>
    <t>Dense / continuous scrub</t>
  </si>
  <si>
    <t>Scattered scrub</t>
  </si>
  <si>
    <t>Parkland / scattered trees</t>
  </si>
  <si>
    <t>Broadleaved parkland / scattered trees</t>
  </si>
  <si>
    <t>Coniferous parkland / scattered trees</t>
  </si>
  <si>
    <t>Mixed parkland / scattered trees</t>
  </si>
  <si>
    <t>Recently-felled woodland</t>
  </si>
  <si>
    <t>Broadleaved recently felled woodland</t>
  </si>
  <si>
    <t>Coniferous recently felled woodland</t>
  </si>
  <si>
    <t>Mixed recently felled woodland</t>
  </si>
  <si>
    <t>Unimproved acid grassland</t>
  </si>
  <si>
    <t>Unimproved neutral grassland</t>
  </si>
  <si>
    <t>Unimproved calcareous grassland</t>
  </si>
  <si>
    <t>Strandline vegetation coastland</t>
  </si>
  <si>
    <t>Dune slack sand dune coastland</t>
  </si>
  <si>
    <t>Dune grassland sand dune coastland</t>
  </si>
  <si>
    <t>Dune heath sand dune coastland</t>
  </si>
  <si>
    <t>Dune scrub sand dune coastland</t>
  </si>
  <si>
    <t>Open dune sand dune coastland</t>
  </si>
  <si>
    <t>Maritime cliff coastland</t>
  </si>
  <si>
    <t>Hard maritime cliff coastland</t>
  </si>
  <si>
    <t>Soft maritime cliff</t>
  </si>
  <si>
    <t>Standing open water</t>
  </si>
  <si>
    <t>Dry dwarf shrub heath</t>
  </si>
  <si>
    <t>Acidic dry dwarf shrub heath</t>
  </si>
  <si>
    <t>Basic dry dwarf shrub heath</t>
  </si>
  <si>
    <t>Lichen / bryophyte heath</t>
  </si>
  <si>
    <t>Montane heath / dwarf herb</t>
  </si>
  <si>
    <t>Dry heath / acidic grass mosaic</t>
  </si>
  <si>
    <t>Wet heath / acidic grass mosaic</t>
  </si>
  <si>
    <t>Continuous bracken</t>
  </si>
  <si>
    <t>Scattered bracken</t>
  </si>
  <si>
    <t>Other tall herb or fern</t>
  </si>
  <si>
    <t>Tall ruderal</t>
  </si>
  <si>
    <t>Non-ruderal</t>
  </si>
  <si>
    <t>Raised bog</t>
  </si>
  <si>
    <t>Acid/neutral flush</t>
  </si>
  <si>
    <t>Basic flush</t>
  </si>
  <si>
    <t>Bryophyte-dominated spring</t>
  </si>
  <si>
    <t>Valley mire</t>
  </si>
  <si>
    <t>Basin mire</t>
  </si>
  <si>
    <t>Floodplain mire</t>
  </si>
  <si>
    <t>Bare peat</t>
  </si>
  <si>
    <t>Marginal vegetation</t>
  </si>
  <si>
    <t>Inundation vegetation</t>
  </si>
  <si>
    <t>Natural rock exposures and caves</t>
  </si>
  <si>
    <t>Acidic inland cliff</t>
  </si>
  <si>
    <t>Basic inland cliff</t>
  </si>
  <si>
    <t>Acidic scree</t>
  </si>
  <si>
    <t>Basic scree</t>
  </si>
  <si>
    <t>Other natural rock exposure</t>
  </si>
  <si>
    <t>Other acidic natural rock exposure</t>
  </si>
  <si>
    <t>Other basic rock exposure</t>
  </si>
  <si>
    <t>Artificial rock exposures</t>
  </si>
  <si>
    <t>Spoil heap</t>
  </si>
  <si>
    <t>Refuse tip</t>
  </si>
  <si>
    <t>Cultivated/disturbed ground</t>
  </si>
  <si>
    <t>Arable</t>
  </si>
  <si>
    <t>Amenity grassland</t>
  </si>
  <si>
    <t>Ephemeral / short perennial</t>
  </si>
  <si>
    <t>Caravans</t>
  </si>
  <si>
    <t>Sea wall (artificial materials)</t>
  </si>
  <si>
    <t>Canals</t>
  </si>
  <si>
    <t>Area</t>
  </si>
  <si>
    <t>Application type:</t>
  </si>
  <si>
    <t>Planning application reference:</t>
  </si>
  <si>
    <t>Assessment date:</t>
  </si>
  <si>
    <t>Project details</t>
  </si>
  <si>
    <t>Cell style conventions</t>
  </si>
  <si>
    <t>Enter data</t>
  </si>
  <si>
    <t xml:space="preserve"> Habitat type</t>
  </si>
  <si>
    <t>Habitats and areas</t>
  </si>
  <si>
    <t>Area (hectares)</t>
  </si>
  <si>
    <t>Within area formally identified in local strategy</t>
  </si>
  <si>
    <t>Location ecologically desirable but not in local strategy</t>
  </si>
  <si>
    <t>Area/compensation not in local strategy/ no local strategy</t>
  </si>
  <si>
    <t>Spatial multipliers</t>
  </si>
  <si>
    <t>On-site baseline</t>
  </si>
  <si>
    <t>River units</t>
  </si>
  <si>
    <t>Off-site baseline</t>
  </si>
  <si>
    <t>Area lost (%)</t>
  </si>
  <si>
    <t>Area lost (hectares)</t>
  </si>
  <si>
    <t>Planning authority:</t>
  </si>
  <si>
    <t>Planning authority reviewer:</t>
  </si>
  <si>
    <t>Habitat units</t>
  </si>
  <si>
    <t>Hedgerow units</t>
  </si>
  <si>
    <t>Habitat distinctiveness</t>
  </si>
  <si>
    <t>Habitat condition</t>
  </si>
  <si>
    <t>Strategic position multiplier</t>
  </si>
  <si>
    <t>Same broad habitat or a higher distinctiveness habitat required</t>
  </si>
  <si>
    <t>Same habitat required</t>
  </si>
  <si>
    <t>Same distinctiveness or better habitat required</t>
  </si>
  <si>
    <t>Proposed habitat</t>
  </si>
  <si>
    <t>Temporal multiplier</t>
  </si>
  <si>
    <t>Difficulty multipliers</t>
  </si>
  <si>
    <t xml:space="preserve">Post development/ post intervention habitats </t>
  </si>
  <si>
    <t>Assessor comments</t>
  </si>
  <si>
    <t>Reviewer comments</t>
  </si>
  <si>
    <t>Habitat units delivered</t>
  </si>
  <si>
    <t>Highly connected habitat</t>
  </si>
  <si>
    <t>Moderately connected habitat</t>
  </si>
  <si>
    <t xml:space="preserve">Area (hectares) </t>
  </si>
  <si>
    <t>Baseline habitat</t>
  </si>
  <si>
    <t>Total habitat area</t>
  </si>
  <si>
    <t>Baseline distinctiveness band</t>
  </si>
  <si>
    <t>Baseline distinctiveness score</t>
  </si>
  <si>
    <t>Baseline condition category</t>
  </si>
  <si>
    <t>Baseline condition score</t>
  </si>
  <si>
    <t>Baseline habitats</t>
  </si>
  <si>
    <t>Baseline strategic significance category</t>
  </si>
  <si>
    <t>Baseline strategic significance score</t>
  </si>
  <si>
    <t>Baseline habitat units</t>
  </si>
  <si>
    <t xml:space="preserve"> Distinctiveness movement</t>
  </si>
  <si>
    <t>Difficulty of enhancement category</t>
  </si>
  <si>
    <t>UK Habitats - existing habitats</t>
  </si>
  <si>
    <t>Ecological baseline</t>
  </si>
  <si>
    <t>Total hedgerow units</t>
  </si>
  <si>
    <t>Length retained</t>
  </si>
  <si>
    <t>Length enhanced</t>
  </si>
  <si>
    <t>Units retained</t>
  </si>
  <si>
    <t>Units enhanced</t>
  </si>
  <si>
    <t>Length lost</t>
  </si>
  <si>
    <t>Units lost</t>
  </si>
  <si>
    <t>Total river units</t>
  </si>
  <si>
    <t>Suggested action</t>
  </si>
  <si>
    <t>Total habitat units</t>
  </si>
  <si>
    <t>Retention category biodiversity value</t>
  </si>
  <si>
    <t>Area retained</t>
  </si>
  <si>
    <t>Area enhanced</t>
  </si>
  <si>
    <t>Baseline units retained</t>
  </si>
  <si>
    <t>Baseline units enhanced</t>
  </si>
  <si>
    <t>Area lost</t>
  </si>
  <si>
    <t>Spatial risk multiplier</t>
  </si>
  <si>
    <t>Spatial risk category</t>
  </si>
  <si>
    <t>Baseline strategic significance Score</t>
  </si>
  <si>
    <t>Hedge number</t>
  </si>
  <si>
    <t>Existing hedgerow habitats</t>
  </si>
  <si>
    <t>Habitat type</t>
  </si>
  <si>
    <t>Hedge units delivered</t>
  </si>
  <si>
    <t>Existing river type</t>
  </si>
  <si>
    <t>River units delivered</t>
  </si>
  <si>
    <t>Riparian encroachment</t>
  </si>
  <si>
    <t>Extent of encroachment</t>
  </si>
  <si>
    <t>Total units</t>
  </si>
  <si>
    <t>Habitat Description</t>
  </si>
  <si>
    <t>Unconnected habitat</t>
  </si>
  <si>
    <t>Start cond</t>
  </si>
  <si>
    <t xml:space="preserve">Phase 1 Habitat </t>
  </si>
  <si>
    <t xml:space="preserve">UK Hab habitat </t>
  </si>
  <si>
    <t xml:space="preserve">Distinctiveness band </t>
  </si>
  <si>
    <t xml:space="preserve"> Distinctiveness change</t>
  </si>
  <si>
    <t>Condition change</t>
  </si>
  <si>
    <t>Sparsely vegetated land - Ruderal/Ephemeral</t>
  </si>
  <si>
    <t>Nationaly Significant Infrastructure Habitats (NSIP'S)</t>
  </si>
  <si>
    <t>Semi-improved neutral grassland (Good quality)</t>
  </si>
  <si>
    <t>Semi-improved calcareous grassland (Good quality)</t>
  </si>
  <si>
    <t>Semi-improved calcareous grassland (Poor quality)</t>
  </si>
  <si>
    <t>Other tall herb or fern (Good quality)</t>
  </si>
  <si>
    <t>Use the Feature that it is within, i.e. River, Lake type etc.</t>
  </si>
  <si>
    <t>Natural rock exposures and caves (Good quality)</t>
  </si>
  <si>
    <t>Inland cliff (High quality)</t>
  </si>
  <si>
    <t>Semi-improved acid grassland (Good quality)</t>
  </si>
  <si>
    <t>Semi-improved acid grassland (Poor quality)</t>
  </si>
  <si>
    <t>Semi-improved neutral grassland (Poor quality)</t>
  </si>
  <si>
    <t>Suggested action to address habitat losses</t>
  </si>
  <si>
    <t>list of lines for enhanced and succession</t>
  </si>
  <si>
    <t>Area of Unacceptable Losses</t>
  </si>
  <si>
    <t>Units Unacceptable Losses</t>
  </si>
  <si>
    <t>Units unacceptable Losses</t>
  </si>
  <si>
    <t>take account of trading</t>
  </si>
  <si>
    <t>Change in distinctiveness and condition</t>
  </si>
  <si>
    <t>Proposed                                                                                                 (Pre-Populated but can be overridden)</t>
  </si>
  <si>
    <t>Offset location</t>
  </si>
  <si>
    <t>Area / length retained</t>
  </si>
  <si>
    <t>Area / length lost</t>
  </si>
  <si>
    <t>Existing area</t>
  </si>
  <si>
    <t>Existing value</t>
  </si>
  <si>
    <t>Proposed area</t>
  </si>
  <si>
    <t>Proposed value</t>
  </si>
  <si>
    <t>Area change</t>
  </si>
  <si>
    <t>Habitat group</t>
  </si>
  <si>
    <t>Post development on site</t>
  </si>
  <si>
    <t xml:space="preserve">Project wide unit change </t>
  </si>
  <si>
    <t>On site  unit change</t>
  </si>
  <si>
    <t>Proposed habitats</t>
  </si>
  <si>
    <t>Broad habitat</t>
  </si>
  <si>
    <t>Bespoke compensation agreed for unacceptable losses</t>
  </si>
  <si>
    <t>Bespoke Compensation For Unaceptable losses agreed</t>
  </si>
  <si>
    <t>Post development/ post intervention habitats</t>
  </si>
  <si>
    <t>Change in distincitiveness and condition</t>
  </si>
  <si>
    <t>Proposed  habitat                                                                                             (Pre-Populated but can be overridden)</t>
  </si>
  <si>
    <t>Coastal lagoons - Coastal lagoons</t>
  </si>
  <si>
    <t>Intertidal</t>
  </si>
  <si>
    <t>X02/03</t>
  </si>
  <si>
    <t>Coastal lagoons</t>
  </si>
  <si>
    <t>Rocky shore - High energy littoral rock</t>
  </si>
  <si>
    <t>A1</t>
  </si>
  <si>
    <t>High energy littoral rock</t>
  </si>
  <si>
    <t>High energy littoral rock - on bedrock including chalk, peat or clay</t>
  </si>
  <si>
    <t>Rocky shore - Moderate energy littoral rock</t>
  </si>
  <si>
    <t>Moderate energy littoral rock</t>
  </si>
  <si>
    <t>Moderate energy littoral rock - on bedrock including chalk, peat or clay</t>
  </si>
  <si>
    <t>Rocky shore - Low energy littoral rock</t>
  </si>
  <si>
    <t>Low energy littoral rock</t>
  </si>
  <si>
    <t>Low energy littoral rock  - on bedrock including chalk, peat or clay</t>
  </si>
  <si>
    <t>Rocky shore - Features of littoral rock</t>
  </si>
  <si>
    <t>Features of littoral rock</t>
  </si>
  <si>
    <t>Features of littoral rock - on bedrock including chalk, peat or clay</t>
  </si>
  <si>
    <t>Intertidal sediment - Littoral coarse sediment</t>
  </si>
  <si>
    <t>A2</t>
  </si>
  <si>
    <t>Intertidal sediment</t>
  </si>
  <si>
    <t>Littoral coarse sediment</t>
  </si>
  <si>
    <t>Intertidal sediment - Littoral mud</t>
  </si>
  <si>
    <t>Littoral mud</t>
  </si>
  <si>
    <t>Intertidal sediment - Littoral mixed sediments</t>
  </si>
  <si>
    <t>Littoral mixed sediments</t>
  </si>
  <si>
    <t>Coastal saltmarshes and saline reedbeds</t>
  </si>
  <si>
    <t xml:space="preserve">Coastal saltmarsh </t>
  </si>
  <si>
    <t>Littoral sediments dominated by aquatic angiosperms</t>
  </si>
  <si>
    <t>Intertidal sediment - Features of littoral sediment</t>
  </si>
  <si>
    <t>Features of littoral sediment</t>
  </si>
  <si>
    <t>Intertidal sediment - Artificial littoral coarse sediment</t>
  </si>
  <si>
    <t>Artificial littoral coarse sediment</t>
  </si>
  <si>
    <t>Intertidal sediment - Artificial littoral mud</t>
  </si>
  <si>
    <t>Artificial littoral mud</t>
  </si>
  <si>
    <t>Intertidal sediment - Artificial littoral mixed sediments</t>
  </si>
  <si>
    <t>Artificial littoral mixed sediments</t>
  </si>
  <si>
    <t>Intertidal sediment - Artificial littoral biogenic reefs</t>
  </si>
  <si>
    <t>Artificial littoral biogenic reefs</t>
  </si>
  <si>
    <t>Rocky shore</t>
  </si>
  <si>
    <t xml:space="preserve">Rocky shore </t>
  </si>
  <si>
    <t>Coastal Saltmarsh</t>
  </si>
  <si>
    <t>Off Site Habitat Group</t>
  </si>
  <si>
    <t>Off Site Area Change</t>
  </si>
  <si>
    <t>Off Site  Unit Change</t>
  </si>
  <si>
    <t xml:space="preserve">Total proposed area off site </t>
  </si>
  <si>
    <t>Baseline</t>
  </si>
  <si>
    <t>Onsite Change</t>
  </si>
  <si>
    <t>Post development Off-site</t>
  </si>
  <si>
    <t>Off-site Change</t>
  </si>
  <si>
    <t>Combined change</t>
  </si>
  <si>
    <t>Onsite Unit change</t>
  </si>
  <si>
    <t>Off site Proposed value</t>
  </si>
  <si>
    <t>Off-site Existing value</t>
  </si>
  <si>
    <t>c1a7</t>
  </si>
  <si>
    <t>c1a8</t>
  </si>
  <si>
    <t>c1a6</t>
  </si>
  <si>
    <t>c1c7</t>
  </si>
  <si>
    <t>c1c5</t>
  </si>
  <si>
    <t>s3a</t>
  </si>
  <si>
    <t>s3b</t>
  </si>
  <si>
    <t>f2a8</t>
  </si>
  <si>
    <t>Basic Description</t>
  </si>
  <si>
    <t>Condition Assessment Notes</t>
  </si>
  <si>
    <t>Lakes - Aquifer fed naturally fluctuating water bodies</t>
  </si>
  <si>
    <t>Lakes - Ponds (Priority Habitat)</t>
  </si>
  <si>
    <t>Lakes - Ponds (Non- Priority Habitat)</t>
  </si>
  <si>
    <t>Lakes - Reservoirs</t>
  </si>
  <si>
    <t>to include scattered mixed scrub over grassland</t>
  </si>
  <si>
    <t>including low value tall herb</t>
  </si>
  <si>
    <t>justify why not omh</t>
  </si>
  <si>
    <t>x02</t>
  </si>
  <si>
    <t>a1.1</t>
  </si>
  <si>
    <t>Urban - Urban Tree</t>
  </si>
  <si>
    <t>Grassland - Traditional orchards</t>
  </si>
  <si>
    <t>Lakes - Ornamental lake or pond</t>
  </si>
  <si>
    <t>Ornamental lake or pond</t>
  </si>
  <si>
    <t>Rocky shore - Features of littoral rock - on peat, clay or chalk</t>
  </si>
  <si>
    <t>Rocky shore - High energy littoral rock - on peat, clay or chalk</t>
  </si>
  <si>
    <t>Rocky shore - Moderate energy littoral rock - on peat, clay or chalk</t>
  </si>
  <si>
    <t>Intertidal sediment - Littoral sand</t>
  </si>
  <si>
    <t>Intertidal sediment - Littoral muddy sand</t>
  </si>
  <si>
    <t>Intertidal sediment - Artificial littoral sand</t>
  </si>
  <si>
    <t>Intertidal sediment - Artificial littoral muddy sand</t>
  </si>
  <si>
    <t xml:space="preserve">Intertidal </t>
  </si>
  <si>
    <t>Littoral sand</t>
  </si>
  <si>
    <t>Littoral muddy sand</t>
  </si>
  <si>
    <t>Artificial littoral sand</t>
  </si>
  <si>
    <t>Artificial hard structures</t>
  </si>
  <si>
    <t>Artificial features of hard structures</t>
  </si>
  <si>
    <t>Artificial hard structures with Integrated Greening of Grey Infrastructure (IGGI)</t>
  </si>
  <si>
    <t>Artificial saltmarshes and saline reedbeds</t>
  </si>
  <si>
    <t xml:space="preserve">Habitat created in advance/years </t>
  </si>
  <si>
    <t>Delay in starting habitat creation/years</t>
  </si>
  <si>
    <t>Standard or adjusted time to target condition</t>
  </si>
  <si>
    <t>Standard time to target condition/years</t>
  </si>
  <si>
    <t>Final time to target multiplier</t>
  </si>
  <si>
    <t>Difficulty multiplier applied</t>
  </si>
  <si>
    <t>Final time to target condition/years</t>
  </si>
  <si>
    <t>Standard difficulty of enhancement</t>
  </si>
  <si>
    <t>Final difficulty of enhancement</t>
  </si>
  <si>
    <t xml:space="preserve">Standard difficulty of creation </t>
  </si>
  <si>
    <t xml:space="preserve">Final difficulty of creation </t>
  </si>
  <si>
    <t>Watercourse encroachment</t>
  </si>
  <si>
    <t>Enhancement through Distinctiveness</t>
  </si>
  <si>
    <t>Proposed Condition</t>
  </si>
  <si>
    <t>Encroachment into Watercourse</t>
  </si>
  <si>
    <t>Priority Habitat</t>
  </si>
  <si>
    <t>Baseline Condition</t>
  </si>
  <si>
    <t>Other Rivers and Streams</t>
  </si>
  <si>
    <t>Minor</t>
  </si>
  <si>
    <t>Major</t>
  </si>
  <si>
    <t>Culvert</t>
  </si>
  <si>
    <t>Mitigate or Compensate</t>
  </si>
  <si>
    <t>Within Local Plans</t>
  </si>
  <si>
    <t>Standard Time to target condition/years</t>
  </si>
  <si>
    <t>Final Time to target multiplier</t>
  </si>
  <si>
    <t xml:space="preserve">Habitat enhanced in advance/years </t>
  </si>
  <si>
    <t>Final Time to Target Multiplier</t>
  </si>
  <si>
    <t>Intertidal sediment - Littoral biogenic reefs - Mussels</t>
  </si>
  <si>
    <t>Intertidal sediment - Littoral biogenic reefs - Sabellaria</t>
  </si>
  <si>
    <t>Intertidal sediment - Artificial littoral seagrass</t>
  </si>
  <si>
    <t>Littoral seagrass  - on peat, clay or chalk</t>
  </si>
  <si>
    <t xml:space="preserve"> Littoral biogenic reefs - Mussels</t>
  </si>
  <si>
    <t>Littoral biogenic reefs - Sabellaria</t>
  </si>
  <si>
    <t>Artificial littoral seagrass</t>
  </si>
  <si>
    <t>30+</t>
  </si>
  <si>
    <t>Intertidal sediment - Littoral seagrass</t>
  </si>
  <si>
    <t>Assessment not required</t>
  </si>
  <si>
    <t>Proposed habitat    (Pre-Populated but can be overridden)</t>
  </si>
  <si>
    <t>Enhancement Through Condition - Years to Target Condition</t>
  </si>
  <si>
    <t>Enhancement Through Distinctiveness - Years to Target Condition</t>
  </si>
  <si>
    <t>Post Development Hedge Type</t>
  </si>
  <si>
    <t>Native Species Rich Hedgerow with trees - Associated with bank or ditch</t>
  </si>
  <si>
    <t>Native Species Rich Hedgerow - associated with bank or ditch</t>
  </si>
  <si>
    <t>Native Hedgerow with trees - associated with bank or ditch</t>
  </si>
  <si>
    <t>Native Hedgerow - associated with bank or ditch</t>
  </si>
  <si>
    <t>Line of Trees (ecologically valuable)</t>
  </si>
  <si>
    <t>Line of Trees (ecologically valuable) - with bank or ditch</t>
  </si>
  <si>
    <t>Line of Trees</t>
  </si>
  <si>
    <t>Line of Trees - associated with bank or ditch</t>
  </si>
  <si>
    <t>Hedge Ornamental Non Native</t>
  </si>
  <si>
    <t>Baseline Hedge Type</t>
  </si>
  <si>
    <t>Native Species Rich Hedgerow - Associated with bank or ditch</t>
  </si>
  <si>
    <t>Error</t>
  </si>
  <si>
    <t>V.High -  V.High</t>
  </si>
  <si>
    <t>Error Trading Down</t>
  </si>
  <si>
    <t>High - V.High</t>
  </si>
  <si>
    <t>High - High</t>
  </si>
  <si>
    <t>Native Hedgerow with trees - Associated with bank or ditch</t>
  </si>
  <si>
    <t>Medium - V.High</t>
  </si>
  <si>
    <t>Medium - High</t>
  </si>
  <si>
    <t>Medium - Medium</t>
  </si>
  <si>
    <t>Error - Enhancement not possible</t>
  </si>
  <si>
    <t>Native Hedgerow - Associated with bank or ditch</t>
  </si>
  <si>
    <t>Low - V.High</t>
  </si>
  <si>
    <t>Low - High</t>
  </si>
  <si>
    <t>Low - Medium</t>
  </si>
  <si>
    <t>Low - Low</t>
  </si>
  <si>
    <t>Line of Trees  - Associated with bank or ditch</t>
  </si>
  <si>
    <t>V.Low - V.Low</t>
  </si>
  <si>
    <t>Coastal saltmarsh - Saltmarshes and saline reedbeds</t>
  </si>
  <si>
    <t>Coastal saltmarsh - Artificial saltmarshes and saline reedbeds</t>
  </si>
  <si>
    <t>Urban tree helper</t>
  </si>
  <si>
    <t>Strategic Significance multiplier</t>
  </si>
  <si>
    <t xml:space="preserve">Broad Habitats </t>
  </si>
  <si>
    <t>Conditional Broad Habitat Label</t>
  </si>
  <si>
    <t>Heathland_and_shrub</t>
  </si>
  <si>
    <t>Sparsely_vegetated_land</t>
  </si>
  <si>
    <t>Woodland_and_forest</t>
  </si>
  <si>
    <t>Coastal_lagoons</t>
  </si>
  <si>
    <t xml:space="preserve">Rocky_shore </t>
  </si>
  <si>
    <t xml:space="preserve">Coastal_saltmarsh </t>
  </si>
  <si>
    <t>Intertidal_sediment</t>
  </si>
  <si>
    <t>Arable field margins cultivated annually</t>
  </si>
  <si>
    <t>Arable field margins game bird mix</t>
  </si>
  <si>
    <t>Arable field margins pollen &amp; nectar</t>
  </si>
  <si>
    <t>Arable field margins tussocky</t>
  </si>
  <si>
    <t>Cereal crops other</t>
  </si>
  <si>
    <t>Cereal crops winter stubble</t>
  </si>
  <si>
    <t>Floodplain Wetland Mosaic (CFGM)</t>
  </si>
  <si>
    <t>Sea buckthorn scrub (Annex 1)</t>
  </si>
  <si>
    <t>Sea buckthorn scrub (other)</t>
  </si>
  <si>
    <t>High alkalinity lakes</t>
  </si>
  <si>
    <t>Low alkalinity lakes</t>
  </si>
  <si>
    <t>Marl Lakes</t>
  </si>
  <si>
    <t>Moderate alkalinity lakes</t>
  </si>
  <si>
    <t>Peat Lakes</t>
  </si>
  <si>
    <t>Ponds (Priority Habitat)</t>
  </si>
  <si>
    <t>Ponds (Non- Priority Habitat)</t>
  </si>
  <si>
    <t>Reservoirs</t>
  </si>
  <si>
    <t>Temporary lakes, ponds and pools</t>
  </si>
  <si>
    <t>Coastal sand dunes</t>
  </si>
  <si>
    <t>Coastal vegetated shingle</t>
  </si>
  <si>
    <t>Ruderal/Ephemeral</t>
  </si>
  <si>
    <t>Urban Tree</t>
  </si>
  <si>
    <t>Fens (upland and lowland)</t>
  </si>
  <si>
    <t>Transition mires and quaking bogs (H7140)</t>
  </si>
  <si>
    <t>High energy littoral rock - on peat, clay or chalk</t>
  </si>
  <si>
    <t>Moderate energy littoral rock - on peat, clay or chalk</t>
  </si>
  <si>
    <t>Features of littoral rock - on peat, clay or chalk</t>
  </si>
  <si>
    <t>Saltmarshes and saline reedbeds</t>
  </si>
  <si>
    <t>Littoral seagrass</t>
  </si>
  <si>
    <t>Littoral biogenic reefs - Mussels</t>
  </si>
  <si>
    <t>Artificial littoral muddy sand</t>
  </si>
  <si>
    <t>Conditional Data Validation lookup</t>
  </si>
  <si>
    <t>Conditional Data Validation</t>
  </si>
  <si>
    <t>Temporal risk multiplier</t>
  </si>
  <si>
    <t>Difficulty risk multipliers</t>
  </si>
  <si>
    <t>Habitat banking dropdown list</t>
  </si>
  <si>
    <t>Ditches</t>
  </si>
  <si>
    <t>Restore</t>
  </si>
  <si>
    <t xml:space="preserve">Standard difficulty of enhancement </t>
  </si>
  <si>
    <t>Condition Group</t>
  </si>
  <si>
    <t>Condition groups</t>
  </si>
  <si>
    <t>Cond1</t>
  </si>
  <si>
    <t>Cond2</t>
  </si>
  <si>
    <t>Cond3</t>
  </si>
  <si>
    <t>Cond4</t>
  </si>
  <si>
    <t>Hedgecond1</t>
  </si>
  <si>
    <t>Hedgecond2</t>
  </si>
  <si>
    <t>Condition Groups</t>
  </si>
  <si>
    <t>Like for like</t>
  </si>
  <si>
    <t>Rivercond1</t>
  </si>
  <si>
    <t>Rivercond2</t>
  </si>
  <si>
    <t>Length Lost</t>
  </si>
  <si>
    <t>Proposed Habitat</t>
  </si>
  <si>
    <t>Proposed Habitat (Pre-Populated but can be overridden)</t>
  </si>
  <si>
    <t>Proposed Broad Habitat</t>
  </si>
  <si>
    <t>Proposed River Type
(Pre-populated can be overridden)</t>
  </si>
  <si>
    <r>
      <t xml:space="preserve">Net project biodiversity units
</t>
    </r>
    <r>
      <rPr>
        <sz val="14"/>
        <color theme="4"/>
        <rFont val="Rockwell Light"/>
        <family val="1"/>
      </rPr>
      <t>(including all on-site &amp; off-site habitat retention/creation)</t>
    </r>
  </si>
  <si>
    <r>
      <t xml:space="preserve">Total project biodiversity % change
</t>
    </r>
    <r>
      <rPr>
        <sz val="12"/>
        <color theme="4"/>
        <rFont val="Rockwell Light"/>
        <family val="1"/>
      </rPr>
      <t>(including all On-site &amp; Off-site Habitat Creation + Retained Habitats)</t>
    </r>
  </si>
  <si>
    <t xml:space="preserve">Losses not yet accounted for </t>
  </si>
  <si>
    <t>All Habitats</t>
  </si>
  <si>
    <t>Trading Notes</t>
  </si>
  <si>
    <t>Existing area retained on site</t>
  </si>
  <si>
    <t>Existing area off site</t>
  </si>
  <si>
    <t xml:space="preserve">Proposed units Enhancement offsite </t>
  </si>
  <si>
    <t>On Site Habitat Group</t>
  </si>
  <si>
    <t>Offsite Unit Change</t>
  </si>
  <si>
    <t>Off Site Unit Change</t>
  </si>
  <si>
    <t>Low Distinctiveness</t>
  </si>
  <si>
    <t>Medium Distinctiveness</t>
  </si>
  <si>
    <t>High Distinctiveness</t>
  </si>
  <si>
    <t>Very High Distinctiveness</t>
  </si>
  <si>
    <t>Unit Defecit; Like for like not satisfied</t>
  </si>
  <si>
    <t>Distinctiveness Group</t>
  </si>
  <si>
    <t>Trading Rule</t>
  </si>
  <si>
    <t>Trading Satisfied?</t>
  </si>
  <si>
    <t>Trading Summary</t>
  </si>
  <si>
    <t>units required offsite Or trading up</t>
  </si>
  <si>
    <t>Cumulative Broad Habitat Change</t>
  </si>
  <si>
    <t>Medium Distinctiveness Broad Habitat Deficit to be offset by trading up</t>
  </si>
  <si>
    <t>Higher distinctiveness surplus units miunus Medium Distinctivenss Broad Habitat Defecit</t>
  </si>
  <si>
    <t>Medium Distinctiveness Summary</t>
  </si>
  <si>
    <t>High Distinctiveness Summary</t>
  </si>
  <si>
    <t>Low Distinctiveness Summary</t>
  </si>
  <si>
    <t>Low Distinctiveness Net Change in Units</t>
  </si>
  <si>
    <t>Very High Distinctiveness Summary</t>
  </si>
  <si>
    <t>Very High Distinctiveness Units available to offset lower distinctiveness defecit</t>
  </si>
  <si>
    <t>High Distinctiveness Units available to offset lower distinctiveness defecit</t>
  </si>
  <si>
    <t>Medium Distinctiveness Units available to offset lower distinctiveness defecit</t>
  </si>
  <si>
    <t>Cumulative surplus of units</t>
  </si>
  <si>
    <r>
      <t xml:space="preserve">Compensation </t>
    </r>
    <r>
      <rPr>
        <u/>
        <sz val="11"/>
        <color theme="4"/>
        <rFont val="Rockwell Light"/>
        <family val="1"/>
      </rPr>
      <t>outside</t>
    </r>
    <r>
      <rPr>
        <sz val="11"/>
        <color theme="4"/>
        <rFont val="Rockwell Light"/>
        <family val="1"/>
      </rPr>
      <t xml:space="preserve"> LPA or NCA of impact site but in neighbouring LPA or NCA</t>
    </r>
  </si>
  <si>
    <r>
      <t xml:space="preserve">Compensation </t>
    </r>
    <r>
      <rPr>
        <u/>
        <sz val="11"/>
        <color theme="4"/>
        <rFont val="Rockwell Light"/>
        <family val="1"/>
      </rPr>
      <t>outside</t>
    </r>
    <r>
      <rPr>
        <sz val="11"/>
        <color theme="4"/>
        <rFont val="Rockwell Light"/>
        <family val="1"/>
      </rPr>
      <t xml:space="preserve"> LPA or NCA of impact site and beyond neighbouring LPA or NCA </t>
    </r>
  </si>
  <si>
    <t>Habitat list</t>
  </si>
  <si>
    <t>Combined habitat retention and enhancement</t>
  </si>
  <si>
    <t>Combined area lost by distinctiveness band</t>
  </si>
  <si>
    <t>On site change by broad habitat type</t>
  </si>
  <si>
    <t>Off site change by broad habitat type</t>
  </si>
  <si>
    <t>Combined on site and off site change by broad habitat type</t>
  </si>
  <si>
    <t>Hedgerows and lines of trees</t>
  </si>
  <si>
    <t xml:space="preserve">Hedgerow type </t>
  </si>
  <si>
    <t>Hedgerow</t>
  </si>
  <si>
    <t>Existing length retained on site</t>
  </si>
  <si>
    <t>Existing length lost  on site</t>
  </si>
  <si>
    <t>Proposed length creation on site post development</t>
  </si>
  <si>
    <t>Proposed units creation onsite post development</t>
  </si>
  <si>
    <t>Proposed length enhancement on site post development</t>
  </si>
  <si>
    <t>Proposed units enhancement onsite post development</t>
  </si>
  <si>
    <t>Total proposed length on site post development</t>
  </si>
  <si>
    <t>Existing length off site</t>
  </si>
  <si>
    <t>Existing length</t>
  </si>
  <si>
    <t>Proposed length</t>
  </si>
  <si>
    <t>length change</t>
  </si>
  <si>
    <t>On site change by hedgerow type</t>
  </si>
  <si>
    <t>Off site change by hedgerow type</t>
  </si>
  <si>
    <t>Combined on and off site change by hedgerow type</t>
  </si>
  <si>
    <t>Rivers and Streams</t>
  </si>
  <si>
    <t>On site change by river type</t>
  </si>
  <si>
    <t>Off site change by river type</t>
  </si>
  <si>
    <t>Combined on and off site change by river type</t>
  </si>
  <si>
    <t>Area habitats</t>
  </si>
  <si>
    <t>On-site and Off-site post development</t>
  </si>
  <si>
    <t>Combined proposed area</t>
  </si>
  <si>
    <t>Combined proposed value</t>
  </si>
  <si>
    <t>Off-site proposed area</t>
  </si>
  <si>
    <t>Off-site area change</t>
  </si>
  <si>
    <t>Off-site unit change</t>
  </si>
  <si>
    <t>NE0001</t>
  </si>
  <si>
    <t>NE0002</t>
  </si>
  <si>
    <t>NE0003</t>
  </si>
  <si>
    <t>NE0004</t>
  </si>
  <si>
    <t>NE0005</t>
  </si>
  <si>
    <t>NE0006</t>
  </si>
  <si>
    <t>A1.1</t>
  </si>
  <si>
    <t>A1.2</t>
  </si>
  <si>
    <t>A1.3</t>
  </si>
  <si>
    <t>A2.6</t>
  </si>
  <si>
    <t>A2.3</t>
  </si>
  <si>
    <t>A1.3 PCC</t>
  </si>
  <si>
    <t>A1.2 PCC</t>
  </si>
  <si>
    <t>A1.4</t>
  </si>
  <si>
    <t>A2.4</t>
  </si>
  <si>
    <t>A1.PCC</t>
  </si>
  <si>
    <t>A2.5</t>
  </si>
  <si>
    <t>ART_A2.5</t>
  </si>
  <si>
    <t>A2.1</t>
  </si>
  <si>
    <t>A2.6 PCC</t>
  </si>
  <si>
    <t>A2.7 S</t>
  </si>
  <si>
    <t>A2.7 M</t>
  </si>
  <si>
    <t>A2.8</t>
  </si>
  <si>
    <t>ART_A2.1</t>
  </si>
  <si>
    <t>ART_A2.3</t>
  </si>
  <si>
    <t>ART_A2.21/A2.22/A2.23</t>
  </si>
  <si>
    <t>ART_A2.24</t>
  </si>
  <si>
    <t>ART_A2.6</t>
  </si>
  <si>
    <t>ART_A2.4</t>
  </si>
  <si>
    <t>ART_A2.7</t>
  </si>
  <si>
    <t>A2.21/A2.22/A2.23</t>
  </si>
  <si>
    <t>A2.24</t>
  </si>
  <si>
    <t>ART_A1</t>
  </si>
  <si>
    <t>ART_A1.4</t>
  </si>
  <si>
    <t>ART_A1_IGGI</t>
  </si>
  <si>
    <t>Definitive UKHAB / EUNIS/NE Code</t>
  </si>
  <si>
    <t>Net length change</t>
  </si>
  <si>
    <t xml:space="preserve">Proposed length creation off site </t>
  </si>
  <si>
    <t>Retained units offsite</t>
  </si>
  <si>
    <t>Retained length offsite</t>
  </si>
  <si>
    <t xml:space="preserve">Proposed units creation off site </t>
  </si>
  <si>
    <t xml:space="preserve">Proposed length enhancement off site </t>
  </si>
  <si>
    <t xml:space="preserve">Total proposed length off site </t>
  </si>
  <si>
    <t>Off Site net length change</t>
  </si>
  <si>
    <t>Off Site net unit change</t>
  </si>
  <si>
    <t>Overall length change</t>
  </si>
  <si>
    <t>Overall unit change</t>
  </si>
  <si>
    <t xml:space="preserve">River type </t>
  </si>
  <si>
    <t>Existing length baseline on site</t>
  </si>
  <si>
    <t>Existing units lost  baseline on site</t>
  </si>
  <si>
    <t>Rivers &amp; streams</t>
  </si>
  <si>
    <t>Length lost (KM)</t>
  </si>
  <si>
    <t>Combined length lost by distinctiveness band</t>
  </si>
  <si>
    <t>Post development off site</t>
  </si>
  <si>
    <t>Off site Change</t>
  </si>
  <si>
    <t>Off site Unit change</t>
  </si>
  <si>
    <t>Off site baseline</t>
  </si>
  <si>
    <t>Metric version:</t>
  </si>
  <si>
    <t>Existing length off-site</t>
  </si>
  <si>
    <t>Existing value off-site</t>
  </si>
  <si>
    <t>Proposed length off-site</t>
  </si>
  <si>
    <t>Proposed value off-site</t>
  </si>
  <si>
    <t>Off-site length change</t>
  </si>
  <si>
    <t>Existing length on-site</t>
  </si>
  <si>
    <t>Proposed length on-site</t>
  </si>
  <si>
    <t>Proposed value on-site</t>
  </si>
  <si>
    <t>On-site length change</t>
  </si>
  <si>
    <t>On-site Unit change</t>
  </si>
  <si>
    <t>Post development off-site</t>
  </si>
  <si>
    <t>Baseline units proposed for enhancement</t>
  </si>
  <si>
    <t>Area / length proposed for enhancement</t>
  </si>
  <si>
    <t>Line of Trees - Associated with bank or ditch</t>
  </si>
  <si>
    <t>No Encroachment</t>
  </si>
  <si>
    <t>Low potential/action not identified in any plan</t>
  </si>
  <si>
    <t>Within Catchment Planning System</t>
  </si>
  <si>
    <t>Rivers and Streams                                                                         Rivers and Streams                                                                                        Rivers and Streams</t>
  </si>
  <si>
    <t>Hedgerows and Lines of Trees                                                                                Hedgerows and Lines of Trees                                                                                 Hedgerows and Lines of Trees</t>
  </si>
  <si>
    <t>Area Habitats                                                                                                                          Area Habitats                                                                                                                          Area Habitats</t>
  </si>
  <si>
    <t>Length lost (%)</t>
  </si>
  <si>
    <t>Existing units retained on site</t>
  </si>
  <si>
    <t>Proposed area creation on site post development</t>
  </si>
  <si>
    <t>Proposed area enhancement on site post development</t>
  </si>
  <si>
    <t>Retained area offsite</t>
  </si>
  <si>
    <t xml:space="preserve">Proposed area creation off site </t>
  </si>
  <si>
    <t xml:space="preserve">Proposed area enhancement off site </t>
  </si>
  <si>
    <t xml:space="preserve">Proposed units enhancement offsite </t>
  </si>
  <si>
    <t>Off Site net area change</t>
  </si>
  <si>
    <t xml:space="preserve">Habitat condition </t>
  </si>
  <si>
    <t>Target cond</t>
  </si>
  <si>
    <t xml:space="preserve"> Intertidal habitats - Compensation inside same Marine Plan Area, or deemed to be sufficiently local, to site of biodiversity loss</t>
  </si>
  <si>
    <r>
      <t xml:space="preserve"> Intertidal habitats - Compensation </t>
    </r>
    <r>
      <rPr>
        <u/>
        <sz val="11"/>
        <color theme="4"/>
        <rFont val="Rockwell Light"/>
        <family val="1"/>
      </rPr>
      <t xml:space="preserve">outside </t>
    </r>
    <r>
      <rPr>
        <sz val="11"/>
        <color theme="4"/>
        <rFont val="Rockwell Light"/>
        <family val="1"/>
      </rPr>
      <t>same Marine Plan Area but in neighbouring Marine Plan Area</t>
    </r>
  </si>
  <si>
    <r>
      <t xml:space="preserve"> Intertidal habitats - Compensation </t>
    </r>
    <r>
      <rPr>
        <u/>
        <sz val="11"/>
        <color theme="4"/>
        <rFont val="Rockwell Light"/>
        <family val="1"/>
      </rPr>
      <t>outside</t>
    </r>
    <r>
      <rPr>
        <sz val="11"/>
        <color theme="4"/>
        <rFont val="Rockwell Light"/>
        <family val="1"/>
      </rPr>
      <t xml:space="preserve"> Marine Plan Area of impact site and beyond neighbouring Marine Plan Area </t>
    </r>
  </si>
  <si>
    <t>Time to Poor cond</t>
  </si>
  <si>
    <t>Wetland - Oceanic Valley Mire[1] (D2.1)</t>
  </si>
  <si>
    <t>Delay in starting habitat enhancement/years</t>
  </si>
  <si>
    <t>Intertidal sediment - Littoral seagrass on peat, clay or chalk</t>
  </si>
  <si>
    <t>Facade-bound green wall</t>
  </si>
  <si>
    <t>Urban - Facade-bound green wall</t>
  </si>
  <si>
    <t>Outside Waterbody</t>
  </si>
  <si>
    <t>Bespoke Compensation agreed?</t>
  </si>
  <si>
    <t>Unit Losses</t>
  </si>
  <si>
    <t>Total Length</t>
  </si>
  <si>
    <t>Applied difficulty multiplier</t>
  </si>
  <si>
    <t>Applied difficullty multiplier</t>
  </si>
  <si>
    <t>Proposed (Pre-Populated but can be overridden)</t>
  </si>
  <si>
    <t xml:space="preserve">Applied difficullty multiplier </t>
  </si>
  <si>
    <t>Applied  difficullty multiplier</t>
  </si>
  <si>
    <t xml:space="preserve">Creation - Years to Target Condition for All Habitats </t>
  </si>
  <si>
    <t xml:space="preserve">Enhancement - Years to Target Condition for All Habitats </t>
  </si>
  <si>
    <t>Existing units baseline on site</t>
  </si>
  <si>
    <t>Existing area baseline on site</t>
  </si>
  <si>
    <t>Intertidal Hard Structures</t>
  </si>
  <si>
    <t>Intertidal Hard Structures - Artificial hard structures</t>
  </si>
  <si>
    <t>Intertidal Hard Structures - Artificial features of hard structures</t>
  </si>
  <si>
    <t>Intertidal Hard Structures - Artificial hard structures with Integrated Greening of Grey Infrastructure (IGGI)</t>
  </si>
  <si>
    <t>Intertidal_hard_structures</t>
  </si>
  <si>
    <t>Spatial risk</t>
  </si>
  <si>
    <t>Length match</t>
  </si>
  <si>
    <t>Length Match</t>
  </si>
  <si>
    <t>Trading rules Satisfied?</t>
  </si>
  <si>
    <t xml:space="preserve">Final difficulty of enhancement </t>
  </si>
  <si>
    <t>N/A - Culvert</t>
  </si>
  <si>
    <t>Cond5</t>
  </si>
  <si>
    <t>Total area</t>
  </si>
  <si>
    <t>Rocky shore - Low energy littoral rock - on peat, clay or chalk</t>
  </si>
  <si>
    <t>Littoral seagrass on peat, clay or chalk</t>
  </si>
  <si>
    <t>Low energy littoral rock - on peat, clay or chalk</t>
  </si>
  <si>
    <r>
      <t xml:space="preserve">On-site net % change
</t>
    </r>
    <r>
      <rPr>
        <sz val="12"/>
        <color theme="4"/>
        <rFont val="Rockwell Light"/>
        <family val="1"/>
      </rPr>
      <t>(Including habitat retention, creation &amp; enhancement)</t>
    </r>
  </si>
  <si>
    <r>
      <t xml:space="preserve">On-site post-intervention
</t>
    </r>
    <r>
      <rPr>
        <sz val="12"/>
        <color theme="4"/>
        <rFont val="Rockwell Light"/>
        <family val="1"/>
      </rPr>
      <t>(Including habitat retention, creation &amp; enhancement)</t>
    </r>
  </si>
  <si>
    <r>
      <t xml:space="preserve">Off-site post-intervention
</t>
    </r>
    <r>
      <rPr>
        <sz val="12"/>
        <color theme="4"/>
        <rFont val="Rockwell Light"/>
        <family val="1"/>
      </rPr>
      <t>(Including habitat retention, creation &amp; enhancement)</t>
    </r>
  </si>
  <si>
    <r>
      <t xml:space="preserve">Total net unit change
</t>
    </r>
    <r>
      <rPr>
        <sz val="12"/>
        <color theme="4"/>
        <rFont val="Rockwell Light"/>
        <family val="1"/>
      </rPr>
      <t>(including all on-site &amp; off-site habitat retention, creation &amp; enhancement)</t>
    </r>
  </si>
  <si>
    <r>
      <t xml:space="preserve">Total on-site net % change plus off-site surplus
</t>
    </r>
    <r>
      <rPr>
        <sz val="12"/>
        <color theme="4"/>
        <rFont val="Rockwell Light"/>
        <family val="1"/>
      </rPr>
      <t>(including all on-site &amp; off-site habitat retention, creation &amp; enhancement)</t>
    </r>
  </si>
  <si>
    <t>Total area / length</t>
  </si>
  <si>
    <t>236 trees to be planted</t>
  </si>
  <si>
    <t>7948: Anglia Square, Norwich</t>
  </si>
  <si>
    <t>Weston Homes Plc</t>
  </si>
  <si>
    <t>Hybrid</t>
  </si>
  <si>
    <t>22/00434/F</t>
  </si>
  <si>
    <t>Adam Dixon</t>
  </si>
  <si>
    <t>Peter Hadfield</t>
  </si>
  <si>
    <t>New Hedge</t>
  </si>
  <si>
    <t>10 small trees in baseline - Losing T1, T6, T11 and G1 (10 small trees in total) / 10 medium trees in baseline - Losing T2 and T3 (2 medium trees in total) / 7 large trees in baseline - Losing T14 and T15 (2 large trees in total)</t>
  </si>
  <si>
    <t>Baseline Hedge</t>
  </si>
  <si>
    <t>Ivy-covered wall in southern site parcel</t>
  </si>
  <si>
    <t>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</si>
</sst>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0.0000"/>
  </numFmts>
  <fonts count="5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2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1"/>
      <name val="Rockwell Light"/>
      <family val="1"/>
    </font>
    <font>
      <b/>
      <sz val="24"/>
      <name val="Rockwell Light"/>
      <family val="1"/>
    </font>
    <font>
      <u/>
      <sz val="11"/>
      <name val="Rockwell Light"/>
      <family val="1"/>
    </font>
    <font>
      <sz val="12"/>
      <name val="Rockwell Light"/>
      <family val="1"/>
    </font>
    <font>
      <b/>
      <sz val="14"/>
      <color theme="4"/>
      <name val="Rockwell Light"/>
      <family val="1"/>
    </font>
    <font>
      <b/>
      <sz val="12"/>
      <color theme="4"/>
      <name val="Rockwell Light"/>
      <family val="1"/>
    </font>
    <font>
      <b/>
      <sz val="12"/>
      <name val="Rockwell Light"/>
      <family val="1"/>
    </font>
    <font>
      <b/>
      <sz val="16"/>
      <color theme="4"/>
      <name val="Rockwell Light"/>
      <family val="1"/>
    </font>
    <font>
      <b/>
      <sz val="16"/>
      <name val="Rockwell Light"/>
      <family val="1"/>
    </font>
    <font>
      <sz val="12"/>
      <color theme="1"/>
      <name val="Rockwell Light"/>
      <family val="1"/>
    </font>
    <font>
      <sz val="12"/>
      <color theme="4"/>
      <name val="Rockwell Light"/>
      <family val="1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24"/>
      <color theme="4"/>
      <name val="Rockwell Light"/>
      <family val="1"/>
    </font>
    <font>
      <i/>
      <sz val="14"/>
      <color theme="4"/>
      <name val="Rockwell Light"/>
      <family val="1"/>
    </font>
    <font>
      <sz val="14"/>
      <color theme="4"/>
      <name val="Rockwell Light"/>
      <family val="1"/>
    </font>
    <font>
      <sz val="11"/>
      <color theme="1"/>
      <name val="Rockwell Light"/>
      <family val="1"/>
    </font>
    <font>
      <b/>
      <sz val="18"/>
      <color theme="4"/>
      <name val="Rockwell Light"/>
      <family val="1"/>
    </font>
    <font>
      <b/>
      <sz val="24"/>
      <color theme="1"/>
      <name val="Rockwell Light"/>
      <family val="1"/>
    </font>
    <font>
      <b/>
      <sz val="12"/>
      <color theme="1"/>
      <name val="Rockwell Light"/>
      <family val="1"/>
    </font>
    <font>
      <b/>
      <sz val="22"/>
      <color theme="1"/>
      <name val="Rockwell Light"/>
      <family val="1"/>
    </font>
    <font>
      <sz val="12"/>
      <color rgb="FFFF0000"/>
      <name val="Rockwell Light"/>
      <family val="1"/>
    </font>
    <font>
      <sz val="11"/>
      <color theme="4"/>
      <name val="Rockwell Light"/>
      <family val="1"/>
    </font>
    <font>
      <b/>
      <sz val="24"/>
      <color theme="4"/>
      <name val="Rockwell Light"/>
      <family val="1"/>
    </font>
    <font>
      <b/>
      <sz val="20"/>
      <color theme="4"/>
      <name val="Rockwell Light"/>
      <family val="1"/>
    </font>
    <font>
      <b/>
      <sz val="22"/>
      <color theme="4"/>
      <name val="Rockwell Light"/>
      <family val="1"/>
    </font>
    <font>
      <b/>
      <sz val="11"/>
      <color theme="4"/>
      <name val="Rockwell Light"/>
      <family val="1"/>
    </font>
    <font>
      <sz val="10"/>
      <color theme="4"/>
      <name val="Arial"/>
      <family val="2"/>
    </font>
    <font>
      <b/>
      <sz val="12"/>
      <color theme="4"/>
      <name val="Calibri"/>
      <family val="2"/>
      <scheme val="minor"/>
    </font>
    <font>
      <sz val="18"/>
      <color theme="4"/>
      <name val="Rockwell Light"/>
      <family val="1"/>
    </font>
    <font>
      <b/>
      <sz val="28"/>
      <color theme="4"/>
      <name val="Rockwell Light"/>
      <family val="1"/>
    </font>
    <font>
      <sz val="10"/>
      <color theme="4"/>
      <name val="Rockwell Light"/>
      <family val="1"/>
    </font>
    <font>
      <sz val="10"/>
      <color theme="4"/>
      <name val="Calibri"/>
      <family val="2"/>
      <scheme val="minor"/>
    </font>
    <font>
      <b/>
      <sz val="10"/>
      <color theme="4"/>
      <name val="Arial"/>
      <family val="2"/>
    </font>
    <font>
      <b/>
      <sz val="10"/>
      <color theme="4"/>
      <name val="Rockwell Light"/>
      <family val="1"/>
    </font>
    <font>
      <b/>
      <sz val="26"/>
      <color theme="4"/>
      <name val="Rockwell Light"/>
      <family val="1"/>
    </font>
    <font>
      <u/>
      <sz val="11"/>
      <color theme="10"/>
      <name val="Rockwell Light"/>
      <family val="1"/>
    </font>
    <font>
      <b/>
      <sz val="16"/>
      <color theme="1"/>
      <name val="Rockwell Light"/>
      <family val="1"/>
    </font>
    <font>
      <u/>
      <sz val="11"/>
      <color theme="4"/>
      <name val="Rockwell Light"/>
      <family val="1"/>
    </font>
    <font>
      <b/>
      <sz val="14"/>
      <name val="Rockwell Light"/>
      <family val="1"/>
    </font>
    <font>
      <sz val="20"/>
      <color theme="4"/>
      <name val="Rockwell Light"/>
      <family val="1"/>
    </font>
    <font>
      <b/>
      <sz val="20"/>
      <color theme="4"/>
      <name val="Rockwell Light"/>
      <family val="1"/>
    </font>
    <font>
      <sz val="22"/>
      <color theme="4"/>
      <name val="Rockwell Light"/>
      <family val="1"/>
    </font>
    <font>
      <b/>
      <sz val="11"/>
      <color theme="2"/>
      <name val="Rockwell Light"/>
      <family val="1"/>
    </font>
    <font>
      <sz val="16"/>
      <color rgb="FFFF0000"/>
      <name val="Rockwell Light"/>
      <family val="1"/>
    </font>
  </fonts>
  <fills count="2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BC3C9"/>
        <bgColor indexed="64"/>
      </patternFill>
    </fill>
    <fill>
      <patternFill patternType="solid">
        <fgColor rgb="FFE0DCD3"/>
        <bgColor indexed="64"/>
      </patternFill>
    </fill>
    <fill>
      <patternFill patternType="solid">
        <fgColor rgb="FFCCBE9F"/>
        <bgColor indexed="64"/>
      </patternFill>
    </fill>
    <fill>
      <patternFill patternType="solid">
        <fgColor rgb="FFCAB8C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30">
    <xf numFmtId="0" fontId="0" fillId="0" borderId="0" xfId="0"/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justify"/>
    </xf>
    <xf numFmtId="0" fontId="6" fillId="10" borderId="0" xfId="0" applyFont="1" applyFill="1" applyAlignment="1">
      <alignment horizontal="left" vertical="top" wrapText="1"/>
    </xf>
    <xf numFmtId="0" fontId="1" fillId="10" borderId="0" xfId="0" applyFont="1" applyFill="1"/>
    <xf numFmtId="0" fontId="5" fillId="10" borderId="0" xfId="0" applyFont="1" applyFill="1"/>
    <xf numFmtId="0" fontId="5" fillId="10" borderId="0" xfId="0" applyFont="1" applyFill="1" applyAlignment="1">
      <alignment horizontal="center"/>
    </xf>
    <xf numFmtId="0" fontId="1" fillId="14" borderId="0" xfId="0" applyFont="1" applyFill="1"/>
    <xf numFmtId="0" fontId="0" fillId="14" borderId="0" xfId="0" applyFill="1"/>
    <xf numFmtId="0" fontId="8" fillId="14" borderId="0" xfId="0" applyFont="1" applyFill="1" applyAlignment="1">
      <alignment horizontal="left" vertical="center" indent="8"/>
    </xf>
    <xf numFmtId="0" fontId="11" fillId="10" borderId="0" xfId="0" applyFont="1" applyFill="1"/>
    <xf numFmtId="0" fontId="11" fillId="10" borderId="0" xfId="0" applyFont="1" applyFill="1" applyAlignment="1">
      <alignment horizontal="center" vertical="center"/>
    </xf>
    <xf numFmtId="0" fontId="12" fillId="10" borderId="0" xfId="0" applyFont="1" applyFill="1"/>
    <xf numFmtId="0" fontId="14" fillId="10" borderId="0" xfId="0" applyFont="1" applyFill="1" applyAlignment="1">
      <alignment vertical="top" wrapText="1"/>
    </xf>
    <xf numFmtId="0" fontId="19" fillId="10" borderId="0" xfId="0" applyFont="1" applyFill="1"/>
    <xf numFmtId="0" fontId="0" fillId="14" borderId="0" xfId="0" applyFill="1" applyAlignment="1">
      <alignment horizontal="center" vertical="center"/>
    </xf>
    <xf numFmtId="0" fontId="5" fillId="14" borderId="0" xfId="0" applyFont="1" applyFill="1"/>
    <xf numFmtId="0" fontId="5" fillId="14" borderId="0" xfId="0" applyFont="1" applyFill="1" applyAlignment="1">
      <alignment horizontal="center"/>
    </xf>
    <xf numFmtId="0" fontId="6" fillId="14" borderId="0" xfId="0" applyFont="1" applyFill="1" applyAlignment="1">
      <alignment horizontal="left" vertical="top" wrapText="1"/>
    </xf>
    <xf numFmtId="0" fontId="0" fillId="14" borderId="0" xfId="0" applyFill="1" applyAlignment="1">
      <alignment horizontal="justify"/>
    </xf>
    <xf numFmtId="0" fontId="22" fillId="11" borderId="5" xfId="0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horizontal="center" vertical="center" wrapText="1"/>
    </xf>
    <xf numFmtId="166" fontId="22" fillId="13" borderId="5" xfId="0" applyNumberFormat="1" applyFont="1" applyFill="1" applyBorder="1" applyAlignment="1">
      <alignment horizontal="center" vertical="center" wrapText="1"/>
    </xf>
    <xf numFmtId="2" fontId="22" fillId="13" borderId="5" xfId="0" applyNumberFormat="1" applyFont="1" applyFill="1" applyBorder="1" applyAlignment="1">
      <alignment horizontal="center" vertical="center" wrapText="1"/>
    </xf>
    <xf numFmtId="0" fontId="23" fillId="3" borderId="5" xfId="0" applyFont="1" applyFill="1" applyBorder="1" applyAlignment="1" applyProtection="1">
      <alignment horizontal="center" vertical="center" wrapText="1"/>
      <protection locked="0"/>
    </xf>
    <xf numFmtId="0" fontId="27" fillId="14" borderId="0" xfId="0" applyFont="1" applyFill="1"/>
    <xf numFmtId="0" fontId="29" fillId="14" borderId="0" xfId="0" applyFont="1" applyFill="1" applyAlignment="1">
      <alignment horizontal="center"/>
    </xf>
    <xf numFmtId="0" fontId="29" fillId="14" borderId="0" xfId="0" applyFont="1" applyFill="1" applyAlignment="1">
      <alignment horizontal="left"/>
    </xf>
    <xf numFmtId="0" fontId="30" fillId="14" borderId="0" xfId="0" applyFont="1" applyFill="1"/>
    <xf numFmtId="2" fontId="27" fillId="14" borderId="0" xfId="0" applyNumberFormat="1" applyFont="1" applyFill="1"/>
    <xf numFmtId="0" fontId="27" fillId="14" borderId="0" xfId="0" applyFont="1" applyFill="1" applyAlignment="1">
      <alignment horizontal="center" vertical="center" wrapText="1"/>
    </xf>
    <xf numFmtId="0" fontId="31" fillId="14" borderId="0" xfId="0" applyFont="1" applyFill="1"/>
    <xf numFmtId="0" fontId="27" fillId="14" borderId="0" xfId="0" applyFont="1" applyFill="1" applyAlignment="1">
      <alignment wrapText="1"/>
    </xf>
    <xf numFmtId="0" fontId="32" fillId="14" borderId="0" xfId="0" applyFont="1" applyFill="1" applyAlignment="1">
      <alignment horizontal="center" vertical="center" wrapText="1"/>
    </xf>
    <xf numFmtId="0" fontId="33" fillId="14" borderId="0" xfId="0" applyFont="1" applyFill="1"/>
    <xf numFmtId="0" fontId="34" fillId="14" borderId="0" xfId="0" applyFont="1" applyFill="1" applyAlignment="1">
      <alignment horizontal="left"/>
    </xf>
    <xf numFmtId="0" fontId="16" fillId="14" borderId="0" xfId="0" applyFont="1" applyFill="1"/>
    <xf numFmtId="2" fontId="33" fillId="14" borderId="0" xfId="0" applyNumberFormat="1" applyFont="1" applyFill="1"/>
    <xf numFmtId="0" fontId="21" fillId="5" borderId="54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21" fillId="5" borderId="70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/>
    </xf>
    <xf numFmtId="0" fontId="33" fillId="14" borderId="0" xfId="0" applyFont="1" applyFill="1" applyAlignment="1">
      <alignment horizontal="center" vertical="center" wrapText="1"/>
    </xf>
    <xf numFmtId="0" fontId="36" fillId="14" borderId="0" xfId="0" applyFont="1" applyFill="1"/>
    <xf numFmtId="0" fontId="33" fillId="14" borderId="0" xfId="0" applyFont="1" applyFill="1" applyAlignment="1">
      <alignment wrapText="1"/>
    </xf>
    <xf numFmtId="0" fontId="21" fillId="5" borderId="44" xfId="0" applyFont="1" applyFill="1" applyBorder="1" applyAlignment="1">
      <alignment horizontal="center" vertical="center" wrapText="1"/>
    </xf>
    <xf numFmtId="164" fontId="21" fillId="8" borderId="42" xfId="0" applyNumberFormat="1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5" xfId="0" applyFont="1" applyFill="1" applyBorder="1" applyAlignment="1">
      <alignment horizontal="center" vertical="center"/>
    </xf>
    <xf numFmtId="0" fontId="33" fillId="14" borderId="27" xfId="0" applyFont="1" applyFill="1" applyBorder="1"/>
    <xf numFmtId="0" fontId="33" fillId="10" borderId="0" xfId="0" applyFont="1" applyFill="1"/>
    <xf numFmtId="0" fontId="33" fillId="10" borderId="0" xfId="0" applyFont="1" applyFill="1" applyAlignment="1">
      <alignment horizontal="center" vertical="center"/>
    </xf>
    <xf numFmtId="0" fontId="33" fillId="10" borderId="0" xfId="0" applyFont="1" applyFill="1" applyAlignment="1">
      <alignment wrapText="1"/>
    </xf>
    <xf numFmtId="0" fontId="33" fillId="10" borderId="0" xfId="0" applyFont="1" applyFill="1" applyAlignment="1">
      <alignment horizontal="center" vertical="center" wrapText="1"/>
    </xf>
    <xf numFmtId="0" fontId="37" fillId="11" borderId="28" xfId="0" applyFont="1" applyFill="1" applyBorder="1" applyAlignment="1">
      <alignment horizontal="center" vertical="center" wrapText="1"/>
    </xf>
    <xf numFmtId="0" fontId="37" fillId="10" borderId="0" xfId="0" applyFont="1" applyFill="1" applyAlignment="1">
      <alignment vertical="center" wrapText="1"/>
    </xf>
    <xf numFmtId="0" fontId="33" fillId="10" borderId="5" xfId="0" applyFont="1" applyFill="1" applyBorder="1" applyAlignment="1">
      <alignment wrapText="1"/>
    </xf>
    <xf numFmtId="0" fontId="33" fillId="10" borderId="5" xfId="0" applyFont="1" applyFill="1" applyBorder="1"/>
    <xf numFmtId="0" fontId="37" fillId="10" borderId="0" xfId="0" applyFont="1" applyFill="1"/>
    <xf numFmtId="0" fontId="37" fillId="11" borderId="54" xfId="0" applyFont="1" applyFill="1" applyBorder="1" applyAlignment="1">
      <alignment horizontal="center" vertical="center" wrapText="1"/>
    </xf>
    <xf numFmtId="0" fontId="37" fillId="11" borderId="46" xfId="0" applyFont="1" applyFill="1" applyBorder="1" applyAlignment="1">
      <alignment horizontal="center" vertical="center" wrapText="1"/>
    </xf>
    <xf numFmtId="0" fontId="37" fillId="11" borderId="11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vertical="center" wrapText="1"/>
    </xf>
    <xf numFmtId="0" fontId="37" fillId="11" borderId="13" xfId="0" applyFont="1" applyFill="1" applyBorder="1" applyAlignment="1">
      <alignment horizontal="center" vertical="center" wrapText="1"/>
    </xf>
    <xf numFmtId="0" fontId="37" fillId="11" borderId="58" xfId="0" applyFont="1" applyFill="1" applyBorder="1" applyAlignment="1">
      <alignment horizontal="center" vertical="center" wrapText="1"/>
    </xf>
    <xf numFmtId="0" fontId="37" fillId="11" borderId="18" xfId="0" applyFont="1" applyFill="1" applyBorder="1" applyAlignment="1">
      <alignment horizontal="center" vertical="center" wrapText="1"/>
    </xf>
    <xf numFmtId="0" fontId="37" fillId="11" borderId="22" xfId="0" applyFont="1" applyFill="1" applyBorder="1" applyAlignment="1">
      <alignment horizontal="center" vertical="center" wrapText="1"/>
    </xf>
    <xf numFmtId="0" fontId="37" fillId="11" borderId="41" xfId="0" applyFont="1" applyFill="1" applyBorder="1" applyAlignment="1">
      <alignment horizontal="center" vertical="center" wrapText="1"/>
    </xf>
    <xf numFmtId="0" fontId="37" fillId="11" borderId="43" xfId="0" applyFont="1" applyFill="1" applyBorder="1" applyAlignment="1">
      <alignment horizontal="center" vertical="center" wrapText="1"/>
    </xf>
    <xf numFmtId="0" fontId="37" fillId="10" borderId="58" xfId="0" applyFont="1" applyFill="1" applyBorder="1" applyAlignment="1">
      <alignment horizontal="center" vertical="center" wrapText="1"/>
    </xf>
    <xf numFmtId="0" fontId="37" fillId="11" borderId="77" xfId="0" applyFont="1" applyFill="1" applyBorder="1" applyAlignment="1">
      <alignment horizontal="center" vertical="center" wrapText="1"/>
    </xf>
    <xf numFmtId="0" fontId="33" fillId="0" borderId="76" xfId="0" applyFont="1" applyBorder="1" applyAlignment="1" applyProtection="1">
      <alignment horizontal="center" vertical="center" wrapText="1"/>
      <protection locked="0"/>
    </xf>
    <xf numFmtId="0" fontId="33" fillId="9" borderId="5" xfId="0" applyFont="1" applyFill="1" applyBorder="1" applyAlignment="1">
      <alignment horizontal="center" vertical="top"/>
    </xf>
    <xf numFmtId="0" fontId="33" fillId="0" borderId="26" xfId="0" applyFont="1" applyBorder="1" applyAlignment="1" applyProtection="1">
      <alignment horizontal="center" vertical="center" wrapText="1"/>
      <protection locked="0"/>
    </xf>
    <xf numFmtId="0" fontId="33" fillId="12" borderId="25" xfId="0" applyFont="1" applyFill="1" applyBorder="1" applyAlignment="1">
      <alignment horizontal="center" vertical="center" wrapText="1"/>
    </xf>
    <xf numFmtId="0" fontId="33" fillId="12" borderId="26" xfId="0" applyFont="1" applyFill="1" applyBorder="1" applyAlignment="1">
      <alignment horizontal="center" vertical="center" wrapText="1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33" fillId="12" borderId="44" xfId="0" applyFont="1" applyFill="1" applyBorder="1" applyAlignment="1">
      <alignment horizontal="center" vertical="center" wrapText="1"/>
    </xf>
    <xf numFmtId="2" fontId="33" fillId="13" borderId="49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vertical="center" wrapText="1"/>
      <protection locked="0"/>
    </xf>
    <xf numFmtId="2" fontId="33" fillId="12" borderId="42" xfId="0" applyNumberFormat="1" applyFont="1" applyFill="1" applyBorder="1" applyAlignment="1">
      <alignment horizontal="center" vertical="center" wrapText="1"/>
    </xf>
    <xf numFmtId="2" fontId="33" fillId="13" borderId="42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 applyProtection="1">
      <alignment horizontal="left" vertical="top" wrapText="1"/>
      <protection locked="0"/>
    </xf>
    <xf numFmtId="0" fontId="33" fillId="3" borderId="19" xfId="0" applyFont="1" applyFill="1" applyBorder="1" applyAlignment="1" applyProtection="1">
      <alignment horizontal="left" vertical="top" wrapText="1"/>
      <protection locked="0"/>
    </xf>
    <xf numFmtId="2" fontId="33" fillId="10" borderId="2" xfId="0" applyNumberFormat="1" applyFont="1" applyFill="1" applyBorder="1" applyAlignment="1">
      <alignment horizontal="center" vertical="center" wrapText="1"/>
    </xf>
    <xf numFmtId="2" fontId="33" fillId="10" borderId="42" xfId="0" applyNumberFormat="1" applyFont="1" applyFill="1" applyBorder="1" applyAlignment="1">
      <alignment horizontal="center" vertical="center" wrapText="1"/>
    </xf>
    <xf numFmtId="0" fontId="37" fillId="11" borderId="5" xfId="0" applyFont="1" applyFill="1" applyBorder="1" applyAlignment="1">
      <alignment horizontal="center" vertical="center" wrapText="1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33" fillId="3" borderId="12" xfId="0" applyFont="1" applyFill="1" applyBorder="1" applyAlignment="1" applyProtection="1">
      <alignment horizontal="left" vertical="top" wrapText="1"/>
      <protection locked="0"/>
    </xf>
    <xf numFmtId="0" fontId="33" fillId="3" borderId="21" xfId="0" applyFont="1" applyFill="1" applyBorder="1" applyAlignment="1" applyProtection="1">
      <alignment horizontal="left" vertical="top" wrapText="1"/>
      <protection locked="0"/>
    </xf>
    <xf numFmtId="0" fontId="33" fillId="0" borderId="42" xfId="0" applyFont="1" applyBorder="1" applyAlignment="1" applyProtection="1">
      <alignment horizontal="center" vertical="center" wrapText="1"/>
      <protection locked="0"/>
    </xf>
    <xf numFmtId="0" fontId="33" fillId="3" borderId="13" xfId="0" applyFont="1" applyFill="1" applyBorder="1" applyAlignment="1" applyProtection="1">
      <alignment horizontal="left" vertical="top" wrapText="1"/>
      <protection locked="0"/>
    </xf>
    <xf numFmtId="0" fontId="33" fillId="3" borderId="22" xfId="0" applyFont="1" applyFill="1" applyBorder="1" applyAlignment="1" applyProtection="1">
      <alignment horizontal="left" vertical="top" wrapText="1"/>
      <protection locked="0"/>
    </xf>
    <xf numFmtId="2" fontId="37" fillId="10" borderId="0" xfId="0" applyNumberFormat="1" applyFont="1" applyFill="1" applyAlignment="1">
      <alignment horizontal="center" vertical="center" wrapText="1"/>
    </xf>
    <xf numFmtId="0" fontId="37" fillId="10" borderId="0" xfId="0" applyFont="1" applyFill="1" applyAlignment="1">
      <alignment horizontal="center" vertical="center" wrapText="1"/>
    </xf>
    <xf numFmtId="0" fontId="33" fillId="5" borderId="12" xfId="0" applyFont="1" applyFill="1" applyBorder="1"/>
    <xf numFmtId="0" fontId="33" fillId="5" borderId="5" xfId="0" applyFont="1" applyFill="1" applyBorder="1"/>
    <xf numFmtId="0" fontId="33" fillId="5" borderId="13" xfId="0" applyFont="1" applyFill="1" applyBorder="1"/>
    <xf numFmtId="0" fontId="33" fillId="5" borderId="18" xfId="0" applyFont="1" applyFill="1" applyBorder="1"/>
    <xf numFmtId="0" fontId="33" fillId="5" borderId="41" xfId="0" applyFont="1" applyFill="1" applyBorder="1"/>
    <xf numFmtId="0" fontId="33" fillId="5" borderId="66" xfId="0" applyFont="1" applyFill="1" applyBorder="1"/>
    <xf numFmtId="2" fontId="37" fillId="8" borderId="13" xfId="0" applyNumberFormat="1" applyFont="1" applyFill="1" applyBorder="1"/>
    <xf numFmtId="2" fontId="37" fillId="8" borderId="18" xfId="0" applyNumberFormat="1" applyFont="1" applyFill="1" applyBorder="1"/>
    <xf numFmtId="2" fontId="37" fillId="8" borderId="22" xfId="0" applyNumberFormat="1" applyFont="1" applyFill="1" applyBorder="1"/>
    <xf numFmtId="2" fontId="37" fillId="8" borderId="64" xfId="0" applyNumberFormat="1" applyFont="1" applyFill="1" applyBorder="1"/>
    <xf numFmtId="2" fontId="33" fillId="15" borderId="42" xfId="0" applyNumberFormat="1" applyFont="1" applyFill="1" applyBorder="1" applyAlignment="1">
      <alignment horizontal="center" vertical="center"/>
    </xf>
    <xf numFmtId="2" fontId="33" fillId="15" borderId="26" xfId="0" applyNumberFormat="1" applyFont="1" applyFill="1" applyBorder="1" applyAlignment="1">
      <alignment horizontal="center" vertical="center"/>
    </xf>
    <xf numFmtId="2" fontId="33" fillId="15" borderId="5" xfId="0" applyNumberFormat="1" applyFont="1" applyFill="1" applyBorder="1"/>
    <xf numFmtId="2" fontId="33" fillId="15" borderId="5" xfId="0" applyNumberFormat="1" applyFont="1" applyFill="1" applyBorder="1" applyAlignment="1">
      <alignment horizontal="center" vertical="center"/>
    </xf>
    <xf numFmtId="2" fontId="33" fillId="15" borderId="18" xfId="0" applyNumberFormat="1" applyFont="1" applyFill="1" applyBorder="1"/>
    <xf numFmtId="2" fontId="33" fillId="15" borderId="66" xfId="0" applyNumberFormat="1" applyFont="1" applyFill="1" applyBorder="1"/>
    <xf numFmtId="2" fontId="33" fillId="15" borderId="66" xfId="0" applyNumberFormat="1" applyFont="1" applyFill="1" applyBorder="1" applyAlignment="1">
      <alignment horizontal="center" vertical="center"/>
    </xf>
    <xf numFmtId="2" fontId="33" fillId="15" borderId="18" xfId="0" applyNumberFormat="1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33" fillId="14" borderId="4" xfId="0" applyFont="1" applyFill="1" applyBorder="1"/>
    <xf numFmtId="0" fontId="41" fillId="14" borderId="4" xfId="0" applyFont="1" applyFill="1" applyBorder="1" applyAlignment="1">
      <alignment horizontal="center"/>
    </xf>
    <xf numFmtId="164" fontId="33" fillId="15" borderId="5" xfId="0" applyNumberFormat="1" applyFont="1" applyFill="1" applyBorder="1"/>
    <xf numFmtId="0" fontId="33" fillId="15" borderId="5" xfId="0" applyFont="1" applyFill="1" applyBorder="1"/>
    <xf numFmtId="0" fontId="40" fillId="5" borderId="5" xfId="0" applyFont="1" applyFill="1" applyBorder="1" applyAlignment="1">
      <alignment horizontal="center"/>
    </xf>
    <xf numFmtId="0" fontId="40" fillId="5" borderId="16" xfId="0" applyFont="1" applyFill="1" applyBorder="1" applyAlignment="1">
      <alignment horizontal="center"/>
    </xf>
    <xf numFmtId="0" fontId="37" fillId="5" borderId="5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wrapText="1"/>
    </xf>
    <xf numFmtId="0" fontId="42" fillId="5" borderId="5" xfId="0" applyFont="1" applyFill="1" applyBorder="1" applyAlignment="1">
      <alignment wrapText="1"/>
    </xf>
    <xf numFmtId="0" fontId="42" fillId="5" borderId="5" xfId="0" applyFont="1" applyFill="1" applyBorder="1" applyAlignment="1">
      <alignment horizontal="left" wrapText="1"/>
    </xf>
    <xf numFmtId="0" fontId="42" fillId="5" borderId="5" xfId="0" applyFont="1" applyFill="1" applyBorder="1" applyAlignment="1">
      <alignment horizontal="left"/>
    </xf>
    <xf numFmtId="0" fontId="42" fillId="5" borderId="5" xfId="0" applyFont="1" applyFill="1" applyBorder="1" applyAlignment="1">
      <alignment horizontal="left" vertical="center"/>
    </xf>
    <xf numFmtId="0" fontId="33" fillId="5" borderId="5" xfId="0" applyFont="1" applyFill="1" applyBorder="1" applyAlignment="1">
      <alignment horizontal="left" vertical="center"/>
    </xf>
    <xf numFmtId="164" fontId="33" fillId="15" borderId="5" xfId="0" applyNumberFormat="1" applyFont="1" applyFill="1" applyBorder="1" applyAlignment="1">
      <alignment horizontal="center" vertical="center"/>
    </xf>
    <xf numFmtId="164" fontId="33" fillId="15" borderId="5" xfId="0" applyNumberFormat="1" applyFont="1" applyFill="1" applyBorder="1" applyAlignment="1">
      <alignment vertical="center"/>
    </xf>
    <xf numFmtId="0" fontId="33" fillId="5" borderId="5" xfId="0" applyFont="1" applyFill="1" applyBorder="1" applyAlignment="1">
      <alignment vertical="center"/>
    </xf>
    <xf numFmtId="0" fontId="41" fillId="5" borderId="16" xfId="0" applyFont="1" applyFill="1" applyBorder="1"/>
    <xf numFmtId="0" fontId="41" fillId="14" borderId="60" xfId="0" applyFont="1" applyFill="1" applyBorder="1"/>
    <xf numFmtId="0" fontId="41" fillId="14" borderId="4" xfId="0" applyFont="1" applyFill="1" applyBorder="1"/>
    <xf numFmtId="0" fontId="33" fillId="5" borderId="0" xfId="0" applyFont="1" applyFill="1"/>
    <xf numFmtId="0" fontId="33" fillId="5" borderId="16" xfId="0" applyFont="1" applyFill="1" applyBorder="1"/>
    <xf numFmtId="0" fontId="33" fillId="5" borderId="5" xfId="0" applyFont="1" applyFill="1" applyBorder="1" applyAlignment="1">
      <alignment horizontal="left" vertical="top"/>
    </xf>
    <xf numFmtId="2" fontId="33" fillId="5" borderId="5" xfId="0" applyNumberFormat="1" applyFont="1" applyFill="1" applyBorder="1"/>
    <xf numFmtId="0" fontId="41" fillId="14" borderId="0" xfId="0" applyFont="1" applyFill="1" applyAlignment="1">
      <alignment horizontal="center"/>
    </xf>
    <xf numFmtId="0" fontId="33" fillId="14" borderId="71" xfId="0" applyFont="1" applyFill="1" applyBorder="1"/>
    <xf numFmtId="0" fontId="16" fillId="5" borderId="5" xfId="0" applyFont="1" applyFill="1" applyBorder="1"/>
    <xf numFmtId="0" fontId="33" fillId="5" borderId="5" xfId="0" applyFont="1" applyFill="1" applyBorder="1" applyAlignment="1">
      <alignment horizontal="center"/>
    </xf>
    <xf numFmtId="0" fontId="37" fillId="5" borderId="5" xfId="0" applyFont="1" applyFill="1" applyBorder="1" applyAlignment="1">
      <alignment wrapText="1"/>
    </xf>
    <xf numFmtId="0" fontId="34" fillId="14" borderId="0" xfId="0" applyFont="1" applyFill="1"/>
    <xf numFmtId="0" fontId="16" fillId="5" borderId="5" xfId="0" applyFont="1" applyFill="1" applyBorder="1" applyAlignment="1">
      <alignment wrapText="1"/>
    </xf>
    <xf numFmtId="2" fontId="16" fillId="5" borderId="5" xfId="0" applyNumberFormat="1" applyFont="1" applyFill="1" applyBorder="1" applyAlignment="1">
      <alignment wrapText="1"/>
    </xf>
    <xf numFmtId="0" fontId="33" fillId="5" borderId="12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2" fontId="33" fillId="15" borderId="19" xfId="0" applyNumberFormat="1" applyFont="1" applyFill="1" applyBorder="1" applyAlignment="1">
      <alignment horizontal="center" vertical="center"/>
    </xf>
    <xf numFmtId="2" fontId="33" fillId="15" borderId="21" xfId="0" applyNumberFormat="1" applyFont="1" applyFill="1" applyBorder="1" applyAlignment="1">
      <alignment horizontal="center" vertical="center"/>
    </xf>
    <xf numFmtId="0" fontId="37" fillId="14" borderId="0" xfId="0" applyFont="1" applyFill="1"/>
    <xf numFmtId="0" fontId="33" fillId="14" borderId="0" xfId="0" applyFont="1" applyFill="1" applyAlignment="1">
      <alignment horizontal="center" vertical="center"/>
    </xf>
    <xf numFmtId="0" fontId="37" fillId="5" borderId="54" xfId="0" applyFont="1" applyFill="1" applyBorder="1" applyAlignment="1">
      <alignment horizontal="center" vertical="center" wrapText="1"/>
    </xf>
    <xf numFmtId="0" fontId="37" fillId="14" borderId="0" xfId="0" applyFont="1" applyFill="1" applyAlignment="1">
      <alignment vertical="center"/>
    </xf>
    <xf numFmtId="0" fontId="37" fillId="5" borderId="14" xfId="0" applyFont="1" applyFill="1" applyBorder="1" applyAlignment="1">
      <alignment horizontal="center" vertical="center" wrapText="1"/>
    </xf>
    <xf numFmtId="0" fontId="37" fillId="5" borderId="17" xfId="0" applyFont="1" applyFill="1" applyBorder="1" applyAlignment="1">
      <alignment horizontal="center" vertical="center" wrapText="1"/>
    </xf>
    <xf numFmtId="0" fontId="37" fillId="5" borderId="19" xfId="0" applyFont="1" applyFill="1" applyBorder="1" applyAlignment="1">
      <alignment horizontal="center" vertical="center" wrapText="1"/>
    </xf>
    <xf numFmtId="0" fontId="37" fillId="14" borderId="0" xfId="0" applyFont="1" applyFill="1" applyAlignment="1">
      <alignment vertical="center" wrapText="1"/>
    </xf>
    <xf numFmtId="0" fontId="33" fillId="6" borderId="5" xfId="0" applyFont="1" applyFill="1" applyBorder="1"/>
    <xf numFmtId="0" fontId="33" fillId="2" borderId="0" xfId="0" applyFont="1" applyFill="1"/>
    <xf numFmtId="0" fontId="37" fillId="5" borderId="12" xfId="0" applyFont="1" applyFill="1" applyBorder="1" applyAlignment="1">
      <alignment horizontal="center" vertical="center" wrapText="1"/>
    </xf>
    <xf numFmtId="0" fontId="42" fillId="0" borderId="5" xfId="0" applyFont="1" applyBorder="1" applyProtection="1">
      <protection locked="0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33" fillId="15" borderId="25" xfId="0" applyFont="1" applyFill="1" applyBorder="1" applyAlignment="1">
      <alignment horizontal="center" vertical="center" wrapText="1"/>
    </xf>
    <xf numFmtId="0" fontId="33" fillId="15" borderId="26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3" fillId="15" borderId="5" xfId="0" applyFont="1" applyFill="1" applyBorder="1" applyAlignment="1">
      <alignment horizontal="center" vertical="center" wrapText="1"/>
    </xf>
    <xf numFmtId="0" fontId="33" fillId="15" borderId="21" xfId="0" applyFont="1" applyFill="1" applyBorder="1" applyAlignment="1">
      <alignment horizontal="center" vertical="center" wrapText="1"/>
    </xf>
    <xf numFmtId="0" fontId="33" fillId="15" borderId="44" xfId="0" applyFont="1" applyFill="1" applyBorder="1" applyAlignment="1">
      <alignment horizontal="center" vertical="center" wrapText="1"/>
    </xf>
    <xf numFmtId="0" fontId="33" fillId="8" borderId="49" xfId="0" applyFont="1" applyFill="1" applyBorder="1" applyAlignment="1">
      <alignment horizontal="center" vertical="center" wrapText="1"/>
    </xf>
    <xf numFmtId="0" fontId="33" fillId="15" borderId="42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 applyProtection="1">
      <alignment wrapText="1"/>
      <protection locked="0"/>
    </xf>
    <xf numFmtId="0" fontId="33" fillId="3" borderId="26" xfId="0" applyFont="1" applyFill="1" applyBorder="1" applyAlignment="1" applyProtection="1">
      <alignment wrapText="1"/>
      <protection locked="0"/>
    </xf>
    <xf numFmtId="0" fontId="33" fillId="3" borderId="12" xfId="0" applyFont="1" applyFill="1" applyBorder="1" applyAlignment="1" applyProtection="1">
      <alignment wrapText="1"/>
      <protection locked="0"/>
    </xf>
    <xf numFmtId="0" fontId="33" fillId="3" borderId="21" xfId="0" applyFont="1" applyFill="1" applyBorder="1" applyAlignment="1" applyProtection="1">
      <alignment wrapText="1"/>
      <protection locked="0"/>
    </xf>
    <xf numFmtId="0" fontId="42" fillId="3" borderId="5" xfId="0" applyFont="1" applyFill="1" applyBorder="1" applyProtection="1">
      <protection locked="0"/>
    </xf>
    <xf numFmtId="0" fontId="33" fillId="3" borderId="21" xfId="0" applyFont="1" applyFill="1" applyBorder="1" applyAlignment="1" applyProtection="1">
      <alignment horizontal="center" vertical="center" wrapText="1"/>
      <protection locked="0"/>
    </xf>
    <xf numFmtId="0" fontId="33" fillId="3" borderId="12" xfId="0" applyFont="1" applyFill="1" applyBorder="1" applyAlignment="1" applyProtection="1">
      <alignment horizontal="center" vertical="center" wrapText="1"/>
      <protection locked="0"/>
    </xf>
    <xf numFmtId="0" fontId="33" fillId="3" borderId="4" xfId="0" applyFont="1" applyFill="1" applyBorder="1" applyAlignment="1" applyProtection="1">
      <alignment horizontal="center" vertical="center" wrapText="1"/>
      <protection locked="0"/>
    </xf>
    <xf numFmtId="0" fontId="33" fillId="14" borderId="5" xfId="0" applyFont="1" applyFill="1" applyBorder="1"/>
    <xf numFmtId="0" fontId="33" fillId="3" borderId="2" xfId="0" applyFont="1" applyFill="1" applyBorder="1" applyAlignment="1" applyProtection="1">
      <alignment horizontal="center" vertical="center" wrapText="1"/>
      <protection locked="0"/>
    </xf>
    <xf numFmtId="0" fontId="37" fillId="5" borderId="13" xfId="0" applyFont="1" applyFill="1" applyBorder="1" applyAlignment="1">
      <alignment horizontal="center" vertical="center" wrapText="1"/>
    </xf>
    <xf numFmtId="0" fontId="42" fillId="3" borderId="18" xfId="0" applyFont="1" applyFill="1" applyBorder="1" applyProtection="1">
      <protection locked="0"/>
    </xf>
    <xf numFmtId="0" fontId="33" fillId="3" borderId="22" xfId="0" applyFont="1" applyFill="1" applyBorder="1" applyAlignment="1" applyProtection="1">
      <alignment horizontal="center" vertical="center" wrapText="1"/>
      <protection locked="0"/>
    </xf>
    <xf numFmtId="0" fontId="33" fillId="3" borderId="13" xfId="0" applyFont="1" applyFill="1" applyBorder="1" applyAlignment="1" applyProtection="1">
      <alignment horizontal="center" vertical="center" wrapText="1"/>
      <protection locked="0"/>
    </xf>
    <xf numFmtId="0" fontId="33" fillId="15" borderId="18" xfId="0" applyFont="1" applyFill="1" applyBorder="1" applyAlignment="1">
      <alignment horizontal="center" vertical="center" wrapText="1"/>
    </xf>
    <xf numFmtId="0" fontId="33" fillId="15" borderId="22" xfId="0" applyFont="1" applyFill="1" applyBorder="1" applyAlignment="1">
      <alignment horizontal="center" vertical="center" wrapText="1"/>
    </xf>
    <xf numFmtId="0" fontId="33" fillId="15" borderId="51" xfId="0" applyFont="1" applyFill="1" applyBorder="1" applyAlignment="1">
      <alignment horizontal="center" vertical="center" wrapText="1"/>
    </xf>
    <xf numFmtId="0" fontId="33" fillId="3" borderId="13" xfId="0" applyFont="1" applyFill="1" applyBorder="1" applyAlignment="1" applyProtection="1">
      <alignment wrapText="1"/>
      <protection locked="0"/>
    </xf>
    <xf numFmtId="0" fontId="33" fillId="3" borderId="22" xfId="0" applyFont="1" applyFill="1" applyBorder="1" applyAlignment="1" applyProtection="1">
      <alignment wrapText="1"/>
      <protection locked="0"/>
    </xf>
    <xf numFmtId="0" fontId="37" fillId="5" borderId="8" xfId="0" applyFont="1" applyFill="1" applyBorder="1" applyAlignment="1">
      <alignment horizontal="center" vertical="center" wrapText="1"/>
    </xf>
    <xf numFmtId="2" fontId="37" fillId="8" borderId="54" xfId="0" applyNumberFormat="1" applyFont="1" applyFill="1" applyBorder="1" applyAlignment="1">
      <alignment horizontal="center" vertical="center" wrapText="1"/>
    </xf>
    <xf numFmtId="0" fontId="37" fillId="14" borderId="0" xfId="0" applyFont="1" applyFill="1" applyAlignment="1">
      <alignment horizontal="center" vertical="center" wrapText="1"/>
    </xf>
    <xf numFmtId="2" fontId="37" fillId="8" borderId="9" xfId="0" applyNumberFormat="1" applyFont="1" applyFill="1" applyBorder="1" applyAlignment="1">
      <alignment horizontal="center" vertical="center"/>
    </xf>
    <xf numFmtId="2" fontId="37" fillId="8" borderId="10" xfId="0" applyNumberFormat="1" applyFont="1" applyFill="1" applyBorder="1" applyAlignment="1">
      <alignment horizontal="center" vertical="center"/>
    </xf>
    <xf numFmtId="2" fontId="37" fillId="8" borderId="11" xfId="0" applyNumberFormat="1" applyFont="1" applyFill="1" applyBorder="1" applyAlignment="1">
      <alignment horizontal="center" vertical="center"/>
    </xf>
    <xf numFmtId="0" fontId="37" fillId="5" borderId="29" xfId="0" applyFont="1" applyFill="1" applyBorder="1" applyAlignment="1">
      <alignment horizontal="center" vertical="center" wrapText="1"/>
    </xf>
    <xf numFmtId="0" fontId="42" fillId="0" borderId="42" xfId="0" applyFont="1" applyBorder="1" applyProtection="1">
      <protection locked="0"/>
    </xf>
    <xf numFmtId="2" fontId="33" fillId="8" borderId="49" xfId="0" applyNumberFormat="1" applyFont="1" applyFill="1" applyBorder="1" applyAlignment="1">
      <alignment horizontal="center" vertical="center" wrapText="1"/>
    </xf>
    <xf numFmtId="2" fontId="33" fillId="15" borderId="42" xfId="0" applyNumberFormat="1" applyFont="1" applyFill="1" applyBorder="1" applyAlignment="1">
      <alignment horizontal="center" vertical="center" wrapText="1"/>
    </xf>
    <xf numFmtId="2" fontId="33" fillId="8" borderId="42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 applyProtection="1">
      <alignment wrapText="1"/>
      <protection locked="0"/>
    </xf>
    <xf numFmtId="0" fontId="33" fillId="3" borderId="19" xfId="0" applyFont="1" applyFill="1" applyBorder="1" applyAlignment="1" applyProtection="1">
      <alignment wrapText="1"/>
      <protection locked="0"/>
    </xf>
    <xf numFmtId="0" fontId="42" fillId="3" borderId="42" xfId="0" applyFont="1" applyFill="1" applyBorder="1" applyProtection="1">
      <protection locked="0"/>
    </xf>
    <xf numFmtId="0" fontId="33" fillId="3" borderId="26" xfId="0" applyFont="1" applyFill="1" applyBorder="1" applyAlignment="1" applyProtection="1">
      <alignment horizontal="center" vertical="center" wrapText="1"/>
      <protection locked="0"/>
    </xf>
    <xf numFmtId="0" fontId="37" fillId="5" borderId="9" xfId="0" applyFont="1" applyFill="1" applyBorder="1" applyAlignment="1">
      <alignment horizontal="center" vertical="center" wrapText="1"/>
    </xf>
    <xf numFmtId="2" fontId="37" fillId="8" borderId="11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vertical="center" wrapText="1"/>
    </xf>
    <xf numFmtId="0" fontId="33" fillId="3" borderId="0" xfId="0" applyFont="1" applyFill="1"/>
    <xf numFmtId="0" fontId="37" fillId="5" borderId="54" xfId="0" applyFont="1" applyFill="1" applyBorder="1"/>
    <xf numFmtId="0" fontId="37" fillId="5" borderId="11" xfId="0" applyFont="1" applyFill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left" textRotation="90" wrapText="1"/>
    </xf>
    <xf numFmtId="0" fontId="42" fillId="5" borderId="5" xfId="0" applyFont="1" applyFill="1" applyBorder="1" applyAlignment="1">
      <alignment vertical="center" textRotation="90" wrapText="1"/>
    </xf>
    <xf numFmtId="0" fontId="15" fillId="5" borderId="6" xfId="0" applyFont="1" applyFill="1" applyBorder="1" applyAlignment="1">
      <alignment vertical="center" wrapText="1"/>
    </xf>
    <xf numFmtId="0" fontId="33" fillId="14" borderId="0" xfId="0" applyFont="1" applyFill="1" applyAlignment="1">
      <alignment horizontal="left" vertical="top" wrapText="1"/>
    </xf>
    <xf numFmtId="0" fontId="33" fillId="5" borderId="54" xfId="0" applyFont="1" applyFill="1" applyBorder="1" applyAlignment="1">
      <alignment horizontal="left" vertical="top" wrapText="1"/>
    </xf>
    <xf numFmtId="0" fontId="33" fillId="15" borderId="14" xfId="0" applyFont="1" applyFill="1" applyBorder="1" applyAlignment="1">
      <alignment horizontal="center" vertical="center" wrapText="1"/>
    </xf>
    <xf numFmtId="0" fontId="33" fillId="15" borderId="19" xfId="0" applyFont="1" applyFill="1" applyBorder="1" applyAlignment="1">
      <alignment horizontal="center" vertical="center"/>
    </xf>
    <xf numFmtId="0" fontId="33" fillId="15" borderId="14" xfId="0" applyFont="1" applyFill="1" applyBorder="1" applyAlignment="1">
      <alignment horizontal="center" vertical="center"/>
    </xf>
    <xf numFmtId="0" fontId="33" fillId="15" borderId="17" xfId="0" applyFont="1" applyFill="1" applyBorder="1" applyAlignment="1">
      <alignment horizontal="center" vertical="center"/>
    </xf>
    <xf numFmtId="0" fontId="33" fillId="15" borderId="15" xfId="0" applyFont="1" applyFill="1" applyBorder="1" applyAlignment="1">
      <alignment horizontal="center" vertical="center"/>
    </xf>
    <xf numFmtId="0" fontId="42" fillId="15" borderId="12" xfId="0" applyFont="1" applyFill="1" applyBorder="1" applyAlignment="1">
      <alignment vertical="center" wrapText="1"/>
    </xf>
    <xf numFmtId="0" fontId="42" fillId="15" borderId="5" xfId="0" applyFont="1" applyFill="1" applyBorder="1" applyAlignment="1">
      <alignment vertical="center" wrapText="1"/>
    </xf>
    <xf numFmtId="0" fontId="42" fillId="15" borderId="21" xfId="0" applyFont="1" applyFill="1" applyBorder="1" applyAlignment="1">
      <alignment vertical="center" wrapText="1"/>
    </xf>
    <xf numFmtId="0" fontId="33" fillId="15" borderId="29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vertical="center"/>
    </xf>
    <xf numFmtId="0" fontId="33" fillId="15" borderId="26" xfId="0" applyFont="1" applyFill="1" applyBorder="1" applyAlignment="1">
      <alignment vertical="center"/>
    </xf>
    <xf numFmtId="0" fontId="33" fillId="15" borderId="13" xfId="0" applyFont="1" applyFill="1" applyBorder="1"/>
    <xf numFmtId="0" fontId="33" fillId="15" borderId="12" xfId="0" applyFont="1" applyFill="1" applyBorder="1" applyAlignment="1">
      <alignment horizontal="center" vertical="center" wrapText="1"/>
    </xf>
    <xf numFmtId="0" fontId="33" fillId="15" borderId="21" xfId="0" applyFont="1" applyFill="1" applyBorder="1" applyAlignment="1">
      <alignment horizontal="center" vertical="center"/>
    </xf>
    <xf numFmtId="0" fontId="33" fillId="15" borderId="12" xfId="0" applyFont="1" applyFill="1" applyBorder="1" applyAlignment="1">
      <alignment horizontal="center" vertical="center"/>
    </xf>
    <xf numFmtId="0" fontId="33" fillId="15" borderId="5" xfId="0" applyFont="1" applyFill="1" applyBorder="1" applyAlignment="1">
      <alignment horizontal="center" vertical="center"/>
    </xf>
    <xf numFmtId="0" fontId="33" fillId="15" borderId="39" xfId="0" applyFont="1" applyFill="1" applyBorder="1" applyAlignment="1">
      <alignment horizontal="center" vertical="center"/>
    </xf>
    <xf numFmtId="0" fontId="33" fillId="15" borderId="55" xfId="0" applyFont="1" applyFill="1" applyBorder="1" applyAlignment="1">
      <alignment horizontal="center" vertical="center" wrapText="1"/>
    </xf>
    <xf numFmtId="0" fontId="33" fillId="15" borderId="21" xfId="0" applyFont="1" applyFill="1" applyBorder="1"/>
    <xf numFmtId="0" fontId="33" fillId="15" borderId="22" xfId="0" applyFont="1" applyFill="1" applyBorder="1"/>
    <xf numFmtId="0" fontId="33" fillId="15" borderId="5" xfId="0" applyFont="1" applyFill="1" applyBorder="1" applyAlignment="1">
      <alignment wrapText="1"/>
    </xf>
    <xf numFmtId="0" fontId="33" fillId="15" borderId="13" xfId="0" applyFont="1" applyFill="1" applyBorder="1" applyAlignment="1">
      <alignment horizontal="center" vertical="center" wrapText="1"/>
    </xf>
    <xf numFmtId="0" fontId="33" fillId="15" borderId="22" xfId="0" applyFont="1" applyFill="1" applyBorder="1" applyAlignment="1">
      <alignment horizontal="center" vertical="center"/>
    </xf>
    <xf numFmtId="0" fontId="33" fillId="15" borderId="13" xfId="0" applyFont="1" applyFill="1" applyBorder="1" applyAlignment="1">
      <alignment horizontal="center" vertical="center"/>
    </xf>
    <xf numFmtId="0" fontId="33" fillId="15" borderId="18" xfId="0" applyFont="1" applyFill="1" applyBorder="1" applyAlignment="1">
      <alignment horizontal="center" vertical="center"/>
    </xf>
    <xf numFmtId="0" fontId="33" fillId="15" borderId="64" xfId="0" applyFont="1" applyFill="1" applyBorder="1" applyAlignment="1">
      <alignment horizontal="center" vertical="center"/>
    </xf>
    <xf numFmtId="0" fontId="33" fillId="15" borderId="40" xfId="0" applyFont="1" applyFill="1" applyBorder="1" applyAlignment="1">
      <alignment horizontal="center" vertical="center" wrapText="1"/>
    </xf>
    <xf numFmtId="0" fontId="33" fillId="14" borderId="50" xfId="0" applyFont="1" applyFill="1" applyBorder="1"/>
    <xf numFmtId="0" fontId="15" fillId="5" borderId="16" xfId="0" applyFont="1" applyFill="1" applyBorder="1" applyAlignment="1">
      <alignment horizontal="left" vertical="center"/>
    </xf>
    <xf numFmtId="0" fontId="15" fillId="5" borderId="6" xfId="0" applyFont="1" applyFill="1" applyBorder="1" applyAlignment="1">
      <alignment horizontal="left" vertical="center"/>
    </xf>
    <xf numFmtId="0" fontId="21" fillId="14" borderId="0" xfId="0" applyFont="1" applyFill="1"/>
    <xf numFmtId="0" fontId="37" fillId="5" borderId="18" xfId="0" applyFont="1" applyFill="1" applyBorder="1" applyAlignment="1">
      <alignment horizontal="center" vertical="center" wrapText="1"/>
    </xf>
    <xf numFmtId="0" fontId="42" fillId="15" borderId="12" xfId="9" applyFont="1" applyFill="1" applyBorder="1" applyAlignment="1">
      <alignment horizontal="center" vertical="center"/>
    </xf>
    <xf numFmtId="0" fontId="33" fillId="15" borderId="67" xfId="0" applyFont="1" applyFill="1" applyBorder="1" applyAlignment="1">
      <alignment horizontal="center" vertical="center" wrapText="1"/>
    </xf>
    <xf numFmtId="0" fontId="33" fillId="3" borderId="42" xfId="0" applyFont="1" applyFill="1" applyBorder="1" applyAlignment="1" applyProtection="1">
      <alignment horizontal="center" vertical="center" wrapText="1"/>
      <protection locked="0"/>
    </xf>
    <xf numFmtId="0" fontId="33" fillId="15" borderId="42" xfId="0" applyFont="1" applyFill="1" applyBorder="1" applyAlignment="1">
      <alignment horizontal="center" vertical="center"/>
    </xf>
    <xf numFmtId="165" fontId="33" fillId="15" borderId="26" xfId="0" applyNumberFormat="1" applyFont="1" applyFill="1" applyBorder="1" applyAlignment="1">
      <alignment horizontal="center" vertical="center" wrapText="1"/>
    </xf>
    <xf numFmtId="2" fontId="33" fillId="0" borderId="4" xfId="0" applyNumberFormat="1" applyFont="1" applyBorder="1" applyAlignment="1" applyProtection="1">
      <alignment horizontal="center" vertical="center" wrapText="1"/>
      <protection locked="0"/>
    </xf>
    <xf numFmtId="2" fontId="33" fillId="8" borderId="26" xfId="0" applyNumberFormat="1" applyFont="1" applyFill="1" applyBorder="1" applyAlignment="1">
      <alignment horizontal="center" vertical="center" wrapText="1"/>
    </xf>
    <xf numFmtId="2" fontId="3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2" fillId="15" borderId="13" xfId="9" applyFont="1" applyFill="1" applyBorder="1" applyAlignment="1">
      <alignment horizontal="center" vertical="center"/>
    </xf>
    <xf numFmtId="0" fontId="33" fillId="14" borderId="59" xfId="0" applyFont="1" applyFill="1" applyBorder="1"/>
    <xf numFmtId="0" fontId="33" fillId="15" borderId="60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 applyProtection="1">
      <alignment horizontal="center" vertical="center" wrapText="1"/>
      <protection locked="0"/>
    </xf>
    <xf numFmtId="0" fontId="37" fillId="14" borderId="34" xfId="0" applyFont="1" applyFill="1" applyBorder="1"/>
    <xf numFmtId="0" fontId="37" fillId="5" borderId="42" xfId="0" applyFont="1" applyFill="1" applyBorder="1" applyAlignment="1">
      <alignment horizontal="center" vertical="center" wrapText="1"/>
    </xf>
    <xf numFmtId="0" fontId="37" fillId="5" borderId="26" xfId="0" applyFont="1" applyFill="1" applyBorder="1" applyAlignment="1">
      <alignment horizontal="center" vertical="center" wrapText="1"/>
    </xf>
    <xf numFmtId="2" fontId="33" fillId="8" borderId="67" xfId="0" applyNumberFormat="1" applyFont="1" applyFill="1" applyBorder="1" applyAlignment="1">
      <alignment horizontal="center" vertical="center" wrapText="1"/>
    </xf>
    <xf numFmtId="0" fontId="33" fillId="3" borderId="5" xfId="0" applyFont="1" applyFill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3" fillId="15" borderId="2" xfId="0" applyFont="1" applyFill="1" applyBorder="1" applyAlignment="1">
      <alignment horizontal="center" vertical="center" wrapText="1"/>
    </xf>
    <xf numFmtId="0" fontId="37" fillId="3" borderId="4" xfId="0" applyFont="1" applyFill="1" applyBorder="1" applyAlignment="1" applyProtection="1">
      <alignment horizontal="center" vertical="center" wrapText="1"/>
      <protection locked="0"/>
    </xf>
    <xf numFmtId="0" fontId="33" fillId="3" borderId="18" xfId="0" applyFont="1" applyFill="1" applyBorder="1" applyAlignment="1" applyProtection="1">
      <alignment horizontal="center" vertical="center" wrapText="1"/>
      <protection locked="0"/>
    </xf>
    <xf numFmtId="0" fontId="28" fillId="5" borderId="20" xfId="0" applyFont="1" applyFill="1" applyBorder="1" applyAlignment="1">
      <alignment vertical="center"/>
    </xf>
    <xf numFmtId="0" fontId="28" fillId="5" borderId="27" xfId="0" applyFont="1" applyFill="1" applyBorder="1" applyAlignment="1">
      <alignment vertical="center"/>
    </xf>
    <xf numFmtId="0" fontId="28" fillId="5" borderId="56" xfId="0" applyFont="1" applyFill="1" applyBorder="1" applyAlignment="1">
      <alignment vertical="center"/>
    </xf>
    <xf numFmtId="0" fontId="28" fillId="5" borderId="33" xfId="0" applyFont="1" applyFill="1" applyBorder="1" applyAlignment="1">
      <alignment vertical="center"/>
    </xf>
    <xf numFmtId="0" fontId="28" fillId="5" borderId="34" xfId="0" applyFont="1" applyFill="1" applyBorder="1" applyAlignment="1">
      <alignment vertical="center"/>
    </xf>
    <xf numFmtId="0" fontId="28" fillId="5" borderId="59" xfId="0" applyFont="1" applyFill="1" applyBorder="1" applyAlignment="1">
      <alignment vertical="center"/>
    </xf>
    <xf numFmtId="0" fontId="37" fillId="5" borderId="40" xfId="0" applyFont="1" applyFill="1" applyBorder="1" applyAlignment="1">
      <alignment horizontal="center" vertical="center" wrapText="1"/>
    </xf>
    <xf numFmtId="0" fontId="37" fillId="5" borderId="41" xfId="0" applyFont="1" applyFill="1" applyBorder="1" applyAlignment="1">
      <alignment horizontal="center" vertical="center" wrapText="1"/>
    </xf>
    <xf numFmtId="0" fontId="37" fillId="5" borderId="43" xfId="0" applyFont="1" applyFill="1" applyBorder="1" applyAlignment="1">
      <alignment horizontal="center" vertical="center" wrapText="1"/>
    </xf>
    <xf numFmtId="2" fontId="33" fillId="15" borderId="5" xfId="0" applyNumberFormat="1" applyFont="1" applyFill="1" applyBorder="1" applyAlignment="1">
      <alignment horizontal="center" vertical="center" wrapText="1"/>
    </xf>
    <xf numFmtId="2" fontId="33" fillId="8" borderId="21" xfId="0" applyNumberFormat="1" applyFont="1" applyFill="1" applyBorder="1" applyAlignment="1">
      <alignment horizontal="center" vertical="center" wrapText="1"/>
    </xf>
    <xf numFmtId="0" fontId="33" fillId="3" borderId="41" xfId="0" applyFont="1" applyFill="1" applyBorder="1" applyAlignment="1" applyProtection="1">
      <alignment horizontal="center" vertical="center" wrapText="1"/>
      <protection locked="0"/>
    </xf>
    <xf numFmtId="0" fontId="33" fillId="3" borderId="66" xfId="0" applyFont="1" applyFill="1" applyBorder="1" applyAlignment="1" applyProtection="1">
      <alignment horizontal="center" vertical="center" wrapText="1"/>
      <protection locked="0"/>
    </xf>
    <xf numFmtId="2" fontId="33" fillId="15" borderId="66" xfId="0" applyNumberFormat="1" applyFont="1" applyFill="1" applyBorder="1" applyAlignment="1">
      <alignment horizontal="center" vertical="center" wrapText="1"/>
    </xf>
    <xf numFmtId="0" fontId="28" fillId="14" borderId="0" xfId="0" applyFont="1" applyFill="1"/>
    <xf numFmtId="0" fontId="37" fillId="5" borderId="66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center" vertical="center" wrapText="1"/>
    </xf>
    <xf numFmtId="0" fontId="33" fillId="15" borderId="5" xfId="0" applyFont="1" applyFill="1" applyBorder="1" applyAlignment="1">
      <alignment horizontal="center" vertical="top"/>
    </xf>
    <xf numFmtId="0" fontId="33" fillId="14" borderId="5" xfId="0" applyFont="1" applyFill="1" applyBorder="1" applyAlignment="1">
      <alignment horizontal="left" vertical="top"/>
    </xf>
    <xf numFmtId="0" fontId="33" fillId="15" borderId="5" xfId="0" applyFont="1" applyFill="1" applyBorder="1" applyAlignment="1">
      <alignment horizontal="center"/>
    </xf>
    <xf numFmtId="0" fontId="33" fillId="15" borderId="5" xfId="0" applyFont="1" applyFill="1" applyBorder="1" applyAlignment="1">
      <alignment horizontal="center" vertical="top" wrapText="1"/>
    </xf>
    <xf numFmtId="0" fontId="33" fillId="14" borderId="5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left" vertical="top"/>
    </xf>
    <xf numFmtId="0" fontId="33" fillId="5" borderId="42" xfId="0" applyFont="1" applyFill="1" applyBorder="1" applyAlignment="1">
      <alignment horizontal="left" vertical="top"/>
    </xf>
    <xf numFmtId="0" fontId="37" fillId="15" borderId="5" xfId="0" applyFont="1" applyFill="1" applyBorder="1" applyAlignment="1">
      <alignment horizontal="center" vertical="center"/>
    </xf>
    <xf numFmtId="0" fontId="37" fillId="15" borderId="18" xfId="0" applyFont="1" applyFill="1" applyBorder="1" applyAlignment="1">
      <alignment horizontal="center" vertical="center"/>
    </xf>
    <xf numFmtId="0" fontId="37" fillId="15" borderId="42" xfId="0" applyFont="1" applyFill="1" applyBorder="1" applyAlignment="1">
      <alignment horizontal="center" vertical="center"/>
    </xf>
    <xf numFmtId="0" fontId="45" fillId="15" borderId="5" xfId="0" applyFont="1" applyFill="1" applyBorder="1" applyAlignment="1">
      <alignment horizontal="center" vertical="center"/>
    </xf>
    <xf numFmtId="0" fontId="33" fillId="15" borderId="18" xfId="0" applyFont="1" applyFill="1" applyBorder="1" applyAlignment="1">
      <alignment horizontal="center"/>
    </xf>
    <xf numFmtId="0" fontId="42" fillId="15" borderId="18" xfId="0" applyFont="1" applyFill="1" applyBorder="1" applyAlignment="1">
      <alignment horizontal="center" vertical="center"/>
    </xf>
    <xf numFmtId="0" fontId="33" fillId="5" borderId="10" xfId="0" applyFont="1" applyFill="1" applyBorder="1" applyAlignment="1">
      <alignment horizontal="left" vertical="top"/>
    </xf>
    <xf numFmtId="0" fontId="33" fillId="15" borderId="10" xfId="0" applyFont="1" applyFill="1" applyBorder="1" applyAlignment="1">
      <alignment horizontal="center"/>
    </xf>
    <xf numFmtId="0" fontId="33" fillId="15" borderId="10" xfId="0" applyFont="1" applyFill="1" applyBorder="1"/>
    <xf numFmtId="0" fontId="33" fillId="15" borderId="10" xfId="0" applyFont="1" applyFill="1" applyBorder="1" applyAlignment="1">
      <alignment horizontal="center" vertical="center"/>
    </xf>
    <xf numFmtId="0" fontId="33" fillId="15" borderId="10" xfId="0" applyFont="1" applyFill="1" applyBorder="1" applyAlignment="1">
      <alignment horizontal="center" vertical="center" wrapText="1"/>
    </xf>
    <xf numFmtId="0" fontId="33" fillId="15" borderId="42" xfId="0" applyFont="1" applyFill="1" applyBorder="1" applyAlignment="1">
      <alignment horizontal="center"/>
    </xf>
    <xf numFmtId="0" fontId="33" fillId="15" borderId="42" xfId="0" applyFont="1" applyFill="1" applyBorder="1"/>
    <xf numFmtId="0" fontId="37" fillId="14" borderId="5" xfId="0" applyFont="1" applyFill="1" applyBorder="1" applyAlignment="1">
      <alignment horizontal="left" vertical="top"/>
    </xf>
    <xf numFmtId="0" fontId="37" fillId="5" borderId="5" xfId="0" applyFont="1" applyFill="1" applyBorder="1" applyAlignment="1">
      <alignment horizontal="left" vertical="top"/>
    </xf>
    <xf numFmtId="0" fontId="37" fillId="5" borderId="18" xfId="0" applyFont="1" applyFill="1" applyBorder="1" applyAlignment="1">
      <alignment horizontal="left" vertical="top"/>
    </xf>
    <xf numFmtId="0" fontId="33" fillId="15" borderId="18" xfId="0" applyFont="1" applyFill="1" applyBorder="1"/>
    <xf numFmtId="0" fontId="33" fillId="15" borderId="5" xfId="0" applyFont="1" applyFill="1" applyBorder="1" applyAlignment="1">
      <alignment horizontal="center" wrapText="1"/>
    </xf>
    <xf numFmtId="0" fontId="33" fillId="5" borderId="18" xfId="0" applyFont="1" applyFill="1" applyBorder="1" applyAlignment="1">
      <alignment wrapText="1"/>
    </xf>
    <xf numFmtId="0" fontId="33" fillId="15" borderId="18" xfId="0" applyFont="1" applyFill="1" applyBorder="1" applyAlignment="1">
      <alignment horizontal="center" wrapText="1"/>
    </xf>
    <xf numFmtId="0" fontId="33" fillId="5" borderId="42" xfId="0" applyFont="1" applyFill="1" applyBorder="1" applyAlignment="1">
      <alignment wrapText="1"/>
    </xf>
    <xf numFmtId="0" fontId="33" fillId="15" borderId="42" xfId="0" applyFont="1" applyFill="1" applyBorder="1" applyAlignment="1">
      <alignment horizontal="center" wrapText="1"/>
    </xf>
    <xf numFmtId="0" fontId="37" fillId="14" borderId="27" xfId="0" applyFont="1" applyFill="1" applyBorder="1" applyAlignment="1">
      <alignment horizontal="center" vertical="center"/>
    </xf>
    <xf numFmtId="0" fontId="37" fillId="14" borderId="28" xfId="0" applyFont="1" applyFill="1" applyBorder="1" applyAlignment="1">
      <alignment horizontal="center" vertical="center" wrapText="1"/>
    </xf>
    <xf numFmtId="0" fontId="37" fillId="5" borderId="50" xfId="0" applyFont="1" applyFill="1" applyBorder="1" applyAlignment="1">
      <alignment horizontal="center" vertical="center" wrapText="1"/>
    </xf>
    <xf numFmtId="0" fontId="42" fillId="15" borderId="12" xfId="9" applyFont="1" applyFill="1" applyBorder="1" applyAlignment="1">
      <alignment horizontal="center" vertical="center" wrapText="1"/>
    </xf>
    <xf numFmtId="0" fontId="33" fillId="14" borderId="49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 applyProtection="1">
      <alignment horizontal="center" vertical="center" wrapText="1"/>
      <protection locked="0"/>
    </xf>
    <xf numFmtId="0" fontId="37" fillId="3" borderId="21" xfId="0" applyFont="1" applyFill="1" applyBorder="1" applyAlignment="1" applyProtection="1">
      <alignment horizontal="center" vertical="center" wrapText="1"/>
      <protection locked="0"/>
    </xf>
    <xf numFmtId="0" fontId="33" fillId="14" borderId="25" xfId="0" applyFont="1" applyFill="1" applyBorder="1" applyAlignment="1">
      <alignment horizontal="center" vertical="center" wrapText="1"/>
    </xf>
    <xf numFmtId="0" fontId="33" fillId="15" borderId="6" xfId="0" applyFont="1" applyFill="1" applyBorder="1" applyAlignment="1">
      <alignment horizontal="center" vertical="center" wrapText="1"/>
    </xf>
    <xf numFmtId="165" fontId="33" fillId="15" borderId="21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 applyProtection="1">
      <alignment wrapText="1"/>
      <protection locked="0"/>
    </xf>
    <xf numFmtId="0" fontId="33" fillId="14" borderId="55" xfId="0" applyFont="1" applyFill="1" applyBorder="1" applyAlignment="1">
      <alignment horizontal="center" vertical="center" wrapText="1"/>
    </xf>
    <xf numFmtId="0" fontId="33" fillId="14" borderId="12" xfId="0" applyFont="1" applyFill="1" applyBorder="1" applyAlignment="1">
      <alignment horizontal="center" vertical="center" wrapText="1"/>
    </xf>
    <xf numFmtId="0" fontId="33" fillId="10" borderId="57" xfId="0" applyFont="1" applyFill="1" applyBorder="1" applyAlignment="1">
      <alignment horizontal="center" vertical="center" wrapText="1"/>
    </xf>
    <xf numFmtId="0" fontId="21" fillId="10" borderId="0" xfId="0" applyFont="1" applyFill="1"/>
    <xf numFmtId="0" fontId="37" fillId="11" borderId="0" xfId="0" applyFont="1" applyFill="1" applyAlignment="1">
      <alignment horizontal="center" vertical="center"/>
    </xf>
    <xf numFmtId="0" fontId="42" fillId="12" borderId="12" xfId="9" applyFont="1" applyFill="1" applyBorder="1" applyAlignment="1">
      <alignment horizontal="center" vertical="center"/>
    </xf>
    <xf numFmtId="0" fontId="33" fillId="12" borderId="5" xfId="0" applyFont="1" applyFill="1" applyBorder="1" applyAlignment="1">
      <alignment horizontal="center" vertical="center" wrapText="1"/>
    </xf>
    <xf numFmtId="2" fontId="33" fillId="12" borderId="5" xfId="0" applyNumberFormat="1" applyFont="1" applyFill="1" applyBorder="1" applyAlignment="1">
      <alignment horizontal="center" vertical="center" wrapText="1"/>
    </xf>
    <xf numFmtId="0" fontId="33" fillId="12" borderId="21" xfId="0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7" fillId="0" borderId="12" xfId="0" applyFont="1" applyBorder="1" applyAlignment="1" applyProtection="1">
      <alignment horizontal="center" vertical="center" wrapText="1"/>
      <protection locked="0"/>
    </xf>
    <xf numFmtId="0" fontId="33" fillId="12" borderId="42" xfId="0" applyFont="1" applyFill="1" applyBorder="1" applyAlignment="1">
      <alignment horizontal="center" vertical="center" wrapText="1"/>
    </xf>
    <xf numFmtId="0" fontId="33" fillId="12" borderId="60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12" borderId="6" xfId="0" applyFont="1" applyFill="1" applyBorder="1" applyAlignment="1">
      <alignment horizontal="center" vertical="center"/>
    </xf>
    <xf numFmtId="0" fontId="33" fillId="12" borderId="5" xfId="0" applyFont="1" applyFill="1" applyBorder="1" applyAlignment="1">
      <alignment horizontal="center" vertical="center"/>
    </xf>
    <xf numFmtId="165" fontId="33" fillId="12" borderId="26" xfId="0" applyNumberFormat="1" applyFont="1" applyFill="1" applyBorder="1" applyAlignment="1">
      <alignment horizontal="center" vertical="center" wrapText="1"/>
    </xf>
    <xf numFmtId="2" fontId="33" fillId="13" borderId="26" xfId="0" applyNumberFormat="1" applyFont="1" applyFill="1" applyBorder="1" applyAlignment="1">
      <alignment horizontal="center" vertical="center" wrapText="1"/>
    </xf>
    <xf numFmtId="0" fontId="33" fillId="0" borderId="25" xfId="0" applyFont="1" applyBorder="1" applyAlignment="1" applyProtection="1">
      <alignment wrapText="1"/>
      <protection locked="0"/>
    </xf>
    <xf numFmtId="0" fontId="33" fillId="0" borderId="26" xfId="0" applyFont="1" applyBorder="1" applyAlignment="1" applyProtection="1">
      <alignment wrapText="1"/>
      <protection locked="0"/>
    </xf>
    <xf numFmtId="0" fontId="33" fillId="12" borderId="18" xfId="0" applyFont="1" applyFill="1" applyBorder="1" applyAlignment="1">
      <alignment horizontal="center" vertical="center" wrapText="1"/>
    </xf>
    <xf numFmtId="2" fontId="33" fillId="12" borderId="18" xfId="0" applyNumberFormat="1" applyFont="1" applyFill="1" applyBorder="1" applyAlignment="1">
      <alignment horizontal="center" vertical="center" wrapText="1"/>
    </xf>
    <xf numFmtId="0" fontId="33" fillId="12" borderId="22" xfId="0" applyFont="1" applyFill="1" applyBorder="1" applyAlignment="1">
      <alignment horizontal="center" vertical="center" wrapText="1"/>
    </xf>
    <xf numFmtId="0" fontId="33" fillId="0" borderId="18" xfId="0" applyFont="1" applyBorder="1" applyAlignment="1" applyProtection="1">
      <alignment horizontal="center" vertical="center" wrapText="1"/>
      <protection locked="0"/>
    </xf>
    <xf numFmtId="0" fontId="33" fillId="14" borderId="57" xfId="0" applyFont="1" applyFill="1" applyBorder="1"/>
    <xf numFmtId="0" fontId="33" fillId="3" borderId="5" xfId="0" applyFont="1" applyFill="1" applyBorder="1" applyAlignment="1">
      <alignment horizontal="center" vertical="top" wrapText="1"/>
    </xf>
    <xf numFmtId="0" fontId="33" fillId="14" borderId="31" xfId="0" applyFont="1" applyFill="1" applyBorder="1"/>
    <xf numFmtId="0" fontId="16" fillId="10" borderId="0" xfId="0" applyFont="1" applyFill="1"/>
    <xf numFmtId="0" fontId="33" fillId="9" borderId="5" xfId="0" applyFont="1" applyFill="1" applyBorder="1" applyAlignment="1">
      <alignment horizontal="center" vertical="top" wrapText="1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3" fillId="14" borderId="59" xfId="0" applyFont="1" applyFill="1" applyBorder="1" applyAlignment="1">
      <alignment horizontal="center" vertical="center" wrapText="1"/>
    </xf>
    <xf numFmtId="0" fontId="33" fillId="14" borderId="5" xfId="0" applyFont="1" applyFill="1" applyBorder="1" applyAlignment="1">
      <alignment wrapText="1"/>
    </xf>
    <xf numFmtId="0" fontId="37" fillId="14" borderId="58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top"/>
    </xf>
    <xf numFmtId="2" fontId="33" fillId="14" borderId="2" xfId="0" applyNumberFormat="1" applyFont="1" applyFill="1" applyBorder="1" applyAlignment="1">
      <alignment horizontal="center" vertical="center" wrapText="1"/>
    </xf>
    <xf numFmtId="2" fontId="33" fillId="14" borderId="42" xfId="0" applyNumberFormat="1" applyFont="1" applyFill="1" applyBorder="1" applyAlignment="1">
      <alignment horizontal="center" vertical="center" wrapText="1"/>
    </xf>
    <xf numFmtId="2" fontId="37" fillId="14" borderId="0" xfId="0" applyNumberFormat="1" applyFont="1" applyFill="1" applyAlignment="1">
      <alignment horizontal="center" vertical="center"/>
    </xf>
    <xf numFmtId="0" fontId="27" fillId="10" borderId="0" xfId="0" applyFont="1" applyFill="1"/>
    <xf numFmtId="0" fontId="27" fillId="10" borderId="0" xfId="0" applyFont="1" applyFill="1" applyAlignment="1">
      <alignment horizontal="center" vertical="center"/>
    </xf>
    <xf numFmtId="0" fontId="29" fillId="10" borderId="0" xfId="0" applyFont="1" applyFill="1"/>
    <xf numFmtId="0" fontId="29" fillId="10" borderId="0" xfId="0" applyFont="1" applyFill="1" applyAlignment="1">
      <alignment horizontal="center"/>
    </xf>
    <xf numFmtId="0" fontId="32" fillId="10" borderId="0" xfId="0" applyFont="1" applyFill="1" applyAlignment="1">
      <alignment horizontal="left" vertical="top" wrapText="1"/>
    </xf>
    <xf numFmtId="0" fontId="27" fillId="10" borderId="0" xfId="0" applyFont="1" applyFill="1" applyAlignment="1">
      <alignment horizontal="justify"/>
    </xf>
    <xf numFmtId="0" fontId="42" fillId="0" borderId="42" xfId="0" applyFont="1" applyBorder="1" applyAlignment="1" applyProtection="1">
      <alignment vertical="center"/>
      <protection locked="0"/>
    </xf>
    <xf numFmtId="0" fontId="37" fillId="14" borderId="0" xfId="0" applyFont="1" applyFill="1" applyAlignment="1">
      <alignment wrapText="1"/>
    </xf>
    <xf numFmtId="165" fontId="33" fillId="15" borderId="42" xfId="0" applyNumberFormat="1" applyFont="1" applyFill="1" applyBorder="1" applyAlignment="1">
      <alignment horizontal="center" vertical="center" wrapText="1"/>
    </xf>
    <xf numFmtId="165" fontId="33" fillId="15" borderId="5" xfId="0" applyNumberFormat="1" applyFont="1" applyFill="1" applyBorder="1" applyAlignment="1">
      <alignment horizontal="center" vertical="center" wrapText="1"/>
    </xf>
    <xf numFmtId="1" fontId="33" fillId="15" borderId="25" xfId="0" applyNumberFormat="1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/>
    </xf>
    <xf numFmtId="2" fontId="33" fillId="15" borderId="19" xfId="0" applyNumberFormat="1" applyFont="1" applyFill="1" applyBorder="1" applyAlignment="1">
      <alignment horizontal="center" vertical="center" wrapText="1"/>
    </xf>
    <xf numFmtId="2" fontId="33" fillId="15" borderId="21" xfId="0" applyNumberFormat="1" applyFont="1" applyFill="1" applyBorder="1" applyAlignment="1">
      <alignment horizontal="center" vertical="center" wrapText="1"/>
    </xf>
    <xf numFmtId="2" fontId="33" fillId="15" borderId="22" xfId="0" applyNumberFormat="1" applyFont="1" applyFill="1" applyBorder="1" applyAlignment="1">
      <alignment horizontal="center" vertical="center" wrapText="1"/>
    </xf>
    <xf numFmtId="0" fontId="37" fillId="5" borderId="27" xfId="0" applyFont="1" applyFill="1" applyBorder="1" applyAlignment="1">
      <alignment horizontal="center" vertical="center" wrapText="1"/>
    </xf>
    <xf numFmtId="0" fontId="37" fillId="5" borderId="37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2" fontId="33" fillId="8" borderId="30" xfId="0" applyNumberFormat="1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/>
    </xf>
    <xf numFmtId="0" fontId="37" fillId="3" borderId="42" xfId="0" applyFont="1" applyFill="1" applyBorder="1" applyAlignment="1" applyProtection="1">
      <alignment horizontal="center" vertical="center" wrapText="1"/>
      <protection locked="0"/>
    </xf>
    <xf numFmtId="0" fontId="37" fillId="3" borderId="18" xfId="0" applyFont="1" applyFill="1" applyBorder="1" applyAlignment="1" applyProtection="1">
      <alignment horizontal="center" vertical="center" wrapText="1"/>
      <protection locked="0"/>
    </xf>
    <xf numFmtId="0" fontId="33" fillId="3" borderId="58" xfId="0" applyFont="1" applyFill="1" applyBorder="1" applyAlignment="1" applyProtection="1">
      <alignment horizontal="center" vertical="center" wrapText="1"/>
      <protection locked="0"/>
    </xf>
    <xf numFmtId="2" fontId="33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33" fillId="15" borderId="22" xfId="0" applyNumberFormat="1" applyFont="1" applyFill="1" applyBorder="1" applyAlignment="1">
      <alignment horizontal="center" vertical="center" wrapText="1"/>
    </xf>
    <xf numFmtId="2" fontId="33" fillId="8" borderId="64" xfId="0" applyNumberFormat="1" applyFont="1" applyFill="1" applyBorder="1" applyAlignment="1">
      <alignment horizontal="center" vertical="center" wrapText="1"/>
    </xf>
    <xf numFmtId="0" fontId="18" fillId="14" borderId="0" xfId="0" applyFont="1" applyFill="1" applyAlignment="1">
      <alignment vertical="center" wrapText="1"/>
    </xf>
    <xf numFmtId="0" fontId="33" fillId="15" borderId="63" xfId="0" applyFont="1" applyFill="1" applyBorder="1" applyAlignment="1">
      <alignment horizontal="center" vertical="center" wrapText="1"/>
    </xf>
    <xf numFmtId="2" fontId="33" fillId="8" borderId="22" xfId="0" applyNumberFormat="1" applyFont="1" applyFill="1" applyBorder="1" applyAlignment="1">
      <alignment horizontal="center" vertical="center" wrapText="1"/>
    </xf>
    <xf numFmtId="2" fontId="37" fillId="8" borderId="30" xfId="0" applyNumberFormat="1" applyFont="1" applyFill="1" applyBorder="1" applyAlignment="1">
      <alignment horizontal="center" vertical="center" wrapText="1"/>
    </xf>
    <xf numFmtId="0" fontId="33" fillId="3" borderId="32" xfId="0" applyFont="1" applyFill="1" applyBorder="1" applyAlignment="1" applyProtection="1">
      <alignment horizontal="center" vertical="center" wrapText="1"/>
      <protection locked="0"/>
    </xf>
    <xf numFmtId="0" fontId="33" fillId="15" borderId="45" xfId="0" applyFont="1" applyFill="1" applyBorder="1" applyAlignment="1">
      <alignment horizontal="center" vertical="center" wrapText="1"/>
    </xf>
    <xf numFmtId="2" fontId="33" fillId="8" borderId="40" xfId="0" applyNumberFormat="1" applyFont="1" applyFill="1" applyBorder="1" applyAlignment="1">
      <alignment horizontal="center" vertical="center" wrapText="1"/>
    </xf>
    <xf numFmtId="0" fontId="33" fillId="15" borderId="57" xfId="0" applyFont="1" applyFill="1" applyBorder="1" applyAlignment="1">
      <alignment horizontal="center" vertical="center" wrapText="1"/>
    </xf>
    <xf numFmtId="165" fontId="33" fillId="15" borderId="18" xfId="0" applyNumberFormat="1" applyFont="1" applyFill="1" applyBorder="1" applyAlignment="1">
      <alignment horizontal="center" vertical="center" wrapText="1"/>
    </xf>
    <xf numFmtId="1" fontId="33" fillId="15" borderId="13" xfId="0" applyNumberFormat="1" applyFont="1" applyFill="1" applyBorder="1" applyAlignment="1">
      <alignment horizontal="center" vertical="center" wrapText="1"/>
    </xf>
    <xf numFmtId="0" fontId="23" fillId="14" borderId="0" xfId="0" applyFont="1" applyFill="1"/>
    <xf numFmtId="0" fontId="22" fillId="14" borderId="0" xfId="0" applyFont="1" applyFill="1"/>
    <xf numFmtId="0" fontId="33" fillId="14" borderId="57" xfId="0" applyFont="1" applyFill="1" applyBorder="1" applyAlignment="1">
      <alignment horizontal="center" vertical="center" wrapText="1"/>
    </xf>
    <xf numFmtId="0" fontId="37" fillId="14" borderId="27" xfId="0" applyFont="1" applyFill="1" applyBorder="1" applyAlignment="1">
      <alignment horizontal="center" vertical="center" wrapText="1"/>
    </xf>
    <xf numFmtId="0" fontId="33" fillId="14" borderId="5" xfId="0" applyFont="1" applyFill="1" applyBorder="1" applyAlignment="1">
      <alignment horizontal="center" vertical="center" wrapText="1"/>
    </xf>
    <xf numFmtId="0" fontId="23" fillId="15" borderId="6" xfId="0" applyFont="1" applyFill="1" applyBorder="1"/>
    <xf numFmtId="0" fontId="23" fillId="15" borderId="5" xfId="0" applyFont="1" applyFill="1" applyBorder="1"/>
    <xf numFmtId="0" fontId="23" fillId="15" borderId="5" xfId="0" applyFont="1" applyFill="1" applyBorder="1" applyAlignment="1">
      <alignment horizontal="center" vertical="center"/>
    </xf>
    <xf numFmtId="0" fontId="22" fillId="5" borderId="5" xfId="0" applyFont="1" applyFill="1" applyBorder="1"/>
    <xf numFmtId="0" fontId="37" fillId="5" borderId="5" xfId="0" applyFont="1" applyFill="1" applyBorder="1" applyAlignment="1">
      <alignment horizontal="center" vertical="center"/>
    </xf>
    <xf numFmtId="0" fontId="34" fillId="14" borderId="3" xfId="0" applyFont="1" applyFill="1" applyBorder="1"/>
    <xf numFmtId="0" fontId="34" fillId="5" borderId="16" xfId="0" applyFont="1" applyFill="1" applyBorder="1"/>
    <xf numFmtId="0" fontId="37" fillId="5" borderId="5" xfId="0" applyFont="1" applyFill="1" applyBorder="1"/>
    <xf numFmtId="165" fontId="33" fillId="15" borderId="5" xfId="0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15" borderId="0" xfId="0" applyFont="1" applyFill="1" applyAlignment="1">
      <alignment wrapText="1"/>
    </xf>
    <xf numFmtId="0" fontId="37" fillId="5" borderId="0" xfId="0" applyFont="1" applyFill="1" applyAlignment="1">
      <alignment wrapText="1"/>
    </xf>
    <xf numFmtId="0" fontId="18" fillId="5" borderId="4" xfId="0" applyFont="1" applyFill="1" applyBorder="1"/>
    <xf numFmtId="0" fontId="37" fillId="5" borderId="42" xfId="0" applyFont="1" applyFill="1" applyBorder="1" applyAlignment="1">
      <alignment horizontal="center" vertical="center"/>
    </xf>
    <xf numFmtId="166" fontId="33" fillId="15" borderId="5" xfId="0" applyNumberFormat="1" applyFont="1" applyFill="1" applyBorder="1" applyAlignment="1">
      <alignment horizontal="center" vertical="center"/>
    </xf>
    <xf numFmtId="17" fontId="33" fillId="5" borderId="5" xfId="0" applyNumberFormat="1" applyFont="1" applyFill="1" applyBorder="1" applyAlignment="1">
      <alignment horizontal="center" vertical="center" wrapText="1"/>
    </xf>
    <xf numFmtId="0" fontId="23" fillId="15" borderId="5" xfId="0" applyFont="1" applyFill="1" applyBorder="1" applyAlignment="1">
      <alignment horizontal="center"/>
    </xf>
    <xf numFmtId="0" fontId="15" fillId="14" borderId="71" xfId="0" applyFont="1" applyFill="1" applyBorder="1" applyAlignment="1">
      <alignment vertical="center"/>
    </xf>
    <xf numFmtId="0" fontId="33" fillId="5" borderId="9" xfId="0" applyFont="1" applyFill="1" applyBorder="1"/>
    <xf numFmtId="0" fontId="33" fillId="5" borderId="11" xfId="0" applyFont="1" applyFill="1" applyBorder="1"/>
    <xf numFmtId="0" fontId="37" fillId="5" borderId="28" xfId="0" applyFont="1" applyFill="1" applyBorder="1"/>
    <xf numFmtId="0" fontId="37" fillId="5" borderId="28" xfId="0" applyFont="1" applyFill="1" applyBorder="1" applyAlignment="1">
      <alignment vertical="center" wrapText="1"/>
    </xf>
    <xf numFmtId="0" fontId="37" fillId="5" borderId="7" xfId="0" applyFont="1" applyFill="1" applyBorder="1" applyAlignment="1">
      <alignment vertical="center" wrapText="1"/>
    </xf>
    <xf numFmtId="0" fontId="37" fillId="5" borderId="76" xfId="0" applyFont="1" applyFill="1" applyBorder="1" applyAlignment="1">
      <alignment vertical="center" wrapText="1"/>
    </xf>
    <xf numFmtId="0" fontId="37" fillId="5" borderId="37" xfId="0" applyFont="1" applyFill="1" applyBorder="1" applyAlignment="1">
      <alignment vertical="center" wrapText="1"/>
    </xf>
    <xf numFmtId="0" fontId="33" fillId="5" borderId="72" xfId="0" applyFont="1" applyFill="1" applyBorder="1" applyAlignment="1">
      <alignment horizontal="center" vertical="center" wrapText="1"/>
    </xf>
    <xf numFmtId="0" fontId="37" fillId="5" borderId="62" xfId="0" applyFont="1" applyFill="1" applyBorder="1" applyAlignment="1">
      <alignment vertical="center" wrapText="1"/>
    </xf>
    <xf numFmtId="0" fontId="33" fillId="5" borderId="10" xfId="0" applyFont="1" applyFill="1" applyBorder="1"/>
    <xf numFmtId="0" fontId="33" fillId="5" borderId="25" xfId="0" applyFont="1" applyFill="1" applyBorder="1"/>
    <xf numFmtId="0" fontId="33" fillId="15" borderId="26" xfId="0" applyFont="1" applyFill="1" applyBorder="1"/>
    <xf numFmtId="0" fontId="37" fillId="5" borderId="73" xfId="0" applyFont="1" applyFill="1" applyBorder="1" applyAlignment="1">
      <alignment horizontal="center" vertical="center" wrapText="1"/>
    </xf>
    <xf numFmtId="0" fontId="33" fillId="5" borderId="74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horizontal="center" vertical="center" wrapText="1"/>
    </xf>
    <xf numFmtId="0" fontId="33" fillId="15" borderId="26" xfId="0" applyFont="1" applyFill="1" applyBorder="1" applyAlignment="1">
      <alignment horizontal="center" vertical="center"/>
    </xf>
    <xf numFmtId="0" fontId="33" fillId="0" borderId="21" xfId="0" applyFont="1" applyBorder="1"/>
    <xf numFmtId="0" fontId="33" fillId="15" borderId="2" xfId="0" applyFont="1" applyFill="1" applyBorder="1"/>
    <xf numFmtId="0" fontId="33" fillId="15" borderId="6" xfId="0" applyFont="1" applyFill="1" applyBorder="1"/>
    <xf numFmtId="0" fontId="33" fillId="14" borderId="3" xfId="0" applyFont="1" applyFill="1" applyBorder="1"/>
    <xf numFmtId="0" fontId="33" fillId="0" borderId="22" xfId="0" applyFont="1" applyBorder="1"/>
    <xf numFmtId="0" fontId="37" fillId="5" borderId="2" xfId="0" applyFont="1" applyFill="1" applyBorder="1" applyAlignment="1">
      <alignment horizontal="center" vertical="center" wrapText="1"/>
    </xf>
    <xf numFmtId="2" fontId="33" fillId="8" borderId="54" xfId="0" applyNumberFormat="1" applyFont="1" applyFill="1" applyBorder="1" applyAlignment="1">
      <alignment horizontal="center" vertical="center" wrapText="1"/>
    </xf>
    <xf numFmtId="0" fontId="37" fillId="14" borderId="5" xfId="0" applyFont="1" applyFill="1" applyBorder="1" applyAlignment="1">
      <alignment horizontal="center" vertical="center"/>
    </xf>
    <xf numFmtId="0" fontId="34" fillId="14" borderId="65" xfId="0" applyFont="1" applyFill="1" applyBorder="1"/>
    <xf numFmtId="0" fontId="33" fillId="15" borderId="0" xfId="0" applyFont="1" applyFill="1" applyAlignment="1">
      <alignment horizontal="center" vertical="center"/>
    </xf>
    <xf numFmtId="0" fontId="38" fillId="14" borderId="0" xfId="10" applyFont="1" applyFill="1" applyAlignment="1">
      <alignment vertical="center" wrapText="1"/>
    </xf>
    <xf numFmtId="0" fontId="38" fillId="14" borderId="68" xfId="10" applyFont="1" applyFill="1" applyBorder="1" applyAlignment="1">
      <alignment vertical="center" wrapText="1"/>
    </xf>
    <xf numFmtId="0" fontId="39" fillId="5" borderId="5" xfId="0" applyFont="1" applyFill="1" applyBorder="1"/>
    <xf numFmtId="0" fontId="38" fillId="5" borderId="5" xfId="10" applyFont="1" applyFill="1" applyBorder="1" applyAlignment="1">
      <alignment vertical="center" wrapText="1"/>
    </xf>
    <xf numFmtId="0" fontId="38" fillId="5" borderId="5" xfId="10" applyFont="1" applyFill="1" applyBorder="1" applyAlignment="1">
      <alignment wrapText="1"/>
    </xf>
    <xf numFmtId="0" fontId="43" fillId="15" borderId="5" xfId="0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top"/>
    </xf>
    <xf numFmtId="0" fontId="43" fillId="15" borderId="6" xfId="0" applyFont="1" applyFill="1" applyBorder="1" applyAlignment="1">
      <alignment horizontal="center" vertical="top"/>
    </xf>
    <xf numFmtId="0" fontId="44" fillId="5" borderId="5" xfId="0" applyFont="1" applyFill="1" applyBorder="1" applyAlignment="1">
      <alignment vertical="center" wrapText="1"/>
    </xf>
    <xf numFmtId="0" fontId="22" fillId="5" borderId="6" xfId="0" applyFont="1" applyFill="1" applyBorder="1"/>
    <xf numFmtId="0" fontId="37" fillId="3" borderId="32" xfId="0" applyFont="1" applyFill="1" applyBorder="1" applyAlignment="1" applyProtection="1">
      <alignment horizontal="center" vertical="center" wrapText="1"/>
      <protection locked="0"/>
    </xf>
    <xf numFmtId="0" fontId="33" fillId="15" borderId="58" xfId="0" applyFont="1" applyFill="1" applyBorder="1" applyAlignment="1">
      <alignment horizontal="center" vertical="center" wrapText="1"/>
    </xf>
    <xf numFmtId="0" fontId="33" fillId="15" borderId="64" xfId="0" applyFont="1" applyFill="1" applyBorder="1" applyAlignment="1">
      <alignment horizontal="center" vertical="center" wrapText="1"/>
    </xf>
    <xf numFmtId="0" fontId="33" fillId="16" borderId="5" xfId="0" applyFont="1" applyFill="1" applyBorder="1" applyAlignment="1">
      <alignment horizontal="center" vertical="top" wrapText="1"/>
    </xf>
    <xf numFmtId="0" fontId="33" fillId="18" borderId="5" xfId="0" applyFont="1" applyFill="1" applyBorder="1" applyAlignment="1">
      <alignment horizontal="center" vertical="top" wrapText="1"/>
    </xf>
    <xf numFmtId="0" fontId="33" fillId="19" borderId="5" xfId="0" applyFont="1" applyFill="1" applyBorder="1" applyAlignment="1">
      <alignment horizontal="center" vertical="top" wrapText="1"/>
    </xf>
    <xf numFmtId="0" fontId="33" fillId="17" borderId="5" xfId="0" applyFont="1" applyFill="1" applyBorder="1" applyAlignment="1">
      <alignment horizontal="center" vertical="top" wrapText="1"/>
    </xf>
    <xf numFmtId="2" fontId="33" fillId="14" borderId="0" xfId="0" applyNumberFormat="1" applyFont="1" applyFill="1" applyAlignment="1">
      <alignment vertical="center"/>
    </xf>
    <xf numFmtId="0" fontId="33" fillId="14" borderId="0" xfId="0" applyFont="1" applyFill="1" applyAlignment="1">
      <alignment vertical="center"/>
    </xf>
    <xf numFmtId="0" fontId="33" fillId="0" borderId="13" xfId="0" applyFont="1" applyBorder="1" applyAlignment="1" applyProtection="1">
      <alignment horizontal="center" vertical="center" wrapText="1"/>
      <protection locked="0"/>
    </xf>
    <xf numFmtId="0" fontId="33" fillId="0" borderId="58" xfId="0" applyFont="1" applyBorder="1" applyAlignment="1" applyProtection="1">
      <alignment horizontal="center" vertical="center" wrapText="1"/>
      <protection locked="0"/>
    </xf>
    <xf numFmtId="2" fontId="37" fillId="13" borderId="38" xfId="0" applyNumberFormat="1" applyFont="1" applyFill="1" applyBorder="1" applyAlignment="1">
      <alignment horizontal="center" vertical="center" wrapText="1"/>
    </xf>
    <xf numFmtId="0" fontId="33" fillId="0" borderId="32" xfId="0" applyFont="1" applyBorder="1" applyAlignment="1" applyProtection="1">
      <alignment horizontal="center" vertical="center" wrapText="1"/>
      <protection locked="0"/>
    </xf>
    <xf numFmtId="0" fontId="33" fillId="9" borderId="18" xfId="0" applyFont="1" applyFill="1" applyBorder="1" applyAlignment="1">
      <alignment horizontal="center" vertical="top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3" fillId="12" borderId="13" xfId="0" applyFont="1" applyFill="1" applyBorder="1" applyAlignment="1">
      <alignment horizontal="center" vertical="center" wrapText="1"/>
    </xf>
    <xf numFmtId="0" fontId="33" fillId="12" borderId="45" xfId="0" applyFont="1" applyFill="1" applyBorder="1" applyAlignment="1">
      <alignment horizontal="center" vertical="center" wrapText="1"/>
    </xf>
    <xf numFmtId="0" fontId="37" fillId="0" borderId="18" xfId="0" applyFont="1" applyBorder="1" applyAlignment="1" applyProtection="1">
      <alignment horizontal="center" vertical="center" wrapText="1"/>
      <protection locked="0"/>
    </xf>
    <xf numFmtId="0" fontId="33" fillId="9" borderId="18" xfId="0" applyFont="1" applyFill="1" applyBorder="1" applyAlignment="1">
      <alignment horizontal="center" vertical="top" wrapText="1"/>
    </xf>
    <xf numFmtId="0" fontId="33" fillId="12" borderId="18" xfId="0" applyFont="1" applyFill="1" applyBorder="1" applyAlignment="1">
      <alignment horizontal="center" vertical="center"/>
    </xf>
    <xf numFmtId="0" fontId="33" fillId="0" borderId="13" xfId="0" applyFont="1" applyBorder="1" applyAlignment="1" applyProtection="1">
      <alignment wrapText="1"/>
      <protection locked="0"/>
    </xf>
    <xf numFmtId="0" fontId="33" fillId="0" borderId="22" xfId="0" applyFont="1" applyBorder="1" applyAlignment="1" applyProtection="1">
      <alignment wrapText="1"/>
      <protection locked="0"/>
    </xf>
    <xf numFmtId="0" fontId="37" fillId="14" borderId="33" xfId="0" applyFont="1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center" vertical="top" wrapText="1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165" fontId="33" fillId="12" borderId="22" xfId="0" applyNumberFormat="1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52" fillId="5" borderId="54" xfId="0" applyFont="1" applyFill="1" applyBorder="1"/>
    <xf numFmtId="0" fontId="53" fillId="5" borderId="0" xfId="0" applyFont="1" applyFill="1"/>
    <xf numFmtId="0" fontId="33" fillId="5" borderId="5" xfId="0" applyFont="1" applyFill="1" applyBorder="1" applyAlignment="1">
      <alignment horizontal="center" vertical="top"/>
    </xf>
    <xf numFmtId="0" fontId="33" fillId="5" borderId="5" xfId="0" applyFont="1" applyFill="1" applyBorder="1" applyAlignment="1">
      <alignment vertical="top"/>
    </xf>
    <xf numFmtId="0" fontId="21" fillId="5" borderId="44" xfId="0" applyFont="1" applyFill="1" applyBorder="1" applyAlignment="1">
      <alignment horizontal="center" vertical="top" wrapText="1"/>
    </xf>
    <xf numFmtId="0" fontId="21" fillId="5" borderId="36" xfId="0" applyFont="1" applyFill="1" applyBorder="1" applyAlignment="1">
      <alignment horizontal="center" vertical="top" wrapText="1"/>
    </xf>
    <xf numFmtId="0" fontId="21" fillId="5" borderId="70" xfId="0" applyFont="1" applyFill="1" applyBorder="1" applyAlignment="1">
      <alignment horizontal="center" vertical="top" wrapText="1"/>
    </xf>
    <xf numFmtId="0" fontId="21" fillId="5" borderId="16" xfId="0" applyFont="1" applyFill="1" applyBorder="1" applyAlignment="1">
      <alignment horizontal="center" vertical="top"/>
    </xf>
    <xf numFmtId="0" fontId="33" fillId="14" borderId="79" xfId="0" applyFont="1" applyFill="1" applyBorder="1"/>
    <xf numFmtId="0" fontId="33" fillId="14" borderId="80" xfId="0" applyFont="1" applyFill="1" applyBorder="1"/>
    <xf numFmtId="2" fontId="33" fillId="14" borderId="80" xfId="0" applyNumberFormat="1" applyFont="1" applyFill="1" applyBorder="1"/>
    <xf numFmtId="0" fontId="21" fillId="5" borderId="17" xfId="0" applyFont="1" applyFill="1" applyBorder="1" applyAlignment="1">
      <alignment horizontal="center" vertical="top" wrapText="1"/>
    </xf>
    <xf numFmtId="0" fontId="21" fillId="5" borderId="5" xfId="0" applyFont="1" applyFill="1" applyBorder="1" applyAlignment="1">
      <alignment horizontal="center" vertical="top" wrapText="1"/>
    </xf>
    <xf numFmtId="2" fontId="33" fillId="15" borderId="5" xfId="0" applyNumberFormat="1" applyFont="1" applyFill="1" applyBorder="1" applyAlignment="1">
      <alignment vertical="top"/>
    </xf>
    <xf numFmtId="2" fontId="33" fillId="15" borderId="0" xfId="0" applyNumberFormat="1" applyFont="1" applyFill="1" applyAlignment="1">
      <alignment vertical="center"/>
    </xf>
    <xf numFmtId="2" fontId="33" fillId="15" borderId="5" xfId="0" applyNumberFormat="1" applyFont="1" applyFill="1" applyBorder="1" applyAlignment="1">
      <alignment vertical="center"/>
    </xf>
    <xf numFmtId="2" fontId="21" fillId="8" borderId="42" xfId="0" applyNumberFormat="1" applyFont="1" applyFill="1" applyBorder="1" applyAlignment="1">
      <alignment horizontal="center" vertical="center"/>
    </xf>
    <xf numFmtId="2" fontId="21" fillId="8" borderId="5" xfId="0" applyNumberFormat="1" applyFont="1" applyFill="1" applyBorder="1" applyAlignment="1">
      <alignment horizontal="center" vertical="center"/>
    </xf>
    <xf numFmtId="2" fontId="21" fillId="8" borderId="26" xfId="0" applyNumberFormat="1" applyFont="1" applyFill="1" applyBorder="1" applyAlignment="1">
      <alignment horizontal="center" vertical="center"/>
    </xf>
    <xf numFmtId="2" fontId="21" fillId="8" borderId="21" xfId="0" applyNumberFormat="1" applyFont="1" applyFill="1" applyBorder="1" applyAlignment="1">
      <alignment horizontal="center" vertical="center"/>
    </xf>
    <xf numFmtId="2" fontId="21" fillId="8" borderId="52" xfId="0" applyNumberFormat="1" applyFont="1" applyFill="1" applyBorder="1" applyAlignment="1">
      <alignment horizontal="center" vertical="center"/>
    </xf>
    <xf numFmtId="2" fontId="21" fillId="8" borderId="18" xfId="0" applyNumberFormat="1" applyFont="1" applyFill="1" applyBorder="1" applyAlignment="1">
      <alignment horizontal="center" vertical="center"/>
    </xf>
    <xf numFmtId="2" fontId="21" fillId="8" borderId="22" xfId="0" applyNumberFormat="1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 wrapText="1"/>
    </xf>
    <xf numFmtId="0" fontId="33" fillId="11" borderId="5" xfId="0" applyFont="1" applyFill="1" applyBorder="1" applyAlignment="1">
      <alignment vertical="top" wrapText="1"/>
    </xf>
    <xf numFmtId="2" fontId="37" fillId="13" borderId="54" xfId="0" applyNumberFormat="1" applyFont="1" applyFill="1" applyBorder="1" applyAlignment="1">
      <alignment horizontal="center" vertical="center" wrapText="1"/>
    </xf>
    <xf numFmtId="0" fontId="37" fillId="10" borderId="34" xfId="0" applyFont="1" applyFill="1" applyBorder="1" applyAlignment="1">
      <alignment horizontal="center" vertical="center" wrapText="1"/>
    </xf>
    <xf numFmtId="0" fontId="33" fillId="0" borderId="66" xfId="0" applyFont="1" applyBorder="1" applyAlignment="1" applyProtection="1">
      <alignment horizontal="center" vertical="center" wrapText="1"/>
      <protection locked="0"/>
    </xf>
    <xf numFmtId="0" fontId="33" fillId="0" borderId="51" xfId="0" applyFont="1" applyBorder="1" applyAlignment="1" applyProtection="1">
      <alignment horizontal="center" vertical="center" wrapText="1"/>
      <protection locked="0"/>
    </xf>
    <xf numFmtId="0" fontId="33" fillId="5" borderId="51" xfId="0" applyFont="1" applyFill="1" applyBorder="1" applyAlignment="1">
      <alignment horizontal="center"/>
    </xf>
    <xf numFmtId="0" fontId="42" fillId="15" borderId="5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vertical="center" wrapText="1"/>
    </xf>
    <xf numFmtId="0" fontId="33" fillId="15" borderId="5" xfId="0" applyFont="1" applyFill="1" applyBorder="1" applyAlignment="1">
      <alignment vertical="top"/>
    </xf>
    <xf numFmtId="0" fontId="33" fillId="11" borderId="25" xfId="0" applyFont="1" applyFill="1" applyBorder="1" applyAlignment="1">
      <alignment horizontal="center" vertical="center"/>
    </xf>
    <xf numFmtId="0" fontId="33" fillId="11" borderId="42" xfId="0" applyFont="1" applyFill="1" applyBorder="1" applyAlignment="1">
      <alignment horizontal="center" vertical="center"/>
    </xf>
    <xf numFmtId="0" fontId="33" fillId="11" borderId="12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/>
    </xf>
    <xf numFmtId="0" fontId="33" fillId="11" borderId="13" xfId="0" applyFont="1" applyFill="1" applyBorder="1" applyAlignment="1">
      <alignment horizontal="center" vertical="center"/>
    </xf>
    <xf numFmtId="0" fontId="33" fillId="11" borderId="18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 wrapText="1"/>
    </xf>
    <xf numFmtId="0" fontId="16" fillId="5" borderId="76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33" fillId="11" borderId="14" xfId="0" applyFont="1" applyFill="1" applyBorder="1" applyAlignment="1">
      <alignment horizontal="center" vertical="center"/>
    </xf>
    <xf numFmtId="0" fontId="33" fillId="11" borderId="17" xfId="0" applyFont="1" applyFill="1" applyBorder="1" applyAlignment="1">
      <alignment horizontal="center" vertical="center"/>
    </xf>
    <xf numFmtId="2" fontId="33" fillId="15" borderId="17" xfId="0" applyNumberFormat="1" applyFont="1" applyFill="1" applyBorder="1" applyAlignment="1">
      <alignment horizontal="center" vertical="center"/>
    </xf>
    <xf numFmtId="0" fontId="33" fillId="11" borderId="9" xfId="0" applyFont="1" applyFill="1" applyBorder="1" applyAlignment="1">
      <alignment horizontal="center" vertical="center"/>
    </xf>
    <xf numFmtId="0" fontId="33" fillId="11" borderId="10" xfId="0" applyFont="1" applyFill="1" applyBorder="1" applyAlignment="1">
      <alignment horizontal="center" vertical="center"/>
    </xf>
    <xf numFmtId="2" fontId="33" fillId="15" borderId="10" xfId="0" applyNumberFormat="1" applyFont="1" applyFill="1" applyBorder="1" applyAlignment="1">
      <alignment horizontal="center" vertical="center"/>
    </xf>
    <xf numFmtId="2" fontId="33" fillId="15" borderId="11" xfId="0" applyNumberFormat="1" applyFont="1" applyFill="1" applyBorder="1" applyAlignment="1">
      <alignment horizontal="center" vertical="center"/>
    </xf>
    <xf numFmtId="2" fontId="37" fillId="8" borderId="8" xfId="0" applyNumberFormat="1" applyFont="1" applyFill="1" applyBorder="1"/>
    <xf numFmtId="2" fontId="33" fillId="8" borderId="52" xfId="0" applyNumberFormat="1" applyFont="1" applyFill="1" applyBorder="1" applyAlignment="1">
      <alignment horizontal="center" vertical="center" wrapText="1"/>
    </xf>
    <xf numFmtId="2" fontId="33" fillId="8" borderId="38" xfId="0" applyNumberFormat="1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 wrapText="1"/>
    </xf>
    <xf numFmtId="2" fontId="33" fillId="15" borderId="37" xfId="0" applyNumberFormat="1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41" fillId="5" borderId="5" xfId="0" applyFont="1" applyFill="1" applyBorder="1" applyAlignment="1">
      <alignment horizontal="center"/>
    </xf>
    <xf numFmtId="0" fontId="37" fillId="11" borderId="23" xfId="0" applyFont="1" applyFill="1" applyBorder="1" applyAlignment="1">
      <alignment horizontal="center" vertical="center" wrapText="1"/>
    </xf>
    <xf numFmtId="0" fontId="37" fillId="11" borderId="34" xfId="0" applyFont="1" applyFill="1" applyBorder="1" applyAlignment="1">
      <alignment horizontal="center" vertical="center" wrapText="1"/>
    </xf>
    <xf numFmtId="0" fontId="37" fillId="11" borderId="14" xfId="0" applyFont="1" applyFill="1" applyBorder="1" applyAlignment="1">
      <alignment horizontal="center" vertical="center" wrapText="1"/>
    </xf>
    <xf numFmtId="0" fontId="37" fillId="11" borderId="12" xfId="0" applyFont="1" applyFill="1" applyBorder="1" applyAlignment="1">
      <alignment horizontal="center" vertical="center" wrapText="1"/>
    </xf>
    <xf numFmtId="0" fontId="37" fillId="11" borderId="19" xfId="0" applyFont="1" applyFill="1" applyBorder="1" applyAlignment="1">
      <alignment horizontal="center" vertical="center" wrapText="1"/>
    </xf>
    <xf numFmtId="0" fontId="37" fillId="11" borderId="21" xfId="0" applyFont="1" applyFill="1" applyBorder="1" applyAlignment="1">
      <alignment horizontal="center" vertical="center" wrapText="1"/>
    </xf>
    <xf numFmtId="0" fontId="37" fillId="11" borderId="17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5" borderId="6" xfId="0" applyFont="1" applyFill="1" applyBorder="1" applyAlignment="1">
      <alignment horizontal="center" vertical="center" wrapText="1"/>
    </xf>
    <xf numFmtId="0" fontId="37" fillId="5" borderId="15" xfId="0" applyFont="1" applyFill="1" applyBorder="1" applyAlignment="1">
      <alignment horizontal="center" vertical="center" wrapText="1"/>
    </xf>
    <xf numFmtId="0" fontId="37" fillId="5" borderId="33" xfId="0" applyFont="1" applyFill="1" applyBorder="1" applyAlignment="1">
      <alignment horizontal="center" vertical="center" wrapText="1"/>
    </xf>
    <xf numFmtId="2" fontId="33" fillId="12" borderId="51" xfId="0" applyNumberFormat="1" applyFont="1" applyFill="1" applyBorder="1" applyAlignment="1">
      <alignment horizontal="center" vertical="center" wrapText="1"/>
    </xf>
    <xf numFmtId="2" fontId="33" fillId="13" borderId="51" xfId="0" applyNumberFormat="1" applyFont="1" applyFill="1" applyBorder="1" applyAlignment="1">
      <alignment horizontal="center" vertical="center" wrapText="1"/>
    </xf>
    <xf numFmtId="2" fontId="37" fillId="13" borderId="9" xfId="0" applyNumberFormat="1" applyFont="1" applyFill="1" applyBorder="1" applyAlignment="1">
      <alignment horizontal="center" vertical="center"/>
    </xf>
    <xf numFmtId="0" fontId="37" fillId="11" borderId="48" xfId="0" applyFont="1" applyFill="1" applyBorder="1" applyAlignment="1">
      <alignment horizontal="center" vertical="center" wrapText="1"/>
    </xf>
    <xf numFmtId="0" fontId="33" fillId="12" borderId="67" xfId="0" applyFont="1" applyFill="1" applyBorder="1" applyAlignment="1">
      <alignment horizontal="center" vertical="center" wrapText="1"/>
    </xf>
    <xf numFmtId="0" fontId="33" fillId="12" borderId="64" xfId="0" applyFont="1" applyFill="1" applyBorder="1" applyAlignment="1">
      <alignment horizontal="center" vertical="center" wrapText="1"/>
    </xf>
    <xf numFmtId="0" fontId="33" fillId="12" borderId="17" xfId="0" applyFont="1" applyFill="1" applyBorder="1" applyAlignment="1">
      <alignment horizontal="center" vertical="center" wrapText="1"/>
    </xf>
    <xf numFmtId="0" fontId="37" fillId="11" borderId="10" xfId="0" applyFont="1" applyFill="1" applyBorder="1" applyAlignment="1">
      <alignment horizontal="center" vertical="center" wrapText="1"/>
    </xf>
    <xf numFmtId="0" fontId="33" fillId="0" borderId="75" xfId="0" applyFont="1" applyBorder="1" applyAlignment="1" applyProtection="1">
      <alignment horizontal="center" vertical="center" wrapText="1"/>
      <protection locked="0"/>
    </xf>
    <xf numFmtId="0" fontId="33" fillId="0" borderId="69" xfId="0" applyFont="1" applyBorder="1" applyAlignment="1" applyProtection="1">
      <alignment horizontal="center" vertical="center" wrapText="1"/>
      <protection locked="0"/>
    </xf>
    <xf numFmtId="2" fontId="33" fillId="13" borderId="78" xfId="0" applyNumberFormat="1" applyFont="1" applyFill="1" applyBorder="1" applyAlignment="1">
      <alignment horizontal="center" vertical="center" wrapText="1"/>
    </xf>
    <xf numFmtId="0" fontId="33" fillId="0" borderId="40" xfId="0" applyFont="1" applyBorder="1" applyAlignment="1" applyProtection="1">
      <alignment horizontal="center" vertical="center" wrapText="1"/>
      <protection locked="0"/>
    </xf>
    <xf numFmtId="0" fontId="33" fillId="3" borderId="18" xfId="0" applyFont="1" applyFill="1" applyBorder="1" applyAlignment="1">
      <alignment horizontal="center" vertical="top"/>
    </xf>
    <xf numFmtId="2" fontId="33" fillId="13" borderId="40" xfId="0" applyNumberFormat="1" applyFont="1" applyFill="1" applyBorder="1" applyAlignment="1">
      <alignment horizontal="center" vertical="center" wrapText="1"/>
    </xf>
    <xf numFmtId="0" fontId="33" fillId="3" borderId="51" xfId="0" applyFont="1" applyFill="1" applyBorder="1" applyAlignment="1" applyProtection="1">
      <alignment horizontal="center" vertical="center" wrapText="1"/>
      <protection locked="0"/>
    </xf>
    <xf numFmtId="0" fontId="33" fillId="3" borderId="42" xfId="0" applyFont="1" applyFill="1" applyBorder="1" applyAlignment="1">
      <alignment horizontal="center" vertical="top"/>
    </xf>
    <xf numFmtId="0" fontId="37" fillId="0" borderId="42" xfId="0" applyFont="1" applyBorder="1" applyAlignment="1" applyProtection="1">
      <alignment horizontal="center" vertical="center" wrapText="1"/>
      <protection locked="0"/>
    </xf>
    <xf numFmtId="0" fontId="33" fillId="9" borderId="42" xfId="0" applyFont="1" applyFill="1" applyBorder="1" applyAlignment="1">
      <alignment horizontal="center" vertical="top" wrapText="1"/>
    </xf>
    <xf numFmtId="0" fontId="37" fillId="11" borderId="25" xfId="0" applyFont="1" applyFill="1" applyBorder="1" applyAlignment="1">
      <alignment horizontal="center" vertical="center" wrapText="1"/>
    </xf>
    <xf numFmtId="0" fontId="37" fillId="11" borderId="26" xfId="0" applyFont="1" applyFill="1" applyBorder="1" applyAlignment="1">
      <alignment horizontal="center" vertical="center" wrapText="1"/>
    </xf>
    <xf numFmtId="0" fontId="37" fillId="11" borderId="25" xfId="0" applyFont="1" applyFill="1" applyBorder="1" applyAlignment="1">
      <alignment vertical="center"/>
    </xf>
    <xf numFmtId="0" fontId="37" fillId="11" borderId="26" xfId="0" applyFont="1" applyFill="1" applyBorder="1" applyAlignment="1">
      <alignment vertical="center"/>
    </xf>
    <xf numFmtId="0" fontId="33" fillId="10" borderId="4" xfId="0" applyFont="1" applyFill="1" applyBorder="1"/>
    <xf numFmtId="0" fontId="33" fillId="10" borderId="31" xfId="0" applyFont="1" applyFill="1" applyBorder="1"/>
    <xf numFmtId="0" fontId="33" fillId="10" borderId="3" xfId="0" applyFont="1" applyFill="1" applyBorder="1"/>
    <xf numFmtId="0" fontId="37" fillId="0" borderId="25" xfId="0" applyFont="1" applyBorder="1" applyAlignment="1" applyProtection="1">
      <alignment horizontal="center" vertical="center" wrapText="1"/>
      <protection locked="0"/>
    </xf>
    <xf numFmtId="0" fontId="33" fillId="12" borderId="42" xfId="0" applyFont="1" applyFill="1" applyBorder="1" applyAlignment="1">
      <alignment horizontal="center" vertical="center"/>
    </xf>
    <xf numFmtId="0" fontId="33" fillId="12" borderId="6" xfId="0" applyFont="1" applyFill="1" applyBorder="1" applyAlignment="1">
      <alignment horizontal="center" vertical="center" wrapText="1"/>
    </xf>
    <xf numFmtId="165" fontId="33" fillId="12" borderId="21" xfId="0" applyNumberFormat="1" applyFont="1" applyFill="1" applyBorder="1" applyAlignment="1">
      <alignment horizontal="center" vertical="center" wrapText="1"/>
    </xf>
    <xf numFmtId="0" fontId="33" fillId="12" borderId="58" xfId="0" applyFont="1" applyFill="1" applyBorder="1" applyAlignment="1">
      <alignment horizontal="center" vertical="center" wrapText="1"/>
    </xf>
    <xf numFmtId="2" fontId="33" fillId="13" borderId="67" xfId="0" applyNumberFormat="1" applyFont="1" applyFill="1" applyBorder="1" applyAlignment="1">
      <alignment horizontal="center" vertical="center" wrapText="1"/>
    </xf>
    <xf numFmtId="2" fontId="33" fillId="13" borderId="64" xfId="0" applyNumberFormat="1" applyFont="1" applyFill="1" applyBorder="1" applyAlignment="1">
      <alignment horizontal="center" vertical="center" wrapText="1"/>
    </xf>
    <xf numFmtId="2" fontId="37" fillId="13" borderId="11" xfId="0" applyNumberFormat="1" applyFont="1" applyFill="1" applyBorder="1" applyAlignment="1">
      <alignment horizontal="center" vertical="center" wrapText="1"/>
    </xf>
    <xf numFmtId="0" fontId="33" fillId="3" borderId="16" xfId="0" applyFont="1" applyFill="1" applyBorder="1" applyAlignment="1" applyProtection="1">
      <alignment horizontal="center" vertical="center" wrapText="1"/>
      <protection locked="0"/>
    </xf>
    <xf numFmtId="0" fontId="33" fillId="3" borderId="63" xfId="0" applyFont="1" applyFill="1" applyBorder="1" applyAlignment="1" applyProtection="1">
      <alignment horizontal="center" vertical="center" wrapText="1"/>
      <protection locked="0"/>
    </xf>
    <xf numFmtId="0" fontId="37" fillId="10" borderId="0" xfId="0" applyFont="1" applyFill="1" applyAlignment="1">
      <alignment wrapText="1"/>
    </xf>
    <xf numFmtId="0" fontId="37" fillId="11" borderId="69" xfId="0" applyFont="1" applyFill="1" applyBorder="1" applyAlignment="1">
      <alignment horizontal="center" vertical="center" wrapText="1"/>
    </xf>
    <xf numFmtId="0" fontId="33" fillId="12" borderId="2" xfId="0" applyFont="1" applyFill="1" applyBorder="1" applyAlignment="1">
      <alignment horizontal="center" vertical="center"/>
    </xf>
    <xf numFmtId="0" fontId="37" fillId="11" borderId="78" xfId="0" applyFont="1" applyFill="1" applyBorder="1" applyAlignment="1">
      <alignment horizontal="center" vertical="center" wrapText="1"/>
    </xf>
    <xf numFmtId="0" fontId="37" fillId="11" borderId="42" xfId="0" applyFont="1" applyFill="1" applyBorder="1" applyAlignment="1">
      <alignment horizontal="center" vertical="center" wrapText="1"/>
    </xf>
    <xf numFmtId="0" fontId="33" fillId="9" borderId="31" xfId="0" applyFont="1" applyFill="1" applyBorder="1" applyAlignment="1">
      <alignment horizontal="center" vertical="top" wrapText="1"/>
    </xf>
    <xf numFmtId="0" fontId="37" fillId="11" borderId="60" xfId="0" applyFont="1" applyFill="1" applyBorder="1" applyAlignment="1">
      <alignment horizontal="center" vertical="center" wrapText="1"/>
    </xf>
    <xf numFmtId="0" fontId="33" fillId="12" borderId="16" xfId="0" applyFont="1" applyFill="1" applyBorder="1" applyAlignment="1">
      <alignment horizontal="center" vertical="center" wrapText="1"/>
    </xf>
    <xf numFmtId="2" fontId="37" fillId="13" borderId="24" xfId="0" applyNumberFormat="1" applyFont="1" applyFill="1" applyBorder="1" applyAlignment="1">
      <alignment horizontal="center" vertical="center"/>
    </xf>
    <xf numFmtId="2" fontId="37" fillId="13" borderId="10" xfId="0" applyNumberFormat="1" applyFont="1" applyFill="1" applyBorder="1" applyAlignment="1">
      <alignment horizontal="center" vertical="center"/>
    </xf>
    <xf numFmtId="2" fontId="37" fillId="13" borderId="11" xfId="0" applyNumberFormat="1" applyFont="1" applyFill="1" applyBorder="1" applyAlignment="1">
      <alignment horizontal="center" vertical="center"/>
    </xf>
    <xf numFmtId="0" fontId="37" fillId="5" borderId="30" xfId="0" applyFont="1" applyFill="1" applyBorder="1" applyAlignment="1">
      <alignment horizontal="center" vertical="center" wrapText="1"/>
    </xf>
    <xf numFmtId="0" fontId="37" fillId="5" borderId="35" xfId="0" applyFont="1" applyFill="1" applyBorder="1" applyAlignment="1">
      <alignment horizontal="center" vertical="center" wrapText="1"/>
    </xf>
    <xf numFmtId="0" fontId="37" fillId="11" borderId="47" xfId="0" applyFont="1" applyFill="1" applyBorder="1"/>
    <xf numFmtId="2" fontId="3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3" fillId="15" borderId="71" xfId="0" applyFont="1" applyFill="1" applyBorder="1" applyAlignment="1">
      <alignment horizontal="center" vertical="center" wrapText="1"/>
    </xf>
    <xf numFmtId="2" fontId="33" fillId="8" borderId="53" xfId="0" applyNumberFormat="1" applyFont="1" applyFill="1" applyBorder="1" applyAlignment="1">
      <alignment horizontal="center" vertical="center" wrapText="1"/>
    </xf>
    <xf numFmtId="0" fontId="15" fillId="10" borderId="0" xfId="0" applyFont="1" applyFill="1"/>
    <xf numFmtId="0" fontId="46" fillId="14" borderId="0" xfId="0" applyFont="1" applyFill="1" applyAlignment="1">
      <alignment vertical="center" wrapText="1"/>
    </xf>
    <xf numFmtId="0" fontId="15" fillId="14" borderId="0" xfId="0" applyFont="1" applyFill="1"/>
    <xf numFmtId="0" fontId="35" fillId="10" borderId="0" xfId="0" applyFont="1" applyFill="1" applyAlignment="1">
      <alignment vertical="center" wrapText="1"/>
    </xf>
    <xf numFmtId="0" fontId="15" fillId="14" borderId="34" xfId="0" applyFont="1" applyFill="1" applyBorder="1"/>
    <xf numFmtId="0" fontId="15" fillId="14" borderId="0" xfId="0" applyFont="1" applyFill="1" applyAlignment="1">
      <alignment vertical="center" wrapText="1"/>
    </xf>
    <xf numFmtId="0" fontId="37" fillId="5" borderId="25" xfId="0" applyFont="1" applyFill="1" applyBorder="1" applyAlignment="1" applyProtection="1">
      <alignment horizontal="center" vertical="center" wrapText="1"/>
      <protection locked="0"/>
    </xf>
    <xf numFmtId="0" fontId="37" fillId="5" borderId="26" xfId="0" applyFont="1" applyFill="1" applyBorder="1" applyAlignment="1" applyProtection="1">
      <alignment horizontal="center" vertical="center" wrapText="1"/>
      <protection locked="0"/>
    </xf>
    <xf numFmtId="0" fontId="37" fillId="7" borderId="25" xfId="0" applyFont="1" applyFill="1" applyBorder="1" applyAlignment="1">
      <alignment horizontal="center" vertical="center" wrapText="1"/>
    </xf>
    <xf numFmtId="0" fontId="37" fillId="7" borderId="2" xfId="0" applyFont="1" applyFill="1" applyBorder="1" applyAlignment="1">
      <alignment horizontal="center" vertical="center" wrapText="1"/>
    </xf>
    <xf numFmtId="0" fontId="37" fillId="7" borderId="42" xfId="0" applyFont="1" applyFill="1" applyBorder="1" applyAlignment="1">
      <alignment horizontal="center" vertical="center" wrapText="1"/>
    </xf>
    <xf numFmtId="0" fontId="37" fillId="7" borderId="26" xfId="0" applyFont="1" applyFill="1" applyBorder="1" applyAlignment="1">
      <alignment horizontal="center" vertical="center" wrapText="1"/>
    </xf>
    <xf numFmtId="0" fontId="33" fillId="3" borderId="75" xfId="0" applyFont="1" applyFill="1" applyBorder="1" applyAlignment="1" applyProtection="1">
      <alignment horizontal="center" vertical="center" wrapText="1"/>
      <protection locked="0"/>
    </xf>
    <xf numFmtId="0" fontId="33" fillId="3" borderId="69" xfId="0" applyFont="1" applyFill="1" applyBorder="1" applyAlignment="1" applyProtection="1">
      <alignment horizontal="center" vertical="center" wrapText="1"/>
      <protection locked="0"/>
    </xf>
    <xf numFmtId="0" fontId="37" fillId="5" borderId="26" xfId="0" applyFont="1" applyFill="1" applyBorder="1" applyAlignment="1">
      <alignment vertical="center" wrapText="1"/>
    </xf>
    <xf numFmtId="0" fontId="37" fillId="5" borderId="25" xfId="0" applyFont="1" applyFill="1" applyBorder="1" applyAlignment="1">
      <alignment vertical="center" wrapText="1"/>
    </xf>
    <xf numFmtId="0" fontId="37" fillId="5" borderId="75" xfId="0" applyFont="1" applyFill="1" applyBorder="1" applyAlignment="1">
      <alignment vertical="center" wrapText="1"/>
    </xf>
    <xf numFmtId="0" fontId="37" fillId="5" borderId="78" xfId="0" applyFont="1" applyFill="1" applyBorder="1" applyAlignment="1">
      <alignment vertical="center" wrapText="1"/>
    </xf>
    <xf numFmtId="0" fontId="37" fillId="5" borderId="69" xfId="0" applyFont="1" applyFill="1" applyBorder="1" applyAlignment="1">
      <alignment vertical="center" wrapText="1"/>
    </xf>
    <xf numFmtId="0" fontId="33" fillId="0" borderId="55" xfId="0" applyFont="1" applyBorder="1" applyAlignment="1" applyProtection="1">
      <alignment horizontal="center" vertical="center" wrapText="1"/>
      <protection locked="0"/>
    </xf>
    <xf numFmtId="0" fontId="33" fillId="3" borderId="55" xfId="0" applyFont="1" applyFill="1" applyBorder="1" applyAlignment="1" applyProtection="1">
      <alignment horizontal="center" vertical="center" wrapText="1"/>
      <protection locked="0"/>
    </xf>
    <xf numFmtId="0" fontId="33" fillId="3" borderId="40" xfId="0" applyFont="1" applyFill="1" applyBorder="1" applyAlignment="1" applyProtection="1">
      <alignment horizontal="center" vertical="center" wrapText="1"/>
      <protection locked="0"/>
    </xf>
    <xf numFmtId="0" fontId="33" fillId="3" borderId="44" xfId="0" applyFont="1" applyFill="1" applyBorder="1" applyAlignment="1" applyProtection="1">
      <alignment horizontal="center" vertical="center" wrapText="1"/>
      <protection locked="0"/>
    </xf>
    <xf numFmtId="0" fontId="37" fillId="5" borderId="12" xfId="0" applyFont="1" applyFill="1" applyBorder="1" applyAlignment="1">
      <alignment vertical="center" wrapText="1"/>
    </xf>
    <xf numFmtId="0" fontId="37" fillId="5" borderId="21" xfId="0" applyFont="1" applyFill="1" applyBorder="1" applyAlignment="1">
      <alignment vertical="center" wrapText="1"/>
    </xf>
    <xf numFmtId="0" fontId="33" fillId="15" borderId="4" xfId="0" applyFont="1" applyFill="1" applyBorder="1" applyAlignment="1">
      <alignment horizontal="center" vertical="center" wrapText="1"/>
    </xf>
    <xf numFmtId="0" fontId="33" fillId="15" borderId="32" xfId="0" applyFont="1" applyFill="1" applyBorder="1" applyAlignment="1">
      <alignment horizontal="center" vertical="center" wrapText="1"/>
    </xf>
    <xf numFmtId="0" fontId="37" fillId="5" borderId="6" xfId="0" applyFont="1" applyFill="1" applyBorder="1" applyAlignment="1">
      <alignment vertical="center" wrapText="1"/>
    </xf>
    <xf numFmtId="0" fontId="33" fillId="0" borderId="2" xfId="0" applyFont="1" applyBorder="1" applyAlignment="1" applyProtection="1">
      <alignment wrapText="1"/>
      <protection locked="0"/>
    </xf>
    <xf numFmtId="0" fontId="33" fillId="3" borderId="45" xfId="0" applyFont="1" applyFill="1" applyBorder="1" applyAlignment="1" applyProtection="1">
      <alignment horizontal="center" vertical="center" wrapText="1"/>
      <protection locked="0"/>
    </xf>
    <xf numFmtId="0" fontId="37" fillId="5" borderId="49" xfId="0" applyFont="1" applyFill="1" applyBorder="1" applyAlignment="1">
      <alignment horizontal="center" vertical="center" wrapText="1"/>
    </xf>
    <xf numFmtId="2" fontId="37" fillId="8" borderId="24" xfId="0" applyNumberFormat="1" applyFont="1" applyFill="1" applyBorder="1" applyAlignment="1">
      <alignment horizontal="center" vertical="center" wrapText="1"/>
    </xf>
    <xf numFmtId="0" fontId="42" fillId="15" borderId="41" xfId="9" applyFont="1" applyFill="1" applyBorder="1" applyAlignment="1">
      <alignment horizontal="center" vertical="center"/>
    </xf>
    <xf numFmtId="0" fontId="33" fillId="15" borderId="66" xfId="0" applyFont="1" applyFill="1" applyBorder="1" applyAlignment="1">
      <alignment horizontal="center" vertical="center" wrapText="1"/>
    </xf>
    <xf numFmtId="0" fontId="33" fillId="15" borderId="43" xfId="0" applyFont="1" applyFill="1" applyBorder="1" applyAlignment="1">
      <alignment horizontal="center" vertical="center" wrapText="1"/>
    </xf>
    <xf numFmtId="0" fontId="33" fillId="15" borderId="82" xfId="0" applyFont="1" applyFill="1" applyBorder="1" applyAlignment="1">
      <alignment horizontal="center" vertical="center" wrapText="1"/>
    </xf>
    <xf numFmtId="0" fontId="33" fillId="15" borderId="41" xfId="0" applyFont="1" applyFill="1" applyBorder="1" applyAlignment="1">
      <alignment horizontal="center" vertical="center" wrapText="1"/>
    </xf>
    <xf numFmtId="0" fontId="33" fillId="15" borderId="66" xfId="0" applyFont="1" applyFill="1" applyBorder="1" applyAlignment="1">
      <alignment horizontal="center" vertical="center"/>
    </xf>
    <xf numFmtId="165" fontId="33" fillId="15" borderId="66" xfId="0" applyNumberFormat="1" applyFont="1" applyFill="1" applyBorder="1" applyAlignment="1">
      <alignment horizontal="center" vertical="center" wrapText="1"/>
    </xf>
    <xf numFmtId="0" fontId="33" fillId="3" borderId="3" xfId="0" applyFont="1" applyFill="1" applyBorder="1" applyAlignment="1" applyProtection="1">
      <alignment horizontal="center" vertical="center" wrapText="1"/>
      <protection locked="0"/>
    </xf>
    <xf numFmtId="0" fontId="33" fillId="0" borderId="75" xfId="0" applyFont="1" applyBorder="1" applyAlignment="1" applyProtection="1">
      <alignment wrapText="1"/>
      <protection locked="0"/>
    </xf>
    <xf numFmtId="0" fontId="33" fillId="0" borderId="78" xfId="0" applyFont="1" applyBorder="1" applyAlignment="1" applyProtection="1">
      <alignment wrapText="1"/>
      <protection locked="0"/>
    </xf>
    <xf numFmtId="0" fontId="33" fillId="3" borderId="57" xfId="0" applyFont="1" applyFill="1" applyBorder="1" applyAlignment="1" applyProtection="1">
      <alignment horizontal="center" vertical="center" wrapText="1"/>
      <protection locked="0"/>
    </xf>
    <xf numFmtId="0" fontId="33" fillId="15" borderId="49" xfId="0" applyFont="1" applyFill="1" applyBorder="1" applyAlignment="1">
      <alignment horizontal="center" vertical="center" wrapText="1"/>
    </xf>
    <xf numFmtId="0" fontId="33" fillId="0" borderId="44" xfId="0" applyFont="1" applyBorder="1" applyAlignment="1" applyProtection="1">
      <alignment horizontal="center" vertical="center" wrapText="1"/>
      <protection locked="0"/>
    </xf>
    <xf numFmtId="2" fontId="37" fillId="8" borderId="83" xfId="0" applyNumberFormat="1" applyFont="1" applyFill="1" applyBorder="1" applyAlignment="1">
      <alignment horizontal="center" vertical="center" wrapText="1"/>
    </xf>
    <xf numFmtId="0" fontId="37" fillId="14" borderId="27" xfId="0" applyFont="1" applyFill="1" applyBorder="1"/>
    <xf numFmtId="0" fontId="37" fillId="14" borderId="27" xfId="0" applyFont="1" applyFill="1" applyBorder="1" applyAlignment="1">
      <alignment horizontal="center" wrapText="1"/>
    </xf>
    <xf numFmtId="0" fontId="33" fillId="12" borderId="5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2" fontId="33" fillId="13" borderId="84" xfId="0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 applyProtection="1">
      <alignment wrapText="1"/>
      <protection locked="0"/>
    </xf>
    <xf numFmtId="0" fontId="33" fillId="10" borderId="27" xfId="0" applyFont="1" applyFill="1" applyBorder="1"/>
    <xf numFmtId="0" fontId="42" fillId="12" borderId="41" xfId="9" applyFont="1" applyFill="1" applyBorder="1" applyAlignment="1">
      <alignment horizontal="center" vertical="center"/>
    </xf>
    <xf numFmtId="0" fontId="33" fillId="12" borderId="66" xfId="0" applyFont="1" applyFill="1" applyBorder="1" applyAlignment="1">
      <alignment horizontal="center" vertical="center" wrapText="1"/>
    </xf>
    <xf numFmtId="2" fontId="33" fillId="12" borderId="66" xfId="0" applyNumberFormat="1" applyFont="1" applyFill="1" applyBorder="1" applyAlignment="1">
      <alignment horizontal="center" vertical="center" wrapText="1"/>
    </xf>
    <xf numFmtId="0" fontId="33" fillId="12" borderId="43" xfId="0" applyFont="1" applyFill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37" fillId="0" borderId="41" xfId="0" applyFont="1" applyBorder="1" applyAlignment="1" applyProtection="1">
      <alignment horizontal="center" vertical="center" wrapText="1"/>
      <protection locked="0"/>
    </xf>
    <xf numFmtId="0" fontId="33" fillId="9" borderId="3" xfId="0" applyFont="1" applyFill="1" applyBorder="1" applyAlignment="1">
      <alignment horizontal="center" vertical="top" wrapText="1"/>
    </xf>
    <xf numFmtId="0" fontId="33" fillId="12" borderId="41" xfId="0" applyFont="1" applyFill="1" applyBorder="1" applyAlignment="1">
      <alignment horizontal="center" vertical="center" wrapText="1"/>
    </xf>
    <xf numFmtId="0" fontId="33" fillId="0" borderId="41" xfId="0" applyFont="1" applyBorder="1" applyAlignment="1" applyProtection="1">
      <alignment horizontal="center" vertical="center" wrapText="1"/>
      <protection locked="0"/>
    </xf>
    <xf numFmtId="0" fontId="33" fillId="12" borderId="65" xfId="0" applyFont="1" applyFill="1" applyBorder="1" applyAlignment="1">
      <alignment horizontal="center" vertical="center"/>
    </xf>
    <xf numFmtId="165" fontId="33" fillId="12" borderId="43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 applyProtection="1">
      <alignment wrapText="1"/>
      <protection locked="0"/>
    </xf>
    <xf numFmtId="0" fontId="37" fillId="14" borderId="27" xfId="0" applyFont="1" applyFill="1" applyBorder="1" applyAlignment="1">
      <alignment wrapText="1"/>
    </xf>
    <xf numFmtId="2" fontId="37" fillId="8" borderId="54" xfId="0" applyNumberFormat="1" applyFont="1" applyFill="1" applyBorder="1" applyAlignment="1">
      <alignment horizontal="center" vertical="center"/>
    </xf>
    <xf numFmtId="0" fontId="42" fillId="15" borderId="41" xfId="9" applyFont="1" applyFill="1" applyBorder="1" applyAlignment="1">
      <alignment horizontal="center" vertical="center" wrapText="1"/>
    </xf>
    <xf numFmtId="0" fontId="33" fillId="14" borderId="84" xfId="0" applyFont="1" applyFill="1" applyBorder="1" applyAlignment="1">
      <alignment horizontal="center" vertical="center" wrapText="1"/>
    </xf>
    <xf numFmtId="0" fontId="37" fillId="3" borderId="41" xfId="0" applyFont="1" applyFill="1" applyBorder="1" applyAlignment="1" applyProtection="1">
      <alignment horizontal="center" vertical="center" wrapText="1"/>
      <protection locked="0"/>
    </xf>
    <xf numFmtId="0" fontId="37" fillId="3" borderId="43" xfId="0" applyFont="1" applyFill="1" applyBorder="1" applyAlignment="1" applyProtection="1">
      <alignment horizontal="center" vertical="center" wrapText="1"/>
      <protection locked="0"/>
    </xf>
    <xf numFmtId="0" fontId="33" fillId="14" borderId="41" xfId="0" applyFont="1" applyFill="1" applyBorder="1" applyAlignment="1">
      <alignment horizontal="center" vertical="center" wrapText="1"/>
    </xf>
    <xf numFmtId="0" fontId="33" fillId="15" borderId="65" xfId="0" applyFont="1" applyFill="1" applyBorder="1" applyAlignment="1">
      <alignment horizontal="center" vertical="center" wrapText="1"/>
    </xf>
    <xf numFmtId="0" fontId="33" fillId="15" borderId="1" xfId="0" applyFont="1" applyFill="1" applyBorder="1" applyAlignment="1">
      <alignment horizontal="center" vertical="center" wrapText="1"/>
    </xf>
    <xf numFmtId="165" fontId="33" fillId="15" borderId="43" xfId="0" applyNumberFormat="1" applyFont="1" applyFill="1" applyBorder="1" applyAlignment="1">
      <alignment horizontal="center" vertical="center" wrapText="1"/>
    </xf>
    <xf numFmtId="0" fontId="33" fillId="3" borderId="65" xfId="0" applyFont="1" applyFill="1" applyBorder="1" applyAlignment="1" applyProtection="1">
      <alignment wrapText="1"/>
      <protection locked="0"/>
    </xf>
    <xf numFmtId="0" fontId="33" fillId="3" borderId="43" xfId="0" applyFont="1" applyFill="1" applyBorder="1" applyAlignment="1" applyProtection="1">
      <alignment wrapText="1"/>
      <protection locked="0"/>
    </xf>
    <xf numFmtId="2" fontId="37" fillId="8" borderId="54" xfId="0" applyNumberFormat="1" applyFont="1" applyFill="1" applyBorder="1"/>
    <xf numFmtId="2" fontId="37" fillId="8" borderId="59" xfId="0" applyNumberFormat="1" applyFont="1" applyFill="1" applyBorder="1" applyAlignment="1">
      <alignment horizontal="center" vertical="center" wrapText="1"/>
    </xf>
    <xf numFmtId="0" fontId="37" fillId="14" borderId="56" xfId="0" applyFont="1" applyFill="1" applyBorder="1" applyAlignment="1">
      <alignment horizontal="center" vertical="center" wrapText="1"/>
    </xf>
    <xf numFmtId="0" fontId="37" fillId="8" borderId="59" xfId="0" applyFont="1" applyFill="1" applyBorder="1" applyAlignment="1">
      <alignment horizontal="center" vertical="center" wrapText="1"/>
    </xf>
    <xf numFmtId="0" fontId="37" fillId="14" borderId="56" xfId="0" applyFont="1" applyFill="1" applyBorder="1" applyAlignment="1">
      <alignment vertical="center" wrapText="1"/>
    </xf>
    <xf numFmtId="0" fontId="42" fillId="15" borderId="13" xfId="0" applyFont="1" applyFill="1" applyBorder="1" applyAlignment="1">
      <alignment vertical="center" wrapText="1"/>
    </xf>
    <xf numFmtId="0" fontId="42" fillId="15" borderId="18" xfId="0" applyFont="1" applyFill="1" applyBorder="1" applyAlignment="1">
      <alignment vertical="center" wrapText="1"/>
    </xf>
    <xf numFmtId="0" fontId="42" fillId="15" borderId="22" xfId="0" applyFont="1" applyFill="1" applyBorder="1" applyAlignment="1">
      <alignment vertical="center" wrapText="1"/>
    </xf>
    <xf numFmtId="0" fontId="37" fillId="10" borderId="56" xfId="0" applyFont="1" applyFill="1" applyBorder="1" applyAlignment="1">
      <alignment horizontal="center" vertical="center" wrapText="1"/>
    </xf>
    <xf numFmtId="0" fontId="28" fillId="14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15" fillId="14" borderId="0" xfId="0" applyFont="1" applyFill="1" applyAlignment="1">
      <alignment wrapText="1"/>
    </xf>
    <xf numFmtId="0" fontId="33" fillId="3" borderId="8" xfId="0" applyFont="1" applyFill="1" applyBorder="1" applyAlignment="1" applyProtection="1">
      <alignment horizontal="center" vertical="center" wrapText="1"/>
      <protection locked="0"/>
    </xf>
    <xf numFmtId="0" fontId="33" fillId="14" borderId="33" xfId="0" applyFont="1" applyFill="1" applyBorder="1"/>
    <xf numFmtId="0" fontId="37" fillId="5" borderId="60" xfId="0" applyFont="1" applyFill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  <protection locked="0"/>
    </xf>
    <xf numFmtId="0" fontId="0" fillId="14" borderId="0" xfId="0" applyFill="1" applyAlignment="1">
      <alignment vertical="center"/>
    </xf>
    <xf numFmtId="0" fontId="24" fillId="14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2" fontId="15" fillId="14" borderId="0" xfId="0" applyNumberFormat="1" applyFont="1" applyFill="1" applyAlignment="1">
      <alignment horizontal="center" vertical="center" wrapText="1"/>
    </xf>
    <xf numFmtId="10" fontId="11" fillId="14" borderId="0" xfId="0" applyNumberFormat="1" applyFont="1" applyFill="1"/>
    <xf numFmtId="0" fontId="16" fillId="11" borderId="12" xfId="9" applyFont="1" applyFill="1" applyBorder="1" applyAlignment="1">
      <alignment horizontal="center" vertical="center"/>
    </xf>
    <xf numFmtId="0" fontId="16" fillId="11" borderId="21" xfId="9" applyFont="1" applyFill="1" applyBorder="1" applyAlignment="1">
      <alignment horizontal="center" vertical="center"/>
    </xf>
    <xf numFmtId="0" fontId="11" fillId="10" borderId="0" xfId="0" applyFont="1" applyFill="1" applyAlignment="1">
      <alignment horizontal="right" vertical="top"/>
    </xf>
    <xf numFmtId="0" fontId="13" fillId="10" borderId="0" xfId="21" applyFont="1" applyFill="1" applyAlignment="1" applyProtection="1">
      <alignment horizontal="left" vertical="top"/>
      <protection locked="0"/>
    </xf>
    <xf numFmtId="0" fontId="12" fillId="10" borderId="0" xfId="0" applyFont="1" applyFill="1" applyAlignment="1">
      <alignment horizontal="center"/>
    </xf>
    <xf numFmtId="0" fontId="16" fillId="11" borderId="14" xfId="9" applyFont="1" applyFill="1" applyBorder="1" applyAlignment="1">
      <alignment horizontal="center" vertical="center"/>
    </xf>
    <xf numFmtId="0" fontId="16" fillId="11" borderId="19" xfId="9" applyFont="1" applyFill="1" applyBorder="1" applyAlignment="1">
      <alignment horizontal="center" vertical="center"/>
    </xf>
    <xf numFmtId="0" fontId="17" fillId="3" borderId="35" xfId="9" applyFont="1" applyFill="1" applyBorder="1" applyAlignment="1" applyProtection="1">
      <alignment horizontal="center" vertical="center"/>
      <protection locked="0"/>
    </xf>
    <xf numFmtId="0" fontId="17" fillId="3" borderId="47" xfId="9" applyFont="1" applyFill="1" applyBorder="1" applyAlignment="1" applyProtection="1">
      <alignment horizontal="center" vertical="center"/>
      <protection locked="0"/>
    </xf>
    <xf numFmtId="0" fontId="17" fillId="3" borderId="15" xfId="9" applyFont="1" applyFill="1" applyBorder="1" applyAlignment="1" applyProtection="1">
      <alignment horizontal="center" vertical="center"/>
      <protection locked="0"/>
    </xf>
    <xf numFmtId="0" fontId="55" fillId="10" borderId="34" xfId="0" applyFont="1" applyFill="1" applyBorder="1" applyAlignment="1">
      <alignment horizontal="center" vertical="top" wrapText="1"/>
    </xf>
    <xf numFmtId="0" fontId="14" fillId="13" borderId="45" xfId="9" applyFont="1" applyFill="1" applyBorder="1" applyAlignment="1">
      <alignment horizontal="center"/>
    </xf>
    <xf numFmtId="0" fontId="14" fillId="13" borderId="58" xfId="9" applyFont="1" applyFill="1" applyBorder="1" applyAlignment="1">
      <alignment horizontal="center"/>
    </xf>
    <xf numFmtId="0" fontId="21" fillId="11" borderId="16" xfId="9" applyFont="1" applyFill="1" applyBorder="1" applyAlignment="1">
      <alignment horizontal="center"/>
    </xf>
    <xf numFmtId="0" fontId="21" fillId="11" borderId="31" xfId="9" applyFont="1" applyFill="1" applyBorder="1" applyAlignment="1">
      <alignment horizontal="center"/>
    </xf>
    <xf numFmtId="0" fontId="21" fillId="11" borderId="6" xfId="9" applyFont="1" applyFill="1" applyBorder="1" applyAlignment="1">
      <alignment horizontal="center"/>
    </xf>
    <xf numFmtId="0" fontId="21" fillId="11" borderId="63" xfId="9" applyFont="1" applyFill="1" applyBorder="1" applyAlignment="1">
      <alignment horizontal="center"/>
    </xf>
    <xf numFmtId="0" fontId="21" fillId="11" borderId="32" xfId="9" applyFont="1" applyFill="1" applyBorder="1" applyAlignment="1">
      <alignment horizontal="center"/>
    </xf>
    <xf numFmtId="0" fontId="21" fillId="11" borderId="58" xfId="9" applyFont="1" applyFill="1" applyBorder="1" applyAlignment="1">
      <alignment horizontal="center"/>
    </xf>
    <xf numFmtId="0" fontId="15" fillId="11" borderId="20" xfId="0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0" fontId="15" fillId="11" borderId="56" xfId="0" applyFont="1" applyFill="1" applyBorder="1" applyAlignment="1">
      <alignment horizontal="center" vertical="center"/>
    </xf>
    <xf numFmtId="0" fontId="15" fillId="11" borderId="57" xfId="0" applyFont="1" applyFill="1" applyBorder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5" fillId="11" borderId="50" xfId="0" applyFont="1" applyFill="1" applyBorder="1" applyAlignment="1">
      <alignment horizontal="center" vertical="center"/>
    </xf>
    <xf numFmtId="0" fontId="17" fillId="3" borderId="36" xfId="9" applyFont="1" applyFill="1" applyBorder="1" applyAlignment="1" applyProtection="1">
      <alignment horizontal="center" vertical="center"/>
      <protection locked="0"/>
    </xf>
    <xf numFmtId="0" fontId="17" fillId="3" borderId="31" xfId="9" applyFont="1" applyFill="1" applyBorder="1" applyAlignment="1" applyProtection="1">
      <alignment horizontal="center" vertical="center"/>
      <protection locked="0"/>
    </xf>
    <xf numFmtId="0" fontId="17" fillId="3" borderId="39" xfId="9" applyFont="1" applyFill="1" applyBorder="1" applyAlignment="1" applyProtection="1">
      <alignment horizontal="center" vertical="center"/>
      <protection locked="0"/>
    </xf>
    <xf numFmtId="14" fontId="17" fillId="3" borderId="36" xfId="9" applyNumberFormat="1" applyFont="1" applyFill="1" applyBorder="1" applyAlignment="1" applyProtection="1">
      <alignment horizontal="center" vertical="center"/>
      <protection locked="0"/>
    </xf>
    <xf numFmtId="14" fontId="17" fillId="3" borderId="31" xfId="9" applyNumberFormat="1" applyFont="1" applyFill="1" applyBorder="1" applyAlignment="1" applyProtection="1">
      <alignment horizontal="center" vertical="center"/>
      <protection locked="0"/>
    </xf>
    <xf numFmtId="14" fontId="17" fillId="3" borderId="39" xfId="9" applyNumberFormat="1" applyFont="1" applyFill="1" applyBorder="1" applyAlignment="1" applyProtection="1">
      <alignment horizontal="center" vertical="center"/>
      <protection locked="0"/>
    </xf>
    <xf numFmtId="0" fontId="16" fillId="11" borderId="36" xfId="9" applyFont="1" applyFill="1" applyBorder="1" applyAlignment="1">
      <alignment horizontal="center" vertical="center"/>
    </xf>
    <xf numFmtId="0" fontId="16" fillId="11" borderId="39" xfId="9" applyFont="1" applyFill="1" applyBorder="1" applyAlignment="1">
      <alignment horizontal="center" vertical="center"/>
    </xf>
    <xf numFmtId="0" fontId="16" fillId="11" borderId="45" xfId="9" applyFont="1" applyFill="1" applyBorder="1" applyAlignment="1">
      <alignment horizontal="center" vertical="center"/>
    </xf>
    <xf numFmtId="0" fontId="16" fillId="11" borderId="64" xfId="9" applyFont="1" applyFill="1" applyBorder="1" applyAlignment="1">
      <alignment horizontal="center" vertical="center"/>
    </xf>
    <xf numFmtId="14" fontId="17" fillId="3" borderId="45" xfId="9" applyNumberFormat="1" applyFont="1" applyFill="1" applyBorder="1" applyAlignment="1" applyProtection="1">
      <alignment horizontal="center" vertical="center"/>
      <protection locked="0"/>
    </xf>
    <xf numFmtId="14" fontId="17" fillId="3" borderId="32" xfId="9" applyNumberFormat="1" applyFont="1" applyFill="1" applyBorder="1" applyAlignment="1" applyProtection="1">
      <alignment horizontal="center" vertical="center"/>
      <protection locked="0"/>
    </xf>
    <xf numFmtId="14" fontId="17" fillId="3" borderId="64" xfId="9" applyNumberFormat="1" applyFont="1" applyFill="1" applyBorder="1" applyAlignment="1" applyProtection="1">
      <alignment horizontal="center" vertical="center"/>
      <protection locked="0"/>
    </xf>
    <xf numFmtId="0" fontId="20" fillId="3" borderId="36" xfId="0" applyFont="1" applyFill="1" applyBorder="1" applyAlignment="1" applyProtection="1">
      <alignment horizontal="center" vertical="center" wrapText="1"/>
      <protection locked="0"/>
    </xf>
    <xf numFmtId="0" fontId="20" fillId="3" borderId="6" xfId="0" applyFont="1" applyFill="1" applyBorder="1" applyAlignment="1" applyProtection="1">
      <alignment horizontal="center" vertical="center" wrapText="1"/>
      <protection locked="0"/>
    </xf>
    <xf numFmtId="0" fontId="18" fillId="11" borderId="23" xfId="0" applyFont="1" applyFill="1" applyBorder="1" applyAlignment="1">
      <alignment horizontal="center"/>
    </xf>
    <xf numFmtId="0" fontId="18" fillId="11" borderId="46" xfId="0" applyFont="1" applyFill="1" applyBorder="1" applyAlignment="1">
      <alignment horizontal="center"/>
    </xf>
    <xf numFmtId="0" fontId="18" fillId="11" borderId="24" xfId="0" applyFont="1" applyFill="1" applyBorder="1" applyAlignment="1">
      <alignment horizontal="center"/>
    </xf>
    <xf numFmtId="0" fontId="14" fillId="12" borderId="36" xfId="9" applyFont="1" applyFill="1" applyBorder="1" applyAlignment="1">
      <alignment horizontal="center"/>
    </xf>
    <xf numFmtId="0" fontId="14" fillId="12" borderId="6" xfId="9" applyFont="1" applyFill="1" applyBorder="1" applyAlignment="1">
      <alignment horizontal="center"/>
    </xf>
    <xf numFmtId="0" fontId="0" fillId="14" borderId="0" xfId="0" applyFill="1" applyAlignment="1">
      <alignment horizontal="right" vertical="top"/>
    </xf>
    <xf numFmtId="0" fontId="7" fillId="14" borderId="0" xfId="21" applyFill="1" applyAlignment="1" applyProtection="1">
      <alignment horizontal="left" vertical="top"/>
      <protection locked="0"/>
    </xf>
    <xf numFmtId="0" fontId="1" fillId="14" borderId="0" xfId="0" applyFont="1" applyFill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/>
    </xf>
    <xf numFmtId="0" fontId="0" fillId="10" borderId="0" xfId="0" applyFill="1" applyAlignment="1">
      <alignment horizontal="right" vertical="top"/>
    </xf>
    <xf numFmtId="0" fontId="7" fillId="10" borderId="0" xfId="21" applyFill="1" applyBorder="1" applyAlignment="1" applyProtection="1">
      <alignment horizontal="left" vertical="top"/>
    </xf>
    <xf numFmtId="0" fontId="55" fillId="10" borderId="0" xfId="0" applyFont="1" applyFill="1" applyAlignment="1">
      <alignment horizontal="center" vertical="top" wrapText="1"/>
    </xf>
    <xf numFmtId="0" fontId="27" fillId="10" borderId="0" xfId="0" applyFont="1" applyFill="1" applyAlignment="1">
      <alignment horizontal="right" vertical="top"/>
    </xf>
    <xf numFmtId="0" fontId="47" fillId="10" borderId="0" xfId="21" applyFont="1" applyFill="1" applyAlignment="1" applyProtection="1">
      <alignment horizontal="left" vertical="top"/>
      <protection locked="0"/>
    </xf>
    <xf numFmtId="0" fontId="48" fillId="10" borderId="0" xfId="0" applyFont="1" applyFill="1" applyAlignment="1">
      <alignment horizontal="center"/>
    </xf>
    <xf numFmtId="0" fontId="28" fillId="5" borderId="20" xfId="0" applyFont="1" applyFill="1" applyBorder="1" applyAlignment="1">
      <alignment horizontal="left" vertical="center"/>
    </xf>
    <xf numFmtId="0" fontId="28" fillId="5" borderId="27" xfId="0" applyFont="1" applyFill="1" applyBorder="1" applyAlignment="1">
      <alignment horizontal="left" vertical="center"/>
    </xf>
    <xf numFmtId="0" fontId="28" fillId="5" borderId="56" xfId="0" applyFont="1" applyFill="1" applyBorder="1" applyAlignment="1">
      <alignment horizontal="left" vertical="center"/>
    </xf>
    <xf numFmtId="0" fontId="28" fillId="5" borderId="33" xfId="0" applyFont="1" applyFill="1" applyBorder="1" applyAlignment="1">
      <alignment horizontal="left" vertical="center"/>
    </xf>
    <xf numFmtId="0" fontId="28" fillId="5" borderId="34" xfId="0" applyFont="1" applyFill="1" applyBorder="1" applyAlignment="1">
      <alignment horizontal="left" vertical="center"/>
    </xf>
    <xf numFmtId="0" fontId="28" fillId="5" borderId="59" xfId="0" applyFont="1" applyFill="1" applyBorder="1" applyAlignment="1">
      <alignment horizontal="left" vertical="center"/>
    </xf>
    <xf numFmtId="0" fontId="29" fillId="14" borderId="0" xfId="0" applyFont="1" applyFill="1" applyAlignment="1">
      <alignment horizontal="left"/>
    </xf>
    <xf numFmtId="0" fontId="24" fillId="5" borderId="20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57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33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left" vertical="center"/>
    </xf>
    <xf numFmtId="0" fontId="15" fillId="5" borderId="46" xfId="0" applyFont="1" applyFill="1" applyBorder="1" applyAlignment="1">
      <alignment horizontal="left" vertical="center"/>
    </xf>
    <xf numFmtId="0" fontId="15" fillId="5" borderId="24" xfId="0" applyFont="1" applyFill="1" applyBorder="1" applyAlignment="1">
      <alignment horizontal="left" vertical="center"/>
    </xf>
    <xf numFmtId="2" fontId="15" fillId="4" borderId="17" xfId="0" applyNumberFormat="1" applyFont="1" applyFill="1" applyBorder="1" applyAlignment="1">
      <alignment horizontal="center" vertical="center" wrapText="1"/>
    </xf>
    <xf numFmtId="2" fontId="15" fillId="4" borderId="19" xfId="0" applyNumberFormat="1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2" fontId="15" fillId="4" borderId="5" xfId="0" applyNumberFormat="1" applyFont="1" applyFill="1" applyBorder="1" applyAlignment="1">
      <alignment horizontal="center" vertical="center" wrapText="1"/>
    </xf>
    <xf numFmtId="2" fontId="15" fillId="4" borderId="21" xfId="0" applyNumberFormat="1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2" fontId="15" fillId="4" borderId="63" xfId="0" applyNumberFormat="1" applyFont="1" applyFill="1" applyBorder="1" applyAlignment="1">
      <alignment horizontal="center" vertical="center" wrapText="1"/>
    </xf>
    <xf numFmtId="2" fontId="15" fillId="4" borderId="64" xfId="0" applyNumberFormat="1" applyFont="1" applyFill="1" applyBorder="1" applyAlignment="1">
      <alignment horizontal="center" vertical="center" wrapText="1"/>
    </xf>
    <xf numFmtId="2" fontId="15" fillId="4" borderId="63" xfId="0" applyNumberFormat="1" applyFont="1" applyFill="1" applyBorder="1" applyAlignment="1">
      <alignment horizontal="center" vertical="center"/>
    </xf>
    <xf numFmtId="2" fontId="15" fillId="4" borderId="64" xfId="0" applyNumberFormat="1" applyFont="1" applyFill="1" applyBorder="1" applyAlignment="1">
      <alignment horizontal="center" vertical="center"/>
    </xf>
    <xf numFmtId="0" fontId="24" fillId="5" borderId="56" xfId="0" applyFont="1" applyFill="1" applyBorder="1" applyAlignment="1">
      <alignment horizontal="center" vertical="center" wrapText="1"/>
    </xf>
    <xf numFmtId="0" fontId="24" fillId="5" borderId="50" xfId="0" applyFont="1" applyFill="1" applyBorder="1" applyAlignment="1">
      <alignment horizontal="center" vertical="center" wrapText="1"/>
    </xf>
    <xf numFmtId="0" fontId="24" fillId="5" borderId="59" xfId="0" applyFont="1" applyFill="1" applyBorder="1" applyAlignment="1">
      <alignment horizontal="center" vertical="center" wrapText="1"/>
    </xf>
    <xf numFmtId="2" fontId="15" fillId="4" borderId="62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2" fontId="15" fillId="4" borderId="16" xfId="0" quotePrefix="1" applyNumberFormat="1" applyFont="1" applyFill="1" applyBorder="1" applyAlignment="1">
      <alignment horizontal="center" vertical="center" wrapText="1"/>
    </xf>
    <xf numFmtId="2" fontId="15" fillId="4" borderId="39" xfId="0" applyNumberFormat="1" applyFont="1" applyFill="1" applyBorder="1" applyAlignment="1">
      <alignment horizontal="center" vertical="center" wrapText="1"/>
    </xf>
    <xf numFmtId="2" fontId="15" fillId="4" borderId="17" xfId="0" applyNumberFormat="1" applyFont="1" applyFill="1" applyBorder="1" applyAlignment="1">
      <alignment horizontal="center" vertical="center"/>
    </xf>
    <xf numFmtId="2" fontId="15" fillId="4" borderId="19" xfId="0" applyNumberFormat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center" vertical="center"/>
    </xf>
    <xf numFmtId="2" fontId="15" fillId="4" borderId="21" xfId="0" applyNumberFormat="1" applyFont="1" applyFill="1" applyBorder="1" applyAlignment="1">
      <alignment horizontal="center" vertical="center"/>
    </xf>
    <xf numFmtId="2" fontId="15" fillId="4" borderId="16" xfId="0" applyNumberFormat="1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50" fillId="8" borderId="23" xfId="0" applyFont="1" applyFill="1" applyBorder="1" applyAlignment="1">
      <alignment horizontal="center" vertical="center" wrapText="1"/>
    </xf>
    <xf numFmtId="0" fontId="50" fillId="8" borderId="46" xfId="0" applyFont="1" applyFill="1" applyBorder="1" applyAlignment="1">
      <alignment horizontal="center" vertical="center" wrapText="1"/>
    </xf>
    <xf numFmtId="0" fontId="50" fillId="8" borderId="24" xfId="0" applyFont="1" applyFill="1" applyBorder="1" applyAlignment="1">
      <alignment horizontal="center" vertical="center" wrapText="1"/>
    </xf>
    <xf numFmtId="0" fontId="27" fillId="14" borderId="57" xfId="0" applyFont="1" applyFill="1" applyBorder="1" applyAlignment="1">
      <alignment horizontal="center"/>
    </xf>
    <xf numFmtId="0" fontId="27" fillId="14" borderId="0" xfId="0" applyFont="1" applyFill="1" applyAlignment="1">
      <alignment horizontal="center"/>
    </xf>
    <xf numFmtId="0" fontId="27" fillId="14" borderId="57" xfId="0" applyFont="1" applyFill="1" applyBorder="1" applyAlignment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29" fillId="14" borderId="0" xfId="0" applyFont="1" applyFill="1" applyAlignment="1">
      <alignment horizontal="center"/>
    </xf>
    <xf numFmtId="10" fontId="15" fillId="4" borderId="62" xfId="0" applyNumberFormat="1" applyFont="1" applyFill="1" applyBorder="1" applyAlignment="1">
      <alignment horizontal="center" vertical="center" wrapText="1"/>
    </xf>
    <xf numFmtId="10" fontId="15" fillId="4" borderId="15" xfId="0" applyNumberFormat="1" applyFont="1" applyFill="1" applyBorder="1" applyAlignment="1">
      <alignment horizontal="center" vertical="center" wrapText="1"/>
    </xf>
    <xf numFmtId="10" fontId="15" fillId="4" borderId="71" xfId="0" applyNumberFormat="1" applyFont="1" applyFill="1" applyBorder="1" applyAlignment="1">
      <alignment horizontal="center" vertical="center" wrapText="1"/>
    </xf>
    <xf numFmtId="10" fontId="15" fillId="4" borderId="50" xfId="0" applyNumberFormat="1" applyFont="1" applyFill="1" applyBorder="1" applyAlignment="1">
      <alignment horizontal="center" vertical="center" wrapText="1"/>
    </xf>
    <xf numFmtId="0" fontId="25" fillId="5" borderId="63" xfId="0" applyFont="1" applyFill="1" applyBorder="1" applyAlignment="1">
      <alignment horizontal="center" vertical="center" wrapText="1"/>
    </xf>
    <xf numFmtId="10" fontId="15" fillId="4" borderId="63" xfId="0" applyNumberFormat="1" applyFont="1" applyFill="1" applyBorder="1" applyAlignment="1">
      <alignment horizontal="center" vertical="center" wrapText="1"/>
    </xf>
    <xf numFmtId="10" fontId="15" fillId="4" borderId="64" xfId="0" applyNumberFormat="1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37" fillId="21" borderId="80" xfId="0" applyFont="1" applyFill="1" applyBorder="1" applyAlignment="1">
      <alignment horizontal="center" textRotation="90"/>
    </xf>
    <xf numFmtId="0" fontId="37" fillId="21" borderId="0" xfId="0" applyFont="1" applyFill="1" applyAlignment="1">
      <alignment horizontal="center" textRotation="90"/>
    </xf>
    <xf numFmtId="0" fontId="37" fillId="21" borderId="79" xfId="0" applyFont="1" applyFill="1" applyBorder="1" applyAlignment="1">
      <alignment horizontal="center" textRotation="90"/>
    </xf>
    <xf numFmtId="0" fontId="54" fillId="22" borderId="80" xfId="0" applyFont="1" applyFill="1" applyBorder="1" applyAlignment="1">
      <alignment horizontal="center" textRotation="90"/>
    </xf>
    <xf numFmtId="0" fontId="54" fillId="22" borderId="0" xfId="0" applyFont="1" applyFill="1" applyAlignment="1">
      <alignment horizontal="center" textRotation="90"/>
    </xf>
    <xf numFmtId="0" fontId="54" fillId="22" borderId="79" xfId="0" applyFont="1" applyFill="1" applyBorder="1" applyAlignment="1">
      <alignment horizontal="center" textRotation="90"/>
    </xf>
    <xf numFmtId="0" fontId="37" fillId="20" borderId="80" xfId="0" applyFont="1" applyFill="1" applyBorder="1" applyAlignment="1">
      <alignment textRotation="90"/>
    </xf>
    <xf numFmtId="0" fontId="37" fillId="20" borderId="0" xfId="0" applyFont="1" applyFill="1" applyAlignment="1">
      <alignment textRotation="90"/>
    </xf>
    <xf numFmtId="0" fontId="33" fillId="5" borderId="41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horizontal="center" vertical="center" wrapText="1"/>
    </xf>
    <xf numFmtId="0" fontId="33" fillId="8" borderId="66" xfId="0" applyFont="1" applyFill="1" applyBorder="1" applyAlignment="1">
      <alignment horizontal="center" vertical="center"/>
    </xf>
    <xf numFmtId="0" fontId="33" fillId="8" borderId="42" xfId="0" applyFont="1" applyFill="1" applyBorder="1" applyAlignment="1">
      <alignment horizontal="center" vertical="center"/>
    </xf>
    <xf numFmtId="0" fontId="50" fillId="5" borderId="54" xfId="0" applyFont="1" applyFill="1" applyBorder="1" applyAlignment="1">
      <alignment horizontal="center"/>
    </xf>
    <xf numFmtId="0" fontId="33" fillId="5" borderId="8" xfId="0" applyFont="1" applyFill="1" applyBorder="1" applyAlignment="1">
      <alignment horizontal="center" vertical="center" wrapText="1"/>
    </xf>
    <xf numFmtId="1" fontId="33" fillId="8" borderId="43" xfId="0" applyNumberFormat="1" applyFont="1" applyFill="1" applyBorder="1" applyAlignment="1">
      <alignment horizontal="center" vertical="center"/>
    </xf>
    <xf numFmtId="1" fontId="33" fillId="8" borderId="26" xfId="0" applyNumberFormat="1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18" fillId="5" borderId="4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67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2" fontId="33" fillId="8" borderId="17" xfId="0" applyNumberFormat="1" applyFont="1" applyFill="1" applyBorder="1" applyAlignment="1">
      <alignment horizontal="center"/>
    </xf>
    <xf numFmtId="2" fontId="33" fillId="8" borderId="19" xfId="0" applyNumberFormat="1" applyFont="1" applyFill="1" applyBorder="1" applyAlignment="1">
      <alignment horizontal="center"/>
    </xf>
    <xf numFmtId="2" fontId="33" fillId="8" borderId="18" xfId="0" applyNumberFormat="1" applyFont="1" applyFill="1" applyBorder="1" applyAlignment="1">
      <alignment horizontal="center"/>
    </xf>
    <xf numFmtId="2" fontId="33" fillId="8" borderId="22" xfId="0" applyNumberFormat="1" applyFont="1" applyFill="1" applyBorder="1" applyAlignment="1">
      <alignment horizontal="center"/>
    </xf>
    <xf numFmtId="0" fontId="52" fillId="5" borderId="23" xfId="0" applyFont="1" applyFill="1" applyBorder="1" applyAlignment="1">
      <alignment horizontal="center"/>
    </xf>
    <xf numFmtId="0" fontId="52" fillId="5" borderId="46" xfId="0" applyFont="1" applyFill="1" applyBorder="1" applyAlignment="1">
      <alignment horizontal="center"/>
    </xf>
    <xf numFmtId="0" fontId="52" fillId="5" borderId="24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2" fontId="33" fillId="8" borderId="17" xfId="0" applyNumberFormat="1" applyFont="1" applyFill="1" applyBorder="1" applyAlignment="1">
      <alignment horizontal="center" vertical="center"/>
    </xf>
    <xf numFmtId="2" fontId="33" fillId="8" borderId="18" xfId="0" applyNumberFormat="1" applyFont="1" applyFill="1" applyBorder="1" applyAlignment="1">
      <alignment horizontal="center" vertical="center"/>
    </xf>
    <xf numFmtId="0" fontId="26" fillId="5" borderId="54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/>
    </xf>
    <xf numFmtId="0" fontId="15" fillId="5" borderId="46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25" fillId="5" borderId="45" xfId="0" applyFont="1" applyFill="1" applyBorder="1" applyAlignment="1">
      <alignment horizontal="center" vertical="center" wrapText="1"/>
    </xf>
    <xf numFmtId="0" fontId="25" fillId="5" borderId="58" xfId="0" applyFont="1" applyFill="1" applyBorder="1" applyAlignment="1">
      <alignment horizontal="center" vertical="center" wrapText="1"/>
    </xf>
    <xf numFmtId="2" fontId="15" fillId="8" borderId="63" xfId="0" applyNumberFormat="1" applyFont="1" applyFill="1" applyBorder="1" applyAlignment="1">
      <alignment horizontal="center" wrapText="1"/>
    </xf>
    <xf numFmtId="2" fontId="15" fillId="8" borderId="64" xfId="0" applyNumberFormat="1" applyFont="1" applyFill="1" applyBorder="1" applyAlignment="1">
      <alignment horizontal="center" wrapText="1"/>
    </xf>
    <xf numFmtId="0" fontId="35" fillId="5" borderId="20" xfId="0" applyFont="1" applyFill="1" applyBorder="1" applyAlignment="1">
      <alignment horizontal="center" vertical="center"/>
    </xf>
    <xf numFmtId="0" fontId="35" fillId="5" borderId="56" xfId="0" applyFont="1" applyFill="1" applyBorder="1" applyAlignment="1">
      <alignment horizontal="center" vertical="center"/>
    </xf>
    <xf numFmtId="0" fontId="35" fillId="5" borderId="33" xfId="0" applyFont="1" applyFill="1" applyBorder="1" applyAlignment="1">
      <alignment horizontal="center" vertical="center"/>
    </xf>
    <xf numFmtId="0" fontId="35" fillId="5" borderId="59" xfId="0" applyFont="1" applyFill="1" applyBorder="1" applyAlignment="1">
      <alignment horizontal="center" vertical="center"/>
    </xf>
    <xf numFmtId="2" fontId="15" fillId="8" borderId="62" xfId="0" applyNumberFormat="1" applyFont="1" applyFill="1" applyBorder="1" applyAlignment="1">
      <alignment horizontal="center" wrapText="1"/>
    </xf>
    <xf numFmtId="2" fontId="15" fillId="8" borderId="15" xfId="0" applyNumberFormat="1" applyFont="1" applyFill="1" applyBorder="1" applyAlignment="1">
      <alignment horizontal="center" wrapText="1"/>
    </xf>
    <xf numFmtId="0" fontId="25" fillId="5" borderId="35" xfId="0" applyFont="1" applyFill="1" applyBorder="1" applyAlignment="1">
      <alignment horizontal="center" vertical="center" wrapText="1"/>
    </xf>
    <xf numFmtId="0" fontId="25" fillId="5" borderId="61" xfId="0" applyFont="1" applyFill="1" applyBorder="1" applyAlignment="1">
      <alignment horizontal="center" vertical="center" wrapText="1"/>
    </xf>
    <xf numFmtId="10" fontId="15" fillId="8" borderId="5" xfId="0" applyNumberFormat="1" applyFont="1" applyFill="1" applyBorder="1" applyAlignment="1">
      <alignment horizontal="center" vertical="center" wrapText="1"/>
    </xf>
    <xf numFmtId="10" fontId="15" fillId="8" borderId="21" xfId="0" applyNumberFormat="1" applyFont="1" applyFill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5" fillId="5" borderId="31" xfId="0" applyFont="1" applyFill="1" applyBorder="1" applyAlignment="1">
      <alignment horizontal="center" vertical="center" wrapText="1"/>
    </xf>
    <xf numFmtId="10" fontId="15" fillId="8" borderId="17" xfId="0" applyNumberFormat="1" applyFont="1" applyFill="1" applyBorder="1" applyAlignment="1">
      <alignment horizontal="center" vertical="center" wrapText="1"/>
    </xf>
    <xf numFmtId="10" fontId="15" fillId="8" borderId="19" xfId="0" applyNumberFormat="1" applyFont="1" applyFill="1" applyBorder="1" applyAlignment="1">
      <alignment horizontal="center" vertical="center" wrapText="1"/>
    </xf>
    <xf numFmtId="0" fontId="25" fillId="5" borderId="47" xfId="0" applyFont="1" applyFill="1" applyBorder="1" applyAlignment="1">
      <alignment horizontal="center" vertical="center" wrapText="1"/>
    </xf>
    <xf numFmtId="2" fontId="15" fillId="8" borderId="16" xfId="0" applyNumberFormat="1" applyFont="1" applyFill="1" applyBorder="1" applyAlignment="1">
      <alignment horizontal="center" wrapText="1"/>
    </xf>
    <xf numFmtId="2" fontId="15" fillId="8" borderId="39" xfId="0" applyNumberFormat="1" applyFont="1" applyFill="1" applyBorder="1" applyAlignment="1">
      <alignment horizontal="center" wrapText="1"/>
    </xf>
    <xf numFmtId="0" fontId="25" fillId="5" borderId="6" xfId="0" applyFont="1" applyFill="1" applyBorder="1" applyAlignment="1">
      <alignment horizontal="center" vertical="center" wrapText="1"/>
    </xf>
    <xf numFmtId="10" fontId="15" fillId="8" borderId="18" xfId="0" applyNumberFormat="1" applyFont="1" applyFill="1" applyBorder="1" applyAlignment="1">
      <alignment horizontal="center" vertical="center" wrapText="1"/>
    </xf>
    <xf numFmtId="10" fontId="15" fillId="8" borderId="22" xfId="0" applyNumberFormat="1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51" fillId="5" borderId="28" xfId="0" applyFont="1" applyFill="1" applyBorder="1" applyAlignment="1">
      <alignment horizontal="center" wrapText="1"/>
    </xf>
    <xf numFmtId="0" fontId="51" fillId="5" borderId="53" xfId="0" applyFont="1" applyFill="1" applyBorder="1" applyAlignment="1">
      <alignment horizontal="center" wrapText="1"/>
    </xf>
    <xf numFmtId="0" fontId="34" fillId="14" borderId="0" xfId="0" applyFont="1" applyFill="1" applyAlignment="1">
      <alignment horizontal="left"/>
    </xf>
    <xf numFmtId="0" fontId="35" fillId="5" borderId="23" xfId="0" applyFont="1" applyFill="1" applyBorder="1" applyAlignment="1">
      <alignment horizontal="center" vertical="center" wrapText="1"/>
    </xf>
    <xf numFmtId="0" fontId="35" fillId="5" borderId="46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/>
    </xf>
    <xf numFmtId="0" fontId="28" fillId="5" borderId="24" xfId="0" applyFont="1" applyFill="1" applyBorder="1" applyAlignment="1">
      <alignment horizontal="center"/>
    </xf>
    <xf numFmtId="0" fontId="28" fillId="5" borderId="23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2" fontId="33" fillId="15" borderId="37" xfId="0" applyNumberFormat="1" applyFont="1" applyFill="1" applyBorder="1" applyAlignment="1">
      <alignment horizontal="center" vertical="center"/>
    </xf>
    <xf numFmtId="2" fontId="33" fillId="15" borderId="78" xfId="0" applyNumberFormat="1" applyFont="1" applyFill="1" applyBorder="1" applyAlignment="1">
      <alignment horizontal="center" vertical="center"/>
    </xf>
    <xf numFmtId="2" fontId="33" fillId="15" borderId="38" xfId="0" applyNumberFormat="1" applyFont="1" applyFill="1" applyBorder="1" applyAlignment="1">
      <alignment horizontal="center" vertical="center"/>
    </xf>
    <xf numFmtId="0" fontId="36" fillId="5" borderId="23" xfId="0" applyFont="1" applyFill="1" applyBorder="1" applyAlignment="1">
      <alignment horizontal="center" vertical="center" wrapText="1"/>
    </xf>
    <xf numFmtId="0" fontId="36" fillId="5" borderId="46" xfId="0" applyFont="1" applyFill="1" applyBorder="1" applyAlignment="1">
      <alignment horizontal="center" vertical="center" wrapText="1"/>
    </xf>
    <xf numFmtId="0" fontId="36" fillId="5" borderId="24" xfId="0" applyFont="1" applyFill="1" applyBorder="1" applyAlignment="1">
      <alignment horizontal="center" vertical="center" wrapText="1"/>
    </xf>
    <xf numFmtId="0" fontId="33" fillId="14" borderId="27" xfId="0" applyFont="1" applyFill="1" applyBorder="1" applyAlignment="1">
      <alignment horizontal="center" vertical="center" wrapText="1"/>
    </xf>
    <xf numFmtId="0" fontId="35" fillId="5" borderId="24" xfId="0" applyFont="1" applyFill="1" applyBorder="1" applyAlignment="1">
      <alignment horizontal="center" vertical="center" wrapText="1"/>
    </xf>
    <xf numFmtId="0" fontId="37" fillId="5" borderId="19" xfId="0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37" fillId="5" borderId="14" xfId="0" applyFont="1" applyFill="1" applyBorder="1" applyAlignment="1">
      <alignment horizontal="center" vertical="center" wrapText="1"/>
    </xf>
    <xf numFmtId="0" fontId="37" fillId="5" borderId="12" xfId="0" applyFont="1" applyFill="1" applyBorder="1" applyAlignment="1">
      <alignment horizontal="center" vertical="center" wrapText="1"/>
    </xf>
    <xf numFmtId="0" fontId="37" fillId="5" borderId="17" xfId="0" applyFont="1" applyFill="1" applyBorder="1" applyAlignment="1">
      <alignment horizontal="center" vertical="center" wrapText="1"/>
    </xf>
    <xf numFmtId="0" fontId="37" fillId="5" borderId="5" xfId="0" applyFont="1" applyFill="1" applyBorder="1" applyAlignment="1">
      <alignment horizontal="center" vertical="center" wrapText="1"/>
    </xf>
    <xf numFmtId="0" fontId="33" fillId="23" borderId="5" xfId="0" applyFont="1" applyFill="1" applyBorder="1" applyAlignment="1">
      <alignment horizontal="center" vertical="top" wrapText="1"/>
    </xf>
    <xf numFmtId="0" fontId="33" fillId="17" borderId="5" xfId="0" applyFont="1" applyFill="1" applyBorder="1" applyAlignment="1">
      <alignment horizontal="center" vertical="top" wrapText="1"/>
    </xf>
    <xf numFmtId="0" fontId="33" fillId="19" borderId="5" xfId="0" applyFont="1" applyFill="1" applyBorder="1" applyAlignment="1">
      <alignment horizontal="center" vertical="top" wrapText="1"/>
    </xf>
    <xf numFmtId="0" fontId="33" fillId="18" borderId="18" xfId="0" applyFont="1" applyFill="1" applyBorder="1" applyAlignment="1">
      <alignment horizontal="center" vertical="top" wrapText="1"/>
    </xf>
    <xf numFmtId="0" fontId="28" fillId="11" borderId="20" xfId="0" applyFont="1" applyFill="1" applyBorder="1" applyAlignment="1">
      <alignment horizontal="center" vertical="center"/>
    </xf>
    <xf numFmtId="0" fontId="28" fillId="11" borderId="27" xfId="0" applyFont="1" applyFill="1" applyBorder="1" applyAlignment="1">
      <alignment horizontal="center" vertical="center"/>
    </xf>
    <xf numFmtId="0" fontId="28" fillId="11" borderId="56" xfId="0" applyFont="1" applyFill="1" applyBorder="1" applyAlignment="1">
      <alignment horizontal="center" vertical="center"/>
    </xf>
    <xf numFmtId="0" fontId="28" fillId="11" borderId="33" xfId="0" applyFont="1" applyFill="1" applyBorder="1" applyAlignment="1">
      <alignment horizontal="center" vertical="center"/>
    </xf>
    <xf numFmtId="0" fontId="28" fillId="11" borderId="34" xfId="0" applyFont="1" applyFill="1" applyBorder="1" applyAlignment="1">
      <alignment horizontal="center" vertical="center"/>
    </xf>
    <xf numFmtId="0" fontId="28" fillId="11" borderId="59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top"/>
    </xf>
    <xf numFmtId="0" fontId="15" fillId="11" borderId="46" xfId="0" applyFont="1" applyFill="1" applyBorder="1" applyAlignment="1">
      <alignment horizontal="center" vertical="top"/>
    </xf>
    <xf numFmtId="0" fontId="15" fillId="11" borderId="24" xfId="0" applyFont="1" applyFill="1" applyBorder="1" applyAlignment="1">
      <alignment horizontal="center" vertical="top"/>
    </xf>
    <xf numFmtId="0" fontId="37" fillId="11" borderId="23" xfId="0" applyFont="1" applyFill="1" applyBorder="1" applyAlignment="1">
      <alignment horizontal="center" vertical="center" wrapText="1"/>
    </xf>
    <xf numFmtId="0" fontId="37" fillId="11" borderId="46" xfId="0" applyFont="1" applyFill="1" applyBorder="1" applyAlignment="1">
      <alignment horizontal="center" vertical="center" wrapText="1"/>
    </xf>
    <xf numFmtId="0" fontId="37" fillId="11" borderId="24" xfId="0" applyFont="1" applyFill="1" applyBorder="1" applyAlignment="1">
      <alignment horizontal="center" vertical="center" wrapText="1"/>
    </xf>
    <xf numFmtId="0" fontId="37" fillId="11" borderId="35" xfId="0" applyFont="1" applyFill="1" applyBorder="1" applyAlignment="1">
      <alignment horizontal="center" vertical="center" wrapText="1"/>
    </xf>
    <xf numFmtId="0" fontId="37" fillId="11" borderId="15" xfId="0" applyFont="1" applyFill="1" applyBorder="1" applyAlignment="1">
      <alignment horizontal="center" vertical="center" wrapText="1"/>
    </xf>
    <xf numFmtId="0" fontId="37" fillId="11" borderId="47" xfId="0" applyFont="1" applyFill="1" applyBorder="1" applyAlignment="1">
      <alignment horizontal="center" vertical="center" wrapText="1"/>
    </xf>
    <xf numFmtId="0" fontId="37" fillId="11" borderId="28" xfId="0" applyFont="1" applyFill="1" applyBorder="1" applyAlignment="1">
      <alignment horizontal="center" vertical="center" wrapText="1"/>
    </xf>
    <xf numFmtId="0" fontId="37" fillId="11" borderId="30" xfId="0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 wrapText="1"/>
    </xf>
    <xf numFmtId="0" fontId="37" fillId="11" borderId="76" xfId="0" applyFont="1" applyFill="1" applyBorder="1" applyAlignment="1">
      <alignment horizontal="center" vertical="center" wrapText="1"/>
    </xf>
    <xf numFmtId="0" fontId="37" fillId="11" borderId="42" xfId="0" applyFont="1" applyFill="1" applyBorder="1" applyAlignment="1">
      <alignment horizontal="center" vertical="center" wrapText="1"/>
    </xf>
    <xf numFmtId="0" fontId="37" fillId="11" borderId="37" xfId="0" applyFont="1" applyFill="1" applyBorder="1" applyAlignment="1">
      <alignment horizontal="center" vertical="center" wrapText="1"/>
    </xf>
    <xf numFmtId="0" fontId="37" fillId="11" borderId="26" xfId="0" applyFont="1" applyFill="1" applyBorder="1" applyAlignment="1">
      <alignment horizontal="center" vertical="center" wrapText="1"/>
    </xf>
    <xf numFmtId="0" fontId="37" fillId="11" borderId="7" xfId="0" applyFont="1" applyFill="1" applyBorder="1" applyAlignment="1">
      <alignment horizontal="center" vertical="center" wrapText="1"/>
    </xf>
    <xf numFmtId="0" fontId="37" fillId="11" borderId="25" xfId="0" applyFont="1" applyFill="1" applyBorder="1" applyAlignment="1">
      <alignment horizontal="center" vertical="center" wrapText="1"/>
    </xf>
    <xf numFmtId="0" fontId="37" fillId="11" borderId="23" xfId="0" applyFont="1" applyFill="1" applyBorder="1" applyAlignment="1">
      <alignment horizontal="center" vertical="center"/>
    </xf>
    <xf numFmtId="0" fontId="37" fillId="11" borderId="46" xfId="0" applyFont="1" applyFill="1" applyBorder="1" applyAlignment="1">
      <alignment horizontal="center" vertical="center"/>
    </xf>
    <xf numFmtId="0" fontId="37" fillId="11" borderId="24" xfId="0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/>
    </xf>
    <xf numFmtId="0" fontId="15" fillId="14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wrapText="1"/>
    </xf>
    <xf numFmtId="0" fontId="15" fillId="10" borderId="0" xfId="0" applyFont="1" applyFill="1" applyAlignment="1">
      <alignment horizontal="center"/>
    </xf>
    <xf numFmtId="0" fontId="15" fillId="11" borderId="23" xfId="0" applyFont="1" applyFill="1" applyBorder="1" applyAlignment="1">
      <alignment horizontal="left" vertical="top"/>
    </xf>
    <xf numFmtId="0" fontId="15" fillId="11" borderId="46" xfId="0" applyFont="1" applyFill="1" applyBorder="1" applyAlignment="1">
      <alignment horizontal="left" vertical="top"/>
    </xf>
    <xf numFmtId="0" fontId="15" fillId="11" borderId="24" xfId="0" applyFont="1" applyFill="1" applyBorder="1" applyAlignment="1">
      <alignment horizontal="left" vertical="top"/>
    </xf>
    <xf numFmtId="0" fontId="28" fillId="11" borderId="20" xfId="0" applyFont="1" applyFill="1" applyBorder="1" applyAlignment="1">
      <alignment horizontal="left" vertical="center"/>
    </xf>
    <xf numFmtId="0" fontId="28" fillId="11" borderId="27" xfId="0" applyFont="1" applyFill="1" applyBorder="1" applyAlignment="1">
      <alignment horizontal="left" vertical="center"/>
    </xf>
    <xf numFmtId="0" fontId="28" fillId="11" borderId="56" xfId="0" applyFont="1" applyFill="1" applyBorder="1" applyAlignment="1">
      <alignment horizontal="left" vertical="center"/>
    </xf>
    <xf numFmtId="0" fontId="28" fillId="11" borderId="33" xfId="0" applyFont="1" applyFill="1" applyBorder="1" applyAlignment="1">
      <alignment horizontal="left" vertical="center"/>
    </xf>
    <xf numFmtId="0" fontId="28" fillId="11" borderId="34" xfId="0" applyFont="1" applyFill="1" applyBorder="1" applyAlignment="1">
      <alignment horizontal="left" vertical="center"/>
    </xf>
    <xf numFmtId="0" fontId="28" fillId="11" borderId="59" xfId="0" applyFont="1" applyFill="1" applyBorder="1" applyAlignment="1">
      <alignment horizontal="left" vertical="center"/>
    </xf>
    <xf numFmtId="0" fontId="37" fillId="11" borderId="35" xfId="0" applyFont="1" applyFill="1" applyBorder="1" applyAlignment="1">
      <alignment horizontal="center"/>
    </xf>
    <xf numFmtId="0" fontId="37" fillId="11" borderId="15" xfId="0" applyFont="1" applyFill="1" applyBorder="1" applyAlignment="1">
      <alignment horizontal="center"/>
    </xf>
    <xf numFmtId="0" fontId="37" fillId="11" borderId="47" xfId="0" applyFont="1" applyFill="1" applyBorder="1" applyAlignment="1">
      <alignment horizontal="center" vertical="center"/>
    </xf>
    <xf numFmtId="0" fontId="37" fillId="11" borderId="15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 wrapText="1"/>
    </xf>
    <xf numFmtId="0" fontId="37" fillId="11" borderId="35" xfId="0" applyFont="1" applyFill="1" applyBorder="1" applyAlignment="1">
      <alignment horizontal="center" vertical="center"/>
    </xf>
    <xf numFmtId="0" fontId="37" fillId="11" borderId="14" xfId="0" applyFont="1" applyFill="1" applyBorder="1" applyAlignment="1">
      <alignment horizontal="center" vertical="center" wrapText="1"/>
    </xf>
    <xf numFmtId="0" fontId="37" fillId="11" borderId="12" xfId="0" applyFont="1" applyFill="1" applyBorder="1" applyAlignment="1">
      <alignment horizontal="center" vertical="center" wrapText="1"/>
    </xf>
    <xf numFmtId="0" fontId="37" fillId="11" borderId="53" xfId="0" applyFont="1" applyFill="1" applyBorder="1" applyAlignment="1">
      <alignment horizontal="center" vertical="center" wrapText="1"/>
    </xf>
    <xf numFmtId="0" fontId="37" fillId="11" borderId="19" xfId="0" applyFont="1" applyFill="1" applyBorder="1" applyAlignment="1">
      <alignment horizontal="center" vertical="center" wrapText="1"/>
    </xf>
    <xf numFmtId="0" fontId="37" fillId="11" borderId="21" xfId="0" applyFont="1" applyFill="1" applyBorder="1" applyAlignment="1">
      <alignment horizontal="center" vertical="center" wrapText="1"/>
    </xf>
    <xf numFmtId="0" fontId="37" fillId="11" borderId="17" xfId="0" applyFont="1" applyFill="1" applyBorder="1" applyAlignment="1">
      <alignment horizontal="center" vertical="center" wrapText="1"/>
    </xf>
    <xf numFmtId="0" fontId="37" fillId="11" borderId="5" xfId="0" applyFont="1" applyFill="1" applyBorder="1" applyAlignment="1">
      <alignment horizontal="center" vertical="center" wrapText="1"/>
    </xf>
    <xf numFmtId="0" fontId="37" fillId="5" borderId="54" xfId="0" applyFont="1" applyFill="1" applyBorder="1" applyAlignment="1">
      <alignment horizontal="center" vertical="center" wrapText="1"/>
    </xf>
    <xf numFmtId="0" fontId="37" fillId="5" borderId="29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top"/>
    </xf>
    <xf numFmtId="0" fontId="28" fillId="5" borderId="27" xfId="0" applyFont="1" applyFill="1" applyBorder="1" applyAlignment="1">
      <alignment horizontal="center" vertical="top"/>
    </xf>
    <xf numFmtId="0" fontId="28" fillId="5" borderId="56" xfId="0" applyFont="1" applyFill="1" applyBorder="1" applyAlignment="1">
      <alignment horizontal="center" vertical="top"/>
    </xf>
    <xf numFmtId="0" fontId="28" fillId="5" borderId="33" xfId="0" applyFont="1" applyFill="1" applyBorder="1" applyAlignment="1">
      <alignment horizontal="center" vertical="top"/>
    </xf>
    <xf numFmtId="0" fontId="28" fillId="5" borderId="34" xfId="0" applyFont="1" applyFill="1" applyBorder="1" applyAlignment="1">
      <alignment horizontal="center" vertical="top"/>
    </xf>
    <xf numFmtId="0" fontId="28" fillId="5" borderId="59" xfId="0" applyFont="1" applyFill="1" applyBorder="1" applyAlignment="1">
      <alignment horizontal="center" vertical="top"/>
    </xf>
    <xf numFmtId="0" fontId="15" fillId="5" borderId="23" xfId="0" applyFont="1" applyFill="1" applyBorder="1" applyAlignment="1">
      <alignment horizontal="center" vertical="top"/>
    </xf>
    <xf numFmtId="0" fontId="15" fillId="5" borderId="46" xfId="0" applyFont="1" applyFill="1" applyBorder="1" applyAlignment="1">
      <alignment horizontal="center" vertical="top"/>
    </xf>
    <xf numFmtId="0" fontId="15" fillId="5" borderId="24" xfId="0" applyFont="1" applyFill="1" applyBorder="1" applyAlignment="1">
      <alignment horizontal="center" vertical="top"/>
    </xf>
    <xf numFmtId="0" fontId="37" fillId="5" borderId="29" xfId="0" applyFont="1" applyFill="1" applyBorder="1" applyAlignment="1">
      <alignment horizontal="center" vertical="center"/>
    </xf>
    <xf numFmtId="0" fontId="37" fillId="5" borderId="23" xfId="0" applyFont="1" applyFill="1" applyBorder="1" applyAlignment="1">
      <alignment horizontal="center" vertical="center"/>
    </xf>
    <xf numFmtId="0" fontId="37" fillId="5" borderId="46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horizontal="center" vertical="center"/>
    </xf>
    <xf numFmtId="0" fontId="37" fillId="5" borderId="62" xfId="0" applyFont="1" applyFill="1" applyBorder="1" applyAlignment="1">
      <alignment horizontal="center" vertical="center" wrapText="1"/>
    </xf>
    <xf numFmtId="0" fontId="37" fillId="5" borderId="16" xfId="0" applyFont="1" applyFill="1" applyBorder="1" applyAlignment="1">
      <alignment horizontal="center" vertical="center" wrapText="1"/>
    </xf>
    <xf numFmtId="0" fontId="37" fillId="5" borderId="61" xfId="0" applyFont="1" applyFill="1" applyBorder="1" applyAlignment="1">
      <alignment horizontal="center" vertical="center" wrapText="1"/>
    </xf>
    <xf numFmtId="0" fontId="37" fillId="5" borderId="6" xfId="0" applyFont="1" applyFill="1" applyBorder="1" applyAlignment="1">
      <alignment horizontal="center" vertical="center" wrapText="1"/>
    </xf>
    <xf numFmtId="0" fontId="37" fillId="5" borderId="35" xfId="0" applyFont="1" applyFill="1" applyBorder="1" applyAlignment="1">
      <alignment horizontal="center" vertical="center"/>
    </xf>
    <xf numFmtId="0" fontId="37" fillId="5" borderId="15" xfId="0" applyFont="1" applyFill="1" applyBorder="1" applyAlignment="1">
      <alignment horizontal="center" vertical="center"/>
    </xf>
    <xf numFmtId="0" fontId="37" fillId="5" borderId="47" xfId="0" applyFont="1" applyFill="1" applyBorder="1" applyAlignment="1">
      <alignment horizontal="center" vertical="center"/>
    </xf>
    <xf numFmtId="0" fontId="37" fillId="5" borderId="37" xfId="0" applyFont="1" applyFill="1" applyBorder="1" applyAlignment="1">
      <alignment horizontal="center" vertical="center" wrapText="1"/>
    </xf>
    <xf numFmtId="0" fontId="37" fillId="5" borderId="26" xfId="0" applyFont="1" applyFill="1" applyBorder="1" applyAlignment="1">
      <alignment horizontal="center" vertical="center" wrapText="1"/>
    </xf>
    <xf numFmtId="0" fontId="37" fillId="5" borderId="76" xfId="0" applyFont="1" applyFill="1" applyBorder="1" applyAlignment="1">
      <alignment horizontal="center" vertical="center" wrapText="1"/>
    </xf>
    <xf numFmtId="0" fontId="37" fillId="5" borderId="42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5" borderId="35" xfId="0" applyFont="1" applyFill="1" applyBorder="1" applyAlignment="1">
      <alignment horizontal="center" vertical="center" wrapText="1"/>
    </xf>
    <xf numFmtId="0" fontId="37" fillId="5" borderId="47" xfId="0" applyFont="1" applyFill="1" applyBorder="1" applyAlignment="1">
      <alignment horizontal="center" vertical="center" wrapText="1"/>
    </xf>
    <xf numFmtId="0" fontId="37" fillId="5" borderId="15" xfId="0" applyFont="1" applyFill="1" applyBorder="1" applyAlignment="1">
      <alignment horizontal="center" vertical="center" wrapText="1"/>
    </xf>
    <xf numFmtId="0" fontId="37" fillId="5" borderId="28" xfId="0" applyFont="1" applyFill="1" applyBorder="1" applyAlignment="1">
      <alignment horizontal="center" vertical="center" wrapText="1"/>
    </xf>
    <xf numFmtId="0" fontId="37" fillId="5" borderId="5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left" vertical="center"/>
    </xf>
    <xf numFmtId="0" fontId="28" fillId="5" borderId="46" xfId="0" applyFont="1" applyFill="1" applyBorder="1" applyAlignment="1">
      <alignment horizontal="left" vertical="center"/>
    </xf>
    <xf numFmtId="0" fontId="28" fillId="5" borderId="24" xfId="0" applyFont="1" applyFill="1" applyBorder="1" applyAlignment="1">
      <alignment horizontal="left" vertical="center"/>
    </xf>
    <xf numFmtId="0" fontId="37" fillId="14" borderId="0" xfId="0" applyFont="1" applyFill="1" applyAlignment="1">
      <alignment horizontal="center"/>
    </xf>
    <xf numFmtId="0" fontId="37" fillId="5" borderId="49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left" vertical="top"/>
    </xf>
    <xf numFmtId="0" fontId="28" fillId="5" borderId="27" xfId="0" applyFont="1" applyFill="1" applyBorder="1" applyAlignment="1">
      <alignment horizontal="left" vertical="top"/>
    </xf>
    <xf numFmtId="0" fontId="28" fillId="5" borderId="56" xfId="0" applyFont="1" applyFill="1" applyBorder="1" applyAlignment="1">
      <alignment horizontal="left" vertical="top"/>
    </xf>
    <xf numFmtId="0" fontId="28" fillId="5" borderId="33" xfId="0" applyFont="1" applyFill="1" applyBorder="1" applyAlignment="1">
      <alignment horizontal="left" vertical="top"/>
    </xf>
    <xf numFmtId="0" fontId="28" fillId="5" borderId="34" xfId="0" applyFont="1" applyFill="1" applyBorder="1" applyAlignment="1">
      <alignment horizontal="left" vertical="top"/>
    </xf>
    <xf numFmtId="0" fontId="28" fillId="5" borderId="59" xfId="0" applyFont="1" applyFill="1" applyBorder="1" applyAlignment="1">
      <alignment horizontal="left" vertical="top"/>
    </xf>
    <xf numFmtId="0" fontId="37" fillId="14" borderId="27" xfId="0" applyFont="1" applyFill="1" applyBorder="1" applyAlignment="1">
      <alignment horizontal="center" wrapText="1"/>
    </xf>
    <xf numFmtId="0" fontId="37" fillId="14" borderId="56" xfId="0" applyFont="1" applyFill="1" applyBorder="1" applyAlignment="1">
      <alignment horizontal="center" wrapText="1"/>
    </xf>
    <xf numFmtId="0" fontId="37" fillId="5" borderId="55" xfId="0" applyFont="1" applyFill="1" applyBorder="1" applyAlignment="1">
      <alignment horizontal="center" vertical="center" wrapText="1"/>
    </xf>
    <xf numFmtId="0" fontId="37" fillId="5" borderId="54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left" vertical="top"/>
    </xf>
    <xf numFmtId="0" fontId="15" fillId="5" borderId="46" xfId="0" applyFont="1" applyFill="1" applyBorder="1" applyAlignment="1">
      <alignment horizontal="left" vertical="top"/>
    </xf>
    <xf numFmtId="0" fontId="15" fillId="5" borderId="24" xfId="0" applyFont="1" applyFill="1" applyBorder="1" applyAlignment="1">
      <alignment horizontal="left" vertical="top"/>
    </xf>
    <xf numFmtId="0" fontId="37" fillId="5" borderId="20" xfId="0" applyFont="1" applyFill="1" applyBorder="1" applyAlignment="1">
      <alignment horizontal="center" vertical="center"/>
    </xf>
    <xf numFmtId="0" fontId="37" fillId="5" borderId="27" xfId="0" applyFont="1" applyFill="1" applyBorder="1" applyAlignment="1">
      <alignment horizontal="center" vertical="center"/>
    </xf>
    <xf numFmtId="0" fontId="37" fillId="5" borderId="56" xfId="0" applyFont="1" applyFill="1" applyBorder="1" applyAlignment="1">
      <alignment horizontal="center" vertical="center"/>
    </xf>
    <xf numFmtId="0" fontId="37" fillId="5" borderId="29" xfId="0" applyFont="1" applyFill="1" applyBorder="1" applyAlignment="1">
      <alignment horizontal="center"/>
    </xf>
    <xf numFmtId="0" fontId="37" fillId="7" borderId="35" xfId="0" applyFont="1" applyFill="1" applyBorder="1" applyAlignment="1">
      <alignment horizontal="center" vertical="center" wrapText="1"/>
    </xf>
    <xf numFmtId="0" fontId="37" fillId="7" borderId="15" xfId="0" applyFont="1" applyFill="1" applyBorder="1" applyAlignment="1">
      <alignment horizontal="center" vertical="center" wrapText="1"/>
    </xf>
    <xf numFmtId="0" fontId="37" fillId="7" borderId="47" xfId="0" applyFont="1" applyFill="1" applyBorder="1" applyAlignment="1">
      <alignment horizontal="center" vertical="center" wrapText="1"/>
    </xf>
    <xf numFmtId="0" fontId="37" fillId="5" borderId="30" xfId="0" applyFont="1" applyFill="1" applyBorder="1" applyAlignment="1">
      <alignment horizontal="center" vertical="center" wrapText="1"/>
    </xf>
    <xf numFmtId="0" fontId="37" fillId="14" borderId="27" xfId="0" applyFont="1" applyFill="1" applyBorder="1" applyAlignment="1">
      <alignment horizontal="center" vertical="center"/>
    </xf>
    <xf numFmtId="0" fontId="37" fillId="5" borderId="50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/>
    </xf>
    <xf numFmtId="0" fontId="37" fillId="5" borderId="46" xfId="0" applyFont="1" applyFill="1" applyBorder="1" applyAlignment="1">
      <alignment horizontal="center"/>
    </xf>
    <xf numFmtId="0" fontId="37" fillId="5" borderId="24" xfId="0" applyFont="1" applyFill="1" applyBorder="1" applyAlignment="1">
      <alignment horizontal="center"/>
    </xf>
    <xf numFmtId="0" fontId="37" fillId="5" borderId="23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left" vertical="center"/>
    </xf>
    <xf numFmtId="0" fontId="28" fillId="5" borderId="65" xfId="0" applyFont="1" applyFill="1" applyBorder="1" applyAlignment="1">
      <alignment horizontal="left" vertical="center"/>
    </xf>
    <xf numFmtId="0" fontId="28" fillId="5" borderId="60" xfId="0" applyFont="1" applyFill="1" applyBorder="1" applyAlignment="1">
      <alignment horizontal="left" vertical="center"/>
    </xf>
    <xf numFmtId="0" fontId="28" fillId="5" borderId="2" xfId="0" applyFont="1" applyFill="1" applyBorder="1" applyAlignment="1">
      <alignment horizontal="left" vertical="center"/>
    </xf>
    <xf numFmtId="0" fontId="37" fillId="5" borderId="67" xfId="0" applyFont="1" applyFill="1" applyBorder="1" applyAlignment="1">
      <alignment horizontal="center" vertical="center" wrapText="1"/>
    </xf>
    <xf numFmtId="0" fontId="37" fillId="5" borderId="46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14" borderId="27" xfId="0" applyFont="1" applyFill="1" applyBorder="1" applyAlignment="1">
      <alignment horizontal="center" vertical="center" wrapText="1"/>
    </xf>
    <xf numFmtId="0" fontId="37" fillId="14" borderId="56" xfId="0" applyFont="1" applyFill="1" applyBorder="1" applyAlignment="1">
      <alignment horizontal="center" vertical="center" wrapText="1"/>
    </xf>
    <xf numFmtId="0" fontId="28" fillId="5" borderId="57" xfId="0" applyFont="1" applyFill="1" applyBorder="1" applyAlignment="1">
      <alignment horizontal="left" vertical="top"/>
    </xf>
    <xf numFmtId="0" fontId="28" fillId="5" borderId="0" xfId="0" applyFont="1" applyFill="1" applyAlignment="1">
      <alignment horizontal="left" vertical="top"/>
    </xf>
    <xf numFmtId="0" fontId="28" fillId="5" borderId="50" xfId="0" applyFont="1" applyFill="1" applyBorder="1" applyAlignment="1">
      <alignment horizontal="left" vertical="top"/>
    </xf>
    <xf numFmtId="0" fontId="28" fillId="14" borderId="0" xfId="0" applyFont="1" applyFill="1" applyAlignment="1">
      <alignment horizontal="center" vertical="center"/>
    </xf>
    <xf numFmtId="0" fontId="28" fillId="5" borderId="23" xfId="0" applyFont="1" applyFill="1" applyBorder="1" applyAlignment="1">
      <alignment horizontal="left" vertical="top"/>
    </xf>
    <xf numFmtId="0" fontId="28" fillId="5" borderId="46" xfId="0" applyFont="1" applyFill="1" applyBorder="1" applyAlignment="1">
      <alignment horizontal="left" vertical="top"/>
    </xf>
    <xf numFmtId="0" fontId="28" fillId="5" borderId="24" xfId="0" applyFont="1" applyFill="1" applyBorder="1" applyAlignment="1">
      <alignment horizontal="left" vertical="top"/>
    </xf>
    <xf numFmtId="0" fontId="37" fillId="5" borderId="36" xfId="0" applyFont="1" applyFill="1" applyBorder="1" applyAlignment="1">
      <alignment horizontal="center" vertical="center" wrapText="1"/>
    </xf>
    <xf numFmtId="0" fontId="37" fillId="14" borderId="81" xfId="0" applyFont="1" applyFill="1" applyBorder="1" applyAlignment="1">
      <alignment horizontal="center" vertical="center" wrapText="1"/>
    </xf>
    <xf numFmtId="0" fontId="37" fillId="14" borderId="37" xfId="0" applyFont="1" applyFill="1" applyBorder="1" applyAlignment="1">
      <alignment horizontal="center" vertical="center" wrapText="1"/>
    </xf>
    <xf numFmtId="0" fontId="37" fillId="14" borderId="77" xfId="0" applyFont="1" applyFill="1" applyBorder="1" applyAlignment="1">
      <alignment horizontal="center" vertical="center" wrapText="1"/>
    </xf>
    <xf numFmtId="0" fontId="37" fillId="5" borderId="38" xfId="0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left" vertical="center"/>
    </xf>
    <xf numFmtId="0" fontId="28" fillId="5" borderId="21" xfId="0" applyFont="1" applyFill="1" applyBorder="1" applyAlignment="1">
      <alignment horizontal="left" vertical="center"/>
    </xf>
    <xf numFmtId="0" fontId="28" fillId="5" borderId="13" xfId="0" applyFont="1" applyFill="1" applyBorder="1" applyAlignment="1">
      <alignment horizontal="left" vertical="center"/>
    </xf>
    <xf numFmtId="0" fontId="28" fillId="5" borderId="22" xfId="0" applyFont="1" applyFill="1" applyBorder="1" applyAlignment="1">
      <alignment horizontal="left" vertical="center"/>
    </xf>
    <xf numFmtId="0" fontId="37" fillId="5" borderId="14" xfId="0" applyFont="1" applyFill="1" applyBorder="1" applyAlignment="1">
      <alignment horizontal="center"/>
    </xf>
    <xf numFmtId="0" fontId="37" fillId="5" borderId="19" xfId="0" applyFont="1" applyFill="1" applyBorder="1" applyAlignment="1">
      <alignment horizontal="center"/>
    </xf>
    <xf numFmtId="0" fontId="37" fillId="5" borderId="20" xfId="0" applyFont="1" applyFill="1" applyBorder="1" applyAlignment="1">
      <alignment horizontal="center" vertical="center" wrapText="1"/>
    </xf>
    <xf numFmtId="0" fontId="37" fillId="5" borderId="44" xfId="0" applyFont="1" applyFill="1" applyBorder="1" applyAlignment="1">
      <alignment horizontal="center" vertical="center" wrapText="1"/>
    </xf>
    <xf numFmtId="0" fontId="37" fillId="5" borderId="39" xfId="0" applyFont="1" applyFill="1" applyBorder="1" applyAlignment="1">
      <alignment horizontal="center" vertical="center" wrapText="1"/>
    </xf>
    <xf numFmtId="0" fontId="37" fillId="5" borderId="31" xfId="0" applyFont="1" applyFill="1" applyBorder="1" applyAlignment="1">
      <alignment horizontal="center" vertical="center" wrapText="1"/>
    </xf>
    <xf numFmtId="0" fontId="37" fillId="14" borderId="66" xfId="0" applyFont="1" applyFill="1" applyBorder="1" applyAlignment="1">
      <alignment horizontal="center" vertical="center" wrapText="1"/>
    </xf>
    <xf numFmtId="0" fontId="37" fillId="14" borderId="42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/>
    </xf>
    <xf numFmtId="0" fontId="41" fillId="5" borderId="5" xfId="0" applyFont="1" applyFill="1" applyBorder="1" applyAlignment="1">
      <alignment horizontal="center"/>
    </xf>
    <xf numFmtId="0" fontId="41" fillId="5" borderId="16" xfId="0" applyFont="1" applyFill="1" applyBorder="1" applyAlignment="1">
      <alignment horizontal="center"/>
    </xf>
    <xf numFmtId="0" fontId="41" fillId="5" borderId="31" xfId="0" applyFont="1" applyFill="1" applyBorder="1" applyAlignment="1">
      <alignment horizontal="center"/>
    </xf>
    <xf numFmtId="0" fontId="41" fillId="5" borderId="6" xfId="0" applyFont="1" applyFill="1" applyBorder="1" applyAlignment="1">
      <alignment horizontal="center"/>
    </xf>
    <xf numFmtId="0" fontId="41" fillId="5" borderId="4" xfId="0" applyFont="1" applyFill="1" applyBorder="1" applyAlignment="1">
      <alignment horizontal="center"/>
    </xf>
    <xf numFmtId="0" fontId="35" fillId="5" borderId="23" xfId="0" applyFont="1" applyFill="1" applyBorder="1" applyAlignment="1">
      <alignment horizontal="center"/>
    </xf>
    <xf numFmtId="0" fontId="35" fillId="5" borderId="46" xfId="0" applyFont="1" applyFill="1" applyBorder="1" applyAlignment="1">
      <alignment horizontal="center"/>
    </xf>
    <xf numFmtId="0" fontId="35" fillId="5" borderId="24" xfId="0" applyFont="1" applyFill="1" applyBorder="1" applyAlignment="1">
      <alignment horizontal="center"/>
    </xf>
    <xf numFmtId="0" fontId="37" fillId="5" borderId="60" xfId="0" applyFont="1" applyFill="1" applyBorder="1" applyAlignment="1">
      <alignment horizontal="center"/>
    </xf>
    <xf numFmtId="0" fontId="37" fillId="5" borderId="4" xfId="0" applyFont="1" applyFill="1" applyBorder="1" applyAlignment="1">
      <alignment horizontal="center"/>
    </xf>
    <xf numFmtId="0" fontId="37" fillId="5" borderId="2" xfId="0" applyFont="1" applyFill="1" applyBorder="1" applyAlignment="1">
      <alignment horizontal="center"/>
    </xf>
    <xf numFmtId="0" fontId="37" fillId="5" borderId="16" xfId="0" applyFont="1" applyFill="1" applyBorder="1" applyAlignment="1">
      <alignment horizontal="center"/>
    </xf>
    <xf numFmtId="0" fontId="37" fillId="5" borderId="31" xfId="0" applyFont="1" applyFill="1" applyBorder="1" applyAlignment="1">
      <alignment horizontal="center"/>
    </xf>
    <xf numFmtId="0" fontId="37" fillId="5" borderId="6" xfId="0" applyFont="1" applyFill="1" applyBorder="1" applyAlignment="1">
      <alignment horizontal="center"/>
    </xf>
    <xf numFmtId="0" fontId="36" fillId="5" borderId="4" xfId="0" applyFont="1" applyFill="1" applyBorder="1" applyAlignment="1">
      <alignment horizontal="center" wrapText="1"/>
    </xf>
    <xf numFmtId="0" fontId="33" fillId="14" borderId="0" xfId="0" applyFont="1" applyFill="1" applyAlignment="1">
      <alignment horizontal="center"/>
    </xf>
    <xf numFmtId="0" fontId="34" fillId="5" borderId="31" xfId="0" applyFont="1" applyFill="1" applyBorder="1" applyAlignment="1">
      <alignment horizontal="center"/>
    </xf>
    <xf numFmtId="0" fontId="34" fillId="5" borderId="6" xfId="0" applyFont="1" applyFill="1" applyBorder="1" applyAlignment="1">
      <alignment horizontal="center"/>
    </xf>
    <xf numFmtId="0" fontId="33" fillId="14" borderId="50" xfId="0" applyFont="1" applyFill="1" applyBorder="1" applyAlignment="1">
      <alignment horizontal="center"/>
    </xf>
    <xf numFmtId="0" fontId="15" fillId="5" borderId="23" xfId="0" applyFont="1" applyFill="1" applyBorder="1" applyAlignment="1">
      <alignment horizontal="center" wrapText="1"/>
    </xf>
    <xf numFmtId="0" fontId="15" fillId="5" borderId="46" xfId="0" applyFont="1" applyFill="1" applyBorder="1" applyAlignment="1">
      <alignment horizontal="center" wrapText="1"/>
    </xf>
    <xf numFmtId="0" fontId="15" fillId="5" borderId="24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8" fillId="5" borderId="45" xfId="0" applyFont="1" applyFill="1" applyBorder="1" applyAlignment="1">
      <alignment horizontal="center"/>
    </xf>
    <xf numFmtId="0" fontId="18" fillId="5" borderId="58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 vertical="center" wrapText="1"/>
    </xf>
    <xf numFmtId="0" fontId="37" fillId="5" borderId="14" xfId="0" applyFont="1" applyFill="1" applyBorder="1" applyAlignment="1">
      <alignment horizontal="center" wrapText="1"/>
    </xf>
    <xf numFmtId="0" fontId="37" fillId="5" borderId="19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/>
    </xf>
    <xf numFmtId="0" fontId="15" fillId="5" borderId="37" xfId="0" applyFont="1" applyFill="1" applyBorder="1" applyAlignment="1">
      <alignment horizontal="center"/>
    </xf>
    <xf numFmtId="0" fontId="37" fillId="5" borderId="23" xfId="0" applyFont="1" applyFill="1" applyBorder="1" applyAlignment="1">
      <alignment horizontal="center" wrapText="1"/>
    </xf>
    <xf numFmtId="0" fontId="37" fillId="5" borderId="46" xfId="0" applyFont="1" applyFill="1" applyBorder="1" applyAlignment="1">
      <alignment horizontal="center" wrapText="1"/>
    </xf>
    <xf numFmtId="0" fontId="15" fillId="5" borderId="48" xfId="0" applyFont="1" applyFill="1" applyBorder="1" applyAlignment="1">
      <alignment horizontal="center" vertical="center"/>
    </xf>
    <xf numFmtId="0" fontId="37" fillId="5" borderId="27" xfId="0" applyFont="1" applyFill="1" applyBorder="1" applyAlignment="1">
      <alignment horizontal="center" vertical="center" wrapText="1"/>
    </xf>
    <xf numFmtId="0" fontId="37" fillId="5" borderId="56" xfId="0" applyFont="1" applyFill="1" applyBorder="1" applyAlignment="1">
      <alignment horizontal="center" vertical="center" wrapText="1"/>
    </xf>
    <xf numFmtId="0" fontId="37" fillId="5" borderId="48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37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/>
    </xf>
    <xf numFmtId="0" fontId="34" fillId="5" borderId="2" xfId="0" applyFont="1" applyFill="1" applyBorder="1" applyAlignment="1">
      <alignment horizontal="center"/>
    </xf>
    <xf numFmtId="0" fontId="34" fillId="14" borderId="1" xfId="0" applyFont="1" applyFill="1" applyBorder="1" applyAlignment="1">
      <alignment horizontal="center"/>
    </xf>
    <xf numFmtId="0" fontId="34" fillId="14" borderId="60" xfId="0" applyFont="1" applyFill="1" applyBorder="1" applyAlignment="1">
      <alignment horizontal="center"/>
    </xf>
    <xf numFmtId="0" fontId="28" fillId="14" borderId="16" xfId="0" applyFont="1" applyFill="1" applyBorder="1" applyAlignment="1">
      <alignment horizontal="center"/>
    </xf>
    <xf numFmtId="0" fontId="28" fillId="14" borderId="31" xfId="0" applyFont="1" applyFill="1" applyBorder="1" applyAlignment="1">
      <alignment horizontal="center"/>
    </xf>
    <xf numFmtId="0" fontId="28" fillId="14" borderId="6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</cellXfs>
  <cellStyles count="32">
    <cellStyle name="Comma 2" xfId="3" xr:uid="{00000000-0005-0000-0000-000000000000}"/>
    <cellStyle name="Comma 2 2" xfId="4" xr:uid="{00000000-0005-0000-0000-000001000000}"/>
    <cellStyle name="Comma 2 2 2" xfId="17" xr:uid="{00000000-0005-0000-0000-000002000000}"/>
    <cellStyle name="Comma 2 2 2 2" xfId="28" xr:uid="{00000000-0005-0000-0000-000003000000}"/>
    <cellStyle name="Comma 2 2 3" xfId="23" xr:uid="{00000000-0005-0000-0000-000004000000}"/>
    <cellStyle name="Comma 2 3" xfId="5" xr:uid="{00000000-0005-0000-0000-000005000000}"/>
    <cellStyle name="Comma 3" xfId="6" xr:uid="{00000000-0005-0000-0000-000006000000}"/>
    <cellStyle name="Comma 3 2" xfId="7" xr:uid="{00000000-0005-0000-0000-000007000000}"/>
    <cellStyle name="Comma 3 2 2" xfId="19" xr:uid="{00000000-0005-0000-0000-000008000000}"/>
    <cellStyle name="Comma 3 2 2 2" xfId="30" xr:uid="{00000000-0005-0000-0000-000009000000}"/>
    <cellStyle name="Comma 3 2 3" xfId="25" xr:uid="{00000000-0005-0000-0000-00000A000000}"/>
    <cellStyle name="Comma 3 3" xfId="18" xr:uid="{00000000-0005-0000-0000-00000B000000}"/>
    <cellStyle name="Comma 3 3 2" xfId="29" xr:uid="{00000000-0005-0000-0000-00000C000000}"/>
    <cellStyle name="Comma 3 4" xfId="24" xr:uid="{00000000-0005-0000-0000-00000D000000}"/>
    <cellStyle name="Comma 4" xfId="8" xr:uid="{00000000-0005-0000-0000-00000E000000}"/>
    <cellStyle name="Comma 4 2" xfId="20" xr:uid="{00000000-0005-0000-0000-00000F000000}"/>
    <cellStyle name="Comma 4 2 2" xfId="31" xr:uid="{00000000-0005-0000-0000-000010000000}"/>
    <cellStyle name="Comma 4 3" xfId="26" xr:uid="{00000000-0005-0000-0000-000011000000}"/>
    <cellStyle name="Comma 5" xfId="2" xr:uid="{00000000-0005-0000-0000-000012000000}"/>
    <cellStyle name="Comma 5 2" xfId="16" xr:uid="{00000000-0005-0000-0000-000013000000}"/>
    <cellStyle name="Comma 5 2 2" xfId="27" xr:uid="{00000000-0005-0000-0000-000014000000}"/>
    <cellStyle name="Comma 5 3" xfId="22" xr:uid="{00000000-0005-0000-0000-000015000000}"/>
    <cellStyle name="Hyperlink" xfId="21" builtinId="8"/>
    <cellStyle name="Normal" xfId="0" builtinId="0"/>
    <cellStyle name="Normal 2" xfId="9" xr:uid="{00000000-0005-0000-0000-000018000000}"/>
    <cellStyle name="Normal 2 2" xfId="10" xr:uid="{00000000-0005-0000-0000-000019000000}"/>
    <cellStyle name="Normal 3" xfId="11" xr:uid="{00000000-0005-0000-0000-00001A000000}"/>
    <cellStyle name="Normal 4" xfId="12" xr:uid="{00000000-0005-0000-0000-00001B000000}"/>
    <cellStyle name="Normal 5" xfId="13" xr:uid="{00000000-0005-0000-0000-00001C000000}"/>
    <cellStyle name="Normal 5 2" xfId="14" xr:uid="{00000000-0005-0000-0000-00001D000000}"/>
    <cellStyle name="Normal 6" xfId="15" xr:uid="{00000000-0005-0000-0000-00001E000000}"/>
    <cellStyle name="Normal 7" xfId="1" xr:uid="{00000000-0005-0000-0000-00001F000000}"/>
  </cellStyles>
  <dxfs count="3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8" tint="-0.24994659260841701"/>
        </patternFill>
      </fill>
    </dxf>
    <dxf>
      <fill>
        <patternFill>
          <fgColor auto="1"/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6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6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6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6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3A3"/>
      <color rgb="FFE0DCD3"/>
      <color rgb="FFF97E39"/>
      <color rgb="FF07E36B"/>
      <color rgb="FF382119"/>
      <color rgb="FFFFF2CC"/>
      <color rgb="FFFFD966"/>
      <color rgb="FFFFC000"/>
      <color rgb="FFCCBE9F"/>
      <color rgb="FFCAB8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On-site</a:t>
            </a:r>
            <a:r>
              <a:rPr lang="en-GB" baseline="0"/>
              <a:t> and off-site h</a:t>
            </a:r>
            <a:r>
              <a:rPr lang="en-GB"/>
              <a:t>abitat retention by category</a:t>
            </a:r>
          </a:p>
          <a:p>
            <a:pPr>
              <a:defRPr/>
            </a:pPr>
            <a:r>
              <a:rPr lang="en-GB"/>
              <a:t>area (hectares) </a:t>
            </a:r>
          </a:p>
        </c:rich>
      </c:tx>
      <c:layout>
        <c:manualLayout>
          <c:xMode val="edge"/>
          <c:yMode val="edge"/>
          <c:x val="0.13457223611893002"/>
          <c:y val="5.11593984062723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86760338860417E-2"/>
          <c:y val="0.25669784416568614"/>
          <c:w val="0.84184501105635412"/>
          <c:h val="0.5933242983931666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B-48A4-9C8F-5E3F38ED824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DB-48A4-9C8F-5E3F38ED824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DB-48A4-9C8F-5E3F38ED82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('Detailed Results'!$B$24,'Detailed Results'!$B$27,'Detailed Results'!$B$30)</c:f>
              <c:strCache>
                <c:ptCount val="3"/>
                <c:pt idx="0">
                  <c:v>Area / length retained</c:v>
                </c:pt>
                <c:pt idx="1">
                  <c:v>Area / length proposed for enhancement</c:v>
                </c:pt>
                <c:pt idx="2">
                  <c:v>Area / length lost</c:v>
                </c:pt>
              </c:strCache>
            </c:strRef>
          </c:cat>
          <c:val>
            <c:numRef>
              <c:f>('Detailed Results'!$D$24,'Detailed Results'!$D$27,'Detailed Results'!$D$30)</c:f>
              <c:numCache>
                <c:formatCode>0.00</c:formatCode>
                <c:ptCount val="3"/>
                <c:pt idx="0">
                  <c:v>9.01E-2</c:v>
                </c:pt>
                <c:pt idx="1">
                  <c:v>0</c:v>
                </c:pt>
                <c:pt idx="2">
                  <c:v>4.6881000000000004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1-4AA2-9CB0-ED14885E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36784"/>
        <c:axId val="81435216"/>
      </c:barChart>
      <c:catAx>
        <c:axId val="8143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435216"/>
        <c:crosses val="autoZero"/>
        <c:auto val="1"/>
        <c:lblAlgn val="ctr"/>
        <c:lblOffset val="100"/>
        <c:noMultiLvlLbl val="0"/>
      </c:catAx>
      <c:valAx>
        <c:axId val="8143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43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GB" sz="12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On-site and off-site hadge retention category </a:t>
            </a:r>
          </a:p>
          <a:p>
            <a:pPr>
              <a:defRPr/>
            </a:pPr>
            <a:r>
              <a:rPr lang="en-GB"/>
              <a:t>biodiversity units</a:t>
            </a:r>
          </a:p>
        </c:rich>
      </c:tx>
      <c:layout>
        <c:manualLayout>
          <c:xMode val="edge"/>
          <c:yMode val="edge"/>
          <c:x val="0.18198095145048776"/>
          <c:y val="2.81891666842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GB" sz="12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79694808843268"/>
          <c:y val="0.18904535783376822"/>
          <c:w val="0.84515645311627174"/>
          <c:h val="0.66490271248243671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explosion val="2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5-4BB0-BB1D-81488C5130A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5-4BB0-BB1D-81488C5130A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5-4BB0-BB1D-81488C5130A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5-4BB0-BB1D-81488C5130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GB" sz="1000" b="0" i="0" u="none" strike="noStrike" kern="1200" baseline="0">
                    <a:solidFill>
                      <a:srgbClr val="382119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('Detailed Results'!$B$25,'Detailed Results'!$B$28,'Detailed Results'!$B$31)</c:f>
              <c:strCache>
                <c:ptCount val="3"/>
                <c:pt idx="0">
                  <c:v>Units Retained</c:v>
                </c:pt>
                <c:pt idx="1">
                  <c:v>Baseline units proposed for enhancement</c:v>
                </c:pt>
                <c:pt idx="2">
                  <c:v>Units lost</c:v>
                </c:pt>
              </c:strCache>
            </c:strRef>
          </c:cat>
          <c:val>
            <c:numRef>
              <c:f>('Detailed Results'!$F$25,'Detailed Results'!$F$28,'Detailed Results'!$F$31)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45-4BB0-BB1D-81488C51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2005632"/>
        <c:axId val="362006024"/>
      </c:barChart>
      <c:catAx>
        <c:axId val="3620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6024"/>
        <c:crosses val="autoZero"/>
        <c:auto val="1"/>
        <c:lblAlgn val="ctr"/>
        <c:lblOffset val="100"/>
        <c:noMultiLvlLbl val="0"/>
      </c:catAx>
      <c:valAx>
        <c:axId val="36200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en-GB" sz="1000" b="0" i="0" u="none" strike="noStrike" kern="1200" baseline="0">
          <a:solidFill>
            <a:schemeClr val="accent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Change by hedgerow</a:t>
            </a:r>
            <a:r>
              <a:rPr lang="en-GB" baseline="0"/>
              <a:t> type </a:t>
            </a:r>
          </a:p>
          <a:p>
            <a:pPr>
              <a:defRPr/>
            </a:pPr>
            <a:r>
              <a:rPr lang="en-GB" baseline="0"/>
              <a:t>(Hedgerow units)</a:t>
            </a:r>
            <a:endParaRPr lang="en-GB"/>
          </a:p>
        </c:rich>
      </c:tx>
      <c:layout>
        <c:manualLayout>
          <c:xMode val="edge"/>
          <c:yMode val="edge"/>
          <c:x val="0.3716817831786321"/>
          <c:y val="2.02902915815194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097692924570232E-2"/>
          <c:y val="0.13266613123677354"/>
          <c:w val="0.92793004685077718"/>
          <c:h val="0.711650571121708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Results'!$D$98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Results'!$D$99:$D$111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9-4FE9-B92C-F17DFFA9D670}"/>
            </c:ext>
          </c:extLst>
        </c:ser>
        <c:ser>
          <c:idx val="1"/>
          <c:order val="1"/>
          <c:tx>
            <c:strRef>
              <c:f>'Detailed Results'!$F$98</c:f>
              <c:strCache>
                <c:ptCount val="1"/>
                <c:pt idx="0">
                  <c:v>Proposed value on-site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Results'!$F$99:$F$111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1.25064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9-4FE9-B92C-F17DFFA9D670}"/>
            </c:ext>
          </c:extLst>
        </c:ser>
        <c:ser>
          <c:idx val="3"/>
          <c:order val="2"/>
          <c:tx>
            <c:strRef>
              <c:f>'Detailed Results'!$C$118</c:f>
              <c:strCache>
                <c:ptCount val="1"/>
                <c:pt idx="0">
                  <c:v>Existing length off-site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Results'!$C$119:$C$131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E-4172-98DE-518F48542226}"/>
            </c:ext>
          </c:extLst>
        </c:ser>
        <c:ser>
          <c:idx val="2"/>
          <c:order val="3"/>
          <c:tx>
            <c:strRef>
              <c:f>'Detailed Results'!$F$118</c:f>
              <c:strCache>
                <c:ptCount val="1"/>
                <c:pt idx="0">
                  <c:v>Proposed value off-site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Results'!$K$119:$K$131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D589-4FE9-B92C-F17DFFA9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006808"/>
        <c:axId val="362007200"/>
      </c:barChart>
      <c:catAx>
        <c:axId val="36200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7200"/>
        <c:crosses val="autoZero"/>
        <c:auto val="1"/>
        <c:lblAlgn val="ctr"/>
        <c:lblOffset val="100"/>
        <c:noMultiLvlLbl val="0"/>
      </c:catAx>
      <c:valAx>
        <c:axId val="36200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6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62327345325971"/>
          <c:y val="0.92937496758404192"/>
          <c:w val="0.62477739194196202"/>
          <c:h val="7.0625128221882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Biodiversity unit change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70962262635112E-2"/>
          <c:y val="7.9480683489127943E-2"/>
          <c:w val="0.9247426449418843"/>
          <c:h val="0.57604985133814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Results'!$D$98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Results'!$D$99:$D$111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Results'!$F$98</c:f>
              <c:strCache>
                <c:ptCount val="1"/>
                <c:pt idx="0">
                  <c:v>Proposed value on-site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Results'!$F$99:$F$111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1.25064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Results'!$H$98</c:f>
              <c:strCache>
                <c:ptCount val="1"/>
                <c:pt idx="0">
                  <c:v>On-site Unit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Results'!$H$99:$H$111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1.2136400000000001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3"/>
          <c:order val="3"/>
          <c:tx>
            <c:strRef>
              <c:f>'Detailed Results'!$H$118</c:f>
              <c:strCache>
                <c:ptCount val="1"/>
                <c:pt idx="0">
                  <c:v>Off site Unit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Results'!$H$119:$H$131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ser>
          <c:idx val="4"/>
          <c:order val="4"/>
          <c:tx>
            <c:strRef>
              <c:f>'Detailed Results'!$F$118</c:f>
              <c:strCache>
                <c:ptCount val="1"/>
                <c:pt idx="0">
                  <c:v>Proposed value off-site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Results'!$F$119:$F$131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5"/>
          <c:order val="5"/>
          <c:tx>
            <c:strRef>
              <c:f>'Detailed Results'!$D$118</c:f>
              <c:strCache>
                <c:ptCount val="1"/>
                <c:pt idx="0">
                  <c:v>Existing value off-site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Results'!$B$139:$B$151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Results'!$D$119:$D$131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007984"/>
        <c:axId val="362008376"/>
      </c:barChart>
      <c:catAx>
        <c:axId val="3620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8376"/>
        <c:crosses val="autoZero"/>
        <c:auto val="1"/>
        <c:lblAlgn val="ctr"/>
        <c:lblOffset val="100"/>
        <c:noMultiLvlLbl val="0"/>
      </c:catAx>
      <c:valAx>
        <c:axId val="36200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07984"/>
        <c:crosses val="autoZero"/>
        <c:crossBetween val="between"/>
      </c:valAx>
      <c:spPr>
        <a:noFill/>
        <a:ln>
          <a:solidFill>
            <a:srgbClr val="ABC3C9">
              <a:lumMod val="25000"/>
              <a:lumOff val="75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On site length change by hedgerow</a:t>
            </a:r>
            <a:r>
              <a:rPr lang="en-GB" baseline="0"/>
              <a:t> length (km)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997845615031125E-2"/>
          <c:y val="7.8957983437665843E-2"/>
          <c:w val="0.94371844122572568"/>
          <c:h val="0.56925891188809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Results'!$C$98</c:f>
              <c:strCache>
                <c:ptCount val="1"/>
                <c:pt idx="0">
                  <c:v>Existing length on-site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Results'!$C$99:$C$111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F-487F-A4D7-68B96D121954}"/>
            </c:ext>
          </c:extLst>
        </c:ser>
        <c:ser>
          <c:idx val="1"/>
          <c:order val="1"/>
          <c:tx>
            <c:strRef>
              <c:f>'Detailed Results'!$E$98</c:f>
              <c:strCache>
                <c:ptCount val="1"/>
                <c:pt idx="0">
                  <c:v>Proposed length on-site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Results'!$E$99:$E$111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F-487F-A4D7-68B96D121954}"/>
            </c:ext>
          </c:extLst>
        </c:ser>
        <c:ser>
          <c:idx val="3"/>
          <c:order val="2"/>
          <c:tx>
            <c:strRef>
              <c:f>'Detailed Results'!$C$118</c:f>
              <c:strCache>
                <c:ptCount val="1"/>
                <c:pt idx="0">
                  <c:v>Existing length off-site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Results'!$C$119:$C$131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E-48C2-85BF-757D9868713F}"/>
            </c:ext>
          </c:extLst>
        </c:ser>
        <c:ser>
          <c:idx val="2"/>
          <c:order val="3"/>
          <c:tx>
            <c:strRef>
              <c:f>'Detailed Results'!$E$118</c:f>
              <c:strCache>
                <c:ptCount val="1"/>
                <c:pt idx="0">
                  <c:v>Proposed length off-site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Results'!$B$119:$B$131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Results'!$E$119:$E$131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F-487F-A4D7-68B96D12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118312"/>
        <c:axId val="363118704"/>
      </c:barChart>
      <c:catAx>
        <c:axId val="36311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18704"/>
        <c:crosses val="autoZero"/>
        <c:auto val="1"/>
        <c:lblAlgn val="ctr"/>
        <c:lblOffset val="100"/>
        <c:noMultiLvlLbl val="0"/>
      </c:catAx>
      <c:valAx>
        <c:axId val="3631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18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29790475757063"/>
          <c:y val="0.87880529958796882"/>
          <c:w val="0.65419342240213463"/>
          <c:h val="0.101161472463000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hedgerow</a:t>
            </a:r>
            <a:r>
              <a:rPr lang="en-GB" baseline="0"/>
              <a:t> length</a:t>
            </a:r>
            <a:r>
              <a:rPr lang="en-GB"/>
              <a:t> change (km)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084007377372174E-2"/>
          <c:y val="8.2738591964125793E-2"/>
          <c:w val="0.9616458125661338"/>
          <c:h val="0.73067010848419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Results'!$C$98</c:f>
              <c:strCache>
                <c:ptCount val="1"/>
                <c:pt idx="0">
                  <c:v>Existing length on-site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Results'!$C$99:$C$111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Results'!$E$98</c:f>
              <c:strCache>
                <c:ptCount val="1"/>
                <c:pt idx="0">
                  <c:v>Proposed length on-site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Results'!$E$99:$E$111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Results'!$G$98</c:f>
              <c:strCache>
                <c:ptCount val="1"/>
                <c:pt idx="0">
                  <c:v>On-site length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Results'!$G$99:$G$111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1.2590000000000001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3"/>
          <c:order val="3"/>
          <c:tx>
            <c:strRef>
              <c:f>'Detailed Results'!$G$118</c:f>
              <c:strCache>
                <c:ptCount val="1"/>
                <c:pt idx="0">
                  <c:v>Off-site length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Results'!$G$119:$G$131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ser>
          <c:idx val="4"/>
          <c:order val="4"/>
          <c:tx>
            <c:strRef>
              <c:f>'Detailed Results'!$E$118</c:f>
              <c:strCache>
                <c:ptCount val="1"/>
                <c:pt idx="0">
                  <c:v>Proposed length off-site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Results'!$E$119:$E$131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5"/>
          <c:order val="5"/>
          <c:tx>
            <c:strRef>
              <c:f>'Detailed Results'!$C$118</c:f>
              <c:strCache>
                <c:ptCount val="1"/>
                <c:pt idx="0">
                  <c:v>Existing length off-site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Results'!$B$99:$B$111</c:f>
              <c:strCache>
                <c:ptCount val="13"/>
                <c:pt idx="0">
                  <c:v>Native Species Rich Hedgerow with trees - Associated with bank or ditch</c:v>
                </c:pt>
                <c:pt idx="1">
                  <c:v>Native Species Rich Hedgerow with trees</c:v>
                </c:pt>
                <c:pt idx="2">
                  <c:v>Native Species Rich Hedgerow - Associated with bank or ditch</c:v>
                </c:pt>
                <c:pt idx="3">
                  <c:v>Native Hedgerow with trees - Associated with bank or ditch</c:v>
                </c:pt>
                <c:pt idx="4">
                  <c:v>Native Species Rich Hedgerow</c:v>
                </c:pt>
                <c:pt idx="5">
                  <c:v>Native Hedgerow - Associated with bank or ditch</c:v>
                </c:pt>
                <c:pt idx="6">
                  <c:v>Native Hedgerow with trees</c:v>
                </c:pt>
                <c:pt idx="7">
                  <c:v>Line of Trees (Ecologically Valuable)</c:v>
                </c:pt>
                <c:pt idx="8">
                  <c:v>Line of Trees (Ecologically Valuable) - with Bank or Ditch</c:v>
                </c:pt>
                <c:pt idx="9">
                  <c:v>Native Hedgerow</c:v>
                </c:pt>
                <c:pt idx="10">
                  <c:v>Line of Trees</c:v>
                </c:pt>
                <c:pt idx="11">
                  <c:v>Line of Trees - Associated with bank or ditch</c:v>
                </c:pt>
                <c:pt idx="12">
                  <c:v>Hedge Ornamental Non Native</c:v>
                </c:pt>
              </c:strCache>
            </c:strRef>
          </c:cat>
          <c:val>
            <c:numRef>
              <c:f>'Detailed Results'!$C$119:$C$131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119488"/>
        <c:axId val="363119880"/>
      </c:barChart>
      <c:catAx>
        <c:axId val="3631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19880"/>
        <c:crosses val="autoZero"/>
        <c:auto val="1"/>
        <c:lblAlgn val="ctr"/>
        <c:lblOffset val="100"/>
        <c:noMultiLvlLbl val="0"/>
      </c:catAx>
      <c:valAx>
        <c:axId val="363119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10312644041313E-2"/>
          <c:y val="0.91129201659160575"/>
          <c:w val="0.97089359660237717"/>
          <c:h val="6.2699488665386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Length lost by d</a:t>
            </a:r>
          </a:p>
          <a:p>
            <a:pPr>
              <a:defRPr/>
            </a:pPr>
            <a:r>
              <a:rPr lang="en-US"/>
              <a:t>distinctiveness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77816250230683"/>
          <c:y val="0.20985474800667325"/>
          <c:w val="0.50433144183081269"/>
          <c:h val="0.67757469708681106"/>
        </c:manualLayout>
      </c:layout>
      <c:pieChart>
        <c:varyColors val="1"/>
        <c:ser>
          <c:idx val="0"/>
          <c:order val="0"/>
          <c:tx>
            <c:strRef>
              <c:f>'Detailed Results'!$K$161</c:f>
              <c:strCache>
                <c:ptCount val="1"/>
                <c:pt idx="0">
                  <c:v>Length lost (KM)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1-4BE2-AE93-1453CBBC6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8B-476C-8614-DB87123C0D33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8B-476C-8614-DB87123C0D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9-4F43-95CF-D5064FD9E3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99-4F43-95CF-D5064FD9E3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'Detailed Results'!$J$163:$J$170</c15:sqref>
                  </c15:fullRef>
                </c:ext>
              </c:extLst>
              <c:f>('Detailed Results'!$J$163,'Detailed Results'!$J$165,'Detailed Results'!$J$167,'Detailed Results'!$J$169)</c:f>
              <c:strCache>
                <c:ptCount val="4"/>
                <c:pt idx="0">
                  <c:v>V.High</c:v>
                </c:pt>
                <c:pt idx="1">
                  <c:v>High</c:v>
                </c:pt>
                <c:pt idx="2">
                  <c:v>Medium</c:v>
                </c:pt>
                <c:pt idx="3">
                  <c:v>Low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'Detailed Results'!$K$163:$K$169</c15:sqref>
                  </c15:fullRef>
                </c:ext>
              </c:extLst>
              <c:f>('Detailed Results'!$K$163,'Detailed Results'!$K$165,'Detailed Results'!$K$167,'Detailed Results'!$K$169)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4191-4BE2-AE93-1453CBBC6E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627734494475837"/>
          <c:y val="0.1338030000551366"/>
          <c:w val="0.20630248467805529"/>
          <c:h val="0.80189353268044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River length</a:t>
            </a:r>
            <a:r>
              <a:rPr lang="en-GB" baseline="0"/>
              <a:t> retained, proposed for enhancement or lost (</a:t>
            </a:r>
            <a:r>
              <a:rPr lang="en-GB"/>
              <a:t>length</a:t>
            </a:r>
            <a:r>
              <a:rPr lang="en-GB" baseline="0"/>
              <a:t> km)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1211540515852515"/>
          <c:y val="1.4467463295248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25907696360557E-2"/>
          <c:y val="0.26035358560754041"/>
          <c:w val="0.83053078155359161"/>
          <c:h val="0.5730544100273469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B-48A4-9C8F-5E3F38ED824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DB-48A4-9C8F-5E3F38ED824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DB-48A4-9C8F-5E3F38ED82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('Detailed Results'!$B$24,'Detailed Results'!$B$27,'Detailed Results'!$B$30,'Detailed Results'!$B$31)</c15:sqref>
                  </c15:fullRef>
                </c:ext>
              </c:extLst>
              <c:f>('Detailed Results'!$B$24,'Detailed Results'!$B$27,'Detailed Results'!$B$30)</c:f>
              <c:strCache>
                <c:ptCount val="3"/>
                <c:pt idx="0">
                  <c:v>Area / length retained</c:v>
                </c:pt>
                <c:pt idx="1">
                  <c:v>Area / length proposed for enhancement</c:v>
                </c:pt>
                <c:pt idx="2">
                  <c:v>Area / length lost</c:v>
                </c:pt>
                <c:pt idx="3">
                  <c:v>Units lost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('Detailed Results'!$H$24,'Detailed Results'!$H$27,'Detailed Results'!$H$30)</c15:sqref>
                  </c15:fullRef>
                </c:ext>
              </c:extLst>
              <c:f>('Detailed Results'!$H$24,'Detailed Results'!$H$27,'Detailed Results'!$H$30)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1-4AA2-9CB0-ED14885E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3121056"/>
        <c:axId val="363121448"/>
      </c:barChart>
      <c:catAx>
        <c:axId val="36312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21448"/>
        <c:crosses val="autoZero"/>
        <c:auto val="1"/>
        <c:lblAlgn val="ctr"/>
        <c:lblOffset val="100"/>
        <c:noMultiLvlLbl val="0"/>
      </c:catAx>
      <c:valAx>
        <c:axId val="36312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12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GB" sz="12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 sz="1400"/>
              <a:t>River</a:t>
            </a:r>
            <a:r>
              <a:rPr lang="en-GB" sz="1400" baseline="0"/>
              <a:t> </a:t>
            </a:r>
            <a:r>
              <a:rPr lang="en-GB" sz="1400"/>
              <a:t> retention category </a:t>
            </a:r>
          </a:p>
          <a:p>
            <a:pPr>
              <a:defRPr/>
            </a:pPr>
            <a:r>
              <a:rPr lang="en-GB" sz="1400"/>
              <a:t>(Biodiversity units)</a:t>
            </a:r>
          </a:p>
        </c:rich>
      </c:tx>
      <c:layout>
        <c:manualLayout>
          <c:xMode val="edge"/>
          <c:yMode val="edge"/>
          <c:x val="0.25802215790008198"/>
          <c:y val="3.95368171701294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GB" sz="12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5-4BB0-BB1D-81488C5130A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5-4BB0-BB1D-81488C5130A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5-4BB0-BB1D-81488C5130A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5-4BB0-BB1D-81488C5130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GB" sz="10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('Detailed Results'!$B$25,'Detailed Results'!$B$28,'Detailed Results'!$B$31)</c:f>
              <c:strCache>
                <c:ptCount val="3"/>
                <c:pt idx="0">
                  <c:v>Units Retained</c:v>
                </c:pt>
                <c:pt idx="1">
                  <c:v>Baseline units proposed for enhancement</c:v>
                </c:pt>
                <c:pt idx="2">
                  <c:v>Units lost</c:v>
                </c:pt>
              </c:strCache>
            </c:strRef>
          </c:cat>
          <c:val>
            <c:numRef>
              <c:f>('Detailed Results'!$H$25,'Detailed Results'!$H$28,'Detailed Results'!$H$31)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45-4BB0-BB1D-81488C51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3698704"/>
        <c:axId val="363699096"/>
      </c:barChart>
      <c:catAx>
        <c:axId val="3636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699096"/>
        <c:crosses val="autoZero"/>
        <c:auto val="1"/>
        <c:lblAlgn val="ctr"/>
        <c:lblOffset val="100"/>
        <c:noMultiLvlLbl val="0"/>
      </c:catAx>
      <c:valAx>
        <c:axId val="36369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69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en-GB" sz="1000" b="0" i="0" u="none" strike="noStrike" kern="1200" baseline="0">
          <a:solidFill>
            <a:schemeClr val="accent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Unit change by river</a:t>
            </a:r>
            <a:r>
              <a:rPr lang="en-GB" baseline="0"/>
              <a:t> type</a:t>
            </a:r>
            <a:endParaRPr lang="en-GB"/>
          </a:p>
        </c:rich>
      </c:tx>
      <c:layout>
        <c:manualLayout>
          <c:xMode val="edge"/>
          <c:yMode val="edge"/>
          <c:x val="0.3716817831786321"/>
          <c:y val="2.02902915815194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560555207603441E-2"/>
          <c:y val="0.12524978714806434"/>
          <c:w val="0.92793004685077718"/>
          <c:h val="0.711650571121708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Results'!$D$161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Results'!$D$162:$D$166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9-4FE9-B92C-F17DFFA9D670}"/>
            </c:ext>
          </c:extLst>
        </c:ser>
        <c:ser>
          <c:idx val="1"/>
          <c:order val="1"/>
          <c:tx>
            <c:strRef>
              <c:f>'Detailed Results'!$F$161</c:f>
              <c:strCache>
                <c:ptCount val="1"/>
                <c:pt idx="0">
                  <c:v>Proposed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Results'!$F$162:$F$166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9-4FE9-B92C-F17DFFA9D670}"/>
            </c:ext>
          </c:extLst>
        </c:ser>
        <c:ser>
          <c:idx val="3"/>
          <c:order val="2"/>
          <c:tx>
            <c:strRef>
              <c:f>'Detailed Results'!$D$181</c:f>
              <c:strCache>
                <c:ptCount val="1"/>
                <c:pt idx="0">
                  <c:v>Existing value off-site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Results'!$D$182:$D$186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A-4E78-AA54-EF3B9DE367AD}"/>
            </c:ext>
          </c:extLst>
        </c:ser>
        <c:ser>
          <c:idx val="2"/>
          <c:order val="3"/>
          <c:tx>
            <c:strRef>
              <c:f>'Detailed Results'!$F$181</c:f>
              <c:strCache>
                <c:ptCount val="1"/>
                <c:pt idx="0">
                  <c:v>Proposed value off-site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Results'!$K$182:$K$186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589-4FE9-B92C-F17DFFA9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699880"/>
        <c:axId val="363700272"/>
      </c:barChart>
      <c:catAx>
        <c:axId val="36369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700272"/>
        <c:crosses val="autoZero"/>
        <c:auto val="1"/>
        <c:lblAlgn val="ctr"/>
        <c:lblOffset val="100"/>
        <c:noMultiLvlLbl val="0"/>
      </c:catAx>
      <c:valAx>
        <c:axId val="36370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69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4605061845115"/>
          <c:y val="0.92596984220053258"/>
          <c:w val="0.56770339374134104"/>
          <c:h val="7.1166145527950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Length change by river</a:t>
            </a:r>
            <a:r>
              <a:rPr lang="en-GB" baseline="0"/>
              <a:t> type</a:t>
            </a:r>
            <a:endParaRPr lang="en-GB"/>
          </a:p>
        </c:rich>
      </c:tx>
      <c:layout>
        <c:manualLayout>
          <c:xMode val="edge"/>
          <c:yMode val="edge"/>
          <c:x val="0.41412282288195107"/>
          <c:y val="2.196424324967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345028470486534E-2"/>
          <c:y val="0.1124473308264943"/>
          <c:w val="0.95556189277056358"/>
          <c:h val="0.68006228120569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Results'!$C$161</c:f>
              <c:strCache>
                <c:ptCount val="1"/>
                <c:pt idx="0">
                  <c:v>Existing length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Results'!$C$162:$C$166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F-487F-A4D7-68B96D121954}"/>
            </c:ext>
          </c:extLst>
        </c:ser>
        <c:ser>
          <c:idx val="1"/>
          <c:order val="1"/>
          <c:tx>
            <c:strRef>
              <c:f>'Detailed Results'!$E$161</c:f>
              <c:strCache>
                <c:ptCount val="1"/>
                <c:pt idx="0">
                  <c:v>Proposed length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Results'!$E$162:$E$166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F-487F-A4D7-68B96D121954}"/>
            </c:ext>
          </c:extLst>
        </c:ser>
        <c:ser>
          <c:idx val="2"/>
          <c:order val="2"/>
          <c:tx>
            <c:strRef>
              <c:f>'Detailed Results'!$E$181</c:f>
              <c:strCache>
                <c:ptCount val="1"/>
                <c:pt idx="0">
                  <c:v>Proposed length off-site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Results'!$E$182:$E$186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F-487F-A4D7-68B96D121954}"/>
            </c:ext>
          </c:extLst>
        </c:ser>
        <c:ser>
          <c:idx val="3"/>
          <c:order val="3"/>
          <c:tx>
            <c:strRef>
              <c:f>'Detailed Results'!$C$181</c:f>
              <c:strCache>
                <c:ptCount val="1"/>
                <c:pt idx="0">
                  <c:v>Existing length off-site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Results'!$B$182:$B$186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Results'!$C$182:$C$186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F-4515-9425-E281050C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701448"/>
        <c:axId val="363701840"/>
      </c:barChart>
      <c:catAx>
        <c:axId val="363701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701840"/>
        <c:crosses val="autoZero"/>
        <c:auto val="1"/>
        <c:lblAlgn val="ctr"/>
        <c:lblOffset val="100"/>
        <c:noMultiLvlLbl val="0"/>
      </c:catAx>
      <c:valAx>
        <c:axId val="3637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701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632213171842E-2"/>
          <c:y val="0.90154139510891773"/>
          <c:w val="0.66013542522339319"/>
          <c:h val="8.2105732923376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GB" sz="12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On-site and off-site habitat retention category </a:t>
            </a:r>
          </a:p>
          <a:p>
            <a:pPr>
              <a:defRPr/>
            </a:pPr>
            <a:r>
              <a:rPr lang="en-GB"/>
              <a:t>biodiversity units</a:t>
            </a:r>
          </a:p>
        </c:rich>
      </c:tx>
      <c:layout>
        <c:manualLayout>
          <c:xMode val="edge"/>
          <c:yMode val="edge"/>
          <c:x val="0.18509219259390725"/>
          <c:y val="3.90542655466479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GB" sz="12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127431426051383E-2"/>
          <c:y val="0.20532903300080349"/>
          <c:w val="0.87620265450755663"/>
          <c:h val="0.6127031125918059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5-4BB0-BB1D-81488C5130A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5-4BB0-BB1D-81488C5130A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5-4BB0-BB1D-81488C5130A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5-4BB0-BB1D-81488C5130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GB" sz="10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('Detailed Results'!$B$25,'Detailed Results'!$B$28,'Detailed Results'!$B$31)</c:f>
              <c:strCache>
                <c:ptCount val="3"/>
                <c:pt idx="0">
                  <c:v>Units Retained</c:v>
                </c:pt>
                <c:pt idx="1">
                  <c:v>Baseline units proposed for enhancement</c:v>
                </c:pt>
                <c:pt idx="2">
                  <c:v>Units lost</c:v>
                </c:pt>
              </c:strCache>
            </c:strRef>
          </c:cat>
          <c:val>
            <c:numRef>
              <c:f>('Detailed Results'!$D$25,'Detailed Results'!$D$28,'Detailed Results'!$D$31)</c:f>
              <c:numCache>
                <c:formatCode>0.00</c:formatCode>
                <c:ptCount val="3"/>
                <c:pt idx="0">
                  <c:v>0.35599999999999998</c:v>
                </c:pt>
                <c:pt idx="1">
                  <c:v>0</c:v>
                </c:pt>
                <c:pt idx="2">
                  <c:v>0.99919999999999998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45-4BB0-BB1D-81488C51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1463880"/>
        <c:axId val="361464272"/>
      </c:barChart>
      <c:catAx>
        <c:axId val="361463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4272"/>
        <c:crosses val="autoZero"/>
        <c:auto val="1"/>
        <c:lblAlgn val="ctr"/>
        <c:lblOffset val="100"/>
        <c:noMultiLvlLbl val="0"/>
      </c:catAx>
      <c:valAx>
        <c:axId val="36146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GB" sz="10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3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en-GB" sz="1000" b="0" i="0" u="none" strike="noStrike" kern="1200" baseline="0">
          <a:solidFill>
            <a:schemeClr val="accent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Biodiversity Unit change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8952433295965851E-2"/>
          <c:y val="0.13328622175997623"/>
          <c:w val="0.95532214685767136"/>
          <c:h val="0.67986279131769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Results'!$D$161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Results'!$D$162:$D$166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Results'!$F$161</c:f>
              <c:strCache>
                <c:ptCount val="1"/>
                <c:pt idx="0">
                  <c:v>Proposed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Results'!$F$162:$F$166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Results'!$H$161</c:f>
              <c:strCache>
                <c:ptCount val="1"/>
                <c:pt idx="0">
                  <c:v>Onsite Unit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Results'!$H$162:$H$166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5"/>
          <c:order val="3"/>
          <c:tx>
            <c:strRef>
              <c:f>'Detailed Results'!$D$181</c:f>
              <c:strCache>
                <c:ptCount val="1"/>
                <c:pt idx="0">
                  <c:v>Existing value off-site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Results'!$D$182:$D$186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ser>
          <c:idx val="4"/>
          <c:order val="4"/>
          <c:tx>
            <c:strRef>
              <c:f>'Detailed Results'!$F$181</c:f>
              <c:strCache>
                <c:ptCount val="1"/>
                <c:pt idx="0">
                  <c:v>Proposed value off-site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Results'!$F$182:$F$186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3"/>
          <c:order val="5"/>
          <c:tx>
            <c:strRef>
              <c:f>'Detailed Results'!$H$181</c:f>
              <c:strCache>
                <c:ptCount val="1"/>
                <c:pt idx="0">
                  <c:v>Off-site unit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Results'!$H$182:$H$186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702232"/>
        <c:axId val="363492344"/>
      </c:barChart>
      <c:catAx>
        <c:axId val="36370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492344"/>
        <c:crosses val="autoZero"/>
        <c:auto val="1"/>
        <c:lblAlgn val="ctr"/>
        <c:lblOffset val="100"/>
        <c:noMultiLvlLbl val="0"/>
      </c:catAx>
      <c:valAx>
        <c:axId val="363492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702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896850326971229E-2"/>
          <c:y val="0.91698383220169133"/>
          <c:w val="0.96808849967669841"/>
          <c:h val="6.1241547689704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river</a:t>
            </a:r>
            <a:r>
              <a:rPr lang="en-GB" baseline="0"/>
              <a:t> length</a:t>
            </a:r>
            <a:r>
              <a:rPr lang="en-GB"/>
              <a:t> change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084007377372174E-2"/>
          <c:y val="8.2738591964125793E-2"/>
          <c:w val="0.9616458125661338"/>
          <c:h val="0.73067010848419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Results'!$C$161</c:f>
              <c:strCache>
                <c:ptCount val="1"/>
                <c:pt idx="0">
                  <c:v>Existing length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Results'!$C$162:$C$166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Results'!$E$161</c:f>
              <c:strCache>
                <c:ptCount val="1"/>
                <c:pt idx="0">
                  <c:v>Proposed length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Results'!$E$162:$E$166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Results'!$G$161</c:f>
              <c:strCache>
                <c:ptCount val="1"/>
                <c:pt idx="0">
                  <c:v>length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Results'!$G$162:$G$166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5"/>
          <c:order val="3"/>
          <c:tx>
            <c:strRef>
              <c:f>'Detailed Results'!$C$181</c:f>
              <c:strCache>
                <c:ptCount val="1"/>
                <c:pt idx="0">
                  <c:v>Existing length off-site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Results'!$C$182:$C$186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ser>
          <c:idx val="4"/>
          <c:order val="4"/>
          <c:tx>
            <c:strRef>
              <c:f>'Detailed Results'!$E$181</c:f>
              <c:strCache>
                <c:ptCount val="1"/>
                <c:pt idx="0">
                  <c:v>Proposed length off-site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Results'!$E$182:$E$186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3"/>
          <c:order val="5"/>
          <c:tx>
            <c:strRef>
              <c:f>'Detailed Results'!$G$181</c:f>
              <c:strCache>
                <c:ptCount val="1"/>
                <c:pt idx="0">
                  <c:v>Off-site length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Results'!$B$162:$B$166</c:f>
              <c:strCache>
                <c:ptCount val="5"/>
                <c:pt idx="0">
                  <c:v>Priority Habitat</c:v>
                </c:pt>
                <c:pt idx="1">
                  <c:v>Other Rivers and Streams</c:v>
                </c:pt>
                <c:pt idx="2">
                  <c:v>Ditches</c:v>
                </c:pt>
                <c:pt idx="3">
                  <c:v>Canals</c:v>
                </c:pt>
                <c:pt idx="4">
                  <c:v>Culvert</c:v>
                </c:pt>
              </c:strCache>
            </c:strRef>
          </c:cat>
          <c:val>
            <c:numRef>
              <c:f>'Detailed Results'!$G$182:$G$186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3493128"/>
        <c:axId val="363493520"/>
      </c:barChart>
      <c:catAx>
        <c:axId val="363493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493520"/>
        <c:crosses val="autoZero"/>
        <c:auto val="1"/>
        <c:lblAlgn val="ctr"/>
        <c:lblOffset val="100"/>
        <c:noMultiLvlLbl val="0"/>
      </c:catAx>
      <c:valAx>
        <c:axId val="36349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493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On site area change by habitat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345028470486534E-2"/>
          <c:y val="0.1124473308264943"/>
          <c:w val="0.95556189277056358"/>
          <c:h val="0.68006228120569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Results'!$C$38</c:f>
              <c:strCache>
                <c:ptCount val="1"/>
                <c:pt idx="0">
                  <c:v>Existing area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Results'!$C$39:$C$51</c:f>
              <c:numCache>
                <c:formatCode>0.00</c:formatCode>
                <c:ptCount val="13"/>
                <c:pt idx="0">
                  <c:v>0</c:v>
                </c:pt>
                <c:pt idx="1">
                  <c:v>0.27579999999999999</c:v>
                </c:pt>
                <c:pt idx="2">
                  <c:v>5.8299999999999998E-2</c:v>
                </c:pt>
                <c:pt idx="3">
                  <c:v>0</c:v>
                </c:pt>
                <c:pt idx="4">
                  <c:v>0</c:v>
                </c:pt>
                <c:pt idx="5">
                  <c:v>4.4440999999999997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F-487F-A4D7-68B96D121954}"/>
            </c:ext>
          </c:extLst>
        </c:ser>
        <c:ser>
          <c:idx val="1"/>
          <c:order val="1"/>
          <c:tx>
            <c:strRef>
              <c:f>'Detailed Results'!$E$38</c:f>
              <c:strCache>
                <c:ptCount val="1"/>
                <c:pt idx="0">
                  <c:v>Proposed area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Results'!$E$39:$E$51</c:f>
              <c:numCache>
                <c:formatCode>0.00</c:formatCode>
                <c:ptCount val="13"/>
                <c:pt idx="0">
                  <c:v>0</c:v>
                </c:pt>
                <c:pt idx="1">
                  <c:v>0.1249</c:v>
                </c:pt>
                <c:pt idx="2">
                  <c:v>3.9199999999999999E-2</c:v>
                </c:pt>
                <c:pt idx="3">
                  <c:v>3.0000000000000001E-3</c:v>
                </c:pt>
                <c:pt idx="4">
                  <c:v>0</c:v>
                </c:pt>
                <c:pt idx="5">
                  <c:v>4.6740000000000013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F-487F-A4D7-68B96D121954}"/>
            </c:ext>
          </c:extLst>
        </c:ser>
        <c:ser>
          <c:idx val="2"/>
          <c:order val="2"/>
          <c:tx>
            <c:strRef>
              <c:f>'Detailed Results'!$E$57</c:f>
              <c:strCache>
                <c:ptCount val="1"/>
                <c:pt idx="0">
                  <c:v>Off-site proposed area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F-487F-A4D7-68B96D12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465056"/>
        <c:axId val="361465448"/>
      </c:barChart>
      <c:catAx>
        <c:axId val="36146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5448"/>
        <c:crosses val="autoZero"/>
        <c:auto val="1"/>
        <c:lblAlgn val="ctr"/>
        <c:lblOffset val="100"/>
        <c:noMultiLvlLbl val="0"/>
      </c:catAx>
      <c:valAx>
        <c:axId val="36146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46899989275436"/>
          <c:y val="0.91406332334653195"/>
          <c:w val="0.72927967790088977"/>
          <c:h val="5.6343456528065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Unit change by habitat group</a:t>
            </a:r>
          </a:p>
        </c:rich>
      </c:tx>
      <c:layout>
        <c:manualLayout>
          <c:xMode val="edge"/>
          <c:yMode val="edge"/>
          <c:x val="0.3716817831786321"/>
          <c:y val="2.02902915815194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76844263820382E-2"/>
          <c:y val="0.13266609688495923"/>
          <c:w val="0.92793004685077718"/>
          <c:h val="0.711650571121708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Results'!$D$38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Results'!$D$39:$D$51</c:f>
              <c:numCache>
                <c:formatCode>0.00</c:formatCode>
                <c:ptCount val="13"/>
                <c:pt idx="0">
                  <c:v>0</c:v>
                </c:pt>
                <c:pt idx="1">
                  <c:v>0.55159999999999998</c:v>
                </c:pt>
                <c:pt idx="2">
                  <c:v>0.23319999999999999</c:v>
                </c:pt>
                <c:pt idx="3">
                  <c:v>0</c:v>
                </c:pt>
                <c:pt idx="4">
                  <c:v>0</c:v>
                </c:pt>
                <c:pt idx="5">
                  <c:v>0.57040000000000002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9-4FE9-B92C-F17DFFA9D670}"/>
            </c:ext>
          </c:extLst>
        </c:ser>
        <c:ser>
          <c:idx val="1"/>
          <c:order val="1"/>
          <c:tx>
            <c:strRef>
              <c:f>'Detailed Results'!$F$38</c:f>
              <c:strCache>
                <c:ptCount val="1"/>
                <c:pt idx="0">
                  <c:v>Proposed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Results'!$F$39:$F$51</c:f>
              <c:numCache>
                <c:formatCode>0.00</c:formatCode>
                <c:ptCount val="13"/>
                <c:pt idx="0">
                  <c:v>0</c:v>
                </c:pt>
                <c:pt idx="1">
                  <c:v>0.33510976000000003</c:v>
                </c:pt>
                <c:pt idx="2">
                  <c:v>0.26242948050816001</c:v>
                </c:pt>
                <c:pt idx="3">
                  <c:v>1.158E-2</c:v>
                </c:pt>
                <c:pt idx="4">
                  <c:v>0</c:v>
                </c:pt>
                <c:pt idx="5">
                  <c:v>1.3246811046285598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9-4FE9-B92C-F17DFFA9D670}"/>
            </c:ext>
          </c:extLst>
        </c:ser>
        <c:ser>
          <c:idx val="2"/>
          <c:order val="2"/>
          <c:tx>
            <c:strRef>
              <c:f>'Detailed Results'!$F$57</c:f>
              <c:strCache>
                <c:ptCount val="1"/>
                <c:pt idx="0">
                  <c:v>Off site Proposed value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Results'!$B$39:$B$51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Results'!$K$50:$K$51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D589-4FE9-B92C-F17DFFA9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466232"/>
        <c:axId val="361466624"/>
      </c:barChart>
      <c:catAx>
        <c:axId val="36146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6624"/>
        <c:crosses val="autoZero"/>
        <c:auto val="1"/>
        <c:lblAlgn val="ctr"/>
        <c:lblOffset val="100"/>
        <c:noMultiLvlLbl val="0"/>
      </c:catAx>
      <c:valAx>
        <c:axId val="36146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46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31466745800268"/>
          <c:y val="0.94809910803109032"/>
          <c:w val="0.32961958485190246"/>
          <c:h val="4.96782598214202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Area lost by distinctiveness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77816250230683"/>
          <c:y val="0.20985474800667325"/>
          <c:w val="0.50433144183081269"/>
          <c:h val="0.67757469708681106"/>
        </c:manualLayout>
      </c:layout>
      <c:pieChart>
        <c:varyColors val="1"/>
        <c:ser>
          <c:idx val="0"/>
          <c:order val="0"/>
          <c:tx>
            <c:strRef>
              <c:f>'Detailed Results'!$K$38</c:f>
              <c:strCache>
                <c:ptCount val="1"/>
                <c:pt idx="0">
                  <c:v>Area lost (hectares)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1-4BE2-AE93-1453CBBC6ED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86-42D7-BACE-C59EEEA0AC2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86-42D7-BACE-C59EEEA0AC2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EA-40D5-BD3F-A8E96701730E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EA-40D5-BD3F-A8E96701730E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rgbClr val="ABC3C9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'Detailed Results'!$J$40:$J$49</c15:sqref>
                  </c15:fullRef>
                </c:ext>
              </c:extLst>
              <c:f>('Detailed Results'!$J$40,'Detailed Results'!$J$42,'Detailed Results'!$J$44,'Detailed Results'!$J$46,'Detailed Results'!$J$48)</c:f>
              <c:strCache>
                <c:ptCount val="5"/>
                <c:pt idx="0">
                  <c:v>V.High</c:v>
                </c:pt>
                <c:pt idx="1">
                  <c:v>High</c:v>
                </c:pt>
                <c:pt idx="2">
                  <c:v>Medium</c:v>
                </c:pt>
                <c:pt idx="3">
                  <c:v>Low</c:v>
                </c:pt>
                <c:pt idx="4">
                  <c:v>V.Low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'Detailed Results'!$K$40:$K$49</c15:sqref>
                  </c15:fullRef>
                </c:ext>
              </c:extLst>
              <c:f>('Detailed Results'!$K$40,'Detailed Results'!$K$42,'Detailed Results'!$K$44,'Detailed Results'!$K$46,'Detailed Results'!$K$48)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9.3599999999999989E-2</c:v>
                </c:pt>
                <c:pt idx="3">
                  <c:v>0.31240000000000001</c:v>
                </c:pt>
                <c:pt idx="4">
                  <c:v>4.2820999999999998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'Detailed Results'!$K$41</c15:sqref>
                  <c15:spPr xmlns:c15="http://schemas.microsoft.com/office/drawing/2012/chart"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'Detailed Results'!$K$43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'Detailed Results'!$K$49</c15:sqref>
                  <c15:spPr xmlns:c15="http://schemas.microsoft.com/office/drawing/2012/chart">
                    <a:solidFill>
                      <a:schemeClr val="accent2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4191-4BE2-AE93-1453CBBC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51273737841585"/>
          <c:y val="0.13024482136663587"/>
          <c:w val="0.20630248467805529"/>
          <c:h val="0.80189353268044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Biodiversity Unit change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842739961764108E-2"/>
          <c:y val="0.13328622175997623"/>
          <c:w val="0.9616458125661338"/>
          <c:h val="0.69406522988302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Results'!$D$38</c:f>
              <c:strCache>
                <c:ptCount val="1"/>
                <c:pt idx="0">
                  <c:v>Existing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Results'!$D$39:$D$51</c:f>
              <c:numCache>
                <c:formatCode>0.00</c:formatCode>
                <c:ptCount val="13"/>
                <c:pt idx="0">
                  <c:v>0</c:v>
                </c:pt>
                <c:pt idx="1">
                  <c:v>0.55159999999999998</c:v>
                </c:pt>
                <c:pt idx="2">
                  <c:v>0.23319999999999999</c:v>
                </c:pt>
                <c:pt idx="3">
                  <c:v>0</c:v>
                </c:pt>
                <c:pt idx="4">
                  <c:v>0</c:v>
                </c:pt>
                <c:pt idx="5">
                  <c:v>0.57040000000000002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Results'!$F$38</c:f>
              <c:strCache>
                <c:ptCount val="1"/>
                <c:pt idx="0">
                  <c:v>Proposed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Results'!$F$39:$F$51</c:f>
              <c:numCache>
                <c:formatCode>0.00</c:formatCode>
                <c:ptCount val="13"/>
                <c:pt idx="0">
                  <c:v>0</c:v>
                </c:pt>
                <c:pt idx="1">
                  <c:v>0.33510976000000003</c:v>
                </c:pt>
                <c:pt idx="2">
                  <c:v>0.26242948050816001</c:v>
                </c:pt>
                <c:pt idx="3">
                  <c:v>1.158E-2</c:v>
                </c:pt>
                <c:pt idx="4">
                  <c:v>0</c:v>
                </c:pt>
                <c:pt idx="5">
                  <c:v>1.3246811046285598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Results'!$H$38</c:f>
              <c:strCache>
                <c:ptCount val="1"/>
                <c:pt idx="0">
                  <c:v>Onsite Unit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Results'!$H$39:$H$51</c:f>
              <c:numCache>
                <c:formatCode>0.00</c:formatCode>
                <c:ptCount val="13"/>
                <c:pt idx="0">
                  <c:v>0</c:v>
                </c:pt>
                <c:pt idx="1">
                  <c:v>-0.21649023999999994</c:v>
                </c:pt>
                <c:pt idx="2">
                  <c:v>2.9229480508160016E-2</c:v>
                </c:pt>
                <c:pt idx="3">
                  <c:v>1.158E-2</c:v>
                </c:pt>
                <c:pt idx="4">
                  <c:v>0</c:v>
                </c:pt>
                <c:pt idx="5">
                  <c:v>0.7542811046285598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3"/>
          <c:order val="3"/>
          <c:tx>
            <c:strRef>
              <c:f>'Detailed Results'!$H$57</c:f>
              <c:strCache>
                <c:ptCount val="1"/>
                <c:pt idx="0">
                  <c:v>Off-site unit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Results'!$H$58:$H$70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ser>
          <c:idx val="4"/>
          <c:order val="4"/>
          <c:tx>
            <c:strRef>
              <c:f>'Detailed Results'!$F$57</c:f>
              <c:strCache>
                <c:ptCount val="1"/>
                <c:pt idx="0">
                  <c:v>Off site Proposed value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Results'!$F$58:$F$70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5"/>
          <c:order val="5"/>
          <c:tx>
            <c:strRef>
              <c:f>'Detailed Results'!$D$57</c:f>
              <c:strCache>
                <c:ptCount val="1"/>
                <c:pt idx="0">
                  <c:v>Off-site Existing value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074712"/>
        <c:axId val="362075104"/>
      </c:barChart>
      <c:catAx>
        <c:axId val="362074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5104"/>
        <c:crosses val="autoZero"/>
        <c:auto val="1"/>
        <c:lblAlgn val="ctr"/>
        <c:lblOffset val="100"/>
        <c:noMultiLvlLbl val="0"/>
      </c:catAx>
      <c:valAx>
        <c:axId val="36207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4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27991241750188E-2"/>
          <c:y val="0.92387829393930099"/>
          <c:w val="0.93290252561764098"/>
          <c:h val="7.2793998387502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Combined habiat</a:t>
            </a:r>
            <a:r>
              <a:rPr lang="en-GB" baseline="0"/>
              <a:t> area</a:t>
            </a:r>
            <a:r>
              <a:rPr lang="en-GB"/>
              <a:t> change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084007377372174E-2"/>
          <c:y val="8.2738591964125793E-2"/>
          <c:w val="0.9616458125661338"/>
          <c:h val="0.73067010848419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'Detailed Results'!$C$38</c:f>
              <c:strCache>
                <c:ptCount val="1"/>
                <c:pt idx="0">
                  <c:v>Existing area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Results'!$C$39:$C$51</c:f>
              <c:numCache>
                <c:formatCode>0.00</c:formatCode>
                <c:ptCount val="13"/>
                <c:pt idx="0">
                  <c:v>0</c:v>
                </c:pt>
                <c:pt idx="1">
                  <c:v>0.27579999999999999</c:v>
                </c:pt>
                <c:pt idx="2">
                  <c:v>5.8299999999999998E-2</c:v>
                </c:pt>
                <c:pt idx="3">
                  <c:v>0</c:v>
                </c:pt>
                <c:pt idx="4">
                  <c:v>0</c:v>
                </c:pt>
                <c:pt idx="5">
                  <c:v>4.4440999999999997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8-4EC5-AB40-157E94620753}"/>
            </c:ext>
          </c:extLst>
        </c:ser>
        <c:ser>
          <c:idx val="1"/>
          <c:order val="1"/>
          <c:tx>
            <c:strRef>
              <c:f>'Detailed Results'!$E$38</c:f>
              <c:strCache>
                <c:ptCount val="1"/>
                <c:pt idx="0">
                  <c:v>Proposed area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Results'!$E$39:$E$51</c:f>
              <c:numCache>
                <c:formatCode>0.00</c:formatCode>
                <c:ptCount val="13"/>
                <c:pt idx="0">
                  <c:v>0</c:v>
                </c:pt>
                <c:pt idx="1">
                  <c:v>0.1249</c:v>
                </c:pt>
                <c:pt idx="2">
                  <c:v>3.9199999999999999E-2</c:v>
                </c:pt>
                <c:pt idx="3">
                  <c:v>3.0000000000000001E-3</c:v>
                </c:pt>
                <c:pt idx="4">
                  <c:v>0</c:v>
                </c:pt>
                <c:pt idx="5">
                  <c:v>4.6740000000000013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8-4EC5-AB40-157E94620753}"/>
            </c:ext>
          </c:extLst>
        </c:ser>
        <c:ser>
          <c:idx val="2"/>
          <c:order val="2"/>
          <c:tx>
            <c:strRef>
              <c:f>'Detailed Results'!$G$38</c:f>
              <c:strCache>
                <c:ptCount val="1"/>
                <c:pt idx="0">
                  <c:v>Area change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Results'!$G$39:$G$51</c:f>
              <c:numCache>
                <c:formatCode>0.00</c:formatCode>
                <c:ptCount val="13"/>
                <c:pt idx="0">
                  <c:v>0</c:v>
                </c:pt>
                <c:pt idx="1">
                  <c:v>-0.15089999999999998</c:v>
                </c:pt>
                <c:pt idx="2">
                  <c:v>-1.9099999999999999E-2</c:v>
                </c:pt>
                <c:pt idx="3">
                  <c:v>3.0000000000000001E-3</c:v>
                </c:pt>
                <c:pt idx="4">
                  <c:v>0</c:v>
                </c:pt>
                <c:pt idx="5">
                  <c:v>0.22990000000000155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8-4EC5-AB40-157E94620753}"/>
            </c:ext>
          </c:extLst>
        </c:ser>
        <c:ser>
          <c:idx val="3"/>
          <c:order val="3"/>
          <c:tx>
            <c:strRef>
              <c:f>'Detailed Results'!$G$57</c:f>
              <c:strCache>
                <c:ptCount val="1"/>
                <c:pt idx="0">
                  <c:v>Off-site area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Results'!$G$58:$G$70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68-4EC5-AB40-157E94620753}"/>
            </c:ext>
          </c:extLst>
        </c:ser>
        <c:ser>
          <c:idx val="4"/>
          <c:order val="4"/>
          <c:tx>
            <c:strRef>
              <c:f>'Detailed Results'!$E$57</c:f>
              <c:strCache>
                <c:ptCount val="1"/>
                <c:pt idx="0">
                  <c:v>Off-site proposed area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3-4806-A0C0-132F1D1BF2C0}"/>
            </c:ext>
          </c:extLst>
        </c:ser>
        <c:ser>
          <c:idx val="5"/>
          <c:order val="5"/>
          <c:tx>
            <c:strRef>
              <c:f>'Detailed Results'!$C$57</c:f>
              <c:strCache>
                <c:ptCount val="1"/>
                <c:pt idx="0">
                  <c:v>Existing area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'Detailed Results'!$B$58:$B$70</c:f>
              <c:strCache>
                <c:ptCount val="13"/>
                <c:pt idx="0">
                  <c:v>Cropland</c:v>
                </c:pt>
                <c:pt idx="1">
                  <c:v>Grassland</c:v>
                </c:pt>
                <c:pt idx="2">
                  <c:v>Heathland and shrub</c:v>
                </c:pt>
                <c:pt idx="3">
                  <c:v>Lakes</c:v>
                </c:pt>
                <c:pt idx="4">
                  <c:v>Sparsely vegetated land</c:v>
                </c:pt>
                <c:pt idx="5">
                  <c:v>Urban</c:v>
                </c:pt>
                <c:pt idx="6">
                  <c:v>Wetland</c:v>
                </c:pt>
                <c:pt idx="7">
                  <c:v>Woodland and forest</c:v>
                </c:pt>
                <c:pt idx="8">
                  <c:v>Intertidal sediment</c:v>
                </c:pt>
                <c:pt idx="9">
                  <c:v>Coastal saltmarsh </c:v>
                </c:pt>
                <c:pt idx="10">
                  <c:v>Rocky shore </c:v>
                </c:pt>
                <c:pt idx="11">
                  <c:v>Coastal lagoons</c:v>
                </c:pt>
                <c:pt idx="12">
                  <c:v>Intertidal Hard Structures</c:v>
                </c:pt>
              </c:strCache>
            </c:strRef>
          </c:cat>
          <c:val>
            <c:numRef>
              <c:f>'Detailed Results'!$C$58:$C$70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3-4806-A0C0-132F1D1B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075888"/>
        <c:axId val="362076280"/>
      </c:barChart>
      <c:catAx>
        <c:axId val="36207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6280"/>
        <c:crosses val="autoZero"/>
        <c:auto val="1"/>
        <c:lblAlgn val="ctr"/>
        <c:lblOffset val="100"/>
        <c:noMultiLvlLbl val="0"/>
      </c:catAx>
      <c:valAx>
        <c:axId val="36207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Length</a:t>
            </a:r>
            <a:r>
              <a:rPr lang="en-US" baseline="0"/>
              <a:t> lost by d</a:t>
            </a:r>
            <a:r>
              <a:rPr lang="en-US"/>
              <a:t>istinctiveness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39810693132962E-2"/>
          <c:y val="0.18259616154114799"/>
          <c:w val="0.53471686026310106"/>
          <c:h val="0.72430374926296104"/>
        </c:manualLayout>
      </c:layout>
      <c:pieChart>
        <c:varyColors val="1"/>
        <c:ser>
          <c:idx val="0"/>
          <c:order val="0"/>
          <c:tx>
            <c:strRef>
              <c:f>'Detailed Results'!$K$98</c:f>
              <c:strCache>
                <c:ptCount val="1"/>
                <c:pt idx="0">
                  <c:v>Length lost (KM)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1-4BE2-AE93-1453CBBC6ED6}"/>
              </c:ext>
            </c:extLst>
          </c:dPt>
          <c:dPt>
            <c:idx val="1"/>
            <c:bubble3D val="0"/>
            <c:explosion val="5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82-4D64-92C0-6269A830BE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82-4D64-92C0-6269A830BE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C7-4806-97CD-309F021132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C7-4806-97CD-309F021132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'Detailed Results'!$J$100:$J$109</c15:sqref>
                  </c15:fullRef>
                </c:ext>
              </c:extLst>
              <c:f>('Detailed Results'!$J$100,'Detailed Results'!$J$102,'Detailed Results'!$J$104,'Detailed Results'!$J$106,'Detailed Results'!$J$108)</c:f>
              <c:strCache>
                <c:ptCount val="5"/>
                <c:pt idx="0">
                  <c:v>V.High</c:v>
                </c:pt>
                <c:pt idx="1">
                  <c:v>High</c:v>
                </c:pt>
                <c:pt idx="2">
                  <c:v>Medium</c:v>
                </c:pt>
                <c:pt idx="3">
                  <c:v>Low</c:v>
                </c:pt>
                <c:pt idx="4">
                  <c:v>V.Low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'Detailed Results'!$K$100:$K$109</c15:sqref>
                  </c15:fullRef>
                </c:ext>
              </c:extLst>
              <c:f>('Detailed Results'!$K$100,'Detailed Results'!$K$102,'Detailed Results'!$K$104,'Detailed Results'!$K$106,'Detailed Results'!$K$108)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3.6999999999999998E-2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4191-4BE2-AE93-1453CBBC6E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752936769061691"/>
          <c:y val="0.1338030000551366"/>
          <c:w val="0.23505040524526932"/>
          <c:h val="0.80189353268044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chemeClr val="accent1"/>
                </a:solidFill>
              </a:rPr>
              <a:t>On-site and off-site hedge retention by category</a:t>
            </a:r>
          </a:p>
          <a:p>
            <a:pPr>
              <a:defRPr>
                <a:solidFill>
                  <a:schemeClr val="accent1"/>
                </a:solidFill>
              </a:defRPr>
            </a:pPr>
            <a:r>
              <a:rPr lang="en-GB">
                <a:solidFill>
                  <a:schemeClr val="accent1"/>
                </a:solidFill>
              </a:rPr>
              <a:t>length (km) </a:t>
            </a:r>
          </a:p>
        </c:rich>
      </c:tx>
      <c:layout>
        <c:manualLayout>
          <c:xMode val="edge"/>
          <c:yMode val="edge"/>
          <c:x val="0.11246012245842044"/>
          <c:y val="5.1159514870407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1142997846878E-2"/>
          <c:y val="0.26105772862516013"/>
          <c:w val="0.8527092972931527"/>
          <c:h val="0.6045582490013929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B-48A4-9C8F-5E3F38ED824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DB-48A4-9C8F-5E3F38ED824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DB-48A4-9C8F-5E3F38ED82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382119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('Detailed Results'!$B$24,'Detailed Results'!$B$27,'Detailed Results'!$B$30,'Detailed Results'!$B$31)</c15:sqref>
                  </c15:fullRef>
                </c:ext>
              </c:extLst>
              <c:f>('Detailed Results'!$B$24,'Detailed Results'!$B$27,'Detailed Results'!$B$30)</c:f>
              <c:strCache>
                <c:ptCount val="3"/>
                <c:pt idx="0">
                  <c:v>Area / length retained</c:v>
                </c:pt>
                <c:pt idx="1">
                  <c:v>Area / length proposed for enhancement</c:v>
                </c:pt>
                <c:pt idx="2">
                  <c:v>Area / length lost</c:v>
                </c:pt>
                <c:pt idx="3">
                  <c:v>Units lost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('Detailed Results'!$F$24,'Detailed Results'!$F$27,'Detailed Results'!$F$30)</c15:sqref>
                  </c15:fullRef>
                </c:ext>
              </c:extLst>
              <c:f>('Detailed Results'!$F$24,'Detailed Results'!$F$27,'Detailed Results'!$F$30)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1-4AA2-9CB0-ED14885E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2073928"/>
        <c:axId val="362077456"/>
      </c:barChart>
      <c:catAx>
        <c:axId val="362073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38211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7456"/>
        <c:crosses val="autoZero"/>
        <c:auto val="1"/>
        <c:lblAlgn val="ctr"/>
        <c:lblOffset val="100"/>
        <c:noMultiLvlLbl val="0"/>
      </c:catAx>
      <c:valAx>
        <c:axId val="36207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38211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073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255270</xdr:colOff>
      <xdr:row>0</xdr:row>
      <xdr:rowOff>19049</xdr:rowOff>
    </xdr:from>
    <xdr:to>
      <xdr:col>14</xdr:col>
      <xdr:colOff>184670</xdr:colOff>
      <xdr:row>23</xdr:row>
      <xdr:rowOff>57150</xdr:rowOff>
    </xdr:to>
    <xdr:pic>
      <xdr:nvPicPr>
        <xdr:cNvPr id="16" name="ymail_attachmentId20443" descr="70bbc3a1-ae62-45e9-a9c6-e8665ec988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19049"/>
          <a:ext cx="5815850" cy="5029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</xdr:row>
      <xdr:rowOff>181793</xdr:rowOff>
    </xdr:from>
    <xdr:to>
      <xdr:col>9</xdr:col>
      <xdr:colOff>167640</xdr:colOff>
      <xdr:row>16</xdr:row>
      <xdr:rowOff>136072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71007"/>
          <a:ext cx="5501640" cy="2607672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3600" b="0" i="0" u="none" strike="noStrike" kern="1400" cap="none" spc="-50" normalizeH="0" baseline="0" noProof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The Biodiversity Metric 3.0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2000" b="0" i="0" u="none" strike="noStrike" kern="0" cap="none" spc="75" normalizeH="0" baseline="0" noProof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Rockwell Light" panose="02040303020102020203" pitchFamily="18" charset="0"/>
              <a:ea typeface="Times New Roman" panose="02020603050405020304" pitchFamily="18" charset="0"/>
              <a:cs typeface="Arial" panose="020B0604020202020204" pitchFamily="34" charset="0"/>
            </a:rPr>
            <a:t>auditing and accounting for biodiversity</a:t>
          </a:r>
        </a:p>
        <a:p>
          <a:pPr marL="810260" marR="600710" lvl="0" indent="-90170" algn="ctr" defTabSz="914400" eaLnBrk="1" fontAlgn="auto" latinLnBrk="0" hangingPunct="1">
            <a:lnSpc>
              <a:spcPct val="107000"/>
            </a:lnSpc>
            <a:spcBef>
              <a:spcPts val="60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GB" sz="2800" b="1" i="0" u="none" strike="noStrike" kern="0" cap="none" spc="0" normalizeH="0" baseline="0" noProof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Calculation Tool</a:t>
          </a:r>
        </a:p>
        <a:p>
          <a:pPr marL="810260" marR="600710" lvl="0" indent="-90170" algn="ctr" defTabSz="914400" eaLnBrk="1" fontAlgn="auto" latinLnBrk="0" hangingPunct="1">
            <a:lnSpc>
              <a:spcPct val="107000"/>
            </a:lnSpc>
            <a:spcBef>
              <a:spcPts val="60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endParaRPr kumimoji="0" lang="en-GB" sz="2800" b="1" i="0" u="none" strike="noStrike" kern="0" cap="none" spc="0" normalizeH="0" baseline="0" noProof="0">
            <a:ln>
              <a:noFill/>
            </a:ln>
            <a:solidFill>
              <a:schemeClr val="accent1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810260" marR="600710" lvl="0" indent="-90170" algn="ctr" defTabSz="914400" eaLnBrk="1" fontAlgn="auto" latinLnBrk="0" hangingPunct="1">
            <a:lnSpc>
              <a:spcPct val="107000"/>
            </a:lnSpc>
            <a:spcBef>
              <a:spcPts val="60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 noProof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Rockwell Light" panose="02040303020102020203" pitchFamily="18" charset="0"/>
              <a:ea typeface="Calibri" panose="020F0502020204030204" pitchFamily="34" charset="0"/>
              <a:cs typeface="Arial" panose="020B0604020202020204" pitchFamily="34" charset="0"/>
            </a:rPr>
            <a:t>ISBN: 978-1-78354-781-4 </a:t>
          </a:r>
          <a:endParaRPr lang="en-GB" sz="1600">
            <a:solidFill>
              <a:schemeClr val="accent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3</xdr:col>
      <xdr:colOff>276226</xdr:colOff>
      <xdr:row>11</xdr:row>
      <xdr:rowOff>195870</xdr:rowOff>
    </xdr:from>
    <xdr:to>
      <xdr:col>6</xdr:col>
      <xdr:colOff>111704</xdr:colOff>
      <xdr:row>13</xdr:row>
      <xdr:rowOff>202796</xdr:rowOff>
    </xdr:to>
    <xdr:sp macro="[0]!Activatestartmenu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43101" y="2640620"/>
          <a:ext cx="1645228" cy="419676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600" b="1" baseline="0">
              <a:solidFill>
                <a:schemeClr val="bg1"/>
              </a:solidFill>
              <a:effectLst/>
              <a:latin typeface="Rockwell Light" panose="02040303020102020203" pitchFamily="18" charset="0"/>
              <a:ea typeface="Source Sans Pro" panose="020B0503030403020204" pitchFamily="34" charset="0"/>
              <a:cs typeface="Arial" panose="020B0604020202020204" pitchFamily="34" charset="0"/>
            </a:rPr>
            <a:t>Open  Tool</a:t>
          </a:r>
          <a:endParaRPr lang="en-GB" sz="1600" b="1">
            <a:solidFill>
              <a:schemeClr val="bg1"/>
            </a:solidFill>
            <a:effectLst/>
            <a:latin typeface="Rockwell Light" panose="02040303020102020203" pitchFamily="18" charset="0"/>
            <a:ea typeface="Source Sans Pro" panose="020B0503030403020204" pitchFamily="34" charset="0"/>
          </a:endParaRPr>
        </a:p>
        <a:p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19791</xdr:colOff>
      <xdr:row>0</xdr:row>
      <xdr:rowOff>20089</xdr:rowOff>
    </xdr:from>
    <xdr:to>
      <xdr:col>1</xdr:col>
      <xdr:colOff>183161</xdr:colOff>
      <xdr:row>2</xdr:row>
      <xdr:rowOff>190500</xdr:rowOff>
    </xdr:to>
    <xdr:pic>
      <xdr:nvPicPr>
        <xdr:cNvPr id="6" name="Picture 5" descr="Image result for natural england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791" y="20089"/>
          <a:ext cx="788210" cy="757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152401</xdr:colOff>
      <xdr:row>3</xdr:row>
      <xdr:rowOff>113360</xdr:rowOff>
    </xdr:from>
    <xdr:to>
      <xdr:col>4</xdr:col>
      <xdr:colOff>4876800</xdr:colOff>
      <xdr:row>6</xdr:row>
      <xdr:rowOff>276225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GrpSpPr/>
      </xdr:nvGrpSpPr>
      <xdr:grpSpPr>
        <a:xfrm>
          <a:off x="152401" y="842703"/>
          <a:ext cx="6770913" cy="761579"/>
          <a:chOff x="-17943940" y="767611"/>
          <a:chExt cx="12775995" cy="756968"/>
        </a:xfrm>
        <a:solidFill>
          <a:schemeClr val="accent1"/>
        </a:solidFill>
      </xdr:grpSpPr>
      <xdr:sp macro="[0]!ToggleHideRows" textlink="">
        <xdr:nvSpPr>
          <xdr:cNvPr id="39" name="Rectangle: Rounded Corners 19">
            <a:extLst>
              <a:ext uri="{FF2B5EF4-FFF2-40B4-BE49-F238E27FC236}">
                <a16:creationId xmlns:a16="http://schemas.microsoft.com/office/drawing/2014/main" id="{00000000-0008-0000-0900-000027000000}"/>
              </a:ext>
            </a:extLst>
          </xdr:cNvPr>
          <xdr:cNvSpPr/>
        </xdr:nvSpPr>
        <xdr:spPr>
          <a:xfrm>
            <a:off x="-11093861" y="767611"/>
            <a:ext cx="5925916" cy="36927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40" name="Rounded Rectangle 39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SpPr/>
        </xdr:nvSpPr>
        <xdr:spPr>
          <a:xfrm>
            <a:off x="-17943940" y="1221545"/>
            <a:ext cx="6307485" cy="303034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41" name="Rounded Rectangle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/>
        </xdr:nvSpPr>
        <xdr:spPr>
          <a:xfrm>
            <a:off x="-11118791" y="1215522"/>
            <a:ext cx="5932724" cy="309057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42" name="Rectangle: Rounded Corners 19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SpPr/>
        </xdr:nvSpPr>
        <xdr:spPr>
          <a:xfrm>
            <a:off x="-17886499" y="799583"/>
            <a:ext cx="6199437" cy="337296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15241</xdr:colOff>
      <xdr:row>4</xdr:row>
      <xdr:rowOff>83820</xdr:rowOff>
    </xdr:from>
    <xdr:to>
      <xdr:col>7</xdr:col>
      <xdr:colOff>7621</xdr:colOff>
      <xdr:row>8</xdr:row>
      <xdr:rowOff>55506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GrpSpPr/>
      </xdr:nvGrpSpPr>
      <xdr:grpSpPr>
        <a:xfrm>
          <a:off x="211184" y="867591"/>
          <a:ext cx="5304608" cy="766344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22" name="Rectangle: Rounded Corners 19">
            <a:extLst>
              <a:ext uri="{FF2B5EF4-FFF2-40B4-BE49-F238E27FC236}">
                <a16:creationId xmlns:a16="http://schemas.microsoft.com/office/drawing/2014/main" id="{00000000-0008-0000-0A00-000016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23" name="Rounded Rectangle 22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24" name="Rounded Rectangle 23">
            <a:extLst>
              <a:ext uri="{FF2B5EF4-FFF2-40B4-BE49-F238E27FC236}">
                <a16:creationId xmlns:a16="http://schemas.microsoft.com/office/drawing/2014/main" id="{00000000-0008-0000-0A00-000018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25" name="Rectangle: Rounded Corners 19">
            <a:extLst>
              <a:ext uri="{FF2B5EF4-FFF2-40B4-BE49-F238E27FC236}">
                <a16:creationId xmlns:a16="http://schemas.microsoft.com/office/drawing/2014/main" id="{00000000-0008-0000-0A00-000019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4</xdr:row>
      <xdr:rowOff>81915</xdr:rowOff>
    </xdr:from>
    <xdr:to>
      <xdr:col>7</xdr:col>
      <xdr:colOff>428625</xdr:colOff>
      <xdr:row>7</xdr:row>
      <xdr:rowOff>145041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GrpSpPr/>
      </xdr:nvGrpSpPr>
      <xdr:grpSpPr>
        <a:xfrm>
          <a:off x="180975" y="927735"/>
          <a:ext cx="7494270" cy="77178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37" name="Rectangle: Rounded Corners 19">
            <a:extLst>
              <a:ext uri="{FF2B5EF4-FFF2-40B4-BE49-F238E27FC236}">
                <a16:creationId xmlns:a16="http://schemas.microsoft.com/office/drawing/2014/main" id="{00000000-0008-0000-0B00-000025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38" name="Rounded Rectangle 37">
            <a:extLst>
              <a:ext uri="{FF2B5EF4-FFF2-40B4-BE49-F238E27FC236}">
                <a16:creationId xmlns:a16="http://schemas.microsoft.com/office/drawing/2014/main" id="{00000000-0008-0000-0B00-000026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39" name="Rounded Rectangle 38">
            <a:extLst>
              <a:ext uri="{FF2B5EF4-FFF2-40B4-BE49-F238E27FC236}">
                <a16:creationId xmlns:a16="http://schemas.microsoft.com/office/drawing/2014/main" id="{00000000-0008-0000-0B00-000027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40" name="Rectangle: Rounded Corners 19">
            <a:extLst>
              <a:ext uri="{FF2B5EF4-FFF2-40B4-BE49-F238E27FC236}">
                <a16:creationId xmlns:a16="http://schemas.microsoft.com/office/drawing/2014/main" id="{00000000-0008-0000-0B00-000028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</xdr:row>
      <xdr:rowOff>97155</xdr:rowOff>
    </xdr:from>
    <xdr:to>
      <xdr:col>6</xdr:col>
      <xdr:colOff>521970</xdr:colOff>
      <xdr:row>6</xdr:row>
      <xdr:rowOff>99321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GrpSpPr/>
      </xdr:nvGrpSpPr>
      <xdr:grpSpPr>
        <a:xfrm>
          <a:off x="215265" y="1057275"/>
          <a:ext cx="6890385" cy="77178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35" name="Rectangle: Rounded Corners 19">
            <a:extLst>
              <a:ext uri="{FF2B5EF4-FFF2-40B4-BE49-F238E27FC236}">
                <a16:creationId xmlns:a16="http://schemas.microsoft.com/office/drawing/2014/main" id="{00000000-0008-0000-0C00-000023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36" name="Rounded Rectangle 35">
            <a:extLst>
              <a:ext uri="{FF2B5EF4-FFF2-40B4-BE49-F238E27FC236}">
                <a16:creationId xmlns:a16="http://schemas.microsoft.com/office/drawing/2014/main" id="{00000000-0008-0000-0C00-000024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37" name="Rounded Rectangle 36">
            <a:extLst>
              <a:ext uri="{FF2B5EF4-FFF2-40B4-BE49-F238E27FC236}">
                <a16:creationId xmlns:a16="http://schemas.microsoft.com/office/drawing/2014/main" id="{00000000-0008-0000-0C00-000025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38" name="Rectangle: Rounded Corners 19">
            <a:extLst>
              <a:ext uri="{FF2B5EF4-FFF2-40B4-BE49-F238E27FC236}">
                <a16:creationId xmlns:a16="http://schemas.microsoft.com/office/drawing/2014/main" id="{00000000-0008-0000-0C00-000026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160020</xdr:colOff>
      <xdr:row>4</xdr:row>
      <xdr:rowOff>83820</xdr:rowOff>
    </xdr:from>
    <xdr:to>
      <xdr:col>7</xdr:col>
      <xdr:colOff>0</xdr:colOff>
      <xdr:row>8</xdr:row>
      <xdr:rowOff>93606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pSpPr/>
      </xdr:nvGrpSpPr>
      <xdr:grpSpPr>
        <a:xfrm>
          <a:off x="137160" y="929640"/>
          <a:ext cx="6537960" cy="75654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32" name="Rectangle: Rounded Corners 19">
            <a:extLst>
              <a:ext uri="{FF2B5EF4-FFF2-40B4-BE49-F238E27FC236}">
                <a16:creationId xmlns:a16="http://schemas.microsoft.com/office/drawing/2014/main" id="{00000000-0008-0000-0D00-000020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33" name="Rounded Rectangle 32">
            <a:extLst>
              <a:ext uri="{FF2B5EF4-FFF2-40B4-BE49-F238E27FC236}">
                <a16:creationId xmlns:a16="http://schemas.microsoft.com/office/drawing/2014/main" id="{00000000-0008-0000-0D00-000021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34" name="Rounded Rectangle 33">
            <a:extLst>
              <a:ext uri="{FF2B5EF4-FFF2-40B4-BE49-F238E27FC236}">
                <a16:creationId xmlns:a16="http://schemas.microsoft.com/office/drawing/2014/main" id="{00000000-0008-0000-0D00-000022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41" name="Rectangle: Rounded Corners 19">
            <a:extLst>
              <a:ext uri="{FF2B5EF4-FFF2-40B4-BE49-F238E27FC236}">
                <a16:creationId xmlns:a16="http://schemas.microsoft.com/office/drawing/2014/main" id="{00000000-0008-0000-0D00-000029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4</xdr:row>
      <xdr:rowOff>91440</xdr:rowOff>
    </xdr:from>
    <xdr:to>
      <xdr:col>3</xdr:col>
      <xdr:colOff>3756660</xdr:colOff>
      <xdr:row>6</xdr:row>
      <xdr:rowOff>406026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pSpPr/>
      </xdr:nvGrpSpPr>
      <xdr:grpSpPr>
        <a:xfrm>
          <a:off x="198120" y="940526"/>
          <a:ext cx="5452654" cy="77178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12" name="Rectangle: Rounded Corners 19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13" name="Rounded Rectangle 12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14" name="Rounded Rectangle 13">
            <a:extLst>
              <a:ext uri="{FF2B5EF4-FFF2-40B4-BE49-F238E27FC236}">
                <a16:creationId xmlns:a16="http://schemas.microsoft.com/office/drawing/2014/main" id="{00000000-0008-0000-0E00-00000E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15" name="Rectangle: Rounded Corners 19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182881</xdr:colOff>
      <xdr:row>4</xdr:row>
      <xdr:rowOff>99060</xdr:rowOff>
    </xdr:from>
    <xdr:to>
      <xdr:col>4</xdr:col>
      <xdr:colOff>53340</xdr:colOff>
      <xdr:row>8</xdr:row>
      <xdr:rowOff>85986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pSpPr/>
      </xdr:nvGrpSpPr>
      <xdr:grpSpPr>
        <a:xfrm>
          <a:off x="182881" y="959031"/>
          <a:ext cx="5966459" cy="74892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12" name="Rectangle: Rounded Corners 19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13" name="Rounded Rectangle 12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14" name="Rounded Rectangle 13">
            <a:extLst>
              <a:ext uri="{FF2B5EF4-FFF2-40B4-BE49-F238E27FC236}">
                <a16:creationId xmlns:a16="http://schemas.microsoft.com/office/drawing/2014/main" id="{00000000-0008-0000-0F00-00000E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15" name="Rectangle: Rounded Corners 19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89535</xdr:rowOff>
    </xdr:from>
    <xdr:to>
      <xdr:col>4</xdr:col>
      <xdr:colOff>32384</xdr:colOff>
      <xdr:row>8</xdr:row>
      <xdr:rowOff>30741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pSpPr/>
      </xdr:nvGrpSpPr>
      <xdr:grpSpPr>
        <a:xfrm>
          <a:off x="205468" y="1003935"/>
          <a:ext cx="4986745" cy="757635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8" name="Rectangle: Rounded Corners 19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9" name="Rounded Rectangle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10" name="Rounded Rectangle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16" name="Rectangle: Rounded Corners 19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99060</xdr:rowOff>
    </xdr:from>
    <xdr:to>
      <xdr:col>4</xdr:col>
      <xdr:colOff>7620</xdr:colOff>
      <xdr:row>6</xdr:row>
      <xdr:rowOff>25026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pSpPr/>
      </xdr:nvGrpSpPr>
      <xdr:grpSpPr>
        <a:xfrm>
          <a:off x="381000" y="891540"/>
          <a:ext cx="5090160" cy="77178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31" name="Rectangle: Rounded Corners 19">
            <a:extLst>
              <a:ext uri="{FF2B5EF4-FFF2-40B4-BE49-F238E27FC236}">
                <a16:creationId xmlns:a16="http://schemas.microsoft.com/office/drawing/2014/main" id="{00000000-0008-0000-1100-00001F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32" name="Rounded Rectangle 31">
            <a:extLst>
              <a:ext uri="{FF2B5EF4-FFF2-40B4-BE49-F238E27FC236}">
                <a16:creationId xmlns:a16="http://schemas.microsoft.com/office/drawing/2014/main" id="{00000000-0008-0000-1100-000020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33" name="Rounded Rectangle 32">
            <a:extLst>
              <a:ext uri="{FF2B5EF4-FFF2-40B4-BE49-F238E27FC236}">
                <a16:creationId xmlns:a16="http://schemas.microsoft.com/office/drawing/2014/main" id="{00000000-0008-0000-1100-000021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34" name="Rectangle: Rounded Corners 19">
            <a:extLst>
              <a:ext uri="{FF2B5EF4-FFF2-40B4-BE49-F238E27FC236}">
                <a16:creationId xmlns:a16="http://schemas.microsoft.com/office/drawing/2014/main" id="{00000000-0008-0000-1100-000022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4</xdr:row>
      <xdr:rowOff>121920</xdr:rowOff>
    </xdr:from>
    <xdr:to>
      <xdr:col>4</xdr:col>
      <xdr:colOff>541020</xdr:colOff>
      <xdr:row>8</xdr:row>
      <xdr:rowOff>108846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GrpSpPr/>
      </xdr:nvGrpSpPr>
      <xdr:grpSpPr>
        <a:xfrm>
          <a:off x="167640" y="914400"/>
          <a:ext cx="6149340" cy="75654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48" name="Rectangle: Rounded Corners 19">
            <a:extLst>
              <a:ext uri="{FF2B5EF4-FFF2-40B4-BE49-F238E27FC236}">
                <a16:creationId xmlns:a16="http://schemas.microsoft.com/office/drawing/2014/main" id="{00000000-0008-0000-1200-000030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49" name="Rounded Rectangle 48">
            <a:extLst>
              <a:ext uri="{FF2B5EF4-FFF2-40B4-BE49-F238E27FC236}">
                <a16:creationId xmlns:a16="http://schemas.microsoft.com/office/drawing/2014/main" id="{00000000-0008-0000-1200-000031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50" name="Rounded Rectangle 49">
            <a:extLst>
              <a:ext uri="{FF2B5EF4-FFF2-40B4-BE49-F238E27FC236}">
                <a16:creationId xmlns:a16="http://schemas.microsoft.com/office/drawing/2014/main" id="{00000000-0008-0000-1200-000032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51" name="Rectangle: Rounded Corners 19">
            <a:extLst>
              <a:ext uri="{FF2B5EF4-FFF2-40B4-BE49-F238E27FC236}">
                <a16:creationId xmlns:a16="http://schemas.microsoft.com/office/drawing/2014/main" id="{00000000-0008-0000-1200-000033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47</xdr:row>
      <xdr:rowOff>95251</xdr:rowOff>
    </xdr:from>
    <xdr:to>
      <xdr:col>6</xdr:col>
      <xdr:colOff>552450</xdr:colOff>
      <xdr:row>56</xdr:row>
      <xdr:rowOff>533401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485775" y="10820401"/>
          <a:ext cx="4495800" cy="3752850"/>
        </a:xfrm>
        <a:prstGeom prst="rect">
          <a:avLst/>
        </a:prstGeom>
        <a:solidFill>
          <a:schemeClr val="bg2"/>
        </a:solidFill>
        <a:ln w="349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>
              <a:solidFill>
                <a:schemeClr val="accent1"/>
              </a:solidFill>
            </a:rPr>
            <a:t>Off-site baseline map</a:t>
          </a:r>
        </a:p>
      </xdr:txBody>
    </xdr:sp>
    <xdr:clientData/>
  </xdr:twoCellAnchor>
  <xdr:twoCellAnchor>
    <xdr:from>
      <xdr:col>7</xdr:col>
      <xdr:colOff>514350</xdr:colOff>
      <xdr:row>47</xdr:row>
      <xdr:rowOff>95250</xdr:rowOff>
    </xdr:from>
    <xdr:to>
      <xdr:col>14</xdr:col>
      <xdr:colOff>371475</xdr:colOff>
      <xdr:row>56</xdr:row>
      <xdr:rowOff>533400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553075" y="10820400"/>
          <a:ext cx="4514850" cy="3752850"/>
        </a:xfrm>
        <a:prstGeom prst="rect">
          <a:avLst/>
        </a:prstGeom>
        <a:solidFill>
          <a:schemeClr val="bg2"/>
        </a:solidFill>
        <a:ln w="349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>
              <a:solidFill>
                <a:schemeClr val="accent1"/>
              </a:solidFill>
            </a:rPr>
            <a:t>Off-site</a:t>
          </a:r>
          <a:r>
            <a:rPr lang="en-GB" sz="2000" baseline="0">
              <a:solidFill>
                <a:schemeClr val="accent1"/>
              </a:solidFill>
            </a:rPr>
            <a:t> p</a:t>
          </a:r>
          <a:r>
            <a:rPr lang="en-GB" sz="2000">
              <a:solidFill>
                <a:schemeClr val="accent1"/>
              </a:solidFill>
            </a:rPr>
            <a:t>ost intervention map</a:t>
          </a:r>
        </a:p>
      </xdr:txBody>
    </xdr:sp>
    <xdr:clientData/>
  </xdr:twoCellAnchor>
  <xdr:twoCellAnchor>
    <xdr:from>
      <xdr:col>7</xdr:col>
      <xdr:colOff>514349</xdr:colOff>
      <xdr:row>27</xdr:row>
      <xdr:rowOff>161925</xdr:rowOff>
    </xdr:from>
    <xdr:to>
      <xdr:col>14</xdr:col>
      <xdr:colOff>361949</xdr:colOff>
      <xdr:row>45</xdr:row>
      <xdr:rowOff>161925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553074" y="6724650"/>
          <a:ext cx="4505325" cy="3781425"/>
        </a:xfrm>
        <a:prstGeom prst="rect">
          <a:avLst/>
        </a:prstGeom>
        <a:solidFill>
          <a:schemeClr val="bg2"/>
        </a:solidFill>
        <a:ln w="349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>
              <a:solidFill>
                <a:schemeClr val="accent1"/>
              </a:solidFill>
            </a:rPr>
            <a:t>On-site</a:t>
          </a:r>
          <a:r>
            <a:rPr lang="en-GB" sz="2000" baseline="0">
              <a:solidFill>
                <a:schemeClr val="accent1"/>
              </a:solidFill>
            </a:rPr>
            <a:t> p</a:t>
          </a:r>
          <a:r>
            <a:rPr lang="en-GB" sz="2000">
              <a:solidFill>
                <a:schemeClr val="accent1"/>
              </a:solidFill>
            </a:rPr>
            <a:t>ost intervention</a:t>
          </a:r>
          <a:r>
            <a:rPr lang="en-GB" sz="2000" baseline="0">
              <a:solidFill>
                <a:schemeClr val="accent1"/>
              </a:solidFill>
            </a:rPr>
            <a:t> </a:t>
          </a:r>
          <a:r>
            <a:rPr lang="en-GB" sz="2000">
              <a:solidFill>
                <a:schemeClr val="accent1"/>
              </a:solidFill>
            </a:rPr>
            <a:t>map</a:t>
          </a:r>
        </a:p>
      </xdr:txBody>
    </xdr:sp>
    <xdr:clientData/>
  </xdr:twoCellAnchor>
  <xdr:twoCellAnchor>
    <xdr:from>
      <xdr:col>2</xdr:col>
      <xdr:colOff>190500</xdr:colOff>
      <xdr:row>27</xdr:row>
      <xdr:rowOff>161925</xdr:rowOff>
    </xdr:from>
    <xdr:to>
      <xdr:col>7</xdr:col>
      <xdr:colOff>9525</xdr:colOff>
      <xdr:row>45</xdr:row>
      <xdr:rowOff>161925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76250" y="6724650"/>
          <a:ext cx="4572000" cy="3781425"/>
        </a:xfrm>
        <a:prstGeom prst="rect">
          <a:avLst/>
        </a:prstGeom>
        <a:solidFill>
          <a:schemeClr val="bg2"/>
        </a:solidFill>
        <a:ln w="349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>
              <a:solidFill>
                <a:schemeClr val="accent1"/>
              </a:solidFill>
            </a:rPr>
            <a:t>On-site baseline</a:t>
          </a:r>
          <a:r>
            <a:rPr lang="en-GB" sz="2000" baseline="0">
              <a:solidFill>
                <a:schemeClr val="accent1"/>
              </a:solidFill>
            </a:rPr>
            <a:t> map</a:t>
          </a:r>
          <a:endParaRPr lang="en-GB" sz="20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15239</xdr:colOff>
      <xdr:row>11</xdr:row>
      <xdr:rowOff>270509</xdr:rowOff>
    </xdr:from>
    <xdr:to>
      <xdr:col>16</xdr:col>
      <xdr:colOff>216944</xdr:colOff>
      <xdr:row>16</xdr:row>
      <xdr:rowOff>27509</xdr:rowOff>
    </xdr:to>
    <xdr:sp macro="[0]!ActivateSelectWorksheet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243059" y="3112769"/>
          <a:ext cx="1794285" cy="115908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 baseline="0">
              <a:solidFill>
                <a:schemeClr val="bg1"/>
              </a:solidFill>
              <a:latin typeface="Rockwell Light" panose="02040303020102020203" pitchFamily="18" charset="0"/>
            </a:rPr>
            <a:t>Main menu </a:t>
          </a:r>
          <a:endParaRPr lang="en-GB" sz="1400" b="1">
            <a:solidFill>
              <a:schemeClr val="bg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2</xdr:col>
      <xdr:colOff>85726</xdr:colOff>
      <xdr:row>0</xdr:row>
      <xdr:rowOff>114300</xdr:rowOff>
    </xdr:from>
    <xdr:to>
      <xdr:col>16</xdr:col>
      <xdr:colOff>266701</xdr:colOff>
      <xdr:row>6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71476" y="114300"/>
          <a:ext cx="10582275" cy="1181100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The Biodiversity Metric 3.0 - Calculation Tool</a:t>
          </a:r>
        </a:p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Start</a:t>
          </a:r>
          <a:r>
            <a:rPr lang="en-GB" sz="2800" b="0" i="0" u="none" strike="noStrike" baseline="0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page</a:t>
          </a:r>
          <a:r>
            <a:rPr lang="en-GB" sz="2800" b="0">
              <a:solidFill>
                <a:schemeClr val="accent1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</xdr:txBody>
    </xdr:sp>
    <xdr:clientData/>
  </xdr:twoCellAnchor>
  <xdr:twoCellAnchor>
    <xdr:from>
      <xdr:col>12</xdr:col>
      <xdr:colOff>38101</xdr:colOff>
      <xdr:row>7</xdr:row>
      <xdr:rowOff>295274</xdr:rowOff>
    </xdr:from>
    <xdr:to>
      <xdr:col>16</xdr:col>
      <xdr:colOff>239806</xdr:colOff>
      <xdr:row>11</xdr:row>
      <xdr:rowOff>96089</xdr:rowOff>
    </xdr:to>
    <xdr:sp macro="[0]!ActivateInstructions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265921" y="1712594"/>
          <a:ext cx="1794285" cy="997155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Instructions</a:t>
          </a:r>
        </a:p>
      </xdr:txBody>
    </xdr:sp>
    <xdr:clientData/>
  </xdr:twoCellAnchor>
  <xdr:twoCellAnchor>
    <xdr:from>
      <xdr:col>12</xdr:col>
      <xdr:colOff>40004</xdr:colOff>
      <xdr:row>16</xdr:row>
      <xdr:rowOff>222885</xdr:rowOff>
    </xdr:from>
    <xdr:to>
      <xdr:col>16</xdr:col>
      <xdr:colOff>241709</xdr:colOff>
      <xdr:row>20</xdr:row>
      <xdr:rowOff>195150</xdr:rowOff>
    </xdr:to>
    <xdr:sp macro="[0]!ActivateResults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9269729" y="4261485"/>
          <a:ext cx="1801905" cy="1039065"/>
        </a:xfrm>
        <a:prstGeom prst="roundRect">
          <a:avLst/>
        </a:prstGeom>
        <a:solidFill>
          <a:schemeClr val="accent3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accent1"/>
              </a:solidFill>
              <a:latin typeface="Rockwell Light" panose="02040303020102020203" pitchFamily="18" charset="0"/>
            </a:rPr>
            <a:t>Results</a:t>
          </a:r>
        </a:p>
      </xdr:txBody>
    </xdr:sp>
    <xdr:clientData/>
  </xdr:twoCellAnchor>
  <xdr:twoCellAnchor>
    <xdr:from>
      <xdr:col>12</xdr:col>
      <xdr:colOff>55247</xdr:colOff>
      <xdr:row>25</xdr:row>
      <xdr:rowOff>43816</xdr:rowOff>
    </xdr:from>
    <xdr:to>
      <xdr:col>16</xdr:col>
      <xdr:colOff>200025</xdr:colOff>
      <xdr:row>27</xdr:row>
      <xdr:rowOff>0</xdr:rowOff>
    </xdr:to>
    <xdr:sp macro="[0]!HideSheetReset1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284972" y="5987416"/>
          <a:ext cx="1744978" cy="375284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Reset</a:t>
          </a:r>
          <a:r>
            <a:rPr lang="en-GB" sz="1400" b="1" baseline="0">
              <a:solidFill>
                <a:schemeClr val="bg1"/>
              </a:solidFill>
              <a:latin typeface="Rockwell Light" panose="02040303020102020203" pitchFamily="18" charset="0"/>
            </a:rPr>
            <a:t> view</a:t>
          </a:r>
          <a:endParaRPr lang="en-GB" sz="1400" b="1">
            <a:solidFill>
              <a:schemeClr val="bg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12</xdr:col>
      <xdr:colOff>66675</xdr:colOff>
      <xdr:row>22</xdr:row>
      <xdr:rowOff>163830</xdr:rowOff>
    </xdr:from>
    <xdr:to>
      <xdr:col>16</xdr:col>
      <xdr:colOff>180974</xdr:colOff>
      <xdr:row>24</xdr:row>
      <xdr:rowOff>123825</xdr:rowOff>
    </xdr:to>
    <xdr:sp macro="[0]!UnhideSheetviewall" textlink="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9296400" y="5478780"/>
          <a:ext cx="1714499" cy="379095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 baseline="0">
              <a:solidFill>
                <a:schemeClr val="bg1"/>
              </a:solidFill>
              <a:latin typeface="Rockwell Light" panose="02040303020102020203" pitchFamily="18" charset="0"/>
            </a:rPr>
            <a:t>View all</a:t>
          </a:r>
          <a:endParaRPr lang="en-GB" sz="1400" b="1">
            <a:solidFill>
              <a:schemeClr val="bg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5</xdr:col>
      <xdr:colOff>647700</xdr:colOff>
      <xdr:row>28</xdr:row>
      <xdr:rowOff>57149</xdr:rowOff>
    </xdr:from>
    <xdr:to>
      <xdr:col>6</xdr:col>
      <xdr:colOff>476250</xdr:colOff>
      <xdr:row>29</xdr:row>
      <xdr:rowOff>142875</xdr:rowOff>
    </xdr:to>
    <xdr:sp macro="[0]!InsertPicUsingShapeAddPictureFunctionB" textlink="">
      <xdr:nvSpPr>
        <xdr:cNvPr id="10" name="Rounded Rectangle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095750" y="6829424"/>
          <a:ext cx="809625" cy="390526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Insert</a:t>
          </a:r>
        </a:p>
      </xdr:txBody>
    </xdr:sp>
    <xdr:clientData/>
  </xdr:twoCellAnchor>
  <xdr:twoCellAnchor>
    <xdr:from>
      <xdr:col>12</xdr:col>
      <xdr:colOff>28575</xdr:colOff>
      <xdr:row>28</xdr:row>
      <xdr:rowOff>38100</xdr:rowOff>
    </xdr:from>
    <xdr:to>
      <xdr:col>14</xdr:col>
      <xdr:colOff>238125</xdr:colOff>
      <xdr:row>29</xdr:row>
      <xdr:rowOff>133350</xdr:rowOff>
    </xdr:to>
    <xdr:sp macro="[0]!InsertPicUsingShapeAddPictureFunctionPD" textlink="">
      <xdr:nvSpPr>
        <xdr:cNvPr id="12" name="Rounded Rectangle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9163050" y="6810375"/>
          <a:ext cx="771525" cy="40005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Insert </a:t>
          </a:r>
        </a:p>
      </xdr:txBody>
    </xdr:sp>
    <xdr:clientData/>
  </xdr:twoCellAnchor>
  <xdr:twoCellAnchor>
    <xdr:from>
      <xdr:col>5</xdr:col>
      <xdr:colOff>619125</xdr:colOff>
      <xdr:row>47</xdr:row>
      <xdr:rowOff>180974</xdr:rowOff>
    </xdr:from>
    <xdr:to>
      <xdr:col>6</xdr:col>
      <xdr:colOff>447675</xdr:colOff>
      <xdr:row>50</xdr:row>
      <xdr:rowOff>28575</xdr:rowOff>
    </xdr:to>
    <xdr:sp macro="[0]!InsertPicUsingShapeAddPictureFunctionBOS" textlink="">
      <xdr:nvSpPr>
        <xdr:cNvPr id="23" name="Rounded Rectangle 1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067175" y="10906124"/>
          <a:ext cx="809625" cy="390526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Insert</a:t>
          </a:r>
        </a:p>
      </xdr:txBody>
    </xdr:sp>
    <xdr:clientData/>
  </xdr:twoCellAnchor>
  <xdr:twoCellAnchor>
    <xdr:from>
      <xdr:col>11</xdr:col>
      <xdr:colOff>76200</xdr:colOff>
      <xdr:row>47</xdr:row>
      <xdr:rowOff>180974</xdr:rowOff>
    </xdr:from>
    <xdr:to>
      <xdr:col>14</xdr:col>
      <xdr:colOff>219075</xdr:colOff>
      <xdr:row>50</xdr:row>
      <xdr:rowOff>28575</xdr:rowOff>
    </xdr:to>
    <xdr:sp macro="[0]!InsertPicUsingShapeAddPictureFunctionPDOS" textlink="">
      <xdr:nvSpPr>
        <xdr:cNvPr id="34" name="Rounded Rectangl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9105900" y="10906124"/>
          <a:ext cx="809625" cy="390526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bevelB w="1143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Insert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</xdr:row>
      <xdr:rowOff>114300</xdr:rowOff>
    </xdr:from>
    <xdr:to>
      <xdr:col>2</xdr:col>
      <xdr:colOff>3550920</xdr:colOff>
      <xdr:row>7</xdr:row>
      <xdr:rowOff>146946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GrpSpPr/>
      </xdr:nvGrpSpPr>
      <xdr:grpSpPr>
        <a:xfrm>
          <a:off x="220980" y="1005840"/>
          <a:ext cx="4282440" cy="764166"/>
          <a:chOff x="205740" y="877124"/>
          <a:chExt cx="4701455" cy="771786"/>
        </a:xfrm>
      </xdr:grpSpPr>
      <xdr:sp macro="[0]!ToggleHideRows" textlink="">
        <xdr:nvSpPr>
          <xdr:cNvPr id="60" name="Rectangle: Rounded Corners 19">
            <a:extLst>
              <a:ext uri="{FF2B5EF4-FFF2-40B4-BE49-F238E27FC236}">
                <a16:creationId xmlns:a16="http://schemas.microsoft.com/office/drawing/2014/main" id="{00000000-0008-0000-1300-00003C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61" name="Rounded Rectangle 60">
            <a:extLst>
              <a:ext uri="{FF2B5EF4-FFF2-40B4-BE49-F238E27FC236}">
                <a16:creationId xmlns:a16="http://schemas.microsoft.com/office/drawing/2014/main" id="{00000000-0008-0000-1300-00003D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62" name="Rounded Rectangle 61">
            <a:extLst>
              <a:ext uri="{FF2B5EF4-FFF2-40B4-BE49-F238E27FC236}">
                <a16:creationId xmlns:a16="http://schemas.microsoft.com/office/drawing/2014/main" id="{00000000-0008-0000-1300-00003E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63" name="Rectangle: Rounded Corners 19">
            <a:extLst>
              <a:ext uri="{FF2B5EF4-FFF2-40B4-BE49-F238E27FC236}">
                <a16:creationId xmlns:a16="http://schemas.microsoft.com/office/drawing/2014/main" id="{00000000-0008-0000-1300-00003F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4</xdr:row>
      <xdr:rowOff>102177</xdr:rowOff>
    </xdr:from>
    <xdr:to>
      <xdr:col>4</xdr:col>
      <xdr:colOff>7793</xdr:colOff>
      <xdr:row>6</xdr:row>
      <xdr:rowOff>432350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GrpSpPr/>
      </xdr:nvGrpSpPr>
      <xdr:grpSpPr>
        <a:xfrm>
          <a:off x="190501" y="947997"/>
          <a:ext cx="4892212" cy="772133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80" name="Rectangle: Rounded Corners 19">
            <a:extLst>
              <a:ext uri="{FF2B5EF4-FFF2-40B4-BE49-F238E27FC236}">
                <a16:creationId xmlns:a16="http://schemas.microsoft.com/office/drawing/2014/main" id="{00000000-0008-0000-1400-000050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81" name="Rounded Rectangle 80">
            <a:extLst>
              <a:ext uri="{FF2B5EF4-FFF2-40B4-BE49-F238E27FC236}">
                <a16:creationId xmlns:a16="http://schemas.microsoft.com/office/drawing/2014/main" id="{00000000-0008-0000-1400-000051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82" name="Rounded Rectangle 81">
            <a:extLst>
              <a:ext uri="{FF2B5EF4-FFF2-40B4-BE49-F238E27FC236}">
                <a16:creationId xmlns:a16="http://schemas.microsoft.com/office/drawing/2014/main" id="{00000000-0008-0000-1400-000052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83" name="Rectangle: Rounded Corners 19">
            <a:extLst>
              <a:ext uri="{FF2B5EF4-FFF2-40B4-BE49-F238E27FC236}">
                <a16:creationId xmlns:a16="http://schemas.microsoft.com/office/drawing/2014/main" id="{00000000-0008-0000-1400-000053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83820</xdr:rowOff>
    </xdr:from>
    <xdr:to>
      <xdr:col>4</xdr:col>
      <xdr:colOff>998220</xdr:colOff>
      <xdr:row>8</xdr:row>
      <xdr:rowOff>78366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00000000-0008-0000-1500-000060000000}"/>
            </a:ext>
          </a:extLst>
        </xdr:cNvPr>
        <xdr:cNvGrpSpPr/>
      </xdr:nvGrpSpPr>
      <xdr:grpSpPr>
        <a:xfrm>
          <a:off x="198120" y="784860"/>
          <a:ext cx="5227320" cy="771786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97" name="Rectangle: Rounded Corners 19">
            <a:extLst>
              <a:ext uri="{FF2B5EF4-FFF2-40B4-BE49-F238E27FC236}">
                <a16:creationId xmlns:a16="http://schemas.microsoft.com/office/drawing/2014/main" id="{00000000-0008-0000-1500-000061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98" name="Rounded Rectangle 97">
            <a:extLst>
              <a:ext uri="{FF2B5EF4-FFF2-40B4-BE49-F238E27FC236}">
                <a16:creationId xmlns:a16="http://schemas.microsoft.com/office/drawing/2014/main" id="{00000000-0008-0000-1500-000062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99" name="Rounded Rectangle 98">
            <a:extLst>
              <a:ext uri="{FF2B5EF4-FFF2-40B4-BE49-F238E27FC236}">
                <a16:creationId xmlns:a16="http://schemas.microsoft.com/office/drawing/2014/main" id="{00000000-0008-0000-1500-000063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100" name="Rectangle: Rounded Corners 19">
            <a:extLst>
              <a:ext uri="{FF2B5EF4-FFF2-40B4-BE49-F238E27FC236}">
                <a16:creationId xmlns:a16="http://schemas.microsoft.com/office/drawing/2014/main" id="{00000000-0008-0000-1500-000064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25121</xdr:colOff>
      <xdr:row>4</xdr:row>
      <xdr:rowOff>100484</xdr:rowOff>
    </xdr:from>
    <xdr:to>
      <xdr:col>4</xdr:col>
      <xdr:colOff>1029956</xdr:colOff>
      <xdr:row>8</xdr:row>
      <xdr:rowOff>85149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GrpSpPr/>
      </xdr:nvGrpSpPr>
      <xdr:grpSpPr>
        <a:xfrm>
          <a:off x="223241" y="1197764"/>
          <a:ext cx="5424435" cy="746665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39" name="Rectangle: Rounded Corners 19">
            <a:extLst>
              <a:ext uri="{FF2B5EF4-FFF2-40B4-BE49-F238E27FC236}">
                <a16:creationId xmlns:a16="http://schemas.microsoft.com/office/drawing/2014/main" id="{00000000-0008-0000-1600-000027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40" name="Rounded Rectangle 39">
            <a:extLst>
              <a:ext uri="{FF2B5EF4-FFF2-40B4-BE49-F238E27FC236}">
                <a16:creationId xmlns:a16="http://schemas.microsoft.com/office/drawing/2014/main" id="{00000000-0008-0000-1600-000028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41" name="Rounded Rectangle 40">
            <a:extLst>
              <a:ext uri="{FF2B5EF4-FFF2-40B4-BE49-F238E27FC236}">
                <a16:creationId xmlns:a16="http://schemas.microsoft.com/office/drawing/2014/main" id="{00000000-0008-0000-1600-000029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42" name="Rectangle: Rounded Corners 19">
            <a:extLst>
              <a:ext uri="{FF2B5EF4-FFF2-40B4-BE49-F238E27FC236}">
                <a16:creationId xmlns:a16="http://schemas.microsoft.com/office/drawing/2014/main" id="{00000000-0008-0000-1600-00002A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33865</xdr:colOff>
      <xdr:row>4</xdr:row>
      <xdr:rowOff>101599</xdr:rowOff>
    </xdr:from>
    <xdr:to>
      <xdr:col>4</xdr:col>
      <xdr:colOff>465665</xdr:colOff>
      <xdr:row>6</xdr:row>
      <xdr:rowOff>18252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00000000-0008-0000-1700-000098000000}"/>
            </a:ext>
          </a:extLst>
        </xdr:cNvPr>
        <xdr:cNvGrpSpPr/>
      </xdr:nvGrpSpPr>
      <xdr:grpSpPr>
        <a:xfrm>
          <a:off x="239605" y="886459"/>
          <a:ext cx="5209540" cy="770093"/>
          <a:chOff x="205740" y="877124"/>
          <a:chExt cx="4701455" cy="771786"/>
        </a:xfrm>
        <a:solidFill>
          <a:schemeClr val="accent1"/>
        </a:solidFill>
      </xdr:grpSpPr>
      <xdr:sp macro="[0]!ToggleHideRows" textlink="">
        <xdr:nvSpPr>
          <xdr:cNvPr id="153" name="Rectangle: Rounded Corners 19">
            <a:extLst>
              <a:ext uri="{FF2B5EF4-FFF2-40B4-BE49-F238E27FC236}">
                <a16:creationId xmlns:a16="http://schemas.microsoft.com/office/drawing/2014/main" id="{00000000-0008-0000-1700-000099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154" name="Rounded Rectangle 153">
            <a:extLst>
              <a:ext uri="{FF2B5EF4-FFF2-40B4-BE49-F238E27FC236}">
                <a16:creationId xmlns:a16="http://schemas.microsoft.com/office/drawing/2014/main" id="{00000000-0008-0000-1700-00009A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155" name="Rounded Rectangle 154">
            <a:extLst>
              <a:ext uri="{FF2B5EF4-FFF2-40B4-BE49-F238E27FC236}">
                <a16:creationId xmlns:a16="http://schemas.microsoft.com/office/drawing/2014/main" id="{00000000-0008-0000-1700-00009B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156" name="Rectangle: Rounded Corners 19">
            <a:extLst>
              <a:ext uri="{FF2B5EF4-FFF2-40B4-BE49-F238E27FC236}">
                <a16:creationId xmlns:a16="http://schemas.microsoft.com/office/drawing/2014/main" id="{00000000-0008-0000-1700-00009C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grpFill/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</xdr:row>
      <xdr:rowOff>152400</xdr:rowOff>
    </xdr:from>
    <xdr:to>
      <xdr:col>4</xdr:col>
      <xdr:colOff>30481</xdr:colOff>
      <xdr:row>7</xdr:row>
      <xdr:rowOff>116466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00000000-0008-0000-1800-000040000000}"/>
            </a:ext>
          </a:extLst>
        </xdr:cNvPr>
        <xdr:cNvGrpSpPr/>
      </xdr:nvGrpSpPr>
      <xdr:grpSpPr>
        <a:xfrm>
          <a:off x="152401" y="891540"/>
          <a:ext cx="4754880" cy="764166"/>
          <a:chOff x="205740" y="877124"/>
          <a:chExt cx="4701455" cy="771786"/>
        </a:xfrm>
      </xdr:grpSpPr>
      <xdr:sp macro="[0]!ToggleHideRows" textlink="">
        <xdr:nvSpPr>
          <xdr:cNvPr id="65" name="Rectangle: Rounded Corners 19">
            <a:extLst>
              <a:ext uri="{FF2B5EF4-FFF2-40B4-BE49-F238E27FC236}">
                <a16:creationId xmlns:a16="http://schemas.microsoft.com/office/drawing/2014/main" id="{00000000-0008-0000-1800-000041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66" name="Rounded Rectangle 65">
            <a:extLst>
              <a:ext uri="{FF2B5EF4-FFF2-40B4-BE49-F238E27FC236}">
                <a16:creationId xmlns:a16="http://schemas.microsoft.com/office/drawing/2014/main" id="{00000000-0008-0000-1800-000042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67" name="Rounded Rectangle 66">
            <a:extLst>
              <a:ext uri="{FF2B5EF4-FFF2-40B4-BE49-F238E27FC236}">
                <a16:creationId xmlns:a16="http://schemas.microsoft.com/office/drawing/2014/main" id="{00000000-0008-0000-1800-000043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68" name="Rectangle: Rounded Corners 19">
            <a:extLst>
              <a:ext uri="{FF2B5EF4-FFF2-40B4-BE49-F238E27FC236}">
                <a16:creationId xmlns:a16="http://schemas.microsoft.com/office/drawing/2014/main" id="{00000000-0008-0000-1800-000044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184219</xdr:colOff>
      <xdr:row>4</xdr:row>
      <xdr:rowOff>75363</xdr:rowOff>
    </xdr:from>
    <xdr:to>
      <xdr:col>2</xdr:col>
      <xdr:colOff>3475054</xdr:colOff>
      <xdr:row>8</xdr:row>
      <xdr:rowOff>76775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184219" y="1210743"/>
          <a:ext cx="4456695" cy="748172"/>
          <a:chOff x="205740" y="877124"/>
          <a:chExt cx="4701455" cy="771786"/>
        </a:xfrm>
      </xdr:grpSpPr>
      <xdr:sp macro="[0]!ToggleHideRows" textlink="">
        <xdr:nvSpPr>
          <xdr:cNvPr id="43" name="Rectangle: Rounded Corners 19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44" name="Rounded Rectangle 43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</a:rPr>
              <a:t>Main M</a:t>
            </a:r>
            <a:r>
              <a:rPr lang="en-GB" sz="1200">
                <a:solidFill>
                  <a:schemeClr val="bg1"/>
                </a:solidFill>
              </a:rPr>
              <a:t>enu </a:t>
            </a:r>
          </a:p>
        </xdr:txBody>
      </xdr:sp>
      <xdr:sp macro="[0]!ActivateInstructions" textlink="">
        <xdr:nvSpPr>
          <xdr:cNvPr id="45" name="Rounded Rectangle 44">
            <a:extLst>
              <a:ext uri="{FF2B5EF4-FFF2-40B4-BE49-F238E27FC236}">
                <a16:creationId xmlns:a16="http://schemas.microsoft.com/office/drawing/2014/main" id="{00000000-0008-0000-1900-00002D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</a:rPr>
              <a:t>Instructions</a:t>
            </a:r>
          </a:p>
        </xdr:txBody>
      </xdr:sp>
      <xdr:sp macro="[0]!ToggleHideColumns" textlink="">
        <xdr:nvSpPr>
          <xdr:cNvPr id="46" name="Rectangle: Rounded Corners 19">
            <a:extLst>
              <a:ext uri="{FF2B5EF4-FFF2-40B4-BE49-F238E27FC236}">
                <a16:creationId xmlns:a16="http://schemas.microsoft.com/office/drawing/2014/main" id="{00000000-0008-0000-1900-00002E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Columns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76200</xdr:rowOff>
    </xdr:from>
    <xdr:to>
      <xdr:col>1</xdr:col>
      <xdr:colOff>1508760</xdr:colOff>
      <xdr:row>0</xdr:row>
      <xdr:rowOff>632460</xdr:rowOff>
    </xdr:to>
    <xdr:sp macro="[0]!returnstartG1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83820" y="76200"/>
          <a:ext cx="1424940" cy="55626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1583055</xdr:colOff>
      <xdr:row>0</xdr:row>
      <xdr:rowOff>619125</xdr:rowOff>
    </xdr:to>
    <xdr:sp macro="[0]!returnstartG2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/>
      </xdr:nvSpPr>
      <xdr:spPr>
        <a:xfrm>
          <a:off x="66675" y="66675"/>
          <a:ext cx="1516380" cy="55245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Return To Start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53340</xdr:rowOff>
    </xdr:from>
    <xdr:to>
      <xdr:col>0</xdr:col>
      <xdr:colOff>1584960</xdr:colOff>
      <xdr:row>0</xdr:row>
      <xdr:rowOff>426720</xdr:rowOff>
    </xdr:to>
    <xdr:sp macro="[0]!returnstartG3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68580" y="53340"/>
          <a:ext cx="1516380" cy="37338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107526</xdr:colOff>
      <xdr:row>9</xdr:row>
      <xdr:rowOff>127846</xdr:rowOff>
    </xdr:from>
    <xdr:to>
      <xdr:col>4</xdr:col>
      <xdr:colOff>20108</xdr:colOff>
      <xdr:row>13</xdr:row>
      <xdr:rowOff>185496</xdr:rowOff>
    </xdr:to>
    <xdr:sp macro="[0]!returnstartInstructions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7526" y="1956646"/>
          <a:ext cx="1627082" cy="105587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Start page</a:t>
          </a:r>
        </a:p>
      </xdr:txBody>
    </xdr:sp>
    <xdr:clientData/>
  </xdr:twoCellAnchor>
  <xdr:twoCellAnchor>
    <xdr:from>
      <xdr:col>0</xdr:col>
      <xdr:colOff>106680</xdr:colOff>
      <xdr:row>14</xdr:row>
      <xdr:rowOff>129540</xdr:rowOff>
    </xdr:from>
    <xdr:to>
      <xdr:col>3</xdr:col>
      <xdr:colOff>1272540</xdr:colOff>
      <xdr:row>19</xdr:row>
      <xdr:rowOff>53340</xdr:rowOff>
    </xdr:to>
    <xdr:sp macro="[0]!ActivateSelectWorksheet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106680" y="3162300"/>
          <a:ext cx="1600200" cy="9525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 baseline="0">
              <a:solidFill>
                <a:schemeClr val="bg1"/>
              </a:solidFill>
              <a:latin typeface="Rockwell Light" panose="02040303020102020203" pitchFamily="18" charset="0"/>
            </a:rPr>
            <a:t>Main menu </a:t>
          </a:r>
          <a:endParaRPr lang="en-GB" sz="1400" b="1">
            <a:solidFill>
              <a:schemeClr val="bg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16</xdr:col>
      <xdr:colOff>495300</xdr:colOff>
      <xdr:row>7</xdr:row>
      <xdr:rowOff>142875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428625" y="400050"/>
          <a:ext cx="10582275" cy="1181100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The Biodiversity Metric 3.0 - Calculation Tool</a:t>
          </a:r>
        </a:p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Instructions</a:t>
          </a:r>
          <a:endParaRPr lang="en-GB" sz="2800" b="0">
            <a:solidFill>
              <a:schemeClr val="accent1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121920</xdr:rowOff>
        </xdr:from>
        <xdr:to>
          <xdr:col>14</xdr:col>
          <xdr:colOff>960120</xdr:colOff>
          <xdr:row>48</xdr:row>
          <xdr:rowOff>182880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5</xdr:col>
      <xdr:colOff>590550</xdr:colOff>
      <xdr:row>8</xdr:row>
      <xdr:rowOff>190500</xdr:rowOff>
    </xdr:from>
    <xdr:to>
      <xdr:col>15</xdr:col>
      <xdr:colOff>19050</xdr:colOff>
      <xdr:row>10</xdr:row>
      <xdr:rowOff>57150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876550" y="1838325"/>
          <a:ext cx="5715000" cy="457200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Double click</a:t>
          </a:r>
          <a:r>
            <a:rPr lang="en-GB" sz="1800" b="0" i="0" u="none" strike="noStrike" baseline="0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the front page below to open the file</a:t>
          </a:r>
          <a:endParaRPr lang="en-GB" sz="1800" b="0">
            <a:solidFill>
              <a:schemeClr val="accent1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</xdr:colOff>
      <xdr:row>0</xdr:row>
      <xdr:rowOff>91440</xdr:rowOff>
    </xdr:from>
    <xdr:to>
      <xdr:col>5</xdr:col>
      <xdr:colOff>1607820</xdr:colOff>
      <xdr:row>0</xdr:row>
      <xdr:rowOff>571500</xdr:rowOff>
    </xdr:to>
    <xdr:sp macro="[0]!returnstartG4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4259580" y="91440"/>
          <a:ext cx="1516380" cy="48006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0</xdr:row>
      <xdr:rowOff>30480</xdr:rowOff>
    </xdr:from>
    <xdr:to>
      <xdr:col>2</xdr:col>
      <xdr:colOff>1577340</xdr:colOff>
      <xdr:row>0</xdr:row>
      <xdr:rowOff>403860</xdr:rowOff>
    </xdr:to>
    <xdr:sp macro="[0]!returnstartG5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1310640" y="30480"/>
          <a:ext cx="1516380" cy="37338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56926</xdr:colOff>
      <xdr:row>0</xdr:row>
      <xdr:rowOff>49754</xdr:rowOff>
    </xdr:from>
    <xdr:to>
      <xdr:col>1</xdr:col>
      <xdr:colOff>674146</xdr:colOff>
      <xdr:row>0</xdr:row>
      <xdr:rowOff>484094</xdr:rowOff>
    </xdr:to>
    <xdr:sp macro="[0]!returnstartG6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/>
      </xdr:nvSpPr>
      <xdr:spPr>
        <a:xfrm>
          <a:off x="56926" y="49754"/>
          <a:ext cx="1166308" cy="43434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38100</xdr:rowOff>
    </xdr:from>
    <xdr:to>
      <xdr:col>1</xdr:col>
      <xdr:colOff>632460</xdr:colOff>
      <xdr:row>1</xdr:row>
      <xdr:rowOff>198120</xdr:rowOff>
    </xdr:to>
    <xdr:sp macro="[0]!returnstartG7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/>
      </xdr:nvSpPr>
      <xdr:spPr>
        <a:xfrm>
          <a:off x="53340" y="38100"/>
          <a:ext cx="1188720" cy="350520"/>
        </a:xfrm>
        <a:prstGeom prst="roundRect">
          <a:avLst/>
        </a:prstGeom>
        <a:solidFill>
          <a:schemeClr val="tx2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solidFill>
                <a:schemeClr val="bg1"/>
              </a:solidFill>
            </a:rPr>
            <a:t>Return to start</a:t>
          </a:r>
        </a:p>
      </xdr:txBody>
    </xdr:sp>
    <xdr:clientData/>
  </xdr:twoCellAnchor>
  <xdr:twoCellAnchor>
    <xdr:from>
      <xdr:col>0</xdr:col>
      <xdr:colOff>53340</xdr:colOff>
      <xdr:row>0</xdr:row>
      <xdr:rowOff>38100</xdr:rowOff>
    </xdr:from>
    <xdr:to>
      <xdr:col>1</xdr:col>
      <xdr:colOff>632460</xdr:colOff>
      <xdr:row>1</xdr:row>
      <xdr:rowOff>198120</xdr:rowOff>
    </xdr:to>
    <xdr:sp macro="[2]!returnstartG7" textlink="">
      <xdr:nvSpPr>
        <xdr:cNvPr id="4" name="Rounded Rectangle 2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/>
      </xdr:nvSpPr>
      <xdr:spPr>
        <a:xfrm>
          <a:off x="53340" y="38100"/>
          <a:ext cx="1188720" cy="360045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68580</xdr:rowOff>
    </xdr:from>
    <xdr:to>
      <xdr:col>0</xdr:col>
      <xdr:colOff>1577340</xdr:colOff>
      <xdr:row>1</xdr:row>
      <xdr:rowOff>114300</xdr:rowOff>
    </xdr:to>
    <xdr:sp macro="[0]!returnstartG8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60960" y="68580"/>
          <a:ext cx="1516380" cy="41148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0</xdr:row>
      <xdr:rowOff>60960</xdr:rowOff>
    </xdr:from>
    <xdr:to>
      <xdr:col>1</xdr:col>
      <xdr:colOff>1516380</xdr:colOff>
      <xdr:row>0</xdr:row>
      <xdr:rowOff>617220</xdr:rowOff>
    </xdr:to>
    <xdr:sp macro="[0]!returnstartG9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91440" y="60960"/>
          <a:ext cx="1424940" cy="55626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452967</xdr:colOff>
      <xdr:row>9</xdr:row>
      <xdr:rowOff>234950</xdr:rowOff>
    </xdr:from>
    <xdr:to>
      <xdr:col>7</xdr:col>
      <xdr:colOff>553367</xdr:colOff>
      <xdr:row>15</xdr:row>
      <xdr:rowOff>97950</xdr:rowOff>
    </xdr:to>
    <xdr:sp macro="[0]!ActivateG1AllHabitats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 txBox="1"/>
      </xdr:nvSpPr>
      <xdr:spPr>
        <a:xfrm>
          <a:off x="2167467" y="2063750"/>
          <a:ext cx="1974920" cy="12727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All area habitats</a:t>
          </a:r>
        </a:p>
      </xdr:txBody>
    </xdr:sp>
    <xdr:clientData/>
  </xdr:twoCellAnchor>
  <xdr:twoCellAnchor>
    <xdr:from>
      <xdr:col>8</xdr:col>
      <xdr:colOff>397933</xdr:colOff>
      <xdr:row>9</xdr:row>
      <xdr:rowOff>223307</xdr:rowOff>
    </xdr:from>
    <xdr:to>
      <xdr:col>12</xdr:col>
      <xdr:colOff>15733</xdr:colOff>
      <xdr:row>15</xdr:row>
      <xdr:rowOff>86307</xdr:rowOff>
    </xdr:to>
    <xdr:sp macro="[0]!ActivateG2HabitatGroups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4611793" y="2052107"/>
          <a:ext cx="1972380" cy="127270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Area habitat groups</a:t>
          </a:r>
        </a:p>
      </xdr:txBody>
    </xdr:sp>
    <xdr:clientData/>
  </xdr:twoCellAnchor>
  <xdr:twoCellAnchor>
    <xdr:from>
      <xdr:col>12</xdr:col>
      <xdr:colOff>524934</xdr:colOff>
      <xdr:row>9</xdr:row>
      <xdr:rowOff>206373</xdr:rowOff>
    </xdr:from>
    <xdr:to>
      <xdr:col>15</xdr:col>
      <xdr:colOff>659201</xdr:colOff>
      <xdr:row>15</xdr:row>
      <xdr:rowOff>69373</xdr:rowOff>
    </xdr:to>
    <xdr:sp macro="[0]!ActivateG3Multipliers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7103534" y="2009773"/>
          <a:ext cx="1980000" cy="1260000"/>
        </a:xfrm>
        <a:prstGeom prst="roundRect">
          <a:avLst/>
        </a:prstGeom>
        <a:solidFill>
          <a:schemeClr val="accent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Multipliers</a:t>
          </a:r>
          <a:r>
            <a:rPr lang="en-GB" sz="2000">
              <a:solidFill>
                <a:schemeClr val="bg1"/>
              </a:solidFill>
            </a:rPr>
            <a:t> </a:t>
          </a:r>
        </a:p>
      </xdr:txBody>
    </xdr:sp>
    <xdr:clientData/>
  </xdr:twoCellAnchor>
  <xdr:twoCellAnchor>
    <xdr:from>
      <xdr:col>1</xdr:col>
      <xdr:colOff>93134</xdr:colOff>
      <xdr:row>9</xdr:row>
      <xdr:rowOff>220134</xdr:rowOff>
    </xdr:from>
    <xdr:to>
      <xdr:col>3</xdr:col>
      <xdr:colOff>1270000</xdr:colOff>
      <xdr:row>15</xdr:row>
      <xdr:rowOff>83134</xdr:rowOff>
    </xdr:to>
    <xdr:sp macro="[0]!returnstarttechdata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 txBox="1"/>
      </xdr:nvSpPr>
      <xdr:spPr>
        <a:xfrm>
          <a:off x="237914" y="2048934"/>
          <a:ext cx="1466426" cy="12727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Return to start</a:t>
          </a:r>
        </a:p>
        <a:p>
          <a:pPr algn="ctr"/>
          <a:r>
            <a:rPr lang="en-GB" sz="1400">
              <a:solidFill>
                <a:schemeClr val="bg1"/>
              </a:solidFill>
            </a:rPr>
            <a:t>page</a:t>
          </a:r>
        </a:p>
      </xdr:txBody>
    </xdr:sp>
    <xdr:clientData/>
  </xdr:twoCellAnchor>
  <xdr:twoCellAnchor>
    <xdr:from>
      <xdr:col>4</xdr:col>
      <xdr:colOff>469900</xdr:colOff>
      <xdr:row>16</xdr:row>
      <xdr:rowOff>184150</xdr:rowOff>
    </xdr:from>
    <xdr:to>
      <xdr:col>7</xdr:col>
      <xdr:colOff>570300</xdr:colOff>
      <xdr:row>23</xdr:row>
      <xdr:rowOff>21750</xdr:rowOff>
    </xdr:to>
    <xdr:sp macro="[0]!ActivateG4Temporalmultipliers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 txBox="1"/>
      </xdr:nvSpPr>
      <xdr:spPr>
        <a:xfrm>
          <a:off x="2180167" y="3587750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Temporal multipliers</a:t>
          </a:r>
        </a:p>
      </xdr:txBody>
    </xdr:sp>
    <xdr:clientData/>
  </xdr:twoCellAnchor>
  <xdr:twoCellAnchor>
    <xdr:from>
      <xdr:col>8</xdr:col>
      <xdr:colOff>381001</xdr:colOff>
      <xdr:row>16</xdr:row>
      <xdr:rowOff>167217</xdr:rowOff>
    </xdr:from>
    <xdr:to>
      <xdr:col>11</xdr:col>
      <xdr:colOff>625334</xdr:colOff>
      <xdr:row>23</xdr:row>
      <xdr:rowOff>4817</xdr:rowOff>
    </xdr:to>
    <xdr:sp macro="[0]!ActivateG5EnhancementTemporaldata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 txBox="1"/>
      </xdr:nvSpPr>
      <xdr:spPr>
        <a:xfrm>
          <a:off x="4597401" y="3570817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Enhancement temporal multipliers</a:t>
          </a:r>
        </a:p>
      </xdr:txBody>
    </xdr:sp>
    <xdr:clientData/>
  </xdr:twoCellAnchor>
  <xdr:twoCellAnchor>
    <xdr:from>
      <xdr:col>12</xdr:col>
      <xdr:colOff>567267</xdr:colOff>
      <xdr:row>16</xdr:row>
      <xdr:rowOff>160867</xdr:rowOff>
    </xdr:from>
    <xdr:to>
      <xdr:col>15</xdr:col>
      <xdr:colOff>701534</xdr:colOff>
      <xdr:row>22</xdr:row>
      <xdr:rowOff>201667</xdr:rowOff>
    </xdr:to>
    <xdr:sp macro="[0]!ActivateG6Hedgerowdata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SpPr txBox="1"/>
      </xdr:nvSpPr>
      <xdr:spPr>
        <a:xfrm>
          <a:off x="7145867" y="3564467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Hedgerow data</a:t>
          </a:r>
        </a:p>
      </xdr:txBody>
    </xdr:sp>
    <xdr:clientData/>
  </xdr:twoCellAnchor>
  <xdr:twoCellAnchor>
    <xdr:from>
      <xdr:col>4</xdr:col>
      <xdr:colOff>457199</xdr:colOff>
      <xdr:row>24</xdr:row>
      <xdr:rowOff>42334</xdr:rowOff>
    </xdr:from>
    <xdr:to>
      <xdr:col>7</xdr:col>
      <xdr:colOff>557599</xdr:colOff>
      <xdr:row>30</xdr:row>
      <xdr:rowOff>150867</xdr:rowOff>
    </xdr:to>
    <xdr:sp macro="[0]!ActivateG7riversdata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2167466" y="5071534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</a:rPr>
            <a:t>River</a:t>
          </a:r>
          <a:r>
            <a:rPr lang="en-GB" sz="1400" baseline="0">
              <a:solidFill>
                <a:schemeClr val="bg1"/>
              </a:solidFill>
            </a:rPr>
            <a:t> data</a:t>
          </a:r>
          <a:endParaRPr lang="en-GB" sz="14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465666</xdr:colOff>
      <xdr:row>24</xdr:row>
      <xdr:rowOff>59267</xdr:rowOff>
    </xdr:from>
    <xdr:to>
      <xdr:col>12</xdr:col>
      <xdr:colOff>83466</xdr:colOff>
      <xdr:row>30</xdr:row>
      <xdr:rowOff>167800</xdr:rowOff>
    </xdr:to>
    <xdr:sp macro="[0]!ActivateConditionlookup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SpPr txBox="1"/>
      </xdr:nvSpPr>
      <xdr:spPr>
        <a:xfrm>
          <a:off x="4682066" y="5088467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aseline="0">
              <a:solidFill>
                <a:schemeClr val="bg1"/>
              </a:solidFill>
            </a:rPr>
            <a:t>Condition data</a:t>
          </a:r>
          <a:endParaRPr lang="en-GB" sz="140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601133</xdr:colOff>
      <xdr:row>24</xdr:row>
      <xdr:rowOff>59267</xdr:rowOff>
    </xdr:from>
    <xdr:to>
      <xdr:col>15</xdr:col>
      <xdr:colOff>735400</xdr:colOff>
      <xdr:row>30</xdr:row>
      <xdr:rowOff>167800</xdr:rowOff>
    </xdr:to>
    <xdr:sp macro="[0]!ActivateTranslation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SpPr txBox="1"/>
      </xdr:nvSpPr>
      <xdr:spPr>
        <a:xfrm>
          <a:off x="7179733" y="5088467"/>
          <a:ext cx="1980000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aseline="0">
              <a:solidFill>
                <a:schemeClr val="bg1"/>
              </a:solidFill>
            </a:rPr>
            <a:t>UKHab/Phase 1 translation </a:t>
          </a:r>
          <a:endParaRPr lang="en-GB" sz="1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200024</xdr:rowOff>
    </xdr:from>
    <xdr:to>
      <xdr:col>15</xdr:col>
      <xdr:colOff>609600</xdr:colOff>
      <xdr:row>8</xdr:row>
      <xdr:rowOff>9524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SpPr txBox="1"/>
      </xdr:nvSpPr>
      <xdr:spPr>
        <a:xfrm>
          <a:off x="428625" y="200024"/>
          <a:ext cx="8391525" cy="1457325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The Biodiversity Metric 3.0 - Calculation Tool</a:t>
          </a:r>
        </a:p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Technical Data</a:t>
          </a:r>
          <a:endParaRPr lang="en-GB" sz="2800" b="0">
            <a:solidFill>
              <a:schemeClr val="accent1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137974</xdr:colOff>
      <xdr:row>13</xdr:row>
      <xdr:rowOff>125458</xdr:rowOff>
    </xdr:from>
    <xdr:to>
      <xdr:col>4</xdr:col>
      <xdr:colOff>364065</xdr:colOff>
      <xdr:row>38</xdr:row>
      <xdr:rowOff>1016000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281907" y="2944858"/>
          <a:ext cx="1792425" cy="5767342"/>
        </a:xfrm>
        <a:prstGeom prst="roundRect">
          <a:avLst/>
        </a:prstGeom>
        <a:solidFill>
          <a:srgbClr val="E0DCD3"/>
        </a:solidFill>
        <a:ln>
          <a:noFill/>
        </a:ln>
        <a:effectLst>
          <a:outerShdw blurRad="107950" dist="12700" dir="5400000" algn="ctr">
            <a:srgbClr val="000000"/>
          </a:outerShdw>
          <a:softEdge rad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>
              <a:solidFill>
                <a:schemeClr val="accent1"/>
              </a:solidFill>
              <a:latin typeface="Rockwell Light" panose="02040303020102020203" pitchFamily="18" charset="0"/>
            </a:rPr>
            <a:t>On-site baseline  </a:t>
          </a:r>
        </a:p>
      </xdr:txBody>
    </xdr:sp>
    <xdr:clientData/>
  </xdr:twoCellAnchor>
  <xdr:twoCellAnchor>
    <xdr:from>
      <xdr:col>4</xdr:col>
      <xdr:colOff>495905</xdr:colOff>
      <xdr:row>13</xdr:row>
      <xdr:rowOff>67733</xdr:rowOff>
    </xdr:from>
    <xdr:to>
      <xdr:col>12</xdr:col>
      <xdr:colOff>536637</xdr:colOff>
      <xdr:row>38</xdr:row>
      <xdr:rowOff>1109132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2172305" y="2944283"/>
          <a:ext cx="4774657" cy="6051549"/>
        </a:xfrm>
        <a:prstGeom prst="roundRect">
          <a:avLst/>
        </a:prstGeom>
        <a:solidFill>
          <a:srgbClr val="E0DCD3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/>
          <a:lightRig rig="threePt" dir="t"/>
        </a:scene3d>
        <a:sp3d prstMaterial="dkEdge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>
              <a:solidFill>
                <a:schemeClr val="accent1"/>
              </a:solidFill>
              <a:latin typeface="Rockwell Light" panose="02040303020102020203" pitchFamily="18" charset="0"/>
            </a:rPr>
            <a:t>On-site post development </a:t>
          </a:r>
        </a:p>
      </xdr:txBody>
    </xdr:sp>
    <xdr:clientData/>
  </xdr:twoCellAnchor>
  <xdr:twoCellAnchor>
    <xdr:from>
      <xdr:col>3</xdr:col>
      <xdr:colOff>58814</xdr:colOff>
      <xdr:row>18</xdr:row>
      <xdr:rowOff>151039</xdr:rowOff>
    </xdr:from>
    <xdr:to>
      <xdr:col>4</xdr:col>
      <xdr:colOff>185057</xdr:colOff>
      <xdr:row>25</xdr:row>
      <xdr:rowOff>1</xdr:rowOff>
    </xdr:to>
    <xdr:sp macro="[0]!ActivateA1baseline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490614" y="3986439"/>
          <a:ext cx="1404710" cy="1271362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A-1</a:t>
          </a:r>
          <a:r>
            <a:rPr lang="en-GB" sz="14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 </a:t>
          </a:r>
          <a:r>
            <a:rPr lang="en-GB" sz="14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On-site habitat</a:t>
          </a:r>
        </a:p>
        <a:p>
          <a:pPr algn="ctr"/>
          <a:r>
            <a:rPr lang="en-GB" sz="14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baseline</a:t>
          </a:r>
          <a:r>
            <a:rPr lang="en-GB" sz="1400" b="1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 </a:t>
          </a:r>
        </a:p>
      </xdr:txBody>
    </xdr:sp>
    <xdr:clientData/>
  </xdr:twoCellAnchor>
  <xdr:twoCellAnchor>
    <xdr:from>
      <xdr:col>5</xdr:col>
      <xdr:colOff>423333</xdr:colOff>
      <xdr:row>18</xdr:row>
      <xdr:rowOff>143933</xdr:rowOff>
    </xdr:from>
    <xdr:to>
      <xdr:col>8</xdr:col>
      <xdr:colOff>194733</xdr:colOff>
      <xdr:row>24</xdr:row>
      <xdr:rowOff>194732</xdr:rowOff>
    </xdr:to>
    <xdr:sp macro="[0]!Activatecreation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2760133" y="3979333"/>
          <a:ext cx="1651000" cy="1269999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A-2</a:t>
          </a:r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H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abitat creation</a:t>
          </a:r>
        </a:p>
      </xdr:txBody>
    </xdr:sp>
    <xdr:clientData/>
  </xdr:twoCellAnchor>
  <xdr:twoCellAnchor>
    <xdr:from>
      <xdr:col>8</xdr:col>
      <xdr:colOff>455023</xdr:colOff>
      <xdr:row>18</xdr:row>
      <xdr:rowOff>159354</xdr:rowOff>
    </xdr:from>
    <xdr:to>
      <xdr:col>11</xdr:col>
      <xdr:colOff>499534</xdr:colOff>
      <xdr:row>25</xdr:row>
      <xdr:rowOff>25399</xdr:rowOff>
    </xdr:to>
    <xdr:sp macro="[0]!ActivateEnhancement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4671423" y="3994754"/>
          <a:ext cx="1780178" cy="1288445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A-3</a:t>
          </a:r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Habitat enhancement</a:t>
          </a:r>
        </a:p>
      </xdr:txBody>
    </xdr:sp>
    <xdr:clientData/>
  </xdr:twoCellAnchor>
  <xdr:twoCellAnchor>
    <xdr:from>
      <xdr:col>15</xdr:col>
      <xdr:colOff>1149893</xdr:colOff>
      <xdr:row>13</xdr:row>
      <xdr:rowOff>50800</xdr:rowOff>
    </xdr:from>
    <xdr:to>
      <xdr:col>21</xdr:col>
      <xdr:colOff>3730</xdr:colOff>
      <xdr:row>39</xdr:row>
      <xdr:rowOff>30479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>
          <a:off x="9531893" y="2895600"/>
          <a:ext cx="5038737" cy="5885179"/>
        </a:xfrm>
        <a:prstGeom prst="roundRect">
          <a:avLst/>
        </a:prstGeom>
        <a:solidFill>
          <a:srgbClr val="E0DCD3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>
              <a:solidFill>
                <a:schemeClr val="accent1"/>
              </a:solidFill>
              <a:latin typeface="Rockwell Light" panose="02040303020102020203" pitchFamily="18" charset="0"/>
            </a:rPr>
            <a:t>Off-site post development</a:t>
          </a:r>
        </a:p>
      </xdr:txBody>
    </xdr:sp>
    <xdr:clientData/>
  </xdr:twoCellAnchor>
  <xdr:twoCellAnchor>
    <xdr:from>
      <xdr:col>15</xdr:col>
      <xdr:colOff>1562373</xdr:colOff>
      <xdr:row>18</xdr:row>
      <xdr:rowOff>152400</xdr:rowOff>
    </xdr:from>
    <xdr:to>
      <xdr:col>17</xdr:col>
      <xdr:colOff>441960</xdr:colOff>
      <xdr:row>25</xdr:row>
      <xdr:rowOff>99060</xdr:rowOff>
    </xdr:to>
    <xdr:sp macro="[0]!ActivateD2creation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>
          <a:off x="9974853" y="4030980"/>
          <a:ext cx="1874247" cy="1386840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D-2 Off-site habitat creation</a:t>
          </a:r>
        </a:p>
      </xdr:txBody>
    </xdr:sp>
    <xdr:clientData/>
  </xdr:twoCellAnchor>
  <xdr:twoCellAnchor>
    <xdr:from>
      <xdr:col>17</xdr:col>
      <xdr:colOff>804181</xdr:colOff>
      <xdr:row>18</xdr:row>
      <xdr:rowOff>163830</xdr:rowOff>
    </xdr:from>
    <xdr:to>
      <xdr:col>20</xdr:col>
      <xdr:colOff>7620</xdr:colOff>
      <xdr:row>25</xdr:row>
      <xdr:rowOff>91440</xdr:rowOff>
    </xdr:to>
    <xdr:sp macro="[0]!ActivateD3Enhancement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12211321" y="4042410"/>
          <a:ext cx="1778999" cy="1367790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D-3 Off-site habitat enhancement</a:t>
          </a:r>
        </a:p>
      </xdr:txBody>
    </xdr:sp>
    <xdr:clientData/>
  </xdr:twoCellAnchor>
  <xdr:twoCellAnchor>
    <xdr:from>
      <xdr:col>8</xdr:col>
      <xdr:colOff>447462</xdr:colOff>
      <xdr:row>26</xdr:row>
      <xdr:rowOff>88853</xdr:rowOff>
    </xdr:from>
    <xdr:to>
      <xdr:col>11</xdr:col>
      <xdr:colOff>499533</xdr:colOff>
      <xdr:row>33</xdr:row>
      <xdr:rowOff>135466</xdr:rowOff>
    </xdr:to>
    <xdr:sp macro="[0]!ActivateB3hedgeencancement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/>
      </xdr:nvSpPr>
      <xdr:spPr>
        <a:xfrm>
          <a:off x="4663862" y="5549853"/>
          <a:ext cx="1787738" cy="1350480"/>
        </a:xfrm>
        <a:prstGeom prst="roundRect">
          <a:avLst/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B-3</a:t>
          </a:r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Hedgerow enhancement</a:t>
          </a:r>
        </a:p>
      </xdr:txBody>
    </xdr:sp>
    <xdr:clientData/>
  </xdr:twoCellAnchor>
  <xdr:twoCellAnchor>
    <xdr:from>
      <xdr:col>5</xdr:col>
      <xdr:colOff>392037</xdr:colOff>
      <xdr:row>26</xdr:row>
      <xdr:rowOff>87795</xdr:rowOff>
    </xdr:from>
    <xdr:to>
      <xdr:col>8</xdr:col>
      <xdr:colOff>135467</xdr:colOff>
      <xdr:row>33</xdr:row>
      <xdr:rowOff>118532</xdr:rowOff>
    </xdr:to>
    <xdr:sp macro="[0]!ActivateB2hedgecreation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>
          <a:off x="2728837" y="5548795"/>
          <a:ext cx="1623030" cy="1334604"/>
        </a:xfrm>
        <a:prstGeom prst="roundRect">
          <a:avLst/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B-2</a:t>
          </a:r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Hedgerow creation</a:t>
          </a:r>
        </a:p>
      </xdr:txBody>
    </xdr:sp>
    <xdr:clientData/>
  </xdr:twoCellAnchor>
  <xdr:twoCellAnchor>
    <xdr:from>
      <xdr:col>8</xdr:col>
      <xdr:colOff>441775</xdr:colOff>
      <xdr:row>35</xdr:row>
      <xdr:rowOff>61215</xdr:rowOff>
    </xdr:from>
    <xdr:to>
      <xdr:col>11</xdr:col>
      <xdr:colOff>541865</xdr:colOff>
      <xdr:row>38</xdr:row>
      <xdr:rowOff>905932</xdr:rowOff>
    </xdr:to>
    <xdr:sp macro="[0]!Activatec3riverenhancement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/>
      </xdr:nvSpPr>
      <xdr:spPr>
        <a:xfrm>
          <a:off x="4658175" y="7198615"/>
          <a:ext cx="1835757" cy="1403517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C-3</a:t>
          </a:r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River enhancement</a:t>
          </a:r>
        </a:p>
      </xdr:txBody>
    </xdr:sp>
    <xdr:clientData/>
  </xdr:twoCellAnchor>
  <xdr:twoCellAnchor>
    <xdr:from>
      <xdr:col>5</xdr:col>
      <xdr:colOff>370990</xdr:colOff>
      <xdr:row>35</xdr:row>
      <xdr:rowOff>59267</xdr:rowOff>
    </xdr:from>
    <xdr:to>
      <xdr:col>8</xdr:col>
      <xdr:colOff>152400</xdr:colOff>
      <xdr:row>38</xdr:row>
      <xdr:rowOff>902714</xdr:rowOff>
    </xdr:to>
    <xdr:sp macro="[0]!ActivateC2rivercreation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/>
      </xdr:nvSpPr>
      <xdr:spPr>
        <a:xfrm>
          <a:off x="2707790" y="7196667"/>
          <a:ext cx="1661010" cy="1402247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C-2 River creation</a:t>
          </a:r>
        </a:p>
      </xdr:txBody>
    </xdr:sp>
    <xdr:clientData/>
  </xdr:twoCellAnchor>
  <xdr:twoCellAnchor>
    <xdr:from>
      <xdr:col>17</xdr:col>
      <xdr:colOff>772612</xdr:colOff>
      <xdr:row>26</xdr:row>
      <xdr:rowOff>175666</xdr:rowOff>
    </xdr:from>
    <xdr:to>
      <xdr:col>20</xdr:col>
      <xdr:colOff>144780</xdr:colOff>
      <xdr:row>33</xdr:row>
      <xdr:rowOff>114300</xdr:rowOff>
    </xdr:to>
    <xdr:sp macro="[0]!ActivateE3hedgeencancement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/>
      </xdr:nvSpPr>
      <xdr:spPr>
        <a:xfrm>
          <a:off x="12179752" y="5700166"/>
          <a:ext cx="1947728" cy="1218794"/>
        </a:xfrm>
        <a:prstGeom prst="roundRect">
          <a:avLst/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E-3 Off-site hedge enhancement</a:t>
          </a:r>
        </a:p>
      </xdr:txBody>
    </xdr:sp>
    <xdr:clientData/>
  </xdr:twoCellAnchor>
  <xdr:twoCellAnchor>
    <xdr:from>
      <xdr:col>15</xdr:col>
      <xdr:colOff>1571444</xdr:colOff>
      <xdr:row>26</xdr:row>
      <xdr:rowOff>123414</xdr:rowOff>
    </xdr:from>
    <xdr:to>
      <xdr:col>17</xdr:col>
      <xdr:colOff>426720</xdr:colOff>
      <xdr:row>33</xdr:row>
      <xdr:rowOff>114300</xdr:rowOff>
    </xdr:to>
    <xdr:sp macro="[0]!ActivateE2hedgecreation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>
          <a:off x="9983924" y="5647914"/>
          <a:ext cx="1849936" cy="1271046"/>
        </a:xfrm>
        <a:prstGeom prst="roundRect">
          <a:avLst/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E-2 Off-site hedge creation</a:t>
          </a:r>
        </a:p>
      </xdr:txBody>
    </xdr:sp>
    <xdr:clientData/>
  </xdr:twoCellAnchor>
  <xdr:twoCellAnchor>
    <xdr:from>
      <xdr:col>17</xdr:col>
      <xdr:colOff>762001</xdr:colOff>
      <xdr:row>35</xdr:row>
      <xdr:rowOff>13063</xdr:rowOff>
    </xdr:from>
    <xdr:to>
      <xdr:col>20</xdr:col>
      <xdr:colOff>160021</xdr:colOff>
      <xdr:row>38</xdr:row>
      <xdr:rowOff>861061</xdr:rowOff>
    </xdr:to>
    <xdr:sp macro="[0]!ActivateF3riverenhancement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/>
      </xdr:nvSpPr>
      <xdr:spPr>
        <a:xfrm>
          <a:off x="12169141" y="7183483"/>
          <a:ext cx="1973580" cy="1396638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F-3 Off-site river enhancement</a:t>
          </a:r>
        </a:p>
      </xdr:txBody>
    </xdr:sp>
    <xdr:clientData/>
  </xdr:twoCellAnchor>
  <xdr:twoCellAnchor>
    <xdr:from>
      <xdr:col>15</xdr:col>
      <xdr:colOff>1524636</xdr:colOff>
      <xdr:row>35</xdr:row>
      <xdr:rowOff>23676</xdr:rowOff>
    </xdr:from>
    <xdr:to>
      <xdr:col>17</xdr:col>
      <xdr:colOff>464820</xdr:colOff>
      <xdr:row>38</xdr:row>
      <xdr:rowOff>861060</xdr:rowOff>
    </xdr:to>
    <xdr:sp macro="[0]!ActivateF2rivercreation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>
          <a:off x="9937116" y="7194096"/>
          <a:ext cx="1934844" cy="1386024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F-2 Off-site river creation</a:t>
          </a:r>
        </a:p>
      </xdr:txBody>
    </xdr:sp>
    <xdr:clientData/>
  </xdr:twoCellAnchor>
  <xdr:twoCellAnchor>
    <xdr:from>
      <xdr:col>3</xdr:col>
      <xdr:colOff>28726</xdr:colOff>
      <xdr:row>26</xdr:row>
      <xdr:rowOff>9675</xdr:rowOff>
    </xdr:from>
    <xdr:to>
      <xdr:col>4</xdr:col>
      <xdr:colOff>186266</xdr:colOff>
      <xdr:row>33</xdr:row>
      <xdr:rowOff>152400</xdr:rowOff>
    </xdr:to>
    <xdr:sp macro="[0]!Activateb1hedge1baseline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460526" y="5470675"/>
          <a:ext cx="1436007" cy="1446592"/>
        </a:xfrm>
        <a:prstGeom prst="roundRect">
          <a:avLst/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B-1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On-site hedge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baseline</a:t>
          </a:r>
          <a:r>
            <a:rPr lang="en-GB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 </a:t>
          </a:r>
        </a:p>
      </xdr:txBody>
    </xdr:sp>
    <xdr:clientData/>
  </xdr:twoCellAnchor>
  <xdr:twoCellAnchor>
    <xdr:from>
      <xdr:col>3</xdr:col>
      <xdr:colOff>3630</xdr:colOff>
      <xdr:row>35</xdr:row>
      <xdr:rowOff>10429</xdr:rowOff>
    </xdr:from>
    <xdr:to>
      <xdr:col>4</xdr:col>
      <xdr:colOff>186267</xdr:colOff>
      <xdr:row>38</xdr:row>
      <xdr:rowOff>804332</xdr:rowOff>
    </xdr:to>
    <xdr:sp macro="[0]!Activatec1siteriverbaseline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435430" y="7147829"/>
          <a:ext cx="1461104" cy="1352703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C-1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On-site river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baseline </a:t>
          </a:r>
        </a:p>
      </xdr:txBody>
    </xdr:sp>
    <xdr:clientData/>
  </xdr:twoCellAnchor>
  <xdr:twoCellAnchor>
    <xdr:from>
      <xdr:col>12</xdr:col>
      <xdr:colOff>696685</xdr:colOff>
      <xdr:row>13</xdr:row>
      <xdr:rowOff>44903</xdr:rowOff>
    </xdr:from>
    <xdr:to>
      <xdr:col>15</xdr:col>
      <xdr:colOff>956733</xdr:colOff>
      <xdr:row>39</xdr:row>
      <xdr:rowOff>8467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7275285" y="2864303"/>
          <a:ext cx="2105781" cy="5974897"/>
        </a:xfrm>
        <a:prstGeom prst="roundRect">
          <a:avLst/>
        </a:prstGeom>
        <a:solidFill>
          <a:srgbClr val="E0DCD3"/>
        </a:solidFill>
        <a:ln>
          <a:noFill/>
        </a:ln>
        <a:effectLst>
          <a:outerShdw blurRad="107950" dist="12700" dir="5400000" algn="ctr">
            <a:srgbClr val="000000"/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>
              <a:solidFill>
                <a:schemeClr val="accent1"/>
              </a:solidFill>
              <a:latin typeface="Rockwell Light" panose="02040303020102020203" pitchFamily="18" charset="0"/>
            </a:rPr>
            <a:t>Off-site baseline  </a:t>
          </a:r>
        </a:p>
      </xdr:txBody>
    </xdr:sp>
    <xdr:clientData/>
  </xdr:twoCellAnchor>
  <xdr:twoCellAnchor>
    <xdr:from>
      <xdr:col>13</xdr:col>
      <xdr:colOff>12122</xdr:colOff>
      <xdr:row>35</xdr:row>
      <xdr:rowOff>112423</xdr:rowOff>
    </xdr:from>
    <xdr:to>
      <xdr:col>15</xdr:col>
      <xdr:colOff>863600</xdr:colOff>
      <xdr:row>38</xdr:row>
      <xdr:rowOff>812800</xdr:rowOff>
    </xdr:to>
    <xdr:sp macro="[0]!ActivateF1offriverbaseline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7420455" y="7249823"/>
          <a:ext cx="1867478" cy="1259177"/>
        </a:xfrm>
        <a:prstGeom prst="roundRect">
          <a:avLst/>
        </a:prstGeom>
        <a:solidFill>
          <a:srgbClr val="00B0F0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F-1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Off-site river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baseline</a:t>
          </a:r>
          <a:r>
            <a:rPr lang="en-GB" sz="1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 </a:t>
          </a:r>
        </a:p>
      </xdr:txBody>
    </xdr:sp>
    <xdr:clientData/>
  </xdr:twoCellAnchor>
  <xdr:twoCellAnchor>
    <xdr:from>
      <xdr:col>12</xdr:col>
      <xdr:colOff>821267</xdr:colOff>
      <xdr:row>26</xdr:row>
      <xdr:rowOff>76200</xdr:rowOff>
    </xdr:from>
    <xdr:to>
      <xdr:col>15</xdr:col>
      <xdr:colOff>863599</xdr:colOff>
      <xdr:row>33</xdr:row>
      <xdr:rowOff>101600</xdr:rowOff>
    </xdr:to>
    <xdr:sp macro="[0]!ActivateE1hedgeoffbaseline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7399867" y="5537200"/>
          <a:ext cx="1888065" cy="1329267"/>
        </a:xfrm>
        <a:prstGeom prst="roundRect">
          <a:avLst>
            <a:gd name="adj" fmla="val 13832"/>
          </a:avLst>
        </a:prstGeom>
        <a:solidFill>
          <a:schemeClr val="accent6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E-1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Off-site hedge</a:t>
          </a:r>
        </a:p>
        <a:p>
          <a:pPr algn="ctr"/>
          <a:r>
            <a:rPr lang="en-GB" sz="1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Light" panose="02040303020102020203" pitchFamily="18" charset="0"/>
            </a:rPr>
            <a:t>baseline </a:t>
          </a:r>
        </a:p>
      </xdr:txBody>
    </xdr:sp>
    <xdr:clientData/>
  </xdr:twoCellAnchor>
  <xdr:twoCellAnchor>
    <xdr:from>
      <xdr:col>12</xdr:col>
      <xdr:colOff>821266</xdr:colOff>
      <xdr:row>18</xdr:row>
      <xdr:rowOff>142875</xdr:rowOff>
    </xdr:from>
    <xdr:to>
      <xdr:col>15</xdr:col>
      <xdr:colOff>872066</xdr:colOff>
      <xdr:row>25</xdr:row>
      <xdr:rowOff>59267</xdr:rowOff>
    </xdr:to>
    <xdr:sp macro="[0]!ActivateD1offbaseline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7399866" y="3978275"/>
          <a:ext cx="1896533" cy="1338792"/>
        </a:xfrm>
        <a:prstGeom prst="roundRect">
          <a:avLst/>
        </a:prstGeom>
        <a:solidFill>
          <a:schemeClr val="accent5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D-1</a:t>
          </a:r>
        </a:p>
        <a:p>
          <a:pPr algn="ctr"/>
          <a:r>
            <a:rPr lang="en-GB" sz="1400" baseline="0">
              <a:solidFill>
                <a:schemeClr val="bg1"/>
              </a:solidFill>
              <a:latin typeface="Rockwell Light" panose="02040303020102020203" pitchFamily="18" charset="0"/>
            </a:rPr>
            <a:t> </a:t>
          </a:r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Off-site</a:t>
          </a:r>
        </a:p>
        <a:p>
          <a:pPr algn="ctr"/>
          <a:r>
            <a:rPr lang="en-GB" sz="1400">
              <a:solidFill>
                <a:schemeClr val="bg1"/>
              </a:solidFill>
              <a:latin typeface="Rockwell Light" panose="02040303020102020203" pitchFamily="18" charset="0"/>
            </a:rPr>
            <a:t>habitat baseline</a:t>
          </a:r>
        </a:p>
      </xdr:txBody>
    </xdr:sp>
    <xdr:clientData/>
  </xdr:twoCellAnchor>
  <xdr:twoCellAnchor>
    <xdr:from>
      <xdr:col>2</xdr:col>
      <xdr:colOff>70152</xdr:colOff>
      <xdr:row>9</xdr:row>
      <xdr:rowOff>50800</xdr:rowOff>
    </xdr:from>
    <xdr:to>
      <xdr:col>3</xdr:col>
      <xdr:colOff>956734</xdr:colOff>
      <xdr:row>9</xdr:row>
      <xdr:rowOff>335793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58019" y="1879600"/>
          <a:ext cx="1030515" cy="284993"/>
        </a:xfrm>
        <a:prstGeom prst="rect">
          <a:avLst/>
        </a:prstGeom>
        <a:solidFill>
          <a:srgbClr val="E0DCD3"/>
        </a:solidFill>
        <a:ln w="9525" cmpd="sng">
          <a:solidFill>
            <a:srgbClr val="CCBE9F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>
              <a:ln>
                <a:noFill/>
              </a:ln>
              <a:solidFill>
                <a:schemeClr val="accent1"/>
              </a:solidFill>
            </a:rPr>
            <a:t>Start here</a:t>
          </a:r>
        </a:p>
      </xdr:txBody>
    </xdr:sp>
    <xdr:clientData/>
  </xdr:twoCellAnchor>
  <xdr:twoCellAnchor>
    <xdr:from>
      <xdr:col>3</xdr:col>
      <xdr:colOff>107950</xdr:colOff>
      <xdr:row>10</xdr:row>
      <xdr:rowOff>9525</xdr:rowOff>
    </xdr:from>
    <xdr:to>
      <xdr:col>3</xdr:col>
      <xdr:colOff>765175</xdr:colOff>
      <xdr:row>12</xdr:row>
      <xdr:rowOff>28575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36575" y="2247900"/>
          <a:ext cx="657225" cy="438150"/>
        </a:xfrm>
        <a:prstGeom prst="ellipse">
          <a:avLst/>
        </a:prstGeom>
        <a:solidFill>
          <a:srgbClr val="E0DCD3"/>
        </a:solidFill>
        <a:ln/>
        <a:effectLst>
          <a:glow rad="63500">
            <a:schemeClr val="accent1">
              <a:alpha val="40000"/>
            </a:schemeClr>
          </a:glow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contourW="25400">
          <a:bevelT w="114300" prst="artDeco"/>
          <a:bevelB w="114300" prst="artDeco"/>
          <a:contourClr>
            <a:srgbClr val="CCBE9F"/>
          </a:contourClr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>
              <a:solidFill>
                <a:schemeClr val="accent1"/>
              </a:solidFill>
            </a:rPr>
            <a:t>1</a:t>
          </a:r>
        </a:p>
      </xdr:txBody>
    </xdr:sp>
    <xdr:clientData/>
  </xdr:twoCellAnchor>
  <xdr:twoCellAnchor>
    <xdr:from>
      <xdr:col>7</xdr:col>
      <xdr:colOff>609600</xdr:colOff>
      <xdr:row>10</xdr:row>
      <xdr:rowOff>15875</xdr:rowOff>
    </xdr:from>
    <xdr:to>
      <xdr:col>9</xdr:col>
      <xdr:colOff>155575</xdr:colOff>
      <xdr:row>12</xdr:row>
      <xdr:rowOff>34925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4178300" y="2251075"/>
          <a:ext cx="650875" cy="425450"/>
        </a:xfrm>
        <a:prstGeom prst="ellipse">
          <a:avLst/>
        </a:prstGeom>
        <a:solidFill>
          <a:srgbClr val="E0DCD3"/>
        </a:solidFill>
        <a:ln/>
        <a:effectLst>
          <a:outerShdw blurRad="50800" dist="38100" dir="5400000" algn="t" rotWithShape="0">
            <a:prstClr val="black">
              <a:alpha val="40000"/>
            </a:prstClr>
          </a:outerShdw>
          <a:softEdge rad="952500"/>
        </a:effectLst>
        <a:scene3d>
          <a:camera prst="orthographicFront"/>
          <a:lightRig rig="threePt" dir="t"/>
        </a:scene3d>
        <a:sp3d contourW="25400">
          <a:bevelT w="114300" prst="artDeco"/>
          <a:bevelB w="152400" h="50800" prst="softRound"/>
          <a:contourClr>
            <a:srgbClr val="CCBE9F"/>
          </a:contourClr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>
              <a:solidFill>
                <a:schemeClr val="accent1"/>
              </a:solidFill>
            </a:rPr>
            <a:t>2</a:t>
          </a:r>
        </a:p>
      </xdr:txBody>
    </xdr:sp>
    <xdr:clientData/>
  </xdr:twoCellAnchor>
  <xdr:twoCellAnchor>
    <xdr:from>
      <xdr:col>14</xdr:col>
      <xdr:colOff>141968</xdr:colOff>
      <xdr:row>10</xdr:row>
      <xdr:rowOff>24946</xdr:rowOff>
    </xdr:from>
    <xdr:to>
      <xdr:col>15</xdr:col>
      <xdr:colOff>177346</xdr:colOff>
      <xdr:row>12</xdr:row>
      <xdr:rowOff>43996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/>
      </xdr:nvSpPr>
      <xdr:spPr>
        <a:xfrm>
          <a:off x="7901668" y="2260146"/>
          <a:ext cx="657678" cy="425450"/>
        </a:xfrm>
        <a:prstGeom prst="ellipse">
          <a:avLst/>
        </a:prstGeom>
        <a:solidFill>
          <a:srgbClr val="E0DCD3"/>
        </a:solidFill>
        <a:ln/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contourW="25400">
          <a:bevelT w="114300" prst="artDeco"/>
          <a:bevelB w="114300" prst="artDeco"/>
          <a:contourClr>
            <a:srgbClr val="CCBE9F"/>
          </a:contourClr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>
              <a:solidFill>
                <a:schemeClr val="accent1"/>
              </a:solidFill>
            </a:rPr>
            <a:t>3</a:t>
          </a:r>
        </a:p>
      </xdr:txBody>
    </xdr:sp>
    <xdr:clientData/>
  </xdr:twoCellAnchor>
  <xdr:twoCellAnchor>
    <xdr:from>
      <xdr:col>17</xdr:col>
      <xdr:colOff>176378</xdr:colOff>
      <xdr:row>10</xdr:row>
      <xdr:rowOff>2267</xdr:rowOff>
    </xdr:from>
    <xdr:to>
      <xdr:col>17</xdr:col>
      <xdr:colOff>863599</xdr:colOff>
      <xdr:row>12</xdr:row>
      <xdr:rowOff>24038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>
          <a:off x="11555578" y="2237467"/>
          <a:ext cx="687221" cy="428171"/>
        </a:xfrm>
        <a:prstGeom prst="ellipse">
          <a:avLst/>
        </a:prstGeom>
        <a:solidFill>
          <a:srgbClr val="E0DCD3"/>
        </a:solidFill>
        <a:ln/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contourW="25400">
          <a:bevelT w="114300" prst="artDeco"/>
          <a:bevelB w="114300" prst="artDeco"/>
          <a:contourClr>
            <a:srgbClr val="CCBE9F"/>
          </a:contourClr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>
              <a:solidFill>
                <a:schemeClr val="accent1"/>
              </a:solidFill>
            </a:rPr>
            <a:t>4</a:t>
          </a:r>
        </a:p>
      </xdr:txBody>
    </xdr:sp>
    <xdr:clientData/>
  </xdr:twoCellAnchor>
  <xdr:twoCellAnchor>
    <xdr:from>
      <xdr:col>4</xdr:col>
      <xdr:colOff>331107</xdr:colOff>
      <xdr:row>10</xdr:row>
      <xdr:rowOff>89353</xdr:rowOff>
    </xdr:from>
    <xdr:to>
      <xdr:col>5</xdr:col>
      <xdr:colOff>540657</xdr:colOff>
      <xdr:row>11</xdr:row>
      <xdr:rowOff>184603</xdr:rowOff>
    </xdr:to>
    <xdr:sp macro="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040164" y="2701924"/>
          <a:ext cx="830036" cy="302079"/>
        </a:xfrm>
        <a:prstGeom prst="rightArrow">
          <a:avLst/>
        </a:prstGeom>
        <a:solidFill>
          <a:srgbClr val="E0DCD3"/>
        </a:solidFill>
        <a:ln>
          <a:solidFill>
            <a:srgbClr val="382119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506548</xdr:colOff>
      <xdr:row>6</xdr:row>
      <xdr:rowOff>182881</xdr:rowOff>
    </xdr:from>
    <xdr:to>
      <xdr:col>15</xdr:col>
      <xdr:colOff>1506674</xdr:colOff>
      <xdr:row>8</xdr:row>
      <xdr:rowOff>198121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2840173" y="1411606"/>
          <a:ext cx="7096126" cy="453390"/>
          <a:chOff x="2777308" y="1638300"/>
          <a:chExt cx="7073266" cy="373757"/>
        </a:xfrm>
      </xdr:grpSpPr>
      <xdr:sp macro="[0]!Activatestart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SpPr txBox="1"/>
        </xdr:nvSpPr>
        <xdr:spPr>
          <a:xfrm>
            <a:off x="2777308" y="1647370"/>
            <a:ext cx="1450160" cy="360000"/>
          </a:xfrm>
          <a:prstGeom prst="roundRect">
            <a:avLst/>
          </a:prstGeom>
          <a:solidFill>
            <a:schemeClr val="accent1"/>
          </a:solidFill>
          <a:ln w="9525" cmpd="sng"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400" b="1">
                <a:solidFill>
                  <a:schemeClr val="bg1"/>
                </a:solidFill>
                <a:latin typeface="Rockwell Light" panose="02040303020102020203" pitchFamily="18" charset="0"/>
              </a:rPr>
              <a:t>Start  page</a:t>
            </a:r>
            <a:r>
              <a:rPr lang="en-GB" sz="1400" b="1" baseline="0">
                <a:solidFill>
                  <a:schemeClr val="bg1"/>
                </a:solidFill>
                <a:latin typeface="Rockwell Light" panose="02040303020102020203" pitchFamily="18" charset="0"/>
              </a:rPr>
              <a:t> </a:t>
            </a:r>
            <a:endParaRPr lang="en-GB" sz="1400" b="1">
              <a:solidFill>
                <a:schemeClr val="bg1"/>
              </a:solidFill>
              <a:latin typeface="Rockwell Light" panose="02040303020102020203" pitchFamily="18" charset="0"/>
            </a:endParaRPr>
          </a:p>
        </xdr:txBody>
      </xdr:sp>
      <xdr:sp macro="[0]!ActivateResults" textlink="">
        <xdr:nvSpPr>
          <xdr:cNvPr id="34" name="Rounded Rectangle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/>
        </xdr:nvSpPr>
        <xdr:spPr>
          <a:xfrm>
            <a:off x="8408034" y="1638934"/>
            <a:ext cx="1442540" cy="360000"/>
          </a:xfrm>
          <a:prstGeom prst="roundRect">
            <a:avLst/>
          </a:prstGeom>
          <a:solidFill>
            <a:schemeClr val="accent3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400" b="1">
                <a:solidFill>
                  <a:schemeClr val="accent1"/>
                </a:solidFill>
                <a:latin typeface="Rockwell Light" panose="02040303020102020203" pitchFamily="18" charset="0"/>
              </a:rPr>
              <a:t>Results</a:t>
            </a:r>
          </a:p>
        </xdr:txBody>
      </xdr:sp>
      <xdr:sp macro="[0]!ActivateTechnicaldata" textlink="">
        <xdr:nvSpPr>
          <xdr:cNvPr id="52" name="TextBox 51">
            <a:extLst>
              <a:ext uri="{FF2B5EF4-FFF2-40B4-BE49-F238E27FC236}">
                <a16:creationId xmlns:a16="http://schemas.microsoft.com/office/drawing/2014/main" id="{00000000-0008-0000-0300-000034000000}"/>
              </a:ext>
            </a:extLst>
          </xdr:cNvPr>
          <xdr:cNvSpPr txBox="1"/>
        </xdr:nvSpPr>
        <xdr:spPr>
          <a:xfrm>
            <a:off x="6587738" y="1652057"/>
            <a:ext cx="1432380" cy="360000"/>
          </a:xfrm>
          <a:prstGeom prst="roundRect">
            <a:avLst/>
          </a:prstGeom>
          <a:solidFill>
            <a:schemeClr val="accent1"/>
          </a:solidFill>
          <a:ln w="9525" cmpd="sng"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400" b="1">
                <a:solidFill>
                  <a:schemeClr val="bg1"/>
                </a:solidFill>
                <a:latin typeface="Rockwell Light" panose="02040303020102020203" pitchFamily="18" charset="0"/>
              </a:rPr>
              <a:t>Technical data</a:t>
            </a:r>
            <a:r>
              <a:rPr lang="en-GB" sz="1400" b="1" baseline="0">
                <a:solidFill>
                  <a:schemeClr val="bg1"/>
                </a:solidFill>
                <a:latin typeface="Rockwell Light" panose="02040303020102020203" pitchFamily="18" charset="0"/>
              </a:rPr>
              <a:t> </a:t>
            </a:r>
            <a:endParaRPr lang="en-GB" sz="1400" b="1">
              <a:solidFill>
                <a:schemeClr val="bg1"/>
              </a:solidFill>
              <a:latin typeface="Rockwell Light" panose="02040303020102020203" pitchFamily="18" charset="0"/>
            </a:endParaRPr>
          </a:p>
        </xdr:txBody>
      </xdr:sp>
      <xdr:sp macro="[0]!ActivateInstructions" textlink="">
        <xdr:nvSpPr>
          <xdr:cNvPr id="50" name="Rounded Rectangle 49">
            <a:extLst>
              <a:ext uri="{FF2B5EF4-FFF2-40B4-BE49-F238E27FC236}">
                <a16:creationId xmlns:a16="http://schemas.microsoft.com/office/drawing/2014/main" id="{00000000-0008-0000-0300-000032000000}"/>
              </a:ext>
            </a:extLst>
          </xdr:cNvPr>
          <xdr:cNvSpPr/>
        </xdr:nvSpPr>
        <xdr:spPr>
          <a:xfrm>
            <a:off x="4716780" y="1638300"/>
            <a:ext cx="1434920" cy="360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400" b="1">
                <a:solidFill>
                  <a:schemeClr val="bg1"/>
                </a:solidFill>
                <a:latin typeface="Rockwell Light" panose="02040303020102020203" pitchFamily="18" charset="0"/>
              </a:rPr>
              <a:t>Instructions</a:t>
            </a:r>
          </a:p>
        </xdr:txBody>
      </xdr:sp>
    </xdr:grpSp>
    <xdr:clientData/>
  </xdr:twoCellAnchor>
  <xdr:twoCellAnchor>
    <xdr:from>
      <xdr:col>11</xdr:col>
      <xdr:colOff>158750</xdr:colOff>
      <xdr:row>10</xdr:row>
      <xdr:rowOff>85725</xdr:rowOff>
    </xdr:from>
    <xdr:to>
      <xdr:col>12</xdr:col>
      <xdr:colOff>368300</xdr:colOff>
      <xdr:row>11</xdr:row>
      <xdr:rowOff>180975</xdr:rowOff>
    </xdr:to>
    <xdr:sp macro="" textlink="">
      <xdr:nvSpPr>
        <xdr:cNvPr id="44" name="Right Arrow 9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6076950" y="2320925"/>
          <a:ext cx="831850" cy="298450"/>
        </a:xfrm>
        <a:prstGeom prst="rightArrow">
          <a:avLst/>
        </a:prstGeom>
        <a:solidFill>
          <a:srgbClr val="E0DCD3"/>
        </a:solidFill>
        <a:ln>
          <a:solidFill>
            <a:srgbClr val="382119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1152525</xdr:colOff>
      <xdr:row>10</xdr:row>
      <xdr:rowOff>114300</xdr:rowOff>
    </xdr:from>
    <xdr:to>
      <xdr:col>15</xdr:col>
      <xdr:colOff>1971675</xdr:colOff>
      <xdr:row>12</xdr:row>
      <xdr:rowOff>0</xdr:rowOff>
    </xdr:to>
    <xdr:sp macro="" textlink="">
      <xdr:nvSpPr>
        <xdr:cNvPr id="53" name="Right Arrow 9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9534525" y="2349500"/>
          <a:ext cx="819150" cy="292100"/>
        </a:xfrm>
        <a:prstGeom prst="rightArrow">
          <a:avLst/>
        </a:prstGeom>
        <a:solidFill>
          <a:srgbClr val="E0DCD3"/>
        </a:solidFill>
        <a:ln>
          <a:solidFill>
            <a:srgbClr val="382119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504825</xdr:colOff>
      <xdr:row>0</xdr:row>
      <xdr:rowOff>104775</xdr:rowOff>
    </xdr:from>
    <xdr:to>
      <xdr:col>15</xdr:col>
      <xdr:colOff>1571625</xdr:colOff>
      <xdr:row>6</xdr:row>
      <xdr:rowOff>47625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>
          <a:off x="2181225" y="104775"/>
          <a:ext cx="7600950" cy="1162050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The Biodiversity Metric 3.0 - Calculation Tool</a:t>
          </a:r>
        </a:p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Main menu</a:t>
          </a:r>
          <a:r>
            <a:rPr lang="en-GB" sz="2800" b="0">
              <a:solidFill>
                <a:schemeClr val="accent1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452967</xdr:colOff>
      <xdr:row>9</xdr:row>
      <xdr:rowOff>234950</xdr:rowOff>
    </xdr:from>
    <xdr:to>
      <xdr:col>7</xdr:col>
      <xdr:colOff>553367</xdr:colOff>
      <xdr:row>15</xdr:row>
      <xdr:rowOff>97950</xdr:rowOff>
    </xdr:to>
    <xdr:sp macro="[0]!ActivateHeadlineResults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2163234" y="2038350"/>
          <a:ext cx="1980000" cy="1260000"/>
        </a:xfrm>
        <a:prstGeom prst="roundRect">
          <a:avLst/>
        </a:prstGeom>
        <a:solidFill>
          <a:schemeClr val="accent3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>
              <a:solidFill>
                <a:schemeClr val="accent1"/>
              </a:solidFill>
              <a:latin typeface="Rockwell Light" panose="02040303020102020203" pitchFamily="18" charset="0"/>
            </a:rPr>
            <a:t>Headline</a:t>
          </a:r>
          <a:r>
            <a:rPr lang="en-GB" sz="1400" b="1" baseline="0">
              <a:solidFill>
                <a:schemeClr val="accent1"/>
              </a:solidFill>
              <a:latin typeface="Rockwell Light" panose="02040303020102020203" pitchFamily="18" charset="0"/>
            </a:rPr>
            <a:t> results</a:t>
          </a:r>
          <a:endParaRPr lang="en-GB" sz="1400" b="1">
            <a:solidFill>
              <a:schemeClr val="accent1"/>
            </a:solidFill>
            <a:latin typeface="Rockwell Light" panose="02040303020102020203" pitchFamily="18" charset="0"/>
          </a:endParaRPr>
        </a:p>
      </xdr:txBody>
    </xdr:sp>
    <xdr:clientData/>
  </xdr:twoCellAnchor>
  <xdr:twoCellAnchor>
    <xdr:from>
      <xdr:col>8</xdr:col>
      <xdr:colOff>397933</xdr:colOff>
      <xdr:row>9</xdr:row>
      <xdr:rowOff>223307</xdr:rowOff>
    </xdr:from>
    <xdr:to>
      <xdr:col>12</xdr:col>
      <xdr:colOff>15733</xdr:colOff>
      <xdr:row>15</xdr:row>
      <xdr:rowOff>86307</xdr:rowOff>
    </xdr:to>
    <xdr:sp macro="[0]!ActivateDetailedResults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4614333" y="2026707"/>
          <a:ext cx="1980000" cy="1260000"/>
        </a:xfrm>
        <a:prstGeom prst="roundRect">
          <a:avLst/>
        </a:prstGeom>
        <a:solidFill>
          <a:schemeClr val="accent3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accent1"/>
              </a:solidFill>
              <a:latin typeface="Rockwell Light" panose="02040303020102020203" pitchFamily="18" charset="0"/>
            </a:rPr>
            <a:t>Detailed results</a:t>
          </a:r>
        </a:p>
      </xdr:txBody>
    </xdr:sp>
    <xdr:clientData/>
  </xdr:twoCellAnchor>
  <xdr:twoCellAnchor>
    <xdr:from>
      <xdr:col>12</xdr:col>
      <xdr:colOff>516467</xdr:colOff>
      <xdr:row>9</xdr:row>
      <xdr:rowOff>231773</xdr:rowOff>
    </xdr:from>
    <xdr:to>
      <xdr:col>15</xdr:col>
      <xdr:colOff>650734</xdr:colOff>
      <xdr:row>15</xdr:row>
      <xdr:rowOff>94773</xdr:rowOff>
    </xdr:to>
    <xdr:sp macro="[0]!ActivateTradingSummary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7095067" y="2035173"/>
          <a:ext cx="1980000" cy="1260000"/>
        </a:xfrm>
        <a:prstGeom prst="roundRect">
          <a:avLst/>
        </a:prstGeom>
        <a:solidFill>
          <a:schemeClr val="accent3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accent1"/>
              </a:solidFill>
              <a:latin typeface="Rockwell Light" panose="02040303020102020203" pitchFamily="18" charset="0"/>
            </a:rPr>
            <a:t>Habitat trading summary</a:t>
          </a:r>
          <a:r>
            <a:rPr lang="en-GB" sz="2000" b="1">
              <a:solidFill>
                <a:schemeClr val="accent1"/>
              </a:solidFill>
              <a:latin typeface="Rockwell Light" panose="02040303020102020203" pitchFamily="18" charset="0"/>
            </a:rPr>
            <a:t> </a:t>
          </a:r>
        </a:p>
      </xdr:txBody>
    </xdr:sp>
    <xdr:clientData/>
  </xdr:twoCellAnchor>
  <xdr:twoCellAnchor>
    <xdr:from>
      <xdr:col>1</xdr:col>
      <xdr:colOff>93134</xdr:colOff>
      <xdr:row>9</xdr:row>
      <xdr:rowOff>220134</xdr:rowOff>
    </xdr:from>
    <xdr:to>
      <xdr:col>3</xdr:col>
      <xdr:colOff>1270000</xdr:colOff>
      <xdr:row>15</xdr:row>
      <xdr:rowOff>83134</xdr:rowOff>
    </xdr:to>
    <xdr:sp macro="[0]!Activatestart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37067" y="2023534"/>
          <a:ext cx="1464733" cy="1260000"/>
        </a:xfrm>
        <a:prstGeom prst="roundRect">
          <a:avLst/>
        </a:prstGeom>
        <a:solidFill>
          <a:schemeClr val="accent1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2540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Return to start</a:t>
          </a:r>
        </a:p>
        <a:p>
          <a:pPr algn="ctr"/>
          <a:r>
            <a:rPr lang="en-GB" sz="1400" b="1">
              <a:solidFill>
                <a:schemeClr val="bg1"/>
              </a:solidFill>
              <a:latin typeface="Rockwell Light" panose="02040303020102020203" pitchFamily="18" charset="0"/>
            </a:rPr>
            <a:t>page</a:t>
          </a:r>
        </a:p>
      </xdr:txBody>
    </xdr:sp>
    <xdr:clientData/>
  </xdr:twoCellAnchor>
  <xdr:twoCellAnchor>
    <xdr:from>
      <xdr:col>3</xdr:col>
      <xdr:colOff>38100</xdr:colOff>
      <xdr:row>1</xdr:row>
      <xdr:rowOff>85726</xdr:rowOff>
    </xdr:from>
    <xdr:to>
      <xdr:col>15</xdr:col>
      <xdr:colOff>466725</xdr:colOff>
      <xdr:row>7</xdr:row>
      <xdr:rowOff>123826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466725" y="285751"/>
          <a:ext cx="8210550" cy="1276350"/>
        </a:xfrm>
        <a:prstGeom prst="roundRect">
          <a:avLst/>
        </a:prstGeom>
        <a:solidFill>
          <a:srgbClr val="E0DCD3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25400" dist="393700" dir="2160000">
            <a:prstClr val="black">
              <a:alpha val="47000"/>
            </a:prstClr>
          </a:innerShdw>
        </a:effectLst>
        <a:scene3d>
          <a:camera prst="orthographicFront"/>
          <a:lightRig rig="threePt" dir="t"/>
        </a:scene3d>
        <a:sp3d contourW="25400">
          <a:bevelT w="114300" prst="artDeco"/>
          <a:bevelB w="0" h="69850" prst="artDeco"/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The Biodiversity Metric 3.0 - Calculation Tool</a:t>
          </a:r>
        </a:p>
        <a:p>
          <a:pPr algn="ctr"/>
          <a:r>
            <a:rPr lang="en-GB" sz="2800" b="0" i="0" u="none" strike="noStrike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Start</a:t>
          </a:r>
          <a:r>
            <a:rPr lang="en-GB" sz="2800" b="0" i="0" u="none" strike="noStrike" baseline="0">
              <a:solidFill>
                <a:schemeClr val="accent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page</a:t>
          </a:r>
          <a:r>
            <a:rPr lang="en-GB" sz="2800" b="0">
              <a:solidFill>
                <a:schemeClr val="accent1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166791</xdr:colOff>
      <xdr:row>1</xdr:row>
      <xdr:rowOff>12701</xdr:rowOff>
    </xdr:from>
    <xdr:to>
      <xdr:col>4</xdr:col>
      <xdr:colOff>1466850</xdr:colOff>
      <xdr:row>3</xdr:row>
      <xdr:rowOff>190500</xdr:rowOff>
    </xdr:to>
    <xdr:sp macro="[0]!ActivateResults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4367316" y="212726"/>
          <a:ext cx="1300059" cy="615949"/>
        </a:xfrm>
        <a:prstGeom prst="roundRect">
          <a:avLst/>
        </a:prstGeom>
        <a:solidFill>
          <a:schemeClr val="accent3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accent1"/>
              </a:solidFill>
              <a:latin typeface="+mn-lt"/>
            </a:rPr>
            <a:t>Return to results 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289188</xdr:colOff>
      <xdr:row>34</xdr:row>
      <xdr:rowOff>169636</xdr:rowOff>
    </xdr:from>
    <xdr:to>
      <xdr:col>26</xdr:col>
      <xdr:colOff>146049</xdr:colOff>
      <xdr:row>48</xdr:row>
      <xdr:rowOff>87360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27</xdr:col>
      <xdr:colOff>228601</xdr:colOff>
      <xdr:row>34</xdr:row>
      <xdr:rowOff>167640</xdr:rowOff>
    </xdr:from>
    <xdr:to>
      <xdr:col>35</xdr:col>
      <xdr:colOff>34291</xdr:colOff>
      <xdr:row>48</xdr:row>
      <xdr:rowOff>106680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18</xdr:col>
      <xdr:colOff>203200</xdr:colOff>
      <xdr:row>52</xdr:row>
      <xdr:rowOff>88901</xdr:rowOff>
    </xdr:from>
    <xdr:to>
      <xdr:col>34</xdr:col>
      <xdr:colOff>515621</xdr:colOff>
      <xdr:row>68</xdr:row>
      <xdr:rowOff>114936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6985</xdr:colOff>
      <xdr:row>52</xdr:row>
      <xdr:rowOff>83493</xdr:rowOff>
    </xdr:from>
    <xdr:to>
      <xdr:col>17</xdr:col>
      <xdr:colOff>157866</xdr:colOff>
      <xdr:row>68</xdr:row>
      <xdr:rowOff>165735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12</xdr:col>
      <xdr:colOff>723901</xdr:colOff>
      <xdr:row>34</xdr:row>
      <xdr:rowOff>168050</xdr:rowOff>
    </xdr:from>
    <xdr:to>
      <xdr:col>17</xdr:col>
      <xdr:colOff>50801</xdr:colOff>
      <xdr:row>48</xdr:row>
      <xdr:rowOff>133168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9</xdr:col>
      <xdr:colOff>38099</xdr:colOff>
      <xdr:row>71</xdr:row>
      <xdr:rowOff>172629</xdr:rowOff>
    </xdr:from>
    <xdr:to>
      <xdr:col>17</xdr:col>
      <xdr:colOff>134620</xdr:colOff>
      <xdr:row>87</xdr:row>
      <xdr:rowOff>188595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135466</xdr:colOff>
      <xdr:row>1</xdr:row>
      <xdr:rowOff>4</xdr:rowOff>
    </xdr:from>
    <xdr:to>
      <xdr:col>5</xdr:col>
      <xdr:colOff>923925</xdr:colOff>
      <xdr:row>3</xdr:row>
      <xdr:rowOff>209551</xdr:rowOff>
    </xdr:to>
    <xdr:sp macro="[0]!ActivateResults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7422091" y="200029"/>
          <a:ext cx="1855259" cy="733422"/>
        </a:xfrm>
        <a:prstGeom prst="roundRect">
          <a:avLst/>
        </a:prstGeom>
        <a:solidFill>
          <a:schemeClr val="accent3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>
              <a:solidFill>
                <a:schemeClr val="accent1"/>
              </a:solidFill>
              <a:latin typeface="Rockwell Light" panose="02040303020102020203" pitchFamily="18" charset="0"/>
            </a:rPr>
            <a:t>Return to results  menu</a:t>
          </a:r>
        </a:p>
      </xdr:txBody>
    </xdr:sp>
    <xdr:clientData/>
  </xdr:twoCellAnchor>
  <xdr:twoCellAnchor editAs="absolute">
    <xdr:from>
      <xdr:col>18</xdr:col>
      <xdr:colOff>221343</xdr:colOff>
      <xdr:row>72</xdr:row>
      <xdr:rowOff>24492</xdr:rowOff>
    </xdr:from>
    <xdr:to>
      <xdr:col>34</xdr:col>
      <xdr:colOff>551543</xdr:colOff>
      <xdr:row>87</xdr:row>
      <xdr:rowOff>184603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12</xdr:col>
      <xdr:colOff>800100</xdr:colOff>
      <xdr:row>94</xdr:row>
      <xdr:rowOff>62864</xdr:rowOff>
    </xdr:from>
    <xdr:to>
      <xdr:col>17</xdr:col>
      <xdr:colOff>217170</xdr:colOff>
      <xdr:row>108</xdr:row>
      <xdr:rowOff>95250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18</xdr:col>
      <xdr:colOff>152400</xdr:colOff>
      <xdr:row>94</xdr:row>
      <xdr:rowOff>51707</xdr:rowOff>
    </xdr:from>
    <xdr:to>
      <xdr:col>25</xdr:col>
      <xdr:colOff>330653</xdr:colOff>
      <xdr:row>108</xdr:row>
      <xdr:rowOff>89808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26</xdr:col>
      <xdr:colOff>326571</xdr:colOff>
      <xdr:row>94</xdr:row>
      <xdr:rowOff>38101</xdr:rowOff>
    </xdr:from>
    <xdr:to>
      <xdr:col>34</xdr:col>
      <xdr:colOff>170090</xdr:colOff>
      <xdr:row>108</xdr:row>
      <xdr:rowOff>146957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9</xdr:col>
      <xdr:colOff>4084</xdr:colOff>
      <xdr:row>113</xdr:row>
      <xdr:rowOff>57150</xdr:rowOff>
    </xdr:from>
    <xdr:to>
      <xdr:col>17</xdr:col>
      <xdr:colOff>165850</xdr:colOff>
      <xdr:row>128</xdr:row>
      <xdr:rowOff>78921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9</xdr:col>
      <xdr:colOff>6896</xdr:colOff>
      <xdr:row>131</xdr:row>
      <xdr:rowOff>124549</xdr:rowOff>
    </xdr:from>
    <xdr:to>
      <xdr:col>17</xdr:col>
      <xdr:colOff>266700</xdr:colOff>
      <xdr:row>149</xdr:row>
      <xdr:rowOff>104775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17</xdr:col>
      <xdr:colOff>723900</xdr:colOff>
      <xdr:row>113</xdr:row>
      <xdr:rowOff>0</xdr:rowOff>
    </xdr:from>
    <xdr:to>
      <xdr:col>34</xdr:col>
      <xdr:colOff>198121</xdr:colOff>
      <xdr:row>128</xdr:row>
      <xdr:rowOff>47625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17</xdr:col>
      <xdr:colOff>736600</xdr:colOff>
      <xdr:row>131</xdr:row>
      <xdr:rowOff>85725</xdr:rowOff>
    </xdr:from>
    <xdr:to>
      <xdr:col>34</xdr:col>
      <xdr:colOff>274411</xdr:colOff>
      <xdr:row>149</xdr:row>
      <xdr:rowOff>117475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12</xdr:col>
      <xdr:colOff>844550</xdr:colOff>
      <xdr:row>155</xdr:row>
      <xdr:rowOff>111306</xdr:rowOff>
    </xdr:from>
    <xdr:to>
      <xdr:col>17</xdr:col>
      <xdr:colOff>280308</xdr:colOff>
      <xdr:row>170</xdr:row>
      <xdr:rowOff>44360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18</xdr:col>
      <xdr:colOff>30018</xdr:colOff>
      <xdr:row>155</xdr:row>
      <xdr:rowOff>73726</xdr:rowOff>
    </xdr:from>
    <xdr:to>
      <xdr:col>25</xdr:col>
      <xdr:colOff>295275</xdr:colOff>
      <xdr:row>169</xdr:row>
      <xdr:rowOff>169429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absolute">
    <xdr:from>
      <xdr:col>26</xdr:col>
      <xdr:colOff>200026</xdr:colOff>
      <xdr:row>155</xdr:row>
      <xdr:rowOff>62592</xdr:rowOff>
    </xdr:from>
    <xdr:to>
      <xdr:col>34</xdr:col>
      <xdr:colOff>152287</xdr:colOff>
      <xdr:row>170</xdr:row>
      <xdr:rowOff>6350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absolute">
    <xdr:from>
      <xdr:col>9</xdr:col>
      <xdr:colOff>161925</xdr:colOff>
      <xdr:row>172</xdr:row>
      <xdr:rowOff>156483</xdr:rowOff>
    </xdr:from>
    <xdr:to>
      <xdr:col>17</xdr:col>
      <xdr:colOff>333216</xdr:colOff>
      <xdr:row>188</xdr:row>
      <xdr:rowOff>163284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absolute">
    <xdr:from>
      <xdr:col>17</xdr:col>
      <xdr:colOff>685800</xdr:colOff>
      <xdr:row>172</xdr:row>
      <xdr:rowOff>146958</xdr:rowOff>
    </xdr:from>
    <xdr:to>
      <xdr:col>34</xdr:col>
      <xdr:colOff>160021</xdr:colOff>
      <xdr:row>188</xdr:row>
      <xdr:rowOff>179613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absolute">
    <xdr:from>
      <xdr:col>9</xdr:col>
      <xdr:colOff>152400</xdr:colOff>
      <xdr:row>190</xdr:row>
      <xdr:rowOff>125185</xdr:rowOff>
    </xdr:from>
    <xdr:to>
      <xdr:col>17</xdr:col>
      <xdr:colOff>265249</xdr:colOff>
      <xdr:row>208</xdr:row>
      <xdr:rowOff>29937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absolute">
    <xdr:from>
      <xdr:col>17</xdr:col>
      <xdr:colOff>685800</xdr:colOff>
      <xdr:row>190</xdr:row>
      <xdr:rowOff>121375</xdr:rowOff>
    </xdr:from>
    <xdr:to>
      <xdr:col>34</xdr:col>
      <xdr:colOff>177800</xdr:colOff>
      <xdr:row>208</xdr:row>
      <xdr:rowOff>19323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72392</xdr:rowOff>
    </xdr:from>
    <xdr:to>
      <xdr:col>0</xdr:col>
      <xdr:colOff>1057275</xdr:colOff>
      <xdr:row>3</xdr:row>
      <xdr:rowOff>161925</xdr:rowOff>
    </xdr:to>
    <xdr:sp macro="[0]!ActivateResults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85725" y="72392"/>
          <a:ext cx="971550" cy="813433"/>
        </a:xfrm>
        <a:prstGeom prst="roundRect">
          <a:avLst/>
        </a:prstGeom>
        <a:solidFill>
          <a:schemeClr val="accent3"/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>
              <a:solidFill>
                <a:schemeClr val="accent1"/>
              </a:solidFill>
            </a:rPr>
            <a:t>Return to results</a:t>
          </a:r>
        </a:p>
        <a:p>
          <a:pPr algn="ctr"/>
          <a:r>
            <a:rPr lang="en-GB" sz="1200">
              <a:solidFill>
                <a:schemeClr val="accent1"/>
              </a:solidFill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115124</xdr:rowOff>
    </xdr:from>
    <xdr:to>
      <xdr:col>6</xdr:col>
      <xdr:colOff>3268895</xdr:colOff>
      <xdr:row>7</xdr:row>
      <xdr:rowOff>300170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/>
      </xdr:nvGrpSpPr>
      <xdr:grpSpPr>
        <a:xfrm>
          <a:off x="206829" y="866238"/>
          <a:ext cx="7032171" cy="761989"/>
          <a:chOff x="205740" y="877124"/>
          <a:chExt cx="4701455" cy="771786"/>
        </a:xfrm>
      </xdr:grpSpPr>
      <xdr:sp macro="[0]!ToggleHideRows" textlink="">
        <xdr:nvSpPr>
          <xdr:cNvPr id="17" name="Rectangle: Rounded Corners 19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/>
        </xdr:nvSpPr>
        <xdr:spPr>
          <a:xfrm>
            <a:off x="2620817" y="883920"/>
            <a:ext cx="2286000" cy="360001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/>
              <a:t>Condense / Show Rows</a:t>
            </a:r>
          </a:p>
        </xdr:txBody>
      </xdr:sp>
      <xdr:sp macro="[0]!ActivateSelectWorksheet" textlink="">
        <xdr:nvSpPr>
          <xdr:cNvPr id="15" name="Rounded Rectangle 14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/>
        </xdr:nvSpPr>
        <xdr:spPr>
          <a:xfrm>
            <a:off x="205740" y="1347548"/>
            <a:ext cx="2286000" cy="288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bevelB w="1143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 baseline="0">
                <a:solidFill>
                  <a:schemeClr val="bg1"/>
                </a:solidFill>
                <a:latin typeface="Rockwell Light" panose="02040303020102020203" pitchFamily="18" charset="0"/>
              </a:rPr>
              <a:t>Main M</a:t>
            </a:r>
            <a:r>
              <a:rPr lang="en-GB" sz="1200">
                <a:solidFill>
                  <a:schemeClr val="bg1"/>
                </a:solidFill>
                <a:latin typeface="Rockwell Light" panose="02040303020102020203" pitchFamily="18" charset="0"/>
              </a:rPr>
              <a:t>enu </a:t>
            </a:r>
          </a:p>
        </xdr:txBody>
      </xdr:sp>
      <xdr:sp macro="[0]!ActivateInstructions" textlink="">
        <xdr:nvSpPr>
          <xdr:cNvPr id="16" name="Rounded Rectangle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/>
        </xdr:nvSpPr>
        <xdr:spPr>
          <a:xfrm>
            <a:off x="2621195" y="1360910"/>
            <a:ext cx="2286000" cy="288000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bevelB w="1143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200">
                <a:solidFill>
                  <a:schemeClr val="bg1"/>
                </a:solidFill>
                <a:latin typeface="Rockwell Light" panose="02040303020102020203" pitchFamily="18" charset="0"/>
              </a:rPr>
              <a:t>Instructions</a:t>
            </a:r>
          </a:p>
        </xdr:txBody>
      </xdr:sp>
      <xdr:sp macro="[0]!ToggleHideColumns" textlink="">
        <xdr:nvSpPr>
          <xdr:cNvPr id="19" name="Rectangle: Rounded Corners 19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/>
        </xdr:nvSpPr>
        <xdr:spPr>
          <a:xfrm>
            <a:off x="206819" y="877124"/>
            <a:ext cx="2286000" cy="360001"/>
          </a:xfrm>
          <a:prstGeom prst="roundRect">
            <a:avLst/>
          </a:prstGeom>
          <a:solidFill>
            <a:schemeClr val="accent1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2540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100">
                <a:latin typeface="Rockwell Light" panose="02040303020102020203" pitchFamily="18" charset="0"/>
              </a:rPr>
              <a:t>Condense / Show Columns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N264DF\m312897$\Net%20Gain\Latest%20Tool%20with%20updated%20hedgerows%2006%2011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t%20Gain\Rivers%20and%20Streams\Master%20metric%20with%20RS%20amendments%20with%20new%20G7%20layou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N264DF\m312897$\Net%20Gain\Rivers%20and%20Streams\Master%20metric%20with%20RS%20amendments%20with%20new%20G7%20layou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Start"/>
      <sheetName val="Instructions"/>
      <sheetName val="Main Menu"/>
      <sheetName val="Results"/>
      <sheetName val="Headline Results"/>
      <sheetName val="Detailed Results"/>
      <sheetName val="Trading Summary"/>
      <sheetName val="C-1 Site River Baseline"/>
      <sheetName val="C-2 Site River Creation"/>
      <sheetName val="C-3 Site River Enhancement"/>
      <sheetName val="F-1 Off Site River Baseline"/>
      <sheetName val="F-2 Off Site River Creation"/>
      <sheetName val="F-3 Off Site River Enhancement"/>
      <sheetName val="G-7 Rivers Data"/>
      <sheetName val="A-1 Site Habitat Baseline"/>
      <sheetName val="A-2 Site Habitat Creation"/>
      <sheetName val="A-3 Site Habitat Enhancement"/>
      <sheetName val="A-4 Site Habitat Succession"/>
      <sheetName val="D-1 Off Site Habitat Baseline"/>
      <sheetName val="D-2 Off Site Habitat Creation"/>
      <sheetName val="D-3 Off Site Habitat Enhancment"/>
      <sheetName val="D-4 Off Site Habitat Succession"/>
      <sheetName val="B-1 Site Hedge Baseline"/>
      <sheetName val="B-2 Site Hedge Creation"/>
      <sheetName val="B-3 Site Hedge Enhancement"/>
      <sheetName val="E-1 Off Site Hedge Baseline"/>
      <sheetName val="E-2 Off Site Hedge Creation"/>
      <sheetName val="E-3 Off Site Hedge Enhancement"/>
      <sheetName val="G-6 Hedgerow Data"/>
      <sheetName val="G-1 All Habitats"/>
      <sheetName val="G-2 Habitat groups"/>
      <sheetName val="G-3 Multipliers"/>
      <sheetName val="G-4 Temporal multipliers"/>
      <sheetName val="G-5 Enhancement Temporal"/>
      <sheetName val="G-8 Condition Look up"/>
      <sheetName val="G-9 Translation Phase 1"/>
      <sheetName val="Technical Data"/>
      <sheetName val="List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>
        <row r="3">
          <cell r="B3" t="str">
            <v>Native Species Rich Hedgerow with trees - Associated with bank or ditch</v>
          </cell>
        </row>
      </sheetData>
      <sheetData sheetId="30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Start"/>
      <sheetName val="Instructions"/>
      <sheetName val="Main Menu"/>
      <sheetName val="Results"/>
      <sheetName val="Headline Results"/>
      <sheetName val="Detailed Results"/>
      <sheetName val="Trading Summary"/>
      <sheetName val="A-1 Site Habitat Baseline"/>
      <sheetName val="A-2 Site Habitat Creation"/>
      <sheetName val="A-3 Site Habitat Enhancement"/>
      <sheetName val="A-4 Site Habitat Succession"/>
      <sheetName val="B-1 Site Hedge Baseline"/>
      <sheetName val="B-2 Site Hedge Creation"/>
      <sheetName val="B-3 Site Hedge Enhancement"/>
      <sheetName val="C-1 Site River Baseline"/>
      <sheetName val="C-2 Site River Creation"/>
      <sheetName val="C-3 Site River Enhancement"/>
      <sheetName val="D-1 Off Site Habitat Baseline"/>
      <sheetName val="D-2 Off Site Habitat Creation"/>
      <sheetName val="D-3 Off Site Habitat Enhancment"/>
      <sheetName val="D-4 Off Site Habitat Succession"/>
      <sheetName val="E-1 Off Site Hedge Baseline"/>
      <sheetName val="E-2 Off Site Hedge Creation"/>
      <sheetName val="E-3 Off Site Hedge Enhancement"/>
      <sheetName val="F-1 Off Site River Baseline"/>
      <sheetName val="F-2 Off Site River Creation"/>
      <sheetName val="F-3 Off Site River Enhancement"/>
      <sheetName val="G-1 All Habitats"/>
      <sheetName val="G-2 Habitat groups"/>
      <sheetName val="G-3 Multipliers"/>
      <sheetName val="G-4 Temporal multipliers"/>
      <sheetName val="G-5 Enhancement Temporal"/>
      <sheetName val="G-6 Hedgerow Data"/>
      <sheetName val="G-7 Rivers Data"/>
      <sheetName val="G-8 Condition Look up"/>
      <sheetName val="G-9 Translation Phase 1"/>
      <sheetName val="Technical Data"/>
      <sheetName val="Lists"/>
      <sheetName val="Master metric with RS amendment"/>
    </sheetNames>
    <definedNames>
      <definedName name="returnstartG7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9">
          <cell r="C9" t="str">
            <v>Baseline ref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C2" t="str">
            <v>Distinctivness</v>
          </cell>
        </row>
        <row r="4">
          <cell r="AA4" t="str">
            <v xml:space="preserve">No Encroachment </v>
          </cell>
          <cell r="AB4">
            <v>1</v>
          </cell>
        </row>
        <row r="5">
          <cell r="AA5" t="str">
            <v>Minor</v>
          </cell>
          <cell r="AB5">
            <v>0.8</v>
          </cell>
        </row>
        <row r="6">
          <cell r="AA6" t="str">
            <v>Major</v>
          </cell>
          <cell r="AB6">
            <v>0.5</v>
          </cell>
        </row>
      </sheetData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7 Rivers Data"/>
      <sheetName val="Introduction"/>
      <sheetName val="Start"/>
      <sheetName val="Instructions"/>
      <sheetName val="Main Menu"/>
      <sheetName val="Results"/>
      <sheetName val="Headline Results"/>
      <sheetName val="Detailed Results"/>
      <sheetName val="Trading Summary"/>
      <sheetName val="A-1 Site Habitat Baseline"/>
      <sheetName val="A-2 Site Habitat Creation"/>
      <sheetName val="A-3 Site Habitat Enhancement"/>
      <sheetName val="A-4 Site Habitat Succession"/>
      <sheetName val="B-1 Site Hedge Baseline"/>
      <sheetName val="B-2 Site Hedge Creation"/>
      <sheetName val="B-3 Site Hedge Enhancement"/>
      <sheetName val="C-1 Site River Baseline"/>
      <sheetName val="C-2 Site River Creation"/>
      <sheetName val="C-3 Site River Enhancement"/>
      <sheetName val="D-1 Off Site Habitat Baseline"/>
      <sheetName val="D-2 Off Site Habitat Creation"/>
      <sheetName val="D-3 Off Site Habitat Enhancment"/>
      <sheetName val="D-4 Off Site Habitat Succession"/>
      <sheetName val="E-1 Off Site Hedge Baseline"/>
      <sheetName val="E-2 Off Site Hedge Creation"/>
      <sheetName val="E-3 Off Site Hedge Enhancement"/>
      <sheetName val="F-1 Off Site River Baseline"/>
      <sheetName val="F-2 Off Site River Creation"/>
      <sheetName val="F-3 Off Site River Enhancement"/>
      <sheetName val="G-1 All Habitats"/>
      <sheetName val="G-2 Habitat groups"/>
      <sheetName val="G-3 Multipliers"/>
      <sheetName val="G-4 Temporal multipliers"/>
      <sheetName val="G-5 Enhancement Temporal"/>
      <sheetName val="G-6 Hedgerow Data"/>
      <sheetName val="G-8 Condition Look up"/>
      <sheetName val="G-9 Translation Phase 1"/>
      <sheetName val="Technical Data"/>
      <sheetName val="Lists"/>
      <sheetName val="Master metric with RS amendmen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C9" t="str">
            <v>Baseline ref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Metric Theme Elegant">
      <a:dk1>
        <a:srgbClr val="ABC3C9"/>
      </a:dk1>
      <a:lt1>
        <a:sysClr val="window" lastClr="FFFFFF"/>
      </a:lt1>
      <a:dk2>
        <a:srgbClr val="CCBE9F"/>
      </a:dk2>
      <a:lt2>
        <a:srgbClr val="E0DCD3"/>
      </a:lt2>
      <a:accent1>
        <a:srgbClr val="383745"/>
      </a:accent1>
      <a:accent2>
        <a:srgbClr val="CAB8CB"/>
      </a:accent2>
      <a:accent3>
        <a:srgbClr val="F4D4D4"/>
      </a:accent3>
      <a:accent4>
        <a:srgbClr val="C0C0C0"/>
      </a:accent4>
      <a:accent5>
        <a:srgbClr val="92D050"/>
      </a:accent5>
      <a:accent6>
        <a:srgbClr val="945642"/>
      </a:accent6>
      <a:hlink>
        <a:srgbClr val="00B0F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Metric Theme Elegant">
    <a:dk1>
      <a:srgbClr val="ABC3C9"/>
    </a:dk1>
    <a:lt1>
      <a:sysClr val="window" lastClr="FFFFFF"/>
    </a:lt1>
    <a:dk2>
      <a:srgbClr val="CCBE9F"/>
    </a:dk2>
    <a:lt2>
      <a:srgbClr val="E0DCD3"/>
    </a:lt2>
    <a:accent1>
      <a:srgbClr val="383745"/>
    </a:accent1>
    <a:accent2>
      <a:srgbClr val="CAB8CB"/>
    </a:accent2>
    <a:accent3>
      <a:srgbClr val="F4D4D4"/>
    </a:accent3>
    <a:accent4>
      <a:srgbClr val="C0C0C0"/>
    </a:accent4>
    <a:accent5>
      <a:srgbClr val="92D050"/>
    </a:accent5>
    <a:accent6>
      <a:srgbClr val="945642"/>
    </a:accent6>
    <a:hlink>
      <a:srgbClr val="00B0F0"/>
    </a:hlink>
    <a:folHlink>
      <a:srgbClr val="FFC00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Metric Theme Elegant">
    <a:dk1>
      <a:srgbClr val="ABC3C9"/>
    </a:dk1>
    <a:lt1>
      <a:sysClr val="window" lastClr="FFFFFF"/>
    </a:lt1>
    <a:dk2>
      <a:srgbClr val="CCBE9F"/>
    </a:dk2>
    <a:lt2>
      <a:srgbClr val="E0DCD3"/>
    </a:lt2>
    <a:accent1>
      <a:srgbClr val="383745"/>
    </a:accent1>
    <a:accent2>
      <a:srgbClr val="CAB8CB"/>
    </a:accent2>
    <a:accent3>
      <a:srgbClr val="F4D4D4"/>
    </a:accent3>
    <a:accent4>
      <a:srgbClr val="C0C0C0"/>
    </a:accent4>
    <a:accent5>
      <a:srgbClr val="92D050"/>
    </a:accent5>
    <a:accent6>
      <a:srgbClr val="945642"/>
    </a:accent6>
    <a:hlink>
      <a:srgbClr val="00B0F0"/>
    </a:hlink>
    <a:folHlink>
      <a:srgbClr val="FFC00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Metric Theme Elegant">
    <a:dk1>
      <a:srgbClr val="ABC3C9"/>
    </a:dk1>
    <a:lt1>
      <a:sysClr val="window" lastClr="FFFFFF"/>
    </a:lt1>
    <a:dk2>
      <a:srgbClr val="CCBE9F"/>
    </a:dk2>
    <a:lt2>
      <a:srgbClr val="E0DCD3"/>
    </a:lt2>
    <a:accent1>
      <a:srgbClr val="383745"/>
    </a:accent1>
    <a:accent2>
      <a:srgbClr val="CAB8CB"/>
    </a:accent2>
    <a:accent3>
      <a:srgbClr val="F4D4D4"/>
    </a:accent3>
    <a:accent4>
      <a:srgbClr val="C0C0C0"/>
    </a:accent4>
    <a:accent5>
      <a:srgbClr val="92D050"/>
    </a:accent5>
    <a:accent6>
      <a:srgbClr val="945642"/>
    </a:accent6>
    <a:hlink>
      <a:srgbClr val="00B0F0"/>
    </a:hlink>
    <a:folHlink>
      <a:srgbClr val="FFC00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5">
    <tabColor theme="0" tint="-0.249977111117893"/>
  </sheetPr>
  <dimension ref="A1:J591"/>
  <sheetViews>
    <sheetView showGridLines="0" showRowColHeaders="0" zoomScale="80" zoomScaleNormal="80" workbookViewId="0">
      <selection activeCell="L35" sqref="L35"/>
    </sheetView>
  </sheetViews>
  <sheetFormatPr defaultColWidth="9.109375" defaultRowHeight="14.4" customHeight="1" zeroHeight="1" x14ac:dyDescent="0.3"/>
  <cols>
    <col min="1" max="2" width="9.109375" style="9" customWidth="1"/>
    <col min="3" max="3" width="7" style="9" customWidth="1"/>
    <col min="4" max="6" width="9.109375" style="9" customWidth="1"/>
    <col min="7" max="7" width="12.109375" style="9" customWidth="1"/>
    <col min="8" max="8" width="5.6640625" style="9" customWidth="1"/>
    <col min="9" max="9" width="9.109375" style="9" customWidth="1"/>
    <col min="10" max="10" width="34.5546875" style="9" customWidth="1"/>
    <col min="11" max="11" width="13.6640625" style="9" bestFit="1" customWidth="1"/>
    <col min="12" max="12" width="19.33203125" style="9" customWidth="1"/>
    <col min="13" max="14" width="9.109375" style="9" customWidth="1"/>
    <col min="15" max="16384" width="9.109375" style="9"/>
  </cols>
  <sheetData>
    <row r="1" spans="1:7" ht="30" customHeight="1" x14ac:dyDescent="0.4">
      <c r="A1" s="8"/>
      <c r="B1" s="8"/>
      <c r="C1" s="8"/>
      <c r="D1" s="8"/>
      <c r="E1" s="8"/>
      <c r="F1" s="8"/>
      <c r="G1" s="8"/>
    </row>
    <row r="2" spans="1:7" ht="16.5" customHeight="1" x14ac:dyDescent="0.3"/>
    <row r="3" spans="1:7" ht="16.5" customHeight="1" x14ac:dyDescent="0.3"/>
    <row r="4" spans="1:7" ht="16.5" customHeight="1" x14ac:dyDescent="0.3"/>
    <row r="5" spans="1:7" ht="16.5" customHeight="1" x14ac:dyDescent="0.3"/>
    <row r="6" spans="1:7" ht="16.5" customHeight="1" x14ac:dyDescent="0.3"/>
    <row r="7" spans="1:7" ht="16.5" customHeight="1" x14ac:dyDescent="0.3"/>
    <row r="8" spans="1:7" ht="16.5" customHeight="1" x14ac:dyDescent="0.3"/>
    <row r="9" spans="1:7" ht="16.5" customHeight="1" x14ac:dyDescent="0.3"/>
    <row r="10" spans="1:7" ht="16.5" customHeight="1" x14ac:dyDescent="0.3"/>
    <row r="11" spans="1:7" ht="16.5" customHeight="1" x14ac:dyDescent="0.3"/>
    <row r="12" spans="1:7" ht="16.5" customHeight="1" x14ac:dyDescent="0.3"/>
    <row r="13" spans="1:7" ht="16.5" customHeight="1" x14ac:dyDescent="0.3"/>
    <row r="14" spans="1:7" ht="16.5" customHeight="1" x14ac:dyDescent="0.3"/>
    <row r="15" spans="1:7" ht="16.5" customHeight="1" x14ac:dyDescent="0.3"/>
    <row r="16" spans="1:7" ht="16.5" customHeight="1" x14ac:dyDescent="0.3"/>
    <row r="17" spans="10:10" ht="16.5" customHeight="1" x14ac:dyDescent="0.3"/>
    <row r="18" spans="10:10" ht="16.5" customHeight="1" x14ac:dyDescent="0.3"/>
    <row r="19" spans="10:10" ht="16.5" customHeight="1" x14ac:dyDescent="0.3"/>
    <row r="20" spans="10:10" ht="16.5" customHeight="1" x14ac:dyDescent="0.3"/>
    <row r="21" spans="10:10" ht="16.5" customHeight="1" x14ac:dyDescent="0.3"/>
    <row r="22" spans="10:10" ht="16.5" customHeight="1" x14ac:dyDescent="0.3"/>
    <row r="23" spans="10:10" ht="16.5" customHeight="1" x14ac:dyDescent="0.3"/>
    <row r="24" spans="10:10" ht="16.5" customHeight="1" x14ac:dyDescent="0.3"/>
    <row r="25" spans="10:10" ht="16.5" customHeight="1" x14ac:dyDescent="0.3">
      <c r="J25" s="10"/>
    </row>
    <row r="26" spans="10:10" ht="16.5" customHeight="1" x14ac:dyDescent="0.3"/>
    <row r="27" spans="10:10" ht="16.5" customHeight="1" x14ac:dyDescent="0.3"/>
    <row r="28" spans="10:10" ht="16.5" customHeight="1" x14ac:dyDescent="0.3"/>
    <row r="29" spans="10:10" ht="16.5" customHeight="1" x14ac:dyDescent="0.3"/>
    <row r="30" spans="10:10" ht="16.5" customHeight="1" x14ac:dyDescent="0.3"/>
    <row r="31" spans="10:10" ht="16.5" customHeight="1" x14ac:dyDescent="0.3"/>
    <row r="32" spans="10:10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hidden="1" x14ac:dyDescent="0.3"/>
    <row r="583" ht="14.4" customHeight="1" x14ac:dyDescent="0.3"/>
    <row r="584" ht="14.4" customHeight="1" x14ac:dyDescent="0.3"/>
    <row r="585" ht="14.4" customHeight="1" x14ac:dyDescent="0.3"/>
    <row r="586" ht="14.4" customHeight="1" x14ac:dyDescent="0.3"/>
    <row r="587" ht="14.4" customHeight="1" x14ac:dyDescent="0.3"/>
    <row r="588" ht="14.4" customHeight="1" x14ac:dyDescent="0.3"/>
    <row r="589" ht="14.4" customHeight="1" x14ac:dyDescent="0.3"/>
    <row r="590" ht="14.4" customHeight="1" x14ac:dyDescent="0.3"/>
    <row r="591" ht="14.4" customHeight="1" x14ac:dyDescent="0.3"/>
  </sheetData>
  <sheetProtection algorithmName="SHA-512" hashValue="PplFvN8ywjcRsfo2OpZTQ75/yREWI6onVG/xBZaXHtqIggBQl1gBozi7XlR8lmf22qAuEUPtTALB+hw1Jo+a+w==" saltValue="zNLH4hWAI+kXK1B0jn67Mw==" spinCount="100000" sheet="1" objects="1" scenarios="1" selectLockedCells="1" selectUnlockedCells="1"/>
  <customSheetViews>
    <customSheetView guid="{8BDA793C-C9C5-4FC6-A0A5-F1109F6D4F22}" scale="80" state="hidden">
      <selection activeCell="D14" sqref="D14"/>
    </customSheetView>
  </customSheetView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3">
    <tabColor rgb="FF92D050"/>
  </sheetPr>
  <dimension ref="A1:AN266"/>
  <sheetViews>
    <sheetView showGridLines="0" showRowColHeaders="0" topLeftCell="B1" zoomScale="70" zoomScaleNormal="70" workbookViewId="0">
      <pane ySplit="10" topLeftCell="A11" activePane="bottomLeft" state="frozen"/>
      <selection activeCell="B18" sqref="B18:I19"/>
      <selection pane="bottomLeft" activeCell="D3" sqref="D3:E3"/>
    </sheetView>
  </sheetViews>
  <sheetFormatPr defaultColWidth="0" defaultRowHeight="13.8" zeroHeight="1" x14ac:dyDescent="0.25"/>
  <cols>
    <col min="1" max="1" width="8.88671875" style="52" hidden="1" customWidth="1"/>
    <col min="2" max="2" width="2.6640625" style="52" customWidth="1"/>
    <col min="3" max="3" width="8.88671875" style="52" hidden="1" customWidth="1"/>
    <col min="4" max="4" width="27.109375" style="52" customWidth="1"/>
    <col min="5" max="5" width="75" style="54" customWidth="1"/>
    <col min="6" max="6" width="20.88671875" style="52" hidden="1" customWidth="1"/>
    <col min="7" max="7" width="12.6640625" style="52" customWidth="1"/>
    <col min="8" max="8" width="18" style="52" customWidth="1"/>
    <col min="9" max="9" width="14.109375" style="52" customWidth="1"/>
    <col min="10" max="11" width="12.5546875" style="52" customWidth="1"/>
    <col min="12" max="12" width="42.33203125" style="52" customWidth="1"/>
    <col min="13" max="13" width="19.5546875" style="52" customWidth="1"/>
    <col min="14" max="14" width="13.109375" style="52" customWidth="1"/>
    <col min="15" max="15" width="18" style="52" customWidth="1"/>
    <col min="16" max="16" width="17.88671875" style="52" customWidth="1"/>
    <col min="17" max="17" width="17.6640625" style="52" customWidth="1"/>
    <col min="18" max="18" width="49.5546875" style="52" customWidth="1"/>
    <col min="19" max="19" width="18.33203125" style="52" customWidth="1"/>
    <col min="20" max="20" width="15.33203125" style="52" customWidth="1"/>
    <col min="21" max="21" width="13.6640625" style="52" customWidth="1"/>
    <col min="22" max="22" width="36.5546875" style="52" customWidth="1"/>
    <col min="23" max="23" width="15.109375" style="52" customWidth="1"/>
    <col min="24" max="24" width="14.33203125" style="52" customWidth="1"/>
    <col min="25" max="25" width="12.6640625" style="52" customWidth="1"/>
    <col min="26" max="26" width="39.6640625" style="52" customWidth="1"/>
    <col min="27" max="27" width="43.109375" style="52" customWidth="1"/>
    <col min="28" max="28" width="8.44140625" style="52" customWidth="1"/>
    <col min="29" max="29" width="12" style="52" customWidth="1"/>
    <col min="30" max="30" width="8.88671875" style="52" customWidth="1"/>
    <col min="31" max="31" width="10.88671875" style="52" hidden="1" customWidth="1"/>
    <col min="32" max="32" width="11.88671875" style="52" customWidth="1"/>
    <col min="33" max="34" width="8.88671875" style="52" customWidth="1"/>
    <col min="35" max="40" width="0" style="52" hidden="1" customWidth="1"/>
    <col min="41" max="16384" width="8.88671875" style="52" hidden="1"/>
  </cols>
  <sheetData>
    <row r="1" spans="1:34" ht="14.4" thickBot="1" x14ac:dyDescent="0.3"/>
    <row r="2" spans="1:34" ht="18.75" customHeight="1" thickBot="1" x14ac:dyDescent="0.3">
      <c r="D2" s="935" t="str">
        <f>IF(Start!$F$12="","",Start!$F$12)</f>
        <v>7948: Anglia Square, Norwich</v>
      </c>
      <c r="E2" s="937"/>
      <c r="P2" s="958" t="str">
        <f>IF(OR(COUNTIF($O$11:O256,"*30+*")&gt;0,COUNTIF($S$11:S256,"*30+*")&gt;0),"Note; Habitat selected has a time to target condition greater than 30 years. Non standard agreement may be required.","")</f>
        <v/>
      </c>
      <c r="Q2" s="958"/>
      <c r="R2" s="958"/>
      <c r="S2" s="958"/>
    </row>
    <row r="3" spans="1:34" ht="24" customHeight="1" thickBot="1" x14ac:dyDescent="0.3">
      <c r="D3" s="932" t="str">
        <f ca="1">MID(CELL("filename",D1),FIND("]",CELL("filename",D1))+1,256)</f>
        <v>A-2 Site Habitat Creation</v>
      </c>
      <c r="E3" s="934"/>
      <c r="O3" s="620"/>
      <c r="P3" s="958"/>
      <c r="Q3" s="958"/>
      <c r="R3" s="958"/>
      <c r="S3" s="958"/>
      <c r="W3" s="957"/>
      <c r="X3" s="957"/>
      <c r="Y3" s="957"/>
      <c r="Z3" s="957"/>
    </row>
    <row r="4" spans="1:34" ht="12.6" customHeight="1" x14ac:dyDescent="0.25">
      <c r="O4" s="620"/>
      <c r="P4" s="620"/>
      <c r="Q4" s="620"/>
      <c r="R4" s="620"/>
      <c r="W4" s="957"/>
      <c r="X4" s="957"/>
      <c r="Y4" s="957"/>
      <c r="Z4" s="957"/>
    </row>
    <row r="5" spans="1:34" ht="15.6" customHeight="1" x14ac:dyDescent="0.3">
      <c r="M5" s="364"/>
      <c r="N5" s="340"/>
      <c r="O5" s="620"/>
      <c r="P5" s="959" t="str">
        <f>IFERROR(IF(OR((G257-'A-1 Site Habitat Baseline'!W259)&gt;0.01,(G257-'A-1 Site Habitat Baseline'!W259)&lt;-0.01),"Check Areas - Area of development footprint and habitat creation exceeds the area of habitats lost",""),"")</f>
        <v>Check Areas - Area of development footprint and habitat creation exceeds the area of habitats lost</v>
      </c>
      <c r="Q5" s="959"/>
      <c r="R5" s="959"/>
      <c r="S5" s="959"/>
      <c r="W5" s="957"/>
      <c r="X5" s="957"/>
      <c r="Y5" s="957"/>
      <c r="Z5" s="957"/>
    </row>
    <row r="6" spans="1:34" ht="19.2" customHeight="1" x14ac:dyDescent="0.25">
      <c r="O6" s="620"/>
      <c r="P6" s="959"/>
      <c r="Q6" s="959"/>
      <c r="R6" s="959"/>
      <c r="S6" s="959"/>
      <c r="W6" s="957"/>
      <c r="X6" s="957"/>
      <c r="Y6" s="957"/>
      <c r="Z6" s="957"/>
    </row>
    <row r="7" spans="1:34" ht="39" customHeight="1" thickBot="1" x14ac:dyDescent="0.35">
      <c r="E7" s="55"/>
      <c r="P7" s="621"/>
      <c r="Q7" s="621"/>
      <c r="R7" s="621"/>
      <c r="S7" s="617"/>
      <c r="T7" s="617"/>
      <c r="U7" s="617"/>
      <c r="V7" s="617"/>
      <c r="W7" s="617"/>
    </row>
    <row r="8" spans="1:34" ht="14.4" thickBot="1" x14ac:dyDescent="0.3">
      <c r="D8" s="953" t="s">
        <v>990</v>
      </c>
      <c r="E8" s="954"/>
      <c r="F8" s="954"/>
      <c r="G8" s="954"/>
      <c r="H8" s="954"/>
      <c r="I8" s="954"/>
      <c r="J8" s="954"/>
      <c r="K8" s="954"/>
      <c r="L8" s="954"/>
      <c r="M8" s="954"/>
      <c r="N8" s="954"/>
      <c r="O8" s="954"/>
      <c r="P8" s="954"/>
      <c r="Q8" s="954"/>
      <c r="R8" s="954"/>
      <c r="S8" s="954"/>
      <c r="T8" s="954"/>
      <c r="U8" s="954"/>
      <c r="V8" s="954"/>
      <c r="W8" s="954"/>
      <c r="X8" s="954"/>
      <c r="Y8" s="954"/>
      <c r="Z8" s="954"/>
      <c r="AA8" s="955"/>
      <c r="AE8" s="946" t="s">
        <v>1476</v>
      </c>
    </row>
    <row r="9" spans="1:34" s="54" customFormat="1" ht="15" customHeight="1" thickBot="1" x14ac:dyDescent="0.3">
      <c r="B9" s="52"/>
      <c r="D9" s="951" t="s">
        <v>372</v>
      </c>
      <c r="E9" s="947" t="s">
        <v>987</v>
      </c>
      <c r="F9" s="947" t="s">
        <v>987</v>
      </c>
      <c r="G9" s="949" t="s">
        <v>967</v>
      </c>
      <c r="H9" s="941" t="s">
        <v>127</v>
      </c>
      <c r="I9" s="942"/>
      <c r="J9" s="941" t="s">
        <v>141</v>
      </c>
      <c r="K9" s="942"/>
      <c r="L9" s="941" t="s">
        <v>362</v>
      </c>
      <c r="M9" s="943"/>
      <c r="N9" s="942"/>
      <c r="O9" s="941" t="s">
        <v>988</v>
      </c>
      <c r="P9" s="943"/>
      <c r="Q9" s="943"/>
      <c r="R9" s="943"/>
      <c r="S9" s="943"/>
      <c r="T9" s="942"/>
      <c r="U9" s="938" t="s">
        <v>989</v>
      </c>
      <c r="V9" s="939"/>
      <c r="W9" s="939"/>
      <c r="X9" s="940"/>
      <c r="Y9" s="944" t="s">
        <v>993</v>
      </c>
      <c r="Z9" s="941" t="s">
        <v>145</v>
      </c>
      <c r="AA9" s="942"/>
      <c r="AB9" s="52"/>
      <c r="AC9" s="52"/>
      <c r="AD9" s="52"/>
      <c r="AE9" s="946"/>
      <c r="AF9" s="52"/>
      <c r="AG9" s="52"/>
      <c r="AH9" s="52"/>
    </row>
    <row r="10" spans="1:34" ht="41.4" x14ac:dyDescent="0.25">
      <c r="A10" s="60" t="s">
        <v>1298</v>
      </c>
      <c r="D10" s="952"/>
      <c r="E10" s="948"/>
      <c r="F10" s="948"/>
      <c r="G10" s="950"/>
      <c r="H10" s="583" t="s">
        <v>127</v>
      </c>
      <c r="I10" s="584" t="s">
        <v>140</v>
      </c>
      <c r="J10" s="585" t="s">
        <v>141</v>
      </c>
      <c r="K10" s="586" t="s">
        <v>140</v>
      </c>
      <c r="L10" s="557" t="s">
        <v>362</v>
      </c>
      <c r="M10" s="89" t="s">
        <v>362</v>
      </c>
      <c r="N10" s="559" t="s">
        <v>983</v>
      </c>
      <c r="O10" s="557" t="s">
        <v>1180</v>
      </c>
      <c r="P10" s="89" t="s">
        <v>1177</v>
      </c>
      <c r="Q10" s="89" t="s">
        <v>1178</v>
      </c>
      <c r="R10" s="89" t="s">
        <v>1179</v>
      </c>
      <c r="S10" s="89" t="s">
        <v>1183</v>
      </c>
      <c r="T10" s="559" t="s">
        <v>1181</v>
      </c>
      <c r="U10" s="556" t="s">
        <v>1186</v>
      </c>
      <c r="V10" s="560" t="s">
        <v>1486</v>
      </c>
      <c r="W10" s="560" t="s">
        <v>1187</v>
      </c>
      <c r="X10" s="558" t="s">
        <v>1182</v>
      </c>
      <c r="Y10" s="956"/>
      <c r="Z10" s="557" t="s">
        <v>991</v>
      </c>
      <c r="AA10" s="559" t="s">
        <v>992</v>
      </c>
      <c r="AE10" s="52" t="s">
        <v>2</v>
      </c>
    </row>
    <row r="11" spans="1:34" ht="27.6" x14ac:dyDescent="0.25">
      <c r="A11" s="52" t="str">
        <f>IFERROR(INDEX('G-8 Condition Look up'!$I$4:$I$131,MATCH(F11,'G-8 Condition Look up'!$A$4:$A$131,0)),"")</f>
        <v>Cond4</v>
      </c>
      <c r="C11" s="587" t="str">
        <f>IFERROR(INDEX('G-1 All Habitats'!$AG$3:$AG$15,MATCH(D11,'G-1 All Habitats'!$AF$3:$AF$15,0)),"")</f>
        <v>Grassland</v>
      </c>
      <c r="D11" s="590" t="s">
        <v>135</v>
      </c>
      <c r="E11" s="581" t="s">
        <v>171</v>
      </c>
      <c r="F11" s="582" t="str">
        <f>IFERROR(INDEX('G-1 All Habitats'!$B$3:$B$130,MATCH(E11,'G-1 All Habitats'!$A$3:$A$130,0)),"")</f>
        <v>Grassland - Modified grassland</v>
      </c>
      <c r="G11" s="76">
        <v>7.2499999999999995E-2</v>
      </c>
      <c r="H11" s="77" t="str">
        <f>IF(F11="","",VLOOKUP(F11,'G-1 All Habitats'!$B$2:$M$130,10,FALSE))</f>
        <v>Low</v>
      </c>
      <c r="I11" s="78">
        <f>IFERROR(VLOOKUP(H11,'G-1 All Habitats'!$V$3:$W$7,2,FALSE),"")</f>
        <v>2</v>
      </c>
      <c r="J11" s="79" t="s">
        <v>2</v>
      </c>
      <c r="K11" s="78">
        <f>IFERROR(INDEX('G-8 Condition Look up'!$A$3:$H$131,MATCH(F11,'G-8 Condition Look up'!$A$3:$A$131,0),MATCH(J11,'G-8 Condition Look up'!$A$3:$H$3,0)),"")</f>
        <v>1</v>
      </c>
      <c r="L11" s="79" t="s">
        <v>970</v>
      </c>
      <c r="M11" s="343" t="str">
        <f>IF(L11="","",IF(VLOOKUP(L11,'G-3 Multipliers'!$L$3:$N$6,2,FALSE)=0,"Spatial Data Missing",VLOOKUP(L11,'G-3 Multipliers'!$L$3:$N$6,2,FALSE)))</f>
        <v>Low Strategic Significance</v>
      </c>
      <c r="N11" s="569">
        <f>IF(L11="","",IF(VLOOKUP(L11,'G-3 Multipliers'!$L$3:$N$6,3,FALSE)=0,"Spatial Data Missing",VLOOKUP(L11,'G-3 Multipliers'!$L$3:$N$6,3,FALSE)))</f>
        <v>1</v>
      </c>
      <c r="O11" s="77">
        <f t="shared" ref="O11:O74" si="0">IFERROR(INDEX(TemporalData,MATCH(F11,TemporalHabitats,0),MATCH(J11,TemporalConditions,0)),"")</f>
        <v>1</v>
      </c>
      <c r="P11" s="94">
        <v>0</v>
      </c>
      <c r="Q11" s="94">
        <v>0</v>
      </c>
      <c r="R11" s="348" t="str">
        <f>IF(E11="","",IF(AND(P11&gt;0,Q11&gt;0),"Error -both advance and delayed habitat creation",IF(I11=0,"Standard time to target condition applied",IF(AND(J11="N/A -Agricultural",O11&lt;=P11),"Check details - Is there evidence habitat creation in place?",IF(AND(O11&lt;=P11,Q11=0),"Check details - Is there evidence that habitat has reached target condition?",IF(O11="","",IF(AND(P11&gt;=AE11,P11&gt;0),"Check details - Is there evidence habitat creation started and the threshold for Poor condition reached?",IF(Q11&gt;0,"Check details- Delay in starting habitat in required condition?",IF(P11&gt;0,"Check details - Is there evidence habitat creation started/in place?","Standard time to target condition applied")))))))))</f>
        <v>Standard time to target condition applied</v>
      </c>
      <c r="S11" s="591">
        <f>IF(R11="Error -both advance and delayed habitat creation","Check Data",IF(O11="Not Possible","Check Data",IF(O11="","",IF(AND(O11="30+",P11=0),"30+",IF(AND(O11="30+",P11="30+"),0,IF(AND(O11="30+",P11&lt;32),30-P11,IF(O11="30+",30-P11,IF(P11&gt;O11,0,IF(Q11="30+","30+",IF(O11+Q11&gt;30,"30+",IF(O11+Q11&gt;30,"30+",IF(O11-P11&gt;30,"30+",IF(O11+Q11-P11&gt;0,O11+Q11-P11,IF(O11-P11&gt;0,O11-P11,O11+Q11-P11))))))))))))))</f>
        <v>1</v>
      </c>
      <c r="T11" s="353">
        <f>IFERROR(IF(S11="Check Data","Check Data",VLOOKUP(S11,'G-4 Temporal multipliers'!$A$4:$C$37,3,FALSE)),"")</f>
        <v>0.96499999999999997</v>
      </c>
      <c r="U11" s="592" t="str">
        <f>IF(F11="","",VLOOKUP(F11,'G-3 Multipliers'!$A$2:$E$130,2,FALSE))</f>
        <v>Low</v>
      </c>
      <c r="V11" s="343" t="str">
        <f>IF(F11="","",IF($R11="Check details - Is there evidence that habitat has reached target condition?","Low Difficulty - only applicable if all habitat created before losses",IF($R11="Check details - Is there evidence habitat creation started and the threshold for Poor condition reached?","Enhancement difficulty applied","Standard difficulty applied")))</f>
        <v>Standard difficulty applied</v>
      </c>
      <c r="W11" s="343" t="str">
        <f>IF(E11="","",IF(AND(V11="Standard difficulty applied",O11&gt;P11),U11,IF(AND(V11="Low Difficulty - only applicable if all habitat created before losses",P11&gt;=O11),"Low",VLOOKUP(F11,'G-3 Multipliers'!$A$2:$E$130,4,FALSE))))</f>
        <v>Low</v>
      </c>
      <c r="X11" s="345">
        <f>IFERROR(IF(E11="","",VLOOKUP(W11, 'G-3 Multipliers'!$P$2:$Q$6,2,FALSE)),””)</f>
        <v>1</v>
      </c>
      <c r="Y11" s="595">
        <f>IFERROR(G11*I11*K11*N11*T11*X11,"")</f>
        <v>0.13992499999999999</v>
      </c>
      <c r="Z11" s="355"/>
      <c r="AA11" s="356"/>
      <c r="AE11" s="59">
        <f t="shared" ref="AE11:AE74" si="1">IFERROR(INDEX(TemporalData,MATCH(F11,TemporalHabitats,0),MATCH($AE$10,TemporalConditions,0)),"")</f>
        <v>1</v>
      </c>
    </row>
    <row r="12" spans="1:34" ht="27.6" x14ac:dyDescent="0.25">
      <c r="A12" s="52" t="str">
        <f>IFERROR(INDEX('G-8 Condition Look up'!$I$4:$I$131,MATCH(F12,'G-8 Condition Look up'!$A$4:$A$131,0)),"")</f>
        <v>Cond4</v>
      </c>
      <c r="C12" s="588" t="str">
        <f>IFERROR(INDEX('G-1 All Habitats'!$AG$3:$AG$15,MATCH(D12,'G-1 All Habitats'!$AF$3:$AF$15,0)),"")</f>
        <v>Grassland</v>
      </c>
      <c r="D12" s="347" t="s">
        <v>135</v>
      </c>
      <c r="E12" s="366" t="s">
        <v>18</v>
      </c>
      <c r="F12" s="365" t="str">
        <f>IFERROR(INDEX('G-1 All Habitats'!$B$3:$B$130,MATCH(E12,'G-1 All Habitats'!$A$3:$A$130,0)),"")</f>
        <v>Grassland - Other neutral grassland</v>
      </c>
      <c r="G12" s="76">
        <v>5.2400000000000002E-2</v>
      </c>
      <c r="H12" s="77" t="str">
        <f>IF(F12="","",VLOOKUP(F12,'G-1 All Habitats'!$B$2:$M$130,10,FALSE))</f>
        <v>Medium</v>
      </c>
      <c r="I12" s="78">
        <f>IFERROR(VLOOKUP(H12,'G-1 All Habitats'!$V$3:$W$7,2,FALSE),"")</f>
        <v>4</v>
      </c>
      <c r="J12" s="79" t="s">
        <v>2</v>
      </c>
      <c r="K12" s="78">
        <f>IFERROR(INDEX('G-8 Condition Look up'!$A$3:$H$131,MATCH(F12,'G-8 Condition Look up'!$A$3:$A$131,0),MATCH(J12,'G-8 Condition Look up'!$A$3:$H$3,0)),"")</f>
        <v>1</v>
      </c>
      <c r="L12" s="79" t="s">
        <v>970</v>
      </c>
      <c r="M12" s="348" t="str">
        <f>IF(L12="","",IF(VLOOKUP(L12,'G-3 Multipliers'!$L$3:$N$6,2,FALSE)=0,"Spatial Data Missing",VLOOKUP(L12,'G-3 Multipliers'!$L$3:$N$6,2,FALSE)))</f>
        <v>Low Strategic Significance</v>
      </c>
      <c r="N12" s="569">
        <f>IF(L12="","",IF(VLOOKUP(L12,'G-3 Multipliers'!$L$3:$N$6,3,FALSE)=0,"Spatial Data Missing",VLOOKUP(L12,'G-3 Multipliers'!$L$3:$N$6,3,FALSE)))</f>
        <v>1</v>
      </c>
      <c r="O12" s="77">
        <f t="shared" si="0"/>
        <v>2</v>
      </c>
      <c r="P12" s="94">
        <v>0</v>
      </c>
      <c r="Q12" s="94">
        <v>0</v>
      </c>
      <c r="R12" s="343" t="str">
        <f t="shared" ref="R12:R75" si="2">IF(E12="","",IF(AND(P12&gt;0,Q12&gt;0),"Error -both advance and delayed habitat creation",IF(I12=0,"Standard time to target condition applied",IF(AND(J12="N/A -Agricultural",O12&lt;=P12),"Check details - Is there evidence habitat creation in place?",IF(AND(O12&lt;=P12,Q12=0),"Check details - Is there evidence that habitat has reached target condition?",IF(O12="","",IF(AND(P12&gt;=AE12,P12&gt;0),"Check details - Is there evidence habitat creation started and the threshold for Poor condition reached?",IF(Q12&gt;0,"Check details- Delay in starting habitat in required condition?",IF(P12&gt;0,"Check details - Is there evidence habitat creation started/in place?","Standard time to target condition applied")))))))))</f>
        <v>Standard time to target condition applied</v>
      </c>
      <c r="S12" s="591">
        <f t="shared" ref="S12:S75" si="3">IF(R12="Error -both advance and delayed habitat creation","Check Data",IF(O12="Not Possible","Check Data",IF(O12="","",IF(AND(O12="30+",P12=0),"30+",IF(AND(O12="30+",P12="30+"),0,IF(AND(O12="30+",P12&lt;32),30-P12,IF(O12="30+",30-P12,IF(P12&gt;O12,0,IF(Q12="30+","30+",IF(O12+Q12&gt;30,"30+",IF(O12+Q12&gt;30,"30+",IF(O12-P12&gt;30,"30+",IF(O12+Q12-P12&gt;0,O12+Q12-P12,IF(O12-P12&gt;0,O12-P12,O12+Q12-P12))))))))))))))</f>
        <v>2</v>
      </c>
      <c r="T12" s="593">
        <f>IFERROR(IF(S12="Check Data","Check Data",VLOOKUP(S12,'G-4 Temporal multipliers'!$A$4:$C$37,3,FALSE)),"")</f>
        <v>0.93122499999999997</v>
      </c>
      <c r="U12" s="592" t="str">
        <f>IF(F12="","",VLOOKUP(F12,'G-3 Multipliers'!$A$2:$E$130,2,FALSE))</f>
        <v>Low</v>
      </c>
      <c r="V12" s="343" t="str">
        <f t="shared" ref="V12:V75" si="4">IF(F12="","",IF($R12="Check details - Is there evidence that habitat has reached target condition?","Low Difficulty - only applicable if all habitat created before losses",IF($R12="Check details - Is there evidence habitat creation started and the threshold for Poor condition reached?","Enhancement difficulty applied","Standard difficulty applied")))</f>
        <v>Standard difficulty applied</v>
      </c>
      <c r="W12" s="343" t="str">
        <f>IF(E12="","",IF(AND(V12="Standard difficulty applied",O12&gt;P12),U12,IF(AND(V12="Low Difficulty - only applicable if all habitat created before losses",P12&gt;=O12),"Low",VLOOKUP(F12,'G-3 Multipliers'!$A$2:$E$130,4,FALSE))))</f>
        <v>Low</v>
      </c>
      <c r="X12" s="345">
        <f>IFERROR(IF(E12="","",VLOOKUP(W12, 'G-3 Multipliers'!$P$2:$Q$6,2,FALSE)),””)</f>
        <v>1</v>
      </c>
      <c r="Y12" s="595">
        <f t="shared" ref="Y12:Y75" si="5">IFERROR(G12*I12*K12*N12*T12*X12,"")</f>
        <v>0.19518476000000001</v>
      </c>
      <c r="Z12" s="355"/>
      <c r="AA12" s="356"/>
      <c r="AE12" s="59">
        <f t="shared" si="1"/>
        <v>2</v>
      </c>
    </row>
    <row r="13" spans="1:34" ht="27.6" x14ac:dyDescent="0.25">
      <c r="A13" s="52" t="str">
        <f>IFERROR(INDEX('G-8 Condition Look up'!$I$4:$I$131,MATCH(F13,'G-8 Condition Look up'!$A$4:$A$131,0)),"")</f>
        <v>Cond4</v>
      </c>
      <c r="C13" s="588" t="str">
        <f>IFERROR(INDEX('G-1 All Habitats'!$AG$3:$AG$15,MATCH(D13,'G-1 All Habitats'!$AF$3:$AF$15,0)),"")</f>
        <v>Heathland_and_shrub</v>
      </c>
      <c r="D13" s="347" t="s">
        <v>164</v>
      </c>
      <c r="E13" s="366" t="s">
        <v>38</v>
      </c>
      <c r="F13" s="365" t="str">
        <f>IFERROR(INDEX('G-1 All Habitats'!$B$3:$B$130,MATCH(E13,'G-1 All Habitats'!$A$3:$A$130,0)),"")</f>
        <v>Heathland and shrub - Mixed scrub</v>
      </c>
      <c r="G13" s="76">
        <v>3.9199999999999999E-2</v>
      </c>
      <c r="H13" s="77" t="str">
        <f>IF(F13="","",VLOOKUP(F13,'G-1 All Habitats'!$B$2:$M$130,10,FALSE))</f>
        <v>Medium</v>
      </c>
      <c r="I13" s="78">
        <f>IFERROR(VLOOKUP(H13,'G-1 All Habitats'!$V$3:$W$7,2,FALSE),"")</f>
        <v>4</v>
      </c>
      <c r="J13" s="79" t="s">
        <v>1</v>
      </c>
      <c r="K13" s="78">
        <f>IFERROR(INDEX('G-8 Condition Look up'!$A$3:$H$131,MATCH(F13,'G-8 Condition Look up'!$A$3:$A$131,0),MATCH(J13,'G-8 Condition Look up'!$A$3:$H$3,0)),"")</f>
        <v>2</v>
      </c>
      <c r="L13" s="79" t="s">
        <v>970</v>
      </c>
      <c r="M13" s="348" t="str">
        <f>IF(L13="","",IF(VLOOKUP(L13,'G-3 Multipliers'!$L$3:$N$6,2,FALSE)=0,"Spatial Data Missing",VLOOKUP(L13,'G-3 Multipliers'!$L$3:$N$6,2,FALSE)))</f>
        <v>Low Strategic Significance</v>
      </c>
      <c r="N13" s="569">
        <f>IF(L13="","",IF(VLOOKUP(L13,'G-3 Multipliers'!$L$3:$N$6,3,FALSE)=0,"Spatial Data Missing",VLOOKUP(L13,'G-3 Multipliers'!$L$3:$N$6,3,FALSE)))</f>
        <v>1</v>
      </c>
      <c r="O13" s="77">
        <f t="shared" si="0"/>
        <v>5</v>
      </c>
      <c r="P13" s="94">
        <v>0</v>
      </c>
      <c r="Q13" s="94">
        <v>0</v>
      </c>
      <c r="R13" s="343" t="str">
        <f t="shared" si="2"/>
        <v>Standard time to target condition applied</v>
      </c>
      <c r="S13" s="591">
        <f t="shared" si="3"/>
        <v>5</v>
      </c>
      <c r="T13" s="593">
        <f>IFERROR(IF(S13="Check Data","Check Data",VLOOKUP(S13,'G-4 Temporal multipliers'!$A$4:$C$37,3,FALSE)),"")</f>
        <v>0.83682870060000003</v>
      </c>
      <c r="U13" s="592" t="str">
        <f>IF(F13="","",VLOOKUP(F13,'G-3 Multipliers'!$A$2:$E$130,2,FALSE))</f>
        <v>Low</v>
      </c>
      <c r="V13" s="343" t="str">
        <f t="shared" si="4"/>
        <v>Standard difficulty applied</v>
      </c>
      <c r="W13" s="343" t="str">
        <f>IF(E13="","",IF(AND(V13="Standard difficulty applied",O13&gt;P13),U13,IF(AND(V13="Low Difficulty - only applicable if all habitat created before losses",P13&gt;=O13),"Low",VLOOKUP(F13,'G-3 Multipliers'!$A$2:$E$130,4,FALSE))))</f>
        <v>Low</v>
      </c>
      <c r="X13" s="345">
        <f>IFERROR(IF(E13="","",VLOOKUP(W13, 'G-3 Multipliers'!$P$2:$Q$6,2,FALSE)),””)</f>
        <v>1</v>
      </c>
      <c r="Y13" s="595">
        <f t="shared" si="5"/>
        <v>0.26242948050816001</v>
      </c>
      <c r="Z13" s="355"/>
      <c r="AA13" s="356"/>
      <c r="AE13" s="59">
        <f t="shared" si="1"/>
        <v>1</v>
      </c>
    </row>
    <row r="14" spans="1:34" ht="27.6" x14ac:dyDescent="0.25">
      <c r="A14" s="52" t="str">
        <f>IFERROR(INDEX('G-8 Condition Look up'!$I$4:$I$131,MATCH(F14,'G-8 Condition Look up'!$A$4:$A$131,0)),"")</f>
        <v>Cond4</v>
      </c>
      <c r="C14" s="588" t="str">
        <f>IFERROR(INDEX('G-1 All Habitats'!$AG$3:$AG$15,MATCH(D14,'G-1 All Habitats'!$AF$3:$AF$15,0)),"")</f>
        <v>Lakes</v>
      </c>
      <c r="D14" s="347" t="s">
        <v>835</v>
      </c>
      <c r="E14" s="366" t="s">
        <v>1274</v>
      </c>
      <c r="F14" s="365" t="str">
        <f>IFERROR(INDEX('G-1 All Habitats'!$B$3:$B$130,MATCH(E14,'G-1 All Habitats'!$A$3:$A$130,0)),"")</f>
        <v>Lakes - Ponds (Non- Priority Habitat)</v>
      </c>
      <c r="G14" s="76">
        <v>3.0000000000000001E-3</v>
      </c>
      <c r="H14" s="77" t="str">
        <f>IF(F14="","",VLOOKUP(F14,'G-1 All Habitats'!$B$2:$M$130,10,FALSE))</f>
        <v>Medium</v>
      </c>
      <c r="I14" s="78">
        <f>IFERROR(VLOOKUP(H14,'G-1 All Habitats'!$V$3:$W$7,2,FALSE),"")</f>
        <v>4</v>
      </c>
      <c r="J14" s="79" t="s">
        <v>2</v>
      </c>
      <c r="K14" s="78">
        <f>IFERROR(INDEX('G-8 Condition Look up'!$A$3:$H$131,MATCH(F14,'G-8 Condition Look up'!$A$3:$A$131,0),MATCH(J14,'G-8 Condition Look up'!$A$3:$H$3,0)),"")</f>
        <v>1</v>
      </c>
      <c r="L14" s="79" t="s">
        <v>970</v>
      </c>
      <c r="M14" s="348" t="str">
        <f>IF(L14="","",IF(VLOOKUP(L14,'G-3 Multipliers'!$L$3:$N$6,2,FALSE)=0,"Spatial Data Missing",VLOOKUP(L14,'G-3 Multipliers'!$L$3:$N$6,2,FALSE)))</f>
        <v>Low Strategic Significance</v>
      </c>
      <c r="N14" s="569">
        <f>IF(L14="","",IF(VLOOKUP(L14,'G-3 Multipliers'!$L$3:$N$6,3,FALSE)=0,"Spatial Data Missing",VLOOKUP(L14,'G-3 Multipliers'!$L$3:$N$6,3,FALSE)))</f>
        <v>1</v>
      </c>
      <c r="O14" s="77">
        <f t="shared" si="0"/>
        <v>1</v>
      </c>
      <c r="P14" s="94">
        <v>0</v>
      </c>
      <c r="Q14" s="94">
        <v>0</v>
      </c>
      <c r="R14" s="343" t="str">
        <f t="shared" si="2"/>
        <v>Standard time to target condition applied</v>
      </c>
      <c r="S14" s="591">
        <f t="shared" si="3"/>
        <v>1</v>
      </c>
      <c r="T14" s="593">
        <f>IFERROR(IF(S14="Check Data","Check Data",VLOOKUP(S14,'G-4 Temporal multipliers'!$A$4:$C$37,3,FALSE)),"")</f>
        <v>0.96499999999999997</v>
      </c>
      <c r="U14" s="592" t="str">
        <f>IF(F14="","",VLOOKUP(F14,'G-3 Multipliers'!$A$2:$E$130,2,FALSE))</f>
        <v>Low</v>
      </c>
      <c r="V14" s="343" t="str">
        <f t="shared" si="4"/>
        <v>Standard difficulty applied</v>
      </c>
      <c r="W14" s="343" t="str">
        <f>IF(E14="","",IF(AND(V14="Standard difficulty applied",O14&gt;P14),U14,IF(AND(V14="Low Difficulty - only applicable if all habitat created before losses",P14&gt;=O14),"Low",VLOOKUP(F14,'G-3 Multipliers'!$A$2:$E$130,4,FALSE))))</f>
        <v>Low</v>
      </c>
      <c r="X14" s="345">
        <f>IFERROR(IF(E14="","",VLOOKUP(W14, 'G-3 Multipliers'!$P$2:$Q$6,2,FALSE)),””)</f>
        <v>1</v>
      </c>
      <c r="Y14" s="595">
        <f t="shared" si="5"/>
        <v>1.158E-2</v>
      </c>
      <c r="Z14" s="355"/>
      <c r="AA14" s="356"/>
      <c r="AE14" s="59">
        <f t="shared" si="1"/>
        <v>1</v>
      </c>
    </row>
    <row r="15" spans="1:34" ht="27.6" x14ac:dyDescent="0.25">
      <c r="A15" s="52" t="str">
        <f>IFERROR(INDEX('G-8 Condition Look up'!$I$4:$I$131,MATCH(F15,'G-8 Condition Look up'!$A$4:$A$131,0)),"")</f>
        <v>Cond4</v>
      </c>
      <c r="C15" s="588" t="str">
        <f>IFERROR(INDEX('G-1 All Habitats'!$AG$3:$AG$15,MATCH(D15,'G-1 All Habitats'!$AF$3:$AF$15,0)),"")</f>
        <v>Urban</v>
      </c>
      <c r="D15" s="347" t="s">
        <v>166</v>
      </c>
      <c r="E15" s="366" t="s">
        <v>223</v>
      </c>
      <c r="F15" s="365" t="str">
        <f>IFERROR(INDEX('G-1 All Habitats'!$B$3:$B$130,MATCH(E15,'G-1 All Habitats'!$A$3:$A$130,0)),"")</f>
        <v>Urban - Allotments</v>
      </c>
      <c r="G15" s="76">
        <v>3.5000000000000001E-3</v>
      </c>
      <c r="H15" s="77" t="str">
        <f>IF(F15="","",VLOOKUP(F15,'G-1 All Habitats'!$B$2:$M$130,10,FALSE))</f>
        <v>Low</v>
      </c>
      <c r="I15" s="78">
        <f>IFERROR(VLOOKUP(H15,'G-1 All Habitats'!$V$3:$W$7,2,FALSE),"")</f>
        <v>2</v>
      </c>
      <c r="J15" s="79" t="s">
        <v>2</v>
      </c>
      <c r="K15" s="78">
        <f>IFERROR(INDEX('G-8 Condition Look up'!$A$3:$H$131,MATCH(F15,'G-8 Condition Look up'!$A$3:$A$131,0),MATCH(J15,'G-8 Condition Look up'!$A$3:$H$3,0)),"")</f>
        <v>1</v>
      </c>
      <c r="L15" s="79" t="s">
        <v>970</v>
      </c>
      <c r="M15" s="348" t="str">
        <f>IF(L15="","",IF(VLOOKUP(L15,'G-3 Multipliers'!$L$3:$N$6,2,FALSE)=0,"Spatial Data Missing",VLOOKUP(L15,'G-3 Multipliers'!$L$3:$N$6,2,FALSE)))</f>
        <v>Low Strategic Significance</v>
      </c>
      <c r="N15" s="569">
        <f>IF(L15="","",IF(VLOOKUP(L15,'G-3 Multipliers'!$L$3:$N$6,3,FALSE)=0,"Spatial Data Missing",VLOOKUP(L15,'G-3 Multipliers'!$L$3:$N$6,3,FALSE)))</f>
        <v>1</v>
      </c>
      <c r="O15" s="77">
        <f t="shared" si="0"/>
        <v>1</v>
      </c>
      <c r="P15" s="94">
        <v>0</v>
      </c>
      <c r="Q15" s="94">
        <v>0</v>
      </c>
      <c r="R15" s="343" t="str">
        <f t="shared" si="2"/>
        <v>Standard time to target condition applied</v>
      </c>
      <c r="S15" s="591">
        <f t="shared" si="3"/>
        <v>1</v>
      </c>
      <c r="T15" s="593">
        <f>IFERROR(IF(S15="Check Data","Check Data",VLOOKUP(S15,'G-4 Temporal multipliers'!$A$4:$C$37,3,FALSE)),"")</f>
        <v>0.96499999999999997</v>
      </c>
      <c r="U15" s="592" t="str">
        <f>IF(F15="","",VLOOKUP(F15,'G-3 Multipliers'!$A$2:$E$130,2,FALSE))</f>
        <v>Low</v>
      </c>
      <c r="V15" s="343" t="str">
        <f t="shared" si="4"/>
        <v>Standard difficulty applied</v>
      </c>
      <c r="W15" s="343" t="str">
        <f>IF(E15="","",IF(AND(V15="Standard difficulty applied",O15&gt;P15),U15,IF(AND(V15="Low Difficulty - only applicable if all habitat created before losses",P15&gt;=O15),"Low",VLOOKUP(F15,'G-3 Multipliers'!$A$2:$E$130,4,FALSE))))</f>
        <v>Low</v>
      </c>
      <c r="X15" s="345">
        <f>IFERROR(IF(E15="","",VLOOKUP(W15, 'G-3 Multipliers'!$P$2:$Q$6,2,FALSE)),””)</f>
        <v>1</v>
      </c>
      <c r="Y15" s="595">
        <f t="shared" si="5"/>
        <v>6.7549999999999997E-3</v>
      </c>
      <c r="Z15" s="355"/>
      <c r="AA15" s="356"/>
      <c r="AE15" s="59">
        <f t="shared" si="1"/>
        <v>1</v>
      </c>
    </row>
    <row r="16" spans="1:34" ht="41.4" x14ac:dyDescent="0.25">
      <c r="A16" s="52" t="str">
        <f>IFERROR(INDEX('G-8 Condition Look up'!$I$4:$I$131,MATCH(F16,'G-8 Condition Look up'!$A$4:$A$131,0)),"")</f>
        <v>Cond2</v>
      </c>
      <c r="C16" s="588" t="str">
        <f>IFERROR(INDEX('G-1 All Habitats'!$AG$3:$AG$15,MATCH(D16,'G-1 All Habitats'!$AF$3:$AF$15,0)),"")</f>
        <v>Urban</v>
      </c>
      <c r="D16" s="347" t="s">
        <v>166</v>
      </c>
      <c r="E16" s="366" t="s">
        <v>48</v>
      </c>
      <c r="F16" s="365" t="str">
        <f>IFERROR(INDEX('G-1 All Habitats'!$B$3:$B$130,MATCH(E16,'G-1 All Habitats'!$A$3:$A$130,0)),"")</f>
        <v>Urban - Artificial unvegetated, unsealed surface</v>
      </c>
      <c r="G16" s="76">
        <v>1.32E-2</v>
      </c>
      <c r="H16" s="77" t="str">
        <f>IF(F16="","",VLOOKUP(F16,'G-1 All Habitats'!$B$2:$M$130,10,FALSE))</f>
        <v>V.Low</v>
      </c>
      <c r="I16" s="78">
        <f>IFERROR(VLOOKUP(H16,'G-1 All Habitats'!$V$3:$W$7,2,FALSE),"")</f>
        <v>0</v>
      </c>
      <c r="J16" s="79" t="s">
        <v>119</v>
      </c>
      <c r="K16" s="78">
        <f>IFERROR(INDEX('G-8 Condition Look up'!$A$3:$H$131,MATCH(F16,'G-8 Condition Look up'!$A$3:$A$131,0),MATCH(J16,'G-8 Condition Look up'!$A$3:$H$3,0)),"")</f>
        <v>0</v>
      </c>
      <c r="L16" s="79" t="s">
        <v>970</v>
      </c>
      <c r="M16" s="348" t="str">
        <f>IF(L16="","",IF(VLOOKUP(L16,'G-3 Multipliers'!$L$3:$N$6,2,FALSE)=0,"Spatial Data Missing",VLOOKUP(L16,'G-3 Multipliers'!$L$3:$N$6,2,FALSE)))</f>
        <v>Low Strategic Significance</v>
      </c>
      <c r="N16" s="569">
        <f>IF(L16="","",IF(VLOOKUP(L16,'G-3 Multipliers'!$L$3:$N$6,3,FALSE)=0,"Spatial Data Missing",VLOOKUP(L16,'G-3 Multipliers'!$L$3:$N$6,3,FALSE)))</f>
        <v>1</v>
      </c>
      <c r="O16" s="77">
        <f t="shared" si="0"/>
        <v>0</v>
      </c>
      <c r="P16" s="94">
        <v>0</v>
      </c>
      <c r="Q16" s="94">
        <v>0</v>
      </c>
      <c r="R16" s="343" t="str">
        <f t="shared" si="2"/>
        <v>Standard time to target condition applied</v>
      </c>
      <c r="S16" s="591">
        <f t="shared" si="3"/>
        <v>0</v>
      </c>
      <c r="T16" s="593">
        <f>IFERROR(IF(S16="Check Data","Check Data",VLOOKUP(S16,'G-4 Temporal multipliers'!$A$4:$C$37,3,FALSE)),"")</f>
        <v>1</v>
      </c>
      <c r="U16" s="592" t="str">
        <f>IF(F16="","",VLOOKUP(F16,'G-3 Multipliers'!$A$2:$E$130,2,FALSE))</f>
        <v>Low</v>
      </c>
      <c r="V16" s="343" t="str">
        <f t="shared" si="4"/>
        <v>Standard difficulty applied</v>
      </c>
      <c r="W16" s="343" t="str">
        <f>IF(E16="","",IF(AND(V16="Standard difficulty applied",O16&gt;P16),U16,IF(AND(V16="Low Difficulty - only applicable if all habitat created before losses",P16&gt;=O16),"Low",VLOOKUP(F16,'G-3 Multipliers'!$A$2:$E$130,4,FALSE))))</f>
        <v>Low</v>
      </c>
      <c r="X16" s="345">
        <f>IFERROR(IF(E16="","",VLOOKUP(W16, 'G-3 Multipliers'!$P$2:$Q$6,2,FALSE)),””)</f>
        <v>1</v>
      </c>
      <c r="Y16" s="595">
        <f t="shared" si="5"/>
        <v>0</v>
      </c>
      <c r="Z16" s="355"/>
      <c r="AA16" s="356"/>
      <c r="AE16" s="59" t="str">
        <f t="shared" si="1"/>
        <v>Not Possible</v>
      </c>
    </row>
    <row r="17" spans="1:31" ht="27.6" x14ac:dyDescent="0.25">
      <c r="A17" s="52" t="str">
        <f>IFERROR(INDEX('G-8 Condition Look up'!$I$4:$I$131,MATCH(F17,'G-8 Condition Look up'!$A$4:$A$131,0)),"")</f>
        <v>Cond4</v>
      </c>
      <c r="C17" s="588" t="str">
        <f>IFERROR(INDEX('G-1 All Habitats'!$AG$3:$AG$15,MATCH(D17,'G-1 All Habitats'!$AF$3:$AF$15,0)),"")</f>
        <v>Urban</v>
      </c>
      <c r="D17" s="347" t="s">
        <v>166</v>
      </c>
      <c r="E17" s="366" t="s">
        <v>233</v>
      </c>
      <c r="F17" s="365" t="str">
        <f>IFERROR(INDEX('G-1 All Habitats'!$B$3:$B$130,MATCH(E17,'G-1 All Habitats'!$A$3:$A$130,0)),"")</f>
        <v>Urban - Bioswale</v>
      </c>
      <c r="G17" s="76">
        <v>6.7299999999999999E-2</v>
      </c>
      <c r="H17" s="77" t="str">
        <f>IF(F17="","",VLOOKUP(F17,'G-1 All Habitats'!$B$2:$M$130,10,FALSE))</f>
        <v>Low</v>
      </c>
      <c r="I17" s="78">
        <f>IFERROR(VLOOKUP(H17,'G-1 All Habitats'!$V$3:$W$7,2,FALSE),"")</f>
        <v>2</v>
      </c>
      <c r="J17" s="79" t="s">
        <v>2</v>
      </c>
      <c r="K17" s="78">
        <f>IFERROR(INDEX('G-8 Condition Look up'!$A$3:$H$131,MATCH(F17,'G-8 Condition Look up'!$A$3:$A$131,0),MATCH(J17,'G-8 Condition Look up'!$A$3:$H$3,0)),"")</f>
        <v>1</v>
      </c>
      <c r="L17" s="79" t="s">
        <v>970</v>
      </c>
      <c r="M17" s="348" t="str">
        <f>IF(L17="","",IF(VLOOKUP(L17,'G-3 Multipliers'!$L$3:$N$6,2,FALSE)=0,"Spatial Data Missing",VLOOKUP(L17,'G-3 Multipliers'!$L$3:$N$6,2,FALSE)))</f>
        <v>Low Strategic Significance</v>
      </c>
      <c r="N17" s="569">
        <f>IF(L17="","",IF(VLOOKUP(L17,'G-3 Multipliers'!$L$3:$N$6,3,FALSE)=0,"Spatial Data Missing",VLOOKUP(L17,'G-3 Multipliers'!$L$3:$N$6,3,FALSE)))</f>
        <v>1</v>
      </c>
      <c r="O17" s="77">
        <f t="shared" si="0"/>
        <v>1</v>
      </c>
      <c r="P17" s="94">
        <v>0</v>
      </c>
      <c r="Q17" s="94">
        <v>0</v>
      </c>
      <c r="R17" s="343" t="str">
        <f t="shared" si="2"/>
        <v>Standard time to target condition applied</v>
      </c>
      <c r="S17" s="591">
        <f t="shared" si="3"/>
        <v>1</v>
      </c>
      <c r="T17" s="593">
        <f>IFERROR(IF(S17="Check Data","Check Data",VLOOKUP(S17,'G-4 Temporal multipliers'!$A$4:$C$37,3,FALSE)),"")</f>
        <v>0.96499999999999997</v>
      </c>
      <c r="U17" s="592" t="str">
        <f>IF(F17="","",VLOOKUP(F17,'G-3 Multipliers'!$A$2:$E$130,2,FALSE))</f>
        <v>Medium</v>
      </c>
      <c r="V17" s="343" t="str">
        <f t="shared" si="4"/>
        <v>Standard difficulty applied</v>
      </c>
      <c r="W17" s="343" t="str">
        <f>IF(E17="","",IF(AND(V17="Standard difficulty applied",O17&gt;P17),U17,IF(AND(V17="Low Difficulty - only applicable if all habitat created before losses",P17&gt;=O17),"Low",VLOOKUP(F17,'G-3 Multipliers'!$A$2:$E$130,4,FALSE))))</f>
        <v>Medium</v>
      </c>
      <c r="X17" s="345">
        <f>IFERROR(IF(E17="","",VLOOKUP(W17, 'G-3 Multipliers'!$P$2:$Q$6,2,FALSE)),””)</f>
        <v>0.67</v>
      </c>
      <c r="Y17" s="595">
        <f t="shared" si="5"/>
        <v>8.7025630000000007E-2</v>
      </c>
      <c r="Z17" s="355"/>
      <c r="AA17" s="356"/>
      <c r="AE17" s="59">
        <f t="shared" si="1"/>
        <v>1</v>
      </c>
    </row>
    <row r="18" spans="1:31" ht="27.6" x14ac:dyDescent="0.25">
      <c r="A18" s="52" t="str">
        <f>IFERROR(INDEX('G-8 Condition Look up'!$I$4:$I$131,MATCH(F18,'G-8 Condition Look up'!$A$4:$A$131,0)),"")</f>
        <v>Cond2</v>
      </c>
      <c r="C18" s="588" t="str">
        <f>IFERROR(INDEX('G-1 All Habitats'!$AG$3:$AG$15,MATCH(D18,'G-1 All Habitats'!$AF$3:$AF$15,0)),"")</f>
        <v>Urban</v>
      </c>
      <c r="D18" s="347" t="s">
        <v>166</v>
      </c>
      <c r="E18" s="366" t="s">
        <v>203</v>
      </c>
      <c r="F18" s="365" t="str">
        <f>IFERROR(INDEX('G-1 All Habitats'!$B$3:$B$130,MATCH(E18,'G-1 All Habitats'!$A$3:$A$130,0)),"")</f>
        <v>Urban - Developed land; sealed surface</v>
      </c>
      <c r="G18" s="76">
        <v>3.7991999999999999</v>
      </c>
      <c r="H18" s="77" t="str">
        <f>IF(F18="","",VLOOKUP(F18,'G-1 All Habitats'!$B$2:$M$130,10,FALSE))</f>
        <v>V.Low</v>
      </c>
      <c r="I18" s="78">
        <f>IFERROR(VLOOKUP(H18,'G-1 All Habitats'!$V$3:$W$7,2,FALSE),"")</f>
        <v>0</v>
      </c>
      <c r="J18" s="79" t="s">
        <v>119</v>
      </c>
      <c r="K18" s="78">
        <f>IFERROR(INDEX('G-8 Condition Look up'!$A$3:$H$131,MATCH(F18,'G-8 Condition Look up'!$A$3:$A$131,0),MATCH(J18,'G-8 Condition Look up'!$A$3:$H$3,0)),"")</f>
        <v>0</v>
      </c>
      <c r="L18" s="79" t="s">
        <v>970</v>
      </c>
      <c r="M18" s="348" t="str">
        <f>IF(L18="","",IF(VLOOKUP(L18,'G-3 Multipliers'!$L$3:$N$6,2,FALSE)=0,"Spatial Data Missing",VLOOKUP(L18,'G-3 Multipliers'!$L$3:$N$6,2,FALSE)))</f>
        <v>Low Strategic Significance</v>
      </c>
      <c r="N18" s="569">
        <f>IF(L18="","",IF(VLOOKUP(L18,'G-3 Multipliers'!$L$3:$N$6,3,FALSE)=0,"Spatial Data Missing",VLOOKUP(L18,'G-3 Multipliers'!$L$3:$N$6,3,FALSE)))</f>
        <v>1</v>
      </c>
      <c r="O18" s="77">
        <f t="shared" si="0"/>
        <v>0</v>
      </c>
      <c r="P18" s="94">
        <v>0</v>
      </c>
      <c r="Q18" s="94">
        <v>0</v>
      </c>
      <c r="R18" s="343" t="str">
        <f t="shared" si="2"/>
        <v>Standard time to target condition applied</v>
      </c>
      <c r="S18" s="591">
        <f t="shared" si="3"/>
        <v>0</v>
      </c>
      <c r="T18" s="593">
        <f>IFERROR(IF(S18="Check Data","Check Data",VLOOKUP(S18,'G-4 Temporal multipliers'!$A$4:$C$37,3,FALSE)),"")</f>
        <v>1</v>
      </c>
      <c r="U18" s="592" t="str">
        <f>IF(F18="","",VLOOKUP(F18,'G-3 Multipliers'!$A$2:$E$130,2,FALSE))</f>
        <v>Low</v>
      </c>
      <c r="V18" s="343" t="str">
        <f t="shared" si="4"/>
        <v>Standard difficulty applied</v>
      </c>
      <c r="W18" s="343" t="str">
        <f>IF(E18="","",IF(AND(V18="Standard difficulty applied",O18&gt;P18),U18,IF(AND(V18="Low Difficulty - only applicable if all habitat created before losses",P18&gt;=O18),"Low",VLOOKUP(F18,'G-3 Multipliers'!$A$2:$E$130,4,FALSE))))</f>
        <v>Medium</v>
      </c>
      <c r="X18" s="345">
        <f>IFERROR(IF(E18="","",VLOOKUP(W18, 'G-3 Multipliers'!$P$2:$Q$6,2,FALSE)),””)</f>
        <v>0.67</v>
      </c>
      <c r="Y18" s="595">
        <f t="shared" si="5"/>
        <v>0</v>
      </c>
      <c r="Z18" s="355"/>
      <c r="AA18" s="356"/>
      <c r="AE18" s="59" t="str">
        <f t="shared" si="1"/>
        <v>Not Possible</v>
      </c>
    </row>
    <row r="19" spans="1:31" ht="27.6" x14ac:dyDescent="0.25">
      <c r="A19" s="52" t="str">
        <f>IFERROR(INDEX('G-8 Condition Look up'!$I$4:$I$131,MATCH(F19,'G-8 Condition Look up'!$A$4:$A$131,0)),"")</f>
        <v>Cond4</v>
      </c>
      <c r="C19" s="588" t="str">
        <f>IFERROR(INDEX('G-1 All Habitats'!$AG$3:$AG$15,MATCH(D19,'G-1 All Habitats'!$AF$3:$AF$15,0)),"")</f>
        <v>Urban</v>
      </c>
      <c r="D19" s="347" t="s">
        <v>166</v>
      </c>
      <c r="E19" s="366" t="s">
        <v>225</v>
      </c>
      <c r="F19" s="365" t="str">
        <f>IFERROR(INDEX('G-1 All Habitats'!$B$3:$B$130,MATCH(E19,'G-1 All Habitats'!$A$3:$A$130,0)),"")</f>
        <v>Urban - Extensive green roof</v>
      </c>
      <c r="G19" s="76">
        <v>0.27479999999999999</v>
      </c>
      <c r="H19" s="77" t="str">
        <f>IF(F19="","",VLOOKUP(F19,'G-1 All Habitats'!$B$2:$M$130,10,FALSE))</f>
        <v>Low</v>
      </c>
      <c r="I19" s="78">
        <f>IFERROR(VLOOKUP(H19,'G-1 All Habitats'!$V$3:$W$7,2,FALSE),"")</f>
        <v>2</v>
      </c>
      <c r="J19" s="79" t="s">
        <v>2</v>
      </c>
      <c r="K19" s="78">
        <f>IFERROR(INDEX('G-8 Condition Look up'!$A$3:$H$131,MATCH(F19,'G-8 Condition Look up'!$A$3:$A$131,0),MATCH(J19,'G-8 Condition Look up'!$A$3:$H$3,0)),"")</f>
        <v>1</v>
      </c>
      <c r="L19" s="79" t="s">
        <v>970</v>
      </c>
      <c r="M19" s="348" t="str">
        <f>IF(L19="","",IF(VLOOKUP(L19,'G-3 Multipliers'!$L$3:$N$6,2,FALSE)=0,"Spatial Data Missing",VLOOKUP(L19,'G-3 Multipliers'!$L$3:$N$6,2,FALSE)))</f>
        <v>Low Strategic Significance</v>
      </c>
      <c r="N19" s="569">
        <f>IF(L19="","",IF(VLOOKUP(L19,'G-3 Multipliers'!$L$3:$N$6,3,FALSE)=0,"Spatial Data Missing",VLOOKUP(L19,'G-3 Multipliers'!$L$3:$N$6,3,FALSE)))</f>
        <v>1</v>
      </c>
      <c r="O19" s="77">
        <f t="shared" si="0"/>
        <v>1</v>
      </c>
      <c r="P19" s="94">
        <v>0</v>
      </c>
      <c r="Q19" s="94">
        <v>0</v>
      </c>
      <c r="R19" s="343" t="str">
        <f t="shared" si="2"/>
        <v>Standard time to target condition applied</v>
      </c>
      <c r="S19" s="591">
        <f t="shared" si="3"/>
        <v>1</v>
      </c>
      <c r="T19" s="593">
        <f>IFERROR(IF(S19="Check Data","Check Data",VLOOKUP(S19,'G-4 Temporal multipliers'!$A$4:$C$37,3,FALSE)),"")</f>
        <v>0.96499999999999997</v>
      </c>
      <c r="U19" s="592" t="str">
        <f>IF(F19="","",VLOOKUP(F19,'G-3 Multipliers'!$A$2:$E$130,2,FALSE))</f>
        <v>Low</v>
      </c>
      <c r="V19" s="343" t="str">
        <f t="shared" si="4"/>
        <v>Standard difficulty applied</v>
      </c>
      <c r="W19" s="343" t="str">
        <f>IF(E19="","",IF(AND(V19="Standard difficulty applied",O19&gt;P19),U19,IF(AND(V19="Low Difficulty - only applicable if all habitat created before losses",P19&gt;=O19),"Low",VLOOKUP(F19,'G-3 Multipliers'!$A$2:$E$130,4,FALSE))))</f>
        <v>Low</v>
      </c>
      <c r="X19" s="345">
        <f>IFERROR(IF(E19="","",VLOOKUP(W19, 'G-3 Multipliers'!$P$2:$Q$6,2,FALSE)),””)</f>
        <v>1</v>
      </c>
      <c r="Y19" s="595">
        <f t="shared" si="5"/>
        <v>0.53036399999999995</v>
      </c>
      <c r="Z19" s="355"/>
      <c r="AA19" s="356"/>
      <c r="AE19" s="59">
        <f t="shared" si="1"/>
        <v>1</v>
      </c>
    </row>
    <row r="20" spans="1:31" ht="27.6" x14ac:dyDescent="0.25">
      <c r="A20" s="52" t="str">
        <f>IFERROR(INDEX('G-8 Condition Look up'!$I$4:$I$131,MATCH(F20,'G-8 Condition Look up'!$A$4:$A$131,0)),"")</f>
        <v>Cond3</v>
      </c>
      <c r="C20" s="588" t="str">
        <f>IFERROR(INDEX('G-1 All Habitats'!$AG$3:$AG$15,MATCH(D20,'G-1 All Habitats'!$AF$3:$AF$15,0)),"")</f>
        <v>Urban</v>
      </c>
      <c r="D20" s="347" t="s">
        <v>166</v>
      </c>
      <c r="E20" s="366" t="s">
        <v>230</v>
      </c>
      <c r="F20" s="365" t="str">
        <f>IFERROR(INDEX('G-1 All Habitats'!$B$3:$B$130,MATCH(E20,'G-1 All Habitats'!$A$3:$A$130,0)),"")</f>
        <v>Urban - Ground level planters</v>
      </c>
      <c r="G20" s="76">
        <v>0.29189999999999999</v>
      </c>
      <c r="H20" s="77" t="str">
        <f>IF(F20="","",VLOOKUP(F20,'G-1 All Habitats'!$B$2:$M$130,10,FALSE))</f>
        <v>Low</v>
      </c>
      <c r="I20" s="78">
        <f>IFERROR(VLOOKUP(H20,'G-1 All Habitats'!$V$3:$W$7,2,FALSE),"")</f>
        <v>2</v>
      </c>
      <c r="J20" s="79" t="s">
        <v>2</v>
      </c>
      <c r="K20" s="78">
        <f>IFERROR(INDEX('G-8 Condition Look up'!$A$3:$H$131,MATCH(F20,'G-8 Condition Look up'!$A$3:$A$131,0),MATCH(J20,'G-8 Condition Look up'!$A$3:$H$3,0)),"")</f>
        <v>1</v>
      </c>
      <c r="L20" s="79" t="s">
        <v>970</v>
      </c>
      <c r="M20" s="348" t="str">
        <f>IF(L20="","",IF(VLOOKUP(L20,'G-3 Multipliers'!$L$3:$N$6,2,FALSE)=0,"Spatial Data Missing",VLOOKUP(L20,'G-3 Multipliers'!$L$3:$N$6,2,FALSE)))</f>
        <v>Low Strategic Significance</v>
      </c>
      <c r="N20" s="569">
        <f>IF(L20="","",IF(VLOOKUP(L20,'G-3 Multipliers'!$L$3:$N$6,3,FALSE)=0,"Spatial Data Missing",VLOOKUP(L20,'G-3 Multipliers'!$L$3:$N$6,3,FALSE)))</f>
        <v>1</v>
      </c>
      <c r="O20" s="77">
        <f t="shared" si="0"/>
        <v>1</v>
      </c>
      <c r="P20" s="94">
        <v>0</v>
      </c>
      <c r="Q20" s="94">
        <v>0</v>
      </c>
      <c r="R20" s="343" t="str">
        <f t="shared" si="2"/>
        <v>Standard time to target condition applied</v>
      </c>
      <c r="S20" s="591">
        <f t="shared" si="3"/>
        <v>1</v>
      </c>
      <c r="T20" s="593">
        <f>IFERROR(IF(S20="Check Data","Check Data",VLOOKUP(S20,'G-4 Temporal multipliers'!$A$4:$C$37,3,FALSE)),"")</f>
        <v>0.96499999999999997</v>
      </c>
      <c r="U20" s="592" t="str">
        <f>IF(F20="","",VLOOKUP(F20,'G-3 Multipliers'!$A$2:$E$130,2,FALSE))</f>
        <v>Low</v>
      </c>
      <c r="V20" s="343" t="str">
        <f t="shared" si="4"/>
        <v>Standard difficulty applied</v>
      </c>
      <c r="W20" s="343" t="str">
        <f>IF(E20="","",IF(AND(V20="Standard difficulty applied",O20&gt;P20),U20,IF(AND(V20="Low Difficulty - only applicable if all habitat created before losses",P20&gt;=O20),"Low",VLOOKUP(F20,'G-3 Multipliers'!$A$2:$E$130,4,FALSE))))</f>
        <v>Low</v>
      </c>
      <c r="X20" s="345">
        <f>IFERROR(IF(E20="","",VLOOKUP(W20, 'G-3 Multipliers'!$P$2:$Q$6,2,FALSE)),””)</f>
        <v>1</v>
      </c>
      <c r="Y20" s="595">
        <f t="shared" si="5"/>
        <v>0.56336699999999995</v>
      </c>
      <c r="Z20" s="355"/>
      <c r="AA20" s="356"/>
      <c r="AE20" s="59">
        <f t="shared" si="1"/>
        <v>1</v>
      </c>
    </row>
    <row r="21" spans="1:31" ht="27.6" x14ac:dyDescent="0.25">
      <c r="A21" s="52" t="str">
        <f>IFERROR(INDEX('G-8 Condition Look up'!$I$4:$I$131,MATCH(F21,'G-8 Condition Look up'!$A$4:$A$131,0)),"")</f>
        <v>Cond3</v>
      </c>
      <c r="C21" s="588" t="str">
        <f>IFERROR(INDEX('G-1 All Habitats'!$AG$3:$AG$15,MATCH(D21,'G-1 All Habitats'!$AF$3:$AF$15,0)),"")</f>
        <v>Urban</v>
      </c>
      <c r="D21" s="347" t="s">
        <v>166</v>
      </c>
      <c r="E21" s="366" t="s">
        <v>220</v>
      </c>
      <c r="F21" s="365" t="str">
        <f>IFERROR(INDEX('G-1 All Habitats'!$B$3:$B$130,MATCH(E21,'G-1 All Habitats'!$A$3:$A$130,0)),"")</f>
        <v>Urban - Vegetated garden</v>
      </c>
      <c r="G21" s="76">
        <v>2.7300000000000001E-2</v>
      </c>
      <c r="H21" s="77" t="str">
        <f>IF(F21="","",VLOOKUP(F21,'G-1 All Habitats'!$B$2:$M$130,10,FALSE))</f>
        <v>Low</v>
      </c>
      <c r="I21" s="78">
        <f>IFERROR(VLOOKUP(H21,'G-1 All Habitats'!$V$3:$W$7,2,FALSE),"")</f>
        <v>2</v>
      </c>
      <c r="J21" s="79" t="s">
        <v>2</v>
      </c>
      <c r="K21" s="78">
        <f>IFERROR(INDEX('G-8 Condition Look up'!$A$3:$H$131,MATCH(F21,'G-8 Condition Look up'!$A$3:$A$131,0),MATCH(J21,'G-8 Condition Look up'!$A$3:$H$3,0)),"")</f>
        <v>1</v>
      </c>
      <c r="L21" s="79" t="s">
        <v>970</v>
      </c>
      <c r="M21" s="348" t="str">
        <f>IF(L21="","",IF(VLOOKUP(L21,'G-3 Multipliers'!$L$3:$N$6,2,FALSE)=0,"Spatial Data Missing",VLOOKUP(L21,'G-3 Multipliers'!$L$3:$N$6,2,FALSE)))</f>
        <v>Low Strategic Significance</v>
      </c>
      <c r="N21" s="569">
        <f>IF(L21="","",IF(VLOOKUP(L21,'G-3 Multipliers'!$L$3:$N$6,3,FALSE)=0,"Spatial Data Missing",VLOOKUP(L21,'G-3 Multipliers'!$L$3:$N$6,3,FALSE)))</f>
        <v>1</v>
      </c>
      <c r="O21" s="77">
        <f t="shared" si="0"/>
        <v>1</v>
      </c>
      <c r="P21" s="94">
        <v>0</v>
      </c>
      <c r="Q21" s="94">
        <v>0</v>
      </c>
      <c r="R21" s="343" t="str">
        <f t="shared" si="2"/>
        <v>Standard time to target condition applied</v>
      </c>
      <c r="S21" s="591">
        <f t="shared" si="3"/>
        <v>1</v>
      </c>
      <c r="T21" s="593">
        <f>IFERROR(IF(S21="Check Data","Check Data",VLOOKUP(S21,'G-4 Temporal multipliers'!$A$4:$C$37,3,FALSE)),"")</f>
        <v>0.96499999999999997</v>
      </c>
      <c r="U21" s="592" t="str">
        <f>IF(F21="","",VLOOKUP(F21,'G-3 Multipliers'!$A$2:$E$130,2,FALSE))</f>
        <v>Low</v>
      </c>
      <c r="V21" s="343" t="str">
        <f t="shared" si="4"/>
        <v>Standard difficulty applied</v>
      </c>
      <c r="W21" s="343" t="str">
        <f>IF(E21="","",IF(AND(V21="Standard difficulty applied",O21&gt;P21),U21,IF(AND(V21="Low Difficulty - only applicable if all habitat created before losses",P21&gt;=O21),"Low",VLOOKUP(F21,'G-3 Multipliers'!$A$2:$E$130,4,FALSE))))</f>
        <v>Low</v>
      </c>
      <c r="X21" s="345">
        <f>IFERROR(IF(E21="","",VLOOKUP(W21, 'G-3 Multipliers'!$P$2:$Q$6,2,FALSE)),””)</f>
        <v>1</v>
      </c>
      <c r="Y21" s="595">
        <f t="shared" si="5"/>
        <v>5.2689E-2</v>
      </c>
      <c r="Z21" s="355"/>
      <c r="AA21" s="356"/>
      <c r="AE21" s="59">
        <f t="shared" si="1"/>
        <v>1</v>
      </c>
    </row>
    <row r="22" spans="1:31" ht="27.6" x14ac:dyDescent="0.25">
      <c r="A22" s="52" t="str">
        <f>IFERROR(INDEX('G-8 Condition Look up'!$I$4:$I$131,MATCH(F22,'G-8 Condition Look up'!$A$4:$A$131,0)),"")</f>
        <v>Cond4</v>
      </c>
      <c r="C22" s="588" t="str">
        <f>IFERROR(INDEX('G-1 All Habitats'!$AG$3:$AG$15,MATCH(D22,'G-1 All Habitats'!$AF$3:$AF$15,0)),"")</f>
        <v>Urban</v>
      </c>
      <c r="D22" s="347" t="s">
        <v>166</v>
      </c>
      <c r="E22" s="366" t="s">
        <v>1280</v>
      </c>
      <c r="F22" s="365" t="str">
        <f>IFERROR(INDEX('G-1 All Habitats'!$B$3:$B$130,MATCH(E22,'G-1 All Habitats'!$A$3:$A$130,0)),"")</f>
        <v>Urban - Urban Tree</v>
      </c>
      <c r="G22" s="76">
        <v>0.1067</v>
      </c>
      <c r="H22" s="77" t="str">
        <f>IF(F22="","",VLOOKUP(F22,'G-1 All Habitats'!$B$2:$M$130,10,FALSE))</f>
        <v>Medium</v>
      </c>
      <c r="I22" s="78">
        <f>IFERROR(VLOOKUP(H22,'G-1 All Habitats'!$V$3:$W$7,2,FALSE),"")</f>
        <v>4</v>
      </c>
      <c r="J22" s="79" t="s">
        <v>2</v>
      </c>
      <c r="K22" s="78">
        <f>IFERROR(INDEX('G-8 Condition Look up'!$A$3:$H$131,MATCH(F22,'G-8 Condition Look up'!$A$3:$A$131,0),MATCH(J22,'G-8 Condition Look up'!$A$3:$H$3,0)),"")</f>
        <v>1</v>
      </c>
      <c r="L22" s="79" t="s">
        <v>970</v>
      </c>
      <c r="M22" s="348" t="str">
        <f>IF(L22="","",IF(VLOOKUP(L22,'G-3 Multipliers'!$L$3:$N$6,2,FALSE)=0,"Spatial Data Missing",VLOOKUP(L22,'G-3 Multipliers'!$L$3:$N$6,2,FALSE)))</f>
        <v>Low Strategic Significance</v>
      </c>
      <c r="N22" s="569">
        <f>IF(L22="","",IF(VLOOKUP(L22,'G-3 Multipliers'!$L$3:$N$6,3,FALSE)=0,"Spatial Data Missing",VLOOKUP(L22,'G-3 Multipliers'!$L$3:$N$6,3,FALSE)))</f>
        <v>1</v>
      </c>
      <c r="O22" s="77">
        <f t="shared" si="0"/>
        <v>10</v>
      </c>
      <c r="P22" s="94">
        <v>0</v>
      </c>
      <c r="Q22" s="94">
        <v>0</v>
      </c>
      <c r="R22" s="343" t="str">
        <f t="shared" si="2"/>
        <v>Standard time to target condition applied</v>
      </c>
      <c r="S22" s="591">
        <f t="shared" si="3"/>
        <v>10</v>
      </c>
      <c r="T22" s="593">
        <f>IFERROR(IF(S22="Check Data","Check Data",VLOOKUP(S22,'G-4 Temporal multipliers'!$A$4:$C$37,3,FALSE)),"")</f>
        <v>0.70028227419999989</v>
      </c>
      <c r="U22" s="592" t="str">
        <f>IF(F22="","",VLOOKUP(F22,'G-3 Multipliers'!$A$2:$E$130,2,FALSE))</f>
        <v>Low</v>
      </c>
      <c r="V22" s="343" t="str">
        <f t="shared" si="4"/>
        <v>Standard difficulty applied</v>
      </c>
      <c r="W22" s="343" t="str">
        <f>IF(E22="","",IF(AND(V22="Standard difficulty applied",O22&gt;P22),U22,IF(AND(V22="Low Difficulty - only applicable if all habitat created before losses",P22&gt;=O22),"Low",VLOOKUP(F22,'G-3 Multipliers'!$A$2:$E$130,4,FALSE))))</f>
        <v>Low</v>
      </c>
      <c r="X22" s="345">
        <f>IFERROR(IF(E22="","",VLOOKUP(W22, 'G-3 Multipliers'!$P$2:$Q$6,2,FALSE)),””)</f>
        <v>1</v>
      </c>
      <c r="Y22" s="595">
        <f t="shared" si="5"/>
        <v>0.29888047462855993</v>
      </c>
      <c r="Z22" s="355" t="s">
        <v>1517</v>
      </c>
      <c r="AA22" s="356"/>
      <c r="AE22" s="59">
        <f t="shared" si="1"/>
        <v>10</v>
      </c>
    </row>
    <row r="23" spans="1:31" x14ac:dyDescent="0.25">
      <c r="A23" s="52" t="str">
        <f>IFERROR(INDEX('G-8 Condition Look up'!$I$4:$I$131,MATCH(F23,'G-8 Condition Look up'!$A$4:$A$131,0)),"")</f>
        <v/>
      </c>
      <c r="C23" s="588" t="str">
        <f>IFERROR(INDEX('G-1 All Habitats'!$AG$3:$AG$15,MATCH(D23,'G-1 All Habitats'!$AF$3:$AF$15,0)),"")</f>
        <v/>
      </c>
      <c r="D23" s="347"/>
      <c r="E23" s="366"/>
      <c r="F23" s="365" t="str">
        <f>IFERROR(INDEX('G-1 All Habitats'!$B$3:$B$130,MATCH(E23,'G-1 All Habitats'!$A$3:$A$130,0)),"")</f>
        <v/>
      </c>
      <c r="G23" s="76"/>
      <c r="H23" s="77" t="str">
        <f>IF(F23="","",VLOOKUP(F23,'G-1 All Habitats'!$B$2:$M$130,10,FALSE))</f>
        <v/>
      </c>
      <c r="I23" s="78" t="str">
        <f>IFERROR(VLOOKUP(H23,'G-1 All Habitats'!$V$3:$W$7,2,FALSE),"")</f>
        <v/>
      </c>
      <c r="J23" s="79"/>
      <c r="K23" s="78" t="str">
        <f>IFERROR(INDEX('G-8 Condition Look up'!$A$3:$H$131,MATCH(F23,'G-8 Condition Look up'!$A$3:$A$131,0),MATCH(J23,'G-8 Condition Look up'!$A$3:$H$3,0)),"")</f>
        <v/>
      </c>
      <c r="L23" s="79"/>
      <c r="M23" s="348" t="str">
        <f>IF(L23="","",IF(VLOOKUP(L23,'G-3 Multipliers'!$L$3:$N$6,2,FALSE)=0,"Spatial Data Missing",VLOOKUP(L23,'G-3 Multipliers'!$L$3:$N$6,2,FALSE)))</f>
        <v/>
      </c>
      <c r="N23" s="569" t="str">
        <f>IF(L23="","",IF(VLOOKUP(L23,'G-3 Multipliers'!$L$3:$N$6,3,FALSE)=0,"Spatial Data Missing",VLOOKUP(L23,'G-3 Multipliers'!$L$3:$N$6,3,FALSE)))</f>
        <v/>
      </c>
      <c r="O23" s="77" t="str">
        <f t="shared" si="0"/>
        <v/>
      </c>
      <c r="P23" s="94"/>
      <c r="Q23" s="94"/>
      <c r="R23" s="343" t="str">
        <f t="shared" si="2"/>
        <v/>
      </c>
      <c r="S23" s="591" t="str">
        <f t="shared" si="3"/>
        <v/>
      </c>
      <c r="T23" s="593" t="str">
        <f>IFERROR(IF(S23="Check Data","Check Data",VLOOKUP(S23,'G-4 Temporal multipliers'!$A$4:$C$37,3,FALSE)),"")</f>
        <v/>
      </c>
      <c r="U23" s="592" t="str">
        <f>IF(F23="","",VLOOKUP(F23,'G-3 Multipliers'!$A$2:$E$130,2,FALSE))</f>
        <v/>
      </c>
      <c r="V23" s="343" t="str">
        <f t="shared" si="4"/>
        <v/>
      </c>
      <c r="W23" s="343" t="str">
        <f>IF(E23="","",IF(AND(V23="Standard difficulty applied",O23&gt;P23),U23,IF(AND(V23="Low Difficulty - only applicable if all habitat created before losses",P23&gt;=O23),"Low",VLOOKUP(F23,'G-3 Multipliers'!$A$2:$E$130,4,FALSE))))</f>
        <v/>
      </c>
      <c r="X23" s="345" t="str">
        <f>IFERROR(IF(E23="","",VLOOKUP(W23, 'G-3 Multipliers'!$P$2:$Q$6,2,FALSE)),””)</f>
        <v/>
      </c>
      <c r="Y23" s="595" t="str">
        <f t="shared" si="5"/>
        <v/>
      </c>
      <c r="Z23" s="355"/>
      <c r="AA23" s="356"/>
      <c r="AE23" s="59" t="str">
        <f t="shared" si="1"/>
        <v/>
      </c>
    </row>
    <row r="24" spans="1:31" x14ac:dyDescent="0.25">
      <c r="A24" s="52" t="str">
        <f>IFERROR(INDEX('G-8 Condition Look up'!$I$4:$I$131,MATCH(F24,'G-8 Condition Look up'!$A$4:$A$131,0)),"")</f>
        <v/>
      </c>
      <c r="C24" s="588" t="str">
        <f>IFERROR(INDEX('G-1 All Habitats'!$AG$3:$AG$15,MATCH(D24,'G-1 All Habitats'!$AF$3:$AF$15,0)),"")</f>
        <v/>
      </c>
      <c r="D24" s="347"/>
      <c r="E24" s="366"/>
      <c r="F24" s="365" t="str">
        <f>IFERROR(INDEX('G-1 All Habitats'!$B$3:$B$130,MATCH(E24,'G-1 All Habitats'!$A$3:$A$130,0)),"")</f>
        <v/>
      </c>
      <c r="G24" s="76"/>
      <c r="H24" s="77" t="str">
        <f>IF(F24="","",VLOOKUP(F24,'G-1 All Habitats'!$B$2:$M$130,10,FALSE))</f>
        <v/>
      </c>
      <c r="I24" s="78" t="str">
        <f>IFERROR(VLOOKUP(H24,'G-1 All Habitats'!$V$3:$W$7,2,FALSE),"")</f>
        <v/>
      </c>
      <c r="J24" s="79"/>
      <c r="K24" s="78" t="str">
        <f>IFERROR(INDEX('G-8 Condition Look up'!$A$3:$H$131,MATCH(F24,'G-8 Condition Look up'!$A$3:$A$131,0),MATCH(J24,'G-8 Condition Look up'!$A$3:$H$3,0)),"")</f>
        <v/>
      </c>
      <c r="L24" s="79"/>
      <c r="M24" s="348" t="str">
        <f>IF(L24="","",IF(VLOOKUP(L24,'G-3 Multipliers'!$L$3:$N$6,2,FALSE)=0,"Spatial Data Missing",VLOOKUP(L24,'G-3 Multipliers'!$L$3:$N$6,2,FALSE)))</f>
        <v/>
      </c>
      <c r="N24" s="569" t="str">
        <f>IF(L24="","",IF(VLOOKUP(L24,'G-3 Multipliers'!$L$3:$N$6,3,FALSE)=0,"Spatial Data Missing",VLOOKUP(L24,'G-3 Multipliers'!$L$3:$N$6,3,FALSE)))</f>
        <v/>
      </c>
      <c r="O24" s="77" t="str">
        <f t="shared" si="0"/>
        <v/>
      </c>
      <c r="P24" s="94"/>
      <c r="Q24" s="94"/>
      <c r="R24" s="343" t="str">
        <f t="shared" si="2"/>
        <v/>
      </c>
      <c r="S24" s="591" t="str">
        <f t="shared" si="3"/>
        <v/>
      </c>
      <c r="T24" s="593" t="str">
        <f>IFERROR(IF(S24="Check Data","Check Data",VLOOKUP(S24,'G-4 Temporal multipliers'!$A$4:$C$37,3,FALSE)),"")</f>
        <v/>
      </c>
      <c r="U24" s="592" t="str">
        <f>IF(F24="","",VLOOKUP(F24,'G-3 Multipliers'!$A$2:$E$130,2,FALSE))</f>
        <v/>
      </c>
      <c r="V24" s="343" t="str">
        <f t="shared" si="4"/>
        <v/>
      </c>
      <c r="W24" s="343" t="str">
        <f>IF(E24="","",IF(AND(V24="Standard difficulty applied",O24&gt;P24),U24,IF(AND(V24="Low Difficulty - only applicable if all habitat created before losses",P24&gt;=O24),"Low",VLOOKUP(F24,'G-3 Multipliers'!$A$2:$E$130,4,FALSE))))</f>
        <v/>
      </c>
      <c r="X24" s="345" t="str">
        <f>IFERROR(IF(E24="","",VLOOKUP(W24, 'G-3 Multipliers'!$P$2:$Q$6,2,FALSE)),””)</f>
        <v/>
      </c>
      <c r="Y24" s="595" t="str">
        <f t="shared" si="5"/>
        <v/>
      </c>
      <c r="Z24" s="355"/>
      <c r="AA24" s="356"/>
      <c r="AE24" s="59" t="str">
        <f t="shared" si="1"/>
        <v/>
      </c>
    </row>
    <row r="25" spans="1:31" x14ac:dyDescent="0.25">
      <c r="A25" s="52" t="str">
        <f>IFERROR(INDEX('G-8 Condition Look up'!$I$4:$I$131,MATCH(F25,'G-8 Condition Look up'!$A$4:$A$131,0)),"")</f>
        <v/>
      </c>
      <c r="C25" s="588" t="str">
        <f>IFERROR(INDEX('G-1 All Habitats'!$AG$3:$AG$15,MATCH(D25,'G-1 All Habitats'!$AF$3:$AF$15,0)),"")</f>
        <v/>
      </c>
      <c r="D25" s="347"/>
      <c r="E25" s="366"/>
      <c r="F25" s="365" t="str">
        <f>IFERROR(INDEX('G-1 All Habitats'!$B$3:$B$130,MATCH(E25,'G-1 All Habitats'!$A$3:$A$130,0)),"")</f>
        <v/>
      </c>
      <c r="G25" s="76"/>
      <c r="H25" s="77" t="str">
        <f>IF(F25="","",VLOOKUP(F25,'G-1 All Habitats'!$B$2:$M$130,10,FALSE))</f>
        <v/>
      </c>
      <c r="I25" s="78" t="str">
        <f>IFERROR(VLOOKUP(H25,'G-1 All Habitats'!$V$3:$W$7,2,FALSE),"")</f>
        <v/>
      </c>
      <c r="J25" s="79"/>
      <c r="K25" s="78" t="str">
        <f>IFERROR(INDEX('G-8 Condition Look up'!$A$3:$H$131,MATCH(F25,'G-8 Condition Look up'!$A$3:$A$131,0),MATCH(J25,'G-8 Condition Look up'!$A$3:$H$3,0)),"")</f>
        <v/>
      </c>
      <c r="L25" s="79"/>
      <c r="M25" s="348" t="str">
        <f>IF(L25="","",IF(VLOOKUP(L25,'G-3 Multipliers'!$L$3:$N$6,2,FALSE)=0,"Spatial Data Missing",VLOOKUP(L25,'G-3 Multipliers'!$L$3:$N$6,2,FALSE)))</f>
        <v/>
      </c>
      <c r="N25" s="569" t="str">
        <f>IF(L25="","",IF(VLOOKUP(L25,'G-3 Multipliers'!$L$3:$N$6,3,FALSE)=0,"Spatial Data Missing",VLOOKUP(L25,'G-3 Multipliers'!$L$3:$N$6,3,FALSE)))</f>
        <v/>
      </c>
      <c r="O25" s="77" t="str">
        <f t="shared" si="0"/>
        <v/>
      </c>
      <c r="P25" s="94"/>
      <c r="Q25" s="94"/>
      <c r="R25" s="343" t="str">
        <f t="shared" si="2"/>
        <v/>
      </c>
      <c r="S25" s="591" t="str">
        <f t="shared" si="3"/>
        <v/>
      </c>
      <c r="T25" s="593" t="str">
        <f>IFERROR(IF(S25="Check Data","Check Data",VLOOKUP(S25,'G-4 Temporal multipliers'!$A$4:$C$37,3,FALSE)),"")</f>
        <v/>
      </c>
      <c r="U25" s="592" t="str">
        <f>IF(F25="","",VLOOKUP(F25,'G-3 Multipliers'!$A$2:$E$130,2,FALSE))</f>
        <v/>
      </c>
      <c r="V25" s="343" t="str">
        <f t="shared" si="4"/>
        <v/>
      </c>
      <c r="W25" s="343" t="str">
        <f>IF(E25="","",IF(AND(V25="Standard difficulty applied",O25&gt;P25),U25,IF(AND(V25="Low Difficulty - only applicable if all habitat created before losses",P25&gt;=O25),"Low",VLOOKUP(F25,'G-3 Multipliers'!$A$2:$E$130,4,FALSE))))</f>
        <v/>
      </c>
      <c r="X25" s="345" t="str">
        <f>IFERROR(IF(E25="","",VLOOKUP(W25, 'G-3 Multipliers'!$P$2:$Q$6,2,FALSE)),””)</f>
        <v/>
      </c>
      <c r="Y25" s="595" t="str">
        <f t="shared" si="5"/>
        <v/>
      </c>
      <c r="Z25" s="355"/>
      <c r="AA25" s="356"/>
      <c r="AE25" s="59" t="str">
        <f t="shared" si="1"/>
        <v/>
      </c>
    </row>
    <row r="26" spans="1:31" x14ac:dyDescent="0.25">
      <c r="A26" s="52" t="str">
        <f>IFERROR(INDEX('G-8 Condition Look up'!$I$4:$I$131,MATCH(F26,'G-8 Condition Look up'!$A$4:$A$131,0)),"")</f>
        <v/>
      </c>
      <c r="C26" s="588" t="str">
        <f>IFERROR(INDEX('G-1 All Habitats'!$AG$3:$AG$15,MATCH(D26,'G-1 All Habitats'!$AF$3:$AF$15,0)),"")</f>
        <v/>
      </c>
      <c r="D26" s="347"/>
      <c r="E26" s="366"/>
      <c r="F26" s="365" t="str">
        <f>IFERROR(INDEX('G-1 All Habitats'!$B$3:$B$130,MATCH(E26,'G-1 All Habitats'!$A$3:$A$130,0)),"")</f>
        <v/>
      </c>
      <c r="G26" s="76"/>
      <c r="H26" s="77" t="str">
        <f>IF(F26="","",VLOOKUP(F26,'G-1 All Habitats'!$B$2:$M$130,10,FALSE))</f>
        <v/>
      </c>
      <c r="I26" s="78" t="str">
        <f>IFERROR(VLOOKUP(H26,'G-1 All Habitats'!$V$3:$W$7,2,FALSE),"")</f>
        <v/>
      </c>
      <c r="J26" s="79"/>
      <c r="K26" s="78" t="str">
        <f>IFERROR(INDEX('G-8 Condition Look up'!$A$3:$H$131,MATCH(F26,'G-8 Condition Look up'!$A$3:$A$131,0),MATCH(J26,'G-8 Condition Look up'!$A$3:$H$3,0)),"")</f>
        <v/>
      </c>
      <c r="L26" s="79"/>
      <c r="M26" s="348" t="str">
        <f>IF(L26="","",IF(VLOOKUP(L26,'G-3 Multipliers'!$L$3:$N$6,2,FALSE)=0,"Spatial Data Missing",VLOOKUP(L26,'G-3 Multipliers'!$L$3:$N$6,2,FALSE)))</f>
        <v/>
      </c>
      <c r="N26" s="569" t="str">
        <f>IF(L26="","",IF(VLOOKUP(L26,'G-3 Multipliers'!$L$3:$N$6,3,FALSE)=0,"Spatial Data Missing",VLOOKUP(L26,'G-3 Multipliers'!$L$3:$N$6,3,FALSE)))</f>
        <v/>
      </c>
      <c r="O26" s="77" t="str">
        <f t="shared" si="0"/>
        <v/>
      </c>
      <c r="P26" s="94"/>
      <c r="Q26" s="94"/>
      <c r="R26" s="343" t="str">
        <f t="shared" si="2"/>
        <v/>
      </c>
      <c r="S26" s="591" t="str">
        <f t="shared" si="3"/>
        <v/>
      </c>
      <c r="T26" s="593" t="str">
        <f>IFERROR(IF(S26="Check Data","Check Data",VLOOKUP(S26,'G-4 Temporal multipliers'!$A$4:$C$37,3,FALSE)),"")</f>
        <v/>
      </c>
      <c r="U26" s="592" t="str">
        <f>IF(F26="","",VLOOKUP(F26,'G-3 Multipliers'!$A$2:$E$130,2,FALSE))</f>
        <v/>
      </c>
      <c r="V26" s="343" t="str">
        <f t="shared" si="4"/>
        <v/>
      </c>
      <c r="W26" s="343" t="str">
        <f>IF(E26="","",IF(AND(V26="Standard difficulty applied",O26&gt;P26),U26,IF(AND(V26="Low Difficulty - only applicable if all habitat created before losses",P26&gt;=O26),"Low",VLOOKUP(F26,'G-3 Multipliers'!$A$2:$E$130,4,FALSE))))</f>
        <v/>
      </c>
      <c r="X26" s="345" t="str">
        <f>IFERROR(IF(E26="","",VLOOKUP(W26, 'G-3 Multipliers'!$P$2:$Q$6,2,FALSE)),””)</f>
        <v/>
      </c>
      <c r="Y26" s="595" t="str">
        <f t="shared" si="5"/>
        <v/>
      </c>
      <c r="Z26" s="355"/>
      <c r="AA26" s="356"/>
      <c r="AE26" s="59" t="str">
        <f t="shared" si="1"/>
        <v/>
      </c>
    </row>
    <row r="27" spans="1:31" x14ac:dyDescent="0.25">
      <c r="A27" s="52" t="str">
        <f>IFERROR(INDEX('G-8 Condition Look up'!$I$4:$I$131,MATCH(F27,'G-8 Condition Look up'!$A$4:$A$131,0)),"")</f>
        <v/>
      </c>
      <c r="C27" s="588" t="str">
        <f>IFERROR(INDEX('G-1 All Habitats'!$AG$3:$AG$15,MATCH(D27,'G-1 All Habitats'!$AF$3:$AF$15,0)),"")</f>
        <v/>
      </c>
      <c r="D27" s="347"/>
      <c r="E27" s="366"/>
      <c r="F27" s="365" t="str">
        <f>IFERROR(INDEX('G-1 All Habitats'!$B$3:$B$130,MATCH(E27,'G-1 All Habitats'!$A$3:$A$130,0)),"")</f>
        <v/>
      </c>
      <c r="G27" s="76"/>
      <c r="H27" s="77" t="str">
        <f>IF(F27="","",VLOOKUP(F27,'G-1 All Habitats'!$B$2:$M$130,10,FALSE))</f>
        <v/>
      </c>
      <c r="I27" s="78" t="str">
        <f>IFERROR(VLOOKUP(H27,'G-1 All Habitats'!$V$3:$W$7,2,FALSE),"")</f>
        <v/>
      </c>
      <c r="J27" s="79"/>
      <c r="K27" s="78" t="str">
        <f>IFERROR(INDEX('G-8 Condition Look up'!$A$3:$H$131,MATCH(F27,'G-8 Condition Look up'!$A$3:$A$131,0),MATCH(J27,'G-8 Condition Look up'!$A$3:$H$3,0)),"")</f>
        <v/>
      </c>
      <c r="L27" s="79"/>
      <c r="M27" s="348" t="str">
        <f>IF(L27="","",IF(VLOOKUP(L27,'G-3 Multipliers'!$L$3:$N$6,2,FALSE)=0,"Spatial Data Missing",VLOOKUP(L27,'G-3 Multipliers'!$L$3:$N$6,2,FALSE)))</f>
        <v/>
      </c>
      <c r="N27" s="569" t="str">
        <f>IF(L27="","",IF(VLOOKUP(L27,'G-3 Multipliers'!$L$3:$N$6,3,FALSE)=0,"Spatial Data Missing",VLOOKUP(L27,'G-3 Multipliers'!$L$3:$N$6,3,FALSE)))</f>
        <v/>
      </c>
      <c r="O27" s="77" t="str">
        <f t="shared" si="0"/>
        <v/>
      </c>
      <c r="P27" s="94"/>
      <c r="Q27" s="94"/>
      <c r="R27" s="343" t="str">
        <f t="shared" si="2"/>
        <v/>
      </c>
      <c r="S27" s="591" t="str">
        <f t="shared" si="3"/>
        <v/>
      </c>
      <c r="T27" s="593" t="str">
        <f>IFERROR(IF(S27="Check Data","Check Data",VLOOKUP(S27,'G-4 Temporal multipliers'!$A$4:$C$37,3,FALSE)),"")</f>
        <v/>
      </c>
      <c r="U27" s="592" t="str">
        <f>IF(F27="","",VLOOKUP(F27,'G-3 Multipliers'!$A$2:$E$130,2,FALSE))</f>
        <v/>
      </c>
      <c r="V27" s="343" t="str">
        <f t="shared" si="4"/>
        <v/>
      </c>
      <c r="W27" s="343" t="str">
        <f>IF(E27="","",IF(AND(V27="Standard difficulty applied",O27&gt;P27),U27,IF(AND(V27="Low Difficulty - only applicable if all habitat created before losses",P27&gt;=O27),"Low",VLOOKUP(F27,'G-3 Multipliers'!$A$2:$E$130,4,FALSE))))</f>
        <v/>
      </c>
      <c r="X27" s="345" t="str">
        <f>IFERROR(IF(E27="","",VLOOKUP(W27, 'G-3 Multipliers'!$P$2:$Q$6,2,FALSE)),””)</f>
        <v/>
      </c>
      <c r="Y27" s="595" t="str">
        <f t="shared" si="5"/>
        <v/>
      </c>
      <c r="Z27" s="355"/>
      <c r="AA27" s="356"/>
      <c r="AE27" s="59" t="str">
        <f t="shared" si="1"/>
        <v/>
      </c>
    </row>
    <row r="28" spans="1:31" x14ac:dyDescent="0.25">
      <c r="A28" s="52" t="str">
        <f>IFERROR(INDEX('G-8 Condition Look up'!$I$4:$I$131,MATCH(F28,'G-8 Condition Look up'!$A$4:$A$131,0)),"")</f>
        <v/>
      </c>
      <c r="C28" s="588" t="str">
        <f>IFERROR(INDEX('G-1 All Habitats'!$AG$3:$AG$15,MATCH(D28,'G-1 All Habitats'!$AF$3:$AF$15,0)),"")</f>
        <v/>
      </c>
      <c r="D28" s="347"/>
      <c r="E28" s="366"/>
      <c r="F28" s="365" t="str">
        <f>IFERROR(INDEX('G-1 All Habitats'!$B$3:$B$130,MATCH(E28,'G-1 All Habitats'!$A$3:$A$130,0)),"")</f>
        <v/>
      </c>
      <c r="G28" s="76"/>
      <c r="H28" s="77" t="str">
        <f>IF(F28="","",VLOOKUP(F28,'G-1 All Habitats'!$B$2:$M$130,10,FALSE))</f>
        <v/>
      </c>
      <c r="I28" s="78" t="str">
        <f>IFERROR(VLOOKUP(H28,'G-1 All Habitats'!$V$3:$W$7,2,FALSE),"")</f>
        <v/>
      </c>
      <c r="J28" s="79"/>
      <c r="K28" s="78" t="str">
        <f>IFERROR(INDEX('G-8 Condition Look up'!$A$3:$H$131,MATCH(F28,'G-8 Condition Look up'!$A$3:$A$131,0),MATCH(J28,'G-8 Condition Look up'!$A$3:$H$3,0)),"")</f>
        <v/>
      </c>
      <c r="L28" s="79"/>
      <c r="M28" s="348" t="str">
        <f>IF(L28="","",IF(VLOOKUP(L28,'G-3 Multipliers'!$L$3:$N$6,2,FALSE)=0,"Spatial Data Missing",VLOOKUP(L28,'G-3 Multipliers'!$L$3:$N$6,2,FALSE)))</f>
        <v/>
      </c>
      <c r="N28" s="569" t="str">
        <f>IF(L28="","",IF(VLOOKUP(L28,'G-3 Multipliers'!$L$3:$N$6,3,FALSE)=0,"Spatial Data Missing",VLOOKUP(L28,'G-3 Multipliers'!$L$3:$N$6,3,FALSE)))</f>
        <v/>
      </c>
      <c r="O28" s="77" t="str">
        <f t="shared" si="0"/>
        <v/>
      </c>
      <c r="P28" s="94"/>
      <c r="Q28" s="94"/>
      <c r="R28" s="343" t="str">
        <f t="shared" si="2"/>
        <v/>
      </c>
      <c r="S28" s="591" t="str">
        <f t="shared" si="3"/>
        <v/>
      </c>
      <c r="T28" s="593" t="str">
        <f>IFERROR(IF(S28="Check Data","Check Data",VLOOKUP(S28,'G-4 Temporal multipliers'!$A$4:$C$37,3,FALSE)),"")</f>
        <v/>
      </c>
      <c r="U28" s="592" t="str">
        <f>IF(F28="","",VLOOKUP(F28,'G-3 Multipliers'!$A$2:$E$130,2,FALSE))</f>
        <v/>
      </c>
      <c r="V28" s="343" t="str">
        <f t="shared" si="4"/>
        <v/>
      </c>
      <c r="W28" s="343" t="str">
        <f>IF(E28="","",IF(AND(V28="Standard difficulty applied",O28&gt;P28),U28,IF(AND(V28="Low Difficulty - only applicable if all habitat created before losses",P28&gt;=O28),"Low",VLOOKUP(F28,'G-3 Multipliers'!$A$2:$E$130,4,FALSE))))</f>
        <v/>
      </c>
      <c r="X28" s="345" t="str">
        <f>IFERROR(IF(E28="","",VLOOKUP(W28, 'G-3 Multipliers'!$P$2:$Q$6,2,FALSE)),””)</f>
        <v/>
      </c>
      <c r="Y28" s="595" t="str">
        <f t="shared" si="5"/>
        <v/>
      </c>
      <c r="Z28" s="355"/>
      <c r="AA28" s="356"/>
      <c r="AE28" s="59" t="str">
        <f t="shared" si="1"/>
        <v/>
      </c>
    </row>
    <row r="29" spans="1:31" x14ac:dyDescent="0.25">
      <c r="A29" s="52" t="str">
        <f>IFERROR(INDEX('G-8 Condition Look up'!$I$4:$I$131,MATCH(F29,'G-8 Condition Look up'!$A$4:$A$131,0)),"")</f>
        <v/>
      </c>
      <c r="C29" s="588" t="str">
        <f>IFERROR(INDEX('G-1 All Habitats'!$AG$3:$AG$15,MATCH(D29,'G-1 All Habitats'!$AF$3:$AF$15,0)),"")</f>
        <v/>
      </c>
      <c r="D29" s="347"/>
      <c r="E29" s="366"/>
      <c r="F29" s="365" t="str">
        <f>IFERROR(INDEX('G-1 All Habitats'!$B$3:$B$130,MATCH(E29,'G-1 All Habitats'!$A$3:$A$130,0)),"")</f>
        <v/>
      </c>
      <c r="G29" s="76"/>
      <c r="H29" s="77" t="str">
        <f>IF(F29="","",VLOOKUP(F29,'G-1 All Habitats'!$B$2:$M$130,10,FALSE))</f>
        <v/>
      </c>
      <c r="I29" s="78" t="str">
        <f>IFERROR(VLOOKUP(H29,'G-1 All Habitats'!$V$3:$W$7,2,FALSE),"")</f>
        <v/>
      </c>
      <c r="J29" s="79"/>
      <c r="K29" s="78" t="str">
        <f>IFERROR(INDEX('G-8 Condition Look up'!$A$3:$H$131,MATCH(F29,'G-8 Condition Look up'!$A$3:$A$131,0),MATCH(J29,'G-8 Condition Look up'!$A$3:$H$3,0)),"")</f>
        <v/>
      </c>
      <c r="L29" s="79"/>
      <c r="M29" s="348" t="str">
        <f>IF(L29="","",IF(VLOOKUP(L29,'G-3 Multipliers'!$L$3:$N$6,2,FALSE)=0,"Spatial Data Missing",VLOOKUP(L29,'G-3 Multipliers'!$L$3:$N$6,2,FALSE)))</f>
        <v/>
      </c>
      <c r="N29" s="569" t="str">
        <f>IF(L29="","",IF(VLOOKUP(L29,'G-3 Multipliers'!$L$3:$N$6,3,FALSE)=0,"Spatial Data Missing",VLOOKUP(L29,'G-3 Multipliers'!$L$3:$N$6,3,FALSE)))</f>
        <v/>
      </c>
      <c r="O29" s="77" t="str">
        <f t="shared" si="0"/>
        <v/>
      </c>
      <c r="P29" s="94"/>
      <c r="Q29" s="94"/>
      <c r="R29" s="343" t="str">
        <f t="shared" si="2"/>
        <v/>
      </c>
      <c r="S29" s="591" t="str">
        <f t="shared" si="3"/>
        <v/>
      </c>
      <c r="T29" s="593" t="str">
        <f>IFERROR(IF(S29="Check Data","Check Data",VLOOKUP(S29,'G-4 Temporal multipliers'!$A$4:$C$37,3,FALSE)),"")</f>
        <v/>
      </c>
      <c r="U29" s="592" t="str">
        <f>IF(F29="","",VLOOKUP(F29,'G-3 Multipliers'!$A$2:$E$130,2,FALSE))</f>
        <v/>
      </c>
      <c r="V29" s="343" t="str">
        <f t="shared" si="4"/>
        <v/>
      </c>
      <c r="W29" s="343" t="str">
        <f>IF(E29="","",IF(AND(V29="Standard difficulty applied",O29&gt;P29),U29,IF(AND(V29="Low Difficulty - only applicable if all habitat created before losses",P29&gt;=O29),"Low",VLOOKUP(F29,'G-3 Multipliers'!$A$2:$E$130,4,FALSE))))</f>
        <v/>
      </c>
      <c r="X29" s="345" t="str">
        <f>IFERROR(IF(E29="","",VLOOKUP(W29, 'G-3 Multipliers'!$P$2:$Q$6,2,FALSE)),””)</f>
        <v/>
      </c>
      <c r="Y29" s="595" t="str">
        <f t="shared" si="5"/>
        <v/>
      </c>
      <c r="Z29" s="355"/>
      <c r="AA29" s="356"/>
      <c r="AE29" s="59" t="str">
        <f t="shared" si="1"/>
        <v/>
      </c>
    </row>
    <row r="30" spans="1:31" x14ac:dyDescent="0.25">
      <c r="A30" s="52" t="str">
        <f>IFERROR(INDEX('G-8 Condition Look up'!$I$4:$I$131,MATCH(F30,'G-8 Condition Look up'!$A$4:$A$131,0)),"")</f>
        <v/>
      </c>
      <c r="C30" s="588" t="str">
        <f>IFERROR(INDEX('G-1 All Habitats'!$AG$3:$AG$15,MATCH(D30,'G-1 All Habitats'!$AF$3:$AF$15,0)),"")</f>
        <v/>
      </c>
      <c r="D30" s="347"/>
      <c r="E30" s="366"/>
      <c r="F30" s="365" t="str">
        <f>IFERROR(INDEX('G-1 All Habitats'!$B$3:$B$130,MATCH(E30,'G-1 All Habitats'!$A$3:$A$130,0)),"")</f>
        <v/>
      </c>
      <c r="G30" s="76"/>
      <c r="H30" s="77" t="str">
        <f>IF(F30="","",VLOOKUP(F30,'G-1 All Habitats'!$B$2:$M$130,10,FALSE))</f>
        <v/>
      </c>
      <c r="I30" s="78" t="str">
        <f>IFERROR(VLOOKUP(H30,'G-1 All Habitats'!$V$3:$W$7,2,FALSE),"")</f>
        <v/>
      </c>
      <c r="J30" s="79"/>
      <c r="K30" s="78" t="str">
        <f>IFERROR(INDEX('G-8 Condition Look up'!$A$3:$H$131,MATCH(F30,'G-8 Condition Look up'!$A$3:$A$131,0),MATCH(J30,'G-8 Condition Look up'!$A$3:$H$3,0)),"")</f>
        <v/>
      </c>
      <c r="L30" s="79"/>
      <c r="M30" s="348" t="str">
        <f>IF(L30="","",IF(VLOOKUP(L30,'G-3 Multipliers'!$L$3:$N$6,2,FALSE)=0,"Spatial Data Missing",VLOOKUP(L30,'G-3 Multipliers'!$L$3:$N$6,2,FALSE)))</f>
        <v/>
      </c>
      <c r="N30" s="569" t="str">
        <f>IF(L30="","",IF(VLOOKUP(L30,'G-3 Multipliers'!$L$3:$N$6,3,FALSE)=0,"Spatial Data Missing",VLOOKUP(L30,'G-3 Multipliers'!$L$3:$N$6,3,FALSE)))</f>
        <v/>
      </c>
      <c r="O30" s="77" t="str">
        <f t="shared" si="0"/>
        <v/>
      </c>
      <c r="P30" s="94"/>
      <c r="Q30" s="94"/>
      <c r="R30" s="343" t="str">
        <f t="shared" si="2"/>
        <v/>
      </c>
      <c r="S30" s="591" t="str">
        <f t="shared" si="3"/>
        <v/>
      </c>
      <c r="T30" s="593" t="str">
        <f>IFERROR(IF(S30="Check Data","Check Data",VLOOKUP(S30,'G-4 Temporal multipliers'!$A$4:$C$37,3,FALSE)),"")</f>
        <v/>
      </c>
      <c r="U30" s="592" t="str">
        <f>IF(F30="","",VLOOKUP(F30,'G-3 Multipliers'!$A$2:$E$130,2,FALSE))</f>
        <v/>
      </c>
      <c r="V30" s="343" t="str">
        <f t="shared" si="4"/>
        <v/>
      </c>
      <c r="W30" s="343" t="str">
        <f>IF(E30="","",IF(AND(V30="Standard difficulty applied",O30&gt;P30),U30,IF(AND(V30="Low Difficulty - only applicable if all habitat created before losses",P30&gt;=O30),"Low",VLOOKUP(F30,'G-3 Multipliers'!$A$2:$E$130,4,FALSE))))</f>
        <v/>
      </c>
      <c r="X30" s="345" t="str">
        <f>IFERROR(IF(E30="","",VLOOKUP(W30, 'G-3 Multipliers'!$P$2:$Q$6,2,FALSE)),””)</f>
        <v/>
      </c>
      <c r="Y30" s="595" t="str">
        <f t="shared" si="5"/>
        <v/>
      </c>
      <c r="Z30" s="355"/>
      <c r="AA30" s="356"/>
      <c r="AE30" s="59" t="str">
        <f t="shared" si="1"/>
        <v/>
      </c>
    </row>
    <row r="31" spans="1:31" x14ac:dyDescent="0.25">
      <c r="A31" s="52" t="str">
        <f>IFERROR(INDEX('G-8 Condition Look up'!$I$4:$I$131,MATCH(F31,'G-8 Condition Look up'!$A$4:$A$131,0)),"")</f>
        <v/>
      </c>
      <c r="C31" s="588" t="str">
        <f>IFERROR(INDEX('G-1 All Habitats'!$AG$3:$AG$15,MATCH(D31,'G-1 All Habitats'!$AF$3:$AF$15,0)),"")</f>
        <v/>
      </c>
      <c r="D31" s="347"/>
      <c r="E31" s="366"/>
      <c r="F31" s="365" t="str">
        <f>IFERROR(INDEX('G-1 All Habitats'!$B$3:$B$130,MATCH(E31,'G-1 All Habitats'!$A$3:$A$130,0)),"")</f>
        <v/>
      </c>
      <c r="G31" s="76"/>
      <c r="H31" s="77" t="str">
        <f>IF(F31="","",VLOOKUP(F31,'G-1 All Habitats'!$B$2:$M$130,10,FALSE))</f>
        <v/>
      </c>
      <c r="I31" s="78" t="str">
        <f>IFERROR(VLOOKUP(H31,'G-1 All Habitats'!$V$3:$W$7,2,FALSE),"")</f>
        <v/>
      </c>
      <c r="J31" s="79"/>
      <c r="K31" s="78" t="str">
        <f>IFERROR(INDEX('G-8 Condition Look up'!$A$3:$H$131,MATCH(F31,'G-8 Condition Look up'!$A$3:$A$131,0),MATCH(J31,'G-8 Condition Look up'!$A$3:$H$3,0)),"")</f>
        <v/>
      </c>
      <c r="L31" s="79"/>
      <c r="M31" s="348" t="str">
        <f>IF(L31="","",IF(VLOOKUP(L31,'G-3 Multipliers'!$L$3:$N$6,2,FALSE)=0,"Spatial Data Missing",VLOOKUP(L31,'G-3 Multipliers'!$L$3:$N$6,2,FALSE)))</f>
        <v/>
      </c>
      <c r="N31" s="569" t="str">
        <f>IF(L31="","",IF(VLOOKUP(L31,'G-3 Multipliers'!$L$3:$N$6,3,FALSE)=0,"Spatial Data Missing",VLOOKUP(L31,'G-3 Multipliers'!$L$3:$N$6,3,FALSE)))</f>
        <v/>
      </c>
      <c r="O31" s="77" t="str">
        <f t="shared" si="0"/>
        <v/>
      </c>
      <c r="P31" s="94"/>
      <c r="Q31" s="94"/>
      <c r="R31" s="343" t="str">
        <f t="shared" si="2"/>
        <v/>
      </c>
      <c r="S31" s="591" t="str">
        <f t="shared" si="3"/>
        <v/>
      </c>
      <c r="T31" s="593" t="str">
        <f>IFERROR(IF(S31="Check Data","Check Data",VLOOKUP(S31,'G-4 Temporal multipliers'!$A$4:$C$37,3,FALSE)),"")</f>
        <v/>
      </c>
      <c r="U31" s="592" t="str">
        <f>IF(F31="","",VLOOKUP(F31,'G-3 Multipliers'!$A$2:$E$130,2,FALSE))</f>
        <v/>
      </c>
      <c r="V31" s="343" t="str">
        <f t="shared" si="4"/>
        <v/>
      </c>
      <c r="W31" s="343" t="str">
        <f>IF(E31="","",IF(AND(V31="Standard difficulty applied",O31&gt;P31),U31,IF(AND(V31="Low Difficulty - only applicable if all habitat created before losses",P31&gt;=O31),"Low",VLOOKUP(F31,'G-3 Multipliers'!$A$2:$E$130,4,FALSE))))</f>
        <v/>
      </c>
      <c r="X31" s="345" t="str">
        <f>IFERROR(IF(E31="","",VLOOKUP(W31, 'G-3 Multipliers'!$P$2:$Q$6,2,FALSE)),””)</f>
        <v/>
      </c>
      <c r="Y31" s="595" t="str">
        <f t="shared" si="5"/>
        <v/>
      </c>
      <c r="Z31" s="355"/>
      <c r="AA31" s="356"/>
      <c r="AE31" s="59" t="str">
        <f t="shared" si="1"/>
        <v/>
      </c>
    </row>
    <row r="32" spans="1:31" x14ac:dyDescent="0.25">
      <c r="A32" s="52" t="str">
        <f>IFERROR(INDEX('G-8 Condition Look up'!$I$4:$I$131,MATCH(F32,'G-8 Condition Look up'!$A$4:$A$131,0)),"")</f>
        <v/>
      </c>
      <c r="C32" s="588" t="str">
        <f>IFERROR(INDEX('G-1 All Habitats'!$AG$3:$AG$15,MATCH(D32,'G-1 All Habitats'!$AF$3:$AF$15,0)),"")</f>
        <v/>
      </c>
      <c r="D32" s="347"/>
      <c r="E32" s="366"/>
      <c r="F32" s="365" t="str">
        <f>IFERROR(INDEX('G-1 All Habitats'!$B$3:$B$130,MATCH(E32,'G-1 All Habitats'!$A$3:$A$130,0)),"")</f>
        <v/>
      </c>
      <c r="G32" s="76"/>
      <c r="H32" s="77" t="str">
        <f>IF(F32="","",VLOOKUP(F32,'G-1 All Habitats'!$B$2:$M$130,10,FALSE))</f>
        <v/>
      </c>
      <c r="I32" s="78" t="str">
        <f>IFERROR(VLOOKUP(H32,'G-1 All Habitats'!$V$3:$W$7,2,FALSE),"")</f>
        <v/>
      </c>
      <c r="J32" s="79"/>
      <c r="K32" s="78" t="str">
        <f>IFERROR(INDEX('G-8 Condition Look up'!$A$3:$H$131,MATCH(F32,'G-8 Condition Look up'!$A$3:$A$131,0),MATCH(J32,'G-8 Condition Look up'!$A$3:$H$3,0)),"")</f>
        <v/>
      </c>
      <c r="L32" s="79"/>
      <c r="M32" s="348" t="str">
        <f>IF(L32="","",IF(VLOOKUP(L32,'G-3 Multipliers'!$L$3:$N$6,2,FALSE)=0,"Spatial Data Missing",VLOOKUP(L32,'G-3 Multipliers'!$L$3:$N$6,2,FALSE)))</f>
        <v/>
      </c>
      <c r="N32" s="569" t="str">
        <f>IF(L32="","",IF(VLOOKUP(L32,'G-3 Multipliers'!$L$3:$N$6,3,FALSE)=0,"Spatial Data Missing",VLOOKUP(L32,'G-3 Multipliers'!$L$3:$N$6,3,FALSE)))</f>
        <v/>
      </c>
      <c r="O32" s="77" t="str">
        <f t="shared" si="0"/>
        <v/>
      </c>
      <c r="P32" s="94"/>
      <c r="Q32" s="94"/>
      <c r="R32" s="343" t="str">
        <f t="shared" si="2"/>
        <v/>
      </c>
      <c r="S32" s="591" t="str">
        <f t="shared" si="3"/>
        <v/>
      </c>
      <c r="T32" s="593" t="str">
        <f>IFERROR(IF(S32="Check Data","Check Data",VLOOKUP(S32,'G-4 Temporal multipliers'!$A$4:$C$37,3,FALSE)),"")</f>
        <v/>
      </c>
      <c r="U32" s="592" t="str">
        <f>IF(F32="","",VLOOKUP(F32,'G-3 Multipliers'!$A$2:$E$130,2,FALSE))</f>
        <v/>
      </c>
      <c r="V32" s="343" t="str">
        <f t="shared" si="4"/>
        <v/>
      </c>
      <c r="W32" s="343" t="str">
        <f>IF(E32="","",IF(AND(V32="Standard difficulty applied",O32&gt;P32),U32,IF(AND(V32="Low Difficulty - only applicable if all habitat created before losses",P32&gt;=O32),"Low",VLOOKUP(F32,'G-3 Multipliers'!$A$2:$E$130,4,FALSE))))</f>
        <v/>
      </c>
      <c r="X32" s="345" t="str">
        <f>IFERROR(IF(E32="","",VLOOKUP(W32, 'G-3 Multipliers'!$P$2:$Q$6,2,FALSE)),””)</f>
        <v/>
      </c>
      <c r="Y32" s="595" t="str">
        <f t="shared" si="5"/>
        <v/>
      </c>
      <c r="Z32" s="355"/>
      <c r="AA32" s="356"/>
      <c r="AE32" s="59" t="str">
        <f t="shared" si="1"/>
        <v/>
      </c>
    </row>
    <row r="33" spans="1:31" x14ac:dyDescent="0.25">
      <c r="A33" s="52" t="str">
        <f>IFERROR(INDEX('G-8 Condition Look up'!$I$4:$I$131,MATCH(F33,'G-8 Condition Look up'!$A$4:$A$131,0)),"")</f>
        <v/>
      </c>
      <c r="C33" s="588" t="str">
        <f>IFERROR(INDEX('G-1 All Habitats'!$AG$3:$AG$15,MATCH(D33,'G-1 All Habitats'!$AF$3:$AF$15,0)),"")</f>
        <v/>
      </c>
      <c r="D33" s="347"/>
      <c r="E33" s="366"/>
      <c r="F33" s="365" t="str">
        <f>IFERROR(INDEX('G-1 All Habitats'!$B$3:$B$130,MATCH(E33,'G-1 All Habitats'!$A$3:$A$130,0)),"")</f>
        <v/>
      </c>
      <c r="G33" s="76"/>
      <c r="H33" s="77" t="str">
        <f>IF(F33="","",VLOOKUP(F33,'G-1 All Habitats'!$B$2:$M$130,10,FALSE))</f>
        <v/>
      </c>
      <c r="I33" s="78" t="str">
        <f>IFERROR(VLOOKUP(H33,'G-1 All Habitats'!$V$3:$W$7,2,FALSE),"")</f>
        <v/>
      </c>
      <c r="J33" s="79"/>
      <c r="K33" s="78" t="str">
        <f>IFERROR(INDEX('G-8 Condition Look up'!$A$3:$H$131,MATCH(F33,'G-8 Condition Look up'!$A$3:$A$131,0),MATCH(J33,'G-8 Condition Look up'!$A$3:$H$3,0)),"")</f>
        <v/>
      </c>
      <c r="L33" s="79"/>
      <c r="M33" s="348" t="str">
        <f>IF(L33="","",IF(VLOOKUP(L33,'G-3 Multipliers'!$L$3:$N$6,2,FALSE)=0,"Spatial Data Missing",VLOOKUP(L33,'G-3 Multipliers'!$L$3:$N$6,2,FALSE)))</f>
        <v/>
      </c>
      <c r="N33" s="569" t="str">
        <f>IF(L33="","",IF(VLOOKUP(L33,'G-3 Multipliers'!$L$3:$N$6,3,FALSE)=0,"Spatial Data Missing",VLOOKUP(L33,'G-3 Multipliers'!$L$3:$N$6,3,FALSE)))</f>
        <v/>
      </c>
      <c r="O33" s="77" t="str">
        <f t="shared" si="0"/>
        <v/>
      </c>
      <c r="P33" s="94"/>
      <c r="Q33" s="94"/>
      <c r="R33" s="343" t="str">
        <f t="shared" si="2"/>
        <v/>
      </c>
      <c r="S33" s="591" t="str">
        <f t="shared" si="3"/>
        <v/>
      </c>
      <c r="T33" s="593" t="str">
        <f>IFERROR(IF(S33="Check Data","Check Data",VLOOKUP(S33,'G-4 Temporal multipliers'!$A$4:$C$37,3,FALSE)),"")</f>
        <v/>
      </c>
      <c r="U33" s="592" t="str">
        <f>IF(F33="","",VLOOKUP(F33,'G-3 Multipliers'!$A$2:$E$130,2,FALSE))</f>
        <v/>
      </c>
      <c r="V33" s="343" t="str">
        <f t="shared" si="4"/>
        <v/>
      </c>
      <c r="W33" s="343" t="str">
        <f>IF(E33="","",IF(AND(V33="Standard difficulty applied",O33&gt;P33),U33,IF(AND(V33="Low Difficulty - only applicable if all habitat created before losses",P33&gt;=O33),"Low",VLOOKUP(F33,'G-3 Multipliers'!$A$2:$E$130,4,FALSE))))</f>
        <v/>
      </c>
      <c r="X33" s="345" t="str">
        <f>IFERROR(IF(E33="","",VLOOKUP(W33, 'G-3 Multipliers'!$P$2:$Q$6,2,FALSE)),””)</f>
        <v/>
      </c>
      <c r="Y33" s="595" t="str">
        <f t="shared" si="5"/>
        <v/>
      </c>
      <c r="Z33" s="355"/>
      <c r="AA33" s="356"/>
      <c r="AE33" s="59" t="str">
        <f t="shared" si="1"/>
        <v/>
      </c>
    </row>
    <row r="34" spans="1:31" x14ac:dyDescent="0.25">
      <c r="A34" s="52" t="str">
        <f>IFERROR(INDEX('G-8 Condition Look up'!$I$4:$I$131,MATCH(F34,'G-8 Condition Look up'!$A$4:$A$131,0)),"")</f>
        <v/>
      </c>
      <c r="C34" s="588" t="str">
        <f>IFERROR(INDEX('G-1 All Habitats'!$AG$3:$AG$15,MATCH(D34,'G-1 All Habitats'!$AF$3:$AF$15,0)),"")</f>
        <v/>
      </c>
      <c r="D34" s="347"/>
      <c r="E34" s="366"/>
      <c r="F34" s="365" t="str">
        <f>IFERROR(INDEX('G-1 All Habitats'!$B$3:$B$130,MATCH(E34,'G-1 All Habitats'!$A$3:$A$130,0)),"")</f>
        <v/>
      </c>
      <c r="G34" s="76"/>
      <c r="H34" s="77" t="str">
        <f>IF(F34="","",VLOOKUP(F34,'G-1 All Habitats'!$B$2:$M$130,10,FALSE))</f>
        <v/>
      </c>
      <c r="I34" s="78" t="str">
        <f>IFERROR(VLOOKUP(H34,'G-1 All Habitats'!$V$3:$W$7,2,FALSE),"")</f>
        <v/>
      </c>
      <c r="J34" s="79"/>
      <c r="K34" s="78" t="str">
        <f>IFERROR(INDEX('G-8 Condition Look up'!$A$3:$H$131,MATCH(F34,'G-8 Condition Look up'!$A$3:$A$131,0),MATCH(J34,'G-8 Condition Look up'!$A$3:$H$3,0)),"")</f>
        <v/>
      </c>
      <c r="L34" s="79"/>
      <c r="M34" s="348" t="str">
        <f>IF(L34="","",IF(VLOOKUP(L34,'G-3 Multipliers'!$L$3:$N$6,2,FALSE)=0,"Spatial Data Missing",VLOOKUP(L34,'G-3 Multipliers'!$L$3:$N$6,2,FALSE)))</f>
        <v/>
      </c>
      <c r="N34" s="569" t="str">
        <f>IF(L34="","",IF(VLOOKUP(L34,'G-3 Multipliers'!$L$3:$N$6,3,FALSE)=0,"Spatial Data Missing",VLOOKUP(L34,'G-3 Multipliers'!$L$3:$N$6,3,FALSE)))</f>
        <v/>
      </c>
      <c r="O34" s="77" t="str">
        <f t="shared" si="0"/>
        <v/>
      </c>
      <c r="P34" s="94"/>
      <c r="Q34" s="94"/>
      <c r="R34" s="343" t="str">
        <f t="shared" si="2"/>
        <v/>
      </c>
      <c r="S34" s="591" t="str">
        <f t="shared" si="3"/>
        <v/>
      </c>
      <c r="T34" s="593" t="str">
        <f>IFERROR(IF(S34="Check Data","Check Data",VLOOKUP(S34,'G-4 Temporal multipliers'!$A$4:$C$37,3,FALSE)),"")</f>
        <v/>
      </c>
      <c r="U34" s="592" t="str">
        <f>IF(F34="","",VLOOKUP(F34,'G-3 Multipliers'!$A$2:$E$130,2,FALSE))</f>
        <v/>
      </c>
      <c r="V34" s="343" t="str">
        <f t="shared" si="4"/>
        <v/>
      </c>
      <c r="W34" s="343" t="str">
        <f>IF(E34="","",IF(AND(V34="Standard difficulty applied",O34&gt;P34),U34,IF(AND(V34="Low Difficulty - only applicable if all habitat created before losses",P34&gt;=O34),"Low",VLOOKUP(F34,'G-3 Multipliers'!$A$2:$E$130,4,FALSE))))</f>
        <v/>
      </c>
      <c r="X34" s="345" t="str">
        <f>IFERROR(IF(E34="","",VLOOKUP(W34, 'G-3 Multipliers'!$P$2:$Q$6,2,FALSE)),””)</f>
        <v/>
      </c>
      <c r="Y34" s="595" t="str">
        <f t="shared" si="5"/>
        <v/>
      </c>
      <c r="Z34" s="355"/>
      <c r="AA34" s="356"/>
      <c r="AE34" s="59" t="str">
        <f t="shared" si="1"/>
        <v/>
      </c>
    </row>
    <row r="35" spans="1:31" x14ac:dyDescent="0.25">
      <c r="A35" s="52" t="str">
        <f>IFERROR(INDEX('G-8 Condition Look up'!$I$4:$I$131,MATCH(F35,'G-8 Condition Look up'!$A$4:$A$131,0)),"")</f>
        <v/>
      </c>
      <c r="C35" s="588" t="str">
        <f>IFERROR(INDEX('G-1 All Habitats'!$AG$3:$AG$15,MATCH(D35,'G-1 All Habitats'!$AF$3:$AF$15,0)),"")</f>
        <v/>
      </c>
      <c r="D35" s="347"/>
      <c r="E35" s="366"/>
      <c r="F35" s="365" t="str">
        <f>IFERROR(INDEX('G-1 All Habitats'!$B$3:$B$130,MATCH(E35,'G-1 All Habitats'!$A$3:$A$130,0)),"")</f>
        <v/>
      </c>
      <c r="G35" s="76"/>
      <c r="H35" s="77" t="str">
        <f>IF(F35="","",VLOOKUP(F35,'G-1 All Habitats'!$B$2:$M$130,10,FALSE))</f>
        <v/>
      </c>
      <c r="I35" s="78" t="str">
        <f>IFERROR(VLOOKUP(H35,'G-1 All Habitats'!$V$3:$W$7,2,FALSE),"")</f>
        <v/>
      </c>
      <c r="J35" s="79"/>
      <c r="K35" s="78" t="str">
        <f>IFERROR(INDEX('G-8 Condition Look up'!$A$3:$H$131,MATCH(F35,'G-8 Condition Look up'!$A$3:$A$131,0),MATCH(J35,'G-8 Condition Look up'!$A$3:$H$3,0)),"")</f>
        <v/>
      </c>
      <c r="L35" s="79"/>
      <c r="M35" s="348" t="str">
        <f>IF(L35="","",IF(VLOOKUP(L35,'G-3 Multipliers'!$L$3:$N$6,2,FALSE)=0,"Spatial Data Missing",VLOOKUP(L35,'G-3 Multipliers'!$L$3:$N$6,2,FALSE)))</f>
        <v/>
      </c>
      <c r="N35" s="569" t="str">
        <f>IF(L35="","",IF(VLOOKUP(L35,'G-3 Multipliers'!$L$3:$N$6,3,FALSE)=0,"Spatial Data Missing",VLOOKUP(L35,'G-3 Multipliers'!$L$3:$N$6,3,FALSE)))</f>
        <v/>
      </c>
      <c r="O35" s="77" t="str">
        <f t="shared" si="0"/>
        <v/>
      </c>
      <c r="P35" s="94"/>
      <c r="Q35" s="94"/>
      <c r="R35" s="343" t="str">
        <f t="shared" si="2"/>
        <v/>
      </c>
      <c r="S35" s="591" t="str">
        <f t="shared" si="3"/>
        <v/>
      </c>
      <c r="T35" s="593" t="str">
        <f>IFERROR(IF(S35="Check Data","Check Data",VLOOKUP(S35,'G-4 Temporal multipliers'!$A$4:$C$37,3,FALSE)),"")</f>
        <v/>
      </c>
      <c r="U35" s="592" t="str">
        <f>IF(F35="","",VLOOKUP(F35,'G-3 Multipliers'!$A$2:$E$130,2,FALSE))</f>
        <v/>
      </c>
      <c r="V35" s="343" t="str">
        <f t="shared" si="4"/>
        <v/>
      </c>
      <c r="W35" s="343" t="str">
        <f>IF(E35="","",IF(AND(V35="Standard difficulty applied",O35&gt;P35),U35,IF(AND(V35="Low Difficulty - only applicable if all habitat created before losses",P35&gt;=O35),"Low",VLOOKUP(F35,'G-3 Multipliers'!$A$2:$E$130,4,FALSE))))</f>
        <v/>
      </c>
      <c r="X35" s="345" t="str">
        <f>IFERROR(IF(E35="","",VLOOKUP(W35, 'G-3 Multipliers'!$P$2:$Q$6,2,FALSE)),””)</f>
        <v/>
      </c>
      <c r="Y35" s="595" t="str">
        <f t="shared" si="5"/>
        <v/>
      </c>
      <c r="Z35" s="355"/>
      <c r="AA35" s="356"/>
      <c r="AE35" s="59" t="str">
        <f t="shared" si="1"/>
        <v/>
      </c>
    </row>
    <row r="36" spans="1:31" x14ac:dyDescent="0.25">
      <c r="A36" s="52" t="str">
        <f>IFERROR(INDEX('G-8 Condition Look up'!$I$4:$I$131,MATCH(F36,'G-8 Condition Look up'!$A$4:$A$131,0)),"")</f>
        <v/>
      </c>
      <c r="C36" s="588" t="str">
        <f>IFERROR(INDEX('G-1 All Habitats'!$AG$3:$AG$15,MATCH(D36,'G-1 All Habitats'!$AF$3:$AF$15,0)),"")</f>
        <v/>
      </c>
      <c r="D36" s="347"/>
      <c r="E36" s="366"/>
      <c r="F36" s="365" t="str">
        <f>IFERROR(INDEX('G-1 All Habitats'!$B$3:$B$130,MATCH(E36,'G-1 All Habitats'!$A$3:$A$130,0)),"")</f>
        <v/>
      </c>
      <c r="G36" s="76"/>
      <c r="H36" s="77" t="str">
        <f>IF(F36="","",VLOOKUP(F36,'G-1 All Habitats'!$B$2:$M$130,10,FALSE))</f>
        <v/>
      </c>
      <c r="I36" s="78" t="str">
        <f>IFERROR(VLOOKUP(H36,'G-1 All Habitats'!$V$3:$W$7,2,FALSE),"")</f>
        <v/>
      </c>
      <c r="J36" s="79"/>
      <c r="K36" s="78" t="str">
        <f>IFERROR(INDEX('G-8 Condition Look up'!$A$3:$H$131,MATCH(F36,'G-8 Condition Look up'!$A$3:$A$131,0),MATCH(J36,'G-8 Condition Look up'!$A$3:$H$3,0)),"")</f>
        <v/>
      </c>
      <c r="L36" s="79"/>
      <c r="M36" s="348" t="str">
        <f>IF(L36="","",IF(VLOOKUP(L36,'G-3 Multipliers'!$L$3:$N$6,2,FALSE)=0,"Spatial Data Missing",VLOOKUP(L36,'G-3 Multipliers'!$L$3:$N$6,2,FALSE)))</f>
        <v/>
      </c>
      <c r="N36" s="569" t="str">
        <f>IF(L36="","",IF(VLOOKUP(L36,'G-3 Multipliers'!$L$3:$N$6,3,FALSE)=0,"Spatial Data Missing",VLOOKUP(L36,'G-3 Multipliers'!$L$3:$N$6,3,FALSE)))</f>
        <v/>
      </c>
      <c r="O36" s="77" t="str">
        <f t="shared" si="0"/>
        <v/>
      </c>
      <c r="P36" s="94"/>
      <c r="Q36" s="94"/>
      <c r="R36" s="343" t="str">
        <f t="shared" si="2"/>
        <v/>
      </c>
      <c r="S36" s="591" t="str">
        <f t="shared" si="3"/>
        <v/>
      </c>
      <c r="T36" s="593" t="str">
        <f>IFERROR(IF(S36="Check Data","Check Data",VLOOKUP(S36,'G-4 Temporal multipliers'!$A$4:$C$37,3,FALSE)),"")</f>
        <v/>
      </c>
      <c r="U36" s="592" t="str">
        <f>IF(F36="","",VLOOKUP(F36,'G-3 Multipliers'!$A$2:$E$130,2,FALSE))</f>
        <v/>
      </c>
      <c r="V36" s="343" t="str">
        <f t="shared" si="4"/>
        <v/>
      </c>
      <c r="W36" s="343" t="str">
        <f>IF(E36="","",IF(AND(V36="Standard difficulty applied",O36&gt;P36),U36,IF(AND(V36="Low Difficulty - only applicable if all habitat created before losses",P36&gt;=O36),"Low",VLOOKUP(F36,'G-3 Multipliers'!$A$2:$E$130,4,FALSE))))</f>
        <v/>
      </c>
      <c r="X36" s="345" t="str">
        <f>IFERROR(IF(E36="","",VLOOKUP(W36, 'G-3 Multipliers'!$P$2:$Q$6,2,FALSE)),””)</f>
        <v/>
      </c>
      <c r="Y36" s="595" t="str">
        <f t="shared" si="5"/>
        <v/>
      </c>
      <c r="Z36" s="355"/>
      <c r="AA36" s="356"/>
      <c r="AE36" s="59" t="str">
        <f t="shared" si="1"/>
        <v/>
      </c>
    </row>
    <row r="37" spans="1:31" x14ac:dyDescent="0.25">
      <c r="A37" s="52" t="str">
        <f>IFERROR(INDEX('G-8 Condition Look up'!$I$4:$I$131,MATCH(F37,'G-8 Condition Look up'!$A$4:$A$131,0)),"")</f>
        <v/>
      </c>
      <c r="C37" s="588" t="str">
        <f>IFERROR(INDEX('G-1 All Habitats'!$AG$3:$AG$15,MATCH(D37,'G-1 All Habitats'!$AF$3:$AF$15,0)),"")</f>
        <v/>
      </c>
      <c r="D37" s="347"/>
      <c r="E37" s="366"/>
      <c r="F37" s="365" t="str">
        <f>IFERROR(INDEX('G-1 All Habitats'!$B$3:$B$130,MATCH(E37,'G-1 All Habitats'!$A$3:$A$130,0)),"")</f>
        <v/>
      </c>
      <c r="G37" s="76"/>
      <c r="H37" s="77" t="str">
        <f>IF(F37="","",VLOOKUP(F37,'G-1 All Habitats'!$B$2:$M$130,10,FALSE))</f>
        <v/>
      </c>
      <c r="I37" s="78" t="str">
        <f>IFERROR(VLOOKUP(H37,'G-1 All Habitats'!$V$3:$W$7,2,FALSE),"")</f>
        <v/>
      </c>
      <c r="J37" s="79"/>
      <c r="K37" s="78" t="str">
        <f>IFERROR(INDEX('G-8 Condition Look up'!$A$3:$H$131,MATCH(F37,'G-8 Condition Look up'!$A$3:$A$131,0),MATCH(J37,'G-8 Condition Look up'!$A$3:$H$3,0)),"")</f>
        <v/>
      </c>
      <c r="L37" s="79"/>
      <c r="M37" s="348" t="str">
        <f>IF(L37="","",IF(VLOOKUP(L37,'G-3 Multipliers'!$L$3:$N$6,2,FALSE)=0,"Spatial Data Missing",VLOOKUP(L37,'G-3 Multipliers'!$L$3:$N$6,2,FALSE)))</f>
        <v/>
      </c>
      <c r="N37" s="569" t="str">
        <f>IF(L37="","",IF(VLOOKUP(L37,'G-3 Multipliers'!$L$3:$N$6,3,FALSE)=0,"Spatial Data Missing",VLOOKUP(L37,'G-3 Multipliers'!$L$3:$N$6,3,FALSE)))</f>
        <v/>
      </c>
      <c r="O37" s="77" t="str">
        <f t="shared" si="0"/>
        <v/>
      </c>
      <c r="P37" s="94"/>
      <c r="Q37" s="94"/>
      <c r="R37" s="343" t="str">
        <f t="shared" si="2"/>
        <v/>
      </c>
      <c r="S37" s="591" t="str">
        <f t="shared" si="3"/>
        <v/>
      </c>
      <c r="T37" s="593" t="str">
        <f>IFERROR(IF(S37="Check Data","Check Data",VLOOKUP(S37,'G-4 Temporal multipliers'!$A$4:$C$37,3,FALSE)),"")</f>
        <v/>
      </c>
      <c r="U37" s="592" t="str">
        <f>IF(F37="","",VLOOKUP(F37,'G-3 Multipliers'!$A$2:$E$130,2,FALSE))</f>
        <v/>
      </c>
      <c r="V37" s="343" t="str">
        <f t="shared" si="4"/>
        <v/>
      </c>
      <c r="W37" s="343" t="str">
        <f>IF(E37="","",IF(AND(V37="Standard difficulty applied",O37&gt;P37),U37,IF(AND(V37="Low Difficulty - only applicable if all habitat created before losses",P37&gt;=O37),"Low",VLOOKUP(F37,'G-3 Multipliers'!$A$2:$E$130,4,FALSE))))</f>
        <v/>
      </c>
      <c r="X37" s="345" t="str">
        <f>IFERROR(IF(E37="","",VLOOKUP(W37, 'G-3 Multipliers'!$P$2:$Q$6,2,FALSE)),””)</f>
        <v/>
      </c>
      <c r="Y37" s="595" t="str">
        <f t="shared" si="5"/>
        <v/>
      </c>
      <c r="Z37" s="355"/>
      <c r="AA37" s="356"/>
      <c r="AE37" s="59" t="str">
        <f t="shared" si="1"/>
        <v/>
      </c>
    </row>
    <row r="38" spans="1:31" x14ac:dyDescent="0.25">
      <c r="A38" s="52" t="str">
        <f>IFERROR(INDEX('G-8 Condition Look up'!$I$4:$I$131,MATCH(F38,'G-8 Condition Look up'!$A$4:$A$131,0)),"")</f>
        <v/>
      </c>
      <c r="C38" s="588" t="str">
        <f>IFERROR(INDEX('G-1 All Habitats'!$AG$3:$AG$15,MATCH(D38,'G-1 All Habitats'!$AF$3:$AF$15,0)),"")</f>
        <v/>
      </c>
      <c r="D38" s="347"/>
      <c r="E38" s="366"/>
      <c r="F38" s="365" t="str">
        <f>IFERROR(INDEX('G-1 All Habitats'!$B$3:$B$130,MATCH(E38,'G-1 All Habitats'!$A$3:$A$130,0)),"")</f>
        <v/>
      </c>
      <c r="G38" s="76"/>
      <c r="H38" s="77" t="str">
        <f>IF(F38="","",VLOOKUP(F38,'G-1 All Habitats'!$B$2:$M$130,10,FALSE))</f>
        <v/>
      </c>
      <c r="I38" s="78" t="str">
        <f>IFERROR(VLOOKUP(H38,'G-1 All Habitats'!$V$3:$W$7,2,FALSE),"")</f>
        <v/>
      </c>
      <c r="J38" s="79"/>
      <c r="K38" s="78" t="str">
        <f>IFERROR(INDEX('G-8 Condition Look up'!$A$3:$H$131,MATCH(F38,'G-8 Condition Look up'!$A$3:$A$131,0),MATCH(J38,'G-8 Condition Look up'!$A$3:$H$3,0)),"")</f>
        <v/>
      </c>
      <c r="L38" s="79"/>
      <c r="M38" s="348" t="str">
        <f>IF(L38="","",IF(VLOOKUP(L38,'G-3 Multipliers'!$L$3:$N$6,2,FALSE)=0,"Spatial Data Missing",VLOOKUP(L38,'G-3 Multipliers'!$L$3:$N$6,2,FALSE)))</f>
        <v/>
      </c>
      <c r="N38" s="569" t="str">
        <f>IF(L38="","",IF(VLOOKUP(L38,'G-3 Multipliers'!$L$3:$N$6,3,FALSE)=0,"Spatial Data Missing",VLOOKUP(L38,'G-3 Multipliers'!$L$3:$N$6,3,FALSE)))</f>
        <v/>
      </c>
      <c r="O38" s="77" t="str">
        <f t="shared" si="0"/>
        <v/>
      </c>
      <c r="P38" s="94"/>
      <c r="Q38" s="94"/>
      <c r="R38" s="343" t="str">
        <f t="shared" si="2"/>
        <v/>
      </c>
      <c r="S38" s="591" t="str">
        <f t="shared" si="3"/>
        <v/>
      </c>
      <c r="T38" s="593" t="str">
        <f>IFERROR(IF(S38="Check Data","Check Data",VLOOKUP(S38,'G-4 Temporal multipliers'!$A$4:$C$37,3,FALSE)),"")</f>
        <v/>
      </c>
      <c r="U38" s="592" t="str">
        <f>IF(F38="","",VLOOKUP(F38,'G-3 Multipliers'!$A$2:$E$130,2,FALSE))</f>
        <v/>
      </c>
      <c r="V38" s="343" t="str">
        <f t="shared" si="4"/>
        <v/>
      </c>
      <c r="W38" s="343" t="str">
        <f>IF(E38="","",IF(AND(V38="Standard difficulty applied",O38&gt;P38),U38,IF(AND(V38="Low Difficulty - only applicable if all habitat created before losses",P38&gt;=O38),"Low",VLOOKUP(F38,'G-3 Multipliers'!$A$2:$E$130,4,FALSE))))</f>
        <v/>
      </c>
      <c r="X38" s="345" t="str">
        <f>IFERROR(IF(E38="","",VLOOKUP(W38, 'G-3 Multipliers'!$P$2:$Q$6,2,FALSE)),””)</f>
        <v/>
      </c>
      <c r="Y38" s="595" t="str">
        <f t="shared" si="5"/>
        <v/>
      </c>
      <c r="Z38" s="355"/>
      <c r="AA38" s="356"/>
      <c r="AE38" s="59" t="str">
        <f t="shared" si="1"/>
        <v/>
      </c>
    </row>
    <row r="39" spans="1:31" x14ac:dyDescent="0.25">
      <c r="A39" s="52" t="str">
        <f>IFERROR(INDEX('G-8 Condition Look up'!$I$4:$I$131,MATCH(F39,'G-8 Condition Look up'!$A$4:$A$131,0)),"")</f>
        <v/>
      </c>
      <c r="C39" s="588" t="str">
        <f>IFERROR(INDEX('G-1 All Habitats'!$AG$3:$AG$15,MATCH(D39,'G-1 All Habitats'!$AF$3:$AF$15,0)),"")</f>
        <v/>
      </c>
      <c r="D39" s="347"/>
      <c r="E39" s="366"/>
      <c r="F39" s="365" t="str">
        <f>IFERROR(INDEX('G-1 All Habitats'!$B$3:$B$130,MATCH(E39,'G-1 All Habitats'!$A$3:$A$130,0)),"")</f>
        <v/>
      </c>
      <c r="G39" s="76"/>
      <c r="H39" s="77" t="str">
        <f>IF(F39="","",VLOOKUP(F39,'G-1 All Habitats'!$B$2:$M$130,10,FALSE))</f>
        <v/>
      </c>
      <c r="I39" s="78" t="str">
        <f>IFERROR(VLOOKUP(H39,'G-1 All Habitats'!$V$3:$W$7,2,FALSE),"")</f>
        <v/>
      </c>
      <c r="J39" s="79"/>
      <c r="K39" s="78" t="str">
        <f>IFERROR(INDEX('G-8 Condition Look up'!$A$3:$H$131,MATCH(F39,'G-8 Condition Look up'!$A$3:$A$131,0),MATCH(J39,'G-8 Condition Look up'!$A$3:$H$3,0)),"")</f>
        <v/>
      </c>
      <c r="L39" s="79"/>
      <c r="M39" s="348" t="str">
        <f>IF(L39="","",IF(VLOOKUP(L39,'G-3 Multipliers'!$L$3:$N$6,2,FALSE)=0,"Spatial Data Missing",VLOOKUP(L39,'G-3 Multipliers'!$L$3:$N$6,2,FALSE)))</f>
        <v/>
      </c>
      <c r="N39" s="569" t="str">
        <f>IF(L39="","",IF(VLOOKUP(L39,'G-3 Multipliers'!$L$3:$N$6,3,FALSE)=0,"Spatial Data Missing",VLOOKUP(L39,'G-3 Multipliers'!$L$3:$N$6,3,FALSE)))</f>
        <v/>
      </c>
      <c r="O39" s="77" t="str">
        <f t="shared" si="0"/>
        <v/>
      </c>
      <c r="P39" s="94"/>
      <c r="Q39" s="94"/>
      <c r="R39" s="343" t="str">
        <f t="shared" si="2"/>
        <v/>
      </c>
      <c r="S39" s="591" t="str">
        <f t="shared" si="3"/>
        <v/>
      </c>
      <c r="T39" s="593" t="str">
        <f>IFERROR(IF(S39="Check Data","Check Data",VLOOKUP(S39,'G-4 Temporal multipliers'!$A$4:$C$37,3,FALSE)),"")</f>
        <v/>
      </c>
      <c r="U39" s="592" t="str">
        <f>IF(F39="","",VLOOKUP(F39,'G-3 Multipliers'!$A$2:$E$130,2,FALSE))</f>
        <v/>
      </c>
      <c r="V39" s="343" t="str">
        <f t="shared" si="4"/>
        <v/>
      </c>
      <c r="W39" s="343" t="str">
        <f>IF(E39="","",IF(AND(V39="Standard difficulty applied",O39&gt;P39),U39,IF(AND(V39="Low Difficulty - only applicable if all habitat created before losses",P39&gt;=O39),"Low",VLOOKUP(F39,'G-3 Multipliers'!$A$2:$E$130,4,FALSE))))</f>
        <v/>
      </c>
      <c r="X39" s="345" t="str">
        <f>IFERROR(IF(E39="","",VLOOKUP(W39, 'G-3 Multipliers'!$P$2:$Q$6,2,FALSE)),””)</f>
        <v/>
      </c>
      <c r="Y39" s="595" t="str">
        <f t="shared" si="5"/>
        <v/>
      </c>
      <c r="Z39" s="355"/>
      <c r="AA39" s="356"/>
      <c r="AE39" s="59" t="str">
        <f t="shared" si="1"/>
        <v/>
      </c>
    </row>
    <row r="40" spans="1:31" x14ac:dyDescent="0.25">
      <c r="A40" s="52" t="str">
        <f>IFERROR(INDEX('G-8 Condition Look up'!$I$4:$I$131,MATCH(F40,'G-8 Condition Look up'!$A$4:$A$131,0)),"")</f>
        <v/>
      </c>
      <c r="C40" s="588" t="str">
        <f>IFERROR(INDEX('G-1 All Habitats'!$AG$3:$AG$15,MATCH(D40,'G-1 All Habitats'!$AF$3:$AF$15,0)),"")</f>
        <v/>
      </c>
      <c r="D40" s="347"/>
      <c r="E40" s="366"/>
      <c r="F40" s="365" t="str">
        <f>IFERROR(INDEX('G-1 All Habitats'!$B$3:$B$130,MATCH(E40,'G-1 All Habitats'!$A$3:$A$130,0)),"")</f>
        <v/>
      </c>
      <c r="G40" s="76"/>
      <c r="H40" s="77" t="str">
        <f>IF(F40="","",VLOOKUP(F40,'G-1 All Habitats'!$B$2:$M$130,10,FALSE))</f>
        <v/>
      </c>
      <c r="I40" s="78" t="str">
        <f>IFERROR(VLOOKUP(H40,'G-1 All Habitats'!$V$3:$W$7,2,FALSE),"")</f>
        <v/>
      </c>
      <c r="J40" s="79"/>
      <c r="K40" s="78" t="str">
        <f>IFERROR(INDEX('G-8 Condition Look up'!$A$3:$H$131,MATCH(F40,'G-8 Condition Look up'!$A$3:$A$131,0),MATCH(J40,'G-8 Condition Look up'!$A$3:$H$3,0)),"")</f>
        <v/>
      </c>
      <c r="L40" s="79"/>
      <c r="M40" s="348" t="str">
        <f>IF(L40="","",IF(VLOOKUP(L40,'G-3 Multipliers'!$L$3:$N$6,2,FALSE)=0,"Spatial Data Missing",VLOOKUP(L40,'G-3 Multipliers'!$L$3:$N$6,2,FALSE)))</f>
        <v/>
      </c>
      <c r="N40" s="569" t="str">
        <f>IF(L40="","",IF(VLOOKUP(L40,'G-3 Multipliers'!$L$3:$N$6,3,FALSE)=0,"Spatial Data Missing",VLOOKUP(L40,'G-3 Multipliers'!$L$3:$N$6,3,FALSE)))</f>
        <v/>
      </c>
      <c r="O40" s="77" t="str">
        <f t="shared" si="0"/>
        <v/>
      </c>
      <c r="P40" s="94"/>
      <c r="Q40" s="94"/>
      <c r="R40" s="343" t="str">
        <f t="shared" si="2"/>
        <v/>
      </c>
      <c r="S40" s="591" t="str">
        <f t="shared" si="3"/>
        <v/>
      </c>
      <c r="T40" s="593" t="str">
        <f>IFERROR(IF(S40="Check Data","Check Data",VLOOKUP(S40,'G-4 Temporal multipliers'!$A$4:$C$37,3,FALSE)),"")</f>
        <v/>
      </c>
      <c r="U40" s="592" t="str">
        <f>IF(F40="","",VLOOKUP(F40,'G-3 Multipliers'!$A$2:$E$130,2,FALSE))</f>
        <v/>
      </c>
      <c r="V40" s="343" t="str">
        <f t="shared" si="4"/>
        <v/>
      </c>
      <c r="W40" s="343" t="str">
        <f>IF(E40="","",IF(AND(V40="Standard difficulty applied",O40&gt;P40),U40,IF(AND(V40="Low Difficulty - only applicable if all habitat created before losses",P40&gt;=O40),"Low",VLOOKUP(F40,'G-3 Multipliers'!$A$2:$E$130,4,FALSE))))</f>
        <v/>
      </c>
      <c r="X40" s="345" t="str">
        <f>IFERROR(IF(E40="","",VLOOKUP(W40, 'G-3 Multipliers'!$P$2:$Q$6,2,FALSE)),””)</f>
        <v/>
      </c>
      <c r="Y40" s="595" t="str">
        <f t="shared" si="5"/>
        <v/>
      </c>
      <c r="Z40" s="355"/>
      <c r="AA40" s="356"/>
      <c r="AE40" s="59" t="str">
        <f t="shared" si="1"/>
        <v/>
      </c>
    </row>
    <row r="41" spans="1:31" x14ac:dyDescent="0.25">
      <c r="A41" s="52" t="str">
        <f>IFERROR(INDEX('G-8 Condition Look up'!$I$4:$I$131,MATCH(F41,'G-8 Condition Look up'!$A$4:$A$131,0)),"")</f>
        <v/>
      </c>
      <c r="C41" s="588" t="str">
        <f>IFERROR(INDEX('G-1 All Habitats'!$AG$3:$AG$15,MATCH(D41,'G-1 All Habitats'!$AF$3:$AF$15,0)),"")</f>
        <v/>
      </c>
      <c r="D41" s="347"/>
      <c r="E41" s="366"/>
      <c r="F41" s="365" t="str">
        <f>IFERROR(INDEX('G-1 All Habitats'!$B$3:$B$130,MATCH(E41,'G-1 All Habitats'!$A$3:$A$130,0)),"")</f>
        <v/>
      </c>
      <c r="G41" s="76"/>
      <c r="H41" s="77" t="str">
        <f>IF(F41="","",VLOOKUP(F41,'G-1 All Habitats'!$B$2:$M$130,10,FALSE))</f>
        <v/>
      </c>
      <c r="I41" s="78" t="str">
        <f>IFERROR(VLOOKUP(H41,'G-1 All Habitats'!$V$3:$W$7,2,FALSE),"")</f>
        <v/>
      </c>
      <c r="J41" s="79"/>
      <c r="K41" s="78" t="str">
        <f>IFERROR(INDEX('G-8 Condition Look up'!$A$3:$H$131,MATCH(F41,'G-8 Condition Look up'!$A$3:$A$131,0),MATCH(J41,'G-8 Condition Look up'!$A$3:$H$3,0)),"")</f>
        <v/>
      </c>
      <c r="L41" s="79"/>
      <c r="M41" s="348" t="str">
        <f>IF(L41="","",IF(VLOOKUP(L41,'G-3 Multipliers'!$L$3:$N$6,2,FALSE)=0,"Spatial Data Missing",VLOOKUP(L41,'G-3 Multipliers'!$L$3:$N$6,2,FALSE)))</f>
        <v/>
      </c>
      <c r="N41" s="569" t="str">
        <f>IF(L41="","",IF(VLOOKUP(L41,'G-3 Multipliers'!$L$3:$N$6,3,FALSE)=0,"Spatial Data Missing",VLOOKUP(L41,'G-3 Multipliers'!$L$3:$N$6,3,FALSE)))</f>
        <v/>
      </c>
      <c r="O41" s="77" t="str">
        <f t="shared" si="0"/>
        <v/>
      </c>
      <c r="P41" s="94"/>
      <c r="Q41" s="94"/>
      <c r="R41" s="343" t="str">
        <f t="shared" si="2"/>
        <v/>
      </c>
      <c r="S41" s="591" t="str">
        <f t="shared" si="3"/>
        <v/>
      </c>
      <c r="T41" s="593" t="str">
        <f>IFERROR(IF(S41="Check Data","Check Data",VLOOKUP(S41,'G-4 Temporal multipliers'!$A$4:$C$37,3,FALSE)),"")</f>
        <v/>
      </c>
      <c r="U41" s="592" t="str">
        <f>IF(F41="","",VLOOKUP(F41,'G-3 Multipliers'!$A$2:$E$130,2,FALSE))</f>
        <v/>
      </c>
      <c r="V41" s="343" t="str">
        <f t="shared" si="4"/>
        <v/>
      </c>
      <c r="W41" s="343" t="str">
        <f>IF(E41="","",IF(AND(V41="Standard difficulty applied",O41&gt;P41),U41,IF(AND(V41="Low Difficulty - only applicable if all habitat created before losses",P41&gt;=O41),"Low",VLOOKUP(F41,'G-3 Multipliers'!$A$2:$E$130,4,FALSE))))</f>
        <v/>
      </c>
      <c r="X41" s="345" t="str">
        <f>IFERROR(IF(E41="","",VLOOKUP(W41, 'G-3 Multipliers'!$P$2:$Q$6,2,FALSE)),””)</f>
        <v/>
      </c>
      <c r="Y41" s="595" t="str">
        <f t="shared" si="5"/>
        <v/>
      </c>
      <c r="Z41" s="355"/>
      <c r="AA41" s="356"/>
      <c r="AE41" s="59" t="str">
        <f t="shared" si="1"/>
        <v/>
      </c>
    </row>
    <row r="42" spans="1:31" x14ac:dyDescent="0.25">
      <c r="A42" s="52" t="str">
        <f>IFERROR(INDEX('G-8 Condition Look up'!$I$4:$I$131,MATCH(F42,'G-8 Condition Look up'!$A$4:$A$131,0)),"")</f>
        <v/>
      </c>
      <c r="C42" s="588" t="str">
        <f>IFERROR(INDEX('G-1 All Habitats'!$AG$3:$AG$15,MATCH(D42,'G-1 All Habitats'!$AF$3:$AF$15,0)),"")</f>
        <v/>
      </c>
      <c r="D42" s="347"/>
      <c r="E42" s="366"/>
      <c r="F42" s="365" t="str">
        <f>IFERROR(INDEX('G-1 All Habitats'!$B$3:$B$130,MATCH(E42,'G-1 All Habitats'!$A$3:$A$130,0)),"")</f>
        <v/>
      </c>
      <c r="G42" s="76"/>
      <c r="H42" s="77" t="str">
        <f>IF(F42="","",VLOOKUP(F42,'G-1 All Habitats'!$B$2:$M$130,10,FALSE))</f>
        <v/>
      </c>
      <c r="I42" s="78" t="str">
        <f>IFERROR(VLOOKUP(H42,'G-1 All Habitats'!$V$3:$W$7,2,FALSE),"")</f>
        <v/>
      </c>
      <c r="J42" s="79"/>
      <c r="K42" s="78" t="str">
        <f>IFERROR(INDEX('G-8 Condition Look up'!$A$3:$H$131,MATCH(F42,'G-8 Condition Look up'!$A$3:$A$131,0),MATCH(J42,'G-8 Condition Look up'!$A$3:$H$3,0)),"")</f>
        <v/>
      </c>
      <c r="L42" s="79"/>
      <c r="M42" s="348" t="str">
        <f>IF(L42="","",IF(VLOOKUP(L42,'G-3 Multipliers'!$L$3:$N$6,2,FALSE)=0,"Spatial Data Missing",VLOOKUP(L42,'G-3 Multipliers'!$L$3:$N$6,2,FALSE)))</f>
        <v/>
      </c>
      <c r="N42" s="569" t="str">
        <f>IF(L42="","",IF(VLOOKUP(L42,'G-3 Multipliers'!$L$3:$N$6,3,FALSE)=0,"Spatial Data Missing",VLOOKUP(L42,'G-3 Multipliers'!$L$3:$N$6,3,FALSE)))</f>
        <v/>
      </c>
      <c r="O42" s="77" t="str">
        <f t="shared" si="0"/>
        <v/>
      </c>
      <c r="P42" s="94"/>
      <c r="Q42" s="94"/>
      <c r="R42" s="343" t="str">
        <f t="shared" si="2"/>
        <v/>
      </c>
      <c r="S42" s="591" t="str">
        <f t="shared" si="3"/>
        <v/>
      </c>
      <c r="T42" s="593" t="str">
        <f>IFERROR(IF(S42="Check Data","Check Data",VLOOKUP(S42,'G-4 Temporal multipliers'!$A$4:$C$37,3,FALSE)),"")</f>
        <v/>
      </c>
      <c r="U42" s="592" t="str">
        <f>IF(F42="","",VLOOKUP(F42,'G-3 Multipliers'!$A$2:$E$130,2,FALSE))</f>
        <v/>
      </c>
      <c r="V42" s="343" t="str">
        <f t="shared" si="4"/>
        <v/>
      </c>
      <c r="W42" s="343" t="str">
        <f>IF(E42="","",IF(AND(V42="Standard difficulty applied",O42&gt;P42),U42,IF(AND(V42="Low Difficulty - only applicable if all habitat created before losses",P42&gt;=O42),"Low",VLOOKUP(F42,'G-3 Multipliers'!$A$2:$E$130,4,FALSE))))</f>
        <v/>
      </c>
      <c r="X42" s="345" t="str">
        <f>IFERROR(IF(E42="","",VLOOKUP(W42, 'G-3 Multipliers'!$P$2:$Q$6,2,FALSE)),””)</f>
        <v/>
      </c>
      <c r="Y42" s="595" t="str">
        <f t="shared" si="5"/>
        <v/>
      </c>
      <c r="Z42" s="355"/>
      <c r="AA42" s="356"/>
      <c r="AE42" s="59" t="str">
        <f t="shared" si="1"/>
        <v/>
      </c>
    </row>
    <row r="43" spans="1:31" x14ac:dyDescent="0.25">
      <c r="A43" s="52" t="str">
        <f>IFERROR(INDEX('G-8 Condition Look up'!$I$4:$I$131,MATCH(F43,'G-8 Condition Look up'!$A$4:$A$131,0)),"")</f>
        <v/>
      </c>
      <c r="C43" s="588" t="str">
        <f>IFERROR(INDEX('G-1 All Habitats'!$AG$3:$AG$15,MATCH(D43,'G-1 All Habitats'!$AF$3:$AF$15,0)),"")</f>
        <v/>
      </c>
      <c r="D43" s="347"/>
      <c r="E43" s="366"/>
      <c r="F43" s="365" t="str">
        <f>IFERROR(INDEX('G-1 All Habitats'!$B$3:$B$130,MATCH(E43,'G-1 All Habitats'!$A$3:$A$130,0)),"")</f>
        <v/>
      </c>
      <c r="G43" s="76"/>
      <c r="H43" s="77" t="str">
        <f>IF(F43="","",VLOOKUP(F43,'G-1 All Habitats'!$B$2:$M$130,10,FALSE))</f>
        <v/>
      </c>
      <c r="I43" s="78" t="str">
        <f>IFERROR(VLOOKUP(H43,'G-1 All Habitats'!$V$3:$W$7,2,FALSE),"")</f>
        <v/>
      </c>
      <c r="J43" s="79"/>
      <c r="K43" s="78" t="str">
        <f>IFERROR(INDEX('G-8 Condition Look up'!$A$3:$H$131,MATCH(F43,'G-8 Condition Look up'!$A$3:$A$131,0),MATCH(J43,'G-8 Condition Look up'!$A$3:$H$3,0)),"")</f>
        <v/>
      </c>
      <c r="L43" s="79"/>
      <c r="M43" s="348" t="str">
        <f>IF(L43="","",IF(VLOOKUP(L43,'G-3 Multipliers'!$L$3:$N$6,2,FALSE)=0,"Spatial Data Missing",VLOOKUP(L43,'G-3 Multipliers'!$L$3:$N$6,2,FALSE)))</f>
        <v/>
      </c>
      <c r="N43" s="569" t="str">
        <f>IF(L43="","",IF(VLOOKUP(L43,'G-3 Multipliers'!$L$3:$N$6,3,FALSE)=0,"Spatial Data Missing",VLOOKUP(L43,'G-3 Multipliers'!$L$3:$N$6,3,FALSE)))</f>
        <v/>
      </c>
      <c r="O43" s="77" t="str">
        <f t="shared" si="0"/>
        <v/>
      </c>
      <c r="P43" s="94"/>
      <c r="Q43" s="94"/>
      <c r="R43" s="343" t="str">
        <f t="shared" si="2"/>
        <v/>
      </c>
      <c r="S43" s="591" t="str">
        <f t="shared" si="3"/>
        <v/>
      </c>
      <c r="T43" s="593" t="str">
        <f>IFERROR(IF(S43="Check Data","Check Data",VLOOKUP(S43,'G-4 Temporal multipliers'!$A$4:$C$37,3,FALSE)),"")</f>
        <v/>
      </c>
      <c r="U43" s="592" t="str">
        <f>IF(F43="","",VLOOKUP(F43,'G-3 Multipliers'!$A$2:$E$130,2,FALSE))</f>
        <v/>
      </c>
      <c r="V43" s="343" t="str">
        <f t="shared" si="4"/>
        <v/>
      </c>
      <c r="W43" s="343" t="str">
        <f>IF(E43="","",IF(AND(V43="Standard difficulty applied",O43&gt;P43),U43,IF(AND(V43="Low Difficulty - only applicable if all habitat created before losses",P43&gt;=O43),"Low",VLOOKUP(F43,'G-3 Multipliers'!$A$2:$E$130,4,FALSE))))</f>
        <v/>
      </c>
      <c r="X43" s="345" t="str">
        <f>IFERROR(IF(E43="","",VLOOKUP(W43, 'G-3 Multipliers'!$P$2:$Q$6,2,FALSE)),””)</f>
        <v/>
      </c>
      <c r="Y43" s="595" t="str">
        <f t="shared" si="5"/>
        <v/>
      </c>
      <c r="Z43" s="355"/>
      <c r="AA43" s="356"/>
      <c r="AE43" s="59" t="str">
        <f t="shared" si="1"/>
        <v/>
      </c>
    </row>
    <row r="44" spans="1:31" x14ac:dyDescent="0.25">
      <c r="A44" s="52" t="str">
        <f>IFERROR(INDEX('G-8 Condition Look up'!$I$4:$I$131,MATCH(F44,'G-8 Condition Look up'!$A$4:$A$131,0)),"")</f>
        <v/>
      </c>
      <c r="C44" s="588" t="str">
        <f>IFERROR(INDEX('G-1 All Habitats'!$AG$3:$AG$15,MATCH(D44,'G-1 All Habitats'!$AF$3:$AF$15,0)),"")</f>
        <v/>
      </c>
      <c r="D44" s="347"/>
      <c r="E44" s="366"/>
      <c r="F44" s="365" t="str">
        <f>IFERROR(INDEX('G-1 All Habitats'!$B$3:$B$130,MATCH(E44,'G-1 All Habitats'!$A$3:$A$130,0)),"")</f>
        <v/>
      </c>
      <c r="G44" s="76"/>
      <c r="H44" s="77" t="str">
        <f>IF(F44="","",VLOOKUP(F44,'G-1 All Habitats'!$B$2:$M$130,10,FALSE))</f>
        <v/>
      </c>
      <c r="I44" s="78" t="str">
        <f>IFERROR(VLOOKUP(H44,'G-1 All Habitats'!$V$3:$W$7,2,FALSE),"")</f>
        <v/>
      </c>
      <c r="J44" s="79"/>
      <c r="K44" s="78" t="str">
        <f>IFERROR(INDEX('G-8 Condition Look up'!$A$3:$H$131,MATCH(F44,'G-8 Condition Look up'!$A$3:$A$131,0),MATCH(J44,'G-8 Condition Look up'!$A$3:$H$3,0)),"")</f>
        <v/>
      </c>
      <c r="L44" s="79"/>
      <c r="M44" s="348" t="str">
        <f>IF(L44="","",IF(VLOOKUP(L44,'G-3 Multipliers'!$L$3:$N$6,2,FALSE)=0,"Spatial Data Missing",VLOOKUP(L44,'G-3 Multipliers'!$L$3:$N$6,2,FALSE)))</f>
        <v/>
      </c>
      <c r="N44" s="569" t="str">
        <f>IF(L44="","",IF(VLOOKUP(L44,'G-3 Multipliers'!$L$3:$N$6,3,FALSE)=0,"Spatial Data Missing",VLOOKUP(L44,'G-3 Multipliers'!$L$3:$N$6,3,FALSE)))</f>
        <v/>
      </c>
      <c r="O44" s="77" t="str">
        <f t="shared" si="0"/>
        <v/>
      </c>
      <c r="P44" s="94"/>
      <c r="Q44" s="94"/>
      <c r="R44" s="343" t="str">
        <f t="shared" si="2"/>
        <v/>
      </c>
      <c r="S44" s="591" t="str">
        <f t="shared" si="3"/>
        <v/>
      </c>
      <c r="T44" s="593" t="str">
        <f>IFERROR(IF(S44="Check Data","Check Data",VLOOKUP(S44,'G-4 Temporal multipliers'!$A$4:$C$37,3,FALSE)),"")</f>
        <v/>
      </c>
      <c r="U44" s="592" t="str">
        <f>IF(F44="","",VLOOKUP(F44,'G-3 Multipliers'!$A$2:$E$130,2,FALSE))</f>
        <v/>
      </c>
      <c r="V44" s="343" t="str">
        <f t="shared" si="4"/>
        <v/>
      </c>
      <c r="W44" s="343" t="str">
        <f>IF(E44="","",IF(AND(V44="Standard difficulty applied",O44&gt;P44),U44,IF(AND(V44="Low Difficulty - only applicable if all habitat created before losses",P44&gt;=O44),"Low",VLOOKUP(F44,'G-3 Multipliers'!$A$2:$E$130,4,FALSE))))</f>
        <v/>
      </c>
      <c r="X44" s="345" t="str">
        <f>IFERROR(IF(E44="","",VLOOKUP(W44, 'G-3 Multipliers'!$P$2:$Q$6,2,FALSE)),””)</f>
        <v/>
      </c>
      <c r="Y44" s="595" t="str">
        <f t="shared" si="5"/>
        <v/>
      </c>
      <c r="Z44" s="355"/>
      <c r="AA44" s="356"/>
      <c r="AE44" s="59" t="str">
        <f t="shared" si="1"/>
        <v/>
      </c>
    </row>
    <row r="45" spans="1:31" x14ac:dyDescent="0.25">
      <c r="A45" s="52" t="str">
        <f>IFERROR(INDEX('G-8 Condition Look up'!$I$4:$I$131,MATCH(F45,'G-8 Condition Look up'!$A$4:$A$131,0)),"")</f>
        <v/>
      </c>
      <c r="C45" s="588" t="str">
        <f>IFERROR(INDEX('G-1 All Habitats'!$AG$3:$AG$15,MATCH(D45,'G-1 All Habitats'!$AF$3:$AF$15,0)),"")</f>
        <v/>
      </c>
      <c r="D45" s="347"/>
      <c r="E45" s="366"/>
      <c r="F45" s="365" t="str">
        <f>IFERROR(INDEX('G-1 All Habitats'!$B$3:$B$130,MATCH(E45,'G-1 All Habitats'!$A$3:$A$130,0)),"")</f>
        <v/>
      </c>
      <c r="G45" s="76"/>
      <c r="H45" s="77" t="str">
        <f>IF(F45="","",VLOOKUP(F45,'G-1 All Habitats'!$B$2:$M$130,10,FALSE))</f>
        <v/>
      </c>
      <c r="I45" s="78" t="str">
        <f>IFERROR(VLOOKUP(H45,'G-1 All Habitats'!$V$3:$W$7,2,FALSE),"")</f>
        <v/>
      </c>
      <c r="J45" s="79"/>
      <c r="K45" s="78" t="str">
        <f>IFERROR(INDEX('G-8 Condition Look up'!$A$3:$H$131,MATCH(F45,'G-8 Condition Look up'!$A$3:$A$131,0),MATCH(J45,'G-8 Condition Look up'!$A$3:$H$3,0)),"")</f>
        <v/>
      </c>
      <c r="L45" s="79"/>
      <c r="M45" s="348" t="str">
        <f>IF(L45="","",IF(VLOOKUP(L45,'G-3 Multipliers'!$L$3:$N$6,2,FALSE)=0,"Spatial Data Missing",VLOOKUP(L45,'G-3 Multipliers'!$L$3:$N$6,2,FALSE)))</f>
        <v/>
      </c>
      <c r="N45" s="569" t="str">
        <f>IF(L45="","",IF(VLOOKUP(L45,'G-3 Multipliers'!$L$3:$N$6,3,FALSE)=0,"Spatial Data Missing",VLOOKUP(L45,'G-3 Multipliers'!$L$3:$N$6,3,FALSE)))</f>
        <v/>
      </c>
      <c r="O45" s="77" t="str">
        <f t="shared" si="0"/>
        <v/>
      </c>
      <c r="P45" s="94"/>
      <c r="Q45" s="94"/>
      <c r="R45" s="343" t="str">
        <f t="shared" si="2"/>
        <v/>
      </c>
      <c r="S45" s="591" t="str">
        <f t="shared" si="3"/>
        <v/>
      </c>
      <c r="T45" s="593" t="str">
        <f>IFERROR(IF(S45="Check Data","Check Data",VLOOKUP(S45,'G-4 Temporal multipliers'!$A$4:$C$37,3,FALSE)),"")</f>
        <v/>
      </c>
      <c r="U45" s="592" t="str">
        <f>IF(F45="","",VLOOKUP(F45,'G-3 Multipliers'!$A$2:$E$130,2,FALSE))</f>
        <v/>
      </c>
      <c r="V45" s="343" t="str">
        <f t="shared" si="4"/>
        <v/>
      </c>
      <c r="W45" s="343" t="str">
        <f>IF(E45="","",IF(AND(V45="Standard difficulty applied",O45&gt;P45),U45,IF(AND(V45="Low Difficulty - only applicable if all habitat created before losses",P45&gt;=O45),"Low",VLOOKUP(F45,'G-3 Multipliers'!$A$2:$E$130,4,FALSE))))</f>
        <v/>
      </c>
      <c r="X45" s="345" t="str">
        <f>IFERROR(IF(E45="","",VLOOKUP(W45, 'G-3 Multipliers'!$P$2:$Q$6,2,FALSE)),””)</f>
        <v/>
      </c>
      <c r="Y45" s="595" t="str">
        <f t="shared" si="5"/>
        <v/>
      </c>
      <c r="Z45" s="355"/>
      <c r="AA45" s="356"/>
      <c r="AE45" s="59" t="str">
        <f t="shared" si="1"/>
        <v/>
      </c>
    </row>
    <row r="46" spans="1:31" x14ac:dyDescent="0.25">
      <c r="A46" s="52" t="str">
        <f>IFERROR(INDEX('G-8 Condition Look up'!$I$4:$I$131,MATCH(F46,'G-8 Condition Look up'!$A$4:$A$131,0)),"")</f>
        <v/>
      </c>
      <c r="C46" s="588" t="str">
        <f>IFERROR(INDEX('G-1 All Habitats'!$AG$3:$AG$15,MATCH(D46,'G-1 All Habitats'!$AF$3:$AF$15,0)),"")</f>
        <v/>
      </c>
      <c r="D46" s="347"/>
      <c r="E46" s="366"/>
      <c r="F46" s="365" t="str">
        <f>IFERROR(INDEX('G-1 All Habitats'!$B$3:$B$130,MATCH(E46,'G-1 All Habitats'!$A$3:$A$130,0)),"")</f>
        <v/>
      </c>
      <c r="G46" s="76"/>
      <c r="H46" s="77" t="str">
        <f>IF(F46="","",VLOOKUP(F46,'G-1 All Habitats'!$B$2:$M$130,10,FALSE))</f>
        <v/>
      </c>
      <c r="I46" s="78" t="str">
        <f>IFERROR(VLOOKUP(H46,'G-1 All Habitats'!$V$3:$W$7,2,FALSE),"")</f>
        <v/>
      </c>
      <c r="J46" s="79"/>
      <c r="K46" s="78" t="str">
        <f>IFERROR(INDEX('G-8 Condition Look up'!$A$3:$H$131,MATCH(F46,'G-8 Condition Look up'!$A$3:$A$131,0),MATCH(J46,'G-8 Condition Look up'!$A$3:$H$3,0)),"")</f>
        <v/>
      </c>
      <c r="L46" s="79"/>
      <c r="M46" s="348" t="str">
        <f>IF(L46="","",IF(VLOOKUP(L46,'G-3 Multipliers'!$L$3:$N$6,2,FALSE)=0,"Spatial Data Missing",VLOOKUP(L46,'G-3 Multipliers'!$L$3:$N$6,2,FALSE)))</f>
        <v/>
      </c>
      <c r="N46" s="569" t="str">
        <f>IF(L46="","",IF(VLOOKUP(L46,'G-3 Multipliers'!$L$3:$N$6,3,FALSE)=0,"Spatial Data Missing",VLOOKUP(L46,'G-3 Multipliers'!$L$3:$N$6,3,FALSE)))</f>
        <v/>
      </c>
      <c r="O46" s="77" t="str">
        <f t="shared" si="0"/>
        <v/>
      </c>
      <c r="P46" s="94"/>
      <c r="Q46" s="94"/>
      <c r="R46" s="343" t="str">
        <f t="shared" si="2"/>
        <v/>
      </c>
      <c r="S46" s="591" t="str">
        <f t="shared" si="3"/>
        <v/>
      </c>
      <c r="T46" s="593" t="str">
        <f>IFERROR(IF(S46="Check Data","Check Data",VLOOKUP(S46,'G-4 Temporal multipliers'!$A$4:$C$37,3,FALSE)),"")</f>
        <v/>
      </c>
      <c r="U46" s="592" t="str">
        <f>IF(F46="","",VLOOKUP(F46,'G-3 Multipliers'!$A$2:$E$130,2,FALSE))</f>
        <v/>
      </c>
      <c r="V46" s="343" t="str">
        <f t="shared" si="4"/>
        <v/>
      </c>
      <c r="W46" s="343" t="str">
        <f>IF(E46="","",IF(AND(V46="Standard difficulty applied",O46&gt;P46),U46,IF(AND(V46="Low Difficulty - only applicable if all habitat created before losses",P46&gt;=O46),"Low",VLOOKUP(F46,'G-3 Multipliers'!$A$2:$E$130,4,FALSE))))</f>
        <v/>
      </c>
      <c r="X46" s="345" t="str">
        <f>IFERROR(IF(E46="","",VLOOKUP(W46, 'G-3 Multipliers'!$P$2:$Q$6,2,FALSE)),””)</f>
        <v/>
      </c>
      <c r="Y46" s="595" t="str">
        <f t="shared" si="5"/>
        <v/>
      </c>
      <c r="Z46" s="355"/>
      <c r="AA46" s="356"/>
      <c r="AE46" s="59" t="str">
        <f t="shared" si="1"/>
        <v/>
      </c>
    </row>
    <row r="47" spans="1:31" x14ac:dyDescent="0.25">
      <c r="A47" s="52" t="str">
        <f>IFERROR(INDEX('G-8 Condition Look up'!$I$4:$I$131,MATCH(F47,'G-8 Condition Look up'!$A$4:$A$131,0)),"")</f>
        <v/>
      </c>
      <c r="C47" s="588" t="str">
        <f>IFERROR(INDEX('G-1 All Habitats'!$AG$3:$AG$15,MATCH(D47,'G-1 All Habitats'!$AF$3:$AF$15,0)),"")</f>
        <v/>
      </c>
      <c r="D47" s="347"/>
      <c r="E47" s="366"/>
      <c r="F47" s="365" t="str">
        <f>IFERROR(INDEX('G-1 All Habitats'!$B$3:$B$130,MATCH(E47,'G-1 All Habitats'!$A$3:$A$130,0)),"")</f>
        <v/>
      </c>
      <c r="G47" s="76"/>
      <c r="H47" s="77" t="str">
        <f>IF(F47="","",VLOOKUP(F47,'G-1 All Habitats'!$B$2:$M$130,10,FALSE))</f>
        <v/>
      </c>
      <c r="I47" s="78" t="str">
        <f>IFERROR(VLOOKUP(H47,'G-1 All Habitats'!$V$3:$W$7,2,FALSE),"")</f>
        <v/>
      </c>
      <c r="J47" s="79"/>
      <c r="K47" s="78" t="str">
        <f>IFERROR(INDEX('G-8 Condition Look up'!$A$3:$H$131,MATCH(F47,'G-8 Condition Look up'!$A$3:$A$131,0),MATCH(J47,'G-8 Condition Look up'!$A$3:$H$3,0)),"")</f>
        <v/>
      </c>
      <c r="L47" s="79"/>
      <c r="M47" s="348" t="str">
        <f>IF(L47="","",IF(VLOOKUP(L47,'G-3 Multipliers'!$L$3:$N$6,2,FALSE)=0,"Spatial Data Missing",VLOOKUP(L47,'G-3 Multipliers'!$L$3:$N$6,2,FALSE)))</f>
        <v/>
      </c>
      <c r="N47" s="569" t="str">
        <f>IF(L47="","",IF(VLOOKUP(L47,'G-3 Multipliers'!$L$3:$N$6,3,FALSE)=0,"Spatial Data Missing",VLOOKUP(L47,'G-3 Multipliers'!$L$3:$N$6,3,FALSE)))</f>
        <v/>
      </c>
      <c r="O47" s="77" t="str">
        <f t="shared" si="0"/>
        <v/>
      </c>
      <c r="P47" s="94"/>
      <c r="Q47" s="94"/>
      <c r="R47" s="343" t="str">
        <f t="shared" si="2"/>
        <v/>
      </c>
      <c r="S47" s="591" t="str">
        <f t="shared" si="3"/>
        <v/>
      </c>
      <c r="T47" s="593" t="str">
        <f>IFERROR(IF(S47="Check Data","Check Data",VLOOKUP(S47,'G-4 Temporal multipliers'!$A$4:$C$37,3,FALSE)),"")</f>
        <v/>
      </c>
      <c r="U47" s="592" t="str">
        <f>IF(F47="","",VLOOKUP(F47,'G-3 Multipliers'!$A$2:$E$130,2,FALSE))</f>
        <v/>
      </c>
      <c r="V47" s="343" t="str">
        <f t="shared" si="4"/>
        <v/>
      </c>
      <c r="W47" s="343" t="str">
        <f>IF(E47="","",IF(AND(V47="Standard difficulty applied",O47&gt;P47),U47,IF(AND(V47="Low Difficulty - only applicable if all habitat created before losses",P47&gt;=O47),"Low",VLOOKUP(F47,'G-3 Multipliers'!$A$2:$E$130,4,FALSE))))</f>
        <v/>
      </c>
      <c r="X47" s="345" t="str">
        <f>IFERROR(IF(E47="","",VLOOKUP(W47, 'G-3 Multipliers'!$P$2:$Q$6,2,FALSE)),””)</f>
        <v/>
      </c>
      <c r="Y47" s="595" t="str">
        <f t="shared" si="5"/>
        <v/>
      </c>
      <c r="Z47" s="355"/>
      <c r="AA47" s="356"/>
      <c r="AE47" s="59" t="str">
        <f t="shared" si="1"/>
        <v/>
      </c>
    </row>
    <row r="48" spans="1:31" x14ac:dyDescent="0.25">
      <c r="A48" s="52" t="str">
        <f>IFERROR(INDEX('G-8 Condition Look up'!$I$4:$I$131,MATCH(F48,'G-8 Condition Look up'!$A$4:$A$131,0)),"")</f>
        <v/>
      </c>
      <c r="C48" s="588" t="str">
        <f>IFERROR(INDEX('G-1 All Habitats'!$AG$3:$AG$15,MATCH(D48,'G-1 All Habitats'!$AF$3:$AF$15,0)),"")</f>
        <v/>
      </c>
      <c r="D48" s="347"/>
      <c r="E48" s="366"/>
      <c r="F48" s="365" t="str">
        <f>IFERROR(INDEX('G-1 All Habitats'!$B$3:$B$130,MATCH(E48,'G-1 All Habitats'!$A$3:$A$130,0)),"")</f>
        <v/>
      </c>
      <c r="G48" s="76"/>
      <c r="H48" s="77" t="str">
        <f>IF(F48="","",VLOOKUP(F48,'G-1 All Habitats'!$B$2:$M$130,10,FALSE))</f>
        <v/>
      </c>
      <c r="I48" s="78" t="str">
        <f>IFERROR(VLOOKUP(H48,'G-1 All Habitats'!$V$3:$W$7,2,FALSE),"")</f>
        <v/>
      </c>
      <c r="J48" s="79"/>
      <c r="K48" s="78" t="str">
        <f>IFERROR(INDEX('G-8 Condition Look up'!$A$3:$H$131,MATCH(F48,'G-8 Condition Look up'!$A$3:$A$131,0),MATCH(J48,'G-8 Condition Look up'!$A$3:$H$3,0)),"")</f>
        <v/>
      </c>
      <c r="L48" s="79"/>
      <c r="M48" s="348" t="str">
        <f>IF(L48="","",IF(VLOOKUP(L48,'G-3 Multipliers'!$L$3:$N$6,2,FALSE)=0,"Spatial Data Missing",VLOOKUP(L48,'G-3 Multipliers'!$L$3:$N$6,2,FALSE)))</f>
        <v/>
      </c>
      <c r="N48" s="569" t="str">
        <f>IF(L48="","",IF(VLOOKUP(L48,'G-3 Multipliers'!$L$3:$N$6,3,FALSE)=0,"Spatial Data Missing",VLOOKUP(L48,'G-3 Multipliers'!$L$3:$N$6,3,FALSE)))</f>
        <v/>
      </c>
      <c r="O48" s="77" t="str">
        <f t="shared" si="0"/>
        <v/>
      </c>
      <c r="P48" s="94"/>
      <c r="Q48" s="94"/>
      <c r="R48" s="343" t="str">
        <f t="shared" si="2"/>
        <v/>
      </c>
      <c r="S48" s="591" t="str">
        <f t="shared" si="3"/>
        <v/>
      </c>
      <c r="T48" s="593" t="str">
        <f>IFERROR(IF(S48="Check Data","Check Data",VLOOKUP(S48,'G-4 Temporal multipliers'!$A$4:$C$37,3,FALSE)),"")</f>
        <v/>
      </c>
      <c r="U48" s="592" t="str">
        <f>IF(F48="","",VLOOKUP(F48,'G-3 Multipliers'!$A$2:$E$130,2,FALSE))</f>
        <v/>
      </c>
      <c r="V48" s="343" t="str">
        <f t="shared" si="4"/>
        <v/>
      </c>
      <c r="W48" s="343" t="str">
        <f>IF(E48="","",IF(AND(V48="Standard difficulty applied",O48&gt;P48),U48,IF(AND(V48="Low Difficulty - only applicable if all habitat created before losses",P48&gt;=O48),"Low",VLOOKUP(F48,'G-3 Multipliers'!$A$2:$E$130,4,FALSE))))</f>
        <v/>
      </c>
      <c r="X48" s="345" t="str">
        <f>IFERROR(IF(E48="","",VLOOKUP(W48, 'G-3 Multipliers'!$P$2:$Q$6,2,FALSE)),””)</f>
        <v/>
      </c>
      <c r="Y48" s="595" t="str">
        <f t="shared" si="5"/>
        <v/>
      </c>
      <c r="Z48" s="355"/>
      <c r="AA48" s="356"/>
      <c r="AE48" s="59" t="str">
        <f t="shared" si="1"/>
        <v/>
      </c>
    </row>
    <row r="49" spans="1:31" x14ac:dyDescent="0.25">
      <c r="A49" s="52" t="str">
        <f>IFERROR(INDEX('G-8 Condition Look up'!$I$4:$I$131,MATCH(F49,'G-8 Condition Look up'!$A$4:$A$131,0)),"")</f>
        <v/>
      </c>
      <c r="C49" s="588" t="str">
        <f>IFERROR(INDEX('G-1 All Habitats'!$AG$3:$AG$15,MATCH(D49,'G-1 All Habitats'!$AF$3:$AF$15,0)),"")</f>
        <v/>
      </c>
      <c r="D49" s="347"/>
      <c r="E49" s="366"/>
      <c r="F49" s="365" t="str">
        <f>IFERROR(INDEX('G-1 All Habitats'!$B$3:$B$130,MATCH(E49,'G-1 All Habitats'!$A$3:$A$130,0)),"")</f>
        <v/>
      </c>
      <c r="G49" s="76"/>
      <c r="H49" s="77" t="str">
        <f>IF(F49="","",VLOOKUP(F49,'G-1 All Habitats'!$B$2:$M$130,10,FALSE))</f>
        <v/>
      </c>
      <c r="I49" s="78" t="str">
        <f>IFERROR(VLOOKUP(H49,'G-1 All Habitats'!$V$3:$W$7,2,FALSE),"")</f>
        <v/>
      </c>
      <c r="J49" s="79"/>
      <c r="K49" s="78" t="str">
        <f>IFERROR(INDEX('G-8 Condition Look up'!$A$3:$H$131,MATCH(F49,'G-8 Condition Look up'!$A$3:$A$131,0),MATCH(J49,'G-8 Condition Look up'!$A$3:$H$3,0)),"")</f>
        <v/>
      </c>
      <c r="L49" s="79"/>
      <c r="M49" s="348" t="str">
        <f>IF(L49="","",IF(VLOOKUP(L49,'G-3 Multipliers'!$L$3:$N$6,2,FALSE)=0,"Spatial Data Missing",VLOOKUP(L49,'G-3 Multipliers'!$L$3:$N$6,2,FALSE)))</f>
        <v/>
      </c>
      <c r="N49" s="569" t="str">
        <f>IF(L49="","",IF(VLOOKUP(L49,'G-3 Multipliers'!$L$3:$N$6,3,FALSE)=0,"Spatial Data Missing",VLOOKUP(L49,'G-3 Multipliers'!$L$3:$N$6,3,FALSE)))</f>
        <v/>
      </c>
      <c r="O49" s="77" t="str">
        <f t="shared" si="0"/>
        <v/>
      </c>
      <c r="P49" s="94"/>
      <c r="Q49" s="94"/>
      <c r="R49" s="343" t="str">
        <f t="shared" si="2"/>
        <v/>
      </c>
      <c r="S49" s="591" t="str">
        <f t="shared" si="3"/>
        <v/>
      </c>
      <c r="T49" s="593" t="str">
        <f>IFERROR(IF(S49="Check Data","Check Data",VLOOKUP(S49,'G-4 Temporal multipliers'!$A$4:$C$37,3,FALSE)),"")</f>
        <v/>
      </c>
      <c r="U49" s="592" t="str">
        <f>IF(F49="","",VLOOKUP(F49,'G-3 Multipliers'!$A$2:$E$130,2,FALSE))</f>
        <v/>
      </c>
      <c r="V49" s="343" t="str">
        <f t="shared" si="4"/>
        <v/>
      </c>
      <c r="W49" s="343" t="str">
        <f>IF(E49="","",IF(AND(V49="Standard difficulty applied",O49&gt;P49),U49,IF(AND(V49="Low Difficulty - only applicable if all habitat created before losses",P49&gt;=O49),"Low",VLOOKUP(F49,'G-3 Multipliers'!$A$2:$E$130,4,FALSE))))</f>
        <v/>
      </c>
      <c r="X49" s="345" t="str">
        <f>IFERROR(IF(E49="","",VLOOKUP(W49, 'G-3 Multipliers'!$P$2:$Q$6,2,FALSE)),””)</f>
        <v/>
      </c>
      <c r="Y49" s="595" t="str">
        <f t="shared" si="5"/>
        <v/>
      </c>
      <c r="Z49" s="355"/>
      <c r="AA49" s="356"/>
      <c r="AE49" s="59" t="str">
        <f t="shared" si="1"/>
        <v/>
      </c>
    </row>
    <row r="50" spans="1:31" x14ac:dyDescent="0.25">
      <c r="A50" s="52" t="str">
        <f>IFERROR(INDEX('G-8 Condition Look up'!$I$4:$I$131,MATCH(F50,'G-8 Condition Look up'!$A$4:$A$131,0)),"")</f>
        <v/>
      </c>
      <c r="C50" s="588" t="str">
        <f>IFERROR(INDEX('G-1 All Habitats'!$AG$3:$AG$15,MATCH(D50,'G-1 All Habitats'!$AF$3:$AF$15,0)),"")</f>
        <v/>
      </c>
      <c r="D50" s="347"/>
      <c r="E50" s="366"/>
      <c r="F50" s="365" t="str">
        <f>IFERROR(INDEX('G-1 All Habitats'!$B$3:$B$130,MATCH(E50,'G-1 All Habitats'!$A$3:$A$130,0)),"")</f>
        <v/>
      </c>
      <c r="G50" s="76"/>
      <c r="H50" s="77" t="str">
        <f>IF(F50="","",VLOOKUP(F50,'G-1 All Habitats'!$B$2:$M$130,10,FALSE))</f>
        <v/>
      </c>
      <c r="I50" s="78" t="str">
        <f>IFERROR(VLOOKUP(H50,'G-1 All Habitats'!$V$3:$W$7,2,FALSE),"")</f>
        <v/>
      </c>
      <c r="J50" s="79"/>
      <c r="K50" s="78" t="str">
        <f>IFERROR(INDEX('G-8 Condition Look up'!$A$3:$H$131,MATCH(F50,'G-8 Condition Look up'!$A$3:$A$131,0),MATCH(J50,'G-8 Condition Look up'!$A$3:$H$3,0)),"")</f>
        <v/>
      </c>
      <c r="L50" s="79"/>
      <c r="M50" s="348" t="str">
        <f>IF(L50="","",IF(VLOOKUP(L50,'G-3 Multipliers'!$L$3:$N$6,2,FALSE)=0,"Spatial Data Missing",VLOOKUP(L50,'G-3 Multipliers'!$L$3:$N$6,2,FALSE)))</f>
        <v/>
      </c>
      <c r="N50" s="569" t="str">
        <f>IF(L50="","",IF(VLOOKUP(L50,'G-3 Multipliers'!$L$3:$N$6,3,FALSE)=0,"Spatial Data Missing",VLOOKUP(L50,'G-3 Multipliers'!$L$3:$N$6,3,FALSE)))</f>
        <v/>
      </c>
      <c r="O50" s="77" t="str">
        <f t="shared" si="0"/>
        <v/>
      </c>
      <c r="P50" s="94"/>
      <c r="Q50" s="94"/>
      <c r="R50" s="343" t="str">
        <f t="shared" si="2"/>
        <v/>
      </c>
      <c r="S50" s="591" t="str">
        <f t="shared" si="3"/>
        <v/>
      </c>
      <c r="T50" s="593" t="str">
        <f>IFERROR(IF(S50="Check Data","Check Data",VLOOKUP(S50,'G-4 Temporal multipliers'!$A$4:$C$37,3,FALSE)),"")</f>
        <v/>
      </c>
      <c r="U50" s="592" t="str">
        <f>IF(F50="","",VLOOKUP(F50,'G-3 Multipliers'!$A$2:$E$130,2,FALSE))</f>
        <v/>
      </c>
      <c r="V50" s="343" t="str">
        <f t="shared" si="4"/>
        <v/>
      </c>
      <c r="W50" s="343" t="str">
        <f>IF(E50="","",IF(AND(V50="Standard difficulty applied",O50&gt;P50),U50,IF(AND(V50="Low Difficulty - only applicable if all habitat created before losses",P50&gt;=O50),"Low",VLOOKUP(F50,'G-3 Multipliers'!$A$2:$E$130,4,FALSE))))</f>
        <v/>
      </c>
      <c r="X50" s="345" t="str">
        <f>IFERROR(IF(E50="","",VLOOKUP(W50, 'G-3 Multipliers'!$P$2:$Q$6,2,FALSE)),””)</f>
        <v/>
      </c>
      <c r="Y50" s="595" t="str">
        <f t="shared" si="5"/>
        <v/>
      </c>
      <c r="Z50" s="355"/>
      <c r="AA50" s="356"/>
      <c r="AE50" s="59" t="str">
        <f t="shared" si="1"/>
        <v/>
      </c>
    </row>
    <row r="51" spans="1:31" x14ac:dyDescent="0.25">
      <c r="A51" s="52" t="str">
        <f>IFERROR(INDEX('G-8 Condition Look up'!$I$4:$I$131,MATCH(F51,'G-8 Condition Look up'!$A$4:$A$131,0)),"")</f>
        <v/>
      </c>
      <c r="C51" s="588" t="str">
        <f>IFERROR(INDEX('G-1 All Habitats'!$AG$3:$AG$15,MATCH(D51,'G-1 All Habitats'!$AF$3:$AF$15,0)),"")</f>
        <v/>
      </c>
      <c r="D51" s="347"/>
      <c r="E51" s="366"/>
      <c r="F51" s="365" t="str">
        <f>IFERROR(INDEX('G-1 All Habitats'!$B$3:$B$130,MATCH(E51,'G-1 All Habitats'!$A$3:$A$130,0)),"")</f>
        <v/>
      </c>
      <c r="G51" s="76"/>
      <c r="H51" s="77" t="str">
        <f>IF(F51="","",VLOOKUP(F51,'G-1 All Habitats'!$B$2:$M$130,10,FALSE))</f>
        <v/>
      </c>
      <c r="I51" s="78" t="str">
        <f>IFERROR(VLOOKUP(H51,'G-1 All Habitats'!$V$3:$W$7,2,FALSE),"")</f>
        <v/>
      </c>
      <c r="J51" s="79"/>
      <c r="K51" s="78" t="str">
        <f>IFERROR(INDEX('G-8 Condition Look up'!$A$3:$H$131,MATCH(F51,'G-8 Condition Look up'!$A$3:$A$131,0),MATCH(J51,'G-8 Condition Look up'!$A$3:$H$3,0)),"")</f>
        <v/>
      </c>
      <c r="L51" s="79"/>
      <c r="M51" s="348" t="str">
        <f>IF(L51="","",IF(VLOOKUP(L51,'G-3 Multipliers'!$L$3:$N$6,2,FALSE)=0,"Spatial Data Missing",VLOOKUP(L51,'G-3 Multipliers'!$L$3:$N$6,2,FALSE)))</f>
        <v/>
      </c>
      <c r="N51" s="569" t="str">
        <f>IF(L51="","",IF(VLOOKUP(L51,'G-3 Multipliers'!$L$3:$N$6,3,FALSE)=0,"Spatial Data Missing",VLOOKUP(L51,'G-3 Multipliers'!$L$3:$N$6,3,FALSE)))</f>
        <v/>
      </c>
      <c r="O51" s="77" t="str">
        <f t="shared" si="0"/>
        <v/>
      </c>
      <c r="P51" s="94"/>
      <c r="Q51" s="94"/>
      <c r="R51" s="343" t="str">
        <f t="shared" si="2"/>
        <v/>
      </c>
      <c r="S51" s="591" t="str">
        <f t="shared" si="3"/>
        <v/>
      </c>
      <c r="T51" s="593" t="str">
        <f>IFERROR(IF(S51="Check Data","Check Data",VLOOKUP(S51,'G-4 Temporal multipliers'!$A$4:$C$37,3,FALSE)),"")</f>
        <v/>
      </c>
      <c r="U51" s="592" t="str">
        <f>IF(F51="","",VLOOKUP(F51,'G-3 Multipliers'!$A$2:$E$130,2,FALSE))</f>
        <v/>
      </c>
      <c r="V51" s="343" t="str">
        <f t="shared" si="4"/>
        <v/>
      </c>
      <c r="W51" s="343" t="str">
        <f>IF(E51="","",IF(AND(V51="Standard difficulty applied",O51&gt;P51),U51,IF(AND(V51="Low Difficulty - only applicable if all habitat created before losses",P51&gt;=O51),"Low",VLOOKUP(F51,'G-3 Multipliers'!$A$2:$E$130,4,FALSE))))</f>
        <v/>
      </c>
      <c r="X51" s="345" t="str">
        <f>IFERROR(IF(E51="","",VLOOKUP(W51, 'G-3 Multipliers'!$P$2:$Q$6,2,FALSE)),””)</f>
        <v/>
      </c>
      <c r="Y51" s="595" t="str">
        <f t="shared" si="5"/>
        <v/>
      </c>
      <c r="Z51" s="355"/>
      <c r="AA51" s="356"/>
      <c r="AE51" s="59" t="str">
        <f t="shared" si="1"/>
        <v/>
      </c>
    </row>
    <row r="52" spans="1:31" x14ac:dyDescent="0.25">
      <c r="A52" s="52" t="str">
        <f>IFERROR(INDEX('G-8 Condition Look up'!$I$4:$I$131,MATCH(F52,'G-8 Condition Look up'!$A$4:$A$131,0)),"")</f>
        <v/>
      </c>
      <c r="C52" s="588" t="str">
        <f>IFERROR(INDEX('G-1 All Habitats'!$AG$3:$AG$15,MATCH(D52,'G-1 All Habitats'!$AF$3:$AF$15,0)),"")</f>
        <v/>
      </c>
      <c r="D52" s="347"/>
      <c r="E52" s="366"/>
      <c r="F52" s="365" t="str">
        <f>IFERROR(INDEX('G-1 All Habitats'!$B$3:$B$130,MATCH(E52,'G-1 All Habitats'!$A$3:$A$130,0)),"")</f>
        <v/>
      </c>
      <c r="G52" s="76"/>
      <c r="H52" s="77" t="str">
        <f>IF(F52="","",VLOOKUP(F52,'G-1 All Habitats'!$B$2:$M$130,10,FALSE))</f>
        <v/>
      </c>
      <c r="I52" s="78" t="str">
        <f>IFERROR(VLOOKUP(H52,'G-1 All Habitats'!$V$3:$W$7,2,FALSE),"")</f>
        <v/>
      </c>
      <c r="J52" s="79"/>
      <c r="K52" s="78" t="str">
        <f>IFERROR(INDEX('G-8 Condition Look up'!$A$3:$H$131,MATCH(F52,'G-8 Condition Look up'!$A$3:$A$131,0),MATCH(J52,'G-8 Condition Look up'!$A$3:$H$3,0)),"")</f>
        <v/>
      </c>
      <c r="L52" s="79"/>
      <c r="M52" s="348" t="str">
        <f>IF(L52="","",IF(VLOOKUP(L52,'G-3 Multipliers'!$L$3:$N$6,2,FALSE)=0,"Spatial Data Missing",VLOOKUP(L52,'G-3 Multipliers'!$L$3:$N$6,2,FALSE)))</f>
        <v/>
      </c>
      <c r="N52" s="569" t="str">
        <f>IF(L52="","",IF(VLOOKUP(L52,'G-3 Multipliers'!$L$3:$N$6,3,FALSE)=0,"Spatial Data Missing",VLOOKUP(L52,'G-3 Multipliers'!$L$3:$N$6,3,FALSE)))</f>
        <v/>
      </c>
      <c r="O52" s="77" t="str">
        <f t="shared" si="0"/>
        <v/>
      </c>
      <c r="P52" s="94"/>
      <c r="Q52" s="94"/>
      <c r="R52" s="343" t="str">
        <f t="shared" si="2"/>
        <v/>
      </c>
      <c r="S52" s="591" t="str">
        <f t="shared" si="3"/>
        <v/>
      </c>
      <c r="T52" s="593" t="str">
        <f>IFERROR(IF(S52="Check Data","Check Data",VLOOKUP(S52,'G-4 Temporal multipliers'!$A$4:$C$37,3,FALSE)),"")</f>
        <v/>
      </c>
      <c r="U52" s="592" t="str">
        <f>IF(F52="","",VLOOKUP(F52,'G-3 Multipliers'!$A$2:$E$130,2,FALSE))</f>
        <v/>
      </c>
      <c r="V52" s="343" t="str">
        <f t="shared" si="4"/>
        <v/>
      </c>
      <c r="W52" s="343" t="str">
        <f>IF(E52="","",IF(AND(V52="Standard difficulty applied",O52&gt;P52),U52,IF(AND(V52="Low Difficulty - only applicable if all habitat created before losses",P52&gt;=O52),"Low",VLOOKUP(F52,'G-3 Multipliers'!$A$2:$E$130,4,FALSE))))</f>
        <v/>
      </c>
      <c r="X52" s="345" t="str">
        <f>IFERROR(IF(E52="","",VLOOKUP(W52, 'G-3 Multipliers'!$P$2:$Q$6,2,FALSE)),””)</f>
        <v/>
      </c>
      <c r="Y52" s="595" t="str">
        <f t="shared" si="5"/>
        <v/>
      </c>
      <c r="Z52" s="355"/>
      <c r="AA52" s="356"/>
      <c r="AE52" s="59" t="str">
        <f t="shared" si="1"/>
        <v/>
      </c>
    </row>
    <row r="53" spans="1:31" x14ac:dyDescent="0.25">
      <c r="A53" s="52" t="str">
        <f>IFERROR(INDEX('G-8 Condition Look up'!$I$4:$I$131,MATCH(F53,'G-8 Condition Look up'!$A$4:$A$131,0)),"")</f>
        <v/>
      </c>
      <c r="C53" s="588" t="str">
        <f>IFERROR(INDEX('G-1 All Habitats'!$AG$3:$AG$15,MATCH(D53,'G-1 All Habitats'!$AF$3:$AF$15,0)),"")</f>
        <v/>
      </c>
      <c r="D53" s="347"/>
      <c r="E53" s="366"/>
      <c r="F53" s="365" t="str">
        <f>IFERROR(INDEX('G-1 All Habitats'!$B$3:$B$130,MATCH(E53,'G-1 All Habitats'!$A$3:$A$130,0)),"")</f>
        <v/>
      </c>
      <c r="G53" s="76"/>
      <c r="H53" s="77" t="str">
        <f>IF(F53="","",VLOOKUP(F53,'G-1 All Habitats'!$B$2:$M$130,10,FALSE))</f>
        <v/>
      </c>
      <c r="I53" s="78" t="str">
        <f>IFERROR(VLOOKUP(H53,'G-1 All Habitats'!$V$3:$W$7,2,FALSE),"")</f>
        <v/>
      </c>
      <c r="J53" s="79"/>
      <c r="K53" s="78" t="str">
        <f>IFERROR(INDEX('G-8 Condition Look up'!$A$3:$H$131,MATCH(F53,'G-8 Condition Look up'!$A$3:$A$131,0),MATCH(J53,'G-8 Condition Look up'!$A$3:$H$3,0)),"")</f>
        <v/>
      </c>
      <c r="L53" s="79"/>
      <c r="M53" s="348" t="str">
        <f>IF(L53="","",IF(VLOOKUP(L53,'G-3 Multipliers'!$L$3:$N$6,2,FALSE)=0,"Spatial Data Missing",VLOOKUP(L53,'G-3 Multipliers'!$L$3:$N$6,2,FALSE)))</f>
        <v/>
      </c>
      <c r="N53" s="569" t="str">
        <f>IF(L53="","",IF(VLOOKUP(L53,'G-3 Multipliers'!$L$3:$N$6,3,FALSE)=0,"Spatial Data Missing",VLOOKUP(L53,'G-3 Multipliers'!$L$3:$N$6,3,FALSE)))</f>
        <v/>
      </c>
      <c r="O53" s="77" t="str">
        <f t="shared" si="0"/>
        <v/>
      </c>
      <c r="P53" s="94"/>
      <c r="Q53" s="94"/>
      <c r="R53" s="343" t="str">
        <f t="shared" si="2"/>
        <v/>
      </c>
      <c r="S53" s="591" t="str">
        <f t="shared" si="3"/>
        <v/>
      </c>
      <c r="T53" s="593" t="str">
        <f>IFERROR(IF(S53="Check Data","Check Data",VLOOKUP(S53,'G-4 Temporal multipliers'!$A$4:$C$37,3,FALSE)),"")</f>
        <v/>
      </c>
      <c r="U53" s="592" t="str">
        <f>IF(F53="","",VLOOKUP(F53,'G-3 Multipliers'!$A$2:$E$130,2,FALSE))</f>
        <v/>
      </c>
      <c r="V53" s="343" t="str">
        <f t="shared" si="4"/>
        <v/>
      </c>
      <c r="W53" s="343" t="str">
        <f>IF(E53="","",IF(AND(V53="Standard difficulty applied",O53&gt;P53),U53,IF(AND(V53="Low Difficulty - only applicable if all habitat created before losses",P53&gt;=O53),"Low",VLOOKUP(F53,'G-3 Multipliers'!$A$2:$E$130,4,FALSE))))</f>
        <v/>
      </c>
      <c r="X53" s="345" t="str">
        <f>IFERROR(IF(E53="","",VLOOKUP(W53, 'G-3 Multipliers'!$P$2:$Q$6,2,FALSE)),””)</f>
        <v/>
      </c>
      <c r="Y53" s="595" t="str">
        <f t="shared" si="5"/>
        <v/>
      </c>
      <c r="Z53" s="355"/>
      <c r="AA53" s="356"/>
      <c r="AE53" s="59" t="str">
        <f t="shared" si="1"/>
        <v/>
      </c>
    </row>
    <row r="54" spans="1:31" x14ac:dyDescent="0.25">
      <c r="A54" s="52" t="str">
        <f>IFERROR(INDEX('G-8 Condition Look up'!$I$4:$I$131,MATCH(F54,'G-8 Condition Look up'!$A$4:$A$131,0)),"")</f>
        <v/>
      </c>
      <c r="C54" s="588" t="str">
        <f>IFERROR(INDEX('G-1 All Habitats'!$AG$3:$AG$15,MATCH(D54,'G-1 All Habitats'!$AF$3:$AF$15,0)),"")</f>
        <v/>
      </c>
      <c r="D54" s="347"/>
      <c r="E54" s="366"/>
      <c r="F54" s="365" t="str">
        <f>IFERROR(INDEX('G-1 All Habitats'!$B$3:$B$130,MATCH(E54,'G-1 All Habitats'!$A$3:$A$130,0)),"")</f>
        <v/>
      </c>
      <c r="G54" s="76"/>
      <c r="H54" s="77" t="str">
        <f>IF(F54="","",VLOOKUP(F54,'G-1 All Habitats'!$B$2:$M$130,10,FALSE))</f>
        <v/>
      </c>
      <c r="I54" s="78" t="str">
        <f>IFERROR(VLOOKUP(H54,'G-1 All Habitats'!$V$3:$W$7,2,FALSE),"")</f>
        <v/>
      </c>
      <c r="J54" s="79"/>
      <c r="K54" s="78" t="str">
        <f>IFERROR(INDEX('G-8 Condition Look up'!$A$3:$H$131,MATCH(F54,'G-8 Condition Look up'!$A$3:$A$131,0),MATCH(J54,'G-8 Condition Look up'!$A$3:$H$3,0)),"")</f>
        <v/>
      </c>
      <c r="L54" s="79"/>
      <c r="M54" s="348" t="str">
        <f>IF(L54="","",IF(VLOOKUP(L54,'G-3 Multipliers'!$L$3:$N$6,2,FALSE)=0,"Spatial Data Missing",VLOOKUP(L54,'G-3 Multipliers'!$L$3:$N$6,2,FALSE)))</f>
        <v/>
      </c>
      <c r="N54" s="569" t="str">
        <f>IF(L54="","",IF(VLOOKUP(L54,'G-3 Multipliers'!$L$3:$N$6,3,FALSE)=0,"Spatial Data Missing",VLOOKUP(L54,'G-3 Multipliers'!$L$3:$N$6,3,FALSE)))</f>
        <v/>
      </c>
      <c r="O54" s="77" t="str">
        <f t="shared" si="0"/>
        <v/>
      </c>
      <c r="P54" s="94"/>
      <c r="Q54" s="94"/>
      <c r="R54" s="343" t="str">
        <f t="shared" si="2"/>
        <v/>
      </c>
      <c r="S54" s="591" t="str">
        <f t="shared" si="3"/>
        <v/>
      </c>
      <c r="T54" s="593" t="str">
        <f>IFERROR(IF(S54="Check Data","Check Data",VLOOKUP(S54,'G-4 Temporal multipliers'!$A$4:$C$37,3,FALSE)),"")</f>
        <v/>
      </c>
      <c r="U54" s="592" t="str">
        <f>IF(F54="","",VLOOKUP(F54,'G-3 Multipliers'!$A$2:$E$130,2,FALSE))</f>
        <v/>
      </c>
      <c r="V54" s="343" t="str">
        <f t="shared" si="4"/>
        <v/>
      </c>
      <c r="W54" s="343" t="str">
        <f>IF(E54="","",IF(AND(V54="Standard difficulty applied",O54&gt;P54),U54,IF(AND(V54="Low Difficulty - only applicable if all habitat created before losses",P54&gt;=O54),"Low",VLOOKUP(F54,'G-3 Multipliers'!$A$2:$E$130,4,FALSE))))</f>
        <v/>
      </c>
      <c r="X54" s="345" t="str">
        <f>IFERROR(IF(E54="","",VLOOKUP(W54, 'G-3 Multipliers'!$P$2:$Q$6,2,FALSE)),””)</f>
        <v/>
      </c>
      <c r="Y54" s="595" t="str">
        <f t="shared" si="5"/>
        <v/>
      </c>
      <c r="Z54" s="355"/>
      <c r="AA54" s="356"/>
      <c r="AE54" s="59" t="str">
        <f t="shared" si="1"/>
        <v/>
      </c>
    </row>
    <row r="55" spans="1:31" x14ac:dyDescent="0.25">
      <c r="A55" s="52" t="str">
        <f>IFERROR(INDEX('G-8 Condition Look up'!$I$4:$I$131,MATCH(F55,'G-8 Condition Look up'!$A$4:$A$131,0)),"")</f>
        <v/>
      </c>
      <c r="C55" s="588" t="str">
        <f>IFERROR(INDEX('G-1 All Habitats'!$AG$3:$AG$15,MATCH(D55,'G-1 All Habitats'!$AF$3:$AF$15,0)),"")</f>
        <v/>
      </c>
      <c r="D55" s="347"/>
      <c r="E55" s="366"/>
      <c r="F55" s="365" t="str">
        <f>IFERROR(INDEX('G-1 All Habitats'!$B$3:$B$130,MATCH(E55,'G-1 All Habitats'!$A$3:$A$130,0)),"")</f>
        <v/>
      </c>
      <c r="G55" s="76"/>
      <c r="H55" s="77" t="str">
        <f>IF(F55="","",VLOOKUP(F55,'G-1 All Habitats'!$B$2:$M$130,10,FALSE))</f>
        <v/>
      </c>
      <c r="I55" s="78" t="str">
        <f>IFERROR(VLOOKUP(H55,'G-1 All Habitats'!$V$3:$W$7,2,FALSE),"")</f>
        <v/>
      </c>
      <c r="J55" s="79"/>
      <c r="K55" s="78" t="str">
        <f>IFERROR(INDEX('G-8 Condition Look up'!$A$3:$H$131,MATCH(F55,'G-8 Condition Look up'!$A$3:$A$131,0),MATCH(J55,'G-8 Condition Look up'!$A$3:$H$3,0)),"")</f>
        <v/>
      </c>
      <c r="L55" s="79"/>
      <c r="M55" s="348" t="str">
        <f>IF(L55="","",IF(VLOOKUP(L55,'G-3 Multipliers'!$L$3:$N$6,2,FALSE)=0,"Spatial Data Missing",VLOOKUP(L55,'G-3 Multipliers'!$L$3:$N$6,2,FALSE)))</f>
        <v/>
      </c>
      <c r="N55" s="569" t="str">
        <f>IF(L55="","",IF(VLOOKUP(L55,'G-3 Multipliers'!$L$3:$N$6,3,FALSE)=0,"Spatial Data Missing",VLOOKUP(L55,'G-3 Multipliers'!$L$3:$N$6,3,FALSE)))</f>
        <v/>
      </c>
      <c r="O55" s="77" t="str">
        <f t="shared" si="0"/>
        <v/>
      </c>
      <c r="P55" s="94"/>
      <c r="Q55" s="94"/>
      <c r="R55" s="343" t="str">
        <f t="shared" si="2"/>
        <v/>
      </c>
      <c r="S55" s="591" t="str">
        <f t="shared" si="3"/>
        <v/>
      </c>
      <c r="T55" s="593" t="str">
        <f>IFERROR(IF(S55="Check Data","Check Data",VLOOKUP(S55,'G-4 Temporal multipliers'!$A$4:$C$37,3,FALSE)),"")</f>
        <v/>
      </c>
      <c r="U55" s="592" t="str">
        <f>IF(F55="","",VLOOKUP(F55,'G-3 Multipliers'!$A$2:$E$130,2,FALSE))</f>
        <v/>
      </c>
      <c r="V55" s="343" t="str">
        <f t="shared" si="4"/>
        <v/>
      </c>
      <c r="W55" s="343" t="str">
        <f>IF(E55="","",IF(AND(V55="Standard difficulty applied",O55&gt;P55),U55,IF(AND(V55="Low Difficulty - only applicable if all habitat created before losses",P55&gt;=O55),"Low",VLOOKUP(F55,'G-3 Multipliers'!$A$2:$E$130,4,FALSE))))</f>
        <v/>
      </c>
      <c r="X55" s="345" t="str">
        <f>IFERROR(IF(E55="","",VLOOKUP(W55, 'G-3 Multipliers'!$P$2:$Q$6,2,FALSE)),””)</f>
        <v/>
      </c>
      <c r="Y55" s="595" t="str">
        <f t="shared" si="5"/>
        <v/>
      </c>
      <c r="Z55" s="355"/>
      <c r="AA55" s="356"/>
      <c r="AE55" s="59" t="str">
        <f t="shared" si="1"/>
        <v/>
      </c>
    </row>
    <row r="56" spans="1:31" x14ac:dyDescent="0.25">
      <c r="A56" s="52" t="str">
        <f>IFERROR(INDEX('G-8 Condition Look up'!$I$4:$I$131,MATCH(F56,'G-8 Condition Look up'!$A$4:$A$131,0)),"")</f>
        <v/>
      </c>
      <c r="C56" s="588" t="str">
        <f>IFERROR(INDEX('G-1 All Habitats'!$AG$3:$AG$15,MATCH(D56,'G-1 All Habitats'!$AF$3:$AF$15,0)),"")</f>
        <v/>
      </c>
      <c r="D56" s="347"/>
      <c r="E56" s="366"/>
      <c r="F56" s="365" t="str">
        <f>IFERROR(INDEX('G-1 All Habitats'!$B$3:$B$130,MATCH(E56,'G-1 All Habitats'!$A$3:$A$130,0)),"")</f>
        <v/>
      </c>
      <c r="G56" s="76"/>
      <c r="H56" s="77" t="str">
        <f>IF(F56="","",VLOOKUP(F56,'G-1 All Habitats'!$B$2:$M$130,10,FALSE))</f>
        <v/>
      </c>
      <c r="I56" s="78" t="str">
        <f>IFERROR(VLOOKUP(H56,'G-1 All Habitats'!$V$3:$W$7,2,FALSE),"")</f>
        <v/>
      </c>
      <c r="J56" s="79"/>
      <c r="K56" s="78" t="str">
        <f>IFERROR(INDEX('G-8 Condition Look up'!$A$3:$H$131,MATCH(F56,'G-8 Condition Look up'!$A$3:$A$131,0),MATCH(J56,'G-8 Condition Look up'!$A$3:$H$3,0)),"")</f>
        <v/>
      </c>
      <c r="L56" s="79"/>
      <c r="M56" s="348" t="str">
        <f>IF(L56="","",IF(VLOOKUP(L56,'G-3 Multipliers'!$L$3:$N$6,2,FALSE)=0,"Spatial Data Missing",VLOOKUP(L56,'G-3 Multipliers'!$L$3:$N$6,2,FALSE)))</f>
        <v/>
      </c>
      <c r="N56" s="569" t="str">
        <f>IF(L56="","",IF(VLOOKUP(L56,'G-3 Multipliers'!$L$3:$N$6,3,FALSE)=0,"Spatial Data Missing",VLOOKUP(L56,'G-3 Multipliers'!$L$3:$N$6,3,FALSE)))</f>
        <v/>
      </c>
      <c r="O56" s="77" t="str">
        <f t="shared" si="0"/>
        <v/>
      </c>
      <c r="P56" s="94"/>
      <c r="Q56" s="94"/>
      <c r="R56" s="343" t="str">
        <f t="shared" si="2"/>
        <v/>
      </c>
      <c r="S56" s="591" t="str">
        <f t="shared" si="3"/>
        <v/>
      </c>
      <c r="T56" s="593" t="str">
        <f>IFERROR(IF(S56="Check Data","Check Data",VLOOKUP(S56,'G-4 Temporal multipliers'!$A$4:$C$37,3,FALSE)),"")</f>
        <v/>
      </c>
      <c r="U56" s="592" t="str">
        <f>IF(F56="","",VLOOKUP(F56,'G-3 Multipliers'!$A$2:$E$130,2,FALSE))</f>
        <v/>
      </c>
      <c r="V56" s="343" t="str">
        <f t="shared" si="4"/>
        <v/>
      </c>
      <c r="W56" s="343" t="str">
        <f>IF(E56="","",IF(AND(V56="Standard difficulty applied",O56&gt;P56),U56,IF(AND(V56="Low Difficulty - only applicable if all habitat created before losses",P56&gt;=O56),"Low",VLOOKUP(F56,'G-3 Multipliers'!$A$2:$E$130,4,FALSE))))</f>
        <v/>
      </c>
      <c r="X56" s="345" t="str">
        <f>IFERROR(IF(E56="","",VLOOKUP(W56, 'G-3 Multipliers'!$P$2:$Q$6,2,FALSE)),””)</f>
        <v/>
      </c>
      <c r="Y56" s="595" t="str">
        <f t="shared" si="5"/>
        <v/>
      </c>
      <c r="Z56" s="355"/>
      <c r="AA56" s="356"/>
      <c r="AE56" s="59" t="str">
        <f t="shared" si="1"/>
        <v/>
      </c>
    </row>
    <row r="57" spans="1:31" x14ac:dyDescent="0.25">
      <c r="A57" s="52" t="str">
        <f>IFERROR(INDEX('G-8 Condition Look up'!$I$4:$I$131,MATCH(F57,'G-8 Condition Look up'!$A$4:$A$131,0)),"")</f>
        <v/>
      </c>
      <c r="C57" s="588" t="str">
        <f>IFERROR(INDEX('G-1 All Habitats'!$AG$3:$AG$15,MATCH(D57,'G-1 All Habitats'!$AF$3:$AF$15,0)),"")</f>
        <v/>
      </c>
      <c r="D57" s="347"/>
      <c r="E57" s="366"/>
      <c r="F57" s="365" t="str">
        <f>IFERROR(INDEX('G-1 All Habitats'!$B$3:$B$130,MATCH(E57,'G-1 All Habitats'!$A$3:$A$130,0)),"")</f>
        <v/>
      </c>
      <c r="G57" s="76"/>
      <c r="H57" s="77" t="str">
        <f>IF(F57="","",VLOOKUP(F57,'G-1 All Habitats'!$B$2:$M$130,10,FALSE))</f>
        <v/>
      </c>
      <c r="I57" s="78" t="str">
        <f>IFERROR(VLOOKUP(H57,'G-1 All Habitats'!$V$3:$W$7,2,FALSE),"")</f>
        <v/>
      </c>
      <c r="J57" s="79"/>
      <c r="K57" s="78" t="str">
        <f>IFERROR(INDEX('G-8 Condition Look up'!$A$3:$H$131,MATCH(F57,'G-8 Condition Look up'!$A$3:$A$131,0),MATCH(J57,'G-8 Condition Look up'!$A$3:$H$3,0)),"")</f>
        <v/>
      </c>
      <c r="L57" s="79"/>
      <c r="M57" s="348" t="str">
        <f>IF(L57="","",IF(VLOOKUP(L57,'G-3 Multipliers'!$L$3:$N$6,2,FALSE)=0,"Spatial Data Missing",VLOOKUP(L57,'G-3 Multipliers'!$L$3:$N$6,2,FALSE)))</f>
        <v/>
      </c>
      <c r="N57" s="569" t="str">
        <f>IF(L57="","",IF(VLOOKUP(L57,'G-3 Multipliers'!$L$3:$N$6,3,FALSE)=0,"Spatial Data Missing",VLOOKUP(L57,'G-3 Multipliers'!$L$3:$N$6,3,FALSE)))</f>
        <v/>
      </c>
      <c r="O57" s="77" t="str">
        <f t="shared" si="0"/>
        <v/>
      </c>
      <c r="P57" s="94"/>
      <c r="Q57" s="94"/>
      <c r="R57" s="343" t="str">
        <f t="shared" si="2"/>
        <v/>
      </c>
      <c r="S57" s="591" t="str">
        <f t="shared" si="3"/>
        <v/>
      </c>
      <c r="T57" s="593" t="str">
        <f>IFERROR(IF(S57="Check Data","Check Data",VLOOKUP(S57,'G-4 Temporal multipliers'!$A$4:$C$37,3,FALSE)),"")</f>
        <v/>
      </c>
      <c r="U57" s="592" t="str">
        <f>IF(F57="","",VLOOKUP(F57,'G-3 Multipliers'!$A$2:$E$130,2,FALSE))</f>
        <v/>
      </c>
      <c r="V57" s="343" t="str">
        <f t="shared" si="4"/>
        <v/>
      </c>
      <c r="W57" s="343" t="str">
        <f>IF(E57="","",IF(AND(V57="Standard difficulty applied",O57&gt;P57),U57,IF(AND(V57="Low Difficulty - only applicable if all habitat created before losses",P57&gt;=O57),"Low",VLOOKUP(F57,'G-3 Multipliers'!$A$2:$E$130,4,FALSE))))</f>
        <v/>
      </c>
      <c r="X57" s="345" t="str">
        <f>IFERROR(IF(E57="","",VLOOKUP(W57, 'G-3 Multipliers'!$P$2:$Q$6,2,FALSE)),””)</f>
        <v/>
      </c>
      <c r="Y57" s="595" t="str">
        <f t="shared" si="5"/>
        <v/>
      </c>
      <c r="Z57" s="355"/>
      <c r="AA57" s="356"/>
      <c r="AE57" s="59" t="str">
        <f t="shared" si="1"/>
        <v/>
      </c>
    </row>
    <row r="58" spans="1:31" x14ac:dyDescent="0.25">
      <c r="A58" s="52" t="str">
        <f>IFERROR(INDEX('G-8 Condition Look up'!$I$4:$I$131,MATCH(F58,'G-8 Condition Look up'!$A$4:$A$131,0)),"")</f>
        <v/>
      </c>
      <c r="C58" s="588" t="str">
        <f>IFERROR(INDEX('G-1 All Habitats'!$AG$3:$AG$15,MATCH(D58,'G-1 All Habitats'!$AF$3:$AF$15,0)),"")</f>
        <v/>
      </c>
      <c r="D58" s="347"/>
      <c r="E58" s="366"/>
      <c r="F58" s="365" t="str">
        <f>IFERROR(INDEX('G-1 All Habitats'!$B$3:$B$130,MATCH(E58,'G-1 All Habitats'!$A$3:$A$130,0)),"")</f>
        <v/>
      </c>
      <c r="G58" s="76"/>
      <c r="H58" s="77" t="str">
        <f>IF(F58="","",VLOOKUP(F58,'G-1 All Habitats'!$B$2:$M$130,10,FALSE))</f>
        <v/>
      </c>
      <c r="I58" s="78" t="str">
        <f>IFERROR(VLOOKUP(H58,'G-1 All Habitats'!$V$3:$W$7,2,FALSE),"")</f>
        <v/>
      </c>
      <c r="J58" s="79"/>
      <c r="K58" s="78" t="str">
        <f>IFERROR(INDEX('G-8 Condition Look up'!$A$3:$H$131,MATCH(F58,'G-8 Condition Look up'!$A$3:$A$131,0),MATCH(J58,'G-8 Condition Look up'!$A$3:$H$3,0)),"")</f>
        <v/>
      </c>
      <c r="L58" s="79"/>
      <c r="M58" s="348" t="str">
        <f>IF(L58="","",IF(VLOOKUP(L58,'G-3 Multipliers'!$L$3:$N$6,2,FALSE)=0,"Spatial Data Missing",VLOOKUP(L58,'G-3 Multipliers'!$L$3:$N$6,2,FALSE)))</f>
        <v/>
      </c>
      <c r="N58" s="569" t="str">
        <f>IF(L58="","",IF(VLOOKUP(L58,'G-3 Multipliers'!$L$3:$N$6,3,FALSE)=0,"Spatial Data Missing",VLOOKUP(L58,'G-3 Multipliers'!$L$3:$N$6,3,FALSE)))</f>
        <v/>
      </c>
      <c r="O58" s="77" t="str">
        <f t="shared" si="0"/>
        <v/>
      </c>
      <c r="P58" s="94"/>
      <c r="Q58" s="94"/>
      <c r="R58" s="343" t="str">
        <f t="shared" si="2"/>
        <v/>
      </c>
      <c r="S58" s="591" t="str">
        <f t="shared" si="3"/>
        <v/>
      </c>
      <c r="T58" s="593" t="str">
        <f>IFERROR(IF(S58="Check Data","Check Data",VLOOKUP(S58,'G-4 Temporal multipliers'!$A$4:$C$37,3,FALSE)),"")</f>
        <v/>
      </c>
      <c r="U58" s="592" t="str">
        <f>IF(F58="","",VLOOKUP(F58,'G-3 Multipliers'!$A$2:$E$130,2,FALSE))</f>
        <v/>
      </c>
      <c r="V58" s="343" t="str">
        <f t="shared" si="4"/>
        <v/>
      </c>
      <c r="W58" s="343" t="str">
        <f>IF(E58="","",IF(AND(V58="Standard difficulty applied",O58&gt;P58),U58,IF(AND(V58="Low Difficulty - only applicable if all habitat created before losses",P58&gt;=O58),"Low",VLOOKUP(F58,'G-3 Multipliers'!$A$2:$E$130,4,FALSE))))</f>
        <v/>
      </c>
      <c r="X58" s="345" t="str">
        <f>IFERROR(IF(E58="","",VLOOKUP(W58, 'G-3 Multipliers'!$P$2:$Q$6,2,FALSE)),””)</f>
        <v/>
      </c>
      <c r="Y58" s="595" t="str">
        <f t="shared" si="5"/>
        <v/>
      </c>
      <c r="Z58" s="355"/>
      <c r="AA58" s="356"/>
      <c r="AE58" s="59" t="str">
        <f t="shared" si="1"/>
        <v/>
      </c>
    </row>
    <row r="59" spans="1:31" x14ac:dyDescent="0.25">
      <c r="A59" s="52" t="str">
        <f>IFERROR(INDEX('G-8 Condition Look up'!$I$4:$I$131,MATCH(F59,'G-8 Condition Look up'!$A$4:$A$131,0)),"")</f>
        <v/>
      </c>
      <c r="C59" s="588" t="str">
        <f>IFERROR(INDEX('G-1 All Habitats'!$AG$3:$AG$15,MATCH(D59,'G-1 All Habitats'!$AF$3:$AF$15,0)),"")</f>
        <v/>
      </c>
      <c r="D59" s="347"/>
      <c r="E59" s="366"/>
      <c r="F59" s="365" t="str">
        <f>IFERROR(INDEX('G-1 All Habitats'!$B$3:$B$130,MATCH(E59,'G-1 All Habitats'!$A$3:$A$130,0)),"")</f>
        <v/>
      </c>
      <c r="G59" s="76"/>
      <c r="H59" s="77" t="str">
        <f>IF(F59="","",VLOOKUP(F59,'G-1 All Habitats'!$B$2:$M$130,10,FALSE))</f>
        <v/>
      </c>
      <c r="I59" s="78" t="str">
        <f>IFERROR(VLOOKUP(H59,'G-1 All Habitats'!$V$3:$W$7,2,FALSE),"")</f>
        <v/>
      </c>
      <c r="J59" s="79"/>
      <c r="K59" s="78" t="str">
        <f>IFERROR(INDEX('G-8 Condition Look up'!$A$3:$H$131,MATCH(F59,'G-8 Condition Look up'!$A$3:$A$131,0),MATCH(J59,'G-8 Condition Look up'!$A$3:$H$3,0)),"")</f>
        <v/>
      </c>
      <c r="L59" s="79"/>
      <c r="M59" s="348" t="str">
        <f>IF(L59="","",IF(VLOOKUP(L59,'G-3 Multipliers'!$L$3:$N$6,2,FALSE)=0,"Spatial Data Missing",VLOOKUP(L59,'G-3 Multipliers'!$L$3:$N$6,2,FALSE)))</f>
        <v/>
      </c>
      <c r="N59" s="569" t="str">
        <f>IF(L59="","",IF(VLOOKUP(L59,'G-3 Multipliers'!$L$3:$N$6,3,FALSE)=0,"Spatial Data Missing",VLOOKUP(L59,'G-3 Multipliers'!$L$3:$N$6,3,FALSE)))</f>
        <v/>
      </c>
      <c r="O59" s="77" t="str">
        <f t="shared" si="0"/>
        <v/>
      </c>
      <c r="P59" s="94"/>
      <c r="Q59" s="94"/>
      <c r="R59" s="343" t="str">
        <f t="shared" si="2"/>
        <v/>
      </c>
      <c r="S59" s="591" t="str">
        <f t="shared" si="3"/>
        <v/>
      </c>
      <c r="T59" s="593" t="str">
        <f>IFERROR(IF(S59="Check Data","Check Data",VLOOKUP(S59,'G-4 Temporal multipliers'!$A$4:$C$37,3,FALSE)),"")</f>
        <v/>
      </c>
      <c r="U59" s="592" t="str">
        <f>IF(F59="","",VLOOKUP(F59,'G-3 Multipliers'!$A$2:$E$130,2,FALSE))</f>
        <v/>
      </c>
      <c r="V59" s="343" t="str">
        <f t="shared" si="4"/>
        <v/>
      </c>
      <c r="W59" s="343" t="str">
        <f>IF(E59="","",IF(AND(V59="Standard difficulty applied",O59&gt;P59),U59,IF(AND(V59="Low Difficulty - only applicable if all habitat created before losses",P59&gt;=O59),"Low",VLOOKUP(F59,'G-3 Multipliers'!$A$2:$E$130,4,FALSE))))</f>
        <v/>
      </c>
      <c r="X59" s="345" t="str">
        <f>IFERROR(IF(E59="","",VLOOKUP(W59, 'G-3 Multipliers'!$P$2:$Q$6,2,FALSE)),””)</f>
        <v/>
      </c>
      <c r="Y59" s="595" t="str">
        <f t="shared" si="5"/>
        <v/>
      </c>
      <c r="Z59" s="355"/>
      <c r="AA59" s="356"/>
      <c r="AE59" s="59" t="str">
        <f t="shared" si="1"/>
        <v/>
      </c>
    </row>
    <row r="60" spans="1:31" x14ac:dyDescent="0.25">
      <c r="A60" s="52" t="str">
        <f>IFERROR(INDEX('G-8 Condition Look up'!$I$4:$I$131,MATCH(F60,'G-8 Condition Look up'!$A$4:$A$131,0)),"")</f>
        <v/>
      </c>
      <c r="C60" s="588" t="str">
        <f>IFERROR(INDEX('G-1 All Habitats'!$AG$3:$AG$15,MATCH(D60,'G-1 All Habitats'!$AF$3:$AF$15,0)),"")</f>
        <v/>
      </c>
      <c r="D60" s="347"/>
      <c r="E60" s="366"/>
      <c r="F60" s="365" t="str">
        <f>IFERROR(INDEX('G-1 All Habitats'!$B$3:$B$130,MATCH(E60,'G-1 All Habitats'!$A$3:$A$130,0)),"")</f>
        <v/>
      </c>
      <c r="G60" s="76"/>
      <c r="H60" s="77" t="str">
        <f>IF(F60="","",VLOOKUP(F60,'G-1 All Habitats'!$B$2:$M$130,10,FALSE))</f>
        <v/>
      </c>
      <c r="I60" s="78" t="str">
        <f>IFERROR(VLOOKUP(H60,'G-1 All Habitats'!$V$3:$W$7,2,FALSE),"")</f>
        <v/>
      </c>
      <c r="J60" s="79"/>
      <c r="K60" s="78" t="str">
        <f>IFERROR(INDEX('G-8 Condition Look up'!$A$3:$H$131,MATCH(F60,'G-8 Condition Look up'!$A$3:$A$131,0),MATCH(J60,'G-8 Condition Look up'!$A$3:$H$3,0)),"")</f>
        <v/>
      </c>
      <c r="L60" s="79"/>
      <c r="M60" s="348" t="str">
        <f>IF(L60="","",IF(VLOOKUP(L60,'G-3 Multipliers'!$L$3:$N$6,2,FALSE)=0,"Spatial Data Missing",VLOOKUP(L60,'G-3 Multipliers'!$L$3:$N$6,2,FALSE)))</f>
        <v/>
      </c>
      <c r="N60" s="569" t="str">
        <f>IF(L60="","",IF(VLOOKUP(L60,'G-3 Multipliers'!$L$3:$N$6,3,FALSE)=0,"Spatial Data Missing",VLOOKUP(L60,'G-3 Multipliers'!$L$3:$N$6,3,FALSE)))</f>
        <v/>
      </c>
      <c r="O60" s="77" t="str">
        <f t="shared" si="0"/>
        <v/>
      </c>
      <c r="P60" s="94"/>
      <c r="Q60" s="94"/>
      <c r="R60" s="343" t="str">
        <f t="shared" si="2"/>
        <v/>
      </c>
      <c r="S60" s="591" t="str">
        <f t="shared" si="3"/>
        <v/>
      </c>
      <c r="T60" s="593" t="str">
        <f>IFERROR(IF(S60="Check Data","Check Data",VLOOKUP(S60,'G-4 Temporal multipliers'!$A$4:$C$37,3,FALSE)),"")</f>
        <v/>
      </c>
      <c r="U60" s="592" t="str">
        <f>IF(F60="","",VLOOKUP(F60,'G-3 Multipliers'!$A$2:$E$130,2,FALSE))</f>
        <v/>
      </c>
      <c r="V60" s="343" t="str">
        <f t="shared" si="4"/>
        <v/>
      </c>
      <c r="W60" s="343" t="str">
        <f>IF(E60="","",IF(AND(V60="Standard difficulty applied",O60&gt;P60),U60,IF(AND(V60="Low Difficulty - only applicable if all habitat created before losses",P60&gt;=O60),"Low",VLOOKUP(F60,'G-3 Multipliers'!$A$2:$E$130,4,FALSE))))</f>
        <v/>
      </c>
      <c r="X60" s="345" t="str">
        <f>IFERROR(IF(E60="","",VLOOKUP(W60, 'G-3 Multipliers'!$P$2:$Q$6,2,FALSE)),””)</f>
        <v/>
      </c>
      <c r="Y60" s="595" t="str">
        <f t="shared" si="5"/>
        <v/>
      </c>
      <c r="Z60" s="355"/>
      <c r="AA60" s="356"/>
      <c r="AE60" s="59" t="str">
        <f t="shared" si="1"/>
        <v/>
      </c>
    </row>
    <row r="61" spans="1:31" x14ac:dyDescent="0.25">
      <c r="A61" s="52" t="str">
        <f>IFERROR(INDEX('G-8 Condition Look up'!$I$4:$I$131,MATCH(F61,'G-8 Condition Look up'!$A$4:$A$131,0)),"")</f>
        <v/>
      </c>
      <c r="C61" s="588" t="str">
        <f>IFERROR(INDEX('G-1 All Habitats'!$AG$3:$AG$15,MATCH(D61,'G-1 All Habitats'!$AF$3:$AF$15,0)),"")</f>
        <v/>
      </c>
      <c r="D61" s="347"/>
      <c r="E61" s="366"/>
      <c r="F61" s="365" t="str">
        <f>IFERROR(INDEX('G-1 All Habitats'!$B$3:$B$130,MATCH(E61,'G-1 All Habitats'!$A$3:$A$130,0)),"")</f>
        <v/>
      </c>
      <c r="G61" s="76"/>
      <c r="H61" s="77" t="str">
        <f>IF(F61="","",VLOOKUP(F61,'G-1 All Habitats'!$B$2:$M$130,10,FALSE))</f>
        <v/>
      </c>
      <c r="I61" s="78" t="str">
        <f>IFERROR(VLOOKUP(H61,'G-1 All Habitats'!$V$3:$W$7,2,FALSE),"")</f>
        <v/>
      </c>
      <c r="J61" s="79"/>
      <c r="K61" s="78" t="str">
        <f>IFERROR(INDEX('G-8 Condition Look up'!$A$3:$H$131,MATCH(F61,'G-8 Condition Look up'!$A$3:$A$131,0),MATCH(J61,'G-8 Condition Look up'!$A$3:$H$3,0)),"")</f>
        <v/>
      </c>
      <c r="L61" s="79"/>
      <c r="M61" s="348" t="str">
        <f>IF(L61="","",IF(VLOOKUP(L61,'G-3 Multipliers'!$L$3:$N$6,2,FALSE)=0,"Spatial Data Missing",VLOOKUP(L61,'G-3 Multipliers'!$L$3:$N$6,2,FALSE)))</f>
        <v/>
      </c>
      <c r="N61" s="569" t="str">
        <f>IF(L61="","",IF(VLOOKUP(L61,'G-3 Multipliers'!$L$3:$N$6,3,FALSE)=0,"Spatial Data Missing",VLOOKUP(L61,'G-3 Multipliers'!$L$3:$N$6,3,FALSE)))</f>
        <v/>
      </c>
      <c r="O61" s="77" t="str">
        <f t="shared" si="0"/>
        <v/>
      </c>
      <c r="P61" s="94"/>
      <c r="Q61" s="94"/>
      <c r="R61" s="343" t="str">
        <f t="shared" si="2"/>
        <v/>
      </c>
      <c r="S61" s="591" t="str">
        <f t="shared" si="3"/>
        <v/>
      </c>
      <c r="T61" s="593" t="str">
        <f>IFERROR(IF(S61="Check Data","Check Data",VLOOKUP(S61,'G-4 Temporal multipliers'!$A$4:$C$37,3,FALSE)),"")</f>
        <v/>
      </c>
      <c r="U61" s="592" t="str">
        <f>IF(F61="","",VLOOKUP(F61,'G-3 Multipliers'!$A$2:$E$130,2,FALSE))</f>
        <v/>
      </c>
      <c r="V61" s="343" t="str">
        <f t="shared" si="4"/>
        <v/>
      </c>
      <c r="W61" s="343" t="str">
        <f>IF(E61="","",IF(AND(V61="Standard difficulty applied",O61&gt;P61),U61,IF(AND(V61="Low Difficulty - only applicable if all habitat created before losses",P61&gt;=O61),"Low",VLOOKUP(F61,'G-3 Multipliers'!$A$2:$E$130,4,FALSE))))</f>
        <v/>
      </c>
      <c r="X61" s="345" t="str">
        <f>IFERROR(IF(E61="","",VLOOKUP(W61, 'G-3 Multipliers'!$P$2:$Q$6,2,FALSE)),””)</f>
        <v/>
      </c>
      <c r="Y61" s="595" t="str">
        <f t="shared" si="5"/>
        <v/>
      </c>
      <c r="Z61" s="355"/>
      <c r="AA61" s="356"/>
      <c r="AE61" s="59" t="str">
        <f t="shared" si="1"/>
        <v/>
      </c>
    </row>
    <row r="62" spans="1:31" x14ac:dyDescent="0.25">
      <c r="A62" s="52" t="str">
        <f>IFERROR(INDEX('G-8 Condition Look up'!$I$4:$I$131,MATCH(F62,'G-8 Condition Look up'!$A$4:$A$131,0)),"")</f>
        <v/>
      </c>
      <c r="C62" s="588" t="str">
        <f>IFERROR(INDEX('G-1 All Habitats'!$AG$3:$AG$15,MATCH(D62,'G-1 All Habitats'!$AF$3:$AF$15,0)),"")</f>
        <v/>
      </c>
      <c r="D62" s="347"/>
      <c r="E62" s="366"/>
      <c r="F62" s="365" t="str">
        <f>IFERROR(INDEX('G-1 All Habitats'!$B$3:$B$130,MATCH(E62,'G-1 All Habitats'!$A$3:$A$130,0)),"")</f>
        <v/>
      </c>
      <c r="G62" s="76"/>
      <c r="H62" s="77" t="str">
        <f>IF(F62="","",VLOOKUP(F62,'G-1 All Habitats'!$B$2:$M$130,10,FALSE))</f>
        <v/>
      </c>
      <c r="I62" s="78" t="str">
        <f>IFERROR(VLOOKUP(H62,'G-1 All Habitats'!$V$3:$W$7,2,FALSE),"")</f>
        <v/>
      </c>
      <c r="J62" s="79"/>
      <c r="K62" s="78" t="str">
        <f>IFERROR(INDEX('G-8 Condition Look up'!$A$3:$H$131,MATCH(F62,'G-8 Condition Look up'!$A$3:$A$131,0),MATCH(J62,'G-8 Condition Look up'!$A$3:$H$3,0)),"")</f>
        <v/>
      </c>
      <c r="L62" s="79"/>
      <c r="M62" s="348" t="str">
        <f>IF(L62="","",IF(VLOOKUP(L62,'G-3 Multipliers'!$L$3:$N$6,2,FALSE)=0,"Spatial Data Missing",VLOOKUP(L62,'G-3 Multipliers'!$L$3:$N$6,2,FALSE)))</f>
        <v/>
      </c>
      <c r="N62" s="569" t="str">
        <f>IF(L62="","",IF(VLOOKUP(L62,'G-3 Multipliers'!$L$3:$N$6,3,FALSE)=0,"Spatial Data Missing",VLOOKUP(L62,'G-3 Multipliers'!$L$3:$N$6,3,FALSE)))</f>
        <v/>
      </c>
      <c r="O62" s="77" t="str">
        <f t="shared" si="0"/>
        <v/>
      </c>
      <c r="P62" s="94"/>
      <c r="Q62" s="94"/>
      <c r="R62" s="343" t="str">
        <f t="shared" si="2"/>
        <v/>
      </c>
      <c r="S62" s="591" t="str">
        <f t="shared" si="3"/>
        <v/>
      </c>
      <c r="T62" s="593" t="str">
        <f>IFERROR(IF(S62="Check Data","Check Data",VLOOKUP(S62,'G-4 Temporal multipliers'!$A$4:$C$37,3,FALSE)),"")</f>
        <v/>
      </c>
      <c r="U62" s="592" t="str">
        <f>IF(F62="","",VLOOKUP(F62,'G-3 Multipliers'!$A$2:$E$130,2,FALSE))</f>
        <v/>
      </c>
      <c r="V62" s="343" t="str">
        <f t="shared" si="4"/>
        <v/>
      </c>
      <c r="W62" s="343" t="str">
        <f>IF(E62="","",IF(AND(V62="Standard difficulty applied",O62&gt;P62),U62,IF(AND(V62="Low Difficulty - only applicable if all habitat created before losses",P62&gt;=O62),"Low",VLOOKUP(F62,'G-3 Multipliers'!$A$2:$E$130,4,FALSE))))</f>
        <v/>
      </c>
      <c r="X62" s="345" t="str">
        <f>IFERROR(IF(E62="","",VLOOKUP(W62, 'G-3 Multipliers'!$P$2:$Q$6,2,FALSE)),””)</f>
        <v/>
      </c>
      <c r="Y62" s="595" t="str">
        <f t="shared" si="5"/>
        <v/>
      </c>
      <c r="Z62" s="355"/>
      <c r="AA62" s="356"/>
      <c r="AE62" s="59" t="str">
        <f t="shared" si="1"/>
        <v/>
      </c>
    </row>
    <row r="63" spans="1:31" x14ac:dyDescent="0.25">
      <c r="A63" s="52" t="str">
        <f>IFERROR(INDEX('G-8 Condition Look up'!$I$4:$I$131,MATCH(F63,'G-8 Condition Look up'!$A$4:$A$131,0)),"")</f>
        <v/>
      </c>
      <c r="C63" s="588" t="str">
        <f>IFERROR(INDEX('G-1 All Habitats'!$AG$3:$AG$15,MATCH(D63,'G-1 All Habitats'!$AF$3:$AF$15,0)),"")</f>
        <v/>
      </c>
      <c r="D63" s="347"/>
      <c r="E63" s="366"/>
      <c r="F63" s="365" t="str">
        <f>IFERROR(INDEX('G-1 All Habitats'!$B$3:$B$130,MATCH(E63,'G-1 All Habitats'!$A$3:$A$130,0)),"")</f>
        <v/>
      </c>
      <c r="G63" s="76"/>
      <c r="H63" s="77" t="str">
        <f>IF(F63="","",VLOOKUP(F63,'G-1 All Habitats'!$B$2:$M$130,10,FALSE))</f>
        <v/>
      </c>
      <c r="I63" s="78" t="str">
        <f>IFERROR(VLOOKUP(H63,'G-1 All Habitats'!$V$3:$W$7,2,FALSE),"")</f>
        <v/>
      </c>
      <c r="J63" s="79"/>
      <c r="K63" s="78" t="str">
        <f>IFERROR(INDEX('G-8 Condition Look up'!$A$3:$H$131,MATCH(F63,'G-8 Condition Look up'!$A$3:$A$131,0),MATCH(J63,'G-8 Condition Look up'!$A$3:$H$3,0)),"")</f>
        <v/>
      </c>
      <c r="L63" s="79"/>
      <c r="M63" s="348" t="str">
        <f>IF(L63="","",IF(VLOOKUP(L63,'G-3 Multipliers'!$L$3:$N$6,2,FALSE)=0,"Spatial Data Missing",VLOOKUP(L63,'G-3 Multipliers'!$L$3:$N$6,2,FALSE)))</f>
        <v/>
      </c>
      <c r="N63" s="569" t="str">
        <f>IF(L63="","",IF(VLOOKUP(L63,'G-3 Multipliers'!$L$3:$N$6,3,FALSE)=0,"Spatial Data Missing",VLOOKUP(L63,'G-3 Multipliers'!$L$3:$N$6,3,FALSE)))</f>
        <v/>
      </c>
      <c r="O63" s="77" t="str">
        <f t="shared" si="0"/>
        <v/>
      </c>
      <c r="P63" s="94"/>
      <c r="Q63" s="94"/>
      <c r="R63" s="343" t="str">
        <f t="shared" si="2"/>
        <v/>
      </c>
      <c r="S63" s="591" t="str">
        <f t="shared" si="3"/>
        <v/>
      </c>
      <c r="T63" s="593" t="str">
        <f>IFERROR(IF(S63="Check Data","Check Data",VLOOKUP(S63,'G-4 Temporal multipliers'!$A$4:$C$37,3,FALSE)),"")</f>
        <v/>
      </c>
      <c r="U63" s="592" t="str">
        <f>IF(F63="","",VLOOKUP(F63,'G-3 Multipliers'!$A$2:$E$130,2,FALSE))</f>
        <v/>
      </c>
      <c r="V63" s="343" t="str">
        <f t="shared" si="4"/>
        <v/>
      </c>
      <c r="W63" s="343" t="str">
        <f>IF(E63="","",IF(AND(V63="Standard difficulty applied",O63&gt;P63),U63,IF(AND(V63="Low Difficulty - only applicable if all habitat created before losses",P63&gt;=O63),"Low",VLOOKUP(F63,'G-3 Multipliers'!$A$2:$E$130,4,FALSE))))</f>
        <v/>
      </c>
      <c r="X63" s="345" t="str">
        <f>IFERROR(IF(E63="","",VLOOKUP(W63, 'G-3 Multipliers'!$P$2:$Q$6,2,FALSE)),””)</f>
        <v/>
      </c>
      <c r="Y63" s="595" t="str">
        <f t="shared" si="5"/>
        <v/>
      </c>
      <c r="Z63" s="355"/>
      <c r="AA63" s="356"/>
      <c r="AE63" s="59" t="str">
        <f t="shared" si="1"/>
        <v/>
      </c>
    </row>
    <row r="64" spans="1:31" x14ac:dyDescent="0.25">
      <c r="A64" s="52" t="str">
        <f>IFERROR(INDEX('G-8 Condition Look up'!$I$4:$I$131,MATCH(F64,'G-8 Condition Look up'!$A$4:$A$131,0)),"")</f>
        <v/>
      </c>
      <c r="C64" s="588" t="str">
        <f>IFERROR(INDEX('G-1 All Habitats'!$AG$3:$AG$15,MATCH(D64,'G-1 All Habitats'!$AF$3:$AF$15,0)),"")</f>
        <v/>
      </c>
      <c r="D64" s="347"/>
      <c r="E64" s="366"/>
      <c r="F64" s="365" t="str">
        <f>IFERROR(INDEX('G-1 All Habitats'!$B$3:$B$130,MATCH(E64,'G-1 All Habitats'!$A$3:$A$130,0)),"")</f>
        <v/>
      </c>
      <c r="G64" s="76"/>
      <c r="H64" s="77" t="str">
        <f>IF(F64="","",VLOOKUP(F64,'G-1 All Habitats'!$B$2:$M$130,10,FALSE))</f>
        <v/>
      </c>
      <c r="I64" s="78" t="str">
        <f>IFERROR(VLOOKUP(H64,'G-1 All Habitats'!$V$3:$W$7,2,FALSE),"")</f>
        <v/>
      </c>
      <c r="J64" s="79"/>
      <c r="K64" s="78" t="str">
        <f>IFERROR(INDEX('G-8 Condition Look up'!$A$3:$H$131,MATCH(F64,'G-8 Condition Look up'!$A$3:$A$131,0),MATCH(J64,'G-8 Condition Look up'!$A$3:$H$3,0)),"")</f>
        <v/>
      </c>
      <c r="L64" s="79"/>
      <c r="M64" s="348" t="str">
        <f>IF(L64="","",IF(VLOOKUP(L64,'G-3 Multipliers'!$L$3:$N$6,2,FALSE)=0,"Spatial Data Missing",VLOOKUP(L64,'G-3 Multipliers'!$L$3:$N$6,2,FALSE)))</f>
        <v/>
      </c>
      <c r="N64" s="569" t="str">
        <f>IF(L64="","",IF(VLOOKUP(L64,'G-3 Multipliers'!$L$3:$N$6,3,FALSE)=0,"Spatial Data Missing",VLOOKUP(L64,'G-3 Multipliers'!$L$3:$N$6,3,FALSE)))</f>
        <v/>
      </c>
      <c r="O64" s="77" t="str">
        <f t="shared" si="0"/>
        <v/>
      </c>
      <c r="P64" s="94"/>
      <c r="Q64" s="94"/>
      <c r="R64" s="343" t="str">
        <f t="shared" si="2"/>
        <v/>
      </c>
      <c r="S64" s="591" t="str">
        <f t="shared" si="3"/>
        <v/>
      </c>
      <c r="T64" s="593" t="str">
        <f>IFERROR(IF(S64="Check Data","Check Data",VLOOKUP(S64,'G-4 Temporal multipliers'!$A$4:$C$37,3,FALSE)),"")</f>
        <v/>
      </c>
      <c r="U64" s="592" t="str">
        <f>IF(F64="","",VLOOKUP(F64,'G-3 Multipliers'!$A$2:$E$130,2,FALSE))</f>
        <v/>
      </c>
      <c r="V64" s="343" t="str">
        <f t="shared" si="4"/>
        <v/>
      </c>
      <c r="W64" s="343" t="str">
        <f>IF(E64="","",IF(AND(V64="Standard difficulty applied",O64&gt;P64),U64,IF(AND(V64="Low Difficulty - only applicable if all habitat created before losses",P64&gt;=O64),"Low",VLOOKUP(F64,'G-3 Multipliers'!$A$2:$E$130,4,FALSE))))</f>
        <v/>
      </c>
      <c r="X64" s="345" t="str">
        <f>IFERROR(IF(E64="","",VLOOKUP(W64, 'G-3 Multipliers'!$P$2:$Q$6,2,FALSE)),””)</f>
        <v/>
      </c>
      <c r="Y64" s="595" t="str">
        <f t="shared" si="5"/>
        <v/>
      </c>
      <c r="Z64" s="355"/>
      <c r="AA64" s="356"/>
      <c r="AE64" s="59" t="str">
        <f t="shared" si="1"/>
        <v/>
      </c>
    </row>
    <row r="65" spans="1:31" x14ac:dyDescent="0.25">
      <c r="A65" s="52" t="str">
        <f>IFERROR(INDEX('G-8 Condition Look up'!$I$4:$I$131,MATCH(F65,'G-8 Condition Look up'!$A$4:$A$131,0)),"")</f>
        <v/>
      </c>
      <c r="C65" s="588" t="str">
        <f>IFERROR(INDEX('G-1 All Habitats'!$AG$3:$AG$15,MATCH(D65,'G-1 All Habitats'!$AF$3:$AF$15,0)),"")</f>
        <v/>
      </c>
      <c r="D65" s="347"/>
      <c r="E65" s="366"/>
      <c r="F65" s="365" t="str">
        <f>IFERROR(INDEX('G-1 All Habitats'!$B$3:$B$130,MATCH(E65,'G-1 All Habitats'!$A$3:$A$130,0)),"")</f>
        <v/>
      </c>
      <c r="G65" s="76"/>
      <c r="H65" s="77" t="str">
        <f>IF(F65="","",VLOOKUP(F65,'G-1 All Habitats'!$B$2:$M$130,10,FALSE))</f>
        <v/>
      </c>
      <c r="I65" s="78" t="str">
        <f>IFERROR(VLOOKUP(H65,'G-1 All Habitats'!$V$3:$W$7,2,FALSE),"")</f>
        <v/>
      </c>
      <c r="J65" s="79"/>
      <c r="K65" s="78" t="str">
        <f>IFERROR(INDEX('G-8 Condition Look up'!$A$3:$H$131,MATCH(F65,'G-8 Condition Look up'!$A$3:$A$131,0),MATCH(J65,'G-8 Condition Look up'!$A$3:$H$3,0)),"")</f>
        <v/>
      </c>
      <c r="L65" s="79"/>
      <c r="M65" s="348" t="str">
        <f>IF(L65="","",IF(VLOOKUP(L65,'G-3 Multipliers'!$L$3:$N$6,2,FALSE)=0,"Spatial Data Missing",VLOOKUP(L65,'G-3 Multipliers'!$L$3:$N$6,2,FALSE)))</f>
        <v/>
      </c>
      <c r="N65" s="569" t="str">
        <f>IF(L65="","",IF(VLOOKUP(L65,'G-3 Multipliers'!$L$3:$N$6,3,FALSE)=0,"Spatial Data Missing",VLOOKUP(L65,'G-3 Multipliers'!$L$3:$N$6,3,FALSE)))</f>
        <v/>
      </c>
      <c r="O65" s="77" t="str">
        <f t="shared" si="0"/>
        <v/>
      </c>
      <c r="P65" s="94"/>
      <c r="Q65" s="94"/>
      <c r="R65" s="343" t="str">
        <f t="shared" si="2"/>
        <v/>
      </c>
      <c r="S65" s="591" t="str">
        <f t="shared" si="3"/>
        <v/>
      </c>
      <c r="T65" s="593" t="str">
        <f>IFERROR(IF(S65="Check Data","Check Data",VLOOKUP(S65,'G-4 Temporal multipliers'!$A$4:$C$37,3,FALSE)),"")</f>
        <v/>
      </c>
      <c r="U65" s="592" t="str">
        <f>IF(F65="","",VLOOKUP(F65,'G-3 Multipliers'!$A$2:$E$130,2,FALSE))</f>
        <v/>
      </c>
      <c r="V65" s="343" t="str">
        <f t="shared" si="4"/>
        <v/>
      </c>
      <c r="W65" s="343" t="str">
        <f>IF(E65="","",IF(AND(V65="Standard difficulty applied",O65&gt;P65),U65,IF(AND(V65="Low Difficulty - only applicable if all habitat created before losses",P65&gt;=O65),"Low",VLOOKUP(F65,'G-3 Multipliers'!$A$2:$E$130,4,FALSE))))</f>
        <v/>
      </c>
      <c r="X65" s="345" t="str">
        <f>IFERROR(IF(E65="","",VLOOKUP(W65, 'G-3 Multipliers'!$P$2:$Q$6,2,FALSE)),””)</f>
        <v/>
      </c>
      <c r="Y65" s="595" t="str">
        <f t="shared" si="5"/>
        <v/>
      </c>
      <c r="Z65" s="355"/>
      <c r="AA65" s="356"/>
      <c r="AE65" s="59" t="str">
        <f t="shared" si="1"/>
        <v/>
      </c>
    </row>
    <row r="66" spans="1:31" x14ac:dyDescent="0.25">
      <c r="A66" s="52" t="str">
        <f>IFERROR(INDEX('G-8 Condition Look up'!$I$4:$I$131,MATCH(F66,'G-8 Condition Look up'!$A$4:$A$131,0)),"")</f>
        <v/>
      </c>
      <c r="C66" s="588" t="str">
        <f>IFERROR(INDEX('G-1 All Habitats'!$AG$3:$AG$15,MATCH(D66,'G-1 All Habitats'!$AF$3:$AF$15,0)),"")</f>
        <v/>
      </c>
      <c r="D66" s="347"/>
      <c r="E66" s="366"/>
      <c r="F66" s="365" t="str">
        <f>IFERROR(INDEX('G-1 All Habitats'!$B$3:$B$130,MATCH(E66,'G-1 All Habitats'!$A$3:$A$130,0)),"")</f>
        <v/>
      </c>
      <c r="G66" s="76"/>
      <c r="H66" s="77" t="str">
        <f>IF(F66="","",VLOOKUP(F66,'G-1 All Habitats'!$B$2:$M$130,10,FALSE))</f>
        <v/>
      </c>
      <c r="I66" s="78" t="str">
        <f>IFERROR(VLOOKUP(H66,'G-1 All Habitats'!$V$3:$W$7,2,FALSE),"")</f>
        <v/>
      </c>
      <c r="J66" s="79"/>
      <c r="K66" s="78" t="str">
        <f>IFERROR(INDEX('G-8 Condition Look up'!$A$3:$H$131,MATCH(F66,'G-8 Condition Look up'!$A$3:$A$131,0),MATCH(J66,'G-8 Condition Look up'!$A$3:$H$3,0)),"")</f>
        <v/>
      </c>
      <c r="L66" s="79"/>
      <c r="M66" s="348" t="str">
        <f>IF(L66="","",IF(VLOOKUP(L66,'G-3 Multipliers'!$L$3:$N$6,2,FALSE)=0,"Spatial Data Missing",VLOOKUP(L66,'G-3 Multipliers'!$L$3:$N$6,2,FALSE)))</f>
        <v/>
      </c>
      <c r="N66" s="569" t="str">
        <f>IF(L66="","",IF(VLOOKUP(L66,'G-3 Multipliers'!$L$3:$N$6,3,FALSE)=0,"Spatial Data Missing",VLOOKUP(L66,'G-3 Multipliers'!$L$3:$N$6,3,FALSE)))</f>
        <v/>
      </c>
      <c r="O66" s="77" t="str">
        <f t="shared" si="0"/>
        <v/>
      </c>
      <c r="P66" s="94"/>
      <c r="Q66" s="94"/>
      <c r="R66" s="343" t="str">
        <f t="shared" si="2"/>
        <v/>
      </c>
      <c r="S66" s="591" t="str">
        <f t="shared" si="3"/>
        <v/>
      </c>
      <c r="T66" s="593" t="str">
        <f>IFERROR(IF(S66="Check Data","Check Data",VLOOKUP(S66,'G-4 Temporal multipliers'!$A$4:$C$37,3,FALSE)),"")</f>
        <v/>
      </c>
      <c r="U66" s="592" t="str">
        <f>IF(F66="","",VLOOKUP(F66,'G-3 Multipliers'!$A$2:$E$130,2,FALSE))</f>
        <v/>
      </c>
      <c r="V66" s="343" t="str">
        <f t="shared" si="4"/>
        <v/>
      </c>
      <c r="W66" s="343" t="str">
        <f>IF(E66="","",IF(AND(V66="Standard difficulty applied",O66&gt;P66),U66,IF(AND(V66="Low Difficulty - only applicable if all habitat created before losses",P66&gt;=O66),"Low",VLOOKUP(F66,'G-3 Multipliers'!$A$2:$E$130,4,FALSE))))</f>
        <v/>
      </c>
      <c r="X66" s="345" t="str">
        <f>IFERROR(IF(E66="","",VLOOKUP(W66, 'G-3 Multipliers'!$P$2:$Q$6,2,FALSE)),””)</f>
        <v/>
      </c>
      <c r="Y66" s="595" t="str">
        <f t="shared" si="5"/>
        <v/>
      </c>
      <c r="Z66" s="355"/>
      <c r="AA66" s="356"/>
      <c r="AE66" s="59" t="str">
        <f t="shared" si="1"/>
        <v/>
      </c>
    </row>
    <row r="67" spans="1:31" x14ac:dyDescent="0.25">
      <c r="A67" s="52" t="str">
        <f>IFERROR(INDEX('G-8 Condition Look up'!$I$4:$I$131,MATCH(F67,'G-8 Condition Look up'!$A$4:$A$131,0)),"")</f>
        <v/>
      </c>
      <c r="C67" s="588" t="str">
        <f>IFERROR(INDEX('G-1 All Habitats'!$AG$3:$AG$15,MATCH(D67,'G-1 All Habitats'!$AF$3:$AF$15,0)),"")</f>
        <v/>
      </c>
      <c r="D67" s="347"/>
      <c r="E67" s="366"/>
      <c r="F67" s="365" t="str">
        <f>IFERROR(INDEX('G-1 All Habitats'!$B$3:$B$130,MATCH(E67,'G-1 All Habitats'!$A$3:$A$130,0)),"")</f>
        <v/>
      </c>
      <c r="G67" s="76"/>
      <c r="H67" s="77" t="str">
        <f>IF(F67="","",VLOOKUP(F67,'G-1 All Habitats'!$B$2:$M$130,10,FALSE))</f>
        <v/>
      </c>
      <c r="I67" s="78" t="str">
        <f>IFERROR(VLOOKUP(H67,'G-1 All Habitats'!$V$3:$W$7,2,FALSE),"")</f>
        <v/>
      </c>
      <c r="J67" s="79"/>
      <c r="K67" s="78" t="str">
        <f>IFERROR(INDEX('G-8 Condition Look up'!$A$3:$H$131,MATCH(F67,'G-8 Condition Look up'!$A$3:$A$131,0),MATCH(J67,'G-8 Condition Look up'!$A$3:$H$3,0)),"")</f>
        <v/>
      </c>
      <c r="L67" s="79"/>
      <c r="M67" s="348" t="str">
        <f>IF(L67="","",IF(VLOOKUP(L67,'G-3 Multipliers'!$L$3:$N$6,2,FALSE)=0,"Spatial Data Missing",VLOOKUP(L67,'G-3 Multipliers'!$L$3:$N$6,2,FALSE)))</f>
        <v/>
      </c>
      <c r="N67" s="569" t="str">
        <f>IF(L67="","",IF(VLOOKUP(L67,'G-3 Multipliers'!$L$3:$N$6,3,FALSE)=0,"Spatial Data Missing",VLOOKUP(L67,'G-3 Multipliers'!$L$3:$N$6,3,FALSE)))</f>
        <v/>
      </c>
      <c r="O67" s="77" t="str">
        <f t="shared" si="0"/>
        <v/>
      </c>
      <c r="P67" s="94"/>
      <c r="Q67" s="94"/>
      <c r="R67" s="343" t="str">
        <f t="shared" si="2"/>
        <v/>
      </c>
      <c r="S67" s="591" t="str">
        <f t="shared" si="3"/>
        <v/>
      </c>
      <c r="T67" s="593" t="str">
        <f>IFERROR(IF(S67="Check Data","Check Data",VLOOKUP(S67,'G-4 Temporal multipliers'!$A$4:$C$37,3,FALSE)),"")</f>
        <v/>
      </c>
      <c r="U67" s="592" t="str">
        <f>IF(F67="","",VLOOKUP(F67,'G-3 Multipliers'!$A$2:$E$130,2,FALSE))</f>
        <v/>
      </c>
      <c r="V67" s="343" t="str">
        <f t="shared" si="4"/>
        <v/>
      </c>
      <c r="W67" s="343" t="str">
        <f>IF(E67="","",IF(AND(V67="Standard difficulty applied",O67&gt;P67),U67,IF(AND(V67="Low Difficulty - only applicable if all habitat created before losses",P67&gt;=O67),"Low",VLOOKUP(F67,'G-3 Multipliers'!$A$2:$E$130,4,FALSE))))</f>
        <v/>
      </c>
      <c r="X67" s="345" t="str">
        <f>IFERROR(IF(E67="","",VLOOKUP(W67, 'G-3 Multipliers'!$P$2:$Q$6,2,FALSE)),””)</f>
        <v/>
      </c>
      <c r="Y67" s="595" t="str">
        <f t="shared" si="5"/>
        <v/>
      </c>
      <c r="Z67" s="355"/>
      <c r="AA67" s="356"/>
      <c r="AE67" s="59" t="str">
        <f t="shared" si="1"/>
        <v/>
      </c>
    </row>
    <row r="68" spans="1:31" x14ac:dyDescent="0.25">
      <c r="A68" s="52" t="str">
        <f>IFERROR(INDEX('G-8 Condition Look up'!$I$4:$I$131,MATCH(F68,'G-8 Condition Look up'!$A$4:$A$131,0)),"")</f>
        <v/>
      </c>
      <c r="C68" s="588" t="str">
        <f>IFERROR(INDEX('G-1 All Habitats'!$AG$3:$AG$15,MATCH(D68,'G-1 All Habitats'!$AF$3:$AF$15,0)),"")</f>
        <v/>
      </c>
      <c r="D68" s="347"/>
      <c r="E68" s="366"/>
      <c r="F68" s="365" t="str">
        <f>IFERROR(INDEX('G-1 All Habitats'!$B$3:$B$130,MATCH(E68,'G-1 All Habitats'!$A$3:$A$130,0)),"")</f>
        <v/>
      </c>
      <c r="G68" s="76"/>
      <c r="H68" s="77" t="str">
        <f>IF(F68="","",VLOOKUP(F68,'G-1 All Habitats'!$B$2:$M$130,10,FALSE))</f>
        <v/>
      </c>
      <c r="I68" s="78" t="str">
        <f>IFERROR(VLOOKUP(H68,'G-1 All Habitats'!$V$3:$W$7,2,FALSE),"")</f>
        <v/>
      </c>
      <c r="J68" s="79"/>
      <c r="K68" s="78" t="str">
        <f>IFERROR(INDEX('G-8 Condition Look up'!$A$3:$H$131,MATCH(F68,'G-8 Condition Look up'!$A$3:$A$131,0),MATCH(J68,'G-8 Condition Look up'!$A$3:$H$3,0)),"")</f>
        <v/>
      </c>
      <c r="L68" s="79"/>
      <c r="M68" s="348" t="str">
        <f>IF(L68="","",IF(VLOOKUP(L68,'G-3 Multipliers'!$L$3:$N$6,2,FALSE)=0,"Spatial Data Missing",VLOOKUP(L68,'G-3 Multipliers'!$L$3:$N$6,2,FALSE)))</f>
        <v/>
      </c>
      <c r="N68" s="569" t="str">
        <f>IF(L68="","",IF(VLOOKUP(L68,'G-3 Multipliers'!$L$3:$N$6,3,FALSE)=0,"Spatial Data Missing",VLOOKUP(L68,'G-3 Multipliers'!$L$3:$N$6,3,FALSE)))</f>
        <v/>
      </c>
      <c r="O68" s="77" t="str">
        <f t="shared" si="0"/>
        <v/>
      </c>
      <c r="P68" s="94"/>
      <c r="Q68" s="94"/>
      <c r="R68" s="343" t="str">
        <f t="shared" si="2"/>
        <v/>
      </c>
      <c r="S68" s="591" t="str">
        <f t="shared" si="3"/>
        <v/>
      </c>
      <c r="T68" s="593" t="str">
        <f>IFERROR(IF(S68="Check Data","Check Data",VLOOKUP(S68,'G-4 Temporal multipliers'!$A$4:$C$37,3,FALSE)),"")</f>
        <v/>
      </c>
      <c r="U68" s="592" t="str">
        <f>IF(F68="","",VLOOKUP(F68,'G-3 Multipliers'!$A$2:$E$130,2,FALSE))</f>
        <v/>
      </c>
      <c r="V68" s="343" t="str">
        <f t="shared" si="4"/>
        <v/>
      </c>
      <c r="W68" s="343" t="str">
        <f>IF(E68="","",IF(AND(V68="Standard difficulty applied",O68&gt;P68),U68,IF(AND(V68="Low Difficulty - only applicable if all habitat created before losses",P68&gt;=O68),"Low",VLOOKUP(F68,'G-3 Multipliers'!$A$2:$E$130,4,FALSE))))</f>
        <v/>
      </c>
      <c r="X68" s="345" t="str">
        <f>IFERROR(IF(E68="","",VLOOKUP(W68, 'G-3 Multipliers'!$P$2:$Q$6,2,FALSE)),””)</f>
        <v/>
      </c>
      <c r="Y68" s="595" t="str">
        <f t="shared" si="5"/>
        <v/>
      </c>
      <c r="Z68" s="355"/>
      <c r="AA68" s="356"/>
      <c r="AE68" s="59" t="str">
        <f t="shared" si="1"/>
        <v/>
      </c>
    </row>
    <row r="69" spans="1:31" x14ac:dyDescent="0.25">
      <c r="A69" s="52" t="str">
        <f>IFERROR(INDEX('G-8 Condition Look up'!$I$4:$I$131,MATCH(F69,'G-8 Condition Look up'!$A$4:$A$131,0)),"")</f>
        <v/>
      </c>
      <c r="C69" s="588" t="str">
        <f>IFERROR(INDEX('G-1 All Habitats'!$AG$3:$AG$15,MATCH(D69,'G-1 All Habitats'!$AF$3:$AF$15,0)),"")</f>
        <v/>
      </c>
      <c r="D69" s="347"/>
      <c r="E69" s="366"/>
      <c r="F69" s="365" t="str">
        <f>IFERROR(INDEX('G-1 All Habitats'!$B$3:$B$130,MATCH(E69,'G-1 All Habitats'!$A$3:$A$130,0)),"")</f>
        <v/>
      </c>
      <c r="G69" s="76"/>
      <c r="H69" s="77" t="str">
        <f>IF(F69="","",VLOOKUP(F69,'G-1 All Habitats'!$B$2:$M$130,10,FALSE))</f>
        <v/>
      </c>
      <c r="I69" s="78" t="str">
        <f>IFERROR(VLOOKUP(H69,'G-1 All Habitats'!$V$3:$W$7,2,FALSE),"")</f>
        <v/>
      </c>
      <c r="J69" s="79"/>
      <c r="K69" s="78" t="str">
        <f>IFERROR(INDEX('G-8 Condition Look up'!$A$3:$H$131,MATCH(F69,'G-8 Condition Look up'!$A$3:$A$131,0),MATCH(J69,'G-8 Condition Look up'!$A$3:$H$3,0)),"")</f>
        <v/>
      </c>
      <c r="L69" s="79"/>
      <c r="M69" s="348" t="str">
        <f>IF(L69="","",IF(VLOOKUP(L69,'G-3 Multipliers'!$L$3:$N$6,2,FALSE)=0,"Spatial Data Missing",VLOOKUP(L69,'G-3 Multipliers'!$L$3:$N$6,2,FALSE)))</f>
        <v/>
      </c>
      <c r="N69" s="569" t="str">
        <f>IF(L69="","",IF(VLOOKUP(L69,'G-3 Multipliers'!$L$3:$N$6,3,FALSE)=0,"Spatial Data Missing",VLOOKUP(L69,'G-3 Multipliers'!$L$3:$N$6,3,FALSE)))</f>
        <v/>
      </c>
      <c r="O69" s="77" t="str">
        <f t="shared" si="0"/>
        <v/>
      </c>
      <c r="P69" s="94"/>
      <c r="Q69" s="94"/>
      <c r="R69" s="343" t="str">
        <f t="shared" si="2"/>
        <v/>
      </c>
      <c r="S69" s="591" t="str">
        <f t="shared" si="3"/>
        <v/>
      </c>
      <c r="T69" s="593" t="str">
        <f>IFERROR(IF(S69="Check Data","Check Data",VLOOKUP(S69,'G-4 Temporal multipliers'!$A$4:$C$37,3,FALSE)),"")</f>
        <v/>
      </c>
      <c r="U69" s="592" t="str">
        <f>IF(F69="","",VLOOKUP(F69,'G-3 Multipliers'!$A$2:$E$130,2,FALSE))</f>
        <v/>
      </c>
      <c r="V69" s="343" t="str">
        <f t="shared" si="4"/>
        <v/>
      </c>
      <c r="W69" s="343" t="str">
        <f>IF(E69="","",IF(AND(V69="Standard difficulty applied",O69&gt;P69),U69,IF(AND(V69="Low Difficulty - only applicable if all habitat created before losses",P69&gt;=O69),"Low",VLOOKUP(F69,'G-3 Multipliers'!$A$2:$E$130,4,FALSE))))</f>
        <v/>
      </c>
      <c r="X69" s="345" t="str">
        <f>IFERROR(IF(E69="","",VLOOKUP(W69, 'G-3 Multipliers'!$P$2:$Q$6,2,FALSE)),””)</f>
        <v/>
      </c>
      <c r="Y69" s="595" t="str">
        <f t="shared" si="5"/>
        <v/>
      </c>
      <c r="Z69" s="355"/>
      <c r="AA69" s="356"/>
      <c r="AE69" s="59" t="str">
        <f t="shared" si="1"/>
        <v/>
      </c>
    </row>
    <row r="70" spans="1:31" x14ac:dyDescent="0.25">
      <c r="A70" s="52" t="str">
        <f>IFERROR(INDEX('G-8 Condition Look up'!$I$4:$I$131,MATCH(F70,'G-8 Condition Look up'!$A$4:$A$131,0)),"")</f>
        <v/>
      </c>
      <c r="C70" s="588" t="str">
        <f>IFERROR(INDEX('G-1 All Habitats'!$AG$3:$AG$15,MATCH(D70,'G-1 All Habitats'!$AF$3:$AF$15,0)),"")</f>
        <v/>
      </c>
      <c r="D70" s="347"/>
      <c r="E70" s="366"/>
      <c r="F70" s="365" t="str">
        <f>IFERROR(INDEX('G-1 All Habitats'!$B$3:$B$130,MATCH(E70,'G-1 All Habitats'!$A$3:$A$130,0)),"")</f>
        <v/>
      </c>
      <c r="G70" s="76"/>
      <c r="H70" s="77" t="str">
        <f>IF(F70="","",VLOOKUP(F70,'G-1 All Habitats'!$B$2:$M$130,10,FALSE))</f>
        <v/>
      </c>
      <c r="I70" s="78" t="str">
        <f>IFERROR(VLOOKUP(H70,'G-1 All Habitats'!$V$3:$W$7,2,FALSE),"")</f>
        <v/>
      </c>
      <c r="J70" s="79"/>
      <c r="K70" s="78" t="str">
        <f>IFERROR(INDEX('G-8 Condition Look up'!$A$3:$H$131,MATCH(F70,'G-8 Condition Look up'!$A$3:$A$131,0),MATCH(J70,'G-8 Condition Look up'!$A$3:$H$3,0)),"")</f>
        <v/>
      </c>
      <c r="L70" s="79"/>
      <c r="M70" s="348" t="str">
        <f>IF(L70="","",IF(VLOOKUP(L70,'G-3 Multipliers'!$L$3:$N$6,2,FALSE)=0,"Spatial Data Missing",VLOOKUP(L70,'G-3 Multipliers'!$L$3:$N$6,2,FALSE)))</f>
        <v/>
      </c>
      <c r="N70" s="569" t="str">
        <f>IF(L70="","",IF(VLOOKUP(L70,'G-3 Multipliers'!$L$3:$N$6,3,FALSE)=0,"Spatial Data Missing",VLOOKUP(L70,'G-3 Multipliers'!$L$3:$N$6,3,FALSE)))</f>
        <v/>
      </c>
      <c r="O70" s="77" t="str">
        <f t="shared" si="0"/>
        <v/>
      </c>
      <c r="P70" s="94"/>
      <c r="Q70" s="94"/>
      <c r="R70" s="343" t="str">
        <f t="shared" si="2"/>
        <v/>
      </c>
      <c r="S70" s="591" t="str">
        <f t="shared" si="3"/>
        <v/>
      </c>
      <c r="T70" s="593" t="str">
        <f>IFERROR(IF(S70="Check Data","Check Data",VLOOKUP(S70,'G-4 Temporal multipliers'!$A$4:$C$37,3,FALSE)),"")</f>
        <v/>
      </c>
      <c r="U70" s="592" t="str">
        <f>IF(F70="","",VLOOKUP(F70,'G-3 Multipliers'!$A$2:$E$130,2,FALSE))</f>
        <v/>
      </c>
      <c r="V70" s="343" t="str">
        <f t="shared" si="4"/>
        <v/>
      </c>
      <c r="W70" s="343" t="str">
        <f>IF(E70="","",IF(AND(V70="Standard difficulty applied",O70&gt;P70),U70,IF(AND(V70="Low Difficulty - only applicable if all habitat created before losses",P70&gt;=O70),"Low",VLOOKUP(F70,'G-3 Multipliers'!$A$2:$E$130,4,FALSE))))</f>
        <v/>
      </c>
      <c r="X70" s="345" t="str">
        <f>IFERROR(IF(E70="","",VLOOKUP(W70, 'G-3 Multipliers'!$P$2:$Q$6,2,FALSE)),””)</f>
        <v/>
      </c>
      <c r="Y70" s="595" t="str">
        <f t="shared" si="5"/>
        <v/>
      </c>
      <c r="Z70" s="355"/>
      <c r="AA70" s="356"/>
      <c r="AE70" s="59" t="str">
        <f t="shared" si="1"/>
        <v/>
      </c>
    </row>
    <row r="71" spans="1:31" x14ac:dyDescent="0.25">
      <c r="A71" s="52" t="str">
        <f>IFERROR(INDEX('G-8 Condition Look up'!$I$4:$I$131,MATCH(F71,'G-8 Condition Look up'!$A$4:$A$131,0)),"")</f>
        <v/>
      </c>
      <c r="C71" s="588" t="str">
        <f>IFERROR(INDEX('G-1 All Habitats'!$AG$3:$AG$15,MATCH(D71,'G-1 All Habitats'!$AF$3:$AF$15,0)),"")</f>
        <v/>
      </c>
      <c r="D71" s="347"/>
      <c r="E71" s="366"/>
      <c r="F71" s="365" t="str">
        <f>IFERROR(INDEX('G-1 All Habitats'!$B$3:$B$130,MATCH(E71,'G-1 All Habitats'!$A$3:$A$130,0)),"")</f>
        <v/>
      </c>
      <c r="G71" s="76"/>
      <c r="H71" s="77" t="str">
        <f>IF(F71="","",VLOOKUP(F71,'G-1 All Habitats'!$B$2:$M$130,10,FALSE))</f>
        <v/>
      </c>
      <c r="I71" s="78" t="str">
        <f>IFERROR(VLOOKUP(H71,'G-1 All Habitats'!$V$3:$W$7,2,FALSE),"")</f>
        <v/>
      </c>
      <c r="J71" s="79"/>
      <c r="K71" s="78" t="str">
        <f>IFERROR(INDEX('G-8 Condition Look up'!$A$3:$H$131,MATCH(F71,'G-8 Condition Look up'!$A$3:$A$131,0),MATCH(J71,'G-8 Condition Look up'!$A$3:$H$3,0)),"")</f>
        <v/>
      </c>
      <c r="L71" s="79"/>
      <c r="M71" s="348" t="str">
        <f>IF(L71="","",IF(VLOOKUP(L71,'G-3 Multipliers'!$L$3:$N$6,2,FALSE)=0,"Spatial Data Missing",VLOOKUP(L71,'G-3 Multipliers'!$L$3:$N$6,2,FALSE)))</f>
        <v/>
      </c>
      <c r="N71" s="569" t="str">
        <f>IF(L71="","",IF(VLOOKUP(L71,'G-3 Multipliers'!$L$3:$N$6,3,FALSE)=0,"Spatial Data Missing",VLOOKUP(L71,'G-3 Multipliers'!$L$3:$N$6,3,FALSE)))</f>
        <v/>
      </c>
      <c r="O71" s="77" t="str">
        <f t="shared" si="0"/>
        <v/>
      </c>
      <c r="P71" s="94"/>
      <c r="Q71" s="94"/>
      <c r="R71" s="343" t="str">
        <f t="shared" si="2"/>
        <v/>
      </c>
      <c r="S71" s="591" t="str">
        <f t="shared" si="3"/>
        <v/>
      </c>
      <c r="T71" s="593" t="str">
        <f>IFERROR(IF(S71="Check Data","Check Data",VLOOKUP(S71,'G-4 Temporal multipliers'!$A$4:$C$37,3,FALSE)),"")</f>
        <v/>
      </c>
      <c r="U71" s="592" t="str">
        <f>IF(F71="","",VLOOKUP(F71,'G-3 Multipliers'!$A$2:$E$130,2,FALSE))</f>
        <v/>
      </c>
      <c r="V71" s="343" t="str">
        <f t="shared" si="4"/>
        <v/>
      </c>
      <c r="W71" s="343" t="str">
        <f>IF(E71="","",IF(AND(V71="Standard difficulty applied",O71&gt;P71),U71,IF(AND(V71="Low Difficulty - only applicable if all habitat created before losses",P71&gt;=O71),"Low",VLOOKUP(F71,'G-3 Multipliers'!$A$2:$E$130,4,FALSE))))</f>
        <v/>
      </c>
      <c r="X71" s="345" t="str">
        <f>IFERROR(IF(E71="","",VLOOKUP(W71, 'G-3 Multipliers'!$P$2:$Q$6,2,FALSE)),””)</f>
        <v/>
      </c>
      <c r="Y71" s="595" t="str">
        <f t="shared" si="5"/>
        <v/>
      </c>
      <c r="Z71" s="355"/>
      <c r="AA71" s="356"/>
      <c r="AE71" s="59" t="str">
        <f t="shared" si="1"/>
        <v/>
      </c>
    </row>
    <row r="72" spans="1:31" x14ac:dyDescent="0.25">
      <c r="A72" s="52" t="str">
        <f>IFERROR(INDEX('G-8 Condition Look up'!$I$4:$I$131,MATCH(F72,'G-8 Condition Look up'!$A$4:$A$131,0)),"")</f>
        <v/>
      </c>
      <c r="C72" s="588" t="str">
        <f>IFERROR(INDEX('G-1 All Habitats'!$AG$3:$AG$15,MATCH(D72,'G-1 All Habitats'!$AF$3:$AF$15,0)),"")</f>
        <v/>
      </c>
      <c r="D72" s="347"/>
      <c r="E72" s="366"/>
      <c r="F72" s="365" t="str">
        <f>IFERROR(INDEX('G-1 All Habitats'!$B$3:$B$130,MATCH(E72,'G-1 All Habitats'!$A$3:$A$130,0)),"")</f>
        <v/>
      </c>
      <c r="G72" s="76"/>
      <c r="H72" s="77" t="str">
        <f>IF(F72="","",VLOOKUP(F72,'G-1 All Habitats'!$B$2:$M$130,10,FALSE))</f>
        <v/>
      </c>
      <c r="I72" s="78" t="str">
        <f>IFERROR(VLOOKUP(H72,'G-1 All Habitats'!$V$3:$W$7,2,FALSE),"")</f>
        <v/>
      </c>
      <c r="J72" s="79"/>
      <c r="K72" s="78" t="str">
        <f>IFERROR(INDEX('G-8 Condition Look up'!$A$3:$H$131,MATCH(F72,'G-8 Condition Look up'!$A$3:$A$131,0),MATCH(J72,'G-8 Condition Look up'!$A$3:$H$3,0)),"")</f>
        <v/>
      </c>
      <c r="L72" s="79"/>
      <c r="M72" s="348" t="str">
        <f>IF(L72="","",IF(VLOOKUP(L72,'G-3 Multipliers'!$L$3:$N$6,2,FALSE)=0,"Spatial Data Missing",VLOOKUP(L72,'G-3 Multipliers'!$L$3:$N$6,2,FALSE)))</f>
        <v/>
      </c>
      <c r="N72" s="569" t="str">
        <f>IF(L72="","",IF(VLOOKUP(L72,'G-3 Multipliers'!$L$3:$N$6,3,FALSE)=0,"Spatial Data Missing",VLOOKUP(L72,'G-3 Multipliers'!$L$3:$N$6,3,FALSE)))</f>
        <v/>
      </c>
      <c r="O72" s="77" t="str">
        <f t="shared" si="0"/>
        <v/>
      </c>
      <c r="P72" s="94"/>
      <c r="Q72" s="94"/>
      <c r="R72" s="343" t="str">
        <f t="shared" si="2"/>
        <v/>
      </c>
      <c r="S72" s="591" t="str">
        <f t="shared" si="3"/>
        <v/>
      </c>
      <c r="T72" s="593" t="str">
        <f>IFERROR(IF(S72="Check Data","Check Data",VLOOKUP(S72,'G-4 Temporal multipliers'!$A$4:$C$37,3,FALSE)),"")</f>
        <v/>
      </c>
      <c r="U72" s="592" t="str">
        <f>IF(F72="","",VLOOKUP(F72,'G-3 Multipliers'!$A$2:$E$130,2,FALSE))</f>
        <v/>
      </c>
      <c r="V72" s="343" t="str">
        <f t="shared" si="4"/>
        <v/>
      </c>
      <c r="W72" s="343" t="str">
        <f>IF(E72="","",IF(AND(V72="Standard difficulty applied",O72&gt;P72),U72,IF(AND(V72="Low Difficulty - only applicable if all habitat created before losses",P72&gt;=O72),"Low",VLOOKUP(F72,'G-3 Multipliers'!$A$2:$E$130,4,FALSE))))</f>
        <v/>
      </c>
      <c r="X72" s="345" t="str">
        <f>IFERROR(IF(E72="","",VLOOKUP(W72, 'G-3 Multipliers'!$P$2:$Q$6,2,FALSE)),””)</f>
        <v/>
      </c>
      <c r="Y72" s="595" t="str">
        <f t="shared" si="5"/>
        <v/>
      </c>
      <c r="Z72" s="355"/>
      <c r="AA72" s="356"/>
      <c r="AE72" s="59" t="str">
        <f t="shared" si="1"/>
        <v/>
      </c>
    </row>
    <row r="73" spans="1:31" x14ac:dyDescent="0.25">
      <c r="A73" s="52" t="str">
        <f>IFERROR(INDEX('G-8 Condition Look up'!$I$4:$I$131,MATCH(F73,'G-8 Condition Look up'!$A$4:$A$131,0)),"")</f>
        <v/>
      </c>
      <c r="C73" s="588" t="str">
        <f>IFERROR(INDEX('G-1 All Habitats'!$AG$3:$AG$15,MATCH(D73,'G-1 All Habitats'!$AF$3:$AF$15,0)),"")</f>
        <v/>
      </c>
      <c r="D73" s="347"/>
      <c r="E73" s="366"/>
      <c r="F73" s="365" t="str">
        <f>IFERROR(INDEX('G-1 All Habitats'!$B$3:$B$130,MATCH(E73,'G-1 All Habitats'!$A$3:$A$130,0)),"")</f>
        <v/>
      </c>
      <c r="G73" s="76"/>
      <c r="H73" s="77" t="str">
        <f>IF(F73="","",VLOOKUP(F73,'G-1 All Habitats'!$B$2:$M$130,10,FALSE))</f>
        <v/>
      </c>
      <c r="I73" s="78" t="str">
        <f>IFERROR(VLOOKUP(H73,'G-1 All Habitats'!$V$3:$W$7,2,FALSE),"")</f>
        <v/>
      </c>
      <c r="J73" s="79"/>
      <c r="K73" s="78" t="str">
        <f>IFERROR(INDEX('G-8 Condition Look up'!$A$3:$H$131,MATCH(F73,'G-8 Condition Look up'!$A$3:$A$131,0),MATCH(J73,'G-8 Condition Look up'!$A$3:$H$3,0)),"")</f>
        <v/>
      </c>
      <c r="L73" s="79"/>
      <c r="M73" s="348" t="str">
        <f>IF(L73="","",IF(VLOOKUP(L73,'G-3 Multipliers'!$L$3:$N$6,2,FALSE)=0,"Spatial Data Missing",VLOOKUP(L73,'G-3 Multipliers'!$L$3:$N$6,2,FALSE)))</f>
        <v/>
      </c>
      <c r="N73" s="569" t="str">
        <f>IF(L73="","",IF(VLOOKUP(L73,'G-3 Multipliers'!$L$3:$N$6,3,FALSE)=0,"Spatial Data Missing",VLOOKUP(L73,'G-3 Multipliers'!$L$3:$N$6,3,FALSE)))</f>
        <v/>
      </c>
      <c r="O73" s="77" t="str">
        <f t="shared" si="0"/>
        <v/>
      </c>
      <c r="P73" s="94"/>
      <c r="Q73" s="94"/>
      <c r="R73" s="343" t="str">
        <f t="shared" si="2"/>
        <v/>
      </c>
      <c r="S73" s="591" t="str">
        <f t="shared" si="3"/>
        <v/>
      </c>
      <c r="T73" s="593" t="str">
        <f>IFERROR(IF(S73="Check Data","Check Data",VLOOKUP(S73,'G-4 Temporal multipliers'!$A$4:$C$37,3,FALSE)),"")</f>
        <v/>
      </c>
      <c r="U73" s="592" t="str">
        <f>IF(F73="","",VLOOKUP(F73,'G-3 Multipliers'!$A$2:$E$130,2,FALSE))</f>
        <v/>
      </c>
      <c r="V73" s="343" t="str">
        <f t="shared" si="4"/>
        <v/>
      </c>
      <c r="W73" s="343" t="str">
        <f>IF(E73="","",IF(AND(V73="Standard difficulty applied",O73&gt;P73),U73,IF(AND(V73="Low Difficulty - only applicable if all habitat created before losses",P73&gt;=O73),"Low",VLOOKUP(F73,'G-3 Multipliers'!$A$2:$E$130,4,FALSE))))</f>
        <v/>
      </c>
      <c r="X73" s="345" t="str">
        <f>IFERROR(IF(E73="","",VLOOKUP(W73, 'G-3 Multipliers'!$P$2:$Q$6,2,FALSE)),””)</f>
        <v/>
      </c>
      <c r="Y73" s="595" t="str">
        <f t="shared" si="5"/>
        <v/>
      </c>
      <c r="Z73" s="355"/>
      <c r="AA73" s="356"/>
      <c r="AE73" s="59" t="str">
        <f t="shared" si="1"/>
        <v/>
      </c>
    </row>
    <row r="74" spans="1:31" x14ac:dyDescent="0.25">
      <c r="A74" s="52" t="str">
        <f>IFERROR(INDEX('G-8 Condition Look up'!$I$4:$I$131,MATCH(F74,'G-8 Condition Look up'!$A$4:$A$131,0)),"")</f>
        <v/>
      </c>
      <c r="C74" s="588" t="str">
        <f>IFERROR(INDEX('G-1 All Habitats'!$AG$3:$AG$15,MATCH(D74,'G-1 All Habitats'!$AF$3:$AF$15,0)),"")</f>
        <v/>
      </c>
      <c r="D74" s="347"/>
      <c r="E74" s="366"/>
      <c r="F74" s="365" t="str">
        <f>IFERROR(INDEX('G-1 All Habitats'!$B$3:$B$130,MATCH(E74,'G-1 All Habitats'!$A$3:$A$130,0)),"")</f>
        <v/>
      </c>
      <c r="G74" s="76"/>
      <c r="H74" s="77" t="str">
        <f>IF(F74="","",VLOOKUP(F74,'G-1 All Habitats'!$B$2:$M$130,10,FALSE))</f>
        <v/>
      </c>
      <c r="I74" s="78" t="str">
        <f>IFERROR(VLOOKUP(H74,'G-1 All Habitats'!$V$3:$W$7,2,FALSE),"")</f>
        <v/>
      </c>
      <c r="J74" s="79"/>
      <c r="K74" s="78" t="str">
        <f>IFERROR(INDEX('G-8 Condition Look up'!$A$3:$H$131,MATCH(F74,'G-8 Condition Look up'!$A$3:$A$131,0),MATCH(J74,'G-8 Condition Look up'!$A$3:$H$3,0)),"")</f>
        <v/>
      </c>
      <c r="L74" s="79"/>
      <c r="M74" s="348" t="str">
        <f>IF(L74="","",IF(VLOOKUP(L74,'G-3 Multipliers'!$L$3:$N$6,2,FALSE)=0,"Spatial Data Missing",VLOOKUP(L74,'G-3 Multipliers'!$L$3:$N$6,2,FALSE)))</f>
        <v/>
      </c>
      <c r="N74" s="569" t="str">
        <f>IF(L74="","",IF(VLOOKUP(L74,'G-3 Multipliers'!$L$3:$N$6,3,FALSE)=0,"Spatial Data Missing",VLOOKUP(L74,'G-3 Multipliers'!$L$3:$N$6,3,FALSE)))</f>
        <v/>
      </c>
      <c r="O74" s="77" t="str">
        <f t="shared" si="0"/>
        <v/>
      </c>
      <c r="P74" s="94"/>
      <c r="Q74" s="94"/>
      <c r="R74" s="343" t="str">
        <f t="shared" si="2"/>
        <v/>
      </c>
      <c r="S74" s="591" t="str">
        <f t="shared" si="3"/>
        <v/>
      </c>
      <c r="T74" s="593" t="str">
        <f>IFERROR(IF(S74="Check Data","Check Data",VLOOKUP(S74,'G-4 Temporal multipliers'!$A$4:$C$37,3,FALSE)),"")</f>
        <v/>
      </c>
      <c r="U74" s="592" t="str">
        <f>IF(F74="","",VLOOKUP(F74,'G-3 Multipliers'!$A$2:$E$130,2,FALSE))</f>
        <v/>
      </c>
      <c r="V74" s="343" t="str">
        <f t="shared" si="4"/>
        <v/>
      </c>
      <c r="W74" s="343" t="str">
        <f>IF(E74="","",IF(AND(V74="Standard difficulty applied",O74&gt;P74),U74,IF(AND(V74="Low Difficulty - only applicable if all habitat created before losses",P74&gt;=O74),"Low",VLOOKUP(F74,'G-3 Multipliers'!$A$2:$E$130,4,FALSE))))</f>
        <v/>
      </c>
      <c r="X74" s="345" t="str">
        <f>IFERROR(IF(E74="","",VLOOKUP(W74, 'G-3 Multipliers'!$P$2:$Q$6,2,FALSE)),””)</f>
        <v/>
      </c>
      <c r="Y74" s="595" t="str">
        <f t="shared" si="5"/>
        <v/>
      </c>
      <c r="Z74" s="355"/>
      <c r="AA74" s="356"/>
      <c r="AE74" s="59" t="str">
        <f t="shared" si="1"/>
        <v/>
      </c>
    </row>
    <row r="75" spans="1:31" x14ac:dyDescent="0.25">
      <c r="A75" s="52" t="str">
        <f>IFERROR(INDEX('G-8 Condition Look up'!$I$4:$I$131,MATCH(F75,'G-8 Condition Look up'!$A$4:$A$131,0)),"")</f>
        <v/>
      </c>
      <c r="C75" s="588" t="str">
        <f>IFERROR(INDEX('G-1 All Habitats'!$AG$3:$AG$15,MATCH(D75,'G-1 All Habitats'!$AF$3:$AF$15,0)),"")</f>
        <v/>
      </c>
      <c r="D75" s="347"/>
      <c r="E75" s="366"/>
      <c r="F75" s="365" t="str">
        <f>IFERROR(INDEX('G-1 All Habitats'!$B$3:$B$130,MATCH(E75,'G-1 All Habitats'!$A$3:$A$130,0)),"")</f>
        <v/>
      </c>
      <c r="G75" s="76"/>
      <c r="H75" s="77" t="str">
        <f>IF(F75="","",VLOOKUP(F75,'G-1 All Habitats'!$B$2:$M$130,10,FALSE))</f>
        <v/>
      </c>
      <c r="I75" s="78" t="str">
        <f>IFERROR(VLOOKUP(H75,'G-1 All Habitats'!$V$3:$W$7,2,FALSE),"")</f>
        <v/>
      </c>
      <c r="J75" s="79"/>
      <c r="K75" s="78" t="str">
        <f>IFERROR(INDEX('G-8 Condition Look up'!$A$3:$H$131,MATCH(F75,'G-8 Condition Look up'!$A$3:$A$131,0),MATCH(J75,'G-8 Condition Look up'!$A$3:$H$3,0)),"")</f>
        <v/>
      </c>
      <c r="L75" s="79"/>
      <c r="M75" s="348" t="str">
        <f>IF(L75="","",IF(VLOOKUP(L75,'G-3 Multipliers'!$L$3:$N$6,2,FALSE)=0,"Spatial Data Missing",VLOOKUP(L75,'G-3 Multipliers'!$L$3:$N$6,2,FALSE)))</f>
        <v/>
      </c>
      <c r="N75" s="569" t="str">
        <f>IF(L75="","",IF(VLOOKUP(L75,'G-3 Multipliers'!$L$3:$N$6,3,FALSE)=0,"Spatial Data Missing",VLOOKUP(L75,'G-3 Multipliers'!$L$3:$N$6,3,FALSE)))</f>
        <v/>
      </c>
      <c r="O75" s="77" t="str">
        <f t="shared" ref="O75:O138" si="6">IFERROR(INDEX(TemporalData,MATCH(F75,TemporalHabitats,0),MATCH(J75,TemporalConditions,0)),"")</f>
        <v/>
      </c>
      <c r="P75" s="94"/>
      <c r="Q75" s="94"/>
      <c r="R75" s="343" t="str">
        <f t="shared" si="2"/>
        <v/>
      </c>
      <c r="S75" s="591" t="str">
        <f t="shared" si="3"/>
        <v/>
      </c>
      <c r="T75" s="593" t="str">
        <f>IFERROR(IF(S75="Check Data","Check Data",VLOOKUP(S75,'G-4 Temporal multipliers'!$A$4:$C$37,3,FALSE)),"")</f>
        <v/>
      </c>
      <c r="U75" s="592" t="str">
        <f>IF(F75="","",VLOOKUP(F75,'G-3 Multipliers'!$A$2:$E$130,2,FALSE))</f>
        <v/>
      </c>
      <c r="V75" s="343" t="str">
        <f t="shared" si="4"/>
        <v/>
      </c>
      <c r="W75" s="343" t="str">
        <f>IF(E75="","",IF(AND(V75="Standard difficulty applied",O75&gt;P75),U75,IF(AND(V75="Low Difficulty - only applicable if all habitat created before losses",P75&gt;=O75),"Low",VLOOKUP(F75,'G-3 Multipliers'!$A$2:$E$130,4,FALSE))))</f>
        <v/>
      </c>
      <c r="X75" s="345" t="str">
        <f>IFERROR(IF(E75="","",VLOOKUP(W75, 'G-3 Multipliers'!$P$2:$Q$6,2,FALSE)),””)</f>
        <v/>
      </c>
      <c r="Y75" s="595" t="str">
        <f t="shared" si="5"/>
        <v/>
      </c>
      <c r="Z75" s="355"/>
      <c r="AA75" s="356"/>
      <c r="AE75" s="59" t="str">
        <f t="shared" ref="AE75:AE138" si="7">IFERROR(INDEX(TemporalData,MATCH(F75,TemporalHabitats,0),MATCH($AE$10,TemporalConditions,0)),"")</f>
        <v/>
      </c>
    </row>
    <row r="76" spans="1:31" x14ac:dyDescent="0.25">
      <c r="A76" s="52" t="str">
        <f>IFERROR(INDEX('G-8 Condition Look up'!$I$4:$I$131,MATCH(F76,'G-8 Condition Look up'!$A$4:$A$131,0)),"")</f>
        <v/>
      </c>
      <c r="C76" s="588" t="str">
        <f>IFERROR(INDEX('G-1 All Habitats'!$AG$3:$AG$15,MATCH(D76,'G-1 All Habitats'!$AF$3:$AF$15,0)),"")</f>
        <v/>
      </c>
      <c r="D76" s="347"/>
      <c r="E76" s="366"/>
      <c r="F76" s="365" t="str">
        <f>IFERROR(INDEX('G-1 All Habitats'!$B$3:$B$130,MATCH(E76,'G-1 All Habitats'!$A$3:$A$130,0)),"")</f>
        <v/>
      </c>
      <c r="G76" s="76"/>
      <c r="H76" s="77" t="str">
        <f>IF(F76="","",VLOOKUP(F76,'G-1 All Habitats'!$B$2:$M$130,10,FALSE))</f>
        <v/>
      </c>
      <c r="I76" s="78" t="str">
        <f>IFERROR(VLOOKUP(H76,'G-1 All Habitats'!$V$3:$W$7,2,FALSE),"")</f>
        <v/>
      </c>
      <c r="J76" s="79"/>
      <c r="K76" s="78" t="str">
        <f>IFERROR(INDEX('G-8 Condition Look up'!$A$3:$H$131,MATCH(F76,'G-8 Condition Look up'!$A$3:$A$131,0),MATCH(J76,'G-8 Condition Look up'!$A$3:$H$3,0)),"")</f>
        <v/>
      </c>
      <c r="L76" s="79"/>
      <c r="M76" s="348" t="str">
        <f>IF(L76="","",IF(VLOOKUP(L76,'G-3 Multipliers'!$L$3:$N$6,2,FALSE)=0,"Spatial Data Missing",VLOOKUP(L76,'G-3 Multipliers'!$L$3:$N$6,2,FALSE)))</f>
        <v/>
      </c>
      <c r="N76" s="569" t="str">
        <f>IF(L76="","",IF(VLOOKUP(L76,'G-3 Multipliers'!$L$3:$N$6,3,FALSE)=0,"Spatial Data Missing",VLOOKUP(L76,'G-3 Multipliers'!$L$3:$N$6,3,FALSE)))</f>
        <v/>
      </c>
      <c r="O76" s="77" t="str">
        <f t="shared" si="6"/>
        <v/>
      </c>
      <c r="P76" s="94"/>
      <c r="Q76" s="94"/>
      <c r="R76" s="343" t="str">
        <f t="shared" ref="R76:R139" si="8">IF(E76="","",IF(AND(P76&gt;0,Q76&gt;0),"Error -both advance and delayed habitat creation",IF(I76=0,"Standard time to target condition applied",IF(AND(J76="N/A -Agricultural",O76&lt;=P76),"Check details - Is there evidence habitat creation in place?",IF(AND(O76&lt;=P76,Q76=0),"Check details - Is there evidence that habitat has reached target condition?",IF(O76="","",IF(AND(P76&gt;=AE76,P76&gt;0),"Check details - Is there evidence habitat creation started and the threshold for Poor condition reached?",IF(Q76&gt;0,"Check details- Delay in starting habitat in required condition?",IF(P76&gt;0,"Check details - Is there evidence habitat creation started/in place?","Standard time to target condition applied")))))))))</f>
        <v/>
      </c>
      <c r="S76" s="591" t="str">
        <f t="shared" ref="S76:S139" si="9">IF(R76="Error -both advance and delayed habitat creation","Check Data",IF(O76="Not Possible","Check Data",IF(O76="","",IF(AND(O76="30+",P76=0),"30+",IF(AND(O76="30+",P76="30+"),0,IF(AND(O76="30+",P76&lt;32),30-P76,IF(O76="30+",30-P76,IF(P76&gt;O76,0,IF(Q76="30+","30+",IF(O76+Q76&gt;30,"30+",IF(O76+Q76&gt;30,"30+",IF(O76-P76&gt;30,"30+",IF(O76+Q76-P76&gt;0,O76+Q76-P76,IF(O76-P76&gt;0,O76-P76,O76+Q76-P76))))))))))))))</f>
        <v/>
      </c>
      <c r="T76" s="593" t="str">
        <f>IFERROR(IF(S76="Check Data","Check Data",VLOOKUP(S76,'G-4 Temporal multipliers'!$A$4:$C$37,3,FALSE)),"")</f>
        <v/>
      </c>
      <c r="U76" s="592" t="str">
        <f>IF(F76="","",VLOOKUP(F76,'G-3 Multipliers'!$A$2:$E$130,2,FALSE))</f>
        <v/>
      </c>
      <c r="V76" s="343" t="str">
        <f t="shared" ref="V76:V139" si="10">IF(F76="","",IF($R76="Check details - Is there evidence that habitat has reached target condition?","Low Difficulty - only applicable if all habitat created before losses",IF($R76="Check details - Is there evidence habitat creation started and the threshold for Poor condition reached?","Enhancement difficulty applied","Standard difficulty applied")))</f>
        <v/>
      </c>
      <c r="W76" s="343" t="str">
        <f>IF(E76="","",IF(AND(V76="Standard difficulty applied",O76&gt;P76),U76,IF(AND(V76="Low Difficulty - only applicable if all habitat created before losses",P76&gt;=O76),"Low",VLOOKUP(F76,'G-3 Multipliers'!$A$2:$E$130,4,FALSE))))</f>
        <v/>
      </c>
      <c r="X76" s="345" t="str">
        <f>IFERROR(IF(E76="","",VLOOKUP(W76, 'G-3 Multipliers'!$P$2:$Q$6,2,FALSE)),””)</f>
        <v/>
      </c>
      <c r="Y76" s="595" t="str">
        <f t="shared" ref="Y76:Y139" si="11">IFERROR(G76*I76*K76*N76*T76*X76,"")</f>
        <v/>
      </c>
      <c r="Z76" s="355"/>
      <c r="AA76" s="356"/>
      <c r="AE76" s="59" t="str">
        <f t="shared" si="7"/>
        <v/>
      </c>
    </row>
    <row r="77" spans="1:31" x14ac:dyDescent="0.25">
      <c r="A77" s="52" t="str">
        <f>IFERROR(INDEX('G-8 Condition Look up'!$I$4:$I$131,MATCH(F77,'G-8 Condition Look up'!$A$4:$A$131,0)),"")</f>
        <v/>
      </c>
      <c r="C77" s="588" t="str">
        <f>IFERROR(INDEX('G-1 All Habitats'!$AG$3:$AG$15,MATCH(D77,'G-1 All Habitats'!$AF$3:$AF$15,0)),"")</f>
        <v/>
      </c>
      <c r="D77" s="347"/>
      <c r="E77" s="366"/>
      <c r="F77" s="365" t="str">
        <f>IFERROR(INDEX('G-1 All Habitats'!$B$3:$B$130,MATCH(E77,'G-1 All Habitats'!$A$3:$A$130,0)),"")</f>
        <v/>
      </c>
      <c r="G77" s="76"/>
      <c r="H77" s="77" t="str">
        <f>IF(F77="","",VLOOKUP(F77,'G-1 All Habitats'!$B$2:$M$130,10,FALSE))</f>
        <v/>
      </c>
      <c r="I77" s="78" t="str">
        <f>IFERROR(VLOOKUP(H77,'G-1 All Habitats'!$V$3:$W$7,2,FALSE),"")</f>
        <v/>
      </c>
      <c r="J77" s="79"/>
      <c r="K77" s="78" t="str">
        <f>IFERROR(INDEX('G-8 Condition Look up'!$A$3:$H$131,MATCH(F77,'G-8 Condition Look up'!$A$3:$A$131,0),MATCH(J77,'G-8 Condition Look up'!$A$3:$H$3,0)),"")</f>
        <v/>
      </c>
      <c r="L77" s="79"/>
      <c r="M77" s="348" t="str">
        <f>IF(L77="","",IF(VLOOKUP(L77,'G-3 Multipliers'!$L$3:$N$6,2,FALSE)=0,"Spatial Data Missing",VLOOKUP(L77,'G-3 Multipliers'!$L$3:$N$6,2,FALSE)))</f>
        <v/>
      </c>
      <c r="N77" s="569" t="str">
        <f>IF(L77="","",IF(VLOOKUP(L77,'G-3 Multipliers'!$L$3:$N$6,3,FALSE)=0,"Spatial Data Missing",VLOOKUP(L77,'G-3 Multipliers'!$L$3:$N$6,3,FALSE)))</f>
        <v/>
      </c>
      <c r="O77" s="77" t="str">
        <f t="shared" si="6"/>
        <v/>
      </c>
      <c r="P77" s="94"/>
      <c r="Q77" s="94"/>
      <c r="R77" s="343" t="str">
        <f t="shared" si="8"/>
        <v/>
      </c>
      <c r="S77" s="591" t="str">
        <f t="shared" si="9"/>
        <v/>
      </c>
      <c r="T77" s="593" t="str">
        <f>IFERROR(IF(S77="Check Data","Check Data",VLOOKUP(S77,'G-4 Temporal multipliers'!$A$4:$C$37,3,FALSE)),"")</f>
        <v/>
      </c>
      <c r="U77" s="592" t="str">
        <f>IF(F77="","",VLOOKUP(F77,'G-3 Multipliers'!$A$2:$E$130,2,FALSE))</f>
        <v/>
      </c>
      <c r="V77" s="343" t="str">
        <f t="shared" si="10"/>
        <v/>
      </c>
      <c r="W77" s="343" t="str">
        <f>IF(E77="","",IF(AND(V77="Standard difficulty applied",O77&gt;P77),U77,IF(AND(V77="Low Difficulty - only applicable if all habitat created before losses",P77&gt;=O77),"Low",VLOOKUP(F77,'G-3 Multipliers'!$A$2:$E$130,4,FALSE))))</f>
        <v/>
      </c>
      <c r="X77" s="345" t="str">
        <f>IFERROR(IF(E77="","",VLOOKUP(W77, 'G-3 Multipliers'!$P$2:$Q$6,2,FALSE)),””)</f>
        <v/>
      </c>
      <c r="Y77" s="595" t="str">
        <f t="shared" si="11"/>
        <v/>
      </c>
      <c r="Z77" s="355"/>
      <c r="AA77" s="356"/>
      <c r="AE77" s="59" t="str">
        <f t="shared" si="7"/>
        <v/>
      </c>
    </row>
    <row r="78" spans="1:31" x14ac:dyDescent="0.25">
      <c r="A78" s="52" t="str">
        <f>IFERROR(INDEX('G-8 Condition Look up'!$I$4:$I$131,MATCH(F78,'G-8 Condition Look up'!$A$4:$A$131,0)),"")</f>
        <v/>
      </c>
      <c r="C78" s="588" t="str">
        <f>IFERROR(INDEX('G-1 All Habitats'!$AG$3:$AG$15,MATCH(D78,'G-1 All Habitats'!$AF$3:$AF$15,0)),"")</f>
        <v/>
      </c>
      <c r="D78" s="347"/>
      <c r="E78" s="366"/>
      <c r="F78" s="365" t="str">
        <f>IFERROR(INDEX('G-1 All Habitats'!$B$3:$B$130,MATCH(E78,'G-1 All Habitats'!$A$3:$A$130,0)),"")</f>
        <v/>
      </c>
      <c r="G78" s="76"/>
      <c r="H78" s="77" t="str">
        <f>IF(F78="","",VLOOKUP(F78,'G-1 All Habitats'!$B$2:$M$130,10,FALSE))</f>
        <v/>
      </c>
      <c r="I78" s="78" t="str">
        <f>IFERROR(VLOOKUP(H78,'G-1 All Habitats'!$V$3:$W$7,2,FALSE),"")</f>
        <v/>
      </c>
      <c r="J78" s="79"/>
      <c r="K78" s="78" t="str">
        <f>IFERROR(INDEX('G-8 Condition Look up'!$A$3:$H$131,MATCH(F78,'G-8 Condition Look up'!$A$3:$A$131,0),MATCH(J78,'G-8 Condition Look up'!$A$3:$H$3,0)),"")</f>
        <v/>
      </c>
      <c r="L78" s="79"/>
      <c r="M78" s="348" t="str">
        <f>IF(L78="","",IF(VLOOKUP(L78,'G-3 Multipliers'!$L$3:$N$6,2,FALSE)=0,"Spatial Data Missing",VLOOKUP(L78,'G-3 Multipliers'!$L$3:$N$6,2,FALSE)))</f>
        <v/>
      </c>
      <c r="N78" s="569" t="str">
        <f>IF(L78="","",IF(VLOOKUP(L78,'G-3 Multipliers'!$L$3:$N$6,3,FALSE)=0,"Spatial Data Missing",VLOOKUP(L78,'G-3 Multipliers'!$L$3:$N$6,3,FALSE)))</f>
        <v/>
      </c>
      <c r="O78" s="77" t="str">
        <f t="shared" si="6"/>
        <v/>
      </c>
      <c r="P78" s="94"/>
      <c r="Q78" s="94"/>
      <c r="R78" s="343" t="str">
        <f t="shared" si="8"/>
        <v/>
      </c>
      <c r="S78" s="591" t="str">
        <f t="shared" si="9"/>
        <v/>
      </c>
      <c r="T78" s="593" t="str">
        <f>IFERROR(IF(S78="Check Data","Check Data",VLOOKUP(S78,'G-4 Temporal multipliers'!$A$4:$C$37,3,FALSE)),"")</f>
        <v/>
      </c>
      <c r="U78" s="592" t="str">
        <f>IF(F78="","",VLOOKUP(F78,'G-3 Multipliers'!$A$2:$E$130,2,FALSE))</f>
        <v/>
      </c>
      <c r="V78" s="343" t="str">
        <f t="shared" si="10"/>
        <v/>
      </c>
      <c r="W78" s="343" t="str">
        <f>IF(E78="","",IF(AND(V78="Standard difficulty applied",O78&gt;P78),U78,IF(AND(V78="Low Difficulty - only applicable if all habitat created before losses",P78&gt;=O78),"Low",VLOOKUP(F78,'G-3 Multipliers'!$A$2:$E$130,4,FALSE))))</f>
        <v/>
      </c>
      <c r="X78" s="345" t="str">
        <f>IFERROR(IF(E78="","",VLOOKUP(W78, 'G-3 Multipliers'!$P$2:$Q$6,2,FALSE)),””)</f>
        <v/>
      </c>
      <c r="Y78" s="595" t="str">
        <f t="shared" si="11"/>
        <v/>
      </c>
      <c r="Z78" s="355"/>
      <c r="AA78" s="356"/>
      <c r="AE78" s="59" t="str">
        <f t="shared" si="7"/>
        <v/>
      </c>
    </row>
    <row r="79" spans="1:31" x14ac:dyDescent="0.25">
      <c r="A79" s="52" t="str">
        <f>IFERROR(INDEX('G-8 Condition Look up'!$I$4:$I$131,MATCH(F79,'G-8 Condition Look up'!$A$4:$A$131,0)),"")</f>
        <v/>
      </c>
      <c r="C79" s="588" t="str">
        <f>IFERROR(INDEX('G-1 All Habitats'!$AG$3:$AG$15,MATCH(D79,'G-1 All Habitats'!$AF$3:$AF$15,0)),"")</f>
        <v/>
      </c>
      <c r="D79" s="347"/>
      <c r="E79" s="366"/>
      <c r="F79" s="365" t="str">
        <f>IFERROR(INDEX('G-1 All Habitats'!$B$3:$B$130,MATCH(E79,'G-1 All Habitats'!$A$3:$A$130,0)),"")</f>
        <v/>
      </c>
      <c r="G79" s="76"/>
      <c r="H79" s="77" t="str">
        <f>IF(F79="","",VLOOKUP(F79,'G-1 All Habitats'!$B$2:$M$130,10,FALSE))</f>
        <v/>
      </c>
      <c r="I79" s="78" t="str">
        <f>IFERROR(VLOOKUP(H79,'G-1 All Habitats'!$V$3:$W$7,2,FALSE),"")</f>
        <v/>
      </c>
      <c r="J79" s="79"/>
      <c r="K79" s="78" t="str">
        <f>IFERROR(INDEX('G-8 Condition Look up'!$A$3:$H$131,MATCH(F79,'G-8 Condition Look up'!$A$3:$A$131,0),MATCH(J79,'G-8 Condition Look up'!$A$3:$H$3,0)),"")</f>
        <v/>
      </c>
      <c r="L79" s="79"/>
      <c r="M79" s="348" t="str">
        <f>IF(L79="","",IF(VLOOKUP(L79,'G-3 Multipliers'!$L$3:$N$6,2,FALSE)=0,"Spatial Data Missing",VLOOKUP(L79,'G-3 Multipliers'!$L$3:$N$6,2,FALSE)))</f>
        <v/>
      </c>
      <c r="N79" s="569" t="str">
        <f>IF(L79="","",IF(VLOOKUP(L79,'G-3 Multipliers'!$L$3:$N$6,3,FALSE)=0,"Spatial Data Missing",VLOOKUP(L79,'G-3 Multipliers'!$L$3:$N$6,3,FALSE)))</f>
        <v/>
      </c>
      <c r="O79" s="77" t="str">
        <f t="shared" si="6"/>
        <v/>
      </c>
      <c r="P79" s="94"/>
      <c r="Q79" s="94"/>
      <c r="R79" s="343" t="str">
        <f t="shared" si="8"/>
        <v/>
      </c>
      <c r="S79" s="591" t="str">
        <f t="shared" si="9"/>
        <v/>
      </c>
      <c r="T79" s="593" t="str">
        <f>IFERROR(IF(S79="Check Data","Check Data",VLOOKUP(S79,'G-4 Temporal multipliers'!$A$4:$C$37,3,FALSE)),"")</f>
        <v/>
      </c>
      <c r="U79" s="592" t="str">
        <f>IF(F79="","",VLOOKUP(F79,'G-3 Multipliers'!$A$2:$E$130,2,FALSE))</f>
        <v/>
      </c>
      <c r="V79" s="343" t="str">
        <f t="shared" si="10"/>
        <v/>
      </c>
      <c r="W79" s="343" t="str">
        <f>IF(E79="","",IF(AND(V79="Standard difficulty applied",O79&gt;P79),U79,IF(AND(V79="Low Difficulty - only applicable if all habitat created before losses",P79&gt;=O79),"Low",VLOOKUP(F79,'G-3 Multipliers'!$A$2:$E$130,4,FALSE))))</f>
        <v/>
      </c>
      <c r="X79" s="345" t="str">
        <f>IFERROR(IF(E79="","",VLOOKUP(W79, 'G-3 Multipliers'!$P$2:$Q$6,2,FALSE)),””)</f>
        <v/>
      </c>
      <c r="Y79" s="595" t="str">
        <f t="shared" si="11"/>
        <v/>
      </c>
      <c r="Z79" s="355"/>
      <c r="AA79" s="356"/>
      <c r="AE79" s="59" t="str">
        <f t="shared" si="7"/>
        <v/>
      </c>
    </row>
    <row r="80" spans="1:31" x14ac:dyDescent="0.25">
      <c r="A80" s="52" t="str">
        <f>IFERROR(INDEX('G-8 Condition Look up'!$I$4:$I$131,MATCH(F80,'G-8 Condition Look up'!$A$4:$A$131,0)),"")</f>
        <v/>
      </c>
      <c r="C80" s="588" t="str">
        <f>IFERROR(INDEX('G-1 All Habitats'!$AG$3:$AG$15,MATCH(D80,'G-1 All Habitats'!$AF$3:$AF$15,0)),"")</f>
        <v/>
      </c>
      <c r="D80" s="347"/>
      <c r="E80" s="366"/>
      <c r="F80" s="365" t="str">
        <f>IFERROR(INDEX('G-1 All Habitats'!$B$3:$B$130,MATCH(E80,'G-1 All Habitats'!$A$3:$A$130,0)),"")</f>
        <v/>
      </c>
      <c r="G80" s="76"/>
      <c r="H80" s="77" t="str">
        <f>IF(F80="","",VLOOKUP(F80,'G-1 All Habitats'!$B$2:$M$130,10,FALSE))</f>
        <v/>
      </c>
      <c r="I80" s="78" t="str">
        <f>IFERROR(VLOOKUP(H80,'G-1 All Habitats'!$V$3:$W$7,2,FALSE),"")</f>
        <v/>
      </c>
      <c r="J80" s="79"/>
      <c r="K80" s="78" t="str">
        <f>IFERROR(INDEX('G-8 Condition Look up'!$A$3:$H$131,MATCH(F80,'G-8 Condition Look up'!$A$3:$A$131,0),MATCH(J80,'G-8 Condition Look up'!$A$3:$H$3,0)),"")</f>
        <v/>
      </c>
      <c r="L80" s="79"/>
      <c r="M80" s="348" t="str">
        <f>IF(L80="","",IF(VLOOKUP(L80,'G-3 Multipliers'!$L$3:$N$6,2,FALSE)=0,"Spatial Data Missing",VLOOKUP(L80,'G-3 Multipliers'!$L$3:$N$6,2,FALSE)))</f>
        <v/>
      </c>
      <c r="N80" s="569" t="str">
        <f>IF(L80="","",IF(VLOOKUP(L80,'G-3 Multipliers'!$L$3:$N$6,3,FALSE)=0,"Spatial Data Missing",VLOOKUP(L80,'G-3 Multipliers'!$L$3:$N$6,3,FALSE)))</f>
        <v/>
      </c>
      <c r="O80" s="77" t="str">
        <f t="shared" si="6"/>
        <v/>
      </c>
      <c r="P80" s="94"/>
      <c r="Q80" s="94"/>
      <c r="R80" s="343" t="str">
        <f t="shared" si="8"/>
        <v/>
      </c>
      <c r="S80" s="591" t="str">
        <f t="shared" si="9"/>
        <v/>
      </c>
      <c r="T80" s="593" t="str">
        <f>IFERROR(IF(S80="Check Data","Check Data",VLOOKUP(S80,'G-4 Temporal multipliers'!$A$4:$C$37,3,FALSE)),"")</f>
        <v/>
      </c>
      <c r="U80" s="592" t="str">
        <f>IF(F80="","",VLOOKUP(F80,'G-3 Multipliers'!$A$2:$E$130,2,FALSE))</f>
        <v/>
      </c>
      <c r="V80" s="343" t="str">
        <f t="shared" si="10"/>
        <v/>
      </c>
      <c r="W80" s="343" t="str">
        <f>IF(E80="","",IF(AND(V80="Standard difficulty applied",O80&gt;P80),U80,IF(AND(V80="Low Difficulty - only applicable if all habitat created before losses",P80&gt;=O80),"Low",VLOOKUP(F80,'G-3 Multipliers'!$A$2:$E$130,4,FALSE))))</f>
        <v/>
      </c>
      <c r="X80" s="345" t="str">
        <f>IFERROR(IF(E80="","",VLOOKUP(W80, 'G-3 Multipliers'!$P$2:$Q$6,2,FALSE)),””)</f>
        <v/>
      </c>
      <c r="Y80" s="595" t="str">
        <f t="shared" si="11"/>
        <v/>
      </c>
      <c r="Z80" s="355"/>
      <c r="AA80" s="356"/>
      <c r="AE80" s="59" t="str">
        <f t="shared" si="7"/>
        <v/>
      </c>
    </row>
    <row r="81" spans="1:31" x14ac:dyDescent="0.25">
      <c r="A81" s="52" t="str">
        <f>IFERROR(INDEX('G-8 Condition Look up'!$I$4:$I$131,MATCH(F81,'G-8 Condition Look up'!$A$4:$A$131,0)),"")</f>
        <v/>
      </c>
      <c r="C81" s="588" t="str">
        <f>IFERROR(INDEX('G-1 All Habitats'!$AG$3:$AG$15,MATCH(D81,'G-1 All Habitats'!$AF$3:$AF$15,0)),"")</f>
        <v/>
      </c>
      <c r="D81" s="347"/>
      <c r="E81" s="366"/>
      <c r="F81" s="365" t="str">
        <f>IFERROR(INDEX('G-1 All Habitats'!$B$3:$B$130,MATCH(E81,'G-1 All Habitats'!$A$3:$A$130,0)),"")</f>
        <v/>
      </c>
      <c r="G81" s="76"/>
      <c r="H81" s="77" t="str">
        <f>IF(F81="","",VLOOKUP(F81,'G-1 All Habitats'!$B$2:$M$130,10,FALSE))</f>
        <v/>
      </c>
      <c r="I81" s="78" t="str">
        <f>IFERROR(VLOOKUP(H81,'G-1 All Habitats'!$V$3:$W$7,2,FALSE),"")</f>
        <v/>
      </c>
      <c r="J81" s="79"/>
      <c r="K81" s="78" t="str">
        <f>IFERROR(INDEX('G-8 Condition Look up'!$A$3:$H$131,MATCH(F81,'G-8 Condition Look up'!$A$3:$A$131,0),MATCH(J81,'G-8 Condition Look up'!$A$3:$H$3,0)),"")</f>
        <v/>
      </c>
      <c r="L81" s="79"/>
      <c r="M81" s="348" t="str">
        <f>IF(L81="","",IF(VLOOKUP(L81,'G-3 Multipliers'!$L$3:$N$6,2,FALSE)=0,"Spatial Data Missing",VLOOKUP(L81,'G-3 Multipliers'!$L$3:$N$6,2,FALSE)))</f>
        <v/>
      </c>
      <c r="N81" s="569" t="str">
        <f>IF(L81="","",IF(VLOOKUP(L81,'G-3 Multipliers'!$L$3:$N$6,3,FALSE)=0,"Spatial Data Missing",VLOOKUP(L81,'G-3 Multipliers'!$L$3:$N$6,3,FALSE)))</f>
        <v/>
      </c>
      <c r="O81" s="77" t="str">
        <f t="shared" si="6"/>
        <v/>
      </c>
      <c r="P81" s="94"/>
      <c r="Q81" s="94"/>
      <c r="R81" s="343" t="str">
        <f t="shared" si="8"/>
        <v/>
      </c>
      <c r="S81" s="591" t="str">
        <f t="shared" si="9"/>
        <v/>
      </c>
      <c r="T81" s="593" t="str">
        <f>IFERROR(IF(S81="Check Data","Check Data",VLOOKUP(S81,'G-4 Temporal multipliers'!$A$4:$C$37,3,FALSE)),"")</f>
        <v/>
      </c>
      <c r="U81" s="592" t="str">
        <f>IF(F81="","",VLOOKUP(F81,'G-3 Multipliers'!$A$2:$E$130,2,FALSE))</f>
        <v/>
      </c>
      <c r="V81" s="343" t="str">
        <f t="shared" si="10"/>
        <v/>
      </c>
      <c r="W81" s="343" t="str">
        <f>IF(E81="","",IF(AND(V81="Standard difficulty applied",O81&gt;P81),U81,IF(AND(V81="Low Difficulty - only applicable if all habitat created before losses",P81&gt;=O81),"Low",VLOOKUP(F81,'G-3 Multipliers'!$A$2:$E$130,4,FALSE))))</f>
        <v/>
      </c>
      <c r="X81" s="345" t="str">
        <f>IFERROR(IF(E81="","",VLOOKUP(W81, 'G-3 Multipliers'!$P$2:$Q$6,2,FALSE)),””)</f>
        <v/>
      </c>
      <c r="Y81" s="595" t="str">
        <f t="shared" si="11"/>
        <v/>
      </c>
      <c r="Z81" s="355"/>
      <c r="AA81" s="356"/>
      <c r="AE81" s="59" t="str">
        <f t="shared" si="7"/>
        <v/>
      </c>
    </row>
    <row r="82" spans="1:31" x14ac:dyDescent="0.25">
      <c r="A82" s="52" t="str">
        <f>IFERROR(INDEX('G-8 Condition Look up'!$I$4:$I$131,MATCH(F82,'G-8 Condition Look up'!$A$4:$A$131,0)),"")</f>
        <v/>
      </c>
      <c r="C82" s="588" t="str">
        <f>IFERROR(INDEX('G-1 All Habitats'!$AG$3:$AG$15,MATCH(D82,'G-1 All Habitats'!$AF$3:$AF$15,0)),"")</f>
        <v/>
      </c>
      <c r="D82" s="347"/>
      <c r="E82" s="366"/>
      <c r="F82" s="365" t="str">
        <f>IFERROR(INDEX('G-1 All Habitats'!$B$3:$B$130,MATCH(E82,'G-1 All Habitats'!$A$3:$A$130,0)),"")</f>
        <v/>
      </c>
      <c r="G82" s="76"/>
      <c r="H82" s="77" t="str">
        <f>IF(F82="","",VLOOKUP(F82,'G-1 All Habitats'!$B$2:$M$130,10,FALSE))</f>
        <v/>
      </c>
      <c r="I82" s="78" t="str">
        <f>IFERROR(VLOOKUP(H82,'G-1 All Habitats'!$V$3:$W$7,2,FALSE),"")</f>
        <v/>
      </c>
      <c r="J82" s="79"/>
      <c r="K82" s="78" t="str">
        <f>IFERROR(INDEX('G-8 Condition Look up'!$A$3:$H$131,MATCH(F82,'G-8 Condition Look up'!$A$3:$A$131,0),MATCH(J82,'G-8 Condition Look up'!$A$3:$H$3,0)),"")</f>
        <v/>
      </c>
      <c r="L82" s="79"/>
      <c r="M82" s="348" t="str">
        <f>IF(L82="","",IF(VLOOKUP(L82,'G-3 Multipliers'!$L$3:$N$6,2,FALSE)=0,"Spatial Data Missing",VLOOKUP(L82,'G-3 Multipliers'!$L$3:$N$6,2,FALSE)))</f>
        <v/>
      </c>
      <c r="N82" s="569" t="str">
        <f>IF(L82="","",IF(VLOOKUP(L82,'G-3 Multipliers'!$L$3:$N$6,3,FALSE)=0,"Spatial Data Missing",VLOOKUP(L82,'G-3 Multipliers'!$L$3:$N$6,3,FALSE)))</f>
        <v/>
      </c>
      <c r="O82" s="77" t="str">
        <f t="shared" si="6"/>
        <v/>
      </c>
      <c r="P82" s="94"/>
      <c r="Q82" s="94"/>
      <c r="R82" s="343" t="str">
        <f t="shared" si="8"/>
        <v/>
      </c>
      <c r="S82" s="591" t="str">
        <f t="shared" si="9"/>
        <v/>
      </c>
      <c r="T82" s="593" t="str">
        <f>IFERROR(IF(S82="Check Data","Check Data",VLOOKUP(S82,'G-4 Temporal multipliers'!$A$4:$C$37,3,FALSE)),"")</f>
        <v/>
      </c>
      <c r="U82" s="592" t="str">
        <f>IF(F82="","",VLOOKUP(F82,'G-3 Multipliers'!$A$2:$E$130,2,FALSE))</f>
        <v/>
      </c>
      <c r="V82" s="343" t="str">
        <f t="shared" si="10"/>
        <v/>
      </c>
      <c r="W82" s="343" t="str">
        <f>IF(E82="","",IF(AND(V82="Standard difficulty applied",O82&gt;P82),U82,IF(AND(V82="Low Difficulty - only applicable if all habitat created before losses",P82&gt;=O82),"Low",VLOOKUP(F82,'G-3 Multipliers'!$A$2:$E$130,4,FALSE))))</f>
        <v/>
      </c>
      <c r="X82" s="345" t="str">
        <f>IFERROR(IF(E82="","",VLOOKUP(W82, 'G-3 Multipliers'!$P$2:$Q$6,2,FALSE)),””)</f>
        <v/>
      </c>
      <c r="Y82" s="595" t="str">
        <f t="shared" si="11"/>
        <v/>
      </c>
      <c r="Z82" s="355"/>
      <c r="AA82" s="356"/>
      <c r="AE82" s="59" t="str">
        <f t="shared" si="7"/>
        <v/>
      </c>
    </row>
    <row r="83" spans="1:31" x14ac:dyDescent="0.25">
      <c r="A83" s="52" t="str">
        <f>IFERROR(INDEX('G-8 Condition Look up'!$I$4:$I$131,MATCH(F83,'G-8 Condition Look up'!$A$4:$A$131,0)),"")</f>
        <v/>
      </c>
      <c r="C83" s="588" t="str">
        <f>IFERROR(INDEX('G-1 All Habitats'!$AG$3:$AG$15,MATCH(D83,'G-1 All Habitats'!$AF$3:$AF$15,0)),"")</f>
        <v/>
      </c>
      <c r="D83" s="347"/>
      <c r="E83" s="366"/>
      <c r="F83" s="365" t="str">
        <f>IFERROR(INDEX('G-1 All Habitats'!$B$3:$B$130,MATCH(E83,'G-1 All Habitats'!$A$3:$A$130,0)),"")</f>
        <v/>
      </c>
      <c r="G83" s="76"/>
      <c r="H83" s="77" t="str">
        <f>IF(F83="","",VLOOKUP(F83,'G-1 All Habitats'!$B$2:$M$130,10,FALSE))</f>
        <v/>
      </c>
      <c r="I83" s="78" t="str">
        <f>IFERROR(VLOOKUP(H83,'G-1 All Habitats'!$V$3:$W$7,2,FALSE),"")</f>
        <v/>
      </c>
      <c r="J83" s="79"/>
      <c r="K83" s="78" t="str">
        <f>IFERROR(INDEX('G-8 Condition Look up'!$A$3:$H$131,MATCH(F83,'G-8 Condition Look up'!$A$3:$A$131,0),MATCH(J83,'G-8 Condition Look up'!$A$3:$H$3,0)),"")</f>
        <v/>
      </c>
      <c r="L83" s="79"/>
      <c r="M83" s="348" t="str">
        <f>IF(L83="","",IF(VLOOKUP(L83,'G-3 Multipliers'!$L$3:$N$6,2,FALSE)=0,"Spatial Data Missing",VLOOKUP(L83,'G-3 Multipliers'!$L$3:$N$6,2,FALSE)))</f>
        <v/>
      </c>
      <c r="N83" s="569" t="str">
        <f>IF(L83="","",IF(VLOOKUP(L83,'G-3 Multipliers'!$L$3:$N$6,3,FALSE)=0,"Spatial Data Missing",VLOOKUP(L83,'G-3 Multipliers'!$L$3:$N$6,3,FALSE)))</f>
        <v/>
      </c>
      <c r="O83" s="77" t="str">
        <f t="shared" si="6"/>
        <v/>
      </c>
      <c r="P83" s="94"/>
      <c r="Q83" s="94"/>
      <c r="R83" s="343" t="str">
        <f t="shared" si="8"/>
        <v/>
      </c>
      <c r="S83" s="591" t="str">
        <f t="shared" si="9"/>
        <v/>
      </c>
      <c r="T83" s="593" t="str">
        <f>IFERROR(IF(S83="Check Data","Check Data",VLOOKUP(S83,'G-4 Temporal multipliers'!$A$4:$C$37,3,FALSE)),"")</f>
        <v/>
      </c>
      <c r="U83" s="592" t="str">
        <f>IF(F83="","",VLOOKUP(F83,'G-3 Multipliers'!$A$2:$E$130,2,FALSE))</f>
        <v/>
      </c>
      <c r="V83" s="343" t="str">
        <f t="shared" si="10"/>
        <v/>
      </c>
      <c r="W83" s="343" t="str">
        <f>IF(E83="","",IF(AND(V83="Standard difficulty applied",O83&gt;P83),U83,IF(AND(V83="Low Difficulty - only applicable if all habitat created before losses",P83&gt;=O83),"Low",VLOOKUP(F83,'G-3 Multipliers'!$A$2:$E$130,4,FALSE))))</f>
        <v/>
      </c>
      <c r="X83" s="345" t="str">
        <f>IFERROR(IF(E83="","",VLOOKUP(W83, 'G-3 Multipliers'!$P$2:$Q$6,2,FALSE)),””)</f>
        <v/>
      </c>
      <c r="Y83" s="595" t="str">
        <f t="shared" si="11"/>
        <v/>
      </c>
      <c r="Z83" s="355"/>
      <c r="AA83" s="356"/>
      <c r="AE83" s="59" t="str">
        <f t="shared" si="7"/>
        <v/>
      </c>
    </row>
    <row r="84" spans="1:31" x14ac:dyDescent="0.25">
      <c r="A84" s="52" t="str">
        <f>IFERROR(INDEX('G-8 Condition Look up'!$I$4:$I$131,MATCH(F84,'G-8 Condition Look up'!$A$4:$A$131,0)),"")</f>
        <v/>
      </c>
      <c r="C84" s="588" t="str">
        <f>IFERROR(INDEX('G-1 All Habitats'!$AG$3:$AG$15,MATCH(D84,'G-1 All Habitats'!$AF$3:$AF$15,0)),"")</f>
        <v/>
      </c>
      <c r="D84" s="347"/>
      <c r="E84" s="366"/>
      <c r="F84" s="365" t="str">
        <f>IFERROR(INDEX('G-1 All Habitats'!$B$3:$B$130,MATCH(E84,'G-1 All Habitats'!$A$3:$A$130,0)),"")</f>
        <v/>
      </c>
      <c r="G84" s="76"/>
      <c r="H84" s="77" t="str">
        <f>IF(F84="","",VLOOKUP(F84,'G-1 All Habitats'!$B$2:$M$130,10,FALSE))</f>
        <v/>
      </c>
      <c r="I84" s="78" t="str">
        <f>IFERROR(VLOOKUP(H84,'G-1 All Habitats'!$V$3:$W$7,2,FALSE),"")</f>
        <v/>
      </c>
      <c r="J84" s="79"/>
      <c r="K84" s="78" t="str">
        <f>IFERROR(INDEX('G-8 Condition Look up'!$A$3:$H$131,MATCH(F84,'G-8 Condition Look up'!$A$3:$A$131,0),MATCH(J84,'G-8 Condition Look up'!$A$3:$H$3,0)),"")</f>
        <v/>
      </c>
      <c r="L84" s="79"/>
      <c r="M84" s="348" t="str">
        <f>IF(L84="","",IF(VLOOKUP(L84,'G-3 Multipliers'!$L$3:$N$6,2,FALSE)=0,"Spatial Data Missing",VLOOKUP(L84,'G-3 Multipliers'!$L$3:$N$6,2,FALSE)))</f>
        <v/>
      </c>
      <c r="N84" s="569" t="str">
        <f>IF(L84="","",IF(VLOOKUP(L84,'G-3 Multipliers'!$L$3:$N$6,3,FALSE)=0,"Spatial Data Missing",VLOOKUP(L84,'G-3 Multipliers'!$L$3:$N$6,3,FALSE)))</f>
        <v/>
      </c>
      <c r="O84" s="77" t="str">
        <f t="shared" si="6"/>
        <v/>
      </c>
      <c r="P84" s="94"/>
      <c r="Q84" s="94"/>
      <c r="R84" s="343" t="str">
        <f t="shared" si="8"/>
        <v/>
      </c>
      <c r="S84" s="591" t="str">
        <f t="shared" si="9"/>
        <v/>
      </c>
      <c r="T84" s="593" t="str">
        <f>IFERROR(IF(S84="Check Data","Check Data",VLOOKUP(S84,'G-4 Temporal multipliers'!$A$4:$C$37,3,FALSE)),"")</f>
        <v/>
      </c>
      <c r="U84" s="592" t="str">
        <f>IF(F84="","",VLOOKUP(F84,'G-3 Multipliers'!$A$2:$E$130,2,FALSE))</f>
        <v/>
      </c>
      <c r="V84" s="343" t="str">
        <f t="shared" si="10"/>
        <v/>
      </c>
      <c r="W84" s="343" t="str">
        <f>IF(E84="","",IF(AND(V84="Standard difficulty applied",O84&gt;P84),U84,IF(AND(V84="Low Difficulty - only applicable if all habitat created before losses",P84&gt;=O84),"Low",VLOOKUP(F84,'G-3 Multipliers'!$A$2:$E$130,4,FALSE))))</f>
        <v/>
      </c>
      <c r="X84" s="345" t="str">
        <f>IFERROR(IF(E84="","",VLOOKUP(W84, 'G-3 Multipliers'!$P$2:$Q$6,2,FALSE)),””)</f>
        <v/>
      </c>
      <c r="Y84" s="595" t="str">
        <f t="shared" si="11"/>
        <v/>
      </c>
      <c r="Z84" s="355"/>
      <c r="AA84" s="356"/>
      <c r="AE84" s="59" t="str">
        <f t="shared" si="7"/>
        <v/>
      </c>
    </row>
    <row r="85" spans="1:31" x14ac:dyDescent="0.25">
      <c r="A85" s="52" t="str">
        <f>IFERROR(INDEX('G-8 Condition Look up'!$I$4:$I$131,MATCH(F85,'G-8 Condition Look up'!$A$4:$A$131,0)),"")</f>
        <v/>
      </c>
      <c r="C85" s="588" t="str">
        <f>IFERROR(INDEX('G-1 All Habitats'!$AG$3:$AG$15,MATCH(D85,'G-1 All Habitats'!$AF$3:$AF$15,0)),"")</f>
        <v/>
      </c>
      <c r="D85" s="347"/>
      <c r="E85" s="366"/>
      <c r="F85" s="365" t="str">
        <f>IFERROR(INDEX('G-1 All Habitats'!$B$3:$B$130,MATCH(E85,'G-1 All Habitats'!$A$3:$A$130,0)),"")</f>
        <v/>
      </c>
      <c r="G85" s="76"/>
      <c r="H85" s="77" t="str">
        <f>IF(F85="","",VLOOKUP(F85,'G-1 All Habitats'!$B$2:$M$130,10,FALSE))</f>
        <v/>
      </c>
      <c r="I85" s="78" t="str">
        <f>IFERROR(VLOOKUP(H85,'G-1 All Habitats'!$V$3:$W$7,2,FALSE),"")</f>
        <v/>
      </c>
      <c r="J85" s="79"/>
      <c r="K85" s="78" t="str">
        <f>IFERROR(INDEX('G-8 Condition Look up'!$A$3:$H$131,MATCH(F85,'G-8 Condition Look up'!$A$3:$A$131,0),MATCH(J85,'G-8 Condition Look up'!$A$3:$H$3,0)),"")</f>
        <v/>
      </c>
      <c r="L85" s="79"/>
      <c r="M85" s="348" t="str">
        <f>IF(L85="","",IF(VLOOKUP(L85,'G-3 Multipliers'!$L$3:$N$6,2,FALSE)=0,"Spatial Data Missing",VLOOKUP(L85,'G-3 Multipliers'!$L$3:$N$6,2,FALSE)))</f>
        <v/>
      </c>
      <c r="N85" s="569" t="str">
        <f>IF(L85="","",IF(VLOOKUP(L85,'G-3 Multipliers'!$L$3:$N$6,3,FALSE)=0,"Spatial Data Missing",VLOOKUP(L85,'G-3 Multipliers'!$L$3:$N$6,3,FALSE)))</f>
        <v/>
      </c>
      <c r="O85" s="77" t="str">
        <f t="shared" si="6"/>
        <v/>
      </c>
      <c r="P85" s="94"/>
      <c r="Q85" s="94"/>
      <c r="R85" s="343" t="str">
        <f t="shared" si="8"/>
        <v/>
      </c>
      <c r="S85" s="591" t="str">
        <f t="shared" si="9"/>
        <v/>
      </c>
      <c r="T85" s="593" t="str">
        <f>IFERROR(IF(S85="Check Data","Check Data",VLOOKUP(S85,'G-4 Temporal multipliers'!$A$4:$C$37,3,FALSE)),"")</f>
        <v/>
      </c>
      <c r="U85" s="592" t="str">
        <f>IF(F85="","",VLOOKUP(F85,'G-3 Multipliers'!$A$2:$E$130,2,FALSE))</f>
        <v/>
      </c>
      <c r="V85" s="343" t="str">
        <f t="shared" si="10"/>
        <v/>
      </c>
      <c r="W85" s="343" t="str">
        <f>IF(E85="","",IF(AND(V85="Standard difficulty applied",O85&gt;P85),U85,IF(AND(V85="Low Difficulty - only applicable if all habitat created before losses",P85&gt;=O85),"Low",VLOOKUP(F85,'G-3 Multipliers'!$A$2:$E$130,4,FALSE))))</f>
        <v/>
      </c>
      <c r="X85" s="345" t="str">
        <f>IFERROR(IF(E85="","",VLOOKUP(W85, 'G-3 Multipliers'!$P$2:$Q$6,2,FALSE)),””)</f>
        <v/>
      </c>
      <c r="Y85" s="595" t="str">
        <f t="shared" si="11"/>
        <v/>
      </c>
      <c r="Z85" s="355"/>
      <c r="AA85" s="356"/>
      <c r="AE85" s="59" t="str">
        <f t="shared" si="7"/>
        <v/>
      </c>
    </row>
    <row r="86" spans="1:31" x14ac:dyDescent="0.25">
      <c r="A86" s="52" t="str">
        <f>IFERROR(INDEX('G-8 Condition Look up'!$I$4:$I$131,MATCH(F86,'G-8 Condition Look up'!$A$4:$A$131,0)),"")</f>
        <v/>
      </c>
      <c r="C86" s="588" t="str">
        <f>IFERROR(INDEX('G-1 All Habitats'!$AG$3:$AG$15,MATCH(D86,'G-1 All Habitats'!$AF$3:$AF$15,0)),"")</f>
        <v/>
      </c>
      <c r="D86" s="347"/>
      <c r="E86" s="366"/>
      <c r="F86" s="365" t="str">
        <f>IFERROR(INDEX('G-1 All Habitats'!$B$3:$B$130,MATCH(E86,'G-1 All Habitats'!$A$3:$A$130,0)),"")</f>
        <v/>
      </c>
      <c r="G86" s="76"/>
      <c r="H86" s="77" t="str">
        <f>IF(F86="","",VLOOKUP(F86,'G-1 All Habitats'!$B$2:$M$130,10,FALSE))</f>
        <v/>
      </c>
      <c r="I86" s="78" t="str">
        <f>IFERROR(VLOOKUP(H86,'G-1 All Habitats'!$V$3:$W$7,2,FALSE),"")</f>
        <v/>
      </c>
      <c r="J86" s="79"/>
      <c r="K86" s="78" t="str">
        <f>IFERROR(INDEX('G-8 Condition Look up'!$A$3:$H$131,MATCH(F86,'G-8 Condition Look up'!$A$3:$A$131,0),MATCH(J86,'G-8 Condition Look up'!$A$3:$H$3,0)),"")</f>
        <v/>
      </c>
      <c r="L86" s="79"/>
      <c r="M86" s="348" t="str">
        <f>IF(L86="","",IF(VLOOKUP(L86,'G-3 Multipliers'!$L$3:$N$6,2,FALSE)=0,"Spatial Data Missing",VLOOKUP(L86,'G-3 Multipliers'!$L$3:$N$6,2,FALSE)))</f>
        <v/>
      </c>
      <c r="N86" s="569" t="str">
        <f>IF(L86="","",IF(VLOOKUP(L86,'G-3 Multipliers'!$L$3:$N$6,3,FALSE)=0,"Spatial Data Missing",VLOOKUP(L86,'G-3 Multipliers'!$L$3:$N$6,3,FALSE)))</f>
        <v/>
      </c>
      <c r="O86" s="77" t="str">
        <f t="shared" si="6"/>
        <v/>
      </c>
      <c r="P86" s="94"/>
      <c r="Q86" s="94"/>
      <c r="R86" s="343" t="str">
        <f t="shared" si="8"/>
        <v/>
      </c>
      <c r="S86" s="591" t="str">
        <f t="shared" si="9"/>
        <v/>
      </c>
      <c r="T86" s="593" t="str">
        <f>IFERROR(IF(S86="Check Data","Check Data",VLOOKUP(S86,'G-4 Temporal multipliers'!$A$4:$C$37,3,FALSE)),"")</f>
        <v/>
      </c>
      <c r="U86" s="592" t="str">
        <f>IF(F86="","",VLOOKUP(F86,'G-3 Multipliers'!$A$2:$E$130,2,FALSE))</f>
        <v/>
      </c>
      <c r="V86" s="343" t="str">
        <f t="shared" si="10"/>
        <v/>
      </c>
      <c r="W86" s="343" t="str">
        <f>IF(E86="","",IF(AND(V86="Standard difficulty applied",O86&gt;P86),U86,IF(AND(V86="Low Difficulty - only applicable if all habitat created before losses",P86&gt;=O86),"Low",VLOOKUP(F86,'G-3 Multipliers'!$A$2:$E$130,4,FALSE))))</f>
        <v/>
      </c>
      <c r="X86" s="345" t="str">
        <f>IFERROR(IF(E86="","",VLOOKUP(W86, 'G-3 Multipliers'!$P$2:$Q$6,2,FALSE)),””)</f>
        <v/>
      </c>
      <c r="Y86" s="595" t="str">
        <f t="shared" si="11"/>
        <v/>
      </c>
      <c r="Z86" s="355"/>
      <c r="AA86" s="356"/>
      <c r="AE86" s="59" t="str">
        <f t="shared" si="7"/>
        <v/>
      </c>
    </row>
    <row r="87" spans="1:31" x14ac:dyDescent="0.25">
      <c r="A87" s="52" t="str">
        <f>IFERROR(INDEX('G-8 Condition Look up'!$I$4:$I$131,MATCH(F87,'G-8 Condition Look up'!$A$4:$A$131,0)),"")</f>
        <v/>
      </c>
      <c r="C87" s="588" t="str">
        <f>IFERROR(INDEX('G-1 All Habitats'!$AG$3:$AG$15,MATCH(D87,'G-1 All Habitats'!$AF$3:$AF$15,0)),"")</f>
        <v/>
      </c>
      <c r="D87" s="347"/>
      <c r="E87" s="366"/>
      <c r="F87" s="365" t="str">
        <f>IFERROR(INDEX('G-1 All Habitats'!$B$3:$B$130,MATCH(E87,'G-1 All Habitats'!$A$3:$A$130,0)),"")</f>
        <v/>
      </c>
      <c r="G87" s="76"/>
      <c r="H87" s="77" t="str">
        <f>IF(F87="","",VLOOKUP(F87,'G-1 All Habitats'!$B$2:$M$130,10,FALSE))</f>
        <v/>
      </c>
      <c r="I87" s="78" t="str">
        <f>IFERROR(VLOOKUP(H87,'G-1 All Habitats'!$V$3:$W$7,2,FALSE),"")</f>
        <v/>
      </c>
      <c r="J87" s="79"/>
      <c r="K87" s="78" t="str">
        <f>IFERROR(INDEX('G-8 Condition Look up'!$A$3:$H$131,MATCH(F87,'G-8 Condition Look up'!$A$3:$A$131,0),MATCH(J87,'G-8 Condition Look up'!$A$3:$H$3,0)),"")</f>
        <v/>
      </c>
      <c r="L87" s="79"/>
      <c r="M87" s="348" t="str">
        <f>IF(L87="","",IF(VLOOKUP(L87,'G-3 Multipliers'!$L$3:$N$6,2,FALSE)=0,"Spatial Data Missing",VLOOKUP(L87,'G-3 Multipliers'!$L$3:$N$6,2,FALSE)))</f>
        <v/>
      </c>
      <c r="N87" s="569" t="str">
        <f>IF(L87="","",IF(VLOOKUP(L87,'G-3 Multipliers'!$L$3:$N$6,3,FALSE)=0,"Spatial Data Missing",VLOOKUP(L87,'G-3 Multipliers'!$L$3:$N$6,3,FALSE)))</f>
        <v/>
      </c>
      <c r="O87" s="77" t="str">
        <f t="shared" si="6"/>
        <v/>
      </c>
      <c r="P87" s="94"/>
      <c r="Q87" s="94"/>
      <c r="R87" s="343" t="str">
        <f t="shared" si="8"/>
        <v/>
      </c>
      <c r="S87" s="591" t="str">
        <f t="shared" si="9"/>
        <v/>
      </c>
      <c r="T87" s="593" t="str">
        <f>IFERROR(IF(S87="Check Data","Check Data",VLOOKUP(S87,'G-4 Temporal multipliers'!$A$4:$C$37,3,FALSE)),"")</f>
        <v/>
      </c>
      <c r="U87" s="592" t="str">
        <f>IF(F87="","",VLOOKUP(F87,'G-3 Multipliers'!$A$2:$E$130,2,FALSE))</f>
        <v/>
      </c>
      <c r="V87" s="343" t="str">
        <f t="shared" si="10"/>
        <v/>
      </c>
      <c r="W87" s="343" t="str">
        <f>IF(E87="","",IF(AND(V87="Standard difficulty applied",O87&gt;P87),U87,IF(AND(V87="Low Difficulty - only applicable if all habitat created before losses",P87&gt;=O87),"Low",VLOOKUP(F87,'G-3 Multipliers'!$A$2:$E$130,4,FALSE))))</f>
        <v/>
      </c>
      <c r="X87" s="345" t="str">
        <f>IFERROR(IF(E87="","",VLOOKUP(W87, 'G-3 Multipliers'!$P$2:$Q$6,2,FALSE)),””)</f>
        <v/>
      </c>
      <c r="Y87" s="595" t="str">
        <f t="shared" si="11"/>
        <v/>
      </c>
      <c r="Z87" s="355"/>
      <c r="AA87" s="356"/>
      <c r="AE87" s="59" t="str">
        <f t="shared" si="7"/>
        <v/>
      </c>
    </row>
    <row r="88" spans="1:31" x14ac:dyDescent="0.25">
      <c r="A88" s="52" t="str">
        <f>IFERROR(INDEX('G-8 Condition Look up'!$I$4:$I$131,MATCH(F88,'G-8 Condition Look up'!$A$4:$A$131,0)),"")</f>
        <v/>
      </c>
      <c r="C88" s="588" t="str">
        <f>IFERROR(INDEX('G-1 All Habitats'!$AG$3:$AG$15,MATCH(D88,'G-1 All Habitats'!$AF$3:$AF$15,0)),"")</f>
        <v/>
      </c>
      <c r="D88" s="347"/>
      <c r="E88" s="366"/>
      <c r="F88" s="365" t="str">
        <f>IFERROR(INDEX('G-1 All Habitats'!$B$3:$B$130,MATCH(E88,'G-1 All Habitats'!$A$3:$A$130,0)),"")</f>
        <v/>
      </c>
      <c r="G88" s="76"/>
      <c r="H88" s="77" t="str">
        <f>IF(F88="","",VLOOKUP(F88,'G-1 All Habitats'!$B$2:$M$130,10,FALSE))</f>
        <v/>
      </c>
      <c r="I88" s="78" t="str">
        <f>IFERROR(VLOOKUP(H88,'G-1 All Habitats'!$V$3:$W$7,2,FALSE),"")</f>
        <v/>
      </c>
      <c r="J88" s="79"/>
      <c r="K88" s="78" t="str">
        <f>IFERROR(INDEX('G-8 Condition Look up'!$A$3:$H$131,MATCH(F88,'G-8 Condition Look up'!$A$3:$A$131,0),MATCH(J88,'G-8 Condition Look up'!$A$3:$H$3,0)),"")</f>
        <v/>
      </c>
      <c r="L88" s="79"/>
      <c r="M88" s="348" t="str">
        <f>IF(L88="","",IF(VLOOKUP(L88,'G-3 Multipliers'!$L$3:$N$6,2,FALSE)=0,"Spatial Data Missing",VLOOKUP(L88,'G-3 Multipliers'!$L$3:$N$6,2,FALSE)))</f>
        <v/>
      </c>
      <c r="N88" s="569" t="str">
        <f>IF(L88="","",IF(VLOOKUP(L88,'G-3 Multipliers'!$L$3:$N$6,3,FALSE)=0,"Spatial Data Missing",VLOOKUP(L88,'G-3 Multipliers'!$L$3:$N$6,3,FALSE)))</f>
        <v/>
      </c>
      <c r="O88" s="77" t="str">
        <f t="shared" si="6"/>
        <v/>
      </c>
      <c r="P88" s="94"/>
      <c r="Q88" s="94"/>
      <c r="R88" s="343" t="str">
        <f t="shared" si="8"/>
        <v/>
      </c>
      <c r="S88" s="591" t="str">
        <f t="shared" si="9"/>
        <v/>
      </c>
      <c r="T88" s="593" t="str">
        <f>IFERROR(IF(S88="Check Data","Check Data",VLOOKUP(S88,'G-4 Temporal multipliers'!$A$4:$C$37,3,FALSE)),"")</f>
        <v/>
      </c>
      <c r="U88" s="592" t="str">
        <f>IF(F88="","",VLOOKUP(F88,'G-3 Multipliers'!$A$2:$E$130,2,FALSE))</f>
        <v/>
      </c>
      <c r="V88" s="343" t="str">
        <f t="shared" si="10"/>
        <v/>
      </c>
      <c r="W88" s="343" t="str">
        <f>IF(E88="","",IF(AND(V88="Standard difficulty applied",O88&gt;P88),U88,IF(AND(V88="Low Difficulty - only applicable if all habitat created before losses",P88&gt;=O88),"Low",VLOOKUP(F88,'G-3 Multipliers'!$A$2:$E$130,4,FALSE))))</f>
        <v/>
      </c>
      <c r="X88" s="345" t="str">
        <f>IFERROR(IF(E88="","",VLOOKUP(W88, 'G-3 Multipliers'!$P$2:$Q$6,2,FALSE)),””)</f>
        <v/>
      </c>
      <c r="Y88" s="595" t="str">
        <f t="shared" si="11"/>
        <v/>
      </c>
      <c r="Z88" s="355"/>
      <c r="AA88" s="356"/>
      <c r="AE88" s="59" t="str">
        <f t="shared" si="7"/>
        <v/>
      </c>
    </row>
    <row r="89" spans="1:31" x14ac:dyDescent="0.25">
      <c r="A89" s="52" t="str">
        <f>IFERROR(INDEX('G-8 Condition Look up'!$I$4:$I$131,MATCH(F89,'G-8 Condition Look up'!$A$4:$A$131,0)),"")</f>
        <v/>
      </c>
      <c r="C89" s="588" t="str">
        <f>IFERROR(INDEX('G-1 All Habitats'!$AG$3:$AG$15,MATCH(D89,'G-1 All Habitats'!$AF$3:$AF$15,0)),"")</f>
        <v/>
      </c>
      <c r="D89" s="347"/>
      <c r="E89" s="366"/>
      <c r="F89" s="365" t="str">
        <f>IFERROR(INDEX('G-1 All Habitats'!$B$3:$B$130,MATCH(E89,'G-1 All Habitats'!$A$3:$A$130,0)),"")</f>
        <v/>
      </c>
      <c r="G89" s="76"/>
      <c r="H89" s="77" t="str">
        <f>IF(F89="","",VLOOKUP(F89,'G-1 All Habitats'!$B$2:$M$130,10,FALSE))</f>
        <v/>
      </c>
      <c r="I89" s="78" t="str">
        <f>IFERROR(VLOOKUP(H89,'G-1 All Habitats'!$V$3:$W$7,2,FALSE),"")</f>
        <v/>
      </c>
      <c r="J89" s="79"/>
      <c r="K89" s="78" t="str">
        <f>IFERROR(INDEX('G-8 Condition Look up'!$A$3:$H$131,MATCH(F89,'G-8 Condition Look up'!$A$3:$A$131,0),MATCH(J89,'G-8 Condition Look up'!$A$3:$H$3,0)),"")</f>
        <v/>
      </c>
      <c r="L89" s="79"/>
      <c r="M89" s="348" t="str">
        <f>IF(L89="","",IF(VLOOKUP(L89,'G-3 Multipliers'!$L$3:$N$6,2,FALSE)=0,"Spatial Data Missing",VLOOKUP(L89,'G-3 Multipliers'!$L$3:$N$6,2,FALSE)))</f>
        <v/>
      </c>
      <c r="N89" s="569" t="str">
        <f>IF(L89="","",IF(VLOOKUP(L89,'G-3 Multipliers'!$L$3:$N$6,3,FALSE)=0,"Spatial Data Missing",VLOOKUP(L89,'G-3 Multipliers'!$L$3:$N$6,3,FALSE)))</f>
        <v/>
      </c>
      <c r="O89" s="77" t="str">
        <f t="shared" si="6"/>
        <v/>
      </c>
      <c r="P89" s="94"/>
      <c r="Q89" s="94"/>
      <c r="R89" s="343" t="str">
        <f t="shared" si="8"/>
        <v/>
      </c>
      <c r="S89" s="591" t="str">
        <f t="shared" si="9"/>
        <v/>
      </c>
      <c r="T89" s="593" t="str">
        <f>IFERROR(IF(S89="Check Data","Check Data",VLOOKUP(S89,'G-4 Temporal multipliers'!$A$4:$C$37,3,FALSE)),"")</f>
        <v/>
      </c>
      <c r="U89" s="592" t="str">
        <f>IF(F89="","",VLOOKUP(F89,'G-3 Multipliers'!$A$2:$E$130,2,FALSE))</f>
        <v/>
      </c>
      <c r="V89" s="343" t="str">
        <f t="shared" si="10"/>
        <v/>
      </c>
      <c r="W89" s="343" t="str">
        <f>IF(E89="","",IF(AND(V89="Standard difficulty applied",O89&gt;P89),U89,IF(AND(V89="Low Difficulty - only applicable if all habitat created before losses",P89&gt;=O89),"Low",VLOOKUP(F89,'G-3 Multipliers'!$A$2:$E$130,4,FALSE))))</f>
        <v/>
      </c>
      <c r="X89" s="345" t="str">
        <f>IFERROR(IF(E89="","",VLOOKUP(W89, 'G-3 Multipliers'!$P$2:$Q$6,2,FALSE)),””)</f>
        <v/>
      </c>
      <c r="Y89" s="595" t="str">
        <f t="shared" si="11"/>
        <v/>
      </c>
      <c r="Z89" s="355"/>
      <c r="AA89" s="356"/>
      <c r="AE89" s="59" t="str">
        <f t="shared" si="7"/>
        <v/>
      </c>
    </row>
    <row r="90" spans="1:31" x14ac:dyDescent="0.25">
      <c r="A90" s="52" t="str">
        <f>IFERROR(INDEX('G-8 Condition Look up'!$I$4:$I$131,MATCH(F90,'G-8 Condition Look up'!$A$4:$A$131,0)),"")</f>
        <v/>
      </c>
      <c r="C90" s="588" t="str">
        <f>IFERROR(INDEX('G-1 All Habitats'!$AG$3:$AG$15,MATCH(D90,'G-1 All Habitats'!$AF$3:$AF$15,0)),"")</f>
        <v/>
      </c>
      <c r="D90" s="347"/>
      <c r="E90" s="366"/>
      <c r="F90" s="365" t="str">
        <f>IFERROR(INDEX('G-1 All Habitats'!$B$3:$B$130,MATCH(E90,'G-1 All Habitats'!$A$3:$A$130,0)),"")</f>
        <v/>
      </c>
      <c r="G90" s="76"/>
      <c r="H90" s="77" t="str">
        <f>IF(F90="","",VLOOKUP(F90,'G-1 All Habitats'!$B$2:$M$130,10,FALSE))</f>
        <v/>
      </c>
      <c r="I90" s="78" t="str">
        <f>IFERROR(VLOOKUP(H90,'G-1 All Habitats'!$V$3:$W$7,2,FALSE),"")</f>
        <v/>
      </c>
      <c r="J90" s="79"/>
      <c r="K90" s="78" t="str">
        <f>IFERROR(INDEX('G-8 Condition Look up'!$A$3:$H$131,MATCH(F90,'G-8 Condition Look up'!$A$3:$A$131,0),MATCH(J90,'G-8 Condition Look up'!$A$3:$H$3,0)),"")</f>
        <v/>
      </c>
      <c r="L90" s="79"/>
      <c r="M90" s="348" t="str">
        <f>IF(L90="","",IF(VLOOKUP(L90,'G-3 Multipliers'!$L$3:$N$6,2,FALSE)=0,"Spatial Data Missing",VLOOKUP(L90,'G-3 Multipliers'!$L$3:$N$6,2,FALSE)))</f>
        <v/>
      </c>
      <c r="N90" s="569" t="str">
        <f>IF(L90="","",IF(VLOOKUP(L90,'G-3 Multipliers'!$L$3:$N$6,3,FALSE)=0,"Spatial Data Missing",VLOOKUP(L90,'G-3 Multipliers'!$L$3:$N$6,3,FALSE)))</f>
        <v/>
      </c>
      <c r="O90" s="77" t="str">
        <f t="shared" si="6"/>
        <v/>
      </c>
      <c r="P90" s="94"/>
      <c r="Q90" s="94"/>
      <c r="R90" s="343" t="str">
        <f t="shared" si="8"/>
        <v/>
      </c>
      <c r="S90" s="591" t="str">
        <f t="shared" si="9"/>
        <v/>
      </c>
      <c r="T90" s="593" t="str">
        <f>IFERROR(IF(S90="Check Data","Check Data",VLOOKUP(S90,'G-4 Temporal multipliers'!$A$4:$C$37,3,FALSE)),"")</f>
        <v/>
      </c>
      <c r="U90" s="592" t="str">
        <f>IF(F90="","",VLOOKUP(F90,'G-3 Multipliers'!$A$2:$E$130,2,FALSE))</f>
        <v/>
      </c>
      <c r="V90" s="343" t="str">
        <f t="shared" si="10"/>
        <v/>
      </c>
      <c r="W90" s="343" t="str">
        <f>IF(E90="","",IF(AND(V90="Standard difficulty applied",O90&gt;P90),U90,IF(AND(V90="Low Difficulty - only applicable if all habitat created before losses",P90&gt;=O90),"Low",VLOOKUP(F90,'G-3 Multipliers'!$A$2:$E$130,4,FALSE))))</f>
        <v/>
      </c>
      <c r="X90" s="345" t="str">
        <f>IFERROR(IF(E90="","",VLOOKUP(W90, 'G-3 Multipliers'!$P$2:$Q$6,2,FALSE)),””)</f>
        <v/>
      </c>
      <c r="Y90" s="595" t="str">
        <f t="shared" si="11"/>
        <v/>
      </c>
      <c r="Z90" s="355"/>
      <c r="AA90" s="356"/>
      <c r="AE90" s="59" t="str">
        <f t="shared" si="7"/>
        <v/>
      </c>
    </row>
    <row r="91" spans="1:31" x14ac:dyDescent="0.25">
      <c r="A91" s="52" t="str">
        <f>IFERROR(INDEX('G-8 Condition Look up'!$I$4:$I$131,MATCH(F91,'G-8 Condition Look up'!$A$4:$A$131,0)),"")</f>
        <v/>
      </c>
      <c r="C91" s="588" t="str">
        <f>IFERROR(INDEX('G-1 All Habitats'!$AG$3:$AG$15,MATCH(D91,'G-1 All Habitats'!$AF$3:$AF$15,0)),"")</f>
        <v/>
      </c>
      <c r="D91" s="347"/>
      <c r="E91" s="366"/>
      <c r="F91" s="365" t="str">
        <f>IFERROR(INDEX('G-1 All Habitats'!$B$3:$B$130,MATCH(E91,'G-1 All Habitats'!$A$3:$A$130,0)),"")</f>
        <v/>
      </c>
      <c r="G91" s="76"/>
      <c r="H91" s="77" t="str">
        <f>IF(F91="","",VLOOKUP(F91,'G-1 All Habitats'!$B$2:$M$130,10,FALSE))</f>
        <v/>
      </c>
      <c r="I91" s="78" t="str">
        <f>IFERROR(VLOOKUP(H91,'G-1 All Habitats'!$V$3:$W$7,2,FALSE),"")</f>
        <v/>
      </c>
      <c r="J91" s="79"/>
      <c r="K91" s="78" t="str">
        <f>IFERROR(INDEX('G-8 Condition Look up'!$A$3:$H$131,MATCH(F91,'G-8 Condition Look up'!$A$3:$A$131,0),MATCH(J91,'G-8 Condition Look up'!$A$3:$H$3,0)),"")</f>
        <v/>
      </c>
      <c r="L91" s="79"/>
      <c r="M91" s="348" t="str">
        <f>IF(L91="","",IF(VLOOKUP(L91,'G-3 Multipliers'!$L$3:$N$6,2,FALSE)=0,"Spatial Data Missing",VLOOKUP(L91,'G-3 Multipliers'!$L$3:$N$6,2,FALSE)))</f>
        <v/>
      </c>
      <c r="N91" s="569" t="str">
        <f>IF(L91="","",IF(VLOOKUP(L91,'G-3 Multipliers'!$L$3:$N$6,3,FALSE)=0,"Spatial Data Missing",VLOOKUP(L91,'G-3 Multipliers'!$L$3:$N$6,3,FALSE)))</f>
        <v/>
      </c>
      <c r="O91" s="77" t="str">
        <f t="shared" si="6"/>
        <v/>
      </c>
      <c r="P91" s="94"/>
      <c r="Q91" s="94"/>
      <c r="R91" s="343" t="str">
        <f t="shared" si="8"/>
        <v/>
      </c>
      <c r="S91" s="591" t="str">
        <f t="shared" si="9"/>
        <v/>
      </c>
      <c r="T91" s="593" t="str">
        <f>IFERROR(IF(S91="Check Data","Check Data",VLOOKUP(S91,'G-4 Temporal multipliers'!$A$4:$C$37,3,FALSE)),"")</f>
        <v/>
      </c>
      <c r="U91" s="592" t="str">
        <f>IF(F91="","",VLOOKUP(F91,'G-3 Multipliers'!$A$2:$E$130,2,FALSE))</f>
        <v/>
      </c>
      <c r="V91" s="343" t="str">
        <f t="shared" si="10"/>
        <v/>
      </c>
      <c r="W91" s="343" t="str">
        <f>IF(E91="","",IF(AND(V91="Standard difficulty applied",O91&gt;P91),U91,IF(AND(V91="Low Difficulty - only applicable if all habitat created before losses",P91&gt;=O91),"Low",VLOOKUP(F91,'G-3 Multipliers'!$A$2:$E$130,4,FALSE))))</f>
        <v/>
      </c>
      <c r="X91" s="345" t="str">
        <f>IFERROR(IF(E91="","",VLOOKUP(W91, 'G-3 Multipliers'!$P$2:$Q$6,2,FALSE)),””)</f>
        <v/>
      </c>
      <c r="Y91" s="595" t="str">
        <f t="shared" si="11"/>
        <v/>
      </c>
      <c r="Z91" s="355"/>
      <c r="AA91" s="356"/>
      <c r="AE91" s="59" t="str">
        <f t="shared" si="7"/>
        <v/>
      </c>
    </row>
    <row r="92" spans="1:31" x14ac:dyDescent="0.25">
      <c r="A92" s="52" t="str">
        <f>IFERROR(INDEX('G-8 Condition Look up'!$I$4:$I$131,MATCH(F92,'G-8 Condition Look up'!$A$4:$A$131,0)),"")</f>
        <v/>
      </c>
      <c r="C92" s="588" t="str">
        <f>IFERROR(INDEX('G-1 All Habitats'!$AG$3:$AG$15,MATCH(D92,'G-1 All Habitats'!$AF$3:$AF$15,0)),"")</f>
        <v/>
      </c>
      <c r="D92" s="347"/>
      <c r="E92" s="366"/>
      <c r="F92" s="365" t="str">
        <f>IFERROR(INDEX('G-1 All Habitats'!$B$3:$B$130,MATCH(E92,'G-1 All Habitats'!$A$3:$A$130,0)),"")</f>
        <v/>
      </c>
      <c r="G92" s="76"/>
      <c r="H92" s="77" t="str">
        <f>IF(F92="","",VLOOKUP(F92,'G-1 All Habitats'!$B$2:$M$130,10,FALSE))</f>
        <v/>
      </c>
      <c r="I92" s="78" t="str">
        <f>IFERROR(VLOOKUP(H92,'G-1 All Habitats'!$V$3:$W$7,2,FALSE),"")</f>
        <v/>
      </c>
      <c r="J92" s="79"/>
      <c r="K92" s="78" t="str">
        <f>IFERROR(INDEX('G-8 Condition Look up'!$A$3:$H$131,MATCH(F92,'G-8 Condition Look up'!$A$3:$A$131,0),MATCH(J92,'G-8 Condition Look up'!$A$3:$H$3,0)),"")</f>
        <v/>
      </c>
      <c r="L92" s="79"/>
      <c r="M92" s="348" t="str">
        <f>IF(L92="","",IF(VLOOKUP(L92,'G-3 Multipliers'!$L$3:$N$6,2,FALSE)=0,"Spatial Data Missing",VLOOKUP(L92,'G-3 Multipliers'!$L$3:$N$6,2,FALSE)))</f>
        <v/>
      </c>
      <c r="N92" s="569" t="str">
        <f>IF(L92="","",IF(VLOOKUP(L92,'G-3 Multipliers'!$L$3:$N$6,3,FALSE)=0,"Spatial Data Missing",VLOOKUP(L92,'G-3 Multipliers'!$L$3:$N$6,3,FALSE)))</f>
        <v/>
      </c>
      <c r="O92" s="77" t="str">
        <f t="shared" si="6"/>
        <v/>
      </c>
      <c r="P92" s="94"/>
      <c r="Q92" s="94"/>
      <c r="R92" s="343" t="str">
        <f t="shared" si="8"/>
        <v/>
      </c>
      <c r="S92" s="591" t="str">
        <f t="shared" si="9"/>
        <v/>
      </c>
      <c r="T92" s="593" t="str">
        <f>IFERROR(IF(S92="Check Data","Check Data",VLOOKUP(S92,'G-4 Temporal multipliers'!$A$4:$C$37,3,FALSE)),"")</f>
        <v/>
      </c>
      <c r="U92" s="592" t="str">
        <f>IF(F92="","",VLOOKUP(F92,'G-3 Multipliers'!$A$2:$E$130,2,FALSE))</f>
        <v/>
      </c>
      <c r="V92" s="343" t="str">
        <f t="shared" si="10"/>
        <v/>
      </c>
      <c r="W92" s="343" t="str">
        <f>IF(E92="","",IF(AND(V92="Standard difficulty applied",O92&gt;P92),U92,IF(AND(V92="Low Difficulty - only applicable if all habitat created before losses",P92&gt;=O92),"Low",VLOOKUP(F92,'G-3 Multipliers'!$A$2:$E$130,4,FALSE))))</f>
        <v/>
      </c>
      <c r="X92" s="345" t="str">
        <f>IFERROR(IF(E92="","",VLOOKUP(W92, 'G-3 Multipliers'!$P$2:$Q$6,2,FALSE)),””)</f>
        <v/>
      </c>
      <c r="Y92" s="595" t="str">
        <f t="shared" si="11"/>
        <v/>
      </c>
      <c r="Z92" s="355"/>
      <c r="AA92" s="356"/>
      <c r="AE92" s="59" t="str">
        <f t="shared" si="7"/>
        <v/>
      </c>
    </row>
    <row r="93" spans="1:31" x14ac:dyDescent="0.25">
      <c r="A93" s="52" t="str">
        <f>IFERROR(INDEX('G-8 Condition Look up'!$I$4:$I$131,MATCH(F93,'G-8 Condition Look up'!$A$4:$A$131,0)),"")</f>
        <v/>
      </c>
      <c r="C93" s="588" t="str">
        <f>IFERROR(INDEX('G-1 All Habitats'!$AG$3:$AG$15,MATCH(D93,'G-1 All Habitats'!$AF$3:$AF$15,0)),"")</f>
        <v/>
      </c>
      <c r="D93" s="347"/>
      <c r="E93" s="366"/>
      <c r="F93" s="365" t="str">
        <f>IFERROR(INDEX('G-1 All Habitats'!$B$3:$B$130,MATCH(E93,'G-1 All Habitats'!$A$3:$A$130,0)),"")</f>
        <v/>
      </c>
      <c r="G93" s="76"/>
      <c r="H93" s="77" t="str">
        <f>IF(F93="","",VLOOKUP(F93,'G-1 All Habitats'!$B$2:$M$130,10,FALSE))</f>
        <v/>
      </c>
      <c r="I93" s="78" t="str">
        <f>IFERROR(VLOOKUP(H93,'G-1 All Habitats'!$V$3:$W$7,2,FALSE),"")</f>
        <v/>
      </c>
      <c r="J93" s="79"/>
      <c r="K93" s="78" t="str">
        <f>IFERROR(INDEX('G-8 Condition Look up'!$A$3:$H$131,MATCH(F93,'G-8 Condition Look up'!$A$3:$A$131,0),MATCH(J93,'G-8 Condition Look up'!$A$3:$H$3,0)),"")</f>
        <v/>
      </c>
      <c r="L93" s="79"/>
      <c r="M93" s="348" t="str">
        <f>IF(L93="","",IF(VLOOKUP(L93,'G-3 Multipliers'!$L$3:$N$6,2,FALSE)=0,"Spatial Data Missing",VLOOKUP(L93,'G-3 Multipliers'!$L$3:$N$6,2,FALSE)))</f>
        <v/>
      </c>
      <c r="N93" s="569" t="str">
        <f>IF(L93="","",IF(VLOOKUP(L93,'G-3 Multipliers'!$L$3:$N$6,3,FALSE)=0,"Spatial Data Missing",VLOOKUP(L93,'G-3 Multipliers'!$L$3:$N$6,3,FALSE)))</f>
        <v/>
      </c>
      <c r="O93" s="77" t="str">
        <f t="shared" si="6"/>
        <v/>
      </c>
      <c r="P93" s="94"/>
      <c r="Q93" s="94"/>
      <c r="R93" s="343" t="str">
        <f t="shared" si="8"/>
        <v/>
      </c>
      <c r="S93" s="591" t="str">
        <f t="shared" si="9"/>
        <v/>
      </c>
      <c r="T93" s="593" t="str">
        <f>IFERROR(IF(S93="Check Data","Check Data",VLOOKUP(S93,'G-4 Temporal multipliers'!$A$4:$C$37,3,FALSE)),"")</f>
        <v/>
      </c>
      <c r="U93" s="592" t="str">
        <f>IF(F93="","",VLOOKUP(F93,'G-3 Multipliers'!$A$2:$E$130,2,FALSE))</f>
        <v/>
      </c>
      <c r="V93" s="343" t="str">
        <f t="shared" si="10"/>
        <v/>
      </c>
      <c r="W93" s="343" t="str">
        <f>IF(E93="","",IF(AND(V93="Standard difficulty applied",O93&gt;P93),U93,IF(AND(V93="Low Difficulty - only applicable if all habitat created before losses",P93&gt;=O93),"Low",VLOOKUP(F93,'G-3 Multipliers'!$A$2:$E$130,4,FALSE))))</f>
        <v/>
      </c>
      <c r="X93" s="345" t="str">
        <f>IFERROR(IF(E93="","",VLOOKUP(W93, 'G-3 Multipliers'!$P$2:$Q$6,2,FALSE)),””)</f>
        <v/>
      </c>
      <c r="Y93" s="595" t="str">
        <f t="shared" si="11"/>
        <v/>
      </c>
      <c r="Z93" s="355"/>
      <c r="AA93" s="356"/>
      <c r="AE93" s="59" t="str">
        <f t="shared" si="7"/>
        <v/>
      </c>
    </row>
    <row r="94" spans="1:31" x14ac:dyDescent="0.25">
      <c r="A94" s="52" t="str">
        <f>IFERROR(INDEX('G-8 Condition Look up'!$I$4:$I$131,MATCH(F94,'G-8 Condition Look up'!$A$4:$A$131,0)),"")</f>
        <v/>
      </c>
      <c r="C94" s="588" t="str">
        <f>IFERROR(INDEX('G-1 All Habitats'!$AG$3:$AG$15,MATCH(D94,'G-1 All Habitats'!$AF$3:$AF$15,0)),"")</f>
        <v/>
      </c>
      <c r="D94" s="347"/>
      <c r="E94" s="366"/>
      <c r="F94" s="365" t="str">
        <f>IFERROR(INDEX('G-1 All Habitats'!$B$3:$B$130,MATCH(E94,'G-1 All Habitats'!$A$3:$A$130,0)),"")</f>
        <v/>
      </c>
      <c r="G94" s="76"/>
      <c r="H94" s="77" t="str">
        <f>IF(F94="","",VLOOKUP(F94,'G-1 All Habitats'!$B$2:$M$130,10,FALSE))</f>
        <v/>
      </c>
      <c r="I94" s="78" t="str">
        <f>IFERROR(VLOOKUP(H94,'G-1 All Habitats'!$V$3:$W$7,2,FALSE),"")</f>
        <v/>
      </c>
      <c r="J94" s="79"/>
      <c r="K94" s="78" t="str">
        <f>IFERROR(INDEX('G-8 Condition Look up'!$A$3:$H$131,MATCH(F94,'G-8 Condition Look up'!$A$3:$A$131,0),MATCH(J94,'G-8 Condition Look up'!$A$3:$H$3,0)),"")</f>
        <v/>
      </c>
      <c r="L94" s="79"/>
      <c r="M94" s="348" t="str">
        <f>IF(L94="","",IF(VLOOKUP(L94,'G-3 Multipliers'!$L$3:$N$6,2,FALSE)=0,"Spatial Data Missing",VLOOKUP(L94,'G-3 Multipliers'!$L$3:$N$6,2,FALSE)))</f>
        <v/>
      </c>
      <c r="N94" s="569" t="str">
        <f>IF(L94="","",IF(VLOOKUP(L94,'G-3 Multipliers'!$L$3:$N$6,3,FALSE)=0,"Spatial Data Missing",VLOOKUP(L94,'G-3 Multipliers'!$L$3:$N$6,3,FALSE)))</f>
        <v/>
      </c>
      <c r="O94" s="77" t="str">
        <f t="shared" si="6"/>
        <v/>
      </c>
      <c r="P94" s="94"/>
      <c r="Q94" s="94"/>
      <c r="R94" s="343" t="str">
        <f t="shared" si="8"/>
        <v/>
      </c>
      <c r="S94" s="591" t="str">
        <f t="shared" si="9"/>
        <v/>
      </c>
      <c r="T94" s="593" t="str">
        <f>IFERROR(IF(S94="Check Data","Check Data",VLOOKUP(S94,'G-4 Temporal multipliers'!$A$4:$C$37,3,FALSE)),"")</f>
        <v/>
      </c>
      <c r="U94" s="592" t="str">
        <f>IF(F94="","",VLOOKUP(F94,'G-3 Multipliers'!$A$2:$E$130,2,FALSE))</f>
        <v/>
      </c>
      <c r="V94" s="343" t="str">
        <f t="shared" si="10"/>
        <v/>
      </c>
      <c r="W94" s="343" t="str">
        <f>IF(E94="","",IF(AND(V94="Standard difficulty applied",O94&gt;P94),U94,IF(AND(V94="Low Difficulty - only applicable if all habitat created before losses",P94&gt;=O94),"Low",VLOOKUP(F94,'G-3 Multipliers'!$A$2:$E$130,4,FALSE))))</f>
        <v/>
      </c>
      <c r="X94" s="345" t="str">
        <f>IFERROR(IF(E94="","",VLOOKUP(W94, 'G-3 Multipliers'!$P$2:$Q$6,2,FALSE)),””)</f>
        <v/>
      </c>
      <c r="Y94" s="595" t="str">
        <f t="shared" si="11"/>
        <v/>
      </c>
      <c r="Z94" s="355"/>
      <c r="AA94" s="356"/>
      <c r="AE94" s="59" t="str">
        <f t="shared" si="7"/>
        <v/>
      </c>
    </row>
    <row r="95" spans="1:31" x14ac:dyDescent="0.25">
      <c r="A95" s="52" t="str">
        <f>IFERROR(INDEX('G-8 Condition Look up'!$I$4:$I$131,MATCH(F95,'G-8 Condition Look up'!$A$4:$A$131,0)),"")</f>
        <v/>
      </c>
      <c r="C95" s="588" t="str">
        <f>IFERROR(INDEX('G-1 All Habitats'!$AG$3:$AG$15,MATCH(D95,'G-1 All Habitats'!$AF$3:$AF$15,0)),"")</f>
        <v/>
      </c>
      <c r="D95" s="347"/>
      <c r="E95" s="366"/>
      <c r="F95" s="365" t="str">
        <f>IFERROR(INDEX('G-1 All Habitats'!$B$3:$B$130,MATCH(E95,'G-1 All Habitats'!$A$3:$A$130,0)),"")</f>
        <v/>
      </c>
      <c r="G95" s="76"/>
      <c r="H95" s="77" t="str">
        <f>IF(F95="","",VLOOKUP(F95,'G-1 All Habitats'!$B$2:$M$130,10,FALSE))</f>
        <v/>
      </c>
      <c r="I95" s="78" t="str">
        <f>IFERROR(VLOOKUP(H95,'G-1 All Habitats'!$V$3:$W$7,2,FALSE),"")</f>
        <v/>
      </c>
      <c r="J95" s="79"/>
      <c r="K95" s="78" t="str">
        <f>IFERROR(INDEX('G-8 Condition Look up'!$A$3:$H$131,MATCH(F95,'G-8 Condition Look up'!$A$3:$A$131,0),MATCH(J95,'G-8 Condition Look up'!$A$3:$H$3,0)),"")</f>
        <v/>
      </c>
      <c r="L95" s="79"/>
      <c r="M95" s="348" t="str">
        <f>IF(L95="","",IF(VLOOKUP(L95,'G-3 Multipliers'!$L$3:$N$6,2,FALSE)=0,"Spatial Data Missing",VLOOKUP(L95,'G-3 Multipliers'!$L$3:$N$6,2,FALSE)))</f>
        <v/>
      </c>
      <c r="N95" s="569" t="str">
        <f>IF(L95="","",IF(VLOOKUP(L95,'G-3 Multipliers'!$L$3:$N$6,3,FALSE)=0,"Spatial Data Missing",VLOOKUP(L95,'G-3 Multipliers'!$L$3:$N$6,3,FALSE)))</f>
        <v/>
      </c>
      <c r="O95" s="77" t="str">
        <f t="shared" si="6"/>
        <v/>
      </c>
      <c r="P95" s="94"/>
      <c r="Q95" s="94"/>
      <c r="R95" s="343" t="str">
        <f t="shared" si="8"/>
        <v/>
      </c>
      <c r="S95" s="591" t="str">
        <f t="shared" si="9"/>
        <v/>
      </c>
      <c r="T95" s="593" t="str">
        <f>IFERROR(IF(S95="Check Data","Check Data",VLOOKUP(S95,'G-4 Temporal multipliers'!$A$4:$C$37,3,FALSE)),"")</f>
        <v/>
      </c>
      <c r="U95" s="592" t="str">
        <f>IF(F95="","",VLOOKUP(F95,'G-3 Multipliers'!$A$2:$E$130,2,FALSE))</f>
        <v/>
      </c>
      <c r="V95" s="343" t="str">
        <f t="shared" si="10"/>
        <v/>
      </c>
      <c r="W95" s="343" t="str">
        <f>IF(E95="","",IF(AND(V95="Standard difficulty applied",O95&gt;P95),U95,IF(AND(V95="Low Difficulty - only applicable if all habitat created before losses",P95&gt;=O95),"Low",VLOOKUP(F95,'G-3 Multipliers'!$A$2:$E$130,4,FALSE))))</f>
        <v/>
      </c>
      <c r="X95" s="345" t="str">
        <f>IFERROR(IF(E95="","",VLOOKUP(W95, 'G-3 Multipliers'!$P$2:$Q$6,2,FALSE)),””)</f>
        <v/>
      </c>
      <c r="Y95" s="595" t="str">
        <f t="shared" si="11"/>
        <v/>
      </c>
      <c r="Z95" s="355"/>
      <c r="AA95" s="356"/>
      <c r="AE95" s="59" t="str">
        <f t="shared" si="7"/>
        <v/>
      </c>
    </row>
    <row r="96" spans="1:31" x14ac:dyDescent="0.25">
      <c r="A96" s="52" t="str">
        <f>IFERROR(INDEX('G-8 Condition Look up'!$I$4:$I$131,MATCH(F96,'G-8 Condition Look up'!$A$4:$A$131,0)),"")</f>
        <v/>
      </c>
      <c r="C96" s="588" t="str">
        <f>IFERROR(INDEX('G-1 All Habitats'!$AG$3:$AG$15,MATCH(D96,'G-1 All Habitats'!$AF$3:$AF$15,0)),"")</f>
        <v/>
      </c>
      <c r="D96" s="347"/>
      <c r="E96" s="366"/>
      <c r="F96" s="365" t="str">
        <f>IFERROR(INDEX('G-1 All Habitats'!$B$3:$B$130,MATCH(E96,'G-1 All Habitats'!$A$3:$A$130,0)),"")</f>
        <v/>
      </c>
      <c r="G96" s="76"/>
      <c r="H96" s="77" t="str">
        <f>IF(F96="","",VLOOKUP(F96,'G-1 All Habitats'!$B$2:$M$130,10,FALSE))</f>
        <v/>
      </c>
      <c r="I96" s="78" t="str">
        <f>IFERROR(VLOOKUP(H96,'G-1 All Habitats'!$V$3:$W$7,2,FALSE),"")</f>
        <v/>
      </c>
      <c r="J96" s="79"/>
      <c r="K96" s="78" t="str">
        <f>IFERROR(INDEX('G-8 Condition Look up'!$A$3:$H$131,MATCH(F96,'G-8 Condition Look up'!$A$3:$A$131,0),MATCH(J96,'G-8 Condition Look up'!$A$3:$H$3,0)),"")</f>
        <v/>
      </c>
      <c r="L96" s="79"/>
      <c r="M96" s="348" t="str">
        <f>IF(L96="","",IF(VLOOKUP(L96,'G-3 Multipliers'!$L$3:$N$6,2,FALSE)=0,"Spatial Data Missing",VLOOKUP(L96,'G-3 Multipliers'!$L$3:$N$6,2,FALSE)))</f>
        <v/>
      </c>
      <c r="N96" s="569" t="str">
        <f>IF(L96="","",IF(VLOOKUP(L96,'G-3 Multipliers'!$L$3:$N$6,3,FALSE)=0,"Spatial Data Missing",VLOOKUP(L96,'G-3 Multipliers'!$L$3:$N$6,3,FALSE)))</f>
        <v/>
      </c>
      <c r="O96" s="77" t="str">
        <f t="shared" si="6"/>
        <v/>
      </c>
      <c r="P96" s="94"/>
      <c r="Q96" s="94"/>
      <c r="R96" s="343" t="str">
        <f t="shared" si="8"/>
        <v/>
      </c>
      <c r="S96" s="591" t="str">
        <f t="shared" si="9"/>
        <v/>
      </c>
      <c r="T96" s="593" t="str">
        <f>IFERROR(IF(S96="Check Data","Check Data",VLOOKUP(S96,'G-4 Temporal multipliers'!$A$4:$C$37,3,FALSE)),"")</f>
        <v/>
      </c>
      <c r="U96" s="592" t="str">
        <f>IF(F96="","",VLOOKUP(F96,'G-3 Multipliers'!$A$2:$E$130,2,FALSE))</f>
        <v/>
      </c>
      <c r="V96" s="343" t="str">
        <f t="shared" si="10"/>
        <v/>
      </c>
      <c r="W96" s="343" t="str">
        <f>IF(E96="","",IF(AND(V96="Standard difficulty applied",O96&gt;P96),U96,IF(AND(V96="Low Difficulty - only applicable if all habitat created before losses",P96&gt;=O96),"Low",VLOOKUP(F96,'G-3 Multipliers'!$A$2:$E$130,4,FALSE))))</f>
        <v/>
      </c>
      <c r="X96" s="345" t="str">
        <f>IFERROR(IF(E96="","",VLOOKUP(W96, 'G-3 Multipliers'!$P$2:$Q$6,2,FALSE)),””)</f>
        <v/>
      </c>
      <c r="Y96" s="595" t="str">
        <f t="shared" si="11"/>
        <v/>
      </c>
      <c r="Z96" s="355"/>
      <c r="AA96" s="356"/>
      <c r="AE96" s="59" t="str">
        <f t="shared" si="7"/>
        <v/>
      </c>
    </row>
    <row r="97" spans="1:31" x14ac:dyDescent="0.25">
      <c r="A97" s="52" t="str">
        <f>IFERROR(INDEX('G-8 Condition Look up'!$I$4:$I$131,MATCH(F97,'G-8 Condition Look up'!$A$4:$A$131,0)),"")</f>
        <v/>
      </c>
      <c r="C97" s="588" t="str">
        <f>IFERROR(INDEX('G-1 All Habitats'!$AG$3:$AG$15,MATCH(D97,'G-1 All Habitats'!$AF$3:$AF$15,0)),"")</f>
        <v/>
      </c>
      <c r="D97" s="347"/>
      <c r="E97" s="366"/>
      <c r="F97" s="365" t="str">
        <f>IFERROR(INDEX('G-1 All Habitats'!$B$3:$B$130,MATCH(E97,'G-1 All Habitats'!$A$3:$A$130,0)),"")</f>
        <v/>
      </c>
      <c r="G97" s="76"/>
      <c r="H97" s="77" t="str">
        <f>IF(F97="","",VLOOKUP(F97,'G-1 All Habitats'!$B$2:$M$130,10,FALSE))</f>
        <v/>
      </c>
      <c r="I97" s="78" t="str">
        <f>IFERROR(VLOOKUP(H97,'G-1 All Habitats'!$V$3:$W$7,2,FALSE),"")</f>
        <v/>
      </c>
      <c r="J97" s="79"/>
      <c r="K97" s="78" t="str">
        <f>IFERROR(INDEX('G-8 Condition Look up'!$A$3:$H$131,MATCH(F97,'G-8 Condition Look up'!$A$3:$A$131,0),MATCH(J97,'G-8 Condition Look up'!$A$3:$H$3,0)),"")</f>
        <v/>
      </c>
      <c r="L97" s="79"/>
      <c r="M97" s="348" t="str">
        <f>IF(L97="","",IF(VLOOKUP(L97,'G-3 Multipliers'!$L$3:$N$6,2,FALSE)=0,"Spatial Data Missing",VLOOKUP(L97,'G-3 Multipliers'!$L$3:$N$6,2,FALSE)))</f>
        <v/>
      </c>
      <c r="N97" s="569" t="str">
        <f>IF(L97="","",IF(VLOOKUP(L97,'G-3 Multipliers'!$L$3:$N$6,3,FALSE)=0,"Spatial Data Missing",VLOOKUP(L97,'G-3 Multipliers'!$L$3:$N$6,3,FALSE)))</f>
        <v/>
      </c>
      <c r="O97" s="77" t="str">
        <f t="shared" si="6"/>
        <v/>
      </c>
      <c r="P97" s="94"/>
      <c r="Q97" s="94"/>
      <c r="R97" s="343" t="str">
        <f t="shared" si="8"/>
        <v/>
      </c>
      <c r="S97" s="591" t="str">
        <f t="shared" si="9"/>
        <v/>
      </c>
      <c r="T97" s="593" t="str">
        <f>IFERROR(IF(S97="Check Data","Check Data",VLOOKUP(S97,'G-4 Temporal multipliers'!$A$4:$C$37,3,FALSE)),"")</f>
        <v/>
      </c>
      <c r="U97" s="592" t="str">
        <f>IF(F97="","",VLOOKUP(F97,'G-3 Multipliers'!$A$2:$E$130,2,FALSE))</f>
        <v/>
      </c>
      <c r="V97" s="343" t="str">
        <f t="shared" si="10"/>
        <v/>
      </c>
      <c r="W97" s="343" t="str">
        <f>IF(E97="","",IF(AND(V97="Standard difficulty applied",O97&gt;P97),U97,IF(AND(V97="Low Difficulty - only applicable if all habitat created before losses",P97&gt;=O97),"Low",VLOOKUP(F97,'G-3 Multipliers'!$A$2:$E$130,4,FALSE))))</f>
        <v/>
      </c>
      <c r="X97" s="345" t="str">
        <f>IFERROR(IF(E97="","",VLOOKUP(W97, 'G-3 Multipliers'!$P$2:$Q$6,2,FALSE)),””)</f>
        <v/>
      </c>
      <c r="Y97" s="595" t="str">
        <f t="shared" si="11"/>
        <v/>
      </c>
      <c r="Z97" s="355"/>
      <c r="AA97" s="356"/>
      <c r="AE97" s="59" t="str">
        <f t="shared" si="7"/>
        <v/>
      </c>
    </row>
    <row r="98" spans="1:31" x14ac:dyDescent="0.25">
      <c r="A98" s="52" t="str">
        <f>IFERROR(INDEX('G-8 Condition Look up'!$I$4:$I$131,MATCH(F98,'G-8 Condition Look up'!$A$4:$A$131,0)),"")</f>
        <v/>
      </c>
      <c r="C98" s="588" t="str">
        <f>IFERROR(INDEX('G-1 All Habitats'!$AG$3:$AG$15,MATCH(D98,'G-1 All Habitats'!$AF$3:$AF$15,0)),"")</f>
        <v/>
      </c>
      <c r="D98" s="347"/>
      <c r="E98" s="366"/>
      <c r="F98" s="365" t="str">
        <f>IFERROR(INDEX('G-1 All Habitats'!$B$3:$B$130,MATCH(E98,'G-1 All Habitats'!$A$3:$A$130,0)),"")</f>
        <v/>
      </c>
      <c r="G98" s="76"/>
      <c r="H98" s="77" t="str">
        <f>IF(F98="","",VLOOKUP(F98,'G-1 All Habitats'!$B$2:$M$130,10,FALSE))</f>
        <v/>
      </c>
      <c r="I98" s="78" t="str">
        <f>IFERROR(VLOOKUP(H98,'G-1 All Habitats'!$V$3:$W$7,2,FALSE),"")</f>
        <v/>
      </c>
      <c r="J98" s="79"/>
      <c r="K98" s="78" t="str">
        <f>IFERROR(INDEX('G-8 Condition Look up'!$A$3:$H$131,MATCH(F98,'G-8 Condition Look up'!$A$3:$A$131,0),MATCH(J98,'G-8 Condition Look up'!$A$3:$H$3,0)),"")</f>
        <v/>
      </c>
      <c r="L98" s="79"/>
      <c r="M98" s="348" t="str">
        <f>IF(L98="","",IF(VLOOKUP(L98,'G-3 Multipliers'!$L$3:$N$6,2,FALSE)=0,"Spatial Data Missing",VLOOKUP(L98,'G-3 Multipliers'!$L$3:$N$6,2,FALSE)))</f>
        <v/>
      </c>
      <c r="N98" s="569" t="str">
        <f>IF(L98="","",IF(VLOOKUP(L98,'G-3 Multipliers'!$L$3:$N$6,3,FALSE)=0,"Spatial Data Missing",VLOOKUP(L98,'G-3 Multipliers'!$L$3:$N$6,3,FALSE)))</f>
        <v/>
      </c>
      <c r="O98" s="77" t="str">
        <f t="shared" si="6"/>
        <v/>
      </c>
      <c r="P98" s="94"/>
      <c r="Q98" s="94"/>
      <c r="R98" s="343" t="str">
        <f t="shared" si="8"/>
        <v/>
      </c>
      <c r="S98" s="591" t="str">
        <f t="shared" si="9"/>
        <v/>
      </c>
      <c r="T98" s="593" t="str">
        <f>IFERROR(IF(S98="Check Data","Check Data",VLOOKUP(S98,'G-4 Temporal multipliers'!$A$4:$C$37,3,FALSE)),"")</f>
        <v/>
      </c>
      <c r="U98" s="592" t="str">
        <f>IF(F98="","",VLOOKUP(F98,'G-3 Multipliers'!$A$2:$E$130,2,FALSE))</f>
        <v/>
      </c>
      <c r="V98" s="343" t="str">
        <f t="shared" si="10"/>
        <v/>
      </c>
      <c r="W98" s="343" t="str">
        <f>IF(E98="","",IF(AND(V98="Standard difficulty applied",O98&gt;P98),U98,IF(AND(V98="Low Difficulty - only applicable if all habitat created before losses",P98&gt;=O98),"Low",VLOOKUP(F98,'G-3 Multipliers'!$A$2:$E$130,4,FALSE))))</f>
        <v/>
      </c>
      <c r="X98" s="345" t="str">
        <f>IFERROR(IF(E98="","",VLOOKUP(W98, 'G-3 Multipliers'!$P$2:$Q$6,2,FALSE)),””)</f>
        <v/>
      </c>
      <c r="Y98" s="595" t="str">
        <f t="shared" si="11"/>
        <v/>
      </c>
      <c r="Z98" s="355"/>
      <c r="AA98" s="356"/>
      <c r="AE98" s="59" t="str">
        <f t="shared" si="7"/>
        <v/>
      </c>
    </row>
    <row r="99" spans="1:31" x14ac:dyDescent="0.25">
      <c r="A99" s="52" t="str">
        <f>IFERROR(INDEX('G-8 Condition Look up'!$I$4:$I$131,MATCH(F99,'G-8 Condition Look up'!$A$4:$A$131,0)),"")</f>
        <v/>
      </c>
      <c r="C99" s="588" t="str">
        <f>IFERROR(INDEX('G-1 All Habitats'!$AG$3:$AG$15,MATCH(D99,'G-1 All Habitats'!$AF$3:$AF$15,0)),"")</f>
        <v/>
      </c>
      <c r="D99" s="347"/>
      <c r="E99" s="366"/>
      <c r="F99" s="365" t="str">
        <f>IFERROR(INDEX('G-1 All Habitats'!$B$3:$B$130,MATCH(E99,'G-1 All Habitats'!$A$3:$A$130,0)),"")</f>
        <v/>
      </c>
      <c r="G99" s="76"/>
      <c r="H99" s="77" t="str">
        <f>IF(F99="","",VLOOKUP(F99,'G-1 All Habitats'!$B$2:$M$130,10,FALSE))</f>
        <v/>
      </c>
      <c r="I99" s="78" t="str">
        <f>IFERROR(VLOOKUP(H99,'G-1 All Habitats'!$V$3:$W$7,2,FALSE),"")</f>
        <v/>
      </c>
      <c r="J99" s="79"/>
      <c r="K99" s="78" t="str">
        <f>IFERROR(INDEX('G-8 Condition Look up'!$A$3:$H$131,MATCH(F99,'G-8 Condition Look up'!$A$3:$A$131,0),MATCH(J99,'G-8 Condition Look up'!$A$3:$H$3,0)),"")</f>
        <v/>
      </c>
      <c r="L99" s="79"/>
      <c r="M99" s="348" t="str">
        <f>IF(L99="","",IF(VLOOKUP(L99,'G-3 Multipliers'!$L$3:$N$6,2,FALSE)=0,"Spatial Data Missing",VLOOKUP(L99,'G-3 Multipliers'!$L$3:$N$6,2,FALSE)))</f>
        <v/>
      </c>
      <c r="N99" s="569" t="str">
        <f>IF(L99="","",IF(VLOOKUP(L99,'G-3 Multipliers'!$L$3:$N$6,3,FALSE)=0,"Spatial Data Missing",VLOOKUP(L99,'G-3 Multipliers'!$L$3:$N$6,3,FALSE)))</f>
        <v/>
      </c>
      <c r="O99" s="77" t="str">
        <f t="shared" si="6"/>
        <v/>
      </c>
      <c r="P99" s="94"/>
      <c r="Q99" s="94"/>
      <c r="R99" s="343" t="str">
        <f t="shared" si="8"/>
        <v/>
      </c>
      <c r="S99" s="591" t="str">
        <f t="shared" si="9"/>
        <v/>
      </c>
      <c r="T99" s="593" t="str">
        <f>IFERROR(IF(S99="Check Data","Check Data",VLOOKUP(S99,'G-4 Temporal multipliers'!$A$4:$C$37,3,FALSE)),"")</f>
        <v/>
      </c>
      <c r="U99" s="592" t="str">
        <f>IF(F99="","",VLOOKUP(F99,'G-3 Multipliers'!$A$2:$E$130,2,FALSE))</f>
        <v/>
      </c>
      <c r="V99" s="343" t="str">
        <f t="shared" si="10"/>
        <v/>
      </c>
      <c r="W99" s="343" t="str">
        <f>IF(E99="","",IF(AND(V99="Standard difficulty applied",O99&gt;P99),U99,IF(AND(V99="Low Difficulty - only applicable if all habitat created before losses",P99&gt;=O99),"Low",VLOOKUP(F99,'G-3 Multipliers'!$A$2:$E$130,4,FALSE))))</f>
        <v/>
      </c>
      <c r="X99" s="345" t="str">
        <f>IFERROR(IF(E99="","",VLOOKUP(W99, 'G-3 Multipliers'!$P$2:$Q$6,2,FALSE)),””)</f>
        <v/>
      </c>
      <c r="Y99" s="595" t="str">
        <f t="shared" si="11"/>
        <v/>
      </c>
      <c r="Z99" s="355"/>
      <c r="AA99" s="356"/>
      <c r="AE99" s="59" t="str">
        <f t="shared" si="7"/>
        <v/>
      </c>
    </row>
    <row r="100" spans="1:31" x14ac:dyDescent="0.25">
      <c r="A100" s="52" t="str">
        <f>IFERROR(INDEX('G-8 Condition Look up'!$I$4:$I$131,MATCH(F100,'G-8 Condition Look up'!$A$4:$A$131,0)),"")</f>
        <v/>
      </c>
      <c r="C100" s="588" t="str">
        <f>IFERROR(INDEX('G-1 All Habitats'!$AG$3:$AG$15,MATCH(D100,'G-1 All Habitats'!$AF$3:$AF$15,0)),"")</f>
        <v/>
      </c>
      <c r="D100" s="347"/>
      <c r="E100" s="366"/>
      <c r="F100" s="365" t="str">
        <f>IFERROR(INDEX('G-1 All Habitats'!$B$3:$B$130,MATCH(E100,'G-1 All Habitats'!$A$3:$A$130,0)),"")</f>
        <v/>
      </c>
      <c r="G100" s="76"/>
      <c r="H100" s="77" t="str">
        <f>IF(F100="","",VLOOKUP(F100,'G-1 All Habitats'!$B$2:$M$130,10,FALSE))</f>
        <v/>
      </c>
      <c r="I100" s="78" t="str">
        <f>IFERROR(VLOOKUP(H100,'G-1 All Habitats'!$V$3:$W$7,2,FALSE),"")</f>
        <v/>
      </c>
      <c r="J100" s="79"/>
      <c r="K100" s="78" t="str">
        <f>IFERROR(INDEX('G-8 Condition Look up'!$A$3:$H$131,MATCH(F100,'G-8 Condition Look up'!$A$3:$A$131,0),MATCH(J100,'G-8 Condition Look up'!$A$3:$H$3,0)),"")</f>
        <v/>
      </c>
      <c r="L100" s="79"/>
      <c r="M100" s="348" t="str">
        <f>IF(L100="","",IF(VLOOKUP(L100,'G-3 Multipliers'!$L$3:$N$6,2,FALSE)=0,"Spatial Data Missing",VLOOKUP(L100,'G-3 Multipliers'!$L$3:$N$6,2,FALSE)))</f>
        <v/>
      </c>
      <c r="N100" s="569" t="str">
        <f>IF(L100="","",IF(VLOOKUP(L100,'G-3 Multipliers'!$L$3:$N$6,3,FALSE)=0,"Spatial Data Missing",VLOOKUP(L100,'G-3 Multipliers'!$L$3:$N$6,3,FALSE)))</f>
        <v/>
      </c>
      <c r="O100" s="77" t="str">
        <f t="shared" si="6"/>
        <v/>
      </c>
      <c r="P100" s="94"/>
      <c r="Q100" s="94"/>
      <c r="R100" s="343" t="str">
        <f t="shared" si="8"/>
        <v/>
      </c>
      <c r="S100" s="591" t="str">
        <f t="shared" si="9"/>
        <v/>
      </c>
      <c r="T100" s="593" t="str">
        <f>IFERROR(IF(S100="Check Data","Check Data",VLOOKUP(S100,'G-4 Temporal multipliers'!$A$4:$C$37,3,FALSE)),"")</f>
        <v/>
      </c>
      <c r="U100" s="592" t="str">
        <f>IF(F100="","",VLOOKUP(F100,'G-3 Multipliers'!$A$2:$E$130,2,FALSE))</f>
        <v/>
      </c>
      <c r="V100" s="343" t="str">
        <f t="shared" si="10"/>
        <v/>
      </c>
      <c r="W100" s="343" t="str">
        <f>IF(E100="","",IF(AND(V100="Standard difficulty applied",O100&gt;P100),U100,IF(AND(V100="Low Difficulty - only applicable if all habitat created before losses",P100&gt;=O100),"Low",VLOOKUP(F100,'G-3 Multipliers'!$A$2:$E$130,4,FALSE))))</f>
        <v/>
      </c>
      <c r="X100" s="345" t="str">
        <f>IFERROR(IF(E100="","",VLOOKUP(W100, 'G-3 Multipliers'!$P$2:$Q$6,2,FALSE)),””)</f>
        <v/>
      </c>
      <c r="Y100" s="595" t="str">
        <f t="shared" si="11"/>
        <v/>
      </c>
      <c r="Z100" s="355"/>
      <c r="AA100" s="356"/>
      <c r="AE100" s="59" t="str">
        <f t="shared" si="7"/>
        <v/>
      </c>
    </row>
    <row r="101" spans="1:31" x14ac:dyDescent="0.25">
      <c r="A101" s="52" t="str">
        <f>IFERROR(INDEX('G-8 Condition Look up'!$I$4:$I$131,MATCH(F101,'G-8 Condition Look up'!$A$4:$A$131,0)),"")</f>
        <v/>
      </c>
      <c r="C101" s="588" t="str">
        <f>IFERROR(INDEX('G-1 All Habitats'!$AG$3:$AG$15,MATCH(D101,'G-1 All Habitats'!$AF$3:$AF$15,0)),"")</f>
        <v/>
      </c>
      <c r="D101" s="347"/>
      <c r="E101" s="366"/>
      <c r="F101" s="365" t="str">
        <f>IFERROR(INDEX('G-1 All Habitats'!$B$3:$B$130,MATCH(E101,'G-1 All Habitats'!$A$3:$A$130,0)),"")</f>
        <v/>
      </c>
      <c r="G101" s="76"/>
      <c r="H101" s="77" t="str">
        <f>IF(F101="","",VLOOKUP(F101,'G-1 All Habitats'!$B$2:$M$130,10,FALSE))</f>
        <v/>
      </c>
      <c r="I101" s="78" t="str">
        <f>IFERROR(VLOOKUP(H101,'G-1 All Habitats'!$V$3:$W$7,2,FALSE),"")</f>
        <v/>
      </c>
      <c r="J101" s="79"/>
      <c r="K101" s="78" t="str">
        <f>IFERROR(INDEX('G-8 Condition Look up'!$A$3:$H$131,MATCH(F101,'G-8 Condition Look up'!$A$3:$A$131,0),MATCH(J101,'G-8 Condition Look up'!$A$3:$H$3,0)),"")</f>
        <v/>
      </c>
      <c r="L101" s="79"/>
      <c r="M101" s="348" t="str">
        <f>IF(L101="","",IF(VLOOKUP(L101,'G-3 Multipliers'!$L$3:$N$6,2,FALSE)=0,"Spatial Data Missing",VLOOKUP(L101,'G-3 Multipliers'!$L$3:$N$6,2,FALSE)))</f>
        <v/>
      </c>
      <c r="N101" s="569" t="str">
        <f>IF(L101="","",IF(VLOOKUP(L101,'G-3 Multipliers'!$L$3:$N$6,3,FALSE)=0,"Spatial Data Missing",VLOOKUP(L101,'G-3 Multipliers'!$L$3:$N$6,3,FALSE)))</f>
        <v/>
      </c>
      <c r="O101" s="77" t="str">
        <f t="shared" si="6"/>
        <v/>
      </c>
      <c r="P101" s="94"/>
      <c r="Q101" s="94"/>
      <c r="R101" s="343" t="str">
        <f t="shared" si="8"/>
        <v/>
      </c>
      <c r="S101" s="591" t="str">
        <f t="shared" si="9"/>
        <v/>
      </c>
      <c r="T101" s="593" t="str">
        <f>IFERROR(IF(S101="Check Data","Check Data",VLOOKUP(S101,'G-4 Temporal multipliers'!$A$4:$C$37,3,FALSE)),"")</f>
        <v/>
      </c>
      <c r="U101" s="592" t="str">
        <f>IF(F101="","",VLOOKUP(F101,'G-3 Multipliers'!$A$2:$E$130,2,FALSE))</f>
        <v/>
      </c>
      <c r="V101" s="343" t="str">
        <f t="shared" si="10"/>
        <v/>
      </c>
      <c r="W101" s="343" t="str">
        <f>IF(E101="","",IF(AND(V101="Standard difficulty applied",O101&gt;P101),U101,IF(AND(V101="Low Difficulty - only applicable if all habitat created before losses",P101&gt;=O101),"Low",VLOOKUP(F101,'G-3 Multipliers'!$A$2:$E$130,4,FALSE))))</f>
        <v/>
      </c>
      <c r="X101" s="345" t="str">
        <f>IFERROR(IF(E101="","",VLOOKUP(W101, 'G-3 Multipliers'!$P$2:$Q$6,2,FALSE)),””)</f>
        <v/>
      </c>
      <c r="Y101" s="595" t="str">
        <f t="shared" si="11"/>
        <v/>
      </c>
      <c r="Z101" s="355"/>
      <c r="AA101" s="356"/>
      <c r="AE101" s="59" t="str">
        <f t="shared" si="7"/>
        <v/>
      </c>
    </row>
    <row r="102" spans="1:31" x14ac:dyDescent="0.25">
      <c r="A102" s="52" t="str">
        <f>IFERROR(INDEX('G-8 Condition Look up'!$I$4:$I$131,MATCH(F102,'G-8 Condition Look up'!$A$4:$A$131,0)),"")</f>
        <v/>
      </c>
      <c r="C102" s="588" t="str">
        <f>IFERROR(INDEX('G-1 All Habitats'!$AG$3:$AG$15,MATCH(D102,'G-1 All Habitats'!$AF$3:$AF$15,0)),"")</f>
        <v/>
      </c>
      <c r="D102" s="347"/>
      <c r="E102" s="366"/>
      <c r="F102" s="365" t="str">
        <f>IFERROR(INDEX('G-1 All Habitats'!$B$3:$B$130,MATCH(E102,'G-1 All Habitats'!$A$3:$A$130,0)),"")</f>
        <v/>
      </c>
      <c r="G102" s="76"/>
      <c r="H102" s="77" t="str">
        <f>IF(F102="","",VLOOKUP(F102,'G-1 All Habitats'!$B$2:$M$130,10,FALSE))</f>
        <v/>
      </c>
      <c r="I102" s="78" t="str">
        <f>IFERROR(VLOOKUP(H102,'G-1 All Habitats'!$V$3:$W$7,2,FALSE),"")</f>
        <v/>
      </c>
      <c r="J102" s="79"/>
      <c r="K102" s="78" t="str">
        <f>IFERROR(INDEX('G-8 Condition Look up'!$A$3:$H$131,MATCH(F102,'G-8 Condition Look up'!$A$3:$A$131,0),MATCH(J102,'G-8 Condition Look up'!$A$3:$H$3,0)),"")</f>
        <v/>
      </c>
      <c r="L102" s="79"/>
      <c r="M102" s="348" t="str">
        <f>IF(L102="","",IF(VLOOKUP(L102,'G-3 Multipliers'!$L$3:$N$6,2,FALSE)=0,"Spatial Data Missing",VLOOKUP(L102,'G-3 Multipliers'!$L$3:$N$6,2,FALSE)))</f>
        <v/>
      </c>
      <c r="N102" s="569" t="str">
        <f>IF(L102="","",IF(VLOOKUP(L102,'G-3 Multipliers'!$L$3:$N$6,3,FALSE)=0,"Spatial Data Missing",VLOOKUP(L102,'G-3 Multipliers'!$L$3:$N$6,3,FALSE)))</f>
        <v/>
      </c>
      <c r="O102" s="77" t="str">
        <f t="shared" si="6"/>
        <v/>
      </c>
      <c r="P102" s="94"/>
      <c r="Q102" s="94"/>
      <c r="R102" s="343" t="str">
        <f t="shared" si="8"/>
        <v/>
      </c>
      <c r="S102" s="591" t="str">
        <f t="shared" si="9"/>
        <v/>
      </c>
      <c r="T102" s="593" t="str">
        <f>IFERROR(IF(S102="Check Data","Check Data",VLOOKUP(S102,'G-4 Temporal multipliers'!$A$4:$C$37,3,FALSE)),"")</f>
        <v/>
      </c>
      <c r="U102" s="592" t="str">
        <f>IF(F102="","",VLOOKUP(F102,'G-3 Multipliers'!$A$2:$E$130,2,FALSE))</f>
        <v/>
      </c>
      <c r="V102" s="343" t="str">
        <f t="shared" si="10"/>
        <v/>
      </c>
      <c r="W102" s="343" t="str">
        <f>IF(E102="","",IF(AND(V102="Standard difficulty applied",O102&gt;P102),U102,IF(AND(V102="Low Difficulty - only applicable if all habitat created before losses",P102&gt;=O102),"Low",VLOOKUP(F102,'G-3 Multipliers'!$A$2:$E$130,4,FALSE))))</f>
        <v/>
      </c>
      <c r="X102" s="345" t="str">
        <f>IFERROR(IF(E102="","",VLOOKUP(W102, 'G-3 Multipliers'!$P$2:$Q$6,2,FALSE)),””)</f>
        <v/>
      </c>
      <c r="Y102" s="595" t="str">
        <f t="shared" si="11"/>
        <v/>
      </c>
      <c r="Z102" s="355"/>
      <c r="AA102" s="356"/>
      <c r="AE102" s="59" t="str">
        <f t="shared" si="7"/>
        <v/>
      </c>
    </row>
    <row r="103" spans="1:31" x14ac:dyDescent="0.25">
      <c r="A103" s="52" t="str">
        <f>IFERROR(INDEX('G-8 Condition Look up'!$I$4:$I$131,MATCH(F103,'G-8 Condition Look up'!$A$4:$A$131,0)),"")</f>
        <v/>
      </c>
      <c r="C103" s="588" t="str">
        <f>IFERROR(INDEX('G-1 All Habitats'!$AG$3:$AG$15,MATCH(D103,'G-1 All Habitats'!$AF$3:$AF$15,0)),"")</f>
        <v/>
      </c>
      <c r="D103" s="347"/>
      <c r="E103" s="366"/>
      <c r="F103" s="365" t="str">
        <f>IFERROR(INDEX('G-1 All Habitats'!$B$3:$B$130,MATCH(E103,'G-1 All Habitats'!$A$3:$A$130,0)),"")</f>
        <v/>
      </c>
      <c r="G103" s="76"/>
      <c r="H103" s="77" t="str">
        <f>IF(F103="","",VLOOKUP(F103,'G-1 All Habitats'!$B$2:$M$130,10,FALSE))</f>
        <v/>
      </c>
      <c r="I103" s="78" t="str">
        <f>IFERROR(VLOOKUP(H103,'G-1 All Habitats'!$V$3:$W$7,2,FALSE),"")</f>
        <v/>
      </c>
      <c r="J103" s="79"/>
      <c r="K103" s="78" t="str">
        <f>IFERROR(INDEX('G-8 Condition Look up'!$A$3:$H$131,MATCH(F103,'G-8 Condition Look up'!$A$3:$A$131,0),MATCH(J103,'G-8 Condition Look up'!$A$3:$H$3,0)),"")</f>
        <v/>
      </c>
      <c r="L103" s="79"/>
      <c r="M103" s="348" t="str">
        <f>IF(L103="","",IF(VLOOKUP(L103,'G-3 Multipliers'!$L$3:$N$6,2,FALSE)=0,"Spatial Data Missing",VLOOKUP(L103,'G-3 Multipliers'!$L$3:$N$6,2,FALSE)))</f>
        <v/>
      </c>
      <c r="N103" s="569" t="str">
        <f>IF(L103="","",IF(VLOOKUP(L103,'G-3 Multipliers'!$L$3:$N$6,3,FALSE)=0,"Spatial Data Missing",VLOOKUP(L103,'G-3 Multipliers'!$L$3:$N$6,3,FALSE)))</f>
        <v/>
      </c>
      <c r="O103" s="77" t="str">
        <f t="shared" si="6"/>
        <v/>
      </c>
      <c r="P103" s="94"/>
      <c r="Q103" s="94"/>
      <c r="R103" s="343" t="str">
        <f t="shared" si="8"/>
        <v/>
      </c>
      <c r="S103" s="591" t="str">
        <f t="shared" si="9"/>
        <v/>
      </c>
      <c r="T103" s="593" t="str">
        <f>IFERROR(IF(S103="Check Data","Check Data",VLOOKUP(S103,'G-4 Temporal multipliers'!$A$4:$C$37,3,FALSE)),"")</f>
        <v/>
      </c>
      <c r="U103" s="592" t="str">
        <f>IF(F103="","",VLOOKUP(F103,'G-3 Multipliers'!$A$2:$E$130,2,FALSE))</f>
        <v/>
      </c>
      <c r="V103" s="343" t="str">
        <f t="shared" si="10"/>
        <v/>
      </c>
      <c r="W103" s="343" t="str">
        <f>IF(E103="","",IF(AND(V103="Standard difficulty applied",O103&gt;P103),U103,IF(AND(V103="Low Difficulty - only applicable if all habitat created before losses",P103&gt;=O103),"Low",VLOOKUP(F103,'G-3 Multipliers'!$A$2:$E$130,4,FALSE))))</f>
        <v/>
      </c>
      <c r="X103" s="345" t="str">
        <f>IFERROR(IF(E103="","",VLOOKUP(W103, 'G-3 Multipliers'!$P$2:$Q$6,2,FALSE)),””)</f>
        <v/>
      </c>
      <c r="Y103" s="595" t="str">
        <f t="shared" si="11"/>
        <v/>
      </c>
      <c r="Z103" s="355"/>
      <c r="AA103" s="356"/>
      <c r="AE103" s="59" t="str">
        <f t="shared" si="7"/>
        <v/>
      </c>
    </row>
    <row r="104" spans="1:31" x14ac:dyDescent="0.25">
      <c r="A104" s="52" t="str">
        <f>IFERROR(INDEX('G-8 Condition Look up'!$I$4:$I$131,MATCH(F104,'G-8 Condition Look up'!$A$4:$A$131,0)),"")</f>
        <v/>
      </c>
      <c r="C104" s="588" t="str">
        <f>IFERROR(INDEX('G-1 All Habitats'!$AG$3:$AG$15,MATCH(D104,'G-1 All Habitats'!$AF$3:$AF$15,0)),"")</f>
        <v/>
      </c>
      <c r="D104" s="347"/>
      <c r="E104" s="366"/>
      <c r="F104" s="365" t="str">
        <f>IFERROR(INDEX('G-1 All Habitats'!$B$3:$B$130,MATCH(E104,'G-1 All Habitats'!$A$3:$A$130,0)),"")</f>
        <v/>
      </c>
      <c r="G104" s="76"/>
      <c r="H104" s="77" t="str">
        <f>IF(F104="","",VLOOKUP(F104,'G-1 All Habitats'!$B$2:$M$130,10,FALSE))</f>
        <v/>
      </c>
      <c r="I104" s="78" t="str">
        <f>IFERROR(VLOOKUP(H104,'G-1 All Habitats'!$V$3:$W$7,2,FALSE),"")</f>
        <v/>
      </c>
      <c r="J104" s="79"/>
      <c r="K104" s="78" t="str">
        <f>IFERROR(INDEX('G-8 Condition Look up'!$A$3:$H$131,MATCH(F104,'G-8 Condition Look up'!$A$3:$A$131,0),MATCH(J104,'G-8 Condition Look up'!$A$3:$H$3,0)),"")</f>
        <v/>
      </c>
      <c r="L104" s="79"/>
      <c r="M104" s="348" t="str">
        <f>IF(L104="","",IF(VLOOKUP(L104,'G-3 Multipliers'!$L$3:$N$6,2,FALSE)=0,"Spatial Data Missing",VLOOKUP(L104,'G-3 Multipliers'!$L$3:$N$6,2,FALSE)))</f>
        <v/>
      </c>
      <c r="N104" s="569" t="str">
        <f>IF(L104="","",IF(VLOOKUP(L104,'G-3 Multipliers'!$L$3:$N$6,3,FALSE)=0,"Spatial Data Missing",VLOOKUP(L104,'G-3 Multipliers'!$L$3:$N$6,3,FALSE)))</f>
        <v/>
      </c>
      <c r="O104" s="77" t="str">
        <f t="shared" si="6"/>
        <v/>
      </c>
      <c r="P104" s="94"/>
      <c r="Q104" s="94"/>
      <c r="R104" s="343" t="str">
        <f t="shared" si="8"/>
        <v/>
      </c>
      <c r="S104" s="591" t="str">
        <f t="shared" si="9"/>
        <v/>
      </c>
      <c r="T104" s="593" t="str">
        <f>IFERROR(IF(S104="Check Data","Check Data",VLOOKUP(S104,'G-4 Temporal multipliers'!$A$4:$C$37,3,FALSE)),"")</f>
        <v/>
      </c>
      <c r="U104" s="592" t="str">
        <f>IF(F104="","",VLOOKUP(F104,'G-3 Multipliers'!$A$2:$E$130,2,FALSE))</f>
        <v/>
      </c>
      <c r="V104" s="343" t="str">
        <f t="shared" si="10"/>
        <v/>
      </c>
      <c r="W104" s="343" t="str">
        <f>IF(E104="","",IF(AND(V104="Standard difficulty applied",O104&gt;P104),U104,IF(AND(V104="Low Difficulty - only applicable if all habitat created before losses",P104&gt;=O104),"Low",VLOOKUP(F104,'G-3 Multipliers'!$A$2:$E$130,4,FALSE))))</f>
        <v/>
      </c>
      <c r="X104" s="345" t="str">
        <f>IFERROR(IF(E104="","",VLOOKUP(W104, 'G-3 Multipliers'!$P$2:$Q$6,2,FALSE)),””)</f>
        <v/>
      </c>
      <c r="Y104" s="595" t="str">
        <f t="shared" si="11"/>
        <v/>
      </c>
      <c r="Z104" s="355"/>
      <c r="AA104" s="356"/>
      <c r="AE104" s="59" t="str">
        <f t="shared" si="7"/>
        <v/>
      </c>
    </row>
    <row r="105" spans="1:31" x14ac:dyDescent="0.25">
      <c r="A105" s="52" t="str">
        <f>IFERROR(INDEX('G-8 Condition Look up'!$I$4:$I$131,MATCH(F105,'G-8 Condition Look up'!$A$4:$A$131,0)),"")</f>
        <v/>
      </c>
      <c r="C105" s="588" t="str">
        <f>IFERROR(INDEX('G-1 All Habitats'!$AG$3:$AG$15,MATCH(D105,'G-1 All Habitats'!$AF$3:$AF$15,0)),"")</f>
        <v/>
      </c>
      <c r="D105" s="347"/>
      <c r="E105" s="366"/>
      <c r="F105" s="365" t="str">
        <f>IFERROR(INDEX('G-1 All Habitats'!$B$3:$B$130,MATCH(E105,'G-1 All Habitats'!$A$3:$A$130,0)),"")</f>
        <v/>
      </c>
      <c r="G105" s="76"/>
      <c r="H105" s="77" t="str">
        <f>IF(F105="","",VLOOKUP(F105,'G-1 All Habitats'!$B$2:$M$130,10,FALSE))</f>
        <v/>
      </c>
      <c r="I105" s="78" t="str">
        <f>IFERROR(VLOOKUP(H105,'G-1 All Habitats'!$V$3:$W$7,2,FALSE),"")</f>
        <v/>
      </c>
      <c r="J105" s="79"/>
      <c r="K105" s="78" t="str">
        <f>IFERROR(INDEX('G-8 Condition Look up'!$A$3:$H$131,MATCH(F105,'G-8 Condition Look up'!$A$3:$A$131,0),MATCH(J105,'G-8 Condition Look up'!$A$3:$H$3,0)),"")</f>
        <v/>
      </c>
      <c r="L105" s="79"/>
      <c r="M105" s="348" t="str">
        <f>IF(L105="","",IF(VLOOKUP(L105,'G-3 Multipliers'!$L$3:$N$6,2,FALSE)=0,"Spatial Data Missing",VLOOKUP(L105,'G-3 Multipliers'!$L$3:$N$6,2,FALSE)))</f>
        <v/>
      </c>
      <c r="N105" s="569" t="str">
        <f>IF(L105="","",IF(VLOOKUP(L105,'G-3 Multipliers'!$L$3:$N$6,3,FALSE)=0,"Spatial Data Missing",VLOOKUP(L105,'G-3 Multipliers'!$L$3:$N$6,3,FALSE)))</f>
        <v/>
      </c>
      <c r="O105" s="77" t="str">
        <f t="shared" si="6"/>
        <v/>
      </c>
      <c r="P105" s="94"/>
      <c r="Q105" s="94"/>
      <c r="R105" s="343" t="str">
        <f t="shared" si="8"/>
        <v/>
      </c>
      <c r="S105" s="591" t="str">
        <f t="shared" si="9"/>
        <v/>
      </c>
      <c r="T105" s="593" t="str">
        <f>IFERROR(IF(S105="Check Data","Check Data",VLOOKUP(S105,'G-4 Temporal multipliers'!$A$4:$C$37,3,FALSE)),"")</f>
        <v/>
      </c>
      <c r="U105" s="592" t="str">
        <f>IF(F105="","",VLOOKUP(F105,'G-3 Multipliers'!$A$2:$E$130,2,FALSE))</f>
        <v/>
      </c>
      <c r="V105" s="343" t="str">
        <f t="shared" si="10"/>
        <v/>
      </c>
      <c r="W105" s="343" t="str">
        <f>IF(E105="","",IF(AND(V105="Standard difficulty applied",O105&gt;P105),U105,IF(AND(V105="Low Difficulty - only applicable if all habitat created before losses",P105&gt;=O105),"Low",VLOOKUP(F105,'G-3 Multipliers'!$A$2:$E$130,4,FALSE))))</f>
        <v/>
      </c>
      <c r="X105" s="345" t="str">
        <f>IFERROR(IF(E105="","",VLOOKUP(W105, 'G-3 Multipliers'!$P$2:$Q$6,2,FALSE)),””)</f>
        <v/>
      </c>
      <c r="Y105" s="595" t="str">
        <f t="shared" si="11"/>
        <v/>
      </c>
      <c r="Z105" s="355"/>
      <c r="AA105" s="356"/>
      <c r="AE105" s="59" t="str">
        <f t="shared" si="7"/>
        <v/>
      </c>
    </row>
    <row r="106" spans="1:31" x14ac:dyDescent="0.25">
      <c r="A106" s="52" t="str">
        <f>IFERROR(INDEX('G-8 Condition Look up'!$I$4:$I$131,MATCH(F106,'G-8 Condition Look up'!$A$4:$A$131,0)),"")</f>
        <v/>
      </c>
      <c r="C106" s="588" t="str">
        <f>IFERROR(INDEX('G-1 All Habitats'!$AG$3:$AG$15,MATCH(D106,'G-1 All Habitats'!$AF$3:$AF$15,0)),"")</f>
        <v/>
      </c>
      <c r="D106" s="347"/>
      <c r="E106" s="366"/>
      <c r="F106" s="365" t="str">
        <f>IFERROR(INDEX('G-1 All Habitats'!$B$3:$B$130,MATCH(E106,'G-1 All Habitats'!$A$3:$A$130,0)),"")</f>
        <v/>
      </c>
      <c r="G106" s="76"/>
      <c r="H106" s="77" t="str">
        <f>IF(F106="","",VLOOKUP(F106,'G-1 All Habitats'!$B$2:$M$130,10,FALSE))</f>
        <v/>
      </c>
      <c r="I106" s="78" t="str">
        <f>IFERROR(VLOOKUP(H106,'G-1 All Habitats'!$V$3:$W$7,2,FALSE),"")</f>
        <v/>
      </c>
      <c r="J106" s="79"/>
      <c r="K106" s="78" t="str">
        <f>IFERROR(INDEX('G-8 Condition Look up'!$A$3:$H$131,MATCH(F106,'G-8 Condition Look up'!$A$3:$A$131,0),MATCH(J106,'G-8 Condition Look up'!$A$3:$H$3,0)),"")</f>
        <v/>
      </c>
      <c r="L106" s="79"/>
      <c r="M106" s="348" t="str">
        <f>IF(L106="","",IF(VLOOKUP(L106,'G-3 Multipliers'!$L$3:$N$6,2,FALSE)=0,"Spatial Data Missing",VLOOKUP(L106,'G-3 Multipliers'!$L$3:$N$6,2,FALSE)))</f>
        <v/>
      </c>
      <c r="N106" s="569" t="str">
        <f>IF(L106="","",IF(VLOOKUP(L106,'G-3 Multipliers'!$L$3:$N$6,3,FALSE)=0,"Spatial Data Missing",VLOOKUP(L106,'G-3 Multipliers'!$L$3:$N$6,3,FALSE)))</f>
        <v/>
      </c>
      <c r="O106" s="77" t="str">
        <f t="shared" si="6"/>
        <v/>
      </c>
      <c r="P106" s="94"/>
      <c r="Q106" s="94"/>
      <c r="R106" s="343" t="str">
        <f t="shared" si="8"/>
        <v/>
      </c>
      <c r="S106" s="591" t="str">
        <f t="shared" si="9"/>
        <v/>
      </c>
      <c r="T106" s="593" t="str">
        <f>IFERROR(IF(S106="Check Data","Check Data",VLOOKUP(S106,'G-4 Temporal multipliers'!$A$4:$C$37,3,FALSE)),"")</f>
        <v/>
      </c>
      <c r="U106" s="592" t="str">
        <f>IF(F106="","",VLOOKUP(F106,'G-3 Multipliers'!$A$2:$E$130,2,FALSE))</f>
        <v/>
      </c>
      <c r="V106" s="343" t="str">
        <f t="shared" si="10"/>
        <v/>
      </c>
      <c r="W106" s="343" t="str">
        <f>IF(E106="","",IF(AND(V106="Standard difficulty applied",O106&gt;P106),U106,IF(AND(V106="Low Difficulty - only applicable if all habitat created before losses",P106&gt;=O106),"Low",VLOOKUP(F106,'G-3 Multipliers'!$A$2:$E$130,4,FALSE))))</f>
        <v/>
      </c>
      <c r="X106" s="345" t="str">
        <f>IFERROR(IF(E106="","",VLOOKUP(W106, 'G-3 Multipliers'!$P$2:$Q$6,2,FALSE)),””)</f>
        <v/>
      </c>
      <c r="Y106" s="595" t="str">
        <f t="shared" si="11"/>
        <v/>
      </c>
      <c r="Z106" s="355"/>
      <c r="AA106" s="356"/>
      <c r="AE106" s="59" t="str">
        <f t="shared" si="7"/>
        <v/>
      </c>
    </row>
    <row r="107" spans="1:31" x14ac:dyDescent="0.25">
      <c r="A107" s="52" t="str">
        <f>IFERROR(INDEX('G-8 Condition Look up'!$I$4:$I$131,MATCH(F107,'G-8 Condition Look up'!$A$4:$A$131,0)),"")</f>
        <v/>
      </c>
      <c r="C107" s="588" t="str">
        <f>IFERROR(INDEX('G-1 All Habitats'!$AG$3:$AG$15,MATCH(D107,'G-1 All Habitats'!$AF$3:$AF$15,0)),"")</f>
        <v/>
      </c>
      <c r="D107" s="347"/>
      <c r="E107" s="366"/>
      <c r="F107" s="365" t="str">
        <f>IFERROR(INDEX('G-1 All Habitats'!$B$3:$B$130,MATCH(E107,'G-1 All Habitats'!$A$3:$A$130,0)),"")</f>
        <v/>
      </c>
      <c r="G107" s="76"/>
      <c r="H107" s="77" t="str">
        <f>IF(F107="","",VLOOKUP(F107,'G-1 All Habitats'!$B$2:$M$130,10,FALSE))</f>
        <v/>
      </c>
      <c r="I107" s="78" t="str">
        <f>IFERROR(VLOOKUP(H107,'G-1 All Habitats'!$V$3:$W$7,2,FALSE),"")</f>
        <v/>
      </c>
      <c r="J107" s="79"/>
      <c r="K107" s="78" t="str">
        <f>IFERROR(INDEX('G-8 Condition Look up'!$A$3:$H$131,MATCH(F107,'G-8 Condition Look up'!$A$3:$A$131,0),MATCH(J107,'G-8 Condition Look up'!$A$3:$H$3,0)),"")</f>
        <v/>
      </c>
      <c r="L107" s="79"/>
      <c r="M107" s="348" t="str">
        <f>IF(L107="","",IF(VLOOKUP(L107,'G-3 Multipliers'!$L$3:$N$6,2,FALSE)=0,"Spatial Data Missing",VLOOKUP(L107,'G-3 Multipliers'!$L$3:$N$6,2,FALSE)))</f>
        <v/>
      </c>
      <c r="N107" s="569" t="str">
        <f>IF(L107="","",IF(VLOOKUP(L107,'G-3 Multipliers'!$L$3:$N$6,3,FALSE)=0,"Spatial Data Missing",VLOOKUP(L107,'G-3 Multipliers'!$L$3:$N$6,3,FALSE)))</f>
        <v/>
      </c>
      <c r="O107" s="77" t="str">
        <f t="shared" si="6"/>
        <v/>
      </c>
      <c r="P107" s="94"/>
      <c r="Q107" s="94"/>
      <c r="R107" s="343" t="str">
        <f t="shared" si="8"/>
        <v/>
      </c>
      <c r="S107" s="591" t="str">
        <f t="shared" si="9"/>
        <v/>
      </c>
      <c r="T107" s="593" t="str">
        <f>IFERROR(IF(S107="Check Data","Check Data",VLOOKUP(S107,'G-4 Temporal multipliers'!$A$4:$C$37,3,FALSE)),"")</f>
        <v/>
      </c>
      <c r="U107" s="592" t="str">
        <f>IF(F107="","",VLOOKUP(F107,'G-3 Multipliers'!$A$2:$E$130,2,FALSE))</f>
        <v/>
      </c>
      <c r="V107" s="343" t="str">
        <f t="shared" si="10"/>
        <v/>
      </c>
      <c r="W107" s="343" t="str">
        <f>IF(E107="","",IF(AND(V107="Standard difficulty applied",O107&gt;P107),U107,IF(AND(V107="Low Difficulty - only applicable if all habitat created before losses",P107&gt;=O107),"Low",VLOOKUP(F107,'G-3 Multipliers'!$A$2:$E$130,4,FALSE))))</f>
        <v/>
      </c>
      <c r="X107" s="345" t="str">
        <f>IFERROR(IF(E107="","",VLOOKUP(W107, 'G-3 Multipliers'!$P$2:$Q$6,2,FALSE)),””)</f>
        <v/>
      </c>
      <c r="Y107" s="595" t="str">
        <f t="shared" si="11"/>
        <v/>
      </c>
      <c r="Z107" s="355"/>
      <c r="AA107" s="356"/>
      <c r="AE107" s="59" t="str">
        <f t="shared" si="7"/>
        <v/>
      </c>
    </row>
    <row r="108" spans="1:31" x14ac:dyDescent="0.25">
      <c r="A108" s="52" t="str">
        <f>IFERROR(INDEX('G-8 Condition Look up'!$I$4:$I$131,MATCH(F108,'G-8 Condition Look up'!$A$4:$A$131,0)),"")</f>
        <v/>
      </c>
      <c r="C108" s="588" t="str">
        <f>IFERROR(INDEX('G-1 All Habitats'!$AG$3:$AG$15,MATCH(D108,'G-1 All Habitats'!$AF$3:$AF$15,0)),"")</f>
        <v/>
      </c>
      <c r="D108" s="347"/>
      <c r="E108" s="366"/>
      <c r="F108" s="365" t="str">
        <f>IFERROR(INDEX('G-1 All Habitats'!$B$3:$B$130,MATCH(E108,'G-1 All Habitats'!$A$3:$A$130,0)),"")</f>
        <v/>
      </c>
      <c r="G108" s="76"/>
      <c r="H108" s="77" t="str">
        <f>IF(F108="","",VLOOKUP(F108,'G-1 All Habitats'!$B$2:$M$130,10,FALSE))</f>
        <v/>
      </c>
      <c r="I108" s="78" t="str">
        <f>IFERROR(VLOOKUP(H108,'G-1 All Habitats'!$V$3:$W$7,2,FALSE),"")</f>
        <v/>
      </c>
      <c r="J108" s="79"/>
      <c r="K108" s="78" t="str">
        <f>IFERROR(INDEX('G-8 Condition Look up'!$A$3:$H$131,MATCH(F108,'G-8 Condition Look up'!$A$3:$A$131,0),MATCH(J108,'G-8 Condition Look up'!$A$3:$H$3,0)),"")</f>
        <v/>
      </c>
      <c r="L108" s="79"/>
      <c r="M108" s="348" t="str">
        <f>IF(L108="","",IF(VLOOKUP(L108,'G-3 Multipliers'!$L$3:$N$6,2,FALSE)=0,"Spatial Data Missing",VLOOKUP(L108,'G-3 Multipliers'!$L$3:$N$6,2,FALSE)))</f>
        <v/>
      </c>
      <c r="N108" s="569" t="str">
        <f>IF(L108="","",IF(VLOOKUP(L108,'G-3 Multipliers'!$L$3:$N$6,3,FALSE)=0,"Spatial Data Missing",VLOOKUP(L108,'G-3 Multipliers'!$L$3:$N$6,3,FALSE)))</f>
        <v/>
      </c>
      <c r="O108" s="77" t="str">
        <f t="shared" si="6"/>
        <v/>
      </c>
      <c r="P108" s="94"/>
      <c r="Q108" s="94"/>
      <c r="R108" s="343" t="str">
        <f t="shared" si="8"/>
        <v/>
      </c>
      <c r="S108" s="591" t="str">
        <f t="shared" si="9"/>
        <v/>
      </c>
      <c r="T108" s="593" t="str">
        <f>IFERROR(IF(S108="Check Data","Check Data",VLOOKUP(S108,'G-4 Temporal multipliers'!$A$4:$C$37,3,FALSE)),"")</f>
        <v/>
      </c>
      <c r="U108" s="592" t="str">
        <f>IF(F108="","",VLOOKUP(F108,'G-3 Multipliers'!$A$2:$E$130,2,FALSE))</f>
        <v/>
      </c>
      <c r="V108" s="343" t="str">
        <f t="shared" si="10"/>
        <v/>
      </c>
      <c r="W108" s="343" t="str">
        <f>IF(E108="","",IF(AND(V108="Standard difficulty applied",O108&gt;P108),U108,IF(AND(V108="Low Difficulty - only applicable if all habitat created before losses",P108&gt;=O108),"Low",VLOOKUP(F108,'G-3 Multipliers'!$A$2:$E$130,4,FALSE))))</f>
        <v/>
      </c>
      <c r="X108" s="345" t="str">
        <f>IFERROR(IF(E108="","",VLOOKUP(W108, 'G-3 Multipliers'!$P$2:$Q$6,2,FALSE)),””)</f>
        <v/>
      </c>
      <c r="Y108" s="595" t="str">
        <f t="shared" si="11"/>
        <v/>
      </c>
      <c r="Z108" s="355"/>
      <c r="AA108" s="356"/>
      <c r="AE108" s="59" t="str">
        <f t="shared" si="7"/>
        <v/>
      </c>
    </row>
    <row r="109" spans="1:31" x14ac:dyDescent="0.25">
      <c r="A109" s="52" t="str">
        <f>IFERROR(INDEX('G-8 Condition Look up'!$I$4:$I$131,MATCH(F109,'G-8 Condition Look up'!$A$4:$A$131,0)),"")</f>
        <v/>
      </c>
      <c r="C109" s="588" t="str">
        <f>IFERROR(INDEX('G-1 All Habitats'!$AG$3:$AG$15,MATCH(D109,'G-1 All Habitats'!$AF$3:$AF$15,0)),"")</f>
        <v/>
      </c>
      <c r="D109" s="347"/>
      <c r="E109" s="366"/>
      <c r="F109" s="365" t="str">
        <f>IFERROR(INDEX('G-1 All Habitats'!$B$3:$B$130,MATCH(E109,'G-1 All Habitats'!$A$3:$A$130,0)),"")</f>
        <v/>
      </c>
      <c r="G109" s="76"/>
      <c r="H109" s="77" t="str">
        <f>IF(F109="","",VLOOKUP(F109,'G-1 All Habitats'!$B$2:$M$130,10,FALSE))</f>
        <v/>
      </c>
      <c r="I109" s="78" t="str">
        <f>IFERROR(VLOOKUP(H109,'G-1 All Habitats'!$V$3:$W$7,2,FALSE),"")</f>
        <v/>
      </c>
      <c r="J109" s="79"/>
      <c r="K109" s="78" t="str">
        <f>IFERROR(INDEX('G-8 Condition Look up'!$A$3:$H$131,MATCH(F109,'G-8 Condition Look up'!$A$3:$A$131,0),MATCH(J109,'G-8 Condition Look up'!$A$3:$H$3,0)),"")</f>
        <v/>
      </c>
      <c r="L109" s="79"/>
      <c r="M109" s="348" t="str">
        <f>IF(L109="","",IF(VLOOKUP(L109,'G-3 Multipliers'!$L$3:$N$6,2,FALSE)=0,"Spatial Data Missing",VLOOKUP(L109,'G-3 Multipliers'!$L$3:$N$6,2,FALSE)))</f>
        <v/>
      </c>
      <c r="N109" s="569" t="str">
        <f>IF(L109="","",IF(VLOOKUP(L109,'G-3 Multipliers'!$L$3:$N$6,3,FALSE)=0,"Spatial Data Missing",VLOOKUP(L109,'G-3 Multipliers'!$L$3:$N$6,3,FALSE)))</f>
        <v/>
      </c>
      <c r="O109" s="77" t="str">
        <f t="shared" si="6"/>
        <v/>
      </c>
      <c r="P109" s="94"/>
      <c r="Q109" s="94"/>
      <c r="R109" s="343" t="str">
        <f t="shared" si="8"/>
        <v/>
      </c>
      <c r="S109" s="591" t="str">
        <f t="shared" si="9"/>
        <v/>
      </c>
      <c r="T109" s="593" t="str">
        <f>IFERROR(IF(S109="Check Data","Check Data",VLOOKUP(S109,'G-4 Temporal multipliers'!$A$4:$C$37,3,FALSE)),"")</f>
        <v/>
      </c>
      <c r="U109" s="592" t="str">
        <f>IF(F109="","",VLOOKUP(F109,'G-3 Multipliers'!$A$2:$E$130,2,FALSE))</f>
        <v/>
      </c>
      <c r="V109" s="343" t="str">
        <f t="shared" si="10"/>
        <v/>
      </c>
      <c r="W109" s="343" t="str">
        <f>IF(E109="","",IF(AND(V109="Standard difficulty applied",O109&gt;P109),U109,IF(AND(V109="Low Difficulty - only applicable if all habitat created before losses",P109&gt;=O109),"Low",VLOOKUP(F109,'G-3 Multipliers'!$A$2:$E$130,4,FALSE))))</f>
        <v/>
      </c>
      <c r="X109" s="345" t="str">
        <f>IFERROR(IF(E109="","",VLOOKUP(W109, 'G-3 Multipliers'!$P$2:$Q$6,2,FALSE)),””)</f>
        <v/>
      </c>
      <c r="Y109" s="595" t="str">
        <f t="shared" si="11"/>
        <v/>
      </c>
      <c r="Z109" s="355"/>
      <c r="AA109" s="356"/>
      <c r="AE109" s="59" t="str">
        <f t="shared" si="7"/>
        <v/>
      </c>
    </row>
    <row r="110" spans="1:31" x14ac:dyDescent="0.25">
      <c r="A110" s="52" t="str">
        <f>IFERROR(INDEX('G-8 Condition Look up'!$I$4:$I$131,MATCH(F110,'G-8 Condition Look up'!$A$4:$A$131,0)),"")</f>
        <v/>
      </c>
      <c r="C110" s="588" t="str">
        <f>IFERROR(INDEX('G-1 All Habitats'!$AG$3:$AG$15,MATCH(D110,'G-1 All Habitats'!$AF$3:$AF$15,0)),"")</f>
        <v/>
      </c>
      <c r="D110" s="347"/>
      <c r="E110" s="366"/>
      <c r="F110" s="365" t="str">
        <f>IFERROR(INDEX('G-1 All Habitats'!$B$3:$B$130,MATCH(E110,'G-1 All Habitats'!$A$3:$A$130,0)),"")</f>
        <v/>
      </c>
      <c r="G110" s="76"/>
      <c r="H110" s="77" t="str">
        <f>IF(F110="","",VLOOKUP(F110,'G-1 All Habitats'!$B$2:$M$130,10,FALSE))</f>
        <v/>
      </c>
      <c r="I110" s="78" t="str">
        <f>IFERROR(VLOOKUP(H110,'G-1 All Habitats'!$V$3:$W$7,2,FALSE),"")</f>
        <v/>
      </c>
      <c r="J110" s="79"/>
      <c r="K110" s="78" t="str">
        <f>IFERROR(INDEX('G-8 Condition Look up'!$A$3:$H$131,MATCH(F110,'G-8 Condition Look up'!$A$3:$A$131,0),MATCH(J110,'G-8 Condition Look up'!$A$3:$H$3,0)),"")</f>
        <v/>
      </c>
      <c r="L110" s="79"/>
      <c r="M110" s="348" t="str">
        <f>IF(L110="","",IF(VLOOKUP(L110,'G-3 Multipliers'!$L$3:$N$6,2,FALSE)=0,"Spatial Data Missing",VLOOKUP(L110,'G-3 Multipliers'!$L$3:$N$6,2,FALSE)))</f>
        <v/>
      </c>
      <c r="N110" s="569" t="str">
        <f>IF(L110="","",IF(VLOOKUP(L110,'G-3 Multipliers'!$L$3:$N$6,3,FALSE)=0,"Spatial Data Missing",VLOOKUP(L110,'G-3 Multipliers'!$L$3:$N$6,3,FALSE)))</f>
        <v/>
      </c>
      <c r="O110" s="77" t="str">
        <f t="shared" si="6"/>
        <v/>
      </c>
      <c r="P110" s="94"/>
      <c r="Q110" s="94"/>
      <c r="R110" s="343" t="str">
        <f t="shared" si="8"/>
        <v/>
      </c>
      <c r="S110" s="591" t="str">
        <f t="shared" si="9"/>
        <v/>
      </c>
      <c r="T110" s="593" t="str">
        <f>IFERROR(IF(S110="Check Data","Check Data",VLOOKUP(S110,'G-4 Temporal multipliers'!$A$4:$C$37,3,FALSE)),"")</f>
        <v/>
      </c>
      <c r="U110" s="592" t="str">
        <f>IF(F110="","",VLOOKUP(F110,'G-3 Multipliers'!$A$2:$E$130,2,FALSE))</f>
        <v/>
      </c>
      <c r="V110" s="343" t="str">
        <f t="shared" si="10"/>
        <v/>
      </c>
      <c r="W110" s="343" t="str">
        <f>IF(E110="","",IF(AND(V110="Standard difficulty applied",O110&gt;P110),U110,IF(AND(V110="Low Difficulty - only applicable if all habitat created before losses",P110&gt;=O110),"Low",VLOOKUP(F110,'G-3 Multipliers'!$A$2:$E$130,4,FALSE))))</f>
        <v/>
      </c>
      <c r="X110" s="345" t="str">
        <f>IFERROR(IF(E110="","",VLOOKUP(W110, 'G-3 Multipliers'!$P$2:$Q$6,2,FALSE)),””)</f>
        <v/>
      </c>
      <c r="Y110" s="595" t="str">
        <f t="shared" si="11"/>
        <v/>
      </c>
      <c r="Z110" s="355"/>
      <c r="AA110" s="356"/>
      <c r="AE110" s="59" t="str">
        <f t="shared" si="7"/>
        <v/>
      </c>
    </row>
    <row r="111" spans="1:31" x14ac:dyDescent="0.25">
      <c r="A111" s="52" t="str">
        <f>IFERROR(INDEX('G-8 Condition Look up'!$I$4:$I$131,MATCH(F111,'G-8 Condition Look up'!$A$4:$A$131,0)),"")</f>
        <v/>
      </c>
      <c r="C111" s="588" t="str">
        <f>IFERROR(INDEX('G-1 All Habitats'!$AG$3:$AG$15,MATCH(D111,'G-1 All Habitats'!$AF$3:$AF$15,0)),"")</f>
        <v/>
      </c>
      <c r="D111" s="347"/>
      <c r="E111" s="366"/>
      <c r="F111" s="365" t="str">
        <f>IFERROR(INDEX('G-1 All Habitats'!$B$3:$B$130,MATCH(E111,'G-1 All Habitats'!$A$3:$A$130,0)),"")</f>
        <v/>
      </c>
      <c r="G111" s="76"/>
      <c r="H111" s="77" t="str">
        <f>IF(F111="","",VLOOKUP(F111,'G-1 All Habitats'!$B$2:$M$130,10,FALSE))</f>
        <v/>
      </c>
      <c r="I111" s="78" t="str">
        <f>IFERROR(VLOOKUP(H111,'G-1 All Habitats'!$V$3:$W$7,2,FALSE),"")</f>
        <v/>
      </c>
      <c r="J111" s="79"/>
      <c r="K111" s="78" t="str">
        <f>IFERROR(INDEX('G-8 Condition Look up'!$A$3:$H$131,MATCH(F111,'G-8 Condition Look up'!$A$3:$A$131,0),MATCH(J111,'G-8 Condition Look up'!$A$3:$H$3,0)),"")</f>
        <v/>
      </c>
      <c r="L111" s="79"/>
      <c r="M111" s="348" t="str">
        <f>IF(L111="","",IF(VLOOKUP(L111,'G-3 Multipliers'!$L$3:$N$6,2,FALSE)=0,"Spatial Data Missing",VLOOKUP(L111,'G-3 Multipliers'!$L$3:$N$6,2,FALSE)))</f>
        <v/>
      </c>
      <c r="N111" s="569" t="str">
        <f>IF(L111="","",IF(VLOOKUP(L111,'G-3 Multipliers'!$L$3:$N$6,3,FALSE)=0,"Spatial Data Missing",VLOOKUP(L111,'G-3 Multipliers'!$L$3:$N$6,3,FALSE)))</f>
        <v/>
      </c>
      <c r="O111" s="77" t="str">
        <f t="shared" si="6"/>
        <v/>
      </c>
      <c r="P111" s="94"/>
      <c r="Q111" s="94"/>
      <c r="R111" s="343" t="str">
        <f t="shared" si="8"/>
        <v/>
      </c>
      <c r="S111" s="591" t="str">
        <f t="shared" si="9"/>
        <v/>
      </c>
      <c r="T111" s="593" t="str">
        <f>IFERROR(IF(S111="Check Data","Check Data",VLOOKUP(S111,'G-4 Temporal multipliers'!$A$4:$C$37,3,FALSE)),"")</f>
        <v/>
      </c>
      <c r="U111" s="592" t="str">
        <f>IF(F111="","",VLOOKUP(F111,'G-3 Multipliers'!$A$2:$E$130,2,FALSE))</f>
        <v/>
      </c>
      <c r="V111" s="343" t="str">
        <f t="shared" si="10"/>
        <v/>
      </c>
      <c r="W111" s="343" t="str">
        <f>IF(E111="","",IF(AND(V111="Standard difficulty applied",O111&gt;P111),U111,IF(AND(V111="Low Difficulty - only applicable if all habitat created before losses",P111&gt;=O111),"Low",VLOOKUP(F111,'G-3 Multipliers'!$A$2:$E$130,4,FALSE))))</f>
        <v/>
      </c>
      <c r="X111" s="345" t="str">
        <f>IFERROR(IF(E111="","",VLOOKUP(W111, 'G-3 Multipliers'!$P$2:$Q$6,2,FALSE)),””)</f>
        <v/>
      </c>
      <c r="Y111" s="595" t="str">
        <f t="shared" si="11"/>
        <v/>
      </c>
      <c r="Z111" s="355"/>
      <c r="AA111" s="356"/>
      <c r="AE111" s="59" t="str">
        <f t="shared" si="7"/>
        <v/>
      </c>
    </row>
    <row r="112" spans="1:31" x14ac:dyDescent="0.25">
      <c r="A112" s="52" t="str">
        <f>IFERROR(INDEX('G-8 Condition Look up'!$I$4:$I$131,MATCH(F112,'G-8 Condition Look up'!$A$4:$A$131,0)),"")</f>
        <v/>
      </c>
      <c r="C112" s="588" t="str">
        <f>IFERROR(INDEX('G-1 All Habitats'!$AG$3:$AG$15,MATCH(D112,'G-1 All Habitats'!$AF$3:$AF$15,0)),"")</f>
        <v/>
      </c>
      <c r="D112" s="347"/>
      <c r="E112" s="366"/>
      <c r="F112" s="365" t="str">
        <f>IFERROR(INDEX('G-1 All Habitats'!$B$3:$B$130,MATCH(E112,'G-1 All Habitats'!$A$3:$A$130,0)),"")</f>
        <v/>
      </c>
      <c r="G112" s="76"/>
      <c r="H112" s="77" t="str">
        <f>IF(F112="","",VLOOKUP(F112,'G-1 All Habitats'!$B$2:$M$130,10,FALSE))</f>
        <v/>
      </c>
      <c r="I112" s="78" t="str">
        <f>IFERROR(VLOOKUP(H112,'G-1 All Habitats'!$V$3:$W$7,2,FALSE),"")</f>
        <v/>
      </c>
      <c r="J112" s="79"/>
      <c r="K112" s="78" t="str">
        <f>IFERROR(INDEX('G-8 Condition Look up'!$A$3:$H$131,MATCH(F112,'G-8 Condition Look up'!$A$3:$A$131,0),MATCH(J112,'G-8 Condition Look up'!$A$3:$H$3,0)),"")</f>
        <v/>
      </c>
      <c r="L112" s="79"/>
      <c r="M112" s="348" t="str">
        <f>IF(L112="","",IF(VLOOKUP(L112,'G-3 Multipliers'!$L$3:$N$6,2,FALSE)=0,"Spatial Data Missing",VLOOKUP(L112,'G-3 Multipliers'!$L$3:$N$6,2,FALSE)))</f>
        <v/>
      </c>
      <c r="N112" s="569" t="str">
        <f>IF(L112="","",IF(VLOOKUP(L112,'G-3 Multipliers'!$L$3:$N$6,3,FALSE)=0,"Spatial Data Missing",VLOOKUP(L112,'G-3 Multipliers'!$L$3:$N$6,3,FALSE)))</f>
        <v/>
      </c>
      <c r="O112" s="77" t="str">
        <f t="shared" si="6"/>
        <v/>
      </c>
      <c r="P112" s="94"/>
      <c r="Q112" s="94"/>
      <c r="R112" s="343" t="str">
        <f t="shared" si="8"/>
        <v/>
      </c>
      <c r="S112" s="591" t="str">
        <f t="shared" si="9"/>
        <v/>
      </c>
      <c r="T112" s="593" t="str">
        <f>IFERROR(IF(S112="Check Data","Check Data",VLOOKUP(S112,'G-4 Temporal multipliers'!$A$4:$C$37,3,FALSE)),"")</f>
        <v/>
      </c>
      <c r="U112" s="592" t="str">
        <f>IF(F112="","",VLOOKUP(F112,'G-3 Multipliers'!$A$2:$E$130,2,FALSE))</f>
        <v/>
      </c>
      <c r="V112" s="343" t="str">
        <f t="shared" si="10"/>
        <v/>
      </c>
      <c r="W112" s="343" t="str">
        <f>IF(E112="","",IF(AND(V112="Standard difficulty applied",O112&gt;P112),U112,IF(AND(V112="Low Difficulty - only applicable if all habitat created before losses",P112&gt;=O112),"Low",VLOOKUP(F112,'G-3 Multipliers'!$A$2:$E$130,4,FALSE))))</f>
        <v/>
      </c>
      <c r="X112" s="345" t="str">
        <f>IFERROR(IF(E112="","",VLOOKUP(W112, 'G-3 Multipliers'!$P$2:$Q$6,2,FALSE)),””)</f>
        <v/>
      </c>
      <c r="Y112" s="595" t="str">
        <f t="shared" si="11"/>
        <v/>
      </c>
      <c r="Z112" s="355"/>
      <c r="AA112" s="356"/>
      <c r="AE112" s="59" t="str">
        <f t="shared" si="7"/>
        <v/>
      </c>
    </row>
    <row r="113" spans="1:31" x14ac:dyDescent="0.25">
      <c r="A113" s="52" t="str">
        <f>IFERROR(INDEX('G-8 Condition Look up'!$I$4:$I$131,MATCH(F113,'G-8 Condition Look up'!$A$4:$A$131,0)),"")</f>
        <v/>
      </c>
      <c r="C113" s="588" t="str">
        <f>IFERROR(INDEX('G-1 All Habitats'!$AG$3:$AG$15,MATCH(D113,'G-1 All Habitats'!$AF$3:$AF$15,0)),"")</f>
        <v/>
      </c>
      <c r="D113" s="347"/>
      <c r="E113" s="366"/>
      <c r="F113" s="365" t="str">
        <f>IFERROR(INDEX('G-1 All Habitats'!$B$3:$B$130,MATCH(E113,'G-1 All Habitats'!$A$3:$A$130,0)),"")</f>
        <v/>
      </c>
      <c r="G113" s="76"/>
      <c r="H113" s="77" t="str">
        <f>IF(F113="","",VLOOKUP(F113,'G-1 All Habitats'!$B$2:$M$130,10,FALSE))</f>
        <v/>
      </c>
      <c r="I113" s="78" t="str">
        <f>IFERROR(VLOOKUP(H113,'G-1 All Habitats'!$V$3:$W$7,2,FALSE),"")</f>
        <v/>
      </c>
      <c r="J113" s="79"/>
      <c r="K113" s="78" t="str">
        <f>IFERROR(INDEX('G-8 Condition Look up'!$A$3:$H$131,MATCH(F113,'G-8 Condition Look up'!$A$3:$A$131,0),MATCH(J113,'G-8 Condition Look up'!$A$3:$H$3,0)),"")</f>
        <v/>
      </c>
      <c r="L113" s="79"/>
      <c r="M113" s="348" t="str">
        <f>IF(L113="","",IF(VLOOKUP(L113,'G-3 Multipliers'!$L$3:$N$6,2,FALSE)=0,"Spatial Data Missing",VLOOKUP(L113,'G-3 Multipliers'!$L$3:$N$6,2,FALSE)))</f>
        <v/>
      </c>
      <c r="N113" s="569" t="str">
        <f>IF(L113="","",IF(VLOOKUP(L113,'G-3 Multipliers'!$L$3:$N$6,3,FALSE)=0,"Spatial Data Missing",VLOOKUP(L113,'G-3 Multipliers'!$L$3:$N$6,3,FALSE)))</f>
        <v/>
      </c>
      <c r="O113" s="77" t="str">
        <f t="shared" si="6"/>
        <v/>
      </c>
      <c r="P113" s="94"/>
      <c r="Q113" s="94"/>
      <c r="R113" s="343" t="str">
        <f t="shared" si="8"/>
        <v/>
      </c>
      <c r="S113" s="591" t="str">
        <f t="shared" si="9"/>
        <v/>
      </c>
      <c r="T113" s="593" t="str">
        <f>IFERROR(IF(S113="Check Data","Check Data",VLOOKUP(S113,'G-4 Temporal multipliers'!$A$4:$C$37,3,FALSE)),"")</f>
        <v/>
      </c>
      <c r="U113" s="592" t="str">
        <f>IF(F113="","",VLOOKUP(F113,'G-3 Multipliers'!$A$2:$E$130,2,FALSE))</f>
        <v/>
      </c>
      <c r="V113" s="343" t="str">
        <f t="shared" si="10"/>
        <v/>
      </c>
      <c r="W113" s="343" t="str">
        <f>IF(E113="","",IF(AND(V113="Standard difficulty applied",O113&gt;P113),U113,IF(AND(V113="Low Difficulty - only applicable if all habitat created before losses",P113&gt;=O113),"Low",VLOOKUP(F113,'G-3 Multipliers'!$A$2:$E$130,4,FALSE))))</f>
        <v/>
      </c>
      <c r="X113" s="345" t="str">
        <f>IFERROR(IF(E113="","",VLOOKUP(W113, 'G-3 Multipliers'!$P$2:$Q$6,2,FALSE)),””)</f>
        <v/>
      </c>
      <c r="Y113" s="595" t="str">
        <f t="shared" si="11"/>
        <v/>
      </c>
      <c r="Z113" s="355"/>
      <c r="AA113" s="356"/>
      <c r="AE113" s="59" t="str">
        <f t="shared" si="7"/>
        <v/>
      </c>
    </row>
    <row r="114" spans="1:31" x14ac:dyDescent="0.25">
      <c r="A114" s="52" t="str">
        <f>IFERROR(INDEX('G-8 Condition Look up'!$I$4:$I$131,MATCH(F114,'G-8 Condition Look up'!$A$4:$A$131,0)),"")</f>
        <v/>
      </c>
      <c r="C114" s="588" t="str">
        <f>IFERROR(INDEX('G-1 All Habitats'!$AG$3:$AG$15,MATCH(D114,'G-1 All Habitats'!$AF$3:$AF$15,0)),"")</f>
        <v/>
      </c>
      <c r="D114" s="347"/>
      <c r="E114" s="366"/>
      <c r="F114" s="365" t="str">
        <f>IFERROR(INDEX('G-1 All Habitats'!$B$3:$B$130,MATCH(E114,'G-1 All Habitats'!$A$3:$A$130,0)),"")</f>
        <v/>
      </c>
      <c r="G114" s="76"/>
      <c r="H114" s="77" t="str">
        <f>IF(F114="","",VLOOKUP(F114,'G-1 All Habitats'!$B$2:$M$130,10,FALSE))</f>
        <v/>
      </c>
      <c r="I114" s="78" t="str">
        <f>IFERROR(VLOOKUP(H114,'G-1 All Habitats'!$V$3:$W$7,2,FALSE),"")</f>
        <v/>
      </c>
      <c r="J114" s="79"/>
      <c r="K114" s="78" t="str">
        <f>IFERROR(INDEX('G-8 Condition Look up'!$A$3:$H$131,MATCH(F114,'G-8 Condition Look up'!$A$3:$A$131,0),MATCH(J114,'G-8 Condition Look up'!$A$3:$H$3,0)),"")</f>
        <v/>
      </c>
      <c r="L114" s="79"/>
      <c r="M114" s="348" t="str">
        <f>IF(L114="","",IF(VLOOKUP(L114,'G-3 Multipliers'!$L$3:$N$6,2,FALSE)=0,"Spatial Data Missing",VLOOKUP(L114,'G-3 Multipliers'!$L$3:$N$6,2,FALSE)))</f>
        <v/>
      </c>
      <c r="N114" s="569" t="str">
        <f>IF(L114="","",IF(VLOOKUP(L114,'G-3 Multipliers'!$L$3:$N$6,3,FALSE)=0,"Spatial Data Missing",VLOOKUP(L114,'G-3 Multipliers'!$L$3:$N$6,3,FALSE)))</f>
        <v/>
      </c>
      <c r="O114" s="77" t="str">
        <f t="shared" si="6"/>
        <v/>
      </c>
      <c r="P114" s="94"/>
      <c r="Q114" s="94"/>
      <c r="R114" s="343" t="str">
        <f t="shared" si="8"/>
        <v/>
      </c>
      <c r="S114" s="591" t="str">
        <f t="shared" si="9"/>
        <v/>
      </c>
      <c r="T114" s="593" t="str">
        <f>IFERROR(IF(S114="Check Data","Check Data",VLOOKUP(S114,'G-4 Temporal multipliers'!$A$4:$C$37,3,FALSE)),"")</f>
        <v/>
      </c>
      <c r="U114" s="592" t="str">
        <f>IF(F114="","",VLOOKUP(F114,'G-3 Multipliers'!$A$2:$E$130,2,FALSE))</f>
        <v/>
      </c>
      <c r="V114" s="343" t="str">
        <f t="shared" si="10"/>
        <v/>
      </c>
      <c r="W114" s="343" t="str">
        <f>IF(E114="","",IF(AND(V114="Standard difficulty applied",O114&gt;P114),U114,IF(AND(V114="Low Difficulty - only applicable if all habitat created before losses",P114&gt;=O114),"Low",VLOOKUP(F114,'G-3 Multipliers'!$A$2:$E$130,4,FALSE))))</f>
        <v/>
      </c>
      <c r="X114" s="345" t="str">
        <f>IFERROR(IF(E114="","",VLOOKUP(W114, 'G-3 Multipliers'!$P$2:$Q$6,2,FALSE)),””)</f>
        <v/>
      </c>
      <c r="Y114" s="595" t="str">
        <f t="shared" si="11"/>
        <v/>
      </c>
      <c r="Z114" s="355"/>
      <c r="AA114" s="356"/>
      <c r="AE114" s="59" t="str">
        <f t="shared" si="7"/>
        <v/>
      </c>
    </row>
    <row r="115" spans="1:31" x14ac:dyDescent="0.25">
      <c r="A115" s="52" t="str">
        <f>IFERROR(INDEX('G-8 Condition Look up'!$I$4:$I$131,MATCH(F115,'G-8 Condition Look up'!$A$4:$A$131,0)),"")</f>
        <v/>
      </c>
      <c r="C115" s="588" t="str">
        <f>IFERROR(INDEX('G-1 All Habitats'!$AG$3:$AG$15,MATCH(D115,'G-1 All Habitats'!$AF$3:$AF$15,0)),"")</f>
        <v/>
      </c>
      <c r="D115" s="347"/>
      <c r="E115" s="366"/>
      <c r="F115" s="365" t="str">
        <f>IFERROR(INDEX('G-1 All Habitats'!$B$3:$B$130,MATCH(E115,'G-1 All Habitats'!$A$3:$A$130,0)),"")</f>
        <v/>
      </c>
      <c r="G115" s="76"/>
      <c r="H115" s="77" t="str">
        <f>IF(F115="","",VLOOKUP(F115,'G-1 All Habitats'!$B$2:$M$130,10,FALSE))</f>
        <v/>
      </c>
      <c r="I115" s="78" t="str">
        <f>IFERROR(VLOOKUP(H115,'G-1 All Habitats'!$V$3:$W$7,2,FALSE),"")</f>
        <v/>
      </c>
      <c r="J115" s="79"/>
      <c r="K115" s="78" t="str">
        <f>IFERROR(INDEX('G-8 Condition Look up'!$A$3:$H$131,MATCH(F115,'G-8 Condition Look up'!$A$3:$A$131,0),MATCH(J115,'G-8 Condition Look up'!$A$3:$H$3,0)),"")</f>
        <v/>
      </c>
      <c r="L115" s="79"/>
      <c r="M115" s="348" t="str">
        <f>IF(L115="","",IF(VLOOKUP(L115,'G-3 Multipliers'!$L$3:$N$6,2,FALSE)=0,"Spatial Data Missing",VLOOKUP(L115,'G-3 Multipliers'!$L$3:$N$6,2,FALSE)))</f>
        <v/>
      </c>
      <c r="N115" s="569" t="str">
        <f>IF(L115="","",IF(VLOOKUP(L115,'G-3 Multipliers'!$L$3:$N$6,3,FALSE)=0,"Spatial Data Missing",VLOOKUP(L115,'G-3 Multipliers'!$L$3:$N$6,3,FALSE)))</f>
        <v/>
      </c>
      <c r="O115" s="77" t="str">
        <f t="shared" si="6"/>
        <v/>
      </c>
      <c r="P115" s="94"/>
      <c r="Q115" s="94"/>
      <c r="R115" s="343" t="str">
        <f t="shared" si="8"/>
        <v/>
      </c>
      <c r="S115" s="591" t="str">
        <f t="shared" si="9"/>
        <v/>
      </c>
      <c r="T115" s="593" t="str">
        <f>IFERROR(IF(S115="Check Data","Check Data",VLOOKUP(S115,'G-4 Temporal multipliers'!$A$4:$C$37,3,FALSE)),"")</f>
        <v/>
      </c>
      <c r="U115" s="592" t="str">
        <f>IF(F115="","",VLOOKUP(F115,'G-3 Multipliers'!$A$2:$E$130,2,FALSE))</f>
        <v/>
      </c>
      <c r="V115" s="343" t="str">
        <f t="shared" si="10"/>
        <v/>
      </c>
      <c r="W115" s="343" t="str">
        <f>IF(E115="","",IF(AND(V115="Standard difficulty applied",O115&gt;P115),U115,IF(AND(V115="Low Difficulty - only applicable if all habitat created before losses",P115&gt;=O115),"Low",VLOOKUP(F115,'G-3 Multipliers'!$A$2:$E$130,4,FALSE))))</f>
        <v/>
      </c>
      <c r="X115" s="345" t="str">
        <f>IFERROR(IF(E115="","",VLOOKUP(W115, 'G-3 Multipliers'!$P$2:$Q$6,2,FALSE)),””)</f>
        <v/>
      </c>
      <c r="Y115" s="595" t="str">
        <f t="shared" si="11"/>
        <v/>
      </c>
      <c r="Z115" s="355"/>
      <c r="AA115" s="356"/>
      <c r="AE115" s="59" t="str">
        <f t="shared" si="7"/>
        <v/>
      </c>
    </row>
    <row r="116" spans="1:31" x14ac:dyDescent="0.25">
      <c r="A116" s="52" t="str">
        <f>IFERROR(INDEX('G-8 Condition Look up'!$I$4:$I$131,MATCH(F116,'G-8 Condition Look up'!$A$4:$A$131,0)),"")</f>
        <v/>
      </c>
      <c r="C116" s="588" t="str">
        <f>IFERROR(INDEX('G-1 All Habitats'!$AG$3:$AG$15,MATCH(D116,'G-1 All Habitats'!$AF$3:$AF$15,0)),"")</f>
        <v/>
      </c>
      <c r="D116" s="347"/>
      <c r="E116" s="366"/>
      <c r="F116" s="365" t="str">
        <f>IFERROR(INDEX('G-1 All Habitats'!$B$3:$B$130,MATCH(E116,'G-1 All Habitats'!$A$3:$A$130,0)),"")</f>
        <v/>
      </c>
      <c r="G116" s="76"/>
      <c r="H116" s="77" t="str">
        <f>IF(F116="","",VLOOKUP(F116,'G-1 All Habitats'!$B$2:$M$130,10,FALSE))</f>
        <v/>
      </c>
      <c r="I116" s="78" t="str">
        <f>IFERROR(VLOOKUP(H116,'G-1 All Habitats'!$V$3:$W$7,2,FALSE),"")</f>
        <v/>
      </c>
      <c r="J116" s="79"/>
      <c r="K116" s="78" t="str">
        <f>IFERROR(INDEX('G-8 Condition Look up'!$A$3:$H$131,MATCH(F116,'G-8 Condition Look up'!$A$3:$A$131,0),MATCH(J116,'G-8 Condition Look up'!$A$3:$H$3,0)),"")</f>
        <v/>
      </c>
      <c r="L116" s="79"/>
      <c r="M116" s="348" t="str">
        <f>IF(L116="","",IF(VLOOKUP(L116,'G-3 Multipliers'!$L$3:$N$6,2,FALSE)=0,"Spatial Data Missing",VLOOKUP(L116,'G-3 Multipliers'!$L$3:$N$6,2,FALSE)))</f>
        <v/>
      </c>
      <c r="N116" s="569" t="str">
        <f>IF(L116="","",IF(VLOOKUP(L116,'G-3 Multipliers'!$L$3:$N$6,3,FALSE)=0,"Spatial Data Missing",VLOOKUP(L116,'G-3 Multipliers'!$L$3:$N$6,3,FALSE)))</f>
        <v/>
      </c>
      <c r="O116" s="77" t="str">
        <f t="shared" si="6"/>
        <v/>
      </c>
      <c r="P116" s="94"/>
      <c r="Q116" s="94"/>
      <c r="R116" s="343" t="str">
        <f t="shared" si="8"/>
        <v/>
      </c>
      <c r="S116" s="591" t="str">
        <f t="shared" si="9"/>
        <v/>
      </c>
      <c r="T116" s="593" t="str">
        <f>IFERROR(IF(S116="Check Data","Check Data",VLOOKUP(S116,'G-4 Temporal multipliers'!$A$4:$C$37,3,FALSE)),"")</f>
        <v/>
      </c>
      <c r="U116" s="592" t="str">
        <f>IF(F116="","",VLOOKUP(F116,'G-3 Multipliers'!$A$2:$E$130,2,FALSE))</f>
        <v/>
      </c>
      <c r="V116" s="343" t="str">
        <f t="shared" si="10"/>
        <v/>
      </c>
      <c r="W116" s="343" t="str">
        <f>IF(E116="","",IF(AND(V116="Standard difficulty applied",O116&gt;P116),U116,IF(AND(V116="Low Difficulty - only applicable if all habitat created before losses",P116&gt;=O116),"Low",VLOOKUP(F116,'G-3 Multipliers'!$A$2:$E$130,4,FALSE))))</f>
        <v/>
      </c>
      <c r="X116" s="345" t="str">
        <f>IFERROR(IF(E116="","",VLOOKUP(W116, 'G-3 Multipliers'!$P$2:$Q$6,2,FALSE)),””)</f>
        <v/>
      </c>
      <c r="Y116" s="595" t="str">
        <f t="shared" si="11"/>
        <v/>
      </c>
      <c r="Z116" s="355"/>
      <c r="AA116" s="356"/>
      <c r="AE116" s="59" t="str">
        <f t="shared" si="7"/>
        <v/>
      </c>
    </row>
    <row r="117" spans="1:31" x14ac:dyDescent="0.25">
      <c r="A117" s="52" t="str">
        <f>IFERROR(INDEX('G-8 Condition Look up'!$I$4:$I$131,MATCH(F117,'G-8 Condition Look up'!$A$4:$A$131,0)),"")</f>
        <v/>
      </c>
      <c r="C117" s="588" t="str">
        <f>IFERROR(INDEX('G-1 All Habitats'!$AG$3:$AG$15,MATCH(D117,'G-1 All Habitats'!$AF$3:$AF$15,0)),"")</f>
        <v/>
      </c>
      <c r="D117" s="347"/>
      <c r="E117" s="366"/>
      <c r="F117" s="365" t="str">
        <f>IFERROR(INDEX('G-1 All Habitats'!$B$3:$B$130,MATCH(E117,'G-1 All Habitats'!$A$3:$A$130,0)),"")</f>
        <v/>
      </c>
      <c r="G117" s="76"/>
      <c r="H117" s="77" t="str">
        <f>IF(F117="","",VLOOKUP(F117,'G-1 All Habitats'!$B$2:$M$130,10,FALSE))</f>
        <v/>
      </c>
      <c r="I117" s="78" t="str">
        <f>IFERROR(VLOOKUP(H117,'G-1 All Habitats'!$V$3:$W$7,2,FALSE),"")</f>
        <v/>
      </c>
      <c r="J117" s="79"/>
      <c r="K117" s="78" t="str">
        <f>IFERROR(INDEX('G-8 Condition Look up'!$A$3:$H$131,MATCH(F117,'G-8 Condition Look up'!$A$3:$A$131,0),MATCH(J117,'G-8 Condition Look up'!$A$3:$H$3,0)),"")</f>
        <v/>
      </c>
      <c r="L117" s="79"/>
      <c r="M117" s="348" t="str">
        <f>IF(L117="","",IF(VLOOKUP(L117,'G-3 Multipliers'!$L$3:$N$6,2,FALSE)=0,"Spatial Data Missing",VLOOKUP(L117,'G-3 Multipliers'!$L$3:$N$6,2,FALSE)))</f>
        <v/>
      </c>
      <c r="N117" s="569" t="str">
        <f>IF(L117="","",IF(VLOOKUP(L117,'G-3 Multipliers'!$L$3:$N$6,3,FALSE)=0,"Spatial Data Missing",VLOOKUP(L117,'G-3 Multipliers'!$L$3:$N$6,3,FALSE)))</f>
        <v/>
      </c>
      <c r="O117" s="77" t="str">
        <f t="shared" si="6"/>
        <v/>
      </c>
      <c r="P117" s="94"/>
      <c r="Q117" s="94"/>
      <c r="R117" s="343" t="str">
        <f t="shared" si="8"/>
        <v/>
      </c>
      <c r="S117" s="591" t="str">
        <f t="shared" si="9"/>
        <v/>
      </c>
      <c r="T117" s="593" t="str">
        <f>IFERROR(IF(S117="Check Data","Check Data",VLOOKUP(S117,'G-4 Temporal multipliers'!$A$4:$C$37,3,FALSE)),"")</f>
        <v/>
      </c>
      <c r="U117" s="592" t="str">
        <f>IF(F117="","",VLOOKUP(F117,'G-3 Multipliers'!$A$2:$E$130,2,FALSE))</f>
        <v/>
      </c>
      <c r="V117" s="343" t="str">
        <f t="shared" si="10"/>
        <v/>
      </c>
      <c r="W117" s="343" t="str">
        <f>IF(E117="","",IF(AND(V117="Standard difficulty applied",O117&gt;P117),U117,IF(AND(V117="Low Difficulty - only applicable if all habitat created before losses",P117&gt;=O117),"Low",VLOOKUP(F117,'G-3 Multipliers'!$A$2:$E$130,4,FALSE))))</f>
        <v/>
      </c>
      <c r="X117" s="345" t="str">
        <f>IFERROR(IF(E117="","",VLOOKUP(W117, 'G-3 Multipliers'!$P$2:$Q$6,2,FALSE)),””)</f>
        <v/>
      </c>
      <c r="Y117" s="595" t="str">
        <f t="shared" si="11"/>
        <v/>
      </c>
      <c r="Z117" s="355"/>
      <c r="AA117" s="356"/>
      <c r="AE117" s="59" t="str">
        <f t="shared" si="7"/>
        <v/>
      </c>
    </row>
    <row r="118" spans="1:31" x14ac:dyDescent="0.25">
      <c r="A118" s="52" t="str">
        <f>IFERROR(INDEX('G-8 Condition Look up'!$I$4:$I$131,MATCH(F118,'G-8 Condition Look up'!$A$4:$A$131,0)),"")</f>
        <v/>
      </c>
      <c r="C118" s="588" t="str">
        <f>IFERROR(INDEX('G-1 All Habitats'!$AG$3:$AG$15,MATCH(D118,'G-1 All Habitats'!$AF$3:$AF$15,0)),"")</f>
        <v/>
      </c>
      <c r="D118" s="347"/>
      <c r="E118" s="366"/>
      <c r="F118" s="365" t="str">
        <f>IFERROR(INDEX('G-1 All Habitats'!$B$3:$B$130,MATCH(E118,'G-1 All Habitats'!$A$3:$A$130,0)),"")</f>
        <v/>
      </c>
      <c r="G118" s="76"/>
      <c r="H118" s="77" t="str">
        <f>IF(F118="","",VLOOKUP(F118,'G-1 All Habitats'!$B$2:$M$130,10,FALSE))</f>
        <v/>
      </c>
      <c r="I118" s="78" t="str">
        <f>IFERROR(VLOOKUP(H118,'G-1 All Habitats'!$V$3:$W$7,2,FALSE),"")</f>
        <v/>
      </c>
      <c r="J118" s="79"/>
      <c r="K118" s="78" t="str">
        <f>IFERROR(INDEX('G-8 Condition Look up'!$A$3:$H$131,MATCH(F118,'G-8 Condition Look up'!$A$3:$A$131,0),MATCH(J118,'G-8 Condition Look up'!$A$3:$H$3,0)),"")</f>
        <v/>
      </c>
      <c r="L118" s="79"/>
      <c r="M118" s="348" t="str">
        <f>IF(L118="","",IF(VLOOKUP(L118,'G-3 Multipliers'!$L$3:$N$6,2,FALSE)=0,"Spatial Data Missing",VLOOKUP(L118,'G-3 Multipliers'!$L$3:$N$6,2,FALSE)))</f>
        <v/>
      </c>
      <c r="N118" s="569" t="str">
        <f>IF(L118="","",IF(VLOOKUP(L118,'G-3 Multipliers'!$L$3:$N$6,3,FALSE)=0,"Spatial Data Missing",VLOOKUP(L118,'G-3 Multipliers'!$L$3:$N$6,3,FALSE)))</f>
        <v/>
      </c>
      <c r="O118" s="77" t="str">
        <f t="shared" si="6"/>
        <v/>
      </c>
      <c r="P118" s="94"/>
      <c r="Q118" s="94"/>
      <c r="R118" s="343" t="str">
        <f t="shared" si="8"/>
        <v/>
      </c>
      <c r="S118" s="591" t="str">
        <f t="shared" si="9"/>
        <v/>
      </c>
      <c r="T118" s="593" t="str">
        <f>IFERROR(IF(S118="Check Data","Check Data",VLOOKUP(S118,'G-4 Temporal multipliers'!$A$4:$C$37,3,FALSE)),"")</f>
        <v/>
      </c>
      <c r="U118" s="592" t="str">
        <f>IF(F118="","",VLOOKUP(F118,'G-3 Multipliers'!$A$2:$E$130,2,FALSE))</f>
        <v/>
      </c>
      <c r="V118" s="343" t="str">
        <f t="shared" si="10"/>
        <v/>
      </c>
      <c r="W118" s="343" t="str">
        <f>IF(E118="","",IF(AND(V118="Standard difficulty applied",O118&gt;P118),U118,IF(AND(V118="Low Difficulty - only applicable if all habitat created before losses",P118&gt;=O118),"Low",VLOOKUP(F118,'G-3 Multipliers'!$A$2:$E$130,4,FALSE))))</f>
        <v/>
      </c>
      <c r="X118" s="345" t="str">
        <f>IFERROR(IF(E118="","",VLOOKUP(W118, 'G-3 Multipliers'!$P$2:$Q$6,2,FALSE)),””)</f>
        <v/>
      </c>
      <c r="Y118" s="595" t="str">
        <f t="shared" si="11"/>
        <v/>
      </c>
      <c r="Z118" s="355"/>
      <c r="AA118" s="356"/>
      <c r="AE118" s="59" t="str">
        <f t="shared" si="7"/>
        <v/>
      </c>
    </row>
    <row r="119" spans="1:31" x14ac:dyDescent="0.25">
      <c r="A119" s="52" t="str">
        <f>IFERROR(INDEX('G-8 Condition Look up'!$I$4:$I$131,MATCH(F119,'G-8 Condition Look up'!$A$4:$A$131,0)),"")</f>
        <v/>
      </c>
      <c r="C119" s="588" t="str">
        <f>IFERROR(INDEX('G-1 All Habitats'!$AG$3:$AG$15,MATCH(D119,'G-1 All Habitats'!$AF$3:$AF$15,0)),"")</f>
        <v/>
      </c>
      <c r="D119" s="347"/>
      <c r="E119" s="366"/>
      <c r="F119" s="365" t="str">
        <f>IFERROR(INDEX('G-1 All Habitats'!$B$3:$B$130,MATCH(E119,'G-1 All Habitats'!$A$3:$A$130,0)),"")</f>
        <v/>
      </c>
      <c r="G119" s="76"/>
      <c r="H119" s="77" t="str">
        <f>IF(F119="","",VLOOKUP(F119,'G-1 All Habitats'!$B$2:$M$130,10,FALSE))</f>
        <v/>
      </c>
      <c r="I119" s="78" t="str">
        <f>IFERROR(VLOOKUP(H119,'G-1 All Habitats'!$V$3:$W$7,2,FALSE),"")</f>
        <v/>
      </c>
      <c r="J119" s="79"/>
      <c r="K119" s="78" t="str">
        <f>IFERROR(INDEX('G-8 Condition Look up'!$A$3:$H$131,MATCH(F119,'G-8 Condition Look up'!$A$3:$A$131,0),MATCH(J119,'G-8 Condition Look up'!$A$3:$H$3,0)),"")</f>
        <v/>
      </c>
      <c r="L119" s="79"/>
      <c r="M119" s="348" t="str">
        <f>IF(L119="","",IF(VLOOKUP(L119,'G-3 Multipliers'!$L$3:$N$6,2,FALSE)=0,"Spatial Data Missing",VLOOKUP(L119,'G-3 Multipliers'!$L$3:$N$6,2,FALSE)))</f>
        <v/>
      </c>
      <c r="N119" s="569" t="str">
        <f>IF(L119="","",IF(VLOOKUP(L119,'G-3 Multipliers'!$L$3:$N$6,3,FALSE)=0,"Spatial Data Missing",VLOOKUP(L119,'G-3 Multipliers'!$L$3:$N$6,3,FALSE)))</f>
        <v/>
      </c>
      <c r="O119" s="77" t="str">
        <f t="shared" si="6"/>
        <v/>
      </c>
      <c r="P119" s="94"/>
      <c r="Q119" s="94"/>
      <c r="R119" s="343" t="str">
        <f t="shared" si="8"/>
        <v/>
      </c>
      <c r="S119" s="591" t="str">
        <f t="shared" si="9"/>
        <v/>
      </c>
      <c r="T119" s="593" t="str">
        <f>IFERROR(IF(S119="Check Data","Check Data",VLOOKUP(S119,'G-4 Temporal multipliers'!$A$4:$C$37,3,FALSE)),"")</f>
        <v/>
      </c>
      <c r="U119" s="592" t="str">
        <f>IF(F119="","",VLOOKUP(F119,'G-3 Multipliers'!$A$2:$E$130,2,FALSE))</f>
        <v/>
      </c>
      <c r="V119" s="343" t="str">
        <f t="shared" si="10"/>
        <v/>
      </c>
      <c r="W119" s="343" t="str">
        <f>IF(E119="","",IF(AND(V119="Standard difficulty applied",O119&gt;P119),U119,IF(AND(V119="Low Difficulty - only applicable if all habitat created before losses",P119&gt;=O119),"Low",VLOOKUP(F119,'G-3 Multipliers'!$A$2:$E$130,4,FALSE))))</f>
        <v/>
      </c>
      <c r="X119" s="345" t="str">
        <f>IFERROR(IF(E119="","",VLOOKUP(W119, 'G-3 Multipliers'!$P$2:$Q$6,2,FALSE)),””)</f>
        <v/>
      </c>
      <c r="Y119" s="595" t="str">
        <f t="shared" si="11"/>
        <v/>
      </c>
      <c r="Z119" s="355"/>
      <c r="AA119" s="356"/>
      <c r="AE119" s="59" t="str">
        <f t="shared" si="7"/>
        <v/>
      </c>
    </row>
    <row r="120" spans="1:31" x14ac:dyDescent="0.25">
      <c r="A120" s="52" t="str">
        <f>IFERROR(INDEX('G-8 Condition Look up'!$I$4:$I$131,MATCH(F120,'G-8 Condition Look up'!$A$4:$A$131,0)),"")</f>
        <v/>
      </c>
      <c r="C120" s="588" t="str">
        <f>IFERROR(INDEX('G-1 All Habitats'!$AG$3:$AG$15,MATCH(D120,'G-1 All Habitats'!$AF$3:$AF$15,0)),"")</f>
        <v/>
      </c>
      <c r="D120" s="347"/>
      <c r="E120" s="366"/>
      <c r="F120" s="365" t="str">
        <f>IFERROR(INDEX('G-1 All Habitats'!$B$3:$B$130,MATCH(E120,'G-1 All Habitats'!$A$3:$A$130,0)),"")</f>
        <v/>
      </c>
      <c r="G120" s="76"/>
      <c r="H120" s="77" t="str">
        <f>IF(F120="","",VLOOKUP(F120,'G-1 All Habitats'!$B$2:$M$130,10,FALSE))</f>
        <v/>
      </c>
      <c r="I120" s="78" t="str">
        <f>IFERROR(VLOOKUP(H120,'G-1 All Habitats'!$V$3:$W$7,2,FALSE),"")</f>
        <v/>
      </c>
      <c r="J120" s="79"/>
      <c r="K120" s="78" t="str">
        <f>IFERROR(INDEX('G-8 Condition Look up'!$A$3:$H$131,MATCH(F120,'G-8 Condition Look up'!$A$3:$A$131,0),MATCH(J120,'G-8 Condition Look up'!$A$3:$H$3,0)),"")</f>
        <v/>
      </c>
      <c r="L120" s="79"/>
      <c r="M120" s="348" t="str">
        <f>IF(L120="","",IF(VLOOKUP(L120,'G-3 Multipliers'!$L$3:$N$6,2,FALSE)=0,"Spatial Data Missing",VLOOKUP(L120,'G-3 Multipliers'!$L$3:$N$6,2,FALSE)))</f>
        <v/>
      </c>
      <c r="N120" s="569" t="str">
        <f>IF(L120="","",IF(VLOOKUP(L120,'G-3 Multipliers'!$L$3:$N$6,3,FALSE)=0,"Spatial Data Missing",VLOOKUP(L120,'G-3 Multipliers'!$L$3:$N$6,3,FALSE)))</f>
        <v/>
      </c>
      <c r="O120" s="77" t="str">
        <f t="shared" si="6"/>
        <v/>
      </c>
      <c r="P120" s="94"/>
      <c r="Q120" s="94"/>
      <c r="R120" s="343" t="str">
        <f t="shared" si="8"/>
        <v/>
      </c>
      <c r="S120" s="591" t="str">
        <f t="shared" si="9"/>
        <v/>
      </c>
      <c r="T120" s="593" t="str">
        <f>IFERROR(IF(S120="Check Data","Check Data",VLOOKUP(S120,'G-4 Temporal multipliers'!$A$4:$C$37,3,FALSE)),"")</f>
        <v/>
      </c>
      <c r="U120" s="592" t="str">
        <f>IF(F120="","",VLOOKUP(F120,'G-3 Multipliers'!$A$2:$E$130,2,FALSE))</f>
        <v/>
      </c>
      <c r="V120" s="343" t="str">
        <f t="shared" si="10"/>
        <v/>
      </c>
      <c r="W120" s="343" t="str">
        <f>IF(E120="","",IF(AND(V120="Standard difficulty applied",O120&gt;P120),U120,IF(AND(V120="Low Difficulty - only applicable if all habitat created before losses",P120&gt;=O120),"Low",VLOOKUP(F120,'G-3 Multipliers'!$A$2:$E$130,4,FALSE))))</f>
        <v/>
      </c>
      <c r="X120" s="345" t="str">
        <f>IFERROR(IF(E120="","",VLOOKUP(W120, 'G-3 Multipliers'!$P$2:$Q$6,2,FALSE)),””)</f>
        <v/>
      </c>
      <c r="Y120" s="595" t="str">
        <f t="shared" si="11"/>
        <v/>
      </c>
      <c r="Z120" s="355"/>
      <c r="AA120" s="356"/>
      <c r="AE120" s="59" t="str">
        <f t="shared" si="7"/>
        <v/>
      </c>
    </row>
    <row r="121" spans="1:31" x14ac:dyDescent="0.25">
      <c r="A121" s="52" t="str">
        <f>IFERROR(INDEX('G-8 Condition Look up'!$I$4:$I$131,MATCH(F121,'G-8 Condition Look up'!$A$4:$A$131,0)),"")</f>
        <v/>
      </c>
      <c r="C121" s="588" t="str">
        <f>IFERROR(INDEX('G-1 All Habitats'!$AG$3:$AG$15,MATCH(D121,'G-1 All Habitats'!$AF$3:$AF$15,0)),"")</f>
        <v/>
      </c>
      <c r="D121" s="347"/>
      <c r="E121" s="366"/>
      <c r="F121" s="365" t="str">
        <f>IFERROR(INDEX('G-1 All Habitats'!$B$3:$B$130,MATCH(E121,'G-1 All Habitats'!$A$3:$A$130,0)),"")</f>
        <v/>
      </c>
      <c r="G121" s="76"/>
      <c r="H121" s="77" t="str">
        <f>IF(F121="","",VLOOKUP(F121,'G-1 All Habitats'!$B$2:$M$130,10,FALSE))</f>
        <v/>
      </c>
      <c r="I121" s="78" t="str">
        <f>IFERROR(VLOOKUP(H121,'G-1 All Habitats'!$V$3:$W$7,2,FALSE),"")</f>
        <v/>
      </c>
      <c r="J121" s="79"/>
      <c r="K121" s="78" t="str">
        <f>IFERROR(INDEX('G-8 Condition Look up'!$A$3:$H$131,MATCH(F121,'G-8 Condition Look up'!$A$3:$A$131,0),MATCH(J121,'G-8 Condition Look up'!$A$3:$H$3,0)),"")</f>
        <v/>
      </c>
      <c r="L121" s="79"/>
      <c r="M121" s="348" t="str">
        <f>IF(L121="","",IF(VLOOKUP(L121,'G-3 Multipliers'!$L$3:$N$6,2,FALSE)=0,"Spatial Data Missing",VLOOKUP(L121,'G-3 Multipliers'!$L$3:$N$6,2,FALSE)))</f>
        <v/>
      </c>
      <c r="N121" s="569" t="str">
        <f>IF(L121="","",IF(VLOOKUP(L121,'G-3 Multipliers'!$L$3:$N$6,3,FALSE)=0,"Spatial Data Missing",VLOOKUP(L121,'G-3 Multipliers'!$L$3:$N$6,3,FALSE)))</f>
        <v/>
      </c>
      <c r="O121" s="77" t="str">
        <f t="shared" si="6"/>
        <v/>
      </c>
      <c r="P121" s="94"/>
      <c r="Q121" s="94"/>
      <c r="R121" s="343" t="str">
        <f t="shared" si="8"/>
        <v/>
      </c>
      <c r="S121" s="591" t="str">
        <f t="shared" si="9"/>
        <v/>
      </c>
      <c r="T121" s="593" t="str">
        <f>IFERROR(IF(S121="Check Data","Check Data",VLOOKUP(S121,'G-4 Temporal multipliers'!$A$4:$C$37,3,FALSE)),"")</f>
        <v/>
      </c>
      <c r="U121" s="592" t="str">
        <f>IF(F121="","",VLOOKUP(F121,'G-3 Multipliers'!$A$2:$E$130,2,FALSE))</f>
        <v/>
      </c>
      <c r="V121" s="343" t="str">
        <f t="shared" si="10"/>
        <v/>
      </c>
      <c r="W121" s="343" t="str">
        <f>IF(E121="","",IF(AND(V121="Standard difficulty applied",O121&gt;P121),U121,IF(AND(V121="Low Difficulty - only applicable if all habitat created before losses",P121&gt;=O121),"Low",VLOOKUP(F121,'G-3 Multipliers'!$A$2:$E$130,4,FALSE))))</f>
        <v/>
      </c>
      <c r="X121" s="345" t="str">
        <f>IFERROR(IF(E121="","",VLOOKUP(W121, 'G-3 Multipliers'!$P$2:$Q$6,2,FALSE)),””)</f>
        <v/>
      </c>
      <c r="Y121" s="595" t="str">
        <f t="shared" si="11"/>
        <v/>
      </c>
      <c r="Z121" s="355"/>
      <c r="AA121" s="356"/>
      <c r="AE121" s="59" t="str">
        <f t="shared" si="7"/>
        <v/>
      </c>
    </row>
    <row r="122" spans="1:31" x14ac:dyDescent="0.25">
      <c r="A122" s="52" t="str">
        <f>IFERROR(INDEX('G-8 Condition Look up'!$I$4:$I$131,MATCH(F122,'G-8 Condition Look up'!$A$4:$A$131,0)),"")</f>
        <v/>
      </c>
      <c r="C122" s="588" t="str">
        <f>IFERROR(INDEX('G-1 All Habitats'!$AG$3:$AG$15,MATCH(D122,'G-1 All Habitats'!$AF$3:$AF$15,0)),"")</f>
        <v/>
      </c>
      <c r="D122" s="347"/>
      <c r="E122" s="366"/>
      <c r="F122" s="365" t="str">
        <f>IFERROR(INDEX('G-1 All Habitats'!$B$3:$B$130,MATCH(E122,'G-1 All Habitats'!$A$3:$A$130,0)),"")</f>
        <v/>
      </c>
      <c r="G122" s="76"/>
      <c r="H122" s="77" t="str">
        <f>IF(F122="","",VLOOKUP(F122,'G-1 All Habitats'!$B$2:$M$130,10,FALSE))</f>
        <v/>
      </c>
      <c r="I122" s="78" t="str">
        <f>IFERROR(VLOOKUP(H122,'G-1 All Habitats'!$V$3:$W$7,2,FALSE),"")</f>
        <v/>
      </c>
      <c r="J122" s="79"/>
      <c r="K122" s="78" t="str">
        <f>IFERROR(INDEX('G-8 Condition Look up'!$A$3:$H$131,MATCH(F122,'G-8 Condition Look up'!$A$3:$A$131,0),MATCH(J122,'G-8 Condition Look up'!$A$3:$H$3,0)),"")</f>
        <v/>
      </c>
      <c r="L122" s="79"/>
      <c r="M122" s="348" t="str">
        <f>IF(L122="","",IF(VLOOKUP(L122,'G-3 Multipliers'!$L$3:$N$6,2,FALSE)=0,"Spatial Data Missing",VLOOKUP(L122,'G-3 Multipliers'!$L$3:$N$6,2,FALSE)))</f>
        <v/>
      </c>
      <c r="N122" s="569" t="str">
        <f>IF(L122="","",IF(VLOOKUP(L122,'G-3 Multipliers'!$L$3:$N$6,3,FALSE)=0,"Spatial Data Missing",VLOOKUP(L122,'G-3 Multipliers'!$L$3:$N$6,3,FALSE)))</f>
        <v/>
      </c>
      <c r="O122" s="77" t="str">
        <f t="shared" si="6"/>
        <v/>
      </c>
      <c r="P122" s="94"/>
      <c r="Q122" s="94"/>
      <c r="R122" s="343" t="str">
        <f t="shared" si="8"/>
        <v/>
      </c>
      <c r="S122" s="591" t="str">
        <f t="shared" si="9"/>
        <v/>
      </c>
      <c r="T122" s="593" t="str">
        <f>IFERROR(IF(S122="Check Data","Check Data",VLOOKUP(S122,'G-4 Temporal multipliers'!$A$4:$C$37,3,FALSE)),"")</f>
        <v/>
      </c>
      <c r="U122" s="592" t="str">
        <f>IF(F122="","",VLOOKUP(F122,'G-3 Multipliers'!$A$2:$E$130,2,FALSE))</f>
        <v/>
      </c>
      <c r="V122" s="343" t="str">
        <f t="shared" si="10"/>
        <v/>
      </c>
      <c r="W122" s="343" t="str">
        <f>IF(E122="","",IF(AND(V122="Standard difficulty applied",O122&gt;P122),U122,IF(AND(V122="Low Difficulty - only applicable if all habitat created before losses",P122&gt;=O122),"Low",VLOOKUP(F122,'G-3 Multipliers'!$A$2:$E$130,4,FALSE))))</f>
        <v/>
      </c>
      <c r="X122" s="345" t="str">
        <f>IFERROR(IF(E122="","",VLOOKUP(W122, 'G-3 Multipliers'!$P$2:$Q$6,2,FALSE)),””)</f>
        <v/>
      </c>
      <c r="Y122" s="595" t="str">
        <f t="shared" si="11"/>
        <v/>
      </c>
      <c r="Z122" s="355"/>
      <c r="AA122" s="356"/>
      <c r="AE122" s="59" t="str">
        <f t="shared" si="7"/>
        <v/>
      </c>
    </row>
    <row r="123" spans="1:31" x14ac:dyDescent="0.25">
      <c r="A123" s="52" t="str">
        <f>IFERROR(INDEX('G-8 Condition Look up'!$I$4:$I$131,MATCH(F123,'G-8 Condition Look up'!$A$4:$A$131,0)),"")</f>
        <v/>
      </c>
      <c r="C123" s="588" t="str">
        <f>IFERROR(INDEX('G-1 All Habitats'!$AG$3:$AG$15,MATCH(D123,'G-1 All Habitats'!$AF$3:$AF$15,0)),"")</f>
        <v/>
      </c>
      <c r="D123" s="347"/>
      <c r="E123" s="366"/>
      <c r="F123" s="365" t="str">
        <f>IFERROR(INDEX('G-1 All Habitats'!$B$3:$B$130,MATCH(E123,'G-1 All Habitats'!$A$3:$A$130,0)),"")</f>
        <v/>
      </c>
      <c r="G123" s="76"/>
      <c r="H123" s="77" t="str">
        <f>IF(F123="","",VLOOKUP(F123,'G-1 All Habitats'!$B$2:$M$130,10,FALSE))</f>
        <v/>
      </c>
      <c r="I123" s="78" t="str">
        <f>IFERROR(VLOOKUP(H123,'G-1 All Habitats'!$V$3:$W$7,2,FALSE),"")</f>
        <v/>
      </c>
      <c r="J123" s="79"/>
      <c r="K123" s="78" t="str">
        <f>IFERROR(INDEX('G-8 Condition Look up'!$A$3:$H$131,MATCH(F123,'G-8 Condition Look up'!$A$3:$A$131,0),MATCH(J123,'G-8 Condition Look up'!$A$3:$H$3,0)),"")</f>
        <v/>
      </c>
      <c r="L123" s="79"/>
      <c r="M123" s="348" t="str">
        <f>IF(L123="","",IF(VLOOKUP(L123,'G-3 Multipliers'!$L$3:$N$6,2,FALSE)=0,"Spatial Data Missing",VLOOKUP(L123,'G-3 Multipliers'!$L$3:$N$6,2,FALSE)))</f>
        <v/>
      </c>
      <c r="N123" s="569" t="str">
        <f>IF(L123="","",IF(VLOOKUP(L123,'G-3 Multipliers'!$L$3:$N$6,3,FALSE)=0,"Spatial Data Missing",VLOOKUP(L123,'G-3 Multipliers'!$L$3:$N$6,3,FALSE)))</f>
        <v/>
      </c>
      <c r="O123" s="77" t="str">
        <f t="shared" si="6"/>
        <v/>
      </c>
      <c r="P123" s="94"/>
      <c r="Q123" s="94"/>
      <c r="R123" s="343" t="str">
        <f t="shared" si="8"/>
        <v/>
      </c>
      <c r="S123" s="591" t="str">
        <f t="shared" si="9"/>
        <v/>
      </c>
      <c r="T123" s="593" t="str">
        <f>IFERROR(IF(S123="Check Data","Check Data",VLOOKUP(S123,'G-4 Temporal multipliers'!$A$4:$C$37,3,FALSE)),"")</f>
        <v/>
      </c>
      <c r="U123" s="592" t="str">
        <f>IF(F123="","",VLOOKUP(F123,'G-3 Multipliers'!$A$2:$E$130,2,FALSE))</f>
        <v/>
      </c>
      <c r="V123" s="343" t="str">
        <f t="shared" si="10"/>
        <v/>
      </c>
      <c r="W123" s="343" t="str">
        <f>IF(E123="","",IF(AND(V123="Standard difficulty applied",O123&gt;P123),U123,IF(AND(V123="Low Difficulty - only applicable if all habitat created before losses",P123&gt;=O123),"Low",VLOOKUP(F123,'G-3 Multipliers'!$A$2:$E$130,4,FALSE))))</f>
        <v/>
      </c>
      <c r="X123" s="345" t="str">
        <f>IFERROR(IF(E123="","",VLOOKUP(W123, 'G-3 Multipliers'!$P$2:$Q$6,2,FALSE)),””)</f>
        <v/>
      </c>
      <c r="Y123" s="595" t="str">
        <f t="shared" si="11"/>
        <v/>
      </c>
      <c r="Z123" s="355"/>
      <c r="AA123" s="356"/>
      <c r="AE123" s="59" t="str">
        <f t="shared" si="7"/>
        <v/>
      </c>
    </row>
    <row r="124" spans="1:31" x14ac:dyDescent="0.25">
      <c r="A124" s="52" t="str">
        <f>IFERROR(INDEX('G-8 Condition Look up'!$I$4:$I$131,MATCH(F124,'G-8 Condition Look up'!$A$4:$A$131,0)),"")</f>
        <v/>
      </c>
      <c r="C124" s="588" t="str">
        <f>IFERROR(INDEX('G-1 All Habitats'!$AG$3:$AG$15,MATCH(D124,'G-1 All Habitats'!$AF$3:$AF$15,0)),"")</f>
        <v/>
      </c>
      <c r="D124" s="347"/>
      <c r="E124" s="366"/>
      <c r="F124" s="365" t="str">
        <f>IFERROR(INDEX('G-1 All Habitats'!$B$3:$B$130,MATCH(E124,'G-1 All Habitats'!$A$3:$A$130,0)),"")</f>
        <v/>
      </c>
      <c r="G124" s="76"/>
      <c r="H124" s="77" t="str">
        <f>IF(F124="","",VLOOKUP(F124,'G-1 All Habitats'!$B$2:$M$130,10,FALSE))</f>
        <v/>
      </c>
      <c r="I124" s="78" t="str">
        <f>IFERROR(VLOOKUP(H124,'G-1 All Habitats'!$V$3:$W$7,2,FALSE),"")</f>
        <v/>
      </c>
      <c r="J124" s="79"/>
      <c r="K124" s="78" t="str">
        <f>IFERROR(INDEX('G-8 Condition Look up'!$A$3:$H$131,MATCH(F124,'G-8 Condition Look up'!$A$3:$A$131,0),MATCH(J124,'G-8 Condition Look up'!$A$3:$H$3,0)),"")</f>
        <v/>
      </c>
      <c r="L124" s="79"/>
      <c r="M124" s="348" t="str">
        <f>IF(L124="","",IF(VLOOKUP(L124,'G-3 Multipliers'!$L$3:$N$6,2,FALSE)=0,"Spatial Data Missing",VLOOKUP(L124,'G-3 Multipliers'!$L$3:$N$6,2,FALSE)))</f>
        <v/>
      </c>
      <c r="N124" s="569" t="str">
        <f>IF(L124="","",IF(VLOOKUP(L124,'G-3 Multipliers'!$L$3:$N$6,3,FALSE)=0,"Spatial Data Missing",VLOOKUP(L124,'G-3 Multipliers'!$L$3:$N$6,3,FALSE)))</f>
        <v/>
      </c>
      <c r="O124" s="77" t="str">
        <f t="shared" si="6"/>
        <v/>
      </c>
      <c r="P124" s="94"/>
      <c r="Q124" s="94"/>
      <c r="R124" s="343" t="str">
        <f t="shared" si="8"/>
        <v/>
      </c>
      <c r="S124" s="591" t="str">
        <f t="shared" si="9"/>
        <v/>
      </c>
      <c r="T124" s="593" t="str">
        <f>IFERROR(IF(S124="Check Data","Check Data",VLOOKUP(S124,'G-4 Temporal multipliers'!$A$4:$C$37,3,FALSE)),"")</f>
        <v/>
      </c>
      <c r="U124" s="592" t="str">
        <f>IF(F124="","",VLOOKUP(F124,'G-3 Multipliers'!$A$2:$E$130,2,FALSE))</f>
        <v/>
      </c>
      <c r="V124" s="343" t="str">
        <f t="shared" si="10"/>
        <v/>
      </c>
      <c r="W124" s="343" t="str">
        <f>IF(E124="","",IF(AND(V124="Standard difficulty applied",O124&gt;P124),U124,IF(AND(V124="Low Difficulty - only applicable if all habitat created before losses",P124&gt;=O124),"Low",VLOOKUP(F124,'G-3 Multipliers'!$A$2:$E$130,4,FALSE))))</f>
        <v/>
      </c>
      <c r="X124" s="345" t="str">
        <f>IFERROR(IF(E124="","",VLOOKUP(W124, 'G-3 Multipliers'!$P$2:$Q$6,2,FALSE)),””)</f>
        <v/>
      </c>
      <c r="Y124" s="595" t="str">
        <f t="shared" si="11"/>
        <v/>
      </c>
      <c r="Z124" s="355"/>
      <c r="AA124" s="356"/>
      <c r="AE124" s="59" t="str">
        <f t="shared" si="7"/>
        <v/>
      </c>
    </row>
    <row r="125" spans="1:31" x14ac:dyDescent="0.25">
      <c r="A125" s="52" t="str">
        <f>IFERROR(INDEX('G-8 Condition Look up'!$I$4:$I$131,MATCH(F125,'G-8 Condition Look up'!$A$4:$A$131,0)),"")</f>
        <v/>
      </c>
      <c r="C125" s="588" t="str">
        <f>IFERROR(INDEX('G-1 All Habitats'!$AG$3:$AG$15,MATCH(D125,'G-1 All Habitats'!$AF$3:$AF$15,0)),"")</f>
        <v/>
      </c>
      <c r="D125" s="347"/>
      <c r="E125" s="366"/>
      <c r="F125" s="365" t="str">
        <f>IFERROR(INDEX('G-1 All Habitats'!$B$3:$B$130,MATCH(E125,'G-1 All Habitats'!$A$3:$A$130,0)),"")</f>
        <v/>
      </c>
      <c r="G125" s="76"/>
      <c r="H125" s="77" t="str">
        <f>IF(F125="","",VLOOKUP(F125,'G-1 All Habitats'!$B$2:$M$130,10,FALSE))</f>
        <v/>
      </c>
      <c r="I125" s="78" t="str">
        <f>IFERROR(VLOOKUP(H125,'G-1 All Habitats'!$V$3:$W$7,2,FALSE),"")</f>
        <v/>
      </c>
      <c r="J125" s="79"/>
      <c r="K125" s="78" t="str">
        <f>IFERROR(INDEX('G-8 Condition Look up'!$A$3:$H$131,MATCH(F125,'G-8 Condition Look up'!$A$3:$A$131,0),MATCH(J125,'G-8 Condition Look up'!$A$3:$H$3,0)),"")</f>
        <v/>
      </c>
      <c r="L125" s="79"/>
      <c r="M125" s="348" t="str">
        <f>IF(L125="","",IF(VLOOKUP(L125,'G-3 Multipliers'!$L$3:$N$6,2,FALSE)=0,"Spatial Data Missing",VLOOKUP(L125,'G-3 Multipliers'!$L$3:$N$6,2,FALSE)))</f>
        <v/>
      </c>
      <c r="N125" s="569" t="str">
        <f>IF(L125="","",IF(VLOOKUP(L125,'G-3 Multipliers'!$L$3:$N$6,3,FALSE)=0,"Spatial Data Missing",VLOOKUP(L125,'G-3 Multipliers'!$L$3:$N$6,3,FALSE)))</f>
        <v/>
      </c>
      <c r="O125" s="77" t="str">
        <f t="shared" si="6"/>
        <v/>
      </c>
      <c r="P125" s="94"/>
      <c r="Q125" s="94"/>
      <c r="R125" s="343" t="str">
        <f t="shared" si="8"/>
        <v/>
      </c>
      <c r="S125" s="591" t="str">
        <f t="shared" si="9"/>
        <v/>
      </c>
      <c r="T125" s="593" t="str">
        <f>IFERROR(IF(S125="Check Data","Check Data",VLOOKUP(S125,'G-4 Temporal multipliers'!$A$4:$C$37,3,FALSE)),"")</f>
        <v/>
      </c>
      <c r="U125" s="592" t="str">
        <f>IF(F125="","",VLOOKUP(F125,'G-3 Multipliers'!$A$2:$E$130,2,FALSE))</f>
        <v/>
      </c>
      <c r="V125" s="343" t="str">
        <f t="shared" si="10"/>
        <v/>
      </c>
      <c r="W125" s="343" t="str">
        <f>IF(E125="","",IF(AND(V125="Standard difficulty applied",O125&gt;P125),U125,IF(AND(V125="Low Difficulty - only applicable if all habitat created before losses",P125&gt;=O125),"Low",VLOOKUP(F125,'G-3 Multipliers'!$A$2:$E$130,4,FALSE))))</f>
        <v/>
      </c>
      <c r="X125" s="345" t="str">
        <f>IFERROR(IF(E125="","",VLOOKUP(W125, 'G-3 Multipliers'!$P$2:$Q$6,2,FALSE)),””)</f>
        <v/>
      </c>
      <c r="Y125" s="595" t="str">
        <f t="shared" si="11"/>
        <v/>
      </c>
      <c r="Z125" s="355"/>
      <c r="AA125" s="356"/>
      <c r="AE125" s="59" t="str">
        <f t="shared" si="7"/>
        <v/>
      </c>
    </row>
    <row r="126" spans="1:31" x14ac:dyDescent="0.25">
      <c r="A126" s="52" t="str">
        <f>IFERROR(INDEX('G-8 Condition Look up'!$I$4:$I$131,MATCH(F126,'G-8 Condition Look up'!$A$4:$A$131,0)),"")</f>
        <v/>
      </c>
      <c r="C126" s="588" t="str">
        <f>IFERROR(INDEX('G-1 All Habitats'!$AG$3:$AG$15,MATCH(D126,'G-1 All Habitats'!$AF$3:$AF$15,0)),"")</f>
        <v/>
      </c>
      <c r="D126" s="347"/>
      <c r="E126" s="366"/>
      <c r="F126" s="365" t="str">
        <f>IFERROR(INDEX('G-1 All Habitats'!$B$3:$B$130,MATCH(E126,'G-1 All Habitats'!$A$3:$A$130,0)),"")</f>
        <v/>
      </c>
      <c r="G126" s="76"/>
      <c r="H126" s="77" t="str">
        <f>IF(F126="","",VLOOKUP(F126,'G-1 All Habitats'!$B$2:$M$130,10,FALSE))</f>
        <v/>
      </c>
      <c r="I126" s="78" t="str">
        <f>IFERROR(VLOOKUP(H126,'G-1 All Habitats'!$V$3:$W$7,2,FALSE),"")</f>
        <v/>
      </c>
      <c r="J126" s="79"/>
      <c r="K126" s="78" t="str">
        <f>IFERROR(INDEX('G-8 Condition Look up'!$A$3:$H$131,MATCH(F126,'G-8 Condition Look up'!$A$3:$A$131,0),MATCH(J126,'G-8 Condition Look up'!$A$3:$H$3,0)),"")</f>
        <v/>
      </c>
      <c r="L126" s="79"/>
      <c r="M126" s="348" t="str">
        <f>IF(L126="","",IF(VLOOKUP(L126,'G-3 Multipliers'!$L$3:$N$6,2,FALSE)=0,"Spatial Data Missing",VLOOKUP(L126,'G-3 Multipliers'!$L$3:$N$6,2,FALSE)))</f>
        <v/>
      </c>
      <c r="N126" s="569" t="str">
        <f>IF(L126="","",IF(VLOOKUP(L126,'G-3 Multipliers'!$L$3:$N$6,3,FALSE)=0,"Spatial Data Missing",VLOOKUP(L126,'G-3 Multipliers'!$L$3:$N$6,3,FALSE)))</f>
        <v/>
      </c>
      <c r="O126" s="77" t="str">
        <f t="shared" si="6"/>
        <v/>
      </c>
      <c r="P126" s="94"/>
      <c r="Q126" s="94"/>
      <c r="R126" s="343" t="str">
        <f t="shared" si="8"/>
        <v/>
      </c>
      <c r="S126" s="591" t="str">
        <f t="shared" si="9"/>
        <v/>
      </c>
      <c r="T126" s="593" t="str">
        <f>IFERROR(IF(S126="Check Data","Check Data",VLOOKUP(S126,'G-4 Temporal multipliers'!$A$4:$C$37,3,FALSE)),"")</f>
        <v/>
      </c>
      <c r="U126" s="592" t="str">
        <f>IF(F126="","",VLOOKUP(F126,'G-3 Multipliers'!$A$2:$E$130,2,FALSE))</f>
        <v/>
      </c>
      <c r="V126" s="343" t="str">
        <f t="shared" si="10"/>
        <v/>
      </c>
      <c r="W126" s="343" t="str">
        <f>IF(E126="","",IF(AND(V126="Standard difficulty applied",O126&gt;P126),U126,IF(AND(V126="Low Difficulty - only applicable if all habitat created before losses",P126&gt;=O126),"Low",VLOOKUP(F126,'G-3 Multipliers'!$A$2:$E$130,4,FALSE))))</f>
        <v/>
      </c>
      <c r="X126" s="345" t="str">
        <f>IFERROR(IF(E126="","",VLOOKUP(W126, 'G-3 Multipliers'!$P$2:$Q$6,2,FALSE)),””)</f>
        <v/>
      </c>
      <c r="Y126" s="595" t="str">
        <f t="shared" si="11"/>
        <v/>
      </c>
      <c r="Z126" s="355"/>
      <c r="AA126" s="356"/>
      <c r="AE126" s="59" t="str">
        <f t="shared" si="7"/>
        <v/>
      </c>
    </row>
    <row r="127" spans="1:31" x14ac:dyDescent="0.25">
      <c r="A127" s="52" t="str">
        <f>IFERROR(INDEX('G-8 Condition Look up'!$I$4:$I$131,MATCH(F127,'G-8 Condition Look up'!$A$4:$A$131,0)),"")</f>
        <v/>
      </c>
      <c r="C127" s="588" t="str">
        <f>IFERROR(INDEX('G-1 All Habitats'!$AG$3:$AG$15,MATCH(D127,'G-1 All Habitats'!$AF$3:$AF$15,0)),"")</f>
        <v/>
      </c>
      <c r="D127" s="347"/>
      <c r="E127" s="366"/>
      <c r="F127" s="365" t="str">
        <f>IFERROR(INDEX('G-1 All Habitats'!$B$3:$B$130,MATCH(E127,'G-1 All Habitats'!$A$3:$A$130,0)),"")</f>
        <v/>
      </c>
      <c r="G127" s="76"/>
      <c r="H127" s="77" t="str">
        <f>IF(F127="","",VLOOKUP(F127,'G-1 All Habitats'!$B$2:$M$130,10,FALSE))</f>
        <v/>
      </c>
      <c r="I127" s="78" t="str">
        <f>IFERROR(VLOOKUP(H127,'G-1 All Habitats'!$V$3:$W$7,2,FALSE),"")</f>
        <v/>
      </c>
      <c r="J127" s="79"/>
      <c r="K127" s="78" t="str">
        <f>IFERROR(INDEX('G-8 Condition Look up'!$A$3:$H$131,MATCH(F127,'G-8 Condition Look up'!$A$3:$A$131,0),MATCH(J127,'G-8 Condition Look up'!$A$3:$H$3,0)),"")</f>
        <v/>
      </c>
      <c r="L127" s="79"/>
      <c r="M127" s="348" t="str">
        <f>IF(L127="","",IF(VLOOKUP(L127,'G-3 Multipliers'!$L$3:$N$6,2,FALSE)=0,"Spatial Data Missing",VLOOKUP(L127,'G-3 Multipliers'!$L$3:$N$6,2,FALSE)))</f>
        <v/>
      </c>
      <c r="N127" s="569" t="str">
        <f>IF(L127="","",IF(VLOOKUP(L127,'G-3 Multipliers'!$L$3:$N$6,3,FALSE)=0,"Spatial Data Missing",VLOOKUP(L127,'G-3 Multipliers'!$L$3:$N$6,3,FALSE)))</f>
        <v/>
      </c>
      <c r="O127" s="77" t="str">
        <f t="shared" si="6"/>
        <v/>
      </c>
      <c r="P127" s="94"/>
      <c r="Q127" s="94"/>
      <c r="R127" s="343" t="str">
        <f t="shared" si="8"/>
        <v/>
      </c>
      <c r="S127" s="591" t="str">
        <f t="shared" si="9"/>
        <v/>
      </c>
      <c r="T127" s="593" t="str">
        <f>IFERROR(IF(S127="Check Data","Check Data",VLOOKUP(S127,'G-4 Temporal multipliers'!$A$4:$C$37,3,FALSE)),"")</f>
        <v/>
      </c>
      <c r="U127" s="592" t="str">
        <f>IF(F127="","",VLOOKUP(F127,'G-3 Multipliers'!$A$2:$E$130,2,FALSE))</f>
        <v/>
      </c>
      <c r="V127" s="343" t="str">
        <f t="shared" si="10"/>
        <v/>
      </c>
      <c r="W127" s="343" t="str">
        <f>IF(E127="","",IF(AND(V127="Standard difficulty applied",O127&gt;P127),U127,IF(AND(V127="Low Difficulty - only applicable if all habitat created before losses",P127&gt;=O127),"Low",VLOOKUP(F127,'G-3 Multipliers'!$A$2:$E$130,4,FALSE))))</f>
        <v/>
      </c>
      <c r="X127" s="345" t="str">
        <f>IFERROR(IF(E127="","",VLOOKUP(W127, 'G-3 Multipliers'!$P$2:$Q$6,2,FALSE)),””)</f>
        <v/>
      </c>
      <c r="Y127" s="595" t="str">
        <f t="shared" si="11"/>
        <v/>
      </c>
      <c r="Z127" s="355"/>
      <c r="AA127" s="356"/>
      <c r="AE127" s="59" t="str">
        <f t="shared" si="7"/>
        <v/>
      </c>
    </row>
    <row r="128" spans="1:31" x14ac:dyDescent="0.25">
      <c r="A128" s="52" t="str">
        <f>IFERROR(INDEX('G-8 Condition Look up'!$I$4:$I$131,MATCH(F128,'G-8 Condition Look up'!$A$4:$A$131,0)),"")</f>
        <v/>
      </c>
      <c r="C128" s="588" t="str">
        <f>IFERROR(INDEX('G-1 All Habitats'!$AG$3:$AG$15,MATCH(D128,'G-1 All Habitats'!$AF$3:$AF$15,0)),"")</f>
        <v/>
      </c>
      <c r="D128" s="347"/>
      <c r="E128" s="366"/>
      <c r="F128" s="365" t="str">
        <f>IFERROR(INDEX('G-1 All Habitats'!$B$3:$B$130,MATCH(E128,'G-1 All Habitats'!$A$3:$A$130,0)),"")</f>
        <v/>
      </c>
      <c r="G128" s="76"/>
      <c r="H128" s="77" t="str">
        <f>IF(F128="","",VLOOKUP(F128,'G-1 All Habitats'!$B$2:$M$130,10,FALSE))</f>
        <v/>
      </c>
      <c r="I128" s="78" t="str">
        <f>IFERROR(VLOOKUP(H128,'G-1 All Habitats'!$V$3:$W$7,2,FALSE),"")</f>
        <v/>
      </c>
      <c r="J128" s="79"/>
      <c r="K128" s="78" t="str">
        <f>IFERROR(INDEX('G-8 Condition Look up'!$A$3:$H$131,MATCH(F128,'G-8 Condition Look up'!$A$3:$A$131,0),MATCH(J128,'G-8 Condition Look up'!$A$3:$H$3,0)),"")</f>
        <v/>
      </c>
      <c r="L128" s="79"/>
      <c r="M128" s="348" t="str">
        <f>IF(L128="","",IF(VLOOKUP(L128,'G-3 Multipliers'!$L$3:$N$6,2,FALSE)=0,"Spatial Data Missing",VLOOKUP(L128,'G-3 Multipliers'!$L$3:$N$6,2,FALSE)))</f>
        <v/>
      </c>
      <c r="N128" s="569" t="str">
        <f>IF(L128="","",IF(VLOOKUP(L128,'G-3 Multipliers'!$L$3:$N$6,3,FALSE)=0,"Spatial Data Missing",VLOOKUP(L128,'G-3 Multipliers'!$L$3:$N$6,3,FALSE)))</f>
        <v/>
      </c>
      <c r="O128" s="77" t="str">
        <f t="shared" si="6"/>
        <v/>
      </c>
      <c r="P128" s="94"/>
      <c r="Q128" s="94"/>
      <c r="R128" s="343" t="str">
        <f t="shared" si="8"/>
        <v/>
      </c>
      <c r="S128" s="591" t="str">
        <f t="shared" si="9"/>
        <v/>
      </c>
      <c r="T128" s="593" t="str">
        <f>IFERROR(IF(S128="Check Data","Check Data",VLOOKUP(S128,'G-4 Temporal multipliers'!$A$4:$C$37,3,FALSE)),"")</f>
        <v/>
      </c>
      <c r="U128" s="592" t="str">
        <f>IF(F128="","",VLOOKUP(F128,'G-3 Multipliers'!$A$2:$E$130,2,FALSE))</f>
        <v/>
      </c>
      <c r="V128" s="343" t="str">
        <f t="shared" si="10"/>
        <v/>
      </c>
      <c r="W128" s="343" t="str">
        <f>IF(E128="","",IF(AND(V128="Standard difficulty applied",O128&gt;P128),U128,IF(AND(V128="Low Difficulty - only applicable if all habitat created before losses",P128&gt;=O128),"Low",VLOOKUP(F128,'G-3 Multipliers'!$A$2:$E$130,4,FALSE))))</f>
        <v/>
      </c>
      <c r="X128" s="345" t="str">
        <f>IFERROR(IF(E128="","",VLOOKUP(W128, 'G-3 Multipliers'!$P$2:$Q$6,2,FALSE)),””)</f>
        <v/>
      </c>
      <c r="Y128" s="595" t="str">
        <f t="shared" si="11"/>
        <v/>
      </c>
      <c r="Z128" s="355"/>
      <c r="AA128" s="356"/>
      <c r="AE128" s="59" t="str">
        <f t="shared" si="7"/>
        <v/>
      </c>
    </row>
    <row r="129" spans="1:31" x14ac:dyDescent="0.25">
      <c r="A129" s="52" t="str">
        <f>IFERROR(INDEX('G-8 Condition Look up'!$I$4:$I$131,MATCH(F129,'G-8 Condition Look up'!$A$4:$A$131,0)),"")</f>
        <v/>
      </c>
      <c r="C129" s="588" t="str">
        <f>IFERROR(INDEX('G-1 All Habitats'!$AG$3:$AG$15,MATCH(D129,'G-1 All Habitats'!$AF$3:$AF$15,0)),"")</f>
        <v/>
      </c>
      <c r="D129" s="347"/>
      <c r="E129" s="366"/>
      <c r="F129" s="365" t="str">
        <f>IFERROR(INDEX('G-1 All Habitats'!$B$3:$B$130,MATCH(E129,'G-1 All Habitats'!$A$3:$A$130,0)),"")</f>
        <v/>
      </c>
      <c r="G129" s="76"/>
      <c r="H129" s="77" t="str">
        <f>IF(F129="","",VLOOKUP(F129,'G-1 All Habitats'!$B$2:$M$130,10,FALSE))</f>
        <v/>
      </c>
      <c r="I129" s="78" t="str">
        <f>IFERROR(VLOOKUP(H129,'G-1 All Habitats'!$V$3:$W$7,2,FALSE),"")</f>
        <v/>
      </c>
      <c r="J129" s="79"/>
      <c r="K129" s="78" t="str">
        <f>IFERROR(INDEX('G-8 Condition Look up'!$A$3:$H$131,MATCH(F129,'G-8 Condition Look up'!$A$3:$A$131,0),MATCH(J129,'G-8 Condition Look up'!$A$3:$H$3,0)),"")</f>
        <v/>
      </c>
      <c r="L129" s="79"/>
      <c r="M129" s="348" t="str">
        <f>IF(L129="","",IF(VLOOKUP(L129,'G-3 Multipliers'!$L$3:$N$6,2,FALSE)=0,"Spatial Data Missing",VLOOKUP(L129,'G-3 Multipliers'!$L$3:$N$6,2,FALSE)))</f>
        <v/>
      </c>
      <c r="N129" s="569" t="str">
        <f>IF(L129="","",IF(VLOOKUP(L129,'G-3 Multipliers'!$L$3:$N$6,3,FALSE)=0,"Spatial Data Missing",VLOOKUP(L129,'G-3 Multipliers'!$L$3:$N$6,3,FALSE)))</f>
        <v/>
      </c>
      <c r="O129" s="77" t="str">
        <f t="shared" si="6"/>
        <v/>
      </c>
      <c r="P129" s="94"/>
      <c r="Q129" s="94"/>
      <c r="R129" s="343" t="str">
        <f t="shared" si="8"/>
        <v/>
      </c>
      <c r="S129" s="591" t="str">
        <f t="shared" si="9"/>
        <v/>
      </c>
      <c r="T129" s="593" t="str">
        <f>IFERROR(IF(S129="Check Data","Check Data",VLOOKUP(S129,'G-4 Temporal multipliers'!$A$4:$C$37,3,FALSE)),"")</f>
        <v/>
      </c>
      <c r="U129" s="592" t="str">
        <f>IF(F129="","",VLOOKUP(F129,'G-3 Multipliers'!$A$2:$E$130,2,FALSE))</f>
        <v/>
      </c>
      <c r="V129" s="343" t="str">
        <f t="shared" si="10"/>
        <v/>
      </c>
      <c r="W129" s="343" t="str">
        <f>IF(E129="","",IF(AND(V129="Standard difficulty applied",O129&gt;P129),U129,IF(AND(V129="Low Difficulty - only applicable if all habitat created before losses",P129&gt;=O129),"Low",VLOOKUP(F129,'G-3 Multipliers'!$A$2:$E$130,4,FALSE))))</f>
        <v/>
      </c>
      <c r="X129" s="345" t="str">
        <f>IFERROR(IF(E129="","",VLOOKUP(W129, 'G-3 Multipliers'!$P$2:$Q$6,2,FALSE)),””)</f>
        <v/>
      </c>
      <c r="Y129" s="595" t="str">
        <f t="shared" si="11"/>
        <v/>
      </c>
      <c r="Z129" s="355"/>
      <c r="AA129" s="356"/>
      <c r="AE129" s="59" t="str">
        <f t="shared" si="7"/>
        <v/>
      </c>
    </row>
    <row r="130" spans="1:31" x14ac:dyDescent="0.25">
      <c r="A130" s="52" t="str">
        <f>IFERROR(INDEX('G-8 Condition Look up'!$I$4:$I$131,MATCH(F130,'G-8 Condition Look up'!$A$4:$A$131,0)),"")</f>
        <v/>
      </c>
      <c r="C130" s="588" t="str">
        <f>IFERROR(INDEX('G-1 All Habitats'!$AG$3:$AG$15,MATCH(D130,'G-1 All Habitats'!$AF$3:$AF$15,0)),"")</f>
        <v/>
      </c>
      <c r="D130" s="347"/>
      <c r="E130" s="366"/>
      <c r="F130" s="365" t="str">
        <f>IFERROR(INDEX('G-1 All Habitats'!$B$3:$B$130,MATCH(E130,'G-1 All Habitats'!$A$3:$A$130,0)),"")</f>
        <v/>
      </c>
      <c r="G130" s="76"/>
      <c r="H130" s="77" t="str">
        <f>IF(F130="","",VLOOKUP(F130,'G-1 All Habitats'!$B$2:$M$130,10,FALSE))</f>
        <v/>
      </c>
      <c r="I130" s="78" t="str">
        <f>IFERROR(VLOOKUP(H130,'G-1 All Habitats'!$V$3:$W$7,2,FALSE),"")</f>
        <v/>
      </c>
      <c r="J130" s="79"/>
      <c r="K130" s="78" t="str">
        <f>IFERROR(INDEX('G-8 Condition Look up'!$A$3:$H$131,MATCH(F130,'G-8 Condition Look up'!$A$3:$A$131,0),MATCH(J130,'G-8 Condition Look up'!$A$3:$H$3,0)),"")</f>
        <v/>
      </c>
      <c r="L130" s="79"/>
      <c r="M130" s="348" t="str">
        <f>IF(L130="","",IF(VLOOKUP(L130,'G-3 Multipliers'!$L$3:$N$6,2,FALSE)=0,"Spatial Data Missing",VLOOKUP(L130,'G-3 Multipliers'!$L$3:$N$6,2,FALSE)))</f>
        <v/>
      </c>
      <c r="N130" s="569" t="str">
        <f>IF(L130="","",IF(VLOOKUP(L130,'G-3 Multipliers'!$L$3:$N$6,3,FALSE)=0,"Spatial Data Missing",VLOOKUP(L130,'G-3 Multipliers'!$L$3:$N$6,3,FALSE)))</f>
        <v/>
      </c>
      <c r="O130" s="77" t="str">
        <f t="shared" si="6"/>
        <v/>
      </c>
      <c r="P130" s="94"/>
      <c r="Q130" s="94"/>
      <c r="R130" s="343" t="str">
        <f t="shared" si="8"/>
        <v/>
      </c>
      <c r="S130" s="591" t="str">
        <f t="shared" si="9"/>
        <v/>
      </c>
      <c r="T130" s="593" t="str">
        <f>IFERROR(IF(S130="Check Data","Check Data",VLOOKUP(S130,'G-4 Temporal multipliers'!$A$4:$C$37,3,FALSE)),"")</f>
        <v/>
      </c>
      <c r="U130" s="592" t="str">
        <f>IF(F130="","",VLOOKUP(F130,'G-3 Multipliers'!$A$2:$E$130,2,FALSE))</f>
        <v/>
      </c>
      <c r="V130" s="343" t="str">
        <f t="shared" si="10"/>
        <v/>
      </c>
      <c r="W130" s="343" t="str">
        <f>IF(E130="","",IF(AND(V130="Standard difficulty applied",O130&gt;P130),U130,IF(AND(V130="Low Difficulty - only applicable if all habitat created before losses",P130&gt;=O130),"Low",VLOOKUP(F130,'G-3 Multipliers'!$A$2:$E$130,4,FALSE))))</f>
        <v/>
      </c>
      <c r="X130" s="345" t="str">
        <f>IFERROR(IF(E130="","",VLOOKUP(W130, 'G-3 Multipliers'!$P$2:$Q$6,2,FALSE)),””)</f>
        <v/>
      </c>
      <c r="Y130" s="595" t="str">
        <f t="shared" si="11"/>
        <v/>
      </c>
      <c r="Z130" s="355"/>
      <c r="AA130" s="356"/>
      <c r="AE130" s="59" t="str">
        <f t="shared" si="7"/>
        <v/>
      </c>
    </row>
    <row r="131" spans="1:31" x14ac:dyDescent="0.25">
      <c r="A131" s="52" t="str">
        <f>IFERROR(INDEX('G-8 Condition Look up'!$I$4:$I$131,MATCH(F131,'G-8 Condition Look up'!$A$4:$A$131,0)),"")</f>
        <v/>
      </c>
      <c r="C131" s="588" t="str">
        <f>IFERROR(INDEX('G-1 All Habitats'!$AG$3:$AG$15,MATCH(D131,'G-1 All Habitats'!$AF$3:$AF$15,0)),"")</f>
        <v/>
      </c>
      <c r="D131" s="347"/>
      <c r="E131" s="366"/>
      <c r="F131" s="365" t="str">
        <f>IFERROR(INDEX('G-1 All Habitats'!$B$3:$B$130,MATCH(E131,'G-1 All Habitats'!$A$3:$A$130,0)),"")</f>
        <v/>
      </c>
      <c r="G131" s="76"/>
      <c r="H131" s="77" t="str">
        <f>IF(F131="","",VLOOKUP(F131,'G-1 All Habitats'!$B$2:$M$130,10,FALSE))</f>
        <v/>
      </c>
      <c r="I131" s="78" t="str">
        <f>IFERROR(VLOOKUP(H131,'G-1 All Habitats'!$V$3:$W$7,2,FALSE),"")</f>
        <v/>
      </c>
      <c r="J131" s="79"/>
      <c r="K131" s="78" t="str">
        <f>IFERROR(INDEX('G-8 Condition Look up'!$A$3:$H$131,MATCH(F131,'G-8 Condition Look up'!$A$3:$A$131,0),MATCH(J131,'G-8 Condition Look up'!$A$3:$H$3,0)),"")</f>
        <v/>
      </c>
      <c r="L131" s="79"/>
      <c r="M131" s="348" t="str">
        <f>IF(L131="","",IF(VLOOKUP(L131,'G-3 Multipliers'!$L$3:$N$6,2,FALSE)=0,"Spatial Data Missing",VLOOKUP(L131,'G-3 Multipliers'!$L$3:$N$6,2,FALSE)))</f>
        <v/>
      </c>
      <c r="N131" s="569" t="str">
        <f>IF(L131="","",IF(VLOOKUP(L131,'G-3 Multipliers'!$L$3:$N$6,3,FALSE)=0,"Spatial Data Missing",VLOOKUP(L131,'G-3 Multipliers'!$L$3:$N$6,3,FALSE)))</f>
        <v/>
      </c>
      <c r="O131" s="77" t="str">
        <f t="shared" si="6"/>
        <v/>
      </c>
      <c r="P131" s="94"/>
      <c r="Q131" s="94"/>
      <c r="R131" s="343" t="str">
        <f t="shared" si="8"/>
        <v/>
      </c>
      <c r="S131" s="591" t="str">
        <f t="shared" si="9"/>
        <v/>
      </c>
      <c r="T131" s="593" t="str">
        <f>IFERROR(IF(S131="Check Data","Check Data",VLOOKUP(S131,'G-4 Temporal multipliers'!$A$4:$C$37,3,FALSE)),"")</f>
        <v/>
      </c>
      <c r="U131" s="592" t="str">
        <f>IF(F131="","",VLOOKUP(F131,'G-3 Multipliers'!$A$2:$E$130,2,FALSE))</f>
        <v/>
      </c>
      <c r="V131" s="343" t="str">
        <f t="shared" si="10"/>
        <v/>
      </c>
      <c r="W131" s="343" t="str">
        <f>IF(E131="","",IF(AND(V131="Standard difficulty applied",O131&gt;P131),U131,IF(AND(V131="Low Difficulty - only applicable if all habitat created before losses",P131&gt;=O131),"Low",VLOOKUP(F131,'G-3 Multipliers'!$A$2:$E$130,4,FALSE))))</f>
        <v/>
      </c>
      <c r="X131" s="345" t="str">
        <f>IFERROR(IF(E131="","",VLOOKUP(W131, 'G-3 Multipliers'!$P$2:$Q$6,2,FALSE)),””)</f>
        <v/>
      </c>
      <c r="Y131" s="595" t="str">
        <f t="shared" si="11"/>
        <v/>
      </c>
      <c r="Z131" s="355"/>
      <c r="AA131" s="356"/>
      <c r="AE131" s="59" t="str">
        <f t="shared" si="7"/>
        <v/>
      </c>
    </row>
    <row r="132" spans="1:31" x14ac:dyDescent="0.25">
      <c r="A132" s="52" t="str">
        <f>IFERROR(INDEX('G-8 Condition Look up'!$I$4:$I$131,MATCH(F132,'G-8 Condition Look up'!$A$4:$A$131,0)),"")</f>
        <v/>
      </c>
      <c r="C132" s="588" t="str">
        <f>IFERROR(INDEX('G-1 All Habitats'!$AG$3:$AG$15,MATCH(D132,'G-1 All Habitats'!$AF$3:$AF$15,0)),"")</f>
        <v/>
      </c>
      <c r="D132" s="347"/>
      <c r="E132" s="366"/>
      <c r="F132" s="365" t="str">
        <f>IFERROR(INDEX('G-1 All Habitats'!$B$3:$B$130,MATCH(E132,'G-1 All Habitats'!$A$3:$A$130,0)),"")</f>
        <v/>
      </c>
      <c r="G132" s="76"/>
      <c r="H132" s="77" t="str">
        <f>IF(F132="","",VLOOKUP(F132,'G-1 All Habitats'!$B$2:$M$130,10,FALSE))</f>
        <v/>
      </c>
      <c r="I132" s="78" t="str">
        <f>IFERROR(VLOOKUP(H132,'G-1 All Habitats'!$V$3:$W$7,2,FALSE),"")</f>
        <v/>
      </c>
      <c r="J132" s="79"/>
      <c r="K132" s="78" t="str">
        <f>IFERROR(INDEX('G-8 Condition Look up'!$A$3:$H$131,MATCH(F132,'G-8 Condition Look up'!$A$3:$A$131,0),MATCH(J132,'G-8 Condition Look up'!$A$3:$H$3,0)),"")</f>
        <v/>
      </c>
      <c r="L132" s="79"/>
      <c r="M132" s="348" t="str">
        <f>IF(L132="","",IF(VLOOKUP(L132,'G-3 Multipliers'!$L$3:$N$6,2,FALSE)=0,"Spatial Data Missing",VLOOKUP(L132,'G-3 Multipliers'!$L$3:$N$6,2,FALSE)))</f>
        <v/>
      </c>
      <c r="N132" s="569" t="str">
        <f>IF(L132="","",IF(VLOOKUP(L132,'G-3 Multipliers'!$L$3:$N$6,3,FALSE)=0,"Spatial Data Missing",VLOOKUP(L132,'G-3 Multipliers'!$L$3:$N$6,3,FALSE)))</f>
        <v/>
      </c>
      <c r="O132" s="77" t="str">
        <f t="shared" si="6"/>
        <v/>
      </c>
      <c r="P132" s="94"/>
      <c r="Q132" s="94"/>
      <c r="R132" s="343" t="str">
        <f t="shared" si="8"/>
        <v/>
      </c>
      <c r="S132" s="591" t="str">
        <f t="shared" si="9"/>
        <v/>
      </c>
      <c r="T132" s="593" t="str">
        <f>IFERROR(IF(S132="Check Data","Check Data",VLOOKUP(S132,'G-4 Temporal multipliers'!$A$4:$C$37,3,FALSE)),"")</f>
        <v/>
      </c>
      <c r="U132" s="592" t="str">
        <f>IF(F132="","",VLOOKUP(F132,'G-3 Multipliers'!$A$2:$E$130,2,FALSE))</f>
        <v/>
      </c>
      <c r="V132" s="343" t="str">
        <f t="shared" si="10"/>
        <v/>
      </c>
      <c r="W132" s="343" t="str">
        <f>IF(E132="","",IF(AND(V132="Standard difficulty applied",O132&gt;P132),U132,IF(AND(V132="Low Difficulty - only applicable if all habitat created before losses",P132&gt;=O132),"Low",VLOOKUP(F132,'G-3 Multipliers'!$A$2:$E$130,4,FALSE))))</f>
        <v/>
      </c>
      <c r="X132" s="345" t="str">
        <f>IFERROR(IF(E132="","",VLOOKUP(W132, 'G-3 Multipliers'!$P$2:$Q$6,2,FALSE)),””)</f>
        <v/>
      </c>
      <c r="Y132" s="595" t="str">
        <f t="shared" si="11"/>
        <v/>
      </c>
      <c r="Z132" s="355"/>
      <c r="AA132" s="356"/>
      <c r="AE132" s="59" t="str">
        <f t="shared" si="7"/>
        <v/>
      </c>
    </row>
    <row r="133" spans="1:31" x14ac:dyDescent="0.25">
      <c r="A133" s="52" t="str">
        <f>IFERROR(INDEX('G-8 Condition Look up'!$I$4:$I$131,MATCH(F133,'G-8 Condition Look up'!$A$4:$A$131,0)),"")</f>
        <v/>
      </c>
      <c r="C133" s="588" t="str">
        <f>IFERROR(INDEX('G-1 All Habitats'!$AG$3:$AG$15,MATCH(D133,'G-1 All Habitats'!$AF$3:$AF$15,0)),"")</f>
        <v/>
      </c>
      <c r="D133" s="347"/>
      <c r="E133" s="366"/>
      <c r="F133" s="365" t="str">
        <f>IFERROR(INDEX('G-1 All Habitats'!$B$3:$B$130,MATCH(E133,'G-1 All Habitats'!$A$3:$A$130,0)),"")</f>
        <v/>
      </c>
      <c r="G133" s="76"/>
      <c r="H133" s="77" t="str">
        <f>IF(F133="","",VLOOKUP(F133,'G-1 All Habitats'!$B$2:$M$130,10,FALSE))</f>
        <v/>
      </c>
      <c r="I133" s="78" t="str">
        <f>IFERROR(VLOOKUP(H133,'G-1 All Habitats'!$V$3:$W$7,2,FALSE),"")</f>
        <v/>
      </c>
      <c r="J133" s="79"/>
      <c r="K133" s="78" t="str">
        <f>IFERROR(INDEX('G-8 Condition Look up'!$A$3:$H$131,MATCH(F133,'G-8 Condition Look up'!$A$3:$A$131,0),MATCH(J133,'G-8 Condition Look up'!$A$3:$H$3,0)),"")</f>
        <v/>
      </c>
      <c r="L133" s="79"/>
      <c r="M133" s="348" t="str">
        <f>IF(L133="","",IF(VLOOKUP(L133,'G-3 Multipliers'!$L$3:$N$6,2,FALSE)=0,"Spatial Data Missing",VLOOKUP(L133,'G-3 Multipliers'!$L$3:$N$6,2,FALSE)))</f>
        <v/>
      </c>
      <c r="N133" s="569" t="str">
        <f>IF(L133="","",IF(VLOOKUP(L133,'G-3 Multipliers'!$L$3:$N$6,3,FALSE)=0,"Spatial Data Missing",VLOOKUP(L133,'G-3 Multipliers'!$L$3:$N$6,3,FALSE)))</f>
        <v/>
      </c>
      <c r="O133" s="77" t="str">
        <f t="shared" si="6"/>
        <v/>
      </c>
      <c r="P133" s="94"/>
      <c r="Q133" s="94"/>
      <c r="R133" s="343" t="str">
        <f t="shared" si="8"/>
        <v/>
      </c>
      <c r="S133" s="591" t="str">
        <f t="shared" si="9"/>
        <v/>
      </c>
      <c r="T133" s="593" t="str">
        <f>IFERROR(IF(S133="Check Data","Check Data",VLOOKUP(S133,'G-4 Temporal multipliers'!$A$4:$C$37,3,FALSE)),"")</f>
        <v/>
      </c>
      <c r="U133" s="592" t="str">
        <f>IF(F133="","",VLOOKUP(F133,'G-3 Multipliers'!$A$2:$E$130,2,FALSE))</f>
        <v/>
      </c>
      <c r="V133" s="343" t="str">
        <f t="shared" si="10"/>
        <v/>
      </c>
      <c r="W133" s="343" t="str">
        <f>IF(E133="","",IF(AND(V133="Standard difficulty applied",O133&gt;P133),U133,IF(AND(V133="Low Difficulty - only applicable if all habitat created before losses",P133&gt;=O133),"Low",VLOOKUP(F133,'G-3 Multipliers'!$A$2:$E$130,4,FALSE))))</f>
        <v/>
      </c>
      <c r="X133" s="345" t="str">
        <f>IFERROR(IF(E133="","",VLOOKUP(W133, 'G-3 Multipliers'!$P$2:$Q$6,2,FALSE)),””)</f>
        <v/>
      </c>
      <c r="Y133" s="595" t="str">
        <f t="shared" si="11"/>
        <v/>
      </c>
      <c r="Z133" s="355"/>
      <c r="AA133" s="356"/>
      <c r="AE133" s="59" t="str">
        <f t="shared" si="7"/>
        <v/>
      </c>
    </row>
    <row r="134" spans="1:31" x14ac:dyDescent="0.25">
      <c r="A134" s="52" t="str">
        <f>IFERROR(INDEX('G-8 Condition Look up'!$I$4:$I$131,MATCH(F134,'G-8 Condition Look up'!$A$4:$A$131,0)),"")</f>
        <v/>
      </c>
      <c r="C134" s="588" t="str">
        <f>IFERROR(INDEX('G-1 All Habitats'!$AG$3:$AG$15,MATCH(D134,'G-1 All Habitats'!$AF$3:$AF$15,0)),"")</f>
        <v/>
      </c>
      <c r="D134" s="347"/>
      <c r="E134" s="366"/>
      <c r="F134" s="365" t="str">
        <f>IFERROR(INDEX('G-1 All Habitats'!$B$3:$B$130,MATCH(E134,'G-1 All Habitats'!$A$3:$A$130,0)),"")</f>
        <v/>
      </c>
      <c r="G134" s="76"/>
      <c r="H134" s="77" t="str">
        <f>IF(F134="","",VLOOKUP(F134,'G-1 All Habitats'!$B$2:$M$130,10,FALSE))</f>
        <v/>
      </c>
      <c r="I134" s="78" t="str">
        <f>IFERROR(VLOOKUP(H134,'G-1 All Habitats'!$V$3:$W$7,2,FALSE),"")</f>
        <v/>
      </c>
      <c r="J134" s="79"/>
      <c r="K134" s="78" t="str">
        <f>IFERROR(INDEX('G-8 Condition Look up'!$A$3:$H$131,MATCH(F134,'G-8 Condition Look up'!$A$3:$A$131,0),MATCH(J134,'G-8 Condition Look up'!$A$3:$H$3,0)),"")</f>
        <v/>
      </c>
      <c r="L134" s="79"/>
      <c r="M134" s="348" t="str">
        <f>IF(L134="","",IF(VLOOKUP(L134,'G-3 Multipliers'!$L$3:$N$6,2,FALSE)=0,"Spatial Data Missing",VLOOKUP(L134,'G-3 Multipliers'!$L$3:$N$6,2,FALSE)))</f>
        <v/>
      </c>
      <c r="N134" s="569" t="str">
        <f>IF(L134="","",IF(VLOOKUP(L134,'G-3 Multipliers'!$L$3:$N$6,3,FALSE)=0,"Spatial Data Missing",VLOOKUP(L134,'G-3 Multipliers'!$L$3:$N$6,3,FALSE)))</f>
        <v/>
      </c>
      <c r="O134" s="77" t="str">
        <f t="shared" si="6"/>
        <v/>
      </c>
      <c r="P134" s="94"/>
      <c r="Q134" s="94"/>
      <c r="R134" s="343" t="str">
        <f t="shared" si="8"/>
        <v/>
      </c>
      <c r="S134" s="591" t="str">
        <f t="shared" si="9"/>
        <v/>
      </c>
      <c r="T134" s="593" t="str">
        <f>IFERROR(IF(S134="Check Data","Check Data",VLOOKUP(S134,'G-4 Temporal multipliers'!$A$4:$C$37,3,FALSE)),"")</f>
        <v/>
      </c>
      <c r="U134" s="592" t="str">
        <f>IF(F134="","",VLOOKUP(F134,'G-3 Multipliers'!$A$2:$E$130,2,FALSE))</f>
        <v/>
      </c>
      <c r="V134" s="343" t="str">
        <f t="shared" si="10"/>
        <v/>
      </c>
      <c r="W134" s="343" t="str">
        <f>IF(E134="","",IF(AND(V134="Standard difficulty applied",O134&gt;P134),U134,IF(AND(V134="Low Difficulty - only applicable if all habitat created before losses",P134&gt;=O134),"Low",VLOOKUP(F134,'G-3 Multipliers'!$A$2:$E$130,4,FALSE))))</f>
        <v/>
      </c>
      <c r="X134" s="345" t="str">
        <f>IFERROR(IF(E134="","",VLOOKUP(W134, 'G-3 Multipliers'!$P$2:$Q$6,2,FALSE)),””)</f>
        <v/>
      </c>
      <c r="Y134" s="595" t="str">
        <f t="shared" si="11"/>
        <v/>
      </c>
      <c r="Z134" s="355"/>
      <c r="AA134" s="356"/>
      <c r="AE134" s="59" t="str">
        <f t="shared" si="7"/>
        <v/>
      </c>
    </row>
    <row r="135" spans="1:31" x14ac:dyDescent="0.25">
      <c r="A135" s="52" t="str">
        <f>IFERROR(INDEX('G-8 Condition Look up'!$I$4:$I$131,MATCH(F135,'G-8 Condition Look up'!$A$4:$A$131,0)),"")</f>
        <v/>
      </c>
      <c r="C135" s="588" t="str">
        <f>IFERROR(INDEX('G-1 All Habitats'!$AG$3:$AG$15,MATCH(D135,'G-1 All Habitats'!$AF$3:$AF$15,0)),"")</f>
        <v/>
      </c>
      <c r="D135" s="347"/>
      <c r="E135" s="366"/>
      <c r="F135" s="365" t="str">
        <f>IFERROR(INDEX('G-1 All Habitats'!$B$3:$B$130,MATCH(E135,'G-1 All Habitats'!$A$3:$A$130,0)),"")</f>
        <v/>
      </c>
      <c r="G135" s="76"/>
      <c r="H135" s="77" t="str">
        <f>IF(F135="","",VLOOKUP(F135,'G-1 All Habitats'!$B$2:$M$130,10,FALSE))</f>
        <v/>
      </c>
      <c r="I135" s="78" t="str">
        <f>IFERROR(VLOOKUP(H135,'G-1 All Habitats'!$V$3:$W$7,2,FALSE),"")</f>
        <v/>
      </c>
      <c r="J135" s="79"/>
      <c r="K135" s="78" t="str">
        <f>IFERROR(INDEX('G-8 Condition Look up'!$A$3:$H$131,MATCH(F135,'G-8 Condition Look up'!$A$3:$A$131,0),MATCH(J135,'G-8 Condition Look up'!$A$3:$H$3,0)),"")</f>
        <v/>
      </c>
      <c r="L135" s="79"/>
      <c r="M135" s="348" t="str">
        <f>IF(L135="","",IF(VLOOKUP(L135,'G-3 Multipliers'!$L$3:$N$6,2,FALSE)=0,"Spatial Data Missing",VLOOKUP(L135,'G-3 Multipliers'!$L$3:$N$6,2,FALSE)))</f>
        <v/>
      </c>
      <c r="N135" s="569" t="str">
        <f>IF(L135="","",IF(VLOOKUP(L135,'G-3 Multipliers'!$L$3:$N$6,3,FALSE)=0,"Spatial Data Missing",VLOOKUP(L135,'G-3 Multipliers'!$L$3:$N$6,3,FALSE)))</f>
        <v/>
      </c>
      <c r="O135" s="77" t="str">
        <f t="shared" si="6"/>
        <v/>
      </c>
      <c r="P135" s="94"/>
      <c r="Q135" s="94"/>
      <c r="R135" s="343" t="str">
        <f t="shared" si="8"/>
        <v/>
      </c>
      <c r="S135" s="591" t="str">
        <f t="shared" si="9"/>
        <v/>
      </c>
      <c r="T135" s="593" t="str">
        <f>IFERROR(IF(S135="Check Data","Check Data",VLOOKUP(S135,'G-4 Temporal multipliers'!$A$4:$C$37,3,FALSE)),"")</f>
        <v/>
      </c>
      <c r="U135" s="592" t="str">
        <f>IF(F135="","",VLOOKUP(F135,'G-3 Multipliers'!$A$2:$E$130,2,FALSE))</f>
        <v/>
      </c>
      <c r="V135" s="343" t="str">
        <f t="shared" si="10"/>
        <v/>
      </c>
      <c r="W135" s="343" t="str">
        <f>IF(E135="","",IF(AND(V135="Standard difficulty applied",O135&gt;P135),U135,IF(AND(V135="Low Difficulty - only applicable if all habitat created before losses",P135&gt;=O135),"Low",VLOOKUP(F135,'G-3 Multipliers'!$A$2:$E$130,4,FALSE))))</f>
        <v/>
      </c>
      <c r="X135" s="345" t="str">
        <f>IFERROR(IF(E135="","",VLOOKUP(W135, 'G-3 Multipliers'!$P$2:$Q$6,2,FALSE)),””)</f>
        <v/>
      </c>
      <c r="Y135" s="595" t="str">
        <f t="shared" si="11"/>
        <v/>
      </c>
      <c r="Z135" s="355"/>
      <c r="AA135" s="356"/>
      <c r="AE135" s="59" t="str">
        <f t="shared" si="7"/>
        <v/>
      </c>
    </row>
    <row r="136" spans="1:31" x14ac:dyDescent="0.25">
      <c r="A136" s="52" t="str">
        <f>IFERROR(INDEX('G-8 Condition Look up'!$I$4:$I$131,MATCH(F136,'G-8 Condition Look up'!$A$4:$A$131,0)),"")</f>
        <v/>
      </c>
      <c r="C136" s="588" t="str">
        <f>IFERROR(INDEX('G-1 All Habitats'!$AG$3:$AG$15,MATCH(D136,'G-1 All Habitats'!$AF$3:$AF$15,0)),"")</f>
        <v/>
      </c>
      <c r="D136" s="347"/>
      <c r="E136" s="366"/>
      <c r="F136" s="365" t="str">
        <f>IFERROR(INDEX('G-1 All Habitats'!$B$3:$B$130,MATCH(E136,'G-1 All Habitats'!$A$3:$A$130,0)),"")</f>
        <v/>
      </c>
      <c r="G136" s="76"/>
      <c r="H136" s="77" t="str">
        <f>IF(F136="","",VLOOKUP(F136,'G-1 All Habitats'!$B$2:$M$130,10,FALSE))</f>
        <v/>
      </c>
      <c r="I136" s="78" t="str">
        <f>IFERROR(VLOOKUP(H136,'G-1 All Habitats'!$V$3:$W$7,2,FALSE),"")</f>
        <v/>
      </c>
      <c r="J136" s="79"/>
      <c r="K136" s="78" t="str">
        <f>IFERROR(INDEX('G-8 Condition Look up'!$A$3:$H$131,MATCH(F136,'G-8 Condition Look up'!$A$3:$A$131,0),MATCH(J136,'G-8 Condition Look up'!$A$3:$H$3,0)),"")</f>
        <v/>
      </c>
      <c r="L136" s="79"/>
      <c r="M136" s="348" t="str">
        <f>IF(L136="","",IF(VLOOKUP(L136,'G-3 Multipliers'!$L$3:$N$6,2,FALSE)=0,"Spatial Data Missing",VLOOKUP(L136,'G-3 Multipliers'!$L$3:$N$6,2,FALSE)))</f>
        <v/>
      </c>
      <c r="N136" s="569" t="str">
        <f>IF(L136="","",IF(VLOOKUP(L136,'G-3 Multipliers'!$L$3:$N$6,3,FALSE)=0,"Spatial Data Missing",VLOOKUP(L136,'G-3 Multipliers'!$L$3:$N$6,3,FALSE)))</f>
        <v/>
      </c>
      <c r="O136" s="77" t="str">
        <f t="shared" si="6"/>
        <v/>
      </c>
      <c r="P136" s="94"/>
      <c r="Q136" s="94"/>
      <c r="R136" s="343" t="str">
        <f t="shared" si="8"/>
        <v/>
      </c>
      <c r="S136" s="591" t="str">
        <f t="shared" si="9"/>
        <v/>
      </c>
      <c r="T136" s="593" t="str">
        <f>IFERROR(IF(S136="Check Data","Check Data",VLOOKUP(S136,'G-4 Temporal multipliers'!$A$4:$C$37,3,FALSE)),"")</f>
        <v/>
      </c>
      <c r="U136" s="592" t="str">
        <f>IF(F136="","",VLOOKUP(F136,'G-3 Multipliers'!$A$2:$E$130,2,FALSE))</f>
        <v/>
      </c>
      <c r="V136" s="343" t="str">
        <f t="shared" si="10"/>
        <v/>
      </c>
      <c r="W136" s="343" t="str">
        <f>IF(E136="","",IF(AND(V136="Standard difficulty applied",O136&gt;P136),U136,IF(AND(V136="Low Difficulty - only applicable if all habitat created before losses",P136&gt;=O136),"Low",VLOOKUP(F136,'G-3 Multipliers'!$A$2:$E$130,4,FALSE))))</f>
        <v/>
      </c>
      <c r="X136" s="345" t="str">
        <f>IFERROR(IF(E136="","",VLOOKUP(W136, 'G-3 Multipliers'!$P$2:$Q$6,2,FALSE)),””)</f>
        <v/>
      </c>
      <c r="Y136" s="595" t="str">
        <f t="shared" si="11"/>
        <v/>
      </c>
      <c r="Z136" s="355"/>
      <c r="AA136" s="356"/>
      <c r="AE136" s="59" t="str">
        <f t="shared" si="7"/>
        <v/>
      </c>
    </row>
    <row r="137" spans="1:31" x14ac:dyDescent="0.25">
      <c r="A137" s="52" t="str">
        <f>IFERROR(INDEX('G-8 Condition Look up'!$I$4:$I$131,MATCH(F137,'G-8 Condition Look up'!$A$4:$A$131,0)),"")</f>
        <v/>
      </c>
      <c r="C137" s="588" t="str">
        <f>IFERROR(INDEX('G-1 All Habitats'!$AG$3:$AG$15,MATCH(D137,'G-1 All Habitats'!$AF$3:$AF$15,0)),"")</f>
        <v/>
      </c>
      <c r="D137" s="347"/>
      <c r="E137" s="366"/>
      <c r="F137" s="365" t="str">
        <f>IFERROR(INDEX('G-1 All Habitats'!$B$3:$B$130,MATCH(E137,'G-1 All Habitats'!$A$3:$A$130,0)),"")</f>
        <v/>
      </c>
      <c r="G137" s="76"/>
      <c r="H137" s="77" t="str">
        <f>IF(F137="","",VLOOKUP(F137,'G-1 All Habitats'!$B$2:$M$130,10,FALSE))</f>
        <v/>
      </c>
      <c r="I137" s="78" t="str">
        <f>IFERROR(VLOOKUP(H137,'G-1 All Habitats'!$V$3:$W$7,2,FALSE),"")</f>
        <v/>
      </c>
      <c r="J137" s="79"/>
      <c r="K137" s="78" t="str">
        <f>IFERROR(INDEX('G-8 Condition Look up'!$A$3:$H$131,MATCH(F137,'G-8 Condition Look up'!$A$3:$A$131,0),MATCH(J137,'G-8 Condition Look up'!$A$3:$H$3,0)),"")</f>
        <v/>
      </c>
      <c r="L137" s="79"/>
      <c r="M137" s="348" t="str">
        <f>IF(L137="","",IF(VLOOKUP(L137,'G-3 Multipliers'!$L$3:$N$6,2,FALSE)=0,"Spatial Data Missing",VLOOKUP(L137,'G-3 Multipliers'!$L$3:$N$6,2,FALSE)))</f>
        <v/>
      </c>
      <c r="N137" s="569" t="str">
        <f>IF(L137="","",IF(VLOOKUP(L137,'G-3 Multipliers'!$L$3:$N$6,3,FALSE)=0,"Spatial Data Missing",VLOOKUP(L137,'G-3 Multipliers'!$L$3:$N$6,3,FALSE)))</f>
        <v/>
      </c>
      <c r="O137" s="77" t="str">
        <f t="shared" si="6"/>
        <v/>
      </c>
      <c r="P137" s="94"/>
      <c r="Q137" s="94"/>
      <c r="R137" s="343" t="str">
        <f t="shared" si="8"/>
        <v/>
      </c>
      <c r="S137" s="591" t="str">
        <f t="shared" si="9"/>
        <v/>
      </c>
      <c r="T137" s="593" t="str">
        <f>IFERROR(IF(S137="Check Data","Check Data",VLOOKUP(S137,'G-4 Temporal multipliers'!$A$4:$C$37,3,FALSE)),"")</f>
        <v/>
      </c>
      <c r="U137" s="592" t="str">
        <f>IF(F137="","",VLOOKUP(F137,'G-3 Multipliers'!$A$2:$E$130,2,FALSE))</f>
        <v/>
      </c>
      <c r="V137" s="343" t="str">
        <f t="shared" si="10"/>
        <v/>
      </c>
      <c r="W137" s="343" t="str">
        <f>IF(E137="","",IF(AND(V137="Standard difficulty applied",O137&gt;P137),U137,IF(AND(V137="Low Difficulty - only applicable if all habitat created before losses",P137&gt;=O137),"Low",VLOOKUP(F137,'G-3 Multipliers'!$A$2:$E$130,4,FALSE))))</f>
        <v/>
      </c>
      <c r="X137" s="345" t="str">
        <f>IFERROR(IF(E137="","",VLOOKUP(W137, 'G-3 Multipliers'!$P$2:$Q$6,2,FALSE)),””)</f>
        <v/>
      </c>
      <c r="Y137" s="595" t="str">
        <f t="shared" si="11"/>
        <v/>
      </c>
      <c r="Z137" s="355"/>
      <c r="AA137" s="356"/>
      <c r="AE137" s="59" t="str">
        <f t="shared" si="7"/>
        <v/>
      </c>
    </row>
    <row r="138" spans="1:31" x14ac:dyDescent="0.25">
      <c r="A138" s="52" t="str">
        <f>IFERROR(INDEX('G-8 Condition Look up'!$I$4:$I$131,MATCH(F138,'G-8 Condition Look up'!$A$4:$A$131,0)),"")</f>
        <v/>
      </c>
      <c r="C138" s="588" t="str">
        <f>IFERROR(INDEX('G-1 All Habitats'!$AG$3:$AG$15,MATCH(D138,'G-1 All Habitats'!$AF$3:$AF$15,0)),"")</f>
        <v/>
      </c>
      <c r="D138" s="347"/>
      <c r="E138" s="366"/>
      <c r="F138" s="365" t="str">
        <f>IFERROR(INDEX('G-1 All Habitats'!$B$3:$B$130,MATCH(E138,'G-1 All Habitats'!$A$3:$A$130,0)),"")</f>
        <v/>
      </c>
      <c r="G138" s="76"/>
      <c r="H138" s="77" t="str">
        <f>IF(F138="","",VLOOKUP(F138,'G-1 All Habitats'!$B$2:$M$130,10,FALSE))</f>
        <v/>
      </c>
      <c r="I138" s="78" t="str">
        <f>IFERROR(VLOOKUP(H138,'G-1 All Habitats'!$V$3:$W$7,2,FALSE),"")</f>
        <v/>
      </c>
      <c r="J138" s="79"/>
      <c r="K138" s="78" t="str">
        <f>IFERROR(INDEX('G-8 Condition Look up'!$A$3:$H$131,MATCH(F138,'G-8 Condition Look up'!$A$3:$A$131,0),MATCH(J138,'G-8 Condition Look up'!$A$3:$H$3,0)),"")</f>
        <v/>
      </c>
      <c r="L138" s="79"/>
      <c r="M138" s="348" t="str">
        <f>IF(L138="","",IF(VLOOKUP(L138,'G-3 Multipliers'!$L$3:$N$6,2,FALSE)=0,"Spatial Data Missing",VLOOKUP(L138,'G-3 Multipliers'!$L$3:$N$6,2,FALSE)))</f>
        <v/>
      </c>
      <c r="N138" s="569" t="str">
        <f>IF(L138="","",IF(VLOOKUP(L138,'G-3 Multipliers'!$L$3:$N$6,3,FALSE)=0,"Spatial Data Missing",VLOOKUP(L138,'G-3 Multipliers'!$L$3:$N$6,3,FALSE)))</f>
        <v/>
      </c>
      <c r="O138" s="77" t="str">
        <f t="shared" si="6"/>
        <v/>
      </c>
      <c r="P138" s="94"/>
      <c r="Q138" s="94"/>
      <c r="R138" s="343" t="str">
        <f t="shared" si="8"/>
        <v/>
      </c>
      <c r="S138" s="591" t="str">
        <f t="shared" si="9"/>
        <v/>
      </c>
      <c r="T138" s="593" t="str">
        <f>IFERROR(IF(S138="Check Data","Check Data",VLOOKUP(S138,'G-4 Temporal multipliers'!$A$4:$C$37,3,FALSE)),"")</f>
        <v/>
      </c>
      <c r="U138" s="592" t="str">
        <f>IF(F138="","",VLOOKUP(F138,'G-3 Multipliers'!$A$2:$E$130,2,FALSE))</f>
        <v/>
      </c>
      <c r="V138" s="343" t="str">
        <f t="shared" si="10"/>
        <v/>
      </c>
      <c r="W138" s="343" t="str">
        <f>IF(E138="","",IF(AND(V138="Standard difficulty applied",O138&gt;P138),U138,IF(AND(V138="Low Difficulty - only applicable if all habitat created before losses",P138&gt;=O138),"Low",VLOOKUP(F138,'G-3 Multipliers'!$A$2:$E$130,4,FALSE))))</f>
        <v/>
      </c>
      <c r="X138" s="345" t="str">
        <f>IFERROR(IF(E138="","",VLOOKUP(W138, 'G-3 Multipliers'!$P$2:$Q$6,2,FALSE)),””)</f>
        <v/>
      </c>
      <c r="Y138" s="595" t="str">
        <f t="shared" si="11"/>
        <v/>
      </c>
      <c r="Z138" s="355"/>
      <c r="AA138" s="356"/>
      <c r="AE138" s="59" t="str">
        <f t="shared" si="7"/>
        <v/>
      </c>
    </row>
    <row r="139" spans="1:31" x14ac:dyDescent="0.25">
      <c r="A139" s="52" t="str">
        <f>IFERROR(INDEX('G-8 Condition Look up'!$I$4:$I$131,MATCH(F139,'G-8 Condition Look up'!$A$4:$A$131,0)),"")</f>
        <v/>
      </c>
      <c r="C139" s="588" t="str">
        <f>IFERROR(INDEX('G-1 All Habitats'!$AG$3:$AG$15,MATCH(D139,'G-1 All Habitats'!$AF$3:$AF$15,0)),"")</f>
        <v/>
      </c>
      <c r="D139" s="347"/>
      <c r="E139" s="366"/>
      <c r="F139" s="365" t="str">
        <f>IFERROR(INDEX('G-1 All Habitats'!$B$3:$B$130,MATCH(E139,'G-1 All Habitats'!$A$3:$A$130,0)),"")</f>
        <v/>
      </c>
      <c r="G139" s="76"/>
      <c r="H139" s="77" t="str">
        <f>IF(F139="","",VLOOKUP(F139,'G-1 All Habitats'!$B$2:$M$130,10,FALSE))</f>
        <v/>
      </c>
      <c r="I139" s="78" t="str">
        <f>IFERROR(VLOOKUP(H139,'G-1 All Habitats'!$V$3:$W$7,2,FALSE),"")</f>
        <v/>
      </c>
      <c r="J139" s="79"/>
      <c r="K139" s="78" t="str">
        <f>IFERROR(INDEX('G-8 Condition Look up'!$A$3:$H$131,MATCH(F139,'G-8 Condition Look up'!$A$3:$A$131,0),MATCH(J139,'G-8 Condition Look up'!$A$3:$H$3,0)),"")</f>
        <v/>
      </c>
      <c r="L139" s="79"/>
      <c r="M139" s="348" t="str">
        <f>IF(L139="","",IF(VLOOKUP(L139,'G-3 Multipliers'!$L$3:$N$6,2,FALSE)=0,"Spatial Data Missing",VLOOKUP(L139,'G-3 Multipliers'!$L$3:$N$6,2,FALSE)))</f>
        <v/>
      </c>
      <c r="N139" s="569" t="str">
        <f>IF(L139="","",IF(VLOOKUP(L139,'G-3 Multipliers'!$L$3:$N$6,3,FALSE)=0,"Spatial Data Missing",VLOOKUP(L139,'G-3 Multipliers'!$L$3:$N$6,3,FALSE)))</f>
        <v/>
      </c>
      <c r="O139" s="77" t="str">
        <f t="shared" ref="O139:O202" si="12">IFERROR(INDEX(TemporalData,MATCH(F139,TemporalHabitats,0),MATCH(J139,TemporalConditions,0)),"")</f>
        <v/>
      </c>
      <c r="P139" s="94"/>
      <c r="Q139" s="94"/>
      <c r="R139" s="343" t="str">
        <f t="shared" si="8"/>
        <v/>
      </c>
      <c r="S139" s="591" t="str">
        <f t="shared" si="9"/>
        <v/>
      </c>
      <c r="T139" s="593" t="str">
        <f>IFERROR(IF(S139="Check Data","Check Data",VLOOKUP(S139,'G-4 Temporal multipliers'!$A$4:$C$37,3,FALSE)),"")</f>
        <v/>
      </c>
      <c r="U139" s="592" t="str">
        <f>IF(F139="","",VLOOKUP(F139,'G-3 Multipliers'!$A$2:$E$130,2,FALSE))</f>
        <v/>
      </c>
      <c r="V139" s="343" t="str">
        <f t="shared" si="10"/>
        <v/>
      </c>
      <c r="W139" s="343" t="str">
        <f>IF(E139="","",IF(AND(V139="Standard difficulty applied",O139&gt;P139),U139,IF(AND(V139="Low Difficulty - only applicable if all habitat created before losses",P139&gt;=O139),"Low",VLOOKUP(F139,'G-3 Multipliers'!$A$2:$E$130,4,FALSE))))</f>
        <v/>
      </c>
      <c r="X139" s="345" t="str">
        <f>IFERROR(IF(E139="","",VLOOKUP(W139, 'G-3 Multipliers'!$P$2:$Q$6,2,FALSE)),””)</f>
        <v/>
      </c>
      <c r="Y139" s="595" t="str">
        <f t="shared" si="11"/>
        <v/>
      </c>
      <c r="Z139" s="355"/>
      <c r="AA139" s="356"/>
      <c r="AE139" s="59" t="str">
        <f t="shared" ref="AE139:AE202" si="13">IFERROR(INDEX(TemporalData,MATCH(F139,TemporalHabitats,0),MATCH($AE$10,TemporalConditions,0)),"")</f>
        <v/>
      </c>
    </row>
    <row r="140" spans="1:31" x14ac:dyDescent="0.25">
      <c r="A140" s="52" t="str">
        <f>IFERROR(INDEX('G-8 Condition Look up'!$I$4:$I$131,MATCH(F140,'G-8 Condition Look up'!$A$4:$A$131,0)),"")</f>
        <v/>
      </c>
      <c r="C140" s="588" t="str">
        <f>IFERROR(INDEX('G-1 All Habitats'!$AG$3:$AG$15,MATCH(D140,'G-1 All Habitats'!$AF$3:$AF$15,0)),"")</f>
        <v/>
      </c>
      <c r="D140" s="347"/>
      <c r="E140" s="366"/>
      <c r="F140" s="365" t="str">
        <f>IFERROR(INDEX('G-1 All Habitats'!$B$3:$B$130,MATCH(E140,'G-1 All Habitats'!$A$3:$A$130,0)),"")</f>
        <v/>
      </c>
      <c r="G140" s="76"/>
      <c r="H140" s="77" t="str">
        <f>IF(F140="","",VLOOKUP(F140,'G-1 All Habitats'!$B$2:$M$130,10,FALSE))</f>
        <v/>
      </c>
      <c r="I140" s="78" t="str">
        <f>IFERROR(VLOOKUP(H140,'G-1 All Habitats'!$V$3:$W$7,2,FALSE),"")</f>
        <v/>
      </c>
      <c r="J140" s="79"/>
      <c r="K140" s="78" t="str">
        <f>IFERROR(INDEX('G-8 Condition Look up'!$A$3:$H$131,MATCH(F140,'G-8 Condition Look up'!$A$3:$A$131,0),MATCH(J140,'G-8 Condition Look up'!$A$3:$H$3,0)),"")</f>
        <v/>
      </c>
      <c r="L140" s="79"/>
      <c r="M140" s="348" t="str">
        <f>IF(L140="","",IF(VLOOKUP(L140,'G-3 Multipliers'!$L$3:$N$6,2,FALSE)=0,"Spatial Data Missing",VLOOKUP(L140,'G-3 Multipliers'!$L$3:$N$6,2,FALSE)))</f>
        <v/>
      </c>
      <c r="N140" s="569" t="str">
        <f>IF(L140="","",IF(VLOOKUP(L140,'G-3 Multipliers'!$L$3:$N$6,3,FALSE)=0,"Spatial Data Missing",VLOOKUP(L140,'G-3 Multipliers'!$L$3:$N$6,3,FALSE)))</f>
        <v/>
      </c>
      <c r="O140" s="77" t="str">
        <f t="shared" si="12"/>
        <v/>
      </c>
      <c r="P140" s="94"/>
      <c r="Q140" s="94"/>
      <c r="R140" s="343" t="str">
        <f t="shared" ref="R140:R203" si="14">IF(E140="","",IF(AND(P140&gt;0,Q140&gt;0),"Error -both advance and delayed habitat creation",IF(I140=0,"Standard time to target condition applied",IF(AND(J140="N/A -Agricultural",O140&lt;=P140),"Check details - Is there evidence habitat creation in place?",IF(AND(O140&lt;=P140,Q140=0),"Check details - Is there evidence that habitat has reached target condition?",IF(O140="","",IF(AND(P140&gt;=AE140,P140&gt;0),"Check details - Is there evidence habitat creation started and the threshold for Poor condition reached?",IF(Q140&gt;0,"Check details- Delay in starting habitat in required condition?",IF(P140&gt;0,"Check details - Is there evidence habitat creation started/in place?","Standard time to target condition applied")))))))))</f>
        <v/>
      </c>
      <c r="S140" s="591" t="str">
        <f t="shared" ref="S140:S203" si="15">IF(R140="Error -both advance and delayed habitat creation","Check Data",IF(O140="Not Possible","Check Data",IF(O140="","",IF(AND(O140="30+",P140=0),"30+",IF(AND(O140="30+",P140="30+"),0,IF(AND(O140="30+",P140&lt;32),30-P140,IF(O140="30+",30-P140,IF(P140&gt;O140,0,IF(Q140="30+","30+",IF(O140+Q140&gt;30,"30+",IF(O140+Q140&gt;30,"30+",IF(O140-P140&gt;30,"30+",IF(O140+Q140-P140&gt;0,O140+Q140-P140,IF(O140-P140&gt;0,O140-P140,O140+Q140-P140))))))))))))))</f>
        <v/>
      </c>
      <c r="T140" s="593" t="str">
        <f>IFERROR(IF(S140="Check Data","Check Data",VLOOKUP(S140,'G-4 Temporal multipliers'!$A$4:$C$37,3,FALSE)),"")</f>
        <v/>
      </c>
      <c r="U140" s="592" t="str">
        <f>IF(F140="","",VLOOKUP(F140,'G-3 Multipliers'!$A$2:$E$130,2,FALSE))</f>
        <v/>
      </c>
      <c r="V140" s="343" t="str">
        <f t="shared" ref="V140:V203" si="16">IF(F140="","",IF($R140="Check details - Is there evidence that habitat has reached target condition?","Low Difficulty - only applicable if all habitat created before losses",IF($R140="Check details - Is there evidence habitat creation started and the threshold for Poor condition reached?","Enhancement difficulty applied","Standard difficulty applied")))</f>
        <v/>
      </c>
      <c r="W140" s="343" t="str">
        <f>IF(E140="","",IF(AND(V140="Standard difficulty applied",O140&gt;P140),U140,IF(AND(V140="Low Difficulty - only applicable if all habitat created before losses",P140&gt;=O140),"Low",VLOOKUP(F140,'G-3 Multipliers'!$A$2:$E$130,4,FALSE))))</f>
        <v/>
      </c>
      <c r="X140" s="345" t="str">
        <f>IFERROR(IF(E140="","",VLOOKUP(W140, 'G-3 Multipliers'!$P$2:$Q$6,2,FALSE)),””)</f>
        <v/>
      </c>
      <c r="Y140" s="595" t="str">
        <f t="shared" ref="Y140:Y203" si="17">IFERROR(G140*I140*K140*N140*T140*X140,"")</f>
        <v/>
      </c>
      <c r="Z140" s="355"/>
      <c r="AA140" s="356"/>
      <c r="AE140" s="59" t="str">
        <f t="shared" si="13"/>
        <v/>
      </c>
    </row>
    <row r="141" spans="1:31" x14ac:dyDescent="0.25">
      <c r="A141" s="52" t="str">
        <f>IFERROR(INDEX('G-8 Condition Look up'!$I$4:$I$131,MATCH(F141,'G-8 Condition Look up'!$A$4:$A$131,0)),"")</f>
        <v/>
      </c>
      <c r="C141" s="588" t="str">
        <f>IFERROR(INDEX('G-1 All Habitats'!$AG$3:$AG$15,MATCH(D141,'G-1 All Habitats'!$AF$3:$AF$15,0)),"")</f>
        <v/>
      </c>
      <c r="D141" s="347"/>
      <c r="E141" s="366"/>
      <c r="F141" s="365" t="str">
        <f>IFERROR(INDEX('G-1 All Habitats'!$B$3:$B$130,MATCH(E141,'G-1 All Habitats'!$A$3:$A$130,0)),"")</f>
        <v/>
      </c>
      <c r="G141" s="76"/>
      <c r="H141" s="77" t="str">
        <f>IF(F141="","",VLOOKUP(F141,'G-1 All Habitats'!$B$2:$M$130,10,FALSE))</f>
        <v/>
      </c>
      <c r="I141" s="78" t="str">
        <f>IFERROR(VLOOKUP(H141,'G-1 All Habitats'!$V$3:$W$7,2,FALSE),"")</f>
        <v/>
      </c>
      <c r="J141" s="79"/>
      <c r="K141" s="78" t="str">
        <f>IFERROR(INDEX('G-8 Condition Look up'!$A$3:$H$131,MATCH(F141,'G-8 Condition Look up'!$A$3:$A$131,0),MATCH(J141,'G-8 Condition Look up'!$A$3:$H$3,0)),"")</f>
        <v/>
      </c>
      <c r="L141" s="79"/>
      <c r="M141" s="348" t="str">
        <f>IF(L141="","",IF(VLOOKUP(L141,'G-3 Multipliers'!$L$3:$N$6,2,FALSE)=0,"Spatial Data Missing",VLOOKUP(L141,'G-3 Multipliers'!$L$3:$N$6,2,FALSE)))</f>
        <v/>
      </c>
      <c r="N141" s="569" t="str">
        <f>IF(L141="","",IF(VLOOKUP(L141,'G-3 Multipliers'!$L$3:$N$6,3,FALSE)=0,"Spatial Data Missing",VLOOKUP(L141,'G-3 Multipliers'!$L$3:$N$6,3,FALSE)))</f>
        <v/>
      </c>
      <c r="O141" s="77" t="str">
        <f t="shared" si="12"/>
        <v/>
      </c>
      <c r="P141" s="94"/>
      <c r="Q141" s="94"/>
      <c r="R141" s="343" t="str">
        <f t="shared" si="14"/>
        <v/>
      </c>
      <c r="S141" s="591" t="str">
        <f t="shared" si="15"/>
        <v/>
      </c>
      <c r="T141" s="593" t="str">
        <f>IFERROR(IF(S141="Check Data","Check Data",VLOOKUP(S141,'G-4 Temporal multipliers'!$A$4:$C$37,3,FALSE)),"")</f>
        <v/>
      </c>
      <c r="U141" s="592" t="str">
        <f>IF(F141="","",VLOOKUP(F141,'G-3 Multipliers'!$A$2:$E$130,2,FALSE))</f>
        <v/>
      </c>
      <c r="V141" s="343" t="str">
        <f t="shared" si="16"/>
        <v/>
      </c>
      <c r="W141" s="343" t="str">
        <f>IF(E141="","",IF(AND(V141="Standard difficulty applied",O141&gt;P141),U141,IF(AND(V141="Low Difficulty - only applicable if all habitat created before losses",P141&gt;=O141),"Low",VLOOKUP(F141,'G-3 Multipliers'!$A$2:$E$130,4,FALSE))))</f>
        <v/>
      </c>
      <c r="X141" s="345" t="str">
        <f>IFERROR(IF(E141="","",VLOOKUP(W141, 'G-3 Multipliers'!$P$2:$Q$6,2,FALSE)),””)</f>
        <v/>
      </c>
      <c r="Y141" s="595" t="str">
        <f t="shared" si="17"/>
        <v/>
      </c>
      <c r="Z141" s="355"/>
      <c r="AA141" s="356"/>
      <c r="AE141" s="59" t="str">
        <f t="shared" si="13"/>
        <v/>
      </c>
    </row>
    <row r="142" spans="1:31" x14ac:dyDescent="0.25">
      <c r="A142" s="52" t="str">
        <f>IFERROR(INDEX('G-8 Condition Look up'!$I$4:$I$131,MATCH(F142,'G-8 Condition Look up'!$A$4:$A$131,0)),"")</f>
        <v/>
      </c>
      <c r="C142" s="588" t="str">
        <f>IFERROR(INDEX('G-1 All Habitats'!$AG$3:$AG$15,MATCH(D142,'G-1 All Habitats'!$AF$3:$AF$15,0)),"")</f>
        <v/>
      </c>
      <c r="D142" s="347"/>
      <c r="E142" s="366"/>
      <c r="F142" s="365" t="str">
        <f>IFERROR(INDEX('G-1 All Habitats'!$B$3:$B$130,MATCH(E142,'G-1 All Habitats'!$A$3:$A$130,0)),"")</f>
        <v/>
      </c>
      <c r="G142" s="76"/>
      <c r="H142" s="77" t="str">
        <f>IF(F142="","",VLOOKUP(F142,'G-1 All Habitats'!$B$2:$M$130,10,FALSE))</f>
        <v/>
      </c>
      <c r="I142" s="78" t="str">
        <f>IFERROR(VLOOKUP(H142,'G-1 All Habitats'!$V$3:$W$7,2,FALSE),"")</f>
        <v/>
      </c>
      <c r="J142" s="79"/>
      <c r="K142" s="78" t="str">
        <f>IFERROR(INDEX('G-8 Condition Look up'!$A$3:$H$131,MATCH(F142,'G-8 Condition Look up'!$A$3:$A$131,0),MATCH(J142,'G-8 Condition Look up'!$A$3:$H$3,0)),"")</f>
        <v/>
      </c>
      <c r="L142" s="79"/>
      <c r="M142" s="348" t="str">
        <f>IF(L142="","",IF(VLOOKUP(L142,'G-3 Multipliers'!$L$3:$N$6,2,FALSE)=0,"Spatial Data Missing",VLOOKUP(L142,'G-3 Multipliers'!$L$3:$N$6,2,FALSE)))</f>
        <v/>
      </c>
      <c r="N142" s="569" t="str">
        <f>IF(L142="","",IF(VLOOKUP(L142,'G-3 Multipliers'!$L$3:$N$6,3,FALSE)=0,"Spatial Data Missing",VLOOKUP(L142,'G-3 Multipliers'!$L$3:$N$6,3,FALSE)))</f>
        <v/>
      </c>
      <c r="O142" s="77" t="str">
        <f t="shared" si="12"/>
        <v/>
      </c>
      <c r="P142" s="94"/>
      <c r="Q142" s="94"/>
      <c r="R142" s="343" t="str">
        <f t="shared" si="14"/>
        <v/>
      </c>
      <c r="S142" s="591" t="str">
        <f t="shared" si="15"/>
        <v/>
      </c>
      <c r="T142" s="593" t="str">
        <f>IFERROR(IF(S142="Check Data","Check Data",VLOOKUP(S142,'G-4 Temporal multipliers'!$A$4:$C$37,3,FALSE)),"")</f>
        <v/>
      </c>
      <c r="U142" s="592" t="str">
        <f>IF(F142="","",VLOOKUP(F142,'G-3 Multipliers'!$A$2:$E$130,2,FALSE))</f>
        <v/>
      </c>
      <c r="V142" s="343" t="str">
        <f t="shared" si="16"/>
        <v/>
      </c>
      <c r="W142" s="343" t="str">
        <f>IF(E142="","",IF(AND(V142="Standard difficulty applied",O142&gt;P142),U142,IF(AND(V142="Low Difficulty - only applicable if all habitat created before losses",P142&gt;=O142),"Low",VLOOKUP(F142,'G-3 Multipliers'!$A$2:$E$130,4,FALSE))))</f>
        <v/>
      </c>
      <c r="X142" s="345" t="str">
        <f>IFERROR(IF(E142="","",VLOOKUP(W142, 'G-3 Multipliers'!$P$2:$Q$6,2,FALSE)),””)</f>
        <v/>
      </c>
      <c r="Y142" s="595" t="str">
        <f t="shared" si="17"/>
        <v/>
      </c>
      <c r="Z142" s="355"/>
      <c r="AA142" s="356"/>
      <c r="AE142" s="59" t="str">
        <f t="shared" si="13"/>
        <v/>
      </c>
    </row>
    <row r="143" spans="1:31" x14ac:dyDescent="0.25">
      <c r="A143" s="52" t="str">
        <f>IFERROR(INDEX('G-8 Condition Look up'!$I$4:$I$131,MATCH(F143,'G-8 Condition Look up'!$A$4:$A$131,0)),"")</f>
        <v/>
      </c>
      <c r="C143" s="588" t="str">
        <f>IFERROR(INDEX('G-1 All Habitats'!$AG$3:$AG$15,MATCH(D143,'G-1 All Habitats'!$AF$3:$AF$15,0)),"")</f>
        <v/>
      </c>
      <c r="D143" s="347"/>
      <c r="E143" s="366"/>
      <c r="F143" s="365" t="str">
        <f>IFERROR(INDEX('G-1 All Habitats'!$B$3:$B$130,MATCH(E143,'G-1 All Habitats'!$A$3:$A$130,0)),"")</f>
        <v/>
      </c>
      <c r="G143" s="76"/>
      <c r="H143" s="77" t="str">
        <f>IF(F143="","",VLOOKUP(F143,'G-1 All Habitats'!$B$2:$M$130,10,FALSE))</f>
        <v/>
      </c>
      <c r="I143" s="78" t="str">
        <f>IFERROR(VLOOKUP(H143,'G-1 All Habitats'!$V$3:$W$7,2,FALSE),"")</f>
        <v/>
      </c>
      <c r="J143" s="79"/>
      <c r="K143" s="78" t="str">
        <f>IFERROR(INDEX('G-8 Condition Look up'!$A$3:$H$131,MATCH(F143,'G-8 Condition Look up'!$A$3:$A$131,0),MATCH(J143,'G-8 Condition Look up'!$A$3:$H$3,0)),"")</f>
        <v/>
      </c>
      <c r="L143" s="79"/>
      <c r="M143" s="348" t="str">
        <f>IF(L143="","",IF(VLOOKUP(L143,'G-3 Multipliers'!$L$3:$N$6,2,FALSE)=0,"Spatial Data Missing",VLOOKUP(L143,'G-3 Multipliers'!$L$3:$N$6,2,FALSE)))</f>
        <v/>
      </c>
      <c r="N143" s="569" t="str">
        <f>IF(L143="","",IF(VLOOKUP(L143,'G-3 Multipliers'!$L$3:$N$6,3,FALSE)=0,"Spatial Data Missing",VLOOKUP(L143,'G-3 Multipliers'!$L$3:$N$6,3,FALSE)))</f>
        <v/>
      </c>
      <c r="O143" s="77" t="str">
        <f t="shared" si="12"/>
        <v/>
      </c>
      <c r="P143" s="94"/>
      <c r="Q143" s="94"/>
      <c r="R143" s="343" t="str">
        <f t="shared" si="14"/>
        <v/>
      </c>
      <c r="S143" s="591" t="str">
        <f t="shared" si="15"/>
        <v/>
      </c>
      <c r="T143" s="593" t="str">
        <f>IFERROR(IF(S143="Check Data","Check Data",VLOOKUP(S143,'G-4 Temporal multipliers'!$A$4:$C$37,3,FALSE)),"")</f>
        <v/>
      </c>
      <c r="U143" s="592" t="str">
        <f>IF(F143="","",VLOOKUP(F143,'G-3 Multipliers'!$A$2:$E$130,2,FALSE))</f>
        <v/>
      </c>
      <c r="V143" s="343" t="str">
        <f t="shared" si="16"/>
        <v/>
      </c>
      <c r="W143" s="343" t="str">
        <f>IF(E143="","",IF(AND(V143="Standard difficulty applied",O143&gt;P143),U143,IF(AND(V143="Low Difficulty - only applicable if all habitat created before losses",P143&gt;=O143),"Low",VLOOKUP(F143,'G-3 Multipliers'!$A$2:$E$130,4,FALSE))))</f>
        <v/>
      </c>
      <c r="X143" s="345" t="str">
        <f>IFERROR(IF(E143="","",VLOOKUP(W143, 'G-3 Multipliers'!$P$2:$Q$6,2,FALSE)),””)</f>
        <v/>
      </c>
      <c r="Y143" s="595" t="str">
        <f t="shared" si="17"/>
        <v/>
      </c>
      <c r="Z143" s="355"/>
      <c r="AA143" s="356"/>
      <c r="AE143" s="59" t="str">
        <f t="shared" si="13"/>
        <v/>
      </c>
    </row>
    <row r="144" spans="1:31" x14ac:dyDescent="0.25">
      <c r="A144" s="52" t="str">
        <f>IFERROR(INDEX('G-8 Condition Look up'!$I$4:$I$131,MATCH(F144,'G-8 Condition Look up'!$A$4:$A$131,0)),"")</f>
        <v/>
      </c>
      <c r="C144" s="588" t="str">
        <f>IFERROR(INDEX('G-1 All Habitats'!$AG$3:$AG$15,MATCH(D144,'G-1 All Habitats'!$AF$3:$AF$15,0)),"")</f>
        <v/>
      </c>
      <c r="D144" s="347"/>
      <c r="E144" s="366"/>
      <c r="F144" s="365" t="str">
        <f>IFERROR(INDEX('G-1 All Habitats'!$B$3:$B$130,MATCH(E144,'G-1 All Habitats'!$A$3:$A$130,0)),"")</f>
        <v/>
      </c>
      <c r="G144" s="76"/>
      <c r="H144" s="77" t="str">
        <f>IF(F144="","",VLOOKUP(F144,'G-1 All Habitats'!$B$2:$M$130,10,FALSE))</f>
        <v/>
      </c>
      <c r="I144" s="78" t="str">
        <f>IFERROR(VLOOKUP(H144,'G-1 All Habitats'!$V$3:$W$7,2,FALSE),"")</f>
        <v/>
      </c>
      <c r="J144" s="79"/>
      <c r="K144" s="78" t="str">
        <f>IFERROR(INDEX('G-8 Condition Look up'!$A$3:$H$131,MATCH(F144,'G-8 Condition Look up'!$A$3:$A$131,0),MATCH(J144,'G-8 Condition Look up'!$A$3:$H$3,0)),"")</f>
        <v/>
      </c>
      <c r="L144" s="79"/>
      <c r="M144" s="348" t="str">
        <f>IF(L144="","",IF(VLOOKUP(L144,'G-3 Multipliers'!$L$3:$N$6,2,FALSE)=0,"Spatial Data Missing",VLOOKUP(L144,'G-3 Multipliers'!$L$3:$N$6,2,FALSE)))</f>
        <v/>
      </c>
      <c r="N144" s="569" t="str">
        <f>IF(L144="","",IF(VLOOKUP(L144,'G-3 Multipliers'!$L$3:$N$6,3,FALSE)=0,"Spatial Data Missing",VLOOKUP(L144,'G-3 Multipliers'!$L$3:$N$6,3,FALSE)))</f>
        <v/>
      </c>
      <c r="O144" s="77" t="str">
        <f t="shared" si="12"/>
        <v/>
      </c>
      <c r="P144" s="94"/>
      <c r="Q144" s="94"/>
      <c r="R144" s="343" t="str">
        <f t="shared" si="14"/>
        <v/>
      </c>
      <c r="S144" s="591" t="str">
        <f t="shared" si="15"/>
        <v/>
      </c>
      <c r="T144" s="593" t="str">
        <f>IFERROR(IF(S144="Check Data","Check Data",VLOOKUP(S144,'G-4 Temporal multipliers'!$A$4:$C$37,3,FALSE)),"")</f>
        <v/>
      </c>
      <c r="U144" s="592" t="str">
        <f>IF(F144="","",VLOOKUP(F144,'G-3 Multipliers'!$A$2:$E$130,2,FALSE))</f>
        <v/>
      </c>
      <c r="V144" s="343" t="str">
        <f t="shared" si="16"/>
        <v/>
      </c>
      <c r="W144" s="343" t="str">
        <f>IF(E144="","",IF(AND(V144="Standard difficulty applied",O144&gt;P144),U144,IF(AND(V144="Low Difficulty - only applicable if all habitat created before losses",P144&gt;=O144),"Low",VLOOKUP(F144,'G-3 Multipliers'!$A$2:$E$130,4,FALSE))))</f>
        <v/>
      </c>
      <c r="X144" s="345" t="str">
        <f>IFERROR(IF(E144="","",VLOOKUP(W144, 'G-3 Multipliers'!$P$2:$Q$6,2,FALSE)),””)</f>
        <v/>
      </c>
      <c r="Y144" s="595" t="str">
        <f t="shared" si="17"/>
        <v/>
      </c>
      <c r="Z144" s="355"/>
      <c r="AA144" s="356"/>
      <c r="AE144" s="59" t="str">
        <f t="shared" si="13"/>
        <v/>
      </c>
    </row>
    <row r="145" spans="1:31" x14ac:dyDescent="0.25">
      <c r="A145" s="52" t="str">
        <f>IFERROR(INDEX('G-8 Condition Look up'!$I$4:$I$131,MATCH(F145,'G-8 Condition Look up'!$A$4:$A$131,0)),"")</f>
        <v/>
      </c>
      <c r="C145" s="588" t="str">
        <f>IFERROR(INDEX('G-1 All Habitats'!$AG$3:$AG$15,MATCH(D145,'G-1 All Habitats'!$AF$3:$AF$15,0)),"")</f>
        <v/>
      </c>
      <c r="D145" s="347"/>
      <c r="E145" s="366"/>
      <c r="F145" s="365" t="str">
        <f>IFERROR(INDEX('G-1 All Habitats'!$B$3:$B$130,MATCH(E145,'G-1 All Habitats'!$A$3:$A$130,0)),"")</f>
        <v/>
      </c>
      <c r="G145" s="76"/>
      <c r="H145" s="77" t="str">
        <f>IF(F145="","",VLOOKUP(F145,'G-1 All Habitats'!$B$2:$M$130,10,FALSE))</f>
        <v/>
      </c>
      <c r="I145" s="78" t="str">
        <f>IFERROR(VLOOKUP(H145,'G-1 All Habitats'!$V$3:$W$7,2,FALSE),"")</f>
        <v/>
      </c>
      <c r="J145" s="79"/>
      <c r="K145" s="78" t="str">
        <f>IFERROR(INDEX('G-8 Condition Look up'!$A$3:$H$131,MATCH(F145,'G-8 Condition Look up'!$A$3:$A$131,0),MATCH(J145,'G-8 Condition Look up'!$A$3:$H$3,0)),"")</f>
        <v/>
      </c>
      <c r="L145" s="79"/>
      <c r="M145" s="348" t="str">
        <f>IF(L145="","",IF(VLOOKUP(L145,'G-3 Multipliers'!$L$3:$N$6,2,FALSE)=0,"Spatial Data Missing",VLOOKUP(L145,'G-3 Multipliers'!$L$3:$N$6,2,FALSE)))</f>
        <v/>
      </c>
      <c r="N145" s="569" t="str">
        <f>IF(L145="","",IF(VLOOKUP(L145,'G-3 Multipliers'!$L$3:$N$6,3,FALSE)=0,"Spatial Data Missing",VLOOKUP(L145,'G-3 Multipliers'!$L$3:$N$6,3,FALSE)))</f>
        <v/>
      </c>
      <c r="O145" s="77" t="str">
        <f t="shared" si="12"/>
        <v/>
      </c>
      <c r="P145" s="94"/>
      <c r="Q145" s="94"/>
      <c r="R145" s="343" t="str">
        <f t="shared" si="14"/>
        <v/>
      </c>
      <c r="S145" s="591" t="str">
        <f t="shared" si="15"/>
        <v/>
      </c>
      <c r="T145" s="593" t="str">
        <f>IFERROR(IF(S145="Check Data","Check Data",VLOOKUP(S145,'G-4 Temporal multipliers'!$A$4:$C$37,3,FALSE)),"")</f>
        <v/>
      </c>
      <c r="U145" s="592" t="str">
        <f>IF(F145="","",VLOOKUP(F145,'G-3 Multipliers'!$A$2:$E$130,2,FALSE))</f>
        <v/>
      </c>
      <c r="V145" s="343" t="str">
        <f t="shared" si="16"/>
        <v/>
      </c>
      <c r="W145" s="343" t="str">
        <f>IF(E145="","",IF(AND(V145="Standard difficulty applied",O145&gt;P145),U145,IF(AND(V145="Low Difficulty - only applicable if all habitat created before losses",P145&gt;=O145),"Low",VLOOKUP(F145,'G-3 Multipliers'!$A$2:$E$130,4,FALSE))))</f>
        <v/>
      </c>
      <c r="X145" s="345" t="str">
        <f>IFERROR(IF(E145="","",VLOOKUP(W145, 'G-3 Multipliers'!$P$2:$Q$6,2,FALSE)),””)</f>
        <v/>
      </c>
      <c r="Y145" s="595" t="str">
        <f t="shared" si="17"/>
        <v/>
      </c>
      <c r="Z145" s="355"/>
      <c r="AA145" s="356"/>
      <c r="AE145" s="59" t="str">
        <f t="shared" si="13"/>
        <v/>
      </c>
    </row>
    <row r="146" spans="1:31" x14ac:dyDescent="0.25">
      <c r="A146" s="52" t="str">
        <f>IFERROR(INDEX('G-8 Condition Look up'!$I$4:$I$131,MATCH(F146,'G-8 Condition Look up'!$A$4:$A$131,0)),"")</f>
        <v/>
      </c>
      <c r="C146" s="588" t="str">
        <f>IFERROR(INDEX('G-1 All Habitats'!$AG$3:$AG$15,MATCH(D146,'G-1 All Habitats'!$AF$3:$AF$15,0)),"")</f>
        <v/>
      </c>
      <c r="D146" s="347"/>
      <c r="E146" s="366"/>
      <c r="F146" s="365" t="str">
        <f>IFERROR(INDEX('G-1 All Habitats'!$B$3:$B$130,MATCH(E146,'G-1 All Habitats'!$A$3:$A$130,0)),"")</f>
        <v/>
      </c>
      <c r="G146" s="76"/>
      <c r="H146" s="77" t="str">
        <f>IF(F146="","",VLOOKUP(F146,'G-1 All Habitats'!$B$2:$M$130,10,FALSE))</f>
        <v/>
      </c>
      <c r="I146" s="78" t="str">
        <f>IFERROR(VLOOKUP(H146,'G-1 All Habitats'!$V$3:$W$7,2,FALSE),"")</f>
        <v/>
      </c>
      <c r="J146" s="79"/>
      <c r="K146" s="78" t="str">
        <f>IFERROR(INDEX('G-8 Condition Look up'!$A$3:$H$131,MATCH(F146,'G-8 Condition Look up'!$A$3:$A$131,0),MATCH(J146,'G-8 Condition Look up'!$A$3:$H$3,0)),"")</f>
        <v/>
      </c>
      <c r="L146" s="79"/>
      <c r="M146" s="348" t="str">
        <f>IF(L146="","",IF(VLOOKUP(L146,'G-3 Multipliers'!$L$3:$N$6,2,FALSE)=0,"Spatial Data Missing",VLOOKUP(L146,'G-3 Multipliers'!$L$3:$N$6,2,FALSE)))</f>
        <v/>
      </c>
      <c r="N146" s="569" t="str">
        <f>IF(L146="","",IF(VLOOKUP(L146,'G-3 Multipliers'!$L$3:$N$6,3,FALSE)=0,"Spatial Data Missing",VLOOKUP(L146,'G-3 Multipliers'!$L$3:$N$6,3,FALSE)))</f>
        <v/>
      </c>
      <c r="O146" s="77" t="str">
        <f t="shared" si="12"/>
        <v/>
      </c>
      <c r="P146" s="94"/>
      <c r="Q146" s="94"/>
      <c r="R146" s="343" t="str">
        <f t="shared" si="14"/>
        <v/>
      </c>
      <c r="S146" s="591" t="str">
        <f t="shared" si="15"/>
        <v/>
      </c>
      <c r="T146" s="593" t="str">
        <f>IFERROR(IF(S146="Check Data","Check Data",VLOOKUP(S146,'G-4 Temporal multipliers'!$A$4:$C$37,3,FALSE)),"")</f>
        <v/>
      </c>
      <c r="U146" s="592" t="str">
        <f>IF(F146="","",VLOOKUP(F146,'G-3 Multipliers'!$A$2:$E$130,2,FALSE))</f>
        <v/>
      </c>
      <c r="V146" s="343" t="str">
        <f t="shared" si="16"/>
        <v/>
      </c>
      <c r="W146" s="343" t="str">
        <f>IF(E146="","",IF(AND(V146="Standard difficulty applied",O146&gt;P146),U146,IF(AND(V146="Low Difficulty - only applicable if all habitat created before losses",P146&gt;=O146),"Low",VLOOKUP(F146,'G-3 Multipliers'!$A$2:$E$130,4,FALSE))))</f>
        <v/>
      </c>
      <c r="X146" s="345" t="str">
        <f>IFERROR(IF(E146="","",VLOOKUP(W146, 'G-3 Multipliers'!$P$2:$Q$6,2,FALSE)),””)</f>
        <v/>
      </c>
      <c r="Y146" s="595" t="str">
        <f t="shared" si="17"/>
        <v/>
      </c>
      <c r="Z146" s="355"/>
      <c r="AA146" s="356"/>
      <c r="AE146" s="59" t="str">
        <f t="shared" si="13"/>
        <v/>
      </c>
    </row>
    <row r="147" spans="1:31" x14ac:dyDescent="0.25">
      <c r="A147" s="52" t="str">
        <f>IFERROR(INDEX('G-8 Condition Look up'!$I$4:$I$131,MATCH(F147,'G-8 Condition Look up'!$A$4:$A$131,0)),"")</f>
        <v/>
      </c>
      <c r="C147" s="588" t="str">
        <f>IFERROR(INDEX('G-1 All Habitats'!$AG$3:$AG$15,MATCH(D147,'G-1 All Habitats'!$AF$3:$AF$15,0)),"")</f>
        <v/>
      </c>
      <c r="D147" s="347"/>
      <c r="E147" s="366"/>
      <c r="F147" s="365" t="str">
        <f>IFERROR(INDEX('G-1 All Habitats'!$B$3:$B$130,MATCH(E147,'G-1 All Habitats'!$A$3:$A$130,0)),"")</f>
        <v/>
      </c>
      <c r="G147" s="76"/>
      <c r="H147" s="77" t="str">
        <f>IF(F147="","",VLOOKUP(F147,'G-1 All Habitats'!$B$2:$M$130,10,FALSE))</f>
        <v/>
      </c>
      <c r="I147" s="78" t="str">
        <f>IFERROR(VLOOKUP(H147,'G-1 All Habitats'!$V$3:$W$7,2,FALSE),"")</f>
        <v/>
      </c>
      <c r="J147" s="79"/>
      <c r="K147" s="78" t="str">
        <f>IFERROR(INDEX('G-8 Condition Look up'!$A$3:$H$131,MATCH(F147,'G-8 Condition Look up'!$A$3:$A$131,0),MATCH(J147,'G-8 Condition Look up'!$A$3:$H$3,0)),"")</f>
        <v/>
      </c>
      <c r="L147" s="79"/>
      <c r="M147" s="348" t="str">
        <f>IF(L147="","",IF(VLOOKUP(L147,'G-3 Multipliers'!$L$3:$N$6,2,FALSE)=0,"Spatial Data Missing",VLOOKUP(L147,'G-3 Multipliers'!$L$3:$N$6,2,FALSE)))</f>
        <v/>
      </c>
      <c r="N147" s="569" t="str">
        <f>IF(L147="","",IF(VLOOKUP(L147,'G-3 Multipliers'!$L$3:$N$6,3,FALSE)=0,"Spatial Data Missing",VLOOKUP(L147,'G-3 Multipliers'!$L$3:$N$6,3,FALSE)))</f>
        <v/>
      </c>
      <c r="O147" s="77" t="str">
        <f t="shared" si="12"/>
        <v/>
      </c>
      <c r="P147" s="94"/>
      <c r="Q147" s="94"/>
      <c r="R147" s="343" t="str">
        <f t="shared" si="14"/>
        <v/>
      </c>
      <c r="S147" s="591" t="str">
        <f t="shared" si="15"/>
        <v/>
      </c>
      <c r="T147" s="593" t="str">
        <f>IFERROR(IF(S147="Check Data","Check Data",VLOOKUP(S147,'G-4 Temporal multipliers'!$A$4:$C$37,3,FALSE)),"")</f>
        <v/>
      </c>
      <c r="U147" s="592" t="str">
        <f>IF(F147="","",VLOOKUP(F147,'G-3 Multipliers'!$A$2:$E$130,2,FALSE))</f>
        <v/>
      </c>
      <c r="V147" s="343" t="str">
        <f t="shared" si="16"/>
        <v/>
      </c>
      <c r="W147" s="343" t="str">
        <f>IF(E147="","",IF(AND(V147="Standard difficulty applied",O147&gt;P147),U147,IF(AND(V147="Low Difficulty - only applicable if all habitat created before losses",P147&gt;=O147),"Low",VLOOKUP(F147,'G-3 Multipliers'!$A$2:$E$130,4,FALSE))))</f>
        <v/>
      </c>
      <c r="X147" s="345" t="str">
        <f>IFERROR(IF(E147="","",VLOOKUP(W147, 'G-3 Multipliers'!$P$2:$Q$6,2,FALSE)),””)</f>
        <v/>
      </c>
      <c r="Y147" s="595" t="str">
        <f t="shared" si="17"/>
        <v/>
      </c>
      <c r="Z147" s="355"/>
      <c r="AA147" s="356"/>
      <c r="AE147" s="59" t="str">
        <f t="shared" si="13"/>
        <v/>
      </c>
    </row>
    <row r="148" spans="1:31" x14ac:dyDescent="0.25">
      <c r="A148" s="52" t="str">
        <f>IFERROR(INDEX('G-8 Condition Look up'!$I$4:$I$131,MATCH(F148,'G-8 Condition Look up'!$A$4:$A$131,0)),"")</f>
        <v/>
      </c>
      <c r="C148" s="588" t="str">
        <f>IFERROR(INDEX('G-1 All Habitats'!$AG$3:$AG$15,MATCH(D148,'G-1 All Habitats'!$AF$3:$AF$15,0)),"")</f>
        <v/>
      </c>
      <c r="D148" s="347"/>
      <c r="E148" s="366"/>
      <c r="F148" s="365" t="str">
        <f>IFERROR(INDEX('G-1 All Habitats'!$B$3:$B$130,MATCH(E148,'G-1 All Habitats'!$A$3:$A$130,0)),"")</f>
        <v/>
      </c>
      <c r="G148" s="76"/>
      <c r="H148" s="77" t="str">
        <f>IF(F148="","",VLOOKUP(F148,'G-1 All Habitats'!$B$2:$M$130,10,FALSE))</f>
        <v/>
      </c>
      <c r="I148" s="78" t="str">
        <f>IFERROR(VLOOKUP(H148,'G-1 All Habitats'!$V$3:$W$7,2,FALSE),"")</f>
        <v/>
      </c>
      <c r="J148" s="79"/>
      <c r="K148" s="78" t="str">
        <f>IFERROR(INDEX('G-8 Condition Look up'!$A$3:$H$131,MATCH(F148,'G-8 Condition Look up'!$A$3:$A$131,0),MATCH(J148,'G-8 Condition Look up'!$A$3:$H$3,0)),"")</f>
        <v/>
      </c>
      <c r="L148" s="79"/>
      <c r="M148" s="348" t="str">
        <f>IF(L148="","",IF(VLOOKUP(L148,'G-3 Multipliers'!$L$3:$N$6,2,FALSE)=0,"Spatial Data Missing",VLOOKUP(L148,'G-3 Multipliers'!$L$3:$N$6,2,FALSE)))</f>
        <v/>
      </c>
      <c r="N148" s="569" t="str">
        <f>IF(L148="","",IF(VLOOKUP(L148,'G-3 Multipliers'!$L$3:$N$6,3,FALSE)=0,"Spatial Data Missing",VLOOKUP(L148,'G-3 Multipliers'!$L$3:$N$6,3,FALSE)))</f>
        <v/>
      </c>
      <c r="O148" s="77" t="str">
        <f t="shared" si="12"/>
        <v/>
      </c>
      <c r="P148" s="94"/>
      <c r="Q148" s="94"/>
      <c r="R148" s="343" t="str">
        <f t="shared" si="14"/>
        <v/>
      </c>
      <c r="S148" s="591" t="str">
        <f t="shared" si="15"/>
        <v/>
      </c>
      <c r="T148" s="593" t="str">
        <f>IFERROR(IF(S148="Check Data","Check Data",VLOOKUP(S148,'G-4 Temporal multipliers'!$A$4:$C$37,3,FALSE)),"")</f>
        <v/>
      </c>
      <c r="U148" s="592" t="str">
        <f>IF(F148="","",VLOOKUP(F148,'G-3 Multipliers'!$A$2:$E$130,2,FALSE))</f>
        <v/>
      </c>
      <c r="V148" s="343" t="str">
        <f t="shared" si="16"/>
        <v/>
      </c>
      <c r="W148" s="343" t="str">
        <f>IF(E148="","",IF(AND(V148="Standard difficulty applied",O148&gt;P148),U148,IF(AND(V148="Low Difficulty - only applicable if all habitat created before losses",P148&gt;=O148),"Low",VLOOKUP(F148,'G-3 Multipliers'!$A$2:$E$130,4,FALSE))))</f>
        <v/>
      </c>
      <c r="X148" s="345" t="str">
        <f>IFERROR(IF(E148="","",VLOOKUP(W148, 'G-3 Multipliers'!$P$2:$Q$6,2,FALSE)),””)</f>
        <v/>
      </c>
      <c r="Y148" s="595" t="str">
        <f t="shared" si="17"/>
        <v/>
      </c>
      <c r="Z148" s="355"/>
      <c r="AA148" s="356"/>
      <c r="AE148" s="59" t="str">
        <f t="shared" si="13"/>
        <v/>
      </c>
    </row>
    <row r="149" spans="1:31" x14ac:dyDescent="0.25">
      <c r="A149" s="52" t="str">
        <f>IFERROR(INDEX('G-8 Condition Look up'!$I$4:$I$131,MATCH(F149,'G-8 Condition Look up'!$A$4:$A$131,0)),"")</f>
        <v/>
      </c>
      <c r="C149" s="588" t="str">
        <f>IFERROR(INDEX('G-1 All Habitats'!$AG$3:$AG$15,MATCH(D149,'G-1 All Habitats'!$AF$3:$AF$15,0)),"")</f>
        <v/>
      </c>
      <c r="D149" s="347"/>
      <c r="E149" s="366"/>
      <c r="F149" s="365" t="str">
        <f>IFERROR(INDEX('G-1 All Habitats'!$B$3:$B$130,MATCH(E149,'G-1 All Habitats'!$A$3:$A$130,0)),"")</f>
        <v/>
      </c>
      <c r="G149" s="76"/>
      <c r="H149" s="77" t="str">
        <f>IF(F149="","",VLOOKUP(F149,'G-1 All Habitats'!$B$2:$M$130,10,FALSE))</f>
        <v/>
      </c>
      <c r="I149" s="78" t="str">
        <f>IFERROR(VLOOKUP(H149,'G-1 All Habitats'!$V$3:$W$7,2,FALSE),"")</f>
        <v/>
      </c>
      <c r="J149" s="79"/>
      <c r="K149" s="78" t="str">
        <f>IFERROR(INDEX('G-8 Condition Look up'!$A$3:$H$131,MATCH(F149,'G-8 Condition Look up'!$A$3:$A$131,0),MATCH(J149,'G-8 Condition Look up'!$A$3:$H$3,0)),"")</f>
        <v/>
      </c>
      <c r="L149" s="79"/>
      <c r="M149" s="348" t="str">
        <f>IF(L149="","",IF(VLOOKUP(L149,'G-3 Multipliers'!$L$3:$N$6,2,FALSE)=0,"Spatial Data Missing",VLOOKUP(L149,'G-3 Multipliers'!$L$3:$N$6,2,FALSE)))</f>
        <v/>
      </c>
      <c r="N149" s="569" t="str">
        <f>IF(L149="","",IF(VLOOKUP(L149,'G-3 Multipliers'!$L$3:$N$6,3,FALSE)=0,"Spatial Data Missing",VLOOKUP(L149,'G-3 Multipliers'!$L$3:$N$6,3,FALSE)))</f>
        <v/>
      </c>
      <c r="O149" s="77" t="str">
        <f t="shared" si="12"/>
        <v/>
      </c>
      <c r="P149" s="94"/>
      <c r="Q149" s="94"/>
      <c r="R149" s="343" t="str">
        <f t="shared" si="14"/>
        <v/>
      </c>
      <c r="S149" s="591" t="str">
        <f t="shared" si="15"/>
        <v/>
      </c>
      <c r="T149" s="593" t="str">
        <f>IFERROR(IF(S149="Check Data","Check Data",VLOOKUP(S149,'G-4 Temporal multipliers'!$A$4:$C$37,3,FALSE)),"")</f>
        <v/>
      </c>
      <c r="U149" s="592" t="str">
        <f>IF(F149="","",VLOOKUP(F149,'G-3 Multipliers'!$A$2:$E$130,2,FALSE))</f>
        <v/>
      </c>
      <c r="V149" s="343" t="str">
        <f t="shared" si="16"/>
        <v/>
      </c>
      <c r="W149" s="343" t="str">
        <f>IF(E149="","",IF(AND(V149="Standard difficulty applied",O149&gt;P149),U149,IF(AND(V149="Low Difficulty - only applicable if all habitat created before losses",P149&gt;=O149),"Low",VLOOKUP(F149,'G-3 Multipliers'!$A$2:$E$130,4,FALSE))))</f>
        <v/>
      </c>
      <c r="X149" s="345" t="str">
        <f>IFERROR(IF(E149="","",VLOOKUP(W149, 'G-3 Multipliers'!$P$2:$Q$6,2,FALSE)),””)</f>
        <v/>
      </c>
      <c r="Y149" s="595" t="str">
        <f t="shared" si="17"/>
        <v/>
      </c>
      <c r="Z149" s="355"/>
      <c r="AA149" s="356"/>
      <c r="AE149" s="59" t="str">
        <f t="shared" si="13"/>
        <v/>
      </c>
    </row>
    <row r="150" spans="1:31" x14ac:dyDescent="0.25">
      <c r="A150" s="52" t="str">
        <f>IFERROR(INDEX('G-8 Condition Look up'!$I$4:$I$131,MATCH(F150,'G-8 Condition Look up'!$A$4:$A$131,0)),"")</f>
        <v/>
      </c>
      <c r="C150" s="588" t="str">
        <f>IFERROR(INDEX('G-1 All Habitats'!$AG$3:$AG$15,MATCH(D150,'G-1 All Habitats'!$AF$3:$AF$15,0)),"")</f>
        <v/>
      </c>
      <c r="D150" s="347"/>
      <c r="E150" s="366"/>
      <c r="F150" s="365" t="str">
        <f>IFERROR(INDEX('G-1 All Habitats'!$B$3:$B$130,MATCH(E150,'G-1 All Habitats'!$A$3:$A$130,0)),"")</f>
        <v/>
      </c>
      <c r="G150" s="76"/>
      <c r="H150" s="77" t="str">
        <f>IF(F150="","",VLOOKUP(F150,'G-1 All Habitats'!$B$2:$M$130,10,FALSE))</f>
        <v/>
      </c>
      <c r="I150" s="78" t="str">
        <f>IFERROR(VLOOKUP(H150,'G-1 All Habitats'!$V$3:$W$7,2,FALSE),"")</f>
        <v/>
      </c>
      <c r="J150" s="79"/>
      <c r="K150" s="78" t="str">
        <f>IFERROR(INDEX('G-8 Condition Look up'!$A$3:$H$131,MATCH(F150,'G-8 Condition Look up'!$A$3:$A$131,0),MATCH(J150,'G-8 Condition Look up'!$A$3:$H$3,0)),"")</f>
        <v/>
      </c>
      <c r="L150" s="79"/>
      <c r="M150" s="348" t="str">
        <f>IF(L150="","",IF(VLOOKUP(L150,'G-3 Multipliers'!$L$3:$N$6,2,FALSE)=0,"Spatial Data Missing",VLOOKUP(L150,'G-3 Multipliers'!$L$3:$N$6,2,FALSE)))</f>
        <v/>
      </c>
      <c r="N150" s="569" t="str">
        <f>IF(L150="","",IF(VLOOKUP(L150,'G-3 Multipliers'!$L$3:$N$6,3,FALSE)=0,"Spatial Data Missing",VLOOKUP(L150,'G-3 Multipliers'!$L$3:$N$6,3,FALSE)))</f>
        <v/>
      </c>
      <c r="O150" s="77" t="str">
        <f t="shared" si="12"/>
        <v/>
      </c>
      <c r="P150" s="94"/>
      <c r="Q150" s="94"/>
      <c r="R150" s="343" t="str">
        <f t="shared" si="14"/>
        <v/>
      </c>
      <c r="S150" s="591" t="str">
        <f t="shared" si="15"/>
        <v/>
      </c>
      <c r="T150" s="593" t="str">
        <f>IFERROR(IF(S150="Check Data","Check Data",VLOOKUP(S150,'G-4 Temporal multipliers'!$A$4:$C$37,3,FALSE)),"")</f>
        <v/>
      </c>
      <c r="U150" s="592" t="str">
        <f>IF(F150="","",VLOOKUP(F150,'G-3 Multipliers'!$A$2:$E$130,2,FALSE))</f>
        <v/>
      </c>
      <c r="V150" s="343" t="str">
        <f t="shared" si="16"/>
        <v/>
      </c>
      <c r="W150" s="343" t="str">
        <f>IF(E150="","",IF(AND(V150="Standard difficulty applied",O150&gt;P150),U150,IF(AND(V150="Low Difficulty - only applicable if all habitat created before losses",P150&gt;=O150),"Low",VLOOKUP(F150,'G-3 Multipliers'!$A$2:$E$130,4,FALSE))))</f>
        <v/>
      </c>
      <c r="X150" s="345" t="str">
        <f>IFERROR(IF(E150="","",VLOOKUP(W150, 'G-3 Multipliers'!$P$2:$Q$6,2,FALSE)),””)</f>
        <v/>
      </c>
      <c r="Y150" s="595" t="str">
        <f t="shared" si="17"/>
        <v/>
      </c>
      <c r="Z150" s="355"/>
      <c r="AA150" s="356"/>
      <c r="AE150" s="59" t="str">
        <f t="shared" si="13"/>
        <v/>
      </c>
    </row>
    <row r="151" spans="1:31" x14ac:dyDescent="0.25">
      <c r="A151" s="52" t="str">
        <f>IFERROR(INDEX('G-8 Condition Look up'!$I$4:$I$131,MATCH(F151,'G-8 Condition Look up'!$A$4:$A$131,0)),"")</f>
        <v/>
      </c>
      <c r="C151" s="588" t="str">
        <f>IFERROR(INDEX('G-1 All Habitats'!$AG$3:$AG$15,MATCH(D151,'G-1 All Habitats'!$AF$3:$AF$15,0)),"")</f>
        <v/>
      </c>
      <c r="D151" s="347"/>
      <c r="E151" s="366"/>
      <c r="F151" s="365" t="str">
        <f>IFERROR(INDEX('G-1 All Habitats'!$B$3:$B$130,MATCH(E151,'G-1 All Habitats'!$A$3:$A$130,0)),"")</f>
        <v/>
      </c>
      <c r="G151" s="76"/>
      <c r="H151" s="77" t="str">
        <f>IF(F151="","",VLOOKUP(F151,'G-1 All Habitats'!$B$2:$M$130,10,FALSE))</f>
        <v/>
      </c>
      <c r="I151" s="78" t="str">
        <f>IFERROR(VLOOKUP(H151,'G-1 All Habitats'!$V$3:$W$7,2,FALSE),"")</f>
        <v/>
      </c>
      <c r="J151" s="79"/>
      <c r="K151" s="78" t="str">
        <f>IFERROR(INDEX('G-8 Condition Look up'!$A$3:$H$131,MATCH(F151,'G-8 Condition Look up'!$A$3:$A$131,0),MATCH(J151,'G-8 Condition Look up'!$A$3:$H$3,0)),"")</f>
        <v/>
      </c>
      <c r="L151" s="79"/>
      <c r="M151" s="348" t="str">
        <f>IF(L151="","",IF(VLOOKUP(L151,'G-3 Multipliers'!$L$3:$N$6,2,FALSE)=0,"Spatial Data Missing",VLOOKUP(L151,'G-3 Multipliers'!$L$3:$N$6,2,FALSE)))</f>
        <v/>
      </c>
      <c r="N151" s="569" t="str">
        <f>IF(L151="","",IF(VLOOKUP(L151,'G-3 Multipliers'!$L$3:$N$6,3,FALSE)=0,"Spatial Data Missing",VLOOKUP(L151,'G-3 Multipliers'!$L$3:$N$6,3,FALSE)))</f>
        <v/>
      </c>
      <c r="O151" s="77" t="str">
        <f t="shared" si="12"/>
        <v/>
      </c>
      <c r="P151" s="94"/>
      <c r="Q151" s="94"/>
      <c r="R151" s="343" t="str">
        <f t="shared" si="14"/>
        <v/>
      </c>
      <c r="S151" s="591" t="str">
        <f t="shared" si="15"/>
        <v/>
      </c>
      <c r="T151" s="593" t="str">
        <f>IFERROR(IF(S151="Check Data","Check Data",VLOOKUP(S151,'G-4 Temporal multipliers'!$A$4:$C$37,3,FALSE)),"")</f>
        <v/>
      </c>
      <c r="U151" s="592" t="str">
        <f>IF(F151="","",VLOOKUP(F151,'G-3 Multipliers'!$A$2:$E$130,2,FALSE))</f>
        <v/>
      </c>
      <c r="V151" s="343" t="str">
        <f t="shared" si="16"/>
        <v/>
      </c>
      <c r="W151" s="343" t="str">
        <f>IF(E151="","",IF(AND(V151="Standard difficulty applied",O151&gt;P151),U151,IF(AND(V151="Low Difficulty - only applicable if all habitat created before losses",P151&gt;=O151),"Low",VLOOKUP(F151,'G-3 Multipliers'!$A$2:$E$130,4,FALSE))))</f>
        <v/>
      </c>
      <c r="X151" s="345" t="str">
        <f>IFERROR(IF(E151="","",VLOOKUP(W151, 'G-3 Multipliers'!$P$2:$Q$6,2,FALSE)),””)</f>
        <v/>
      </c>
      <c r="Y151" s="595" t="str">
        <f t="shared" si="17"/>
        <v/>
      </c>
      <c r="Z151" s="355"/>
      <c r="AA151" s="356"/>
      <c r="AE151" s="59" t="str">
        <f t="shared" si="13"/>
        <v/>
      </c>
    </row>
    <row r="152" spans="1:31" x14ac:dyDescent="0.25">
      <c r="A152" s="52" t="str">
        <f>IFERROR(INDEX('G-8 Condition Look up'!$I$4:$I$131,MATCH(F152,'G-8 Condition Look up'!$A$4:$A$131,0)),"")</f>
        <v/>
      </c>
      <c r="C152" s="588" t="str">
        <f>IFERROR(INDEX('G-1 All Habitats'!$AG$3:$AG$15,MATCH(D152,'G-1 All Habitats'!$AF$3:$AF$15,0)),"")</f>
        <v/>
      </c>
      <c r="D152" s="347"/>
      <c r="E152" s="366"/>
      <c r="F152" s="365" t="str">
        <f>IFERROR(INDEX('G-1 All Habitats'!$B$3:$B$130,MATCH(E152,'G-1 All Habitats'!$A$3:$A$130,0)),"")</f>
        <v/>
      </c>
      <c r="G152" s="76"/>
      <c r="H152" s="77" t="str">
        <f>IF(F152="","",VLOOKUP(F152,'G-1 All Habitats'!$B$2:$M$130,10,FALSE))</f>
        <v/>
      </c>
      <c r="I152" s="78" t="str">
        <f>IFERROR(VLOOKUP(H152,'G-1 All Habitats'!$V$3:$W$7,2,FALSE),"")</f>
        <v/>
      </c>
      <c r="J152" s="79"/>
      <c r="K152" s="78" t="str">
        <f>IFERROR(INDEX('G-8 Condition Look up'!$A$3:$H$131,MATCH(F152,'G-8 Condition Look up'!$A$3:$A$131,0),MATCH(J152,'G-8 Condition Look up'!$A$3:$H$3,0)),"")</f>
        <v/>
      </c>
      <c r="L152" s="79"/>
      <c r="M152" s="348" t="str">
        <f>IF(L152="","",IF(VLOOKUP(L152,'G-3 Multipliers'!$L$3:$N$6,2,FALSE)=0,"Spatial Data Missing",VLOOKUP(L152,'G-3 Multipliers'!$L$3:$N$6,2,FALSE)))</f>
        <v/>
      </c>
      <c r="N152" s="569" t="str">
        <f>IF(L152="","",IF(VLOOKUP(L152,'G-3 Multipliers'!$L$3:$N$6,3,FALSE)=0,"Spatial Data Missing",VLOOKUP(L152,'G-3 Multipliers'!$L$3:$N$6,3,FALSE)))</f>
        <v/>
      </c>
      <c r="O152" s="77" t="str">
        <f t="shared" si="12"/>
        <v/>
      </c>
      <c r="P152" s="94"/>
      <c r="Q152" s="94"/>
      <c r="R152" s="343" t="str">
        <f t="shared" si="14"/>
        <v/>
      </c>
      <c r="S152" s="591" t="str">
        <f t="shared" si="15"/>
        <v/>
      </c>
      <c r="T152" s="593" t="str">
        <f>IFERROR(IF(S152="Check Data","Check Data",VLOOKUP(S152,'G-4 Temporal multipliers'!$A$4:$C$37,3,FALSE)),"")</f>
        <v/>
      </c>
      <c r="U152" s="592" t="str">
        <f>IF(F152="","",VLOOKUP(F152,'G-3 Multipliers'!$A$2:$E$130,2,FALSE))</f>
        <v/>
      </c>
      <c r="V152" s="343" t="str">
        <f t="shared" si="16"/>
        <v/>
      </c>
      <c r="W152" s="343" t="str">
        <f>IF(E152="","",IF(AND(V152="Standard difficulty applied",O152&gt;P152),U152,IF(AND(V152="Low Difficulty - only applicable if all habitat created before losses",P152&gt;=O152),"Low",VLOOKUP(F152,'G-3 Multipliers'!$A$2:$E$130,4,FALSE))))</f>
        <v/>
      </c>
      <c r="X152" s="345" t="str">
        <f>IFERROR(IF(E152="","",VLOOKUP(W152, 'G-3 Multipliers'!$P$2:$Q$6,2,FALSE)),””)</f>
        <v/>
      </c>
      <c r="Y152" s="595" t="str">
        <f t="shared" si="17"/>
        <v/>
      </c>
      <c r="Z152" s="355"/>
      <c r="AA152" s="356"/>
      <c r="AE152" s="59" t="str">
        <f t="shared" si="13"/>
        <v/>
      </c>
    </row>
    <row r="153" spans="1:31" x14ac:dyDescent="0.25">
      <c r="A153" s="52" t="str">
        <f>IFERROR(INDEX('G-8 Condition Look up'!$I$4:$I$131,MATCH(F153,'G-8 Condition Look up'!$A$4:$A$131,0)),"")</f>
        <v/>
      </c>
      <c r="C153" s="588" t="str">
        <f>IFERROR(INDEX('G-1 All Habitats'!$AG$3:$AG$15,MATCH(D153,'G-1 All Habitats'!$AF$3:$AF$15,0)),"")</f>
        <v/>
      </c>
      <c r="D153" s="347"/>
      <c r="E153" s="366"/>
      <c r="F153" s="365" t="str">
        <f>IFERROR(INDEX('G-1 All Habitats'!$B$3:$B$130,MATCH(E153,'G-1 All Habitats'!$A$3:$A$130,0)),"")</f>
        <v/>
      </c>
      <c r="G153" s="76"/>
      <c r="H153" s="77" t="str">
        <f>IF(F153="","",VLOOKUP(F153,'G-1 All Habitats'!$B$2:$M$130,10,FALSE))</f>
        <v/>
      </c>
      <c r="I153" s="78" t="str">
        <f>IFERROR(VLOOKUP(H153,'G-1 All Habitats'!$V$3:$W$7,2,FALSE),"")</f>
        <v/>
      </c>
      <c r="J153" s="79"/>
      <c r="K153" s="78" t="str">
        <f>IFERROR(INDEX('G-8 Condition Look up'!$A$3:$H$131,MATCH(F153,'G-8 Condition Look up'!$A$3:$A$131,0),MATCH(J153,'G-8 Condition Look up'!$A$3:$H$3,0)),"")</f>
        <v/>
      </c>
      <c r="L153" s="79"/>
      <c r="M153" s="348" t="str">
        <f>IF(L153="","",IF(VLOOKUP(L153,'G-3 Multipliers'!$L$3:$N$6,2,FALSE)=0,"Spatial Data Missing",VLOOKUP(L153,'G-3 Multipliers'!$L$3:$N$6,2,FALSE)))</f>
        <v/>
      </c>
      <c r="N153" s="569" t="str">
        <f>IF(L153="","",IF(VLOOKUP(L153,'G-3 Multipliers'!$L$3:$N$6,3,FALSE)=0,"Spatial Data Missing",VLOOKUP(L153,'G-3 Multipliers'!$L$3:$N$6,3,FALSE)))</f>
        <v/>
      </c>
      <c r="O153" s="77" t="str">
        <f t="shared" si="12"/>
        <v/>
      </c>
      <c r="P153" s="94"/>
      <c r="Q153" s="94"/>
      <c r="R153" s="343" t="str">
        <f t="shared" si="14"/>
        <v/>
      </c>
      <c r="S153" s="591" t="str">
        <f t="shared" si="15"/>
        <v/>
      </c>
      <c r="T153" s="593" t="str">
        <f>IFERROR(IF(S153="Check Data","Check Data",VLOOKUP(S153,'G-4 Temporal multipliers'!$A$4:$C$37,3,FALSE)),"")</f>
        <v/>
      </c>
      <c r="U153" s="592" t="str">
        <f>IF(F153="","",VLOOKUP(F153,'G-3 Multipliers'!$A$2:$E$130,2,FALSE))</f>
        <v/>
      </c>
      <c r="V153" s="343" t="str">
        <f t="shared" si="16"/>
        <v/>
      </c>
      <c r="W153" s="343" t="str">
        <f>IF(E153="","",IF(AND(V153="Standard difficulty applied",O153&gt;P153),U153,IF(AND(V153="Low Difficulty - only applicable if all habitat created before losses",P153&gt;=O153),"Low",VLOOKUP(F153,'G-3 Multipliers'!$A$2:$E$130,4,FALSE))))</f>
        <v/>
      </c>
      <c r="X153" s="345" t="str">
        <f>IFERROR(IF(E153="","",VLOOKUP(W153, 'G-3 Multipliers'!$P$2:$Q$6,2,FALSE)),””)</f>
        <v/>
      </c>
      <c r="Y153" s="595" t="str">
        <f t="shared" si="17"/>
        <v/>
      </c>
      <c r="Z153" s="355"/>
      <c r="AA153" s="356"/>
      <c r="AE153" s="59" t="str">
        <f t="shared" si="13"/>
        <v/>
      </c>
    </row>
    <row r="154" spans="1:31" x14ac:dyDescent="0.25">
      <c r="A154" s="52" t="str">
        <f>IFERROR(INDEX('G-8 Condition Look up'!$I$4:$I$131,MATCH(F154,'G-8 Condition Look up'!$A$4:$A$131,0)),"")</f>
        <v/>
      </c>
      <c r="C154" s="588" t="str">
        <f>IFERROR(INDEX('G-1 All Habitats'!$AG$3:$AG$15,MATCH(D154,'G-1 All Habitats'!$AF$3:$AF$15,0)),"")</f>
        <v/>
      </c>
      <c r="D154" s="347"/>
      <c r="E154" s="366"/>
      <c r="F154" s="365" t="str">
        <f>IFERROR(INDEX('G-1 All Habitats'!$B$3:$B$130,MATCH(E154,'G-1 All Habitats'!$A$3:$A$130,0)),"")</f>
        <v/>
      </c>
      <c r="G154" s="76"/>
      <c r="H154" s="77" t="str">
        <f>IF(F154="","",VLOOKUP(F154,'G-1 All Habitats'!$B$2:$M$130,10,FALSE))</f>
        <v/>
      </c>
      <c r="I154" s="78" t="str">
        <f>IFERROR(VLOOKUP(H154,'G-1 All Habitats'!$V$3:$W$7,2,FALSE),"")</f>
        <v/>
      </c>
      <c r="J154" s="79"/>
      <c r="K154" s="78" t="str">
        <f>IFERROR(INDEX('G-8 Condition Look up'!$A$3:$H$131,MATCH(F154,'G-8 Condition Look up'!$A$3:$A$131,0),MATCH(J154,'G-8 Condition Look up'!$A$3:$H$3,0)),"")</f>
        <v/>
      </c>
      <c r="L154" s="79"/>
      <c r="M154" s="348" t="str">
        <f>IF(L154="","",IF(VLOOKUP(L154,'G-3 Multipliers'!$L$3:$N$6,2,FALSE)=0,"Spatial Data Missing",VLOOKUP(L154,'G-3 Multipliers'!$L$3:$N$6,2,FALSE)))</f>
        <v/>
      </c>
      <c r="N154" s="569" t="str">
        <f>IF(L154="","",IF(VLOOKUP(L154,'G-3 Multipliers'!$L$3:$N$6,3,FALSE)=0,"Spatial Data Missing",VLOOKUP(L154,'G-3 Multipliers'!$L$3:$N$6,3,FALSE)))</f>
        <v/>
      </c>
      <c r="O154" s="77" t="str">
        <f t="shared" si="12"/>
        <v/>
      </c>
      <c r="P154" s="94"/>
      <c r="Q154" s="94"/>
      <c r="R154" s="343" t="str">
        <f t="shared" si="14"/>
        <v/>
      </c>
      <c r="S154" s="591" t="str">
        <f t="shared" si="15"/>
        <v/>
      </c>
      <c r="T154" s="593" t="str">
        <f>IFERROR(IF(S154="Check Data","Check Data",VLOOKUP(S154,'G-4 Temporal multipliers'!$A$4:$C$37,3,FALSE)),"")</f>
        <v/>
      </c>
      <c r="U154" s="592" t="str">
        <f>IF(F154="","",VLOOKUP(F154,'G-3 Multipliers'!$A$2:$E$130,2,FALSE))</f>
        <v/>
      </c>
      <c r="V154" s="343" t="str">
        <f t="shared" si="16"/>
        <v/>
      </c>
      <c r="W154" s="343" t="str">
        <f>IF(E154="","",IF(AND(V154="Standard difficulty applied",O154&gt;P154),U154,IF(AND(V154="Low Difficulty - only applicable if all habitat created before losses",P154&gt;=O154),"Low",VLOOKUP(F154,'G-3 Multipliers'!$A$2:$E$130,4,FALSE))))</f>
        <v/>
      </c>
      <c r="X154" s="345" t="str">
        <f>IFERROR(IF(E154="","",VLOOKUP(W154, 'G-3 Multipliers'!$P$2:$Q$6,2,FALSE)),””)</f>
        <v/>
      </c>
      <c r="Y154" s="595" t="str">
        <f t="shared" si="17"/>
        <v/>
      </c>
      <c r="Z154" s="355"/>
      <c r="AA154" s="356"/>
      <c r="AE154" s="59" t="str">
        <f t="shared" si="13"/>
        <v/>
      </c>
    </row>
    <row r="155" spans="1:31" x14ac:dyDescent="0.25">
      <c r="A155" s="52" t="str">
        <f>IFERROR(INDEX('G-8 Condition Look up'!$I$4:$I$131,MATCH(F155,'G-8 Condition Look up'!$A$4:$A$131,0)),"")</f>
        <v/>
      </c>
      <c r="C155" s="588" t="str">
        <f>IFERROR(INDEX('G-1 All Habitats'!$AG$3:$AG$15,MATCH(D155,'G-1 All Habitats'!$AF$3:$AF$15,0)),"")</f>
        <v/>
      </c>
      <c r="D155" s="347"/>
      <c r="E155" s="366"/>
      <c r="F155" s="365" t="str">
        <f>IFERROR(INDEX('G-1 All Habitats'!$B$3:$B$130,MATCH(E155,'G-1 All Habitats'!$A$3:$A$130,0)),"")</f>
        <v/>
      </c>
      <c r="G155" s="76"/>
      <c r="H155" s="77" t="str">
        <f>IF(F155="","",VLOOKUP(F155,'G-1 All Habitats'!$B$2:$M$130,10,FALSE))</f>
        <v/>
      </c>
      <c r="I155" s="78" t="str">
        <f>IFERROR(VLOOKUP(H155,'G-1 All Habitats'!$V$3:$W$7,2,FALSE),"")</f>
        <v/>
      </c>
      <c r="J155" s="79"/>
      <c r="K155" s="78" t="str">
        <f>IFERROR(INDEX('G-8 Condition Look up'!$A$3:$H$131,MATCH(F155,'G-8 Condition Look up'!$A$3:$A$131,0),MATCH(J155,'G-8 Condition Look up'!$A$3:$H$3,0)),"")</f>
        <v/>
      </c>
      <c r="L155" s="79"/>
      <c r="M155" s="348" t="str">
        <f>IF(L155="","",IF(VLOOKUP(L155,'G-3 Multipliers'!$L$3:$N$6,2,FALSE)=0,"Spatial Data Missing",VLOOKUP(L155,'G-3 Multipliers'!$L$3:$N$6,2,FALSE)))</f>
        <v/>
      </c>
      <c r="N155" s="569" t="str">
        <f>IF(L155="","",IF(VLOOKUP(L155,'G-3 Multipliers'!$L$3:$N$6,3,FALSE)=0,"Spatial Data Missing",VLOOKUP(L155,'G-3 Multipliers'!$L$3:$N$6,3,FALSE)))</f>
        <v/>
      </c>
      <c r="O155" s="77" t="str">
        <f t="shared" si="12"/>
        <v/>
      </c>
      <c r="P155" s="94"/>
      <c r="Q155" s="94"/>
      <c r="R155" s="343" t="str">
        <f t="shared" si="14"/>
        <v/>
      </c>
      <c r="S155" s="591" t="str">
        <f t="shared" si="15"/>
        <v/>
      </c>
      <c r="T155" s="593" t="str">
        <f>IFERROR(IF(S155="Check Data","Check Data",VLOOKUP(S155,'G-4 Temporal multipliers'!$A$4:$C$37,3,FALSE)),"")</f>
        <v/>
      </c>
      <c r="U155" s="592" t="str">
        <f>IF(F155="","",VLOOKUP(F155,'G-3 Multipliers'!$A$2:$E$130,2,FALSE))</f>
        <v/>
      </c>
      <c r="V155" s="343" t="str">
        <f t="shared" si="16"/>
        <v/>
      </c>
      <c r="W155" s="343" t="str">
        <f>IF(E155="","",IF(AND(V155="Standard difficulty applied",O155&gt;P155),U155,IF(AND(V155="Low Difficulty - only applicable if all habitat created before losses",P155&gt;=O155),"Low",VLOOKUP(F155,'G-3 Multipliers'!$A$2:$E$130,4,FALSE))))</f>
        <v/>
      </c>
      <c r="X155" s="345" t="str">
        <f>IFERROR(IF(E155="","",VLOOKUP(W155, 'G-3 Multipliers'!$P$2:$Q$6,2,FALSE)),””)</f>
        <v/>
      </c>
      <c r="Y155" s="595" t="str">
        <f t="shared" si="17"/>
        <v/>
      </c>
      <c r="Z155" s="355"/>
      <c r="AA155" s="356"/>
      <c r="AE155" s="59" t="str">
        <f t="shared" si="13"/>
        <v/>
      </c>
    </row>
    <row r="156" spans="1:31" x14ac:dyDescent="0.25">
      <c r="A156" s="52" t="str">
        <f>IFERROR(INDEX('G-8 Condition Look up'!$I$4:$I$131,MATCH(F156,'G-8 Condition Look up'!$A$4:$A$131,0)),"")</f>
        <v/>
      </c>
      <c r="C156" s="588" t="str">
        <f>IFERROR(INDEX('G-1 All Habitats'!$AG$3:$AG$15,MATCH(D156,'G-1 All Habitats'!$AF$3:$AF$15,0)),"")</f>
        <v/>
      </c>
      <c r="D156" s="347"/>
      <c r="E156" s="366"/>
      <c r="F156" s="365" t="str">
        <f>IFERROR(INDEX('G-1 All Habitats'!$B$3:$B$130,MATCH(E156,'G-1 All Habitats'!$A$3:$A$130,0)),"")</f>
        <v/>
      </c>
      <c r="G156" s="76"/>
      <c r="H156" s="77" t="str">
        <f>IF(F156="","",VLOOKUP(F156,'G-1 All Habitats'!$B$2:$M$130,10,FALSE))</f>
        <v/>
      </c>
      <c r="I156" s="78" t="str">
        <f>IFERROR(VLOOKUP(H156,'G-1 All Habitats'!$V$3:$W$7,2,FALSE),"")</f>
        <v/>
      </c>
      <c r="J156" s="79"/>
      <c r="K156" s="78" t="str">
        <f>IFERROR(INDEX('G-8 Condition Look up'!$A$3:$H$131,MATCH(F156,'G-8 Condition Look up'!$A$3:$A$131,0),MATCH(J156,'G-8 Condition Look up'!$A$3:$H$3,0)),"")</f>
        <v/>
      </c>
      <c r="L156" s="79"/>
      <c r="M156" s="348" t="str">
        <f>IF(L156="","",IF(VLOOKUP(L156,'G-3 Multipliers'!$L$3:$N$6,2,FALSE)=0,"Spatial Data Missing",VLOOKUP(L156,'G-3 Multipliers'!$L$3:$N$6,2,FALSE)))</f>
        <v/>
      </c>
      <c r="N156" s="569" t="str">
        <f>IF(L156="","",IF(VLOOKUP(L156,'G-3 Multipliers'!$L$3:$N$6,3,FALSE)=0,"Spatial Data Missing",VLOOKUP(L156,'G-3 Multipliers'!$L$3:$N$6,3,FALSE)))</f>
        <v/>
      </c>
      <c r="O156" s="77" t="str">
        <f t="shared" si="12"/>
        <v/>
      </c>
      <c r="P156" s="94"/>
      <c r="Q156" s="94"/>
      <c r="R156" s="343" t="str">
        <f t="shared" si="14"/>
        <v/>
      </c>
      <c r="S156" s="591" t="str">
        <f t="shared" si="15"/>
        <v/>
      </c>
      <c r="T156" s="593" t="str">
        <f>IFERROR(IF(S156="Check Data","Check Data",VLOOKUP(S156,'G-4 Temporal multipliers'!$A$4:$C$37,3,FALSE)),"")</f>
        <v/>
      </c>
      <c r="U156" s="592" t="str">
        <f>IF(F156="","",VLOOKUP(F156,'G-3 Multipliers'!$A$2:$E$130,2,FALSE))</f>
        <v/>
      </c>
      <c r="V156" s="343" t="str">
        <f t="shared" si="16"/>
        <v/>
      </c>
      <c r="W156" s="343" t="str">
        <f>IF(E156="","",IF(AND(V156="Standard difficulty applied",O156&gt;P156),U156,IF(AND(V156="Low Difficulty - only applicable if all habitat created before losses",P156&gt;=O156),"Low",VLOOKUP(F156,'G-3 Multipliers'!$A$2:$E$130,4,FALSE))))</f>
        <v/>
      </c>
      <c r="X156" s="345" t="str">
        <f>IFERROR(IF(E156="","",VLOOKUP(W156, 'G-3 Multipliers'!$P$2:$Q$6,2,FALSE)),””)</f>
        <v/>
      </c>
      <c r="Y156" s="595" t="str">
        <f t="shared" si="17"/>
        <v/>
      </c>
      <c r="Z156" s="355"/>
      <c r="AA156" s="356"/>
      <c r="AE156" s="59" t="str">
        <f t="shared" si="13"/>
        <v/>
      </c>
    </row>
    <row r="157" spans="1:31" x14ac:dyDescent="0.25">
      <c r="A157" s="52" t="str">
        <f>IFERROR(INDEX('G-8 Condition Look up'!$I$4:$I$131,MATCH(F157,'G-8 Condition Look up'!$A$4:$A$131,0)),"")</f>
        <v/>
      </c>
      <c r="C157" s="588" t="str">
        <f>IFERROR(INDEX('G-1 All Habitats'!$AG$3:$AG$15,MATCH(D157,'G-1 All Habitats'!$AF$3:$AF$15,0)),"")</f>
        <v/>
      </c>
      <c r="D157" s="347"/>
      <c r="E157" s="366"/>
      <c r="F157" s="365" t="str">
        <f>IFERROR(INDEX('G-1 All Habitats'!$B$3:$B$130,MATCH(E157,'G-1 All Habitats'!$A$3:$A$130,0)),"")</f>
        <v/>
      </c>
      <c r="G157" s="76"/>
      <c r="H157" s="77" t="str">
        <f>IF(F157="","",VLOOKUP(F157,'G-1 All Habitats'!$B$2:$M$130,10,FALSE))</f>
        <v/>
      </c>
      <c r="I157" s="78" t="str">
        <f>IFERROR(VLOOKUP(H157,'G-1 All Habitats'!$V$3:$W$7,2,FALSE),"")</f>
        <v/>
      </c>
      <c r="J157" s="79"/>
      <c r="K157" s="78" t="str">
        <f>IFERROR(INDEX('G-8 Condition Look up'!$A$3:$H$131,MATCH(F157,'G-8 Condition Look up'!$A$3:$A$131,0),MATCH(J157,'G-8 Condition Look up'!$A$3:$H$3,0)),"")</f>
        <v/>
      </c>
      <c r="L157" s="79"/>
      <c r="M157" s="348" t="str">
        <f>IF(L157="","",IF(VLOOKUP(L157,'G-3 Multipliers'!$L$3:$N$6,2,FALSE)=0,"Spatial Data Missing",VLOOKUP(L157,'G-3 Multipliers'!$L$3:$N$6,2,FALSE)))</f>
        <v/>
      </c>
      <c r="N157" s="569" t="str">
        <f>IF(L157="","",IF(VLOOKUP(L157,'G-3 Multipliers'!$L$3:$N$6,3,FALSE)=0,"Spatial Data Missing",VLOOKUP(L157,'G-3 Multipliers'!$L$3:$N$6,3,FALSE)))</f>
        <v/>
      </c>
      <c r="O157" s="77" t="str">
        <f t="shared" si="12"/>
        <v/>
      </c>
      <c r="P157" s="94"/>
      <c r="Q157" s="94"/>
      <c r="R157" s="343" t="str">
        <f t="shared" si="14"/>
        <v/>
      </c>
      <c r="S157" s="591" t="str">
        <f t="shared" si="15"/>
        <v/>
      </c>
      <c r="T157" s="593" t="str">
        <f>IFERROR(IF(S157="Check Data","Check Data",VLOOKUP(S157,'G-4 Temporal multipliers'!$A$4:$C$37,3,FALSE)),"")</f>
        <v/>
      </c>
      <c r="U157" s="592" t="str">
        <f>IF(F157="","",VLOOKUP(F157,'G-3 Multipliers'!$A$2:$E$130,2,FALSE))</f>
        <v/>
      </c>
      <c r="V157" s="343" t="str">
        <f t="shared" si="16"/>
        <v/>
      </c>
      <c r="W157" s="343" t="str">
        <f>IF(E157="","",IF(AND(V157="Standard difficulty applied",O157&gt;P157),U157,IF(AND(V157="Low Difficulty - only applicable if all habitat created before losses",P157&gt;=O157),"Low",VLOOKUP(F157,'G-3 Multipliers'!$A$2:$E$130,4,FALSE))))</f>
        <v/>
      </c>
      <c r="X157" s="345" t="str">
        <f>IFERROR(IF(E157="","",VLOOKUP(W157, 'G-3 Multipliers'!$P$2:$Q$6,2,FALSE)),””)</f>
        <v/>
      </c>
      <c r="Y157" s="595" t="str">
        <f t="shared" si="17"/>
        <v/>
      </c>
      <c r="Z157" s="355"/>
      <c r="AA157" s="356"/>
      <c r="AE157" s="59" t="str">
        <f t="shared" si="13"/>
        <v/>
      </c>
    </row>
    <row r="158" spans="1:31" x14ac:dyDescent="0.25">
      <c r="A158" s="52" t="str">
        <f>IFERROR(INDEX('G-8 Condition Look up'!$I$4:$I$131,MATCH(F158,'G-8 Condition Look up'!$A$4:$A$131,0)),"")</f>
        <v/>
      </c>
      <c r="C158" s="588" t="str">
        <f>IFERROR(INDEX('G-1 All Habitats'!$AG$3:$AG$15,MATCH(D158,'G-1 All Habitats'!$AF$3:$AF$15,0)),"")</f>
        <v/>
      </c>
      <c r="D158" s="347"/>
      <c r="E158" s="366"/>
      <c r="F158" s="365" t="str">
        <f>IFERROR(INDEX('G-1 All Habitats'!$B$3:$B$130,MATCH(E158,'G-1 All Habitats'!$A$3:$A$130,0)),"")</f>
        <v/>
      </c>
      <c r="G158" s="76"/>
      <c r="H158" s="77" t="str">
        <f>IF(F158="","",VLOOKUP(F158,'G-1 All Habitats'!$B$2:$M$130,10,FALSE))</f>
        <v/>
      </c>
      <c r="I158" s="78" t="str">
        <f>IFERROR(VLOOKUP(H158,'G-1 All Habitats'!$V$3:$W$7,2,FALSE),"")</f>
        <v/>
      </c>
      <c r="J158" s="79"/>
      <c r="K158" s="78" t="str">
        <f>IFERROR(INDEX('G-8 Condition Look up'!$A$3:$H$131,MATCH(F158,'G-8 Condition Look up'!$A$3:$A$131,0),MATCH(J158,'G-8 Condition Look up'!$A$3:$H$3,0)),"")</f>
        <v/>
      </c>
      <c r="L158" s="79"/>
      <c r="M158" s="348" t="str">
        <f>IF(L158="","",IF(VLOOKUP(L158,'G-3 Multipliers'!$L$3:$N$6,2,FALSE)=0,"Spatial Data Missing",VLOOKUP(L158,'G-3 Multipliers'!$L$3:$N$6,2,FALSE)))</f>
        <v/>
      </c>
      <c r="N158" s="569" t="str">
        <f>IF(L158="","",IF(VLOOKUP(L158,'G-3 Multipliers'!$L$3:$N$6,3,FALSE)=0,"Spatial Data Missing",VLOOKUP(L158,'G-3 Multipliers'!$L$3:$N$6,3,FALSE)))</f>
        <v/>
      </c>
      <c r="O158" s="77" t="str">
        <f t="shared" si="12"/>
        <v/>
      </c>
      <c r="P158" s="94"/>
      <c r="Q158" s="94"/>
      <c r="R158" s="343" t="str">
        <f t="shared" si="14"/>
        <v/>
      </c>
      <c r="S158" s="591" t="str">
        <f t="shared" si="15"/>
        <v/>
      </c>
      <c r="T158" s="593" t="str">
        <f>IFERROR(IF(S158="Check Data","Check Data",VLOOKUP(S158,'G-4 Temporal multipliers'!$A$4:$C$37,3,FALSE)),"")</f>
        <v/>
      </c>
      <c r="U158" s="592" t="str">
        <f>IF(F158="","",VLOOKUP(F158,'G-3 Multipliers'!$A$2:$E$130,2,FALSE))</f>
        <v/>
      </c>
      <c r="V158" s="343" t="str">
        <f t="shared" si="16"/>
        <v/>
      </c>
      <c r="W158" s="343" t="str">
        <f>IF(E158="","",IF(AND(V158="Standard difficulty applied",O158&gt;P158),U158,IF(AND(V158="Low Difficulty - only applicable if all habitat created before losses",P158&gt;=O158),"Low",VLOOKUP(F158,'G-3 Multipliers'!$A$2:$E$130,4,FALSE))))</f>
        <v/>
      </c>
      <c r="X158" s="345" t="str">
        <f>IFERROR(IF(E158="","",VLOOKUP(W158, 'G-3 Multipliers'!$P$2:$Q$6,2,FALSE)),””)</f>
        <v/>
      </c>
      <c r="Y158" s="595" t="str">
        <f t="shared" si="17"/>
        <v/>
      </c>
      <c r="Z158" s="355"/>
      <c r="AA158" s="356"/>
      <c r="AE158" s="59" t="str">
        <f t="shared" si="13"/>
        <v/>
      </c>
    </row>
    <row r="159" spans="1:31" x14ac:dyDescent="0.25">
      <c r="A159" s="52" t="str">
        <f>IFERROR(INDEX('G-8 Condition Look up'!$I$4:$I$131,MATCH(F159,'G-8 Condition Look up'!$A$4:$A$131,0)),"")</f>
        <v/>
      </c>
      <c r="C159" s="588" t="str">
        <f>IFERROR(INDEX('G-1 All Habitats'!$AG$3:$AG$15,MATCH(D159,'G-1 All Habitats'!$AF$3:$AF$15,0)),"")</f>
        <v/>
      </c>
      <c r="D159" s="347"/>
      <c r="E159" s="366"/>
      <c r="F159" s="365" t="str">
        <f>IFERROR(INDEX('G-1 All Habitats'!$B$3:$B$130,MATCH(E159,'G-1 All Habitats'!$A$3:$A$130,0)),"")</f>
        <v/>
      </c>
      <c r="G159" s="76"/>
      <c r="H159" s="77" t="str">
        <f>IF(F159="","",VLOOKUP(F159,'G-1 All Habitats'!$B$2:$M$130,10,FALSE))</f>
        <v/>
      </c>
      <c r="I159" s="78" t="str">
        <f>IFERROR(VLOOKUP(H159,'G-1 All Habitats'!$V$3:$W$7,2,FALSE),"")</f>
        <v/>
      </c>
      <c r="J159" s="79"/>
      <c r="K159" s="78" t="str">
        <f>IFERROR(INDEX('G-8 Condition Look up'!$A$3:$H$131,MATCH(F159,'G-8 Condition Look up'!$A$3:$A$131,0),MATCH(J159,'G-8 Condition Look up'!$A$3:$H$3,0)),"")</f>
        <v/>
      </c>
      <c r="L159" s="79"/>
      <c r="M159" s="348" t="str">
        <f>IF(L159="","",IF(VLOOKUP(L159,'G-3 Multipliers'!$L$3:$N$6,2,FALSE)=0,"Spatial Data Missing",VLOOKUP(L159,'G-3 Multipliers'!$L$3:$N$6,2,FALSE)))</f>
        <v/>
      </c>
      <c r="N159" s="569" t="str">
        <f>IF(L159="","",IF(VLOOKUP(L159,'G-3 Multipliers'!$L$3:$N$6,3,FALSE)=0,"Spatial Data Missing",VLOOKUP(L159,'G-3 Multipliers'!$L$3:$N$6,3,FALSE)))</f>
        <v/>
      </c>
      <c r="O159" s="77" t="str">
        <f t="shared" si="12"/>
        <v/>
      </c>
      <c r="P159" s="94"/>
      <c r="Q159" s="94"/>
      <c r="R159" s="343" t="str">
        <f t="shared" si="14"/>
        <v/>
      </c>
      <c r="S159" s="591" t="str">
        <f t="shared" si="15"/>
        <v/>
      </c>
      <c r="T159" s="593" t="str">
        <f>IFERROR(IF(S159="Check Data","Check Data",VLOOKUP(S159,'G-4 Temporal multipliers'!$A$4:$C$37,3,FALSE)),"")</f>
        <v/>
      </c>
      <c r="U159" s="592" t="str">
        <f>IF(F159="","",VLOOKUP(F159,'G-3 Multipliers'!$A$2:$E$130,2,FALSE))</f>
        <v/>
      </c>
      <c r="V159" s="343" t="str">
        <f t="shared" si="16"/>
        <v/>
      </c>
      <c r="W159" s="343" t="str">
        <f>IF(E159="","",IF(AND(V159="Standard difficulty applied",O159&gt;P159),U159,IF(AND(V159="Low Difficulty - only applicable if all habitat created before losses",P159&gt;=O159),"Low",VLOOKUP(F159,'G-3 Multipliers'!$A$2:$E$130,4,FALSE))))</f>
        <v/>
      </c>
      <c r="X159" s="345" t="str">
        <f>IFERROR(IF(E159="","",VLOOKUP(W159, 'G-3 Multipliers'!$P$2:$Q$6,2,FALSE)),””)</f>
        <v/>
      </c>
      <c r="Y159" s="595" t="str">
        <f t="shared" si="17"/>
        <v/>
      </c>
      <c r="Z159" s="355"/>
      <c r="AA159" s="356"/>
      <c r="AE159" s="59" t="str">
        <f t="shared" si="13"/>
        <v/>
      </c>
    </row>
    <row r="160" spans="1:31" x14ac:dyDescent="0.25">
      <c r="A160" s="52" t="str">
        <f>IFERROR(INDEX('G-8 Condition Look up'!$I$4:$I$131,MATCH(F160,'G-8 Condition Look up'!$A$4:$A$131,0)),"")</f>
        <v/>
      </c>
      <c r="C160" s="588" t="str">
        <f>IFERROR(INDEX('G-1 All Habitats'!$AG$3:$AG$15,MATCH(D160,'G-1 All Habitats'!$AF$3:$AF$15,0)),"")</f>
        <v/>
      </c>
      <c r="D160" s="347"/>
      <c r="E160" s="366"/>
      <c r="F160" s="365" t="str">
        <f>IFERROR(INDEX('G-1 All Habitats'!$B$3:$B$130,MATCH(E160,'G-1 All Habitats'!$A$3:$A$130,0)),"")</f>
        <v/>
      </c>
      <c r="G160" s="76"/>
      <c r="H160" s="77" t="str">
        <f>IF(F160="","",VLOOKUP(F160,'G-1 All Habitats'!$B$2:$M$130,10,FALSE))</f>
        <v/>
      </c>
      <c r="I160" s="78" t="str">
        <f>IFERROR(VLOOKUP(H160,'G-1 All Habitats'!$V$3:$W$7,2,FALSE),"")</f>
        <v/>
      </c>
      <c r="J160" s="79"/>
      <c r="K160" s="78" t="str">
        <f>IFERROR(INDEX('G-8 Condition Look up'!$A$3:$H$131,MATCH(F160,'G-8 Condition Look up'!$A$3:$A$131,0),MATCH(J160,'G-8 Condition Look up'!$A$3:$H$3,0)),"")</f>
        <v/>
      </c>
      <c r="L160" s="79"/>
      <c r="M160" s="348" t="str">
        <f>IF(L160="","",IF(VLOOKUP(L160,'G-3 Multipliers'!$L$3:$N$6,2,FALSE)=0,"Spatial Data Missing",VLOOKUP(L160,'G-3 Multipliers'!$L$3:$N$6,2,FALSE)))</f>
        <v/>
      </c>
      <c r="N160" s="569" t="str">
        <f>IF(L160="","",IF(VLOOKUP(L160,'G-3 Multipliers'!$L$3:$N$6,3,FALSE)=0,"Spatial Data Missing",VLOOKUP(L160,'G-3 Multipliers'!$L$3:$N$6,3,FALSE)))</f>
        <v/>
      </c>
      <c r="O160" s="77" t="str">
        <f t="shared" si="12"/>
        <v/>
      </c>
      <c r="P160" s="94"/>
      <c r="Q160" s="94"/>
      <c r="R160" s="343" t="str">
        <f t="shared" si="14"/>
        <v/>
      </c>
      <c r="S160" s="591" t="str">
        <f t="shared" si="15"/>
        <v/>
      </c>
      <c r="T160" s="593" t="str">
        <f>IFERROR(IF(S160="Check Data","Check Data",VLOOKUP(S160,'G-4 Temporal multipliers'!$A$4:$C$37,3,FALSE)),"")</f>
        <v/>
      </c>
      <c r="U160" s="592" t="str">
        <f>IF(F160="","",VLOOKUP(F160,'G-3 Multipliers'!$A$2:$E$130,2,FALSE))</f>
        <v/>
      </c>
      <c r="V160" s="343" t="str">
        <f t="shared" si="16"/>
        <v/>
      </c>
      <c r="W160" s="343" t="str">
        <f>IF(E160="","",IF(AND(V160="Standard difficulty applied",O160&gt;P160),U160,IF(AND(V160="Low Difficulty - only applicable if all habitat created before losses",P160&gt;=O160),"Low",VLOOKUP(F160,'G-3 Multipliers'!$A$2:$E$130,4,FALSE))))</f>
        <v/>
      </c>
      <c r="X160" s="345" t="str">
        <f>IFERROR(IF(E160="","",VLOOKUP(W160, 'G-3 Multipliers'!$P$2:$Q$6,2,FALSE)),””)</f>
        <v/>
      </c>
      <c r="Y160" s="595" t="str">
        <f t="shared" si="17"/>
        <v/>
      </c>
      <c r="Z160" s="355"/>
      <c r="AA160" s="356"/>
      <c r="AE160" s="59" t="str">
        <f t="shared" si="13"/>
        <v/>
      </c>
    </row>
    <row r="161" spans="1:31" x14ac:dyDescent="0.25">
      <c r="A161" s="52" t="str">
        <f>IFERROR(INDEX('G-8 Condition Look up'!$I$4:$I$131,MATCH(F161,'G-8 Condition Look up'!$A$4:$A$131,0)),"")</f>
        <v/>
      </c>
      <c r="C161" s="588" t="str">
        <f>IFERROR(INDEX('G-1 All Habitats'!$AG$3:$AG$15,MATCH(D161,'G-1 All Habitats'!$AF$3:$AF$15,0)),"")</f>
        <v/>
      </c>
      <c r="D161" s="347"/>
      <c r="E161" s="366"/>
      <c r="F161" s="365" t="str">
        <f>IFERROR(INDEX('G-1 All Habitats'!$B$3:$B$130,MATCH(E161,'G-1 All Habitats'!$A$3:$A$130,0)),"")</f>
        <v/>
      </c>
      <c r="G161" s="76"/>
      <c r="H161" s="77" t="str">
        <f>IF(F161="","",VLOOKUP(F161,'G-1 All Habitats'!$B$2:$M$130,10,FALSE))</f>
        <v/>
      </c>
      <c r="I161" s="78" t="str">
        <f>IFERROR(VLOOKUP(H161,'G-1 All Habitats'!$V$3:$W$7,2,FALSE),"")</f>
        <v/>
      </c>
      <c r="J161" s="79"/>
      <c r="K161" s="78" t="str">
        <f>IFERROR(INDEX('G-8 Condition Look up'!$A$3:$H$131,MATCH(F161,'G-8 Condition Look up'!$A$3:$A$131,0),MATCH(J161,'G-8 Condition Look up'!$A$3:$H$3,0)),"")</f>
        <v/>
      </c>
      <c r="L161" s="79"/>
      <c r="M161" s="348" t="str">
        <f>IF(L161="","",IF(VLOOKUP(L161,'G-3 Multipliers'!$L$3:$N$6,2,FALSE)=0,"Spatial Data Missing",VLOOKUP(L161,'G-3 Multipliers'!$L$3:$N$6,2,FALSE)))</f>
        <v/>
      </c>
      <c r="N161" s="569" t="str">
        <f>IF(L161="","",IF(VLOOKUP(L161,'G-3 Multipliers'!$L$3:$N$6,3,FALSE)=0,"Spatial Data Missing",VLOOKUP(L161,'G-3 Multipliers'!$L$3:$N$6,3,FALSE)))</f>
        <v/>
      </c>
      <c r="O161" s="77" t="str">
        <f t="shared" si="12"/>
        <v/>
      </c>
      <c r="P161" s="94"/>
      <c r="Q161" s="94"/>
      <c r="R161" s="343" t="str">
        <f t="shared" si="14"/>
        <v/>
      </c>
      <c r="S161" s="591" t="str">
        <f t="shared" si="15"/>
        <v/>
      </c>
      <c r="T161" s="593" t="str">
        <f>IFERROR(IF(S161="Check Data","Check Data",VLOOKUP(S161,'G-4 Temporal multipliers'!$A$4:$C$37,3,FALSE)),"")</f>
        <v/>
      </c>
      <c r="U161" s="592" t="str">
        <f>IF(F161="","",VLOOKUP(F161,'G-3 Multipliers'!$A$2:$E$130,2,FALSE))</f>
        <v/>
      </c>
      <c r="V161" s="343" t="str">
        <f t="shared" si="16"/>
        <v/>
      </c>
      <c r="W161" s="343" t="str">
        <f>IF(E161="","",IF(AND(V161="Standard difficulty applied",O161&gt;P161),U161,IF(AND(V161="Low Difficulty - only applicable if all habitat created before losses",P161&gt;=O161),"Low",VLOOKUP(F161,'G-3 Multipliers'!$A$2:$E$130,4,FALSE))))</f>
        <v/>
      </c>
      <c r="X161" s="345" t="str">
        <f>IFERROR(IF(E161="","",VLOOKUP(W161, 'G-3 Multipliers'!$P$2:$Q$6,2,FALSE)),””)</f>
        <v/>
      </c>
      <c r="Y161" s="595" t="str">
        <f t="shared" si="17"/>
        <v/>
      </c>
      <c r="Z161" s="355"/>
      <c r="AA161" s="356"/>
      <c r="AE161" s="59" t="str">
        <f t="shared" si="13"/>
        <v/>
      </c>
    </row>
    <row r="162" spans="1:31" x14ac:dyDescent="0.25">
      <c r="A162" s="52" t="str">
        <f>IFERROR(INDEX('G-8 Condition Look up'!$I$4:$I$131,MATCH(F162,'G-8 Condition Look up'!$A$4:$A$131,0)),"")</f>
        <v/>
      </c>
      <c r="C162" s="588" t="str">
        <f>IFERROR(INDEX('G-1 All Habitats'!$AG$3:$AG$15,MATCH(D162,'G-1 All Habitats'!$AF$3:$AF$15,0)),"")</f>
        <v/>
      </c>
      <c r="D162" s="347"/>
      <c r="E162" s="366"/>
      <c r="F162" s="365" t="str">
        <f>IFERROR(INDEX('G-1 All Habitats'!$B$3:$B$130,MATCH(E162,'G-1 All Habitats'!$A$3:$A$130,0)),"")</f>
        <v/>
      </c>
      <c r="G162" s="76"/>
      <c r="H162" s="77" t="str">
        <f>IF(F162="","",VLOOKUP(F162,'G-1 All Habitats'!$B$2:$M$130,10,FALSE))</f>
        <v/>
      </c>
      <c r="I162" s="78" t="str">
        <f>IFERROR(VLOOKUP(H162,'G-1 All Habitats'!$V$3:$W$7,2,FALSE),"")</f>
        <v/>
      </c>
      <c r="J162" s="79"/>
      <c r="K162" s="78" t="str">
        <f>IFERROR(INDEX('G-8 Condition Look up'!$A$3:$H$131,MATCH(F162,'G-8 Condition Look up'!$A$3:$A$131,0),MATCH(J162,'G-8 Condition Look up'!$A$3:$H$3,0)),"")</f>
        <v/>
      </c>
      <c r="L162" s="79"/>
      <c r="M162" s="348" t="str">
        <f>IF(L162="","",IF(VLOOKUP(L162,'G-3 Multipliers'!$L$3:$N$6,2,FALSE)=0,"Spatial Data Missing",VLOOKUP(L162,'G-3 Multipliers'!$L$3:$N$6,2,FALSE)))</f>
        <v/>
      </c>
      <c r="N162" s="569" t="str">
        <f>IF(L162="","",IF(VLOOKUP(L162,'G-3 Multipliers'!$L$3:$N$6,3,FALSE)=0,"Spatial Data Missing",VLOOKUP(L162,'G-3 Multipliers'!$L$3:$N$6,3,FALSE)))</f>
        <v/>
      </c>
      <c r="O162" s="77" t="str">
        <f t="shared" si="12"/>
        <v/>
      </c>
      <c r="P162" s="94"/>
      <c r="Q162" s="94"/>
      <c r="R162" s="343" t="str">
        <f t="shared" si="14"/>
        <v/>
      </c>
      <c r="S162" s="591" t="str">
        <f t="shared" si="15"/>
        <v/>
      </c>
      <c r="T162" s="593" t="str">
        <f>IFERROR(IF(S162="Check Data","Check Data",VLOOKUP(S162,'G-4 Temporal multipliers'!$A$4:$C$37,3,FALSE)),"")</f>
        <v/>
      </c>
      <c r="U162" s="592" t="str">
        <f>IF(F162="","",VLOOKUP(F162,'G-3 Multipliers'!$A$2:$E$130,2,FALSE))</f>
        <v/>
      </c>
      <c r="V162" s="343" t="str">
        <f t="shared" si="16"/>
        <v/>
      </c>
      <c r="W162" s="343" t="str">
        <f>IF(E162="","",IF(AND(V162="Standard difficulty applied",O162&gt;P162),U162,IF(AND(V162="Low Difficulty - only applicable if all habitat created before losses",P162&gt;=O162),"Low",VLOOKUP(F162,'G-3 Multipliers'!$A$2:$E$130,4,FALSE))))</f>
        <v/>
      </c>
      <c r="X162" s="345" t="str">
        <f>IFERROR(IF(E162="","",VLOOKUP(W162, 'G-3 Multipliers'!$P$2:$Q$6,2,FALSE)),””)</f>
        <v/>
      </c>
      <c r="Y162" s="595" t="str">
        <f t="shared" si="17"/>
        <v/>
      </c>
      <c r="Z162" s="355"/>
      <c r="AA162" s="356"/>
      <c r="AE162" s="59" t="str">
        <f t="shared" si="13"/>
        <v/>
      </c>
    </row>
    <row r="163" spans="1:31" x14ac:dyDescent="0.25">
      <c r="A163" s="52" t="str">
        <f>IFERROR(INDEX('G-8 Condition Look up'!$I$4:$I$131,MATCH(F163,'G-8 Condition Look up'!$A$4:$A$131,0)),"")</f>
        <v/>
      </c>
      <c r="C163" s="588" t="str">
        <f>IFERROR(INDEX('G-1 All Habitats'!$AG$3:$AG$15,MATCH(D163,'G-1 All Habitats'!$AF$3:$AF$15,0)),"")</f>
        <v/>
      </c>
      <c r="D163" s="347"/>
      <c r="E163" s="366"/>
      <c r="F163" s="365" t="str">
        <f>IFERROR(INDEX('G-1 All Habitats'!$B$3:$B$130,MATCH(E163,'G-1 All Habitats'!$A$3:$A$130,0)),"")</f>
        <v/>
      </c>
      <c r="G163" s="76"/>
      <c r="H163" s="77" t="str">
        <f>IF(F163="","",VLOOKUP(F163,'G-1 All Habitats'!$B$2:$M$130,10,FALSE))</f>
        <v/>
      </c>
      <c r="I163" s="78" t="str">
        <f>IFERROR(VLOOKUP(H163,'G-1 All Habitats'!$V$3:$W$7,2,FALSE),"")</f>
        <v/>
      </c>
      <c r="J163" s="79"/>
      <c r="K163" s="78" t="str">
        <f>IFERROR(INDEX('G-8 Condition Look up'!$A$3:$H$131,MATCH(F163,'G-8 Condition Look up'!$A$3:$A$131,0),MATCH(J163,'G-8 Condition Look up'!$A$3:$H$3,0)),"")</f>
        <v/>
      </c>
      <c r="L163" s="79"/>
      <c r="M163" s="348" t="str">
        <f>IF(L163="","",IF(VLOOKUP(L163,'G-3 Multipliers'!$L$3:$N$6,2,FALSE)=0,"Spatial Data Missing",VLOOKUP(L163,'G-3 Multipliers'!$L$3:$N$6,2,FALSE)))</f>
        <v/>
      </c>
      <c r="N163" s="569" t="str">
        <f>IF(L163="","",IF(VLOOKUP(L163,'G-3 Multipliers'!$L$3:$N$6,3,FALSE)=0,"Spatial Data Missing",VLOOKUP(L163,'G-3 Multipliers'!$L$3:$N$6,3,FALSE)))</f>
        <v/>
      </c>
      <c r="O163" s="77" t="str">
        <f t="shared" si="12"/>
        <v/>
      </c>
      <c r="P163" s="94"/>
      <c r="Q163" s="94"/>
      <c r="R163" s="343" t="str">
        <f t="shared" si="14"/>
        <v/>
      </c>
      <c r="S163" s="591" t="str">
        <f t="shared" si="15"/>
        <v/>
      </c>
      <c r="T163" s="593" t="str">
        <f>IFERROR(IF(S163="Check Data","Check Data",VLOOKUP(S163,'G-4 Temporal multipliers'!$A$4:$C$37,3,FALSE)),"")</f>
        <v/>
      </c>
      <c r="U163" s="592" t="str">
        <f>IF(F163="","",VLOOKUP(F163,'G-3 Multipliers'!$A$2:$E$130,2,FALSE))</f>
        <v/>
      </c>
      <c r="V163" s="343" t="str">
        <f t="shared" si="16"/>
        <v/>
      </c>
      <c r="W163" s="343" t="str">
        <f>IF(E163="","",IF(AND(V163="Standard difficulty applied",O163&gt;P163),U163,IF(AND(V163="Low Difficulty - only applicable if all habitat created before losses",P163&gt;=O163),"Low",VLOOKUP(F163,'G-3 Multipliers'!$A$2:$E$130,4,FALSE))))</f>
        <v/>
      </c>
      <c r="X163" s="345" t="str">
        <f>IFERROR(IF(E163="","",VLOOKUP(W163, 'G-3 Multipliers'!$P$2:$Q$6,2,FALSE)),””)</f>
        <v/>
      </c>
      <c r="Y163" s="595" t="str">
        <f t="shared" si="17"/>
        <v/>
      </c>
      <c r="Z163" s="355"/>
      <c r="AA163" s="356"/>
      <c r="AE163" s="59" t="str">
        <f t="shared" si="13"/>
        <v/>
      </c>
    </row>
    <row r="164" spans="1:31" x14ac:dyDescent="0.25">
      <c r="A164" s="52" t="str">
        <f>IFERROR(INDEX('G-8 Condition Look up'!$I$4:$I$131,MATCH(F164,'G-8 Condition Look up'!$A$4:$A$131,0)),"")</f>
        <v/>
      </c>
      <c r="C164" s="588" t="str">
        <f>IFERROR(INDEX('G-1 All Habitats'!$AG$3:$AG$15,MATCH(D164,'G-1 All Habitats'!$AF$3:$AF$15,0)),"")</f>
        <v/>
      </c>
      <c r="D164" s="347"/>
      <c r="E164" s="366"/>
      <c r="F164" s="365" t="str">
        <f>IFERROR(INDEX('G-1 All Habitats'!$B$3:$B$130,MATCH(E164,'G-1 All Habitats'!$A$3:$A$130,0)),"")</f>
        <v/>
      </c>
      <c r="G164" s="76"/>
      <c r="H164" s="77" t="str">
        <f>IF(F164="","",VLOOKUP(F164,'G-1 All Habitats'!$B$2:$M$130,10,FALSE))</f>
        <v/>
      </c>
      <c r="I164" s="78" t="str">
        <f>IFERROR(VLOOKUP(H164,'G-1 All Habitats'!$V$3:$W$7,2,FALSE),"")</f>
        <v/>
      </c>
      <c r="J164" s="79"/>
      <c r="K164" s="78" t="str">
        <f>IFERROR(INDEX('G-8 Condition Look up'!$A$3:$H$131,MATCH(F164,'G-8 Condition Look up'!$A$3:$A$131,0),MATCH(J164,'G-8 Condition Look up'!$A$3:$H$3,0)),"")</f>
        <v/>
      </c>
      <c r="L164" s="79"/>
      <c r="M164" s="348" t="str">
        <f>IF(L164="","",IF(VLOOKUP(L164,'G-3 Multipliers'!$L$3:$N$6,2,FALSE)=0,"Spatial Data Missing",VLOOKUP(L164,'G-3 Multipliers'!$L$3:$N$6,2,FALSE)))</f>
        <v/>
      </c>
      <c r="N164" s="569" t="str">
        <f>IF(L164="","",IF(VLOOKUP(L164,'G-3 Multipliers'!$L$3:$N$6,3,FALSE)=0,"Spatial Data Missing",VLOOKUP(L164,'G-3 Multipliers'!$L$3:$N$6,3,FALSE)))</f>
        <v/>
      </c>
      <c r="O164" s="77" t="str">
        <f t="shared" si="12"/>
        <v/>
      </c>
      <c r="P164" s="94"/>
      <c r="Q164" s="94"/>
      <c r="R164" s="343" t="str">
        <f t="shared" si="14"/>
        <v/>
      </c>
      <c r="S164" s="591" t="str">
        <f t="shared" si="15"/>
        <v/>
      </c>
      <c r="T164" s="593" t="str">
        <f>IFERROR(IF(S164="Check Data","Check Data",VLOOKUP(S164,'G-4 Temporal multipliers'!$A$4:$C$37,3,FALSE)),"")</f>
        <v/>
      </c>
      <c r="U164" s="592" t="str">
        <f>IF(F164="","",VLOOKUP(F164,'G-3 Multipliers'!$A$2:$E$130,2,FALSE))</f>
        <v/>
      </c>
      <c r="V164" s="343" t="str">
        <f t="shared" si="16"/>
        <v/>
      </c>
      <c r="W164" s="343" t="str">
        <f>IF(E164="","",IF(AND(V164="Standard difficulty applied",O164&gt;P164),U164,IF(AND(V164="Low Difficulty - only applicable if all habitat created before losses",P164&gt;=O164),"Low",VLOOKUP(F164,'G-3 Multipliers'!$A$2:$E$130,4,FALSE))))</f>
        <v/>
      </c>
      <c r="X164" s="345" t="str">
        <f>IFERROR(IF(E164="","",VLOOKUP(W164, 'G-3 Multipliers'!$P$2:$Q$6,2,FALSE)),””)</f>
        <v/>
      </c>
      <c r="Y164" s="595" t="str">
        <f t="shared" si="17"/>
        <v/>
      </c>
      <c r="Z164" s="355"/>
      <c r="AA164" s="356"/>
      <c r="AE164" s="59" t="str">
        <f t="shared" si="13"/>
        <v/>
      </c>
    </row>
    <row r="165" spans="1:31" x14ac:dyDescent="0.25">
      <c r="A165" s="52" t="str">
        <f>IFERROR(INDEX('G-8 Condition Look up'!$I$4:$I$131,MATCH(F165,'G-8 Condition Look up'!$A$4:$A$131,0)),"")</f>
        <v/>
      </c>
      <c r="C165" s="588" t="str">
        <f>IFERROR(INDEX('G-1 All Habitats'!$AG$3:$AG$15,MATCH(D165,'G-1 All Habitats'!$AF$3:$AF$15,0)),"")</f>
        <v/>
      </c>
      <c r="D165" s="347"/>
      <c r="E165" s="366"/>
      <c r="F165" s="365" t="str">
        <f>IFERROR(INDEX('G-1 All Habitats'!$B$3:$B$130,MATCH(E165,'G-1 All Habitats'!$A$3:$A$130,0)),"")</f>
        <v/>
      </c>
      <c r="G165" s="76"/>
      <c r="H165" s="77" t="str">
        <f>IF(F165="","",VLOOKUP(F165,'G-1 All Habitats'!$B$2:$M$130,10,FALSE))</f>
        <v/>
      </c>
      <c r="I165" s="78" t="str">
        <f>IFERROR(VLOOKUP(H165,'G-1 All Habitats'!$V$3:$W$7,2,FALSE),"")</f>
        <v/>
      </c>
      <c r="J165" s="79"/>
      <c r="K165" s="78" t="str">
        <f>IFERROR(INDEX('G-8 Condition Look up'!$A$3:$H$131,MATCH(F165,'G-8 Condition Look up'!$A$3:$A$131,0),MATCH(J165,'G-8 Condition Look up'!$A$3:$H$3,0)),"")</f>
        <v/>
      </c>
      <c r="L165" s="79"/>
      <c r="M165" s="348" t="str">
        <f>IF(L165="","",IF(VLOOKUP(L165,'G-3 Multipliers'!$L$3:$N$6,2,FALSE)=0,"Spatial Data Missing",VLOOKUP(L165,'G-3 Multipliers'!$L$3:$N$6,2,FALSE)))</f>
        <v/>
      </c>
      <c r="N165" s="569" t="str">
        <f>IF(L165="","",IF(VLOOKUP(L165,'G-3 Multipliers'!$L$3:$N$6,3,FALSE)=0,"Spatial Data Missing",VLOOKUP(L165,'G-3 Multipliers'!$L$3:$N$6,3,FALSE)))</f>
        <v/>
      </c>
      <c r="O165" s="77" t="str">
        <f t="shared" si="12"/>
        <v/>
      </c>
      <c r="P165" s="94"/>
      <c r="Q165" s="94"/>
      <c r="R165" s="343" t="str">
        <f t="shared" si="14"/>
        <v/>
      </c>
      <c r="S165" s="591" t="str">
        <f t="shared" si="15"/>
        <v/>
      </c>
      <c r="T165" s="593" t="str">
        <f>IFERROR(IF(S165="Check Data","Check Data",VLOOKUP(S165,'G-4 Temporal multipliers'!$A$4:$C$37,3,FALSE)),"")</f>
        <v/>
      </c>
      <c r="U165" s="592" t="str">
        <f>IF(F165="","",VLOOKUP(F165,'G-3 Multipliers'!$A$2:$E$130,2,FALSE))</f>
        <v/>
      </c>
      <c r="V165" s="343" t="str">
        <f t="shared" si="16"/>
        <v/>
      </c>
      <c r="W165" s="343" t="str">
        <f>IF(E165="","",IF(AND(V165="Standard difficulty applied",O165&gt;P165),U165,IF(AND(V165="Low Difficulty - only applicable if all habitat created before losses",P165&gt;=O165),"Low",VLOOKUP(F165,'G-3 Multipliers'!$A$2:$E$130,4,FALSE))))</f>
        <v/>
      </c>
      <c r="X165" s="345" t="str">
        <f>IFERROR(IF(E165="","",VLOOKUP(W165, 'G-3 Multipliers'!$P$2:$Q$6,2,FALSE)),””)</f>
        <v/>
      </c>
      <c r="Y165" s="595" t="str">
        <f t="shared" si="17"/>
        <v/>
      </c>
      <c r="Z165" s="355"/>
      <c r="AA165" s="356"/>
      <c r="AE165" s="59" t="str">
        <f t="shared" si="13"/>
        <v/>
      </c>
    </row>
    <row r="166" spans="1:31" x14ac:dyDescent="0.25">
      <c r="A166" s="52" t="str">
        <f>IFERROR(INDEX('G-8 Condition Look up'!$I$4:$I$131,MATCH(F166,'G-8 Condition Look up'!$A$4:$A$131,0)),"")</f>
        <v/>
      </c>
      <c r="C166" s="588" t="str">
        <f>IFERROR(INDEX('G-1 All Habitats'!$AG$3:$AG$15,MATCH(D166,'G-1 All Habitats'!$AF$3:$AF$15,0)),"")</f>
        <v/>
      </c>
      <c r="D166" s="347"/>
      <c r="E166" s="366"/>
      <c r="F166" s="365" t="str">
        <f>IFERROR(INDEX('G-1 All Habitats'!$B$3:$B$130,MATCH(E166,'G-1 All Habitats'!$A$3:$A$130,0)),"")</f>
        <v/>
      </c>
      <c r="G166" s="76"/>
      <c r="H166" s="77" t="str">
        <f>IF(F166="","",VLOOKUP(F166,'G-1 All Habitats'!$B$2:$M$130,10,FALSE))</f>
        <v/>
      </c>
      <c r="I166" s="78" t="str">
        <f>IFERROR(VLOOKUP(H166,'G-1 All Habitats'!$V$3:$W$7,2,FALSE),"")</f>
        <v/>
      </c>
      <c r="J166" s="79"/>
      <c r="K166" s="78" t="str">
        <f>IFERROR(INDEX('G-8 Condition Look up'!$A$3:$H$131,MATCH(F166,'G-8 Condition Look up'!$A$3:$A$131,0),MATCH(J166,'G-8 Condition Look up'!$A$3:$H$3,0)),"")</f>
        <v/>
      </c>
      <c r="L166" s="79"/>
      <c r="M166" s="348" t="str">
        <f>IF(L166="","",IF(VLOOKUP(L166,'G-3 Multipliers'!$L$3:$N$6,2,FALSE)=0,"Spatial Data Missing",VLOOKUP(L166,'G-3 Multipliers'!$L$3:$N$6,2,FALSE)))</f>
        <v/>
      </c>
      <c r="N166" s="569" t="str">
        <f>IF(L166="","",IF(VLOOKUP(L166,'G-3 Multipliers'!$L$3:$N$6,3,FALSE)=0,"Spatial Data Missing",VLOOKUP(L166,'G-3 Multipliers'!$L$3:$N$6,3,FALSE)))</f>
        <v/>
      </c>
      <c r="O166" s="77" t="str">
        <f t="shared" si="12"/>
        <v/>
      </c>
      <c r="P166" s="94"/>
      <c r="Q166" s="94"/>
      <c r="R166" s="343" t="str">
        <f t="shared" si="14"/>
        <v/>
      </c>
      <c r="S166" s="591" t="str">
        <f t="shared" si="15"/>
        <v/>
      </c>
      <c r="T166" s="593" t="str">
        <f>IFERROR(IF(S166="Check Data","Check Data",VLOOKUP(S166,'G-4 Temporal multipliers'!$A$4:$C$37,3,FALSE)),"")</f>
        <v/>
      </c>
      <c r="U166" s="592" t="str">
        <f>IF(F166="","",VLOOKUP(F166,'G-3 Multipliers'!$A$2:$E$130,2,FALSE))</f>
        <v/>
      </c>
      <c r="V166" s="343" t="str">
        <f t="shared" si="16"/>
        <v/>
      </c>
      <c r="W166" s="343" t="str">
        <f>IF(E166="","",IF(AND(V166="Standard difficulty applied",O166&gt;P166),U166,IF(AND(V166="Low Difficulty - only applicable if all habitat created before losses",P166&gt;=O166),"Low",VLOOKUP(F166,'G-3 Multipliers'!$A$2:$E$130,4,FALSE))))</f>
        <v/>
      </c>
      <c r="X166" s="345" t="str">
        <f>IFERROR(IF(E166="","",VLOOKUP(W166, 'G-3 Multipliers'!$P$2:$Q$6,2,FALSE)),””)</f>
        <v/>
      </c>
      <c r="Y166" s="595" t="str">
        <f t="shared" si="17"/>
        <v/>
      </c>
      <c r="Z166" s="355"/>
      <c r="AA166" s="356"/>
      <c r="AE166" s="59" t="str">
        <f t="shared" si="13"/>
        <v/>
      </c>
    </row>
    <row r="167" spans="1:31" x14ac:dyDescent="0.25">
      <c r="A167" s="52" t="str">
        <f>IFERROR(INDEX('G-8 Condition Look up'!$I$4:$I$131,MATCH(F167,'G-8 Condition Look up'!$A$4:$A$131,0)),"")</f>
        <v/>
      </c>
      <c r="C167" s="588" t="str">
        <f>IFERROR(INDEX('G-1 All Habitats'!$AG$3:$AG$15,MATCH(D167,'G-1 All Habitats'!$AF$3:$AF$15,0)),"")</f>
        <v/>
      </c>
      <c r="D167" s="347"/>
      <c r="E167" s="366"/>
      <c r="F167" s="365" t="str">
        <f>IFERROR(INDEX('G-1 All Habitats'!$B$3:$B$130,MATCH(E167,'G-1 All Habitats'!$A$3:$A$130,0)),"")</f>
        <v/>
      </c>
      <c r="G167" s="76"/>
      <c r="H167" s="77" t="str">
        <f>IF(F167="","",VLOOKUP(F167,'G-1 All Habitats'!$B$2:$M$130,10,FALSE))</f>
        <v/>
      </c>
      <c r="I167" s="78" t="str">
        <f>IFERROR(VLOOKUP(H167,'G-1 All Habitats'!$V$3:$W$7,2,FALSE),"")</f>
        <v/>
      </c>
      <c r="J167" s="79"/>
      <c r="K167" s="78" t="str">
        <f>IFERROR(INDEX('G-8 Condition Look up'!$A$3:$H$131,MATCH(F167,'G-8 Condition Look up'!$A$3:$A$131,0),MATCH(J167,'G-8 Condition Look up'!$A$3:$H$3,0)),"")</f>
        <v/>
      </c>
      <c r="L167" s="79"/>
      <c r="M167" s="348" t="str">
        <f>IF(L167="","",IF(VLOOKUP(L167,'G-3 Multipliers'!$L$3:$N$6,2,FALSE)=0,"Spatial Data Missing",VLOOKUP(L167,'G-3 Multipliers'!$L$3:$N$6,2,FALSE)))</f>
        <v/>
      </c>
      <c r="N167" s="569" t="str">
        <f>IF(L167="","",IF(VLOOKUP(L167,'G-3 Multipliers'!$L$3:$N$6,3,FALSE)=0,"Spatial Data Missing",VLOOKUP(L167,'G-3 Multipliers'!$L$3:$N$6,3,FALSE)))</f>
        <v/>
      </c>
      <c r="O167" s="77" t="str">
        <f t="shared" si="12"/>
        <v/>
      </c>
      <c r="P167" s="94"/>
      <c r="Q167" s="94"/>
      <c r="R167" s="343" t="str">
        <f t="shared" si="14"/>
        <v/>
      </c>
      <c r="S167" s="591" t="str">
        <f t="shared" si="15"/>
        <v/>
      </c>
      <c r="T167" s="593" t="str">
        <f>IFERROR(IF(S167="Check Data","Check Data",VLOOKUP(S167,'G-4 Temporal multipliers'!$A$4:$C$37,3,FALSE)),"")</f>
        <v/>
      </c>
      <c r="U167" s="592" t="str">
        <f>IF(F167="","",VLOOKUP(F167,'G-3 Multipliers'!$A$2:$E$130,2,FALSE))</f>
        <v/>
      </c>
      <c r="V167" s="343" t="str">
        <f t="shared" si="16"/>
        <v/>
      </c>
      <c r="W167" s="343" t="str">
        <f>IF(E167="","",IF(AND(V167="Standard difficulty applied",O167&gt;P167),U167,IF(AND(V167="Low Difficulty - only applicable if all habitat created before losses",P167&gt;=O167),"Low",VLOOKUP(F167,'G-3 Multipliers'!$A$2:$E$130,4,FALSE))))</f>
        <v/>
      </c>
      <c r="X167" s="345" t="str">
        <f>IFERROR(IF(E167="","",VLOOKUP(W167, 'G-3 Multipliers'!$P$2:$Q$6,2,FALSE)),””)</f>
        <v/>
      </c>
      <c r="Y167" s="595" t="str">
        <f t="shared" si="17"/>
        <v/>
      </c>
      <c r="Z167" s="355"/>
      <c r="AA167" s="356"/>
      <c r="AE167" s="59" t="str">
        <f t="shared" si="13"/>
        <v/>
      </c>
    </row>
    <row r="168" spans="1:31" x14ac:dyDescent="0.25">
      <c r="A168" s="52" t="str">
        <f>IFERROR(INDEX('G-8 Condition Look up'!$I$4:$I$131,MATCH(F168,'G-8 Condition Look up'!$A$4:$A$131,0)),"")</f>
        <v/>
      </c>
      <c r="C168" s="588" t="str">
        <f>IFERROR(INDEX('G-1 All Habitats'!$AG$3:$AG$15,MATCH(D168,'G-1 All Habitats'!$AF$3:$AF$15,0)),"")</f>
        <v/>
      </c>
      <c r="D168" s="347"/>
      <c r="E168" s="366"/>
      <c r="F168" s="365" t="str">
        <f>IFERROR(INDEX('G-1 All Habitats'!$B$3:$B$130,MATCH(E168,'G-1 All Habitats'!$A$3:$A$130,0)),"")</f>
        <v/>
      </c>
      <c r="G168" s="76"/>
      <c r="H168" s="77" t="str">
        <f>IF(F168="","",VLOOKUP(F168,'G-1 All Habitats'!$B$2:$M$130,10,FALSE))</f>
        <v/>
      </c>
      <c r="I168" s="78" t="str">
        <f>IFERROR(VLOOKUP(H168,'G-1 All Habitats'!$V$3:$W$7,2,FALSE),"")</f>
        <v/>
      </c>
      <c r="J168" s="79"/>
      <c r="K168" s="78" t="str">
        <f>IFERROR(INDEX('G-8 Condition Look up'!$A$3:$H$131,MATCH(F168,'G-8 Condition Look up'!$A$3:$A$131,0),MATCH(J168,'G-8 Condition Look up'!$A$3:$H$3,0)),"")</f>
        <v/>
      </c>
      <c r="L168" s="79"/>
      <c r="M168" s="348" t="str">
        <f>IF(L168="","",IF(VLOOKUP(L168,'G-3 Multipliers'!$L$3:$N$6,2,FALSE)=0,"Spatial Data Missing",VLOOKUP(L168,'G-3 Multipliers'!$L$3:$N$6,2,FALSE)))</f>
        <v/>
      </c>
      <c r="N168" s="569" t="str">
        <f>IF(L168="","",IF(VLOOKUP(L168,'G-3 Multipliers'!$L$3:$N$6,3,FALSE)=0,"Spatial Data Missing",VLOOKUP(L168,'G-3 Multipliers'!$L$3:$N$6,3,FALSE)))</f>
        <v/>
      </c>
      <c r="O168" s="77" t="str">
        <f t="shared" si="12"/>
        <v/>
      </c>
      <c r="P168" s="94"/>
      <c r="Q168" s="94"/>
      <c r="R168" s="343" t="str">
        <f t="shared" si="14"/>
        <v/>
      </c>
      <c r="S168" s="591" t="str">
        <f t="shared" si="15"/>
        <v/>
      </c>
      <c r="T168" s="593" t="str">
        <f>IFERROR(IF(S168="Check Data","Check Data",VLOOKUP(S168,'G-4 Temporal multipliers'!$A$4:$C$37,3,FALSE)),"")</f>
        <v/>
      </c>
      <c r="U168" s="592" t="str">
        <f>IF(F168="","",VLOOKUP(F168,'G-3 Multipliers'!$A$2:$E$130,2,FALSE))</f>
        <v/>
      </c>
      <c r="V168" s="343" t="str">
        <f t="shared" si="16"/>
        <v/>
      </c>
      <c r="W168" s="343" t="str">
        <f>IF(E168="","",IF(AND(V168="Standard difficulty applied",O168&gt;P168),U168,IF(AND(V168="Low Difficulty - only applicable if all habitat created before losses",P168&gt;=O168),"Low",VLOOKUP(F168,'G-3 Multipliers'!$A$2:$E$130,4,FALSE))))</f>
        <v/>
      </c>
      <c r="X168" s="345" t="str">
        <f>IFERROR(IF(E168="","",VLOOKUP(W168, 'G-3 Multipliers'!$P$2:$Q$6,2,FALSE)),””)</f>
        <v/>
      </c>
      <c r="Y168" s="595" t="str">
        <f t="shared" si="17"/>
        <v/>
      </c>
      <c r="Z168" s="355"/>
      <c r="AA168" s="356"/>
      <c r="AE168" s="59" t="str">
        <f t="shared" si="13"/>
        <v/>
      </c>
    </row>
    <row r="169" spans="1:31" x14ac:dyDescent="0.25">
      <c r="A169" s="52" t="str">
        <f>IFERROR(INDEX('G-8 Condition Look up'!$I$4:$I$131,MATCH(F169,'G-8 Condition Look up'!$A$4:$A$131,0)),"")</f>
        <v/>
      </c>
      <c r="C169" s="588" t="str">
        <f>IFERROR(INDEX('G-1 All Habitats'!$AG$3:$AG$15,MATCH(D169,'G-1 All Habitats'!$AF$3:$AF$15,0)),"")</f>
        <v/>
      </c>
      <c r="D169" s="347"/>
      <c r="E169" s="366"/>
      <c r="F169" s="365" t="str">
        <f>IFERROR(INDEX('G-1 All Habitats'!$B$3:$B$130,MATCH(E169,'G-1 All Habitats'!$A$3:$A$130,0)),"")</f>
        <v/>
      </c>
      <c r="G169" s="76"/>
      <c r="H169" s="77" t="str">
        <f>IF(F169="","",VLOOKUP(F169,'G-1 All Habitats'!$B$2:$M$130,10,FALSE))</f>
        <v/>
      </c>
      <c r="I169" s="78" t="str">
        <f>IFERROR(VLOOKUP(H169,'G-1 All Habitats'!$V$3:$W$7,2,FALSE),"")</f>
        <v/>
      </c>
      <c r="J169" s="79"/>
      <c r="K169" s="78" t="str">
        <f>IFERROR(INDEX('G-8 Condition Look up'!$A$3:$H$131,MATCH(F169,'G-8 Condition Look up'!$A$3:$A$131,0),MATCH(J169,'G-8 Condition Look up'!$A$3:$H$3,0)),"")</f>
        <v/>
      </c>
      <c r="L169" s="79"/>
      <c r="M169" s="348" t="str">
        <f>IF(L169="","",IF(VLOOKUP(L169,'G-3 Multipliers'!$L$3:$N$6,2,FALSE)=0,"Spatial Data Missing",VLOOKUP(L169,'G-3 Multipliers'!$L$3:$N$6,2,FALSE)))</f>
        <v/>
      </c>
      <c r="N169" s="569" t="str">
        <f>IF(L169="","",IF(VLOOKUP(L169,'G-3 Multipliers'!$L$3:$N$6,3,FALSE)=0,"Spatial Data Missing",VLOOKUP(L169,'G-3 Multipliers'!$L$3:$N$6,3,FALSE)))</f>
        <v/>
      </c>
      <c r="O169" s="77" t="str">
        <f t="shared" si="12"/>
        <v/>
      </c>
      <c r="P169" s="94"/>
      <c r="Q169" s="94"/>
      <c r="R169" s="343" t="str">
        <f t="shared" si="14"/>
        <v/>
      </c>
      <c r="S169" s="591" t="str">
        <f t="shared" si="15"/>
        <v/>
      </c>
      <c r="T169" s="593" t="str">
        <f>IFERROR(IF(S169="Check Data","Check Data",VLOOKUP(S169,'G-4 Temporal multipliers'!$A$4:$C$37,3,FALSE)),"")</f>
        <v/>
      </c>
      <c r="U169" s="592" t="str">
        <f>IF(F169="","",VLOOKUP(F169,'G-3 Multipliers'!$A$2:$E$130,2,FALSE))</f>
        <v/>
      </c>
      <c r="V169" s="343" t="str">
        <f t="shared" si="16"/>
        <v/>
      </c>
      <c r="W169" s="343" t="str">
        <f>IF(E169="","",IF(AND(V169="Standard difficulty applied",O169&gt;P169),U169,IF(AND(V169="Low Difficulty - only applicable if all habitat created before losses",P169&gt;=O169),"Low",VLOOKUP(F169,'G-3 Multipliers'!$A$2:$E$130,4,FALSE))))</f>
        <v/>
      </c>
      <c r="X169" s="345" t="str">
        <f>IFERROR(IF(E169="","",VLOOKUP(W169, 'G-3 Multipliers'!$P$2:$Q$6,2,FALSE)),””)</f>
        <v/>
      </c>
      <c r="Y169" s="595" t="str">
        <f t="shared" si="17"/>
        <v/>
      </c>
      <c r="Z169" s="355"/>
      <c r="AA169" s="356"/>
      <c r="AE169" s="59" t="str">
        <f t="shared" si="13"/>
        <v/>
      </c>
    </row>
    <row r="170" spans="1:31" x14ac:dyDescent="0.25">
      <c r="A170" s="52" t="str">
        <f>IFERROR(INDEX('G-8 Condition Look up'!$I$4:$I$131,MATCH(F170,'G-8 Condition Look up'!$A$4:$A$131,0)),"")</f>
        <v/>
      </c>
      <c r="C170" s="588" t="str">
        <f>IFERROR(INDEX('G-1 All Habitats'!$AG$3:$AG$15,MATCH(D170,'G-1 All Habitats'!$AF$3:$AF$15,0)),"")</f>
        <v/>
      </c>
      <c r="D170" s="347"/>
      <c r="E170" s="366"/>
      <c r="F170" s="365" t="str">
        <f>IFERROR(INDEX('G-1 All Habitats'!$B$3:$B$130,MATCH(E170,'G-1 All Habitats'!$A$3:$A$130,0)),"")</f>
        <v/>
      </c>
      <c r="G170" s="76"/>
      <c r="H170" s="77" t="str">
        <f>IF(F170="","",VLOOKUP(F170,'G-1 All Habitats'!$B$2:$M$130,10,FALSE))</f>
        <v/>
      </c>
      <c r="I170" s="78" t="str">
        <f>IFERROR(VLOOKUP(H170,'G-1 All Habitats'!$V$3:$W$7,2,FALSE),"")</f>
        <v/>
      </c>
      <c r="J170" s="79"/>
      <c r="K170" s="78" t="str">
        <f>IFERROR(INDEX('G-8 Condition Look up'!$A$3:$H$131,MATCH(F170,'G-8 Condition Look up'!$A$3:$A$131,0),MATCH(J170,'G-8 Condition Look up'!$A$3:$H$3,0)),"")</f>
        <v/>
      </c>
      <c r="L170" s="79"/>
      <c r="M170" s="348" t="str">
        <f>IF(L170="","",IF(VLOOKUP(L170,'G-3 Multipliers'!$L$3:$N$6,2,FALSE)=0,"Spatial Data Missing",VLOOKUP(L170,'G-3 Multipliers'!$L$3:$N$6,2,FALSE)))</f>
        <v/>
      </c>
      <c r="N170" s="569" t="str">
        <f>IF(L170="","",IF(VLOOKUP(L170,'G-3 Multipliers'!$L$3:$N$6,3,FALSE)=0,"Spatial Data Missing",VLOOKUP(L170,'G-3 Multipliers'!$L$3:$N$6,3,FALSE)))</f>
        <v/>
      </c>
      <c r="O170" s="77" t="str">
        <f t="shared" si="12"/>
        <v/>
      </c>
      <c r="P170" s="94"/>
      <c r="Q170" s="94"/>
      <c r="R170" s="343" t="str">
        <f t="shared" si="14"/>
        <v/>
      </c>
      <c r="S170" s="591" t="str">
        <f t="shared" si="15"/>
        <v/>
      </c>
      <c r="T170" s="593" t="str">
        <f>IFERROR(IF(S170="Check Data","Check Data",VLOOKUP(S170,'G-4 Temporal multipliers'!$A$4:$C$37,3,FALSE)),"")</f>
        <v/>
      </c>
      <c r="U170" s="592" t="str">
        <f>IF(F170="","",VLOOKUP(F170,'G-3 Multipliers'!$A$2:$E$130,2,FALSE))</f>
        <v/>
      </c>
      <c r="V170" s="343" t="str">
        <f t="shared" si="16"/>
        <v/>
      </c>
      <c r="W170" s="343" t="str">
        <f>IF(E170="","",IF(AND(V170="Standard difficulty applied",O170&gt;P170),U170,IF(AND(V170="Low Difficulty - only applicable if all habitat created before losses",P170&gt;=O170),"Low",VLOOKUP(F170,'G-3 Multipliers'!$A$2:$E$130,4,FALSE))))</f>
        <v/>
      </c>
      <c r="X170" s="345" t="str">
        <f>IFERROR(IF(E170="","",VLOOKUP(W170, 'G-3 Multipliers'!$P$2:$Q$6,2,FALSE)),””)</f>
        <v/>
      </c>
      <c r="Y170" s="595" t="str">
        <f t="shared" si="17"/>
        <v/>
      </c>
      <c r="Z170" s="355"/>
      <c r="AA170" s="356"/>
      <c r="AE170" s="59" t="str">
        <f t="shared" si="13"/>
        <v/>
      </c>
    </row>
    <row r="171" spans="1:31" x14ac:dyDescent="0.25">
      <c r="A171" s="52" t="str">
        <f>IFERROR(INDEX('G-8 Condition Look up'!$I$4:$I$131,MATCH(F171,'G-8 Condition Look up'!$A$4:$A$131,0)),"")</f>
        <v/>
      </c>
      <c r="C171" s="588" t="str">
        <f>IFERROR(INDEX('G-1 All Habitats'!$AG$3:$AG$15,MATCH(D171,'G-1 All Habitats'!$AF$3:$AF$15,0)),"")</f>
        <v/>
      </c>
      <c r="D171" s="347"/>
      <c r="E171" s="366"/>
      <c r="F171" s="365" t="str">
        <f>IFERROR(INDEX('G-1 All Habitats'!$B$3:$B$130,MATCH(E171,'G-1 All Habitats'!$A$3:$A$130,0)),"")</f>
        <v/>
      </c>
      <c r="G171" s="76"/>
      <c r="H171" s="77" t="str">
        <f>IF(F171="","",VLOOKUP(F171,'G-1 All Habitats'!$B$2:$M$130,10,FALSE))</f>
        <v/>
      </c>
      <c r="I171" s="78" t="str">
        <f>IFERROR(VLOOKUP(H171,'G-1 All Habitats'!$V$3:$W$7,2,FALSE),"")</f>
        <v/>
      </c>
      <c r="J171" s="79"/>
      <c r="K171" s="78" t="str">
        <f>IFERROR(INDEX('G-8 Condition Look up'!$A$3:$H$131,MATCH(F171,'G-8 Condition Look up'!$A$3:$A$131,0),MATCH(J171,'G-8 Condition Look up'!$A$3:$H$3,0)),"")</f>
        <v/>
      </c>
      <c r="L171" s="79"/>
      <c r="M171" s="348" t="str">
        <f>IF(L171="","",IF(VLOOKUP(L171,'G-3 Multipliers'!$L$3:$N$6,2,FALSE)=0,"Spatial Data Missing",VLOOKUP(L171,'G-3 Multipliers'!$L$3:$N$6,2,FALSE)))</f>
        <v/>
      </c>
      <c r="N171" s="569" t="str">
        <f>IF(L171="","",IF(VLOOKUP(L171,'G-3 Multipliers'!$L$3:$N$6,3,FALSE)=0,"Spatial Data Missing",VLOOKUP(L171,'G-3 Multipliers'!$L$3:$N$6,3,FALSE)))</f>
        <v/>
      </c>
      <c r="O171" s="77" t="str">
        <f t="shared" si="12"/>
        <v/>
      </c>
      <c r="P171" s="94"/>
      <c r="Q171" s="94"/>
      <c r="R171" s="343" t="str">
        <f t="shared" si="14"/>
        <v/>
      </c>
      <c r="S171" s="591" t="str">
        <f t="shared" si="15"/>
        <v/>
      </c>
      <c r="T171" s="593" t="str">
        <f>IFERROR(IF(S171="Check Data","Check Data",VLOOKUP(S171,'G-4 Temporal multipliers'!$A$4:$C$37,3,FALSE)),"")</f>
        <v/>
      </c>
      <c r="U171" s="592" t="str">
        <f>IF(F171="","",VLOOKUP(F171,'G-3 Multipliers'!$A$2:$E$130,2,FALSE))</f>
        <v/>
      </c>
      <c r="V171" s="343" t="str">
        <f t="shared" si="16"/>
        <v/>
      </c>
      <c r="W171" s="343" t="str">
        <f>IF(E171="","",IF(AND(V171="Standard difficulty applied",O171&gt;P171),U171,IF(AND(V171="Low Difficulty - only applicable if all habitat created before losses",P171&gt;=O171),"Low",VLOOKUP(F171,'G-3 Multipliers'!$A$2:$E$130,4,FALSE))))</f>
        <v/>
      </c>
      <c r="X171" s="345" t="str">
        <f>IFERROR(IF(E171="","",VLOOKUP(W171, 'G-3 Multipliers'!$P$2:$Q$6,2,FALSE)),””)</f>
        <v/>
      </c>
      <c r="Y171" s="595" t="str">
        <f t="shared" si="17"/>
        <v/>
      </c>
      <c r="Z171" s="355"/>
      <c r="AA171" s="356"/>
      <c r="AE171" s="59" t="str">
        <f t="shared" si="13"/>
        <v/>
      </c>
    </row>
    <row r="172" spans="1:31" x14ac:dyDescent="0.25">
      <c r="A172" s="52" t="str">
        <f>IFERROR(INDEX('G-8 Condition Look up'!$I$4:$I$131,MATCH(F172,'G-8 Condition Look up'!$A$4:$A$131,0)),"")</f>
        <v/>
      </c>
      <c r="C172" s="588" t="str">
        <f>IFERROR(INDEX('G-1 All Habitats'!$AG$3:$AG$15,MATCH(D172,'G-1 All Habitats'!$AF$3:$AF$15,0)),"")</f>
        <v/>
      </c>
      <c r="D172" s="347"/>
      <c r="E172" s="366"/>
      <c r="F172" s="365" t="str">
        <f>IFERROR(INDEX('G-1 All Habitats'!$B$3:$B$130,MATCH(E172,'G-1 All Habitats'!$A$3:$A$130,0)),"")</f>
        <v/>
      </c>
      <c r="G172" s="76"/>
      <c r="H172" s="77" t="str">
        <f>IF(F172="","",VLOOKUP(F172,'G-1 All Habitats'!$B$2:$M$130,10,FALSE))</f>
        <v/>
      </c>
      <c r="I172" s="78" t="str">
        <f>IFERROR(VLOOKUP(H172,'G-1 All Habitats'!$V$3:$W$7,2,FALSE),"")</f>
        <v/>
      </c>
      <c r="J172" s="79"/>
      <c r="K172" s="78" t="str">
        <f>IFERROR(INDEX('G-8 Condition Look up'!$A$3:$H$131,MATCH(F172,'G-8 Condition Look up'!$A$3:$A$131,0),MATCH(J172,'G-8 Condition Look up'!$A$3:$H$3,0)),"")</f>
        <v/>
      </c>
      <c r="L172" s="79"/>
      <c r="M172" s="348" t="str">
        <f>IF(L172="","",IF(VLOOKUP(L172,'G-3 Multipliers'!$L$3:$N$6,2,FALSE)=0,"Spatial Data Missing",VLOOKUP(L172,'G-3 Multipliers'!$L$3:$N$6,2,FALSE)))</f>
        <v/>
      </c>
      <c r="N172" s="569" t="str">
        <f>IF(L172="","",IF(VLOOKUP(L172,'G-3 Multipliers'!$L$3:$N$6,3,FALSE)=0,"Spatial Data Missing",VLOOKUP(L172,'G-3 Multipliers'!$L$3:$N$6,3,FALSE)))</f>
        <v/>
      </c>
      <c r="O172" s="77" t="str">
        <f t="shared" si="12"/>
        <v/>
      </c>
      <c r="P172" s="94"/>
      <c r="Q172" s="94"/>
      <c r="R172" s="343" t="str">
        <f t="shared" si="14"/>
        <v/>
      </c>
      <c r="S172" s="591" t="str">
        <f t="shared" si="15"/>
        <v/>
      </c>
      <c r="T172" s="593" t="str">
        <f>IFERROR(IF(S172="Check Data","Check Data",VLOOKUP(S172,'G-4 Temporal multipliers'!$A$4:$C$37,3,FALSE)),"")</f>
        <v/>
      </c>
      <c r="U172" s="592" t="str">
        <f>IF(F172="","",VLOOKUP(F172,'G-3 Multipliers'!$A$2:$E$130,2,FALSE))</f>
        <v/>
      </c>
      <c r="V172" s="343" t="str">
        <f t="shared" si="16"/>
        <v/>
      </c>
      <c r="W172" s="343" t="str">
        <f>IF(E172="","",IF(AND(V172="Standard difficulty applied",O172&gt;P172),U172,IF(AND(V172="Low Difficulty - only applicable if all habitat created before losses",P172&gt;=O172),"Low",VLOOKUP(F172,'G-3 Multipliers'!$A$2:$E$130,4,FALSE))))</f>
        <v/>
      </c>
      <c r="X172" s="345" t="str">
        <f>IFERROR(IF(E172="","",VLOOKUP(W172, 'G-3 Multipliers'!$P$2:$Q$6,2,FALSE)),””)</f>
        <v/>
      </c>
      <c r="Y172" s="595" t="str">
        <f t="shared" si="17"/>
        <v/>
      </c>
      <c r="Z172" s="355"/>
      <c r="AA172" s="356"/>
      <c r="AE172" s="59" t="str">
        <f t="shared" si="13"/>
        <v/>
      </c>
    </row>
    <row r="173" spans="1:31" x14ac:dyDescent="0.25">
      <c r="A173" s="52" t="str">
        <f>IFERROR(INDEX('G-8 Condition Look up'!$I$4:$I$131,MATCH(F173,'G-8 Condition Look up'!$A$4:$A$131,0)),"")</f>
        <v/>
      </c>
      <c r="C173" s="588" t="str">
        <f>IFERROR(INDEX('G-1 All Habitats'!$AG$3:$AG$15,MATCH(D173,'G-1 All Habitats'!$AF$3:$AF$15,0)),"")</f>
        <v/>
      </c>
      <c r="D173" s="347"/>
      <c r="E173" s="366"/>
      <c r="F173" s="365" t="str">
        <f>IFERROR(INDEX('G-1 All Habitats'!$B$3:$B$130,MATCH(E173,'G-1 All Habitats'!$A$3:$A$130,0)),"")</f>
        <v/>
      </c>
      <c r="G173" s="76"/>
      <c r="H173" s="77" t="str">
        <f>IF(F173="","",VLOOKUP(F173,'G-1 All Habitats'!$B$2:$M$130,10,FALSE))</f>
        <v/>
      </c>
      <c r="I173" s="78" t="str">
        <f>IFERROR(VLOOKUP(H173,'G-1 All Habitats'!$V$3:$W$7,2,FALSE),"")</f>
        <v/>
      </c>
      <c r="J173" s="79"/>
      <c r="K173" s="78" t="str">
        <f>IFERROR(INDEX('G-8 Condition Look up'!$A$3:$H$131,MATCH(F173,'G-8 Condition Look up'!$A$3:$A$131,0),MATCH(J173,'G-8 Condition Look up'!$A$3:$H$3,0)),"")</f>
        <v/>
      </c>
      <c r="L173" s="79"/>
      <c r="M173" s="348" t="str">
        <f>IF(L173="","",IF(VLOOKUP(L173,'G-3 Multipliers'!$L$3:$N$6,2,FALSE)=0,"Spatial Data Missing",VLOOKUP(L173,'G-3 Multipliers'!$L$3:$N$6,2,FALSE)))</f>
        <v/>
      </c>
      <c r="N173" s="569" t="str">
        <f>IF(L173="","",IF(VLOOKUP(L173,'G-3 Multipliers'!$L$3:$N$6,3,FALSE)=0,"Spatial Data Missing",VLOOKUP(L173,'G-3 Multipliers'!$L$3:$N$6,3,FALSE)))</f>
        <v/>
      </c>
      <c r="O173" s="77" t="str">
        <f t="shared" si="12"/>
        <v/>
      </c>
      <c r="P173" s="94"/>
      <c r="Q173" s="94"/>
      <c r="R173" s="343" t="str">
        <f t="shared" si="14"/>
        <v/>
      </c>
      <c r="S173" s="591" t="str">
        <f t="shared" si="15"/>
        <v/>
      </c>
      <c r="T173" s="593" t="str">
        <f>IFERROR(IF(S173="Check Data","Check Data",VLOOKUP(S173,'G-4 Temporal multipliers'!$A$4:$C$37,3,FALSE)),"")</f>
        <v/>
      </c>
      <c r="U173" s="592" t="str">
        <f>IF(F173="","",VLOOKUP(F173,'G-3 Multipliers'!$A$2:$E$130,2,FALSE))</f>
        <v/>
      </c>
      <c r="V173" s="343" t="str">
        <f t="shared" si="16"/>
        <v/>
      </c>
      <c r="W173" s="343" t="str">
        <f>IF(E173="","",IF(AND(V173="Standard difficulty applied",O173&gt;P173),U173,IF(AND(V173="Low Difficulty - only applicable if all habitat created before losses",P173&gt;=O173),"Low",VLOOKUP(F173,'G-3 Multipliers'!$A$2:$E$130,4,FALSE))))</f>
        <v/>
      </c>
      <c r="X173" s="345" t="str">
        <f>IFERROR(IF(E173="","",VLOOKUP(W173, 'G-3 Multipliers'!$P$2:$Q$6,2,FALSE)),””)</f>
        <v/>
      </c>
      <c r="Y173" s="595" t="str">
        <f t="shared" si="17"/>
        <v/>
      </c>
      <c r="Z173" s="355"/>
      <c r="AA173" s="356"/>
      <c r="AE173" s="59" t="str">
        <f t="shared" si="13"/>
        <v/>
      </c>
    </row>
    <row r="174" spans="1:31" x14ac:dyDescent="0.25">
      <c r="A174" s="52" t="str">
        <f>IFERROR(INDEX('G-8 Condition Look up'!$I$4:$I$131,MATCH(F174,'G-8 Condition Look up'!$A$4:$A$131,0)),"")</f>
        <v/>
      </c>
      <c r="C174" s="588" t="str">
        <f>IFERROR(INDEX('G-1 All Habitats'!$AG$3:$AG$15,MATCH(D174,'G-1 All Habitats'!$AF$3:$AF$15,0)),"")</f>
        <v/>
      </c>
      <c r="D174" s="347"/>
      <c r="E174" s="366"/>
      <c r="F174" s="365" t="str">
        <f>IFERROR(INDEX('G-1 All Habitats'!$B$3:$B$130,MATCH(E174,'G-1 All Habitats'!$A$3:$A$130,0)),"")</f>
        <v/>
      </c>
      <c r="G174" s="76"/>
      <c r="H174" s="77" t="str">
        <f>IF(F174="","",VLOOKUP(F174,'G-1 All Habitats'!$B$2:$M$130,10,FALSE))</f>
        <v/>
      </c>
      <c r="I174" s="78" t="str">
        <f>IFERROR(VLOOKUP(H174,'G-1 All Habitats'!$V$3:$W$7,2,FALSE),"")</f>
        <v/>
      </c>
      <c r="J174" s="79"/>
      <c r="K174" s="78" t="str">
        <f>IFERROR(INDEX('G-8 Condition Look up'!$A$3:$H$131,MATCH(F174,'G-8 Condition Look up'!$A$3:$A$131,0),MATCH(J174,'G-8 Condition Look up'!$A$3:$H$3,0)),"")</f>
        <v/>
      </c>
      <c r="L174" s="79"/>
      <c r="M174" s="348" t="str">
        <f>IF(L174="","",IF(VLOOKUP(L174,'G-3 Multipliers'!$L$3:$N$6,2,FALSE)=0,"Spatial Data Missing",VLOOKUP(L174,'G-3 Multipliers'!$L$3:$N$6,2,FALSE)))</f>
        <v/>
      </c>
      <c r="N174" s="569" t="str">
        <f>IF(L174="","",IF(VLOOKUP(L174,'G-3 Multipliers'!$L$3:$N$6,3,FALSE)=0,"Spatial Data Missing",VLOOKUP(L174,'G-3 Multipliers'!$L$3:$N$6,3,FALSE)))</f>
        <v/>
      </c>
      <c r="O174" s="77" t="str">
        <f t="shared" si="12"/>
        <v/>
      </c>
      <c r="P174" s="94"/>
      <c r="Q174" s="94"/>
      <c r="R174" s="343" t="str">
        <f t="shared" si="14"/>
        <v/>
      </c>
      <c r="S174" s="591" t="str">
        <f t="shared" si="15"/>
        <v/>
      </c>
      <c r="T174" s="593" t="str">
        <f>IFERROR(IF(S174="Check Data","Check Data",VLOOKUP(S174,'G-4 Temporal multipliers'!$A$4:$C$37,3,FALSE)),"")</f>
        <v/>
      </c>
      <c r="U174" s="592" t="str">
        <f>IF(F174="","",VLOOKUP(F174,'G-3 Multipliers'!$A$2:$E$130,2,FALSE))</f>
        <v/>
      </c>
      <c r="V174" s="343" t="str">
        <f t="shared" si="16"/>
        <v/>
      </c>
      <c r="W174" s="343" t="str">
        <f>IF(E174="","",IF(AND(V174="Standard difficulty applied",O174&gt;P174),U174,IF(AND(V174="Low Difficulty - only applicable if all habitat created before losses",P174&gt;=O174),"Low",VLOOKUP(F174,'G-3 Multipliers'!$A$2:$E$130,4,FALSE))))</f>
        <v/>
      </c>
      <c r="X174" s="345" t="str">
        <f>IFERROR(IF(E174="","",VLOOKUP(W174, 'G-3 Multipliers'!$P$2:$Q$6,2,FALSE)),””)</f>
        <v/>
      </c>
      <c r="Y174" s="595" t="str">
        <f t="shared" si="17"/>
        <v/>
      </c>
      <c r="Z174" s="355"/>
      <c r="AA174" s="356"/>
      <c r="AE174" s="59" t="str">
        <f t="shared" si="13"/>
        <v/>
      </c>
    </row>
    <row r="175" spans="1:31" x14ac:dyDescent="0.25">
      <c r="A175" s="52" t="str">
        <f>IFERROR(INDEX('G-8 Condition Look up'!$I$4:$I$131,MATCH(F175,'G-8 Condition Look up'!$A$4:$A$131,0)),"")</f>
        <v/>
      </c>
      <c r="C175" s="588" t="str">
        <f>IFERROR(INDEX('G-1 All Habitats'!$AG$3:$AG$15,MATCH(D175,'G-1 All Habitats'!$AF$3:$AF$15,0)),"")</f>
        <v/>
      </c>
      <c r="D175" s="347"/>
      <c r="E175" s="366"/>
      <c r="F175" s="365" t="str">
        <f>IFERROR(INDEX('G-1 All Habitats'!$B$3:$B$130,MATCH(E175,'G-1 All Habitats'!$A$3:$A$130,0)),"")</f>
        <v/>
      </c>
      <c r="G175" s="76"/>
      <c r="H175" s="77" t="str">
        <f>IF(F175="","",VLOOKUP(F175,'G-1 All Habitats'!$B$2:$M$130,10,FALSE))</f>
        <v/>
      </c>
      <c r="I175" s="78" t="str">
        <f>IFERROR(VLOOKUP(H175,'G-1 All Habitats'!$V$3:$W$7,2,FALSE),"")</f>
        <v/>
      </c>
      <c r="J175" s="79"/>
      <c r="K175" s="78" t="str">
        <f>IFERROR(INDEX('G-8 Condition Look up'!$A$3:$H$131,MATCH(F175,'G-8 Condition Look up'!$A$3:$A$131,0),MATCH(J175,'G-8 Condition Look up'!$A$3:$H$3,0)),"")</f>
        <v/>
      </c>
      <c r="L175" s="79"/>
      <c r="M175" s="348" t="str">
        <f>IF(L175="","",IF(VLOOKUP(L175,'G-3 Multipliers'!$L$3:$N$6,2,FALSE)=0,"Spatial Data Missing",VLOOKUP(L175,'G-3 Multipliers'!$L$3:$N$6,2,FALSE)))</f>
        <v/>
      </c>
      <c r="N175" s="569" t="str">
        <f>IF(L175="","",IF(VLOOKUP(L175,'G-3 Multipliers'!$L$3:$N$6,3,FALSE)=0,"Spatial Data Missing",VLOOKUP(L175,'G-3 Multipliers'!$L$3:$N$6,3,FALSE)))</f>
        <v/>
      </c>
      <c r="O175" s="77" t="str">
        <f t="shared" si="12"/>
        <v/>
      </c>
      <c r="P175" s="94"/>
      <c r="Q175" s="94"/>
      <c r="R175" s="343" t="str">
        <f t="shared" si="14"/>
        <v/>
      </c>
      <c r="S175" s="591" t="str">
        <f t="shared" si="15"/>
        <v/>
      </c>
      <c r="T175" s="593" t="str">
        <f>IFERROR(IF(S175="Check Data","Check Data",VLOOKUP(S175,'G-4 Temporal multipliers'!$A$4:$C$37,3,FALSE)),"")</f>
        <v/>
      </c>
      <c r="U175" s="592" t="str">
        <f>IF(F175="","",VLOOKUP(F175,'G-3 Multipliers'!$A$2:$E$130,2,FALSE))</f>
        <v/>
      </c>
      <c r="V175" s="343" t="str">
        <f t="shared" si="16"/>
        <v/>
      </c>
      <c r="W175" s="343" t="str">
        <f>IF(E175="","",IF(AND(V175="Standard difficulty applied",O175&gt;P175),U175,IF(AND(V175="Low Difficulty - only applicable if all habitat created before losses",P175&gt;=O175),"Low",VLOOKUP(F175,'G-3 Multipliers'!$A$2:$E$130,4,FALSE))))</f>
        <v/>
      </c>
      <c r="X175" s="345" t="str">
        <f>IFERROR(IF(E175="","",VLOOKUP(W175, 'G-3 Multipliers'!$P$2:$Q$6,2,FALSE)),””)</f>
        <v/>
      </c>
      <c r="Y175" s="595" t="str">
        <f t="shared" si="17"/>
        <v/>
      </c>
      <c r="Z175" s="355"/>
      <c r="AA175" s="356"/>
      <c r="AE175" s="59" t="str">
        <f t="shared" si="13"/>
        <v/>
      </c>
    </row>
    <row r="176" spans="1:31" x14ac:dyDescent="0.25">
      <c r="A176" s="52" t="str">
        <f>IFERROR(INDEX('G-8 Condition Look up'!$I$4:$I$131,MATCH(F176,'G-8 Condition Look up'!$A$4:$A$131,0)),"")</f>
        <v/>
      </c>
      <c r="C176" s="588" t="str">
        <f>IFERROR(INDEX('G-1 All Habitats'!$AG$3:$AG$15,MATCH(D176,'G-1 All Habitats'!$AF$3:$AF$15,0)),"")</f>
        <v/>
      </c>
      <c r="D176" s="347"/>
      <c r="E176" s="366"/>
      <c r="F176" s="365" t="str">
        <f>IFERROR(INDEX('G-1 All Habitats'!$B$3:$B$130,MATCH(E176,'G-1 All Habitats'!$A$3:$A$130,0)),"")</f>
        <v/>
      </c>
      <c r="G176" s="76"/>
      <c r="H176" s="77" t="str">
        <f>IF(F176="","",VLOOKUP(F176,'G-1 All Habitats'!$B$2:$M$130,10,FALSE))</f>
        <v/>
      </c>
      <c r="I176" s="78" t="str">
        <f>IFERROR(VLOOKUP(H176,'G-1 All Habitats'!$V$3:$W$7,2,FALSE),"")</f>
        <v/>
      </c>
      <c r="J176" s="79"/>
      <c r="K176" s="78" t="str">
        <f>IFERROR(INDEX('G-8 Condition Look up'!$A$3:$H$131,MATCH(F176,'G-8 Condition Look up'!$A$3:$A$131,0),MATCH(J176,'G-8 Condition Look up'!$A$3:$H$3,0)),"")</f>
        <v/>
      </c>
      <c r="L176" s="79"/>
      <c r="M176" s="348" t="str">
        <f>IF(L176="","",IF(VLOOKUP(L176,'G-3 Multipliers'!$L$3:$N$6,2,FALSE)=0,"Spatial Data Missing",VLOOKUP(L176,'G-3 Multipliers'!$L$3:$N$6,2,FALSE)))</f>
        <v/>
      </c>
      <c r="N176" s="569" t="str">
        <f>IF(L176="","",IF(VLOOKUP(L176,'G-3 Multipliers'!$L$3:$N$6,3,FALSE)=0,"Spatial Data Missing",VLOOKUP(L176,'G-3 Multipliers'!$L$3:$N$6,3,FALSE)))</f>
        <v/>
      </c>
      <c r="O176" s="77" t="str">
        <f t="shared" si="12"/>
        <v/>
      </c>
      <c r="P176" s="94"/>
      <c r="Q176" s="94"/>
      <c r="R176" s="343" t="str">
        <f t="shared" si="14"/>
        <v/>
      </c>
      <c r="S176" s="591" t="str">
        <f t="shared" si="15"/>
        <v/>
      </c>
      <c r="T176" s="593" t="str">
        <f>IFERROR(IF(S176="Check Data","Check Data",VLOOKUP(S176,'G-4 Temporal multipliers'!$A$4:$C$37,3,FALSE)),"")</f>
        <v/>
      </c>
      <c r="U176" s="592" t="str">
        <f>IF(F176="","",VLOOKUP(F176,'G-3 Multipliers'!$A$2:$E$130,2,FALSE))</f>
        <v/>
      </c>
      <c r="V176" s="343" t="str">
        <f t="shared" si="16"/>
        <v/>
      </c>
      <c r="W176" s="343" t="str">
        <f>IF(E176="","",IF(AND(V176="Standard difficulty applied",O176&gt;P176),U176,IF(AND(V176="Low Difficulty - only applicable if all habitat created before losses",P176&gt;=O176),"Low",VLOOKUP(F176,'G-3 Multipliers'!$A$2:$E$130,4,FALSE))))</f>
        <v/>
      </c>
      <c r="X176" s="345" t="str">
        <f>IFERROR(IF(E176="","",VLOOKUP(W176, 'G-3 Multipliers'!$P$2:$Q$6,2,FALSE)),””)</f>
        <v/>
      </c>
      <c r="Y176" s="595" t="str">
        <f t="shared" si="17"/>
        <v/>
      </c>
      <c r="Z176" s="355"/>
      <c r="AA176" s="356"/>
      <c r="AE176" s="59" t="str">
        <f t="shared" si="13"/>
        <v/>
      </c>
    </row>
    <row r="177" spans="1:31" x14ac:dyDescent="0.25">
      <c r="A177" s="52" t="str">
        <f>IFERROR(INDEX('G-8 Condition Look up'!$I$4:$I$131,MATCH(F177,'G-8 Condition Look up'!$A$4:$A$131,0)),"")</f>
        <v/>
      </c>
      <c r="C177" s="588" t="str">
        <f>IFERROR(INDEX('G-1 All Habitats'!$AG$3:$AG$15,MATCH(D177,'G-1 All Habitats'!$AF$3:$AF$15,0)),"")</f>
        <v/>
      </c>
      <c r="D177" s="347"/>
      <c r="E177" s="366"/>
      <c r="F177" s="365" t="str">
        <f>IFERROR(INDEX('G-1 All Habitats'!$B$3:$B$130,MATCH(E177,'G-1 All Habitats'!$A$3:$A$130,0)),"")</f>
        <v/>
      </c>
      <c r="G177" s="76"/>
      <c r="H177" s="77" t="str">
        <f>IF(F177="","",VLOOKUP(F177,'G-1 All Habitats'!$B$2:$M$130,10,FALSE))</f>
        <v/>
      </c>
      <c r="I177" s="78" t="str">
        <f>IFERROR(VLOOKUP(H177,'G-1 All Habitats'!$V$3:$W$7,2,FALSE),"")</f>
        <v/>
      </c>
      <c r="J177" s="79"/>
      <c r="K177" s="78" t="str">
        <f>IFERROR(INDEX('G-8 Condition Look up'!$A$3:$H$131,MATCH(F177,'G-8 Condition Look up'!$A$3:$A$131,0),MATCH(J177,'G-8 Condition Look up'!$A$3:$H$3,0)),"")</f>
        <v/>
      </c>
      <c r="L177" s="79"/>
      <c r="M177" s="348" t="str">
        <f>IF(L177="","",IF(VLOOKUP(L177,'G-3 Multipliers'!$L$3:$N$6,2,FALSE)=0,"Spatial Data Missing",VLOOKUP(L177,'G-3 Multipliers'!$L$3:$N$6,2,FALSE)))</f>
        <v/>
      </c>
      <c r="N177" s="569" t="str">
        <f>IF(L177="","",IF(VLOOKUP(L177,'G-3 Multipliers'!$L$3:$N$6,3,FALSE)=0,"Spatial Data Missing",VLOOKUP(L177,'G-3 Multipliers'!$L$3:$N$6,3,FALSE)))</f>
        <v/>
      </c>
      <c r="O177" s="77" t="str">
        <f t="shared" si="12"/>
        <v/>
      </c>
      <c r="P177" s="94"/>
      <c r="Q177" s="94"/>
      <c r="R177" s="343" t="str">
        <f t="shared" si="14"/>
        <v/>
      </c>
      <c r="S177" s="591" t="str">
        <f t="shared" si="15"/>
        <v/>
      </c>
      <c r="T177" s="593" t="str">
        <f>IFERROR(IF(S177="Check Data","Check Data",VLOOKUP(S177,'G-4 Temporal multipliers'!$A$4:$C$37,3,FALSE)),"")</f>
        <v/>
      </c>
      <c r="U177" s="592" t="str">
        <f>IF(F177="","",VLOOKUP(F177,'G-3 Multipliers'!$A$2:$E$130,2,FALSE))</f>
        <v/>
      </c>
      <c r="V177" s="343" t="str">
        <f t="shared" si="16"/>
        <v/>
      </c>
      <c r="W177" s="343" t="str">
        <f>IF(E177="","",IF(AND(V177="Standard difficulty applied",O177&gt;P177),U177,IF(AND(V177="Low Difficulty - only applicable if all habitat created before losses",P177&gt;=O177),"Low",VLOOKUP(F177,'G-3 Multipliers'!$A$2:$E$130,4,FALSE))))</f>
        <v/>
      </c>
      <c r="X177" s="345" t="str">
        <f>IFERROR(IF(E177="","",VLOOKUP(W177, 'G-3 Multipliers'!$P$2:$Q$6,2,FALSE)),””)</f>
        <v/>
      </c>
      <c r="Y177" s="595" t="str">
        <f t="shared" si="17"/>
        <v/>
      </c>
      <c r="Z177" s="355"/>
      <c r="AA177" s="356"/>
      <c r="AE177" s="59" t="str">
        <f t="shared" si="13"/>
        <v/>
      </c>
    </row>
    <row r="178" spans="1:31" x14ac:dyDescent="0.25">
      <c r="A178" s="52" t="str">
        <f>IFERROR(INDEX('G-8 Condition Look up'!$I$4:$I$131,MATCH(F178,'G-8 Condition Look up'!$A$4:$A$131,0)),"")</f>
        <v/>
      </c>
      <c r="C178" s="588" t="str">
        <f>IFERROR(INDEX('G-1 All Habitats'!$AG$3:$AG$15,MATCH(D178,'G-1 All Habitats'!$AF$3:$AF$15,0)),"")</f>
        <v/>
      </c>
      <c r="D178" s="347"/>
      <c r="E178" s="366"/>
      <c r="F178" s="365" t="str">
        <f>IFERROR(INDEX('G-1 All Habitats'!$B$3:$B$130,MATCH(E178,'G-1 All Habitats'!$A$3:$A$130,0)),"")</f>
        <v/>
      </c>
      <c r="G178" s="76"/>
      <c r="H178" s="77" t="str">
        <f>IF(F178="","",VLOOKUP(F178,'G-1 All Habitats'!$B$2:$M$130,10,FALSE))</f>
        <v/>
      </c>
      <c r="I178" s="78" t="str">
        <f>IFERROR(VLOOKUP(H178,'G-1 All Habitats'!$V$3:$W$7,2,FALSE),"")</f>
        <v/>
      </c>
      <c r="J178" s="79"/>
      <c r="K178" s="78" t="str">
        <f>IFERROR(INDEX('G-8 Condition Look up'!$A$3:$H$131,MATCH(F178,'G-8 Condition Look up'!$A$3:$A$131,0),MATCH(J178,'G-8 Condition Look up'!$A$3:$H$3,0)),"")</f>
        <v/>
      </c>
      <c r="L178" s="79"/>
      <c r="M178" s="348" t="str">
        <f>IF(L178="","",IF(VLOOKUP(L178,'G-3 Multipliers'!$L$3:$N$6,2,FALSE)=0,"Spatial Data Missing",VLOOKUP(L178,'G-3 Multipliers'!$L$3:$N$6,2,FALSE)))</f>
        <v/>
      </c>
      <c r="N178" s="569" t="str">
        <f>IF(L178="","",IF(VLOOKUP(L178,'G-3 Multipliers'!$L$3:$N$6,3,FALSE)=0,"Spatial Data Missing",VLOOKUP(L178,'G-3 Multipliers'!$L$3:$N$6,3,FALSE)))</f>
        <v/>
      </c>
      <c r="O178" s="77" t="str">
        <f t="shared" si="12"/>
        <v/>
      </c>
      <c r="P178" s="94"/>
      <c r="Q178" s="94"/>
      <c r="R178" s="343" t="str">
        <f t="shared" si="14"/>
        <v/>
      </c>
      <c r="S178" s="591" t="str">
        <f t="shared" si="15"/>
        <v/>
      </c>
      <c r="T178" s="593" t="str">
        <f>IFERROR(IF(S178="Check Data","Check Data",VLOOKUP(S178,'G-4 Temporal multipliers'!$A$4:$C$37,3,FALSE)),"")</f>
        <v/>
      </c>
      <c r="U178" s="592" t="str">
        <f>IF(F178="","",VLOOKUP(F178,'G-3 Multipliers'!$A$2:$E$130,2,FALSE))</f>
        <v/>
      </c>
      <c r="V178" s="343" t="str">
        <f t="shared" si="16"/>
        <v/>
      </c>
      <c r="W178" s="343" t="str">
        <f>IF(E178="","",IF(AND(V178="Standard difficulty applied",O178&gt;P178),U178,IF(AND(V178="Low Difficulty - only applicable if all habitat created before losses",P178&gt;=O178),"Low",VLOOKUP(F178,'G-3 Multipliers'!$A$2:$E$130,4,FALSE))))</f>
        <v/>
      </c>
      <c r="X178" s="345" t="str">
        <f>IFERROR(IF(E178="","",VLOOKUP(W178, 'G-3 Multipliers'!$P$2:$Q$6,2,FALSE)),””)</f>
        <v/>
      </c>
      <c r="Y178" s="595" t="str">
        <f t="shared" si="17"/>
        <v/>
      </c>
      <c r="Z178" s="355"/>
      <c r="AA178" s="356"/>
      <c r="AE178" s="59" t="str">
        <f t="shared" si="13"/>
        <v/>
      </c>
    </row>
    <row r="179" spans="1:31" x14ac:dyDescent="0.25">
      <c r="A179" s="52" t="str">
        <f>IFERROR(INDEX('G-8 Condition Look up'!$I$4:$I$131,MATCH(F179,'G-8 Condition Look up'!$A$4:$A$131,0)),"")</f>
        <v/>
      </c>
      <c r="C179" s="588" t="str">
        <f>IFERROR(INDEX('G-1 All Habitats'!$AG$3:$AG$15,MATCH(D179,'G-1 All Habitats'!$AF$3:$AF$15,0)),"")</f>
        <v/>
      </c>
      <c r="D179" s="347"/>
      <c r="E179" s="366"/>
      <c r="F179" s="365" t="str">
        <f>IFERROR(INDEX('G-1 All Habitats'!$B$3:$B$130,MATCH(E179,'G-1 All Habitats'!$A$3:$A$130,0)),"")</f>
        <v/>
      </c>
      <c r="G179" s="76"/>
      <c r="H179" s="77" t="str">
        <f>IF(F179="","",VLOOKUP(F179,'G-1 All Habitats'!$B$2:$M$130,10,FALSE))</f>
        <v/>
      </c>
      <c r="I179" s="78" t="str">
        <f>IFERROR(VLOOKUP(H179,'G-1 All Habitats'!$V$3:$W$7,2,FALSE),"")</f>
        <v/>
      </c>
      <c r="J179" s="79"/>
      <c r="K179" s="78" t="str">
        <f>IFERROR(INDEX('G-8 Condition Look up'!$A$3:$H$131,MATCH(F179,'G-8 Condition Look up'!$A$3:$A$131,0),MATCH(J179,'G-8 Condition Look up'!$A$3:$H$3,0)),"")</f>
        <v/>
      </c>
      <c r="L179" s="79"/>
      <c r="M179" s="348" t="str">
        <f>IF(L179="","",IF(VLOOKUP(L179,'G-3 Multipliers'!$L$3:$N$6,2,FALSE)=0,"Spatial Data Missing",VLOOKUP(L179,'G-3 Multipliers'!$L$3:$N$6,2,FALSE)))</f>
        <v/>
      </c>
      <c r="N179" s="569" t="str">
        <f>IF(L179="","",IF(VLOOKUP(L179,'G-3 Multipliers'!$L$3:$N$6,3,FALSE)=0,"Spatial Data Missing",VLOOKUP(L179,'G-3 Multipliers'!$L$3:$N$6,3,FALSE)))</f>
        <v/>
      </c>
      <c r="O179" s="77" t="str">
        <f t="shared" si="12"/>
        <v/>
      </c>
      <c r="P179" s="94"/>
      <c r="Q179" s="94"/>
      <c r="R179" s="343" t="str">
        <f t="shared" si="14"/>
        <v/>
      </c>
      <c r="S179" s="591" t="str">
        <f t="shared" si="15"/>
        <v/>
      </c>
      <c r="T179" s="593" t="str">
        <f>IFERROR(IF(S179="Check Data","Check Data",VLOOKUP(S179,'G-4 Temporal multipliers'!$A$4:$C$37,3,FALSE)),"")</f>
        <v/>
      </c>
      <c r="U179" s="592" t="str">
        <f>IF(F179="","",VLOOKUP(F179,'G-3 Multipliers'!$A$2:$E$130,2,FALSE))</f>
        <v/>
      </c>
      <c r="V179" s="343" t="str">
        <f t="shared" si="16"/>
        <v/>
      </c>
      <c r="W179" s="343" t="str">
        <f>IF(E179="","",IF(AND(V179="Standard difficulty applied",O179&gt;P179),U179,IF(AND(V179="Low Difficulty - only applicable if all habitat created before losses",P179&gt;=O179),"Low",VLOOKUP(F179,'G-3 Multipliers'!$A$2:$E$130,4,FALSE))))</f>
        <v/>
      </c>
      <c r="X179" s="345" t="str">
        <f>IFERROR(IF(E179="","",VLOOKUP(W179, 'G-3 Multipliers'!$P$2:$Q$6,2,FALSE)),””)</f>
        <v/>
      </c>
      <c r="Y179" s="595" t="str">
        <f t="shared" si="17"/>
        <v/>
      </c>
      <c r="Z179" s="355"/>
      <c r="AA179" s="356"/>
      <c r="AE179" s="59" t="str">
        <f t="shared" si="13"/>
        <v/>
      </c>
    </row>
    <row r="180" spans="1:31" x14ac:dyDescent="0.25">
      <c r="A180" s="52" t="str">
        <f>IFERROR(INDEX('G-8 Condition Look up'!$I$4:$I$131,MATCH(F180,'G-8 Condition Look up'!$A$4:$A$131,0)),"")</f>
        <v/>
      </c>
      <c r="C180" s="588" t="str">
        <f>IFERROR(INDEX('G-1 All Habitats'!$AG$3:$AG$15,MATCH(D180,'G-1 All Habitats'!$AF$3:$AF$15,0)),"")</f>
        <v/>
      </c>
      <c r="D180" s="347"/>
      <c r="E180" s="366"/>
      <c r="F180" s="365" t="str">
        <f>IFERROR(INDEX('G-1 All Habitats'!$B$3:$B$130,MATCH(E180,'G-1 All Habitats'!$A$3:$A$130,0)),"")</f>
        <v/>
      </c>
      <c r="G180" s="76"/>
      <c r="H180" s="77" t="str">
        <f>IF(F180="","",VLOOKUP(F180,'G-1 All Habitats'!$B$2:$M$130,10,FALSE))</f>
        <v/>
      </c>
      <c r="I180" s="78" t="str">
        <f>IFERROR(VLOOKUP(H180,'G-1 All Habitats'!$V$3:$W$7,2,FALSE),"")</f>
        <v/>
      </c>
      <c r="J180" s="79"/>
      <c r="K180" s="78" t="str">
        <f>IFERROR(INDEX('G-8 Condition Look up'!$A$3:$H$131,MATCH(F180,'G-8 Condition Look up'!$A$3:$A$131,0),MATCH(J180,'G-8 Condition Look up'!$A$3:$H$3,0)),"")</f>
        <v/>
      </c>
      <c r="L180" s="79"/>
      <c r="M180" s="348" t="str">
        <f>IF(L180="","",IF(VLOOKUP(L180,'G-3 Multipliers'!$L$3:$N$6,2,FALSE)=0,"Spatial Data Missing",VLOOKUP(L180,'G-3 Multipliers'!$L$3:$N$6,2,FALSE)))</f>
        <v/>
      </c>
      <c r="N180" s="569" t="str">
        <f>IF(L180="","",IF(VLOOKUP(L180,'G-3 Multipliers'!$L$3:$N$6,3,FALSE)=0,"Spatial Data Missing",VLOOKUP(L180,'G-3 Multipliers'!$L$3:$N$6,3,FALSE)))</f>
        <v/>
      </c>
      <c r="O180" s="77" t="str">
        <f t="shared" si="12"/>
        <v/>
      </c>
      <c r="P180" s="94"/>
      <c r="Q180" s="94"/>
      <c r="R180" s="343" t="str">
        <f t="shared" si="14"/>
        <v/>
      </c>
      <c r="S180" s="591" t="str">
        <f t="shared" si="15"/>
        <v/>
      </c>
      <c r="T180" s="593" t="str">
        <f>IFERROR(IF(S180="Check Data","Check Data",VLOOKUP(S180,'G-4 Temporal multipliers'!$A$4:$C$37,3,FALSE)),"")</f>
        <v/>
      </c>
      <c r="U180" s="592" t="str">
        <f>IF(F180="","",VLOOKUP(F180,'G-3 Multipliers'!$A$2:$E$130,2,FALSE))</f>
        <v/>
      </c>
      <c r="V180" s="343" t="str">
        <f t="shared" si="16"/>
        <v/>
      </c>
      <c r="W180" s="343" t="str">
        <f>IF(E180="","",IF(AND(V180="Standard difficulty applied",O180&gt;P180),U180,IF(AND(V180="Low Difficulty - only applicable if all habitat created before losses",P180&gt;=O180),"Low",VLOOKUP(F180,'G-3 Multipliers'!$A$2:$E$130,4,FALSE))))</f>
        <v/>
      </c>
      <c r="X180" s="345" t="str">
        <f>IFERROR(IF(E180="","",VLOOKUP(W180, 'G-3 Multipliers'!$P$2:$Q$6,2,FALSE)),””)</f>
        <v/>
      </c>
      <c r="Y180" s="595" t="str">
        <f t="shared" si="17"/>
        <v/>
      </c>
      <c r="Z180" s="355"/>
      <c r="AA180" s="356"/>
      <c r="AE180" s="59" t="str">
        <f t="shared" si="13"/>
        <v/>
      </c>
    </row>
    <row r="181" spans="1:31" x14ac:dyDescent="0.25">
      <c r="A181" s="52" t="str">
        <f>IFERROR(INDEX('G-8 Condition Look up'!$I$4:$I$131,MATCH(F181,'G-8 Condition Look up'!$A$4:$A$131,0)),"")</f>
        <v/>
      </c>
      <c r="C181" s="588" t="str">
        <f>IFERROR(INDEX('G-1 All Habitats'!$AG$3:$AG$15,MATCH(D181,'G-1 All Habitats'!$AF$3:$AF$15,0)),"")</f>
        <v/>
      </c>
      <c r="D181" s="347"/>
      <c r="E181" s="366"/>
      <c r="F181" s="365" t="str">
        <f>IFERROR(INDEX('G-1 All Habitats'!$B$3:$B$130,MATCH(E181,'G-1 All Habitats'!$A$3:$A$130,0)),"")</f>
        <v/>
      </c>
      <c r="G181" s="76"/>
      <c r="H181" s="77" t="str">
        <f>IF(F181="","",VLOOKUP(F181,'G-1 All Habitats'!$B$2:$M$130,10,FALSE))</f>
        <v/>
      </c>
      <c r="I181" s="78" t="str">
        <f>IFERROR(VLOOKUP(H181,'G-1 All Habitats'!$V$3:$W$7,2,FALSE),"")</f>
        <v/>
      </c>
      <c r="J181" s="79"/>
      <c r="K181" s="78" t="str">
        <f>IFERROR(INDEX('G-8 Condition Look up'!$A$3:$H$131,MATCH(F181,'G-8 Condition Look up'!$A$3:$A$131,0),MATCH(J181,'G-8 Condition Look up'!$A$3:$H$3,0)),"")</f>
        <v/>
      </c>
      <c r="L181" s="79"/>
      <c r="M181" s="348" t="str">
        <f>IF(L181="","",IF(VLOOKUP(L181,'G-3 Multipliers'!$L$3:$N$6,2,FALSE)=0,"Spatial Data Missing",VLOOKUP(L181,'G-3 Multipliers'!$L$3:$N$6,2,FALSE)))</f>
        <v/>
      </c>
      <c r="N181" s="569" t="str">
        <f>IF(L181="","",IF(VLOOKUP(L181,'G-3 Multipliers'!$L$3:$N$6,3,FALSE)=0,"Spatial Data Missing",VLOOKUP(L181,'G-3 Multipliers'!$L$3:$N$6,3,FALSE)))</f>
        <v/>
      </c>
      <c r="O181" s="77" t="str">
        <f t="shared" si="12"/>
        <v/>
      </c>
      <c r="P181" s="94"/>
      <c r="Q181" s="94"/>
      <c r="R181" s="343" t="str">
        <f t="shared" si="14"/>
        <v/>
      </c>
      <c r="S181" s="591" t="str">
        <f t="shared" si="15"/>
        <v/>
      </c>
      <c r="T181" s="593" t="str">
        <f>IFERROR(IF(S181="Check Data","Check Data",VLOOKUP(S181,'G-4 Temporal multipliers'!$A$4:$C$37,3,FALSE)),"")</f>
        <v/>
      </c>
      <c r="U181" s="592" t="str">
        <f>IF(F181="","",VLOOKUP(F181,'G-3 Multipliers'!$A$2:$E$130,2,FALSE))</f>
        <v/>
      </c>
      <c r="V181" s="343" t="str">
        <f t="shared" si="16"/>
        <v/>
      </c>
      <c r="W181" s="343" t="str">
        <f>IF(E181="","",IF(AND(V181="Standard difficulty applied",O181&gt;P181),U181,IF(AND(V181="Low Difficulty - only applicable if all habitat created before losses",P181&gt;=O181),"Low",VLOOKUP(F181,'G-3 Multipliers'!$A$2:$E$130,4,FALSE))))</f>
        <v/>
      </c>
      <c r="X181" s="345" t="str">
        <f>IFERROR(IF(E181="","",VLOOKUP(W181, 'G-3 Multipliers'!$P$2:$Q$6,2,FALSE)),””)</f>
        <v/>
      </c>
      <c r="Y181" s="595" t="str">
        <f t="shared" si="17"/>
        <v/>
      </c>
      <c r="Z181" s="355"/>
      <c r="AA181" s="356"/>
      <c r="AE181" s="59" t="str">
        <f t="shared" si="13"/>
        <v/>
      </c>
    </row>
    <row r="182" spans="1:31" x14ac:dyDescent="0.25">
      <c r="A182" s="52" t="str">
        <f>IFERROR(INDEX('G-8 Condition Look up'!$I$4:$I$131,MATCH(F182,'G-8 Condition Look up'!$A$4:$A$131,0)),"")</f>
        <v/>
      </c>
      <c r="C182" s="588" t="str">
        <f>IFERROR(INDEX('G-1 All Habitats'!$AG$3:$AG$15,MATCH(D182,'G-1 All Habitats'!$AF$3:$AF$15,0)),"")</f>
        <v/>
      </c>
      <c r="D182" s="347"/>
      <c r="E182" s="366"/>
      <c r="F182" s="365" t="str">
        <f>IFERROR(INDEX('G-1 All Habitats'!$B$3:$B$130,MATCH(E182,'G-1 All Habitats'!$A$3:$A$130,0)),"")</f>
        <v/>
      </c>
      <c r="G182" s="76"/>
      <c r="H182" s="77" t="str">
        <f>IF(F182="","",VLOOKUP(F182,'G-1 All Habitats'!$B$2:$M$130,10,FALSE))</f>
        <v/>
      </c>
      <c r="I182" s="78" t="str">
        <f>IFERROR(VLOOKUP(H182,'G-1 All Habitats'!$V$3:$W$7,2,FALSE),"")</f>
        <v/>
      </c>
      <c r="J182" s="79"/>
      <c r="K182" s="78" t="str">
        <f>IFERROR(INDEX('G-8 Condition Look up'!$A$3:$H$131,MATCH(F182,'G-8 Condition Look up'!$A$3:$A$131,0),MATCH(J182,'G-8 Condition Look up'!$A$3:$H$3,0)),"")</f>
        <v/>
      </c>
      <c r="L182" s="79"/>
      <c r="M182" s="348" t="str">
        <f>IF(L182="","",IF(VLOOKUP(L182,'G-3 Multipliers'!$L$3:$N$6,2,FALSE)=0,"Spatial Data Missing",VLOOKUP(L182,'G-3 Multipliers'!$L$3:$N$6,2,FALSE)))</f>
        <v/>
      </c>
      <c r="N182" s="569" t="str">
        <f>IF(L182="","",IF(VLOOKUP(L182,'G-3 Multipliers'!$L$3:$N$6,3,FALSE)=0,"Spatial Data Missing",VLOOKUP(L182,'G-3 Multipliers'!$L$3:$N$6,3,FALSE)))</f>
        <v/>
      </c>
      <c r="O182" s="77" t="str">
        <f t="shared" si="12"/>
        <v/>
      </c>
      <c r="P182" s="94"/>
      <c r="Q182" s="94"/>
      <c r="R182" s="343" t="str">
        <f t="shared" si="14"/>
        <v/>
      </c>
      <c r="S182" s="591" t="str">
        <f t="shared" si="15"/>
        <v/>
      </c>
      <c r="T182" s="593" t="str">
        <f>IFERROR(IF(S182="Check Data","Check Data",VLOOKUP(S182,'G-4 Temporal multipliers'!$A$4:$C$37,3,FALSE)),"")</f>
        <v/>
      </c>
      <c r="U182" s="592" t="str">
        <f>IF(F182="","",VLOOKUP(F182,'G-3 Multipliers'!$A$2:$E$130,2,FALSE))</f>
        <v/>
      </c>
      <c r="V182" s="343" t="str">
        <f t="shared" si="16"/>
        <v/>
      </c>
      <c r="W182" s="343" t="str">
        <f>IF(E182="","",IF(AND(V182="Standard difficulty applied",O182&gt;P182),U182,IF(AND(V182="Low Difficulty - only applicable if all habitat created before losses",P182&gt;=O182),"Low",VLOOKUP(F182,'G-3 Multipliers'!$A$2:$E$130,4,FALSE))))</f>
        <v/>
      </c>
      <c r="X182" s="345" t="str">
        <f>IFERROR(IF(E182="","",VLOOKUP(W182, 'G-3 Multipliers'!$P$2:$Q$6,2,FALSE)),””)</f>
        <v/>
      </c>
      <c r="Y182" s="595" t="str">
        <f t="shared" si="17"/>
        <v/>
      </c>
      <c r="Z182" s="355"/>
      <c r="AA182" s="356"/>
      <c r="AE182" s="59" t="str">
        <f t="shared" si="13"/>
        <v/>
      </c>
    </row>
    <row r="183" spans="1:31" x14ac:dyDescent="0.25">
      <c r="A183" s="52" t="str">
        <f>IFERROR(INDEX('G-8 Condition Look up'!$I$4:$I$131,MATCH(F183,'G-8 Condition Look up'!$A$4:$A$131,0)),"")</f>
        <v/>
      </c>
      <c r="C183" s="588" t="str">
        <f>IFERROR(INDEX('G-1 All Habitats'!$AG$3:$AG$15,MATCH(D183,'G-1 All Habitats'!$AF$3:$AF$15,0)),"")</f>
        <v/>
      </c>
      <c r="D183" s="347"/>
      <c r="E183" s="366"/>
      <c r="F183" s="365" t="str">
        <f>IFERROR(INDEX('G-1 All Habitats'!$B$3:$B$130,MATCH(E183,'G-1 All Habitats'!$A$3:$A$130,0)),"")</f>
        <v/>
      </c>
      <c r="G183" s="76"/>
      <c r="H183" s="77" t="str">
        <f>IF(F183="","",VLOOKUP(F183,'G-1 All Habitats'!$B$2:$M$130,10,FALSE))</f>
        <v/>
      </c>
      <c r="I183" s="78" t="str">
        <f>IFERROR(VLOOKUP(H183,'G-1 All Habitats'!$V$3:$W$7,2,FALSE),"")</f>
        <v/>
      </c>
      <c r="J183" s="79"/>
      <c r="K183" s="78" t="str">
        <f>IFERROR(INDEX('G-8 Condition Look up'!$A$3:$H$131,MATCH(F183,'G-8 Condition Look up'!$A$3:$A$131,0),MATCH(J183,'G-8 Condition Look up'!$A$3:$H$3,0)),"")</f>
        <v/>
      </c>
      <c r="L183" s="79"/>
      <c r="M183" s="348" t="str">
        <f>IF(L183="","",IF(VLOOKUP(L183,'G-3 Multipliers'!$L$3:$N$6,2,FALSE)=0,"Spatial Data Missing",VLOOKUP(L183,'G-3 Multipliers'!$L$3:$N$6,2,FALSE)))</f>
        <v/>
      </c>
      <c r="N183" s="569" t="str">
        <f>IF(L183="","",IF(VLOOKUP(L183,'G-3 Multipliers'!$L$3:$N$6,3,FALSE)=0,"Spatial Data Missing",VLOOKUP(L183,'G-3 Multipliers'!$L$3:$N$6,3,FALSE)))</f>
        <v/>
      </c>
      <c r="O183" s="77" t="str">
        <f t="shared" si="12"/>
        <v/>
      </c>
      <c r="P183" s="94"/>
      <c r="Q183" s="94"/>
      <c r="R183" s="343" t="str">
        <f t="shared" si="14"/>
        <v/>
      </c>
      <c r="S183" s="591" t="str">
        <f t="shared" si="15"/>
        <v/>
      </c>
      <c r="T183" s="593" t="str">
        <f>IFERROR(IF(S183="Check Data","Check Data",VLOOKUP(S183,'G-4 Temporal multipliers'!$A$4:$C$37,3,FALSE)),"")</f>
        <v/>
      </c>
      <c r="U183" s="592" t="str">
        <f>IF(F183="","",VLOOKUP(F183,'G-3 Multipliers'!$A$2:$E$130,2,FALSE))</f>
        <v/>
      </c>
      <c r="V183" s="343" t="str">
        <f t="shared" si="16"/>
        <v/>
      </c>
      <c r="W183" s="343" t="str">
        <f>IF(E183="","",IF(AND(V183="Standard difficulty applied",O183&gt;P183),U183,IF(AND(V183="Low Difficulty - only applicable if all habitat created before losses",P183&gt;=O183),"Low",VLOOKUP(F183,'G-3 Multipliers'!$A$2:$E$130,4,FALSE))))</f>
        <v/>
      </c>
      <c r="X183" s="345" t="str">
        <f>IFERROR(IF(E183="","",VLOOKUP(W183, 'G-3 Multipliers'!$P$2:$Q$6,2,FALSE)),””)</f>
        <v/>
      </c>
      <c r="Y183" s="595" t="str">
        <f t="shared" si="17"/>
        <v/>
      </c>
      <c r="Z183" s="355"/>
      <c r="AA183" s="356"/>
      <c r="AE183" s="59" t="str">
        <f t="shared" si="13"/>
        <v/>
      </c>
    </row>
    <row r="184" spans="1:31" x14ac:dyDescent="0.25">
      <c r="A184" s="52" t="str">
        <f>IFERROR(INDEX('G-8 Condition Look up'!$I$4:$I$131,MATCH(F184,'G-8 Condition Look up'!$A$4:$A$131,0)),"")</f>
        <v/>
      </c>
      <c r="C184" s="588" t="str">
        <f>IFERROR(INDEX('G-1 All Habitats'!$AG$3:$AG$15,MATCH(D184,'G-1 All Habitats'!$AF$3:$AF$15,0)),"")</f>
        <v/>
      </c>
      <c r="D184" s="347"/>
      <c r="E184" s="366"/>
      <c r="F184" s="365" t="str">
        <f>IFERROR(INDEX('G-1 All Habitats'!$B$3:$B$130,MATCH(E184,'G-1 All Habitats'!$A$3:$A$130,0)),"")</f>
        <v/>
      </c>
      <c r="G184" s="76"/>
      <c r="H184" s="77" t="str">
        <f>IF(F184="","",VLOOKUP(F184,'G-1 All Habitats'!$B$2:$M$130,10,FALSE))</f>
        <v/>
      </c>
      <c r="I184" s="78" t="str">
        <f>IFERROR(VLOOKUP(H184,'G-1 All Habitats'!$V$3:$W$7,2,FALSE),"")</f>
        <v/>
      </c>
      <c r="J184" s="79"/>
      <c r="K184" s="78" t="str">
        <f>IFERROR(INDEX('G-8 Condition Look up'!$A$3:$H$131,MATCH(F184,'G-8 Condition Look up'!$A$3:$A$131,0),MATCH(J184,'G-8 Condition Look up'!$A$3:$H$3,0)),"")</f>
        <v/>
      </c>
      <c r="L184" s="79"/>
      <c r="M184" s="348" t="str">
        <f>IF(L184="","",IF(VLOOKUP(L184,'G-3 Multipliers'!$L$3:$N$6,2,FALSE)=0,"Spatial Data Missing",VLOOKUP(L184,'G-3 Multipliers'!$L$3:$N$6,2,FALSE)))</f>
        <v/>
      </c>
      <c r="N184" s="569" t="str">
        <f>IF(L184="","",IF(VLOOKUP(L184,'G-3 Multipliers'!$L$3:$N$6,3,FALSE)=0,"Spatial Data Missing",VLOOKUP(L184,'G-3 Multipliers'!$L$3:$N$6,3,FALSE)))</f>
        <v/>
      </c>
      <c r="O184" s="77" t="str">
        <f t="shared" si="12"/>
        <v/>
      </c>
      <c r="P184" s="94"/>
      <c r="Q184" s="94"/>
      <c r="R184" s="343" t="str">
        <f t="shared" si="14"/>
        <v/>
      </c>
      <c r="S184" s="591" t="str">
        <f t="shared" si="15"/>
        <v/>
      </c>
      <c r="T184" s="593" t="str">
        <f>IFERROR(IF(S184="Check Data","Check Data",VLOOKUP(S184,'G-4 Temporal multipliers'!$A$4:$C$37,3,FALSE)),"")</f>
        <v/>
      </c>
      <c r="U184" s="592" t="str">
        <f>IF(F184="","",VLOOKUP(F184,'G-3 Multipliers'!$A$2:$E$130,2,FALSE))</f>
        <v/>
      </c>
      <c r="V184" s="343" t="str">
        <f t="shared" si="16"/>
        <v/>
      </c>
      <c r="W184" s="343" t="str">
        <f>IF(E184="","",IF(AND(V184="Standard difficulty applied",O184&gt;P184),U184,IF(AND(V184="Low Difficulty - only applicable if all habitat created before losses",P184&gt;=O184),"Low",VLOOKUP(F184,'G-3 Multipliers'!$A$2:$E$130,4,FALSE))))</f>
        <v/>
      </c>
      <c r="X184" s="345" t="str">
        <f>IFERROR(IF(E184="","",VLOOKUP(W184, 'G-3 Multipliers'!$P$2:$Q$6,2,FALSE)),””)</f>
        <v/>
      </c>
      <c r="Y184" s="595" t="str">
        <f t="shared" si="17"/>
        <v/>
      </c>
      <c r="Z184" s="355"/>
      <c r="AA184" s="356"/>
      <c r="AE184" s="59" t="str">
        <f t="shared" si="13"/>
        <v/>
      </c>
    </row>
    <row r="185" spans="1:31" x14ac:dyDescent="0.25">
      <c r="A185" s="52" t="str">
        <f>IFERROR(INDEX('G-8 Condition Look up'!$I$4:$I$131,MATCH(F185,'G-8 Condition Look up'!$A$4:$A$131,0)),"")</f>
        <v/>
      </c>
      <c r="C185" s="588" t="str">
        <f>IFERROR(INDEX('G-1 All Habitats'!$AG$3:$AG$15,MATCH(D185,'G-1 All Habitats'!$AF$3:$AF$15,0)),"")</f>
        <v/>
      </c>
      <c r="D185" s="347"/>
      <c r="E185" s="366"/>
      <c r="F185" s="365" t="str">
        <f>IFERROR(INDEX('G-1 All Habitats'!$B$3:$B$130,MATCH(E185,'G-1 All Habitats'!$A$3:$A$130,0)),"")</f>
        <v/>
      </c>
      <c r="G185" s="76"/>
      <c r="H185" s="77" t="str">
        <f>IF(F185="","",VLOOKUP(F185,'G-1 All Habitats'!$B$2:$M$130,10,FALSE))</f>
        <v/>
      </c>
      <c r="I185" s="78" t="str">
        <f>IFERROR(VLOOKUP(H185,'G-1 All Habitats'!$V$3:$W$7,2,FALSE),"")</f>
        <v/>
      </c>
      <c r="J185" s="79"/>
      <c r="K185" s="78" t="str">
        <f>IFERROR(INDEX('G-8 Condition Look up'!$A$3:$H$131,MATCH(F185,'G-8 Condition Look up'!$A$3:$A$131,0),MATCH(J185,'G-8 Condition Look up'!$A$3:$H$3,0)),"")</f>
        <v/>
      </c>
      <c r="L185" s="79"/>
      <c r="M185" s="348" t="str">
        <f>IF(L185="","",IF(VLOOKUP(L185,'G-3 Multipliers'!$L$3:$N$6,2,FALSE)=0,"Spatial Data Missing",VLOOKUP(L185,'G-3 Multipliers'!$L$3:$N$6,2,FALSE)))</f>
        <v/>
      </c>
      <c r="N185" s="569" t="str">
        <f>IF(L185="","",IF(VLOOKUP(L185,'G-3 Multipliers'!$L$3:$N$6,3,FALSE)=0,"Spatial Data Missing",VLOOKUP(L185,'G-3 Multipliers'!$L$3:$N$6,3,FALSE)))</f>
        <v/>
      </c>
      <c r="O185" s="77" t="str">
        <f t="shared" si="12"/>
        <v/>
      </c>
      <c r="P185" s="94"/>
      <c r="Q185" s="94"/>
      <c r="R185" s="343" t="str">
        <f t="shared" si="14"/>
        <v/>
      </c>
      <c r="S185" s="591" t="str">
        <f t="shared" si="15"/>
        <v/>
      </c>
      <c r="T185" s="593" t="str">
        <f>IFERROR(IF(S185="Check Data","Check Data",VLOOKUP(S185,'G-4 Temporal multipliers'!$A$4:$C$37,3,FALSE)),"")</f>
        <v/>
      </c>
      <c r="U185" s="592" t="str">
        <f>IF(F185="","",VLOOKUP(F185,'G-3 Multipliers'!$A$2:$E$130,2,FALSE))</f>
        <v/>
      </c>
      <c r="V185" s="343" t="str">
        <f t="shared" si="16"/>
        <v/>
      </c>
      <c r="W185" s="343" t="str">
        <f>IF(E185="","",IF(AND(V185="Standard difficulty applied",O185&gt;P185),U185,IF(AND(V185="Low Difficulty - only applicable if all habitat created before losses",P185&gt;=O185),"Low",VLOOKUP(F185,'G-3 Multipliers'!$A$2:$E$130,4,FALSE))))</f>
        <v/>
      </c>
      <c r="X185" s="345" t="str">
        <f>IFERROR(IF(E185="","",VLOOKUP(W185, 'G-3 Multipliers'!$P$2:$Q$6,2,FALSE)),””)</f>
        <v/>
      </c>
      <c r="Y185" s="595" t="str">
        <f t="shared" si="17"/>
        <v/>
      </c>
      <c r="Z185" s="355"/>
      <c r="AA185" s="356"/>
      <c r="AE185" s="59" t="str">
        <f t="shared" si="13"/>
        <v/>
      </c>
    </row>
    <row r="186" spans="1:31" x14ac:dyDescent="0.25">
      <c r="A186" s="52" t="str">
        <f>IFERROR(INDEX('G-8 Condition Look up'!$I$4:$I$131,MATCH(F186,'G-8 Condition Look up'!$A$4:$A$131,0)),"")</f>
        <v/>
      </c>
      <c r="C186" s="588" t="str">
        <f>IFERROR(INDEX('G-1 All Habitats'!$AG$3:$AG$15,MATCH(D186,'G-1 All Habitats'!$AF$3:$AF$15,0)),"")</f>
        <v/>
      </c>
      <c r="D186" s="347"/>
      <c r="E186" s="366"/>
      <c r="F186" s="365" t="str">
        <f>IFERROR(INDEX('G-1 All Habitats'!$B$3:$B$130,MATCH(E186,'G-1 All Habitats'!$A$3:$A$130,0)),"")</f>
        <v/>
      </c>
      <c r="G186" s="76"/>
      <c r="H186" s="77" t="str">
        <f>IF(F186="","",VLOOKUP(F186,'G-1 All Habitats'!$B$2:$M$130,10,FALSE))</f>
        <v/>
      </c>
      <c r="I186" s="78" t="str">
        <f>IFERROR(VLOOKUP(H186,'G-1 All Habitats'!$V$3:$W$7,2,FALSE),"")</f>
        <v/>
      </c>
      <c r="J186" s="79"/>
      <c r="K186" s="78" t="str">
        <f>IFERROR(INDEX('G-8 Condition Look up'!$A$3:$H$131,MATCH(F186,'G-8 Condition Look up'!$A$3:$A$131,0),MATCH(J186,'G-8 Condition Look up'!$A$3:$H$3,0)),"")</f>
        <v/>
      </c>
      <c r="L186" s="79"/>
      <c r="M186" s="348" t="str">
        <f>IF(L186="","",IF(VLOOKUP(L186,'G-3 Multipliers'!$L$3:$N$6,2,FALSE)=0,"Spatial Data Missing",VLOOKUP(L186,'G-3 Multipliers'!$L$3:$N$6,2,FALSE)))</f>
        <v/>
      </c>
      <c r="N186" s="569" t="str">
        <f>IF(L186="","",IF(VLOOKUP(L186,'G-3 Multipliers'!$L$3:$N$6,3,FALSE)=0,"Spatial Data Missing",VLOOKUP(L186,'G-3 Multipliers'!$L$3:$N$6,3,FALSE)))</f>
        <v/>
      </c>
      <c r="O186" s="77" t="str">
        <f t="shared" si="12"/>
        <v/>
      </c>
      <c r="P186" s="94"/>
      <c r="Q186" s="94"/>
      <c r="R186" s="343" t="str">
        <f t="shared" si="14"/>
        <v/>
      </c>
      <c r="S186" s="591" t="str">
        <f t="shared" si="15"/>
        <v/>
      </c>
      <c r="T186" s="593" t="str">
        <f>IFERROR(IF(S186="Check Data","Check Data",VLOOKUP(S186,'G-4 Temporal multipliers'!$A$4:$C$37,3,FALSE)),"")</f>
        <v/>
      </c>
      <c r="U186" s="592" t="str">
        <f>IF(F186="","",VLOOKUP(F186,'G-3 Multipliers'!$A$2:$E$130,2,FALSE))</f>
        <v/>
      </c>
      <c r="V186" s="343" t="str">
        <f t="shared" si="16"/>
        <v/>
      </c>
      <c r="W186" s="343" t="str">
        <f>IF(E186="","",IF(AND(V186="Standard difficulty applied",O186&gt;P186),U186,IF(AND(V186="Low Difficulty - only applicable if all habitat created before losses",P186&gt;=O186),"Low",VLOOKUP(F186,'G-3 Multipliers'!$A$2:$E$130,4,FALSE))))</f>
        <v/>
      </c>
      <c r="X186" s="345" t="str">
        <f>IFERROR(IF(E186="","",VLOOKUP(W186, 'G-3 Multipliers'!$P$2:$Q$6,2,FALSE)),””)</f>
        <v/>
      </c>
      <c r="Y186" s="595" t="str">
        <f t="shared" si="17"/>
        <v/>
      </c>
      <c r="Z186" s="355"/>
      <c r="AA186" s="356"/>
      <c r="AE186" s="59" t="str">
        <f t="shared" si="13"/>
        <v/>
      </c>
    </row>
    <row r="187" spans="1:31" x14ac:dyDescent="0.25">
      <c r="A187" s="52" t="str">
        <f>IFERROR(INDEX('G-8 Condition Look up'!$I$4:$I$131,MATCH(F187,'G-8 Condition Look up'!$A$4:$A$131,0)),"")</f>
        <v/>
      </c>
      <c r="C187" s="588" t="str">
        <f>IFERROR(INDEX('G-1 All Habitats'!$AG$3:$AG$15,MATCH(D187,'G-1 All Habitats'!$AF$3:$AF$15,0)),"")</f>
        <v/>
      </c>
      <c r="D187" s="347"/>
      <c r="E187" s="366"/>
      <c r="F187" s="365" t="str">
        <f>IFERROR(INDEX('G-1 All Habitats'!$B$3:$B$130,MATCH(E187,'G-1 All Habitats'!$A$3:$A$130,0)),"")</f>
        <v/>
      </c>
      <c r="G187" s="76"/>
      <c r="H187" s="77" t="str">
        <f>IF(F187="","",VLOOKUP(F187,'G-1 All Habitats'!$B$2:$M$130,10,FALSE))</f>
        <v/>
      </c>
      <c r="I187" s="78" t="str">
        <f>IFERROR(VLOOKUP(H187,'G-1 All Habitats'!$V$3:$W$7,2,FALSE),"")</f>
        <v/>
      </c>
      <c r="J187" s="79"/>
      <c r="K187" s="78" t="str">
        <f>IFERROR(INDEX('G-8 Condition Look up'!$A$3:$H$131,MATCH(F187,'G-8 Condition Look up'!$A$3:$A$131,0),MATCH(J187,'G-8 Condition Look up'!$A$3:$H$3,0)),"")</f>
        <v/>
      </c>
      <c r="L187" s="79"/>
      <c r="M187" s="348" t="str">
        <f>IF(L187="","",IF(VLOOKUP(L187,'G-3 Multipliers'!$L$3:$N$6,2,FALSE)=0,"Spatial Data Missing",VLOOKUP(L187,'G-3 Multipliers'!$L$3:$N$6,2,FALSE)))</f>
        <v/>
      </c>
      <c r="N187" s="569" t="str">
        <f>IF(L187="","",IF(VLOOKUP(L187,'G-3 Multipliers'!$L$3:$N$6,3,FALSE)=0,"Spatial Data Missing",VLOOKUP(L187,'G-3 Multipliers'!$L$3:$N$6,3,FALSE)))</f>
        <v/>
      </c>
      <c r="O187" s="77" t="str">
        <f t="shared" si="12"/>
        <v/>
      </c>
      <c r="P187" s="94"/>
      <c r="Q187" s="94"/>
      <c r="R187" s="343" t="str">
        <f t="shared" si="14"/>
        <v/>
      </c>
      <c r="S187" s="591" t="str">
        <f t="shared" si="15"/>
        <v/>
      </c>
      <c r="T187" s="593" t="str">
        <f>IFERROR(IF(S187="Check Data","Check Data",VLOOKUP(S187,'G-4 Temporal multipliers'!$A$4:$C$37,3,FALSE)),"")</f>
        <v/>
      </c>
      <c r="U187" s="592" t="str">
        <f>IF(F187="","",VLOOKUP(F187,'G-3 Multipliers'!$A$2:$E$130,2,FALSE))</f>
        <v/>
      </c>
      <c r="V187" s="343" t="str">
        <f t="shared" si="16"/>
        <v/>
      </c>
      <c r="W187" s="343" t="str">
        <f>IF(E187="","",IF(AND(V187="Standard difficulty applied",O187&gt;P187),U187,IF(AND(V187="Low Difficulty - only applicable if all habitat created before losses",P187&gt;=O187),"Low",VLOOKUP(F187,'G-3 Multipliers'!$A$2:$E$130,4,FALSE))))</f>
        <v/>
      </c>
      <c r="X187" s="345" t="str">
        <f>IFERROR(IF(E187="","",VLOOKUP(W187, 'G-3 Multipliers'!$P$2:$Q$6,2,FALSE)),””)</f>
        <v/>
      </c>
      <c r="Y187" s="595" t="str">
        <f t="shared" si="17"/>
        <v/>
      </c>
      <c r="Z187" s="355"/>
      <c r="AA187" s="356"/>
      <c r="AE187" s="59" t="str">
        <f t="shared" si="13"/>
        <v/>
      </c>
    </row>
    <row r="188" spans="1:31" x14ac:dyDescent="0.25">
      <c r="A188" s="52" t="str">
        <f>IFERROR(INDEX('G-8 Condition Look up'!$I$4:$I$131,MATCH(F188,'G-8 Condition Look up'!$A$4:$A$131,0)),"")</f>
        <v/>
      </c>
      <c r="C188" s="588" t="str">
        <f>IFERROR(INDEX('G-1 All Habitats'!$AG$3:$AG$15,MATCH(D188,'G-1 All Habitats'!$AF$3:$AF$15,0)),"")</f>
        <v/>
      </c>
      <c r="D188" s="347"/>
      <c r="E188" s="366"/>
      <c r="F188" s="365" t="str">
        <f>IFERROR(INDEX('G-1 All Habitats'!$B$3:$B$130,MATCH(E188,'G-1 All Habitats'!$A$3:$A$130,0)),"")</f>
        <v/>
      </c>
      <c r="G188" s="76"/>
      <c r="H188" s="77" t="str">
        <f>IF(F188="","",VLOOKUP(F188,'G-1 All Habitats'!$B$2:$M$130,10,FALSE))</f>
        <v/>
      </c>
      <c r="I188" s="78" t="str">
        <f>IFERROR(VLOOKUP(H188,'G-1 All Habitats'!$V$3:$W$7,2,FALSE),"")</f>
        <v/>
      </c>
      <c r="J188" s="79"/>
      <c r="K188" s="78" t="str">
        <f>IFERROR(INDEX('G-8 Condition Look up'!$A$3:$H$131,MATCH(F188,'G-8 Condition Look up'!$A$3:$A$131,0),MATCH(J188,'G-8 Condition Look up'!$A$3:$H$3,0)),"")</f>
        <v/>
      </c>
      <c r="L188" s="79"/>
      <c r="M188" s="348" t="str">
        <f>IF(L188="","",IF(VLOOKUP(L188,'G-3 Multipliers'!$L$3:$N$6,2,FALSE)=0,"Spatial Data Missing",VLOOKUP(L188,'G-3 Multipliers'!$L$3:$N$6,2,FALSE)))</f>
        <v/>
      </c>
      <c r="N188" s="569" t="str">
        <f>IF(L188="","",IF(VLOOKUP(L188,'G-3 Multipliers'!$L$3:$N$6,3,FALSE)=0,"Spatial Data Missing",VLOOKUP(L188,'G-3 Multipliers'!$L$3:$N$6,3,FALSE)))</f>
        <v/>
      </c>
      <c r="O188" s="77" t="str">
        <f t="shared" si="12"/>
        <v/>
      </c>
      <c r="P188" s="94"/>
      <c r="Q188" s="94"/>
      <c r="R188" s="343" t="str">
        <f t="shared" si="14"/>
        <v/>
      </c>
      <c r="S188" s="591" t="str">
        <f t="shared" si="15"/>
        <v/>
      </c>
      <c r="T188" s="593" t="str">
        <f>IFERROR(IF(S188="Check Data","Check Data",VLOOKUP(S188,'G-4 Temporal multipliers'!$A$4:$C$37,3,FALSE)),"")</f>
        <v/>
      </c>
      <c r="U188" s="592" t="str">
        <f>IF(F188="","",VLOOKUP(F188,'G-3 Multipliers'!$A$2:$E$130,2,FALSE))</f>
        <v/>
      </c>
      <c r="V188" s="343" t="str">
        <f t="shared" si="16"/>
        <v/>
      </c>
      <c r="W188" s="343" t="str">
        <f>IF(E188="","",IF(AND(V188="Standard difficulty applied",O188&gt;P188),U188,IF(AND(V188="Low Difficulty - only applicable if all habitat created before losses",P188&gt;=O188),"Low",VLOOKUP(F188,'G-3 Multipliers'!$A$2:$E$130,4,FALSE))))</f>
        <v/>
      </c>
      <c r="X188" s="345" t="str">
        <f>IFERROR(IF(E188="","",VLOOKUP(W188, 'G-3 Multipliers'!$P$2:$Q$6,2,FALSE)),””)</f>
        <v/>
      </c>
      <c r="Y188" s="595" t="str">
        <f t="shared" si="17"/>
        <v/>
      </c>
      <c r="Z188" s="355"/>
      <c r="AA188" s="356"/>
      <c r="AE188" s="59" t="str">
        <f t="shared" si="13"/>
        <v/>
      </c>
    </row>
    <row r="189" spans="1:31" x14ac:dyDescent="0.25">
      <c r="A189" s="52" t="str">
        <f>IFERROR(INDEX('G-8 Condition Look up'!$I$4:$I$131,MATCH(F189,'G-8 Condition Look up'!$A$4:$A$131,0)),"")</f>
        <v/>
      </c>
      <c r="C189" s="588" t="str">
        <f>IFERROR(INDEX('G-1 All Habitats'!$AG$3:$AG$15,MATCH(D189,'G-1 All Habitats'!$AF$3:$AF$15,0)),"")</f>
        <v/>
      </c>
      <c r="D189" s="347"/>
      <c r="E189" s="366"/>
      <c r="F189" s="365" t="str">
        <f>IFERROR(INDEX('G-1 All Habitats'!$B$3:$B$130,MATCH(E189,'G-1 All Habitats'!$A$3:$A$130,0)),"")</f>
        <v/>
      </c>
      <c r="G189" s="76"/>
      <c r="H189" s="77" t="str">
        <f>IF(F189="","",VLOOKUP(F189,'G-1 All Habitats'!$B$2:$M$130,10,FALSE))</f>
        <v/>
      </c>
      <c r="I189" s="78" t="str">
        <f>IFERROR(VLOOKUP(H189,'G-1 All Habitats'!$V$3:$W$7,2,FALSE),"")</f>
        <v/>
      </c>
      <c r="J189" s="79"/>
      <c r="K189" s="78" t="str">
        <f>IFERROR(INDEX('G-8 Condition Look up'!$A$3:$H$131,MATCH(F189,'G-8 Condition Look up'!$A$3:$A$131,0),MATCH(J189,'G-8 Condition Look up'!$A$3:$H$3,0)),"")</f>
        <v/>
      </c>
      <c r="L189" s="79"/>
      <c r="M189" s="348" t="str">
        <f>IF(L189="","",IF(VLOOKUP(L189,'G-3 Multipliers'!$L$3:$N$6,2,FALSE)=0,"Spatial Data Missing",VLOOKUP(L189,'G-3 Multipliers'!$L$3:$N$6,2,FALSE)))</f>
        <v/>
      </c>
      <c r="N189" s="569" t="str">
        <f>IF(L189="","",IF(VLOOKUP(L189,'G-3 Multipliers'!$L$3:$N$6,3,FALSE)=0,"Spatial Data Missing",VLOOKUP(L189,'G-3 Multipliers'!$L$3:$N$6,3,FALSE)))</f>
        <v/>
      </c>
      <c r="O189" s="77" t="str">
        <f t="shared" si="12"/>
        <v/>
      </c>
      <c r="P189" s="94"/>
      <c r="Q189" s="94"/>
      <c r="R189" s="343" t="str">
        <f t="shared" si="14"/>
        <v/>
      </c>
      <c r="S189" s="591" t="str">
        <f t="shared" si="15"/>
        <v/>
      </c>
      <c r="T189" s="593" t="str">
        <f>IFERROR(IF(S189="Check Data","Check Data",VLOOKUP(S189,'G-4 Temporal multipliers'!$A$4:$C$37,3,FALSE)),"")</f>
        <v/>
      </c>
      <c r="U189" s="592" t="str">
        <f>IF(F189="","",VLOOKUP(F189,'G-3 Multipliers'!$A$2:$E$130,2,FALSE))</f>
        <v/>
      </c>
      <c r="V189" s="343" t="str">
        <f t="shared" si="16"/>
        <v/>
      </c>
      <c r="W189" s="343" t="str">
        <f>IF(E189="","",IF(AND(V189="Standard difficulty applied",O189&gt;P189),U189,IF(AND(V189="Low Difficulty - only applicable if all habitat created before losses",P189&gt;=O189),"Low",VLOOKUP(F189,'G-3 Multipliers'!$A$2:$E$130,4,FALSE))))</f>
        <v/>
      </c>
      <c r="X189" s="345" t="str">
        <f>IFERROR(IF(E189="","",VLOOKUP(W189, 'G-3 Multipliers'!$P$2:$Q$6,2,FALSE)),””)</f>
        <v/>
      </c>
      <c r="Y189" s="595" t="str">
        <f t="shared" si="17"/>
        <v/>
      </c>
      <c r="Z189" s="355"/>
      <c r="AA189" s="356"/>
      <c r="AE189" s="59" t="str">
        <f t="shared" si="13"/>
        <v/>
      </c>
    </row>
    <row r="190" spans="1:31" x14ac:dyDescent="0.25">
      <c r="A190" s="52" t="str">
        <f>IFERROR(INDEX('G-8 Condition Look up'!$I$4:$I$131,MATCH(F190,'G-8 Condition Look up'!$A$4:$A$131,0)),"")</f>
        <v/>
      </c>
      <c r="C190" s="588" t="str">
        <f>IFERROR(INDEX('G-1 All Habitats'!$AG$3:$AG$15,MATCH(D190,'G-1 All Habitats'!$AF$3:$AF$15,0)),"")</f>
        <v/>
      </c>
      <c r="D190" s="347"/>
      <c r="E190" s="366"/>
      <c r="F190" s="365" t="str">
        <f>IFERROR(INDEX('G-1 All Habitats'!$B$3:$B$130,MATCH(E190,'G-1 All Habitats'!$A$3:$A$130,0)),"")</f>
        <v/>
      </c>
      <c r="G190" s="76"/>
      <c r="H190" s="77" t="str">
        <f>IF(F190="","",VLOOKUP(F190,'G-1 All Habitats'!$B$2:$M$130,10,FALSE))</f>
        <v/>
      </c>
      <c r="I190" s="78" t="str">
        <f>IFERROR(VLOOKUP(H190,'G-1 All Habitats'!$V$3:$W$7,2,FALSE),"")</f>
        <v/>
      </c>
      <c r="J190" s="79"/>
      <c r="K190" s="78" t="str">
        <f>IFERROR(INDEX('G-8 Condition Look up'!$A$3:$H$131,MATCH(F190,'G-8 Condition Look up'!$A$3:$A$131,0),MATCH(J190,'G-8 Condition Look up'!$A$3:$H$3,0)),"")</f>
        <v/>
      </c>
      <c r="L190" s="79"/>
      <c r="M190" s="348" t="str">
        <f>IF(L190="","",IF(VLOOKUP(L190,'G-3 Multipliers'!$L$3:$N$6,2,FALSE)=0,"Spatial Data Missing",VLOOKUP(L190,'G-3 Multipliers'!$L$3:$N$6,2,FALSE)))</f>
        <v/>
      </c>
      <c r="N190" s="569" t="str">
        <f>IF(L190="","",IF(VLOOKUP(L190,'G-3 Multipliers'!$L$3:$N$6,3,FALSE)=0,"Spatial Data Missing",VLOOKUP(L190,'G-3 Multipliers'!$L$3:$N$6,3,FALSE)))</f>
        <v/>
      </c>
      <c r="O190" s="77" t="str">
        <f t="shared" si="12"/>
        <v/>
      </c>
      <c r="P190" s="94"/>
      <c r="Q190" s="94"/>
      <c r="R190" s="343" t="str">
        <f t="shared" si="14"/>
        <v/>
      </c>
      <c r="S190" s="591" t="str">
        <f t="shared" si="15"/>
        <v/>
      </c>
      <c r="T190" s="593" t="str">
        <f>IFERROR(IF(S190="Check Data","Check Data",VLOOKUP(S190,'G-4 Temporal multipliers'!$A$4:$C$37,3,FALSE)),"")</f>
        <v/>
      </c>
      <c r="U190" s="592" t="str">
        <f>IF(F190="","",VLOOKUP(F190,'G-3 Multipliers'!$A$2:$E$130,2,FALSE))</f>
        <v/>
      </c>
      <c r="V190" s="343" t="str">
        <f t="shared" si="16"/>
        <v/>
      </c>
      <c r="W190" s="343" t="str">
        <f>IF(E190="","",IF(AND(V190="Standard difficulty applied",O190&gt;P190),U190,IF(AND(V190="Low Difficulty - only applicable if all habitat created before losses",P190&gt;=O190),"Low",VLOOKUP(F190,'G-3 Multipliers'!$A$2:$E$130,4,FALSE))))</f>
        <v/>
      </c>
      <c r="X190" s="345" t="str">
        <f>IFERROR(IF(E190="","",VLOOKUP(W190, 'G-3 Multipliers'!$P$2:$Q$6,2,FALSE)),””)</f>
        <v/>
      </c>
      <c r="Y190" s="595" t="str">
        <f t="shared" si="17"/>
        <v/>
      </c>
      <c r="Z190" s="355"/>
      <c r="AA190" s="356"/>
      <c r="AE190" s="59" t="str">
        <f t="shared" si="13"/>
        <v/>
      </c>
    </row>
    <row r="191" spans="1:31" x14ac:dyDescent="0.25">
      <c r="A191" s="52" t="str">
        <f>IFERROR(INDEX('G-8 Condition Look up'!$I$4:$I$131,MATCH(F191,'G-8 Condition Look up'!$A$4:$A$131,0)),"")</f>
        <v/>
      </c>
      <c r="C191" s="588" t="str">
        <f>IFERROR(INDEX('G-1 All Habitats'!$AG$3:$AG$15,MATCH(D191,'G-1 All Habitats'!$AF$3:$AF$15,0)),"")</f>
        <v/>
      </c>
      <c r="D191" s="347"/>
      <c r="E191" s="366"/>
      <c r="F191" s="365" t="str">
        <f>IFERROR(INDEX('G-1 All Habitats'!$B$3:$B$130,MATCH(E191,'G-1 All Habitats'!$A$3:$A$130,0)),"")</f>
        <v/>
      </c>
      <c r="G191" s="76"/>
      <c r="H191" s="77" t="str">
        <f>IF(F191="","",VLOOKUP(F191,'G-1 All Habitats'!$B$2:$M$130,10,FALSE))</f>
        <v/>
      </c>
      <c r="I191" s="78" t="str">
        <f>IFERROR(VLOOKUP(H191,'G-1 All Habitats'!$V$3:$W$7,2,FALSE),"")</f>
        <v/>
      </c>
      <c r="J191" s="79"/>
      <c r="K191" s="78" t="str">
        <f>IFERROR(INDEX('G-8 Condition Look up'!$A$3:$H$131,MATCH(F191,'G-8 Condition Look up'!$A$3:$A$131,0),MATCH(J191,'G-8 Condition Look up'!$A$3:$H$3,0)),"")</f>
        <v/>
      </c>
      <c r="L191" s="79"/>
      <c r="M191" s="348" t="str">
        <f>IF(L191="","",IF(VLOOKUP(L191,'G-3 Multipliers'!$L$3:$N$6,2,FALSE)=0,"Spatial Data Missing",VLOOKUP(L191,'G-3 Multipliers'!$L$3:$N$6,2,FALSE)))</f>
        <v/>
      </c>
      <c r="N191" s="569" t="str">
        <f>IF(L191="","",IF(VLOOKUP(L191,'G-3 Multipliers'!$L$3:$N$6,3,FALSE)=0,"Spatial Data Missing",VLOOKUP(L191,'G-3 Multipliers'!$L$3:$N$6,3,FALSE)))</f>
        <v/>
      </c>
      <c r="O191" s="77" t="str">
        <f t="shared" si="12"/>
        <v/>
      </c>
      <c r="P191" s="94"/>
      <c r="Q191" s="94"/>
      <c r="R191" s="343" t="str">
        <f t="shared" si="14"/>
        <v/>
      </c>
      <c r="S191" s="591" t="str">
        <f t="shared" si="15"/>
        <v/>
      </c>
      <c r="T191" s="593" t="str">
        <f>IFERROR(IF(S191="Check Data","Check Data",VLOOKUP(S191,'G-4 Temporal multipliers'!$A$4:$C$37,3,FALSE)),"")</f>
        <v/>
      </c>
      <c r="U191" s="592" t="str">
        <f>IF(F191="","",VLOOKUP(F191,'G-3 Multipliers'!$A$2:$E$130,2,FALSE))</f>
        <v/>
      </c>
      <c r="V191" s="343" t="str">
        <f t="shared" si="16"/>
        <v/>
      </c>
      <c r="W191" s="343" t="str">
        <f>IF(E191="","",IF(AND(V191="Standard difficulty applied",O191&gt;P191),U191,IF(AND(V191="Low Difficulty - only applicable if all habitat created before losses",P191&gt;=O191),"Low",VLOOKUP(F191,'G-3 Multipliers'!$A$2:$E$130,4,FALSE))))</f>
        <v/>
      </c>
      <c r="X191" s="345" t="str">
        <f>IFERROR(IF(E191="","",VLOOKUP(W191, 'G-3 Multipliers'!$P$2:$Q$6,2,FALSE)),””)</f>
        <v/>
      </c>
      <c r="Y191" s="595" t="str">
        <f t="shared" si="17"/>
        <v/>
      </c>
      <c r="Z191" s="355"/>
      <c r="AA191" s="356"/>
      <c r="AE191" s="59" t="str">
        <f t="shared" si="13"/>
        <v/>
      </c>
    </row>
    <row r="192" spans="1:31" x14ac:dyDescent="0.25">
      <c r="A192" s="52" t="str">
        <f>IFERROR(INDEX('G-8 Condition Look up'!$I$4:$I$131,MATCH(F192,'G-8 Condition Look up'!$A$4:$A$131,0)),"")</f>
        <v/>
      </c>
      <c r="C192" s="588" t="str">
        <f>IFERROR(INDEX('G-1 All Habitats'!$AG$3:$AG$15,MATCH(D192,'G-1 All Habitats'!$AF$3:$AF$15,0)),"")</f>
        <v/>
      </c>
      <c r="D192" s="347"/>
      <c r="E192" s="366"/>
      <c r="F192" s="365" t="str">
        <f>IFERROR(INDEX('G-1 All Habitats'!$B$3:$B$130,MATCH(E192,'G-1 All Habitats'!$A$3:$A$130,0)),"")</f>
        <v/>
      </c>
      <c r="G192" s="76"/>
      <c r="H192" s="77" t="str">
        <f>IF(F192="","",VLOOKUP(F192,'G-1 All Habitats'!$B$2:$M$130,10,FALSE))</f>
        <v/>
      </c>
      <c r="I192" s="78" t="str">
        <f>IFERROR(VLOOKUP(H192,'G-1 All Habitats'!$V$3:$W$7,2,FALSE),"")</f>
        <v/>
      </c>
      <c r="J192" s="79"/>
      <c r="K192" s="78" t="str">
        <f>IFERROR(INDEX('G-8 Condition Look up'!$A$3:$H$131,MATCH(F192,'G-8 Condition Look up'!$A$3:$A$131,0),MATCH(J192,'G-8 Condition Look up'!$A$3:$H$3,0)),"")</f>
        <v/>
      </c>
      <c r="L192" s="79"/>
      <c r="M192" s="348" t="str">
        <f>IF(L192="","",IF(VLOOKUP(L192,'G-3 Multipliers'!$L$3:$N$6,2,FALSE)=0,"Spatial Data Missing",VLOOKUP(L192,'G-3 Multipliers'!$L$3:$N$6,2,FALSE)))</f>
        <v/>
      </c>
      <c r="N192" s="569" t="str">
        <f>IF(L192="","",IF(VLOOKUP(L192,'G-3 Multipliers'!$L$3:$N$6,3,FALSE)=0,"Spatial Data Missing",VLOOKUP(L192,'G-3 Multipliers'!$L$3:$N$6,3,FALSE)))</f>
        <v/>
      </c>
      <c r="O192" s="77" t="str">
        <f t="shared" si="12"/>
        <v/>
      </c>
      <c r="P192" s="94"/>
      <c r="Q192" s="94"/>
      <c r="R192" s="343" t="str">
        <f t="shared" si="14"/>
        <v/>
      </c>
      <c r="S192" s="591" t="str">
        <f t="shared" si="15"/>
        <v/>
      </c>
      <c r="T192" s="593" t="str">
        <f>IFERROR(IF(S192="Check Data","Check Data",VLOOKUP(S192,'G-4 Temporal multipliers'!$A$4:$C$37,3,FALSE)),"")</f>
        <v/>
      </c>
      <c r="U192" s="592" t="str">
        <f>IF(F192="","",VLOOKUP(F192,'G-3 Multipliers'!$A$2:$E$130,2,FALSE))</f>
        <v/>
      </c>
      <c r="V192" s="343" t="str">
        <f t="shared" si="16"/>
        <v/>
      </c>
      <c r="W192" s="343" t="str">
        <f>IF(E192="","",IF(AND(V192="Standard difficulty applied",O192&gt;P192),U192,IF(AND(V192="Low Difficulty - only applicable if all habitat created before losses",P192&gt;=O192),"Low",VLOOKUP(F192,'G-3 Multipliers'!$A$2:$E$130,4,FALSE))))</f>
        <v/>
      </c>
      <c r="X192" s="345" t="str">
        <f>IFERROR(IF(E192="","",VLOOKUP(W192, 'G-3 Multipliers'!$P$2:$Q$6,2,FALSE)),””)</f>
        <v/>
      </c>
      <c r="Y192" s="595" t="str">
        <f t="shared" si="17"/>
        <v/>
      </c>
      <c r="Z192" s="355"/>
      <c r="AA192" s="356"/>
      <c r="AE192" s="59" t="str">
        <f t="shared" si="13"/>
        <v/>
      </c>
    </row>
    <row r="193" spans="1:31" x14ac:dyDescent="0.25">
      <c r="A193" s="52" t="str">
        <f>IFERROR(INDEX('G-8 Condition Look up'!$I$4:$I$131,MATCH(F193,'G-8 Condition Look up'!$A$4:$A$131,0)),"")</f>
        <v/>
      </c>
      <c r="C193" s="588" t="str">
        <f>IFERROR(INDEX('G-1 All Habitats'!$AG$3:$AG$15,MATCH(D193,'G-1 All Habitats'!$AF$3:$AF$15,0)),"")</f>
        <v/>
      </c>
      <c r="D193" s="347"/>
      <c r="E193" s="366"/>
      <c r="F193" s="365" t="str">
        <f>IFERROR(INDEX('G-1 All Habitats'!$B$3:$B$130,MATCH(E193,'G-1 All Habitats'!$A$3:$A$130,0)),"")</f>
        <v/>
      </c>
      <c r="G193" s="76"/>
      <c r="H193" s="77" t="str">
        <f>IF(F193="","",VLOOKUP(F193,'G-1 All Habitats'!$B$2:$M$130,10,FALSE))</f>
        <v/>
      </c>
      <c r="I193" s="78" t="str">
        <f>IFERROR(VLOOKUP(H193,'G-1 All Habitats'!$V$3:$W$7,2,FALSE),"")</f>
        <v/>
      </c>
      <c r="J193" s="79"/>
      <c r="K193" s="78" t="str">
        <f>IFERROR(INDEX('G-8 Condition Look up'!$A$3:$H$131,MATCH(F193,'G-8 Condition Look up'!$A$3:$A$131,0),MATCH(J193,'G-8 Condition Look up'!$A$3:$H$3,0)),"")</f>
        <v/>
      </c>
      <c r="L193" s="79"/>
      <c r="M193" s="348" t="str">
        <f>IF(L193="","",IF(VLOOKUP(L193,'G-3 Multipliers'!$L$3:$N$6,2,FALSE)=0,"Spatial Data Missing",VLOOKUP(L193,'G-3 Multipliers'!$L$3:$N$6,2,FALSE)))</f>
        <v/>
      </c>
      <c r="N193" s="569" t="str">
        <f>IF(L193="","",IF(VLOOKUP(L193,'G-3 Multipliers'!$L$3:$N$6,3,FALSE)=0,"Spatial Data Missing",VLOOKUP(L193,'G-3 Multipliers'!$L$3:$N$6,3,FALSE)))</f>
        <v/>
      </c>
      <c r="O193" s="77" t="str">
        <f t="shared" si="12"/>
        <v/>
      </c>
      <c r="P193" s="94"/>
      <c r="Q193" s="94"/>
      <c r="R193" s="343" t="str">
        <f t="shared" si="14"/>
        <v/>
      </c>
      <c r="S193" s="591" t="str">
        <f t="shared" si="15"/>
        <v/>
      </c>
      <c r="T193" s="593" t="str">
        <f>IFERROR(IF(S193="Check Data","Check Data",VLOOKUP(S193,'G-4 Temporal multipliers'!$A$4:$C$37,3,FALSE)),"")</f>
        <v/>
      </c>
      <c r="U193" s="592" t="str">
        <f>IF(F193="","",VLOOKUP(F193,'G-3 Multipliers'!$A$2:$E$130,2,FALSE))</f>
        <v/>
      </c>
      <c r="V193" s="343" t="str">
        <f t="shared" si="16"/>
        <v/>
      </c>
      <c r="W193" s="343" t="str">
        <f>IF(E193="","",IF(AND(V193="Standard difficulty applied",O193&gt;P193),U193,IF(AND(V193="Low Difficulty - only applicable if all habitat created before losses",P193&gt;=O193),"Low",VLOOKUP(F193,'G-3 Multipliers'!$A$2:$E$130,4,FALSE))))</f>
        <v/>
      </c>
      <c r="X193" s="345" t="str">
        <f>IFERROR(IF(E193="","",VLOOKUP(W193, 'G-3 Multipliers'!$P$2:$Q$6,2,FALSE)),””)</f>
        <v/>
      </c>
      <c r="Y193" s="595" t="str">
        <f t="shared" si="17"/>
        <v/>
      </c>
      <c r="Z193" s="355"/>
      <c r="AA193" s="356"/>
      <c r="AE193" s="59" t="str">
        <f t="shared" si="13"/>
        <v/>
      </c>
    </row>
    <row r="194" spans="1:31" x14ac:dyDescent="0.25">
      <c r="A194" s="52" t="str">
        <f>IFERROR(INDEX('G-8 Condition Look up'!$I$4:$I$131,MATCH(F194,'G-8 Condition Look up'!$A$4:$A$131,0)),"")</f>
        <v/>
      </c>
      <c r="C194" s="588" t="str">
        <f>IFERROR(INDEX('G-1 All Habitats'!$AG$3:$AG$15,MATCH(D194,'G-1 All Habitats'!$AF$3:$AF$15,0)),"")</f>
        <v/>
      </c>
      <c r="D194" s="347"/>
      <c r="E194" s="366"/>
      <c r="F194" s="365" t="str">
        <f>IFERROR(INDEX('G-1 All Habitats'!$B$3:$B$130,MATCH(E194,'G-1 All Habitats'!$A$3:$A$130,0)),"")</f>
        <v/>
      </c>
      <c r="G194" s="76"/>
      <c r="H194" s="77" t="str">
        <f>IF(F194="","",VLOOKUP(F194,'G-1 All Habitats'!$B$2:$M$130,10,FALSE))</f>
        <v/>
      </c>
      <c r="I194" s="78" t="str">
        <f>IFERROR(VLOOKUP(H194,'G-1 All Habitats'!$V$3:$W$7,2,FALSE),"")</f>
        <v/>
      </c>
      <c r="J194" s="79"/>
      <c r="K194" s="78" t="str">
        <f>IFERROR(INDEX('G-8 Condition Look up'!$A$3:$H$131,MATCH(F194,'G-8 Condition Look up'!$A$3:$A$131,0),MATCH(J194,'G-8 Condition Look up'!$A$3:$H$3,0)),"")</f>
        <v/>
      </c>
      <c r="L194" s="79"/>
      <c r="M194" s="348" t="str">
        <f>IF(L194="","",IF(VLOOKUP(L194,'G-3 Multipliers'!$L$3:$N$6,2,FALSE)=0,"Spatial Data Missing",VLOOKUP(L194,'G-3 Multipliers'!$L$3:$N$6,2,FALSE)))</f>
        <v/>
      </c>
      <c r="N194" s="569" t="str">
        <f>IF(L194="","",IF(VLOOKUP(L194,'G-3 Multipliers'!$L$3:$N$6,3,FALSE)=0,"Spatial Data Missing",VLOOKUP(L194,'G-3 Multipliers'!$L$3:$N$6,3,FALSE)))</f>
        <v/>
      </c>
      <c r="O194" s="77" t="str">
        <f t="shared" si="12"/>
        <v/>
      </c>
      <c r="P194" s="94"/>
      <c r="Q194" s="94"/>
      <c r="R194" s="343" t="str">
        <f t="shared" si="14"/>
        <v/>
      </c>
      <c r="S194" s="591" t="str">
        <f t="shared" si="15"/>
        <v/>
      </c>
      <c r="T194" s="593" t="str">
        <f>IFERROR(IF(S194="Check Data","Check Data",VLOOKUP(S194,'G-4 Temporal multipliers'!$A$4:$C$37,3,FALSE)),"")</f>
        <v/>
      </c>
      <c r="U194" s="592" t="str">
        <f>IF(F194="","",VLOOKUP(F194,'G-3 Multipliers'!$A$2:$E$130,2,FALSE))</f>
        <v/>
      </c>
      <c r="V194" s="343" t="str">
        <f t="shared" si="16"/>
        <v/>
      </c>
      <c r="W194" s="343" t="str">
        <f>IF(E194="","",IF(AND(V194="Standard difficulty applied",O194&gt;P194),U194,IF(AND(V194="Low Difficulty - only applicable if all habitat created before losses",P194&gt;=O194),"Low",VLOOKUP(F194,'G-3 Multipliers'!$A$2:$E$130,4,FALSE))))</f>
        <v/>
      </c>
      <c r="X194" s="345" t="str">
        <f>IFERROR(IF(E194="","",VLOOKUP(W194, 'G-3 Multipliers'!$P$2:$Q$6,2,FALSE)),””)</f>
        <v/>
      </c>
      <c r="Y194" s="595" t="str">
        <f t="shared" si="17"/>
        <v/>
      </c>
      <c r="Z194" s="355"/>
      <c r="AA194" s="356"/>
      <c r="AE194" s="59" t="str">
        <f t="shared" si="13"/>
        <v/>
      </c>
    </row>
    <row r="195" spans="1:31" x14ac:dyDescent="0.25">
      <c r="A195" s="52" t="str">
        <f>IFERROR(INDEX('G-8 Condition Look up'!$I$4:$I$131,MATCH(F195,'G-8 Condition Look up'!$A$4:$A$131,0)),"")</f>
        <v/>
      </c>
      <c r="C195" s="588" t="str">
        <f>IFERROR(INDEX('G-1 All Habitats'!$AG$3:$AG$15,MATCH(D195,'G-1 All Habitats'!$AF$3:$AF$15,0)),"")</f>
        <v/>
      </c>
      <c r="D195" s="347"/>
      <c r="E195" s="366"/>
      <c r="F195" s="365" t="str">
        <f>IFERROR(INDEX('G-1 All Habitats'!$B$3:$B$130,MATCH(E195,'G-1 All Habitats'!$A$3:$A$130,0)),"")</f>
        <v/>
      </c>
      <c r="G195" s="76"/>
      <c r="H195" s="77" t="str">
        <f>IF(F195="","",VLOOKUP(F195,'G-1 All Habitats'!$B$2:$M$130,10,FALSE))</f>
        <v/>
      </c>
      <c r="I195" s="78" t="str">
        <f>IFERROR(VLOOKUP(H195,'G-1 All Habitats'!$V$3:$W$7,2,FALSE),"")</f>
        <v/>
      </c>
      <c r="J195" s="79"/>
      <c r="K195" s="78" t="str">
        <f>IFERROR(INDEX('G-8 Condition Look up'!$A$3:$H$131,MATCH(F195,'G-8 Condition Look up'!$A$3:$A$131,0),MATCH(J195,'G-8 Condition Look up'!$A$3:$H$3,0)),"")</f>
        <v/>
      </c>
      <c r="L195" s="79"/>
      <c r="M195" s="348" t="str">
        <f>IF(L195="","",IF(VLOOKUP(L195,'G-3 Multipliers'!$L$3:$N$6,2,FALSE)=0,"Spatial Data Missing",VLOOKUP(L195,'G-3 Multipliers'!$L$3:$N$6,2,FALSE)))</f>
        <v/>
      </c>
      <c r="N195" s="569" t="str">
        <f>IF(L195="","",IF(VLOOKUP(L195,'G-3 Multipliers'!$L$3:$N$6,3,FALSE)=0,"Spatial Data Missing",VLOOKUP(L195,'G-3 Multipliers'!$L$3:$N$6,3,FALSE)))</f>
        <v/>
      </c>
      <c r="O195" s="77" t="str">
        <f t="shared" si="12"/>
        <v/>
      </c>
      <c r="P195" s="94"/>
      <c r="Q195" s="94"/>
      <c r="R195" s="343" t="str">
        <f t="shared" si="14"/>
        <v/>
      </c>
      <c r="S195" s="591" t="str">
        <f t="shared" si="15"/>
        <v/>
      </c>
      <c r="T195" s="593" t="str">
        <f>IFERROR(IF(S195="Check Data","Check Data",VLOOKUP(S195,'G-4 Temporal multipliers'!$A$4:$C$37,3,FALSE)),"")</f>
        <v/>
      </c>
      <c r="U195" s="592" t="str">
        <f>IF(F195="","",VLOOKUP(F195,'G-3 Multipliers'!$A$2:$E$130,2,FALSE))</f>
        <v/>
      </c>
      <c r="V195" s="343" t="str">
        <f t="shared" si="16"/>
        <v/>
      </c>
      <c r="W195" s="343" t="str">
        <f>IF(E195="","",IF(AND(V195="Standard difficulty applied",O195&gt;P195),U195,IF(AND(V195="Low Difficulty - only applicable if all habitat created before losses",P195&gt;=O195),"Low",VLOOKUP(F195,'G-3 Multipliers'!$A$2:$E$130,4,FALSE))))</f>
        <v/>
      </c>
      <c r="X195" s="345" t="str">
        <f>IFERROR(IF(E195="","",VLOOKUP(W195, 'G-3 Multipliers'!$P$2:$Q$6,2,FALSE)),””)</f>
        <v/>
      </c>
      <c r="Y195" s="595" t="str">
        <f t="shared" si="17"/>
        <v/>
      </c>
      <c r="Z195" s="355"/>
      <c r="AA195" s="356"/>
      <c r="AE195" s="59" t="str">
        <f t="shared" si="13"/>
        <v/>
      </c>
    </row>
    <row r="196" spans="1:31" x14ac:dyDescent="0.25">
      <c r="A196" s="52" t="str">
        <f>IFERROR(INDEX('G-8 Condition Look up'!$I$4:$I$131,MATCH(F196,'G-8 Condition Look up'!$A$4:$A$131,0)),"")</f>
        <v/>
      </c>
      <c r="C196" s="588" t="str">
        <f>IFERROR(INDEX('G-1 All Habitats'!$AG$3:$AG$15,MATCH(D196,'G-1 All Habitats'!$AF$3:$AF$15,0)),"")</f>
        <v/>
      </c>
      <c r="D196" s="347"/>
      <c r="E196" s="366"/>
      <c r="F196" s="365" t="str">
        <f>IFERROR(INDEX('G-1 All Habitats'!$B$3:$B$130,MATCH(E196,'G-1 All Habitats'!$A$3:$A$130,0)),"")</f>
        <v/>
      </c>
      <c r="G196" s="76"/>
      <c r="H196" s="77" t="str">
        <f>IF(F196="","",VLOOKUP(F196,'G-1 All Habitats'!$B$2:$M$130,10,FALSE))</f>
        <v/>
      </c>
      <c r="I196" s="78" t="str">
        <f>IFERROR(VLOOKUP(H196,'G-1 All Habitats'!$V$3:$W$7,2,FALSE),"")</f>
        <v/>
      </c>
      <c r="J196" s="79"/>
      <c r="K196" s="78" t="str">
        <f>IFERROR(INDEX('G-8 Condition Look up'!$A$3:$H$131,MATCH(F196,'G-8 Condition Look up'!$A$3:$A$131,0),MATCH(J196,'G-8 Condition Look up'!$A$3:$H$3,0)),"")</f>
        <v/>
      </c>
      <c r="L196" s="79"/>
      <c r="M196" s="348" t="str">
        <f>IF(L196="","",IF(VLOOKUP(L196,'G-3 Multipliers'!$L$3:$N$6,2,FALSE)=0,"Spatial Data Missing",VLOOKUP(L196,'G-3 Multipliers'!$L$3:$N$6,2,FALSE)))</f>
        <v/>
      </c>
      <c r="N196" s="569" t="str">
        <f>IF(L196="","",IF(VLOOKUP(L196,'G-3 Multipliers'!$L$3:$N$6,3,FALSE)=0,"Spatial Data Missing",VLOOKUP(L196,'G-3 Multipliers'!$L$3:$N$6,3,FALSE)))</f>
        <v/>
      </c>
      <c r="O196" s="77" t="str">
        <f t="shared" si="12"/>
        <v/>
      </c>
      <c r="P196" s="94"/>
      <c r="Q196" s="94"/>
      <c r="R196" s="343" t="str">
        <f t="shared" si="14"/>
        <v/>
      </c>
      <c r="S196" s="591" t="str">
        <f t="shared" si="15"/>
        <v/>
      </c>
      <c r="T196" s="593" t="str">
        <f>IFERROR(IF(S196="Check Data","Check Data",VLOOKUP(S196,'G-4 Temporal multipliers'!$A$4:$C$37,3,FALSE)),"")</f>
        <v/>
      </c>
      <c r="U196" s="592" t="str">
        <f>IF(F196="","",VLOOKUP(F196,'G-3 Multipliers'!$A$2:$E$130,2,FALSE))</f>
        <v/>
      </c>
      <c r="V196" s="343" t="str">
        <f t="shared" si="16"/>
        <v/>
      </c>
      <c r="W196" s="343" t="str">
        <f>IF(E196="","",IF(AND(V196="Standard difficulty applied",O196&gt;P196),U196,IF(AND(V196="Low Difficulty - only applicable if all habitat created before losses",P196&gt;=O196),"Low",VLOOKUP(F196,'G-3 Multipliers'!$A$2:$E$130,4,FALSE))))</f>
        <v/>
      </c>
      <c r="X196" s="345" t="str">
        <f>IFERROR(IF(E196="","",VLOOKUP(W196, 'G-3 Multipliers'!$P$2:$Q$6,2,FALSE)),””)</f>
        <v/>
      </c>
      <c r="Y196" s="595" t="str">
        <f t="shared" si="17"/>
        <v/>
      </c>
      <c r="Z196" s="355"/>
      <c r="AA196" s="356"/>
      <c r="AE196" s="59" t="str">
        <f t="shared" si="13"/>
        <v/>
      </c>
    </row>
    <row r="197" spans="1:31" x14ac:dyDescent="0.25">
      <c r="A197" s="52" t="str">
        <f>IFERROR(INDEX('G-8 Condition Look up'!$I$4:$I$131,MATCH(F197,'G-8 Condition Look up'!$A$4:$A$131,0)),"")</f>
        <v/>
      </c>
      <c r="C197" s="588" t="str">
        <f>IFERROR(INDEX('G-1 All Habitats'!$AG$3:$AG$15,MATCH(D197,'G-1 All Habitats'!$AF$3:$AF$15,0)),"")</f>
        <v/>
      </c>
      <c r="D197" s="347"/>
      <c r="E197" s="366"/>
      <c r="F197" s="365" t="str">
        <f>IFERROR(INDEX('G-1 All Habitats'!$B$3:$B$130,MATCH(E197,'G-1 All Habitats'!$A$3:$A$130,0)),"")</f>
        <v/>
      </c>
      <c r="G197" s="76"/>
      <c r="H197" s="77" t="str">
        <f>IF(F197="","",VLOOKUP(F197,'G-1 All Habitats'!$B$2:$M$130,10,FALSE))</f>
        <v/>
      </c>
      <c r="I197" s="78" t="str">
        <f>IFERROR(VLOOKUP(H197,'G-1 All Habitats'!$V$3:$W$7,2,FALSE),"")</f>
        <v/>
      </c>
      <c r="J197" s="79"/>
      <c r="K197" s="78" t="str">
        <f>IFERROR(INDEX('G-8 Condition Look up'!$A$3:$H$131,MATCH(F197,'G-8 Condition Look up'!$A$3:$A$131,0),MATCH(J197,'G-8 Condition Look up'!$A$3:$H$3,0)),"")</f>
        <v/>
      </c>
      <c r="L197" s="79"/>
      <c r="M197" s="348" t="str">
        <f>IF(L197="","",IF(VLOOKUP(L197,'G-3 Multipliers'!$L$3:$N$6,2,FALSE)=0,"Spatial Data Missing",VLOOKUP(L197,'G-3 Multipliers'!$L$3:$N$6,2,FALSE)))</f>
        <v/>
      </c>
      <c r="N197" s="569" t="str">
        <f>IF(L197="","",IF(VLOOKUP(L197,'G-3 Multipliers'!$L$3:$N$6,3,FALSE)=0,"Spatial Data Missing",VLOOKUP(L197,'G-3 Multipliers'!$L$3:$N$6,3,FALSE)))</f>
        <v/>
      </c>
      <c r="O197" s="77" t="str">
        <f t="shared" si="12"/>
        <v/>
      </c>
      <c r="P197" s="94"/>
      <c r="Q197" s="94"/>
      <c r="R197" s="343" t="str">
        <f t="shared" si="14"/>
        <v/>
      </c>
      <c r="S197" s="591" t="str">
        <f t="shared" si="15"/>
        <v/>
      </c>
      <c r="T197" s="593" t="str">
        <f>IFERROR(IF(S197="Check Data","Check Data",VLOOKUP(S197,'G-4 Temporal multipliers'!$A$4:$C$37,3,FALSE)),"")</f>
        <v/>
      </c>
      <c r="U197" s="592" t="str">
        <f>IF(F197="","",VLOOKUP(F197,'G-3 Multipliers'!$A$2:$E$130,2,FALSE))</f>
        <v/>
      </c>
      <c r="V197" s="343" t="str">
        <f t="shared" si="16"/>
        <v/>
      </c>
      <c r="W197" s="343" t="str">
        <f>IF(E197="","",IF(AND(V197="Standard difficulty applied",O197&gt;P197),U197,IF(AND(V197="Low Difficulty - only applicable if all habitat created before losses",P197&gt;=O197),"Low",VLOOKUP(F197,'G-3 Multipliers'!$A$2:$E$130,4,FALSE))))</f>
        <v/>
      </c>
      <c r="X197" s="345" t="str">
        <f>IFERROR(IF(E197="","",VLOOKUP(W197, 'G-3 Multipliers'!$P$2:$Q$6,2,FALSE)),””)</f>
        <v/>
      </c>
      <c r="Y197" s="595" t="str">
        <f t="shared" si="17"/>
        <v/>
      </c>
      <c r="Z197" s="355"/>
      <c r="AA197" s="356"/>
      <c r="AE197" s="59" t="str">
        <f t="shared" si="13"/>
        <v/>
      </c>
    </row>
    <row r="198" spans="1:31" x14ac:dyDescent="0.25">
      <c r="A198" s="52" t="str">
        <f>IFERROR(INDEX('G-8 Condition Look up'!$I$4:$I$131,MATCH(F198,'G-8 Condition Look up'!$A$4:$A$131,0)),"")</f>
        <v/>
      </c>
      <c r="C198" s="588" t="str">
        <f>IFERROR(INDEX('G-1 All Habitats'!$AG$3:$AG$15,MATCH(D198,'G-1 All Habitats'!$AF$3:$AF$15,0)),"")</f>
        <v/>
      </c>
      <c r="D198" s="347"/>
      <c r="E198" s="366"/>
      <c r="F198" s="365" t="str">
        <f>IFERROR(INDEX('G-1 All Habitats'!$B$3:$B$130,MATCH(E198,'G-1 All Habitats'!$A$3:$A$130,0)),"")</f>
        <v/>
      </c>
      <c r="G198" s="76"/>
      <c r="H198" s="77" t="str">
        <f>IF(F198="","",VLOOKUP(F198,'G-1 All Habitats'!$B$2:$M$130,10,FALSE))</f>
        <v/>
      </c>
      <c r="I198" s="78" t="str">
        <f>IFERROR(VLOOKUP(H198,'G-1 All Habitats'!$V$3:$W$7,2,FALSE),"")</f>
        <v/>
      </c>
      <c r="J198" s="79"/>
      <c r="K198" s="78" t="str">
        <f>IFERROR(INDEX('G-8 Condition Look up'!$A$3:$H$131,MATCH(F198,'G-8 Condition Look up'!$A$3:$A$131,0),MATCH(J198,'G-8 Condition Look up'!$A$3:$H$3,0)),"")</f>
        <v/>
      </c>
      <c r="L198" s="79"/>
      <c r="M198" s="348" t="str">
        <f>IF(L198="","",IF(VLOOKUP(L198,'G-3 Multipliers'!$L$3:$N$6,2,FALSE)=0,"Spatial Data Missing",VLOOKUP(L198,'G-3 Multipliers'!$L$3:$N$6,2,FALSE)))</f>
        <v/>
      </c>
      <c r="N198" s="569" t="str">
        <f>IF(L198="","",IF(VLOOKUP(L198,'G-3 Multipliers'!$L$3:$N$6,3,FALSE)=0,"Spatial Data Missing",VLOOKUP(L198,'G-3 Multipliers'!$L$3:$N$6,3,FALSE)))</f>
        <v/>
      </c>
      <c r="O198" s="77" t="str">
        <f t="shared" si="12"/>
        <v/>
      </c>
      <c r="P198" s="94"/>
      <c r="Q198" s="94"/>
      <c r="R198" s="343" t="str">
        <f t="shared" si="14"/>
        <v/>
      </c>
      <c r="S198" s="591" t="str">
        <f t="shared" si="15"/>
        <v/>
      </c>
      <c r="T198" s="593" t="str">
        <f>IFERROR(IF(S198="Check Data","Check Data",VLOOKUP(S198,'G-4 Temporal multipliers'!$A$4:$C$37,3,FALSE)),"")</f>
        <v/>
      </c>
      <c r="U198" s="592" t="str">
        <f>IF(F198="","",VLOOKUP(F198,'G-3 Multipliers'!$A$2:$E$130,2,FALSE))</f>
        <v/>
      </c>
      <c r="V198" s="343" t="str">
        <f t="shared" si="16"/>
        <v/>
      </c>
      <c r="W198" s="343" t="str">
        <f>IF(E198="","",IF(AND(V198="Standard difficulty applied",O198&gt;P198),U198,IF(AND(V198="Low Difficulty - only applicable if all habitat created before losses",P198&gt;=O198),"Low",VLOOKUP(F198,'G-3 Multipliers'!$A$2:$E$130,4,FALSE))))</f>
        <v/>
      </c>
      <c r="X198" s="345" t="str">
        <f>IFERROR(IF(E198="","",VLOOKUP(W198, 'G-3 Multipliers'!$P$2:$Q$6,2,FALSE)),””)</f>
        <v/>
      </c>
      <c r="Y198" s="595" t="str">
        <f t="shared" si="17"/>
        <v/>
      </c>
      <c r="Z198" s="355"/>
      <c r="AA198" s="356"/>
      <c r="AE198" s="59" t="str">
        <f t="shared" si="13"/>
        <v/>
      </c>
    </row>
    <row r="199" spans="1:31" x14ac:dyDescent="0.25">
      <c r="A199" s="52" t="str">
        <f>IFERROR(INDEX('G-8 Condition Look up'!$I$4:$I$131,MATCH(F199,'G-8 Condition Look up'!$A$4:$A$131,0)),"")</f>
        <v/>
      </c>
      <c r="C199" s="588" t="str">
        <f>IFERROR(INDEX('G-1 All Habitats'!$AG$3:$AG$15,MATCH(D199,'G-1 All Habitats'!$AF$3:$AF$15,0)),"")</f>
        <v/>
      </c>
      <c r="D199" s="347"/>
      <c r="E199" s="366"/>
      <c r="F199" s="365" t="str">
        <f>IFERROR(INDEX('G-1 All Habitats'!$B$3:$B$130,MATCH(E199,'G-1 All Habitats'!$A$3:$A$130,0)),"")</f>
        <v/>
      </c>
      <c r="G199" s="76"/>
      <c r="H199" s="77" t="str">
        <f>IF(F199="","",VLOOKUP(F199,'G-1 All Habitats'!$B$2:$M$130,10,FALSE))</f>
        <v/>
      </c>
      <c r="I199" s="78" t="str">
        <f>IFERROR(VLOOKUP(H199,'G-1 All Habitats'!$V$3:$W$7,2,FALSE),"")</f>
        <v/>
      </c>
      <c r="J199" s="79"/>
      <c r="K199" s="78" t="str">
        <f>IFERROR(INDEX('G-8 Condition Look up'!$A$3:$H$131,MATCH(F199,'G-8 Condition Look up'!$A$3:$A$131,0),MATCH(J199,'G-8 Condition Look up'!$A$3:$H$3,0)),"")</f>
        <v/>
      </c>
      <c r="L199" s="79"/>
      <c r="M199" s="348" t="str">
        <f>IF(L199="","",IF(VLOOKUP(L199,'G-3 Multipliers'!$L$3:$N$6,2,FALSE)=0,"Spatial Data Missing",VLOOKUP(L199,'G-3 Multipliers'!$L$3:$N$6,2,FALSE)))</f>
        <v/>
      </c>
      <c r="N199" s="569" t="str">
        <f>IF(L199="","",IF(VLOOKUP(L199,'G-3 Multipliers'!$L$3:$N$6,3,FALSE)=0,"Spatial Data Missing",VLOOKUP(L199,'G-3 Multipliers'!$L$3:$N$6,3,FALSE)))</f>
        <v/>
      </c>
      <c r="O199" s="77" t="str">
        <f t="shared" si="12"/>
        <v/>
      </c>
      <c r="P199" s="94"/>
      <c r="Q199" s="94"/>
      <c r="R199" s="343" t="str">
        <f t="shared" si="14"/>
        <v/>
      </c>
      <c r="S199" s="591" t="str">
        <f t="shared" si="15"/>
        <v/>
      </c>
      <c r="T199" s="593" t="str">
        <f>IFERROR(IF(S199="Check Data","Check Data",VLOOKUP(S199,'G-4 Temporal multipliers'!$A$4:$C$37,3,FALSE)),"")</f>
        <v/>
      </c>
      <c r="U199" s="592" t="str">
        <f>IF(F199="","",VLOOKUP(F199,'G-3 Multipliers'!$A$2:$E$130,2,FALSE))</f>
        <v/>
      </c>
      <c r="V199" s="343" t="str">
        <f t="shared" si="16"/>
        <v/>
      </c>
      <c r="W199" s="343" t="str">
        <f>IF(E199="","",IF(AND(V199="Standard difficulty applied",O199&gt;P199),U199,IF(AND(V199="Low Difficulty - only applicable if all habitat created before losses",P199&gt;=O199),"Low",VLOOKUP(F199,'G-3 Multipliers'!$A$2:$E$130,4,FALSE))))</f>
        <v/>
      </c>
      <c r="X199" s="345" t="str">
        <f>IFERROR(IF(E199="","",VLOOKUP(W199, 'G-3 Multipliers'!$P$2:$Q$6,2,FALSE)),””)</f>
        <v/>
      </c>
      <c r="Y199" s="595" t="str">
        <f t="shared" si="17"/>
        <v/>
      </c>
      <c r="Z199" s="355"/>
      <c r="AA199" s="356"/>
      <c r="AE199" s="59" t="str">
        <f t="shared" si="13"/>
        <v/>
      </c>
    </row>
    <row r="200" spans="1:31" x14ac:dyDescent="0.25">
      <c r="A200" s="52" t="str">
        <f>IFERROR(INDEX('G-8 Condition Look up'!$I$4:$I$131,MATCH(F200,'G-8 Condition Look up'!$A$4:$A$131,0)),"")</f>
        <v/>
      </c>
      <c r="C200" s="588" t="str">
        <f>IFERROR(INDEX('G-1 All Habitats'!$AG$3:$AG$15,MATCH(D200,'G-1 All Habitats'!$AF$3:$AF$15,0)),"")</f>
        <v/>
      </c>
      <c r="D200" s="347"/>
      <c r="E200" s="366"/>
      <c r="F200" s="365" t="str">
        <f>IFERROR(INDEX('G-1 All Habitats'!$B$3:$B$130,MATCH(E200,'G-1 All Habitats'!$A$3:$A$130,0)),"")</f>
        <v/>
      </c>
      <c r="G200" s="76"/>
      <c r="H200" s="77" t="str">
        <f>IF(F200="","",VLOOKUP(F200,'G-1 All Habitats'!$B$2:$M$130,10,FALSE))</f>
        <v/>
      </c>
      <c r="I200" s="78" t="str">
        <f>IFERROR(VLOOKUP(H200,'G-1 All Habitats'!$V$3:$W$7,2,FALSE),"")</f>
        <v/>
      </c>
      <c r="J200" s="79"/>
      <c r="K200" s="78" t="str">
        <f>IFERROR(INDEX('G-8 Condition Look up'!$A$3:$H$131,MATCH(F200,'G-8 Condition Look up'!$A$3:$A$131,0),MATCH(J200,'G-8 Condition Look up'!$A$3:$H$3,0)),"")</f>
        <v/>
      </c>
      <c r="L200" s="79"/>
      <c r="M200" s="348" t="str">
        <f>IF(L200="","",IF(VLOOKUP(L200,'G-3 Multipliers'!$L$3:$N$6,2,FALSE)=0,"Spatial Data Missing",VLOOKUP(L200,'G-3 Multipliers'!$L$3:$N$6,2,FALSE)))</f>
        <v/>
      </c>
      <c r="N200" s="569" t="str">
        <f>IF(L200="","",IF(VLOOKUP(L200,'G-3 Multipliers'!$L$3:$N$6,3,FALSE)=0,"Spatial Data Missing",VLOOKUP(L200,'G-3 Multipliers'!$L$3:$N$6,3,FALSE)))</f>
        <v/>
      </c>
      <c r="O200" s="77" t="str">
        <f t="shared" si="12"/>
        <v/>
      </c>
      <c r="P200" s="94"/>
      <c r="Q200" s="94"/>
      <c r="R200" s="343" t="str">
        <f t="shared" si="14"/>
        <v/>
      </c>
      <c r="S200" s="591" t="str">
        <f t="shared" si="15"/>
        <v/>
      </c>
      <c r="T200" s="593" t="str">
        <f>IFERROR(IF(S200="Check Data","Check Data",VLOOKUP(S200,'G-4 Temporal multipliers'!$A$4:$C$37,3,FALSE)),"")</f>
        <v/>
      </c>
      <c r="U200" s="592" t="str">
        <f>IF(F200="","",VLOOKUP(F200,'G-3 Multipliers'!$A$2:$E$130,2,FALSE))</f>
        <v/>
      </c>
      <c r="V200" s="343" t="str">
        <f t="shared" si="16"/>
        <v/>
      </c>
      <c r="W200" s="343" t="str">
        <f>IF(E200="","",IF(AND(V200="Standard difficulty applied",O200&gt;P200),U200,IF(AND(V200="Low Difficulty - only applicable if all habitat created before losses",P200&gt;=O200),"Low",VLOOKUP(F200,'G-3 Multipliers'!$A$2:$E$130,4,FALSE))))</f>
        <v/>
      </c>
      <c r="X200" s="345" t="str">
        <f>IFERROR(IF(E200="","",VLOOKUP(W200, 'G-3 Multipliers'!$P$2:$Q$6,2,FALSE)),””)</f>
        <v/>
      </c>
      <c r="Y200" s="595" t="str">
        <f t="shared" si="17"/>
        <v/>
      </c>
      <c r="Z200" s="355"/>
      <c r="AA200" s="356"/>
      <c r="AE200" s="59" t="str">
        <f t="shared" si="13"/>
        <v/>
      </c>
    </row>
    <row r="201" spans="1:31" x14ac:dyDescent="0.25">
      <c r="A201" s="52" t="str">
        <f>IFERROR(INDEX('G-8 Condition Look up'!$I$4:$I$131,MATCH(F201,'G-8 Condition Look up'!$A$4:$A$131,0)),"")</f>
        <v/>
      </c>
      <c r="C201" s="588" t="str">
        <f>IFERROR(INDEX('G-1 All Habitats'!$AG$3:$AG$15,MATCH(D201,'G-1 All Habitats'!$AF$3:$AF$15,0)),"")</f>
        <v/>
      </c>
      <c r="D201" s="347"/>
      <c r="E201" s="366"/>
      <c r="F201" s="365" t="str">
        <f>IFERROR(INDEX('G-1 All Habitats'!$B$3:$B$130,MATCH(E201,'G-1 All Habitats'!$A$3:$A$130,0)),"")</f>
        <v/>
      </c>
      <c r="G201" s="76"/>
      <c r="H201" s="77" t="str">
        <f>IF(F201="","",VLOOKUP(F201,'G-1 All Habitats'!$B$2:$M$130,10,FALSE))</f>
        <v/>
      </c>
      <c r="I201" s="78" t="str">
        <f>IFERROR(VLOOKUP(H201,'G-1 All Habitats'!$V$3:$W$7,2,FALSE),"")</f>
        <v/>
      </c>
      <c r="J201" s="79"/>
      <c r="K201" s="78" t="str">
        <f>IFERROR(INDEX('G-8 Condition Look up'!$A$3:$H$131,MATCH(F201,'G-8 Condition Look up'!$A$3:$A$131,0),MATCH(J201,'G-8 Condition Look up'!$A$3:$H$3,0)),"")</f>
        <v/>
      </c>
      <c r="L201" s="79"/>
      <c r="M201" s="348" t="str">
        <f>IF(L201="","",IF(VLOOKUP(L201,'G-3 Multipliers'!$L$3:$N$6,2,FALSE)=0,"Spatial Data Missing",VLOOKUP(L201,'G-3 Multipliers'!$L$3:$N$6,2,FALSE)))</f>
        <v/>
      </c>
      <c r="N201" s="569" t="str">
        <f>IF(L201="","",IF(VLOOKUP(L201,'G-3 Multipliers'!$L$3:$N$6,3,FALSE)=0,"Spatial Data Missing",VLOOKUP(L201,'G-3 Multipliers'!$L$3:$N$6,3,FALSE)))</f>
        <v/>
      </c>
      <c r="O201" s="77" t="str">
        <f t="shared" si="12"/>
        <v/>
      </c>
      <c r="P201" s="94"/>
      <c r="Q201" s="94"/>
      <c r="R201" s="343" t="str">
        <f t="shared" si="14"/>
        <v/>
      </c>
      <c r="S201" s="591" t="str">
        <f t="shared" si="15"/>
        <v/>
      </c>
      <c r="T201" s="593" t="str">
        <f>IFERROR(IF(S201="Check Data","Check Data",VLOOKUP(S201,'G-4 Temporal multipliers'!$A$4:$C$37,3,FALSE)),"")</f>
        <v/>
      </c>
      <c r="U201" s="592" t="str">
        <f>IF(F201="","",VLOOKUP(F201,'G-3 Multipliers'!$A$2:$E$130,2,FALSE))</f>
        <v/>
      </c>
      <c r="V201" s="343" t="str">
        <f t="shared" si="16"/>
        <v/>
      </c>
      <c r="W201" s="343" t="str">
        <f>IF(E201="","",IF(AND(V201="Standard difficulty applied",O201&gt;P201),U201,IF(AND(V201="Low Difficulty - only applicable if all habitat created before losses",P201&gt;=O201),"Low",VLOOKUP(F201,'G-3 Multipliers'!$A$2:$E$130,4,FALSE))))</f>
        <v/>
      </c>
      <c r="X201" s="345" t="str">
        <f>IFERROR(IF(E201="","",VLOOKUP(W201, 'G-3 Multipliers'!$P$2:$Q$6,2,FALSE)),””)</f>
        <v/>
      </c>
      <c r="Y201" s="595" t="str">
        <f t="shared" si="17"/>
        <v/>
      </c>
      <c r="Z201" s="355"/>
      <c r="AA201" s="356"/>
      <c r="AE201" s="59" t="str">
        <f t="shared" si="13"/>
        <v/>
      </c>
    </row>
    <row r="202" spans="1:31" x14ac:dyDescent="0.25">
      <c r="A202" s="52" t="str">
        <f>IFERROR(INDEX('G-8 Condition Look up'!$I$4:$I$131,MATCH(F202,'G-8 Condition Look up'!$A$4:$A$131,0)),"")</f>
        <v/>
      </c>
      <c r="C202" s="588" t="str">
        <f>IFERROR(INDEX('G-1 All Habitats'!$AG$3:$AG$15,MATCH(D202,'G-1 All Habitats'!$AF$3:$AF$15,0)),"")</f>
        <v/>
      </c>
      <c r="D202" s="347"/>
      <c r="E202" s="366"/>
      <c r="F202" s="365" t="str">
        <f>IFERROR(INDEX('G-1 All Habitats'!$B$3:$B$130,MATCH(E202,'G-1 All Habitats'!$A$3:$A$130,0)),"")</f>
        <v/>
      </c>
      <c r="G202" s="76"/>
      <c r="H202" s="77" t="str">
        <f>IF(F202="","",VLOOKUP(F202,'G-1 All Habitats'!$B$2:$M$130,10,FALSE))</f>
        <v/>
      </c>
      <c r="I202" s="78" t="str">
        <f>IFERROR(VLOOKUP(H202,'G-1 All Habitats'!$V$3:$W$7,2,FALSE),"")</f>
        <v/>
      </c>
      <c r="J202" s="79"/>
      <c r="K202" s="78" t="str">
        <f>IFERROR(INDEX('G-8 Condition Look up'!$A$3:$H$131,MATCH(F202,'G-8 Condition Look up'!$A$3:$A$131,0),MATCH(J202,'G-8 Condition Look up'!$A$3:$H$3,0)),"")</f>
        <v/>
      </c>
      <c r="L202" s="79"/>
      <c r="M202" s="348" t="str">
        <f>IF(L202="","",IF(VLOOKUP(L202,'G-3 Multipliers'!$L$3:$N$6,2,FALSE)=0,"Spatial Data Missing",VLOOKUP(L202,'G-3 Multipliers'!$L$3:$N$6,2,FALSE)))</f>
        <v/>
      </c>
      <c r="N202" s="569" t="str">
        <f>IF(L202="","",IF(VLOOKUP(L202,'G-3 Multipliers'!$L$3:$N$6,3,FALSE)=0,"Spatial Data Missing",VLOOKUP(L202,'G-3 Multipliers'!$L$3:$N$6,3,FALSE)))</f>
        <v/>
      </c>
      <c r="O202" s="77" t="str">
        <f t="shared" si="12"/>
        <v/>
      </c>
      <c r="P202" s="94"/>
      <c r="Q202" s="94"/>
      <c r="R202" s="343" t="str">
        <f t="shared" si="14"/>
        <v/>
      </c>
      <c r="S202" s="591" t="str">
        <f t="shared" si="15"/>
        <v/>
      </c>
      <c r="T202" s="593" t="str">
        <f>IFERROR(IF(S202="Check Data","Check Data",VLOOKUP(S202,'G-4 Temporal multipliers'!$A$4:$C$37,3,FALSE)),"")</f>
        <v/>
      </c>
      <c r="U202" s="592" t="str">
        <f>IF(F202="","",VLOOKUP(F202,'G-3 Multipliers'!$A$2:$E$130,2,FALSE))</f>
        <v/>
      </c>
      <c r="V202" s="343" t="str">
        <f t="shared" si="16"/>
        <v/>
      </c>
      <c r="W202" s="343" t="str">
        <f>IF(E202="","",IF(AND(V202="Standard difficulty applied",O202&gt;P202),U202,IF(AND(V202="Low Difficulty - only applicable if all habitat created before losses",P202&gt;=O202),"Low",VLOOKUP(F202,'G-3 Multipliers'!$A$2:$E$130,4,FALSE))))</f>
        <v/>
      </c>
      <c r="X202" s="345" t="str">
        <f>IFERROR(IF(E202="","",VLOOKUP(W202, 'G-3 Multipliers'!$P$2:$Q$6,2,FALSE)),””)</f>
        <v/>
      </c>
      <c r="Y202" s="595" t="str">
        <f t="shared" si="17"/>
        <v/>
      </c>
      <c r="Z202" s="355"/>
      <c r="AA202" s="356"/>
      <c r="AE202" s="59" t="str">
        <f t="shared" si="13"/>
        <v/>
      </c>
    </row>
    <row r="203" spans="1:31" x14ac:dyDescent="0.25">
      <c r="A203" s="52" t="str">
        <f>IFERROR(INDEX('G-8 Condition Look up'!$I$4:$I$131,MATCH(F203,'G-8 Condition Look up'!$A$4:$A$131,0)),"")</f>
        <v/>
      </c>
      <c r="C203" s="588" t="str">
        <f>IFERROR(INDEX('G-1 All Habitats'!$AG$3:$AG$15,MATCH(D203,'G-1 All Habitats'!$AF$3:$AF$15,0)),"")</f>
        <v/>
      </c>
      <c r="D203" s="347"/>
      <c r="E203" s="366"/>
      <c r="F203" s="365" t="str">
        <f>IFERROR(INDEX('G-1 All Habitats'!$B$3:$B$130,MATCH(E203,'G-1 All Habitats'!$A$3:$A$130,0)),"")</f>
        <v/>
      </c>
      <c r="G203" s="76"/>
      <c r="H203" s="77" t="str">
        <f>IF(F203="","",VLOOKUP(F203,'G-1 All Habitats'!$B$2:$M$130,10,FALSE))</f>
        <v/>
      </c>
      <c r="I203" s="78" t="str">
        <f>IFERROR(VLOOKUP(H203,'G-1 All Habitats'!$V$3:$W$7,2,FALSE),"")</f>
        <v/>
      </c>
      <c r="J203" s="79"/>
      <c r="K203" s="78" t="str">
        <f>IFERROR(INDEX('G-8 Condition Look up'!$A$3:$H$131,MATCH(F203,'G-8 Condition Look up'!$A$3:$A$131,0),MATCH(J203,'G-8 Condition Look up'!$A$3:$H$3,0)),"")</f>
        <v/>
      </c>
      <c r="L203" s="79"/>
      <c r="M203" s="348" t="str">
        <f>IF(L203="","",IF(VLOOKUP(L203,'G-3 Multipliers'!$L$3:$N$6,2,FALSE)=0,"Spatial Data Missing",VLOOKUP(L203,'G-3 Multipliers'!$L$3:$N$6,2,FALSE)))</f>
        <v/>
      </c>
      <c r="N203" s="569" t="str">
        <f>IF(L203="","",IF(VLOOKUP(L203,'G-3 Multipliers'!$L$3:$N$6,3,FALSE)=0,"Spatial Data Missing",VLOOKUP(L203,'G-3 Multipliers'!$L$3:$N$6,3,FALSE)))</f>
        <v/>
      </c>
      <c r="O203" s="77" t="str">
        <f t="shared" ref="O203:O256" si="18">IFERROR(INDEX(TemporalData,MATCH(F203,TemporalHabitats,0),MATCH(J203,TemporalConditions,0)),"")</f>
        <v/>
      </c>
      <c r="P203" s="94"/>
      <c r="Q203" s="94"/>
      <c r="R203" s="343" t="str">
        <f t="shared" si="14"/>
        <v/>
      </c>
      <c r="S203" s="591" t="str">
        <f t="shared" si="15"/>
        <v/>
      </c>
      <c r="T203" s="593" t="str">
        <f>IFERROR(IF(S203="Check Data","Check Data",VLOOKUP(S203,'G-4 Temporal multipliers'!$A$4:$C$37,3,FALSE)),"")</f>
        <v/>
      </c>
      <c r="U203" s="592" t="str">
        <f>IF(F203="","",VLOOKUP(F203,'G-3 Multipliers'!$A$2:$E$130,2,FALSE))</f>
        <v/>
      </c>
      <c r="V203" s="343" t="str">
        <f t="shared" si="16"/>
        <v/>
      </c>
      <c r="W203" s="343" t="str">
        <f>IF(E203="","",IF(AND(V203="Standard difficulty applied",O203&gt;P203),U203,IF(AND(V203="Low Difficulty - only applicable if all habitat created before losses",P203&gt;=O203),"Low",VLOOKUP(F203,'G-3 Multipliers'!$A$2:$E$130,4,FALSE))))</f>
        <v/>
      </c>
      <c r="X203" s="345" t="str">
        <f>IFERROR(IF(E203="","",VLOOKUP(W203, 'G-3 Multipliers'!$P$2:$Q$6,2,FALSE)),””)</f>
        <v/>
      </c>
      <c r="Y203" s="595" t="str">
        <f t="shared" si="17"/>
        <v/>
      </c>
      <c r="Z203" s="355"/>
      <c r="AA203" s="356"/>
      <c r="AE203" s="59" t="str">
        <f t="shared" ref="AE203:AE256" si="19">IFERROR(INDEX(TemporalData,MATCH(F203,TemporalHabitats,0),MATCH($AE$10,TemporalConditions,0)),"")</f>
        <v/>
      </c>
    </row>
    <row r="204" spans="1:31" x14ac:dyDescent="0.25">
      <c r="A204" s="52" t="str">
        <f>IFERROR(INDEX('G-8 Condition Look up'!$I$4:$I$131,MATCH(F204,'G-8 Condition Look up'!$A$4:$A$131,0)),"")</f>
        <v/>
      </c>
      <c r="C204" s="588" t="str">
        <f>IFERROR(INDEX('G-1 All Habitats'!$AG$3:$AG$15,MATCH(D204,'G-1 All Habitats'!$AF$3:$AF$15,0)),"")</f>
        <v/>
      </c>
      <c r="D204" s="347"/>
      <c r="E204" s="366"/>
      <c r="F204" s="365" t="str">
        <f>IFERROR(INDEX('G-1 All Habitats'!$B$3:$B$130,MATCH(E204,'G-1 All Habitats'!$A$3:$A$130,0)),"")</f>
        <v/>
      </c>
      <c r="G204" s="76"/>
      <c r="H204" s="77" t="str">
        <f>IF(F204="","",VLOOKUP(F204,'G-1 All Habitats'!$B$2:$M$130,10,FALSE))</f>
        <v/>
      </c>
      <c r="I204" s="78" t="str">
        <f>IFERROR(VLOOKUP(H204,'G-1 All Habitats'!$V$3:$W$7,2,FALSE),"")</f>
        <v/>
      </c>
      <c r="J204" s="79"/>
      <c r="K204" s="78" t="str">
        <f>IFERROR(INDEX('G-8 Condition Look up'!$A$3:$H$131,MATCH(F204,'G-8 Condition Look up'!$A$3:$A$131,0),MATCH(J204,'G-8 Condition Look up'!$A$3:$H$3,0)),"")</f>
        <v/>
      </c>
      <c r="L204" s="79"/>
      <c r="M204" s="348" t="str">
        <f>IF(L204="","",IF(VLOOKUP(L204,'G-3 Multipliers'!$L$3:$N$6,2,FALSE)=0,"Spatial Data Missing",VLOOKUP(L204,'G-3 Multipliers'!$L$3:$N$6,2,FALSE)))</f>
        <v/>
      </c>
      <c r="N204" s="569" t="str">
        <f>IF(L204="","",IF(VLOOKUP(L204,'G-3 Multipliers'!$L$3:$N$6,3,FALSE)=0,"Spatial Data Missing",VLOOKUP(L204,'G-3 Multipliers'!$L$3:$N$6,3,FALSE)))</f>
        <v/>
      </c>
      <c r="O204" s="77" t="str">
        <f t="shared" si="18"/>
        <v/>
      </c>
      <c r="P204" s="94"/>
      <c r="Q204" s="94"/>
      <c r="R204" s="343" t="str">
        <f t="shared" ref="R204:R256" si="20">IF(E204="","",IF(AND(P204&gt;0,Q204&gt;0),"Error -both advance and delayed habitat creation",IF(I204=0,"Standard time to target condition applied",IF(AND(J204="N/A -Agricultural",O204&lt;=P204),"Check details - Is there evidence habitat creation in place?",IF(AND(O204&lt;=P204,Q204=0),"Check details - Is there evidence that habitat has reached target condition?",IF(O204="","",IF(AND(P204&gt;=AE204,P204&gt;0),"Check details - Is there evidence habitat creation started and the threshold for Poor condition reached?",IF(Q204&gt;0,"Check details- Delay in starting habitat in required condition?",IF(P204&gt;0,"Check details - Is there evidence habitat creation started/in place?","Standard time to target condition applied")))))))))</f>
        <v/>
      </c>
      <c r="S204" s="591" t="str">
        <f t="shared" ref="S204:S256" si="21">IF(R204="Error -both advance and delayed habitat creation","Check Data",IF(O204="Not Possible","Check Data",IF(O204="","",IF(AND(O204="30+",P204=0),"30+",IF(AND(O204="30+",P204="30+"),0,IF(AND(O204="30+",P204&lt;32),30-P204,IF(O204="30+",30-P204,IF(P204&gt;O204,0,IF(Q204="30+","30+",IF(O204+Q204&gt;30,"30+",IF(O204+Q204&gt;30,"30+",IF(O204-P204&gt;30,"30+",IF(O204+Q204-P204&gt;0,O204+Q204-P204,IF(O204-P204&gt;0,O204-P204,O204+Q204-P204))))))))))))))</f>
        <v/>
      </c>
      <c r="T204" s="593" t="str">
        <f>IFERROR(IF(S204="Check Data","Check Data",VLOOKUP(S204,'G-4 Temporal multipliers'!$A$4:$C$37,3,FALSE)),"")</f>
        <v/>
      </c>
      <c r="U204" s="592" t="str">
        <f>IF(F204="","",VLOOKUP(F204,'G-3 Multipliers'!$A$2:$E$130,2,FALSE))</f>
        <v/>
      </c>
      <c r="V204" s="343" t="str">
        <f t="shared" ref="V204:V256" si="22">IF(F204="","",IF($R204="Check details - Is there evidence that habitat has reached target condition?","Low Difficulty - only applicable if all habitat created before losses",IF($R204="Check details - Is there evidence habitat creation started and the threshold for Poor condition reached?","Enhancement difficulty applied","Standard difficulty applied")))</f>
        <v/>
      </c>
      <c r="W204" s="343" t="str">
        <f>IF(E204="","",IF(AND(V204="Standard difficulty applied",O204&gt;P204),U204,IF(AND(V204="Low Difficulty - only applicable if all habitat created before losses",P204&gt;=O204),"Low",VLOOKUP(F204,'G-3 Multipliers'!$A$2:$E$130,4,FALSE))))</f>
        <v/>
      </c>
      <c r="X204" s="345" t="str">
        <f>IFERROR(IF(E204="","",VLOOKUP(W204, 'G-3 Multipliers'!$P$2:$Q$6,2,FALSE)),””)</f>
        <v/>
      </c>
      <c r="Y204" s="595" t="str">
        <f t="shared" ref="Y204:Y256" si="23">IFERROR(G204*I204*K204*N204*T204*X204,"")</f>
        <v/>
      </c>
      <c r="Z204" s="355"/>
      <c r="AA204" s="356"/>
      <c r="AE204" s="59" t="str">
        <f t="shared" si="19"/>
        <v/>
      </c>
    </row>
    <row r="205" spans="1:31" x14ac:dyDescent="0.25">
      <c r="A205" s="52" t="str">
        <f>IFERROR(INDEX('G-8 Condition Look up'!$I$4:$I$131,MATCH(F205,'G-8 Condition Look up'!$A$4:$A$131,0)),"")</f>
        <v/>
      </c>
      <c r="C205" s="588" t="str">
        <f>IFERROR(INDEX('G-1 All Habitats'!$AG$3:$AG$15,MATCH(D205,'G-1 All Habitats'!$AF$3:$AF$15,0)),"")</f>
        <v/>
      </c>
      <c r="D205" s="347"/>
      <c r="E205" s="366"/>
      <c r="F205" s="365" t="str">
        <f>IFERROR(INDEX('G-1 All Habitats'!$B$3:$B$130,MATCH(E205,'G-1 All Habitats'!$A$3:$A$130,0)),"")</f>
        <v/>
      </c>
      <c r="G205" s="76"/>
      <c r="H205" s="77" t="str">
        <f>IF(F205="","",VLOOKUP(F205,'G-1 All Habitats'!$B$2:$M$130,10,FALSE))</f>
        <v/>
      </c>
      <c r="I205" s="78" t="str">
        <f>IFERROR(VLOOKUP(H205,'G-1 All Habitats'!$V$3:$W$7,2,FALSE),"")</f>
        <v/>
      </c>
      <c r="J205" s="79"/>
      <c r="K205" s="78" t="str">
        <f>IFERROR(INDEX('G-8 Condition Look up'!$A$3:$H$131,MATCH(F205,'G-8 Condition Look up'!$A$3:$A$131,0),MATCH(J205,'G-8 Condition Look up'!$A$3:$H$3,0)),"")</f>
        <v/>
      </c>
      <c r="L205" s="79"/>
      <c r="M205" s="348" t="str">
        <f>IF(L205="","",IF(VLOOKUP(L205,'G-3 Multipliers'!$L$3:$N$6,2,FALSE)=0,"Spatial Data Missing",VLOOKUP(L205,'G-3 Multipliers'!$L$3:$N$6,2,FALSE)))</f>
        <v/>
      </c>
      <c r="N205" s="569" t="str">
        <f>IF(L205="","",IF(VLOOKUP(L205,'G-3 Multipliers'!$L$3:$N$6,3,FALSE)=0,"Spatial Data Missing",VLOOKUP(L205,'G-3 Multipliers'!$L$3:$N$6,3,FALSE)))</f>
        <v/>
      </c>
      <c r="O205" s="77" t="str">
        <f t="shared" si="18"/>
        <v/>
      </c>
      <c r="P205" s="94"/>
      <c r="Q205" s="94"/>
      <c r="R205" s="343" t="str">
        <f t="shared" si="20"/>
        <v/>
      </c>
      <c r="S205" s="591" t="str">
        <f t="shared" si="21"/>
        <v/>
      </c>
      <c r="T205" s="593" t="str">
        <f>IFERROR(IF(S205="Check Data","Check Data",VLOOKUP(S205,'G-4 Temporal multipliers'!$A$4:$C$37,3,FALSE)),"")</f>
        <v/>
      </c>
      <c r="U205" s="592" t="str">
        <f>IF(F205="","",VLOOKUP(F205,'G-3 Multipliers'!$A$2:$E$130,2,FALSE))</f>
        <v/>
      </c>
      <c r="V205" s="343" t="str">
        <f t="shared" si="22"/>
        <v/>
      </c>
      <c r="W205" s="343" t="str">
        <f>IF(E205="","",IF(AND(V205="Standard difficulty applied",O205&gt;P205),U205,IF(AND(V205="Low Difficulty - only applicable if all habitat created before losses",P205&gt;=O205),"Low",VLOOKUP(F205,'G-3 Multipliers'!$A$2:$E$130,4,FALSE))))</f>
        <v/>
      </c>
      <c r="X205" s="345" t="str">
        <f>IFERROR(IF(E205="","",VLOOKUP(W205, 'G-3 Multipliers'!$P$2:$Q$6,2,FALSE)),””)</f>
        <v/>
      </c>
      <c r="Y205" s="595" t="str">
        <f t="shared" si="23"/>
        <v/>
      </c>
      <c r="Z205" s="355"/>
      <c r="AA205" s="356"/>
      <c r="AE205" s="59" t="str">
        <f t="shared" si="19"/>
        <v/>
      </c>
    </row>
    <row r="206" spans="1:31" x14ac:dyDescent="0.25">
      <c r="A206" s="52" t="str">
        <f>IFERROR(INDEX('G-8 Condition Look up'!$I$4:$I$131,MATCH(F206,'G-8 Condition Look up'!$A$4:$A$131,0)),"")</f>
        <v/>
      </c>
      <c r="C206" s="588" t="str">
        <f>IFERROR(INDEX('G-1 All Habitats'!$AG$3:$AG$15,MATCH(D206,'G-1 All Habitats'!$AF$3:$AF$15,0)),"")</f>
        <v/>
      </c>
      <c r="D206" s="347"/>
      <c r="E206" s="366"/>
      <c r="F206" s="365" t="str">
        <f>IFERROR(INDEX('G-1 All Habitats'!$B$3:$B$130,MATCH(E206,'G-1 All Habitats'!$A$3:$A$130,0)),"")</f>
        <v/>
      </c>
      <c r="G206" s="76"/>
      <c r="H206" s="77" t="str">
        <f>IF(F206="","",VLOOKUP(F206,'G-1 All Habitats'!$B$2:$M$130,10,FALSE))</f>
        <v/>
      </c>
      <c r="I206" s="78" t="str">
        <f>IFERROR(VLOOKUP(H206,'G-1 All Habitats'!$V$3:$W$7,2,FALSE),"")</f>
        <v/>
      </c>
      <c r="J206" s="79"/>
      <c r="K206" s="78" t="str">
        <f>IFERROR(INDEX('G-8 Condition Look up'!$A$3:$H$131,MATCH(F206,'G-8 Condition Look up'!$A$3:$A$131,0),MATCH(J206,'G-8 Condition Look up'!$A$3:$H$3,0)),"")</f>
        <v/>
      </c>
      <c r="L206" s="79"/>
      <c r="M206" s="348" t="str">
        <f>IF(L206="","",IF(VLOOKUP(L206,'G-3 Multipliers'!$L$3:$N$6,2,FALSE)=0,"Spatial Data Missing",VLOOKUP(L206,'G-3 Multipliers'!$L$3:$N$6,2,FALSE)))</f>
        <v/>
      </c>
      <c r="N206" s="569" t="str">
        <f>IF(L206="","",IF(VLOOKUP(L206,'G-3 Multipliers'!$L$3:$N$6,3,FALSE)=0,"Spatial Data Missing",VLOOKUP(L206,'G-3 Multipliers'!$L$3:$N$6,3,FALSE)))</f>
        <v/>
      </c>
      <c r="O206" s="77" t="str">
        <f t="shared" si="18"/>
        <v/>
      </c>
      <c r="P206" s="94"/>
      <c r="Q206" s="94"/>
      <c r="R206" s="343" t="str">
        <f t="shared" si="20"/>
        <v/>
      </c>
      <c r="S206" s="591" t="str">
        <f t="shared" si="21"/>
        <v/>
      </c>
      <c r="T206" s="593" t="str">
        <f>IFERROR(IF(S206="Check Data","Check Data",VLOOKUP(S206,'G-4 Temporal multipliers'!$A$4:$C$37,3,FALSE)),"")</f>
        <v/>
      </c>
      <c r="U206" s="592" t="str">
        <f>IF(F206="","",VLOOKUP(F206,'G-3 Multipliers'!$A$2:$E$130,2,FALSE))</f>
        <v/>
      </c>
      <c r="V206" s="343" t="str">
        <f t="shared" si="22"/>
        <v/>
      </c>
      <c r="W206" s="343" t="str">
        <f>IF(E206="","",IF(AND(V206="Standard difficulty applied",O206&gt;P206),U206,IF(AND(V206="Low Difficulty - only applicable if all habitat created before losses",P206&gt;=O206),"Low",VLOOKUP(F206,'G-3 Multipliers'!$A$2:$E$130,4,FALSE))))</f>
        <v/>
      </c>
      <c r="X206" s="345" t="str">
        <f>IFERROR(IF(E206="","",VLOOKUP(W206, 'G-3 Multipliers'!$P$2:$Q$6,2,FALSE)),””)</f>
        <v/>
      </c>
      <c r="Y206" s="595" t="str">
        <f t="shared" si="23"/>
        <v/>
      </c>
      <c r="Z206" s="355"/>
      <c r="AA206" s="356"/>
      <c r="AE206" s="59" t="str">
        <f t="shared" si="19"/>
        <v/>
      </c>
    </row>
    <row r="207" spans="1:31" x14ac:dyDescent="0.25">
      <c r="A207" s="52" t="str">
        <f>IFERROR(INDEX('G-8 Condition Look up'!$I$4:$I$131,MATCH(F207,'G-8 Condition Look up'!$A$4:$A$131,0)),"")</f>
        <v/>
      </c>
      <c r="C207" s="588" t="str">
        <f>IFERROR(INDEX('G-1 All Habitats'!$AG$3:$AG$15,MATCH(D207,'G-1 All Habitats'!$AF$3:$AF$15,0)),"")</f>
        <v/>
      </c>
      <c r="D207" s="347"/>
      <c r="E207" s="366"/>
      <c r="F207" s="365" t="str">
        <f>IFERROR(INDEX('G-1 All Habitats'!$B$3:$B$130,MATCH(E207,'G-1 All Habitats'!$A$3:$A$130,0)),"")</f>
        <v/>
      </c>
      <c r="G207" s="76"/>
      <c r="H207" s="77" t="str">
        <f>IF(F207="","",VLOOKUP(F207,'G-1 All Habitats'!$B$2:$M$130,10,FALSE))</f>
        <v/>
      </c>
      <c r="I207" s="78" t="str">
        <f>IFERROR(VLOOKUP(H207,'G-1 All Habitats'!$V$3:$W$7,2,FALSE),"")</f>
        <v/>
      </c>
      <c r="J207" s="79"/>
      <c r="K207" s="78" t="str">
        <f>IFERROR(INDEX('G-8 Condition Look up'!$A$3:$H$131,MATCH(F207,'G-8 Condition Look up'!$A$3:$A$131,0),MATCH(J207,'G-8 Condition Look up'!$A$3:$H$3,0)),"")</f>
        <v/>
      </c>
      <c r="L207" s="79"/>
      <c r="M207" s="348" t="str">
        <f>IF(L207="","",IF(VLOOKUP(L207,'G-3 Multipliers'!$L$3:$N$6,2,FALSE)=0,"Spatial Data Missing",VLOOKUP(L207,'G-3 Multipliers'!$L$3:$N$6,2,FALSE)))</f>
        <v/>
      </c>
      <c r="N207" s="569" t="str">
        <f>IF(L207="","",IF(VLOOKUP(L207,'G-3 Multipliers'!$L$3:$N$6,3,FALSE)=0,"Spatial Data Missing",VLOOKUP(L207,'G-3 Multipliers'!$L$3:$N$6,3,FALSE)))</f>
        <v/>
      </c>
      <c r="O207" s="77" t="str">
        <f t="shared" si="18"/>
        <v/>
      </c>
      <c r="P207" s="94"/>
      <c r="Q207" s="94"/>
      <c r="R207" s="343" t="str">
        <f t="shared" si="20"/>
        <v/>
      </c>
      <c r="S207" s="591" t="str">
        <f t="shared" si="21"/>
        <v/>
      </c>
      <c r="T207" s="593" t="str">
        <f>IFERROR(IF(S207="Check Data","Check Data",VLOOKUP(S207,'G-4 Temporal multipliers'!$A$4:$C$37,3,FALSE)),"")</f>
        <v/>
      </c>
      <c r="U207" s="592" t="str">
        <f>IF(F207="","",VLOOKUP(F207,'G-3 Multipliers'!$A$2:$E$130,2,FALSE))</f>
        <v/>
      </c>
      <c r="V207" s="343" t="str">
        <f t="shared" si="22"/>
        <v/>
      </c>
      <c r="W207" s="343" t="str">
        <f>IF(E207="","",IF(AND(V207="Standard difficulty applied",O207&gt;P207),U207,IF(AND(V207="Low Difficulty - only applicable if all habitat created before losses",P207&gt;=O207),"Low",VLOOKUP(F207,'G-3 Multipliers'!$A$2:$E$130,4,FALSE))))</f>
        <v/>
      </c>
      <c r="X207" s="345" t="str">
        <f>IFERROR(IF(E207="","",VLOOKUP(W207, 'G-3 Multipliers'!$P$2:$Q$6,2,FALSE)),””)</f>
        <v/>
      </c>
      <c r="Y207" s="595" t="str">
        <f t="shared" si="23"/>
        <v/>
      </c>
      <c r="Z207" s="355"/>
      <c r="AA207" s="356"/>
      <c r="AE207" s="59" t="str">
        <f t="shared" si="19"/>
        <v/>
      </c>
    </row>
    <row r="208" spans="1:31" x14ac:dyDescent="0.25">
      <c r="A208" s="52" t="str">
        <f>IFERROR(INDEX('G-8 Condition Look up'!$I$4:$I$131,MATCH(F208,'G-8 Condition Look up'!$A$4:$A$131,0)),"")</f>
        <v/>
      </c>
      <c r="C208" s="588" t="str">
        <f>IFERROR(INDEX('G-1 All Habitats'!$AG$3:$AG$15,MATCH(D208,'G-1 All Habitats'!$AF$3:$AF$15,0)),"")</f>
        <v/>
      </c>
      <c r="D208" s="347"/>
      <c r="E208" s="366"/>
      <c r="F208" s="365" t="str">
        <f>IFERROR(INDEX('G-1 All Habitats'!$B$3:$B$130,MATCH(E208,'G-1 All Habitats'!$A$3:$A$130,0)),"")</f>
        <v/>
      </c>
      <c r="G208" s="76"/>
      <c r="H208" s="77" t="str">
        <f>IF(F208="","",VLOOKUP(F208,'G-1 All Habitats'!$B$2:$M$130,10,FALSE))</f>
        <v/>
      </c>
      <c r="I208" s="78" t="str">
        <f>IFERROR(VLOOKUP(H208,'G-1 All Habitats'!$V$3:$W$7,2,FALSE),"")</f>
        <v/>
      </c>
      <c r="J208" s="79"/>
      <c r="K208" s="78" t="str">
        <f>IFERROR(INDEX('G-8 Condition Look up'!$A$3:$H$131,MATCH(F208,'G-8 Condition Look up'!$A$3:$A$131,0),MATCH(J208,'G-8 Condition Look up'!$A$3:$H$3,0)),"")</f>
        <v/>
      </c>
      <c r="L208" s="79"/>
      <c r="M208" s="348" t="str">
        <f>IF(L208="","",IF(VLOOKUP(L208,'G-3 Multipliers'!$L$3:$N$6,2,FALSE)=0,"Spatial Data Missing",VLOOKUP(L208,'G-3 Multipliers'!$L$3:$N$6,2,FALSE)))</f>
        <v/>
      </c>
      <c r="N208" s="569" t="str">
        <f>IF(L208="","",IF(VLOOKUP(L208,'G-3 Multipliers'!$L$3:$N$6,3,FALSE)=0,"Spatial Data Missing",VLOOKUP(L208,'G-3 Multipliers'!$L$3:$N$6,3,FALSE)))</f>
        <v/>
      </c>
      <c r="O208" s="77" t="str">
        <f t="shared" si="18"/>
        <v/>
      </c>
      <c r="P208" s="94"/>
      <c r="Q208" s="94"/>
      <c r="R208" s="343" t="str">
        <f t="shared" si="20"/>
        <v/>
      </c>
      <c r="S208" s="591" t="str">
        <f t="shared" si="21"/>
        <v/>
      </c>
      <c r="T208" s="593" t="str">
        <f>IFERROR(IF(S208="Check Data","Check Data",VLOOKUP(S208,'G-4 Temporal multipliers'!$A$4:$C$37,3,FALSE)),"")</f>
        <v/>
      </c>
      <c r="U208" s="592" t="str">
        <f>IF(F208="","",VLOOKUP(F208,'G-3 Multipliers'!$A$2:$E$130,2,FALSE))</f>
        <v/>
      </c>
      <c r="V208" s="343" t="str">
        <f t="shared" si="22"/>
        <v/>
      </c>
      <c r="W208" s="343" t="str">
        <f>IF(E208="","",IF(AND(V208="Standard difficulty applied",O208&gt;P208),U208,IF(AND(V208="Low Difficulty - only applicable if all habitat created before losses",P208&gt;=O208),"Low",VLOOKUP(F208,'G-3 Multipliers'!$A$2:$E$130,4,FALSE))))</f>
        <v/>
      </c>
      <c r="X208" s="345" t="str">
        <f>IFERROR(IF(E208="","",VLOOKUP(W208, 'G-3 Multipliers'!$P$2:$Q$6,2,FALSE)),””)</f>
        <v/>
      </c>
      <c r="Y208" s="595" t="str">
        <f t="shared" si="23"/>
        <v/>
      </c>
      <c r="Z208" s="355"/>
      <c r="AA208" s="356"/>
      <c r="AE208" s="59" t="str">
        <f t="shared" si="19"/>
        <v/>
      </c>
    </row>
    <row r="209" spans="1:31" x14ac:dyDescent="0.25">
      <c r="A209" s="52" t="str">
        <f>IFERROR(INDEX('G-8 Condition Look up'!$I$4:$I$131,MATCH(F209,'G-8 Condition Look up'!$A$4:$A$131,0)),"")</f>
        <v/>
      </c>
      <c r="C209" s="588" t="str">
        <f>IFERROR(INDEX('G-1 All Habitats'!$AG$3:$AG$15,MATCH(D209,'G-1 All Habitats'!$AF$3:$AF$15,0)),"")</f>
        <v/>
      </c>
      <c r="D209" s="347"/>
      <c r="E209" s="366"/>
      <c r="F209" s="365" t="str">
        <f>IFERROR(INDEX('G-1 All Habitats'!$B$3:$B$130,MATCH(E209,'G-1 All Habitats'!$A$3:$A$130,0)),"")</f>
        <v/>
      </c>
      <c r="G209" s="76"/>
      <c r="H209" s="77" t="str">
        <f>IF(F209="","",VLOOKUP(F209,'G-1 All Habitats'!$B$2:$M$130,10,FALSE))</f>
        <v/>
      </c>
      <c r="I209" s="78" t="str">
        <f>IFERROR(VLOOKUP(H209,'G-1 All Habitats'!$V$3:$W$7,2,FALSE),"")</f>
        <v/>
      </c>
      <c r="J209" s="79"/>
      <c r="K209" s="78" t="str">
        <f>IFERROR(INDEX('G-8 Condition Look up'!$A$3:$H$131,MATCH(F209,'G-8 Condition Look up'!$A$3:$A$131,0),MATCH(J209,'G-8 Condition Look up'!$A$3:$H$3,0)),"")</f>
        <v/>
      </c>
      <c r="L209" s="79"/>
      <c r="M209" s="348" t="str">
        <f>IF(L209="","",IF(VLOOKUP(L209,'G-3 Multipliers'!$L$3:$N$6,2,FALSE)=0,"Spatial Data Missing",VLOOKUP(L209,'G-3 Multipliers'!$L$3:$N$6,2,FALSE)))</f>
        <v/>
      </c>
      <c r="N209" s="569" t="str">
        <f>IF(L209="","",IF(VLOOKUP(L209,'G-3 Multipliers'!$L$3:$N$6,3,FALSE)=0,"Spatial Data Missing",VLOOKUP(L209,'G-3 Multipliers'!$L$3:$N$6,3,FALSE)))</f>
        <v/>
      </c>
      <c r="O209" s="77" t="str">
        <f t="shared" si="18"/>
        <v/>
      </c>
      <c r="P209" s="94"/>
      <c r="Q209" s="94"/>
      <c r="R209" s="343" t="str">
        <f t="shared" si="20"/>
        <v/>
      </c>
      <c r="S209" s="591" t="str">
        <f t="shared" si="21"/>
        <v/>
      </c>
      <c r="T209" s="593" t="str">
        <f>IFERROR(IF(S209="Check Data","Check Data",VLOOKUP(S209,'G-4 Temporal multipliers'!$A$4:$C$37,3,FALSE)),"")</f>
        <v/>
      </c>
      <c r="U209" s="592" t="str">
        <f>IF(F209="","",VLOOKUP(F209,'G-3 Multipliers'!$A$2:$E$130,2,FALSE))</f>
        <v/>
      </c>
      <c r="V209" s="343" t="str">
        <f t="shared" si="22"/>
        <v/>
      </c>
      <c r="W209" s="343" t="str">
        <f>IF(E209="","",IF(AND(V209="Standard difficulty applied",O209&gt;P209),U209,IF(AND(V209="Low Difficulty - only applicable if all habitat created before losses",P209&gt;=O209),"Low",VLOOKUP(F209,'G-3 Multipliers'!$A$2:$E$130,4,FALSE))))</f>
        <v/>
      </c>
      <c r="X209" s="345" t="str">
        <f>IFERROR(IF(E209="","",VLOOKUP(W209, 'G-3 Multipliers'!$P$2:$Q$6,2,FALSE)),””)</f>
        <v/>
      </c>
      <c r="Y209" s="595" t="str">
        <f t="shared" si="23"/>
        <v/>
      </c>
      <c r="Z209" s="355"/>
      <c r="AA209" s="356"/>
      <c r="AE209" s="59" t="str">
        <f t="shared" si="19"/>
        <v/>
      </c>
    </row>
    <row r="210" spans="1:31" x14ac:dyDescent="0.25">
      <c r="A210" s="52" t="str">
        <f>IFERROR(INDEX('G-8 Condition Look up'!$I$4:$I$131,MATCH(F210,'G-8 Condition Look up'!$A$4:$A$131,0)),"")</f>
        <v/>
      </c>
      <c r="C210" s="588" t="str">
        <f>IFERROR(INDEX('G-1 All Habitats'!$AG$3:$AG$15,MATCH(D210,'G-1 All Habitats'!$AF$3:$AF$15,0)),"")</f>
        <v/>
      </c>
      <c r="D210" s="347"/>
      <c r="E210" s="366"/>
      <c r="F210" s="365" t="str">
        <f>IFERROR(INDEX('G-1 All Habitats'!$B$3:$B$130,MATCH(E210,'G-1 All Habitats'!$A$3:$A$130,0)),"")</f>
        <v/>
      </c>
      <c r="G210" s="76"/>
      <c r="H210" s="77" t="str">
        <f>IF(F210="","",VLOOKUP(F210,'G-1 All Habitats'!$B$2:$M$130,10,FALSE))</f>
        <v/>
      </c>
      <c r="I210" s="78" t="str">
        <f>IFERROR(VLOOKUP(H210,'G-1 All Habitats'!$V$3:$W$7,2,FALSE),"")</f>
        <v/>
      </c>
      <c r="J210" s="79"/>
      <c r="K210" s="78" t="str">
        <f>IFERROR(INDEX('G-8 Condition Look up'!$A$3:$H$131,MATCH(F210,'G-8 Condition Look up'!$A$3:$A$131,0),MATCH(J210,'G-8 Condition Look up'!$A$3:$H$3,0)),"")</f>
        <v/>
      </c>
      <c r="L210" s="79"/>
      <c r="M210" s="348" t="str">
        <f>IF(L210="","",IF(VLOOKUP(L210,'G-3 Multipliers'!$L$3:$N$6,2,FALSE)=0,"Spatial Data Missing",VLOOKUP(L210,'G-3 Multipliers'!$L$3:$N$6,2,FALSE)))</f>
        <v/>
      </c>
      <c r="N210" s="569" t="str">
        <f>IF(L210="","",IF(VLOOKUP(L210,'G-3 Multipliers'!$L$3:$N$6,3,FALSE)=0,"Spatial Data Missing",VLOOKUP(L210,'G-3 Multipliers'!$L$3:$N$6,3,FALSE)))</f>
        <v/>
      </c>
      <c r="O210" s="77" t="str">
        <f t="shared" si="18"/>
        <v/>
      </c>
      <c r="P210" s="94"/>
      <c r="Q210" s="94"/>
      <c r="R210" s="343" t="str">
        <f t="shared" si="20"/>
        <v/>
      </c>
      <c r="S210" s="591" t="str">
        <f t="shared" si="21"/>
        <v/>
      </c>
      <c r="T210" s="593" t="str">
        <f>IFERROR(IF(S210="Check Data","Check Data",VLOOKUP(S210,'G-4 Temporal multipliers'!$A$4:$C$37,3,FALSE)),"")</f>
        <v/>
      </c>
      <c r="U210" s="592" t="str">
        <f>IF(F210="","",VLOOKUP(F210,'G-3 Multipliers'!$A$2:$E$130,2,FALSE))</f>
        <v/>
      </c>
      <c r="V210" s="343" t="str">
        <f t="shared" si="22"/>
        <v/>
      </c>
      <c r="W210" s="343" t="str">
        <f>IF(E210="","",IF(AND(V210="Standard difficulty applied",O210&gt;P210),U210,IF(AND(V210="Low Difficulty - only applicable if all habitat created before losses",P210&gt;=O210),"Low",VLOOKUP(F210,'G-3 Multipliers'!$A$2:$E$130,4,FALSE))))</f>
        <v/>
      </c>
      <c r="X210" s="345" t="str">
        <f>IFERROR(IF(E210="","",VLOOKUP(W210, 'G-3 Multipliers'!$P$2:$Q$6,2,FALSE)),””)</f>
        <v/>
      </c>
      <c r="Y210" s="595" t="str">
        <f t="shared" si="23"/>
        <v/>
      </c>
      <c r="Z210" s="355"/>
      <c r="AA210" s="356"/>
      <c r="AE210" s="59" t="str">
        <f t="shared" si="19"/>
        <v/>
      </c>
    </row>
    <row r="211" spans="1:31" x14ac:dyDescent="0.25">
      <c r="A211" s="52" t="str">
        <f>IFERROR(INDEX('G-8 Condition Look up'!$I$4:$I$131,MATCH(F211,'G-8 Condition Look up'!$A$4:$A$131,0)),"")</f>
        <v/>
      </c>
      <c r="C211" s="588" t="str">
        <f>IFERROR(INDEX('G-1 All Habitats'!$AG$3:$AG$15,MATCH(D211,'G-1 All Habitats'!$AF$3:$AF$15,0)),"")</f>
        <v/>
      </c>
      <c r="D211" s="347"/>
      <c r="E211" s="366"/>
      <c r="F211" s="365" t="str">
        <f>IFERROR(INDEX('G-1 All Habitats'!$B$3:$B$130,MATCH(E211,'G-1 All Habitats'!$A$3:$A$130,0)),"")</f>
        <v/>
      </c>
      <c r="G211" s="76"/>
      <c r="H211" s="77" t="str">
        <f>IF(F211="","",VLOOKUP(F211,'G-1 All Habitats'!$B$2:$M$130,10,FALSE))</f>
        <v/>
      </c>
      <c r="I211" s="78" t="str">
        <f>IFERROR(VLOOKUP(H211,'G-1 All Habitats'!$V$3:$W$7,2,FALSE),"")</f>
        <v/>
      </c>
      <c r="J211" s="79"/>
      <c r="K211" s="78" t="str">
        <f>IFERROR(INDEX('G-8 Condition Look up'!$A$3:$H$131,MATCH(F211,'G-8 Condition Look up'!$A$3:$A$131,0),MATCH(J211,'G-8 Condition Look up'!$A$3:$H$3,0)),"")</f>
        <v/>
      </c>
      <c r="L211" s="79"/>
      <c r="M211" s="348" t="str">
        <f>IF(L211="","",IF(VLOOKUP(L211,'G-3 Multipliers'!$L$3:$N$6,2,FALSE)=0,"Spatial Data Missing",VLOOKUP(L211,'G-3 Multipliers'!$L$3:$N$6,2,FALSE)))</f>
        <v/>
      </c>
      <c r="N211" s="569" t="str">
        <f>IF(L211="","",IF(VLOOKUP(L211,'G-3 Multipliers'!$L$3:$N$6,3,FALSE)=0,"Spatial Data Missing",VLOOKUP(L211,'G-3 Multipliers'!$L$3:$N$6,3,FALSE)))</f>
        <v/>
      </c>
      <c r="O211" s="77" t="str">
        <f t="shared" si="18"/>
        <v/>
      </c>
      <c r="P211" s="94"/>
      <c r="Q211" s="94"/>
      <c r="R211" s="343" t="str">
        <f t="shared" si="20"/>
        <v/>
      </c>
      <c r="S211" s="591" t="str">
        <f t="shared" si="21"/>
        <v/>
      </c>
      <c r="T211" s="593" t="str">
        <f>IFERROR(IF(S211="Check Data","Check Data",VLOOKUP(S211,'G-4 Temporal multipliers'!$A$4:$C$37,3,FALSE)),"")</f>
        <v/>
      </c>
      <c r="U211" s="592" t="str">
        <f>IF(F211="","",VLOOKUP(F211,'G-3 Multipliers'!$A$2:$E$130,2,FALSE))</f>
        <v/>
      </c>
      <c r="V211" s="343" t="str">
        <f t="shared" si="22"/>
        <v/>
      </c>
      <c r="W211" s="343" t="str">
        <f>IF(E211="","",IF(AND(V211="Standard difficulty applied",O211&gt;P211),U211,IF(AND(V211="Low Difficulty - only applicable if all habitat created before losses",P211&gt;=O211),"Low",VLOOKUP(F211,'G-3 Multipliers'!$A$2:$E$130,4,FALSE))))</f>
        <v/>
      </c>
      <c r="X211" s="345" t="str">
        <f>IFERROR(IF(E211="","",VLOOKUP(W211, 'G-3 Multipliers'!$P$2:$Q$6,2,FALSE)),””)</f>
        <v/>
      </c>
      <c r="Y211" s="595" t="str">
        <f t="shared" si="23"/>
        <v/>
      </c>
      <c r="Z211" s="355"/>
      <c r="AA211" s="356"/>
      <c r="AE211" s="59" t="str">
        <f t="shared" si="19"/>
        <v/>
      </c>
    </row>
    <row r="212" spans="1:31" x14ac:dyDescent="0.25">
      <c r="A212" s="52" t="str">
        <f>IFERROR(INDEX('G-8 Condition Look up'!$I$4:$I$131,MATCH(F212,'G-8 Condition Look up'!$A$4:$A$131,0)),"")</f>
        <v/>
      </c>
      <c r="C212" s="588" t="str">
        <f>IFERROR(INDEX('G-1 All Habitats'!$AG$3:$AG$15,MATCH(D212,'G-1 All Habitats'!$AF$3:$AF$15,0)),"")</f>
        <v/>
      </c>
      <c r="D212" s="347"/>
      <c r="E212" s="366"/>
      <c r="F212" s="365" t="str">
        <f>IFERROR(INDEX('G-1 All Habitats'!$B$3:$B$130,MATCH(E212,'G-1 All Habitats'!$A$3:$A$130,0)),"")</f>
        <v/>
      </c>
      <c r="G212" s="76"/>
      <c r="H212" s="77" t="str">
        <f>IF(F212="","",VLOOKUP(F212,'G-1 All Habitats'!$B$2:$M$130,10,FALSE))</f>
        <v/>
      </c>
      <c r="I212" s="78" t="str">
        <f>IFERROR(VLOOKUP(H212,'G-1 All Habitats'!$V$3:$W$7,2,FALSE),"")</f>
        <v/>
      </c>
      <c r="J212" s="79"/>
      <c r="K212" s="78" t="str">
        <f>IFERROR(INDEX('G-8 Condition Look up'!$A$3:$H$131,MATCH(F212,'G-8 Condition Look up'!$A$3:$A$131,0),MATCH(J212,'G-8 Condition Look up'!$A$3:$H$3,0)),"")</f>
        <v/>
      </c>
      <c r="L212" s="79"/>
      <c r="M212" s="348" t="str">
        <f>IF(L212="","",IF(VLOOKUP(L212,'G-3 Multipliers'!$L$3:$N$6,2,FALSE)=0,"Spatial Data Missing",VLOOKUP(L212,'G-3 Multipliers'!$L$3:$N$6,2,FALSE)))</f>
        <v/>
      </c>
      <c r="N212" s="569" t="str">
        <f>IF(L212="","",IF(VLOOKUP(L212,'G-3 Multipliers'!$L$3:$N$6,3,FALSE)=0,"Spatial Data Missing",VLOOKUP(L212,'G-3 Multipliers'!$L$3:$N$6,3,FALSE)))</f>
        <v/>
      </c>
      <c r="O212" s="77" t="str">
        <f t="shared" si="18"/>
        <v/>
      </c>
      <c r="P212" s="94"/>
      <c r="Q212" s="94"/>
      <c r="R212" s="343" t="str">
        <f t="shared" si="20"/>
        <v/>
      </c>
      <c r="S212" s="591" t="str">
        <f t="shared" si="21"/>
        <v/>
      </c>
      <c r="T212" s="593" t="str">
        <f>IFERROR(IF(S212="Check Data","Check Data",VLOOKUP(S212,'G-4 Temporal multipliers'!$A$4:$C$37,3,FALSE)),"")</f>
        <v/>
      </c>
      <c r="U212" s="592" t="str">
        <f>IF(F212="","",VLOOKUP(F212,'G-3 Multipliers'!$A$2:$E$130,2,FALSE))</f>
        <v/>
      </c>
      <c r="V212" s="343" t="str">
        <f t="shared" si="22"/>
        <v/>
      </c>
      <c r="W212" s="343" t="str">
        <f>IF(E212="","",IF(AND(V212="Standard difficulty applied",O212&gt;P212),U212,IF(AND(V212="Low Difficulty - only applicable if all habitat created before losses",P212&gt;=O212),"Low",VLOOKUP(F212,'G-3 Multipliers'!$A$2:$E$130,4,FALSE))))</f>
        <v/>
      </c>
      <c r="X212" s="345" t="str">
        <f>IFERROR(IF(E212="","",VLOOKUP(W212, 'G-3 Multipliers'!$P$2:$Q$6,2,FALSE)),””)</f>
        <v/>
      </c>
      <c r="Y212" s="595" t="str">
        <f t="shared" si="23"/>
        <v/>
      </c>
      <c r="Z212" s="355"/>
      <c r="AA212" s="356"/>
      <c r="AE212" s="59" t="str">
        <f t="shared" si="19"/>
        <v/>
      </c>
    </row>
    <row r="213" spans="1:31" x14ac:dyDescent="0.25">
      <c r="A213" s="52" t="str">
        <f>IFERROR(INDEX('G-8 Condition Look up'!$I$4:$I$131,MATCH(F213,'G-8 Condition Look up'!$A$4:$A$131,0)),"")</f>
        <v/>
      </c>
      <c r="C213" s="588" t="str">
        <f>IFERROR(INDEX('G-1 All Habitats'!$AG$3:$AG$15,MATCH(D213,'G-1 All Habitats'!$AF$3:$AF$15,0)),"")</f>
        <v/>
      </c>
      <c r="D213" s="347"/>
      <c r="E213" s="366"/>
      <c r="F213" s="365" t="str">
        <f>IFERROR(INDEX('G-1 All Habitats'!$B$3:$B$130,MATCH(E213,'G-1 All Habitats'!$A$3:$A$130,0)),"")</f>
        <v/>
      </c>
      <c r="G213" s="76"/>
      <c r="H213" s="77" t="str">
        <f>IF(F213="","",VLOOKUP(F213,'G-1 All Habitats'!$B$2:$M$130,10,FALSE))</f>
        <v/>
      </c>
      <c r="I213" s="78" t="str">
        <f>IFERROR(VLOOKUP(H213,'G-1 All Habitats'!$V$3:$W$7,2,FALSE),"")</f>
        <v/>
      </c>
      <c r="J213" s="79"/>
      <c r="K213" s="78" t="str">
        <f>IFERROR(INDEX('G-8 Condition Look up'!$A$3:$H$131,MATCH(F213,'G-8 Condition Look up'!$A$3:$A$131,0),MATCH(J213,'G-8 Condition Look up'!$A$3:$H$3,0)),"")</f>
        <v/>
      </c>
      <c r="L213" s="79"/>
      <c r="M213" s="348" t="str">
        <f>IF(L213="","",IF(VLOOKUP(L213,'G-3 Multipliers'!$L$3:$N$6,2,FALSE)=0,"Spatial Data Missing",VLOOKUP(L213,'G-3 Multipliers'!$L$3:$N$6,2,FALSE)))</f>
        <v/>
      </c>
      <c r="N213" s="569" t="str">
        <f>IF(L213="","",IF(VLOOKUP(L213,'G-3 Multipliers'!$L$3:$N$6,3,FALSE)=0,"Spatial Data Missing",VLOOKUP(L213,'G-3 Multipliers'!$L$3:$N$6,3,FALSE)))</f>
        <v/>
      </c>
      <c r="O213" s="77" t="str">
        <f t="shared" si="18"/>
        <v/>
      </c>
      <c r="P213" s="94"/>
      <c r="Q213" s="94"/>
      <c r="R213" s="343" t="str">
        <f t="shared" si="20"/>
        <v/>
      </c>
      <c r="S213" s="591" t="str">
        <f t="shared" si="21"/>
        <v/>
      </c>
      <c r="T213" s="593" t="str">
        <f>IFERROR(IF(S213="Check Data","Check Data",VLOOKUP(S213,'G-4 Temporal multipliers'!$A$4:$C$37,3,FALSE)),"")</f>
        <v/>
      </c>
      <c r="U213" s="592" t="str">
        <f>IF(F213="","",VLOOKUP(F213,'G-3 Multipliers'!$A$2:$E$130,2,FALSE))</f>
        <v/>
      </c>
      <c r="V213" s="343" t="str">
        <f t="shared" si="22"/>
        <v/>
      </c>
      <c r="W213" s="343" t="str">
        <f>IF(E213="","",IF(AND(V213="Standard difficulty applied",O213&gt;P213),U213,IF(AND(V213="Low Difficulty - only applicable if all habitat created before losses",P213&gt;=O213),"Low",VLOOKUP(F213,'G-3 Multipliers'!$A$2:$E$130,4,FALSE))))</f>
        <v/>
      </c>
      <c r="X213" s="345" t="str">
        <f>IFERROR(IF(E213="","",VLOOKUP(W213, 'G-3 Multipliers'!$P$2:$Q$6,2,FALSE)),””)</f>
        <v/>
      </c>
      <c r="Y213" s="595" t="str">
        <f t="shared" si="23"/>
        <v/>
      </c>
      <c r="Z213" s="355"/>
      <c r="AA213" s="356"/>
      <c r="AE213" s="59" t="str">
        <f t="shared" si="19"/>
        <v/>
      </c>
    </row>
    <row r="214" spans="1:31" x14ac:dyDescent="0.25">
      <c r="A214" s="52" t="str">
        <f>IFERROR(INDEX('G-8 Condition Look up'!$I$4:$I$131,MATCH(F214,'G-8 Condition Look up'!$A$4:$A$131,0)),"")</f>
        <v/>
      </c>
      <c r="C214" s="588" t="str">
        <f>IFERROR(INDEX('G-1 All Habitats'!$AG$3:$AG$15,MATCH(D214,'G-1 All Habitats'!$AF$3:$AF$15,0)),"")</f>
        <v/>
      </c>
      <c r="D214" s="347"/>
      <c r="E214" s="366"/>
      <c r="F214" s="365" t="str">
        <f>IFERROR(INDEX('G-1 All Habitats'!$B$3:$B$130,MATCH(E214,'G-1 All Habitats'!$A$3:$A$130,0)),"")</f>
        <v/>
      </c>
      <c r="G214" s="76"/>
      <c r="H214" s="77" t="str">
        <f>IF(F214="","",VLOOKUP(F214,'G-1 All Habitats'!$B$2:$M$130,10,FALSE))</f>
        <v/>
      </c>
      <c r="I214" s="78" t="str">
        <f>IFERROR(VLOOKUP(H214,'G-1 All Habitats'!$V$3:$W$7,2,FALSE),"")</f>
        <v/>
      </c>
      <c r="J214" s="79"/>
      <c r="K214" s="78" t="str">
        <f>IFERROR(INDEX('G-8 Condition Look up'!$A$3:$H$131,MATCH(F214,'G-8 Condition Look up'!$A$3:$A$131,0),MATCH(J214,'G-8 Condition Look up'!$A$3:$H$3,0)),"")</f>
        <v/>
      </c>
      <c r="L214" s="79"/>
      <c r="M214" s="348" t="str">
        <f>IF(L214="","",IF(VLOOKUP(L214,'G-3 Multipliers'!$L$3:$N$6,2,FALSE)=0,"Spatial Data Missing",VLOOKUP(L214,'G-3 Multipliers'!$L$3:$N$6,2,FALSE)))</f>
        <v/>
      </c>
      <c r="N214" s="569" t="str">
        <f>IF(L214="","",IF(VLOOKUP(L214,'G-3 Multipliers'!$L$3:$N$6,3,FALSE)=0,"Spatial Data Missing",VLOOKUP(L214,'G-3 Multipliers'!$L$3:$N$6,3,FALSE)))</f>
        <v/>
      </c>
      <c r="O214" s="77" t="str">
        <f t="shared" si="18"/>
        <v/>
      </c>
      <c r="P214" s="94"/>
      <c r="Q214" s="94"/>
      <c r="R214" s="343" t="str">
        <f t="shared" si="20"/>
        <v/>
      </c>
      <c r="S214" s="591" t="str">
        <f t="shared" si="21"/>
        <v/>
      </c>
      <c r="T214" s="593" t="str">
        <f>IFERROR(IF(S214="Check Data","Check Data",VLOOKUP(S214,'G-4 Temporal multipliers'!$A$4:$C$37,3,FALSE)),"")</f>
        <v/>
      </c>
      <c r="U214" s="592" t="str">
        <f>IF(F214="","",VLOOKUP(F214,'G-3 Multipliers'!$A$2:$E$130,2,FALSE))</f>
        <v/>
      </c>
      <c r="V214" s="343" t="str">
        <f t="shared" si="22"/>
        <v/>
      </c>
      <c r="W214" s="343" t="str">
        <f>IF(E214="","",IF(AND(V214="Standard difficulty applied",O214&gt;P214),U214,IF(AND(V214="Low Difficulty - only applicable if all habitat created before losses",P214&gt;=O214),"Low",VLOOKUP(F214,'G-3 Multipliers'!$A$2:$E$130,4,FALSE))))</f>
        <v/>
      </c>
      <c r="X214" s="345" t="str">
        <f>IFERROR(IF(E214="","",VLOOKUP(W214, 'G-3 Multipliers'!$P$2:$Q$6,2,FALSE)),””)</f>
        <v/>
      </c>
      <c r="Y214" s="595" t="str">
        <f t="shared" si="23"/>
        <v/>
      </c>
      <c r="Z214" s="355"/>
      <c r="AA214" s="356"/>
      <c r="AE214" s="59" t="str">
        <f t="shared" si="19"/>
        <v/>
      </c>
    </row>
    <row r="215" spans="1:31" x14ac:dyDescent="0.25">
      <c r="A215" s="52" t="str">
        <f>IFERROR(INDEX('G-8 Condition Look up'!$I$4:$I$131,MATCH(F215,'G-8 Condition Look up'!$A$4:$A$131,0)),"")</f>
        <v/>
      </c>
      <c r="C215" s="588" t="str">
        <f>IFERROR(INDEX('G-1 All Habitats'!$AG$3:$AG$15,MATCH(D215,'G-1 All Habitats'!$AF$3:$AF$15,0)),"")</f>
        <v/>
      </c>
      <c r="D215" s="347"/>
      <c r="E215" s="366"/>
      <c r="F215" s="365" t="str">
        <f>IFERROR(INDEX('G-1 All Habitats'!$B$3:$B$130,MATCH(E215,'G-1 All Habitats'!$A$3:$A$130,0)),"")</f>
        <v/>
      </c>
      <c r="G215" s="76"/>
      <c r="H215" s="77" t="str">
        <f>IF(F215="","",VLOOKUP(F215,'G-1 All Habitats'!$B$2:$M$130,10,FALSE))</f>
        <v/>
      </c>
      <c r="I215" s="78" t="str">
        <f>IFERROR(VLOOKUP(H215,'G-1 All Habitats'!$V$3:$W$7,2,FALSE),"")</f>
        <v/>
      </c>
      <c r="J215" s="79"/>
      <c r="K215" s="78" t="str">
        <f>IFERROR(INDEX('G-8 Condition Look up'!$A$3:$H$131,MATCH(F215,'G-8 Condition Look up'!$A$3:$A$131,0),MATCH(J215,'G-8 Condition Look up'!$A$3:$H$3,0)),"")</f>
        <v/>
      </c>
      <c r="L215" s="79"/>
      <c r="M215" s="348" t="str">
        <f>IF(L215="","",IF(VLOOKUP(L215,'G-3 Multipliers'!$L$3:$N$6,2,FALSE)=0,"Spatial Data Missing",VLOOKUP(L215,'G-3 Multipliers'!$L$3:$N$6,2,FALSE)))</f>
        <v/>
      </c>
      <c r="N215" s="569" t="str">
        <f>IF(L215="","",IF(VLOOKUP(L215,'G-3 Multipliers'!$L$3:$N$6,3,FALSE)=0,"Spatial Data Missing",VLOOKUP(L215,'G-3 Multipliers'!$L$3:$N$6,3,FALSE)))</f>
        <v/>
      </c>
      <c r="O215" s="77" t="str">
        <f t="shared" si="18"/>
        <v/>
      </c>
      <c r="P215" s="94"/>
      <c r="Q215" s="94"/>
      <c r="R215" s="343" t="str">
        <f t="shared" si="20"/>
        <v/>
      </c>
      <c r="S215" s="591" t="str">
        <f t="shared" si="21"/>
        <v/>
      </c>
      <c r="T215" s="593" t="str">
        <f>IFERROR(IF(S215="Check Data","Check Data",VLOOKUP(S215,'G-4 Temporal multipliers'!$A$4:$C$37,3,FALSE)),"")</f>
        <v/>
      </c>
      <c r="U215" s="592" t="str">
        <f>IF(F215="","",VLOOKUP(F215,'G-3 Multipliers'!$A$2:$E$130,2,FALSE))</f>
        <v/>
      </c>
      <c r="V215" s="343" t="str">
        <f t="shared" si="22"/>
        <v/>
      </c>
      <c r="W215" s="343" t="str">
        <f>IF(E215="","",IF(AND(V215="Standard difficulty applied",O215&gt;P215),U215,IF(AND(V215="Low Difficulty - only applicable if all habitat created before losses",P215&gt;=O215),"Low",VLOOKUP(F215,'G-3 Multipliers'!$A$2:$E$130,4,FALSE))))</f>
        <v/>
      </c>
      <c r="X215" s="345" t="str">
        <f>IFERROR(IF(E215="","",VLOOKUP(W215, 'G-3 Multipliers'!$P$2:$Q$6,2,FALSE)),””)</f>
        <v/>
      </c>
      <c r="Y215" s="595" t="str">
        <f t="shared" si="23"/>
        <v/>
      </c>
      <c r="Z215" s="355"/>
      <c r="AA215" s="356"/>
      <c r="AE215" s="59" t="str">
        <f t="shared" si="19"/>
        <v/>
      </c>
    </row>
    <row r="216" spans="1:31" x14ac:dyDescent="0.25">
      <c r="A216" s="52" t="str">
        <f>IFERROR(INDEX('G-8 Condition Look up'!$I$4:$I$131,MATCH(F216,'G-8 Condition Look up'!$A$4:$A$131,0)),"")</f>
        <v/>
      </c>
      <c r="C216" s="588" t="str">
        <f>IFERROR(INDEX('G-1 All Habitats'!$AG$3:$AG$15,MATCH(D216,'G-1 All Habitats'!$AF$3:$AF$15,0)),"")</f>
        <v/>
      </c>
      <c r="D216" s="347"/>
      <c r="E216" s="366"/>
      <c r="F216" s="365" t="str">
        <f>IFERROR(INDEX('G-1 All Habitats'!$B$3:$B$130,MATCH(E216,'G-1 All Habitats'!$A$3:$A$130,0)),"")</f>
        <v/>
      </c>
      <c r="G216" s="76"/>
      <c r="H216" s="77" t="str">
        <f>IF(F216="","",VLOOKUP(F216,'G-1 All Habitats'!$B$2:$M$130,10,FALSE))</f>
        <v/>
      </c>
      <c r="I216" s="78" t="str">
        <f>IFERROR(VLOOKUP(H216,'G-1 All Habitats'!$V$3:$W$7,2,FALSE),"")</f>
        <v/>
      </c>
      <c r="J216" s="79"/>
      <c r="K216" s="78" t="str">
        <f>IFERROR(INDEX('G-8 Condition Look up'!$A$3:$H$131,MATCH(F216,'G-8 Condition Look up'!$A$3:$A$131,0),MATCH(J216,'G-8 Condition Look up'!$A$3:$H$3,0)),"")</f>
        <v/>
      </c>
      <c r="L216" s="79"/>
      <c r="M216" s="348" t="str">
        <f>IF(L216="","",IF(VLOOKUP(L216,'G-3 Multipliers'!$L$3:$N$6,2,FALSE)=0,"Spatial Data Missing",VLOOKUP(L216,'G-3 Multipliers'!$L$3:$N$6,2,FALSE)))</f>
        <v/>
      </c>
      <c r="N216" s="569" t="str">
        <f>IF(L216="","",IF(VLOOKUP(L216,'G-3 Multipliers'!$L$3:$N$6,3,FALSE)=0,"Spatial Data Missing",VLOOKUP(L216,'G-3 Multipliers'!$L$3:$N$6,3,FALSE)))</f>
        <v/>
      </c>
      <c r="O216" s="77" t="str">
        <f t="shared" si="18"/>
        <v/>
      </c>
      <c r="P216" s="94"/>
      <c r="Q216" s="94"/>
      <c r="R216" s="343" t="str">
        <f t="shared" si="20"/>
        <v/>
      </c>
      <c r="S216" s="591" t="str">
        <f t="shared" si="21"/>
        <v/>
      </c>
      <c r="T216" s="593" t="str">
        <f>IFERROR(IF(S216="Check Data","Check Data",VLOOKUP(S216,'G-4 Temporal multipliers'!$A$4:$C$37,3,FALSE)),"")</f>
        <v/>
      </c>
      <c r="U216" s="592" t="str">
        <f>IF(F216="","",VLOOKUP(F216,'G-3 Multipliers'!$A$2:$E$130,2,FALSE))</f>
        <v/>
      </c>
      <c r="V216" s="343" t="str">
        <f t="shared" si="22"/>
        <v/>
      </c>
      <c r="W216" s="343" t="str">
        <f>IF(E216="","",IF(AND(V216="Standard difficulty applied",O216&gt;P216),U216,IF(AND(V216="Low Difficulty - only applicable if all habitat created before losses",P216&gt;=O216),"Low",VLOOKUP(F216,'G-3 Multipliers'!$A$2:$E$130,4,FALSE))))</f>
        <v/>
      </c>
      <c r="X216" s="345" t="str">
        <f>IFERROR(IF(E216="","",VLOOKUP(W216, 'G-3 Multipliers'!$P$2:$Q$6,2,FALSE)),””)</f>
        <v/>
      </c>
      <c r="Y216" s="595" t="str">
        <f t="shared" si="23"/>
        <v/>
      </c>
      <c r="Z216" s="355"/>
      <c r="AA216" s="356"/>
      <c r="AE216" s="59" t="str">
        <f t="shared" si="19"/>
        <v/>
      </c>
    </row>
    <row r="217" spans="1:31" x14ac:dyDescent="0.25">
      <c r="A217" s="52" t="str">
        <f>IFERROR(INDEX('G-8 Condition Look up'!$I$4:$I$131,MATCH(F217,'G-8 Condition Look up'!$A$4:$A$131,0)),"")</f>
        <v/>
      </c>
      <c r="C217" s="588" t="str">
        <f>IFERROR(INDEX('G-1 All Habitats'!$AG$3:$AG$15,MATCH(D217,'G-1 All Habitats'!$AF$3:$AF$15,0)),"")</f>
        <v/>
      </c>
      <c r="D217" s="347"/>
      <c r="E217" s="366"/>
      <c r="F217" s="365" t="str">
        <f>IFERROR(INDEX('G-1 All Habitats'!$B$3:$B$130,MATCH(E217,'G-1 All Habitats'!$A$3:$A$130,0)),"")</f>
        <v/>
      </c>
      <c r="G217" s="76"/>
      <c r="H217" s="77" t="str">
        <f>IF(F217="","",VLOOKUP(F217,'G-1 All Habitats'!$B$2:$M$130,10,FALSE))</f>
        <v/>
      </c>
      <c r="I217" s="78" t="str">
        <f>IFERROR(VLOOKUP(H217,'G-1 All Habitats'!$V$3:$W$7,2,FALSE),"")</f>
        <v/>
      </c>
      <c r="J217" s="79"/>
      <c r="K217" s="78" t="str">
        <f>IFERROR(INDEX('G-8 Condition Look up'!$A$3:$H$131,MATCH(F217,'G-8 Condition Look up'!$A$3:$A$131,0),MATCH(J217,'G-8 Condition Look up'!$A$3:$H$3,0)),"")</f>
        <v/>
      </c>
      <c r="L217" s="79"/>
      <c r="M217" s="348" t="str">
        <f>IF(L217="","",IF(VLOOKUP(L217,'G-3 Multipliers'!$L$3:$N$6,2,FALSE)=0,"Spatial Data Missing",VLOOKUP(L217,'G-3 Multipliers'!$L$3:$N$6,2,FALSE)))</f>
        <v/>
      </c>
      <c r="N217" s="569" t="str">
        <f>IF(L217="","",IF(VLOOKUP(L217,'G-3 Multipliers'!$L$3:$N$6,3,FALSE)=0,"Spatial Data Missing",VLOOKUP(L217,'G-3 Multipliers'!$L$3:$N$6,3,FALSE)))</f>
        <v/>
      </c>
      <c r="O217" s="77" t="str">
        <f t="shared" si="18"/>
        <v/>
      </c>
      <c r="P217" s="94"/>
      <c r="Q217" s="94"/>
      <c r="R217" s="343" t="str">
        <f t="shared" si="20"/>
        <v/>
      </c>
      <c r="S217" s="591" t="str">
        <f t="shared" si="21"/>
        <v/>
      </c>
      <c r="T217" s="593" t="str">
        <f>IFERROR(IF(S217="Check Data","Check Data",VLOOKUP(S217,'G-4 Temporal multipliers'!$A$4:$C$37,3,FALSE)),"")</f>
        <v/>
      </c>
      <c r="U217" s="592" t="str">
        <f>IF(F217="","",VLOOKUP(F217,'G-3 Multipliers'!$A$2:$E$130,2,FALSE))</f>
        <v/>
      </c>
      <c r="V217" s="343" t="str">
        <f t="shared" si="22"/>
        <v/>
      </c>
      <c r="W217" s="343" t="str">
        <f>IF(E217="","",IF(AND(V217="Standard difficulty applied",O217&gt;P217),U217,IF(AND(V217="Low Difficulty - only applicable if all habitat created before losses",P217&gt;=O217),"Low",VLOOKUP(F217,'G-3 Multipliers'!$A$2:$E$130,4,FALSE))))</f>
        <v/>
      </c>
      <c r="X217" s="345" t="str">
        <f>IFERROR(IF(E217="","",VLOOKUP(W217, 'G-3 Multipliers'!$P$2:$Q$6,2,FALSE)),””)</f>
        <v/>
      </c>
      <c r="Y217" s="595" t="str">
        <f t="shared" si="23"/>
        <v/>
      </c>
      <c r="Z217" s="355"/>
      <c r="AA217" s="356"/>
      <c r="AE217" s="59" t="str">
        <f t="shared" si="19"/>
        <v/>
      </c>
    </row>
    <row r="218" spans="1:31" x14ac:dyDescent="0.25">
      <c r="A218" s="52" t="str">
        <f>IFERROR(INDEX('G-8 Condition Look up'!$I$4:$I$131,MATCH(F218,'G-8 Condition Look up'!$A$4:$A$131,0)),"")</f>
        <v/>
      </c>
      <c r="C218" s="588" t="str">
        <f>IFERROR(INDEX('G-1 All Habitats'!$AG$3:$AG$15,MATCH(D218,'G-1 All Habitats'!$AF$3:$AF$15,0)),"")</f>
        <v/>
      </c>
      <c r="D218" s="347"/>
      <c r="E218" s="366"/>
      <c r="F218" s="365" t="str">
        <f>IFERROR(INDEX('G-1 All Habitats'!$B$3:$B$130,MATCH(E218,'G-1 All Habitats'!$A$3:$A$130,0)),"")</f>
        <v/>
      </c>
      <c r="G218" s="76"/>
      <c r="H218" s="77" t="str">
        <f>IF(F218="","",VLOOKUP(F218,'G-1 All Habitats'!$B$2:$M$130,10,FALSE))</f>
        <v/>
      </c>
      <c r="I218" s="78" t="str">
        <f>IFERROR(VLOOKUP(H218,'G-1 All Habitats'!$V$3:$W$7,2,FALSE),"")</f>
        <v/>
      </c>
      <c r="J218" s="79"/>
      <c r="K218" s="78" t="str">
        <f>IFERROR(INDEX('G-8 Condition Look up'!$A$3:$H$131,MATCH(F218,'G-8 Condition Look up'!$A$3:$A$131,0),MATCH(J218,'G-8 Condition Look up'!$A$3:$H$3,0)),"")</f>
        <v/>
      </c>
      <c r="L218" s="79"/>
      <c r="M218" s="348" t="str">
        <f>IF(L218="","",IF(VLOOKUP(L218,'G-3 Multipliers'!$L$3:$N$6,2,FALSE)=0,"Spatial Data Missing",VLOOKUP(L218,'G-3 Multipliers'!$L$3:$N$6,2,FALSE)))</f>
        <v/>
      </c>
      <c r="N218" s="569" t="str">
        <f>IF(L218="","",IF(VLOOKUP(L218,'G-3 Multipliers'!$L$3:$N$6,3,FALSE)=0,"Spatial Data Missing",VLOOKUP(L218,'G-3 Multipliers'!$L$3:$N$6,3,FALSE)))</f>
        <v/>
      </c>
      <c r="O218" s="77" t="str">
        <f t="shared" si="18"/>
        <v/>
      </c>
      <c r="P218" s="94"/>
      <c r="Q218" s="94"/>
      <c r="R218" s="343" t="str">
        <f t="shared" si="20"/>
        <v/>
      </c>
      <c r="S218" s="591" t="str">
        <f t="shared" si="21"/>
        <v/>
      </c>
      <c r="T218" s="593" t="str">
        <f>IFERROR(IF(S218="Check Data","Check Data",VLOOKUP(S218,'G-4 Temporal multipliers'!$A$4:$C$37,3,FALSE)),"")</f>
        <v/>
      </c>
      <c r="U218" s="592" t="str">
        <f>IF(F218="","",VLOOKUP(F218,'G-3 Multipliers'!$A$2:$E$130,2,FALSE))</f>
        <v/>
      </c>
      <c r="V218" s="343" t="str">
        <f t="shared" si="22"/>
        <v/>
      </c>
      <c r="W218" s="343" t="str">
        <f>IF(E218="","",IF(AND(V218="Standard difficulty applied",O218&gt;P218),U218,IF(AND(V218="Low Difficulty - only applicable if all habitat created before losses",P218&gt;=O218),"Low",VLOOKUP(F218,'G-3 Multipliers'!$A$2:$E$130,4,FALSE))))</f>
        <v/>
      </c>
      <c r="X218" s="345" t="str">
        <f>IFERROR(IF(E218="","",VLOOKUP(W218, 'G-3 Multipliers'!$P$2:$Q$6,2,FALSE)),””)</f>
        <v/>
      </c>
      <c r="Y218" s="595" t="str">
        <f t="shared" si="23"/>
        <v/>
      </c>
      <c r="Z218" s="355"/>
      <c r="AA218" s="356"/>
      <c r="AE218" s="59" t="str">
        <f t="shared" si="19"/>
        <v/>
      </c>
    </row>
    <row r="219" spans="1:31" x14ac:dyDescent="0.25">
      <c r="A219" s="52" t="str">
        <f>IFERROR(INDEX('G-8 Condition Look up'!$I$4:$I$131,MATCH(F219,'G-8 Condition Look up'!$A$4:$A$131,0)),"")</f>
        <v/>
      </c>
      <c r="C219" s="588" t="str">
        <f>IFERROR(INDEX('G-1 All Habitats'!$AG$3:$AG$15,MATCH(D219,'G-1 All Habitats'!$AF$3:$AF$15,0)),"")</f>
        <v/>
      </c>
      <c r="D219" s="347"/>
      <c r="E219" s="366"/>
      <c r="F219" s="365" t="str">
        <f>IFERROR(INDEX('G-1 All Habitats'!$B$3:$B$130,MATCH(E219,'G-1 All Habitats'!$A$3:$A$130,0)),"")</f>
        <v/>
      </c>
      <c r="G219" s="76"/>
      <c r="H219" s="77" t="str">
        <f>IF(F219="","",VLOOKUP(F219,'G-1 All Habitats'!$B$2:$M$130,10,FALSE))</f>
        <v/>
      </c>
      <c r="I219" s="78" t="str">
        <f>IFERROR(VLOOKUP(H219,'G-1 All Habitats'!$V$3:$W$7,2,FALSE),"")</f>
        <v/>
      </c>
      <c r="J219" s="79"/>
      <c r="K219" s="78" t="str">
        <f>IFERROR(INDEX('G-8 Condition Look up'!$A$3:$H$131,MATCH(F219,'G-8 Condition Look up'!$A$3:$A$131,0),MATCH(J219,'G-8 Condition Look up'!$A$3:$H$3,0)),"")</f>
        <v/>
      </c>
      <c r="L219" s="79"/>
      <c r="M219" s="348" t="str">
        <f>IF(L219="","",IF(VLOOKUP(L219,'G-3 Multipliers'!$L$3:$N$6,2,FALSE)=0,"Spatial Data Missing",VLOOKUP(L219,'G-3 Multipliers'!$L$3:$N$6,2,FALSE)))</f>
        <v/>
      </c>
      <c r="N219" s="569" t="str">
        <f>IF(L219="","",IF(VLOOKUP(L219,'G-3 Multipliers'!$L$3:$N$6,3,FALSE)=0,"Spatial Data Missing",VLOOKUP(L219,'G-3 Multipliers'!$L$3:$N$6,3,FALSE)))</f>
        <v/>
      </c>
      <c r="O219" s="77" t="str">
        <f t="shared" si="18"/>
        <v/>
      </c>
      <c r="P219" s="94"/>
      <c r="Q219" s="94"/>
      <c r="R219" s="343" t="str">
        <f t="shared" si="20"/>
        <v/>
      </c>
      <c r="S219" s="591" t="str">
        <f t="shared" si="21"/>
        <v/>
      </c>
      <c r="T219" s="593" t="str">
        <f>IFERROR(IF(S219="Check Data","Check Data",VLOOKUP(S219,'G-4 Temporal multipliers'!$A$4:$C$37,3,FALSE)),"")</f>
        <v/>
      </c>
      <c r="U219" s="592" t="str">
        <f>IF(F219="","",VLOOKUP(F219,'G-3 Multipliers'!$A$2:$E$130,2,FALSE))</f>
        <v/>
      </c>
      <c r="V219" s="343" t="str">
        <f t="shared" si="22"/>
        <v/>
      </c>
      <c r="W219" s="343" t="str">
        <f>IF(E219="","",IF(AND(V219="Standard difficulty applied",O219&gt;P219),U219,IF(AND(V219="Low Difficulty - only applicable if all habitat created before losses",P219&gt;=O219),"Low",VLOOKUP(F219,'G-3 Multipliers'!$A$2:$E$130,4,FALSE))))</f>
        <v/>
      </c>
      <c r="X219" s="345" t="str">
        <f>IFERROR(IF(E219="","",VLOOKUP(W219, 'G-3 Multipliers'!$P$2:$Q$6,2,FALSE)),””)</f>
        <v/>
      </c>
      <c r="Y219" s="595" t="str">
        <f t="shared" si="23"/>
        <v/>
      </c>
      <c r="Z219" s="355"/>
      <c r="AA219" s="356"/>
      <c r="AE219" s="59" t="str">
        <f t="shared" si="19"/>
        <v/>
      </c>
    </row>
    <row r="220" spans="1:31" x14ac:dyDescent="0.25">
      <c r="A220" s="52" t="str">
        <f>IFERROR(INDEX('G-8 Condition Look up'!$I$4:$I$131,MATCH(F220,'G-8 Condition Look up'!$A$4:$A$131,0)),"")</f>
        <v/>
      </c>
      <c r="C220" s="588" t="str">
        <f>IFERROR(INDEX('G-1 All Habitats'!$AG$3:$AG$15,MATCH(D220,'G-1 All Habitats'!$AF$3:$AF$15,0)),"")</f>
        <v/>
      </c>
      <c r="D220" s="347"/>
      <c r="E220" s="366"/>
      <c r="F220" s="365" t="str">
        <f>IFERROR(INDEX('G-1 All Habitats'!$B$3:$B$130,MATCH(E220,'G-1 All Habitats'!$A$3:$A$130,0)),"")</f>
        <v/>
      </c>
      <c r="G220" s="76"/>
      <c r="H220" s="77" t="str">
        <f>IF(F220="","",VLOOKUP(F220,'G-1 All Habitats'!$B$2:$M$130,10,FALSE))</f>
        <v/>
      </c>
      <c r="I220" s="78" t="str">
        <f>IFERROR(VLOOKUP(H220,'G-1 All Habitats'!$V$3:$W$7,2,FALSE),"")</f>
        <v/>
      </c>
      <c r="J220" s="79"/>
      <c r="K220" s="78" t="str">
        <f>IFERROR(INDEX('G-8 Condition Look up'!$A$3:$H$131,MATCH(F220,'G-8 Condition Look up'!$A$3:$A$131,0),MATCH(J220,'G-8 Condition Look up'!$A$3:$H$3,0)),"")</f>
        <v/>
      </c>
      <c r="L220" s="79"/>
      <c r="M220" s="348" t="str">
        <f>IF(L220="","",IF(VLOOKUP(L220,'G-3 Multipliers'!$L$3:$N$6,2,FALSE)=0,"Spatial Data Missing",VLOOKUP(L220,'G-3 Multipliers'!$L$3:$N$6,2,FALSE)))</f>
        <v/>
      </c>
      <c r="N220" s="569" t="str">
        <f>IF(L220="","",IF(VLOOKUP(L220,'G-3 Multipliers'!$L$3:$N$6,3,FALSE)=0,"Spatial Data Missing",VLOOKUP(L220,'G-3 Multipliers'!$L$3:$N$6,3,FALSE)))</f>
        <v/>
      </c>
      <c r="O220" s="77" t="str">
        <f t="shared" si="18"/>
        <v/>
      </c>
      <c r="P220" s="94"/>
      <c r="Q220" s="94"/>
      <c r="R220" s="343" t="str">
        <f t="shared" si="20"/>
        <v/>
      </c>
      <c r="S220" s="591" t="str">
        <f t="shared" si="21"/>
        <v/>
      </c>
      <c r="T220" s="593" t="str">
        <f>IFERROR(IF(S220="Check Data","Check Data",VLOOKUP(S220,'G-4 Temporal multipliers'!$A$4:$C$37,3,FALSE)),"")</f>
        <v/>
      </c>
      <c r="U220" s="592" t="str">
        <f>IF(F220="","",VLOOKUP(F220,'G-3 Multipliers'!$A$2:$E$130,2,FALSE))</f>
        <v/>
      </c>
      <c r="V220" s="343" t="str">
        <f t="shared" si="22"/>
        <v/>
      </c>
      <c r="W220" s="343" t="str">
        <f>IF(E220="","",IF(AND(V220="Standard difficulty applied",O220&gt;P220),U220,IF(AND(V220="Low Difficulty - only applicable if all habitat created before losses",P220&gt;=O220),"Low",VLOOKUP(F220,'G-3 Multipliers'!$A$2:$E$130,4,FALSE))))</f>
        <v/>
      </c>
      <c r="X220" s="345" t="str">
        <f>IFERROR(IF(E220="","",VLOOKUP(W220, 'G-3 Multipliers'!$P$2:$Q$6,2,FALSE)),””)</f>
        <v/>
      </c>
      <c r="Y220" s="595" t="str">
        <f t="shared" si="23"/>
        <v/>
      </c>
      <c r="Z220" s="355"/>
      <c r="AA220" s="356"/>
      <c r="AE220" s="59" t="str">
        <f t="shared" si="19"/>
        <v/>
      </c>
    </row>
    <row r="221" spans="1:31" x14ac:dyDescent="0.25">
      <c r="A221" s="52" t="str">
        <f>IFERROR(INDEX('G-8 Condition Look up'!$I$4:$I$131,MATCH(F221,'G-8 Condition Look up'!$A$4:$A$131,0)),"")</f>
        <v/>
      </c>
      <c r="C221" s="588" t="str">
        <f>IFERROR(INDEX('G-1 All Habitats'!$AG$3:$AG$15,MATCH(D221,'G-1 All Habitats'!$AF$3:$AF$15,0)),"")</f>
        <v/>
      </c>
      <c r="D221" s="347"/>
      <c r="E221" s="366"/>
      <c r="F221" s="365" t="str">
        <f>IFERROR(INDEX('G-1 All Habitats'!$B$3:$B$130,MATCH(E221,'G-1 All Habitats'!$A$3:$A$130,0)),"")</f>
        <v/>
      </c>
      <c r="G221" s="76"/>
      <c r="H221" s="77" t="str">
        <f>IF(F221="","",VLOOKUP(F221,'G-1 All Habitats'!$B$2:$M$130,10,FALSE))</f>
        <v/>
      </c>
      <c r="I221" s="78" t="str">
        <f>IFERROR(VLOOKUP(H221,'G-1 All Habitats'!$V$3:$W$7,2,FALSE),"")</f>
        <v/>
      </c>
      <c r="J221" s="79"/>
      <c r="K221" s="78" t="str">
        <f>IFERROR(INDEX('G-8 Condition Look up'!$A$3:$H$131,MATCH(F221,'G-8 Condition Look up'!$A$3:$A$131,0),MATCH(J221,'G-8 Condition Look up'!$A$3:$H$3,0)),"")</f>
        <v/>
      </c>
      <c r="L221" s="79"/>
      <c r="M221" s="348" t="str">
        <f>IF(L221="","",IF(VLOOKUP(L221,'G-3 Multipliers'!$L$3:$N$6,2,FALSE)=0,"Spatial Data Missing",VLOOKUP(L221,'G-3 Multipliers'!$L$3:$N$6,2,FALSE)))</f>
        <v/>
      </c>
      <c r="N221" s="569" t="str">
        <f>IF(L221="","",IF(VLOOKUP(L221,'G-3 Multipliers'!$L$3:$N$6,3,FALSE)=0,"Spatial Data Missing",VLOOKUP(L221,'G-3 Multipliers'!$L$3:$N$6,3,FALSE)))</f>
        <v/>
      </c>
      <c r="O221" s="77" t="str">
        <f t="shared" si="18"/>
        <v/>
      </c>
      <c r="P221" s="94"/>
      <c r="Q221" s="94"/>
      <c r="R221" s="343" t="str">
        <f t="shared" si="20"/>
        <v/>
      </c>
      <c r="S221" s="591" t="str">
        <f t="shared" si="21"/>
        <v/>
      </c>
      <c r="T221" s="593" t="str">
        <f>IFERROR(IF(S221="Check Data","Check Data",VLOOKUP(S221,'G-4 Temporal multipliers'!$A$4:$C$37,3,FALSE)),"")</f>
        <v/>
      </c>
      <c r="U221" s="592" t="str">
        <f>IF(F221="","",VLOOKUP(F221,'G-3 Multipliers'!$A$2:$E$130,2,FALSE))</f>
        <v/>
      </c>
      <c r="V221" s="343" t="str">
        <f t="shared" si="22"/>
        <v/>
      </c>
      <c r="W221" s="343" t="str">
        <f>IF(E221="","",IF(AND(V221="Standard difficulty applied",O221&gt;P221),U221,IF(AND(V221="Low Difficulty - only applicable if all habitat created before losses",P221&gt;=O221),"Low",VLOOKUP(F221,'G-3 Multipliers'!$A$2:$E$130,4,FALSE))))</f>
        <v/>
      </c>
      <c r="X221" s="345" t="str">
        <f>IFERROR(IF(E221="","",VLOOKUP(W221, 'G-3 Multipliers'!$P$2:$Q$6,2,FALSE)),””)</f>
        <v/>
      </c>
      <c r="Y221" s="595" t="str">
        <f t="shared" si="23"/>
        <v/>
      </c>
      <c r="Z221" s="355"/>
      <c r="AA221" s="356"/>
      <c r="AE221" s="59" t="str">
        <f t="shared" si="19"/>
        <v/>
      </c>
    </row>
    <row r="222" spans="1:31" x14ac:dyDescent="0.25">
      <c r="A222" s="52" t="str">
        <f>IFERROR(INDEX('G-8 Condition Look up'!$I$4:$I$131,MATCH(F222,'G-8 Condition Look up'!$A$4:$A$131,0)),"")</f>
        <v/>
      </c>
      <c r="C222" s="588" t="str">
        <f>IFERROR(INDEX('G-1 All Habitats'!$AG$3:$AG$15,MATCH(D222,'G-1 All Habitats'!$AF$3:$AF$15,0)),"")</f>
        <v/>
      </c>
      <c r="D222" s="347"/>
      <c r="E222" s="366"/>
      <c r="F222" s="365" t="str">
        <f>IFERROR(INDEX('G-1 All Habitats'!$B$3:$B$130,MATCH(E222,'G-1 All Habitats'!$A$3:$A$130,0)),"")</f>
        <v/>
      </c>
      <c r="G222" s="76"/>
      <c r="H222" s="77" t="str">
        <f>IF(F222="","",VLOOKUP(F222,'G-1 All Habitats'!$B$2:$M$130,10,FALSE))</f>
        <v/>
      </c>
      <c r="I222" s="78" t="str">
        <f>IFERROR(VLOOKUP(H222,'G-1 All Habitats'!$V$3:$W$7,2,FALSE),"")</f>
        <v/>
      </c>
      <c r="J222" s="79"/>
      <c r="K222" s="78" t="str">
        <f>IFERROR(INDEX('G-8 Condition Look up'!$A$3:$H$131,MATCH(F222,'G-8 Condition Look up'!$A$3:$A$131,0),MATCH(J222,'G-8 Condition Look up'!$A$3:$H$3,0)),"")</f>
        <v/>
      </c>
      <c r="L222" s="79"/>
      <c r="M222" s="348" t="str">
        <f>IF(L222="","",IF(VLOOKUP(L222,'G-3 Multipliers'!$L$3:$N$6,2,FALSE)=0,"Spatial Data Missing",VLOOKUP(L222,'G-3 Multipliers'!$L$3:$N$6,2,FALSE)))</f>
        <v/>
      </c>
      <c r="N222" s="569" t="str">
        <f>IF(L222="","",IF(VLOOKUP(L222,'G-3 Multipliers'!$L$3:$N$6,3,FALSE)=0,"Spatial Data Missing",VLOOKUP(L222,'G-3 Multipliers'!$L$3:$N$6,3,FALSE)))</f>
        <v/>
      </c>
      <c r="O222" s="77" t="str">
        <f t="shared" si="18"/>
        <v/>
      </c>
      <c r="P222" s="94"/>
      <c r="Q222" s="94"/>
      <c r="R222" s="343" t="str">
        <f t="shared" si="20"/>
        <v/>
      </c>
      <c r="S222" s="591" t="str">
        <f t="shared" si="21"/>
        <v/>
      </c>
      <c r="T222" s="593" t="str">
        <f>IFERROR(IF(S222="Check Data","Check Data",VLOOKUP(S222,'G-4 Temporal multipliers'!$A$4:$C$37,3,FALSE)),"")</f>
        <v/>
      </c>
      <c r="U222" s="592" t="str">
        <f>IF(F222="","",VLOOKUP(F222,'G-3 Multipliers'!$A$2:$E$130,2,FALSE))</f>
        <v/>
      </c>
      <c r="V222" s="343" t="str">
        <f t="shared" si="22"/>
        <v/>
      </c>
      <c r="W222" s="343" t="str">
        <f>IF(E222="","",IF(AND(V222="Standard difficulty applied",O222&gt;P222),U222,IF(AND(V222="Low Difficulty - only applicable if all habitat created before losses",P222&gt;=O222),"Low",VLOOKUP(F222,'G-3 Multipliers'!$A$2:$E$130,4,FALSE))))</f>
        <v/>
      </c>
      <c r="X222" s="345" t="str">
        <f>IFERROR(IF(E222="","",VLOOKUP(W222, 'G-3 Multipliers'!$P$2:$Q$6,2,FALSE)),””)</f>
        <v/>
      </c>
      <c r="Y222" s="595" t="str">
        <f t="shared" si="23"/>
        <v/>
      </c>
      <c r="Z222" s="355"/>
      <c r="AA222" s="356"/>
      <c r="AE222" s="59" t="str">
        <f t="shared" si="19"/>
        <v/>
      </c>
    </row>
    <row r="223" spans="1:31" x14ac:dyDescent="0.25">
      <c r="A223" s="52" t="str">
        <f>IFERROR(INDEX('G-8 Condition Look up'!$I$4:$I$131,MATCH(F223,'G-8 Condition Look up'!$A$4:$A$131,0)),"")</f>
        <v/>
      </c>
      <c r="C223" s="588" t="str">
        <f>IFERROR(INDEX('G-1 All Habitats'!$AG$3:$AG$15,MATCH(D223,'G-1 All Habitats'!$AF$3:$AF$15,0)),"")</f>
        <v/>
      </c>
      <c r="D223" s="347"/>
      <c r="E223" s="366"/>
      <c r="F223" s="365" t="str">
        <f>IFERROR(INDEX('G-1 All Habitats'!$B$3:$B$130,MATCH(E223,'G-1 All Habitats'!$A$3:$A$130,0)),"")</f>
        <v/>
      </c>
      <c r="G223" s="76"/>
      <c r="H223" s="77" t="str">
        <f>IF(F223="","",VLOOKUP(F223,'G-1 All Habitats'!$B$2:$M$130,10,FALSE))</f>
        <v/>
      </c>
      <c r="I223" s="78" t="str">
        <f>IFERROR(VLOOKUP(H223,'G-1 All Habitats'!$V$3:$W$7,2,FALSE),"")</f>
        <v/>
      </c>
      <c r="J223" s="79"/>
      <c r="K223" s="78" t="str">
        <f>IFERROR(INDEX('G-8 Condition Look up'!$A$3:$H$131,MATCH(F223,'G-8 Condition Look up'!$A$3:$A$131,0),MATCH(J223,'G-8 Condition Look up'!$A$3:$H$3,0)),"")</f>
        <v/>
      </c>
      <c r="L223" s="79"/>
      <c r="M223" s="348" t="str">
        <f>IF(L223="","",IF(VLOOKUP(L223,'G-3 Multipliers'!$L$3:$N$6,2,FALSE)=0,"Spatial Data Missing",VLOOKUP(L223,'G-3 Multipliers'!$L$3:$N$6,2,FALSE)))</f>
        <v/>
      </c>
      <c r="N223" s="569" t="str">
        <f>IF(L223="","",IF(VLOOKUP(L223,'G-3 Multipliers'!$L$3:$N$6,3,FALSE)=0,"Spatial Data Missing",VLOOKUP(L223,'G-3 Multipliers'!$L$3:$N$6,3,FALSE)))</f>
        <v/>
      </c>
      <c r="O223" s="77" t="str">
        <f t="shared" si="18"/>
        <v/>
      </c>
      <c r="P223" s="94"/>
      <c r="Q223" s="94"/>
      <c r="R223" s="343" t="str">
        <f t="shared" si="20"/>
        <v/>
      </c>
      <c r="S223" s="591" t="str">
        <f t="shared" si="21"/>
        <v/>
      </c>
      <c r="T223" s="593" t="str">
        <f>IFERROR(IF(S223="Check Data","Check Data",VLOOKUP(S223,'G-4 Temporal multipliers'!$A$4:$C$37,3,FALSE)),"")</f>
        <v/>
      </c>
      <c r="U223" s="592" t="str">
        <f>IF(F223="","",VLOOKUP(F223,'G-3 Multipliers'!$A$2:$E$130,2,FALSE))</f>
        <v/>
      </c>
      <c r="V223" s="343" t="str">
        <f t="shared" si="22"/>
        <v/>
      </c>
      <c r="W223" s="343" t="str">
        <f>IF(E223="","",IF(AND(V223="Standard difficulty applied",O223&gt;P223),U223,IF(AND(V223="Low Difficulty - only applicable if all habitat created before losses",P223&gt;=O223),"Low",VLOOKUP(F223,'G-3 Multipliers'!$A$2:$E$130,4,FALSE))))</f>
        <v/>
      </c>
      <c r="X223" s="345" t="str">
        <f>IFERROR(IF(E223="","",VLOOKUP(W223, 'G-3 Multipliers'!$P$2:$Q$6,2,FALSE)),””)</f>
        <v/>
      </c>
      <c r="Y223" s="595" t="str">
        <f t="shared" si="23"/>
        <v/>
      </c>
      <c r="Z223" s="355"/>
      <c r="AA223" s="356"/>
      <c r="AE223" s="59" t="str">
        <f t="shared" si="19"/>
        <v/>
      </c>
    </row>
    <row r="224" spans="1:31" x14ac:dyDescent="0.25">
      <c r="A224" s="52" t="str">
        <f>IFERROR(INDEX('G-8 Condition Look up'!$I$4:$I$131,MATCH(F224,'G-8 Condition Look up'!$A$4:$A$131,0)),"")</f>
        <v/>
      </c>
      <c r="C224" s="588" t="str">
        <f>IFERROR(INDEX('G-1 All Habitats'!$AG$3:$AG$15,MATCH(D224,'G-1 All Habitats'!$AF$3:$AF$15,0)),"")</f>
        <v/>
      </c>
      <c r="D224" s="347"/>
      <c r="E224" s="366"/>
      <c r="F224" s="365" t="str">
        <f>IFERROR(INDEX('G-1 All Habitats'!$B$3:$B$130,MATCH(E224,'G-1 All Habitats'!$A$3:$A$130,0)),"")</f>
        <v/>
      </c>
      <c r="G224" s="76"/>
      <c r="H224" s="77" t="str">
        <f>IF(F224="","",VLOOKUP(F224,'G-1 All Habitats'!$B$2:$M$130,10,FALSE))</f>
        <v/>
      </c>
      <c r="I224" s="78" t="str">
        <f>IFERROR(VLOOKUP(H224,'G-1 All Habitats'!$V$3:$W$7,2,FALSE),"")</f>
        <v/>
      </c>
      <c r="J224" s="79"/>
      <c r="K224" s="78" t="str">
        <f>IFERROR(INDEX('G-8 Condition Look up'!$A$3:$H$131,MATCH(F224,'G-8 Condition Look up'!$A$3:$A$131,0),MATCH(J224,'G-8 Condition Look up'!$A$3:$H$3,0)),"")</f>
        <v/>
      </c>
      <c r="L224" s="79"/>
      <c r="M224" s="348" t="str">
        <f>IF(L224="","",IF(VLOOKUP(L224,'G-3 Multipliers'!$L$3:$N$6,2,FALSE)=0,"Spatial Data Missing",VLOOKUP(L224,'G-3 Multipliers'!$L$3:$N$6,2,FALSE)))</f>
        <v/>
      </c>
      <c r="N224" s="569" t="str">
        <f>IF(L224="","",IF(VLOOKUP(L224,'G-3 Multipliers'!$L$3:$N$6,3,FALSE)=0,"Spatial Data Missing",VLOOKUP(L224,'G-3 Multipliers'!$L$3:$N$6,3,FALSE)))</f>
        <v/>
      </c>
      <c r="O224" s="77" t="str">
        <f t="shared" si="18"/>
        <v/>
      </c>
      <c r="P224" s="94"/>
      <c r="Q224" s="94"/>
      <c r="R224" s="343" t="str">
        <f t="shared" si="20"/>
        <v/>
      </c>
      <c r="S224" s="591" t="str">
        <f t="shared" si="21"/>
        <v/>
      </c>
      <c r="T224" s="593" t="str">
        <f>IFERROR(IF(S224="Check Data","Check Data",VLOOKUP(S224,'G-4 Temporal multipliers'!$A$4:$C$37,3,FALSE)),"")</f>
        <v/>
      </c>
      <c r="U224" s="592" t="str">
        <f>IF(F224="","",VLOOKUP(F224,'G-3 Multipliers'!$A$2:$E$130,2,FALSE))</f>
        <v/>
      </c>
      <c r="V224" s="343" t="str">
        <f t="shared" si="22"/>
        <v/>
      </c>
      <c r="W224" s="343" t="str">
        <f>IF(E224="","",IF(AND(V224="Standard difficulty applied",O224&gt;P224),U224,IF(AND(V224="Low Difficulty - only applicable if all habitat created before losses",P224&gt;=O224),"Low",VLOOKUP(F224,'G-3 Multipliers'!$A$2:$E$130,4,FALSE))))</f>
        <v/>
      </c>
      <c r="X224" s="345" t="str">
        <f>IFERROR(IF(E224="","",VLOOKUP(W224, 'G-3 Multipliers'!$P$2:$Q$6,2,FALSE)),””)</f>
        <v/>
      </c>
      <c r="Y224" s="595" t="str">
        <f t="shared" si="23"/>
        <v/>
      </c>
      <c r="Z224" s="355"/>
      <c r="AA224" s="356"/>
      <c r="AE224" s="59" t="str">
        <f t="shared" si="19"/>
        <v/>
      </c>
    </row>
    <row r="225" spans="1:31" x14ac:dyDescent="0.25">
      <c r="A225" s="52" t="str">
        <f>IFERROR(INDEX('G-8 Condition Look up'!$I$4:$I$131,MATCH(F225,'G-8 Condition Look up'!$A$4:$A$131,0)),"")</f>
        <v/>
      </c>
      <c r="C225" s="588" t="str">
        <f>IFERROR(INDEX('G-1 All Habitats'!$AG$3:$AG$15,MATCH(D225,'G-1 All Habitats'!$AF$3:$AF$15,0)),"")</f>
        <v/>
      </c>
      <c r="D225" s="347"/>
      <c r="E225" s="366"/>
      <c r="F225" s="365" t="str">
        <f>IFERROR(INDEX('G-1 All Habitats'!$B$3:$B$130,MATCH(E225,'G-1 All Habitats'!$A$3:$A$130,0)),"")</f>
        <v/>
      </c>
      <c r="G225" s="76"/>
      <c r="H225" s="77" t="str">
        <f>IF(F225="","",VLOOKUP(F225,'G-1 All Habitats'!$B$2:$M$130,10,FALSE))</f>
        <v/>
      </c>
      <c r="I225" s="78" t="str">
        <f>IFERROR(VLOOKUP(H225,'G-1 All Habitats'!$V$3:$W$7,2,FALSE),"")</f>
        <v/>
      </c>
      <c r="J225" s="79"/>
      <c r="K225" s="78" t="str">
        <f>IFERROR(INDEX('G-8 Condition Look up'!$A$3:$H$131,MATCH(F225,'G-8 Condition Look up'!$A$3:$A$131,0),MATCH(J225,'G-8 Condition Look up'!$A$3:$H$3,0)),"")</f>
        <v/>
      </c>
      <c r="L225" s="79"/>
      <c r="M225" s="348" t="str">
        <f>IF(L225="","",IF(VLOOKUP(L225,'G-3 Multipliers'!$L$3:$N$6,2,FALSE)=0,"Spatial Data Missing",VLOOKUP(L225,'G-3 Multipliers'!$L$3:$N$6,2,FALSE)))</f>
        <v/>
      </c>
      <c r="N225" s="569" t="str">
        <f>IF(L225="","",IF(VLOOKUP(L225,'G-3 Multipliers'!$L$3:$N$6,3,FALSE)=0,"Spatial Data Missing",VLOOKUP(L225,'G-3 Multipliers'!$L$3:$N$6,3,FALSE)))</f>
        <v/>
      </c>
      <c r="O225" s="77" t="str">
        <f t="shared" si="18"/>
        <v/>
      </c>
      <c r="P225" s="94"/>
      <c r="Q225" s="94"/>
      <c r="R225" s="343" t="str">
        <f t="shared" si="20"/>
        <v/>
      </c>
      <c r="S225" s="591" t="str">
        <f t="shared" si="21"/>
        <v/>
      </c>
      <c r="T225" s="593" t="str">
        <f>IFERROR(IF(S225="Check Data","Check Data",VLOOKUP(S225,'G-4 Temporal multipliers'!$A$4:$C$37,3,FALSE)),"")</f>
        <v/>
      </c>
      <c r="U225" s="592" t="str">
        <f>IF(F225="","",VLOOKUP(F225,'G-3 Multipliers'!$A$2:$E$130,2,FALSE))</f>
        <v/>
      </c>
      <c r="V225" s="343" t="str">
        <f t="shared" si="22"/>
        <v/>
      </c>
      <c r="W225" s="343" t="str">
        <f>IF(E225="","",IF(AND(V225="Standard difficulty applied",O225&gt;P225),U225,IF(AND(V225="Low Difficulty - only applicable if all habitat created before losses",P225&gt;=O225),"Low",VLOOKUP(F225,'G-3 Multipliers'!$A$2:$E$130,4,FALSE))))</f>
        <v/>
      </c>
      <c r="X225" s="345" t="str">
        <f>IFERROR(IF(E225="","",VLOOKUP(W225, 'G-3 Multipliers'!$P$2:$Q$6,2,FALSE)),””)</f>
        <v/>
      </c>
      <c r="Y225" s="595" t="str">
        <f t="shared" si="23"/>
        <v/>
      </c>
      <c r="Z225" s="355"/>
      <c r="AA225" s="356"/>
      <c r="AE225" s="59" t="str">
        <f t="shared" si="19"/>
        <v/>
      </c>
    </row>
    <row r="226" spans="1:31" x14ac:dyDescent="0.25">
      <c r="A226" s="52" t="str">
        <f>IFERROR(INDEX('G-8 Condition Look up'!$I$4:$I$131,MATCH(F226,'G-8 Condition Look up'!$A$4:$A$131,0)),"")</f>
        <v/>
      </c>
      <c r="C226" s="588" t="str">
        <f>IFERROR(INDEX('G-1 All Habitats'!$AG$3:$AG$15,MATCH(D226,'G-1 All Habitats'!$AF$3:$AF$15,0)),"")</f>
        <v/>
      </c>
      <c r="D226" s="347"/>
      <c r="E226" s="366"/>
      <c r="F226" s="365" t="str">
        <f>IFERROR(INDEX('G-1 All Habitats'!$B$3:$B$130,MATCH(E226,'G-1 All Habitats'!$A$3:$A$130,0)),"")</f>
        <v/>
      </c>
      <c r="G226" s="76"/>
      <c r="H226" s="77" t="str">
        <f>IF(F226="","",VLOOKUP(F226,'G-1 All Habitats'!$B$2:$M$130,10,FALSE))</f>
        <v/>
      </c>
      <c r="I226" s="78" t="str">
        <f>IFERROR(VLOOKUP(H226,'G-1 All Habitats'!$V$3:$W$7,2,FALSE),"")</f>
        <v/>
      </c>
      <c r="J226" s="79"/>
      <c r="K226" s="78" t="str">
        <f>IFERROR(INDEX('G-8 Condition Look up'!$A$3:$H$131,MATCH(F226,'G-8 Condition Look up'!$A$3:$A$131,0),MATCH(J226,'G-8 Condition Look up'!$A$3:$H$3,0)),"")</f>
        <v/>
      </c>
      <c r="L226" s="79"/>
      <c r="M226" s="348" t="str">
        <f>IF(L226="","",IF(VLOOKUP(L226,'G-3 Multipliers'!$L$3:$N$6,2,FALSE)=0,"Spatial Data Missing",VLOOKUP(L226,'G-3 Multipliers'!$L$3:$N$6,2,FALSE)))</f>
        <v/>
      </c>
      <c r="N226" s="569" t="str">
        <f>IF(L226="","",IF(VLOOKUP(L226,'G-3 Multipliers'!$L$3:$N$6,3,FALSE)=0,"Spatial Data Missing",VLOOKUP(L226,'G-3 Multipliers'!$L$3:$N$6,3,FALSE)))</f>
        <v/>
      </c>
      <c r="O226" s="77" t="str">
        <f t="shared" si="18"/>
        <v/>
      </c>
      <c r="P226" s="94"/>
      <c r="Q226" s="94"/>
      <c r="R226" s="343" t="str">
        <f t="shared" si="20"/>
        <v/>
      </c>
      <c r="S226" s="591" t="str">
        <f t="shared" si="21"/>
        <v/>
      </c>
      <c r="T226" s="593" t="str">
        <f>IFERROR(IF(S226="Check Data","Check Data",VLOOKUP(S226,'G-4 Temporal multipliers'!$A$4:$C$37,3,FALSE)),"")</f>
        <v/>
      </c>
      <c r="U226" s="592" t="str">
        <f>IF(F226="","",VLOOKUP(F226,'G-3 Multipliers'!$A$2:$E$130,2,FALSE))</f>
        <v/>
      </c>
      <c r="V226" s="343" t="str">
        <f t="shared" si="22"/>
        <v/>
      </c>
      <c r="W226" s="343" t="str">
        <f>IF(E226="","",IF(AND(V226="Standard difficulty applied",O226&gt;P226),U226,IF(AND(V226="Low Difficulty - only applicable if all habitat created before losses",P226&gt;=O226),"Low",VLOOKUP(F226,'G-3 Multipliers'!$A$2:$E$130,4,FALSE))))</f>
        <v/>
      </c>
      <c r="X226" s="345" t="str">
        <f>IFERROR(IF(E226="","",VLOOKUP(W226, 'G-3 Multipliers'!$P$2:$Q$6,2,FALSE)),””)</f>
        <v/>
      </c>
      <c r="Y226" s="595" t="str">
        <f t="shared" si="23"/>
        <v/>
      </c>
      <c r="Z226" s="355"/>
      <c r="AA226" s="356"/>
      <c r="AE226" s="59" t="str">
        <f t="shared" si="19"/>
        <v/>
      </c>
    </row>
    <row r="227" spans="1:31" x14ac:dyDescent="0.25">
      <c r="A227" s="52" t="str">
        <f>IFERROR(INDEX('G-8 Condition Look up'!$I$4:$I$131,MATCH(F227,'G-8 Condition Look up'!$A$4:$A$131,0)),"")</f>
        <v/>
      </c>
      <c r="C227" s="588" t="str">
        <f>IFERROR(INDEX('G-1 All Habitats'!$AG$3:$AG$15,MATCH(D227,'G-1 All Habitats'!$AF$3:$AF$15,0)),"")</f>
        <v/>
      </c>
      <c r="D227" s="347"/>
      <c r="E227" s="366"/>
      <c r="F227" s="365" t="str">
        <f>IFERROR(INDEX('G-1 All Habitats'!$B$3:$B$130,MATCH(E227,'G-1 All Habitats'!$A$3:$A$130,0)),"")</f>
        <v/>
      </c>
      <c r="G227" s="76"/>
      <c r="H227" s="77" t="str">
        <f>IF(F227="","",VLOOKUP(F227,'G-1 All Habitats'!$B$2:$M$130,10,FALSE))</f>
        <v/>
      </c>
      <c r="I227" s="78" t="str">
        <f>IFERROR(VLOOKUP(H227,'G-1 All Habitats'!$V$3:$W$7,2,FALSE),"")</f>
        <v/>
      </c>
      <c r="J227" s="79"/>
      <c r="K227" s="78" t="str">
        <f>IFERROR(INDEX('G-8 Condition Look up'!$A$3:$H$131,MATCH(F227,'G-8 Condition Look up'!$A$3:$A$131,0),MATCH(J227,'G-8 Condition Look up'!$A$3:$H$3,0)),"")</f>
        <v/>
      </c>
      <c r="L227" s="79"/>
      <c r="M227" s="348" t="str">
        <f>IF(L227="","",IF(VLOOKUP(L227,'G-3 Multipliers'!$L$3:$N$6,2,FALSE)=0,"Spatial Data Missing",VLOOKUP(L227,'G-3 Multipliers'!$L$3:$N$6,2,FALSE)))</f>
        <v/>
      </c>
      <c r="N227" s="569" t="str">
        <f>IF(L227="","",IF(VLOOKUP(L227,'G-3 Multipliers'!$L$3:$N$6,3,FALSE)=0,"Spatial Data Missing",VLOOKUP(L227,'G-3 Multipliers'!$L$3:$N$6,3,FALSE)))</f>
        <v/>
      </c>
      <c r="O227" s="77" t="str">
        <f t="shared" si="18"/>
        <v/>
      </c>
      <c r="P227" s="94"/>
      <c r="Q227" s="94"/>
      <c r="R227" s="343" t="str">
        <f t="shared" si="20"/>
        <v/>
      </c>
      <c r="S227" s="591" t="str">
        <f t="shared" si="21"/>
        <v/>
      </c>
      <c r="T227" s="593" t="str">
        <f>IFERROR(IF(S227="Check Data","Check Data",VLOOKUP(S227,'G-4 Temporal multipliers'!$A$4:$C$37,3,FALSE)),"")</f>
        <v/>
      </c>
      <c r="U227" s="592" t="str">
        <f>IF(F227="","",VLOOKUP(F227,'G-3 Multipliers'!$A$2:$E$130,2,FALSE))</f>
        <v/>
      </c>
      <c r="V227" s="343" t="str">
        <f t="shared" si="22"/>
        <v/>
      </c>
      <c r="W227" s="343" t="str">
        <f>IF(E227="","",IF(AND(V227="Standard difficulty applied",O227&gt;P227),U227,IF(AND(V227="Low Difficulty - only applicable if all habitat created before losses",P227&gt;=O227),"Low",VLOOKUP(F227,'G-3 Multipliers'!$A$2:$E$130,4,FALSE))))</f>
        <v/>
      </c>
      <c r="X227" s="345" t="str">
        <f>IFERROR(IF(E227="","",VLOOKUP(W227, 'G-3 Multipliers'!$P$2:$Q$6,2,FALSE)),””)</f>
        <v/>
      </c>
      <c r="Y227" s="595" t="str">
        <f t="shared" si="23"/>
        <v/>
      </c>
      <c r="Z227" s="355"/>
      <c r="AA227" s="356"/>
      <c r="AE227" s="59" t="str">
        <f t="shared" si="19"/>
        <v/>
      </c>
    </row>
    <row r="228" spans="1:31" x14ac:dyDescent="0.25">
      <c r="A228" s="52" t="str">
        <f>IFERROR(INDEX('G-8 Condition Look up'!$I$4:$I$131,MATCH(F228,'G-8 Condition Look up'!$A$4:$A$131,0)),"")</f>
        <v/>
      </c>
      <c r="C228" s="588" t="str">
        <f>IFERROR(INDEX('G-1 All Habitats'!$AG$3:$AG$15,MATCH(D228,'G-1 All Habitats'!$AF$3:$AF$15,0)),"")</f>
        <v/>
      </c>
      <c r="D228" s="347"/>
      <c r="E228" s="366"/>
      <c r="F228" s="365" t="str">
        <f>IFERROR(INDEX('G-1 All Habitats'!$B$3:$B$130,MATCH(E228,'G-1 All Habitats'!$A$3:$A$130,0)),"")</f>
        <v/>
      </c>
      <c r="G228" s="76"/>
      <c r="H228" s="77" t="str">
        <f>IF(F228="","",VLOOKUP(F228,'G-1 All Habitats'!$B$2:$M$130,10,FALSE))</f>
        <v/>
      </c>
      <c r="I228" s="78" t="str">
        <f>IFERROR(VLOOKUP(H228,'G-1 All Habitats'!$V$3:$W$7,2,FALSE),"")</f>
        <v/>
      </c>
      <c r="J228" s="79"/>
      <c r="K228" s="78" t="str">
        <f>IFERROR(INDEX('G-8 Condition Look up'!$A$3:$H$131,MATCH(F228,'G-8 Condition Look up'!$A$3:$A$131,0),MATCH(J228,'G-8 Condition Look up'!$A$3:$H$3,0)),"")</f>
        <v/>
      </c>
      <c r="L228" s="79"/>
      <c r="M228" s="348" t="str">
        <f>IF(L228="","",IF(VLOOKUP(L228,'G-3 Multipliers'!$L$3:$N$6,2,FALSE)=0,"Spatial Data Missing",VLOOKUP(L228,'G-3 Multipliers'!$L$3:$N$6,2,FALSE)))</f>
        <v/>
      </c>
      <c r="N228" s="569" t="str">
        <f>IF(L228="","",IF(VLOOKUP(L228,'G-3 Multipliers'!$L$3:$N$6,3,FALSE)=0,"Spatial Data Missing",VLOOKUP(L228,'G-3 Multipliers'!$L$3:$N$6,3,FALSE)))</f>
        <v/>
      </c>
      <c r="O228" s="77" t="str">
        <f t="shared" si="18"/>
        <v/>
      </c>
      <c r="P228" s="94"/>
      <c r="Q228" s="94"/>
      <c r="R228" s="343" t="str">
        <f t="shared" si="20"/>
        <v/>
      </c>
      <c r="S228" s="591" t="str">
        <f t="shared" si="21"/>
        <v/>
      </c>
      <c r="T228" s="593" t="str">
        <f>IFERROR(IF(S228="Check Data","Check Data",VLOOKUP(S228,'G-4 Temporal multipliers'!$A$4:$C$37,3,FALSE)),"")</f>
        <v/>
      </c>
      <c r="U228" s="592" t="str">
        <f>IF(F228="","",VLOOKUP(F228,'G-3 Multipliers'!$A$2:$E$130,2,FALSE))</f>
        <v/>
      </c>
      <c r="V228" s="343" t="str">
        <f t="shared" si="22"/>
        <v/>
      </c>
      <c r="W228" s="343" t="str">
        <f>IF(E228="","",IF(AND(V228="Standard difficulty applied",O228&gt;P228),U228,IF(AND(V228="Low Difficulty - only applicable if all habitat created before losses",P228&gt;=O228),"Low",VLOOKUP(F228,'G-3 Multipliers'!$A$2:$E$130,4,FALSE))))</f>
        <v/>
      </c>
      <c r="X228" s="345" t="str">
        <f>IFERROR(IF(E228="","",VLOOKUP(W228, 'G-3 Multipliers'!$P$2:$Q$6,2,FALSE)),””)</f>
        <v/>
      </c>
      <c r="Y228" s="595" t="str">
        <f t="shared" si="23"/>
        <v/>
      </c>
      <c r="Z228" s="355"/>
      <c r="AA228" s="356"/>
      <c r="AE228" s="59" t="str">
        <f t="shared" si="19"/>
        <v/>
      </c>
    </row>
    <row r="229" spans="1:31" x14ac:dyDescent="0.25">
      <c r="A229" s="52" t="str">
        <f>IFERROR(INDEX('G-8 Condition Look up'!$I$4:$I$131,MATCH(F229,'G-8 Condition Look up'!$A$4:$A$131,0)),"")</f>
        <v/>
      </c>
      <c r="C229" s="588" t="str">
        <f>IFERROR(INDEX('G-1 All Habitats'!$AG$3:$AG$15,MATCH(D229,'G-1 All Habitats'!$AF$3:$AF$15,0)),"")</f>
        <v/>
      </c>
      <c r="D229" s="347"/>
      <c r="E229" s="366"/>
      <c r="F229" s="365" t="str">
        <f>IFERROR(INDEX('G-1 All Habitats'!$B$3:$B$130,MATCH(E229,'G-1 All Habitats'!$A$3:$A$130,0)),"")</f>
        <v/>
      </c>
      <c r="G229" s="76"/>
      <c r="H229" s="77" t="str">
        <f>IF(F229="","",VLOOKUP(F229,'G-1 All Habitats'!$B$2:$M$130,10,FALSE))</f>
        <v/>
      </c>
      <c r="I229" s="78" t="str">
        <f>IFERROR(VLOOKUP(H229,'G-1 All Habitats'!$V$3:$W$7,2,FALSE),"")</f>
        <v/>
      </c>
      <c r="J229" s="79"/>
      <c r="K229" s="78" t="str">
        <f>IFERROR(INDEX('G-8 Condition Look up'!$A$3:$H$131,MATCH(F229,'G-8 Condition Look up'!$A$3:$A$131,0),MATCH(J229,'G-8 Condition Look up'!$A$3:$H$3,0)),"")</f>
        <v/>
      </c>
      <c r="L229" s="79"/>
      <c r="M229" s="348" t="str">
        <f>IF(L229="","",IF(VLOOKUP(L229,'G-3 Multipliers'!$L$3:$N$6,2,FALSE)=0,"Spatial Data Missing",VLOOKUP(L229,'G-3 Multipliers'!$L$3:$N$6,2,FALSE)))</f>
        <v/>
      </c>
      <c r="N229" s="569" t="str">
        <f>IF(L229="","",IF(VLOOKUP(L229,'G-3 Multipliers'!$L$3:$N$6,3,FALSE)=0,"Spatial Data Missing",VLOOKUP(L229,'G-3 Multipliers'!$L$3:$N$6,3,FALSE)))</f>
        <v/>
      </c>
      <c r="O229" s="77" t="str">
        <f t="shared" si="18"/>
        <v/>
      </c>
      <c r="P229" s="94"/>
      <c r="Q229" s="94"/>
      <c r="R229" s="343" t="str">
        <f t="shared" si="20"/>
        <v/>
      </c>
      <c r="S229" s="591" t="str">
        <f t="shared" si="21"/>
        <v/>
      </c>
      <c r="T229" s="593" t="str">
        <f>IFERROR(IF(S229="Check Data","Check Data",VLOOKUP(S229,'G-4 Temporal multipliers'!$A$4:$C$37,3,FALSE)),"")</f>
        <v/>
      </c>
      <c r="U229" s="592" t="str">
        <f>IF(F229="","",VLOOKUP(F229,'G-3 Multipliers'!$A$2:$E$130,2,FALSE))</f>
        <v/>
      </c>
      <c r="V229" s="343" t="str">
        <f t="shared" si="22"/>
        <v/>
      </c>
      <c r="W229" s="343" t="str">
        <f>IF(E229="","",IF(AND(V229="Standard difficulty applied",O229&gt;P229),U229,IF(AND(V229="Low Difficulty - only applicable if all habitat created before losses",P229&gt;=O229),"Low",VLOOKUP(F229,'G-3 Multipliers'!$A$2:$E$130,4,FALSE))))</f>
        <v/>
      </c>
      <c r="X229" s="345" t="str">
        <f>IFERROR(IF(E229="","",VLOOKUP(W229, 'G-3 Multipliers'!$P$2:$Q$6,2,FALSE)),””)</f>
        <v/>
      </c>
      <c r="Y229" s="595" t="str">
        <f t="shared" si="23"/>
        <v/>
      </c>
      <c r="Z229" s="355"/>
      <c r="AA229" s="356"/>
      <c r="AE229" s="59" t="str">
        <f t="shared" si="19"/>
        <v/>
      </c>
    </row>
    <row r="230" spans="1:31" x14ac:dyDescent="0.25">
      <c r="A230" s="52" t="str">
        <f>IFERROR(INDEX('G-8 Condition Look up'!$I$4:$I$131,MATCH(F230,'G-8 Condition Look up'!$A$4:$A$131,0)),"")</f>
        <v/>
      </c>
      <c r="C230" s="588" t="str">
        <f>IFERROR(INDEX('G-1 All Habitats'!$AG$3:$AG$15,MATCH(D230,'G-1 All Habitats'!$AF$3:$AF$15,0)),"")</f>
        <v/>
      </c>
      <c r="D230" s="347"/>
      <c r="E230" s="366"/>
      <c r="F230" s="365" t="str">
        <f>IFERROR(INDEX('G-1 All Habitats'!$B$3:$B$130,MATCH(E230,'G-1 All Habitats'!$A$3:$A$130,0)),"")</f>
        <v/>
      </c>
      <c r="G230" s="76"/>
      <c r="H230" s="77" t="str">
        <f>IF(F230="","",VLOOKUP(F230,'G-1 All Habitats'!$B$2:$M$130,10,FALSE))</f>
        <v/>
      </c>
      <c r="I230" s="78" t="str">
        <f>IFERROR(VLOOKUP(H230,'G-1 All Habitats'!$V$3:$W$7,2,FALSE),"")</f>
        <v/>
      </c>
      <c r="J230" s="79"/>
      <c r="K230" s="78" t="str">
        <f>IFERROR(INDEX('G-8 Condition Look up'!$A$3:$H$131,MATCH(F230,'G-8 Condition Look up'!$A$3:$A$131,0),MATCH(J230,'G-8 Condition Look up'!$A$3:$H$3,0)),"")</f>
        <v/>
      </c>
      <c r="L230" s="79"/>
      <c r="M230" s="348" t="str">
        <f>IF(L230="","",IF(VLOOKUP(L230,'G-3 Multipliers'!$L$3:$N$6,2,FALSE)=0,"Spatial Data Missing",VLOOKUP(L230,'G-3 Multipliers'!$L$3:$N$6,2,FALSE)))</f>
        <v/>
      </c>
      <c r="N230" s="569" t="str">
        <f>IF(L230="","",IF(VLOOKUP(L230,'G-3 Multipliers'!$L$3:$N$6,3,FALSE)=0,"Spatial Data Missing",VLOOKUP(L230,'G-3 Multipliers'!$L$3:$N$6,3,FALSE)))</f>
        <v/>
      </c>
      <c r="O230" s="77" t="str">
        <f t="shared" si="18"/>
        <v/>
      </c>
      <c r="P230" s="94"/>
      <c r="Q230" s="94"/>
      <c r="R230" s="343" t="str">
        <f t="shared" si="20"/>
        <v/>
      </c>
      <c r="S230" s="591" t="str">
        <f t="shared" si="21"/>
        <v/>
      </c>
      <c r="T230" s="593" t="str">
        <f>IFERROR(IF(S230="Check Data","Check Data",VLOOKUP(S230,'G-4 Temporal multipliers'!$A$4:$C$37,3,FALSE)),"")</f>
        <v/>
      </c>
      <c r="U230" s="592" t="str">
        <f>IF(F230="","",VLOOKUP(F230,'G-3 Multipliers'!$A$2:$E$130,2,FALSE))</f>
        <v/>
      </c>
      <c r="V230" s="343" t="str">
        <f t="shared" si="22"/>
        <v/>
      </c>
      <c r="W230" s="343" t="str">
        <f>IF(E230="","",IF(AND(V230="Standard difficulty applied",O230&gt;P230),U230,IF(AND(V230="Low Difficulty - only applicable if all habitat created before losses",P230&gt;=O230),"Low",VLOOKUP(F230,'G-3 Multipliers'!$A$2:$E$130,4,FALSE))))</f>
        <v/>
      </c>
      <c r="X230" s="345" t="str">
        <f>IFERROR(IF(E230="","",VLOOKUP(W230, 'G-3 Multipliers'!$P$2:$Q$6,2,FALSE)),””)</f>
        <v/>
      </c>
      <c r="Y230" s="595" t="str">
        <f t="shared" si="23"/>
        <v/>
      </c>
      <c r="Z230" s="355"/>
      <c r="AA230" s="356"/>
      <c r="AE230" s="59" t="str">
        <f t="shared" si="19"/>
        <v/>
      </c>
    </row>
    <row r="231" spans="1:31" x14ac:dyDescent="0.25">
      <c r="A231" s="52" t="str">
        <f>IFERROR(INDEX('G-8 Condition Look up'!$I$4:$I$131,MATCH(F231,'G-8 Condition Look up'!$A$4:$A$131,0)),"")</f>
        <v/>
      </c>
      <c r="C231" s="588" t="str">
        <f>IFERROR(INDEX('G-1 All Habitats'!$AG$3:$AG$15,MATCH(D231,'G-1 All Habitats'!$AF$3:$AF$15,0)),"")</f>
        <v/>
      </c>
      <c r="D231" s="347"/>
      <c r="E231" s="366"/>
      <c r="F231" s="365" t="str">
        <f>IFERROR(INDEX('G-1 All Habitats'!$B$3:$B$130,MATCH(E231,'G-1 All Habitats'!$A$3:$A$130,0)),"")</f>
        <v/>
      </c>
      <c r="G231" s="76"/>
      <c r="H231" s="77" t="str">
        <f>IF(F231="","",VLOOKUP(F231,'G-1 All Habitats'!$B$2:$M$130,10,FALSE))</f>
        <v/>
      </c>
      <c r="I231" s="78" t="str">
        <f>IFERROR(VLOOKUP(H231,'G-1 All Habitats'!$V$3:$W$7,2,FALSE),"")</f>
        <v/>
      </c>
      <c r="J231" s="79"/>
      <c r="K231" s="78" t="str">
        <f>IFERROR(INDEX('G-8 Condition Look up'!$A$3:$H$131,MATCH(F231,'G-8 Condition Look up'!$A$3:$A$131,0),MATCH(J231,'G-8 Condition Look up'!$A$3:$H$3,0)),"")</f>
        <v/>
      </c>
      <c r="L231" s="79"/>
      <c r="M231" s="348" t="str">
        <f>IF(L231="","",IF(VLOOKUP(L231,'G-3 Multipliers'!$L$3:$N$6,2,FALSE)=0,"Spatial Data Missing",VLOOKUP(L231,'G-3 Multipliers'!$L$3:$N$6,2,FALSE)))</f>
        <v/>
      </c>
      <c r="N231" s="569" t="str">
        <f>IF(L231="","",IF(VLOOKUP(L231,'G-3 Multipliers'!$L$3:$N$6,3,FALSE)=0,"Spatial Data Missing",VLOOKUP(L231,'G-3 Multipliers'!$L$3:$N$6,3,FALSE)))</f>
        <v/>
      </c>
      <c r="O231" s="77" t="str">
        <f t="shared" si="18"/>
        <v/>
      </c>
      <c r="P231" s="94"/>
      <c r="Q231" s="94"/>
      <c r="R231" s="343" t="str">
        <f t="shared" si="20"/>
        <v/>
      </c>
      <c r="S231" s="591" t="str">
        <f t="shared" si="21"/>
        <v/>
      </c>
      <c r="T231" s="593" t="str">
        <f>IFERROR(IF(S231="Check Data","Check Data",VLOOKUP(S231,'G-4 Temporal multipliers'!$A$4:$C$37,3,FALSE)),"")</f>
        <v/>
      </c>
      <c r="U231" s="592" t="str">
        <f>IF(F231="","",VLOOKUP(F231,'G-3 Multipliers'!$A$2:$E$130,2,FALSE))</f>
        <v/>
      </c>
      <c r="V231" s="343" t="str">
        <f t="shared" si="22"/>
        <v/>
      </c>
      <c r="W231" s="343" t="str">
        <f>IF(E231="","",IF(AND(V231="Standard difficulty applied",O231&gt;P231),U231,IF(AND(V231="Low Difficulty - only applicable if all habitat created before losses",P231&gt;=O231),"Low",VLOOKUP(F231,'G-3 Multipliers'!$A$2:$E$130,4,FALSE))))</f>
        <v/>
      </c>
      <c r="X231" s="345" t="str">
        <f>IFERROR(IF(E231="","",VLOOKUP(W231, 'G-3 Multipliers'!$P$2:$Q$6,2,FALSE)),””)</f>
        <v/>
      </c>
      <c r="Y231" s="595" t="str">
        <f t="shared" si="23"/>
        <v/>
      </c>
      <c r="Z231" s="355"/>
      <c r="AA231" s="356"/>
      <c r="AE231" s="59" t="str">
        <f t="shared" si="19"/>
        <v/>
      </c>
    </row>
    <row r="232" spans="1:31" x14ac:dyDescent="0.25">
      <c r="A232" s="52" t="str">
        <f>IFERROR(INDEX('G-8 Condition Look up'!$I$4:$I$131,MATCH(F232,'G-8 Condition Look up'!$A$4:$A$131,0)),"")</f>
        <v/>
      </c>
      <c r="C232" s="588" t="str">
        <f>IFERROR(INDEX('G-1 All Habitats'!$AG$3:$AG$15,MATCH(D232,'G-1 All Habitats'!$AF$3:$AF$15,0)),"")</f>
        <v/>
      </c>
      <c r="D232" s="347"/>
      <c r="E232" s="366"/>
      <c r="F232" s="365" t="str">
        <f>IFERROR(INDEX('G-1 All Habitats'!$B$3:$B$130,MATCH(E232,'G-1 All Habitats'!$A$3:$A$130,0)),"")</f>
        <v/>
      </c>
      <c r="G232" s="76"/>
      <c r="H232" s="77" t="str">
        <f>IF(F232="","",VLOOKUP(F232,'G-1 All Habitats'!$B$2:$M$130,10,FALSE))</f>
        <v/>
      </c>
      <c r="I232" s="78" t="str">
        <f>IFERROR(VLOOKUP(H232,'G-1 All Habitats'!$V$3:$W$7,2,FALSE),"")</f>
        <v/>
      </c>
      <c r="J232" s="79"/>
      <c r="K232" s="78" t="str">
        <f>IFERROR(INDEX('G-8 Condition Look up'!$A$3:$H$131,MATCH(F232,'G-8 Condition Look up'!$A$3:$A$131,0),MATCH(J232,'G-8 Condition Look up'!$A$3:$H$3,0)),"")</f>
        <v/>
      </c>
      <c r="L232" s="79"/>
      <c r="M232" s="348" t="str">
        <f>IF(L232="","",IF(VLOOKUP(L232,'G-3 Multipliers'!$L$3:$N$6,2,FALSE)=0,"Spatial Data Missing",VLOOKUP(L232,'G-3 Multipliers'!$L$3:$N$6,2,FALSE)))</f>
        <v/>
      </c>
      <c r="N232" s="569" t="str">
        <f>IF(L232="","",IF(VLOOKUP(L232,'G-3 Multipliers'!$L$3:$N$6,3,FALSE)=0,"Spatial Data Missing",VLOOKUP(L232,'G-3 Multipliers'!$L$3:$N$6,3,FALSE)))</f>
        <v/>
      </c>
      <c r="O232" s="77" t="str">
        <f t="shared" si="18"/>
        <v/>
      </c>
      <c r="P232" s="94"/>
      <c r="Q232" s="94"/>
      <c r="R232" s="343" t="str">
        <f t="shared" si="20"/>
        <v/>
      </c>
      <c r="S232" s="591" t="str">
        <f t="shared" si="21"/>
        <v/>
      </c>
      <c r="T232" s="593" t="str">
        <f>IFERROR(IF(S232="Check Data","Check Data",VLOOKUP(S232,'G-4 Temporal multipliers'!$A$4:$C$37,3,FALSE)),"")</f>
        <v/>
      </c>
      <c r="U232" s="592" t="str">
        <f>IF(F232="","",VLOOKUP(F232,'G-3 Multipliers'!$A$2:$E$130,2,FALSE))</f>
        <v/>
      </c>
      <c r="V232" s="343" t="str">
        <f t="shared" si="22"/>
        <v/>
      </c>
      <c r="W232" s="343" t="str">
        <f>IF(E232="","",IF(AND(V232="Standard difficulty applied",O232&gt;P232),U232,IF(AND(V232="Low Difficulty - only applicable if all habitat created before losses",P232&gt;=O232),"Low",VLOOKUP(F232,'G-3 Multipliers'!$A$2:$E$130,4,FALSE))))</f>
        <v/>
      </c>
      <c r="X232" s="345" t="str">
        <f>IFERROR(IF(E232="","",VLOOKUP(W232, 'G-3 Multipliers'!$P$2:$Q$6,2,FALSE)),””)</f>
        <v/>
      </c>
      <c r="Y232" s="595" t="str">
        <f t="shared" si="23"/>
        <v/>
      </c>
      <c r="Z232" s="355"/>
      <c r="AA232" s="356"/>
      <c r="AE232" s="59" t="str">
        <f t="shared" si="19"/>
        <v/>
      </c>
    </row>
    <row r="233" spans="1:31" x14ac:dyDescent="0.25">
      <c r="A233" s="52" t="str">
        <f>IFERROR(INDEX('G-8 Condition Look up'!$I$4:$I$131,MATCH(F233,'G-8 Condition Look up'!$A$4:$A$131,0)),"")</f>
        <v/>
      </c>
      <c r="C233" s="588" t="str">
        <f>IFERROR(INDEX('G-1 All Habitats'!$AG$3:$AG$15,MATCH(D233,'G-1 All Habitats'!$AF$3:$AF$15,0)),"")</f>
        <v/>
      </c>
      <c r="D233" s="347"/>
      <c r="E233" s="366"/>
      <c r="F233" s="365" t="str">
        <f>IFERROR(INDEX('G-1 All Habitats'!$B$3:$B$130,MATCH(E233,'G-1 All Habitats'!$A$3:$A$130,0)),"")</f>
        <v/>
      </c>
      <c r="G233" s="76"/>
      <c r="H233" s="77" t="str">
        <f>IF(F233="","",VLOOKUP(F233,'G-1 All Habitats'!$B$2:$M$130,10,FALSE))</f>
        <v/>
      </c>
      <c r="I233" s="78" t="str">
        <f>IFERROR(VLOOKUP(H233,'G-1 All Habitats'!$V$3:$W$7,2,FALSE),"")</f>
        <v/>
      </c>
      <c r="J233" s="79"/>
      <c r="K233" s="78" t="str">
        <f>IFERROR(INDEX('G-8 Condition Look up'!$A$3:$H$131,MATCH(F233,'G-8 Condition Look up'!$A$3:$A$131,0),MATCH(J233,'G-8 Condition Look up'!$A$3:$H$3,0)),"")</f>
        <v/>
      </c>
      <c r="L233" s="79"/>
      <c r="M233" s="348" t="str">
        <f>IF(L233="","",IF(VLOOKUP(L233,'G-3 Multipliers'!$L$3:$N$6,2,FALSE)=0,"Spatial Data Missing",VLOOKUP(L233,'G-3 Multipliers'!$L$3:$N$6,2,FALSE)))</f>
        <v/>
      </c>
      <c r="N233" s="569" t="str">
        <f>IF(L233="","",IF(VLOOKUP(L233,'G-3 Multipliers'!$L$3:$N$6,3,FALSE)=0,"Spatial Data Missing",VLOOKUP(L233,'G-3 Multipliers'!$L$3:$N$6,3,FALSE)))</f>
        <v/>
      </c>
      <c r="O233" s="77" t="str">
        <f t="shared" si="18"/>
        <v/>
      </c>
      <c r="P233" s="94"/>
      <c r="Q233" s="94"/>
      <c r="R233" s="343" t="str">
        <f t="shared" si="20"/>
        <v/>
      </c>
      <c r="S233" s="591" t="str">
        <f t="shared" si="21"/>
        <v/>
      </c>
      <c r="T233" s="593" t="str">
        <f>IFERROR(IF(S233="Check Data","Check Data",VLOOKUP(S233,'G-4 Temporal multipliers'!$A$4:$C$37,3,FALSE)),"")</f>
        <v/>
      </c>
      <c r="U233" s="592" t="str">
        <f>IF(F233="","",VLOOKUP(F233,'G-3 Multipliers'!$A$2:$E$130,2,FALSE))</f>
        <v/>
      </c>
      <c r="V233" s="343" t="str">
        <f t="shared" si="22"/>
        <v/>
      </c>
      <c r="W233" s="343" t="str">
        <f>IF(E233="","",IF(AND(V233="Standard difficulty applied",O233&gt;P233),U233,IF(AND(V233="Low Difficulty - only applicable if all habitat created before losses",P233&gt;=O233),"Low",VLOOKUP(F233,'G-3 Multipliers'!$A$2:$E$130,4,FALSE))))</f>
        <v/>
      </c>
      <c r="X233" s="345" t="str">
        <f>IFERROR(IF(E233="","",VLOOKUP(W233, 'G-3 Multipliers'!$P$2:$Q$6,2,FALSE)),””)</f>
        <v/>
      </c>
      <c r="Y233" s="595" t="str">
        <f t="shared" si="23"/>
        <v/>
      </c>
      <c r="Z233" s="355"/>
      <c r="AA233" s="356"/>
      <c r="AE233" s="59" t="str">
        <f t="shared" si="19"/>
        <v/>
      </c>
    </row>
    <row r="234" spans="1:31" x14ac:dyDescent="0.25">
      <c r="A234" s="52" t="str">
        <f>IFERROR(INDEX('G-8 Condition Look up'!$I$4:$I$131,MATCH(F234,'G-8 Condition Look up'!$A$4:$A$131,0)),"")</f>
        <v/>
      </c>
      <c r="C234" s="588" t="str">
        <f>IFERROR(INDEX('G-1 All Habitats'!$AG$3:$AG$15,MATCH(D234,'G-1 All Habitats'!$AF$3:$AF$15,0)),"")</f>
        <v/>
      </c>
      <c r="D234" s="347"/>
      <c r="E234" s="366"/>
      <c r="F234" s="365" t="str">
        <f>IFERROR(INDEX('G-1 All Habitats'!$B$3:$B$130,MATCH(E234,'G-1 All Habitats'!$A$3:$A$130,0)),"")</f>
        <v/>
      </c>
      <c r="G234" s="76"/>
      <c r="H234" s="77" t="str">
        <f>IF(F234="","",VLOOKUP(F234,'G-1 All Habitats'!$B$2:$M$130,10,FALSE))</f>
        <v/>
      </c>
      <c r="I234" s="78" t="str">
        <f>IFERROR(VLOOKUP(H234,'G-1 All Habitats'!$V$3:$W$7,2,FALSE),"")</f>
        <v/>
      </c>
      <c r="J234" s="79"/>
      <c r="K234" s="78" t="str">
        <f>IFERROR(INDEX('G-8 Condition Look up'!$A$3:$H$131,MATCH(F234,'G-8 Condition Look up'!$A$3:$A$131,0),MATCH(J234,'G-8 Condition Look up'!$A$3:$H$3,0)),"")</f>
        <v/>
      </c>
      <c r="L234" s="79"/>
      <c r="M234" s="348" t="str">
        <f>IF(L234="","",IF(VLOOKUP(L234,'G-3 Multipliers'!$L$3:$N$6,2,FALSE)=0,"Spatial Data Missing",VLOOKUP(L234,'G-3 Multipliers'!$L$3:$N$6,2,FALSE)))</f>
        <v/>
      </c>
      <c r="N234" s="569" t="str">
        <f>IF(L234="","",IF(VLOOKUP(L234,'G-3 Multipliers'!$L$3:$N$6,3,FALSE)=0,"Spatial Data Missing",VLOOKUP(L234,'G-3 Multipliers'!$L$3:$N$6,3,FALSE)))</f>
        <v/>
      </c>
      <c r="O234" s="77" t="str">
        <f t="shared" si="18"/>
        <v/>
      </c>
      <c r="P234" s="94"/>
      <c r="Q234" s="94"/>
      <c r="R234" s="343" t="str">
        <f t="shared" si="20"/>
        <v/>
      </c>
      <c r="S234" s="591" t="str">
        <f t="shared" si="21"/>
        <v/>
      </c>
      <c r="T234" s="593" t="str">
        <f>IFERROR(IF(S234="Check Data","Check Data",VLOOKUP(S234,'G-4 Temporal multipliers'!$A$4:$C$37,3,FALSE)),"")</f>
        <v/>
      </c>
      <c r="U234" s="592" t="str">
        <f>IF(F234="","",VLOOKUP(F234,'G-3 Multipliers'!$A$2:$E$130,2,FALSE))</f>
        <v/>
      </c>
      <c r="V234" s="343" t="str">
        <f t="shared" si="22"/>
        <v/>
      </c>
      <c r="W234" s="343" t="str">
        <f>IF(E234="","",IF(AND(V234="Standard difficulty applied",O234&gt;P234),U234,IF(AND(V234="Low Difficulty - only applicable if all habitat created before losses",P234&gt;=O234),"Low",VLOOKUP(F234,'G-3 Multipliers'!$A$2:$E$130,4,FALSE))))</f>
        <v/>
      </c>
      <c r="X234" s="345" t="str">
        <f>IFERROR(IF(E234="","",VLOOKUP(W234, 'G-3 Multipliers'!$P$2:$Q$6,2,FALSE)),””)</f>
        <v/>
      </c>
      <c r="Y234" s="595" t="str">
        <f t="shared" si="23"/>
        <v/>
      </c>
      <c r="Z234" s="355"/>
      <c r="AA234" s="356"/>
      <c r="AE234" s="59" t="str">
        <f t="shared" si="19"/>
        <v/>
      </c>
    </row>
    <row r="235" spans="1:31" x14ac:dyDescent="0.25">
      <c r="A235" s="52" t="str">
        <f>IFERROR(INDEX('G-8 Condition Look up'!$I$4:$I$131,MATCH(F235,'G-8 Condition Look up'!$A$4:$A$131,0)),"")</f>
        <v/>
      </c>
      <c r="C235" s="588" t="str">
        <f>IFERROR(INDEX('G-1 All Habitats'!$AG$3:$AG$15,MATCH(D235,'G-1 All Habitats'!$AF$3:$AF$15,0)),"")</f>
        <v/>
      </c>
      <c r="D235" s="347"/>
      <c r="E235" s="366"/>
      <c r="F235" s="365" t="str">
        <f>IFERROR(INDEX('G-1 All Habitats'!$B$3:$B$130,MATCH(E235,'G-1 All Habitats'!$A$3:$A$130,0)),"")</f>
        <v/>
      </c>
      <c r="G235" s="76"/>
      <c r="H235" s="77" t="str">
        <f>IF(F235="","",VLOOKUP(F235,'G-1 All Habitats'!$B$2:$M$130,10,FALSE))</f>
        <v/>
      </c>
      <c r="I235" s="78" t="str">
        <f>IFERROR(VLOOKUP(H235,'G-1 All Habitats'!$V$3:$W$7,2,FALSE),"")</f>
        <v/>
      </c>
      <c r="J235" s="79"/>
      <c r="K235" s="78" t="str">
        <f>IFERROR(INDEX('G-8 Condition Look up'!$A$3:$H$131,MATCH(F235,'G-8 Condition Look up'!$A$3:$A$131,0),MATCH(J235,'G-8 Condition Look up'!$A$3:$H$3,0)),"")</f>
        <v/>
      </c>
      <c r="L235" s="79"/>
      <c r="M235" s="348" t="str">
        <f>IF(L235="","",IF(VLOOKUP(L235,'G-3 Multipliers'!$L$3:$N$6,2,FALSE)=0,"Spatial Data Missing",VLOOKUP(L235,'G-3 Multipliers'!$L$3:$N$6,2,FALSE)))</f>
        <v/>
      </c>
      <c r="N235" s="569" t="str">
        <f>IF(L235="","",IF(VLOOKUP(L235,'G-3 Multipliers'!$L$3:$N$6,3,FALSE)=0,"Spatial Data Missing",VLOOKUP(L235,'G-3 Multipliers'!$L$3:$N$6,3,FALSE)))</f>
        <v/>
      </c>
      <c r="O235" s="77" t="str">
        <f t="shared" si="18"/>
        <v/>
      </c>
      <c r="P235" s="94"/>
      <c r="Q235" s="94"/>
      <c r="R235" s="343" t="str">
        <f t="shared" si="20"/>
        <v/>
      </c>
      <c r="S235" s="591" t="str">
        <f t="shared" si="21"/>
        <v/>
      </c>
      <c r="T235" s="593" t="str">
        <f>IFERROR(IF(S235="Check Data","Check Data",VLOOKUP(S235,'G-4 Temporal multipliers'!$A$4:$C$37,3,FALSE)),"")</f>
        <v/>
      </c>
      <c r="U235" s="592" t="str">
        <f>IF(F235="","",VLOOKUP(F235,'G-3 Multipliers'!$A$2:$E$130,2,FALSE))</f>
        <v/>
      </c>
      <c r="V235" s="343" t="str">
        <f t="shared" si="22"/>
        <v/>
      </c>
      <c r="W235" s="343" t="str">
        <f>IF(E235="","",IF(AND(V235="Standard difficulty applied",O235&gt;P235),U235,IF(AND(V235="Low Difficulty - only applicable if all habitat created before losses",P235&gt;=O235),"Low",VLOOKUP(F235,'G-3 Multipliers'!$A$2:$E$130,4,FALSE))))</f>
        <v/>
      </c>
      <c r="X235" s="345" t="str">
        <f>IFERROR(IF(E235="","",VLOOKUP(W235, 'G-3 Multipliers'!$P$2:$Q$6,2,FALSE)),””)</f>
        <v/>
      </c>
      <c r="Y235" s="595" t="str">
        <f t="shared" si="23"/>
        <v/>
      </c>
      <c r="Z235" s="355"/>
      <c r="AA235" s="356"/>
      <c r="AE235" s="59" t="str">
        <f t="shared" si="19"/>
        <v/>
      </c>
    </row>
    <row r="236" spans="1:31" x14ac:dyDescent="0.25">
      <c r="A236" s="52" t="str">
        <f>IFERROR(INDEX('G-8 Condition Look up'!$I$4:$I$131,MATCH(F236,'G-8 Condition Look up'!$A$4:$A$131,0)),"")</f>
        <v/>
      </c>
      <c r="C236" s="588" t="str">
        <f>IFERROR(INDEX('G-1 All Habitats'!$AG$3:$AG$15,MATCH(D236,'G-1 All Habitats'!$AF$3:$AF$15,0)),"")</f>
        <v/>
      </c>
      <c r="D236" s="347"/>
      <c r="E236" s="366"/>
      <c r="F236" s="365" t="str">
        <f>IFERROR(INDEX('G-1 All Habitats'!$B$3:$B$130,MATCH(E236,'G-1 All Habitats'!$A$3:$A$130,0)),"")</f>
        <v/>
      </c>
      <c r="G236" s="76"/>
      <c r="H236" s="77" t="str">
        <f>IF(F236="","",VLOOKUP(F236,'G-1 All Habitats'!$B$2:$M$130,10,FALSE))</f>
        <v/>
      </c>
      <c r="I236" s="78" t="str">
        <f>IFERROR(VLOOKUP(H236,'G-1 All Habitats'!$V$3:$W$7,2,FALSE),"")</f>
        <v/>
      </c>
      <c r="J236" s="79"/>
      <c r="K236" s="78" t="str">
        <f>IFERROR(INDEX('G-8 Condition Look up'!$A$3:$H$131,MATCH(F236,'G-8 Condition Look up'!$A$3:$A$131,0),MATCH(J236,'G-8 Condition Look up'!$A$3:$H$3,0)),"")</f>
        <v/>
      </c>
      <c r="L236" s="79"/>
      <c r="M236" s="348" t="str">
        <f>IF(L236="","",IF(VLOOKUP(L236,'G-3 Multipliers'!$L$3:$N$6,2,FALSE)=0,"Spatial Data Missing",VLOOKUP(L236,'G-3 Multipliers'!$L$3:$N$6,2,FALSE)))</f>
        <v/>
      </c>
      <c r="N236" s="569" t="str">
        <f>IF(L236="","",IF(VLOOKUP(L236,'G-3 Multipliers'!$L$3:$N$6,3,FALSE)=0,"Spatial Data Missing",VLOOKUP(L236,'G-3 Multipliers'!$L$3:$N$6,3,FALSE)))</f>
        <v/>
      </c>
      <c r="O236" s="77" t="str">
        <f t="shared" si="18"/>
        <v/>
      </c>
      <c r="P236" s="94"/>
      <c r="Q236" s="94"/>
      <c r="R236" s="343" t="str">
        <f t="shared" si="20"/>
        <v/>
      </c>
      <c r="S236" s="591" t="str">
        <f t="shared" si="21"/>
        <v/>
      </c>
      <c r="T236" s="593" t="str">
        <f>IFERROR(IF(S236="Check Data","Check Data",VLOOKUP(S236,'G-4 Temporal multipliers'!$A$4:$C$37,3,FALSE)),"")</f>
        <v/>
      </c>
      <c r="U236" s="592" t="str">
        <f>IF(F236="","",VLOOKUP(F236,'G-3 Multipliers'!$A$2:$E$130,2,FALSE))</f>
        <v/>
      </c>
      <c r="V236" s="343" t="str">
        <f t="shared" si="22"/>
        <v/>
      </c>
      <c r="W236" s="343" t="str">
        <f>IF(E236="","",IF(AND(V236="Standard difficulty applied",O236&gt;P236),U236,IF(AND(V236="Low Difficulty - only applicable if all habitat created before losses",P236&gt;=O236),"Low",VLOOKUP(F236,'G-3 Multipliers'!$A$2:$E$130,4,FALSE))))</f>
        <v/>
      </c>
      <c r="X236" s="345" t="str">
        <f>IFERROR(IF(E236="","",VLOOKUP(W236, 'G-3 Multipliers'!$P$2:$Q$6,2,FALSE)),””)</f>
        <v/>
      </c>
      <c r="Y236" s="595" t="str">
        <f t="shared" si="23"/>
        <v/>
      </c>
      <c r="Z236" s="355"/>
      <c r="AA236" s="356"/>
      <c r="AE236" s="59" t="str">
        <f t="shared" si="19"/>
        <v/>
      </c>
    </row>
    <row r="237" spans="1:31" x14ac:dyDescent="0.25">
      <c r="A237" s="52" t="str">
        <f>IFERROR(INDEX('G-8 Condition Look up'!$I$4:$I$131,MATCH(F237,'G-8 Condition Look up'!$A$4:$A$131,0)),"")</f>
        <v/>
      </c>
      <c r="C237" s="588" t="str">
        <f>IFERROR(INDEX('G-1 All Habitats'!$AG$3:$AG$15,MATCH(D237,'G-1 All Habitats'!$AF$3:$AF$15,0)),"")</f>
        <v/>
      </c>
      <c r="D237" s="347"/>
      <c r="E237" s="366"/>
      <c r="F237" s="365" t="str">
        <f>IFERROR(INDEX('G-1 All Habitats'!$B$3:$B$130,MATCH(E237,'G-1 All Habitats'!$A$3:$A$130,0)),"")</f>
        <v/>
      </c>
      <c r="G237" s="76"/>
      <c r="H237" s="77" t="str">
        <f>IF(F237="","",VLOOKUP(F237,'G-1 All Habitats'!$B$2:$M$130,10,FALSE))</f>
        <v/>
      </c>
      <c r="I237" s="78" t="str">
        <f>IFERROR(VLOOKUP(H237,'G-1 All Habitats'!$V$3:$W$7,2,FALSE),"")</f>
        <v/>
      </c>
      <c r="J237" s="79"/>
      <c r="K237" s="78" t="str">
        <f>IFERROR(INDEX('G-8 Condition Look up'!$A$3:$H$131,MATCH(F237,'G-8 Condition Look up'!$A$3:$A$131,0),MATCH(J237,'G-8 Condition Look up'!$A$3:$H$3,0)),"")</f>
        <v/>
      </c>
      <c r="L237" s="79"/>
      <c r="M237" s="348" t="str">
        <f>IF(L237="","",IF(VLOOKUP(L237,'G-3 Multipliers'!$L$3:$N$6,2,FALSE)=0,"Spatial Data Missing",VLOOKUP(L237,'G-3 Multipliers'!$L$3:$N$6,2,FALSE)))</f>
        <v/>
      </c>
      <c r="N237" s="569" t="str">
        <f>IF(L237="","",IF(VLOOKUP(L237,'G-3 Multipliers'!$L$3:$N$6,3,FALSE)=0,"Spatial Data Missing",VLOOKUP(L237,'G-3 Multipliers'!$L$3:$N$6,3,FALSE)))</f>
        <v/>
      </c>
      <c r="O237" s="77" t="str">
        <f t="shared" si="18"/>
        <v/>
      </c>
      <c r="P237" s="94"/>
      <c r="Q237" s="94"/>
      <c r="R237" s="343" t="str">
        <f t="shared" si="20"/>
        <v/>
      </c>
      <c r="S237" s="591" t="str">
        <f t="shared" si="21"/>
        <v/>
      </c>
      <c r="T237" s="593" t="str">
        <f>IFERROR(IF(S237="Check Data","Check Data",VLOOKUP(S237,'G-4 Temporal multipliers'!$A$4:$C$37,3,FALSE)),"")</f>
        <v/>
      </c>
      <c r="U237" s="592" t="str">
        <f>IF(F237="","",VLOOKUP(F237,'G-3 Multipliers'!$A$2:$E$130,2,FALSE))</f>
        <v/>
      </c>
      <c r="V237" s="343" t="str">
        <f t="shared" si="22"/>
        <v/>
      </c>
      <c r="W237" s="343" t="str">
        <f>IF(E237="","",IF(AND(V237="Standard difficulty applied",O237&gt;P237),U237,IF(AND(V237="Low Difficulty - only applicable if all habitat created before losses",P237&gt;=O237),"Low",VLOOKUP(F237,'G-3 Multipliers'!$A$2:$E$130,4,FALSE))))</f>
        <v/>
      </c>
      <c r="X237" s="345" t="str">
        <f>IFERROR(IF(E237="","",VLOOKUP(W237, 'G-3 Multipliers'!$P$2:$Q$6,2,FALSE)),””)</f>
        <v/>
      </c>
      <c r="Y237" s="595" t="str">
        <f t="shared" si="23"/>
        <v/>
      </c>
      <c r="Z237" s="355"/>
      <c r="AA237" s="356"/>
      <c r="AE237" s="59" t="str">
        <f t="shared" si="19"/>
        <v/>
      </c>
    </row>
    <row r="238" spans="1:31" x14ac:dyDescent="0.25">
      <c r="A238" s="52" t="str">
        <f>IFERROR(INDEX('G-8 Condition Look up'!$I$4:$I$131,MATCH(F238,'G-8 Condition Look up'!$A$4:$A$131,0)),"")</f>
        <v/>
      </c>
      <c r="C238" s="588" t="str">
        <f>IFERROR(INDEX('G-1 All Habitats'!$AG$3:$AG$15,MATCH(D238,'G-1 All Habitats'!$AF$3:$AF$15,0)),"")</f>
        <v/>
      </c>
      <c r="D238" s="347"/>
      <c r="E238" s="366"/>
      <c r="F238" s="365" t="str">
        <f>IFERROR(INDEX('G-1 All Habitats'!$B$3:$B$130,MATCH(E238,'G-1 All Habitats'!$A$3:$A$130,0)),"")</f>
        <v/>
      </c>
      <c r="G238" s="76"/>
      <c r="H238" s="77" t="str">
        <f>IF(F238="","",VLOOKUP(F238,'G-1 All Habitats'!$B$2:$M$130,10,FALSE))</f>
        <v/>
      </c>
      <c r="I238" s="78" t="str">
        <f>IFERROR(VLOOKUP(H238,'G-1 All Habitats'!$V$3:$W$7,2,FALSE),"")</f>
        <v/>
      </c>
      <c r="J238" s="79"/>
      <c r="K238" s="78" t="str">
        <f>IFERROR(INDEX('G-8 Condition Look up'!$A$3:$H$131,MATCH(F238,'G-8 Condition Look up'!$A$3:$A$131,0),MATCH(J238,'G-8 Condition Look up'!$A$3:$H$3,0)),"")</f>
        <v/>
      </c>
      <c r="L238" s="79"/>
      <c r="M238" s="348" t="str">
        <f>IF(L238="","",IF(VLOOKUP(L238,'G-3 Multipliers'!$L$3:$N$6,2,FALSE)=0,"Spatial Data Missing",VLOOKUP(L238,'G-3 Multipliers'!$L$3:$N$6,2,FALSE)))</f>
        <v/>
      </c>
      <c r="N238" s="569" t="str">
        <f>IF(L238="","",IF(VLOOKUP(L238,'G-3 Multipliers'!$L$3:$N$6,3,FALSE)=0,"Spatial Data Missing",VLOOKUP(L238,'G-3 Multipliers'!$L$3:$N$6,3,FALSE)))</f>
        <v/>
      </c>
      <c r="O238" s="77" t="str">
        <f t="shared" si="18"/>
        <v/>
      </c>
      <c r="P238" s="94"/>
      <c r="Q238" s="94"/>
      <c r="R238" s="343" t="str">
        <f t="shared" si="20"/>
        <v/>
      </c>
      <c r="S238" s="591" t="str">
        <f t="shared" si="21"/>
        <v/>
      </c>
      <c r="T238" s="593" t="str">
        <f>IFERROR(IF(S238="Check Data","Check Data",VLOOKUP(S238,'G-4 Temporal multipliers'!$A$4:$C$37,3,FALSE)),"")</f>
        <v/>
      </c>
      <c r="U238" s="592" t="str">
        <f>IF(F238="","",VLOOKUP(F238,'G-3 Multipliers'!$A$2:$E$130,2,FALSE))</f>
        <v/>
      </c>
      <c r="V238" s="343" t="str">
        <f t="shared" si="22"/>
        <v/>
      </c>
      <c r="W238" s="343" t="str">
        <f>IF(E238="","",IF(AND(V238="Standard difficulty applied",O238&gt;P238),U238,IF(AND(V238="Low Difficulty - only applicable if all habitat created before losses",P238&gt;=O238),"Low",VLOOKUP(F238,'G-3 Multipliers'!$A$2:$E$130,4,FALSE))))</f>
        <v/>
      </c>
      <c r="X238" s="345" t="str">
        <f>IFERROR(IF(E238="","",VLOOKUP(W238, 'G-3 Multipliers'!$P$2:$Q$6,2,FALSE)),””)</f>
        <v/>
      </c>
      <c r="Y238" s="595" t="str">
        <f t="shared" si="23"/>
        <v/>
      </c>
      <c r="Z238" s="355"/>
      <c r="AA238" s="356"/>
      <c r="AE238" s="59" t="str">
        <f t="shared" si="19"/>
        <v/>
      </c>
    </row>
    <row r="239" spans="1:31" x14ac:dyDescent="0.25">
      <c r="A239" s="52" t="str">
        <f>IFERROR(INDEX('G-8 Condition Look up'!$I$4:$I$131,MATCH(F239,'G-8 Condition Look up'!$A$4:$A$131,0)),"")</f>
        <v/>
      </c>
      <c r="C239" s="588" t="str">
        <f>IFERROR(INDEX('G-1 All Habitats'!$AG$3:$AG$15,MATCH(D239,'G-1 All Habitats'!$AF$3:$AF$15,0)),"")</f>
        <v/>
      </c>
      <c r="D239" s="347"/>
      <c r="E239" s="366"/>
      <c r="F239" s="365" t="str">
        <f>IFERROR(INDEX('G-1 All Habitats'!$B$3:$B$130,MATCH(E239,'G-1 All Habitats'!$A$3:$A$130,0)),"")</f>
        <v/>
      </c>
      <c r="G239" s="76"/>
      <c r="H239" s="77" t="str">
        <f>IF(F239="","",VLOOKUP(F239,'G-1 All Habitats'!$B$2:$M$130,10,FALSE))</f>
        <v/>
      </c>
      <c r="I239" s="78" t="str">
        <f>IFERROR(VLOOKUP(H239,'G-1 All Habitats'!$V$3:$W$7,2,FALSE),"")</f>
        <v/>
      </c>
      <c r="J239" s="79"/>
      <c r="K239" s="78" t="str">
        <f>IFERROR(INDEX('G-8 Condition Look up'!$A$3:$H$131,MATCH(F239,'G-8 Condition Look up'!$A$3:$A$131,0),MATCH(J239,'G-8 Condition Look up'!$A$3:$H$3,0)),"")</f>
        <v/>
      </c>
      <c r="L239" s="79"/>
      <c r="M239" s="348" t="str">
        <f>IF(L239="","",IF(VLOOKUP(L239,'G-3 Multipliers'!$L$3:$N$6,2,FALSE)=0,"Spatial Data Missing",VLOOKUP(L239,'G-3 Multipliers'!$L$3:$N$6,2,FALSE)))</f>
        <v/>
      </c>
      <c r="N239" s="569" t="str">
        <f>IF(L239="","",IF(VLOOKUP(L239,'G-3 Multipliers'!$L$3:$N$6,3,FALSE)=0,"Spatial Data Missing",VLOOKUP(L239,'G-3 Multipliers'!$L$3:$N$6,3,FALSE)))</f>
        <v/>
      </c>
      <c r="O239" s="77" t="str">
        <f t="shared" si="18"/>
        <v/>
      </c>
      <c r="P239" s="94"/>
      <c r="Q239" s="94"/>
      <c r="R239" s="343" t="str">
        <f t="shared" si="20"/>
        <v/>
      </c>
      <c r="S239" s="591" t="str">
        <f t="shared" si="21"/>
        <v/>
      </c>
      <c r="T239" s="593" t="str">
        <f>IFERROR(IF(S239="Check Data","Check Data",VLOOKUP(S239,'G-4 Temporal multipliers'!$A$4:$C$37,3,FALSE)),"")</f>
        <v/>
      </c>
      <c r="U239" s="592" t="str">
        <f>IF(F239="","",VLOOKUP(F239,'G-3 Multipliers'!$A$2:$E$130,2,FALSE))</f>
        <v/>
      </c>
      <c r="V239" s="343" t="str">
        <f t="shared" si="22"/>
        <v/>
      </c>
      <c r="W239" s="343" t="str">
        <f>IF(E239="","",IF(AND(V239="Standard difficulty applied",O239&gt;P239),U239,IF(AND(V239="Low Difficulty - only applicable if all habitat created before losses",P239&gt;=O239),"Low",VLOOKUP(F239,'G-3 Multipliers'!$A$2:$E$130,4,FALSE))))</f>
        <v/>
      </c>
      <c r="X239" s="345" t="str">
        <f>IFERROR(IF(E239="","",VLOOKUP(W239, 'G-3 Multipliers'!$P$2:$Q$6,2,FALSE)),””)</f>
        <v/>
      </c>
      <c r="Y239" s="595" t="str">
        <f t="shared" si="23"/>
        <v/>
      </c>
      <c r="Z239" s="355"/>
      <c r="AA239" s="356"/>
      <c r="AE239" s="59" t="str">
        <f t="shared" si="19"/>
        <v/>
      </c>
    </row>
    <row r="240" spans="1:31" x14ac:dyDescent="0.25">
      <c r="A240" s="52" t="str">
        <f>IFERROR(INDEX('G-8 Condition Look up'!$I$4:$I$131,MATCH(F240,'G-8 Condition Look up'!$A$4:$A$131,0)),"")</f>
        <v/>
      </c>
      <c r="C240" s="588" t="str">
        <f>IFERROR(INDEX('G-1 All Habitats'!$AG$3:$AG$15,MATCH(D240,'G-1 All Habitats'!$AF$3:$AF$15,0)),"")</f>
        <v/>
      </c>
      <c r="D240" s="347"/>
      <c r="E240" s="366"/>
      <c r="F240" s="365" t="str">
        <f>IFERROR(INDEX('G-1 All Habitats'!$B$3:$B$130,MATCH(E240,'G-1 All Habitats'!$A$3:$A$130,0)),"")</f>
        <v/>
      </c>
      <c r="G240" s="76"/>
      <c r="H240" s="77" t="str">
        <f>IF(F240="","",VLOOKUP(F240,'G-1 All Habitats'!$B$2:$M$130,10,FALSE))</f>
        <v/>
      </c>
      <c r="I240" s="78" t="str">
        <f>IFERROR(VLOOKUP(H240,'G-1 All Habitats'!$V$3:$W$7,2,FALSE),"")</f>
        <v/>
      </c>
      <c r="J240" s="79"/>
      <c r="K240" s="78" t="str">
        <f>IFERROR(INDEX('G-8 Condition Look up'!$A$3:$H$131,MATCH(F240,'G-8 Condition Look up'!$A$3:$A$131,0),MATCH(J240,'G-8 Condition Look up'!$A$3:$H$3,0)),"")</f>
        <v/>
      </c>
      <c r="L240" s="79"/>
      <c r="M240" s="348" t="str">
        <f>IF(L240="","",IF(VLOOKUP(L240,'G-3 Multipliers'!$L$3:$N$6,2,FALSE)=0,"Spatial Data Missing",VLOOKUP(L240,'G-3 Multipliers'!$L$3:$N$6,2,FALSE)))</f>
        <v/>
      </c>
      <c r="N240" s="569" t="str">
        <f>IF(L240="","",IF(VLOOKUP(L240,'G-3 Multipliers'!$L$3:$N$6,3,FALSE)=0,"Spatial Data Missing",VLOOKUP(L240,'G-3 Multipliers'!$L$3:$N$6,3,FALSE)))</f>
        <v/>
      </c>
      <c r="O240" s="77" t="str">
        <f t="shared" si="18"/>
        <v/>
      </c>
      <c r="P240" s="94"/>
      <c r="Q240" s="94"/>
      <c r="R240" s="343" t="str">
        <f t="shared" si="20"/>
        <v/>
      </c>
      <c r="S240" s="591" t="str">
        <f t="shared" si="21"/>
        <v/>
      </c>
      <c r="T240" s="593" t="str">
        <f>IFERROR(IF(S240="Check Data","Check Data",VLOOKUP(S240,'G-4 Temporal multipliers'!$A$4:$C$37,3,FALSE)),"")</f>
        <v/>
      </c>
      <c r="U240" s="592" t="str">
        <f>IF(F240="","",VLOOKUP(F240,'G-3 Multipliers'!$A$2:$E$130,2,FALSE))</f>
        <v/>
      </c>
      <c r="V240" s="343" t="str">
        <f t="shared" si="22"/>
        <v/>
      </c>
      <c r="W240" s="343" t="str">
        <f>IF(E240="","",IF(AND(V240="Standard difficulty applied",O240&gt;P240),U240,IF(AND(V240="Low Difficulty - only applicable if all habitat created before losses",P240&gt;=O240),"Low",VLOOKUP(F240,'G-3 Multipliers'!$A$2:$E$130,4,FALSE))))</f>
        <v/>
      </c>
      <c r="X240" s="345" t="str">
        <f>IFERROR(IF(E240="","",VLOOKUP(W240, 'G-3 Multipliers'!$P$2:$Q$6,2,FALSE)),””)</f>
        <v/>
      </c>
      <c r="Y240" s="595" t="str">
        <f t="shared" si="23"/>
        <v/>
      </c>
      <c r="Z240" s="355"/>
      <c r="AA240" s="356"/>
      <c r="AE240" s="59" t="str">
        <f t="shared" si="19"/>
        <v/>
      </c>
    </row>
    <row r="241" spans="1:31" x14ac:dyDescent="0.25">
      <c r="A241" s="52" t="str">
        <f>IFERROR(INDEX('G-8 Condition Look up'!$I$4:$I$131,MATCH(F241,'G-8 Condition Look up'!$A$4:$A$131,0)),"")</f>
        <v/>
      </c>
      <c r="C241" s="588" t="str">
        <f>IFERROR(INDEX('G-1 All Habitats'!$AG$3:$AG$15,MATCH(D241,'G-1 All Habitats'!$AF$3:$AF$15,0)),"")</f>
        <v/>
      </c>
      <c r="D241" s="347"/>
      <c r="E241" s="366"/>
      <c r="F241" s="365" t="str">
        <f>IFERROR(INDEX('G-1 All Habitats'!$B$3:$B$130,MATCH(E241,'G-1 All Habitats'!$A$3:$A$130,0)),"")</f>
        <v/>
      </c>
      <c r="G241" s="76"/>
      <c r="H241" s="77" t="str">
        <f>IF(F241="","",VLOOKUP(F241,'G-1 All Habitats'!$B$2:$M$130,10,FALSE))</f>
        <v/>
      </c>
      <c r="I241" s="78" t="str">
        <f>IFERROR(VLOOKUP(H241,'G-1 All Habitats'!$V$3:$W$7,2,FALSE),"")</f>
        <v/>
      </c>
      <c r="J241" s="79"/>
      <c r="K241" s="78" t="str">
        <f>IFERROR(INDEX('G-8 Condition Look up'!$A$3:$H$131,MATCH(F241,'G-8 Condition Look up'!$A$3:$A$131,0),MATCH(J241,'G-8 Condition Look up'!$A$3:$H$3,0)),"")</f>
        <v/>
      </c>
      <c r="L241" s="79"/>
      <c r="M241" s="348" t="str">
        <f>IF(L241="","",IF(VLOOKUP(L241,'G-3 Multipliers'!$L$3:$N$6,2,FALSE)=0,"Spatial Data Missing",VLOOKUP(L241,'G-3 Multipliers'!$L$3:$N$6,2,FALSE)))</f>
        <v/>
      </c>
      <c r="N241" s="569" t="str">
        <f>IF(L241="","",IF(VLOOKUP(L241,'G-3 Multipliers'!$L$3:$N$6,3,FALSE)=0,"Spatial Data Missing",VLOOKUP(L241,'G-3 Multipliers'!$L$3:$N$6,3,FALSE)))</f>
        <v/>
      </c>
      <c r="O241" s="77" t="str">
        <f t="shared" si="18"/>
        <v/>
      </c>
      <c r="P241" s="94"/>
      <c r="Q241" s="94"/>
      <c r="R241" s="343" t="str">
        <f t="shared" si="20"/>
        <v/>
      </c>
      <c r="S241" s="591" t="str">
        <f t="shared" si="21"/>
        <v/>
      </c>
      <c r="T241" s="593" t="str">
        <f>IFERROR(IF(S241="Check Data","Check Data",VLOOKUP(S241,'G-4 Temporal multipliers'!$A$4:$C$37,3,FALSE)),"")</f>
        <v/>
      </c>
      <c r="U241" s="592" t="str">
        <f>IF(F241="","",VLOOKUP(F241,'G-3 Multipliers'!$A$2:$E$130,2,FALSE))</f>
        <v/>
      </c>
      <c r="V241" s="343" t="str">
        <f t="shared" si="22"/>
        <v/>
      </c>
      <c r="W241" s="343" t="str">
        <f>IF(E241="","",IF(AND(V241="Standard difficulty applied",O241&gt;P241),U241,IF(AND(V241="Low Difficulty - only applicable if all habitat created before losses",P241&gt;=O241),"Low",VLOOKUP(F241,'G-3 Multipliers'!$A$2:$E$130,4,FALSE))))</f>
        <v/>
      </c>
      <c r="X241" s="345" t="str">
        <f>IFERROR(IF(E241="","",VLOOKUP(W241, 'G-3 Multipliers'!$P$2:$Q$6,2,FALSE)),””)</f>
        <v/>
      </c>
      <c r="Y241" s="595" t="str">
        <f t="shared" si="23"/>
        <v/>
      </c>
      <c r="Z241" s="355"/>
      <c r="AA241" s="356"/>
      <c r="AE241" s="59" t="str">
        <f t="shared" si="19"/>
        <v/>
      </c>
    </row>
    <row r="242" spans="1:31" x14ac:dyDescent="0.25">
      <c r="A242" s="52" t="str">
        <f>IFERROR(INDEX('G-8 Condition Look up'!$I$4:$I$131,MATCH(F242,'G-8 Condition Look up'!$A$4:$A$131,0)),"")</f>
        <v/>
      </c>
      <c r="C242" s="588" t="str">
        <f>IFERROR(INDEX('G-1 All Habitats'!$AG$3:$AG$15,MATCH(D242,'G-1 All Habitats'!$AF$3:$AF$15,0)),"")</f>
        <v/>
      </c>
      <c r="D242" s="347"/>
      <c r="E242" s="366"/>
      <c r="F242" s="365" t="str">
        <f>IFERROR(INDEX('G-1 All Habitats'!$B$3:$B$130,MATCH(E242,'G-1 All Habitats'!$A$3:$A$130,0)),"")</f>
        <v/>
      </c>
      <c r="G242" s="76"/>
      <c r="H242" s="77" t="str">
        <f>IF(F242="","",VLOOKUP(F242,'G-1 All Habitats'!$B$2:$M$130,10,FALSE))</f>
        <v/>
      </c>
      <c r="I242" s="78" t="str">
        <f>IFERROR(VLOOKUP(H242,'G-1 All Habitats'!$V$3:$W$7,2,FALSE),"")</f>
        <v/>
      </c>
      <c r="J242" s="79"/>
      <c r="K242" s="78" t="str">
        <f>IFERROR(INDEX('G-8 Condition Look up'!$A$3:$H$131,MATCH(F242,'G-8 Condition Look up'!$A$3:$A$131,0),MATCH(J242,'G-8 Condition Look up'!$A$3:$H$3,0)),"")</f>
        <v/>
      </c>
      <c r="L242" s="79"/>
      <c r="M242" s="348" t="str">
        <f>IF(L242="","",IF(VLOOKUP(L242,'G-3 Multipliers'!$L$3:$N$6,2,FALSE)=0,"Spatial Data Missing",VLOOKUP(L242,'G-3 Multipliers'!$L$3:$N$6,2,FALSE)))</f>
        <v/>
      </c>
      <c r="N242" s="569" t="str">
        <f>IF(L242="","",IF(VLOOKUP(L242,'G-3 Multipliers'!$L$3:$N$6,3,FALSE)=0,"Spatial Data Missing",VLOOKUP(L242,'G-3 Multipliers'!$L$3:$N$6,3,FALSE)))</f>
        <v/>
      </c>
      <c r="O242" s="77" t="str">
        <f t="shared" si="18"/>
        <v/>
      </c>
      <c r="P242" s="94"/>
      <c r="Q242" s="94"/>
      <c r="R242" s="343" t="str">
        <f t="shared" si="20"/>
        <v/>
      </c>
      <c r="S242" s="591" t="str">
        <f t="shared" si="21"/>
        <v/>
      </c>
      <c r="T242" s="593" t="str">
        <f>IFERROR(IF(S242="Check Data","Check Data",VLOOKUP(S242,'G-4 Temporal multipliers'!$A$4:$C$37,3,FALSE)),"")</f>
        <v/>
      </c>
      <c r="U242" s="592" t="str">
        <f>IF(F242="","",VLOOKUP(F242,'G-3 Multipliers'!$A$2:$E$130,2,FALSE))</f>
        <v/>
      </c>
      <c r="V242" s="343" t="str">
        <f t="shared" si="22"/>
        <v/>
      </c>
      <c r="W242" s="343" t="str">
        <f>IF(E242="","",IF(AND(V242="Standard difficulty applied",O242&gt;P242),U242,IF(AND(V242="Low Difficulty - only applicable if all habitat created before losses",P242&gt;=O242),"Low",VLOOKUP(F242,'G-3 Multipliers'!$A$2:$E$130,4,FALSE))))</f>
        <v/>
      </c>
      <c r="X242" s="345" t="str">
        <f>IFERROR(IF(E242="","",VLOOKUP(W242, 'G-3 Multipliers'!$P$2:$Q$6,2,FALSE)),””)</f>
        <v/>
      </c>
      <c r="Y242" s="595" t="str">
        <f t="shared" si="23"/>
        <v/>
      </c>
      <c r="Z242" s="355"/>
      <c r="AA242" s="356"/>
      <c r="AE242" s="59" t="str">
        <f t="shared" si="19"/>
        <v/>
      </c>
    </row>
    <row r="243" spans="1:31" x14ac:dyDescent="0.25">
      <c r="A243" s="52" t="str">
        <f>IFERROR(INDEX('G-8 Condition Look up'!$I$4:$I$131,MATCH(F243,'G-8 Condition Look up'!$A$4:$A$131,0)),"")</f>
        <v/>
      </c>
      <c r="C243" s="588" t="str">
        <f>IFERROR(INDEX('G-1 All Habitats'!$AG$3:$AG$15,MATCH(D243,'G-1 All Habitats'!$AF$3:$AF$15,0)),"")</f>
        <v/>
      </c>
      <c r="D243" s="347"/>
      <c r="E243" s="366"/>
      <c r="F243" s="365" t="str">
        <f>IFERROR(INDEX('G-1 All Habitats'!$B$3:$B$130,MATCH(E243,'G-1 All Habitats'!$A$3:$A$130,0)),"")</f>
        <v/>
      </c>
      <c r="G243" s="76"/>
      <c r="H243" s="77" t="str">
        <f>IF(F243="","",VLOOKUP(F243,'G-1 All Habitats'!$B$2:$M$130,10,FALSE))</f>
        <v/>
      </c>
      <c r="I243" s="78" t="str">
        <f>IFERROR(VLOOKUP(H243,'G-1 All Habitats'!$V$3:$W$7,2,FALSE),"")</f>
        <v/>
      </c>
      <c r="J243" s="79"/>
      <c r="K243" s="78" t="str">
        <f>IFERROR(INDEX('G-8 Condition Look up'!$A$3:$H$131,MATCH(F243,'G-8 Condition Look up'!$A$3:$A$131,0),MATCH(J243,'G-8 Condition Look up'!$A$3:$H$3,0)),"")</f>
        <v/>
      </c>
      <c r="L243" s="79"/>
      <c r="M243" s="348" t="str">
        <f>IF(L243="","",IF(VLOOKUP(L243,'G-3 Multipliers'!$L$3:$N$6,2,FALSE)=0,"Spatial Data Missing",VLOOKUP(L243,'G-3 Multipliers'!$L$3:$N$6,2,FALSE)))</f>
        <v/>
      </c>
      <c r="N243" s="569" t="str">
        <f>IF(L243="","",IF(VLOOKUP(L243,'G-3 Multipliers'!$L$3:$N$6,3,FALSE)=0,"Spatial Data Missing",VLOOKUP(L243,'G-3 Multipliers'!$L$3:$N$6,3,FALSE)))</f>
        <v/>
      </c>
      <c r="O243" s="77" t="str">
        <f t="shared" si="18"/>
        <v/>
      </c>
      <c r="P243" s="94"/>
      <c r="Q243" s="94"/>
      <c r="R243" s="343" t="str">
        <f t="shared" si="20"/>
        <v/>
      </c>
      <c r="S243" s="591" t="str">
        <f t="shared" si="21"/>
        <v/>
      </c>
      <c r="T243" s="593" t="str">
        <f>IFERROR(IF(S243="Check Data","Check Data",VLOOKUP(S243,'G-4 Temporal multipliers'!$A$4:$C$37,3,FALSE)),"")</f>
        <v/>
      </c>
      <c r="U243" s="592" t="str">
        <f>IF(F243="","",VLOOKUP(F243,'G-3 Multipliers'!$A$2:$E$130,2,FALSE))</f>
        <v/>
      </c>
      <c r="V243" s="343" t="str">
        <f t="shared" si="22"/>
        <v/>
      </c>
      <c r="W243" s="343" t="str">
        <f>IF(E243="","",IF(AND(V243="Standard difficulty applied",O243&gt;P243),U243,IF(AND(V243="Low Difficulty - only applicable if all habitat created before losses",P243&gt;=O243),"Low",VLOOKUP(F243,'G-3 Multipliers'!$A$2:$E$130,4,FALSE))))</f>
        <v/>
      </c>
      <c r="X243" s="345" t="str">
        <f>IFERROR(IF(E243="","",VLOOKUP(W243, 'G-3 Multipliers'!$P$2:$Q$6,2,FALSE)),””)</f>
        <v/>
      </c>
      <c r="Y243" s="595" t="str">
        <f t="shared" si="23"/>
        <v/>
      </c>
      <c r="Z243" s="355"/>
      <c r="AA243" s="356"/>
      <c r="AE243" s="59" t="str">
        <f t="shared" si="19"/>
        <v/>
      </c>
    </row>
    <row r="244" spans="1:31" x14ac:dyDescent="0.25">
      <c r="A244" s="52" t="str">
        <f>IFERROR(INDEX('G-8 Condition Look up'!$I$4:$I$131,MATCH(F244,'G-8 Condition Look up'!$A$4:$A$131,0)),"")</f>
        <v/>
      </c>
      <c r="C244" s="588" t="str">
        <f>IFERROR(INDEX('G-1 All Habitats'!$AG$3:$AG$15,MATCH(D244,'G-1 All Habitats'!$AF$3:$AF$15,0)),"")</f>
        <v/>
      </c>
      <c r="D244" s="347"/>
      <c r="E244" s="366"/>
      <c r="F244" s="365" t="str">
        <f>IFERROR(INDEX('G-1 All Habitats'!$B$3:$B$130,MATCH(E244,'G-1 All Habitats'!$A$3:$A$130,0)),"")</f>
        <v/>
      </c>
      <c r="G244" s="76"/>
      <c r="H244" s="77" t="str">
        <f>IF(F244="","",VLOOKUP(F244,'G-1 All Habitats'!$B$2:$M$130,10,FALSE))</f>
        <v/>
      </c>
      <c r="I244" s="78" t="str">
        <f>IFERROR(VLOOKUP(H244,'G-1 All Habitats'!$V$3:$W$7,2,FALSE),"")</f>
        <v/>
      </c>
      <c r="J244" s="79"/>
      <c r="K244" s="78" t="str">
        <f>IFERROR(INDEX('G-8 Condition Look up'!$A$3:$H$131,MATCH(F244,'G-8 Condition Look up'!$A$3:$A$131,0),MATCH(J244,'G-8 Condition Look up'!$A$3:$H$3,0)),"")</f>
        <v/>
      </c>
      <c r="L244" s="79"/>
      <c r="M244" s="348" t="str">
        <f>IF(L244="","",IF(VLOOKUP(L244,'G-3 Multipliers'!$L$3:$N$6,2,FALSE)=0,"Spatial Data Missing",VLOOKUP(L244,'G-3 Multipliers'!$L$3:$N$6,2,FALSE)))</f>
        <v/>
      </c>
      <c r="N244" s="569" t="str">
        <f>IF(L244="","",IF(VLOOKUP(L244,'G-3 Multipliers'!$L$3:$N$6,3,FALSE)=0,"Spatial Data Missing",VLOOKUP(L244,'G-3 Multipliers'!$L$3:$N$6,3,FALSE)))</f>
        <v/>
      </c>
      <c r="O244" s="77" t="str">
        <f t="shared" si="18"/>
        <v/>
      </c>
      <c r="P244" s="94"/>
      <c r="Q244" s="94"/>
      <c r="R244" s="343" t="str">
        <f t="shared" si="20"/>
        <v/>
      </c>
      <c r="S244" s="591" t="str">
        <f t="shared" si="21"/>
        <v/>
      </c>
      <c r="T244" s="593" t="str">
        <f>IFERROR(IF(S244="Check Data","Check Data",VLOOKUP(S244,'G-4 Temporal multipliers'!$A$4:$C$37,3,FALSE)),"")</f>
        <v/>
      </c>
      <c r="U244" s="592" t="str">
        <f>IF(F244="","",VLOOKUP(F244,'G-3 Multipliers'!$A$2:$E$130,2,FALSE))</f>
        <v/>
      </c>
      <c r="V244" s="343" t="str">
        <f t="shared" si="22"/>
        <v/>
      </c>
      <c r="W244" s="343" t="str">
        <f>IF(E244="","",IF(AND(V244="Standard difficulty applied",O244&gt;P244),U244,IF(AND(V244="Low Difficulty - only applicable if all habitat created before losses",P244&gt;=O244),"Low",VLOOKUP(F244,'G-3 Multipliers'!$A$2:$E$130,4,FALSE))))</f>
        <v/>
      </c>
      <c r="X244" s="345" t="str">
        <f>IFERROR(IF(E244="","",VLOOKUP(W244, 'G-3 Multipliers'!$P$2:$Q$6,2,FALSE)),””)</f>
        <v/>
      </c>
      <c r="Y244" s="595" t="str">
        <f t="shared" si="23"/>
        <v/>
      </c>
      <c r="Z244" s="355"/>
      <c r="AA244" s="356"/>
      <c r="AE244" s="59" t="str">
        <f t="shared" si="19"/>
        <v/>
      </c>
    </row>
    <row r="245" spans="1:31" x14ac:dyDescent="0.25">
      <c r="A245" s="52" t="str">
        <f>IFERROR(INDEX('G-8 Condition Look up'!$I$4:$I$131,MATCH(F245,'G-8 Condition Look up'!$A$4:$A$131,0)),"")</f>
        <v/>
      </c>
      <c r="C245" s="588" t="str">
        <f>IFERROR(INDEX('G-1 All Habitats'!$AG$3:$AG$15,MATCH(D245,'G-1 All Habitats'!$AF$3:$AF$15,0)),"")</f>
        <v/>
      </c>
      <c r="D245" s="347"/>
      <c r="E245" s="366"/>
      <c r="F245" s="365" t="str">
        <f>IFERROR(INDEX('G-1 All Habitats'!$B$3:$B$130,MATCH(E245,'G-1 All Habitats'!$A$3:$A$130,0)),"")</f>
        <v/>
      </c>
      <c r="G245" s="76"/>
      <c r="H245" s="77" t="str">
        <f>IF(F245="","",VLOOKUP(F245,'G-1 All Habitats'!$B$2:$M$130,10,FALSE))</f>
        <v/>
      </c>
      <c r="I245" s="78" t="str">
        <f>IFERROR(VLOOKUP(H245,'G-1 All Habitats'!$V$3:$W$7,2,FALSE),"")</f>
        <v/>
      </c>
      <c r="J245" s="79"/>
      <c r="K245" s="78" t="str">
        <f>IFERROR(INDEX('G-8 Condition Look up'!$A$3:$H$131,MATCH(F245,'G-8 Condition Look up'!$A$3:$A$131,0),MATCH(J245,'G-8 Condition Look up'!$A$3:$H$3,0)),"")</f>
        <v/>
      </c>
      <c r="L245" s="79"/>
      <c r="M245" s="348" t="str">
        <f>IF(L245="","",IF(VLOOKUP(L245,'G-3 Multipliers'!$L$3:$N$6,2,FALSE)=0,"Spatial Data Missing",VLOOKUP(L245,'G-3 Multipliers'!$L$3:$N$6,2,FALSE)))</f>
        <v/>
      </c>
      <c r="N245" s="569" t="str">
        <f>IF(L245="","",IF(VLOOKUP(L245,'G-3 Multipliers'!$L$3:$N$6,3,FALSE)=0,"Spatial Data Missing",VLOOKUP(L245,'G-3 Multipliers'!$L$3:$N$6,3,FALSE)))</f>
        <v/>
      </c>
      <c r="O245" s="77" t="str">
        <f t="shared" si="18"/>
        <v/>
      </c>
      <c r="P245" s="94"/>
      <c r="Q245" s="94"/>
      <c r="R245" s="343" t="str">
        <f t="shared" si="20"/>
        <v/>
      </c>
      <c r="S245" s="591" t="str">
        <f t="shared" si="21"/>
        <v/>
      </c>
      <c r="T245" s="593" t="str">
        <f>IFERROR(IF(S245="Check Data","Check Data",VLOOKUP(S245,'G-4 Temporal multipliers'!$A$4:$C$37,3,FALSE)),"")</f>
        <v/>
      </c>
      <c r="U245" s="592" t="str">
        <f>IF(F245="","",VLOOKUP(F245,'G-3 Multipliers'!$A$2:$E$130,2,FALSE))</f>
        <v/>
      </c>
      <c r="V245" s="343" t="str">
        <f t="shared" si="22"/>
        <v/>
      </c>
      <c r="W245" s="343" t="str">
        <f>IF(E245="","",IF(AND(V245="Standard difficulty applied",O245&gt;P245),U245,IF(AND(V245="Low Difficulty - only applicable if all habitat created before losses",P245&gt;=O245),"Low",VLOOKUP(F245,'G-3 Multipliers'!$A$2:$E$130,4,FALSE))))</f>
        <v/>
      </c>
      <c r="X245" s="345" t="str">
        <f>IFERROR(IF(E245="","",VLOOKUP(W245, 'G-3 Multipliers'!$P$2:$Q$6,2,FALSE)),””)</f>
        <v/>
      </c>
      <c r="Y245" s="595" t="str">
        <f t="shared" si="23"/>
        <v/>
      </c>
      <c r="Z245" s="355"/>
      <c r="AA245" s="356"/>
      <c r="AE245" s="59" t="str">
        <f t="shared" si="19"/>
        <v/>
      </c>
    </row>
    <row r="246" spans="1:31" x14ac:dyDescent="0.25">
      <c r="A246" s="52" t="str">
        <f>IFERROR(INDEX('G-8 Condition Look up'!$I$4:$I$131,MATCH(F246,'G-8 Condition Look up'!$A$4:$A$131,0)),"")</f>
        <v/>
      </c>
      <c r="C246" s="588" t="str">
        <f>IFERROR(INDEX('G-1 All Habitats'!$AG$3:$AG$15,MATCH(D246,'G-1 All Habitats'!$AF$3:$AF$15,0)),"")</f>
        <v/>
      </c>
      <c r="D246" s="347"/>
      <c r="E246" s="366"/>
      <c r="F246" s="365" t="str">
        <f>IFERROR(INDEX('G-1 All Habitats'!$B$3:$B$130,MATCH(E246,'G-1 All Habitats'!$A$3:$A$130,0)),"")</f>
        <v/>
      </c>
      <c r="G246" s="76"/>
      <c r="H246" s="77" t="str">
        <f>IF(F246="","",VLOOKUP(F246,'G-1 All Habitats'!$B$2:$M$130,10,FALSE))</f>
        <v/>
      </c>
      <c r="I246" s="78" t="str">
        <f>IFERROR(VLOOKUP(H246,'G-1 All Habitats'!$V$3:$W$7,2,FALSE),"")</f>
        <v/>
      </c>
      <c r="J246" s="79"/>
      <c r="K246" s="78" t="str">
        <f>IFERROR(INDEX('G-8 Condition Look up'!$A$3:$H$131,MATCH(F246,'G-8 Condition Look up'!$A$3:$A$131,0),MATCH(J246,'G-8 Condition Look up'!$A$3:$H$3,0)),"")</f>
        <v/>
      </c>
      <c r="L246" s="79"/>
      <c r="M246" s="348" t="str">
        <f>IF(L246="","",IF(VLOOKUP(L246,'G-3 Multipliers'!$L$3:$N$6,2,FALSE)=0,"Spatial Data Missing",VLOOKUP(L246,'G-3 Multipliers'!$L$3:$N$6,2,FALSE)))</f>
        <v/>
      </c>
      <c r="N246" s="569" t="str">
        <f>IF(L246="","",IF(VLOOKUP(L246,'G-3 Multipliers'!$L$3:$N$6,3,FALSE)=0,"Spatial Data Missing",VLOOKUP(L246,'G-3 Multipliers'!$L$3:$N$6,3,FALSE)))</f>
        <v/>
      </c>
      <c r="O246" s="77" t="str">
        <f t="shared" si="18"/>
        <v/>
      </c>
      <c r="P246" s="94"/>
      <c r="Q246" s="94"/>
      <c r="R246" s="343" t="str">
        <f t="shared" si="20"/>
        <v/>
      </c>
      <c r="S246" s="591" t="str">
        <f t="shared" si="21"/>
        <v/>
      </c>
      <c r="T246" s="593" t="str">
        <f>IFERROR(IF(S246="Check Data","Check Data",VLOOKUP(S246,'G-4 Temporal multipliers'!$A$4:$C$37,3,FALSE)),"")</f>
        <v/>
      </c>
      <c r="U246" s="592" t="str">
        <f>IF(F246="","",VLOOKUP(F246,'G-3 Multipliers'!$A$2:$E$130,2,FALSE))</f>
        <v/>
      </c>
      <c r="V246" s="343" t="str">
        <f t="shared" si="22"/>
        <v/>
      </c>
      <c r="W246" s="343" t="str">
        <f>IF(E246="","",IF(AND(V246="Standard difficulty applied",O246&gt;P246),U246,IF(AND(V246="Low Difficulty - only applicable if all habitat created before losses",P246&gt;=O246),"Low",VLOOKUP(F246,'G-3 Multipliers'!$A$2:$E$130,4,FALSE))))</f>
        <v/>
      </c>
      <c r="X246" s="345" t="str">
        <f>IFERROR(IF(E246="","",VLOOKUP(W246, 'G-3 Multipliers'!$P$2:$Q$6,2,FALSE)),””)</f>
        <v/>
      </c>
      <c r="Y246" s="595" t="str">
        <f t="shared" si="23"/>
        <v/>
      </c>
      <c r="Z246" s="355"/>
      <c r="AA246" s="356"/>
      <c r="AE246" s="59" t="str">
        <f t="shared" si="19"/>
        <v/>
      </c>
    </row>
    <row r="247" spans="1:31" x14ac:dyDescent="0.25">
      <c r="A247" s="52" t="str">
        <f>IFERROR(INDEX('G-8 Condition Look up'!$I$4:$I$131,MATCH(F247,'G-8 Condition Look up'!$A$4:$A$131,0)),"")</f>
        <v/>
      </c>
      <c r="C247" s="588" t="str">
        <f>IFERROR(INDEX('G-1 All Habitats'!$AG$3:$AG$15,MATCH(D247,'G-1 All Habitats'!$AF$3:$AF$15,0)),"")</f>
        <v/>
      </c>
      <c r="D247" s="347"/>
      <c r="E247" s="366"/>
      <c r="F247" s="365" t="str">
        <f>IFERROR(INDEX('G-1 All Habitats'!$B$3:$B$130,MATCH(E247,'G-1 All Habitats'!$A$3:$A$130,0)),"")</f>
        <v/>
      </c>
      <c r="G247" s="76"/>
      <c r="H247" s="77" t="str">
        <f>IF(F247="","",VLOOKUP(F247,'G-1 All Habitats'!$B$2:$M$130,10,FALSE))</f>
        <v/>
      </c>
      <c r="I247" s="78" t="str">
        <f>IFERROR(VLOOKUP(H247,'G-1 All Habitats'!$V$3:$W$7,2,FALSE),"")</f>
        <v/>
      </c>
      <c r="J247" s="79"/>
      <c r="K247" s="78" t="str">
        <f>IFERROR(INDEX('G-8 Condition Look up'!$A$3:$H$131,MATCH(F247,'G-8 Condition Look up'!$A$3:$A$131,0),MATCH(J247,'G-8 Condition Look up'!$A$3:$H$3,0)),"")</f>
        <v/>
      </c>
      <c r="L247" s="79"/>
      <c r="M247" s="348" t="str">
        <f>IF(L247="","",IF(VLOOKUP(L247,'G-3 Multipliers'!$L$3:$N$6,2,FALSE)=0,"Spatial Data Missing",VLOOKUP(L247,'G-3 Multipliers'!$L$3:$N$6,2,FALSE)))</f>
        <v/>
      </c>
      <c r="N247" s="569" t="str">
        <f>IF(L247="","",IF(VLOOKUP(L247,'G-3 Multipliers'!$L$3:$N$6,3,FALSE)=0,"Spatial Data Missing",VLOOKUP(L247,'G-3 Multipliers'!$L$3:$N$6,3,FALSE)))</f>
        <v/>
      </c>
      <c r="O247" s="77" t="str">
        <f t="shared" si="18"/>
        <v/>
      </c>
      <c r="P247" s="94"/>
      <c r="Q247" s="94"/>
      <c r="R247" s="343" t="str">
        <f t="shared" si="20"/>
        <v/>
      </c>
      <c r="S247" s="591" t="str">
        <f t="shared" si="21"/>
        <v/>
      </c>
      <c r="T247" s="593" t="str">
        <f>IFERROR(IF(S247="Check Data","Check Data",VLOOKUP(S247,'G-4 Temporal multipliers'!$A$4:$C$37,3,FALSE)),"")</f>
        <v/>
      </c>
      <c r="U247" s="592" t="str">
        <f>IF(F247="","",VLOOKUP(F247,'G-3 Multipliers'!$A$2:$E$130,2,FALSE))</f>
        <v/>
      </c>
      <c r="V247" s="343" t="str">
        <f t="shared" si="22"/>
        <v/>
      </c>
      <c r="W247" s="343" t="str">
        <f>IF(E247="","",IF(AND(V247="Standard difficulty applied",O247&gt;P247),U247,IF(AND(V247="Low Difficulty - only applicable if all habitat created before losses",P247&gt;=O247),"Low",VLOOKUP(F247,'G-3 Multipliers'!$A$2:$E$130,4,FALSE))))</f>
        <v/>
      </c>
      <c r="X247" s="345" t="str">
        <f>IFERROR(IF(E247="","",VLOOKUP(W247, 'G-3 Multipliers'!$P$2:$Q$6,2,FALSE)),””)</f>
        <v/>
      </c>
      <c r="Y247" s="595" t="str">
        <f t="shared" si="23"/>
        <v/>
      </c>
      <c r="Z247" s="355"/>
      <c r="AA247" s="356"/>
      <c r="AE247" s="59" t="str">
        <f t="shared" si="19"/>
        <v/>
      </c>
    </row>
    <row r="248" spans="1:31" x14ac:dyDescent="0.25">
      <c r="A248" s="52" t="str">
        <f>IFERROR(INDEX('G-8 Condition Look up'!$I$4:$I$131,MATCH(F248,'G-8 Condition Look up'!$A$4:$A$131,0)),"")</f>
        <v/>
      </c>
      <c r="C248" s="588" t="str">
        <f>IFERROR(INDEX('G-1 All Habitats'!$AG$3:$AG$15,MATCH(D248,'G-1 All Habitats'!$AF$3:$AF$15,0)),"")</f>
        <v/>
      </c>
      <c r="D248" s="347"/>
      <c r="E248" s="366"/>
      <c r="F248" s="365" t="str">
        <f>IFERROR(INDEX('G-1 All Habitats'!$B$3:$B$130,MATCH(E248,'G-1 All Habitats'!$A$3:$A$130,0)),"")</f>
        <v/>
      </c>
      <c r="G248" s="76"/>
      <c r="H248" s="77" t="str">
        <f>IF(F248="","",VLOOKUP(F248,'G-1 All Habitats'!$B$2:$M$130,10,FALSE))</f>
        <v/>
      </c>
      <c r="I248" s="78" t="str">
        <f>IFERROR(VLOOKUP(H248,'G-1 All Habitats'!$V$3:$W$7,2,FALSE),"")</f>
        <v/>
      </c>
      <c r="J248" s="79"/>
      <c r="K248" s="78" t="str">
        <f>IFERROR(INDEX('G-8 Condition Look up'!$A$3:$H$131,MATCH(F248,'G-8 Condition Look up'!$A$3:$A$131,0),MATCH(J248,'G-8 Condition Look up'!$A$3:$H$3,0)),"")</f>
        <v/>
      </c>
      <c r="L248" s="79"/>
      <c r="M248" s="348" t="str">
        <f>IF(L248="","",IF(VLOOKUP(L248,'G-3 Multipliers'!$L$3:$N$6,2,FALSE)=0,"Spatial Data Missing",VLOOKUP(L248,'G-3 Multipliers'!$L$3:$N$6,2,FALSE)))</f>
        <v/>
      </c>
      <c r="N248" s="569" t="str">
        <f>IF(L248="","",IF(VLOOKUP(L248,'G-3 Multipliers'!$L$3:$N$6,3,FALSE)=0,"Spatial Data Missing",VLOOKUP(L248,'G-3 Multipliers'!$L$3:$N$6,3,FALSE)))</f>
        <v/>
      </c>
      <c r="O248" s="77" t="str">
        <f t="shared" si="18"/>
        <v/>
      </c>
      <c r="P248" s="94"/>
      <c r="Q248" s="94"/>
      <c r="R248" s="343" t="str">
        <f t="shared" si="20"/>
        <v/>
      </c>
      <c r="S248" s="591" t="str">
        <f t="shared" si="21"/>
        <v/>
      </c>
      <c r="T248" s="593" t="str">
        <f>IFERROR(IF(S248="Check Data","Check Data",VLOOKUP(S248,'G-4 Temporal multipliers'!$A$4:$C$37,3,FALSE)),"")</f>
        <v/>
      </c>
      <c r="U248" s="592" t="str">
        <f>IF(F248="","",VLOOKUP(F248,'G-3 Multipliers'!$A$2:$E$130,2,FALSE))</f>
        <v/>
      </c>
      <c r="V248" s="343" t="str">
        <f t="shared" si="22"/>
        <v/>
      </c>
      <c r="W248" s="343" t="str">
        <f>IF(E248="","",IF(AND(V248="Standard difficulty applied",O248&gt;P248),U248,IF(AND(V248="Low Difficulty - only applicable if all habitat created before losses",P248&gt;=O248),"Low",VLOOKUP(F248,'G-3 Multipliers'!$A$2:$E$130,4,FALSE))))</f>
        <v/>
      </c>
      <c r="X248" s="345" t="str">
        <f>IFERROR(IF(E248="","",VLOOKUP(W248, 'G-3 Multipliers'!$P$2:$Q$6,2,FALSE)),””)</f>
        <v/>
      </c>
      <c r="Y248" s="595" t="str">
        <f t="shared" si="23"/>
        <v/>
      </c>
      <c r="Z248" s="355"/>
      <c r="AA248" s="356"/>
      <c r="AE248" s="59" t="str">
        <f t="shared" si="19"/>
        <v/>
      </c>
    </row>
    <row r="249" spans="1:31" x14ac:dyDescent="0.25">
      <c r="A249" s="52" t="str">
        <f>IFERROR(INDEX('G-8 Condition Look up'!$I$4:$I$131,MATCH(F249,'G-8 Condition Look up'!$A$4:$A$131,0)),"")</f>
        <v/>
      </c>
      <c r="C249" s="588" t="str">
        <f>IFERROR(INDEX('G-1 All Habitats'!$AG$3:$AG$15,MATCH(D249,'G-1 All Habitats'!$AF$3:$AF$15,0)),"")</f>
        <v/>
      </c>
      <c r="D249" s="347"/>
      <c r="E249" s="366"/>
      <c r="F249" s="365" t="str">
        <f>IFERROR(INDEX('G-1 All Habitats'!$B$3:$B$130,MATCH(E249,'G-1 All Habitats'!$A$3:$A$130,0)),"")</f>
        <v/>
      </c>
      <c r="G249" s="76"/>
      <c r="H249" s="77" t="str">
        <f>IF(F249="","",VLOOKUP(F249,'G-1 All Habitats'!$B$2:$M$130,10,FALSE))</f>
        <v/>
      </c>
      <c r="I249" s="78" t="str">
        <f>IFERROR(VLOOKUP(H249,'G-1 All Habitats'!$V$3:$W$7,2,FALSE),"")</f>
        <v/>
      </c>
      <c r="J249" s="79"/>
      <c r="K249" s="78" t="str">
        <f>IFERROR(INDEX('G-8 Condition Look up'!$A$3:$H$131,MATCH(F249,'G-8 Condition Look up'!$A$3:$A$131,0),MATCH(J249,'G-8 Condition Look up'!$A$3:$H$3,0)),"")</f>
        <v/>
      </c>
      <c r="L249" s="79"/>
      <c r="M249" s="348" t="str">
        <f>IF(L249="","",IF(VLOOKUP(L249,'G-3 Multipliers'!$L$3:$N$6,2,FALSE)=0,"Spatial Data Missing",VLOOKUP(L249,'G-3 Multipliers'!$L$3:$N$6,2,FALSE)))</f>
        <v/>
      </c>
      <c r="N249" s="569" t="str">
        <f>IF(L249="","",IF(VLOOKUP(L249,'G-3 Multipliers'!$L$3:$N$6,3,FALSE)=0,"Spatial Data Missing",VLOOKUP(L249,'G-3 Multipliers'!$L$3:$N$6,3,FALSE)))</f>
        <v/>
      </c>
      <c r="O249" s="77" t="str">
        <f t="shared" si="18"/>
        <v/>
      </c>
      <c r="P249" s="94"/>
      <c r="Q249" s="94"/>
      <c r="R249" s="343" t="str">
        <f t="shared" si="20"/>
        <v/>
      </c>
      <c r="S249" s="591" t="str">
        <f t="shared" si="21"/>
        <v/>
      </c>
      <c r="T249" s="593" t="str">
        <f>IFERROR(IF(S249="Check Data","Check Data",VLOOKUP(S249,'G-4 Temporal multipliers'!$A$4:$C$37,3,FALSE)),"")</f>
        <v/>
      </c>
      <c r="U249" s="592" t="str">
        <f>IF(F249="","",VLOOKUP(F249,'G-3 Multipliers'!$A$2:$E$130,2,FALSE))</f>
        <v/>
      </c>
      <c r="V249" s="343" t="str">
        <f t="shared" si="22"/>
        <v/>
      </c>
      <c r="W249" s="343" t="str">
        <f>IF(E249="","",IF(AND(V249="Standard difficulty applied",O249&gt;P249),U249,IF(AND(V249="Low Difficulty - only applicable if all habitat created before losses",P249&gt;=O249),"Low",VLOOKUP(F249,'G-3 Multipliers'!$A$2:$E$130,4,FALSE))))</f>
        <v/>
      </c>
      <c r="X249" s="345" t="str">
        <f>IFERROR(IF(E249="","",VLOOKUP(W249, 'G-3 Multipliers'!$P$2:$Q$6,2,FALSE)),””)</f>
        <v/>
      </c>
      <c r="Y249" s="595" t="str">
        <f t="shared" si="23"/>
        <v/>
      </c>
      <c r="Z249" s="355"/>
      <c r="AA249" s="356"/>
      <c r="AE249" s="59" t="str">
        <f t="shared" si="19"/>
        <v/>
      </c>
    </row>
    <row r="250" spans="1:31" x14ac:dyDescent="0.25">
      <c r="A250" s="52" t="str">
        <f>IFERROR(INDEX('G-8 Condition Look up'!$I$4:$I$131,MATCH(F250,'G-8 Condition Look up'!$A$4:$A$131,0)),"")</f>
        <v/>
      </c>
      <c r="C250" s="588" t="str">
        <f>IFERROR(INDEX('G-1 All Habitats'!$AG$3:$AG$15,MATCH(D250,'G-1 All Habitats'!$AF$3:$AF$15,0)),"")</f>
        <v/>
      </c>
      <c r="D250" s="347"/>
      <c r="E250" s="366"/>
      <c r="F250" s="365" t="str">
        <f>IFERROR(INDEX('G-1 All Habitats'!$B$3:$B$130,MATCH(E250,'G-1 All Habitats'!$A$3:$A$130,0)),"")</f>
        <v/>
      </c>
      <c r="G250" s="76"/>
      <c r="H250" s="77" t="str">
        <f>IF(F250="","",VLOOKUP(F250,'G-1 All Habitats'!$B$2:$M$130,10,FALSE))</f>
        <v/>
      </c>
      <c r="I250" s="78" t="str">
        <f>IFERROR(VLOOKUP(H250,'G-1 All Habitats'!$V$3:$W$7,2,FALSE),"")</f>
        <v/>
      </c>
      <c r="J250" s="79"/>
      <c r="K250" s="78" t="str">
        <f>IFERROR(INDEX('G-8 Condition Look up'!$A$3:$H$131,MATCH(F250,'G-8 Condition Look up'!$A$3:$A$131,0),MATCH(J250,'G-8 Condition Look up'!$A$3:$H$3,0)),"")</f>
        <v/>
      </c>
      <c r="L250" s="79"/>
      <c r="M250" s="348" t="str">
        <f>IF(L250="","",IF(VLOOKUP(L250,'G-3 Multipliers'!$L$3:$N$6,2,FALSE)=0,"Spatial Data Missing",VLOOKUP(L250,'G-3 Multipliers'!$L$3:$N$6,2,FALSE)))</f>
        <v/>
      </c>
      <c r="N250" s="569" t="str">
        <f>IF(L250="","",IF(VLOOKUP(L250,'G-3 Multipliers'!$L$3:$N$6,3,FALSE)=0,"Spatial Data Missing",VLOOKUP(L250,'G-3 Multipliers'!$L$3:$N$6,3,FALSE)))</f>
        <v/>
      </c>
      <c r="O250" s="77" t="str">
        <f t="shared" si="18"/>
        <v/>
      </c>
      <c r="P250" s="94"/>
      <c r="Q250" s="94"/>
      <c r="R250" s="343" t="str">
        <f t="shared" si="20"/>
        <v/>
      </c>
      <c r="S250" s="591" t="str">
        <f t="shared" si="21"/>
        <v/>
      </c>
      <c r="T250" s="593" t="str">
        <f>IFERROR(IF(S250="Check Data","Check Data",VLOOKUP(S250,'G-4 Temporal multipliers'!$A$4:$C$37,3,FALSE)),"")</f>
        <v/>
      </c>
      <c r="U250" s="592" t="str">
        <f>IF(F250="","",VLOOKUP(F250,'G-3 Multipliers'!$A$2:$E$130,2,FALSE))</f>
        <v/>
      </c>
      <c r="V250" s="343" t="str">
        <f t="shared" si="22"/>
        <v/>
      </c>
      <c r="W250" s="343" t="str">
        <f>IF(E250="","",IF(AND(V250="Standard difficulty applied",O250&gt;P250),U250,IF(AND(V250="Low Difficulty - only applicable if all habitat created before losses",P250&gt;=O250),"Low",VLOOKUP(F250,'G-3 Multipliers'!$A$2:$E$130,4,FALSE))))</f>
        <v/>
      </c>
      <c r="X250" s="345" t="str">
        <f>IFERROR(IF(E250="","",VLOOKUP(W250, 'G-3 Multipliers'!$P$2:$Q$6,2,FALSE)),””)</f>
        <v/>
      </c>
      <c r="Y250" s="595" t="str">
        <f t="shared" si="23"/>
        <v/>
      </c>
      <c r="Z250" s="355"/>
      <c r="AA250" s="356"/>
      <c r="AE250" s="59" t="str">
        <f t="shared" si="19"/>
        <v/>
      </c>
    </row>
    <row r="251" spans="1:31" x14ac:dyDescent="0.25">
      <c r="A251" s="52" t="str">
        <f>IFERROR(INDEX('G-8 Condition Look up'!$I$4:$I$131,MATCH(F251,'G-8 Condition Look up'!$A$4:$A$131,0)),"")</f>
        <v/>
      </c>
      <c r="C251" s="588" t="str">
        <f>IFERROR(INDEX('G-1 All Habitats'!$AG$3:$AG$15,MATCH(D251,'G-1 All Habitats'!$AF$3:$AF$15,0)),"")</f>
        <v/>
      </c>
      <c r="D251" s="347"/>
      <c r="E251" s="366"/>
      <c r="F251" s="365" t="str">
        <f>IFERROR(INDEX('G-1 All Habitats'!$B$3:$B$130,MATCH(E251,'G-1 All Habitats'!$A$3:$A$130,0)),"")</f>
        <v/>
      </c>
      <c r="G251" s="76"/>
      <c r="H251" s="77" t="str">
        <f>IF(F251="","",VLOOKUP(F251,'G-1 All Habitats'!$B$2:$M$130,10,FALSE))</f>
        <v/>
      </c>
      <c r="I251" s="78" t="str">
        <f>IFERROR(VLOOKUP(H251,'G-1 All Habitats'!$V$3:$W$7,2,FALSE),"")</f>
        <v/>
      </c>
      <c r="J251" s="79"/>
      <c r="K251" s="78" t="str">
        <f>IFERROR(INDEX('G-8 Condition Look up'!$A$3:$H$131,MATCH(F251,'G-8 Condition Look up'!$A$3:$A$131,0),MATCH(J251,'G-8 Condition Look up'!$A$3:$H$3,0)),"")</f>
        <v/>
      </c>
      <c r="L251" s="79"/>
      <c r="M251" s="348" t="str">
        <f>IF(L251="","",IF(VLOOKUP(L251,'G-3 Multipliers'!$L$3:$N$6,2,FALSE)=0,"Spatial Data Missing",VLOOKUP(L251,'G-3 Multipliers'!$L$3:$N$6,2,FALSE)))</f>
        <v/>
      </c>
      <c r="N251" s="569" t="str">
        <f>IF(L251="","",IF(VLOOKUP(L251,'G-3 Multipliers'!$L$3:$N$6,3,FALSE)=0,"Spatial Data Missing",VLOOKUP(L251,'G-3 Multipliers'!$L$3:$N$6,3,FALSE)))</f>
        <v/>
      </c>
      <c r="O251" s="77" t="str">
        <f t="shared" si="18"/>
        <v/>
      </c>
      <c r="P251" s="94"/>
      <c r="Q251" s="94"/>
      <c r="R251" s="343" t="str">
        <f t="shared" si="20"/>
        <v/>
      </c>
      <c r="S251" s="591" t="str">
        <f t="shared" si="21"/>
        <v/>
      </c>
      <c r="T251" s="593" t="str">
        <f>IFERROR(IF(S251="Check Data","Check Data",VLOOKUP(S251,'G-4 Temporal multipliers'!$A$4:$C$37,3,FALSE)),"")</f>
        <v/>
      </c>
      <c r="U251" s="592" t="str">
        <f>IF(F251="","",VLOOKUP(F251,'G-3 Multipliers'!$A$2:$E$130,2,FALSE))</f>
        <v/>
      </c>
      <c r="V251" s="343" t="str">
        <f t="shared" si="22"/>
        <v/>
      </c>
      <c r="W251" s="343" t="str">
        <f>IF(E251="","",IF(AND(V251="Standard difficulty applied",O251&gt;P251),U251,IF(AND(V251="Low Difficulty - only applicable if all habitat created before losses",P251&gt;=O251),"Low",VLOOKUP(F251,'G-3 Multipliers'!$A$2:$E$130,4,FALSE))))</f>
        <v/>
      </c>
      <c r="X251" s="345" t="str">
        <f>IFERROR(IF(E251="","",VLOOKUP(W251, 'G-3 Multipliers'!$P$2:$Q$6,2,FALSE)),””)</f>
        <v/>
      </c>
      <c r="Y251" s="595" t="str">
        <f t="shared" si="23"/>
        <v/>
      </c>
      <c r="Z251" s="355"/>
      <c r="AA251" s="356"/>
      <c r="AE251" s="59" t="str">
        <f t="shared" si="19"/>
        <v/>
      </c>
    </row>
    <row r="252" spans="1:31" x14ac:dyDescent="0.25">
      <c r="A252" s="52" t="str">
        <f>IFERROR(INDEX('G-8 Condition Look up'!$I$4:$I$131,MATCH(F252,'G-8 Condition Look up'!$A$4:$A$131,0)),"")</f>
        <v/>
      </c>
      <c r="C252" s="588" t="str">
        <f>IFERROR(INDEX('G-1 All Habitats'!$AG$3:$AG$15,MATCH(D252,'G-1 All Habitats'!$AF$3:$AF$15,0)),"")</f>
        <v/>
      </c>
      <c r="D252" s="347"/>
      <c r="E252" s="366"/>
      <c r="F252" s="365" t="str">
        <f>IFERROR(INDEX('G-1 All Habitats'!$B$3:$B$130,MATCH(E252,'G-1 All Habitats'!$A$3:$A$130,0)),"")</f>
        <v/>
      </c>
      <c r="G252" s="76"/>
      <c r="H252" s="77" t="str">
        <f>IF(F252="","",VLOOKUP(F252,'G-1 All Habitats'!$B$2:$M$130,10,FALSE))</f>
        <v/>
      </c>
      <c r="I252" s="78" t="str">
        <f>IFERROR(VLOOKUP(H252,'G-1 All Habitats'!$V$3:$W$7,2,FALSE),"")</f>
        <v/>
      </c>
      <c r="J252" s="79"/>
      <c r="K252" s="78" t="str">
        <f>IFERROR(INDEX('G-8 Condition Look up'!$A$3:$H$131,MATCH(F252,'G-8 Condition Look up'!$A$3:$A$131,0),MATCH(J252,'G-8 Condition Look up'!$A$3:$H$3,0)),"")</f>
        <v/>
      </c>
      <c r="L252" s="79"/>
      <c r="M252" s="348" t="str">
        <f>IF(L252="","",IF(VLOOKUP(L252,'G-3 Multipliers'!$L$3:$N$6,2,FALSE)=0,"Spatial Data Missing",VLOOKUP(L252,'G-3 Multipliers'!$L$3:$N$6,2,FALSE)))</f>
        <v/>
      </c>
      <c r="N252" s="569" t="str">
        <f>IF(L252="","",IF(VLOOKUP(L252,'G-3 Multipliers'!$L$3:$N$6,3,FALSE)=0,"Spatial Data Missing",VLOOKUP(L252,'G-3 Multipliers'!$L$3:$N$6,3,FALSE)))</f>
        <v/>
      </c>
      <c r="O252" s="77" t="str">
        <f t="shared" si="18"/>
        <v/>
      </c>
      <c r="P252" s="94"/>
      <c r="Q252" s="94"/>
      <c r="R252" s="343" t="str">
        <f t="shared" si="20"/>
        <v/>
      </c>
      <c r="S252" s="591" t="str">
        <f t="shared" si="21"/>
        <v/>
      </c>
      <c r="T252" s="593" t="str">
        <f>IFERROR(IF(S252="Check Data","Check Data",VLOOKUP(S252,'G-4 Temporal multipliers'!$A$4:$C$37,3,FALSE)),"")</f>
        <v/>
      </c>
      <c r="U252" s="592" t="str">
        <f>IF(F252="","",VLOOKUP(F252,'G-3 Multipliers'!$A$2:$E$130,2,FALSE))</f>
        <v/>
      </c>
      <c r="V252" s="343" t="str">
        <f t="shared" si="22"/>
        <v/>
      </c>
      <c r="W252" s="343" t="str">
        <f>IF(E252="","",IF(AND(V252="Standard difficulty applied",O252&gt;P252),U252,IF(AND(V252="Low Difficulty - only applicable if all habitat created before losses",P252&gt;=O252),"Low",VLOOKUP(F252,'G-3 Multipliers'!$A$2:$E$130,4,FALSE))))</f>
        <v/>
      </c>
      <c r="X252" s="345" t="str">
        <f>IFERROR(IF(E252="","",VLOOKUP(W252, 'G-3 Multipliers'!$P$2:$Q$6,2,FALSE)),””)</f>
        <v/>
      </c>
      <c r="Y252" s="595" t="str">
        <f t="shared" si="23"/>
        <v/>
      </c>
      <c r="Z252" s="355"/>
      <c r="AA252" s="356"/>
      <c r="AE252" s="59" t="str">
        <f t="shared" si="19"/>
        <v/>
      </c>
    </row>
    <row r="253" spans="1:31" x14ac:dyDescent="0.25">
      <c r="A253" s="52" t="str">
        <f>IFERROR(INDEX('G-8 Condition Look up'!$I$4:$I$131,MATCH(F253,'G-8 Condition Look up'!$A$4:$A$131,0)),"")</f>
        <v/>
      </c>
      <c r="C253" s="588" t="str">
        <f>IFERROR(INDEX('G-1 All Habitats'!$AG$3:$AG$15,MATCH(D253,'G-1 All Habitats'!$AF$3:$AF$15,0)),"")</f>
        <v/>
      </c>
      <c r="D253" s="347"/>
      <c r="E253" s="366"/>
      <c r="F253" s="365" t="str">
        <f>IFERROR(INDEX('G-1 All Habitats'!$B$3:$B$130,MATCH(E253,'G-1 All Habitats'!$A$3:$A$130,0)),"")</f>
        <v/>
      </c>
      <c r="G253" s="76"/>
      <c r="H253" s="77" t="str">
        <f>IF(F253="","",VLOOKUP(F253,'G-1 All Habitats'!$B$2:$M$130,10,FALSE))</f>
        <v/>
      </c>
      <c r="I253" s="78" t="str">
        <f>IFERROR(VLOOKUP(H253,'G-1 All Habitats'!$V$3:$W$7,2,FALSE),"")</f>
        <v/>
      </c>
      <c r="J253" s="79"/>
      <c r="K253" s="78" t="str">
        <f>IFERROR(INDEX('G-8 Condition Look up'!$A$3:$H$131,MATCH(F253,'G-8 Condition Look up'!$A$3:$A$131,0),MATCH(J253,'G-8 Condition Look up'!$A$3:$H$3,0)),"")</f>
        <v/>
      </c>
      <c r="L253" s="79"/>
      <c r="M253" s="348" t="str">
        <f>IF(L253="","",IF(VLOOKUP(L253,'G-3 Multipliers'!$L$3:$N$6,2,FALSE)=0,"Spatial Data Missing",VLOOKUP(L253,'G-3 Multipliers'!$L$3:$N$6,2,FALSE)))</f>
        <v/>
      </c>
      <c r="N253" s="569" t="str">
        <f>IF(L253="","",IF(VLOOKUP(L253,'G-3 Multipliers'!$L$3:$N$6,3,FALSE)=0,"Spatial Data Missing",VLOOKUP(L253,'G-3 Multipliers'!$L$3:$N$6,3,FALSE)))</f>
        <v/>
      </c>
      <c r="O253" s="77" t="str">
        <f t="shared" si="18"/>
        <v/>
      </c>
      <c r="P253" s="94"/>
      <c r="Q253" s="94"/>
      <c r="R253" s="343" t="str">
        <f t="shared" si="20"/>
        <v/>
      </c>
      <c r="S253" s="591" t="str">
        <f t="shared" si="21"/>
        <v/>
      </c>
      <c r="T253" s="593" t="str">
        <f>IFERROR(IF(S253="Check Data","Check Data",VLOOKUP(S253,'G-4 Temporal multipliers'!$A$4:$C$37,3,FALSE)),"")</f>
        <v/>
      </c>
      <c r="U253" s="592" t="str">
        <f>IF(F253="","",VLOOKUP(F253,'G-3 Multipliers'!$A$2:$E$130,2,FALSE))</f>
        <v/>
      </c>
      <c r="V253" s="343" t="str">
        <f t="shared" si="22"/>
        <v/>
      </c>
      <c r="W253" s="343" t="str">
        <f>IF(E253="","",IF(AND(V253="Standard difficulty applied",O253&gt;P253),U253,IF(AND(V253="Low Difficulty - only applicable if all habitat created before losses",P253&gt;=O253),"Low",VLOOKUP(F253,'G-3 Multipliers'!$A$2:$E$130,4,FALSE))))</f>
        <v/>
      </c>
      <c r="X253" s="345" t="str">
        <f>IFERROR(IF(E253="","",VLOOKUP(W253, 'G-3 Multipliers'!$P$2:$Q$6,2,FALSE)),””)</f>
        <v/>
      </c>
      <c r="Y253" s="595" t="str">
        <f t="shared" si="23"/>
        <v/>
      </c>
      <c r="Z253" s="355"/>
      <c r="AA253" s="356"/>
      <c r="AE253" s="59" t="str">
        <f t="shared" si="19"/>
        <v/>
      </c>
    </row>
    <row r="254" spans="1:31" x14ac:dyDescent="0.25">
      <c r="A254" s="52" t="str">
        <f>IFERROR(INDEX('G-8 Condition Look up'!$I$4:$I$131,MATCH(F254,'G-8 Condition Look up'!$A$4:$A$131,0)),"")</f>
        <v/>
      </c>
      <c r="C254" s="588" t="str">
        <f>IFERROR(INDEX('G-1 All Habitats'!$AG$3:$AG$15,MATCH(D254,'G-1 All Habitats'!$AF$3:$AF$15,0)),"")</f>
        <v/>
      </c>
      <c r="D254" s="347"/>
      <c r="E254" s="366"/>
      <c r="F254" s="365" t="str">
        <f>IFERROR(INDEX('G-1 All Habitats'!$B$3:$B$130,MATCH(E254,'G-1 All Habitats'!$A$3:$A$130,0)),"")</f>
        <v/>
      </c>
      <c r="G254" s="76"/>
      <c r="H254" s="77" t="str">
        <f>IF(F254="","",VLOOKUP(F254,'G-1 All Habitats'!$B$2:$M$130,10,FALSE))</f>
        <v/>
      </c>
      <c r="I254" s="78" t="str">
        <f>IFERROR(VLOOKUP(H254,'G-1 All Habitats'!$V$3:$W$7,2,FALSE),"")</f>
        <v/>
      </c>
      <c r="J254" s="79"/>
      <c r="K254" s="78" t="str">
        <f>IFERROR(INDEX('G-8 Condition Look up'!$A$3:$H$131,MATCH(F254,'G-8 Condition Look up'!$A$3:$A$131,0),MATCH(J254,'G-8 Condition Look up'!$A$3:$H$3,0)),"")</f>
        <v/>
      </c>
      <c r="L254" s="79"/>
      <c r="M254" s="348" t="str">
        <f>IF(L254="","",IF(VLOOKUP(L254,'G-3 Multipliers'!$L$3:$N$6,2,FALSE)=0,"Spatial Data Missing",VLOOKUP(L254,'G-3 Multipliers'!$L$3:$N$6,2,FALSE)))</f>
        <v/>
      </c>
      <c r="N254" s="569" t="str">
        <f>IF(L254="","",IF(VLOOKUP(L254,'G-3 Multipliers'!$L$3:$N$6,3,FALSE)=0,"Spatial Data Missing",VLOOKUP(L254,'G-3 Multipliers'!$L$3:$N$6,3,FALSE)))</f>
        <v/>
      </c>
      <c r="O254" s="77" t="str">
        <f t="shared" si="18"/>
        <v/>
      </c>
      <c r="P254" s="94"/>
      <c r="Q254" s="94"/>
      <c r="R254" s="343" t="str">
        <f t="shared" si="20"/>
        <v/>
      </c>
      <c r="S254" s="591" t="str">
        <f t="shared" si="21"/>
        <v/>
      </c>
      <c r="T254" s="593" t="str">
        <f>IFERROR(IF(S254="Check Data","Check Data",VLOOKUP(S254,'G-4 Temporal multipliers'!$A$4:$C$37,3,FALSE)),"")</f>
        <v/>
      </c>
      <c r="U254" s="592" t="str">
        <f>IF(F254="","",VLOOKUP(F254,'G-3 Multipliers'!$A$2:$E$130,2,FALSE))</f>
        <v/>
      </c>
      <c r="V254" s="343" t="str">
        <f t="shared" si="22"/>
        <v/>
      </c>
      <c r="W254" s="343" t="str">
        <f>IF(E254="","",IF(AND(V254="Standard difficulty applied",O254&gt;P254),U254,IF(AND(V254="Low Difficulty - only applicable if all habitat created before losses",P254&gt;=O254),"Low",VLOOKUP(F254,'G-3 Multipliers'!$A$2:$E$130,4,FALSE))))</f>
        <v/>
      </c>
      <c r="X254" s="345" t="str">
        <f>IFERROR(IF(E254="","",VLOOKUP(W254, 'G-3 Multipliers'!$P$2:$Q$6,2,FALSE)),””)</f>
        <v/>
      </c>
      <c r="Y254" s="595" t="str">
        <f t="shared" si="23"/>
        <v/>
      </c>
      <c r="Z254" s="355"/>
      <c r="AA254" s="356"/>
      <c r="AE254" s="59" t="str">
        <f t="shared" si="19"/>
        <v/>
      </c>
    </row>
    <row r="255" spans="1:31" x14ac:dyDescent="0.25">
      <c r="A255" s="52" t="str">
        <f>IFERROR(INDEX('G-8 Condition Look up'!$I$4:$I$131,MATCH(F255,'G-8 Condition Look up'!$A$4:$A$131,0)),"")</f>
        <v/>
      </c>
      <c r="C255" s="588" t="str">
        <f>IFERROR(INDEX('G-1 All Habitats'!$AG$3:$AG$15,MATCH(D255,'G-1 All Habitats'!$AF$3:$AF$15,0)),"")</f>
        <v/>
      </c>
      <c r="D255" s="347"/>
      <c r="E255" s="366"/>
      <c r="F255" s="365" t="str">
        <f>IFERROR(INDEX('G-1 All Habitats'!$B$3:$B$130,MATCH(E255,'G-1 All Habitats'!$A$3:$A$130,0)),"")</f>
        <v/>
      </c>
      <c r="G255" s="76"/>
      <c r="H255" s="77" t="str">
        <f>IF(F255="","",VLOOKUP(F255,'G-1 All Habitats'!$B$2:$M$130,10,FALSE))</f>
        <v/>
      </c>
      <c r="I255" s="78" t="str">
        <f>IFERROR(VLOOKUP(H255,'G-1 All Habitats'!$V$3:$W$7,2,FALSE),"")</f>
        <v/>
      </c>
      <c r="J255" s="79"/>
      <c r="K255" s="78" t="str">
        <f>IFERROR(INDEX('G-8 Condition Look up'!$A$3:$H$131,MATCH(F255,'G-8 Condition Look up'!$A$3:$A$131,0),MATCH(J255,'G-8 Condition Look up'!$A$3:$H$3,0)),"")</f>
        <v/>
      </c>
      <c r="L255" s="79"/>
      <c r="M255" s="348" t="str">
        <f>IF(L255="","",IF(VLOOKUP(L255,'G-3 Multipliers'!$L$3:$N$6,2,FALSE)=0,"Spatial Data Missing",VLOOKUP(L255,'G-3 Multipliers'!$L$3:$N$6,2,FALSE)))</f>
        <v/>
      </c>
      <c r="N255" s="569" t="str">
        <f>IF(L255="","",IF(VLOOKUP(L255,'G-3 Multipliers'!$L$3:$N$6,3,FALSE)=0,"Spatial Data Missing",VLOOKUP(L255,'G-3 Multipliers'!$L$3:$N$6,3,FALSE)))</f>
        <v/>
      </c>
      <c r="O255" s="77" t="str">
        <f t="shared" si="18"/>
        <v/>
      </c>
      <c r="P255" s="94"/>
      <c r="Q255" s="94"/>
      <c r="R255" s="343" t="str">
        <f t="shared" si="20"/>
        <v/>
      </c>
      <c r="S255" s="591" t="str">
        <f t="shared" si="21"/>
        <v/>
      </c>
      <c r="T255" s="593" t="str">
        <f>IFERROR(IF(S255="Check Data","Check Data",VLOOKUP(S255,'G-4 Temporal multipliers'!$A$4:$C$37,3,FALSE)),"")</f>
        <v/>
      </c>
      <c r="U255" s="592" t="str">
        <f>IF(F255="","",VLOOKUP(F255,'G-3 Multipliers'!$A$2:$E$130,2,FALSE))</f>
        <v/>
      </c>
      <c r="V255" s="343" t="str">
        <f t="shared" si="22"/>
        <v/>
      </c>
      <c r="W255" s="343" t="str">
        <f>IF(E255="","",IF(AND(V255="Standard difficulty applied",O255&gt;P255),U255,IF(AND(V255="Low Difficulty - only applicable if all habitat created before losses",P255&gt;=O255),"Low",VLOOKUP(F255,'G-3 Multipliers'!$A$2:$E$130,4,FALSE))))</f>
        <v/>
      </c>
      <c r="X255" s="345" t="str">
        <f>IFERROR(IF(E255="","",VLOOKUP(W255, 'G-3 Multipliers'!$P$2:$Q$6,2,FALSE)),””)</f>
        <v/>
      </c>
      <c r="Y255" s="595" t="str">
        <f t="shared" si="23"/>
        <v/>
      </c>
      <c r="Z255" s="355"/>
      <c r="AA255" s="356"/>
      <c r="AE255" s="59" t="str">
        <f t="shared" si="19"/>
        <v/>
      </c>
    </row>
    <row r="256" spans="1:31" ht="14.4" thickBot="1" x14ac:dyDescent="0.3">
      <c r="A256" s="52" t="str">
        <f>IFERROR(INDEX('G-8 Condition Look up'!$I$4:$I$131,MATCH(F256,'G-8 Condition Look up'!$A$4:$A$131,0)),"")</f>
        <v/>
      </c>
      <c r="C256" s="589" t="str">
        <f>IFERROR(INDEX('G-1 All Habitats'!$AG$3:$AG$15,MATCH(D256,'G-1 All Habitats'!$AF$3:$AF$15,0)),"")</f>
        <v/>
      </c>
      <c r="D256" s="494"/>
      <c r="E256" s="487"/>
      <c r="F256" s="488" t="str">
        <f>IFERROR(INDEX('G-1 All Habitats'!$B$3:$B$130,MATCH(E256,'G-1 All Habitats'!$A$3:$A$130,0)),"")</f>
        <v/>
      </c>
      <c r="G256" s="484"/>
      <c r="H256" s="485" t="str">
        <f>IF(F256="","",VLOOKUP(F256,'G-1 All Habitats'!$B$2:$M$130,10,FALSE))</f>
        <v/>
      </c>
      <c r="I256" s="359" t="str">
        <f>IFERROR(VLOOKUP(H256,'G-1 All Habitats'!$V$3:$W$7,2,FALSE),"")</f>
        <v/>
      </c>
      <c r="J256" s="479"/>
      <c r="K256" s="359" t="str">
        <f>IFERROR(INDEX('G-8 Condition Look up'!$A$3:$H$131,MATCH(F256,'G-8 Condition Look up'!$A$3:$A$131,0),MATCH(J256,'G-8 Condition Look up'!$A$3:$H$3,0)),"")</f>
        <v/>
      </c>
      <c r="L256" s="479"/>
      <c r="M256" s="357" t="str">
        <f>IF(L256="","",IF(VLOOKUP(L256,'G-3 Multipliers'!$L$3:$N$6,2,FALSE)=0,"Spatial Data Missing",VLOOKUP(L256,'G-3 Multipliers'!$L$3:$N$6,2,FALSE)))</f>
        <v/>
      </c>
      <c r="N256" s="570" t="str">
        <f>IF(L256="","",IF(VLOOKUP(L256,'G-3 Multipliers'!$L$3:$N$6,3,FALSE)=0,"Spatial Data Missing",VLOOKUP(L256,'G-3 Multipliers'!$L$3:$N$6,3,FALSE)))</f>
        <v/>
      </c>
      <c r="O256" s="485" t="str">
        <f t="shared" si="18"/>
        <v/>
      </c>
      <c r="P256" s="360"/>
      <c r="Q256" s="360"/>
      <c r="R256" s="357" t="str">
        <f t="shared" si="20"/>
        <v/>
      </c>
      <c r="S256" s="489" t="str">
        <f t="shared" si="21"/>
        <v/>
      </c>
      <c r="T256" s="495" t="str">
        <f>IFERROR(IF(S256="Check Data","Check Data",VLOOKUP(S256,'G-4 Temporal multipliers'!$A$4:$C$37,3,FALSE)),"")</f>
        <v/>
      </c>
      <c r="U256" s="594" t="str">
        <f>IF(F256="","",VLOOKUP(F256,'G-3 Multipliers'!$A$2:$E$130,2,FALSE))</f>
        <v/>
      </c>
      <c r="V256" s="357" t="str">
        <f t="shared" si="22"/>
        <v/>
      </c>
      <c r="W256" s="357" t="str">
        <f>IF(E256="","",IF(AND(V256="Standard difficulty applied",O256&gt;P256),U256,IF(AND(V256="Low Difficulty - only applicable if all habitat created before losses",P256&gt;=O256),"Low",VLOOKUP(F256,'G-3 Multipliers'!$A$2:$E$130,4,FALSE))))</f>
        <v/>
      </c>
      <c r="X256" s="359" t="str">
        <f>IFERROR(IF(E256="","",VLOOKUP(W256, 'G-3 Multipliers'!$P$2:$Q$6,2,FALSE)),””)</f>
        <v/>
      </c>
      <c r="Y256" s="596" t="str">
        <f t="shared" si="23"/>
        <v/>
      </c>
      <c r="Z256" s="490"/>
      <c r="AA256" s="491"/>
      <c r="AE256" s="59" t="str">
        <f t="shared" si="19"/>
        <v/>
      </c>
    </row>
    <row r="257" spans="5:25" ht="14.4" thickBot="1" x14ac:dyDescent="0.3">
      <c r="E257" s="220" t="s">
        <v>1507</v>
      </c>
      <c r="F257" s="524" t="s">
        <v>794</v>
      </c>
      <c r="G257" s="597">
        <f>IF('Detailed Results'!$K$40&gt;0,"Error",SUMIFS($G$11:$G$256,$F$11:$F$256,"&lt;&gt;"&amp;'G-1 All Habitats'!B74,$F$11:$F$256,"&lt;&gt;"&amp;'G-1 All Habitats'!B66,$F$11:$F$256,"&lt;&gt;"&amp;'G-1 All Habitats'!B67))</f>
        <v>4.6443000000000003</v>
      </c>
      <c r="T257" s="98"/>
      <c r="U257" s="98"/>
      <c r="V257" s="98"/>
      <c r="W257" s="98"/>
      <c r="X257" s="214" t="s">
        <v>380</v>
      </c>
      <c r="Y257" s="597">
        <f>SUM(Y11:Y256)</f>
        <v>2.1482003451367198</v>
      </c>
    </row>
    <row r="258" spans="5:25" x14ac:dyDescent="0.25">
      <c r="E258" s="52"/>
    </row>
    <row r="259" spans="5:25" x14ac:dyDescent="0.25">
      <c r="E259" s="52"/>
    </row>
    <row r="260" spans="5:25" x14ac:dyDescent="0.25">
      <c r="E260" s="52"/>
    </row>
    <row r="261" spans="5:25" x14ac:dyDescent="0.25">
      <c r="E261" s="52"/>
    </row>
    <row r="262" spans="5:25" x14ac:dyDescent="0.25">
      <c r="E262" s="52"/>
    </row>
    <row r="263" spans="5:25" x14ac:dyDescent="0.25">
      <c r="E263" s="52"/>
    </row>
    <row r="264" spans="5:25" x14ac:dyDescent="0.25">
      <c r="E264" s="52"/>
    </row>
    <row r="265" spans="5:25" x14ac:dyDescent="0.25">
      <c r="E265" s="52"/>
    </row>
    <row r="266" spans="5:25" x14ac:dyDescent="0.25">
      <c r="E266" s="52"/>
    </row>
  </sheetData>
  <sheetProtection algorithmName="SHA-512" hashValue="4blhb5utDw4BWXB7w1beF4rjoTiI8DOzuRHqaqanAohmUqyW8Fu/h081DBTYaz+hRVrZozApSWbSKSSokwKNOA==" saltValue="raDximmFCB1yuUGScyhULA==" spinCount="100000" sheet="1" objects="1" scenarios="1"/>
  <customSheetViews>
    <customSheetView guid="{8BDA793C-C9C5-4FC6-A0A5-F1109F6D4F22}" topLeftCell="B1">
      <pane ySplit="10" topLeftCell="A11" activePane="bottomLeft" state="frozen"/>
      <selection pane="bottomLeft"/>
    </customSheetView>
  </customSheetViews>
  <mergeCells count="18">
    <mergeCell ref="O9:T9"/>
    <mergeCell ref="U9:X9"/>
    <mergeCell ref="AE8:AE9"/>
    <mergeCell ref="D2:E2"/>
    <mergeCell ref="D3:E3"/>
    <mergeCell ref="F9:F10"/>
    <mergeCell ref="L9:N9"/>
    <mergeCell ref="G9:G10"/>
    <mergeCell ref="D9:D10"/>
    <mergeCell ref="E9:E10"/>
    <mergeCell ref="D8:AA8"/>
    <mergeCell ref="Y9:Y10"/>
    <mergeCell ref="Z9:AA9"/>
    <mergeCell ref="H9:I9"/>
    <mergeCell ref="J9:K9"/>
    <mergeCell ref="W3:Z6"/>
    <mergeCell ref="P2:S3"/>
    <mergeCell ref="P5:S6"/>
  </mergeCells>
  <conditionalFormatting sqref="K11:K256">
    <cfRule type="cellIs" dxfId="258" priority="32" operator="equal">
      <formula>"Not Possible"</formula>
    </cfRule>
  </conditionalFormatting>
  <conditionalFormatting sqref="S11:S256">
    <cfRule type="containsText" dxfId="257" priority="14" operator="containsText" text="30+">
      <formula>NOT(ISERROR(SEARCH("30+",S11)))</formula>
    </cfRule>
  </conditionalFormatting>
  <conditionalFormatting sqref="O11:O256">
    <cfRule type="containsText" dxfId="256" priority="13" operator="containsText" text="30+">
      <formula>NOT(ISERROR(SEARCH("30+",O11)))</formula>
    </cfRule>
  </conditionalFormatting>
  <conditionalFormatting sqref="V11:V256">
    <cfRule type="cellIs" dxfId="255" priority="3" operator="equal">
      <formula>"No - Enhancement difficulty applied"</formula>
    </cfRule>
    <cfRule type="containsText" dxfId="254" priority="9" operator="containsText" text="No - Low Difficulty">
      <formula>NOT(ISERROR(SEARCH("No - Low Difficulty",V11)))</formula>
    </cfRule>
  </conditionalFormatting>
  <conditionalFormatting sqref="X12:Y257 R11:Y11 R12:X256">
    <cfRule type="containsText" dxfId="253" priority="8" operator="containsText" text="Error">
      <formula>NOT(ISERROR(SEARCH("Error",R11)))</formula>
    </cfRule>
    <cfRule type="containsText" dxfId="252" priority="11" operator="containsText" text="Check">
      <formula>NOT(ISERROR(SEARCH("Check",R11)))</formula>
    </cfRule>
  </conditionalFormatting>
  <conditionalFormatting sqref="P2">
    <cfRule type="containsText" dxfId="251" priority="7" operator="containsText" text="Note">
      <formula>NOT(ISERROR(SEARCH("Note",P2)))</formula>
    </cfRule>
  </conditionalFormatting>
  <conditionalFormatting sqref="P5">
    <cfRule type="containsText" dxfId="250" priority="6" operator="containsText" text="Check">
      <formula>NOT(ISERROR(SEARCH("Check",P5)))</formula>
    </cfRule>
  </conditionalFormatting>
  <conditionalFormatting sqref="T255">
    <cfRule type="containsText" dxfId="249" priority="5" operator="containsText" text="30+">
      <formula>NOT(ISERROR(SEARCH("30+",T255)))</formula>
    </cfRule>
  </conditionalFormatting>
  <conditionalFormatting sqref="V11:V256">
    <cfRule type="cellIs" dxfId="248" priority="4" operator="equal">
      <formula>"No - Enhancement difficulty applied"</formula>
    </cfRule>
  </conditionalFormatting>
  <conditionalFormatting sqref="E257">
    <cfRule type="containsText" dxfId="247" priority="1" operator="containsText" text="Error">
      <formula>NOT(ISERROR(SEARCH("Error",E257)))</formula>
    </cfRule>
    <cfRule type="containsText" dxfId="246" priority="2" operator="containsText" text="Check">
      <formula>NOT(ISERROR(SEARCH("Check",E257)))</formula>
    </cfRule>
  </conditionalFormatting>
  <dataValidations count="3">
    <dataValidation allowBlank="1" showErrorMessage="1" errorTitle="Invalid Habitat" error="Select from List" sqref="F11:F256" xr:uid="{00000000-0002-0000-0B00-000000000000}"/>
    <dataValidation type="list" allowBlank="1" showInputMessage="1" showErrorMessage="1" sqref="E11:E256" xr:uid="{00000000-0002-0000-0B00-000001000000}">
      <formula1>INDIRECT(C11)</formula1>
    </dataValidation>
    <dataValidation type="list" allowBlank="1" showInputMessage="1" showErrorMessage="1" sqref="J11:J256" xr:uid="{00000000-0002-0000-0B00-000002000000}">
      <formula1>INDIRECT(A11)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B00-000003000000}">
          <x14:formula1>
            <xm:f>'G-3 Multipliers'!$L$4:$L$6</xm:f>
          </x14:formula1>
          <xm:sqref>L11:L256</xm:sqref>
        </x14:dataValidation>
        <x14:dataValidation type="list" allowBlank="1" showInputMessage="1" showErrorMessage="1" xr:uid="{00000000-0002-0000-0B00-000004000000}">
          <x14:formula1>
            <xm:f>'G-4 Temporal multipliers'!$A$41:$A$72</xm:f>
          </x14:formula1>
          <xm:sqref>P11:Q256</xm:sqref>
        </x14:dataValidation>
        <x14:dataValidation type="list" allowBlank="1" showInputMessage="1" showErrorMessage="1" xr:uid="{00000000-0002-0000-0B00-000005000000}">
          <x14:formula1>
            <xm:f>'G-1 All Habitats'!$AF$3:$AF$15</xm:f>
          </x14:formula1>
          <xm:sqref>D11:D256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tabColor rgb="FF92D050"/>
  </sheetPr>
  <dimension ref="A1:AP266"/>
  <sheetViews>
    <sheetView showGridLines="0" showRowColHeaders="0" topLeftCell="D1" zoomScale="70" zoomScaleNormal="70" workbookViewId="0">
      <pane ySplit="11" topLeftCell="A12" activePane="bottomLeft" state="frozen"/>
      <selection activeCell="B18" sqref="B18:I19"/>
      <selection pane="bottomLeft"/>
    </sheetView>
  </sheetViews>
  <sheetFormatPr defaultColWidth="8.88671875" defaultRowHeight="13.8" zeroHeight="1" x14ac:dyDescent="0.25"/>
  <cols>
    <col min="1" max="1" width="19.5546875" style="52" hidden="1" customWidth="1"/>
    <col min="2" max="2" width="19" style="52" hidden="1" customWidth="1"/>
    <col min="3" max="3" width="11" style="52" hidden="1" customWidth="1"/>
    <col min="4" max="4" width="2.88671875" style="52" customWidth="1"/>
    <col min="5" max="5" width="11.33203125" style="52" customWidth="1"/>
    <col min="6" max="6" width="57.6640625" style="52" customWidth="1"/>
    <col min="7" max="7" width="8.5546875" style="52" customWidth="1"/>
    <col min="8" max="9" width="17.88671875" style="52" customWidth="1"/>
    <col min="10" max="10" width="18.109375" style="52" customWidth="1"/>
    <col min="11" max="12" width="19.33203125" style="52" customWidth="1"/>
    <col min="13" max="13" width="20.33203125" style="52" customWidth="1"/>
    <col min="14" max="14" width="19.33203125" style="52" customWidth="1"/>
    <col min="15" max="15" width="34" style="52" customWidth="1"/>
    <col min="16" max="16" width="34" style="52" hidden="1" customWidth="1"/>
    <col min="17" max="17" width="34" style="52" customWidth="1"/>
    <col min="18" max="18" width="73" style="52" customWidth="1"/>
    <col min="19" max="19" width="61.33203125" style="52" hidden="1" customWidth="1"/>
    <col min="20" max="21" width="34.33203125" style="52" customWidth="1"/>
    <col min="22" max="22" width="12.109375" style="52" customWidth="1"/>
    <col min="23" max="23" width="18.44140625" style="52" customWidth="1"/>
    <col min="24" max="24" width="13.109375" style="52" customWidth="1"/>
    <col min="25" max="25" width="12.6640625" style="52" customWidth="1"/>
    <col min="26" max="26" width="12.5546875" style="52" customWidth="1"/>
    <col min="27" max="27" width="41.6640625" style="52" customWidth="1"/>
    <col min="28" max="28" width="15.44140625" style="52" customWidth="1"/>
    <col min="29" max="29" width="12.33203125" style="52" customWidth="1"/>
    <col min="30" max="30" width="18.109375" style="52" customWidth="1"/>
    <col min="31" max="31" width="20.88671875" style="52" customWidth="1"/>
    <col min="32" max="32" width="22.6640625" style="52" customWidth="1"/>
    <col min="33" max="33" width="33.33203125" style="52" customWidth="1"/>
    <col min="34" max="34" width="17.6640625" style="52" customWidth="1"/>
    <col min="35" max="35" width="15.33203125" style="52" customWidth="1"/>
    <col min="36" max="36" width="15.6640625" style="52" customWidth="1"/>
    <col min="37" max="37" width="29.44140625" style="52" customWidth="1"/>
    <col min="38" max="38" width="17.109375" style="52" customWidth="1"/>
    <col min="39" max="39" width="14.5546875" style="52" customWidth="1"/>
    <col min="40" max="40" width="12.6640625" style="52" customWidth="1"/>
    <col min="41" max="41" width="40.33203125" style="52" customWidth="1"/>
    <col min="42" max="42" width="42.33203125" style="52" customWidth="1"/>
    <col min="43" max="55" width="8.88671875" style="52" customWidth="1"/>
    <col min="56" max="16384" width="8.88671875" style="52"/>
  </cols>
  <sheetData>
    <row r="1" spans="1:42" ht="14.4" thickBot="1" x14ac:dyDescent="0.3"/>
    <row r="2" spans="1:42" ht="19.5" customHeight="1" thickBot="1" x14ac:dyDescent="0.3">
      <c r="E2" s="961" t="str">
        <f>IF(Start!$F$12="","",Start!$F$12)</f>
        <v>7948: Anglia Square, Norwich</v>
      </c>
      <c r="F2" s="962"/>
      <c r="G2" s="963"/>
      <c r="AD2" s="974" t="str">
        <f>IF(OR(COUNTIF($AD$12:AD257,"*30+*")&gt;0,COUNTIF(AH12:AH257,"*30+*")&gt;0),"Note; Habitat selected has a time to target condition greater than 30 years. Non standard agreement may be required.","")</f>
        <v/>
      </c>
      <c r="AE2" s="974"/>
      <c r="AF2" s="974"/>
      <c r="AG2" s="974"/>
      <c r="AH2" s="974"/>
      <c r="AI2" s="974"/>
    </row>
    <row r="3" spans="1:42" ht="13.2" customHeight="1" x14ac:dyDescent="0.25">
      <c r="E3" s="964" t="str">
        <f ca="1">MID(CELL("filename",D1),FIND("]",CELL("filename",D1))+1,256)</f>
        <v>A-3 Site Habitat Enhancement</v>
      </c>
      <c r="F3" s="965"/>
      <c r="G3" s="966"/>
      <c r="AD3" s="974"/>
      <c r="AE3" s="974"/>
      <c r="AF3" s="974"/>
      <c r="AG3" s="974"/>
      <c r="AH3" s="974"/>
      <c r="AI3" s="974"/>
    </row>
    <row r="4" spans="1:42" ht="15.75" customHeight="1" thickBot="1" x14ac:dyDescent="0.35">
      <c r="E4" s="967"/>
      <c r="F4" s="968"/>
      <c r="G4" s="969"/>
      <c r="H4" s="339" t="str">
        <f>IF(G4="","",IF(ISNA(VLOOKUP($E4,'A-1 Site Habitat Baseline'!$D$1:$O$258,3,FALSE)),"",(VLOOKUP($E4,'A-1 Site Habitat Baseline'!$D$1:$O$258,3,FALSE))))</f>
        <v/>
      </c>
      <c r="AD4" s="704"/>
      <c r="AE4" s="704"/>
      <c r="AF4" s="704"/>
      <c r="AG4" s="704"/>
      <c r="AK4" s="340"/>
      <c r="AL4" s="340"/>
      <c r="AM4" s="340"/>
    </row>
    <row r="5" spans="1:42" ht="15" customHeight="1" x14ac:dyDescent="0.25">
      <c r="AD5" s="974" t="str">
        <f>IF(Q12&lt;&gt;A12,"Change in broad habitat type detected. Check compliance with guidance.","")</f>
        <v/>
      </c>
      <c r="AE5" s="974"/>
      <c r="AF5" s="974"/>
      <c r="AG5" s="974"/>
      <c r="AH5" s="974"/>
      <c r="AI5" s="974"/>
    </row>
    <row r="6" spans="1:42" ht="15.75" customHeight="1" x14ac:dyDescent="0.25">
      <c r="AD6" s="974"/>
      <c r="AE6" s="974"/>
      <c r="AF6" s="974"/>
      <c r="AG6" s="974"/>
      <c r="AH6" s="974"/>
      <c r="AI6" s="974"/>
    </row>
    <row r="7" spans="1:42" x14ac:dyDescent="0.25">
      <c r="E7" s="53"/>
      <c r="F7" s="53"/>
    </row>
    <row r="8" spans="1:42" ht="18" customHeight="1" thickBot="1" x14ac:dyDescent="0.3"/>
    <row r="9" spans="1:42" ht="15.6" customHeight="1" thickBot="1" x14ac:dyDescent="0.3"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953" t="s">
        <v>990</v>
      </c>
      <c r="R9" s="954"/>
      <c r="S9" s="954"/>
      <c r="T9" s="954"/>
      <c r="U9" s="954"/>
      <c r="V9" s="954"/>
      <c r="W9" s="954"/>
      <c r="X9" s="954"/>
      <c r="Y9" s="954"/>
      <c r="Z9" s="954"/>
      <c r="AA9" s="954"/>
      <c r="AB9" s="954"/>
      <c r="AC9" s="954"/>
      <c r="AD9" s="954"/>
      <c r="AE9" s="954"/>
      <c r="AF9" s="954"/>
      <c r="AG9" s="954"/>
      <c r="AH9" s="954"/>
      <c r="AI9" s="954"/>
      <c r="AJ9" s="954"/>
      <c r="AK9" s="954"/>
      <c r="AL9" s="954"/>
      <c r="AM9" s="955"/>
    </row>
    <row r="10" spans="1:42" ht="28.2" customHeight="1" thickBot="1" x14ac:dyDescent="0.3">
      <c r="F10" s="953" t="s">
        <v>1003</v>
      </c>
      <c r="G10" s="954"/>
      <c r="H10" s="954"/>
      <c r="I10" s="954"/>
      <c r="J10" s="954"/>
      <c r="K10" s="954"/>
      <c r="L10" s="954"/>
      <c r="M10" s="954"/>
      <c r="N10" s="954"/>
      <c r="O10" s="955"/>
      <c r="P10" s="341"/>
      <c r="Q10" s="970" t="s">
        <v>1312</v>
      </c>
      <c r="R10" s="971"/>
      <c r="S10" s="613"/>
      <c r="T10" s="972" t="s">
        <v>1065</v>
      </c>
      <c r="U10" s="973"/>
      <c r="V10" s="976" t="s">
        <v>996</v>
      </c>
      <c r="W10" s="981" t="s">
        <v>127</v>
      </c>
      <c r="X10" s="981" t="s">
        <v>140</v>
      </c>
      <c r="Y10" s="981" t="s">
        <v>141</v>
      </c>
      <c r="Z10" s="979" t="s">
        <v>140</v>
      </c>
      <c r="AA10" s="975" t="s">
        <v>362</v>
      </c>
      <c r="AB10" s="972"/>
      <c r="AC10" s="973"/>
      <c r="AD10" s="941" t="s">
        <v>1292</v>
      </c>
      <c r="AE10" s="943"/>
      <c r="AF10" s="943"/>
      <c r="AG10" s="943"/>
      <c r="AH10" s="943"/>
      <c r="AI10" s="942"/>
      <c r="AJ10" s="941" t="s">
        <v>1293</v>
      </c>
      <c r="AK10" s="943"/>
      <c r="AL10" s="943"/>
      <c r="AM10" s="943"/>
      <c r="AN10" s="944" t="s">
        <v>993</v>
      </c>
      <c r="AO10" s="975" t="s">
        <v>145</v>
      </c>
      <c r="AP10" s="973"/>
    </row>
    <row r="11" spans="1:42" s="54" customFormat="1" ht="55.8" thickBot="1" x14ac:dyDescent="0.3">
      <c r="A11" s="600" t="s">
        <v>372</v>
      </c>
      <c r="B11" s="600" t="s">
        <v>307</v>
      </c>
      <c r="C11" s="600" t="s">
        <v>1298</v>
      </c>
      <c r="E11" s="556" t="s">
        <v>840</v>
      </c>
      <c r="F11" s="560" t="s">
        <v>997</v>
      </c>
      <c r="G11" s="560" t="s">
        <v>998</v>
      </c>
      <c r="H11" s="560" t="s">
        <v>999</v>
      </c>
      <c r="I11" s="560" t="s">
        <v>1000</v>
      </c>
      <c r="J11" s="560" t="s">
        <v>1001</v>
      </c>
      <c r="K11" s="560" t="s">
        <v>1002</v>
      </c>
      <c r="L11" s="560" t="s">
        <v>1004</v>
      </c>
      <c r="M11" s="560" t="s">
        <v>1005</v>
      </c>
      <c r="N11" s="560" t="s">
        <v>1006</v>
      </c>
      <c r="O11" s="558" t="s">
        <v>1059</v>
      </c>
      <c r="P11" s="554" t="s">
        <v>1290</v>
      </c>
      <c r="Q11" s="583" t="s">
        <v>1313</v>
      </c>
      <c r="R11" s="89" t="s">
        <v>987</v>
      </c>
      <c r="S11" s="555" t="s">
        <v>987</v>
      </c>
      <c r="T11" s="557" t="s">
        <v>1045</v>
      </c>
      <c r="U11" s="559" t="s">
        <v>1046</v>
      </c>
      <c r="V11" s="977"/>
      <c r="W11" s="982"/>
      <c r="X11" s="982"/>
      <c r="Y11" s="982"/>
      <c r="Z11" s="980"/>
      <c r="AA11" s="583" t="s">
        <v>362</v>
      </c>
      <c r="AB11" s="601" t="s">
        <v>362</v>
      </c>
      <c r="AC11" s="603" t="s">
        <v>983</v>
      </c>
      <c r="AD11" s="583" t="s">
        <v>1180</v>
      </c>
      <c r="AE11" s="604" t="s">
        <v>1202</v>
      </c>
      <c r="AF11" s="604" t="s">
        <v>1478</v>
      </c>
      <c r="AG11" s="604" t="s">
        <v>1179</v>
      </c>
      <c r="AH11" s="604" t="s">
        <v>1183</v>
      </c>
      <c r="AI11" s="584" t="s">
        <v>1181</v>
      </c>
      <c r="AJ11" s="583" t="s">
        <v>1184</v>
      </c>
      <c r="AK11" s="604" t="s">
        <v>1486</v>
      </c>
      <c r="AL11" s="604" t="s">
        <v>1185</v>
      </c>
      <c r="AM11" s="606" t="s">
        <v>1182</v>
      </c>
      <c r="AN11" s="978"/>
      <c r="AO11" s="557" t="s">
        <v>991</v>
      </c>
      <c r="AP11" s="559" t="s">
        <v>992</v>
      </c>
    </row>
    <row r="12" spans="1:42" x14ac:dyDescent="0.25">
      <c r="A12" s="52" t="str">
        <f>IF(E12="","",IF(ISNA(VLOOKUP($E12,'A-1 Site Habitat Baseline'!$D$1:$O$258,2,FALSE)),"",(VLOOKUP($E12,'A-1 Site Habitat Baseline'!$D$1:$O$258,2,FALSE))))</f>
        <v/>
      </c>
      <c r="B12" s="52" t="str">
        <f>IF(E12="","",IF(ISNA(VLOOKUP($E12,'A-1 Site Habitat Baseline'!$D$1:$O$258,3,FALSE)),"",(VLOOKUP($E12,'A-1 Site Habitat Baseline'!$D$1:$O$258,3,FALSE))))</f>
        <v/>
      </c>
      <c r="C12" s="52" t="str">
        <f>IFERROR(INDEX('G-8 Condition Look up'!$I$4:$I$131,MATCH(S12,'G-8 Condition Look up'!$A$4:$A$131,0)),"")</f>
        <v/>
      </c>
      <c r="E12" s="342" t="str">
        <f>'A-1 Site Habitat Baseline'!AL11</f>
        <v/>
      </c>
      <c r="F12" s="343" t="str">
        <f>IF(E12="","",IF(ISNA(VLOOKUP($E12,'A-1 Site Habitat Baseline'!$D$1:$O$258,4,FALSE)),"",(VLOOKUP($E12,'A-1 Site Habitat Baseline'!$D$1:$O$258,4,FALSE))))</f>
        <v/>
      </c>
      <c r="G12" s="343" t="str">
        <f>IF(E12="","",IF(ISNA(VLOOKUP($E12,'A-1 Site Habitat Baseline'!$D$1:$O$258,5,FALSE)),"",(VLOOKUP($E12,'A-1 Site Habitat Baseline'!$D$1:$O$258,5,FALSE))))</f>
        <v/>
      </c>
      <c r="H12" s="343" t="str">
        <f>IF(E12="","",IF(ISNA(VLOOKUP($E12,'A-1 Site Habitat Baseline'!$D$1:$O$258,6,FALSE)),"",(VLOOKUP($E12,'A-1 Site Habitat Baseline'!$D$1:$O$258,6,FALSE))))</f>
        <v/>
      </c>
      <c r="I12" s="343" t="str">
        <f>IF(E12="","",IF(ISNA(VLOOKUP($E12,'A-1 Site Habitat Baseline'!$D$1:$O$258,7,FALSE)),"",(VLOOKUP($E12,'A-1 Site Habitat Baseline'!$D$1:$O$258,7,FALSE))))</f>
        <v/>
      </c>
      <c r="J12" s="343" t="str">
        <f>IF(E12="","",IF(ISNA(VLOOKUP($E12,'A-1 Site Habitat Baseline'!$D$1:$O$258,8,FALSE)),"",(VLOOKUP($E12,'A-1 Site Habitat Baseline'!$D$1:$O$258,8,FALSE))))</f>
        <v/>
      </c>
      <c r="K12" s="343" t="str">
        <f>IF(E12="","",IF(ISNA(VLOOKUP($E12,'A-1 Site Habitat Baseline'!$D$1:$O$258,9,FALSE)),"",(VLOOKUP($E12,'A-1 Site Habitat Baseline'!$D$1:$O$258,9,FALSE))))</f>
        <v/>
      </c>
      <c r="L12" s="343" t="str">
        <f>IF(E12="","",IF(ISNA(VLOOKUP($E12,'A-1 Site Habitat Baseline'!$D$1:$O$258,11,FALSE)),"",(VLOOKUP($E12,'A-1 Site Habitat Baseline'!$D$1:$O$258,11,FALSE))))</f>
        <v/>
      </c>
      <c r="M12" s="343" t="str">
        <f>IF(E12="","",IF(ISNA(VLOOKUP($E12,'A-1 Site Habitat Baseline'!$D$1:$O$258,12,FALSE)),"",(VLOOKUP($E12,'A-1 Site Habitat Baseline'!$D$1:$O$258,12,FALSE))))</f>
        <v/>
      </c>
      <c r="N12" s="344" t="str">
        <f>IF(E12="","",IF(ISNA(VLOOKUP($E12,'A-1 Site Habitat Baseline'!$D$1:$X$258,14,FALSE)),"",(VLOOKUP($E12,'A-1 Site Habitat Baseline'!$D$1:$X$258,14,FALSE))))</f>
        <v/>
      </c>
      <c r="O12" s="345" t="str">
        <f>IF(E12="","",IF(ISNA(VLOOKUP($E12,'A-1 Site Habitat Baseline'!$D$1:$X$258,16,FALSE)),"",(VLOOKUP($E12,'A-1 Site Habitat Baseline'!$D$1:$X$258,13,FALSE))))</f>
        <v/>
      </c>
      <c r="P12" s="346" t="str">
        <f>IFERROR(INDEX('G-1 All Habitats'!$AG$3:$AG$15,MATCH(Q12,'G-1 All Habitats'!$AF$3:$AF$15,0)),"")</f>
        <v/>
      </c>
      <c r="Q12" s="347"/>
      <c r="R12" s="347"/>
      <c r="S12" s="605" t="str">
        <f>IFERROR(INDEX('G-1 All Habitats'!$B$3:$B$130,MATCH(R12,'G-1 All Habitats'!$A$3:$A$130,0)),"")</f>
        <v/>
      </c>
      <c r="T12" s="77" t="str">
        <f>IF(E12="","",IF(AND(LEFT(O12,6)="Same d",I12&gt;X12),"Error - Trading rules not satisfied",IF(AND(LEFT(O12,6)="Same b",AND(LEFT(F12,5)&lt;&gt;LEFT(S12,5),I12&gt;X12)),"Error - Trading rules not satisfied",IF(AND(LEFT(O12,6)="Same h",F12&lt;&gt;S12),"Error - Trading rules not satisfied",IF(AND(LEFT(O12,6)="Bespok",F12&lt;&gt;S12),"Error - Trading rules not satisfied",IF(X12&lt;I12,"Error Trading Down",H12&amp;" - "&amp;W12))))))</f>
        <v/>
      </c>
      <c r="U12" s="78" t="str">
        <f>IF(F12="","",IF(AND(LEFT(F12,55)&lt;&gt;LEFT(S12,55),T12= "High - High"),"Error - Not like for like",IF(AND(I12=X12,K12&gt;Z12),"Error - Can not reduce condition",IF(AND(I12=X12,K12=Z12),"Error - No enhancement",IF(X12&lt;I12,"Error Trading Down",IF(AND(F12&lt;&gt;S12,I12&lt;X12),"Lower Distinctiveness Habitat"&amp;" - "&amp;Y12,J12&amp;" - "&amp;Y12))))))</f>
        <v/>
      </c>
      <c r="V12" s="350" t="str">
        <f>IF(S12="","",VLOOKUP(E12,BaselineHabSite,17,FALSE))</f>
        <v/>
      </c>
      <c r="W12" s="343" t="str">
        <f>IF(S12="","",VLOOKUP(S12,'G-1 All Habitats'!$B$2:$M$130,10,FALSE))</f>
        <v/>
      </c>
      <c r="X12" s="343" t="str">
        <f>IFERROR(VLOOKUP(W12,'G-1 All Habitats'!$V$3:$W$7,2,FALSE),"")</f>
        <v/>
      </c>
      <c r="Y12" s="91"/>
      <c r="Z12" s="345" t="str">
        <f>IFERROR(INDEX('G-8 Condition Look up'!$A$3:$H$131,MATCH(S12,'G-8 Condition Look up'!$A$3:$A$131,0),MATCH(Y12,'G-8 Condition Look up'!$A$3:$H$3,0)),"")</f>
        <v/>
      </c>
      <c r="AA12" s="79"/>
      <c r="AB12" s="343" t="str">
        <f>IF(AA12="","",IF(VLOOKUP(AA12,'G-3 Multipliers'!$L$3:$N$6,2,FALSE)=0,"Spatial Data Missing",VLOOKUP(AA12,'G-3 Multipliers'!$L$3:$N$6,2,FALSE)))</f>
        <v/>
      </c>
      <c r="AC12" s="345" t="str">
        <f>IF(AA12="","",IF(VLOOKUP(AA12,'G-3 Multipliers'!$L$3:$N$6,3,FALSE)=0,"Spatial Data Missing",VLOOKUP(AA12,'G-3 Multipliers'!$L$3:$N$6,3,FALSE)))</f>
        <v/>
      </c>
      <c r="AD12" s="602" t="str">
        <f t="shared" ref="AD12:AD75" si="0">IFERROR(IF(OR(LEFT(U12,5)="Error",LEFT(T12,5)="Error"),"Check Data",INDEX(EnhanceTemporal,MATCH(S12,EnhanceHabitat,0),MATCH(U12,EnhanceCondition,0))),"")</f>
        <v/>
      </c>
      <c r="AE12" s="94"/>
      <c r="AF12" s="94"/>
      <c r="AG12" s="348" t="str">
        <f>IF(AD12="","",IF(AD12="Check Data","Check Data",IF(R12="","",IF(AND(AE12&gt;0,AF12&gt;0),"Error -both advance and delayed habitat creation",IF(AND(OR(AE12="Habitat already in target condition",AD12&lt;=AE12),AF12=0),"Check details - Is there evidence that habitat has reached target condition?",IF(O11="","",IF(AE12&gt;0,"Check details - Is there evidence habitat creation started/in place?",IF(AF12&gt;0,"Check details- Delay in starting habitat in required condition?","Standard time to target condition applied"))))))))</f>
        <v/>
      </c>
      <c r="AH12" s="591" t="str">
        <f>IF(LEFT(AG12,5)="Error","Check Data",IF(AG12="Check Data","Check Data",IF(AD12="","",IF(AD12="Not Possible","Check Data",IF(AND(AD12="30+",AE12=0),"30+",IF(AND(AD12="30+",AE12="30+"),0,IF(AND(AD12="30+",AE12&lt;30),30-AE12,IF(AD12="30+",30-AE12,IF(AE12&gt;AD12,0,IF(AF12="30+","30+",IF(AD12+AF12&gt;30,"30+",IF(AD12+AF12&gt;30,"30+",IF(AD12-AE12&gt;30,"30+",IF(AD12+AF12-AE12&gt;0,AD12+AF12-AE12,IF(AD12-AE12&gt;0,AD12-AE12,AD12+AF12-AE12)))))))))))))))</f>
        <v/>
      </c>
      <c r="AI12" s="353" t="str">
        <f>IF(AH12="Check Data","Check Data",IFERROR(VLOOKUP(AH12,'G-4 Temporal multipliers'!$A$4:$C$36,3,FALSE),""))</f>
        <v/>
      </c>
      <c r="AJ12" s="77" t="str">
        <f>IF(S12="","",VLOOKUP(S12,'G-3 Multipliers'!$A$2:$E$130,4,FALSE))</f>
        <v/>
      </c>
      <c r="AK12" s="348" t="str">
        <f>IF(E12="","",IF(AG12="Check details - Is there evidence that habitat has reached target condition?","Low Difficulty - only applicable if all habitat created before losses","Standard difficulty applied"))</f>
        <v/>
      </c>
      <c r="AL12" s="348" t="str">
        <f>(IF(AND(AK12="Standard difficulty applied",AD12&gt;AE12),AJ12,IF(AND(AK12="Low Difficulty - only applicable if all habitat created before losses",AE12&gt;=AD12),"Low", AJ12)))</f>
        <v/>
      </c>
      <c r="AM12" s="349" t="str">
        <f>IFERROR(IF(F12="","",IF(AH12="Check Data","Check Data",VLOOKUP(AL12, 'G-3 Multipliers'!$P$2:$Q$6,2,FALSE))),””)</f>
        <v/>
      </c>
      <c r="AN12" s="81" t="str">
        <f>IFERROR(((((V12*X12*Z12)-(V12*I12*K12))*(AM12*AI12))+(V12*I12*K12))*(AC12),"")</f>
        <v/>
      </c>
      <c r="AO12" s="355"/>
      <c r="AP12" s="356"/>
    </row>
    <row r="13" spans="1:42" x14ac:dyDescent="0.25">
      <c r="A13" s="52" t="str">
        <f>IF(E13="","",IF(ISNA(VLOOKUP($E13,'A-1 Site Habitat Baseline'!$D$1:$O$258,2,FALSE)),"",(VLOOKUP($E13,'A-1 Site Habitat Baseline'!$D$1:$O$258,2,FALSE))))</f>
        <v/>
      </c>
      <c r="B13" s="52" t="str">
        <f>IF(E13="","",IF(ISNA(VLOOKUP($E13,'A-1 Site Habitat Baseline'!$D$1:$O$258,3,FALSE)),"",(VLOOKUP($E13,'A-1 Site Habitat Baseline'!$D$1:$O$258,3,FALSE))))</f>
        <v/>
      </c>
      <c r="C13" s="52" t="str">
        <f>IFERROR(INDEX('G-8 Condition Look up'!$I$4:$I$131,MATCH(S13,'G-8 Condition Look up'!$A$4:$A$131,0)),"")</f>
        <v/>
      </c>
      <c r="E13" s="342" t="str">
        <f>'A-1 Site Habitat Baseline'!AL12</f>
        <v/>
      </c>
      <c r="F13" s="343" t="str">
        <f>IF(E13="","",IF(ISNA(VLOOKUP($E13,'A-1 Site Habitat Baseline'!$D$1:$O$258,4,FALSE)),"",(VLOOKUP($E13,'A-1 Site Habitat Baseline'!$D$1:$O$258,4,FALSE))))</f>
        <v/>
      </c>
      <c r="G13" s="343" t="str">
        <f>IF(E13="","",IF(ISNA(VLOOKUP($E13,'A-1 Site Habitat Baseline'!$D$1:$O$258,5,FALSE)),"",(VLOOKUP($E13,'A-1 Site Habitat Baseline'!$D$1:$O$258,5,FALSE))))</f>
        <v/>
      </c>
      <c r="H13" s="343" t="str">
        <f>IF(E13="","",IF(ISNA(VLOOKUP($E13,'A-1 Site Habitat Baseline'!$D$1:$O$258,6,FALSE)),"",(VLOOKUP($E13,'A-1 Site Habitat Baseline'!$D$1:$O$258,6,FALSE))))</f>
        <v/>
      </c>
      <c r="I13" s="343" t="str">
        <f>IF(E13="","",IF(ISNA(VLOOKUP($E13,'A-1 Site Habitat Baseline'!$D$1:$O$258,7,FALSE)),"",(VLOOKUP($E13,'A-1 Site Habitat Baseline'!$D$1:$O$258,7,FALSE))))</f>
        <v/>
      </c>
      <c r="J13" s="343" t="str">
        <f>IF(E13="","",IF(ISNA(VLOOKUP($E13,'A-1 Site Habitat Baseline'!$D$1:$O$258,8,FALSE)),"",(VLOOKUP($E13,'A-1 Site Habitat Baseline'!$D$1:$O$258,8,FALSE))))</f>
        <v/>
      </c>
      <c r="K13" s="343" t="str">
        <f>IF(E13="","",IF(ISNA(VLOOKUP($E13,'A-1 Site Habitat Baseline'!$D$1:$O$258,9,FALSE)),"",(VLOOKUP($E13,'A-1 Site Habitat Baseline'!$D$1:$O$258,9,FALSE))))</f>
        <v/>
      </c>
      <c r="L13" s="343" t="str">
        <f>IF(E13="","",IF(ISNA(VLOOKUP($E13,'A-1 Site Habitat Baseline'!$D$1:$O$258,11,FALSE)),"",(VLOOKUP($E13,'A-1 Site Habitat Baseline'!$D$1:$O$258,11,FALSE))))</f>
        <v/>
      </c>
      <c r="M13" s="343" t="str">
        <f>IF(E13="","",IF(ISNA(VLOOKUP($E13,'A-1 Site Habitat Baseline'!$D$1:$O$258,12,FALSE)),"",(VLOOKUP($E13,'A-1 Site Habitat Baseline'!$D$1:$O$258,12,FALSE))))</f>
        <v/>
      </c>
      <c r="N13" s="344" t="str">
        <f>IF(E13="","",IF(ISNA(VLOOKUP($E13,'A-1 Site Habitat Baseline'!$D$1:$X$258,14,FALSE)),"",(VLOOKUP($E13,'A-1 Site Habitat Baseline'!$D$1:$X$258,14,FALSE))))</f>
        <v/>
      </c>
      <c r="O13" s="345" t="str">
        <f>IF(E13="","",IF(ISNA(VLOOKUP($E13,'A-1 Site Habitat Baseline'!$D$1:$X$258,16,FALSE)),"",(VLOOKUP($E13,'A-1 Site Habitat Baseline'!$D$1:$X$258,13,FALSE))))</f>
        <v/>
      </c>
      <c r="P13" s="346" t="str">
        <f>IFERROR(INDEX('G-1 All Habitats'!$AG$3:$AG$15,MATCH(Q13,'G-1 All Habitats'!$AF$3:$AF$15,0)),"")</f>
        <v/>
      </c>
      <c r="Q13" s="347"/>
      <c r="R13" s="347"/>
      <c r="S13" s="605" t="str">
        <f>IFERROR(INDEX('G-1 All Habitats'!$B$3:$B$130,MATCH(R13,'G-1 All Habitats'!$A$3:$A$130,0)),"")</f>
        <v/>
      </c>
      <c r="T13" s="77" t="str">
        <f t="shared" ref="T13:T14" si="1">IF(E13="","",IF(AND(LEFT(O13,6)="Same d",I13&gt;X13),"Error - Trading rules not satisfied",IF(AND(LEFT(O13,6)="Same b",AND(LEFT(F13,5)&lt;&gt;LEFT(S13,5),I13&gt;X13)),"Error - Trading rules not satisfied",IF(AND(LEFT(O13,6)="Same h",F13&lt;&gt;S13),"Error - Trading rules not satisfied",IF(AND(LEFT(O13,6)="Bespok",F13&lt;&gt;S13),"Error - Trading rules not satisfied",IF(X13&lt;I13,"Error Trading Down",H13&amp;" - "&amp;W13))))))</f>
        <v/>
      </c>
      <c r="U13" s="78" t="str">
        <f t="shared" ref="U13:U76" si="2">IF(F13="","",IF(AND(LEFT(F13,55)&lt;&gt;LEFT(S13,55),T13= "High - High"),"Error - Not like for like",IF(AND(I13=X13,K13&gt;Z13),"Error - Can not reduce condition",IF(AND(I13=X13,K13=Z13),"Error - No enhancement",IF(X13&lt;I13,"Error Trading Down",IF(AND(F13&lt;&gt;S13,I13&lt;X13),"Lower Distinctiveness Habitat"&amp;" - "&amp;Y13,J13&amp;" - "&amp;Y13))))))</f>
        <v/>
      </c>
      <c r="V13" s="350" t="str">
        <f t="shared" ref="V13:V75" si="3">IF(S13="","",VLOOKUP(E13,BaselineHabSite,17,FALSE))</f>
        <v/>
      </c>
      <c r="W13" s="343" t="str">
        <f>IF(S13="","",VLOOKUP(S13,'G-1 All Habitats'!$B$2:$M$130,10,FALSE))</f>
        <v/>
      </c>
      <c r="X13" s="343" t="str">
        <f>IFERROR(VLOOKUP(W13,'G-1 All Habitats'!$V$3:$W$7,2,FALSE),"")</f>
        <v/>
      </c>
      <c r="Y13" s="91"/>
      <c r="Z13" s="345" t="str">
        <f>IFERROR(INDEX('G-8 Condition Look up'!$A$3:$H$131,MATCH(S13,'G-8 Condition Look up'!$A$3:$A$131,0),MATCH(Y13,'G-8 Condition Look up'!$A$3:$H$3,0)),"")</f>
        <v/>
      </c>
      <c r="AA13" s="79"/>
      <c r="AB13" s="343" t="str">
        <f>IF(AA13="","",IF(VLOOKUP(AA13,'G-3 Multipliers'!$L$3:$N$6,2,FALSE)=0,"Spatial Data Missing",VLOOKUP(AA13,'G-3 Multipliers'!$L$3:$N$6,2,FALSE)))</f>
        <v/>
      </c>
      <c r="AC13" s="345" t="str">
        <f>IF(AA13="","",IF(VLOOKUP(AA13,'G-3 Multipliers'!$L$3:$N$6,3,FALSE)=0,"Spatial Data Missing",VLOOKUP(AA13,'G-3 Multipliers'!$L$3:$N$6,3,FALSE)))</f>
        <v/>
      </c>
      <c r="AD13" s="351" t="str">
        <f t="shared" si="0"/>
        <v/>
      </c>
      <c r="AE13" s="94"/>
      <c r="AF13" s="94"/>
      <c r="AG13" s="343" t="str">
        <f t="shared" ref="AG13:AG76" si="4">IF(AD13="","",IF(AD13="Check Data","Check Data",IF(R13="","",IF(AND(AE13&gt;0,AF13&gt;0),"Error -both advance and delayed habitat creation",IF(AND(OR(AE13="Habitat already in target condition",AD13&lt;=AE13),AF13=0),"Check details - Is there evidence that habitat has reached target condition?",IF(O12="","",IF(AE13&gt;0,"Check details - Is there evidence habitat creation started/in place?",IF(AF13&gt;0,"Check details- Delay in starting habitat in required condition?","Standard time to target condition applied"))))))))</f>
        <v/>
      </c>
      <c r="AH13" s="591" t="str">
        <f t="shared" ref="AH13:AH76" si="5">IF(LEFT(AG13,5)="Error","Check Data",IF(AG13="Check Data","Check Data",IF(AD13="","",IF(AD13="Not Possible","Check Data",IF(AND(AD13="30+",AE13=0),"30+",IF(AND(AD13="30+",AE13="30+"),0,IF(AND(AD13="30+",AE13&lt;30),30-AE13,IF(AD13="30+",30-AE13,IF(AE13&gt;AD13,0,IF(AF13="30+","30+",IF(AD13+AF13&gt;30,"30+",IF(AD13+AF13&gt;30,"30+",IF(AD13-AE13&gt;30,"30+",IF(AD13+AF13-AE13&gt;0,AD13+AF13-AE13,IF(AD13-AE13&gt;0,AD13-AE13,AD13+AF13-AE13)))))))))))))))</f>
        <v/>
      </c>
      <c r="AI13" s="353" t="str">
        <f>IF(AH13="Check Data","Check Data",IFERROR(VLOOKUP(AH13,'G-4 Temporal multipliers'!$A$4:$C$36,3,FALSE),""))</f>
        <v/>
      </c>
      <c r="AJ13" s="77" t="str">
        <f>IF(S13="","",VLOOKUP(S13,'G-3 Multipliers'!$A$2:$E$130,4,FALSE))</f>
        <v/>
      </c>
      <c r="AK13" s="348" t="str">
        <f t="shared" ref="AK13:AK76" si="6">IF(E13="","",IF(AG13="Check details - Is there evidence that habitat has reached target condition?","Low Difficulty - only applicable if all habitat created before losses","Standard difficulty applied"))</f>
        <v/>
      </c>
      <c r="AL13" s="348" t="str">
        <f t="shared" ref="AL13:AL76" si="7">(IF(AND(AK13="Standard difficulty applied",AD13&gt;AE13),AJ13,IF(AND(AK13="Low Difficulty - only applicable if all habitat created before losses",AE13&gt;=AD13),"Low", AJ13)))</f>
        <v/>
      </c>
      <c r="AM13" s="607" t="str">
        <f>IFERROR(IF(F13="","",IF(AH13="Check Data","Check Data",VLOOKUP(AL13, 'G-3 Multipliers'!$P$2:$Q$6,2,FALSE))),””)</f>
        <v/>
      </c>
      <c r="AN13" s="81" t="str">
        <f t="shared" ref="AN13:AN75" si="8">IFERROR(((((V13*X13*Z13)-(V13*I13*K13))*(AM13*AI13))+(V13*I13*K13))*(AC13),"")</f>
        <v/>
      </c>
      <c r="AO13" s="355"/>
      <c r="AP13" s="356"/>
    </row>
    <row r="14" spans="1:42" x14ac:dyDescent="0.25">
      <c r="A14" s="52" t="str">
        <f>IF(E14="","",IF(ISNA(VLOOKUP($E14,'A-1 Site Habitat Baseline'!$D$1:$O$258,2,FALSE)),"",(VLOOKUP($E14,'A-1 Site Habitat Baseline'!$D$1:$O$258,2,FALSE))))</f>
        <v/>
      </c>
      <c r="B14" s="52" t="str">
        <f>IF(E14="","",IF(ISNA(VLOOKUP($E14,'A-1 Site Habitat Baseline'!$D$1:$O$258,3,FALSE)),"",(VLOOKUP($E14,'A-1 Site Habitat Baseline'!$D$1:$O$258,3,FALSE))))</f>
        <v/>
      </c>
      <c r="C14" s="52" t="str">
        <f>IFERROR(INDEX('G-8 Condition Look up'!$I$4:$I$131,MATCH(S14,'G-8 Condition Look up'!$A$4:$A$131,0)),"")</f>
        <v/>
      </c>
      <c r="E14" s="342" t="str">
        <f>'A-1 Site Habitat Baseline'!AL13</f>
        <v/>
      </c>
      <c r="F14" s="343" t="str">
        <f>IF(E14="","",IF(ISNA(VLOOKUP($E14,'A-1 Site Habitat Baseline'!$D$1:$O$258,4,FALSE)),"",(VLOOKUP($E14,'A-1 Site Habitat Baseline'!$D$1:$O$258,4,FALSE))))</f>
        <v/>
      </c>
      <c r="G14" s="343" t="str">
        <f>IF(E14="","",IF(ISNA(VLOOKUP($E14,'A-1 Site Habitat Baseline'!$D$1:$O$258,5,FALSE)),"",(VLOOKUP($E14,'A-1 Site Habitat Baseline'!$D$1:$O$258,5,FALSE))))</f>
        <v/>
      </c>
      <c r="H14" s="343" t="str">
        <f>IF(E14="","",IF(ISNA(VLOOKUP($E14,'A-1 Site Habitat Baseline'!$D$1:$O$258,6,FALSE)),"",(VLOOKUP($E14,'A-1 Site Habitat Baseline'!$D$1:$O$258,6,FALSE))))</f>
        <v/>
      </c>
      <c r="I14" s="343" t="str">
        <f>IF(E14="","",IF(ISNA(VLOOKUP($E14,'A-1 Site Habitat Baseline'!$D$1:$O$258,7,FALSE)),"",(VLOOKUP($E14,'A-1 Site Habitat Baseline'!$D$1:$O$258,7,FALSE))))</f>
        <v/>
      </c>
      <c r="J14" s="343" t="str">
        <f>IF(E14="","",IF(ISNA(VLOOKUP($E14,'A-1 Site Habitat Baseline'!$D$1:$O$258,8,FALSE)),"",(VLOOKUP($E14,'A-1 Site Habitat Baseline'!$D$1:$O$258,8,FALSE))))</f>
        <v/>
      </c>
      <c r="K14" s="343" t="str">
        <f>IF(E14="","",IF(ISNA(VLOOKUP($E14,'A-1 Site Habitat Baseline'!$D$1:$O$258,9,FALSE)),"",(VLOOKUP($E14,'A-1 Site Habitat Baseline'!$D$1:$O$258,9,FALSE))))</f>
        <v/>
      </c>
      <c r="L14" s="343" t="str">
        <f>IF(E14="","",IF(ISNA(VLOOKUP($E14,'A-1 Site Habitat Baseline'!$D$1:$O$258,11,FALSE)),"",(VLOOKUP($E14,'A-1 Site Habitat Baseline'!$D$1:$O$258,11,FALSE))))</f>
        <v/>
      </c>
      <c r="M14" s="343" t="str">
        <f>IF(E14="","",IF(ISNA(VLOOKUP($E14,'A-1 Site Habitat Baseline'!$D$1:$O$258,12,FALSE)),"",(VLOOKUP($E14,'A-1 Site Habitat Baseline'!$D$1:$O$258,12,FALSE))))</f>
        <v/>
      </c>
      <c r="N14" s="344" t="str">
        <f>IF(E14="","",IF(ISNA(VLOOKUP($E14,'A-1 Site Habitat Baseline'!$D$1:$X$258,14,FALSE)),"",(VLOOKUP($E14,'A-1 Site Habitat Baseline'!$D$1:$X$258,14,FALSE))))</f>
        <v/>
      </c>
      <c r="O14" s="345" t="str">
        <f>IF(E14="","",IF(ISNA(VLOOKUP($E14,'A-1 Site Habitat Baseline'!$D$1:$X$258,16,FALSE)),"",(VLOOKUP($E14,'A-1 Site Habitat Baseline'!$D$1:$X$258,13,FALSE))))</f>
        <v/>
      </c>
      <c r="P14" s="346" t="str">
        <f>IFERROR(INDEX('G-1 All Habitats'!$AG$3:$AG$15,MATCH(Q14,'G-1 All Habitats'!$AF$3:$AF$15,0)),"")</f>
        <v/>
      </c>
      <c r="Q14" s="347"/>
      <c r="R14" s="347"/>
      <c r="S14" s="605" t="str">
        <f>IFERROR(INDEX('G-1 All Habitats'!$B$3:$B$130,MATCH(R14,'G-1 All Habitats'!$A$3:$A$130,0)),"")</f>
        <v/>
      </c>
      <c r="T14" s="77" t="str">
        <f t="shared" si="1"/>
        <v/>
      </c>
      <c r="U14" s="78" t="str">
        <f t="shared" si="2"/>
        <v/>
      </c>
      <c r="V14" s="350" t="str">
        <f t="shared" si="3"/>
        <v/>
      </c>
      <c r="W14" s="343" t="str">
        <f>IF(S14="","",VLOOKUP(S14,'G-1 All Habitats'!$B$2:$M$130,10,FALSE))</f>
        <v/>
      </c>
      <c r="X14" s="343" t="str">
        <f>IFERROR(VLOOKUP(W14,'G-1 All Habitats'!$V$3:$W$7,2,FALSE),"")</f>
        <v/>
      </c>
      <c r="Y14" s="91"/>
      <c r="Z14" s="345" t="str">
        <f>IFERROR(INDEX('G-8 Condition Look up'!$A$3:$H$131,MATCH(S14,'G-8 Condition Look up'!$A$3:$A$131,0),MATCH(Y14,'G-8 Condition Look up'!$A$3:$H$3,0)),"")</f>
        <v/>
      </c>
      <c r="AA14" s="79"/>
      <c r="AB14" s="343" t="str">
        <f>IF(AA14="","",IF(VLOOKUP(AA14,'G-3 Multipliers'!$L$3:$N$6,2,FALSE)=0,"Spatial Data Missing",VLOOKUP(AA14,'G-3 Multipliers'!$L$3:$N$6,2,FALSE)))</f>
        <v/>
      </c>
      <c r="AC14" s="345" t="str">
        <f>IF(AA14="","",IF(VLOOKUP(AA14,'G-3 Multipliers'!$L$3:$N$6,3,FALSE)=0,"Spatial Data Missing",VLOOKUP(AA14,'G-3 Multipliers'!$L$3:$N$6,3,FALSE)))</f>
        <v/>
      </c>
      <c r="AD14" s="351" t="str">
        <f t="shared" si="0"/>
        <v/>
      </c>
      <c r="AE14" s="94"/>
      <c r="AF14" s="94"/>
      <c r="AG14" s="343" t="str">
        <f t="shared" si="4"/>
        <v/>
      </c>
      <c r="AH14" s="591" t="str">
        <f t="shared" si="5"/>
        <v/>
      </c>
      <c r="AI14" s="353" t="str">
        <f>IF(AH14="Check Data","Check Data",IFERROR(VLOOKUP(AH14,'G-4 Temporal multipliers'!$A$4:$C$36,3,FALSE),""))</f>
        <v/>
      </c>
      <c r="AJ14" s="77" t="str">
        <f>IF(S14="","",VLOOKUP(S14,'G-3 Multipliers'!$A$2:$E$130,4,FALSE))</f>
        <v/>
      </c>
      <c r="AK14" s="348" t="str">
        <f t="shared" si="6"/>
        <v/>
      </c>
      <c r="AL14" s="348" t="str">
        <f t="shared" si="7"/>
        <v/>
      </c>
      <c r="AM14" s="607" t="str">
        <f>IFERROR(IF(F14="","",IF(AH14="Check Data","Check Data",VLOOKUP(AL14, 'G-3 Multipliers'!$P$2:$Q$6,2,FALSE))),””)</f>
        <v/>
      </c>
      <c r="AN14" s="81" t="str">
        <f>IFERROR(((((V14*X14*Z14)-(V14*I14*K14))*(AM14*AI14))+(V14*I14*K14))*(AC14),"")</f>
        <v/>
      </c>
      <c r="AO14" s="355"/>
      <c r="AP14" s="356"/>
    </row>
    <row r="15" spans="1:42" x14ac:dyDescent="0.25">
      <c r="A15" s="52" t="str">
        <f>IF(E15="","",IF(ISNA(VLOOKUP($E15,'A-1 Site Habitat Baseline'!$D$1:$O$258,2,FALSE)),"",(VLOOKUP($E15,'A-1 Site Habitat Baseline'!$D$1:$O$258,2,FALSE))))</f>
        <v/>
      </c>
      <c r="B15" s="52" t="str">
        <f>IF(E15="","",IF(ISNA(VLOOKUP($E15,'A-1 Site Habitat Baseline'!$D$1:$O$258,3,FALSE)),"",(VLOOKUP($E15,'A-1 Site Habitat Baseline'!$D$1:$O$258,3,FALSE))))</f>
        <v/>
      </c>
      <c r="C15" s="52" t="str">
        <f>IFERROR(INDEX('G-8 Condition Look up'!$I$4:$I$131,MATCH(S15,'G-8 Condition Look up'!$A$4:$A$131,0)),"")</f>
        <v/>
      </c>
      <c r="E15" s="342" t="str">
        <f>'A-1 Site Habitat Baseline'!AL14</f>
        <v/>
      </c>
      <c r="F15" s="343" t="str">
        <f>IF(E15="","",IF(ISNA(VLOOKUP($E15,'A-1 Site Habitat Baseline'!$D$1:$O$258,4,FALSE)),"",(VLOOKUP($E15,'A-1 Site Habitat Baseline'!$D$1:$O$258,4,FALSE))))</f>
        <v/>
      </c>
      <c r="G15" s="343" t="str">
        <f>IF(E15="","",IF(ISNA(VLOOKUP($E15,'A-1 Site Habitat Baseline'!$D$1:$O$258,5,FALSE)),"",(VLOOKUP($E15,'A-1 Site Habitat Baseline'!$D$1:$O$258,5,FALSE))))</f>
        <v/>
      </c>
      <c r="H15" s="343" t="str">
        <f>IF(E15="","",IF(ISNA(VLOOKUP($E15,'A-1 Site Habitat Baseline'!$D$1:$O$258,6,FALSE)),"",(VLOOKUP($E15,'A-1 Site Habitat Baseline'!$D$1:$O$258,6,FALSE))))</f>
        <v/>
      </c>
      <c r="I15" s="343" t="str">
        <f>IF(E15="","",IF(ISNA(VLOOKUP($E15,'A-1 Site Habitat Baseline'!$D$1:$O$258,7,FALSE)),"",(VLOOKUP($E15,'A-1 Site Habitat Baseline'!$D$1:$O$258,7,FALSE))))</f>
        <v/>
      </c>
      <c r="J15" s="343" t="str">
        <f>IF(E15="","",IF(ISNA(VLOOKUP($E15,'A-1 Site Habitat Baseline'!$D$1:$O$258,8,FALSE)),"",(VLOOKUP($E15,'A-1 Site Habitat Baseline'!$D$1:$O$258,8,FALSE))))</f>
        <v/>
      </c>
      <c r="K15" s="343" t="str">
        <f>IF(E15="","",IF(ISNA(VLOOKUP($E15,'A-1 Site Habitat Baseline'!$D$1:$O$258,9,FALSE)),"",(VLOOKUP($E15,'A-1 Site Habitat Baseline'!$D$1:$O$258,9,FALSE))))</f>
        <v/>
      </c>
      <c r="L15" s="343" t="str">
        <f>IF(E15="","",IF(ISNA(VLOOKUP($E15,'A-1 Site Habitat Baseline'!$D$1:$O$258,11,FALSE)),"",(VLOOKUP($E15,'A-1 Site Habitat Baseline'!$D$1:$O$258,11,FALSE))))</f>
        <v/>
      </c>
      <c r="M15" s="343" t="str">
        <f>IF(E15="","",IF(ISNA(VLOOKUP($E15,'A-1 Site Habitat Baseline'!$D$1:$O$258,12,FALSE)),"",(VLOOKUP($E15,'A-1 Site Habitat Baseline'!$D$1:$O$258,12,FALSE))))</f>
        <v/>
      </c>
      <c r="N15" s="344" t="str">
        <f>IF(E15="","",IF(ISNA(VLOOKUP($E15,'A-1 Site Habitat Baseline'!$D$1:$X$258,14,FALSE)),"",(VLOOKUP($E15,'A-1 Site Habitat Baseline'!$D$1:$X$258,14,FALSE))))</f>
        <v/>
      </c>
      <c r="O15" s="345" t="str">
        <f>IF(E15="","",IF(ISNA(VLOOKUP($E15,'A-1 Site Habitat Baseline'!$D$1:$X$258,16,FALSE)),"",(VLOOKUP($E15,'A-1 Site Habitat Baseline'!$D$1:$X$258,13,FALSE))))</f>
        <v/>
      </c>
      <c r="P15" s="346" t="str">
        <f>IFERROR(INDEX('G-1 All Habitats'!$AG$3:$AG$15,MATCH(Q15,'G-1 All Habitats'!$AF$3:$AF$15,0)),"")</f>
        <v/>
      </c>
      <c r="Q15" s="347"/>
      <c r="R15" s="347"/>
      <c r="S15" s="605" t="str">
        <f>IFERROR(INDEX('G-1 All Habitats'!$B$3:$B$130,MATCH(R15,'G-1 All Habitats'!$A$3:$A$130,0)),"")</f>
        <v/>
      </c>
      <c r="T15" s="77" t="str">
        <f>IF(E15="","",IF(AND(LEFT(O15,6)="Same d",I15&gt;X15),"Error - Trading rules not satisfied",IF(AND(LEFT(O15,6)="Same b",AND(LEFT(F15,5)&lt;&gt;LEFT(S15,5),I15&gt;X15)),"Error - Trading rules not satisfied",IF(AND(LEFT(O15,6)="Same h",F15&lt;&gt;S15),"Error - Trading rules not satisfied",IF(AND(LEFT(O15,6)="Bespok",F15&lt;&gt;S15),"Error - Trading rules not satisfied",IF(X15&lt;I15,"Error Trading Down",H15&amp;" - "&amp;W15))))))</f>
        <v/>
      </c>
      <c r="U15" s="78" t="str">
        <f t="shared" si="2"/>
        <v/>
      </c>
      <c r="V15" s="350" t="str">
        <f t="shared" si="3"/>
        <v/>
      </c>
      <c r="W15" s="343" t="str">
        <f>IF(S15="","",VLOOKUP(S15,'G-1 All Habitats'!$B$2:$M$130,10,FALSE))</f>
        <v/>
      </c>
      <c r="X15" s="343" t="str">
        <f>IFERROR(VLOOKUP(W15,'G-1 All Habitats'!$V$3:$W$7,2,FALSE),"")</f>
        <v/>
      </c>
      <c r="Y15" s="91"/>
      <c r="Z15" s="345" t="str">
        <f>IFERROR(INDEX('G-8 Condition Look up'!$A$3:$H$131,MATCH(S15,'G-8 Condition Look up'!$A$3:$A$131,0),MATCH(Y15,'G-8 Condition Look up'!$A$3:$H$3,0)),"")</f>
        <v/>
      </c>
      <c r="AA15" s="79"/>
      <c r="AB15" s="343" t="str">
        <f>IF(AA15="","",IF(VLOOKUP(AA15,'G-3 Multipliers'!$L$3:$N$6,2,FALSE)=0,"Spatial Data Missing",VLOOKUP(AA15,'G-3 Multipliers'!$L$3:$N$6,2,FALSE)))</f>
        <v/>
      </c>
      <c r="AC15" s="345" t="str">
        <f>IF(AA15="","",IF(VLOOKUP(AA15,'G-3 Multipliers'!$L$3:$N$6,3,FALSE)=0,"Spatial Data Missing",VLOOKUP(AA15,'G-3 Multipliers'!$L$3:$N$6,3,FALSE)))</f>
        <v/>
      </c>
      <c r="AD15" s="351" t="str">
        <f t="shared" si="0"/>
        <v/>
      </c>
      <c r="AE15" s="94"/>
      <c r="AF15" s="94"/>
      <c r="AG15" s="343" t="str">
        <f t="shared" si="4"/>
        <v/>
      </c>
      <c r="AH15" s="591" t="str">
        <f t="shared" si="5"/>
        <v/>
      </c>
      <c r="AI15" s="353" t="str">
        <f>IF(AH15="Check Data","Check Data",IFERROR(VLOOKUP(AH15,'G-4 Temporal multipliers'!$A$4:$C$36,3,FALSE),""))</f>
        <v/>
      </c>
      <c r="AJ15" s="77" t="str">
        <f>IF(S15="","",VLOOKUP(S15,'G-3 Multipliers'!$A$2:$E$130,4,FALSE))</f>
        <v/>
      </c>
      <c r="AK15" s="348" t="str">
        <f t="shared" si="6"/>
        <v/>
      </c>
      <c r="AL15" s="348" t="str">
        <f t="shared" si="7"/>
        <v/>
      </c>
      <c r="AM15" s="607" t="str">
        <f>IFERROR(IF(F15="","",IF(AH15="Check Data","Check Data",VLOOKUP(AL15, 'G-3 Multipliers'!$P$2:$Q$6,2,FALSE))),””)</f>
        <v/>
      </c>
      <c r="AN15" s="81" t="str">
        <f t="shared" si="8"/>
        <v/>
      </c>
      <c r="AO15" s="355"/>
      <c r="AP15" s="356"/>
    </row>
    <row r="16" spans="1:42" x14ac:dyDescent="0.25">
      <c r="A16" s="52" t="str">
        <f>IF(E16="","",IF(ISNA(VLOOKUP($E16,'A-1 Site Habitat Baseline'!$D$1:$O$258,2,FALSE)),"",(VLOOKUP($E16,'A-1 Site Habitat Baseline'!$D$1:$O$258,2,FALSE))))</f>
        <v/>
      </c>
      <c r="B16" s="52" t="str">
        <f>IF(E16="","",IF(ISNA(VLOOKUP($E16,'A-1 Site Habitat Baseline'!$D$1:$O$258,3,FALSE)),"",(VLOOKUP($E16,'A-1 Site Habitat Baseline'!$D$1:$O$258,3,FALSE))))</f>
        <v/>
      </c>
      <c r="C16" s="52" t="str">
        <f>IFERROR(INDEX('G-8 Condition Look up'!$I$4:$I$131,MATCH(S16,'G-8 Condition Look up'!$A$4:$A$131,0)),"")</f>
        <v/>
      </c>
      <c r="E16" s="342" t="str">
        <f>'A-1 Site Habitat Baseline'!AL15</f>
        <v/>
      </c>
      <c r="F16" s="343" t="str">
        <f>IF(E16="","",IF(ISNA(VLOOKUP($E16,'A-1 Site Habitat Baseline'!$D$1:$O$258,4,FALSE)),"",(VLOOKUP($E16,'A-1 Site Habitat Baseline'!$D$1:$O$258,4,FALSE))))</f>
        <v/>
      </c>
      <c r="G16" s="343" t="str">
        <f>IF(E16="","",IF(ISNA(VLOOKUP($E16,'A-1 Site Habitat Baseline'!$D$1:$O$258,5,FALSE)),"",(VLOOKUP($E16,'A-1 Site Habitat Baseline'!$D$1:$O$258,5,FALSE))))</f>
        <v/>
      </c>
      <c r="H16" s="343" t="str">
        <f>IF(E16="","",IF(ISNA(VLOOKUP($E16,'A-1 Site Habitat Baseline'!$D$1:$O$258,6,FALSE)),"",(VLOOKUP($E16,'A-1 Site Habitat Baseline'!$D$1:$O$258,6,FALSE))))</f>
        <v/>
      </c>
      <c r="I16" s="343" t="str">
        <f>IF(E16="","",IF(ISNA(VLOOKUP($E16,'A-1 Site Habitat Baseline'!$D$1:$O$258,7,FALSE)),"",(VLOOKUP($E16,'A-1 Site Habitat Baseline'!$D$1:$O$258,7,FALSE))))</f>
        <v/>
      </c>
      <c r="J16" s="343" t="str">
        <f>IF(E16="","",IF(ISNA(VLOOKUP($E16,'A-1 Site Habitat Baseline'!$D$1:$O$258,8,FALSE)),"",(VLOOKUP($E16,'A-1 Site Habitat Baseline'!$D$1:$O$258,8,FALSE))))</f>
        <v/>
      </c>
      <c r="K16" s="343" t="str">
        <f>IF(E16="","",IF(ISNA(VLOOKUP($E16,'A-1 Site Habitat Baseline'!$D$1:$O$258,9,FALSE)),"",(VLOOKUP($E16,'A-1 Site Habitat Baseline'!$D$1:$O$258,9,FALSE))))</f>
        <v/>
      </c>
      <c r="L16" s="343" t="str">
        <f>IF(E16="","",IF(ISNA(VLOOKUP($E16,'A-1 Site Habitat Baseline'!$D$1:$O$258,11,FALSE)),"",(VLOOKUP($E16,'A-1 Site Habitat Baseline'!$D$1:$O$258,11,FALSE))))</f>
        <v/>
      </c>
      <c r="M16" s="343" t="str">
        <f>IF(E16="","",IF(ISNA(VLOOKUP($E16,'A-1 Site Habitat Baseline'!$D$1:$O$258,12,FALSE)),"",(VLOOKUP($E16,'A-1 Site Habitat Baseline'!$D$1:$O$258,12,FALSE))))</f>
        <v/>
      </c>
      <c r="N16" s="344" t="str">
        <f>IF(E16="","",IF(ISNA(VLOOKUP($E16,'A-1 Site Habitat Baseline'!$D$1:$X$258,14,FALSE)),"",(VLOOKUP($E16,'A-1 Site Habitat Baseline'!$D$1:$X$258,14,FALSE))))</f>
        <v/>
      </c>
      <c r="O16" s="345" t="str">
        <f>IF(E16="","",IF(ISNA(VLOOKUP($E16,'A-1 Site Habitat Baseline'!$D$1:$X$258,16,FALSE)),"",(VLOOKUP($E16,'A-1 Site Habitat Baseline'!$D$1:$X$258,13,FALSE))))</f>
        <v/>
      </c>
      <c r="P16" s="346" t="str">
        <f>IFERROR(INDEX('G-1 All Habitats'!$AG$3:$AG$15,MATCH(Q16,'G-1 All Habitats'!$AF$3:$AF$15,0)),"")</f>
        <v/>
      </c>
      <c r="Q16" s="347"/>
      <c r="R16" s="347"/>
      <c r="S16" s="605" t="str">
        <f>IFERROR(INDEX('G-1 All Habitats'!$B$3:$B$130,MATCH(R16,'G-1 All Habitats'!$A$3:$A$130,0)),"")</f>
        <v/>
      </c>
      <c r="T16" s="77" t="str">
        <f t="shared" ref="T16:T79" si="9">IF(E16="","",IF(AND(LEFT(O16,6)="Same d",I16&gt;X16),"Error - Trading rules not satisfied",IF(AND(LEFT(O16,6)="Same b",AND(LEFT(F16,5)&lt;&gt;LEFT(S16,5),I16&gt;X16)),"Error - Trading rules not satisfied",IF(AND(LEFT(O16,6)="Same h",F16&lt;&gt;S16),"Error - Trading rules not satisfied",IF(AND(LEFT(O16,6)="Bespok",F16&lt;&gt;S16),"Error - Trading rules not satisfied",IF(X16&lt;I16,"Error Trading Down",H16&amp;" - "&amp;W16))))))</f>
        <v/>
      </c>
      <c r="U16" s="78" t="str">
        <f t="shared" si="2"/>
        <v/>
      </c>
      <c r="V16" s="350" t="str">
        <f t="shared" si="3"/>
        <v/>
      </c>
      <c r="W16" s="343" t="str">
        <f>IF(S16="","",VLOOKUP(S16,'G-1 All Habitats'!$B$2:$M$130,10,FALSE))</f>
        <v/>
      </c>
      <c r="X16" s="343" t="str">
        <f>IFERROR(VLOOKUP(W16,'G-1 All Habitats'!$V$3:$W$7,2,FALSE),"")</f>
        <v/>
      </c>
      <c r="Y16" s="91"/>
      <c r="Z16" s="345" t="str">
        <f>IFERROR(INDEX('G-8 Condition Look up'!$A$3:$H$131,MATCH(S16,'G-8 Condition Look up'!$A$3:$A$131,0),MATCH(Y16,'G-8 Condition Look up'!$A$3:$H$3,0)),"")</f>
        <v/>
      </c>
      <c r="AA16" s="79"/>
      <c r="AB16" s="343" t="str">
        <f>IF(AA16="","",IF(VLOOKUP(AA16,'G-3 Multipliers'!$L$3:$N$6,2,FALSE)=0,"Spatial Data Missing",VLOOKUP(AA16,'G-3 Multipliers'!$L$3:$N$6,2,FALSE)))</f>
        <v/>
      </c>
      <c r="AC16" s="345" t="str">
        <f>IF(AA16="","",IF(VLOOKUP(AA16,'G-3 Multipliers'!$L$3:$N$6,3,FALSE)=0,"Spatial Data Missing",VLOOKUP(AA16,'G-3 Multipliers'!$L$3:$N$6,3,FALSE)))</f>
        <v/>
      </c>
      <c r="AD16" s="351" t="str">
        <f t="shared" si="0"/>
        <v/>
      </c>
      <c r="AE16" s="94"/>
      <c r="AF16" s="94"/>
      <c r="AG16" s="343" t="str">
        <f t="shared" si="4"/>
        <v/>
      </c>
      <c r="AH16" s="591" t="str">
        <f t="shared" si="5"/>
        <v/>
      </c>
      <c r="AI16" s="353" t="str">
        <f>IF(AH16="Check Data","Check Data",IFERROR(VLOOKUP(AH16,'G-4 Temporal multipliers'!$A$4:$C$36,3,FALSE),""))</f>
        <v/>
      </c>
      <c r="AJ16" s="77" t="str">
        <f>IF(S16="","",VLOOKUP(S16,'G-3 Multipliers'!$A$2:$E$130,4,FALSE))</f>
        <v/>
      </c>
      <c r="AK16" s="348" t="str">
        <f t="shared" si="6"/>
        <v/>
      </c>
      <c r="AL16" s="348" t="str">
        <f t="shared" si="7"/>
        <v/>
      </c>
      <c r="AM16" s="607" t="str">
        <f>IFERROR(IF(F16="","",IF(AH16="Check Data","Check Data",VLOOKUP(AL16, 'G-3 Multipliers'!$P$2:$Q$6,2,FALSE))),””)</f>
        <v/>
      </c>
      <c r="AN16" s="81" t="str">
        <f t="shared" si="8"/>
        <v/>
      </c>
      <c r="AO16" s="355"/>
      <c r="AP16" s="356"/>
    </row>
    <row r="17" spans="1:42" x14ac:dyDescent="0.25">
      <c r="A17" s="52" t="str">
        <f>IF(E17="","",IF(ISNA(VLOOKUP($E17,'A-1 Site Habitat Baseline'!$D$1:$O$258,2,FALSE)),"",(VLOOKUP($E17,'A-1 Site Habitat Baseline'!$D$1:$O$258,2,FALSE))))</f>
        <v/>
      </c>
      <c r="B17" s="52" t="str">
        <f>IF(E17="","",IF(ISNA(VLOOKUP($E17,'A-1 Site Habitat Baseline'!$D$1:$O$258,3,FALSE)),"",(VLOOKUP($E17,'A-1 Site Habitat Baseline'!$D$1:$O$258,3,FALSE))))</f>
        <v/>
      </c>
      <c r="C17" s="52" t="str">
        <f>IFERROR(INDEX('G-8 Condition Look up'!$I$4:$I$131,MATCH(S17,'G-8 Condition Look up'!$A$4:$A$131,0)),"")</f>
        <v/>
      </c>
      <c r="E17" s="342" t="str">
        <f>'A-1 Site Habitat Baseline'!AL16</f>
        <v/>
      </c>
      <c r="F17" s="343" t="str">
        <f>IF(E17="","",IF(ISNA(VLOOKUP($E17,'A-1 Site Habitat Baseline'!$D$1:$O$258,4,FALSE)),"",(VLOOKUP($E17,'A-1 Site Habitat Baseline'!$D$1:$O$258,4,FALSE))))</f>
        <v/>
      </c>
      <c r="G17" s="343" t="str">
        <f>IF(E17="","",IF(ISNA(VLOOKUP($E17,'A-1 Site Habitat Baseline'!$D$1:$O$258,5,FALSE)),"",(VLOOKUP($E17,'A-1 Site Habitat Baseline'!$D$1:$O$258,5,FALSE))))</f>
        <v/>
      </c>
      <c r="H17" s="343" t="str">
        <f>IF(E17="","",IF(ISNA(VLOOKUP($E17,'A-1 Site Habitat Baseline'!$D$1:$O$258,6,FALSE)),"",(VLOOKUP($E17,'A-1 Site Habitat Baseline'!$D$1:$O$258,6,FALSE))))</f>
        <v/>
      </c>
      <c r="I17" s="343" t="str">
        <f>IF(E17="","",IF(ISNA(VLOOKUP($E17,'A-1 Site Habitat Baseline'!$D$1:$O$258,7,FALSE)),"",(VLOOKUP($E17,'A-1 Site Habitat Baseline'!$D$1:$O$258,7,FALSE))))</f>
        <v/>
      </c>
      <c r="J17" s="343" t="str">
        <f>IF(E17="","",IF(ISNA(VLOOKUP($E17,'A-1 Site Habitat Baseline'!$D$1:$O$258,8,FALSE)),"",(VLOOKUP($E17,'A-1 Site Habitat Baseline'!$D$1:$O$258,8,FALSE))))</f>
        <v/>
      </c>
      <c r="K17" s="343" t="str">
        <f>IF(E17="","",IF(ISNA(VLOOKUP($E17,'A-1 Site Habitat Baseline'!$D$1:$O$258,9,FALSE)),"",(VLOOKUP($E17,'A-1 Site Habitat Baseline'!$D$1:$O$258,9,FALSE))))</f>
        <v/>
      </c>
      <c r="L17" s="343" t="str">
        <f>IF(E17="","",IF(ISNA(VLOOKUP($E17,'A-1 Site Habitat Baseline'!$D$1:$O$258,11,FALSE)),"",(VLOOKUP($E17,'A-1 Site Habitat Baseline'!$D$1:$O$258,11,FALSE))))</f>
        <v/>
      </c>
      <c r="M17" s="343" t="str">
        <f>IF(E17="","",IF(ISNA(VLOOKUP($E17,'A-1 Site Habitat Baseline'!$D$1:$O$258,12,FALSE)),"",(VLOOKUP($E17,'A-1 Site Habitat Baseline'!$D$1:$O$258,12,FALSE))))</f>
        <v/>
      </c>
      <c r="N17" s="344" t="str">
        <f>IF(E17="","",IF(ISNA(VLOOKUP($E17,'A-1 Site Habitat Baseline'!$D$1:$X$258,14,FALSE)),"",(VLOOKUP($E17,'A-1 Site Habitat Baseline'!$D$1:$X$258,14,FALSE))))</f>
        <v/>
      </c>
      <c r="O17" s="345" t="str">
        <f>IF(E17="","",IF(ISNA(VLOOKUP($E17,'A-1 Site Habitat Baseline'!$D$1:$X$258,16,FALSE)),"",(VLOOKUP($E17,'A-1 Site Habitat Baseline'!$D$1:$X$258,13,FALSE))))</f>
        <v/>
      </c>
      <c r="P17" s="346" t="str">
        <f>IFERROR(INDEX('G-1 All Habitats'!$AG$3:$AG$15,MATCH(Q17,'G-1 All Habitats'!$AF$3:$AF$15,0)),"")</f>
        <v/>
      </c>
      <c r="Q17" s="347"/>
      <c r="R17" s="347"/>
      <c r="S17" s="605" t="str">
        <f>IFERROR(INDEX('G-1 All Habitats'!$B$3:$B$130,MATCH(R17,'G-1 All Habitats'!$A$3:$A$130,0)),"")</f>
        <v/>
      </c>
      <c r="T17" s="77" t="str">
        <f t="shared" si="9"/>
        <v/>
      </c>
      <c r="U17" s="78" t="str">
        <f t="shared" si="2"/>
        <v/>
      </c>
      <c r="V17" s="350" t="str">
        <f t="shared" si="3"/>
        <v/>
      </c>
      <c r="W17" s="343" t="str">
        <f>IF(S17="","",VLOOKUP(S17,'G-1 All Habitats'!$B$2:$M$130,10,FALSE))</f>
        <v/>
      </c>
      <c r="X17" s="343" t="str">
        <f>IFERROR(VLOOKUP(W17,'G-1 All Habitats'!$V$3:$W$7,2,FALSE),"")</f>
        <v/>
      </c>
      <c r="Y17" s="91"/>
      <c r="Z17" s="345" t="str">
        <f>IFERROR(INDEX('G-8 Condition Look up'!$A$3:$H$131,MATCH(S17,'G-8 Condition Look up'!$A$3:$A$131,0),MATCH(Y17,'G-8 Condition Look up'!$A$3:$H$3,0)),"")</f>
        <v/>
      </c>
      <c r="AA17" s="79"/>
      <c r="AB17" s="343" t="str">
        <f>IF(AA17="","",IF(VLOOKUP(AA17,'G-3 Multipliers'!$L$3:$N$6,2,FALSE)=0,"Spatial Data Missing",VLOOKUP(AA17,'G-3 Multipliers'!$L$3:$N$6,2,FALSE)))</f>
        <v/>
      </c>
      <c r="AC17" s="345" t="str">
        <f>IF(AA17="","",IF(VLOOKUP(AA17,'G-3 Multipliers'!$L$3:$N$6,3,FALSE)=0,"Spatial Data Missing",VLOOKUP(AA17,'G-3 Multipliers'!$L$3:$N$6,3,FALSE)))</f>
        <v/>
      </c>
      <c r="AD17" s="351" t="str">
        <f t="shared" si="0"/>
        <v/>
      </c>
      <c r="AE17" s="94"/>
      <c r="AF17" s="94"/>
      <c r="AG17" s="343" t="str">
        <f t="shared" si="4"/>
        <v/>
      </c>
      <c r="AH17" s="591" t="str">
        <f t="shared" si="5"/>
        <v/>
      </c>
      <c r="AI17" s="353" t="str">
        <f>IF(AH17="Check Data","Check Data",IFERROR(VLOOKUP(AH17,'G-4 Temporal multipliers'!$A$4:$C$36,3,FALSE),""))</f>
        <v/>
      </c>
      <c r="AJ17" s="77" t="str">
        <f>IF(S17="","",VLOOKUP(S17,'G-3 Multipliers'!$A$2:$E$130,4,FALSE))</f>
        <v/>
      </c>
      <c r="AK17" s="348" t="str">
        <f t="shared" si="6"/>
        <v/>
      </c>
      <c r="AL17" s="348" t="str">
        <f t="shared" si="7"/>
        <v/>
      </c>
      <c r="AM17" s="607" t="str">
        <f>IFERROR(IF(F17="","",IF(AH17="Check Data","Check Data",VLOOKUP(AL17, 'G-3 Multipliers'!$P$2:$Q$6,2,FALSE))),””)</f>
        <v/>
      </c>
      <c r="AN17" s="81" t="str">
        <f t="shared" si="8"/>
        <v/>
      </c>
      <c r="AO17" s="355"/>
      <c r="AP17" s="356"/>
    </row>
    <row r="18" spans="1:42" x14ac:dyDescent="0.25">
      <c r="A18" s="52" t="str">
        <f>IF(E18="","",IF(ISNA(VLOOKUP($E18,'A-1 Site Habitat Baseline'!$D$1:$O$258,2,FALSE)),"",(VLOOKUP($E18,'A-1 Site Habitat Baseline'!$D$1:$O$258,2,FALSE))))</f>
        <v/>
      </c>
      <c r="B18" s="52" t="str">
        <f>IF(E18="","",IF(ISNA(VLOOKUP($E18,'A-1 Site Habitat Baseline'!$D$1:$O$258,3,FALSE)),"",(VLOOKUP($E18,'A-1 Site Habitat Baseline'!$D$1:$O$258,3,FALSE))))</f>
        <v/>
      </c>
      <c r="C18" s="52" t="str">
        <f>IFERROR(INDEX('G-8 Condition Look up'!$I$4:$I$131,MATCH(S18,'G-8 Condition Look up'!$A$4:$A$131,0)),"")</f>
        <v/>
      </c>
      <c r="E18" s="342" t="str">
        <f>'A-1 Site Habitat Baseline'!AL17</f>
        <v/>
      </c>
      <c r="F18" s="343" t="str">
        <f>IF(E18="","",IF(ISNA(VLOOKUP($E18,'A-1 Site Habitat Baseline'!$D$1:$O$258,4,FALSE)),"",(VLOOKUP($E18,'A-1 Site Habitat Baseline'!$D$1:$O$258,4,FALSE))))</f>
        <v/>
      </c>
      <c r="G18" s="343" t="str">
        <f>IF(E18="","",IF(ISNA(VLOOKUP($E18,'A-1 Site Habitat Baseline'!$D$1:$O$258,5,FALSE)),"",(VLOOKUP($E18,'A-1 Site Habitat Baseline'!$D$1:$O$258,5,FALSE))))</f>
        <v/>
      </c>
      <c r="H18" s="343" t="str">
        <f>IF(E18="","",IF(ISNA(VLOOKUP($E18,'A-1 Site Habitat Baseline'!$D$1:$O$258,6,FALSE)),"",(VLOOKUP($E18,'A-1 Site Habitat Baseline'!$D$1:$O$258,6,FALSE))))</f>
        <v/>
      </c>
      <c r="I18" s="343" t="str">
        <f>IF(E18="","",IF(ISNA(VLOOKUP($E18,'A-1 Site Habitat Baseline'!$D$1:$O$258,7,FALSE)),"",(VLOOKUP($E18,'A-1 Site Habitat Baseline'!$D$1:$O$258,7,FALSE))))</f>
        <v/>
      </c>
      <c r="J18" s="343" t="str">
        <f>IF(E18="","",IF(ISNA(VLOOKUP($E18,'A-1 Site Habitat Baseline'!$D$1:$O$258,8,FALSE)),"",(VLOOKUP($E18,'A-1 Site Habitat Baseline'!$D$1:$O$258,8,FALSE))))</f>
        <v/>
      </c>
      <c r="K18" s="343" t="str">
        <f>IF(E18="","",IF(ISNA(VLOOKUP($E18,'A-1 Site Habitat Baseline'!$D$1:$O$258,9,FALSE)),"",(VLOOKUP($E18,'A-1 Site Habitat Baseline'!$D$1:$O$258,9,FALSE))))</f>
        <v/>
      </c>
      <c r="L18" s="343" t="str">
        <f>IF(E18="","",IF(ISNA(VLOOKUP($E18,'A-1 Site Habitat Baseline'!$D$1:$O$258,11,FALSE)),"",(VLOOKUP($E18,'A-1 Site Habitat Baseline'!$D$1:$O$258,11,FALSE))))</f>
        <v/>
      </c>
      <c r="M18" s="343" t="str">
        <f>IF(E18="","",IF(ISNA(VLOOKUP($E18,'A-1 Site Habitat Baseline'!$D$1:$O$258,12,FALSE)),"",(VLOOKUP($E18,'A-1 Site Habitat Baseline'!$D$1:$O$258,12,FALSE))))</f>
        <v/>
      </c>
      <c r="N18" s="344" t="str">
        <f>IF(E18="","",IF(ISNA(VLOOKUP($E18,'A-1 Site Habitat Baseline'!$D$1:$X$258,14,FALSE)),"",(VLOOKUP($E18,'A-1 Site Habitat Baseline'!$D$1:$X$258,14,FALSE))))</f>
        <v/>
      </c>
      <c r="O18" s="345" t="str">
        <f>IF(E18="","",IF(ISNA(VLOOKUP($E18,'A-1 Site Habitat Baseline'!$D$1:$X$258,16,FALSE)),"",(VLOOKUP($E18,'A-1 Site Habitat Baseline'!$D$1:$X$258,13,FALSE))))</f>
        <v/>
      </c>
      <c r="P18" s="346" t="str">
        <f>IFERROR(INDEX('G-1 All Habitats'!$AG$3:$AG$15,MATCH(Q18,'G-1 All Habitats'!$AF$3:$AF$15,0)),"")</f>
        <v/>
      </c>
      <c r="Q18" s="347"/>
      <c r="R18" s="347"/>
      <c r="S18" s="605" t="str">
        <f>IFERROR(INDEX('G-1 All Habitats'!$B$3:$B$130,MATCH(R18,'G-1 All Habitats'!$A$3:$A$130,0)),"")</f>
        <v/>
      </c>
      <c r="T18" s="77" t="str">
        <f t="shared" si="9"/>
        <v/>
      </c>
      <c r="U18" s="78" t="str">
        <f t="shared" si="2"/>
        <v/>
      </c>
      <c r="V18" s="350" t="str">
        <f t="shared" si="3"/>
        <v/>
      </c>
      <c r="W18" s="343" t="str">
        <f>IF(S18="","",VLOOKUP(S18,'G-1 All Habitats'!$B$2:$M$130,10,FALSE))</f>
        <v/>
      </c>
      <c r="X18" s="343" t="str">
        <f>IFERROR(VLOOKUP(W18,'G-1 All Habitats'!$V$3:$W$7,2,FALSE),"")</f>
        <v/>
      </c>
      <c r="Y18" s="91"/>
      <c r="Z18" s="345" t="str">
        <f>IFERROR(INDEX('G-8 Condition Look up'!$A$3:$H$131,MATCH(S18,'G-8 Condition Look up'!$A$3:$A$131,0),MATCH(Y18,'G-8 Condition Look up'!$A$3:$H$3,0)),"")</f>
        <v/>
      </c>
      <c r="AA18" s="79"/>
      <c r="AB18" s="343" t="str">
        <f>IF(AA18="","",IF(VLOOKUP(AA18,'G-3 Multipliers'!$L$3:$N$6,2,FALSE)=0,"Spatial Data Missing",VLOOKUP(AA18,'G-3 Multipliers'!$L$3:$N$6,2,FALSE)))</f>
        <v/>
      </c>
      <c r="AC18" s="345" t="str">
        <f>IF(AA18="","",IF(VLOOKUP(AA18,'G-3 Multipliers'!$L$3:$N$6,3,FALSE)=0,"Spatial Data Missing",VLOOKUP(AA18,'G-3 Multipliers'!$L$3:$N$6,3,FALSE)))</f>
        <v/>
      </c>
      <c r="AD18" s="351" t="str">
        <f t="shared" si="0"/>
        <v/>
      </c>
      <c r="AE18" s="94"/>
      <c r="AF18" s="94"/>
      <c r="AG18" s="343" t="str">
        <f t="shared" si="4"/>
        <v/>
      </c>
      <c r="AH18" s="591" t="str">
        <f t="shared" si="5"/>
        <v/>
      </c>
      <c r="AI18" s="353" t="str">
        <f>IF(AH18="Check Data","Check Data",IFERROR(VLOOKUP(AH18,'G-4 Temporal multipliers'!$A$4:$C$36,3,FALSE),""))</f>
        <v/>
      </c>
      <c r="AJ18" s="77" t="str">
        <f>IF(S18="","",VLOOKUP(S18,'G-3 Multipliers'!$A$2:$E$130,4,FALSE))</f>
        <v/>
      </c>
      <c r="AK18" s="348" t="str">
        <f t="shared" si="6"/>
        <v/>
      </c>
      <c r="AL18" s="348" t="str">
        <f t="shared" si="7"/>
        <v/>
      </c>
      <c r="AM18" s="607" t="str">
        <f>IFERROR(IF(F18="","",IF(AH18="Check Data","Check Data",VLOOKUP(AL18, 'G-3 Multipliers'!$P$2:$Q$6,2,FALSE))),””)</f>
        <v/>
      </c>
      <c r="AN18" s="81" t="str">
        <f t="shared" si="8"/>
        <v/>
      </c>
      <c r="AO18" s="355"/>
      <c r="AP18" s="356"/>
    </row>
    <row r="19" spans="1:42" x14ac:dyDescent="0.25">
      <c r="A19" s="52" t="str">
        <f>IF(E19="","",IF(ISNA(VLOOKUP($E19,'A-1 Site Habitat Baseline'!$D$1:$O$258,2,FALSE)),"",(VLOOKUP($E19,'A-1 Site Habitat Baseline'!$D$1:$O$258,2,FALSE))))</f>
        <v/>
      </c>
      <c r="B19" s="52" t="str">
        <f>IF(E19="","",IF(ISNA(VLOOKUP($E19,'A-1 Site Habitat Baseline'!$D$1:$O$258,3,FALSE)),"",(VLOOKUP($E19,'A-1 Site Habitat Baseline'!$D$1:$O$258,3,FALSE))))</f>
        <v/>
      </c>
      <c r="C19" s="52" t="str">
        <f>IFERROR(INDEX('G-8 Condition Look up'!$I$4:$I$131,MATCH(S19,'G-8 Condition Look up'!$A$4:$A$131,0)),"")</f>
        <v/>
      </c>
      <c r="E19" s="342" t="str">
        <f>'A-1 Site Habitat Baseline'!AL18</f>
        <v/>
      </c>
      <c r="F19" s="343" t="str">
        <f>IF(E19="","",IF(ISNA(VLOOKUP($E19,'A-1 Site Habitat Baseline'!$D$1:$O$258,4,FALSE)),"",(VLOOKUP($E19,'A-1 Site Habitat Baseline'!$D$1:$O$258,4,FALSE))))</f>
        <v/>
      </c>
      <c r="G19" s="343" t="str">
        <f>IF(E19="","",IF(ISNA(VLOOKUP($E19,'A-1 Site Habitat Baseline'!$D$1:$O$258,5,FALSE)),"",(VLOOKUP($E19,'A-1 Site Habitat Baseline'!$D$1:$O$258,5,FALSE))))</f>
        <v/>
      </c>
      <c r="H19" s="343" t="str">
        <f>IF(E19="","",IF(ISNA(VLOOKUP($E19,'A-1 Site Habitat Baseline'!$D$1:$O$258,6,FALSE)),"",(VLOOKUP($E19,'A-1 Site Habitat Baseline'!$D$1:$O$258,6,FALSE))))</f>
        <v/>
      </c>
      <c r="I19" s="343" t="str">
        <f>IF(E19="","",IF(ISNA(VLOOKUP($E19,'A-1 Site Habitat Baseline'!$D$1:$O$258,7,FALSE)),"",(VLOOKUP($E19,'A-1 Site Habitat Baseline'!$D$1:$O$258,7,FALSE))))</f>
        <v/>
      </c>
      <c r="J19" s="343" t="str">
        <f>IF(E19="","",IF(ISNA(VLOOKUP($E19,'A-1 Site Habitat Baseline'!$D$1:$O$258,8,FALSE)),"",(VLOOKUP($E19,'A-1 Site Habitat Baseline'!$D$1:$O$258,8,FALSE))))</f>
        <v/>
      </c>
      <c r="K19" s="343" t="str">
        <f>IF(E19="","",IF(ISNA(VLOOKUP($E19,'A-1 Site Habitat Baseline'!$D$1:$O$258,9,FALSE)),"",(VLOOKUP($E19,'A-1 Site Habitat Baseline'!$D$1:$O$258,9,FALSE))))</f>
        <v/>
      </c>
      <c r="L19" s="343" t="str">
        <f>IF(E19="","",IF(ISNA(VLOOKUP($E19,'A-1 Site Habitat Baseline'!$D$1:$O$258,11,FALSE)),"",(VLOOKUP($E19,'A-1 Site Habitat Baseline'!$D$1:$O$258,11,FALSE))))</f>
        <v/>
      </c>
      <c r="M19" s="343" t="str">
        <f>IF(E19="","",IF(ISNA(VLOOKUP($E19,'A-1 Site Habitat Baseline'!$D$1:$O$258,12,FALSE)),"",(VLOOKUP($E19,'A-1 Site Habitat Baseline'!$D$1:$O$258,12,FALSE))))</f>
        <v/>
      </c>
      <c r="N19" s="344" t="str">
        <f>IF(E19="","",IF(ISNA(VLOOKUP($E19,'A-1 Site Habitat Baseline'!$D$1:$X$258,14,FALSE)),"",(VLOOKUP($E19,'A-1 Site Habitat Baseline'!$D$1:$X$258,14,FALSE))))</f>
        <v/>
      </c>
      <c r="O19" s="345" t="str">
        <f>IF(E19="","",IF(ISNA(VLOOKUP($E19,'A-1 Site Habitat Baseline'!$D$1:$X$258,16,FALSE)),"",(VLOOKUP($E19,'A-1 Site Habitat Baseline'!$D$1:$X$258,13,FALSE))))</f>
        <v/>
      </c>
      <c r="P19" s="346" t="str">
        <f>IFERROR(INDEX('G-1 All Habitats'!$AG$3:$AG$15,MATCH(Q19,'G-1 All Habitats'!$AF$3:$AF$15,0)),"")</f>
        <v/>
      </c>
      <c r="Q19" s="347"/>
      <c r="R19" s="347"/>
      <c r="S19" s="605" t="str">
        <f>IFERROR(INDEX('G-1 All Habitats'!$B$3:$B$130,MATCH(R19,'G-1 All Habitats'!$A$3:$A$130,0)),"")</f>
        <v/>
      </c>
      <c r="T19" s="77" t="str">
        <f t="shared" si="9"/>
        <v/>
      </c>
      <c r="U19" s="78" t="str">
        <f t="shared" si="2"/>
        <v/>
      </c>
      <c r="V19" s="350" t="str">
        <f t="shared" si="3"/>
        <v/>
      </c>
      <c r="W19" s="343" t="str">
        <f>IF(S19="","",VLOOKUP(S19,'G-1 All Habitats'!$B$2:$M$130,10,FALSE))</f>
        <v/>
      </c>
      <c r="X19" s="343" t="str">
        <f>IFERROR(VLOOKUP(W19,'G-1 All Habitats'!$V$3:$W$7,2,FALSE),"")</f>
        <v/>
      </c>
      <c r="Y19" s="91"/>
      <c r="Z19" s="345" t="str">
        <f>IFERROR(INDEX('G-8 Condition Look up'!$A$3:$H$131,MATCH(S19,'G-8 Condition Look up'!$A$3:$A$131,0),MATCH(Y19,'G-8 Condition Look up'!$A$3:$H$3,0)),"")</f>
        <v/>
      </c>
      <c r="AA19" s="79"/>
      <c r="AB19" s="343" t="str">
        <f>IF(AA19="","",IF(VLOOKUP(AA19,'G-3 Multipliers'!$L$3:$N$6,2,FALSE)=0,"Spatial Data Missing",VLOOKUP(AA19,'G-3 Multipliers'!$L$3:$N$6,2,FALSE)))</f>
        <v/>
      </c>
      <c r="AC19" s="345" t="str">
        <f>IF(AA19="","",IF(VLOOKUP(AA19,'G-3 Multipliers'!$L$3:$N$6,3,FALSE)=0,"Spatial Data Missing",VLOOKUP(AA19,'G-3 Multipliers'!$L$3:$N$6,3,FALSE)))</f>
        <v/>
      </c>
      <c r="AD19" s="351" t="str">
        <f t="shared" si="0"/>
        <v/>
      </c>
      <c r="AE19" s="94"/>
      <c r="AF19" s="94"/>
      <c r="AG19" s="343" t="str">
        <f t="shared" si="4"/>
        <v/>
      </c>
      <c r="AH19" s="591" t="str">
        <f t="shared" si="5"/>
        <v/>
      </c>
      <c r="AI19" s="353" t="str">
        <f>IF(AH19="Check Data","Check Data",IFERROR(VLOOKUP(AH19,'G-4 Temporal multipliers'!$A$4:$C$36,3,FALSE),""))</f>
        <v/>
      </c>
      <c r="AJ19" s="77" t="str">
        <f>IF(S19="","",VLOOKUP(S19,'G-3 Multipliers'!$A$2:$E$130,4,FALSE))</f>
        <v/>
      </c>
      <c r="AK19" s="348" t="str">
        <f t="shared" si="6"/>
        <v/>
      </c>
      <c r="AL19" s="348" t="str">
        <f t="shared" si="7"/>
        <v/>
      </c>
      <c r="AM19" s="607" t="str">
        <f>IFERROR(IF(F19="","",IF(AH19="Check Data","Check Data",VLOOKUP(AL19, 'G-3 Multipliers'!$P$2:$Q$6,2,FALSE))),””)</f>
        <v/>
      </c>
      <c r="AN19" s="81" t="str">
        <f t="shared" si="8"/>
        <v/>
      </c>
      <c r="AO19" s="355"/>
      <c r="AP19" s="356"/>
    </row>
    <row r="20" spans="1:42" x14ac:dyDescent="0.25">
      <c r="A20" s="52" t="str">
        <f>IF(E20="","",IF(ISNA(VLOOKUP($E20,'A-1 Site Habitat Baseline'!$D$1:$O$258,2,FALSE)),"",(VLOOKUP($E20,'A-1 Site Habitat Baseline'!$D$1:$O$258,2,FALSE))))</f>
        <v/>
      </c>
      <c r="B20" s="52" t="str">
        <f>IF(E20="","",IF(ISNA(VLOOKUP($E20,'A-1 Site Habitat Baseline'!$D$1:$O$258,3,FALSE)),"",(VLOOKUP($E20,'A-1 Site Habitat Baseline'!$D$1:$O$258,3,FALSE))))</f>
        <v/>
      </c>
      <c r="C20" s="52" t="str">
        <f>IFERROR(INDEX('G-8 Condition Look up'!$I$4:$I$131,MATCH(S20,'G-8 Condition Look up'!$A$4:$A$131,0)),"")</f>
        <v/>
      </c>
      <c r="E20" s="342" t="str">
        <f>'A-1 Site Habitat Baseline'!AL19</f>
        <v/>
      </c>
      <c r="F20" s="343" t="str">
        <f>IF(E20="","",IF(ISNA(VLOOKUP($E20,'A-1 Site Habitat Baseline'!$D$1:$O$258,4,FALSE)),"",(VLOOKUP($E20,'A-1 Site Habitat Baseline'!$D$1:$O$258,4,FALSE))))</f>
        <v/>
      </c>
      <c r="G20" s="343" t="str">
        <f>IF(E20="","",IF(ISNA(VLOOKUP($E20,'A-1 Site Habitat Baseline'!$D$1:$O$258,5,FALSE)),"",(VLOOKUP($E20,'A-1 Site Habitat Baseline'!$D$1:$O$258,5,FALSE))))</f>
        <v/>
      </c>
      <c r="H20" s="343" t="str">
        <f>IF(E20="","",IF(ISNA(VLOOKUP($E20,'A-1 Site Habitat Baseline'!$D$1:$O$258,6,FALSE)),"",(VLOOKUP($E20,'A-1 Site Habitat Baseline'!$D$1:$O$258,6,FALSE))))</f>
        <v/>
      </c>
      <c r="I20" s="343" t="str">
        <f>IF(E20="","",IF(ISNA(VLOOKUP($E20,'A-1 Site Habitat Baseline'!$D$1:$O$258,7,FALSE)),"",(VLOOKUP($E20,'A-1 Site Habitat Baseline'!$D$1:$O$258,7,FALSE))))</f>
        <v/>
      </c>
      <c r="J20" s="343" t="str">
        <f>IF(E20="","",IF(ISNA(VLOOKUP($E20,'A-1 Site Habitat Baseline'!$D$1:$O$258,8,FALSE)),"",(VLOOKUP($E20,'A-1 Site Habitat Baseline'!$D$1:$O$258,8,FALSE))))</f>
        <v/>
      </c>
      <c r="K20" s="343" t="str">
        <f>IF(E20="","",IF(ISNA(VLOOKUP($E20,'A-1 Site Habitat Baseline'!$D$1:$O$258,9,FALSE)),"",(VLOOKUP($E20,'A-1 Site Habitat Baseline'!$D$1:$O$258,9,FALSE))))</f>
        <v/>
      </c>
      <c r="L20" s="343" t="str">
        <f>IF(E20="","",IF(ISNA(VLOOKUP($E20,'A-1 Site Habitat Baseline'!$D$1:$O$258,11,FALSE)),"",(VLOOKUP($E20,'A-1 Site Habitat Baseline'!$D$1:$O$258,11,FALSE))))</f>
        <v/>
      </c>
      <c r="M20" s="343" t="str">
        <f>IF(E20="","",IF(ISNA(VLOOKUP($E20,'A-1 Site Habitat Baseline'!$D$1:$O$258,12,FALSE)),"",(VLOOKUP($E20,'A-1 Site Habitat Baseline'!$D$1:$O$258,12,FALSE))))</f>
        <v/>
      </c>
      <c r="N20" s="344" t="str">
        <f>IF(E20="","",IF(ISNA(VLOOKUP($E20,'A-1 Site Habitat Baseline'!$D$1:$X$258,14,FALSE)),"",(VLOOKUP($E20,'A-1 Site Habitat Baseline'!$D$1:$X$258,14,FALSE))))</f>
        <v/>
      </c>
      <c r="O20" s="345" t="str">
        <f>IF(E20="","",IF(ISNA(VLOOKUP($E20,'A-1 Site Habitat Baseline'!$D$1:$X$258,16,FALSE)),"",(VLOOKUP($E20,'A-1 Site Habitat Baseline'!$D$1:$X$258,13,FALSE))))</f>
        <v/>
      </c>
      <c r="P20" s="346" t="str">
        <f>IFERROR(INDEX('G-1 All Habitats'!$AG$3:$AG$15,MATCH(Q20,'G-1 All Habitats'!$AF$3:$AF$15,0)),"")</f>
        <v/>
      </c>
      <c r="Q20" s="347"/>
      <c r="R20" s="347"/>
      <c r="S20" s="605" t="str">
        <f>IFERROR(INDEX('G-1 All Habitats'!$B$3:$B$130,MATCH(R20,'G-1 All Habitats'!$A$3:$A$130,0)),"")</f>
        <v/>
      </c>
      <c r="T20" s="77" t="str">
        <f t="shared" si="9"/>
        <v/>
      </c>
      <c r="U20" s="78" t="str">
        <f t="shared" si="2"/>
        <v/>
      </c>
      <c r="V20" s="350" t="str">
        <f t="shared" si="3"/>
        <v/>
      </c>
      <c r="W20" s="343" t="str">
        <f>IF(S20="","",VLOOKUP(S20,'G-1 All Habitats'!$B$2:$M$130,10,FALSE))</f>
        <v/>
      </c>
      <c r="X20" s="343" t="str">
        <f>IFERROR(VLOOKUP(W20,'G-1 All Habitats'!$V$3:$W$7,2,FALSE),"")</f>
        <v/>
      </c>
      <c r="Y20" s="91"/>
      <c r="Z20" s="345" t="str">
        <f>IFERROR(INDEX('G-8 Condition Look up'!$A$3:$H$131,MATCH(S20,'G-8 Condition Look up'!$A$3:$A$131,0),MATCH(Y20,'G-8 Condition Look up'!$A$3:$H$3,0)),"")</f>
        <v/>
      </c>
      <c r="AA20" s="79"/>
      <c r="AB20" s="343" t="str">
        <f>IF(AA20="","",IF(VLOOKUP(AA20,'G-3 Multipliers'!$L$3:$N$6,2,FALSE)=0,"Spatial Data Missing",VLOOKUP(AA20,'G-3 Multipliers'!$L$3:$N$6,2,FALSE)))</f>
        <v/>
      </c>
      <c r="AC20" s="345" t="str">
        <f>IF(AA20="","",IF(VLOOKUP(AA20,'G-3 Multipliers'!$L$3:$N$6,3,FALSE)=0,"Spatial Data Missing",VLOOKUP(AA20,'G-3 Multipliers'!$L$3:$N$6,3,FALSE)))</f>
        <v/>
      </c>
      <c r="AD20" s="351" t="str">
        <f t="shared" si="0"/>
        <v/>
      </c>
      <c r="AE20" s="94"/>
      <c r="AF20" s="94"/>
      <c r="AG20" s="343" t="str">
        <f t="shared" si="4"/>
        <v/>
      </c>
      <c r="AH20" s="591" t="str">
        <f t="shared" si="5"/>
        <v/>
      </c>
      <c r="AI20" s="353" t="str">
        <f>IF(AH20="Check Data","Check Data",IFERROR(VLOOKUP(AH20,'G-4 Temporal multipliers'!$A$4:$C$36,3,FALSE),""))</f>
        <v/>
      </c>
      <c r="AJ20" s="77" t="str">
        <f>IF(S20="","",VLOOKUP(S20,'G-3 Multipliers'!$A$2:$E$130,4,FALSE))</f>
        <v/>
      </c>
      <c r="AK20" s="348" t="str">
        <f t="shared" si="6"/>
        <v/>
      </c>
      <c r="AL20" s="348" t="str">
        <f t="shared" si="7"/>
        <v/>
      </c>
      <c r="AM20" s="607" t="str">
        <f>IFERROR(IF(F20="","",IF(AH20="Check Data","Check Data",VLOOKUP(AL20, 'G-3 Multipliers'!$P$2:$Q$6,2,FALSE))),””)</f>
        <v/>
      </c>
      <c r="AN20" s="81" t="str">
        <f t="shared" si="8"/>
        <v/>
      </c>
      <c r="AO20" s="355"/>
      <c r="AP20" s="356"/>
    </row>
    <row r="21" spans="1:42" x14ac:dyDescent="0.25">
      <c r="A21" s="52" t="str">
        <f>IF(E21="","",IF(ISNA(VLOOKUP($E21,'A-1 Site Habitat Baseline'!$D$1:$O$258,2,FALSE)),"",(VLOOKUP($E21,'A-1 Site Habitat Baseline'!$D$1:$O$258,2,FALSE))))</f>
        <v/>
      </c>
      <c r="B21" s="52" t="str">
        <f>IF(E21="","",IF(ISNA(VLOOKUP($E21,'A-1 Site Habitat Baseline'!$D$1:$O$258,3,FALSE)),"",(VLOOKUP($E21,'A-1 Site Habitat Baseline'!$D$1:$O$258,3,FALSE))))</f>
        <v/>
      </c>
      <c r="C21" s="52" t="str">
        <f>IFERROR(INDEX('G-8 Condition Look up'!$I$4:$I$131,MATCH(S21,'G-8 Condition Look up'!$A$4:$A$131,0)),"")</f>
        <v/>
      </c>
      <c r="E21" s="342" t="str">
        <f>'A-1 Site Habitat Baseline'!AL20</f>
        <v/>
      </c>
      <c r="F21" s="343" t="str">
        <f>IF(E21="","",IF(ISNA(VLOOKUP($E21,'A-1 Site Habitat Baseline'!$D$1:$O$258,4,FALSE)),"",(VLOOKUP($E21,'A-1 Site Habitat Baseline'!$D$1:$O$258,4,FALSE))))</f>
        <v/>
      </c>
      <c r="G21" s="343" t="str">
        <f>IF(E21="","",IF(ISNA(VLOOKUP($E21,'A-1 Site Habitat Baseline'!$D$1:$O$258,5,FALSE)),"",(VLOOKUP($E21,'A-1 Site Habitat Baseline'!$D$1:$O$258,5,FALSE))))</f>
        <v/>
      </c>
      <c r="H21" s="343" t="str">
        <f>IF(E21="","",IF(ISNA(VLOOKUP($E21,'A-1 Site Habitat Baseline'!$D$1:$O$258,6,FALSE)),"",(VLOOKUP($E21,'A-1 Site Habitat Baseline'!$D$1:$O$258,6,FALSE))))</f>
        <v/>
      </c>
      <c r="I21" s="343" t="str">
        <f>IF(E21="","",IF(ISNA(VLOOKUP($E21,'A-1 Site Habitat Baseline'!$D$1:$O$258,7,FALSE)),"",(VLOOKUP($E21,'A-1 Site Habitat Baseline'!$D$1:$O$258,7,FALSE))))</f>
        <v/>
      </c>
      <c r="J21" s="343" t="str">
        <f>IF(E21="","",IF(ISNA(VLOOKUP($E21,'A-1 Site Habitat Baseline'!$D$1:$O$258,8,FALSE)),"",(VLOOKUP($E21,'A-1 Site Habitat Baseline'!$D$1:$O$258,8,FALSE))))</f>
        <v/>
      </c>
      <c r="K21" s="343" t="str">
        <f>IF(E21="","",IF(ISNA(VLOOKUP($E21,'A-1 Site Habitat Baseline'!$D$1:$O$258,9,FALSE)),"",(VLOOKUP($E21,'A-1 Site Habitat Baseline'!$D$1:$O$258,9,FALSE))))</f>
        <v/>
      </c>
      <c r="L21" s="343" t="str">
        <f>IF(E21="","",IF(ISNA(VLOOKUP($E21,'A-1 Site Habitat Baseline'!$D$1:$O$258,11,FALSE)),"",(VLOOKUP($E21,'A-1 Site Habitat Baseline'!$D$1:$O$258,11,FALSE))))</f>
        <v/>
      </c>
      <c r="M21" s="343" t="str">
        <f>IF(E21="","",IF(ISNA(VLOOKUP($E21,'A-1 Site Habitat Baseline'!$D$1:$O$258,12,FALSE)),"",(VLOOKUP($E21,'A-1 Site Habitat Baseline'!$D$1:$O$258,12,FALSE))))</f>
        <v/>
      </c>
      <c r="N21" s="344" t="str">
        <f>IF(E21="","",IF(ISNA(VLOOKUP($E21,'A-1 Site Habitat Baseline'!$D$1:$X$258,14,FALSE)),"",(VLOOKUP($E21,'A-1 Site Habitat Baseline'!$D$1:$X$258,14,FALSE))))</f>
        <v/>
      </c>
      <c r="O21" s="345" t="str">
        <f>IF(E21="","",IF(ISNA(VLOOKUP($E21,'A-1 Site Habitat Baseline'!$D$1:$X$258,16,FALSE)),"",(VLOOKUP($E21,'A-1 Site Habitat Baseline'!$D$1:$X$258,13,FALSE))))</f>
        <v/>
      </c>
      <c r="P21" s="346" t="str">
        <f>IFERROR(INDEX('G-1 All Habitats'!$AG$3:$AG$15,MATCH(Q21,'G-1 All Habitats'!$AF$3:$AF$15,0)),"")</f>
        <v/>
      </c>
      <c r="Q21" s="347"/>
      <c r="R21" s="347"/>
      <c r="S21" s="605" t="str">
        <f>IFERROR(INDEX('G-1 All Habitats'!$B$3:$B$130,MATCH(R21,'G-1 All Habitats'!$A$3:$A$130,0)),"")</f>
        <v/>
      </c>
      <c r="T21" s="77" t="str">
        <f t="shared" si="9"/>
        <v/>
      </c>
      <c r="U21" s="78" t="str">
        <f t="shared" si="2"/>
        <v/>
      </c>
      <c r="V21" s="350" t="str">
        <f t="shared" si="3"/>
        <v/>
      </c>
      <c r="W21" s="343" t="str">
        <f>IF(S21="","",VLOOKUP(S21,'G-1 All Habitats'!$B$2:$M$130,10,FALSE))</f>
        <v/>
      </c>
      <c r="X21" s="343" t="str">
        <f>IFERROR(VLOOKUP(W21,'G-1 All Habitats'!$V$3:$W$7,2,FALSE),"")</f>
        <v/>
      </c>
      <c r="Y21" s="91"/>
      <c r="Z21" s="345" t="str">
        <f>IFERROR(INDEX('G-8 Condition Look up'!$A$3:$H$131,MATCH(S21,'G-8 Condition Look up'!$A$3:$A$131,0),MATCH(Y21,'G-8 Condition Look up'!$A$3:$H$3,0)),"")</f>
        <v/>
      </c>
      <c r="AA21" s="79"/>
      <c r="AB21" s="343" t="str">
        <f>IF(AA21="","",IF(VLOOKUP(AA21,'G-3 Multipliers'!$L$3:$N$6,2,FALSE)=0,"Spatial Data Missing",VLOOKUP(AA21,'G-3 Multipliers'!$L$3:$N$6,2,FALSE)))</f>
        <v/>
      </c>
      <c r="AC21" s="345" t="str">
        <f>IF(AA21="","",IF(VLOOKUP(AA21,'G-3 Multipliers'!$L$3:$N$6,3,FALSE)=0,"Spatial Data Missing",VLOOKUP(AA21,'G-3 Multipliers'!$L$3:$N$6,3,FALSE)))</f>
        <v/>
      </c>
      <c r="AD21" s="351" t="str">
        <f t="shared" si="0"/>
        <v/>
      </c>
      <c r="AE21" s="94"/>
      <c r="AF21" s="94"/>
      <c r="AG21" s="343" t="str">
        <f t="shared" si="4"/>
        <v/>
      </c>
      <c r="AH21" s="591" t="str">
        <f t="shared" si="5"/>
        <v/>
      </c>
      <c r="AI21" s="353" t="str">
        <f>IF(AH21="Check Data","Check Data",IFERROR(VLOOKUP(AH21,'G-4 Temporal multipliers'!$A$4:$C$36,3,FALSE),""))</f>
        <v/>
      </c>
      <c r="AJ21" s="77" t="str">
        <f>IF(S21="","",VLOOKUP(S21,'G-3 Multipliers'!$A$2:$E$130,4,FALSE))</f>
        <v/>
      </c>
      <c r="AK21" s="348" t="str">
        <f t="shared" si="6"/>
        <v/>
      </c>
      <c r="AL21" s="348" t="str">
        <f t="shared" si="7"/>
        <v/>
      </c>
      <c r="AM21" s="607" t="str">
        <f>IFERROR(IF(F21="","",IF(AH21="Check Data","Check Data",VLOOKUP(AL21, 'G-3 Multipliers'!$P$2:$Q$6,2,FALSE))),””)</f>
        <v/>
      </c>
      <c r="AN21" s="81" t="str">
        <f t="shared" si="8"/>
        <v/>
      </c>
      <c r="AO21" s="355"/>
      <c r="AP21" s="356"/>
    </row>
    <row r="22" spans="1:42" x14ac:dyDescent="0.25">
      <c r="A22" s="52" t="str">
        <f>IF(E22="","",IF(ISNA(VLOOKUP($E22,'A-1 Site Habitat Baseline'!$D$1:$O$258,2,FALSE)),"",(VLOOKUP($E22,'A-1 Site Habitat Baseline'!$D$1:$O$258,2,FALSE))))</f>
        <v/>
      </c>
      <c r="B22" s="52" t="str">
        <f>IF(E22="","",IF(ISNA(VLOOKUP($E22,'A-1 Site Habitat Baseline'!$D$1:$O$258,3,FALSE)),"",(VLOOKUP($E22,'A-1 Site Habitat Baseline'!$D$1:$O$258,3,FALSE))))</f>
        <v/>
      </c>
      <c r="C22" s="52" t="str">
        <f>IFERROR(INDEX('G-8 Condition Look up'!$I$4:$I$131,MATCH(S22,'G-8 Condition Look up'!$A$4:$A$131,0)),"")</f>
        <v/>
      </c>
      <c r="E22" s="342" t="str">
        <f>'A-1 Site Habitat Baseline'!AL21</f>
        <v/>
      </c>
      <c r="F22" s="343" t="str">
        <f>IF(E22="","",IF(ISNA(VLOOKUP($E22,'A-1 Site Habitat Baseline'!$D$1:$O$258,4,FALSE)),"",(VLOOKUP($E22,'A-1 Site Habitat Baseline'!$D$1:$O$258,4,FALSE))))</f>
        <v/>
      </c>
      <c r="G22" s="343" t="str">
        <f>IF(E22="","",IF(ISNA(VLOOKUP($E22,'A-1 Site Habitat Baseline'!$D$1:$O$258,5,FALSE)),"",(VLOOKUP($E22,'A-1 Site Habitat Baseline'!$D$1:$O$258,5,FALSE))))</f>
        <v/>
      </c>
      <c r="H22" s="343" t="str">
        <f>IF(E22="","",IF(ISNA(VLOOKUP($E22,'A-1 Site Habitat Baseline'!$D$1:$O$258,6,FALSE)),"",(VLOOKUP($E22,'A-1 Site Habitat Baseline'!$D$1:$O$258,6,FALSE))))</f>
        <v/>
      </c>
      <c r="I22" s="343" t="str">
        <f>IF(E22="","",IF(ISNA(VLOOKUP($E22,'A-1 Site Habitat Baseline'!$D$1:$O$258,7,FALSE)),"",(VLOOKUP($E22,'A-1 Site Habitat Baseline'!$D$1:$O$258,7,FALSE))))</f>
        <v/>
      </c>
      <c r="J22" s="343" t="str">
        <f>IF(E22="","",IF(ISNA(VLOOKUP($E22,'A-1 Site Habitat Baseline'!$D$1:$O$258,8,FALSE)),"",(VLOOKUP($E22,'A-1 Site Habitat Baseline'!$D$1:$O$258,8,FALSE))))</f>
        <v/>
      </c>
      <c r="K22" s="343" t="str">
        <f>IF(E22="","",IF(ISNA(VLOOKUP($E22,'A-1 Site Habitat Baseline'!$D$1:$O$258,9,FALSE)),"",(VLOOKUP($E22,'A-1 Site Habitat Baseline'!$D$1:$O$258,9,FALSE))))</f>
        <v/>
      </c>
      <c r="L22" s="343" t="str">
        <f>IF(E22="","",IF(ISNA(VLOOKUP($E22,'A-1 Site Habitat Baseline'!$D$1:$O$258,11,FALSE)),"",(VLOOKUP($E22,'A-1 Site Habitat Baseline'!$D$1:$O$258,11,FALSE))))</f>
        <v/>
      </c>
      <c r="M22" s="343" t="str">
        <f>IF(E22="","",IF(ISNA(VLOOKUP($E22,'A-1 Site Habitat Baseline'!$D$1:$O$258,12,FALSE)),"",(VLOOKUP($E22,'A-1 Site Habitat Baseline'!$D$1:$O$258,12,FALSE))))</f>
        <v/>
      </c>
      <c r="N22" s="344" t="str">
        <f>IF(E22="","",IF(ISNA(VLOOKUP($E22,'A-1 Site Habitat Baseline'!$D$1:$X$258,14,FALSE)),"",(VLOOKUP($E22,'A-1 Site Habitat Baseline'!$D$1:$X$258,14,FALSE))))</f>
        <v/>
      </c>
      <c r="O22" s="345" t="str">
        <f>IF(E22="","",IF(ISNA(VLOOKUP($E22,'A-1 Site Habitat Baseline'!$D$1:$X$258,16,FALSE)),"",(VLOOKUP($E22,'A-1 Site Habitat Baseline'!$D$1:$X$258,13,FALSE))))</f>
        <v/>
      </c>
      <c r="P22" s="346" t="str">
        <f>IFERROR(INDEX('G-1 All Habitats'!$AG$3:$AG$15,MATCH(Q22,'G-1 All Habitats'!$AF$3:$AF$15,0)),"")</f>
        <v/>
      </c>
      <c r="Q22" s="347"/>
      <c r="R22" s="347"/>
      <c r="S22" s="605" t="str">
        <f>IFERROR(INDEX('G-1 All Habitats'!$B$3:$B$130,MATCH(R22,'G-1 All Habitats'!$A$3:$A$130,0)),"")</f>
        <v/>
      </c>
      <c r="T22" s="77" t="str">
        <f t="shared" si="9"/>
        <v/>
      </c>
      <c r="U22" s="78" t="str">
        <f t="shared" si="2"/>
        <v/>
      </c>
      <c r="V22" s="350" t="str">
        <f t="shared" si="3"/>
        <v/>
      </c>
      <c r="W22" s="343" t="str">
        <f>IF(S22="","",VLOOKUP(S22,'G-1 All Habitats'!$B$2:$M$130,10,FALSE))</f>
        <v/>
      </c>
      <c r="X22" s="343" t="str">
        <f>IFERROR(VLOOKUP(W22,'G-1 All Habitats'!$V$3:$W$7,2,FALSE),"")</f>
        <v/>
      </c>
      <c r="Y22" s="91"/>
      <c r="Z22" s="345" t="str">
        <f>IFERROR(INDEX('G-8 Condition Look up'!$A$3:$H$131,MATCH(S22,'G-8 Condition Look up'!$A$3:$A$131,0),MATCH(Y22,'G-8 Condition Look up'!$A$3:$H$3,0)),"")</f>
        <v/>
      </c>
      <c r="AA22" s="79"/>
      <c r="AB22" s="343" t="str">
        <f>IF(AA22="","",IF(VLOOKUP(AA22,'G-3 Multipliers'!$L$3:$N$6,2,FALSE)=0,"Spatial Data Missing",VLOOKUP(AA22,'G-3 Multipliers'!$L$3:$N$6,2,FALSE)))</f>
        <v/>
      </c>
      <c r="AC22" s="345" t="str">
        <f>IF(AA22="","",IF(VLOOKUP(AA22,'G-3 Multipliers'!$L$3:$N$6,3,FALSE)=0,"Spatial Data Missing",VLOOKUP(AA22,'G-3 Multipliers'!$L$3:$N$6,3,FALSE)))</f>
        <v/>
      </c>
      <c r="AD22" s="351" t="str">
        <f t="shared" si="0"/>
        <v/>
      </c>
      <c r="AE22" s="94"/>
      <c r="AF22" s="94"/>
      <c r="AG22" s="343" t="str">
        <f t="shared" si="4"/>
        <v/>
      </c>
      <c r="AH22" s="591" t="str">
        <f t="shared" si="5"/>
        <v/>
      </c>
      <c r="AI22" s="353" t="str">
        <f>IF(AH22="Check Data","Check Data",IFERROR(VLOOKUP(AH22,'G-4 Temporal multipliers'!$A$4:$C$36,3,FALSE),""))</f>
        <v/>
      </c>
      <c r="AJ22" s="77" t="str">
        <f>IF(S22="","",VLOOKUP(S22,'G-3 Multipliers'!$A$2:$E$130,4,FALSE))</f>
        <v/>
      </c>
      <c r="AK22" s="348" t="str">
        <f t="shared" si="6"/>
        <v/>
      </c>
      <c r="AL22" s="348" t="str">
        <f t="shared" si="7"/>
        <v/>
      </c>
      <c r="AM22" s="607" t="str">
        <f>IFERROR(IF(F22="","",IF(AH22="Check Data","Check Data",VLOOKUP(AL22, 'G-3 Multipliers'!$P$2:$Q$6,2,FALSE))),””)</f>
        <v/>
      </c>
      <c r="AN22" s="81" t="str">
        <f t="shared" si="8"/>
        <v/>
      </c>
      <c r="AO22" s="355"/>
      <c r="AP22" s="356"/>
    </row>
    <row r="23" spans="1:42" x14ac:dyDescent="0.25">
      <c r="A23" s="52" t="str">
        <f>IF(E23="","",IF(ISNA(VLOOKUP($E23,'A-1 Site Habitat Baseline'!$D$1:$O$258,2,FALSE)),"",(VLOOKUP($E23,'A-1 Site Habitat Baseline'!$D$1:$O$258,2,FALSE))))</f>
        <v/>
      </c>
      <c r="B23" s="52" t="str">
        <f>IF(E23="","",IF(ISNA(VLOOKUP($E23,'A-1 Site Habitat Baseline'!$D$1:$O$258,3,FALSE)),"",(VLOOKUP($E23,'A-1 Site Habitat Baseline'!$D$1:$O$258,3,FALSE))))</f>
        <v/>
      </c>
      <c r="C23" s="52" t="str">
        <f>IFERROR(INDEX('G-8 Condition Look up'!$I$4:$I$131,MATCH(S23,'G-8 Condition Look up'!$A$4:$A$131,0)),"")</f>
        <v/>
      </c>
      <c r="E23" s="342" t="str">
        <f>'A-1 Site Habitat Baseline'!AL22</f>
        <v/>
      </c>
      <c r="F23" s="343" t="str">
        <f>IF(E23="","",IF(ISNA(VLOOKUP($E23,'A-1 Site Habitat Baseline'!$D$1:$O$258,4,FALSE)),"",(VLOOKUP($E23,'A-1 Site Habitat Baseline'!$D$1:$O$258,4,FALSE))))</f>
        <v/>
      </c>
      <c r="G23" s="343" t="str">
        <f>IF(E23="","",IF(ISNA(VLOOKUP($E23,'A-1 Site Habitat Baseline'!$D$1:$O$258,5,FALSE)),"",(VLOOKUP($E23,'A-1 Site Habitat Baseline'!$D$1:$O$258,5,FALSE))))</f>
        <v/>
      </c>
      <c r="H23" s="343" t="str">
        <f>IF(E23="","",IF(ISNA(VLOOKUP($E23,'A-1 Site Habitat Baseline'!$D$1:$O$258,6,FALSE)),"",(VLOOKUP($E23,'A-1 Site Habitat Baseline'!$D$1:$O$258,6,FALSE))))</f>
        <v/>
      </c>
      <c r="I23" s="343" t="str">
        <f>IF(E23="","",IF(ISNA(VLOOKUP($E23,'A-1 Site Habitat Baseline'!$D$1:$O$258,7,FALSE)),"",(VLOOKUP($E23,'A-1 Site Habitat Baseline'!$D$1:$O$258,7,FALSE))))</f>
        <v/>
      </c>
      <c r="J23" s="343" t="str">
        <f>IF(E23="","",IF(ISNA(VLOOKUP($E23,'A-1 Site Habitat Baseline'!$D$1:$O$258,8,FALSE)),"",(VLOOKUP($E23,'A-1 Site Habitat Baseline'!$D$1:$O$258,8,FALSE))))</f>
        <v/>
      </c>
      <c r="K23" s="343" t="str">
        <f>IF(E23="","",IF(ISNA(VLOOKUP($E23,'A-1 Site Habitat Baseline'!$D$1:$O$258,9,FALSE)),"",(VLOOKUP($E23,'A-1 Site Habitat Baseline'!$D$1:$O$258,9,FALSE))))</f>
        <v/>
      </c>
      <c r="L23" s="343" t="str">
        <f>IF(E23="","",IF(ISNA(VLOOKUP($E23,'A-1 Site Habitat Baseline'!$D$1:$O$258,11,FALSE)),"",(VLOOKUP($E23,'A-1 Site Habitat Baseline'!$D$1:$O$258,11,FALSE))))</f>
        <v/>
      </c>
      <c r="M23" s="343" t="str">
        <f>IF(E23="","",IF(ISNA(VLOOKUP($E23,'A-1 Site Habitat Baseline'!$D$1:$O$258,12,FALSE)),"",(VLOOKUP($E23,'A-1 Site Habitat Baseline'!$D$1:$O$258,12,FALSE))))</f>
        <v/>
      </c>
      <c r="N23" s="344" t="str">
        <f>IF(E23="","",IF(ISNA(VLOOKUP($E23,'A-1 Site Habitat Baseline'!$D$1:$X$258,14,FALSE)),"",(VLOOKUP($E23,'A-1 Site Habitat Baseline'!$D$1:$X$258,14,FALSE))))</f>
        <v/>
      </c>
      <c r="O23" s="345" t="str">
        <f>IF(E23="","",IF(ISNA(VLOOKUP($E23,'A-1 Site Habitat Baseline'!$D$1:$X$258,16,FALSE)),"",(VLOOKUP($E23,'A-1 Site Habitat Baseline'!$D$1:$X$258,13,FALSE))))</f>
        <v/>
      </c>
      <c r="P23" s="346" t="str">
        <f>IFERROR(INDEX('G-1 All Habitats'!$AG$3:$AG$15,MATCH(Q23,'G-1 All Habitats'!$AF$3:$AF$15,0)),"")</f>
        <v/>
      </c>
      <c r="Q23" s="347"/>
      <c r="R23" s="347"/>
      <c r="S23" s="605" t="str">
        <f>IFERROR(INDEX('G-1 All Habitats'!$B$3:$B$130,MATCH(R23,'G-1 All Habitats'!$A$3:$A$130,0)),"")</f>
        <v/>
      </c>
      <c r="T23" s="77" t="str">
        <f t="shared" si="9"/>
        <v/>
      </c>
      <c r="U23" s="78" t="str">
        <f t="shared" si="2"/>
        <v/>
      </c>
      <c r="V23" s="350" t="str">
        <f t="shared" si="3"/>
        <v/>
      </c>
      <c r="W23" s="343" t="str">
        <f>IF(S23="","",VLOOKUP(S23,'G-1 All Habitats'!$B$2:$M$130,10,FALSE))</f>
        <v/>
      </c>
      <c r="X23" s="343" t="str">
        <f>IFERROR(VLOOKUP(W23,'G-1 All Habitats'!$V$3:$W$7,2,FALSE),"")</f>
        <v/>
      </c>
      <c r="Y23" s="91"/>
      <c r="Z23" s="345" t="str">
        <f>IFERROR(INDEX('G-8 Condition Look up'!$A$3:$H$131,MATCH(S23,'G-8 Condition Look up'!$A$3:$A$131,0),MATCH(Y23,'G-8 Condition Look up'!$A$3:$H$3,0)),"")</f>
        <v/>
      </c>
      <c r="AA23" s="79"/>
      <c r="AB23" s="343" t="str">
        <f>IF(AA23="","",IF(VLOOKUP(AA23,'G-3 Multipliers'!$L$3:$N$6,2,FALSE)=0,"Spatial Data Missing",VLOOKUP(AA23,'G-3 Multipliers'!$L$3:$N$6,2,FALSE)))</f>
        <v/>
      </c>
      <c r="AC23" s="345" t="str">
        <f>IF(AA23="","",IF(VLOOKUP(AA23,'G-3 Multipliers'!$L$3:$N$6,3,FALSE)=0,"Spatial Data Missing",VLOOKUP(AA23,'G-3 Multipliers'!$L$3:$N$6,3,FALSE)))</f>
        <v/>
      </c>
      <c r="AD23" s="351" t="str">
        <f t="shared" si="0"/>
        <v/>
      </c>
      <c r="AE23" s="94"/>
      <c r="AF23" s="94"/>
      <c r="AG23" s="343" t="str">
        <f t="shared" si="4"/>
        <v/>
      </c>
      <c r="AH23" s="591" t="str">
        <f t="shared" si="5"/>
        <v/>
      </c>
      <c r="AI23" s="353" t="str">
        <f>IF(AH23="Check Data","Check Data",IFERROR(VLOOKUP(AH23,'G-4 Temporal multipliers'!$A$4:$C$36,3,FALSE),""))</f>
        <v/>
      </c>
      <c r="AJ23" s="77" t="str">
        <f>IF(S23="","",VLOOKUP(S23,'G-3 Multipliers'!$A$2:$E$130,4,FALSE))</f>
        <v/>
      </c>
      <c r="AK23" s="348" t="str">
        <f t="shared" si="6"/>
        <v/>
      </c>
      <c r="AL23" s="348" t="str">
        <f t="shared" si="7"/>
        <v/>
      </c>
      <c r="AM23" s="607" t="str">
        <f>IFERROR(IF(F23="","",IF(AH23="Check Data","Check Data",VLOOKUP(AL23, 'G-3 Multipliers'!$P$2:$Q$6,2,FALSE))),””)</f>
        <v/>
      </c>
      <c r="AN23" s="81" t="str">
        <f t="shared" si="8"/>
        <v/>
      </c>
      <c r="AO23" s="355"/>
      <c r="AP23" s="356"/>
    </row>
    <row r="24" spans="1:42" x14ac:dyDescent="0.25">
      <c r="A24" s="52" t="str">
        <f>IF(E24="","",IF(ISNA(VLOOKUP($E24,'A-1 Site Habitat Baseline'!$D$1:$O$258,2,FALSE)),"",(VLOOKUP($E24,'A-1 Site Habitat Baseline'!$D$1:$O$258,2,FALSE))))</f>
        <v/>
      </c>
      <c r="B24" s="52" t="str">
        <f>IF(E24="","",IF(ISNA(VLOOKUP($E24,'A-1 Site Habitat Baseline'!$D$1:$O$258,3,FALSE)),"",(VLOOKUP($E24,'A-1 Site Habitat Baseline'!$D$1:$O$258,3,FALSE))))</f>
        <v/>
      </c>
      <c r="C24" s="52" t="str">
        <f>IFERROR(INDEX('G-8 Condition Look up'!$I$4:$I$131,MATCH(S24,'G-8 Condition Look up'!$A$4:$A$131,0)),"")</f>
        <v/>
      </c>
      <c r="E24" s="342" t="str">
        <f>'A-1 Site Habitat Baseline'!AL23</f>
        <v/>
      </c>
      <c r="F24" s="343" t="str">
        <f>IF(E24="","",IF(ISNA(VLOOKUP($E24,'A-1 Site Habitat Baseline'!$D$1:$O$258,4,FALSE)),"",(VLOOKUP($E24,'A-1 Site Habitat Baseline'!$D$1:$O$258,4,FALSE))))</f>
        <v/>
      </c>
      <c r="G24" s="343" t="str">
        <f>IF(E24="","",IF(ISNA(VLOOKUP($E24,'A-1 Site Habitat Baseline'!$D$1:$O$258,5,FALSE)),"",(VLOOKUP($E24,'A-1 Site Habitat Baseline'!$D$1:$O$258,5,FALSE))))</f>
        <v/>
      </c>
      <c r="H24" s="343" t="str">
        <f>IF(E24="","",IF(ISNA(VLOOKUP($E24,'A-1 Site Habitat Baseline'!$D$1:$O$258,6,FALSE)),"",(VLOOKUP($E24,'A-1 Site Habitat Baseline'!$D$1:$O$258,6,FALSE))))</f>
        <v/>
      </c>
      <c r="I24" s="343" t="str">
        <f>IF(E24="","",IF(ISNA(VLOOKUP($E24,'A-1 Site Habitat Baseline'!$D$1:$O$258,7,FALSE)),"",(VLOOKUP($E24,'A-1 Site Habitat Baseline'!$D$1:$O$258,7,FALSE))))</f>
        <v/>
      </c>
      <c r="J24" s="343" t="str">
        <f>IF(E24="","",IF(ISNA(VLOOKUP($E24,'A-1 Site Habitat Baseline'!$D$1:$O$258,8,FALSE)),"",(VLOOKUP($E24,'A-1 Site Habitat Baseline'!$D$1:$O$258,8,FALSE))))</f>
        <v/>
      </c>
      <c r="K24" s="343" t="str">
        <f>IF(E24="","",IF(ISNA(VLOOKUP($E24,'A-1 Site Habitat Baseline'!$D$1:$O$258,9,FALSE)),"",(VLOOKUP($E24,'A-1 Site Habitat Baseline'!$D$1:$O$258,9,FALSE))))</f>
        <v/>
      </c>
      <c r="L24" s="343" t="str">
        <f>IF(E24="","",IF(ISNA(VLOOKUP($E24,'A-1 Site Habitat Baseline'!$D$1:$O$258,11,FALSE)),"",(VLOOKUP($E24,'A-1 Site Habitat Baseline'!$D$1:$O$258,11,FALSE))))</f>
        <v/>
      </c>
      <c r="M24" s="343" t="str">
        <f>IF(E24="","",IF(ISNA(VLOOKUP($E24,'A-1 Site Habitat Baseline'!$D$1:$O$258,12,FALSE)),"",(VLOOKUP($E24,'A-1 Site Habitat Baseline'!$D$1:$O$258,12,FALSE))))</f>
        <v/>
      </c>
      <c r="N24" s="344" t="str">
        <f>IF(E24="","",IF(ISNA(VLOOKUP($E24,'A-1 Site Habitat Baseline'!$D$1:$X$258,14,FALSE)),"",(VLOOKUP($E24,'A-1 Site Habitat Baseline'!$D$1:$X$258,14,FALSE))))</f>
        <v/>
      </c>
      <c r="O24" s="345" t="str">
        <f>IF(E24="","",IF(ISNA(VLOOKUP($E24,'A-1 Site Habitat Baseline'!$D$1:$X$258,16,FALSE)),"",(VLOOKUP($E24,'A-1 Site Habitat Baseline'!$D$1:$X$258,13,FALSE))))</f>
        <v/>
      </c>
      <c r="P24" s="346" t="str">
        <f>IFERROR(INDEX('G-1 All Habitats'!$AG$3:$AG$15,MATCH(Q24,'G-1 All Habitats'!$AF$3:$AF$15,0)),"")</f>
        <v/>
      </c>
      <c r="Q24" s="347"/>
      <c r="R24" s="347"/>
      <c r="S24" s="605" t="str">
        <f>IFERROR(INDEX('G-1 All Habitats'!$B$3:$B$130,MATCH(R24,'G-1 All Habitats'!$A$3:$A$130,0)),"")</f>
        <v/>
      </c>
      <c r="T24" s="77" t="str">
        <f t="shared" si="9"/>
        <v/>
      </c>
      <c r="U24" s="78" t="str">
        <f t="shared" si="2"/>
        <v/>
      </c>
      <c r="V24" s="350" t="str">
        <f t="shared" si="3"/>
        <v/>
      </c>
      <c r="W24" s="343" t="str">
        <f>IF(S24="","",VLOOKUP(S24,'G-1 All Habitats'!$B$2:$M$130,10,FALSE))</f>
        <v/>
      </c>
      <c r="X24" s="343" t="str">
        <f>IFERROR(VLOOKUP(W24,'G-1 All Habitats'!$V$3:$W$7,2,FALSE),"")</f>
        <v/>
      </c>
      <c r="Y24" s="91"/>
      <c r="Z24" s="345" t="str">
        <f>IFERROR(INDEX('G-8 Condition Look up'!$A$3:$H$131,MATCH(S24,'G-8 Condition Look up'!$A$3:$A$131,0),MATCH(Y24,'G-8 Condition Look up'!$A$3:$H$3,0)),"")</f>
        <v/>
      </c>
      <c r="AA24" s="79"/>
      <c r="AB24" s="343" t="str">
        <f>IF(AA24="","",IF(VLOOKUP(AA24,'G-3 Multipliers'!$L$3:$N$6,2,FALSE)=0,"Spatial Data Missing",VLOOKUP(AA24,'G-3 Multipliers'!$L$3:$N$6,2,FALSE)))</f>
        <v/>
      </c>
      <c r="AC24" s="345" t="str">
        <f>IF(AA24="","",IF(VLOOKUP(AA24,'G-3 Multipliers'!$L$3:$N$6,3,FALSE)=0,"Spatial Data Missing",VLOOKUP(AA24,'G-3 Multipliers'!$L$3:$N$6,3,FALSE)))</f>
        <v/>
      </c>
      <c r="AD24" s="351" t="str">
        <f t="shared" si="0"/>
        <v/>
      </c>
      <c r="AE24" s="94"/>
      <c r="AF24" s="94"/>
      <c r="AG24" s="343" t="str">
        <f t="shared" si="4"/>
        <v/>
      </c>
      <c r="AH24" s="591" t="str">
        <f t="shared" si="5"/>
        <v/>
      </c>
      <c r="AI24" s="353" t="str">
        <f>IF(AH24="Check Data","Check Data",IFERROR(VLOOKUP(AH24,'G-4 Temporal multipliers'!$A$4:$C$36,3,FALSE),""))</f>
        <v/>
      </c>
      <c r="AJ24" s="77" t="str">
        <f>IF(S24="","",VLOOKUP(S24,'G-3 Multipliers'!$A$2:$E$130,4,FALSE))</f>
        <v/>
      </c>
      <c r="AK24" s="348" t="str">
        <f t="shared" si="6"/>
        <v/>
      </c>
      <c r="AL24" s="348" t="str">
        <f t="shared" si="7"/>
        <v/>
      </c>
      <c r="AM24" s="607" t="str">
        <f>IFERROR(IF(F24="","",IF(AH24="Check Data","Check Data",VLOOKUP(AL24, 'G-3 Multipliers'!$P$2:$Q$6,2,FALSE))),””)</f>
        <v/>
      </c>
      <c r="AN24" s="81" t="str">
        <f t="shared" si="8"/>
        <v/>
      </c>
      <c r="AO24" s="355"/>
      <c r="AP24" s="356"/>
    </row>
    <row r="25" spans="1:42" x14ac:dyDescent="0.25">
      <c r="A25" s="52" t="str">
        <f>IF(E25="","",IF(ISNA(VLOOKUP($E25,'A-1 Site Habitat Baseline'!$D$1:$O$258,2,FALSE)),"",(VLOOKUP($E25,'A-1 Site Habitat Baseline'!$D$1:$O$258,2,FALSE))))</f>
        <v/>
      </c>
      <c r="B25" s="52" t="str">
        <f>IF(E25="","",IF(ISNA(VLOOKUP($E25,'A-1 Site Habitat Baseline'!$D$1:$O$258,3,FALSE)),"",(VLOOKUP($E25,'A-1 Site Habitat Baseline'!$D$1:$O$258,3,FALSE))))</f>
        <v/>
      </c>
      <c r="C25" s="52" t="str">
        <f>IFERROR(INDEX('G-8 Condition Look up'!$I$4:$I$131,MATCH(S25,'G-8 Condition Look up'!$A$4:$A$131,0)),"")</f>
        <v/>
      </c>
      <c r="E25" s="342" t="str">
        <f>'A-1 Site Habitat Baseline'!AL24</f>
        <v/>
      </c>
      <c r="F25" s="343" t="str">
        <f>IF(E25="","",IF(ISNA(VLOOKUP($E25,'A-1 Site Habitat Baseline'!$D$1:$O$258,4,FALSE)),"",(VLOOKUP($E25,'A-1 Site Habitat Baseline'!$D$1:$O$258,4,FALSE))))</f>
        <v/>
      </c>
      <c r="G25" s="343" t="str">
        <f>IF(E25="","",IF(ISNA(VLOOKUP($E25,'A-1 Site Habitat Baseline'!$D$1:$O$258,5,FALSE)),"",(VLOOKUP($E25,'A-1 Site Habitat Baseline'!$D$1:$O$258,5,FALSE))))</f>
        <v/>
      </c>
      <c r="H25" s="343" t="str">
        <f>IF(E25="","",IF(ISNA(VLOOKUP($E25,'A-1 Site Habitat Baseline'!$D$1:$O$258,6,FALSE)),"",(VLOOKUP($E25,'A-1 Site Habitat Baseline'!$D$1:$O$258,6,FALSE))))</f>
        <v/>
      </c>
      <c r="I25" s="343" t="str">
        <f>IF(E25="","",IF(ISNA(VLOOKUP($E25,'A-1 Site Habitat Baseline'!$D$1:$O$258,7,FALSE)),"",(VLOOKUP($E25,'A-1 Site Habitat Baseline'!$D$1:$O$258,7,FALSE))))</f>
        <v/>
      </c>
      <c r="J25" s="343" t="str">
        <f>IF(E25="","",IF(ISNA(VLOOKUP($E25,'A-1 Site Habitat Baseline'!$D$1:$O$258,8,FALSE)),"",(VLOOKUP($E25,'A-1 Site Habitat Baseline'!$D$1:$O$258,8,FALSE))))</f>
        <v/>
      </c>
      <c r="K25" s="343" t="str">
        <f>IF(E25="","",IF(ISNA(VLOOKUP($E25,'A-1 Site Habitat Baseline'!$D$1:$O$258,9,FALSE)),"",(VLOOKUP($E25,'A-1 Site Habitat Baseline'!$D$1:$O$258,9,FALSE))))</f>
        <v/>
      </c>
      <c r="L25" s="343" t="str">
        <f>IF(E25="","",IF(ISNA(VLOOKUP($E25,'A-1 Site Habitat Baseline'!$D$1:$O$258,11,FALSE)),"",(VLOOKUP($E25,'A-1 Site Habitat Baseline'!$D$1:$O$258,11,FALSE))))</f>
        <v/>
      </c>
      <c r="M25" s="343" t="str">
        <f>IF(E25="","",IF(ISNA(VLOOKUP($E25,'A-1 Site Habitat Baseline'!$D$1:$O$258,12,FALSE)),"",(VLOOKUP($E25,'A-1 Site Habitat Baseline'!$D$1:$O$258,12,FALSE))))</f>
        <v/>
      </c>
      <c r="N25" s="344" t="str">
        <f>IF(E25="","",IF(ISNA(VLOOKUP($E25,'A-1 Site Habitat Baseline'!$D$1:$X$258,14,FALSE)),"",(VLOOKUP($E25,'A-1 Site Habitat Baseline'!$D$1:$X$258,14,FALSE))))</f>
        <v/>
      </c>
      <c r="O25" s="345" t="str">
        <f>IF(E25="","",IF(ISNA(VLOOKUP($E25,'A-1 Site Habitat Baseline'!$D$1:$X$258,16,FALSE)),"",(VLOOKUP($E25,'A-1 Site Habitat Baseline'!$D$1:$X$258,13,FALSE))))</f>
        <v/>
      </c>
      <c r="P25" s="346" t="str">
        <f>IFERROR(INDEX('G-1 All Habitats'!$AG$3:$AG$15,MATCH(Q25,'G-1 All Habitats'!$AF$3:$AF$15,0)),"")</f>
        <v/>
      </c>
      <c r="Q25" s="347"/>
      <c r="R25" s="347"/>
      <c r="S25" s="605" t="str">
        <f>IFERROR(INDEX('G-1 All Habitats'!$B$3:$B$130,MATCH(R25,'G-1 All Habitats'!$A$3:$A$130,0)),"")</f>
        <v/>
      </c>
      <c r="T25" s="77" t="str">
        <f t="shared" si="9"/>
        <v/>
      </c>
      <c r="U25" s="78" t="str">
        <f t="shared" si="2"/>
        <v/>
      </c>
      <c r="V25" s="350" t="str">
        <f t="shared" si="3"/>
        <v/>
      </c>
      <c r="W25" s="343" t="str">
        <f>IF(S25="","",VLOOKUP(S25,'G-1 All Habitats'!$B$2:$M$130,10,FALSE))</f>
        <v/>
      </c>
      <c r="X25" s="343" t="str">
        <f>IFERROR(VLOOKUP(W25,'G-1 All Habitats'!$V$3:$W$7,2,FALSE),"")</f>
        <v/>
      </c>
      <c r="Y25" s="91"/>
      <c r="Z25" s="345" t="str">
        <f>IFERROR(INDEX('G-8 Condition Look up'!$A$3:$H$131,MATCH(S25,'G-8 Condition Look up'!$A$3:$A$131,0),MATCH(Y25,'G-8 Condition Look up'!$A$3:$H$3,0)),"")</f>
        <v/>
      </c>
      <c r="AA25" s="79"/>
      <c r="AB25" s="343" t="str">
        <f>IF(AA25="","",IF(VLOOKUP(AA25,'G-3 Multipliers'!$L$3:$N$6,2,FALSE)=0,"Spatial Data Missing",VLOOKUP(AA25,'G-3 Multipliers'!$L$3:$N$6,2,FALSE)))</f>
        <v/>
      </c>
      <c r="AC25" s="345" t="str">
        <f>IF(AA25="","",IF(VLOOKUP(AA25,'G-3 Multipliers'!$L$3:$N$6,3,FALSE)=0,"Spatial Data Missing",VLOOKUP(AA25,'G-3 Multipliers'!$L$3:$N$6,3,FALSE)))</f>
        <v/>
      </c>
      <c r="AD25" s="351" t="str">
        <f t="shared" si="0"/>
        <v/>
      </c>
      <c r="AE25" s="94"/>
      <c r="AF25" s="94"/>
      <c r="AG25" s="343" t="str">
        <f t="shared" si="4"/>
        <v/>
      </c>
      <c r="AH25" s="591" t="str">
        <f t="shared" si="5"/>
        <v/>
      </c>
      <c r="AI25" s="353" t="str">
        <f>IF(AH25="Check Data","Check Data",IFERROR(VLOOKUP(AH25,'G-4 Temporal multipliers'!$A$4:$C$36,3,FALSE),""))</f>
        <v/>
      </c>
      <c r="AJ25" s="77" t="str">
        <f>IF(S25="","",VLOOKUP(S25,'G-3 Multipliers'!$A$2:$E$130,4,FALSE))</f>
        <v/>
      </c>
      <c r="AK25" s="348" t="str">
        <f t="shared" si="6"/>
        <v/>
      </c>
      <c r="AL25" s="348" t="str">
        <f t="shared" si="7"/>
        <v/>
      </c>
      <c r="AM25" s="607" t="str">
        <f>IFERROR(IF(F25="","",IF(AH25="Check Data","Check Data",VLOOKUP(AL25, 'G-3 Multipliers'!$P$2:$Q$6,2,FALSE))),””)</f>
        <v/>
      </c>
      <c r="AN25" s="81" t="str">
        <f t="shared" si="8"/>
        <v/>
      </c>
      <c r="AO25" s="355"/>
      <c r="AP25" s="356"/>
    </row>
    <row r="26" spans="1:42" x14ac:dyDescent="0.25">
      <c r="A26" s="52" t="str">
        <f>IF(E26="","",IF(ISNA(VLOOKUP($E26,'A-1 Site Habitat Baseline'!$D$1:$O$258,2,FALSE)),"",(VLOOKUP($E26,'A-1 Site Habitat Baseline'!$D$1:$O$258,2,FALSE))))</f>
        <v/>
      </c>
      <c r="B26" s="52" t="str">
        <f>IF(E26="","",IF(ISNA(VLOOKUP($E26,'A-1 Site Habitat Baseline'!$D$1:$O$258,3,FALSE)),"",(VLOOKUP($E26,'A-1 Site Habitat Baseline'!$D$1:$O$258,3,FALSE))))</f>
        <v/>
      </c>
      <c r="C26" s="52" t="str">
        <f>IFERROR(INDEX('G-8 Condition Look up'!$I$4:$I$131,MATCH(S26,'G-8 Condition Look up'!$A$4:$A$131,0)),"")</f>
        <v/>
      </c>
      <c r="E26" s="342" t="str">
        <f>'A-1 Site Habitat Baseline'!AL25</f>
        <v/>
      </c>
      <c r="F26" s="343" t="str">
        <f>IF(E26="","",IF(ISNA(VLOOKUP($E26,'A-1 Site Habitat Baseline'!$D$1:$O$258,4,FALSE)),"",(VLOOKUP($E26,'A-1 Site Habitat Baseline'!$D$1:$O$258,4,FALSE))))</f>
        <v/>
      </c>
      <c r="G26" s="343" t="str">
        <f>IF(E26="","",IF(ISNA(VLOOKUP($E26,'A-1 Site Habitat Baseline'!$D$1:$O$258,5,FALSE)),"",(VLOOKUP($E26,'A-1 Site Habitat Baseline'!$D$1:$O$258,5,FALSE))))</f>
        <v/>
      </c>
      <c r="H26" s="343" t="str">
        <f>IF(E26="","",IF(ISNA(VLOOKUP($E26,'A-1 Site Habitat Baseline'!$D$1:$O$258,6,FALSE)),"",(VLOOKUP($E26,'A-1 Site Habitat Baseline'!$D$1:$O$258,6,FALSE))))</f>
        <v/>
      </c>
      <c r="I26" s="343" t="str">
        <f>IF(E26="","",IF(ISNA(VLOOKUP($E26,'A-1 Site Habitat Baseline'!$D$1:$O$258,7,FALSE)),"",(VLOOKUP($E26,'A-1 Site Habitat Baseline'!$D$1:$O$258,7,FALSE))))</f>
        <v/>
      </c>
      <c r="J26" s="343" t="str">
        <f>IF(E26="","",IF(ISNA(VLOOKUP($E26,'A-1 Site Habitat Baseline'!$D$1:$O$258,8,FALSE)),"",(VLOOKUP($E26,'A-1 Site Habitat Baseline'!$D$1:$O$258,8,FALSE))))</f>
        <v/>
      </c>
      <c r="K26" s="343" t="str">
        <f>IF(E26="","",IF(ISNA(VLOOKUP($E26,'A-1 Site Habitat Baseline'!$D$1:$O$258,9,FALSE)),"",(VLOOKUP($E26,'A-1 Site Habitat Baseline'!$D$1:$O$258,9,FALSE))))</f>
        <v/>
      </c>
      <c r="L26" s="343" t="str">
        <f>IF(E26="","",IF(ISNA(VLOOKUP($E26,'A-1 Site Habitat Baseline'!$D$1:$O$258,11,FALSE)),"",(VLOOKUP($E26,'A-1 Site Habitat Baseline'!$D$1:$O$258,11,FALSE))))</f>
        <v/>
      </c>
      <c r="M26" s="343" t="str">
        <f>IF(E26="","",IF(ISNA(VLOOKUP($E26,'A-1 Site Habitat Baseline'!$D$1:$O$258,12,FALSE)),"",(VLOOKUP($E26,'A-1 Site Habitat Baseline'!$D$1:$O$258,12,FALSE))))</f>
        <v/>
      </c>
      <c r="N26" s="344" t="str">
        <f>IF(E26="","",IF(ISNA(VLOOKUP($E26,'A-1 Site Habitat Baseline'!$D$1:$X$258,14,FALSE)),"",(VLOOKUP($E26,'A-1 Site Habitat Baseline'!$D$1:$X$258,14,FALSE))))</f>
        <v/>
      </c>
      <c r="O26" s="345" t="str">
        <f>IF(E26="","",IF(ISNA(VLOOKUP($E26,'A-1 Site Habitat Baseline'!$D$1:$X$258,16,FALSE)),"",(VLOOKUP($E26,'A-1 Site Habitat Baseline'!$D$1:$X$258,13,FALSE))))</f>
        <v/>
      </c>
      <c r="P26" s="346" t="str">
        <f>IFERROR(INDEX('G-1 All Habitats'!$AG$3:$AG$15,MATCH(Q26,'G-1 All Habitats'!$AF$3:$AF$15,0)),"")</f>
        <v/>
      </c>
      <c r="Q26" s="347"/>
      <c r="R26" s="347"/>
      <c r="S26" s="605" t="str">
        <f>IFERROR(INDEX('G-1 All Habitats'!$B$3:$B$130,MATCH(R26,'G-1 All Habitats'!$A$3:$A$130,0)),"")</f>
        <v/>
      </c>
      <c r="T26" s="77" t="str">
        <f t="shared" si="9"/>
        <v/>
      </c>
      <c r="U26" s="78" t="str">
        <f t="shared" si="2"/>
        <v/>
      </c>
      <c r="V26" s="350" t="str">
        <f t="shared" si="3"/>
        <v/>
      </c>
      <c r="W26" s="343" t="str">
        <f>IF(S26="","",VLOOKUP(S26,'G-1 All Habitats'!$B$2:$M$130,10,FALSE))</f>
        <v/>
      </c>
      <c r="X26" s="343" t="str">
        <f>IFERROR(VLOOKUP(W26,'G-1 All Habitats'!$V$3:$W$7,2,FALSE),"")</f>
        <v/>
      </c>
      <c r="Y26" s="91"/>
      <c r="Z26" s="345" t="str">
        <f>IFERROR(INDEX('G-8 Condition Look up'!$A$3:$H$131,MATCH(S26,'G-8 Condition Look up'!$A$3:$A$131,0),MATCH(Y26,'G-8 Condition Look up'!$A$3:$H$3,0)),"")</f>
        <v/>
      </c>
      <c r="AA26" s="79"/>
      <c r="AB26" s="343" t="str">
        <f>IF(AA26="","",IF(VLOOKUP(AA26,'G-3 Multipliers'!$L$3:$N$6,2,FALSE)=0,"Spatial Data Missing",VLOOKUP(AA26,'G-3 Multipliers'!$L$3:$N$6,2,FALSE)))</f>
        <v/>
      </c>
      <c r="AC26" s="345" t="str">
        <f>IF(AA26="","",IF(VLOOKUP(AA26,'G-3 Multipliers'!$L$3:$N$6,3,FALSE)=0,"Spatial Data Missing",VLOOKUP(AA26,'G-3 Multipliers'!$L$3:$N$6,3,FALSE)))</f>
        <v/>
      </c>
      <c r="AD26" s="351" t="str">
        <f t="shared" si="0"/>
        <v/>
      </c>
      <c r="AE26" s="94"/>
      <c r="AF26" s="94"/>
      <c r="AG26" s="343" t="str">
        <f t="shared" si="4"/>
        <v/>
      </c>
      <c r="AH26" s="591" t="str">
        <f t="shared" si="5"/>
        <v/>
      </c>
      <c r="AI26" s="353" t="str">
        <f>IF(AH26="Check Data","Check Data",IFERROR(VLOOKUP(AH26,'G-4 Temporal multipliers'!$A$4:$C$36,3,FALSE),""))</f>
        <v/>
      </c>
      <c r="AJ26" s="77" t="str">
        <f>IF(S26="","",VLOOKUP(S26,'G-3 Multipliers'!$A$2:$E$130,4,FALSE))</f>
        <v/>
      </c>
      <c r="AK26" s="348" t="str">
        <f t="shared" si="6"/>
        <v/>
      </c>
      <c r="AL26" s="348" t="str">
        <f t="shared" si="7"/>
        <v/>
      </c>
      <c r="AM26" s="607" t="str">
        <f>IFERROR(IF(F26="","",IF(AH26="Check Data","Check Data",VLOOKUP(AL26, 'G-3 Multipliers'!$P$2:$Q$6,2,FALSE))),””)</f>
        <v/>
      </c>
      <c r="AN26" s="81" t="str">
        <f t="shared" si="8"/>
        <v/>
      </c>
      <c r="AO26" s="355"/>
      <c r="AP26" s="356"/>
    </row>
    <row r="27" spans="1:42" x14ac:dyDescent="0.25">
      <c r="A27" s="52" t="str">
        <f>IF(E27="","",IF(ISNA(VLOOKUP($E27,'A-1 Site Habitat Baseline'!$D$1:$O$258,2,FALSE)),"",(VLOOKUP($E27,'A-1 Site Habitat Baseline'!$D$1:$O$258,2,FALSE))))</f>
        <v/>
      </c>
      <c r="B27" s="52" t="str">
        <f>IF(E27="","",IF(ISNA(VLOOKUP($E27,'A-1 Site Habitat Baseline'!$D$1:$O$258,3,FALSE)),"",(VLOOKUP($E27,'A-1 Site Habitat Baseline'!$D$1:$O$258,3,FALSE))))</f>
        <v/>
      </c>
      <c r="C27" s="52" t="str">
        <f>IFERROR(INDEX('G-8 Condition Look up'!$I$4:$I$131,MATCH(S27,'G-8 Condition Look up'!$A$4:$A$131,0)),"")</f>
        <v/>
      </c>
      <c r="E27" s="342" t="str">
        <f>'A-1 Site Habitat Baseline'!AL26</f>
        <v/>
      </c>
      <c r="F27" s="343" t="str">
        <f>IF(E27="","",IF(ISNA(VLOOKUP($E27,'A-1 Site Habitat Baseline'!$D$1:$O$258,4,FALSE)),"",(VLOOKUP($E27,'A-1 Site Habitat Baseline'!$D$1:$O$258,4,FALSE))))</f>
        <v/>
      </c>
      <c r="G27" s="343" t="str">
        <f>IF(E27="","",IF(ISNA(VLOOKUP($E27,'A-1 Site Habitat Baseline'!$D$1:$O$258,5,FALSE)),"",(VLOOKUP($E27,'A-1 Site Habitat Baseline'!$D$1:$O$258,5,FALSE))))</f>
        <v/>
      </c>
      <c r="H27" s="343" t="str">
        <f>IF(E27="","",IF(ISNA(VLOOKUP($E27,'A-1 Site Habitat Baseline'!$D$1:$O$258,6,FALSE)),"",(VLOOKUP($E27,'A-1 Site Habitat Baseline'!$D$1:$O$258,6,FALSE))))</f>
        <v/>
      </c>
      <c r="I27" s="343" t="str">
        <f>IF(E27="","",IF(ISNA(VLOOKUP($E27,'A-1 Site Habitat Baseline'!$D$1:$O$258,7,FALSE)),"",(VLOOKUP($E27,'A-1 Site Habitat Baseline'!$D$1:$O$258,7,FALSE))))</f>
        <v/>
      </c>
      <c r="J27" s="343" t="str">
        <f>IF(E27="","",IF(ISNA(VLOOKUP($E27,'A-1 Site Habitat Baseline'!$D$1:$O$258,8,FALSE)),"",(VLOOKUP($E27,'A-1 Site Habitat Baseline'!$D$1:$O$258,8,FALSE))))</f>
        <v/>
      </c>
      <c r="K27" s="343" t="str">
        <f>IF(E27="","",IF(ISNA(VLOOKUP($E27,'A-1 Site Habitat Baseline'!$D$1:$O$258,9,FALSE)),"",(VLOOKUP($E27,'A-1 Site Habitat Baseline'!$D$1:$O$258,9,FALSE))))</f>
        <v/>
      </c>
      <c r="L27" s="343" t="str">
        <f>IF(E27="","",IF(ISNA(VLOOKUP($E27,'A-1 Site Habitat Baseline'!$D$1:$O$258,11,FALSE)),"",(VLOOKUP($E27,'A-1 Site Habitat Baseline'!$D$1:$O$258,11,FALSE))))</f>
        <v/>
      </c>
      <c r="M27" s="343" t="str">
        <f>IF(E27="","",IF(ISNA(VLOOKUP($E27,'A-1 Site Habitat Baseline'!$D$1:$O$258,12,FALSE)),"",(VLOOKUP($E27,'A-1 Site Habitat Baseline'!$D$1:$O$258,12,FALSE))))</f>
        <v/>
      </c>
      <c r="N27" s="344" t="str">
        <f>IF(E27="","",IF(ISNA(VLOOKUP($E27,'A-1 Site Habitat Baseline'!$D$1:$X$258,14,FALSE)),"",(VLOOKUP($E27,'A-1 Site Habitat Baseline'!$D$1:$X$258,14,FALSE))))</f>
        <v/>
      </c>
      <c r="O27" s="345" t="str">
        <f>IF(E27="","",IF(ISNA(VLOOKUP($E27,'A-1 Site Habitat Baseline'!$D$1:$X$258,16,FALSE)),"",(VLOOKUP($E27,'A-1 Site Habitat Baseline'!$D$1:$X$258,13,FALSE))))</f>
        <v/>
      </c>
      <c r="P27" s="346" t="str">
        <f>IFERROR(INDEX('G-1 All Habitats'!$AG$3:$AG$15,MATCH(Q27,'G-1 All Habitats'!$AF$3:$AF$15,0)),"")</f>
        <v/>
      </c>
      <c r="Q27" s="347"/>
      <c r="R27" s="347"/>
      <c r="S27" s="605" t="str">
        <f>IFERROR(INDEX('G-1 All Habitats'!$B$3:$B$130,MATCH(R27,'G-1 All Habitats'!$A$3:$A$130,0)),"")</f>
        <v/>
      </c>
      <c r="T27" s="77" t="str">
        <f t="shared" si="9"/>
        <v/>
      </c>
      <c r="U27" s="78" t="str">
        <f t="shared" si="2"/>
        <v/>
      </c>
      <c r="V27" s="350" t="str">
        <f t="shared" si="3"/>
        <v/>
      </c>
      <c r="W27" s="343" t="str">
        <f>IF(S27="","",VLOOKUP(S27,'G-1 All Habitats'!$B$2:$M$130,10,FALSE))</f>
        <v/>
      </c>
      <c r="X27" s="343" t="str">
        <f>IFERROR(VLOOKUP(W27,'G-1 All Habitats'!$V$3:$W$7,2,FALSE),"")</f>
        <v/>
      </c>
      <c r="Y27" s="91"/>
      <c r="Z27" s="345" t="str">
        <f>IFERROR(INDEX('G-8 Condition Look up'!$A$3:$H$131,MATCH(S27,'G-8 Condition Look up'!$A$3:$A$131,0),MATCH(Y27,'G-8 Condition Look up'!$A$3:$H$3,0)),"")</f>
        <v/>
      </c>
      <c r="AA27" s="79"/>
      <c r="AB27" s="343" t="str">
        <f>IF(AA27="","",IF(VLOOKUP(AA27,'G-3 Multipliers'!$L$3:$N$6,2,FALSE)=0,"Spatial Data Missing",VLOOKUP(AA27,'G-3 Multipliers'!$L$3:$N$6,2,FALSE)))</f>
        <v/>
      </c>
      <c r="AC27" s="345" t="str">
        <f>IF(AA27="","",IF(VLOOKUP(AA27,'G-3 Multipliers'!$L$3:$N$6,3,FALSE)=0,"Spatial Data Missing",VLOOKUP(AA27,'G-3 Multipliers'!$L$3:$N$6,3,FALSE)))</f>
        <v/>
      </c>
      <c r="AD27" s="351" t="str">
        <f t="shared" si="0"/>
        <v/>
      </c>
      <c r="AE27" s="94"/>
      <c r="AF27" s="94"/>
      <c r="AG27" s="343" t="str">
        <f t="shared" si="4"/>
        <v/>
      </c>
      <c r="AH27" s="591" t="str">
        <f t="shared" si="5"/>
        <v/>
      </c>
      <c r="AI27" s="353" t="str">
        <f>IF(AH27="Check Data","Check Data",IFERROR(VLOOKUP(AH27,'G-4 Temporal multipliers'!$A$4:$C$36,3,FALSE),""))</f>
        <v/>
      </c>
      <c r="AJ27" s="77" t="str">
        <f>IF(S27="","",VLOOKUP(S27,'G-3 Multipliers'!$A$2:$E$130,4,FALSE))</f>
        <v/>
      </c>
      <c r="AK27" s="348" t="str">
        <f t="shared" si="6"/>
        <v/>
      </c>
      <c r="AL27" s="348" t="str">
        <f t="shared" si="7"/>
        <v/>
      </c>
      <c r="AM27" s="607" t="str">
        <f>IFERROR(IF(F27="","",IF(AH27="Check Data","Check Data",VLOOKUP(AL27, 'G-3 Multipliers'!$P$2:$Q$6,2,FALSE))),””)</f>
        <v/>
      </c>
      <c r="AN27" s="81" t="str">
        <f t="shared" si="8"/>
        <v/>
      </c>
      <c r="AO27" s="355"/>
      <c r="AP27" s="356"/>
    </row>
    <row r="28" spans="1:42" x14ac:dyDescent="0.25">
      <c r="A28" s="52" t="str">
        <f>IF(E28="","",IF(ISNA(VLOOKUP($E28,'A-1 Site Habitat Baseline'!$D$1:$O$258,2,FALSE)),"",(VLOOKUP($E28,'A-1 Site Habitat Baseline'!$D$1:$O$258,2,FALSE))))</f>
        <v/>
      </c>
      <c r="B28" s="52" t="str">
        <f>IF(E28="","",IF(ISNA(VLOOKUP($E28,'A-1 Site Habitat Baseline'!$D$1:$O$258,3,FALSE)),"",(VLOOKUP($E28,'A-1 Site Habitat Baseline'!$D$1:$O$258,3,FALSE))))</f>
        <v/>
      </c>
      <c r="C28" s="52" t="str">
        <f>IFERROR(INDEX('G-8 Condition Look up'!$I$4:$I$131,MATCH(S28,'G-8 Condition Look up'!$A$4:$A$131,0)),"")</f>
        <v/>
      </c>
      <c r="E28" s="342" t="str">
        <f>'A-1 Site Habitat Baseline'!AL27</f>
        <v/>
      </c>
      <c r="F28" s="343" t="str">
        <f>IF(E28="","",IF(ISNA(VLOOKUP($E28,'A-1 Site Habitat Baseline'!$D$1:$O$258,4,FALSE)),"",(VLOOKUP($E28,'A-1 Site Habitat Baseline'!$D$1:$O$258,4,FALSE))))</f>
        <v/>
      </c>
      <c r="G28" s="343" t="str">
        <f>IF(E28="","",IF(ISNA(VLOOKUP($E28,'A-1 Site Habitat Baseline'!$D$1:$O$258,5,FALSE)),"",(VLOOKUP($E28,'A-1 Site Habitat Baseline'!$D$1:$O$258,5,FALSE))))</f>
        <v/>
      </c>
      <c r="H28" s="343" t="str">
        <f>IF(E28="","",IF(ISNA(VLOOKUP($E28,'A-1 Site Habitat Baseline'!$D$1:$O$258,6,FALSE)),"",(VLOOKUP($E28,'A-1 Site Habitat Baseline'!$D$1:$O$258,6,FALSE))))</f>
        <v/>
      </c>
      <c r="I28" s="343" t="str">
        <f>IF(E28="","",IF(ISNA(VLOOKUP($E28,'A-1 Site Habitat Baseline'!$D$1:$O$258,7,FALSE)),"",(VLOOKUP($E28,'A-1 Site Habitat Baseline'!$D$1:$O$258,7,FALSE))))</f>
        <v/>
      </c>
      <c r="J28" s="343" t="str">
        <f>IF(E28="","",IF(ISNA(VLOOKUP($E28,'A-1 Site Habitat Baseline'!$D$1:$O$258,8,FALSE)),"",(VLOOKUP($E28,'A-1 Site Habitat Baseline'!$D$1:$O$258,8,FALSE))))</f>
        <v/>
      </c>
      <c r="K28" s="343" t="str">
        <f>IF(E28="","",IF(ISNA(VLOOKUP($E28,'A-1 Site Habitat Baseline'!$D$1:$O$258,9,FALSE)),"",(VLOOKUP($E28,'A-1 Site Habitat Baseline'!$D$1:$O$258,9,FALSE))))</f>
        <v/>
      </c>
      <c r="L28" s="343" t="str">
        <f>IF(E28="","",IF(ISNA(VLOOKUP($E28,'A-1 Site Habitat Baseline'!$D$1:$O$258,11,FALSE)),"",(VLOOKUP($E28,'A-1 Site Habitat Baseline'!$D$1:$O$258,11,FALSE))))</f>
        <v/>
      </c>
      <c r="M28" s="343" t="str">
        <f>IF(E28="","",IF(ISNA(VLOOKUP($E28,'A-1 Site Habitat Baseline'!$D$1:$O$258,12,FALSE)),"",(VLOOKUP($E28,'A-1 Site Habitat Baseline'!$D$1:$O$258,12,FALSE))))</f>
        <v/>
      </c>
      <c r="N28" s="344" t="str">
        <f>IF(E28="","",IF(ISNA(VLOOKUP($E28,'A-1 Site Habitat Baseline'!$D$1:$X$258,14,FALSE)),"",(VLOOKUP($E28,'A-1 Site Habitat Baseline'!$D$1:$X$258,14,FALSE))))</f>
        <v/>
      </c>
      <c r="O28" s="345" t="str">
        <f>IF(E28="","",IF(ISNA(VLOOKUP($E28,'A-1 Site Habitat Baseline'!$D$1:$X$258,16,FALSE)),"",(VLOOKUP($E28,'A-1 Site Habitat Baseline'!$D$1:$X$258,13,FALSE))))</f>
        <v/>
      </c>
      <c r="P28" s="346" t="str">
        <f>IFERROR(INDEX('G-1 All Habitats'!$AG$3:$AG$15,MATCH(Q28,'G-1 All Habitats'!$AF$3:$AF$15,0)),"")</f>
        <v/>
      </c>
      <c r="Q28" s="347"/>
      <c r="R28" s="347"/>
      <c r="S28" s="605" t="str">
        <f>IFERROR(INDEX('G-1 All Habitats'!$B$3:$B$130,MATCH(R28,'G-1 All Habitats'!$A$3:$A$130,0)),"")</f>
        <v/>
      </c>
      <c r="T28" s="77" t="str">
        <f t="shared" si="9"/>
        <v/>
      </c>
      <c r="U28" s="78" t="str">
        <f t="shared" si="2"/>
        <v/>
      </c>
      <c r="V28" s="350" t="str">
        <f t="shared" si="3"/>
        <v/>
      </c>
      <c r="W28" s="343" t="str">
        <f>IF(S28="","",VLOOKUP(S28,'G-1 All Habitats'!$B$2:$M$130,10,FALSE))</f>
        <v/>
      </c>
      <c r="X28" s="343" t="str">
        <f>IFERROR(VLOOKUP(W28,'G-1 All Habitats'!$V$3:$W$7,2,FALSE),"")</f>
        <v/>
      </c>
      <c r="Y28" s="91"/>
      <c r="Z28" s="345" t="str">
        <f>IFERROR(INDEX('G-8 Condition Look up'!$A$3:$H$131,MATCH(S28,'G-8 Condition Look up'!$A$3:$A$131,0),MATCH(Y28,'G-8 Condition Look up'!$A$3:$H$3,0)),"")</f>
        <v/>
      </c>
      <c r="AA28" s="79"/>
      <c r="AB28" s="343" t="str">
        <f>IF(AA28="","",IF(VLOOKUP(AA28,'G-3 Multipliers'!$L$3:$N$6,2,FALSE)=0,"Spatial Data Missing",VLOOKUP(AA28,'G-3 Multipliers'!$L$3:$N$6,2,FALSE)))</f>
        <v/>
      </c>
      <c r="AC28" s="345" t="str">
        <f>IF(AA28="","",IF(VLOOKUP(AA28,'G-3 Multipliers'!$L$3:$N$6,3,FALSE)=0,"Spatial Data Missing",VLOOKUP(AA28,'G-3 Multipliers'!$L$3:$N$6,3,FALSE)))</f>
        <v/>
      </c>
      <c r="AD28" s="351" t="str">
        <f t="shared" si="0"/>
        <v/>
      </c>
      <c r="AE28" s="94"/>
      <c r="AF28" s="94"/>
      <c r="AG28" s="343" t="str">
        <f t="shared" si="4"/>
        <v/>
      </c>
      <c r="AH28" s="591" t="str">
        <f t="shared" si="5"/>
        <v/>
      </c>
      <c r="AI28" s="353" t="str">
        <f>IF(AH28="Check Data","Check Data",IFERROR(VLOOKUP(AH28,'G-4 Temporal multipliers'!$A$4:$C$36,3,FALSE),""))</f>
        <v/>
      </c>
      <c r="AJ28" s="77" t="str">
        <f>IF(S28="","",VLOOKUP(S28,'G-3 Multipliers'!$A$2:$E$130,4,FALSE))</f>
        <v/>
      </c>
      <c r="AK28" s="348" t="str">
        <f t="shared" si="6"/>
        <v/>
      </c>
      <c r="AL28" s="348" t="str">
        <f t="shared" si="7"/>
        <v/>
      </c>
      <c r="AM28" s="607" t="str">
        <f>IFERROR(IF(F28="","",IF(AH28="Check Data","Check Data",VLOOKUP(AL28, 'G-3 Multipliers'!$P$2:$Q$6,2,FALSE))),””)</f>
        <v/>
      </c>
      <c r="AN28" s="81" t="str">
        <f t="shared" si="8"/>
        <v/>
      </c>
      <c r="AO28" s="355"/>
      <c r="AP28" s="356"/>
    </row>
    <row r="29" spans="1:42" x14ac:dyDescent="0.25">
      <c r="A29" s="52" t="str">
        <f>IF(E29="","",IF(ISNA(VLOOKUP($E29,'A-1 Site Habitat Baseline'!$D$1:$O$258,2,FALSE)),"",(VLOOKUP($E29,'A-1 Site Habitat Baseline'!$D$1:$O$258,2,FALSE))))</f>
        <v/>
      </c>
      <c r="B29" s="52" t="str">
        <f>IF(E29="","",IF(ISNA(VLOOKUP($E29,'A-1 Site Habitat Baseline'!$D$1:$O$258,3,FALSE)),"",(VLOOKUP($E29,'A-1 Site Habitat Baseline'!$D$1:$O$258,3,FALSE))))</f>
        <v/>
      </c>
      <c r="C29" s="52" t="str">
        <f>IFERROR(INDEX('G-8 Condition Look up'!$I$4:$I$131,MATCH(S29,'G-8 Condition Look up'!$A$4:$A$131,0)),"")</f>
        <v/>
      </c>
      <c r="E29" s="342" t="str">
        <f>'A-1 Site Habitat Baseline'!AL28</f>
        <v/>
      </c>
      <c r="F29" s="343" t="str">
        <f>IF(E29="","",IF(ISNA(VLOOKUP($E29,'A-1 Site Habitat Baseline'!$D$1:$O$258,4,FALSE)),"",(VLOOKUP($E29,'A-1 Site Habitat Baseline'!$D$1:$O$258,4,FALSE))))</f>
        <v/>
      </c>
      <c r="G29" s="343" t="str">
        <f>IF(E29="","",IF(ISNA(VLOOKUP($E29,'A-1 Site Habitat Baseline'!$D$1:$O$258,5,FALSE)),"",(VLOOKUP($E29,'A-1 Site Habitat Baseline'!$D$1:$O$258,5,FALSE))))</f>
        <v/>
      </c>
      <c r="H29" s="343" t="str">
        <f>IF(E29="","",IF(ISNA(VLOOKUP($E29,'A-1 Site Habitat Baseline'!$D$1:$O$258,6,FALSE)),"",(VLOOKUP($E29,'A-1 Site Habitat Baseline'!$D$1:$O$258,6,FALSE))))</f>
        <v/>
      </c>
      <c r="I29" s="343" t="str">
        <f>IF(E29="","",IF(ISNA(VLOOKUP($E29,'A-1 Site Habitat Baseline'!$D$1:$O$258,7,FALSE)),"",(VLOOKUP($E29,'A-1 Site Habitat Baseline'!$D$1:$O$258,7,FALSE))))</f>
        <v/>
      </c>
      <c r="J29" s="343" t="str">
        <f>IF(E29="","",IF(ISNA(VLOOKUP($E29,'A-1 Site Habitat Baseline'!$D$1:$O$258,8,FALSE)),"",(VLOOKUP($E29,'A-1 Site Habitat Baseline'!$D$1:$O$258,8,FALSE))))</f>
        <v/>
      </c>
      <c r="K29" s="343" t="str">
        <f>IF(E29="","",IF(ISNA(VLOOKUP($E29,'A-1 Site Habitat Baseline'!$D$1:$O$258,9,FALSE)),"",(VLOOKUP($E29,'A-1 Site Habitat Baseline'!$D$1:$O$258,9,FALSE))))</f>
        <v/>
      </c>
      <c r="L29" s="343" t="str">
        <f>IF(E29="","",IF(ISNA(VLOOKUP($E29,'A-1 Site Habitat Baseline'!$D$1:$O$258,11,FALSE)),"",(VLOOKUP($E29,'A-1 Site Habitat Baseline'!$D$1:$O$258,11,FALSE))))</f>
        <v/>
      </c>
      <c r="M29" s="343" t="str">
        <f>IF(E29="","",IF(ISNA(VLOOKUP($E29,'A-1 Site Habitat Baseline'!$D$1:$O$258,12,FALSE)),"",(VLOOKUP($E29,'A-1 Site Habitat Baseline'!$D$1:$O$258,12,FALSE))))</f>
        <v/>
      </c>
      <c r="N29" s="344" t="str">
        <f>IF(E29="","",IF(ISNA(VLOOKUP($E29,'A-1 Site Habitat Baseline'!$D$1:$X$258,14,FALSE)),"",(VLOOKUP($E29,'A-1 Site Habitat Baseline'!$D$1:$X$258,14,FALSE))))</f>
        <v/>
      </c>
      <c r="O29" s="345" t="str">
        <f>IF(E29="","",IF(ISNA(VLOOKUP($E29,'A-1 Site Habitat Baseline'!$D$1:$X$258,16,FALSE)),"",(VLOOKUP($E29,'A-1 Site Habitat Baseline'!$D$1:$X$258,13,FALSE))))</f>
        <v/>
      </c>
      <c r="P29" s="346" t="str">
        <f>IFERROR(INDEX('G-1 All Habitats'!$AG$3:$AG$15,MATCH(Q29,'G-1 All Habitats'!$AF$3:$AF$15,0)),"")</f>
        <v/>
      </c>
      <c r="Q29" s="347"/>
      <c r="R29" s="347"/>
      <c r="S29" s="605" t="str">
        <f>IFERROR(INDEX('G-1 All Habitats'!$B$3:$B$130,MATCH(R29,'G-1 All Habitats'!$A$3:$A$130,0)),"")</f>
        <v/>
      </c>
      <c r="T29" s="77" t="str">
        <f t="shared" si="9"/>
        <v/>
      </c>
      <c r="U29" s="78" t="str">
        <f t="shared" si="2"/>
        <v/>
      </c>
      <c r="V29" s="350" t="str">
        <f t="shared" si="3"/>
        <v/>
      </c>
      <c r="W29" s="343" t="str">
        <f>IF(S29="","",VLOOKUP(S29,'G-1 All Habitats'!$B$2:$M$130,10,FALSE))</f>
        <v/>
      </c>
      <c r="X29" s="343" t="str">
        <f>IFERROR(VLOOKUP(W29,'G-1 All Habitats'!$V$3:$W$7,2,FALSE),"")</f>
        <v/>
      </c>
      <c r="Y29" s="91"/>
      <c r="Z29" s="345" t="str">
        <f>IFERROR(INDEX('G-8 Condition Look up'!$A$3:$H$131,MATCH(S29,'G-8 Condition Look up'!$A$3:$A$131,0),MATCH(Y29,'G-8 Condition Look up'!$A$3:$H$3,0)),"")</f>
        <v/>
      </c>
      <c r="AA29" s="79"/>
      <c r="AB29" s="343" t="str">
        <f>IF(AA29="","",IF(VLOOKUP(AA29,'G-3 Multipliers'!$L$3:$N$6,2,FALSE)=0,"Spatial Data Missing",VLOOKUP(AA29,'G-3 Multipliers'!$L$3:$N$6,2,FALSE)))</f>
        <v/>
      </c>
      <c r="AC29" s="345" t="str">
        <f>IF(AA29="","",IF(VLOOKUP(AA29,'G-3 Multipliers'!$L$3:$N$6,3,FALSE)=0,"Spatial Data Missing",VLOOKUP(AA29,'G-3 Multipliers'!$L$3:$N$6,3,FALSE)))</f>
        <v/>
      </c>
      <c r="AD29" s="351" t="str">
        <f t="shared" si="0"/>
        <v/>
      </c>
      <c r="AE29" s="94"/>
      <c r="AF29" s="94"/>
      <c r="AG29" s="343" t="str">
        <f t="shared" si="4"/>
        <v/>
      </c>
      <c r="AH29" s="591" t="str">
        <f t="shared" si="5"/>
        <v/>
      </c>
      <c r="AI29" s="353" t="str">
        <f>IF(AH29="Check Data","Check Data",IFERROR(VLOOKUP(AH29,'G-4 Temporal multipliers'!$A$4:$C$36,3,FALSE),""))</f>
        <v/>
      </c>
      <c r="AJ29" s="77" t="str">
        <f>IF(S29="","",VLOOKUP(S29,'G-3 Multipliers'!$A$2:$E$130,4,FALSE))</f>
        <v/>
      </c>
      <c r="AK29" s="348" t="str">
        <f t="shared" si="6"/>
        <v/>
      </c>
      <c r="AL29" s="348" t="str">
        <f t="shared" si="7"/>
        <v/>
      </c>
      <c r="AM29" s="607" t="str">
        <f>IFERROR(IF(F29="","",IF(AH29="Check Data","Check Data",VLOOKUP(AL29, 'G-3 Multipliers'!$P$2:$Q$6,2,FALSE))),””)</f>
        <v/>
      </c>
      <c r="AN29" s="81" t="str">
        <f t="shared" si="8"/>
        <v/>
      </c>
      <c r="AO29" s="355"/>
      <c r="AP29" s="356"/>
    </row>
    <row r="30" spans="1:42" x14ac:dyDescent="0.25">
      <c r="A30" s="52" t="str">
        <f>IF(E30="","",IF(ISNA(VLOOKUP($E30,'A-1 Site Habitat Baseline'!$D$1:$O$258,2,FALSE)),"",(VLOOKUP($E30,'A-1 Site Habitat Baseline'!$D$1:$O$258,2,FALSE))))</f>
        <v/>
      </c>
      <c r="B30" s="52" t="str">
        <f>IF(E30="","",IF(ISNA(VLOOKUP($E30,'A-1 Site Habitat Baseline'!$D$1:$O$258,3,FALSE)),"",(VLOOKUP($E30,'A-1 Site Habitat Baseline'!$D$1:$O$258,3,FALSE))))</f>
        <v/>
      </c>
      <c r="C30" s="52" t="str">
        <f>IFERROR(INDEX('G-8 Condition Look up'!$I$4:$I$131,MATCH(S30,'G-8 Condition Look up'!$A$4:$A$131,0)),"")</f>
        <v/>
      </c>
      <c r="E30" s="342" t="str">
        <f>'A-1 Site Habitat Baseline'!AL29</f>
        <v/>
      </c>
      <c r="F30" s="343" t="str">
        <f>IF(E30="","",IF(ISNA(VLOOKUP($E30,'A-1 Site Habitat Baseline'!$D$1:$O$258,4,FALSE)),"",(VLOOKUP($E30,'A-1 Site Habitat Baseline'!$D$1:$O$258,4,FALSE))))</f>
        <v/>
      </c>
      <c r="G30" s="343" t="str">
        <f>IF(E30="","",IF(ISNA(VLOOKUP($E30,'A-1 Site Habitat Baseline'!$D$1:$O$258,5,FALSE)),"",(VLOOKUP($E30,'A-1 Site Habitat Baseline'!$D$1:$O$258,5,FALSE))))</f>
        <v/>
      </c>
      <c r="H30" s="343" t="str">
        <f>IF(E30="","",IF(ISNA(VLOOKUP($E30,'A-1 Site Habitat Baseline'!$D$1:$O$258,6,FALSE)),"",(VLOOKUP($E30,'A-1 Site Habitat Baseline'!$D$1:$O$258,6,FALSE))))</f>
        <v/>
      </c>
      <c r="I30" s="343" t="str">
        <f>IF(E30="","",IF(ISNA(VLOOKUP($E30,'A-1 Site Habitat Baseline'!$D$1:$O$258,7,FALSE)),"",(VLOOKUP($E30,'A-1 Site Habitat Baseline'!$D$1:$O$258,7,FALSE))))</f>
        <v/>
      </c>
      <c r="J30" s="343" t="str">
        <f>IF(E30="","",IF(ISNA(VLOOKUP($E30,'A-1 Site Habitat Baseline'!$D$1:$O$258,8,FALSE)),"",(VLOOKUP($E30,'A-1 Site Habitat Baseline'!$D$1:$O$258,8,FALSE))))</f>
        <v/>
      </c>
      <c r="K30" s="343" t="str">
        <f>IF(E30="","",IF(ISNA(VLOOKUP($E30,'A-1 Site Habitat Baseline'!$D$1:$O$258,9,FALSE)),"",(VLOOKUP($E30,'A-1 Site Habitat Baseline'!$D$1:$O$258,9,FALSE))))</f>
        <v/>
      </c>
      <c r="L30" s="343" t="str">
        <f>IF(E30="","",IF(ISNA(VLOOKUP($E30,'A-1 Site Habitat Baseline'!$D$1:$O$258,11,FALSE)),"",(VLOOKUP($E30,'A-1 Site Habitat Baseline'!$D$1:$O$258,11,FALSE))))</f>
        <v/>
      </c>
      <c r="M30" s="343" t="str">
        <f>IF(E30="","",IF(ISNA(VLOOKUP($E30,'A-1 Site Habitat Baseline'!$D$1:$O$258,12,FALSE)),"",(VLOOKUP($E30,'A-1 Site Habitat Baseline'!$D$1:$O$258,12,FALSE))))</f>
        <v/>
      </c>
      <c r="N30" s="344" t="str">
        <f>IF(E30="","",IF(ISNA(VLOOKUP($E30,'A-1 Site Habitat Baseline'!$D$1:$X$258,14,FALSE)),"",(VLOOKUP($E30,'A-1 Site Habitat Baseline'!$D$1:$X$258,14,FALSE))))</f>
        <v/>
      </c>
      <c r="O30" s="345" t="str">
        <f>IF(E30="","",IF(ISNA(VLOOKUP($E30,'A-1 Site Habitat Baseline'!$D$1:$X$258,16,FALSE)),"",(VLOOKUP($E30,'A-1 Site Habitat Baseline'!$D$1:$X$258,13,FALSE))))</f>
        <v/>
      </c>
      <c r="P30" s="346" t="str">
        <f>IFERROR(INDEX('G-1 All Habitats'!$AG$3:$AG$15,MATCH(Q30,'G-1 All Habitats'!$AF$3:$AF$15,0)),"")</f>
        <v/>
      </c>
      <c r="Q30" s="347"/>
      <c r="R30" s="347"/>
      <c r="S30" s="605" t="str">
        <f>IFERROR(INDEX('G-1 All Habitats'!$B$3:$B$130,MATCH(R30,'G-1 All Habitats'!$A$3:$A$130,0)),"")</f>
        <v/>
      </c>
      <c r="T30" s="77" t="str">
        <f t="shared" si="9"/>
        <v/>
      </c>
      <c r="U30" s="78" t="str">
        <f t="shared" si="2"/>
        <v/>
      </c>
      <c r="V30" s="350" t="str">
        <f t="shared" si="3"/>
        <v/>
      </c>
      <c r="W30" s="343" t="str">
        <f>IF(S30="","",VLOOKUP(S30,'G-1 All Habitats'!$B$2:$M$130,10,FALSE))</f>
        <v/>
      </c>
      <c r="X30" s="343" t="str">
        <f>IFERROR(VLOOKUP(W30,'G-1 All Habitats'!$V$3:$W$7,2,FALSE),"")</f>
        <v/>
      </c>
      <c r="Y30" s="91"/>
      <c r="Z30" s="345" t="str">
        <f>IFERROR(INDEX('G-8 Condition Look up'!$A$3:$H$131,MATCH(S30,'G-8 Condition Look up'!$A$3:$A$131,0),MATCH(Y30,'G-8 Condition Look up'!$A$3:$H$3,0)),"")</f>
        <v/>
      </c>
      <c r="AA30" s="79"/>
      <c r="AB30" s="343" t="str">
        <f>IF(AA30="","",IF(VLOOKUP(AA30,'G-3 Multipliers'!$L$3:$N$6,2,FALSE)=0,"Spatial Data Missing",VLOOKUP(AA30,'G-3 Multipliers'!$L$3:$N$6,2,FALSE)))</f>
        <v/>
      </c>
      <c r="AC30" s="345" t="str">
        <f>IF(AA30="","",IF(VLOOKUP(AA30,'G-3 Multipliers'!$L$3:$N$6,3,FALSE)=0,"Spatial Data Missing",VLOOKUP(AA30,'G-3 Multipliers'!$L$3:$N$6,3,FALSE)))</f>
        <v/>
      </c>
      <c r="AD30" s="351" t="str">
        <f t="shared" si="0"/>
        <v/>
      </c>
      <c r="AE30" s="94"/>
      <c r="AF30" s="94"/>
      <c r="AG30" s="343" t="str">
        <f t="shared" si="4"/>
        <v/>
      </c>
      <c r="AH30" s="591" t="str">
        <f t="shared" si="5"/>
        <v/>
      </c>
      <c r="AI30" s="353" t="str">
        <f>IF(AH30="Check Data","Check Data",IFERROR(VLOOKUP(AH30,'G-4 Temporal multipliers'!$A$4:$C$36,3,FALSE),""))</f>
        <v/>
      </c>
      <c r="AJ30" s="77" t="str">
        <f>IF(S30="","",VLOOKUP(S30,'G-3 Multipliers'!$A$2:$E$130,4,FALSE))</f>
        <v/>
      </c>
      <c r="AK30" s="348" t="str">
        <f t="shared" si="6"/>
        <v/>
      </c>
      <c r="AL30" s="348" t="str">
        <f t="shared" si="7"/>
        <v/>
      </c>
      <c r="AM30" s="607" t="str">
        <f>IFERROR(IF(F30="","",IF(AH30="Check Data","Check Data",VLOOKUP(AL30, 'G-3 Multipliers'!$P$2:$Q$6,2,FALSE))),””)</f>
        <v/>
      </c>
      <c r="AN30" s="81" t="str">
        <f t="shared" si="8"/>
        <v/>
      </c>
      <c r="AO30" s="355"/>
      <c r="AP30" s="356"/>
    </row>
    <row r="31" spans="1:42" x14ac:dyDescent="0.25">
      <c r="A31" s="52" t="str">
        <f>IF(E31="","",IF(ISNA(VLOOKUP($E31,'A-1 Site Habitat Baseline'!$D$1:$O$258,2,FALSE)),"",(VLOOKUP($E31,'A-1 Site Habitat Baseline'!$D$1:$O$258,2,FALSE))))</f>
        <v/>
      </c>
      <c r="B31" s="52" t="str">
        <f>IF(E31="","",IF(ISNA(VLOOKUP($E31,'A-1 Site Habitat Baseline'!$D$1:$O$258,3,FALSE)),"",(VLOOKUP($E31,'A-1 Site Habitat Baseline'!$D$1:$O$258,3,FALSE))))</f>
        <v/>
      </c>
      <c r="C31" s="52" t="str">
        <f>IFERROR(INDEX('G-8 Condition Look up'!$I$4:$I$131,MATCH(S31,'G-8 Condition Look up'!$A$4:$A$131,0)),"")</f>
        <v/>
      </c>
      <c r="E31" s="342" t="str">
        <f>'A-1 Site Habitat Baseline'!AL30</f>
        <v/>
      </c>
      <c r="F31" s="343" t="str">
        <f>IF(E31="","",IF(ISNA(VLOOKUP($E31,'A-1 Site Habitat Baseline'!$D$1:$O$258,4,FALSE)),"",(VLOOKUP($E31,'A-1 Site Habitat Baseline'!$D$1:$O$258,4,FALSE))))</f>
        <v/>
      </c>
      <c r="G31" s="343" t="str">
        <f>IF(E31="","",IF(ISNA(VLOOKUP($E31,'A-1 Site Habitat Baseline'!$D$1:$O$258,5,FALSE)),"",(VLOOKUP($E31,'A-1 Site Habitat Baseline'!$D$1:$O$258,5,FALSE))))</f>
        <v/>
      </c>
      <c r="H31" s="343" t="str">
        <f>IF(E31="","",IF(ISNA(VLOOKUP($E31,'A-1 Site Habitat Baseline'!$D$1:$O$258,6,FALSE)),"",(VLOOKUP($E31,'A-1 Site Habitat Baseline'!$D$1:$O$258,6,FALSE))))</f>
        <v/>
      </c>
      <c r="I31" s="343" t="str">
        <f>IF(E31="","",IF(ISNA(VLOOKUP($E31,'A-1 Site Habitat Baseline'!$D$1:$O$258,7,FALSE)),"",(VLOOKUP($E31,'A-1 Site Habitat Baseline'!$D$1:$O$258,7,FALSE))))</f>
        <v/>
      </c>
      <c r="J31" s="343" t="str">
        <f>IF(E31="","",IF(ISNA(VLOOKUP($E31,'A-1 Site Habitat Baseline'!$D$1:$O$258,8,FALSE)),"",(VLOOKUP($E31,'A-1 Site Habitat Baseline'!$D$1:$O$258,8,FALSE))))</f>
        <v/>
      </c>
      <c r="K31" s="343" t="str">
        <f>IF(E31="","",IF(ISNA(VLOOKUP($E31,'A-1 Site Habitat Baseline'!$D$1:$O$258,9,FALSE)),"",(VLOOKUP($E31,'A-1 Site Habitat Baseline'!$D$1:$O$258,9,FALSE))))</f>
        <v/>
      </c>
      <c r="L31" s="343" t="str">
        <f>IF(E31="","",IF(ISNA(VLOOKUP($E31,'A-1 Site Habitat Baseline'!$D$1:$O$258,11,FALSE)),"",(VLOOKUP($E31,'A-1 Site Habitat Baseline'!$D$1:$O$258,11,FALSE))))</f>
        <v/>
      </c>
      <c r="M31" s="343" t="str">
        <f>IF(E31="","",IF(ISNA(VLOOKUP($E31,'A-1 Site Habitat Baseline'!$D$1:$O$258,12,FALSE)),"",(VLOOKUP($E31,'A-1 Site Habitat Baseline'!$D$1:$O$258,12,FALSE))))</f>
        <v/>
      </c>
      <c r="N31" s="344" t="str">
        <f>IF(E31="","",IF(ISNA(VLOOKUP($E31,'A-1 Site Habitat Baseline'!$D$1:$X$258,14,FALSE)),"",(VLOOKUP($E31,'A-1 Site Habitat Baseline'!$D$1:$X$258,14,FALSE))))</f>
        <v/>
      </c>
      <c r="O31" s="345" t="str">
        <f>IF(E31="","",IF(ISNA(VLOOKUP($E31,'A-1 Site Habitat Baseline'!$D$1:$X$258,16,FALSE)),"",(VLOOKUP($E31,'A-1 Site Habitat Baseline'!$D$1:$X$258,13,FALSE))))</f>
        <v/>
      </c>
      <c r="P31" s="346" t="str">
        <f>IFERROR(INDEX('G-1 All Habitats'!$AG$3:$AG$15,MATCH(Q31,'G-1 All Habitats'!$AF$3:$AF$15,0)),"")</f>
        <v/>
      </c>
      <c r="Q31" s="347"/>
      <c r="R31" s="347"/>
      <c r="S31" s="605" t="str">
        <f>IFERROR(INDEX('G-1 All Habitats'!$B$3:$B$130,MATCH(R31,'G-1 All Habitats'!$A$3:$A$130,0)),"")</f>
        <v/>
      </c>
      <c r="T31" s="77" t="str">
        <f t="shared" si="9"/>
        <v/>
      </c>
      <c r="U31" s="78" t="str">
        <f t="shared" si="2"/>
        <v/>
      </c>
      <c r="V31" s="350" t="str">
        <f t="shared" si="3"/>
        <v/>
      </c>
      <c r="W31" s="343" t="str">
        <f>IF(S31="","",VLOOKUP(S31,'G-1 All Habitats'!$B$2:$M$130,10,FALSE))</f>
        <v/>
      </c>
      <c r="X31" s="343" t="str">
        <f>IFERROR(VLOOKUP(W31,'G-1 All Habitats'!$V$3:$W$7,2,FALSE),"")</f>
        <v/>
      </c>
      <c r="Y31" s="91"/>
      <c r="Z31" s="345" t="str">
        <f>IFERROR(INDEX('G-8 Condition Look up'!$A$3:$H$131,MATCH(S31,'G-8 Condition Look up'!$A$3:$A$131,0),MATCH(Y31,'G-8 Condition Look up'!$A$3:$H$3,0)),"")</f>
        <v/>
      </c>
      <c r="AA31" s="79"/>
      <c r="AB31" s="343" t="str">
        <f>IF(AA31="","",IF(VLOOKUP(AA31,'G-3 Multipliers'!$L$3:$N$6,2,FALSE)=0,"Spatial Data Missing",VLOOKUP(AA31,'G-3 Multipliers'!$L$3:$N$6,2,FALSE)))</f>
        <v/>
      </c>
      <c r="AC31" s="345" t="str">
        <f>IF(AA31="","",IF(VLOOKUP(AA31,'G-3 Multipliers'!$L$3:$N$6,3,FALSE)=0,"Spatial Data Missing",VLOOKUP(AA31,'G-3 Multipliers'!$L$3:$N$6,3,FALSE)))</f>
        <v/>
      </c>
      <c r="AD31" s="351" t="str">
        <f t="shared" si="0"/>
        <v/>
      </c>
      <c r="AE31" s="94"/>
      <c r="AF31" s="94"/>
      <c r="AG31" s="343" t="str">
        <f t="shared" si="4"/>
        <v/>
      </c>
      <c r="AH31" s="591" t="str">
        <f t="shared" si="5"/>
        <v/>
      </c>
      <c r="AI31" s="353" t="str">
        <f>IF(AH31="Check Data","Check Data",IFERROR(VLOOKUP(AH31,'G-4 Temporal multipliers'!$A$4:$C$36,3,FALSE),""))</f>
        <v/>
      </c>
      <c r="AJ31" s="77" t="str">
        <f>IF(S31="","",VLOOKUP(S31,'G-3 Multipliers'!$A$2:$E$130,4,FALSE))</f>
        <v/>
      </c>
      <c r="AK31" s="348" t="str">
        <f t="shared" si="6"/>
        <v/>
      </c>
      <c r="AL31" s="348" t="str">
        <f t="shared" si="7"/>
        <v/>
      </c>
      <c r="AM31" s="607" t="str">
        <f>IFERROR(IF(F31="","",IF(AH31="Check Data","Check Data",VLOOKUP(AL31, 'G-3 Multipliers'!$P$2:$Q$6,2,FALSE))),””)</f>
        <v/>
      </c>
      <c r="AN31" s="81" t="str">
        <f t="shared" si="8"/>
        <v/>
      </c>
      <c r="AO31" s="355"/>
      <c r="AP31" s="356"/>
    </row>
    <row r="32" spans="1:42" x14ac:dyDescent="0.25">
      <c r="A32" s="52" t="str">
        <f>IF(E32="","",IF(ISNA(VLOOKUP($E32,'A-1 Site Habitat Baseline'!$D$1:$O$258,2,FALSE)),"",(VLOOKUP($E32,'A-1 Site Habitat Baseline'!$D$1:$O$258,2,FALSE))))</f>
        <v/>
      </c>
      <c r="B32" s="52" t="str">
        <f>IF(E32="","",IF(ISNA(VLOOKUP($E32,'A-1 Site Habitat Baseline'!$D$1:$O$258,3,FALSE)),"",(VLOOKUP($E32,'A-1 Site Habitat Baseline'!$D$1:$O$258,3,FALSE))))</f>
        <v/>
      </c>
      <c r="C32" s="52" t="str">
        <f>IFERROR(INDEX('G-8 Condition Look up'!$I$4:$I$131,MATCH(S32,'G-8 Condition Look up'!$A$4:$A$131,0)),"")</f>
        <v/>
      </c>
      <c r="E32" s="342" t="str">
        <f>'A-1 Site Habitat Baseline'!AL31</f>
        <v/>
      </c>
      <c r="F32" s="343" t="str">
        <f>IF(E32="","",IF(ISNA(VLOOKUP($E32,'A-1 Site Habitat Baseline'!$D$1:$O$258,4,FALSE)),"",(VLOOKUP($E32,'A-1 Site Habitat Baseline'!$D$1:$O$258,4,FALSE))))</f>
        <v/>
      </c>
      <c r="G32" s="343" t="str">
        <f>IF(E32="","",IF(ISNA(VLOOKUP($E32,'A-1 Site Habitat Baseline'!$D$1:$O$258,5,FALSE)),"",(VLOOKUP($E32,'A-1 Site Habitat Baseline'!$D$1:$O$258,5,FALSE))))</f>
        <v/>
      </c>
      <c r="H32" s="343" t="str">
        <f>IF(E32="","",IF(ISNA(VLOOKUP($E32,'A-1 Site Habitat Baseline'!$D$1:$O$258,6,FALSE)),"",(VLOOKUP($E32,'A-1 Site Habitat Baseline'!$D$1:$O$258,6,FALSE))))</f>
        <v/>
      </c>
      <c r="I32" s="343" t="str">
        <f>IF(E32="","",IF(ISNA(VLOOKUP($E32,'A-1 Site Habitat Baseline'!$D$1:$O$258,7,FALSE)),"",(VLOOKUP($E32,'A-1 Site Habitat Baseline'!$D$1:$O$258,7,FALSE))))</f>
        <v/>
      </c>
      <c r="J32" s="343" t="str">
        <f>IF(E32="","",IF(ISNA(VLOOKUP($E32,'A-1 Site Habitat Baseline'!$D$1:$O$258,8,FALSE)),"",(VLOOKUP($E32,'A-1 Site Habitat Baseline'!$D$1:$O$258,8,FALSE))))</f>
        <v/>
      </c>
      <c r="K32" s="343" t="str">
        <f>IF(E32="","",IF(ISNA(VLOOKUP($E32,'A-1 Site Habitat Baseline'!$D$1:$O$258,9,FALSE)),"",(VLOOKUP($E32,'A-1 Site Habitat Baseline'!$D$1:$O$258,9,FALSE))))</f>
        <v/>
      </c>
      <c r="L32" s="343" t="str">
        <f>IF(E32="","",IF(ISNA(VLOOKUP($E32,'A-1 Site Habitat Baseline'!$D$1:$O$258,11,FALSE)),"",(VLOOKUP($E32,'A-1 Site Habitat Baseline'!$D$1:$O$258,11,FALSE))))</f>
        <v/>
      </c>
      <c r="M32" s="343" t="str">
        <f>IF(E32="","",IF(ISNA(VLOOKUP($E32,'A-1 Site Habitat Baseline'!$D$1:$O$258,12,FALSE)),"",(VLOOKUP($E32,'A-1 Site Habitat Baseline'!$D$1:$O$258,12,FALSE))))</f>
        <v/>
      </c>
      <c r="N32" s="344" t="str">
        <f>IF(E32="","",IF(ISNA(VLOOKUP($E32,'A-1 Site Habitat Baseline'!$D$1:$X$258,14,FALSE)),"",(VLOOKUP($E32,'A-1 Site Habitat Baseline'!$D$1:$X$258,14,FALSE))))</f>
        <v/>
      </c>
      <c r="O32" s="345" t="str">
        <f>IF(E32="","",IF(ISNA(VLOOKUP($E32,'A-1 Site Habitat Baseline'!$D$1:$X$258,16,FALSE)),"",(VLOOKUP($E32,'A-1 Site Habitat Baseline'!$D$1:$X$258,13,FALSE))))</f>
        <v/>
      </c>
      <c r="P32" s="346" t="str">
        <f>IFERROR(INDEX('G-1 All Habitats'!$AG$3:$AG$15,MATCH(Q32,'G-1 All Habitats'!$AF$3:$AF$15,0)),"")</f>
        <v/>
      </c>
      <c r="Q32" s="347"/>
      <c r="R32" s="347"/>
      <c r="S32" s="605" t="str">
        <f>IFERROR(INDEX('G-1 All Habitats'!$B$3:$B$130,MATCH(R32,'G-1 All Habitats'!$A$3:$A$130,0)),"")</f>
        <v/>
      </c>
      <c r="T32" s="77" t="str">
        <f t="shared" si="9"/>
        <v/>
      </c>
      <c r="U32" s="78" t="str">
        <f t="shared" si="2"/>
        <v/>
      </c>
      <c r="V32" s="350" t="str">
        <f t="shared" si="3"/>
        <v/>
      </c>
      <c r="W32" s="343" t="str">
        <f>IF(S32="","",VLOOKUP(S32,'G-1 All Habitats'!$B$2:$M$130,10,FALSE))</f>
        <v/>
      </c>
      <c r="X32" s="343" t="str">
        <f>IFERROR(VLOOKUP(W32,'G-1 All Habitats'!$V$3:$W$7,2,FALSE),"")</f>
        <v/>
      </c>
      <c r="Y32" s="91"/>
      <c r="Z32" s="345" t="str">
        <f>IFERROR(INDEX('G-8 Condition Look up'!$A$3:$H$131,MATCH(S32,'G-8 Condition Look up'!$A$3:$A$131,0),MATCH(Y32,'G-8 Condition Look up'!$A$3:$H$3,0)),"")</f>
        <v/>
      </c>
      <c r="AA32" s="79"/>
      <c r="AB32" s="343" t="str">
        <f>IF(AA32="","",IF(VLOOKUP(AA32,'G-3 Multipliers'!$L$3:$N$6,2,FALSE)=0,"Spatial Data Missing",VLOOKUP(AA32,'G-3 Multipliers'!$L$3:$N$6,2,FALSE)))</f>
        <v/>
      </c>
      <c r="AC32" s="345" t="str">
        <f>IF(AA32="","",IF(VLOOKUP(AA32,'G-3 Multipliers'!$L$3:$N$6,3,FALSE)=0,"Spatial Data Missing",VLOOKUP(AA32,'G-3 Multipliers'!$L$3:$N$6,3,FALSE)))</f>
        <v/>
      </c>
      <c r="AD32" s="351" t="str">
        <f t="shared" si="0"/>
        <v/>
      </c>
      <c r="AE32" s="94"/>
      <c r="AF32" s="94"/>
      <c r="AG32" s="343" t="str">
        <f t="shared" si="4"/>
        <v/>
      </c>
      <c r="AH32" s="591" t="str">
        <f t="shared" si="5"/>
        <v/>
      </c>
      <c r="AI32" s="353" t="str">
        <f>IF(AH32="Check Data","Check Data",IFERROR(VLOOKUP(AH32,'G-4 Temporal multipliers'!$A$4:$C$36,3,FALSE),""))</f>
        <v/>
      </c>
      <c r="AJ32" s="77" t="str">
        <f>IF(S32="","",VLOOKUP(S32,'G-3 Multipliers'!$A$2:$E$130,4,FALSE))</f>
        <v/>
      </c>
      <c r="AK32" s="348" t="str">
        <f t="shared" si="6"/>
        <v/>
      </c>
      <c r="AL32" s="348" t="str">
        <f t="shared" si="7"/>
        <v/>
      </c>
      <c r="AM32" s="607" t="str">
        <f>IFERROR(IF(F32="","",IF(AH32="Check Data","Check Data",VLOOKUP(AL32, 'G-3 Multipliers'!$P$2:$Q$6,2,FALSE))),””)</f>
        <v/>
      </c>
      <c r="AN32" s="81" t="str">
        <f t="shared" si="8"/>
        <v/>
      </c>
      <c r="AO32" s="355"/>
      <c r="AP32" s="356"/>
    </row>
    <row r="33" spans="1:42" x14ac:dyDescent="0.25">
      <c r="A33" s="52" t="str">
        <f>IF(E33="","",IF(ISNA(VLOOKUP($E33,'A-1 Site Habitat Baseline'!$D$1:$O$258,2,FALSE)),"",(VLOOKUP($E33,'A-1 Site Habitat Baseline'!$D$1:$O$258,2,FALSE))))</f>
        <v/>
      </c>
      <c r="B33" s="52" t="str">
        <f>IF(E33="","",IF(ISNA(VLOOKUP($E33,'A-1 Site Habitat Baseline'!$D$1:$O$258,3,FALSE)),"",(VLOOKUP($E33,'A-1 Site Habitat Baseline'!$D$1:$O$258,3,FALSE))))</f>
        <v/>
      </c>
      <c r="C33" s="52" t="str">
        <f>IFERROR(INDEX('G-8 Condition Look up'!$I$4:$I$131,MATCH(S33,'G-8 Condition Look up'!$A$4:$A$131,0)),"")</f>
        <v/>
      </c>
      <c r="E33" s="342" t="str">
        <f>'A-1 Site Habitat Baseline'!AL32</f>
        <v/>
      </c>
      <c r="F33" s="343" t="str">
        <f>IF(E33="","",IF(ISNA(VLOOKUP($E33,'A-1 Site Habitat Baseline'!$D$1:$O$258,4,FALSE)),"",(VLOOKUP($E33,'A-1 Site Habitat Baseline'!$D$1:$O$258,4,FALSE))))</f>
        <v/>
      </c>
      <c r="G33" s="343" t="str">
        <f>IF(E33="","",IF(ISNA(VLOOKUP($E33,'A-1 Site Habitat Baseline'!$D$1:$O$258,5,FALSE)),"",(VLOOKUP($E33,'A-1 Site Habitat Baseline'!$D$1:$O$258,5,FALSE))))</f>
        <v/>
      </c>
      <c r="H33" s="343" t="str">
        <f>IF(E33="","",IF(ISNA(VLOOKUP($E33,'A-1 Site Habitat Baseline'!$D$1:$O$258,6,FALSE)),"",(VLOOKUP($E33,'A-1 Site Habitat Baseline'!$D$1:$O$258,6,FALSE))))</f>
        <v/>
      </c>
      <c r="I33" s="343" t="str">
        <f>IF(E33="","",IF(ISNA(VLOOKUP($E33,'A-1 Site Habitat Baseline'!$D$1:$O$258,7,FALSE)),"",(VLOOKUP($E33,'A-1 Site Habitat Baseline'!$D$1:$O$258,7,FALSE))))</f>
        <v/>
      </c>
      <c r="J33" s="343" t="str">
        <f>IF(E33="","",IF(ISNA(VLOOKUP($E33,'A-1 Site Habitat Baseline'!$D$1:$O$258,8,FALSE)),"",(VLOOKUP($E33,'A-1 Site Habitat Baseline'!$D$1:$O$258,8,FALSE))))</f>
        <v/>
      </c>
      <c r="K33" s="343" t="str">
        <f>IF(E33="","",IF(ISNA(VLOOKUP($E33,'A-1 Site Habitat Baseline'!$D$1:$O$258,9,FALSE)),"",(VLOOKUP($E33,'A-1 Site Habitat Baseline'!$D$1:$O$258,9,FALSE))))</f>
        <v/>
      </c>
      <c r="L33" s="343" t="str">
        <f>IF(E33="","",IF(ISNA(VLOOKUP($E33,'A-1 Site Habitat Baseline'!$D$1:$O$258,11,FALSE)),"",(VLOOKUP($E33,'A-1 Site Habitat Baseline'!$D$1:$O$258,11,FALSE))))</f>
        <v/>
      </c>
      <c r="M33" s="343" t="str">
        <f>IF(E33="","",IF(ISNA(VLOOKUP($E33,'A-1 Site Habitat Baseline'!$D$1:$O$258,12,FALSE)),"",(VLOOKUP($E33,'A-1 Site Habitat Baseline'!$D$1:$O$258,12,FALSE))))</f>
        <v/>
      </c>
      <c r="N33" s="344" t="str">
        <f>IF(E33="","",IF(ISNA(VLOOKUP($E33,'A-1 Site Habitat Baseline'!$D$1:$X$258,14,FALSE)),"",(VLOOKUP($E33,'A-1 Site Habitat Baseline'!$D$1:$X$258,14,FALSE))))</f>
        <v/>
      </c>
      <c r="O33" s="345" t="str">
        <f>IF(E33="","",IF(ISNA(VLOOKUP($E33,'A-1 Site Habitat Baseline'!$D$1:$X$258,16,FALSE)),"",(VLOOKUP($E33,'A-1 Site Habitat Baseline'!$D$1:$X$258,13,FALSE))))</f>
        <v/>
      </c>
      <c r="P33" s="346" t="str">
        <f>IFERROR(INDEX('G-1 All Habitats'!$AG$3:$AG$15,MATCH(Q33,'G-1 All Habitats'!$AF$3:$AF$15,0)),"")</f>
        <v/>
      </c>
      <c r="Q33" s="347"/>
      <c r="R33" s="347"/>
      <c r="S33" s="605" t="str">
        <f>IFERROR(INDEX('G-1 All Habitats'!$B$3:$B$130,MATCH(R33,'G-1 All Habitats'!$A$3:$A$130,0)),"")</f>
        <v/>
      </c>
      <c r="T33" s="77" t="str">
        <f t="shared" si="9"/>
        <v/>
      </c>
      <c r="U33" s="78" t="str">
        <f t="shared" si="2"/>
        <v/>
      </c>
      <c r="V33" s="350" t="str">
        <f t="shared" si="3"/>
        <v/>
      </c>
      <c r="W33" s="343" t="str">
        <f>IF(S33="","",VLOOKUP(S33,'G-1 All Habitats'!$B$2:$M$130,10,FALSE))</f>
        <v/>
      </c>
      <c r="X33" s="343" t="str">
        <f>IFERROR(VLOOKUP(W33,'G-1 All Habitats'!$V$3:$W$7,2,FALSE),"")</f>
        <v/>
      </c>
      <c r="Y33" s="91"/>
      <c r="Z33" s="345" t="str">
        <f>IFERROR(INDEX('G-8 Condition Look up'!$A$3:$H$131,MATCH(S33,'G-8 Condition Look up'!$A$3:$A$131,0),MATCH(Y33,'G-8 Condition Look up'!$A$3:$H$3,0)),"")</f>
        <v/>
      </c>
      <c r="AA33" s="79"/>
      <c r="AB33" s="343" t="str">
        <f>IF(AA33="","",IF(VLOOKUP(AA33,'G-3 Multipliers'!$L$3:$N$6,2,FALSE)=0,"Spatial Data Missing",VLOOKUP(AA33,'G-3 Multipliers'!$L$3:$N$6,2,FALSE)))</f>
        <v/>
      </c>
      <c r="AC33" s="345" t="str">
        <f>IF(AA33="","",IF(VLOOKUP(AA33,'G-3 Multipliers'!$L$3:$N$6,3,FALSE)=0,"Spatial Data Missing",VLOOKUP(AA33,'G-3 Multipliers'!$L$3:$N$6,3,FALSE)))</f>
        <v/>
      </c>
      <c r="AD33" s="351" t="str">
        <f t="shared" si="0"/>
        <v/>
      </c>
      <c r="AE33" s="94"/>
      <c r="AF33" s="94"/>
      <c r="AG33" s="343" t="str">
        <f t="shared" si="4"/>
        <v/>
      </c>
      <c r="AH33" s="591" t="str">
        <f t="shared" si="5"/>
        <v/>
      </c>
      <c r="AI33" s="353" t="str">
        <f>IF(AH33="Check Data","Check Data",IFERROR(VLOOKUP(AH33,'G-4 Temporal multipliers'!$A$4:$C$36,3,FALSE),""))</f>
        <v/>
      </c>
      <c r="AJ33" s="77" t="str">
        <f>IF(S33="","",VLOOKUP(S33,'G-3 Multipliers'!$A$2:$E$130,4,FALSE))</f>
        <v/>
      </c>
      <c r="AK33" s="348" t="str">
        <f t="shared" si="6"/>
        <v/>
      </c>
      <c r="AL33" s="348" t="str">
        <f t="shared" si="7"/>
        <v/>
      </c>
      <c r="AM33" s="607" t="str">
        <f>IFERROR(IF(F33="","",IF(AH33="Check Data","Check Data",VLOOKUP(AL33, 'G-3 Multipliers'!$P$2:$Q$6,2,FALSE))),””)</f>
        <v/>
      </c>
      <c r="AN33" s="81" t="str">
        <f t="shared" si="8"/>
        <v/>
      </c>
      <c r="AO33" s="355"/>
      <c r="AP33" s="356"/>
    </row>
    <row r="34" spans="1:42" x14ac:dyDescent="0.25">
      <c r="A34" s="52" t="str">
        <f>IF(E34="","",IF(ISNA(VLOOKUP($E34,'A-1 Site Habitat Baseline'!$D$1:$O$258,2,FALSE)),"",(VLOOKUP($E34,'A-1 Site Habitat Baseline'!$D$1:$O$258,2,FALSE))))</f>
        <v/>
      </c>
      <c r="B34" s="52" t="str">
        <f>IF(E34="","",IF(ISNA(VLOOKUP($E34,'A-1 Site Habitat Baseline'!$D$1:$O$258,3,FALSE)),"",(VLOOKUP($E34,'A-1 Site Habitat Baseline'!$D$1:$O$258,3,FALSE))))</f>
        <v/>
      </c>
      <c r="C34" s="52" t="str">
        <f>IFERROR(INDEX('G-8 Condition Look up'!$I$4:$I$131,MATCH(S34,'G-8 Condition Look up'!$A$4:$A$131,0)),"")</f>
        <v/>
      </c>
      <c r="E34" s="342" t="str">
        <f>'A-1 Site Habitat Baseline'!AL33</f>
        <v/>
      </c>
      <c r="F34" s="343" t="str">
        <f>IF(E34="","",IF(ISNA(VLOOKUP($E34,'A-1 Site Habitat Baseline'!$D$1:$O$258,4,FALSE)),"",(VLOOKUP($E34,'A-1 Site Habitat Baseline'!$D$1:$O$258,4,FALSE))))</f>
        <v/>
      </c>
      <c r="G34" s="343" t="str">
        <f>IF(E34="","",IF(ISNA(VLOOKUP($E34,'A-1 Site Habitat Baseline'!$D$1:$O$258,5,FALSE)),"",(VLOOKUP($E34,'A-1 Site Habitat Baseline'!$D$1:$O$258,5,FALSE))))</f>
        <v/>
      </c>
      <c r="H34" s="343" t="str">
        <f>IF(E34="","",IF(ISNA(VLOOKUP($E34,'A-1 Site Habitat Baseline'!$D$1:$O$258,6,FALSE)),"",(VLOOKUP($E34,'A-1 Site Habitat Baseline'!$D$1:$O$258,6,FALSE))))</f>
        <v/>
      </c>
      <c r="I34" s="343" t="str">
        <f>IF(E34="","",IF(ISNA(VLOOKUP($E34,'A-1 Site Habitat Baseline'!$D$1:$O$258,7,FALSE)),"",(VLOOKUP($E34,'A-1 Site Habitat Baseline'!$D$1:$O$258,7,FALSE))))</f>
        <v/>
      </c>
      <c r="J34" s="343" t="str">
        <f>IF(E34="","",IF(ISNA(VLOOKUP($E34,'A-1 Site Habitat Baseline'!$D$1:$O$258,8,FALSE)),"",(VLOOKUP($E34,'A-1 Site Habitat Baseline'!$D$1:$O$258,8,FALSE))))</f>
        <v/>
      </c>
      <c r="K34" s="343" t="str">
        <f>IF(E34="","",IF(ISNA(VLOOKUP($E34,'A-1 Site Habitat Baseline'!$D$1:$O$258,9,FALSE)),"",(VLOOKUP($E34,'A-1 Site Habitat Baseline'!$D$1:$O$258,9,FALSE))))</f>
        <v/>
      </c>
      <c r="L34" s="343" t="str">
        <f>IF(E34="","",IF(ISNA(VLOOKUP($E34,'A-1 Site Habitat Baseline'!$D$1:$O$258,11,FALSE)),"",(VLOOKUP($E34,'A-1 Site Habitat Baseline'!$D$1:$O$258,11,FALSE))))</f>
        <v/>
      </c>
      <c r="M34" s="343" t="str">
        <f>IF(E34="","",IF(ISNA(VLOOKUP($E34,'A-1 Site Habitat Baseline'!$D$1:$O$258,12,FALSE)),"",(VLOOKUP($E34,'A-1 Site Habitat Baseline'!$D$1:$O$258,12,FALSE))))</f>
        <v/>
      </c>
      <c r="N34" s="344" t="str">
        <f>IF(E34="","",IF(ISNA(VLOOKUP($E34,'A-1 Site Habitat Baseline'!$D$1:$X$258,14,FALSE)),"",(VLOOKUP($E34,'A-1 Site Habitat Baseline'!$D$1:$X$258,14,FALSE))))</f>
        <v/>
      </c>
      <c r="O34" s="345" t="str">
        <f>IF(E34="","",IF(ISNA(VLOOKUP($E34,'A-1 Site Habitat Baseline'!$D$1:$X$258,16,FALSE)),"",(VLOOKUP($E34,'A-1 Site Habitat Baseline'!$D$1:$X$258,13,FALSE))))</f>
        <v/>
      </c>
      <c r="P34" s="346" t="str">
        <f>IFERROR(INDEX('G-1 All Habitats'!$AG$3:$AG$15,MATCH(Q34,'G-1 All Habitats'!$AF$3:$AF$15,0)),"")</f>
        <v/>
      </c>
      <c r="Q34" s="347"/>
      <c r="R34" s="347"/>
      <c r="S34" s="605" t="str">
        <f>IFERROR(INDEX('G-1 All Habitats'!$B$3:$B$130,MATCH(R34,'G-1 All Habitats'!$A$3:$A$130,0)),"")</f>
        <v/>
      </c>
      <c r="T34" s="77" t="str">
        <f t="shared" si="9"/>
        <v/>
      </c>
      <c r="U34" s="78" t="str">
        <f t="shared" si="2"/>
        <v/>
      </c>
      <c r="V34" s="350" t="str">
        <f t="shared" si="3"/>
        <v/>
      </c>
      <c r="W34" s="343" t="str">
        <f>IF(S34="","",VLOOKUP(S34,'G-1 All Habitats'!$B$2:$M$130,10,FALSE))</f>
        <v/>
      </c>
      <c r="X34" s="343" t="str">
        <f>IFERROR(VLOOKUP(W34,'G-1 All Habitats'!$V$3:$W$7,2,FALSE),"")</f>
        <v/>
      </c>
      <c r="Y34" s="91"/>
      <c r="Z34" s="345" t="str">
        <f>IFERROR(INDEX('G-8 Condition Look up'!$A$3:$H$131,MATCH(S34,'G-8 Condition Look up'!$A$3:$A$131,0),MATCH(Y34,'G-8 Condition Look up'!$A$3:$H$3,0)),"")</f>
        <v/>
      </c>
      <c r="AA34" s="79"/>
      <c r="AB34" s="343" t="str">
        <f>IF(AA34="","",IF(VLOOKUP(AA34,'G-3 Multipliers'!$L$3:$N$6,2,FALSE)=0,"Spatial Data Missing",VLOOKUP(AA34,'G-3 Multipliers'!$L$3:$N$6,2,FALSE)))</f>
        <v/>
      </c>
      <c r="AC34" s="345" t="str">
        <f>IF(AA34="","",IF(VLOOKUP(AA34,'G-3 Multipliers'!$L$3:$N$6,3,FALSE)=0,"Spatial Data Missing",VLOOKUP(AA34,'G-3 Multipliers'!$L$3:$N$6,3,FALSE)))</f>
        <v/>
      </c>
      <c r="AD34" s="351" t="str">
        <f t="shared" si="0"/>
        <v/>
      </c>
      <c r="AE34" s="94"/>
      <c r="AF34" s="94"/>
      <c r="AG34" s="343" t="str">
        <f t="shared" si="4"/>
        <v/>
      </c>
      <c r="AH34" s="591" t="str">
        <f t="shared" si="5"/>
        <v/>
      </c>
      <c r="AI34" s="353" t="str">
        <f>IF(AH34="Check Data","Check Data",IFERROR(VLOOKUP(AH34,'G-4 Temporal multipliers'!$A$4:$C$36,3,FALSE),""))</f>
        <v/>
      </c>
      <c r="AJ34" s="77" t="str">
        <f>IF(S34="","",VLOOKUP(S34,'G-3 Multipliers'!$A$2:$E$130,4,FALSE))</f>
        <v/>
      </c>
      <c r="AK34" s="348" t="str">
        <f t="shared" si="6"/>
        <v/>
      </c>
      <c r="AL34" s="348" t="str">
        <f t="shared" si="7"/>
        <v/>
      </c>
      <c r="AM34" s="607" t="str">
        <f>IFERROR(IF(F34="","",IF(AH34="Check Data","Check Data",VLOOKUP(AL34, 'G-3 Multipliers'!$P$2:$Q$6,2,FALSE))),””)</f>
        <v/>
      </c>
      <c r="AN34" s="81" t="str">
        <f t="shared" si="8"/>
        <v/>
      </c>
      <c r="AO34" s="355"/>
      <c r="AP34" s="356"/>
    </row>
    <row r="35" spans="1:42" x14ac:dyDescent="0.25">
      <c r="A35" s="52" t="str">
        <f>IF(E35="","",IF(ISNA(VLOOKUP($E35,'A-1 Site Habitat Baseline'!$D$1:$O$258,2,FALSE)),"",(VLOOKUP($E35,'A-1 Site Habitat Baseline'!$D$1:$O$258,2,FALSE))))</f>
        <v/>
      </c>
      <c r="B35" s="52" t="str">
        <f>IF(E35="","",IF(ISNA(VLOOKUP($E35,'A-1 Site Habitat Baseline'!$D$1:$O$258,3,FALSE)),"",(VLOOKUP($E35,'A-1 Site Habitat Baseline'!$D$1:$O$258,3,FALSE))))</f>
        <v/>
      </c>
      <c r="C35" s="52" t="str">
        <f>IFERROR(INDEX('G-8 Condition Look up'!$I$4:$I$131,MATCH(S35,'G-8 Condition Look up'!$A$4:$A$131,0)),"")</f>
        <v/>
      </c>
      <c r="E35" s="342" t="str">
        <f>'A-1 Site Habitat Baseline'!AL34</f>
        <v/>
      </c>
      <c r="F35" s="343" t="str">
        <f>IF(E35="","",IF(ISNA(VLOOKUP($E35,'A-1 Site Habitat Baseline'!$D$1:$O$258,4,FALSE)),"",(VLOOKUP($E35,'A-1 Site Habitat Baseline'!$D$1:$O$258,4,FALSE))))</f>
        <v/>
      </c>
      <c r="G35" s="343" t="str">
        <f>IF(E35="","",IF(ISNA(VLOOKUP($E35,'A-1 Site Habitat Baseline'!$D$1:$O$258,5,FALSE)),"",(VLOOKUP($E35,'A-1 Site Habitat Baseline'!$D$1:$O$258,5,FALSE))))</f>
        <v/>
      </c>
      <c r="H35" s="343" t="str">
        <f>IF(E35="","",IF(ISNA(VLOOKUP($E35,'A-1 Site Habitat Baseline'!$D$1:$O$258,6,FALSE)),"",(VLOOKUP($E35,'A-1 Site Habitat Baseline'!$D$1:$O$258,6,FALSE))))</f>
        <v/>
      </c>
      <c r="I35" s="343" t="str">
        <f>IF(E35="","",IF(ISNA(VLOOKUP($E35,'A-1 Site Habitat Baseline'!$D$1:$O$258,7,FALSE)),"",(VLOOKUP($E35,'A-1 Site Habitat Baseline'!$D$1:$O$258,7,FALSE))))</f>
        <v/>
      </c>
      <c r="J35" s="343" t="str">
        <f>IF(E35="","",IF(ISNA(VLOOKUP($E35,'A-1 Site Habitat Baseline'!$D$1:$O$258,8,FALSE)),"",(VLOOKUP($E35,'A-1 Site Habitat Baseline'!$D$1:$O$258,8,FALSE))))</f>
        <v/>
      </c>
      <c r="K35" s="343" t="str">
        <f>IF(E35="","",IF(ISNA(VLOOKUP($E35,'A-1 Site Habitat Baseline'!$D$1:$O$258,9,FALSE)),"",(VLOOKUP($E35,'A-1 Site Habitat Baseline'!$D$1:$O$258,9,FALSE))))</f>
        <v/>
      </c>
      <c r="L35" s="343" t="str">
        <f>IF(E35="","",IF(ISNA(VLOOKUP($E35,'A-1 Site Habitat Baseline'!$D$1:$O$258,11,FALSE)),"",(VLOOKUP($E35,'A-1 Site Habitat Baseline'!$D$1:$O$258,11,FALSE))))</f>
        <v/>
      </c>
      <c r="M35" s="343" t="str">
        <f>IF(E35="","",IF(ISNA(VLOOKUP($E35,'A-1 Site Habitat Baseline'!$D$1:$O$258,12,FALSE)),"",(VLOOKUP($E35,'A-1 Site Habitat Baseline'!$D$1:$O$258,12,FALSE))))</f>
        <v/>
      </c>
      <c r="N35" s="344" t="str">
        <f>IF(E35="","",IF(ISNA(VLOOKUP($E35,'A-1 Site Habitat Baseline'!$D$1:$X$258,14,FALSE)),"",(VLOOKUP($E35,'A-1 Site Habitat Baseline'!$D$1:$X$258,14,FALSE))))</f>
        <v/>
      </c>
      <c r="O35" s="345" t="str">
        <f>IF(E35="","",IF(ISNA(VLOOKUP($E35,'A-1 Site Habitat Baseline'!$D$1:$X$258,16,FALSE)),"",(VLOOKUP($E35,'A-1 Site Habitat Baseline'!$D$1:$X$258,13,FALSE))))</f>
        <v/>
      </c>
      <c r="P35" s="346" t="str">
        <f>IFERROR(INDEX('G-1 All Habitats'!$AG$3:$AG$15,MATCH(Q35,'G-1 All Habitats'!$AF$3:$AF$15,0)),"")</f>
        <v/>
      </c>
      <c r="Q35" s="347"/>
      <c r="R35" s="347"/>
      <c r="S35" s="605" t="str">
        <f>IFERROR(INDEX('G-1 All Habitats'!$B$3:$B$130,MATCH(R35,'G-1 All Habitats'!$A$3:$A$130,0)),"")</f>
        <v/>
      </c>
      <c r="T35" s="77" t="str">
        <f t="shared" si="9"/>
        <v/>
      </c>
      <c r="U35" s="78" t="str">
        <f t="shared" si="2"/>
        <v/>
      </c>
      <c r="V35" s="350" t="str">
        <f t="shared" si="3"/>
        <v/>
      </c>
      <c r="W35" s="343" t="str">
        <f>IF(S35="","",VLOOKUP(S35,'G-1 All Habitats'!$B$2:$M$130,10,FALSE))</f>
        <v/>
      </c>
      <c r="X35" s="343" t="str">
        <f>IFERROR(VLOOKUP(W35,'G-1 All Habitats'!$V$3:$W$7,2,FALSE),"")</f>
        <v/>
      </c>
      <c r="Y35" s="91"/>
      <c r="Z35" s="345" t="str">
        <f>IFERROR(INDEX('G-8 Condition Look up'!$A$3:$H$131,MATCH(S35,'G-8 Condition Look up'!$A$3:$A$131,0),MATCH(Y35,'G-8 Condition Look up'!$A$3:$H$3,0)),"")</f>
        <v/>
      </c>
      <c r="AA35" s="79"/>
      <c r="AB35" s="343" t="str">
        <f>IF(AA35="","",IF(VLOOKUP(AA35,'G-3 Multipliers'!$L$3:$N$6,2,FALSE)=0,"Spatial Data Missing",VLOOKUP(AA35,'G-3 Multipliers'!$L$3:$N$6,2,FALSE)))</f>
        <v/>
      </c>
      <c r="AC35" s="345" t="str">
        <f>IF(AA35="","",IF(VLOOKUP(AA35,'G-3 Multipliers'!$L$3:$N$6,3,FALSE)=0,"Spatial Data Missing",VLOOKUP(AA35,'G-3 Multipliers'!$L$3:$N$6,3,FALSE)))</f>
        <v/>
      </c>
      <c r="AD35" s="351" t="str">
        <f t="shared" si="0"/>
        <v/>
      </c>
      <c r="AE35" s="94"/>
      <c r="AF35" s="94"/>
      <c r="AG35" s="343" t="str">
        <f t="shared" si="4"/>
        <v/>
      </c>
      <c r="AH35" s="591" t="str">
        <f t="shared" si="5"/>
        <v/>
      </c>
      <c r="AI35" s="353" t="str">
        <f>IF(AH35="Check Data","Check Data",IFERROR(VLOOKUP(AH35,'G-4 Temporal multipliers'!$A$4:$C$36,3,FALSE),""))</f>
        <v/>
      </c>
      <c r="AJ35" s="77" t="str">
        <f>IF(S35="","",VLOOKUP(S35,'G-3 Multipliers'!$A$2:$E$130,4,FALSE))</f>
        <v/>
      </c>
      <c r="AK35" s="348" t="str">
        <f t="shared" si="6"/>
        <v/>
      </c>
      <c r="AL35" s="348" t="str">
        <f t="shared" si="7"/>
        <v/>
      </c>
      <c r="AM35" s="607" t="str">
        <f>IFERROR(IF(F35="","",IF(AH35="Check Data","Check Data",VLOOKUP(AL35, 'G-3 Multipliers'!$P$2:$Q$6,2,FALSE))),””)</f>
        <v/>
      </c>
      <c r="AN35" s="81" t="str">
        <f t="shared" si="8"/>
        <v/>
      </c>
      <c r="AO35" s="355"/>
      <c r="AP35" s="356"/>
    </row>
    <row r="36" spans="1:42" x14ac:dyDescent="0.25">
      <c r="A36" s="52" t="str">
        <f>IF(E36="","",IF(ISNA(VLOOKUP($E36,'A-1 Site Habitat Baseline'!$D$1:$O$258,2,FALSE)),"",(VLOOKUP($E36,'A-1 Site Habitat Baseline'!$D$1:$O$258,2,FALSE))))</f>
        <v/>
      </c>
      <c r="B36" s="52" t="str">
        <f>IF(E36="","",IF(ISNA(VLOOKUP($E36,'A-1 Site Habitat Baseline'!$D$1:$O$258,3,FALSE)),"",(VLOOKUP($E36,'A-1 Site Habitat Baseline'!$D$1:$O$258,3,FALSE))))</f>
        <v/>
      </c>
      <c r="C36" s="52" t="str">
        <f>IFERROR(INDEX('G-8 Condition Look up'!$I$4:$I$131,MATCH(S36,'G-8 Condition Look up'!$A$4:$A$131,0)),"")</f>
        <v/>
      </c>
      <c r="E36" s="342" t="str">
        <f>'A-1 Site Habitat Baseline'!AL35</f>
        <v/>
      </c>
      <c r="F36" s="343" t="str">
        <f>IF(E36="","",IF(ISNA(VLOOKUP($E36,'A-1 Site Habitat Baseline'!$D$1:$O$258,4,FALSE)),"",(VLOOKUP($E36,'A-1 Site Habitat Baseline'!$D$1:$O$258,4,FALSE))))</f>
        <v/>
      </c>
      <c r="G36" s="343" t="str">
        <f>IF(E36="","",IF(ISNA(VLOOKUP($E36,'A-1 Site Habitat Baseline'!$D$1:$O$258,5,FALSE)),"",(VLOOKUP($E36,'A-1 Site Habitat Baseline'!$D$1:$O$258,5,FALSE))))</f>
        <v/>
      </c>
      <c r="H36" s="343" t="str">
        <f>IF(E36="","",IF(ISNA(VLOOKUP($E36,'A-1 Site Habitat Baseline'!$D$1:$O$258,6,FALSE)),"",(VLOOKUP($E36,'A-1 Site Habitat Baseline'!$D$1:$O$258,6,FALSE))))</f>
        <v/>
      </c>
      <c r="I36" s="343" t="str">
        <f>IF(E36="","",IF(ISNA(VLOOKUP($E36,'A-1 Site Habitat Baseline'!$D$1:$O$258,7,FALSE)),"",(VLOOKUP($E36,'A-1 Site Habitat Baseline'!$D$1:$O$258,7,FALSE))))</f>
        <v/>
      </c>
      <c r="J36" s="343" t="str">
        <f>IF(E36="","",IF(ISNA(VLOOKUP($E36,'A-1 Site Habitat Baseline'!$D$1:$O$258,8,FALSE)),"",(VLOOKUP($E36,'A-1 Site Habitat Baseline'!$D$1:$O$258,8,FALSE))))</f>
        <v/>
      </c>
      <c r="K36" s="343" t="str">
        <f>IF(E36="","",IF(ISNA(VLOOKUP($E36,'A-1 Site Habitat Baseline'!$D$1:$O$258,9,FALSE)),"",(VLOOKUP($E36,'A-1 Site Habitat Baseline'!$D$1:$O$258,9,FALSE))))</f>
        <v/>
      </c>
      <c r="L36" s="343" t="str">
        <f>IF(E36="","",IF(ISNA(VLOOKUP($E36,'A-1 Site Habitat Baseline'!$D$1:$O$258,11,FALSE)),"",(VLOOKUP($E36,'A-1 Site Habitat Baseline'!$D$1:$O$258,11,FALSE))))</f>
        <v/>
      </c>
      <c r="M36" s="343" t="str">
        <f>IF(E36="","",IF(ISNA(VLOOKUP($E36,'A-1 Site Habitat Baseline'!$D$1:$O$258,12,FALSE)),"",(VLOOKUP($E36,'A-1 Site Habitat Baseline'!$D$1:$O$258,12,FALSE))))</f>
        <v/>
      </c>
      <c r="N36" s="344" t="str">
        <f>IF(E36="","",IF(ISNA(VLOOKUP($E36,'A-1 Site Habitat Baseline'!$D$1:$X$258,14,FALSE)),"",(VLOOKUP($E36,'A-1 Site Habitat Baseline'!$D$1:$X$258,14,FALSE))))</f>
        <v/>
      </c>
      <c r="O36" s="345" t="str">
        <f>IF(E36="","",IF(ISNA(VLOOKUP($E36,'A-1 Site Habitat Baseline'!$D$1:$X$258,16,FALSE)),"",(VLOOKUP($E36,'A-1 Site Habitat Baseline'!$D$1:$X$258,13,FALSE))))</f>
        <v/>
      </c>
      <c r="P36" s="346" t="str">
        <f>IFERROR(INDEX('G-1 All Habitats'!$AG$3:$AG$15,MATCH(Q36,'G-1 All Habitats'!$AF$3:$AF$15,0)),"")</f>
        <v/>
      </c>
      <c r="Q36" s="347"/>
      <c r="R36" s="347"/>
      <c r="S36" s="605" t="str">
        <f>IFERROR(INDEX('G-1 All Habitats'!$B$3:$B$130,MATCH(R36,'G-1 All Habitats'!$A$3:$A$130,0)),"")</f>
        <v/>
      </c>
      <c r="T36" s="77" t="str">
        <f t="shared" si="9"/>
        <v/>
      </c>
      <c r="U36" s="78" t="str">
        <f t="shared" si="2"/>
        <v/>
      </c>
      <c r="V36" s="350" t="str">
        <f t="shared" si="3"/>
        <v/>
      </c>
      <c r="W36" s="343" t="str">
        <f>IF(S36="","",VLOOKUP(S36,'G-1 All Habitats'!$B$2:$M$130,10,FALSE))</f>
        <v/>
      </c>
      <c r="X36" s="343" t="str">
        <f>IFERROR(VLOOKUP(W36,'G-1 All Habitats'!$V$3:$W$7,2,FALSE),"")</f>
        <v/>
      </c>
      <c r="Y36" s="91"/>
      <c r="Z36" s="345" t="str">
        <f>IFERROR(INDEX('G-8 Condition Look up'!$A$3:$H$131,MATCH(S36,'G-8 Condition Look up'!$A$3:$A$131,0),MATCH(Y36,'G-8 Condition Look up'!$A$3:$H$3,0)),"")</f>
        <v/>
      </c>
      <c r="AA36" s="79"/>
      <c r="AB36" s="343" t="str">
        <f>IF(AA36="","",IF(VLOOKUP(AA36,'G-3 Multipliers'!$L$3:$N$6,2,FALSE)=0,"Spatial Data Missing",VLOOKUP(AA36,'G-3 Multipliers'!$L$3:$N$6,2,FALSE)))</f>
        <v/>
      </c>
      <c r="AC36" s="345" t="str">
        <f>IF(AA36="","",IF(VLOOKUP(AA36,'G-3 Multipliers'!$L$3:$N$6,3,FALSE)=0,"Spatial Data Missing",VLOOKUP(AA36,'G-3 Multipliers'!$L$3:$N$6,3,FALSE)))</f>
        <v/>
      </c>
      <c r="AD36" s="351" t="str">
        <f t="shared" si="0"/>
        <v/>
      </c>
      <c r="AE36" s="94"/>
      <c r="AF36" s="94"/>
      <c r="AG36" s="343" t="str">
        <f t="shared" si="4"/>
        <v/>
      </c>
      <c r="AH36" s="591" t="str">
        <f t="shared" si="5"/>
        <v/>
      </c>
      <c r="AI36" s="353" t="str">
        <f>IF(AH36="Check Data","Check Data",IFERROR(VLOOKUP(AH36,'G-4 Temporal multipliers'!$A$4:$C$36,3,FALSE),""))</f>
        <v/>
      </c>
      <c r="AJ36" s="77" t="str">
        <f>IF(S36="","",VLOOKUP(S36,'G-3 Multipliers'!$A$2:$E$130,4,FALSE))</f>
        <v/>
      </c>
      <c r="AK36" s="348" t="str">
        <f t="shared" si="6"/>
        <v/>
      </c>
      <c r="AL36" s="348" t="str">
        <f t="shared" si="7"/>
        <v/>
      </c>
      <c r="AM36" s="607" t="str">
        <f>IFERROR(IF(F36="","",IF(AH36="Check Data","Check Data",VLOOKUP(AL36, 'G-3 Multipliers'!$P$2:$Q$6,2,FALSE))),””)</f>
        <v/>
      </c>
      <c r="AN36" s="81" t="str">
        <f t="shared" si="8"/>
        <v/>
      </c>
      <c r="AO36" s="355"/>
      <c r="AP36" s="356"/>
    </row>
    <row r="37" spans="1:42" x14ac:dyDescent="0.25">
      <c r="A37" s="52" t="str">
        <f>IF(E37="","",IF(ISNA(VLOOKUP($E37,'A-1 Site Habitat Baseline'!$D$1:$O$258,2,FALSE)),"",(VLOOKUP($E37,'A-1 Site Habitat Baseline'!$D$1:$O$258,2,FALSE))))</f>
        <v/>
      </c>
      <c r="B37" s="52" t="str">
        <f>IF(E37="","",IF(ISNA(VLOOKUP($E37,'A-1 Site Habitat Baseline'!$D$1:$O$258,3,FALSE)),"",(VLOOKUP($E37,'A-1 Site Habitat Baseline'!$D$1:$O$258,3,FALSE))))</f>
        <v/>
      </c>
      <c r="C37" s="52" t="str">
        <f>IFERROR(INDEX('G-8 Condition Look up'!$I$4:$I$131,MATCH(S37,'G-8 Condition Look up'!$A$4:$A$131,0)),"")</f>
        <v/>
      </c>
      <c r="E37" s="342" t="str">
        <f>'A-1 Site Habitat Baseline'!AL36</f>
        <v/>
      </c>
      <c r="F37" s="343" t="str">
        <f>IF(E37="","",IF(ISNA(VLOOKUP($E37,'A-1 Site Habitat Baseline'!$D$1:$O$258,4,FALSE)),"",(VLOOKUP($E37,'A-1 Site Habitat Baseline'!$D$1:$O$258,4,FALSE))))</f>
        <v/>
      </c>
      <c r="G37" s="343" t="str">
        <f>IF(E37="","",IF(ISNA(VLOOKUP($E37,'A-1 Site Habitat Baseline'!$D$1:$O$258,5,FALSE)),"",(VLOOKUP($E37,'A-1 Site Habitat Baseline'!$D$1:$O$258,5,FALSE))))</f>
        <v/>
      </c>
      <c r="H37" s="343" t="str">
        <f>IF(E37="","",IF(ISNA(VLOOKUP($E37,'A-1 Site Habitat Baseline'!$D$1:$O$258,6,FALSE)),"",(VLOOKUP($E37,'A-1 Site Habitat Baseline'!$D$1:$O$258,6,FALSE))))</f>
        <v/>
      </c>
      <c r="I37" s="343" t="str">
        <f>IF(E37="","",IF(ISNA(VLOOKUP($E37,'A-1 Site Habitat Baseline'!$D$1:$O$258,7,FALSE)),"",(VLOOKUP($E37,'A-1 Site Habitat Baseline'!$D$1:$O$258,7,FALSE))))</f>
        <v/>
      </c>
      <c r="J37" s="343" t="str">
        <f>IF(E37="","",IF(ISNA(VLOOKUP($E37,'A-1 Site Habitat Baseline'!$D$1:$O$258,8,FALSE)),"",(VLOOKUP($E37,'A-1 Site Habitat Baseline'!$D$1:$O$258,8,FALSE))))</f>
        <v/>
      </c>
      <c r="K37" s="343" t="str">
        <f>IF(E37="","",IF(ISNA(VLOOKUP($E37,'A-1 Site Habitat Baseline'!$D$1:$O$258,9,FALSE)),"",(VLOOKUP($E37,'A-1 Site Habitat Baseline'!$D$1:$O$258,9,FALSE))))</f>
        <v/>
      </c>
      <c r="L37" s="343" t="str">
        <f>IF(E37="","",IF(ISNA(VLOOKUP($E37,'A-1 Site Habitat Baseline'!$D$1:$O$258,11,FALSE)),"",(VLOOKUP($E37,'A-1 Site Habitat Baseline'!$D$1:$O$258,11,FALSE))))</f>
        <v/>
      </c>
      <c r="M37" s="343" t="str">
        <f>IF(E37="","",IF(ISNA(VLOOKUP($E37,'A-1 Site Habitat Baseline'!$D$1:$O$258,12,FALSE)),"",(VLOOKUP($E37,'A-1 Site Habitat Baseline'!$D$1:$O$258,12,FALSE))))</f>
        <v/>
      </c>
      <c r="N37" s="344" t="str">
        <f>IF(E37="","",IF(ISNA(VLOOKUP($E37,'A-1 Site Habitat Baseline'!$D$1:$X$258,14,FALSE)),"",(VLOOKUP($E37,'A-1 Site Habitat Baseline'!$D$1:$X$258,14,FALSE))))</f>
        <v/>
      </c>
      <c r="O37" s="345" t="str">
        <f>IF(E37="","",IF(ISNA(VLOOKUP($E37,'A-1 Site Habitat Baseline'!$D$1:$X$258,16,FALSE)),"",(VLOOKUP($E37,'A-1 Site Habitat Baseline'!$D$1:$X$258,13,FALSE))))</f>
        <v/>
      </c>
      <c r="P37" s="346" t="str">
        <f>IFERROR(INDEX('G-1 All Habitats'!$AG$3:$AG$15,MATCH(Q37,'G-1 All Habitats'!$AF$3:$AF$15,0)),"")</f>
        <v/>
      </c>
      <c r="Q37" s="347"/>
      <c r="R37" s="347"/>
      <c r="S37" s="605" t="str">
        <f>IFERROR(INDEX('G-1 All Habitats'!$B$3:$B$130,MATCH(R37,'G-1 All Habitats'!$A$3:$A$130,0)),"")</f>
        <v/>
      </c>
      <c r="T37" s="77" t="str">
        <f t="shared" si="9"/>
        <v/>
      </c>
      <c r="U37" s="78" t="str">
        <f t="shared" si="2"/>
        <v/>
      </c>
      <c r="V37" s="350" t="str">
        <f t="shared" si="3"/>
        <v/>
      </c>
      <c r="W37" s="343" t="str">
        <f>IF(S37="","",VLOOKUP(S37,'G-1 All Habitats'!$B$2:$M$130,10,FALSE))</f>
        <v/>
      </c>
      <c r="X37" s="343" t="str">
        <f>IFERROR(VLOOKUP(W37,'G-1 All Habitats'!$V$3:$W$7,2,FALSE),"")</f>
        <v/>
      </c>
      <c r="Y37" s="91"/>
      <c r="Z37" s="345" t="str">
        <f>IFERROR(INDEX('G-8 Condition Look up'!$A$3:$H$131,MATCH(S37,'G-8 Condition Look up'!$A$3:$A$131,0),MATCH(Y37,'G-8 Condition Look up'!$A$3:$H$3,0)),"")</f>
        <v/>
      </c>
      <c r="AA37" s="79"/>
      <c r="AB37" s="343" t="str">
        <f>IF(AA37="","",IF(VLOOKUP(AA37,'G-3 Multipliers'!$L$3:$N$6,2,FALSE)=0,"Spatial Data Missing",VLOOKUP(AA37,'G-3 Multipliers'!$L$3:$N$6,2,FALSE)))</f>
        <v/>
      </c>
      <c r="AC37" s="345" t="str">
        <f>IF(AA37="","",IF(VLOOKUP(AA37,'G-3 Multipliers'!$L$3:$N$6,3,FALSE)=0,"Spatial Data Missing",VLOOKUP(AA37,'G-3 Multipliers'!$L$3:$N$6,3,FALSE)))</f>
        <v/>
      </c>
      <c r="AD37" s="351" t="str">
        <f t="shared" si="0"/>
        <v/>
      </c>
      <c r="AE37" s="94"/>
      <c r="AF37" s="94"/>
      <c r="AG37" s="343" t="str">
        <f t="shared" si="4"/>
        <v/>
      </c>
      <c r="AH37" s="591" t="str">
        <f t="shared" si="5"/>
        <v/>
      </c>
      <c r="AI37" s="353" t="str">
        <f>IF(AH37="Check Data","Check Data",IFERROR(VLOOKUP(AH37,'G-4 Temporal multipliers'!$A$4:$C$36,3,FALSE),""))</f>
        <v/>
      </c>
      <c r="AJ37" s="77" t="str">
        <f>IF(S37="","",VLOOKUP(S37,'G-3 Multipliers'!$A$2:$E$130,4,FALSE))</f>
        <v/>
      </c>
      <c r="AK37" s="348" t="str">
        <f t="shared" si="6"/>
        <v/>
      </c>
      <c r="AL37" s="348" t="str">
        <f t="shared" si="7"/>
        <v/>
      </c>
      <c r="AM37" s="607" t="str">
        <f>IFERROR(IF(F37="","",IF(AH37="Check Data","Check Data",VLOOKUP(AL37, 'G-3 Multipliers'!$P$2:$Q$6,2,FALSE))),””)</f>
        <v/>
      </c>
      <c r="AN37" s="81" t="str">
        <f t="shared" si="8"/>
        <v/>
      </c>
      <c r="AO37" s="355"/>
      <c r="AP37" s="356"/>
    </row>
    <row r="38" spans="1:42" x14ac:dyDescent="0.25">
      <c r="A38" s="52" t="str">
        <f>IF(E38="","",IF(ISNA(VLOOKUP($E38,'A-1 Site Habitat Baseline'!$D$1:$O$258,2,FALSE)),"",(VLOOKUP($E38,'A-1 Site Habitat Baseline'!$D$1:$O$258,2,FALSE))))</f>
        <v/>
      </c>
      <c r="B38" s="52" t="str">
        <f>IF(E38="","",IF(ISNA(VLOOKUP($E38,'A-1 Site Habitat Baseline'!$D$1:$O$258,3,FALSE)),"",(VLOOKUP($E38,'A-1 Site Habitat Baseline'!$D$1:$O$258,3,FALSE))))</f>
        <v/>
      </c>
      <c r="C38" s="52" t="str">
        <f>IFERROR(INDEX('G-8 Condition Look up'!$I$4:$I$131,MATCH(S38,'G-8 Condition Look up'!$A$4:$A$131,0)),"")</f>
        <v/>
      </c>
      <c r="E38" s="342" t="str">
        <f>'A-1 Site Habitat Baseline'!AL37</f>
        <v/>
      </c>
      <c r="F38" s="343" t="str">
        <f>IF(E38="","",IF(ISNA(VLOOKUP($E38,'A-1 Site Habitat Baseline'!$D$1:$O$258,4,FALSE)),"",(VLOOKUP($E38,'A-1 Site Habitat Baseline'!$D$1:$O$258,4,FALSE))))</f>
        <v/>
      </c>
      <c r="G38" s="343" t="str">
        <f>IF(E38="","",IF(ISNA(VLOOKUP($E38,'A-1 Site Habitat Baseline'!$D$1:$O$258,5,FALSE)),"",(VLOOKUP($E38,'A-1 Site Habitat Baseline'!$D$1:$O$258,5,FALSE))))</f>
        <v/>
      </c>
      <c r="H38" s="343" t="str">
        <f>IF(E38="","",IF(ISNA(VLOOKUP($E38,'A-1 Site Habitat Baseline'!$D$1:$O$258,6,FALSE)),"",(VLOOKUP($E38,'A-1 Site Habitat Baseline'!$D$1:$O$258,6,FALSE))))</f>
        <v/>
      </c>
      <c r="I38" s="343" t="str">
        <f>IF(E38="","",IF(ISNA(VLOOKUP($E38,'A-1 Site Habitat Baseline'!$D$1:$O$258,7,FALSE)),"",(VLOOKUP($E38,'A-1 Site Habitat Baseline'!$D$1:$O$258,7,FALSE))))</f>
        <v/>
      </c>
      <c r="J38" s="343" t="str">
        <f>IF(E38="","",IF(ISNA(VLOOKUP($E38,'A-1 Site Habitat Baseline'!$D$1:$O$258,8,FALSE)),"",(VLOOKUP($E38,'A-1 Site Habitat Baseline'!$D$1:$O$258,8,FALSE))))</f>
        <v/>
      </c>
      <c r="K38" s="343" t="str">
        <f>IF(E38="","",IF(ISNA(VLOOKUP($E38,'A-1 Site Habitat Baseline'!$D$1:$O$258,9,FALSE)),"",(VLOOKUP($E38,'A-1 Site Habitat Baseline'!$D$1:$O$258,9,FALSE))))</f>
        <v/>
      </c>
      <c r="L38" s="343" t="str">
        <f>IF(E38="","",IF(ISNA(VLOOKUP($E38,'A-1 Site Habitat Baseline'!$D$1:$O$258,11,FALSE)),"",(VLOOKUP($E38,'A-1 Site Habitat Baseline'!$D$1:$O$258,11,FALSE))))</f>
        <v/>
      </c>
      <c r="M38" s="343" t="str">
        <f>IF(E38="","",IF(ISNA(VLOOKUP($E38,'A-1 Site Habitat Baseline'!$D$1:$O$258,12,FALSE)),"",(VLOOKUP($E38,'A-1 Site Habitat Baseline'!$D$1:$O$258,12,FALSE))))</f>
        <v/>
      </c>
      <c r="N38" s="344" t="str">
        <f>IF(E38="","",IF(ISNA(VLOOKUP($E38,'A-1 Site Habitat Baseline'!$D$1:$X$258,14,FALSE)),"",(VLOOKUP($E38,'A-1 Site Habitat Baseline'!$D$1:$X$258,14,FALSE))))</f>
        <v/>
      </c>
      <c r="O38" s="345" t="str">
        <f>IF(E38="","",IF(ISNA(VLOOKUP($E38,'A-1 Site Habitat Baseline'!$D$1:$X$258,16,FALSE)),"",(VLOOKUP($E38,'A-1 Site Habitat Baseline'!$D$1:$X$258,13,FALSE))))</f>
        <v/>
      </c>
      <c r="P38" s="346" t="str">
        <f>IFERROR(INDEX('G-1 All Habitats'!$AG$3:$AG$15,MATCH(Q38,'G-1 All Habitats'!$AF$3:$AF$15,0)),"")</f>
        <v/>
      </c>
      <c r="Q38" s="347"/>
      <c r="R38" s="347"/>
      <c r="S38" s="605" t="str">
        <f>IFERROR(INDEX('G-1 All Habitats'!$B$3:$B$130,MATCH(R38,'G-1 All Habitats'!$A$3:$A$130,0)),"")</f>
        <v/>
      </c>
      <c r="T38" s="77" t="str">
        <f t="shared" si="9"/>
        <v/>
      </c>
      <c r="U38" s="78" t="str">
        <f t="shared" si="2"/>
        <v/>
      </c>
      <c r="V38" s="350" t="str">
        <f t="shared" si="3"/>
        <v/>
      </c>
      <c r="W38" s="343" t="str">
        <f>IF(S38="","",VLOOKUP(S38,'G-1 All Habitats'!$B$2:$M$130,10,FALSE))</f>
        <v/>
      </c>
      <c r="X38" s="343" t="str">
        <f>IFERROR(VLOOKUP(W38,'G-1 All Habitats'!$V$3:$W$7,2,FALSE),"")</f>
        <v/>
      </c>
      <c r="Y38" s="91"/>
      <c r="Z38" s="345" t="str">
        <f>IFERROR(INDEX('G-8 Condition Look up'!$A$3:$H$131,MATCH(S38,'G-8 Condition Look up'!$A$3:$A$131,0),MATCH(Y38,'G-8 Condition Look up'!$A$3:$H$3,0)),"")</f>
        <v/>
      </c>
      <c r="AA38" s="79"/>
      <c r="AB38" s="343" t="str">
        <f>IF(AA38="","",IF(VLOOKUP(AA38,'G-3 Multipliers'!$L$3:$N$6,2,FALSE)=0,"Spatial Data Missing",VLOOKUP(AA38,'G-3 Multipliers'!$L$3:$N$6,2,FALSE)))</f>
        <v/>
      </c>
      <c r="AC38" s="345" t="str">
        <f>IF(AA38="","",IF(VLOOKUP(AA38,'G-3 Multipliers'!$L$3:$N$6,3,FALSE)=0,"Spatial Data Missing",VLOOKUP(AA38,'G-3 Multipliers'!$L$3:$N$6,3,FALSE)))</f>
        <v/>
      </c>
      <c r="AD38" s="351" t="str">
        <f t="shared" si="0"/>
        <v/>
      </c>
      <c r="AE38" s="94"/>
      <c r="AF38" s="94"/>
      <c r="AG38" s="343" t="str">
        <f t="shared" si="4"/>
        <v/>
      </c>
      <c r="AH38" s="591" t="str">
        <f t="shared" si="5"/>
        <v/>
      </c>
      <c r="AI38" s="353" t="str">
        <f>IF(AH38="Check Data","Check Data",IFERROR(VLOOKUP(AH38,'G-4 Temporal multipliers'!$A$4:$C$36,3,FALSE),""))</f>
        <v/>
      </c>
      <c r="AJ38" s="77" t="str">
        <f>IF(S38="","",VLOOKUP(S38,'G-3 Multipliers'!$A$2:$E$130,4,FALSE))</f>
        <v/>
      </c>
      <c r="AK38" s="348" t="str">
        <f t="shared" si="6"/>
        <v/>
      </c>
      <c r="AL38" s="348" t="str">
        <f t="shared" si="7"/>
        <v/>
      </c>
      <c r="AM38" s="607" t="str">
        <f>IFERROR(IF(F38="","",IF(AH38="Check Data","Check Data",VLOOKUP(AL38, 'G-3 Multipliers'!$P$2:$Q$6,2,FALSE))),””)</f>
        <v/>
      </c>
      <c r="AN38" s="81" t="str">
        <f t="shared" si="8"/>
        <v/>
      </c>
      <c r="AO38" s="355"/>
      <c r="AP38" s="356"/>
    </row>
    <row r="39" spans="1:42" x14ac:dyDescent="0.25">
      <c r="A39" s="52" t="str">
        <f>IF(E39="","",IF(ISNA(VLOOKUP($E39,'A-1 Site Habitat Baseline'!$D$1:$O$258,2,FALSE)),"",(VLOOKUP($E39,'A-1 Site Habitat Baseline'!$D$1:$O$258,2,FALSE))))</f>
        <v/>
      </c>
      <c r="B39" s="52" t="str">
        <f>IF(E39="","",IF(ISNA(VLOOKUP($E39,'A-1 Site Habitat Baseline'!$D$1:$O$258,3,FALSE)),"",(VLOOKUP($E39,'A-1 Site Habitat Baseline'!$D$1:$O$258,3,FALSE))))</f>
        <v/>
      </c>
      <c r="C39" s="52" t="str">
        <f>IFERROR(INDEX('G-8 Condition Look up'!$I$4:$I$131,MATCH(S39,'G-8 Condition Look up'!$A$4:$A$131,0)),"")</f>
        <v/>
      </c>
      <c r="E39" s="342" t="str">
        <f>'A-1 Site Habitat Baseline'!AL38</f>
        <v/>
      </c>
      <c r="F39" s="343" t="str">
        <f>IF(E39="","",IF(ISNA(VLOOKUP($E39,'A-1 Site Habitat Baseline'!$D$1:$O$258,4,FALSE)),"",(VLOOKUP($E39,'A-1 Site Habitat Baseline'!$D$1:$O$258,4,FALSE))))</f>
        <v/>
      </c>
      <c r="G39" s="343" t="str">
        <f>IF(E39="","",IF(ISNA(VLOOKUP($E39,'A-1 Site Habitat Baseline'!$D$1:$O$258,5,FALSE)),"",(VLOOKUP($E39,'A-1 Site Habitat Baseline'!$D$1:$O$258,5,FALSE))))</f>
        <v/>
      </c>
      <c r="H39" s="343" t="str">
        <f>IF(E39="","",IF(ISNA(VLOOKUP($E39,'A-1 Site Habitat Baseline'!$D$1:$O$258,6,FALSE)),"",(VLOOKUP($E39,'A-1 Site Habitat Baseline'!$D$1:$O$258,6,FALSE))))</f>
        <v/>
      </c>
      <c r="I39" s="343" t="str">
        <f>IF(E39="","",IF(ISNA(VLOOKUP($E39,'A-1 Site Habitat Baseline'!$D$1:$O$258,7,FALSE)),"",(VLOOKUP($E39,'A-1 Site Habitat Baseline'!$D$1:$O$258,7,FALSE))))</f>
        <v/>
      </c>
      <c r="J39" s="343" t="str">
        <f>IF(E39="","",IF(ISNA(VLOOKUP($E39,'A-1 Site Habitat Baseline'!$D$1:$O$258,8,FALSE)),"",(VLOOKUP($E39,'A-1 Site Habitat Baseline'!$D$1:$O$258,8,FALSE))))</f>
        <v/>
      </c>
      <c r="K39" s="343" t="str">
        <f>IF(E39="","",IF(ISNA(VLOOKUP($E39,'A-1 Site Habitat Baseline'!$D$1:$O$258,9,FALSE)),"",(VLOOKUP($E39,'A-1 Site Habitat Baseline'!$D$1:$O$258,9,FALSE))))</f>
        <v/>
      </c>
      <c r="L39" s="343" t="str">
        <f>IF(E39="","",IF(ISNA(VLOOKUP($E39,'A-1 Site Habitat Baseline'!$D$1:$O$258,11,FALSE)),"",(VLOOKUP($E39,'A-1 Site Habitat Baseline'!$D$1:$O$258,11,FALSE))))</f>
        <v/>
      </c>
      <c r="M39" s="343" t="str">
        <f>IF(E39="","",IF(ISNA(VLOOKUP($E39,'A-1 Site Habitat Baseline'!$D$1:$O$258,12,FALSE)),"",(VLOOKUP($E39,'A-1 Site Habitat Baseline'!$D$1:$O$258,12,FALSE))))</f>
        <v/>
      </c>
      <c r="N39" s="344" t="str">
        <f>IF(E39="","",IF(ISNA(VLOOKUP($E39,'A-1 Site Habitat Baseline'!$D$1:$X$258,14,FALSE)),"",(VLOOKUP($E39,'A-1 Site Habitat Baseline'!$D$1:$X$258,14,FALSE))))</f>
        <v/>
      </c>
      <c r="O39" s="345" t="str">
        <f>IF(E39="","",IF(ISNA(VLOOKUP($E39,'A-1 Site Habitat Baseline'!$D$1:$X$258,16,FALSE)),"",(VLOOKUP($E39,'A-1 Site Habitat Baseline'!$D$1:$X$258,13,FALSE))))</f>
        <v/>
      </c>
      <c r="P39" s="346" t="str">
        <f>IFERROR(INDEX('G-1 All Habitats'!$AG$3:$AG$15,MATCH(Q39,'G-1 All Habitats'!$AF$3:$AF$15,0)),"")</f>
        <v/>
      </c>
      <c r="Q39" s="347"/>
      <c r="R39" s="347"/>
      <c r="S39" s="605" t="str">
        <f>IFERROR(INDEX('G-1 All Habitats'!$B$3:$B$130,MATCH(R39,'G-1 All Habitats'!$A$3:$A$130,0)),"")</f>
        <v/>
      </c>
      <c r="T39" s="77" t="str">
        <f t="shared" si="9"/>
        <v/>
      </c>
      <c r="U39" s="78" t="str">
        <f t="shared" si="2"/>
        <v/>
      </c>
      <c r="V39" s="350" t="str">
        <f t="shared" si="3"/>
        <v/>
      </c>
      <c r="W39" s="343" t="str">
        <f>IF(S39="","",VLOOKUP(S39,'G-1 All Habitats'!$B$2:$M$130,10,FALSE))</f>
        <v/>
      </c>
      <c r="X39" s="343" t="str">
        <f>IFERROR(VLOOKUP(W39,'G-1 All Habitats'!$V$3:$W$7,2,FALSE),"")</f>
        <v/>
      </c>
      <c r="Y39" s="91"/>
      <c r="Z39" s="345" t="str">
        <f>IFERROR(INDEX('G-8 Condition Look up'!$A$3:$H$131,MATCH(S39,'G-8 Condition Look up'!$A$3:$A$131,0),MATCH(Y39,'G-8 Condition Look up'!$A$3:$H$3,0)),"")</f>
        <v/>
      </c>
      <c r="AA39" s="79"/>
      <c r="AB39" s="343" t="str">
        <f>IF(AA39="","",IF(VLOOKUP(AA39,'G-3 Multipliers'!$L$3:$N$6,2,FALSE)=0,"Spatial Data Missing",VLOOKUP(AA39,'G-3 Multipliers'!$L$3:$N$6,2,FALSE)))</f>
        <v/>
      </c>
      <c r="AC39" s="345" t="str">
        <f>IF(AA39="","",IF(VLOOKUP(AA39,'G-3 Multipliers'!$L$3:$N$6,3,FALSE)=0,"Spatial Data Missing",VLOOKUP(AA39,'G-3 Multipliers'!$L$3:$N$6,3,FALSE)))</f>
        <v/>
      </c>
      <c r="AD39" s="351" t="str">
        <f t="shared" si="0"/>
        <v/>
      </c>
      <c r="AE39" s="94"/>
      <c r="AF39" s="94"/>
      <c r="AG39" s="343" t="str">
        <f t="shared" si="4"/>
        <v/>
      </c>
      <c r="AH39" s="591" t="str">
        <f t="shared" si="5"/>
        <v/>
      </c>
      <c r="AI39" s="353" t="str">
        <f>IF(AH39="Check Data","Check Data",IFERROR(VLOOKUP(AH39,'G-4 Temporal multipliers'!$A$4:$C$36,3,FALSE),""))</f>
        <v/>
      </c>
      <c r="AJ39" s="77" t="str">
        <f>IF(S39="","",VLOOKUP(S39,'G-3 Multipliers'!$A$2:$E$130,4,FALSE))</f>
        <v/>
      </c>
      <c r="AK39" s="348" t="str">
        <f t="shared" si="6"/>
        <v/>
      </c>
      <c r="AL39" s="348" t="str">
        <f t="shared" si="7"/>
        <v/>
      </c>
      <c r="AM39" s="607" t="str">
        <f>IFERROR(IF(F39="","",IF(AH39="Check Data","Check Data",VLOOKUP(AL39, 'G-3 Multipliers'!$P$2:$Q$6,2,FALSE))),””)</f>
        <v/>
      </c>
      <c r="AN39" s="81" t="str">
        <f t="shared" si="8"/>
        <v/>
      </c>
      <c r="AO39" s="355"/>
      <c r="AP39" s="356"/>
    </row>
    <row r="40" spans="1:42" x14ac:dyDescent="0.25">
      <c r="A40" s="52" t="str">
        <f>IF(E40="","",IF(ISNA(VLOOKUP($E40,'A-1 Site Habitat Baseline'!$D$1:$O$258,2,FALSE)),"",(VLOOKUP($E40,'A-1 Site Habitat Baseline'!$D$1:$O$258,2,FALSE))))</f>
        <v/>
      </c>
      <c r="B40" s="52" t="str">
        <f>IF(E40="","",IF(ISNA(VLOOKUP($E40,'A-1 Site Habitat Baseline'!$D$1:$O$258,3,FALSE)),"",(VLOOKUP($E40,'A-1 Site Habitat Baseline'!$D$1:$O$258,3,FALSE))))</f>
        <v/>
      </c>
      <c r="C40" s="52" t="str">
        <f>IFERROR(INDEX('G-8 Condition Look up'!$I$4:$I$131,MATCH(S40,'G-8 Condition Look up'!$A$4:$A$131,0)),"")</f>
        <v/>
      </c>
      <c r="E40" s="342" t="str">
        <f>'A-1 Site Habitat Baseline'!AL39</f>
        <v/>
      </c>
      <c r="F40" s="343" t="str">
        <f>IF(E40="","",IF(ISNA(VLOOKUP($E40,'A-1 Site Habitat Baseline'!$D$1:$O$258,4,FALSE)),"",(VLOOKUP($E40,'A-1 Site Habitat Baseline'!$D$1:$O$258,4,FALSE))))</f>
        <v/>
      </c>
      <c r="G40" s="343" t="str">
        <f>IF(E40="","",IF(ISNA(VLOOKUP($E40,'A-1 Site Habitat Baseline'!$D$1:$O$258,5,FALSE)),"",(VLOOKUP($E40,'A-1 Site Habitat Baseline'!$D$1:$O$258,5,FALSE))))</f>
        <v/>
      </c>
      <c r="H40" s="343" t="str">
        <f>IF(E40="","",IF(ISNA(VLOOKUP($E40,'A-1 Site Habitat Baseline'!$D$1:$O$258,6,FALSE)),"",(VLOOKUP($E40,'A-1 Site Habitat Baseline'!$D$1:$O$258,6,FALSE))))</f>
        <v/>
      </c>
      <c r="I40" s="343" t="str">
        <f>IF(E40="","",IF(ISNA(VLOOKUP($E40,'A-1 Site Habitat Baseline'!$D$1:$O$258,7,FALSE)),"",(VLOOKUP($E40,'A-1 Site Habitat Baseline'!$D$1:$O$258,7,FALSE))))</f>
        <v/>
      </c>
      <c r="J40" s="343" t="str">
        <f>IF(E40="","",IF(ISNA(VLOOKUP($E40,'A-1 Site Habitat Baseline'!$D$1:$O$258,8,FALSE)),"",(VLOOKUP($E40,'A-1 Site Habitat Baseline'!$D$1:$O$258,8,FALSE))))</f>
        <v/>
      </c>
      <c r="K40" s="343" t="str">
        <f>IF(E40="","",IF(ISNA(VLOOKUP($E40,'A-1 Site Habitat Baseline'!$D$1:$O$258,9,FALSE)),"",(VLOOKUP($E40,'A-1 Site Habitat Baseline'!$D$1:$O$258,9,FALSE))))</f>
        <v/>
      </c>
      <c r="L40" s="343" t="str">
        <f>IF(E40="","",IF(ISNA(VLOOKUP($E40,'A-1 Site Habitat Baseline'!$D$1:$O$258,11,FALSE)),"",(VLOOKUP($E40,'A-1 Site Habitat Baseline'!$D$1:$O$258,11,FALSE))))</f>
        <v/>
      </c>
      <c r="M40" s="343" t="str">
        <f>IF(E40="","",IF(ISNA(VLOOKUP($E40,'A-1 Site Habitat Baseline'!$D$1:$O$258,12,FALSE)),"",(VLOOKUP($E40,'A-1 Site Habitat Baseline'!$D$1:$O$258,12,FALSE))))</f>
        <v/>
      </c>
      <c r="N40" s="344" t="str">
        <f>IF(E40="","",IF(ISNA(VLOOKUP($E40,'A-1 Site Habitat Baseline'!$D$1:$X$258,14,FALSE)),"",(VLOOKUP($E40,'A-1 Site Habitat Baseline'!$D$1:$X$258,14,FALSE))))</f>
        <v/>
      </c>
      <c r="O40" s="345" t="str">
        <f>IF(E40="","",IF(ISNA(VLOOKUP($E40,'A-1 Site Habitat Baseline'!$D$1:$X$258,16,FALSE)),"",(VLOOKUP($E40,'A-1 Site Habitat Baseline'!$D$1:$X$258,13,FALSE))))</f>
        <v/>
      </c>
      <c r="P40" s="346" t="str">
        <f>IFERROR(INDEX('G-1 All Habitats'!$AG$3:$AG$15,MATCH(Q40,'G-1 All Habitats'!$AF$3:$AF$15,0)),"")</f>
        <v/>
      </c>
      <c r="Q40" s="347"/>
      <c r="R40" s="347"/>
      <c r="S40" s="605" t="str">
        <f>IFERROR(INDEX('G-1 All Habitats'!$B$3:$B$130,MATCH(R40,'G-1 All Habitats'!$A$3:$A$130,0)),"")</f>
        <v/>
      </c>
      <c r="T40" s="77" t="str">
        <f t="shared" si="9"/>
        <v/>
      </c>
      <c r="U40" s="78" t="str">
        <f t="shared" si="2"/>
        <v/>
      </c>
      <c r="V40" s="350" t="str">
        <f t="shared" si="3"/>
        <v/>
      </c>
      <c r="W40" s="343" t="str">
        <f>IF(S40="","",VLOOKUP(S40,'G-1 All Habitats'!$B$2:$M$130,10,FALSE))</f>
        <v/>
      </c>
      <c r="X40" s="343" t="str">
        <f>IFERROR(VLOOKUP(W40,'G-1 All Habitats'!$V$3:$W$7,2,FALSE),"")</f>
        <v/>
      </c>
      <c r="Y40" s="91"/>
      <c r="Z40" s="345" t="str">
        <f>IFERROR(INDEX('G-8 Condition Look up'!$A$3:$H$131,MATCH(S40,'G-8 Condition Look up'!$A$3:$A$131,0),MATCH(Y40,'G-8 Condition Look up'!$A$3:$H$3,0)),"")</f>
        <v/>
      </c>
      <c r="AA40" s="79"/>
      <c r="AB40" s="343" t="str">
        <f>IF(AA40="","",IF(VLOOKUP(AA40,'G-3 Multipliers'!$L$3:$N$6,2,FALSE)=0,"Spatial Data Missing",VLOOKUP(AA40,'G-3 Multipliers'!$L$3:$N$6,2,FALSE)))</f>
        <v/>
      </c>
      <c r="AC40" s="345" t="str">
        <f>IF(AA40="","",IF(VLOOKUP(AA40,'G-3 Multipliers'!$L$3:$N$6,3,FALSE)=0,"Spatial Data Missing",VLOOKUP(AA40,'G-3 Multipliers'!$L$3:$N$6,3,FALSE)))</f>
        <v/>
      </c>
      <c r="AD40" s="351" t="str">
        <f t="shared" si="0"/>
        <v/>
      </c>
      <c r="AE40" s="94"/>
      <c r="AF40" s="94"/>
      <c r="AG40" s="343" t="str">
        <f t="shared" si="4"/>
        <v/>
      </c>
      <c r="AH40" s="591" t="str">
        <f t="shared" si="5"/>
        <v/>
      </c>
      <c r="AI40" s="353" t="str">
        <f>IF(AH40="Check Data","Check Data",IFERROR(VLOOKUP(AH40,'G-4 Temporal multipliers'!$A$4:$C$36,3,FALSE),""))</f>
        <v/>
      </c>
      <c r="AJ40" s="77" t="str">
        <f>IF(S40="","",VLOOKUP(S40,'G-3 Multipliers'!$A$2:$E$130,4,FALSE))</f>
        <v/>
      </c>
      <c r="AK40" s="348" t="str">
        <f t="shared" si="6"/>
        <v/>
      </c>
      <c r="AL40" s="348" t="str">
        <f t="shared" si="7"/>
        <v/>
      </c>
      <c r="AM40" s="607" t="str">
        <f>IFERROR(IF(F40="","",IF(AH40="Check Data","Check Data",VLOOKUP(AL40, 'G-3 Multipliers'!$P$2:$Q$6,2,FALSE))),””)</f>
        <v/>
      </c>
      <c r="AN40" s="81" t="str">
        <f t="shared" si="8"/>
        <v/>
      </c>
      <c r="AO40" s="355"/>
      <c r="AP40" s="356"/>
    </row>
    <row r="41" spans="1:42" x14ac:dyDescent="0.25">
      <c r="A41" s="52" t="str">
        <f>IF(E41="","",IF(ISNA(VLOOKUP($E41,'A-1 Site Habitat Baseline'!$D$1:$O$258,2,FALSE)),"",(VLOOKUP($E41,'A-1 Site Habitat Baseline'!$D$1:$O$258,2,FALSE))))</f>
        <v/>
      </c>
      <c r="B41" s="52" t="str">
        <f>IF(E41="","",IF(ISNA(VLOOKUP($E41,'A-1 Site Habitat Baseline'!$D$1:$O$258,3,FALSE)),"",(VLOOKUP($E41,'A-1 Site Habitat Baseline'!$D$1:$O$258,3,FALSE))))</f>
        <v/>
      </c>
      <c r="C41" s="52" t="str">
        <f>IFERROR(INDEX('G-8 Condition Look up'!$I$4:$I$131,MATCH(S41,'G-8 Condition Look up'!$A$4:$A$131,0)),"")</f>
        <v/>
      </c>
      <c r="E41" s="342" t="str">
        <f>'A-1 Site Habitat Baseline'!AL40</f>
        <v/>
      </c>
      <c r="F41" s="343" t="str">
        <f>IF(E41="","",IF(ISNA(VLOOKUP($E41,'A-1 Site Habitat Baseline'!$D$1:$O$258,4,FALSE)),"",(VLOOKUP($E41,'A-1 Site Habitat Baseline'!$D$1:$O$258,4,FALSE))))</f>
        <v/>
      </c>
      <c r="G41" s="343" t="str">
        <f>IF(E41="","",IF(ISNA(VLOOKUP($E41,'A-1 Site Habitat Baseline'!$D$1:$O$258,5,FALSE)),"",(VLOOKUP($E41,'A-1 Site Habitat Baseline'!$D$1:$O$258,5,FALSE))))</f>
        <v/>
      </c>
      <c r="H41" s="343" t="str">
        <f>IF(E41="","",IF(ISNA(VLOOKUP($E41,'A-1 Site Habitat Baseline'!$D$1:$O$258,6,FALSE)),"",(VLOOKUP($E41,'A-1 Site Habitat Baseline'!$D$1:$O$258,6,FALSE))))</f>
        <v/>
      </c>
      <c r="I41" s="343" t="str">
        <f>IF(E41="","",IF(ISNA(VLOOKUP($E41,'A-1 Site Habitat Baseline'!$D$1:$O$258,7,FALSE)),"",(VLOOKUP($E41,'A-1 Site Habitat Baseline'!$D$1:$O$258,7,FALSE))))</f>
        <v/>
      </c>
      <c r="J41" s="343" t="str">
        <f>IF(E41="","",IF(ISNA(VLOOKUP($E41,'A-1 Site Habitat Baseline'!$D$1:$O$258,8,FALSE)),"",(VLOOKUP($E41,'A-1 Site Habitat Baseline'!$D$1:$O$258,8,FALSE))))</f>
        <v/>
      </c>
      <c r="K41" s="343" t="str">
        <f>IF(E41="","",IF(ISNA(VLOOKUP($E41,'A-1 Site Habitat Baseline'!$D$1:$O$258,9,FALSE)),"",(VLOOKUP($E41,'A-1 Site Habitat Baseline'!$D$1:$O$258,9,FALSE))))</f>
        <v/>
      </c>
      <c r="L41" s="343" t="str">
        <f>IF(E41="","",IF(ISNA(VLOOKUP($E41,'A-1 Site Habitat Baseline'!$D$1:$O$258,11,FALSE)),"",(VLOOKUP($E41,'A-1 Site Habitat Baseline'!$D$1:$O$258,11,FALSE))))</f>
        <v/>
      </c>
      <c r="M41" s="343" t="str">
        <f>IF(E41="","",IF(ISNA(VLOOKUP($E41,'A-1 Site Habitat Baseline'!$D$1:$O$258,12,FALSE)),"",(VLOOKUP($E41,'A-1 Site Habitat Baseline'!$D$1:$O$258,12,FALSE))))</f>
        <v/>
      </c>
      <c r="N41" s="344" t="str">
        <f>IF(E41="","",IF(ISNA(VLOOKUP($E41,'A-1 Site Habitat Baseline'!$D$1:$X$258,14,FALSE)),"",(VLOOKUP($E41,'A-1 Site Habitat Baseline'!$D$1:$X$258,14,FALSE))))</f>
        <v/>
      </c>
      <c r="O41" s="345" t="str">
        <f>IF(E41="","",IF(ISNA(VLOOKUP($E41,'A-1 Site Habitat Baseline'!$D$1:$X$258,16,FALSE)),"",(VLOOKUP($E41,'A-1 Site Habitat Baseline'!$D$1:$X$258,13,FALSE))))</f>
        <v/>
      </c>
      <c r="P41" s="346" t="str">
        <f>IFERROR(INDEX('G-1 All Habitats'!$AG$3:$AG$15,MATCH(Q41,'G-1 All Habitats'!$AF$3:$AF$15,0)),"")</f>
        <v/>
      </c>
      <c r="Q41" s="347"/>
      <c r="R41" s="347"/>
      <c r="S41" s="605" t="str">
        <f>IFERROR(INDEX('G-1 All Habitats'!$B$3:$B$130,MATCH(R41,'G-1 All Habitats'!$A$3:$A$130,0)),"")</f>
        <v/>
      </c>
      <c r="T41" s="77" t="str">
        <f t="shared" si="9"/>
        <v/>
      </c>
      <c r="U41" s="78" t="str">
        <f t="shared" si="2"/>
        <v/>
      </c>
      <c r="V41" s="350" t="str">
        <f t="shared" si="3"/>
        <v/>
      </c>
      <c r="W41" s="343" t="str">
        <f>IF(S41="","",VLOOKUP(S41,'G-1 All Habitats'!$B$2:$M$130,10,FALSE))</f>
        <v/>
      </c>
      <c r="X41" s="343" t="str">
        <f>IFERROR(VLOOKUP(W41,'G-1 All Habitats'!$V$3:$W$7,2,FALSE),"")</f>
        <v/>
      </c>
      <c r="Y41" s="91"/>
      <c r="Z41" s="345" t="str">
        <f>IFERROR(INDEX('G-8 Condition Look up'!$A$3:$H$131,MATCH(S41,'G-8 Condition Look up'!$A$3:$A$131,0),MATCH(Y41,'G-8 Condition Look up'!$A$3:$H$3,0)),"")</f>
        <v/>
      </c>
      <c r="AA41" s="79"/>
      <c r="AB41" s="343" t="str">
        <f>IF(AA41="","",IF(VLOOKUP(AA41,'G-3 Multipliers'!$L$3:$N$6,2,FALSE)=0,"Spatial Data Missing",VLOOKUP(AA41,'G-3 Multipliers'!$L$3:$N$6,2,FALSE)))</f>
        <v/>
      </c>
      <c r="AC41" s="345" t="str">
        <f>IF(AA41="","",IF(VLOOKUP(AA41,'G-3 Multipliers'!$L$3:$N$6,3,FALSE)=0,"Spatial Data Missing",VLOOKUP(AA41,'G-3 Multipliers'!$L$3:$N$6,3,FALSE)))</f>
        <v/>
      </c>
      <c r="AD41" s="351" t="str">
        <f t="shared" si="0"/>
        <v/>
      </c>
      <c r="AE41" s="94"/>
      <c r="AF41" s="94"/>
      <c r="AG41" s="343" t="str">
        <f t="shared" si="4"/>
        <v/>
      </c>
      <c r="AH41" s="591" t="str">
        <f t="shared" si="5"/>
        <v/>
      </c>
      <c r="AI41" s="353" t="str">
        <f>IF(AH41="Check Data","Check Data",IFERROR(VLOOKUP(AH41,'G-4 Temporal multipliers'!$A$4:$C$36,3,FALSE),""))</f>
        <v/>
      </c>
      <c r="AJ41" s="77" t="str">
        <f>IF(S41="","",VLOOKUP(S41,'G-3 Multipliers'!$A$2:$E$130,4,FALSE))</f>
        <v/>
      </c>
      <c r="AK41" s="348" t="str">
        <f t="shared" si="6"/>
        <v/>
      </c>
      <c r="AL41" s="348" t="str">
        <f t="shared" si="7"/>
        <v/>
      </c>
      <c r="AM41" s="607" t="str">
        <f>IFERROR(IF(F41="","",IF(AH41="Check Data","Check Data",VLOOKUP(AL41, 'G-3 Multipliers'!$P$2:$Q$6,2,FALSE))),””)</f>
        <v/>
      </c>
      <c r="AN41" s="81" t="str">
        <f t="shared" si="8"/>
        <v/>
      </c>
      <c r="AO41" s="355"/>
      <c r="AP41" s="356"/>
    </row>
    <row r="42" spans="1:42" x14ac:dyDescent="0.25">
      <c r="A42" s="52" t="str">
        <f>IF(E42="","",IF(ISNA(VLOOKUP($E42,'A-1 Site Habitat Baseline'!$D$1:$O$258,2,FALSE)),"",(VLOOKUP($E42,'A-1 Site Habitat Baseline'!$D$1:$O$258,2,FALSE))))</f>
        <v/>
      </c>
      <c r="B42" s="52" t="str">
        <f>IF(E42="","",IF(ISNA(VLOOKUP($E42,'A-1 Site Habitat Baseline'!$D$1:$O$258,3,FALSE)),"",(VLOOKUP($E42,'A-1 Site Habitat Baseline'!$D$1:$O$258,3,FALSE))))</f>
        <v/>
      </c>
      <c r="C42" s="52" t="str">
        <f>IFERROR(INDEX('G-8 Condition Look up'!$I$4:$I$131,MATCH(S42,'G-8 Condition Look up'!$A$4:$A$131,0)),"")</f>
        <v/>
      </c>
      <c r="E42" s="342" t="str">
        <f>'A-1 Site Habitat Baseline'!AL41</f>
        <v/>
      </c>
      <c r="F42" s="343" t="str">
        <f>IF(E42="","",IF(ISNA(VLOOKUP($E42,'A-1 Site Habitat Baseline'!$D$1:$O$258,4,FALSE)),"",(VLOOKUP($E42,'A-1 Site Habitat Baseline'!$D$1:$O$258,4,FALSE))))</f>
        <v/>
      </c>
      <c r="G42" s="343" t="str">
        <f>IF(E42="","",IF(ISNA(VLOOKUP($E42,'A-1 Site Habitat Baseline'!$D$1:$O$258,5,FALSE)),"",(VLOOKUP($E42,'A-1 Site Habitat Baseline'!$D$1:$O$258,5,FALSE))))</f>
        <v/>
      </c>
      <c r="H42" s="343" t="str">
        <f>IF(E42="","",IF(ISNA(VLOOKUP($E42,'A-1 Site Habitat Baseline'!$D$1:$O$258,6,FALSE)),"",(VLOOKUP($E42,'A-1 Site Habitat Baseline'!$D$1:$O$258,6,FALSE))))</f>
        <v/>
      </c>
      <c r="I42" s="343" t="str">
        <f>IF(E42="","",IF(ISNA(VLOOKUP($E42,'A-1 Site Habitat Baseline'!$D$1:$O$258,7,FALSE)),"",(VLOOKUP($E42,'A-1 Site Habitat Baseline'!$D$1:$O$258,7,FALSE))))</f>
        <v/>
      </c>
      <c r="J42" s="343" t="str">
        <f>IF(E42="","",IF(ISNA(VLOOKUP($E42,'A-1 Site Habitat Baseline'!$D$1:$O$258,8,FALSE)),"",(VLOOKUP($E42,'A-1 Site Habitat Baseline'!$D$1:$O$258,8,FALSE))))</f>
        <v/>
      </c>
      <c r="K42" s="343" t="str">
        <f>IF(E42="","",IF(ISNA(VLOOKUP($E42,'A-1 Site Habitat Baseline'!$D$1:$O$258,9,FALSE)),"",(VLOOKUP($E42,'A-1 Site Habitat Baseline'!$D$1:$O$258,9,FALSE))))</f>
        <v/>
      </c>
      <c r="L42" s="343" t="str">
        <f>IF(E42="","",IF(ISNA(VLOOKUP($E42,'A-1 Site Habitat Baseline'!$D$1:$O$258,11,FALSE)),"",(VLOOKUP($E42,'A-1 Site Habitat Baseline'!$D$1:$O$258,11,FALSE))))</f>
        <v/>
      </c>
      <c r="M42" s="343" t="str">
        <f>IF(E42="","",IF(ISNA(VLOOKUP($E42,'A-1 Site Habitat Baseline'!$D$1:$O$258,12,FALSE)),"",(VLOOKUP($E42,'A-1 Site Habitat Baseline'!$D$1:$O$258,12,FALSE))))</f>
        <v/>
      </c>
      <c r="N42" s="344" t="str">
        <f>IF(E42="","",IF(ISNA(VLOOKUP($E42,'A-1 Site Habitat Baseline'!$D$1:$X$258,14,FALSE)),"",(VLOOKUP($E42,'A-1 Site Habitat Baseline'!$D$1:$X$258,14,FALSE))))</f>
        <v/>
      </c>
      <c r="O42" s="345" t="str">
        <f>IF(E42="","",IF(ISNA(VLOOKUP($E42,'A-1 Site Habitat Baseline'!$D$1:$X$258,16,FALSE)),"",(VLOOKUP($E42,'A-1 Site Habitat Baseline'!$D$1:$X$258,13,FALSE))))</f>
        <v/>
      </c>
      <c r="P42" s="346" t="str">
        <f>IFERROR(INDEX('G-1 All Habitats'!$AG$3:$AG$15,MATCH(Q42,'G-1 All Habitats'!$AF$3:$AF$15,0)),"")</f>
        <v/>
      </c>
      <c r="Q42" s="347"/>
      <c r="R42" s="347"/>
      <c r="S42" s="605" t="str">
        <f>IFERROR(INDEX('G-1 All Habitats'!$B$3:$B$130,MATCH(R42,'G-1 All Habitats'!$A$3:$A$130,0)),"")</f>
        <v/>
      </c>
      <c r="T42" s="77" t="str">
        <f t="shared" si="9"/>
        <v/>
      </c>
      <c r="U42" s="78" t="str">
        <f t="shared" si="2"/>
        <v/>
      </c>
      <c r="V42" s="350" t="str">
        <f t="shared" si="3"/>
        <v/>
      </c>
      <c r="W42" s="343" t="str">
        <f>IF(S42="","",VLOOKUP(S42,'G-1 All Habitats'!$B$2:$M$130,10,FALSE))</f>
        <v/>
      </c>
      <c r="X42" s="343" t="str">
        <f>IFERROR(VLOOKUP(W42,'G-1 All Habitats'!$V$3:$W$7,2,FALSE),"")</f>
        <v/>
      </c>
      <c r="Y42" s="91"/>
      <c r="Z42" s="345" t="str">
        <f>IFERROR(INDEX('G-8 Condition Look up'!$A$3:$H$131,MATCH(S42,'G-8 Condition Look up'!$A$3:$A$131,0),MATCH(Y42,'G-8 Condition Look up'!$A$3:$H$3,0)),"")</f>
        <v/>
      </c>
      <c r="AA42" s="79"/>
      <c r="AB42" s="343" t="str">
        <f>IF(AA42="","",IF(VLOOKUP(AA42,'G-3 Multipliers'!$L$3:$N$6,2,FALSE)=0,"Spatial Data Missing",VLOOKUP(AA42,'G-3 Multipliers'!$L$3:$N$6,2,FALSE)))</f>
        <v/>
      </c>
      <c r="AC42" s="345" t="str">
        <f>IF(AA42="","",IF(VLOOKUP(AA42,'G-3 Multipliers'!$L$3:$N$6,3,FALSE)=0,"Spatial Data Missing",VLOOKUP(AA42,'G-3 Multipliers'!$L$3:$N$6,3,FALSE)))</f>
        <v/>
      </c>
      <c r="AD42" s="351" t="str">
        <f t="shared" si="0"/>
        <v/>
      </c>
      <c r="AE42" s="94"/>
      <c r="AF42" s="94"/>
      <c r="AG42" s="343" t="str">
        <f t="shared" si="4"/>
        <v/>
      </c>
      <c r="AH42" s="591" t="str">
        <f t="shared" si="5"/>
        <v/>
      </c>
      <c r="AI42" s="353" t="str">
        <f>IF(AH42="Check Data","Check Data",IFERROR(VLOOKUP(AH42,'G-4 Temporal multipliers'!$A$4:$C$36,3,FALSE),""))</f>
        <v/>
      </c>
      <c r="AJ42" s="77" t="str">
        <f>IF(S42="","",VLOOKUP(S42,'G-3 Multipliers'!$A$2:$E$130,4,FALSE))</f>
        <v/>
      </c>
      <c r="AK42" s="348" t="str">
        <f t="shared" si="6"/>
        <v/>
      </c>
      <c r="AL42" s="348" t="str">
        <f t="shared" si="7"/>
        <v/>
      </c>
      <c r="AM42" s="607" t="str">
        <f>IFERROR(IF(F42="","",IF(AH42="Check Data","Check Data",VLOOKUP(AL42, 'G-3 Multipliers'!$P$2:$Q$6,2,FALSE))),””)</f>
        <v/>
      </c>
      <c r="AN42" s="81" t="str">
        <f t="shared" si="8"/>
        <v/>
      </c>
      <c r="AO42" s="355"/>
      <c r="AP42" s="356"/>
    </row>
    <row r="43" spans="1:42" x14ac:dyDescent="0.25">
      <c r="A43" s="52" t="str">
        <f>IF(E43="","",IF(ISNA(VLOOKUP($E43,'A-1 Site Habitat Baseline'!$D$1:$O$258,2,FALSE)),"",(VLOOKUP($E43,'A-1 Site Habitat Baseline'!$D$1:$O$258,2,FALSE))))</f>
        <v/>
      </c>
      <c r="B43" s="52" t="str">
        <f>IF(E43="","",IF(ISNA(VLOOKUP($E43,'A-1 Site Habitat Baseline'!$D$1:$O$258,3,FALSE)),"",(VLOOKUP($E43,'A-1 Site Habitat Baseline'!$D$1:$O$258,3,FALSE))))</f>
        <v/>
      </c>
      <c r="C43" s="52" t="str">
        <f>IFERROR(INDEX('G-8 Condition Look up'!$I$4:$I$131,MATCH(S43,'G-8 Condition Look up'!$A$4:$A$131,0)),"")</f>
        <v/>
      </c>
      <c r="E43" s="342" t="str">
        <f>'A-1 Site Habitat Baseline'!AL42</f>
        <v/>
      </c>
      <c r="F43" s="343" t="str">
        <f>IF(E43="","",IF(ISNA(VLOOKUP($E43,'A-1 Site Habitat Baseline'!$D$1:$O$258,4,FALSE)),"",(VLOOKUP($E43,'A-1 Site Habitat Baseline'!$D$1:$O$258,4,FALSE))))</f>
        <v/>
      </c>
      <c r="G43" s="343" t="str">
        <f>IF(E43="","",IF(ISNA(VLOOKUP($E43,'A-1 Site Habitat Baseline'!$D$1:$O$258,5,FALSE)),"",(VLOOKUP($E43,'A-1 Site Habitat Baseline'!$D$1:$O$258,5,FALSE))))</f>
        <v/>
      </c>
      <c r="H43" s="343" t="str">
        <f>IF(E43="","",IF(ISNA(VLOOKUP($E43,'A-1 Site Habitat Baseline'!$D$1:$O$258,6,FALSE)),"",(VLOOKUP($E43,'A-1 Site Habitat Baseline'!$D$1:$O$258,6,FALSE))))</f>
        <v/>
      </c>
      <c r="I43" s="343" t="str">
        <f>IF(E43="","",IF(ISNA(VLOOKUP($E43,'A-1 Site Habitat Baseline'!$D$1:$O$258,7,FALSE)),"",(VLOOKUP($E43,'A-1 Site Habitat Baseline'!$D$1:$O$258,7,FALSE))))</f>
        <v/>
      </c>
      <c r="J43" s="343" t="str">
        <f>IF(E43="","",IF(ISNA(VLOOKUP($E43,'A-1 Site Habitat Baseline'!$D$1:$O$258,8,FALSE)),"",(VLOOKUP($E43,'A-1 Site Habitat Baseline'!$D$1:$O$258,8,FALSE))))</f>
        <v/>
      </c>
      <c r="K43" s="343" t="str">
        <f>IF(E43="","",IF(ISNA(VLOOKUP($E43,'A-1 Site Habitat Baseline'!$D$1:$O$258,9,FALSE)),"",(VLOOKUP($E43,'A-1 Site Habitat Baseline'!$D$1:$O$258,9,FALSE))))</f>
        <v/>
      </c>
      <c r="L43" s="343" t="str">
        <f>IF(E43="","",IF(ISNA(VLOOKUP($E43,'A-1 Site Habitat Baseline'!$D$1:$O$258,11,FALSE)),"",(VLOOKUP($E43,'A-1 Site Habitat Baseline'!$D$1:$O$258,11,FALSE))))</f>
        <v/>
      </c>
      <c r="M43" s="343" t="str">
        <f>IF(E43="","",IF(ISNA(VLOOKUP($E43,'A-1 Site Habitat Baseline'!$D$1:$O$258,12,FALSE)),"",(VLOOKUP($E43,'A-1 Site Habitat Baseline'!$D$1:$O$258,12,FALSE))))</f>
        <v/>
      </c>
      <c r="N43" s="344" t="str">
        <f>IF(E43="","",IF(ISNA(VLOOKUP($E43,'A-1 Site Habitat Baseline'!$D$1:$X$258,14,FALSE)),"",(VLOOKUP($E43,'A-1 Site Habitat Baseline'!$D$1:$X$258,14,FALSE))))</f>
        <v/>
      </c>
      <c r="O43" s="345" t="str">
        <f>IF(E43="","",IF(ISNA(VLOOKUP($E43,'A-1 Site Habitat Baseline'!$D$1:$X$258,16,FALSE)),"",(VLOOKUP($E43,'A-1 Site Habitat Baseline'!$D$1:$X$258,13,FALSE))))</f>
        <v/>
      </c>
      <c r="P43" s="346" t="str">
        <f>IFERROR(INDEX('G-1 All Habitats'!$AG$3:$AG$15,MATCH(Q43,'G-1 All Habitats'!$AF$3:$AF$15,0)),"")</f>
        <v/>
      </c>
      <c r="Q43" s="347"/>
      <c r="R43" s="347"/>
      <c r="S43" s="605" t="str">
        <f>IFERROR(INDEX('G-1 All Habitats'!$B$3:$B$130,MATCH(R43,'G-1 All Habitats'!$A$3:$A$130,0)),"")</f>
        <v/>
      </c>
      <c r="T43" s="77" t="str">
        <f t="shared" si="9"/>
        <v/>
      </c>
      <c r="U43" s="78" t="str">
        <f t="shared" si="2"/>
        <v/>
      </c>
      <c r="V43" s="350" t="str">
        <f t="shared" si="3"/>
        <v/>
      </c>
      <c r="W43" s="343" t="str">
        <f>IF(S43="","",VLOOKUP(S43,'G-1 All Habitats'!$B$2:$M$130,10,FALSE))</f>
        <v/>
      </c>
      <c r="X43" s="343" t="str">
        <f>IFERROR(VLOOKUP(W43,'G-1 All Habitats'!$V$3:$W$7,2,FALSE),"")</f>
        <v/>
      </c>
      <c r="Y43" s="91"/>
      <c r="Z43" s="345" t="str">
        <f>IFERROR(INDEX('G-8 Condition Look up'!$A$3:$H$131,MATCH(S43,'G-8 Condition Look up'!$A$3:$A$131,0),MATCH(Y43,'G-8 Condition Look up'!$A$3:$H$3,0)),"")</f>
        <v/>
      </c>
      <c r="AA43" s="79"/>
      <c r="AB43" s="343" t="str">
        <f>IF(AA43="","",IF(VLOOKUP(AA43,'G-3 Multipliers'!$L$3:$N$6,2,FALSE)=0,"Spatial Data Missing",VLOOKUP(AA43,'G-3 Multipliers'!$L$3:$N$6,2,FALSE)))</f>
        <v/>
      </c>
      <c r="AC43" s="345" t="str">
        <f>IF(AA43="","",IF(VLOOKUP(AA43,'G-3 Multipliers'!$L$3:$N$6,3,FALSE)=0,"Spatial Data Missing",VLOOKUP(AA43,'G-3 Multipliers'!$L$3:$N$6,3,FALSE)))</f>
        <v/>
      </c>
      <c r="AD43" s="351" t="str">
        <f t="shared" si="0"/>
        <v/>
      </c>
      <c r="AE43" s="94"/>
      <c r="AF43" s="94"/>
      <c r="AG43" s="343" t="str">
        <f t="shared" si="4"/>
        <v/>
      </c>
      <c r="AH43" s="591" t="str">
        <f t="shared" si="5"/>
        <v/>
      </c>
      <c r="AI43" s="353" t="str">
        <f>IF(AH43="Check Data","Check Data",IFERROR(VLOOKUP(AH43,'G-4 Temporal multipliers'!$A$4:$C$36,3,FALSE),""))</f>
        <v/>
      </c>
      <c r="AJ43" s="77" t="str">
        <f>IF(S43="","",VLOOKUP(S43,'G-3 Multipliers'!$A$2:$E$130,4,FALSE))</f>
        <v/>
      </c>
      <c r="AK43" s="348" t="str">
        <f t="shared" si="6"/>
        <v/>
      </c>
      <c r="AL43" s="348" t="str">
        <f t="shared" si="7"/>
        <v/>
      </c>
      <c r="AM43" s="607" t="str">
        <f>IFERROR(IF(F43="","",IF(AH43="Check Data","Check Data",VLOOKUP(AL43, 'G-3 Multipliers'!$P$2:$Q$6,2,FALSE))),””)</f>
        <v/>
      </c>
      <c r="AN43" s="81" t="str">
        <f t="shared" si="8"/>
        <v/>
      </c>
      <c r="AO43" s="355"/>
      <c r="AP43" s="356"/>
    </row>
    <row r="44" spans="1:42" x14ac:dyDescent="0.25">
      <c r="A44" s="52" t="str">
        <f>IF(E44="","",IF(ISNA(VLOOKUP($E44,'A-1 Site Habitat Baseline'!$D$1:$O$258,2,FALSE)),"",(VLOOKUP($E44,'A-1 Site Habitat Baseline'!$D$1:$O$258,2,FALSE))))</f>
        <v/>
      </c>
      <c r="B44" s="52" t="str">
        <f>IF(E44="","",IF(ISNA(VLOOKUP($E44,'A-1 Site Habitat Baseline'!$D$1:$O$258,3,FALSE)),"",(VLOOKUP($E44,'A-1 Site Habitat Baseline'!$D$1:$O$258,3,FALSE))))</f>
        <v/>
      </c>
      <c r="C44" s="52" t="str">
        <f>IFERROR(INDEX('G-8 Condition Look up'!$I$4:$I$131,MATCH(S44,'G-8 Condition Look up'!$A$4:$A$131,0)),"")</f>
        <v/>
      </c>
      <c r="E44" s="342" t="str">
        <f>'A-1 Site Habitat Baseline'!AL43</f>
        <v/>
      </c>
      <c r="F44" s="343" t="str">
        <f>IF(E44="","",IF(ISNA(VLOOKUP($E44,'A-1 Site Habitat Baseline'!$D$1:$O$258,4,FALSE)),"",(VLOOKUP($E44,'A-1 Site Habitat Baseline'!$D$1:$O$258,4,FALSE))))</f>
        <v/>
      </c>
      <c r="G44" s="343" t="str">
        <f>IF(E44="","",IF(ISNA(VLOOKUP($E44,'A-1 Site Habitat Baseline'!$D$1:$O$258,5,FALSE)),"",(VLOOKUP($E44,'A-1 Site Habitat Baseline'!$D$1:$O$258,5,FALSE))))</f>
        <v/>
      </c>
      <c r="H44" s="343" t="str">
        <f>IF(E44="","",IF(ISNA(VLOOKUP($E44,'A-1 Site Habitat Baseline'!$D$1:$O$258,6,FALSE)),"",(VLOOKUP($E44,'A-1 Site Habitat Baseline'!$D$1:$O$258,6,FALSE))))</f>
        <v/>
      </c>
      <c r="I44" s="343" t="str">
        <f>IF(E44="","",IF(ISNA(VLOOKUP($E44,'A-1 Site Habitat Baseline'!$D$1:$O$258,7,FALSE)),"",(VLOOKUP($E44,'A-1 Site Habitat Baseline'!$D$1:$O$258,7,FALSE))))</f>
        <v/>
      </c>
      <c r="J44" s="343" t="str">
        <f>IF(E44="","",IF(ISNA(VLOOKUP($E44,'A-1 Site Habitat Baseline'!$D$1:$O$258,8,FALSE)),"",(VLOOKUP($E44,'A-1 Site Habitat Baseline'!$D$1:$O$258,8,FALSE))))</f>
        <v/>
      </c>
      <c r="K44" s="343" t="str">
        <f>IF(E44="","",IF(ISNA(VLOOKUP($E44,'A-1 Site Habitat Baseline'!$D$1:$O$258,9,FALSE)),"",(VLOOKUP($E44,'A-1 Site Habitat Baseline'!$D$1:$O$258,9,FALSE))))</f>
        <v/>
      </c>
      <c r="L44" s="343" t="str">
        <f>IF(E44="","",IF(ISNA(VLOOKUP($E44,'A-1 Site Habitat Baseline'!$D$1:$O$258,11,FALSE)),"",(VLOOKUP($E44,'A-1 Site Habitat Baseline'!$D$1:$O$258,11,FALSE))))</f>
        <v/>
      </c>
      <c r="M44" s="343" t="str">
        <f>IF(E44="","",IF(ISNA(VLOOKUP($E44,'A-1 Site Habitat Baseline'!$D$1:$O$258,12,FALSE)),"",(VLOOKUP($E44,'A-1 Site Habitat Baseline'!$D$1:$O$258,12,FALSE))))</f>
        <v/>
      </c>
      <c r="N44" s="344" t="str">
        <f>IF(E44="","",IF(ISNA(VLOOKUP($E44,'A-1 Site Habitat Baseline'!$D$1:$X$258,14,FALSE)),"",(VLOOKUP($E44,'A-1 Site Habitat Baseline'!$D$1:$X$258,14,FALSE))))</f>
        <v/>
      </c>
      <c r="O44" s="345" t="str">
        <f>IF(E44="","",IF(ISNA(VLOOKUP($E44,'A-1 Site Habitat Baseline'!$D$1:$X$258,16,FALSE)),"",(VLOOKUP($E44,'A-1 Site Habitat Baseline'!$D$1:$X$258,13,FALSE))))</f>
        <v/>
      </c>
      <c r="P44" s="346" t="str">
        <f>IFERROR(INDEX('G-1 All Habitats'!$AG$3:$AG$15,MATCH(Q44,'G-1 All Habitats'!$AF$3:$AF$15,0)),"")</f>
        <v/>
      </c>
      <c r="Q44" s="347"/>
      <c r="R44" s="347"/>
      <c r="S44" s="605" t="str">
        <f>IFERROR(INDEX('G-1 All Habitats'!$B$3:$B$130,MATCH(R44,'G-1 All Habitats'!$A$3:$A$130,0)),"")</f>
        <v/>
      </c>
      <c r="T44" s="77" t="str">
        <f t="shared" si="9"/>
        <v/>
      </c>
      <c r="U44" s="78" t="str">
        <f t="shared" si="2"/>
        <v/>
      </c>
      <c r="V44" s="350" t="str">
        <f t="shared" si="3"/>
        <v/>
      </c>
      <c r="W44" s="343" t="str">
        <f>IF(S44="","",VLOOKUP(S44,'G-1 All Habitats'!$B$2:$M$130,10,FALSE))</f>
        <v/>
      </c>
      <c r="X44" s="343" t="str">
        <f>IFERROR(VLOOKUP(W44,'G-1 All Habitats'!$V$3:$W$7,2,FALSE),"")</f>
        <v/>
      </c>
      <c r="Y44" s="91"/>
      <c r="Z44" s="345" t="str">
        <f>IFERROR(INDEX('G-8 Condition Look up'!$A$3:$H$131,MATCH(S44,'G-8 Condition Look up'!$A$3:$A$131,0),MATCH(Y44,'G-8 Condition Look up'!$A$3:$H$3,0)),"")</f>
        <v/>
      </c>
      <c r="AA44" s="79"/>
      <c r="AB44" s="343" t="str">
        <f>IF(AA44="","",IF(VLOOKUP(AA44,'G-3 Multipliers'!$L$3:$N$6,2,FALSE)=0,"Spatial Data Missing",VLOOKUP(AA44,'G-3 Multipliers'!$L$3:$N$6,2,FALSE)))</f>
        <v/>
      </c>
      <c r="AC44" s="345" t="str">
        <f>IF(AA44="","",IF(VLOOKUP(AA44,'G-3 Multipliers'!$L$3:$N$6,3,FALSE)=0,"Spatial Data Missing",VLOOKUP(AA44,'G-3 Multipliers'!$L$3:$N$6,3,FALSE)))</f>
        <v/>
      </c>
      <c r="AD44" s="351" t="str">
        <f t="shared" si="0"/>
        <v/>
      </c>
      <c r="AE44" s="94"/>
      <c r="AF44" s="94"/>
      <c r="AG44" s="343" t="str">
        <f t="shared" si="4"/>
        <v/>
      </c>
      <c r="AH44" s="591" t="str">
        <f t="shared" si="5"/>
        <v/>
      </c>
      <c r="AI44" s="353" t="str">
        <f>IF(AH44="Check Data","Check Data",IFERROR(VLOOKUP(AH44,'G-4 Temporal multipliers'!$A$4:$C$36,3,FALSE),""))</f>
        <v/>
      </c>
      <c r="AJ44" s="77" t="str">
        <f>IF(S44="","",VLOOKUP(S44,'G-3 Multipliers'!$A$2:$E$130,4,FALSE))</f>
        <v/>
      </c>
      <c r="AK44" s="348" t="str">
        <f t="shared" si="6"/>
        <v/>
      </c>
      <c r="AL44" s="348" t="str">
        <f t="shared" si="7"/>
        <v/>
      </c>
      <c r="AM44" s="607" t="str">
        <f>IFERROR(IF(F44="","",IF(AH44="Check Data","Check Data",VLOOKUP(AL44, 'G-3 Multipliers'!$P$2:$Q$6,2,FALSE))),””)</f>
        <v/>
      </c>
      <c r="AN44" s="81" t="str">
        <f t="shared" si="8"/>
        <v/>
      </c>
      <c r="AO44" s="355"/>
      <c r="AP44" s="356"/>
    </row>
    <row r="45" spans="1:42" x14ac:dyDescent="0.25">
      <c r="A45" s="52" t="str">
        <f>IF(E45="","",IF(ISNA(VLOOKUP($E45,'A-1 Site Habitat Baseline'!$D$1:$O$258,2,FALSE)),"",(VLOOKUP($E45,'A-1 Site Habitat Baseline'!$D$1:$O$258,2,FALSE))))</f>
        <v/>
      </c>
      <c r="B45" s="52" t="str">
        <f>IF(E45="","",IF(ISNA(VLOOKUP($E45,'A-1 Site Habitat Baseline'!$D$1:$O$258,3,FALSE)),"",(VLOOKUP($E45,'A-1 Site Habitat Baseline'!$D$1:$O$258,3,FALSE))))</f>
        <v/>
      </c>
      <c r="C45" s="52" t="str">
        <f>IFERROR(INDEX('G-8 Condition Look up'!$I$4:$I$131,MATCH(S45,'G-8 Condition Look up'!$A$4:$A$131,0)),"")</f>
        <v/>
      </c>
      <c r="E45" s="342" t="str">
        <f>'A-1 Site Habitat Baseline'!AL44</f>
        <v/>
      </c>
      <c r="F45" s="343" t="str">
        <f>IF(E45="","",IF(ISNA(VLOOKUP($E45,'A-1 Site Habitat Baseline'!$D$1:$O$258,4,FALSE)),"",(VLOOKUP($E45,'A-1 Site Habitat Baseline'!$D$1:$O$258,4,FALSE))))</f>
        <v/>
      </c>
      <c r="G45" s="343" t="str">
        <f>IF(E45="","",IF(ISNA(VLOOKUP($E45,'A-1 Site Habitat Baseline'!$D$1:$O$258,5,FALSE)),"",(VLOOKUP($E45,'A-1 Site Habitat Baseline'!$D$1:$O$258,5,FALSE))))</f>
        <v/>
      </c>
      <c r="H45" s="343" t="str">
        <f>IF(E45="","",IF(ISNA(VLOOKUP($E45,'A-1 Site Habitat Baseline'!$D$1:$O$258,6,FALSE)),"",(VLOOKUP($E45,'A-1 Site Habitat Baseline'!$D$1:$O$258,6,FALSE))))</f>
        <v/>
      </c>
      <c r="I45" s="343" t="str">
        <f>IF(E45="","",IF(ISNA(VLOOKUP($E45,'A-1 Site Habitat Baseline'!$D$1:$O$258,7,FALSE)),"",(VLOOKUP($E45,'A-1 Site Habitat Baseline'!$D$1:$O$258,7,FALSE))))</f>
        <v/>
      </c>
      <c r="J45" s="343" t="str">
        <f>IF(E45="","",IF(ISNA(VLOOKUP($E45,'A-1 Site Habitat Baseline'!$D$1:$O$258,8,FALSE)),"",(VLOOKUP($E45,'A-1 Site Habitat Baseline'!$D$1:$O$258,8,FALSE))))</f>
        <v/>
      </c>
      <c r="K45" s="343" t="str">
        <f>IF(E45="","",IF(ISNA(VLOOKUP($E45,'A-1 Site Habitat Baseline'!$D$1:$O$258,9,FALSE)),"",(VLOOKUP($E45,'A-1 Site Habitat Baseline'!$D$1:$O$258,9,FALSE))))</f>
        <v/>
      </c>
      <c r="L45" s="343" t="str">
        <f>IF(E45="","",IF(ISNA(VLOOKUP($E45,'A-1 Site Habitat Baseline'!$D$1:$O$258,11,FALSE)),"",(VLOOKUP($E45,'A-1 Site Habitat Baseline'!$D$1:$O$258,11,FALSE))))</f>
        <v/>
      </c>
      <c r="M45" s="343" t="str">
        <f>IF(E45="","",IF(ISNA(VLOOKUP($E45,'A-1 Site Habitat Baseline'!$D$1:$O$258,12,FALSE)),"",(VLOOKUP($E45,'A-1 Site Habitat Baseline'!$D$1:$O$258,12,FALSE))))</f>
        <v/>
      </c>
      <c r="N45" s="344" t="str">
        <f>IF(E45="","",IF(ISNA(VLOOKUP($E45,'A-1 Site Habitat Baseline'!$D$1:$X$258,14,FALSE)),"",(VLOOKUP($E45,'A-1 Site Habitat Baseline'!$D$1:$X$258,14,FALSE))))</f>
        <v/>
      </c>
      <c r="O45" s="345" t="str">
        <f>IF(E45="","",IF(ISNA(VLOOKUP($E45,'A-1 Site Habitat Baseline'!$D$1:$X$258,16,FALSE)),"",(VLOOKUP($E45,'A-1 Site Habitat Baseline'!$D$1:$X$258,13,FALSE))))</f>
        <v/>
      </c>
      <c r="P45" s="346" t="str">
        <f>IFERROR(INDEX('G-1 All Habitats'!$AG$3:$AG$15,MATCH(Q45,'G-1 All Habitats'!$AF$3:$AF$15,0)),"")</f>
        <v/>
      </c>
      <c r="Q45" s="347"/>
      <c r="R45" s="347"/>
      <c r="S45" s="605" t="str">
        <f>IFERROR(INDEX('G-1 All Habitats'!$B$3:$B$130,MATCH(R45,'G-1 All Habitats'!$A$3:$A$130,0)),"")</f>
        <v/>
      </c>
      <c r="T45" s="77" t="str">
        <f t="shared" si="9"/>
        <v/>
      </c>
      <c r="U45" s="78" t="str">
        <f t="shared" si="2"/>
        <v/>
      </c>
      <c r="V45" s="350" t="str">
        <f t="shared" si="3"/>
        <v/>
      </c>
      <c r="W45" s="343" t="str">
        <f>IF(S45="","",VLOOKUP(S45,'G-1 All Habitats'!$B$2:$M$130,10,FALSE))</f>
        <v/>
      </c>
      <c r="X45" s="343" t="str">
        <f>IFERROR(VLOOKUP(W45,'G-1 All Habitats'!$V$3:$W$7,2,FALSE),"")</f>
        <v/>
      </c>
      <c r="Y45" s="91"/>
      <c r="Z45" s="345" t="str">
        <f>IFERROR(INDEX('G-8 Condition Look up'!$A$3:$H$131,MATCH(S45,'G-8 Condition Look up'!$A$3:$A$131,0),MATCH(Y45,'G-8 Condition Look up'!$A$3:$H$3,0)),"")</f>
        <v/>
      </c>
      <c r="AA45" s="79"/>
      <c r="AB45" s="343" t="str">
        <f>IF(AA45="","",IF(VLOOKUP(AA45,'G-3 Multipliers'!$L$3:$N$6,2,FALSE)=0,"Spatial Data Missing",VLOOKUP(AA45,'G-3 Multipliers'!$L$3:$N$6,2,FALSE)))</f>
        <v/>
      </c>
      <c r="AC45" s="345" t="str">
        <f>IF(AA45="","",IF(VLOOKUP(AA45,'G-3 Multipliers'!$L$3:$N$6,3,FALSE)=0,"Spatial Data Missing",VLOOKUP(AA45,'G-3 Multipliers'!$L$3:$N$6,3,FALSE)))</f>
        <v/>
      </c>
      <c r="AD45" s="351" t="str">
        <f t="shared" si="0"/>
        <v/>
      </c>
      <c r="AE45" s="94"/>
      <c r="AF45" s="94"/>
      <c r="AG45" s="343" t="str">
        <f t="shared" si="4"/>
        <v/>
      </c>
      <c r="AH45" s="591" t="str">
        <f t="shared" si="5"/>
        <v/>
      </c>
      <c r="AI45" s="353" t="str">
        <f>IF(AH45="Check Data","Check Data",IFERROR(VLOOKUP(AH45,'G-4 Temporal multipliers'!$A$4:$C$36,3,FALSE),""))</f>
        <v/>
      </c>
      <c r="AJ45" s="77" t="str">
        <f>IF(S45="","",VLOOKUP(S45,'G-3 Multipliers'!$A$2:$E$130,4,FALSE))</f>
        <v/>
      </c>
      <c r="AK45" s="348" t="str">
        <f t="shared" si="6"/>
        <v/>
      </c>
      <c r="AL45" s="348" t="str">
        <f t="shared" si="7"/>
        <v/>
      </c>
      <c r="AM45" s="607" t="str">
        <f>IFERROR(IF(F45="","",IF(AH45="Check Data","Check Data",VLOOKUP(AL45, 'G-3 Multipliers'!$P$2:$Q$6,2,FALSE))),””)</f>
        <v/>
      </c>
      <c r="AN45" s="81" t="str">
        <f t="shared" si="8"/>
        <v/>
      </c>
      <c r="AO45" s="355"/>
      <c r="AP45" s="356"/>
    </row>
    <row r="46" spans="1:42" x14ac:dyDescent="0.25">
      <c r="A46" s="52" t="str">
        <f>IF(E46="","",IF(ISNA(VLOOKUP($E46,'A-1 Site Habitat Baseline'!$D$1:$O$258,2,FALSE)),"",(VLOOKUP($E46,'A-1 Site Habitat Baseline'!$D$1:$O$258,2,FALSE))))</f>
        <v/>
      </c>
      <c r="B46" s="52" t="str">
        <f>IF(E46="","",IF(ISNA(VLOOKUP($E46,'A-1 Site Habitat Baseline'!$D$1:$O$258,3,FALSE)),"",(VLOOKUP($E46,'A-1 Site Habitat Baseline'!$D$1:$O$258,3,FALSE))))</f>
        <v/>
      </c>
      <c r="C46" s="52" t="str">
        <f>IFERROR(INDEX('G-8 Condition Look up'!$I$4:$I$131,MATCH(S46,'G-8 Condition Look up'!$A$4:$A$131,0)),"")</f>
        <v/>
      </c>
      <c r="E46" s="342" t="str">
        <f>'A-1 Site Habitat Baseline'!AL45</f>
        <v/>
      </c>
      <c r="F46" s="343" t="str">
        <f>IF(E46="","",IF(ISNA(VLOOKUP($E46,'A-1 Site Habitat Baseline'!$D$1:$O$258,4,FALSE)),"",(VLOOKUP($E46,'A-1 Site Habitat Baseline'!$D$1:$O$258,4,FALSE))))</f>
        <v/>
      </c>
      <c r="G46" s="343" t="str">
        <f>IF(E46="","",IF(ISNA(VLOOKUP($E46,'A-1 Site Habitat Baseline'!$D$1:$O$258,5,FALSE)),"",(VLOOKUP($E46,'A-1 Site Habitat Baseline'!$D$1:$O$258,5,FALSE))))</f>
        <v/>
      </c>
      <c r="H46" s="343" t="str">
        <f>IF(E46="","",IF(ISNA(VLOOKUP($E46,'A-1 Site Habitat Baseline'!$D$1:$O$258,6,FALSE)),"",(VLOOKUP($E46,'A-1 Site Habitat Baseline'!$D$1:$O$258,6,FALSE))))</f>
        <v/>
      </c>
      <c r="I46" s="343" t="str">
        <f>IF(E46="","",IF(ISNA(VLOOKUP($E46,'A-1 Site Habitat Baseline'!$D$1:$O$258,7,FALSE)),"",(VLOOKUP($E46,'A-1 Site Habitat Baseline'!$D$1:$O$258,7,FALSE))))</f>
        <v/>
      </c>
      <c r="J46" s="343" t="str">
        <f>IF(E46="","",IF(ISNA(VLOOKUP($E46,'A-1 Site Habitat Baseline'!$D$1:$O$258,8,FALSE)),"",(VLOOKUP($E46,'A-1 Site Habitat Baseline'!$D$1:$O$258,8,FALSE))))</f>
        <v/>
      </c>
      <c r="K46" s="343" t="str">
        <f>IF(E46="","",IF(ISNA(VLOOKUP($E46,'A-1 Site Habitat Baseline'!$D$1:$O$258,9,FALSE)),"",(VLOOKUP($E46,'A-1 Site Habitat Baseline'!$D$1:$O$258,9,FALSE))))</f>
        <v/>
      </c>
      <c r="L46" s="343" t="str">
        <f>IF(E46="","",IF(ISNA(VLOOKUP($E46,'A-1 Site Habitat Baseline'!$D$1:$O$258,11,FALSE)),"",(VLOOKUP($E46,'A-1 Site Habitat Baseline'!$D$1:$O$258,11,FALSE))))</f>
        <v/>
      </c>
      <c r="M46" s="343" t="str">
        <f>IF(E46="","",IF(ISNA(VLOOKUP($E46,'A-1 Site Habitat Baseline'!$D$1:$O$258,12,FALSE)),"",(VLOOKUP($E46,'A-1 Site Habitat Baseline'!$D$1:$O$258,12,FALSE))))</f>
        <v/>
      </c>
      <c r="N46" s="344" t="str">
        <f>IF(E46="","",IF(ISNA(VLOOKUP($E46,'A-1 Site Habitat Baseline'!$D$1:$X$258,14,FALSE)),"",(VLOOKUP($E46,'A-1 Site Habitat Baseline'!$D$1:$X$258,14,FALSE))))</f>
        <v/>
      </c>
      <c r="O46" s="345" t="str">
        <f>IF(E46="","",IF(ISNA(VLOOKUP($E46,'A-1 Site Habitat Baseline'!$D$1:$X$258,16,FALSE)),"",(VLOOKUP($E46,'A-1 Site Habitat Baseline'!$D$1:$X$258,13,FALSE))))</f>
        <v/>
      </c>
      <c r="P46" s="346" t="str">
        <f>IFERROR(INDEX('G-1 All Habitats'!$AG$3:$AG$15,MATCH(Q46,'G-1 All Habitats'!$AF$3:$AF$15,0)),"")</f>
        <v/>
      </c>
      <c r="Q46" s="347"/>
      <c r="R46" s="347"/>
      <c r="S46" s="605" t="str">
        <f>IFERROR(INDEX('G-1 All Habitats'!$B$3:$B$130,MATCH(R46,'G-1 All Habitats'!$A$3:$A$130,0)),"")</f>
        <v/>
      </c>
      <c r="T46" s="77" t="str">
        <f t="shared" si="9"/>
        <v/>
      </c>
      <c r="U46" s="78" t="str">
        <f t="shared" si="2"/>
        <v/>
      </c>
      <c r="V46" s="350" t="str">
        <f t="shared" si="3"/>
        <v/>
      </c>
      <c r="W46" s="343" t="str">
        <f>IF(S46="","",VLOOKUP(S46,'G-1 All Habitats'!$B$2:$M$130,10,FALSE))</f>
        <v/>
      </c>
      <c r="X46" s="343" t="str">
        <f>IFERROR(VLOOKUP(W46,'G-1 All Habitats'!$V$3:$W$7,2,FALSE),"")</f>
        <v/>
      </c>
      <c r="Y46" s="91"/>
      <c r="Z46" s="345" t="str">
        <f>IFERROR(INDEX('G-8 Condition Look up'!$A$3:$H$131,MATCH(S46,'G-8 Condition Look up'!$A$3:$A$131,0),MATCH(Y46,'G-8 Condition Look up'!$A$3:$H$3,0)),"")</f>
        <v/>
      </c>
      <c r="AA46" s="79"/>
      <c r="AB46" s="343" t="str">
        <f>IF(AA46="","",IF(VLOOKUP(AA46,'G-3 Multipliers'!$L$3:$N$6,2,FALSE)=0,"Spatial Data Missing",VLOOKUP(AA46,'G-3 Multipliers'!$L$3:$N$6,2,FALSE)))</f>
        <v/>
      </c>
      <c r="AC46" s="345" t="str">
        <f>IF(AA46="","",IF(VLOOKUP(AA46,'G-3 Multipliers'!$L$3:$N$6,3,FALSE)=0,"Spatial Data Missing",VLOOKUP(AA46,'G-3 Multipliers'!$L$3:$N$6,3,FALSE)))</f>
        <v/>
      </c>
      <c r="AD46" s="351" t="str">
        <f t="shared" si="0"/>
        <v/>
      </c>
      <c r="AE46" s="94"/>
      <c r="AF46" s="94"/>
      <c r="AG46" s="343" t="str">
        <f t="shared" si="4"/>
        <v/>
      </c>
      <c r="AH46" s="591" t="str">
        <f t="shared" si="5"/>
        <v/>
      </c>
      <c r="AI46" s="353" t="str">
        <f>IF(AH46="Check Data","Check Data",IFERROR(VLOOKUP(AH46,'G-4 Temporal multipliers'!$A$4:$C$36,3,FALSE),""))</f>
        <v/>
      </c>
      <c r="AJ46" s="77" t="str">
        <f>IF(S46="","",VLOOKUP(S46,'G-3 Multipliers'!$A$2:$E$130,4,FALSE))</f>
        <v/>
      </c>
      <c r="AK46" s="348" t="str">
        <f t="shared" si="6"/>
        <v/>
      </c>
      <c r="AL46" s="348" t="str">
        <f t="shared" si="7"/>
        <v/>
      </c>
      <c r="AM46" s="607" t="str">
        <f>IFERROR(IF(F46="","",IF(AH46="Check Data","Check Data",VLOOKUP(AL46, 'G-3 Multipliers'!$P$2:$Q$6,2,FALSE))),””)</f>
        <v/>
      </c>
      <c r="AN46" s="81" t="str">
        <f t="shared" si="8"/>
        <v/>
      </c>
      <c r="AO46" s="355"/>
      <c r="AP46" s="356"/>
    </row>
    <row r="47" spans="1:42" x14ac:dyDescent="0.25">
      <c r="A47" s="52" t="str">
        <f>IF(E47="","",IF(ISNA(VLOOKUP($E47,'A-1 Site Habitat Baseline'!$D$1:$O$258,2,FALSE)),"",(VLOOKUP($E47,'A-1 Site Habitat Baseline'!$D$1:$O$258,2,FALSE))))</f>
        <v/>
      </c>
      <c r="B47" s="52" t="str">
        <f>IF(E47="","",IF(ISNA(VLOOKUP($E47,'A-1 Site Habitat Baseline'!$D$1:$O$258,3,FALSE)),"",(VLOOKUP($E47,'A-1 Site Habitat Baseline'!$D$1:$O$258,3,FALSE))))</f>
        <v/>
      </c>
      <c r="C47" s="52" t="str">
        <f>IFERROR(INDEX('G-8 Condition Look up'!$I$4:$I$131,MATCH(S47,'G-8 Condition Look up'!$A$4:$A$131,0)),"")</f>
        <v/>
      </c>
      <c r="E47" s="342" t="str">
        <f>'A-1 Site Habitat Baseline'!AL46</f>
        <v/>
      </c>
      <c r="F47" s="343" t="str">
        <f>IF(E47="","",IF(ISNA(VLOOKUP($E47,'A-1 Site Habitat Baseline'!$D$1:$O$258,4,FALSE)),"",(VLOOKUP($E47,'A-1 Site Habitat Baseline'!$D$1:$O$258,4,FALSE))))</f>
        <v/>
      </c>
      <c r="G47" s="343" t="str">
        <f>IF(E47="","",IF(ISNA(VLOOKUP($E47,'A-1 Site Habitat Baseline'!$D$1:$O$258,5,FALSE)),"",(VLOOKUP($E47,'A-1 Site Habitat Baseline'!$D$1:$O$258,5,FALSE))))</f>
        <v/>
      </c>
      <c r="H47" s="343" t="str">
        <f>IF(E47="","",IF(ISNA(VLOOKUP($E47,'A-1 Site Habitat Baseline'!$D$1:$O$258,6,FALSE)),"",(VLOOKUP($E47,'A-1 Site Habitat Baseline'!$D$1:$O$258,6,FALSE))))</f>
        <v/>
      </c>
      <c r="I47" s="343" t="str">
        <f>IF(E47="","",IF(ISNA(VLOOKUP($E47,'A-1 Site Habitat Baseline'!$D$1:$O$258,7,FALSE)),"",(VLOOKUP($E47,'A-1 Site Habitat Baseline'!$D$1:$O$258,7,FALSE))))</f>
        <v/>
      </c>
      <c r="J47" s="343" t="str">
        <f>IF(E47="","",IF(ISNA(VLOOKUP($E47,'A-1 Site Habitat Baseline'!$D$1:$O$258,8,FALSE)),"",(VLOOKUP($E47,'A-1 Site Habitat Baseline'!$D$1:$O$258,8,FALSE))))</f>
        <v/>
      </c>
      <c r="K47" s="343" t="str">
        <f>IF(E47="","",IF(ISNA(VLOOKUP($E47,'A-1 Site Habitat Baseline'!$D$1:$O$258,9,FALSE)),"",(VLOOKUP($E47,'A-1 Site Habitat Baseline'!$D$1:$O$258,9,FALSE))))</f>
        <v/>
      </c>
      <c r="L47" s="343" t="str">
        <f>IF(E47="","",IF(ISNA(VLOOKUP($E47,'A-1 Site Habitat Baseline'!$D$1:$O$258,11,FALSE)),"",(VLOOKUP($E47,'A-1 Site Habitat Baseline'!$D$1:$O$258,11,FALSE))))</f>
        <v/>
      </c>
      <c r="M47" s="343" t="str">
        <f>IF(E47="","",IF(ISNA(VLOOKUP($E47,'A-1 Site Habitat Baseline'!$D$1:$O$258,12,FALSE)),"",(VLOOKUP($E47,'A-1 Site Habitat Baseline'!$D$1:$O$258,12,FALSE))))</f>
        <v/>
      </c>
      <c r="N47" s="344" t="str">
        <f>IF(E47="","",IF(ISNA(VLOOKUP($E47,'A-1 Site Habitat Baseline'!$D$1:$X$258,14,FALSE)),"",(VLOOKUP($E47,'A-1 Site Habitat Baseline'!$D$1:$X$258,14,FALSE))))</f>
        <v/>
      </c>
      <c r="O47" s="345" t="str">
        <f>IF(E47="","",IF(ISNA(VLOOKUP($E47,'A-1 Site Habitat Baseline'!$D$1:$X$258,16,FALSE)),"",(VLOOKUP($E47,'A-1 Site Habitat Baseline'!$D$1:$X$258,13,FALSE))))</f>
        <v/>
      </c>
      <c r="P47" s="346" t="str">
        <f>IFERROR(INDEX('G-1 All Habitats'!$AG$3:$AG$15,MATCH(Q47,'G-1 All Habitats'!$AF$3:$AF$15,0)),"")</f>
        <v/>
      </c>
      <c r="Q47" s="347"/>
      <c r="R47" s="347"/>
      <c r="S47" s="605" t="str">
        <f>IFERROR(INDEX('G-1 All Habitats'!$B$3:$B$130,MATCH(R47,'G-1 All Habitats'!$A$3:$A$130,0)),"")</f>
        <v/>
      </c>
      <c r="T47" s="77" t="str">
        <f t="shared" si="9"/>
        <v/>
      </c>
      <c r="U47" s="78" t="str">
        <f t="shared" si="2"/>
        <v/>
      </c>
      <c r="V47" s="350" t="str">
        <f t="shared" si="3"/>
        <v/>
      </c>
      <c r="W47" s="343" t="str">
        <f>IF(S47="","",VLOOKUP(S47,'G-1 All Habitats'!$B$2:$M$130,10,FALSE))</f>
        <v/>
      </c>
      <c r="X47" s="343" t="str">
        <f>IFERROR(VLOOKUP(W47,'G-1 All Habitats'!$V$3:$W$7,2,FALSE),"")</f>
        <v/>
      </c>
      <c r="Y47" s="91"/>
      <c r="Z47" s="345" t="str">
        <f>IFERROR(INDEX('G-8 Condition Look up'!$A$3:$H$131,MATCH(S47,'G-8 Condition Look up'!$A$3:$A$131,0),MATCH(Y47,'G-8 Condition Look up'!$A$3:$H$3,0)),"")</f>
        <v/>
      </c>
      <c r="AA47" s="79"/>
      <c r="AB47" s="343" t="str">
        <f>IF(AA47="","",IF(VLOOKUP(AA47,'G-3 Multipliers'!$L$3:$N$6,2,FALSE)=0,"Spatial Data Missing",VLOOKUP(AA47,'G-3 Multipliers'!$L$3:$N$6,2,FALSE)))</f>
        <v/>
      </c>
      <c r="AC47" s="345" t="str">
        <f>IF(AA47="","",IF(VLOOKUP(AA47,'G-3 Multipliers'!$L$3:$N$6,3,FALSE)=0,"Spatial Data Missing",VLOOKUP(AA47,'G-3 Multipliers'!$L$3:$N$6,3,FALSE)))</f>
        <v/>
      </c>
      <c r="AD47" s="351" t="str">
        <f t="shared" si="0"/>
        <v/>
      </c>
      <c r="AE47" s="94"/>
      <c r="AF47" s="94"/>
      <c r="AG47" s="343" t="str">
        <f t="shared" si="4"/>
        <v/>
      </c>
      <c r="AH47" s="591" t="str">
        <f t="shared" si="5"/>
        <v/>
      </c>
      <c r="AI47" s="353" t="str">
        <f>IF(AH47="Check Data","Check Data",IFERROR(VLOOKUP(AH47,'G-4 Temporal multipliers'!$A$4:$C$36,3,FALSE),""))</f>
        <v/>
      </c>
      <c r="AJ47" s="77" t="str">
        <f>IF(S47="","",VLOOKUP(S47,'G-3 Multipliers'!$A$2:$E$130,4,FALSE))</f>
        <v/>
      </c>
      <c r="AK47" s="348" t="str">
        <f t="shared" si="6"/>
        <v/>
      </c>
      <c r="AL47" s="348" t="str">
        <f t="shared" si="7"/>
        <v/>
      </c>
      <c r="AM47" s="607" t="str">
        <f>IFERROR(IF(F47="","",IF(AH47="Check Data","Check Data",VLOOKUP(AL47, 'G-3 Multipliers'!$P$2:$Q$6,2,FALSE))),””)</f>
        <v/>
      </c>
      <c r="AN47" s="81" t="str">
        <f t="shared" si="8"/>
        <v/>
      </c>
      <c r="AO47" s="355"/>
      <c r="AP47" s="356"/>
    </row>
    <row r="48" spans="1:42" x14ac:dyDescent="0.25">
      <c r="A48" s="52" t="str">
        <f>IF(E48="","",IF(ISNA(VLOOKUP($E48,'A-1 Site Habitat Baseline'!$D$1:$O$258,2,FALSE)),"",(VLOOKUP($E48,'A-1 Site Habitat Baseline'!$D$1:$O$258,2,FALSE))))</f>
        <v/>
      </c>
      <c r="B48" s="52" t="str">
        <f>IF(E48="","",IF(ISNA(VLOOKUP($E48,'A-1 Site Habitat Baseline'!$D$1:$O$258,3,FALSE)),"",(VLOOKUP($E48,'A-1 Site Habitat Baseline'!$D$1:$O$258,3,FALSE))))</f>
        <v/>
      </c>
      <c r="C48" s="52" t="str">
        <f>IFERROR(INDEX('G-8 Condition Look up'!$I$4:$I$131,MATCH(S48,'G-8 Condition Look up'!$A$4:$A$131,0)),"")</f>
        <v/>
      </c>
      <c r="E48" s="342" t="str">
        <f>'A-1 Site Habitat Baseline'!AL47</f>
        <v/>
      </c>
      <c r="F48" s="343" t="str">
        <f>IF(E48="","",IF(ISNA(VLOOKUP($E48,'A-1 Site Habitat Baseline'!$D$1:$O$258,4,FALSE)),"",(VLOOKUP($E48,'A-1 Site Habitat Baseline'!$D$1:$O$258,4,FALSE))))</f>
        <v/>
      </c>
      <c r="G48" s="343" t="str">
        <f>IF(E48="","",IF(ISNA(VLOOKUP($E48,'A-1 Site Habitat Baseline'!$D$1:$O$258,5,FALSE)),"",(VLOOKUP($E48,'A-1 Site Habitat Baseline'!$D$1:$O$258,5,FALSE))))</f>
        <v/>
      </c>
      <c r="H48" s="343" t="str">
        <f>IF(E48="","",IF(ISNA(VLOOKUP($E48,'A-1 Site Habitat Baseline'!$D$1:$O$258,6,FALSE)),"",(VLOOKUP($E48,'A-1 Site Habitat Baseline'!$D$1:$O$258,6,FALSE))))</f>
        <v/>
      </c>
      <c r="I48" s="343" t="str">
        <f>IF(E48="","",IF(ISNA(VLOOKUP($E48,'A-1 Site Habitat Baseline'!$D$1:$O$258,7,FALSE)),"",(VLOOKUP($E48,'A-1 Site Habitat Baseline'!$D$1:$O$258,7,FALSE))))</f>
        <v/>
      </c>
      <c r="J48" s="343" t="str">
        <f>IF(E48="","",IF(ISNA(VLOOKUP($E48,'A-1 Site Habitat Baseline'!$D$1:$O$258,8,FALSE)),"",(VLOOKUP($E48,'A-1 Site Habitat Baseline'!$D$1:$O$258,8,FALSE))))</f>
        <v/>
      </c>
      <c r="K48" s="343" t="str">
        <f>IF(E48="","",IF(ISNA(VLOOKUP($E48,'A-1 Site Habitat Baseline'!$D$1:$O$258,9,FALSE)),"",(VLOOKUP($E48,'A-1 Site Habitat Baseline'!$D$1:$O$258,9,FALSE))))</f>
        <v/>
      </c>
      <c r="L48" s="343" t="str">
        <f>IF(E48="","",IF(ISNA(VLOOKUP($E48,'A-1 Site Habitat Baseline'!$D$1:$O$258,11,FALSE)),"",(VLOOKUP($E48,'A-1 Site Habitat Baseline'!$D$1:$O$258,11,FALSE))))</f>
        <v/>
      </c>
      <c r="M48" s="343" t="str">
        <f>IF(E48="","",IF(ISNA(VLOOKUP($E48,'A-1 Site Habitat Baseline'!$D$1:$O$258,12,FALSE)),"",(VLOOKUP($E48,'A-1 Site Habitat Baseline'!$D$1:$O$258,12,FALSE))))</f>
        <v/>
      </c>
      <c r="N48" s="344" t="str">
        <f>IF(E48="","",IF(ISNA(VLOOKUP($E48,'A-1 Site Habitat Baseline'!$D$1:$X$258,14,FALSE)),"",(VLOOKUP($E48,'A-1 Site Habitat Baseline'!$D$1:$X$258,14,FALSE))))</f>
        <v/>
      </c>
      <c r="O48" s="345" t="str">
        <f>IF(E48="","",IF(ISNA(VLOOKUP($E48,'A-1 Site Habitat Baseline'!$D$1:$X$258,16,FALSE)),"",(VLOOKUP($E48,'A-1 Site Habitat Baseline'!$D$1:$X$258,13,FALSE))))</f>
        <v/>
      </c>
      <c r="P48" s="346" t="str">
        <f>IFERROR(INDEX('G-1 All Habitats'!$AG$3:$AG$15,MATCH(Q48,'G-1 All Habitats'!$AF$3:$AF$15,0)),"")</f>
        <v/>
      </c>
      <c r="Q48" s="347"/>
      <c r="R48" s="347"/>
      <c r="S48" s="605" t="str">
        <f>IFERROR(INDEX('G-1 All Habitats'!$B$3:$B$130,MATCH(R48,'G-1 All Habitats'!$A$3:$A$130,0)),"")</f>
        <v/>
      </c>
      <c r="T48" s="77" t="str">
        <f t="shared" si="9"/>
        <v/>
      </c>
      <c r="U48" s="78" t="str">
        <f t="shared" si="2"/>
        <v/>
      </c>
      <c r="V48" s="350" t="str">
        <f t="shared" si="3"/>
        <v/>
      </c>
      <c r="W48" s="343" t="str">
        <f>IF(S48="","",VLOOKUP(S48,'G-1 All Habitats'!$B$2:$M$130,10,FALSE))</f>
        <v/>
      </c>
      <c r="X48" s="343" t="str">
        <f>IFERROR(VLOOKUP(W48,'G-1 All Habitats'!$V$3:$W$7,2,FALSE),"")</f>
        <v/>
      </c>
      <c r="Y48" s="91"/>
      <c r="Z48" s="345" t="str">
        <f>IFERROR(INDEX('G-8 Condition Look up'!$A$3:$H$131,MATCH(S48,'G-8 Condition Look up'!$A$3:$A$131,0),MATCH(Y48,'G-8 Condition Look up'!$A$3:$H$3,0)),"")</f>
        <v/>
      </c>
      <c r="AA48" s="79"/>
      <c r="AB48" s="343" t="str">
        <f>IF(AA48="","",IF(VLOOKUP(AA48,'G-3 Multipliers'!$L$3:$N$6,2,FALSE)=0,"Spatial Data Missing",VLOOKUP(AA48,'G-3 Multipliers'!$L$3:$N$6,2,FALSE)))</f>
        <v/>
      </c>
      <c r="AC48" s="345" t="str">
        <f>IF(AA48="","",IF(VLOOKUP(AA48,'G-3 Multipliers'!$L$3:$N$6,3,FALSE)=0,"Spatial Data Missing",VLOOKUP(AA48,'G-3 Multipliers'!$L$3:$N$6,3,FALSE)))</f>
        <v/>
      </c>
      <c r="AD48" s="351" t="str">
        <f t="shared" si="0"/>
        <v/>
      </c>
      <c r="AE48" s="94"/>
      <c r="AF48" s="94"/>
      <c r="AG48" s="343" t="str">
        <f t="shared" si="4"/>
        <v/>
      </c>
      <c r="AH48" s="591" t="str">
        <f t="shared" si="5"/>
        <v/>
      </c>
      <c r="AI48" s="353" t="str">
        <f>IF(AH48="Check Data","Check Data",IFERROR(VLOOKUP(AH48,'G-4 Temporal multipliers'!$A$4:$C$36,3,FALSE),""))</f>
        <v/>
      </c>
      <c r="AJ48" s="77" t="str">
        <f>IF(S48="","",VLOOKUP(S48,'G-3 Multipliers'!$A$2:$E$130,4,FALSE))</f>
        <v/>
      </c>
      <c r="AK48" s="348" t="str">
        <f t="shared" si="6"/>
        <v/>
      </c>
      <c r="AL48" s="348" t="str">
        <f t="shared" si="7"/>
        <v/>
      </c>
      <c r="AM48" s="607" t="str">
        <f>IFERROR(IF(F48="","",IF(AH48="Check Data","Check Data",VLOOKUP(AL48, 'G-3 Multipliers'!$P$2:$Q$6,2,FALSE))),””)</f>
        <v/>
      </c>
      <c r="AN48" s="81" t="str">
        <f t="shared" si="8"/>
        <v/>
      </c>
      <c r="AO48" s="355"/>
      <c r="AP48" s="356"/>
    </row>
    <row r="49" spans="1:42" x14ac:dyDescent="0.25">
      <c r="A49" s="52" t="str">
        <f>IF(E49="","",IF(ISNA(VLOOKUP($E49,'A-1 Site Habitat Baseline'!$D$1:$O$258,2,FALSE)),"",(VLOOKUP($E49,'A-1 Site Habitat Baseline'!$D$1:$O$258,2,FALSE))))</f>
        <v/>
      </c>
      <c r="B49" s="52" t="str">
        <f>IF(E49="","",IF(ISNA(VLOOKUP($E49,'A-1 Site Habitat Baseline'!$D$1:$O$258,3,FALSE)),"",(VLOOKUP($E49,'A-1 Site Habitat Baseline'!$D$1:$O$258,3,FALSE))))</f>
        <v/>
      </c>
      <c r="C49" s="52" t="str">
        <f>IFERROR(INDEX('G-8 Condition Look up'!$I$4:$I$131,MATCH(S49,'G-8 Condition Look up'!$A$4:$A$131,0)),"")</f>
        <v/>
      </c>
      <c r="E49" s="342" t="str">
        <f>'A-1 Site Habitat Baseline'!AL48</f>
        <v/>
      </c>
      <c r="F49" s="343" t="str">
        <f>IF(E49="","",IF(ISNA(VLOOKUP($E49,'A-1 Site Habitat Baseline'!$D$1:$O$258,4,FALSE)),"",(VLOOKUP($E49,'A-1 Site Habitat Baseline'!$D$1:$O$258,4,FALSE))))</f>
        <v/>
      </c>
      <c r="G49" s="343" t="str">
        <f>IF(E49="","",IF(ISNA(VLOOKUP($E49,'A-1 Site Habitat Baseline'!$D$1:$O$258,5,FALSE)),"",(VLOOKUP($E49,'A-1 Site Habitat Baseline'!$D$1:$O$258,5,FALSE))))</f>
        <v/>
      </c>
      <c r="H49" s="343" t="str">
        <f>IF(E49="","",IF(ISNA(VLOOKUP($E49,'A-1 Site Habitat Baseline'!$D$1:$O$258,6,FALSE)),"",(VLOOKUP($E49,'A-1 Site Habitat Baseline'!$D$1:$O$258,6,FALSE))))</f>
        <v/>
      </c>
      <c r="I49" s="343" t="str">
        <f>IF(E49="","",IF(ISNA(VLOOKUP($E49,'A-1 Site Habitat Baseline'!$D$1:$O$258,7,FALSE)),"",(VLOOKUP($E49,'A-1 Site Habitat Baseline'!$D$1:$O$258,7,FALSE))))</f>
        <v/>
      </c>
      <c r="J49" s="343" t="str">
        <f>IF(E49="","",IF(ISNA(VLOOKUP($E49,'A-1 Site Habitat Baseline'!$D$1:$O$258,8,FALSE)),"",(VLOOKUP($E49,'A-1 Site Habitat Baseline'!$D$1:$O$258,8,FALSE))))</f>
        <v/>
      </c>
      <c r="K49" s="343" t="str">
        <f>IF(E49="","",IF(ISNA(VLOOKUP($E49,'A-1 Site Habitat Baseline'!$D$1:$O$258,9,FALSE)),"",(VLOOKUP($E49,'A-1 Site Habitat Baseline'!$D$1:$O$258,9,FALSE))))</f>
        <v/>
      </c>
      <c r="L49" s="343" t="str">
        <f>IF(E49="","",IF(ISNA(VLOOKUP($E49,'A-1 Site Habitat Baseline'!$D$1:$O$258,11,FALSE)),"",(VLOOKUP($E49,'A-1 Site Habitat Baseline'!$D$1:$O$258,11,FALSE))))</f>
        <v/>
      </c>
      <c r="M49" s="343" t="str">
        <f>IF(E49="","",IF(ISNA(VLOOKUP($E49,'A-1 Site Habitat Baseline'!$D$1:$O$258,12,FALSE)),"",(VLOOKUP($E49,'A-1 Site Habitat Baseline'!$D$1:$O$258,12,FALSE))))</f>
        <v/>
      </c>
      <c r="N49" s="344" t="str">
        <f>IF(E49="","",IF(ISNA(VLOOKUP($E49,'A-1 Site Habitat Baseline'!$D$1:$X$258,14,FALSE)),"",(VLOOKUP($E49,'A-1 Site Habitat Baseline'!$D$1:$X$258,14,FALSE))))</f>
        <v/>
      </c>
      <c r="O49" s="345" t="str">
        <f>IF(E49="","",IF(ISNA(VLOOKUP($E49,'A-1 Site Habitat Baseline'!$D$1:$X$258,16,FALSE)),"",(VLOOKUP($E49,'A-1 Site Habitat Baseline'!$D$1:$X$258,13,FALSE))))</f>
        <v/>
      </c>
      <c r="P49" s="346" t="str">
        <f>IFERROR(INDEX('G-1 All Habitats'!$AG$3:$AG$15,MATCH(Q49,'G-1 All Habitats'!$AF$3:$AF$15,0)),"")</f>
        <v/>
      </c>
      <c r="Q49" s="347"/>
      <c r="R49" s="347"/>
      <c r="S49" s="605" t="str">
        <f>IFERROR(INDEX('G-1 All Habitats'!$B$3:$B$130,MATCH(R49,'G-1 All Habitats'!$A$3:$A$130,0)),"")</f>
        <v/>
      </c>
      <c r="T49" s="77" t="str">
        <f t="shared" si="9"/>
        <v/>
      </c>
      <c r="U49" s="78" t="str">
        <f t="shared" si="2"/>
        <v/>
      </c>
      <c r="V49" s="350" t="str">
        <f t="shared" si="3"/>
        <v/>
      </c>
      <c r="W49" s="343" t="str">
        <f>IF(S49="","",VLOOKUP(S49,'G-1 All Habitats'!$B$2:$M$130,10,FALSE))</f>
        <v/>
      </c>
      <c r="X49" s="343" t="str">
        <f>IFERROR(VLOOKUP(W49,'G-1 All Habitats'!$V$3:$W$7,2,FALSE),"")</f>
        <v/>
      </c>
      <c r="Y49" s="91"/>
      <c r="Z49" s="345" t="str">
        <f>IFERROR(INDEX('G-8 Condition Look up'!$A$3:$H$131,MATCH(S49,'G-8 Condition Look up'!$A$3:$A$131,0),MATCH(Y49,'G-8 Condition Look up'!$A$3:$H$3,0)),"")</f>
        <v/>
      </c>
      <c r="AA49" s="79"/>
      <c r="AB49" s="343" t="str">
        <f>IF(AA49="","",IF(VLOOKUP(AA49,'G-3 Multipliers'!$L$3:$N$6,2,FALSE)=0,"Spatial Data Missing",VLOOKUP(AA49,'G-3 Multipliers'!$L$3:$N$6,2,FALSE)))</f>
        <v/>
      </c>
      <c r="AC49" s="345" t="str">
        <f>IF(AA49="","",IF(VLOOKUP(AA49,'G-3 Multipliers'!$L$3:$N$6,3,FALSE)=0,"Spatial Data Missing",VLOOKUP(AA49,'G-3 Multipliers'!$L$3:$N$6,3,FALSE)))</f>
        <v/>
      </c>
      <c r="AD49" s="351" t="str">
        <f t="shared" si="0"/>
        <v/>
      </c>
      <c r="AE49" s="94"/>
      <c r="AF49" s="94"/>
      <c r="AG49" s="343" t="str">
        <f t="shared" si="4"/>
        <v/>
      </c>
      <c r="AH49" s="591" t="str">
        <f t="shared" si="5"/>
        <v/>
      </c>
      <c r="AI49" s="353" t="str">
        <f>IF(AH49="Check Data","Check Data",IFERROR(VLOOKUP(AH49,'G-4 Temporal multipliers'!$A$4:$C$36,3,FALSE),""))</f>
        <v/>
      </c>
      <c r="AJ49" s="77" t="str">
        <f>IF(S49="","",VLOOKUP(S49,'G-3 Multipliers'!$A$2:$E$130,4,FALSE))</f>
        <v/>
      </c>
      <c r="AK49" s="348" t="str">
        <f t="shared" si="6"/>
        <v/>
      </c>
      <c r="AL49" s="348" t="str">
        <f t="shared" si="7"/>
        <v/>
      </c>
      <c r="AM49" s="607" t="str">
        <f>IFERROR(IF(F49="","",IF(AH49="Check Data","Check Data",VLOOKUP(AL49, 'G-3 Multipliers'!$P$2:$Q$6,2,FALSE))),””)</f>
        <v/>
      </c>
      <c r="AN49" s="81" t="str">
        <f t="shared" si="8"/>
        <v/>
      </c>
      <c r="AO49" s="355"/>
      <c r="AP49" s="356"/>
    </row>
    <row r="50" spans="1:42" x14ac:dyDescent="0.25">
      <c r="A50" s="52" t="str">
        <f>IF(E50="","",IF(ISNA(VLOOKUP($E50,'A-1 Site Habitat Baseline'!$D$1:$O$258,2,FALSE)),"",(VLOOKUP($E50,'A-1 Site Habitat Baseline'!$D$1:$O$258,2,FALSE))))</f>
        <v/>
      </c>
      <c r="B50" s="52" t="str">
        <f>IF(E50="","",IF(ISNA(VLOOKUP($E50,'A-1 Site Habitat Baseline'!$D$1:$O$258,3,FALSE)),"",(VLOOKUP($E50,'A-1 Site Habitat Baseline'!$D$1:$O$258,3,FALSE))))</f>
        <v/>
      </c>
      <c r="C50" s="52" t="str">
        <f>IFERROR(INDEX('G-8 Condition Look up'!$I$4:$I$131,MATCH(S50,'G-8 Condition Look up'!$A$4:$A$131,0)),"")</f>
        <v/>
      </c>
      <c r="E50" s="342" t="str">
        <f>'A-1 Site Habitat Baseline'!AL49</f>
        <v/>
      </c>
      <c r="F50" s="343" t="str">
        <f>IF(E50="","",IF(ISNA(VLOOKUP($E50,'A-1 Site Habitat Baseline'!$D$1:$O$258,4,FALSE)),"",(VLOOKUP($E50,'A-1 Site Habitat Baseline'!$D$1:$O$258,4,FALSE))))</f>
        <v/>
      </c>
      <c r="G50" s="343" t="str">
        <f>IF(E50="","",IF(ISNA(VLOOKUP($E50,'A-1 Site Habitat Baseline'!$D$1:$O$258,5,FALSE)),"",(VLOOKUP($E50,'A-1 Site Habitat Baseline'!$D$1:$O$258,5,FALSE))))</f>
        <v/>
      </c>
      <c r="H50" s="343" t="str">
        <f>IF(E50="","",IF(ISNA(VLOOKUP($E50,'A-1 Site Habitat Baseline'!$D$1:$O$258,6,FALSE)),"",(VLOOKUP($E50,'A-1 Site Habitat Baseline'!$D$1:$O$258,6,FALSE))))</f>
        <v/>
      </c>
      <c r="I50" s="343" t="str">
        <f>IF(E50="","",IF(ISNA(VLOOKUP($E50,'A-1 Site Habitat Baseline'!$D$1:$O$258,7,FALSE)),"",(VLOOKUP($E50,'A-1 Site Habitat Baseline'!$D$1:$O$258,7,FALSE))))</f>
        <v/>
      </c>
      <c r="J50" s="343" t="str">
        <f>IF(E50="","",IF(ISNA(VLOOKUP($E50,'A-1 Site Habitat Baseline'!$D$1:$O$258,8,FALSE)),"",(VLOOKUP($E50,'A-1 Site Habitat Baseline'!$D$1:$O$258,8,FALSE))))</f>
        <v/>
      </c>
      <c r="K50" s="343" t="str">
        <f>IF(E50="","",IF(ISNA(VLOOKUP($E50,'A-1 Site Habitat Baseline'!$D$1:$O$258,9,FALSE)),"",(VLOOKUP($E50,'A-1 Site Habitat Baseline'!$D$1:$O$258,9,FALSE))))</f>
        <v/>
      </c>
      <c r="L50" s="343" t="str">
        <f>IF(E50="","",IF(ISNA(VLOOKUP($E50,'A-1 Site Habitat Baseline'!$D$1:$O$258,11,FALSE)),"",(VLOOKUP($E50,'A-1 Site Habitat Baseline'!$D$1:$O$258,11,FALSE))))</f>
        <v/>
      </c>
      <c r="M50" s="343" t="str">
        <f>IF(E50="","",IF(ISNA(VLOOKUP($E50,'A-1 Site Habitat Baseline'!$D$1:$O$258,12,FALSE)),"",(VLOOKUP($E50,'A-1 Site Habitat Baseline'!$D$1:$O$258,12,FALSE))))</f>
        <v/>
      </c>
      <c r="N50" s="344" t="str">
        <f>IF(E50="","",IF(ISNA(VLOOKUP($E50,'A-1 Site Habitat Baseline'!$D$1:$X$258,14,FALSE)),"",(VLOOKUP($E50,'A-1 Site Habitat Baseline'!$D$1:$X$258,14,FALSE))))</f>
        <v/>
      </c>
      <c r="O50" s="345" t="str">
        <f>IF(E50="","",IF(ISNA(VLOOKUP($E50,'A-1 Site Habitat Baseline'!$D$1:$X$258,16,FALSE)),"",(VLOOKUP($E50,'A-1 Site Habitat Baseline'!$D$1:$X$258,13,FALSE))))</f>
        <v/>
      </c>
      <c r="P50" s="346" t="str">
        <f>IFERROR(INDEX('G-1 All Habitats'!$AG$3:$AG$15,MATCH(Q50,'G-1 All Habitats'!$AF$3:$AF$15,0)),"")</f>
        <v/>
      </c>
      <c r="Q50" s="347"/>
      <c r="R50" s="347"/>
      <c r="S50" s="605" t="str">
        <f>IFERROR(INDEX('G-1 All Habitats'!$B$3:$B$130,MATCH(R50,'G-1 All Habitats'!$A$3:$A$130,0)),"")</f>
        <v/>
      </c>
      <c r="T50" s="77" t="str">
        <f t="shared" si="9"/>
        <v/>
      </c>
      <c r="U50" s="78" t="str">
        <f t="shared" si="2"/>
        <v/>
      </c>
      <c r="V50" s="350" t="str">
        <f t="shared" si="3"/>
        <v/>
      </c>
      <c r="W50" s="343" t="str">
        <f>IF(S50="","",VLOOKUP(S50,'G-1 All Habitats'!$B$2:$M$130,10,FALSE))</f>
        <v/>
      </c>
      <c r="X50" s="343" t="str">
        <f>IFERROR(VLOOKUP(W50,'G-1 All Habitats'!$V$3:$W$7,2,FALSE),"")</f>
        <v/>
      </c>
      <c r="Y50" s="91"/>
      <c r="Z50" s="345" t="str">
        <f>IFERROR(INDEX('G-8 Condition Look up'!$A$3:$H$131,MATCH(S50,'G-8 Condition Look up'!$A$3:$A$131,0),MATCH(Y50,'G-8 Condition Look up'!$A$3:$H$3,0)),"")</f>
        <v/>
      </c>
      <c r="AA50" s="79"/>
      <c r="AB50" s="343" t="str">
        <f>IF(AA50="","",IF(VLOOKUP(AA50,'G-3 Multipliers'!$L$3:$N$6,2,FALSE)=0,"Spatial Data Missing",VLOOKUP(AA50,'G-3 Multipliers'!$L$3:$N$6,2,FALSE)))</f>
        <v/>
      </c>
      <c r="AC50" s="345" t="str">
        <f>IF(AA50="","",IF(VLOOKUP(AA50,'G-3 Multipliers'!$L$3:$N$6,3,FALSE)=0,"Spatial Data Missing",VLOOKUP(AA50,'G-3 Multipliers'!$L$3:$N$6,3,FALSE)))</f>
        <v/>
      </c>
      <c r="AD50" s="351" t="str">
        <f t="shared" si="0"/>
        <v/>
      </c>
      <c r="AE50" s="94"/>
      <c r="AF50" s="94"/>
      <c r="AG50" s="343" t="str">
        <f t="shared" si="4"/>
        <v/>
      </c>
      <c r="AH50" s="591" t="str">
        <f t="shared" si="5"/>
        <v/>
      </c>
      <c r="AI50" s="353" t="str">
        <f>IF(AH50="Check Data","Check Data",IFERROR(VLOOKUP(AH50,'G-4 Temporal multipliers'!$A$4:$C$36,3,FALSE),""))</f>
        <v/>
      </c>
      <c r="AJ50" s="77" t="str">
        <f>IF(S50="","",VLOOKUP(S50,'G-3 Multipliers'!$A$2:$E$130,4,FALSE))</f>
        <v/>
      </c>
      <c r="AK50" s="348" t="str">
        <f t="shared" si="6"/>
        <v/>
      </c>
      <c r="AL50" s="348" t="str">
        <f t="shared" si="7"/>
        <v/>
      </c>
      <c r="AM50" s="607" t="str">
        <f>IFERROR(IF(F50="","",IF(AH50="Check Data","Check Data",VLOOKUP(AL50, 'G-3 Multipliers'!$P$2:$Q$6,2,FALSE))),””)</f>
        <v/>
      </c>
      <c r="AN50" s="81" t="str">
        <f t="shared" si="8"/>
        <v/>
      </c>
      <c r="AO50" s="355"/>
      <c r="AP50" s="356"/>
    </row>
    <row r="51" spans="1:42" x14ac:dyDescent="0.25">
      <c r="A51" s="52" t="str">
        <f>IF(E51="","",IF(ISNA(VLOOKUP($E51,'A-1 Site Habitat Baseline'!$D$1:$O$258,2,FALSE)),"",(VLOOKUP($E51,'A-1 Site Habitat Baseline'!$D$1:$O$258,2,FALSE))))</f>
        <v/>
      </c>
      <c r="B51" s="52" t="str">
        <f>IF(E51="","",IF(ISNA(VLOOKUP($E51,'A-1 Site Habitat Baseline'!$D$1:$O$258,3,FALSE)),"",(VLOOKUP($E51,'A-1 Site Habitat Baseline'!$D$1:$O$258,3,FALSE))))</f>
        <v/>
      </c>
      <c r="C51" s="52" t="str">
        <f>IFERROR(INDEX('G-8 Condition Look up'!$I$4:$I$131,MATCH(S51,'G-8 Condition Look up'!$A$4:$A$131,0)),"")</f>
        <v/>
      </c>
      <c r="E51" s="342" t="str">
        <f>'A-1 Site Habitat Baseline'!AL50</f>
        <v/>
      </c>
      <c r="F51" s="343" t="str">
        <f>IF(E51="","",IF(ISNA(VLOOKUP($E51,'A-1 Site Habitat Baseline'!$D$1:$O$258,4,FALSE)),"",(VLOOKUP($E51,'A-1 Site Habitat Baseline'!$D$1:$O$258,4,FALSE))))</f>
        <v/>
      </c>
      <c r="G51" s="343" t="str">
        <f>IF(E51="","",IF(ISNA(VLOOKUP($E51,'A-1 Site Habitat Baseline'!$D$1:$O$258,5,FALSE)),"",(VLOOKUP($E51,'A-1 Site Habitat Baseline'!$D$1:$O$258,5,FALSE))))</f>
        <v/>
      </c>
      <c r="H51" s="343" t="str">
        <f>IF(E51="","",IF(ISNA(VLOOKUP($E51,'A-1 Site Habitat Baseline'!$D$1:$O$258,6,FALSE)),"",(VLOOKUP($E51,'A-1 Site Habitat Baseline'!$D$1:$O$258,6,FALSE))))</f>
        <v/>
      </c>
      <c r="I51" s="343" t="str">
        <f>IF(E51="","",IF(ISNA(VLOOKUP($E51,'A-1 Site Habitat Baseline'!$D$1:$O$258,7,FALSE)),"",(VLOOKUP($E51,'A-1 Site Habitat Baseline'!$D$1:$O$258,7,FALSE))))</f>
        <v/>
      </c>
      <c r="J51" s="343" t="str">
        <f>IF(E51="","",IF(ISNA(VLOOKUP($E51,'A-1 Site Habitat Baseline'!$D$1:$O$258,8,FALSE)),"",(VLOOKUP($E51,'A-1 Site Habitat Baseline'!$D$1:$O$258,8,FALSE))))</f>
        <v/>
      </c>
      <c r="K51" s="343" t="str">
        <f>IF(E51="","",IF(ISNA(VLOOKUP($E51,'A-1 Site Habitat Baseline'!$D$1:$O$258,9,FALSE)),"",(VLOOKUP($E51,'A-1 Site Habitat Baseline'!$D$1:$O$258,9,FALSE))))</f>
        <v/>
      </c>
      <c r="L51" s="343" t="str">
        <f>IF(E51="","",IF(ISNA(VLOOKUP($E51,'A-1 Site Habitat Baseline'!$D$1:$O$258,11,FALSE)),"",(VLOOKUP($E51,'A-1 Site Habitat Baseline'!$D$1:$O$258,11,FALSE))))</f>
        <v/>
      </c>
      <c r="M51" s="343" t="str">
        <f>IF(E51="","",IF(ISNA(VLOOKUP($E51,'A-1 Site Habitat Baseline'!$D$1:$O$258,12,FALSE)),"",(VLOOKUP($E51,'A-1 Site Habitat Baseline'!$D$1:$O$258,12,FALSE))))</f>
        <v/>
      </c>
      <c r="N51" s="344" t="str">
        <f>IF(E51="","",IF(ISNA(VLOOKUP($E51,'A-1 Site Habitat Baseline'!$D$1:$X$258,14,FALSE)),"",(VLOOKUP($E51,'A-1 Site Habitat Baseline'!$D$1:$X$258,14,FALSE))))</f>
        <v/>
      </c>
      <c r="O51" s="345" t="str">
        <f>IF(E51="","",IF(ISNA(VLOOKUP($E51,'A-1 Site Habitat Baseline'!$D$1:$X$258,16,FALSE)),"",(VLOOKUP($E51,'A-1 Site Habitat Baseline'!$D$1:$X$258,13,FALSE))))</f>
        <v/>
      </c>
      <c r="P51" s="346" t="str">
        <f>IFERROR(INDEX('G-1 All Habitats'!$AG$3:$AG$15,MATCH(Q51,'G-1 All Habitats'!$AF$3:$AF$15,0)),"")</f>
        <v/>
      </c>
      <c r="Q51" s="347"/>
      <c r="R51" s="347"/>
      <c r="S51" s="605" t="str">
        <f>IFERROR(INDEX('G-1 All Habitats'!$B$3:$B$130,MATCH(R51,'G-1 All Habitats'!$A$3:$A$130,0)),"")</f>
        <v/>
      </c>
      <c r="T51" s="77" t="str">
        <f t="shared" si="9"/>
        <v/>
      </c>
      <c r="U51" s="78" t="str">
        <f t="shared" si="2"/>
        <v/>
      </c>
      <c r="V51" s="350" t="str">
        <f t="shared" si="3"/>
        <v/>
      </c>
      <c r="W51" s="343" t="str">
        <f>IF(S51="","",VLOOKUP(S51,'G-1 All Habitats'!$B$2:$M$130,10,FALSE))</f>
        <v/>
      </c>
      <c r="X51" s="343" t="str">
        <f>IFERROR(VLOOKUP(W51,'G-1 All Habitats'!$V$3:$W$7,2,FALSE),"")</f>
        <v/>
      </c>
      <c r="Y51" s="91"/>
      <c r="Z51" s="345" t="str">
        <f>IFERROR(INDEX('G-8 Condition Look up'!$A$3:$H$131,MATCH(S51,'G-8 Condition Look up'!$A$3:$A$131,0),MATCH(Y51,'G-8 Condition Look up'!$A$3:$H$3,0)),"")</f>
        <v/>
      </c>
      <c r="AA51" s="79"/>
      <c r="AB51" s="343" t="str">
        <f>IF(AA51="","",IF(VLOOKUP(AA51,'G-3 Multipliers'!$L$3:$N$6,2,FALSE)=0,"Spatial Data Missing",VLOOKUP(AA51,'G-3 Multipliers'!$L$3:$N$6,2,FALSE)))</f>
        <v/>
      </c>
      <c r="AC51" s="345" t="str">
        <f>IF(AA51="","",IF(VLOOKUP(AA51,'G-3 Multipliers'!$L$3:$N$6,3,FALSE)=0,"Spatial Data Missing",VLOOKUP(AA51,'G-3 Multipliers'!$L$3:$N$6,3,FALSE)))</f>
        <v/>
      </c>
      <c r="AD51" s="351" t="str">
        <f t="shared" si="0"/>
        <v/>
      </c>
      <c r="AE51" s="94"/>
      <c r="AF51" s="94"/>
      <c r="AG51" s="343" t="str">
        <f t="shared" si="4"/>
        <v/>
      </c>
      <c r="AH51" s="591" t="str">
        <f t="shared" si="5"/>
        <v/>
      </c>
      <c r="AI51" s="353" t="str">
        <f>IF(AH51="Check Data","Check Data",IFERROR(VLOOKUP(AH51,'G-4 Temporal multipliers'!$A$4:$C$36,3,FALSE),""))</f>
        <v/>
      </c>
      <c r="AJ51" s="77" t="str">
        <f>IF(S51="","",VLOOKUP(S51,'G-3 Multipliers'!$A$2:$E$130,4,FALSE))</f>
        <v/>
      </c>
      <c r="AK51" s="348" t="str">
        <f t="shared" si="6"/>
        <v/>
      </c>
      <c r="AL51" s="348" t="str">
        <f t="shared" si="7"/>
        <v/>
      </c>
      <c r="AM51" s="607" t="str">
        <f>IFERROR(IF(F51="","",IF(AH51="Check Data","Check Data",VLOOKUP(AL51, 'G-3 Multipliers'!$P$2:$Q$6,2,FALSE))),””)</f>
        <v/>
      </c>
      <c r="AN51" s="81" t="str">
        <f t="shared" si="8"/>
        <v/>
      </c>
      <c r="AO51" s="355"/>
      <c r="AP51" s="356"/>
    </row>
    <row r="52" spans="1:42" x14ac:dyDescent="0.25">
      <c r="A52" s="52" t="str">
        <f>IF(E52="","",IF(ISNA(VLOOKUP($E52,'A-1 Site Habitat Baseline'!$D$1:$O$258,2,FALSE)),"",(VLOOKUP($E52,'A-1 Site Habitat Baseline'!$D$1:$O$258,2,FALSE))))</f>
        <v/>
      </c>
      <c r="B52" s="52" t="str">
        <f>IF(E52="","",IF(ISNA(VLOOKUP($E52,'A-1 Site Habitat Baseline'!$D$1:$O$258,3,FALSE)),"",(VLOOKUP($E52,'A-1 Site Habitat Baseline'!$D$1:$O$258,3,FALSE))))</f>
        <v/>
      </c>
      <c r="C52" s="52" t="str">
        <f>IFERROR(INDEX('G-8 Condition Look up'!$I$4:$I$131,MATCH(S52,'G-8 Condition Look up'!$A$4:$A$131,0)),"")</f>
        <v/>
      </c>
      <c r="E52" s="342" t="str">
        <f>'A-1 Site Habitat Baseline'!AL51</f>
        <v/>
      </c>
      <c r="F52" s="343" t="str">
        <f>IF(E52="","",IF(ISNA(VLOOKUP($E52,'A-1 Site Habitat Baseline'!$D$1:$O$258,4,FALSE)),"",(VLOOKUP($E52,'A-1 Site Habitat Baseline'!$D$1:$O$258,4,FALSE))))</f>
        <v/>
      </c>
      <c r="G52" s="343" t="str">
        <f>IF(E52="","",IF(ISNA(VLOOKUP($E52,'A-1 Site Habitat Baseline'!$D$1:$O$258,5,FALSE)),"",(VLOOKUP($E52,'A-1 Site Habitat Baseline'!$D$1:$O$258,5,FALSE))))</f>
        <v/>
      </c>
      <c r="H52" s="343" t="str">
        <f>IF(E52="","",IF(ISNA(VLOOKUP($E52,'A-1 Site Habitat Baseline'!$D$1:$O$258,6,FALSE)),"",(VLOOKUP($E52,'A-1 Site Habitat Baseline'!$D$1:$O$258,6,FALSE))))</f>
        <v/>
      </c>
      <c r="I52" s="343" t="str">
        <f>IF(E52="","",IF(ISNA(VLOOKUP($E52,'A-1 Site Habitat Baseline'!$D$1:$O$258,7,FALSE)),"",(VLOOKUP($E52,'A-1 Site Habitat Baseline'!$D$1:$O$258,7,FALSE))))</f>
        <v/>
      </c>
      <c r="J52" s="343" t="str">
        <f>IF(E52="","",IF(ISNA(VLOOKUP($E52,'A-1 Site Habitat Baseline'!$D$1:$O$258,8,FALSE)),"",(VLOOKUP($E52,'A-1 Site Habitat Baseline'!$D$1:$O$258,8,FALSE))))</f>
        <v/>
      </c>
      <c r="K52" s="343" t="str">
        <f>IF(E52="","",IF(ISNA(VLOOKUP($E52,'A-1 Site Habitat Baseline'!$D$1:$O$258,9,FALSE)),"",(VLOOKUP($E52,'A-1 Site Habitat Baseline'!$D$1:$O$258,9,FALSE))))</f>
        <v/>
      </c>
      <c r="L52" s="343" t="str">
        <f>IF(E52="","",IF(ISNA(VLOOKUP($E52,'A-1 Site Habitat Baseline'!$D$1:$O$258,11,FALSE)),"",(VLOOKUP($E52,'A-1 Site Habitat Baseline'!$D$1:$O$258,11,FALSE))))</f>
        <v/>
      </c>
      <c r="M52" s="343" t="str">
        <f>IF(E52="","",IF(ISNA(VLOOKUP($E52,'A-1 Site Habitat Baseline'!$D$1:$O$258,12,FALSE)),"",(VLOOKUP($E52,'A-1 Site Habitat Baseline'!$D$1:$O$258,12,FALSE))))</f>
        <v/>
      </c>
      <c r="N52" s="344" t="str">
        <f>IF(E52="","",IF(ISNA(VLOOKUP($E52,'A-1 Site Habitat Baseline'!$D$1:$X$258,14,FALSE)),"",(VLOOKUP($E52,'A-1 Site Habitat Baseline'!$D$1:$X$258,14,FALSE))))</f>
        <v/>
      </c>
      <c r="O52" s="345" t="str">
        <f>IF(E52="","",IF(ISNA(VLOOKUP($E52,'A-1 Site Habitat Baseline'!$D$1:$X$258,16,FALSE)),"",(VLOOKUP($E52,'A-1 Site Habitat Baseline'!$D$1:$X$258,13,FALSE))))</f>
        <v/>
      </c>
      <c r="P52" s="346" t="str">
        <f>IFERROR(INDEX('G-1 All Habitats'!$AG$3:$AG$15,MATCH(Q52,'G-1 All Habitats'!$AF$3:$AF$15,0)),"")</f>
        <v/>
      </c>
      <c r="Q52" s="347"/>
      <c r="R52" s="347"/>
      <c r="S52" s="605" t="str">
        <f>IFERROR(INDEX('G-1 All Habitats'!$B$3:$B$130,MATCH(R52,'G-1 All Habitats'!$A$3:$A$130,0)),"")</f>
        <v/>
      </c>
      <c r="T52" s="77" t="str">
        <f t="shared" si="9"/>
        <v/>
      </c>
      <c r="U52" s="78" t="str">
        <f t="shared" si="2"/>
        <v/>
      </c>
      <c r="V52" s="350" t="str">
        <f t="shared" si="3"/>
        <v/>
      </c>
      <c r="W52" s="343" t="str">
        <f>IF(S52="","",VLOOKUP(S52,'G-1 All Habitats'!$B$2:$M$130,10,FALSE))</f>
        <v/>
      </c>
      <c r="X52" s="343" t="str">
        <f>IFERROR(VLOOKUP(W52,'G-1 All Habitats'!$V$3:$W$7,2,FALSE),"")</f>
        <v/>
      </c>
      <c r="Y52" s="91"/>
      <c r="Z52" s="345" t="str">
        <f>IFERROR(INDEX('G-8 Condition Look up'!$A$3:$H$131,MATCH(S52,'G-8 Condition Look up'!$A$3:$A$131,0),MATCH(Y52,'G-8 Condition Look up'!$A$3:$H$3,0)),"")</f>
        <v/>
      </c>
      <c r="AA52" s="79"/>
      <c r="AB52" s="343" t="str">
        <f>IF(AA52="","",IF(VLOOKUP(AA52,'G-3 Multipliers'!$L$3:$N$6,2,FALSE)=0,"Spatial Data Missing",VLOOKUP(AA52,'G-3 Multipliers'!$L$3:$N$6,2,FALSE)))</f>
        <v/>
      </c>
      <c r="AC52" s="345" t="str">
        <f>IF(AA52="","",IF(VLOOKUP(AA52,'G-3 Multipliers'!$L$3:$N$6,3,FALSE)=0,"Spatial Data Missing",VLOOKUP(AA52,'G-3 Multipliers'!$L$3:$N$6,3,FALSE)))</f>
        <v/>
      </c>
      <c r="AD52" s="351" t="str">
        <f t="shared" si="0"/>
        <v/>
      </c>
      <c r="AE52" s="94"/>
      <c r="AF52" s="94"/>
      <c r="AG52" s="343" t="str">
        <f t="shared" si="4"/>
        <v/>
      </c>
      <c r="AH52" s="591" t="str">
        <f t="shared" si="5"/>
        <v/>
      </c>
      <c r="AI52" s="353" t="str">
        <f>IF(AH52="Check Data","Check Data",IFERROR(VLOOKUP(AH52,'G-4 Temporal multipliers'!$A$4:$C$36,3,FALSE),""))</f>
        <v/>
      </c>
      <c r="AJ52" s="77" t="str">
        <f>IF(S52="","",VLOOKUP(S52,'G-3 Multipliers'!$A$2:$E$130,4,FALSE))</f>
        <v/>
      </c>
      <c r="AK52" s="348" t="str">
        <f t="shared" si="6"/>
        <v/>
      </c>
      <c r="AL52" s="348" t="str">
        <f t="shared" si="7"/>
        <v/>
      </c>
      <c r="AM52" s="607" t="str">
        <f>IFERROR(IF(F52="","",IF(AH52="Check Data","Check Data",VLOOKUP(AL52, 'G-3 Multipliers'!$P$2:$Q$6,2,FALSE))),””)</f>
        <v/>
      </c>
      <c r="AN52" s="81" t="str">
        <f t="shared" si="8"/>
        <v/>
      </c>
      <c r="AO52" s="355"/>
      <c r="AP52" s="356"/>
    </row>
    <row r="53" spans="1:42" x14ac:dyDescent="0.25">
      <c r="A53" s="52" t="str">
        <f>IF(E53="","",IF(ISNA(VLOOKUP($E53,'A-1 Site Habitat Baseline'!$D$1:$O$258,2,FALSE)),"",(VLOOKUP($E53,'A-1 Site Habitat Baseline'!$D$1:$O$258,2,FALSE))))</f>
        <v/>
      </c>
      <c r="B53" s="52" t="str">
        <f>IF(E53="","",IF(ISNA(VLOOKUP($E53,'A-1 Site Habitat Baseline'!$D$1:$O$258,3,FALSE)),"",(VLOOKUP($E53,'A-1 Site Habitat Baseline'!$D$1:$O$258,3,FALSE))))</f>
        <v/>
      </c>
      <c r="C53" s="52" t="str">
        <f>IFERROR(INDEX('G-8 Condition Look up'!$I$4:$I$131,MATCH(S53,'G-8 Condition Look up'!$A$4:$A$131,0)),"")</f>
        <v/>
      </c>
      <c r="E53" s="342" t="str">
        <f>'A-1 Site Habitat Baseline'!AL52</f>
        <v/>
      </c>
      <c r="F53" s="343" t="str">
        <f>IF(E53="","",IF(ISNA(VLOOKUP($E53,'A-1 Site Habitat Baseline'!$D$1:$O$258,4,FALSE)),"",(VLOOKUP($E53,'A-1 Site Habitat Baseline'!$D$1:$O$258,4,FALSE))))</f>
        <v/>
      </c>
      <c r="G53" s="343" t="str">
        <f>IF(E53="","",IF(ISNA(VLOOKUP($E53,'A-1 Site Habitat Baseline'!$D$1:$O$258,5,FALSE)),"",(VLOOKUP($E53,'A-1 Site Habitat Baseline'!$D$1:$O$258,5,FALSE))))</f>
        <v/>
      </c>
      <c r="H53" s="343" t="str">
        <f>IF(E53="","",IF(ISNA(VLOOKUP($E53,'A-1 Site Habitat Baseline'!$D$1:$O$258,6,FALSE)),"",(VLOOKUP($E53,'A-1 Site Habitat Baseline'!$D$1:$O$258,6,FALSE))))</f>
        <v/>
      </c>
      <c r="I53" s="343" t="str">
        <f>IF(E53="","",IF(ISNA(VLOOKUP($E53,'A-1 Site Habitat Baseline'!$D$1:$O$258,7,FALSE)),"",(VLOOKUP($E53,'A-1 Site Habitat Baseline'!$D$1:$O$258,7,FALSE))))</f>
        <v/>
      </c>
      <c r="J53" s="343" t="str">
        <f>IF(E53="","",IF(ISNA(VLOOKUP($E53,'A-1 Site Habitat Baseline'!$D$1:$O$258,8,FALSE)),"",(VLOOKUP($E53,'A-1 Site Habitat Baseline'!$D$1:$O$258,8,FALSE))))</f>
        <v/>
      </c>
      <c r="K53" s="343" t="str">
        <f>IF(E53="","",IF(ISNA(VLOOKUP($E53,'A-1 Site Habitat Baseline'!$D$1:$O$258,9,FALSE)),"",(VLOOKUP($E53,'A-1 Site Habitat Baseline'!$D$1:$O$258,9,FALSE))))</f>
        <v/>
      </c>
      <c r="L53" s="343" t="str">
        <f>IF(E53="","",IF(ISNA(VLOOKUP($E53,'A-1 Site Habitat Baseline'!$D$1:$O$258,11,FALSE)),"",(VLOOKUP($E53,'A-1 Site Habitat Baseline'!$D$1:$O$258,11,FALSE))))</f>
        <v/>
      </c>
      <c r="M53" s="343" t="str">
        <f>IF(E53="","",IF(ISNA(VLOOKUP($E53,'A-1 Site Habitat Baseline'!$D$1:$O$258,12,FALSE)),"",(VLOOKUP($E53,'A-1 Site Habitat Baseline'!$D$1:$O$258,12,FALSE))))</f>
        <v/>
      </c>
      <c r="N53" s="344" t="str">
        <f>IF(E53="","",IF(ISNA(VLOOKUP($E53,'A-1 Site Habitat Baseline'!$D$1:$X$258,14,FALSE)),"",(VLOOKUP($E53,'A-1 Site Habitat Baseline'!$D$1:$X$258,14,FALSE))))</f>
        <v/>
      </c>
      <c r="O53" s="345" t="str">
        <f>IF(E53="","",IF(ISNA(VLOOKUP($E53,'A-1 Site Habitat Baseline'!$D$1:$X$258,16,FALSE)),"",(VLOOKUP($E53,'A-1 Site Habitat Baseline'!$D$1:$X$258,13,FALSE))))</f>
        <v/>
      </c>
      <c r="P53" s="346" t="str">
        <f>IFERROR(INDEX('G-1 All Habitats'!$AG$3:$AG$15,MATCH(Q53,'G-1 All Habitats'!$AF$3:$AF$15,0)),"")</f>
        <v/>
      </c>
      <c r="Q53" s="347"/>
      <c r="R53" s="347"/>
      <c r="S53" s="605" t="str">
        <f>IFERROR(INDEX('G-1 All Habitats'!$B$3:$B$130,MATCH(R53,'G-1 All Habitats'!$A$3:$A$130,0)),"")</f>
        <v/>
      </c>
      <c r="T53" s="77" t="str">
        <f t="shared" si="9"/>
        <v/>
      </c>
      <c r="U53" s="78" t="str">
        <f t="shared" si="2"/>
        <v/>
      </c>
      <c r="V53" s="350" t="str">
        <f t="shared" si="3"/>
        <v/>
      </c>
      <c r="W53" s="343" t="str">
        <f>IF(S53="","",VLOOKUP(S53,'G-1 All Habitats'!$B$2:$M$130,10,FALSE))</f>
        <v/>
      </c>
      <c r="X53" s="343" t="str">
        <f>IFERROR(VLOOKUP(W53,'G-1 All Habitats'!$V$3:$W$7,2,FALSE),"")</f>
        <v/>
      </c>
      <c r="Y53" s="91"/>
      <c r="Z53" s="345" t="str">
        <f>IFERROR(INDEX('G-8 Condition Look up'!$A$3:$H$131,MATCH(S53,'G-8 Condition Look up'!$A$3:$A$131,0),MATCH(Y53,'G-8 Condition Look up'!$A$3:$H$3,0)),"")</f>
        <v/>
      </c>
      <c r="AA53" s="79"/>
      <c r="AB53" s="343" t="str">
        <f>IF(AA53="","",IF(VLOOKUP(AA53,'G-3 Multipliers'!$L$3:$N$6,2,FALSE)=0,"Spatial Data Missing",VLOOKUP(AA53,'G-3 Multipliers'!$L$3:$N$6,2,FALSE)))</f>
        <v/>
      </c>
      <c r="AC53" s="345" t="str">
        <f>IF(AA53="","",IF(VLOOKUP(AA53,'G-3 Multipliers'!$L$3:$N$6,3,FALSE)=0,"Spatial Data Missing",VLOOKUP(AA53,'G-3 Multipliers'!$L$3:$N$6,3,FALSE)))</f>
        <v/>
      </c>
      <c r="AD53" s="351" t="str">
        <f t="shared" si="0"/>
        <v/>
      </c>
      <c r="AE53" s="94"/>
      <c r="AF53" s="94"/>
      <c r="AG53" s="343" t="str">
        <f t="shared" si="4"/>
        <v/>
      </c>
      <c r="AH53" s="591" t="str">
        <f t="shared" si="5"/>
        <v/>
      </c>
      <c r="AI53" s="353" t="str">
        <f>IF(AH53="Check Data","Check Data",IFERROR(VLOOKUP(AH53,'G-4 Temporal multipliers'!$A$4:$C$36,3,FALSE),""))</f>
        <v/>
      </c>
      <c r="AJ53" s="77" t="str">
        <f>IF(S53="","",VLOOKUP(S53,'G-3 Multipliers'!$A$2:$E$130,4,FALSE))</f>
        <v/>
      </c>
      <c r="AK53" s="348" t="str">
        <f t="shared" si="6"/>
        <v/>
      </c>
      <c r="AL53" s="348" t="str">
        <f t="shared" si="7"/>
        <v/>
      </c>
      <c r="AM53" s="607" t="str">
        <f>IFERROR(IF(F53="","",IF(AH53="Check Data","Check Data",VLOOKUP(AL53, 'G-3 Multipliers'!$P$2:$Q$6,2,FALSE))),””)</f>
        <v/>
      </c>
      <c r="AN53" s="81" t="str">
        <f t="shared" si="8"/>
        <v/>
      </c>
      <c r="AO53" s="355"/>
      <c r="AP53" s="356"/>
    </row>
    <row r="54" spans="1:42" x14ac:dyDescent="0.25">
      <c r="A54" s="52" t="str">
        <f>IF(E54="","",IF(ISNA(VLOOKUP($E54,'A-1 Site Habitat Baseline'!$D$1:$O$258,2,FALSE)),"",(VLOOKUP($E54,'A-1 Site Habitat Baseline'!$D$1:$O$258,2,FALSE))))</f>
        <v/>
      </c>
      <c r="B54" s="52" t="str">
        <f>IF(E54="","",IF(ISNA(VLOOKUP($E54,'A-1 Site Habitat Baseline'!$D$1:$O$258,3,FALSE)),"",(VLOOKUP($E54,'A-1 Site Habitat Baseline'!$D$1:$O$258,3,FALSE))))</f>
        <v/>
      </c>
      <c r="C54" s="52" t="str">
        <f>IFERROR(INDEX('G-8 Condition Look up'!$I$4:$I$131,MATCH(S54,'G-8 Condition Look up'!$A$4:$A$131,0)),"")</f>
        <v/>
      </c>
      <c r="E54" s="342" t="str">
        <f>'A-1 Site Habitat Baseline'!AL53</f>
        <v/>
      </c>
      <c r="F54" s="343" t="str">
        <f>IF(E54="","",IF(ISNA(VLOOKUP($E54,'A-1 Site Habitat Baseline'!$D$1:$O$258,4,FALSE)),"",(VLOOKUP($E54,'A-1 Site Habitat Baseline'!$D$1:$O$258,4,FALSE))))</f>
        <v/>
      </c>
      <c r="G54" s="343" t="str">
        <f>IF(E54="","",IF(ISNA(VLOOKUP($E54,'A-1 Site Habitat Baseline'!$D$1:$O$258,5,FALSE)),"",(VLOOKUP($E54,'A-1 Site Habitat Baseline'!$D$1:$O$258,5,FALSE))))</f>
        <v/>
      </c>
      <c r="H54" s="343" t="str">
        <f>IF(E54="","",IF(ISNA(VLOOKUP($E54,'A-1 Site Habitat Baseline'!$D$1:$O$258,6,FALSE)),"",(VLOOKUP($E54,'A-1 Site Habitat Baseline'!$D$1:$O$258,6,FALSE))))</f>
        <v/>
      </c>
      <c r="I54" s="343" t="str">
        <f>IF(E54="","",IF(ISNA(VLOOKUP($E54,'A-1 Site Habitat Baseline'!$D$1:$O$258,7,FALSE)),"",(VLOOKUP($E54,'A-1 Site Habitat Baseline'!$D$1:$O$258,7,FALSE))))</f>
        <v/>
      </c>
      <c r="J54" s="343" t="str">
        <f>IF(E54="","",IF(ISNA(VLOOKUP($E54,'A-1 Site Habitat Baseline'!$D$1:$O$258,8,FALSE)),"",(VLOOKUP($E54,'A-1 Site Habitat Baseline'!$D$1:$O$258,8,FALSE))))</f>
        <v/>
      </c>
      <c r="K54" s="343" t="str">
        <f>IF(E54="","",IF(ISNA(VLOOKUP($E54,'A-1 Site Habitat Baseline'!$D$1:$O$258,9,FALSE)),"",(VLOOKUP($E54,'A-1 Site Habitat Baseline'!$D$1:$O$258,9,FALSE))))</f>
        <v/>
      </c>
      <c r="L54" s="343" t="str">
        <f>IF(E54="","",IF(ISNA(VLOOKUP($E54,'A-1 Site Habitat Baseline'!$D$1:$O$258,11,FALSE)),"",(VLOOKUP($E54,'A-1 Site Habitat Baseline'!$D$1:$O$258,11,FALSE))))</f>
        <v/>
      </c>
      <c r="M54" s="343" t="str">
        <f>IF(E54="","",IF(ISNA(VLOOKUP($E54,'A-1 Site Habitat Baseline'!$D$1:$O$258,12,FALSE)),"",(VLOOKUP($E54,'A-1 Site Habitat Baseline'!$D$1:$O$258,12,FALSE))))</f>
        <v/>
      </c>
      <c r="N54" s="344" t="str">
        <f>IF(E54="","",IF(ISNA(VLOOKUP($E54,'A-1 Site Habitat Baseline'!$D$1:$X$258,14,FALSE)),"",(VLOOKUP($E54,'A-1 Site Habitat Baseline'!$D$1:$X$258,14,FALSE))))</f>
        <v/>
      </c>
      <c r="O54" s="345" t="str">
        <f>IF(E54="","",IF(ISNA(VLOOKUP($E54,'A-1 Site Habitat Baseline'!$D$1:$X$258,16,FALSE)),"",(VLOOKUP($E54,'A-1 Site Habitat Baseline'!$D$1:$X$258,13,FALSE))))</f>
        <v/>
      </c>
      <c r="P54" s="346" t="str">
        <f>IFERROR(INDEX('G-1 All Habitats'!$AG$3:$AG$15,MATCH(Q54,'G-1 All Habitats'!$AF$3:$AF$15,0)),"")</f>
        <v/>
      </c>
      <c r="Q54" s="347"/>
      <c r="R54" s="347"/>
      <c r="S54" s="605" t="str">
        <f>IFERROR(INDEX('G-1 All Habitats'!$B$3:$B$130,MATCH(R54,'G-1 All Habitats'!$A$3:$A$130,0)),"")</f>
        <v/>
      </c>
      <c r="T54" s="77" t="str">
        <f t="shared" si="9"/>
        <v/>
      </c>
      <c r="U54" s="78" t="str">
        <f t="shared" si="2"/>
        <v/>
      </c>
      <c r="V54" s="350" t="str">
        <f t="shared" si="3"/>
        <v/>
      </c>
      <c r="W54" s="343" t="str">
        <f>IF(S54="","",VLOOKUP(S54,'G-1 All Habitats'!$B$2:$M$130,10,FALSE))</f>
        <v/>
      </c>
      <c r="X54" s="343" t="str">
        <f>IFERROR(VLOOKUP(W54,'G-1 All Habitats'!$V$3:$W$7,2,FALSE),"")</f>
        <v/>
      </c>
      <c r="Y54" s="91"/>
      <c r="Z54" s="345" t="str">
        <f>IFERROR(INDEX('G-8 Condition Look up'!$A$3:$H$131,MATCH(S54,'G-8 Condition Look up'!$A$3:$A$131,0),MATCH(Y54,'G-8 Condition Look up'!$A$3:$H$3,0)),"")</f>
        <v/>
      </c>
      <c r="AA54" s="79"/>
      <c r="AB54" s="343" t="str">
        <f>IF(AA54="","",IF(VLOOKUP(AA54,'G-3 Multipliers'!$L$3:$N$6,2,FALSE)=0,"Spatial Data Missing",VLOOKUP(AA54,'G-3 Multipliers'!$L$3:$N$6,2,FALSE)))</f>
        <v/>
      </c>
      <c r="AC54" s="345" t="str">
        <f>IF(AA54="","",IF(VLOOKUP(AA54,'G-3 Multipliers'!$L$3:$N$6,3,FALSE)=0,"Spatial Data Missing",VLOOKUP(AA54,'G-3 Multipliers'!$L$3:$N$6,3,FALSE)))</f>
        <v/>
      </c>
      <c r="AD54" s="351" t="str">
        <f t="shared" si="0"/>
        <v/>
      </c>
      <c r="AE54" s="94"/>
      <c r="AF54" s="94"/>
      <c r="AG54" s="343" t="str">
        <f t="shared" si="4"/>
        <v/>
      </c>
      <c r="AH54" s="591" t="str">
        <f t="shared" si="5"/>
        <v/>
      </c>
      <c r="AI54" s="353" t="str">
        <f>IF(AH54="Check Data","Check Data",IFERROR(VLOOKUP(AH54,'G-4 Temporal multipliers'!$A$4:$C$36,3,FALSE),""))</f>
        <v/>
      </c>
      <c r="AJ54" s="77" t="str">
        <f>IF(S54="","",VLOOKUP(S54,'G-3 Multipliers'!$A$2:$E$130,4,FALSE))</f>
        <v/>
      </c>
      <c r="AK54" s="348" t="str">
        <f t="shared" si="6"/>
        <v/>
      </c>
      <c r="AL54" s="348" t="str">
        <f t="shared" si="7"/>
        <v/>
      </c>
      <c r="AM54" s="607" t="str">
        <f>IFERROR(IF(F54="","",IF(AH54="Check Data","Check Data",VLOOKUP(AL54, 'G-3 Multipliers'!$P$2:$Q$6,2,FALSE))),””)</f>
        <v/>
      </c>
      <c r="AN54" s="81" t="str">
        <f t="shared" si="8"/>
        <v/>
      </c>
      <c r="AO54" s="355"/>
      <c r="AP54" s="356"/>
    </row>
    <row r="55" spans="1:42" x14ac:dyDescent="0.25">
      <c r="A55" s="52" t="str">
        <f>IF(E55="","",IF(ISNA(VLOOKUP($E55,'A-1 Site Habitat Baseline'!$D$1:$O$258,2,FALSE)),"",(VLOOKUP($E55,'A-1 Site Habitat Baseline'!$D$1:$O$258,2,FALSE))))</f>
        <v/>
      </c>
      <c r="B55" s="52" t="str">
        <f>IF(E55="","",IF(ISNA(VLOOKUP($E55,'A-1 Site Habitat Baseline'!$D$1:$O$258,3,FALSE)),"",(VLOOKUP($E55,'A-1 Site Habitat Baseline'!$D$1:$O$258,3,FALSE))))</f>
        <v/>
      </c>
      <c r="C55" s="52" t="str">
        <f>IFERROR(INDEX('G-8 Condition Look up'!$I$4:$I$131,MATCH(S55,'G-8 Condition Look up'!$A$4:$A$131,0)),"")</f>
        <v/>
      </c>
      <c r="E55" s="342" t="str">
        <f>'A-1 Site Habitat Baseline'!AL54</f>
        <v/>
      </c>
      <c r="F55" s="343" t="str">
        <f>IF(E55="","",IF(ISNA(VLOOKUP($E55,'A-1 Site Habitat Baseline'!$D$1:$O$258,4,FALSE)),"",(VLOOKUP($E55,'A-1 Site Habitat Baseline'!$D$1:$O$258,4,FALSE))))</f>
        <v/>
      </c>
      <c r="G55" s="343" t="str">
        <f>IF(E55="","",IF(ISNA(VLOOKUP($E55,'A-1 Site Habitat Baseline'!$D$1:$O$258,5,FALSE)),"",(VLOOKUP($E55,'A-1 Site Habitat Baseline'!$D$1:$O$258,5,FALSE))))</f>
        <v/>
      </c>
      <c r="H55" s="343" t="str">
        <f>IF(E55="","",IF(ISNA(VLOOKUP($E55,'A-1 Site Habitat Baseline'!$D$1:$O$258,6,FALSE)),"",(VLOOKUP($E55,'A-1 Site Habitat Baseline'!$D$1:$O$258,6,FALSE))))</f>
        <v/>
      </c>
      <c r="I55" s="343" t="str">
        <f>IF(E55="","",IF(ISNA(VLOOKUP($E55,'A-1 Site Habitat Baseline'!$D$1:$O$258,7,FALSE)),"",(VLOOKUP($E55,'A-1 Site Habitat Baseline'!$D$1:$O$258,7,FALSE))))</f>
        <v/>
      </c>
      <c r="J55" s="343" t="str">
        <f>IF(E55="","",IF(ISNA(VLOOKUP($E55,'A-1 Site Habitat Baseline'!$D$1:$O$258,8,FALSE)),"",(VLOOKUP($E55,'A-1 Site Habitat Baseline'!$D$1:$O$258,8,FALSE))))</f>
        <v/>
      </c>
      <c r="K55" s="343" t="str">
        <f>IF(E55="","",IF(ISNA(VLOOKUP($E55,'A-1 Site Habitat Baseline'!$D$1:$O$258,9,FALSE)),"",(VLOOKUP($E55,'A-1 Site Habitat Baseline'!$D$1:$O$258,9,FALSE))))</f>
        <v/>
      </c>
      <c r="L55" s="343" t="str">
        <f>IF(E55="","",IF(ISNA(VLOOKUP($E55,'A-1 Site Habitat Baseline'!$D$1:$O$258,11,FALSE)),"",(VLOOKUP($E55,'A-1 Site Habitat Baseline'!$D$1:$O$258,11,FALSE))))</f>
        <v/>
      </c>
      <c r="M55" s="343" t="str">
        <f>IF(E55="","",IF(ISNA(VLOOKUP($E55,'A-1 Site Habitat Baseline'!$D$1:$O$258,12,FALSE)),"",(VLOOKUP($E55,'A-1 Site Habitat Baseline'!$D$1:$O$258,12,FALSE))))</f>
        <v/>
      </c>
      <c r="N55" s="344" t="str">
        <f>IF(E55="","",IF(ISNA(VLOOKUP($E55,'A-1 Site Habitat Baseline'!$D$1:$X$258,14,FALSE)),"",(VLOOKUP($E55,'A-1 Site Habitat Baseline'!$D$1:$X$258,14,FALSE))))</f>
        <v/>
      </c>
      <c r="O55" s="345" t="str">
        <f>IF(E55="","",IF(ISNA(VLOOKUP($E55,'A-1 Site Habitat Baseline'!$D$1:$X$258,16,FALSE)),"",(VLOOKUP($E55,'A-1 Site Habitat Baseline'!$D$1:$X$258,13,FALSE))))</f>
        <v/>
      </c>
      <c r="P55" s="346" t="str">
        <f>IFERROR(INDEX('G-1 All Habitats'!$AG$3:$AG$15,MATCH(Q55,'G-1 All Habitats'!$AF$3:$AF$15,0)),"")</f>
        <v/>
      </c>
      <c r="Q55" s="347"/>
      <c r="R55" s="347"/>
      <c r="S55" s="605" t="str">
        <f>IFERROR(INDEX('G-1 All Habitats'!$B$3:$B$130,MATCH(R55,'G-1 All Habitats'!$A$3:$A$130,0)),"")</f>
        <v/>
      </c>
      <c r="T55" s="77" t="str">
        <f t="shared" si="9"/>
        <v/>
      </c>
      <c r="U55" s="78" t="str">
        <f t="shared" si="2"/>
        <v/>
      </c>
      <c r="V55" s="350" t="str">
        <f t="shared" si="3"/>
        <v/>
      </c>
      <c r="W55" s="343" t="str">
        <f>IF(S55="","",VLOOKUP(S55,'G-1 All Habitats'!$B$2:$M$130,10,FALSE))</f>
        <v/>
      </c>
      <c r="X55" s="343" t="str">
        <f>IFERROR(VLOOKUP(W55,'G-1 All Habitats'!$V$3:$W$7,2,FALSE),"")</f>
        <v/>
      </c>
      <c r="Y55" s="91"/>
      <c r="Z55" s="345" t="str">
        <f>IFERROR(INDEX('G-8 Condition Look up'!$A$3:$H$131,MATCH(S55,'G-8 Condition Look up'!$A$3:$A$131,0),MATCH(Y55,'G-8 Condition Look up'!$A$3:$H$3,0)),"")</f>
        <v/>
      </c>
      <c r="AA55" s="79"/>
      <c r="AB55" s="343" t="str">
        <f>IF(AA55="","",IF(VLOOKUP(AA55,'G-3 Multipliers'!$L$3:$N$6,2,FALSE)=0,"Spatial Data Missing",VLOOKUP(AA55,'G-3 Multipliers'!$L$3:$N$6,2,FALSE)))</f>
        <v/>
      </c>
      <c r="AC55" s="345" t="str">
        <f>IF(AA55="","",IF(VLOOKUP(AA55,'G-3 Multipliers'!$L$3:$N$6,3,FALSE)=0,"Spatial Data Missing",VLOOKUP(AA55,'G-3 Multipliers'!$L$3:$N$6,3,FALSE)))</f>
        <v/>
      </c>
      <c r="AD55" s="351" t="str">
        <f t="shared" si="0"/>
        <v/>
      </c>
      <c r="AE55" s="94"/>
      <c r="AF55" s="94"/>
      <c r="AG55" s="343" t="str">
        <f t="shared" si="4"/>
        <v/>
      </c>
      <c r="AH55" s="591" t="str">
        <f t="shared" si="5"/>
        <v/>
      </c>
      <c r="AI55" s="353" t="str">
        <f>IF(AH55="Check Data","Check Data",IFERROR(VLOOKUP(AH55,'G-4 Temporal multipliers'!$A$4:$C$36,3,FALSE),""))</f>
        <v/>
      </c>
      <c r="AJ55" s="77" t="str">
        <f>IF(S55="","",VLOOKUP(S55,'G-3 Multipliers'!$A$2:$E$130,4,FALSE))</f>
        <v/>
      </c>
      <c r="AK55" s="348" t="str">
        <f t="shared" si="6"/>
        <v/>
      </c>
      <c r="AL55" s="348" t="str">
        <f t="shared" si="7"/>
        <v/>
      </c>
      <c r="AM55" s="607" t="str">
        <f>IFERROR(IF(F55="","",IF(AH55="Check Data","Check Data",VLOOKUP(AL55, 'G-3 Multipliers'!$P$2:$Q$6,2,FALSE))),””)</f>
        <v/>
      </c>
      <c r="AN55" s="81" t="str">
        <f t="shared" si="8"/>
        <v/>
      </c>
      <c r="AO55" s="355"/>
      <c r="AP55" s="356"/>
    </row>
    <row r="56" spans="1:42" x14ac:dyDescent="0.25">
      <c r="A56" s="52" t="str">
        <f>IF(E56="","",IF(ISNA(VLOOKUP($E56,'A-1 Site Habitat Baseline'!$D$1:$O$258,2,FALSE)),"",(VLOOKUP($E56,'A-1 Site Habitat Baseline'!$D$1:$O$258,2,FALSE))))</f>
        <v/>
      </c>
      <c r="B56" s="52" t="str">
        <f>IF(E56="","",IF(ISNA(VLOOKUP($E56,'A-1 Site Habitat Baseline'!$D$1:$O$258,3,FALSE)),"",(VLOOKUP($E56,'A-1 Site Habitat Baseline'!$D$1:$O$258,3,FALSE))))</f>
        <v/>
      </c>
      <c r="C56" s="52" t="str">
        <f>IFERROR(INDEX('G-8 Condition Look up'!$I$4:$I$131,MATCH(S56,'G-8 Condition Look up'!$A$4:$A$131,0)),"")</f>
        <v/>
      </c>
      <c r="E56" s="342" t="str">
        <f>'A-1 Site Habitat Baseline'!AL55</f>
        <v/>
      </c>
      <c r="F56" s="343" t="str">
        <f>IF(E56="","",IF(ISNA(VLOOKUP($E56,'A-1 Site Habitat Baseline'!$D$1:$O$258,4,FALSE)),"",(VLOOKUP($E56,'A-1 Site Habitat Baseline'!$D$1:$O$258,4,FALSE))))</f>
        <v/>
      </c>
      <c r="G56" s="343" t="str">
        <f>IF(E56="","",IF(ISNA(VLOOKUP($E56,'A-1 Site Habitat Baseline'!$D$1:$O$258,5,FALSE)),"",(VLOOKUP($E56,'A-1 Site Habitat Baseline'!$D$1:$O$258,5,FALSE))))</f>
        <v/>
      </c>
      <c r="H56" s="343" t="str">
        <f>IF(E56="","",IF(ISNA(VLOOKUP($E56,'A-1 Site Habitat Baseline'!$D$1:$O$258,6,FALSE)),"",(VLOOKUP($E56,'A-1 Site Habitat Baseline'!$D$1:$O$258,6,FALSE))))</f>
        <v/>
      </c>
      <c r="I56" s="343" t="str">
        <f>IF(E56="","",IF(ISNA(VLOOKUP($E56,'A-1 Site Habitat Baseline'!$D$1:$O$258,7,FALSE)),"",(VLOOKUP($E56,'A-1 Site Habitat Baseline'!$D$1:$O$258,7,FALSE))))</f>
        <v/>
      </c>
      <c r="J56" s="343" t="str">
        <f>IF(E56="","",IF(ISNA(VLOOKUP($E56,'A-1 Site Habitat Baseline'!$D$1:$O$258,8,FALSE)),"",(VLOOKUP($E56,'A-1 Site Habitat Baseline'!$D$1:$O$258,8,FALSE))))</f>
        <v/>
      </c>
      <c r="K56" s="343" t="str">
        <f>IF(E56="","",IF(ISNA(VLOOKUP($E56,'A-1 Site Habitat Baseline'!$D$1:$O$258,9,FALSE)),"",(VLOOKUP($E56,'A-1 Site Habitat Baseline'!$D$1:$O$258,9,FALSE))))</f>
        <v/>
      </c>
      <c r="L56" s="343" t="str">
        <f>IF(E56="","",IF(ISNA(VLOOKUP($E56,'A-1 Site Habitat Baseline'!$D$1:$O$258,11,FALSE)),"",(VLOOKUP($E56,'A-1 Site Habitat Baseline'!$D$1:$O$258,11,FALSE))))</f>
        <v/>
      </c>
      <c r="M56" s="343" t="str">
        <f>IF(E56="","",IF(ISNA(VLOOKUP($E56,'A-1 Site Habitat Baseline'!$D$1:$O$258,12,FALSE)),"",(VLOOKUP($E56,'A-1 Site Habitat Baseline'!$D$1:$O$258,12,FALSE))))</f>
        <v/>
      </c>
      <c r="N56" s="344" t="str">
        <f>IF(E56="","",IF(ISNA(VLOOKUP($E56,'A-1 Site Habitat Baseline'!$D$1:$X$258,14,FALSE)),"",(VLOOKUP($E56,'A-1 Site Habitat Baseline'!$D$1:$X$258,14,FALSE))))</f>
        <v/>
      </c>
      <c r="O56" s="345" t="str">
        <f>IF(E56="","",IF(ISNA(VLOOKUP($E56,'A-1 Site Habitat Baseline'!$D$1:$X$258,16,FALSE)),"",(VLOOKUP($E56,'A-1 Site Habitat Baseline'!$D$1:$X$258,13,FALSE))))</f>
        <v/>
      </c>
      <c r="P56" s="346" t="str">
        <f>IFERROR(INDEX('G-1 All Habitats'!$AG$3:$AG$15,MATCH(Q56,'G-1 All Habitats'!$AF$3:$AF$15,0)),"")</f>
        <v/>
      </c>
      <c r="Q56" s="347"/>
      <c r="R56" s="347"/>
      <c r="S56" s="605" t="str">
        <f>IFERROR(INDEX('G-1 All Habitats'!$B$3:$B$130,MATCH(R56,'G-1 All Habitats'!$A$3:$A$130,0)),"")</f>
        <v/>
      </c>
      <c r="T56" s="77" t="str">
        <f t="shared" si="9"/>
        <v/>
      </c>
      <c r="U56" s="78" t="str">
        <f t="shared" si="2"/>
        <v/>
      </c>
      <c r="V56" s="350" t="str">
        <f t="shared" si="3"/>
        <v/>
      </c>
      <c r="W56" s="343" t="str">
        <f>IF(S56="","",VLOOKUP(S56,'G-1 All Habitats'!$B$2:$M$130,10,FALSE))</f>
        <v/>
      </c>
      <c r="X56" s="343" t="str">
        <f>IFERROR(VLOOKUP(W56,'G-1 All Habitats'!$V$3:$W$7,2,FALSE),"")</f>
        <v/>
      </c>
      <c r="Y56" s="91"/>
      <c r="Z56" s="345" t="str">
        <f>IFERROR(INDEX('G-8 Condition Look up'!$A$3:$H$131,MATCH(S56,'G-8 Condition Look up'!$A$3:$A$131,0),MATCH(Y56,'G-8 Condition Look up'!$A$3:$H$3,0)),"")</f>
        <v/>
      </c>
      <c r="AA56" s="79"/>
      <c r="AB56" s="343" t="str">
        <f>IF(AA56="","",IF(VLOOKUP(AA56,'G-3 Multipliers'!$L$3:$N$6,2,FALSE)=0,"Spatial Data Missing",VLOOKUP(AA56,'G-3 Multipliers'!$L$3:$N$6,2,FALSE)))</f>
        <v/>
      </c>
      <c r="AC56" s="345" t="str">
        <f>IF(AA56="","",IF(VLOOKUP(AA56,'G-3 Multipliers'!$L$3:$N$6,3,FALSE)=0,"Spatial Data Missing",VLOOKUP(AA56,'G-3 Multipliers'!$L$3:$N$6,3,FALSE)))</f>
        <v/>
      </c>
      <c r="AD56" s="351" t="str">
        <f t="shared" si="0"/>
        <v/>
      </c>
      <c r="AE56" s="94"/>
      <c r="AF56" s="94"/>
      <c r="AG56" s="343" t="str">
        <f t="shared" si="4"/>
        <v/>
      </c>
      <c r="AH56" s="591" t="str">
        <f t="shared" si="5"/>
        <v/>
      </c>
      <c r="AI56" s="353" t="str">
        <f>IF(AH56="Check Data","Check Data",IFERROR(VLOOKUP(AH56,'G-4 Temporal multipliers'!$A$4:$C$36,3,FALSE),""))</f>
        <v/>
      </c>
      <c r="AJ56" s="77" t="str">
        <f>IF(S56="","",VLOOKUP(S56,'G-3 Multipliers'!$A$2:$E$130,4,FALSE))</f>
        <v/>
      </c>
      <c r="AK56" s="348" t="str">
        <f t="shared" si="6"/>
        <v/>
      </c>
      <c r="AL56" s="348" t="str">
        <f t="shared" si="7"/>
        <v/>
      </c>
      <c r="AM56" s="607" t="str">
        <f>IFERROR(IF(F56="","",IF(AH56="Check Data","Check Data",VLOOKUP(AL56, 'G-3 Multipliers'!$P$2:$Q$6,2,FALSE))),””)</f>
        <v/>
      </c>
      <c r="AN56" s="81" t="str">
        <f t="shared" si="8"/>
        <v/>
      </c>
      <c r="AO56" s="355"/>
      <c r="AP56" s="356"/>
    </row>
    <row r="57" spans="1:42" x14ac:dyDescent="0.25">
      <c r="A57" s="52" t="str">
        <f>IF(E57="","",IF(ISNA(VLOOKUP($E57,'A-1 Site Habitat Baseline'!$D$1:$O$258,2,FALSE)),"",(VLOOKUP($E57,'A-1 Site Habitat Baseline'!$D$1:$O$258,2,FALSE))))</f>
        <v/>
      </c>
      <c r="B57" s="52" t="str">
        <f>IF(E57="","",IF(ISNA(VLOOKUP($E57,'A-1 Site Habitat Baseline'!$D$1:$O$258,3,FALSE)),"",(VLOOKUP($E57,'A-1 Site Habitat Baseline'!$D$1:$O$258,3,FALSE))))</f>
        <v/>
      </c>
      <c r="C57" s="52" t="str">
        <f>IFERROR(INDEX('G-8 Condition Look up'!$I$4:$I$131,MATCH(S57,'G-8 Condition Look up'!$A$4:$A$131,0)),"")</f>
        <v/>
      </c>
      <c r="E57" s="342" t="str">
        <f>'A-1 Site Habitat Baseline'!AL56</f>
        <v/>
      </c>
      <c r="F57" s="343" t="str">
        <f>IF(E57="","",IF(ISNA(VLOOKUP($E57,'A-1 Site Habitat Baseline'!$D$1:$O$258,4,FALSE)),"",(VLOOKUP($E57,'A-1 Site Habitat Baseline'!$D$1:$O$258,4,FALSE))))</f>
        <v/>
      </c>
      <c r="G57" s="343" t="str">
        <f>IF(E57="","",IF(ISNA(VLOOKUP($E57,'A-1 Site Habitat Baseline'!$D$1:$O$258,5,FALSE)),"",(VLOOKUP($E57,'A-1 Site Habitat Baseline'!$D$1:$O$258,5,FALSE))))</f>
        <v/>
      </c>
      <c r="H57" s="343" t="str">
        <f>IF(E57="","",IF(ISNA(VLOOKUP($E57,'A-1 Site Habitat Baseline'!$D$1:$O$258,6,FALSE)),"",(VLOOKUP($E57,'A-1 Site Habitat Baseline'!$D$1:$O$258,6,FALSE))))</f>
        <v/>
      </c>
      <c r="I57" s="343" t="str">
        <f>IF(E57="","",IF(ISNA(VLOOKUP($E57,'A-1 Site Habitat Baseline'!$D$1:$O$258,7,FALSE)),"",(VLOOKUP($E57,'A-1 Site Habitat Baseline'!$D$1:$O$258,7,FALSE))))</f>
        <v/>
      </c>
      <c r="J57" s="343" t="str">
        <f>IF(E57="","",IF(ISNA(VLOOKUP($E57,'A-1 Site Habitat Baseline'!$D$1:$O$258,8,FALSE)),"",(VLOOKUP($E57,'A-1 Site Habitat Baseline'!$D$1:$O$258,8,FALSE))))</f>
        <v/>
      </c>
      <c r="K57" s="343" t="str">
        <f>IF(E57="","",IF(ISNA(VLOOKUP($E57,'A-1 Site Habitat Baseline'!$D$1:$O$258,9,FALSE)),"",(VLOOKUP($E57,'A-1 Site Habitat Baseline'!$D$1:$O$258,9,FALSE))))</f>
        <v/>
      </c>
      <c r="L57" s="343" t="str">
        <f>IF(E57="","",IF(ISNA(VLOOKUP($E57,'A-1 Site Habitat Baseline'!$D$1:$O$258,11,FALSE)),"",(VLOOKUP($E57,'A-1 Site Habitat Baseline'!$D$1:$O$258,11,FALSE))))</f>
        <v/>
      </c>
      <c r="M57" s="343" t="str">
        <f>IF(E57="","",IF(ISNA(VLOOKUP($E57,'A-1 Site Habitat Baseline'!$D$1:$O$258,12,FALSE)),"",(VLOOKUP($E57,'A-1 Site Habitat Baseline'!$D$1:$O$258,12,FALSE))))</f>
        <v/>
      </c>
      <c r="N57" s="344" t="str">
        <f>IF(E57="","",IF(ISNA(VLOOKUP($E57,'A-1 Site Habitat Baseline'!$D$1:$X$258,14,FALSE)),"",(VLOOKUP($E57,'A-1 Site Habitat Baseline'!$D$1:$X$258,14,FALSE))))</f>
        <v/>
      </c>
      <c r="O57" s="345" t="str">
        <f>IF(E57="","",IF(ISNA(VLOOKUP($E57,'A-1 Site Habitat Baseline'!$D$1:$X$258,16,FALSE)),"",(VLOOKUP($E57,'A-1 Site Habitat Baseline'!$D$1:$X$258,13,FALSE))))</f>
        <v/>
      </c>
      <c r="P57" s="346" t="str">
        <f>IFERROR(INDEX('G-1 All Habitats'!$AG$3:$AG$15,MATCH(Q57,'G-1 All Habitats'!$AF$3:$AF$15,0)),"")</f>
        <v/>
      </c>
      <c r="Q57" s="347"/>
      <c r="R57" s="347"/>
      <c r="S57" s="605" t="str">
        <f>IFERROR(INDEX('G-1 All Habitats'!$B$3:$B$130,MATCH(R57,'G-1 All Habitats'!$A$3:$A$130,0)),"")</f>
        <v/>
      </c>
      <c r="T57" s="77" t="str">
        <f t="shared" si="9"/>
        <v/>
      </c>
      <c r="U57" s="78" t="str">
        <f t="shared" si="2"/>
        <v/>
      </c>
      <c r="V57" s="350" t="str">
        <f t="shared" si="3"/>
        <v/>
      </c>
      <c r="W57" s="343" t="str">
        <f>IF(S57="","",VLOOKUP(S57,'G-1 All Habitats'!$B$2:$M$130,10,FALSE))</f>
        <v/>
      </c>
      <c r="X57" s="343" t="str">
        <f>IFERROR(VLOOKUP(W57,'G-1 All Habitats'!$V$3:$W$7,2,FALSE),"")</f>
        <v/>
      </c>
      <c r="Y57" s="91"/>
      <c r="Z57" s="345" t="str">
        <f>IFERROR(INDEX('G-8 Condition Look up'!$A$3:$H$131,MATCH(S57,'G-8 Condition Look up'!$A$3:$A$131,0),MATCH(Y57,'G-8 Condition Look up'!$A$3:$H$3,0)),"")</f>
        <v/>
      </c>
      <c r="AA57" s="79"/>
      <c r="AB57" s="343" t="str">
        <f>IF(AA57="","",IF(VLOOKUP(AA57,'G-3 Multipliers'!$L$3:$N$6,2,FALSE)=0,"Spatial Data Missing",VLOOKUP(AA57,'G-3 Multipliers'!$L$3:$N$6,2,FALSE)))</f>
        <v/>
      </c>
      <c r="AC57" s="345" t="str">
        <f>IF(AA57="","",IF(VLOOKUP(AA57,'G-3 Multipliers'!$L$3:$N$6,3,FALSE)=0,"Spatial Data Missing",VLOOKUP(AA57,'G-3 Multipliers'!$L$3:$N$6,3,FALSE)))</f>
        <v/>
      </c>
      <c r="AD57" s="351" t="str">
        <f t="shared" si="0"/>
        <v/>
      </c>
      <c r="AE57" s="94"/>
      <c r="AF57" s="94"/>
      <c r="AG57" s="343" t="str">
        <f t="shared" si="4"/>
        <v/>
      </c>
      <c r="AH57" s="591" t="str">
        <f t="shared" si="5"/>
        <v/>
      </c>
      <c r="AI57" s="353" t="str">
        <f>IF(AH57="Check Data","Check Data",IFERROR(VLOOKUP(AH57,'G-4 Temporal multipliers'!$A$4:$C$36,3,FALSE),""))</f>
        <v/>
      </c>
      <c r="AJ57" s="77" t="str">
        <f>IF(S57="","",VLOOKUP(S57,'G-3 Multipliers'!$A$2:$E$130,4,FALSE))</f>
        <v/>
      </c>
      <c r="AK57" s="348" t="str">
        <f t="shared" si="6"/>
        <v/>
      </c>
      <c r="AL57" s="348" t="str">
        <f t="shared" si="7"/>
        <v/>
      </c>
      <c r="AM57" s="607" t="str">
        <f>IFERROR(IF(F57="","",IF(AH57="Check Data","Check Data",VLOOKUP(AL57, 'G-3 Multipliers'!$P$2:$Q$6,2,FALSE))),””)</f>
        <v/>
      </c>
      <c r="AN57" s="81" t="str">
        <f t="shared" si="8"/>
        <v/>
      </c>
      <c r="AO57" s="355"/>
      <c r="AP57" s="356"/>
    </row>
    <row r="58" spans="1:42" x14ac:dyDescent="0.25">
      <c r="A58" s="52" t="str">
        <f>IF(E58="","",IF(ISNA(VLOOKUP($E58,'A-1 Site Habitat Baseline'!$D$1:$O$258,2,FALSE)),"",(VLOOKUP($E58,'A-1 Site Habitat Baseline'!$D$1:$O$258,2,FALSE))))</f>
        <v/>
      </c>
      <c r="B58" s="52" t="str">
        <f>IF(E58="","",IF(ISNA(VLOOKUP($E58,'A-1 Site Habitat Baseline'!$D$1:$O$258,3,FALSE)),"",(VLOOKUP($E58,'A-1 Site Habitat Baseline'!$D$1:$O$258,3,FALSE))))</f>
        <v/>
      </c>
      <c r="C58" s="52" t="str">
        <f>IFERROR(INDEX('G-8 Condition Look up'!$I$4:$I$131,MATCH(S58,'G-8 Condition Look up'!$A$4:$A$131,0)),"")</f>
        <v/>
      </c>
      <c r="E58" s="342" t="str">
        <f>'A-1 Site Habitat Baseline'!AL57</f>
        <v/>
      </c>
      <c r="F58" s="343" t="str">
        <f>IF(E58="","",IF(ISNA(VLOOKUP($E58,'A-1 Site Habitat Baseline'!$D$1:$O$258,4,FALSE)),"",(VLOOKUP($E58,'A-1 Site Habitat Baseline'!$D$1:$O$258,4,FALSE))))</f>
        <v/>
      </c>
      <c r="G58" s="343" t="str">
        <f>IF(E58="","",IF(ISNA(VLOOKUP($E58,'A-1 Site Habitat Baseline'!$D$1:$O$258,5,FALSE)),"",(VLOOKUP($E58,'A-1 Site Habitat Baseline'!$D$1:$O$258,5,FALSE))))</f>
        <v/>
      </c>
      <c r="H58" s="343" t="str">
        <f>IF(E58="","",IF(ISNA(VLOOKUP($E58,'A-1 Site Habitat Baseline'!$D$1:$O$258,6,FALSE)),"",(VLOOKUP($E58,'A-1 Site Habitat Baseline'!$D$1:$O$258,6,FALSE))))</f>
        <v/>
      </c>
      <c r="I58" s="343" t="str">
        <f>IF(E58="","",IF(ISNA(VLOOKUP($E58,'A-1 Site Habitat Baseline'!$D$1:$O$258,7,FALSE)),"",(VLOOKUP($E58,'A-1 Site Habitat Baseline'!$D$1:$O$258,7,FALSE))))</f>
        <v/>
      </c>
      <c r="J58" s="343" t="str">
        <f>IF(E58="","",IF(ISNA(VLOOKUP($E58,'A-1 Site Habitat Baseline'!$D$1:$O$258,8,FALSE)),"",(VLOOKUP($E58,'A-1 Site Habitat Baseline'!$D$1:$O$258,8,FALSE))))</f>
        <v/>
      </c>
      <c r="K58" s="343" t="str">
        <f>IF(E58="","",IF(ISNA(VLOOKUP($E58,'A-1 Site Habitat Baseline'!$D$1:$O$258,9,FALSE)),"",(VLOOKUP($E58,'A-1 Site Habitat Baseline'!$D$1:$O$258,9,FALSE))))</f>
        <v/>
      </c>
      <c r="L58" s="343" t="str">
        <f>IF(E58="","",IF(ISNA(VLOOKUP($E58,'A-1 Site Habitat Baseline'!$D$1:$O$258,11,FALSE)),"",(VLOOKUP($E58,'A-1 Site Habitat Baseline'!$D$1:$O$258,11,FALSE))))</f>
        <v/>
      </c>
      <c r="M58" s="343" t="str">
        <f>IF(E58="","",IF(ISNA(VLOOKUP($E58,'A-1 Site Habitat Baseline'!$D$1:$O$258,12,FALSE)),"",(VLOOKUP($E58,'A-1 Site Habitat Baseline'!$D$1:$O$258,12,FALSE))))</f>
        <v/>
      </c>
      <c r="N58" s="344" t="str">
        <f>IF(E58="","",IF(ISNA(VLOOKUP($E58,'A-1 Site Habitat Baseline'!$D$1:$X$258,14,FALSE)),"",(VLOOKUP($E58,'A-1 Site Habitat Baseline'!$D$1:$X$258,14,FALSE))))</f>
        <v/>
      </c>
      <c r="O58" s="345" t="str">
        <f>IF(E58="","",IF(ISNA(VLOOKUP($E58,'A-1 Site Habitat Baseline'!$D$1:$X$258,16,FALSE)),"",(VLOOKUP($E58,'A-1 Site Habitat Baseline'!$D$1:$X$258,13,FALSE))))</f>
        <v/>
      </c>
      <c r="P58" s="346" t="str">
        <f>IFERROR(INDEX('G-1 All Habitats'!$AG$3:$AG$15,MATCH(Q58,'G-1 All Habitats'!$AF$3:$AF$15,0)),"")</f>
        <v/>
      </c>
      <c r="Q58" s="347"/>
      <c r="R58" s="347"/>
      <c r="S58" s="605" t="str">
        <f>IFERROR(INDEX('G-1 All Habitats'!$B$3:$B$130,MATCH(R58,'G-1 All Habitats'!$A$3:$A$130,0)),"")</f>
        <v/>
      </c>
      <c r="T58" s="77" t="str">
        <f t="shared" si="9"/>
        <v/>
      </c>
      <c r="U58" s="78" t="str">
        <f t="shared" si="2"/>
        <v/>
      </c>
      <c r="V58" s="350" t="str">
        <f t="shared" si="3"/>
        <v/>
      </c>
      <c r="W58" s="343" t="str">
        <f>IF(S58="","",VLOOKUP(S58,'G-1 All Habitats'!$B$2:$M$130,10,FALSE))</f>
        <v/>
      </c>
      <c r="X58" s="343" t="str">
        <f>IFERROR(VLOOKUP(W58,'G-1 All Habitats'!$V$3:$W$7,2,FALSE),"")</f>
        <v/>
      </c>
      <c r="Y58" s="91"/>
      <c r="Z58" s="345" t="str">
        <f>IFERROR(INDEX('G-8 Condition Look up'!$A$3:$H$131,MATCH(S58,'G-8 Condition Look up'!$A$3:$A$131,0),MATCH(Y58,'G-8 Condition Look up'!$A$3:$H$3,0)),"")</f>
        <v/>
      </c>
      <c r="AA58" s="79"/>
      <c r="AB58" s="343" t="str">
        <f>IF(AA58="","",IF(VLOOKUP(AA58,'G-3 Multipliers'!$L$3:$N$6,2,FALSE)=0,"Spatial Data Missing",VLOOKUP(AA58,'G-3 Multipliers'!$L$3:$N$6,2,FALSE)))</f>
        <v/>
      </c>
      <c r="AC58" s="345" t="str">
        <f>IF(AA58="","",IF(VLOOKUP(AA58,'G-3 Multipliers'!$L$3:$N$6,3,FALSE)=0,"Spatial Data Missing",VLOOKUP(AA58,'G-3 Multipliers'!$L$3:$N$6,3,FALSE)))</f>
        <v/>
      </c>
      <c r="AD58" s="351" t="str">
        <f t="shared" si="0"/>
        <v/>
      </c>
      <c r="AE58" s="94"/>
      <c r="AF58" s="94"/>
      <c r="AG58" s="343" t="str">
        <f t="shared" si="4"/>
        <v/>
      </c>
      <c r="AH58" s="591" t="str">
        <f t="shared" si="5"/>
        <v/>
      </c>
      <c r="AI58" s="353" t="str">
        <f>IF(AH58="Check Data","Check Data",IFERROR(VLOOKUP(AH58,'G-4 Temporal multipliers'!$A$4:$C$36,3,FALSE),""))</f>
        <v/>
      </c>
      <c r="AJ58" s="77" t="str">
        <f>IF(S58="","",VLOOKUP(S58,'G-3 Multipliers'!$A$2:$E$130,4,FALSE))</f>
        <v/>
      </c>
      <c r="AK58" s="348" t="str">
        <f t="shared" si="6"/>
        <v/>
      </c>
      <c r="AL58" s="348" t="str">
        <f t="shared" si="7"/>
        <v/>
      </c>
      <c r="AM58" s="607" t="str">
        <f>IFERROR(IF(F58="","",IF(AH58="Check Data","Check Data",VLOOKUP(AL58, 'G-3 Multipliers'!$P$2:$Q$6,2,FALSE))),””)</f>
        <v/>
      </c>
      <c r="AN58" s="81" t="str">
        <f t="shared" si="8"/>
        <v/>
      </c>
      <c r="AO58" s="355"/>
      <c r="AP58" s="356"/>
    </row>
    <row r="59" spans="1:42" x14ac:dyDescent="0.25">
      <c r="A59" s="52" t="str">
        <f>IF(E59="","",IF(ISNA(VLOOKUP($E59,'A-1 Site Habitat Baseline'!$D$1:$O$258,2,FALSE)),"",(VLOOKUP($E59,'A-1 Site Habitat Baseline'!$D$1:$O$258,2,FALSE))))</f>
        <v/>
      </c>
      <c r="B59" s="52" t="str">
        <f>IF(E59="","",IF(ISNA(VLOOKUP($E59,'A-1 Site Habitat Baseline'!$D$1:$O$258,3,FALSE)),"",(VLOOKUP($E59,'A-1 Site Habitat Baseline'!$D$1:$O$258,3,FALSE))))</f>
        <v/>
      </c>
      <c r="C59" s="52" t="str">
        <f>IFERROR(INDEX('G-8 Condition Look up'!$I$4:$I$131,MATCH(S59,'G-8 Condition Look up'!$A$4:$A$131,0)),"")</f>
        <v/>
      </c>
      <c r="E59" s="342" t="str">
        <f>'A-1 Site Habitat Baseline'!AL58</f>
        <v/>
      </c>
      <c r="F59" s="343" t="str">
        <f>IF(E59="","",IF(ISNA(VLOOKUP($E59,'A-1 Site Habitat Baseline'!$D$1:$O$258,4,FALSE)),"",(VLOOKUP($E59,'A-1 Site Habitat Baseline'!$D$1:$O$258,4,FALSE))))</f>
        <v/>
      </c>
      <c r="G59" s="343" t="str">
        <f>IF(E59="","",IF(ISNA(VLOOKUP($E59,'A-1 Site Habitat Baseline'!$D$1:$O$258,5,FALSE)),"",(VLOOKUP($E59,'A-1 Site Habitat Baseline'!$D$1:$O$258,5,FALSE))))</f>
        <v/>
      </c>
      <c r="H59" s="343" t="str">
        <f>IF(E59="","",IF(ISNA(VLOOKUP($E59,'A-1 Site Habitat Baseline'!$D$1:$O$258,6,FALSE)),"",(VLOOKUP($E59,'A-1 Site Habitat Baseline'!$D$1:$O$258,6,FALSE))))</f>
        <v/>
      </c>
      <c r="I59" s="343" t="str">
        <f>IF(E59="","",IF(ISNA(VLOOKUP($E59,'A-1 Site Habitat Baseline'!$D$1:$O$258,7,FALSE)),"",(VLOOKUP($E59,'A-1 Site Habitat Baseline'!$D$1:$O$258,7,FALSE))))</f>
        <v/>
      </c>
      <c r="J59" s="343" t="str">
        <f>IF(E59="","",IF(ISNA(VLOOKUP($E59,'A-1 Site Habitat Baseline'!$D$1:$O$258,8,FALSE)),"",(VLOOKUP($E59,'A-1 Site Habitat Baseline'!$D$1:$O$258,8,FALSE))))</f>
        <v/>
      </c>
      <c r="K59" s="343" t="str">
        <f>IF(E59="","",IF(ISNA(VLOOKUP($E59,'A-1 Site Habitat Baseline'!$D$1:$O$258,9,FALSE)),"",(VLOOKUP($E59,'A-1 Site Habitat Baseline'!$D$1:$O$258,9,FALSE))))</f>
        <v/>
      </c>
      <c r="L59" s="343" t="str">
        <f>IF(E59="","",IF(ISNA(VLOOKUP($E59,'A-1 Site Habitat Baseline'!$D$1:$O$258,11,FALSE)),"",(VLOOKUP($E59,'A-1 Site Habitat Baseline'!$D$1:$O$258,11,FALSE))))</f>
        <v/>
      </c>
      <c r="M59" s="343" t="str">
        <f>IF(E59="","",IF(ISNA(VLOOKUP($E59,'A-1 Site Habitat Baseline'!$D$1:$O$258,12,FALSE)),"",(VLOOKUP($E59,'A-1 Site Habitat Baseline'!$D$1:$O$258,12,FALSE))))</f>
        <v/>
      </c>
      <c r="N59" s="344" t="str">
        <f>IF(E59="","",IF(ISNA(VLOOKUP($E59,'A-1 Site Habitat Baseline'!$D$1:$X$258,14,FALSE)),"",(VLOOKUP($E59,'A-1 Site Habitat Baseline'!$D$1:$X$258,14,FALSE))))</f>
        <v/>
      </c>
      <c r="O59" s="345" t="str">
        <f>IF(E59="","",IF(ISNA(VLOOKUP($E59,'A-1 Site Habitat Baseline'!$D$1:$X$258,16,FALSE)),"",(VLOOKUP($E59,'A-1 Site Habitat Baseline'!$D$1:$X$258,13,FALSE))))</f>
        <v/>
      </c>
      <c r="P59" s="346" t="str">
        <f>IFERROR(INDEX('G-1 All Habitats'!$AG$3:$AG$15,MATCH(Q59,'G-1 All Habitats'!$AF$3:$AF$15,0)),"")</f>
        <v/>
      </c>
      <c r="Q59" s="347"/>
      <c r="R59" s="347"/>
      <c r="S59" s="605" t="str">
        <f>IFERROR(INDEX('G-1 All Habitats'!$B$3:$B$130,MATCH(R59,'G-1 All Habitats'!$A$3:$A$130,0)),"")</f>
        <v/>
      </c>
      <c r="T59" s="77" t="str">
        <f t="shared" si="9"/>
        <v/>
      </c>
      <c r="U59" s="78" t="str">
        <f t="shared" si="2"/>
        <v/>
      </c>
      <c r="V59" s="350" t="str">
        <f t="shared" si="3"/>
        <v/>
      </c>
      <c r="W59" s="343" t="str">
        <f>IF(S59="","",VLOOKUP(S59,'G-1 All Habitats'!$B$2:$M$130,10,FALSE))</f>
        <v/>
      </c>
      <c r="X59" s="343" t="str">
        <f>IFERROR(VLOOKUP(W59,'G-1 All Habitats'!$V$3:$W$7,2,FALSE),"")</f>
        <v/>
      </c>
      <c r="Y59" s="91"/>
      <c r="Z59" s="345" t="str">
        <f>IFERROR(INDEX('G-8 Condition Look up'!$A$3:$H$131,MATCH(S59,'G-8 Condition Look up'!$A$3:$A$131,0),MATCH(Y59,'G-8 Condition Look up'!$A$3:$H$3,0)),"")</f>
        <v/>
      </c>
      <c r="AA59" s="79"/>
      <c r="AB59" s="343" t="str">
        <f>IF(AA59="","",IF(VLOOKUP(AA59,'G-3 Multipliers'!$L$3:$N$6,2,FALSE)=0,"Spatial Data Missing",VLOOKUP(AA59,'G-3 Multipliers'!$L$3:$N$6,2,FALSE)))</f>
        <v/>
      </c>
      <c r="AC59" s="345" t="str">
        <f>IF(AA59="","",IF(VLOOKUP(AA59,'G-3 Multipliers'!$L$3:$N$6,3,FALSE)=0,"Spatial Data Missing",VLOOKUP(AA59,'G-3 Multipliers'!$L$3:$N$6,3,FALSE)))</f>
        <v/>
      </c>
      <c r="AD59" s="351" t="str">
        <f t="shared" si="0"/>
        <v/>
      </c>
      <c r="AE59" s="94"/>
      <c r="AF59" s="94"/>
      <c r="AG59" s="343" t="str">
        <f t="shared" si="4"/>
        <v/>
      </c>
      <c r="AH59" s="591" t="str">
        <f t="shared" si="5"/>
        <v/>
      </c>
      <c r="AI59" s="353" t="str">
        <f>IF(AH59="Check Data","Check Data",IFERROR(VLOOKUP(AH59,'G-4 Temporal multipliers'!$A$4:$C$36,3,FALSE),""))</f>
        <v/>
      </c>
      <c r="AJ59" s="77" t="str">
        <f>IF(S59="","",VLOOKUP(S59,'G-3 Multipliers'!$A$2:$E$130,4,FALSE))</f>
        <v/>
      </c>
      <c r="AK59" s="348" t="str">
        <f t="shared" si="6"/>
        <v/>
      </c>
      <c r="AL59" s="348" t="str">
        <f t="shared" si="7"/>
        <v/>
      </c>
      <c r="AM59" s="607" t="str">
        <f>IFERROR(IF(F59="","",IF(AH59="Check Data","Check Data",VLOOKUP(AL59, 'G-3 Multipliers'!$P$2:$Q$6,2,FALSE))),””)</f>
        <v/>
      </c>
      <c r="AN59" s="81" t="str">
        <f t="shared" si="8"/>
        <v/>
      </c>
      <c r="AO59" s="355"/>
      <c r="AP59" s="356"/>
    </row>
    <row r="60" spans="1:42" x14ac:dyDescent="0.25">
      <c r="A60" s="52" t="str">
        <f>IF(E60="","",IF(ISNA(VLOOKUP($E60,'A-1 Site Habitat Baseline'!$D$1:$O$258,2,FALSE)),"",(VLOOKUP($E60,'A-1 Site Habitat Baseline'!$D$1:$O$258,2,FALSE))))</f>
        <v/>
      </c>
      <c r="B60" s="52" t="str">
        <f>IF(E60="","",IF(ISNA(VLOOKUP($E60,'A-1 Site Habitat Baseline'!$D$1:$O$258,3,FALSE)),"",(VLOOKUP($E60,'A-1 Site Habitat Baseline'!$D$1:$O$258,3,FALSE))))</f>
        <v/>
      </c>
      <c r="C60" s="52" t="str">
        <f>IFERROR(INDEX('G-8 Condition Look up'!$I$4:$I$131,MATCH(S60,'G-8 Condition Look up'!$A$4:$A$131,0)),"")</f>
        <v/>
      </c>
      <c r="E60" s="342" t="str">
        <f>'A-1 Site Habitat Baseline'!AL59</f>
        <v/>
      </c>
      <c r="F60" s="343" t="str">
        <f>IF(E60="","",IF(ISNA(VLOOKUP($E60,'A-1 Site Habitat Baseline'!$D$1:$O$258,4,FALSE)),"",(VLOOKUP($E60,'A-1 Site Habitat Baseline'!$D$1:$O$258,4,FALSE))))</f>
        <v/>
      </c>
      <c r="G60" s="343" t="str">
        <f>IF(E60="","",IF(ISNA(VLOOKUP($E60,'A-1 Site Habitat Baseline'!$D$1:$O$258,5,FALSE)),"",(VLOOKUP($E60,'A-1 Site Habitat Baseline'!$D$1:$O$258,5,FALSE))))</f>
        <v/>
      </c>
      <c r="H60" s="343" t="str">
        <f>IF(E60="","",IF(ISNA(VLOOKUP($E60,'A-1 Site Habitat Baseline'!$D$1:$O$258,6,FALSE)),"",(VLOOKUP($E60,'A-1 Site Habitat Baseline'!$D$1:$O$258,6,FALSE))))</f>
        <v/>
      </c>
      <c r="I60" s="343" t="str">
        <f>IF(E60="","",IF(ISNA(VLOOKUP($E60,'A-1 Site Habitat Baseline'!$D$1:$O$258,7,FALSE)),"",(VLOOKUP($E60,'A-1 Site Habitat Baseline'!$D$1:$O$258,7,FALSE))))</f>
        <v/>
      </c>
      <c r="J60" s="343" t="str">
        <f>IF(E60="","",IF(ISNA(VLOOKUP($E60,'A-1 Site Habitat Baseline'!$D$1:$O$258,8,FALSE)),"",(VLOOKUP($E60,'A-1 Site Habitat Baseline'!$D$1:$O$258,8,FALSE))))</f>
        <v/>
      </c>
      <c r="K60" s="343" t="str">
        <f>IF(E60="","",IF(ISNA(VLOOKUP($E60,'A-1 Site Habitat Baseline'!$D$1:$O$258,9,FALSE)),"",(VLOOKUP($E60,'A-1 Site Habitat Baseline'!$D$1:$O$258,9,FALSE))))</f>
        <v/>
      </c>
      <c r="L60" s="343" t="str">
        <f>IF(E60="","",IF(ISNA(VLOOKUP($E60,'A-1 Site Habitat Baseline'!$D$1:$O$258,11,FALSE)),"",(VLOOKUP($E60,'A-1 Site Habitat Baseline'!$D$1:$O$258,11,FALSE))))</f>
        <v/>
      </c>
      <c r="M60" s="343" t="str">
        <f>IF(E60="","",IF(ISNA(VLOOKUP($E60,'A-1 Site Habitat Baseline'!$D$1:$O$258,12,FALSE)),"",(VLOOKUP($E60,'A-1 Site Habitat Baseline'!$D$1:$O$258,12,FALSE))))</f>
        <v/>
      </c>
      <c r="N60" s="344" t="str">
        <f>IF(E60="","",IF(ISNA(VLOOKUP($E60,'A-1 Site Habitat Baseline'!$D$1:$X$258,14,FALSE)),"",(VLOOKUP($E60,'A-1 Site Habitat Baseline'!$D$1:$X$258,14,FALSE))))</f>
        <v/>
      </c>
      <c r="O60" s="345" t="str">
        <f>IF(E60="","",IF(ISNA(VLOOKUP($E60,'A-1 Site Habitat Baseline'!$D$1:$X$258,16,FALSE)),"",(VLOOKUP($E60,'A-1 Site Habitat Baseline'!$D$1:$X$258,13,FALSE))))</f>
        <v/>
      </c>
      <c r="P60" s="346" t="str">
        <f>IFERROR(INDEX('G-1 All Habitats'!$AG$3:$AG$15,MATCH(Q60,'G-1 All Habitats'!$AF$3:$AF$15,0)),"")</f>
        <v/>
      </c>
      <c r="Q60" s="347"/>
      <c r="R60" s="347"/>
      <c r="S60" s="605" t="str">
        <f>IFERROR(INDEX('G-1 All Habitats'!$B$3:$B$130,MATCH(R60,'G-1 All Habitats'!$A$3:$A$130,0)),"")</f>
        <v/>
      </c>
      <c r="T60" s="77" t="str">
        <f t="shared" si="9"/>
        <v/>
      </c>
      <c r="U60" s="78" t="str">
        <f t="shared" si="2"/>
        <v/>
      </c>
      <c r="V60" s="350" t="str">
        <f t="shared" si="3"/>
        <v/>
      </c>
      <c r="W60" s="343" t="str">
        <f>IF(S60="","",VLOOKUP(S60,'G-1 All Habitats'!$B$2:$M$130,10,FALSE))</f>
        <v/>
      </c>
      <c r="X60" s="343" t="str">
        <f>IFERROR(VLOOKUP(W60,'G-1 All Habitats'!$V$3:$W$7,2,FALSE),"")</f>
        <v/>
      </c>
      <c r="Y60" s="91"/>
      <c r="Z60" s="345" t="str">
        <f>IFERROR(INDEX('G-8 Condition Look up'!$A$3:$H$131,MATCH(S60,'G-8 Condition Look up'!$A$3:$A$131,0),MATCH(Y60,'G-8 Condition Look up'!$A$3:$H$3,0)),"")</f>
        <v/>
      </c>
      <c r="AA60" s="79"/>
      <c r="AB60" s="343" t="str">
        <f>IF(AA60="","",IF(VLOOKUP(AA60,'G-3 Multipliers'!$L$3:$N$6,2,FALSE)=0,"Spatial Data Missing",VLOOKUP(AA60,'G-3 Multipliers'!$L$3:$N$6,2,FALSE)))</f>
        <v/>
      </c>
      <c r="AC60" s="345" t="str">
        <f>IF(AA60="","",IF(VLOOKUP(AA60,'G-3 Multipliers'!$L$3:$N$6,3,FALSE)=0,"Spatial Data Missing",VLOOKUP(AA60,'G-3 Multipliers'!$L$3:$N$6,3,FALSE)))</f>
        <v/>
      </c>
      <c r="AD60" s="351" t="str">
        <f t="shared" si="0"/>
        <v/>
      </c>
      <c r="AE60" s="94"/>
      <c r="AF60" s="94"/>
      <c r="AG60" s="343" t="str">
        <f t="shared" si="4"/>
        <v/>
      </c>
      <c r="AH60" s="591" t="str">
        <f t="shared" si="5"/>
        <v/>
      </c>
      <c r="AI60" s="353" t="str">
        <f>IF(AH60="Check Data","Check Data",IFERROR(VLOOKUP(AH60,'G-4 Temporal multipliers'!$A$4:$C$36,3,FALSE),""))</f>
        <v/>
      </c>
      <c r="AJ60" s="77" t="str">
        <f>IF(S60="","",VLOOKUP(S60,'G-3 Multipliers'!$A$2:$E$130,4,FALSE))</f>
        <v/>
      </c>
      <c r="AK60" s="348" t="str">
        <f t="shared" si="6"/>
        <v/>
      </c>
      <c r="AL60" s="348" t="str">
        <f t="shared" si="7"/>
        <v/>
      </c>
      <c r="AM60" s="607" t="str">
        <f>IFERROR(IF(F60="","",IF(AH60="Check Data","Check Data",VLOOKUP(AL60, 'G-3 Multipliers'!$P$2:$Q$6,2,FALSE))),””)</f>
        <v/>
      </c>
      <c r="AN60" s="81" t="str">
        <f t="shared" si="8"/>
        <v/>
      </c>
      <c r="AO60" s="355"/>
      <c r="AP60" s="356"/>
    </row>
    <row r="61" spans="1:42" x14ac:dyDescent="0.25">
      <c r="A61" s="52" t="str">
        <f>IF(E61="","",IF(ISNA(VLOOKUP($E61,'A-1 Site Habitat Baseline'!$D$1:$O$258,2,FALSE)),"",(VLOOKUP($E61,'A-1 Site Habitat Baseline'!$D$1:$O$258,2,FALSE))))</f>
        <v/>
      </c>
      <c r="B61" s="52" t="str">
        <f>IF(E61="","",IF(ISNA(VLOOKUP($E61,'A-1 Site Habitat Baseline'!$D$1:$O$258,3,FALSE)),"",(VLOOKUP($E61,'A-1 Site Habitat Baseline'!$D$1:$O$258,3,FALSE))))</f>
        <v/>
      </c>
      <c r="C61" s="52" t="str">
        <f>IFERROR(INDEX('G-8 Condition Look up'!$I$4:$I$131,MATCH(S61,'G-8 Condition Look up'!$A$4:$A$131,0)),"")</f>
        <v/>
      </c>
      <c r="E61" s="342" t="str">
        <f>'A-1 Site Habitat Baseline'!AL60</f>
        <v/>
      </c>
      <c r="F61" s="343" t="str">
        <f>IF(E61="","",IF(ISNA(VLOOKUP($E61,'A-1 Site Habitat Baseline'!$D$1:$O$258,4,FALSE)),"",(VLOOKUP($E61,'A-1 Site Habitat Baseline'!$D$1:$O$258,4,FALSE))))</f>
        <v/>
      </c>
      <c r="G61" s="343" t="str">
        <f>IF(E61="","",IF(ISNA(VLOOKUP($E61,'A-1 Site Habitat Baseline'!$D$1:$O$258,5,FALSE)),"",(VLOOKUP($E61,'A-1 Site Habitat Baseline'!$D$1:$O$258,5,FALSE))))</f>
        <v/>
      </c>
      <c r="H61" s="343" t="str">
        <f>IF(E61="","",IF(ISNA(VLOOKUP($E61,'A-1 Site Habitat Baseline'!$D$1:$O$258,6,FALSE)),"",(VLOOKUP($E61,'A-1 Site Habitat Baseline'!$D$1:$O$258,6,FALSE))))</f>
        <v/>
      </c>
      <c r="I61" s="343" t="str">
        <f>IF(E61="","",IF(ISNA(VLOOKUP($E61,'A-1 Site Habitat Baseline'!$D$1:$O$258,7,FALSE)),"",(VLOOKUP($E61,'A-1 Site Habitat Baseline'!$D$1:$O$258,7,FALSE))))</f>
        <v/>
      </c>
      <c r="J61" s="343" t="str">
        <f>IF(E61="","",IF(ISNA(VLOOKUP($E61,'A-1 Site Habitat Baseline'!$D$1:$O$258,8,FALSE)),"",(VLOOKUP($E61,'A-1 Site Habitat Baseline'!$D$1:$O$258,8,FALSE))))</f>
        <v/>
      </c>
      <c r="K61" s="343" t="str">
        <f>IF(E61="","",IF(ISNA(VLOOKUP($E61,'A-1 Site Habitat Baseline'!$D$1:$O$258,9,FALSE)),"",(VLOOKUP($E61,'A-1 Site Habitat Baseline'!$D$1:$O$258,9,FALSE))))</f>
        <v/>
      </c>
      <c r="L61" s="343" t="str">
        <f>IF(E61="","",IF(ISNA(VLOOKUP($E61,'A-1 Site Habitat Baseline'!$D$1:$O$258,11,FALSE)),"",(VLOOKUP($E61,'A-1 Site Habitat Baseline'!$D$1:$O$258,11,FALSE))))</f>
        <v/>
      </c>
      <c r="M61" s="343" t="str">
        <f>IF(E61="","",IF(ISNA(VLOOKUP($E61,'A-1 Site Habitat Baseline'!$D$1:$O$258,12,FALSE)),"",(VLOOKUP($E61,'A-1 Site Habitat Baseline'!$D$1:$O$258,12,FALSE))))</f>
        <v/>
      </c>
      <c r="N61" s="344" t="str">
        <f>IF(E61="","",IF(ISNA(VLOOKUP($E61,'A-1 Site Habitat Baseline'!$D$1:$X$258,14,FALSE)),"",(VLOOKUP($E61,'A-1 Site Habitat Baseline'!$D$1:$X$258,14,FALSE))))</f>
        <v/>
      </c>
      <c r="O61" s="345" t="str">
        <f>IF(E61="","",IF(ISNA(VLOOKUP($E61,'A-1 Site Habitat Baseline'!$D$1:$X$258,16,FALSE)),"",(VLOOKUP($E61,'A-1 Site Habitat Baseline'!$D$1:$X$258,13,FALSE))))</f>
        <v/>
      </c>
      <c r="P61" s="346" t="str">
        <f>IFERROR(INDEX('G-1 All Habitats'!$AG$3:$AG$15,MATCH(Q61,'G-1 All Habitats'!$AF$3:$AF$15,0)),"")</f>
        <v/>
      </c>
      <c r="Q61" s="347"/>
      <c r="R61" s="347"/>
      <c r="S61" s="605" t="str">
        <f>IFERROR(INDEX('G-1 All Habitats'!$B$3:$B$130,MATCH(R61,'G-1 All Habitats'!$A$3:$A$130,0)),"")</f>
        <v/>
      </c>
      <c r="T61" s="77" t="str">
        <f t="shared" si="9"/>
        <v/>
      </c>
      <c r="U61" s="78" t="str">
        <f t="shared" si="2"/>
        <v/>
      </c>
      <c r="V61" s="350" t="str">
        <f t="shared" si="3"/>
        <v/>
      </c>
      <c r="W61" s="343" t="str">
        <f>IF(S61="","",VLOOKUP(S61,'G-1 All Habitats'!$B$2:$M$130,10,FALSE))</f>
        <v/>
      </c>
      <c r="X61" s="343" t="str">
        <f>IFERROR(VLOOKUP(W61,'G-1 All Habitats'!$V$3:$W$7,2,FALSE),"")</f>
        <v/>
      </c>
      <c r="Y61" s="91"/>
      <c r="Z61" s="345" t="str">
        <f>IFERROR(INDEX('G-8 Condition Look up'!$A$3:$H$131,MATCH(S61,'G-8 Condition Look up'!$A$3:$A$131,0),MATCH(Y61,'G-8 Condition Look up'!$A$3:$H$3,0)),"")</f>
        <v/>
      </c>
      <c r="AA61" s="79"/>
      <c r="AB61" s="343" t="str">
        <f>IF(AA61="","",IF(VLOOKUP(AA61,'G-3 Multipliers'!$L$3:$N$6,2,FALSE)=0,"Spatial Data Missing",VLOOKUP(AA61,'G-3 Multipliers'!$L$3:$N$6,2,FALSE)))</f>
        <v/>
      </c>
      <c r="AC61" s="345" t="str">
        <f>IF(AA61="","",IF(VLOOKUP(AA61,'G-3 Multipliers'!$L$3:$N$6,3,FALSE)=0,"Spatial Data Missing",VLOOKUP(AA61,'G-3 Multipliers'!$L$3:$N$6,3,FALSE)))</f>
        <v/>
      </c>
      <c r="AD61" s="351" t="str">
        <f t="shared" si="0"/>
        <v/>
      </c>
      <c r="AE61" s="94"/>
      <c r="AF61" s="94"/>
      <c r="AG61" s="343" t="str">
        <f t="shared" si="4"/>
        <v/>
      </c>
      <c r="AH61" s="591" t="str">
        <f t="shared" si="5"/>
        <v/>
      </c>
      <c r="AI61" s="353" t="str">
        <f>IF(AH61="Check Data","Check Data",IFERROR(VLOOKUP(AH61,'G-4 Temporal multipliers'!$A$4:$C$36,3,FALSE),""))</f>
        <v/>
      </c>
      <c r="AJ61" s="77" t="str">
        <f>IF(S61="","",VLOOKUP(S61,'G-3 Multipliers'!$A$2:$E$130,4,FALSE))</f>
        <v/>
      </c>
      <c r="AK61" s="348" t="str">
        <f t="shared" si="6"/>
        <v/>
      </c>
      <c r="AL61" s="348" t="str">
        <f t="shared" si="7"/>
        <v/>
      </c>
      <c r="AM61" s="607" t="str">
        <f>IFERROR(IF(F61="","",IF(AH61="Check Data","Check Data",VLOOKUP(AL61, 'G-3 Multipliers'!$P$2:$Q$6,2,FALSE))),””)</f>
        <v/>
      </c>
      <c r="AN61" s="81" t="str">
        <f t="shared" si="8"/>
        <v/>
      </c>
      <c r="AO61" s="355"/>
      <c r="AP61" s="356"/>
    </row>
    <row r="62" spans="1:42" x14ac:dyDescent="0.25">
      <c r="A62" s="52" t="str">
        <f>IF(E62="","",IF(ISNA(VLOOKUP($E62,'A-1 Site Habitat Baseline'!$D$1:$O$258,2,FALSE)),"",(VLOOKUP($E62,'A-1 Site Habitat Baseline'!$D$1:$O$258,2,FALSE))))</f>
        <v/>
      </c>
      <c r="B62" s="52" t="str">
        <f>IF(E62="","",IF(ISNA(VLOOKUP($E62,'A-1 Site Habitat Baseline'!$D$1:$O$258,3,FALSE)),"",(VLOOKUP($E62,'A-1 Site Habitat Baseline'!$D$1:$O$258,3,FALSE))))</f>
        <v/>
      </c>
      <c r="C62" s="52" t="str">
        <f>IFERROR(INDEX('G-8 Condition Look up'!$I$4:$I$131,MATCH(S62,'G-8 Condition Look up'!$A$4:$A$131,0)),"")</f>
        <v/>
      </c>
      <c r="E62" s="342" t="str">
        <f>'A-1 Site Habitat Baseline'!AL61</f>
        <v/>
      </c>
      <c r="F62" s="343" t="str">
        <f>IF(E62="","",IF(ISNA(VLOOKUP($E62,'A-1 Site Habitat Baseline'!$D$1:$O$258,4,FALSE)),"",(VLOOKUP($E62,'A-1 Site Habitat Baseline'!$D$1:$O$258,4,FALSE))))</f>
        <v/>
      </c>
      <c r="G62" s="343" t="str">
        <f>IF(E62="","",IF(ISNA(VLOOKUP($E62,'A-1 Site Habitat Baseline'!$D$1:$O$258,5,FALSE)),"",(VLOOKUP($E62,'A-1 Site Habitat Baseline'!$D$1:$O$258,5,FALSE))))</f>
        <v/>
      </c>
      <c r="H62" s="343" t="str">
        <f>IF(E62="","",IF(ISNA(VLOOKUP($E62,'A-1 Site Habitat Baseline'!$D$1:$O$258,6,FALSE)),"",(VLOOKUP($E62,'A-1 Site Habitat Baseline'!$D$1:$O$258,6,FALSE))))</f>
        <v/>
      </c>
      <c r="I62" s="343" t="str">
        <f>IF(E62="","",IF(ISNA(VLOOKUP($E62,'A-1 Site Habitat Baseline'!$D$1:$O$258,7,FALSE)),"",(VLOOKUP($E62,'A-1 Site Habitat Baseline'!$D$1:$O$258,7,FALSE))))</f>
        <v/>
      </c>
      <c r="J62" s="343" t="str">
        <f>IF(E62="","",IF(ISNA(VLOOKUP($E62,'A-1 Site Habitat Baseline'!$D$1:$O$258,8,FALSE)),"",(VLOOKUP($E62,'A-1 Site Habitat Baseline'!$D$1:$O$258,8,FALSE))))</f>
        <v/>
      </c>
      <c r="K62" s="343" t="str">
        <f>IF(E62="","",IF(ISNA(VLOOKUP($E62,'A-1 Site Habitat Baseline'!$D$1:$O$258,9,FALSE)),"",(VLOOKUP($E62,'A-1 Site Habitat Baseline'!$D$1:$O$258,9,FALSE))))</f>
        <v/>
      </c>
      <c r="L62" s="343" t="str">
        <f>IF(E62="","",IF(ISNA(VLOOKUP($E62,'A-1 Site Habitat Baseline'!$D$1:$O$258,11,FALSE)),"",(VLOOKUP($E62,'A-1 Site Habitat Baseline'!$D$1:$O$258,11,FALSE))))</f>
        <v/>
      </c>
      <c r="M62" s="343" t="str">
        <f>IF(E62="","",IF(ISNA(VLOOKUP($E62,'A-1 Site Habitat Baseline'!$D$1:$O$258,12,FALSE)),"",(VLOOKUP($E62,'A-1 Site Habitat Baseline'!$D$1:$O$258,12,FALSE))))</f>
        <v/>
      </c>
      <c r="N62" s="344" t="str">
        <f>IF(E62="","",IF(ISNA(VLOOKUP($E62,'A-1 Site Habitat Baseline'!$D$1:$X$258,14,FALSE)),"",(VLOOKUP($E62,'A-1 Site Habitat Baseline'!$D$1:$X$258,14,FALSE))))</f>
        <v/>
      </c>
      <c r="O62" s="345" t="str">
        <f>IF(E62="","",IF(ISNA(VLOOKUP($E62,'A-1 Site Habitat Baseline'!$D$1:$X$258,16,FALSE)),"",(VLOOKUP($E62,'A-1 Site Habitat Baseline'!$D$1:$X$258,13,FALSE))))</f>
        <v/>
      </c>
      <c r="P62" s="346" t="str">
        <f>IFERROR(INDEX('G-1 All Habitats'!$AG$3:$AG$15,MATCH(Q62,'G-1 All Habitats'!$AF$3:$AF$15,0)),"")</f>
        <v/>
      </c>
      <c r="Q62" s="347"/>
      <c r="R62" s="347"/>
      <c r="S62" s="605" t="str">
        <f>IFERROR(INDEX('G-1 All Habitats'!$B$3:$B$130,MATCH(R62,'G-1 All Habitats'!$A$3:$A$130,0)),"")</f>
        <v/>
      </c>
      <c r="T62" s="77" t="str">
        <f t="shared" si="9"/>
        <v/>
      </c>
      <c r="U62" s="78" t="str">
        <f t="shared" si="2"/>
        <v/>
      </c>
      <c r="V62" s="350" t="str">
        <f t="shared" si="3"/>
        <v/>
      </c>
      <c r="W62" s="343" t="str">
        <f>IF(S62="","",VLOOKUP(S62,'G-1 All Habitats'!$B$2:$M$130,10,FALSE))</f>
        <v/>
      </c>
      <c r="X62" s="343" t="str">
        <f>IFERROR(VLOOKUP(W62,'G-1 All Habitats'!$V$3:$W$7,2,FALSE),"")</f>
        <v/>
      </c>
      <c r="Y62" s="91"/>
      <c r="Z62" s="345" t="str">
        <f>IFERROR(INDEX('G-8 Condition Look up'!$A$3:$H$131,MATCH(S62,'G-8 Condition Look up'!$A$3:$A$131,0),MATCH(Y62,'G-8 Condition Look up'!$A$3:$H$3,0)),"")</f>
        <v/>
      </c>
      <c r="AA62" s="79"/>
      <c r="AB62" s="343" t="str">
        <f>IF(AA62="","",IF(VLOOKUP(AA62,'G-3 Multipliers'!$L$3:$N$6,2,FALSE)=0,"Spatial Data Missing",VLOOKUP(AA62,'G-3 Multipliers'!$L$3:$N$6,2,FALSE)))</f>
        <v/>
      </c>
      <c r="AC62" s="345" t="str">
        <f>IF(AA62="","",IF(VLOOKUP(AA62,'G-3 Multipliers'!$L$3:$N$6,3,FALSE)=0,"Spatial Data Missing",VLOOKUP(AA62,'G-3 Multipliers'!$L$3:$N$6,3,FALSE)))</f>
        <v/>
      </c>
      <c r="AD62" s="351" t="str">
        <f t="shared" si="0"/>
        <v/>
      </c>
      <c r="AE62" s="94"/>
      <c r="AF62" s="94"/>
      <c r="AG62" s="343" t="str">
        <f t="shared" si="4"/>
        <v/>
      </c>
      <c r="AH62" s="591" t="str">
        <f t="shared" si="5"/>
        <v/>
      </c>
      <c r="AI62" s="353" t="str">
        <f>IF(AH62="Check Data","Check Data",IFERROR(VLOOKUP(AH62,'G-4 Temporal multipliers'!$A$4:$C$36,3,FALSE),""))</f>
        <v/>
      </c>
      <c r="AJ62" s="77" t="str">
        <f>IF(S62="","",VLOOKUP(S62,'G-3 Multipliers'!$A$2:$E$130,4,FALSE))</f>
        <v/>
      </c>
      <c r="AK62" s="348" t="str">
        <f t="shared" si="6"/>
        <v/>
      </c>
      <c r="AL62" s="348" t="str">
        <f t="shared" si="7"/>
        <v/>
      </c>
      <c r="AM62" s="607" t="str">
        <f>IFERROR(IF(F62="","",IF(AH62="Check Data","Check Data",VLOOKUP(AL62, 'G-3 Multipliers'!$P$2:$Q$6,2,FALSE))),””)</f>
        <v/>
      </c>
      <c r="AN62" s="81" t="str">
        <f t="shared" si="8"/>
        <v/>
      </c>
      <c r="AO62" s="355"/>
      <c r="AP62" s="356"/>
    </row>
    <row r="63" spans="1:42" x14ac:dyDescent="0.25">
      <c r="A63" s="52" t="str">
        <f>IF(E63="","",IF(ISNA(VLOOKUP($E63,'A-1 Site Habitat Baseline'!$D$1:$O$258,2,FALSE)),"",(VLOOKUP($E63,'A-1 Site Habitat Baseline'!$D$1:$O$258,2,FALSE))))</f>
        <v/>
      </c>
      <c r="B63" s="52" t="str">
        <f>IF(E63="","",IF(ISNA(VLOOKUP($E63,'A-1 Site Habitat Baseline'!$D$1:$O$258,3,FALSE)),"",(VLOOKUP($E63,'A-1 Site Habitat Baseline'!$D$1:$O$258,3,FALSE))))</f>
        <v/>
      </c>
      <c r="C63" s="52" t="str">
        <f>IFERROR(INDEX('G-8 Condition Look up'!$I$4:$I$131,MATCH(S63,'G-8 Condition Look up'!$A$4:$A$131,0)),"")</f>
        <v/>
      </c>
      <c r="E63" s="342" t="str">
        <f>'A-1 Site Habitat Baseline'!AL62</f>
        <v/>
      </c>
      <c r="F63" s="343" t="str">
        <f>IF(E63="","",IF(ISNA(VLOOKUP($E63,'A-1 Site Habitat Baseline'!$D$1:$O$258,4,FALSE)),"",(VLOOKUP($E63,'A-1 Site Habitat Baseline'!$D$1:$O$258,4,FALSE))))</f>
        <v/>
      </c>
      <c r="G63" s="343" t="str">
        <f>IF(E63="","",IF(ISNA(VLOOKUP($E63,'A-1 Site Habitat Baseline'!$D$1:$O$258,5,FALSE)),"",(VLOOKUP($E63,'A-1 Site Habitat Baseline'!$D$1:$O$258,5,FALSE))))</f>
        <v/>
      </c>
      <c r="H63" s="343" t="str">
        <f>IF(E63="","",IF(ISNA(VLOOKUP($E63,'A-1 Site Habitat Baseline'!$D$1:$O$258,6,FALSE)),"",(VLOOKUP($E63,'A-1 Site Habitat Baseline'!$D$1:$O$258,6,FALSE))))</f>
        <v/>
      </c>
      <c r="I63" s="343" t="str">
        <f>IF(E63="","",IF(ISNA(VLOOKUP($E63,'A-1 Site Habitat Baseline'!$D$1:$O$258,7,FALSE)),"",(VLOOKUP($E63,'A-1 Site Habitat Baseline'!$D$1:$O$258,7,FALSE))))</f>
        <v/>
      </c>
      <c r="J63" s="343" t="str">
        <f>IF(E63="","",IF(ISNA(VLOOKUP($E63,'A-1 Site Habitat Baseline'!$D$1:$O$258,8,FALSE)),"",(VLOOKUP($E63,'A-1 Site Habitat Baseline'!$D$1:$O$258,8,FALSE))))</f>
        <v/>
      </c>
      <c r="K63" s="343" t="str">
        <f>IF(E63="","",IF(ISNA(VLOOKUP($E63,'A-1 Site Habitat Baseline'!$D$1:$O$258,9,FALSE)),"",(VLOOKUP($E63,'A-1 Site Habitat Baseline'!$D$1:$O$258,9,FALSE))))</f>
        <v/>
      </c>
      <c r="L63" s="343" t="str">
        <f>IF(E63="","",IF(ISNA(VLOOKUP($E63,'A-1 Site Habitat Baseline'!$D$1:$O$258,11,FALSE)),"",(VLOOKUP($E63,'A-1 Site Habitat Baseline'!$D$1:$O$258,11,FALSE))))</f>
        <v/>
      </c>
      <c r="M63" s="343" t="str">
        <f>IF(E63="","",IF(ISNA(VLOOKUP($E63,'A-1 Site Habitat Baseline'!$D$1:$O$258,12,FALSE)),"",(VLOOKUP($E63,'A-1 Site Habitat Baseline'!$D$1:$O$258,12,FALSE))))</f>
        <v/>
      </c>
      <c r="N63" s="344" t="str">
        <f>IF(E63="","",IF(ISNA(VLOOKUP($E63,'A-1 Site Habitat Baseline'!$D$1:$X$258,14,FALSE)),"",(VLOOKUP($E63,'A-1 Site Habitat Baseline'!$D$1:$X$258,14,FALSE))))</f>
        <v/>
      </c>
      <c r="O63" s="345" t="str">
        <f>IF(E63="","",IF(ISNA(VLOOKUP($E63,'A-1 Site Habitat Baseline'!$D$1:$X$258,16,FALSE)),"",(VLOOKUP($E63,'A-1 Site Habitat Baseline'!$D$1:$X$258,13,FALSE))))</f>
        <v/>
      </c>
      <c r="P63" s="346" t="str">
        <f>IFERROR(INDEX('G-1 All Habitats'!$AG$3:$AG$15,MATCH(Q63,'G-1 All Habitats'!$AF$3:$AF$15,0)),"")</f>
        <v/>
      </c>
      <c r="Q63" s="347"/>
      <c r="R63" s="347"/>
      <c r="S63" s="605" t="str">
        <f>IFERROR(INDEX('G-1 All Habitats'!$B$3:$B$130,MATCH(R63,'G-1 All Habitats'!$A$3:$A$130,0)),"")</f>
        <v/>
      </c>
      <c r="T63" s="77" t="str">
        <f t="shared" si="9"/>
        <v/>
      </c>
      <c r="U63" s="78" t="str">
        <f t="shared" si="2"/>
        <v/>
      </c>
      <c r="V63" s="350" t="str">
        <f t="shared" si="3"/>
        <v/>
      </c>
      <c r="W63" s="343" t="str">
        <f>IF(S63="","",VLOOKUP(S63,'G-1 All Habitats'!$B$2:$M$130,10,FALSE))</f>
        <v/>
      </c>
      <c r="X63" s="343" t="str">
        <f>IFERROR(VLOOKUP(W63,'G-1 All Habitats'!$V$3:$W$7,2,FALSE),"")</f>
        <v/>
      </c>
      <c r="Y63" s="91"/>
      <c r="Z63" s="345" t="str">
        <f>IFERROR(INDEX('G-8 Condition Look up'!$A$3:$H$131,MATCH(S63,'G-8 Condition Look up'!$A$3:$A$131,0),MATCH(Y63,'G-8 Condition Look up'!$A$3:$H$3,0)),"")</f>
        <v/>
      </c>
      <c r="AA63" s="79"/>
      <c r="AB63" s="343" t="str">
        <f>IF(AA63="","",IF(VLOOKUP(AA63,'G-3 Multipliers'!$L$3:$N$6,2,FALSE)=0,"Spatial Data Missing",VLOOKUP(AA63,'G-3 Multipliers'!$L$3:$N$6,2,FALSE)))</f>
        <v/>
      </c>
      <c r="AC63" s="345" t="str">
        <f>IF(AA63="","",IF(VLOOKUP(AA63,'G-3 Multipliers'!$L$3:$N$6,3,FALSE)=0,"Spatial Data Missing",VLOOKUP(AA63,'G-3 Multipliers'!$L$3:$N$6,3,FALSE)))</f>
        <v/>
      </c>
      <c r="AD63" s="351" t="str">
        <f t="shared" si="0"/>
        <v/>
      </c>
      <c r="AE63" s="94"/>
      <c r="AF63" s="94"/>
      <c r="AG63" s="343" t="str">
        <f t="shared" si="4"/>
        <v/>
      </c>
      <c r="AH63" s="591" t="str">
        <f t="shared" si="5"/>
        <v/>
      </c>
      <c r="AI63" s="353" t="str">
        <f>IF(AH63="Check Data","Check Data",IFERROR(VLOOKUP(AH63,'G-4 Temporal multipliers'!$A$4:$C$36,3,FALSE),""))</f>
        <v/>
      </c>
      <c r="AJ63" s="77" t="str">
        <f>IF(S63="","",VLOOKUP(S63,'G-3 Multipliers'!$A$2:$E$130,4,FALSE))</f>
        <v/>
      </c>
      <c r="AK63" s="348" t="str">
        <f t="shared" si="6"/>
        <v/>
      </c>
      <c r="AL63" s="348" t="str">
        <f t="shared" si="7"/>
        <v/>
      </c>
      <c r="AM63" s="607" t="str">
        <f>IFERROR(IF(F63="","",IF(AH63="Check Data","Check Data",VLOOKUP(AL63, 'G-3 Multipliers'!$P$2:$Q$6,2,FALSE))),””)</f>
        <v/>
      </c>
      <c r="AN63" s="81" t="str">
        <f t="shared" si="8"/>
        <v/>
      </c>
      <c r="AO63" s="355"/>
      <c r="AP63" s="356"/>
    </row>
    <row r="64" spans="1:42" x14ac:dyDescent="0.25">
      <c r="A64" s="52" t="str">
        <f>IF(E64="","",IF(ISNA(VLOOKUP($E64,'A-1 Site Habitat Baseline'!$D$1:$O$258,2,FALSE)),"",(VLOOKUP($E64,'A-1 Site Habitat Baseline'!$D$1:$O$258,2,FALSE))))</f>
        <v/>
      </c>
      <c r="B64" s="52" t="str">
        <f>IF(E64="","",IF(ISNA(VLOOKUP($E64,'A-1 Site Habitat Baseline'!$D$1:$O$258,3,FALSE)),"",(VLOOKUP($E64,'A-1 Site Habitat Baseline'!$D$1:$O$258,3,FALSE))))</f>
        <v/>
      </c>
      <c r="C64" s="52" t="str">
        <f>IFERROR(INDEX('G-8 Condition Look up'!$I$4:$I$131,MATCH(S64,'G-8 Condition Look up'!$A$4:$A$131,0)),"")</f>
        <v/>
      </c>
      <c r="E64" s="342" t="str">
        <f>'A-1 Site Habitat Baseline'!AL63</f>
        <v/>
      </c>
      <c r="F64" s="343" t="str">
        <f>IF(E64="","",IF(ISNA(VLOOKUP($E64,'A-1 Site Habitat Baseline'!$D$1:$O$258,4,FALSE)),"",(VLOOKUP($E64,'A-1 Site Habitat Baseline'!$D$1:$O$258,4,FALSE))))</f>
        <v/>
      </c>
      <c r="G64" s="343" t="str">
        <f>IF(E64="","",IF(ISNA(VLOOKUP($E64,'A-1 Site Habitat Baseline'!$D$1:$O$258,5,FALSE)),"",(VLOOKUP($E64,'A-1 Site Habitat Baseline'!$D$1:$O$258,5,FALSE))))</f>
        <v/>
      </c>
      <c r="H64" s="343" t="str">
        <f>IF(E64="","",IF(ISNA(VLOOKUP($E64,'A-1 Site Habitat Baseline'!$D$1:$O$258,6,FALSE)),"",(VLOOKUP($E64,'A-1 Site Habitat Baseline'!$D$1:$O$258,6,FALSE))))</f>
        <v/>
      </c>
      <c r="I64" s="343" t="str">
        <f>IF(E64="","",IF(ISNA(VLOOKUP($E64,'A-1 Site Habitat Baseline'!$D$1:$O$258,7,FALSE)),"",(VLOOKUP($E64,'A-1 Site Habitat Baseline'!$D$1:$O$258,7,FALSE))))</f>
        <v/>
      </c>
      <c r="J64" s="343" t="str">
        <f>IF(E64="","",IF(ISNA(VLOOKUP($E64,'A-1 Site Habitat Baseline'!$D$1:$O$258,8,FALSE)),"",(VLOOKUP($E64,'A-1 Site Habitat Baseline'!$D$1:$O$258,8,FALSE))))</f>
        <v/>
      </c>
      <c r="K64" s="343" t="str">
        <f>IF(E64="","",IF(ISNA(VLOOKUP($E64,'A-1 Site Habitat Baseline'!$D$1:$O$258,9,FALSE)),"",(VLOOKUP($E64,'A-1 Site Habitat Baseline'!$D$1:$O$258,9,FALSE))))</f>
        <v/>
      </c>
      <c r="L64" s="343" t="str">
        <f>IF(E64="","",IF(ISNA(VLOOKUP($E64,'A-1 Site Habitat Baseline'!$D$1:$O$258,11,FALSE)),"",(VLOOKUP($E64,'A-1 Site Habitat Baseline'!$D$1:$O$258,11,FALSE))))</f>
        <v/>
      </c>
      <c r="M64" s="343" t="str">
        <f>IF(E64="","",IF(ISNA(VLOOKUP($E64,'A-1 Site Habitat Baseline'!$D$1:$O$258,12,FALSE)),"",(VLOOKUP($E64,'A-1 Site Habitat Baseline'!$D$1:$O$258,12,FALSE))))</f>
        <v/>
      </c>
      <c r="N64" s="344" t="str">
        <f>IF(E64="","",IF(ISNA(VLOOKUP($E64,'A-1 Site Habitat Baseline'!$D$1:$X$258,14,FALSE)),"",(VLOOKUP($E64,'A-1 Site Habitat Baseline'!$D$1:$X$258,14,FALSE))))</f>
        <v/>
      </c>
      <c r="O64" s="345" t="str">
        <f>IF(E64="","",IF(ISNA(VLOOKUP($E64,'A-1 Site Habitat Baseline'!$D$1:$X$258,16,FALSE)),"",(VLOOKUP($E64,'A-1 Site Habitat Baseline'!$D$1:$X$258,13,FALSE))))</f>
        <v/>
      </c>
      <c r="P64" s="346" t="str">
        <f>IFERROR(INDEX('G-1 All Habitats'!$AG$3:$AG$15,MATCH(Q64,'G-1 All Habitats'!$AF$3:$AF$15,0)),"")</f>
        <v/>
      </c>
      <c r="Q64" s="347"/>
      <c r="R64" s="347"/>
      <c r="S64" s="605" t="str">
        <f>IFERROR(INDEX('G-1 All Habitats'!$B$3:$B$130,MATCH(R64,'G-1 All Habitats'!$A$3:$A$130,0)),"")</f>
        <v/>
      </c>
      <c r="T64" s="77" t="str">
        <f t="shared" si="9"/>
        <v/>
      </c>
      <c r="U64" s="78" t="str">
        <f t="shared" si="2"/>
        <v/>
      </c>
      <c r="V64" s="350" t="str">
        <f t="shared" si="3"/>
        <v/>
      </c>
      <c r="W64" s="343" t="str">
        <f>IF(S64="","",VLOOKUP(S64,'G-1 All Habitats'!$B$2:$M$130,10,FALSE))</f>
        <v/>
      </c>
      <c r="X64" s="343" t="str">
        <f>IFERROR(VLOOKUP(W64,'G-1 All Habitats'!$V$3:$W$7,2,FALSE),"")</f>
        <v/>
      </c>
      <c r="Y64" s="91"/>
      <c r="Z64" s="345" t="str">
        <f>IFERROR(INDEX('G-8 Condition Look up'!$A$3:$H$131,MATCH(S64,'G-8 Condition Look up'!$A$3:$A$131,0),MATCH(Y64,'G-8 Condition Look up'!$A$3:$H$3,0)),"")</f>
        <v/>
      </c>
      <c r="AA64" s="79"/>
      <c r="AB64" s="343" t="str">
        <f>IF(AA64="","",IF(VLOOKUP(AA64,'G-3 Multipliers'!$L$3:$N$6,2,FALSE)=0,"Spatial Data Missing",VLOOKUP(AA64,'G-3 Multipliers'!$L$3:$N$6,2,FALSE)))</f>
        <v/>
      </c>
      <c r="AC64" s="345" t="str">
        <f>IF(AA64="","",IF(VLOOKUP(AA64,'G-3 Multipliers'!$L$3:$N$6,3,FALSE)=0,"Spatial Data Missing",VLOOKUP(AA64,'G-3 Multipliers'!$L$3:$N$6,3,FALSE)))</f>
        <v/>
      </c>
      <c r="AD64" s="351" t="str">
        <f t="shared" si="0"/>
        <v/>
      </c>
      <c r="AE64" s="94"/>
      <c r="AF64" s="94"/>
      <c r="AG64" s="343" t="str">
        <f t="shared" si="4"/>
        <v/>
      </c>
      <c r="AH64" s="591" t="str">
        <f t="shared" si="5"/>
        <v/>
      </c>
      <c r="AI64" s="353" t="str">
        <f>IF(AH64="Check Data","Check Data",IFERROR(VLOOKUP(AH64,'G-4 Temporal multipliers'!$A$4:$C$36,3,FALSE),""))</f>
        <v/>
      </c>
      <c r="AJ64" s="77" t="str">
        <f>IF(S64="","",VLOOKUP(S64,'G-3 Multipliers'!$A$2:$E$130,4,FALSE))</f>
        <v/>
      </c>
      <c r="AK64" s="348" t="str">
        <f t="shared" si="6"/>
        <v/>
      </c>
      <c r="AL64" s="348" t="str">
        <f t="shared" si="7"/>
        <v/>
      </c>
      <c r="AM64" s="607" t="str">
        <f>IFERROR(IF(F64="","",IF(AH64="Check Data","Check Data",VLOOKUP(AL64, 'G-3 Multipliers'!$P$2:$Q$6,2,FALSE))),””)</f>
        <v/>
      </c>
      <c r="AN64" s="81" t="str">
        <f t="shared" si="8"/>
        <v/>
      </c>
      <c r="AO64" s="355"/>
      <c r="AP64" s="356"/>
    </row>
    <row r="65" spans="1:42" x14ac:dyDescent="0.25">
      <c r="A65" s="52" t="str">
        <f>IF(E65="","",IF(ISNA(VLOOKUP($E65,'A-1 Site Habitat Baseline'!$D$1:$O$258,2,FALSE)),"",(VLOOKUP($E65,'A-1 Site Habitat Baseline'!$D$1:$O$258,2,FALSE))))</f>
        <v/>
      </c>
      <c r="B65" s="52" t="str">
        <f>IF(E65="","",IF(ISNA(VLOOKUP($E65,'A-1 Site Habitat Baseline'!$D$1:$O$258,3,FALSE)),"",(VLOOKUP($E65,'A-1 Site Habitat Baseline'!$D$1:$O$258,3,FALSE))))</f>
        <v/>
      </c>
      <c r="C65" s="52" t="str">
        <f>IFERROR(INDEX('G-8 Condition Look up'!$I$4:$I$131,MATCH(S65,'G-8 Condition Look up'!$A$4:$A$131,0)),"")</f>
        <v/>
      </c>
      <c r="E65" s="342" t="str">
        <f>'A-1 Site Habitat Baseline'!AL64</f>
        <v/>
      </c>
      <c r="F65" s="343" t="str">
        <f>IF(E65="","",IF(ISNA(VLOOKUP($E65,'A-1 Site Habitat Baseline'!$D$1:$O$258,4,FALSE)),"",(VLOOKUP($E65,'A-1 Site Habitat Baseline'!$D$1:$O$258,4,FALSE))))</f>
        <v/>
      </c>
      <c r="G65" s="343" t="str">
        <f>IF(E65="","",IF(ISNA(VLOOKUP($E65,'A-1 Site Habitat Baseline'!$D$1:$O$258,5,FALSE)),"",(VLOOKUP($E65,'A-1 Site Habitat Baseline'!$D$1:$O$258,5,FALSE))))</f>
        <v/>
      </c>
      <c r="H65" s="343" t="str">
        <f>IF(E65="","",IF(ISNA(VLOOKUP($E65,'A-1 Site Habitat Baseline'!$D$1:$O$258,6,FALSE)),"",(VLOOKUP($E65,'A-1 Site Habitat Baseline'!$D$1:$O$258,6,FALSE))))</f>
        <v/>
      </c>
      <c r="I65" s="343" t="str">
        <f>IF(E65="","",IF(ISNA(VLOOKUP($E65,'A-1 Site Habitat Baseline'!$D$1:$O$258,7,FALSE)),"",(VLOOKUP($E65,'A-1 Site Habitat Baseline'!$D$1:$O$258,7,FALSE))))</f>
        <v/>
      </c>
      <c r="J65" s="343" t="str">
        <f>IF(E65="","",IF(ISNA(VLOOKUP($E65,'A-1 Site Habitat Baseline'!$D$1:$O$258,8,FALSE)),"",(VLOOKUP($E65,'A-1 Site Habitat Baseline'!$D$1:$O$258,8,FALSE))))</f>
        <v/>
      </c>
      <c r="K65" s="343" t="str">
        <f>IF(E65="","",IF(ISNA(VLOOKUP($E65,'A-1 Site Habitat Baseline'!$D$1:$O$258,9,FALSE)),"",(VLOOKUP($E65,'A-1 Site Habitat Baseline'!$D$1:$O$258,9,FALSE))))</f>
        <v/>
      </c>
      <c r="L65" s="343" t="str">
        <f>IF(E65="","",IF(ISNA(VLOOKUP($E65,'A-1 Site Habitat Baseline'!$D$1:$O$258,11,FALSE)),"",(VLOOKUP($E65,'A-1 Site Habitat Baseline'!$D$1:$O$258,11,FALSE))))</f>
        <v/>
      </c>
      <c r="M65" s="343" t="str">
        <f>IF(E65="","",IF(ISNA(VLOOKUP($E65,'A-1 Site Habitat Baseline'!$D$1:$O$258,12,FALSE)),"",(VLOOKUP($E65,'A-1 Site Habitat Baseline'!$D$1:$O$258,12,FALSE))))</f>
        <v/>
      </c>
      <c r="N65" s="344" t="str">
        <f>IF(E65="","",IF(ISNA(VLOOKUP($E65,'A-1 Site Habitat Baseline'!$D$1:$X$258,14,FALSE)),"",(VLOOKUP($E65,'A-1 Site Habitat Baseline'!$D$1:$X$258,14,FALSE))))</f>
        <v/>
      </c>
      <c r="O65" s="345" t="str">
        <f>IF(E65="","",IF(ISNA(VLOOKUP($E65,'A-1 Site Habitat Baseline'!$D$1:$X$258,16,FALSE)),"",(VLOOKUP($E65,'A-1 Site Habitat Baseline'!$D$1:$X$258,13,FALSE))))</f>
        <v/>
      </c>
      <c r="P65" s="346" t="str">
        <f>IFERROR(INDEX('G-1 All Habitats'!$AG$3:$AG$15,MATCH(Q65,'G-1 All Habitats'!$AF$3:$AF$15,0)),"")</f>
        <v/>
      </c>
      <c r="Q65" s="347"/>
      <c r="R65" s="347"/>
      <c r="S65" s="605" t="str">
        <f>IFERROR(INDEX('G-1 All Habitats'!$B$3:$B$130,MATCH(R65,'G-1 All Habitats'!$A$3:$A$130,0)),"")</f>
        <v/>
      </c>
      <c r="T65" s="77" t="str">
        <f t="shared" si="9"/>
        <v/>
      </c>
      <c r="U65" s="78" t="str">
        <f t="shared" si="2"/>
        <v/>
      </c>
      <c r="V65" s="350" t="str">
        <f t="shared" si="3"/>
        <v/>
      </c>
      <c r="W65" s="343" t="str">
        <f>IF(S65="","",VLOOKUP(S65,'G-1 All Habitats'!$B$2:$M$130,10,FALSE))</f>
        <v/>
      </c>
      <c r="X65" s="343" t="str">
        <f>IFERROR(VLOOKUP(W65,'G-1 All Habitats'!$V$3:$W$7,2,FALSE),"")</f>
        <v/>
      </c>
      <c r="Y65" s="91"/>
      <c r="Z65" s="345" t="str">
        <f>IFERROR(INDEX('G-8 Condition Look up'!$A$3:$H$131,MATCH(S65,'G-8 Condition Look up'!$A$3:$A$131,0),MATCH(Y65,'G-8 Condition Look up'!$A$3:$H$3,0)),"")</f>
        <v/>
      </c>
      <c r="AA65" s="79"/>
      <c r="AB65" s="343" t="str">
        <f>IF(AA65="","",IF(VLOOKUP(AA65,'G-3 Multipliers'!$L$3:$N$6,2,FALSE)=0,"Spatial Data Missing",VLOOKUP(AA65,'G-3 Multipliers'!$L$3:$N$6,2,FALSE)))</f>
        <v/>
      </c>
      <c r="AC65" s="345" t="str">
        <f>IF(AA65="","",IF(VLOOKUP(AA65,'G-3 Multipliers'!$L$3:$N$6,3,FALSE)=0,"Spatial Data Missing",VLOOKUP(AA65,'G-3 Multipliers'!$L$3:$N$6,3,FALSE)))</f>
        <v/>
      </c>
      <c r="AD65" s="351" t="str">
        <f t="shared" si="0"/>
        <v/>
      </c>
      <c r="AE65" s="94"/>
      <c r="AF65" s="94"/>
      <c r="AG65" s="343" t="str">
        <f t="shared" si="4"/>
        <v/>
      </c>
      <c r="AH65" s="591" t="str">
        <f t="shared" si="5"/>
        <v/>
      </c>
      <c r="AI65" s="353" t="str">
        <f>IF(AH65="Check Data","Check Data",IFERROR(VLOOKUP(AH65,'G-4 Temporal multipliers'!$A$4:$C$36,3,FALSE),""))</f>
        <v/>
      </c>
      <c r="AJ65" s="77" t="str">
        <f>IF(S65="","",VLOOKUP(S65,'G-3 Multipliers'!$A$2:$E$130,4,FALSE))</f>
        <v/>
      </c>
      <c r="AK65" s="348" t="str">
        <f t="shared" si="6"/>
        <v/>
      </c>
      <c r="AL65" s="348" t="str">
        <f t="shared" si="7"/>
        <v/>
      </c>
      <c r="AM65" s="607" t="str">
        <f>IFERROR(IF(F65="","",IF(AH65="Check Data","Check Data",VLOOKUP(AL65, 'G-3 Multipliers'!$P$2:$Q$6,2,FALSE))),””)</f>
        <v/>
      </c>
      <c r="AN65" s="81" t="str">
        <f t="shared" si="8"/>
        <v/>
      </c>
      <c r="AO65" s="355"/>
      <c r="AP65" s="356"/>
    </row>
    <row r="66" spans="1:42" x14ac:dyDescent="0.25">
      <c r="A66" s="52" t="str">
        <f>IF(E66="","",IF(ISNA(VLOOKUP($E66,'A-1 Site Habitat Baseline'!$D$1:$O$258,2,FALSE)),"",(VLOOKUP($E66,'A-1 Site Habitat Baseline'!$D$1:$O$258,2,FALSE))))</f>
        <v/>
      </c>
      <c r="B66" s="52" t="str">
        <f>IF(E66="","",IF(ISNA(VLOOKUP($E66,'A-1 Site Habitat Baseline'!$D$1:$O$258,3,FALSE)),"",(VLOOKUP($E66,'A-1 Site Habitat Baseline'!$D$1:$O$258,3,FALSE))))</f>
        <v/>
      </c>
      <c r="C66" s="52" t="str">
        <f>IFERROR(INDEX('G-8 Condition Look up'!$I$4:$I$131,MATCH(S66,'G-8 Condition Look up'!$A$4:$A$131,0)),"")</f>
        <v/>
      </c>
      <c r="E66" s="342" t="str">
        <f>'A-1 Site Habitat Baseline'!AL65</f>
        <v/>
      </c>
      <c r="F66" s="343" t="str">
        <f>IF(E66="","",IF(ISNA(VLOOKUP($E66,'A-1 Site Habitat Baseline'!$D$1:$O$258,4,FALSE)),"",(VLOOKUP($E66,'A-1 Site Habitat Baseline'!$D$1:$O$258,4,FALSE))))</f>
        <v/>
      </c>
      <c r="G66" s="343" t="str">
        <f>IF(E66="","",IF(ISNA(VLOOKUP($E66,'A-1 Site Habitat Baseline'!$D$1:$O$258,5,FALSE)),"",(VLOOKUP($E66,'A-1 Site Habitat Baseline'!$D$1:$O$258,5,FALSE))))</f>
        <v/>
      </c>
      <c r="H66" s="343" t="str">
        <f>IF(E66="","",IF(ISNA(VLOOKUP($E66,'A-1 Site Habitat Baseline'!$D$1:$O$258,6,FALSE)),"",(VLOOKUP($E66,'A-1 Site Habitat Baseline'!$D$1:$O$258,6,FALSE))))</f>
        <v/>
      </c>
      <c r="I66" s="343" t="str">
        <f>IF(E66="","",IF(ISNA(VLOOKUP($E66,'A-1 Site Habitat Baseline'!$D$1:$O$258,7,FALSE)),"",(VLOOKUP($E66,'A-1 Site Habitat Baseline'!$D$1:$O$258,7,FALSE))))</f>
        <v/>
      </c>
      <c r="J66" s="343" t="str">
        <f>IF(E66="","",IF(ISNA(VLOOKUP($E66,'A-1 Site Habitat Baseline'!$D$1:$O$258,8,FALSE)),"",(VLOOKUP($E66,'A-1 Site Habitat Baseline'!$D$1:$O$258,8,FALSE))))</f>
        <v/>
      </c>
      <c r="K66" s="343" t="str">
        <f>IF(E66="","",IF(ISNA(VLOOKUP($E66,'A-1 Site Habitat Baseline'!$D$1:$O$258,9,FALSE)),"",(VLOOKUP($E66,'A-1 Site Habitat Baseline'!$D$1:$O$258,9,FALSE))))</f>
        <v/>
      </c>
      <c r="L66" s="343" t="str">
        <f>IF(E66="","",IF(ISNA(VLOOKUP($E66,'A-1 Site Habitat Baseline'!$D$1:$O$258,11,FALSE)),"",(VLOOKUP($E66,'A-1 Site Habitat Baseline'!$D$1:$O$258,11,FALSE))))</f>
        <v/>
      </c>
      <c r="M66" s="343" t="str">
        <f>IF(E66="","",IF(ISNA(VLOOKUP($E66,'A-1 Site Habitat Baseline'!$D$1:$O$258,12,FALSE)),"",(VLOOKUP($E66,'A-1 Site Habitat Baseline'!$D$1:$O$258,12,FALSE))))</f>
        <v/>
      </c>
      <c r="N66" s="344" t="str">
        <f>IF(E66="","",IF(ISNA(VLOOKUP($E66,'A-1 Site Habitat Baseline'!$D$1:$X$258,14,FALSE)),"",(VLOOKUP($E66,'A-1 Site Habitat Baseline'!$D$1:$X$258,14,FALSE))))</f>
        <v/>
      </c>
      <c r="O66" s="345" t="str">
        <f>IF(E66="","",IF(ISNA(VLOOKUP($E66,'A-1 Site Habitat Baseline'!$D$1:$X$258,16,FALSE)),"",(VLOOKUP($E66,'A-1 Site Habitat Baseline'!$D$1:$X$258,13,FALSE))))</f>
        <v/>
      </c>
      <c r="P66" s="346" t="str">
        <f>IFERROR(INDEX('G-1 All Habitats'!$AG$3:$AG$15,MATCH(Q66,'G-1 All Habitats'!$AF$3:$AF$15,0)),"")</f>
        <v/>
      </c>
      <c r="Q66" s="347"/>
      <c r="R66" s="347"/>
      <c r="S66" s="605" t="str">
        <f>IFERROR(INDEX('G-1 All Habitats'!$B$3:$B$130,MATCH(R66,'G-1 All Habitats'!$A$3:$A$130,0)),"")</f>
        <v/>
      </c>
      <c r="T66" s="77" t="str">
        <f t="shared" si="9"/>
        <v/>
      </c>
      <c r="U66" s="78" t="str">
        <f t="shared" si="2"/>
        <v/>
      </c>
      <c r="V66" s="350" t="str">
        <f t="shared" si="3"/>
        <v/>
      </c>
      <c r="W66" s="343" t="str">
        <f>IF(S66="","",VLOOKUP(S66,'G-1 All Habitats'!$B$2:$M$130,10,FALSE))</f>
        <v/>
      </c>
      <c r="X66" s="343" t="str">
        <f>IFERROR(VLOOKUP(W66,'G-1 All Habitats'!$V$3:$W$7,2,FALSE),"")</f>
        <v/>
      </c>
      <c r="Y66" s="91"/>
      <c r="Z66" s="345" t="str">
        <f>IFERROR(INDEX('G-8 Condition Look up'!$A$3:$H$131,MATCH(S66,'G-8 Condition Look up'!$A$3:$A$131,0),MATCH(Y66,'G-8 Condition Look up'!$A$3:$H$3,0)),"")</f>
        <v/>
      </c>
      <c r="AA66" s="79"/>
      <c r="AB66" s="343" t="str">
        <f>IF(AA66="","",IF(VLOOKUP(AA66,'G-3 Multipliers'!$L$3:$N$6,2,FALSE)=0,"Spatial Data Missing",VLOOKUP(AA66,'G-3 Multipliers'!$L$3:$N$6,2,FALSE)))</f>
        <v/>
      </c>
      <c r="AC66" s="345" t="str">
        <f>IF(AA66="","",IF(VLOOKUP(AA66,'G-3 Multipliers'!$L$3:$N$6,3,FALSE)=0,"Spatial Data Missing",VLOOKUP(AA66,'G-3 Multipliers'!$L$3:$N$6,3,FALSE)))</f>
        <v/>
      </c>
      <c r="AD66" s="351" t="str">
        <f t="shared" si="0"/>
        <v/>
      </c>
      <c r="AE66" s="94"/>
      <c r="AF66" s="94"/>
      <c r="AG66" s="343" t="str">
        <f t="shared" si="4"/>
        <v/>
      </c>
      <c r="AH66" s="591" t="str">
        <f t="shared" si="5"/>
        <v/>
      </c>
      <c r="AI66" s="353" t="str">
        <f>IF(AH66="Check Data","Check Data",IFERROR(VLOOKUP(AH66,'G-4 Temporal multipliers'!$A$4:$C$36,3,FALSE),""))</f>
        <v/>
      </c>
      <c r="AJ66" s="77" t="str">
        <f>IF(S66="","",VLOOKUP(S66,'G-3 Multipliers'!$A$2:$E$130,4,FALSE))</f>
        <v/>
      </c>
      <c r="AK66" s="348" t="str">
        <f t="shared" si="6"/>
        <v/>
      </c>
      <c r="AL66" s="348" t="str">
        <f t="shared" si="7"/>
        <v/>
      </c>
      <c r="AM66" s="607" t="str">
        <f>IFERROR(IF(F66="","",IF(AH66="Check Data","Check Data",VLOOKUP(AL66, 'G-3 Multipliers'!$P$2:$Q$6,2,FALSE))),””)</f>
        <v/>
      </c>
      <c r="AN66" s="81" t="str">
        <f t="shared" si="8"/>
        <v/>
      </c>
      <c r="AO66" s="355"/>
      <c r="AP66" s="356"/>
    </row>
    <row r="67" spans="1:42" x14ac:dyDescent="0.25">
      <c r="A67" s="52" t="str">
        <f>IF(E67="","",IF(ISNA(VLOOKUP($E67,'A-1 Site Habitat Baseline'!$D$1:$O$258,2,FALSE)),"",(VLOOKUP($E67,'A-1 Site Habitat Baseline'!$D$1:$O$258,2,FALSE))))</f>
        <v/>
      </c>
      <c r="B67" s="52" t="str">
        <f>IF(E67="","",IF(ISNA(VLOOKUP($E67,'A-1 Site Habitat Baseline'!$D$1:$O$258,3,FALSE)),"",(VLOOKUP($E67,'A-1 Site Habitat Baseline'!$D$1:$O$258,3,FALSE))))</f>
        <v/>
      </c>
      <c r="C67" s="52" t="str">
        <f>IFERROR(INDEX('G-8 Condition Look up'!$I$4:$I$131,MATCH(S67,'G-8 Condition Look up'!$A$4:$A$131,0)),"")</f>
        <v/>
      </c>
      <c r="E67" s="342" t="str">
        <f>'A-1 Site Habitat Baseline'!AL66</f>
        <v/>
      </c>
      <c r="F67" s="343" t="str">
        <f>IF(E67="","",IF(ISNA(VLOOKUP($E67,'A-1 Site Habitat Baseline'!$D$1:$O$258,4,FALSE)),"",(VLOOKUP($E67,'A-1 Site Habitat Baseline'!$D$1:$O$258,4,FALSE))))</f>
        <v/>
      </c>
      <c r="G67" s="343" t="str">
        <f>IF(E67="","",IF(ISNA(VLOOKUP($E67,'A-1 Site Habitat Baseline'!$D$1:$O$258,5,FALSE)),"",(VLOOKUP($E67,'A-1 Site Habitat Baseline'!$D$1:$O$258,5,FALSE))))</f>
        <v/>
      </c>
      <c r="H67" s="343" t="str">
        <f>IF(E67="","",IF(ISNA(VLOOKUP($E67,'A-1 Site Habitat Baseline'!$D$1:$O$258,6,FALSE)),"",(VLOOKUP($E67,'A-1 Site Habitat Baseline'!$D$1:$O$258,6,FALSE))))</f>
        <v/>
      </c>
      <c r="I67" s="343" t="str">
        <f>IF(E67="","",IF(ISNA(VLOOKUP($E67,'A-1 Site Habitat Baseline'!$D$1:$O$258,7,FALSE)),"",(VLOOKUP($E67,'A-1 Site Habitat Baseline'!$D$1:$O$258,7,FALSE))))</f>
        <v/>
      </c>
      <c r="J67" s="343" t="str">
        <f>IF(E67="","",IF(ISNA(VLOOKUP($E67,'A-1 Site Habitat Baseline'!$D$1:$O$258,8,FALSE)),"",(VLOOKUP($E67,'A-1 Site Habitat Baseline'!$D$1:$O$258,8,FALSE))))</f>
        <v/>
      </c>
      <c r="K67" s="343" t="str">
        <f>IF(E67="","",IF(ISNA(VLOOKUP($E67,'A-1 Site Habitat Baseline'!$D$1:$O$258,9,FALSE)),"",(VLOOKUP($E67,'A-1 Site Habitat Baseline'!$D$1:$O$258,9,FALSE))))</f>
        <v/>
      </c>
      <c r="L67" s="343" t="str">
        <f>IF(E67="","",IF(ISNA(VLOOKUP($E67,'A-1 Site Habitat Baseline'!$D$1:$O$258,11,FALSE)),"",(VLOOKUP($E67,'A-1 Site Habitat Baseline'!$D$1:$O$258,11,FALSE))))</f>
        <v/>
      </c>
      <c r="M67" s="343" t="str">
        <f>IF(E67="","",IF(ISNA(VLOOKUP($E67,'A-1 Site Habitat Baseline'!$D$1:$O$258,12,FALSE)),"",(VLOOKUP($E67,'A-1 Site Habitat Baseline'!$D$1:$O$258,12,FALSE))))</f>
        <v/>
      </c>
      <c r="N67" s="344" t="str">
        <f>IF(E67="","",IF(ISNA(VLOOKUP($E67,'A-1 Site Habitat Baseline'!$D$1:$X$258,14,FALSE)),"",(VLOOKUP($E67,'A-1 Site Habitat Baseline'!$D$1:$X$258,14,FALSE))))</f>
        <v/>
      </c>
      <c r="O67" s="345" t="str">
        <f>IF(E67="","",IF(ISNA(VLOOKUP($E67,'A-1 Site Habitat Baseline'!$D$1:$X$258,16,FALSE)),"",(VLOOKUP($E67,'A-1 Site Habitat Baseline'!$D$1:$X$258,13,FALSE))))</f>
        <v/>
      </c>
      <c r="P67" s="346" t="str">
        <f>IFERROR(INDEX('G-1 All Habitats'!$AG$3:$AG$15,MATCH(Q67,'G-1 All Habitats'!$AF$3:$AF$15,0)),"")</f>
        <v/>
      </c>
      <c r="Q67" s="347"/>
      <c r="R67" s="347"/>
      <c r="S67" s="605" t="str">
        <f>IFERROR(INDEX('G-1 All Habitats'!$B$3:$B$130,MATCH(R67,'G-1 All Habitats'!$A$3:$A$130,0)),"")</f>
        <v/>
      </c>
      <c r="T67" s="77" t="str">
        <f t="shared" si="9"/>
        <v/>
      </c>
      <c r="U67" s="78" t="str">
        <f t="shared" si="2"/>
        <v/>
      </c>
      <c r="V67" s="350" t="str">
        <f t="shared" si="3"/>
        <v/>
      </c>
      <c r="W67" s="343" t="str">
        <f>IF(S67="","",VLOOKUP(S67,'G-1 All Habitats'!$B$2:$M$130,10,FALSE))</f>
        <v/>
      </c>
      <c r="X67" s="343" t="str">
        <f>IFERROR(VLOOKUP(W67,'G-1 All Habitats'!$V$3:$W$7,2,FALSE),"")</f>
        <v/>
      </c>
      <c r="Y67" s="91"/>
      <c r="Z67" s="345" t="str">
        <f>IFERROR(INDEX('G-8 Condition Look up'!$A$3:$H$131,MATCH(S67,'G-8 Condition Look up'!$A$3:$A$131,0),MATCH(Y67,'G-8 Condition Look up'!$A$3:$H$3,0)),"")</f>
        <v/>
      </c>
      <c r="AA67" s="79"/>
      <c r="AB67" s="343" t="str">
        <f>IF(AA67="","",IF(VLOOKUP(AA67,'G-3 Multipliers'!$L$3:$N$6,2,FALSE)=0,"Spatial Data Missing",VLOOKUP(AA67,'G-3 Multipliers'!$L$3:$N$6,2,FALSE)))</f>
        <v/>
      </c>
      <c r="AC67" s="345" t="str">
        <f>IF(AA67="","",IF(VLOOKUP(AA67,'G-3 Multipliers'!$L$3:$N$6,3,FALSE)=0,"Spatial Data Missing",VLOOKUP(AA67,'G-3 Multipliers'!$L$3:$N$6,3,FALSE)))</f>
        <v/>
      </c>
      <c r="AD67" s="351" t="str">
        <f t="shared" si="0"/>
        <v/>
      </c>
      <c r="AE67" s="94"/>
      <c r="AF67" s="94"/>
      <c r="AG67" s="343" t="str">
        <f t="shared" si="4"/>
        <v/>
      </c>
      <c r="AH67" s="591" t="str">
        <f t="shared" si="5"/>
        <v/>
      </c>
      <c r="AI67" s="353" t="str">
        <f>IF(AH67="Check Data","Check Data",IFERROR(VLOOKUP(AH67,'G-4 Temporal multipliers'!$A$4:$C$36,3,FALSE),""))</f>
        <v/>
      </c>
      <c r="AJ67" s="77" t="str">
        <f>IF(S67="","",VLOOKUP(S67,'G-3 Multipliers'!$A$2:$E$130,4,FALSE))</f>
        <v/>
      </c>
      <c r="AK67" s="348" t="str">
        <f t="shared" si="6"/>
        <v/>
      </c>
      <c r="AL67" s="348" t="str">
        <f t="shared" si="7"/>
        <v/>
      </c>
      <c r="AM67" s="607" t="str">
        <f>IFERROR(IF(F67="","",IF(AH67="Check Data","Check Data",VLOOKUP(AL67, 'G-3 Multipliers'!$P$2:$Q$6,2,FALSE))),””)</f>
        <v/>
      </c>
      <c r="AN67" s="81" t="str">
        <f t="shared" si="8"/>
        <v/>
      </c>
      <c r="AO67" s="355"/>
      <c r="AP67" s="356"/>
    </row>
    <row r="68" spans="1:42" x14ac:dyDescent="0.25">
      <c r="A68" s="52" t="str">
        <f>IF(E68="","",IF(ISNA(VLOOKUP($E68,'A-1 Site Habitat Baseline'!$D$1:$O$258,2,FALSE)),"",(VLOOKUP($E68,'A-1 Site Habitat Baseline'!$D$1:$O$258,2,FALSE))))</f>
        <v/>
      </c>
      <c r="B68" s="52" t="str">
        <f>IF(E68="","",IF(ISNA(VLOOKUP($E68,'A-1 Site Habitat Baseline'!$D$1:$O$258,3,FALSE)),"",(VLOOKUP($E68,'A-1 Site Habitat Baseline'!$D$1:$O$258,3,FALSE))))</f>
        <v/>
      </c>
      <c r="C68" s="52" t="str">
        <f>IFERROR(INDEX('G-8 Condition Look up'!$I$4:$I$131,MATCH(S68,'G-8 Condition Look up'!$A$4:$A$131,0)),"")</f>
        <v/>
      </c>
      <c r="E68" s="342" t="str">
        <f>'A-1 Site Habitat Baseline'!AL67</f>
        <v/>
      </c>
      <c r="F68" s="343" t="str">
        <f>IF(E68="","",IF(ISNA(VLOOKUP($E68,'A-1 Site Habitat Baseline'!$D$1:$O$258,4,FALSE)),"",(VLOOKUP($E68,'A-1 Site Habitat Baseline'!$D$1:$O$258,4,FALSE))))</f>
        <v/>
      </c>
      <c r="G68" s="343" t="str">
        <f>IF(E68="","",IF(ISNA(VLOOKUP($E68,'A-1 Site Habitat Baseline'!$D$1:$O$258,5,FALSE)),"",(VLOOKUP($E68,'A-1 Site Habitat Baseline'!$D$1:$O$258,5,FALSE))))</f>
        <v/>
      </c>
      <c r="H68" s="343" t="str">
        <f>IF(E68="","",IF(ISNA(VLOOKUP($E68,'A-1 Site Habitat Baseline'!$D$1:$O$258,6,FALSE)),"",(VLOOKUP($E68,'A-1 Site Habitat Baseline'!$D$1:$O$258,6,FALSE))))</f>
        <v/>
      </c>
      <c r="I68" s="343" t="str">
        <f>IF(E68="","",IF(ISNA(VLOOKUP($E68,'A-1 Site Habitat Baseline'!$D$1:$O$258,7,FALSE)),"",(VLOOKUP($E68,'A-1 Site Habitat Baseline'!$D$1:$O$258,7,FALSE))))</f>
        <v/>
      </c>
      <c r="J68" s="343" t="str">
        <f>IF(E68="","",IF(ISNA(VLOOKUP($E68,'A-1 Site Habitat Baseline'!$D$1:$O$258,8,FALSE)),"",(VLOOKUP($E68,'A-1 Site Habitat Baseline'!$D$1:$O$258,8,FALSE))))</f>
        <v/>
      </c>
      <c r="K68" s="343" t="str">
        <f>IF(E68="","",IF(ISNA(VLOOKUP($E68,'A-1 Site Habitat Baseline'!$D$1:$O$258,9,FALSE)),"",(VLOOKUP($E68,'A-1 Site Habitat Baseline'!$D$1:$O$258,9,FALSE))))</f>
        <v/>
      </c>
      <c r="L68" s="343" t="str">
        <f>IF(E68="","",IF(ISNA(VLOOKUP($E68,'A-1 Site Habitat Baseline'!$D$1:$O$258,11,FALSE)),"",(VLOOKUP($E68,'A-1 Site Habitat Baseline'!$D$1:$O$258,11,FALSE))))</f>
        <v/>
      </c>
      <c r="M68" s="343" t="str">
        <f>IF(E68="","",IF(ISNA(VLOOKUP($E68,'A-1 Site Habitat Baseline'!$D$1:$O$258,12,FALSE)),"",(VLOOKUP($E68,'A-1 Site Habitat Baseline'!$D$1:$O$258,12,FALSE))))</f>
        <v/>
      </c>
      <c r="N68" s="344" t="str">
        <f>IF(E68="","",IF(ISNA(VLOOKUP($E68,'A-1 Site Habitat Baseline'!$D$1:$X$258,14,FALSE)),"",(VLOOKUP($E68,'A-1 Site Habitat Baseline'!$D$1:$X$258,14,FALSE))))</f>
        <v/>
      </c>
      <c r="O68" s="345" t="str">
        <f>IF(E68="","",IF(ISNA(VLOOKUP($E68,'A-1 Site Habitat Baseline'!$D$1:$X$258,16,FALSE)),"",(VLOOKUP($E68,'A-1 Site Habitat Baseline'!$D$1:$X$258,13,FALSE))))</f>
        <v/>
      </c>
      <c r="P68" s="346" t="str">
        <f>IFERROR(INDEX('G-1 All Habitats'!$AG$3:$AG$15,MATCH(Q68,'G-1 All Habitats'!$AF$3:$AF$15,0)),"")</f>
        <v/>
      </c>
      <c r="Q68" s="347"/>
      <c r="R68" s="347"/>
      <c r="S68" s="605" t="str">
        <f>IFERROR(INDEX('G-1 All Habitats'!$B$3:$B$130,MATCH(R68,'G-1 All Habitats'!$A$3:$A$130,0)),"")</f>
        <v/>
      </c>
      <c r="T68" s="77" t="str">
        <f t="shared" si="9"/>
        <v/>
      </c>
      <c r="U68" s="78" t="str">
        <f t="shared" si="2"/>
        <v/>
      </c>
      <c r="V68" s="350" t="str">
        <f t="shared" si="3"/>
        <v/>
      </c>
      <c r="W68" s="343" t="str">
        <f>IF(S68="","",VLOOKUP(S68,'G-1 All Habitats'!$B$2:$M$130,10,FALSE))</f>
        <v/>
      </c>
      <c r="X68" s="343" t="str">
        <f>IFERROR(VLOOKUP(W68,'G-1 All Habitats'!$V$3:$W$7,2,FALSE),"")</f>
        <v/>
      </c>
      <c r="Y68" s="91"/>
      <c r="Z68" s="345" t="str">
        <f>IFERROR(INDEX('G-8 Condition Look up'!$A$3:$H$131,MATCH(S68,'G-8 Condition Look up'!$A$3:$A$131,0),MATCH(Y68,'G-8 Condition Look up'!$A$3:$H$3,0)),"")</f>
        <v/>
      </c>
      <c r="AA68" s="79"/>
      <c r="AB68" s="343" t="str">
        <f>IF(AA68="","",IF(VLOOKUP(AA68,'G-3 Multipliers'!$L$3:$N$6,2,FALSE)=0,"Spatial Data Missing",VLOOKUP(AA68,'G-3 Multipliers'!$L$3:$N$6,2,FALSE)))</f>
        <v/>
      </c>
      <c r="AC68" s="345" t="str">
        <f>IF(AA68="","",IF(VLOOKUP(AA68,'G-3 Multipliers'!$L$3:$N$6,3,FALSE)=0,"Spatial Data Missing",VLOOKUP(AA68,'G-3 Multipliers'!$L$3:$N$6,3,FALSE)))</f>
        <v/>
      </c>
      <c r="AD68" s="351" t="str">
        <f t="shared" si="0"/>
        <v/>
      </c>
      <c r="AE68" s="94"/>
      <c r="AF68" s="94"/>
      <c r="AG68" s="343" t="str">
        <f t="shared" si="4"/>
        <v/>
      </c>
      <c r="AH68" s="591" t="str">
        <f t="shared" si="5"/>
        <v/>
      </c>
      <c r="AI68" s="353" t="str">
        <f>IF(AH68="Check Data","Check Data",IFERROR(VLOOKUP(AH68,'G-4 Temporal multipliers'!$A$4:$C$36,3,FALSE),""))</f>
        <v/>
      </c>
      <c r="AJ68" s="77" t="str">
        <f>IF(S68="","",VLOOKUP(S68,'G-3 Multipliers'!$A$2:$E$130,4,FALSE))</f>
        <v/>
      </c>
      <c r="AK68" s="348" t="str">
        <f t="shared" si="6"/>
        <v/>
      </c>
      <c r="AL68" s="348" t="str">
        <f t="shared" si="7"/>
        <v/>
      </c>
      <c r="AM68" s="607" t="str">
        <f>IFERROR(IF(F68="","",IF(AH68="Check Data","Check Data",VLOOKUP(AL68, 'G-3 Multipliers'!$P$2:$Q$6,2,FALSE))),””)</f>
        <v/>
      </c>
      <c r="AN68" s="81" t="str">
        <f t="shared" si="8"/>
        <v/>
      </c>
      <c r="AO68" s="355"/>
      <c r="AP68" s="356"/>
    </row>
    <row r="69" spans="1:42" x14ac:dyDescent="0.25">
      <c r="A69" s="52" t="str">
        <f>IF(E69="","",IF(ISNA(VLOOKUP($E69,'A-1 Site Habitat Baseline'!$D$1:$O$258,2,FALSE)),"",(VLOOKUP($E69,'A-1 Site Habitat Baseline'!$D$1:$O$258,2,FALSE))))</f>
        <v/>
      </c>
      <c r="B69" s="52" t="str">
        <f>IF(E69="","",IF(ISNA(VLOOKUP($E69,'A-1 Site Habitat Baseline'!$D$1:$O$258,3,FALSE)),"",(VLOOKUP($E69,'A-1 Site Habitat Baseline'!$D$1:$O$258,3,FALSE))))</f>
        <v/>
      </c>
      <c r="C69" s="52" t="str">
        <f>IFERROR(INDEX('G-8 Condition Look up'!$I$4:$I$131,MATCH(S69,'G-8 Condition Look up'!$A$4:$A$131,0)),"")</f>
        <v/>
      </c>
      <c r="E69" s="342" t="str">
        <f>'A-1 Site Habitat Baseline'!AL68</f>
        <v/>
      </c>
      <c r="F69" s="343" t="str">
        <f>IF(E69="","",IF(ISNA(VLOOKUP($E69,'A-1 Site Habitat Baseline'!$D$1:$O$258,4,FALSE)),"",(VLOOKUP($E69,'A-1 Site Habitat Baseline'!$D$1:$O$258,4,FALSE))))</f>
        <v/>
      </c>
      <c r="G69" s="343" t="str">
        <f>IF(E69="","",IF(ISNA(VLOOKUP($E69,'A-1 Site Habitat Baseline'!$D$1:$O$258,5,FALSE)),"",(VLOOKUP($E69,'A-1 Site Habitat Baseline'!$D$1:$O$258,5,FALSE))))</f>
        <v/>
      </c>
      <c r="H69" s="343" t="str">
        <f>IF(E69="","",IF(ISNA(VLOOKUP($E69,'A-1 Site Habitat Baseline'!$D$1:$O$258,6,FALSE)),"",(VLOOKUP($E69,'A-1 Site Habitat Baseline'!$D$1:$O$258,6,FALSE))))</f>
        <v/>
      </c>
      <c r="I69" s="343" t="str">
        <f>IF(E69="","",IF(ISNA(VLOOKUP($E69,'A-1 Site Habitat Baseline'!$D$1:$O$258,7,FALSE)),"",(VLOOKUP($E69,'A-1 Site Habitat Baseline'!$D$1:$O$258,7,FALSE))))</f>
        <v/>
      </c>
      <c r="J69" s="343" t="str">
        <f>IF(E69="","",IF(ISNA(VLOOKUP($E69,'A-1 Site Habitat Baseline'!$D$1:$O$258,8,FALSE)),"",(VLOOKUP($E69,'A-1 Site Habitat Baseline'!$D$1:$O$258,8,FALSE))))</f>
        <v/>
      </c>
      <c r="K69" s="343" t="str">
        <f>IF(E69="","",IF(ISNA(VLOOKUP($E69,'A-1 Site Habitat Baseline'!$D$1:$O$258,9,FALSE)),"",(VLOOKUP($E69,'A-1 Site Habitat Baseline'!$D$1:$O$258,9,FALSE))))</f>
        <v/>
      </c>
      <c r="L69" s="343" t="str">
        <f>IF(E69="","",IF(ISNA(VLOOKUP($E69,'A-1 Site Habitat Baseline'!$D$1:$O$258,11,FALSE)),"",(VLOOKUP($E69,'A-1 Site Habitat Baseline'!$D$1:$O$258,11,FALSE))))</f>
        <v/>
      </c>
      <c r="M69" s="343" t="str">
        <f>IF(E69="","",IF(ISNA(VLOOKUP($E69,'A-1 Site Habitat Baseline'!$D$1:$O$258,12,FALSE)),"",(VLOOKUP($E69,'A-1 Site Habitat Baseline'!$D$1:$O$258,12,FALSE))))</f>
        <v/>
      </c>
      <c r="N69" s="344" t="str">
        <f>IF(E69="","",IF(ISNA(VLOOKUP($E69,'A-1 Site Habitat Baseline'!$D$1:$X$258,14,FALSE)),"",(VLOOKUP($E69,'A-1 Site Habitat Baseline'!$D$1:$X$258,14,FALSE))))</f>
        <v/>
      </c>
      <c r="O69" s="345" t="str">
        <f>IF(E69="","",IF(ISNA(VLOOKUP($E69,'A-1 Site Habitat Baseline'!$D$1:$X$258,16,FALSE)),"",(VLOOKUP($E69,'A-1 Site Habitat Baseline'!$D$1:$X$258,13,FALSE))))</f>
        <v/>
      </c>
      <c r="P69" s="346" t="str">
        <f>IFERROR(INDEX('G-1 All Habitats'!$AG$3:$AG$15,MATCH(Q69,'G-1 All Habitats'!$AF$3:$AF$15,0)),"")</f>
        <v/>
      </c>
      <c r="Q69" s="347"/>
      <c r="R69" s="347"/>
      <c r="S69" s="605" t="str">
        <f>IFERROR(INDEX('G-1 All Habitats'!$B$3:$B$130,MATCH(R69,'G-1 All Habitats'!$A$3:$A$130,0)),"")</f>
        <v/>
      </c>
      <c r="T69" s="77" t="str">
        <f t="shared" si="9"/>
        <v/>
      </c>
      <c r="U69" s="78" t="str">
        <f t="shared" si="2"/>
        <v/>
      </c>
      <c r="V69" s="350" t="str">
        <f t="shared" si="3"/>
        <v/>
      </c>
      <c r="W69" s="343" t="str">
        <f>IF(S69="","",VLOOKUP(S69,'G-1 All Habitats'!$B$2:$M$130,10,FALSE))</f>
        <v/>
      </c>
      <c r="X69" s="343" t="str">
        <f>IFERROR(VLOOKUP(W69,'G-1 All Habitats'!$V$3:$W$7,2,FALSE),"")</f>
        <v/>
      </c>
      <c r="Y69" s="91"/>
      <c r="Z69" s="345" t="str">
        <f>IFERROR(INDEX('G-8 Condition Look up'!$A$3:$H$131,MATCH(S69,'G-8 Condition Look up'!$A$3:$A$131,0),MATCH(Y69,'G-8 Condition Look up'!$A$3:$H$3,0)),"")</f>
        <v/>
      </c>
      <c r="AA69" s="79"/>
      <c r="AB69" s="343" t="str">
        <f>IF(AA69="","",IF(VLOOKUP(AA69,'G-3 Multipliers'!$L$3:$N$6,2,FALSE)=0,"Spatial Data Missing",VLOOKUP(AA69,'G-3 Multipliers'!$L$3:$N$6,2,FALSE)))</f>
        <v/>
      </c>
      <c r="AC69" s="345" t="str">
        <f>IF(AA69="","",IF(VLOOKUP(AA69,'G-3 Multipliers'!$L$3:$N$6,3,FALSE)=0,"Spatial Data Missing",VLOOKUP(AA69,'G-3 Multipliers'!$L$3:$N$6,3,FALSE)))</f>
        <v/>
      </c>
      <c r="AD69" s="351" t="str">
        <f t="shared" si="0"/>
        <v/>
      </c>
      <c r="AE69" s="94"/>
      <c r="AF69" s="94"/>
      <c r="AG69" s="343" t="str">
        <f t="shared" si="4"/>
        <v/>
      </c>
      <c r="AH69" s="591" t="str">
        <f t="shared" si="5"/>
        <v/>
      </c>
      <c r="AI69" s="353" t="str">
        <f>IF(AH69="Check Data","Check Data",IFERROR(VLOOKUP(AH69,'G-4 Temporal multipliers'!$A$4:$C$36,3,FALSE),""))</f>
        <v/>
      </c>
      <c r="AJ69" s="77" t="str">
        <f>IF(S69="","",VLOOKUP(S69,'G-3 Multipliers'!$A$2:$E$130,4,FALSE))</f>
        <v/>
      </c>
      <c r="AK69" s="348" t="str">
        <f t="shared" si="6"/>
        <v/>
      </c>
      <c r="AL69" s="348" t="str">
        <f t="shared" si="7"/>
        <v/>
      </c>
      <c r="AM69" s="607" t="str">
        <f>IFERROR(IF(F69="","",IF(AH69="Check Data","Check Data",VLOOKUP(AL69, 'G-3 Multipliers'!$P$2:$Q$6,2,FALSE))),””)</f>
        <v/>
      </c>
      <c r="AN69" s="81" t="str">
        <f t="shared" si="8"/>
        <v/>
      </c>
      <c r="AO69" s="355"/>
      <c r="AP69" s="356"/>
    </row>
    <row r="70" spans="1:42" x14ac:dyDescent="0.25">
      <c r="A70" s="52" t="str">
        <f>IF(E70="","",IF(ISNA(VLOOKUP($E70,'A-1 Site Habitat Baseline'!$D$1:$O$258,2,FALSE)),"",(VLOOKUP($E70,'A-1 Site Habitat Baseline'!$D$1:$O$258,2,FALSE))))</f>
        <v/>
      </c>
      <c r="B70" s="52" t="str">
        <f>IF(E70="","",IF(ISNA(VLOOKUP($E70,'A-1 Site Habitat Baseline'!$D$1:$O$258,3,FALSE)),"",(VLOOKUP($E70,'A-1 Site Habitat Baseline'!$D$1:$O$258,3,FALSE))))</f>
        <v/>
      </c>
      <c r="C70" s="52" t="str">
        <f>IFERROR(INDEX('G-8 Condition Look up'!$I$4:$I$131,MATCH(S70,'G-8 Condition Look up'!$A$4:$A$131,0)),"")</f>
        <v/>
      </c>
      <c r="E70" s="342" t="str">
        <f>'A-1 Site Habitat Baseline'!AL69</f>
        <v/>
      </c>
      <c r="F70" s="343" t="str">
        <f>IF(E70="","",IF(ISNA(VLOOKUP($E70,'A-1 Site Habitat Baseline'!$D$1:$O$258,4,FALSE)),"",(VLOOKUP($E70,'A-1 Site Habitat Baseline'!$D$1:$O$258,4,FALSE))))</f>
        <v/>
      </c>
      <c r="G70" s="343" t="str">
        <f>IF(E70="","",IF(ISNA(VLOOKUP($E70,'A-1 Site Habitat Baseline'!$D$1:$O$258,5,FALSE)),"",(VLOOKUP($E70,'A-1 Site Habitat Baseline'!$D$1:$O$258,5,FALSE))))</f>
        <v/>
      </c>
      <c r="H70" s="343" t="str">
        <f>IF(E70="","",IF(ISNA(VLOOKUP($E70,'A-1 Site Habitat Baseline'!$D$1:$O$258,6,FALSE)),"",(VLOOKUP($E70,'A-1 Site Habitat Baseline'!$D$1:$O$258,6,FALSE))))</f>
        <v/>
      </c>
      <c r="I70" s="343" t="str">
        <f>IF(E70="","",IF(ISNA(VLOOKUP($E70,'A-1 Site Habitat Baseline'!$D$1:$O$258,7,FALSE)),"",(VLOOKUP($E70,'A-1 Site Habitat Baseline'!$D$1:$O$258,7,FALSE))))</f>
        <v/>
      </c>
      <c r="J70" s="343" t="str">
        <f>IF(E70="","",IF(ISNA(VLOOKUP($E70,'A-1 Site Habitat Baseline'!$D$1:$O$258,8,FALSE)),"",(VLOOKUP($E70,'A-1 Site Habitat Baseline'!$D$1:$O$258,8,FALSE))))</f>
        <v/>
      </c>
      <c r="K70" s="343" t="str">
        <f>IF(E70="","",IF(ISNA(VLOOKUP($E70,'A-1 Site Habitat Baseline'!$D$1:$O$258,9,FALSE)),"",(VLOOKUP($E70,'A-1 Site Habitat Baseline'!$D$1:$O$258,9,FALSE))))</f>
        <v/>
      </c>
      <c r="L70" s="343" t="str">
        <f>IF(E70="","",IF(ISNA(VLOOKUP($E70,'A-1 Site Habitat Baseline'!$D$1:$O$258,11,FALSE)),"",(VLOOKUP($E70,'A-1 Site Habitat Baseline'!$D$1:$O$258,11,FALSE))))</f>
        <v/>
      </c>
      <c r="M70" s="343" t="str">
        <f>IF(E70="","",IF(ISNA(VLOOKUP($E70,'A-1 Site Habitat Baseline'!$D$1:$O$258,12,FALSE)),"",(VLOOKUP($E70,'A-1 Site Habitat Baseline'!$D$1:$O$258,12,FALSE))))</f>
        <v/>
      </c>
      <c r="N70" s="344" t="str">
        <f>IF(E70="","",IF(ISNA(VLOOKUP($E70,'A-1 Site Habitat Baseline'!$D$1:$X$258,14,FALSE)),"",(VLOOKUP($E70,'A-1 Site Habitat Baseline'!$D$1:$X$258,14,FALSE))))</f>
        <v/>
      </c>
      <c r="O70" s="345" t="str">
        <f>IF(E70="","",IF(ISNA(VLOOKUP($E70,'A-1 Site Habitat Baseline'!$D$1:$X$258,16,FALSE)),"",(VLOOKUP($E70,'A-1 Site Habitat Baseline'!$D$1:$X$258,13,FALSE))))</f>
        <v/>
      </c>
      <c r="P70" s="346" t="str">
        <f>IFERROR(INDEX('G-1 All Habitats'!$AG$3:$AG$15,MATCH(Q70,'G-1 All Habitats'!$AF$3:$AF$15,0)),"")</f>
        <v/>
      </c>
      <c r="Q70" s="347"/>
      <c r="R70" s="347"/>
      <c r="S70" s="605" t="str">
        <f>IFERROR(INDEX('G-1 All Habitats'!$B$3:$B$130,MATCH(R70,'G-1 All Habitats'!$A$3:$A$130,0)),"")</f>
        <v/>
      </c>
      <c r="T70" s="77" t="str">
        <f t="shared" si="9"/>
        <v/>
      </c>
      <c r="U70" s="78" t="str">
        <f t="shared" si="2"/>
        <v/>
      </c>
      <c r="V70" s="350" t="str">
        <f t="shared" si="3"/>
        <v/>
      </c>
      <c r="W70" s="343" t="str">
        <f>IF(S70="","",VLOOKUP(S70,'G-1 All Habitats'!$B$2:$M$130,10,FALSE))</f>
        <v/>
      </c>
      <c r="X70" s="343" t="str">
        <f>IFERROR(VLOOKUP(W70,'G-1 All Habitats'!$V$3:$W$7,2,FALSE),"")</f>
        <v/>
      </c>
      <c r="Y70" s="91"/>
      <c r="Z70" s="345" t="str">
        <f>IFERROR(INDEX('G-8 Condition Look up'!$A$3:$H$131,MATCH(S70,'G-8 Condition Look up'!$A$3:$A$131,0),MATCH(Y70,'G-8 Condition Look up'!$A$3:$H$3,0)),"")</f>
        <v/>
      </c>
      <c r="AA70" s="79"/>
      <c r="AB70" s="343" t="str">
        <f>IF(AA70="","",IF(VLOOKUP(AA70,'G-3 Multipliers'!$L$3:$N$6,2,FALSE)=0,"Spatial Data Missing",VLOOKUP(AA70,'G-3 Multipliers'!$L$3:$N$6,2,FALSE)))</f>
        <v/>
      </c>
      <c r="AC70" s="345" t="str">
        <f>IF(AA70="","",IF(VLOOKUP(AA70,'G-3 Multipliers'!$L$3:$N$6,3,FALSE)=0,"Spatial Data Missing",VLOOKUP(AA70,'G-3 Multipliers'!$L$3:$N$6,3,FALSE)))</f>
        <v/>
      </c>
      <c r="AD70" s="351" t="str">
        <f t="shared" si="0"/>
        <v/>
      </c>
      <c r="AE70" s="94"/>
      <c r="AF70" s="94"/>
      <c r="AG70" s="343" t="str">
        <f t="shared" si="4"/>
        <v/>
      </c>
      <c r="AH70" s="591" t="str">
        <f t="shared" si="5"/>
        <v/>
      </c>
      <c r="AI70" s="353" t="str">
        <f>IF(AH70="Check Data","Check Data",IFERROR(VLOOKUP(AH70,'G-4 Temporal multipliers'!$A$4:$C$36,3,FALSE),""))</f>
        <v/>
      </c>
      <c r="AJ70" s="77" t="str">
        <f>IF(S70="","",VLOOKUP(S70,'G-3 Multipliers'!$A$2:$E$130,4,FALSE))</f>
        <v/>
      </c>
      <c r="AK70" s="348" t="str">
        <f t="shared" si="6"/>
        <v/>
      </c>
      <c r="AL70" s="348" t="str">
        <f t="shared" si="7"/>
        <v/>
      </c>
      <c r="AM70" s="607" t="str">
        <f>IFERROR(IF(F70="","",IF(AH70="Check Data","Check Data",VLOOKUP(AL70, 'G-3 Multipliers'!$P$2:$Q$6,2,FALSE))),””)</f>
        <v/>
      </c>
      <c r="AN70" s="81" t="str">
        <f t="shared" si="8"/>
        <v/>
      </c>
      <c r="AO70" s="355"/>
      <c r="AP70" s="356"/>
    </row>
    <row r="71" spans="1:42" x14ac:dyDescent="0.25">
      <c r="A71" s="52" t="str">
        <f>IF(E71="","",IF(ISNA(VLOOKUP($E71,'A-1 Site Habitat Baseline'!$D$1:$O$258,2,FALSE)),"",(VLOOKUP($E71,'A-1 Site Habitat Baseline'!$D$1:$O$258,2,FALSE))))</f>
        <v/>
      </c>
      <c r="B71" s="52" t="str">
        <f>IF(E71="","",IF(ISNA(VLOOKUP($E71,'A-1 Site Habitat Baseline'!$D$1:$O$258,3,FALSE)),"",(VLOOKUP($E71,'A-1 Site Habitat Baseline'!$D$1:$O$258,3,FALSE))))</f>
        <v/>
      </c>
      <c r="C71" s="52" t="str">
        <f>IFERROR(INDEX('G-8 Condition Look up'!$I$4:$I$131,MATCH(S71,'G-8 Condition Look up'!$A$4:$A$131,0)),"")</f>
        <v/>
      </c>
      <c r="E71" s="342" t="str">
        <f>'A-1 Site Habitat Baseline'!AL70</f>
        <v/>
      </c>
      <c r="F71" s="343" t="str">
        <f>IF(E71="","",IF(ISNA(VLOOKUP($E71,'A-1 Site Habitat Baseline'!$D$1:$O$258,4,FALSE)),"",(VLOOKUP($E71,'A-1 Site Habitat Baseline'!$D$1:$O$258,4,FALSE))))</f>
        <v/>
      </c>
      <c r="G71" s="343" t="str">
        <f>IF(E71="","",IF(ISNA(VLOOKUP($E71,'A-1 Site Habitat Baseline'!$D$1:$O$258,5,FALSE)),"",(VLOOKUP($E71,'A-1 Site Habitat Baseline'!$D$1:$O$258,5,FALSE))))</f>
        <v/>
      </c>
      <c r="H71" s="343" t="str">
        <f>IF(E71="","",IF(ISNA(VLOOKUP($E71,'A-1 Site Habitat Baseline'!$D$1:$O$258,6,FALSE)),"",(VLOOKUP($E71,'A-1 Site Habitat Baseline'!$D$1:$O$258,6,FALSE))))</f>
        <v/>
      </c>
      <c r="I71" s="343" t="str">
        <f>IF(E71="","",IF(ISNA(VLOOKUP($E71,'A-1 Site Habitat Baseline'!$D$1:$O$258,7,FALSE)),"",(VLOOKUP($E71,'A-1 Site Habitat Baseline'!$D$1:$O$258,7,FALSE))))</f>
        <v/>
      </c>
      <c r="J71" s="343" t="str">
        <f>IF(E71="","",IF(ISNA(VLOOKUP($E71,'A-1 Site Habitat Baseline'!$D$1:$O$258,8,FALSE)),"",(VLOOKUP($E71,'A-1 Site Habitat Baseline'!$D$1:$O$258,8,FALSE))))</f>
        <v/>
      </c>
      <c r="K71" s="343" t="str">
        <f>IF(E71="","",IF(ISNA(VLOOKUP($E71,'A-1 Site Habitat Baseline'!$D$1:$O$258,9,FALSE)),"",(VLOOKUP($E71,'A-1 Site Habitat Baseline'!$D$1:$O$258,9,FALSE))))</f>
        <v/>
      </c>
      <c r="L71" s="343" t="str">
        <f>IF(E71="","",IF(ISNA(VLOOKUP($E71,'A-1 Site Habitat Baseline'!$D$1:$O$258,11,FALSE)),"",(VLOOKUP($E71,'A-1 Site Habitat Baseline'!$D$1:$O$258,11,FALSE))))</f>
        <v/>
      </c>
      <c r="M71" s="343" t="str">
        <f>IF(E71="","",IF(ISNA(VLOOKUP($E71,'A-1 Site Habitat Baseline'!$D$1:$O$258,12,FALSE)),"",(VLOOKUP($E71,'A-1 Site Habitat Baseline'!$D$1:$O$258,12,FALSE))))</f>
        <v/>
      </c>
      <c r="N71" s="344" t="str">
        <f>IF(E71="","",IF(ISNA(VLOOKUP($E71,'A-1 Site Habitat Baseline'!$D$1:$X$258,14,FALSE)),"",(VLOOKUP($E71,'A-1 Site Habitat Baseline'!$D$1:$X$258,14,FALSE))))</f>
        <v/>
      </c>
      <c r="O71" s="345" t="str">
        <f>IF(E71="","",IF(ISNA(VLOOKUP($E71,'A-1 Site Habitat Baseline'!$D$1:$X$258,16,FALSE)),"",(VLOOKUP($E71,'A-1 Site Habitat Baseline'!$D$1:$X$258,13,FALSE))))</f>
        <v/>
      </c>
      <c r="P71" s="346" t="str">
        <f>IFERROR(INDEX('G-1 All Habitats'!$AG$3:$AG$15,MATCH(Q71,'G-1 All Habitats'!$AF$3:$AF$15,0)),"")</f>
        <v/>
      </c>
      <c r="Q71" s="347"/>
      <c r="R71" s="347"/>
      <c r="S71" s="605" t="str">
        <f>IFERROR(INDEX('G-1 All Habitats'!$B$3:$B$130,MATCH(R71,'G-1 All Habitats'!$A$3:$A$130,0)),"")</f>
        <v/>
      </c>
      <c r="T71" s="77" t="str">
        <f t="shared" si="9"/>
        <v/>
      </c>
      <c r="U71" s="78" t="str">
        <f t="shared" si="2"/>
        <v/>
      </c>
      <c r="V71" s="350" t="str">
        <f t="shared" si="3"/>
        <v/>
      </c>
      <c r="W71" s="343" t="str">
        <f>IF(S71="","",VLOOKUP(S71,'G-1 All Habitats'!$B$2:$M$130,10,FALSE))</f>
        <v/>
      </c>
      <c r="X71" s="343" t="str">
        <f>IFERROR(VLOOKUP(W71,'G-1 All Habitats'!$V$3:$W$7,2,FALSE),"")</f>
        <v/>
      </c>
      <c r="Y71" s="91"/>
      <c r="Z71" s="345" t="str">
        <f>IFERROR(INDEX('G-8 Condition Look up'!$A$3:$H$131,MATCH(S71,'G-8 Condition Look up'!$A$3:$A$131,0),MATCH(Y71,'G-8 Condition Look up'!$A$3:$H$3,0)),"")</f>
        <v/>
      </c>
      <c r="AA71" s="79"/>
      <c r="AB71" s="343" t="str">
        <f>IF(AA71="","",IF(VLOOKUP(AA71,'G-3 Multipliers'!$L$3:$N$6,2,FALSE)=0,"Spatial Data Missing",VLOOKUP(AA71,'G-3 Multipliers'!$L$3:$N$6,2,FALSE)))</f>
        <v/>
      </c>
      <c r="AC71" s="345" t="str">
        <f>IF(AA71="","",IF(VLOOKUP(AA71,'G-3 Multipliers'!$L$3:$N$6,3,FALSE)=0,"Spatial Data Missing",VLOOKUP(AA71,'G-3 Multipliers'!$L$3:$N$6,3,FALSE)))</f>
        <v/>
      </c>
      <c r="AD71" s="351" t="str">
        <f t="shared" si="0"/>
        <v/>
      </c>
      <c r="AE71" s="94"/>
      <c r="AF71" s="94"/>
      <c r="AG71" s="343" t="str">
        <f t="shared" si="4"/>
        <v/>
      </c>
      <c r="AH71" s="591" t="str">
        <f t="shared" si="5"/>
        <v/>
      </c>
      <c r="AI71" s="353" t="str">
        <f>IF(AH71="Check Data","Check Data",IFERROR(VLOOKUP(AH71,'G-4 Temporal multipliers'!$A$4:$C$36,3,FALSE),""))</f>
        <v/>
      </c>
      <c r="AJ71" s="77" t="str">
        <f>IF(S71="","",VLOOKUP(S71,'G-3 Multipliers'!$A$2:$E$130,4,FALSE))</f>
        <v/>
      </c>
      <c r="AK71" s="348" t="str">
        <f t="shared" si="6"/>
        <v/>
      </c>
      <c r="AL71" s="348" t="str">
        <f t="shared" si="7"/>
        <v/>
      </c>
      <c r="AM71" s="607" t="str">
        <f>IFERROR(IF(F71="","",IF(AH71="Check Data","Check Data",VLOOKUP(AL71, 'G-3 Multipliers'!$P$2:$Q$6,2,FALSE))),””)</f>
        <v/>
      </c>
      <c r="AN71" s="81" t="str">
        <f t="shared" si="8"/>
        <v/>
      </c>
      <c r="AO71" s="355"/>
      <c r="AP71" s="356"/>
    </row>
    <row r="72" spans="1:42" x14ac:dyDescent="0.25">
      <c r="A72" s="52" t="str">
        <f>IF(E72="","",IF(ISNA(VLOOKUP($E72,'A-1 Site Habitat Baseline'!$D$1:$O$258,2,FALSE)),"",(VLOOKUP($E72,'A-1 Site Habitat Baseline'!$D$1:$O$258,2,FALSE))))</f>
        <v/>
      </c>
      <c r="B72" s="52" t="str">
        <f>IF(E72="","",IF(ISNA(VLOOKUP($E72,'A-1 Site Habitat Baseline'!$D$1:$O$258,3,FALSE)),"",(VLOOKUP($E72,'A-1 Site Habitat Baseline'!$D$1:$O$258,3,FALSE))))</f>
        <v/>
      </c>
      <c r="C72" s="52" t="str">
        <f>IFERROR(INDEX('G-8 Condition Look up'!$I$4:$I$131,MATCH(S72,'G-8 Condition Look up'!$A$4:$A$131,0)),"")</f>
        <v/>
      </c>
      <c r="E72" s="342" t="str">
        <f>'A-1 Site Habitat Baseline'!AL71</f>
        <v/>
      </c>
      <c r="F72" s="343" t="str">
        <f>IF(E72="","",IF(ISNA(VLOOKUP($E72,'A-1 Site Habitat Baseline'!$D$1:$O$258,4,FALSE)),"",(VLOOKUP($E72,'A-1 Site Habitat Baseline'!$D$1:$O$258,4,FALSE))))</f>
        <v/>
      </c>
      <c r="G72" s="343" t="str">
        <f>IF(E72="","",IF(ISNA(VLOOKUP($E72,'A-1 Site Habitat Baseline'!$D$1:$O$258,5,FALSE)),"",(VLOOKUP($E72,'A-1 Site Habitat Baseline'!$D$1:$O$258,5,FALSE))))</f>
        <v/>
      </c>
      <c r="H72" s="343" t="str">
        <f>IF(E72="","",IF(ISNA(VLOOKUP($E72,'A-1 Site Habitat Baseline'!$D$1:$O$258,6,FALSE)),"",(VLOOKUP($E72,'A-1 Site Habitat Baseline'!$D$1:$O$258,6,FALSE))))</f>
        <v/>
      </c>
      <c r="I72" s="343" t="str">
        <f>IF(E72="","",IF(ISNA(VLOOKUP($E72,'A-1 Site Habitat Baseline'!$D$1:$O$258,7,FALSE)),"",(VLOOKUP($E72,'A-1 Site Habitat Baseline'!$D$1:$O$258,7,FALSE))))</f>
        <v/>
      </c>
      <c r="J72" s="343" t="str">
        <f>IF(E72="","",IF(ISNA(VLOOKUP($E72,'A-1 Site Habitat Baseline'!$D$1:$O$258,8,FALSE)),"",(VLOOKUP($E72,'A-1 Site Habitat Baseline'!$D$1:$O$258,8,FALSE))))</f>
        <v/>
      </c>
      <c r="K72" s="343" t="str">
        <f>IF(E72="","",IF(ISNA(VLOOKUP($E72,'A-1 Site Habitat Baseline'!$D$1:$O$258,9,FALSE)),"",(VLOOKUP($E72,'A-1 Site Habitat Baseline'!$D$1:$O$258,9,FALSE))))</f>
        <v/>
      </c>
      <c r="L72" s="343" t="str">
        <f>IF(E72="","",IF(ISNA(VLOOKUP($E72,'A-1 Site Habitat Baseline'!$D$1:$O$258,11,FALSE)),"",(VLOOKUP($E72,'A-1 Site Habitat Baseline'!$D$1:$O$258,11,FALSE))))</f>
        <v/>
      </c>
      <c r="M72" s="343" t="str">
        <f>IF(E72="","",IF(ISNA(VLOOKUP($E72,'A-1 Site Habitat Baseline'!$D$1:$O$258,12,FALSE)),"",(VLOOKUP($E72,'A-1 Site Habitat Baseline'!$D$1:$O$258,12,FALSE))))</f>
        <v/>
      </c>
      <c r="N72" s="344" t="str">
        <f>IF(E72="","",IF(ISNA(VLOOKUP($E72,'A-1 Site Habitat Baseline'!$D$1:$X$258,14,FALSE)),"",(VLOOKUP($E72,'A-1 Site Habitat Baseline'!$D$1:$X$258,14,FALSE))))</f>
        <v/>
      </c>
      <c r="O72" s="345" t="str">
        <f>IF(E72="","",IF(ISNA(VLOOKUP($E72,'A-1 Site Habitat Baseline'!$D$1:$X$258,16,FALSE)),"",(VLOOKUP($E72,'A-1 Site Habitat Baseline'!$D$1:$X$258,13,FALSE))))</f>
        <v/>
      </c>
      <c r="P72" s="346" t="str">
        <f>IFERROR(INDEX('G-1 All Habitats'!$AG$3:$AG$15,MATCH(Q72,'G-1 All Habitats'!$AF$3:$AF$15,0)),"")</f>
        <v/>
      </c>
      <c r="Q72" s="347"/>
      <c r="R72" s="347"/>
      <c r="S72" s="605" t="str">
        <f>IFERROR(INDEX('G-1 All Habitats'!$B$3:$B$130,MATCH(R72,'G-1 All Habitats'!$A$3:$A$130,0)),"")</f>
        <v/>
      </c>
      <c r="T72" s="77" t="str">
        <f t="shared" si="9"/>
        <v/>
      </c>
      <c r="U72" s="78" t="str">
        <f t="shared" si="2"/>
        <v/>
      </c>
      <c r="V72" s="350" t="str">
        <f t="shared" si="3"/>
        <v/>
      </c>
      <c r="W72" s="343" t="str">
        <f>IF(S72="","",VLOOKUP(S72,'G-1 All Habitats'!$B$2:$M$130,10,FALSE))</f>
        <v/>
      </c>
      <c r="X72" s="343" t="str">
        <f>IFERROR(VLOOKUP(W72,'G-1 All Habitats'!$V$3:$W$7,2,FALSE),"")</f>
        <v/>
      </c>
      <c r="Y72" s="91"/>
      <c r="Z72" s="345" t="str">
        <f>IFERROR(INDEX('G-8 Condition Look up'!$A$3:$H$131,MATCH(S72,'G-8 Condition Look up'!$A$3:$A$131,0),MATCH(Y72,'G-8 Condition Look up'!$A$3:$H$3,0)),"")</f>
        <v/>
      </c>
      <c r="AA72" s="79"/>
      <c r="AB72" s="343" t="str">
        <f>IF(AA72="","",IF(VLOOKUP(AA72,'G-3 Multipliers'!$L$3:$N$6,2,FALSE)=0,"Spatial Data Missing",VLOOKUP(AA72,'G-3 Multipliers'!$L$3:$N$6,2,FALSE)))</f>
        <v/>
      </c>
      <c r="AC72" s="345" t="str">
        <f>IF(AA72="","",IF(VLOOKUP(AA72,'G-3 Multipliers'!$L$3:$N$6,3,FALSE)=0,"Spatial Data Missing",VLOOKUP(AA72,'G-3 Multipliers'!$L$3:$N$6,3,FALSE)))</f>
        <v/>
      </c>
      <c r="AD72" s="351" t="str">
        <f t="shared" si="0"/>
        <v/>
      </c>
      <c r="AE72" s="94"/>
      <c r="AF72" s="94"/>
      <c r="AG72" s="343" t="str">
        <f t="shared" si="4"/>
        <v/>
      </c>
      <c r="AH72" s="591" t="str">
        <f t="shared" si="5"/>
        <v/>
      </c>
      <c r="AI72" s="353" t="str">
        <f>IF(AH72="Check Data","Check Data",IFERROR(VLOOKUP(AH72,'G-4 Temporal multipliers'!$A$4:$C$36,3,FALSE),""))</f>
        <v/>
      </c>
      <c r="AJ72" s="77" t="str">
        <f>IF(S72="","",VLOOKUP(S72,'G-3 Multipliers'!$A$2:$E$130,4,FALSE))</f>
        <v/>
      </c>
      <c r="AK72" s="348" t="str">
        <f t="shared" si="6"/>
        <v/>
      </c>
      <c r="AL72" s="348" t="str">
        <f t="shared" si="7"/>
        <v/>
      </c>
      <c r="AM72" s="607" t="str">
        <f>IFERROR(IF(F72="","",IF(AH72="Check Data","Check Data",VLOOKUP(AL72, 'G-3 Multipliers'!$P$2:$Q$6,2,FALSE))),””)</f>
        <v/>
      </c>
      <c r="AN72" s="81" t="str">
        <f t="shared" si="8"/>
        <v/>
      </c>
      <c r="AO72" s="355"/>
      <c r="AP72" s="356"/>
    </row>
    <row r="73" spans="1:42" x14ac:dyDescent="0.25">
      <c r="A73" s="52" t="str">
        <f>IF(E73="","",IF(ISNA(VLOOKUP($E73,'A-1 Site Habitat Baseline'!$D$1:$O$258,2,FALSE)),"",(VLOOKUP($E73,'A-1 Site Habitat Baseline'!$D$1:$O$258,2,FALSE))))</f>
        <v/>
      </c>
      <c r="B73" s="52" t="str">
        <f>IF(E73="","",IF(ISNA(VLOOKUP($E73,'A-1 Site Habitat Baseline'!$D$1:$O$258,3,FALSE)),"",(VLOOKUP($E73,'A-1 Site Habitat Baseline'!$D$1:$O$258,3,FALSE))))</f>
        <v/>
      </c>
      <c r="C73" s="52" t="str">
        <f>IFERROR(INDEX('G-8 Condition Look up'!$I$4:$I$131,MATCH(S73,'G-8 Condition Look up'!$A$4:$A$131,0)),"")</f>
        <v/>
      </c>
      <c r="E73" s="342" t="str">
        <f>'A-1 Site Habitat Baseline'!AL72</f>
        <v/>
      </c>
      <c r="F73" s="343" t="str">
        <f>IF(E73="","",IF(ISNA(VLOOKUP($E73,'A-1 Site Habitat Baseline'!$D$1:$O$258,4,FALSE)),"",(VLOOKUP($E73,'A-1 Site Habitat Baseline'!$D$1:$O$258,4,FALSE))))</f>
        <v/>
      </c>
      <c r="G73" s="343" t="str">
        <f>IF(E73="","",IF(ISNA(VLOOKUP($E73,'A-1 Site Habitat Baseline'!$D$1:$O$258,5,FALSE)),"",(VLOOKUP($E73,'A-1 Site Habitat Baseline'!$D$1:$O$258,5,FALSE))))</f>
        <v/>
      </c>
      <c r="H73" s="343" t="str">
        <f>IF(E73="","",IF(ISNA(VLOOKUP($E73,'A-1 Site Habitat Baseline'!$D$1:$O$258,6,FALSE)),"",(VLOOKUP($E73,'A-1 Site Habitat Baseline'!$D$1:$O$258,6,FALSE))))</f>
        <v/>
      </c>
      <c r="I73" s="343" t="str">
        <f>IF(E73="","",IF(ISNA(VLOOKUP($E73,'A-1 Site Habitat Baseline'!$D$1:$O$258,7,FALSE)),"",(VLOOKUP($E73,'A-1 Site Habitat Baseline'!$D$1:$O$258,7,FALSE))))</f>
        <v/>
      </c>
      <c r="J73" s="343" t="str">
        <f>IF(E73="","",IF(ISNA(VLOOKUP($E73,'A-1 Site Habitat Baseline'!$D$1:$O$258,8,FALSE)),"",(VLOOKUP($E73,'A-1 Site Habitat Baseline'!$D$1:$O$258,8,FALSE))))</f>
        <v/>
      </c>
      <c r="K73" s="343" t="str">
        <f>IF(E73="","",IF(ISNA(VLOOKUP($E73,'A-1 Site Habitat Baseline'!$D$1:$O$258,9,FALSE)),"",(VLOOKUP($E73,'A-1 Site Habitat Baseline'!$D$1:$O$258,9,FALSE))))</f>
        <v/>
      </c>
      <c r="L73" s="343" t="str">
        <f>IF(E73="","",IF(ISNA(VLOOKUP($E73,'A-1 Site Habitat Baseline'!$D$1:$O$258,11,FALSE)),"",(VLOOKUP($E73,'A-1 Site Habitat Baseline'!$D$1:$O$258,11,FALSE))))</f>
        <v/>
      </c>
      <c r="M73" s="343" t="str">
        <f>IF(E73="","",IF(ISNA(VLOOKUP($E73,'A-1 Site Habitat Baseline'!$D$1:$O$258,12,FALSE)),"",(VLOOKUP($E73,'A-1 Site Habitat Baseline'!$D$1:$O$258,12,FALSE))))</f>
        <v/>
      </c>
      <c r="N73" s="344" t="str">
        <f>IF(E73="","",IF(ISNA(VLOOKUP($E73,'A-1 Site Habitat Baseline'!$D$1:$X$258,14,FALSE)),"",(VLOOKUP($E73,'A-1 Site Habitat Baseline'!$D$1:$X$258,14,FALSE))))</f>
        <v/>
      </c>
      <c r="O73" s="345" t="str">
        <f>IF(E73="","",IF(ISNA(VLOOKUP($E73,'A-1 Site Habitat Baseline'!$D$1:$X$258,16,FALSE)),"",(VLOOKUP($E73,'A-1 Site Habitat Baseline'!$D$1:$X$258,13,FALSE))))</f>
        <v/>
      </c>
      <c r="P73" s="346" t="str">
        <f>IFERROR(INDEX('G-1 All Habitats'!$AG$3:$AG$15,MATCH(Q73,'G-1 All Habitats'!$AF$3:$AF$15,0)),"")</f>
        <v/>
      </c>
      <c r="Q73" s="347"/>
      <c r="R73" s="347"/>
      <c r="S73" s="605" t="str">
        <f>IFERROR(INDEX('G-1 All Habitats'!$B$3:$B$130,MATCH(R73,'G-1 All Habitats'!$A$3:$A$130,0)),"")</f>
        <v/>
      </c>
      <c r="T73" s="77" t="str">
        <f t="shared" si="9"/>
        <v/>
      </c>
      <c r="U73" s="78" t="str">
        <f t="shared" si="2"/>
        <v/>
      </c>
      <c r="V73" s="350" t="str">
        <f t="shared" si="3"/>
        <v/>
      </c>
      <c r="W73" s="343" t="str">
        <f>IF(S73="","",VLOOKUP(S73,'G-1 All Habitats'!$B$2:$M$130,10,FALSE))</f>
        <v/>
      </c>
      <c r="X73" s="343" t="str">
        <f>IFERROR(VLOOKUP(W73,'G-1 All Habitats'!$V$3:$W$7,2,FALSE),"")</f>
        <v/>
      </c>
      <c r="Y73" s="91"/>
      <c r="Z73" s="345" t="str">
        <f>IFERROR(INDEX('G-8 Condition Look up'!$A$3:$H$131,MATCH(S73,'G-8 Condition Look up'!$A$3:$A$131,0),MATCH(Y73,'G-8 Condition Look up'!$A$3:$H$3,0)),"")</f>
        <v/>
      </c>
      <c r="AA73" s="79"/>
      <c r="AB73" s="343" t="str">
        <f>IF(AA73="","",IF(VLOOKUP(AA73,'G-3 Multipliers'!$L$3:$N$6,2,FALSE)=0,"Spatial Data Missing",VLOOKUP(AA73,'G-3 Multipliers'!$L$3:$N$6,2,FALSE)))</f>
        <v/>
      </c>
      <c r="AC73" s="345" t="str">
        <f>IF(AA73="","",IF(VLOOKUP(AA73,'G-3 Multipliers'!$L$3:$N$6,3,FALSE)=0,"Spatial Data Missing",VLOOKUP(AA73,'G-3 Multipliers'!$L$3:$N$6,3,FALSE)))</f>
        <v/>
      </c>
      <c r="AD73" s="351" t="str">
        <f t="shared" si="0"/>
        <v/>
      </c>
      <c r="AE73" s="94"/>
      <c r="AF73" s="94"/>
      <c r="AG73" s="343" t="str">
        <f t="shared" si="4"/>
        <v/>
      </c>
      <c r="AH73" s="591" t="str">
        <f t="shared" si="5"/>
        <v/>
      </c>
      <c r="AI73" s="353" t="str">
        <f>IF(AH73="Check Data","Check Data",IFERROR(VLOOKUP(AH73,'G-4 Temporal multipliers'!$A$4:$C$36,3,FALSE),""))</f>
        <v/>
      </c>
      <c r="AJ73" s="77" t="str">
        <f>IF(S73="","",VLOOKUP(S73,'G-3 Multipliers'!$A$2:$E$130,4,FALSE))</f>
        <v/>
      </c>
      <c r="AK73" s="348" t="str">
        <f t="shared" si="6"/>
        <v/>
      </c>
      <c r="AL73" s="348" t="str">
        <f t="shared" si="7"/>
        <v/>
      </c>
      <c r="AM73" s="607" t="str">
        <f>IFERROR(IF(F73="","",IF(AH73="Check Data","Check Data",VLOOKUP(AL73, 'G-3 Multipliers'!$P$2:$Q$6,2,FALSE))),””)</f>
        <v/>
      </c>
      <c r="AN73" s="81" t="str">
        <f t="shared" si="8"/>
        <v/>
      </c>
      <c r="AO73" s="355"/>
      <c r="AP73" s="356"/>
    </row>
    <row r="74" spans="1:42" x14ac:dyDescent="0.25">
      <c r="A74" s="52" t="str">
        <f>IF(E74="","",IF(ISNA(VLOOKUP($E74,'A-1 Site Habitat Baseline'!$D$1:$O$258,2,FALSE)),"",(VLOOKUP($E74,'A-1 Site Habitat Baseline'!$D$1:$O$258,2,FALSE))))</f>
        <v/>
      </c>
      <c r="B74" s="52" t="str">
        <f>IF(E74="","",IF(ISNA(VLOOKUP($E74,'A-1 Site Habitat Baseline'!$D$1:$O$258,3,FALSE)),"",(VLOOKUP($E74,'A-1 Site Habitat Baseline'!$D$1:$O$258,3,FALSE))))</f>
        <v/>
      </c>
      <c r="C74" s="52" t="str">
        <f>IFERROR(INDEX('G-8 Condition Look up'!$I$4:$I$131,MATCH(S74,'G-8 Condition Look up'!$A$4:$A$131,0)),"")</f>
        <v/>
      </c>
      <c r="E74" s="342" t="str">
        <f>'A-1 Site Habitat Baseline'!AL73</f>
        <v/>
      </c>
      <c r="F74" s="343" t="str">
        <f>IF(E74="","",IF(ISNA(VLOOKUP($E74,'A-1 Site Habitat Baseline'!$D$1:$O$258,4,FALSE)),"",(VLOOKUP($E74,'A-1 Site Habitat Baseline'!$D$1:$O$258,4,FALSE))))</f>
        <v/>
      </c>
      <c r="G74" s="343" t="str">
        <f>IF(E74="","",IF(ISNA(VLOOKUP($E74,'A-1 Site Habitat Baseline'!$D$1:$O$258,5,FALSE)),"",(VLOOKUP($E74,'A-1 Site Habitat Baseline'!$D$1:$O$258,5,FALSE))))</f>
        <v/>
      </c>
      <c r="H74" s="343" t="str">
        <f>IF(E74="","",IF(ISNA(VLOOKUP($E74,'A-1 Site Habitat Baseline'!$D$1:$O$258,6,FALSE)),"",(VLOOKUP($E74,'A-1 Site Habitat Baseline'!$D$1:$O$258,6,FALSE))))</f>
        <v/>
      </c>
      <c r="I74" s="343" t="str">
        <f>IF(E74="","",IF(ISNA(VLOOKUP($E74,'A-1 Site Habitat Baseline'!$D$1:$O$258,7,FALSE)),"",(VLOOKUP($E74,'A-1 Site Habitat Baseline'!$D$1:$O$258,7,FALSE))))</f>
        <v/>
      </c>
      <c r="J74" s="343" t="str">
        <f>IF(E74="","",IF(ISNA(VLOOKUP($E74,'A-1 Site Habitat Baseline'!$D$1:$O$258,8,FALSE)),"",(VLOOKUP($E74,'A-1 Site Habitat Baseline'!$D$1:$O$258,8,FALSE))))</f>
        <v/>
      </c>
      <c r="K74" s="343" t="str">
        <f>IF(E74="","",IF(ISNA(VLOOKUP($E74,'A-1 Site Habitat Baseline'!$D$1:$O$258,9,FALSE)),"",(VLOOKUP($E74,'A-1 Site Habitat Baseline'!$D$1:$O$258,9,FALSE))))</f>
        <v/>
      </c>
      <c r="L74" s="343" t="str">
        <f>IF(E74="","",IF(ISNA(VLOOKUP($E74,'A-1 Site Habitat Baseline'!$D$1:$O$258,11,FALSE)),"",(VLOOKUP($E74,'A-1 Site Habitat Baseline'!$D$1:$O$258,11,FALSE))))</f>
        <v/>
      </c>
      <c r="M74" s="343" t="str">
        <f>IF(E74="","",IF(ISNA(VLOOKUP($E74,'A-1 Site Habitat Baseline'!$D$1:$O$258,12,FALSE)),"",(VLOOKUP($E74,'A-1 Site Habitat Baseline'!$D$1:$O$258,12,FALSE))))</f>
        <v/>
      </c>
      <c r="N74" s="344" t="str">
        <f>IF(E74="","",IF(ISNA(VLOOKUP($E74,'A-1 Site Habitat Baseline'!$D$1:$X$258,14,FALSE)),"",(VLOOKUP($E74,'A-1 Site Habitat Baseline'!$D$1:$X$258,14,FALSE))))</f>
        <v/>
      </c>
      <c r="O74" s="345" t="str">
        <f>IF(E74="","",IF(ISNA(VLOOKUP($E74,'A-1 Site Habitat Baseline'!$D$1:$X$258,16,FALSE)),"",(VLOOKUP($E74,'A-1 Site Habitat Baseline'!$D$1:$X$258,13,FALSE))))</f>
        <v/>
      </c>
      <c r="P74" s="346" t="str">
        <f>IFERROR(INDEX('G-1 All Habitats'!$AG$3:$AG$15,MATCH(Q74,'G-1 All Habitats'!$AF$3:$AF$15,0)),"")</f>
        <v/>
      </c>
      <c r="Q74" s="347"/>
      <c r="R74" s="347"/>
      <c r="S74" s="605" t="str">
        <f>IFERROR(INDEX('G-1 All Habitats'!$B$3:$B$130,MATCH(R74,'G-1 All Habitats'!$A$3:$A$130,0)),"")</f>
        <v/>
      </c>
      <c r="T74" s="77" t="str">
        <f t="shared" si="9"/>
        <v/>
      </c>
      <c r="U74" s="78" t="str">
        <f t="shared" si="2"/>
        <v/>
      </c>
      <c r="V74" s="350" t="str">
        <f t="shared" si="3"/>
        <v/>
      </c>
      <c r="W74" s="343" t="str">
        <f>IF(S74="","",VLOOKUP(S74,'G-1 All Habitats'!$B$2:$M$130,10,FALSE))</f>
        <v/>
      </c>
      <c r="X74" s="343" t="str">
        <f>IFERROR(VLOOKUP(W74,'G-1 All Habitats'!$V$3:$W$7,2,FALSE),"")</f>
        <v/>
      </c>
      <c r="Y74" s="91"/>
      <c r="Z74" s="345" t="str">
        <f>IFERROR(INDEX('G-8 Condition Look up'!$A$3:$H$131,MATCH(S74,'G-8 Condition Look up'!$A$3:$A$131,0),MATCH(Y74,'G-8 Condition Look up'!$A$3:$H$3,0)),"")</f>
        <v/>
      </c>
      <c r="AA74" s="79"/>
      <c r="AB74" s="343" t="str">
        <f>IF(AA74="","",IF(VLOOKUP(AA74,'G-3 Multipliers'!$L$3:$N$6,2,FALSE)=0,"Spatial Data Missing",VLOOKUP(AA74,'G-3 Multipliers'!$L$3:$N$6,2,FALSE)))</f>
        <v/>
      </c>
      <c r="AC74" s="345" t="str">
        <f>IF(AA74="","",IF(VLOOKUP(AA74,'G-3 Multipliers'!$L$3:$N$6,3,FALSE)=0,"Spatial Data Missing",VLOOKUP(AA74,'G-3 Multipliers'!$L$3:$N$6,3,FALSE)))</f>
        <v/>
      </c>
      <c r="AD74" s="351" t="str">
        <f t="shared" si="0"/>
        <v/>
      </c>
      <c r="AE74" s="94"/>
      <c r="AF74" s="94"/>
      <c r="AG74" s="343" t="str">
        <f t="shared" si="4"/>
        <v/>
      </c>
      <c r="AH74" s="591" t="str">
        <f t="shared" si="5"/>
        <v/>
      </c>
      <c r="AI74" s="353" t="str">
        <f>IF(AH74="Check Data","Check Data",IFERROR(VLOOKUP(AH74,'G-4 Temporal multipliers'!$A$4:$C$36,3,FALSE),""))</f>
        <v/>
      </c>
      <c r="AJ74" s="77" t="str">
        <f>IF(S74="","",VLOOKUP(S74,'G-3 Multipliers'!$A$2:$E$130,4,FALSE))</f>
        <v/>
      </c>
      <c r="AK74" s="348" t="str">
        <f t="shared" si="6"/>
        <v/>
      </c>
      <c r="AL74" s="348" t="str">
        <f t="shared" si="7"/>
        <v/>
      </c>
      <c r="AM74" s="607" t="str">
        <f>IFERROR(IF(F74="","",IF(AH74="Check Data","Check Data",VLOOKUP(AL74, 'G-3 Multipliers'!$P$2:$Q$6,2,FALSE))),””)</f>
        <v/>
      </c>
      <c r="AN74" s="81" t="str">
        <f t="shared" si="8"/>
        <v/>
      </c>
      <c r="AO74" s="355"/>
      <c r="AP74" s="356"/>
    </row>
    <row r="75" spans="1:42" x14ac:dyDescent="0.25">
      <c r="A75" s="52" t="str">
        <f>IF(E75="","",IF(ISNA(VLOOKUP($E75,'A-1 Site Habitat Baseline'!$D$1:$O$258,2,FALSE)),"",(VLOOKUP($E75,'A-1 Site Habitat Baseline'!$D$1:$O$258,2,FALSE))))</f>
        <v/>
      </c>
      <c r="B75" s="52" t="str">
        <f>IF(E75="","",IF(ISNA(VLOOKUP($E75,'A-1 Site Habitat Baseline'!$D$1:$O$258,3,FALSE)),"",(VLOOKUP($E75,'A-1 Site Habitat Baseline'!$D$1:$O$258,3,FALSE))))</f>
        <v/>
      </c>
      <c r="C75" s="52" t="str">
        <f>IFERROR(INDEX('G-8 Condition Look up'!$I$4:$I$131,MATCH(S75,'G-8 Condition Look up'!$A$4:$A$131,0)),"")</f>
        <v/>
      </c>
      <c r="E75" s="342" t="str">
        <f>'A-1 Site Habitat Baseline'!AL74</f>
        <v/>
      </c>
      <c r="F75" s="343" t="str">
        <f>IF(E75="","",IF(ISNA(VLOOKUP($E75,'A-1 Site Habitat Baseline'!$D$1:$O$258,4,FALSE)),"",(VLOOKUP($E75,'A-1 Site Habitat Baseline'!$D$1:$O$258,4,FALSE))))</f>
        <v/>
      </c>
      <c r="G75" s="343" t="str">
        <f>IF(E75="","",IF(ISNA(VLOOKUP($E75,'A-1 Site Habitat Baseline'!$D$1:$O$258,5,FALSE)),"",(VLOOKUP($E75,'A-1 Site Habitat Baseline'!$D$1:$O$258,5,FALSE))))</f>
        <v/>
      </c>
      <c r="H75" s="343" t="str">
        <f>IF(E75="","",IF(ISNA(VLOOKUP($E75,'A-1 Site Habitat Baseline'!$D$1:$O$258,6,FALSE)),"",(VLOOKUP($E75,'A-1 Site Habitat Baseline'!$D$1:$O$258,6,FALSE))))</f>
        <v/>
      </c>
      <c r="I75" s="343" t="str">
        <f>IF(E75="","",IF(ISNA(VLOOKUP($E75,'A-1 Site Habitat Baseline'!$D$1:$O$258,7,FALSE)),"",(VLOOKUP($E75,'A-1 Site Habitat Baseline'!$D$1:$O$258,7,FALSE))))</f>
        <v/>
      </c>
      <c r="J75" s="343" t="str">
        <f>IF(E75="","",IF(ISNA(VLOOKUP($E75,'A-1 Site Habitat Baseline'!$D$1:$O$258,8,FALSE)),"",(VLOOKUP($E75,'A-1 Site Habitat Baseline'!$D$1:$O$258,8,FALSE))))</f>
        <v/>
      </c>
      <c r="K75" s="343" t="str">
        <f>IF(E75="","",IF(ISNA(VLOOKUP($E75,'A-1 Site Habitat Baseline'!$D$1:$O$258,9,FALSE)),"",(VLOOKUP($E75,'A-1 Site Habitat Baseline'!$D$1:$O$258,9,FALSE))))</f>
        <v/>
      </c>
      <c r="L75" s="343" t="str">
        <f>IF(E75="","",IF(ISNA(VLOOKUP($E75,'A-1 Site Habitat Baseline'!$D$1:$O$258,11,FALSE)),"",(VLOOKUP($E75,'A-1 Site Habitat Baseline'!$D$1:$O$258,11,FALSE))))</f>
        <v/>
      </c>
      <c r="M75" s="343" t="str">
        <f>IF(E75="","",IF(ISNA(VLOOKUP($E75,'A-1 Site Habitat Baseline'!$D$1:$O$258,12,FALSE)),"",(VLOOKUP($E75,'A-1 Site Habitat Baseline'!$D$1:$O$258,12,FALSE))))</f>
        <v/>
      </c>
      <c r="N75" s="344" t="str">
        <f>IF(E75="","",IF(ISNA(VLOOKUP($E75,'A-1 Site Habitat Baseline'!$D$1:$X$258,14,FALSE)),"",(VLOOKUP($E75,'A-1 Site Habitat Baseline'!$D$1:$X$258,14,FALSE))))</f>
        <v/>
      </c>
      <c r="O75" s="345" t="str">
        <f>IF(E75="","",IF(ISNA(VLOOKUP($E75,'A-1 Site Habitat Baseline'!$D$1:$X$258,16,FALSE)),"",(VLOOKUP($E75,'A-1 Site Habitat Baseline'!$D$1:$X$258,13,FALSE))))</f>
        <v/>
      </c>
      <c r="P75" s="346" t="str">
        <f>IFERROR(INDEX('G-1 All Habitats'!$AG$3:$AG$15,MATCH(Q75,'G-1 All Habitats'!$AF$3:$AF$15,0)),"")</f>
        <v/>
      </c>
      <c r="Q75" s="347"/>
      <c r="R75" s="347"/>
      <c r="S75" s="605" t="str">
        <f>IFERROR(INDEX('G-1 All Habitats'!$B$3:$B$130,MATCH(R75,'G-1 All Habitats'!$A$3:$A$130,0)),"")</f>
        <v/>
      </c>
      <c r="T75" s="77" t="str">
        <f t="shared" si="9"/>
        <v/>
      </c>
      <c r="U75" s="78" t="str">
        <f t="shared" si="2"/>
        <v/>
      </c>
      <c r="V75" s="350" t="str">
        <f t="shared" si="3"/>
        <v/>
      </c>
      <c r="W75" s="343" t="str">
        <f>IF(S75="","",VLOOKUP(S75,'G-1 All Habitats'!$B$2:$M$130,10,FALSE))</f>
        <v/>
      </c>
      <c r="X75" s="343" t="str">
        <f>IFERROR(VLOOKUP(W75,'G-1 All Habitats'!$V$3:$W$7,2,FALSE),"")</f>
        <v/>
      </c>
      <c r="Y75" s="91"/>
      <c r="Z75" s="345" t="str">
        <f>IFERROR(INDEX('G-8 Condition Look up'!$A$3:$H$131,MATCH(S75,'G-8 Condition Look up'!$A$3:$A$131,0),MATCH(Y75,'G-8 Condition Look up'!$A$3:$H$3,0)),"")</f>
        <v/>
      </c>
      <c r="AA75" s="79"/>
      <c r="AB75" s="343" t="str">
        <f>IF(AA75="","",IF(VLOOKUP(AA75,'G-3 Multipliers'!$L$3:$N$6,2,FALSE)=0,"Spatial Data Missing",VLOOKUP(AA75,'G-3 Multipliers'!$L$3:$N$6,2,FALSE)))</f>
        <v/>
      </c>
      <c r="AC75" s="345" t="str">
        <f>IF(AA75="","",IF(VLOOKUP(AA75,'G-3 Multipliers'!$L$3:$N$6,3,FALSE)=0,"Spatial Data Missing",VLOOKUP(AA75,'G-3 Multipliers'!$L$3:$N$6,3,FALSE)))</f>
        <v/>
      </c>
      <c r="AD75" s="351" t="str">
        <f t="shared" si="0"/>
        <v/>
      </c>
      <c r="AE75" s="94"/>
      <c r="AF75" s="94"/>
      <c r="AG75" s="343" t="str">
        <f t="shared" si="4"/>
        <v/>
      </c>
      <c r="AH75" s="591" t="str">
        <f t="shared" si="5"/>
        <v/>
      </c>
      <c r="AI75" s="353" t="str">
        <f>IF(AH75="Check Data","Check Data",IFERROR(VLOOKUP(AH75,'G-4 Temporal multipliers'!$A$4:$C$36,3,FALSE),""))</f>
        <v/>
      </c>
      <c r="AJ75" s="77" t="str">
        <f>IF(S75="","",VLOOKUP(S75,'G-3 Multipliers'!$A$2:$E$130,4,FALSE))</f>
        <v/>
      </c>
      <c r="AK75" s="348" t="str">
        <f t="shared" si="6"/>
        <v/>
      </c>
      <c r="AL75" s="348" t="str">
        <f t="shared" si="7"/>
        <v/>
      </c>
      <c r="AM75" s="607" t="str">
        <f>IFERROR(IF(F75="","",IF(AH75="Check Data","Check Data",VLOOKUP(AL75, 'G-3 Multipliers'!$P$2:$Q$6,2,FALSE))),””)</f>
        <v/>
      </c>
      <c r="AN75" s="81" t="str">
        <f t="shared" si="8"/>
        <v/>
      </c>
      <c r="AO75" s="355"/>
      <c r="AP75" s="356"/>
    </row>
    <row r="76" spans="1:42" x14ac:dyDescent="0.25">
      <c r="A76" s="52" t="str">
        <f>IF(E76="","",IF(ISNA(VLOOKUP($E76,'A-1 Site Habitat Baseline'!$D$1:$O$258,2,FALSE)),"",(VLOOKUP($E76,'A-1 Site Habitat Baseline'!$D$1:$O$258,2,FALSE))))</f>
        <v/>
      </c>
      <c r="B76" s="52" t="str">
        <f>IF(E76="","",IF(ISNA(VLOOKUP($E76,'A-1 Site Habitat Baseline'!$D$1:$O$258,3,FALSE)),"",(VLOOKUP($E76,'A-1 Site Habitat Baseline'!$D$1:$O$258,3,FALSE))))</f>
        <v/>
      </c>
      <c r="C76" s="52" t="str">
        <f>IFERROR(INDEX('G-8 Condition Look up'!$I$4:$I$131,MATCH(S76,'G-8 Condition Look up'!$A$4:$A$131,0)),"")</f>
        <v/>
      </c>
      <c r="E76" s="342" t="str">
        <f>'A-1 Site Habitat Baseline'!AL75</f>
        <v/>
      </c>
      <c r="F76" s="343" t="str">
        <f>IF(E76="","",IF(ISNA(VLOOKUP($E76,'A-1 Site Habitat Baseline'!$D$1:$O$258,4,FALSE)),"",(VLOOKUP($E76,'A-1 Site Habitat Baseline'!$D$1:$O$258,4,FALSE))))</f>
        <v/>
      </c>
      <c r="G76" s="343" t="str">
        <f>IF(E76="","",IF(ISNA(VLOOKUP($E76,'A-1 Site Habitat Baseline'!$D$1:$O$258,5,FALSE)),"",(VLOOKUP($E76,'A-1 Site Habitat Baseline'!$D$1:$O$258,5,FALSE))))</f>
        <v/>
      </c>
      <c r="H76" s="343" t="str">
        <f>IF(E76="","",IF(ISNA(VLOOKUP($E76,'A-1 Site Habitat Baseline'!$D$1:$O$258,6,FALSE)),"",(VLOOKUP($E76,'A-1 Site Habitat Baseline'!$D$1:$O$258,6,FALSE))))</f>
        <v/>
      </c>
      <c r="I76" s="343" t="str">
        <f>IF(E76="","",IF(ISNA(VLOOKUP($E76,'A-1 Site Habitat Baseline'!$D$1:$O$258,7,FALSE)),"",(VLOOKUP($E76,'A-1 Site Habitat Baseline'!$D$1:$O$258,7,FALSE))))</f>
        <v/>
      </c>
      <c r="J76" s="343" t="str">
        <f>IF(E76="","",IF(ISNA(VLOOKUP($E76,'A-1 Site Habitat Baseline'!$D$1:$O$258,8,FALSE)),"",(VLOOKUP($E76,'A-1 Site Habitat Baseline'!$D$1:$O$258,8,FALSE))))</f>
        <v/>
      </c>
      <c r="K76" s="343" t="str">
        <f>IF(E76="","",IF(ISNA(VLOOKUP($E76,'A-1 Site Habitat Baseline'!$D$1:$O$258,9,FALSE)),"",(VLOOKUP($E76,'A-1 Site Habitat Baseline'!$D$1:$O$258,9,FALSE))))</f>
        <v/>
      </c>
      <c r="L76" s="343" t="str">
        <f>IF(E76="","",IF(ISNA(VLOOKUP($E76,'A-1 Site Habitat Baseline'!$D$1:$O$258,11,FALSE)),"",(VLOOKUP($E76,'A-1 Site Habitat Baseline'!$D$1:$O$258,11,FALSE))))</f>
        <v/>
      </c>
      <c r="M76" s="343" t="str">
        <f>IF(E76="","",IF(ISNA(VLOOKUP($E76,'A-1 Site Habitat Baseline'!$D$1:$O$258,12,FALSE)),"",(VLOOKUP($E76,'A-1 Site Habitat Baseline'!$D$1:$O$258,12,FALSE))))</f>
        <v/>
      </c>
      <c r="N76" s="344" t="str">
        <f>IF(E76="","",IF(ISNA(VLOOKUP($E76,'A-1 Site Habitat Baseline'!$D$1:$X$258,14,FALSE)),"",(VLOOKUP($E76,'A-1 Site Habitat Baseline'!$D$1:$X$258,14,FALSE))))</f>
        <v/>
      </c>
      <c r="O76" s="345" t="str">
        <f>IF(E76="","",IF(ISNA(VLOOKUP($E76,'A-1 Site Habitat Baseline'!$D$1:$X$258,16,FALSE)),"",(VLOOKUP($E76,'A-1 Site Habitat Baseline'!$D$1:$X$258,13,FALSE))))</f>
        <v/>
      </c>
      <c r="P76" s="346" t="str">
        <f>IFERROR(INDEX('G-1 All Habitats'!$AG$3:$AG$15,MATCH(Q76,'G-1 All Habitats'!$AF$3:$AF$15,0)),"")</f>
        <v/>
      </c>
      <c r="Q76" s="347"/>
      <c r="R76" s="347"/>
      <c r="S76" s="605" t="str">
        <f>IFERROR(INDEX('G-1 All Habitats'!$B$3:$B$130,MATCH(R76,'G-1 All Habitats'!$A$3:$A$130,0)),"")</f>
        <v/>
      </c>
      <c r="T76" s="77" t="str">
        <f t="shared" si="9"/>
        <v/>
      </c>
      <c r="U76" s="78" t="str">
        <f t="shared" si="2"/>
        <v/>
      </c>
      <c r="V76" s="350" t="str">
        <f t="shared" ref="V76:V139" si="10">IF(S76="","",VLOOKUP(E76,BaselineHabSite,17,FALSE))</f>
        <v/>
      </c>
      <c r="W76" s="343" t="str">
        <f>IF(S76="","",VLOOKUP(S76,'G-1 All Habitats'!$B$2:$M$130,10,FALSE))</f>
        <v/>
      </c>
      <c r="X76" s="343" t="str">
        <f>IFERROR(VLOOKUP(W76,'G-1 All Habitats'!$V$3:$W$7,2,FALSE),"")</f>
        <v/>
      </c>
      <c r="Y76" s="91"/>
      <c r="Z76" s="345" t="str">
        <f>IFERROR(INDEX('G-8 Condition Look up'!$A$3:$H$131,MATCH(S76,'G-8 Condition Look up'!$A$3:$A$131,0),MATCH(Y76,'G-8 Condition Look up'!$A$3:$H$3,0)),"")</f>
        <v/>
      </c>
      <c r="AA76" s="79"/>
      <c r="AB76" s="343" t="str">
        <f>IF(AA76="","",IF(VLOOKUP(AA76,'G-3 Multipliers'!$L$3:$N$6,2,FALSE)=0,"Spatial Data Missing",VLOOKUP(AA76,'G-3 Multipliers'!$L$3:$N$6,2,FALSE)))</f>
        <v/>
      </c>
      <c r="AC76" s="345" t="str">
        <f>IF(AA76="","",IF(VLOOKUP(AA76,'G-3 Multipliers'!$L$3:$N$6,3,FALSE)=0,"Spatial Data Missing",VLOOKUP(AA76,'G-3 Multipliers'!$L$3:$N$6,3,FALSE)))</f>
        <v/>
      </c>
      <c r="AD76" s="351" t="str">
        <f t="shared" ref="AD76:AD139" si="11">IFERROR(IF(OR(LEFT(U76,5)="Error",LEFT(T76,5)="Error"),"Check Data",INDEX(EnhanceTemporal,MATCH(S76,EnhanceHabitat,0),MATCH(U76,EnhanceCondition,0))),"")</f>
        <v/>
      </c>
      <c r="AE76" s="94"/>
      <c r="AF76" s="94"/>
      <c r="AG76" s="343" t="str">
        <f t="shared" si="4"/>
        <v/>
      </c>
      <c r="AH76" s="591" t="str">
        <f t="shared" si="5"/>
        <v/>
      </c>
      <c r="AI76" s="353" t="str">
        <f>IF(AH76="Check Data","Check Data",IFERROR(VLOOKUP(AH76,'G-4 Temporal multipliers'!$A$4:$C$36,3,FALSE),""))</f>
        <v/>
      </c>
      <c r="AJ76" s="77" t="str">
        <f>IF(S76="","",VLOOKUP(S76,'G-3 Multipliers'!$A$2:$E$130,4,FALSE))</f>
        <v/>
      </c>
      <c r="AK76" s="348" t="str">
        <f t="shared" si="6"/>
        <v/>
      </c>
      <c r="AL76" s="348" t="str">
        <f t="shared" si="7"/>
        <v/>
      </c>
      <c r="AM76" s="607" t="str">
        <f>IFERROR(IF(F76="","",IF(AH76="Check Data","Check Data",VLOOKUP(AL76, 'G-3 Multipliers'!$P$2:$Q$6,2,FALSE))),””)</f>
        <v/>
      </c>
      <c r="AN76" s="81" t="str">
        <f t="shared" ref="AN76:AN139" si="12">IFERROR(((((V76*X76*Z76)-(V76*I76*K76))*(AM76*AI76))+(V76*I76*K76))*(AC76),"")</f>
        <v/>
      </c>
      <c r="AO76" s="355"/>
      <c r="AP76" s="356"/>
    </row>
    <row r="77" spans="1:42" x14ac:dyDescent="0.25">
      <c r="A77" s="52" t="str">
        <f>IF(E77="","",IF(ISNA(VLOOKUP($E77,'A-1 Site Habitat Baseline'!$D$1:$O$258,2,FALSE)),"",(VLOOKUP($E77,'A-1 Site Habitat Baseline'!$D$1:$O$258,2,FALSE))))</f>
        <v/>
      </c>
      <c r="B77" s="52" t="str">
        <f>IF(E77="","",IF(ISNA(VLOOKUP($E77,'A-1 Site Habitat Baseline'!$D$1:$O$258,3,FALSE)),"",(VLOOKUP($E77,'A-1 Site Habitat Baseline'!$D$1:$O$258,3,FALSE))))</f>
        <v/>
      </c>
      <c r="C77" s="52" t="str">
        <f>IFERROR(INDEX('G-8 Condition Look up'!$I$4:$I$131,MATCH(S77,'G-8 Condition Look up'!$A$4:$A$131,0)),"")</f>
        <v/>
      </c>
      <c r="E77" s="342" t="str">
        <f>'A-1 Site Habitat Baseline'!AL76</f>
        <v/>
      </c>
      <c r="F77" s="343" t="str">
        <f>IF(E77="","",IF(ISNA(VLOOKUP($E77,'A-1 Site Habitat Baseline'!$D$1:$O$258,4,FALSE)),"",(VLOOKUP($E77,'A-1 Site Habitat Baseline'!$D$1:$O$258,4,FALSE))))</f>
        <v/>
      </c>
      <c r="G77" s="343" t="str">
        <f>IF(E77="","",IF(ISNA(VLOOKUP($E77,'A-1 Site Habitat Baseline'!$D$1:$O$258,5,FALSE)),"",(VLOOKUP($E77,'A-1 Site Habitat Baseline'!$D$1:$O$258,5,FALSE))))</f>
        <v/>
      </c>
      <c r="H77" s="343" t="str">
        <f>IF(E77="","",IF(ISNA(VLOOKUP($E77,'A-1 Site Habitat Baseline'!$D$1:$O$258,6,FALSE)),"",(VLOOKUP($E77,'A-1 Site Habitat Baseline'!$D$1:$O$258,6,FALSE))))</f>
        <v/>
      </c>
      <c r="I77" s="343" t="str">
        <f>IF(E77="","",IF(ISNA(VLOOKUP($E77,'A-1 Site Habitat Baseline'!$D$1:$O$258,7,FALSE)),"",(VLOOKUP($E77,'A-1 Site Habitat Baseline'!$D$1:$O$258,7,FALSE))))</f>
        <v/>
      </c>
      <c r="J77" s="343" t="str">
        <f>IF(E77="","",IF(ISNA(VLOOKUP($E77,'A-1 Site Habitat Baseline'!$D$1:$O$258,8,FALSE)),"",(VLOOKUP($E77,'A-1 Site Habitat Baseline'!$D$1:$O$258,8,FALSE))))</f>
        <v/>
      </c>
      <c r="K77" s="343" t="str">
        <f>IF(E77="","",IF(ISNA(VLOOKUP($E77,'A-1 Site Habitat Baseline'!$D$1:$O$258,9,FALSE)),"",(VLOOKUP($E77,'A-1 Site Habitat Baseline'!$D$1:$O$258,9,FALSE))))</f>
        <v/>
      </c>
      <c r="L77" s="343" t="str">
        <f>IF(E77="","",IF(ISNA(VLOOKUP($E77,'A-1 Site Habitat Baseline'!$D$1:$O$258,11,FALSE)),"",(VLOOKUP($E77,'A-1 Site Habitat Baseline'!$D$1:$O$258,11,FALSE))))</f>
        <v/>
      </c>
      <c r="M77" s="343" t="str">
        <f>IF(E77="","",IF(ISNA(VLOOKUP($E77,'A-1 Site Habitat Baseline'!$D$1:$O$258,12,FALSE)),"",(VLOOKUP($E77,'A-1 Site Habitat Baseline'!$D$1:$O$258,12,FALSE))))</f>
        <v/>
      </c>
      <c r="N77" s="344" t="str">
        <f>IF(E77="","",IF(ISNA(VLOOKUP($E77,'A-1 Site Habitat Baseline'!$D$1:$X$258,14,FALSE)),"",(VLOOKUP($E77,'A-1 Site Habitat Baseline'!$D$1:$X$258,14,FALSE))))</f>
        <v/>
      </c>
      <c r="O77" s="345" t="str">
        <f>IF(E77="","",IF(ISNA(VLOOKUP($E77,'A-1 Site Habitat Baseline'!$D$1:$X$258,16,FALSE)),"",(VLOOKUP($E77,'A-1 Site Habitat Baseline'!$D$1:$X$258,13,FALSE))))</f>
        <v/>
      </c>
      <c r="P77" s="346" t="str">
        <f>IFERROR(INDEX('G-1 All Habitats'!$AG$3:$AG$15,MATCH(Q77,'G-1 All Habitats'!$AF$3:$AF$15,0)),"")</f>
        <v/>
      </c>
      <c r="Q77" s="347"/>
      <c r="R77" s="347"/>
      <c r="S77" s="605" t="str">
        <f>IFERROR(INDEX('G-1 All Habitats'!$B$3:$B$130,MATCH(R77,'G-1 All Habitats'!$A$3:$A$130,0)),"")</f>
        <v/>
      </c>
      <c r="T77" s="77" t="str">
        <f t="shared" si="9"/>
        <v/>
      </c>
      <c r="U77" s="78" t="str">
        <f t="shared" ref="U77:U140" si="13">IF(F77="","",IF(AND(LEFT(F77,55)&lt;&gt;LEFT(S77,55),T77= "High - High"),"Error - Not like for like",IF(AND(I77=X77,K77&gt;Z77),"Error - Can not reduce condition",IF(AND(I77=X77,K77=Z77),"Error - No enhancement",IF(X77&lt;I77,"Error Trading Down",IF(AND(F77&lt;&gt;S77,I77&lt;X77),"Lower Distinctiveness Habitat"&amp;" - "&amp;Y77,J77&amp;" - "&amp;Y77))))))</f>
        <v/>
      </c>
      <c r="V77" s="350" t="str">
        <f t="shared" si="10"/>
        <v/>
      </c>
      <c r="W77" s="343" t="str">
        <f>IF(S77="","",VLOOKUP(S77,'G-1 All Habitats'!$B$2:$M$130,10,FALSE))</f>
        <v/>
      </c>
      <c r="X77" s="343" t="str">
        <f>IFERROR(VLOOKUP(W77,'G-1 All Habitats'!$V$3:$W$7,2,FALSE),"")</f>
        <v/>
      </c>
      <c r="Y77" s="91"/>
      <c r="Z77" s="345" t="str">
        <f>IFERROR(INDEX('G-8 Condition Look up'!$A$3:$H$131,MATCH(S77,'G-8 Condition Look up'!$A$3:$A$131,0),MATCH(Y77,'G-8 Condition Look up'!$A$3:$H$3,0)),"")</f>
        <v/>
      </c>
      <c r="AA77" s="79"/>
      <c r="AB77" s="343" t="str">
        <f>IF(AA77="","",IF(VLOOKUP(AA77,'G-3 Multipliers'!$L$3:$N$6,2,FALSE)=0,"Spatial Data Missing",VLOOKUP(AA77,'G-3 Multipliers'!$L$3:$N$6,2,FALSE)))</f>
        <v/>
      </c>
      <c r="AC77" s="345" t="str">
        <f>IF(AA77="","",IF(VLOOKUP(AA77,'G-3 Multipliers'!$L$3:$N$6,3,FALSE)=0,"Spatial Data Missing",VLOOKUP(AA77,'G-3 Multipliers'!$L$3:$N$6,3,FALSE)))</f>
        <v/>
      </c>
      <c r="AD77" s="351" t="str">
        <f t="shared" si="11"/>
        <v/>
      </c>
      <c r="AE77" s="94"/>
      <c r="AF77" s="94"/>
      <c r="AG77" s="343" t="str">
        <f t="shared" ref="AG77:AG140" si="14">IF(AD77="","",IF(AD77="Check Data","Check Data",IF(R77="","",IF(AND(AE77&gt;0,AF77&gt;0),"Error -both advance and delayed habitat creation",IF(AND(OR(AE77="Habitat already in target condition",AD77&lt;=AE77),AF77=0),"Check details - Is there evidence that habitat has reached target condition?",IF(O76="","",IF(AE77&gt;0,"Check details - Is there evidence habitat creation started/in place?",IF(AF77&gt;0,"Check details- Delay in starting habitat in required condition?","Standard time to target condition applied"))))))))</f>
        <v/>
      </c>
      <c r="AH77" s="591" t="str">
        <f t="shared" ref="AH77:AH140" si="15">IF(LEFT(AG77,5)="Error","Check Data",IF(AG77="Check Data","Check Data",IF(AD77="","",IF(AD77="Not Possible","Check Data",IF(AND(AD77="30+",AE77=0),"30+",IF(AND(AD77="30+",AE77="30+"),0,IF(AND(AD77="30+",AE77&lt;30),30-AE77,IF(AD77="30+",30-AE77,IF(AE77&gt;AD77,0,IF(AF77="30+","30+",IF(AD77+AF77&gt;30,"30+",IF(AD77+AF77&gt;30,"30+",IF(AD77-AE77&gt;30,"30+",IF(AD77+AF77-AE77&gt;0,AD77+AF77-AE77,IF(AD77-AE77&gt;0,AD77-AE77,AD77+AF77-AE77)))))))))))))))</f>
        <v/>
      </c>
      <c r="AI77" s="353" t="str">
        <f>IF(AH77="Check Data","Check Data",IFERROR(VLOOKUP(AH77,'G-4 Temporal multipliers'!$A$4:$C$36,3,FALSE),""))</f>
        <v/>
      </c>
      <c r="AJ77" s="77" t="str">
        <f>IF(S77="","",VLOOKUP(S77,'G-3 Multipliers'!$A$2:$E$130,4,FALSE))</f>
        <v/>
      </c>
      <c r="AK77" s="348" t="str">
        <f t="shared" ref="AK77:AK140" si="16">IF(E77="","",IF(AG77="Check details - Is there evidence that habitat has reached target condition?","Low Difficulty - only applicable if all habitat created before losses","Standard difficulty applied"))</f>
        <v/>
      </c>
      <c r="AL77" s="348" t="str">
        <f t="shared" ref="AL77:AL140" si="17">(IF(AND(AK77="Standard difficulty applied",AD77&gt;AE77),AJ77,IF(AND(AK77="Low Difficulty - only applicable if all habitat created before losses",AE77&gt;=AD77),"Low", AJ77)))</f>
        <v/>
      </c>
      <c r="AM77" s="607" t="str">
        <f>IFERROR(IF(F77="","",IF(AH77="Check Data","Check Data",VLOOKUP(AL77, 'G-3 Multipliers'!$P$2:$Q$6,2,FALSE))),””)</f>
        <v/>
      </c>
      <c r="AN77" s="81" t="str">
        <f t="shared" si="12"/>
        <v/>
      </c>
      <c r="AO77" s="355"/>
      <c r="AP77" s="356"/>
    </row>
    <row r="78" spans="1:42" x14ac:dyDescent="0.25">
      <c r="A78" s="52" t="str">
        <f>IF(E78="","",IF(ISNA(VLOOKUP($E78,'A-1 Site Habitat Baseline'!$D$1:$O$258,2,FALSE)),"",(VLOOKUP($E78,'A-1 Site Habitat Baseline'!$D$1:$O$258,2,FALSE))))</f>
        <v/>
      </c>
      <c r="B78" s="52" t="str">
        <f>IF(E78="","",IF(ISNA(VLOOKUP($E78,'A-1 Site Habitat Baseline'!$D$1:$O$258,3,FALSE)),"",(VLOOKUP($E78,'A-1 Site Habitat Baseline'!$D$1:$O$258,3,FALSE))))</f>
        <v/>
      </c>
      <c r="C78" s="52" t="str">
        <f>IFERROR(INDEX('G-8 Condition Look up'!$I$4:$I$131,MATCH(S78,'G-8 Condition Look up'!$A$4:$A$131,0)),"")</f>
        <v/>
      </c>
      <c r="E78" s="342" t="str">
        <f>'A-1 Site Habitat Baseline'!AL77</f>
        <v/>
      </c>
      <c r="F78" s="343" t="str">
        <f>IF(E78="","",IF(ISNA(VLOOKUP($E78,'A-1 Site Habitat Baseline'!$D$1:$O$258,4,FALSE)),"",(VLOOKUP($E78,'A-1 Site Habitat Baseline'!$D$1:$O$258,4,FALSE))))</f>
        <v/>
      </c>
      <c r="G78" s="343" t="str">
        <f>IF(E78="","",IF(ISNA(VLOOKUP($E78,'A-1 Site Habitat Baseline'!$D$1:$O$258,5,FALSE)),"",(VLOOKUP($E78,'A-1 Site Habitat Baseline'!$D$1:$O$258,5,FALSE))))</f>
        <v/>
      </c>
      <c r="H78" s="343" t="str">
        <f>IF(E78="","",IF(ISNA(VLOOKUP($E78,'A-1 Site Habitat Baseline'!$D$1:$O$258,6,FALSE)),"",(VLOOKUP($E78,'A-1 Site Habitat Baseline'!$D$1:$O$258,6,FALSE))))</f>
        <v/>
      </c>
      <c r="I78" s="343" t="str">
        <f>IF(E78="","",IF(ISNA(VLOOKUP($E78,'A-1 Site Habitat Baseline'!$D$1:$O$258,7,FALSE)),"",(VLOOKUP($E78,'A-1 Site Habitat Baseline'!$D$1:$O$258,7,FALSE))))</f>
        <v/>
      </c>
      <c r="J78" s="343" t="str">
        <f>IF(E78="","",IF(ISNA(VLOOKUP($E78,'A-1 Site Habitat Baseline'!$D$1:$O$258,8,FALSE)),"",(VLOOKUP($E78,'A-1 Site Habitat Baseline'!$D$1:$O$258,8,FALSE))))</f>
        <v/>
      </c>
      <c r="K78" s="343" t="str">
        <f>IF(E78="","",IF(ISNA(VLOOKUP($E78,'A-1 Site Habitat Baseline'!$D$1:$O$258,9,FALSE)),"",(VLOOKUP($E78,'A-1 Site Habitat Baseline'!$D$1:$O$258,9,FALSE))))</f>
        <v/>
      </c>
      <c r="L78" s="343" t="str">
        <f>IF(E78="","",IF(ISNA(VLOOKUP($E78,'A-1 Site Habitat Baseline'!$D$1:$O$258,11,FALSE)),"",(VLOOKUP($E78,'A-1 Site Habitat Baseline'!$D$1:$O$258,11,FALSE))))</f>
        <v/>
      </c>
      <c r="M78" s="343" t="str">
        <f>IF(E78="","",IF(ISNA(VLOOKUP($E78,'A-1 Site Habitat Baseline'!$D$1:$O$258,12,FALSE)),"",(VLOOKUP($E78,'A-1 Site Habitat Baseline'!$D$1:$O$258,12,FALSE))))</f>
        <v/>
      </c>
      <c r="N78" s="344" t="str">
        <f>IF(E78="","",IF(ISNA(VLOOKUP($E78,'A-1 Site Habitat Baseline'!$D$1:$X$258,14,FALSE)),"",(VLOOKUP($E78,'A-1 Site Habitat Baseline'!$D$1:$X$258,14,FALSE))))</f>
        <v/>
      </c>
      <c r="O78" s="345" t="str">
        <f>IF(E78="","",IF(ISNA(VLOOKUP($E78,'A-1 Site Habitat Baseline'!$D$1:$X$258,16,FALSE)),"",(VLOOKUP($E78,'A-1 Site Habitat Baseline'!$D$1:$X$258,13,FALSE))))</f>
        <v/>
      </c>
      <c r="P78" s="346" t="str">
        <f>IFERROR(INDEX('G-1 All Habitats'!$AG$3:$AG$15,MATCH(Q78,'G-1 All Habitats'!$AF$3:$AF$15,0)),"")</f>
        <v/>
      </c>
      <c r="Q78" s="347"/>
      <c r="R78" s="347"/>
      <c r="S78" s="605" t="str">
        <f>IFERROR(INDEX('G-1 All Habitats'!$B$3:$B$130,MATCH(R78,'G-1 All Habitats'!$A$3:$A$130,0)),"")</f>
        <v/>
      </c>
      <c r="T78" s="77" t="str">
        <f t="shared" si="9"/>
        <v/>
      </c>
      <c r="U78" s="78" t="str">
        <f t="shared" si="13"/>
        <v/>
      </c>
      <c r="V78" s="350" t="str">
        <f t="shared" si="10"/>
        <v/>
      </c>
      <c r="W78" s="343" t="str">
        <f>IF(S78="","",VLOOKUP(S78,'G-1 All Habitats'!$B$2:$M$130,10,FALSE))</f>
        <v/>
      </c>
      <c r="X78" s="343" t="str">
        <f>IFERROR(VLOOKUP(W78,'G-1 All Habitats'!$V$3:$W$7,2,FALSE),"")</f>
        <v/>
      </c>
      <c r="Y78" s="91"/>
      <c r="Z78" s="345" t="str">
        <f>IFERROR(INDEX('G-8 Condition Look up'!$A$3:$H$131,MATCH(S78,'G-8 Condition Look up'!$A$3:$A$131,0),MATCH(Y78,'G-8 Condition Look up'!$A$3:$H$3,0)),"")</f>
        <v/>
      </c>
      <c r="AA78" s="79"/>
      <c r="AB78" s="343" t="str">
        <f>IF(AA78="","",IF(VLOOKUP(AA78,'G-3 Multipliers'!$L$3:$N$6,2,FALSE)=0,"Spatial Data Missing",VLOOKUP(AA78,'G-3 Multipliers'!$L$3:$N$6,2,FALSE)))</f>
        <v/>
      </c>
      <c r="AC78" s="345" t="str">
        <f>IF(AA78="","",IF(VLOOKUP(AA78,'G-3 Multipliers'!$L$3:$N$6,3,FALSE)=0,"Spatial Data Missing",VLOOKUP(AA78,'G-3 Multipliers'!$L$3:$N$6,3,FALSE)))</f>
        <v/>
      </c>
      <c r="AD78" s="351" t="str">
        <f t="shared" si="11"/>
        <v/>
      </c>
      <c r="AE78" s="94"/>
      <c r="AF78" s="94"/>
      <c r="AG78" s="343" t="str">
        <f t="shared" si="14"/>
        <v/>
      </c>
      <c r="AH78" s="591" t="str">
        <f t="shared" si="15"/>
        <v/>
      </c>
      <c r="AI78" s="353" t="str">
        <f>IF(AH78="Check Data","Check Data",IFERROR(VLOOKUP(AH78,'G-4 Temporal multipliers'!$A$4:$C$36,3,FALSE),""))</f>
        <v/>
      </c>
      <c r="AJ78" s="77" t="str">
        <f>IF(S78="","",VLOOKUP(S78,'G-3 Multipliers'!$A$2:$E$130,4,FALSE))</f>
        <v/>
      </c>
      <c r="AK78" s="348" t="str">
        <f t="shared" si="16"/>
        <v/>
      </c>
      <c r="AL78" s="348" t="str">
        <f t="shared" si="17"/>
        <v/>
      </c>
      <c r="AM78" s="607" t="str">
        <f>IFERROR(IF(F78="","",IF(AH78="Check Data","Check Data",VLOOKUP(AL78, 'G-3 Multipliers'!$P$2:$Q$6,2,FALSE))),””)</f>
        <v/>
      </c>
      <c r="AN78" s="81" t="str">
        <f t="shared" si="12"/>
        <v/>
      </c>
      <c r="AO78" s="355"/>
      <c r="AP78" s="356"/>
    </row>
    <row r="79" spans="1:42" x14ac:dyDescent="0.25">
      <c r="A79" s="52" t="str">
        <f>IF(E79="","",IF(ISNA(VLOOKUP($E79,'A-1 Site Habitat Baseline'!$D$1:$O$258,2,FALSE)),"",(VLOOKUP($E79,'A-1 Site Habitat Baseline'!$D$1:$O$258,2,FALSE))))</f>
        <v/>
      </c>
      <c r="B79" s="52" t="str">
        <f>IF(E79="","",IF(ISNA(VLOOKUP($E79,'A-1 Site Habitat Baseline'!$D$1:$O$258,3,FALSE)),"",(VLOOKUP($E79,'A-1 Site Habitat Baseline'!$D$1:$O$258,3,FALSE))))</f>
        <v/>
      </c>
      <c r="C79" s="52" t="str">
        <f>IFERROR(INDEX('G-8 Condition Look up'!$I$4:$I$131,MATCH(S79,'G-8 Condition Look up'!$A$4:$A$131,0)),"")</f>
        <v/>
      </c>
      <c r="E79" s="342" t="str">
        <f>'A-1 Site Habitat Baseline'!AL78</f>
        <v/>
      </c>
      <c r="F79" s="343" t="str">
        <f>IF(E79="","",IF(ISNA(VLOOKUP($E79,'A-1 Site Habitat Baseline'!$D$1:$O$258,4,FALSE)),"",(VLOOKUP($E79,'A-1 Site Habitat Baseline'!$D$1:$O$258,4,FALSE))))</f>
        <v/>
      </c>
      <c r="G79" s="343" t="str">
        <f>IF(E79="","",IF(ISNA(VLOOKUP($E79,'A-1 Site Habitat Baseline'!$D$1:$O$258,5,FALSE)),"",(VLOOKUP($E79,'A-1 Site Habitat Baseline'!$D$1:$O$258,5,FALSE))))</f>
        <v/>
      </c>
      <c r="H79" s="343" t="str">
        <f>IF(E79="","",IF(ISNA(VLOOKUP($E79,'A-1 Site Habitat Baseline'!$D$1:$O$258,6,FALSE)),"",(VLOOKUP($E79,'A-1 Site Habitat Baseline'!$D$1:$O$258,6,FALSE))))</f>
        <v/>
      </c>
      <c r="I79" s="343" t="str">
        <f>IF(E79="","",IF(ISNA(VLOOKUP($E79,'A-1 Site Habitat Baseline'!$D$1:$O$258,7,FALSE)),"",(VLOOKUP($E79,'A-1 Site Habitat Baseline'!$D$1:$O$258,7,FALSE))))</f>
        <v/>
      </c>
      <c r="J79" s="343" t="str">
        <f>IF(E79="","",IF(ISNA(VLOOKUP($E79,'A-1 Site Habitat Baseline'!$D$1:$O$258,8,FALSE)),"",(VLOOKUP($E79,'A-1 Site Habitat Baseline'!$D$1:$O$258,8,FALSE))))</f>
        <v/>
      </c>
      <c r="K79" s="343" t="str">
        <f>IF(E79="","",IF(ISNA(VLOOKUP($E79,'A-1 Site Habitat Baseline'!$D$1:$O$258,9,FALSE)),"",(VLOOKUP($E79,'A-1 Site Habitat Baseline'!$D$1:$O$258,9,FALSE))))</f>
        <v/>
      </c>
      <c r="L79" s="343" t="str">
        <f>IF(E79="","",IF(ISNA(VLOOKUP($E79,'A-1 Site Habitat Baseline'!$D$1:$O$258,11,FALSE)),"",(VLOOKUP($E79,'A-1 Site Habitat Baseline'!$D$1:$O$258,11,FALSE))))</f>
        <v/>
      </c>
      <c r="M79" s="343" t="str">
        <f>IF(E79="","",IF(ISNA(VLOOKUP($E79,'A-1 Site Habitat Baseline'!$D$1:$O$258,12,FALSE)),"",(VLOOKUP($E79,'A-1 Site Habitat Baseline'!$D$1:$O$258,12,FALSE))))</f>
        <v/>
      </c>
      <c r="N79" s="344" t="str">
        <f>IF(E79="","",IF(ISNA(VLOOKUP($E79,'A-1 Site Habitat Baseline'!$D$1:$X$258,14,FALSE)),"",(VLOOKUP($E79,'A-1 Site Habitat Baseline'!$D$1:$X$258,14,FALSE))))</f>
        <v/>
      </c>
      <c r="O79" s="345" t="str">
        <f>IF(E79="","",IF(ISNA(VLOOKUP($E79,'A-1 Site Habitat Baseline'!$D$1:$X$258,16,FALSE)),"",(VLOOKUP($E79,'A-1 Site Habitat Baseline'!$D$1:$X$258,13,FALSE))))</f>
        <v/>
      </c>
      <c r="P79" s="346" t="str">
        <f>IFERROR(INDEX('G-1 All Habitats'!$AG$3:$AG$15,MATCH(Q79,'G-1 All Habitats'!$AF$3:$AF$15,0)),"")</f>
        <v/>
      </c>
      <c r="Q79" s="347"/>
      <c r="R79" s="347"/>
      <c r="S79" s="605" t="str">
        <f>IFERROR(INDEX('G-1 All Habitats'!$B$3:$B$130,MATCH(R79,'G-1 All Habitats'!$A$3:$A$130,0)),"")</f>
        <v/>
      </c>
      <c r="T79" s="77" t="str">
        <f t="shared" si="9"/>
        <v/>
      </c>
      <c r="U79" s="78" t="str">
        <f t="shared" si="13"/>
        <v/>
      </c>
      <c r="V79" s="350" t="str">
        <f t="shared" si="10"/>
        <v/>
      </c>
      <c r="W79" s="343" t="str">
        <f>IF(S79="","",VLOOKUP(S79,'G-1 All Habitats'!$B$2:$M$130,10,FALSE))</f>
        <v/>
      </c>
      <c r="X79" s="343" t="str">
        <f>IFERROR(VLOOKUP(W79,'G-1 All Habitats'!$V$3:$W$7,2,FALSE),"")</f>
        <v/>
      </c>
      <c r="Y79" s="91"/>
      <c r="Z79" s="345" t="str">
        <f>IFERROR(INDEX('G-8 Condition Look up'!$A$3:$H$131,MATCH(S79,'G-8 Condition Look up'!$A$3:$A$131,0),MATCH(Y79,'G-8 Condition Look up'!$A$3:$H$3,0)),"")</f>
        <v/>
      </c>
      <c r="AA79" s="79"/>
      <c r="AB79" s="343" t="str">
        <f>IF(AA79="","",IF(VLOOKUP(AA79,'G-3 Multipliers'!$L$3:$N$6,2,FALSE)=0,"Spatial Data Missing",VLOOKUP(AA79,'G-3 Multipliers'!$L$3:$N$6,2,FALSE)))</f>
        <v/>
      </c>
      <c r="AC79" s="345" t="str">
        <f>IF(AA79="","",IF(VLOOKUP(AA79,'G-3 Multipliers'!$L$3:$N$6,3,FALSE)=0,"Spatial Data Missing",VLOOKUP(AA79,'G-3 Multipliers'!$L$3:$N$6,3,FALSE)))</f>
        <v/>
      </c>
      <c r="AD79" s="351" t="str">
        <f t="shared" si="11"/>
        <v/>
      </c>
      <c r="AE79" s="94"/>
      <c r="AF79" s="94"/>
      <c r="AG79" s="343" t="str">
        <f t="shared" si="14"/>
        <v/>
      </c>
      <c r="AH79" s="591" t="str">
        <f t="shared" si="15"/>
        <v/>
      </c>
      <c r="AI79" s="353" t="str">
        <f>IF(AH79="Check Data","Check Data",IFERROR(VLOOKUP(AH79,'G-4 Temporal multipliers'!$A$4:$C$36,3,FALSE),""))</f>
        <v/>
      </c>
      <c r="AJ79" s="77" t="str">
        <f>IF(S79="","",VLOOKUP(S79,'G-3 Multipliers'!$A$2:$E$130,4,FALSE))</f>
        <v/>
      </c>
      <c r="AK79" s="348" t="str">
        <f t="shared" si="16"/>
        <v/>
      </c>
      <c r="AL79" s="348" t="str">
        <f t="shared" si="17"/>
        <v/>
      </c>
      <c r="AM79" s="607" t="str">
        <f>IFERROR(IF(F79="","",IF(AH79="Check Data","Check Data",VLOOKUP(AL79, 'G-3 Multipliers'!$P$2:$Q$6,2,FALSE))),””)</f>
        <v/>
      </c>
      <c r="AN79" s="81" t="str">
        <f t="shared" si="12"/>
        <v/>
      </c>
      <c r="AO79" s="355"/>
      <c r="AP79" s="356"/>
    </row>
    <row r="80" spans="1:42" x14ac:dyDescent="0.25">
      <c r="A80" s="52" t="str">
        <f>IF(E80="","",IF(ISNA(VLOOKUP($E80,'A-1 Site Habitat Baseline'!$D$1:$O$258,2,FALSE)),"",(VLOOKUP($E80,'A-1 Site Habitat Baseline'!$D$1:$O$258,2,FALSE))))</f>
        <v/>
      </c>
      <c r="B80" s="52" t="str">
        <f>IF(E80="","",IF(ISNA(VLOOKUP($E80,'A-1 Site Habitat Baseline'!$D$1:$O$258,3,FALSE)),"",(VLOOKUP($E80,'A-1 Site Habitat Baseline'!$D$1:$O$258,3,FALSE))))</f>
        <v/>
      </c>
      <c r="C80" s="52" t="str">
        <f>IFERROR(INDEX('G-8 Condition Look up'!$I$4:$I$131,MATCH(S80,'G-8 Condition Look up'!$A$4:$A$131,0)),"")</f>
        <v/>
      </c>
      <c r="E80" s="342" t="str">
        <f>'A-1 Site Habitat Baseline'!AL79</f>
        <v/>
      </c>
      <c r="F80" s="343" t="str">
        <f>IF(E80="","",IF(ISNA(VLOOKUP($E80,'A-1 Site Habitat Baseline'!$D$1:$O$258,4,FALSE)),"",(VLOOKUP($E80,'A-1 Site Habitat Baseline'!$D$1:$O$258,4,FALSE))))</f>
        <v/>
      </c>
      <c r="G80" s="343" t="str">
        <f>IF(E80="","",IF(ISNA(VLOOKUP($E80,'A-1 Site Habitat Baseline'!$D$1:$O$258,5,FALSE)),"",(VLOOKUP($E80,'A-1 Site Habitat Baseline'!$D$1:$O$258,5,FALSE))))</f>
        <v/>
      </c>
      <c r="H80" s="343" t="str">
        <f>IF(E80="","",IF(ISNA(VLOOKUP($E80,'A-1 Site Habitat Baseline'!$D$1:$O$258,6,FALSE)),"",(VLOOKUP($E80,'A-1 Site Habitat Baseline'!$D$1:$O$258,6,FALSE))))</f>
        <v/>
      </c>
      <c r="I80" s="343" t="str">
        <f>IF(E80="","",IF(ISNA(VLOOKUP($E80,'A-1 Site Habitat Baseline'!$D$1:$O$258,7,FALSE)),"",(VLOOKUP($E80,'A-1 Site Habitat Baseline'!$D$1:$O$258,7,FALSE))))</f>
        <v/>
      </c>
      <c r="J80" s="343" t="str">
        <f>IF(E80="","",IF(ISNA(VLOOKUP($E80,'A-1 Site Habitat Baseline'!$D$1:$O$258,8,FALSE)),"",(VLOOKUP($E80,'A-1 Site Habitat Baseline'!$D$1:$O$258,8,FALSE))))</f>
        <v/>
      </c>
      <c r="K80" s="343" t="str">
        <f>IF(E80="","",IF(ISNA(VLOOKUP($E80,'A-1 Site Habitat Baseline'!$D$1:$O$258,9,FALSE)),"",(VLOOKUP($E80,'A-1 Site Habitat Baseline'!$D$1:$O$258,9,FALSE))))</f>
        <v/>
      </c>
      <c r="L80" s="343" t="str">
        <f>IF(E80="","",IF(ISNA(VLOOKUP($E80,'A-1 Site Habitat Baseline'!$D$1:$O$258,11,FALSE)),"",(VLOOKUP($E80,'A-1 Site Habitat Baseline'!$D$1:$O$258,11,FALSE))))</f>
        <v/>
      </c>
      <c r="M80" s="343" t="str">
        <f>IF(E80="","",IF(ISNA(VLOOKUP($E80,'A-1 Site Habitat Baseline'!$D$1:$O$258,12,FALSE)),"",(VLOOKUP($E80,'A-1 Site Habitat Baseline'!$D$1:$O$258,12,FALSE))))</f>
        <v/>
      </c>
      <c r="N80" s="344" t="str">
        <f>IF(E80="","",IF(ISNA(VLOOKUP($E80,'A-1 Site Habitat Baseline'!$D$1:$X$258,14,FALSE)),"",(VLOOKUP($E80,'A-1 Site Habitat Baseline'!$D$1:$X$258,14,FALSE))))</f>
        <v/>
      </c>
      <c r="O80" s="345" t="str">
        <f>IF(E80="","",IF(ISNA(VLOOKUP($E80,'A-1 Site Habitat Baseline'!$D$1:$X$258,16,FALSE)),"",(VLOOKUP($E80,'A-1 Site Habitat Baseline'!$D$1:$X$258,13,FALSE))))</f>
        <v/>
      </c>
      <c r="P80" s="346" t="str">
        <f>IFERROR(INDEX('G-1 All Habitats'!$AG$3:$AG$15,MATCH(Q80,'G-1 All Habitats'!$AF$3:$AF$15,0)),"")</f>
        <v/>
      </c>
      <c r="Q80" s="347"/>
      <c r="R80" s="347"/>
      <c r="S80" s="605" t="str">
        <f>IFERROR(INDEX('G-1 All Habitats'!$B$3:$B$130,MATCH(R80,'G-1 All Habitats'!$A$3:$A$130,0)),"")</f>
        <v/>
      </c>
      <c r="T80" s="77" t="str">
        <f t="shared" ref="T80:T143" si="18">IF(E80="","",IF(AND(LEFT(O80,6)="Same d",I80&gt;X80),"Error - Trading rules not satisfied",IF(AND(LEFT(O80,6)="Same b",AND(LEFT(F80,5)&lt;&gt;LEFT(S80,5),I80&gt;X80)),"Error - Trading rules not satisfied",IF(AND(LEFT(O80,6)="Same h",F80&lt;&gt;S80),"Error - Trading rules not satisfied",IF(AND(LEFT(O80,6)="Bespok",F80&lt;&gt;S80),"Error - Trading rules not satisfied",IF(X80&lt;I80,"Error Trading Down",H80&amp;" - "&amp;W80))))))</f>
        <v/>
      </c>
      <c r="U80" s="78" t="str">
        <f t="shared" si="13"/>
        <v/>
      </c>
      <c r="V80" s="350" t="str">
        <f t="shared" si="10"/>
        <v/>
      </c>
      <c r="W80" s="343" t="str">
        <f>IF(S80="","",VLOOKUP(S80,'G-1 All Habitats'!$B$2:$M$130,10,FALSE))</f>
        <v/>
      </c>
      <c r="X80" s="343" t="str">
        <f>IFERROR(VLOOKUP(W80,'G-1 All Habitats'!$V$3:$W$7,2,FALSE),"")</f>
        <v/>
      </c>
      <c r="Y80" s="91"/>
      <c r="Z80" s="345" t="str">
        <f>IFERROR(INDEX('G-8 Condition Look up'!$A$3:$H$131,MATCH(S80,'G-8 Condition Look up'!$A$3:$A$131,0),MATCH(Y80,'G-8 Condition Look up'!$A$3:$H$3,0)),"")</f>
        <v/>
      </c>
      <c r="AA80" s="79"/>
      <c r="AB80" s="343" t="str">
        <f>IF(AA80="","",IF(VLOOKUP(AA80,'G-3 Multipliers'!$L$3:$N$6,2,FALSE)=0,"Spatial Data Missing",VLOOKUP(AA80,'G-3 Multipliers'!$L$3:$N$6,2,FALSE)))</f>
        <v/>
      </c>
      <c r="AC80" s="345" t="str">
        <f>IF(AA80="","",IF(VLOOKUP(AA80,'G-3 Multipliers'!$L$3:$N$6,3,FALSE)=0,"Spatial Data Missing",VLOOKUP(AA80,'G-3 Multipliers'!$L$3:$N$6,3,FALSE)))</f>
        <v/>
      </c>
      <c r="AD80" s="351" t="str">
        <f t="shared" si="11"/>
        <v/>
      </c>
      <c r="AE80" s="94"/>
      <c r="AF80" s="94"/>
      <c r="AG80" s="343" t="str">
        <f t="shared" si="14"/>
        <v/>
      </c>
      <c r="AH80" s="591" t="str">
        <f t="shared" si="15"/>
        <v/>
      </c>
      <c r="AI80" s="353" t="str">
        <f>IF(AH80="Check Data","Check Data",IFERROR(VLOOKUP(AH80,'G-4 Temporal multipliers'!$A$4:$C$36,3,FALSE),""))</f>
        <v/>
      </c>
      <c r="AJ80" s="77" t="str">
        <f>IF(S80="","",VLOOKUP(S80,'G-3 Multipliers'!$A$2:$E$130,4,FALSE))</f>
        <v/>
      </c>
      <c r="AK80" s="348" t="str">
        <f t="shared" si="16"/>
        <v/>
      </c>
      <c r="AL80" s="348" t="str">
        <f t="shared" si="17"/>
        <v/>
      </c>
      <c r="AM80" s="607" t="str">
        <f>IFERROR(IF(F80="","",IF(AH80="Check Data","Check Data",VLOOKUP(AL80, 'G-3 Multipliers'!$P$2:$Q$6,2,FALSE))),””)</f>
        <v/>
      </c>
      <c r="AN80" s="81" t="str">
        <f t="shared" si="12"/>
        <v/>
      </c>
      <c r="AO80" s="355"/>
      <c r="AP80" s="356"/>
    </row>
    <row r="81" spans="1:42" x14ac:dyDescent="0.25">
      <c r="A81" s="52" t="str">
        <f>IF(E81="","",IF(ISNA(VLOOKUP($E81,'A-1 Site Habitat Baseline'!$D$1:$O$258,2,FALSE)),"",(VLOOKUP($E81,'A-1 Site Habitat Baseline'!$D$1:$O$258,2,FALSE))))</f>
        <v/>
      </c>
      <c r="B81" s="52" t="str">
        <f>IF(E81="","",IF(ISNA(VLOOKUP($E81,'A-1 Site Habitat Baseline'!$D$1:$O$258,3,FALSE)),"",(VLOOKUP($E81,'A-1 Site Habitat Baseline'!$D$1:$O$258,3,FALSE))))</f>
        <v/>
      </c>
      <c r="C81" s="52" t="str">
        <f>IFERROR(INDEX('G-8 Condition Look up'!$I$4:$I$131,MATCH(S81,'G-8 Condition Look up'!$A$4:$A$131,0)),"")</f>
        <v/>
      </c>
      <c r="E81" s="342" t="str">
        <f>'A-1 Site Habitat Baseline'!AL80</f>
        <v/>
      </c>
      <c r="F81" s="343" t="str">
        <f>IF(E81="","",IF(ISNA(VLOOKUP($E81,'A-1 Site Habitat Baseline'!$D$1:$O$258,4,FALSE)),"",(VLOOKUP($E81,'A-1 Site Habitat Baseline'!$D$1:$O$258,4,FALSE))))</f>
        <v/>
      </c>
      <c r="G81" s="343" t="str">
        <f>IF(E81="","",IF(ISNA(VLOOKUP($E81,'A-1 Site Habitat Baseline'!$D$1:$O$258,5,FALSE)),"",(VLOOKUP($E81,'A-1 Site Habitat Baseline'!$D$1:$O$258,5,FALSE))))</f>
        <v/>
      </c>
      <c r="H81" s="343" t="str">
        <f>IF(E81="","",IF(ISNA(VLOOKUP($E81,'A-1 Site Habitat Baseline'!$D$1:$O$258,6,FALSE)),"",(VLOOKUP($E81,'A-1 Site Habitat Baseline'!$D$1:$O$258,6,FALSE))))</f>
        <v/>
      </c>
      <c r="I81" s="343" t="str">
        <f>IF(E81="","",IF(ISNA(VLOOKUP($E81,'A-1 Site Habitat Baseline'!$D$1:$O$258,7,FALSE)),"",(VLOOKUP($E81,'A-1 Site Habitat Baseline'!$D$1:$O$258,7,FALSE))))</f>
        <v/>
      </c>
      <c r="J81" s="343" t="str">
        <f>IF(E81="","",IF(ISNA(VLOOKUP($E81,'A-1 Site Habitat Baseline'!$D$1:$O$258,8,FALSE)),"",(VLOOKUP($E81,'A-1 Site Habitat Baseline'!$D$1:$O$258,8,FALSE))))</f>
        <v/>
      </c>
      <c r="K81" s="343" t="str">
        <f>IF(E81="","",IF(ISNA(VLOOKUP($E81,'A-1 Site Habitat Baseline'!$D$1:$O$258,9,FALSE)),"",(VLOOKUP($E81,'A-1 Site Habitat Baseline'!$D$1:$O$258,9,FALSE))))</f>
        <v/>
      </c>
      <c r="L81" s="343" t="str">
        <f>IF(E81="","",IF(ISNA(VLOOKUP($E81,'A-1 Site Habitat Baseline'!$D$1:$O$258,11,FALSE)),"",(VLOOKUP($E81,'A-1 Site Habitat Baseline'!$D$1:$O$258,11,FALSE))))</f>
        <v/>
      </c>
      <c r="M81" s="343" t="str">
        <f>IF(E81="","",IF(ISNA(VLOOKUP($E81,'A-1 Site Habitat Baseline'!$D$1:$O$258,12,FALSE)),"",(VLOOKUP($E81,'A-1 Site Habitat Baseline'!$D$1:$O$258,12,FALSE))))</f>
        <v/>
      </c>
      <c r="N81" s="344" t="str">
        <f>IF(E81="","",IF(ISNA(VLOOKUP($E81,'A-1 Site Habitat Baseline'!$D$1:$X$258,14,FALSE)),"",(VLOOKUP($E81,'A-1 Site Habitat Baseline'!$D$1:$X$258,14,FALSE))))</f>
        <v/>
      </c>
      <c r="O81" s="345" t="str">
        <f>IF(E81="","",IF(ISNA(VLOOKUP($E81,'A-1 Site Habitat Baseline'!$D$1:$X$258,16,FALSE)),"",(VLOOKUP($E81,'A-1 Site Habitat Baseline'!$D$1:$X$258,13,FALSE))))</f>
        <v/>
      </c>
      <c r="P81" s="346" t="str">
        <f>IFERROR(INDEX('G-1 All Habitats'!$AG$3:$AG$15,MATCH(Q81,'G-1 All Habitats'!$AF$3:$AF$15,0)),"")</f>
        <v/>
      </c>
      <c r="Q81" s="347"/>
      <c r="R81" s="347"/>
      <c r="S81" s="605" t="str">
        <f>IFERROR(INDEX('G-1 All Habitats'!$B$3:$B$130,MATCH(R81,'G-1 All Habitats'!$A$3:$A$130,0)),"")</f>
        <v/>
      </c>
      <c r="T81" s="77" t="str">
        <f t="shared" si="18"/>
        <v/>
      </c>
      <c r="U81" s="78" t="str">
        <f t="shared" si="13"/>
        <v/>
      </c>
      <c r="V81" s="350" t="str">
        <f t="shared" si="10"/>
        <v/>
      </c>
      <c r="W81" s="343" t="str">
        <f>IF(S81="","",VLOOKUP(S81,'G-1 All Habitats'!$B$2:$M$130,10,FALSE))</f>
        <v/>
      </c>
      <c r="X81" s="343" t="str">
        <f>IFERROR(VLOOKUP(W81,'G-1 All Habitats'!$V$3:$W$7,2,FALSE),"")</f>
        <v/>
      </c>
      <c r="Y81" s="91"/>
      <c r="Z81" s="345" t="str">
        <f>IFERROR(INDEX('G-8 Condition Look up'!$A$3:$H$131,MATCH(S81,'G-8 Condition Look up'!$A$3:$A$131,0),MATCH(Y81,'G-8 Condition Look up'!$A$3:$H$3,0)),"")</f>
        <v/>
      </c>
      <c r="AA81" s="79"/>
      <c r="AB81" s="343" t="str">
        <f>IF(AA81="","",IF(VLOOKUP(AA81,'G-3 Multipliers'!$L$3:$N$6,2,FALSE)=0,"Spatial Data Missing",VLOOKUP(AA81,'G-3 Multipliers'!$L$3:$N$6,2,FALSE)))</f>
        <v/>
      </c>
      <c r="AC81" s="345" t="str">
        <f>IF(AA81="","",IF(VLOOKUP(AA81,'G-3 Multipliers'!$L$3:$N$6,3,FALSE)=0,"Spatial Data Missing",VLOOKUP(AA81,'G-3 Multipliers'!$L$3:$N$6,3,FALSE)))</f>
        <v/>
      </c>
      <c r="AD81" s="351" t="str">
        <f t="shared" si="11"/>
        <v/>
      </c>
      <c r="AE81" s="94"/>
      <c r="AF81" s="94"/>
      <c r="AG81" s="343" t="str">
        <f t="shared" si="14"/>
        <v/>
      </c>
      <c r="AH81" s="591" t="str">
        <f t="shared" si="15"/>
        <v/>
      </c>
      <c r="AI81" s="353" t="str">
        <f>IF(AH81="Check Data","Check Data",IFERROR(VLOOKUP(AH81,'G-4 Temporal multipliers'!$A$4:$C$36,3,FALSE),""))</f>
        <v/>
      </c>
      <c r="AJ81" s="77" t="str">
        <f>IF(S81="","",VLOOKUP(S81,'G-3 Multipliers'!$A$2:$E$130,4,FALSE))</f>
        <v/>
      </c>
      <c r="AK81" s="348" t="str">
        <f t="shared" si="16"/>
        <v/>
      </c>
      <c r="AL81" s="348" t="str">
        <f t="shared" si="17"/>
        <v/>
      </c>
      <c r="AM81" s="607" t="str">
        <f>IFERROR(IF(F81="","",IF(AH81="Check Data","Check Data",VLOOKUP(AL81, 'G-3 Multipliers'!$P$2:$Q$6,2,FALSE))),””)</f>
        <v/>
      </c>
      <c r="AN81" s="81" t="str">
        <f t="shared" si="12"/>
        <v/>
      </c>
      <c r="AO81" s="355"/>
      <c r="AP81" s="356"/>
    </row>
    <row r="82" spans="1:42" x14ac:dyDescent="0.25">
      <c r="A82" s="52" t="str">
        <f>IF(E82="","",IF(ISNA(VLOOKUP($E82,'A-1 Site Habitat Baseline'!$D$1:$O$258,2,FALSE)),"",(VLOOKUP($E82,'A-1 Site Habitat Baseline'!$D$1:$O$258,2,FALSE))))</f>
        <v/>
      </c>
      <c r="B82" s="52" t="str">
        <f>IF(E82="","",IF(ISNA(VLOOKUP($E82,'A-1 Site Habitat Baseline'!$D$1:$O$258,3,FALSE)),"",(VLOOKUP($E82,'A-1 Site Habitat Baseline'!$D$1:$O$258,3,FALSE))))</f>
        <v/>
      </c>
      <c r="C82" s="52" t="str">
        <f>IFERROR(INDEX('G-8 Condition Look up'!$I$4:$I$131,MATCH(S82,'G-8 Condition Look up'!$A$4:$A$131,0)),"")</f>
        <v/>
      </c>
      <c r="E82" s="342" t="str">
        <f>'A-1 Site Habitat Baseline'!AL81</f>
        <v/>
      </c>
      <c r="F82" s="343" t="str">
        <f>IF(E82="","",IF(ISNA(VLOOKUP($E82,'A-1 Site Habitat Baseline'!$D$1:$O$258,4,FALSE)),"",(VLOOKUP($E82,'A-1 Site Habitat Baseline'!$D$1:$O$258,4,FALSE))))</f>
        <v/>
      </c>
      <c r="G82" s="343" t="str">
        <f>IF(E82="","",IF(ISNA(VLOOKUP($E82,'A-1 Site Habitat Baseline'!$D$1:$O$258,5,FALSE)),"",(VLOOKUP($E82,'A-1 Site Habitat Baseline'!$D$1:$O$258,5,FALSE))))</f>
        <v/>
      </c>
      <c r="H82" s="343" t="str">
        <f>IF(E82="","",IF(ISNA(VLOOKUP($E82,'A-1 Site Habitat Baseline'!$D$1:$O$258,6,FALSE)),"",(VLOOKUP($E82,'A-1 Site Habitat Baseline'!$D$1:$O$258,6,FALSE))))</f>
        <v/>
      </c>
      <c r="I82" s="343" t="str">
        <f>IF(E82="","",IF(ISNA(VLOOKUP($E82,'A-1 Site Habitat Baseline'!$D$1:$O$258,7,FALSE)),"",(VLOOKUP($E82,'A-1 Site Habitat Baseline'!$D$1:$O$258,7,FALSE))))</f>
        <v/>
      </c>
      <c r="J82" s="343" t="str">
        <f>IF(E82="","",IF(ISNA(VLOOKUP($E82,'A-1 Site Habitat Baseline'!$D$1:$O$258,8,FALSE)),"",(VLOOKUP($E82,'A-1 Site Habitat Baseline'!$D$1:$O$258,8,FALSE))))</f>
        <v/>
      </c>
      <c r="K82" s="343" t="str">
        <f>IF(E82="","",IF(ISNA(VLOOKUP($E82,'A-1 Site Habitat Baseline'!$D$1:$O$258,9,FALSE)),"",(VLOOKUP($E82,'A-1 Site Habitat Baseline'!$D$1:$O$258,9,FALSE))))</f>
        <v/>
      </c>
      <c r="L82" s="343" t="str">
        <f>IF(E82="","",IF(ISNA(VLOOKUP($E82,'A-1 Site Habitat Baseline'!$D$1:$O$258,11,FALSE)),"",(VLOOKUP($E82,'A-1 Site Habitat Baseline'!$D$1:$O$258,11,FALSE))))</f>
        <v/>
      </c>
      <c r="M82" s="343" t="str">
        <f>IF(E82="","",IF(ISNA(VLOOKUP($E82,'A-1 Site Habitat Baseline'!$D$1:$O$258,12,FALSE)),"",(VLOOKUP($E82,'A-1 Site Habitat Baseline'!$D$1:$O$258,12,FALSE))))</f>
        <v/>
      </c>
      <c r="N82" s="344" t="str">
        <f>IF(E82="","",IF(ISNA(VLOOKUP($E82,'A-1 Site Habitat Baseline'!$D$1:$X$258,14,FALSE)),"",(VLOOKUP($E82,'A-1 Site Habitat Baseline'!$D$1:$X$258,14,FALSE))))</f>
        <v/>
      </c>
      <c r="O82" s="345" t="str">
        <f>IF(E82="","",IF(ISNA(VLOOKUP($E82,'A-1 Site Habitat Baseline'!$D$1:$X$258,16,FALSE)),"",(VLOOKUP($E82,'A-1 Site Habitat Baseline'!$D$1:$X$258,13,FALSE))))</f>
        <v/>
      </c>
      <c r="P82" s="346" t="str">
        <f>IFERROR(INDEX('G-1 All Habitats'!$AG$3:$AG$15,MATCH(Q82,'G-1 All Habitats'!$AF$3:$AF$15,0)),"")</f>
        <v/>
      </c>
      <c r="Q82" s="347"/>
      <c r="R82" s="347"/>
      <c r="S82" s="605" t="str">
        <f>IFERROR(INDEX('G-1 All Habitats'!$B$3:$B$130,MATCH(R82,'G-1 All Habitats'!$A$3:$A$130,0)),"")</f>
        <v/>
      </c>
      <c r="T82" s="77" t="str">
        <f t="shared" si="18"/>
        <v/>
      </c>
      <c r="U82" s="78" t="str">
        <f t="shared" si="13"/>
        <v/>
      </c>
      <c r="V82" s="350" t="str">
        <f t="shared" si="10"/>
        <v/>
      </c>
      <c r="W82" s="343" t="str">
        <f>IF(S82="","",VLOOKUP(S82,'G-1 All Habitats'!$B$2:$M$130,10,FALSE))</f>
        <v/>
      </c>
      <c r="X82" s="343" t="str">
        <f>IFERROR(VLOOKUP(W82,'G-1 All Habitats'!$V$3:$W$7,2,FALSE),"")</f>
        <v/>
      </c>
      <c r="Y82" s="91"/>
      <c r="Z82" s="345" t="str">
        <f>IFERROR(INDEX('G-8 Condition Look up'!$A$3:$H$131,MATCH(S82,'G-8 Condition Look up'!$A$3:$A$131,0),MATCH(Y82,'G-8 Condition Look up'!$A$3:$H$3,0)),"")</f>
        <v/>
      </c>
      <c r="AA82" s="79"/>
      <c r="AB82" s="343" t="str">
        <f>IF(AA82="","",IF(VLOOKUP(AA82,'G-3 Multipliers'!$L$3:$N$6,2,FALSE)=0,"Spatial Data Missing",VLOOKUP(AA82,'G-3 Multipliers'!$L$3:$N$6,2,FALSE)))</f>
        <v/>
      </c>
      <c r="AC82" s="345" t="str">
        <f>IF(AA82="","",IF(VLOOKUP(AA82,'G-3 Multipliers'!$L$3:$N$6,3,FALSE)=0,"Spatial Data Missing",VLOOKUP(AA82,'G-3 Multipliers'!$L$3:$N$6,3,FALSE)))</f>
        <v/>
      </c>
      <c r="AD82" s="351" t="str">
        <f t="shared" si="11"/>
        <v/>
      </c>
      <c r="AE82" s="94"/>
      <c r="AF82" s="94"/>
      <c r="AG82" s="343" t="str">
        <f t="shared" si="14"/>
        <v/>
      </c>
      <c r="AH82" s="591" t="str">
        <f t="shared" si="15"/>
        <v/>
      </c>
      <c r="AI82" s="353" t="str">
        <f>IF(AH82="Check Data","Check Data",IFERROR(VLOOKUP(AH82,'G-4 Temporal multipliers'!$A$4:$C$36,3,FALSE),""))</f>
        <v/>
      </c>
      <c r="AJ82" s="77" t="str">
        <f>IF(S82="","",VLOOKUP(S82,'G-3 Multipliers'!$A$2:$E$130,4,FALSE))</f>
        <v/>
      </c>
      <c r="AK82" s="348" t="str">
        <f t="shared" si="16"/>
        <v/>
      </c>
      <c r="AL82" s="348" t="str">
        <f t="shared" si="17"/>
        <v/>
      </c>
      <c r="AM82" s="607" t="str">
        <f>IFERROR(IF(F82="","",IF(AH82="Check Data","Check Data",VLOOKUP(AL82, 'G-3 Multipliers'!$P$2:$Q$6,2,FALSE))),””)</f>
        <v/>
      </c>
      <c r="AN82" s="81" t="str">
        <f t="shared" si="12"/>
        <v/>
      </c>
      <c r="AO82" s="355"/>
      <c r="AP82" s="356"/>
    </row>
    <row r="83" spans="1:42" x14ac:dyDescent="0.25">
      <c r="A83" s="52" t="str">
        <f>IF(E83="","",IF(ISNA(VLOOKUP($E83,'A-1 Site Habitat Baseline'!$D$1:$O$258,2,FALSE)),"",(VLOOKUP($E83,'A-1 Site Habitat Baseline'!$D$1:$O$258,2,FALSE))))</f>
        <v/>
      </c>
      <c r="B83" s="52" t="str">
        <f>IF(E83="","",IF(ISNA(VLOOKUP($E83,'A-1 Site Habitat Baseline'!$D$1:$O$258,3,FALSE)),"",(VLOOKUP($E83,'A-1 Site Habitat Baseline'!$D$1:$O$258,3,FALSE))))</f>
        <v/>
      </c>
      <c r="C83" s="52" t="str">
        <f>IFERROR(INDEX('G-8 Condition Look up'!$I$4:$I$131,MATCH(S83,'G-8 Condition Look up'!$A$4:$A$131,0)),"")</f>
        <v/>
      </c>
      <c r="E83" s="342" t="str">
        <f>'A-1 Site Habitat Baseline'!AL82</f>
        <v/>
      </c>
      <c r="F83" s="343" t="str">
        <f>IF(E83="","",IF(ISNA(VLOOKUP($E83,'A-1 Site Habitat Baseline'!$D$1:$O$258,4,FALSE)),"",(VLOOKUP($E83,'A-1 Site Habitat Baseline'!$D$1:$O$258,4,FALSE))))</f>
        <v/>
      </c>
      <c r="G83" s="343" t="str">
        <f>IF(E83="","",IF(ISNA(VLOOKUP($E83,'A-1 Site Habitat Baseline'!$D$1:$O$258,5,FALSE)),"",(VLOOKUP($E83,'A-1 Site Habitat Baseline'!$D$1:$O$258,5,FALSE))))</f>
        <v/>
      </c>
      <c r="H83" s="343" t="str">
        <f>IF(E83="","",IF(ISNA(VLOOKUP($E83,'A-1 Site Habitat Baseline'!$D$1:$O$258,6,FALSE)),"",(VLOOKUP($E83,'A-1 Site Habitat Baseline'!$D$1:$O$258,6,FALSE))))</f>
        <v/>
      </c>
      <c r="I83" s="343" t="str">
        <f>IF(E83="","",IF(ISNA(VLOOKUP($E83,'A-1 Site Habitat Baseline'!$D$1:$O$258,7,FALSE)),"",(VLOOKUP($E83,'A-1 Site Habitat Baseline'!$D$1:$O$258,7,FALSE))))</f>
        <v/>
      </c>
      <c r="J83" s="343" t="str">
        <f>IF(E83="","",IF(ISNA(VLOOKUP($E83,'A-1 Site Habitat Baseline'!$D$1:$O$258,8,FALSE)),"",(VLOOKUP($E83,'A-1 Site Habitat Baseline'!$D$1:$O$258,8,FALSE))))</f>
        <v/>
      </c>
      <c r="K83" s="343" t="str">
        <f>IF(E83="","",IF(ISNA(VLOOKUP($E83,'A-1 Site Habitat Baseline'!$D$1:$O$258,9,FALSE)),"",(VLOOKUP($E83,'A-1 Site Habitat Baseline'!$D$1:$O$258,9,FALSE))))</f>
        <v/>
      </c>
      <c r="L83" s="343" t="str">
        <f>IF(E83="","",IF(ISNA(VLOOKUP($E83,'A-1 Site Habitat Baseline'!$D$1:$O$258,11,FALSE)),"",(VLOOKUP($E83,'A-1 Site Habitat Baseline'!$D$1:$O$258,11,FALSE))))</f>
        <v/>
      </c>
      <c r="M83" s="343" t="str">
        <f>IF(E83="","",IF(ISNA(VLOOKUP($E83,'A-1 Site Habitat Baseline'!$D$1:$O$258,12,FALSE)),"",(VLOOKUP($E83,'A-1 Site Habitat Baseline'!$D$1:$O$258,12,FALSE))))</f>
        <v/>
      </c>
      <c r="N83" s="344" t="str">
        <f>IF(E83="","",IF(ISNA(VLOOKUP($E83,'A-1 Site Habitat Baseline'!$D$1:$X$258,14,FALSE)),"",(VLOOKUP($E83,'A-1 Site Habitat Baseline'!$D$1:$X$258,14,FALSE))))</f>
        <v/>
      </c>
      <c r="O83" s="345" t="str">
        <f>IF(E83="","",IF(ISNA(VLOOKUP($E83,'A-1 Site Habitat Baseline'!$D$1:$X$258,16,FALSE)),"",(VLOOKUP($E83,'A-1 Site Habitat Baseline'!$D$1:$X$258,13,FALSE))))</f>
        <v/>
      </c>
      <c r="P83" s="346" t="str">
        <f>IFERROR(INDEX('G-1 All Habitats'!$AG$3:$AG$15,MATCH(Q83,'G-1 All Habitats'!$AF$3:$AF$15,0)),"")</f>
        <v/>
      </c>
      <c r="Q83" s="347"/>
      <c r="R83" s="347"/>
      <c r="S83" s="605" t="str">
        <f>IFERROR(INDEX('G-1 All Habitats'!$B$3:$B$130,MATCH(R83,'G-1 All Habitats'!$A$3:$A$130,0)),"")</f>
        <v/>
      </c>
      <c r="T83" s="77" t="str">
        <f t="shared" si="18"/>
        <v/>
      </c>
      <c r="U83" s="78" t="str">
        <f t="shared" si="13"/>
        <v/>
      </c>
      <c r="V83" s="350" t="str">
        <f t="shared" si="10"/>
        <v/>
      </c>
      <c r="W83" s="343" t="str">
        <f>IF(S83="","",VLOOKUP(S83,'G-1 All Habitats'!$B$2:$M$130,10,FALSE))</f>
        <v/>
      </c>
      <c r="X83" s="343" t="str">
        <f>IFERROR(VLOOKUP(W83,'G-1 All Habitats'!$V$3:$W$7,2,FALSE),"")</f>
        <v/>
      </c>
      <c r="Y83" s="91"/>
      <c r="Z83" s="345" t="str">
        <f>IFERROR(INDEX('G-8 Condition Look up'!$A$3:$H$131,MATCH(S83,'G-8 Condition Look up'!$A$3:$A$131,0),MATCH(Y83,'G-8 Condition Look up'!$A$3:$H$3,0)),"")</f>
        <v/>
      </c>
      <c r="AA83" s="79"/>
      <c r="AB83" s="343" t="str">
        <f>IF(AA83="","",IF(VLOOKUP(AA83,'G-3 Multipliers'!$L$3:$N$6,2,FALSE)=0,"Spatial Data Missing",VLOOKUP(AA83,'G-3 Multipliers'!$L$3:$N$6,2,FALSE)))</f>
        <v/>
      </c>
      <c r="AC83" s="345" t="str">
        <f>IF(AA83="","",IF(VLOOKUP(AA83,'G-3 Multipliers'!$L$3:$N$6,3,FALSE)=0,"Spatial Data Missing",VLOOKUP(AA83,'G-3 Multipliers'!$L$3:$N$6,3,FALSE)))</f>
        <v/>
      </c>
      <c r="AD83" s="351" t="str">
        <f t="shared" si="11"/>
        <v/>
      </c>
      <c r="AE83" s="94"/>
      <c r="AF83" s="94"/>
      <c r="AG83" s="343" t="str">
        <f t="shared" si="14"/>
        <v/>
      </c>
      <c r="AH83" s="591" t="str">
        <f t="shared" si="15"/>
        <v/>
      </c>
      <c r="AI83" s="353" t="str">
        <f>IF(AH83="Check Data","Check Data",IFERROR(VLOOKUP(AH83,'G-4 Temporal multipliers'!$A$4:$C$36,3,FALSE),""))</f>
        <v/>
      </c>
      <c r="AJ83" s="77" t="str">
        <f>IF(S83="","",VLOOKUP(S83,'G-3 Multipliers'!$A$2:$E$130,4,FALSE))</f>
        <v/>
      </c>
      <c r="AK83" s="348" t="str">
        <f t="shared" si="16"/>
        <v/>
      </c>
      <c r="AL83" s="348" t="str">
        <f t="shared" si="17"/>
        <v/>
      </c>
      <c r="AM83" s="607" t="str">
        <f>IFERROR(IF(F83="","",IF(AH83="Check Data","Check Data",VLOOKUP(AL83, 'G-3 Multipliers'!$P$2:$Q$6,2,FALSE))),””)</f>
        <v/>
      </c>
      <c r="AN83" s="81" t="str">
        <f t="shared" si="12"/>
        <v/>
      </c>
      <c r="AO83" s="355"/>
      <c r="AP83" s="356"/>
    </row>
    <row r="84" spans="1:42" x14ac:dyDescent="0.25">
      <c r="A84" s="52" t="str">
        <f>IF(E84="","",IF(ISNA(VLOOKUP($E84,'A-1 Site Habitat Baseline'!$D$1:$O$258,2,FALSE)),"",(VLOOKUP($E84,'A-1 Site Habitat Baseline'!$D$1:$O$258,2,FALSE))))</f>
        <v/>
      </c>
      <c r="B84" s="52" t="str">
        <f>IF(E84="","",IF(ISNA(VLOOKUP($E84,'A-1 Site Habitat Baseline'!$D$1:$O$258,3,FALSE)),"",(VLOOKUP($E84,'A-1 Site Habitat Baseline'!$D$1:$O$258,3,FALSE))))</f>
        <v/>
      </c>
      <c r="C84" s="52" t="str">
        <f>IFERROR(INDEX('G-8 Condition Look up'!$I$4:$I$131,MATCH(S84,'G-8 Condition Look up'!$A$4:$A$131,0)),"")</f>
        <v/>
      </c>
      <c r="E84" s="342" t="str">
        <f>'A-1 Site Habitat Baseline'!AL83</f>
        <v/>
      </c>
      <c r="F84" s="343" t="str">
        <f>IF(E84="","",IF(ISNA(VLOOKUP($E84,'A-1 Site Habitat Baseline'!$D$1:$O$258,4,FALSE)),"",(VLOOKUP($E84,'A-1 Site Habitat Baseline'!$D$1:$O$258,4,FALSE))))</f>
        <v/>
      </c>
      <c r="G84" s="343" t="str">
        <f>IF(E84="","",IF(ISNA(VLOOKUP($E84,'A-1 Site Habitat Baseline'!$D$1:$O$258,5,FALSE)),"",(VLOOKUP($E84,'A-1 Site Habitat Baseline'!$D$1:$O$258,5,FALSE))))</f>
        <v/>
      </c>
      <c r="H84" s="343" t="str">
        <f>IF(E84="","",IF(ISNA(VLOOKUP($E84,'A-1 Site Habitat Baseline'!$D$1:$O$258,6,FALSE)),"",(VLOOKUP($E84,'A-1 Site Habitat Baseline'!$D$1:$O$258,6,FALSE))))</f>
        <v/>
      </c>
      <c r="I84" s="343" t="str">
        <f>IF(E84="","",IF(ISNA(VLOOKUP($E84,'A-1 Site Habitat Baseline'!$D$1:$O$258,7,FALSE)),"",(VLOOKUP($E84,'A-1 Site Habitat Baseline'!$D$1:$O$258,7,FALSE))))</f>
        <v/>
      </c>
      <c r="J84" s="343" t="str">
        <f>IF(E84="","",IF(ISNA(VLOOKUP($E84,'A-1 Site Habitat Baseline'!$D$1:$O$258,8,FALSE)),"",(VLOOKUP($E84,'A-1 Site Habitat Baseline'!$D$1:$O$258,8,FALSE))))</f>
        <v/>
      </c>
      <c r="K84" s="343" t="str">
        <f>IF(E84="","",IF(ISNA(VLOOKUP($E84,'A-1 Site Habitat Baseline'!$D$1:$O$258,9,FALSE)),"",(VLOOKUP($E84,'A-1 Site Habitat Baseline'!$D$1:$O$258,9,FALSE))))</f>
        <v/>
      </c>
      <c r="L84" s="343" t="str">
        <f>IF(E84="","",IF(ISNA(VLOOKUP($E84,'A-1 Site Habitat Baseline'!$D$1:$O$258,11,FALSE)),"",(VLOOKUP($E84,'A-1 Site Habitat Baseline'!$D$1:$O$258,11,FALSE))))</f>
        <v/>
      </c>
      <c r="M84" s="343" t="str">
        <f>IF(E84="","",IF(ISNA(VLOOKUP($E84,'A-1 Site Habitat Baseline'!$D$1:$O$258,12,FALSE)),"",(VLOOKUP($E84,'A-1 Site Habitat Baseline'!$D$1:$O$258,12,FALSE))))</f>
        <v/>
      </c>
      <c r="N84" s="344" t="str">
        <f>IF(E84="","",IF(ISNA(VLOOKUP($E84,'A-1 Site Habitat Baseline'!$D$1:$X$258,14,FALSE)),"",(VLOOKUP($E84,'A-1 Site Habitat Baseline'!$D$1:$X$258,14,FALSE))))</f>
        <v/>
      </c>
      <c r="O84" s="345" t="str">
        <f>IF(E84="","",IF(ISNA(VLOOKUP($E84,'A-1 Site Habitat Baseline'!$D$1:$X$258,16,FALSE)),"",(VLOOKUP($E84,'A-1 Site Habitat Baseline'!$D$1:$X$258,13,FALSE))))</f>
        <v/>
      </c>
      <c r="P84" s="346" t="str">
        <f>IFERROR(INDEX('G-1 All Habitats'!$AG$3:$AG$15,MATCH(Q84,'G-1 All Habitats'!$AF$3:$AF$15,0)),"")</f>
        <v/>
      </c>
      <c r="Q84" s="347"/>
      <c r="R84" s="347"/>
      <c r="S84" s="605" t="str">
        <f>IFERROR(INDEX('G-1 All Habitats'!$B$3:$B$130,MATCH(R84,'G-1 All Habitats'!$A$3:$A$130,0)),"")</f>
        <v/>
      </c>
      <c r="T84" s="77" t="str">
        <f t="shared" si="18"/>
        <v/>
      </c>
      <c r="U84" s="78" t="str">
        <f t="shared" si="13"/>
        <v/>
      </c>
      <c r="V84" s="350" t="str">
        <f t="shared" si="10"/>
        <v/>
      </c>
      <c r="W84" s="343" t="str">
        <f>IF(S84="","",VLOOKUP(S84,'G-1 All Habitats'!$B$2:$M$130,10,FALSE))</f>
        <v/>
      </c>
      <c r="X84" s="343" t="str">
        <f>IFERROR(VLOOKUP(W84,'G-1 All Habitats'!$V$3:$W$7,2,FALSE),"")</f>
        <v/>
      </c>
      <c r="Y84" s="91"/>
      <c r="Z84" s="345" t="str">
        <f>IFERROR(INDEX('G-8 Condition Look up'!$A$3:$H$131,MATCH(S84,'G-8 Condition Look up'!$A$3:$A$131,0),MATCH(Y84,'G-8 Condition Look up'!$A$3:$H$3,0)),"")</f>
        <v/>
      </c>
      <c r="AA84" s="79"/>
      <c r="AB84" s="343" t="str">
        <f>IF(AA84="","",IF(VLOOKUP(AA84,'G-3 Multipliers'!$L$3:$N$6,2,FALSE)=0,"Spatial Data Missing",VLOOKUP(AA84,'G-3 Multipliers'!$L$3:$N$6,2,FALSE)))</f>
        <v/>
      </c>
      <c r="AC84" s="345" t="str">
        <f>IF(AA84="","",IF(VLOOKUP(AA84,'G-3 Multipliers'!$L$3:$N$6,3,FALSE)=0,"Spatial Data Missing",VLOOKUP(AA84,'G-3 Multipliers'!$L$3:$N$6,3,FALSE)))</f>
        <v/>
      </c>
      <c r="AD84" s="351" t="str">
        <f t="shared" si="11"/>
        <v/>
      </c>
      <c r="AE84" s="94"/>
      <c r="AF84" s="94"/>
      <c r="AG84" s="343" t="str">
        <f t="shared" si="14"/>
        <v/>
      </c>
      <c r="AH84" s="591" t="str">
        <f t="shared" si="15"/>
        <v/>
      </c>
      <c r="AI84" s="353" t="str">
        <f>IF(AH84="Check Data","Check Data",IFERROR(VLOOKUP(AH84,'G-4 Temporal multipliers'!$A$4:$C$36,3,FALSE),""))</f>
        <v/>
      </c>
      <c r="AJ84" s="77" t="str">
        <f>IF(S84="","",VLOOKUP(S84,'G-3 Multipliers'!$A$2:$E$130,4,FALSE))</f>
        <v/>
      </c>
      <c r="AK84" s="348" t="str">
        <f t="shared" si="16"/>
        <v/>
      </c>
      <c r="AL84" s="348" t="str">
        <f t="shared" si="17"/>
        <v/>
      </c>
      <c r="AM84" s="607" t="str">
        <f>IFERROR(IF(F84="","",IF(AH84="Check Data","Check Data",VLOOKUP(AL84, 'G-3 Multipliers'!$P$2:$Q$6,2,FALSE))),””)</f>
        <v/>
      </c>
      <c r="AN84" s="81" t="str">
        <f t="shared" si="12"/>
        <v/>
      </c>
      <c r="AO84" s="355"/>
      <c r="AP84" s="356"/>
    </row>
    <row r="85" spans="1:42" x14ac:dyDescent="0.25">
      <c r="A85" s="52" t="str">
        <f>IF(E85="","",IF(ISNA(VLOOKUP($E85,'A-1 Site Habitat Baseline'!$D$1:$O$258,2,FALSE)),"",(VLOOKUP($E85,'A-1 Site Habitat Baseline'!$D$1:$O$258,2,FALSE))))</f>
        <v/>
      </c>
      <c r="B85" s="52" t="str">
        <f>IF(E85="","",IF(ISNA(VLOOKUP($E85,'A-1 Site Habitat Baseline'!$D$1:$O$258,3,FALSE)),"",(VLOOKUP($E85,'A-1 Site Habitat Baseline'!$D$1:$O$258,3,FALSE))))</f>
        <v/>
      </c>
      <c r="C85" s="52" t="str">
        <f>IFERROR(INDEX('G-8 Condition Look up'!$I$4:$I$131,MATCH(S85,'G-8 Condition Look up'!$A$4:$A$131,0)),"")</f>
        <v/>
      </c>
      <c r="E85" s="342" t="str">
        <f>'A-1 Site Habitat Baseline'!AL84</f>
        <v/>
      </c>
      <c r="F85" s="343" t="str">
        <f>IF(E85="","",IF(ISNA(VLOOKUP($E85,'A-1 Site Habitat Baseline'!$D$1:$O$258,4,FALSE)),"",(VLOOKUP($E85,'A-1 Site Habitat Baseline'!$D$1:$O$258,4,FALSE))))</f>
        <v/>
      </c>
      <c r="G85" s="343" t="str">
        <f>IF(E85="","",IF(ISNA(VLOOKUP($E85,'A-1 Site Habitat Baseline'!$D$1:$O$258,5,FALSE)),"",(VLOOKUP($E85,'A-1 Site Habitat Baseline'!$D$1:$O$258,5,FALSE))))</f>
        <v/>
      </c>
      <c r="H85" s="343" t="str">
        <f>IF(E85="","",IF(ISNA(VLOOKUP($E85,'A-1 Site Habitat Baseline'!$D$1:$O$258,6,FALSE)),"",(VLOOKUP($E85,'A-1 Site Habitat Baseline'!$D$1:$O$258,6,FALSE))))</f>
        <v/>
      </c>
      <c r="I85" s="343" t="str">
        <f>IF(E85="","",IF(ISNA(VLOOKUP($E85,'A-1 Site Habitat Baseline'!$D$1:$O$258,7,FALSE)),"",(VLOOKUP($E85,'A-1 Site Habitat Baseline'!$D$1:$O$258,7,FALSE))))</f>
        <v/>
      </c>
      <c r="J85" s="343" t="str">
        <f>IF(E85="","",IF(ISNA(VLOOKUP($E85,'A-1 Site Habitat Baseline'!$D$1:$O$258,8,FALSE)),"",(VLOOKUP($E85,'A-1 Site Habitat Baseline'!$D$1:$O$258,8,FALSE))))</f>
        <v/>
      </c>
      <c r="K85" s="343" t="str">
        <f>IF(E85="","",IF(ISNA(VLOOKUP($E85,'A-1 Site Habitat Baseline'!$D$1:$O$258,9,FALSE)),"",(VLOOKUP($E85,'A-1 Site Habitat Baseline'!$D$1:$O$258,9,FALSE))))</f>
        <v/>
      </c>
      <c r="L85" s="343" t="str">
        <f>IF(E85="","",IF(ISNA(VLOOKUP($E85,'A-1 Site Habitat Baseline'!$D$1:$O$258,11,FALSE)),"",(VLOOKUP($E85,'A-1 Site Habitat Baseline'!$D$1:$O$258,11,FALSE))))</f>
        <v/>
      </c>
      <c r="M85" s="343" t="str">
        <f>IF(E85="","",IF(ISNA(VLOOKUP($E85,'A-1 Site Habitat Baseline'!$D$1:$O$258,12,FALSE)),"",(VLOOKUP($E85,'A-1 Site Habitat Baseline'!$D$1:$O$258,12,FALSE))))</f>
        <v/>
      </c>
      <c r="N85" s="344" t="str">
        <f>IF(E85="","",IF(ISNA(VLOOKUP($E85,'A-1 Site Habitat Baseline'!$D$1:$X$258,14,FALSE)),"",(VLOOKUP($E85,'A-1 Site Habitat Baseline'!$D$1:$X$258,14,FALSE))))</f>
        <v/>
      </c>
      <c r="O85" s="345" t="str">
        <f>IF(E85="","",IF(ISNA(VLOOKUP($E85,'A-1 Site Habitat Baseline'!$D$1:$X$258,16,FALSE)),"",(VLOOKUP($E85,'A-1 Site Habitat Baseline'!$D$1:$X$258,13,FALSE))))</f>
        <v/>
      </c>
      <c r="P85" s="346" t="str">
        <f>IFERROR(INDEX('G-1 All Habitats'!$AG$3:$AG$15,MATCH(Q85,'G-1 All Habitats'!$AF$3:$AF$15,0)),"")</f>
        <v/>
      </c>
      <c r="Q85" s="347"/>
      <c r="R85" s="347"/>
      <c r="S85" s="605" t="str">
        <f>IFERROR(INDEX('G-1 All Habitats'!$B$3:$B$130,MATCH(R85,'G-1 All Habitats'!$A$3:$A$130,0)),"")</f>
        <v/>
      </c>
      <c r="T85" s="77" t="str">
        <f t="shared" si="18"/>
        <v/>
      </c>
      <c r="U85" s="78" t="str">
        <f t="shared" si="13"/>
        <v/>
      </c>
      <c r="V85" s="350" t="str">
        <f t="shared" si="10"/>
        <v/>
      </c>
      <c r="W85" s="343" t="str">
        <f>IF(S85="","",VLOOKUP(S85,'G-1 All Habitats'!$B$2:$M$130,10,FALSE))</f>
        <v/>
      </c>
      <c r="X85" s="343" t="str">
        <f>IFERROR(VLOOKUP(W85,'G-1 All Habitats'!$V$3:$W$7,2,FALSE),"")</f>
        <v/>
      </c>
      <c r="Y85" s="91"/>
      <c r="Z85" s="345" t="str">
        <f>IFERROR(INDEX('G-8 Condition Look up'!$A$3:$H$131,MATCH(S85,'G-8 Condition Look up'!$A$3:$A$131,0),MATCH(Y85,'G-8 Condition Look up'!$A$3:$H$3,0)),"")</f>
        <v/>
      </c>
      <c r="AA85" s="79"/>
      <c r="AB85" s="343" t="str">
        <f>IF(AA85="","",IF(VLOOKUP(AA85,'G-3 Multipliers'!$L$3:$N$6,2,FALSE)=0,"Spatial Data Missing",VLOOKUP(AA85,'G-3 Multipliers'!$L$3:$N$6,2,FALSE)))</f>
        <v/>
      </c>
      <c r="AC85" s="345" t="str">
        <f>IF(AA85="","",IF(VLOOKUP(AA85,'G-3 Multipliers'!$L$3:$N$6,3,FALSE)=0,"Spatial Data Missing",VLOOKUP(AA85,'G-3 Multipliers'!$L$3:$N$6,3,FALSE)))</f>
        <v/>
      </c>
      <c r="AD85" s="351" t="str">
        <f t="shared" si="11"/>
        <v/>
      </c>
      <c r="AE85" s="94"/>
      <c r="AF85" s="94"/>
      <c r="AG85" s="343" t="str">
        <f t="shared" si="14"/>
        <v/>
      </c>
      <c r="AH85" s="591" t="str">
        <f t="shared" si="15"/>
        <v/>
      </c>
      <c r="AI85" s="353" t="str">
        <f>IF(AH85="Check Data","Check Data",IFERROR(VLOOKUP(AH85,'G-4 Temporal multipliers'!$A$4:$C$36,3,FALSE),""))</f>
        <v/>
      </c>
      <c r="AJ85" s="77" t="str">
        <f>IF(S85="","",VLOOKUP(S85,'G-3 Multipliers'!$A$2:$E$130,4,FALSE))</f>
        <v/>
      </c>
      <c r="AK85" s="348" t="str">
        <f t="shared" si="16"/>
        <v/>
      </c>
      <c r="AL85" s="348" t="str">
        <f t="shared" si="17"/>
        <v/>
      </c>
      <c r="AM85" s="607" t="str">
        <f>IFERROR(IF(F85="","",IF(AH85="Check Data","Check Data",VLOOKUP(AL85, 'G-3 Multipliers'!$P$2:$Q$6,2,FALSE))),””)</f>
        <v/>
      </c>
      <c r="AN85" s="81" t="str">
        <f t="shared" si="12"/>
        <v/>
      </c>
      <c r="AO85" s="355"/>
      <c r="AP85" s="356"/>
    </row>
    <row r="86" spans="1:42" x14ac:dyDescent="0.25">
      <c r="A86" s="52" t="str">
        <f>IF(E86="","",IF(ISNA(VLOOKUP($E86,'A-1 Site Habitat Baseline'!$D$1:$O$258,2,FALSE)),"",(VLOOKUP($E86,'A-1 Site Habitat Baseline'!$D$1:$O$258,2,FALSE))))</f>
        <v/>
      </c>
      <c r="B86" s="52" t="str">
        <f>IF(E86="","",IF(ISNA(VLOOKUP($E86,'A-1 Site Habitat Baseline'!$D$1:$O$258,3,FALSE)),"",(VLOOKUP($E86,'A-1 Site Habitat Baseline'!$D$1:$O$258,3,FALSE))))</f>
        <v/>
      </c>
      <c r="C86" s="52" t="str">
        <f>IFERROR(INDEX('G-8 Condition Look up'!$I$4:$I$131,MATCH(S86,'G-8 Condition Look up'!$A$4:$A$131,0)),"")</f>
        <v/>
      </c>
      <c r="E86" s="342" t="str">
        <f>'A-1 Site Habitat Baseline'!AL85</f>
        <v/>
      </c>
      <c r="F86" s="343" t="str">
        <f>IF(E86="","",IF(ISNA(VLOOKUP($E86,'A-1 Site Habitat Baseline'!$D$1:$O$258,4,FALSE)),"",(VLOOKUP($E86,'A-1 Site Habitat Baseline'!$D$1:$O$258,4,FALSE))))</f>
        <v/>
      </c>
      <c r="G86" s="343" t="str">
        <f>IF(E86="","",IF(ISNA(VLOOKUP($E86,'A-1 Site Habitat Baseline'!$D$1:$O$258,5,FALSE)),"",(VLOOKUP($E86,'A-1 Site Habitat Baseline'!$D$1:$O$258,5,FALSE))))</f>
        <v/>
      </c>
      <c r="H86" s="343" t="str">
        <f>IF(E86="","",IF(ISNA(VLOOKUP($E86,'A-1 Site Habitat Baseline'!$D$1:$O$258,6,FALSE)),"",(VLOOKUP($E86,'A-1 Site Habitat Baseline'!$D$1:$O$258,6,FALSE))))</f>
        <v/>
      </c>
      <c r="I86" s="343" t="str">
        <f>IF(E86="","",IF(ISNA(VLOOKUP($E86,'A-1 Site Habitat Baseline'!$D$1:$O$258,7,FALSE)),"",(VLOOKUP($E86,'A-1 Site Habitat Baseline'!$D$1:$O$258,7,FALSE))))</f>
        <v/>
      </c>
      <c r="J86" s="343" t="str">
        <f>IF(E86="","",IF(ISNA(VLOOKUP($E86,'A-1 Site Habitat Baseline'!$D$1:$O$258,8,FALSE)),"",(VLOOKUP($E86,'A-1 Site Habitat Baseline'!$D$1:$O$258,8,FALSE))))</f>
        <v/>
      </c>
      <c r="K86" s="343" t="str">
        <f>IF(E86="","",IF(ISNA(VLOOKUP($E86,'A-1 Site Habitat Baseline'!$D$1:$O$258,9,FALSE)),"",(VLOOKUP($E86,'A-1 Site Habitat Baseline'!$D$1:$O$258,9,FALSE))))</f>
        <v/>
      </c>
      <c r="L86" s="343" t="str">
        <f>IF(E86="","",IF(ISNA(VLOOKUP($E86,'A-1 Site Habitat Baseline'!$D$1:$O$258,11,FALSE)),"",(VLOOKUP($E86,'A-1 Site Habitat Baseline'!$D$1:$O$258,11,FALSE))))</f>
        <v/>
      </c>
      <c r="M86" s="343" t="str">
        <f>IF(E86="","",IF(ISNA(VLOOKUP($E86,'A-1 Site Habitat Baseline'!$D$1:$O$258,12,FALSE)),"",(VLOOKUP($E86,'A-1 Site Habitat Baseline'!$D$1:$O$258,12,FALSE))))</f>
        <v/>
      </c>
      <c r="N86" s="344" t="str">
        <f>IF(E86="","",IF(ISNA(VLOOKUP($E86,'A-1 Site Habitat Baseline'!$D$1:$X$258,14,FALSE)),"",(VLOOKUP($E86,'A-1 Site Habitat Baseline'!$D$1:$X$258,14,FALSE))))</f>
        <v/>
      </c>
      <c r="O86" s="345" t="str">
        <f>IF(E86="","",IF(ISNA(VLOOKUP($E86,'A-1 Site Habitat Baseline'!$D$1:$X$258,16,FALSE)),"",(VLOOKUP($E86,'A-1 Site Habitat Baseline'!$D$1:$X$258,13,FALSE))))</f>
        <v/>
      </c>
      <c r="P86" s="346" t="str">
        <f>IFERROR(INDEX('G-1 All Habitats'!$AG$3:$AG$15,MATCH(Q86,'G-1 All Habitats'!$AF$3:$AF$15,0)),"")</f>
        <v/>
      </c>
      <c r="Q86" s="347"/>
      <c r="R86" s="347"/>
      <c r="S86" s="605" t="str">
        <f>IFERROR(INDEX('G-1 All Habitats'!$B$3:$B$130,MATCH(R86,'G-1 All Habitats'!$A$3:$A$130,0)),"")</f>
        <v/>
      </c>
      <c r="T86" s="77" t="str">
        <f t="shared" si="18"/>
        <v/>
      </c>
      <c r="U86" s="78" t="str">
        <f t="shared" si="13"/>
        <v/>
      </c>
      <c r="V86" s="350" t="str">
        <f t="shared" si="10"/>
        <v/>
      </c>
      <c r="W86" s="343" t="str">
        <f>IF(S86="","",VLOOKUP(S86,'G-1 All Habitats'!$B$2:$M$130,10,FALSE))</f>
        <v/>
      </c>
      <c r="X86" s="343" t="str">
        <f>IFERROR(VLOOKUP(W86,'G-1 All Habitats'!$V$3:$W$7,2,FALSE),"")</f>
        <v/>
      </c>
      <c r="Y86" s="91"/>
      <c r="Z86" s="345" t="str">
        <f>IFERROR(INDEX('G-8 Condition Look up'!$A$3:$H$131,MATCH(S86,'G-8 Condition Look up'!$A$3:$A$131,0),MATCH(Y86,'G-8 Condition Look up'!$A$3:$H$3,0)),"")</f>
        <v/>
      </c>
      <c r="AA86" s="79"/>
      <c r="AB86" s="343" t="str">
        <f>IF(AA86="","",IF(VLOOKUP(AA86,'G-3 Multipliers'!$L$3:$N$6,2,FALSE)=0,"Spatial Data Missing",VLOOKUP(AA86,'G-3 Multipliers'!$L$3:$N$6,2,FALSE)))</f>
        <v/>
      </c>
      <c r="AC86" s="345" t="str">
        <f>IF(AA86="","",IF(VLOOKUP(AA86,'G-3 Multipliers'!$L$3:$N$6,3,FALSE)=0,"Spatial Data Missing",VLOOKUP(AA86,'G-3 Multipliers'!$L$3:$N$6,3,FALSE)))</f>
        <v/>
      </c>
      <c r="AD86" s="351" t="str">
        <f t="shared" si="11"/>
        <v/>
      </c>
      <c r="AE86" s="94"/>
      <c r="AF86" s="94"/>
      <c r="AG86" s="343" t="str">
        <f t="shared" si="14"/>
        <v/>
      </c>
      <c r="AH86" s="591" t="str">
        <f t="shared" si="15"/>
        <v/>
      </c>
      <c r="AI86" s="353" t="str">
        <f>IF(AH86="Check Data","Check Data",IFERROR(VLOOKUP(AH86,'G-4 Temporal multipliers'!$A$4:$C$36,3,FALSE),""))</f>
        <v/>
      </c>
      <c r="AJ86" s="77" t="str">
        <f>IF(S86="","",VLOOKUP(S86,'G-3 Multipliers'!$A$2:$E$130,4,FALSE))</f>
        <v/>
      </c>
      <c r="AK86" s="348" t="str">
        <f t="shared" si="16"/>
        <v/>
      </c>
      <c r="AL86" s="348" t="str">
        <f t="shared" si="17"/>
        <v/>
      </c>
      <c r="AM86" s="607" t="str">
        <f>IFERROR(IF(F86="","",IF(AH86="Check Data","Check Data",VLOOKUP(AL86, 'G-3 Multipliers'!$P$2:$Q$6,2,FALSE))),””)</f>
        <v/>
      </c>
      <c r="AN86" s="81" t="str">
        <f t="shared" si="12"/>
        <v/>
      </c>
      <c r="AO86" s="355"/>
      <c r="AP86" s="356"/>
    </row>
    <row r="87" spans="1:42" x14ac:dyDescent="0.25">
      <c r="A87" s="52" t="str">
        <f>IF(E87="","",IF(ISNA(VLOOKUP($E87,'A-1 Site Habitat Baseline'!$D$1:$O$258,2,FALSE)),"",(VLOOKUP($E87,'A-1 Site Habitat Baseline'!$D$1:$O$258,2,FALSE))))</f>
        <v/>
      </c>
      <c r="B87" s="52" t="str">
        <f>IF(E87="","",IF(ISNA(VLOOKUP($E87,'A-1 Site Habitat Baseline'!$D$1:$O$258,3,FALSE)),"",(VLOOKUP($E87,'A-1 Site Habitat Baseline'!$D$1:$O$258,3,FALSE))))</f>
        <v/>
      </c>
      <c r="C87" s="52" t="str">
        <f>IFERROR(INDEX('G-8 Condition Look up'!$I$4:$I$131,MATCH(S87,'G-8 Condition Look up'!$A$4:$A$131,0)),"")</f>
        <v/>
      </c>
      <c r="E87" s="342" t="str">
        <f>'A-1 Site Habitat Baseline'!AL86</f>
        <v/>
      </c>
      <c r="F87" s="343" t="str">
        <f>IF(E87="","",IF(ISNA(VLOOKUP($E87,'A-1 Site Habitat Baseline'!$D$1:$O$258,4,FALSE)),"",(VLOOKUP($E87,'A-1 Site Habitat Baseline'!$D$1:$O$258,4,FALSE))))</f>
        <v/>
      </c>
      <c r="G87" s="343" t="str">
        <f>IF(E87="","",IF(ISNA(VLOOKUP($E87,'A-1 Site Habitat Baseline'!$D$1:$O$258,5,FALSE)),"",(VLOOKUP($E87,'A-1 Site Habitat Baseline'!$D$1:$O$258,5,FALSE))))</f>
        <v/>
      </c>
      <c r="H87" s="343" t="str">
        <f>IF(E87="","",IF(ISNA(VLOOKUP($E87,'A-1 Site Habitat Baseline'!$D$1:$O$258,6,FALSE)),"",(VLOOKUP($E87,'A-1 Site Habitat Baseline'!$D$1:$O$258,6,FALSE))))</f>
        <v/>
      </c>
      <c r="I87" s="343" t="str">
        <f>IF(E87="","",IF(ISNA(VLOOKUP($E87,'A-1 Site Habitat Baseline'!$D$1:$O$258,7,FALSE)),"",(VLOOKUP($E87,'A-1 Site Habitat Baseline'!$D$1:$O$258,7,FALSE))))</f>
        <v/>
      </c>
      <c r="J87" s="343" t="str">
        <f>IF(E87="","",IF(ISNA(VLOOKUP($E87,'A-1 Site Habitat Baseline'!$D$1:$O$258,8,FALSE)),"",(VLOOKUP($E87,'A-1 Site Habitat Baseline'!$D$1:$O$258,8,FALSE))))</f>
        <v/>
      </c>
      <c r="K87" s="343" t="str">
        <f>IF(E87="","",IF(ISNA(VLOOKUP($E87,'A-1 Site Habitat Baseline'!$D$1:$O$258,9,FALSE)),"",(VLOOKUP($E87,'A-1 Site Habitat Baseline'!$D$1:$O$258,9,FALSE))))</f>
        <v/>
      </c>
      <c r="L87" s="343" t="str">
        <f>IF(E87="","",IF(ISNA(VLOOKUP($E87,'A-1 Site Habitat Baseline'!$D$1:$O$258,11,FALSE)),"",(VLOOKUP($E87,'A-1 Site Habitat Baseline'!$D$1:$O$258,11,FALSE))))</f>
        <v/>
      </c>
      <c r="M87" s="343" t="str">
        <f>IF(E87="","",IF(ISNA(VLOOKUP($E87,'A-1 Site Habitat Baseline'!$D$1:$O$258,12,FALSE)),"",(VLOOKUP($E87,'A-1 Site Habitat Baseline'!$D$1:$O$258,12,FALSE))))</f>
        <v/>
      </c>
      <c r="N87" s="344" t="str">
        <f>IF(E87="","",IF(ISNA(VLOOKUP($E87,'A-1 Site Habitat Baseline'!$D$1:$X$258,14,FALSE)),"",(VLOOKUP($E87,'A-1 Site Habitat Baseline'!$D$1:$X$258,14,FALSE))))</f>
        <v/>
      </c>
      <c r="O87" s="345" t="str">
        <f>IF(E87="","",IF(ISNA(VLOOKUP($E87,'A-1 Site Habitat Baseline'!$D$1:$X$258,16,FALSE)),"",(VLOOKUP($E87,'A-1 Site Habitat Baseline'!$D$1:$X$258,13,FALSE))))</f>
        <v/>
      </c>
      <c r="P87" s="346" t="str">
        <f>IFERROR(INDEX('G-1 All Habitats'!$AG$3:$AG$15,MATCH(Q87,'G-1 All Habitats'!$AF$3:$AF$15,0)),"")</f>
        <v/>
      </c>
      <c r="Q87" s="347"/>
      <c r="R87" s="347"/>
      <c r="S87" s="605" t="str">
        <f>IFERROR(INDEX('G-1 All Habitats'!$B$3:$B$130,MATCH(R87,'G-1 All Habitats'!$A$3:$A$130,0)),"")</f>
        <v/>
      </c>
      <c r="T87" s="77" t="str">
        <f t="shared" si="18"/>
        <v/>
      </c>
      <c r="U87" s="78" t="str">
        <f t="shared" si="13"/>
        <v/>
      </c>
      <c r="V87" s="350" t="str">
        <f t="shared" si="10"/>
        <v/>
      </c>
      <c r="W87" s="343" t="str">
        <f>IF(S87="","",VLOOKUP(S87,'G-1 All Habitats'!$B$2:$M$130,10,FALSE))</f>
        <v/>
      </c>
      <c r="X87" s="343" t="str">
        <f>IFERROR(VLOOKUP(W87,'G-1 All Habitats'!$V$3:$W$7,2,FALSE),"")</f>
        <v/>
      </c>
      <c r="Y87" s="91"/>
      <c r="Z87" s="345" t="str">
        <f>IFERROR(INDEX('G-8 Condition Look up'!$A$3:$H$131,MATCH(S87,'G-8 Condition Look up'!$A$3:$A$131,0),MATCH(Y87,'G-8 Condition Look up'!$A$3:$H$3,0)),"")</f>
        <v/>
      </c>
      <c r="AA87" s="79"/>
      <c r="AB87" s="343" t="str">
        <f>IF(AA87="","",IF(VLOOKUP(AA87,'G-3 Multipliers'!$L$3:$N$6,2,FALSE)=0,"Spatial Data Missing",VLOOKUP(AA87,'G-3 Multipliers'!$L$3:$N$6,2,FALSE)))</f>
        <v/>
      </c>
      <c r="AC87" s="345" t="str">
        <f>IF(AA87="","",IF(VLOOKUP(AA87,'G-3 Multipliers'!$L$3:$N$6,3,FALSE)=0,"Spatial Data Missing",VLOOKUP(AA87,'G-3 Multipliers'!$L$3:$N$6,3,FALSE)))</f>
        <v/>
      </c>
      <c r="AD87" s="351" t="str">
        <f t="shared" si="11"/>
        <v/>
      </c>
      <c r="AE87" s="94"/>
      <c r="AF87" s="94"/>
      <c r="AG87" s="343" t="str">
        <f t="shared" si="14"/>
        <v/>
      </c>
      <c r="AH87" s="591" t="str">
        <f t="shared" si="15"/>
        <v/>
      </c>
      <c r="AI87" s="353" t="str">
        <f>IF(AH87="Check Data","Check Data",IFERROR(VLOOKUP(AH87,'G-4 Temporal multipliers'!$A$4:$C$36,3,FALSE),""))</f>
        <v/>
      </c>
      <c r="AJ87" s="77" t="str">
        <f>IF(S87="","",VLOOKUP(S87,'G-3 Multipliers'!$A$2:$E$130,4,FALSE))</f>
        <v/>
      </c>
      <c r="AK87" s="348" t="str">
        <f t="shared" si="16"/>
        <v/>
      </c>
      <c r="AL87" s="348" t="str">
        <f t="shared" si="17"/>
        <v/>
      </c>
      <c r="AM87" s="607" t="str">
        <f>IFERROR(IF(F87="","",IF(AH87="Check Data","Check Data",VLOOKUP(AL87, 'G-3 Multipliers'!$P$2:$Q$6,2,FALSE))),””)</f>
        <v/>
      </c>
      <c r="AN87" s="81" t="str">
        <f t="shared" si="12"/>
        <v/>
      </c>
      <c r="AO87" s="355"/>
      <c r="AP87" s="356"/>
    </row>
    <row r="88" spans="1:42" x14ac:dyDescent="0.25">
      <c r="A88" s="52" t="str">
        <f>IF(E88="","",IF(ISNA(VLOOKUP($E88,'A-1 Site Habitat Baseline'!$D$1:$O$258,2,FALSE)),"",(VLOOKUP($E88,'A-1 Site Habitat Baseline'!$D$1:$O$258,2,FALSE))))</f>
        <v/>
      </c>
      <c r="B88" s="52" t="str">
        <f>IF(E88="","",IF(ISNA(VLOOKUP($E88,'A-1 Site Habitat Baseline'!$D$1:$O$258,3,FALSE)),"",(VLOOKUP($E88,'A-1 Site Habitat Baseline'!$D$1:$O$258,3,FALSE))))</f>
        <v/>
      </c>
      <c r="C88" s="52" t="str">
        <f>IFERROR(INDEX('G-8 Condition Look up'!$I$4:$I$131,MATCH(S88,'G-8 Condition Look up'!$A$4:$A$131,0)),"")</f>
        <v/>
      </c>
      <c r="E88" s="342" t="str">
        <f>'A-1 Site Habitat Baseline'!AL87</f>
        <v/>
      </c>
      <c r="F88" s="343" t="str">
        <f>IF(E88="","",IF(ISNA(VLOOKUP($E88,'A-1 Site Habitat Baseline'!$D$1:$O$258,4,FALSE)),"",(VLOOKUP($E88,'A-1 Site Habitat Baseline'!$D$1:$O$258,4,FALSE))))</f>
        <v/>
      </c>
      <c r="G88" s="343" t="str">
        <f>IF(E88="","",IF(ISNA(VLOOKUP($E88,'A-1 Site Habitat Baseline'!$D$1:$O$258,5,FALSE)),"",(VLOOKUP($E88,'A-1 Site Habitat Baseline'!$D$1:$O$258,5,FALSE))))</f>
        <v/>
      </c>
      <c r="H88" s="343" t="str">
        <f>IF(E88="","",IF(ISNA(VLOOKUP($E88,'A-1 Site Habitat Baseline'!$D$1:$O$258,6,FALSE)),"",(VLOOKUP($E88,'A-1 Site Habitat Baseline'!$D$1:$O$258,6,FALSE))))</f>
        <v/>
      </c>
      <c r="I88" s="343" t="str">
        <f>IF(E88="","",IF(ISNA(VLOOKUP($E88,'A-1 Site Habitat Baseline'!$D$1:$O$258,7,FALSE)),"",(VLOOKUP($E88,'A-1 Site Habitat Baseline'!$D$1:$O$258,7,FALSE))))</f>
        <v/>
      </c>
      <c r="J88" s="343" t="str">
        <f>IF(E88="","",IF(ISNA(VLOOKUP($E88,'A-1 Site Habitat Baseline'!$D$1:$O$258,8,FALSE)),"",(VLOOKUP($E88,'A-1 Site Habitat Baseline'!$D$1:$O$258,8,FALSE))))</f>
        <v/>
      </c>
      <c r="K88" s="343" t="str">
        <f>IF(E88="","",IF(ISNA(VLOOKUP($E88,'A-1 Site Habitat Baseline'!$D$1:$O$258,9,FALSE)),"",(VLOOKUP($E88,'A-1 Site Habitat Baseline'!$D$1:$O$258,9,FALSE))))</f>
        <v/>
      </c>
      <c r="L88" s="343" t="str">
        <f>IF(E88="","",IF(ISNA(VLOOKUP($E88,'A-1 Site Habitat Baseline'!$D$1:$O$258,11,FALSE)),"",(VLOOKUP($E88,'A-1 Site Habitat Baseline'!$D$1:$O$258,11,FALSE))))</f>
        <v/>
      </c>
      <c r="M88" s="343" t="str">
        <f>IF(E88="","",IF(ISNA(VLOOKUP($E88,'A-1 Site Habitat Baseline'!$D$1:$O$258,12,FALSE)),"",(VLOOKUP($E88,'A-1 Site Habitat Baseline'!$D$1:$O$258,12,FALSE))))</f>
        <v/>
      </c>
      <c r="N88" s="344" t="str">
        <f>IF(E88="","",IF(ISNA(VLOOKUP($E88,'A-1 Site Habitat Baseline'!$D$1:$X$258,14,FALSE)),"",(VLOOKUP($E88,'A-1 Site Habitat Baseline'!$D$1:$X$258,14,FALSE))))</f>
        <v/>
      </c>
      <c r="O88" s="345" t="str">
        <f>IF(E88="","",IF(ISNA(VLOOKUP($E88,'A-1 Site Habitat Baseline'!$D$1:$X$258,16,FALSE)),"",(VLOOKUP($E88,'A-1 Site Habitat Baseline'!$D$1:$X$258,13,FALSE))))</f>
        <v/>
      </c>
      <c r="P88" s="346" t="str">
        <f>IFERROR(INDEX('G-1 All Habitats'!$AG$3:$AG$15,MATCH(Q88,'G-1 All Habitats'!$AF$3:$AF$15,0)),"")</f>
        <v/>
      </c>
      <c r="Q88" s="347"/>
      <c r="R88" s="347"/>
      <c r="S88" s="605" t="str">
        <f>IFERROR(INDEX('G-1 All Habitats'!$B$3:$B$130,MATCH(R88,'G-1 All Habitats'!$A$3:$A$130,0)),"")</f>
        <v/>
      </c>
      <c r="T88" s="77" t="str">
        <f t="shared" si="18"/>
        <v/>
      </c>
      <c r="U88" s="78" t="str">
        <f t="shared" si="13"/>
        <v/>
      </c>
      <c r="V88" s="350" t="str">
        <f t="shared" si="10"/>
        <v/>
      </c>
      <c r="W88" s="343" t="str">
        <f>IF(S88="","",VLOOKUP(S88,'G-1 All Habitats'!$B$2:$M$130,10,FALSE))</f>
        <v/>
      </c>
      <c r="X88" s="343" t="str">
        <f>IFERROR(VLOOKUP(W88,'G-1 All Habitats'!$V$3:$W$7,2,FALSE),"")</f>
        <v/>
      </c>
      <c r="Y88" s="91"/>
      <c r="Z88" s="345" t="str">
        <f>IFERROR(INDEX('G-8 Condition Look up'!$A$3:$H$131,MATCH(S88,'G-8 Condition Look up'!$A$3:$A$131,0),MATCH(Y88,'G-8 Condition Look up'!$A$3:$H$3,0)),"")</f>
        <v/>
      </c>
      <c r="AA88" s="79"/>
      <c r="AB88" s="343" t="str">
        <f>IF(AA88="","",IF(VLOOKUP(AA88,'G-3 Multipliers'!$L$3:$N$6,2,FALSE)=0,"Spatial Data Missing",VLOOKUP(AA88,'G-3 Multipliers'!$L$3:$N$6,2,FALSE)))</f>
        <v/>
      </c>
      <c r="AC88" s="345" t="str">
        <f>IF(AA88="","",IF(VLOOKUP(AA88,'G-3 Multipliers'!$L$3:$N$6,3,FALSE)=0,"Spatial Data Missing",VLOOKUP(AA88,'G-3 Multipliers'!$L$3:$N$6,3,FALSE)))</f>
        <v/>
      </c>
      <c r="AD88" s="351" t="str">
        <f t="shared" si="11"/>
        <v/>
      </c>
      <c r="AE88" s="94"/>
      <c r="AF88" s="94"/>
      <c r="AG88" s="343" t="str">
        <f t="shared" si="14"/>
        <v/>
      </c>
      <c r="AH88" s="591" t="str">
        <f t="shared" si="15"/>
        <v/>
      </c>
      <c r="AI88" s="353" t="str">
        <f>IF(AH88="Check Data","Check Data",IFERROR(VLOOKUP(AH88,'G-4 Temporal multipliers'!$A$4:$C$36,3,FALSE),""))</f>
        <v/>
      </c>
      <c r="AJ88" s="77" t="str">
        <f>IF(S88="","",VLOOKUP(S88,'G-3 Multipliers'!$A$2:$E$130,4,FALSE))</f>
        <v/>
      </c>
      <c r="AK88" s="348" t="str">
        <f t="shared" si="16"/>
        <v/>
      </c>
      <c r="AL88" s="348" t="str">
        <f t="shared" si="17"/>
        <v/>
      </c>
      <c r="AM88" s="607" t="str">
        <f>IFERROR(IF(F88="","",IF(AH88="Check Data","Check Data",VLOOKUP(AL88, 'G-3 Multipliers'!$P$2:$Q$6,2,FALSE))),””)</f>
        <v/>
      </c>
      <c r="AN88" s="81" t="str">
        <f t="shared" si="12"/>
        <v/>
      </c>
      <c r="AO88" s="355"/>
      <c r="AP88" s="356"/>
    </row>
    <row r="89" spans="1:42" x14ac:dyDescent="0.25">
      <c r="A89" s="52" t="str">
        <f>IF(E89="","",IF(ISNA(VLOOKUP($E89,'A-1 Site Habitat Baseline'!$D$1:$O$258,2,FALSE)),"",(VLOOKUP($E89,'A-1 Site Habitat Baseline'!$D$1:$O$258,2,FALSE))))</f>
        <v/>
      </c>
      <c r="B89" s="52" t="str">
        <f>IF(E89="","",IF(ISNA(VLOOKUP($E89,'A-1 Site Habitat Baseline'!$D$1:$O$258,3,FALSE)),"",(VLOOKUP($E89,'A-1 Site Habitat Baseline'!$D$1:$O$258,3,FALSE))))</f>
        <v/>
      </c>
      <c r="C89" s="52" t="str">
        <f>IFERROR(INDEX('G-8 Condition Look up'!$I$4:$I$131,MATCH(S89,'G-8 Condition Look up'!$A$4:$A$131,0)),"")</f>
        <v/>
      </c>
      <c r="E89" s="342" t="str">
        <f>'A-1 Site Habitat Baseline'!AL88</f>
        <v/>
      </c>
      <c r="F89" s="343" t="str">
        <f>IF(E89="","",IF(ISNA(VLOOKUP($E89,'A-1 Site Habitat Baseline'!$D$1:$O$258,4,FALSE)),"",(VLOOKUP($E89,'A-1 Site Habitat Baseline'!$D$1:$O$258,4,FALSE))))</f>
        <v/>
      </c>
      <c r="G89" s="343" t="str">
        <f>IF(E89="","",IF(ISNA(VLOOKUP($E89,'A-1 Site Habitat Baseline'!$D$1:$O$258,5,FALSE)),"",(VLOOKUP($E89,'A-1 Site Habitat Baseline'!$D$1:$O$258,5,FALSE))))</f>
        <v/>
      </c>
      <c r="H89" s="343" t="str">
        <f>IF(E89="","",IF(ISNA(VLOOKUP($E89,'A-1 Site Habitat Baseline'!$D$1:$O$258,6,FALSE)),"",(VLOOKUP($E89,'A-1 Site Habitat Baseline'!$D$1:$O$258,6,FALSE))))</f>
        <v/>
      </c>
      <c r="I89" s="343" t="str">
        <f>IF(E89="","",IF(ISNA(VLOOKUP($E89,'A-1 Site Habitat Baseline'!$D$1:$O$258,7,FALSE)),"",(VLOOKUP($E89,'A-1 Site Habitat Baseline'!$D$1:$O$258,7,FALSE))))</f>
        <v/>
      </c>
      <c r="J89" s="343" t="str">
        <f>IF(E89="","",IF(ISNA(VLOOKUP($E89,'A-1 Site Habitat Baseline'!$D$1:$O$258,8,FALSE)),"",(VLOOKUP($E89,'A-1 Site Habitat Baseline'!$D$1:$O$258,8,FALSE))))</f>
        <v/>
      </c>
      <c r="K89" s="343" t="str">
        <f>IF(E89="","",IF(ISNA(VLOOKUP($E89,'A-1 Site Habitat Baseline'!$D$1:$O$258,9,FALSE)),"",(VLOOKUP($E89,'A-1 Site Habitat Baseline'!$D$1:$O$258,9,FALSE))))</f>
        <v/>
      </c>
      <c r="L89" s="343" t="str">
        <f>IF(E89="","",IF(ISNA(VLOOKUP($E89,'A-1 Site Habitat Baseline'!$D$1:$O$258,11,FALSE)),"",(VLOOKUP($E89,'A-1 Site Habitat Baseline'!$D$1:$O$258,11,FALSE))))</f>
        <v/>
      </c>
      <c r="M89" s="343" t="str">
        <f>IF(E89="","",IF(ISNA(VLOOKUP($E89,'A-1 Site Habitat Baseline'!$D$1:$O$258,12,FALSE)),"",(VLOOKUP($E89,'A-1 Site Habitat Baseline'!$D$1:$O$258,12,FALSE))))</f>
        <v/>
      </c>
      <c r="N89" s="344" t="str">
        <f>IF(E89="","",IF(ISNA(VLOOKUP($E89,'A-1 Site Habitat Baseline'!$D$1:$X$258,14,FALSE)),"",(VLOOKUP($E89,'A-1 Site Habitat Baseline'!$D$1:$X$258,14,FALSE))))</f>
        <v/>
      </c>
      <c r="O89" s="345" t="str">
        <f>IF(E89="","",IF(ISNA(VLOOKUP($E89,'A-1 Site Habitat Baseline'!$D$1:$X$258,16,FALSE)),"",(VLOOKUP($E89,'A-1 Site Habitat Baseline'!$D$1:$X$258,13,FALSE))))</f>
        <v/>
      </c>
      <c r="P89" s="346" t="str">
        <f>IFERROR(INDEX('G-1 All Habitats'!$AG$3:$AG$15,MATCH(Q89,'G-1 All Habitats'!$AF$3:$AF$15,0)),"")</f>
        <v/>
      </c>
      <c r="Q89" s="347"/>
      <c r="R89" s="347"/>
      <c r="S89" s="605" t="str">
        <f>IFERROR(INDEX('G-1 All Habitats'!$B$3:$B$130,MATCH(R89,'G-1 All Habitats'!$A$3:$A$130,0)),"")</f>
        <v/>
      </c>
      <c r="T89" s="77" t="str">
        <f t="shared" si="18"/>
        <v/>
      </c>
      <c r="U89" s="78" t="str">
        <f t="shared" si="13"/>
        <v/>
      </c>
      <c r="V89" s="350" t="str">
        <f t="shared" si="10"/>
        <v/>
      </c>
      <c r="W89" s="343" t="str">
        <f>IF(S89="","",VLOOKUP(S89,'G-1 All Habitats'!$B$2:$M$130,10,FALSE))</f>
        <v/>
      </c>
      <c r="X89" s="343" t="str">
        <f>IFERROR(VLOOKUP(W89,'G-1 All Habitats'!$V$3:$W$7,2,FALSE),"")</f>
        <v/>
      </c>
      <c r="Y89" s="91"/>
      <c r="Z89" s="345" t="str">
        <f>IFERROR(INDEX('G-8 Condition Look up'!$A$3:$H$131,MATCH(S89,'G-8 Condition Look up'!$A$3:$A$131,0),MATCH(Y89,'G-8 Condition Look up'!$A$3:$H$3,0)),"")</f>
        <v/>
      </c>
      <c r="AA89" s="79"/>
      <c r="AB89" s="343" t="str">
        <f>IF(AA89="","",IF(VLOOKUP(AA89,'G-3 Multipliers'!$L$3:$N$6,2,FALSE)=0,"Spatial Data Missing",VLOOKUP(AA89,'G-3 Multipliers'!$L$3:$N$6,2,FALSE)))</f>
        <v/>
      </c>
      <c r="AC89" s="345" t="str">
        <f>IF(AA89="","",IF(VLOOKUP(AA89,'G-3 Multipliers'!$L$3:$N$6,3,FALSE)=0,"Spatial Data Missing",VLOOKUP(AA89,'G-3 Multipliers'!$L$3:$N$6,3,FALSE)))</f>
        <v/>
      </c>
      <c r="AD89" s="351" t="str">
        <f t="shared" si="11"/>
        <v/>
      </c>
      <c r="AE89" s="94"/>
      <c r="AF89" s="94"/>
      <c r="AG89" s="343" t="str">
        <f t="shared" si="14"/>
        <v/>
      </c>
      <c r="AH89" s="591" t="str">
        <f t="shared" si="15"/>
        <v/>
      </c>
      <c r="AI89" s="353" t="str">
        <f>IF(AH89="Check Data","Check Data",IFERROR(VLOOKUP(AH89,'G-4 Temporal multipliers'!$A$4:$C$36,3,FALSE),""))</f>
        <v/>
      </c>
      <c r="AJ89" s="77" t="str">
        <f>IF(S89="","",VLOOKUP(S89,'G-3 Multipliers'!$A$2:$E$130,4,FALSE))</f>
        <v/>
      </c>
      <c r="AK89" s="348" t="str">
        <f t="shared" si="16"/>
        <v/>
      </c>
      <c r="AL89" s="348" t="str">
        <f t="shared" si="17"/>
        <v/>
      </c>
      <c r="AM89" s="607" t="str">
        <f>IFERROR(IF(F89="","",IF(AH89="Check Data","Check Data",VLOOKUP(AL89, 'G-3 Multipliers'!$P$2:$Q$6,2,FALSE))),””)</f>
        <v/>
      </c>
      <c r="AN89" s="81" t="str">
        <f t="shared" si="12"/>
        <v/>
      </c>
      <c r="AO89" s="355"/>
      <c r="AP89" s="356"/>
    </row>
    <row r="90" spans="1:42" x14ac:dyDescent="0.25">
      <c r="A90" s="52" t="str">
        <f>IF(E90="","",IF(ISNA(VLOOKUP($E90,'A-1 Site Habitat Baseline'!$D$1:$O$258,2,FALSE)),"",(VLOOKUP($E90,'A-1 Site Habitat Baseline'!$D$1:$O$258,2,FALSE))))</f>
        <v/>
      </c>
      <c r="B90" s="52" t="str">
        <f>IF(E90="","",IF(ISNA(VLOOKUP($E90,'A-1 Site Habitat Baseline'!$D$1:$O$258,3,FALSE)),"",(VLOOKUP($E90,'A-1 Site Habitat Baseline'!$D$1:$O$258,3,FALSE))))</f>
        <v/>
      </c>
      <c r="C90" s="52" t="str">
        <f>IFERROR(INDEX('G-8 Condition Look up'!$I$4:$I$131,MATCH(S90,'G-8 Condition Look up'!$A$4:$A$131,0)),"")</f>
        <v/>
      </c>
      <c r="E90" s="342" t="str">
        <f>'A-1 Site Habitat Baseline'!AL89</f>
        <v/>
      </c>
      <c r="F90" s="343" t="str">
        <f>IF(E90="","",IF(ISNA(VLOOKUP($E90,'A-1 Site Habitat Baseline'!$D$1:$O$258,4,FALSE)),"",(VLOOKUP($E90,'A-1 Site Habitat Baseline'!$D$1:$O$258,4,FALSE))))</f>
        <v/>
      </c>
      <c r="G90" s="343" t="str">
        <f>IF(E90="","",IF(ISNA(VLOOKUP($E90,'A-1 Site Habitat Baseline'!$D$1:$O$258,5,FALSE)),"",(VLOOKUP($E90,'A-1 Site Habitat Baseline'!$D$1:$O$258,5,FALSE))))</f>
        <v/>
      </c>
      <c r="H90" s="343" t="str">
        <f>IF(E90="","",IF(ISNA(VLOOKUP($E90,'A-1 Site Habitat Baseline'!$D$1:$O$258,6,FALSE)),"",(VLOOKUP($E90,'A-1 Site Habitat Baseline'!$D$1:$O$258,6,FALSE))))</f>
        <v/>
      </c>
      <c r="I90" s="343" t="str">
        <f>IF(E90="","",IF(ISNA(VLOOKUP($E90,'A-1 Site Habitat Baseline'!$D$1:$O$258,7,FALSE)),"",(VLOOKUP($E90,'A-1 Site Habitat Baseline'!$D$1:$O$258,7,FALSE))))</f>
        <v/>
      </c>
      <c r="J90" s="343" t="str">
        <f>IF(E90="","",IF(ISNA(VLOOKUP($E90,'A-1 Site Habitat Baseline'!$D$1:$O$258,8,FALSE)),"",(VLOOKUP($E90,'A-1 Site Habitat Baseline'!$D$1:$O$258,8,FALSE))))</f>
        <v/>
      </c>
      <c r="K90" s="343" t="str">
        <f>IF(E90="","",IF(ISNA(VLOOKUP($E90,'A-1 Site Habitat Baseline'!$D$1:$O$258,9,FALSE)),"",(VLOOKUP($E90,'A-1 Site Habitat Baseline'!$D$1:$O$258,9,FALSE))))</f>
        <v/>
      </c>
      <c r="L90" s="343" t="str">
        <f>IF(E90="","",IF(ISNA(VLOOKUP($E90,'A-1 Site Habitat Baseline'!$D$1:$O$258,11,FALSE)),"",(VLOOKUP($E90,'A-1 Site Habitat Baseline'!$D$1:$O$258,11,FALSE))))</f>
        <v/>
      </c>
      <c r="M90" s="343" t="str">
        <f>IF(E90="","",IF(ISNA(VLOOKUP($E90,'A-1 Site Habitat Baseline'!$D$1:$O$258,12,FALSE)),"",(VLOOKUP($E90,'A-1 Site Habitat Baseline'!$D$1:$O$258,12,FALSE))))</f>
        <v/>
      </c>
      <c r="N90" s="344" t="str">
        <f>IF(E90="","",IF(ISNA(VLOOKUP($E90,'A-1 Site Habitat Baseline'!$D$1:$X$258,14,FALSE)),"",(VLOOKUP($E90,'A-1 Site Habitat Baseline'!$D$1:$X$258,14,FALSE))))</f>
        <v/>
      </c>
      <c r="O90" s="345" t="str">
        <f>IF(E90="","",IF(ISNA(VLOOKUP($E90,'A-1 Site Habitat Baseline'!$D$1:$X$258,16,FALSE)),"",(VLOOKUP($E90,'A-1 Site Habitat Baseline'!$D$1:$X$258,13,FALSE))))</f>
        <v/>
      </c>
      <c r="P90" s="346" t="str">
        <f>IFERROR(INDEX('G-1 All Habitats'!$AG$3:$AG$15,MATCH(Q90,'G-1 All Habitats'!$AF$3:$AF$15,0)),"")</f>
        <v/>
      </c>
      <c r="Q90" s="347"/>
      <c r="R90" s="347"/>
      <c r="S90" s="605" t="str">
        <f>IFERROR(INDEX('G-1 All Habitats'!$B$3:$B$130,MATCH(R90,'G-1 All Habitats'!$A$3:$A$130,0)),"")</f>
        <v/>
      </c>
      <c r="T90" s="77" t="str">
        <f t="shared" si="18"/>
        <v/>
      </c>
      <c r="U90" s="78" t="str">
        <f t="shared" si="13"/>
        <v/>
      </c>
      <c r="V90" s="350" t="str">
        <f t="shared" si="10"/>
        <v/>
      </c>
      <c r="W90" s="343" t="str">
        <f>IF(S90="","",VLOOKUP(S90,'G-1 All Habitats'!$B$2:$M$130,10,FALSE))</f>
        <v/>
      </c>
      <c r="X90" s="343" t="str">
        <f>IFERROR(VLOOKUP(W90,'G-1 All Habitats'!$V$3:$W$7,2,FALSE),"")</f>
        <v/>
      </c>
      <c r="Y90" s="91"/>
      <c r="Z90" s="345" t="str">
        <f>IFERROR(INDEX('G-8 Condition Look up'!$A$3:$H$131,MATCH(S90,'G-8 Condition Look up'!$A$3:$A$131,0),MATCH(Y90,'G-8 Condition Look up'!$A$3:$H$3,0)),"")</f>
        <v/>
      </c>
      <c r="AA90" s="79"/>
      <c r="AB90" s="343" t="str">
        <f>IF(AA90="","",IF(VLOOKUP(AA90,'G-3 Multipliers'!$L$3:$N$6,2,FALSE)=0,"Spatial Data Missing",VLOOKUP(AA90,'G-3 Multipliers'!$L$3:$N$6,2,FALSE)))</f>
        <v/>
      </c>
      <c r="AC90" s="345" t="str">
        <f>IF(AA90="","",IF(VLOOKUP(AA90,'G-3 Multipliers'!$L$3:$N$6,3,FALSE)=0,"Spatial Data Missing",VLOOKUP(AA90,'G-3 Multipliers'!$L$3:$N$6,3,FALSE)))</f>
        <v/>
      </c>
      <c r="AD90" s="351" t="str">
        <f t="shared" si="11"/>
        <v/>
      </c>
      <c r="AE90" s="94"/>
      <c r="AF90" s="94"/>
      <c r="AG90" s="343" t="str">
        <f t="shared" si="14"/>
        <v/>
      </c>
      <c r="AH90" s="591" t="str">
        <f t="shared" si="15"/>
        <v/>
      </c>
      <c r="AI90" s="353" t="str">
        <f>IF(AH90="Check Data","Check Data",IFERROR(VLOOKUP(AH90,'G-4 Temporal multipliers'!$A$4:$C$36,3,FALSE),""))</f>
        <v/>
      </c>
      <c r="AJ90" s="77" t="str">
        <f>IF(S90="","",VLOOKUP(S90,'G-3 Multipliers'!$A$2:$E$130,4,FALSE))</f>
        <v/>
      </c>
      <c r="AK90" s="348" t="str">
        <f t="shared" si="16"/>
        <v/>
      </c>
      <c r="AL90" s="348" t="str">
        <f t="shared" si="17"/>
        <v/>
      </c>
      <c r="AM90" s="607" t="str">
        <f>IFERROR(IF(F90="","",IF(AH90="Check Data","Check Data",VLOOKUP(AL90, 'G-3 Multipliers'!$P$2:$Q$6,2,FALSE))),””)</f>
        <v/>
      </c>
      <c r="AN90" s="81" t="str">
        <f t="shared" si="12"/>
        <v/>
      </c>
      <c r="AO90" s="355"/>
      <c r="AP90" s="356"/>
    </row>
    <row r="91" spans="1:42" x14ac:dyDescent="0.25">
      <c r="A91" s="52" t="str">
        <f>IF(E91="","",IF(ISNA(VLOOKUP($E91,'A-1 Site Habitat Baseline'!$D$1:$O$258,2,FALSE)),"",(VLOOKUP($E91,'A-1 Site Habitat Baseline'!$D$1:$O$258,2,FALSE))))</f>
        <v/>
      </c>
      <c r="B91" s="52" t="str">
        <f>IF(E91="","",IF(ISNA(VLOOKUP($E91,'A-1 Site Habitat Baseline'!$D$1:$O$258,3,FALSE)),"",(VLOOKUP($E91,'A-1 Site Habitat Baseline'!$D$1:$O$258,3,FALSE))))</f>
        <v/>
      </c>
      <c r="C91" s="52" t="str">
        <f>IFERROR(INDEX('G-8 Condition Look up'!$I$4:$I$131,MATCH(S91,'G-8 Condition Look up'!$A$4:$A$131,0)),"")</f>
        <v/>
      </c>
      <c r="E91" s="342" t="str">
        <f>'A-1 Site Habitat Baseline'!AL90</f>
        <v/>
      </c>
      <c r="F91" s="343" t="str">
        <f>IF(E91="","",IF(ISNA(VLOOKUP($E91,'A-1 Site Habitat Baseline'!$D$1:$O$258,4,FALSE)),"",(VLOOKUP($E91,'A-1 Site Habitat Baseline'!$D$1:$O$258,4,FALSE))))</f>
        <v/>
      </c>
      <c r="G91" s="343" t="str">
        <f>IF(E91="","",IF(ISNA(VLOOKUP($E91,'A-1 Site Habitat Baseline'!$D$1:$O$258,5,FALSE)),"",(VLOOKUP($E91,'A-1 Site Habitat Baseline'!$D$1:$O$258,5,FALSE))))</f>
        <v/>
      </c>
      <c r="H91" s="343" t="str">
        <f>IF(E91="","",IF(ISNA(VLOOKUP($E91,'A-1 Site Habitat Baseline'!$D$1:$O$258,6,FALSE)),"",(VLOOKUP($E91,'A-1 Site Habitat Baseline'!$D$1:$O$258,6,FALSE))))</f>
        <v/>
      </c>
      <c r="I91" s="343" t="str">
        <f>IF(E91="","",IF(ISNA(VLOOKUP($E91,'A-1 Site Habitat Baseline'!$D$1:$O$258,7,FALSE)),"",(VLOOKUP($E91,'A-1 Site Habitat Baseline'!$D$1:$O$258,7,FALSE))))</f>
        <v/>
      </c>
      <c r="J91" s="343" t="str">
        <f>IF(E91="","",IF(ISNA(VLOOKUP($E91,'A-1 Site Habitat Baseline'!$D$1:$O$258,8,FALSE)),"",(VLOOKUP($E91,'A-1 Site Habitat Baseline'!$D$1:$O$258,8,FALSE))))</f>
        <v/>
      </c>
      <c r="K91" s="343" t="str">
        <f>IF(E91="","",IF(ISNA(VLOOKUP($E91,'A-1 Site Habitat Baseline'!$D$1:$O$258,9,FALSE)),"",(VLOOKUP($E91,'A-1 Site Habitat Baseline'!$D$1:$O$258,9,FALSE))))</f>
        <v/>
      </c>
      <c r="L91" s="343" t="str">
        <f>IF(E91="","",IF(ISNA(VLOOKUP($E91,'A-1 Site Habitat Baseline'!$D$1:$O$258,11,FALSE)),"",(VLOOKUP($E91,'A-1 Site Habitat Baseline'!$D$1:$O$258,11,FALSE))))</f>
        <v/>
      </c>
      <c r="M91" s="343" t="str">
        <f>IF(E91="","",IF(ISNA(VLOOKUP($E91,'A-1 Site Habitat Baseline'!$D$1:$O$258,12,FALSE)),"",(VLOOKUP($E91,'A-1 Site Habitat Baseline'!$D$1:$O$258,12,FALSE))))</f>
        <v/>
      </c>
      <c r="N91" s="344" t="str">
        <f>IF(E91="","",IF(ISNA(VLOOKUP($E91,'A-1 Site Habitat Baseline'!$D$1:$X$258,14,FALSE)),"",(VLOOKUP($E91,'A-1 Site Habitat Baseline'!$D$1:$X$258,14,FALSE))))</f>
        <v/>
      </c>
      <c r="O91" s="345" t="str">
        <f>IF(E91="","",IF(ISNA(VLOOKUP($E91,'A-1 Site Habitat Baseline'!$D$1:$X$258,16,FALSE)),"",(VLOOKUP($E91,'A-1 Site Habitat Baseline'!$D$1:$X$258,13,FALSE))))</f>
        <v/>
      </c>
      <c r="P91" s="346" t="str">
        <f>IFERROR(INDEX('G-1 All Habitats'!$AG$3:$AG$15,MATCH(Q91,'G-1 All Habitats'!$AF$3:$AF$15,0)),"")</f>
        <v/>
      </c>
      <c r="Q91" s="347"/>
      <c r="R91" s="347"/>
      <c r="S91" s="605" t="str">
        <f>IFERROR(INDEX('G-1 All Habitats'!$B$3:$B$130,MATCH(R91,'G-1 All Habitats'!$A$3:$A$130,0)),"")</f>
        <v/>
      </c>
      <c r="T91" s="77" t="str">
        <f t="shared" si="18"/>
        <v/>
      </c>
      <c r="U91" s="78" t="str">
        <f t="shared" si="13"/>
        <v/>
      </c>
      <c r="V91" s="350" t="str">
        <f t="shared" si="10"/>
        <v/>
      </c>
      <c r="W91" s="343" t="str">
        <f>IF(S91="","",VLOOKUP(S91,'G-1 All Habitats'!$B$2:$M$130,10,FALSE))</f>
        <v/>
      </c>
      <c r="X91" s="343" t="str">
        <f>IFERROR(VLOOKUP(W91,'G-1 All Habitats'!$V$3:$W$7,2,FALSE),"")</f>
        <v/>
      </c>
      <c r="Y91" s="91"/>
      <c r="Z91" s="345" t="str">
        <f>IFERROR(INDEX('G-8 Condition Look up'!$A$3:$H$131,MATCH(S91,'G-8 Condition Look up'!$A$3:$A$131,0),MATCH(Y91,'G-8 Condition Look up'!$A$3:$H$3,0)),"")</f>
        <v/>
      </c>
      <c r="AA91" s="79"/>
      <c r="AB91" s="343" t="str">
        <f>IF(AA91="","",IF(VLOOKUP(AA91,'G-3 Multipliers'!$L$3:$N$6,2,FALSE)=0,"Spatial Data Missing",VLOOKUP(AA91,'G-3 Multipliers'!$L$3:$N$6,2,FALSE)))</f>
        <v/>
      </c>
      <c r="AC91" s="345" t="str">
        <f>IF(AA91="","",IF(VLOOKUP(AA91,'G-3 Multipliers'!$L$3:$N$6,3,FALSE)=0,"Spatial Data Missing",VLOOKUP(AA91,'G-3 Multipliers'!$L$3:$N$6,3,FALSE)))</f>
        <v/>
      </c>
      <c r="AD91" s="351" t="str">
        <f t="shared" si="11"/>
        <v/>
      </c>
      <c r="AE91" s="94"/>
      <c r="AF91" s="94"/>
      <c r="AG91" s="343" t="str">
        <f t="shared" si="14"/>
        <v/>
      </c>
      <c r="AH91" s="591" t="str">
        <f t="shared" si="15"/>
        <v/>
      </c>
      <c r="AI91" s="353" t="str">
        <f>IF(AH91="Check Data","Check Data",IFERROR(VLOOKUP(AH91,'G-4 Temporal multipliers'!$A$4:$C$36,3,FALSE),""))</f>
        <v/>
      </c>
      <c r="AJ91" s="77" t="str">
        <f>IF(S91="","",VLOOKUP(S91,'G-3 Multipliers'!$A$2:$E$130,4,FALSE))</f>
        <v/>
      </c>
      <c r="AK91" s="348" t="str">
        <f t="shared" si="16"/>
        <v/>
      </c>
      <c r="AL91" s="348" t="str">
        <f t="shared" si="17"/>
        <v/>
      </c>
      <c r="AM91" s="607" t="str">
        <f>IFERROR(IF(F91="","",IF(AH91="Check Data","Check Data",VLOOKUP(AL91, 'G-3 Multipliers'!$P$2:$Q$6,2,FALSE))),””)</f>
        <v/>
      </c>
      <c r="AN91" s="81" t="str">
        <f t="shared" si="12"/>
        <v/>
      </c>
      <c r="AO91" s="355"/>
      <c r="AP91" s="356"/>
    </row>
    <row r="92" spans="1:42" x14ac:dyDescent="0.25">
      <c r="A92" s="52" t="str">
        <f>IF(E92="","",IF(ISNA(VLOOKUP($E92,'A-1 Site Habitat Baseline'!$D$1:$O$258,2,FALSE)),"",(VLOOKUP($E92,'A-1 Site Habitat Baseline'!$D$1:$O$258,2,FALSE))))</f>
        <v/>
      </c>
      <c r="B92" s="52" t="str">
        <f>IF(E92="","",IF(ISNA(VLOOKUP($E92,'A-1 Site Habitat Baseline'!$D$1:$O$258,3,FALSE)),"",(VLOOKUP($E92,'A-1 Site Habitat Baseline'!$D$1:$O$258,3,FALSE))))</f>
        <v/>
      </c>
      <c r="C92" s="52" t="str">
        <f>IFERROR(INDEX('G-8 Condition Look up'!$I$4:$I$131,MATCH(S92,'G-8 Condition Look up'!$A$4:$A$131,0)),"")</f>
        <v/>
      </c>
      <c r="E92" s="342" t="str">
        <f>'A-1 Site Habitat Baseline'!AL91</f>
        <v/>
      </c>
      <c r="F92" s="343" t="str">
        <f>IF(E92="","",IF(ISNA(VLOOKUP($E92,'A-1 Site Habitat Baseline'!$D$1:$O$258,4,FALSE)),"",(VLOOKUP($E92,'A-1 Site Habitat Baseline'!$D$1:$O$258,4,FALSE))))</f>
        <v/>
      </c>
      <c r="G92" s="343" t="str">
        <f>IF(E92="","",IF(ISNA(VLOOKUP($E92,'A-1 Site Habitat Baseline'!$D$1:$O$258,5,FALSE)),"",(VLOOKUP($E92,'A-1 Site Habitat Baseline'!$D$1:$O$258,5,FALSE))))</f>
        <v/>
      </c>
      <c r="H92" s="343" t="str">
        <f>IF(E92="","",IF(ISNA(VLOOKUP($E92,'A-1 Site Habitat Baseline'!$D$1:$O$258,6,FALSE)),"",(VLOOKUP($E92,'A-1 Site Habitat Baseline'!$D$1:$O$258,6,FALSE))))</f>
        <v/>
      </c>
      <c r="I92" s="343" t="str">
        <f>IF(E92="","",IF(ISNA(VLOOKUP($E92,'A-1 Site Habitat Baseline'!$D$1:$O$258,7,FALSE)),"",(VLOOKUP($E92,'A-1 Site Habitat Baseline'!$D$1:$O$258,7,FALSE))))</f>
        <v/>
      </c>
      <c r="J92" s="343" t="str">
        <f>IF(E92="","",IF(ISNA(VLOOKUP($E92,'A-1 Site Habitat Baseline'!$D$1:$O$258,8,FALSE)),"",(VLOOKUP($E92,'A-1 Site Habitat Baseline'!$D$1:$O$258,8,FALSE))))</f>
        <v/>
      </c>
      <c r="K92" s="343" t="str">
        <f>IF(E92="","",IF(ISNA(VLOOKUP($E92,'A-1 Site Habitat Baseline'!$D$1:$O$258,9,FALSE)),"",(VLOOKUP($E92,'A-1 Site Habitat Baseline'!$D$1:$O$258,9,FALSE))))</f>
        <v/>
      </c>
      <c r="L92" s="343" t="str">
        <f>IF(E92="","",IF(ISNA(VLOOKUP($E92,'A-1 Site Habitat Baseline'!$D$1:$O$258,11,FALSE)),"",(VLOOKUP($E92,'A-1 Site Habitat Baseline'!$D$1:$O$258,11,FALSE))))</f>
        <v/>
      </c>
      <c r="M92" s="343" t="str">
        <f>IF(E92="","",IF(ISNA(VLOOKUP($E92,'A-1 Site Habitat Baseline'!$D$1:$O$258,12,FALSE)),"",(VLOOKUP($E92,'A-1 Site Habitat Baseline'!$D$1:$O$258,12,FALSE))))</f>
        <v/>
      </c>
      <c r="N92" s="344" t="str">
        <f>IF(E92="","",IF(ISNA(VLOOKUP($E92,'A-1 Site Habitat Baseline'!$D$1:$X$258,14,FALSE)),"",(VLOOKUP($E92,'A-1 Site Habitat Baseline'!$D$1:$X$258,14,FALSE))))</f>
        <v/>
      </c>
      <c r="O92" s="345" t="str">
        <f>IF(E92="","",IF(ISNA(VLOOKUP($E92,'A-1 Site Habitat Baseline'!$D$1:$X$258,16,FALSE)),"",(VLOOKUP($E92,'A-1 Site Habitat Baseline'!$D$1:$X$258,13,FALSE))))</f>
        <v/>
      </c>
      <c r="P92" s="346" t="str">
        <f>IFERROR(INDEX('G-1 All Habitats'!$AG$3:$AG$15,MATCH(Q92,'G-1 All Habitats'!$AF$3:$AF$15,0)),"")</f>
        <v/>
      </c>
      <c r="Q92" s="347"/>
      <c r="R92" s="347"/>
      <c r="S92" s="605" t="str">
        <f>IFERROR(INDEX('G-1 All Habitats'!$B$3:$B$130,MATCH(R92,'G-1 All Habitats'!$A$3:$A$130,0)),"")</f>
        <v/>
      </c>
      <c r="T92" s="77" t="str">
        <f t="shared" si="18"/>
        <v/>
      </c>
      <c r="U92" s="78" t="str">
        <f t="shared" si="13"/>
        <v/>
      </c>
      <c r="V92" s="350" t="str">
        <f t="shared" si="10"/>
        <v/>
      </c>
      <c r="W92" s="343" t="str">
        <f>IF(S92="","",VLOOKUP(S92,'G-1 All Habitats'!$B$2:$M$130,10,FALSE))</f>
        <v/>
      </c>
      <c r="X92" s="343" t="str">
        <f>IFERROR(VLOOKUP(W92,'G-1 All Habitats'!$V$3:$W$7,2,FALSE),"")</f>
        <v/>
      </c>
      <c r="Y92" s="91"/>
      <c r="Z92" s="345" t="str">
        <f>IFERROR(INDEX('G-8 Condition Look up'!$A$3:$H$131,MATCH(S92,'G-8 Condition Look up'!$A$3:$A$131,0),MATCH(Y92,'G-8 Condition Look up'!$A$3:$H$3,0)),"")</f>
        <v/>
      </c>
      <c r="AA92" s="79"/>
      <c r="AB92" s="343" t="str">
        <f>IF(AA92="","",IF(VLOOKUP(AA92,'G-3 Multipliers'!$L$3:$N$6,2,FALSE)=0,"Spatial Data Missing",VLOOKUP(AA92,'G-3 Multipliers'!$L$3:$N$6,2,FALSE)))</f>
        <v/>
      </c>
      <c r="AC92" s="345" t="str">
        <f>IF(AA92="","",IF(VLOOKUP(AA92,'G-3 Multipliers'!$L$3:$N$6,3,FALSE)=0,"Spatial Data Missing",VLOOKUP(AA92,'G-3 Multipliers'!$L$3:$N$6,3,FALSE)))</f>
        <v/>
      </c>
      <c r="AD92" s="351" t="str">
        <f t="shared" si="11"/>
        <v/>
      </c>
      <c r="AE92" s="94"/>
      <c r="AF92" s="94"/>
      <c r="AG92" s="343" t="str">
        <f t="shared" si="14"/>
        <v/>
      </c>
      <c r="AH92" s="591" t="str">
        <f t="shared" si="15"/>
        <v/>
      </c>
      <c r="AI92" s="353" t="str">
        <f>IF(AH92="Check Data","Check Data",IFERROR(VLOOKUP(AH92,'G-4 Temporal multipliers'!$A$4:$C$36,3,FALSE),""))</f>
        <v/>
      </c>
      <c r="AJ92" s="77" t="str">
        <f>IF(S92="","",VLOOKUP(S92,'G-3 Multipliers'!$A$2:$E$130,4,FALSE))</f>
        <v/>
      </c>
      <c r="AK92" s="348" t="str">
        <f t="shared" si="16"/>
        <v/>
      </c>
      <c r="AL92" s="348" t="str">
        <f t="shared" si="17"/>
        <v/>
      </c>
      <c r="AM92" s="607" t="str">
        <f>IFERROR(IF(F92="","",IF(AH92="Check Data","Check Data",VLOOKUP(AL92, 'G-3 Multipliers'!$P$2:$Q$6,2,FALSE))),””)</f>
        <v/>
      </c>
      <c r="AN92" s="81" t="str">
        <f t="shared" si="12"/>
        <v/>
      </c>
      <c r="AO92" s="355"/>
      <c r="AP92" s="356"/>
    </row>
    <row r="93" spans="1:42" x14ac:dyDescent="0.25">
      <c r="A93" s="52" t="str">
        <f>IF(E93="","",IF(ISNA(VLOOKUP($E93,'A-1 Site Habitat Baseline'!$D$1:$O$258,2,FALSE)),"",(VLOOKUP($E93,'A-1 Site Habitat Baseline'!$D$1:$O$258,2,FALSE))))</f>
        <v/>
      </c>
      <c r="B93" s="52" t="str">
        <f>IF(E93="","",IF(ISNA(VLOOKUP($E93,'A-1 Site Habitat Baseline'!$D$1:$O$258,3,FALSE)),"",(VLOOKUP($E93,'A-1 Site Habitat Baseline'!$D$1:$O$258,3,FALSE))))</f>
        <v/>
      </c>
      <c r="C93" s="52" t="str">
        <f>IFERROR(INDEX('G-8 Condition Look up'!$I$4:$I$131,MATCH(S93,'G-8 Condition Look up'!$A$4:$A$131,0)),"")</f>
        <v/>
      </c>
      <c r="E93" s="342" t="str">
        <f>'A-1 Site Habitat Baseline'!AL92</f>
        <v/>
      </c>
      <c r="F93" s="343" t="str">
        <f>IF(E93="","",IF(ISNA(VLOOKUP($E93,'A-1 Site Habitat Baseline'!$D$1:$O$258,4,FALSE)),"",(VLOOKUP($E93,'A-1 Site Habitat Baseline'!$D$1:$O$258,4,FALSE))))</f>
        <v/>
      </c>
      <c r="G93" s="343" t="str">
        <f>IF(E93="","",IF(ISNA(VLOOKUP($E93,'A-1 Site Habitat Baseline'!$D$1:$O$258,5,FALSE)),"",(VLOOKUP($E93,'A-1 Site Habitat Baseline'!$D$1:$O$258,5,FALSE))))</f>
        <v/>
      </c>
      <c r="H93" s="343" t="str">
        <f>IF(E93="","",IF(ISNA(VLOOKUP($E93,'A-1 Site Habitat Baseline'!$D$1:$O$258,6,FALSE)),"",(VLOOKUP($E93,'A-1 Site Habitat Baseline'!$D$1:$O$258,6,FALSE))))</f>
        <v/>
      </c>
      <c r="I93" s="343" t="str">
        <f>IF(E93="","",IF(ISNA(VLOOKUP($E93,'A-1 Site Habitat Baseline'!$D$1:$O$258,7,FALSE)),"",(VLOOKUP($E93,'A-1 Site Habitat Baseline'!$D$1:$O$258,7,FALSE))))</f>
        <v/>
      </c>
      <c r="J93" s="343" t="str">
        <f>IF(E93="","",IF(ISNA(VLOOKUP($E93,'A-1 Site Habitat Baseline'!$D$1:$O$258,8,FALSE)),"",(VLOOKUP($E93,'A-1 Site Habitat Baseline'!$D$1:$O$258,8,FALSE))))</f>
        <v/>
      </c>
      <c r="K93" s="343" t="str">
        <f>IF(E93="","",IF(ISNA(VLOOKUP($E93,'A-1 Site Habitat Baseline'!$D$1:$O$258,9,FALSE)),"",(VLOOKUP($E93,'A-1 Site Habitat Baseline'!$D$1:$O$258,9,FALSE))))</f>
        <v/>
      </c>
      <c r="L93" s="343" t="str">
        <f>IF(E93="","",IF(ISNA(VLOOKUP($E93,'A-1 Site Habitat Baseline'!$D$1:$O$258,11,FALSE)),"",(VLOOKUP($E93,'A-1 Site Habitat Baseline'!$D$1:$O$258,11,FALSE))))</f>
        <v/>
      </c>
      <c r="M93" s="343" t="str">
        <f>IF(E93="","",IF(ISNA(VLOOKUP($E93,'A-1 Site Habitat Baseline'!$D$1:$O$258,12,FALSE)),"",(VLOOKUP($E93,'A-1 Site Habitat Baseline'!$D$1:$O$258,12,FALSE))))</f>
        <v/>
      </c>
      <c r="N93" s="344" t="str">
        <f>IF(E93="","",IF(ISNA(VLOOKUP($E93,'A-1 Site Habitat Baseline'!$D$1:$X$258,14,FALSE)),"",(VLOOKUP($E93,'A-1 Site Habitat Baseline'!$D$1:$X$258,14,FALSE))))</f>
        <v/>
      </c>
      <c r="O93" s="345" t="str">
        <f>IF(E93="","",IF(ISNA(VLOOKUP($E93,'A-1 Site Habitat Baseline'!$D$1:$X$258,16,FALSE)),"",(VLOOKUP($E93,'A-1 Site Habitat Baseline'!$D$1:$X$258,13,FALSE))))</f>
        <v/>
      </c>
      <c r="P93" s="346" t="str">
        <f>IFERROR(INDEX('G-1 All Habitats'!$AG$3:$AG$15,MATCH(Q93,'G-1 All Habitats'!$AF$3:$AF$15,0)),"")</f>
        <v/>
      </c>
      <c r="Q93" s="347"/>
      <c r="R93" s="347"/>
      <c r="S93" s="605" t="str">
        <f>IFERROR(INDEX('G-1 All Habitats'!$B$3:$B$130,MATCH(R93,'G-1 All Habitats'!$A$3:$A$130,0)),"")</f>
        <v/>
      </c>
      <c r="T93" s="77" t="str">
        <f t="shared" si="18"/>
        <v/>
      </c>
      <c r="U93" s="78" t="str">
        <f t="shared" si="13"/>
        <v/>
      </c>
      <c r="V93" s="350" t="str">
        <f t="shared" si="10"/>
        <v/>
      </c>
      <c r="W93" s="343" t="str">
        <f>IF(S93="","",VLOOKUP(S93,'G-1 All Habitats'!$B$2:$M$130,10,FALSE))</f>
        <v/>
      </c>
      <c r="X93" s="343" t="str">
        <f>IFERROR(VLOOKUP(W93,'G-1 All Habitats'!$V$3:$W$7,2,FALSE),"")</f>
        <v/>
      </c>
      <c r="Y93" s="91"/>
      <c r="Z93" s="345" t="str">
        <f>IFERROR(INDEX('G-8 Condition Look up'!$A$3:$H$131,MATCH(S93,'G-8 Condition Look up'!$A$3:$A$131,0),MATCH(Y93,'G-8 Condition Look up'!$A$3:$H$3,0)),"")</f>
        <v/>
      </c>
      <c r="AA93" s="79"/>
      <c r="AB93" s="343" t="str">
        <f>IF(AA93="","",IF(VLOOKUP(AA93,'G-3 Multipliers'!$L$3:$N$6,2,FALSE)=0,"Spatial Data Missing",VLOOKUP(AA93,'G-3 Multipliers'!$L$3:$N$6,2,FALSE)))</f>
        <v/>
      </c>
      <c r="AC93" s="345" t="str">
        <f>IF(AA93="","",IF(VLOOKUP(AA93,'G-3 Multipliers'!$L$3:$N$6,3,FALSE)=0,"Spatial Data Missing",VLOOKUP(AA93,'G-3 Multipliers'!$L$3:$N$6,3,FALSE)))</f>
        <v/>
      </c>
      <c r="AD93" s="351" t="str">
        <f t="shared" si="11"/>
        <v/>
      </c>
      <c r="AE93" s="94"/>
      <c r="AF93" s="94"/>
      <c r="AG93" s="343" t="str">
        <f t="shared" si="14"/>
        <v/>
      </c>
      <c r="AH93" s="591" t="str">
        <f t="shared" si="15"/>
        <v/>
      </c>
      <c r="AI93" s="353" t="str">
        <f>IF(AH93="Check Data","Check Data",IFERROR(VLOOKUP(AH93,'G-4 Temporal multipliers'!$A$4:$C$36,3,FALSE),""))</f>
        <v/>
      </c>
      <c r="AJ93" s="77" t="str">
        <f>IF(S93="","",VLOOKUP(S93,'G-3 Multipliers'!$A$2:$E$130,4,FALSE))</f>
        <v/>
      </c>
      <c r="AK93" s="348" t="str">
        <f t="shared" si="16"/>
        <v/>
      </c>
      <c r="AL93" s="348" t="str">
        <f t="shared" si="17"/>
        <v/>
      </c>
      <c r="AM93" s="607" t="str">
        <f>IFERROR(IF(F93="","",IF(AH93="Check Data","Check Data",VLOOKUP(AL93, 'G-3 Multipliers'!$P$2:$Q$6,2,FALSE))),””)</f>
        <v/>
      </c>
      <c r="AN93" s="81" t="str">
        <f t="shared" si="12"/>
        <v/>
      </c>
      <c r="AO93" s="355"/>
      <c r="AP93" s="356"/>
    </row>
    <row r="94" spans="1:42" x14ac:dyDescent="0.25">
      <c r="A94" s="52" t="str">
        <f>IF(E94="","",IF(ISNA(VLOOKUP($E94,'A-1 Site Habitat Baseline'!$D$1:$O$258,2,FALSE)),"",(VLOOKUP($E94,'A-1 Site Habitat Baseline'!$D$1:$O$258,2,FALSE))))</f>
        <v/>
      </c>
      <c r="B94" s="52" t="str">
        <f>IF(E94="","",IF(ISNA(VLOOKUP($E94,'A-1 Site Habitat Baseline'!$D$1:$O$258,3,FALSE)),"",(VLOOKUP($E94,'A-1 Site Habitat Baseline'!$D$1:$O$258,3,FALSE))))</f>
        <v/>
      </c>
      <c r="C94" s="52" t="str">
        <f>IFERROR(INDEX('G-8 Condition Look up'!$I$4:$I$131,MATCH(S94,'G-8 Condition Look up'!$A$4:$A$131,0)),"")</f>
        <v/>
      </c>
      <c r="E94" s="342" t="str">
        <f>'A-1 Site Habitat Baseline'!AL93</f>
        <v/>
      </c>
      <c r="F94" s="343" t="str">
        <f>IF(E94="","",IF(ISNA(VLOOKUP($E94,'A-1 Site Habitat Baseline'!$D$1:$O$258,4,FALSE)),"",(VLOOKUP($E94,'A-1 Site Habitat Baseline'!$D$1:$O$258,4,FALSE))))</f>
        <v/>
      </c>
      <c r="G94" s="343" t="str">
        <f>IF(E94="","",IF(ISNA(VLOOKUP($E94,'A-1 Site Habitat Baseline'!$D$1:$O$258,5,FALSE)),"",(VLOOKUP($E94,'A-1 Site Habitat Baseline'!$D$1:$O$258,5,FALSE))))</f>
        <v/>
      </c>
      <c r="H94" s="343" t="str">
        <f>IF(E94="","",IF(ISNA(VLOOKUP($E94,'A-1 Site Habitat Baseline'!$D$1:$O$258,6,FALSE)),"",(VLOOKUP($E94,'A-1 Site Habitat Baseline'!$D$1:$O$258,6,FALSE))))</f>
        <v/>
      </c>
      <c r="I94" s="343" t="str">
        <f>IF(E94="","",IF(ISNA(VLOOKUP($E94,'A-1 Site Habitat Baseline'!$D$1:$O$258,7,FALSE)),"",(VLOOKUP($E94,'A-1 Site Habitat Baseline'!$D$1:$O$258,7,FALSE))))</f>
        <v/>
      </c>
      <c r="J94" s="343" t="str">
        <f>IF(E94="","",IF(ISNA(VLOOKUP($E94,'A-1 Site Habitat Baseline'!$D$1:$O$258,8,FALSE)),"",(VLOOKUP($E94,'A-1 Site Habitat Baseline'!$D$1:$O$258,8,FALSE))))</f>
        <v/>
      </c>
      <c r="K94" s="343" t="str">
        <f>IF(E94="","",IF(ISNA(VLOOKUP($E94,'A-1 Site Habitat Baseline'!$D$1:$O$258,9,FALSE)),"",(VLOOKUP($E94,'A-1 Site Habitat Baseline'!$D$1:$O$258,9,FALSE))))</f>
        <v/>
      </c>
      <c r="L94" s="343" t="str">
        <f>IF(E94="","",IF(ISNA(VLOOKUP($E94,'A-1 Site Habitat Baseline'!$D$1:$O$258,11,FALSE)),"",(VLOOKUP($E94,'A-1 Site Habitat Baseline'!$D$1:$O$258,11,FALSE))))</f>
        <v/>
      </c>
      <c r="M94" s="343" t="str">
        <f>IF(E94="","",IF(ISNA(VLOOKUP($E94,'A-1 Site Habitat Baseline'!$D$1:$O$258,12,FALSE)),"",(VLOOKUP($E94,'A-1 Site Habitat Baseline'!$D$1:$O$258,12,FALSE))))</f>
        <v/>
      </c>
      <c r="N94" s="344" t="str">
        <f>IF(E94="","",IF(ISNA(VLOOKUP($E94,'A-1 Site Habitat Baseline'!$D$1:$X$258,14,FALSE)),"",(VLOOKUP($E94,'A-1 Site Habitat Baseline'!$D$1:$X$258,14,FALSE))))</f>
        <v/>
      </c>
      <c r="O94" s="345" t="str">
        <f>IF(E94="","",IF(ISNA(VLOOKUP($E94,'A-1 Site Habitat Baseline'!$D$1:$X$258,16,FALSE)),"",(VLOOKUP($E94,'A-1 Site Habitat Baseline'!$D$1:$X$258,13,FALSE))))</f>
        <v/>
      </c>
      <c r="P94" s="346" t="str">
        <f>IFERROR(INDEX('G-1 All Habitats'!$AG$3:$AG$15,MATCH(Q94,'G-1 All Habitats'!$AF$3:$AF$15,0)),"")</f>
        <v/>
      </c>
      <c r="Q94" s="347"/>
      <c r="R94" s="347"/>
      <c r="S94" s="605" t="str">
        <f>IFERROR(INDEX('G-1 All Habitats'!$B$3:$B$130,MATCH(R94,'G-1 All Habitats'!$A$3:$A$130,0)),"")</f>
        <v/>
      </c>
      <c r="T94" s="77" t="str">
        <f t="shared" si="18"/>
        <v/>
      </c>
      <c r="U94" s="78" t="str">
        <f t="shared" si="13"/>
        <v/>
      </c>
      <c r="V94" s="350" t="str">
        <f t="shared" si="10"/>
        <v/>
      </c>
      <c r="W94" s="343" t="str">
        <f>IF(S94="","",VLOOKUP(S94,'G-1 All Habitats'!$B$2:$M$130,10,FALSE))</f>
        <v/>
      </c>
      <c r="X94" s="343" t="str">
        <f>IFERROR(VLOOKUP(W94,'G-1 All Habitats'!$V$3:$W$7,2,FALSE),"")</f>
        <v/>
      </c>
      <c r="Y94" s="91"/>
      <c r="Z94" s="345" t="str">
        <f>IFERROR(INDEX('G-8 Condition Look up'!$A$3:$H$131,MATCH(S94,'G-8 Condition Look up'!$A$3:$A$131,0),MATCH(Y94,'G-8 Condition Look up'!$A$3:$H$3,0)),"")</f>
        <v/>
      </c>
      <c r="AA94" s="79"/>
      <c r="AB94" s="343" t="str">
        <f>IF(AA94="","",IF(VLOOKUP(AA94,'G-3 Multipliers'!$L$3:$N$6,2,FALSE)=0,"Spatial Data Missing",VLOOKUP(AA94,'G-3 Multipliers'!$L$3:$N$6,2,FALSE)))</f>
        <v/>
      </c>
      <c r="AC94" s="345" t="str">
        <f>IF(AA94="","",IF(VLOOKUP(AA94,'G-3 Multipliers'!$L$3:$N$6,3,FALSE)=0,"Spatial Data Missing",VLOOKUP(AA94,'G-3 Multipliers'!$L$3:$N$6,3,FALSE)))</f>
        <v/>
      </c>
      <c r="AD94" s="351" t="str">
        <f t="shared" si="11"/>
        <v/>
      </c>
      <c r="AE94" s="94"/>
      <c r="AF94" s="94"/>
      <c r="AG94" s="343" t="str">
        <f t="shared" si="14"/>
        <v/>
      </c>
      <c r="AH94" s="591" t="str">
        <f t="shared" si="15"/>
        <v/>
      </c>
      <c r="AI94" s="353" t="str">
        <f>IF(AH94="Check Data","Check Data",IFERROR(VLOOKUP(AH94,'G-4 Temporal multipliers'!$A$4:$C$36,3,FALSE),""))</f>
        <v/>
      </c>
      <c r="AJ94" s="77" t="str">
        <f>IF(S94="","",VLOOKUP(S94,'G-3 Multipliers'!$A$2:$E$130,4,FALSE))</f>
        <v/>
      </c>
      <c r="AK94" s="348" t="str">
        <f t="shared" si="16"/>
        <v/>
      </c>
      <c r="AL94" s="348" t="str">
        <f t="shared" si="17"/>
        <v/>
      </c>
      <c r="AM94" s="607" t="str">
        <f>IFERROR(IF(F94="","",IF(AH94="Check Data","Check Data",VLOOKUP(AL94, 'G-3 Multipliers'!$P$2:$Q$6,2,FALSE))),””)</f>
        <v/>
      </c>
      <c r="AN94" s="81" t="str">
        <f t="shared" si="12"/>
        <v/>
      </c>
      <c r="AO94" s="355"/>
      <c r="AP94" s="356"/>
    </row>
    <row r="95" spans="1:42" x14ac:dyDescent="0.25">
      <c r="A95" s="52" t="str">
        <f>IF(E95="","",IF(ISNA(VLOOKUP($E95,'A-1 Site Habitat Baseline'!$D$1:$O$258,2,FALSE)),"",(VLOOKUP($E95,'A-1 Site Habitat Baseline'!$D$1:$O$258,2,FALSE))))</f>
        <v/>
      </c>
      <c r="B95" s="52" t="str">
        <f>IF(E95="","",IF(ISNA(VLOOKUP($E95,'A-1 Site Habitat Baseline'!$D$1:$O$258,3,FALSE)),"",(VLOOKUP($E95,'A-1 Site Habitat Baseline'!$D$1:$O$258,3,FALSE))))</f>
        <v/>
      </c>
      <c r="C95" s="52" t="str">
        <f>IFERROR(INDEX('G-8 Condition Look up'!$I$4:$I$131,MATCH(S95,'G-8 Condition Look up'!$A$4:$A$131,0)),"")</f>
        <v/>
      </c>
      <c r="E95" s="342" t="str">
        <f>'A-1 Site Habitat Baseline'!AL94</f>
        <v/>
      </c>
      <c r="F95" s="343" t="str">
        <f>IF(E95="","",IF(ISNA(VLOOKUP($E95,'A-1 Site Habitat Baseline'!$D$1:$O$258,4,FALSE)),"",(VLOOKUP($E95,'A-1 Site Habitat Baseline'!$D$1:$O$258,4,FALSE))))</f>
        <v/>
      </c>
      <c r="G95" s="343" t="str">
        <f>IF(E95="","",IF(ISNA(VLOOKUP($E95,'A-1 Site Habitat Baseline'!$D$1:$O$258,5,FALSE)),"",(VLOOKUP($E95,'A-1 Site Habitat Baseline'!$D$1:$O$258,5,FALSE))))</f>
        <v/>
      </c>
      <c r="H95" s="343" t="str">
        <f>IF(E95="","",IF(ISNA(VLOOKUP($E95,'A-1 Site Habitat Baseline'!$D$1:$O$258,6,FALSE)),"",(VLOOKUP($E95,'A-1 Site Habitat Baseline'!$D$1:$O$258,6,FALSE))))</f>
        <v/>
      </c>
      <c r="I95" s="343" t="str">
        <f>IF(E95="","",IF(ISNA(VLOOKUP($E95,'A-1 Site Habitat Baseline'!$D$1:$O$258,7,FALSE)),"",(VLOOKUP($E95,'A-1 Site Habitat Baseline'!$D$1:$O$258,7,FALSE))))</f>
        <v/>
      </c>
      <c r="J95" s="343" t="str">
        <f>IF(E95="","",IF(ISNA(VLOOKUP($E95,'A-1 Site Habitat Baseline'!$D$1:$O$258,8,FALSE)),"",(VLOOKUP($E95,'A-1 Site Habitat Baseline'!$D$1:$O$258,8,FALSE))))</f>
        <v/>
      </c>
      <c r="K95" s="343" t="str">
        <f>IF(E95="","",IF(ISNA(VLOOKUP($E95,'A-1 Site Habitat Baseline'!$D$1:$O$258,9,FALSE)),"",(VLOOKUP($E95,'A-1 Site Habitat Baseline'!$D$1:$O$258,9,FALSE))))</f>
        <v/>
      </c>
      <c r="L95" s="343" t="str">
        <f>IF(E95="","",IF(ISNA(VLOOKUP($E95,'A-1 Site Habitat Baseline'!$D$1:$O$258,11,FALSE)),"",(VLOOKUP($E95,'A-1 Site Habitat Baseline'!$D$1:$O$258,11,FALSE))))</f>
        <v/>
      </c>
      <c r="M95" s="343" t="str">
        <f>IF(E95="","",IF(ISNA(VLOOKUP($E95,'A-1 Site Habitat Baseline'!$D$1:$O$258,12,FALSE)),"",(VLOOKUP($E95,'A-1 Site Habitat Baseline'!$D$1:$O$258,12,FALSE))))</f>
        <v/>
      </c>
      <c r="N95" s="344" t="str">
        <f>IF(E95="","",IF(ISNA(VLOOKUP($E95,'A-1 Site Habitat Baseline'!$D$1:$X$258,14,FALSE)),"",(VLOOKUP($E95,'A-1 Site Habitat Baseline'!$D$1:$X$258,14,FALSE))))</f>
        <v/>
      </c>
      <c r="O95" s="345" t="str">
        <f>IF(E95="","",IF(ISNA(VLOOKUP($E95,'A-1 Site Habitat Baseline'!$D$1:$X$258,16,FALSE)),"",(VLOOKUP($E95,'A-1 Site Habitat Baseline'!$D$1:$X$258,13,FALSE))))</f>
        <v/>
      </c>
      <c r="P95" s="346" t="str">
        <f>IFERROR(INDEX('G-1 All Habitats'!$AG$3:$AG$15,MATCH(Q95,'G-1 All Habitats'!$AF$3:$AF$15,0)),"")</f>
        <v/>
      </c>
      <c r="Q95" s="347"/>
      <c r="R95" s="347"/>
      <c r="S95" s="605" t="str">
        <f>IFERROR(INDEX('G-1 All Habitats'!$B$3:$B$130,MATCH(R95,'G-1 All Habitats'!$A$3:$A$130,0)),"")</f>
        <v/>
      </c>
      <c r="T95" s="77" t="str">
        <f t="shared" si="18"/>
        <v/>
      </c>
      <c r="U95" s="78" t="str">
        <f t="shared" si="13"/>
        <v/>
      </c>
      <c r="V95" s="350" t="str">
        <f t="shared" si="10"/>
        <v/>
      </c>
      <c r="W95" s="343" t="str">
        <f>IF(S95="","",VLOOKUP(S95,'G-1 All Habitats'!$B$2:$M$130,10,FALSE))</f>
        <v/>
      </c>
      <c r="X95" s="343" t="str">
        <f>IFERROR(VLOOKUP(W95,'G-1 All Habitats'!$V$3:$W$7,2,FALSE),"")</f>
        <v/>
      </c>
      <c r="Y95" s="91"/>
      <c r="Z95" s="345" t="str">
        <f>IFERROR(INDEX('G-8 Condition Look up'!$A$3:$H$131,MATCH(S95,'G-8 Condition Look up'!$A$3:$A$131,0),MATCH(Y95,'G-8 Condition Look up'!$A$3:$H$3,0)),"")</f>
        <v/>
      </c>
      <c r="AA95" s="79"/>
      <c r="AB95" s="343" t="str">
        <f>IF(AA95="","",IF(VLOOKUP(AA95,'G-3 Multipliers'!$L$3:$N$6,2,FALSE)=0,"Spatial Data Missing",VLOOKUP(AA95,'G-3 Multipliers'!$L$3:$N$6,2,FALSE)))</f>
        <v/>
      </c>
      <c r="AC95" s="345" t="str">
        <f>IF(AA95="","",IF(VLOOKUP(AA95,'G-3 Multipliers'!$L$3:$N$6,3,FALSE)=0,"Spatial Data Missing",VLOOKUP(AA95,'G-3 Multipliers'!$L$3:$N$6,3,FALSE)))</f>
        <v/>
      </c>
      <c r="AD95" s="351" t="str">
        <f t="shared" si="11"/>
        <v/>
      </c>
      <c r="AE95" s="94"/>
      <c r="AF95" s="94"/>
      <c r="AG95" s="343" t="str">
        <f t="shared" si="14"/>
        <v/>
      </c>
      <c r="AH95" s="591" t="str">
        <f t="shared" si="15"/>
        <v/>
      </c>
      <c r="AI95" s="353" t="str">
        <f>IF(AH95="Check Data","Check Data",IFERROR(VLOOKUP(AH95,'G-4 Temporal multipliers'!$A$4:$C$36,3,FALSE),""))</f>
        <v/>
      </c>
      <c r="AJ95" s="77" t="str">
        <f>IF(S95="","",VLOOKUP(S95,'G-3 Multipliers'!$A$2:$E$130,4,FALSE))</f>
        <v/>
      </c>
      <c r="AK95" s="348" t="str">
        <f t="shared" si="16"/>
        <v/>
      </c>
      <c r="AL95" s="348" t="str">
        <f t="shared" si="17"/>
        <v/>
      </c>
      <c r="AM95" s="607" t="str">
        <f>IFERROR(IF(F95="","",IF(AH95="Check Data","Check Data",VLOOKUP(AL95, 'G-3 Multipliers'!$P$2:$Q$6,2,FALSE))),””)</f>
        <v/>
      </c>
      <c r="AN95" s="81" t="str">
        <f t="shared" si="12"/>
        <v/>
      </c>
      <c r="AO95" s="355"/>
      <c r="AP95" s="356"/>
    </row>
    <row r="96" spans="1:42" x14ac:dyDescent="0.25">
      <c r="A96" s="52" t="str">
        <f>IF(E96="","",IF(ISNA(VLOOKUP($E96,'A-1 Site Habitat Baseline'!$D$1:$O$258,2,FALSE)),"",(VLOOKUP($E96,'A-1 Site Habitat Baseline'!$D$1:$O$258,2,FALSE))))</f>
        <v/>
      </c>
      <c r="B96" s="52" t="str">
        <f>IF(E96="","",IF(ISNA(VLOOKUP($E96,'A-1 Site Habitat Baseline'!$D$1:$O$258,3,FALSE)),"",(VLOOKUP($E96,'A-1 Site Habitat Baseline'!$D$1:$O$258,3,FALSE))))</f>
        <v/>
      </c>
      <c r="C96" s="52" t="str">
        <f>IFERROR(INDEX('G-8 Condition Look up'!$I$4:$I$131,MATCH(S96,'G-8 Condition Look up'!$A$4:$A$131,0)),"")</f>
        <v/>
      </c>
      <c r="E96" s="342" t="str">
        <f>'A-1 Site Habitat Baseline'!AL95</f>
        <v/>
      </c>
      <c r="F96" s="343" t="str">
        <f>IF(E96="","",IF(ISNA(VLOOKUP($E96,'A-1 Site Habitat Baseline'!$D$1:$O$258,4,FALSE)),"",(VLOOKUP($E96,'A-1 Site Habitat Baseline'!$D$1:$O$258,4,FALSE))))</f>
        <v/>
      </c>
      <c r="G96" s="343" t="str">
        <f>IF(E96="","",IF(ISNA(VLOOKUP($E96,'A-1 Site Habitat Baseline'!$D$1:$O$258,5,FALSE)),"",(VLOOKUP($E96,'A-1 Site Habitat Baseline'!$D$1:$O$258,5,FALSE))))</f>
        <v/>
      </c>
      <c r="H96" s="343" t="str">
        <f>IF(E96="","",IF(ISNA(VLOOKUP($E96,'A-1 Site Habitat Baseline'!$D$1:$O$258,6,FALSE)),"",(VLOOKUP($E96,'A-1 Site Habitat Baseline'!$D$1:$O$258,6,FALSE))))</f>
        <v/>
      </c>
      <c r="I96" s="343" t="str">
        <f>IF(E96="","",IF(ISNA(VLOOKUP($E96,'A-1 Site Habitat Baseline'!$D$1:$O$258,7,FALSE)),"",(VLOOKUP($E96,'A-1 Site Habitat Baseline'!$D$1:$O$258,7,FALSE))))</f>
        <v/>
      </c>
      <c r="J96" s="343" t="str">
        <f>IF(E96="","",IF(ISNA(VLOOKUP($E96,'A-1 Site Habitat Baseline'!$D$1:$O$258,8,FALSE)),"",(VLOOKUP($E96,'A-1 Site Habitat Baseline'!$D$1:$O$258,8,FALSE))))</f>
        <v/>
      </c>
      <c r="K96" s="343" t="str">
        <f>IF(E96="","",IF(ISNA(VLOOKUP($E96,'A-1 Site Habitat Baseline'!$D$1:$O$258,9,FALSE)),"",(VLOOKUP($E96,'A-1 Site Habitat Baseline'!$D$1:$O$258,9,FALSE))))</f>
        <v/>
      </c>
      <c r="L96" s="343" t="str">
        <f>IF(E96="","",IF(ISNA(VLOOKUP($E96,'A-1 Site Habitat Baseline'!$D$1:$O$258,11,FALSE)),"",(VLOOKUP($E96,'A-1 Site Habitat Baseline'!$D$1:$O$258,11,FALSE))))</f>
        <v/>
      </c>
      <c r="M96" s="343" t="str">
        <f>IF(E96="","",IF(ISNA(VLOOKUP($E96,'A-1 Site Habitat Baseline'!$D$1:$O$258,12,FALSE)),"",(VLOOKUP($E96,'A-1 Site Habitat Baseline'!$D$1:$O$258,12,FALSE))))</f>
        <v/>
      </c>
      <c r="N96" s="344" t="str">
        <f>IF(E96="","",IF(ISNA(VLOOKUP($E96,'A-1 Site Habitat Baseline'!$D$1:$X$258,14,FALSE)),"",(VLOOKUP($E96,'A-1 Site Habitat Baseline'!$D$1:$X$258,14,FALSE))))</f>
        <v/>
      </c>
      <c r="O96" s="345" t="str">
        <f>IF(E96="","",IF(ISNA(VLOOKUP($E96,'A-1 Site Habitat Baseline'!$D$1:$X$258,16,FALSE)),"",(VLOOKUP($E96,'A-1 Site Habitat Baseline'!$D$1:$X$258,13,FALSE))))</f>
        <v/>
      </c>
      <c r="P96" s="346" t="str">
        <f>IFERROR(INDEX('G-1 All Habitats'!$AG$3:$AG$15,MATCH(Q96,'G-1 All Habitats'!$AF$3:$AF$15,0)),"")</f>
        <v/>
      </c>
      <c r="Q96" s="347"/>
      <c r="R96" s="347"/>
      <c r="S96" s="605" t="str">
        <f>IFERROR(INDEX('G-1 All Habitats'!$B$3:$B$130,MATCH(R96,'G-1 All Habitats'!$A$3:$A$130,0)),"")</f>
        <v/>
      </c>
      <c r="T96" s="77" t="str">
        <f t="shared" si="18"/>
        <v/>
      </c>
      <c r="U96" s="78" t="str">
        <f t="shared" si="13"/>
        <v/>
      </c>
      <c r="V96" s="350" t="str">
        <f t="shared" si="10"/>
        <v/>
      </c>
      <c r="W96" s="343" t="str">
        <f>IF(S96="","",VLOOKUP(S96,'G-1 All Habitats'!$B$2:$M$130,10,FALSE))</f>
        <v/>
      </c>
      <c r="X96" s="343" t="str">
        <f>IFERROR(VLOOKUP(W96,'G-1 All Habitats'!$V$3:$W$7,2,FALSE),"")</f>
        <v/>
      </c>
      <c r="Y96" s="91"/>
      <c r="Z96" s="345" t="str">
        <f>IFERROR(INDEX('G-8 Condition Look up'!$A$3:$H$131,MATCH(S96,'G-8 Condition Look up'!$A$3:$A$131,0),MATCH(Y96,'G-8 Condition Look up'!$A$3:$H$3,0)),"")</f>
        <v/>
      </c>
      <c r="AA96" s="79"/>
      <c r="AB96" s="343" t="str">
        <f>IF(AA96="","",IF(VLOOKUP(AA96,'G-3 Multipliers'!$L$3:$N$6,2,FALSE)=0,"Spatial Data Missing",VLOOKUP(AA96,'G-3 Multipliers'!$L$3:$N$6,2,FALSE)))</f>
        <v/>
      </c>
      <c r="AC96" s="345" t="str">
        <f>IF(AA96="","",IF(VLOOKUP(AA96,'G-3 Multipliers'!$L$3:$N$6,3,FALSE)=0,"Spatial Data Missing",VLOOKUP(AA96,'G-3 Multipliers'!$L$3:$N$6,3,FALSE)))</f>
        <v/>
      </c>
      <c r="AD96" s="351" t="str">
        <f t="shared" si="11"/>
        <v/>
      </c>
      <c r="AE96" s="94"/>
      <c r="AF96" s="94"/>
      <c r="AG96" s="343" t="str">
        <f t="shared" si="14"/>
        <v/>
      </c>
      <c r="AH96" s="591" t="str">
        <f t="shared" si="15"/>
        <v/>
      </c>
      <c r="AI96" s="353" t="str">
        <f>IF(AH96="Check Data","Check Data",IFERROR(VLOOKUP(AH96,'G-4 Temporal multipliers'!$A$4:$C$36,3,FALSE),""))</f>
        <v/>
      </c>
      <c r="AJ96" s="77" t="str">
        <f>IF(S96="","",VLOOKUP(S96,'G-3 Multipliers'!$A$2:$E$130,4,FALSE))</f>
        <v/>
      </c>
      <c r="AK96" s="348" t="str">
        <f t="shared" si="16"/>
        <v/>
      </c>
      <c r="AL96" s="348" t="str">
        <f t="shared" si="17"/>
        <v/>
      </c>
      <c r="AM96" s="607" t="str">
        <f>IFERROR(IF(F96="","",IF(AH96="Check Data","Check Data",VLOOKUP(AL96, 'G-3 Multipliers'!$P$2:$Q$6,2,FALSE))),””)</f>
        <v/>
      </c>
      <c r="AN96" s="81" t="str">
        <f t="shared" si="12"/>
        <v/>
      </c>
      <c r="AO96" s="355"/>
      <c r="AP96" s="356"/>
    </row>
    <row r="97" spans="1:42" x14ac:dyDescent="0.25">
      <c r="A97" s="52" t="str">
        <f>IF(E97="","",IF(ISNA(VLOOKUP($E97,'A-1 Site Habitat Baseline'!$D$1:$O$258,2,FALSE)),"",(VLOOKUP($E97,'A-1 Site Habitat Baseline'!$D$1:$O$258,2,FALSE))))</f>
        <v/>
      </c>
      <c r="B97" s="52" t="str">
        <f>IF(E97="","",IF(ISNA(VLOOKUP($E97,'A-1 Site Habitat Baseline'!$D$1:$O$258,3,FALSE)),"",(VLOOKUP($E97,'A-1 Site Habitat Baseline'!$D$1:$O$258,3,FALSE))))</f>
        <v/>
      </c>
      <c r="C97" s="52" t="str">
        <f>IFERROR(INDEX('G-8 Condition Look up'!$I$4:$I$131,MATCH(S97,'G-8 Condition Look up'!$A$4:$A$131,0)),"")</f>
        <v/>
      </c>
      <c r="E97" s="342" t="str">
        <f>'A-1 Site Habitat Baseline'!AL96</f>
        <v/>
      </c>
      <c r="F97" s="343" t="str">
        <f>IF(E97="","",IF(ISNA(VLOOKUP($E97,'A-1 Site Habitat Baseline'!$D$1:$O$258,4,FALSE)),"",(VLOOKUP($E97,'A-1 Site Habitat Baseline'!$D$1:$O$258,4,FALSE))))</f>
        <v/>
      </c>
      <c r="G97" s="343" t="str">
        <f>IF(E97="","",IF(ISNA(VLOOKUP($E97,'A-1 Site Habitat Baseline'!$D$1:$O$258,5,FALSE)),"",(VLOOKUP($E97,'A-1 Site Habitat Baseline'!$D$1:$O$258,5,FALSE))))</f>
        <v/>
      </c>
      <c r="H97" s="343" t="str">
        <f>IF(E97="","",IF(ISNA(VLOOKUP($E97,'A-1 Site Habitat Baseline'!$D$1:$O$258,6,FALSE)),"",(VLOOKUP($E97,'A-1 Site Habitat Baseline'!$D$1:$O$258,6,FALSE))))</f>
        <v/>
      </c>
      <c r="I97" s="343" t="str">
        <f>IF(E97="","",IF(ISNA(VLOOKUP($E97,'A-1 Site Habitat Baseline'!$D$1:$O$258,7,FALSE)),"",(VLOOKUP($E97,'A-1 Site Habitat Baseline'!$D$1:$O$258,7,FALSE))))</f>
        <v/>
      </c>
      <c r="J97" s="343" t="str">
        <f>IF(E97="","",IF(ISNA(VLOOKUP($E97,'A-1 Site Habitat Baseline'!$D$1:$O$258,8,FALSE)),"",(VLOOKUP($E97,'A-1 Site Habitat Baseline'!$D$1:$O$258,8,FALSE))))</f>
        <v/>
      </c>
      <c r="K97" s="343" t="str">
        <f>IF(E97="","",IF(ISNA(VLOOKUP($E97,'A-1 Site Habitat Baseline'!$D$1:$O$258,9,FALSE)),"",(VLOOKUP($E97,'A-1 Site Habitat Baseline'!$D$1:$O$258,9,FALSE))))</f>
        <v/>
      </c>
      <c r="L97" s="343" t="str">
        <f>IF(E97="","",IF(ISNA(VLOOKUP($E97,'A-1 Site Habitat Baseline'!$D$1:$O$258,11,FALSE)),"",(VLOOKUP($E97,'A-1 Site Habitat Baseline'!$D$1:$O$258,11,FALSE))))</f>
        <v/>
      </c>
      <c r="M97" s="343" t="str">
        <f>IF(E97="","",IF(ISNA(VLOOKUP($E97,'A-1 Site Habitat Baseline'!$D$1:$O$258,12,FALSE)),"",(VLOOKUP($E97,'A-1 Site Habitat Baseline'!$D$1:$O$258,12,FALSE))))</f>
        <v/>
      </c>
      <c r="N97" s="344" t="str">
        <f>IF(E97="","",IF(ISNA(VLOOKUP($E97,'A-1 Site Habitat Baseline'!$D$1:$X$258,14,FALSE)),"",(VLOOKUP($E97,'A-1 Site Habitat Baseline'!$D$1:$X$258,14,FALSE))))</f>
        <v/>
      </c>
      <c r="O97" s="345" t="str">
        <f>IF(E97="","",IF(ISNA(VLOOKUP($E97,'A-1 Site Habitat Baseline'!$D$1:$X$258,16,FALSE)),"",(VLOOKUP($E97,'A-1 Site Habitat Baseline'!$D$1:$X$258,13,FALSE))))</f>
        <v/>
      </c>
      <c r="P97" s="346" t="str">
        <f>IFERROR(INDEX('G-1 All Habitats'!$AG$3:$AG$15,MATCH(Q97,'G-1 All Habitats'!$AF$3:$AF$15,0)),"")</f>
        <v/>
      </c>
      <c r="Q97" s="347"/>
      <c r="R97" s="347"/>
      <c r="S97" s="605" t="str">
        <f>IFERROR(INDEX('G-1 All Habitats'!$B$3:$B$130,MATCH(R97,'G-1 All Habitats'!$A$3:$A$130,0)),"")</f>
        <v/>
      </c>
      <c r="T97" s="77" t="str">
        <f t="shared" si="18"/>
        <v/>
      </c>
      <c r="U97" s="78" t="str">
        <f t="shared" si="13"/>
        <v/>
      </c>
      <c r="V97" s="350" t="str">
        <f t="shared" si="10"/>
        <v/>
      </c>
      <c r="W97" s="343" t="str">
        <f>IF(S97="","",VLOOKUP(S97,'G-1 All Habitats'!$B$2:$M$130,10,FALSE))</f>
        <v/>
      </c>
      <c r="X97" s="343" t="str">
        <f>IFERROR(VLOOKUP(W97,'G-1 All Habitats'!$V$3:$W$7,2,FALSE),"")</f>
        <v/>
      </c>
      <c r="Y97" s="91"/>
      <c r="Z97" s="345" t="str">
        <f>IFERROR(INDEX('G-8 Condition Look up'!$A$3:$H$131,MATCH(S97,'G-8 Condition Look up'!$A$3:$A$131,0),MATCH(Y97,'G-8 Condition Look up'!$A$3:$H$3,0)),"")</f>
        <v/>
      </c>
      <c r="AA97" s="79"/>
      <c r="AB97" s="343" t="str">
        <f>IF(AA97="","",IF(VLOOKUP(AA97,'G-3 Multipliers'!$L$3:$N$6,2,FALSE)=0,"Spatial Data Missing",VLOOKUP(AA97,'G-3 Multipliers'!$L$3:$N$6,2,FALSE)))</f>
        <v/>
      </c>
      <c r="AC97" s="345" t="str">
        <f>IF(AA97="","",IF(VLOOKUP(AA97,'G-3 Multipliers'!$L$3:$N$6,3,FALSE)=0,"Spatial Data Missing",VLOOKUP(AA97,'G-3 Multipliers'!$L$3:$N$6,3,FALSE)))</f>
        <v/>
      </c>
      <c r="AD97" s="351" t="str">
        <f t="shared" si="11"/>
        <v/>
      </c>
      <c r="AE97" s="94"/>
      <c r="AF97" s="94"/>
      <c r="AG97" s="343" t="str">
        <f t="shared" si="14"/>
        <v/>
      </c>
      <c r="AH97" s="591" t="str">
        <f t="shared" si="15"/>
        <v/>
      </c>
      <c r="AI97" s="353" t="str">
        <f>IF(AH97="Check Data","Check Data",IFERROR(VLOOKUP(AH97,'G-4 Temporal multipliers'!$A$4:$C$36,3,FALSE),""))</f>
        <v/>
      </c>
      <c r="AJ97" s="77" t="str">
        <f>IF(S97="","",VLOOKUP(S97,'G-3 Multipliers'!$A$2:$E$130,4,FALSE))</f>
        <v/>
      </c>
      <c r="AK97" s="348" t="str">
        <f t="shared" si="16"/>
        <v/>
      </c>
      <c r="AL97" s="348" t="str">
        <f t="shared" si="17"/>
        <v/>
      </c>
      <c r="AM97" s="607" t="str">
        <f>IFERROR(IF(F97="","",IF(AH97="Check Data","Check Data",VLOOKUP(AL97, 'G-3 Multipliers'!$P$2:$Q$6,2,FALSE))),””)</f>
        <v/>
      </c>
      <c r="AN97" s="81" t="str">
        <f t="shared" si="12"/>
        <v/>
      </c>
      <c r="AO97" s="355"/>
      <c r="AP97" s="356"/>
    </row>
    <row r="98" spans="1:42" x14ac:dyDescent="0.25">
      <c r="A98" s="52" t="str">
        <f>IF(E98="","",IF(ISNA(VLOOKUP($E98,'A-1 Site Habitat Baseline'!$D$1:$O$258,2,FALSE)),"",(VLOOKUP($E98,'A-1 Site Habitat Baseline'!$D$1:$O$258,2,FALSE))))</f>
        <v/>
      </c>
      <c r="B98" s="52" t="str">
        <f>IF(E98="","",IF(ISNA(VLOOKUP($E98,'A-1 Site Habitat Baseline'!$D$1:$O$258,3,FALSE)),"",(VLOOKUP($E98,'A-1 Site Habitat Baseline'!$D$1:$O$258,3,FALSE))))</f>
        <v/>
      </c>
      <c r="C98" s="52" t="str">
        <f>IFERROR(INDEX('G-8 Condition Look up'!$I$4:$I$131,MATCH(S98,'G-8 Condition Look up'!$A$4:$A$131,0)),"")</f>
        <v/>
      </c>
      <c r="E98" s="342" t="str">
        <f>'A-1 Site Habitat Baseline'!AL97</f>
        <v/>
      </c>
      <c r="F98" s="343" t="str">
        <f>IF(E98="","",IF(ISNA(VLOOKUP($E98,'A-1 Site Habitat Baseline'!$D$1:$O$258,4,FALSE)),"",(VLOOKUP($E98,'A-1 Site Habitat Baseline'!$D$1:$O$258,4,FALSE))))</f>
        <v/>
      </c>
      <c r="G98" s="343" t="str">
        <f>IF(E98="","",IF(ISNA(VLOOKUP($E98,'A-1 Site Habitat Baseline'!$D$1:$O$258,5,FALSE)),"",(VLOOKUP($E98,'A-1 Site Habitat Baseline'!$D$1:$O$258,5,FALSE))))</f>
        <v/>
      </c>
      <c r="H98" s="343" t="str">
        <f>IF(E98="","",IF(ISNA(VLOOKUP($E98,'A-1 Site Habitat Baseline'!$D$1:$O$258,6,FALSE)),"",(VLOOKUP($E98,'A-1 Site Habitat Baseline'!$D$1:$O$258,6,FALSE))))</f>
        <v/>
      </c>
      <c r="I98" s="343" t="str">
        <f>IF(E98="","",IF(ISNA(VLOOKUP($E98,'A-1 Site Habitat Baseline'!$D$1:$O$258,7,FALSE)),"",(VLOOKUP($E98,'A-1 Site Habitat Baseline'!$D$1:$O$258,7,FALSE))))</f>
        <v/>
      </c>
      <c r="J98" s="343" t="str">
        <f>IF(E98="","",IF(ISNA(VLOOKUP($E98,'A-1 Site Habitat Baseline'!$D$1:$O$258,8,FALSE)),"",(VLOOKUP($E98,'A-1 Site Habitat Baseline'!$D$1:$O$258,8,FALSE))))</f>
        <v/>
      </c>
      <c r="K98" s="343" t="str">
        <f>IF(E98="","",IF(ISNA(VLOOKUP($E98,'A-1 Site Habitat Baseline'!$D$1:$O$258,9,FALSE)),"",(VLOOKUP($E98,'A-1 Site Habitat Baseline'!$D$1:$O$258,9,FALSE))))</f>
        <v/>
      </c>
      <c r="L98" s="343" t="str">
        <f>IF(E98="","",IF(ISNA(VLOOKUP($E98,'A-1 Site Habitat Baseline'!$D$1:$O$258,11,FALSE)),"",(VLOOKUP($E98,'A-1 Site Habitat Baseline'!$D$1:$O$258,11,FALSE))))</f>
        <v/>
      </c>
      <c r="M98" s="343" t="str">
        <f>IF(E98="","",IF(ISNA(VLOOKUP($E98,'A-1 Site Habitat Baseline'!$D$1:$O$258,12,FALSE)),"",(VLOOKUP($E98,'A-1 Site Habitat Baseline'!$D$1:$O$258,12,FALSE))))</f>
        <v/>
      </c>
      <c r="N98" s="344" t="str">
        <f>IF(E98="","",IF(ISNA(VLOOKUP($E98,'A-1 Site Habitat Baseline'!$D$1:$X$258,14,FALSE)),"",(VLOOKUP($E98,'A-1 Site Habitat Baseline'!$D$1:$X$258,14,FALSE))))</f>
        <v/>
      </c>
      <c r="O98" s="345" t="str">
        <f>IF(E98="","",IF(ISNA(VLOOKUP($E98,'A-1 Site Habitat Baseline'!$D$1:$X$258,16,FALSE)),"",(VLOOKUP($E98,'A-1 Site Habitat Baseline'!$D$1:$X$258,13,FALSE))))</f>
        <v/>
      </c>
      <c r="P98" s="346" t="str">
        <f>IFERROR(INDEX('G-1 All Habitats'!$AG$3:$AG$15,MATCH(Q98,'G-1 All Habitats'!$AF$3:$AF$15,0)),"")</f>
        <v/>
      </c>
      <c r="Q98" s="347"/>
      <c r="R98" s="347"/>
      <c r="S98" s="605" t="str">
        <f>IFERROR(INDEX('G-1 All Habitats'!$B$3:$B$130,MATCH(R98,'G-1 All Habitats'!$A$3:$A$130,0)),"")</f>
        <v/>
      </c>
      <c r="T98" s="77" t="str">
        <f t="shared" si="18"/>
        <v/>
      </c>
      <c r="U98" s="78" t="str">
        <f t="shared" si="13"/>
        <v/>
      </c>
      <c r="V98" s="350" t="str">
        <f t="shared" si="10"/>
        <v/>
      </c>
      <c r="W98" s="343" t="str">
        <f>IF(S98="","",VLOOKUP(S98,'G-1 All Habitats'!$B$2:$M$130,10,FALSE))</f>
        <v/>
      </c>
      <c r="X98" s="343" t="str">
        <f>IFERROR(VLOOKUP(W98,'G-1 All Habitats'!$V$3:$W$7,2,FALSE),"")</f>
        <v/>
      </c>
      <c r="Y98" s="91"/>
      <c r="Z98" s="345" t="str">
        <f>IFERROR(INDEX('G-8 Condition Look up'!$A$3:$H$131,MATCH(S98,'G-8 Condition Look up'!$A$3:$A$131,0),MATCH(Y98,'G-8 Condition Look up'!$A$3:$H$3,0)),"")</f>
        <v/>
      </c>
      <c r="AA98" s="79"/>
      <c r="AB98" s="343" t="str">
        <f>IF(AA98="","",IF(VLOOKUP(AA98,'G-3 Multipliers'!$L$3:$N$6,2,FALSE)=0,"Spatial Data Missing",VLOOKUP(AA98,'G-3 Multipliers'!$L$3:$N$6,2,FALSE)))</f>
        <v/>
      </c>
      <c r="AC98" s="345" t="str">
        <f>IF(AA98="","",IF(VLOOKUP(AA98,'G-3 Multipliers'!$L$3:$N$6,3,FALSE)=0,"Spatial Data Missing",VLOOKUP(AA98,'G-3 Multipliers'!$L$3:$N$6,3,FALSE)))</f>
        <v/>
      </c>
      <c r="AD98" s="351" t="str">
        <f t="shared" si="11"/>
        <v/>
      </c>
      <c r="AE98" s="94"/>
      <c r="AF98" s="94"/>
      <c r="AG98" s="343" t="str">
        <f t="shared" si="14"/>
        <v/>
      </c>
      <c r="AH98" s="591" t="str">
        <f t="shared" si="15"/>
        <v/>
      </c>
      <c r="AI98" s="353" t="str">
        <f>IF(AH98="Check Data","Check Data",IFERROR(VLOOKUP(AH98,'G-4 Temporal multipliers'!$A$4:$C$36,3,FALSE),""))</f>
        <v/>
      </c>
      <c r="AJ98" s="77" t="str">
        <f>IF(S98="","",VLOOKUP(S98,'G-3 Multipliers'!$A$2:$E$130,4,FALSE))</f>
        <v/>
      </c>
      <c r="AK98" s="348" t="str">
        <f t="shared" si="16"/>
        <v/>
      </c>
      <c r="AL98" s="348" t="str">
        <f t="shared" si="17"/>
        <v/>
      </c>
      <c r="AM98" s="607" t="str">
        <f>IFERROR(IF(F98="","",IF(AH98="Check Data","Check Data",VLOOKUP(AL98, 'G-3 Multipliers'!$P$2:$Q$6,2,FALSE))),””)</f>
        <v/>
      </c>
      <c r="AN98" s="81" t="str">
        <f t="shared" si="12"/>
        <v/>
      </c>
      <c r="AO98" s="355"/>
      <c r="AP98" s="356"/>
    </row>
    <row r="99" spans="1:42" x14ac:dyDescent="0.25">
      <c r="A99" s="52" t="str">
        <f>IF(E99="","",IF(ISNA(VLOOKUP($E99,'A-1 Site Habitat Baseline'!$D$1:$O$258,2,FALSE)),"",(VLOOKUP($E99,'A-1 Site Habitat Baseline'!$D$1:$O$258,2,FALSE))))</f>
        <v/>
      </c>
      <c r="B99" s="52" t="str">
        <f>IF(E99="","",IF(ISNA(VLOOKUP($E99,'A-1 Site Habitat Baseline'!$D$1:$O$258,3,FALSE)),"",(VLOOKUP($E99,'A-1 Site Habitat Baseline'!$D$1:$O$258,3,FALSE))))</f>
        <v/>
      </c>
      <c r="C99" s="52" t="str">
        <f>IFERROR(INDEX('G-8 Condition Look up'!$I$4:$I$131,MATCH(S99,'G-8 Condition Look up'!$A$4:$A$131,0)),"")</f>
        <v/>
      </c>
      <c r="E99" s="342" t="str">
        <f>'A-1 Site Habitat Baseline'!AL98</f>
        <v/>
      </c>
      <c r="F99" s="343" t="str">
        <f>IF(E99="","",IF(ISNA(VLOOKUP($E99,'A-1 Site Habitat Baseline'!$D$1:$O$258,4,FALSE)),"",(VLOOKUP($E99,'A-1 Site Habitat Baseline'!$D$1:$O$258,4,FALSE))))</f>
        <v/>
      </c>
      <c r="G99" s="343" t="str">
        <f>IF(E99="","",IF(ISNA(VLOOKUP($E99,'A-1 Site Habitat Baseline'!$D$1:$O$258,5,FALSE)),"",(VLOOKUP($E99,'A-1 Site Habitat Baseline'!$D$1:$O$258,5,FALSE))))</f>
        <v/>
      </c>
      <c r="H99" s="343" t="str">
        <f>IF(E99="","",IF(ISNA(VLOOKUP($E99,'A-1 Site Habitat Baseline'!$D$1:$O$258,6,FALSE)),"",(VLOOKUP($E99,'A-1 Site Habitat Baseline'!$D$1:$O$258,6,FALSE))))</f>
        <v/>
      </c>
      <c r="I99" s="343" t="str">
        <f>IF(E99="","",IF(ISNA(VLOOKUP($E99,'A-1 Site Habitat Baseline'!$D$1:$O$258,7,FALSE)),"",(VLOOKUP($E99,'A-1 Site Habitat Baseline'!$D$1:$O$258,7,FALSE))))</f>
        <v/>
      </c>
      <c r="J99" s="343" t="str">
        <f>IF(E99="","",IF(ISNA(VLOOKUP($E99,'A-1 Site Habitat Baseline'!$D$1:$O$258,8,FALSE)),"",(VLOOKUP($E99,'A-1 Site Habitat Baseline'!$D$1:$O$258,8,FALSE))))</f>
        <v/>
      </c>
      <c r="K99" s="343" t="str">
        <f>IF(E99="","",IF(ISNA(VLOOKUP($E99,'A-1 Site Habitat Baseline'!$D$1:$O$258,9,FALSE)),"",(VLOOKUP($E99,'A-1 Site Habitat Baseline'!$D$1:$O$258,9,FALSE))))</f>
        <v/>
      </c>
      <c r="L99" s="343" t="str">
        <f>IF(E99="","",IF(ISNA(VLOOKUP($E99,'A-1 Site Habitat Baseline'!$D$1:$O$258,11,FALSE)),"",(VLOOKUP($E99,'A-1 Site Habitat Baseline'!$D$1:$O$258,11,FALSE))))</f>
        <v/>
      </c>
      <c r="M99" s="343" t="str">
        <f>IF(E99="","",IF(ISNA(VLOOKUP($E99,'A-1 Site Habitat Baseline'!$D$1:$O$258,12,FALSE)),"",(VLOOKUP($E99,'A-1 Site Habitat Baseline'!$D$1:$O$258,12,FALSE))))</f>
        <v/>
      </c>
      <c r="N99" s="344" t="str">
        <f>IF(E99="","",IF(ISNA(VLOOKUP($E99,'A-1 Site Habitat Baseline'!$D$1:$X$258,14,FALSE)),"",(VLOOKUP($E99,'A-1 Site Habitat Baseline'!$D$1:$X$258,14,FALSE))))</f>
        <v/>
      </c>
      <c r="O99" s="345" t="str">
        <f>IF(E99="","",IF(ISNA(VLOOKUP($E99,'A-1 Site Habitat Baseline'!$D$1:$X$258,16,FALSE)),"",(VLOOKUP($E99,'A-1 Site Habitat Baseline'!$D$1:$X$258,13,FALSE))))</f>
        <v/>
      </c>
      <c r="P99" s="346" t="str">
        <f>IFERROR(INDEX('G-1 All Habitats'!$AG$3:$AG$15,MATCH(Q99,'G-1 All Habitats'!$AF$3:$AF$15,0)),"")</f>
        <v/>
      </c>
      <c r="Q99" s="347"/>
      <c r="R99" s="347"/>
      <c r="S99" s="605" t="str">
        <f>IFERROR(INDEX('G-1 All Habitats'!$B$3:$B$130,MATCH(R99,'G-1 All Habitats'!$A$3:$A$130,0)),"")</f>
        <v/>
      </c>
      <c r="T99" s="77" t="str">
        <f t="shared" si="18"/>
        <v/>
      </c>
      <c r="U99" s="78" t="str">
        <f t="shared" si="13"/>
        <v/>
      </c>
      <c r="V99" s="350" t="str">
        <f t="shared" si="10"/>
        <v/>
      </c>
      <c r="W99" s="343" t="str">
        <f>IF(S99="","",VLOOKUP(S99,'G-1 All Habitats'!$B$2:$M$130,10,FALSE))</f>
        <v/>
      </c>
      <c r="X99" s="343" t="str">
        <f>IFERROR(VLOOKUP(W99,'G-1 All Habitats'!$V$3:$W$7,2,FALSE),"")</f>
        <v/>
      </c>
      <c r="Y99" s="91"/>
      <c r="Z99" s="345" t="str">
        <f>IFERROR(INDEX('G-8 Condition Look up'!$A$3:$H$131,MATCH(S99,'G-8 Condition Look up'!$A$3:$A$131,0),MATCH(Y99,'G-8 Condition Look up'!$A$3:$H$3,0)),"")</f>
        <v/>
      </c>
      <c r="AA99" s="79"/>
      <c r="AB99" s="343" t="str">
        <f>IF(AA99="","",IF(VLOOKUP(AA99,'G-3 Multipliers'!$L$3:$N$6,2,FALSE)=0,"Spatial Data Missing",VLOOKUP(AA99,'G-3 Multipliers'!$L$3:$N$6,2,FALSE)))</f>
        <v/>
      </c>
      <c r="AC99" s="345" t="str">
        <f>IF(AA99="","",IF(VLOOKUP(AA99,'G-3 Multipliers'!$L$3:$N$6,3,FALSE)=0,"Spatial Data Missing",VLOOKUP(AA99,'G-3 Multipliers'!$L$3:$N$6,3,FALSE)))</f>
        <v/>
      </c>
      <c r="AD99" s="351" t="str">
        <f t="shared" si="11"/>
        <v/>
      </c>
      <c r="AE99" s="94"/>
      <c r="AF99" s="94"/>
      <c r="AG99" s="343" t="str">
        <f t="shared" si="14"/>
        <v/>
      </c>
      <c r="AH99" s="591" t="str">
        <f t="shared" si="15"/>
        <v/>
      </c>
      <c r="AI99" s="353" t="str">
        <f>IF(AH99="Check Data","Check Data",IFERROR(VLOOKUP(AH99,'G-4 Temporal multipliers'!$A$4:$C$36,3,FALSE),""))</f>
        <v/>
      </c>
      <c r="AJ99" s="77" t="str">
        <f>IF(S99="","",VLOOKUP(S99,'G-3 Multipliers'!$A$2:$E$130,4,FALSE))</f>
        <v/>
      </c>
      <c r="AK99" s="348" t="str">
        <f t="shared" si="16"/>
        <v/>
      </c>
      <c r="AL99" s="348" t="str">
        <f t="shared" si="17"/>
        <v/>
      </c>
      <c r="AM99" s="607" t="str">
        <f>IFERROR(IF(F99="","",IF(AH99="Check Data","Check Data",VLOOKUP(AL99, 'G-3 Multipliers'!$P$2:$Q$6,2,FALSE))),””)</f>
        <v/>
      </c>
      <c r="AN99" s="81" t="str">
        <f t="shared" si="12"/>
        <v/>
      </c>
      <c r="AO99" s="355"/>
      <c r="AP99" s="356"/>
    </row>
    <row r="100" spans="1:42" x14ac:dyDescent="0.25">
      <c r="A100" s="52" t="str">
        <f>IF(E100="","",IF(ISNA(VLOOKUP($E100,'A-1 Site Habitat Baseline'!$D$1:$O$258,2,FALSE)),"",(VLOOKUP($E100,'A-1 Site Habitat Baseline'!$D$1:$O$258,2,FALSE))))</f>
        <v/>
      </c>
      <c r="B100" s="52" t="str">
        <f>IF(E100="","",IF(ISNA(VLOOKUP($E100,'A-1 Site Habitat Baseline'!$D$1:$O$258,3,FALSE)),"",(VLOOKUP($E100,'A-1 Site Habitat Baseline'!$D$1:$O$258,3,FALSE))))</f>
        <v/>
      </c>
      <c r="C100" s="52" t="str">
        <f>IFERROR(INDEX('G-8 Condition Look up'!$I$4:$I$131,MATCH(S100,'G-8 Condition Look up'!$A$4:$A$131,0)),"")</f>
        <v/>
      </c>
      <c r="E100" s="342" t="str">
        <f>'A-1 Site Habitat Baseline'!AL99</f>
        <v/>
      </c>
      <c r="F100" s="343" t="str">
        <f>IF(E100="","",IF(ISNA(VLOOKUP($E100,'A-1 Site Habitat Baseline'!$D$1:$O$258,4,FALSE)),"",(VLOOKUP($E100,'A-1 Site Habitat Baseline'!$D$1:$O$258,4,FALSE))))</f>
        <v/>
      </c>
      <c r="G100" s="343" t="str">
        <f>IF(E100="","",IF(ISNA(VLOOKUP($E100,'A-1 Site Habitat Baseline'!$D$1:$O$258,5,FALSE)),"",(VLOOKUP($E100,'A-1 Site Habitat Baseline'!$D$1:$O$258,5,FALSE))))</f>
        <v/>
      </c>
      <c r="H100" s="343" t="str">
        <f>IF(E100="","",IF(ISNA(VLOOKUP($E100,'A-1 Site Habitat Baseline'!$D$1:$O$258,6,FALSE)),"",(VLOOKUP($E100,'A-1 Site Habitat Baseline'!$D$1:$O$258,6,FALSE))))</f>
        <v/>
      </c>
      <c r="I100" s="343" t="str">
        <f>IF(E100="","",IF(ISNA(VLOOKUP($E100,'A-1 Site Habitat Baseline'!$D$1:$O$258,7,FALSE)),"",(VLOOKUP($E100,'A-1 Site Habitat Baseline'!$D$1:$O$258,7,FALSE))))</f>
        <v/>
      </c>
      <c r="J100" s="343" t="str">
        <f>IF(E100="","",IF(ISNA(VLOOKUP($E100,'A-1 Site Habitat Baseline'!$D$1:$O$258,8,FALSE)),"",(VLOOKUP($E100,'A-1 Site Habitat Baseline'!$D$1:$O$258,8,FALSE))))</f>
        <v/>
      </c>
      <c r="K100" s="343" t="str">
        <f>IF(E100="","",IF(ISNA(VLOOKUP($E100,'A-1 Site Habitat Baseline'!$D$1:$O$258,9,FALSE)),"",(VLOOKUP($E100,'A-1 Site Habitat Baseline'!$D$1:$O$258,9,FALSE))))</f>
        <v/>
      </c>
      <c r="L100" s="343" t="str">
        <f>IF(E100="","",IF(ISNA(VLOOKUP($E100,'A-1 Site Habitat Baseline'!$D$1:$O$258,11,FALSE)),"",(VLOOKUP($E100,'A-1 Site Habitat Baseline'!$D$1:$O$258,11,FALSE))))</f>
        <v/>
      </c>
      <c r="M100" s="343" t="str">
        <f>IF(E100="","",IF(ISNA(VLOOKUP($E100,'A-1 Site Habitat Baseline'!$D$1:$O$258,12,FALSE)),"",(VLOOKUP($E100,'A-1 Site Habitat Baseline'!$D$1:$O$258,12,FALSE))))</f>
        <v/>
      </c>
      <c r="N100" s="344" t="str">
        <f>IF(E100="","",IF(ISNA(VLOOKUP($E100,'A-1 Site Habitat Baseline'!$D$1:$X$258,14,FALSE)),"",(VLOOKUP($E100,'A-1 Site Habitat Baseline'!$D$1:$X$258,14,FALSE))))</f>
        <v/>
      </c>
      <c r="O100" s="345" t="str">
        <f>IF(E100="","",IF(ISNA(VLOOKUP($E100,'A-1 Site Habitat Baseline'!$D$1:$X$258,16,FALSE)),"",(VLOOKUP($E100,'A-1 Site Habitat Baseline'!$D$1:$X$258,13,FALSE))))</f>
        <v/>
      </c>
      <c r="P100" s="346" t="str">
        <f>IFERROR(INDEX('G-1 All Habitats'!$AG$3:$AG$15,MATCH(Q100,'G-1 All Habitats'!$AF$3:$AF$15,0)),"")</f>
        <v/>
      </c>
      <c r="Q100" s="347"/>
      <c r="R100" s="347"/>
      <c r="S100" s="605" t="str">
        <f>IFERROR(INDEX('G-1 All Habitats'!$B$3:$B$130,MATCH(R100,'G-1 All Habitats'!$A$3:$A$130,0)),"")</f>
        <v/>
      </c>
      <c r="T100" s="77" t="str">
        <f t="shared" si="18"/>
        <v/>
      </c>
      <c r="U100" s="78" t="str">
        <f t="shared" si="13"/>
        <v/>
      </c>
      <c r="V100" s="350" t="str">
        <f t="shared" si="10"/>
        <v/>
      </c>
      <c r="W100" s="343" t="str">
        <f>IF(S100="","",VLOOKUP(S100,'G-1 All Habitats'!$B$2:$M$130,10,FALSE))</f>
        <v/>
      </c>
      <c r="X100" s="343" t="str">
        <f>IFERROR(VLOOKUP(W100,'G-1 All Habitats'!$V$3:$W$7,2,FALSE),"")</f>
        <v/>
      </c>
      <c r="Y100" s="91"/>
      <c r="Z100" s="345" t="str">
        <f>IFERROR(INDEX('G-8 Condition Look up'!$A$3:$H$131,MATCH(S100,'G-8 Condition Look up'!$A$3:$A$131,0),MATCH(Y100,'G-8 Condition Look up'!$A$3:$H$3,0)),"")</f>
        <v/>
      </c>
      <c r="AA100" s="79"/>
      <c r="AB100" s="343" t="str">
        <f>IF(AA100="","",IF(VLOOKUP(AA100,'G-3 Multipliers'!$L$3:$N$6,2,FALSE)=0,"Spatial Data Missing",VLOOKUP(AA100,'G-3 Multipliers'!$L$3:$N$6,2,FALSE)))</f>
        <v/>
      </c>
      <c r="AC100" s="345" t="str">
        <f>IF(AA100="","",IF(VLOOKUP(AA100,'G-3 Multipliers'!$L$3:$N$6,3,FALSE)=0,"Spatial Data Missing",VLOOKUP(AA100,'G-3 Multipliers'!$L$3:$N$6,3,FALSE)))</f>
        <v/>
      </c>
      <c r="AD100" s="351" t="str">
        <f t="shared" si="11"/>
        <v/>
      </c>
      <c r="AE100" s="94"/>
      <c r="AF100" s="94"/>
      <c r="AG100" s="343" t="str">
        <f t="shared" si="14"/>
        <v/>
      </c>
      <c r="AH100" s="591" t="str">
        <f t="shared" si="15"/>
        <v/>
      </c>
      <c r="AI100" s="353" t="str">
        <f>IF(AH100="Check Data","Check Data",IFERROR(VLOOKUP(AH100,'G-4 Temporal multipliers'!$A$4:$C$36,3,FALSE),""))</f>
        <v/>
      </c>
      <c r="AJ100" s="77" t="str">
        <f>IF(S100="","",VLOOKUP(S100,'G-3 Multipliers'!$A$2:$E$130,4,FALSE))</f>
        <v/>
      </c>
      <c r="AK100" s="348" t="str">
        <f t="shared" si="16"/>
        <v/>
      </c>
      <c r="AL100" s="348" t="str">
        <f t="shared" si="17"/>
        <v/>
      </c>
      <c r="AM100" s="607" t="str">
        <f>IFERROR(IF(F100="","",IF(AH100="Check Data","Check Data",VLOOKUP(AL100, 'G-3 Multipliers'!$P$2:$Q$6,2,FALSE))),””)</f>
        <v/>
      </c>
      <c r="AN100" s="81" t="str">
        <f t="shared" si="12"/>
        <v/>
      </c>
      <c r="AO100" s="355"/>
      <c r="AP100" s="356"/>
    </row>
    <row r="101" spans="1:42" x14ac:dyDescent="0.25">
      <c r="A101" s="52" t="str">
        <f>IF(E101="","",IF(ISNA(VLOOKUP($E101,'A-1 Site Habitat Baseline'!$D$1:$O$258,2,FALSE)),"",(VLOOKUP($E101,'A-1 Site Habitat Baseline'!$D$1:$O$258,2,FALSE))))</f>
        <v/>
      </c>
      <c r="B101" s="52" t="str">
        <f>IF(E101="","",IF(ISNA(VLOOKUP($E101,'A-1 Site Habitat Baseline'!$D$1:$O$258,3,FALSE)),"",(VLOOKUP($E101,'A-1 Site Habitat Baseline'!$D$1:$O$258,3,FALSE))))</f>
        <v/>
      </c>
      <c r="C101" s="52" t="str">
        <f>IFERROR(INDEX('G-8 Condition Look up'!$I$4:$I$131,MATCH(S101,'G-8 Condition Look up'!$A$4:$A$131,0)),"")</f>
        <v/>
      </c>
      <c r="E101" s="342" t="str">
        <f>'A-1 Site Habitat Baseline'!AL100</f>
        <v/>
      </c>
      <c r="F101" s="343" t="str">
        <f>IF(E101="","",IF(ISNA(VLOOKUP($E101,'A-1 Site Habitat Baseline'!$D$1:$O$258,4,FALSE)),"",(VLOOKUP($E101,'A-1 Site Habitat Baseline'!$D$1:$O$258,4,FALSE))))</f>
        <v/>
      </c>
      <c r="G101" s="343" t="str">
        <f>IF(E101="","",IF(ISNA(VLOOKUP($E101,'A-1 Site Habitat Baseline'!$D$1:$O$258,5,FALSE)),"",(VLOOKUP($E101,'A-1 Site Habitat Baseline'!$D$1:$O$258,5,FALSE))))</f>
        <v/>
      </c>
      <c r="H101" s="343" t="str">
        <f>IF(E101="","",IF(ISNA(VLOOKUP($E101,'A-1 Site Habitat Baseline'!$D$1:$O$258,6,FALSE)),"",(VLOOKUP($E101,'A-1 Site Habitat Baseline'!$D$1:$O$258,6,FALSE))))</f>
        <v/>
      </c>
      <c r="I101" s="343" t="str">
        <f>IF(E101="","",IF(ISNA(VLOOKUP($E101,'A-1 Site Habitat Baseline'!$D$1:$O$258,7,FALSE)),"",(VLOOKUP($E101,'A-1 Site Habitat Baseline'!$D$1:$O$258,7,FALSE))))</f>
        <v/>
      </c>
      <c r="J101" s="343" t="str">
        <f>IF(E101="","",IF(ISNA(VLOOKUP($E101,'A-1 Site Habitat Baseline'!$D$1:$O$258,8,FALSE)),"",(VLOOKUP($E101,'A-1 Site Habitat Baseline'!$D$1:$O$258,8,FALSE))))</f>
        <v/>
      </c>
      <c r="K101" s="343" t="str">
        <f>IF(E101="","",IF(ISNA(VLOOKUP($E101,'A-1 Site Habitat Baseline'!$D$1:$O$258,9,FALSE)),"",(VLOOKUP($E101,'A-1 Site Habitat Baseline'!$D$1:$O$258,9,FALSE))))</f>
        <v/>
      </c>
      <c r="L101" s="343" t="str">
        <f>IF(E101="","",IF(ISNA(VLOOKUP($E101,'A-1 Site Habitat Baseline'!$D$1:$O$258,11,FALSE)),"",(VLOOKUP($E101,'A-1 Site Habitat Baseline'!$D$1:$O$258,11,FALSE))))</f>
        <v/>
      </c>
      <c r="M101" s="343" t="str">
        <f>IF(E101="","",IF(ISNA(VLOOKUP($E101,'A-1 Site Habitat Baseline'!$D$1:$O$258,12,FALSE)),"",(VLOOKUP($E101,'A-1 Site Habitat Baseline'!$D$1:$O$258,12,FALSE))))</f>
        <v/>
      </c>
      <c r="N101" s="344" t="str">
        <f>IF(E101="","",IF(ISNA(VLOOKUP($E101,'A-1 Site Habitat Baseline'!$D$1:$X$258,14,FALSE)),"",(VLOOKUP($E101,'A-1 Site Habitat Baseline'!$D$1:$X$258,14,FALSE))))</f>
        <v/>
      </c>
      <c r="O101" s="345" t="str">
        <f>IF(E101="","",IF(ISNA(VLOOKUP($E101,'A-1 Site Habitat Baseline'!$D$1:$X$258,16,FALSE)),"",(VLOOKUP($E101,'A-1 Site Habitat Baseline'!$D$1:$X$258,13,FALSE))))</f>
        <v/>
      </c>
      <c r="P101" s="346" t="str">
        <f>IFERROR(INDEX('G-1 All Habitats'!$AG$3:$AG$15,MATCH(Q101,'G-1 All Habitats'!$AF$3:$AF$15,0)),"")</f>
        <v/>
      </c>
      <c r="Q101" s="347"/>
      <c r="R101" s="347"/>
      <c r="S101" s="605" t="str">
        <f>IFERROR(INDEX('G-1 All Habitats'!$B$3:$B$130,MATCH(R101,'G-1 All Habitats'!$A$3:$A$130,0)),"")</f>
        <v/>
      </c>
      <c r="T101" s="77" t="str">
        <f t="shared" si="18"/>
        <v/>
      </c>
      <c r="U101" s="78" t="str">
        <f t="shared" si="13"/>
        <v/>
      </c>
      <c r="V101" s="350" t="str">
        <f t="shared" si="10"/>
        <v/>
      </c>
      <c r="W101" s="343" t="str">
        <f>IF(S101="","",VLOOKUP(S101,'G-1 All Habitats'!$B$2:$M$130,10,FALSE))</f>
        <v/>
      </c>
      <c r="X101" s="343" t="str">
        <f>IFERROR(VLOOKUP(W101,'G-1 All Habitats'!$V$3:$W$7,2,FALSE),"")</f>
        <v/>
      </c>
      <c r="Y101" s="91"/>
      <c r="Z101" s="345" t="str">
        <f>IFERROR(INDEX('G-8 Condition Look up'!$A$3:$H$131,MATCH(S101,'G-8 Condition Look up'!$A$3:$A$131,0),MATCH(Y101,'G-8 Condition Look up'!$A$3:$H$3,0)),"")</f>
        <v/>
      </c>
      <c r="AA101" s="79"/>
      <c r="AB101" s="343" t="str">
        <f>IF(AA101="","",IF(VLOOKUP(AA101,'G-3 Multipliers'!$L$3:$N$6,2,FALSE)=0,"Spatial Data Missing",VLOOKUP(AA101,'G-3 Multipliers'!$L$3:$N$6,2,FALSE)))</f>
        <v/>
      </c>
      <c r="AC101" s="345" t="str">
        <f>IF(AA101="","",IF(VLOOKUP(AA101,'G-3 Multipliers'!$L$3:$N$6,3,FALSE)=0,"Spatial Data Missing",VLOOKUP(AA101,'G-3 Multipliers'!$L$3:$N$6,3,FALSE)))</f>
        <v/>
      </c>
      <c r="AD101" s="351" t="str">
        <f t="shared" si="11"/>
        <v/>
      </c>
      <c r="AE101" s="94"/>
      <c r="AF101" s="94"/>
      <c r="AG101" s="343" t="str">
        <f t="shared" si="14"/>
        <v/>
      </c>
      <c r="AH101" s="591" t="str">
        <f t="shared" si="15"/>
        <v/>
      </c>
      <c r="AI101" s="353" t="str">
        <f>IF(AH101="Check Data","Check Data",IFERROR(VLOOKUP(AH101,'G-4 Temporal multipliers'!$A$4:$C$36,3,FALSE),""))</f>
        <v/>
      </c>
      <c r="AJ101" s="77" t="str">
        <f>IF(S101="","",VLOOKUP(S101,'G-3 Multipliers'!$A$2:$E$130,4,FALSE))</f>
        <v/>
      </c>
      <c r="AK101" s="348" t="str">
        <f t="shared" si="16"/>
        <v/>
      </c>
      <c r="AL101" s="348" t="str">
        <f t="shared" si="17"/>
        <v/>
      </c>
      <c r="AM101" s="607" t="str">
        <f>IFERROR(IF(F101="","",IF(AH101="Check Data","Check Data",VLOOKUP(AL101, 'G-3 Multipliers'!$P$2:$Q$6,2,FALSE))),””)</f>
        <v/>
      </c>
      <c r="AN101" s="81" t="str">
        <f t="shared" si="12"/>
        <v/>
      </c>
      <c r="AO101" s="355"/>
      <c r="AP101" s="356"/>
    </row>
    <row r="102" spans="1:42" x14ac:dyDescent="0.25">
      <c r="A102" s="52" t="str">
        <f>IF(E102="","",IF(ISNA(VLOOKUP($E102,'A-1 Site Habitat Baseline'!$D$1:$O$258,2,FALSE)),"",(VLOOKUP($E102,'A-1 Site Habitat Baseline'!$D$1:$O$258,2,FALSE))))</f>
        <v/>
      </c>
      <c r="B102" s="52" t="str">
        <f>IF(E102="","",IF(ISNA(VLOOKUP($E102,'A-1 Site Habitat Baseline'!$D$1:$O$258,3,FALSE)),"",(VLOOKUP($E102,'A-1 Site Habitat Baseline'!$D$1:$O$258,3,FALSE))))</f>
        <v/>
      </c>
      <c r="C102" s="52" t="str">
        <f>IFERROR(INDEX('G-8 Condition Look up'!$I$4:$I$131,MATCH(S102,'G-8 Condition Look up'!$A$4:$A$131,0)),"")</f>
        <v/>
      </c>
      <c r="E102" s="342" t="str">
        <f>'A-1 Site Habitat Baseline'!AL101</f>
        <v/>
      </c>
      <c r="F102" s="343" t="str">
        <f>IF(E102="","",IF(ISNA(VLOOKUP($E102,'A-1 Site Habitat Baseline'!$D$1:$O$258,4,FALSE)),"",(VLOOKUP($E102,'A-1 Site Habitat Baseline'!$D$1:$O$258,4,FALSE))))</f>
        <v/>
      </c>
      <c r="G102" s="343" t="str">
        <f>IF(E102="","",IF(ISNA(VLOOKUP($E102,'A-1 Site Habitat Baseline'!$D$1:$O$258,5,FALSE)),"",(VLOOKUP($E102,'A-1 Site Habitat Baseline'!$D$1:$O$258,5,FALSE))))</f>
        <v/>
      </c>
      <c r="H102" s="343" t="str">
        <f>IF(E102="","",IF(ISNA(VLOOKUP($E102,'A-1 Site Habitat Baseline'!$D$1:$O$258,6,FALSE)),"",(VLOOKUP($E102,'A-1 Site Habitat Baseline'!$D$1:$O$258,6,FALSE))))</f>
        <v/>
      </c>
      <c r="I102" s="343" t="str">
        <f>IF(E102="","",IF(ISNA(VLOOKUP($E102,'A-1 Site Habitat Baseline'!$D$1:$O$258,7,FALSE)),"",(VLOOKUP($E102,'A-1 Site Habitat Baseline'!$D$1:$O$258,7,FALSE))))</f>
        <v/>
      </c>
      <c r="J102" s="343" t="str">
        <f>IF(E102="","",IF(ISNA(VLOOKUP($E102,'A-1 Site Habitat Baseline'!$D$1:$O$258,8,FALSE)),"",(VLOOKUP($E102,'A-1 Site Habitat Baseline'!$D$1:$O$258,8,FALSE))))</f>
        <v/>
      </c>
      <c r="K102" s="343" t="str">
        <f>IF(E102="","",IF(ISNA(VLOOKUP($E102,'A-1 Site Habitat Baseline'!$D$1:$O$258,9,FALSE)),"",(VLOOKUP($E102,'A-1 Site Habitat Baseline'!$D$1:$O$258,9,FALSE))))</f>
        <v/>
      </c>
      <c r="L102" s="343" t="str">
        <f>IF(E102="","",IF(ISNA(VLOOKUP($E102,'A-1 Site Habitat Baseline'!$D$1:$O$258,11,FALSE)),"",(VLOOKUP($E102,'A-1 Site Habitat Baseline'!$D$1:$O$258,11,FALSE))))</f>
        <v/>
      </c>
      <c r="M102" s="343" t="str">
        <f>IF(E102="","",IF(ISNA(VLOOKUP($E102,'A-1 Site Habitat Baseline'!$D$1:$O$258,12,FALSE)),"",(VLOOKUP($E102,'A-1 Site Habitat Baseline'!$D$1:$O$258,12,FALSE))))</f>
        <v/>
      </c>
      <c r="N102" s="344" t="str">
        <f>IF(E102="","",IF(ISNA(VLOOKUP($E102,'A-1 Site Habitat Baseline'!$D$1:$X$258,14,FALSE)),"",(VLOOKUP($E102,'A-1 Site Habitat Baseline'!$D$1:$X$258,14,FALSE))))</f>
        <v/>
      </c>
      <c r="O102" s="345" t="str">
        <f>IF(E102="","",IF(ISNA(VLOOKUP($E102,'A-1 Site Habitat Baseline'!$D$1:$X$258,16,FALSE)),"",(VLOOKUP($E102,'A-1 Site Habitat Baseline'!$D$1:$X$258,13,FALSE))))</f>
        <v/>
      </c>
      <c r="P102" s="346" t="str">
        <f>IFERROR(INDEX('G-1 All Habitats'!$AG$3:$AG$15,MATCH(Q102,'G-1 All Habitats'!$AF$3:$AF$15,0)),"")</f>
        <v/>
      </c>
      <c r="Q102" s="347"/>
      <c r="R102" s="347"/>
      <c r="S102" s="605" t="str">
        <f>IFERROR(INDEX('G-1 All Habitats'!$B$3:$B$130,MATCH(R102,'G-1 All Habitats'!$A$3:$A$130,0)),"")</f>
        <v/>
      </c>
      <c r="T102" s="77" t="str">
        <f t="shared" si="18"/>
        <v/>
      </c>
      <c r="U102" s="78" t="str">
        <f t="shared" si="13"/>
        <v/>
      </c>
      <c r="V102" s="350" t="str">
        <f t="shared" si="10"/>
        <v/>
      </c>
      <c r="W102" s="343" t="str">
        <f>IF(S102="","",VLOOKUP(S102,'G-1 All Habitats'!$B$2:$M$130,10,FALSE))</f>
        <v/>
      </c>
      <c r="X102" s="343" t="str">
        <f>IFERROR(VLOOKUP(W102,'G-1 All Habitats'!$V$3:$W$7,2,FALSE),"")</f>
        <v/>
      </c>
      <c r="Y102" s="91"/>
      <c r="Z102" s="345" t="str">
        <f>IFERROR(INDEX('G-8 Condition Look up'!$A$3:$H$131,MATCH(S102,'G-8 Condition Look up'!$A$3:$A$131,0),MATCH(Y102,'G-8 Condition Look up'!$A$3:$H$3,0)),"")</f>
        <v/>
      </c>
      <c r="AA102" s="79"/>
      <c r="AB102" s="343" t="str">
        <f>IF(AA102="","",IF(VLOOKUP(AA102,'G-3 Multipliers'!$L$3:$N$6,2,FALSE)=0,"Spatial Data Missing",VLOOKUP(AA102,'G-3 Multipliers'!$L$3:$N$6,2,FALSE)))</f>
        <v/>
      </c>
      <c r="AC102" s="345" t="str">
        <f>IF(AA102="","",IF(VLOOKUP(AA102,'G-3 Multipliers'!$L$3:$N$6,3,FALSE)=0,"Spatial Data Missing",VLOOKUP(AA102,'G-3 Multipliers'!$L$3:$N$6,3,FALSE)))</f>
        <v/>
      </c>
      <c r="AD102" s="351" t="str">
        <f t="shared" si="11"/>
        <v/>
      </c>
      <c r="AE102" s="94"/>
      <c r="AF102" s="94"/>
      <c r="AG102" s="343" t="str">
        <f t="shared" si="14"/>
        <v/>
      </c>
      <c r="AH102" s="591" t="str">
        <f t="shared" si="15"/>
        <v/>
      </c>
      <c r="AI102" s="353" t="str">
        <f>IF(AH102="Check Data","Check Data",IFERROR(VLOOKUP(AH102,'G-4 Temporal multipliers'!$A$4:$C$36,3,FALSE),""))</f>
        <v/>
      </c>
      <c r="AJ102" s="77" t="str">
        <f>IF(S102="","",VLOOKUP(S102,'G-3 Multipliers'!$A$2:$E$130,4,FALSE))</f>
        <v/>
      </c>
      <c r="AK102" s="348" t="str">
        <f t="shared" si="16"/>
        <v/>
      </c>
      <c r="AL102" s="348" t="str">
        <f t="shared" si="17"/>
        <v/>
      </c>
      <c r="AM102" s="607" t="str">
        <f>IFERROR(IF(F102="","",IF(AH102="Check Data","Check Data",VLOOKUP(AL102, 'G-3 Multipliers'!$P$2:$Q$6,2,FALSE))),””)</f>
        <v/>
      </c>
      <c r="AN102" s="81" t="str">
        <f t="shared" si="12"/>
        <v/>
      </c>
      <c r="AO102" s="355"/>
      <c r="AP102" s="356"/>
    </row>
    <row r="103" spans="1:42" x14ac:dyDescent="0.25">
      <c r="A103" s="52" t="str">
        <f>IF(E103="","",IF(ISNA(VLOOKUP($E103,'A-1 Site Habitat Baseline'!$D$1:$O$258,2,FALSE)),"",(VLOOKUP($E103,'A-1 Site Habitat Baseline'!$D$1:$O$258,2,FALSE))))</f>
        <v/>
      </c>
      <c r="B103" s="52" t="str">
        <f>IF(E103="","",IF(ISNA(VLOOKUP($E103,'A-1 Site Habitat Baseline'!$D$1:$O$258,3,FALSE)),"",(VLOOKUP($E103,'A-1 Site Habitat Baseline'!$D$1:$O$258,3,FALSE))))</f>
        <v/>
      </c>
      <c r="C103" s="52" t="str">
        <f>IFERROR(INDEX('G-8 Condition Look up'!$I$4:$I$131,MATCH(S103,'G-8 Condition Look up'!$A$4:$A$131,0)),"")</f>
        <v/>
      </c>
      <c r="E103" s="342" t="str">
        <f>'A-1 Site Habitat Baseline'!AL102</f>
        <v/>
      </c>
      <c r="F103" s="343" t="str">
        <f>IF(E103="","",IF(ISNA(VLOOKUP($E103,'A-1 Site Habitat Baseline'!$D$1:$O$258,4,FALSE)),"",(VLOOKUP($E103,'A-1 Site Habitat Baseline'!$D$1:$O$258,4,FALSE))))</f>
        <v/>
      </c>
      <c r="G103" s="343" t="str">
        <f>IF(E103="","",IF(ISNA(VLOOKUP($E103,'A-1 Site Habitat Baseline'!$D$1:$O$258,5,FALSE)),"",(VLOOKUP($E103,'A-1 Site Habitat Baseline'!$D$1:$O$258,5,FALSE))))</f>
        <v/>
      </c>
      <c r="H103" s="343" t="str">
        <f>IF(E103="","",IF(ISNA(VLOOKUP($E103,'A-1 Site Habitat Baseline'!$D$1:$O$258,6,FALSE)),"",(VLOOKUP($E103,'A-1 Site Habitat Baseline'!$D$1:$O$258,6,FALSE))))</f>
        <v/>
      </c>
      <c r="I103" s="343" t="str">
        <f>IF(E103="","",IF(ISNA(VLOOKUP($E103,'A-1 Site Habitat Baseline'!$D$1:$O$258,7,FALSE)),"",(VLOOKUP($E103,'A-1 Site Habitat Baseline'!$D$1:$O$258,7,FALSE))))</f>
        <v/>
      </c>
      <c r="J103" s="343" t="str">
        <f>IF(E103="","",IF(ISNA(VLOOKUP($E103,'A-1 Site Habitat Baseline'!$D$1:$O$258,8,FALSE)),"",(VLOOKUP($E103,'A-1 Site Habitat Baseline'!$D$1:$O$258,8,FALSE))))</f>
        <v/>
      </c>
      <c r="K103" s="343" t="str">
        <f>IF(E103="","",IF(ISNA(VLOOKUP($E103,'A-1 Site Habitat Baseline'!$D$1:$O$258,9,FALSE)),"",(VLOOKUP($E103,'A-1 Site Habitat Baseline'!$D$1:$O$258,9,FALSE))))</f>
        <v/>
      </c>
      <c r="L103" s="343" t="str">
        <f>IF(E103="","",IF(ISNA(VLOOKUP($E103,'A-1 Site Habitat Baseline'!$D$1:$O$258,11,FALSE)),"",(VLOOKUP($E103,'A-1 Site Habitat Baseline'!$D$1:$O$258,11,FALSE))))</f>
        <v/>
      </c>
      <c r="M103" s="343" t="str">
        <f>IF(E103="","",IF(ISNA(VLOOKUP($E103,'A-1 Site Habitat Baseline'!$D$1:$O$258,12,FALSE)),"",(VLOOKUP($E103,'A-1 Site Habitat Baseline'!$D$1:$O$258,12,FALSE))))</f>
        <v/>
      </c>
      <c r="N103" s="344" t="str">
        <f>IF(E103="","",IF(ISNA(VLOOKUP($E103,'A-1 Site Habitat Baseline'!$D$1:$X$258,14,FALSE)),"",(VLOOKUP($E103,'A-1 Site Habitat Baseline'!$D$1:$X$258,14,FALSE))))</f>
        <v/>
      </c>
      <c r="O103" s="345" t="str">
        <f>IF(E103="","",IF(ISNA(VLOOKUP($E103,'A-1 Site Habitat Baseline'!$D$1:$X$258,16,FALSE)),"",(VLOOKUP($E103,'A-1 Site Habitat Baseline'!$D$1:$X$258,13,FALSE))))</f>
        <v/>
      </c>
      <c r="P103" s="346" t="str">
        <f>IFERROR(INDEX('G-1 All Habitats'!$AG$3:$AG$15,MATCH(Q103,'G-1 All Habitats'!$AF$3:$AF$15,0)),"")</f>
        <v/>
      </c>
      <c r="Q103" s="347"/>
      <c r="R103" s="347"/>
      <c r="S103" s="605" t="str">
        <f>IFERROR(INDEX('G-1 All Habitats'!$B$3:$B$130,MATCH(R103,'G-1 All Habitats'!$A$3:$A$130,0)),"")</f>
        <v/>
      </c>
      <c r="T103" s="77" t="str">
        <f t="shared" si="18"/>
        <v/>
      </c>
      <c r="U103" s="78" t="str">
        <f t="shared" si="13"/>
        <v/>
      </c>
      <c r="V103" s="350" t="str">
        <f t="shared" si="10"/>
        <v/>
      </c>
      <c r="W103" s="343" t="str">
        <f>IF(S103="","",VLOOKUP(S103,'G-1 All Habitats'!$B$2:$M$130,10,FALSE))</f>
        <v/>
      </c>
      <c r="X103" s="343" t="str">
        <f>IFERROR(VLOOKUP(W103,'G-1 All Habitats'!$V$3:$W$7,2,FALSE),"")</f>
        <v/>
      </c>
      <c r="Y103" s="91"/>
      <c r="Z103" s="345" t="str">
        <f>IFERROR(INDEX('G-8 Condition Look up'!$A$3:$H$131,MATCH(S103,'G-8 Condition Look up'!$A$3:$A$131,0),MATCH(Y103,'G-8 Condition Look up'!$A$3:$H$3,0)),"")</f>
        <v/>
      </c>
      <c r="AA103" s="79"/>
      <c r="AB103" s="343" t="str">
        <f>IF(AA103="","",IF(VLOOKUP(AA103,'G-3 Multipliers'!$L$3:$N$6,2,FALSE)=0,"Spatial Data Missing",VLOOKUP(AA103,'G-3 Multipliers'!$L$3:$N$6,2,FALSE)))</f>
        <v/>
      </c>
      <c r="AC103" s="345" t="str">
        <f>IF(AA103="","",IF(VLOOKUP(AA103,'G-3 Multipliers'!$L$3:$N$6,3,FALSE)=0,"Spatial Data Missing",VLOOKUP(AA103,'G-3 Multipliers'!$L$3:$N$6,3,FALSE)))</f>
        <v/>
      </c>
      <c r="AD103" s="351" t="str">
        <f t="shared" si="11"/>
        <v/>
      </c>
      <c r="AE103" s="94"/>
      <c r="AF103" s="94"/>
      <c r="AG103" s="343" t="str">
        <f t="shared" si="14"/>
        <v/>
      </c>
      <c r="AH103" s="591" t="str">
        <f t="shared" si="15"/>
        <v/>
      </c>
      <c r="AI103" s="353" t="str">
        <f>IF(AH103="Check Data","Check Data",IFERROR(VLOOKUP(AH103,'G-4 Temporal multipliers'!$A$4:$C$36,3,FALSE),""))</f>
        <v/>
      </c>
      <c r="AJ103" s="77" t="str">
        <f>IF(S103="","",VLOOKUP(S103,'G-3 Multipliers'!$A$2:$E$130,4,FALSE))</f>
        <v/>
      </c>
      <c r="AK103" s="348" t="str">
        <f t="shared" si="16"/>
        <v/>
      </c>
      <c r="AL103" s="348" t="str">
        <f t="shared" si="17"/>
        <v/>
      </c>
      <c r="AM103" s="607" t="str">
        <f>IFERROR(IF(F103="","",IF(AH103="Check Data","Check Data",VLOOKUP(AL103, 'G-3 Multipliers'!$P$2:$Q$6,2,FALSE))),””)</f>
        <v/>
      </c>
      <c r="AN103" s="81" t="str">
        <f t="shared" si="12"/>
        <v/>
      </c>
      <c r="AO103" s="355"/>
      <c r="AP103" s="356"/>
    </row>
    <row r="104" spans="1:42" x14ac:dyDescent="0.25">
      <c r="A104" s="52" t="str">
        <f>IF(E104="","",IF(ISNA(VLOOKUP($E104,'A-1 Site Habitat Baseline'!$D$1:$O$258,2,FALSE)),"",(VLOOKUP($E104,'A-1 Site Habitat Baseline'!$D$1:$O$258,2,FALSE))))</f>
        <v/>
      </c>
      <c r="B104" s="52" t="str">
        <f>IF(E104="","",IF(ISNA(VLOOKUP($E104,'A-1 Site Habitat Baseline'!$D$1:$O$258,3,FALSE)),"",(VLOOKUP($E104,'A-1 Site Habitat Baseline'!$D$1:$O$258,3,FALSE))))</f>
        <v/>
      </c>
      <c r="C104" s="52" t="str">
        <f>IFERROR(INDEX('G-8 Condition Look up'!$I$4:$I$131,MATCH(S104,'G-8 Condition Look up'!$A$4:$A$131,0)),"")</f>
        <v/>
      </c>
      <c r="E104" s="342" t="str">
        <f>'A-1 Site Habitat Baseline'!AL103</f>
        <v/>
      </c>
      <c r="F104" s="343" t="str">
        <f>IF(E104="","",IF(ISNA(VLOOKUP($E104,'A-1 Site Habitat Baseline'!$D$1:$O$258,4,FALSE)),"",(VLOOKUP($E104,'A-1 Site Habitat Baseline'!$D$1:$O$258,4,FALSE))))</f>
        <v/>
      </c>
      <c r="G104" s="343" t="str">
        <f>IF(E104="","",IF(ISNA(VLOOKUP($E104,'A-1 Site Habitat Baseline'!$D$1:$O$258,5,FALSE)),"",(VLOOKUP($E104,'A-1 Site Habitat Baseline'!$D$1:$O$258,5,FALSE))))</f>
        <v/>
      </c>
      <c r="H104" s="343" t="str">
        <f>IF(E104="","",IF(ISNA(VLOOKUP($E104,'A-1 Site Habitat Baseline'!$D$1:$O$258,6,FALSE)),"",(VLOOKUP($E104,'A-1 Site Habitat Baseline'!$D$1:$O$258,6,FALSE))))</f>
        <v/>
      </c>
      <c r="I104" s="343" t="str">
        <f>IF(E104="","",IF(ISNA(VLOOKUP($E104,'A-1 Site Habitat Baseline'!$D$1:$O$258,7,FALSE)),"",(VLOOKUP($E104,'A-1 Site Habitat Baseline'!$D$1:$O$258,7,FALSE))))</f>
        <v/>
      </c>
      <c r="J104" s="343" t="str">
        <f>IF(E104="","",IF(ISNA(VLOOKUP($E104,'A-1 Site Habitat Baseline'!$D$1:$O$258,8,FALSE)),"",(VLOOKUP($E104,'A-1 Site Habitat Baseline'!$D$1:$O$258,8,FALSE))))</f>
        <v/>
      </c>
      <c r="K104" s="343" t="str">
        <f>IF(E104="","",IF(ISNA(VLOOKUP($E104,'A-1 Site Habitat Baseline'!$D$1:$O$258,9,FALSE)),"",(VLOOKUP($E104,'A-1 Site Habitat Baseline'!$D$1:$O$258,9,FALSE))))</f>
        <v/>
      </c>
      <c r="L104" s="343" t="str">
        <f>IF(E104="","",IF(ISNA(VLOOKUP($E104,'A-1 Site Habitat Baseline'!$D$1:$O$258,11,FALSE)),"",(VLOOKUP($E104,'A-1 Site Habitat Baseline'!$D$1:$O$258,11,FALSE))))</f>
        <v/>
      </c>
      <c r="M104" s="343" t="str">
        <f>IF(E104="","",IF(ISNA(VLOOKUP($E104,'A-1 Site Habitat Baseline'!$D$1:$O$258,12,FALSE)),"",(VLOOKUP($E104,'A-1 Site Habitat Baseline'!$D$1:$O$258,12,FALSE))))</f>
        <v/>
      </c>
      <c r="N104" s="344" t="str">
        <f>IF(E104="","",IF(ISNA(VLOOKUP($E104,'A-1 Site Habitat Baseline'!$D$1:$X$258,14,FALSE)),"",(VLOOKUP($E104,'A-1 Site Habitat Baseline'!$D$1:$X$258,14,FALSE))))</f>
        <v/>
      </c>
      <c r="O104" s="345" t="str">
        <f>IF(E104="","",IF(ISNA(VLOOKUP($E104,'A-1 Site Habitat Baseline'!$D$1:$X$258,16,FALSE)),"",(VLOOKUP($E104,'A-1 Site Habitat Baseline'!$D$1:$X$258,13,FALSE))))</f>
        <v/>
      </c>
      <c r="P104" s="346" t="str">
        <f>IFERROR(INDEX('G-1 All Habitats'!$AG$3:$AG$15,MATCH(Q104,'G-1 All Habitats'!$AF$3:$AF$15,0)),"")</f>
        <v/>
      </c>
      <c r="Q104" s="347"/>
      <c r="R104" s="347"/>
      <c r="S104" s="605" t="str">
        <f>IFERROR(INDEX('G-1 All Habitats'!$B$3:$B$130,MATCH(R104,'G-1 All Habitats'!$A$3:$A$130,0)),"")</f>
        <v/>
      </c>
      <c r="T104" s="77" t="str">
        <f t="shared" si="18"/>
        <v/>
      </c>
      <c r="U104" s="78" t="str">
        <f t="shared" si="13"/>
        <v/>
      </c>
      <c r="V104" s="350" t="str">
        <f t="shared" si="10"/>
        <v/>
      </c>
      <c r="W104" s="343" t="str">
        <f>IF(S104="","",VLOOKUP(S104,'G-1 All Habitats'!$B$2:$M$130,10,FALSE))</f>
        <v/>
      </c>
      <c r="X104" s="343" t="str">
        <f>IFERROR(VLOOKUP(W104,'G-1 All Habitats'!$V$3:$W$7,2,FALSE),"")</f>
        <v/>
      </c>
      <c r="Y104" s="91"/>
      <c r="Z104" s="345" t="str">
        <f>IFERROR(INDEX('G-8 Condition Look up'!$A$3:$H$131,MATCH(S104,'G-8 Condition Look up'!$A$3:$A$131,0),MATCH(Y104,'G-8 Condition Look up'!$A$3:$H$3,0)),"")</f>
        <v/>
      </c>
      <c r="AA104" s="79"/>
      <c r="AB104" s="343" t="str">
        <f>IF(AA104="","",IF(VLOOKUP(AA104,'G-3 Multipliers'!$L$3:$N$6,2,FALSE)=0,"Spatial Data Missing",VLOOKUP(AA104,'G-3 Multipliers'!$L$3:$N$6,2,FALSE)))</f>
        <v/>
      </c>
      <c r="AC104" s="345" t="str">
        <f>IF(AA104="","",IF(VLOOKUP(AA104,'G-3 Multipliers'!$L$3:$N$6,3,FALSE)=0,"Spatial Data Missing",VLOOKUP(AA104,'G-3 Multipliers'!$L$3:$N$6,3,FALSE)))</f>
        <v/>
      </c>
      <c r="AD104" s="351" t="str">
        <f t="shared" si="11"/>
        <v/>
      </c>
      <c r="AE104" s="94"/>
      <c r="AF104" s="94"/>
      <c r="AG104" s="343" t="str">
        <f t="shared" si="14"/>
        <v/>
      </c>
      <c r="AH104" s="591" t="str">
        <f t="shared" si="15"/>
        <v/>
      </c>
      <c r="AI104" s="353" t="str">
        <f>IF(AH104="Check Data","Check Data",IFERROR(VLOOKUP(AH104,'G-4 Temporal multipliers'!$A$4:$C$36,3,FALSE),""))</f>
        <v/>
      </c>
      <c r="AJ104" s="77" t="str">
        <f>IF(S104="","",VLOOKUP(S104,'G-3 Multipliers'!$A$2:$E$130,4,FALSE))</f>
        <v/>
      </c>
      <c r="AK104" s="348" t="str">
        <f t="shared" si="16"/>
        <v/>
      </c>
      <c r="AL104" s="348" t="str">
        <f t="shared" si="17"/>
        <v/>
      </c>
      <c r="AM104" s="607" t="str">
        <f>IFERROR(IF(F104="","",IF(AH104="Check Data","Check Data",VLOOKUP(AL104, 'G-3 Multipliers'!$P$2:$Q$6,2,FALSE))),””)</f>
        <v/>
      </c>
      <c r="AN104" s="81" t="str">
        <f t="shared" si="12"/>
        <v/>
      </c>
      <c r="AO104" s="355"/>
      <c r="AP104" s="356"/>
    </row>
    <row r="105" spans="1:42" x14ac:dyDescent="0.25">
      <c r="A105" s="52" t="str">
        <f>IF(E105="","",IF(ISNA(VLOOKUP($E105,'A-1 Site Habitat Baseline'!$D$1:$O$258,2,FALSE)),"",(VLOOKUP($E105,'A-1 Site Habitat Baseline'!$D$1:$O$258,2,FALSE))))</f>
        <v/>
      </c>
      <c r="B105" s="52" t="str">
        <f>IF(E105="","",IF(ISNA(VLOOKUP($E105,'A-1 Site Habitat Baseline'!$D$1:$O$258,3,FALSE)),"",(VLOOKUP($E105,'A-1 Site Habitat Baseline'!$D$1:$O$258,3,FALSE))))</f>
        <v/>
      </c>
      <c r="C105" s="52" t="str">
        <f>IFERROR(INDEX('G-8 Condition Look up'!$I$4:$I$131,MATCH(S105,'G-8 Condition Look up'!$A$4:$A$131,0)),"")</f>
        <v/>
      </c>
      <c r="E105" s="342" t="str">
        <f>'A-1 Site Habitat Baseline'!AL104</f>
        <v/>
      </c>
      <c r="F105" s="343" t="str">
        <f>IF(E105="","",IF(ISNA(VLOOKUP($E105,'A-1 Site Habitat Baseline'!$D$1:$O$258,4,FALSE)),"",(VLOOKUP($E105,'A-1 Site Habitat Baseline'!$D$1:$O$258,4,FALSE))))</f>
        <v/>
      </c>
      <c r="G105" s="343" t="str">
        <f>IF(E105="","",IF(ISNA(VLOOKUP($E105,'A-1 Site Habitat Baseline'!$D$1:$O$258,5,FALSE)),"",(VLOOKUP($E105,'A-1 Site Habitat Baseline'!$D$1:$O$258,5,FALSE))))</f>
        <v/>
      </c>
      <c r="H105" s="343" t="str">
        <f>IF(E105="","",IF(ISNA(VLOOKUP($E105,'A-1 Site Habitat Baseline'!$D$1:$O$258,6,FALSE)),"",(VLOOKUP($E105,'A-1 Site Habitat Baseline'!$D$1:$O$258,6,FALSE))))</f>
        <v/>
      </c>
      <c r="I105" s="343" t="str">
        <f>IF(E105="","",IF(ISNA(VLOOKUP($E105,'A-1 Site Habitat Baseline'!$D$1:$O$258,7,FALSE)),"",(VLOOKUP($E105,'A-1 Site Habitat Baseline'!$D$1:$O$258,7,FALSE))))</f>
        <v/>
      </c>
      <c r="J105" s="343" t="str">
        <f>IF(E105="","",IF(ISNA(VLOOKUP($E105,'A-1 Site Habitat Baseline'!$D$1:$O$258,8,FALSE)),"",(VLOOKUP($E105,'A-1 Site Habitat Baseline'!$D$1:$O$258,8,FALSE))))</f>
        <v/>
      </c>
      <c r="K105" s="343" t="str">
        <f>IF(E105="","",IF(ISNA(VLOOKUP($E105,'A-1 Site Habitat Baseline'!$D$1:$O$258,9,FALSE)),"",(VLOOKUP($E105,'A-1 Site Habitat Baseline'!$D$1:$O$258,9,FALSE))))</f>
        <v/>
      </c>
      <c r="L105" s="343" t="str">
        <f>IF(E105="","",IF(ISNA(VLOOKUP($E105,'A-1 Site Habitat Baseline'!$D$1:$O$258,11,FALSE)),"",(VLOOKUP($E105,'A-1 Site Habitat Baseline'!$D$1:$O$258,11,FALSE))))</f>
        <v/>
      </c>
      <c r="M105" s="343" t="str">
        <f>IF(E105="","",IF(ISNA(VLOOKUP($E105,'A-1 Site Habitat Baseline'!$D$1:$O$258,12,FALSE)),"",(VLOOKUP($E105,'A-1 Site Habitat Baseline'!$D$1:$O$258,12,FALSE))))</f>
        <v/>
      </c>
      <c r="N105" s="344" t="str">
        <f>IF(E105="","",IF(ISNA(VLOOKUP($E105,'A-1 Site Habitat Baseline'!$D$1:$X$258,14,FALSE)),"",(VLOOKUP($E105,'A-1 Site Habitat Baseline'!$D$1:$X$258,14,FALSE))))</f>
        <v/>
      </c>
      <c r="O105" s="345" t="str">
        <f>IF(E105="","",IF(ISNA(VLOOKUP($E105,'A-1 Site Habitat Baseline'!$D$1:$X$258,16,FALSE)),"",(VLOOKUP($E105,'A-1 Site Habitat Baseline'!$D$1:$X$258,13,FALSE))))</f>
        <v/>
      </c>
      <c r="P105" s="346" t="str">
        <f>IFERROR(INDEX('G-1 All Habitats'!$AG$3:$AG$15,MATCH(Q105,'G-1 All Habitats'!$AF$3:$AF$15,0)),"")</f>
        <v/>
      </c>
      <c r="Q105" s="347"/>
      <c r="R105" s="347"/>
      <c r="S105" s="605" t="str">
        <f>IFERROR(INDEX('G-1 All Habitats'!$B$3:$B$130,MATCH(R105,'G-1 All Habitats'!$A$3:$A$130,0)),"")</f>
        <v/>
      </c>
      <c r="T105" s="77" t="str">
        <f t="shared" si="18"/>
        <v/>
      </c>
      <c r="U105" s="78" t="str">
        <f t="shared" si="13"/>
        <v/>
      </c>
      <c r="V105" s="350" t="str">
        <f t="shared" si="10"/>
        <v/>
      </c>
      <c r="W105" s="343" t="str">
        <f>IF(S105="","",VLOOKUP(S105,'G-1 All Habitats'!$B$2:$M$130,10,FALSE))</f>
        <v/>
      </c>
      <c r="X105" s="343" t="str">
        <f>IFERROR(VLOOKUP(W105,'G-1 All Habitats'!$V$3:$W$7,2,FALSE),"")</f>
        <v/>
      </c>
      <c r="Y105" s="91"/>
      <c r="Z105" s="345" t="str">
        <f>IFERROR(INDEX('G-8 Condition Look up'!$A$3:$H$131,MATCH(S105,'G-8 Condition Look up'!$A$3:$A$131,0),MATCH(Y105,'G-8 Condition Look up'!$A$3:$H$3,0)),"")</f>
        <v/>
      </c>
      <c r="AA105" s="79"/>
      <c r="AB105" s="343" t="str">
        <f>IF(AA105="","",IF(VLOOKUP(AA105,'G-3 Multipliers'!$L$3:$N$6,2,FALSE)=0,"Spatial Data Missing",VLOOKUP(AA105,'G-3 Multipliers'!$L$3:$N$6,2,FALSE)))</f>
        <v/>
      </c>
      <c r="AC105" s="345" t="str">
        <f>IF(AA105="","",IF(VLOOKUP(AA105,'G-3 Multipliers'!$L$3:$N$6,3,FALSE)=0,"Spatial Data Missing",VLOOKUP(AA105,'G-3 Multipliers'!$L$3:$N$6,3,FALSE)))</f>
        <v/>
      </c>
      <c r="AD105" s="351" t="str">
        <f t="shared" si="11"/>
        <v/>
      </c>
      <c r="AE105" s="94"/>
      <c r="AF105" s="94"/>
      <c r="AG105" s="343" t="str">
        <f t="shared" si="14"/>
        <v/>
      </c>
      <c r="AH105" s="591" t="str">
        <f t="shared" si="15"/>
        <v/>
      </c>
      <c r="AI105" s="353" t="str">
        <f>IF(AH105="Check Data","Check Data",IFERROR(VLOOKUP(AH105,'G-4 Temporal multipliers'!$A$4:$C$36,3,FALSE),""))</f>
        <v/>
      </c>
      <c r="AJ105" s="77" t="str">
        <f>IF(S105="","",VLOOKUP(S105,'G-3 Multipliers'!$A$2:$E$130,4,FALSE))</f>
        <v/>
      </c>
      <c r="AK105" s="348" t="str">
        <f t="shared" si="16"/>
        <v/>
      </c>
      <c r="AL105" s="348" t="str">
        <f t="shared" si="17"/>
        <v/>
      </c>
      <c r="AM105" s="607" t="str">
        <f>IFERROR(IF(F105="","",IF(AH105="Check Data","Check Data",VLOOKUP(AL105, 'G-3 Multipliers'!$P$2:$Q$6,2,FALSE))),””)</f>
        <v/>
      </c>
      <c r="AN105" s="81" t="str">
        <f t="shared" si="12"/>
        <v/>
      </c>
      <c r="AO105" s="355"/>
      <c r="AP105" s="356"/>
    </row>
    <row r="106" spans="1:42" x14ac:dyDescent="0.25">
      <c r="A106" s="52" t="str">
        <f>IF(E106="","",IF(ISNA(VLOOKUP($E106,'A-1 Site Habitat Baseline'!$D$1:$O$258,2,FALSE)),"",(VLOOKUP($E106,'A-1 Site Habitat Baseline'!$D$1:$O$258,2,FALSE))))</f>
        <v/>
      </c>
      <c r="B106" s="52" t="str">
        <f>IF(E106="","",IF(ISNA(VLOOKUP($E106,'A-1 Site Habitat Baseline'!$D$1:$O$258,3,FALSE)),"",(VLOOKUP($E106,'A-1 Site Habitat Baseline'!$D$1:$O$258,3,FALSE))))</f>
        <v/>
      </c>
      <c r="C106" s="52" t="str">
        <f>IFERROR(INDEX('G-8 Condition Look up'!$I$4:$I$131,MATCH(S106,'G-8 Condition Look up'!$A$4:$A$131,0)),"")</f>
        <v/>
      </c>
      <c r="E106" s="342" t="str">
        <f>'A-1 Site Habitat Baseline'!AL105</f>
        <v/>
      </c>
      <c r="F106" s="343" t="str">
        <f>IF(E106="","",IF(ISNA(VLOOKUP($E106,'A-1 Site Habitat Baseline'!$D$1:$O$258,4,FALSE)),"",(VLOOKUP($E106,'A-1 Site Habitat Baseline'!$D$1:$O$258,4,FALSE))))</f>
        <v/>
      </c>
      <c r="G106" s="343" t="str">
        <f>IF(E106="","",IF(ISNA(VLOOKUP($E106,'A-1 Site Habitat Baseline'!$D$1:$O$258,5,FALSE)),"",(VLOOKUP($E106,'A-1 Site Habitat Baseline'!$D$1:$O$258,5,FALSE))))</f>
        <v/>
      </c>
      <c r="H106" s="343" t="str">
        <f>IF(E106="","",IF(ISNA(VLOOKUP($E106,'A-1 Site Habitat Baseline'!$D$1:$O$258,6,FALSE)),"",(VLOOKUP($E106,'A-1 Site Habitat Baseline'!$D$1:$O$258,6,FALSE))))</f>
        <v/>
      </c>
      <c r="I106" s="343" t="str">
        <f>IF(E106="","",IF(ISNA(VLOOKUP($E106,'A-1 Site Habitat Baseline'!$D$1:$O$258,7,FALSE)),"",(VLOOKUP($E106,'A-1 Site Habitat Baseline'!$D$1:$O$258,7,FALSE))))</f>
        <v/>
      </c>
      <c r="J106" s="343" t="str">
        <f>IF(E106="","",IF(ISNA(VLOOKUP($E106,'A-1 Site Habitat Baseline'!$D$1:$O$258,8,FALSE)),"",(VLOOKUP($E106,'A-1 Site Habitat Baseline'!$D$1:$O$258,8,FALSE))))</f>
        <v/>
      </c>
      <c r="K106" s="343" t="str">
        <f>IF(E106="","",IF(ISNA(VLOOKUP($E106,'A-1 Site Habitat Baseline'!$D$1:$O$258,9,FALSE)),"",(VLOOKUP($E106,'A-1 Site Habitat Baseline'!$D$1:$O$258,9,FALSE))))</f>
        <v/>
      </c>
      <c r="L106" s="343" t="str">
        <f>IF(E106="","",IF(ISNA(VLOOKUP($E106,'A-1 Site Habitat Baseline'!$D$1:$O$258,11,FALSE)),"",(VLOOKUP($E106,'A-1 Site Habitat Baseline'!$D$1:$O$258,11,FALSE))))</f>
        <v/>
      </c>
      <c r="M106" s="343" t="str">
        <f>IF(E106="","",IF(ISNA(VLOOKUP($E106,'A-1 Site Habitat Baseline'!$D$1:$O$258,12,FALSE)),"",(VLOOKUP($E106,'A-1 Site Habitat Baseline'!$D$1:$O$258,12,FALSE))))</f>
        <v/>
      </c>
      <c r="N106" s="344" t="str">
        <f>IF(E106="","",IF(ISNA(VLOOKUP($E106,'A-1 Site Habitat Baseline'!$D$1:$X$258,14,FALSE)),"",(VLOOKUP($E106,'A-1 Site Habitat Baseline'!$D$1:$X$258,14,FALSE))))</f>
        <v/>
      </c>
      <c r="O106" s="345" t="str">
        <f>IF(E106="","",IF(ISNA(VLOOKUP($E106,'A-1 Site Habitat Baseline'!$D$1:$X$258,16,FALSE)),"",(VLOOKUP($E106,'A-1 Site Habitat Baseline'!$D$1:$X$258,13,FALSE))))</f>
        <v/>
      </c>
      <c r="P106" s="346" t="str">
        <f>IFERROR(INDEX('G-1 All Habitats'!$AG$3:$AG$15,MATCH(Q106,'G-1 All Habitats'!$AF$3:$AF$15,0)),"")</f>
        <v/>
      </c>
      <c r="Q106" s="347"/>
      <c r="R106" s="347"/>
      <c r="S106" s="605" t="str">
        <f>IFERROR(INDEX('G-1 All Habitats'!$B$3:$B$130,MATCH(R106,'G-1 All Habitats'!$A$3:$A$130,0)),"")</f>
        <v/>
      </c>
      <c r="T106" s="77" t="str">
        <f t="shared" si="18"/>
        <v/>
      </c>
      <c r="U106" s="78" t="str">
        <f t="shared" si="13"/>
        <v/>
      </c>
      <c r="V106" s="350" t="str">
        <f t="shared" si="10"/>
        <v/>
      </c>
      <c r="W106" s="343" t="str">
        <f>IF(S106="","",VLOOKUP(S106,'G-1 All Habitats'!$B$2:$M$130,10,FALSE))</f>
        <v/>
      </c>
      <c r="X106" s="343" t="str">
        <f>IFERROR(VLOOKUP(W106,'G-1 All Habitats'!$V$3:$W$7,2,FALSE),"")</f>
        <v/>
      </c>
      <c r="Y106" s="91"/>
      <c r="Z106" s="345" t="str">
        <f>IFERROR(INDEX('G-8 Condition Look up'!$A$3:$H$131,MATCH(S106,'G-8 Condition Look up'!$A$3:$A$131,0),MATCH(Y106,'G-8 Condition Look up'!$A$3:$H$3,0)),"")</f>
        <v/>
      </c>
      <c r="AA106" s="79"/>
      <c r="AB106" s="343" t="str">
        <f>IF(AA106="","",IF(VLOOKUP(AA106,'G-3 Multipliers'!$L$3:$N$6,2,FALSE)=0,"Spatial Data Missing",VLOOKUP(AA106,'G-3 Multipliers'!$L$3:$N$6,2,FALSE)))</f>
        <v/>
      </c>
      <c r="AC106" s="345" t="str">
        <f>IF(AA106="","",IF(VLOOKUP(AA106,'G-3 Multipliers'!$L$3:$N$6,3,FALSE)=0,"Spatial Data Missing",VLOOKUP(AA106,'G-3 Multipliers'!$L$3:$N$6,3,FALSE)))</f>
        <v/>
      </c>
      <c r="AD106" s="351" t="str">
        <f t="shared" si="11"/>
        <v/>
      </c>
      <c r="AE106" s="94"/>
      <c r="AF106" s="94"/>
      <c r="AG106" s="343" t="str">
        <f t="shared" si="14"/>
        <v/>
      </c>
      <c r="AH106" s="591" t="str">
        <f t="shared" si="15"/>
        <v/>
      </c>
      <c r="AI106" s="353" t="str">
        <f>IF(AH106="Check Data","Check Data",IFERROR(VLOOKUP(AH106,'G-4 Temporal multipliers'!$A$4:$C$36,3,FALSE),""))</f>
        <v/>
      </c>
      <c r="AJ106" s="77" t="str">
        <f>IF(S106="","",VLOOKUP(S106,'G-3 Multipliers'!$A$2:$E$130,4,FALSE))</f>
        <v/>
      </c>
      <c r="AK106" s="348" t="str">
        <f t="shared" si="16"/>
        <v/>
      </c>
      <c r="AL106" s="348" t="str">
        <f t="shared" si="17"/>
        <v/>
      </c>
      <c r="AM106" s="607" t="str">
        <f>IFERROR(IF(F106="","",IF(AH106="Check Data","Check Data",VLOOKUP(AL106, 'G-3 Multipliers'!$P$2:$Q$6,2,FALSE))),””)</f>
        <v/>
      </c>
      <c r="AN106" s="81" t="str">
        <f t="shared" si="12"/>
        <v/>
      </c>
      <c r="AO106" s="355"/>
      <c r="AP106" s="356"/>
    </row>
    <row r="107" spans="1:42" x14ac:dyDescent="0.25">
      <c r="A107" s="52" t="str">
        <f>IF(E107="","",IF(ISNA(VLOOKUP($E107,'A-1 Site Habitat Baseline'!$D$1:$O$258,2,FALSE)),"",(VLOOKUP($E107,'A-1 Site Habitat Baseline'!$D$1:$O$258,2,FALSE))))</f>
        <v/>
      </c>
      <c r="B107" s="52" t="str">
        <f>IF(E107="","",IF(ISNA(VLOOKUP($E107,'A-1 Site Habitat Baseline'!$D$1:$O$258,3,FALSE)),"",(VLOOKUP($E107,'A-1 Site Habitat Baseline'!$D$1:$O$258,3,FALSE))))</f>
        <v/>
      </c>
      <c r="C107" s="52" t="str">
        <f>IFERROR(INDEX('G-8 Condition Look up'!$I$4:$I$131,MATCH(S107,'G-8 Condition Look up'!$A$4:$A$131,0)),"")</f>
        <v/>
      </c>
      <c r="E107" s="342" t="str">
        <f>'A-1 Site Habitat Baseline'!AL106</f>
        <v/>
      </c>
      <c r="F107" s="343" t="str">
        <f>IF(E107="","",IF(ISNA(VLOOKUP($E107,'A-1 Site Habitat Baseline'!$D$1:$O$258,4,FALSE)),"",(VLOOKUP($E107,'A-1 Site Habitat Baseline'!$D$1:$O$258,4,FALSE))))</f>
        <v/>
      </c>
      <c r="G107" s="343" t="str">
        <f>IF(E107="","",IF(ISNA(VLOOKUP($E107,'A-1 Site Habitat Baseline'!$D$1:$O$258,5,FALSE)),"",(VLOOKUP($E107,'A-1 Site Habitat Baseline'!$D$1:$O$258,5,FALSE))))</f>
        <v/>
      </c>
      <c r="H107" s="343" t="str">
        <f>IF(E107="","",IF(ISNA(VLOOKUP($E107,'A-1 Site Habitat Baseline'!$D$1:$O$258,6,FALSE)),"",(VLOOKUP($E107,'A-1 Site Habitat Baseline'!$D$1:$O$258,6,FALSE))))</f>
        <v/>
      </c>
      <c r="I107" s="343" t="str">
        <f>IF(E107="","",IF(ISNA(VLOOKUP($E107,'A-1 Site Habitat Baseline'!$D$1:$O$258,7,FALSE)),"",(VLOOKUP($E107,'A-1 Site Habitat Baseline'!$D$1:$O$258,7,FALSE))))</f>
        <v/>
      </c>
      <c r="J107" s="343" t="str">
        <f>IF(E107="","",IF(ISNA(VLOOKUP($E107,'A-1 Site Habitat Baseline'!$D$1:$O$258,8,FALSE)),"",(VLOOKUP($E107,'A-1 Site Habitat Baseline'!$D$1:$O$258,8,FALSE))))</f>
        <v/>
      </c>
      <c r="K107" s="343" t="str">
        <f>IF(E107="","",IF(ISNA(VLOOKUP($E107,'A-1 Site Habitat Baseline'!$D$1:$O$258,9,FALSE)),"",(VLOOKUP($E107,'A-1 Site Habitat Baseline'!$D$1:$O$258,9,FALSE))))</f>
        <v/>
      </c>
      <c r="L107" s="343" t="str">
        <f>IF(E107="","",IF(ISNA(VLOOKUP($E107,'A-1 Site Habitat Baseline'!$D$1:$O$258,11,FALSE)),"",(VLOOKUP($E107,'A-1 Site Habitat Baseline'!$D$1:$O$258,11,FALSE))))</f>
        <v/>
      </c>
      <c r="M107" s="343" t="str">
        <f>IF(E107="","",IF(ISNA(VLOOKUP($E107,'A-1 Site Habitat Baseline'!$D$1:$O$258,12,FALSE)),"",(VLOOKUP($E107,'A-1 Site Habitat Baseline'!$D$1:$O$258,12,FALSE))))</f>
        <v/>
      </c>
      <c r="N107" s="344" t="str">
        <f>IF(E107="","",IF(ISNA(VLOOKUP($E107,'A-1 Site Habitat Baseline'!$D$1:$X$258,14,FALSE)),"",(VLOOKUP($E107,'A-1 Site Habitat Baseline'!$D$1:$X$258,14,FALSE))))</f>
        <v/>
      </c>
      <c r="O107" s="345" t="str">
        <f>IF(E107="","",IF(ISNA(VLOOKUP($E107,'A-1 Site Habitat Baseline'!$D$1:$X$258,16,FALSE)),"",(VLOOKUP($E107,'A-1 Site Habitat Baseline'!$D$1:$X$258,13,FALSE))))</f>
        <v/>
      </c>
      <c r="P107" s="346" t="str">
        <f>IFERROR(INDEX('G-1 All Habitats'!$AG$3:$AG$15,MATCH(Q107,'G-1 All Habitats'!$AF$3:$AF$15,0)),"")</f>
        <v/>
      </c>
      <c r="Q107" s="347"/>
      <c r="R107" s="347"/>
      <c r="S107" s="605" t="str">
        <f>IFERROR(INDEX('G-1 All Habitats'!$B$3:$B$130,MATCH(R107,'G-1 All Habitats'!$A$3:$A$130,0)),"")</f>
        <v/>
      </c>
      <c r="T107" s="77" t="str">
        <f t="shared" si="18"/>
        <v/>
      </c>
      <c r="U107" s="78" t="str">
        <f t="shared" si="13"/>
        <v/>
      </c>
      <c r="V107" s="350" t="str">
        <f t="shared" si="10"/>
        <v/>
      </c>
      <c r="W107" s="343" t="str">
        <f>IF(S107="","",VLOOKUP(S107,'G-1 All Habitats'!$B$2:$M$130,10,FALSE))</f>
        <v/>
      </c>
      <c r="X107" s="343" t="str">
        <f>IFERROR(VLOOKUP(W107,'G-1 All Habitats'!$V$3:$W$7,2,FALSE),"")</f>
        <v/>
      </c>
      <c r="Y107" s="91"/>
      <c r="Z107" s="345" t="str">
        <f>IFERROR(INDEX('G-8 Condition Look up'!$A$3:$H$131,MATCH(S107,'G-8 Condition Look up'!$A$3:$A$131,0),MATCH(Y107,'G-8 Condition Look up'!$A$3:$H$3,0)),"")</f>
        <v/>
      </c>
      <c r="AA107" s="79"/>
      <c r="AB107" s="343" t="str">
        <f>IF(AA107="","",IF(VLOOKUP(AA107,'G-3 Multipliers'!$L$3:$N$6,2,FALSE)=0,"Spatial Data Missing",VLOOKUP(AA107,'G-3 Multipliers'!$L$3:$N$6,2,FALSE)))</f>
        <v/>
      </c>
      <c r="AC107" s="345" t="str">
        <f>IF(AA107="","",IF(VLOOKUP(AA107,'G-3 Multipliers'!$L$3:$N$6,3,FALSE)=0,"Spatial Data Missing",VLOOKUP(AA107,'G-3 Multipliers'!$L$3:$N$6,3,FALSE)))</f>
        <v/>
      </c>
      <c r="AD107" s="351" t="str">
        <f t="shared" si="11"/>
        <v/>
      </c>
      <c r="AE107" s="94"/>
      <c r="AF107" s="94"/>
      <c r="AG107" s="343" t="str">
        <f t="shared" si="14"/>
        <v/>
      </c>
      <c r="AH107" s="591" t="str">
        <f t="shared" si="15"/>
        <v/>
      </c>
      <c r="AI107" s="353" t="str">
        <f>IF(AH107="Check Data","Check Data",IFERROR(VLOOKUP(AH107,'G-4 Temporal multipliers'!$A$4:$C$36,3,FALSE),""))</f>
        <v/>
      </c>
      <c r="AJ107" s="77" t="str">
        <f>IF(S107="","",VLOOKUP(S107,'G-3 Multipliers'!$A$2:$E$130,4,FALSE))</f>
        <v/>
      </c>
      <c r="AK107" s="348" t="str">
        <f t="shared" si="16"/>
        <v/>
      </c>
      <c r="AL107" s="348" t="str">
        <f t="shared" si="17"/>
        <v/>
      </c>
      <c r="AM107" s="607" t="str">
        <f>IFERROR(IF(F107="","",IF(AH107="Check Data","Check Data",VLOOKUP(AL107, 'G-3 Multipliers'!$P$2:$Q$6,2,FALSE))),””)</f>
        <v/>
      </c>
      <c r="AN107" s="81" t="str">
        <f t="shared" si="12"/>
        <v/>
      </c>
      <c r="AO107" s="355"/>
      <c r="AP107" s="356"/>
    </row>
    <row r="108" spans="1:42" x14ac:dyDescent="0.25">
      <c r="A108" s="52" t="str">
        <f>IF(E108="","",IF(ISNA(VLOOKUP($E108,'A-1 Site Habitat Baseline'!$D$1:$O$258,2,FALSE)),"",(VLOOKUP($E108,'A-1 Site Habitat Baseline'!$D$1:$O$258,2,FALSE))))</f>
        <v/>
      </c>
      <c r="B108" s="52" t="str">
        <f>IF(E108="","",IF(ISNA(VLOOKUP($E108,'A-1 Site Habitat Baseline'!$D$1:$O$258,3,FALSE)),"",(VLOOKUP($E108,'A-1 Site Habitat Baseline'!$D$1:$O$258,3,FALSE))))</f>
        <v/>
      </c>
      <c r="C108" s="52" t="str">
        <f>IFERROR(INDEX('G-8 Condition Look up'!$I$4:$I$131,MATCH(S108,'G-8 Condition Look up'!$A$4:$A$131,0)),"")</f>
        <v/>
      </c>
      <c r="E108" s="342" t="str">
        <f>'A-1 Site Habitat Baseline'!AL107</f>
        <v/>
      </c>
      <c r="F108" s="343" t="str">
        <f>IF(E108="","",IF(ISNA(VLOOKUP($E108,'A-1 Site Habitat Baseline'!$D$1:$O$258,4,FALSE)),"",(VLOOKUP($E108,'A-1 Site Habitat Baseline'!$D$1:$O$258,4,FALSE))))</f>
        <v/>
      </c>
      <c r="G108" s="343" t="str">
        <f>IF(E108="","",IF(ISNA(VLOOKUP($E108,'A-1 Site Habitat Baseline'!$D$1:$O$258,5,FALSE)),"",(VLOOKUP($E108,'A-1 Site Habitat Baseline'!$D$1:$O$258,5,FALSE))))</f>
        <v/>
      </c>
      <c r="H108" s="343" t="str">
        <f>IF(E108="","",IF(ISNA(VLOOKUP($E108,'A-1 Site Habitat Baseline'!$D$1:$O$258,6,FALSE)),"",(VLOOKUP($E108,'A-1 Site Habitat Baseline'!$D$1:$O$258,6,FALSE))))</f>
        <v/>
      </c>
      <c r="I108" s="343" t="str">
        <f>IF(E108="","",IF(ISNA(VLOOKUP($E108,'A-1 Site Habitat Baseline'!$D$1:$O$258,7,FALSE)),"",(VLOOKUP($E108,'A-1 Site Habitat Baseline'!$D$1:$O$258,7,FALSE))))</f>
        <v/>
      </c>
      <c r="J108" s="343" t="str">
        <f>IF(E108="","",IF(ISNA(VLOOKUP($E108,'A-1 Site Habitat Baseline'!$D$1:$O$258,8,FALSE)),"",(VLOOKUP($E108,'A-1 Site Habitat Baseline'!$D$1:$O$258,8,FALSE))))</f>
        <v/>
      </c>
      <c r="K108" s="343" t="str">
        <f>IF(E108="","",IF(ISNA(VLOOKUP($E108,'A-1 Site Habitat Baseline'!$D$1:$O$258,9,FALSE)),"",(VLOOKUP($E108,'A-1 Site Habitat Baseline'!$D$1:$O$258,9,FALSE))))</f>
        <v/>
      </c>
      <c r="L108" s="343" t="str">
        <f>IF(E108="","",IF(ISNA(VLOOKUP($E108,'A-1 Site Habitat Baseline'!$D$1:$O$258,11,FALSE)),"",(VLOOKUP($E108,'A-1 Site Habitat Baseline'!$D$1:$O$258,11,FALSE))))</f>
        <v/>
      </c>
      <c r="M108" s="343" t="str">
        <f>IF(E108="","",IF(ISNA(VLOOKUP($E108,'A-1 Site Habitat Baseline'!$D$1:$O$258,12,FALSE)),"",(VLOOKUP($E108,'A-1 Site Habitat Baseline'!$D$1:$O$258,12,FALSE))))</f>
        <v/>
      </c>
      <c r="N108" s="344" t="str">
        <f>IF(E108="","",IF(ISNA(VLOOKUP($E108,'A-1 Site Habitat Baseline'!$D$1:$X$258,14,FALSE)),"",(VLOOKUP($E108,'A-1 Site Habitat Baseline'!$D$1:$X$258,14,FALSE))))</f>
        <v/>
      </c>
      <c r="O108" s="345" t="str">
        <f>IF(E108="","",IF(ISNA(VLOOKUP($E108,'A-1 Site Habitat Baseline'!$D$1:$X$258,16,FALSE)),"",(VLOOKUP($E108,'A-1 Site Habitat Baseline'!$D$1:$X$258,13,FALSE))))</f>
        <v/>
      </c>
      <c r="P108" s="346" t="str">
        <f>IFERROR(INDEX('G-1 All Habitats'!$AG$3:$AG$15,MATCH(Q108,'G-1 All Habitats'!$AF$3:$AF$15,0)),"")</f>
        <v/>
      </c>
      <c r="Q108" s="347"/>
      <c r="R108" s="347"/>
      <c r="S108" s="605" t="str">
        <f>IFERROR(INDEX('G-1 All Habitats'!$B$3:$B$130,MATCH(R108,'G-1 All Habitats'!$A$3:$A$130,0)),"")</f>
        <v/>
      </c>
      <c r="T108" s="77" t="str">
        <f t="shared" si="18"/>
        <v/>
      </c>
      <c r="U108" s="78" t="str">
        <f t="shared" si="13"/>
        <v/>
      </c>
      <c r="V108" s="350" t="str">
        <f t="shared" si="10"/>
        <v/>
      </c>
      <c r="W108" s="343" t="str">
        <f>IF(S108="","",VLOOKUP(S108,'G-1 All Habitats'!$B$2:$M$130,10,FALSE))</f>
        <v/>
      </c>
      <c r="X108" s="343" t="str">
        <f>IFERROR(VLOOKUP(W108,'G-1 All Habitats'!$V$3:$W$7,2,FALSE),"")</f>
        <v/>
      </c>
      <c r="Y108" s="91"/>
      <c r="Z108" s="345" t="str">
        <f>IFERROR(INDEX('G-8 Condition Look up'!$A$3:$H$131,MATCH(S108,'G-8 Condition Look up'!$A$3:$A$131,0),MATCH(Y108,'G-8 Condition Look up'!$A$3:$H$3,0)),"")</f>
        <v/>
      </c>
      <c r="AA108" s="79"/>
      <c r="AB108" s="343" t="str">
        <f>IF(AA108="","",IF(VLOOKUP(AA108,'G-3 Multipliers'!$L$3:$N$6,2,FALSE)=0,"Spatial Data Missing",VLOOKUP(AA108,'G-3 Multipliers'!$L$3:$N$6,2,FALSE)))</f>
        <v/>
      </c>
      <c r="AC108" s="345" t="str">
        <f>IF(AA108="","",IF(VLOOKUP(AA108,'G-3 Multipliers'!$L$3:$N$6,3,FALSE)=0,"Spatial Data Missing",VLOOKUP(AA108,'G-3 Multipliers'!$L$3:$N$6,3,FALSE)))</f>
        <v/>
      </c>
      <c r="AD108" s="351" t="str">
        <f t="shared" si="11"/>
        <v/>
      </c>
      <c r="AE108" s="94"/>
      <c r="AF108" s="94"/>
      <c r="AG108" s="343" t="str">
        <f t="shared" si="14"/>
        <v/>
      </c>
      <c r="AH108" s="591" t="str">
        <f t="shared" si="15"/>
        <v/>
      </c>
      <c r="AI108" s="353" t="str">
        <f>IF(AH108="Check Data","Check Data",IFERROR(VLOOKUP(AH108,'G-4 Temporal multipliers'!$A$4:$C$36,3,FALSE),""))</f>
        <v/>
      </c>
      <c r="AJ108" s="77" t="str">
        <f>IF(S108="","",VLOOKUP(S108,'G-3 Multipliers'!$A$2:$E$130,4,FALSE))</f>
        <v/>
      </c>
      <c r="AK108" s="348" t="str">
        <f t="shared" si="16"/>
        <v/>
      </c>
      <c r="AL108" s="348" t="str">
        <f t="shared" si="17"/>
        <v/>
      </c>
      <c r="AM108" s="607" t="str">
        <f>IFERROR(IF(F108="","",IF(AH108="Check Data","Check Data",VLOOKUP(AL108, 'G-3 Multipliers'!$P$2:$Q$6,2,FALSE))),””)</f>
        <v/>
      </c>
      <c r="AN108" s="81" t="str">
        <f t="shared" si="12"/>
        <v/>
      </c>
      <c r="AO108" s="355"/>
      <c r="AP108" s="356"/>
    </row>
    <row r="109" spans="1:42" x14ac:dyDescent="0.25">
      <c r="A109" s="52" t="str">
        <f>IF(E109="","",IF(ISNA(VLOOKUP($E109,'A-1 Site Habitat Baseline'!$D$1:$O$258,2,FALSE)),"",(VLOOKUP($E109,'A-1 Site Habitat Baseline'!$D$1:$O$258,2,FALSE))))</f>
        <v/>
      </c>
      <c r="B109" s="52" t="str">
        <f>IF(E109="","",IF(ISNA(VLOOKUP($E109,'A-1 Site Habitat Baseline'!$D$1:$O$258,3,FALSE)),"",(VLOOKUP($E109,'A-1 Site Habitat Baseline'!$D$1:$O$258,3,FALSE))))</f>
        <v/>
      </c>
      <c r="C109" s="52" t="str">
        <f>IFERROR(INDEX('G-8 Condition Look up'!$I$4:$I$131,MATCH(S109,'G-8 Condition Look up'!$A$4:$A$131,0)),"")</f>
        <v/>
      </c>
      <c r="E109" s="342" t="str">
        <f>'A-1 Site Habitat Baseline'!AL108</f>
        <v/>
      </c>
      <c r="F109" s="343" t="str">
        <f>IF(E109="","",IF(ISNA(VLOOKUP($E109,'A-1 Site Habitat Baseline'!$D$1:$O$258,4,FALSE)),"",(VLOOKUP($E109,'A-1 Site Habitat Baseline'!$D$1:$O$258,4,FALSE))))</f>
        <v/>
      </c>
      <c r="G109" s="343" t="str">
        <f>IF(E109="","",IF(ISNA(VLOOKUP($E109,'A-1 Site Habitat Baseline'!$D$1:$O$258,5,FALSE)),"",(VLOOKUP($E109,'A-1 Site Habitat Baseline'!$D$1:$O$258,5,FALSE))))</f>
        <v/>
      </c>
      <c r="H109" s="343" t="str">
        <f>IF(E109="","",IF(ISNA(VLOOKUP($E109,'A-1 Site Habitat Baseline'!$D$1:$O$258,6,FALSE)),"",(VLOOKUP($E109,'A-1 Site Habitat Baseline'!$D$1:$O$258,6,FALSE))))</f>
        <v/>
      </c>
      <c r="I109" s="343" t="str">
        <f>IF(E109="","",IF(ISNA(VLOOKUP($E109,'A-1 Site Habitat Baseline'!$D$1:$O$258,7,FALSE)),"",(VLOOKUP($E109,'A-1 Site Habitat Baseline'!$D$1:$O$258,7,FALSE))))</f>
        <v/>
      </c>
      <c r="J109" s="343" t="str">
        <f>IF(E109="","",IF(ISNA(VLOOKUP($E109,'A-1 Site Habitat Baseline'!$D$1:$O$258,8,FALSE)),"",(VLOOKUP($E109,'A-1 Site Habitat Baseline'!$D$1:$O$258,8,FALSE))))</f>
        <v/>
      </c>
      <c r="K109" s="343" t="str">
        <f>IF(E109="","",IF(ISNA(VLOOKUP($E109,'A-1 Site Habitat Baseline'!$D$1:$O$258,9,FALSE)),"",(VLOOKUP($E109,'A-1 Site Habitat Baseline'!$D$1:$O$258,9,FALSE))))</f>
        <v/>
      </c>
      <c r="L109" s="343" t="str">
        <f>IF(E109="","",IF(ISNA(VLOOKUP($E109,'A-1 Site Habitat Baseline'!$D$1:$O$258,11,FALSE)),"",(VLOOKUP($E109,'A-1 Site Habitat Baseline'!$D$1:$O$258,11,FALSE))))</f>
        <v/>
      </c>
      <c r="M109" s="343" t="str">
        <f>IF(E109="","",IF(ISNA(VLOOKUP($E109,'A-1 Site Habitat Baseline'!$D$1:$O$258,12,FALSE)),"",(VLOOKUP($E109,'A-1 Site Habitat Baseline'!$D$1:$O$258,12,FALSE))))</f>
        <v/>
      </c>
      <c r="N109" s="344" t="str">
        <f>IF(E109="","",IF(ISNA(VLOOKUP($E109,'A-1 Site Habitat Baseline'!$D$1:$X$258,14,FALSE)),"",(VLOOKUP($E109,'A-1 Site Habitat Baseline'!$D$1:$X$258,14,FALSE))))</f>
        <v/>
      </c>
      <c r="O109" s="345" t="str">
        <f>IF(E109="","",IF(ISNA(VLOOKUP($E109,'A-1 Site Habitat Baseline'!$D$1:$X$258,16,FALSE)),"",(VLOOKUP($E109,'A-1 Site Habitat Baseline'!$D$1:$X$258,13,FALSE))))</f>
        <v/>
      </c>
      <c r="P109" s="346" t="str">
        <f>IFERROR(INDEX('G-1 All Habitats'!$AG$3:$AG$15,MATCH(Q109,'G-1 All Habitats'!$AF$3:$AF$15,0)),"")</f>
        <v/>
      </c>
      <c r="Q109" s="347"/>
      <c r="R109" s="347"/>
      <c r="S109" s="605" t="str">
        <f>IFERROR(INDEX('G-1 All Habitats'!$B$3:$B$130,MATCH(R109,'G-1 All Habitats'!$A$3:$A$130,0)),"")</f>
        <v/>
      </c>
      <c r="T109" s="77" t="str">
        <f t="shared" si="18"/>
        <v/>
      </c>
      <c r="U109" s="78" t="str">
        <f t="shared" si="13"/>
        <v/>
      </c>
      <c r="V109" s="350" t="str">
        <f t="shared" si="10"/>
        <v/>
      </c>
      <c r="W109" s="343" t="str">
        <f>IF(S109="","",VLOOKUP(S109,'G-1 All Habitats'!$B$2:$M$130,10,FALSE))</f>
        <v/>
      </c>
      <c r="X109" s="343" t="str">
        <f>IFERROR(VLOOKUP(W109,'G-1 All Habitats'!$V$3:$W$7,2,FALSE),"")</f>
        <v/>
      </c>
      <c r="Y109" s="91"/>
      <c r="Z109" s="345" t="str">
        <f>IFERROR(INDEX('G-8 Condition Look up'!$A$3:$H$131,MATCH(S109,'G-8 Condition Look up'!$A$3:$A$131,0),MATCH(Y109,'G-8 Condition Look up'!$A$3:$H$3,0)),"")</f>
        <v/>
      </c>
      <c r="AA109" s="79"/>
      <c r="AB109" s="343" t="str">
        <f>IF(AA109="","",IF(VLOOKUP(AA109,'G-3 Multipliers'!$L$3:$N$6,2,FALSE)=0,"Spatial Data Missing",VLOOKUP(AA109,'G-3 Multipliers'!$L$3:$N$6,2,FALSE)))</f>
        <v/>
      </c>
      <c r="AC109" s="345" t="str">
        <f>IF(AA109="","",IF(VLOOKUP(AA109,'G-3 Multipliers'!$L$3:$N$6,3,FALSE)=0,"Spatial Data Missing",VLOOKUP(AA109,'G-3 Multipliers'!$L$3:$N$6,3,FALSE)))</f>
        <v/>
      </c>
      <c r="AD109" s="351" t="str">
        <f t="shared" si="11"/>
        <v/>
      </c>
      <c r="AE109" s="94"/>
      <c r="AF109" s="94"/>
      <c r="AG109" s="343" t="str">
        <f t="shared" si="14"/>
        <v/>
      </c>
      <c r="AH109" s="591" t="str">
        <f t="shared" si="15"/>
        <v/>
      </c>
      <c r="AI109" s="353" t="str">
        <f>IF(AH109="Check Data","Check Data",IFERROR(VLOOKUP(AH109,'G-4 Temporal multipliers'!$A$4:$C$36,3,FALSE),""))</f>
        <v/>
      </c>
      <c r="AJ109" s="77" t="str">
        <f>IF(S109="","",VLOOKUP(S109,'G-3 Multipliers'!$A$2:$E$130,4,FALSE))</f>
        <v/>
      </c>
      <c r="AK109" s="348" t="str">
        <f t="shared" si="16"/>
        <v/>
      </c>
      <c r="AL109" s="348" t="str">
        <f t="shared" si="17"/>
        <v/>
      </c>
      <c r="AM109" s="607" t="str">
        <f>IFERROR(IF(F109="","",IF(AH109="Check Data","Check Data",VLOOKUP(AL109, 'G-3 Multipliers'!$P$2:$Q$6,2,FALSE))),””)</f>
        <v/>
      </c>
      <c r="AN109" s="81" t="str">
        <f t="shared" si="12"/>
        <v/>
      </c>
      <c r="AO109" s="355"/>
      <c r="AP109" s="356"/>
    </row>
    <row r="110" spans="1:42" x14ac:dyDescent="0.25">
      <c r="A110" s="52" t="str">
        <f>IF(E110="","",IF(ISNA(VLOOKUP($E110,'A-1 Site Habitat Baseline'!$D$1:$O$258,2,FALSE)),"",(VLOOKUP($E110,'A-1 Site Habitat Baseline'!$D$1:$O$258,2,FALSE))))</f>
        <v/>
      </c>
      <c r="B110" s="52" t="str">
        <f>IF(E110="","",IF(ISNA(VLOOKUP($E110,'A-1 Site Habitat Baseline'!$D$1:$O$258,3,FALSE)),"",(VLOOKUP($E110,'A-1 Site Habitat Baseline'!$D$1:$O$258,3,FALSE))))</f>
        <v/>
      </c>
      <c r="C110" s="52" t="str">
        <f>IFERROR(INDEX('G-8 Condition Look up'!$I$4:$I$131,MATCH(S110,'G-8 Condition Look up'!$A$4:$A$131,0)),"")</f>
        <v/>
      </c>
      <c r="E110" s="342" t="str">
        <f>'A-1 Site Habitat Baseline'!AL109</f>
        <v/>
      </c>
      <c r="F110" s="343" t="str">
        <f>IF(E110="","",IF(ISNA(VLOOKUP($E110,'A-1 Site Habitat Baseline'!$D$1:$O$258,4,FALSE)),"",(VLOOKUP($E110,'A-1 Site Habitat Baseline'!$D$1:$O$258,4,FALSE))))</f>
        <v/>
      </c>
      <c r="G110" s="343" t="str">
        <f>IF(E110="","",IF(ISNA(VLOOKUP($E110,'A-1 Site Habitat Baseline'!$D$1:$O$258,5,FALSE)),"",(VLOOKUP($E110,'A-1 Site Habitat Baseline'!$D$1:$O$258,5,FALSE))))</f>
        <v/>
      </c>
      <c r="H110" s="343" t="str">
        <f>IF(E110="","",IF(ISNA(VLOOKUP($E110,'A-1 Site Habitat Baseline'!$D$1:$O$258,6,FALSE)),"",(VLOOKUP($E110,'A-1 Site Habitat Baseline'!$D$1:$O$258,6,FALSE))))</f>
        <v/>
      </c>
      <c r="I110" s="343" t="str">
        <f>IF(E110="","",IF(ISNA(VLOOKUP($E110,'A-1 Site Habitat Baseline'!$D$1:$O$258,7,FALSE)),"",(VLOOKUP($E110,'A-1 Site Habitat Baseline'!$D$1:$O$258,7,FALSE))))</f>
        <v/>
      </c>
      <c r="J110" s="343" t="str">
        <f>IF(E110="","",IF(ISNA(VLOOKUP($E110,'A-1 Site Habitat Baseline'!$D$1:$O$258,8,FALSE)),"",(VLOOKUP($E110,'A-1 Site Habitat Baseline'!$D$1:$O$258,8,FALSE))))</f>
        <v/>
      </c>
      <c r="K110" s="343" t="str">
        <f>IF(E110="","",IF(ISNA(VLOOKUP($E110,'A-1 Site Habitat Baseline'!$D$1:$O$258,9,FALSE)),"",(VLOOKUP($E110,'A-1 Site Habitat Baseline'!$D$1:$O$258,9,FALSE))))</f>
        <v/>
      </c>
      <c r="L110" s="343" t="str">
        <f>IF(E110="","",IF(ISNA(VLOOKUP($E110,'A-1 Site Habitat Baseline'!$D$1:$O$258,11,FALSE)),"",(VLOOKUP($E110,'A-1 Site Habitat Baseline'!$D$1:$O$258,11,FALSE))))</f>
        <v/>
      </c>
      <c r="M110" s="343" t="str">
        <f>IF(E110="","",IF(ISNA(VLOOKUP($E110,'A-1 Site Habitat Baseline'!$D$1:$O$258,12,FALSE)),"",(VLOOKUP($E110,'A-1 Site Habitat Baseline'!$D$1:$O$258,12,FALSE))))</f>
        <v/>
      </c>
      <c r="N110" s="344" t="str">
        <f>IF(E110="","",IF(ISNA(VLOOKUP($E110,'A-1 Site Habitat Baseline'!$D$1:$X$258,14,FALSE)),"",(VLOOKUP($E110,'A-1 Site Habitat Baseline'!$D$1:$X$258,14,FALSE))))</f>
        <v/>
      </c>
      <c r="O110" s="345" t="str">
        <f>IF(E110="","",IF(ISNA(VLOOKUP($E110,'A-1 Site Habitat Baseline'!$D$1:$X$258,16,FALSE)),"",(VLOOKUP($E110,'A-1 Site Habitat Baseline'!$D$1:$X$258,13,FALSE))))</f>
        <v/>
      </c>
      <c r="P110" s="346" t="str">
        <f>IFERROR(INDEX('G-1 All Habitats'!$AG$3:$AG$15,MATCH(Q110,'G-1 All Habitats'!$AF$3:$AF$15,0)),"")</f>
        <v/>
      </c>
      <c r="Q110" s="347"/>
      <c r="R110" s="347"/>
      <c r="S110" s="605" t="str">
        <f>IFERROR(INDEX('G-1 All Habitats'!$B$3:$B$130,MATCH(R110,'G-1 All Habitats'!$A$3:$A$130,0)),"")</f>
        <v/>
      </c>
      <c r="T110" s="77" t="str">
        <f t="shared" si="18"/>
        <v/>
      </c>
      <c r="U110" s="78" t="str">
        <f t="shared" si="13"/>
        <v/>
      </c>
      <c r="V110" s="350" t="str">
        <f t="shared" si="10"/>
        <v/>
      </c>
      <c r="W110" s="343" t="str">
        <f>IF(S110="","",VLOOKUP(S110,'G-1 All Habitats'!$B$2:$M$130,10,FALSE))</f>
        <v/>
      </c>
      <c r="X110" s="343" t="str">
        <f>IFERROR(VLOOKUP(W110,'G-1 All Habitats'!$V$3:$W$7,2,FALSE),"")</f>
        <v/>
      </c>
      <c r="Y110" s="91"/>
      <c r="Z110" s="345" t="str">
        <f>IFERROR(INDEX('G-8 Condition Look up'!$A$3:$H$131,MATCH(S110,'G-8 Condition Look up'!$A$3:$A$131,0),MATCH(Y110,'G-8 Condition Look up'!$A$3:$H$3,0)),"")</f>
        <v/>
      </c>
      <c r="AA110" s="79"/>
      <c r="AB110" s="343" t="str">
        <f>IF(AA110="","",IF(VLOOKUP(AA110,'G-3 Multipliers'!$L$3:$N$6,2,FALSE)=0,"Spatial Data Missing",VLOOKUP(AA110,'G-3 Multipliers'!$L$3:$N$6,2,FALSE)))</f>
        <v/>
      </c>
      <c r="AC110" s="345" t="str">
        <f>IF(AA110="","",IF(VLOOKUP(AA110,'G-3 Multipliers'!$L$3:$N$6,3,FALSE)=0,"Spatial Data Missing",VLOOKUP(AA110,'G-3 Multipliers'!$L$3:$N$6,3,FALSE)))</f>
        <v/>
      </c>
      <c r="AD110" s="351" t="str">
        <f t="shared" si="11"/>
        <v/>
      </c>
      <c r="AE110" s="94"/>
      <c r="AF110" s="94"/>
      <c r="AG110" s="343" t="str">
        <f t="shared" si="14"/>
        <v/>
      </c>
      <c r="AH110" s="591" t="str">
        <f t="shared" si="15"/>
        <v/>
      </c>
      <c r="AI110" s="353" t="str">
        <f>IF(AH110="Check Data","Check Data",IFERROR(VLOOKUP(AH110,'G-4 Temporal multipliers'!$A$4:$C$36,3,FALSE),""))</f>
        <v/>
      </c>
      <c r="AJ110" s="77" t="str">
        <f>IF(S110="","",VLOOKUP(S110,'G-3 Multipliers'!$A$2:$E$130,4,FALSE))</f>
        <v/>
      </c>
      <c r="AK110" s="348" t="str">
        <f t="shared" si="16"/>
        <v/>
      </c>
      <c r="AL110" s="348" t="str">
        <f t="shared" si="17"/>
        <v/>
      </c>
      <c r="AM110" s="607" t="str">
        <f>IFERROR(IF(F110="","",IF(AH110="Check Data","Check Data",VLOOKUP(AL110, 'G-3 Multipliers'!$P$2:$Q$6,2,FALSE))),””)</f>
        <v/>
      </c>
      <c r="AN110" s="81" t="str">
        <f t="shared" si="12"/>
        <v/>
      </c>
      <c r="AO110" s="355"/>
      <c r="AP110" s="356"/>
    </row>
    <row r="111" spans="1:42" x14ac:dyDescent="0.25">
      <c r="A111" s="52" t="str">
        <f>IF(E111="","",IF(ISNA(VLOOKUP($E111,'A-1 Site Habitat Baseline'!$D$1:$O$258,2,FALSE)),"",(VLOOKUP($E111,'A-1 Site Habitat Baseline'!$D$1:$O$258,2,FALSE))))</f>
        <v/>
      </c>
      <c r="B111" s="52" t="str">
        <f>IF(E111="","",IF(ISNA(VLOOKUP($E111,'A-1 Site Habitat Baseline'!$D$1:$O$258,3,FALSE)),"",(VLOOKUP($E111,'A-1 Site Habitat Baseline'!$D$1:$O$258,3,FALSE))))</f>
        <v/>
      </c>
      <c r="C111" s="52" t="str">
        <f>IFERROR(INDEX('G-8 Condition Look up'!$I$4:$I$131,MATCH(S111,'G-8 Condition Look up'!$A$4:$A$131,0)),"")</f>
        <v/>
      </c>
      <c r="E111" s="342" t="str">
        <f>'A-1 Site Habitat Baseline'!AL110</f>
        <v/>
      </c>
      <c r="F111" s="343" t="str">
        <f>IF(E111="","",IF(ISNA(VLOOKUP($E111,'A-1 Site Habitat Baseline'!$D$1:$O$258,4,FALSE)),"",(VLOOKUP($E111,'A-1 Site Habitat Baseline'!$D$1:$O$258,4,FALSE))))</f>
        <v/>
      </c>
      <c r="G111" s="343" t="str">
        <f>IF(E111="","",IF(ISNA(VLOOKUP($E111,'A-1 Site Habitat Baseline'!$D$1:$O$258,5,FALSE)),"",(VLOOKUP($E111,'A-1 Site Habitat Baseline'!$D$1:$O$258,5,FALSE))))</f>
        <v/>
      </c>
      <c r="H111" s="343" t="str">
        <f>IF(E111="","",IF(ISNA(VLOOKUP($E111,'A-1 Site Habitat Baseline'!$D$1:$O$258,6,FALSE)),"",(VLOOKUP($E111,'A-1 Site Habitat Baseline'!$D$1:$O$258,6,FALSE))))</f>
        <v/>
      </c>
      <c r="I111" s="343" t="str">
        <f>IF(E111="","",IF(ISNA(VLOOKUP($E111,'A-1 Site Habitat Baseline'!$D$1:$O$258,7,FALSE)),"",(VLOOKUP($E111,'A-1 Site Habitat Baseline'!$D$1:$O$258,7,FALSE))))</f>
        <v/>
      </c>
      <c r="J111" s="343" t="str">
        <f>IF(E111="","",IF(ISNA(VLOOKUP($E111,'A-1 Site Habitat Baseline'!$D$1:$O$258,8,FALSE)),"",(VLOOKUP($E111,'A-1 Site Habitat Baseline'!$D$1:$O$258,8,FALSE))))</f>
        <v/>
      </c>
      <c r="K111" s="343" t="str">
        <f>IF(E111="","",IF(ISNA(VLOOKUP($E111,'A-1 Site Habitat Baseline'!$D$1:$O$258,9,FALSE)),"",(VLOOKUP($E111,'A-1 Site Habitat Baseline'!$D$1:$O$258,9,FALSE))))</f>
        <v/>
      </c>
      <c r="L111" s="343" t="str">
        <f>IF(E111="","",IF(ISNA(VLOOKUP($E111,'A-1 Site Habitat Baseline'!$D$1:$O$258,11,FALSE)),"",(VLOOKUP($E111,'A-1 Site Habitat Baseline'!$D$1:$O$258,11,FALSE))))</f>
        <v/>
      </c>
      <c r="M111" s="343" t="str">
        <f>IF(E111="","",IF(ISNA(VLOOKUP($E111,'A-1 Site Habitat Baseline'!$D$1:$O$258,12,FALSE)),"",(VLOOKUP($E111,'A-1 Site Habitat Baseline'!$D$1:$O$258,12,FALSE))))</f>
        <v/>
      </c>
      <c r="N111" s="344" t="str">
        <f>IF(E111="","",IF(ISNA(VLOOKUP($E111,'A-1 Site Habitat Baseline'!$D$1:$X$258,14,FALSE)),"",(VLOOKUP($E111,'A-1 Site Habitat Baseline'!$D$1:$X$258,14,FALSE))))</f>
        <v/>
      </c>
      <c r="O111" s="345" t="str">
        <f>IF(E111="","",IF(ISNA(VLOOKUP($E111,'A-1 Site Habitat Baseline'!$D$1:$X$258,16,FALSE)),"",(VLOOKUP($E111,'A-1 Site Habitat Baseline'!$D$1:$X$258,13,FALSE))))</f>
        <v/>
      </c>
      <c r="P111" s="346" t="str">
        <f>IFERROR(INDEX('G-1 All Habitats'!$AG$3:$AG$15,MATCH(Q111,'G-1 All Habitats'!$AF$3:$AF$15,0)),"")</f>
        <v/>
      </c>
      <c r="Q111" s="347"/>
      <c r="R111" s="347"/>
      <c r="S111" s="605" t="str">
        <f>IFERROR(INDEX('G-1 All Habitats'!$B$3:$B$130,MATCH(R111,'G-1 All Habitats'!$A$3:$A$130,0)),"")</f>
        <v/>
      </c>
      <c r="T111" s="77" t="str">
        <f t="shared" si="18"/>
        <v/>
      </c>
      <c r="U111" s="78" t="str">
        <f t="shared" si="13"/>
        <v/>
      </c>
      <c r="V111" s="350" t="str">
        <f t="shared" si="10"/>
        <v/>
      </c>
      <c r="W111" s="343" t="str">
        <f>IF(S111="","",VLOOKUP(S111,'G-1 All Habitats'!$B$2:$M$130,10,FALSE))</f>
        <v/>
      </c>
      <c r="X111" s="343" t="str">
        <f>IFERROR(VLOOKUP(W111,'G-1 All Habitats'!$V$3:$W$7,2,FALSE),"")</f>
        <v/>
      </c>
      <c r="Y111" s="91"/>
      <c r="Z111" s="345" t="str">
        <f>IFERROR(INDEX('G-8 Condition Look up'!$A$3:$H$131,MATCH(S111,'G-8 Condition Look up'!$A$3:$A$131,0),MATCH(Y111,'G-8 Condition Look up'!$A$3:$H$3,0)),"")</f>
        <v/>
      </c>
      <c r="AA111" s="79"/>
      <c r="AB111" s="343" t="str">
        <f>IF(AA111="","",IF(VLOOKUP(AA111,'G-3 Multipliers'!$L$3:$N$6,2,FALSE)=0,"Spatial Data Missing",VLOOKUP(AA111,'G-3 Multipliers'!$L$3:$N$6,2,FALSE)))</f>
        <v/>
      </c>
      <c r="AC111" s="345" t="str">
        <f>IF(AA111="","",IF(VLOOKUP(AA111,'G-3 Multipliers'!$L$3:$N$6,3,FALSE)=0,"Spatial Data Missing",VLOOKUP(AA111,'G-3 Multipliers'!$L$3:$N$6,3,FALSE)))</f>
        <v/>
      </c>
      <c r="AD111" s="351" t="str">
        <f t="shared" si="11"/>
        <v/>
      </c>
      <c r="AE111" s="94"/>
      <c r="AF111" s="94"/>
      <c r="AG111" s="343" t="str">
        <f t="shared" si="14"/>
        <v/>
      </c>
      <c r="AH111" s="591" t="str">
        <f t="shared" si="15"/>
        <v/>
      </c>
      <c r="AI111" s="353" t="str">
        <f>IF(AH111="Check Data","Check Data",IFERROR(VLOOKUP(AH111,'G-4 Temporal multipliers'!$A$4:$C$36,3,FALSE),""))</f>
        <v/>
      </c>
      <c r="AJ111" s="77" t="str">
        <f>IF(S111="","",VLOOKUP(S111,'G-3 Multipliers'!$A$2:$E$130,4,FALSE))</f>
        <v/>
      </c>
      <c r="AK111" s="348" t="str">
        <f t="shared" si="16"/>
        <v/>
      </c>
      <c r="AL111" s="348" t="str">
        <f t="shared" si="17"/>
        <v/>
      </c>
      <c r="AM111" s="607" t="str">
        <f>IFERROR(IF(F111="","",IF(AH111="Check Data","Check Data",VLOOKUP(AL111, 'G-3 Multipliers'!$P$2:$Q$6,2,FALSE))),””)</f>
        <v/>
      </c>
      <c r="AN111" s="81" t="str">
        <f t="shared" si="12"/>
        <v/>
      </c>
      <c r="AO111" s="355"/>
      <c r="AP111" s="356"/>
    </row>
    <row r="112" spans="1:42" x14ac:dyDescent="0.25">
      <c r="A112" s="52" t="str">
        <f>IF(E112="","",IF(ISNA(VLOOKUP($E112,'A-1 Site Habitat Baseline'!$D$1:$O$258,2,FALSE)),"",(VLOOKUP($E112,'A-1 Site Habitat Baseline'!$D$1:$O$258,2,FALSE))))</f>
        <v/>
      </c>
      <c r="B112" s="52" t="str">
        <f>IF(E112="","",IF(ISNA(VLOOKUP($E112,'A-1 Site Habitat Baseline'!$D$1:$O$258,3,FALSE)),"",(VLOOKUP($E112,'A-1 Site Habitat Baseline'!$D$1:$O$258,3,FALSE))))</f>
        <v/>
      </c>
      <c r="C112" s="52" t="str">
        <f>IFERROR(INDEX('G-8 Condition Look up'!$I$4:$I$131,MATCH(S112,'G-8 Condition Look up'!$A$4:$A$131,0)),"")</f>
        <v/>
      </c>
      <c r="E112" s="342" t="str">
        <f>'A-1 Site Habitat Baseline'!AL111</f>
        <v/>
      </c>
      <c r="F112" s="343" t="str">
        <f>IF(E112="","",IF(ISNA(VLOOKUP($E112,'A-1 Site Habitat Baseline'!$D$1:$O$258,4,FALSE)),"",(VLOOKUP($E112,'A-1 Site Habitat Baseline'!$D$1:$O$258,4,FALSE))))</f>
        <v/>
      </c>
      <c r="G112" s="343" t="str">
        <f>IF(E112="","",IF(ISNA(VLOOKUP($E112,'A-1 Site Habitat Baseline'!$D$1:$O$258,5,FALSE)),"",(VLOOKUP($E112,'A-1 Site Habitat Baseline'!$D$1:$O$258,5,FALSE))))</f>
        <v/>
      </c>
      <c r="H112" s="343" t="str">
        <f>IF(E112="","",IF(ISNA(VLOOKUP($E112,'A-1 Site Habitat Baseline'!$D$1:$O$258,6,FALSE)),"",(VLOOKUP($E112,'A-1 Site Habitat Baseline'!$D$1:$O$258,6,FALSE))))</f>
        <v/>
      </c>
      <c r="I112" s="343" t="str">
        <f>IF(E112="","",IF(ISNA(VLOOKUP($E112,'A-1 Site Habitat Baseline'!$D$1:$O$258,7,FALSE)),"",(VLOOKUP($E112,'A-1 Site Habitat Baseline'!$D$1:$O$258,7,FALSE))))</f>
        <v/>
      </c>
      <c r="J112" s="343" t="str">
        <f>IF(E112="","",IF(ISNA(VLOOKUP($E112,'A-1 Site Habitat Baseline'!$D$1:$O$258,8,FALSE)),"",(VLOOKUP($E112,'A-1 Site Habitat Baseline'!$D$1:$O$258,8,FALSE))))</f>
        <v/>
      </c>
      <c r="K112" s="343" t="str">
        <f>IF(E112="","",IF(ISNA(VLOOKUP($E112,'A-1 Site Habitat Baseline'!$D$1:$O$258,9,FALSE)),"",(VLOOKUP($E112,'A-1 Site Habitat Baseline'!$D$1:$O$258,9,FALSE))))</f>
        <v/>
      </c>
      <c r="L112" s="343" t="str">
        <f>IF(E112="","",IF(ISNA(VLOOKUP($E112,'A-1 Site Habitat Baseline'!$D$1:$O$258,11,FALSE)),"",(VLOOKUP($E112,'A-1 Site Habitat Baseline'!$D$1:$O$258,11,FALSE))))</f>
        <v/>
      </c>
      <c r="M112" s="343" t="str">
        <f>IF(E112="","",IF(ISNA(VLOOKUP($E112,'A-1 Site Habitat Baseline'!$D$1:$O$258,12,FALSE)),"",(VLOOKUP($E112,'A-1 Site Habitat Baseline'!$D$1:$O$258,12,FALSE))))</f>
        <v/>
      </c>
      <c r="N112" s="344" t="str">
        <f>IF(E112="","",IF(ISNA(VLOOKUP($E112,'A-1 Site Habitat Baseline'!$D$1:$X$258,14,FALSE)),"",(VLOOKUP($E112,'A-1 Site Habitat Baseline'!$D$1:$X$258,14,FALSE))))</f>
        <v/>
      </c>
      <c r="O112" s="345" t="str">
        <f>IF(E112="","",IF(ISNA(VLOOKUP($E112,'A-1 Site Habitat Baseline'!$D$1:$X$258,16,FALSE)),"",(VLOOKUP($E112,'A-1 Site Habitat Baseline'!$D$1:$X$258,13,FALSE))))</f>
        <v/>
      </c>
      <c r="P112" s="346" t="str">
        <f>IFERROR(INDEX('G-1 All Habitats'!$AG$3:$AG$15,MATCH(Q112,'G-1 All Habitats'!$AF$3:$AF$15,0)),"")</f>
        <v/>
      </c>
      <c r="Q112" s="347"/>
      <c r="R112" s="347"/>
      <c r="S112" s="605" t="str">
        <f>IFERROR(INDEX('G-1 All Habitats'!$B$3:$B$130,MATCH(R112,'G-1 All Habitats'!$A$3:$A$130,0)),"")</f>
        <v/>
      </c>
      <c r="T112" s="77" t="str">
        <f t="shared" si="18"/>
        <v/>
      </c>
      <c r="U112" s="78" t="str">
        <f t="shared" si="13"/>
        <v/>
      </c>
      <c r="V112" s="350" t="str">
        <f t="shared" si="10"/>
        <v/>
      </c>
      <c r="W112" s="343" t="str">
        <f>IF(S112="","",VLOOKUP(S112,'G-1 All Habitats'!$B$2:$M$130,10,FALSE))</f>
        <v/>
      </c>
      <c r="X112" s="343" t="str">
        <f>IFERROR(VLOOKUP(W112,'G-1 All Habitats'!$V$3:$W$7,2,FALSE),"")</f>
        <v/>
      </c>
      <c r="Y112" s="91"/>
      <c r="Z112" s="345" t="str">
        <f>IFERROR(INDEX('G-8 Condition Look up'!$A$3:$H$131,MATCH(S112,'G-8 Condition Look up'!$A$3:$A$131,0),MATCH(Y112,'G-8 Condition Look up'!$A$3:$H$3,0)),"")</f>
        <v/>
      </c>
      <c r="AA112" s="79"/>
      <c r="AB112" s="343" t="str">
        <f>IF(AA112="","",IF(VLOOKUP(AA112,'G-3 Multipliers'!$L$3:$N$6,2,FALSE)=0,"Spatial Data Missing",VLOOKUP(AA112,'G-3 Multipliers'!$L$3:$N$6,2,FALSE)))</f>
        <v/>
      </c>
      <c r="AC112" s="345" t="str">
        <f>IF(AA112="","",IF(VLOOKUP(AA112,'G-3 Multipliers'!$L$3:$N$6,3,FALSE)=0,"Spatial Data Missing",VLOOKUP(AA112,'G-3 Multipliers'!$L$3:$N$6,3,FALSE)))</f>
        <v/>
      </c>
      <c r="AD112" s="351" t="str">
        <f t="shared" si="11"/>
        <v/>
      </c>
      <c r="AE112" s="94"/>
      <c r="AF112" s="94"/>
      <c r="AG112" s="343" t="str">
        <f t="shared" si="14"/>
        <v/>
      </c>
      <c r="AH112" s="591" t="str">
        <f t="shared" si="15"/>
        <v/>
      </c>
      <c r="AI112" s="353" t="str">
        <f>IF(AH112="Check Data","Check Data",IFERROR(VLOOKUP(AH112,'G-4 Temporal multipliers'!$A$4:$C$36,3,FALSE),""))</f>
        <v/>
      </c>
      <c r="AJ112" s="77" t="str">
        <f>IF(S112="","",VLOOKUP(S112,'G-3 Multipliers'!$A$2:$E$130,4,FALSE))</f>
        <v/>
      </c>
      <c r="AK112" s="348" t="str">
        <f t="shared" si="16"/>
        <v/>
      </c>
      <c r="AL112" s="348" t="str">
        <f t="shared" si="17"/>
        <v/>
      </c>
      <c r="AM112" s="607" t="str">
        <f>IFERROR(IF(F112="","",IF(AH112="Check Data","Check Data",VLOOKUP(AL112, 'G-3 Multipliers'!$P$2:$Q$6,2,FALSE))),””)</f>
        <v/>
      </c>
      <c r="AN112" s="81" t="str">
        <f t="shared" si="12"/>
        <v/>
      </c>
      <c r="AO112" s="355"/>
      <c r="AP112" s="356"/>
    </row>
    <row r="113" spans="1:42" x14ac:dyDescent="0.25">
      <c r="A113" s="52" t="str">
        <f>IF(E113="","",IF(ISNA(VLOOKUP($E113,'A-1 Site Habitat Baseline'!$D$1:$O$258,2,FALSE)),"",(VLOOKUP($E113,'A-1 Site Habitat Baseline'!$D$1:$O$258,2,FALSE))))</f>
        <v/>
      </c>
      <c r="B113" s="52" t="str">
        <f>IF(E113="","",IF(ISNA(VLOOKUP($E113,'A-1 Site Habitat Baseline'!$D$1:$O$258,3,FALSE)),"",(VLOOKUP($E113,'A-1 Site Habitat Baseline'!$D$1:$O$258,3,FALSE))))</f>
        <v/>
      </c>
      <c r="C113" s="52" t="str">
        <f>IFERROR(INDEX('G-8 Condition Look up'!$I$4:$I$131,MATCH(S113,'G-8 Condition Look up'!$A$4:$A$131,0)),"")</f>
        <v/>
      </c>
      <c r="E113" s="342" t="str">
        <f>'A-1 Site Habitat Baseline'!AL112</f>
        <v/>
      </c>
      <c r="F113" s="343" t="str">
        <f>IF(E113="","",IF(ISNA(VLOOKUP($E113,'A-1 Site Habitat Baseline'!$D$1:$O$258,4,FALSE)),"",(VLOOKUP($E113,'A-1 Site Habitat Baseline'!$D$1:$O$258,4,FALSE))))</f>
        <v/>
      </c>
      <c r="G113" s="343" t="str">
        <f>IF(E113="","",IF(ISNA(VLOOKUP($E113,'A-1 Site Habitat Baseline'!$D$1:$O$258,5,FALSE)),"",(VLOOKUP($E113,'A-1 Site Habitat Baseline'!$D$1:$O$258,5,FALSE))))</f>
        <v/>
      </c>
      <c r="H113" s="343" t="str">
        <f>IF(E113="","",IF(ISNA(VLOOKUP($E113,'A-1 Site Habitat Baseline'!$D$1:$O$258,6,FALSE)),"",(VLOOKUP($E113,'A-1 Site Habitat Baseline'!$D$1:$O$258,6,FALSE))))</f>
        <v/>
      </c>
      <c r="I113" s="343" t="str">
        <f>IF(E113="","",IF(ISNA(VLOOKUP($E113,'A-1 Site Habitat Baseline'!$D$1:$O$258,7,FALSE)),"",(VLOOKUP($E113,'A-1 Site Habitat Baseline'!$D$1:$O$258,7,FALSE))))</f>
        <v/>
      </c>
      <c r="J113" s="343" t="str">
        <f>IF(E113="","",IF(ISNA(VLOOKUP($E113,'A-1 Site Habitat Baseline'!$D$1:$O$258,8,FALSE)),"",(VLOOKUP($E113,'A-1 Site Habitat Baseline'!$D$1:$O$258,8,FALSE))))</f>
        <v/>
      </c>
      <c r="K113" s="343" t="str">
        <f>IF(E113="","",IF(ISNA(VLOOKUP($E113,'A-1 Site Habitat Baseline'!$D$1:$O$258,9,FALSE)),"",(VLOOKUP($E113,'A-1 Site Habitat Baseline'!$D$1:$O$258,9,FALSE))))</f>
        <v/>
      </c>
      <c r="L113" s="343" t="str">
        <f>IF(E113="","",IF(ISNA(VLOOKUP($E113,'A-1 Site Habitat Baseline'!$D$1:$O$258,11,FALSE)),"",(VLOOKUP($E113,'A-1 Site Habitat Baseline'!$D$1:$O$258,11,FALSE))))</f>
        <v/>
      </c>
      <c r="M113" s="343" t="str">
        <f>IF(E113="","",IF(ISNA(VLOOKUP($E113,'A-1 Site Habitat Baseline'!$D$1:$O$258,12,FALSE)),"",(VLOOKUP($E113,'A-1 Site Habitat Baseline'!$D$1:$O$258,12,FALSE))))</f>
        <v/>
      </c>
      <c r="N113" s="344" t="str">
        <f>IF(E113="","",IF(ISNA(VLOOKUP($E113,'A-1 Site Habitat Baseline'!$D$1:$X$258,14,FALSE)),"",(VLOOKUP($E113,'A-1 Site Habitat Baseline'!$D$1:$X$258,14,FALSE))))</f>
        <v/>
      </c>
      <c r="O113" s="345" t="str">
        <f>IF(E113="","",IF(ISNA(VLOOKUP($E113,'A-1 Site Habitat Baseline'!$D$1:$X$258,16,FALSE)),"",(VLOOKUP($E113,'A-1 Site Habitat Baseline'!$D$1:$X$258,13,FALSE))))</f>
        <v/>
      </c>
      <c r="P113" s="346" t="str">
        <f>IFERROR(INDEX('G-1 All Habitats'!$AG$3:$AG$15,MATCH(Q113,'G-1 All Habitats'!$AF$3:$AF$15,0)),"")</f>
        <v/>
      </c>
      <c r="Q113" s="347"/>
      <c r="R113" s="347"/>
      <c r="S113" s="605" t="str">
        <f>IFERROR(INDEX('G-1 All Habitats'!$B$3:$B$130,MATCH(R113,'G-1 All Habitats'!$A$3:$A$130,0)),"")</f>
        <v/>
      </c>
      <c r="T113" s="77" t="str">
        <f t="shared" si="18"/>
        <v/>
      </c>
      <c r="U113" s="78" t="str">
        <f t="shared" si="13"/>
        <v/>
      </c>
      <c r="V113" s="350" t="str">
        <f t="shared" si="10"/>
        <v/>
      </c>
      <c r="W113" s="343" t="str">
        <f>IF(S113="","",VLOOKUP(S113,'G-1 All Habitats'!$B$2:$M$130,10,FALSE))</f>
        <v/>
      </c>
      <c r="X113" s="343" t="str">
        <f>IFERROR(VLOOKUP(W113,'G-1 All Habitats'!$V$3:$W$7,2,FALSE),"")</f>
        <v/>
      </c>
      <c r="Y113" s="91"/>
      <c r="Z113" s="345" t="str">
        <f>IFERROR(INDEX('G-8 Condition Look up'!$A$3:$H$131,MATCH(S113,'G-8 Condition Look up'!$A$3:$A$131,0),MATCH(Y113,'G-8 Condition Look up'!$A$3:$H$3,0)),"")</f>
        <v/>
      </c>
      <c r="AA113" s="79"/>
      <c r="AB113" s="343" t="str">
        <f>IF(AA113="","",IF(VLOOKUP(AA113,'G-3 Multipliers'!$L$3:$N$6,2,FALSE)=0,"Spatial Data Missing",VLOOKUP(AA113,'G-3 Multipliers'!$L$3:$N$6,2,FALSE)))</f>
        <v/>
      </c>
      <c r="AC113" s="345" t="str">
        <f>IF(AA113="","",IF(VLOOKUP(AA113,'G-3 Multipliers'!$L$3:$N$6,3,FALSE)=0,"Spatial Data Missing",VLOOKUP(AA113,'G-3 Multipliers'!$L$3:$N$6,3,FALSE)))</f>
        <v/>
      </c>
      <c r="AD113" s="351" t="str">
        <f t="shared" si="11"/>
        <v/>
      </c>
      <c r="AE113" s="94"/>
      <c r="AF113" s="94"/>
      <c r="AG113" s="343" t="str">
        <f t="shared" si="14"/>
        <v/>
      </c>
      <c r="AH113" s="591" t="str">
        <f t="shared" si="15"/>
        <v/>
      </c>
      <c r="AI113" s="353" t="str">
        <f>IF(AH113="Check Data","Check Data",IFERROR(VLOOKUP(AH113,'G-4 Temporal multipliers'!$A$4:$C$36,3,FALSE),""))</f>
        <v/>
      </c>
      <c r="AJ113" s="77" t="str">
        <f>IF(S113="","",VLOOKUP(S113,'G-3 Multipliers'!$A$2:$E$130,4,FALSE))</f>
        <v/>
      </c>
      <c r="AK113" s="348" t="str">
        <f t="shared" si="16"/>
        <v/>
      </c>
      <c r="AL113" s="348" t="str">
        <f t="shared" si="17"/>
        <v/>
      </c>
      <c r="AM113" s="607" t="str">
        <f>IFERROR(IF(F113="","",IF(AH113="Check Data","Check Data",VLOOKUP(AL113, 'G-3 Multipliers'!$P$2:$Q$6,2,FALSE))),””)</f>
        <v/>
      </c>
      <c r="AN113" s="81" t="str">
        <f t="shared" si="12"/>
        <v/>
      </c>
      <c r="AO113" s="355"/>
      <c r="AP113" s="356"/>
    </row>
    <row r="114" spans="1:42" x14ac:dyDescent="0.25">
      <c r="A114" s="52" t="str">
        <f>IF(E114="","",IF(ISNA(VLOOKUP($E114,'A-1 Site Habitat Baseline'!$D$1:$O$258,2,FALSE)),"",(VLOOKUP($E114,'A-1 Site Habitat Baseline'!$D$1:$O$258,2,FALSE))))</f>
        <v/>
      </c>
      <c r="B114" s="52" t="str">
        <f>IF(E114="","",IF(ISNA(VLOOKUP($E114,'A-1 Site Habitat Baseline'!$D$1:$O$258,3,FALSE)),"",(VLOOKUP($E114,'A-1 Site Habitat Baseline'!$D$1:$O$258,3,FALSE))))</f>
        <v/>
      </c>
      <c r="C114" s="52" t="str">
        <f>IFERROR(INDEX('G-8 Condition Look up'!$I$4:$I$131,MATCH(S114,'G-8 Condition Look up'!$A$4:$A$131,0)),"")</f>
        <v/>
      </c>
      <c r="E114" s="342" t="str">
        <f>'A-1 Site Habitat Baseline'!AL113</f>
        <v/>
      </c>
      <c r="F114" s="343" t="str">
        <f>IF(E114="","",IF(ISNA(VLOOKUP($E114,'A-1 Site Habitat Baseline'!$D$1:$O$258,4,FALSE)),"",(VLOOKUP($E114,'A-1 Site Habitat Baseline'!$D$1:$O$258,4,FALSE))))</f>
        <v/>
      </c>
      <c r="G114" s="343" t="str">
        <f>IF(E114="","",IF(ISNA(VLOOKUP($E114,'A-1 Site Habitat Baseline'!$D$1:$O$258,5,FALSE)),"",(VLOOKUP($E114,'A-1 Site Habitat Baseline'!$D$1:$O$258,5,FALSE))))</f>
        <v/>
      </c>
      <c r="H114" s="343" t="str">
        <f>IF(E114="","",IF(ISNA(VLOOKUP($E114,'A-1 Site Habitat Baseline'!$D$1:$O$258,6,FALSE)),"",(VLOOKUP($E114,'A-1 Site Habitat Baseline'!$D$1:$O$258,6,FALSE))))</f>
        <v/>
      </c>
      <c r="I114" s="343" t="str">
        <f>IF(E114="","",IF(ISNA(VLOOKUP($E114,'A-1 Site Habitat Baseline'!$D$1:$O$258,7,FALSE)),"",(VLOOKUP($E114,'A-1 Site Habitat Baseline'!$D$1:$O$258,7,FALSE))))</f>
        <v/>
      </c>
      <c r="J114" s="343" t="str">
        <f>IF(E114="","",IF(ISNA(VLOOKUP($E114,'A-1 Site Habitat Baseline'!$D$1:$O$258,8,FALSE)),"",(VLOOKUP($E114,'A-1 Site Habitat Baseline'!$D$1:$O$258,8,FALSE))))</f>
        <v/>
      </c>
      <c r="K114" s="343" t="str">
        <f>IF(E114="","",IF(ISNA(VLOOKUP($E114,'A-1 Site Habitat Baseline'!$D$1:$O$258,9,FALSE)),"",(VLOOKUP($E114,'A-1 Site Habitat Baseline'!$D$1:$O$258,9,FALSE))))</f>
        <v/>
      </c>
      <c r="L114" s="343" t="str">
        <f>IF(E114="","",IF(ISNA(VLOOKUP($E114,'A-1 Site Habitat Baseline'!$D$1:$O$258,11,FALSE)),"",(VLOOKUP($E114,'A-1 Site Habitat Baseline'!$D$1:$O$258,11,FALSE))))</f>
        <v/>
      </c>
      <c r="M114" s="343" t="str">
        <f>IF(E114="","",IF(ISNA(VLOOKUP($E114,'A-1 Site Habitat Baseline'!$D$1:$O$258,12,FALSE)),"",(VLOOKUP($E114,'A-1 Site Habitat Baseline'!$D$1:$O$258,12,FALSE))))</f>
        <v/>
      </c>
      <c r="N114" s="344" t="str">
        <f>IF(E114="","",IF(ISNA(VLOOKUP($E114,'A-1 Site Habitat Baseline'!$D$1:$X$258,14,FALSE)),"",(VLOOKUP($E114,'A-1 Site Habitat Baseline'!$D$1:$X$258,14,FALSE))))</f>
        <v/>
      </c>
      <c r="O114" s="345" t="str">
        <f>IF(E114="","",IF(ISNA(VLOOKUP($E114,'A-1 Site Habitat Baseline'!$D$1:$X$258,16,FALSE)),"",(VLOOKUP($E114,'A-1 Site Habitat Baseline'!$D$1:$X$258,13,FALSE))))</f>
        <v/>
      </c>
      <c r="P114" s="346" t="str">
        <f>IFERROR(INDEX('G-1 All Habitats'!$AG$3:$AG$15,MATCH(Q114,'G-1 All Habitats'!$AF$3:$AF$15,0)),"")</f>
        <v/>
      </c>
      <c r="Q114" s="347"/>
      <c r="R114" s="347"/>
      <c r="S114" s="605" t="str">
        <f>IFERROR(INDEX('G-1 All Habitats'!$B$3:$B$130,MATCH(R114,'G-1 All Habitats'!$A$3:$A$130,0)),"")</f>
        <v/>
      </c>
      <c r="T114" s="77" t="str">
        <f t="shared" si="18"/>
        <v/>
      </c>
      <c r="U114" s="78" t="str">
        <f t="shared" si="13"/>
        <v/>
      </c>
      <c r="V114" s="350" t="str">
        <f t="shared" si="10"/>
        <v/>
      </c>
      <c r="W114" s="343" t="str">
        <f>IF(S114="","",VLOOKUP(S114,'G-1 All Habitats'!$B$2:$M$130,10,FALSE))</f>
        <v/>
      </c>
      <c r="X114" s="343" t="str">
        <f>IFERROR(VLOOKUP(W114,'G-1 All Habitats'!$V$3:$W$7,2,FALSE),"")</f>
        <v/>
      </c>
      <c r="Y114" s="91"/>
      <c r="Z114" s="345" t="str">
        <f>IFERROR(INDEX('G-8 Condition Look up'!$A$3:$H$131,MATCH(S114,'G-8 Condition Look up'!$A$3:$A$131,0),MATCH(Y114,'G-8 Condition Look up'!$A$3:$H$3,0)),"")</f>
        <v/>
      </c>
      <c r="AA114" s="79"/>
      <c r="AB114" s="343" t="str">
        <f>IF(AA114="","",IF(VLOOKUP(AA114,'G-3 Multipliers'!$L$3:$N$6,2,FALSE)=0,"Spatial Data Missing",VLOOKUP(AA114,'G-3 Multipliers'!$L$3:$N$6,2,FALSE)))</f>
        <v/>
      </c>
      <c r="AC114" s="345" t="str">
        <f>IF(AA114="","",IF(VLOOKUP(AA114,'G-3 Multipliers'!$L$3:$N$6,3,FALSE)=0,"Spatial Data Missing",VLOOKUP(AA114,'G-3 Multipliers'!$L$3:$N$6,3,FALSE)))</f>
        <v/>
      </c>
      <c r="AD114" s="351" t="str">
        <f t="shared" si="11"/>
        <v/>
      </c>
      <c r="AE114" s="94"/>
      <c r="AF114" s="94"/>
      <c r="AG114" s="343" t="str">
        <f t="shared" si="14"/>
        <v/>
      </c>
      <c r="AH114" s="591" t="str">
        <f t="shared" si="15"/>
        <v/>
      </c>
      <c r="AI114" s="353" t="str">
        <f>IF(AH114="Check Data","Check Data",IFERROR(VLOOKUP(AH114,'G-4 Temporal multipliers'!$A$4:$C$36,3,FALSE),""))</f>
        <v/>
      </c>
      <c r="AJ114" s="77" t="str">
        <f>IF(S114="","",VLOOKUP(S114,'G-3 Multipliers'!$A$2:$E$130,4,FALSE))</f>
        <v/>
      </c>
      <c r="AK114" s="348" t="str">
        <f t="shared" si="16"/>
        <v/>
      </c>
      <c r="AL114" s="348" t="str">
        <f t="shared" si="17"/>
        <v/>
      </c>
      <c r="AM114" s="607" t="str">
        <f>IFERROR(IF(F114="","",IF(AH114="Check Data","Check Data",VLOOKUP(AL114, 'G-3 Multipliers'!$P$2:$Q$6,2,FALSE))),””)</f>
        <v/>
      </c>
      <c r="AN114" s="81" t="str">
        <f t="shared" si="12"/>
        <v/>
      </c>
      <c r="AO114" s="355"/>
      <c r="AP114" s="356"/>
    </row>
    <row r="115" spans="1:42" x14ac:dyDescent="0.25">
      <c r="A115" s="52" t="str">
        <f>IF(E115="","",IF(ISNA(VLOOKUP($E115,'A-1 Site Habitat Baseline'!$D$1:$O$258,2,FALSE)),"",(VLOOKUP($E115,'A-1 Site Habitat Baseline'!$D$1:$O$258,2,FALSE))))</f>
        <v/>
      </c>
      <c r="B115" s="52" t="str">
        <f>IF(E115="","",IF(ISNA(VLOOKUP($E115,'A-1 Site Habitat Baseline'!$D$1:$O$258,3,FALSE)),"",(VLOOKUP($E115,'A-1 Site Habitat Baseline'!$D$1:$O$258,3,FALSE))))</f>
        <v/>
      </c>
      <c r="C115" s="52" t="str">
        <f>IFERROR(INDEX('G-8 Condition Look up'!$I$4:$I$131,MATCH(S115,'G-8 Condition Look up'!$A$4:$A$131,0)),"")</f>
        <v/>
      </c>
      <c r="E115" s="342" t="str">
        <f>'A-1 Site Habitat Baseline'!AL114</f>
        <v/>
      </c>
      <c r="F115" s="343" t="str">
        <f>IF(E115="","",IF(ISNA(VLOOKUP($E115,'A-1 Site Habitat Baseline'!$D$1:$O$258,4,FALSE)),"",(VLOOKUP($E115,'A-1 Site Habitat Baseline'!$D$1:$O$258,4,FALSE))))</f>
        <v/>
      </c>
      <c r="G115" s="343" t="str">
        <f>IF(E115="","",IF(ISNA(VLOOKUP($E115,'A-1 Site Habitat Baseline'!$D$1:$O$258,5,FALSE)),"",(VLOOKUP($E115,'A-1 Site Habitat Baseline'!$D$1:$O$258,5,FALSE))))</f>
        <v/>
      </c>
      <c r="H115" s="343" t="str">
        <f>IF(E115="","",IF(ISNA(VLOOKUP($E115,'A-1 Site Habitat Baseline'!$D$1:$O$258,6,FALSE)),"",(VLOOKUP($E115,'A-1 Site Habitat Baseline'!$D$1:$O$258,6,FALSE))))</f>
        <v/>
      </c>
      <c r="I115" s="343" t="str">
        <f>IF(E115="","",IF(ISNA(VLOOKUP($E115,'A-1 Site Habitat Baseline'!$D$1:$O$258,7,FALSE)),"",(VLOOKUP($E115,'A-1 Site Habitat Baseline'!$D$1:$O$258,7,FALSE))))</f>
        <v/>
      </c>
      <c r="J115" s="343" t="str">
        <f>IF(E115="","",IF(ISNA(VLOOKUP($E115,'A-1 Site Habitat Baseline'!$D$1:$O$258,8,FALSE)),"",(VLOOKUP($E115,'A-1 Site Habitat Baseline'!$D$1:$O$258,8,FALSE))))</f>
        <v/>
      </c>
      <c r="K115" s="343" t="str">
        <f>IF(E115="","",IF(ISNA(VLOOKUP($E115,'A-1 Site Habitat Baseline'!$D$1:$O$258,9,FALSE)),"",(VLOOKUP($E115,'A-1 Site Habitat Baseline'!$D$1:$O$258,9,FALSE))))</f>
        <v/>
      </c>
      <c r="L115" s="343" t="str">
        <f>IF(E115="","",IF(ISNA(VLOOKUP($E115,'A-1 Site Habitat Baseline'!$D$1:$O$258,11,FALSE)),"",(VLOOKUP($E115,'A-1 Site Habitat Baseline'!$D$1:$O$258,11,FALSE))))</f>
        <v/>
      </c>
      <c r="M115" s="343" t="str">
        <f>IF(E115="","",IF(ISNA(VLOOKUP($E115,'A-1 Site Habitat Baseline'!$D$1:$O$258,12,FALSE)),"",(VLOOKUP($E115,'A-1 Site Habitat Baseline'!$D$1:$O$258,12,FALSE))))</f>
        <v/>
      </c>
      <c r="N115" s="344" t="str">
        <f>IF(E115="","",IF(ISNA(VLOOKUP($E115,'A-1 Site Habitat Baseline'!$D$1:$X$258,14,FALSE)),"",(VLOOKUP($E115,'A-1 Site Habitat Baseline'!$D$1:$X$258,14,FALSE))))</f>
        <v/>
      </c>
      <c r="O115" s="345" t="str">
        <f>IF(E115="","",IF(ISNA(VLOOKUP($E115,'A-1 Site Habitat Baseline'!$D$1:$X$258,16,FALSE)),"",(VLOOKUP($E115,'A-1 Site Habitat Baseline'!$D$1:$X$258,13,FALSE))))</f>
        <v/>
      </c>
      <c r="P115" s="346" t="str">
        <f>IFERROR(INDEX('G-1 All Habitats'!$AG$3:$AG$15,MATCH(Q115,'G-1 All Habitats'!$AF$3:$AF$15,0)),"")</f>
        <v/>
      </c>
      <c r="Q115" s="347"/>
      <c r="R115" s="347"/>
      <c r="S115" s="605" t="str">
        <f>IFERROR(INDEX('G-1 All Habitats'!$B$3:$B$130,MATCH(R115,'G-1 All Habitats'!$A$3:$A$130,0)),"")</f>
        <v/>
      </c>
      <c r="T115" s="77" t="str">
        <f t="shared" si="18"/>
        <v/>
      </c>
      <c r="U115" s="78" t="str">
        <f t="shared" si="13"/>
        <v/>
      </c>
      <c r="V115" s="350" t="str">
        <f t="shared" si="10"/>
        <v/>
      </c>
      <c r="W115" s="343" t="str">
        <f>IF(S115="","",VLOOKUP(S115,'G-1 All Habitats'!$B$2:$M$130,10,FALSE))</f>
        <v/>
      </c>
      <c r="X115" s="343" t="str">
        <f>IFERROR(VLOOKUP(W115,'G-1 All Habitats'!$V$3:$W$7,2,FALSE),"")</f>
        <v/>
      </c>
      <c r="Y115" s="91"/>
      <c r="Z115" s="345" t="str">
        <f>IFERROR(INDEX('G-8 Condition Look up'!$A$3:$H$131,MATCH(S115,'G-8 Condition Look up'!$A$3:$A$131,0),MATCH(Y115,'G-8 Condition Look up'!$A$3:$H$3,0)),"")</f>
        <v/>
      </c>
      <c r="AA115" s="79"/>
      <c r="AB115" s="343" t="str">
        <f>IF(AA115="","",IF(VLOOKUP(AA115,'G-3 Multipliers'!$L$3:$N$6,2,FALSE)=0,"Spatial Data Missing",VLOOKUP(AA115,'G-3 Multipliers'!$L$3:$N$6,2,FALSE)))</f>
        <v/>
      </c>
      <c r="AC115" s="345" t="str">
        <f>IF(AA115="","",IF(VLOOKUP(AA115,'G-3 Multipliers'!$L$3:$N$6,3,FALSE)=0,"Spatial Data Missing",VLOOKUP(AA115,'G-3 Multipliers'!$L$3:$N$6,3,FALSE)))</f>
        <v/>
      </c>
      <c r="AD115" s="351" t="str">
        <f t="shared" si="11"/>
        <v/>
      </c>
      <c r="AE115" s="94"/>
      <c r="AF115" s="94"/>
      <c r="AG115" s="343" t="str">
        <f t="shared" si="14"/>
        <v/>
      </c>
      <c r="AH115" s="591" t="str">
        <f t="shared" si="15"/>
        <v/>
      </c>
      <c r="AI115" s="353" t="str">
        <f>IF(AH115="Check Data","Check Data",IFERROR(VLOOKUP(AH115,'G-4 Temporal multipliers'!$A$4:$C$36,3,FALSE),""))</f>
        <v/>
      </c>
      <c r="AJ115" s="77" t="str">
        <f>IF(S115="","",VLOOKUP(S115,'G-3 Multipliers'!$A$2:$E$130,4,FALSE))</f>
        <v/>
      </c>
      <c r="AK115" s="348" t="str">
        <f t="shared" si="16"/>
        <v/>
      </c>
      <c r="AL115" s="348" t="str">
        <f t="shared" si="17"/>
        <v/>
      </c>
      <c r="AM115" s="607" t="str">
        <f>IFERROR(IF(F115="","",IF(AH115="Check Data","Check Data",VLOOKUP(AL115, 'G-3 Multipliers'!$P$2:$Q$6,2,FALSE))),””)</f>
        <v/>
      </c>
      <c r="AN115" s="81" t="str">
        <f t="shared" si="12"/>
        <v/>
      </c>
      <c r="AO115" s="355"/>
      <c r="AP115" s="356"/>
    </row>
    <row r="116" spans="1:42" x14ac:dyDescent="0.25">
      <c r="A116" s="52" t="str">
        <f>IF(E116="","",IF(ISNA(VLOOKUP($E116,'A-1 Site Habitat Baseline'!$D$1:$O$258,2,FALSE)),"",(VLOOKUP($E116,'A-1 Site Habitat Baseline'!$D$1:$O$258,2,FALSE))))</f>
        <v/>
      </c>
      <c r="B116" s="52" t="str">
        <f>IF(E116="","",IF(ISNA(VLOOKUP($E116,'A-1 Site Habitat Baseline'!$D$1:$O$258,3,FALSE)),"",(VLOOKUP($E116,'A-1 Site Habitat Baseline'!$D$1:$O$258,3,FALSE))))</f>
        <v/>
      </c>
      <c r="C116" s="52" t="str">
        <f>IFERROR(INDEX('G-8 Condition Look up'!$I$4:$I$131,MATCH(S116,'G-8 Condition Look up'!$A$4:$A$131,0)),"")</f>
        <v/>
      </c>
      <c r="E116" s="342" t="str">
        <f>'A-1 Site Habitat Baseline'!AL115</f>
        <v/>
      </c>
      <c r="F116" s="343" t="str">
        <f>IF(E116="","",IF(ISNA(VLOOKUP($E116,'A-1 Site Habitat Baseline'!$D$1:$O$258,4,FALSE)),"",(VLOOKUP($E116,'A-1 Site Habitat Baseline'!$D$1:$O$258,4,FALSE))))</f>
        <v/>
      </c>
      <c r="G116" s="343" t="str">
        <f>IF(E116="","",IF(ISNA(VLOOKUP($E116,'A-1 Site Habitat Baseline'!$D$1:$O$258,5,FALSE)),"",(VLOOKUP($E116,'A-1 Site Habitat Baseline'!$D$1:$O$258,5,FALSE))))</f>
        <v/>
      </c>
      <c r="H116" s="343" t="str">
        <f>IF(E116="","",IF(ISNA(VLOOKUP($E116,'A-1 Site Habitat Baseline'!$D$1:$O$258,6,FALSE)),"",(VLOOKUP($E116,'A-1 Site Habitat Baseline'!$D$1:$O$258,6,FALSE))))</f>
        <v/>
      </c>
      <c r="I116" s="343" t="str">
        <f>IF(E116="","",IF(ISNA(VLOOKUP($E116,'A-1 Site Habitat Baseline'!$D$1:$O$258,7,FALSE)),"",(VLOOKUP($E116,'A-1 Site Habitat Baseline'!$D$1:$O$258,7,FALSE))))</f>
        <v/>
      </c>
      <c r="J116" s="343" t="str">
        <f>IF(E116="","",IF(ISNA(VLOOKUP($E116,'A-1 Site Habitat Baseline'!$D$1:$O$258,8,FALSE)),"",(VLOOKUP($E116,'A-1 Site Habitat Baseline'!$D$1:$O$258,8,FALSE))))</f>
        <v/>
      </c>
      <c r="K116" s="343" t="str">
        <f>IF(E116="","",IF(ISNA(VLOOKUP($E116,'A-1 Site Habitat Baseline'!$D$1:$O$258,9,FALSE)),"",(VLOOKUP($E116,'A-1 Site Habitat Baseline'!$D$1:$O$258,9,FALSE))))</f>
        <v/>
      </c>
      <c r="L116" s="343" t="str">
        <f>IF(E116="","",IF(ISNA(VLOOKUP($E116,'A-1 Site Habitat Baseline'!$D$1:$O$258,11,FALSE)),"",(VLOOKUP($E116,'A-1 Site Habitat Baseline'!$D$1:$O$258,11,FALSE))))</f>
        <v/>
      </c>
      <c r="M116" s="343" t="str">
        <f>IF(E116="","",IF(ISNA(VLOOKUP($E116,'A-1 Site Habitat Baseline'!$D$1:$O$258,12,FALSE)),"",(VLOOKUP($E116,'A-1 Site Habitat Baseline'!$D$1:$O$258,12,FALSE))))</f>
        <v/>
      </c>
      <c r="N116" s="344" t="str">
        <f>IF(E116="","",IF(ISNA(VLOOKUP($E116,'A-1 Site Habitat Baseline'!$D$1:$X$258,14,FALSE)),"",(VLOOKUP($E116,'A-1 Site Habitat Baseline'!$D$1:$X$258,14,FALSE))))</f>
        <v/>
      </c>
      <c r="O116" s="345" t="str">
        <f>IF(E116="","",IF(ISNA(VLOOKUP($E116,'A-1 Site Habitat Baseline'!$D$1:$X$258,16,FALSE)),"",(VLOOKUP($E116,'A-1 Site Habitat Baseline'!$D$1:$X$258,13,FALSE))))</f>
        <v/>
      </c>
      <c r="P116" s="346" t="str">
        <f>IFERROR(INDEX('G-1 All Habitats'!$AG$3:$AG$15,MATCH(Q116,'G-1 All Habitats'!$AF$3:$AF$15,0)),"")</f>
        <v/>
      </c>
      <c r="Q116" s="347"/>
      <c r="R116" s="347"/>
      <c r="S116" s="605" t="str">
        <f>IFERROR(INDEX('G-1 All Habitats'!$B$3:$B$130,MATCH(R116,'G-1 All Habitats'!$A$3:$A$130,0)),"")</f>
        <v/>
      </c>
      <c r="T116" s="77" t="str">
        <f t="shared" si="18"/>
        <v/>
      </c>
      <c r="U116" s="78" t="str">
        <f t="shared" si="13"/>
        <v/>
      </c>
      <c r="V116" s="350" t="str">
        <f t="shared" si="10"/>
        <v/>
      </c>
      <c r="W116" s="343" t="str">
        <f>IF(S116="","",VLOOKUP(S116,'G-1 All Habitats'!$B$2:$M$130,10,FALSE))</f>
        <v/>
      </c>
      <c r="X116" s="343" t="str">
        <f>IFERROR(VLOOKUP(W116,'G-1 All Habitats'!$V$3:$W$7,2,FALSE),"")</f>
        <v/>
      </c>
      <c r="Y116" s="91"/>
      <c r="Z116" s="345" t="str">
        <f>IFERROR(INDEX('G-8 Condition Look up'!$A$3:$H$131,MATCH(S116,'G-8 Condition Look up'!$A$3:$A$131,0),MATCH(Y116,'G-8 Condition Look up'!$A$3:$H$3,0)),"")</f>
        <v/>
      </c>
      <c r="AA116" s="79"/>
      <c r="AB116" s="343" t="str">
        <f>IF(AA116="","",IF(VLOOKUP(AA116,'G-3 Multipliers'!$L$3:$N$6,2,FALSE)=0,"Spatial Data Missing",VLOOKUP(AA116,'G-3 Multipliers'!$L$3:$N$6,2,FALSE)))</f>
        <v/>
      </c>
      <c r="AC116" s="345" t="str">
        <f>IF(AA116="","",IF(VLOOKUP(AA116,'G-3 Multipliers'!$L$3:$N$6,3,FALSE)=0,"Spatial Data Missing",VLOOKUP(AA116,'G-3 Multipliers'!$L$3:$N$6,3,FALSE)))</f>
        <v/>
      </c>
      <c r="AD116" s="351" t="str">
        <f t="shared" si="11"/>
        <v/>
      </c>
      <c r="AE116" s="94"/>
      <c r="AF116" s="94"/>
      <c r="AG116" s="343" t="str">
        <f t="shared" si="14"/>
        <v/>
      </c>
      <c r="AH116" s="591" t="str">
        <f t="shared" si="15"/>
        <v/>
      </c>
      <c r="AI116" s="353" t="str">
        <f>IF(AH116="Check Data","Check Data",IFERROR(VLOOKUP(AH116,'G-4 Temporal multipliers'!$A$4:$C$36,3,FALSE),""))</f>
        <v/>
      </c>
      <c r="AJ116" s="77" t="str">
        <f>IF(S116="","",VLOOKUP(S116,'G-3 Multipliers'!$A$2:$E$130,4,FALSE))</f>
        <v/>
      </c>
      <c r="AK116" s="348" t="str">
        <f t="shared" si="16"/>
        <v/>
      </c>
      <c r="AL116" s="348" t="str">
        <f t="shared" si="17"/>
        <v/>
      </c>
      <c r="AM116" s="607" t="str">
        <f>IFERROR(IF(F116="","",IF(AH116="Check Data","Check Data",VLOOKUP(AL116, 'G-3 Multipliers'!$P$2:$Q$6,2,FALSE))),””)</f>
        <v/>
      </c>
      <c r="AN116" s="81" t="str">
        <f t="shared" si="12"/>
        <v/>
      </c>
      <c r="AO116" s="355"/>
      <c r="AP116" s="356"/>
    </row>
    <row r="117" spans="1:42" x14ac:dyDescent="0.25">
      <c r="A117" s="52" t="str">
        <f>IF(E117="","",IF(ISNA(VLOOKUP($E117,'A-1 Site Habitat Baseline'!$D$1:$O$258,2,FALSE)),"",(VLOOKUP($E117,'A-1 Site Habitat Baseline'!$D$1:$O$258,2,FALSE))))</f>
        <v/>
      </c>
      <c r="B117" s="52" t="str">
        <f>IF(E117="","",IF(ISNA(VLOOKUP($E117,'A-1 Site Habitat Baseline'!$D$1:$O$258,3,FALSE)),"",(VLOOKUP($E117,'A-1 Site Habitat Baseline'!$D$1:$O$258,3,FALSE))))</f>
        <v/>
      </c>
      <c r="C117" s="52" t="str">
        <f>IFERROR(INDEX('G-8 Condition Look up'!$I$4:$I$131,MATCH(S117,'G-8 Condition Look up'!$A$4:$A$131,0)),"")</f>
        <v/>
      </c>
      <c r="E117" s="342" t="str">
        <f>'A-1 Site Habitat Baseline'!AL116</f>
        <v/>
      </c>
      <c r="F117" s="343" t="str">
        <f>IF(E117="","",IF(ISNA(VLOOKUP($E117,'A-1 Site Habitat Baseline'!$D$1:$O$258,4,FALSE)),"",(VLOOKUP($E117,'A-1 Site Habitat Baseline'!$D$1:$O$258,4,FALSE))))</f>
        <v/>
      </c>
      <c r="G117" s="343" t="str">
        <f>IF(E117="","",IF(ISNA(VLOOKUP($E117,'A-1 Site Habitat Baseline'!$D$1:$O$258,5,FALSE)),"",(VLOOKUP($E117,'A-1 Site Habitat Baseline'!$D$1:$O$258,5,FALSE))))</f>
        <v/>
      </c>
      <c r="H117" s="343" t="str">
        <f>IF(E117="","",IF(ISNA(VLOOKUP($E117,'A-1 Site Habitat Baseline'!$D$1:$O$258,6,FALSE)),"",(VLOOKUP($E117,'A-1 Site Habitat Baseline'!$D$1:$O$258,6,FALSE))))</f>
        <v/>
      </c>
      <c r="I117" s="343" t="str">
        <f>IF(E117="","",IF(ISNA(VLOOKUP($E117,'A-1 Site Habitat Baseline'!$D$1:$O$258,7,FALSE)),"",(VLOOKUP($E117,'A-1 Site Habitat Baseline'!$D$1:$O$258,7,FALSE))))</f>
        <v/>
      </c>
      <c r="J117" s="343" t="str">
        <f>IF(E117="","",IF(ISNA(VLOOKUP($E117,'A-1 Site Habitat Baseline'!$D$1:$O$258,8,FALSE)),"",(VLOOKUP($E117,'A-1 Site Habitat Baseline'!$D$1:$O$258,8,FALSE))))</f>
        <v/>
      </c>
      <c r="K117" s="343" t="str">
        <f>IF(E117="","",IF(ISNA(VLOOKUP($E117,'A-1 Site Habitat Baseline'!$D$1:$O$258,9,FALSE)),"",(VLOOKUP($E117,'A-1 Site Habitat Baseline'!$D$1:$O$258,9,FALSE))))</f>
        <v/>
      </c>
      <c r="L117" s="343" t="str">
        <f>IF(E117="","",IF(ISNA(VLOOKUP($E117,'A-1 Site Habitat Baseline'!$D$1:$O$258,11,FALSE)),"",(VLOOKUP($E117,'A-1 Site Habitat Baseline'!$D$1:$O$258,11,FALSE))))</f>
        <v/>
      </c>
      <c r="M117" s="343" t="str">
        <f>IF(E117="","",IF(ISNA(VLOOKUP($E117,'A-1 Site Habitat Baseline'!$D$1:$O$258,12,FALSE)),"",(VLOOKUP($E117,'A-1 Site Habitat Baseline'!$D$1:$O$258,12,FALSE))))</f>
        <v/>
      </c>
      <c r="N117" s="344" t="str">
        <f>IF(E117="","",IF(ISNA(VLOOKUP($E117,'A-1 Site Habitat Baseline'!$D$1:$X$258,14,FALSE)),"",(VLOOKUP($E117,'A-1 Site Habitat Baseline'!$D$1:$X$258,14,FALSE))))</f>
        <v/>
      </c>
      <c r="O117" s="345" t="str">
        <f>IF(E117="","",IF(ISNA(VLOOKUP($E117,'A-1 Site Habitat Baseline'!$D$1:$X$258,16,FALSE)),"",(VLOOKUP($E117,'A-1 Site Habitat Baseline'!$D$1:$X$258,13,FALSE))))</f>
        <v/>
      </c>
      <c r="P117" s="346" t="str">
        <f>IFERROR(INDEX('G-1 All Habitats'!$AG$3:$AG$15,MATCH(Q117,'G-1 All Habitats'!$AF$3:$AF$15,0)),"")</f>
        <v/>
      </c>
      <c r="Q117" s="347"/>
      <c r="R117" s="347"/>
      <c r="S117" s="605" t="str">
        <f>IFERROR(INDEX('G-1 All Habitats'!$B$3:$B$130,MATCH(R117,'G-1 All Habitats'!$A$3:$A$130,0)),"")</f>
        <v/>
      </c>
      <c r="T117" s="77" t="str">
        <f t="shared" si="18"/>
        <v/>
      </c>
      <c r="U117" s="78" t="str">
        <f t="shared" si="13"/>
        <v/>
      </c>
      <c r="V117" s="350" t="str">
        <f t="shared" si="10"/>
        <v/>
      </c>
      <c r="W117" s="343" t="str">
        <f>IF(S117="","",VLOOKUP(S117,'G-1 All Habitats'!$B$2:$M$130,10,FALSE))</f>
        <v/>
      </c>
      <c r="X117" s="343" t="str">
        <f>IFERROR(VLOOKUP(W117,'G-1 All Habitats'!$V$3:$W$7,2,FALSE),"")</f>
        <v/>
      </c>
      <c r="Y117" s="91"/>
      <c r="Z117" s="345" t="str">
        <f>IFERROR(INDEX('G-8 Condition Look up'!$A$3:$H$131,MATCH(S117,'G-8 Condition Look up'!$A$3:$A$131,0),MATCH(Y117,'G-8 Condition Look up'!$A$3:$H$3,0)),"")</f>
        <v/>
      </c>
      <c r="AA117" s="79"/>
      <c r="AB117" s="343" t="str">
        <f>IF(AA117="","",IF(VLOOKUP(AA117,'G-3 Multipliers'!$L$3:$N$6,2,FALSE)=0,"Spatial Data Missing",VLOOKUP(AA117,'G-3 Multipliers'!$L$3:$N$6,2,FALSE)))</f>
        <v/>
      </c>
      <c r="AC117" s="345" t="str">
        <f>IF(AA117="","",IF(VLOOKUP(AA117,'G-3 Multipliers'!$L$3:$N$6,3,FALSE)=0,"Spatial Data Missing",VLOOKUP(AA117,'G-3 Multipliers'!$L$3:$N$6,3,FALSE)))</f>
        <v/>
      </c>
      <c r="AD117" s="351" t="str">
        <f t="shared" si="11"/>
        <v/>
      </c>
      <c r="AE117" s="94"/>
      <c r="AF117" s="94"/>
      <c r="AG117" s="343" t="str">
        <f t="shared" si="14"/>
        <v/>
      </c>
      <c r="AH117" s="591" t="str">
        <f t="shared" si="15"/>
        <v/>
      </c>
      <c r="AI117" s="353" t="str">
        <f>IF(AH117="Check Data","Check Data",IFERROR(VLOOKUP(AH117,'G-4 Temporal multipliers'!$A$4:$C$36,3,FALSE),""))</f>
        <v/>
      </c>
      <c r="AJ117" s="77" t="str">
        <f>IF(S117="","",VLOOKUP(S117,'G-3 Multipliers'!$A$2:$E$130,4,FALSE))</f>
        <v/>
      </c>
      <c r="AK117" s="348" t="str">
        <f t="shared" si="16"/>
        <v/>
      </c>
      <c r="AL117" s="348" t="str">
        <f t="shared" si="17"/>
        <v/>
      </c>
      <c r="AM117" s="607" t="str">
        <f>IFERROR(IF(F117="","",IF(AH117="Check Data","Check Data",VLOOKUP(AL117, 'G-3 Multipliers'!$P$2:$Q$6,2,FALSE))),””)</f>
        <v/>
      </c>
      <c r="AN117" s="81" t="str">
        <f t="shared" si="12"/>
        <v/>
      </c>
      <c r="AO117" s="355"/>
      <c r="AP117" s="356"/>
    </row>
    <row r="118" spans="1:42" x14ac:dyDescent="0.25">
      <c r="A118" s="52" t="str">
        <f>IF(E118="","",IF(ISNA(VLOOKUP($E118,'A-1 Site Habitat Baseline'!$D$1:$O$258,2,FALSE)),"",(VLOOKUP($E118,'A-1 Site Habitat Baseline'!$D$1:$O$258,2,FALSE))))</f>
        <v/>
      </c>
      <c r="B118" s="52" t="str">
        <f>IF(E118="","",IF(ISNA(VLOOKUP($E118,'A-1 Site Habitat Baseline'!$D$1:$O$258,3,FALSE)),"",(VLOOKUP($E118,'A-1 Site Habitat Baseline'!$D$1:$O$258,3,FALSE))))</f>
        <v/>
      </c>
      <c r="C118" s="52" t="str">
        <f>IFERROR(INDEX('G-8 Condition Look up'!$I$4:$I$131,MATCH(S118,'G-8 Condition Look up'!$A$4:$A$131,0)),"")</f>
        <v/>
      </c>
      <c r="E118" s="342" t="str">
        <f>'A-1 Site Habitat Baseline'!AL117</f>
        <v/>
      </c>
      <c r="F118" s="343" t="str">
        <f>IF(E118="","",IF(ISNA(VLOOKUP($E118,'A-1 Site Habitat Baseline'!$D$1:$O$258,4,FALSE)),"",(VLOOKUP($E118,'A-1 Site Habitat Baseline'!$D$1:$O$258,4,FALSE))))</f>
        <v/>
      </c>
      <c r="G118" s="343" t="str">
        <f>IF(E118="","",IF(ISNA(VLOOKUP($E118,'A-1 Site Habitat Baseline'!$D$1:$O$258,5,FALSE)),"",(VLOOKUP($E118,'A-1 Site Habitat Baseline'!$D$1:$O$258,5,FALSE))))</f>
        <v/>
      </c>
      <c r="H118" s="343" t="str">
        <f>IF(E118="","",IF(ISNA(VLOOKUP($E118,'A-1 Site Habitat Baseline'!$D$1:$O$258,6,FALSE)),"",(VLOOKUP($E118,'A-1 Site Habitat Baseline'!$D$1:$O$258,6,FALSE))))</f>
        <v/>
      </c>
      <c r="I118" s="343" t="str">
        <f>IF(E118="","",IF(ISNA(VLOOKUP($E118,'A-1 Site Habitat Baseline'!$D$1:$O$258,7,FALSE)),"",(VLOOKUP($E118,'A-1 Site Habitat Baseline'!$D$1:$O$258,7,FALSE))))</f>
        <v/>
      </c>
      <c r="J118" s="343" t="str">
        <f>IF(E118="","",IF(ISNA(VLOOKUP($E118,'A-1 Site Habitat Baseline'!$D$1:$O$258,8,FALSE)),"",(VLOOKUP($E118,'A-1 Site Habitat Baseline'!$D$1:$O$258,8,FALSE))))</f>
        <v/>
      </c>
      <c r="K118" s="343" t="str">
        <f>IF(E118="","",IF(ISNA(VLOOKUP($E118,'A-1 Site Habitat Baseline'!$D$1:$O$258,9,FALSE)),"",(VLOOKUP($E118,'A-1 Site Habitat Baseline'!$D$1:$O$258,9,FALSE))))</f>
        <v/>
      </c>
      <c r="L118" s="343" t="str">
        <f>IF(E118="","",IF(ISNA(VLOOKUP($E118,'A-1 Site Habitat Baseline'!$D$1:$O$258,11,FALSE)),"",(VLOOKUP($E118,'A-1 Site Habitat Baseline'!$D$1:$O$258,11,FALSE))))</f>
        <v/>
      </c>
      <c r="M118" s="343" t="str">
        <f>IF(E118="","",IF(ISNA(VLOOKUP($E118,'A-1 Site Habitat Baseline'!$D$1:$O$258,12,FALSE)),"",(VLOOKUP($E118,'A-1 Site Habitat Baseline'!$D$1:$O$258,12,FALSE))))</f>
        <v/>
      </c>
      <c r="N118" s="344" t="str">
        <f>IF(E118="","",IF(ISNA(VLOOKUP($E118,'A-1 Site Habitat Baseline'!$D$1:$X$258,14,FALSE)),"",(VLOOKUP($E118,'A-1 Site Habitat Baseline'!$D$1:$X$258,14,FALSE))))</f>
        <v/>
      </c>
      <c r="O118" s="345" t="str">
        <f>IF(E118="","",IF(ISNA(VLOOKUP($E118,'A-1 Site Habitat Baseline'!$D$1:$X$258,16,FALSE)),"",(VLOOKUP($E118,'A-1 Site Habitat Baseline'!$D$1:$X$258,13,FALSE))))</f>
        <v/>
      </c>
      <c r="P118" s="346" t="str">
        <f>IFERROR(INDEX('G-1 All Habitats'!$AG$3:$AG$15,MATCH(Q118,'G-1 All Habitats'!$AF$3:$AF$15,0)),"")</f>
        <v/>
      </c>
      <c r="Q118" s="347"/>
      <c r="R118" s="347"/>
      <c r="S118" s="605" t="str">
        <f>IFERROR(INDEX('G-1 All Habitats'!$B$3:$B$130,MATCH(R118,'G-1 All Habitats'!$A$3:$A$130,0)),"")</f>
        <v/>
      </c>
      <c r="T118" s="77" t="str">
        <f t="shared" si="18"/>
        <v/>
      </c>
      <c r="U118" s="78" t="str">
        <f t="shared" si="13"/>
        <v/>
      </c>
      <c r="V118" s="350" t="str">
        <f t="shared" si="10"/>
        <v/>
      </c>
      <c r="W118" s="343" t="str">
        <f>IF(S118="","",VLOOKUP(S118,'G-1 All Habitats'!$B$2:$M$130,10,FALSE))</f>
        <v/>
      </c>
      <c r="X118" s="343" t="str">
        <f>IFERROR(VLOOKUP(W118,'G-1 All Habitats'!$V$3:$W$7,2,FALSE),"")</f>
        <v/>
      </c>
      <c r="Y118" s="91"/>
      <c r="Z118" s="345" t="str">
        <f>IFERROR(INDEX('G-8 Condition Look up'!$A$3:$H$131,MATCH(S118,'G-8 Condition Look up'!$A$3:$A$131,0),MATCH(Y118,'G-8 Condition Look up'!$A$3:$H$3,0)),"")</f>
        <v/>
      </c>
      <c r="AA118" s="79"/>
      <c r="AB118" s="343" t="str">
        <f>IF(AA118="","",IF(VLOOKUP(AA118,'G-3 Multipliers'!$L$3:$N$6,2,FALSE)=0,"Spatial Data Missing",VLOOKUP(AA118,'G-3 Multipliers'!$L$3:$N$6,2,FALSE)))</f>
        <v/>
      </c>
      <c r="AC118" s="345" t="str">
        <f>IF(AA118="","",IF(VLOOKUP(AA118,'G-3 Multipliers'!$L$3:$N$6,3,FALSE)=0,"Spatial Data Missing",VLOOKUP(AA118,'G-3 Multipliers'!$L$3:$N$6,3,FALSE)))</f>
        <v/>
      </c>
      <c r="AD118" s="351" t="str">
        <f t="shared" si="11"/>
        <v/>
      </c>
      <c r="AE118" s="94"/>
      <c r="AF118" s="94"/>
      <c r="AG118" s="343" t="str">
        <f t="shared" si="14"/>
        <v/>
      </c>
      <c r="AH118" s="591" t="str">
        <f t="shared" si="15"/>
        <v/>
      </c>
      <c r="AI118" s="353" t="str">
        <f>IF(AH118="Check Data","Check Data",IFERROR(VLOOKUP(AH118,'G-4 Temporal multipliers'!$A$4:$C$36,3,FALSE),""))</f>
        <v/>
      </c>
      <c r="AJ118" s="77" t="str">
        <f>IF(S118="","",VLOOKUP(S118,'G-3 Multipliers'!$A$2:$E$130,4,FALSE))</f>
        <v/>
      </c>
      <c r="AK118" s="348" t="str">
        <f t="shared" si="16"/>
        <v/>
      </c>
      <c r="AL118" s="348" t="str">
        <f t="shared" si="17"/>
        <v/>
      </c>
      <c r="AM118" s="607" t="str">
        <f>IFERROR(IF(F118="","",IF(AH118="Check Data","Check Data",VLOOKUP(AL118, 'G-3 Multipliers'!$P$2:$Q$6,2,FALSE))),””)</f>
        <v/>
      </c>
      <c r="AN118" s="81" t="str">
        <f t="shared" si="12"/>
        <v/>
      </c>
      <c r="AO118" s="355"/>
      <c r="AP118" s="356"/>
    </row>
    <row r="119" spans="1:42" x14ac:dyDescent="0.25">
      <c r="A119" s="52" t="str">
        <f>IF(E119="","",IF(ISNA(VLOOKUP($E119,'A-1 Site Habitat Baseline'!$D$1:$O$258,2,FALSE)),"",(VLOOKUP($E119,'A-1 Site Habitat Baseline'!$D$1:$O$258,2,FALSE))))</f>
        <v/>
      </c>
      <c r="B119" s="52" t="str">
        <f>IF(E119="","",IF(ISNA(VLOOKUP($E119,'A-1 Site Habitat Baseline'!$D$1:$O$258,3,FALSE)),"",(VLOOKUP($E119,'A-1 Site Habitat Baseline'!$D$1:$O$258,3,FALSE))))</f>
        <v/>
      </c>
      <c r="C119" s="52" t="str">
        <f>IFERROR(INDEX('G-8 Condition Look up'!$I$4:$I$131,MATCH(S119,'G-8 Condition Look up'!$A$4:$A$131,0)),"")</f>
        <v/>
      </c>
      <c r="E119" s="342" t="str">
        <f>'A-1 Site Habitat Baseline'!AL118</f>
        <v/>
      </c>
      <c r="F119" s="343" t="str">
        <f>IF(E119="","",IF(ISNA(VLOOKUP($E119,'A-1 Site Habitat Baseline'!$D$1:$O$258,4,FALSE)),"",(VLOOKUP($E119,'A-1 Site Habitat Baseline'!$D$1:$O$258,4,FALSE))))</f>
        <v/>
      </c>
      <c r="G119" s="343" t="str">
        <f>IF(E119="","",IF(ISNA(VLOOKUP($E119,'A-1 Site Habitat Baseline'!$D$1:$O$258,5,FALSE)),"",(VLOOKUP($E119,'A-1 Site Habitat Baseline'!$D$1:$O$258,5,FALSE))))</f>
        <v/>
      </c>
      <c r="H119" s="343" t="str">
        <f>IF(E119="","",IF(ISNA(VLOOKUP($E119,'A-1 Site Habitat Baseline'!$D$1:$O$258,6,FALSE)),"",(VLOOKUP($E119,'A-1 Site Habitat Baseline'!$D$1:$O$258,6,FALSE))))</f>
        <v/>
      </c>
      <c r="I119" s="343" t="str">
        <f>IF(E119="","",IF(ISNA(VLOOKUP($E119,'A-1 Site Habitat Baseline'!$D$1:$O$258,7,FALSE)),"",(VLOOKUP($E119,'A-1 Site Habitat Baseline'!$D$1:$O$258,7,FALSE))))</f>
        <v/>
      </c>
      <c r="J119" s="343" t="str">
        <f>IF(E119="","",IF(ISNA(VLOOKUP($E119,'A-1 Site Habitat Baseline'!$D$1:$O$258,8,FALSE)),"",(VLOOKUP($E119,'A-1 Site Habitat Baseline'!$D$1:$O$258,8,FALSE))))</f>
        <v/>
      </c>
      <c r="K119" s="343" t="str">
        <f>IF(E119="","",IF(ISNA(VLOOKUP($E119,'A-1 Site Habitat Baseline'!$D$1:$O$258,9,FALSE)),"",(VLOOKUP($E119,'A-1 Site Habitat Baseline'!$D$1:$O$258,9,FALSE))))</f>
        <v/>
      </c>
      <c r="L119" s="343" t="str">
        <f>IF(E119="","",IF(ISNA(VLOOKUP($E119,'A-1 Site Habitat Baseline'!$D$1:$O$258,11,FALSE)),"",(VLOOKUP($E119,'A-1 Site Habitat Baseline'!$D$1:$O$258,11,FALSE))))</f>
        <v/>
      </c>
      <c r="M119" s="343" t="str">
        <f>IF(E119="","",IF(ISNA(VLOOKUP($E119,'A-1 Site Habitat Baseline'!$D$1:$O$258,12,FALSE)),"",(VLOOKUP($E119,'A-1 Site Habitat Baseline'!$D$1:$O$258,12,FALSE))))</f>
        <v/>
      </c>
      <c r="N119" s="344" t="str">
        <f>IF(E119="","",IF(ISNA(VLOOKUP($E119,'A-1 Site Habitat Baseline'!$D$1:$X$258,14,FALSE)),"",(VLOOKUP($E119,'A-1 Site Habitat Baseline'!$D$1:$X$258,14,FALSE))))</f>
        <v/>
      </c>
      <c r="O119" s="345" t="str">
        <f>IF(E119="","",IF(ISNA(VLOOKUP($E119,'A-1 Site Habitat Baseline'!$D$1:$X$258,16,FALSE)),"",(VLOOKUP($E119,'A-1 Site Habitat Baseline'!$D$1:$X$258,13,FALSE))))</f>
        <v/>
      </c>
      <c r="P119" s="346" t="str">
        <f>IFERROR(INDEX('G-1 All Habitats'!$AG$3:$AG$15,MATCH(Q119,'G-1 All Habitats'!$AF$3:$AF$15,0)),"")</f>
        <v/>
      </c>
      <c r="Q119" s="347"/>
      <c r="R119" s="347"/>
      <c r="S119" s="605" t="str">
        <f>IFERROR(INDEX('G-1 All Habitats'!$B$3:$B$130,MATCH(R119,'G-1 All Habitats'!$A$3:$A$130,0)),"")</f>
        <v/>
      </c>
      <c r="T119" s="77" t="str">
        <f t="shared" si="18"/>
        <v/>
      </c>
      <c r="U119" s="78" t="str">
        <f t="shared" si="13"/>
        <v/>
      </c>
      <c r="V119" s="350" t="str">
        <f t="shared" si="10"/>
        <v/>
      </c>
      <c r="W119" s="343" t="str">
        <f>IF(S119="","",VLOOKUP(S119,'G-1 All Habitats'!$B$2:$M$130,10,FALSE))</f>
        <v/>
      </c>
      <c r="X119" s="343" t="str">
        <f>IFERROR(VLOOKUP(W119,'G-1 All Habitats'!$V$3:$W$7,2,FALSE),"")</f>
        <v/>
      </c>
      <c r="Y119" s="91"/>
      <c r="Z119" s="345" t="str">
        <f>IFERROR(INDEX('G-8 Condition Look up'!$A$3:$H$131,MATCH(S119,'G-8 Condition Look up'!$A$3:$A$131,0),MATCH(Y119,'G-8 Condition Look up'!$A$3:$H$3,0)),"")</f>
        <v/>
      </c>
      <c r="AA119" s="79"/>
      <c r="AB119" s="343" t="str">
        <f>IF(AA119="","",IF(VLOOKUP(AA119,'G-3 Multipliers'!$L$3:$N$6,2,FALSE)=0,"Spatial Data Missing",VLOOKUP(AA119,'G-3 Multipliers'!$L$3:$N$6,2,FALSE)))</f>
        <v/>
      </c>
      <c r="AC119" s="345" t="str">
        <f>IF(AA119="","",IF(VLOOKUP(AA119,'G-3 Multipliers'!$L$3:$N$6,3,FALSE)=0,"Spatial Data Missing",VLOOKUP(AA119,'G-3 Multipliers'!$L$3:$N$6,3,FALSE)))</f>
        <v/>
      </c>
      <c r="AD119" s="351" t="str">
        <f t="shared" si="11"/>
        <v/>
      </c>
      <c r="AE119" s="94"/>
      <c r="AF119" s="94"/>
      <c r="AG119" s="343" t="str">
        <f t="shared" si="14"/>
        <v/>
      </c>
      <c r="AH119" s="591" t="str">
        <f t="shared" si="15"/>
        <v/>
      </c>
      <c r="AI119" s="353" t="str">
        <f>IF(AH119="Check Data","Check Data",IFERROR(VLOOKUP(AH119,'G-4 Temporal multipliers'!$A$4:$C$36,3,FALSE),""))</f>
        <v/>
      </c>
      <c r="AJ119" s="77" t="str">
        <f>IF(S119="","",VLOOKUP(S119,'G-3 Multipliers'!$A$2:$E$130,4,FALSE))</f>
        <v/>
      </c>
      <c r="AK119" s="348" t="str">
        <f t="shared" si="16"/>
        <v/>
      </c>
      <c r="AL119" s="348" t="str">
        <f t="shared" si="17"/>
        <v/>
      </c>
      <c r="AM119" s="607" t="str">
        <f>IFERROR(IF(F119="","",IF(AH119="Check Data","Check Data",VLOOKUP(AL119, 'G-3 Multipliers'!$P$2:$Q$6,2,FALSE))),””)</f>
        <v/>
      </c>
      <c r="AN119" s="81" t="str">
        <f t="shared" si="12"/>
        <v/>
      </c>
      <c r="AO119" s="355"/>
      <c r="AP119" s="356"/>
    </row>
    <row r="120" spans="1:42" x14ac:dyDescent="0.25">
      <c r="A120" s="52" t="str">
        <f>IF(E120="","",IF(ISNA(VLOOKUP($E120,'A-1 Site Habitat Baseline'!$D$1:$O$258,2,FALSE)),"",(VLOOKUP($E120,'A-1 Site Habitat Baseline'!$D$1:$O$258,2,FALSE))))</f>
        <v/>
      </c>
      <c r="B120" s="52" t="str">
        <f>IF(E120="","",IF(ISNA(VLOOKUP($E120,'A-1 Site Habitat Baseline'!$D$1:$O$258,3,FALSE)),"",(VLOOKUP($E120,'A-1 Site Habitat Baseline'!$D$1:$O$258,3,FALSE))))</f>
        <v/>
      </c>
      <c r="C120" s="52" t="str">
        <f>IFERROR(INDEX('G-8 Condition Look up'!$I$4:$I$131,MATCH(S120,'G-8 Condition Look up'!$A$4:$A$131,0)),"")</f>
        <v/>
      </c>
      <c r="E120" s="342" t="str">
        <f>'A-1 Site Habitat Baseline'!AL119</f>
        <v/>
      </c>
      <c r="F120" s="343" t="str">
        <f>IF(E120="","",IF(ISNA(VLOOKUP($E120,'A-1 Site Habitat Baseline'!$D$1:$O$258,4,FALSE)),"",(VLOOKUP($E120,'A-1 Site Habitat Baseline'!$D$1:$O$258,4,FALSE))))</f>
        <v/>
      </c>
      <c r="G120" s="343" t="str">
        <f>IF(E120="","",IF(ISNA(VLOOKUP($E120,'A-1 Site Habitat Baseline'!$D$1:$O$258,5,FALSE)),"",(VLOOKUP($E120,'A-1 Site Habitat Baseline'!$D$1:$O$258,5,FALSE))))</f>
        <v/>
      </c>
      <c r="H120" s="343" t="str">
        <f>IF(E120="","",IF(ISNA(VLOOKUP($E120,'A-1 Site Habitat Baseline'!$D$1:$O$258,6,FALSE)),"",(VLOOKUP($E120,'A-1 Site Habitat Baseline'!$D$1:$O$258,6,FALSE))))</f>
        <v/>
      </c>
      <c r="I120" s="343" t="str">
        <f>IF(E120="","",IF(ISNA(VLOOKUP($E120,'A-1 Site Habitat Baseline'!$D$1:$O$258,7,FALSE)),"",(VLOOKUP($E120,'A-1 Site Habitat Baseline'!$D$1:$O$258,7,FALSE))))</f>
        <v/>
      </c>
      <c r="J120" s="343" t="str">
        <f>IF(E120="","",IF(ISNA(VLOOKUP($E120,'A-1 Site Habitat Baseline'!$D$1:$O$258,8,FALSE)),"",(VLOOKUP($E120,'A-1 Site Habitat Baseline'!$D$1:$O$258,8,FALSE))))</f>
        <v/>
      </c>
      <c r="K120" s="343" t="str">
        <f>IF(E120="","",IF(ISNA(VLOOKUP($E120,'A-1 Site Habitat Baseline'!$D$1:$O$258,9,FALSE)),"",(VLOOKUP($E120,'A-1 Site Habitat Baseline'!$D$1:$O$258,9,FALSE))))</f>
        <v/>
      </c>
      <c r="L120" s="343" t="str">
        <f>IF(E120="","",IF(ISNA(VLOOKUP($E120,'A-1 Site Habitat Baseline'!$D$1:$O$258,11,FALSE)),"",(VLOOKUP($E120,'A-1 Site Habitat Baseline'!$D$1:$O$258,11,FALSE))))</f>
        <v/>
      </c>
      <c r="M120" s="343" t="str">
        <f>IF(E120="","",IF(ISNA(VLOOKUP($E120,'A-1 Site Habitat Baseline'!$D$1:$O$258,12,FALSE)),"",(VLOOKUP($E120,'A-1 Site Habitat Baseline'!$D$1:$O$258,12,FALSE))))</f>
        <v/>
      </c>
      <c r="N120" s="344" t="str">
        <f>IF(E120="","",IF(ISNA(VLOOKUP($E120,'A-1 Site Habitat Baseline'!$D$1:$X$258,14,FALSE)),"",(VLOOKUP($E120,'A-1 Site Habitat Baseline'!$D$1:$X$258,14,FALSE))))</f>
        <v/>
      </c>
      <c r="O120" s="345" t="str">
        <f>IF(E120="","",IF(ISNA(VLOOKUP($E120,'A-1 Site Habitat Baseline'!$D$1:$X$258,16,FALSE)),"",(VLOOKUP($E120,'A-1 Site Habitat Baseline'!$D$1:$X$258,13,FALSE))))</f>
        <v/>
      </c>
      <c r="P120" s="346" t="str">
        <f>IFERROR(INDEX('G-1 All Habitats'!$AG$3:$AG$15,MATCH(Q120,'G-1 All Habitats'!$AF$3:$AF$15,0)),"")</f>
        <v/>
      </c>
      <c r="Q120" s="347"/>
      <c r="R120" s="347"/>
      <c r="S120" s="605" t="str">
        <f>IFERROR(INDEX('G-1 All Habitats'!$B$3:$B$130,MATCH(R120,'G-1 All Habitats'!$A$3:$A$130,0)),"")</f>
        <v/>
      </c>
      <c r="T120" s="77" t="str">
        <f t="shared" si="18"/>
        <v/>
      </c>
      <c r="U120" s="78" t="str">
        <f t="shared" si="13"/>
        <v/>
      </c>
      <c r="V120" s="350" t="str">
        <f t="shared" si="10"/>
        <v/>
      </c>
      <c r="W120" s="343" t="str">
        <f>IF(S120="","",VLOOKUP(S120,'G-1 All Habitats'!$B$2:$M$130,10,FALSE))</f>
        <v/>
      </c>
      <c r="X120" s="343" t="str">
        <f>IFERROR(VLOOKUP(W120,'G-1 All Habitats'!$V$3:$W$7,2,FALSE),"")</f>
        <v/>
      </c>
      <c r="Y120" s="91"/>
      <c r="Z120" s="345" t="str">
        <f>IFERROR(INDEX('G-8 Condition Look up'!$A$3:$H$131,MATCH(S120,'G-8 Condition Look up'!$A$3:$A$131,0),MATCH(Y120,'G-8 Condition Look up'!$A$3:$H$3,0)),"")</f>
        <v/>
      </c>
      <c r="AA120" s="79"/>
      <c r="AB120" s="343" t="str">
        <f>IF(AA120="","",IF(VLOOKUP(AA120,'G-3 Multipliers'!$L$3:$N$6,2,FALSE)=0,"Spatial Data Missing",VLOOKUP(AA120,'G-3 Multipliers'!$L$3:$N$6,2,FALSE)))</f>
        <v/>
      </c>
      <c r="AC120" s="345" t="str">
        <f>IF(AA120="","",IF(VLOOKUP(AA120,'G-3 Multipliers'!$L$3:$N$6,3,FALSE)=0,"Spatial Data Missing",VLOOKUP(AA120,'G-3 Multipliers'!$L$3:$N$6,3,FALSE)))</f>
        <v/>
      </c>
      <c r="AD120" s="351" t="str">
        <f t="shared" si="11"/>
        <v/>
      </c>
      <c r="AE120" s="94"/>
      <c r="AF120" s="94"/>
      <c r="AG120" s="343" t="str">
        <f t="shared" si="14"/>
        <v/>
      </c>
      <c r="AH120" s="591" t="str">
        <f t="shared" si="15"/>
        <v/>
      </c>
      <c r="AI120" s="353" t="str">
        <f>IF(AH120="Check Data","Check Data",IFERROR(VLOOKUP(AH120,'G-4 Temporal multipliers'!$A$4:$C$36,3,FALSE),""))</f>
        <v/>
      </c>
      <c r="AJ120" s="77" t="str">
        <f>IF(S120="","",VLOOKUP(S120,'G-3 Multipliers'!$A$2:$E$130,4,FALSE))</f>
        <v/>
      </c>
      <c r="AK120" s="348" t="str">
        <f t="shared" si="16"/>
        <v/>
      </c>
      <c r="AL120" s="348" t="str">
        <f t="shared" si="17"/>
        <v/>
      </c>
      <c r="AM120" s="607" t="str">
        <f>IFERROR(IF(F120="","",IF(AH120="Check Data","Check Data",VLOOKUP(AL120, 'G-3 Multipliers'!$P$2:$Q$6,2,FALSE))),””)</f>
        <v/>
      </c>
      <c r="AN120" s="81" t="str">
        <f t="shared" si="12"/>
        <v/>
      </c>
      <c r="AO120" s="355"/>
      <c r="AP120" s="356"/>
    </row>
    <row r="121" spans="1:42" x14ac:dyDescent="0.25">
      <c r="A121" s="52" t="str">
        <f>IF(E121="","",IF(ISNA(VLOOKUP($E121,'A-1 Site Habitat Baseline'!$D$1:$O$258,2,FALSE)),"",(VLOOKUP($E121,'A-1 Site Habitat Baseline'!$D$1:$O$258,2,FALSE))))</f>
        <v/>
      </c>
      <c r="B121" s="52" t="str">
        <f>IF(E121="","",IF(ISNA(VLOOKUP($E121,'A-1 Site Habitat Baseline'!$D$1:$O$258,3,FALSE)),"",(VLOOKUP($E121,'A-1 Site Habitat Baseline'!$D$1:$O$258,3,FALSE))))</f>
        <v/>
      </c>
      <c r="C121" s="52" t="str">
        <f>IFERROR(INDEX('G-8 Condition Look up'!$I$4:$I$131,MATCH(S121,'G-8 Condition Look up'!$A$4:$A$131,0)),"")</f>
        <v/>
      </c>
      <c r="E121" s="342" t="str">
        <f>'A-1 Site Habitat Baseline'!AL120</f>
        <v/>
      </c>
      <c r="F121" s="343" t="str">
        <f>IF(E121="","",IF(ISNA(VLOOKUP($E121,'A-1 Site Habitat Baseline'!$D$1:$O$258,4,FALSE)),"",(VLOOKUP($E121,'A-1 Site Habitat Baseline'!$D$1:$O$258,4,FALSE))))</f>
        <v/>
      </c>
      <c r="G121" s="343" t="str">
        <f>IF(E121="","",IF(ISNA(VLOOKUP($E121,'A-1 Site Habitat Baseline'!$D$1:$O$258,5,FALSE)),"",(VLOOKUP($E121,'A-1 Site Habitat Baseline'!$D$1:$O$258,5,FALSE))))</f>
        <v/>
      </c>
      <c r="H121" s="343" t="str">
        <f>IF(E121="","",IF(ISNA(VLOOKUP($E121,'A-1 Site Habitat Baseline'!$D$1:$O$258,6,FALSE)),"",(VLOOKUP($E121,'A-1 Site Habitat Baseline'!$D$1:$O$258,6,FALSE))))</f>
        <v/>
      </c>
      <c r="I121" s="343" t="str">
        <f>IF(E121="","",IF(ISNA(VLOOKUP($E121,'A-1 Site Habitat Baseline'!$D$1:$O$258,7,FALSE)),"",(VLOOKUP($E121,'A-1 Site Habitat Baseline'!$D$1:$O$258,7,FALSE))))</f>
        <v/>
      </c>
      <c r="J121" s="343" t="str">
        <f>IF(E121="","",IF(ISNA(VLOOKUP($E121,'A-1 Site Habitat Baseline'!$D$1:$O$258,8,FALSE)),"",(VLOOKUP($E121,'A-1 Site Habitat Baseline'!$D$1:$O$258,8,FALSE))))</f>
        <v/>
      </c>
      <c r="K121" s="343" t="str">
        <f>IF(E121="","",IF(ISNA(VLOOKUP($E121,'A-1 Site Habitat Baseline'!$D$1:$O$258,9,FALSE)),"",(VLOOKUP($E121,'A-1 Site Habitat Baseline'!$D$1:$O$258,9,FALSE))))</f>
        <v/>
      </c>
      <c r="L121" s="343" t="str">
        <f>IF(E121="","",IF(ISNA(VLOOKUP($E121,'A-1 Site Habitat Baseline'!$D$1:$O$258,11,FALSE)),"",(VLOOKUP($E121,'A-1 Site Habitat Baseline'!$D$1:$O$258,11,FALSE))))</f>
        <v/>
      </c>
      <c r="M121" s="343" t="str">
        <f>IF(E121="","",IF(ISNA(VLOOKUP($E121,'A-1 Site Habitat Baseline'!$D$1:$O$258,12,FALSE)),"",(VLOOKUP($E121,'A-1 Site Habitat Baseline'!$D$1:$O$258,12,FALSE))))</f>
        <v/>
      </c>
      <c r="N121" s="344" t="str">
        <f>IF(E121="","",IF(ISNA(VLOOKUP($E121,'A-1 Site Habitat Baseline'!$D$1:$X$258,14,FALSE)),"",(VLOOKUP($E121,'A-1 Site Habitat Baseline'!$D$1:$X$258,14,FALSE))))</f>
        <v/>
      </c>
      <c r="O121" s="345" t="str">
        <f>IF(E121="","",IF(ISNA(VLOOKUP($E121,'A-1 Site Habitat Baseline'!$D$1:$X$258,16,FALSE)),"",(VLOOKUP($E121,'A-1 Site Habitat Baseline'!$D$1:$X$258,13,FALSE))))</f>
        <v/>
      </c>
      <c r="P121" s="346" t="str">
        <f>IFERROR(INDEX('G-1 All Habitats'!$AG$3:$AG$15,MATCH(Q121,'G-1 All Habitats'!$AF$3:$AF$15,0)),"")</f>
        <v/>
      </c>
      <c r="Q121" s="347"/>
      <c r="R121" s="347"/>
      <c r="S121" s="605" t="str">
        <f>IFERROR(INDEX('G-1 All Habitats'!$B$3:$B$130,MATCH(R121,'G-1 All Habitats'!$A$3:$A$130,0)),"")</f>
        <v/>
      </c>
      <c r="T121" s="77" t="str">
        <f t="shared" si="18"/>
        <v/>
      </c>
      <c r="U121" s="78" t="str">
        <f t="shared" si="13"/>
        <v/>
      </c>
      <c r="V121" s="350" t="str">
        <f t="shared" si="10"/>
        <v/>
      </c>
      <c r="W121" s="343" t="str">
        <f>IF(S121="","",VLOOKUP(S121,'G-1 All Habitats'!$B$2:$M$130,10,FALSE))</f>
        <v/>
      </c>
      <c r="X121" s="343" t="str">
        <f>IFERROR(VLOOKUP(W121,'G-1 All Habitats'!$V$3:$W$7,2,FALSE),"")</f>
        <v/>
      </c>
      <c r="Y121" s="91"/>
      <c r="Z121" s="345" t="str">
        <f>IFERROR(INDEX('G-8 Condition Look up'!$A$3:$H$131,MATCH(S121,'G-8 Condition Look up'!$A$3:$A$131,0),MATCH(Y121,'G-8 Condition Look up'!$A$3:$H$3,0)),"")</f>
        <v/>
      </c>
      <c r="AA121" s="79"/>
      <c r="AB121" s="343" t="str">
        <f>IF(AA121="","",IF(VLOOKUP(AA121,'G-3 Multipliers'!$L$3:$N$6,2,FALSE)=0,"Spatial Data Missing",VLOOKUP(AA121,'G-3 Multipliers'!$L$3:$N$6,2,FALSE)))</f>
        <v/>
      </c>
      <c r="AC121" s="345" t="str">
        <f>IF(AA121="","",IF(VLOOKUP(AA121,'G-3 Multipliers'!$L$3:$N$6,3,FALSE)=0,"Spatial Data Missing",VLOOKUP(AA121,'G-3 Multipliers'!$L$3:$N$6,3,FALSE)))</f>
        <v/>
      </c>
      <c r="AD121" s="351" t="str">
        <f t="shared" si="11"/>
        <v/>
      </c>
      <c r="AE121" s="94"/>
      <c r="AF121" s="94"/>
      <c r="AG121" s="343" t="str">
        <f t="shared" si="14"/>
        <v/>
      </c>
      <c r="AH121" s="591" t="str">
        <f t="shared" si="15"/>
        <v/>
      </c>
      <c r="AI121" s="353" t="str">
        <f>IF(AH121="Check Data","Check Data",IFERROR(VLOOKUP(AH121,'G-4 Temporal multipliers'!$A$4:$C$36,3,FALSE),""))</f>
        <v/>
      </c>
      <c r="AJ121" s="77" t="str">
        <f>IF(S121="","",VLOOKUP(S121,'G-3 Multipliers'!$A$2:$E$130,4,FALSE))</f>
        <v/>
      </c>
      <c r="AK121" s="348" t="str">
        <f t="shared" si="16"/>
        <v/>
      </c>
      <c r="AL121" s="348" t="str">
        <f t="shared" si="17"/>
        <v/>
      </c>
      <c r="AM121" s="607" t="str">
        <f>IFERROR(IF(F121="","",IF(AH121="Check Data","Check Data",VLOOKUP(AL121, 'G-3 Multipliers'!$P$2:$Q$6,2,FALSE))),””)</f>
        <v/>
      </c>
      <c r="AN121" s="81" t="str">
        <f t="shared" si="12"/>
        <v/>
      </c>
      <c r="AO121" s="355"/>
      <c r="AP121" s="356"/>
    </row>
    <row r="122" spans="1:42" x14ac:dyDescent="0.25">
      <c r="A122" s="52" t="str">
        <f>IF(E122="","",IF(ISNA(VLOOKUP($E122,'A-1 Site Habitat Baseline'!$D$1:$O$258,2,FALSE)),"",(VLOOKUP($E122,'A-1 Site Habitat Baseline'!$D$1:$O$258,2,FALSE))))</f>
        <v/>
      </c>
      <c r="B122" s="52" t="str">
        <f>IF(E122="","",IF(ISNA(VLOOKUP($E122,'A-1 Site Habitat Baseline'!$D$1:$O$258,3,FALSE)),"",(VLOOKUP($E122,'A-1 Site Habitat Baseline'!$D$1:$O$258,3,FALSE))))</f>
        <v/>
      </c>
      <c r="C122" s="52" t="str">
        <f>IFERROR(INDEX('G-8 Condition Look up'!$I$4:$I$131,MATCH(S122,'G-8 Condition Look up'!$A$4:$A$131,0)),"")</f>
        <v/>
      </c>
      <c r="E122" s="342" t="str">
        <f>'A-1 Site Habitat Baseline'!AL121</f>
        <v/>
      </c>
      <c r="F122" s="343" t="str">
        <f>IF(E122="","",IF(ISNA(VLOOKUP($E122,'A-1 Site Habitat Baseline'!$D$1:$O$258,4,FALSE)),"",(VLOOKUP($E122,'A-1 Site Habitat Baseline'!$D$1:$O$258,4,FALSE))))</f>
        <v/>
      </c>
      <c r="G122" s="343" t="str">
        <f>IF(E122="","",IF(ISNA(VLOOKUP($E122,'A-1 Site Habitat Baseline'!$D$1:$O$258,5,FALSE)),"",(VLOOKUP($E122,'A-1 Site Habitat Baseline'!$D$1:$O$258,5,FALSE))))</f>
        <v/>
      </c>
      <c r="H122" s="343" t="str">
        <f>IF(E122="","",IF(ISNA(VLOOKUP($E122,'A-1 Site Habitat Baseline'!$D$1:$O$258,6,FALSE)),"",(VLOOKUP($E122,'A-1 Site Habitat Baseline'!$D$1:$O$258,6,FALSE))))</f>
        <v/>
      </c>
      <c r="I122" s="343" t="str">
        <f>IF(E122="","",IF(ISNA(VLOOKUP($E122,'A-1 Site Habitat Baseline'!$D$1:$O$258,7,FALSE)),"",(VLOOKUP($E122,'A-1 Site Habitat Baseline'!$D$1:$O$258,7,FALSE))))</f>
        <v/>
      </c>
      <c r="J122" s="343" t="str">
        <f>IF(E122="","",IF(ISNA(VLOOKUP($E122,'A-1 Site Habitat Baseline'!$D$1:$O$258,8,FALSE)),"",(VLOOKUP($E122,'A-1 Site Habitat Baseline'!$D$1:$O$258,8,FALSE))))</f>
        <v/>
      </c>
      <c r="K122" s="343" t="str">
        <f>IF(E122="","",IF(ISNA(VLOOKUP($E122,'A-1 Site Habitat Baseline'!$D$1:$O$258,9,FALSE)),"",(VLOOKUP($E122,'A-1 Site Habitat Baseline'!$D$1:$O$258,9,FALSE))))</f>
        <v/>
      </c>
      <c r="L122" s="343" t="str">
        <f>IF(E122="","",IF(ISNA(VLOOKUP($E122,'A-1 Site Habitat Baseline'!$D$1:$O$258,11,FALSE)),"",(VLOOKUP($E122,'A-1 Site Habitat Baseline'!$D$1:$O$258,11,FALSE))))</f>
        <v/>
      </c>
      <c r="M122" s="343" t="str">
        <f>IF(E122="","",IF(ISNA(VLOOKUP($E122,'A-1 Site Habitat Baseline'!$D$1:$O$258,12,FALSE)),"",(VLOOKUP($E122,'A-1 Site Habitat Baseline'!$D$1:$O$258,12,FALSE))))</f>
        <v/>
      </c>
      <c r="N122" s="344" t="str">
        <f>IF(E122="","",IF(ISNA(VLOOKUP($E122,'A-1 Site Habitat Baseline'!$D$1:$X$258,14,FALSE)),"",(VLOOKUP($E122,'A-1 Site Habitat Baseline'!$D$1:$X$258,14,FALSE))))</f>
        <v/>
      </c>
      <c r="O122" s="345" t="str">
        <f>IF(E122="","",IF(ISNA(VLOOKUP($E122,'A-1 Site Habitat Baseline'!$D$1:$X$258,16,FALSE)),"",(VLOOKUP($E122,'A-1 Site Habitat Baseline'!$D$1:$X$258,13,FALSE))))</f>
        <v/>
      </c>
      <c r="P122" s="346" t="str">
        <f>IFERROR(INDEX('G-1 All Habitats'!$AG$3:$AG$15,MATCH(Q122,'G-1 All Habitats'!$AF$3:$AF$15,0)),"")</f>
        <v/>
      </c>
      <c r="Q122" s="347"/>
      <c r="R122" s="347"/>
      <c r="S122" s="605" t="str">
        <f>IFERROR(INDEX('G-1 All Habitats'!$B$3:$B$130,MATCH(R122,'G-1 All Habitats'!$A$3:$A$130,0)),"")</f>
        <v/>
      </c>
      <c r="T122" s="77" t="str">
        <f t="shared" si="18"/>
        <v/>
      </c>
      <c r="U122" s="78" t="str">
        <f t="shared" si="13"/>
        <v/>
      </c>
      <c r="V122" s="350" t="str">
        <f t="shared" si="10"/>
        <v/>
      </c>
      <c r="W122" s="343" t="str">
        <f>IF(S122="","",VLOOKUP(S122,'G-1 All Habitats'!$B$2:$M$130,10,FALSE))</f>
        <v/>
      </c>
      <c r="X122" s="343" t="str">
        <f>IFERROR(VLOOKUP(W122,'G-1 All Habitats'!$V$3:$W$7,2,FALSE),"")</f>
        <v/>
      </c>
      <c r="Y122" s="91"/>
      <c r="Z122" s="345" t="str">
        <f>IFERROR(INDEX('G-8 Condition Look up'!$A$3:$H$131,MATCH(S122,'G-8 Condition Look up'!$A$3:$A$131,0),MATCH(Y122,'G-8 Condition Look up'!$A$3:$H$3,0)),"")</f>
        <v/>
      </c>
      <c r="AA122" s="79"/>
      <c r="AB122" s="343" t="str">
        <f>IF(AA122="","",IF(VLOOKUP(AA122,'G-3 Multipliers'!$L$3:$N$6,2,FALSE)=0,"Spatial Data Missing",VLOOKUP(AA122,'G-3 Multipliers'!$L$3:$N$6,2,FALSE)))</f>
        <v/>
      </c>
      <c r="AC122" s="345" t="str">
        <f>IF(AA122="","",IF(VLOOKUP(AA122,'G-3 Multipliers'!$L$3:$N$6,3,FALSE)=0,"Spatial Data Missing",VLOOKUP(AA122,'G-3 Multipliers'!$L$3:$N$6,3,FALSE)))</f>
        <v/>
      </c>
      <c r="AD122" s="351" t="str">
        <f t="shared" si="11"/>
        <v/>
      </c>
      <c r="AE122" s="94"/>
      <c r="AF122" s="94"/>
      <c r="AG122" s="343" t="str">
        <f t="shared" si="14"/>
        <v/>
      </c>
      <c r="AH122" s="591" t="str">
        <f t="shared" si="15"/>
        <v/>
      </c>
      <c r="AI122" s="353" t="str">
        <f>IF(AH122="Check Data","Check Data",IFERROR(VLOOKUP(AH122,'G-4 Temporal multipliers'!$A$4:$C$36,3,FALSE),""))</f>
        <v/>
      </c>
      <c r="AJ122" s="77" t="str">
        <f>IF(S122="","",VLOOKUP(S122,'G-3 Multipliers'!$A$2:$E$130,4,FALSE))</f>
        <v/>
      </c>
      <c r="AK122" s="348" t="str">
        <f t="shared" si="16"/>
        <v/>
      </c>
      <c r="AL122" s="348" t="str">
        <f t="shared" si="17"/>
        <v/>
      </c>
      <c r="AM122" s="607" t="str">
        <f>IFERROR(IF(F122="","",IF(AH122="Check Data","Check Data",VLOOKUP(AL122, 'G-3 Multipliers'!$P$2:$Q$6,2,FALSE))),””)</f>
        <v/>
      </c>
      <c r="AN122" s="81" t="str">
        <f t="shared" si="12"/>
        <v/>
      </c>
      <c r="AO122" s="355"/>
      <c r="AP122" s="356"/>
    </row>
    <row r="123" spans="1:42" x14ac:dyDescent="0.25">
      <c r="A123" s="52" t="str">
        <f>IF(E123="","",IF(ISNA(VLOOKUP($E123,'A-1 Site Habitat Baseline'!$D$1:$O$258,2,FALSE)),"",(VLOOKUP($E123,'A-1 Site Habitat Baseline'!$D$1:$O$258,2,FALSE))))</f>
        <v/>
      </c>
      <c r="B123" s="52" t="str">
        <f>IF(E123="","",IF(ISNA(VLOOKUP($E123,'A-1 Site Habitat Baseline'!$D$1:$O$258,3,FALSE)),"",(VLOOKUP($E123,'A-1 Site Habitat Baseline'!$D$1:$O$258,3,FALSE))))</f>
        <v/>
      </c>
      <c r="C123" s="52" t="str">
        <f>IFERROR(INDEX('G-8 Condition Look up'!$I$4:$I$131,MATCH(S123,'G-8 Condition Look up'!$A$4:$A$131,0)),"")</f>
        <v/>
      </c>
      <c r="E123" s="342" t="str">
        <f>'A-1 Site Habitat Baseline'!AL122</f>
        <v/>
      </c>
      <c r="F123" s="343" t="str">
        <f>IF(E123="","",IF(ISNA(VLOOKUP($E123,'A-1 Site Habitat Baseline'!$D$1:$O$258,4,FALSE)),"",(VLOOKUP($E123,'A-1 Site Habitat Baseline'!$D$1:$O$258,4,FALSE))))</f>
        <v/>
      </c>
      <c r="G123" s="343" t="str">
        <f>IF(E123="","",IF(ISNA(VLOOKUP($E123,'A-1 Site Habitat Baseline'!$D$1:$O$258,5,FALSE)),"",(VLOOKUP($E123,'A-1 Site Habitat Baseline'!$D$1:$O$258,5,FALSE))))</f>
        <v/>
      </c>
      <c r="H123" s="343" t="str">
        <f>IF(E123="","",IF(ISNA(VLOOKUP($E123,'A-1 Site Habitat Baseline'!$D$1:$O$258,6,FALSE)),"",(VLOOKUP($E123,'A-1 Site Habitat Baseline'!$D$1:$O$258,6,FALSE))))</f>
        <v/>
      </c>
      <c r="I123" s="343" t="str">
        <f>IF(E123="","",IF(ISNA(VLOOKUP($E123,'A-1 Site Habitat Baseline'!$D$1:$O$258,7,FALSE)),"",(VLOOKUP($E123,'A-1 Site Habitat Baseline'!$D$1:$O$258,7,FALSE))))</f>
        <v/>
      </c>
      <c r="J123" s="343" t="str">
        <f>IF(E123="","",IF(ISNA(VLOOKUP($E123,'A-1 Site Habitat Baseline'!$D$1:$O$258,8,FALSE)),"",(VLOOKUP($E123,'A-1 Site Habitat Baseline'!$D$1:$O$258,8,FALSE))))</f>
        <v/>
      </c>
      <c r="K123" s="343" t="str">
        <f>IF(E123="","",IF(ISNA(VLOOKUP($E123,'A-1 Site Habitat Baseline'!$D$1:$O$258,9,FALSE)),"",(VLOOKUP($E123,'A-1 Site Habitat Baseline'!$D$1:$O$258,9,FALSE))))</f>
        <v/>
      </c>
      <c r="L123" s="343" t="str">
        <f>IF(E123="","",IF(ISNA(VLOOKUP($E123,'A-1 Site Habitat Baseline'!$D$1:$O$258,11,FALSE)),"",(VLOOKUP($E123,'A-1 Site Habitat Baseline'!$D$1:$O$258,11,FALSE))))</f>
        <v/>
      </c>
      <c r="M123" s="343" t="str">
        <f>IF(E123="","",IF(ISNA(VLOOKUP($E123,'A-1 Site Habitat Baseline'!$D$1:$O$258,12,FALSE)),"",(VLOOKUP($E123,'A-1 Site Habitat Baseline'!$D$1:$O$258,12,FALSE))))</f>
        <v/>
      </c>
      <c r="N123" s="344" t="str">
        <f>IF(E123="","",IF(ISNA(VLOOKUP($E123,'A-1 Site Habitat Baseline'!$D$1:$X$258,14,FALSE)),"",(VLOOKUP($E123,'A-1 Site Habitat Baseline'!$D$1:$X$258,14,FALSE))))</f>
        <v/>
      </c>
      <c r="O123" s="345" t="str">
        <f>IF(E123="","",IF(ISNA(VLOOKUP($E123,'A-1 Site Habitat Baseline'!$D$1:$X$258,16,FALSE)),"",(VLOOKUP($E123,'A-1 Site Habitat Baseline'!$D$1:$X$258,13,FALSE))))</f>
        <v/>
      </c>
      <c r="P123" s="346" t="str">
        <f>IFERROR(INDEX('G-1 All Habitats'!$AG$3:$AG$15,MATCH(Q123,'G-1 All Habitats'!$AF$3:$AF$15,0)),"")</f>
        <v/>
      </c>
      <c r="Q123" s="347"/>
      <c r="R123" s="347"/>
      <c r="S123" s="605" t="str">
        <f>IFERROR(INDEX('G-1 All Habitats'!$B$3:$B$130,MATCH(R123,'G-1 All Habitats'!$A$3:$A$130,0)),"")</f>
        <v/>
      </c>
      <c r="T123" s="77" t="str">
        <f t="shared" si="18"/>
        <v/>
      </c>
      <c r="U123" s="78" t="str">
        <f t="shared" si="13"/>
        <v/>
      </c>
      <c r="V123" s="350" t="str">
        <f t="shared" si="10"/>
        <v/>
      </c>
      <c r="W123" s="343" t="str">
        <f>IF(S123="","",VLOOKUP(S123,'G-1 All Habitats'!$B$2:$M$130,10,FALSE))</f>
        <v/>
      </c>
      <c r="X123" s="343" t="str">
        <f>IFERROR(VLOOKUP(W123,'G-1 All Habitats'!$V$3:$W$7,2,FALSE),"")</f>
        <v/>
      </c>
      <c r="Y123" s="91"/>
      <c r="Z123" s="345" t="str">
        <f>IFERROR(INDEX('G-8 Condition Look up'!$A$3:$H$131,MATCH(S123,'G-8 Condition Look up'!$A$3:$A$131,0),MATCH(Y123,'G-8 Condition Look up'!$A$3:$H$3,0)),"")</f>
        <v/>
      </c>
      <c r="AA123" s="79"/>
      <c r="AB123" s="343" t="str">
        <f>IF(AA123="","",IF(VLOOKUP(AA123,'G-3 Multipliers'!$L$3:$N$6,2,FALSE)=0,"Spatial Data Missing",VLOOKUP(AA123,'G-3 Multipliers'!$L$3:$N$6,2,FALSE)))</f>
        <v/>
      </c>
      <c r="AC123" s="345" t="str">
        <f>IF(AA123="","",IF(VLOOKUP(AA123,'G-3 Multipliers'!$L$3:$N$6,3,FALSE)=0,"Spatial Data Missing",VLOOKUP(AA123,'G-3 Multipliers'!$L$3:$N$6,3,FALSE)))</f>
        <v/>
      </c>
      <c r="AD123" s="351" t="str">
        <f t="shared" si="11"/>
        <v/>
      </c>
      <c r="AE123" s="94"/>
      <c r="AF123" s="94"/>
      <c r="AG123" s="343" t="str">
        <f t="shared" si="14"/>
        <v/>
      </c>
      <c r="AH123" s="591" t="str">
        <f t="shared" si="15"/>
        <v/>
      </c>
      <c r="AI123" s="353" t="str">
        <f>IF(AH123="Check Data","Check Data",IFERROR(VLOOKUP(AH123,'G-4 Temporal multipliers'!$A$4:$C$36,3,FALSE),""))</f>
        <v/>
      </c>
      <c r="AJ123" s="77" t="str">
        <f>IF(S123="","",VLOOKUP(S123,'G-3 Multipliers'!$A$2:$E$130,4,FALSE))</f>
        <v/>
      </c>
      <c r="AK123" s="348" t="str">
        <f t="shared" si="16"/>
        <v/>
      </c>
      <c r="AL123" s="348" t="str">
        <f t="shared" si="17"/>
        <v/>
      </c>
      <c r="AM123" s="607" t="str">
        <f>IFERROR(IF(F123="","",IF(AH123="Check Data","Check Data",VLOOKUP(AL123, 'G-3 Multipliers'!$P$2:$Q$6,2,FALSE))),””)</f>
        <v/>
      </c>
      <c r="AN123" s="81" t="str">
        <f t="shared" si="12"/>
        <v/>
      </c>
      <c r="AO123" s="355"/>
      <c r="AP123" s="356"/>
    </row>
    <row r="124" spans="1:42" x14ac:dyDescent="0.25">
      <c r="A124" s="52" t="str">
        <f>IF(E124="","",IF(ISNA(VLOOKUP($E124,'A-1 Site Habitat Baseline'!$D$1:$O$258,2,FALSE)),"",(VLOOKUP($E124,'A-1 Site Habitat Baseline'!$D$1:$O$258,2,FALSE))))</f>
        <v/>
      </c>
      <c r="B124" s="52" t="str">
        <f>IF(E124="","",IF(ISNA(VLOOKUP($E124,'A-1 Site Habitat Baseline'!$D$1:$O$258,3,FALSE)),"",(VLOOKUP($E124,'A-1 Site Habitat Baseline'!$D$1:$O$258,3,FALSE))))</f>
        <v/>
      </c>
      <c r="C124" s="52" t="str">
        <f>IFERROR(INDEX('G-8 Condition Look up'!$I$4:$I$131,MATCH(S124,'G-8 Condition Look up'!$A$4:$A$131,0)),"")</f>
        <v/>
      </c>
      <c r="E124" s="342" t="str">
        <f>'A-1 Site Habitat Baseline'!AL123</f>
        <v/>
      </c>
      <c r="F124" s="343" t="str">
        <f>IF(E124="","",IF(ISNA(VLOOKUP($E124,'A-1 Site Habitat Baseline'!$D$1:$O$258,4,FALSE)),"",(VLOOKUP($E124,'A-1 Site Habitat Baseline'!$D$1:$O$258,4,FALSE))))</f>
        <v/>
      </c>
      <c r="G124" s="343" t="str">
        <f>IF(E124="","",IF(ISNA(VLOOKUP($E124,'A-1 Site Habitat Baseline'!$D$1:$O$258,5,FALSE)),"",(VLOOKUP($E124,'A-1 Site Habitat Baseline'!$D$1:$O$258,5,FALSE))))</f>
        <v/>
      </c>
      <c r="H124" s="343" t="str">
        <f>IF(E124="","",IF(ISNA(VLOOKUP($E124,'A-1 Site Habitat Baseline'!$D$1:$O$258,6,FALSE)),"",(VLOOKUP($E124,'A-1 Site Habitat Baseline'!$D$1:$O$258,6,FALSE))))</f>
        <v/>
      </c>
      <c r="I124" s="343" t="str">
        <f>IF(E124="","",IF(ISNA(VLOOKUP($E124,'A-1 Site Habitat Baseline'!$D$1:$O$258,7,FALSE)),"",(VLOOKUP($E124,'A-1 Site Habitat Baseline'!$D$1:$O$258,7,FALSE))))</f>
        <v/>
      </c>
      <c r="J124" s="343" t="str">
        <f>IF(E124="","",IF(ISNA(VLOOKUP($E124,'A-1 Site Habitat Baseline'!$D$1:$O$258,8,FALSE)),"",(VLOOKUP($E124,'A-1 Site Habitat Baseline'!$D$1:$O$258,8,FALSE))))</f>
        <v/>
      </c>
      <c r="K124" s="343" t="str">
        <f>IF(E124="","",IF(ISNA(VLOOKUP($E124,'A-1 Site Habitat Baseline'!$D$1:$O$258,9,FALSE)),"",(VLOOKUP($E124,'A-1 Site Habitat Baseline'!$D$1:$O$258,9,FALSE))))</f>
        <v/>
      </c>
      <c r="L124" s="343" t="str">
        <f>IF(E124="","",IF(ISNA(VLOOKUP($E124,'A-1 Site Habitat Baseline'!$D$1:$O$258,11,FALSE)),"",(VLOOKUP($E124,'A-1 Site Habitat Baseline'!$D$1:$O$258,11,FALSE))))</f>
        <v/>
      </c>
      <c r="M124" s="343" t="str">
        <f>IF(E124="","",IF(ISNA(VLOOKUP($E124,'A-1 Site Habitat Baseline'!$D$1:$O$258,12,FALSE)),"",(VLOOKUP($E124,'A-1 Site Habitat Baseline'!$D$1:$O$258,12,FALSE))))</f>
        <v/>
      </c>
      <c r="N124" s="344" t="str">
        <f>IF(E124="","",IF(ISNA(VLOOKUP($E124,'A-1 Site Habitat Baseline'!$D$1:$X$258,14,FALSE)),"",(VLOOKUP($E124,'A-1 Site Habitat Baseline'!$D$1:$X$258,14,FALSE))))</f>
        <v/>
      </c>
      <c r="O124" s="345" t="str">
        <f>IF(E124="","",IF(ISNA(VLOOKUP($E124,'A-1 Site Habitat Baseline'!$D$1:$X$258,16,FALSE)),"",(VLOOKUP($E124,'A-1 Site Habitat Baseline'!$D$1:$X$258,13,FALSE))))</f>
        <v/>
      </c>
      <c r="P124" s="346" t="str">
        <f>IFERROR(INDEX('G-1 All Habitats'!$AG$3:$AG$15,MATCH(Q124,'G-1 All Habitats'!$AF$3:$AF$15,0)),"")</f>
        <v/>
      </c>
      <c r="Q124" s="347"/>
      <c r="R124" s="347"/>
      <c r="S124" s="605" t="str">
        <f>IFERROR(INDEX('G-1 All Habitats'!$B$3:$B$130,MATCH(R124,'G-1 All Habitats'!$A$3:$A$130,0)),"")</f>
        <v/>
      </c>
      <c r="T124" s="77" t="str">
        <f t="shared" si="18"/>
        <v/>
      </c>
      <c r="U124" s="78" t="str">
        <f t="shared" si="13"/>
        <v/>
      </c>
      <c r="V124" s="350" t="str">
        <f t="shared" si="10"/>
        <v/>
      </c>
      <c r="W124" s="343" t="str">
        <f>IF(S124="","",VLOOKUP(S124,'G-1 All Habitats'!$B$2:$M$130,10,FALSE))</f>
        <v/>
      </c>
      <c r="X124" s="343" t="str">
        <f>IFERROR(VLOOKUP(W124,'G-1 All Habitats'!$V$3:$W$7,2,FALSE),"")</f>
        <v/>
      </c>
      <c r="Y124" s="91"/>
      <c r="Z124" s="345" t="str">
        <f>IFERROR(INDEX('G-8 Condition Look up'!$A$3:$H$131,MATCH(S124,'G-8 Condition Look up'!$A$3:$A$131,0),MATCH(Y124,'G-8 Condition Look up'!$A$3:$H$3,0)),"")</f>
        <v/>
      </c>
      <c r="AA124" s="79"/>
      <c r="AB124" s="343" t="str">
        <f>IF(AA124="","",IF(VLOOKUP(AA124,'G-3 Multipliers'!$L$3:$N$6,2,FALSE)=0,"Spatial Data Missing",VLOOKUP(AA124,'G-3 Multipliers'!$L$3:$N$6,2,FALSE)))</f>
        <v/>
      </c>
      <c r="AC124" s="345" t="str">
        <f>IF(AA124="","",IF(VLOOKUP(AA124,'G-3 Multipliers'!$L$3:$N$6,3,FALSE)=0,"Spatial Data Missing",VLOOKUP(AA124,'G-3 Multipliers'!$L$3:$N$6,3,FALSE)))</f>
        <v/>
      </c>
      <c r="AD124" s="351" t="str">
        <f t="shared" si="11"/>
        <v/>
      </c>
      <c r="AE124" s="94"/>
      <c r="AF124" s="94"/>
      <c r="AG124" s="343" t="str">
        <f t="shared" si="14"/>
        <v/>
      </c>
      <c r="AH124" s="591" t="str">
        <f t="shared" si="15"/>
        <v/>
      </c>
      <c r="AI124" s="353" t="str">
        <f>IF(AH124="Check Data","Check Data",IFERROR(VLOOKUP(AH124,'G-4 Temporal multipliers'!$A$4:$C$36,3,FALSE),""))</f>
        <v/>
      </c>
      <c r="AJ124" s="77" t="str">
        <f>IF(S124="","",VLOOKUP(S124,'G-3 Multipliers'!$A$2:$E$130,4,FALSE))</f>
        <v/>
      </c>
      <c r="AK124" s="348" t="str">
        <f t="shared" si="16"/>
        <v/>
      </c>
      <c r="AL124" s="348" t="str">
        <f t="shared" si="17"/>
        <v/>
      </c>
      <c r="AM124" s="607" t="str">
        <f>IFERROR(IF(F124="","",IF(AH124="Check Data","Check Data",VLOOKUP(AL124, 'G-3 Multipliers'!$P$2:$Q$6,2,FALSE))),””)</f>
        <v/>
      </c>
      <c r="AN124" s="81" t="str">
        <f t="shared" si="12"/>
        <v/>
      </c>
      <c r="AO124" s="355"/>
      <c r="AP124" s="356"/>
    </row>
    <row r="125" spans="1:42" x14ac:dyDescent="0.25">
      <c r="A125" s="52" t="str">
        <f>IF(E125="","",IF(ISNA(VLOOKUP($E125,'A-1 Site Habitat Baseline'!$D$1:$O$258,2,FALSE)),"",(VLOOKUP($E125,'A-1 Site Habitat Baseline'!$D$1:$O$258,2,FALSE))))</f>
        <v/>
      </c>
      <c r="B125" s="52" t="str">
        <f>IF(E125="","",IF(ISNA(VLOOKUP($E125,'A-1 Site Habitat Baseline'!$D$1:$O$258,3,FALSE)),"",(VLOOKUP($E125,'A-1 Site Habitat Baseline'!$D$1:$O$258,3,FALSE))))</f>
        <v/>
      </c>
      <c r="C125" s="52" t="str">
        <f>IFERROR(INDEX('G-8 Condition Look up'!$I$4:$I$131,MATCH(S125,'G-8 Condition Look up'!$A$4:$A$131,0)),"")</f>
        <v/>
      </c>
      <c r="E125" s="342" t="str">
        <f>'A-1 Site Habitat Baseline'!AL124</f>
        <v/>
      </c>
      <c r="F125" s="343" t="str">
        <f>IF(E125="","",IF(ISNA(VLOOKUP($E125,'A-1 Site Habitat Baseline'!$D$1:$O$258,4,FALSE)),"",(VLOOKUP($E125,'A-1 Site Habitat Baseline'!$D$1:$O$258,4,FALSE))))</f>
        <v/>
      </c>
      <c r="G125" s="343" t="str">
        <f>IF(E125="","",IF(ISNA(VLOOKUP($E125,'A-1 Site Habitat Baseline'!$D$1:$O$258,5,FALSE)),"",(VLOOKUP($E125,'A-1 Site Habitat Baseline'!$D$1:$O$258,5,FALSE))))</f>
        <v/>
      </c>
      <c r="H125" s="343" t="str">
        <f>IF(E125="","",IF(ISNA(VLOOKUP($E125,'A-1 Site Habitat Baseline'!$D$1:$O$258,6,FALSE)),"",(VLOOKUP($E125,'A-1 Site Habitat Baseline'!$D$1:$O$258,6,FALSE))))</f>
        <v/>
      </c>
      <c r="I125" s="343" t="str">
        <f>IF(E125="","",IF(ISNA(VLOOKUP($E125,'A-1 Site Habitat Baseline'!$D$1:$O$258,7,FALSE)),"",(VLOOKUP($E125,'A-1 Site Habitat Baseline'!$D$1:$O$258,7,FALSE))))</f>
        <v/>
      </c>
      <c r="J125" s="343" t="str">
        <f>IF(E125="","",IF(ISNA(VLOOKUP($E125,'A-1 Site Habitat Baseline'!$D$1:$O$258,8,FALSE)),"",(VLOOKUP($E125,'A-1 Site Habitat Baseline'!$D$1:$O$258,8,FALSE))))</f>
        <v/>
      </c>
      <c r="K125" s="343" t="str">
        <f>IF(E125="","",IF(ISNA(VLOOKUP($E125,'A-1 Site Habitat Baseline'!$D$1:$O$258,9,FALSE)),"",(VLOOKUP($E125,'A-1 Site Habitat Baseline'!$D$1:$O$258,9,FALSE))))</f>
        <v/>
      </c>
      <c r="L125" s="343" t="str">
        <f>IF(E125="","",IF(ISNA(VLOOKUP($E125,'A-1 Site Habitat Baseline'!$D$1:$O$258,11,FALSE)),"",(VLOOKUP($E125,'A-1 Site Habitat Baseline'!$D$1:$O$258,11,FALSE))))</f>
        <v/>
      </c>
      <c r="M125" s="343" t="str">
        <f>IF(E125="","",IF(ISNA(VLOOKUP($E125,'A-1 Site Habitat Baseline'!$D$1:$O$258,12,FALSE)),"",(VLOOKUP($E125,'A-1 Site Habitat Baseline'!$D$1:$O$258,12,FALSE))))</f>
        <v/>
      </c>
      <c r="N125" s="344" t="str">
        <f>IF(E125="","",IF(ISNA(VLOOKUP($E125,'A-1 Site Habitat Baseline'!$D$1:$X$258,14,FALSE)),"",(VLOOKUP($E125,'A-1 Site Habitat Baseline'!$D$1:$X$258,14,FALSE))))</f>
        <v/>
      </c>
      <c r="O125" s="345" t="str">
        <f>IF(E125="","",IF(ISNA(VLOOKUP($E125,'A-1 Site Habitat Baseline'!$D$1:$X$258,16,FALSE)),"",(VLOOKUP($E125,'A-1 Site Habitat Baseline'!$D$1:$X$258,13,FALSE))))</f>
        <v/>
      </c>
      <c r="P125" s="346" t="str">
        <f>IFERROR(INDEX('G-1 All Habitats'!$AG$3:$AG$15,MATCH(Q125,'G-1 All Habitats'!$AF$3:$AF$15,0)),"")</f>
        <v/>
      </c>
      <c r="Q125" s="347"/>
      <c r="R125" s="347"/>
      <c r="S125" s="605" t="str">
        <f>IFERROR(INDEX('G-1 All Habitats'!$B$3:$B$130,MATCH(R125,'G-1 All Habitats'!$A$3:$A$130,0)),"")</f>
        <v/>
      </c>
      <c r="T125" s="77" t="str">
        <f t="shared" si="18"/>
        <v/>
      </c>
      <c r="U125" s="78" t="str">
        <f t="shared" si="13"/>
        <v/>
      </c>
      <c r="V125" s="350" t="str">
        <f t="shared" si="10"/>
        <v/>
      </c>
      <c r="W125" s="343" t="str">
        <f>IF(S125="","",VLOOKUP(S125,'G-1 All Habitats'!$B$2:$M$130,10,FALSE))</f>
        <v/>
      </c>
      <c r="X125" s="343" t="str">
        <f>IFERROR(VLOOKUP(W125,'G-1 All Habitats'!$V$3:$W$7,2,FALSE),"")</f>
        <v/>
      </c>
      <c r="Y125" s="91"/>
      <c r="Z125" s="345" t="str">
        <f>IFERROR(INDEX('G-8 Condition Look up'!$A$3:$H$131,MATCH(S125,'G-8 Condition Look up'!$A$3:$A$131,0),MATCH(Y125,'G-8 Condition Look up'!$A$3:$H$3,0)),"")</f>
        <v/>
      </c>
      <c r="AA125" s="79"/>
      <c r="AB125" s="343" t="str">
        <f>IF(AA125="","",IF(VLOOKUP(AA125,'G-3 Multipliers'!$L$3:$N$6,2,FALSE)=0,"Spatial Data Missing",VLOOKUP(AA125,'G-3 Multipliers'!$L$3:$N$6,2,FALSE)))</f>
        <v/>
      </c>
      <c r="AC125" s="345" t="str">
        <f>IF(AA125="","",IF(VLOOKUP(AA125,'G-3 Multipliers'!$L$3:$N$6,3,FALSE)=0,"Spatial Data Missing",VLOOKUP(AA125,'G-3 Multipliers'!$L$3:$N$6,3,FALSE)))</f>
        <v/>
      </c>
      <c r="AD125" s="351" t="str">
        <f t="shared" si="11"/>
        <v/>
      </c>
      <c r="AE125" s="94"/>
      <c r="AF125" s="94"/>
      <c r="AG125" s="343" t="str">
        <f t="shared" si="14"/>
        <v/>
      </c>
      <c r="AH125" s="591" t="str">
        <f t="shared" si="15"/>
        <v/>
      </c>
      <c r="AI125" s="353" t="str">
        <f>IF(AH125="Check Data","Check Data",IFERROR(VLOOKUP(AH125,'G-4 Temporal multipliers'!$A$4:$C$36,3,FALSE),""))</f>
        <v/>
      </c>
      <c r="AJ125" s="77" t="str">
        <f>IF(S125="","",VLOOKUP(S125,'G-3 Multipliers'!$A$2:$E$130,4,FALSE))</f>
        <v/>
      </c>
      <c r="AK125" s="348" t="str">
        <f t="shared" si="16"/>
        <v/>
      </c>
      <c r="AL125" s="348" t="str">
        <f t="shared" si="17"/>
        <v/>
      </c>
      <c r="AM125" s="607" t="str">
        <f>IFERROR(IF(F125="","",IF(AH125="Check Data","Check Data",VLOOKUP(AL125, 'G-3 Multipliers'!$P$2:$Q$6,2,FALSE))),””)</f>
        <v/>
      </c>
      <c r="AN125" s="81" t="str">
        <f t="shared" si="12"/>
        <v/>
      </c>
      <c r="AO125" s="355"/>
      <c r="AP125" s="356"/>
    </row>
    <row r="126" spans="1:42" x14ac:dyDescent="0.25">
      <c r="A126" s="52" t="str">
        <f>IF(E126="","",IF(ISNA(VLOOKUP($E126,'A-1 Site Habitat Baseline'!$D$1:$O$258,2,FALSE)),"",(VLOOKUP($E126,'A-1 Site Habitat Baseline'!$D$1:$O$258,2,FALSE))))</f>
        <v/>
      </c>
      <c r="B126" s="52" t="str">
        <f>IF(E126="","",IF(ISNA(VLOOKUP($E126,'A-1 Site Habitat Baseline'!$D$1:$O$258,3,FALSE)),"",(VLOOKUP($E126,'A-1 Site Habitat Baseline'!$D$1:$O$258,3,FALSE))))</f>
        <v/>
      </c>
      <c r="C126" s="52" t="str">
        <f>IFERROR(INDEX('G-8 Condition Look up'!$I$4:$I$131,MATCH(S126,'G-8 Condition Look up'!$A$4:$A$131,0)),"")</f>
        <v/>
      </c>
      <c r="E126" s="342" t="str">
        <f>'A-1 Site Habitat Baseline'!AL125</f>
        <v/>
      </c>
      <c r="F126" s="343" t="str">
        <f>IF(E126="","",IF(ISNA(VLOOKUP($E126,'A-1 Site Habitat Baseline'!$D$1:$O$258,4,FALSE)),"",(VLOOKUP($E126,'A-1 Site Habitat Baseline'!$D$1:$O$258,4,FALSE))))</f>
        <v/>
      </c>
      <c r="G126" s="343" t="str">
        <f>IF(E126="","",IF(ISNA(VLOOKUP($E126,'A-1 Site Habitat Baseline'!$D$1:$O$258,5,FALSE)),"",(VLOOKUP($E126,'A-1 Site Habitat Baseline'!$D$1:$O$258,5,FALSE))))</f>
        <v/>
      </c>
      <c r="H126" s="343" t="str">
        <f>IF(E126="","",IF(ISNA(VLOOKUP($E126,'A-1 Site Habitat Baseline'!$D$1:$O$258,6,FALSE)),"",(VLOOKUP($E126,'A-1 Site Habitat Baseline'!$D$1:$O$258,6,FALSE))))</f>
        <v/>
      </c>
      <c r="I126" s="343" t="str">
        <f>IF(E126="","",IF(ISNA(VLOOKUP($E126,'A-1 Site Habitat Baseline'!$D$1:$O$258,7,FALSE)),"",(VLOOKUP($E126,'A-1 Site Habitat Baseline'!$D$1:$O$258,7,FALSE))))</f>
        <v/>
      </c>
      <c r="J126" s="343" t="str">
        <f>IF(E126="","",IF(ISNA(VLOOKUP($E126,'A-1 Site Habitat Baseline'!$D$1:$O$258,8,FALSE)),"",(VLOOKUP($E126,'A-1 Site Habitat Baseline'!$D$1:$O$258,8,FALSE))))</f>
        <v/>
      </c>
      <c r="K126" s="343" t="str">
        <f>IF(E126="","",IF(ISNA(VLOOKUP($E126,'A-1 Site Habitat Baseline'!$D$1:$O$258,9,FALSE)),"",(VLOOKUP($E126,'A-1 Site Habitat Baseline'!$D$1:$O$258,9,FALSE))))</f>
        <v/>
      </c>
      <c r="L126" s="343" t="str">
        <f>IF(E126="","",IF(ISNA(VLOOKUP($E126,'A-1 Site Habitat Baseline'!$D$1:$O$258,11,FALSE)),"",(VLOOKUP($E126,'A-1 Site Habitat Baseline'!$D$1:$O$258,11,FALSE))))</f>
        <v/>
      </c>
      <c r="M126" s="343" t="str">
        <f>IF(E126="","",IF(ISNA(VLOOKUP($E126,'A-1 Site Habitat Baseline'!$D$1:$O$258,12,FALSE)),"",(VLOOKUP($E126,'A-1 Site Habitat Baseline'!$D$1:$O$258,12,FALSE))))</f>
        <v/>
      </c>
      <c r="N126" s="344" t="str">
        <f>IF(E126="","",IF(ISNA(VLOOKUP($E126,'A-1 Site Habitat Baseline'!$D$1:$X$258,14,FALSE)),"",(VLOOKUP($E126,'A-1 Site Habitat Baseline'!$D$1:$X$258,14,FALSE))))</f>
        <v/>
      </c>
      <c r="O126" s="345" t="str">
        <f>IF(E126="","",IF(ISNA(VLOOKUP($E126,'A-1 Site Habitat Baseline'!$D$1:$X$258,16,FALSE)),"",(VLOOKUP($E126,'A-1 Site Habitat Baseline'!$D$1:$X$258,13,FALSE))))</f>
        <v/>
      </c>
      <c r="P126" s="346" t="str">
        <f>IFERROR(INDEX('G-1 All Habitats'!$AG$3:$AG$15,MATCH(Q126,'G-1 All Habitats'!$AF$3:$AF$15,0)),"")</f>
        <v/>
      </c>
      <c r="Q126" s="347"/>
      <c r="R126" s="347"/>
      <c r="S126" s="605" t="str">
        <f>IFERROR(INDEX('G-1 All Habitats'!$B$3:$B$130,MATCH(R126,'G-1 All Habitats'!$A$3:$A$130,0)),"")</f>
        <v/>
      </c>
      <c r="T126" s="77" t="str">
        <f t="shared" si="18"/>
        <v/>
      </c>
      <c r="U126" s="78" t="str">
        <f t="shared" si="13"/>
        <v/>
      </c>
      <c r="V126" s="350" t="str">
        <f t="shared" si="10"/>
        <v/>
      </c>
      <c r="W126" s="343" t="str">
        <f>IF(S126="","",VLOOKUP(S126,'G-1 All Habitats'!$B$2:$M$130,10,FALSE))</f>
        <v/>
      </c>
      <c r="X126" s="343" t="str">
        <f>IFERROR(VLOOKUP(W126,'G-1 All Habitats'!$V$3:$W$7,2,FALSE),"")</f>
        <v/>
      </c>
      <c r="Y126" s="91"/>
      <c r="Z126" s="345" t="str">
        <f>IFERROR(INDEX('G-8 Condition Look up'!$A$3:$H$131,MATCH(S126,'G-8 Condition Look up'!$A$3:$A$131,0),MATCH(Y126,'G-8 Condition Look up'!$A$3:$H$3,0)),"")</f>
        <v/>
      </c>
      <c r="AA126" s="79"/>
      <c r="AB126" s="343" t="str">
        <f>IF(AA126="","",IF(VLOOKUP(AA126,'G-3 Multipliers'!$L$3:$N$6,2,FALSE)=0,"Spatial Data Missing",VLOOKUP(AA126,'G-3 Multipliers'!$L$3:$N$6,2,FALSE)))</f>
        <v/>
      </c>
      <c r="AC126" s="345" t="str">
        <f>IF(AA126="","",IF(VLOOKUP(AA126,'G-3 Multipliers'!$L$3:$N$6,3,FALSE)=0,"Spatial Data Missing",VLOOKUP(AA126,'G-3 Multipliers'!$L$3:$N$6,3,FALSE)))</f>
        <v/>
      </c>
      <c r="AD126" s="351" t="str">
        <f t="shared" si="11"/>
        <v/>
      </c>
      <c r="AE126" s="94"/>
      <c r="AF126" s="94"/>
      <c r="AG126" s="343" t="str">
        <f t="shared" si="14"/>
        <v/>
      </c>
      <c r="AH126" s="591" t="str">
        <f t="shared" si="15"/>
        <v/>
      </c>
      <c r="AI126" s="353" t="str">
        <f>IF(AH126="Check Data","Check Data",IFERROR(VLOOKUP(AH126,'G-4 Temporal multipliers'!$A$4:$C$36,3,FALSE),""))</f>
        <v/>
      </c>
      <c r="AJ126" s="77" t="str">
        <f>IF(S126="","",VLOOKUP(S126,'G-3 Multipliers'!$A$2:$E$130,4,FALSE))</f>
        <v/>
      </c>
      <c r="AK126" s="348" t="str">
        <f t="shared" si="16"/>
        <v/>
      </c>
      <c r="AL126" s="348" t="str">
        <f t="shared" si="17"/>
        <v/>
      </c>
      <c r="AM126" s="607" t="str">
        <f>IFERROR(IF(F126="","",IF(AH126="Check Data","Check Data",VLOOKUP(AL126, 'G-3 Multipliers'!$P$2:$Q$6,2,FALSE))),””)</f>
        <v/>
      </c>
      <c r="AN126" s="81" t="str">
        <f t="shared" si="12"/>
        <v/>
      </c>
      <c r="AO126" s="355"/>
      <c r="AP126" s="356"/>
    </row>
    <row r="127" spans="1:42" x14ac:dyDescent="0.25">
      <c r="A127" s="52" t="str">
        <f>IF(E127="","",IF(ISNA(VLOOKUP($E127,'A-1 Site Habitat Baseline'!$D$1:$O$258,2,FALSE)),"",(VLOOKUP($E127,'A-1 Site Habitat Baseline'!$D$1:$O$258,2,FALSE))))</f>
        <v/>
      </c>
      <c r="B127" s="52" t="str">
        <f>IF(E127="","",IF(ISNA(VLOOKUP($E127,'A-1 Site Habitat Baseline'!$D$1:$O$258,3,FALSE)),"",(VLOOKUP($E127,'A-1 Site Habitat Baseline'!$D$1:$O$258,3,FALSE))))</f>
        <v/>
      </c>
      <c r="C127" s="52" t="str">
        <f>IFERROR(INDEX('G-8 Condition Look up'!$I$4:$I$131,MATCH(S127,'G-8 Condition Look up'!$A$4:$A$131,0)),"")</f>
        <v/>
      </c>
      <c r="E127" s="342" t="str">
        <f>'A-1 Site Habitat Baseline'!AL126</f>
        <v/>
      </c>
      <c r="F127" s="343" t="str">
        <f>IF(E127="","",IF(ISNA(VLOOKUP($E127,'A-1 Site Habitat Baseline'!$D$1:$O$258,4,FALSE)),"",(VLOOKUP($E127,'A-1 Site Habitat Baseline'!$D$1:$O$258,4,FALSE))))</f>
        <v/>
      </c>
      <c r="G127" s="343" t="str">
        <f>IF(E127="","",IF(ISNA(VLOOKUP($E127,'A-1 Site Habitat Baseline'!$D$1:$O$258,5,FALSE)),"",(VLOOKUP($E127,'A-1 Site Habitat Baseline'!$D$1:$O$258,5,FALSE))))</f>
        <v/>
      </c>
      <c r="H127" s="343" t="str">
        <f>IF(E127="","",IF(ISNA(VLOOKUP($E127,'A-1 Site Habitat Baseline'!$D$1:$O$258,6,FALSE)),"",(VLOOKUP($E127,'A-1 Site Habitat Baseline'!$D$1:$O$258,6,FALSE))))</f>
        <v/>
      </c>
      <c r="I127" s="343" t="str">
        <f>IF(E127="","",IF(ISNA(VLOOKUP($E127,'A-1 Site Habitat Baseline'!$D$1:$O$258,7,FALSE)),"",(VLOOKUP($E127,'A-1 Site Habitat Baseline'!$D$1:$O$258,7,FALSE))))</f>
        <v/>
      </c>
      <c r="J127" s="343" t="str">
        <f>IF(E127="","",IF(ISNA(VLOOKUP($E127,'A-1 Site Habitat Baseline'!$D$1:$O$258,8,FALSE)),"",(VLOOKUP($E127,'A-1 Site Habitat Baseline'!$D$1:$O$258,8,FALSE))))</f>
        <v/>
      </c>
      <c r="K127" s="343" t="str">
        <f>IF(E127="","",IF(ISNA(VLOOKUP($E127,'A-1 Site Habitat Baseline'!$D$1:$O$258,9,FALSE)),"",(VLOOKUP($E127,'A-1 Site Habitat Baseline'!$D$1:$O$258,9,FALSE))))</f>
        <v/>
      </c>
      <c r="L127" s="343" t="str">
        <f>IF(E127="","",IF(ISNA(VLOOKUP($E127,'A-1 Site Habitat Baseline'!$D$1:$O$258,11,FALSE)),"",(VLOOKUP($E127,'A-1 Site Habitat Baseline'!$D$1:$O$258,11,FALSE))))</f>
        <v/>
      </c>
      <c r="M127" s="343" t="str">
        <f>IF(E127="","",IF(ISNA(VLOOKUP($E127,'A-1 Site Habitat Baseline'!$D$1:$O$258,12,FALSE)),"",(VLOOKUP($E127,'A-1 Site Habitat Baseline'!$D$1:$O$258,12,FALSE))))</f>
        <v/>
      </c>
      <c r="N127" s="344" t="str">
        <f>IF(E127="","",IF(ISNA(VLOOKUP($E127,'A-1 Site Habitat Baseline'!$D$1:$X$258,14,FALSE)),"",(VLOOKUP($E127,'A-1 Site Habitat Baseline'!$D$1:$X$258,14,FALSE))))</f>
        <v/>
      </c>
      <c r="O127" s="345" t="str">
        <f>IF(E127="","",IF(ISNA(VLOOKUP($E127,'A-1 Site Habitat Baseline'!$D$1:$X$258,16,FALSE)),"",(VLOOKUP($E127,'A-1 Site Habitat Baseline'!$D$1:$X$258,13,FALSE))))</f>
        <v/>
      </c>
      <c r="P127" s="346" t="str">
        <f>IFERROR(INDEX('G-1 All Habitats'!$AG$3:$AG$15,MATCH(Q127,'G-1 All Habitats'!$AF$3:$AF$15,0)),"")</f>
        <v/>
      </c>
      <c r="Q127" s="347"/>
      <c r="R127" s="347"/>
      <c r="S127" s="605" t="str">
        <f>IFERROR(INDEX('G-1 All Habitats'!$B$3:$B$130,MATCH(R127,'G-1 All Habitats'!$A$3:$A$130,0)),"")</f>
        <v/>
      </c>
      <c r="T127" s="77" t="str">
        <f t="shared" si="18"/>
        <v/>
      </c>
      <c r="U127" s="78" t="str">
        <f t="shared" si="13"/>
        <v/>
      </c>
      <c r="V127" s="350" t="str">
        <f t="shared" si="10"/>
        <v/>
      </c>
      <c r="W127" s="343" t="str">
        <f>IF(S127="","",VLOOKUP(S127,'G-1 All Habitats'!$B$2:$M$130,10,FALSE))</f>
        <v/>
      </c>
      <c r="X127" s="343" t="str">
        <f>IFERROR(VLOOKUP(W127,'G-1 All Habitats'!$V$3:$W$7,2,FALSE),"")</f>
        <v/>
      </c>
      <c r="Y127" s="91"/>
      <c r="Z127" s="345" t="str">
        <f>IFERROR(INDEX('G-8 Condition Look up'!$A$3:$H$131,MATCH(S127,'G-8 Condition Look up'!$A$3:$A$131,0),MATCH(Y127,'G-8 Condition Look up'!$A$3:$H$3,0)),"")</f>
        <v/>
      </c>
      <c r="AA127" s="79"/>
      <c r="AB127" s="343" t="str">
        <f>IF(AA127="","",IF(VLOOKUP(AA127,'G-3 Multipliers'!$L$3:$N$6,2,FALSE)=0,"Spatial Data Missing",VLOOKUP(AA127,'G-3 Multipliers'!$L$3:$N$6,2,FALSE)))</f>
        <v/>
      </c>
      <c r="AC127" s="345" t="str">
        <f>IF(AA127="","",IF(VLOOKUP(AA127,'G-3 Multipliers'!$L$3:$N$6,3,FALSE)=0,"Spatial Data Missing",VLOOKUP(AA127,'G-3 Multipliers'!$L$3:$N$6,3,FALSE)))</f>
        <v/>
      </c>
      <c r="AD127" s="351" t="str">
        <f t="shared" si="11"/>
        <v/>
      </c>
      <c r="AE127" s="94"/>
      <c r="AF127" s="94"/>
      <c r="AG127" s="343" t="str">
        <f t="shared" si="14"/>
        <v/>
      </c>
      <c r="AH127" s="591" t="str">
        <f t="shared" si="15"/>
        <v/>
      </c>
      <c r="AI127" s="353" t="str">
        <f>IF(AH127="Check Data","Check Data",IFERROR(VLOOKUP(AH127,'G-4 Temporal multipliers'!$A$4:$C$36,3,FALSE),""))</f>
        <v/>
      </c>
      <c r="AJ127" s="77" t="str">
        <f>IF(S127="","",VLOOKUP(S127,'G-3 Multipliers'!$A$2:$E$130,4,FALSE))</f>
        <v/>
      </c>
      <c r="AK127" s="348" t="str">
        <f t="shared" si="16"/>
        <v/>
      </c>
      <c r="AL127" s="348" t="str">
        <f t="shared" si="17"/>
        <v/>
      </c>
      <c r="AM127" s="607" t="str">
        <f>IFERROR(IF(F127="","",IF(AH127="Check Data","Check Data",VLOOKUP(AL127, 'G-3 Multipliers'!$P$2:$Q$6,2,FALSE))),””)</f>
        <v/>
      </c>
      <c r="AN127" s="81" t="str">
        <f t="shared" si="12"/>
        <v/>
      </c>
      <c r="AO127" s="355"/>
      <c r="AP127" s="356"/>
    </row>
    <row r="128" spans="1:42" x14ac:dyDescent="0.25">
      <c r="A128" s="52" t="str">
        <f>IF(E128="","",IF(ISNA(VLOOKUP($E128,'A-1 Site Habitat Baseline'!$D$1:$O$258,2,FALSE)),"",(VLOOKUP($E128,'A-1 Site Habitat Baseline'!$D$1:$O$258,2,FALSE))))</f>
        <v/>
      </c>
      <c r="B128" s="52" t="str">
        <f>IF(E128="","",IF(ISNA(VLOOKUP($E128,'A-1 Site Habitat Baseline'!$D$1:$O$258,3,FALSE)),"",(VLOOKUP($E128,'A-1 Site Habitat Baseline'!$D$1:$O$258,3,FALSE))))</f>
        <v/>
      </c>
      <c r="C128" s="52" t="str">
        <f>IFERROR(INDEX('G-8 Condition Look up'!$I$4:$I$131,MATCH(S128,'G-8 Condition Look up'!$A$4:$A$131,0)),"")</f>
        <v/>
      </c>
      <c r="E128" s="342" t="str">
        <f>'A-1 Site Habitat Baseline'!AL127</f>
        <v/>
      </c>
      <c r="F128" s="343" t="str">
        <f>IF(E128="","",IF(ISNA(VLOOKUP($E128,'A-1 Site Habitat Baseline'!$D$1:$O$258,4,FALSE)),"",(VLOOKUP($E128,'A-1 Site Habitat Baseline'!$D$1:$O$258,4,FALSE))))</f>
        <v/>
      </c>
      <c r="G128" s="343" t="str">
        <f>IF(E128="","",IF(ISNA(VLOOKUP($E128,'A-1 Site Habitat Baseline'!$D$1:$O$258,5,FALSE)),"",(VLOOKUP($E128,'A-1 Site Habitat Baseline'!$D$1:$O$258,5,FALSE))))</f>
        <v/>
      </c>
      <c r="H128" s="343" t="str">
        <f>IF(E128="","",IF(ISNA(VLOOKUP($E128,'A-1 Site Habitat Baseline'!$D$1:$O$258,6,FALSE)),"",(VLOOKUP($E128,'A-1 Site Habitat Baseline'!$D$1:$O$258,6,FALSE))))</f>
        <v/>
      </c>
      <c r="I128" s="343" t="str">
        <f>IF(E128="","",IF(ISNA(VLOOKUP($E128,'A-1 Site Habitat Baseline'!$D$1:$O$258,7,FALSE)),"",(VLOOKUP($E128,'A-1 Site Habitat Baseline'!$D$1:$O$258,7,FALSE))))</f>
        <v/>
      </c>
      <c r="J128" s="343" t="str">
        <f>IF(E128="","",IF(ISNA(VLOOKUP($E128,'A-1 Site Habitat Baseline'!$D$1:$O$258,8,FALSE)),"",(VLOOKUP($E128,'A-1 Site Habitat Baseline'!$D$1:$O$258,8,FALSE))))</f>
        <v/>
      </c>
      <c r="K128" s="343" t="str">
        <f>IF(E128="","",IF(ISNA(VLOOKUP($E128,'A-1 Site Habitat Baseline'!$D$1:$O$258,9,FALSE)),"",(VLOOKUP($E128,'A-1 Site Habitat Baseline'!$D$1:$O$258,9,FALSE))))</f>
        <v/>
      </c>
      <c r="L128" s="343" t="str">
        <f>IF(E128="","",IF(ISNA(VLOOKUP($E128,'A-1 Site Habitat Baseline'!$D$1:$O$258,11,FALSE)),"",(VLOOKUP($E128,'A-1 Site Habitat Baseline'!$D$1:$O$258,11,FALSE))))</f>
        <v/>
      </c>
      <c r="M128" s="343" t="str">
        <f>IF(E128="","",IF(ISNA(VLOOKUP($E128,'A-1 Site Habitat Baseline'!$D$1:$O$258,12,FALSE)),"",(VLOOKUP($E128,'A-1 Site Habitat Baseline'!$D$1:$O$258,12,FALSE))))</f>
        <v/>
      </c>
      <c r="N128" s="344" t="str">
        <f>IF(E128="","",IF(ISNA(VLOOKUP($E128,'A-1 Site Habitat Baseline'!$D$1:$X$258,14,FALSE)),"",(VLOOKUP($E128,'A-1 Site Habitat Baseline'!$D$1:$X$258,14,FALSE))))</f>
        <v/>
      </c>
      <c r="O128" s="345" t="str">
        <f>IF(E128="","",IF(ISNA(VLOOKUP($E128,'A-1 Site Habitat Baseline'!$D$1:$X$258,16,FALSE)),"",(VLOOKUP($E128,'A-1 Site Habitat Baseline'!$D$1:$X$258,13,FALSE))))</f>
        <v/>
      </c>
      <c r="P128" s="346" t="str">
        <f>IFERROR(INDEX('G-1 All Habitats'!$AG$3:$AG$15,MATCH(Q128,'G-1 All Habitats'!$AF$3:$AF$15,0)),"")</f>
        <v/>
      </c>
      <c r="Q128" s="347"/>
      <c r="R128" s="347"/>
      <c r="S128" s="605" t="str">
        <f>IFERROR(INDEX('G-1 All Habitats'!$B$3:$B$130,MATCH(R128,'G-1 All Habitats'!$A$3:$A$130,0)),"")</f>
        <v/>
      </c>
      <c r="T128" s="77" t="str">
        <f t="shared" si="18"/>
        <v/>
      </c>
      <c r="U128" s="78" t="str">
        <f t="shared" si="13"/>
        <v/>
      </c>
      <c r="V128" s="350" t="str">
        <f t="shared" si="10"/>
        <v/>
      </c>
      <c r="W128" s="343" t="str">
        <f>IF(S128="","",VLOOKUP(S128,'G-1 All Habitats'!$B$2:$M$130,10,FALSE))</f>
        <v/>
      </c>
      <c r="X128" s="343" t="str">
        <f>IFERROR(VLOOKUP(W128,'G-1 All Habitats'!$V$3:$W$7,2,FALSE),"")</f>
        <v/>
      </c>
      <c r="Y128" s="91"/>
      <c r="Z128" s="345" t="str">
        <f>IFERROR(INDEX('G-8 Condition Look up'!$A$3:$H$131,MATCH(S128,'G-8 Condition Look up'!$A$3:$A$131,0),MATCH(Y128,'G-8 Condition Look up'!$A$3:$H$3,0)),"")</f>
        <v/>
      </c>
      <c r="AA128" s="79"/>
      <c r="AB128" s="343" t="str">
        <f>IF(AA128="","",IF(VLOOKUP(AA128,'G-3 Multipliers'!$L$3:$N$6,2,FALSE)=0,"Spatial Data Missing",VLOOKUP(AA128,'G-3 Multipliers'!$L$3:$N$6,2,FALSE)))</f>
        <v/>
      </c>
      <c r="AC128" s="345" t="str">
        <f>IF(AA128="","",IF(VLOOKUP(AA128,'G-3 Multipliers'!$L$3:$N$6,3,FALSE)=0,"Spatial Data Missing",VLOOKUP(AA128,'G-3 Multipliers'!$L$3:$N$6,3,FALSE)))</f>
        <v/>
      </c>
      <c r="AD128" s="351" t="str">
        <f t="shared" si="11"/>
        <v/>
      </c>
      <c r="AE128" s="94"/>
      <c r="AF128" s="94"/>
      <c r="AG128" s="343" t="str">
        <f t="shared" si="14"/>
        <v/>
      </c>
      <c r="AH128" s="591" t="str">
        <f t="shared" si="15"/>
        <v/>
      </c>
      <c r="AI128" s="353" t="str">
        <f>IF(AH128="Check Data","Check Data",IFERROR(VLOOKUP(AH128,'G-4 Temporal multipliers'!$A$4:$C$36,3,FALSE),""))</f>
        <v/>
      </c>
      <c r="AJ128" s="77" t="str">
        <f>IF(S128="","",VLOOKUP(S128,'G-3 Multipliers'!$A$2:$E$130,4,FALSE))</f>
        <v/>
      </c>
      <c r="AK128" s="348" t="str">
        <f t="shared" si="16"/>
        <v/>
      </c>
      <c r="AL128" s="348" t="str">
        <f t="shared" si="17"/>
        <v/>
      </c>
      <c r="AM128" s="607" t="str">
        <f>IFERROR(IF(F128="","",IF(AH128="Check Data","Check Data",VLOOKUP(AL128, 'G-3 Multipliers'!$P$2:$Q$6,2,FALSE))),””)</f>
        <v/>
      </c>
      <c r="AN128" s="81" t="str">
        <f t="shared" si="12"/>
        <v/>
      </c>
      <c r="AO128" s="355"/>
      <c r="AP128" s="356"/>
    </row>
    <row r="129" spans="1:42" x14ac:dyDescent="0.25">
      <c r="A129" s="52" t="str">
        <f>IF(E129="","",IF(ISNA(VLOOKUP($E129,'A-1 Site Habitat Baseline'!$D$1:$O$258,2,FALSE)),"",(VLOOKUP($E129,'A-1 Site Habitat Baseline'!$D$1:$O$258,2,FALSE))))</f>
        <v/>
      </c>
      <c r="B129" s="52" t="str">
        <f>IF(E129="","",IF(ISNA(VLOOKUP($E129,'A-1 Site Habitat Baseline'!$D$1:$O$258,3,FALSE)),"",(VLOOKUP($E129,'A-1 Site Habitat Baseline'!$D$1:$O$258,3,FALSE))))</f>
        <v/>
      </c>
      <c r="C129" s="52" t="str">
        <f>IFERROR(INDEX('G-8 Condition Look up'!$I$4:$I$131,MATCH(S129,'G-8 Condition Look up'!$A$4:$A$131,0)),"")</f>
        <v/>
      </c>
      <c r="E129" s="342" t="str">
        <f>'A-1 Site Habitat Baseline'!AL128</f>
        <v/>
      </c>
      <c r="F129" s="343" t="str">
        <f>IF(E129="","",IF(ISNA(VLOOKUP($E129,'A-1 Site Habitat Baseline'!$D$1:$O$258,4,FALSE)),"",(VLOOKUP($E129,'A-1 Site Habitat Baseline'!$D$1:$O$258,4,FALSE))))</f>
        <v/>
      </c>
      <c r="G129" s="343" t="str">
        <f>IF(E129="","",IF(ISNA(VLOOKUP($E129,'A-1 Site Habitat Baseline'!$D$1:$O$258,5,FALSE)),"",(VLOOKUP($E129,'A-1 Site Habitat Baseline'!$D$1:$O$258,5,FALSE))))</f>
        <v/>
      </c>
      <c r="H129" s="343" t="str">
        <f>IF(E129="","",IF(ISNA(VLOOKUP($E129,'A-1 Site Habitat Baseline'!$D$1:$O$258,6,FALSE)),"",(VLOOKUP($E129,'A-1 Site Habitat Baseline'!$D$1:$O$258,6,FALSE))))</f>
        <v/>
      </c>
      <c r="I129" s="343" t="str">
        <f>IF(E129="","",IF(ISNA(VLOOKUP($E129,'A-1 Site Habitat Baseline'!$D$1:$O$258,7,FALSE)),"",(VLOOKUP($E129,'A-1 Site Habitat Baseline'!$D$1:$O$258,7,FALSE))))</f>
        <v/>
      </c>
      <c r="J129" s="343" t="str">
        <f>IF(E129="","",IF(ISNA(VLOOKUP($E129,'A-1 Site Habitat Baseline'!$D$1:$O$258,8,FALSE)),"",(VLOOKUP($E129,'A-1 Site Habitat Baseline'!$D$1:$O$258,8,FALSE))))</f>
        <v/>
      </c>
      <c r="K129" s="343" t="str">
        <f>IF(E129="","",IF(ISNA(VLOOKUP($E129,'A-1 Site Habitat Baseline'!$D$1:$O$258,9,FALSE)),"",(VLOOKUP($E129,'A-1 Site Habitat Baseline'!$D$1:$O$258,9,FALSE))))</f>
        <v/>
      </c>
      <c r="L129" s="343" t="str">
        <f>IF(E129="","",IF(ISNA(VLOOKUP($E129,'A-1 Site Habitat Baseline'!$D$1:$O$258,11,FALSE)),"",(VLOOKUP($E129,'A-1 Site Habitat Baseline'!$D$1:$O$258,11,FALSE))))</f>
        <v/>
      </c>
      <c r="M129" s="343" t="str">
        <f>IF(E129="","",IF(ISNA(VLOOKUP($E129,'A-1 Site Habitat Baseline'!$D$1:$O$258,12,FALSE)),"",(VLOOKUP($E129,'A-1 Site Habitat Baseline'!$D$1:$O$258,12,FALSE))))</f>
        <v/>
      </c>
      <c r="N129" s="344" t="str">
        <f>IF(E129="","",IF(ISNA(VLOOKUP($E129,'A-1 Site Habitat Baseline'!$D$1:$X$258,14,FALSE)),"",(VLOOKUP($E129,'A-1 Site Habitat Baseline'!$D$1:$X$258,14,FALSE))))</f>
        <v/>
      </c>
      <c r="O129" s="345" t="str">
        <f>IF(E129="","",IF(ISNA(VLOOKUP($E129,'A-1 Site Habitat Baseline'!$D$1:$X$258,16,FALSE)),"",(VLOOKUP($E129,'A-1 Site Habitat Baseline'!$D$1:$X$258,13,FALSE))))</f>
        <v/>
      </c>
      <c r="P129" s="346" t="str">
        <f>IFERROR(INDEX('G-1 All Habitats'!$AG$3:$AG$15,MATCH(Q129,'G-1 All Habitats'!$AF$3:$AF$15,0)),"")</f>
        <v/>
      </c>
      <c r="Q129" s="347"/>
      <c r="R129" s="347"/>
      <c r="S129" s="605" t="str">
        <f>IFERROR(INDEX('G-1 All Habitats'!$B$3:$B$130,MATCH(R129,'G-1 All Habitats'!$A$3:$A$130,0)),"")</f>
        <v/>
      </c>
      <c r="T129" s="77" t="str">
        <f t="shared" si="18"/>
        <v/>
      </c>
      <c r="U129" s="78" t="str">
        <f t="shared" si="13"/>
        <v/>
      </c>
      <c r="V129" s="350" t="str">
        <f t="shared" si="10"/>
        <v/>
      </c>
      <c r="W129" s="343" t="str">
        <f>IF(S129="","",VLOOKUP(S129,'G-1 All Habitats'!$B$2:$M$130,10,FALSE))</f>
        <v/>
      </c>
      <c r="X129" s="343" t="str">
        <f>IFERROR(VLOOKUP(W129,'G-1 All Habitats'!$V$3:$W$7,2,FALSE),"")</f>
        <v/>
      </c>
      <c r="Y129" s="91"/>
      <c r="Z129" s="345" t="str">
        <f>IFERROR(INDEX('G-8 Condition Look up'!$A$3:$H$131,MATCH(S129,'G-8 Condition Look up'!$A$3:$A$131,0),MATCH(Y129,'G-8 Condition Look up'!$A$3:$H$3,0)),"")</f>
        <v/>
      </c>
      <c r="AA129" s="79"/>
      <c r="AB129" s="343" t="str">
        <f>IF(AA129="","",IF(VLOOKUP(AA129,'G-3 Multipliers'!$L$3:$N$6,2,FALSE)=0,"Spatial Data Missing",VLOOKUP(AA129,'G-3 Multipliers'!$L$3:$N$6,2,FALSE)))</f>
        <v/>
      </c>
      <c r="AC129" s="345" t="str">
        <f>IF(AA129="","",IF(VLOOKUP(AA129,'G-3 Multipliers'!$L$3:$N$6,3,FALSE)=0,"Spatial Data Missing",VLOOKUP(AA129,'G-3 Multipliers'!$L$3:$N$6,3,FALSE)))</f>
        <v/>
      </c>
      <c r="AD129" s="351" t="str">
        <f t="shared" si="11"/>
        <v/>
      </c>
      <c r="AE129" s="94"/>
      <c r="AF129" s="94"/>
      <c r="AG129" s="343" t="str">
        <f t="shared" si="14"/>
        <v/>
      </c>
      <c r="AH129" s="591" t="str">
        <f t="shared" si="15"/>
        <v/>
      </c>
      <c r="AI129" s="353" t="str">
        <f>IF(AH129="Check Data","Check Data",IFERROR(VLOOKUP(AH129,'G-4 Temporal multipliers'!$A$4:$C$36,3,FALSE),""))</f>
        <v/>
      </c>
      <c r="AJ129" s="77" t="str">
        <f>IF(S129="","",VLOOKUP(S129,'G-3 Multipliers'!$A$2:$E$130,4,FALSE))</f>
        <v/>
      </c>
      <c r="AK129" s="348" t="str">
        <f t="shared" si="16"/>
        <v/>
      </c>
      <c r="AL129" s="348" t="str">
        <f t="shared" si="17"/>
        <v/>
      </c>
      <c r="AM129" s="607" t="str">
        <f>IFERROR(IF(F129="","",IF(AH129="Check Data","Check Data",VLOOKUP(AL129, 'G-3 Multipliers'!$P$2:$Q$6,2,FALSE))),””)</f>
        <v/>
      </c>
      <c r="AN129" s="81" t="str">
        <f t="shared" si="12"/>
        <v/>
      </c>
      <c r="AO129" s="355"/>
      <c r="AP129" s="356"/>
    </row>
    <row r="130" spans="1:42" x14ac:dyDescent="0.25">
      <c r="A130" s="52" t="str">
        <f>IF(E130="","",IF(ISNA(VLOOKUP($E130,'A-1 Site Habitat Baseline'!$D$1:$O$258,2,FALSE)),"",(VLOOKUP($E130,'A-1 Site Habitat Baseline'!$D$1:$O$258,2,FALSE))))</f>
        <v/>
      </c>
      <c r="B130" s="52" t="str">
        <f>IF(E130="","",IF(ISNA(VLOOKUP($E130,'A-1 Site Habitat Baseline'!$D$1:$O$258,3,FALSE)),"",(VLOOKUP($E130,'A-1 Site Habitat Baseline'!$D$1:$O$258,3,FALSE))))</f>
        <v/>
      </c>
      <c r="C130" s="52" t="str">
        <f>IFERROR(INDEX('G-8 Condition Look up'!$I$4:$I$131,MATCH(S130,'G-8 Condition Look up'!$A$4:$A$131,0)),"")</f>
        <v/>
      </c>
      <c r="E130" s="342" t="str">
        <f>'A-1 Site Habitat Baseline'!AL129</f>
        <v/>
      </c>
      <c r="F130" s="343" t="str">
        <f>IF(E130="","",IF(ISNA(VLOOKUP($E130,'A-1 Site Habitat Baseline'!$D$1:$O$258,4,FALSE)),"",(VLOOKUP($E130,'A-1 Site Habitat Baseline'!$D$1:$O$258,4,FALSE))))</f>
        <v/>
      </c>
      <c r="G130" s="343" t="str">
        <f>IF(E130="","",IF(ISNA(VLOOKUP($E130,'A-1 Site Habitat Baseline'!$D$1:$O$258,5,FALSE)),"",(VLOOKUP($E130,'A-1 Site Habitat Baseline'!$D$1:$O$258,5,FALSE))))</f>
        <v/>
      </c>
      <c r="H130" s="343" t="str">
        <f>IF(E130="","",IF(ISNA(VLOOKUP($E130,'A-1 Site Habitat Baseline'!$D$1:$O$258,6,FALSE)),"",(VLOOKUP($E130,'A-1 Site Habitat Baseline'!$D$1:$O$258,6,FALSE))))</f>
        <v/>
      </c>
      <c r="I130" s="343" t="str">
        <f>IF(E130="","",IF(ISNA(VLOOKUP($E130,'A-1 Site Habitat Baseline'!$D$1:$O$258,7,FALSE)),"",(VLOOKUP($E130,'A-1 Site Habitat Baseline'!$D$1:$O$258,7,FALSE))))</f>
        <v/>
      </c>
      <c r="J130" s="343" t="str">
        <f>IF(E130="","",IF(ISNA(VLOOKUP($E130,'A-1 Site Habitat Baseline'!$D$1:$O$258,8,FALSE)),"",(VLOOKUP($E130,'A-1 Site Habitat Baseline'!$D$1:$O$258,8,FALSE))))</f>
        <v/>
      </c>
      <c r="K130" s="343" t="str">
        <f>IF(E130="","",IF(ISNA(VLOOKUP($E130,'A-1 Site Habitat Baseline'!$D$1:$O$258,9,FALSE)),"",(VLOOKUP($E130,'A-1 Site Habitat Baseline'!$D$1:$O$258,9,FALSE))))</f>
        <v/>
      </c>
      <c r="L130" s="343" t="str">
        <f>IF(E130="","",IF(ISNA(VLOOKUP($E130,'A-1 Site Habitat Baseline'!$D$1:$O$258,11,FALSE)),"",(VLOOKUP($E130,'A-1 Site Habitat Baseline'!$D$1:$O$258,11,FALSE))))</f>
        <v/>
      </c>
      <c r="M130" s="343" t="str">
        <f>IF(E130="","",IF(ISNA(VLOOKUP($E130,'A-1 Site Habitat Baseline'!$D$1:$O$258,12,FALSE)),"",(VLOOKUP($E130,'A-1 Site Habitat Baseline'!$D$1:$O$258,12,FALSE))))</f>
        <v/>
      </c>
      <c r="N130" s="344" t="str">
        <f>IF(E130="","",IF(ISNA(VLOOKUP($E130,'A-1 Site Habitat Baseline'!$D$1:$X$258,14,FALSE)),"",(VLOOKUP($E130,'A-1 Site Habitat Baseline'!$D$1:$X$258,14,FALSE))))</f>
        <v/>
      </c>
      <c r="O130" s="345" t="str">
        <f>IF(E130="","",IF(ISNA(VLOOKUP($E130,'A-1 Site Habitat Baseline'!$D$1:$X$258,16,FALSE)),"",(VLOOKUP($E130,'A-1 Site Habitat Baseline'!$D$1:$X$258,13,FALSE))))</f>
        <v/>
      </c>
      <c r="P130" s="346" t="str">
        <f>IFERROR(INDEX('G-1 All Habitats'!$AG$3:$AG$15,MATCH(Q130,'G-1 All Habitats'!$AF$3:$AF$15,0)),"")</f>
        <v/>
      </c>
      <c r="Q130" s="347"/>
      <c r="R130" s="347"/>
      <c r="S130" s="605" t="str">
        <f>IFERROR(INDEX('G-1 All Habitats'!$B$3:$B$130,MATCH(R130,'G-1 All Habitats'!$A$3:$A$130,0)),"")</f>
        <v/>
      </c>
      <c r="T130" s="77" t="str">
        <f t="shared" si="18"/>
        <v/>
      </c>
      <c r="U130" s="78" t="str">
        <f t="shared" si="13"/>
        <v/>
      </c>
      <c r="V130" s="350" t="str">
        <f t="shared" si="10"/>
        <v/>
      </c>
      <c r="W130" s="343" t="str">
        <f>IF(S130="","",VLOOKUP(S130,'G-1 All Habitats'!$B$2:$M$130,10,FALSE))</f>
        <v/>
      </c>
      <c r="X130" s="343" t="str">
        <f>IFERROR(VLOOKUP(W130,'G-1 All Habitats'!$V$3:$W$7,2,FALSE),"")</f>
        <v/>
      </c>
      <c r="Y130" s="91"/>
      <c r="Z130" s="345" t="str">
        <f>IFERROR(INDEX('G-8 Condition Look up'!$A$3:$H$131,MATCH(S130,'G-8 Condition Look up'!$A$3:$A$131,0),MATCH(Y130,'G-8 Condition Look up'!$A$3:$H$3,0)),"")</f>
        <v/>
      </c>
      <c r="AA130" s="79"/>
      <c r="AB130" s="343" t="str">
        <f>IF(AA130="","",IF(VLOOKUP(AA130,'G-3 Multipliers'!$L$3:$N$6,2,FALSE)=0,"Spatial Data Missing",VLOOKUP(AA130,'G-3 Multipliers'!$L$3:$N$6,2,FALSE)))</f>
        <v/>
      </c>
      <c r="AC130" s="345" t="str">
        <f>IF(AA130="","",IF(VLOOKUP(AA130,'G-3 Multipliers'!$L$3:$N$6,3,FALSE)=0,"Spatial Data Missing",VLOOKUP(AA130,'G-3 Multipliers'!$L$3:$N$6,3,FALSE)))</f>
        <v/>
      </c>
      <c r="AD130" s="351" t="str">
        <f t="shared" si="11"/>
        <v/>
      </c>
      <c r="AE130" s="94"/>
      <c r="AF130" s="94"/>
      <c r="AG130" s="343" t="str">
        <f t="shared" si="14"/>
        <v/>
      </c>
      <c r="AH130" s="591" t="str">
        <f t="shared" si="15"/>
        <v/>
      </c>
      <c r="AI130" s="353" t="str">
        <f>IF(AH130="Check Data","Check Data",IFERROR(VLOOKUP(AH130,'G-4 Temporal multipliers'!$A$4:$C$36,3,FALSE),""))</f>
        <v/>
      </c>
      <c r="AJ130" s="77" t="str">
        <f>IF(S130="","",VLOOKUP(S130,'G-3 Multipliers'!$A$2:$E$130,4,FALSE))</f>
        <v/>
      </c>
      <c r="AK130" s="348" t="str">
        <f t="shared" si="16"/>
        <v/>
      </c>
      <c r="AL130" s="348" t="str">
        <f t="shared" si="17"/>
        <v/>
      </c>
      <c r="AM130" s="607" t="str">
        <f>IFERROR(IF(F130="","",IF(AH130="Check Data","Check Data",VLOOKUP(AL130, 'G-3 Multipliers'!$P$2:$Q$6,2,FALSE))),””)</f>
        <v/>
      </c>
      <c r="AN130" s="81" t="str">
        <f t="shared" si="12"/>
        <v/>
      </c>
      <c r="AO130" s="355"/>
      <c r="AP130" s="356"/>
    </row>
    <row r="131" spans="1:42" x14ac:dyDescent="0.25">
      <c r="A131" s="52" t="str">
        <f>IF(E131="","",IF(ISNA(VLOOKUP($E131,'A-1 Site Habitat Baseline'!$D$1:$O$258,2,FALSE)),"",(VLOOKUP($E131,'A-1 Site Habitat Baseline'!$D$1:$O$258,2,FALSE))))</f>
        <v/>
      </c>
      <c r="B131" s="52" t="str">
        <f>IF(E131="","",IF(ISNA(VLOOKUP($E131,'A-1 Site Habitat Baseline'!$D$1:$O$258,3,FALSE)),"",(VLOOKUP($E131,'A-1 Site Habitat Baseline'!$D$1:$O$258,3,FALSE))))</f>
        <v/>
      </c>
      <c r="C131" s="52" t="str">
        <f>IFERROR(INDEX('G-8 Condition Look up'!$I$4:$I$131,MATCH(S131,'G-8 Condition Look up'!$A$4:$A$131,0)),"")</f>
        <v/>
      </c>
      <c r="E131" s="342" t="str">
        <f>'A-1 Site Habitat Baseline'!AL130</f>
        <v/>
      </c>
      <c r="F131" s="343" t="str">
        <f>IF(E131="","",IF(ISNA(VLOOKUP($E131,'A-1 Site Habitat Baseline'!$D$1:$O$258,4,FALSE)),"",(VLOOKUP($E131,'A-1 Site Habitat Baseline'!$D$1:$O$258,4,FALSE))))</f>
        <v/>
      </c>
      <c r="G131" s="343" t="str">
        <f>IF(E131="","",IF(ISNA(VLOOKUP($E131,'A-1 Site Habitat Baseline'!$D$1:$O$258,5,FALSE)),"",(VLOOKUP($E131,'A-1 Site Habitat Baseline'!$D$1:$O$258,5,FALSE))))</f>
        <v/>
      </c>
      <c r="H131" s="343" t="str">
        <f>IF(E131="","",IF(ISNA(VLOOKUP($E131,'A-1 Site Habitat Baseline'!$D$1:$O$258,6,FALSE)),"",(VLOOKUP($E131,'A-1 Site Habitat Baseline'!$D$1:$O$258,6,FALSE))))</f>
        <v/>
      </c>
      <c r="I131" s="343" t="str">
        <f>IF(E131="","",IF(ISNA(VLOOKUP($E131,'A-1 Site Habitat Baseline'!$D$1:$O$258,7,FALSE)),"",(VLOOKUP($E131,'A-1 Site Habitat Baseline'!$D$1:$O$258,7,FALSE))))</f>
        <v/>
      </c>
      <c r="J131" s="343" t="str">
        <f>IF(E131="","",IF(ISNA(VLOOKUP($E131,'A-1 Site Habitat Baseline'!$D$1:$O$258,8,FALSE)),"",(VLOOKUP($E131,'A-1 Site Habitat Baseline'!$D$1:$O$258,8,FALSE))))</f>
        <v/>
      </c>
      <c r="K131" s="343" t="str">
        <f>IF(E131="","",IF(ISNA(VLOOKUP($E131,'A-1 Site Habitat Baseline'!$D$1:$O$258,9,FALSE)),"",(VLOOKUP($E131,'A-1 Site Habitat Baseline'!$D$1:$O$258,9,FALSE))))</f>
        <v/>
      </c>
      <c r="L131" s="343" t="str">
        <f>IF(E131="","",IF(ISNA(VLOOKUP($E131,'A-1 Site Habitat Baseline'!$D$1:$O$258,11,FALSE)),"",(VLOOKUP($E131,'A-1 Site Habitat Baseline'!$D$1:$O$258,11,FALSE))))</f>
        <v/>
      </c>
      <c r="M131" s="343" t="str">
        <f>IF(E131="","",IF(ISNA(VLOOKUP($E131,'A-1 Site Habitat Baseline'!$D$1:$O$258,12,FALSE)),"",(VLOOKUP($E131,'A-1 Site Habitat Baseline'!$D$1:$O$258,12,FALSE))))</f>
        <v/>
      </c>
      <c r="N131" s="344" t="str">
        <f>IF(E131="","",IF(ISNA(VLOOKUP($E131,'A-1 Site Habitat Baseline'!$D$1:$X$258,14,FALSE)),"",(VLOOKUP($E131,'A-1 Site Habitat Baseline'!$D$1:$X$258,14,FALSE))))</f>
        <v/>
      </c>
      <c r="O131" s="345" t="str">
        <f>IF(E131="","",IF(ISNA(VLOOKUP($E131,'A-1 Site Habitat Baseline'!$D$1:$X$258,16,FALSE)),"",(VLOOKUP($E131,'A-1 Site Habitat Baseline'!$D$1:$X$258,13,FALSE))))</f>
        <v/>
      </c>
      <c r="P131" s="346" t="str">
        <f>IFERROR(INDEX('G-1 All Habitats'!$AG$3:$AG$15,MATCH(Q131,'G-1 All Habitats'!$AF$3:$AF$15,0)),"")</f>
        <v/>
      </c>
      <c r="Q131" s="347"/>
      <c r="R131" s="347"/>
      <c r="S131" s="605" t="str">
        <f>IFERROR(INDEX('G-1 All Habitats'!$B$3:$B$130,MATCH(R131,'G-1 All Habitats'!$A$3:$A$130,0)),"")</f>
        <v/>
      </c>
      <c r="T131" s="77" t="str">
        <f t="shared" si="18"/>
        <v/>
      </c>
      <c r="U131" s="78" t="str">
        <f t="shared" si="13"/>
        <v/>
      </c>
      <c r="V131" s="350" t="str">
        <f t="shared" si="10"/>
        <v/>
      </c>
      <c r="W131" s="343" t="str">
        <f>IF(S131="","",VLOOKUP(S131,'G-1 All Habitats'!$B$2:$M$130,10,FALSE))</f>
        <v/>
      </c>
      <c r="X131" s="343" t="str">
        <f>IFERROR(VLOOKUP(W131,'G-1 All Habitats'!$V$3:$W$7,2,FALSE),"")</f>
        <v/>
      </c>
      <c r="Y131" s="91"/>
      <c r="Z131" s="345" t="str">
        <f>IFERROR(INDEX('G-8 Condition Look up'!$A$3:$H$131,MATCH(S131,'G-8 Condition Look up'!$A$3:$A$131,0),MATCH(Y131,'G-8 Condition Look up'!$A$3:$H$3,0)),"")</f>
        <v/>
      </c>
      <c r="AA131" s="79"/>
      <c r="AB131" s="343" t="str">
        <f>IF(AA131="","",IF(VLOOKUP(AA131,'G-3 Multipliers'!$L$3:$N$6,2,FALSE)=0,"Spatial Data Missing",VLOOKUP(AA131,'G-3 Multipliers'!$L$3:$N$6,2,FALSE)))</f>
        <v/>
      </c>
      <c r="AC131" s="345" t="str">
        <f>IF(AA131="","",IF(VLOOKUP(AA131,'G-3 Multipliers'!$L$3:$N$6,3,FALSE)=0,"Spatial Data Missing",VLOOKUP(AA131,'G-3 Multipliers'!$L$3:$N$6,3,FALSE)))</f>
        <v/>
      </c>
      <c r="AD131" s="351" t="str">
        <f t="shared" si="11"/>
        <v/>
      </c>
      <c r="AE131" s="94"/>
      <c r="AF131" s="94"/>
      <c r="AG131" s="343" t="str">
        <f t="shared" si="14"/>
        <v/>
      </c>
      <c r="AH131" s="591" t="str">
        <f t="shared" si="15"/>
        <v/>
      </c>
      <c r="AI131" s="353" t="str">
        <f>IF(AH131="Check Data","Check Data",IFERROR(VLOOKUP(AH131,'G-4 Temporal multipliers'!$A$4:$C$36,3,FALSE),""))</f>
        <v/>
      </c>
      <c r="AJ131" s="77" t="str">
        <f>IF(S131="","",VLOOKUP(S131,'G-3 Multipliers'!$A$2:$E$130,4,FALSE))</f>
        <v/>
      </c>
      <c r="AK131" s="348" t="str">
        <f t="shared" si="16"/>
        <v/>
      </c>
      <c r="AL131" s="348" t="str">
        <f t="shared" si="17"/>
        <v/>
      </c>
      <c r="AM131" s="607" t="str">
        <f>IFERROR(IF(F131="","",IF(AH131="Check Data","Check Data",VLOOKUP(AL131, 'G-3 Multipliers'!$P$2:$Q$6,2,FALSE))),””)</f>
        <v/>
      </c>
      <c r="AN131" s="81" t="str">
        <f t="shared" si="12"/>
        <v/>
      </c>
      <c r="AO131" s="355"/>
      <c r="AP131" s="356"/>
    </row>
    <row r="132" spans="1:42" x14ac:dyDescent="0.25">
      <c r="A132" s="52" t="str">
        <f>IF(E132="","",IF(ISNA(VLOOKUP($E132,'A-1 Site Habitat Baseline'!$D$1:$O$258,2,FALSE)),"",(VLOOKUP($E132,'A-1 Site Habitat Baseline'!$D$1:$O$258,2,FALSE))))</f>
        <v/>
      </c>
      <c r="B132" s="52" t="str">
        <f>IF(E132="","",IF(ISNA(VLOOKUP($E132,'A-1 Site Habitat Baseline'!$D$1:$O$258,3,FALSE)),"",(VLOOKUP($E132,'A-1 Site Habitat Baseline'!$D$1:$O$258,3,FALSE))))</f>
        <v/>
      </c>
      <c r="C132" s="52" t="str">
        <f>IFERROR(INDEX('G-8 Condition Look up'!$I$4:$I$131,MATCH(S132,'G-8 Condition Look up'!$A$4:$A$131,0)),"")</f>
        <v/>
      </c>
      <c r="E132" s="342" t="str">
        <f>'A-1 Site Habitat Baseline'!AL131</f>
        <v/>
      </c>
      <c r="F132" s="343" t="str">
        <f>IF(E132="","",IF(ISNA(VLOOKUP($E132,'A-1 Site Habitat Baseline'!$D$1:$O$258,4,FALSE)),"",(VLOOKUP($E132,'A-1 Site Habitat Baseline'!$D$1:$O$258,4,FALSE))))</f>
        <v/>
      </c>
      <c r="G132" s="343" t="str">
        <f>IF(E132="","",IF(ISNA(VLOOKUP($E132,'A-1 Site Habitat Baseline'!$D$1:$O$258,5,FALSE)),"",(VLOOKUP($E132,'A-1 Site Habitat Baseline'!$D$1:$O$258,5,FALSE))))</f>
        <v/>
      </c>
      <c r="H132" s="343" t="str">
        <f>IF(E132="","",IF(ISNA(VLOOKUP($E132,'A-1 Site Habitat Baseline'!$D$1:$O$258,6,FALSE)),"",(VLOOKUP($E132,'A-1 Site Habitat Baseline'!$D$1:$O$258,6,FALSE))))</f>
        <v/>
      </c>
      <c r="I132" s="343" t="str">
        <f>IF(E132="","",IF(ISNA(VLOOKUP($E132,'A-1 Site Habitat Baseline'!$D$1:$O$258,7,FALSE)),"",(VLOOKUP($E132,'A-1 Site Habitat Baseline'!$D$1:$O$258,7,FALSE))))</f>
        <v/>
      </c>
      <c r="J132" s="343" t="str">
        <f>IF(E132="","",IF(ISNA(VLOOKUP($E132,'A-1 Site Habitat Baseline'!$D$1:$O$258,8,FALSE)),"",(VLOOKUP($E132,'A-1 Site Habitat Baseline'!$D$1:$O$258,8,FALSE))))</f>
        <v/>
      </c>
      <c r="K132" s="343" t="str">
        <f>IF(E132="","",IF(ISNA(VLOOKUP($E132,'A-1 Site Habitat Baseline'!$D$1:$O$258,9,FALSE)),"",(VLOOKUP($E132,'A-1 Site Habitat Baseline'!$D$1:$O$258,9,FALSE))))</f>
        <v/>
      </c>
      <c r="L132" s="343" t="str">
        <f>IF(E132="","",IF(ISNA(VLOOKUP($E132,'A-1 Site Habitat Baseline'!$D$1:$O$258,11,FALSE)),"",(VLOOKUP($E132,'A-1 Site Habitat Baseline'!$D$1:$O$258,11,FALSE))))</f>
        <v/>
      </c>
      <c r="M132" s="343" t="str">
        <f>IF(E132="","",IF(ISNA(VLOOKUP($E132,'A-1 Site Habitat Baseline'!$D$1:$O$258,12,FALSE)),"",(VLOOKUP($E132,'A-1 Site Habitat Baseline'!$D$1:$O$258,12,FALSE))))</f>
        <v/>
      </c>
      <c r="N132" s="344" t="str">
        <f>IF(E132="","",IF(ISNA(VLOOKUP($E132,'A-1 Site Habitat Baseline'!$D$1:$X$258,14,FALSE)),"",(VLOOKUP($E132,'A-1 Site Habitat Baseline'!$D$1:$X$258,14,FALSE))))</f>
        <v/>
      </c>
      <c r="O132" s="345" t="str">
        <f>IF(E132="","",IF(ISNA(VLOOKUP($E132,'A-1 Site Habitat Baseline'!$D$1:$X$258,16,FALSE)),"",(VLOOKUP($E132,'A-1 Site Habitat Baseline'!$D$1:$X$258,13,FALSE))))</f>
        <v/>
      </c>
      <c r="P132" s="346" t="str">
        <f>IFERROR(INDEX('G-1 All Habitats'!$AG$3:$AG$15,MATCH(Q132,'G-1 All Habitats'!$AF$3:$AF$15,0)),"")</f>
        <v/>
      </c>
      <c r="Q132" s="347"/>
      <c r="R132" s="347"/>
      <c r="S132" s="605" t="str">
        <f>IFERROR(INDEX('G-1 All Habitats'!$B$3:$B$130,MATCH(R132,'G-1 All Habitats'!$A$3:$A$130,0)),"")</f>
        <v/>
      </c>
      <c r="T132" s="77" t="str">
        <f t="shared" si="18"/>
        <v/>
      </c>
      <c r="U132" s="78" t="str">
        <f t="shared" si="13"/>
        <v/>
      </c>
      <c r="V132" s="350" t="str">
        <f t="shared" si="10"/>
        <v/>
      </c>
      <c r="W132" s="343" t="str">
        <f>IF(S132="","",VLOOKUP(S132,'G-1 All Habitats'!$B$2:$M$130,10,FALSE))</f>
        <v/>
      </c>
      <c r="X132" s="343" t="str">
        <f>IFERROR(VLOOKUP(W132,'G-1 All Habitats'!$V$3:$W$7,2,FALSE),"")</f>
        <v/>
      </c>
      <c r="Y132" s="91"/>
      <c r="Z132" s="345" t="str">
        <f>IFERROR(INDEX('G-8 Condition Look up'!$A$3:$H$131,MATCH(S132,'G-8 Condition Look up'!$A$3:$A$131,0),MATCH(Y132,'G-8 Condition Look up'!$A$3:$H$3,0)),"")</f>
        <v/>
      </c>
      <c r="AA132" s="79"/>
      <c r="AB132" s="343" t="str">
        <f>IF(AA132="","",IF(VLOOKUP(AA132,'G-3 Multipliers'!$L$3:$N$6,2,FALSE)=0,"Spatial Data Missing",VLOOKUP(AA132,'G-3 Multipliers'!$L$3:$N$6,2,FALSE)))</f>
        <v/>
      </c>
      <c r="AC132" s="345" t="str">
        <f>IF(AA132="","",IF(VLOOKUP(AA132,'G-3 Multipliers'!$L$3:$N$6,3,FALSE)=0,"Spatial Data Missing",VLOOKUP(AA132,'G-3 Multipliers'!$L$3:$N$6,3,FALSE)))</f>
        <v/>
      </c>
      <c r="AD132" s="351" t="str">
        <f t="shared" si="11"/>
        <v/>
      </c>
      <c r="AE132" s="94"/>
      <c r="AF132" s="94"/>
      <c r="AG132" s="343" t="str">
        <f t="shared" si="14"/>
        <v/>
      </c>
      <c r="AH132" s="591" t="str">
        <f t="shared" si="15"/>
        <v/>
      </c>
      <c r="AI132" s="353" t="str">
        <f>IF(AH132="Check Data","Check Data",IFERROR(VLOOKUP(AH132,'G-4 Temporal multipliers'!$A$4:$C$36,3,FALSE),""))</f>
        <v/>
      </c>
      <c r="AJ132" s="77" t="str">
        <f>IF(S132="","",VLOOKUP(S132,'G-3 Multipliers'!$A$2:$E$130,4,FALSE))</f>
        <v/>
      </c>
      <c r="AK132" s="348" t="str">
        <f t="shared" si="16"/>
        <v/>
      </c>
      <c r="AL132" s="348" t="str">
        <f t="shared" si="17"/>
        <v/>
      </c>
      <c r="AM132" s="607" t="str">
        <f>IFERROR(IF(F132="","",IF(AH132="Check Data","Check Data",VLOOKUP(AL132, 'G-3 Multipliers'!$P$2:$Q$6,2,FALSE))),””)</f>
        <v/>
      </c>
      <c r="AN132" s="81" t="str">
        <f t="shared" si="12"/>
        <v/>
      </c>
      <c r="AO132" s="355"/>
      <c r="AP132" s="356"/>
    </row>
    <row r="133" spans="1:42" x14ac:dyDescent="0.25">
      <c r="A133" s="52" t="str">
        <f>IF(E133="","",IF(ISNA(VLOOKUP($E133,'A-1 Site Habitat Baseline'!$D$1:$O$258,2,FALSE)),"",(VLOOKUP($E133,'A-1 Site Habitat Baseline'!$D$1:$O$258,2,FALSE))))</f>
        <v/>
      </c>
      <c r="B133" s="52" t="str">
        <f>IF(E133="","",IF(ISNA(VLOOKUP($E133,'A-1 Site Habitat Baseline'!$D$1:$O$258,3,FALSE)),"",(VLOOKUP($E133,'A-1 Site Habitat Baseline'!$D$1:$O$258,3,FALSE))))</f>
        <v/>
      </c>
      <c r="C133" s="52" t="str">
        <f>IFERROR(INDEX('G-8 Condition Look up'!$I$4:$I$131,MATCH(S133,'G-8 Condition Look up'!$A$4:$A$131,0)),"")</f>
        <v/>
      </c>
      <c r="E133" s="342" t="str">
        <f>'A-1 Site Habitat Baseline'!AL132</f>
        <v/>
      </c>
      <c r="F133" s="343" t="str">
        <f>IF(E133="","",IF(ISNA(VLOOKUP($E133,'A-1 Site Habitat Baseline'!$D$1:$O$258,4,FALSE)),"",(VLOOKUP($E133,'A-1 Site Habitat Baseline'!$D$1:$O$258,4,FALSE))))</f>
        <v/>
      </c>
      <c r="G133" s="343" t="str">
        <f>IF(E133="","",IF(ISNA(VLOOKUP($E133,'A-1 Site Habitat Baseline'!$D$1:$O$258,5,FALSE)),"",(VLOOKUP($E133,'A-1 Site Habitat Baseline'!$D$1:$O$258,5,FALSE))))</f>
        <v/>
      </c>
      <c r="H133" s="343" t="str">
        <f>IF(E133="","",IF(ISNA(VLOOKUP($E133,'A-1 Site Habitat Baseline'!$D$1:$O$258,6,FALSE)),"",(VLOOKUP($E133,'A-1 Site Habitat Baseline'!$D$1:$O$258,6,FALSE))))</f>
        <v/>
      </c>
      <c r="I133" s="343" t="str">
        <f>IF(E133="","",IF(ISNA(VLOOKUP($E133,'A-1 Site Habitat Baseline'!$D$1:$O$258,7,FALSE)),"",(VLOOKUP($E133,'A-1 Site Habitat Baseline'!$D$1:$O$258,7,FALSE))))</f>
        <v/>
      </c>
      <c r="J133" s="343" t="str">
        <f>IF(E133="","",IF(ISNA(VLOOKUP($E133,'A-1 Site Habitat Baseline'!$D$1:$O$258,8,FALSE)),"",(VLOOKUP($E133,'A-1 Site Habitat Baseline'!$D$1:$O$258,8,FALSE))))</f>
        <v/>
      </c>
      <c r="K133" s="343" t="str">
        <f>IF(E133="","",IF(ISNA(VLOOKUP($E133,'A-1 Site Habitat Baseline'!$D$1:$O$258,9,FALSE)),"",(VLOOKUP($E133,'A-1 Site Habitat Baseline'!$D$1:$O$258,9,FALSE))))</f>
        <v/>
      </c>
      <c r="L133" s="343" t="str">
        <f>IF(E133="","",IF(ISNA(VLOOKUP($E133,'A-1 Site Habitat Baseline'!$D$1:$O$258,11,FALSE)),"",(VLOOKUP($E133,'A-1 Site Habitat Baseline'!$D$1:$O$258,11,FALSE))))</f>
        <v/>
      </c>
      <c r="M133" s="343" t="str">
        <f>IF(E133="","",IF(ISNA(VLOOKUP($E133,'A-1 Site Habitat Baseline'!$D$1:$O$258,12,FALSE)),"",(VLOOKUP($E133,'A-1 Site Habitat Baseline'!$D$1:$O$258,12,FALSE))))</f>
        <v/>
      </c>
      <c r="N133" s="344" t="str">
        <f>IF(E133="","",IF(ISNA(VLOOKUP($E133,'A-1 Site Habitat Baseline'!$D$1:$X$258,14,FALSE)),"",(VLOOKUP($E133,'A-1 Site Habitat Baseline'!$D$1:$X$258,14,FALSE))))</f>
        <v/>
      </c>
      <c r="O133" s="345" t="str">
        <f>IF(E133="","",IF(ISNA(VLOOKUP($E133,'A-1 Site Habitat Baseline'!$D$1:$X$258,16,FALSE)),"",(VLOOKUP($E133,'A-1 Site Habitat Baseline'!$D$1:$X$258,13,FALSE))))</f>
        <v/>
      </c>
      <c r="P133" s="346" t="str">
        <f>IFERROR(INDEX('G-1 All Habitats'!$AG$3:$AG$15,MATCH(Q133,'G-1 All Habitats'!$AF$3:$AF$15,0)),"")</f>
        <v/>
      </c>
      <c r="Q133" s="347"/>
      <c r="R133" s="347"/>
      <c r="S133" s="605" t="str">
        <f>IFERROR(INDEX('G-1 All Habitats'!$B$3:$B$130,MATCH(R133,'G-1 All Habitats'!$A$3:$A$130,0)),"")</f>
        <v/>
      </c>
      <c r="T133" s="77" t="str">
        <f t="shared" si="18"/>
        <v/>
      </c>
      <c r="U133" s="78" t="str">
        <f t="shared" si="13"/>
        <v/>
      </c>
      <c r="V133" s="350" t="str">
        <f t="shared" si="10"/>
        <v/>
      </c>
      <c r="W133" s="343" t="str">
        <f>IF(S133="","",VLOOKUP(S133,'G-1 All Habitats'!$B$2:$M$130,10,FALSE))</f>
        <v/>
      </c>
      <c r="X133" s="343" t="str">
        <f>IFERROR(VLOOKUP(W133,'G-1 All Habitats'!$V$3:$W$7,2,FALSE),"")</f>
        <v/>
      </c>
      <c r="Y133" s="91"/>
      <c r="Z133" s="345" t="str">
        <f>IFERROR(INDEX('G-8 Condition Look up'!$A$3:$H$131,MATCH(S133,'G-8 Condition Look up'!$A$3:$A$131,0),MATCH(Y133,'G-8 Condition Look up'!$A$3:$H$3,0)),"")</f>
        <v/>
      </c>
      <c r="AA133" s="79"/>
      <c r="AB133" s="343" t="str">
        <f>IF(AA133="","",IF(VLOOKUP(AA133,'G-3 Multipliers'!$L$3:$N$6,2,FALSE)=0,"Spatial Data Missing",VLOOKUP(AA133,'G-3 Multipliers'!$L$3:$N$6,2,FALSE)))</f>
        <v/>
      </c>
      <c r="AC133" s="345" t="str">
        <f>IF(AA133="","",IF(VLOOKUP(AA133,'G-3 Multipliers'!$L$3:$N$6,3,FALSE)=0,"Spatial Data Missing",VLOOKUP(AA133,'G-3 Multipliers'!$L$3:$N$6,3,FALSE)))</f>
        <v/>
      </c>
      <c r="AD133" s="351" t="str">
        <f t="shared" si="11"/>
        <v/>
      </c>
      <c r="AE133" s="94"/>
      <c r="AF133" s="94"/>
      <c r="AG133" s="343" t="str">
        <f t="shared" si="14"/>
        <v/>
      </c>
      <c r="AH133" s="591" t="str">
        <f t="shared" si="15"/>
        <v/>
      </c>
      <c r="AI133" s="353" t="str">
        <f>IF(AH133="Check Data","Check Data",IFERROR(VLOOKUP(AH133,'G-4 Temporal multipliers'!$A$4:$C$36,3,FALSE),""))</f>
        <v/>
      </c>
      <c r="AJ133" s="77" t="str">
        <f>IF(S133="","",VLOOKUP(S133,'G-3 Multipliers'!$A$2:$E$130,4,FALSE))</f>
        <v/>
      </c>
      <c r="AK133" s="348" t="str">
        <f t="shared" si="16"/>
        <v/>
      </c>
      <c r="AL133" s="348" t="str">
        <f t="shared" si="17"/>
        <v/>
      </c>
      <c r="AM133" s="607" t="str">
        <f>IFERROR(IF(F133="","",IF(AH133="Check Data","Check Data",VLOOKUP(AL133, 'G-3 Multipliers'!$P$2:$Q$6,2,FALSE))),””)</f>
        <v/>
      </c>
      <c r="AN133" s="81" t="str">
        <f t="shared" si="12"/>
        <v/>
      </c>
      <c r="AO133" s="355"/>
      <c r="AP133" s="356"/>
    </row>
    <row r="134" spans="1:42" x14ac:dyDescent="0.25">
      <c r="A134" s="52" t="str">
        <f>IF(E134="","",IF(ISNA(VLOOKUP($E134,'A-1 Site Habitat Baseline'!$D$1:$O$258,2,FALSE)),"",(VLOOKUP($E134,'A-1 Site Habitat Baseline'!$D$1:$O$258,2,FALSE))))</f>
        <v/>
      </c>
      <c r="B134" s="52" t="str">
        <f>IF(E134="","",IF(ISNA(VLOOKUP($E134,'A-1 Site Habitat Baseline'!$D$1:$O$258,3,FALSE)),"",(VLOOKUP($E134,'A-1 Site Habitat Baseline'!$D$1:$O$258,3,FALSE))))</f>
        <v/>
      </c>
      <c r="C134" s="52" t="str">
        <f>IFERROR(INDEX('G-8 Condition Look up'!$I$4:$I$131,MATCH(S134,'G-8 Condition Look up'!$A$4:$A$131,0)),"")</f>
        <v/>
      </c>
      <c r="E134" s="342" t="str">
        <f>'A-1 Site Habitat Baseline'!AL133</f>
        <v/>
      </c>
      <c r="F134" s="343" t="str">
        <f>IF(E134="","",IF(ISNA(VLOOKUP($E134,'A-1 Site Habitat Baseline'!$D$1:$O$258,4,FALSE)),"",(VLOOKUP($E134,'A-1 Site Habitat Baseline'!$D$1:$O$258,4,FALSE))))</f>
        <v/>
      </c>
      <c r="G134" s="343" t="str">
        <f>IF(E134="","",IF(ISNA(VLOOKUP($E134,'A-1 Site Habitat Baseline'!$D$1:$O$258,5,FALSE)),"",(VLOOKUP($E134,'A-1 Site Habitat Baseline'!$D$1:$O$258,5,FALSE))))</f>
        <v/>
      </c>
      <c r="H134" s="343" t="str">
        <f>IF(E134="","",IF(ISNA(VLOOKUP($E134,'A-1 Site Habitat Baseline'!$D$1:$O$258,6,FALSE)),"",(VLOOKUP($E134,'A-1 Site Habitat Baseline'!$D$1:$O$258,6,FALSE))))</f>
        <v/>
      </c>
      <c r="I134" s="343" t="str">
        <f>IF(E134="","",IF(ISNA(VLOOKUP($E134,'A-1 Site Habitat Baseline'!$D$1:$O$258,7,FALSE)),"",(VLOOKUP($E134,'A-1 Site Habitat Baseline'!$D$1:$O$258,7,FALSE))))</f>
        <v/>
      </c>
      <c r="J134" s="343" t="str">
        <f>IF(E134="","",IF(ISNA(VLOOKUP($E134,'A-1 Site Habitat Baseline'!$D$1:$O$258,8,FALSE)),"",(VLOOKUP($E134,'A-1 Site Habitat Baseline'!$D$1:$O$258,8,FALSE))))</f>
        <v/>
      </c>
      <c r="K134" s="343" t="str">
        <f>IF(E134="","",IF(ISNA(VLOOKUP($E134,'A-1 Site Habitat Baseline'!$D$1:$O$258,9,FALSE)),"",(VLOOKUP($E134,'A-1 Site Habitat Baseline'!$D$1:$O$258,9,FALSE))))</f>
        <v/>
      </c>
      <c r="L134" s="343" t="str">
        <f>IF(E134="","",IF(ISNA(VLOOKUP($E134,'A-1 Site Habitat Baseline'!$D$1:$O$258,11,FALSE)),"",(VLOOKUP($E134,'A-1 Site Habitat Baseline'!$D$1:$O$258,11,FALSE))))</f>
        <v/>
      </c>
      <c r="M134" s="343" t="str">
        <f>IF(E134="","",IF(ISNA(VLOOKUP($E134,'A-1 Site Habitat Baseline'!$D$1:$O$258,12,FALSE)),"",(VLOOKUP($E134,'A-1 Site Habitat Baseline'!$D$1:$O$258,12,FALSE))))</f>
        <v/>
      </c>
      <c r="N134" s="344" t="str">
        <f>IF(E134="","",IF(ISNA(VLOOKUP($E134,'A-1 Site Habitat Baseline'!$D$1:$X$258,14,FALSE)),"",(VLOOKUP($E134,'A-1 Site Habitat Baseline'!$D$1:$X$258,14,FALSE))))</f>
        <v/>
      </c>
      <c r="O134" s="345" t="str">
        <f>IF(E134="","",IF(ISNA(VLOOKUP($E134,'A-1 Site Habitat Baseline'!$D$1:$X$258,16,FALSE)),"",(VLOOKUP($E134,'A-1 Site Habitat Baseline'!$D$1:$X$258,13,FALSE))))</f>
        <v/>
      </c>
      <c r="P134" s="346" t="str">
        <f>IFERROR(INDEX('G-1 All Habitats'!$AG$3:$AG$15,MATCH(Q134,'G-1 All Habitats'!$AF$3:$AF$15,0)),"")</f>
        <v/>
      </c>
      <c r="Q134" s="347"/>
      <c r="R134" s="347"/>
      <c r="S134" s="605" t="str">
        <f>IFERROR(INDEX('G-1 All Habitats'!$B$3:$B$130,MATCH(R134,'G-1 All Habitats'!$A$3:$A$130,0)),"")</f>
        <v/>
      </c>
      <c r="T134" s="77" t="str">
        <f t="shared" si="18"/>
        <v/>
      </c>
      <c r="U134" s="78" t="str">
        <f t="shared" si="13"/>
        <v/>
      </c>
      <c r="V134" s="350" t="str">
        <f t="shared" si="10"/>
        <v/>
      </c>
      <c r="W134" s="343" t="str">
        <f>IF(S134="","",VLOOKUP(S134,'G-1 All Habitats'!$B$2:$M$130,10,FALSE))</f>
        <v/>
      </c>
      <c r="X134" s="343" t="str">
        <f>IFERROR(VLOOKUP(W134,'G-1 All Habitats'!$V$3:$W$7,2,FALSE),"")</f>
        <v/>
      </c>
      <c r="Y134" s="91"/>
      <c r="Z134" s="345" t="str">
        <f>IFERROR(INDEX('G-8 Condition Look up'!$A$3:$H$131,MATCH(S134,'G-8 Condition Look up'!$A$3:$A$131,0),MATCH(Y134,'G-8 Condition Look up'!$A$3:$H$3,0)),"")</f>
        <v/>
      </c>
      <c r="AA134" s="79"/>
      <c r="AB134" s="343" t="str">
        <f>IF(AA134="","",IF(VLOOKUP(AA134,'G-3 Multipliers'!$L$3:$N$6,2,FALSE)=0,"Spatial Data Missing",VLOOKUP(AA134,'G-3 Multipliers'!$L$3:$N$6,2,FALSE)))</f>
        <v/>
      </c>
      <c r="AC134" s="345" t="str">
        <f>IF(AA134="","",IF(VLOOKUP(AA134,'G-3 Multipliers'!$L$3:$N$6,3,FALSE)=0,"Spatial Data Missing",VLOOKUP(AA134,'G-3 Multipliers'!$L$3:$N$6,3,FALSE)))</f>
        <v/>
      </c>
      <c r="AD134" s="351" t="str">
        <f t="shared" si="11"/>
        <v/>
      </c>
      <c r="AE134" s="94"/>
      <c r="AF134" s="94"/>
      <c r="AG134" s="343" t="str">
        <f t="shared" si="14"/>
        <v/>
      </c>
      <c r="AH134" s="591" t="str">
        <f t="shared" si="15"/>
        <v/>
      </c>
      <c r="AI134" s="353" t="str">
        <f>IF(AH134="Check Data","Check Data",IFERROR(VLOOKUP(AH134,'G-4 Temporal multipliers'!$A$4:$C$36,3,FALSE),""))</f>
        <v/>
      </c>
      <c r="AJ134" s="77" t="str">
        <f>IF(S134="","",VLOOKUP(S134,'G-3 Multipliers'!$A$2:$E$130,4,FALSE))</f>
        <v/>
      </c>
      <c r="AK134" s="348" t="str">
        <f t="shared" si="16"/>
        <v/>
      </c>
      <c r="AL134" s="348" t="str">
        <f t="shared" si="17"/>
        <v/>
      </c>
      <c r="AM134" s="607" t="str">
        <f>IFERROR(IF(F134="","",IF(AH134="Check Data","Check Data",VLOOKUP(AL134, 'G-3 Multipliers'!$P$2:$Q$6,2,FALSE))),””)</f>
        <v/>
      </c>
      <c r="AN134" s="81" t="str">
        <f t="shared" si="12"/>
        <v/>
      </c>
      <c r="AO134" s="355"/>
      <c r="AP134" s="356"/>
    </row>
    <row r="135" spans="1:42" x14ac:dyDescent="0.25">
      <c r="A135" s="52" t="str">
        <f>IF(E135="","",IF(ISNA(VLOOKUP($E135,'A-1 Site Habitat Baseline'!$D$1:$O$258,2,FALSE)),"",(VLOOKUP($E135,'A-1 Site Habitat Baseline'!$D$1:$O$258,2,FALSE))))</f>
        <v/>
      </c>
      <c r="B135" s="52" t="str">
        <f>IF(E135="","",IF(ISNA(VLOOKUP($E135,'A-1 Site Habitat Baseline'!$D$1:$O$258,3,FALSE)),"",(VLOOKUP($E135,'A-1 Site Habitat Baseline'!$D$1:$O$258,3,FALSE))))</f>
        <v/>
      </c>
      <c r="C135" s="52" t="str">
        <f>IFERROR(INDEX('G-8 Condition Look up'!$I$4:$I$131,MATCH(S135,'G-8 Condition Look up'!$A$4:$A$131,0)),"")</f>
        <v/>
      </c>
      <c r="E135" s="342" t="str">
        <f>'A-1 Site Habitat Baseline'!AL134</f>
        <v/>
      </c>
      <c r="F135" s="343" t="str">
        <f>IF(E135="","",IF(ISNA(VLOOKUP($E135,'A-1 Site Habitat Baseline'!$D$1:$O$258,4,FALSE)),"",(VLOOKUP($E135,'A-1 Site Habitat Baseline'!$D$1:$O$258,4,FALSE))))</f>
        <v/>
      </c>
      <c r="G135" s="343" t="str">
        <f>IF(E135="","",IF(ISNA(VLOOKUP($E135,'A-1 Site Habitat Baseline'!$D$1:$O$258,5,FALSE)),"",(VLOOKUP($E135,'A-1 Site Habitat Baseline'!$D$1:$O$258,5,FALSE))))</f>
        <v/>
      </c>
      <c r="H135" s="343" t="str">
        <f>IF(E135="","",IF(ISNA(VLOOKUP($E135,'A-1 Site Habitat Baseline'!$D$1:$O$258,6,FALSE)),"",(VLOOKUP($E135,'A-1 Site Habitat Baseline'!$D$1:$O$258,6,FALSE))))</f>
        <v/>
      </c>
      <c r="I135" s="343" t="str">
        <f>IF(E135="","",IF(ISNA(VLOOKUP($E135,'A-1 Site Habitat Baseline'!$D$1:$O$258,7,FALSE)),"",(VLOOKUP($E135,'A-1 Site Habitat Baseline'!$D$1:$O$258,7,FALSE))))</f>
        <v/>
      </c>
      <c r="J135" s="343" t="str">
        <f>IF(E135="","",IF(ISNA(VLOOKUP($E135,'A-1 Site Habitat Baseline'!$D$1:$O$258,8,FALSE)),"",(VLOOKUP($E135,'A-1 Site Habitat Baseline'!$D$1:$O$258,8,FALSE))))</f>
        <v/>
      </c>
      <c r="K135" s="343" t="str">
        <f>IF(E135="","",IF(ISNA(VLOOKUP($E135,'A-1 Site Habitat Baseline'!$D$1:$O$258,9,FALSE)),"",(VLOOKUP($E135,'A-1 Site Habitat Baseline'!$D$1:$O$258,9,FALSE))))</f>
        <v/>
      </c>
      <c r="L135" s="343" t="str">
        <f>IF(E135="","",IF(ISNA(VLOOKUP($E135,'A-1 Site Habitat Baseline'!$D$1:$O$258,11,FALSE)),"",(VLOOKUP($E135,'A-1 Site Habitat Baseline'!$D$1:$O$258,11,FALSE))))</f>
        <v/>
      </c>
      <c r="M135" s="343" t="str">
        <f>IF(E135="","",IF(ISNA(VLOOKUP($E135,'A-1 Site Habitat Baseline'!$D$1:$O$258,12,FALSE)),"",(VLOOKUP($E135,'A-1 Site Habitat Baseline'!$D$1:$O$258,12,FALSE))))</f>
        <v/>
      </c>
      <c r="N135" s="344" t="str">
        <f>IF(E135="","",IF(ISNA(VLOOKUP($E135,'A-1 Site Habitat Baseline'!$D$1:$X$258,14,FALSE)),"",(VLOOKUP($E135,'A-1 Site Habitat Baseline'!$D$1:$X$258,14,FALSE))))</f>
        <v/>
      </c>
      <c r="O135" s="345" t="str">
        <f>IF(E135="","",IF(ISNA(VLOOKUP($E135,'A-1 Site Habitat Baseline'!$D$1:$X$258,16,FALSE)),"",(VLOOKUP($E135,'A-1 Site Habitat Baseline'!$D$1:$X$258,13,FALSE))))</f>
        <v/>
      </c>
      <c r="P135" s="346" t="str">
        <f>IFERROR(INDEX('G-1 All Habitats'!$AG$3:$AG$15,MATCH(Q135,'G-1 All Habitats'!$AF$3:$AF$15,0)),"")</f>
        <v/>
      </c>
      <c r="Q135" s="347"/>
      <c r="R135" s="347"/>
      <c r="S135" s="605" t="str">
        <f>IFERROR(INDEX('G-1 All Habitats'!$B$3:$B$130,MATCH(R135,'G-1 All Habitats'!$A$3:$A$130,0)),"")</f>
        <v/>
      </c>
      <c r="T135" s="77" t="str">
        <f t="shared" si="18"/>
        <v/>
      </c>
      <c r="U135" s="78" t="str">
        <f t="shared" si="13"/>
        <v/>
      </c>
      <c r="V135" s="350" t="str">
        <f t="shared" si="10"/>
        <v/>
      </c>
      <c r="W135" s="343" t="str">
        <f>IF(S135="","",VLOOKUP(S135,'G-1 All Habitats'!$B$2:$M$130,10,FALSE))</f>
        <v/>
      </c>
      <c r="X135" s="343" t="str">
        <f>IFERROR(VLOOKUP(W135,'G-1 All Habitats'!$V$3:$W$7,2,FALSE),"")</f>
        <v/>
      </c>
      <c r="Y135" s="91"/>
      <c r="Z135" s="345" t="str">
        <f>IFERROR(INDEX('G-8 Condition Look up'!$A$3:$H$131,MATCH(S135,'G-8 Condition Look up'!$A$3:$A$131,0),MATCH(Y135,'G-8 Condition Look up'!$A$3:$H$3,0)),"")</f>
        <v/>
      </c>
      <c r="AA135" s="79"/>
      <c r="AB135" s="343" t="str">
        <f>IF(AA135="","",IF(VLOOKUP(AA135,'G-3 Multipliers'!$L$3:$N$6,2,FALSE)=0,"Spatial Data Missing",VLOOKUP(AA135,'G-3 Multipliers'!$L$3:$N$6,2,FALSE)))</f>
        <v/>
      </c>
      <c r="AC135" s="345" t="str">
        <f>IF(AA135="","",IF(VLOOKUP(AA135,'G-3 Multipliers'!$L$3:$N$6,3,FALSE)=0,"Spatial Data Missing",VLOOKUP(AA135,'G-3 Multipliers'!$L$3:$N$6,3,FALSE)))</f>
        <v/>
      </c>
      <c r="AD135" s="351" t="str">
        <f t="shared" si="11"/>
        <v/>
      </c>
      <c r="AE135" s="94"/>
      <c r="AF135" s="94"/>
      <c r="AG135" s="343" t="str">
        <f t="shared" si="14"/>
        <v/>
      </c>
      <c r="AH135" s="591" t="str">
        <f t="shared" si="15"/>
        <v/>
      </c>
      <c r="AI135" s="353" t="str">
        <f>IF(AH135="Check Data","Check Data",IFERROR(VLOOKUP(AH135,'G-4 Temporal multipliers'!$A$4:$C$36,3,FALSE),""))</f>
        <v/>
      </c>
      <c r="AJ135" s="77" t="str">
        <f>IF(S135="","",VLOOKUP(S135,'G-3 Multipliers'!$A$2:$E$130,4,FALSE))</f>
        <v/>
      </c>
      <c r="AK135" s="348" t="str">
        <f t="shared" si="16"/>
        <v/>
      </c>
      <c r="AL135" s="348" t="str">
        <f t="shared" si="17"/>
        <v/>
      </c>
      <c r="AM135" s="607" t="str">
        <f>IFERROR(IF(F135="","",IF(AH135="Check Data","Check Data",VLOOKUP(AL135, 'G-3 Multipliers'!$P$2:$Q$6,2,FALSE))),””)</f>
        <v/>
      </c>
      <c r="AN135" s="81" t="str">
        <f t="shared" si="12"/>
        <v/>
      </c>
      <c r="AO135" s="355"/>
      <c r="AP135" s="356"/>
    </row>
    <row r="136" spans="1:42" x14ac:dyDescent="0.25">
      <c r="A136" s="52" t="str">
        <f>IF(E136="","",IF(ISNA(VLOOKUP($E136,'A-1 Site Habitat Baseline'!$D$1:$O$258,2,FALSE)),"",(VLOOKUP($E136,'A-1 Site Habitat Baseline'!$D$1:$O$258,2,FALSE))))</f>
        <v/>
      </c>
      <c r="B136" s="52" t="str">
        <f>IF(E136="","",IF(ISNA(VLOOKUP($E136,'A-1 Site Habitat Baseline'!$D$1:$O$258,3,FALSE)),"",(VLOOKUP($E136,'A-1 Site Habitat Baseline'!$D$1:$O$258,3,FALSE))))</f>
        <v/>
      </c>
      <c r="C136" s="52" t="str">
        <f>IFERROR(INDEX('G-8 Condition Look up'!$I$4:$I$131,MATCH(S136,'G-8 Condition Look up'!$A$4:$A$131,0)),"")</f>
        <v/>
      </c>
      <c r="E136" s="342" t="str">
        <f>'A-1 Site Habitat Baseline'!AL135</f>
        <v/>
      </c>
      <c r="F136" s="343" t="str">
        <f>IF(E136="","",IF(ISNA(VLOOKUP($E136,'A-1 Site Habitat Baseline'!$D$1:$O$258,4,FALSE)),"",(VLOOKUP($E136,'A-1 Site Habitat Baseline'!$D$1:$O$258,4,FALSE))))</f>
        <v/>
      </c>
      <c r="G136" s="343" t="str">
        <f>IF(E136="","",IF(ISNA(VLOOKUP($E136,'A-1 Site Habitat Baseline'!$D$1:$O$258,5,FALSE)),"",(VLOOKUP($E136,'A-1 Site Habitat Baseline'!$D$1:$O$258,5,FALSE))))</f>
        <v/>
      </c>
      <c r="H136" s="343" t="str">
        <f>IF(E136="","",IF(ISNA(VLOOKUP($E136,'A-1 Site Habitat Baseline'!$D$1:$O$258,6,FALSE)),"",(VLOOKUP($E136,'A-1 Site Habitat Baseline'!$D$1:$O$258,6,FALSE))))</f>
        <v/>
      </c>
      <c r="I136" s="343" t="str">
        <f>IF(E136="","",IF(ISNA(VLOOKUP($E136,'A-1 Site Habitat Baseline'!$D$1:$O$258,7,FALSE)),"",(VLOOKUP($E136,'A-1 Site Habitat Baseline'!$D$1:$O$258,7,FALSE))))</f>
        <v/>
      </c>
      <c r="J136" s="343" t="str">
        <f>IF(E136="","",IF(ISNA(VLOOKUP($E136,'A-1 Site Habitat Baseline'!$D$1:$O$258,8,FALSE)),"",(VLOOKUP($E136,'A-1 Site Habitat Baseline'!$D$1:$O$258,8,FALSE))))</f>
        <v/>
      </c>
      <c r="K136" s="343" t="str">
        <f>IF(E136="","",IF(ISNA(VLOOKUP($E136,'A-1 Site Habitat Baseline'!$D$1:$O$258,9,FALSE)),"",(VLOOKUP($E136,'A-1 Site Habitat Baseline'!$D$1:$O$258,9,FALSE))))</f>
        <v/>
      </c>
      <c r="L136" s="343" t="str">
        <f>IF(E136="","",IF(ISNA(VLOOKUP($E136,'A-1 Site Habitat Baseline'!$D$1:$O$258,11,FALSE)),"",(VLOOKUP($E136,'A-1 Site Habitat Baseline'!$D$1:$O$258,11,FALSE))))</f>
        <v/>
      </c>
      <c r="M136" s="343" t="str">
        <f>IF(E136="","",IF(ISNA(VLOOKUP($E136,'A-1 Site Habitat Baseline'!$D$1:$O$258,12,FALSE)),"",(VLOOKUP($E136,'A-1 Site Habitat Baseline'!$D$1:$O$258,12,FALSE))))</f>
        <v/>
      </c>
      <c r="N136" s="344" t="str">
        <f>IF(E136="","",IF(ISNA(VLOOKUP($E136,'A-1 Site Habitat Baseline'!$D$1:$X$258,14,FALSE)),"",(VLOOKUP($E136,'A-1 Site Habitat Baseline'!$D$1:$X$258,14,FALSE))))</f>
        <v/>
      </c>
      <c r="O136" s="345" t="str">
        <f>IF(E136="","",IF(ISNA(VLOOKUP($E136,'A-1 Site Habitat Baseline'!$D$1:$X$258,16,FALSE)),"",(VLOOKUP($E136,'A-1 Site Habitat Baseline'!$D$1:$X$258,13,FALSE))))</f>
        <v/>
      </c>
      <c r="P136" s="346" t="str">
        <f>IFERROR(INDEX('G-1 All Habitats'!$AG$3:$AG$15,MATCH(Q136,'G-1 All Habitats'!$AF$3:$AF$15,0)),"")</f>
        <v/>
      </c>
      <c r="Q136" s="347"/>
      <c r="R136" s="347"/>
      <c r="S136" s="605" t="str">
        <f>IFERROR(INDEX('G-1 All Habitats'!$B$3:$B$130,MATCH(R136,'G-1 All Habitats'!$A$3:$A$130,0)),"")</f>
        <v/>
      </c>
      <c r="T136" s="77" t="str">
        <f t="shared" si="18"/>
        <v/>
      </c>
      <c r="U136" s="78" t="str">
        <f t="shared" si="13"/>
        <v/>
      </c>
      <c r="V136" s="350" t="str">
        <f t="shared" si="10"/>
        <v/>
      </c>
      <c r="W136" s="343" t="str">
        <f>IF(S136="","",VLOOKUP(S136,'G-1 All Habitats'!$B$2:$M$130,10,FALSE))</f>
        <v/>
      </c>
      <c r="X136" s="343" t="str">
        <f>IFERROR(VLOOKUP(W136,'G-1 All Habitats'!$V$3:$W$7,2,FALSE),"")</f>
        <v/>
      </c>
      <c r="Y136" s="91"/>
      <c r="Z136" s="345" t="str">
        <f>IFERROR(INDEX('G-8 Condition Look up'!$A$3:$H$131,MATCH(S136,'G-8 Condition Look up'!$A$3:$A$131,0),MATCH(Y136,'G-8 Condition Look up'!$A$3:$H$3,0)),"")</f>
        <v/>
      </c>
      <c r="AA136" s="79"/>
      <c r="AB136" s="343" t="str">
        <f>IF(AA136="","",IF(VLOOKUP(AA136,'G-3 Multipliers'!$L$3:$N$6,2,FALSE)=0,"Spatial Data Missing",VLOOKUP(AA136,'G-3 Multipliers'!$L$3:$N$6,2,FALSE)))</f>
        <v/>
      </c>
      <c r="AC136" s="345" t="str">
        <f>IF(AA136="","",IF(VLOOKUP(AA136,'G-3 Multipliers'!$L$3:$N$6,3,FALSE)=0,"Spatial Data Missing",VLOOKUP(AA136,'G-3 Multipliers'!$L$3:$N$6,3,FALSE)))</f>
        <v/>
      </c>
      <c r="AD136" s="351" t="str">
        <f t="shared" si="11"/>
        <v/>
      </c>
      <c r="AE136" s="94"/>
      <c r="AF136" s="94"/>
      <c r="AG136" s="343" t="str">
        <f t="shared" si="14"/>
        <v/>
      </c>
      <c r="AH136" s="591" t="str">
        <f t="shared" si="15"/>
        <v/>
      </c>
      <c r="AI136" s="353" t="str">
        <f>IF(AH136="Check Data","Check Data",IFERROR(VLOOKUP(AH136,'G-4 Temporal multipliers'!$A$4:$C$36,3,FALSE),""))</f>
        <v/>
      </c>
      <c r="AJ136" s="77" t="str">
        <f>IF(S136="","",VLOOKUP(S136,'G-3 Multipliers'!$A$2:$E$130,4,FALSE))</f>
        <v/>
      </c>
      <c r="AK136" s="348" t="str">
        <f t="shared" si="16"/>
        <v/>
      </c>
      <c r="AL136" s="348" t="str">
        <f t="shared" si="17"/>
        <v/>
      </c>
      <c r="AM136" s="607" t="str">
        <f>IFERROR(IF(F136="","",IF(AH136="Check Data","Check Data",VLOOKUP(AL136, 'G-3 Multipliers'!$P$2:$Q$6,2,FALSE))),””)</f>
        <v/>
      </c>
      <c r="AN136" s="81" t="str">
        <f t="shared" si="12"/>
        <v/>
      </c>
      <c r="AO136" s="355"/>
      <c r="AP136" s="356"/>
    </row>
    <row r="137" spans="1:42" x14ac:dyDescent="0.25">
      <c r="A137" s="52" t="str">
        <f>IF(E137="","",IF(ISNA(VLOOKUP($E137,'A-1 Site Habitat Baseline'!$D$1:$O$258,2,FALSE)),"",(VLOOKUP($E137,'A-1 Site Habitat Baseline'!$D$1:$O$258,2,FALSE))))</f>
        <v/>
      </c>
      <c r="B137" s="52" t="str">
        <f>IF(E137="","",IF(ISNA(VLOOKUP($E137,'A-1 Site Habitat Baseline'!$D$1:$O$258,3,FALSE)),"",(VLOOKUP($E137,'A-1 Site Habitat Baseline'!$D$1:$O$258,3,FALSE))))</f>
        <v/>
      </c>
      <c r="C137" s="52" t="str">
        <f>IFERROR(INDEX('G-8 Condition Look up'!$I$4:$I$131,MATCH(S137,'G-8 Condition Look up'!$A$4:$A$131,0)),"")</f>
        <v/>
      </c>
      <c r="E137" s="342" t="str">
        <f>'A-1 Site Habitat Baseline'!AL136</f>
        <v/>
      </c>
      <c r="F137" s="343" t="str">
        <f>IF(E137="","",IF(ISNA(VLOOKUP($E137,'A-1 Site Habitat Baseline'!$D$1:$O$258,4,FALSE)),"",(VLOOKUP($E137,'A-1 Site Habitat Baseline'!$D$1:$O$258,4,FALSE))))</f>
        <v/>
      </c>
      <c r="G137" s="343" t="str">
        <f>IF(E137="","",IF(ISNA(VLOOKUP($E137,'A-1 Site Habitat Baseline'!$D$1:$O$258,5,FALSE)),"",(VLOOKUP($E137,'A-1 Site Habitat Baseline'!$D$1:$O$258,5,FALSE))))</f>
        <v/>
      </c>
      <c r="H137" s="343" t="str">
        <f>IF(E137="","",IF(ISNA(VLOOKUP($E137,'A-1 Site Habitat Baseline'!$D$1:$O$258,6,FALSE)),"",(VLOOKUP($E137,'A-1 Site Habitat Baseline'!$D$1:$O$258,6,FALSE))))</f>
        <v/>
      </c>
      <c r="I137" s="343" t="str">
        <f>IF(E137="","",IF(ISNA(VLOOKUP($E137,'A-1 Site Habitat Baseline'!$D$1:$O$258,7,FALSE)),"",(VLOOKUP($E137,'A-1 Site Habitat Baseline'!$D$1:$O$258,7,FALSE))))</f>
        <v/>
      </c>
      <c r="J137" s="343" t="str">
        <f>IF(E137="","",IF(ISNA(VLOOKUP($E137,'A-1 Site Habitat Baseline'!$D$1:$O$258,8,FALSE)),"",(VLOOKUP($E137,'A-1 Site Habitat Baseline'!$D$1:$O$258,8,FALSE))))</f>
        <v/>
      </c>
      <c r="K137" s="343" t="str">
        <f>IF(E137="","",IF(ISNA(VLOOKUP($E137,'A-1 Site Habitat Baseline'!$D$1:$O$258,9,FALSE)),"",(VLOOKUP($E137,'A-1 Site Habitat Baseline'!$D$1:$O$258,9,FALSE))))</f>
        <v/>
      </c>
      <c r="L137" s="343" t="str">
        <f>IF(E137="","",IF(ISNA(VLOOKUP($E137,'A-1 Site Habitat Baseline'!$D$1:$O$258,11,FALSE)),"",(VLOOKUP($E137,'A-1 Site Habitat Baseline'!$D$1:$O$258,11,FALSE))))</f>
        <v/>
      </c>
      <c r="M137" s="343" t="str">
        <f>IF(E137="","",IF(ISNA(VLOOKUP($E137,'A-1 Site Habitat Baseline'!$D$1:$O$258,12,FALSE)),"",(VLOOKUP($E137,'A-1 Site Habitat Baseline'!$D$1:$O$258,12,FALSE))))</f>
        <v/>
      </c>
      <c r="N137" s="344" t="str">
        <f>IF(E137="","",IF(ISNA(VLOOKUP($E137,'A-1 Site Habitat Baseline'!$D$1:$X$258,14,FALSE)),"",(VLOOKUP($E137,'A-1 Site Habitat Baseline'!$D$1:$X$258,14,FALSE))))</f>
        <v/>
      </c>
      <c r="O137" s="345" t="str">
        <f>IF(E137="","",IF(ISNA(VLOOKUP($E137,'A-1 Site Habitat Baseline'!$D$1:$X$258,16,FALSE)),"",(VLOOKUP($E137,'A-1 Site Habitat Baseline'!$D$1:$X$258,13,FALSE))))</f>
        <v/>
      </c>
      <c r="P137" s="346" t="str">
        <f>IFERROR(INDEX('G-1 All Habitats'!$AG$3:$AG$15,MATCH(Q137,'G-1 All Habitats'!$AF$3:$AF$15,0)),"")</f>
        <v/>
      </c>
      <c r="Q137" s="347"/>
      <c r="R137" s="347"/>
      <c r="S137" s="605" t="str">
        <f>IFERROR(INDEX('G-1 All Habitats'!$B$3:$B$130,MATCH(R137,'G-1 All Habitats'!$A$3:$A$130,0)),"")</f>
        <v/>
      </c>
      <c r="T137" s="77" t="str">
        <f t="shared" si="18"/>
        <v/>
      </c>
      <c r="U137" s="78" t="str">
        <f t="shared" si="13"/>
        <v/>
      </c>
      <c r="V137" s="350" t="str">
        <f t="shared" si="10"/>
        <v/>
      </c>
      <c r="W137" s="343" t="str">
        <f>IF(S137="","",VLOOKUP(S137,'G-1 All Habitats'!$B$2:$M$130,10,FALSE))</f>
        <v/>
      </c>
      <c r="X137" s="343" t="str">
        <f>IFERROR(VLOOKUP(W137,'G-1 All Habitats'!$V$3:$W$7,2,FALSE),"")</f>
        <v/>
      </c>
      <c r="Y137" s="91"/>
      <c r="Z137" s="345" t="str">
        <f>IFERROR(INDEX('G-8 Condition Look up'!$A$3:$H$131,MATCH(S137,'G-8 Condition Look up'!$A$3:$A$131,0),MATCH(Y137,'G-8 Condition Look up'!$A$3:$H$3,0)),"")</f>
        <v/>
      </c>
      <c r="AA137" s="79"/>
      <c r="AB137" s="343" t="str">
        <f>IF(AA137="","",IF(VLOOKUP(AA137,'G-3 Multipliers'!$L$3:$N$6,2,FALSE)=0,"Spatial Data Missing",VLOOKUP(AA137,'G-3 Multipliers'!$L$3:$N$6,2,FALSE)))</f>
        <v/>
      </c>
      <c r="AC137" s="345" t="str">
        <f>IF(AA137="","",IF(VLOOKUP(AA137,'G-3 Multipliers'!$L$3:$N$6,3,FALSE)=0,"Spatial Data Missing",VLOOKUP(AA137,'G-3 Multipliers'!$L$3:$N$6,3,FALSE)))</f>
        <v/>
      </c>
      <c r="AD137" s="351" t="str">
        <f t="shared" si="11"/>
        <v/>
      </c>
      <c r="AE137" s="94"/>
      <c r="AF137" s="94"/>
      <c r="AG137" s="343" t="str">
        <f t="shared" si="14"/>
        <v/>
      </c>
      <c r="AH137" s="591" t="str">
        <f t="shared" si="15"/>
        <v/>
      </c>
      <c r="AI137" s="353" t="str">
        <f>IF(AH137="Check Data","Check Data",IFERROR(VLOOKUP(AH137,'G-4 Temporal multipliers'!$A$4:$C$36,3,FALSE),""))</f>
        <v/>
      </c>
      <c r="AJ137" s="77" t="str">
        <f>IF(S137="","",VLOOKUP(S137,'G-3 Multipliers'!$A$2:$E$130,4,FALSE))</f>
        <v/>
      </c>
      <c r="AK137" s="348" t="str">
        <f t="shared" si="16"/>
        <v/>
      </c>
      <c r="AL137" s="348" t="str">
        <f t="shared" si="17"/>
        <v/>
      </c>
      <c r="AM137" s="607" t="str">
        <f>IFERROR(IF(F137="","",IF(AH137="Check Data","Check Data",VLOOKUP(AL137, 'G-3 Multipliers'!$P$2:$Q$6,2,FALSE))),””)</f>
        <v/>
      </c>
      <c r="AN137" s="81" t="str">
        <f t="shared" si="12"/>
        <v/>
      </c>
      <c r="AO137" s="355"/>
      <c r="AP137" s="356"/>
    </row>
    <row r="138" spans="1:42" x14ac:dyDescent="0.25">
      <c r="A138" s="52" t="str">
        <f>IF(E138="","",IF(ISNA(VLOOKUP($E138,'A-1 Site Habitat Baseline'!$D$1:$O$258,2,FALSE)),"",(VLOOKUP($E138,'A-1 Site Habitat Baseline'!$D$1:$O$258,2,FALSE))))</f>
        <v/>
      </c>
      <c r="B138" s="52" t="str">
        <f>IF(E138="","",IF(ISNA(VLOOKUP($E138,'A-1 Site Habitat Baseline'!$D$1:$O$258,3,FALSE)),"",(VLOOKUP($E138,'A-1 Site Habitat Baseline'!$D$1:$O$258,3,FALSE))))</f>
        <v/>
      </c>
      <c r="C138" s="52" t="str">
        <f>IFERROR(INDEX('G-8 Condition Look up'!$I$4:$I$131,MATCH(S138,'G-8 Condition Look up'!$A$4:$A$131,0)),"")</f>
        <v/>
      </c>
      <c r="E138" s="342" t="str">
        <f>'A-1 Site Habitat Baseline'!AL137</f>
        <v/>
      </c>
      <c r="F138" s="343" t="str">
        <f>IF(E138="","",IF(ISNA(VLOOKUP($E138,'A-1 Site Habitat Baseline'!$D$1:$O$258,4,FALSE)),"",(VLOOKUP($E138,'A-1 Site Habitat Baseline'!$D$1:$O$258,4,FALSE))))</f>
        <v/>
      </c>
      <c r="G138" s="343" t="str">
        <f>IF(E138="","",IF(ISNA(VLOOKUP($E138,'A-1 Site Habitat Baseline'!$D$1:$O$258,5,FALSE)),"",(VLOOKUP($E138,'A-1 Site Habitat Baseline'!$D$1:$O$258,5,FALSE))))</f>
        <v/>
      </c>
      <c r="H138" s="343" t="str">
        <f>IF(E138="","",IF(ISNA(VLOOKUP($E138,'A-1 Site Habitat Baseline'!$D$1:$O$258,6,FALSE)),"",(VLOOKUP($E138,'A-1 Site Habitat Baseline'!$D$1:$O$258,6,FALSE))))</f>
        <v/>
      </c>
      <c r="I138" s="343" t="str">
        <f>IF(E138="","",IF(ISNA(VLOOKUP($E138,'A-1 Site Habitat Baseline'!$D$1:$O$258,7,FALSE)),"",(VLOOKUP($E138,'A-1 Site Habitat Baseline'!$D$1:$O$258,7,FALSE))))</f>
        <v/>
      </c>
      <c r="J138" s="343" t="str">
        <f>IF(E138="","",IF(ISNA(VLOOKUP($E138,'A-1 Site Habitat Baseline'!$D$1:$O$258,8,FALSE)),"",(VLOOKUP($E138,'A-1 Site Habitat Baseline'!$D$1:$O$258,8,FALSE))))</f>
        <v/>
      </c>
      <c r="K138" s="343" t="str">
        <f>IF(E138="","",IF(ISNA(VLOOKUP($E138,'A-1 Site Habitat Baseline'!$D$1:$O$258,9,FALSE)),"",(VLOOKUP($E138,'A-1 Site Habitat Baseline'!$D$1:$O$258,9,FALSE))))</f>
        <v/>
      </c>
      <c r="L138" s="343" t="str">
        <f>IF(E138="","",IF(ISNA(VLOOKUP($E138,'A-1 Site Habitat Baseline'!$D$1:$O$258,11,FALSE)),"",(VLOOKUP($E138,'A-1 Site Habitat Baseline'!$D$1:$O$258,11,FALSE))))</f>
        <v/>
      </c>
      <c r="M138" s="343" t="str">
        <f>IF(E138="","",IF(ISNA(VLOOKUP($E138,'A-1 Site Habitat Baseline'!$D$1:$O$258,12,FALSE)),"",(VLOOKUP($E138,'A-1 Site Habitat Baseline'!$D$1:$O$258,12,FALSE))))</f>
        <v/>
      </c>
      <c r="N138" s="344" t="str">
        <f>IF(E138="","",IF(ISNA(VLOOKUP($E138,'A-1 Site Habitat Baseline'!$D$1:$X$258,14,FALSE)),"",(VLOOKUP($E138,'A-1 Site Habitat Baseline'!$D$1:$X$258,14,FALSE))))</f>
        <v/>
      </c>
      <c r="O138" s="345" t="str">
        <f>IF(E138="","",IF(ISNA(VLOOKUP($E138,'A-1 Site Habitat Baseline'!$D$1:$X$258,16,FALSE)),"",(VLOOKUP($E138,'A-1 Site Habitat Baseline'!$D$1:$X$258,13,FALSE))))</f>
        <v/>
      </c>
      <c r="P138" s="346" t="str">
        <f>IFERROR(INDEX('G-1 All Habitats'!$AG$3:$AG$15,MATCH(Q138,'G-1 All Habitats'!$AF$3:$AF$15,0)),"")</f>
        <v/>
      </c>
      <c r="Q138" s="347"/>
      <c r="R138" s="347"/>
      <c r="S138" s="605" t="str">
        <f>IFERROR(INDEX('G-1 All Habitats'!$B$3:$B$130,MATCH(R138,'G-1 All Habitats'!$A$3:$A$130,0)),"")</f>
        <v/>
      </c>
      <c r="T138" s="77" t="str">
        <f t="shared" si="18"/>
        <v/>
      </c>
      <c r="U138" s="78" t="str">
        <f t="shared" si="13"/>
        <v/>
      </c>
      <c r="V138" s="350" t="str">
        <f t="shared" si="10"/>
        <v/>
      </c>
      <c r="W138" s="343" t="str">
        <f>IF(S138="","",VLOOKUP(S138,'G-1 All Habitats'!$B$2:$M$130,10,FALSE))</f>
        <v/>
      </c>
      <c r="X138" s="343" t="str">
        <f>IFERROR(VLOOKUP(W138,'G-1 All Habitats'!$V$3:$W$7,2,FALSE),"")</f>
        <v/>
      </c>
      <c r="Y138" s="91"/>
      <c r="Z138" s="345" t="str">
        <f>IFERROR(INDEX('G-8 Condition Look up'!$A$3:$H$131,MATCH(S138,'G-8 Condition Look up'!$A$3:$A$131,0),MATCH(Y138,'G-8 Condition Look up'!$A$3:$H$3,0)),"")</f>
        <v/>
      </c>
      <c r="AA138" s="79"/>
      <c r="AB138" s="343" t="str">
        <f>IF(AA138="","",IF(VLOOKUP(AA138,'G-3 Multipliers'!$L$3:$N$6,2,FALSE)=0,"Spatial Data Missing",VLOOKUP(AA138,'G-3 Multipliers'!$L$3:$N$6,2,FALSE)))</f>
        <v/>
      </c>
      <c r="AC138" s="345" t="str">
        <f>IF(AA138="","",IF(VLOOKUP(AA138,'G-3 Multipliers'!$L$3:$N$6,3,FALSE)=0,"Spatial Data Missing",VLOOKUP(AA138,'G-3 Multipliers'!$L$3:$N$6,3,FALSE)))</f>
        <v/>
      </c>
      <c r="AD138" s="351" t="str">
        <f t="shared" si="11"/>
        <v/>
      </c>
      <c r="AE138" s="94"/>
      <c r="AF138" s="94"/>
      <c r="AG138" s="343" t="str">
        <f t="shared" si="14"/>
        <v/>
      </c>
      <c r="AH138" s="591" t="str">
        <f t="shared" si="15"/>
        <v/>
      </c>
      <c r="AI138" s="353" t="str">
        <f>IF(AH138="Check Data","Check Data",IFERROR(VLOOKUP(AH138,'G-4 Temporal multipliers'!$A$4:$C$36,3,FALSE),""))</f>
        <v/>
      </c>
      <c r="AJ138" s="77" t="str">
        <f>IF(S138="","",VLOOKUP(S138,'G-3 Multipliers'!$A$2:$E$130,4,FALSE))</f>
        <v/>
      </c>
      <c r="AK138" s="348" t="str">
        <f t="shared" si="16"/>
        <v/>
      </c>
      <c r="AL138" s="348" t="str">
        <f t="shared" si="17"/>
        <v/>
      </c>
      <c r="AM138" s="607" t="str">
        <f>IFERROR(IF(F138="","",IF(AH138="Check Data","Check Data",VLOOKUP(AL138, 'G-3 Multipliers'!$P$2:$Q$6,2,FALSE))),””)</f>
        <v/>
      </c>
      <c r="AN138" s="81" t="str">
        <f t="shared" si="12"/>
        <v/>
      </c>
      <c r="AO138" s="355"/>
      <c r="AP138" s="356"/>
    </row>
    <row r="139" spans="1:42" x14ac:dyDescent="0.25">
      <c r="A139" s="52" t="str">
        <f>IF(E139="","",IF(ISNA(VLOOKUP($E139,'A-1 Site Habitat Baseline'!$D$1:$O$258,2,FALSE)),"",(VLOOKUP($E139,'A-1 Site Habitat Baseline'!$D$1:$O$258,2,FALSE))))</f>
        <v/>
      </c>
      <c r="B139" s="52" t="str">
        <f>IF(E139="","",IF(ISNA(VLOOKUP($E139,'A-1 Site Habitat Baseline'!$D$1:$O$258,3,FALSE)),"",(VLOOKUP($E139,'A-1 Site Habitat Baseline'!$D$1:$O$258,3,FALSE))))</f>
        <v/>
      </c>
      <c r="C139" s="52" t="str">
        <f>IFERROR(INDEX('G-8 Condition Look up'!$I$4:$I$131,MATCH(S139,'G-8 Condition Look up'!$A$4:$A$131,0)),"")</f>
        <v/>
      </c>
      <c r="E139" s="342" t="str">
        <f>'A-1 Site Habitat Baseline'!AL138</f>
        <v/>
      </c>
      <c r="F139" s="343" t="str">
        <f>IF(E139="","",IF(ISNA(VLOOKUP($E139,'A-1 Site Habitat Baseline'!$D$1:$O$258,4,FALSE)),"",(VLOOKUP($E139,'A-1 Site Habitat Baseline'!$D$1:$O$258,4,FALSE))))</f>
        <v/>
      </c>
      <c r="G139" s="343" t="str">
        <f>IF(E139="","",IF(ISNA(VLOOKUP($E139,'A-1 Site Habitat Baseline'!$D$1:$O$258,5,FALSE)),"",(VLOOKUP($E139,'A-1 Site Habitat Baseline'!$D$1:$O$258,5,FALSE))))</f>
        <v/>
      </c>
      <c r="H139" s="343" t="str">
        <f>IF(E139="","",IF(ISNA(VLOOKUP($E139,'A-1 Site Habitat Baseline'!$D$1:$O$258,6,FALSE)),"",(VLOOKUP($E139,'A-1 Site Habitat Baseline'!$D$1:$O$258,6,FALSE))))</f>
        <v/>
      </c>
      <c r="I139" s="343" t="str">
        <f>IF(E139="","",IF(ISNA(VLOOKUP($E139,'A-1 Site Habitat Baseline'!$D$1:$O$258,7,FALSE)),"",(VLOOKUP($E139,'A-1 Site Habitat Baseline'!$D$1:$O$258,7,FALSE))))</f>
        <v/>
      </c>
      <c r="J139" s="343" t="str">
        <f>IF(E139="","",IF(ISNA(VLOOKUP($E139,'A-1 Site Habitat Baseline'!$D$1:$O$258,8,FALSE)),"",(VLOOKUP($E139,'A-1 Site Habitat Baseline'!$D$1:$O$258,8,FALSE))))</f>
        <v/>
      </c>
      <c r="K139" s="343" t="str">
        <f>IF(E139="","",IF(ISNA(VLOOKUP($E139,'A-1 Site Habitat Baseline'!$D$1:$O$258,9,FALSE)),"",(VLOOKUP($E139,'A-1 Site Habitat Baseline'!$D$1:$O$258,9,FALSE))))</f>
        <v/>
      </c>
      <c r="L139" s="343" t="str">
        <f>IF(E139="","",IF(ISNA(VLOOKUP($E139,'A-1 Site Habitat Baseline'!$D$1:$O$258,11,FALSE)),"",(VLOOKUP($E139,'A-1 Site Habitat Baseline'!$D$1:$O$258,11,FALSE))))</f>
        <v/>
      </c>
      <c r="M139" s="343" t="str">
        <f>IF(E139="","",IF(ISNA(VLOOKUP($E139,'A-1 Site Habitat Baseline'!$D$1:$O$258,12,FALSE)),"",(VLOOKUP($E139,'A-1 Site Habitat Baseline'!$D$1:$O$258,12,FALSE))))</f>
        <v/>
      </c>
      <c r="N139" s="344" t="str">
        <f>IF(E139="","",IF(ISNA(VLOOKUP($E139,'A-1 Site Habitat Baseline'!$D$1:$X$258,14,FALSE)),"",(VLOOKUP($E139,'A-1 Site Habitat Baseline'!$D$1:$X$258,14,FALSE))))</f>
        <v/>
      </c>
      <c r="O139" s="345" t="str">
        <f>IF(E139="","",IF(ISNA(VLOOKUP($E139,'A-1 Site Habitat Baseline'!$D$1:$X$258,16,FALSE)),"",(VLOOKUP($E139,'A-1 Site Habitat Baseline'!$D$1:$X$258,13,FALSE))))</f>
        <v/>
      </c>
      <c r="P139" s="346" t="str">
        <f>IFERROR(INDEX('G-1 All Habitats'!$AG$3:$AG$15,MATCH(Q139,'G-1 All Habitats'!$AF$3:$AF$15,0)),"")</f>
        <v/>
      </c>
      <c r="Q139" s="347"/>
      <c r="R139" s="347"/>
      <c r="S139" s="605" t="str">
        <f>IFERROR(INDEX('G-1 All Habitats'!$B$3:$B$130,MATCH(R139,'G-1 All Habitats'!$A$3:$A$130,0)),"")</f>
        <v/>
      </c>
      <c r="T139" s="77" t="str">
        <f t="shared" si="18"/>
        <v/>
      </c>
      <c r="U139" s="78" t="str">
        <f t="shared" si="13"/>
        <v/>
      </c>
      <c r="V139" s="350" t="str">
        <f t="shared" si="10"/>
        <v/>
      </c>
      <c r="W139" s="343" t="str">
        <f>IF(S139="","",VLOOKUP(S139,'G-1 All Habitats'!$B$2:$M$130,10,FALSE))</f>
        <v/>
      </c>
      <c r="X139" s="343" t="str">
        <f>IFERROR(VLOOKUP(W139,'G-1 All Habitats'!$V$3:$W$7,2,FALSE),"")</f>
        <v/>
      </c>
      <c r="Y139" s="91"/>
      <c r="Z139" s="345" t="str">
        <f>IFERROR(INDEX('G-8 Condition Look up'!$A$3:$H$131,MATCH(S139,'G-8 Condition Look up'!$A$3:$A$131,0),MATCH(Y139,'G-8 Condition Look up'!$A$3:$H$3,0)),"")</f>
        <v/>
      </c>
      <c r="AA139" s="79"/>
      <c r="AB139" s="343" t="str">
        <f>IF(AA139="","",IF(VLOOKUP(AA139,'G-3 Multipliers'!$L$3:$N$6,2,FALSE)=0,"Spatial Data Missing",VLOOKUP(AA139,'G-3 Multipliers'!$L$3:$N$6,2,FALSE)))</f>
        <v/>
      </c>
      <c r="AC139" s="345" t="str">
        <f>IF(AA139="","",IF(VLOOKUP(AA139,'G-3 Multipliers'!$L$3:$N$6,3,FALSE)=0,"Spatial Data Missing",VLOOKUP(AA139,'G-3 Multipliers'!$L$3:$N$6,3,FALSE)))</f>
        <v/>
      </c>
      <c r="AD139" s="351" t="str">
        <f t="shared" si="11"/>
        <v/>
      </c>
      <c r="AE139" s="94"/>
      <c r="AF139" s="94"/>
      <c r="AG139" s="343" t="str">
        <f t="shared" si="14"/>
        <v/>
      </c>
      <c r="AH139" s="591" t="str">
        <f t="shared" si="15"/>
        <v/>
      </c>
      <c r="AI139" s="353" t="str">
        <f>IF(AH139="Check Data","Check Data",IFERROR(VLOOKUP(AH139,'G-4 Temporal multipliers'!$A$4:$C$36,3,FALSE),""))</f>
        <v/>
      </c>
      <c r="AJ139" s="77" t="str">
        <f>IF(S139="","",VLOOKUP(S139,'G-3 Multipliers'!$A$2:$E$130,4,FALSE))</f>
        <v/>
      </c>
      <c r="AK139" s="348" t="str">
        <f t="shared" si="16"/>
        <v/>
      </c>
      <c r="AL139" s="348" t="str">
        <f t="shared" si="17"/>
        <v/>
      </c>
      <c r="AM139" s="607" t="str">
        <f>IFERROR(IF(F139="","",IF(AH139="Check Data","Check Data",VLOOKUP(AL139, 'G-3 Multipliers'!$P$2:$Q$6,2,FALSE))),””)</f>
        <v/>
      </c>
      <c r="AN139" s="81" t="str">
        <f t="shared" si="12"/>
        <v/>
      </c>
      <c r="AO139" s="355"/>
      <c r="AP139" s="356"/>
    </row>
    <row r="140" spans="1:42" x14ac:dyDescent="0.25">
      <c r="A140" s="52" t="str">
        <f>IF(E140="","",IF(ISNA(VLOOKUP($E140,'A-1 Site Habitat Baseline'!$D$1:$O$258,2,FALSE)),"",(VLOOKUP($E140,'A-1 Site Habitat Baseline'!$D$1:$O$258,2,FALSE))))</f>
        <v/>
      </c>
      <c r="B140" s="52" t="str">
        <f>IF(E140="","",IF(ISNA(VLOOKUP($E140,'A-1 Site Habitat Baseline'!$D$1:$O$258,3,FALSE)),"",(VLOOKUP($E140,'A-1 Site Habitat Baseline'!$D$1:$O$258,3,FALSE))))</f>
        <v/>
      </c>
      <c r="C140" s="52" t="str">
        <f>IFERROR(INDEX('G-8 Condition Look up'!$I$4:$I$131,MATCH(S140,'G-8 Condition Look up'!$A$4:$A$131,0)),"")</f>
        <v/>
      </c>
      <c r="E140" s="342" t="str">
        <f>'A-1 Site Habitat Baseline'!AL139</f>
        <v/>
      </c>
      <c r="F140" s="343" t="str">
        <f>IF(E140="","",IF(ISNA(VLOOKUP($E140,'A-1 Site Habitat Baseline'!$D$1:$O$258,4,FALSE)),"",(VLOOKUP($E140,'A-1 Site Habitat Baseline'!$D$1:$O$258,4,FALSE))))</f>
        <v/>
      </c>
      <c r="G140" s="343" t="str">
        <f>IF(E140="","",IF(ISNA(VLOOKUP($E140,'A-1 Site Habitat Baseline'!$D$1:$O$258,5,FALSE)),"",(VLOOKUP($E140,'A-1 Site Habitat Baseline'!$D$1:$O$258,5,FALSE))))</f>
        <v/>
      </c>
      <c r="H140" s="343" t="str">
        <f>IF(E140="","",IF(ISNA(VLOOKUP($E140,'A-1 Site Habitat Baseline'!$D$1:$O$258,6,FALSE)),"",(VLOOKUP($E140,'A-1 Site Habitat Baseline'!$D$1:$O$258,6,FALSE))))</f>
        <v/>
      </c>
      <c r="I140" s="343" t="str">
        <f>IF(E140="","",IF(ISNA(VLOOKUP($E140,'A-1 Site Habitat Baseline'!$D$1:$O$258,7,FALSE)),"",(VLOOKUP($E140,'A-1 Site Habitat Baseline'!$D$1:$O$258,7,FALSE))))</f>
        <v/>
      </c>
      <c r="J140" s="343" t="str">
        <f>IF(E140="","",IF(ISNA(VLOOKUP($E140,'A-1 Site Habitat Baseline'!$D$1:$O$258,8,FALSE)),"",(VLOOKUP($E140,'A-1 Site Habitat Baseline'!$D$1:$O$258,8,FALSE))))</f>
        <v/>
      </c>
      <c r="K140" s="343" t="str">
        <f>IF(E140="","",IF(ISNA(VLOOKUP($E140,'A-1 Site Habitat Baseline'!$D$1:$O$258,9,FALSE)),"",(VLOOKUP($E140,'A-1 Site Habitat Baseline'!$D$1:$O$258,9,FALSE))))</f>
        <v/>
      </c>
      <c r="L140" s="343" t="str">
        <f>IF(E140="","",IF(ISNA(VLOOKUP($E140,'A-1 Site Habitat Baseline'!$D$1:$O$258,11,FALSE)),"",(VLOOKUP($E140,'A-1 Site Habitat Baseline'!$D$1:$O$258,11,FALSE))))</f>
        <v/>
      </c>
      <c r="M140" s="343" t="str">
        <f>IF(E140="","",IF(ISNA(VLOOKUP($E140,'A-1 Site Habitat Baseline'!$D$1:$O$258,12,FALSE)),"",(VLOOKUP($E140,'A-1 Site Habitat Baseline'!$D$1:$O$258,12,FALSE))))</f>
        <v/>
      </c>
      <c r="N140" s="344" t="str">
        <f>IF(E140="","",IF(ISNA(VLOOKUP($E140,'A-1 Site Habitat Baseline'!$D$1:$X$258,14,FALSE)),"",(VLOOKUP($E140,'A-1 Site Habitat Baseline'!$D$1:$X$258,14,FALSE))))</f>
        <v/>
      </c>
      <c r="O140" s="345" t="str">
        <f>IF(E140="","",IF(ISNA(VLOOKUP($E140,'A-1 Site Habitat Baseline'!$D$1:$X$258,16,FALSE)),"",(VLOOKUP($E140,'A-1 Site Habitat Baseline'!$D$1:$X$258,13,FALSE))))</f>
        <v/>
      </c>
      <c r="P140" s="346" t="str">
        <f>IFERROR(INDEX('G-1 All Habitats'!$AG$3:$AG$15,MATCH(Q140,'G-1 All Habitats'!$AF$3:$AF$15,0)),"")</f>
        <v/>
      </c>
      <c r="Q140" s="347"/>
      <c r="R140" s="347"/>
      <c r="S140" s="605" t="str">
        <f>IFERROR(INDEX('G-1 All Habitats'!$B$3:$B$130,MATCH(R140,'G-1 All Habitats'!$A$3:$A$130,0)),"")</f>
        <v/>
      </c>
      <c r="T140" s="77" t="str">
        <f t="shared" si="18"/>
        <v/>
      </c>
      <c r="U140" s="78" t="str">
        <f t="shared" si="13"/>
        <v/>
      </c>
      <c r="V140" s="350" t="str">
        <f t="shared" ref="V140:V203" si="19">IF(S140="","",VLOOKUP(E140,BaselineHabSite,17,FALSE))</f>
        <v/>
      </c>
      <c r="W140" s="343" t="str">
        <f>IF(S140="","",VLOOKUP(S140,'G-1 All Habitats'!$B$2:$M$130,10,FALSE))</f>
        <v/>
      </c>
      <c r="X140" s="343" t="str">
        <f>IFERROR(VLOOKUP(W140,'G-1 All Habitats'!$V$3:$W$7,2,FALSE),"")</f>
        <v/>
      </c>
      <c r="Y140" s="91"/>
      <c r="Z140" s="345" t="str">
        <f>IFERROR(INDEX('G-8 Condition Look up'!$A$3:$H$131,MATCH(S140,'G-8 Condition Look up'!$A$3:$A$131,0),MATCH(Y140,'G-8 Condition Look up'!$A$3:$H$3,0)),"")</f>
        <v/>
      </c>
      <c r="AA140" s="79"/>
      <c r="AB140" s="343" t="str">
        <f>IF(AA140="","",IF(VLOOKUP(AA140,'G-3 Multipliers'!$L$3:$N$6,2,FALSE)=0,"Spatial Data Missing",VLOOKUP(AA140,'G-3 Multipliers'!$L$3:$N$6,2,FALSE)))</f>
        <v/>
      </c>
      <c r="AC140" s="345" t="str">
        <f>IF(AA140="","",IF(VLOOKUP(AA140,'G-3 Multipliers'!$L$3:$N$6,3,FALSE)=0,"Spatial Data Missing",VLOOKUP(AA140,'G-3 Multipliers'!$L$3:$N$6,3,FALSE)))</f>
        <v/>
      </c>
      <c r="AD140" s="351" t="str">
        <f t="shared" ref="AD140:AD203" si="20">IFERROR(IF(OR(LEFT(U140,5)="Error",LEFT(T140,5)="Error"),"Check Data",INDEX(EnhanceTemporal,MATCH(S140,EnhanceHabitat,0),MATCH(U140,EnhanceCondition,0))),"")</f>
        <v/>
      </c>
      <c r="AE140" s="94"/>
      <c r="AF140" s="94"/>
      <c r="AG140" s="343" t="str">
        <f t="shared" si="14"/>
        <v/>
      </c>
      <c r="AH140" s="591" t="str">
        <f t="shared" si="15"/>
        <v/>
      </c>
      <c r="AI140" s="353" t="str">
        <f>IF(AH140="Check Data","Check Data",IFERROR(VLOOKUP(AH140,'G-4 Temporal multipliers'!$A$4:$C$36,3,FALSE),""))</f>
        <v/>
      </c>
      <c r="AJ140" s="77" t="str">
        <f>IF(S140="","",VLOOKUP(S140,'G-3 Multipliers'!$A$2:$E$130,4,FALSE))</f>
        <v/>
      </c>
      <c r="AK140" s="348" t="str">
        <f t="shared" si="16"/>
        <v/>
      </c>
      <c r="AL140" s="348" t="str">
        <f t="shared" si="17"/>
        <v/>
      </c>
      <c r="AM140" s="607" t="str">
        <f>IFERROR(IF(F140="","",IF(AH140="Check Data","Check Data",VLOOKUP(AL140, 'G-3 Multipliers'!$P$2:$Q$6,2,FALSE))),””)</f>
        <v/>
      </c>
      <c r="AN140" s="81" t="str">
        <f t="shared" ref="AN140:AN203" si="21">IFERROR(((((V140*X140*Z140)-(V140*I140*K140))*(AM140*AI140))+(V140*I140*K140))*(AC140),"")</f>
        <v/>
      </c>
      <c r="AO140" s="355"/>
      <c r="AP140" s="356"/>
    </row>
    <row r="141" spans="1:42" x14ac:dyDescent="0.25">
      <c r="A141" s="52" t="str">
        <f>IF(E141="","",IF(ISNA(VLOOKUP($E141,'A-1 Site Habitat Baseline'!$D$1:$O$258,2,FALSE)),"",(VLOOKUP($E141,'A-1 Site Habitat Baseline'!$D$1:$O$258,2,FALSE))))</f>
        <v/>
      </c>
      <c r="B141" s="52" t="str">
        <f>IF(E141="","",IF(ISNA(VLOOKUP($E141,'A-1 Site Habitat Baseline'!$D$1:$O$258,3,FALSE)),"",(VLOOKUP($E141,'A-1 Site Habitat Baseline'!$D$1:$O$258,3,FALSE))))</f>
        <v/>
      </c>
      <c r="C141" s="52" t="str">
        <f>IFERROR(INDEX('G-8 Condition Look up'!$I$4:$I$131,MATCH(S141,'G-8 Condition Look up'!$A$4:$A$131,0)),"")</f>
        <v/>
      </c>
      <c r="E141" s="342" t="str">
        <f>'A-1 Site Habitat Baseline'!AL140</f>
        <v/>
      </c>
      <c r="F141" s="343" t="str">
        <f>IF(E141="","",IF(ISNA(VLOOKUP($E141,'A-1 Site Habitat Baseline'!$D$1:$O$258,4,FALSE)),"",(VLOOKUP($E141,'A-1 Site Habitat Baseline'!$D$1:$O$258,4,FALSE))))</f>
        <v/>
      </c>
      <c r="G141" s="343" t="str">
        <f>IF(E141="","",IF(ISNA(VLOOKUP($E141,'A-1 Site Habitat Baseline'!$D$1:$O$258,5,FALSE)),"",(VLOOKUP($E141,'A-1 Site Habitat Baseline'!$D$1:$O$258,5,FALSE))))</f>
        <v/>
      </c>
      <c r="H141" s="343" t="str">
        <f>IF(E141="","",IF(ISNA(VLOOKUP($E141,'A-1 Site Habitat Baseline'!$D$1:$O$258,6,FALSE)),"",(VLOOKUP($E141,'A-1 Site Habitat Baseline'!$D$1:$O$258,6,FALSE))))</f>
        <v/>
      </c>
      <c r="I141" s="343" t="str">
        <f>IF(E141="","",IF(ISNA(VLOOKUP($E141,'A-1 Site Habitat Baseline'!$D$1:$O$258,7,FALSE)),"",(VLOOKUP($E141,'A-1 Site Habitat Baseline'!$D$1:$O$258,7,FALSE))))</f>
        <v/>
      </c>
      <c r="J141" s="343" t="str">
        <f>IF(E141="","",IF(ISNA(VLOOKUP($E141,'A-1 Site Habitat Baseline'!$D$1:$O$258,8,FALSE)),"",(VLOOKUP($E141,'A-1 Site Habitat Baseline'!$D$1:$O$258,8,FALSE))))</f>
        <v/>
      </c>
      <c r="K141" s="343" t="str">
        <f>IF(E141="","",IF(ISNA(VLOOKUP($E141,'A-1 Site Habitat Baseline'!$D$1:$O$258,9,FALSE)),"",(VLOOKUP($E141,'A-1 Site Habitat Baseline'!$D$1:$O$258,9,FALSE))))</f>
        <v/>
      </c>
      <c r="L141" s="343" t="str">
        <f>IF(E141="","",IF(ISNA(VLOOKUP($E141,'A-1 Site Habitat Baseline'!$D$1:$O$258,11,FALSE)),"",(VLOOKUP($E141,'A-1 Site Habitat Baseline'!$D$1:$O$258,11,FALSE))))</f>
        <v/>
      </c>
      <c r="M141" s="343" t="str">
        <f>IF(E141="","",IF(ISNA(VLOOKUP($E141,'A-1 Site Habitat Baseline'!$D$1:$O$258,12,FALSE)),"",(VLOOKUP($E141,'A-1 Site Habitat Baseline'!$D$1:$O$258,12,FALSE))))</f>
        <v/>
      </c>
      <c r="N141" s="344" t="str">
        <f>IF(E141="","",IF(ISNA(VLOOKUP($E141,'A-1 Site Habitat Baseline'!$D$1:$X$258,14,FALSE)),"",(VLOOKUP($E141,'A-1 Site Habitat Baseline'!$D$1:$X$258,14,FALSE))))</f>
        <v/>
      </c>
      <c r="O141" s="345" t="str">
        <f>IF(E141="","",IF(ISNA(VLOOKUP($E141,'A-1 Site Habitat Baseline'!$D$1:$X$258,16,FALSE)),"",(VLOOKUP($E141,'A-1 Site Habitat Baseline'!$D$1:$X$258,13,FALSE))))</f>
        <v/>
      </c>
      <c r="P141" s="346" t="str">
        <f>IFERROR(INDEX('G-1 All Habitats'!$AG$3:$AG$15,MATCH(Q141,'G-1 All Habitats'!$AF$3:$AF$15,0)),"")</f>
        <v/>
      </c>
      <c r="Q141" s="347"/>
      <c r="R141" s="347"/>
      <c r="S141" s="605" t="str">
        <f>IFERROR(INDEX('G-1 All Habitats'!$B$3:$B$130,MATCH(R141,'G-1 All Habitats'!$A$3:$A$130,0)),"")</f>
        <v/>
      </c>
      <c r="T141" s="77" t="str">
        <f t="shared" si="18"/>
        <v/>
      </c>
      <c r="U141" s="78" t="str">
        <f t="shared" ref="U141:U204" si="22">IF(F141="","",IF(AND(LEFT(F141,55)&lt;&gt;LEFT(S141,55),T141= "High - High"),"Error - Not like for like",IF(AND(I141=X141,K141&gt;Z141),"Error - Can not reduce condition",IF(AND(I141=X141,K141=Z141),"Error - No enhancement",IF(X141&lt;I141,"Error Trading Down",IF(AND(F141&lt;&gt;S141,I141&lt;X141),"Lower Distinctiveness Habitat"&amp;" - "&amp;Y141,J141&amp;" - "&amp;Y141))))))</f>
        <v/>
      </c>
      <c r="V141" s="350" t="str">
        <f t="shared" si="19"/>
        <v/>
      </c>
      <c r="W141" s="343" t="str">
        <f>IF(S141="","",VLOOKUP(S141,'G-1 All Habitats'!$B$2:$M$130,10,FALSE))</f>
        <v/>
      </c>
      <c r="X141" s="343" t="str">
        <f>IFERROR(VLOOKUP(W141,'G-1 All Habitats'!$V$3:$W$7,2,FALSE),"")</f>
        <v/>
      </c>
      <c r="Y141" s="91"/>
      <c r="Z141" s="345" t="str">
        <f>IFERROR(INDEX('G-8 Condition Look up'!$A$3:$H$131,MATCH(S141,'G-8 Condition Look up'!$A$3:$A$131,0),MATCH(Y141,'G-8 Condition Look up'!$A$3:$H$3,0)),"")</f>
        <v/>
      </c>
      <c r="AA141" s="79"/>
      <c r="AB141" s="343" t="str">
        <f>IF(AA141="","",IF(VLOOKUP(AA141,'G-3 Multipliers'!$L$3:$N$6,2,FALSE)=0,"Spatial Data Missing",VLOOKUP(AA141,'G-3 Multipliers'!$L$3:$N$6,2,FALSE)))</f>
        <v/>
      </c>
      <c r="AC141" s="345" t="str">
        <f>IF(AA141="","",IF(VLOOKUP(AA141,'G-3 Multipliers'!$L$3:$N$6,3,FALSE)=0,"Spatial Data Missing",VLOOKUP(AA141,'G-3 Multipliers'!$L$3:$N$6,3,FALSE)))</f>
        <v/>
      </c>
      <c r="AD141" s="351" t="str">
        <f t="shared" si="20"/>
        <v/>
      </c>
      <c r="AE141" s="94"/>
      <c r="AF141" s="94"/>
      <c r="AG141" s="343" t="str">
        <f t="shared" ref="AG141:AG204" si="23">IF(AD141="","",IF(AD141="Check Data","Check Data",IF(R141="","",IF(AND(AE141&gt;0,AF141&gt;0),"Error -both advance and delayed habitat creation",IF(AND(OR(AE141="Habitat already in target condition",AD141&lt;=AE141),AF141=0),"Check details - Is there evidence that habitat has reached target condition?",IF(O140="","",IF(AE141&gt;0,"Check details - Is there evidence habitat creation started/in place?",IF(AF141&gt;0,"Check details- Delay in starting habitat in required condition?","Standard time to target condition applied"))))))))</f>
        <v/>
      </c>
      <c r="AH141" s="591" t="str">
        <f t="shared" ref="AH141:AH204" si="24">IF(LEFT(AG141,5)="Error","Check Data",IF(AG141="Check Data","Check Data",IF(AD141="","",IF(AD141="Not Possible","Check Data",IF(AND(AD141="30+",AE141=0),"30+",IF(AND(AD141="30+",AE141="30+"),0,IF(AND(AD141="30+",AE141&lt;30),30-AE141,IF(AD141="30+",30-AE141,IF(AE141&gt;AD141,0,IF(AF141="30+","30+",IF(AD141+AF141&gt;30,"30+",IF(AD141+AF141&gt;30,"30+",IF(AD141-AE141&gt;30,"30+",IF(AD141+AF141-AE141&gt;0,AD141+AF141-AE141,IF(AD141-AE141&gt;0,AD141-AE141,AD141+AF141-AE141)))))))))))))))</f>
        <v/>
      </c>
      <c r="AI141" s="353" t="str">
        <f>IF(AH141="Check Data","Check Data",IFERROR(VLOOKUP(AH141,'G-4 Temporal multipliers'!$A$4:$C$36,3,FALSE),""))</f>
        <v/>
      </c>
      <c r="AJ141" s="77" t="str">
        <f>IF(S141="","",VLOOKUP(S141,'G-3 Multipliers'!$A$2:$E$130,4,FALSE))</f>
        <v/>
      </c>
      <c r="AK141" s="348" t="str">
        <f t="shared" ref="AK141:AK204" si="25">IF(E141="","",IF(AG141="Check details - Is there evidence that habitat has reached target condition?","Low Difficulty - only applicable if all habitat created before losses","Standard difficulty applied"))</f>
        <v/>
      </c>
      <c r="AL141" s="348" t="str">
        <f t="shared" ref="AL141:AL204" si="26">(IF(AND(AK141="Standard difficulty applied",AD141&gt;AE141),AJ141,IF(AND(AK141="Low Difficulty - only applicable if all habitat created before losses",AE141&gt;=AD141),"Low", AJ141)))</f>
        <v/>
      </c>
      <c r="AM141" s="607" t="str">
        <f>IFERROR(IF(F141="","",IF(AH141="Check Data","Check Data",VLOOKUP(AL141, 'G-3 Multipliers'!$P$2:$Q$6,2,FALSE))),””)</f>
        <v/>
      </c>
      <c r="AN141" s="81" t="str">
        <f t="shared" si="21"/>
        <v/>
      </c>
      <c r="AO141" s="355"/>
      <c r="AP141" s="356"/>
    </row>
    <row r="142" spans="1:42" x14ac:dyDescent="0.25">
      <c r="A142" s="52" t="str">
        <f>IF(E142="","",IF(ISNA(VLOOKUP($E142,'A-1 Site Habitat Baseline'!$D$1:$O$258,2,FALSE)),"",(VLOOKUP($E142,'A-1 Site Habitat Baseline'!$D$1:$O$258,2,FALSE))))</f>
        <v/>
      </c>
      <c r="B142" s="52" t="str">
        <f>IF(E142="","",IF(ISNA(VLOOKUP($E142,'A-1 Site Habitat Baseline'!$D$1:$O$258,3,FALSE)),"",(VLOOKUP($E142,'A-1 Site Habitat Baseline'!$D$1:$O$258,3,FALSE))))</f>
        <v/>
      </c>
      <c r="C142" s="52" t="str">
        <f>IFERROR(INDEX('G-8 Condition Look up'!$I$4:$I$131,MATCH(S142,'G-8 Condition Look up'!$A$4:$A$131,0)),"")</f>
        <v/>
      </c>
      <c r="E142" s="342" t="str">
        <f>'A-1 Site Habitat Baseline'!AL141</f>
        <v/>
      </c>
      <c r="F142" s="343" t="str">
        <f>IF(E142="","",IF(ISNA(VLOOKUP($E142,'A-1 Site Habitat Baseline'!$D$1:$O$258,4,FALSE)),"",(VLOOKUP($E142,'A-1 Site Habitat Baseline'!$D$1:$O$258,4,FALSE))))</f>
        <v/>
      </c>
      <c r="G142" s="343" t="str">
        <f>IF(E142="","",IF(ISNA(VLOOKUP($E142,'A-1 Site Habitat Baseline'!$D$1:$O$258,5,FALSE)),"",(VLOOKUP($E142,'A-1 Site Habitat Baseline'!$D$1:$O$258,5,FALSE))))</f>
        <v/>
      </c>
      <c r="H142" s="343" t="str">
        <f>IF(E142="","",IF(ISNA(VLOOKUP($E142,'A-1 Site Habitat Baseline'!$D$1:$O$258,6,FALSE)),"",(VLOOKUP($E142,'A-1 Site Habitat Baseline'!$D$1:$O$258,6,FALSE))))</f>
        <v/>
      </c>
      <c r="I142" s="343" t="str">
        <f>IF(E142="","",IF(ISNA(VLOOKUP($E142,'A-1 Site Habitat Baseline'!$D$1:$O$258,7,FALSE)),"",(VLOOKUP($E142,'A-1 Site Habitat Baseline'!$D$1:$O$258,7,FALSE))))</f>
        <v/>
      </c>
      <c r="J142" s="343" t="str">
        <f>IF(E142="","",IF(ISNA(VLOOKUP($E142,'A-1 Site Habitat Baseline'!$D$1:$O$258,8,FALSE)),"",(VLOOKUP($E142,'A-1 Site Habitat Baseline'!$D$1:$O$258,8,FALSE))))</f>
        <v/>
      </c>
      <c r="K142" s="343" t="str">
        <f>IF(E142="","",IF(ISNA(VLOOKUP($E142,'A-1 Site Habitat Baseline'!$D$1:$O$258,9,FALSE)),"",(VLOOKUP($E142,'A-1 Site Habitat Baseline'!$D$1:$O$258,9,FALSE))))</f>
        <v/>
      </c>
      <c r="L142" s="343" t="str">
        <f>IF(E142="","",IF(ISNA(VLOOKUP($E142,'A-1 Site Habitat Baseline'!$D$1:$O$258,11,FALSE)),"",(VLOOKUP($E142,'A-1 Site Habitat Baseline'!$D$1:$O$258,11,FALSE))))</f>
        <v/>
      </c>
      <c r="M142" s="343" t="str">
        <f>IF(E142="","",IF(ISNA(VLOOKUP($E142,'A-1 Site Habitat Baseline'!$D$1:$O$258,12,FALSE)),"",(VLOOKUP($E142,'A-1 Site Habitat Baseline'!$D$1:$O$258,12,FALSE))))</f>
        <v/>
      </c>
      <c r="N142" s="344" t="str">
        <f>IF(E142="","",IF(ISNA(VLOOKUP($E142,'A-1 Site Habitat Baseline'!$D$1:$X$258,14,FALSE)),"",(VLOOKUP($E142,'A-1 Site Habitat Baseline'!$D$1:$X$258,14,FALSE))))</f>
        <v/>
      </c>
      <c r="O142" s="345" t="str">
        <f>IF(E142="","",IF(ISNA(VLOOKUP($E142,'A-1 Site Habitat Baseline'!$D$1:$X$258,16,FALSE)),"",(VLOOKUP($E142,'A-1 Site Habitat Baseline'!$D$1:$X$258,13,FALSE))))</f>
        <v/>
      </c>
      <c r="P142" s="346" t="str">
        <f>IFERROR(INDEX('G-1 All Habitats'!$AG$3:$AG$15,MATCH(Q142,'G-1 All Habitats'!$AF$3:$AF$15,0)),"")</f>
        <v/>
      </c>
      <c r="Q142" s="347"/>
      <c r="R142" s="347"/>
      <c r="S142" s="605" t="str">
        <f>IFERROR(INDEX('G-1 All Habitats'!$B$3:$B$130,MATCH(R142,'G-1 All Habitats'!$A$3:$A$130,0)),"")</f>
        <v/>
      </c>
      <c r="T142" s="77" t="str">
        <f t="shared" si="18"/>
        <v/>
      </c>
      <c r="U142" s="78" t="str">
        <f t="shared" si="22"/>
        <v/>
      </c>
      <c r="V142" s="350" t="str">
        <f t="shared" si="19"/>
        <v/>
      </c>
      <c r="W142" s="343" t="str">
        <f>IF(S142="","",VLOOKUP(S142,'G-1 All Habitats'!$B$2:$M$130,10,FALSE))</f>
        <v/>
      </c>
      <c r="X142" s="343" t="str">
        <f>IFERROR(VLOOKUP(W142,'G-1 All Habitats'!$V$3:$W$7,2,FALSE),"")</f>
        <v/>
      </c>
      <c r="Y142" s="91"/>
      <c r="Z142" s="345" t="str">
        <f>IFERROR(INDEX('G-8 Condition Look up'!$A$3:$H$131,MATCH(S142,'G-8 Condition Look up'!$A$3:$A$131,0),MATCH(Y142,'G-8 Condition Look up'!$A$3:$H$3,0)),"")</f>
        <v/>
      </c>
      <c r="AA142" s="79"/>
      <c r="AB142" s="343" t="str">
        <f>IF(AA142="","",IF(VLOOKUP(AA142,'G-3 Multipliers'!$L$3:$N$6,2,FALSE)=0,"Spatial Data Missing",VLOOKUP(AA142,'G-3 Multipliers'!$L$3:$N$6,2,FALSE)))</f>
        <v/>
      </c>
      <c r="AC142" s="345" t="str">
        <f>IF(AA142="","",IF(VLOOKUP(AA142,'G-3 Multipliers'!$L$3:$N$6,3,FALSE)=0,"Spatial Data Missing",VLOOKUP(AA142,'G-3 Multipliers'!$L$3:$N$6,3,FALSE)))</f>
        <v/>
      </c>
      <c r="AD142" s="351" t="str">
        <f t="shared" si="20"/>
        <v/>
      </c>
      <c r="AE142" s="94"/>
      <c r="AF142" s="94"/>
      <c r="AG142" s="343" t="str">
        <f t="shared" si="23"/>
        <v/>
      </c>
      <c r="AH142" s="591" t="str">
        <f t="shared" si="24"/>
        <v/>
      </c>
      <c r="AI142" s="353" t="str">
        <f>IF(AH142="Check Data","Check Data",IFERROR(VLOOKUP(AH142,'G-4 Temporal multipliers'!$A$4:$C$36,3,FALSE),""))</f>
        <v/>
      </c>
      <c r="AJ142" s="77" t="str">
        <f>IF(S142="","",VLOOKUP(S142,'G-3 Multipliers'!$A$2:$E$130,4,FALSE))</f>
        <v/>
      </c>
      <c r="AK142" s="348" t="str">
        <f t="shared" si="25"/>
        <v/>
      </c>
      <c r="AL142" s="348" t="str">
        <f t="shared" si="26"/>
        <v/>
      </c>
      <c r="AM142" s="607" t="str">
        <f>IFERROR(IF(F142="","",IF(AH142="Check Data","Check Data",VLOOKUP(AL142, 'G-3 Multipliers'!$P$2:$Q$6,2,FALSE))),””)</f>
        <v/>
      </c>
      <c r="AN142" s="81" t="str">
        <f t="shared" si="21"/>
        <v/>
      </c>
      <c r="AO142" s="355"/>
      <c r="AP142" s="356"/>
    </row>
    <row r="143" spans="1:42" x14ac:dyDescent="0.25">
      <c r="A143" s="52" t="str">
        <f>IF(E143="","",IF(ISNA(VLOOKUP($E143,'A-1 Site Habitat Baseline'!$D$1:$O$258,2,FALSE)),"",(VLOOKUP($E143,'A-1 Site Habitat Baseline'!$D$1:$O$258,2,FALSE))))</f>
        <v/>
      </c>
      <c r="B143" s="52" t="str">
        <f>IF(E143="","",IF(ISNA(VLOOKUP($E143,'A-1 Site Habitat Baseline'!$D$1:$O$258,3,FALSE)),"",(VLOOKUP($E143,'A-1 Site Habitat Baseline'!$D$1:$O$258,3,FALSE))))</f>
        <v/>
      </c>
      <c r="C143" s="52" t="str">
        <f>IFERROR(INDEX('G-8 Condition Look up'!$I$4:$I$131,MATCH(S143,'G-8 Condition Look up'!$A$4:$A$131,0)),"")</f>
        <v/>
      </c>
      <c r="E143" s="342" t="str">
        <f>'A-1 Site Habitat Baseline'!AL142</f>
        <v/>
      </c>
      <c r="F143" s="343" t="str">
        <f>IF(E143="","",IF(ISNA(VLOOKUP($E143,'A-1 Site Habitat Baseline'!$D$1:$O$258,4,FALSE)),"",(VLOOKUP($E143,'A-1 Site Habitat Baseline'!$D$1:$O$258,4,FALSE))))</f>
        <v/>
      </c>
      <c r="G143" s="343" t="str">
        <f>IF(E143="","",IF(ISNA(VLOOKUP($E143,'A-1 Site Habitat Baseline'!$D$1:$O$258,5,FALSE)),"",(VLOOKUP($E143,'A-1 Site Habitat Baseline'!$D$1:$O$258,5,FALSE))))</f>
        <v/>
      </c>
      <c r="H143" s="343" t="str">
        <f>IF(E143="","",IF(ISNA(VLOOKUP($E143,'A-1 Site Habitat Baseline'!$D$1:$O$258,6,FALSE)),"",(VLOOKUP($E143,'A-1 Site Habitat Baseline'!$D$1:$O$258,6,FALSE))))</f>
        <v/>
      </c>
      <c r="I143" s="343" t="str">
        <f>IF(E143="","",IF(ISNA(VLOOKUP($E143,'A-1 Site Habitat Baseline'!$D$1:$O$258,7,FALSE)),"",(VLOOKUP($E143,'A-1 Site Habitat Baseline'!$D$1:$O$258,7,FALSE))))</f>
        <v/>
      </c>
      <c r="J143" s="343" t="str">
        <f>IF(E143="","",IF(ISNA(VLOOKUP($E143,'A-1 Site Habitat Baseline'!$D$1:$O$258,8,FALSE)),"",(VLOOKUP($E143,'A-1 Site Habitat Baseline'!$D$1:$O$258,8,FALSE))))</f>
        <v/>
      </c>
      <c r="K143" s="343" t="str">
        <f>IF(E143="","",IF(ISNA(VLOOKUP($E143,'A-1 Site Habitat Baseline'!$D$1:$O$258,9,FALSE)),"",(VLOOKUP($E143,'A-1 Site Habitat Baseline'!$D$1:$O$258,9,FALSE))))</f>
        <v/>
      </c>
      <c r="L143" s="343" t="str">
        <f>IF(E143="","",IF(ISNA(VLOOKUP($E143,'A-1 Site Habitat Baseline'!$D$1:$O$258,11,FALSE)),"",(VLOOKUP($E143,'A-1 Site Habitat Baseline'!$D$1:$O$258,11,FALSE))))</f>
        <v/>
      </c>
      <c r="M143" s="343" t="str">
        <f>IF(E143="","",IF(ISNA(VLOOKUP($E143,'A-1 Site Habitat Baseline'!$D$1:$O$258,12,FALSE)),"",(VLOOKUP($E143,'A-1 Site Habitat Baseline'!$D$1:$O$258,12,FALSE))))</f>
        <v/>
      </c>
      <c r="N143" s="344" t="str">
        <f>IF(E143="","",IF(ISNA(VLOOKUP($E143,'A-1 Site Habitat Baseline'!$D$1:$X$258,14,FALSE)),"",(VLOOKUP($E143,'A-1 Site Habitat Baseline'!$D$1:$X$258,14,FALSE))))</f>
        <v/>
      </c>
      <c r="O143" s="345" t="str">
        <f>IF(E143="","",IF(ISNA(VLOOKUP($E143,'A-1 Site Habitat Baseline'!$D$1:$X$258,16,FALSE)),"",(VLOOKUP($E143,'A-1 Site Habitat Baseline'!$D$1:$X$258,13,FALSE))))</f>
        <v/>
      </c>
      <c r="P143" s="346" t="str">
        <f>IFERROR(INDEX('G-1 All Habitats'!$AG$3:$AG$15,MATCH(Q143,'G-1 All Habitats'!$AF$3:$AF$15,0)),"")</f>
        <v/>
      </c>
      <c r="Q143" s="347"/>
      <c r="R143" s="347"/>
      <c r="S143" s="605" t="str">
        <f>IFERROR(INDEX('G-1 All Habitats'!$B$3:$B$130,MATCH(R143,'G-1 All Habitats'!$A$3:$A$130,0)),"")</f>
        <v/>
      </c>
      <c r="T143" s="77" t="str">
        <f t="shared" si="18"/>
        <v/>
      </c>
      <c r="U143" s="78" t="str">
        <f t="shared" si="22"/>
        <v/>
      </c>
      <c r="V143" s="350" t="str">
        <f t="shared" si="19"/>
        <v/>
      </c>
      <c r="W143" s="343" t="str">
        <f>IF(S143="","",VLOOKUP(S143,'G-1 All Habitats'!$B$2:$M$130,10,FALSE))</f>
        <v/>
      </c>
      <c r="X143" s="343" t="str">
        <f>IFERROR(VLOOKUP(W143,'G-1 All Habitats'!$V$3:$W$7,2,FALSE),"")</f>
        <v/>
      </c>
      <c r="Y143" s="91"/>
      <c r="Z143" s="345" t="str">
        <f>IFERROR(INDEX('G-8 Condition Look up'!$A$3:$H$131,MATCH(S143,'G-8 Condition Look up'!$A$3:$A$131,0),MATCH(Y143,'G-8 Condition Look up'!$A$3:$H$3,0)),"")</f>
        <v/>
      </c>
      <c r="AA143" s="79"/>
      <c r="AB143" s="343" t="str">
        <f>IF(AA143="","",IF(VLOOKUP(AA143,'G-3 Multipliers'!$L$3:$N$6,2,FALSE)=0,"Spatial Data Missing",VLOOKUP(AA143,'G-3 Multipliers'!$L$3:$N$6,2,FALSE)))</f>
        <v/>
      </c>
      <c r="AC143" s="345" t="str">
        <f>IF(AA143="","",IF(VLOOKUP(AA143,'G-3 Multipliers'!$L$3:$N$6,3,FALSE)=0,"Spatial Data Missing",VLOOKUP(AA143,'G-3 Multipliers'!$L$3:$N$6,3,FALSE)))</f>
        <v/>
      </c>
      <c r="AD143" s="351" t="str">
        <f t="shared" si="20"/>
        <v/>
      </c>
      <c r="AE143" s="94"/>
      <c r="AF143" s="94"/>
      <c r="AG143" s="343" t="str">
        <f t="shared" si="23"/>
        <v/>
      </c>
      <c r="AH143" s="591" t="str">
        <f t="shared" si="24"/>
        <v/>
      </c>
      <c r="AI143" s="353" t="str">
        <f>IF(AH143="Check Data","Check Data",IFERROR(VLOOKUP(AH143,'G-4 Temporal multipliers'!$A$4:$C$36,3,FALSE),""))</f>
        <v/>
      </c>
      <c r="AJ143" s="77" t="str">
        <f>IF(S143="","",VLOOKUP(S143,'G-3 Multipliers'!$A$2:$E$130,4,FALSE))</f>
        <v/>
      </c>
      <c r="AK143" s="348" t="str">
        <f t="shared" si="25"/>
        <v/>
      </c>
      <c r="AL143" s="348" t="str">
        <f t="shared" si="26"/>
        <v/>
      </c>
      <c r="AM143" s="607" t="str">
        <f>IFERROR(IF(F143="","",IF(AH143="Check Data","Check Data",VLOOKUP(AL143, 'G-3 Multipliers'!$P$2:$Q$6,2,FALSE))),””)</f>
        <v/>
      </c>
      <c r="AN143" s="81" t="str">
        <f t="shared" si="21"/>
        <v/>
      </c>
      <c r="AO143" s="355"/>
      <c r="AP143" s="356"/>
    </row>
    <row r="144" spans="1:42" x14ac:dyDescent="0.25">
      <c r="A144" s="52" t="str">
        <f>IF(E144="","",IF(ISNA(VLOOKUP($E144,'A-1 Site Habitat Baseline'!$D$1:$O$258,2,FALSE)),"",(VLOOKUP($E144,'A-1 Site Habitat Baseline'!$D$1:$O$258,2,FALSE))))</f>
        <v/>
      </c>
      <c r="B144" s="52" t="str">
        <f>IF(E144="","",IF(ISNA(VLOOKUP($E144,'A-1 Site Habitat Baseline'!$D$1:$O$258,3,FALSE)),"",(VLOOKUP($E144,'A-1 Site Habitat Baseline'!$D$1:$O$258,3,FALSE))))</f>
        <v/>
      </c>
      <c r="C144" s="52" t="str">
        <f>IFERROR(INDEX('G-8 Condition Look up'!$I$4:$I$131,MATCH(S144,'G-8 Condition Look up'!$A$4:$A$131,0)),"")</f>
        <v/>
      </c>
      <c r="E144" s="342" t="str">
        <f>'A-1 Site Habitat Baseline'!AL143</f>
        <v/>
      </c>
      <c r="F144" s="343" t="str">
        <f>IF(E144="","",IF(ISNA(VLOOKUP($E144,'A-1 Site Habitat Baseline'!$D$1:$O$258,4,FALSE)),"",(VLOOKUP($E144,'A-1 Site Habitat Baseline'!$D$1:$O$258,4,FALSE))))</f>
        <v/>
      </c>
      <c r="G144" s="343" t="str">
        <f>IF(E144="","",IF(ISNA(VLOOKUP($E144,'A-1 Site Habitat Baseline'!$D$1:$O$258,5,FALSE)),"",(VLOOKUP($E144,'A-1 Site Habitat Baseline'!$D$1:$O$258,5,FALSE))))</f>
        <v/>
      </c>
      <c r="H144" s="343" t="str">
        <f>IF(E144="","",IF(ISNA(VLOOKUP($E144,'A-1 Site Habitat Baseline'!$D$1:$O$258,6,FALSE)),"",(VLOOKUP($E144,'A-1 Site Habitat Baseline'!$D$1:$O$258,6,FALSE))))</f>
        <v/>
      </c>
      <c r="I144" s="343" t="str">
        <f>IF(E144="","",IF(ISNA(VLOOKUP($E144,'A-1 Site Habitat Baseline'!$D$1:$O$258,7,FALSE)),"",(VLOOKUP($E144,'A-1 Site Habitat Baseline'!$D$1:$O$258,7,FALSE))))</f>
        <v/>
      </c>
      <c r="J144" s="343" t="str">
        <f>IF(E144="","",IF(ISNA(VLOOKUP($E144,'A-1 Site Habitat Baseline'!$D$1:$O$258,8,FALSE)),"",(VLOOKUP($E144,'A-1 Site Habitat Baseline'!$D$1:$O$258,8,FALSE))))</f>
        <v/>
      </c>
      <c r="K144" s="343" t="str">
        <f>IF(E144="","",IF(ISNA(VLOOKUP($E144,'A-1 Site Habitat Baseline'!$D$1:$O$258,9,FALSE)),"",(VLOOKUP($E144,'A-1 Site Habitat Baseline'!$D$1:$O$258,9,FALSE))))</f>
        <v/>
      </c>
      <c r="L144" s="343" t="str">
        <f>IF(E144="","",IF(ISNA(VLOOKUP($E144,'A-1 Site Habitat Baseline'!$D$1:$O$258,11,FALSE)),"",(VLOOKUP($E144,'A-1 Site Habitat Baseline'!$D$1:$O$258,11,FALSE))))</f>
        <v/>
      </c>
      <c r="M144" s="343" t="str">
        <f>IF(E144="","",IF(ISNA(VLOOKUP($E144,'A-1 Site Habitat Baseline'!$D$1:$O$258,12,FALSE)),"",(VLOOKUP($E144,'A-1 Site Habitat Baseline'!$D$1:$O$258,12,FALSE))))</f>
        <v/>
      </c>
      <c r="N144" s="344" t="str">
        <f>IF(E144="","",IF(ISNA(VLOOKUP($E144,'A-1 Site Habitat Baseline'!$D$1:$X$258,14,FALSE)),"",(VLOOKUP($E144,'A-1 Site Habitat Baseline'!$D$1:$X$258,14,FALSE))))</f>
        <v/>
      </c>
      <c r="O144" s="345" t="str">
        <f>IF(E144="","",IF(ISNA(VLOOKUP($E144,'A-1 Site Habitat Baseline'!$D$1:$X$258,16,FALSE)),"",(VLOOKUP($E144,'A-1 Site Habitat Baseline'!$D$1:$X$258,13,FALSE))))</f>
        <v/>
      </c>
      <c r="P144" s="346" t="str">
        <f>IFERROR(INDEX('G-1 All Habitats'!$AG$3:$AG$15,MATCH(Q144,'G-1 All Habitats'!$AF$3:$AF$15,0)),"")</f>
        <v/>
      </c>
      <c r="Q144" s="347"/>
      <c r="R144" s="347"/>
      <c r="S144" s="605" t="str">
        <f>IFERROR(INDEX('G-1 All Habitats'!$B$3:$B$130,MATCH(R144,'G-1 All Habitats'!$A$3:$A$130,0)),"")</f>
        <v/>
      </c>
      <c r="T144" s="77" t="str">
        <f t="shared" ref="T144:T207" si="27">IF(E144="","",IF(AND(LEFT(O144,6)="Same d",I144&gt;X144),"Error - Trading rules not satisfied",IF(AND(LEFT(O144,6)="Same b",AND(LEFT(F144,5)&lt;&gt;LEFT(S144,5),I144&gt;X144)),"Error - Trading rules not satisfied",IF(AND(LEFT(O144,6)="Same h",F144&lt;&gt;S144),"Error - Trading rules not satisfied",IF(AND(LEFT(O144,6)="Bespok",F144&lt;&gt;S144),"Error - Trading rules not satisfied",IF(X144&lt;I144,"Error Trading Down",H144&amp;" - "&amp;W144))))))</f>
        <v/>
      </c>
      <c r="U144" s="78" t="str">
        <f t="shared" si="22"/>
        <v/>
      </c>
      <c r="V144" s="350" t="str">
        <f t="shared" si="19"/>
        <v/>
      </c>
      <c r="W144" s="343" t="str">
        <f>IF(S144="","",VLOOKUP(S144,'G-1 All Habitats'!$B$2:$M$130,10,FALSE))</f>
        <v/>
      </c>
      <c r="X144" s="343" t="str">
        <f>IFERROR(VLOOKUP(W144,'G-1 All Habitats'!$V$3:$W$7,2,FALSE),"")</f>
        <v/>
      </c>
      <c r="Y144" s="91"/>
      <c r="Z144" s="345" t="str">
        <f>IFERROR(INDEX('G-8 Condition Look up'!$A$3:$H$131,MATCH(S144,'G-8 Condition Look up'!$A$3:$A$131,0),MATCH(Y144,'G-8 Condition Look up'!$A$3:$H$3,0)),"")</f>
        <v/>
      </c>
      <c r="AA144" s="79"/>
      <c r="AB144" s="343" t="str">
        <f>IF(AA144="","",IF(VLOOKUP(AA144,'G-3 Multipliers'!$L$3:$N$6,2,FALSE)=0,"Spatial Data Missing",VLOOKUP(AA144,'G-3 Multipliers'!$L$3:$N$6,2,FALSE)))</f>
        <v/>
      </c>
      <c r="AC144" s="345" t="str">
        <f>IF(AA144="","",IF(VLOOKUP(AA144,'G-3 Multipliers'!$L$3:$N$6,3,FALSE)=0,"Spatial Data Missing",VLOOKUP(AA144,'G-3 Multipliers'!$L$3:$N$6,3,FALSE)))</f>
        <v/>
      </c>
      <c r="AD144" s="351" t="str">
        <f t="shared" si="20"/>
        <v/>
      </c>
      <c r="AE144" s="94"/>
      <c r="AF144" s="94"/>
      <c r="AG144" s="343" t="str">
        <f t="shared" si="23"/>
        <v/>
      </c>
      <c r="AH144" s="591" t="str">
        <f t="shared" si="24"/>
        <v/>
      </c>
      <c r="AI144" s="353" t="str">
        <f>IF(AH144="Check Data","Check Data",IFERROR(VLOOKUP(AH144,'G-4 Temporal multipliers'!$A$4:$C$36,3,FALSE),""))</f>
        <v/>
      </c>
      <c r="AJ144" s="77" t="str">
        <f>IF(S144="","",VLOOKUP(S144,'G-3 Multipliers'!$A$2:$E$130,4,FALSE))</f>
        <v/>
      </c>
      <c r="AK144" s="348" t="str">
        <f t="shared" si="25"/>
        <v/>
      </c>
      <c r="AL144" s="348" t="str">
        <f t="shared" si="26"/>
        <v/>
      </c>
      <c r="AM144" s="607" t="str">
        <f>IFERROR(IF(F144="","",IF(AH144="Check Data","Check Data",VLOOKUP(AL144, 'G-3 Multipliers'!$P$2:$Q$6,2,FALSE))),””)</f>
        <v/>
      </c>
      <c r="AN144" s="81" t="str">
        <f t="shared" si="21"/>
        <v/>
      </c>
      <c r="AO144" s="355"/>
      <c r="AP144" s="356"/>
    </row>
    <row r="145" spans="1:42" x14ac:dyDescent="0.25">
      <c r="A145" s="52" t="str">
        <f>IF(E145="","",IF(ISNA(VLOOKUP($E145,'A-1 Site Habitat Baseline'!$D$1:$O$258,2,FALSE)),"",(VLOOKUP($E145,'A-1 Site Habitat Baseline'!$D$1:$O$258,2,FALSE))))</f>
        <v/>
      </c>
      <c r="B145" s="52" t="str">
        <f>IF(E145="","",IF(ISNA(VLOOKUP($E145,'A-1 Site Habitat Baseline'!$D$1:$O$258,3,FALSE)),"",(VLOOKUP($E145,'A-1 Site Habitat Baseline'!$D$1:$O$258,3,FALSE))))</f>
        <v/>
      </c>
      <c r="C145" s="52" t="str">
        <f>IFERROR(INDEX('G-8 Condition Look up'!$I$4:$I$131,MATCH(S145,'G-8 Condition Look up'!$A$4:$A$131,0)),"")</f>
        <v/>
      </c>
      <c r="E145" s="342" t="str">
        <f>'A-1 Site Habitat Baseline'!AL144</f>
        <v/>
      </c>
      <c r="F145" s="343" t="str">
        <f>IF(E145="","",IF(ISNA(VLOOKUP($E145,'A-1 Site Habitat Baseline'!$D$1:$O$258,4,FALSE)),"",(VLOOKUP($E145,'A-1 Site Habitat Baseline'!$D$1:$O$258,4,FALSE))))</f>
        <v/>
      </c>
      <c r="G145" s="343" t="str">
        <f>IF(E145="","",IF(ISNA(VLOOKUP($E145,'A-1 Site Habitat Baseline'!$D$1:$O$258,5,FALSE)),"",(VLOOKUP($E145,'A-1 Site Habitat Baseline'!$D$1:$O$258,5,FALSE))))</f>
        <v/>
      </c>
      <c r="H145" s="343" t="str">
        <f>IF(E145="","",IF(ISNA(VLOOKUP($E145,'A-1 Site Habitat Baseline'!$D$1:$O$258,6,FALSE)),"",(VLOOKUP($E145,'A-1 Site Habitat Baseline'!$D$1:$O$258,6,FALSE))))</f>
        <v/>
      </c>
      <c r="I145" s="343" t="str">
        <f>IF(E145="","",IF(ISNA(VLOOKUP($E145,'A-1 Site Habitat Baseline'!$D$1:$O$258,7,FALSE)),"",(VLOOKUP($E145,'A-1 Site Habitat Baseline'!$D$1:$O$258,7,FALSE))))</f>
        <v/>
      </c>
      <c r="J145" s="343" t="str">
        <f>IF(E145="","",IF(ISNA(VLOOKUP($E145,'A-1 Site Habitat Baseline'!$D$1:$O$258,8,FALSE)),"",(VLOOKUP($E145,'A-1 Site Habitat Baseline'!$D$1:$O$258,8,FALSE))))</f>
        <v/>
      </c>
      <c r="K145" s="343" t="str">
        <f>IF(E145="","",IF(ISNA(VLOOKUP($E145,'A-1 Site Habitat Baseline'!$D$1:$O$258,9,FALSE)),"",(VLOOKUP($E145,'A-1 Site Habitat Baseline'!$D$1:$O$258,9,FALSE))))</f>
        <v/>
      </c>
      <c r="L145" s="343" t="str">
        <f>IF(E145="","",IF(ISNA(VLOOKUP($E145,'A-1 Site Habitat Baseline'!$D$1:$O$258,11,FALSE)),"",(VLOOKUP($E145,'A-1 Site Habitat Baseline'!$D$1:$O$258,11,FALSE))))</f>
        <v/>
      </c>
      <c r="M145" s="343" t="str">
        <f>IF(E145="","",IF(ISNA(VLOOKUP($E145,'A-1 Site Habitat Baseline'!$D$1:$O$258,12,FALSE)),"",(VLOOKUP($E145,'A-1 Site Habitat Baseline'!$D$1:$O$258,12,FALSE))))</f>
        <v/>
      </c>
      <c r="N145" s="344" t="str">
        <f>IF(E145="","",IF(ISNA(VLOOKUP($E145,'A-1 Site Habitat Baseline'!$D$1:$X$258,14,FALSE)),"",(VLOOKUP($E145,'A-1 Site Habitat Baseline'!$D$1:$X$258,14,FALSE))))</f>
        <v/>
      </c>
      <c r="O145" s="345" t="str">
        <f>IF(E145="","",IF(ISNA(VLOOKUP($E145,'A-1 Site Habitat Baseline'!$D$1:$X$258,16,FALSE)),"",(VLOOKUP($E145,'A-1 Site Habitat Baseline'!$D$1:$X$258,13,FALSE))))</f>
        <v/>
      </c>
      <c r="P145" s="346" t="str">
        <f>IFERROR(INDEX('G-1 All Habitats'!$AG$3:$AG$15,MATCH(Q145,'G-1 All Habitats'!$AF$3:$AF$15,0)),"")</f>
        <v/>
      </c>
      <c r="Q145" s="347"/>
      <c r="R145" s="347"/>
      <c r="S145" s="605" t="str">
        <f>IFERROR(INDEX('G-1 All Habitats'!$B$3:$B$130,MATCH(R145,'G-1 All Habitats'!$A$3:$A$130,0)),"")</f>
        <v/>
      </c>
      <c r="T145" s="77" t="str">
        <f t="shared" si="27"/>
        <v/>
      </c>
      <c r="U145" s="78" t="str">
        <f t="shared" si="22"/>
        <v/>
      </c>
      <c r="V145" s="350" t="str">
        <f t="shared" si="19"/>
        <v/>
      </c>
      <c r="W145" s="343" t="str">
        <f>IF(S145="","",VLOOKUP(S145,'G-1 All Habitats'!$B$2:$M$130,10,FALSE))</f>
        <v/>
      </c>
      <c r="X145" s="343" t="str">
        <f>IFERROR(VLOOKUP(W145,'G-1 All Habitats'!$V$3:$W$7,2,FALSE),"")</f>
        <v/>
      </c>
      <c r="Y145" s="91"/>
      <c r="Z145" s="345" t="str">
        <f>IFERROR(INDEX('G-8 Condition Look up'!$A$3:$H$131,MATCH(S145,'G-8 Condition Look up'!$A$3:$A$131,0),MATCH(Y145,'G-8 Condition Look up'!$A$3:$H$3,0)),"")</f>
        <v/>
      </c>
      <c r="AA145" s="79"/>
      <c r="AB145" s="343" t="str">
        <f>IF(AA145="","",IF(VLOOKUP(AA145,'G-3 Multipliers'!$L$3:$N$6,2,FALSE)=0,"Spatial Data Missing",VLOOKUP(AA145,'G-3 Multipliers'!$L$3:$N$6,2,FALSE)))</f>
        <v/>
      </c>
      <c r="AC145" s="345" t="str">
        <f>IF(AA145="","",IF(VLOOKUP(AA145,'G-3 Multipliers'!$L$3:$N$6,3,FALSE)=0,"Spatial Data Missing",VLOOKUP(AA145,'G-3 Multipliers'!$L$3:$N$6,3,FALSE)))</f>
        <v/>
      </c>
      <c r="AD145" s="351" t="str">
        <f t="shared" si="20"/>
        <v/>
      </c>
      <c r="AE145" s="94"/>
      <c r="AF145" s="94"/>
      <c r="AG145" s="343" t="str">
        <f t="shared" si="23"/>
        <v/>
      </c>
      <c r="AH145" s="591" t="str">
        <f t="shared" si="24"/>
        <v/>
      </c>
      <c r="AI145" s="353" t="str">
        <f>IF(AH145="Check Data","Check Data",IFERROR(VLOOKUP(AH145,'G-4 Temporal multipliers'!$A$4:$C$36,3,FALSE),""))</f>
        <v/>
      </c>
      <c r="AJ145" s="77" t="str">
        <f>IF(S145="","",VLOOKUP(S145,'G-3 Multipliers'!$A$2:$E$130,4,FALSE))</f>
        <v/>
      </c>
      <c r="AK145" s="348" t="str">
        <f t="shared" si="25"/>
        <v/>
      </c>
      <c r="AL145" s="348" t="str">
        <f t="shared" si="26"/>
        <v/>
      </c>
      <c r="AM145" s="607" t="str">
        <f>IFERROR(IF(F145="","",IF(AH145="Check Data","Check Data",VLOOKUP(AL145, 'G-3 Multipliers'!$P$2:$Q$6,2,FALSE))),””)</f>
        <v/>
      </c>
      <c r="AN145" s="81" t="str">
        <f t="shared" si="21"/>
        <v/>
      </c>
      <c r="AO145" s="355"/>
      <c r="AP145" s="356"/>
    </row>
    <row r="146" spans="1:42" x14ac:dyDescent="0.25">
      <c r="A146" s="52" t="str">
        <f>IF(E146="","",IF(ISNA(VLOOKUP($E146,'A-1 Site Habitat Baseline'!$D$1:$O$258,2,FALSE)),"",(VLOOKUP($E146,'A-1 Site Habitat Baseline'!$D$1:$O$258,2,FALSE))))</f>
        <v/>
      </c>
      <c r="B146" s="52" t="str">
        <f>IF(E146="","",IF(ISNA(VLOOKUP($E146,'A-1 Site Habitat Baseline'!$D$1:$O$258,3,FALSE)),"",(VLOOKUP($E146,'A-1 Site Habitat Baseline'!$D$1:$O$258,3,FALSE))))</f>
        <v/>
      </c>
      <c r="C146" s="52" t="str">
        <f>IFERROR(INDEX('G-8 Condition Look up'!$I$4:$I$131,MATCH(S146,'G-8 Condition Look up'!$A$4:$A$131,0)),"")</f>
        <v/>
      </c>
      <c r="E146" s="342" t="str">
        <f>'A-1 Site Habitat Baseline'!AL145</f>
        <v/>
      </c>
      <c r="F146" s="343" t="str">
        <f>IF(E146="","",IF(ISNA(VLOOKUP($E146,'A-1 Site Habitat Baseline'!$D$1:$O$258,4,FALSE)),"",(VLOOKUP($E146,'A-1 Site Habitat Baseline'!$D$1:$O$258,4,FALSE))))</f>
        <v/>
      </c>
      <c r="G146" s="343" t="str">
        <f>IF(E146="","",IF(ISNA(VLOOKUP($E146,'A-1 Site Habitat Baseline'!$D$1:$O$258,5,FALSE)),"",(VLOOKUP($E146,'A-1 Site Habitat Baseline'!$D$1:$O$258,5,FALSE))))</f>
        <v/>
      </c>
      <c r="H146" s="343" t="str">
        <f>IF(E146="","",IF(ISNA(VLOOKUP($E146,'A-1 Site Habitat Baseline'!$D$1:$O$258,6,FALSE)),"",(VLOOKUP($E146,'A-1 Site Habitat Baseline'!$D$1:$O$258,6,FALSE))))</f>
        <v/>
      </c>
      <c r="I146" s="343" t="str">
        <f>IF(E146="","",IF(ISNA(VLOOKUP($E146,'A-1 Site Habitat Baseline'!$D$1:$O$258,7,FALSE)),"",(VLOOKUP($E146,'A-1 Site Habitat Baseline'!$D$1:$O$258,7,FALSE))))</f>
        <v/>
      </c>
      <c r="J146" s="343" t="str">
        <f>IF(E146="","",IF(ISNA(VLOOKUP($E146,'A-1 Site Habitat Baseline'!$D$1:$O$258,8,FALSE)),"",(VLOOKUP($E146,'A-1 Site Habitat Baseline'!$D$1:$O$258,8,FALSE))))</f>
        <v/>
      </c>
      <c r="K146" s="343" t="str">
        <f>IF(E146="","",IF(ISNA(VLOOKUP($E146,'A-1 Site Habitat Baseline'!$D$1:$O$258,9,FALSE)),"",(VLOOKUP($E146,'A-1 Site Habitat Baseline'!$D$1:$O$258,9,FALSE))))</f>
        <v/>
      </c>
      <c r="L146" s="343" t="str">
        <f>IF(E146="","",IF(ISNA(VLOOKUP($E146,'A-1 Site Habitat Baseline'!$D$1:$O$258,11,FALSE)),"",(VLOOKUP($E146,'A-1 Site Habitat Baseline'!$D$1:$O$258,11,FALSE))))</f>
        <v/>
      </c>
      <c r="M146" s="343" t="str">
        <f>IF(E146="","",IF(ISNA(VLOOKUP($E146,'A-1 Site Habitat Baseline'!$D$1:$O$258,12,FALSE)),"",(VLOOKUP($E146,'A-1 Site Habitat Baseline'!$D$1:$O$258,12,FALSE))))</f>
        <v/>
      </c>
      <c r="N146" s="344" t="str">
        <f>IF(E146="","",IF(ISNA(VLOOKUP($E146,'A-1 Site Habitat Baseline'!$D$1:$X$258,14,FALSE)),"",(VLOOKUP($E146,'A-1 Site Habitat Baseline'!$D$1:$X$258,14,FALSE))))</f>
        <v/>
      </c>
      <c r="O146" s="345" t="str">
        <f>IF(E146="","",IF(ISNA(VLOOKUP($E146,'A-1 Site Habitat Baseline'!$D$1:$X$258,16,FALSE)),"",(VLOOKUP($E146,'A-1 Site Habitat Baseline'!$D$1:$X$258,13,FALSE))))</f>
        <v/>
      </c>
      <c r="P146" s="346" t="str">
        <f>IFERROR(INDEX('G-1 All Habitats'!$AG$3:$AG$15,MATCH(Q146,'G-1 All Habitats'!$AF$3:$AF$15,0)),"")</f>
        <v/>
      </c>
      <c r="Q146" s="347"/>
      <c r="R146" s="347"/>
      <c r="S146" s="605" t="str">
        <f>IFERROR(INDEX('G-1 All Habitats'!$B$3:$B$130,MATCH(R146,'G-1 All Habitats'!$A$3:$A$130,0)),"")</f>
        <v/>
      </c>
      <c r="T146" s="77" t="str">
        <f t="shared" si="27"/>
        <v/>
      </c>
      <c r="U146" s="78" t="str">
        <f t="shared" si="22"/>
        <v/>
      </c>
      <c r="V146" s="350" t="str">
        <f t="shared" si="19"/>
        <v/>
      </c>
      <c r="W146" s="343" t="str">
        <f>IF(S146="","",VLOOKUP(S146,'G-1 All Habitats'!$B$2:$M$130,10,FALSE))</f>
        <v/>
      </c>
      <c r="X146" s="343" t="str">
        <f>IFERROR(VLOOKUP(W146,'G-1 All Habitats'!$V$3:$W$7,2,FALSE),"")</f>
        <v/>
      </c>
      <c r="Y146" s="91"/>
      <c r="Z146" s="345" t="str">
        <f>IFERROR(INDEX('G-8 Condition Look up'!$A$3:$H$131,MATCH(S146,'G-8 Condition Look up'!$A$3:$A$131,0),MATCH(Y146,'G-8 Condition Look up'!$A$3:$H$3,0)),"")</f>
        <v/>
      </c>
      <c r="AA146" s="79"/>
      <c r="AB146" s="343" t="str">
        <f>IF(AA146="","",IF(VLOOKUP(AA146,'G-3 Multipliers'!$L$3:$N$6,2,FALSE)=0,"Spatial Data Missing",VLOOKUP(AA146,'G-3 Multipliers'!$L$3:$N$6,2,FALSE)))</f>
        <v/>
      </c>
      <c r="AC146" s="345" t="str">
        <f>IF(AA146="","",IF(VLOOKUP(AA146,'G-3 Multipliers'!$L$3:$N$6,3,FALSE)=0,"Spatial Data Missing",VLOOKUP(AA146,'G-3 Multipliers'!$L$3:$N$6,3,FALSE)))</f>
        <v/>
      </c>
      <c r="AD146" s="351" t="str">
        <f t="shared" si="20"/>
        <v/>
      </c>
      <c r="AE146" s="94"/>
      <c r="AF146" s="94"/>
      <c r="AG146" s="343" t="str">
        <f t="shared" si="23"/>
        <v/>
      </c>
      <c r="AH146" s="591" t="str">
        <f t="shared" si="24"/>
        <v/>
      </c>
      <c r="AI146" s="353" t="str">
        <f>IF(AH146="Check Data","Check Data",IFERROR(VLOOKUP(AH146,'G-4 Temporal multipliers'!$A$4:$C$36,3,FALSE),""))</f>
        <v/>
      </c>
      <c r="AJ146" s="77" t="str">
        <f>IF(S146="","",VLOOKUP(S146,'G-3 Multipliers'!$A$2:$E$130,4,FALSE))</f>
        <v/>
      </c>
      <c r="AK146" s="348" t="str">
        <f t="shared" si="25"/>
        <v/>
      </c>
      <c r="AL146" s="348" t="str">
        <f t="shared" si="26"/>
        <v/>
      </c>
      <c r="AM146" s="607" t="str">
        <f>IFERROR(IF(F146="","",IF(AH146="Check Data","Check Data",VLOOKUP(AL146, 'G-3 Multipliers'!$P$2:$Q$6,2,FALSE))),””)</f>
        <v/>
      </c>
      <c r="AN146" s="81" t="str">
        <f t="shared" si="21"/>
        <v/>
      </c>
      <c r="AO146" s="355"/>
      <c r="AP146" s="356"/>
    </row>
    <row r="147" spans="1:42" x14ac:dyDescent="0.25">
      <c r="A147" s="52" t="str">
        <f>IF(E147="","",IF(ISNA(VLOOKUP($E147,'A-1 Site Habitat Baseline'!$D$1:$O$258,2,FALSE)),"",(VLOOKUP($E147,'A-1 Site Habitat Baseline'!$D$1:$O$258,2,FALSE))))</f>
        <v/>
      </c>
      <c r="B147" s="52" t="str">
        <f>IF(E147="","",IF(ISNA(VLOOKUP($E147,'A-1 Site Habitat Baseline'!$D$1:$O$258,3,FALSE)),"",(VLOOKUP($E147,'A-1 Site Habitat Baseline'!$D$1:$O$258,3,FALSE))))</f>
        <v/>
      </c>
      <c r="C147" s="52" t="str">
        <f>IFERROR(INDEX('G-8 Condition Look up'!$I$4:$I$131,MATCH(S147,'G-8 Condition Look up'!$A$4:$A$131,0)),"")</f>
        <v/>
      </c>
      <c r="E147" s="342" t="str">
        <f>'A-1 Site Habitat Baseline'!AL146</f>
        <v/>
      </c>
      <c r="F147" s="343" t="str">
        <f>IF(E147="","",IF(ISNA(VLOOKUP($E147,'A-1 Site Habitat Baseline'!$D$1:$O$258,4,FALSE)),"",(VLOOKUP($E147,'A-1 Site Habitat Baseline'!$D$1:$O$258,4,FALSE))))</f>
        <v/>
      </c>
      <c r="G147" s="343" t="str">
        <f>IF(E147="","",IF(ISNA(VLOOKUP($E147,'A-1 Site Habitat Baseline'!$D$1:$O$258,5,FALSE)),"",(VLOOKUP($E147,'A-1 Site Habitat Baseline'!$D$1:$O$258,5,FALSE))))</f>
        <v/>
      </c>
      <c r="H147" s="343" t="str">
        <f>IF(E147="","",IF(ISNA(VLOOKUP($E147,'A-1 Site Habitat Baseline'!$D$1:$O$258,6,FALSE)),"",(VLOOKUP($E147,'A-1 Site Habitat Baseline'!$D$1:$O$258,6,FALSE))))</f>
        <v/>
      </c>
      <c r="I147" s="343" t="str">
        <f>IF(E147="","",IF(ISNA(VLOOKUP($E147,'A-1 Site Habitat Baseline'!$D$1:$O$258,7,FALSE)),"",(VLOOKUP($E147,'A-1 Site Habitat Baseline'!$D$1:$O$258,7,FALSE))))</f>
        <v/>
      </c>
      <c r="J147" s="343" t="str">
        <f>IF(E147="","",IF(ISNA(VLOOKUP($E147,'A-1 Site Habitat Baseline'!$D$1:$O$258,8,FALSE)),"",(VLOOKUP($E147,'A-1 Site Habitat Baseline'!$D$1:$O$258,8,FALSE))))</f>
        <v/>
      </c>
      <c r="K147" s="343" t="str">
        <f>IF(E147="","",IF(ISNA(VLOOKUP($E147,'A-1 Site Habitat Baseline'!$D$1:$O$258,9,FALSE)),"",(VLOOKUP($E147,'A-1 Site Habitat Baseline'!$D$1:$O$258,9,FALSE))))</f>
        <v/>
      </c>
      <c r="L147" s="343" t="str">
        <f>IF(E147="","",IF(ISNA(VLOOKUP($E147,'A-1 Site Habitat Baseline'!$D$1:$O$258,11,FALSE)),"",(VLOOKUP($E147,'A-1 Site Habitat Baseline'!$D$1:$O$258,11,FALSE))))</f>
        <v/>
      </c>
      <c r="M147" s="343" t="str">
        <f>IF(E147="","",IF(ISNA(VLOOKUP($E147,'A-1 Site Habitat Baseline'!$D$1:$O$258,12,FALSE)),"",(VLOOKUP($E147,'A-1 Site Habitat Baseline'!$D$1:$O$258,12,FALSE))))</f>
        <v/>
      </c>
      <c r="N147" s="344" t="str">
        <f>IF(E147="","",IF(ISNA(VLOOKUP($E147,'A-1 Site Habitat Baseline'!$D$1:$X$258,14,FALSE)),"",(VLOOKUP($E147,'A-1 Site Habitat Baseline'!$D$1:$X$258,14,FALSE))))</f>
        <v/>
      </c>
      <c r="O147" s="345" t="str">
        <f>IF(E147="","",IF(ISNA(VLOOKUP($E147,'A-1 Site Habitat Baseline'!$D$1:$X$258,16,FALSE)),"",(VLOOKUP($E147,'A-1 Site Habitat Baseline'!$D$1:$X$258,13,FALSE))))</f>
        <v/>
      </c>
      <c r="P147" s="346" t="str">
        <f>IFERROR(INDEX('G-1 All Habitats'!$AG$3:$AG$15,MATCH(Q147,'G-1 All Habitats'!$AF$3:$AF$15,0)),"")</f>
        <v/>
      </c>
      <c r="Q147" s="347"/>
      <c r="R147" s="347"/>
      <c r="S147" s="605" t="str">
        <f>IFERROR(INDEX('G-1 All Habitats'!$B$3:$B$130,MATCH(R147,'G-1 All Habitats'!$A$3:$A$130,0)),"")</f>
        <v/>
      </c>
      <c r="T147" s="77" t="str">
        <f t="shared" si="27"/>
        <v/>
      </c>
      <c r="U147" s="78" t="str">
        <f t="shared" si="22"/>
        <v/>
      </c>
      <c r="V147" s="350" t="str">
        <f t="shared" si="19"/>
        <v/>
      </c>
      <c r="W147" s="343" t="str">
        <f>IF(S147="","",VLOOKUP(S147,'G-1 All Habitats'!$B$2:$M$130,10,FALSE))</f>
        <v/>
      </c>
      <c r="X147" s="343" t="str">
        <f>IFERROR(VLOOKUP(W147,'G-1 All Habitats'!$V$3:$W$7,2,FALSE),"")</f>
        <v/>
      </c>
      <c r="Y147" s="91"/>
      <c r="Z147" s="345" t="str">
        <f>IFERROR(INDEX('G-8 Condition Look up'!$A$3:$H$131,MATCH(S147,'G-8 Condition Look up'!$A$3:$A$131,0),MATCH(Y147,'G-8 Condition Look up'!$A$3:$H$3,0)),"")</f>
        <v/>
      </c>
      <c r="AA147" s="79"/>
      <c r="AB147" s="343" t="str">
        <f>IF(AA147="","",IF(VLOOKUP(AA147,'G-3 Multipliers'!$L$3:$N$6,2,FALSE)=0,"Spatial Data Missing",VLOOKUP(AA147,'G-3 Multipliers'!$L$3:$N$6,2,FALSE)))</f>
        <v/>
      </c>
      <c r="AC147" s="345" t="str">
        <f>IF(AA147="","",IF(VLOOKUP(AA147,'G-3 Multipliers'!$L$3:$N$6,3,FALSE)=0,"Spatial Data Missing",VLOOKUP(AA147,'G-3 Multipliers'!$L$3:$N$6,3,FALSE)))</f>
        <v/>
      </c>
      <c r="AD147" s="351" t="str">
        <f t="shared" si="20"/>
        <v/>
      </c>
      <c r="AE147" s="94"/>
      <c r="AF147" s="94"/>
      <c r="AG147" s="343" t="str">
        <f t="shared" si="23"/>
        <v/>
      </c>
      <c r="AH147" s="591" t="str">
        <f t="shared" si="24"/>
        <v/>
      </c>
      <c r="AI147" s="353" t="str">
        <f>IF(AH147="Check Data","Check Data",IFERROR(VLOOKUP(AH147,'G-4 Temporal multipliers'!$A$4:$C$36,3,FALSE),""))</f>
        <v/>
      </c>
      <c r="AJ147" s="77" t="str">
        <f>IF(S147="","",VLOOKUP(S147,'G-3 Multipliers'!$A$2:$E$130,4,FALSE))</f>
        <v/>
      </c>
      <c r="AK147" s="348" t="str">
        <f t="shared" si="25"/>
        <v/>
      </c>
      <c r="AL147" s="348" t="str">
        <f t="shared" si="26"/>
        <v/>
      </c>
      <c r="AM147" s="607" t="str">
        <f>IFERROR(IF(F147="","",IF(AH147="Check Data","Check Data",VLOOKUP(AL147, 'G-3 Multipliers'!$P$2:$Q$6,2,FALSE))),””)</f>
        <v/>
      </c>
      <c r="AN147" s="81" t="str">
        <f t="shared" si="21"/>
        <v/>
      </c>
      <c r="AO147" s="355"/>
      <c r="AP147" s="356"/>
    </row>
    <row r="148" spans="1:42" x14ac:dyDescent="0.25">
      <c r="A148" s="52" t="str">
        <f>IF(E148="","",IF(ISNA(VLOOKUP($E148,'A-1 Site Habitat Baseline'!$D$1:$O$258,2,FALSE)),"",(VLOOKUP($E148,'A-1 Site Habitat Baseline'!$D$1:$O$258,2,FALSE))))</f>
        <v/>
      </c>
      <c r="B148" s="52" t="str">
        <f>IF(E148="","",IF(ISNA(VLOOKUP($E148,'A-1 Site Habitat Baseline'!$D$1:$O$258,3,FALSE)),"",(VLOOKUP($E148,'A-1 Site Habitat Baseline'!$D$1:$O$258,3,FALSE))))</f>
        <v/>
      </c>
      <c r="C148" s="52" t="str">
        <f>IFERROR(INDEX('G-8 Condition Look up'!$I$4:$I$131,MATCH(S148,'G-8 Condition Look up'!$A$4:$A$131,0)),"")</f>
        <v/>
      </c>
      <c r="E148" s="342" t="str">
        <f>'A-1 Site Habitat Baseline'!AL147</f>
        <v/>
      </c>
      <c r="F148" s="343" t="str">
        <f>IF(E148="","",IF(ISNA(VLOOKUP($E148,'A-1 Site Habitat Baseline'!$D$1:$O$258,4,FALSE)),"",(VLOOKUP($E148,'A-1 Site Habitat Baseline'!$D$1:$O$258,4,FALSE))))</f>
        <v/>
      </c>
      <c r="G148" s="343" t="str">
        <f>IF(E148="","",IF(ISNA(VLOOKUP($E148,'A-1 Site Habitat Baseline'!$D$1:$O$258,5,FALSE)),"",(VLOOKUP($E148,'A-1 Site Habitat Baseline'!$D$1:$O$258,5,FALSE))))</f>
        <v/>
      </c>
      <c r="H148" s="343" t="str">
        <f>IF(E148="","",IF(ISNA(VLOOKUP($E148,'A-1 Site Habitat Baseline'!$D$1:$O$258,6,FALSE)),"",(VLOOKUP($E148,'A-1 Site Habitat Baseline'!$D$1:$O$258,6,FALSE))))</f>
        <v/>
      </c>
      <c r="I148" s="343" t="str">
        <f>IF(E148="","",IF(ISNA(VLOOKUP($E148,'A-1 Site Habitat Baseline'!$D$1:$O$258,7,FALSE)),"",(VLOOKUP($E148,'A-1 Site Habitat Baseline'!$D$1:$O$258,7,FALSE))))</f>
        <v/>
      </c>
      <c r="J148" s="343" t="str">
        <f>IF(E148="","",IF(ISNA(VLOOKUP($E148,'A-1 Site Habitat Baseline'!$D$1:$O$258,8,FALSE)),"",(VLOOKUP($E148,'A-1 Site Habitat Baseline'!$D$1:$O$258,8,FALSE))))</f>
        <v/>
      </c>
      <c r="K148" s="343" t="str">
        <f>IF(E148="","",IF(ISNA(VLOOKUP($E148,'A-1 Site Habitat Baseline'!$D$1:$O$258,9,FALSE)),"",(VLOOKUP($E148,'A-1 Site Habitat Baseline'!$D$1:$O$258,9,FALSE))))</f>
        <v/>
      </c>
      <c r="L148" s="343" t="str">
        <f>IF(E148="","",IF(ISNA(VLOOKUP($E148,'A-1 Site Habitat Baseline'!$D$1:$O$258,11,FALSE)),"",(VLOOKUP($E148,'A-1 Site Habitat Baseline'!$D$1:$O$258,11,FALSE))))</f>
        <v/>
      </c>
      <c r="M148" s="343" t="str">
        <f>IF(E148="","",IF(ISNA(VLOOKUP($E148,'A-1 Site Habitat Baseline'!$D$1:$O$258,12,FALSE)),"",(VLOOKUP($E148,'A-1 Site Habitat Baseline'!$D$1:$O$258,12,FALSE))))</f>
        <v/>
      </c>
      <c r="N148" s="344" t="str">
        <f>IF(E148="","",IF(ISNA(VLOOKUP($E148,'A-1 Site Habitat Baseline'!$D$1:$X$258,14,FALSE)),"",(VLOOKUP($E148,'A-1 Site Habitat Baseline'!$D$1:$X$258,14,FALSE))))</f>
        <v/>
      </c>
      <c r="O148" s="345" t="str">
        <f>IF(E148="","",IF(ISNA(VLOOKUP($E148,'A-1 Site Habitat Baseline'!$D$1:$X$258,16,FALSE)),"",(VLOOKUP($E148,'A-1 Site Habitat Baseline'!$D$1:$X$258,13,FALSE))))</f>
        <v/>
      </c>
      <c r="P148" s="346" t="str">
        <f>IFERROR(INDEX('G-1 All Habitats'!$AG$3:$AG$15,MATCH(Q148,'G-1 All Habitats'!$AF$3:$AF$15,0)),"")</f>
        <v/>
      </c>
      <c r="Q148" s="347"/>
      <c r="R148" s="347"/>
      <c r="S148" s="605" t="str">
        <f>IFERROR(INDEX('G-1 All Habitats'!$B$3:$B$130,MATCH(R148,'G-1 All Habitats'!$A$3:$A$130,0)),"")</f>
        <v/>
      </c>
      <c r="T148" s="77" t="str">
        <f t="shared" si="27"/>
        <v/>
      </c>
      <c r="U148" s="78" t="str">
        <f t="shared" si="22"/>
        <v/>
      </c>
      <c r="V148" s="350" t="str">
        <f t="shared" si="19"/>
        <v/>
      </c>
      <c r="W148" s="343" t="str">
        <f>IF(S148="","",VLOOKUP(S148,'G-1 All Habitats'!$B$2:$M$130,10,FALSE))</f>
        <v/>
      </c>
      <c r="X148" s="343" t="str">
        <f>IFERROR(VLOOKUP(W148,'G-1 All Habitats'!$V$3:$W$7,2,FALSE),"")</f>
        <v/>
      </c>
      <c r="Y148" s="91"/>
      <c r="Z148" s="345" t="str">
        <f>IFERROR(INDEX('G-8 Condition Look up'!$A$3:$H$131,MATCH(S148,'G-8 Condition Look up'!$A$3:$A$131,0),MATCH(Y148,'G-8 Condition Look up'!$A$3:$H$3,0)),"")</f>
        <v/>
      </c>
      <c r="AA148" s="79"/>
      <c r="AB148" s="343" t="str">
        <f>IF(AA148="","",IF(VLOOKUP(AA148,'G-3 Multipliers'!$L$3:$N$6,2,FALSE)=0,"Spatial Data Missing",VLOOKUP(AA148,'G-3 Multipliers'!$L$3:$N$6,2,FALSE)))</f>
        <v/>
      </c>
      <c r="AC148" s="345" t="str">
        <f>IF(AA148="","",IF(VLOOKUP(AA148,'G-3 Multipliers'!$L$3:$N$6,3,FALSE)=0,"Spatial Data Missing",VLOOKUP(AA148,'G-3 Multipliers'!$L$3:$N$6,3,FALSE)))</f>
        <v/>
      </c>
      <c r="AD148" s="351" t="str">
        <f t="shared" si="20"/>
        <v/>
      </c>
      <c r="AE148" s="94"/>
      <c r="AF148" s="94"/>
      <c r="AG148" s="343" t="str">
        <f t="shared" si="23"/>
        <v/>
      </c>
      <c r="AH148" s="591" t="str">
        <f t="shared" si="24"/>
        <v/>
      </c>
      <c r="AI148" s="353" t="str">
        <f>IF(AH148="Check Data","Check Data",IFERROR(VLOOKUP(AH148,'G-4 Temporal multipliers'!$A$4:$C$36,3,FALSE),""))</f>
        <v/>
      </c>
      <c r="AJ148" s="77" t="str">
        <f>IF(S148="","",VLOOKUP(S148,'G-3 Multipliers'!$A$2:$E$130,4,FALSE))</f>
        <v/>
      </c>
      <c r="AK148" s="348" t="str">
        <f t="shared" si="25"/>
        <v/>
      </c>
      <c r="AL148" s="348" t="str">
        <f t="shared" si="26"/>
        <v/>
      </c>
      <c r="AM148" s="607" t="str">
        <f>IFERROR(IF(F148="","",IF(AH148="Check Data","Check Data",VLOOKUP(AL148, 'G-3 Multipliers'!$P$2:$Q$6,2,FALSE))),””)</f>
        <v/>
      </c>
      <c r="AN148" s="81" t="str">
        <f t="shared" si="21"/>
        <v/>
      </c>
      <c r="AO148" s="355"/>
      <c r="AP148" s="356"/>
    </row>
    <row r="149" spans="1:42" x14ac:dyDescent="0.25">
      <c r="A149" s="52" t="str">
        <f>IF(E149="","",IF(ISNA(VLOOKUP($E149,'A-1 Site Habitat Baseline'!$D$1:$O$258,2,FALSE)),"",(VLOOKUP($E149,'A-1 Site Habitat Baseline'!$D$1:$O$258,2,FALSE))))</f>
        <v/>
      </c>
      <c r="B149" s="52" t="str">
        <f>IF(E149="","",IF(ISNA(VLOOKUP($E149,'A-1 Site Habitat Baseline'!$D$1:$O$258,3,FALSE)),"",(VLOOKUP($E149,'A-1 Site Habitat Baseline'!$D$1:$O$258,3,FALSE))))</f>
        <v/>
      </c>
      <c r="C149" s="52" t="str">
        <f>IFERROR(INDEX('G-8 Condition Look up'!$I$4:$I$131,MATCH(S149,'G-8 Condition Look up'!$A$4:$A$131,0)),"")</f>
        <v/>
      </c>
      <c r="E149" s="342" t="str">
        <f>'A-1 Site Habitat Baseline'!AL148</f>
        <v/>
      </c>
      <c r="F149" s="343" t="str">
        <f>IF(E149="","",IF(ISNA(VLOOKUP($E149,'A-1 Site Habitat Baseline'!$D$1:$O$258,4,FALSE)),"",(VLOOKUP($E149,'A-1 Site Habitat Baseline'!$D$1:$O$258,4,FALSE))))</f>
        <v/>
      </c>
      <c r="G149" s="343" t="str">
        <f>IF(E149="","",IF(ISNA(VLOOKUP($E149,'A-1 Site Habitat Baseline'!$D$1:$O$258,5,FALSE)),"",(VLOOKUP($E149,'A-1 Site Habitat Baseline'!$D$1:$O$258,5,FALSE))))</f>
        <v/>
      </c>
      <c r="H149" s="343" t="str">
        <f>IF(E149="","",IF(ISNA(VLOOKUP($E149,'A-1 Site Habitat Baseline'!$D$1:$O$258,6,FALSE)),"",(VLOOKUP($E149,'A-1 Site Habitat Baseline'!$D$1:$O$258,6,FALSE))))</f>
        <v/>
      </c>
      <c r="I149" s="343" t="str">
        <f>IF(E149="","",IF(ISNA(VLOOKUP($E149,'A-1 Site Habitat Baseline'!$D$1:$O$258,7,FALSE)),"",(VLOOKUP($E149,'A-1 Site Habitat Baseline'!$D$1:$O$258,7,FALSE))))</f>
        <v/>
      </c>
      <c r="J149" s="343" t="str">
        <f>IF(E149="","",IF(ISNA(VLOOKUP($E149,'A-1 Site Habitat Baseline'!$D$1:$O$258,8,FALSE)),"",(VLOOKUP($E149,'A-1 Site Habitat Baseline'!$D$1:$O$258,8,FALSE))))</f>
        <v/>
      </c>
      <c r="K149" s="343" t="str">
        <f>IF(E149="","",IF(ISNA(VLOOKUP($E149,'A-1 Site Habitat Baseline'!$D$1:$O$258,9,FALSE)),"",(VLOOKUP($E149,'A-1 Site Habitat Baseline'!$D$1:$O$258,9,FALSE))))</f>
        <v/>
      </c>
      <c r="L149" s="343" t="str">
        <f>IF(E149="","",IF(ISNA(VLOOKUP($E149,'A-1 Site Habitat Baseline'!$D$1:$O$258,11,FALSE)),"",(VLOOKUP($E149,'A-1 Site Habitat Baseline'!$D$1:$O$258,11,FALSE))))</f>
        <v/>
      </c>
      <c r="M149" s="343" t="str">
        <f>IF(E149="","",IF(ISNA(VLOOKUP($E149,'A-1 Site Habitat Baseline'!$D$1:$O$258,12,FALSE)),"",(VLOOKUP($E149,'A-1 Site Habitat Baseline'!$D$1:$O$258,12,FALSE))))</f>
        <v/>
      </c>
      <c r="N149" s="344" t="str">
        <f>IF(E149="","",IF(ISNA(VLOOKUP($E149,'A-1 Site Habitat Baseline'!$D$1:$X$258,14,FALSE)),"",(VLOOKUP($E149,'A-1 Site Habitat Baseline'!$D$1:$X$258,14,FALSE))))</f>
        <v/>
      </c>
      <c r="O149" s="345" t="str">
        <f>IF(E149="","",IF(ISNA(VLOOKUP($E149,'A-1 Site Habitat Baseline'!$D$1:$X$258,16,FALSE)),"",(VLOOKUP($E149,'A-1 Site Habitat Baseline'!$D$1:$X$258,13,FALSE))))</f>
        <v/>
      </c>
      <c r="P149" s="346" t="str">
        <f>IFERROR(INDEX('G-1 All Habitats'!$AG$3:$AG$15,MATCH(Q149,'G-1 All Habitats'!$AF$3:$AF$15,0)),"")</f>
        <v/>
      </c>
      <c r="Q149" s="347"/>
      <c r="R149" s="347"/>
      <c r="S149" s="605" t="str">
        <f>IFERROR(INDEX('G-1 All Habitats'!$B$3:$B$130,MATCH(R149,'G-1 All Habitats'!$A$3:$A$130,0)),"")</f>
        <v/>
      </c>
      <c r="T149" s="77" t="str">
        <f t="shared" si="27"/>
        <v/>
      </c>
      <c r="U149" s="78" t="str">
        <f t="shared" si="22"/>
        <v/>
      </c>
      <c r="V149" s="350" t="str">
        <f t="shared" si="19"/>
        <v/>
      </c>
      <c r="W149" s="343" t="str">
        <f>IF(S149="","",VLOOKUP(S149,'G-1 All Habitats'!$B$2:$M$130,10,FALSE))</f>
        <v/>
      </c>
      <c r="X149" s="343" t="str">
        <f>IFERROR(VLOOKUP(W149,'G-1 All Habitats'!$V$3:$W$7,2,FALSE),"")</f>
        <v/>
      </c>
      <c r="Y149" s="91"/>
      <c r="Z149" s="345" t="str">
        <f>IFERROR(INDEX('G-8 Condition Look up'!$A$3:$H$131,MATCH(S149,'G-8 Condition Look up'!$A$3:$A$131,0),MATCH(Y149,'G-8 Condition Look up'!$A$3:$H$3,0)),"")</f>
        <v/>
      </c>
      <c r="AA149" s="79"/>
      <c r="AB149" s="343" t="str">
        <f>IF(AA149="","",IF(VLOOKUP(AA149,'G-3 Multipliers'!$L$3:$N$6,2,FALSE)=0,"Spatial Data Missing",VLOOKUP(AA149,'G-3 Multipliers'!$L$3:$N$6,2,FALSE)))</f>
        <v/>
      </c>
      <c r="AC149" s="345" t="str">
        <f>IF(AA149="","",IF(VLOOKUP(AA149,'G-3 Multipliers'!$L$3:$N$6,3,FALSE)=0,"Spatial Data Missing",VLOOKUP(AA149,'G-3 Multipliers'!$L$3:$N$6,3,FALSE)))</f>
        <v/>
      </c>
      <c r="AD149" s="351" t="str">
        <f t="shared" si="20"/>
        <v/>
      </c>
      <c r="AE149" s="94"/>
      <c r="AF149" s="94"/>
      <c r="AG149" s="343" t="str">
        <f t="shared" si="23"/>
        <v/>
      </c>
      <c r="AH149" s="591" t="str">
        <f t="shared" si="24"/>
        <v/>
      </c>
      <c r="AI149" s="353" t="str">
        <f>IF(AH149="Check Data","Check Data",IFERROR(VLOOKUP(AH149,'G-4 Temporal multipliers'!$A$4:$C$36,3,FALSE),""))</f>
        <v/>
      </c>
      <c r="AJ149" s="77" t="str">
        <f>IF(S149="","",VLOOKUP(S149,'G-3 Multipliers'!$A$2:$E$130,4,FALSE))</f>
        <v/>
      </c>
      <c r="AK149" s="348" t="str">
        <f t="shared" si="25"/>
        <v/>
      </c>
      <c r="AL149" s="348" t="str">
        <f t="shared" si="26"/>
        <v/>
      </c>
      <c r="AM149" s="607" t="str">
        <f>IFERROR(IF(F149="","",IF(AH149="Check Data","Check Data",VLOOKUP(AL149, 'G-3 Multipliers'!$P$2:$Q$6,2,FALSE))),””)</f>
        <v/>
      </c>
      <c r="AN149" s="81" t="str">
        <f t="shared" si="21"/>
        <v/>
      </c>
      <c r="AO149" s="355"/>
      <c r="AP149" s="356"/>
    </row>
    <row r="150" spans="1:42" x14ac:dyDescent="0.25">
      <c r="A150" s="52" t="str">
        <f>IF(E150="","",IF(ISNA(VLOOKUP($E150,'A-1 Site Habitat Baseline'!$D$1:$O$258,2,FALSE)),"",(VLOOKUP($E150,'A-1 Site Habitat Baseline'!$D$1:$O$258,2,FALSE))))</f>
        <v/>
      </c>
      <c r="B150" s="52" t="str">
        <f>IF(E150="","",IF(ISNA(VLOOKUP($E150,'A-1 Site Habitat Baseline'!$D$1:$O$258,3,FALSE)),"",(VLOOKUP($E150,'A-1 Site Habitat Baseline'!$D$1:$O$258,3,FALSE))))</f>
        <v/>
      </c>
      <c r="C150" s="52" t="str">
        <f>IFERROR(INDEX('G-8 Condition Look up'!$I$4:$I$131,MATCH(S150,'G-8 Condition Look up'!$A$4:$A$131,0)),"")</f>
        <v/>
      </c>
      <c r="E150" s="342" t="str">
        <f>'A-1 Site Habitat Baseline'!AL149</f>
        <v/>
      </c>
      <c r="F150" s="343" t="str">
        <f>IF(E150="","",IF(ISNA(VLOOKUP($E150,'A-1 Site Habitat Baseline'!$D$1:$O$258,4,FALSE)),"",(VLOOKUP($E150,'A-1 Site Habitat Baseline'!$D$1:$O$258,4,FALSE))))</f>
        <v/>
      </c>
      <c r="G150" s="343" t="str">
        <f>IF(E150="","",IF(ISNA(VLOOKUP($E150,'A-1 Site Habitat Baseline'!$D$1:$O$258,5,FALSE)),"",(VLOOKUP($E150,'A-1 Site Habitat Baseline'!$D$1:$O$258,5,FALSE))))</f>
        <v/>
      </c>
      <c r="H150" s="343" t="str">
        <f>IF(E150="","",IF(ISNA(VLOOKUP($E150,'A-1 Site Habitat Baseline'!$D$1:$O$258,6,FALSE)),"",(VLOOKUP($E150,'A-1 Site Habitat Baseline'!$D$1:$O$258,6,FALSE))))</f>
        <v/>
      </c>
      <c r="I150" s="343" t="str">
        <f>IF(E150="","",IF(ISNA(VLOOKUP($E150,'A-1 Site Habitat Baseline'!$D$1:$O$258,7,FALSE)),"",(VLOOKUP($E150,'A-1 Site Habitat Baseline'!$D$1:$O$258,7,FALSE))))</f>
        <v/>
      </c>
      <c r="J150" s="343" t="str">
        <f>IF(E150="","",IF(ISNA(VLOOKUP($E150,'A-1 Site Habitat Baseline'!$D$1:$O$258,8,FALSE)),"",(VLOOKUP($E150,'A-1 Site Habitat Baseline'!$D$1:$O$258,8,FALSE))))</f>
        <v/>
      </c>
      <c r="K150" s="343" t="str">
        <f>IF(E150="","",IF(ISNA(VLOOKUP($E150,'A-1 Site Habitat Baseline'!$D$1:$O$258,9,FALSE)),"",(VLOOKUP($E150,'A-1 Site Habitat Baseline'!$D$1:$O$258,9,FALSE))))</f>
        <v/>
      </c>
      <c r="L150" s="343" t="str">
        <f>IF(E150="","",IF(ISNA(VLOOKUP($E150,'A-1 Site Habitat Baseline'!$D$1:$O$258,11,FALSE)),"",(VLOOKUP($E150,'A-1 Site Habitat Baseline'!$D$1:$O$258,11,FALSE))))</f>
        <v/>
      </c>
      <c r="M150" s="343" t="str">
        <f>IF(E150="","",IF(ISNA(VLOOKUP($E150,'A-1 Site Habitat Baseline'!$D$1:$O$258,12,FALSE)),"",(VLOOKUP($E150,'A-1 Site Habitat Baseline'!$D$1:$O$258,12,FALSE))))</f>
        <v/>
      </c>
      <c r="N150" s="344" t="str">
        <f>IF(E150="","",IF(ISNA(VLOOKUP($E150,'A-1 Site Habitat Baseline'!$D$1:$X$258,14,FALSE)),"",(VLOOKUP($E150,'A-1 Site Habitat Baseline'!$D$1:$X$258,14,FALSE))))</f>
        <v/>
      </c>
      <c r="O150" s="345" t="str">
        <f>IF(E150="","",IF(ISNA(VLOOKUP($E150,'A-1 Site Habitat Baseline'!$D$1:$X$258,16,FALSE)),"",(VLOOKUP($E150,'A-1 Site Habitat Baseline'!$D$1:$X$258,13,FALSE))))</f>
        <v/>
      </c>
      <c r="P150" s="346" t="str">
        <f>IFERROR(INDEX('G-1 All Habitats'!$AG$3:$AG$15,MATCH(Q150,'G-1 All Habitats'!$AF$3:$AF$15,0)),"")</f>
        <v/>
      </c>
      <c r="Q150" s="347"/>
      <c r="R150" s="347"/>
      <c r="S150" s="605" t="str">
        <f>IFERROR(INDEX('G-1 All Habitats'!$B$3:$B$130,MATCH(R150,'G-1 All Habitats'!$A$3:$A$130,0)),"")</f>
        <v/>
      </c>
      <c r="T150" s="77" t="str">
        <f t="shared" si="27"/>
        <v/>
      </c>
      <c r="U150" s="78" t="str">
        <f t="shared" si="22"/>
        <v/>
      </c>
      <c r="V150" s="350" t="str">
        <f t="shared" si="19"/>
        <v/>
      </c>
      <c r="W150" s="343" t="str">
        <f>IF(S150="","",VLOOKUP(S150,'G-1 All Habitats'!$B$2:$M$130,10,FALSE))</f>
        <v/>
      </c>
      <c r="X150" s="343" t="str">
        <f>IFERROR(VLOOKUP(W150,'G-1 All Habitats'!$V$3:$W$7,2,FALSE),"")</f>
        <v/>
      </c>
      <c r="Y150" s="91"/>
      <c r="Z150" s="345" t="str">
        <f>IFERROR(INDEX('G-8 Condition Look up'!$A$3:$H$131,MATCH(S150,'G-8 Condition Look up'!$A$3:$A$131,0),MATCH(Y150,'G-8 Condition Look up'!$A$3:$H$3,0)),"")</f>
        <v/>
      </c>
      <c r="AA150" s="79"/>
      <c r="AB150" s="343" t="str">
        <f>IF(AA150="","",IF(VLOOKUP(AA150,'G-3 Multipliers'!$L$3:$N$6,2,FALSE)=0,"Spatial Data Missing",VLOOKUP(AA150,'G-3 Multipliers'!$L$3:$N$6,2,FALSE)))</f>
        <v/>
      </c>
      <c r="AC150" s="345" t="str">
        <f>IF(AA150="","",IF(VLOOKUP(AA150,'G-3 Multipliers'!$L$3:$N$6,3,FALSE)=0,"Spatial Data Missing",VLOOKUP(AA150,'G-3 Multipliers'!$L$3:$N$6,3,FALSE)))</f>
        <v/>
      </c>
      <c r="AD150" s="351" t="str">
        <f t="shared" si="20"/>
        <v/>
      </c>
      <c r="AE150" s="94"/>
      <c r="AF150" s="94"/>
      <c r="AG150" s="343" t="str">
        <f t="shared" si="23"/>
        <v/>
      </c>
      <c r="AH150" s="591" t="str">
        <f t="shared" si="24"/>
        <v/>
      </c>
      <c r="AI150" s="353" t="str">
        <f>IF(AH150="Check Data","Check Data",IFERROR(VLOOKUP(AH150,'G-4 Temporal multipliers'!$A$4:$C$36,3,FALSE),""))</f>
        <v/>
      </c>
      <c r="AJ150" s="77" t="str">
        <f>IF(S150="","",VLOOKUP(S150,'G-3 Multipliers'!$A$2:$E$130,4,FALSE))</f>
        <v/>
      </c>
      <c r="AK150" s="348" t="str">
        <f t="shared" si="25"/>
        <v/>
      </c>
      <c r="AL150" s="348" t="str">
        <f t="shared" si="26"/>
        <v/>
      </c>
      <c r="AM150" s="607" t="str">
        <f>IFERROR(IF(F150="","",IF(AH150="Check Data","Check Data",VLOOKUP(AL150, 'G-3 Multipliers'!$P$2:$Q$6,2,FALSE))),””)</f>
        <v/>
      </c>
      <c r="AN150" s="81" t="str">
        <f t="shared" si="21"/>
        <v/>
      </c>
      <c r="AO150" s="355"/>
      <c r="AP150" s="356"/>
    </row>
    <row r="151" spans="1:42" x14ac:dyDescent="0.25">
      <c r="A151" s="52" t="str">
        <f>IF(E151="","",IF(ISNA(VLOOKUP($E151,'A-1 Site Habitat Baseline'!$D$1:$O$258,2,FALSE)),"",(VLOOKUP($E151,'A-1 Site Habitat Baseline'!$D$1:$O$258,2,FALSE))))</f>
        <v/>
      </c>
      <c r="B151" s="52" t="str">
        <f>IF(E151="","",IF(ISNA(VLOOKUP($E151,'A-1 Site Habitat Baseline'!$D$1:$O$258,3,FALSE)),"",(VLOOKUP($E151,'A-1 Site Habitat Baseline'!$D$1:$O$258,3,FALSE))))</f>
        <v/>
      </c>
      <c r="C151" s="52" t="str">
        <f>IFERROR(INDEX('G-8 Condition Look up'!$I$4:$I$131,MATCH(S151,'G-8 Condition Look up'!$A$4:$A$131,0)),"")</f>
        <v/>
      </c>
      <c r="E151" s="342" t="str">
        <f>'A-1 Site Habitat Baseline'!AL150</f>
        <v/>
      </c>
      <c r="F151" s="343" t="str">
        <f>IF(E151="","",IF(ISNA(VLOOKUP($E151,'A-1 Site Habitat Baseline'!$D$1:$O$258,4,FALSE)),"",(VLOOKUP($E151,'A-1 Site Habitat Baseline'!$D$1:$O$258,4,FALSE))))</f>
        <v/>
      </c>
      <c r="G151" s="343" t="str">
        <f>IF(E151="","",IF(ISNA(VLOOKUP($E151,'A-1 Site Habitat Baseline'!$D$1:$O$258,5,FALSE)),"",(VLOOKUP($E151,'A-1 Site Habitat Baseline'!$D$1:$O$258,5,FALSE))))</f>
        <v/>
      </c>
      <c r="H151" s="343" t="str">
        <f>IF(E151="","",IF(ISNA(VLOOKUP($E151,'A-1 Site Habitat Baseline'!$D$1:$O$258,6,FALSE)),"",(VLOOKUP($E151,'A-1 Site Habitat Baseline'!$D$1:$O$258,6,FALSE))))</f>
        <v/>
      </c>
      <c r="I151" s="343" t="str">
        <f>IF(E151="","",IF(ISNA(VLOOKUP($E151,'A-1 Site Habitat Baseline'!$D$1:$O$258,7,FALSE)),"",(VLOOKUP($E151,'A-1 Site Habitat Baseline'!$D$1:$O$258,7,FALSE))))</f>
        <v/>
      </c>
      <c r="J151" s="343" t="str">
        <f>IF(E151="","",IF(ISNA(VLOOKUP($E151,'A-1 Site Habitat Baseline'!$D$1:$O$258,8,FALSE)),"",(VLOOKUP($E151,'A-1 Site Habitat Baseline'!$D$1:$O$258,8,FALSE))))</f>
        <v/>
      </c>
      <c r="K151" s="343" t="str">
        <f>IF(E151="","",IF(ISNA(VLOOKUP($E151,'A-1 Site Habitat Baseline'!$D$1:$O$258,9,FALSE)),"",(VLOOKUP($E151,'A-1 Site Habitat Baseline'!$D$1:$O$258,9,FALSE))))</f>
        <v/>
      </c>
      <c r="L151" s="343" t="str">
        <f>IF(E151="","",IF(ISNA(VLOOKUP($E151,'A-1 Site Habitat Baseline'!$D$1:$O$258,11,FALSE)),"",(VLOOKUP($E151,'A-1 Site Habitat Baseline'!$D$1:$O$258,11,FALSE))))</f>
        <v/>
      </c>
      <c r="M151" s="343" t="str">
        <f>IF(E151="","",IF(ISNA(VLOOKUP($E151,'A-1 Site Habitat Baseline'!$D$1:$O$258,12,FALSE)),"",(VLOOKUP($E151,'A-1 Site Habitat Baseline'!$D$1:$O$258,12,FALSE))))</f>
        <v/>
      </c>
      <c r="N151" s="344" t="str">
        <f>IF(E151="","",IF(ISNA(VLOOKUP($E151,'A-1 Site Habitat Baseline'!$D$1:$X$258,14,FALSE)),"",(VLOOKUP($E151,'A-1 Site Habitat Baseline'!$D$1:$X$258,14,FALSE))))</f>
        <v/>
      </c>
      <c r="O151" s="345" t="str">
        <f>IF(E151="","",IF(ISNA(VLOOKUP($E151,'A-1 Site Habitat Baseline'!$D$1:$X$258,16,FALSE)),"",(VLOOKUP($E151,'A-1 Site Habitat Baseline'!$D$1:$X$258,13,FALSE))))</f>
        <v/>
      </c>
      <c r="P151" s="346" t="str">
        <f>IFERROR(INDEX('G-1 All Habitats'!$AG$3:$AG$15,MATCH(Q151,'G-1 All Habitats'!$AF$3:$AF$15,0)),"")</f>
        <v/>
      </c>
      <c r="Q151" s="347"/>
      <c r="R151" s="347"/>
      <c r="S151" s="605" t="str">
        <f>IFERROR(INDEX('G-1 All Habitats'!$B$3:$B$130,MATCH(R151,'G-1 All Habitats'!$A$3:$A$130,0)),"")</f>
        <v/>
      </c>
      <c r="T151" s="77" t="str">
        <f t="shared" si="27"/>
        <v/>
      </c>
      <c r="U151" s="78" t="str">
        <f t="shared" si="22"/>
        <v/>
      </c>
      <c r="V151" s="350" t="str">
        <f t="shared" si="19"/>
        <v/>
      </c>
      <c r="W151" s="343" t="str">
        <f>IF(S151="","",VLOOKUP(S151,'G-1 All Habitats'!$B$2:$M$130,10,FALSE))</f>
        <v/>
      </c>
      <c r="X151" s="343" t="str">
        <f>IFERROR(VLOOKUP(W151,'G-1 All Habitats'!$V$3:$W$7,2,FALSE),"")</f>
        <v/>
      </c>
      <c r="Y151" s="91"/>
      <c r="Z151" s="345" t="str">
        <f>IFERROR(INDEX('G-8 Condition Look up'!$A$3:$H$131,MATCH(S151,'G-8 Condition Look up'!$A$3:$A$131,0),MATCH(Y151,'G-8 Condition Look up'!$A$3:$H$3,0)),"")</f>
        <v/>
      </c>
      <c r="AA151" s="79"/>
      <c r="AB151" s="343" t="str">
        <f>IF(AA151="","",IF(VLOOKUP(AA151,'G-3 Multipliers'!$L$3:$N$6,2,FALSE)=0,"Spatial Data Missing",VLOOKUP(AA151,'G-3 Multipliers'!$L$3:$N$6,2,FALSE)))</f>
        <v/>
      </c>
      <c r="AC151" s="345" t="str">
        <f>IF(AA151="","",IF(VLOOKUP(AA151,'G-3 Multipliers'!$L$3:$N$6,3,FALSE)=0,"Spatial Data Missing",VLOOKUP(AA151,'G-3 Multipliers'!$L$3:$N$6,3,FALSE)))</f>
        <v/>
      </c>
      <c r="AD151" s="351" t="str">
        <f t="shared" si="20"/>
        <v/>
      </c>
      <c r="AE151" s="94"/>
      <c r="AF151" s="94"/>
      <c r="AG151" s="343" t="str">
        <f t="shared" si="23"/>
        <v/>
      </c>
      <c r="AH151" s="591" t="str">
        <f t="shared" si="24"/>
        <v/>
      </c>
      <c r="AI151" s="353" t="str">
        <f>IF(AH151="Check Data","Check Data",IFERROR(VLOOKUP(AH151,'G-4 Temporal multipliers'!$A$4:$C$36,3,FALSE),""))</f>
        <v/>
      </c>
      <c r="AJ151" s="77" t="str">
        <f>IF(S151="","",VLOOKUP(S151,'G-3 Multipliers'!$A$2:$E$130,4,FALSE))</f>
        <v/>
      </c>
      <c r="AK151" s="348" t="str">
        <f t="shared" si="25"/>
        <v/>
      </c>
      <c r="AL151" s="348" t="str">
        <f t="shared" si="26"/>
        <v/>
      </c>
      <c r="AM151" s="607" t="str">
        <f>IFERROR(IF(F151="","",IF(AH151="Check Data","Check Data",VLOOKUP(AL151, 'G-3 Multipliers'!$P$2:$Q$6,2,FALSE))),””)</f>
        <v/>
      </c>
      <c r="AN151" s="81" t="str">
        <f t="shared" si="21"/>
        <v/>
      </c>
      <c r="AO151" s="355"/>
      <c r="AP151" s="356"/>
    </row>
    <row r="152" spans="1:42" x14ac:dyDescent="0.25">
      <c r="A152" s="52" t="str">
        <f>IF(E152="","",IF(ISNA(VLOOKUP($E152,'A-1 Site Habitat Baseline'!$D$1:$O$258,2,FALSE)),"",(VLOOKUP($E152,'A-1 Site Habitat Baseline'!$D$1:$O$258,2,FALSE))))</f>
        <v/>
      </c>
      <c r="B152" s="52" t="str">
        <f>IF(E152="","",IF(ISNA(VLOOKUP($E152,'A-1 Site Habitat Baseline'!$D$1:$O$258,3,FALSE)),"",(VLOOKUP($E152,'A-1 Site Habitat Baseline'!$D$1:$O$258,3,FALSE))))</f>
        <v/>
      </c>
      <c r="C152" s="52" t="str">
        <f>IFERROR(INDEX('G-8 Condition Look up'!$I$4:$I$131,MATCH(S152,'G-8 Condition Look up'!$A$4:$A$131,0)),"")</f>
        <v/>
      </c>
      <c r="E152" s="342" t="str">
        <f>'A-1 Site Habitat Baseline'!AL151</f>
        <v/>
      </c>
      <c r="F152" s="343" t="str">
        <f>IF(E152="","",IF(ISNA(VLOOKUP($E152,'A-1 Site Habitat Baseline'!$D$1:$O$258,4,FALSE)),"",(VLOOKUP($E152,'A-1 Site Habitat Baseline'!$D$1:$O$258,4,FALSE))))</f>
        <v/>
      </c>
      <c r="G152" s="343" t="str">
        <f>IF(E152="","",IF(ISNA(VLOOKUP($E152,'A-1 Site Habitat Baseline'!$D$1:$O$258,5,FALSE)),"",(VLOOKUP($E152,'A-1 Site Habitat Baseline'!$D$1:$O$258,5,FALSE))))</f>
        <v/>
      </c>
      <c r="H152" s="343" t="str">
        <f>IF(E152="","",IF(ISNA(VLOOKUP($E152,'A-1 Site Habitat Baseline'!$D$1:$O$258,6,FALSE)),"",(VLOOKUP($E152,'A-1 Site Habitat Baseline'!$D$1:$O$258,6,FALSE))))</f>
        <v/>
      </c>
      <c r="I152" s="343" t="str">
        <f>IF(E152="","",IF(ISNA(VLOOKUP($E152,'A-1 Site Habitat Baseline'!$D$1:$O$258,7,FALSE)),"",(VLOOKUP($E152,'A-1 Site Habitat Baseline'!$D$1:$O$258,7,FALSE))))</f>
        <v/>
      </c>
      <c r="J152" s="343" t="str">
        <f>IF(E152="","",IF(ISNA(VLOOKUP($E152,'A-1 Site Habitat Baseline'!$D$1:$O$258,8,FALSE)),"",(VLOOKUP($E152,'A-1 Site Habitat Baseline'!$D$1:$O$258,8,FALSE))))</f>
        <v/>
      </c>
      <c r="K152" s="343" t="str">
        <f>IF(E152="","",IF(ISNA(VLOOKUP($E152,'A-1 Site Habitat Baseline'!$D$1:$O$258,9,FALSE)),"",(VLOOKUP($E152,'A-1 Site Habitat Baseline'!$D$1:$O$258,9,FALSE))))</f>
        <v/>
      </c>
      <c r="L152" s="343" t="str">
        <f>IF(E152="","",IF(ISNA(VLOOKUP($E152,'A-1 Site Habitat Baseline'!$D$1:$O$258,11,FALSE)),"",(VLOOKUP($E152,'A-1 Site Habitat Baseline'!$D$1:$O$258,11,FALSE))))</f>
        <v/>
      </c>
      <c r="M152" s="343" t="str">
        <f>IF(E152="","",IF(ISNA(VLOOKUP($E152,'A-1 Site Habitat Baseline'!$D$1:$O$258,12,FALSE)),"",(VLOOKUP($E152,'A-1 Site Habitat Baseline'!$D$1:$O$258,12,FALSE))))</f>
        <v/>
      </c>
      <c r="N152" s="344" t="str">
        <f>IF(E152="","",IF(ISNA(VLOOKUP($E152,'A-1 Site Habitat Baseline'!$D$1:$X$258,14,FALSE)),"",(VLOOKUP($E152,'A-1 Site Habitat Baseline'!$D$1:$X$258,14,FALSE))))</f>
        <v/>
      </c>
      <c r="O152" s="345" t="str">
        <f>IF(E152="","",IF(ISNA(VLOOKUP($E152,'A-1 Site Habitat Baseline'!$D$1:$X$258,16,FALSE)),"",(VLOOKUP($E152,'A-1 Site Habitat Baseline'!$D$1:$X$258,13,FALSE))))</f>
        <v/>
      </c>
      <c r="P152" s="346" t="str">
        <f>IFERROR(INDEX('G-1 All Habitats'!$AG$3:$AG$15,MATCH(Q152,'G-1 All Habitats'!$AF$3:$AF$15,0)),"")</f>
        <v/>
      </c>
      <c r="Q152" s="347"/>
      <c r="R152" s="347"/>
      <c r="S152" s="605" t="str">
        <f>IFERROR(INDEX('G-1 All Habitats'!$B$3:$B$130,MATCH(R152,'G-1 All Habitats'!$A$3:$A$130,0)),"")</f>
        <v/>
      </c>
      <c r="T152" s="77" t="str">
        <f t="shared" si="27"/>
        <v/>
      </c>
      <c r="U152" s="78" t="str">
        <f t="shared" si="22"/>
        <v/>
      </c>
      <c r="V152" s="350" t="str">
        <f t="shared" si="19"/>
        <v/>
      </c>
      <c r="W152" s="343" t="str">
        <f>IF(S152="","",VLOOKUP(S152,'G-1 All Habitats'!$B$2:$M$130,10,FALSE))</f>
        <v/>
      </c>
      <c r="X152" s="343" t="str">
        <f>IFERROR(VLOOKUP(W152,'G-1 All Habitats'!$V$3:$W$7,2,FALSE),"")</f>
        <v/>
      </c>
      <c r="Y152" s="91"/>
      <c r="Z152" s="345" t="str">
        <f>IFERROR(INDEX('G-8 Condition Look up'!$A$3:$H$131,MATCH(S152,'G-8 Condition Look up'!$A$3:$A$131,0),MATCH(Y152,'G-8 Condition Look up'!$A$3:$H$3,0)),"")</f>
        <v/>
      </c>
      <c r="AA152" s="79"/>
      <c r="AB152" s="343" t="str">
        <f>IF(AA152="","",IF(VLOOKUP(AA152,'G-3 Multipliers'!$L$3:$N$6,2,FALSE)=0,"Spatial Data Missing",VLOOKUP(AA152,'G-3 Multipliers'!$L$3:$N$6,2,FALSE)))</f>
        <v/>
      </c>
      <c r="AC152" s="345" t="str">
        <f>IF(AA152="","",IF(VLOOKUP(AA152,'G-3 Multipliers'!$L$3:$N$6,3,FALSE)=0,"Spatial Data Missing",VLOOKUP(AA152,'G-3 Multipliers'!$L$3:$N$6,3,FALSE)))</f>
        <v/>
      </c>
      <c r="AD152" s="351" t="str">
        <f t="shared" si="20"/>
        <v/>
      </c>
      <c r="AE152" s="94"/>
      <c r="AF152" s="94"/>
      <c r="AG152" s="343" t="str">
        <f t="shared" si="23"/>
        <v/>
      </c>
      <c r="AH152" s="591" t="str">
        <f t="shared" si="24"/>
        <v/>
      </c>
      <c r="AI152" s="353" t="str">
        <f>IF(AH152="Check Data","Check Data",IFERROR(VLOOKUP(AH152,'G-4 Temporal multipliers'!$A$4:$C$36,3,FALSE),""))</f>
        <v/>
      </c>
      <c r="AJ152" s="77" t="str">
        <f>IF(S152="","",VLOOKUP(S152,'G-3 Multipliers'!$A$2:$E$130,4,FALSE))</f>
        <v/>
      </c>
      <c r="AK152" s="348" t="str">
        <f t="shared" si="25"/>
        <v/>
      </c>
      <c r="AL152" s="348" t="str">
        <f t="shared" si="26"/>
        <v/>
      </c>
      <c r="AM152" s="607" t="str">
        <f>IFERROR(IF(F152="","",IF(AH152="Check Data","Check Data",VLOOKUP(AL152, 'G-3 Multipliers'!$P$2:$Q$6,2,FALSE))),””)</f>
        <v/>
      </c>
      <c r="AN152" s="81" t="str">
        <f t="shared" si="21"/>
        <v/>
      </c>
      <c r="AO152" s="355"/>
      <c r="AP152" s="356"/>
    </row>
    <row r="153" spans="1:42" x14ac:dyDescent="0.25">
      <c r="A153" s="52" t="str">
        <f>IF(E153="","",IF(ISNA(VLOOKUP($E153,'A-1 Site Habitat Baseline'!$D$1:$O$258,2,FALSE)),"",(VLOOKUP($E153,'A-1 Site Habitat Baseline'!$D$1:$O$258,2,FALSE))))</f>
        <v/>
      </c>
      <c r="B153" s="52" t="str">
        <f>IF(E153="","",IF(ISNA(VLOOKUP($E153,'A-1 Site Habitat Baseline'!$D$1:$O$258,3,FALSE)),"",(VLOOKUP($E153,'A-1 Site Habitat Baseline'!$D$1:$O$258,3,FALSE))))</f>
        <v/>
      </c>
      <c r="C153" s="52" t="str">
        <f>IFERROR(INDEX('G-8 Condition Look up'!$I$4:$I$131,MATCH(S153,'G-8 Condition Look up'!$A$4:$A$131,0)),"")</f>
        <v/>
      </c>
      <c r="E153" s="342" t="str">
        <f>'A-1 Site Habitat Baseline'!AL152</f>
        <v/>
      </c>
      <c r="F153" s="343" t="str">
        <f>IF(E153="","",IF(ISNA(VLOOKUP($E153,'A-1 Site Habitat Baseline'!$D$1:$O$258,4,FALSE)),"",(VLOOKUP($E153,'A-1 Site Habitat Baseline'!$D$1:$O$258,4,FALSE))))</f>
        <v/>
      </c>
      <c r="G153" s="343" t="str">
        <f>IF(E153="","",IF(ISNA(VLOOKUP($E153,'A-1 Site Habitat Baseline'!$D$1:$O$258,5,FALSE)),"",(VLOOKUP($E153,'A-1 Site Habitat Baseline'!$D$1:$O$258,5,FALSE))))</f>
        <v/>
      </c>
      <c r="H153" s="343" t="str">
        <f>IF(E153="","",IF(ISNA(VLOOKUP($E153,'A-1 Site Habitat Baseline'!$D$1:$O$258,6,FALSE)),"",(VLOOKUP($E153,'A-1 Site Habitat Baseline'!$D$1:$O$258,6,FALSE))))</f>
        <v/>
      </c>
      <c r="I153" s="343" t="str">
        <f>IF(E153="","",IF(ISNA(VLOOKUP($E153,'A-1 Site Habitat Baseline'!$D$1:$O$258,7,FALSE)),"",(VLOOKUP($E153,'A-1 Site Habitat Baseline'!$D$1:$O$258,7,FALSE))))</f>
        <v/>
      </c>
      <c r="J153" s="343" t="str">
        <f>IF(E153="","",IF(ISNA(VLOOKUP($E153,'A-1 Site Habitat Baseline'!$D$1:$O$258,8,FALSE)),"",(VLOOKUP($E153,'A-1 Site Habitat Baseline'!$D$1:$O$258,8,FALSE))))</f>
        <v/>
      </c>
      <c r="K153" s="343" t="str">
        <f>IF(E153="","",IF(ISNA(VLOOKUP($E153,'A-1 Site Habitat Baseline'!$D$1:$O$258,9,FALSE)),"",(VLOOKUP($E153,'A-1 Site Habitat Baseline'!$D$1:$O$258,9,FALSE))))</f>
        <v/>
      </c>
      <c r="L153" s="343" t="str">
        <f>IF(E153="","",IF(ISNA(VLOOKUP($E153,'A-1 Site Habitat Baseline'!$D$1:$O$258,11,FALSE)),"",(VLOOKUP($E153,'A-1 Site Habitat Baseline'!$D$1:$O$258,11,FALSE))))</f>
        <v/>
      </c>
      <c r="M153" s="343" t="str">
        <f>IF(E153="","",IF(ISNA(VLOOKUP($E153,'A-1 Site Habitat Baseline'!$D$1:$O$258,12,FALSE)),"",(VLOOKUP($E153,'A-1 Site Habitat Baseline'!$D$1:$O$258,12,FALSE))))</f>
        <v/>
      </c>
      <c r="N153" s="344" t="str">
        <f>IF(E153="","",IF(ISNA(VLOOKUP($E153,'A-1 Site Habitat Baseline'!$D$1:$X$258,14,FALSE)),"",(VLOOKUP($E153,'A-1 Site Habitat Baseline'!$D$1:$X$258,14,FALSE))))</f>
        <v/>
      </c>
      <c r="O153" s="345" t="str">
        <f>IF(E153="","",IF(ISNA(VLOOKUP($E153,'A-1 Site Habitat Baseline'!$D$1:$X$258,16,FALSE)),"",(VLOOKUP($E153,'A-1 Site Habitat Baseline'!$D$1:$X$258,13,FALSE))))</f>
        <v/>
      </c>
      <c r="P153" s="346" t="str">
        <f>IFERROR(INDEX('G-1 All Habitats'!$AG$3:$AG$15,MATCH(Q153,'G-1 All Habitats'!$AF$3:$AF$15,0)),"")</f>
        <v/>
      </c>
      <c r="Q153" s="347"/>
      <c r="R153" s="347"/>
      <c r="S153" s="605" t="str">
        <f>IFERROR(INDEX('G-1 All Habitats'!$B$3:$B$130,MATCH(R153,'G-1 All Habitats'!$A$3:$A$130,0)),"")</f>
        <v/>
      </c>
      <c r="T153" s="77" t="str">
        <f t="shared" si="27"/>
        <v/>
      </c>
      <c r="U153" s="78" t="str">
        <f t="shared" si="22"/>
        <v/>
      </c>
      <c r="V153" s="350" t="str">
        <f t="shared" si="19"/>
        <v/>
      </c>
      <c r="W153" s="343" t="str">
        <f>IF(S153="","",VLOOKUP(S153,'G-1 All Habitats'!$B$2:$M$130,10,FALSE))</f>
        <v/>
      </c>
      <c r="X153" s="343" t="str">
        <f>IFERROR(VLOOKUP(W153,'G-1 All Habitats'!$V$3:$W$7,2,FALSE),"")</f>
        <v/>
      </c>
      <c r="Y153" s="91"/>
      <c r="Z153" s="345" t="str">
        <f>IFERROR(INDEX('G-8 Condition Look up'!$A$3:$H$131,MATCH(S153,'G-8 Condition Look up'!$A$3:$A$131,0),MATCH(Y153,'G-8 Condition Look up'!$A$3:$H$3,0)),"")</f>
        <v/>
      </c>
      <c r="AA153" s="79"/>
      <c r="AB153" s="343" t="str">
        <f>IF(AA153="","",IF(VLOOKUP(AA153,'G-3 Multipliers'!$L$3:$N$6,2,FALSE)=0,"Spatial Data Missing",VLOOKUP(AA153,'G-3 Multipliers'!$L$3:$N$6,2,FALSE)))</f>
        <v/>
      </c>
      <c r="AC153" s="345" t="str">
        <f>IF(AA153="","",IF(VLOOKUP(AA153,'G-3 Multipliers'!$L$3:$N$6,3,FALSE)=0,"Spatial Data Missing",VLOOKUP(AA153,'G-3 Multipliers'!$L$3:$N$6,3,FALSE)))</f>
        <v/>
      </c>
      <c r="AD153" s="351" t="str">
        <f t="shared" si="20"/>
        <v/>
      </c>
      <c r="AE153" s="94"/>
      <c r="AF153" s="94"/>
      <c r="AG153" s="343" t="str">
        <f t="shared" si="23"/>
        <v/>
      </c>
      <c r="AH153" s="591" t="str">
        <f t="shared" si="24"/>
        <v/>
      </c>
      <c r="AI153" s="353" t="str">
        <f>IF(AH153="Check Data","Check Data",IFERROR(VLOOKUP(AH153,'G-4 Temporal multipliers'!$A$4:$C$36,3,FALSE),""))</f>
        <v/>
      </c>
      <c r="AJ153" s="77" t="str">
        <f>IF(S153="","",VLOOKUP(S153,'G-3 Multipliers'!$A$2:$E$130,4,FALSE))</f>
        <v/>
      </c>
      <c r="AK153" s="348" t="str">
        <f t="shared" si="25"/>
        <v/>
      </c>
      <c r="AL153" s="348" t="str">
        <f t="shared" si="26"/>
        <v/>
      </c>
      <c r="AM153" s="607" t="str">
        <f>IFERROR(IF(F153="","",IF(AH153="Check Data","Check Data",VLOOKUP(AL153, 'G-3 Multipliers'!$P$2:$Q$6,2,FALSE))),””)</f>
        <v/>
      </c>
      <c r="AN153" s="81" t="str">
        <f t="shared" si="21"/>
        <v/>
      </c>
      <c r="AO153" s="355"/>
      <c r="AP153" s="356"/>
    </row>
    <row r="154" spans="1:42" x14ac:dyDescent="0.25">
      <c r="A154" s="52" t="str">
        <f>IF(E154="","",IF(ISNA(VLOOKUP($E154,'A-1 Site Habitat Baseline'!$D$1:$O$258,2,FALSE)),"",(VLOOKUP($E154,'A-1 Site Habitat Baseline'!$D$1:$O$258,2,FALSE))))</f>
        <v/>
      </c>
      <c r="B154" s="52" t="str">
        <f>IF(E154="","",IF(ISNA(VLOOKUP($E154,'A-1 Site Habitat Baseline'!$D$1:$O$258,3,FALSE)),"",(VLOOKUP($E154,'A-1 Site Habitat Baseline'!$D$1:$O$258,3,FALSE))))</f>
        <v/>
      </c>
      <c r="C154" s="52" t="str">
        <f>IFERROR(INDEX('G-8 Condition Look up'!$I$4:$I$131,MATCH(S154,'G-8 Condition Look up'!$A$4:$A$131,0)),"")</f>
        <v/>
      </c>
      <c r="E154" s="342" t="str">
        <f>'A-1 Site Habitat Baseline'!AL153</f>
        <v/>
      </c>
      <c r="F154" s="343" t="str">
        <f>IF(E154="","",IF(ISNA(VLOOKUP($E154,'A-1 Site Habitat Baseline'!$D$1:$O$258,4,FALSE)),"",(VLOOKUP($E154,'A-1 Site Habitat Baseline'!$D$1:$O$258,4,FALSE))))</f>
        <v/>
      </c>
      <c r="G154" s="343" t="str">
        <f>IF(E154="","",IF(ISNA(VLOOKUP($E154,'A-1 Site Habitat Baseline'!$D$1:$O$258,5,FALSE)),"",(VLOOKUP($E154,'A-1 Site Habitat Baseline'!$D$1:$O$258,5,FALSE))))</f>
        <v/>
      </c>
      <c r="H154" s="343" t="str">
        <f>IF(E154="","",IF(ISNA(VLOOKUP($E154,'A-1 Site Habitat Baseline'!$D$1:$O$258,6,FALSE)),"",(VLOOKUP($E154,'A-1 Site Habitat Baseline'!$D$1:$O$258,6,FALSE))))</f>
        <v/>
      </c>
      <c r="I154" s="343" t="str">
        <f>IF(E154="","",IF(ISNA(VLOOKUP($E154,'A-1 Site Habitat Baseline'!$D$1:$O$258,7,FALSE)),"",(VLOOKUP($E154,'A-1 Site Habitat Baseline'!$D$1:$O$258,7,FALSE))))</f>
        <v/>
      </c>
      <c r="J154" s="343" t="str">
        <f>IF(E154="","",IF(ISNA(VLOOKUP($E154,'A-1 Site Habitat Baseline'!$D$1:$O$258,8,FALSE)),"",(VLOOKUP($E154,'A-1 Site Habitat Baseline'!$D$1:$O$258,8,FALSE))))</f>
        <v/>
      </c>
      <c r="K154" s="343" t="str">
        <f>IF(E154="","",IF(ISNA(VLOOKUP($E154,'A-1 Site Habitat Baseline'!$D$1:$O$258,9,FALSE)),"",(VLOOKUP($E154,'A-1 Site Habitat Baseline'!$D$1:$O$258,9,FALSE))))</f>
        <v/>
      </c>
      <c r="L154" s="343" t="str">
        <f>IF(E154="","",IF(ISNA(VLOOKUP($E154,'A-1 Site Habitat Baseline'!$D$1:$O$258,11,FALSE)),"",(VLOOKUP($E154,'A-1 Site Habitat Baseline'!$D$1:$O$258,11,FALSE))))</f>
        <v/>
      </c>
      <c r="M154" s="343" t="str">
        <f>IF(E154="","",IF(ISNA(VLOOKUP($E154,'A-1 Site Habitat Baseline'!$D$1:$O$258,12,FALSE)),"",(VLOOKUP($E154,'A-1 Site Habitat Baseline'!$D$1:$O$258,12,FALSE))))</f>
        <v/>
      </c>
      <c r="N154" s="344" t="str">
        <f>IF(E154="","",IF(ISNA(VLOOKUP($E154,'A-1 Site Habitat Baseline'!$D$1:$X$258,14,FALSE)),"",(VLOOKUP($E154,'A-1 Site Habitat Baseline'!$D$1:$X$258,14,FALSE))))</f>
        <v/>
      </c>
      <c r="O154" s="345" t="str">
        <f>IF(E154="","",IF(ISNA(VLOOKUP($E154,'A-1 Site Habitat Baseline'!$D$1:$X$258,16,FALSE)),"",(VLOOKUP($E154,'A-1 Site Habitat Baseline'!$D$1:$X$258,13,FALSE))))</f>
        <v/>
      </c>
      <c r="P154" s="346" t="str">
        <f>IFERROR(INDEX('G-1 All Habitats'!$AG$3:$AG$15,MATCH(Q154,'G-1 All Habitats'!$AF$3:$AF$15,0)),"")</f>
        <v/>
      </c>
      <c r="Q154" s="347"/>
      <c r="R154" s="347"/>
      <c r="S154" s="605" t="str">
        <f>IFERROR(INDEX('G-1 All Habitats'!$B$3:$B$130,MATCH(R154,'G-1 All Habitats'!$A$3:$A$130,0)),"")</f>
        <v/>
      </c>
      <c r="T154" s="77" t="str">
        <f t="shared" si="27"/>
        <v/>
      </c>
      <c r="U154" s="78" t="str">
        <f t="shared" si="22"/>
        <v/>
      </c>
      <c r="V154" s="350" t="str">
        <f t="shared" si="19"/>
        <v/>
      </c>
      <c r="W154" s="343" t="str">
        <f>IF(S154="","",VLOOKUP(S154,'G-1 All Habitats'!$B$2:$M$130,10,FALSE))</f>
        <v/>
      </c>
      <c r="X154" s="343" t="str">
        <f>IFERROR(VLOOKUP(W154,'G-1 All Habitats'!$V$3:$W$7,2,FALSE),"")</f>
        <v/>
      </c>
      <c r="Y154" s="91"/>
      <c r="Z154" s="345" t="str">
        <f>IFERROR(INDEX('G-8 Condition Look up'!$A$3:$H$131,MATCH(S154,'G-8 Condition Look up'!$A$3:$A$131,0),MATCH(Y154,'G-8 Condition Look up'!$A$3:$H$3,0)),"")</f>
        <v/>
      </c>
      <c r="AA154" s="79"/>
      <c r="AB154" s="343" t="str">
        <f>IF(AA154="","",IF(VLOOKUP(AA154,'G-3 Multipliers'!$L$3:$N$6,2,FALSE)=0,"Spatial Data Missing",VLOOKUP(AA154,'G-3 Multipliers'!$L$3:$N$6,2,FALSE)))</f>
        <v/>
      </c>
      <c r="AC154" s="345" t="str">
        <f>IF(AA154="","",IF(VLOOKUP(AA154,'G-3 Multipliers'!$L$3:$N$6,3,FALSE)=0,"Spatial Data Missing",VLOOKUP(AA154,'G-3 Multipliers'!$L$3:$N$6,3,FALSE)))</f>
        <v/>
      </c>
      <c r="AD154" s="351" t="str">
        <f t="shared" si="20"/>
        <v/>
      </c>
      <c r="AE154" s="94"/>
      <c r="AF154" s="94"/>
      <c r="AG154" s="343" t="str">
        <f t="shared" si="23"/>
        <v/>
      </c>
      <c r="AH154" s="591" t="str">
        <f t="shared" si="24"/>
        <v/>
      </c>
      <c r="AI154" s="353" t="str">
        <f>IF(AH154="Check Data","Check Data",IFERROR(VLOOKUP(AH154,'G-4 Temporal multipliers'!$A$4:$C$36,3,FALSE),""))</f>
        <v/>
      </c>
      <c r="AJ154" s="77" t="str">
        <f>IF(S154="","",VLOOKUP(S154,'G-3 Multipliers'!$A$2:$E$130,4,FALSE))</f>
        <v/>
      </c>
      <c r="AK154" s="348" t="str">
        <f t="shared" si="25"/>
        <v/>
      </c>
      <c r="AL154" s="348" t="str">
        <f t="shared" si="26"/>
        <v/>
      </c>
      <c r="AM154" s="607" t="str">
        <f>IFERROR(IF(F154="","",IF(AH154="Check Data","Check Data",VLOOKUP(AL154, 'G-3 Multipliers'!$P$2:$Q$6,2,FALSE))),””)</f>
        <v/>
      </c>
      <c r="AN154" s="81" t="str">
        <f t="shared" si="21"/>
        <v/>
      </c>
      <c r="AO154" s="355"/>
      <c r="AP154" s="356"/>
    </row>
    <row r="155" spans="1:42" x14ac:dyDescent="0.25">
      <c r="A155" s="52" t="str">
        <f>IF(E155="","",IF(ISNA(VLOOKUP($E155,'A-1 Site Habitat Baseline'!$D$1:$O$258,2,FALSE)),"",(VLOOKUP($E155,'A-1 Site Habitat Baseline'!$D$1:$O$258,2,FALSE))))</f>
        <v/>
      </c>
      <c r="B155" s="52" t="str">
        <f>IF(E155="","",IF(ISNA(VLOOKUP($E155,'A-1 Site Habitat Baseline'!$D$1:$O$258,3,FALSE)),"",(VLOOKUP($E155,'A-1 Site Habitat Baseline'!$D$1:$O$258,3,FALSE))))</f>
        <v/>
      </c>
      <c r="C155" s="52" t="str">
        <f>IFERROR(INDEX('G-8 Condition Look up'!$I$4:$I$131,MATCH(S155,'G-8 Condition Look up'!$A$4:$A$131,0)),"")</f>
        <v/>
      </c>
      <c r="E155" s="342" t="str">
        <f>'A-1 Site Habitat Baseline'!AL154</f>
        <v/>
      </c>
      <c r="F155" s="343" t="str">
        <f>IF(E155="","",IF(ISNA(VLOOKUP($E155,'A-1 Site Habitat Baseline'!$D$1:$O$258,4,FALSE)),"",(VLOOKUP($E155,'A-1 Site Habitat Baseline'!$D$1:$O$258,4,FALSE))))</f>
        <v/>
      </c>
      <c r="G155" s="343" t="str">
        <f>IF(E155="","",IF(ISNA(VLOOKUP($E155,'A-1 Site Habitat Baseline'!$D$1:$O$258,5,FALSE)),"",(VLOOKUP($E155,'A-1 Site Habitat Baseline'!$D$1:$O$258,5,FALSE))))</f>
        <v/>
      </c>
      <c r="H155" s="343" t="str">
        <f>IF(E155="","",IF(ISNA(VLOOKUP($E155,'A-1 Site Habitat Baseline'!$D$1:$O$258,6,FALSE)),"",(VLOOKUP($E155,'A-1 Site Habitat Baseline'!$D$1:$O$258,6,FALSE))))</f>
        <v/>
      </c>
      <c r="I155" s="343" t="str">
        <f>IF(E155="","",IF(ISNA(VLOOKUP($E155,'A-1 Site Habitat Baseline'!$D$1:$O$258,7,FALSE)),"",(VLOOKUP($E155,'A-1 Site Habitat Baseline'!$D$1:$O$258,7,FALSE))))</f>
        <v/>
      </c>
      <c r="J155" s="343" t="str">
        <f>IF(E155="","",IF(ISNA(VLOOKUP($E155,'A-1 Site Habitat Baseline'!$D$1:$O$258,8,FALSE)),"",(VLOOKUP($E155,'A-1 Site Habitat Baseline'!$D$1:$O$258,8,FALSE))))</f>
        <v/>
      </c>
      <c r="K155" s="343" t="str">
        <f>IF(E155="","",IF(ISNA(VLOOKUP($E155,'A-1 Site Habitat Baseline'!$D$1:$O$258,9,FALSE)),"",(VLOOKUP($E155,'A-1 Site Habitat Baseline'!$D$1:$O$258,9,FALSE))))</f>
        <v/>
      </c>
      <c r="L155" s="343" t="str">
        <f>IF(E155="","",IF(ISNA(VLOOKUP($E155,'A-1 Site Habitat Baseline'!$D$1:$O$258,11,FALSE)),"",(VLOOKUP($E155,'A-1 Site Habitat Baseline'!$D$1:$O$258,11,FALSE))))</f>
        <v/>
      </c>
      <c r="M155" s="343" t="str">
        <f>IF(E155="","",IF(ISNA(VLOOKUP($E155,'A-1 Site Habitat Baseline'!$D$1:$O$258,12,FALSE)),"",(VLOOKUP($E155,'A-1 Site Habitat Baseline'!$D$1:$O$258,12,FALSE))))</f>
        <v/>
      </c>
      <c r="N155" s="344" t="str">
        <f>IF(E155="","",IF(ISNA(VLOOKUP($E155,'A-1 Site Habitat Baseline'!$D$1:$X$258,14,FALSE)),"",(VLOOKUP($E155,'A-1 Site Habitat Baseline'!$D$1:$X$258,14,FALSE))))</f>
        <v/>
      </c>
      <c r="O155" s="345" t="str">
        <f>IF(E155="","",IF(ISNA(VLOOKUP($E155,'A-1 Site Habitat Baseline'!$D$1:$X$258,16,FALSE)),"",(VLOOKUP($E155,'A-1 Site Habitat Baseline'!$D$1:$X$258,13,FALSE))))</f>
        <v/>
      </c>
      <c r="P155" s="346" t="str">
        <f>IFERROR(INDEX('G-1 All Habitats'!$AG$3:$AG$15,MATCH(Q155,'G-1 All Habitats'!$AF$3:$AF$15,0)),"")</f>
        <v/>
      </c>
      <c r="Q155" s="347"/>
      <c r="R155" s="347"/>
      <c r="S155" s="605" t="str">
        <f>IFERROR(INDEX('G-1 All Habitats'!$B$3:$B$130,MATCH(R155,'G-1 All Habitats'!$A$3:$A$130,0)),"")</f>
        <v/>
      </c>
      <c r="T155" s="77" t="str">
        <f t="shared" si="27"/>
        <v/>
      </c>
      <c r="U155" s="78" t="str">
        <f t="shared" si="22"/>
        <v/>
      </c>
      <c r="V155" s="350" t="str">
        <f t="shared" si="19"/>
        <v/>
      </c>
      <c r="W155" s="343" t="str">
        <f>IF(S155="","",VLOOKUP(S155,'G-1 All Habitats'!$B$2:$M$130,10,FALSE))</f>
        <v/>
      </c>
      <c r="X155" s="343" t="str">
        <f>IFERROR(VLOOKUP(W155,'G-1 All Habitats'!$V$3:$W$7,2,FALSE),"")</f>
        <v/>
      </c>
      <c r="Y155" s="91"/>
      <c r="Z155" s="345" t="str">
        <f>IFERROR(INDEX('G-8 Condition Look up'!$A$3:$H$131,MATCH(S155,'G-8 Condition Look up'!$A$3:$A$131,0),MATCH(Y155,'G-8 Condition Look up'!$A$3:$H$3,0)),"")</f>
        <v/>
      </c>
      <c r="AA155" s="79"/>
      <c r="AB155" s="343" t="str">
        <f>IF(AA155="","",IF(VLOOKUP(AA155,'G-3 Multipliers'!$L$3:$N$6,2,FALSE)=0,"Spatial Data Missing",VLOOKUP(AA155,'G-3 Multipliers'!$L$3:$N$6,2,FALSE)))</f>
        <v/>
      </c>
      <c r="AC155" s="345" t="str">
        <f>IF(AA155="","",IF(VLOOKUP(AA155,'G-3 Multipliers'!$L$3:$N$6,3,FALSE)=0,"Spatial Data Missing",VLOOKUP(AA155,'G-3 Multipliers'!$L$3:$N$6,3,FALSE)))</f>
        <v/>
      </c>
      <c r="AD155" s="351" t="str">
        <f t="shared" si="20"/>
        <v/>
      </c>
      <c r="AE155" s="94"/>
      <c r="AF155" s="94"/>
      <c r="AG155" s="343" t="str">
        <f t="shared" si="23"/>
        <v/>
      </c>
      <c r="AH155" s="591" t="str">
        <f t="shared" si="24"/>
        <v/>
      </c>
      <c r="AI155" s="353" t="str">
        <f>IF(AH155="Check Data","Check Data",IFERROR(VLOOKUP(AH155,'G-4 Temporal multipliers'!$A$4:$C$36,3,FALSE),""))</f>
        <v/>
      </c>
      <c r="AJ155" s="77" t="str">
        <f>IF(S155="","",VLOOKUP(S155,'G-3 Multipliers'!$A$2:$E$130,4,FALSE))</f>
        <v/>
      </c>
      <c r="AK155" s="348" t="str">
        <f t="shared" si="25"/>
        <v/>
      </c>
      <c r="AL155" s="348" t="str">
        <f t="shared" si="26"/>
        <v/>
      </c>
      <c r="AM155" s="607" t="str">
        <f>IFERROR(IF(F155="","",IF(AH155="Check Data","Check Data",VLOOKUP(AL155, 'G-3 Multipliers'!$P$2:$Q$6,2,FALSE))),””)</f>
        <v/>
      </c>
      <c r="AN155" s="81" t="str">
        <f t="shared" si="21"/>
        <v/>
      </c>
      <c r="AO155" s="355"/>
      <c r="AP155" s="356"/>
    </row>
    <row r="156" spans="1:42" x14ac:dyDescent="0.25">
      <c r="A156" s="52" t="str">
        <f>IF(E156="","",IF(ISNA(VLOOKUP($E156,'A-1 Site Habitat Baseline'!$D$1:$O$258,2,FALSE)),"",(VLOOKUP($E156,'A-1 Site Habitat Baseline'!$D$1:$O$258,2,FALSE))))</f>
        <v/>
      </c>
      <c r="B156" s="52" t="str">
        <f>IF(E156="","",IF(ISNA(VLOOKUP($E156,'A-1 Site Habitat Baseline'!$D$1:$O$258,3,FALSE)),"",(VLOOKUP($E156,'A-1 Site Habitat Baseline'!$D$1:$O$258,3,FALSE))))</f>
        <v/>
      </c>
      <c r="C156" s="52" t="str">
        <f>IFERROR(INDEX('G-8 Condition Look up'!$I$4:$I$131,MATCH(S156,'G-8 Condition Look up'!$A$4:$A$131,0)),"")</f>
        <v/>
      </c>
      <c r="E156" s="342" t="str">
        <f>'A-1 Site Habitat Baseline'!AL155</f>
        <v/>
      </c>
      <c r="F156" s="343" t="str">
        <f>IF(E156="","",IF(ISNA(VLOOKUP($E156,'A-1 Site Habitat Baseline'!$D$1:$O$258,4,FALSE)),"",(VLOOKUP($E156,'A-1 Site Habitat Baseline'!$D$1:$O$258,4,FALSE))))</f>
        <v/>
      </c>
      <c r="G156" s="343" t="str">
        <f>IF(E156="","",IF(ISNA(VLOOKUP($E156,'A-1 Site Habitat Baseline'!$D$1:$O$258,5,FALSE)),"",(VLOOKUP($E156,'A-1 Site Habitat Baseline'!$D$1:$O$258,5,FALSE))))</f>
        <v/>
      </c>
      <c r="H156" s="343" t="str">
        <f>IF(E156="","",IF(ISNA(VLOOKUP($E156,'A-1 Site Habitat Baseline'!$D$1:$O$258,6,FALSE)),"",(VLOOKUP($E156,'A-1 Site Habitat Baseline'!$D$1:$O$258,6,FALSE))))</f>
        <v/>
      </c>
      <c r="I156" s="343" t="str">
        <f>IF(E156="","",IF(ISNA(VLOOKUP($E156,'A-1 Site Habitat Baseline'!$D$1:$O$258,7,FALSE)),"",(VLOOKUP($E156,'A-1 Site Habitat Baseline'!$D$1:$O$258,7,FALSE))))</f>
        <v/>
      </c>
      <c r="J156" s="343" t="str">
        <f>IF(E156="","",IF(ISNA(VLOOKUP($E156,'A-1 Site Habitat Baseline'!$D$1:$O$258,8,FALSE)),"",(VLOOKUP($E156,'A-1 Site Habitat Baseline'!$D$1:$O$258,8,FALSE))))</f>
        <v/>
      </c>
      <c r="K156" s="343" t="str">
        <f>IF(E156="","",IF(ISNA(VLOOKUP($E156,'A-1 Site Habitat Baseline'!$D$1:$O$258,9,FALSE)),"",(VLOOKUP($E156,'A-1 Site Habitat Baseline'!$D$1:$O$258,9,FALSE))))</f>
        <v/>
      </c>
      <c r="L156" s="343" t="str">
        <f>IF(E156="","",IF(ISNA(VLOOKUP($E156,'A-1 Site Habitat Baseline'!$D$1:$O$258,11,FALSE)),"",(VLOOKUP($E156,'A-1 Site Habitat Baseline'!$D$1:$O$258,11,FALSE))))</f>
        <v/>
      </c>
      <c r="M156" s="343" t="str">
        <f>IF(E156="","",IF(ISNA(VLOOKUP($E156,'A-1 Site Habitat Baseline'!$D$1:$O$258,12,FALSE)),"",(VLOOKUP($E156,'A-1 Site Habitat Baseline'!$D$1:$O$258,12,FALSE))))</f>
        <v/>
      </c>
      <c r="N156" s="344" t="str">
        <f>IF(E156="","",IF(ISNA(VLOOKUP($E156,'A-1 Site Habitat Baseline'!$D$1:$X$258,14,FALSE)),"",(VLOOKUP($E156,'A-1 Site Habitat Baseline'!$D$1:$X$258,14,FALSE))))</f>
        <v/>
      </c>
      <c r="O156" s="345" t="str">
        <f>IF(E156="","",IF(ISNA(VLOOKUP($E156,'A-1 Site Habitat Baseline'!$D$1:$X$258,16,FALSE)),"",(VLOOKUP($E156,'A-1 Site Habitat Baseline'!$D$1:$X$258,13,FALSE))))</f>
        <v/>
      </c>
      <c r="P156" s="346" t="str">
        <f>IFERROR(INDEX('G-1 All Habitats'!$AG$3:$AG$15,MATCH(Q156,'G-1 All Habitats'!$AF$3:$AF$15,0)),"")</f>
        <v/>
      </c>
      <c r="Q156" s="347"/>
      <c r="R156" s="347"/>
      <c r="S156" s="605" t="str">
        <f>IFERROR(INDEX('G-1 All Habitats'!$B$3:$B$130,MATCH(R156,'G-1 All Habitats'!$A$3:$A$130,0)),"")</f>
        <v/>
      </c>
      <c r="T156" s="77" t="str">
        <f t="shared" si="27"/>
        <v/>
      </c>
      <c r="U156" s="78" t="str">
        <f t="shared" si="22"/>
        <v/>
      </c>
      <c r="V156" s="350" t="str">
        <f t="shared" si="19"/>
        <v/>
      </c>
      <c r="W156" s="343" t="str">
        <f>IF(S156="","",VLOOKUP(S156,'G-1 All Habitats'!$B$2:$M$130,10,FALSE))</f>
        <v/>
      </c>
      <c r="X156" s="343" t="str">
        <f>IFERROR(VLOOKUP(W156,'G-1 All Habitats'!$V$3:$W$7,2,FALSE),"")</f>
        <v/>
      </c>
      <c r="Y156" s="91"/>
      <c r="Z156" s="345" t="str">
        <f>IFERROR(INDEX('G-8 Condition Look up'!$A$3:$H$131,MATCH(S156,'G-8 Condition Look up'!$A$3:$A$131,0),MATCH(Y156,'G-8 Condition Look up'!$A$3:$H$3,0)),"")</f>
        <v/>
      </c>
      <c r="AA156" s="79"/>
      <c r="AB156" s="343" t="str">
        <f>IF(AA156="","",IF(VLOOKUP(AA156,'G-3 Multipliers'!$L$3:$N$6,2,FALSE)=0,"Spatial Data Missing",VLOOKUP(AA156,'G-3 Multipliers'!$L$3:$N$6,2,FALSE)))</f>
        <v/>
      </c>
      <c r="AC156" s="345" t="str">
        <f>IF(AA156="","",IF(VLOOKUP(AA156,'G-3 Multipliers'!$L$3:$N$6,3,FALSE)=0,"Spatial Data Missing",VLOOKUP(AA156,'G-3 Multipliers'!$L$3:$N$6,3,FALSE)))</f>
        <v/>
      </c>
      <c r="AD156" s="351" t="str">
        <f t="shared" si="20"/>
        <v/>
      </c>
      <c r="AE156" s="94"/>
      <c r="AF156" s="94"/>
      <c r="AG156" s="343" t="str">
        <f t="shared" si="23"/>
        <v/>
      </c>
      <c r="AH156" s="591" t="str">
        <f t="shared" si="24"/>
        <v/>
      </c>
      <c r="AI156" s="353" t="str">
        <f>IF(AH156="Check Data","Check Data",IFERROR(VLOOKUP(AH156,'G-4 Temporal multipliers'!$A$4:$C$36,3,FALSE),""))</f>
        <v/>
      </c>
      <c r="AJ156" s="77" t="str">
        <f>IF(S156="","",VLOOKUP(S156,'G-3 Multipliers'!$A$2:$E$130,4,FALSE))</f>
        <v/>
      </c>
      <c r="AK156" s="348" t="str">
        <f t="shared" si="25"/>
        <v/>
      </c>
      <c r="AL156" s="348" t="str">
        <f t="shared" si="26"/>
        <v/>
      </c>
      <c r="AM156" s="607" t="str">
        <f>IFERROR(IF(F156="","",IF(AH156="Check Data","Check Data",VLOOKUP(AL156, 'G-3 Multipliers'!$P$2:$Q$6,2,FALSE))),””)</f>
        <v/>
      </c>
      <c r="AN156" s="81" t="str">
        <f t="shared" si="21"/>
        <v/>
      </c>
      <c r="AO156" s="355"/>
      <c r="AP156" s="356"/>
    </row>
    <row r="157" spans="1:42" x14ac:dyDescent="0.25">
      <c r="A157" s="52" t="str">
        <f>IF(E157="","",IF(ISNA(VLOOKUP($E157,'A-1 Site Habitat Baseline'!$D$1:$O$258,2,FALSE)),"",(VLOOKUP($E157,'A-1 Site Habitat Baseline'!$D$1:$O$258,2,FALSE))))</f>
        <v/>
      </c>
      <c r="B157" s="52" t="str">
        <f>IF(E157="","",IF(ISNA(VLOOKUP($E157,'A-1 Site Habitat Baseline'!$D$1:$O$258,3,FALSE)),"",(VLOOKUP($E157,'A-1 Site Habitat Baseline'!$D$1:$O$258,3,FALSE))))</f>
        <v/>
      </c>
      <c r="C157" s="52" t="str">
        <f>IFERROR(INDEX('G-8 Condition Look up'!$I$4:$I$131,MATCH(S157,'G-8 Condition Look up'!$A$4:$A$131,0)),"")</f>
        <v/>
      </c>
      <c r="E157" s="342" t="str">
        <f>'A-1 Site Habitat Baseline'!AL156</f>
        <v/>
      </c>
      <c r="F157" s="343" t="str">
        <f>IF(E157="","",IF(ISNA(VLOOKUP($E157,'A-1 Site Habitat Baseline'!$D$1:$O$258,4,FALSE)),"",(VLOOKUP($E157,'A-1 Site Habitat Baseline'!$D$1:$O$258,4,FALSE))))</f>
        <v/>
      </c>
      <c r="G157" s="343" t="str">
        <f>IF(E157="","",IF(ISNA(VLOOKUP($E157,'A-1 Site Habitat Baseline'!$D$1:$O$258,5,FALSE)),"",(VLOOKUP($E157,'A-1 Site Habitat Baseline'!$D$1:$O$258,5,FALSE))))</f>
        <v/>
      </c>
      <c r="H157" s="343" t="str">
        <f>IF(E157="","",IF(ISNA(VLOOKUP($E157,'A-1 Site Habitat Baseline'!$D$1:$O$258,6,FALSE)),"",(VLOOKUP($E157,'A-1 Site Habitat Baseline'!$D$1:$O$258,6,FALSE))))</f>
        <v/>
      </c>
      <c r="I157" s="343" t="str">
        <f>IF(E157="","",IF(ISNA(VLOOKUP($E157,'A-1 Site Habitat Baseline'!$D$1:$O$258,7,FALSE)),"",(VLOOKUP($E157,'A-1 Site Habitat Baseline'!$D$1:$O$258,7,FALSE))))</f>
        <v/>
      </c>
      <c r="J157" s="343" t="str">
        <f>IF(E157="","",IF(ISNA(VLOOKUP($E157,'A-1 Site Habitat Baseline'!$D$1:$O$258,8,FALSE)),"",(VLOOKUP($E157,'A-1 Site Habitat Baseline'!$D$1:$O$258,8,FALSE))))</f>
        <v/>
      </c>
      <c r="K157" s="343" t="str">
        <f>IF(E157="","",IF(ISNA(VLOOKUP($E157,'A-1 Site Habitat Baseline'!$D$1:$O$258,9,FALSE)),"",(VLOOKUP($E157,'A-1 Site Habitat Baseline'!$D$1:$O$258,9,FALSE))))</f>
        <v/>
      </c>
      <c r="L157" s="343" t="str">
        <f>IF(E157="","",IF(ISNA(VLOOKUP($E157,'A-1 Site Habitat Baseline'!$D$1:$O$258,11,FALSE)),"",(VLOOKUP($E157,'A-1 Site Habitat Baseline'!$D$1:$O$258,11,FALSE))))</f>
        <v/>
      </c>
      <c r="M157" s="343" t="str">
        <f>IF(E157="","",IF(ISNA(VLOOKUP($E157,'A-1 Site Habitat Baseline'!$D$1:$O$258,12,FALSE)),"",(VLOOKUP($E157,'A-1 Site Habitat Baseline'!$D$1:$O$258,12,FALSE))))</f>
        <v/>
      </c>
      <c r="N157" s="344" t="str">
        <f>IF(E157="","",IF(ISNA(VLOOKUP($E157,'A-1 Site Habitat Baseline'!$D$1:$X$258,14,FALSE)),"",(VLOOKUP($E157,'A-1 Site Habitat Baseline'!$D$1:$X$258,14,FALSE))))</f>
        <v/>
      </c>
      <c r="O157" s="345" t="str">
        <f>IF(E157="","",IF(ISNA(VLOOKUP($E157,'A-1 Site Habitat Baseline'!$D$1:$X$258,16,FALSE)),"",(VLOOKUP($E157,'A-1 Site Habitat Baseline'!$D$1:$X$258,13,FALSE))))</f>
        <v/>
      </c>
      <c r="P157" s="346" t="str">
        <f>IFERROR(INDEX('G-1 All Habitats'!$AG$3:$AG$15,MATCH(Q157,'G-1 All Habitats'!$AF$3:$AF$15,0)),"")</f>
        <v/>
      </c>
      <c r="Q157" s="347"/>
      <c r="R157" s="347"/>
      <c r="S157" s="605" t="str">
        <f>IFERROR(INDEX('G-1 All Habitats'!$B$3:$B$130,MATCH(R157,'G-1 All Habitats'!$A$3:$A$130,0)),"")</f>
        <v/>
      </c>
      <c r="T157" s="77" t="str">
        <f t="shared" si="27"/>
        <v/>
      </c>
      <c r="U157" s="78" t="str">
        <f t="shared" si="22"/>
        <v/>
      </c>
      <c r="V157" s="350" t="str">
        <f t="shared" si="19"/>
        <v/>
      </c>
      <c r="W157" s="343" t="str">
        <f>IF(S157="","",VLOOKUP(S157,'G-1 All Habitats'!$B$2:$M$130,10,FALSE))</f>
        <v/>
      </c>
      <c r="X157" s="343" t="str">
        <f>IFERROR(VLOOKUP(W157,'G-1 All Habitats'!$V$3:$W$7,2,FALSE),"")</f>
        <v/>
      </c>
      <c r="Y157" s="91"/>
      <c r="Z157" s="345" t="str">
        <f>IFERROR(INDEX('G-8 Condition Look up'!$A$3:$H$131,MATCH(S157,'G-8 Condition Look up'!$A$3:$A$131,0),MATCH(Y157,'G-8 Condition Look up'!$A$3:$H$3,0)),"")</f>
        <v/>
      </c>
      <c r="AA157" s="79"/>
      <c r="AB157" s="343" t="str">
        <f>IF(AA157="","",IF(VLOOKUP(AA157,'G-3 Multipliers'!$L$3:$N$6,2,FALSE)=0,"Spatial Data Missing",VLOOKUP(AA157,'G-3 Multipliers'!$L$3:$N$6,2,FALSE)))</f>
        <v/>
      </c>
      <c r="AC157" s="345" t="str">
        <f>IF(AA157="","",IF(VLOOKUP(AA157,'G-3 Multipliers'!$L$3:$N$6,3,FALSE)=0,"Spatial Data Missing",VLOOKUP(AA157,'G-3 Multipliers'!$L$3:$N$6,3,FALSE)))</f>
        <v/>
      </c>
      <c r="AD157" s="351" t="str">
        <f t="shared" si="20"/>
        <v/>
      </c>
      <c r="AE157" s="94"/>
      <c r="AF157" s="94"/>
      <c r="AG157" s="343" t="str">
        <f t="shared" si="23"/>
        <v/>
      </c>
      <c r="AH157" s="591" t="str">
        <f t="shared" si="24"/>
        <v/>
      </c>
      <c r="AI157" s="353" t="str">
        <f>IF(AH157="Check Data","Check Data",IFERROR(VLOOKUP(AH157,'G-4 Temporal multipliers'!$A$4:$C$36,3,FALSE),""))</f>
        <v/>
      </c>
      <c r="AJ157" s="77" t="str">
        <f>IF(S157="","",VLOOKUP(S157,'G-3 Multipliers'!$A$2:$E$130,4,FALSE))</f>
        <v/>
      </c>
      <c r="AK157" s="348" t="str">
        <f t="shared" si="25"/>
        <v/>
      </c>
      <c r="AL157" s="348" t="str">
        <f t="shared" si="26"/>
        <v/>
      </c>
      <c r="AM157" s="607" t="str">
        <f>IFERROR(IF(F157="","",IF(AH157="Check Data","Check Data",VLOOKUP(AL157, 'G-3 Multipliers'!$P$2:$Q$6,2,FALSE))),””)</f>
        <v/>
      </c>
      <c r="AN157" s="81" t="str">
        <f t="shared" si="21"/>
        <v/>
      </c>
      <c r="AO157" s="355"/>
      <c r="AP157" s="356"/>
    </row>
    <row r="158" spans="1:42" x14ac:dyDescent="0.25">
      <c r="A158" s="52" t="str">
        <f>IF(E158="","",IF(ISNA(VLOOKUP($E158,'A-1 Site Habitat Baseline'!$D$1:$O$258,2,FALSE)),"",(VLOOKUP($E158,'A-1 Site Habitat Baseline'!$D$1:$O$258,2,FALSE))))</f>
        <v/>
      </c>
      <c r="B158" s="52" t="str">
        <f>IF(E158="","",IF(ISNA(VLOOKUP($E158,'A-1 Site Habitat Baseline'!$D$1:$O$258,3,FALSE)),"",(VLOOKUP($E158,'A-1 Site Habitat Baseline'!$D$1:$O$258,3,FALSE))))</f>
        <v/>
      </c>
      <c r="C158" s="52" t="str">
        <f>IFERROR(INDEX('G-8 Condition Look up'!$I$4:$I$131,MATCH(S158,'G-8 Condition Look up'!$A$4:$A$131,0)),"")</f>
        <v/>
      </c>
      <c r="E158" s="342" t="str">
        <f>'A-1 Site Habitat Baseline'!AL157</f>
        <v/>
      </c>
      <c r="F158" s="343" t="str">
        <f>IF(E158="","",IF(ISNA(VLOOKUP($E158,'A-1 Site Habitat Baseline'!$D$1:$O$258,4,FALSE)),"",(VLOOKUP($E158,'A-1 Site Habitat Baseline'!$D$1:$O$258,4,FALSE))))</f>
        <v/>
      </c>
      <c r="G158" s="343" t="str">
        <f>IF(E158="","",IF(ISNA(VLOOKUP($E158,'A-1 Site Habitat Baseline'!$D$1:$O$258,5,FALSE)),"",(VLOOKUP($E158,'A-1 Site Habitat Baseline'!$D$1:$O$258,5,FALSE))))</f>
        <v/>
      </c>
      <c r="H158" s="343" t="str">
        <f>IF(E158="","",IF(ISNA(VLOOKUP($E158,'A-1 Site Habitat Baseline'!$D$1:$O$258,6,FALSE)),"",(VLOOKUP($E158,'A-1 Site Habitat Baseline'!$D$1:$O$258,6,FALSE))))</f>
        <v/>
      </c>
      <c r="I158" s="343" t="str">
        <f>IF(E158="","",IF(ISNA(VLOOKUP($E158,'A-1 Site Habitat Baseline'!$D$1:$O$258,7,FALSE)),"",(VLOOKUP($E158,'A-1 Site Habitat Baseline'!$D$1:$O$258,7,FALSE))))</f>
        <v/>
      </c>
      <c r="J158" s="343" t="str">
        <f>IF(E158="","",IF(ISNA(VLOOKUP($E158,'A-1 Site Habitat Baseline'!$D$1:$O$258,8,FALSE)),"",(VLOOKUP($E158,'A-1 Site Habitat Baseline'!$D$1:$O$258,8,FALSE))))</f>
        <v/>
      </c>
      <c r="K158" s="343" t="str">
        <f>IF(E158="","",IF(ISNA(VLOOKUP($E158,'A-1 Site Habitat Baseline'!$D$1:$O$258,9,FALSE)),"",(VLOOKUP($E158,'A-1 Site Habitat Baseline'!$D$1:$O$258,9,FALSE))))</f>
        <v/>
      </c>
      <c r="L158" s="343" t="str">
        <f>IF(E158="","",IF(ISNA(VLOOKUP($E158,'A-1 Site Habitat Baseline'!$D$1:$O$258,11,FALSE)),"",(VLOOKUP($E158,'A-1 Site Habitat Baseline'!$D$1:$O$258,11,FALSE))))</f>
        <v/>
      </c>
      <c r="M158" s="343" t="str">
        <f>IF(E158="","",IF(ISNA(VLOOKUP($E158,'A-1 Site Habitat Baseline'!$D$1:$O$258,12,FALSE)),"",(VLOOKUP($E158,'A-1 Site Habitat Baseline'!$D$1:$O$258,12,FALSE))))</f>
        <v/>
      </c>
      <c r="N158" s="344" t="str">
        <f>IF(E158="","",IF(ISNA(VLOOKUP($E158,'A-1 Site Habitat Baseline'!$D$1:$X$258,14,FALSE)),"",(VLOOKUP($E158,'A-1 Site Habitat Baseline'!$D$1:$X$258,14,FALSE))))</f>
        <v/>
      </c>
      <c r="O158" s="345" t="str">
        <f>IF(E158="","",IF(ISNA(VLOOKUP($E158,'A-1 Site Habitat Baseline'!$D$1:$X$258,16,FALSE)),"",(VLOOKUP($E158,'A-1 Site Habitat Baseline'!$D$1:$X$258,13,FALSE))))</f>
        <v/>
      </c>
      <c r="P158" s="346" t="str">
        <f>IFERROR(INDEX('G-1 All Habitats'!$AG$3:$AG$15,MATCH(Q158,'G-1 All Habitats'!$AF$3:$AF$15,0)),"")</f>
        <v/>
      </c>
      <c r="Q158" s="347"/>
      <c r="R158" s="347"/>
      <c r="S158" s="605" t="str">
        <f>IFERROR(INDEX('G-1 All Habitats'!$B$3:$B$130,MATCH(R158,'G-1 All Habitats'!$A$3:$A$130,0)),"")</f>
        <v/>
      </c>
      <c r="T158" s="77" t="str">
        <f t="shared" si="27"/>
        <v/>
      </c>
      <c r="U158" s="78" t="str">
        <f t="shared" si="22"/>
        <v/>
      </c>
      <c r="V158" s="350" t="str">
        <f t="shared" si="19"/>
        <v/>
      </c>
      <c r="W158" s="343" t="str">
        <f>IF(S158="","",VLOOKUP(S158,'G-1 All Habitats'!$B$2:$M$130,10,FALSE))</f>
        <v/>
      </c>
      <c r="X158" s="343" t="str">
        <f>IFERROR(VLOOKUP(W158,'G-1 All Habitats'!$V$3:$W$7,2,FALSE),"")</f>
        <v/>
      </c>
      <c r="Y158" s="91"/>
      <c r="Z158" s="345" t="str">
        <f>IFERROR(INDEX('G-8 Condition Look up'!$A$3:$H$131,MATCH(S158,'G-8 Condition Look up'!$A$3:$A$131,0),MATCH(Y158,'G-8 Condition Look up'!$A$3:$H$3,0)),"")</f>
        <v/>
      </c>
      <c r="AA158" s="79"/>
      <c r="AB158" s="343" t="str">
        <f>IF(AA158="","",IF(VLOOKUP(AA158,'G-3 Multipliers'!$L$3:$N$6,2,FALSE)=0,"Spatial Data Missing",VLOOKUP(AA158,'G-3 Multipliers'!$L$3:$N$6,2,FALSE)))</f>
        <v/>
      </c>
      <c r="AC158" s="345" t="str">
        <f>IF(AA158="","",IF(VLOOKUP(AA158,'G-3 Multipliers'!$L$3:$N$6,3,FALSE)=0,"Spatial Data Missing",VLOOKUP(AA158,'G-3 Multipliers'!$L$3:$N$6,3,FALSE)))</f>
        <v/>
      </c>
      <c r="AD158" s="351" t="str">
        <f t="shared" si="20"/>
        <v/>
      </c>
      <c r="AE158" s="94"/>
      <c r="AF158" s="94"/>
      <c r="AG158" s="343" t="str">
        <f t="shared" si="23"/>
        <v/>
      </c>
      <c r="AH158" s="591" t="str">
        <f t="shared" si="24"/>
        <v/>
      </c>
      <c r="AI158" s="353" t="str">
        <f>IF(AH158="Check Data","Check Data",IFERROR(VLOOKUP(AH158,'G-4 Temporal multipliers'!$A$4:$C$36,3,FALSE),""))</f>
        <v/>
      </c>
      <c r="AJ158" s="77" t="str">
        <f>IF(S158="","",VLOOKUP(S158,'G-3 Multipliers'!$A$2:$E$130,4,FALSE))</f>
        <v/>
      </c>
      <c r="AK158" s="348" t="str">
        <f t="shared" si="25"/>
        <v/>
      </c>
      <c r="AL158" s="348" t="str">
        <f t="shared" si="26"/>
        <v/>
      </c>
      <c r="AM158" s="607" t="str">
        <f>IFERROR(IF(F158="","",IF(AH158="Check Data","Check Data",VLOOKUP(AL158, 'G-3 Multipliers'!$P$2:$Q$6,2,FALSE))),””)</f>
        <v/>
      </c>
      <c r="AN158" s="81" t="str">
        <f t="shared" si="21"/>
        <v/>
      </c>
      <c r="AO158" s="355"/>
      <c r="AP158" s="356"/>
    </row>
    <row r="159" spans="1:42" x14ac:dyDescent="0.25">
      <c r="A159" s="52" t="str">
        <f>IF(E159="","",IF(ISNA(VLOOKUP($E159,'A-1 Site Habitat Baseline'!$D$1:$O$258,2,FALSE)),"",(VLOOKUP($E159,'A-1 Site Habitat Baseline'!$D$1:$O$258,2,FALSE))))</f>
        <v/>
      </c>
      <c r="B159" s="52" t="str">
        <f>IF(E159="","",IF(ISNA(VLOOKUP($E159,'A-1 Site Habitat Baseline'!$D$1:$O$258,3,FALSE)),"",(VLOOKUP($E159,'A-1 Site Habitat Baseline'!$D$1:$O$258,3,FALSE))))</f>
        <v/>
      </c>
      <c r="C159" s="52" t="str">
        <f>IFERROR(INDEX('G-8 Condition Look up'!$I$4:$I$131,MATCH(S159,'G-8 Condition Look up'!$A$4:$A$131,0)),"")</f>
        <v/>
      </c>
      <c r="E159" s="342" t="str">
        <f>'A-1 Site Habitat Baseline'!AL158</f>
        <v/>
      </c>
      <c r="F159" s="343" t="str">
        <f>IF(E159="","",IF(ISNA(VLOOKUP($E159,'A-1 Site Habitat Baseline'!$D$1:$O$258,4,FALSE)),"",(VLOOKUP($E159,'A-1 Site Habitat Baseline'!$D$1:$O$258,4,FALSE))))</f>
        <v/>
      </c>
      <c r="G159" s="343" t="str">
        <f>IF(E159="","",IF(ISNA(VLOOKUP($E159,'A-1 Site Habitat Baseline'!$D$1:$O$258,5,FALSE)),"",(VLOOKUP($E159,'A-1 Site Habitat Baseline'!$D$1:$O$258,5,FALSE))))</f>
        <v/>
      </c>
      <c r="H159" s="343" t="str">
        <f>IF(E159="","",IF(ISNA(VLOOKUP($E159,'A-1 Site Habitat Baseline'!$D$1:$O$258,6,FALSE)),"",(VLOOKUP($E159,'A-1 Site Habitat Baseline'!$D$1:$O$258,6,FALSE))))</f>
        <v/>
      </c>
      <c r="I159" s="343" t="str">
        <f>IF(E159="","",IF(ISNA(VLOOKUP($E159,'A-1 Site Habitat Baseline'!$D$1:$O$258,7,FALSE)),"",(VLOOKUP($E159,'A-1 Site Habitat Baseline'!$D$1:$O$258,7,FALSE))))</f>
        <v/>
      </c>
      <c r="J159" s="343" t="str">
        <f>IF(E159="","",IF(ISNA(VLOOKUP($E159,'A-1 Site Habitat Baseline'!$D$1:$O$258,8,FALSE)),"",(VLOOKUP($E159,'A-1 Site Habitat Baseline'!$D$1:$O$258,8,FALSE))))</f>
        <v/>
      </c>
      <c r="K159" s="343" t="str">
        <f>IF(E159="","",IF(ISNA(VLOOKUP($E159,'A-1 Site Habitat Baseline'!$D$1:$O$258,9,FALSE)),"",(VLOOKUP($E159,'A-1 Site Habitat Baseline'!$D$1:$O$258,9,FALSE))))</f>
        <v/>
      </c>
      <c r="L159" s="343" t="str">
        <f>IF(E159="","",IF(ISNA(VLOOKUP($E159,'A-1 Site Habitat Baseline'!$D$1:$O$258,11,FALSE)),"",(VLOOKUP($E159,'A-1 Site Habitat Baseline'!$D$1:$O$258,11,FALSE))))</f>
        <v/>
      </c>
      <c r="M159" s="343" t="str">
        <f>IF(E159="","",IF(ISNA(VLOOKUP($E159,'A-1 Site Habitat Baseline'!$D$1:$O$258,12,FALSE)),"",(VLOOKUP($E159,'A-1 Site Habitat Baseline'!$D$1:$O$258,12,FALSE))))</f>
        <v/>
      </c>
      <c r="N159" s="344" t="str">
        <f>IF(E159="","",IF(ISNA(VLOOKUP($E159,'A-1 Site Habitat Baseline'!$D$1:$X$258,14,FALSE)),"",(VLOOKUP($E159,'A-1 Site Habitat Baseline'!$D$1:$X$258,14,FALSE))))</f>
        <v/>
      </c>
      <c r="O159" s="345" t="str">
        <f>IF(E159="","",IF(ISNA(VLOOKUP($E159,'A-1 Site Habitat Baseline'!$D$1:$X$258,16,FALSE)),"",(VLOOKUP($E159,'A-1 Site Habitat Baseline'!$D$1:$X$258,13,FALSE))))</f>
        <v/>
      </c>
      <c r="P159" s="346" t="str">
        <f>IFERROR(INDEX('G-1 All Habitats'!$AG$3:$AG$15,MATCH(Q159,'G-1 All Habitats'!$AF$3:$AF$15,0)),"")</f>
        <v/>
      </c>
      <c r="Q159" s="347"/>
      <c r="R159" s="347"/>
      <c r="S159" s="605" t="str">
        <f>IFERROR(INDEX('G-1 All Habitats'!$B$3:$B$130,MATCH(R159,'G-1 All Habitats'!$A$3:$A$130,0)),"")</f>
        <v/>
      </c>
      <c r="T159" s="77" t="str">
        <f t="shared" si="27"/>
        <v/>
      </c>
      <c r="U159" s="78" t="str">
        <f t="shared" si="22"/>
        <v/>
      </c>
      <c r="V159" s="350" t="str">
        <f t="shared" si="19"/>
        <v/>
      </c>
      <c r="W159" s="343" t="str">
        <f>IF(S159="","",VLOOKUP(S159,'G-1 All Habitats'!$B$2:$M$130,10,FALSE))</f>
        <v/>
      </c>
      <c r="X159" s="343" t="str">
        <f>IFERROR(VLOOKUP(W159,'G-1 All Habitats'!$V$3:$W$7,2,FALSE),"")</f>
        <v/>
      </c>
      <c r="Y159" s="91"/>
      <c r="Z159" s="345" t="str">
        <f>IFERROR(INDEX('G-8 Condition Look up'!$A$3:$H$131,MATCH(S159,'G-8 Condition Look up'!$A$3:$A$131,0),MATCH(Y159,'G-8 Condition Look up'!$A$3:$H$3,0)),"")</f>
        <v/>
      </c>
      <c r="AA159" s="79"/>
      <c r="AB159" s="343" t="str">
        <f>IF(AA159="","",IF(VLOOKUP(AA159,'G-3 Multipliers'!$L$3:$N$6,2,FALSE)=0,"Spatial Data Missing",VLOOKUP(AA159,'G-3 Multipliers'!$L$3:$N$6,2,FALSE)))</f>
        <v/>
      </c>
      <c r="AC159" s="345" t="str">
        <f>IF(AA159="","",IF(VLOOKUP(AA159,'G-3 Multipliers'!$L$3:$N$6,3,FALSE)=0,"Spatial Data Missing",VLOOKUP(AA159,'G-3 Multipliers'!$L$3:$N$6,3,FALSE)))</f>
        <v/>
      </c>
      <c r="AD159" s="351" t="str">
        <f t="shared" si="20"/>
        <v/>
      </c>
      <c r="AE159" s="94"/>
      <c r="AF159" s="94"/>
      <c r="AG159" s="343" t="str">
        <f t="shared" si="23"/>
        <v/>
      </c>
      <c r="AH159" s="591" t="str">
        <f t="shared" si="24"/>
        <v/>
      </c>
      <c r="AI159" s="353" t="str">
        <f>IF(AH159="Check Data","Check Data",IFERROR(VLOOKUP(AH159,'G-4 Temporal multipliers'!$A$4:$C$36,3,FALSE),""))</f>
        <v/>
      </c>
      <c r="AJ159" s="77" t="str">
        <f>IF(S159="","",VLOOKUP(S159,'G-3 Multipliers'!$A$2:$E$130,4,FALSE))</f>
        <v/>
      </c>
      <c r="AK159" s="348" t="str">
        <f t="shared" si="25"/>
        <v/>
      </c>
      <c r="AL159" s="348" t="str">
        <f t="shared" si="26"/>
        <v/>
      </c>
      <c r="AM159" s="607" t="str">
        <f>IFERROR(IF(F159="","",IF(AH159="Check Data","Check Data",VLOOKUP(AL159, 'G-3 Multipliers'!$P$2:$Q$6,2,FALSE))),””)</f>
        <v/>
      </c>
      <c r="AN159" s="81" t="str">
        <f t="shared" si="21"/>
        <v/>
      </c>
      <c r="AO159" s="355"/>
      <c r="AP159" s="356"/>
    </row>
    <row r="160" spans="1:42" x14ac:dyDescent="0.25">
      <c r="A160" s="52" t="str">
        <f>IF(E160="","",IF(ISNA(VLOOKUP($E160,'A-1 Site Habitat Baseline'!$D$1:$O$258,2,FALSE)),"",(VLOOKUP($E160,'A-1 Site Habitat Baseline'!$D$1:$O$258,2,FALSE))))</f>
        <v/>
      </c>
      <c r="B160" s="52" t="str">
        <f>IF(E160="","",IF(ISNA(VLOOKUP($E160,'A-1 Site Habitat Baseline'!$D$1:$O$258,3,FALSE)),"",(VLOOKUP($E160,'A-1 Site Habitat Baseline'!$D$1:$O$258,3,FALSE))))</f>
        <v/>
      </c>
      <c r="C160" s="52" t="str">
        <f>IFERROR(INDEX('G-8 Condition Look up'!$I$4:$I$131,MATCH(S160,'G-8 Condition Look up'!$A$4:$A$131,0)),"")</f>
        <v/>
      </c>
      <c r="E160" s="342" t="str">
        <f>'A-1 Site Habitat Baseline'!AL159</f>
        <v/>
      </c>
      <c r="F160" s="343" t="str">
        <f>IF(E160="","",IF(ISNA(VLOOKUP($E160,'A-1 Site Habitat Baseline'!$D$1:$O$258,4,FALSE)),"",(VLOOKUP($E160,'A-1 Site Habitat Baseline'!$D$1:$O$258,4,FALSE))))</f>
        <v/>
      </c>
      <c r="G160" s="343" t="str">
        <f>IF(E160="","",IF(ISNA(VLOOKUP($E160,'A-1 Site Habitat Baseline'!$D$1:$O$258,5,FALSE)),"",(VLOOKUP($E160,'A-1 Site Habitat Baseline'!$D$1:$O$258,5,FALSE))))</f>
        <v/>
      </c>
      <c r="H160" s="343" t="str">
        <f>IF(E160="","",IF(ISNA(VLOOKUP($E160,'A-1 Site Habitat Baseline'!$D$1:$O$258,6,FALSE)),"",(VLOOKUP($E160,'A-1 Site Habitat Baseline'!$D$1:$O$258,6,FALSE))))</f>
        <v/>
      </c>
      <c r="I160" s="343" t="str">
        <f>IF(E160="","",IF(ISNA(VLOOKUP($E160,'A-1 Site Habitat Baseline'!$D$1:$O$258,7,FALSE)),"",(VLOOKUP($E160,'A-1 Site Habitat Baseline'!$D$1:$O$258,7,FALSE))))</f>
        <v/>
      </c>
      <c r="J160" s="343" t="str">
        <f>IF(E160="","",IF(ISNA(VLOOKUP($E160,'A-1 Site Habitat Baseline'!$D$1:$O$258,8,FALSE)),"",(VLOOKUP($E160,'A-1 Site Habitat Baseline'!$D$1:$O$258,8,FALSE))))</f>
        <v/>
      </c>
      <c r="K160" s="343" t="str">
        <f>IF(E160="","",IF(ISNA(VLOOKUP($E160,'A-1 Site Habitat Baseline'!$D$1:$O$258,9,FALSE)),"",(VLOOKUP($E160,'A-1 Site Habitat Baseline'!$D$1:$O$258,9,FALSE))))</f>
        <v/>
      </c>
      <c r="L160" s="343" t="str">
        <f>IF(E160="","",IF(ISNA(VLOOKUP($E160,'A-1 Site Habitat Baseline'!$D$1:$O$258,11,FALSE)),"",(VLOOKUP($E160,'A-1 Site Habitat Baseline'!$D$1:$O$258,11,FALSE))))</f>
        <v/>
      </c>
      <c r="M160" s="343" t="str">
        <f>IF(E160="","",IF(ISNA(VLOOKUP($E160,'A-1 Site Habitat Baseline'!$D$1:$O$258,12,FALSE)),"",(VLOOKUP($E160,'A-1 Site Habitat Baseline'!$D$1:$O$258,12,FALSE))))</f>
        <v/>
      </c>
      <c r="N160" s="344" t="str">
        <f>IF(E160="","",IF(ISNA(VLOOKUP($E160,'A-1 Site Habitat Baseline'!$D$1:$X$258,14,FALSE)),"",(VLOOKUP($E160,'A-1 Site Habitat Baseline'!$D$1:$X$258,14,FALSE))))</f>
        <v/>
      </c>
      <c r="O160" s="345" t="str">
        <f>IF(E160="","",IF(ISNA(VLOOKUP($E160,'A-1 Site Habitat Baseline'!$D$1:$X$258,16,FALSE)),"",(VLOOKUP($E160,'A-1 Site Habitat Baseline'!$D$1:$X$258,13,FALSE))))</f>
        <v/>
      </c>
      <c r="P160" s="346" t="str">
        <f>IFERROR(INDEX('G-1 All Habitats'!$AG$3:$AG$15,MATCH(Q160,'G-1 All Habitats'!$AF$3:$AF$15,0)),"")</f>
        <v/>
      </c>
      <c r="Q160" s="347"/>
      <c r="R160" s="347"/>
      <c r="S160" s="605" t="str">
        <f>IFERROR(INDEX('G-1 All Habitats'!$B$3:$B$130,MATCH(R160,'G-1 All Habitats'!$A$3:$A$130,0)),"")</f>
        <v/>
      </c>
      <c r="T160" s="77" t="str">
        <f t="shared" si="27"/>
        <v/>
      </c>
      <c r="U160" s="78" t="str">
        <f t="shared" si="22"/>
        <v/>
      </c>
      <c r="V160" s="350" t="str">
        <f t="shared" si="19"/>
        <v/>
      </c>
      <c r="W160" s="343" t="str">
        <f>IF(S160="","",VLOOKUP(S160,'G-1 All Habitats'!$B$2:$M$130,10,FALSE))</f>
        <v/>
      </c>
      <c r="X160" s="343" t="str">
        <f>IFERROR(VLOOKUP(W160,'G-1 All Habitats'!$V$3:$W$7,2,FALSE),"")</f>
        <v/>
      </c>
      <c r="Y160" s="91"/>
      <c r="Z160" s="345" t="str">
        <f>IFERROR(INDEX('G-8 Condition Look up'!$A$3:$H$131,MATCH(S160,'G-8 Condition Look up'!$A$3:$A$131,0),MATCH(Y160,'G-8 Condition Look up'!$A$3:$H$3,0)),"")</f>
        <v/>
      </c>
      <c r="AA160" s="79"/>
      <c r="AB160" s="343" t="str">
        <f>IF(AA160="","",IF(VLOOKUP(AA160,'G-3 Multipliers'!$L$3:$N$6,2,FALSE)=0,"Spatial Data Missing",VLOOKUP(AA160,'G-3 Multipliers'!$L$3:$N$6,2,FALSE)))</f>
        <v/>
      </c>
      <c r="AC160" s="345" t="str">
        <f>IF(AA160="","",IF(VLOOKUP(AA160,'G-3 Multipliers'!$L$3:$N$6,3,FALSE)=0,"Spatial Data Missing",VLOOKUP(AA160,'G-3 Multipliers'!$L$3:$N$6,3,FALSE)))</f>
        <v/>
      </c>
      <c r="AD160" s="351" t="str">
        <f t="shared" si="20"/>
        <v/>
      </c>
      <c r="AE160" s="94"/>
      <c r="AF160" s="94"/>
      <c r="AG160" s="343" t="str">
        <f t="shared" si="23"/>
        <v/>
      </c>
      <c r="AH160" s="591" t="str">
        <f t="shared" si="24"/>
        <v/>
      </c>
      <c r="AI160" s="353" t="str">
        <f>IF(AH160="Check Data","Check Data",IFERROR(VLOOKUP(AH160,'G-4 Temporal multipliers'!$A$4:$C$36,3,FALSE),""))</f>
        <v/>
      </c>
      <c r="AJ160" s="77" t="str">
        <f>IF(S160="","",VLOOKUP(S160,'G-3 Multipliers'!$A$2:$E$130,4,FALSE))</f>
        <v/>
      </c>
      <c r="AK160" s="348" t="str">
        <f t="shared" si="25"/>
        <v/>
      </c>
      <c r="AL160" s="348" t="str">
        <f t="shared" si="26"/>
        <v/>
      </c>
      <c r="AM160" s="607" t="str">
        <f>IFERROR(IF(F160="","",IF(AH160="Check Data","Check Data",VLOOKUP(AL160, 'G-3 Multipliers'!$P$2:$Q$6,2,FALSE))),””)</f>
        <v/>
      </c>
      <c r="AN160" s="81" t="str">
        <f t="shared" si="21"/>
        <v/>
      </c>
      <c r="AO160" s="355"/>
      <c r="AP160" s="356"/>
    </row>
    <row r="161" spans="1:42" x14ac:dyDescent="0.25">
      <c r="A161" s="52" t="str">
        <f>IF(E161="","",IF(ISNA(VLOOKUP($E161,'A-1 Site Habitat Baseline'!$D$1:$O$258,2,FALSE)),"",(VLOOKUP($E161,'A-1 Site Habitat Baseline'!$D$1:$O$258,2,FALSE))))</f>
        <v/>
      </c>
      <c r="B161" s="52" t="str">
        <f>IF(E161="","",IF(ISNA(VLOOKUP($E161,'A-1 Site Habitat Baseline'!$D$1:$O$258,3,FALSE)),"",(VLOOKUP($E161,'A-1 Site Habitat Baseline'!$D$1:$O$258,3,FALSE))))</f>
        <v/>
      </c>
      <c r="C161" s="52" t="str">
        <f>IFERROR(INDEX('G-8 Condition Look up'!$I$4:$I$131,MATCH(S161,'G-8 Condition Look up'!$A$4:$A$131,0)),"")</f>
        <v/>
      </c>
      <c r="E161" s="342" t="str">
        <f>'A-1 Site Habitat Baseline'!AL160</f>
        <v/>
      </c>
      <c r="F161" s="343" t="str">
        <f>IF(E161="","",IF(ISNA(VLOOKUP($E161,'A-1 Site Habitat Baseline'!$D$1:$O$258,4,FALSE)),"",(VLOOKUP($E161,'A-1 Site Habitat Baseline'!$D$1:$O$258,4,FALSE))))</f>
        <v/>
      </c>
      <c r="G161" s="343" t="str">
        <f>IF(E161="","",IF(ISNA(VLOOKUP($E161,'A-1 Site Habitat Baseline'!$D$1:$O$258,5,FALSE)),"",(VLOOKUP($E161,'A-1 Site Habitat Baseline'!$D$1:$O$258,5,FALSE))))</f>
        <v/>
      </c>
      <c r="H161" s="343" t="str">
        <f>IF(E161="","",IF(ISNA(VLOOKUP($E161,'A-1 Site Habitat Baseline'!$D$1:$O$258,6,FALSE)),"",(VLOOKUP($E161,'A-1 Site Habitat Baseline'!$D$1:$O$258,6,FALSE))))</f>
        <v/>
      </c>
      <c r="I161" s="343" t="str">
        <f>IF(E161="","",IF(ISNA(VLOOKUP($E161,'A-1 Site Habitat Baseline'!$D$1:$O$258,7,FALSE)),"",(VLOOKUP($E161,'A-1 Site Habitat Baseline'!$D$1:$O$258,7,FALSE))))</f>
        <v/>
      </c>
      <c r="J161" s="343" t="str">
        <f>IF(E161="","",IF(ISNA(VLOOKUP($E161,'A-1 Site Habitat Baseline'!$D$1:$O$258,8,FALSE)),"",(VLOOKUP($E161,'A-1 Site Habitat Baseline'!$D$1:$O$258,8,FALSE))))</f>
        <v/>
      </c>
      <c r="K161" s="343" t="str">
        <f>IF(E161="","",IF(ISNA(VLOOKUP($E161,'A-1 Site Habitat Baseline'!$D$1:$O$258,9,FALSE)),"",(VLOOKUP($E161,'A-1 Site Habitat Baseline'!$D$1:$O$258,9,FALSE))))</f>
        <v/>
      </c>
      <c r="L161" s="343" t="str">
        <f>IF(E161="","",IF(ISNA(VLOOKUP($E161,'A-1 Site Habitat Baseline'!$D$1:$O$258,11,FALSE)),"",(VLOOKUP($E161,'A-1 Site Habitat Baseline'!$D$1:$O$258,11,FALSE))))</f>
        <v/>
      </c>
      <c r="M161" s="343" t="str">
        <f>IF(E161="","",IF(ISNA(VLOOKUP($E161,'A-1 Site Habitat Baseline'!$D$1:$O$258,12,FALSE)),"",(VLOOKUP($E161,'A-1 Site Habitat Baseline'!$D$1:$O$258,12,FALSE))))</f>
        <v/>
      </c>
      <c r="N161" s="344" t="str">
        <f>IF(E161="","",IF(ISNA(VLOOKUP($E161,'A-1 Site Habitat Baseline'!$D$1:$X$258,14,FALSE)),"",(VLOOKUP($E161,'A-1 Site Habitat Baseline'!$D$1:$X$258,14,FALSE))))</f>
        <v/>
      </c>
      <c r="O161" s="345" t="str">
        <f>IF(E161="","",IF(ISNA(VLOOKUP($E161,'A-1 Site Habitat Baseline'!$D$1:$X$258,16,FALSE)),"",(VLOOKUP($E161,'A-1 Site Habitat Baseline'!$D$1:$X$258,13,FALSE))))</f>
        <v/>
      </c>
      <c r="P161" s="346" t="str">
        <f>IFERROR(INDEX('G-1 All Habitats'!$AG$3:$AG$15,MATCH(Q161,'G-1 All Habitats'!$AF$3:$AF$15,0)),"")</f>
        <v/>
      </c>
      <c r="Q161" s="347"/>
      <c r="R161" s="347"/>
      <c r="S161" s="605" t="str">
        <f>IFERROR(INDEX('G-1 All Habitats'!$B$3:$B$130,MATCH(R161,'G-1 All Habitats'!$A$3:$A$130,0)),"")</f>
        <v/>
      </c>
      <c r="T161" s="77" t="str">
        <f t="shared" si="27"/>
        <v/>
      </c>
      <c r="U161" s="78" t="str">
        <f t="shared" si="22"/>
        <v/>
      </c>
      <c r="V161" s="350" t="str">
        <f t="shared" si="19"/>
        <v/>
      </c>
      <c r="W161" s="343" t="str">
        <f>IF(S161="","",VLOOKUP(S161,'G-1 All Habitats'!$B$2:$M$130,10,FALSE))</f>
        <v/>
      </c>
      <c r="X161" s="343" t="str">
        <f>IFERROR(VLOOKUP(W161,'G-1 All Habitats'!$V$3:$W$7,2,FALSE),"")</f>
        <v/>
      </c>
      <c r="Y161" s="91"/>
      <c r="Z161" s="345" t="str">
        <f>IFERROR(INDEX('G-8 Condition Look up'!$A$3:$H$131,MATCH(S161,'G-8 Condition Look up'!$A$3:$A$131,0),MATCH(Y161,'G-8 Condition Look up'!$A$3:$H$3,0)),"")</f>
        <v/>
      </c>
      <c r="AA161" s="79"/>
      <c r="AB161" s="343" t="str">
        <f>IF(AA161="","",IF(VLOOKUP(AA161,'G-3 Multipliers'!$L$3:$N$6,2,FALSE)=0,"Spatial Data Missing",VLOOKUP(AA161,'G-3 Multipliers'!$L$3:$N$6,2,FALSE)))</f>
        <v/>
      </c>
      <c r="AC161" s="345" t="str">
        <f>IF(AA161="","",IF(VLOOKUP(AA161,'G-3 Multipliers'!$L$3:$N$6,3,FALSE)=0,"Spatial Data Missing",VLOOKUP(AA161,'G-3 Multipliers'!$L$3:$N$6,3,FALSE)))</f>
        <v/>
      </c>
      <c r="AD161" s="351" t="str">
        <f t="shared" si="20"/>
        <v/>
      </c>
      <c r="AE161" s="94"/>
      <c r="AF161" s="94"/>
      <c r="AG161" s="343" t="str">
        <f t="shared" si="23"/>
        <v/>
      </c>
      <c r="AH161" s="591" t="str">
        <f t="shared" si="24"/>
        <v/>
      </c>
      <c r="AI161" s="353" t="str">
        <f>IF(AH161="Check Data","Check Data",IFERROR(VLOOKUP(AH161,'G-4 Temporal multipliers'!$A$4:$C$36,3,FALSE),""))</f>
        <v/>
      </c>
      <c r="AJ161" s="77" t="str">
        <f>IF(S161="","",VLOOKUP(S161,'G-3 Multipliers'!$A$2:$E$130,4,FALSE))</f>
        <v/>
      </c>
      <c r="AK161" s="348" t="str">
        <f t="shared" si="25"/>
        <v/>
      </c>
      <c r="AL161" s="348" t="str">
        <f t="shared" si="26"/>
        <v/>
      </c>
      <c r="AM161" s="607" t="str">
        <f>IFERROR(IF(F161="","",IF(AH161="Check Data","Check Data",VLOOKUP(AL161, 'G-3 Multipliers'!$P$2:$Q$6,2,FALSE))),””)</f>
        <v/>
      </c>
      <c r="AN161" s="81" t="str">
        <f t="shared" si="21"/>
        <v/>
      </c>
      <c r="AO161" s="355"/>
      <c r="AP161" s="356"/>
    </row>
    <row r="162" spans="1:42" x14ac:dyDescent="0.25">
      <c r="A162" s="52" t="str">
        <f>IF(E162="","",IF(ISNA(VLOOKUP($E162,'A-1 Site Habitat Baseline'!$D$1:$O$258,2,FALSE)),"",(VLOOKUP($E162,'A-1 Site Habitat Baseline'!$D$1:$O$258,2,FALSE))))</f>
        <v/>
      </c>
      <c r="B162" s="52" t="str">
        <f>IF(E162="","",IF(ISNA(VLOOKUP($E162,'A-1 Site Habitat Baseline'!$D$1:$O$258,3,FALSE)),"",(VLOOKUP($E162,'A-1 Site Habitat Baseline'!$D$1:$O$258,3,FALSE))))</f>
        <v/>
      </c>
      <c r="C162" s="52" t="str">
        <f>IFERROR(INDEX('G-8 Condition Look up'!$I$4:$I$131,MATCH(S162,'G-8 Condition Look up'!$A$4:$A$131,0)),"")</f>
        <v/>
      </c>
      <c r="E162" s="342" t="str">
        <f>'A-1 Site Habitat Baseline'!AL161</f>
        <v/>
      </c>
      <c r="F162" s="343" t="str">
        <f>IF(E162="","",IF(ISNA(VLOOKUP($E162,'A-1 Site Habitat Baseline'!$D$1:$O$258,4,FALSE)),"",(VLOOKUP($E162,'A-1 Site Habitat Baseline'!$D$1:$O$258,4,FALSE))))</f>
        <v/>
      </c>
      <c r="G162" s="343" t="str">
        <f>IF(E162="","",IF(ISNA(VLOOKUP($E162,'A-1 Site Habitat Baseline'!$D$1:$O$258,5,FALSE)),"",(VLOOKUP($E162,'A-1 Site Habitat Baseline'!$D$1:$O$258,5,FALSE))))</f>
        <v/>
      </c>
      <c r="H162" s="343" t="str">
        <f>IF(E162="","",IF(ISNA(VLOOKUP($E162,'A-1 Site Habitat Baseline'!$D$1:$O$258,6,FALSE)),"",(VLOOKUP($E162,'A-1 Site Habitat Baseline'!$D$1:$O$258,6,FALSE))))</f>
        <v/>
      </c>
      <c r="I162" s="343" t="str">
        <f>IF(E162="","",IF(ISNA(VLOOKUP($E162,'A-1 Site Habitat Baseline'!$D$1:$O$258,7,FALSE)),"",(VLOOKUP($E162,'A-1 Site Habitat Baseline'!$D$1:$O$258,7,FALSE))))</f>
        <v/>
      </c>
      <c r="J162" s="343" t="str">
        <f>IF(E162="","",IF(ISNA(VLOOKUP($E162,'A-1 Site Habitat Baseline'!$D$1:$O$258,8,FALSE)),"",(VLOOKUP($E162,'A-1 Site Habitat Baseline'!$D$1:$O$258,8,FALSE))))</f>
        <v/>
      </c>
      <c r="K162" s="343" t="str">
        <f>IF(E162="","",IF(ISNA(VLOOKUP($E162,'A-1 Site Habitat Baseline'!$D$1:$O$258,9,FALSE)),"",(VLOOKUP($E162,'A-1 Site Habitat Baseline'!$D$1:$O$258,9,FALSE))))</f>
        <v/>
      </c>
      <c r="L162" s="343" t="str">
        <f>IF(E162="","",IF(ISNA(VLOOKUP($E162,'A-1 Site Habitat Baseline'!$D$1:$O$258,11,FALSE)),"",(VLOOKUP($E162,'A-1 Site Habitat Baseline'!$D$1:$O$258,11,FALSE))))</f>
        <v/>
      </c>
      <c r="M162" s="343" t="str">
        <f>IF(E162="","",IF(ISNA(VLOOKUP($E162,'A-1 Site Habitat Baseline'!$D$1:$O$258,12,FALSE)),"",(VLOOKUP($E162,'A-1 Site Habitat Baseline'!$D$1:$O$258,12,FALSE))))</f>
        <v/>
      </c>
      <c r="N162" s="344" t="str">
        <f>IF(E162="","",IF(ISNA(VLOOKUP($E162,'A-1 Site Habitat Baseline'!$D$1:$X$258,14,FALSE)),"",(VLOOKUP($E162,'A-1 Site Habitat Baseline'!$D$1:$X$258,14,FALSE))))</f>
        <v/>
      </c>
      <c r="O162" s="345" t="str">
        <f>IF(E162="","",IF(ISNA(VLOOKUP($E162,'A-1 Site Habitat Baseline'!$D$1:$X$258,16,FALSE)),"",(VLOOKUP($E162,'A-1 Site Habitat Baseline'!$D$1:$X$258,13,FALSE))))</f>
        <v/>
      </c>
      <c r="P162" s="346" t="str">
        <f>IFERROR(INDEX('G-1 All Habitats'!$AG$3:$AG$15,MATCH(Q162,'G-1 All Habitats'!$AF$3:$AF$15,0)),"")</f>
        <v/>
      </c>
      <c r="Q162" s="347"/>
      <c r="R162" s="347"/>
      <c r="S162" s="605" t="str">
        <f>IFERROR(INDEX('G-1 All Habitats'!$B$3:$B$130,MATCH(R162,'G-1 All Habitats'!$A$3:$A$130,0)),"")</f>
        <v/>
      </c>
      <c r="T162" s="77" t="str">
        <f t="shared" si="27"/>
        <v/>
      </c>
      <c r="U162" s="78" t="str">
        <f t="shared" si="22"/>
        <v/>
      </c>
      <c r="V162" s="350" t="str">
        <f t="shared" si="19"/>
        <v/>
      </c>
      <c r="W162" s="343" t="str">
        <f>IF(S162="","",VLOOKUP(S162,'G-1 All Habitats'!$B$2:$M$130,10,FALSE))</f>
        <v/>
      </c>
      <c r="X162" s="343" t="str">
        <f>IFERROR(VLOOKUP(W162,'G-1 All Habitats'!$V$3:$W$7,2,FALSE),"")</f>
        <v/>
      </c>
      <c r="Y162" s="91"/>
      <c r="Z162" s="345" t="str">
        <f>IFERROR(INDEX('G-8 Condition Look up'!$A$3:$H$131,MATCH(S162,'G-8 Condition Look up'!$A$3:$A$131,0),MATCH(Y162,'G-8 Condition Look up'!$A$3:$H$3,0)),"")</f>
        <v/>
      </c>
      <c r="AA162" s="79"/>
      <c r="AB162" s="343" t="str">
        <f>IF(AA162="","",IF(VLOOKUP(AA162,'G-3 Multipliers'!$L$3:$N$6,2,FALSE)=0,"Spatial Data Missing",VLOOKUP(AA162,'G-3 Multipliers'!$L$3:$N$6,2,FALSE)))</f>
        <v/>
      </c>
      <c r="AC162" s="345" t="str">
        <f>IF(AA162="","",IF(VLOOKUP(AA162,'G-3 Multipliers'!$L$3:$N$6,3,FALSE)=0,"Spatial Data Missing",VLOOKUP(AA162,'G-3 Multipliers'!$L$3:$N$6,3,FALSE)))</f>
        <v/>
      </c>
      <c r="AD162" s="351" t="str">
        <f t="shared" si="20"/>
        <v/>
      </c>
      <c r="AE162" s="94"/>
      <c r="AF162" s="94"/>
      <c r="AG162" s="343" t="str">
        <f t="shared" si="23"/>
        <v/>
      </c>
      <c r="AH162" s="591" t="str">
        <f t="shared" si="24"/>
        <v/>
      </c>
      <c r="AI162" s="353" t="str">
        <f>IF(AH162="Check Data","Check Data",IFERROR(VLOOKUP(AH162,'G-4 Temporal multipliers'!$A$4:$C$36,3,FALSE),""))</f>
        <v/>
      </c>
      <c r="AJ162" s="77" t="str">
        <f>IF(S162="","",VLOOKUP(S162,'G-3 Multipliers'!$A$2:$E$130,4,FALSE))</f>
        <v/>
      </c>
      <c r="AK162" s="348" t="str">
        <f t="shared" si="25"/>
        <v/>
      </c>
      <c r="AL162" s="348" t="str">
        <f t="shared" si="26"/>
        <v/>
      </c>
      <c r="AM162" s="607" t="str">
        <f>IFERROR(IF(F162="","",IF(AH162="Check Data","Check Data",VLOOKUP(AL162, 'G-3 Multipliers'!$P$2:$Q$6,2,FALSE))),””)</f>
        <v/>
      </c>
      <c r="AN162" s="81" t="str">
        <f t="shared" si="21"/>
        <v/>
      </c>
      <c r="AO162" s="355"/>
      <c r="AP162" s="356"/>
    </row>
    <row r="163" spans="1:42" x14ac:dyDescent="0.25">
      <c r="A163" s="52" t="str">
        <f>IF(E163="","",IF(ISNA(VLOOKUP($E163,'A-1 Site Habitat Baseline'!$D$1:$O$258,2,FALSE)),"",(VLOOKUP($E163,'A-1 Site Habitat Baseline'!$D$1:$O$258,2,FALSE))))</f>
        <v/>
      </c>
      <c r="B163" s="52" t="str">
        <f>IF(E163="","",IF(ISNA(VLOOKUP($E163,'A-1 Site Habitat Baseline'!$D$1:$O$258,3,FALSE)),"",(VLOOKUP($E163,'A-1 Site Habitat Baseline'!$D$1:$O$258,3,FALSE))))</f>
        <v/>
      </c>
      <c r="C163" s="52" t="str">
        <f>IFERROR(INDEX('G-8 Condition Look up'!$I$4:$I$131,MATCH(S163,'G-8 Condition Look up'!$A$4:$A$131,0)),"")</f>
        <v/>
      </c>
      <c r="E163" s="342" t="str">
        <f>'A-1 Site Habitat Baseline'!AL162</f>
        <v/>
      </c>
      <c r="F163" s="343" t="str">
        <f>IF(E163="","",IF(ISNA(VLOOKUP($E163,'A-1 Site Habitat Baseline'!$D$1:$O$258,4,FALSE)),"",(VLOOKUP($E163,'A-1 Site Habitat Baseline'!$D$1:$O$258,4,FALSE))))</f>
        <v/>
      </c>
      <c r="G163" s="343" t="str">
        <f>IF(E163="","",IF(ISNA(VLOOKUP($E163,'A-1 Site Habitat Baseline'!$D$1:$O$258,5,FALSE)),"",(VLOOKUP($E163,'A-1 Site Habitat Baseline'!$D$1:$O$258,5,FALSE))))</f>
        <v/>
      </c>
      <c r="H163" s="343" t="str">
        <f>IF(E163="","",IF(ISNA(VLOOKUP($E163,'A-1 Site Habitat Baseline'!$D$1:$O$258,6,FALSE)),"",(VLOOKUP($E163,'A-1 Site Habitat Baseline'!$D$1:$O$258,6,FALSE))))</f>
        <v/>
      </c>
      <c r="I163" s="343" t="str">
        <f>IF(E163="","",IF(ISNA(VLOOKUP($E163,'A-1 Site Habitat Baseline'!$D$1:$O$258,7,FALSE)),"",(VLOOKUP($E163,'A-1 Site Habitat Baseline'!$D$1:$O$258,7,FALSE))))</f>
        <v/>
      </c>
      <c r="J163" s="343" t="str">
        <f>IF(E163="","",IF(ISNA(VLOOKUP($E163,'A-1 Site Habitat Baseline'!$D$1:$O$258,8,FALSE)),"",(VLOOKUP($E163,'A-1 Site Habitat Baseline'!$D$1:$O$258,8,FALSE))))</f>
        <v/>
      </c>
      <c r="K163" s="343" t="str">
        <f>IF(E163="","",IF(ISNA(VLOOKUP($E163,'A-1 Site Habitat Baseline'!$D$1:$O$258,9,FALSE)),"",(VLOOKUP($E163,'A-1 Site Habitat Baseline'!$D$1:$O$258,9,FALSE))))</f>
        <v/>
      </c>
      <c r="L163" s="343" t="str">
        <f>IF(E163="","",IF(ISNA(VLOOKUP($E163,'A-1 Site Habitat Baseline'!$D$1:$O$258,11,FALSE)),"",(VLOOKUP($E163,'A-1 Site Habitat Baseline'!$D$1:$O$258,11,FALSE))))</f>
        <v/>
      </c>
      <c r="M163" s="343" t="str">
        <f>IF(E163="","",IF(ISNA(VLOOKUP($E163,'A-1 Site Habitat Baseline'!$D$1:$O$258,12,FALSE)),"",(VLOOKUP($E163,'A-1 Site Habitat Baseline'!$D$1:$O$258,12,FALSE))))</f>
        <v/>
      </c>
      <c r="N163" s="344" t="str">
        <f>IF(E163="","",IF(ISNA(VLOOKUP($E163,'A-1 Site Habitat Baseline'!$D$1:$X$258,14,FALSE)),"",(VLOOKUP($E163,'A-1 Site Habitat Baseline'!$D$1:$X$258,14,FALSE))))</f>
        <v/>
      </c>
      <c r="O163" s="345" t="str">
        <f>IF(E163="","",IF(ISNA(VLOOKUP($E163,'A-1 Site Habitat Baseline'!$D$1:$X$258,16,FALSE)),"",(VLOOKUP($E163,'A-1 Site Habitat Baseline'!$D$1:$X$258,13,FALSE))))</f>
        <v/>
      </c>
      <c r="P163" s="346" t="str">
        <f>IFERROR(INDEX('G-1 All Habitats'!$AG$3:$AG$15,MATCH(Q163,'G-1 All Habitats'!$AF$3:$AF$15,0)),"")</f>
        <v/>
      </c>
      <c r="Q163" s="347"/>
      <c r="R163" s="347"/>
      <c r="S163" s="605" t="str">
        <f>IFERROR(INDEX('G-1 All Habitats'!$B$3:$B$130,MATCH(R163,'G-1 All Habitats'!$A$3:$A$130,0)),"")</f>
        <v/>
      </c>
      <c r="T163" s="77" t="str">
        <f t="shared" si="27"/>
        <v/>
      </c>
      <c r="U163" s="78" t="str">
        <f t="shared" si="22"/>
        <v/>
      </c>
      <c r="V163" s="350" t="str">
        <f t="shared" si="19"/>
        <v/>
      </c>
      <c r="W163" s="343" t="str">
        <f>IF(S163="","",VLOOKUP(S163,'G-1 All Habitats'!$B$2:$M$130,10,FALSE))</f>
        <v/>
      </c>
      <c r="X163" s="343" t="str">
        <f>IFERROR(VLOOKUP(W163,'G-1 All Habitats'!$V$3:$W$7,2,FALSE),"")</f>
        <v/>
      </c>
      <c r="Y163" s="91"/>
      <c r="Z163" s="345" t="str">
        <f>IFERROR(INDEX('G-8 Condition Look up'!$A$3:$H$131,MATCH(S163,'G-8 Condition Look up'!$A$3:$A$131,0),MATCH(Y163,'G-8 Condition Look up'!$A$3:$H$3,0)),"")</f>
        <v/>
      </c>
      <c r="AA163" s="79"/>
      <c r="AB163" s="343" t="str">
        <f>IF(AA163="","",IF(VLOOKUP(AA163,'G-3 Multipliers'!$L$3:$N$6,2,FALSE)=0,"Spatial Data Missing",VLOOKUP(AA163,'G-3 Multipliers'!$L$3:$N$6,2,FALSE)))</f>
        <v/>
      </c>
      <c r="AC163" s="345" t="str">
        <f>IF(AA163="","",IF(VLOOKUP(AA163,'G-3 Multipliers'!$L$3:$N$6,3,FALSE)=0,"Spatial Data Missing",VLOOKUP(AA163,'G-3 Multipliers'!$L$3:$N$6,3,FALSE)))</f>
        <v/>
      </c>
      <c r="AD163" s="351" t="str">
        <f t="shared" si="20"/>
        <v/>
      </c>
      <c r="AE163" s="94"/>
      <c r="AF163" s="94"/>
      <c r="AG163" s="343" t="str">
        <f t="shared" si="23"/>
        <v/>
      </c>
      <c r="AH163" s="591" t="str">
        <f t="shared" si="24"/>
        <v/>
      </c>
      <c r="AI163" s="353" t="str">
        <f>IF(AH163="Check Data","Check Data",IFERROR(VLOOKUP(AH163,'G-4 Temporal multipliers'!$A$4:$C$36,3,FALSE),""))</f>
        <v/>
      </c>
      <c r="AJ163" s="77" t="str">
        <f>IF(S163="","",VLOOKUP(S163,'G-3 Multipliers'!$A$2:$E$130,4,FALSE))</f>
        <v/>
      </c>
      <c r="AK163" s="348" t="str">
        <f t="shared" si="25"/>
        <v/>
      </c>
      <c r="AL163" s="348" t="str">
        <f t="shared" si="26"/>
        <v/>
      </c>
      <c r="AM163" s="607" t="str">
        <f>IFERROR(IF(F163="","",IF(AH163="Check Data","Check Data",VLOOKUP(AL163, 'G-3 Multipliers'!$P$2:$Q$6,2,FALSE))),””)</f>
        <v/>
      </c>
      <c r="AN163" s="81" t="str">
        <f t="shared" si="21"/>
        <v/>
      </c>
      <c r="AO163" s="355"/>
      <c r="AP163" s="356"/>
    </row>
    <row r="164" spans="1:42" x14ac:dyDescent="0.25">
      <c r="A164" s="52" t="str">
        <f>IF(E164="","",IF(ISNA(VLOOKUP($E164,'A-1 Site Habitat Baseline'!$D$1:$O$258,2,FALSE)),"",(VLOOKUP($E164,'A-1 Site Habitat Baseline'!$D$1:$O$258,2,FALSE))))</f>
        <v/>
      </c>
      <c r="B164" s="52" t="str">
        <f>IF(E164="","",IF(ISNA(VLOOKUP($E164,'A-1 Site Habitat Baseline'!$D$1:$O$258,3,FALSE)),"",(VLOOKUP($E164,'A-1 Site Habitat Baseline'!$D$1:$O$258,3,FALSE))))</f>
        <v/>
      </c>
      <c r="C164" s="52" t="str">
        <f>IFERROR(INDEX('G-8 Condition Look up'!$I$4:$I$131,MATCH(S164,'G-8 Condition Look up'!$A$4:$A$131,0)),"")</f>
        <v/>
      </c>
      <c r="E164" s="342" t="str">
        <f>'A-1 Site Habitat Baseline'!AL163</f>
        <v/>
      </c>
      <c r="F164" s="343" t="str">
        <f>IF(E164="","",IF(ISNA(VLOOKUP($E164,'A-1 Site Habitat Baseline'!$D$1:$O$258,4,FALSE)),"",(VLOOKUP($E164,'A-1 Site Habitat Baseline'!$D$1:$O$258,4,FALSE))))</f>
        <v/>
      </c>
      <c r="G164" s="343" t="str">
        <f>IF(E164="","",IF(ISNA(VLOOKUP($E164,'A-1 Site Habitat Baseline'!$D$1:$O$258,5,FALSE)),"",(VLOOKUP($E164,'A-1 Site Habitat Baseline'!$D$1:$O$258,5,FALSE))))</f>
        <v/>
      </c>
      <c r="H164" s="343" t="str">
        <f>IF(E164="","",IF(ISNA(VLOOKUP($E164,'A-1 Site Habitat Baseline'!$D$1:$O$258,6,FALSE)),"",(VLOOKUP($E164,'A-1 Site Habitat Baseline'!$D$1:$O$258,6,FALSE))))</f>
        <v/>
      </c>
      <c r="I164" s="343" t="str">
        <f>IF(E164="","",IF(ISNA(VLOOKUP($E164,'A-1 Site Habitat Baseline'!$D$1:$O$258,7,FALSE)),"",(VLOOKUP($E164,'A-1 Site Habitat Baseline'!$D$1:$O$258,7,FALSE))))</f>
        <v/>
      </c>
      <c r="J164" s="343" t="str">
        <f>IF(E164="","",IF(ISNA(VLOOKUP($E164,'A-1 Site Habitat Baseline'!$D$1:$O$258,8,FALSE)),"",(VLOOKUP($E164,'A-1 Site Habitat Baseline'!$D$1:$O$258,8,FALSE))))</f>
        <v/>
      </c>
      <c r="K164" s="343" t="str">
        <f>IF(E164="","",IF(ISNA(VLOOKUP($E164,'A-1 Site Habitat Baseline'!$D$1:$O$258,9,FALSE)),"",(VLOOKUP($E164,'A-1 Site Habitat Baseline'!$D$1:$O$258,9,FALSE))))</f>
        <v/>
      </c>
      <c r="L164" s="343" t="str">
        <f>IF(E164="","",IF(ISNA(VLOOKUP($E164,'A-1 Site Habitat Baseline'!$D$1:$O$258,11,FALSE)),"",(VLOOKUP($E164,'A-1 Site Habitat Baseline'!$D$1:$O$258,11,FALSE))))</f>
        <v/>
      </c>
      <c r="M164" s="343" t="str">
        <f>IF(E164="","",IF(ISNA(VLOOKUP($E164,'A-1 Site Habitat Baseline'!$D$1:$O$258,12,FALSE)),"",(VLOOKUP($E164,'A-1 Site Habitat Baseline'!$D$1:$O$258,12,FALSE))))</f>
        <v/>
      </c>
      <c r="N164" s="344" t="str">
        <f>IF(E164="","",IF(ISNA(VLOOKUP($E164,'A-1 Site Habitat Baseline'!$D$1:$X$258,14,FALSE)),"",(VLOOKUP($E164,'A-1 Site Habitat Baseline'!$D$1:$X$258,14,FALSE))))</f>
        <v/>
      </c>
      <c r="O164" s="345" t="str">
        <f>IF(E164="","",IF(ISNA(VLOOKUP($E164,'A-1 Site Habitat Baseline'!$D$1:$X$258,16,FALSE)),"",(VLOOKUP($E164,'A-1 Site Habitat Baseline'!$D$1:$X$258,13,FALSE))))</f>
        <v/>
      </c>
      <c r="P164" s="346" t="str">
        <f>IFERROR(INDEX('G-1 All Habitats'!$AG$3:$AG$15,MATCH(Q164,'G-1 All Habitats'!$AF$3:$AF$15,0)),"")</f>
        <v/>
      </c>
      <c r="Q164" s="347"/>
      <c r="R164" s="347"/>
      <c r="S164" s="605" t="str">
        <f>IFERROR(INDEX('G-1 All Habitats'!$B$3:$B$130,MATCH(R164,'G-1 All Habitats'!$A$3:$A$130,0)),"")</f>
        <v/>
      </c>
      <c r="T164" s="77" t="str">
        <f t="shared" si="27"/>
        <v/>
      </c>
      <c r="U164" s="78" t="str">
        <f t="shared" si="22"/>
        <v/>
      </c>
      <c r="V164" s="350" t="str">
        <f t="shared" si="19"/>
        <v/>
      </c>
      <c r="W164" s="343" t="str">
        <f>IF(S164="","",VLOOKUP(S164,'G-1 All Habitats'!$B$2:$M$130,10,FALSE))</f>
        <v/>
      </c>
      <c r="X164" s="343" t="str">
        <f>IFERROR(VLOOKUP(W164,'G-1 All Habitats'!$V$3:$W$7,2,FALSE),"")</f>
        <v/>
      </c>
      <c r="Y164" s="91"/>
      <c r="Z164" s="345" t="str">
        <f>IFERROR(INDEX('G-8 Condition Look up'!$A$3:$H$131,MATCH(S164,'G-8 Condition Look up'!$A$3:$A$131,0),MATCH(Y164,'G-8 Condition Look up'!$A$3:$H$3,0)),"")</f>
        <v/>
      </c>
      <c r="AA164" s="79"/>
      <c r="AB164" s="343" t="str">
        <f>IF(AA164="","",IF(VLOOKUP(AA164,'G-3 Multipliers'!$L$3:$N$6,2,FALSE)=0,"Spatial Data Missing",VLOOKUP(AA164,'G-3 Multipliers'!$L$3:$N$6,2,FALSE)))</f>
        <v/>
      </c>
      <c r="AC164" s="345" t="str">
        <f>IF(AA164="","",IF(VLOOKUP(AA164,'G-3 Multipliers'!$L$3:$N$6,3,FALSE)=0,"Spatial Data Missing",VLOOKUP(AA164,'G-3 Multipliers'!$L$3:$N$6,3,FALSE)))</f>
        <v/>
      </c>
      <c r="AD164" s="351" t="str">
        <f t="shared" si="20"/>
        <v/>
      </c>
      <c r="AE164" s="94"/>
      <c r="AF164" s="94"/>
      <c r="AG164" s="343" t="str">
        <f t="shared" si="23"/>
        <v/>
      </c>
      <c r="AH164" s="591" t="str">
        <f t="shared" si="24"/>
        <v/>
      </c>
      <c r="AI164" s="353" t="str">
        <f>IF(AH164="Check Data","Check Data",IFERROR(VLOOKUP(AH164,'G-4 Temporal multipliers'!$A$4:$C$36,3,FALSE),""))</f>
        <v/>
      </c>
      <c r="AJ164" s="77" t="str">
        <f>IF(S164="","",VLOOKUP(S164,'G-3 Multipliers'!$A$2:$E$130,4,FALSE))</f>
        <v/>
      </c>
      <c r="AK164" s="348" t="str">
        <f t="shared" si="25"/>
        <v/>
      </c>
      <c r="AL164" s="348" t="str">
        <f t="shared" si="26"/>
        <v/>
      </c>
      <c r="AM164" s="607" t="str">
        <f>IFERROR(IF(F164="","",IF(AH164="Check Data","Check Data",VLOOKUP(AL164, 'G-3 Multipliers'!$P$2:$Q$6,2,FALSE))),””)</f>
        <v/>
      </c>
      <c r="AN164" s="81" t="str">
        <f t="shared" si="21"/>
        <v/>
      </c>
      <c r="AO164" s="355"/>
      <c r="AP164" s="356"/>
    </row>
    <row r="165" spans="1:42" x14ac:dyDescent="0.25">
      <c r="A165" s="52" t="str">
        <f>IF(E165="","",IF(ISNA(VLOOKUP($E165,'A-1 Site Habitat Baseline'!$D$1:$O$258,2,FALSE)),"",(VLOOKUP($E165,'A-1 Site Habitat Baseline'!$D$1:$O$258,2,FALSE))))</f>
        <v/>
      </c>
      <c r="B165" s="52" t="str">
        <f>IF(E165="","",IF(ISNA(VLOOKUP($E165,'A-1 Site Habitat Baseline'!$D$1:$O$258,3,FALSE)),"",(VLOOKUP($E165,'A-1 Site Habitat Baseline'!$D$1:$O$258,3,FALSE))))</f>
        <v/>
      </c>
      <c r="C165" s="52" t="str">
        <f>IFERROR(INDEX('G-8 Condition Look up'!$I$4:$I$131,MATCH(S165,'G-8 Condition Look up'!$A$4:$A$131,0)),"")</f>
        <v/>
      </c>
      <c r="E165" s="342" t="str">
        <f>'A-1 Site Habitat Baseline'!AL164</f>
        <v/>
      </c>
      <c r="F165" s="343" t="str">
        <f>IF(E165="","",IF(ISNA(VLOOKUP($E165,'A-1 Site Habitat Baseline'!$D$1:$O$258,4,FALSE)),"",(VLOOKUP($E165,'A-1 Site Habitat Baseline'!$D$1:$O$258,4,FALSE))))</f>
        <v/>
      </c>
      <c r="G165" s="343" t="str">
        <f>IF(E165="","",IF(ISNA(VLOOKUP($E165,'A-1 Site Habitat Baseline'!$D$1:$O$258,5,FALSE)),"",(VLOOKUP($E165,'A-1 Site Habitat Baseline'!$D$1:$O$258,5,FALSE))))</f>
        <v/>
      </c>
      <c r="H165" s="343" t="str">
        <f>IF(E165="","",IF(ISNA(VLOOKUP($E165,'A-1 Site Habitat Baseline'!$D$1:$O$258,6,FALSE)),"",(VLOOKUP($E165,'A-1 Site Habitat Baseline'!$D$1:$O$258,6,FALSE))))</f>
        <v/>
      </c>
      <c r="I165" s="343" t="str">
        <f>IF(E165="","",IF(ISNA(VLOOKUP($E165,'A-1 Site Habitat Baseline'!$D$1:$O$258,7,FALSE)),"",(VLOOKUP($E165,'A-1 Site Habitat Baseline'!$D$1:$O$258,7,FALSE))))</f>
        <v/>
      </c>
      <c r="J165" s="343" t="str">
        <f>IF(E165="","",IF(ISNA(VLOOKUP($E165,'A-1 Site Habitat Baseline'!$D$1:$O$258,8,FALSE)),"",(VLOOKUP($E165,'A-1 Site Habitat Baseline'!$D$1:$O$258,8,FALSE))))</f>
        <v/>
      </c>
      <c r="K165" s="343" t="str">
        <f>IF(E165="","",IF(ISNA(VLOOKUP($E165,'A-1 Site Habitat Baseline'!$D$1:$O$258,9,FALSE)),"",(VLOOKUP($E165,'A-1 Site Habitat Baseline'!$D$1:$O$258,9,FALSE))))</f>
        <v/>
      </c>
      <c r="L165" s="343" t="str">
        <f>IF(E165="","",IF(ISNA(VLOOKUP($E165,'A-1 Site Habitat Baseline'!$D$1:$O$258,11,FALSE)),"",(VLOOKUP($E165,'A-1 Site Habitat Baseline'!$D$1:$O$258,11,FALSE))))</f>
        <v/>
      </c>
      <c r="M165" s="343" t="str">
        <f>IF(E165="","",IF(ISNA(VLOOKUP($E165,'A-1 Site Habitat Baseline'!$D$1:$O$258,12,FALSE)),"",(VLOOKUP($E165,'A-1 Site Habitat Baseline'!$D$1:$O$258,12,FALSE))))</f>
        <v/>
      </c>
      <c r="N165" s="344" t="str">
        <f>IF(E165="","",IF(ISNA(VLOOKUP($E165,'A-1 Site Habitat Baseline'!$D$1:$X$258,14,FALSE)),"",(VLOOKUP($E165,'A-1 Site Habitat Baseline'!$D$1:$X$258,14,FALSE))))</f>
        <v/>
      </c>
      <c r="O165" s="345" t="str">
        <f>IF(E165="","",IF(ISNA(VLOOKUP($E165,'A-1 Site Habitat Baseline'!$D$1:$X$258,16,FALSE)),"",(VLOOKUP($E165,'A-1 Site Habitat Baseline'!$D$1:$X$258,13,FALSE))))</f>
        <v/>
      </c>
      <c r="P165" s="346" t="str">
        <f>IFERROR(INDEX('G-1 All Habitats'!$AG$3:$AG$15,MATCH(Q165,'G-1 All Habitats'!$AF$3:$AF$15,0)),"")</f>
        <v/>
      </c>
      <c r="Q165" s="347"/>
      <c r="R165" s="347"/>
      <c r="S165" s="605" t="str">
        <f>IFERROR(INDEX('G-1 All Habitats'!$B$3:$B$130,MATCH(R165,'G-1 All Habitats'!$A$3:$A$130,0)),"")</f>
        <v/>
      </c>
      <c r="T165" s="77" t="str">
        <f t="shared" si="27"/>
        <v/>
      </c>
      <c r="U165" s="78" t="str">
        <f t="shared" si="22"/>
        <v/>
      </c>
      <c r="V165" s="350" t="str">
        <f t="shared" si="19"/>
        <v/>
      </c>
      <c r="W165" s="343" t="str">
        <f>IF(S165="","",VLOOKUP(S165,'G-1 All Habitats'!$B$2:$M$130,10,FALSE))</f>
        <v/>
      </c>
      <c r="X165" s="343" t="str">
        <f>IFERROR(VLOOKUP(W165,'G-1 All Habitats'!$V$3:$W$7,2,FALSE),"")</f>
        <v/>
      </c>
      <c r="Y165" s="91"/>
      <c r="Z165" s="345" t="str">
        <f>IFERROR(INDEX('G-8 Condition Look up'!$A$3:$H$131,MATCH(S165,'G-8 Condition Look up'!$A$3:$A$131,0),MATCH(Y165,'G-8 Condition Look up'!$A$3:$H$3,0)),"")</f>
        <v/>
      </c>
      <c r="AA165" s="79"/>
      <c r="AB165" s="343" t="str">
        <f>IF(AA165="","",IF(VLOOKUP(AA165,'G-3 Multipliers'!$L$3:$N$6,2,FALSE)=0,"Spatial Data Missing",VLOOKUP(AA165,'G-3 Multipliers'!$L$3:$N$6,2,FALSE)))</f>
        <v/>
      </c>
      <c r="AC165" s="345" t="str">
        <f>IF(AA165="","",IF(VLOOKUP(AA165,'G-3 Multipliers'!$L$3:$N$6,3,FALSE)=0,"Spatial Data Missing",VLOOKUP(AA165,'G-3 Multipliers'!$L$3:$N$6,3,FALSE)))</f>
        <v/>
      </c>
      <c r="AD165" s="351" t="str">
        <f t="shared" si="20"/>
        <v/>
      </c>
      <c r="AE165" s="94"/>
      <c r="AF165" s="94"/>
      <c r="AG165" s="343" t="str">
        <f t="shared" si="23"/>
        <v/>
      </c>
      <c r="AH165" s="591" t="str">
        <f t="shared" si="24"/>
        <v/>
      </c>
      <c r="AI165" s="353" t="str">
        <f>IF(AH165="Check Data","Check Data",IFERROR(VLOOKUP(AH165,'G-4 Temporal multipliers'!$A$4:$C$36,3,FALSE),""))</f>
        <v/>
      </c>
      <c r="AJ165" s="77" t="str">
        <f>IF(S165="","",VLOOKUP(S165,'G-3 Multipliers'!$A$2:$E$130,4,FALSE))</f>
        <v/>
      </c>
      <c r="AK165" s="348" t="str">
        <f t="shared" si="25"/>
        <v/>
      </c>
      <c r="AL165" s="348" t="str">
        <f t="shared" si="26"/>
        <v/>
      </c>
      <c r="AM165" s="607" t="str">
        <f>IFERROR(IF(F165="","",IF(AH165="Check Data","Check Data",VLOOKUP(AL165, 'G-3 Multipliers'!$P$2:$Q$6,2,FALSE))),””)</f>
        <v/>
      </c>
      <c r="AN165" s="81" t="str">
        <f t="shared" si="21"/>
        <v/>
      </c>
      <c r="AO165" s="355"/>
      <c r="AP165" s="356"/>
    </row>
    <row r="166" spans="1:42" x14ac:dyDescent="0.25">
      <c r="A166" s="52" t="str">
        <f>IF(E166="","",IF(ISNA(VLOOKUP($E166,'A-1 Site Habitat Baseline'!$D$1:$O$258,2,FALSE)),"",(VLOOKUP($E166,'A-1 Site Habitat Baseline'!$D$1:$O$258,2,FALSE))))</f>
        <v/>
      </c>
      <c r="B166" s="52" t="str">
        <f>IF(E166="","",IF(ISNA(VLOOKUP($E166,'A-1 Site Habitat Baseline'!$D$1:$O$258,3,FALSE)),"",(VLOOKUP($E166,'A-1 Site Habitat Baseline'!$D$1:$O$258,3,FALSE))))</f>
        <v/>
      </c>
      <c r="C166" s="52" t="str">
        <f>IFERROR(INDEX('G-8 Condition Look up'!$I$4:$I$131,MATCH(S166,'G-8 Condition Look up'!$A$4:$A$131,0)),"")</f>
        <v/>
      </c>
      <c r="E166" s="342" t="str">
        <f>'A-1 Site Habitat Baseline'!AL165</f>
        <v/>
      </c>
      <c r="F166" s="343" t="str">
        <f>IF(E166="","",IF(ISNA(VLOOKUP($E166,'A-1 Site Habitat Baseline'!$D$1:$O$258,4,FALSE)),"",(VLOOKUP($E166,'A-1 Site Habitat Baseline'!$D$1:$O$258,4,FALSE))))</f>
        <v/>
      </c>
      <c r="G166" s="343" t="str">
        <f>IF(E166="","",IF(ISNA(VLOOKUP($E166,'A-1 Site Habitat Baseline'!$D$1:$O$258,5,FALSE)),"",(VLOOKUP($E166,'A-1 Site Habitat Baseline'!$D$1:$O$258,5,FALSE))))</f>
        <v/>
      </c>
      <c r="H166" s="343" t="str">
        <f>IF(E166="","",IF(ISNA(VLOOKUP($E166,'A-1 Site Habitat Baseline'!$D$1:$O$258,6,FALSE)),"",(VLOOKUP($E166,'A-1 Site Habitat Baseline'!$D$1:$O$258,6,FALSE))))</f>
        <v/>
      </c>
      <c r="I166" s="343" t="str">
        <f>IF(E166="","",IF(ISNA(VLOOKUP($E166,'A-1 Site Habitat Baseline'!$D$1:$O$258,7,FALSE)),"",(VLOOKUP($E166,'A-1 Site Habitat Baseline'!$D$1:$O$258,7,FALSE))))</f>
        <v/>
      </c>
      <c r="J166" s="343" t="str">
        <f>IF(E166="","",IF(ISNA(VLOOKUP($E166,'A-1 Site Habitat Baseline'!$D$1:$O$258,8,FALSE)),"",(VLOOKUP($E166,'A-1 Site Habitat Baseline'!$D$1:$O$258,8,FALSE))))</f>
        <v/>
      </c>
      <c r="K166" s="343" t="str">
        <f>IF(E166="","",IF(ISNA(VLOOKUP($E166,'A-1 Site Habitat Baseline'!$D$1:$O$258,9,FALSE)),"",(VLOOKUP($E166,'A-1 Site Habitat Baseline'!$D$1:$O$258,9,FALSE))))</f>
        <v/>
      </c>
      <c r="L166" s="343" t="str">
        <f>IF(E166="","",IF(ISNA(VLOOKUP($E166,'A-1 Site Habitat Baseline'!$D$1:$O$258,11,FALSE)),"",(VLOOKUP($E166,'A-1 Site Habitat Baseline'!$D$1:$O$258,11,FALSE))))</f>
        <v/>
      </c>
      <c r="M166" s="343" t="str">
        <f>IF(E166="","",IF(ISNA(VLOOKUP($E166,'A-1 Site Habitat Baseline'!$D$1:$O$258,12,FALSE)),"",(VLOOKUP($E166,'A-1 Site Habitat Baseline'!$D$1:$O$258,12,FALSE))))</f>
        <v/>
      </c>
      <c r="N166" s="344" t="str">
        <f>IF(E166="","",IF(ISNA(VLOOKUP($E166,'A-1 Site Habitat Baseline'!$D$1:$X$258,14,FALSE)),"",(VLOOKUP($E166,'A-1 Site Habitat Baseline'!$D$1:$X$258,14,FALSE))))</f>
        <v/>
      </c>
      <c r="O166" s="345" t="str">
        <f>IF(E166="","",IF(ISNA(VLOOKUP($E166,'A-1 Site Habitat Baseline'!$D$1:$X$258,16,FALSE)),"",(VLOOKUP($E166,'A-1 Site Habitat Baseline'!$D$1:$X$258,13,FALSE))))</f>
        <v/>
      </c>
      <c r="P166" s="346" t="str">
        <f>IFERROR(INDEX('G-1 All Habitats'!$AG$3:$AG$15,MATCH(Q166,'G-1 All Habitats'!$AF$3:$AF$15,0)),"")</f>
        <v/>
      </c>
      <c r="Q166" s="347"/>
      <c r="R166" s="347"/>
      <c r="S166" s="605" t="str">
        <f>IFERROR(INDEX('G-1 All Habitats'!$B$3:$B$130,MATCH(R166,'G-1 All Habitats'!$A$3:$A$130,0)),"")</f>
        <v/>
      </c>
      <c r="T166" s="77" t="str">
        <f t="shared" si="27"/>
        <v/>
      </c>
      <c r="U166" s="78" t="str">
        <f t="shared" si="22"/>
        <v/>
      </c>
      <c r="V166" s="350" t="str">
        <f t="shared" si="19"/>
        <v/>
      </c>
      <c r="W166" s="343" t="str">
        <f>IF(S166="","",VLOOKUP(S166,'G-1 All Habitats'!$B$2:$M$130,10,FALSE))</f>
        <v/>
      </c>
      <c r="X166" s="343" t="str">
        <f>IFERROR(VLOOKUP(W166,'G-1 All Habitats'!$V$3:$W$7,2,FALSE),"")</f>
        <v/>
      </c>
      <c r="Y166" s="91"/>
      <c r="Z166" s="345" t="str">
        <f>IFERROR(INDEX('G-8 Condition Look up'!$A$3:$H$131,MATCH(S166,'G-8 Condition Look up'!$A$3:$A$131,0),MATCH(Y166,'G-8 Condition Look up'!$A$3:$H$3,0)),"")</f>
        <v/>
      </c>
      <c r="AA166" s="79"/>
      <c r="AB166" s="343" t="str">
        <f>IF(AA166="","",IF(VLOOKUP(AA166,'G-3 Multipliers'!$L$3:$N$6,2,FALSE)=0,"Spatial Data Missing",VLOOKUP(AA166,'G-3 Multipliers'!$L$3:$N$6,2,FALSE)))</f>
        <v/>
      </c>
      <c r="AC166" s="345" t="str">
        <f>IF(AA166="","",IF(VLOOKUP(AA166,'G-3 Multipliers'!$L$3:$N$6,3,FALSE)=0,"Spatial Data Missing",VLOOKUP(AA166,'G-3 Multipliers'!$L$3:$N$6,3,FALSE)))</f>
        <v/>
      </c>
      <c r="AD166" s="351" t="str">
        <f t="shared" si="20"/>
        <v/>
      </c>
      <c r="AE166" s="94"/>
      <c r="AF166" s="94"/>
      <c r="AG166" s="343" t="str">
        <f t="shared" si="23"/>
        <v/>
      </c>
      <c r="AH166" s="591" t="str">
        <f t="shared" si="24"/>
        <v/>
      </c>
      <c r="AI166" s="353" t="str">
        <f>IF(AH166="Check Data","Check Data",IFERROR(VLOOKUP(AH166,'G-4 Temporal multipliers'!$A$4:$C$36,3,FALSE),""))</f>
        <v/>
      </c>
      <c r="AJ166" s="77" t="str">
        <f>IF(S166="","",VLOOKUP(S166,'G-3 Multipliers'!$A$2:$E$130,4,FALSE))</f>
        <v/>
      </c>
      <c r="AK166" s="348" t="str">
        <f t="shared" si="25"/>
        <v/>
      </c>
      <c r="AL166" s="348" t="str">
        <f t="shared" si="26"/>
        <v/>
      </c>
      <c r="AM166" s="607" t="str">
        <f>IFERROR(IF(F166="","",IF(AH166="Check Data","Check Data",VLOOKUP(AL166, 'G-3 Multipliers'!$P$2:$Q$6,2,FALSE))),””)</f>
        <v/>
      </c>
      <c r="AN166" s="81" t="str">
        <f t="shared" si="21"/>
        <v/>
      </c>
      <c r="AO166" s="355"/>
      <c r="AP166" s="356"/>
    </row>
    <row r="167" spans="1:42" x14ac:dyDescent="0.25">
      <c r="A167" s="52" t="str">
        <f>IF(E167="","",IF(ISNA(VLOOKUP($E167,'A-1 Site Habitat Baseline'!$D$1:$O$258,2,FALSE)),"",(VLOOKUP($E167,'A-1 Site Habitat Baseline'!$D$1:$O$258,2,FALSE))))</f>
        <v/>
      </c>
      <c r="B167" s="52" t="str">
        <f>IF(E167="","",IF(ISNA(VLOOKUP($E167,'A-1 Site Habitat Baseline'!$D$1:$O$258,3,FALSE)),"",(VLOOKUP($E167,'A-1 Site Habitat Baseline'!$D$1:$O$258,3,FALSE))))</f>
        <v/>
      </c>
      <c r="C167" s="52" t="str">
        <f>IFERROR(INDEX('G-8 Condition Look up'!$I$4:$I$131,MATCH(S167,'G-8 Condition Look up'!$A$4:$A$131,0)),"")</f>
        <v/>
      </c>
      <c r="E167" s="342" t="str">
        <f>'A-1 Site Habitat Baseline'!AL166</f>
        <v/>
      </c>
      <c r="F167" s="343" t="str">
        <f>IF(E167="","",IF(ISNA(VLOOKUP($E167,'A-1 Site Habitat Baseline'!$D$1:$O$258,4,FALSE)),"",(VLOOKUP($E167,'A-1 Site Habitat Baseline'!$D$1:$O$258,4,FALSE))))</f>
        <v/>
      </c>
      <c r="G167" s="343" t="str">
        <f>IF(E167="","",IF(ISNA(VLOOKUP($E167,'A-1 Site Habitat Baseline'!$D$1:$O$258,5,FALSE)),"",(VLOOKUP($E167,'A-1 Site Habitat Baseline'!$D$1:$O$258,5,FALSE))))</f>
        <v/>
      </c>
      <c r="H167" s="343" t="str">
        <f>IF(E167="","",IF(ISNA(VLOOKUP($E167,'A-1 Site Habitat Baseline'!$D$1:$O$258,6,FALSE)),"",(VLOOKUP($E167,'A-1 Site Habitat Baseline'!$D$1:$O$258,6,FALSE))))</f>
        <v/>
      </c>
      <c r="I167" s="343" t="str">
        <f>IF(E167="","",IF(ISNA(VLOOKUP($E167,'A-1 Site Habitat Baseline'!$D$1:$O$258,7,FALSE)),"",(VLOOKUP($E167,'A-1 Site Habitat Baseline'!$D$1:$O$258,7,FALSE))))</f>
        <v/>
      </c>
      <c r="J167" s="343" t="str">
        <f>IF(E167="","",IF(ISNA(VLOOKUP($E167,'A-1 Site Habitat Baseline'!$D$1:$O$258,8,FALSE)),"",(VLOOKUP($E167,'A-1 Site Habitat Baseline'!$D$1:$O$258,8,FALSE))))</f>
        <v/>
      </c>
      <c r="K167" s="343" t="str">
        <f>IF(E167="","",IF(ISNA(VLOOKUP($E167,'A-1 Site Habitat Baseline'!$D$1:$O$258,9,FALSE)),"",(VLOOKUP($E167,'A-1 Site Habitat Baseline'!$D$1:$O$258,9,FALSE))))</f>
        <v/>
      </c>
      <c r="L167" s="343" t="str">
        <f>IF(E167="","",IF(ISNA(VLOOKUP($E167,'A-1 Site Habitat Baseline'!$D$1:$O$258,11,FALSE)),"",(VLOOKUP($E167,'A-1 Site Habitat Baseline'!$D$1:$O$258,11,FALSE))))</f>
        <v/>
      </c>
      <c r="M167" s="343" t="str">
        <f>IF(E167="","",IF(ISNA(VLOOKUP($E167,'A-1 Site Habitat Baseline'!$D$1:$O$258,12,FALSE)),"",(VLOOKUP($E167,'A-1 Site Habitat Baseline'!$D$1:$O$258,12,FALSE))))</f>
        <v/>
      </c>
      <c r="N167" s="344" t="str">
        <f>IF(E167="","",IF(ISNA(VLOOKUP($E167,'A-1 Site Habitat Baseline'!$D$1:$X$258,14,FALSE)),"",(VLOOKUP($E167,'A-1 Site Habitat Baseline'!$D$1:$X$258,14,FALSE))))</f>
        <v/>
      </c>
      <c r="O167" s="345" t="str">
        <f>IF(E167="","",IF(ISNA(VLOOKUP($E167,'A-1 Site Habitat Baseline'!$D$1:$X$258,16,FALSE)),"",(VLOOKUP($E167,'A-1 Site Habitat Baseline'!$D$1:$X$258,13,FALSE))))</f>
        <v/>
      </c>
      <c r="P167" s="346" t="str">
        <f>IFERROR(INDEX('G-1 All Habitats'!$AG$3:$AG$15,MATCH(Q167,'G-1 All Habitats'!$AF$3:$AF$15,0)),"")</f>
        <v/>
      </c>
      <c r="Q167" s="347"/>
      <c r="R167" s="347"/>
      <c r="S167" s="605" t="str">
        <f>IFERROR(INDEX('G-1 All Habitats'!$B$3:$B$130,MATCH(R167,'G-1 All Habitats'!$A$3:$A$130,0)),"")</f>
        <v/>
      </c>
      <c r="T167" s="77" t="str">
        <f t="shared" si="27"/>
        <v/>
      </c>
      <c r="U167" s="78" t="str">
        <f t="shared" si="22"/>
        <v/>
      </c>
      <c r="V167" s="350" t="str">
        <f t="shared" si="19"/>
        <v/>
      </c>
      <c r="W167" s="343" t="str">
        <f>IF(S167="","",VLOOKUP(S167,'G-1 All Habitats'!$B$2:$M$130,10,FALSE))</f>
        <v/>
      </c>
      <c r="X167" s="343" t="str">
        <f>IFERROR(VLOOKUP(W167,'G-1 All Habitats'!$V$3:$W$7,2,FALSE),"")</f>
        <v/>
      </c>
      <c r="Y167" s="91"/>
      <c r="Z167" s="345" t="str">
        <f>IFERROR(INDEX('G-8 Condition Look up'!$A$3:$H$131,MATCH(S167,'G-8 Condition Look up'!$A$3:$A$131,0),MATCH(Y167,'G-8 Condition Look up'!$A$3:$H$3,0)),"")</f>
        <v/>
      </c>
      <c r="AA167" s="79"/>
      <c r="AB167" s="343" t="str">
        <f>IF(AA167="","",IF(VLOOKUP(AA167,'G-3 Multipliers'!$L$3:$N$6,2,FALSE)=0,"Spatial Data Missing",VLOOKUP(AA167,'G-3 Multipliers'!$L$3:$N$6,2,FALSE)))</f>
        <v/>
      </c>
      <c r="AC167" s="345" t="str">
        <f>IF(AA167="","",IF(VLOOKUP(AA167,'G-3 Multipliers'!$L$3:$N$6,3,FALSE)=0,"Spatial Data Missing",VLOOKUP(AA167,'G-3 Multipliers'!$L$3:$N$6,3,FALSE)))</f>
        <v/>
      </c>
      <c r="AD167" s="351" t="str">
        <f t="shared" si="20"/>
        <v/>
      </c>
      <c r="AE167" s="94"/>
      <c r="AF167" s="94"/>
      <c r="AG167" s="343" t="str">
        <f t="shared" si="23"/>
        <v/>
      </c>
      <c r="AH167" s="591" t="str">
        <f t="shared" si="24"/>
        <v/>
      </c>
      <c r="AI167" s="353" t="str">
        <f>IF(AH167="Check Data","Check Data",IFERROR(VLOOKUP(AH167,'G-4 Temporal multipliers'!$A$4:$C$36,3,FALSE),""))</f>
        <v/>
      </c>
      <c r="AJ167" s="77" t="str">
        <f>IF(S167="","",VLOOKUP(S167,'G-3 Multipliers'!$A$2:$E$130,4,FALSE))</f>
        <v/>
      </c>
      <c r="AK167" s="348" t="str">
        <f t="shared" si="25"/>
        <v/>
      </c>
      <c r="AL167" s="348" t="str">
        <f t="shared" si="26"/>
        <v/>
      </c>
      <c r="AM167" s="607" t="str">
        <f>IFERROR(IF(F167="","",IF(AH167="Check Data","Check Data",VLOOKUP(AL167, 'G-3 Multipliers'!$P$2:$Q$6,2,FALSE))),””)</f>
        <v/>
      </c>
      <c r="AN167" s="81" t="str">
        <f t="shared" si="21"/>
        <v/>
      </c>
      <c r="AO167" s="355"/>
      <c r="AP167" s="356"/>
    </row>
    <row r="168" spans="1:42" x14ac:dyDescent="0.25">
      <c r="A168" s="52" t="str">
        <f>IF(E168="","",IF(ISNA(VLOOKUP($E168,'A-1 Site Habitat Baseline'!$D$1:$O$258,2,FALSE)),"",(VLOOKUP($E168,'A-1 Site Habitat Baseline'!$D$1:$O$258,2,FALSE))))</f>
        <v/>
      </c>
      <c r="B168" s="52" t="str">
        <f>IF(E168="","",IF(ISNA(VLOOKUP($E168,'A-1 Site Habitat Baseline'!$D$1:$O$258,3,FALSE)),"",(VLOOKUP($E168,'A-1 Site Habitat Baseline'!$D$1:$O$258,3,FALSE))))</f>
        <v/>
      </c>
      <c r="C168" s="52" t="str">
        <f>IFERROR(INDEX('G-8 Condition Look up'!$I$4:$I$131,MATCH(S168,'G-8 Condition Look up'!$A$4:$A$131,0)),"")</f>
        <v/>
      </c>
      <c r="E168" s="342" t="str">
        <f>'A-1 Site Habitat Baseline'!AL167</f>
        <v/>
      </c>
      <c r="F168" s="343" t="str">
        <f>IF(E168="","",IF(ISNA(VLOOKUP($E168,'A-1 Site Habitat Baseline'!$D$1:$O$258,4,FALSE)),"",(VLOOKUP($E168,'A-1 Site Habitat Baseline'!$D$1:$O$258,4,FALSE))))</f>
        <v/>
      </c>
      <c r="G168" s="343" t="str">
        <f>IF(E168="","",IF(ISNA(VLOOKUP($E168,'A-1 Site Habitat Baseline'!$D$1:$O$258,5,FALSE)),"",(VLOOKUP($E168,'A-1 Site Habitat Baseline'!$D$1:$O$258,5,FALSE))))</f>
        <v/>
      </c>
      <c r="H168" s="343" t="str">
        <f>IF(E168="","",IF(ISNA(VLOOKUP($E168,'A-1 Site Habitat Baseline'!$D$1:$O$258,6,FALSE)),"",(VLOOKUP($E168,'A-1 Site Habitat Baseline'!$D$1:$O$258,6,FALSE))))</f>
        <v/>
      </c>
      <c r="I168" s="343" t="str">
        <f>IF(E168="","",IF(ISNA(VLOOKUP($E168,'A-1 Site Habitat Baseline'!$D$1:$O$258,7,FALSE)),"",(VLOOKUP($E168,'A-1 Site Habitat Baseline'!$D$1:$O$258,7,FALSE))))</f>
        <v/>
      </c>
      <c r="J168" s="343" t="str">
        <f>IF(E168="","",IF(ISNA(VLOOKUP($E168,'A-1 Site Habitat Baseline'!$D$1:$O$258,8,FALSE)),"",(VLOOKUP($E168,'A-1 Site Habitat Baseline'!$D$1:$O$258,8,FALSE))))</f>
        <v/>
      </c>
      <c r="K168" s="343" t="str">
        <f>IF(E168="","",IF(ISNA(VLOOKUP($E168,'A-1 Site Habitat Baseline'!$D$1:$O$258,9,FALSE)),"",(VLOOKUP($E168,'A-1 Site Habitat Baseline'!$D$1:$O$258,9,FALSE))))</f>
        <v/>
      </c>
      <c r="L168" s="343" t="str">
        <f>IF(E168="","",IF(ISNA(VLOOKUP($E168,'A-1 Site Habitat Baseline'!$D$1:$O$258,11,FALSE)),"",(VLOOKUP($E168,'A-1 Site Habitat Baseline'!$D$1:$O$258,11,FALSE))))</f>
        <v/>
      </c>
      <c r="M168" s="343" t="str">
        <f>IF(E168="","",IF(ISNA(VLOOKUP($E168,'A-1 Site Habitat Baseline'!$D$1:$O$258,12,FALSE)),"",(VLOOKUP($E168,'A-1 Site Habitat Baseline'!$D$1:$O$258,12,FALSE))))</f>
        <v/>
      </c>
      <c r="N168" s="344" t="str">
        <f>IF(E168="","",IF(ISNA(VLOOKUP($E168,'A-1 Site Habitat Baseline'!$D$1:$X$258,14,FALSE)),"",(VLOOKUP($E168,'A-1 Site Habitat Baseline'!$D$1:$X$258,14,FALSE))))</f>
        <v/>
      </c>
      <c r="O168" s="345" t="str">
        <f>IF(E168="","",IF(ISNA(VLOOKUP($E168,'A-1 Site Habitat Baseline'!$D$1:$X$258,16,FALSE)),"",(VLOOKUP($E168,'A-1 Site Habitat Baseline'!$D$1:$X$258,13,FALSE))))</f>
        <v/>
      </c>
      <c r="P168" s="346" t="str">
        <f>IFERROR(INDEX('G-1 All Habitats'!$AG$3:$AG$15,MATCH(Q168,'G-1 All Habitats'!$AF$3:$AF$15,0)),"")</f>
        <v/>
      </c>
      <c r="Q168" s="347"/>
      <c r="R168" s="347"/>
      <c r="S168" s="605" t="str">
        <f>IFERROR(INDEX('G-1 All Habitats'!$B$3:$B$130,MATCH(R168,'G-1 All Habitats'!$A$3:$A$130,0)),"")</f>
        <v/>
      </c>
      <c r="T168" s="77" t="str">
        <f t="shared" si="27"/>
        <v/>
      </c>
      <c r="U168" s="78" t="str">
        <f t="shared" si="22"/>
        <v/>
      </c>
      <c r="V168" s="350" t="str">
        <f t="shared" si="19"/>
        <v/>
      </c>
      <c r="W168" s="343" t="str">
        <f>IF(S168="","",VLOOKUP(S168,'G-1 All Habitats'!$B$2:$M$130,10,FALSE))</f>
        <v/>
      </c>
      <c r="X168" s="343" t="str">
        <f>IFERROR(VLOOKUP(W168,'G-1 All Habitats'!$V$3:$W$7,2,FALSE),"")</f>
        <v/>
      </c>
      <c r="Y168" s="91"/>
      <c r="Z168" s="345" t="str">
        <f>IFERROR(INDEX('G-8 Condition Look up'!$A$3:$H$131,MATCH(S168,'G-8 Condition Look up'!$A$3:$A$131,0),MATCH(Y168,'G-8 Condition Look up'!$A$3:$H$3,0)),"")</f>
        <v/>
      </c>
      <c r="AA168" s="79"/>
      <c r="AB168" s="343" t="str">
        <f>IF(AA168="","",IF(VLOOKUP(AA168,'G-3 Multipliers'!$L$3:$N$6,2,FALSE)=0,"Spatial Data Missing",VLOOKUP(AA168,'G-3 Multipliers'!$L$3:$N$6,2,FALSE)))</f>
        <v/>
      </c>
      <c r="AC168" s="345" t="str">
        <f>IF(AA168="","",IF(VLOOKUP(AA168,'G-3 Multipliers'!$L$3:$N$6,3,FALSE)=0,"Spatial Data Missing",VLOOKUP(AA168,'G-3 Multipliers'!$L$3:$N$6,3,FALSE)))</f>
        <v/>
      </c>
      <c r="AD168" s="351" t="str">
        <f t="shared" si="20"/>
        <v/>
      </c>
      <c r="AE168" s="94"/>
      <c r="AF168" s="94"/>
      <c r="AG168" s="343" t="str">
        <f t="shared" si="23"/>
        <v/>
      </c>
      <c r="AH168" s="591" t="str">
        <f t="shared" si="24"/>
        <v/>
      </c>
      <c r="AI168" s="353" t="str">
        <f>IF(AH168="Check Data","Check Data",IFERROR(VLOOKUP(AH168,'G-4 Temporal multipliers'!$A$4:$C$36,3,FALSE),""))</f>
        <v/>
      </c>
      <c r="AJ168" s="77" t="str">
        <f>IF(S168="","",VLOOKUP(S168,'G-3 Multipliers'!$A$2:$E$130,4,FALSE))</f>
        <v/>
      </c>
      <c r="AK168" s="348" t="str">
        <f t="shared" si="25"/>
        <v/>
      </c>
      <c r="AL168" s="348" t="str">
        <f t="shared" si="26"/>
        <v/>
      </c>
      <c r="AM168" s="607" t="str">
        <f>IFERROR(IF(F168="","",IF(AH168="Check Data","Check Data",VLOOKUP(AL168, 'G-3 Multipliers'!$P$2:$Q$6,2,FALSE))),””)</f>
        <v/>
      </c>
      <c r="AN168" s="81" t="str">
        <f t="shared" si="21"/>
        <v/>
      </c>
      <c r="AO168" s="355"/>
      <c r="AP168" s="356"/>
    </row>
    <row r="169" spans="1:42" x14ac:dyDescent="0.25">
      <c r="A169" s="52" t="str">
        <f>IF(E169="","",IF(ISNA(VLOOKUP($E169,'A-1 Site Habitat Baseline'!$D$1:$O$258,2,FALSE)),"",(VLOOKUP($E169,'A-1 Site Habitat Baseline'!$D$1:$O$258,2,FALSE))))</f>
        <v/>
      </c>
      <c r="B169" s="52" t="str">
        <f>IF(E169="","",IF(ISNA(VLOOKUP($E169,'A-1 Site Habitat Baseline'!$D$1:$O$258,3,FALSE)),"",(VLOOKUP($E169,'A-1 Site Habitat Baseline'!$D$1:$O$258,3,FALSE))))</f>
        <v/>
      </c>
      <c r="C169" s="52" t="str">
        <f>IFERROR(INDEX('G-8 Condition Look up'!$I$4:$I$131,MATCH(S169,'G-8 Condition Look up'!$A$4:$A$131,0)),"")</f>
        <v/>
      </c>
      <c r="E169" s="342" t="str">
        <f>'A-1 Site Habitat Baseline'!AL168</f>
        <v/>
      </c>
      <c r="F169" s="343" t="str">
        <f>IF(E169="","",IF(ISNA(VLOOKUP($E169,'A-1 Site Habitat Baseline'!$D$1:$O$258,4,FALSE)),"",(VLOOKUP($E169,'A-1 Site Habitat Baseline'!$D$1:$O$258,4,FALSE))))</f>
        <v/>
      </c>
      <c r="G169" s="343" t="str">
        <f>IF(E169="","",IF(ISNA(VLOOKUP($E169,'A-1 Site Habitat Baseline'!$D$1:$O$258,5,FALSE)),"",(VLOOKUP($E169,'A-1 Site Habitat Baseline'!$D$1:$O$258,5,FALSE))))</f>
        <v/>
      </c>
      <c r="H169" s="343" t="str">
        <f>IF(E169="","",IF(ISNA(VLOOKUP($E169,'A-1 Site Habitat Baseline'!$D$1:$O$258,6,FALSE)),"",(VLOOKUP($E169,'A-1 Site Habitat Baseline'!$D$1:$O$258,6,FALSE))))</f>
        <v/>
      </c>
      <c r="I169" s="343" t="str">
        <f>IF(E169="","",IF(ISNA(VLOOKUP($E169,'A-1 Site Habitat Baseline'!$D$1:$O$258,7,FALSE)),"",(VLOOKUP($E169,'A-1 Site Habitat Baseline'!$D$1:$O$258,7,FALSE))))</f>
        <v/>
      </c>
      <c r="J169" s="343" t="str">
        <f>IF(E169="","",IF(ISNA(VLOOKUP($E169,'A-1 Site Habitat Baseline'!$D$1:$O$258,8,FALSE)),"",(VLOOKUP($E169,'A-1 Site Habitat Baseline'!$D$1:$O$258,8,FALSE))))</f>
        <v/>
      </c>
      <c r="K169" s="343" t="str">
        <f>IF(E169="","",IF(ISNA(VLOOKUP($E169,'A-1 Site Habitat Baseline'!$D$1:$O$258,9,FALSE)),"",(VLOOKUP($E169,'A-1 Site Habitat Baseline'!$D$1:$O$258,9,FALSE))))</f>
        <v/>
      </c>
      <c r="L169" s="343" t="str">
        <f>IF(E169="","",IF(ISNA(VLOOKUP($E169,'A-1 Site Habitat Baseline'!$D$1:$O$258,11,FALSE)),"",(VLOOKUP($E169,'A-1 Site Habitat Baseline'!$D$1:$O$258,11,FALSE))))</f>
        <v/>
      </c>
      <c r="M169" s="343" t="str">
        <f>IF(E169="","",IF(ISNA(VLOOKUP($E169,'A-1 Site Habitat Baseline'!$D$1:$O$258,12,FALSE)),"",(VLOOKUP($E169,'A-1 Site Habitat Baseline'!$D$1:$O$258,12,FALSE))))</f>
        <v/>
      </c>
      <c r="N169" s="344" t="str">
        <f>IF(E169="","",IF(ISNA(VLOOKUP($E169,'A-1 Site Habitat Baseline'!$D$1:$X$258,14,FALSE)),"",(VLOOKUP($E169,'A-1 Site Habitat Baseline'!$D$1:$X$258,14,FALSE))))</f>
        <v/>
      </c>
      <c r="O169" s="345" t="str">
        <f>IF(E169="","",IF(ISNA(VLOOKUP($E169,'A-1 Site Habitat Baseline'!$D$1:$X$258,16,FALSE)),"",(VLOOKUP($E169,'A-1 Site Habitat Baseline'!$D$1:$X$258,13,FALSE))))</f>
        <v/>
      </c>
      <c r="P169" s="346" t="str">
        <f>IFERROR(INDEX('G-1 All Habitats'!$AG$3:$AG$15,MATCH(Q169,'G-1 All Habitats'!$AF$3:$AF$15,0)),"")</f>
        <v/>
      </c>
      <c r="Q169" s="347"/>
      <c r="R169" s="347"/>
      <c r="S169" s="605" t="str">
        <f>IFERROR(INDEX('G-1 All Habitats'!$B$3:$B$130,MATCH(R169,'G-1 All Habitats'!$A$3:$A$130,0)),"")</f>
        <v/>
      </c>
      <c r="T169" s="77" t="str">
        <f t="shared" si="27"/>
        <v/>
      </c>
      <c r="U169" s="78" t="str">
        <f t="shared" si="22"/>
        <v/>
      </c>
      <c r="V169" s="350" t="str">
        <f t="shared" si="19"/>
        <v/>
      </c>
      <c r="W169" s="343" t="str">
        <f>IF(S169="","",VLOOKUP(S169,'G-1 All Habitats'!$B$2:$M$130,10,FALSE))</f>
        <v/>
      </c>
      <c r="X169" s="343" t="str">
        <f>IFERROR(VLOOKUP(W169,'G-1 All Habitats'!$V$3:$W$7,2,FALSE),"")</f>
        <v/>
      </c>
      <c r="Y169" s="91"/>
      <c r="Z169" s="345" t="str">
        <f>IFERROR(INDEX('G-8 Condition Look up'!$A$3:$H$131,MATCH(S169,'G-8 Condition Look up'!$A$3:$A$131,0),MATCH(Y169,'G-8 Condition Look up'!$A$3:$H$3,0)),"")</f>
        <v/>
      </c>
      <c r="AA169" s="79"/>
      <c r="AB169" s="343" t="str">
        <f>IF(AA169="","",IF(VLOOKUP(AA169,'G-3 Multipliers'!$L$3:$N$6,2,FALSE)=0,"Spatial Data Missing",VLOOKUP(AA169,'G-3 Multipliers'!$L$3:$N$6,2,FALSE)))</f>
        <v/>
      </c>
      <c r="AC169" s="345" t="str">
        <f>IF(AA169="","",IF(VLOOKUP(AA169,'G-3 Multipliers'!$L$3:$N$6,3,FALSE)=0,"Spatial Data Missing",VLOOKUP(AA169,'G-3 Multipliers'!$L$3:$N$6,3,FALSE)))</f>
        <v/>
      </c>
      <c r="AD169" s="351" t="str">
        <f t="shared" si="20"/>
        <v/>
      </c>
      <c r="AE169" s="94"/>
      <c r="AF169" s="94"/>
      <c r="AG169" s="343" t="str">
        <f t="shared" si="23"/>
        <v/>
      </c>
      <c r="AH169" s="591" t="str">
        <f t="shared" si="24"/>
        <v/>
      </c>
      <c r="AI169" s="353" t="str">
        <f>IF(AH169="Check Data","Check Data",IFERROR(VLOOKUP(AH169,'G-4 Temporal multipliers'!$A$4:$C$36,3,FALSE),""))</f>
        <v/>
      </c>
      <c r="AJ169" s="77" t="str">
        <f>IF(S169="","",VLOOKUP(S169,'G-3 Multipliers'!$A$2:$E$130,4,FALSE))</f>
        <v/>
      </c>
      <c r="AK169" s="348" t="str">
        <f t="shared" si="25"/>
        <v/>
      </c>
      <c r="AL169" s="348" t="str">
        <f t="shared" si="26"/>
        <v/>
      </c>
      <c r="AM169" s="607" t="str">
        <f>IFERROR(IF(F169="","",IF(AH169="Check Data","Check Data",VLOOKUP(AL169, 'G-3 Multipliers'!$P$2:$Q$6,2,FALSE))),””)</f>
        <v/>
      </c>
      <c r="AN169" s="81" t="str">
        <f t="shared" si="21"/>
        <v/>
      </c>
      <c r="AO169" s="355"/>
      <c r="AP169" s="356"/>
    </row>
    <row r="170" spans="1:42" x14ac:dyDescent="0.25">
      <c r="A170" s="52" t="str">
        <f>IF(E170="","",IF(ISNA(VLOOKUP($E170,'A-1 Site Habitat Baseline'!$D$1:$O$258,2,FALSE)),"",(VLOOKUP($E170,'A-1 Site Habitat Baseline'!$D$1:$O$258,2,FALSE))))</f>
        <v/>
      </c>
      <c r="B170" s="52" t="str">
        <f>IF(E170="","",IF(ISNA(VLOOKUP($E170,'A-1 Site Habitat Baseline'!$D$1:$O$258,3,FALSE)),"",(VLOOKUP($E170,'A-1 Site Habitat Baseline'!$D$1:$O$258,3,FALSE))))</f>
        <v/>
      </c>
      <c r="C170" s="52" t="str">
        <f>IFERROR(INDEX('G-8 Condition Look up'!$I$4:$I$131,MATCH(S170,'G-8 Condition Look up'!$A$4:$A$131,0)),"")</f>
        <v/>
      </c>
      <c r="E170" s="342" t="str">
        <f>'A-1 Site Habitat Baseline'!AL169</f>
        <v/>
      </c>
      <c r="F170" s="343" t="str">
        <f>IF(E170="","",IF(ISNA(VLOOKUP($E170,'A-1 Site Habitat Baseline'!$D$1:$O$258,4,FALSE)),"",(VLOOKUP($E170,'A-1 Site Habitat Baseline'!$D$1:$O$258,4,FALSE))))</f>
        <v/>
      </c>
      <c r="G170" s="343" t="str">
        <f>IF(E170="","",IF(ISNA(VLOOKUP($E170,'A-1 Site Habitat Baseline'!$D$1:$O$258,5,FALSE)),"",(VLOOKUP($E170,'A-1 Site Habitat Baseline'!$D$1:$O$258,5,FALSE))))</f>
        <v/>
      </c>
      <c r="H170" s="343" t="str">
        <f>IF(E170="","",IF(ISNA(VLOOKUP($E170,'A-1 Site Habitat Baseline'!$D$1:$O$258,6,FALSE)),"",(VLOOKUP($E170,'A-1 Site Habitat Baseline'!$D$1:$O$258,6,FALSE))))</f>
        <v/>
      </c>
      <c r="I170" s="343" t="str">
        <f>IF(E170="","",IF(ISNA(VLOOKUP($E170,'A-1 Site Habitat Baseline'!$D$1:$O$258,7,FALSE)),"",(VLOOKUP($E170,'A-1 Site Habitat Baseline'!$D$1:$O$258,7,FALSE))))</f>
        <v/>
      </c>
      <c r="J170" s="343" t="str">
        <f>IF(E170="","",IF(ISNA(VLOOKUP($E170,'A-1 Site Habitat Baseline'!$D$1:$O$258,8,FALSE)),"",(VLOOKUP($E170,'A-1 Site Habitat Baseline'!$D$1:$O$258,8,FALSE))))</f>
        <v/>
      </c>
      <c r="K170" s="343" t="str">
        <f>IF(E170="","",IF(ISNA(VLOOKUP($E170,'A-1 Site Habitat Baseline'!$D$1:$O$258,9,FALSE)),"",(VLOOKUP($E170,'A-1 Site Habitat Baseline'!$D$1:$O$258,9,FALSE))))</f>
        <v/>
      </c>
      <c r="L170" s="343" t="str">
        <f>IF(E170="","",IF(ISNA(VLOOKUP($E170,'A-1 Site Habitat Baseline'!$D$1:$O$258,11,FALSE)),"",(VLOOKUP($E170,'A-1 Site Habitat Baseline'!$D$1:$O$258,11,FALSE))))</f>
        <v/>
      </c>
      <c r="M170" s="343" t="str">
        <f>IF(E170="","",IF(ISNA(VLOOKUP($E170,'A-1 Site Habitat Baseline'!$D$1:$O$258,12,FALSE)),"",(VLOOKUP($E170,'A-1 Site Habitat Baseline'!$D$1:$O$258,12,FALSE))))</f>
        <v/>
      </c>
      <c r="N170" s="344" t="str">
        <f>IF(E170="","",IF(ISNA(VLOOKUP($E170,'A-1 Site Habitat Baseline'!$D$1:$X$258,14,FALSE)),"",(VLOOKUP($E170,'A-1 Site Habitat Baseline'!$D$1:$X$258,14,FALSE))))</f>
        <v/>
      </c>
      <c r="O170" s="345" t="str">
        <f>IF(E170="","",IF(ISNA(VLOOKUP($E170,'A-1 Site Habitat Baseline'!$D$1:$X$258,16,FALSE)),"",(VLOOKUP($E170,'A-1 Site Habitat Baseline'!$D$1:$X$258,13,FALSE))))</f>
        <v/>
      </c>
      <c r="P170" s="346" t="str">
        <f>IFERROR(INDEX('G-1 All Habitats'!$AG$3:$AG$15,MATCH(Q170,'G-1 All Habitats'!$AF$3:$AF$15,0)),"")</f>
        <v/>
      </c>
      <c r="Q170" s="347"/>
      <c r="R170" s="347"/>
      <c r="S170" s="605" t="str">
        <f>IFERROR(INDEX('G-1 All Habitats'!$B$3:$B$130,MATCH(R170,'G-1 All Habitats'!$A$3:$A$130,0)),"")</f>
        <v/>
      </c>
      <c r="T170" s="77" t="str">
        <f t="shared" si="27"/>
        <v/>
      </c>
      <c r="U170" s="78" t="str">
        <f t="shared" si="22"/>
        <v/>
      </c>
      <c r="V170" s="350" t="str">
        <f t="shared" si="19"/>
        <v/>
      </c>
      <c r="W170" s="343" t="str">
        <f>IF(S170="","",VLOOKUP(S170,'G-1 All Habitats'!$B$2:$M$130,10,FALSE))</f>
        <v/>
      </c>
      <c r="X170" s="343" t="str">
        <f>IFERROR(VLOOKUP(W170,'G-1 All Habitats'!$V$3:$W$7,2,FALSE),"")</f>
        <v/>
      </c>
      <c r="Y170" s="91"/>
      <c r="Z170" s="345" t="str">
        <f>IFERROR(INDEX('G-8 Condition Look up'!$A$3:$H$131,MATCH(S170,'G-8 Condition Look up'!$A$3:$A$131,0),MATCH(Y170,'G-8 Condition Look up'!$A$3:$H$3,0)),"")</f>
        <v/>
      </c>
      <c r="AA170" s="79"/>
      <c r="AB170" s="343" t="str">
        <f>IF(AA170="","",IF(VLOOKUP(AA170,'G-3 Multipliers'!$L$3:$N$6,2,FALSE)=0,"Spatial Data Missing",VLOOKUP(AA170,'G-3 Multipliers'!$L$3:$N$6,2,FALSE)))</f>
        <v/>
      </c>
      <c r="AC170" s="345" t="str">
        <f>IF(AA170="","",IF(VLOOKUP(AA170,'G-3 Multipliers'!$L$3:$N$6,3,FALSE)=0,"Spatial Data Missing",VLOOKUP(AA170,'G-3 Multipliers'!$L$3:$N$6,3,FALSE)))</f>
        <v/>
      </c>
      <c r="AD170" s="351" t="str">
        <f t="shared" si="20"/>
        <v/>
      </c>
      <c r="AE170" s="94"/>
      <c r="AF170" s="94"/>
      <c r="AG170" s="343" t="str">
        <f t="shared" si="23"/>
        <v/>
      </c>
      <c r="AH170" s="591" t="str">
        <f t="shared" si="24"/>
        <v/>
      </c>
      <c r="AI170" s="353" t="str">
        <f>IF(AH170="Check Data","Check Data",IFERROR(VLOOKUP(AH170,'G-4 Temporal multipliers'!$A$4:$C$36,3,FALSE),""))</f>
        <v/>
      </c>
      <c r="AJ170" s="77" t="str">
        <f>IF(S170="","",VLOOKUP(S170,'G-3 Multipliers'!$A$2:$E$130,4,FALSE))</f>
        <v/>
      </c>
      <c r="AK170" s="348" t="str">
        <f t="shared" si="25"/>
        <v/>
      </c>
      <c r="AL170" s="348" t="str">
        <f t="shared" si="26"/>
        <v/>
      </c>
      <c r="AM170" s="607" t="str">
        <f>IFERROR(IF(F170="","",IF(AH170="Check Data","Check Data",VLOOKUP(AL170, 'G-3 Multipliers'!$P$2:$Q$6,2,FALSE))),””)</f>
        <v/>
      </c>
      <c r="AN170" s="81" t="str">
        <f t="shared" si="21"/>
        <v/>
      </c>
      <c r="AO170" s="355"/>
      <c r="AP170" s="356"/>
    </row>
    <row r="171" spans="1:42" x14ac:dyDescent="0.25">
      <c r="A171" s="52" t="str">
        <f>IF(E171="","",IF(ISNA(VLOOKUP($E171,'A-1 Site Habitat Baseline'!$D$1:$O$258,2,FALSE)),"",(VLOOKUP($E171,'A-1 Site Habitat Baseline'!$D$1:$O$258,2,FALSE))))</f>
        <v/>
      </c>
      <c r="B171" s="52" t="str">
        <f>IF(E171="","",IF(ISNA(VLOOKUP($E171,'A-1 Site Habitat Baseline'!$D$1:$O$258,3,FALSE)),"",(VLOOKUP($E171,'A-1 Site Habitat Baseline'!$D$1:$O$258,3,FALSE))))</f>
        <v/>
      </c>
      <c r="C171" s="52" t="str">
        <f>IFERROR(INDEX('G-8 Condition Look up'!$I$4:$I$131,MATCH(S171,'G-8 Condition Look up'!$A$4:$A$131,0)),"")</f>
        <v/>
      </c>
      <c r="E171" s="342" t="str">
        <f>'A-1 Site Habitat Baseline'!AL170</f>
        <v/>
      </c>
      <c r="F171" s="343" t="str">
        <f>IF(E171="","",IF(ISNA(VLOOKUP($E171,'A-1 Site Habitat Baseline'!$D$1:$O$258,4,FALSE)),"",(VLOOKUP($E171,'A-1 Site Habitat Baseline'!$D$1:$O$258,4,FALSE))))</f>
        <v/>
      </c>
      <c r="G171" s="343" t="str">
        <f>IF(E171="","",IF(ISNA(VLOOKUP($E171,'A-1 Site Habitat Baseline'!$D$1:$O$258,5,FALSE)),"",(VLOOKUP($E171,'A-1 Site Habitat Baseline'!$D$1:$O$258,5,FALSE))))</f>
        <v/>
      </c>
      <c r="H171" s="343" t="str">
        <f>IF(E171="","",IF(ISNA(VLOOKUP($E171,'A-1 Site Habitat Baseline'!$D$1:$O$258,6,FALSE)),"",(VLOOKUP($E171,'A-1 Site Habitat Baseline'!$D$1:$O$258,6,FALSE))))</f>
        <v/>
      </c>
      <c r="I171" s="343" t="str">
        <f>IF(E171="","",IF(ISNA(VLOOKUP($E171,'A-1 Site Habitat Baseline'!$D$1:$O$258,7,FALSE)),"",(VLOOKUP($E171,'A-1 Site Habitat Baseline'!$D$1:$O$258,7,FALSE))))</f>
        <v/>
      </c>
      <c r="J171" s="343" t="str">
        <f>IF(E171="","",IF(ISNA(VLOOKUP($E171,'A-1 Site Habitat Baseline'!$D$1:$O$258,8,FALSE)),"",(VLOOKUP($E171,'A-1 Site Habitat Baseline'!$D$1:$O$258,8,FALSE))))</f>
        <v/>
      </c>
      <c r="K171" s="343" t="str">
        <f>IF(E171="","",IF(ISNA(VLOOKUP($E171,'A-1 Site Habitat Baseline'!$D$1:$O$258,9,FALSE)),"",(VLOOKUP($E171,'A-1 Site Habitat Baseline'!$D$1:$O$258,9,FALSE))))</f>
        <v/>
      </c>
      <c r="L171" s="343" t="str">
        <f>IF(E171="","",IF(ISNA(VLOOKUP($E171,'A-1 Site Habitat Baseline'!$D$1:$O$258,11,FALSE)),"",(VLOOKUP($E171,'A-1 Site Habitat Baseline'!$D$1:$O$258,11,FALSE))))</f>
        <v/>
      </c>
      <c r="M171" s="343" t="str">
        <f>IF(E171="","",IF(ISNA(VLOOKUP($E171,'A-1 Site Habitat Baseline'!$D$1:$O$258,12,FALSE)),"",(VLOOKUP($E171,'A-1 Site Habitat Baseline'!$D$1:$O$258,12,FALSE))))</f>
        <v/>
      </c>
      <c r="N171" s="344" t="str">
        <f>IF(E171="","",IF(ISNA(VLOOKUP($E171,'A-1 Site Habitat Baseline'!$D$1:$X$258,14,FALSE)),"",(VLOOKUP($E171,'A-1 Site Habitat Baseline'!$D$1:$X$258,14,FALSE))))</f>
        <v/>
      </c>
      <c r="O171" s="345" t="str">
        <f>IF(E171="","",IF(ISNA(VLOOKUP($E171,'A-1 Site Habitat Baseline'!$D$1:$X$258,16,FALSE)),"",(VLOOKUP($E171,'A-1 Site Habitat Baseline'!$D$1:$X$258,13,FALSE))))</f>
        <v/>
      </c>
      <c r="P171" s="346" t="str">
        <f>IFERROR(INDEX('G-1 All Habitats'!$AG$3:$AG$15,MATCH(Q171,'G-1 All Habitats'!$AF$3:$AF$15,0)),"")</f>
        <v/>
      </c>
      <c r="Q171" s="347"/>
      <c r="R171" s="347"/>
      <c r="S171" s="605" t="str">
        <f>IFERROR(INDEX('G-1 All Habitats'!$B$3:$B$130,MATCH(R171,'G-1 All Habitats'!$A$3:$A$130,0)),"")</f>
        <v/>
      </c>
      <c r="T171" s="77" t="str">
        <f t="shared" si="27"/>
        <v/>
      </c>
      <c r="U171" s="78" t="str">
        <f t="shared" si="22"/>
        <v/>
      </c>
      <c r="V171" s="350" t="str">
        <f t="shared" si="19"/>
        <v/>
      </c>
      <c r="W171" s="343" t="str">
        <f>IF(S171="","",VLOOKUP(S171,'G-1 All Habitats'!$B$2:$M$130,10,FALSE))</f>
        <v/>
      </c>
      <c r="X171" s="343" t="str">
        <f>IFERROR(VLOOKUP(W171,'G-1 All Habitats'!$V$3:$W$7,2,FALSE),"")</f>
        <v/>
      </c>
      <c r="Y171" s="91"/>
      <c r="Z171" s="345" t="str">
        <f>IFERROR(INDEX('G-8 Condition Look up'!$A$3:$H$131,MATCH(S171,'G-8 Condition Look up'!$A$3:$A$131,0),MATCH(Y171,'G-8 Condition Look up'!$A$3:$H$3,0)),"")</f>
        <v/>
      </c>
      <c r="AA171" s="79"/>
      <c r="AB171" s="343" t="str">
        <f>IF(AA171="","",IF(VLOOKUP(AA171,'G-3 Multipliers'!$L$3:$N$6,2,FALSE)=0,"Spatial Data Missing",VLOOKUP(AA171,'G-3 Multipliers'!$L$3:$N$6,2,FALSE)))</f>
        <v/>
      </c>
      <c r="AC171" s="345" t="str">
        <f>IF(AA171="","",IF(VLOOKUP(AA171,'G-3 Multipliers'!$L$3:$N$6,3,FALSE)=0,"Spatial Data Missing",VLOOKUP(AA171,'G-3 Multipliers'!$L$3:$N$6,3,FALSE)))</f>
        <v/>
      </c>
      <c r="AD171" s="351" t="str">
        <f t="shared" si="20"/>
        <v/>
      </c>
      <c r="AE171" s="94"/>
      <c r="AF171" s="94"/>
      <c r="AG171" s="343" t="str">
        <f t="shared" si="23"/>
        <v/>
      </c>
      <c r="AH171" s="591" t="str">
        <f t="shared" si="24"/>
        <v/>
      </c>
      <c r="AI171" s="353" t="str">
        <f>IF(AH171="Check Data","Check Data",IFERROR(VLOOKUP(AH171,'G-4 Temporal multipliers'!$A$4:$C$36,3,FALSE),""))</f>
        <v/>
      </c>
      <c r="AJ171" s="77" t="str">
        <f>IF(S171="","",VLOOKUP(S171,'G-3 Multipliers'!$A$2:$E$130,4,FALSE))</f>
        <v/>
      </c>
      <c r="AK171" s="348" t="str">
        <f t="shared" si="25"/>
        <v/>
      </c>
      <c r="AL171" s="348" t="str">
        <f t="shared" si="26"/>
        <v/>
      </c>
      <c r="AM171" s="607" t="str">
        <f>IFERROR(IF(F171="","",IF(AH171="Check Data","Check Data",VLOOKUP(AL171, 'G-3 Multipliers'!$P$2:$Q$6,2,FALSE))),””)</f>
        <v/>
      </c>
      <c r="AN171" s="81" t="str">
        <f t="shared" si="21"/>
        <v/>
      </c>
      <c r="AO171" s="355"/>
      <c r="AP171" s="356"/>
    </row>
    <row r="172" spans="1:42" x14ac:dyDescent="0.25">
      <c r="A172" s="52" t="str">
        <f>IF(E172="","",IF(ISNA(VLOOKUP($E172,'A-1 Site Habitat Baseline'!$D$1:$O$258,2,FALSE)),"",(VLOOKUP($E172,'A-1 Site Habitat Baseline'!$D$1:$O$258,2,FALSE))))</f>
        <v/>
      </c>
      <c r="B172" s="52" t="str">
        <f>IF(E172="","",IF(ISNA(VLOOKUP($E172,'A-1 Site Habitat Baseline'!$D$1:$O$258,3,FALSE)),"",(VLOOKUP($E172,'A-1 Site Habitat Baseline'!$D$1:$O$258,3,FALSE))))</f>
        <v/>
      </c>
      <c r="C172" s="52" t="str">
        <f>IFERROR(INDEX('G-8 Condition Look up'!$I$4:$I$131,MATCH(S172,'G-8 Condition Look up'!$A$4:$A$131,0)),"")</f>
        <v/>
      </c>
      <c r="E172" s="342" t="str">
        <f>'A-1 Site Habitat Baseline'!AL171</f>
        <v/>
      </c>
      <c r="F172" s="343" t="str">
        <f>IF(E172="","",IF(ISNA(VLOOKUP($E172,'A-1 Site Habitat Baseline'!$D$1:$O$258,4,FALSE)),"",(VLOOKUP($E172,'A-1 Site Habitat Baseline'!$D$1:$O$258,4,FALSE))))</f>
        <v/>
      </c>
      <c r="G172" s="343" t="str">
        <f>IF(E172="","",IF(ISNA(VLOOKUP($E172,'A-1 Site Habitat Baseline'!$D$1:$O$258,5,FALSE)),"",(VLOOKUP($E172,'A-1 Site Habitat Baseline'!$D$1:$O$258,5,FALSE))))</f>
        <v/>
      </c>
      <c r="H172" s="343" t="str">
        <f>IF(E172="","",IF(ISNA(VLOOKUP($E172,'A-1 Site Habitat Baseline'!$D$1:$O$258,6,FALSE)),"",(VLOOKUP($E172,'A-1 Site Habitat Baseline'!$D$1:$O$258,6,FALSE))))</f>
        <v/>
      </c>
      <c r="I172" s="343" t="str">
        <f>IF(E172="","",IF(ISNA(VLOOKUP($E172,'A-1 Site Habitat Baseline'!$D$1:$O$258,7,FALSE)),"",(VLOOKUP($E172,'A-1 Site Habitat Baseline'!$D$1:$O$258,7,FALSE))))</f>
        <v/>
      </c>
      <c r="J172" s="343" t="str">
        <f>IF(E172="","",IF(ISNA(VLOOKUP($E172,'A-1 Site Habitat Baseline'!$D$1:$O$258,8,FALSE)),"",(VLOOKUP($E172,'A-1 Site Habitat Baseline'!$D$1:$O$258,8,FALSE))))</f>
        <v/>
      </c>
      <c r="K172" s="343" t="str">
        <f>IF(E172="","",IF(ISNA(VLOOKUP($E172,'A-1 Site Habitat Baseline'!$D$1:$O$258,9,FALSE)),"",(VLOOKUP($E172,'A-1 Site Habitat Baseline'!$D$1:$O$258,9,FALSE))))</f>
        <v/>
      </c>
      <c r="L172" s="343" t="str">
        <f>IF(E172="","",IF(ISNA(VLOOKUP($E172,'A-1 Site Habitat Baseline'!$D$1:$O$258,11,FALSE)),"",(VLOOKUP($E172,'A-1 Site Habitat Baseline'!$D$1:$O$258,11,FALSE))))</f>
        <v/>
      </c>
      <c r="M172" s="343" t="str">
        <f>IF(E172="","",IF(ISNA(VLOOKUP($E172,'A-1 Site Habitat Baseline'!$D$1:$O$258,12,FALSE)),"",(VLOOKUP($E172,'A-1 Site Habitat Baseline'!$D$1:$O$258,12,FALSE))))</f>
        <v/>
      </c>
      <c r="N172" s="344" t="str">
        <f>IF(E172="","",IF(ISNA(VLOOKUP($E172,'A-1 Site Habitat Baseline'!$D$1:$X$258,14,FALSE)),"",(VLOOKUP($E172,'A-1 Site Habitat Baseline'!$D$1:$X$258,14,FALSE))))</f>
        <v/>
      </c>
      <c r="O172" s="345" t="str">
        <f>IF(E172="","",IF(ISNA(VLOOKUP($E172,'A-1 Site Habitat Baseline'!$D$1:$X$258,16,FALSE)),"",(VLOOKUP($E172,'A-1 Site Habitat Baseline'!$D$1:$X$258,13,FALSE))))</f>
        <v/>
      </c>
      <c r="P172" s="346" t="str">
        <f>IFERROR(INDEX('G-1 All Habitats'!$AG$3:$AG$15,MATCH(Q172,'G-1 All Habitats'!$AF$3:$AF$15,0)),"")</f>
        <v/>
      </c>
      <c r="Q172" s="347"/>
      <c r="R172" s="347"/>
      <c r="S172" s="605" t="str">
        <f>IFERROR(INDEX('G-1 All Habitats'!$B$3:$B$130,MATCH(R172,'G-1 All Habitats'!$A$3:$A$130,0)),"")</f>
        <v/>
      </c>
      <c r="T172" s="77" t="str">
        <f t="shared" si="27"/>
        <v/>
      </c>
      <c r="U172" s="78" t="str">
        <f t="shared" si="22"/>
        <v/>
      </c>
      <c r="V172" s="350" t="str">
        <f t="shared" si="19"/>
        <v/>
      </c>
      <c r="W172" s="343" t="str">
        <f>IF(S172="","",VLOOKUP(S172,'G-1 All Habitats'!$B$2:$M$130,10,FALSE))</f>
        <v/>
      </c>
      <c r="X172" s="343" t="str">
        <f>IFERROR(VLOOKUP(W172,'G-1 All Habitats'!$V$3:$W$7,2,FALSE),"")</f>
        <v/>
      </c>
      <c r="Y172" s="91"/>
      <c r="Z172" s="345" t="str">
        <f>IFERROR(INDEX('G-8 Condition Look up'!$A$3:$H$131,MATCH(S172,'G-8 Condition Look up'!$A$3:$A$131,0),MATCH(Y172,'G-8 Condition Look up'!$A$3:$H$3,0)),"")</f>
        <v/>
      </c>
      <c r="AA172" s="79"/>
      <c r="AB172" s="343" t="str">
        <f>IF(AA172="","",IF(VLOOKUP(AA172,'G-3 Multipliers'!$L$3:$N$6,2,FALSE)=0,"Spatial Data Missing",VLOOKUP(AA172,'G-3 Multipliers'!$L$3:$N$6,2,FALSE)))</f>
        <v/>
      </c>
      <c r="AC172" s="345" t="str">
        <f>IF(AA172="","",IF(VLOOKUP(AA172,'G-3 Multipliers'!$L$3:$N$6,3,FALSE)=0,"Spatial Data Missing",VLOOKUP(AA172,'G-3 Multipliers'!$L$3:$N$6,3,FALSE)))</f>
        <v/>
      </c>
      <c r="AD172" s="351" t="str">
        <f t="shared" si="20"/>
        <v/>
      </c>
      <c r="AE172" s="94"/>
      <c r="AF172" s="94"/>
      <c r="AG172" s="343" t="str">
        <f t="shared" si="23"/>
        <v/>
      </c>
      <c r="AH172" s="591" t="str">
        <f t="shared" si="24"/>
        <v/>
      </c>
      <c r="AI172" s="353" t="str">
        <f>IF(AH172="Check Data","Check Data",IFERROR(VLOOKUP(AH172,'G-4 Temporal multipliers'!$A$4:$C$36,3,FALSE),""))</f>
        <v/>
      </c>
      <c r="AJ172" s="77" t="str">
        <f>IF(S172="","",VLOOKUP(S172,'G-3 Multipliers'!$A$2:$E$130,4,FALSE))</f>
        <v/>
      </c>
      <c r="AK172" s="348" t="str">
        <f t="shared" si="25"/>
        <v/>
      </c>
      <c r="AL172" s="348" t="str">
        <f t="shared" si="26"/>
        <v/>
      </c>
      <c r="AM172" s="607" t="str">
        <f>IFERROR(IF(F172="","",IF(AH172="Check Data","Check Data",VLOOKUP(AL172, 'G-3 Multipliers'!$P$2:$Q$6,2,FALSE))),””)</f>
        <v/>
      </c>
      <c r="AN172" s="81" t="str">
        <f t="shared" si="21"/>
        <v/>
      </c>
      <c r="AO172" s="355"/>
      <c r="AP172" s="356"/>
    </row>
    <row r="173" spans="1:42" x14ac:dyDescent="0.25">
      <c r="A173" s="52" t="str">
        <f>IF(E173="","",IF(ISNA(VLOOKUP($E173,'A-1 Site Habitat Baseline'!$D$1:$O$258,2,FALSE)),"",(VLOOKUP($E173,'A-1 Site Habitat Baseline'!$D$1:$O$258,2,FALSE))))</f>
        <v/>
      </c>
      <c r="B173" s="52" t="str">
        <f>IF(E173="","",IF(ISNA(VLOOKUP($E173,'A-1 Site Habitat Baseline'!$D$1:$O$258,3,FALSE)),"",(VLOOKUP($E173,'A-1 Site Habitat Baseline'!$D$1:$O$258,3,FALSE))))</f>
        <v/>
      </c>
      <c r="C173" s="52" t="str">
        <f>IFERROR(INDEX('G-8 Condition Look up'!$I$4:$I$131,MATCH(S173,'G-8 Condition Look up'!$A$4:$A$131,0)),"")</f>
        <v/>
      </c>
      <c r="E173" s="342" t="str">
        <f>'A-1 Site Habitat Baseline'!AL172</f>
        <v/>
      </c>
      <c r="F173" s="343" t="str">
        <f>IF(E173="","",IF(ISNA(VLOOKUP($E173,'A-1 Site Habitat Baseline'!$D$1:$O$258,4,FALSE)),"",(VLOOKUP($E173,'A-1 Site Habitat Baseline'!$D$1:$O$258,4,FALSE))))</f>
        <v/>
      </c>
      <c r="G173" s="343" t="str">
        <f>IF(E173="","",IF(ISNA(VLOOKUP($E173,'A-1 Site Habitat Baseline'!$D$1:$O$258,5,FALSE)),"",(VLOOKUP($E173,'A-1 Site Habitat Baseline'!$D$1:$O$258,5,FALSE))))</f>
        <v/>
      </c>
      <c r="H173" s="343" t="str">
        <f>IF(E173="","",IF(ISNA(VLOOKUP($E173,'A-1 Site Habitat Baseline'!$D$1:$O$258,6,FALSE)),"",(VLOOKUP($E173,'A-1 Site Habitat Baseline'!$D$1:$O$258,6,FALSE))))</f>
        <v/>
      </c>
      <c r="I173" s="343" t="str">
        <f>IF(E173="","",IF(ISNA(VLOOKUP($E173,'A-1 Site Habitat Baseline'!$D$1:$O$258,7,FALSE)),"",(VLOOKUP($E173,'A-1 Site Habitat Baseline'!$D$1:$O$258,7,FALSE))))</f>
        <v/>
      </c>
      <c r="J173" s="343" t="str">
        <f>IF(E173="","",IF(ISNA(VLOOKUP($E173,'A-1 Site Habitat Baseline'!$D$1:$O$258,8,FALSE)),"",(VLOOKUP($E173,'A-1 Site Habitat Baseline'!$D$1:$O$258,8,FALSE))))</f>
        <v/>
      </c>
      <c r="K173" s="343" t="str">
        <f>IF(E173="","",IF(ISNA(VLOOKUP($E173,'A-1 Site Habitat Baseline'!$D$1:$O$258,9,FALSE)),"",(VLOOKUP($E173,'A-1 Site Habitat Baseline'!$D$1:$O$258,9,FALSE))))</f>
        <v/>
      </c>
      <c r="L173" s="343" t="str">
        <f>IF(E173="","",IF(ISNA(VLOOKUP($E173,'A-1 Site Habitat Baseline'!$D$1:$O$258,11,FALSE)),"",(VLOOKUP($E173,'A-1 Site Habitat Baseline'!$D$1:$O$258,11,FALSE))))</f>
        <v/>
      </c>
      <c r="M173" s="343" t="str">
        <f>IF(E173="","",IF(ISNA(VLOOKUP($E173,'A-1 Site Habitat Baseline'!$D$1:$O$258,12,FALSE)),"",(VLOOKUP($E173,'A-1 Site Habitat Baseline'!$D$1:$O$258,12,FALSE))))</f>
        <v/>
      </c>
      <c r="N173" s="344" t="str">
        <f>IF(E173="","",IF(ISNA(VLOOKUP($E173,'A-1 Site Habitat Baseline'!$D$1:$X$258,14,FALSE)),"",(VLOOKUP($E173,'A-1 Site Habitat Baseline'!$D$1:$X$258,14,FALSE))))</f>
        <v/>
      </c>
      <c r="O173" s="345" t="str">
        <f>IF(E173="","",IF(ISNA(VLOOKUP($E173,'A-1 Site Habitat Baseline'!$D$1:$X$258,16,FALSE)),"",(VLOOKUP($E173,'A-1 Site Habitat Baseline'!$D$1:$X$258,13,FALSE))))</f>
        <v/>
      </c>
      <c r="P173" s="346" t="str">
        <f>IFERROR(INDEX('G-1 All Habitats'!$AG$3:$AG$15,MATCH(Q173,'G-1 All Habitats'!$AF$3:$AF$15,0)),"")</f>
        <v/>
      </c>
      <c r="Q173" s="347"/>
      <c r="R173" s="347"/>
      <c r="S173" s="605" t="str">
        <f>IFERROR(INDEX('G-1 All Habitats'!$B$3:$B$130,MATCH(R173,'G-1 All Habitats'!$A$3:$A$130,0)),"")</f>
        <v/>
      </c>
      <c r="T173" s="77" t="str">
        <f t="shared" si="27"/>
        <v/>
      </c>
      <c r="U173" s="78" t="str">
        <f t="shared" si="22"/>
        <v/>
      </c>
      <c r="V173" s="350" t="str">
        <f t="shared" si="19"/>
        <v/>
      </c>
      <c r="W173" s="343" t="str">
        <f>IF(S173="","",VLOOKUP(S173,'G-1 All Habitats'!$B$2:$M$130,10,FALSE))</f>
        <v/>
      </c>
      <c r="X173" s="343" t="str">
        <f>IFERROR(VLOOKUP(W173,'G-1 All Habitats'!$V$3:$W$7,2,FALSE),"")</f>
        <v/>
      </c>
      <c r="Y173" s="91"/>
      <c r="Z173" s="345" t="str">
        <f>IFERROR(INDEX('G-8 Condition Look up'!$A$3:$H$131,MATCH(S173,'G-8 Condition Look up'!$A$3:$A$131,0),MATCH(Y173,'G-8 Condition Look up'!$A$3:$H$3,0)),"")</f>
        <v/>
      </c>
      <c r="AA173" s="79"/>
      <c r="AB173" s="343" t="str">
        <f>IF(AA173="","",IF(VLOOKUP(AA173,'G-3 Multipliers'!$L$3:$N$6,2,FALSE)=0,"Spatial Data Missing",VLOOKUP(AA173,'G-3 Multipliers'!$L$3:$N$6,2,FALSE)))</f>
        <v/>
      </c>
      <c r="AC173" s="345" t="str">
        <f>IF(AA173="","",IF(VLOOKUP(AA173,'G-3 Multipliers'!$L$3:$N$6,3,FALSE)=0,"Spatial Data Missing",VLOOKUP(AA173,'G-3 Multipliers'!$L$3:$N$6,3,FALSE)))</f>
        <v/>
      </c>
      <c r="AD173" s="351" t="str">
        <f t="shared" si="20"/>
        <v/>
      </c>
      <c r="AE173" s="94"/>
      <c r="AF173" s="94"/>
      <c r="AG173" s="343" t="str">
        <f t="shared" si="23"/>
        <v/>
      </c>
      <c r="AH173" s="591" t="str">
        <f t="shared" si="24"/>
        <v/>
      </c>
      <c r="AI173" s="353" t="str">
        <f>IF(AH173="Check Data","Check Data",IFERROR(VLOOKUP(AH173,'G-4 Temporal multipliers'!$A$4:$C$36,3,FALSE),""))</f>
        <v/>
      </c>
      <c r="AJ173" s="77" t="str">
        <f>IF(S173="","",VLOOKUP(S173,'G-3 Multipliers'!$A$2:$E$130,4,FALSE))</f>
        <v/>
      </c>
      <c r="AK173" s="348" t="str">
        <f t="shared" si="25"/>
        <v/>
      </c>
      <c r="AL173" s="348" t="str">
        <f t="shared" si="26"/>
        <v/>
      </c>
      <c r="AM173" s="607" t="str">
        <f>IFERROR(IF(F173="","",IF(AH173="Check Data","Check Data",VLOOKUP(AL173, 'G-3 Multipliers'!$P$2:$Q$6,2,FALSE))),””)</f>
        <v/>
      </c>
      <c r="AN173" s="81" t="str">
        <f t="shared" si="21"/>
        <v/>
      </c>
      <c r="AO173" s="355"/>
      <c r="AP173" s="356"/>
    </row>
    <row r="174" spans="1:42" x14ac:dyDescent="0.25">
      <c r="A174" s="52" t="str">
        <f>IF(E174="","",IF(ISNA(VLOOKUP($E174,'A-1 Site Habitat Baseline'!$D$1:$O$258,2,FALSE)),"",(VLOOKUP($E174,'A-1 Site Habitat Baseline'!$D$1:$O$258,2,FALSE))))</f>
        <v/>
      </c>
      <c r="B174" s="52" t="str">
        <f>IF(E174="","",IF(ISNA(VLOOKUP($E174,'A-1 Site Habitat Baseline'!$D$1:$O$258,3,FALSE)),"",(VLOOKUP($E174,'A-1 Site Habitat Baseline'!$D$1:$O$258,3,FALSE))))</f>
        <v/>
      </c>
      <c r="C174" s="52" t="str">
        <f>IFERROR(INDEX('G-8 Condition Look up'!$I$4:$I$131,MATCH(S174,'G-8 Condition Look up'!$A$4:$A$131,0)),"")</f>
        <v/>
      </c>
      <c r="E174" s="342" t="str">
        <f>'A-1 Site Habitat Baseline'!AL173</f>
        <v/>
      </c>
      <c r="F174" s="343" t="str">
        <f>IF(E174="","",IF(ISNA(VLOOKUP($E174,'A-1 Site Habitat Baseline'!$D$1:$O$258,4,FALSE)),"",(VLOOKUP($E174,'A-1 Site Habitat Baseline'!$D$1:$O$258,4,FALSE))))</f>
        <v/>
      </c>
      <c r="G174" s="343" t="str">
        <f>IF(E174="","",IF(ISNA(VLOOKUP($E174,'A-1 Site Habitat Baseline'!$D$1:$O$258,5,FALSE)),"",(VLOOKUP($E174,'A-1 Site Habitat Baseline'!$D$1:$O$258,5,FALSE))))</f>
        <v/>
      </c>
      <c r="H174" s="343" t="str">
        <f>IF(E174="","",IF(ISNA(VLOOKUP($E174,'A-1 Site Habitat Baseline'!$D$1:$O$258,6,FALSE)),"",(VLOOKUP($E174,'A-1 Site Habitat Baseline'!$D$1:$O$258,6,FALSE))))</f>
        <v/>
      </c>
      <c r="I174" s="343" t="str">
        <f>IF(E174="","",IF(ISNA(VLOOKUP($E174,'A-1 Site Habitat Baseline'!$D$1:$O$258,7,FALSE)),"",(VLOOKUP($E174,'A-1 Site Habitat Baseline'!$D$1:$O$258,7,FALSE))))</f>
        <v/>
      </c>
      <c r="J174" s="343" t="str">
        <f>IF(E174="","",IF(ISNA(VLOOKUP($E174,'A-1 Site Habitat Baseline'!$D$1:$O$258,8,FALSE)),"",(VLOOKUP($E174,'A-1 Site Habitat Baseline'!$D$1:$O$258,8,FALSE))))</f>
        <v/>
      </c>
      <c r="K174" s="343" t="str">
        <f>IF(E174="","",IF(ISNA(VLOOKUP($E174,'A-1 Site Habitat Baseline'!$D$1:$O$258,9,FALSE)),"",(VLOOKUP($E174,'A-1 Site Habitat Baseline'!$D$1:$O$258,9,FALSE))))</f>
        <v/>
      </c>
      <c r="L174" s="343" t="str">
        <f>IF(E174="","",IF(ISNA(VLOOKUP($E174,'A-1 Site Habitat Baseline'!$D$1:$O$258,11,FALSE)),"",(VLOOKUP($E174,'A-1 Site Habitat Baseline'!$D$1:$O$258,11,FALSE))))</f>
        <v/>
      </c>
      <c r="M174" s="343" t="str">
        <f>IF(E174="","",IF(ISNA(VLOOKUP($E174,'A-1 Site Habitat Baseline'!$D$1:$O$258,12,FALSE)),"",(VLOOKUP($E174,'A-1 Site Habitat Baseline'!$D$1:$O$258,12,FALSE))))</f>
        <v/>
      </c>
      <c r="N174" s="344" t="str">
        <f>IF(E174="","",IF(ISNA(VLOOKUP($E174,'A-1 Site Habitat Baseline'!$D$1:$X$258,14,FALSE)),"",(VLOOKUP($E174,'A-1 Site Habitat Baseline'!$D$1:$X$258,14,FALSE))))</f>
        <v/>
      </c>
      <c r="O174" s="345" t="str">
        <f>IF(E174="","",IF(ISNA(VLOOKUP($E174,'A-1 Site Habitat Baseline'!$D$1:$X$258,16,FALSE)),"",(VLOOKUP($E174,'A-1 Site Habitat Baseline'!$D$1:$X$258,13,FALSE))))</f>
        <v/>
      </c>
      <c r="P174" s="346" t="str">
        <f>IFERROR(INDEX('G-1 All Habitats'!$AG$3:$AG$15,MATCH(Q174,'G-1 All Habitats'!$AF$3:$AF$15,0)),"")</f>
        <v/>
      </c>
      <c r="Q174" s="347"/>
      <c r="R174" s="347"/>
      <c r="S174" s="605" t="str">
        <f>IFERROR(INDEX('G-1 All Habitats'!$B$3:$B$130,MATCH(R174,'G-1 All Habitats'!$A$3:$A$130,0)),"")</f>
        <v/>
      </c>
      <c r="T174" s="77" t="str">
        <f t="shared" si="27"/>
        <v/>
      </c>
      <c r="U174" s="78" t="str">
        <f t="shared" si="22"/>
        <v/>
      </c>
      <c r="V174" s="350" t="str">
        <f t="shared" si="19"/>
        <v/>
      </c>
      <c r="W174" s="343" t="str">
        <f>IF(S174="","",VLOOKUP(S174,'G-1 All Habitats'!$B$2:$M$130,10,FALSE))</f>
        <v/>
      </c>
      <c r="X174" s="343" t="str">
        <f>IFERROR(VLOOKUP(W174,'G-1 All Habitats'!$V$3:$W$7,2,FALSE),"")</f>
        <v/>
      </c>
      <c r="Y174" s="91"/>
      <c r="Z174" s="345" t="str">
        <f>IFERROR(INDEX('G-8 Condition Look up'!$A$3:$H$131,MATCH(S174,'G-8 Condition Look up'!$A$3:$A$131,0),MATCH(Y174,'G-8 Condition Look up'!$A$3:$H$3,0)),"")</f>
        <v/>
      </c>
      <c r="AA174" s="79"/>
      <c r="AB174" s="343" t="str">
        <f>IF(AA174="","",IF(VLOOKUP(AA174,'G-3 Multipliers'!$L$3:$N$6,2,FALSE)=0,"Spatial Data Missing",VLOOKUP(AA174,'G-3 Multipliers'!$L$3:$N$6,2,FALSE)))</f>
        <v/>
      </c>
      <c r="AC174" s="345" t="str">
        <f>IF(AA174="","",IF(VLOOKUP(AA174,'G-3 Multipliers'!$L$3:$N$6,3,FALSE)=0,"Spatial Data Missing",VLOOKUP(AA174,'G-3 Multipliers'!$L$3:$N$6,3,FALSE)))</f>
        <v/>
      </c>
      <c r="AD174" s="351" t="str">
        <f t="shared" si="20"/>
        <v/>
      </c>
      <c r="AE174" s="94"/>
      <c r="AF174" s="94"/>
      <c r="AG174" s="343" t="str">
        <f t="shared" si="23"/>
        <v/>
      </c>
      <c r="AH174" s="591" t="str">
        <f t="shared" si="24"/>
        <v/>
      </c>
      <c r="AI174" s="353" t="str">
        <f>IF(AH174="Check Data","Check Data",IFERROR(VLOOKUP(AH174,'G-4 Temporal multipliers'!$A$4:$C$36,3,FALSE),""))</f>
        <v/>
      </c>
      <c r="AJ174" s="77" t="str">
        <f>IF(S174="","",VLOOKUP(S174,'G-3 Multipliers'!$A$2:$E$130,4,FALSE))</f>
        <v/>
      </c>
      <c r="AK174" s="348" t="str">
        <f t="shared" si="25"/>
        <v/>
      </c>
      <c r="AL174" s="348" t="str">
        <f t="shared" si="26"/>
        <v/>
      </c>
      <c r="AM174" s="607" t="str">
        <f>IFERROR(IF(F174="","",IF(AH174="Check Data","Check Data",VLOOKUP(AL174, 'G-3 Multipliers'!$P$2:$Q$6,2,FALSE))),””)</f>
        <v/>
      </c>
      <c r="AN174" s="81" t="str">
        <f t="shared" si="21"/>
        <v/>
      </c>
      <c r="AO174" s="355"/>
      <c r="AP174" s="356"/>
    </row>
    <row r="175" spans="1:42" x14ac:dyDescent="0.25">
      <c r="A175" s="52" t="str">
        <f>IF(E175="","",IF(ISNA(VLOOKUP($E175,'A-1 Site Habitat Baseline'!$D$1:$O$258,2,FALSE)),"",(VLOOKUP($E175,'A-1 Site Habitat Baseline'!$D$1:$O$258,2,FALSE))))</f>
        <v/>
      </c>
      <c r="B175" s="52" t="str">
        <f>IF(E175="","",IF(ISNA(VLOOKUP($E175,'A-1 Site Habitat Baseline'!$D$1:$O$258,3,FALSE)),"",(VLOOKUP($E175,'A-1 Site Habitat Baseline'!$D$1:$O$258,3,FALSE))))</f>
        <v/>
      </c>
      <c r="C175" s="52" t="str">
        <f>IFERROR(INDEX('G-8 Condition Look up'!$I$4:$I$131,MATCH(S175,'G-8 Condition Look up'!$A$4:$A$131,0)),"")</f>
        <v/>
      </c>
      <c r="E175" s="342" t="str">
        <f>'A-1 Site Habitat Baseline'!AL174</f>
        <v/>
      </c>
      <c r="F175" s="343" t="str">
        <f>IF(E175="","",IF(ISNA(VLOOKUP($E175,'A-1 Site Habitat Baseline'!$D$1:$O$258,4,FALSE)),"",(VLOOKUP($E175,'A-1 Site Habitat Baseline'!$D$1:$O$258,4,FALSE))))</f>
        <v/>
      </c>
      <c r="G175" s="343" t="str">
        <f>IF(E175="","",IF(ISNA(VLOOKUP($E175,'A-1 Site Habitat Baseline'!$D$1:$O$258,5,FALSE)),"",(VLOOKUP($E175,'A-1 Site Habitat Baseline'!$D$1:$O$258,5,FALSE))))</f>
        <v/>
      </c>
      <c r="H175" s="343" t="str">
        <f>IF(E175="","",IF(ISNA(VLOOKUP($E175,'A-1 Site Habitat Baseline'!$D$1:$O$258,6,FALSE)),"",(VLOOKUP($E175,'A-1 Site Habitat Baseline'!$D$1:$O$258,6,FALSE))))</f>
        <v/>
      </c>
      <c r="I175" s="343" t="str">
        <f>IF(E175="","",IF(ISNA(VLOOKUP($E175,'A-1 Site Habitat Baseline'!$D$1:$O$258,7,FALSE)),"",(VLOOKUP($E175,'A-1 Site Habitat Baseline'!$D$1:$O$258,7,FALSE))))</f>
        <v/>
      </c>
      <c r="J175" s="343" t="str">
        <f>IF(E175="","",IF(ISNA(VLOOKUP($E175,'A-1 Site Habitat Baseline'!$D$1:$O$258,8,FALSE)),"",(VLOOKUP($E175,'A-1 Site Habitat Baseline'!$D$1:$O$258,8,FALSE))))</f>
        <v/>
      </c>
      <c r="K175" s="343" t="str">
        <f>IF(E175="","",IF(ISNA(VLOOKUP($E175,'A-1 Site Habitat Baseline'!$D$1:$O$258,9,FALSE)),"",(VLOOKUP($E175,'A-1 Site Habitat Baseline'!$D$1:$O$258,9,FALSE))))</f>
        <v/>
      </c>
      <c r="L175" s="343" t="str">
        <f>IF(E175="","",IF(ISNA(VLOOKUP($E175,'A-1 Site Habitat Baseline'!$D$1:$O$258,11,FALSE)),"",(VLOOKUP($E175,'A-1 Site Habitat Baseline'!$D$1:$O$258,11,FALSE))))</f>
        <v/>
      </c>
      <c r="M175" s="343" t="str">
        <f>IF(E175="","",IF(ISNA(VLOOKUP($E175,'A-1 Site Habitat Baseline'!$D$1:$O$258,12,FALSE)),"",(VLOOKUP($E175,'A-1 Site Habitat Baseline'!$D$1:$O$258,12,FALSE))))</f>
        <v/>
      </c>
      <c r="N175" s="344" t="str">
        <f>IF(E175="","",IF(ISNA(VLOOKUP($E175,'A-1 Site Habitat Baseline'!$D$1:$X$258,14,FALSE)),"",(VLOOKUP($E175,'A-1 Site Habitat Baseline'!$D$1:$X$258,14,FALSE))))</f>
        <v/>
      </c>
      <c r="O175" s="345" t="str">
        <f>IF(E175="","",IF(ISNA(VLOOKUP($E175,'A-1 Site Habitat Baseline'!$D$1:$X$258,16,FALSE)),"",(VLOOKUP($E175,'A-1 Site Habitat Baseline'!$D$1:$X$258,13,FALSE))))</f>
        <v/>
      </c>
      <c r="P175" s="346" t="str">
        <f>IFERROR(INDEX('G-1 All Habitats'!$AG$3:$AG$15,MATCH(Q175,'G-1 All Habitats'!$AF$3:$AF$15,0)),"")</f>
        <v/>
      </c>
      <c r="Q175" s="347"/>
      <c r="R175" s="347"/>
      <c r="S175" s="605" t="str">
        <f>IFERROR(INDEX('G-1 All Habitats'!$B$3:$B$130,MATCH(R175,'G-1 All Habitats'!$A$3:$A$130,0)),"")</f>
        <v/>
      </c>
      <c r="T175" s="77" t="str">
        <f t="shared" si="27"/>
        <v/>
      </c>
      <c r="U175" s="78" t="str">
        <f t="shared" si="22"/>
        <v/>
      </c>
      <c r="V175" s="350" t="str">
        <f t="shared" si="19"/>
        <v/>
      </c>
      <c r="W175" s="343" t="str">
        <f>IF(S175="","",VLOOKUP(S175,'G-1 All Habitats'!$B$2:$M$130,10,FALSE))</f>
        <v/>
      </c>
      <c r="X175" s="343" t="str">
        <f>IFERROR(VLOOKUP(W175,'G-1 All Habitats'!$V$3:$W$7,2,FALSE),"")</f>
        <v/>
      </c>
      <c r="Y175" s="91"/>
      <c r="Z175" s="345" t="str">
        <f>IFERROR(INDEX('G-8 Condition Look up'!$A$3:$H$131,MATCH(S175,'G-8 Condition Look up'!$A$3:$A$131,0),MATCH(Y175,'G-8 Condition Look up'!$A$3:$H$3,0)),"")</f>
        <v/>
      </c>
      <c r="AA175" s="79"/>
      <c r="AB175" s="343" t="str">
        <f>IF(AA175="","",IF(VLOOKUP(AA175,'G-3 Multipliers'!$L$3:$N$6,2,FALSE)=0,"Spatial Data Missing",VLOOKUP(AA175,'G-3 Multipliers'!$L$3:$N$6,2,FALSE)))</f>
        <v/>
      </c>
      <c r="AC175" s="345" t="str">
        <f>IF(AA175="","",IF(VLOOKUP(AA175,'G-3 Multipliers'!$L$3:$N$6,3,FALSE)=0,"Spatial Data Missing",VLOOKUP(AA175,'G-3 Multipliers'!$L$3:$N$6,3,FALSE)))</f>
        <v/>
      </c>
      <c r="AD175" s="351" t="str">
        <f t="shared" si="20"/>
        <v/>
      </c>
      <c r="AE175" s="94"/>
      <c r="AF175" s="94"/>
      <c r="AG175" s="343" t="str">
        <f t="shared" si="23"/>
        <v/>
      </c>
      <c r="AH175" s="591" t="str">
        <f t="shared" si="24"/>
        <v/>
      </c>
      <c r="AI175" s="353" t="str">
        <f>IF(AH175="Check Data","Check Data",IFERROR(VLOOKUP(AH175,'G-4 Temporal multipliers'!$A$4:$C$36,3,FALSE),""))</f>
        <v/>
      </c>
      <c r="AJ175" s="77" t="str">
        <f>IF(S175="","",VLOOKUP(S175,'G-3 Multipliers'!$A$2:$E$130,4,FALSE))</f>
        <v/>
      </c>
      <c r="AK175" s="348" t="str">
        <f t="shared" si="25"/>
        <v/>
      </c>
      <c r="AL175" s="348" t="str">
        <f t="shared" si="26"/>
        <v/>
      </c>
      <c r="AM175" s="607" t="str">
        <f>IFERROR(IF(F175="","",IF(AH175="Check Data","Check Data",VLOOKUP(AL175, 'G-3 Multipliers'!$P$2:$Q$6,2,FALSE))),””)</f>
        <v/>
      </c>
      <c r="AN175" s="81" t="str">
        <f t="shared" si="21"/>
        <v/>
      </c>
      <c r="AO175" s="355"/>
      <c r="AP175" s="356"/>
    </row>
    <row r="176" spans="1:42" x14ac:dyDescent="0.25">
      <c r="A176" s="52" t="str">
        <f>IF(E176="","",IF(ISNA(VLOOKUP($E176,'A-1 Site Habitat Baseline'!$D$1:$O$258,2,FALSE)),"",(VLOOKUP($E176,'A-1 Site Habitat Baseline'!$D$1:$O$258,2,FALSE))))</f>
        <v/>
      </c>
      <c r="B176" s="52" t="str">
        <f>IF(E176="","",IF(ISNA(VLOOKUP($E176,'A-1 Site Habitat Baseline'!$D$1:$O$258,3,FALSE)),"",(VLOOKUP($E176,'A-1 Site Habitat Baseline'!$D$1:$O$258,3,FALSE))))</f>
        <v/>
      </c>
      <c r="C176" s="52" t="str">
        <f>IFERROR(INDEX('G-8 Condition Look up'!$I$4:$I$131,MATCH(S176,'G-8 Condition Look up'!$A$4:$A$131,0)),"")</f>
        <v/>
      </c>
      <c r="E176" s="342" t="str">
        <f>'A-1 Site Habitat Baseline'!AL175</f>
        <v/>
      </c>
      <c r="F176" s="343" t="str">
        <f>IF(E176="","",IF(ISNA(VLOOKUP($E176,'A-1 Site Habitat Baseline'!$D$1:$O$258,4,FALSE)),"",(VLOOKUP($E176,'A-1 Site Habitat Baseline'!$D$1:$O$258,4,FALSE))))</f>
        <v/>
      </c>
      <c r="G176" s="343" t="str">
        <f>IF(E176="","",IF(ISNA(VLOOKUP($E176,'A-1 Site Habitat Baseline'!$D$1:$O$258,5,FALSE)),"",(VLOOKUP($E176,'A-1 Site Habitat Baseline'!$D$1:$O$258,5,FALSE))))</f>
        <v/>
      </c>
      <c r="H176" s="343" t="str">
        <f>IF(E176="","",IF(ISNA(VLOOKUP($E176,'A-1 Site Habitat Baseline'!$D$1:$O$258,6,FALSE)),"",(VLOOKUP($E176,'A-1 Site Habitat Baseline'!$D$1:$O$258,6,FALSE))))</f>
        <v/>
      </c>
      <c r="I176" s="343" t="str">
        <f>IF(E176="","",IF(ISNA(VLOOKUP($E176,'A-1 Site Habitat Baseline'!$D$1:$O$258,7,FALSE)),"",(VLOOKUP($E176,'A-1 Site Habitat Baseline'!$D$1:$O$258,7,FALSE))))</f>
        <v/>
      </c>
      <c r="J176" s="343" t="str">
        <f>IF(E176="","",IF(ISNA(VLOOKUP($E176,'A-1 Site Habitat Baseline'!$D$1:$O$258,8,FALSE)),"",(VLOOKUP($E176,'A-1 Site Habitat Baseline'!$D$1:$O$258,8,FALSE))))</f>
        <v/>
      </c>
      <c r="K176" s="343" t="str">
        <f>IF(E176="","",IF(ISNA(VLOOKUP($E176,'A-1 Site Habitat Baseline'!$D$1:$O$258,9,FALSE)),"",(VLOOKUP($E176,'A-1 Site Habitat Baseline'!$D$1:$O$258,9,FALSE))))</f>
        <v/>
      </c>
      <c r="L176" s="343" t="str">
        <f>IF(E176="","",IF(ISNA(VLOOKUP($E176,'A-1 Site Habitat Baseline'!$D$1:$O$258,11,FALSE)),"",(VLOOKUP($E176,'A-1 Site Habitat Baseline'!$D$1:$O$258,11,FALSE))))</f>
        <v/>
      </c>
      <c r="M176" s="343" t="str">
        <f>IF(E176="","",IF(ISNA(VLOOKUP($E176,'A-1 Site Habitat Baseline'!$D$1:$O$258,12,FALSE)),"",(VLOOKUP($E176,'A-1 Site Habitat Baseline'!$D$1:$O$258,12,FALSE))))</f>
        <v/>
      </c>
      <c r="N176" s="344" t="str">
        <f>IF(E176="","",IF(ISNA(VLOOKUP($E176,'A-1 Site Habitat Baseline'!$D$1:$X$258,14,FALSE)),"",(VLOOKUP($E176,'A-1 Site Habitat Baseline'!$D$1:$X$258,14,FALSE))))</f>
        <v/>
      </c>
      <c r="O176" s="345" t="str">
        <f>IF(E176="","",IF(ISNA(VLOOKUP($E176,'A-1 Site Habitat Baseline'!$D$1:$X$258,16,FALSE)),"",(VLOOKUP($E176,'A-1 Site Habitat Baseline'!$D$1:$X$258,13,FALSE))))</f>
        <v/>
      </c>
      <c r="P176" s="346" t="str">
        <f>IFERROR(INDEX('G-1 All Habitats'!$AG$3:$AG$15,MATCH(Q176,'G-1 All Habitats'!$AF$3:$AF$15,0)),"")</f>
        <v/>
      </c>
      <c r="Q176" s="347"/>
      <c r="R176" s="347"/>
      <c r="S176" s="605" t="str">
        <f>IFERROR(INDEX('G-1 All Habitats'!$B$3:$B$130,MATCH(R176,'G-1 All Habitats'!$A$3:$A$130,0)),"")</f>
        <v/>
      </c>
      <c r="T176" s="77" t="str">
        <f t="shared" si="27"/>
        <v/>
      </c>
      <c r="U176" s="78" t="str">
        <f t="shared" si="22"/>
        <v/>
      </c>
      <c r="V176" s="350" t="str">
        <f t="shared" si="19"/>
        <v/>
      </c>
      <c r="W176" s="343" t="str">
        <f>IF(S176="","",VLOOKUP(S176,'G-1 All Habitats'!$B$2:$M$130,10,FALSE))</f>
        <v/>
      </c>
      <c r="X176" s="343" t="str">
        <f>IFERROR(VLOOKUP(W176,'G-1 All Habitats'!$V$3:$W$7,2,FALSE),"")</f>
        <v/>
      </c>
      <c r="Y176" s="91"/>
      <c r="Z176" s="345" t="str">
        <f>IFERROR(INDEX('G-8 Condition Look up'!$A$3:$H$131,MATCH(S176,'G-8 Condition Look up'!$A$3:$A$131,0),MATCH(Y176,'G-8 Condition Look up'!$A$3:$H$3,0)),"")</f>
        <v/>
      </c>
      <c r="AA176" s="79"/>
      <c r="AB176" s="343" t="str">
        <f>IF(AA176="","",IF(VLOOKUP(AA176,'G-3 Multipliers'!$L$3:$N$6,2,FALSE)=0,"Spatial Data Missing",VLOOKUP(AA176,'G-3 Multipliers'!$L$3:$N$6,2,FALSE)))</f>
        <v/>
      </c>
      <c r="AC176" s="345" t="str">
        <f>IF(AA176="","",IF(VLOOKUP(AA176,'G-3 Multipliers'!$L$3:$N$6,3,FALSE)=0,"Spatial Data Missing",VLOOKUP(AA176,'G-3 Multipliers'!$L$3:$N$6,3,FALSE)))</f>
        <v/>
      </c>
      <c r="AD176" s="351" t="str">
        <f t="shared" si="20"/>
        <v/>
      </c>
      <c r="AE176" s="94"/>
      <c r="AF176" s="94"/>
      <c r="AG176" s="343" t="str">
        <f t="shared" si="23"/>
        <v/>
      </c>
      <c r="AH176" s="591" t="str">
        <f t="shared" si="24"/>
        <v/>
      </c>
      <c r="AI176" s="353" t="str">
        <f>IF(AH176="Check Data","Check Data",IFERROR(VLOOKUP(AH176,'G-4 Temporal multipliers'!$A$4:$C$36,3,FALSE),""))</f>
        <v/>
      </c>
      <c r="AJ176" s="77" t="str">
        <f>IF(S176="","",VLOOKUP(S176,'G-3 Multipliers'!$A$2:$E$130,4,FALSE))</f>
        <v/>
      </c>
      <c r="AK176" s="348" t="str">
        <f t="shared" si="25"/>
        <v/>
      </c>
      <c r="AL176" s="348" t="str">
        <f t="shared" si="26"/>
        <v/>
      </c>
      <c r="AM176" s="607" t="str">
        <f>IFERROR(IF(F176="","",IF(AH176="Check Data","Check Data",VLOOKUP(AL176, 'G-3 Multipliers'!$P$2:$Q$6,2,FALSE))),””)</f>
        <v/>
      </c>
      <c r="AN176" s="81" t="str">
        <f t="shared" si="21"/>
        <v/>
      </c>
      <c r="AO176" s="355"/>
      <c r="AP176" s="356"/>
    </row>
    <row r="177" spans="1:42" x14ac:dyDescent="0.25">
      <c r="A177" s="52" t="str">
        <f>IF(E177="","",IF(ISNA(VLOOKUP($E177,'A-1 Site Habitat Baseline'!$D$1:$O$258,2,FALSE)),"",(VLOOKUP($E177,'A-1 Site Habitat Baseline'!$D$1:$O$258,2,FALSE))))</f>
        <v/>
      </c>
      <c r="B177" s="52" t="str">
        <f>IF(E177="","",IF(ISNA(VLOOKUP($E177,'A-1 Site Habitat Baseline'!$D$1:$O$258,3,FALSE)),"",(VLOOKUP($E177,'A-1 Site Habitat Baseline'!$D$1:$O$258,3,FALSE))))</f>
        <v/>
      </c>
      <c r="C177" s="52" t="str">
        <f>IFERROR(INDEX('G-8 Condition Look up'!$I$4:$I$131,MATCH(S177,'G-8 Condition Look up'!$A$4:$A$131,0)),"")</f>
        <v/>
      </c>
      <c r="E177" s="342" t="str">
        <f>'A-1 Site Habitat Baseline'!AL176</f>
        <v/>
      </c>
      <c r="F177" s="343" t="str">
        <f>IF(E177="","",IF(ISNA(VLOOKUP($E177,'A-1 Site Habitat Baseline'!$D$1:$O$258,4,FALSE)),"",(VLOOKUP($E177,'A-1 Site Habitat Baseline'!$D$1:$O$258,4,FALSE))))</f>
        <v/>
      </c>
      <c r="G177" s="343" t="str">
        <f>IF(E177="","",IF(ISNA(VLOOKUP($E177,'A-1 Site Habitat Baseline'!$D$1:$O$258,5,FALSE)),"",(VLOOKUP($E177,'A-1 Site Habitat Baseline'!$D$1:$O$258,5,FALSE))))</f>
        <v/>
      </c>
      <c r="H177" s="343" t="str">
        <f>IF(E177="","",IF(ISNA(VLOOKUP($E177,'A-1 Site Habitat Baseline'!$D$1:$O$258,6,FALSE)),"",(VLOOKUP($E177,'A-1 Site Habitat Baseline'!$D$1:$O$258,6,FALSE))))</f>
        <v/>
      </c>
      <c r="I177" s="343" t="str">
        <f>IF(E177="","",IF(ISNA(VLOOKUP($E177,'A-1 Site Habitat Baseline'!$D$1:$O$258,7,FALSE)),"",(VLOOKUP($E177,'A-1 Site Habitat Baseline'!$D$1:$O$258,7,FALSE))))</f>
        <v/>
      </c>
      <c r="J177" s="343" t="str">
        <f>IF(E177="","",IF(ISNA(VLOOKUP($E177,'A-1 Site Habitat Baseline'!$D$1:$O$258,8,FALSE)),"",(VLOOKUP($E177,'A-1 Site Habitat Baseline'!$D$1:$O$258,8,FALSE))))</f>
        <v/>
      </c>
      <c r="K177" s="343" t="str">
        <f>IF(E177="","",IF(ISNA(VLOOKUP($E177,'A-1 Site Habitat Baseline'!$D$1:$O$258,9,FALSE)),"",(VLOOKUP($E177,'A-1 Site Habitat Baseline'!$D$1:$O$258,9,FALSE))))</f>
        <v/>
      </c>
      <c r="L177" s="343" t="str">
        <f>IF(E177="","",IF(ISNA(VLOOKUP($E177,'A-1 Site Habitat Baseline'!$D$1:$O$258,11,FALSE)),"",(VLOOKUP($E177,'A-1 Site Habitat Baseline'!$D$1:$O$258,11,FALSE))))</f>
        <v/>
      </c>
      <c r="M177" s="343" t="str">
        <f>IF(E177="","",IF(ISNA(VLOOKUP($E177,'A-1 Site Habitat Baseline'!$D$1:$O$258,12,FALSE)),"",(VLOOKUP($E177,'A-1 Site Habitat Baseline'!$D$1:$O$258,12,FALSE))))</f>
        <v/>
      </c>
      <c r="N177" s="344" t="str">
        <f>IF(E177="","",IF(ISNA(VLOOKUP($E177,'A-1 Site Habitat Baseline'!$D$1:$X$258,14,FALSE)),"",(VLOOKUP($E177,'A-1 Site Habitat Baseline'!$D$1:$X$258,14,FALSE))))</f>
        <v/>
      </c>
      <c r="O177" s="345" t="str">
        <f>IF(E177="","",IF(ISNA(VLOOKUP($E177,'A-1 Site Habitat Baseline'!$D$1:$X$258,16,FALSE)),"",(VLOOKUP($E177,'A-1 Site Habitat Baseline'!$D$1:$X$258,13,FALSE))))</f>
        <v/>
      </c>
      <c r="P177" s="346" t="str">
        <f>IFERROR(INDEX('G-1 All Habitats'!$AG$3:$AG$15,MATCH(Q177,'G-1 All Habitats'!$AF$3:$AF$15,0)),"")</f>
        <v/>
      </c>
      <c r="Q177" s="347"/>
      <c r="R177" s="347"/>
      <c r="S177" s="605" t="str">
        <f>IFERROR(INDEX('G-1 All Habitats'!$B$3:$B$130,MATCH(R177,'G-1 All Habitats'!$A$3:$A$130,0)),"")</f>
        <v/>
      </c>
      <c r="T177" s="77" t="str">
        <f t="shared" si="27"/>
        <v/>
      </c>
      <c r="U177" s="78" t="str">
        <f t="shared" si="22"/>
        <v/>
      </c>
      <c r="V177" s="350" t="str">
        <f t="shared" si="19"/>
        <v/>
      </c>
      <c r="W177" s="343" t="str">
        <f>IF(S177="","",VLOOKUP(S177,'G-1 All Habitats'!$B$2:$M$130,10,FALSE))</f>
        <v/>
      </c>
      <c r="X177" s="343" t="str">
        <f>IFERROR(VLOOKUP(W177,'G-1 All Habitats'!$V$3:$W$7,2,FALSE),"")</f>
        <v/>
      </c>
      <c r="Y177" s="91"/>
      <c r="Z177" s="345" t="str">
        <f>IFERROR(INDEX('G-8 Condition Look up'!$A$3:$H$131,MATCH(S177,'G-8 Condition Look up'!$A$3:$A$131,0),MATCH(Y177,'G-8 Condition Look up'!$A$3:$H$3,0)),"")</f>
        <v/>
      </c>
      <c r="AA177" s="79"/>
      <c r="AB177" s="343" t="str">
        <f>IF(AA177="","",IF(VLOOKUP(AA177,'G-3 Multipliers'!$L$3:$N$6,2,FALSE)=0,"Spatial Data Missing",VLOOKUP(AA177,'G-3 Multipliers'!$L$3:$N$6,2,FALSE)))</f>
        <v/>
      </c>
      <c r="AC177" s="345" t="str">
        <f>IF(AA177="","",IF(VLOOKUP(AA177,'G-3 Multipliers'!$L$3:$N$6,3,FALSE)=0,"Spatial Data Missing",VLOOKUP(AA177,'G-3 Multipliers'!$L$3:$N$6,3,FALSE)))</f>
        <v/>
      </c>
      <c r="AD177" s="351" t="str">
        <f t="shared" si="20"/>
        <v/>
      </c>
      <c r="AE177" s="94"/>
      <c r="AF177" s="94"/>
      <c r="AG177" s="343" t="str">
        <f t="shared" si="23"/>
        <v/>
      </c>
      <c r="AH177" s="591" t="str">
        <f t="shared" si="24"/>
        <v/>
      </c>
      <c r="AI177" s="353" t="str">
        <f>IF(AH177="Check Data","Check Data",IFERROR(VLOOKUP(AH177,'G-4 Temporal multipliers'!$A$4:$C$36,3,FALSE),""))</f>
        <v/>
      </c>
      <c r="AJ177" s="77" t="str">
        <f>IF(S177="","",VLOOKUP(S177,'G-3 Multipliers'!$A$2:$E$130,4,FALSE))</f>
        <v/>
      </c>
      <c r="AK177" s="348" t="str">
        <f t="shared" si="25"/>
        <v/>
      </c>
      <c r="AL177" s="348" t="str">
        <f t="shared" si="26"/>
        <v/>
      </c>
      <c r="AM177" s="607" t="str">
        <f>IFERROR(IF(F177="","",IF(AH177="Check Data","Check Data",VLOOKUP(AL177, 'G-3 Multipliers'!$P$2:$Q$6,2,FALSE))),””)</f>
        <v/>
      </c>
      <c r="AN177" s="81" t="str">
        <f t="shared" si="21"/>
        <v/>
      </c>
      <c r="AO177" s="355"/>
      <c r="AP177" s="356"/>
    </row>
    <row r="178" spans="1:42" x14ac:dyDescent="0.25">
      <c r="A178" s="52" t="str">
        <f>IF(E178="","",IF(ISNA(VLOOKUP($E178,'A-1 Site Habitat Baseline'!$D$1:$O$258,2,FALSE)),"",(VLOOKUP($E178,'A-1 Site Habitat Baseline'!$D$1:$O$258,2,FALSE))))</f>
        <v/>
      </c>
      <c r="B178" s="52" t="str">
        <f>IF(E178="","",IF(ISNA(VLOOKUP($E178,'A-1 Site Habitat Baseline'!$D$1:$O$258,3,FALSE)),"",(VLOOKUP($E178,'A-1 Site Habitat Baseline'!$D$1:$O$258,3,FALSE))))</f>
        <v/>
      </c>
      <c r="C178" s="52" t="str">
        <f>IFERROR(INDEX('G-8 Condition Look up'!$I$4:$I$131,MATCH(S178,'G-8 Condition Look up'!$A$4:$A$131,0)),"")</f>
        <v/>
      </c>
      <c r="E178" s="342" t="str">
        <f>'A-1 Site Habitat Baseline'!AL177</f>
        <v/>
      </c>
      <c r="F178" s="343" t="str">
        <f>IF(E178="","",IF(ISNA(VLOOKUP($E178,'A-1 Site Habitat Baseline'!$D$1:$O$258,4,FALSE)),"",(VLOOKUP($E178,'A-1 Site Habitat Baseline'!$D$1:$O$258,4,FALSE))))</f>
        <v/>
      </c>
      <c r="G178" s="343" t="str">
        <f>IF(E178="","",IF(ISNA(VLOOKUP($E178,'A-1 Site Habitat Baseline'!$D$1:$O$258,5,FALSE)),"",(VLOOKUP($E178,'A-1 Site Habitat Baseline'!$D$1:$O$258,5,FALSE))))</f>
        <v/>
      </c>
      <c r="H178" s="343" t="str">
        <f>IF(E178="","",IF(ISNA(VLOOKUP($E178,'A-1 Site Habitat Baseline'!$D$1:$O$258,6,FALSE)),"",(VLOOKUP($E178,'A-1 Site Habitat Baseline'!$D$1:$O$258,6,FALSE))))</f>
        <v/>
      </c>
      <c r="I178" s="343" t="str">
        <f>IF(E178="","",IF(ISNA(VLOOKUP($E178,'A-1 Site Habitat Baseline'!$D$1:$O$258,7,FALSE)),"",(VLOOKUP($E178,'A-1 Site Habitat Baseline'!$D$1:$O$258,7,FALSE))))</f>
        <v/>
      </c>
      <c r="J178" s="343" t="str">
        <f>IF(E178="","",IF(ISNA(VLOOKUP($E178,'A-1 Site Habitat Baseline'!$D$1:$O$258,8,FALSE)),"",(VLOOKUP($E178,'A-1 Site Habitat Baseline'!$D$1:$O$258,8,FALSE))))</f>
        <v/>
      </c>
      <c r="K178" s="343" t="str">
        <f>IF(E178="","",IF(ISNA(VLOOKUP($E178,'A-1 Site Habitat Baseline'!$D$1:$O$258,9,FALSE)),"",(VLOOKUP($E178,'A-1 Site Habitat Baseline'!$D$1:$O$258,9,FALSE))))</f>
        <v/>
      </c>
      <c r="L178" s="343" t="str">
        <f>IF(E178="","",IF(ISNA(VLOOKUP($E178,'A-1 Site Habitat Baseline'!$D$1:$O$258,11,FALSE)),"",(VLOOKUP($E178,'A-1 Site Habitat Baseline'!$D$1:$O$258,11,FALSE))))</f>
        <v/>
      </c>
      <c r="M178" s="343" t="str">
        <f>IF(E178="","",IF(ISNA(VLOOKUP($E178,'A-1 Site Habitat Baseline'!$D$1:$O$258,12,FALSE)),"",(VLOOKUP($E178,'A-1 Site Habitat Baseline'!$D$1:$O$258,12,FALSE))))</f>
        <v/>
      </c>
      <c r="N178" s="344" t="str">
        <f>IF(E178="","",IF(ISNA(VLOOKUP($E178,'A-1 Site Habitat Baseline'!$D$1:$X$258,14,FALSE)),"",(VLOOKUP($E178,'A-1 Site Habitat Baseline'!$D$1:$X$258,14,FALSE))))</f>
        <v/>
      </c>
      <c r="O178" s="345" t="str">
        <f>IF(E178="","",IF(ISNA(VLOOKUP($E178,'A-1 Site Habitat Baseline'!$D$1:$X$258,16,FALSE)),"",(VLOOKUP($E178,'A-1 Site Habitat Baseline'!$D$1:$X$258,13,FALSE))))</f>
        <v/>
      </c>
      <c r="P178" s="346" t="str">
        <f>IFERROR(INDEX('G-1 All Habitats'!$AG$3:$AG$15,MATCH(Q178,'G-1 All Habitats'!$AF$3:$AF$15,0)),"")</f>
        <v/>
      </c>
      <c r="Q178" s="347"/>
      <c r="R178" s="347"/>
      <c r="S178" s="605" t="str">
        <f>IFERROR(INDEX('G-1 All Habitats'!$B$3:$B$130,MATCH(R178,'G-1 All Habitats'!$A$3:$A$130,0)),"")</f>
        <v/>
      </c>
      <c r="T178" s="77" t="str">
        <f t="shared" si="27"/>
        <v/>
      </c>
      <c r="U178" s="78" t="str">
        <f t="shared" si="22"/>
        <v/>
      </c>
      <c r="V178" s="350" t="str">
        <f t="shared" si="19"/>
        <v/>
      </c>
      <c r="W178" s="343" t="str">
        <f>IF(S178="","",VLOOKUP(S178,'G-1 All Habitats'!$B$2:$M$130,10,FALSE))</f>
        <v/>
      </c>
      <c r="X178" s="343" t="str">
        <f>IFERROR(VLOOKUP(W178,'G-1 All Habitats'!$V$3:$W$7,2,FALSE),"")</f>
        <v/>
      </c>
      <c r="Y178" s="91"/>
      <c r="Z178" s="345" t="str">
        <f>IFERROR(INDEX('G-8 Condition Look up'!$A$3:$H$131,MATCH(S178,'G-8 Condition Look up'!$A$3:$A$131,0),MATCH(Y178,'G-8 Condition Look up'!$A$3:$H$3,0)),"")</f>
        <v/>
      </c>
      <c r="AA178" s="79"/>
      <c r="AB178" s="343" t="str">
        <f>IF(AA178="","",IF(VLOOKUP(AA178,'G-3 Multipliers'!$L$3:$N$6,2,FALSE)=0,"Spatial Data Missing",VLOOKUP(AA178,'G-3 Multipliers'!$L$3:$N$6,2,FALSE)))</f>
        <v/>
      </c>
      <c r="AC178" s="345" t="str">
        <f>IF(AA178="","",IF(VLOOKUP(AA178,'G-3 Multipliers'!$L$3:$N$6,3,FALSE)=0,"Spatial Data Missing",VLOOKUP(AA178,'G-3 Multipliers'!$L$3:$N$6,3,FALSE)))</f>
        <v/>
      </c>
      <c r="AD178" s="351" t="str">
        <f t="shared" si="20"/>
        <v/>
      </c>
      <c r="AE178" s="94"/>
      <c r="AF178" s="94"/>
      <c r="AG178" s="343" t="str">
        <f t="shared" si="23"/>
        <v/>
      </c>
      <c r="AH178" s="591" t="str">
        <f t="shared" si="24"/>
        <v/>
      </c>
      <c r="AI178" s="353" t="str">
        <f>IF(AH178="Check Data","Check Data",IFERROR(VLOOKUP(AH178,'G-4 Temporal multipliers'!$A$4:$C$36,3,FALSE),""))</f>
        <v/>
      </c>
      <c r="AJ178" s="77" t="str">
        <f>IF(S178="","",VLOOKUP(S178,'G-3 Multipliers'!$A$2:$E$130,4,FALSE))</f>
        <v/>
      </c>
      <c r="AK178" s="348" t="str">
        <f t="shared" si="25"/>
        <v/>
      </c>
      <c r="AL178" s="348" t="str">
        <f t="shared" si="26"/>
        <v/>
      </c>
      <c r="AM178" s="607" t="str">
        <f>IFERROR(IF(F178="","",IF(AH178="Check Data","Check Data",VLOOKUP(AL178, 'G-3 Multipliers'!$P$2:$Q$6,2,FALSE))),””)</f>
        <v/>
      </c>
      <c r="AN178" s="81" t="str">
        <f t="shared" si="21"/>
        <v/>
      </c>
      <c r="AO178" s="355"/>
      <c r="AP178" s="356"/>
    </row>
    <row r="179" spans="1:42" x14ac:dyDescent="0.25">
      <c r="A179" s="52" t="str">
        <f>IF(E179="","",IF(ISNA(VLOOKUP($E179,'A-1 Site Habitat Baseline'!$D$1:$O$258,2,FALSE)),"",(VLOOKUP($E179,'A-1 Site Habitat Baseline'!$D$1:$O$258,2,FALSE))))</f>
        <v/>
      </c>
      <c r="B179" s="52" t="str">
        <f>IF(E179="","",IF(ISNA(VLOOKUP($E179,'A-1 Site Habitat Baseline'!$D$1:$O$258,3,FALSE)),"",(VLOOKUP($E179,'A-1 Site Habitat Baseline'!$D$1:$O$258,3,FALSE))))</f>
        <v/>
      </c>
      <c r="C179" s="52" t="str">
        <f>IFERROR(INDEX('G-8 Condition Look up'!$I$4:$I$131,MATCH(S179,'G-8 Condition Look up'!$A$4:$A$131,0)),"")</f>
        <v/>
      </c>
      <c r="E179" s="342" t="str">
        <f>'A-1 Site Habitat Baseline'!AL178</f>
        <v/>
      </c>
      <c r="F179" s="343" t="str">
        <f>IF(E179="","",IF(ISNA(VLOOKUP($E179,'A-1 Site Habitat Baseline'!$D$1:$O$258,4,FALSE)),"",(VLOOKUP($E179,'A-1 Site Habitat Baseline'!$D$1:$O$258,4,FALSE))))</f>
        <v/>
      </c>
      <c r="G179" s="343" t="str">
        <f>IF(E179="","",IF(ISNA(VLOOKUP($E179,'A-1 Site Habitat Baseline'!$D$1:$O$258,5,FALSE)),"",(VLOOKUP($E179,'A-1 Site Habitat Baseline'!$D$1:$O$258,5,FALSE))))</f>
        <v/>
      </c>
      <c r="H179" s="343" t="str">
        <f>IF(E179="","",IF(ISNA(VLOOKUP($E179,'A-1 Site Habitat Baseline'!$D$1:$O$258,6,FALSE)),"",(VLOOKUP($E179,'A-1 Site Habitat Baseline'!$D$1:$O$258,6,FALSE))))</f>
        <v/>
      </c>
      <c r="I179" s="343" t="str">
        <f>IF(E179="","",IF(ISNA(VLOOKUP($E179,'A-1 Site Habitat Baseline'!$D$1:$O$258,7,FALSE)),"",(VLOOKUP($E179,'A-1 Site Habitat Baseline'!$D$1:$O$258,7,FALSE))))</f>
        <v/>
      </c>
      <c r="J179" s="343" t="str">
        <f>IF(E179="","",IF(ISNA(VLOOKUP($E179,'A-1 Site Habitat Baseline'!$D$1:$O$258,8,FALSE)),"",(VLOOKUP($E179,'A-1 Site Habitat Baseline'!$D$1:$O$258,8,FALSE))))</f>
        <v/>
      </c>
      <c r="K179" s="343" t="str">
        <f>IF(E179="","",IF(ISNA(VLOOKUP($E179,'A-1 Site Habitat Baseline'!$D$1:$O$258,9,FALSE)),"",(VLOOKUP($E179,'A-1 Site Habitat Baseline'!$D$1:$O$258,9,FALSE))))</f>
        <v/>
      </c>
      <c r="L179" s="343" t="str">
        <f>IF(E179="","",IF(ISNA(VLOOKUP($E179,'A-1 Site Habitat Baseline'!$D$1:$O$258,11,FALSE)),"",(VLOOKUP($E179,'A-1 Site Habitat Baseline'!$D$1:$O$258,11,FALSE))))</f>
        <v/>
      </c>
      <c r="M179" s="343" t="str">
        <f>IF(E179="","",IF(ISNA(VLOOKUP($E179,'A-1 Site Habitat Baseline'!$D$1:$O$258,12,FALSE)),"",(VLOOKUP($E179,'A-1 Site Habitat Baseline'!$D$1:$O$258,12,FALSE))))</f>
        <v/>
      </c>
      <c r="N179" s="344" t="str">
        <f>IF(E179="","",IF(ISNA(VLOOKUP($E179,'A-1 Site Habitat Baseline'!$D$1:$X$258,14,FALSE)),"",(VLOOKUP($E179,'A-1 Site Habitat Baseline'!$D$1:$X$258,14,FALSE))))</f>
        <v/>
      </c>
      <c r="O179" s="345" t="str">
        <f>IF(E179="","",IF(ISNA(VLOOKUP($E179,'A-1 Site Habitat Baseline'!$D$1:$X$258,16,FALSE)),"",(VLOOKUP($E179,'A-1 Site Habitat Baseline'!$D$1:$X$258,13,FALSE))))</f>
        <v/>
      </c>
      <c r="P179" s="346" t="str">
        <f>IFERROR(INDEX('G-1 All Habitats'!$AG$3:$AG$15,MATCH(Q179,'G-1 All Habitats'!$AF$3:$AF$15,0)),"")</f>
        <v/>
      </c>
      <c r="Q179" s="347"/>
      <c r="R179" s="347"/>
      <c r="S179" s="605" t="str">
        <f>IFERROR(INDEX('G-1 All Habitats'!$B$3:$B$130,MATCH(R179,'G-1 All Habitats'!$A$3:$A$130,0)),"")</f>
        <v/>
      </c>
      <c r="T179" s="77" t="str">
        <f t="shared" si="27"/>
        <v/>
      </c>
      <c r="U179" s="78" t="str">
        <f t="shared" si="22"/>
        <v/>
      </c>
      <c r="V179" s="350" t="str">
        <f t="shared" si="19"/>
        <v/>
      </c>
      <c r="W179" s="343" t="str">
        <f>IF(S179="","",VLOOKUP(S179,'G-1 All Habitats'!$B$2:$M$130,10,FALSE))</f>
        <v/>
      </c>
      <c r="X179" s="343" t="str">
        <f>IFERROR(VLOOKUP(W179,'G-1 All Habitats'!$V$3:$W$7,2,FALSE),"")</f>
        <v/>
      </c>
      <c r="Y179" s="91"/>
      <c r="Z179" s="345" t="str">
        <f>IFERROR(INDEX('G-8 Condition Look up'!$A$3:$H$131,MATCH(S179,'G-8 Condition Look up'!$A$3:$A$131,0),MATCH(Y179,'G-8 Condition Look up'!$A$3:$H$3,0)),"")</f>
        <v/>
      </c>
      <c r="AA179" s="79"/>
      <c r="AB179" s="343" t="str">
        <f>IF(AA179="","",IF(VLOOKUP(AA179,'G-3 Multipliers'!$L$3:$N$6,2,FALSE)=0,"Spatial Data Missing",VLOOKUP(AA179,'G-3 Multipliers'!$L$3:$N$6,2,FALSE)))</f>
        <v/>
      </c>
      <c r="AC179" s="345" t="str">
        <f>IF(AA179="","",IF(VLOOKUP(AA179,'G-3 Multipliers'!$L$3:$N$6,3,FALSE)=0,"Spatial Data Missing",VLOOKUP(AA179,'G-3 Multipliers'!$L$3:$N$6,3,FALSE)))</f>
        <v/>
      </c>
      <c r="AD179" s="351" t="str">
        <f t="shared" si="20"/>
        <v/>
      </c>
      <c r="AE179" s="94"/>
      <c r="AF179" s="94"/>
      <c r="AG179" s="343" t="str">
        <f t="shared" si="23"/>
        <v/>
      </c>
      <c r="AH179" s="591" t="str">
        <f t="shared" si="24"/>
        <v/>
      </c>
      <c r="AI179" s="353" t="str">
        <f>IF(AH179="Check Data","Check Data",IFERROR(VLOOKUP(AH179,'G-4 Temporal multipliers'!$A$4:$C$36,3,FALSE),""))</f>
        <v/>
      </c>
      <c r="AJ179" s="77" t="str">
        <f>IF(S179="","",VLOOKUP(S179,'G-3 Multipliers'!$A$2:$E$130,4,FALSE))</f>
        <v/>
      </c>
      <c r="AK179" s="348" t="str">
        <f t="shared" si="25"/>
        <v/>
      </c>
      <c r="AL179" s="348" t="str">
        <f t="shared" si="26"/>
        <v/>
      </c>
      <c r="AM179" s="607" t="str">
        <f>IFERROR(IF(F179="","",IF(AH179="Check Data","Check Data",VLOOKUP(AL179, 'G-3 Multipliers'!$P$2:$Q$6,2,FALSE))),””)</f>
        <v/>
      </c>
      <c r="AN179" s="81" t="str">
        <f t="shared" si="21"/>
        <v/>
      </c>
      <c r="AO179" s="355"/>
      <c r="AP179" s="356"/>
    </row>
    <row r="180" spans="1:42" x14ac:dyDescent="0.25">
      <c r="A180" s="52" t="str">
        <f>IF(E180="","",IF(ISNA(VLOOKUP($E180,'A-1 Site Habitat Baseline'!$D$1:$O$258,2,FALSE)),"",(VLOOKUP($E180,'A-1 Site Habitat Baseline'!$D$1:$O$258,2,FALSE))))</f>
        <v/>
      </c>
      <c r="B180" s="52" t="str">
        <f>IF(E180="","",IF(ISNA(VLOOKUP($E180,'A-1 Site Habitat Baseline'!$D$1:$O$258,3,FALSE)),"",(VLOOKUP($E180,'A-1 Site Habitat Baseline'!$D$1:$O$258,3,FALSE))))</f>
        <v/>
      </c>
      <c r="C180" s="52" t="str">
        <f>IFERROR(INDEX('G-8 Condition Look up'!$I$4:$I$131,MATCH(S180,'G-8 Condition Look up'!$A$4:$A$131,0)),"")</f>
        <v/>
      </c>
      <c r="E180" s="342" t="str">
        <f>'A-1 Site Habitat Baseline'!AL179</f>
        <v/>
      </c>
      <c r="F180" s="343" t="str">
        <f>IF(E180="","",IF(ISNA(VLOOKUP($E180,'A-1 Site Habitat Baseline'!$D$1:$O$258,4,FALSE)),"",(VLOOKUP($E180,'A-1 Site Habitat Baseline'!$D$1:$O$258,4,FALSE))))</f>
        <v/>
      </c>
      <c r="G180" s="343" t="str">
        <f>IF(E180="","",IF(ISNA(VLOOKUP($E180,'A-1 Site Habitat Baseline'!$D$1:$O$258,5,FALSE)),"",(VLOOKUP($E180,'A-1 Site Habitat Baseline'!$D$1:$O$258,5,FALSE))))</f>
        <v/>
      </c>
      <c r="H180" s="343" t="str">
        <f>IF(E180="","",IF(ISNA(VLOOKUP($E180,'A-1 Site Habitat Baseline'!$D$1:$O$258,6,FALSE)),"",(VLOOKUP($E180,'A-1 Site Habitat Baseline'!$D$1:$O$258,6,FALSE))))</f>
        <v/>
      </c>
      <c r="I180" s="343" t="str">
        <f>IF(E180="","",IF(ISNA(VLOOKUP($E180,'A-1 Site Habitat Baseline'!$D$1:$O$258,7,FALSE)),"",(VLOOKUP($E180,'A-1 Site Habitat Baseline'!$D$1:$O$258,7,FALSE))))</f>
        <v/>
      </c>
      <c r="J180" s="343" t="str">
        <f>IF(E180="","",IF(ISNA(VLOOKUP($E180,'A-1 Site Habitat Baseline'!$D$1:$O$258,8,FALSE)),"",(VLOOKUP($E180,'A-1 Site Habitat Baseline'!$D$1:$O$258,8,FALSE))))</f>
        <v/>
      </c>
      <c r="K180" s="343" t="str">
        <f>IF(E180="","",IF(ISNA(VLOOKUP($E180,'A-1 Site Habitat Baseline'!$D$1:$O$258,9,FALSE)),"",(VLOOKUP($E180,'A-1 Site Habitat Baseline'!$D$1:$O$258,9,FALSE))))</f>
        <v/>
      </c>
      <c r="L180" s="343" t="str">
        <f>IF(E180="","",IF(ISNA(VLOOKUP($E180,'A-1 Site Habitat Baseline'!$D$1:$O$258,11,FALSE)),"",(VLOOKUP($E180,'A-1 Site Habitat Baseline'!$D$1:$O$258,11,FALSE))))</f>
        <v/>
      </c>
      <c r="M180" s="343" t="str">
        <f>IF(E180="","",IF(ISNA(VLOOKUP($E180,'A-1 Site Habitat Baseline'!$D$1:$O$258,12,FALSE)),"",(VLOOKUP($E180,'A-1 Site Habitat Baseline'!$D$1:$O$258,12,FALSE))))</f>
        <v/>
      </c>
      <c r="N180" s="344" t="str">
        <f>IF(E180="","",IF(ISNA(VLOOKUP($E180,'A-1 Site Habitat Baseline'!$D$1:$X$258,14,FALSE)),"",(VLOOKUP($E180,'A-1 Site Habitat Baseline'!$D$1:$X$258,14,FALSE))))</f>
        <v/>
      </c>
      <c r="O180" s="345" t="str">
        <f>IF(E180="","",IF(ISNA(VLOOKUP($E180,'A-1 Site Habitat Baseline'!$D$1:$X$258,16,FALSE)),"",(VLOOKUP($E180,'A-1 Site Habitat Baseline'!$D$1:$X$258,13,FALSE))))</f>
        <v/>
      </c>
      <c r="P180" s="346" t="str">
        <f>IFERROR(INDEX('G-1 All Habitats'!$AG$3:$AG$15,MATCH(Q180,'G-1 All Habitats'!$AF$3:$AF$15,0)),"")</f>
        <v/>
      </c>
      <c r="Q180" s="347"/>
      <c r="R180" s="347"/>
      <c r="S180" s="605" t="str">
        <f>IFERROR(INDEX('G-1 All Habitats'!$B$3:$B$130,MATCH(R180,'G-1 All Habitats'!$A$3:$A$130,0)),"")</f>
        <v/>
      </c>
      <c r="T180" s="77" t="str">
        <f t="shared" si="27"/>
        <v/>
      </c>
      <c r="U180" s="78" t="str">
        <f t="shared" si="22"/>
        <v/>
      </c>
      <c r="V180" s="350" t="str">
        <f t="shared" si="19"/>
        <v/>
      </c>
      <c r="W180" s="343" t="str">
        <f>IF(S180="","",VLOOKUP(S180,'G-1 All Habitats'!$B$2:$M$130,10,FALSE))</f>
        <v/>
      </c>
      <c r="X180" s="343" t="str">
        <f>IFERROR(VLOOKUP(W180,'G-1 All Habitats'!$V$3:$W$7,2,FALSE),"")</f>
        <v/>
      </c>
      <c r="Y180" s="91"/>
      <c r="Z180" s="345" t="str">
        <f>IFERROR(INDEX('G-8 Condition Look up'!$A$3:$H$131,MATCH(S180,'G-8 Condition Look up'!$A$3:$A$131,0),MATCH(Y180,'G-8 Condition Look up'!$A$3:$H$3,0)),"")</f>
        <v/>
      </c>
      <c r="AA180" s="79"/>
      <c r="AB180" s="343" t="str">
        <f>IF(AA180="","",IF(VLOOKUP(AA180,'G-3 Multipliers'!$L$3:$N$6,2,FALSE)=0,"Spatial Data Missing",VLOOKUP(AA180,'G-3 Multipliers'!$L$3:$N$6,2,FALSE)))</f>
        <v/>
      </c>
      <c r="AC180" s="345" t="str">
        <f>IF(AA180="","",IF(VLOOKUP(AA180,'G-3 Multipliers'!$L$3:$N$6,3,FALSE)=0,"Spatial Data Missing",VLOOKUP(AA180,'G-3 Multipliers'!$L$3:$N$6,3,FALSE)))</f>
        <v/>
      </c>
      <c r="AD180" s="351" t="str">
        <f t="shared" si="20"/>
        <v/>
      </c>
      <c r="AE180" s="94"/>
      <c r="AF180" s="94"/>
      <c r="AG180" s="343" t="str">
        <f t="shared" si="23"/>
        <v/>
      </c>
      <c r="AH180" s="591" t="str">
        <f t="shared" si="24"/>
        <v/>
      </c>
      <c r="AI180" s="353" t="str">
        <f>IF(AH180="Check Data","Check Data",IFERROR(VLOOKUP(AH180,'G-4 Temporal multipliers'!$A$4:$C$36,3,FALSE),""))</f>
        <v/>
      </c>
      <c r="AJ180" s="77" t="str">
        <f>IF(S180="","",VLOOKUP(S180,'G-3 Multipliers'!$A$2:$E$130,4,FALSE))</f>
        <v/>
      </c>
      <c r="AK180" s="348" t="str">
        <f t="shared" si="25"/>
        <v/>
      </c>
      <c r="AL180" s="348" t="str">
        <f t="shared" si="26"/>
        <v/>
      </c>
      <c r="AM180" s="607" t="str">
        <f>IFERROR(IF(F180="","",IF(AH180="Check Data","Check Data",VLOOKUP(AL180, 'G-3 Multipliers'!$P$2:$Q$6,2,FALSE))),””)</f>
        <v/>
      </c>
      <c r="AN180" s="81" t="str">
        <f t="shared" si="21"/>
        <v/>
      </c>
      <c r="AO180" s="355"/>
      <c r="AP180" s="356"/>
    </row>
    <row r="181" spans="1:42" x14ac:dyDescent="0.25">
      <c r="A181" s="52" t="str">
        <f>IF(E181="","",IF(ISNA(VLOOKUP($E181,'A-1 Site Habitat Baseline'!$D$1:$O$258,2,FALSE)),"",(VLOOKUP($E181,'A-1 Site Habitat Baseline'!$D$1:$O$258,2,FALSE))))</f>
        <v/>
      </c>
      <c r="B181" s="52" t="str">
        <f>IF(E181="","",IF(ISNA(VLOOKUP($E181,'A-1 Site Habitat Baseline'!$D$1:$O$258,3,FALSE)),"",(VLOOKUP($E181,'A-1 Site Habitat Baseline'!$D$1:$O$258,3,FALSE))))</f>
        <v/>
      </c>
      <c r="C181" s="52" t="str">
        <f>IFERROR(INDEX('G-8 Condition Look up'!$I$4:$I$131,MATCH(S181,'G-8 Condition Look up'!$A$4:$A$131,0)),"")</f>
        <v/>
      </c>
      <c r="E181" s="342" t="str">
        <f>'A-1 Site Habitat Baseline'!AL180</f>
        <v/>
      </c>
      <c r="F181" s="343" t="str">
        <f>IF(E181="","",IF(ISNA(VLOOKUP($E181,'A-1 Site Habitat Baseline'!$D$1:$O$258,4,FALSE)),"",(VLOOKUP($E181,'A-1 Site Habitat Baseline'!$D$1:$O$258,4,FALSE))))</f>
        <v/>
      </c>
      <c r="G181" s="343" t="str">
        <f>IF(E181="","",IF(ISNA(VLOOKUP($E181,'A-1 Site Habitat Baseline'!$D$1:$O$258,5,FALSE)),"",(VLOOKUP($E181,'A-1 Site Habitat Baseline'!$D$1:$O$258,5,FALSE))))</f>
        <v/>
      </c>
      <c r="H181" s="343" t="str">
        <f>IF(E181="","",IF(ISNA(VLOOKUP($E181,'A-1 Site Habitat Baseline'!$D$1:$O$258,6,FALSE)),"",(VLOOKUP($E181,'A-1 Site Habitat Baseline'!$D$1:$O$258,6,FALSE))))</f>
        <v/>
      </c>
      <c r="I181" s="343" t="str">
        <f>IF(E181="","",IF(ISNA(VLOOKUP($E181,'A-1 Site Habitat Baseline'!$D$1:$O$258,7,FALSE)),"",(VLOOKUP($E181,'A-1 Site Habitat Baseline'!$D$1:$O$258,7,FALSE))))</f>
        <v/>
      </c>
      <c r="J181" s="343" t="str">
        <f>IF(E181="","",IF(ISNA(VLOOKUP($E181,'A-1 Site Habitat Baseline'!$D$1:$O$258,8,FALSE)),"",(VLOOKUP($E181,'A-1 Site Habitat Baseline'!$D$1:$O$258,8,FALSE))))</f>
        <v/>
      </c>
      <c r="K181" s="343" t="str">
        <f>IF(E181="","",IF(ISNA(VLOOKUP($E181,'A-1 Site Habitat Baseline'!$D$1:$O$258,9,FALSE)),"",(VLOOKUP($E181,'A-1 Site Habitat Baseline'!$D$1:$O$258,9,FALSE))))</f>
        <v/>
      </c>
      <c r="L181" s="343" t="str">
        <f>IF(E181="","",IF(ISNA(VLOOKUP($E181,'A-1 Site Habitat Baseline'!$D$1:$O$258,11,FALSE)),"",(VLOOKUP($E181,'A-1 Site Habitat Baseline'!$D$1:$O$258,11,FALSE))))</f>
        <v/>
      </c>
      <c r="M181" s="343" t="str">
        <f>IF(E181="","",IF(ISNA(VLOOKUP($E181,'A-1 Site Habitat Baseline'!$D$1:$O$258,12,FALSE)),"",(VLOOKUP($E181,'A-1 Site Habitat Baseline'!$D$1:$O$258,12,FALSE))))</f>
        <v/>
      </c>
      <c r="N181" s="344" t="str">
        <f>IF(E181="","",IF(ISNA(VLOOKUP($E181,'A-1 Site Habitat Baseline'!$D$1:$X$258,14,FALSE)),"",(VLOOKUP($E181,'A-1 Site Habitat Baseline'!$D$1:$X$258,14,FALSE))))</f>
        <v/>
      </c>
      <c r="O181" s="345" t="str">
        <f>IF(E181="","",IF(ISNA(VLOOKUP($E181,'A-1 Site Habitat Baseline'!$D$1:$X$258,16,FALSE)),"",(VLOOKUP($E181,'A-1 Site Habitat Baseline'!$D$1:$X$258,13,FALSE))))</f>
        <v/>
      </c>
      <c r="P181" s="346" t="str">
        <f>IFERROR(INDEX('G-1 All Habitats'!$AG$3:$AG$15,MATCH(Q181,'G-1 All Habitats'!$AF$3:$AF$15,0)),"")</f>
        <v/>
      </c>
      <c r="Q181" s="347"/>
      <c r="R181" s="347"/>
      <c r="S181" s="605" t="str">
        <f>IFERROR(INDEX('G-1 All Habitats'!$B$3:$B$130,MATCH(R181,'G-1 All Habitats'!$A$3:$A$130,0)),"")</f>
        <v/>
      </c>
      <c r="T181" s="77" t="str">
        <f t="shared" si="27"/>
        <v/>
      </c>
      <c r="U181" s="78" t="str">
        <f t="shared" si="22"/>
        <v/>
      </c>
      <c r="V181" s="350" t="str">
        <f t="shared" si="19"/>
        <v/>
      </c>
      <c r="W181" s="343" t="str">
        <f>IF(S181="","",VLOOKUP(S181,'G-1 All Habitats'!$B$2:$M$130,10,FALSE))</f>
        <v/>
      </c>
      <c r="X181" s="343" t="str">
        <f>IFERROR(VLOOKUP(W181,'G-1 All Habitats'!$V$3:$W$7,2,FALSE),"")</f>
        <v/>
      </c>
      <c r="Y181" s="91"/>
      <c r="Z181" s="345" t="str">
        <f>IFERROR(INDEX('G-8 Condition Look up'!$A$3:$H$131,MATCH(S181,'G-8 Condition Look up'!$A$3:$A$131,0),MATCH(Y181,'G-8 Condition Look up'!$A$3:$H$3,0)),"")</f>
        <v/>
      </c>
      <c r="AA181" s="79"/>
      <c r="AB181" s="343" t="str">
        <f>IF(AA181="","",IF(VLOOKUP(AA181,'G-3 Multipliers'!$L$3:$N$6,2,FALSE)=0,"Spatial Data Missing",VLOOKUP(AA181,'G-3 Multipliers'!$L$3:$N$6,2,FALSE)))</f>
        <v/>
      </c>
      <c r="AC181" s="345" t="str">
        <f>IF(AA181="","",IF(VLOOKUP(AA181,'G-3 Multipliers'!$L$3:$N$6,3,FALSE)=0,"Spatial Data Missing",VLOOKUP(AA181,'G-3 Multipliers'!$L$3:$N$6,3,FALSE)))</f>
        <v/>
      </c>
      <c r="AD181" s="351" t="str">
        <f t="shared" si="20"/>
        <v/>
      </c>
      <c r="AE181" s="94"/>
      <c r="AF181" s="94"/>
      <c r="AG181" s="343" t="str">
        <f t="shared" si="23"/>
        <v/>
      </c>
      <c r="AH181" s="591" t="str">
        <f t="shared" si="24"/>
        <v/>
      </c>
      <c r="AI181" s="353" t="str">
        <f>IF(AH181="Check Data","Check Data",IFERROR(VLOOKUP(AH181,'G-4 Temporal multipliers'!$A$4:$C$36,3,FALSE),""))</f>
        <v/>
      </c>
      <c r="AJ181" s="77" t="str">
        <f>IF(S181="","",VLOOKUP(S181,'G-3 Multipliers'!$A$2:$E$130,4,FALSE))</f>
        <v/>
      </c>
      <c r="AK181" s="348" t="str">
        <f t="shared" si="25"/>
        <v/>
      </c>
      <c r="AL181" s="348" t="str">
        <f t="shared" si="26"/>
        <v/>
      </c>
      <c r="AM181" s="607" t="str">
        <f>IFERROR(IF(F181="","",IF(AH181="Check Data","Check Data",VLOOKUP(AL181, 'G-3 Multipliers'!$P$2:$Q$6,2,FALSE))),””)</f>
        <v/>
      </c>
      <c r="AN181" s="81" t="str">
        <f t="shared" si="21"/>
        <v/>
      </c>
      <c r="AO181" s="355"/>
      <c r="AP181" s="356"/>
    </row>
    <row r="182" spans="1:42" x14ac:dyDescent="0.25">
      <c r="A182" s="52" t="str">
        <f>IF(E182="","",IF(ISNA(VLOOKUP($E182,'A-1 Site Habitat Baseline'!$D$1:$O$258,2,FALSE)),"",(VLOOKUP($E182,'A-1 Site Habitat Baseline'!$D$1:$O$258,2,FALSE))))</f>
        <v/>
      </c>
      <c r="B182" s="52" t="str">
        <f>IF(E182="","",IF(ISNA(VLOOKUP($E182,'A-1 Site Habitat Baseline'!$D$1:$O$258,3,FALSE)),"",(VLOOKUP($E182,'A-1 Site Habitat Baseline'!$D$1:$O$258,3,FALSE))))</f>
        <v/>
      </c>
      <c r="C182" s="52" t="str">
        <f>IFERROR(INDEX('G-8 Condition Look up'!$I$4:$I$131,MATCH(S182,'G-8 Condition Look up'!$A$4:$A$131,0)),"")</f>
        <v/>
      </c>
      <c r="E182" s="342" t="str">
        <f>'A-1 Site Habitat Baseline'!AL181</f>
        <v/>
      </c>
      <c r="F182" s="343" t="str">
        <f>IF(E182="","",IF(ISNA(VLOOKUP($E182,'A-1 Site Habitat Baseline'!$D$1:$O$258,4,FALSE)),"",(VLOOKUP($E182,'A-1 Site Habitat Baseline'!$D$1:$O$258,4,FALSE))))</f>
        <v/>
      </c>
      <c r="G182" s="343" t="str">
        <f>IF(E182="","",IF(ISNA(VLOOKUP($E182,'A-1 Site Habitat Baseline'!$D$1:$O$258,5,FALSE)),"",(VLOOKUP($E182,'A-1 Site Habitat Baseline'!$D$1:$O$258,5,FALSE))))</f>
        <v/>
      </c>
      <c r="H182" s="343" t="str">
        <f>IF(E182="","",IF(ISNA(VLOOKUP($E182,'A-1 Site Habitat Baseline'!$D$1:$O$258,6,FALSE)),"",(VLOOKUP($E182,'A-1 Site Habitat Baseline'!$D$1:$O$258,6,FALSE))))</f>
        <v/>
      </c>
      <c r="I182" s="343" t="str">
        <f>IF(E182="","",IF(ISNA(VLOOKUP($E182,'A-1 Site Habitat Baseline'!$D$1:$O$258,7,FALSE)),"",(VLOOKUP($E182,'A-1 Site Habitat Baseline'!$D$1:$O$258,7,FALSE))))</f>
        <v/>
      </c>
      <c r="J182" s="343" t="str">
        <f>IF(E182="","",IF(ISNA(VLOOKUP($E182,'A-1 Site Habitat Baseline'!$D$1:$O$258,8,FALSE)),"",(VLOOKUP($E182,'A-1 Site Habitat Baseline'!$D$1:$O$258,8,FALSE))))</f>
        <v/>
      </c>
      <c r="K182" s="343" t="str">
        <f>IF(E182="","",IF(ISNA(VLOOKUP($E182,'A-1 Site Habitat Baseline'!$D$1:$O$258,9,FALSE)),"",(VLOOKUP($E182,'A-1 Site Habitat Baseline'!$D$1:$O$258,9,FALSE))))</f>
        <v/>
      </c>
      <c r="L182" s="343" t="str">
        <f>IF(E182="","",IF(ISNA(VLOOKUP($E182,'A-1 Site Habitat Baseline'!$D$1:$O$258,11,FALSE)),"",(VLOOKUP($E182,'A-1 Site Habitat Baseline'!$D$1:$O$258,11,FALSE))))</f>
        <v/>
      </c>
      <c r="M182" s="343" t="str">
        <f>IF(E182="","",IF(ISNA(VLOOKUP($E182,'A-1 Site Habitat Baseline'!$D$1:$O$258,12,FALSE)),"",(VLOOKUP($E182,'A-1 Site Habitat Baseline'!$D$1:$O$258,12,FALSE))))</f>
        <v/>
      </c>
      <c r="N182" s="344" t="str">
        <f>IF(E182="","",IF(ISNA(VLOOKUP($E182,'A-1 Site Habitat Baseline'!$D$1:$X$258,14,FALSE)),"",(VLOOKUP($E182,'A-1 Site Habitat Baseline'!$D$1:$X$258,14,FALSE))))</f>
        <v/>
      </c>
      <c r="O182" s="345" t="str">
        <f>IF(E182="","",IF(ISNA(VLOOKUP($E182,'A-1 Site Habitat Baseline'!$D$1:$X$258,16,FALSE)),"",(VLOOKUP($E182,'A-1 Site Habitat Baseline'!$D$1:$X$258,13,FALSE))))</f>
        <v/>
      </c>
      <c r="P182" s="346" t="str">
        <f>IFERROR(INDEX('G-1 All Habitats'!$AG$3:$AG$15,MATCH(Q182,'G-1 All Habitats'!$AF$3:$AF$15,0)),"")</f>
        <v/>
      </c>
      <c r="Q182" s="347"/>
      <c r="R182" s="347"/>
      <c r="S182" s="605" t="str">
        <f>IFERROR(INDEX('G-1 All Habitats'!$B$3:$B$130,MATCH(R182,'G-1 All Habitats'!$A$3:$A$130,0)),"")</f>
        <v/>
      </c>
      <c r="T182" s="77" t="str">
        <f t="shared" si="27"/>
        <v/>
      </c>
      <c r="U182" s="78" t="str">
        <f t="shared" si="22"/>
        <v/>
      </c>
      <c r="V182" s="350" t="str">
        <f t="shared" si="19"/>
        <v/>
      </c>
      <c r="W182" s="343" t="str">
        <f>IF(S182="","",VLOOKUP(S182,'G-1 All Habitats'!$B$2:$M$130,10,FALSE))</f>
        <v/>
      </c>
      <c r="X182" s="343" t="str">
        <f>IFERROR(VLOOKUP(W182,'G-1 All Habitats'!$V$3:$W$7,2,FALSE),"")</f>
        <v/>
      </c>
      <c r="Y182" s="91"/>
      <c r="Z182" s="345" t="str">
        <f>IFERROR(INDEX('G-8 Condition Look up'!$A$3:$H$131,MATCH(S182,'G-8 Condition Look up'!$A$3:$A$131,0),MATCH(Y182,'G-8 Condition Look up'!$A$3:$H$3,0)),"")</f>
        <v/>
      </c>
      <c r="AA182" s="79"/>
      <c r="AB182" s="343" t="str">
        <f>IF(AA182="","",IF(VLOOKUP(AA182,'G-3 Multipliers'!$L$3:$N$6,2,FALSE)=0,"Spatial Data Missing",VLOOKUP(AA182,'G-3 Multipliers'!$L$3:$N$6,2,FALSE)))</f>
        <v/>
      </c>
      <c r="AC182" s="345" t="str">
        <f>IF(AA182="","",IF(VLOOKUP(AA182,'G-3 Multipliers'!$L$3:$N$6,3,FALSE)=0,"Spatial Data Missing",VLOOKUP(AA182,'G-3 Multipliers'!$L$3:$N$6,3,FALSE)))</f>
        <v/>
      </c>
      <c r="AD182" s="351" t="str">
        <f t="shared" si="20"/>
        <v/>
      </c>
      <c r="AE182" s="94"/>
      <c r="AF182" s="94"/>
      <c r="AG182" s="343" t="str">
        <f t="shared" si="23"/>
        <v/>
      </c>
      <c r="AH182" s="591" t="str">
        <f t="shared" si="24"/>
        <v/>
      </c>
      <c r="AI182" s="353" t="str">
        <f>IF(AH182="Check Data","Check Data",IFERROR(VLOOKUP(AH182,'G-4 Temporal multipliers'!$A$4:$C$36,3,FALSE),""))</f>
        <v/>
      </c>
      <c r="AJ182" s="77" t="str">
        <f>IF(S182="","",VLOOKUP(S182,'G-3 Multipliers'!$A$2:$E$130,4,FALSE))</f>
        <v/>
      </c>
      <c r="AK182" s="348" t="str">
        <f t="shared" si="25"/>
        <v/>
      </c>
      <c r="AL182" s="348" t="str">
        <f t="shared" si="26"/>
        <v/>
      </c>
      <c r="AM182" s="607" t="str">
        <f>IFERROR(IF(F182="","",IF(AH182="Check Data","Check Data",VLOOKUP(AL182, 'G-3 Multipliers'!$P$2:$Q$6,2,FALSE))),””)</f>
        <v/>
      </c>
      <c r="AN182" s="81" t="str">
        <f t="shared" si="21"/>
        <v/>
      </c>
      <c r="AO182" s="355"/>
      <c r="AP182" s="356"/>
    </row>
    <row r="183" spans="1:42" x14ac:dyDescent="0.25">
      <c r="A183" s="52" t="str">
        <f>IF(E183="","",IF(ISNA(VLOOKUP($E183,'A-1 Site Habitat Baseline'!$D$1:$O$258,2,FALSE)),"",(VLOOKUP($E183,'A-1 Site Habitat Baseline'!$D$1:$O$258,2,FALSE))))</f>
        <v/>
      </c>
      <c r="B183" s="52" t="str">
        <f>IF(E183="","",IF(ISNA(VLOOKUP($E183,'A-1 Site Habitat Baseline'!$D$1:$O$258,3,FALSE)),"",(VLOOKUP($E183,'A-1 Site Habitat Baseline'!$D$1:$O$258,3,FALSE))))</f>
        <v/>
      </c>
      <c r="C183" s="52" t="str">
        <f>IFERROR(INDEX('G-8 Condition Look up'!$I$4:$I$131,MATCH(S183,'G-8 Condition Look up'!$A$4:$A$131,0)),"")</f>
        <v/>
      </c>
      <c r="E183" s="342" t="str">
        <f>'A-1 Site Habitat Baseline'!AL182</f>
        <v/>
      </c>
      <c r="F183" s="343" t="str">
        <f>IF(E183="","",IF(ISNA(VLOOKUP($E183,'A-1 Site Habitat Baseline'!$D$1:$O$258,4,FALSE)),"",(VLOOKUP($E183,'A-1 Site Habitat Baseline'!$D$1:$O$258,4,FALSE))))</f>
        <v/>
      </c>
      <c r="G183" s="343" t="str">
        <f>IF(E183="","",IF(ISNA(VLOOKUP($E183,'A-1 Site Habitat Baseline'!$D$1:$O$258,5,FALSE)),"",(VLOOKUP($E183,'A-1 Site Habitat Baseline'!$D$1:$O$258,5,FALSE))))</f>
        <v/>
      </c>
      <c r="H183" s="343" t="str">
        <f>IF(E183="","",IF(ISNA(VLOOKUP($E183,'A-1 Site Habitat Baseline'!$D$1:$O$258,6,FALSE)),"",(VLOOKUP($E183,'A-1 Site Habitat Baseline'!$D$1:$O$258,6,FALSE))))</f>
        <v/>
      </c>
      <c r="I183" s="343" t="str">
        <f>IF(E183="","",IF(ISNA(VLOOKUP($E183,'A-1 Site Habitat Baseline'!$D$1:$O$258,7,FALSE)),"",(VLOOKUP($E183,'A-1 Site Habitat Baseline'!$D$1:$O$258,7,FALSE))))</f>
        <v/>
      </c>
      <c r="J183" s="343" t="str">
        <f>IF(E183="","",IF(ISNA(VLOOKUP($E183,'A-1 Site Habitat Baseline'!$D$1:$O$258,8,FALSE)),"",(VLOOKUP($E183,'A-1 Site Habitat Baseline'!$D$1:$O$258,8,FALSE))))</f>
        <v/>
      </c>
      <c r="K183" s="343" t="str">
        <f>IF(E183="","",IF(ISNA(VLOOKUP($E183,'A-1 Site Habitat Baseline'!$D$1:$O$258,9,FALSE)),"",(VLOOKUP($E183,'A-1 Site Habitat Baseline'!$D$1:$O$258,9,FALSE))))</f>
        <v/>
      </c>
      <c r="L183" s="343" t="str">
        <f>IF(E183="","",IF(ISNA(VLOOKUP($E183,'A-1 Site Habitat Baseline'!$D$1:$O$258,11,FALSE)),"",(VLOOKUP($E183,'A-1 Site Habitat Baseline'!$D$1:$O$258,11,FALSE))))</f>
        <v/>
      </c>
      <c r="M183" s="343" t="str">
        <f>IF(E183="","",IF(ISNA(VLOOKUP($E183,'A-1 Site Habitat Baseline'!$D$1:$O$258,12,FALSE)),"",(VLOOKUP($E183,'A-1 Site Habitat Baseline'!$D$1:$O$258,12,FALSE))))</f>
        <v/>
      </c>
      <c r="N183" s="344" t="str">
        <f>IF(E183="","",IF(ISNA(VLOOKUP($E183,'A-1 Site Habitat Baseline'!$D$1:$X$258,14,FALSE)),"",(VLOOKUP($E183,'A-1 Site Habitat Baseline'!$D$1:$X$258,14,FALSE))))</f>
        <v/>
      </c>
      <c r="O183" s="345" t="str">
        <f>IF(E183="","",IF(ISNA(VLOOKUP($E183,'A-1 Site Habitat Baseline'!$D$1:$X$258,16,FALSE)),"",(VLOOKUP($E183,'A-1 Site Habitat Baseline'!$D$1:$X$258,13,FALSE))))</f>
        <v/>
      </c>
      <c r="P183" s="346" t="str">
        <f>IFERROR(INDEX('G-1 All Habitats'!$AG$3:$AG$15,MATCH(Q183,'G-1 All Habitats'!$AF$3:$AF$15,0)),"")</f>
        <v/>
      </c>
      <c r="Q183" s="347"/>
      <c r="R183" s="347"/>
      <c r="S183" s="605" t="str">
        <f>IFERROR(INDEX('G-1 All Habitats'!$B$3:$B$130,MATCH(R183,'G-1 All Habitats'!$A$3:$A$130,0)),"")</f>
        <v/>
      </c>
      <c r="T183" s="77" t="str">
        <f t="shared" si="27"/>
        <v/>
      </c>
      <c r="U183" s="78" t="str">
        <f t="shared" si="22"/>
        <v/>
      </c>
      <c r="V183" s="350" t="str">
        <f t="shared" si="19"/>
        <v/>
      </c>
      <c r="W183" s="343" t="str">
        <f>IF(S183="","",VLOOKUP(S183,'G-1 All Habitats'!$B$2:$M$130,10,FALSE))</f>
        <v/>
      </c>
      <c r="X183" s="343" t="str">
        <f>IFERROR(VLOOKUP(W183,'G-1 All Habitats'!$V$3:$W$7,2,FALSE),"")</f>
        <v/>
      </c>
      <c r="Y183" s="91"/>
      <c r="Z183" s="345" t="str">
        <f>IFERROR(INDEX('G-8 Condition Look up'!$A$3:$H$131,MATCH(S183,'G-8 Condition Look up'!$A$3:$A$131,0),MATCH(Y183,'G-8 Condition Look up'!$A$3:$H$3,0)),"")</f>
        <v/>
      </c>
      <c r="AA183" s="79"/>
      <c r="AB183" s="343" t="str">
        <f>IF(AA183="","",IF(VLOOKUP(AA183,'G-3 Multipliers'!$L$3:$N$6,2,FALSE)=0,"Spatial Data Missing",VLOOKUP(AA183,'G-3 Multipliers'!$L$3:$N$6,2,FALSE)))</f>
        <v/>
      </c>
      <c r="AC183" s="345" t="str">
        <f>IF(AA183="","",IF(VLOOKUP(AA183,'G-3 Multipliers'!$L$3:$N$6,3,FALSE)=0,"Spatial Data Missing",VLOOKUP(AA183,'G-3 Multipliers'!$L$3:$N$6,3,FALSE)))</f>
        <v/>
      </c>
      <c r="AD183" s="351" t="str">
        <f t="shared" si="20"/>
        <v/>
      </c>
      <c r="AE183" s="94"/>
      <c r="AF183" s="94"/>
      <c r="AG183" s="343" t="str">
        <f t="shared" si="23"/>
        <v/>
      </c>
      <c r="AH183" s="591" t="str">
        <f t="shared" si="24"/>
        <v/>
      </c>
      <c r="AI183" s="353" t="str">
        <f>IF(AH183="Check Data","Check Data",IFERROR(VLOOKUP(AH183,'G-4 Temporal multipliers'!$A$4:$C$36,3,FALSE),""))</f>
        <v/>
      </c>
      <c r="AJ183" s="77" t="str">
        <f>IF(S183="","",VLOOKUP(S183,'G-3 Multipliers'!$A$2:$E$130,4,FALSE))</f>
        <v/>
      </c>
      <c r="AK183" s="348" t="str">
        <f t="shared" si="25"/>
        <v/>
      </c>
      <c r="AL183" s="348" t="str">
        <f t="shared" si="26"/>
        <v/>
      </c>
      <c r="AM183" s="607" t="str">
        <f>IFERROR(IF(F183="","",IF(AH183="Check Data","Check Data",VLOOKUP(AL183, 'G-3 Multipliers'!$P$2:$Q$6,2,FALSE))),””)</f>
        <v/>
      </c>
      <c r="AN183" s="81" t="str">
        <f t="shared" si="21"/>
        <v/>
      </c>
      <c r="AO183" s="355"/>
      <c r="AP183" s="356"/>
    </row>
    <row r="184" spans="1:42" x14ac:dyDescent="0.25">
      <c r="A184" s="52" t="str">
        <f>IF(E184="","",IF(ISNA(VLOOKUP($E184,'A-1 Site Habitat Baseline'!$D$1:$O$258,2,FALSE)),"",(VLOOKUP($E184,'A-1 Site Habitat Baseline'!$D$1:$O$258,2,FALSE))))</f>
        <v/>
      </c>
      <c r="B184" s="52" t="str">
        <f>IF(E184="","",IF(ISNA(VLOOKUP($E184,'A-1 Site Habitat Baseline'!$D$1:$O$258,3,FALSE)),"",(VLOOKUP($E184,'A-1 Site Habitat Baseline'!$D$1:$O$258,3,FALSE))))</f>
        <v/>
      </c>
      <c r="C184" s="52" t="str">
        <f>IFERROR(INDEX('G-8 Condition Look up'!$I$4:$I$131,MATCH(S184,'G-8 Condition Look up'!$A$4:$A$131,0)),"")</f>
        <v/>
      </c>
      <c r="E184" s="342" t="str">
        <f>'A-1 Site Habitat Baseline'!AL183</f>
        <v/>
      </c>
      <c r="F184" s="343" t="str">
        <f>IF(E184="","",IF(ISNA(VLOOKUP($E184,'A-1 Site Habitat Baseline'!$D$1:$O$258,4,FALSE)),"",(VLOOKUP($E184,'A-1 Site Habitat Baseline'!$D$1:$O$258,4,FALSE))))</f>
        <v/>
      </c>
      <c r="G184" s="343" t="str">
        <f>IF(E184="","",IF(ISNA(VLOOKUP($E184,'A-1 Site Habitat Baseline'!$D$1:$O$258,5,FALSE)),"",(VLOOKUP($E184,'A-1 Site Habitat Baseline'!$D$1:$O$258,5,FALSE))))</f>
        <v/>
      </c>
      <c r="H184" s="343" t="str">
        <f>IF(E184="","",IF(ISNA(VLOOKUP($E184,'A-1 Site Habitat Baseline'!$D$1:$O$258,6,FALSE)),"",(VLOOKUP($E184,'A-1 Site Habitat Baseline'!$D$1:$O$258,6,FALSE))))</f>
        <v/>
      </c>
      <c r="I184" s="343" t="str">
        <f>IF(E184="","",IF(ISNA(VLOOKUP($E184,'A-1 Site Habitat Baseline'!$D$1:$O$258,7,FALSE)),"",(VLOOKUP($E184,'A-1 Site Habitat Baseline'!$D$1:$O$258,7,FALSE))))</f>
        <v/>
      </c>
      <c r="J184" s="343" t="str">
        <f>IF(E184="","",IF(ISNA(VLOOKUP($E184,'A-1 Site Habitat Baseline'!$D$1:$O$258,8,FALSE)),"",(VLOOKUP($E184,'A-1 Site Habitat Baseline'!$D$1:$O$258,8,FALSE))))</f>
        <v/>
      </c>
      <c r="K184" s="343" t="str">
        <f>IF(E184="","",IF(ISNA(VLOOKUP($E184,'A-1 Site Habitat Baseline'!$D$1:$O$258,9,FALSE)),"",(VLOOKUP($E184,'A-1 Site Habitat Baseline'!$D$1:$O$258,9,FALSE))))</f>
        <v/>
      </c>
      <c r="L184" s="343" t="str">
        <f>IF(E184="","",IF(ISNA(VLOOKUP($E184,'A-1 Site Habitat Baseline'!$D$1:$O$258,11,FALSE)),"",(VLOOKUP($E184,'A-1 Site Habitat Baseline'!$D$1:$O$258,11,FALSE))))</f>
        <v/>
      </c>
      <c r="M184" s="343" t="str">
        <f>IF(E184="","",IF(ISNA(VLOOKUP($E184,'A-1 Site Habitat Baseline'!$D$1:$O$258,12,FALSE)),"",(VLOOKUP($E184,'A-1 Site Habitat Baseline'!$D$1:$O$258,12,FALSE))))</f>
        <v/>
      </c>
      <c r="N184" s="344" t="str">
        <f>IF(E184="","",IF(ISNA(VLOOKUP($E184,'A-1 Site Habitat Baseline'!$D$1:$X$258,14,FALSE)),"",(VLOOKUP($E184,'A-1 Site Habitat Baseline'!$D$1:$X$258,14,FALSE))))</f>
        <v/>
      </c>
      <c r="O184" s="345" t="str">
        <f>IF(E184="","",IF(ISNA(VLOOKUP($E184,'A-1 Site Habitat Baseline'!$D$1:$X$258,16,FALSE)),"",(VLOOKUP($E184,'A-1 Site Habitat Baseline'!$D$1:$X$258,13,FALSE))))</f>
        <v/>
      </c>
      <c r="P184" s="346" t="str">
        <f>IFERROR(INDEX('G-1 All Habitats'!$AG$3:$AG$15,MATCH(Q184,'G-1 All Habitats'!$AF$3:$AF$15,0)),"")</f>
        <v/>
      </c>
      <c r="Q184" s="347"/>
      <c r="R184" s="347"/>
      <c r="S184" s="605" t="str">
        <f>IFERROR(INDEX('G-1 All Habitats'!$B$3:$B$130,MATCH(R184,'G-1 All Habitats'!$A$3:$A$130,0)),"")</f>
        <v/>
      </c>
      <c r="T184" s="77" t="str">
        <f t="shared" si="27"/>
        <v/>
      </c>
      <c r="U184" s="78" t="str">
        <f t="shared" si="22"/>
        <v/>
      </c>
      <c r="V184" s="350" t="str">
        <f t="shared" si="19"/>
        <v/>
      </c>
      <c r="W184" s="343" t="str">
        <f>IF(S184="","",VLOOKUP(S184,'G-1 All Habitats'!$B$2:$M$130,10,FALSE))</f>
        <v/>
      </c>
      <c r="X184" s="343" t="str">
        <f>IFERROR(VLOOKUP(W184,'G-1 All Habitats'!$V$3:$W$7,2,FALSE),"")</f>
        <v/>
      </c>
      <c r="Y184" s="91"/>
      <c r="Z184" s="345" t="str">
        <f>IFERROR(INDEX('G-8 Condition Look up'!$A$3:$H$131,MATCH(S184,'G-8 Condition Look up'!$A$3:$A$131,0),MATCH(Y184,'G-8 Condition Look up'!$A$3:$H$3,0)),"")</f>
        <v/>
      </c>
      <c r="AA184" s="79"/>
      <c r="AB184" s="343" t="str">
        <f>IF(AA184="","",IF(VLOOKUP(AA184,'G-3 Multipliers'!$L$3:$N$6,2,FALSE)=0,"Spatial Data Missing",VLOOKUP(AA184,'G-3 Multipliers'!$L$3:$N$6,2,FALSE)))</f>
        <v/>
      </c>
      <c r="AC184" s="345" t="str">
        <f>IF(AA184="","",IF(VLOOKUP(AA184,'G-3 Multipliers'!$L$3:$N$6,3,FALSE)=0,"Spatial Data Missing",VLOOKUP(AA184,'G-3 Multipliers'!$L$3:$N$6,3,FALSE)))</f>
        <v/>
      </c>
      <c r="AD184" s="351" t="str">
        <f t="shared" si="20"/>
        <v/>
      </c>
      <c r="AE184" s="94"/>
      <c r="AF184" s="94"/>
      <c r="AG184" s="343" t="str">
        <f t="shared" si="23"/>
        <v/>
      </c>
      <c r="AH184" s="591" t="str">
        <f t="shared" si="24"/>
        <v/>
      </c>
      <c r="AI184" s="353" t="str">
        <f>IF(AH184="Check Data","Check Data",IFERROR(VLOOKUP(AH184,'G-4 Temporal multipliers'!$A$4:$C$36,3,FALSE),""))</f>
        <v/>
      </c>
      <c r="AJ184" s="77" t="str">
        <f>IF(S184="","",VLOOKUP(S184,'G-3 Multipliers'!$A$2:$E$130,4,FALSE))</f>
        <v/>
      </c>
      <c r="AK184" s="348" t="str">
        <f t="shared" si="25"/>
        <v/>
      </c>
      <c r="AL184" s="348" t="str">
        <f t="shared" si="26"/>
        <v/>
      </c>
      <c r="AM184" s="607" t="str">
        <f>IFERROR(IF(F184="","",IF(AH184="Check Data","Check Data",VLOOKUP(AL184, 'G-3 Multipliers'!$P$2:$Q$6,2,FALSE))),””)</f>
        <v/>
      </c>
      <c r="AN184" s="81" t="str">
        <f t="shared" si="21"/>
        <v/>
      </c>
      <c r="AO184" s="355"/>
      <c r="AP184" s="356"/>
    </row>
    <row r="185" spans="1:42" x14ac:dyDescent="0.25">
      <c r="A185" s="52" t="str">
        <f>IF(E185="","",IF(ISNA(VLOOKUP($E185,'A-1 Site Habitat Baseline'!$D$1:$O$258,2,FALSE)),"",(VLOOKUP($E185,'A-1 Site Habitat Baseline'!$D$1:$O$258,2,FALSE))))</f>
        <v/>
      </c>
      <c r="B185" s="52" t="str">
        <f>IF(E185="","",IF(ISNA(VLOOKUP($E185,'A-1 Site Habitat Baseline'!$D$1:$O$258,3,FALSE)),"",(VLOOKUP($E185,'A-1 Site Habitat Baseline'!$D$1:$O$258,3,FALSE))))</f>
        <v/>
      </c>
      <c r="C185" s="52" t="str">
        <f>IFERROR(INDEX('G-8 Condition Look up'!$I$4:$I$131,MATCH(S185,'G-8 Condition Look up'!$A$4:$A$131,0)),"")</f>
        <v/>
      </c>
      <c r="E185" s="342" t="str">
        <f>'A-1 Site Habitat Baseline'!AL184</f>
        <v/>
      </c>
      <c r="F185" s="343" t="str">
        <f>IF(E185="","",IF(ISNA(VLOOKUP($E185,'A-1 Site Habitat Baseline'!$D$1:$O$258,4,FALSE)),"",(VLOOKUP($E185,'A-1 Site Habitat Baseline'!$D$1:$O$258,4,FALSE))))</f>
        <v/>
      </c>
      <c r="G185" s="343" t="str">
        <f>IF(E185="","",IF(ISNA(VLOOKUP($E185,'A-1 Site Habitat Baseline'!$D$1:$O$258,5,FALSE)),"",(VLOOKUP($E185,'A-1 Site Habitat Baseline'!$D$1:$O$258,5,FALSE))))</f>
        <v/>
      </c>
      <c r="H185" s="343" t="str">
        <f>IF(E185="","",IF(ISNA(VLOOKUP($E185,'A-1 Site Habitat Baseline'!$D$1:$O$258,6,FALSE)),"",(VLOOKUP($E185,'A-1 Site Habitat Baseline'!$D$1:$O$258,6,FALSE))))</f>
        <v/>
      </c>
      <c r="I185" s="343" t="str">
        <f>IF(E185="","",IF(ISNA(VLOOKUP($E185,'A-1 Site Habitat Baseline'!$D$1:$O$258,7,FALSE)),"",(VLOOKUP($E185,'A-1 Site Habitat Baseline'!$D$1:$O$258,7,FALSE))))</f>
        <v/>
      </c>
      <c r="J185" s="343" t="str">
        <f>IF(E185="","",IF(ISNA(VLOOKUP($E185,'A-1 Site Habitat Baseline'!$D$1:$O$258,8,FALSE)),"",(VLOOKUP($E185,'A-1 Site Habitat Baseline'!$D$1:$O$258,8,FALSE))))</f>
        <v/>
      </c>
      <c r="K185" s="343" t="str">
        <f>IF(E185="","",IF(ISNA(VLOOKUP($E185,'A-1 Site Habitat Baseline'!$D$1:$O$258,9,FALSE)),"",(VLOOKUP($E185,'A-1 Site Habitat Baseline'!$D$1:$O$258,9,FALSE))))</f>
        <v/>
      </c>
      <c r="L185" s="343" t="str">
        <f>IF(E185="","",IF(ISNA(VLOOKUP($E185,'A-1 Site Habitat Baseline'!$D$1:$O$258,11,FALSE)),"",(VLOOKUP($E185,'A-1 Site Habitat Baseline'!$D$1:$O$258,11,FALSE))))</f>
        <v/>
      </c>
      <c r="M185" s="343" t="str">
        <f>IF(E185="","",IF(ISNA(VLOOKUP($E185,'A-1 Site Habitat Baseline'!$D$1:$O$258,12,FALSE)),"",(VLOOKUP($E185,'A-1 Site Habitat Baseline'!$D$1:$O$258,12,FALSE))))</f>
        <v/>
      </c>
      <c r="N185" s="344" t="str">
        <f>IF(E185="","",IF(ISNA(VLOOKUP($E185,'A-1 Site Habitat Baseline'!$D$1:$X$258,14,FALSE)),"",(VLOOKUP($E185,'A-1 Site Habitat Baseline'!$D$1:$X$258,14,FALSE))))</f>
        <v/>
      </c>
      <c r="O185" s="345" t="str">
        <f>IF(E185="","",IF(ISNA(VLOOKUP($E185,'A-1 Site Habitat Baseline'!$D$1:$X$258,16,FALSE)),"",(VLOOKUP($E185,'A-1 Site Habitat Baseline'!$D$1:$X$258,13,FALSE))))</f>
        <v/>
      </c>
      <c r="P185" s="346" t="str">
        <f>IFERROR(INDEX('G-1 All Habitats'!$AG$3:$AG$15,MATCH(Q185,'G-1 All Habitats'!$AF$3:$AF$15,0)),"")</f>
        <v/>
      </c>
      <c r="Q185" s="347"/>
      <c r="R185" s="347"/>
      <c r="S185" s="605" t="str">
        <f>IFERROR(INDEX('G-1 All Habitats'!$B$3:$B$130,MATCH(R185,'G-1 All Habitats'!$A$3:$A$130,0)),"")</f>
        <v/>
      </c>
      <c r="T185" s="77" t="str">
        <f t="shared" si="27"/>
        <v/>
      </c>
      <c r="U185" s="78" t="str">
        <f t="shared" si="22"/>
        <v/>
      </c>
      <c r="V185" s="350" t="str">
        <f t="shared" si="19"/>
        <v/>
      </c>
      <c r="W185" s="343" t="str">
        <f>IF(S185="","",VLOOKUP(S185,'G-1 All Habitats'!$B$2:$M$130,10,FALSE))</f>
        <v/>
      </c>
      <c r="X185" s="343" t="str">
        <f>IFERROR(VLOOKUP(W185,'G-1 All Habitats'!$V$3:$W$7,2,FALSE),"")</f>
        <v/>
      </c>
      <c r="Y185" s="91"/>
      <c r="Z185" s="345" t="str">
        <f>IFERROR(INDEX('G-8 Condition Look up'!$A$3:$H$131,MATCH(S185,'G-8 Condition Look up'!$A$3:$A$131,0),MATCH(Y185,'G-8 Condition Look up'!$A$3:$H$3,0)),"")</f>
        <v/>
      </c>
      <c r="AA185" s="79"/>
      <c r="AB185" s="343" t="str">
        <f>IF(AA185="","",IF(VLOOKUP(AA185,'G-3 Multipliers'!$L$3:$N$6,2,FALSE)=0,"Spatial Data Missing",VLOOKUP(AA185,'G-3 Multipliers'!$L$3:$N$6,2,FALSE)))</f>
        <v/>
      </c>
      <c r="AC185" s="345" t="str">
        <f>IF(AA185="","",IF(VLOOKUP(AA185,'G-3 Multipliers'!$L$3:$N$6,3,FALSE)=0,"Spatial Data Missing",VLOOKUP(AA185,'G-3 Multipliers'!$L$3:$N$6,3,FALSE)))</f>
        <v/>
      </c>
      <c r="AD185" s="351" t="str">
        <f t="shared" si="20"/>
        <v/>
      </c>
      <c r="AE185" s="94"/>
      <c r="AF185" s="94"/>
      <c r="AG185" s="343" t="str">
        <f t="shared" si="23"/>
        <v/>
      </c>
      <c r="AH185" s="591" t="str">
        <f t="shared" si="24"/>
        <v/>
      </c>
      <c r="AI185" s="353" t="str">
        <f>IF(AH185="Check Data","Check Data",IFERROR(VLOOKUP(AH185,'G-4 Temporal multipliers'!$A$4:$C$36,3,FALSE),""))</f>
        <v/>
      </c>
      <c r="AJ185" s="77" t="str">
        <f>IF(S185="","",VLOOKUP(S185,'G-3 Multipliers'!$A$2:$E$130,4,FALSE))</f>
        <v/>
      </c>
      <c r="AK185" s="348" t="str">
        <f t="shared" si="25"/>
        <v/>
      </c>
      <c r="AL185" s="348" t="str">
        <f t="shared" si="26"/>
        <v/>
      </c>
      <c r="AM185" s="607" t="str">
        <f>IFERROR(IF(F185="","",IF(AH185="Check Data","Check Data",VLOOKUP(AL185, 'G-3 Multipliers'!$P$2:$Q$6,2,FALSE))),””)</f>
        <v/>
      </c>
      <c r="AN185" s="81" t="str">
        <f t="shared" si="21"/>
        <v/>
      </c>
      <c r="AO185" s="355"/>
      <c r="AP185" s="356"/>
    </row>
    <row r="186" spans="1:42" x14ac:dyDescent="0.25">
      <c r="A186" s="52" t="str">
        <f>IF(E186="","",IF(ISNA(VLOOKUP($E186,'A-1 Site Habitat Baseline'!$D$1:$O$258,2,FALSE)),"",(VLOOKUP($E186,'A-1 Site Habitat Baseline'!$D$1:$O$258,2,FALSE))))</f>
        <v/>
      </c>
      <c r="B186" s="52" t="str">
        <f>IF(E186="","",IF(ISNA(VLOOKUP($E186,'A-1 Site Habitat Baseline'!$D$1:$O$258,3,FALSE)),"",(VLOOKUP($E186,'A-1 Site Habitat Baseline'!$D$1:$O$258,3,FALSE))))</f>
        <v/>
      </c>
      <c r="C186" s="52" t="str">
        <f>IFERROR(INDEX('G-8 Condition Look up'!$I$4:$I$131,MATCH(S186,'G-8 Condition Look up'!$A$4:$A$131,0)),"")</f>
        <v/>
      </c>
      <c r="E186" s="342" t="str">
        <f>'A-1 Site Habitat Baseline'!AL185</f>
        <v/>
      </c>
      <c r="F186" s="343" t="str">
        <f>IF(E186="","",IF(ISNA(VLOOKUP($E186,'A-1 Site Habitat Baseline'!$D$1:$O$258,4,FALSE)),"",(VLOOKUP($E186,'A-1 Site Habitat Baseline'!$D$1:$O$258,4,FALSE))))</f>
        <v/>
      </c>
      <c r="G186" s="343" t="str">
        <f>IF(E186="","",IF(ISNA(VLOOKUP($E186,'A-1 Site Habitat Baseline'!$D$1:$O$258,5,FALSE)),"",(VLOOKUP($E186,'A-1 Site Habitat Baseline'!$D$1:$O$258,5,FALSE))))</f>
        <v/>
      </c>
      <c r="H186" s="343" t="str">
        <f>IF(E186="","",IF(ISNA(VLOOKUP($E186,'A-1 Site Habitat Baseline'!$D$1:$O$258,6,FALSE)),"",(VLOOKUP($E186,'A-1 Site Habitat Baseline'!$D$1:$O$258,6,FALSE))))</f>
        <v/>
      </c>
      <c r="I186" s="343" t="str">
        <f>IF(E186="","",IF(ISNA(VLOOKUP($E186,'A-1 Site Habitat Baseline'!$D$1:$O$258,7,FALSE)),"",(VLOOKUP($E186,'A-1 Site Habitat Baseline'!$D$1:$O$258,7,FALSE))))</f>
        <v/>
      </c>
      <c r="J186" s="343" t="str">
        <f>IF(E186="","",IF(ISNA(VLOOKUP($E186,'A-1 Site Habitat Baseline'!$D$1:$O$258,8,FALSE)),"",(VLOOKUP($E186,'A-1 Site Habitat Baseline'!$D$1:$O$258,8,FALSE))))</f>
        <v/>
      </c>
      <c r="K186" s="343" t="str">
        <f>IF(E186="","",IF(ISNA(VLOOKUP($E186,'A-1 Site Habitat Baseline'!$D$1:$O$258,9,FALSE)),"",(VLOOKUP($E186,'A-1 Site Habitat Baseline'!$D$1:$O$258,9,FALSE))))</f>
        <v/>
      </c>
      <c r="L186" s="343" t="str">
        <f>IF(E186="","",IF(ISNA(VLOOKUP($E186,'A-1 Site Habitat Baseline'!$D$1:$O$258,11,FALSE)),"",(VLOOKUP($E186,'A-1 Site Habitat Baseline'!$D$1:$O$258,11,FALSE))))</f>
        <v/>
      </c>
      <c r="M186" s="343" t="str">
        <f>IF(E186="","",IF(ISNA(VLOOKUP($E186,'A-1 Site Habitat Baseline'!$D$1:$O$258,12,FALSE)),"",(VLOOKUP($E186,'A-1 Site Habitat Baseline'!$D$1:$O$258,12,FALSE))))</f>
        <v/>
      </c>
      <c r="N186" s="344" t="str">
        <f>IF(E186="","",IF(ISNA(VLOOKUP($E186,'A-1 Site Habitat Baseline'!$D$1:$X$258,14,FALSE)),"",(VLOOKUP($E186,'A-1 Site Habitat Baseline'!$D$1:$X$258,14,FALSE))))</f>
        <v/>
      </c>
      <c r="O186" s="345" t="str">
        <f>IF(E186="","",IF(ISNA(VLOOKUP($E186,'A-1 Site Habitat Baseline'!$D$1:$X$258,16,FALSE)),"",(VLOOKUP($E186,'A-1 Site Habitat Baseline'!$D$1:$X$258,13,FALSE))))</f>
        <v/>
      </c>
      <c r="P186" s="346" t="str">
        <f>IFERROR(INDEX('G-1 All Habitats'!$AG$3:$AG$15,MATCH(Q186,'G-1 All Habitats'!$AF$3:$AF$15,0)),"")</f>
        <v/>
      </c>
      <c r="Q186" s="347"/>
      <c r="R186" s="347"/>
      <c r="S186" s="605" t="str">
        <f>IFERROR(INDEX('G-1 All Habitats'!$B$3:$B$130,MATCH(R186,'G-1 All Habitats'!$A$3:$A$130,0)),"")</f>
        <v/>
      </c>
      <c r="T186" s="77" t="str">
        <f t="shared" si="27"/>
        <v/>
      </c>
      <c r="U186" s="78" t="str">
        <f t="shared" si="22"/>
        <v/>
      </c>
      <c r="V186" s="350" t="str">
        <f t="shared" si="19"/>
        <v/>
      </c>
      <c r="W186" s="343" t="str">
        <f>IF(S186="","",VLOOKUP(S186,'G-1 All Habitats'!$B$2:$M$130,10,FALSE))</f>
        <v/>
      </c>
      <c r="X186" s="343" t="str">
        <f>IFERROR(VLOOKUP(W186,'G-1 All Habitats'!$V$3:$W$7,2,FALSE),"")</f>
        <v/>
      </c>
      <c r="Y186" s="91"/>
      <c r="Z186" s="345" t="str">
        <f>IFERROR(INDEX('G-8 Condition Look up'!$A$3:$H$131,MATCH(S186,'G-8 Condition Look up'!$A$3:$A$131,0),MATCH(Y186,'G-8 Condition Look up'!$A$3:$H$3,0)),"")</f>
        <v/>
      </c>
      <c r="AA186" s="79"/>
      <c r="AB186" s="343" t="str">
        <f>IF(AA186="","",IF(VLOOKUP(AA186,'G-3 Multipliers'!$L$3:$N$6,2,FALSE)=0,"Spatial Data Missing",VLOOKUP(AA186,'G-3 Multipliers'!$L$3:$N$6,2,FALSE)))</f>
        <v/>
      </c>
      <c r="AC186" s="345" t="str">
        <f>IF(AA186="","",IF(VLOOKUP(AA186,'G-3 Multipliers'!$L$3:$N$6,3,FALSE)=0,"Spatial Data Missing",VLOOKUP(AA186,'G-3 Multipliers'!$L$3:$N$6,3,FALSE)))</f>
        <v/>
      </c>
      <c r="AD186" s="351" t="str">
        <f t="shared" si="20"/>
        <v/>
      </c>
      <c r="AE186" s="94"/>
      <c r="AF186" s="94"/>
      <c r="AG186" s="343" t="str">
        <f t="shared" si="23"/>
        <v/>
      </c>
      <c r="AH186" s="591" t="str">
        <f t="shared" si="24"/>
        <v/>
      </c>
      <c r="AI186" s="353" t="str">
        <f>IF(AH186="Check Data","Check Data",IFERROR(VLOOKUP(AH186,'G-4 Temporal multipliers'!$A$4:$C$36,3,FALSE),""))</f>
        <v/>
      </c>
      <c r="AJ186" s="77" t="str">
        <f>IF(S186="","",VLOOKUP(S186,'G-3 Multipliers'!$A$2:$E$130,4,FALSE))</f>
        <v/>
      </c>
      <c r="AK186" s="348" t="str">
        <f t="shared" si="25"/>
        <v/>
      </c>
      <c r="AL186" s="348" t="str">
        <f t="shared" si="26"/>
        <v/>
      </c>
      <c r="AM186" s="607" t="str">
        <f>IFERROR(IF(F186="","",IF(AH186="Check Data","Check Data",VLOOKUP(AL186, 'G-3 Multipliers'!$P$2:$Q$6,2,FALSE))),””)</f>
        <v/>
      </c>
      <c r="AN186" s="81" t="str">
        <f t="shared" si="21"/>
        <v/>
      </c>
      <c r="AO186" s="355"/>
      <c r="AP186" s="356"/>
    </row>
    <row r="187" spans="1:42" x14ac:dyDescent="0.25">
      <c r="A187" s="52" t="str">
        <f>IF(E187="","",IF(ISNA(VLOOKUP($E187,'A-1 Site Habitat Baseline'!$D$1:$O$258,2,FALSE)),"",(VLOOKUP($E187,'A-1 Site Habitat Baseline'!$D$1:$O$258,2,FALSE))))</f>
        <v/>
      </c>
      <c r="B187" s="52" t="str">
        <f>IF(E187="","",IF(ISNA(VLOOKUP($E187,'A-1 Site Habitat Baseline'!$D$1:$O$258,3,FALSE)),"",(VLOOKUP($E187,'A-1 Site Habitat Baseline'!$D$1:$O$258,3,FALSE))))</f>
        <v/>
      </c>
      <c r="C187" s="52" t="str">
        <f>IFERROR(INDEX('G-8 Condition Look up'!$I$4:$I$131,MATCH(S187,'G-8 Condition Look up'!$A$4:$A$131,0)),"")</f>
        <v/>
      </c>
      <c r="E187" s="342" t="str">
        <f>'A-1 Site Habitat Baseline'!AL186</f>
        <v/>
      </c>
      <c r="F187" s="343" t="str">
        <f>IF(E187="","",IF(ISNA(VLOOKUP($E187,'A-1 Site Habitat Baseline'!$D$1:$O$258,4,FALSE)),"",(VLOOKUP($E187,'A-1 Site Habitat Baseline'!$D$1:$O$258,4,FALSE))))</f>
        <v/>
      </c>
      <c r="G187" s="343" t="str">
        <f>IF(E187="","",IF(ISNA(VLOOKUP($E187,'A-1 Site Habitat Baseline'!$D$1:$O$258,5,FALSE)),"",(VLOOKUP($E187,'A-1 Site Habitat Baseline'!$D$1:$O$258,5,FALSE))))</f>
        <v/>
      </c>
      <c r="H187" s="343" t="str">
        <f>IF(E187="","",IF(ISNA(VLOOKUP($E187,'A-1 Site Habitat Baseline'!$D$1:$O$258,6,FALSE)),"",(VLOOKUP($E187,'A-1 Site Habitat Baseline'!$D$1:$O$258,6,FALSE))))</f>
        <v/>
      </c>
      <c r="I187" s="343" t="str">
        <f>IF(E187="","",IF(ISNA(VLOOKUP($E187,'A-1 Site Habitat Baseline'!$D$1:$O$258,7,FALSE)),"",(VLOOKUP($E187,'A-1 Site Habitat Baseline'!$D$1:$O$258,7,FALSE))))</f>
        <v/>
      </c>
      <c r="J187" s="343" t="str">
        <f>IF(E187="","",IF(ISNA(VLOOKUP($E187,'A-1 Site Habitat Baseline'!$D$1:$O$258,8,FALSE)),"",(VLOOKUP($E187,'A-1 Site Habitat Baseline'!$D$1:$O$258,8,FALSE))))</f>
        <v/>
      </c>
      <c r="K187" s="343" t="str">
        <f>IF(E187="","",IF(ISNA(VLOOKUP($E187,'A-1 Site Habitat Baseline'!$D$1:$O$258,9,FALSE)),"",(VLOOKUP($E187,'A-1 Site Habitat Baseline'!$D$1:$O$258,9,FALSE))))</f>
        <v/>
      </c>
      <c r="L187" s="343" t="str">
        <f>IF(E187="","",IF(ISNA(VLOOKUP($E187,'A-1 Site Habitat Baseline'!$D$1:$O$258,11,FALSE)),"",(VLOOKUP($E187,'A-1 Site Habitat Baseline'!$D$1:$O$258,11,FALSE))))</f>
        <v/>
      </c>
      <c r="M187" s="343" t="str">
        <f>IF(E187="","",IF(ISNA(VLOOKUP($E187,'A-1 Site Habitat Baseline'!$D$1:$O$258,12,FALSE)),"",(VLOOKUP($E187,'A-1 Site Habitat Baseline'!$D$1:$O$258,12,FALSE))))</f>
        <v/>
      </c>
      <c r="N187" s="344" t="str">
        <f>IF(E187="","",IF(ISNA(VLOOKUP($E187,'A-1 Site Habitat Baseline'!$D$1:$X$258,14,FALSE)),"",(VLOOKUP($E187,'A-1 Site Habitat Baseline'!$D$1:$X$258,14,FALSE))))</f>
        <v/>
      </c>
      <c r="O187" s="345" t="str">
        <f>IF(E187="","",IF(ISNA(VLOOKUP($E187,'A-1 Site Habitat Baseline'!$D$1:$X$258,16,FALSE)),"",(VLOOKUP($E187,'A-1 Site Habitat Baseline'!$D$1:$X$258,13,FALSE))))</f>
        <v/>
      </c>
      <c r="P187" s="346" t="str">
        <f>IFERROR(INDEX('G-1 All Habitats'!$AG$3:$AG$15,MATCH(Q187,'G-1 All Habitats'!$AF$3:$AF$15,0)),"")</f>
        <v/>
      </c>
      <c r="Q187" s="347"/>
      <c r="R187" s="347"/>
      <c r="S187" s="605" t="str">
        <f>IFERROR(INDEX('G-1 All Habitats'!$B$3:$B$130,MATCH(R187,'G-1 All Habitats'!$A$3:$A$130,0)),"")</f>
        <v/>
      </c>
      <c r="T187" s="77" t="str">
        <f t="shared" si="27"/>
        <v/>
      </c>
      <c r="U187" s="78" t="str">
        <f t="shared" si="22"/>
        <v/>
      </c>
      <c r="V187" s="350" t="str">
        <f t="shared" si="19"/>
        <v/>
      </c>
      <c r="W187" s="343" t="str">
        <f>IF(S187="","",VLOOKUP(S187,'G-1 All Habitats'!$B$2:$M$130,10,FALSE))</f>
        <v/>
      </c>
      <c r="X187" s="343" t="str">
        <f>IFERROR(VLOOKUP(W187,'G-1 All Habitats'!$V$3:$W$7,2,FALSE),"")</f>
        <v/>
      </c>
      <c r="Y187" s="91"/>
      <c r="Z187" s="345" t="str">
        <f>IFERROR(INDEX('G-8 Condition Look up'!$A$3:$H$131,MATCH(S187,'G-8 Condition Look up'!$A$3:$A$131,0),MATCH(Y187,'G-8 Condition Look up'!$A$3:$H$3,0)),"")</f>
        <v/>
      </c>
      <c r="AA187" s="79"/>
      <c r="AB187" s="343" t="str">
        <f>IF(AA187="","",IF(VLOOKUP(AA187,'G-3 Multipliers'!$L$3:$N$6,2,FALSE)=0,"Spatial Data Missing",VLOOKUP(AA187,'G-3 Multipliers'!$L$3:$N$6,2,FALSE)))</f>
        <v/>
      </c>
      <c r="AC187" s="345" t="str">
        <f>IF(AA187="","",IF(VLOOKUP(AA187,'G-3 Multipliers'!$L$3:$N$6,3,FALSE)=0,"Spatial Data Missing",VLOOKUP(AA187,'G-3 Multipliers'!$L$3:$N$6,3,FALSE)))</f>
        <v/>
      </c>
      <c r="AD187" s="351" t="str">
        <f t="shared" si="20"/>
        <v/>
      </c>
      <c r="AE187" s="94"/>
      <c r="AF187" s="94"/>
      <c r="AG187" s="343" t="str">
        <f t="shared" si="23"/>
        <v/>
      </c>
      <c r="AH187" s="591" t="str">
        <f t="shared" si="24"/>
        <v/>
      </c>
      <c r="AI187" s="353" t="str">
        <f>IF(AH187="Check Data","Check Data",IFERROR(VLOOKUP(AH187,'G-4 Temporal multipliers'!$A$4:$C$36,3,FALSE),""))</f>
        <v/>
      </c>
      <c r="AJ187" s="77" t="str">
        <f>IF(S187="","",VLOOKUP(S187,'G-3 Multipliers'!$A$2:$E$130,4,FALSE))</f>
        <v/>
      </c>
      <c r="AK187" s="348" t="str">
        <f t="shared" si="25"/>
        <v/>
      </c>
      <c r="AL187" s="348" t="str">
        <f t="shared" si="26"/>
        <v/>
      </c>
      <c r="AM187" s="607" t="str">
        <f>IFERROR(IF(F187="","",IF(AH187="Check Data","Check Data",VLOOKUP(AL187, 'G-3 Multipliers'!$P$2:$Q$6,2,FALSE))),””)</f>
        <v/>
      </c>
      <c r="AN187" s="81" t="str">
        <f t="shared" si="21"/>
        <v/>
      </c>
      <c r="AO187" s="355"/>
      <c r="AP187" s="356"/>
    </row>
    <row r="188" spans="1:42" x14ac:dyDescent="0.25">
      <c r="A188" s="52" t="str">
        <f>IF(E188="","",IF(ISNA(VLOOKUP($E188,'A-1 Site Habitat Baseline'!$D$1:$O$258,2,FALSE)),"",(VLOOKUP($E188,'A-1 Site Habitat Baseline'!$D$1:$O$258,2,FALSE))))</f>
        <v/>
      </c>
      <c r="B188" s="52" t="str">
        <f>IF(E188="","",IF(ISNA(VLOOKUP($E188,'A-1 Site Habitat Baseline'!$D$1:$O$258,3,FALSE)),"",(VLOOKUP($E188,'A-1 Site Habitat Baseline'!$D$1:$O$258,3,FALSE))))</f>
        <v/>
      </c>
      <c r="C188" s="52" t="str">
        <f>IFERROR(INDEX('G-8 Condition Look up'!$I$4:$I$131,MATCH(S188,'G-8 Condition Look up'!$A$4:$A$131,0)),"")</f>
        <v/>
      </c>
      <c r="E188" s="342" t="str">
        <f>'A-1 Site Habitat Baseline'!AL187</f>
        <v/>
      </c>
      <c r="F188" s="343" t="str">
        <f>IF(E188="","",IF(ISNA(VLOOKUP($E188,'A-1 Site Habitat Baseline'!$D$1:$O$258,4,FALSE)),"",(VLOOKUP($E188,'A-1 Site Habitat Baseline'!$D$1:$O$258,4,FALSE))))</f>
        <v/>
      </c>
      <c r="G188" s="343" t="str">
        <f>IF(E188="","",IF(ISNA(VLOOKUP($E188,'A-1 Site Habitat Baseline'!$D$1:$O$258,5,FALSE)),"",(VLOOKUP($E188,'A-1 Site Habitat Baseline'!$D$1:$O$258,5,FALSE))))</f>
        <v/>
      </c>
      <c r="H188" s="343" t="str">
        <f>IF(E188="","",IF(ISNA(VLOOKUP($E188,'A-1 Site Habitat Baseline'!$D$1:$O$258,6,FALSE)),"",(VLOOKUP($E188,'A-1 Site Habitat Baseline'!$D$1:$O$258,6,FALSE))))</f>
        <v/>
      </c>
      <c r="I188" s="343" t="str">
        <f>IF(E188="","",IF(ISNA(VLOOKUP($E188,'A-1 Site Habitat Baseline'!$D$1:$O$258,7,FALSE)),"",(VLOOKUP($E188,'A-1 Site Habitat Baseline'!$D$1:$O$258,7,FALSE))))</f>
        <v/>
      </c>
      <c r="J188" s="343" t="str">
        <f>IF(E188="","",IF(ISNA(VLOOKUP($E188,'A-1 Site Habitat Baseline'!$D$1:$O$258,8,FALSE)),"",(VLOOKUP($E188,'A-1 Site Habitat Baseline'!$D$1:$O$258,8,FALSE))))</f>
        <v/>
      </c>
      <c r="K188" s="343" t="str">
        <f>IF(E188="","",IF(ISNA(VLOOKUP($E188,'A-1 Site Habitat Baseline'!$D$1:$O$258,9,FALSE)),"",(VLOOKUP($E188,'A-1 Site Habitat Baseline'!$D$1:$O$258,9,FALSE))))</f>
        <v/>
      </c>
      <c r="L188" s="343" t="str">
        <f>IF(E188="","",IF(ISNA(VLOOKUP($E188,'A-1 Site Habitat Baseline'!$D$1:$O$258,11,FALSE)),"",(VLOOKUP($E188,'A-1 Site Habitat Baseline'!$D$1:$O$258,11,FALSE))))</f>
        <v/>
      </c>
      <c r="M188" s="343" t="str">
        <f>IF(E188="","",IF(ISNA(VLOOKUP($E188,'A-1 Site Habitat Baseline'!$D$1:$O$258,12,FALSE)),"",(VLOOKUP($E188,'A-1 Site Habitat Baseline'!$D$1:$O$258,12,FALSE))))</f>
        <v/>
      </c>
      <c r="N188" s="344" t="str">
        <f>IF(E188="","",IF(ISNA(VLOOKUP($E188,'A-1 Site Habitat Baseline'!$D$1:$X$258,14,FALSE)),"",(VLOOKUP($E188,'A-1 Site Habitat Baseline'!$D$1:$X$258,14,FALSE))))</f>
        <v/>
      </c>
      <c r="O188" s="345" t="str">
        <f>IF(E188="","",IF(ISNA(VLOOKUP($E188,'A-1 Site Habitat Baseline'!$D$1:$X$258,16,FALSE)),"",(VLOOKUP($E188,'A-1 Site Habitat Baseline'!$D$1:$X$258,13,FALSE))))</f>
        <v/>
      </c>
      <c r="P188" s="346" t="str">
        <f>IFERROR(INDEX('G-1 All Habitats'!$AG$3:$AG$15,MATCH(Q188,'G-1 All Habitats'!$AF$3:$AF$15,0)),"")</f>
        <v/>
      </c>
      <c r="Q188" s="347"/>
      <c r="R188" s="347"/>
      <c r="S188" s="605" t="str">
        <f>IFERROR(INDEX('G-1 All Habitats'!$B$3:$B$130,MATCH(R188,'G-1 All Habitats'!$A$3:$A$130,0)),"")</f>
        <v/>
      </c>
      <c r="T188" s="77" t="str">
        <f t="shared" si="27"/>
        <v/>
      </c>
      <c r="U188" s="78" t="str">
        <f t="shared" si="22"/>
        <v/>
      </c>
      <c r="V188" s="350" t="str">
        <f t="shared" si="19"/>
        <v/>
      </c>
      <c r="W188" s="343" t="str">
        <f>IF(S188="","",VLOOKUP(S188,'G-1 All Habitats'!$B$2:$M$130,10,FALSE))</f>
        <v/>
      </c>
      <c r="X188" s="343" t="str">
        <f>IFERROR(VLOOKUP(W188,'G-1 All Habitats'!$V$3:$W$7,2,FALSE),"")</f>
        <v/>
      </c>
      <c r="Y188" s="91"/>
      <c r="Z188" s="345" t="str">
        <f>IFERROR(INDEX('G-8 Condition Look up'!$A$3:$H$131,MATCH(S188,'G-8 Condition Look up'!$A$3:$A$131,0),MATCH(Y188,'G-8 Condition Look up'!$A$3:$H$3,0)),"")</f>
        <v/>
      </c>
      <c r="AA188" s="79"/>
      <c r="AB188" s="343" t="str">
        <f>IF(AA188="","",IF(VLOOKUP(AA188,'G-3 Multipliers'!$L$3:$N$6,2,FALSE)=0,"Spatial Data Missing",VLOOKUP(AA188,'G-3 Multipliers'!$L$3:$N$6,2,FALSE)))</f>
        <v/>
      </c>
      <c r="AC188" s="345" t="str">
        <f>IF(AA188="","",IF(VLOOKUP(AA188,'G-3 Multipliers'!$L$3:$N$6,3,FALSE)=0,"Spatial Data Missing",VLOOKUP(AA188,'G-3 Multipliers'!$L$3:$N$6,3,FALSE)))</f>
        <v/>
      </c>
      <c r="AD188" s="351" t="str">
        <f t="shared" si="20"/>
        <v/>
      </c>
      <c r="AE188" s="94"/>
      <c r="AF188" s="94"/>
      <c r="AG188" s="343" t="str">
        <f t="shared" si="23"/>
        <v/>
      </c>
      <c r="AH188" s="591" t="str">
        <f t="shared" si="24"/>
        <v/>
      </c>
      <c r="AI188" s="353" t="str">
        <f>IF(AH188="Check Data","Check Data",IFERROR(VLOOKUP(AH188,'G-4 Temporal multipliers'!$A$4:$C$36,3,FALSE),""))</f>
        <v/>
      </c>
      <c r="AJ188" s="77" t="str">
        <f>IF(S188="","",VLOOKUP(S188,'G-3 Multipliers'!$A$2:$E$130,4,FALSE))</f>
        <v/>
      </c>
      <c r="AK188" s="348" t="str">
        <f t="shared" si="25"/>
        <v/>
      </c>
      <c r="AL188" s="348" t="str">
        <f t="shared" si="26"/>
        <v/>
      </c>
      <c r="AM188" s="607" t="str">
        <f>IFERROR(IF(F188="","",IF(AH188="Check Data","Check Data",VLOOKUP(AL188, 'G-3 Multipliers'!$P$2:$Q$6,2,FALSE))),””)</f>
        <v/>
      </c>
      <c r="AN188" s="81" t="str">
        <f t="shared" si="21"/>
        <v/>
      </c>
      <c r="AO188" s="355"/>
      <c r="AP188" s="356"/>
    </row>
    <row r="189" spans="1:42" x14ac:dyDescent="0.25">
      <c r="A189" s="52" t="str">
        <f>IF(E189="","",IF(ISNA(VLOOKUP($E189,'A-1 Site Habitat Baseline'!$D$1:$O$258,2,FALSE)),"",(VLOOKUP($E189,'A-1 Site Habitat Baseline'!$D$1:$O$258,2,FALSE))))</f>
        <v/>
      </c>
      <c r="B189" s="52" t="str">
        <f>IF(E189="","",IF(ISNA(VLOOKUP($E189,'A-1 Site Habitat Baseline'!$D$1:$O$258,3,FALSE)),"",(VLOOKUP($E189,'A-1 Site Habitat Baseline'!$D$1:$O$258,3,FALSE))))</f>
        <v/>
      </c>
      <c r="C189" s="52" t="str">
        <f>IFERROR(INDEX('G-8 Condition Look up'!$I$4:$I$131,MATCH(S189,'G-8 Condition Look up'!$A$4:$A$131,0)),"")</f>
        <v/>
      </c>
      <c r="E189" s="342" t="str">
        <f>'A-1 Site Habitat Baseline'!AL188</f>
        <v/>
      </c>
      <c r="F189" s="343" t="str">
        <f>IF(E189="","",IF(ISNA(VLOOKUP($E189,'A-1 Site Habitat Baseline'!$D$1:$O$258,4,FALSE)),"",(VLOOKUP($E189,'A-1 Site Habitat Baseline'!$D$1:$O$258,4,FALSE))))</f>
        <v/>
      </c>
      <c r="G189" s="343" t="str">
        <f>IF(E189="","",IF(ISNA(VLOOKUP($E189,'A-1 Site Habitat Baseline'!$D$1:$O$258,5,FALSE)),"",(VLOOKUP($E189,'A-1 Site Habitat Baseline'!$D$1:$O$258,5,FALSE))))</f>
        <v/>
      </c>
      <c r="H189" s="343" t="str">
        <f>IF(E189="","",IF(ISNA(VLOOKUP($E189,'A-1 Site Habitat Baseline'!$D$1:$O$258,6,FALSE)),"",(VLOOKUP($E189,'A-1 Site Habitat Baseline'!$D$1:$O$258,6,FALSE))))</f>
        <v/>
      </c>
      <c r="I189" s="343" t="str">
        <f>IF(E189="","",IF(ISNA(VLOOKUP($E189,'A-1 Site Habitat Baseline'!$D$1:$O$258,7,FALSE)),"",(VLOOKUP($E189,'A-1 Site Habitat Baseline'!$D$1:$O$258,7,FALSE))))</f>
        <v/>
      </c>
      <c r="J189" s="343" t="str">
        <f>IF(E189="","",IF(ISNA(VLOOKUP($E189,'A-1 Site Habitat Baseline'!$D$1:$O$258,8,FALSE)),"",(VLOOKUP($E189,'A-1 Site Habitat Baseline'!$D$1:$O$258,8,FALSE))))</f>
        <v/>
      </c>
      <c r="K189" s="343" t="str">
        <f>IF(E189="","",IF(ISNA(VLOOKUP($E189,'A-1 Site Habitat Baseline'!$D$1:$O$258,9,FALSE)),"",(VLOOKUP($E189,'A-1 Site Habitat Baseline'!$D$1:$O$258,9,FALSE))))</f>
        <v/>
      </c>
      <c r="L189" s="343" t="str">
        <f>IF(E189="","",IF(ISNA(VLOOKUP($E189,'A-1 Site Habitat Baseline'!$D$1:$O$258,11,FALSE)),"",(VLOOKUP($E189,'A-1 Site Habitat Baseline'!$D$1:$O$258,11,FALSE))))</f>
        <v/>
      </c>
      <c r="M189" s="343" t="str">
        <f>IF(E189="","",IF(ISNA(VLOOKUP($E189,'A-1 Site Habitat Baseline'!$D$1:$O$258,12,FALSE)),"",(VLOOKUP($E189,'A-1 Site Habitat Baseline'!$D$1:$O$258,12,FALSE))))</f>
        <v/>
      </c>
      <c r="N189" s="344" t="str">
        <f>IF(E189="","",IF(ISNA(VLOOKUP($E189,'A-1 Site Habitat Baseline'!$D$1:$X$258,14,FALSE)),"",(VLOOKUP($E189,'A-1 Site Habitat Baseline'!$D$1:$X$258,14,FALSE))))</f>
        <v/>
      </c>
      <c r="O189" s="345" t="str">
        <f>IF(E189="","",IF(ISNA(VLOOKUP($E189,'A-1 Site Habitat Baseline'!$D$1:$X$258,16,FALSE)),"",(VLOOKUP($E189,'A-1 Site Habitat Baseline'!$D$1:$X$258,13,FALSE))))</f>
        <v/>
      </c>
      <c r="P189" s="346" t="str">
        <f>IFERROR(INDEX('G-1 All Habitats'!$AG$3:$AG$15,MATCH(Q189,'G-1 All Habitats'!$AF$3:$AF$15,0)),"")</f>
        <v/>
      </c>
      <c r="Q189" s="347"/>
      <c r="R189" s="347"/>
      <c r="S189" s="605" t="str">
        <f>IFERROR(INDEX('G-1 All Habitats'!$B$3:$B$130,MATCH(R189,'G-1 All Habitats'!$A$3:$A$130,0)),"")</f>
        <v/>
      </c>
      <c r="T189" s="77" t="str">
        <f t="shared" si="27"/>
        <v/>
      </c>
      <c r="U189" s="78" t="str">
        <f t="shared" si="22"/>
        <v/>
      </c>
      <c r="V189" s="350" t="str">
        <f t="shared" si="19"/>
        <v/>
      </c>
      <c r="W189" s="343" t="str">
        <f>IF(S189="","",VLOOKUP(S189,'G-1 All Habitats'!$B$2:$M$130,10,FALSE))</f>
        <v/>
      </c>
      <c r="X189" s="343" t="str">
        <f>IFERROR(VLOOKUP(W189,'G-1 All Habitats'!$V$3:$W$7,2,FALSE),"")</f>
        <v/>
      </c>
      <c r="Y189" s="91"/>
      <c r="Z189" s="345" t="str">
        <f>IFERROR(INDEX('G-8 Condition Look up'!$A$3:$H$131,MATCH(S189,'G-8 Condition Look up'!$A$3:$A$131,0),MATCH(Y189,'G-8 Condition Look up'!$A$3:$H$3,0)),"")</f>
        <v/>
      </c>
      <c r="AA189" s="79"/>
      <c r="AB189" s="343" t="str">
        <f>IF(AA189="","",IF(VLOOKUP(AA189,'G-3 Multipliers'!$L$3:$N$6,2,FALSE)=0,"Spatial Data Missing",VLOOKUP(AA189,'G-3 Multipliers'!$L$3:$N$6,2,FALSE)))</f>
        <v/>
      </c>
      <c r="AC189" s="345" t="str">
        <f>IF(AA189="","",IF(VLOOKUP(AA189,'G-3 Multipliers'!$L$3:$N$6,3,FALSE)=0,"Spatial Data Missing",VLOOKUP(AA189,'G-3 Multipliers'!$L$3:$N$6,3,FALSE)))</f>
        <v/>
      </c>
      <c r="AD189" s="351" t="str">
        <f t="shared" si="20"/>
        <v/>
      </c>
      <c r="AE189" s="94"/>
      <c r="AF189" s="94"/>
      <c r="AG189" s="343" t="str">
        <f t="shared" si="23"/>
        <v/>
      </c>
      <c r="AH189" s="591" t="str">
        <f t="shared" si="24"/>
        <v/>
      </c>
      <c r="AI189" s="353" t="str">
        <f>IF(AH189="Check Data","Check Data",IFERROR(VLOOKUP(AH189,'G-4 Temporal multipliers'!$A$4:$C$36,3,FALSE),""))</f>
        <v/>
      </c>
      <c r="AJ189" s="77" t="str">
        <f>IF(S189="","",VLOOKUP(S189,'G-3 Multipliers'!$A$2:$E$130,4,FALSE))</f>
        <v/>
      </c>
      <c r="AK189" s="348" t="str">
        <f t="shared" si="25"/>
        <v/>
      </c>
      <c r="AL189" s="348" t="str">
        <f t="shared" si="26"/>
        <v/>
      </c>
      <c r="AM189" s="607" t="str">
        <f>IFERROR(IF(F189="","",IF(AH189="Check Data","Check Data",VLOOKUP(AL189, 'G-3 Multipliers'!$P$2:$Q$6,2,FALSE))),””)</f>
        <v/>
      </c>
      <c r="AN189" s="81" t="str">
        <f t="shared" si="21"/>
        <v/>
      </c>
      <c r="AO189" s="355"/>
      <c r="AP189" s="356"/>
    </row>
    <row r="190" spans="1:42" x14ac:dyDescent="0.25">
      <c r="A190" s="52" t="str">
        <f>IF(E190="","",IF(ISNA(VLOOKUP($E190,'A-1 Site Habitat Baseline'!$D$1:$O$258,2,FALSE)),"",(VLOOKUP($E190,'A-1 Site Habitat Baseline'!$D$1:$O$258,2,FALSE))))</f>
        <v/>
      </c>
      <c r="B190" s="52" t="str">
        <f>IF(E190="","",IF(ISNA(VLOOKUP($E190,'A-1 Site Habitat Baseline'!$D$1:$O$258,3,FALSE)),"",(VLOOKUP($E190,'A-1 Site Habitat Baseline'!$D$1:$O$258,3,FALSE))))</f>
        <v/>
      </c>
      <c r="C190" s="52" t="str">
        <f>IFERROR(INDEX('G-8 Condition Look up'!$I$4:$I$131,MATCH(S190,'G-8 Condition Look up'!$A$4:$A$131,0)),"")</f>
        <v/>
      </c>
      <c r="E190" s="342" t="str">
        <f>'A-1 Site Habitat Baseline'!AL189</f>
        <v/>
      </c>
      <c r="F190" s="343" t="str">
        <f>IF(E190="","",IF(ISNA(VLOOKUP($E190,'A-1 Site Habitat Baseline'!$D$1:$O$258,4,FALSE)),"",(VLOOKUP($E190,'A-1 Site Habitat Baseline'!$D$1:$O$258,4,FALSE))))</f>
        <v/>
      </c>
      <c r="G190" s="343" t="str">
        <f>IF(E190="","",IF(ISNA(VLOOKUP($E190,'A-1 Site Habitat Baseline'!$D$1:$O$258,5,FALSE)),"",(VLOOKUP($E190,'A-1 Site Habitat Baseline'!$D$1:$O$258,5,FALSE))))</f>
        <v/>
      </c>
      <c r="H190" s="343" t="str">
        <f>IF(E190="","",IF(ISNA(VLOOKUP($E190,'A-1 Site Habitat Baseline'!$D$1:$O$258,6,FALSE)),"",(VLOOKUP($E190,'A-1 Site Habitat Baseline'!$D$1:$O$258,6,FALSE))))</f>
        <v/>
      </c>
      <c r="I190" s="343" t="str">
        <f>IF(E190="","",IF(ISNA(VLOOKUP($E190,'A-1 Site Habitat Baseline'!$D$1:$O$258,7,FALSE)),"",(VLOOKUP($E190,'A-1 Site Habitat Baseline'!$D$1:$O$258,7,FALSE))))</f>
        <v/>
      </c>
      <c r="J190" s="343" t="str">
        <f>IF(E190="","",IF(ISNA(VLOOKUP($E190,'A-1 Site Habitat Baseline'!$D$1:$O$258,8,FALSE)),"",(VLOOKUP($E190,'A-1 Site Habitat Baseline'!$D$1:$O$258,8,FALSE))))</f>
        <v/>
      </c>
      <c r="K190" s="343" t="str">
        <f>IF(E190="","",IF(ISNA(VLOOKUP($E190,'A-1 Site Habitat Baseline'!$D$1:$O$258,9,FALSE)),"",(VLOOKUP($E190,'A-1 Site Habitat Baseline'!$D$1:$O$258,9,FALSE))))</f>
        <v/>
      </c>
      <c r="L190" s="343" t="str">
        <f>IF(E190="","",IF(ISNA(VLOOKUP($E190,'A-1 Site Habitat Baseline'!$D$1:$O$258,11,FALSE)),"",(VLOOKUP($E190,'A-1 Site Habitat Baseline'!$D$1:$O$258,11,FALSE))))</f>
        <v/>
      </c>
      <c r="M190" s="343" t="str">
        <f>IF(E190="","",IF(ISNA(VLOOKUP($E190,'A-1 Site Habitat Baseline'!$D$1:$O$258,12,FALSE)),"",(VLOOKUP($E190,'A-1 Site Habitat Baseline'!$D$1:$O$258,12,FALSE))))</f>
        <v/>
      </c>
      <c r="N190" s="344" t="str">
        <f>IF(E190="","",IF(ISNA(VLOOKUP($E190,'A-1 Site Habitat Baseline'!$D$1:$X$258,14,FALSE)),"",(VLOOKUP($E190,'A-1 Site Habitat Baseline'!$D$1:$X$258,14,FALSE))))</f>
        <v/>
      </c>
      <c r="O190" s="345" t="str">
        <f>IF(E190="","",IF(ISNA(VLOOKUP($E190,'A-1 Site Habitat Baseline'!$D$1:$X$258,16,FALSE)),"",(VLOOKUP($E190,'A-1 Site Habitat Baseline'!$D$1:$X$258,13,FALSE))))</f>
        <v/>
      </c>
      <c r="P190" s="346" t="str">
        <f>IFERROR(INDEX('G-1 All Habitats'!$AG$3:$AG$15,MATCH(Q190,'G-1 All Habitats'!$AF$3:$AF$15,0)),"")</f>
        <v/>
      </c>
      <c r="Q190" s="347"/>
      <c r="R190" s="347"/>
      <c r="S190" s="605" t="str">
        <f>IFERROR(INDEX('G-1 All Habitats'!$B$3:$B$130,MATCH(R190,'G-1 All Habitats'!$A$3:$A$130,0)),"")</f>
        <v/>
      </c>
      <c r="T190" s="77" t="str">
        <f t="shared" si="27"/>
        <v/>
      </c>
      <c r="U190" s="78" t="str">
        <f t="shared" si="22"/>
        <v/>
      </c>
      <c r="V190" s="350" t="str">
        <f t="shared" si="19"/>
        <v/>
      </c>
      <c r="W190" s="343" t="str">
        <f>IF(S190="","",VLOOKUP(S190,'G-1 All Habitats'!$B$2:$M$130,10,FALSE))</f>
        <v/>
      </c>
      <c r="X190" s="343" t="str">
        <f>IFERROR(VLOOKUP(W190,'G-1 All Habitats'!$V$3:$W$7,2,FALSE),"")</f>
        <v/>
      </c>
      <c r="Y190" s="91"/>
      <c r="Z190" s="345" t="str">
        <f>IFERROR(INDEX('G-8 Condition Look up'!$A$3:$H$131,MATCH(S190,'G-8 Condition Look up'!$A$3:$A$131,0),MATCH(Y190,'G-8 Condition Look up'!$A$3:$H$3,0)),"")</f>
        <v/>
      </c>
      <c r="AA190" s="79"/>
      <c r="AB190" s="343" t="str">
        <f>IF(AA190="","",IF(VLOOKUP(AA190,'G-3 Multipliers'!$L$3:$N$6,2,FALSE)=0,"Spatial Data Missing",VLOOKUP(AA190,'G-3 Multipliers'!$L$3:$N$6,2,FALSE)))</f>
        <v/>
      </c>
      <c r="AC190" s="345" t="str">
        <f>IF(AA190="","",IF(VLOOKUP(AA190,'G-3 Multipliers'!$L$3:$N$6,3,FALSE)=0,"Spatial Data Missing",VLOOKUP(AA190,'G-3 Multipliers'!$L$3:$N$6,3,FALSE)))</f>
        <v/>
      </c>
      <c r="AD190" s="351" t="str">
        <f t="shared" si="20"/>
        <v/>
      </c>
      <c r="AE190" s="94"/>
      <c r="AF190" s="94"/>
      <c r="AG190" s="343" t="str">
        <f t="shared" si="23"/>
        <v/>
      </c>
      <c r="AH190" s="591" t="str">
        <f t="shared" si="24"/>
        <v/>
      </c>
      <c r="AI190" s="353" t="str">
        <f>IF(AH190="Check Data","Check Data",IFERROR(VLOOKUP(AH190,'G-4 Temporal multipliers'!$A$4:$C$36,3,FALSE),""))</f>
        <v/>
      </c>
      <c r="AJ190" s="77" t="str">
        <f>IF(S190="","",VLOOKUP(S190,'G-3 Multipliers'!$A$2:$E$130,4,FALSE))</f>
        <v/>
      </c>
      <c r="AK190" s="348" t="str">
        <f t="shared" si="25"/>
        <v/>
      </c>
      <c r="AL190" s="348" t="str">
        <f t="shared" si="26"/>
        <v/>
      </c>
      <c r="AM190" s="607" t="str">
        <f>IFERROR(IF(F190="","",IF(AH190="Check Data","Check Data",VLOOKUP(AL190, 'G-3 Multipliers'!$P$2:$Q$6,2,FALSE))),””)</f>
        <v/>
      </c>
      <c r="AN190" s="81" t="str">
        <f t="shared" si="21"/>
        <v/>
      </c>
      <c r="AO190" s="355"/>
      <c r="AP190" s="356"/>
    </row>
    <row r="191" spans="1:42" x14ac:dyDescent="0.25">
      <c r="A191" s="52" t="str">
        <f>IF(E191="","",IF(ISNA(VLOOKUP($E191,'A-1 Site Habitat Baseline'!$D$1:$O$258,2,FALSE)),"",(VLOOKUP($E191,'A-1 Site Habitat Baseline'!$D$1:$O$258,2,FALSE))))</f>
        <v/>
      </c>
      <c r="B191" s="52" t="str">
        <f>IF(E191="","",IF(ISNA(VLOOKUP($E191,'A-1 Site Habitat Baseline'!$D$1:$O$258,3,FALSE)),"",(VLOOKUP($E191,'A-1 Site Habitat Baseline'!$D$1:$O$258,3,FALSE))))</f>
        <v/>
      </c>
      <c r="C191" s="52" t="str">
        <f>IFERROR(INDEX('G-8 Condition Look up'!$I$4:$I$131,MATCH(S191,'G-8 Condition Look up'!$A$4:$A$131,0)),"")</f>
        <v/>
      </c>
      <c r="E191" s="342" t="str">
        <f>'A-1 Site Habitat Baseline'!AL190</f>
        <v/>
      </c>
      <c r="F191" s="343" t="str">
        <f>IF(E191="","",IF(ISNA(VLOOKUP($E191,'A-1 Site Habitat Baseline'!$D$1:$O$258,4,FALSE)),"",(VLOOKUP($E191,'A-1 Site Habitat Baseline'!$D$1:$O$258,4,FALSE))))</f>
        <v/>
      </c>
      <c r="G191" s="343" t="str">
        <f>IF(E191="","",IF(ISNA(VLOOKUP($E191,'A-1 Site Habitat Baseline'!$D$1:$O$258,5,FALSE)),"",(VLOOKUP($E191,'A-1 Site Habitat Baseline'!$D$1:$O$258,5,FALSE))))</f>
        <v/>
      </c>
      <c r="H191" s="343" t="str">
        <f>IF(E191="","",IF(ISNA(VLOOKUP($E191,'A-1 Site Habitat Baseline'!$D$1:$O$258,6,FALSE)),"",(VLOOKUP($E191,'A-1 Site Habitat Baseline'!$D$1:$O$258,6,FALSE))))</f>
        <v/>
      </c>
      <c r="I191" s="343" t="str">
        <f>IF(E191="","",IF(ISNA(VLOOKUP($E191,'A-1 Site Habitat Baseline'!$D$1:$O$258,7,FALSE)),"",(VLOOKUP($E191,'A-1 Site Habitat Baseline'!$D$1:$O$258,7,FALSE))))</f>
        <v/>
      </c>
      <c r="J191" s="343" t="str">
        <f>IF(E191="","",IF(ISNA(VLOOKUP($E191,'A-1 Site Habitat Baseline'!$D$1:$O$258,8,FALSE)),"",(VLOOKUP($E191,'A-1 Site Habitat Baseline'!$D$1:$O$258,8,FALSE))))</f>
        <v/>
      </c>
      <c r="K191" s="343" t="str">
        <f>IF(E191="","",IF(ISNA(VLOOKUP($E191,'A-1 Site Habitat Baseline'!$D$1:$O$258,9,FALSE)),"",(VLOOKUP($E191,'A-1 Site Habitat Baseline'!$D$1:$O$258,9,FALSE))))</f>
        <v/>
      </c>
      <c r="L191" s="343" t="str">
        <f>IF(E191="","",IF(ISNA(VLOOKUP($E191,'A-1 Site Habitat Baseline'!$D$1:$O$258,11,FALSE)),"",(VLOOKUP($E191,'A-1 Site Habitat Baseline'!$D$1:$O$258,11,FALSE))))</f>
        <v/>
      </c>
      <c r="M191" s="343" t="str">
        <f>IF(E191="","",IF(ISNA(VLOOKUP($E191,'A-1 Site Habitat Baseline'!$D$1:$O$258,12,FALSE)),"",(VLOOKUP($E191,'A-1 Site Habitat Baseline'!$D$1:$O$258,12,FALSE))))</f>
        <v/>
      </c>
      <c r="N191" s="344" t="str">
        <f>IF(E191="","",IF(ISNA(VLOOKUP($E191,'A-1 Site Habitat Baseline'!$D$1:$X$258,14,FALSE)),"",(VLOOKUP($E191,'A-1 Site Habitat Baseline'!$D$1:$X$258,14,FALSE))))</f>
        <v/>
      </c>
      <c r="O191" s="345" t="str">
        <f>IF(E191="","",IF(ISNA(VLOOKUP($E191,'A-1 Site Habitat Baseline'!$D$1:$X$258,16,FALSE)),"",(VLOOKUP($E191,'A-1 Site Habitat Baseline'!$D$1:$X$258,13,FALSE))))</f>
        <v/>
      </c>
      <c r="P191" s="346" t="str">
        <f>IFERROR(INDEX('G-1 All Habitats'!$AG$3:$AG$15,MATCH(Q191,'G-1 All Habitats'!$AF$3:$AF$15,0)),"")</f>
        <v/>
      </c>
      <c r="Q191" s="347"/>
      <c r="R191" s="347"/>
      <c r="S191" s="605" t="str">
        <f>IFERROR(INDEX('G-1 All Habitats'!$B$3:$B$130,MATCH(R191,'G-1 All Habitats'!$A$3:$A$130,0)),"")</f>
        <v/>
      </c>
      <c r="T191" s="77" t="str">
        <f t="shared" si="27"/>
        <v/>
      </c>
      <c r="U191" s="78" t="str">
        <f t="shared" si="22"/>
        <v/>
      </c>
      <c r="V191" s="350" t="str">
        <f t="shared" si="19"/>
        <v/>
      </c>
      <c r="W191" s="343" t="str">
        <f>IF(S191="","",VLOOKUP(S191,'G-1 All Habitats'!$B$2:$M$130,10,FALSE))</f>
        <v/>
      </c>
      <c r="X191" s="343" t="str">
        <f>IFERROR(VLOOKUP(W191,'G-1 All Habitats'!$V$3:$W$7,2,FALSE),"")</f>
        <v/>
      </c>
      <c r="Y191" s="91"/>
      <c r="Z191" s="345" t="str">
        <f>IFERROR(INDEX('G-8 Condition Look up'!$A$3:$H$131,MATCH(S191,'G-8 Condition Look up'!$A$3:$A$131,0),MATCH(Y191,'G-8 Condition Look up'!$A$3:$H$3,0)),"")</f>
        <v/>
      </c>
      <c r="AA191" s="79"/>
      <c r="AB191" s="343" t="str">
        <f>IF(AA191="","",IF(VLOOKUP(AA191,'G-3 Multipliers'!$L$3:$N$6,2,FALSE)=0,"Spatial Data Missing",VLOOKUP(AA191,'G-3 Multipliers'!$L$3:$N$6,2,FALSE)))</f>
        <v/>
      </c>
      <c r="AC191" s="345" t="str">
        <f>IF(AA191="","",IF(VLOOKUP(AA191,'G-3 Multipliers'!$L$3:$N$6,3,FALSE)=0,"Spatial Data Missing",VLOOKUP(AA191,'G-3 Multipliers'!$L$3:$N$6,3,FALSE)))</f>
        <v/>
      </c>
      <c r="AD191" s="351" t="str">
        <f t="shared" si="20"/>
        <v/>
      </c>
      <c r="AE191" s="94"/>
      <c r="AF191" s="94"/>
      <c r="AG191" s="343" t="str">
        <f t="shared" si="23"/>
        <v/>
      </c>
      <c r="AH191" s="591" t="str">
        <f t="shared" si="24"/>
        <v/>
      </c>
      <c r="AI191" s="353" t="str">
        <f>IF(AH191="Check Data","Check Data",IFERROR(VLOOKUP(AH191,'G-4 Temporal multipliers'!$A$4:$C$36,3,FALSE),""))</f>
        <v/>
      </c>
      <c r="AJ191" s="77" t="str">
        <f>IF(S191="","",VLOOKUP(S191,'G-3 Multipliers'!$A$2:$E$130,4,FALSE))</f>
        <v/>
      </c>
      <c r="AK191" s="348" t="str">
        <f t="shared" si="25"/>
        <v/>
      </c>
      <c r="AL191" s="348" t="str">
        <f t="shared" si="26"/>
        <v/>
      </c>
      <c r="AM191" s="607" t="str">
        <f>IFERROR(IF(F191="","",IF(AH191="Check Data","Check Data",VLOOKUP(AL191, 'G-3 Multipliers'!$P$2:$Q$6,2,FALSE))),””)</f>
        <v/>
      </c>
      <c r="AN191" s="81" t="str">
        <f t="shared" si="21"/>
        <v/>
      </c>
      <c r="AO191" s="355"/>
      <c r="AP191" s="356"/>
    </row>
    <row r="192" spans="1:42" x14ac:dyDescent="0.25">
      <c r="A192" s="52" t="str">
        <f>IF(E192="","",IF(ISNA(VLOOKUP($E192,'A-1 Site Habitat Baseline'!$D$1:$O$258,2,FALSE)),"",(VLOOKUP($E192,'A-1 Site Habitat Baseline'!$D$1:$O$258,2,FALSE))))</f>
        <v/>
      </c>
      <c r="B192" s="52" t="str">
        <f>IF(E192="","",IF(ISNA(VLOOKUP($E192,'A-1 Site Habitat Baseline'!$D$1:$O$258,3,FALSE)),"",(VLOOKUP($E192,'A-1 Site Habitat Baseline'!$D$1:$O$258,3,FALSE))))</f>
        <v/>
      </c>
      <c r="C192" s="52" t="str">
        <f>IFERROR(INDEX('G-8 Condition Look up'!$I$4:$I$131,MATCH(S192,'G-8 Condition Look up'!$A$4:$A$131,0)),"")</f>
        <v/>
      </c>
      <c r="E192" s="342" t="str">
        <f>'A-1 Site Habitat Baseline'!AL191</f>
        <v/>
      </c>
      <c r="F192" s="343" t="str">
        <f>IF(E192="","",IF(ISNA(VLOOKUP($E192,'A-1 Site Habitat Baseline'!$D$1:$O$258,4,FALSE)),"",(VLOOKUP($E192,'A-1 Site Habitat Baseline'!$D$1:$O$258,4,FALSE))))</f>
        <v/>
      </c>
      <c r="G192" s="343" t="str">
        <f>IF(E192="","",IF(ISNA(VLOOKUP($E192,'A-1 Site Habitat Baseline'!$D$1:$O$258,5,FALSE)),"",(VLOOKUP($E192,'A-1 Site Habitat Baseline'!$D$1:$O$258,5,FALSE))))</f>
        <v/>
      </c>
      <c r="H192" s="343" t="str">
        <f>IF(E192="","",IF(ISNA(VLOOKUP($E192,'A-1 Site Habitat Baseline'!$D$1:$O$258,6,FALSE)),"",(VLOOKUP($E192,'A-1 Site Habitat Baseline'!$D$1:$O$258,6,FALSE))))</f>
        <v/>
      </c>
      <c r="I192" s="343" t="str">
        <f>IF(E192="","",IF(ISNA(VLOOKUP($E192,'A-1 Site Habitat Baseline'!$D$1:$O$258,7,FALSE)),"",(VLOOKUP($E192,'A-1 Site Habitat Baseline'!$D$1:$O$258,7,FALSE))))</f>
        <v/>
      </c>
      <c r="J192" s="343" t="str">
        <f>IF(E192="","",IF(ISNA(VLOOKUP($E192,'A-1 Site Habitat Baseline'!$D$1:$O$258,8,FALSE)),"",(VLOOKUP($E192,'A-1 Site Habitat Baseline'!$D$1:$O$258,8,FALSE))))</f>
        <v/>
      </c>
      <c r="K192" s="343" t="str">
        <f>IF(E192="","",IF(ISNA(VLOOKUP($E192,'A-1 Site Habitat Baseline'!$D$1:$O$258,9,FALSE)),"",(VLOOKUP($E192,'A-1 Site Habitat Baseline'!$D$1:$O$258,9,FALSE))))</f>
        <v/>
      </c>
      <c r="L192" s="343" t="str">
        <f>IF(E192="","",IF(ISNA(VLOOKUP($E192,'A-1 Site Habitat Baseline'!$D$1:$O$258,11,FALSE)),"",(VLOOKUP($E192,'A-1 Site Habitat Baseline'!$D$1:$O$258,11,FALSE))))</f>
        <v/>
      </c>
      <c r="M192" s="343" t="str">
        <f>IF(E192="","",IF(ISNA(VLOOKUP($E192,'A-1 Site Habitat Baseline'!$D$1:$O$258,12,FALSE)),"",(VLOOKUP($E192,'A-1 Site Habitat Baseline'!$D$1:$O$258,12,FALSE))))</f>
        <v/>
      </c>
      <c r="N192" s="344" t="str">
        <f>IF(E192="","",IF(ISNA(VLOOKUP($E192,'A-1 Site Habitat Baseline'!$D$1:$X$258,14,FALSE)),"",(VLOOKUP($E192,'A-1 Site Habitat Baseline'!$D$1:$X$258,14,FALSE))))</f>
        <v/>
      </c>
      <c r="O192" s="345" t="str">
        <f>IF(E192="","",IF(ISNA(VLOOKUP($E192,'A-1 Site Habitat Baseline'!$D$1:$X$258,16,FALSE)),"",(VLOOKUP($E192,'A-1 Site Habitat Baseline'!$D$1:$X$258,13,FALSE))))</f>
        <v/>
      </c>
      <c r="P192" s="346" t="str">
        <f>IFERROR(INDEX('G-1 All Habitats'!$AG$3:$AG$15,MATCH(Q192,'G-1 All Habitats'!$AF$3:$AF$15,0)),"")</f>
        <v/>
      </c>
      <c r="Q192" s="347"/>
      <c r="R192" s="347"/>
      <c r="S192" s="605" t="str">
        <f>IFERROR(INDEX('G-1 All Habitats'!$B$3:$B$130,MATCH(R192,'G-1 All Habitats'!$A$3:$A$130,0)),"")</f>
        <v/>
      </c>
      <c r="T192" s="77" t="str">
        <f t="shared" si="27"/>
        <v/>
      </c>
      <c r="U192" s="78" t="str">
        <f t="shared" si="22"/>
        <v/>
      </c>
      <c r="V192" s="350" t="str">
        <f t="shared" si="19"/>
        <v/>
      </c>
      <c r="W192" s="343" t="str">
        <f>IF(S192="","",VLOOKUP(S192,'G-1 All Habitats'!$B$2:$M$130,10,FALSE))</f>
        <v/>
      </c>
      <c r="X192" s="343" t="str">
        <f>IFERROR(VLOOKUP(W192,'G-1 All Habitats'!$V$3:$W$7,2,FALSE),"")</f>
        <v/>
      </c>
      <c r="Y192" s="91"/>
      <c r="Z192" s="345" t="str">
        <f>IFERROR(INDEX('G-8 Condition Look up'!$A$3:$H$131,MATCH(S192,'G-8 Condition Look up'!$A$3:$A$131,0),MATCH(Y192,'G-8 Condition Look up'!$A$3:$H$3,0)),"")</f>
        <v/>
      </c>
      <c r="AA192" s="79"/>
      <c r="AB192" s="343" t="str">
        <f>IF(AA192="","",IF(VLOOKUP(AA192,'G-3 Multipliers'!$L$3:$N$6,2,FALSE)=0,"Spatial Data Missing",VLOOKUP(AA192,'G-3 Multipliers'!$L$3:$N$6,2,FALSE)))</f>
        <v/>
      </c>
      <c r="AC192" s="345" t="str">
        <f>IF(AA192="","",IF(VLOOKUP(AA192,'G-3 Multipliers'!$L$3:$N$6,3,FALSE)=0,"Spatial Data Missing",VLOOKUP(AA192,'G-3 Multipliers'!$L$3:$N$6,3,FALSE)))</f>
        <v/>
      </c>
      <c r="AD192" s="351" t="str">
        <f t="shared" si="20"/>
        <v/>
      </c>
      <c r="AE192" s="94"/>
      <c r="AF192" s="94"/>
      <c r="AG192" s="343" t="str">
        <f t="shared" si="23"/>
        <v/>
      </c>
      <c r="AH192" s="591" t="str">
        <f t="shared" si="24"/>
        <v/>
      </c>
      <c r="AI192" s="353" t="str">
        <f>IF(AH192="Check Data","Check Data",IFERROR(VLOOKUP(AH192,'G-4 Temporal multipliers'!$A$4:$C$36,3,FALSE),""))</f>
        <v/>
      </c>
      <c r="AJ192" s="77" t="str">
        <f>IF(S192="","",VLOOKUP(S192,'G-3 Multipliers'!$A$2:$E$130,4,FALSE))</f>
        <v/>
      </c>
      <c r="AK192" s="348" t="str">
        <f t="shared" si="25"/>
        <v/>
      </c>
      <c r="AL192" s="348" t="str">
        <f t="shared" si="26"/>
        <v/>
      </c>
      <c r="AM192" s="607" t="str">
        <f>IFERROR(IF(F192="","",IF(AH192="Check Data","Check Data",VLOOKUP(AL192, 'G-3 Multipliers'!$P$2:$Q$6,2,FALSE))),””)</f>
        <v/>
      </c>
      <c r="AN192" s="81" t="str">
        <f t="shared" si="21"/>
        <v/>
      </c>
      <c r="AO192" s="355"/>
      <c r="AP192" s="356"/>
    </row>
    <row r="193" spans="1:42" x14ac:dyDescent="0.25">
      <c r="A193" s="52" t="str">
        <f>IF(E193="","",IF(ISNA(VLOOKUP($E193,'A-1 Site Habitat Baseline'!$D$1:$O$258,2,FALSE)),"",(VLOOKUP($E193,'A-1 Site Habitat Baseline'!$D$1:$O$258,2,FALSE))))</f>
        <v/>
      </c>
      <c r="B193" s="52" t="str">
        <f>IF(E193="","",IF(ISNA(VLOOKUP($E193,'A-1 Site Habitat Baseline'!$D$1:$O$258,3,FALSE)),"",(VLOOKUP($E193,'A-1 Site Habitat Baseline'!$D$1:$O$258,3,FALSE))))</f>
        <v/>
      </c>
      <c r="C193" s="52" t="str">
        <f>IFERROR(INDEX('G-8 Condition Look up'!$I$4:$I$131,MATCH(S193,'G-8 Condition Look up'!$A$4:$A$131,0)),"")</f>
        <v/>
      </c>
      <c r="E193" s="342" t="str">
        <f>'A-1 Site Habitat Baseline'!AL192</f>
        <v/>
      </c>
      <c r="F193" s="343" t="str">
        <f>IF(E193="","",IF(ISNA(VLOOKUP($E193,'A-1 Site Habitat Baseline'!$D$1:$O$258,4,FALSE)),"",(VLOOKUP($E193,'A-1 Site Habitat Baseline'!$D$1:$O$258,4,FALSE))))</f>
        <v/>
      </c>
      <c r="G193" s="343" t="str">
        <f>IF(E193="","",IF(ISNA(VLOOKUP($E193,'A-1 Site Habitat Baseline'!$D$1:$O$258,5,FALSE)),"",(VLOOKUP($E193,'A-1 Site Habitat Baseline'!$D$1:$O$258,5,FALSE))))</f>
        <v/>
      </c>
      <c r="H193" s="343" t="str">
        <f>IF(E193="","",IF(ISNA(VLOOKUP($E193,'A-1 Site Habitat Baseline'!$D$1:$O$258,6,FALSE)),"",(VLOOKUP($E193,'A-1 Site Habitat Baseline'!$D$1:$O$258,6,FALSE))))</f>
        <v/>
      </c>
      <c r="I193" s="343" t="str">
        <f>IF(E193="","",IF(ISNA(VLOOKUP($E193,'A-1 Site Habitat Baseline'!$D$1:$O$258,7,FALSE)),"",(VLOOKUP($E193,'A-1 Site Habitat Baseline'!$D$1:$O$258,7,FALSE))))</f>
        <v/>
      </c>
      <c r="J193" s="343" t="str">
        <f>IF(E193="","",IF(ISNA(VLOOKUP($E193,'A-1 Site Habitat Baseline'!$D$1:$O$258,8,FALSE)),"",(VLOOKUP($E193,'A-1 Site Habitat Baseline'!$D$1:$O$258,8,FALSE))))</f>
        <v/>
      </c>
      <c r="K193" s="343" t="str">
        <f>IF(E193="","",IF(ISNA(VLOOKUP($E193,'A-1 Site Habitat Baseline'!$D$1:$O$258,9,FALSE)),"",(VLOOKUP($E193,'A-1 Site Habitat Baseline'!$D$1:$O$258,9,FALSE))))</f>
        <v/>
      </c>
      <c r="L193" s="343" t="str">
        <f>IF(E193="","",IF(ISNA(VLOOKUP($E193,'A-1 Site Habitat Baseline'!$D$1:$O$258,11,FALSE)),"",(VLOOKUP($E193,'A-1 Site Habitat Baseline'!$D$1:$O$258,11,FALSE))))</f>
        <v/>
      </c>
      <c r="M193" s="343" t="str">
        <f>IF(E193="","",IF(ISNA(VLOOKUP($E193,'A-1 Site Habitat Baseline'!$D$1:$O$258,12,FALSE)),"",(VLOOKUP($E193,'A-1 Site Habitat Baseline'!$D$1:$O$258,12,FALSE))))</f>
        <v/>
      </c>
      <c r="N193" s="344" t="str">
        <f>IF(E193="","",IF(ISNA(VLOOKUP($E193,'A-1 Site Habitat Baseline'!$D$1:$X$258,14,FALSE)),"",(VLOOKUP($E193,'A-1 Site Habitat Baseline'!$D$1:$X$258,14,FALSE))))</f>
        <v/>
      </c>
      <c r="O193" s="345" t="str">
        <f>IF(E193="","",IF(ISNA(VLOOKUP($E193,'A-1 Site Habitat Baseline'!$D$1:$X$258,16,FALSE)),"",(VLOOKUP($E193,'A-1 Site Habitat Baseline'!$D$1:$X$258,13,FALSE))))</f>
        <v/>
      </c>
      <c r="P193" s="346" t="str">
        <f>IFERROR(INDEX('G-1 All Habitats'!$AG$3:$AG$15,MATCH(Q193,'G-1 All Habitats'!$AF$3:$AF$15,0)),"")</f>
        <v/>
      </c>
      <c r="Q193" s="347"/>
      <c r="R193" s="347"/>
      <c r="S193" s="605" t="str">
        <f>IFERROR(INDEX('G-1 All Habitats'!$B$3:$B$130,MATCH(R193,'G-1 All Habitats'!$A$3:$A$130,0)),"")</f>
        <v/>
      </c>
      <c r="T193" s="77" t="str">
        <f t="shared" si="27"/>
        <v/>
      </c>
      <c r="U193" s="78" t="str">
        <f t="shared" si="22"/>
        <v/>
      </c>
      <c r="V193" s="350" t="str">
        <f t="shared" si="19"/>
        <v/>
      </c>
      <c r="W193" s="343" t="str">
        <f>IF(S193="","",VLOOKUP(S193,'G-1 All Habitats'!$B$2:$M$130,10,FALSE))</f>
        <v/>
      </c>
      <c r="X193" s="343" t="str">
        <f>IFERROR(VLOOKUP(W193,'G-1 All Habitats'!$V$3:$W$7,2,FALSE),"")</f>
        <v/>
      </c>
      <c r="Y193" s="91"/>
      <c r="Z193" s="345" t="str">
        <f>IFERROR(INDEX('G-8 Condition Look up'!$A$3:$H$131,MATCH(S193,'G-8 Condition Look up'!$A$3:$A$131,0),MATCH(Y193,'G-8 Condition Look up'!$A$3:$H$3,0)),"")</f>
        <v/>
      </c>
      <c r="AA193" s="79"/>
      <c r="AB193" s="343" t="str">
        <f>IF(AA193="","",IF(VLOOKUP(AA193,'G-3 Multipliers'!$L$3:$N$6,2,FALSE)=0,"Spatial Data Missing",VLOOKUP(AA193,'G-3 Multipliers'!$L$3:$N$6,2,FALSE)))</f>
        <v/>
      </c>
      <c r="AC193" s="345" t="str">
        <f>IF(AA193="","",IF(VLOOKUP(AA193,'G-3 Multipliers'!$L$3:$N$6,3,FALSE)=0,"Spatial Data Missing",VLOOKUP(AA193,'G-3 Multipliers'!$L$3:$N$6,3,FALSE)))</f>
        <v/>
      </c>
      <c r="AD193" s="351" t="str">
        <f t="shared" si="20"/>
        <v/>
      </c>
      <c r="AE193" s="94"/>
      <c r="AF193" s="94"/>
      <c r="AG193" s="343" t="str">
        <f t="shared" si="23"/>
        <v/>
      </c>
      <c r="AH193" s="591" t="str">
        <f t="shared" si="24"/>
        <v/>
      </c>
      <c r="AI193" s="353" t="str">
        <f>IF(AH193="Check Data","Check Data",IFERROR(VLOOKUP(AH193,'G-4 Temporal multipliers'!$A$4:$C$36,3,FALSE),""))</f>
        <v/>
      </c>
      <c r="AJ193" s="77" t="str">
        <f>IF(S193="","",VLOOKUP(S193,'G-3 Multipliers'!$A$2:$E$130,4,FALSE))</f>
        <v/>
      </c>
      <c r="AK193" s="348" t="str">
        <f t="shared" si="25"/>
        <v/>
      </c>
      <c r="AL193" s="348" t="str">
        <f t="shared" si="26"/>
        <v/>
      </c>
      <c r="AM193" s="607" t="str">
        <f>IFERROR(IF(F193="","",IF(AH193="Check Data","Check Data",VLOOKUP(AL193, 'G-3 Multipliers'!$P$2:$Q$6,2,FALSE))),””)</f>
        <v/>
      </c>
      <c r="AN193" s="81" t="str">
        <f t="shared" si="21"/>
        <v/>
      </c>
      <c r="AO193" s="355"/>
      <c r="AP193" s="356"/>
    </row>
    <row r="194" spans="1:42" x14ac:dyDescent="0.25">
      <c r="A194" s="52" t="str">
        <f>IF(E194="","",IF(ISNA(VLOOKUP($E194,'A-1 Site Habitat Baseline'!$D$1:$O$258,2,FALSE)),"",(VLOOKUP($E194,'A-1 Site Habitat Baseline'!$D$1:$O$258,2,FALSE))))</f>
        <v/>
      </c>
      <c r="B194" s="52" t="str">
        <f>IF(E194="","",IF(ISNA(VLOOKUP($E194,'A-1 Site Habitat Baseline'!$D$1:$O$258,3,FALSE)),"",(VLOOKUP($E194,'A-1 Site Habitat Baseline'!$D$1:$O$258,3,FALSE))))</f>
        <v/>
      </c>
      <c r="C194" s="52" t="str">
        <f>IFERROR(INDEX('G-8 Condition Look up'!$I$4:$I$131,MATCH(S194,'G-8 Condition Look up'!$A$4:$A$131,0)),"")</f>
        <v/>
      </c>
      <c r="E194" s="342" t="str">
        <f>'A-1 Site Habitat Baseline'!AL193</f>
        <v/>
      </c>
      <c r="F194" s="343" t="str">
        <f>IF(E194="","",IF(ISNA(VLOOKUP($E194,'A-1 Site Habitat Baseline'!$D$1:$O$258,4,FALSE)),"",(VLOOKUP($E194,'A-1 Site Habitat Baseline'!$D$1:$O$258,4,FALSE))))</f>
        <v/>
      </c>
      <c r="G194" s="343" t="str">
        <f>IF(E194="","",IF(ISNA(VLOOKUP($E194,'A-1 Site Habitat Baseline'!$D$1:$O$258,5,FALSE)),"",(VLOOKUP($E194,'A-1 Site Habitat Baseline'!$D$1:$O$258,5,FALSE))))</f>
        <v/>
      </c>
      <c r="H194" s="343" t="str">
        <f>IF(E194="","",IF(ISNA(VLOOKUP($E194,'A-1 Site Habitat Baseline'!$D$1:$O$258,6,FALSE)),"",(VLOOKUP($E194,'A-1 Site Habitat Baseline'!$D$1:$O$258,6,FALSE))))</f>
        <v/>
      </c>
      <c r="I194" s="343" t="str">
        <f>IF(E194="","",IF(ISNA(VLOOKUP($E194,'A-1 Site Habitat Baseline'!$D$1:$O$258,7,FALSE)),"",(VLOOKUP($E194,'A-1 Site Habitat Baseline'!$D$1:$O$258,7,FALSE))))</f>
        <v/>
      </c>
      <c r="J194" s="343" t="str">
        <f>IF(E194="","",IF(ISNA(VLOOKUP($E194,'A-1 Site Habitat Baseline'!$D$1:$O$258,8,FALSE)),"",(VLOOKUP($E194,'A-1 Site Habitat Baseline'!$D$1:$O$258,8,FALSE))))</f>
        <v/>
      </c>
      <c r="K194" s="343" t="str">
        <f>IF(E194="","",IF(ISNA(VLOOKUP($E194,'A-1 Site Habitat Baseline'!$D$1:$O$258,9,FALSE)),"",(VLOOKUP($E194,'A-1 Site Habitat Baseline'!$D$1:$O$258,9,FALSE))))</f>
        <v/>
      </c>
      <c r="L194" s="343" t="str">
        <f>IF(E194="","",IF(ISNA(VLOOKUP($E194,'A-1 Site Habitat Baseline'!$D$1:$O$258,11,FALSE)),"",(VLOOKUP($E194,'A-1 Site Habitat Baseline'!$D$1:$O$258,11,FALSE))))</f>
        <v/>
      </c>
      <c r="M194" s="343" t="str">
        <f>IF(E194="","",IF(ISNA(VLOOKUP($E194,'A-1 Site Habitat Baseline'!$D$1:$O$258,12,FALSE)),"",(VLOOKUP($E194,'A-1 Site Habitat Baseline'!$D$1:$O$258,12,FALSE))))</f>
        <v/>
      </c>
      <c r="N194" s="344" t="str">
        <f>IF(E194="","",IF(ISNA(VLOOKUP($E194,'A-1 Site Habitat Baseline'!$D$1:$X$258,14,FALSE)),"",(VLOOKUP($E194,'A-1 Site Habitat Baseline'!$D$1:$X$258,14,FALSE))))</f>
        <v/>
      </c>
      <c r="O194" s="345" t="str">
        <f>IF(E194="","",IF(ISNA(VLOOKUP($E194,'A-1 Site Habitat Baseline'!$D$1:$X$258,16,FALSE)),"",(VLOOKUP($E194,'A-1 Site Habitat Baseline'!$D$1:$X$258,13,FALSE))))</f>
        <v/>
      </c>
      <c r="P194" s="346" t="str">
        <f>IFERROR(INDEX('G-1 All Habitats'!$AG$3:$AG$15,MATCH(Q194,'G-1 All Habitats'!$AF$3:$AF$15,0)),"")</f>
        <v/>
      </c>
      <c r="Q194" s="347"/>
      <c r="R194" s="347"/>
      <c r="S194" s="605" t="str">
        <f>IFERROR(INDEX('G-1 All Habitats'!$B$3:$B$130,MATCH(R194,'G-1 All Habitats'!$A$3:$A$130,0)),"")</f>
        <v/>
      </c>
      <c r="T194" s="77" t="str">
        <f t="shared" si="27"/>
        <v/>
      </c>
      <c r="U194" s="78" t="str">
        <f t="shared" si="22"/>
        <v/>
      </c>
      <c r="V194" s="350" t="str">
        <f t="shared" si="19"/>
        <v/>
      </c>
      <c r="W194" s="343" t="str">
        <f>IF(S194="","",VLOOKUP(S194,'G-1 All Habitats'!$B$2:$M$130,10,FALSE))</f>
        <v/>
      </c>
      <c r="X194" s="343" t="str">
        <f>IFERROR(VLOOKUP(W194,'G-1 All Habitats'!$V$3:$W$7,2,FALSE),"")</f>
        <v/>
      </c>
      <c r="Y194" s="91"/>
      <c r="Z194" s="345" t="str">
        <f>IFERROR(INDEX('G-8 Condition Look up'!$A$3:$H$131,MATCH(S194,'G-8 Condition Look up'!$A$3:$A$131,0),MATCH(Y194,'G-8 Condition Look up'!$A$3:$H$3,0)),"")</f>
        <v/>
      </c>
      <c r="AA194" s="79"/>
      <c r="AB194" s="343" t="str">
        <f>IF(AA194="","",IF(VLOOKUP(AA194,'G-3 Multipliers'!$L$3:$N$6,2,FALSE)=0,"Spatial Data Missing",VLOOKUP(AA194,'G-3 Multipliers'!$L$3:$N$6,2,FALSE)))</f>
        <v/>
      </c>
      <c r="AC194" s="345" t="str">
        <f>IF(AA194="","",IF(VLOOKUP(AA194,'G-3 Multipliers'!$L$3:$N$6,3,FALSE)=0,"Spatial Data Missing",VLOOKUP(AA194,'G-3 Multipliers'!$L$3:$N$6,3,FALSE)))</f>
        <v/>
      </c>
      <c r="AD194" s="351" t="str">
        <f t="shared" si="20"/>
        <v/>
      </c>
      <c r="AE194" s="94"/>
      <c r="AF194" s="94"/>
      <c r="AG194" s="343" t="str">
        <f t="shared" si="23"/>
        <v/>
      </c>
      <c r="AH194" s="591" t="str">
        <f t="shared" si="24"/>
        <v/>
      </c>
      <c r="AI194" s="353" t="str">
        <f>IF(AH194="Check Data","Check Data",IFERROR(VLOOKUP(AH194,'G-4 Temporal multipliers'!$A$4:$C$36,3,FALSE),""))</f>
        <v/>
      </c>
      <c r="AJ194" s="77" t="str">
        <f>IF(S194="","",VLOOKUP(S194,'G-3 Multipliers'!$A$2:$E$130,4,FALSE))</f>
        <v/>
      </c>
      <c r="AK194" s="348" t="str">
        <f t="shared" si="25"/>
        <v/>
      </c>
      <c r="AL194" s="348" t="str">
        <f t="shared" si="26"/>
        <v/>
      </c>
      <c r="AM194" s="607" t="str">
        <f>IFERROR(IF(F194="","",IF(AH194="Check Data","Check Data",VLOOKUP(AL194, 'G-3 Multipliers'!$P$2:$Q$6,2,FALSE))),””)</f>
        <v/>
      </c>
      <c r="AN194" s="81" t="str">
        <f t="shared" si="21"/>
        <v/>
      </c>
      <c r="AO194" s="355"/>
      <c r="AP194" s="356"/>
    </row>
    <row r="195" spans="1:42" x14ac:dyDescent="0.25">
      <c r="A195" s="52" t="str">
        <f>IF(E195="","",IF(ISNA(VLOOKUP($E195,'A-1 Site Habitat Baseline'!$D$1:$O$258,2,FALSE)),"",(VLOOKUP($E195,'A-1 Site Habitat Baseline'!$D$1:$O$258,2,FALSE))))</f>
        <v/>
      </c>
      <c r="B195" s="52" t="str">
        <f>IF(E195="","",IF(ISNA(VLOOKUP($E195,'A-1 Site Habitat Baseline'!$D$1:$O$258,3,FALSE)),"",(VLOOKUP($E195,'A-1 Site Habitat Baseline'!$D$1:$O$258,3,FALSE))))</f>
        <v/>
      </c>
      <c r="C195" s="52" t="str">
        <f>IFERROR(INDEX('G-8 Condition Look up'!$I$4:$I$131,MATCH(S195,'G-8 Condition Look up'!$A$4:$A$131,0)),"")</f>
        <v/>
      </c>
      <c r="E195" s="342" t="str">
        <f>'A-1 Site Habitat Baseline'!AL194</f>
        <v/>
      </c>
      <c r="F195" s="343" t="str">
        <f>IF(E195="","",IF(ISNA(VLOOKUP($E195,'A-1 Site Habitat Baseline'!$D$1:$O$258,4,FALSE)),"",(VLOOKUP($E195,'A-1 Site Habitat Baseline'!$D$1:$O$258,4,FALSE))))</f>
        <v/>
      </c>
      <c r="G195" s="343" t="str">
        <f>IF(E195="","",IF(ISNA(VLOOKUP($E195,'A-1 Site Habitat Baseline'!$D$1:$O$258,5,FALSE)),"",(VLOOKUP($E195,'A-1 Site Habitat Baseline'!$D$1:$O$258,5,FALSE))))</f>
        <v/>
      </c>
      <c r="H195" s="343" t="str">
        <f>IF(E195="","",IF(ISNA(VLOOKUP($E195,'A-1 Site Habitat Baseline'!$D$1:$O$258,6,FALSE)),"",(VLOOKUP($E195,'A-1 Site Habitat Baseline'!$D$1:$O$258,6,FALSE))))</f>
        <v/>
      </c>
      <c r="I195" s="343" t="str">
        <f>IF(E195="","",IF(ISNA(VLOOKUP($E195,'A-1 Site Habitat Baseline'!$D$1:$O$258,7,FALSE)),"",(VLOOKUP($E195,'A-1 Site Habitat Baseline'!$D$1:$O$258,7,FALSE))))</f>
        <v/>
      </c>
      <c r="J195" s="343" t="str">
        <f>IF(E195="","",IF(ISNA(VLOOKUP($E195,'A-1 Site Habitat Baseline'!$D$1:$O$258,8,FALSE)),"",(VLOOKUP($E195,'A-1 Site Habitat Baseline'!$D$1:$O$258,8,FALSE))))</f>
        <v/>
      </c>
      <c r="K195" s="343" t="str">
        <f>IF(E195="","",IF(ISNA(VLOOKUP($E195,'A-1 Site Habitat Baseline'!$D$1:$O$258,9,FALSE)),"",(VLOOKUP($E195,'A-1 Site Habitat Baseline'!$D$1:$O$258,9,FALSE))))</f>
        <v/>
      </c>
      <c r="L195" s="343" t="str">
        <f>IF(E195="","",IF(ISNA(VLOOKUP($E195,'A-1 Site Habitat Baseline'!$D$1:$O$258,11,FALSE)),"",(VLOOKUP($E195,'A-1 Site Habitat Baseline'!$D$1:$O$258,11,FALSE))))</f>
        <v/>
      </c>
      <c r="M195" s="343" t="str">
        <f>IF(E195="","",IF(ISNA(VLOOKUP($E195,'A-1 Site Habitat Baseline'!$D$1:$O$258,12,FALSE)),"",(VLOOKUP($E195,'A-1 Site Habitat Baseline'!$D$1:$O$258,12,FALSE))))</f>
        <v/>
      </c>
      <c r="N195" s="344" t="str">
        <f>IF(E195="","",IF(ISNA(VLOOKUP($E195,'A-1 Site Habitat Baseline'!$D$1:$X$258,14,FALSE)),"",(VLOOKUP($E195,'A-1 Site Habitat Baseline'!$D$1:$X$258,14,FALSE))))</f>
        <v/>
      </c>
      <c r="O195" s="345" t="str">
        <f>IF(E195="","",IF(ISNA(VLOOKUP($E195,'A-1 Site Habitat Baseline'!$D$1:$X$258,16,FALSE)),"",(VLOOKUP($E195,'A-1 Site Habitat Baseline'!$D$1:$X$258,13,FALSE))))</f>
        <v/>
      </c>
      <c r="P195" s="346" t="str">
        <f>IFERROR(INDEX('G-1 All Habitats'!$AG$3:$AG$15,MATCH(Q195,'G-1 All Habitats'!$AF$3:$AF$15,0)),"")</f>
        <v/>
      </c>
      <c r="Q195" s="347"/>
      <c r="R195" s="347"/>
      <c r="S195" s="605" t="str">
        <f>IFERROR(INDEX('G-1 All Habitats'!$B$3:$B$130,MATCH(R195,'G-1 All Habitats'!$A$3:$A$130,0)),"")</f>
        <v/>
      </c>
      <c r="T195" s="77" t="str">
        <f t="shared" si="27"/>
        <v/>
      </c>
      <c r="U195" s="78" t="str">
        <f t="shared" si="22"/>
        <v/>
      </c>
      <c r="V195" s="350" t="str">
        <f t="shared" si="19"/>
        <v/>
      </c>
      <c r="W195" s="343" t="str">
        <f>IF(S195="","",VLOOKUP(S195,'G-1 All Habitats'!$B$2:$M$130,10,FALSE))</f>
        <v/>
      </c>
      <c r="X195" s="343" t="str">
        <f>IFERROR(VLOOKUP(W195,'G-1 All Habitats'!$V$3:$W$7,2,FALSE),"")</f>
        <v/>
      </c>
      <c r="Y195" s="91"/>
      <c r="Z195" s="345" t="str">
        <f>IFERROR(INDEX('G-8 Condition Look up'!$A$3:$H$131,MATCH(S195,'G-8 Condition Look up'!$A$3:$A$131,0),MATCH(Y195,'G-8 Condition Look up'!$A$3:$H$3,0)),"")</f>
        <v/>
      </c>
      <c r="AA195" s="79"/>
      <c r="AB195" s="343" t="str">
        <f>IF(AA195="","",IF(VLOOKUP(AA195,'G-3 Multipliers'!$L$3:$N$6,2,FALSE)=0,"Spatial Data Missing",VLOOKUP(AA195,'G-3 Multipliers'!$L$3:$N$6,2,FALSE)))</f>
        <v/>
      </c>
      <c r="AC195" s="345" t="str">
        <f>IF(AA195="","",IF(VLOOKUP(AA195,'G-3 Multipliers'!$L$3:$N$6,3,FALSE)=0,"Spatial Data Missing",VLOOKUP(AA195,'G-3 Multipliers'!$L$3:$N$6,3,FALSE)))</f>
        <v/>
      </c>
      <c r="AD195" s="351" t="str">
        <f t="shared" si="20"/>
        <v/>
      </c>
      <c r="AE195" s="94"/>
      <c r="AF195" s="94"/>
      <c r="AG195" s="343" t="str">
        <f t="shared" si="23"/>
        <v/>
      </c>
      <c r="AH195" s="591" t="str">
        <f t="shared" si="24"/>
        <v/>
      </c>
      <c r="AI195" s="353" t="str">
        <f>IF(AH195="Check Data","Check Data",IFERROR(VLOOKUP(AH195,'G-4 Temporal multipliers'!$A$4:$C$36,3,FALSE),""))</f>
        <v/>
      </c>
      <c r="AJ195" s="77" t="str">
        <f>IF(S195="","",VLOOKUP(S195,'G-3 Multipliers'!$A$2:$E$130,4,FALSE))</f>
        <v/>
      </c>
      <c r="AK195" s="348" t="str">
        <f t="shared" si="25"/>
        <v/>
      </c>
      <c r="AL195" s="348" t="str">
        <f t="shared" si="26"/>
        <v/>
      </c>
      <c r="AM195" s="607" t="str">
        <f>IFERROR(IF(F195="","",IF(AH195="Check Data","Check Data",VLOOKUP(AL195, 'G-3 Multipliers'!$P$2:$Q$6,2,FALSE))),””)</f>
        <v/>
      </c>
      <c r="AN195" s="81" t="str">
        <f t="shared" si="21"/>
        <v/>
      </c>
      <c r="AO195" s="355"/>
      <c r="AP195" s="356"/>
    </row>
    <row r="196" spans="1:42" x14ac:dyDescent="0.25">
      <c r="A196" s="52" t="str">
        <f>IF(E196="","",IF(ISNA(VLOOKUP($E196,'A-1 Site Habitat Baseline'!$D$1:$O$258,2,FALSE)),"",(VLOOKUP($E196,'A-1 Site Habitat Baseline'!$D$1:$O$258,2,FALSE))))</f>
        <v/>
      </c>
      <c r="B196" s="52" t="str">
        <f>IF(E196="","",IF(ISNA(VLOOKUP($E196,'A-1 Site Habitat Baseline'!$D$1:$O$258,3,FALSE)),"",(VLOOKUP($E196,'A-1 Site Habitat Baseline'!$D$1:$O$258,3,FALSE))))</f>
        <v/>
      </c>
      <c r="C196" s="52" t="str">
        <f>IFERROR(INDEX('G-8 Condition Look up'!$I$4:$I$131,MATCH(S196,'G-8 Condition Look up'!$A$4:$A$131,0)),"")</f>
        <v/>
      </c>
      <c r="E196" s="342" t="str">
        <f>'A-1 Site Habitat Baseline'!AL195</f>
        <v/>
      </c>
      <c r="F196" s="343" t="str">
        <f>IF(E196="","",IF(ISNA(VLOOKUP($E196,'A-1 Site Habitat Baseline'!$D$1:$O$258,4,FALSE)),"",(VLOOKUP($E196,'A-1 Site Habitat Baseline'!$D$1:$O$258,4,FALSE))))</f>
        <v/>
      </c>
      <c r="G196" s="343" t="str">
        <f>IF(E196="","",IF(ISNA(VLOOKUP($E196,'A-1 Site Habitat Baseline'!$D$1:$O$258,5,FALSE)),"",(VLOOKUP($E196,'A-1 Site Habitat Baseline'!$D$1:$O$258,5,FALSE))))</f>
        <v/>
      </c>
      <c r="H196" s="343" t="str">
        <f>IF(E196="","",IF(ISNA(VLOOKUP($E196,'A-1 Site Habitat Baseline'!$D$1:$O$258,6,FALSE)),"",(VLOOKUP($E196,'A-1 Site Habitat Baseline'!$D$1:$O$258,6,FALSE))))</f>
        <v/>
      </c>
      <c r="I196" s="343" t="str">
        <f>IF(E196="","",IF(ISNA(VLOOKUP($E196,'A-1 Site Habitat Baseline'!$D$1:$O$258,7,FALSE)),"",(VLOOKUP($E196,'A-1 Site Habitat Baseline'!$D$1:$O$258,7,FALSE))))</f>
        <v/>
      </c>
      <c r="J196" s="343" t="str">
        <f>IF(E196="","",IF(ISNA(VLOOKUP($E196,'A-1 Site Habitat Baseline'!$D$1:$O$258,8,FALSE)),"",(VLOOKUP($E196,'A-1 Site Habitat Baseline'!$D$1:$O$258,8,FALSE))))</f>
        <v/>
      </c>
      <c r="K196" s="343" t="str">
        <f>IF(E196="","",IF(ISNA(VLOOKUP($E196,'A-1 Site Habitat Baseline'!$D$1:$O$258,9,FALSE)),"",(VLOOKUP($E196,'A-1 Site Habitat Baseline'!$D$1:$O$258,9,FALSE))))</f>
        <v/>
      </c>
      <c r="L196" s="343" t="str">
        <f>IF(E196="","",IF(ISNA(VLOOKUP($E196,'A-1 Site Habitat Baseline'!$D$1:$O$258,11,FALSE)),"",(VLOOKUP($E196,'A-1 Site Habitat Baseline'!$D$1:$O$258,11,FALSE))))</f>
        <v/>
      </c>
      <c r="M196" s="343" t="str">
        <f>IF(E196="","",IF(ISNA(VLOOKUP($E196,'A-1 Site Habitat Baseline'!$D$1:$O$258,12,FALSE)),"",(VLOOKUP($E196,'A-1 Site Habitat Baseline'!$D$1:$O$258,12,FALSE))))</f>
        <v/>
      </c>
      <c r="N196" s="344" t="str">
        <f>IF(E196="","",IF(ISNA(VLOOKUP($E196,'A-1 Site Habitat Baseline'!$D$1:$X$258,14,FALSE)),"",(VLOOKUP($E196,'A-1 Site Habitat Baseline'!$D$1:$X$258,14,FALSE))))</f>
        <v/>
      </c>
      <c r="O196" s="345" t="str">
        <f>IF(E196="","",IF(ISNA(VLOOKUP($E196,'A-1 Site Habitat Baseline'!$D$1:$X$258,16,FALSE)),"",(VLOOKUP($E196,'A-1 Site Habitat Baseline'!$D$1:$X$258,13,FALSE))))</f>
        <v/>
      </c>
      <c r="P196" s="346" t="str">
        <f>IFERROR(INDEX('G-1 All Habitats'!$AG$3:$AG$15,MATCH(Q196,'G-1 All Habitats'!$AF$3:$AF$15,0)),"")</f>
        <v/>
      </c>
      <c r="Q196" s="347"/>
      <c r="R196" s="347"/>
      <c r="S196" s="605" t="str">
        <f>IFERROR(INDEX('G-1 All Habitats'!$B$3:$B$130,MATCH(R196,'G-1 All Habitats'!$A$3:$A$130,0)),"")</f>
        <v/>
      </c>
      <c r="T196" s="77" t="str">
        <f t="shared" si="27"/>
        <v/>
      </c>
      <c r="U196" s="78" t="str">
        <f t="shared" si="22"/>
        <v/>
      </c>
      <c r="V196" s="350" t="str">
        <f t="shared" si="19"/>
        <v/>
      </c>
      <c r="W196" s="343" t="str">
        <f>IF(S196="","",VLOOKUP(S196,'G-1 All Habitats'!$B$2:$M$130,10,FALSE))</f>
        <v/>
      </c>
      <c r="X196" s="343" t="str">
        <f>IFERROR(VLOOKUP(W196,'G-1 All Habitats'!$V$3:$W$7,2,FALSE),"")</f>
        <v/>
      </c>
      <c r="Y196" s="91"/>
      <c r="Z196" s="345" t="str">
        <f>IFERROR(INDEX('G-8 Condition Look up'!$A$3:$H$131,MATCH(S196,'G-8 Condition Look up'!$A$3:$A$131,0),MATCH(Y196,'G-8 Condition Look up'!$A$3:$H$3,0)),"")</f>
        <v/>
      </c>
      <c r="AA196" s="79"/>
      <c r="AB196" s="343" t="str">
        <f>IF(AA196="","",IF(VLOOKUP(AA196,'G-3 Multipliers'!$L$3:$N$6,2,FALSE)=0,"Spatial Data Missing",VLOOKUP(AA196,'G-3 Multipliers'!$L$3:$N$6,2,FALSE)))</f>
        <v/>
      </c>
      <c r="AC196" s="345" t="str">
        <f>IF(AA196="","",IF(VLOOKUP(AA196,'G-3 Multipliers'!$L$3:$N$6,3,FALSE)=0,"Spatial Data Missing",VLOOKUP(AA196,'G-3 Multipliers'!$L$3:$N$6,3,FALSE)))</f>
        <v/>
      </c>
      <c r="AD196" s="351" t="str">
        <f t="shared" si="20"/>
        <v/>
      </c>
      <c r="AE196" s="94"/>
      <c r="AF196" s="94"/>
      <c r="AG196" s="343" t="str">
        <f t="shared" si="23"/>
        <v/>
      </c>
      <c r="AH196" s="591" t="str">
        <f t="shared" si="24"/>
        <v/>
      </c>
      <c r="AI196" s="353" t="str">
        <f>IF(AH196="Check Data","Check Data",IFERROR(VLOOKUP(AH196,'G-4 Temporal multipliers'!$A$4:$C$36,3,FALSE),""))</f>
        <v/>
      </c>
      <c r="AJ196" s="77" t="str">
        <f>IF(S196="","",VLOOKUP(S196,'G-3 Multipliers'!$A$2:$E$130,4,FALSE))</f>
        <v/>
      </c>
      <c r="AK196" s="348" t="str">
        <f t="shared" si="25"/>
        <v/>
      </c>
      <c r="AL196" s="348" t="str">
        <f t="shared" si="26"/>
        <v/>
      </c>
      <c r="AM196" s="607" t="str">
        <f>IFERROR(IF(F196="","",IF(AH196="Check Data","Check Data",VLOOKUP(AL196, 'G-3 Multipliers'!$P$2:$Q$6,2,FALSE))),””)</f>
        <v/>
      </c>
      <c r="AN196" s="81" t="str">
        <f t="shared" si="21"/>
        <v/>
      </c>
      <c r="AO196" s="355"/>
      <c r="AP196" s="356"/>
    </row>
    <row r="197" spans="1:42" x14ac:dyDescent="0.25">
      <c r="A197" s="52" t="str">
        <f>IF(E197="","",IF(ISNA(VLOOKUP($E197,'A-1 Site Habitat Baseline'!$D$1:$O$258,2,FALSE)),"",(VLOOKUP($E197,'A-1 Site Habitat Baseline'!$D$1:$O$258,2,FALSE))))</f>
        <v/>
      </c>
      <c r="B197" s="52" t="str">
        <f>IF(E197="","",IF(ISNA(VLOOKUP($E197,'A-1 Site Habitat Baseline'!$D$1:$O$258,3,FALSE)),"",(VLOOKUP($E197,'A-1 Site Habitat Baseline'!$D$1:$O$258,3,FALSE))))</f>
        <v/>
      </c>
      <c r="C197" s="52" t="str">
        <f>IFERROR(INDEX('G-8 Condition Look up'!$I$4:$I$131,MATCH(S197,'G-8 Condition Look up'!$A$4:$A$131,0)),"")</f>
        <v/>
      </c>
      <c r="E197" s="342" t="str">
        <f>'A-1 Site Habitat Baseline'!AL196</f>
        <v/>
      </c>
      <c r="F197" s="343" t="str">
        <f>IF(E197="","",IF(ISNA(VLOOKUP($E197,'A-1 Site Habitat Baseline'!$D$1:$O$258,4,FALSE)),"",(VLOOKUP($E197,'A-1 Site Habitat Baseline'!$D$1:$O$258,4,FALSE))))</f>
        <v/>
      </c>
      <c r="G197" s="343" t="str">
        <f>IF(E197="","",IF(ISNA(VLOOKUP($E197,'A-1 Site Habitat Baseline'!$D$1:$O$258,5,FALSE)),"",(VLOOKUP($E197,'A-1 Site Habitat Baseline'!$D$1:$O$258,5,FALSE))))</f>
        <v/>
      </c>
      <c r="H197" s="343" t="str">
        <f>IF(E197="","",IF(ISNA(VLOOKUP($E197,'A-1 Site Habitat Baseline'!$D$1:$O$258,6,FALSE)),"",(VLOOKUP($E197,'A-1 Site Habitat Baseline'!$D$1:$O$258,6,FALSE))))</f>
        <v/>
      </c>
      <c r="I197" s="343" t="str">
        <f>IF(E197="","",IF(ISNA(VLOOKUP($E197,'A-1 Site Habitat Baseline'!$D$1:$O$258,7,FALSE)),"",(VLOOKUP($E197,'A-1 Site Habitat Baseline'!$D$1:$O$258,7,FALSE))))</f>
        <v/>
      </c>
      <c r="J197" s="343" t="str">
        <f>IF(E197="","",IF(ISNA(VLOOKUP($E197,'A-1 Site Habitat Baseline'!$D$1:$O$258,8,FALSE)),"",(VLOOKUP($E197,'A-1 Site Habitat Baseline'!$D$1:$O$258,8,FALSE))))</f>
        <v/>
      </c>
      <c r="K197" s="343" t="str">
        <f>IF(E197="","",IF(ISNA(VLOOKUP($E197,'A-1 Site Habitat Baseline'!$D$1:$O$258,9,FALSE)),"",(VLOOKUP($E197,'A-1 Site Habitat Baseline'!$D$1:$O$258,9,FALSE))))</f>
        <v/>
      </c>
      <c r="L197" s="343" t="str">
        <f>IF(E197="","",IF(ISNA(VLOOKUP($E197,'A-1 Site Habitat Baseline'!$D$1:$O$258,11,FALSE)),"",(VLOOKUP($E197,'A-1 Site Habitat Baseline'!$D$1:$O$258,11,FALSE))))</f>
        <v/>
      </c>
      <c r="M197" s="343" t="str">
        <f>IF(E197="","",IF(ISNA(VLOOKUP($E197,'A-1 Site Habitat Baseline'!$D$1:$O$258,12,FALSE)),"",(VLOOKUP($E197,'A-1 Site Habitat Baseline'!$D$1:$O$258,12,FALSE))))</f>
        <v/>
      </c>
      <c r="N197" s="344" t="str">
        <f>IF(E197="","",IF(ISNA(VLOOKUP($E197,'A-1 Site Habitat Baseline'!$D$1:$X$258,14,FALSE)),"",(VLOOKUP($E197,'A-1 Site Habitat Baseline'!$D$1:$X$258,14,FALSE))))</f>
        <v/>
      </c>
      <c r="O197" s="345" t="str">
        <f>IF(E197="","",IF(ISNA(VLOOKUP($E197,'A-1 Site Habitat Baseline'!$D$1:$X$258,16,FALSE)),"",(VLOOKUP($E197,'A-1 Site Habitat Baseline'!$D$1:$X$258,13,FALSE))))</f>
        <v/>
      </c>
      <c r="P197" s="346" t="str">
        <f>IFERROR(INDEX('G-1 All Habitats'!$AG$3:$AG$15,MATCH(Q197,'G-1 All Habitats'!$AF$3:$AF$15,0)),"")</f>
        <v/>
      </c>
      <c r="Q197" s="347"/>
      <c r="R197" s="347"/>
      <c r="S197" s="605" t="str">
        <f>IFERROR(INDEX('G-1 All Habitats'!$B$3:$B$130,MATCH(R197,'G-1 All Habitats'!$A$3:$A$130,0)),"")</f>
        <v/>
      </c>
      <c r="T197" s="77" t="str">
        <f t="shared" si="27"/>
        <v/>
      </c>
      <c r="U197" s="78" t="str">
        <f t="shared" si="22"/>
        <v/>
      </c>
      <c r="V197" s="350" t="str">
        <f t="shared" si="19"/>
        <v/>
      </c>
      <c r="W197" s="343" t="str">
        <f>IF(S197="","",VLOOKUP(S197,'G-1 All Habitats'!$B$2:$M$130,10,FALSE))</f>
        <v/>
      </c>
      <c r="X197" s="343" t="str">
        <f>IFERROR(VLOOKUP(W197,'G-1 All Habitats'!$V$3:$W$7,2,FALSE),"")</f>
        <v/>
      </c>
      <c r="Y197" s="91"/>
      <c r="Z197" s="345" t="str">
        <f>IFERROR(INDEX('G-8 Condition Look up'!$A$3:$H$131,MATCH(S197,'G-8 Condition Look up'!$A$3:$A$131,0),MATCH(Y197,'G-8 Condition Look up'!$A$3:$H$3,0)),"")</f>
        <v/>
      </c>
      <c r="AA197" s="79"/>
      <c r="AB197" s="343" t="str">
        <f>IF(AA197="","",IF(VLOOKUP(AA197,'G-3 Multipliers'!$L$3:$N$6,2,FALSE)=0,"Spatial Data Missing",VLOOKUP(AA197,'G-3 Multipliers'!$L$3:$N$6,2,FALSE)))</f>
        <v/>
      </c>
      <c r="AC197" s="345" t="str">
        <f>IF(AA197="","",IF(VLOOKUP(AA197,'G-3 Multipliers'!$L$3:$N$6,3,FALSE)=0,"Spatial Data Missing",VLOOKUP(AA197,'G-3 Multipliers'!$L$3:$N$6,3,FALSE)))</f>
        <v/>
      </c>
      <c r="AD197" s="351" t="str">
        <f t="shared" si="20"/>
        <v/>
      </c>
      <c r="AE197" s="94"/>
      <c r="AF197" s="94"/>
      <c r="AG197" s="343" t="str">
        <f t="shared" si="23"/>
        <v/>
      </c>
      <c r="AH197" s="591" t="str">
        <f t="shared" si="24"/>
        <v/>
      </c>
      <c r="AI197" s="353" t="str">
        <f>IF(AH197="Check Data","Check Data",IFERROR(VLOOKUP(AH197,'G-4 Temporal multipliers'!$A$4:$C$36,3,FALSE),""))</f>
        <v/>
      </c>
      <c r="AJ197" s="77" t="str">
        <f>IF(S197="","",VLOOKUP(S197,'G-3 Multipliers'!$A$2:$E$130,4,FALSE))</f>
        <v/>
      </c>
      <c r="AK197" s="348" t="str">
        <f t="shared" si="25"/>
        <v/>
      </c>
      <c r="AL197" s="348" t="str">
        <f t="shared" si="26"/>
        <v/>
      </c>
      <c r="AM197" s="607" t="str">
        <f>IFERROR(IF(F197="","",IF(AH197="Check Data","Check Data",VLOOKUP(AL197, 'G-3 Multipliers'!$P$2:$Q$6,2,FALSE))),””)</f>
        <v/>
      </c>
      <c r="AN197" s="81" t="str">
        <f t="shared" si="21"/>
        <v/>
      </c>
      <c r="AO197" s="355"/>
      <c r="AP197" s="356"/>
    </row>
    <row r="198" spans="1:42" x14ac:dyDescent="0.25">
      <c r="A198" s="52" t="str">
        <f>IF(E198="","",IF(ISNA(VLOOKUP($E198,'A-1 Site Habitat Baseline'!$D$1:$O$258,2,FALSE)),"",(VLOOKUP($E198,'A-1 Site Habitat Baseline'!$D$1:$O$258,2,FALSE))))</f>
        <v/>
      </c>
      <c r="B198" s="52" t="str">
        <f>IF(E198="","",IF(ISNA(VLOOKUP($E198,'A-1 Site Habitat Baseline'!$D$1:$O$258,3,FALSE)),"",(VLOOKUP($E198,'A-1 Site Habitat Baseline'!$D$1:$O$258,3,FALSE))))</f>
        <v/>
      </c>
      <c r="C198" s="52" t="str">
        <f>IFERROR(INDEX('G-8 Condition Look up'!$I$4:$I$131,MATCH(S198,'G-8 Condition Look up'!$A$4:$A$131,0)),"")</f>
        <v/>
      </c>
      <c r="E198" s="342" t="str">
        <f>'A-1 Site Habitat Baseline'!AL197</f>
        <v/>
      </c>
      <c r="F198" s="343" t="str">
        <f>IF(E198="","",IF(ISNA(VLOOKUP($E198,'A-1 Site Habitat Baseline'!$D$1:$O$258,4,FALSE)),"",(VLOOKUP($E198,'A-1 Site Habitat Baseline'!$D$1:$O$258,4,FALSE))))</f>
        <v/>
      </c>
      <c r="G198" s="343" t="str">
        <f>IF(E198="","",IF(ISNA(VLOOKUP($E198,'A-1 Site Habitat Baseline'!$D$1:$O$258,5,FALSE)),"",(VLOOKUP($E198,'A-1 Site Habitat Baseline'!$D$1:$O$258,5,FALSE))))</f>
        <v/>
      </c>
      <c r="H198" s="343" t="str">
        <f>IF(E198="","",IF(ISNA(VLOOKUP($E198,'A-1 Site Habitat Baseline'!$D$1:$O$258,6,FALSE)),"",(VLOOKUP($E198,'A-1 Site Habitat Baseline'!$D$1:$O$258,6,FALSE))))</f>
        <v/>
      </c>
      <c r="I198" s="343" t="str">
        <f>IF(E198="","",IF(ISNA(VLOOKUP($E198,'A-1 Site Habitat Baseline'!$D$1:$O$258,7,FALSE)),"",(VLOOKUP($E198,'A-1 Site Habitat Baseline'!$D$1:$O$258,7,FALSE))))</f>
        <v/>
      </c>
      <c r="J198" s="343" t="str">
        <f>IF(E198="","",IF(ISNA(VLOOKUP($E198,'A-1 Site Habitat Baseline'!$D$1:$O$258,8,FALSE)),"",(VLOOKUP($E198,'A-1 Site Habitat Baseline'!$D$1:$O$258,8,FALSE))))</f>
        <v/>
      </c>
      <c r="K198" s="343" t="str">
        <f>IF(E198="","",IF(ISNA(VLOOKUP($E198,'A-1 Site Habitat Baseline'!$D$1:$O$258,9,FALSE)),"",(VLOOKUP($E198,'A-1 Site Habitat Baseline'!$D$1:$O$258,9,FALSE))))</f>
        <v/>
      </c>
      <c r="L198" s="343" t="str">
        <f>IF(E198="","",IF(ISNA(VLOOKUP($E198,'A-1 Site Habitat Baseline'!$D$1:$O$258,11,FALSE)),"",(VLOOKUP($E198,'A-1 Site Habitat Baseline'!$D$1:$O$258,11,FALSE))))</f>
        <v/>
      </c>
      <c r="M198" s="343" t="str">
        <f>IF(E198="","",IF(ISNA(VLOOKUP($E198,'A-1 Site Habitat Baseline'!$D$1:$O$258,12,FALSE)),"",(VLOOKUP($E198,'A-1 Site Habitat Baseline'!$D$1:$O$258,12,FALSE))))</f>
        <v/>
      </c>
      <c r="N198" s="344" t="str">
        <f>IF(E198="","",IF(ISNA(VLOOKUP($E198,'A-1 Site Habitat Baseline'!$D$1:$X$258,14,FALSE)),"",(VLOOKUP($E198,'A-1 Site Habitat Baseline'!$D$1:$X$258,14,FALSE))))</f>
        <v/>
      </c>
      <c r="O198" s="345" t="str">
        <f>IF(E198="","",IF(ISNA(VLOOKUP($E198,'A-1 Site Habitat Baseline'!$D$1:$X$258,16,FALSE)),"",(VLOOKUP($E198,'A-1 Site Habitat Baseline'!$D$1:$X$258,13,FALSE))))</f>
        <v/>
      </c>
      <c r="P198" s="346" t="str">
        <f>IFERROR(INDEX('G-1 All Habitats'!$AG$3:$AG$15,MATCH(Q198,'G-1 All Habitats'!$AF$3:$AF$15,0)),"")</f>
        <v/>
      </c>
      <c r="Q198" s="347"/>
      <c r="R198" s="347"/>
      <c r="S198" s="605" t="str">
        <f>IFERROR(INDEX('G-1 All Habitats'!$B$3:$B$130,MATCH(R198,'G-1 All Habitats'!$A$3:$A$130,0)),"")</f>
        <v/>
      </c>
      <c r="T198" s="77" t="str">
        <f t="shared" si="27"/>
        <v/>
      </c>
      <c r="U198" s="78" t="str">
        <f t="shared" si="22"/>
        <v/>
      </c>
      <c r="V198" s="350" t="str">
        <f t="shared" si="19"/>
        <v/>
      </c>
      <c r="W198" s="343" t="str">
        <f>IF(S198="","",VLOOKUP(S198,'G-1 All Habitats'!$B$2:$M$130,10,FALSE))</f>
        <v/>
      </c>
      <c r="X198" s="343" t="str">
        <f>IFERROR(VLOOKUP(W198,'G-1 All Habitats'!$V$3:$W$7,2,FALSE),"")</f>
        <v/>
      </c>
      <c r="Y198" s="91"/>
      <c r="Z198" s="345" t="str">
        <f>IFERROR(INDEX('G-8 Condition Look up'!$A$3:$H$131,MATCH(S198,'G-8 Condition Look up'!$A$3:$A$131,0),MATCH(Y198,'G-8 Condition Look up'!$A$3:$H$3,0)),"")</f>
        <v/>
      </c>
      <c r="AA198" s="79"/>
      <c r="AB198" s="343" t="str">
        <f>IF(AA198="","",IF(VLOOKUP(AA198,'G-3 Multipliers'!$L$3:$N$6,2,FALSE)=0,"Spatial Data Missing",VLOOKUP(AA198,'G-3 Multipliers'!$L$3:$N$6,2,FALSE)))</f>
        <v/>
      </c>
      <c r="AC198" s="345" t="str">
        <f>IF(AA198="","",IF(VLOOKUP(AA198,'G-3 Multipliers'!$L$3:$N$6,3,FALSE)=0,"Spatial Data Missing",VLOOKUP(AA198,'G-3 Multipliers'!$L$3:$N$6,3,FALSE)))</f>
        <v/>
      </c>
      <c r="AD198" s="351" t="str">
        <f t="shared" si="20"/>
        <v/>
      </c>
      <c r="AE198" s="94"/>
      <c r="AF198" s="94"/>
      <c r="AG198" s="343" t="str">
        <f t="shared" si="23"/>
        <v/>
      </c>
      <c r="AH198" s="591" t="str">
        <f t="shared" si="24"/>
        <v/>
      </c>
      <c r="AI198" s="353" t="str">
        <f>IF(AH198="Check Data","Check Data",IFERROR(VLOOKUP(AH198,'G-4 Temporal multipliers'!$A$4:$C$36,3,FALSE),""))</f>
        <v/>
      </c>
      <c r="AJ198" s="77" t="str">
        <f>IF(S198="","",VLOOKUP(S198,'G-3 Multipliers'!$A$2:$E$130,4,FALSE))</f>
        <v/>
      </c>
      <c r="AK198" s="348" t="str">
        <f t="shared" si="25"/>
        <v/>
      </c>
      <c r="AL198" s="348" t="str">
        <f t="shared" si="26"/>
        <v/>
      </c>
      <c r="AM198" s="607" t="str">
        <f>IFERROR(IF(F198="","",IF(AH198="Check Data","Check Data",VLOOKUP(AL198, 'G-3 Multipliers'!$P$2:$Q$6,2,FALSE))),””)</f>
        <v/>
      </c>
      <c r="AN198" s="81" t="str">
        <f t="shared" si="21"/>
        <v/>
      </c>
      <c r="AO198" s="355"/>
      <c r="AP198" s="356"/>
    </row>
    <row r="199" spans="1:42" x14ac:dyDescent="0.25">
      <c r="A199" s="52" t="str">
        <f>IF(E199="","",IF(ISNA(VLOOKUP($E199,'A-1 Site Habitat Baseline'!$D$1:$O$258,2,FALSE)),"",(VLOOKUP($E199,'A-1 Site Habitat Baseline'!$D$1:$O$258,2,FALSE))))</f>
        <v/>
      </c>
      <c r="B199" s="52" t="str">
        <f>IF(E199="","",IF(ISNA(VLOOKUP($E199,'A-1 Site Habitat Baseline'!$D$1:$O$258,3,FALSE)),"",(VLOOKUP($E199,'A-1 Site Habitat Baseline'!$D$1:$O$258,3,FALSE))))</f>
        <v/>
      </c>
      <c r="C199" s="52" t="str">
        <f>IFERROR(INDEX('G-8 Condition Look up'!$I$4:$I$131,MATCH(S199,'G-8 Condition Look up'!$A$4:$A$131,0)),"")</f>
        <v/>
      </c>
      <c r="E199" s="342" t="str">
        <f>'A-1 Site Habitat Baseline'!AL198</f>
        <v/>
      </c>
      <c r="F199" s="343" t="str">
        <f>IF(E199="","",IF(ISNA(VLOOKUP($E199,'A-1 Site Habitat Baseline'!$D$1:$O$258,4,FALSE)),"",(VLOOKUP($E199,'A-1 Site Habitat Baseline'!$D$1:$O$258,4,FALSE))))</f>
        <v/>
      </c>
      <c r="G199" s="343" t="str">
        <f>IF(E199="","",IF(ISNA(VLOOKUP($E199,'A-1 Site Habitat Baseline'!$D$1:$O$258,5,FALSE)),"",(VLOOKUP($E199,'A-1 Site Habitat Baseline'!$D$1:$O$258,5,FALSE))))</f>
        <v/>
      </c>
      <c r="H199" s="343" t="str">
        <f>IF(E199="","",IF(ISNA(VLOOKUP($E199,'A-1 Site Habitat Baseline'!$D$1:$O$258,6,FALSE)),"",(VLOOKUP($E199,'A-1 Site Habitat Baseline'!$D$1:$O$258,6,FALSE))))</f>
        <v/>
      </c>
      <c r="I199" s="343" t="str">
        <f>IF(E199="","",IF(ISNA(VLOOKUP($E199,'A-1 Site Habitat Baseline'!$D$1:$O$258,7,FALSE)),"",(VLOOKUP($E199,'A-1 Site Habitat Baseline'!$D$1:$O$258,7,FALSE))))</f>
        <v/>
      </c>
      <c r="J199" s="343" t="str">
        <f>IF(E199="","",IF(ISNA(VLOOKUP($E199,'A-1 Site Habitat Baseline'!$D$1:$O$258,8,FALSE)),"",(VLOOKUP($E199,'A-1 Site Habitat Baseline'!$D$1:$O$258,8,FALSE))))</f>
        <v/>
      </c>
      <c r="K199" s="343" t="str">
        <f>IF(E199="","",IF(ISNA(VLOOKUP($E199,'A-1 Site Habitat Baseline'!$D$1:$O$258,9,FALSE)),"",(VLOOKUP($E199,'A-1 Site Habitat Baseline'!$D$1:$O$258,9,FALSE))))</f>
        <v/>
      </c>
      <c r="L199" s="343" t="str">
        <f>IF(E199="","",IF(ISNA(VLOOKUP($E199,'A-1 Site Habitat Baseline'!$D$1:$O$258,11,FALSE)),"",(VLOOKUP($E199,'A-1 Site Habitat Baseline'!$D$1:$O$258,11,FALSE))))</f>
        <v/>
      </c>
      <c r="M199" s="343" t="str">
        <f>IF(E199="","",IF(ISNA(VLOOKUP($E199,'A-1 Site Habitat Baseline'!$D$1:$O$258,12,FALSE)),"",(VLOOKUP($E199,'A-1 Site Habitat Baseline'!$D$1:$O$258,12,FALSE))))</f>
        <v/>
      </c>
      <c r="N199" s="344" t="str">
        <f>IF(E199="","",IF(ISNA(VLOOKUP($E199,'A-1 Site Habitat Baseline'!$D$1:$X$258,14,FALSE)),"",(VLOOKUP($E199,'A-1 Site Habitat Baseline'!$D$1:$X$258,14,FALSE))))</f>
        <v/>
      </c>
      <c r="O199" s="345" t="str">
        <f>IF(E199="","",IF(ISNA(VLOOKUP($E199,'A-1 Site Habitat Baseline'!$D$1:$X$258,16,FALSE)),"",(VLOOKUP($E199,'A-1 Site Habitat Baseline'!$D$1:$X$258,13,FALSE))))</f>
        <v/>
      </c>
      <c r="P199" s="346" t="str">
        <f>IFERROR(INDEX('G-1 All Habitats'!$AG$3:$AG$15,MATCH(Q199,'G-1 All Habitats'!$AF$3:$AF$15,0)),"")</f>
        <v/>
      </c>
      <c r="Q199" s="347"/>
      <c r="R199" s="347"/>
      <c r="S199" s="605" t="str">
        <f>IFERROR(INDEX('G-1 All Habitats'!$B$3:$B$130,MATCH(R199,'G-1 All Habitats'!$A$3:$A$130,0)),"")</f>
        <v/>
      </c>
      <c r="T199" s="77" t="str">
        <f t="shared" si="27"/>
        <v/>
      </c>
      <c r="U199" s="78" t="str">
        <f t="shared" si="22"/>
        <v/>
      </c>
      <c r="V199" s="350" t="str">
        <f t="shared" si="19"/>
        <v/>
      </c>
      <c r="W199" s="343" t="str">
        <f>IF(S199="","",VLOOKUP(S199,'G-1 All Habitats'!$B$2:$M$130,10,FALSE))</f>
        <v/>
      </c>
      <c r="X199" s="343" t="str">
        <f>IFERROR(VLOOKUP(W199,'G-1 All Habitats'!$V$3:$W$7,2,FALSE),"")</f>
        <v/>
      </c>
      <c r="Y199" s="91"/>
      <c r="Z199" s="345" t="str">
        <f>IFERROR(INDEX('G-8 Condition Look up'!$A$3:$H$131,MATCH(S199,'G-8 Condition Look up'!$A$3:$A$131,0),MATCH(Y199,'G-8 Condition Look up'!$A$3:$H$3,0)),"")</f>
        <v/>
      </c>
      <c r="AA199" s="79"/>
      <c r="AB199" s="343" t="str">
        <f>IF(AA199="","",IF(VLOOKUP(AA199,'G-3 Multipliers'!$L$3:$N$6,2,FALSE)=0,"Spatial Data Missing",VLOOKUP(AA199,'G-3 Multipliers'!$L$3:$N$6,2,FALSE)))</f>
        <v/>
      </c>
      <c r="AC199" s="345" t="str">
        <f>IF(AA199="","",IF(VLOOKUP(AA199,'G-3 Multipliers'!$L$3:$N$6,3,FALSE)=0,"Spatial Data Missing",VLOOKUP(AA199,'G-3 Multipliers'!$L$3:$N$6,3,FALSE)))</f>
        <v/>
      </c>
      <c r="AD199" s="351" t="str">
        <f t="shared" si="20"/>
        <v/>
      </c>
      <c r="AE199" s="94"/>
      <c r="AF199" s="94"/>
      <c r="AG199" s="343" t="str">
        <f t="shared" si="23"/>
        <v/>
      </c>
      <c r="AH199" s="591" t="str">
        <f t="shared" si="24"/>
        <v/>
      </c>
      <c r="AI199" s="353" t="str">
        <f>IF(AH199="Check Data","Check Data",IFERROR(VLOOKUP(AH199,'G-4 Temporal multipliers'!$A$4:$C$36,3,FALSE),""))</f>
        <v/>
      </c>
      <c r="AJ199" s="77" t="str">
        <f>IF(S199="","",VLOOKUP(S199,'G-3 Multipliers'!$A$2:$E$130,4,FALSE))</f>
        <v/>
      </c>
      <c r="AK199" s="348" t="str">
        <f t="shared" si="25"/>
        <v/>
      </c>
      <c r="AL199" s="348" t="str">
        <f t="shared" si="26"/>
        <v/>
      </c>
      <c r="AM199" s="607" t="str">
        <f>IFERROR(IF(F199="","",IF(AH199="Check Data","Check Data",VLOOKUP(AL199, 'G-3 Multipliers'!$P$2:$Q$6,2,FALSE))),””)</f>
        <v/>
      </c>
      <c r="AN199" s="81" t="str">
        <f t="shared" si="21"/>
        <v/>
      </c>
      <c r="AO199" s="355"/>
      <c r="AP199" s="356"/>
    </row>
    <row r="200" spans="1:42" x14ac:dyDescent="0.25">
      <c r="A200" s="52" t="str">
        <f>IF(E200="","",IF(ISNA(VLOOKUP($E200,'A-1 Site Habitat Baseline'!$D$1:$O$258,2,FALSE)),"",(VLOOKUP($E200,'A-1 Site Habitat Baseline'!$D$1:$O$258,2,FALSE))))</f>
        <v/>
      </c>
      <c r="B200" s="52" t="str">
        <f>IF(E200="","",IF(ISNA(VLOOKUP($E200,'A-1 Site Habitat Baseline'!$D$1:$O$258,3,FALSE)),"",(VLOOKUP($E200,'A-1 Site Habitat Baseline'!$D$1:$O$258,3,FALSE))))</f>
        <v/>
      </c>
      <c r="C200" s="52" t="str">
        <f>IFERROR(INDEX('G-8 Condition Look up'!$I$4:$I$131,MATCH(S200,'G-8 Condition Look up'!$A$4:$A$131,0)),"")</f>
        <v/>
      </c>
      <c r="E200" s="342" t="str">
        <f>'A-1 Site Habitat Baseline'!AL199</f>
        <v/>
      </c>
      <c r="F200" s="343" t="str">
        <f>IF(E200="","",IF(ISNA(VLOOKUP($E200,'A-1 Site Habitat Baseline'!$D$1:$O$258,4,FALSE)),"",(VLOOKUP($E200,'A-1 Site Habitat Baseline'!$D$1:$O$258,4,FALSE))))</f>
        <v/>
      </c>
      <c r="G200" s="343" t="str">
        <f>IF(E200="","",IF(ISNA(VLOOKUP($E200,'A-1 Site Habitat Baseline'!$D$1:$O$258,5,FALSE)),"",(VLOOKUP($E200,'A-1 Site Habitat Baseline'!$D$1:$O$258,5,FALSE))))</f>
        <v/>
      </c>
      <c r="H200" s="343" t="str">
        <f>IF(E200="","",IF(ISNA(VLOOKUP($E200,'A-1 Site Habitat Baseline'!$D$1:$O$258,6,FALSE)),"",(VLOOKUP($E200,'A-1 Site Habitat Baseline'!$D$1:$O$258,6,FALSE))))</f>
        <v/>
      </c>
      <c r="I200" s="343" t="str">
        <f>IF(E200="","",IF(ISNA(VLOOKUP($E200,'A-1 Site Habitat Baseline'!$D$1:$O$258,7,FALSE)),"",(VLOOKUP($E200,'A-1 Site Habitat Baseline'!$D$1:$O$258,7,FALSE))))</f>
        <v/>
      </c>
      <c r="J200" s="343" t="str">
        <f>IF(E200="","",IF(ISNA(VLOOKUP($E200,'A-1 Site Habitat Baseline'!$D$1:$O$258,8,FALSE)),"",(VLOOKUP($E200,'A-1 Site Habitat Baseline'!$D$1:$O$258,8,FALSE))))</f>
        <v/>
      </c>
      <c r="K200" s="343" t="str">
        <f>IF(E200="","",IF(ISNA(VLOOKUP($E200,'A-1 Site Habitat Baseline'!$D$1:$O$258,9,FALSE)),"",(VLOOKUP($E200,'A-1 Site Habitat Baseline'!$D$1:$O$258,9,FALSE))))</f>
        <v/>
      </c>
      <c r="L200" s="343" t="str">
        <f>IF(E200="","",IF(ISNA(VLOOKUP($E200,'A-1 Site Habitat Baseline'!$D$1:$O$258,11,FALSE)),"",(VLOOKUP($E200,'A-1 Site Habitat Baseline'!$D$1:$O$258,11,FALSE))))</f>
        <v/>
      </c>
      <c r="M200" s="343" t="str">
        <f>IF(E200="","",IF(ISNA(VLOOKUP($E200,'A-1 Site Habitat Baseline'!$D$1:$O$258,12,FALSE)),"",(VLOOKUP($E200,'A-1 Site Habitat Baseline'!$D$1:$O$258,12,FALSE))))</f>
        <v/>
      </c>
      <c r="N200" s="344" t="str">
        <f>IF(E200="","",IF(ISNA(VLOOKUP($E200,'A-1 Site Habitat Baseline'!$D$1:$X$258,14,FALSE)),"",(VLOOKUP($E200,'A-1 Site Habitat Baseline'!$D$1:$X$258,14,FALSE))))</f>
        <v/>
      </c>
      <c r="O200" s="345" t="str">
        <f>IF(E200="","",IF(ISNA(VLOOKUP($E200,'A-1 Site Habitat Baseline'!$D$1:$X$258,16,FALSE)),"",(VLOOKUP($E200,'A-1 Site Habitat Baseline'!$D$1:$X$258,13,FALSE))))</f>
        <v/>
      </c>
      <c r="P200" s="346" t="str">
        <f>IFERROR(INDEX('G-1 All Habitats'!$AG$3:$AG$15,MATCH(Q200,'G-1 All Habitats'!$AF$3:$AF$15,0)),"")</f>
        <v/>
      </c>
      <c r="Q200" s="347"/>
      <c r="R200" s="347"/>
      <c r="S200" s="605" t="str">
        <f>IFERROR(INDEX('G-1 All Habitats'!$B$3:$B$130,MATCH(R200,'G-1 All Habitats'!$A$3:$A$130,0)),"")</f>
        <v/>
      </c>
      <c r="T200" s="77" t="str">
        <f t="shared" si="27"/>
        <v/>
      </c>
      <c r="U200" s="78" t="str">
        <f t="shared" si="22"/>
        <v/>
      </c>
      <c r="V200" s="350" t="str">
        <f t="shared" si="19"/>
        <v/>
      </c>
      <c r="W200" s="343" t="str">
        <f>IF(S200="","",VLOOKUP(S200,'G-1 All Habitats'!$B$2:$M$130,10,FALSE))</f>
        <v/>
      </c>
      <c r="X200" s="343" t="str">
        <f>IFERROR(VLOOKUP(W200,'G-1 All Habitats'!$V$3:$W$7,2,FALSE),"")</f>
        <v/>
      </c>
      <c r="Y200" s="91"/>
      <c r="Z200" s="345" t="str">
        <f>IFERROR(INDEX('G-8 Condition Look up'!$A$3:$H$131,MATCH(S200,'G-8 Condition Look up'!$A$3:$A$131,0),MATCH(Y200,'G-8 Condition Look up'!$A$3:$H$3,0)),"")</f>
        <v/>
      </c>
      <c r="AA200" s="79"/>
      <c r="AB200" s="343" t="str">
        <f>IF(AA200="","",IF(VLOOKUP(AA200,'G-3 Multipliers'!$L$3:$N$6,2,FALSE)=0,"Spatial Data Missing",VLOOKUP(AA200,'G-3 Multipliers'!$L$3:$N$6,2,FALSE)))</f>
        <v/>
      </c>
      <c r="AC200" s="345" t="str">
        <f>IF(AA200="","",IF(VLOOKUP(AA200,'G-3 Multipliers'!$L$3:$N$6,3,FALSE)=0,"Spatial Data Missing",VLOOKUP(AA200,'G-3 Multipliers'!$L$3:$N$6,3,FALSE)))</f>
        <v/>
      </c>
      <c r="AD200" s="351" t="str">
        <f t="shared" si="20"/>
        <v/>
      </c>
      <c r="AE200" s="94"/>
      <c r="AF200" s="94"/>
      <c r="AG200" s="343" t="str">
        <f t="shared" si="23"/>
        <v/>
      </c>
      <c r="AH200" s="591" t="str">
        <f t="shared" si="24"/>
        <v/>
      </c>
      <c r="AI200" s="353" t="str">
        <f>IF(AH200="Check Data","Check Data",IFERROR(VLOOKUP(AH200,'G-4 Temporal multipliers'!$A$4:$C$36,3,FALSE),""))</f>
        <v/>
      </c>
      <c r="AJ200" s="77" t="str">
        <f>IF(S200="","",VLOOKUP(S200,'G-3 Multipliers'!$A$2:$E$130,4,FALSE))</f>
        <v/>
      </c>
      <c r="AK200" s="348" t="str">
        <f t="shared" si="25"/>
        <v/>
      </c>
      <c r="AL200" s="348" t="str">
        <f t="shared" si="26"/>
        <v/>
      </c>
      <c r="AM200" s="607" t="str">
        <f>IFERROR(IF(F200="","",IF(AH200="Check Data","Check Data",VLOOKUP(AL200, 'G-3 Multipliers'!$P$2:$Q$6,2,FALSE))),””)</f>
        <v/>
      </c>
      <c r="AN200" s="81" t="str">
        <f t="shared" si="21"/>
        <v/>
      </c>
      <c r="AO200" s="355"/>
      <c r="AP200" s="356"/>
    </row>
    <row r="201" spans="1:42" x14ac:dyDescent="0.25">
      <c r="A201" s="52" t="str">
        <f>IF(E201="","",IF(ISNA(VLOOKUP($E201,'A-1 Site Habitat Baseline'!$D$1:$O$258,2,FALSE)),"",(VLOOKUP($E201,'A-1 Site Habitat Baseline'!$D$1:$O$258,2,FALSE))))</f>
        <v/>
      </c>
      <c r="B201" s="52" t="str">
        <f>IF(E201="","",IF(ISNA(VLOOKUP($E201,'A-1 Site Habitat Baseline'!$D$1:$O$258,3,FALSE)),"",(VLOOKUP($E201,'A-1 Site Habitat Baseline'!$D$1:$O$258,3,FALSE))))</f>
        <v/>
      </c>
      <c r="C201" s="52" t="str">
        <f>IFERROR(INDEX('G-8 Condition Look up'!$I$4:$I$131,MATCH(S201,'G-8 Condition Look up'!$A$4:$A$131,0)),"")</f>
        <v/>
      </c>
      <c r="E201" s="342" t="str">
        <f>'A-1 Site Habitat Baseline'!AL200</f>
        <v/>
      </c>
      <c r="F201" s="343" t="str">
        <f>IF(E201="","",IF(ISNA(VLOOKUP($E201,'A-1 Site Habitat Baseline'!$D$1:$O$258,4,FALSE)),"",(VLOOKUP($E201,'A-1 Site Habitat Baseline'!$D$1:$O$258,4,FALSE))))</f>
        <v/>
      </c>
      <c r="G201" s="343" t="str">
        <f>IF(E201="","",IF(ISNA(VLOOKUP($E201,'A-1 Site Habitat Baseline'!$D$1:$O$258,5,FALSE)),"",(VLOOKUP($E201,'A-1 Site Habitat Baseline'!$D$1:$O$258,5,FALSE))))</f>
        <v/>
      </c>
      <c r="H201" s="343" t="str">
        <f>IF(E201="","",IF(ISNA(VLOOKUP($E201,'A-1 Site Habitat Baseline'!$D$1:$O$258,6,FALSE)),"",(VLOOKUP($E201,'A-1 Site Habitat Baseline'!$D$1:$O$258,6,FALSE))))</f>
        <v/>
      </c>
      <c r="I201" s="343" t="str">
        <f>IF(E201="","",IF(ISNA(VLOOKUP($E201,'A-1 Site Habitat Baseline'!$D$1:$O$258,7,FALSE)),"",(VLOOKUP($E201,'A-1 Site Habitat Baseline'!$D$1:$O$258,7,FALSE))))</f>
        <v/>
      </c>
      <c r="J201" s="343" t="str">
        <f>IF(E201="","",IF(ISNA(VLOOKUP($E201,'A-1 Site Habitat Baseline'!$D$1:$O$258,8,FALSE)),"",(VLOOKUP($E201,'A-1 Site Habitat Baseline'!$D$1:$O$258,8,FALSE))))</f>
        <v/>
      </c>
      <c r="K201" s="343" t="str">
        <f>IF(E201="","",IF(ISNA(VLOOKUP($E201,'A-1 Site Habitat Baseline'!$D$1:$O$258,9,FALSE)),"",(VLOOKUP($E201,'A-1 Site Habitat Baseline'!$D$1:$O$258,9,FALSE))))</f>
        <v/>
      </c>
      <c r="L201" s="343" t="str">
        <f>IF(E201="","",IF(ISNA(VLOOKUP($E201,'A-1 Site Habitat Baseline'!$D$1:$O$258,11,FALSE)),"",(VLOOKUP($E201,'A-1 Site Habitat Baseline'!$D$1:$O$258,11,FALSE))))</f>
        <v/>
      </c>
      <c r="M201" s="343" t="str">
        <f>IF(E201="","",IF(ISNA(VLOOKUP($E201,'A-1 Site Habitat Baseline'!$D$1:$O$258,12,FALSE)),"",(VLOOKUP($E201,'A-1 Site Habitat Baseline'!$D$1:$O$258,12,FALSE))))</f>
        <v/>
      </c>
      <c r="N201" s="344" t="str">
        <f>IF(E201="","",IF(ISNA(VLOOKUP($E201,'A-1 Site Habitat Baseline'!$D$1:$X$258,14,FALSE)),"",(VLOOKUP($E201,'A-1 Site Habitat Baseline'!$D$1:$X$258,14,FALSE))))</f>
        <v/>
      </c>
      <c r="O201" s="345" t="str">
        <f>IF(E201="","",IF(ISNA(VLOOKUP($E201,'A-1 Site Habitat Baseline'!$D$1:$X$258,16,FALSE)),"",(VLOOKUP($E201,'A-1 Site Habitat Baseline'!$D$1:$X$258,13,FALSE))))</f>
        <v/>
      </c>
      <c r="P201" s="346" t="str">
        <f>IFERROR(INDEX('G-1 All Habitats'!$AG$3:$AG$15,MATCH(Q201,'G-1 All Habitats'!$AF$3:$AF$15,0)),"")</f>
        <v/>
      </c>
      <c r="Q201" s="347"/>
      <c r="R201" s="347"/>
      <c r="S201" s="605" t="str">
        <f>IFERROR(INDEX('G-1 All Habitats'!$B$3:$B$130,MATCH(R201,'G-1 All Habitats'!$A$3:$A$130,0)),"")</f>
        <v/>
      </c>
      <c r="T201" s="77" t="str">
        <f t="shared" si="27"/>
        <v/>
      </c>
      <c r="U201" s="78" t="str">
        <f t="shared" si="22"/>
        <v/>
      </c>
      <c r="V201" s="350" t="str">
        <f t="shared" si="19"/>
        <v/>
      </c>
      <c r="W201" s="343" t="str">
        <f>IF(S201="","",VLOOKUP(S201,'G-1 All Habitats'!$B$2:$M$130,10,FALSE))</f>
        <v/>
      </c>
      <c r="X201" s="343" t="str">
        <f>IFERROR(VLOOKUP(W201,'G-1 All Habitats'!$V$3:$W$7,2,FALSE),"")</f>
        <v/>
      </c>
      <c r="Y201" s="91"/>
      <c r="Z201" s="345" t="str">
        <f>IFERROR(INDEX('G-8 Condition Look up'!$A$3:$H$131,MATCH(S201,'G-8 Condition Look up'!$A$3:$A$131,0),MATCH(Y201,'G-8 Condition Look up'!$A$3:$H$3,0)),"")</f>
        <v/>
      </c>
      <c r="AA201" s="79"/>
      <c r="AB201" s="343" t="str">
        <f>IF(AA201="","",IF(VLOOKUP(AA201,'G-3 Multipliers'!$L$3:$N$6,2,FALSE)=0,"Spatial Data Missing",VLOOKUP(AA201,'G-3 Multipliers'!$L$3:$N$6,2,FALSE)))</f>
        <v/>
      </c>
      <c r="AC201" s="345" t="str">
        <f>IF(AA201="","",IF(VLOOKUP(AA201,'G-3 Multipliers'!$L$3:$N$6,3,FALSE)=0,"Spatial Data Missing",VLOOKUP(AA201,'G-3 Multipliers'!$L$3:$N$6,3,FALSE)))</f>
        <v/>
      </c>
      <c r="AD201" s="351" t="str">
        <f t="shared" si="20"/>
        <v/>
      </c>
      <c r="AE201" s="94"/>
      <c r="AF201" s="94"/>
      <c r="AG201" s="343" t="str">
        <f t="shared" si="23"/>
        <v/>
      </c>
      <c r="AH201" s="591" t="str">
        <f t="shared" si="24"/>
        <v/>
      </c>
      <c r="AI201" s="353" t="str">
        <f>IF(AH201="Check Data","Check Data",IFERROR(VLOOKUP(AH201,'G-4 Temporal multipliers'!$A$4:$C$36,3,FALSE),""))</f>
        <v/>
      </c>
      <c r="AJ201" s="77" t="str">
        <f>IF(S201="","",VLOOKUP(S201,'G-3 Multipliers'!$A$2:$E$130,4,FALSE))</f>
        <v/>
      </c>
      <c r="AK201" s="348" t="str">
        <f t="shared" si="25"/>
        <v/>
      </c>
      <c r="AL201" s="348" t="str">
        <f t="shared" si="26"/>
        <v/>
      </c>
      <c r="AM201" s="607" t="str">
        <f>IFERROR(IF(F201="","",IF(AH201="Check Data","Check Data",VLOOKUP(AL201, 'G-3 Multipliers'!$P$2:$Q$6,2,FALSE))),””)</f>
        <v/>
      </c>
      <c r="AN201" s="81" t="str">
        <f t="shared" si="21"/>
        <v/>
      </c>
      <c r="AO201" s="355"/>
      <c r="AP201" s="356"/>
    </row>
    <row r="202" spans="1:42" x14ac:dyDescent="0.25">
      <c r="A202" s="52" t="str">
        <f>IF(E202="","",IF(ISNA(VLOOKUP($E202,'A-1 Site Habitat Baseline'!$D$1:$O$258,2,FALSE)),"",(VLOOKUP($E202,'A-1 Site Habitat Baseline'!$D$1:$O$258,2,FALSE))))</f>
        <v/>
      </c>
      <c r="B202" s="52" t="str">
        <f>IF(E202="","",IF(ISNA(VLOOKUP($E202,'A-1 Site Habitat Baseline'!$D$1:$O$258,3,FALSE)),"",(VLOOKUP($E202,'A-1 Site Habitat Baseline'!$D$1:$O$258,3,FALSE))))</f>
        <v/>
      </c>
      <c r="C202" s="52" t="str">
        <f>IFERROR(INDEX('G-8 Condition Look up'!$I$4:$I$131,MATCH(S202,'G-8 Condition Look up'!$A$4:$A$131,0)),"")</f>
        <v/>
      </c>
      <c r="E202" s="342" t="str">
        <f>'A-1 Site Habitat Baseline'!AL201</f>
        <v/>
      </c>
      <c r="F202" s="343" t="str">
        <f>IF(E202="","",IF(ISNA(VLOOKUP($E202,'A-1 Site Habitat Baseline'!$D$1:$O$258,4,FALSE)),"",(VLOOKUP($E202,'A-1 Site Habitat Baseline'!$D$1:$O$258,4,FALSE))))</f>
        <v/>
      </c>
      <c r="G202" s="343" t="str">
        <f>IF(E202="","",IF(ISNA(VLOOKUP($E202,'A-1 Site Habitat Baseline'!$D$1:$O$258,5,FALSE)),"",(VLOOKUP($E202,'A-1 Site Habitat Baseline'!$D$1:$O$258,5,FALSE))))</f>
        <v/>
      </c>
      <c r="H202" s="343" t="str">
        <f>IF(E202="","",IF(ISNA(VLOOKUP($E202,'A-1 Site Habitat Baseline'!$D$1:$O$258,6,FALSE)),"",(VLOOKUP($E202,'A-1 Site Habitat Baseline'!$D$1:$O$258,6,FALSE))))</f>
        <v/>
      </c>
      <c r="I202" s="343" t="str">
        <f>IF(E202="","",IF(ISNA(VLOOKUP($E202,'A-1 Site Habitat Baseline'!$D$1:$O$258,7,FALSE)),"",(VLOOKUP($E202,'A-1 Site Habitat Baseline'!$D$1:$O$258,7,FALSE))))</f>
        <v/>
      </c>
      <c r="J202" s="343" t="str">
        <f>IF(E202="","",IF(ISNA(VLOOKUP($E202,'A-1 Site Habitat Baseline'!$D$1:$O$258,8,FALSE)),"",(VLOOKUP($E202,'A-1 Site Habitat Baseline'!$D$1:$O$258,8,FALSE))))</f>
        <v/>
      </c>
      <c r="K202" s="343" t="str">
        <f>IF(E202="","",IF(ISNA(VLOOKUP($E202,'A-1 Site Habitat Baseline'!$D$1:$O$258,9,FALSE)),"",(VLOOKUP($E202,'A-1 Site Habitat Baseline'!$D$1:$O$258,9,FALSE))))</f>
        <v/>
      </c>
      <c r="L202" s="343" t="str">
        <f>IF(E202="","",IF(ISNA(VLOOKUP($E202,'A-1 Site Habitat Baseline'!$D$1:$O$258,11,FALSE)),"",(VLOOKUP($E202,'A-1 Site Habitat Baseline'!$D$1:$O$258,11,FALSE))))</f>
        <v/>
      </c>
      <c r="M202" s="343" t="str">
        <f>IF(E202="","",IF(ISNA(VLOOKUP($E202,'A-1 Site Habitat Baseline'!$D$1:$O$258,12,FALSE)),"",(VLOOKUP($E202,'A-1 Site Habitat Baseline'!$D$1:$O$258,12,FALSE))))</f>
        <v/>
      </c>
      <c r="N202" s="344" t="str">
        <f>IF(E202="","",IF(ISNA(VLOOKUP($E202,'A-1 Site Habitat Baseline'!$D$1:$X$258,14,FALSE)),"",(VLOOKUP($E202,'A-1 Site Habitat Baseline'!$D$1:$X$258,14,FALSE))))</f>
        <v/>
      </c>
      <c r="O202" s="345" t="str">
        <f>IF(E202="","",IF(ISNA(VLOOKUP($E202,'A-1 Site Habitat Baseline'!$D$1:$X$258,16,FALSE)),"",(VLOOKUP($E202,'A-1 Site Habitat Baseline'!$D$1:$X$258,13,FALSE))))</f>
        <v/>
      </c>
      <c r="P202" s="346" t="str">
        <f>IFERROR(INDEX('G-1 All Habitats'!$AG$3:$AG$15,MATCH(Q202,'G-1 All Habitats'!$AF$3:$AF$15,0)),"")</f>
        <v/>
      </c>
      <c r="Q202" s="347"/>
      <c r="R202" s="347"/>
      <c r="S202" s="605" t="str">
        <f>IFERROR(INDEX('G-1 All Habitats'!$B$3:$B$130,MATCH(R202,'G-1 All Habitats'!$A$3:$A$130,0)),"")</f>
        <v/>
      </c>
      <c r="T202" s="77" t="str">
        <f t="shared" si="27"/>
        <v/>
      </c>
      <c r="U202" s="78" t="str">
        <f t="shared" si="22"/>
        <v/>
      </c>
      <c r="V202" s="350" t="str">
        <f t="shared" si="19"/>
        <v/>
      </c>
      <c r="W202" s="343" t="str">
        <f>IF(S202="","",VLOOKUP(S202,'G-1 All Habitats'!$B$2:$M$130,10,FALSE))</f>
        <v/>
      </c>
      <c r="X202" s="343" t="str">
        <f>IFERROR(VLOOKUP(W202,'G-1 All Habitats'!$V$3:$W$7,2,FALSE),"")</f>
        <v/>
      </c>
      <c r="Y202" s="91"/>
      <c r="Z202" s="345" t="str">
        <f>IFERROR(INDEX('G-8 Condition Look up'!$A$3:$H$131,MATCH(S202,'G-8 Condition Look up'!$A$3:$A$131,0),MATCH(Y202,'G-8 Condition Look up'!$A$3:$H$3,0)),"")</f>
        <v/>
      </c>
      <c r="AA202" s="79"/>
      <c r="AB202" s="343" t="str">
        <f>IF(AA202="","",IF(VLOOKUP(AA202,'G-3 Multipliers'!$L$3:$N$6,2,FALSE)=0,"Spatial Data Missing",VLOOKUP(AA202,'G-3 Multipliers'!$L$3:$N$6,2,FALSE)))</f>
        <v/>
      </c>
      <c r="AC202" s="345" t="str">
        <f>IF(AA202="","",IF(VLOOKUP(AA202,'G-3 Multipliers'!$L$3:$N$6,3,FALSE)=0,"Spatial Data Missing",VLOOKUP(AA202,'G-3 Multipliers'!$L$3:$N$6,3,FALSE)))</f>
        <v/>
      </c>
      <c r="AD202" s="351" t="str">
        <f t="shared" si="20"/>
        <v/>
      </c>
      <c r="AE202" s="94"/>
      <c r="AF202" s="94"/>
      <c r="AG202" s="343" t="str">
        <f t="shared" si="23"/>
        <v/>
      </c>
      <c r="AH202" s="591" t="str">
        <f t="shared" si="24"/>
        <v/>
      </c>
      <c r="AI202" s="353" t="str">
        <f>IF(AH202="Check Data","Check Data",IFERROR(VLOOKUP(AH202,'G-4 Temporal multipliers'!$A$4:$C$36,3,FALSE),""))</f>
        <v/>
      </c>
      <c r="AJ202" s="77" t="str">
        <f>IF(S202="","",VLOOKUP(S202,'G-3 Multipliers'!$A$2:$E$130,4,FALSE))</f>
        <v/>
      </c>
      <c r="AK202" s="348" t="str">
        <f t="shared" si="25"/>
        <v/>
      </c>
      <c r="AL202" s="348" t="str">
        <f t="shared" si="26"/>
        <v/>
      </c>
      <c r="AM202" s="607" t="str">
        <f>IFERROR(IF(F202="","",IF(AH202="Check Data","Check Data",VLOOKUP(AL202, 'G-3 Multipliers'!$P$2:$Q$6,2,FALSE))),””)</f>
        <v/>
      </c>
      <c r="AN202" s="81" t="str">
        <f t="shared" si="21"/>
        <v/>
      </c>
      <c r="AO202" s="355"/>
      <c r="AP202" s="356"/>
    </row>
    <row r="203" spans="1:42" x14ac:dyDescent="0.25">
      <c r="A203" s="52" t="str">
        <f>IF(E203="","",IF(ISNA(VLOOKUP($E203,'A-1 Site Habitat Baseline'!$D$1:$O$258,2,FALSE)),"",(VLOOKUP($E203,'A-1 Site Habitat Baseline'!$D$1:$O$258,2,FALSE))))</f>
        <v/>
      </c>
      <c r="B203" s="52" t="str">
        <f>IF(E203="","",IF(ISNA(VLOOKUP($E203,'A-1 Site Habitat Baseline'!$D$1:$O$258,3,FALSE)),"",(VLOOKUP($E203,'A-1 Site Habitat Baseline'!$D$1:$O$258,3,FALSE))))</f>
        <v/>
      </c>
      <c r="C203" s="52" t="str">
        <f>IFERROR(INDEX('G-8 Condition Look up'!$I$4:$I$131,MATCH(S203,'G-8 Condition Look up'!$A$4:$A$131,0)),"")</f>
        <v/>
      </c>
      <c r="E203" s="342" t="str">
        <f>'A-1 Site Habitat Baseline'!AL202</f>
        <v/>
      </c>
      <c r="F203" s="343" t="str">
        <f>IF(E203="","",IF(ISNA(VLOOKUP($E203,'A-1 Site Habitat Baseline'!$D$1:$O$258,4,FALSE)),"",(VLOOKUP($E203,'A-1 Site Habitat Baseline'!$D$1:$O$258,4,FALSE))))</f>
        <v/>
      </c>
      <c r="G203" s="343" t="str">
        <f>IF(E203="","",IF(ISNA(VLOOKUP($E203,'A-1 Site Habitat Baseline'!$D$1:$O$258,5,FALSE)),"",(VLOOKUP($E203,'A-1 Site Habitat Baseline'!$D$1:$O$258,5,FALSE))))</f>
        <v/>
      </c>
      <c r="H203" s="343" t="str">
        <f>IF(E203="","",IF(ISNA(VLOOKUP($E203,'A-1 Site Habitat Baseline'!$D$1:$O$258,6,FALSE)),"",(VLOOKUP($E203,'A-1 Site Habitat Baseline'!$D$1:$O$258,6,FALSE))))</f>
        <v/>
      </c>
      <c r="I203" s="343" t="str">
        <f>IF(E203="","",IF(ISNA(VLOOKUP($E203,'A-1 Site Habitat Baseline'!$D$1:$O$258,7,FALSE)),"",(VLOOKUP($E203,'A-1 Site Habitat Baseline'!$D$1:$O$258,7,FALSE))))</f>
        <v/>
      </c>
      <c r="J203" s="343" t="str">
        <f>IF(E203="","",IF(ISNA(VLOOKUP($E203,'A-1 Site Habitat Baseline'!$D$1:$O$258,8,FALSE)),"",(VLOOKUP($E203,'A-1 Site Habitat Baseline'!$D$1:$O$258,8,FALSE))))</f>
        <v/>
      </c>
      <c r="K203" s="343" t="str">
        <f>IF(E203="","",IF(ISNA(VLOOKUP($E203,'A-1 Site Habitat Baseline'!$D$1:$O$258,9,FALSE)),"",(VLOOKUP($E203,'A-1 Site Habitat Baseline'!$D$1:$O$258,9,FALSE))))</f>
        <v/>
      </c>
      <c r="L203" s="343" t="str">
        <f>IF(E203="","",IF(ISNA(VLOOKUP($E203,'A-1 Site Habitat Baseline'!$D$1:$O$258,11,FALSE)),"",(VLOOKUP($E203,'A-1 Site Habitat Baseline'!$D$1:$O$258,11,FALSE))))</f>
        <v/>
      </c>
      <c r="M203" s="343" t="str">
        <f>IF(E203="","",IF(ISNA(VLOOKUP($E203,'A-1 Site Habitat Baseline'!$D$1:$O$258,12,FALSE)),"",(VLOOKUP($E203,'A-1 Site Habitat Baseline'!$D$1:$O$258,12,FALSE))))</f>
        <v/>
      </c>
      <c r="N203" s="344" t="str">
        <f>IF(E203="","",IF(ISNA(VLOOKUP($E203,'A-1 Site Habitat Baseline'!$D$1:$X$258,14,FALSE)),"",(VLOOKUP($E203,'A-1 Site Habitat Baseline'!$D$1:$X$258,14,FALSE))))</f>
        <v/>
      </c>
      <c r="O203" s="345" t="str">
        <f>IF(E203="","",IF(ISNA(VLOOKUP($E203,'A-1 Site Habitat Baseline'!$D$1:$X$258,16,FALSE)),"",(VLOOKUP($E203,'A-1 Site Habitat Baseline'!$D$1:$X$258,13,FALSE))))</f>
        <v/>
      </c>
      <c r="P203" s="346" t="str">
        <f>IFERROR(INDEX('G-1 All Habitats'!$AG$3:$AG$15,MATCH(Q203,'G-1 All Habitats'!$AF$3:$AF$15,0)),"")</f>
        <v/>
      </c>
      <c r="Q203" s="347"/>
      <c r="R203" s="347"/>
      <c r="S203" s="605" t="str">
        <f>IFERROR(INDEX('G-1 All Habitats'!$B$3:$B$130,MATCH(R203,'G-1 All Habitats'!$A$3:$A$130,0)),"")</f>
        <v/>
      </c>
      <c r="T203" s="77" t="str">
        <f t="shared" si="27"/>
        <v/>
      </c>
      <c r="U203" s="78" t="str">
        <f t="shared" si="22"/>
        <v/>
      </c>
      <c r="V203" s="350" t="str">
        <f t="shared" si="19"/>
        <v/>
      </c>
      <c r="W203" s="343" t="str">
        <f>IF(S203="","",VLOOKUP(S203,'G-1 All Habitats'!$B$2:$M$130,10,FALSE))</f>
        <v/>
      </c>
      <c r="X203" s="343" t="str">
        <f>IFERROR(VLOOKUP(W203,'G-1 All Habitats'!$V$3:$W$7,2,FALSE),"")</f>
        <v/>
      </c>
      <c r="Y203" s="91"/>
      <c r="Z203" s="345" t="str">
        <f>IFERROR(INDEX('G-8 Condition Look up'!$A$3:$H$131,MATCH(S203,'G-8 Condition Look up'!$A$3:$A$131,0),MATCH(Y203,'G-8 Condition Look up'!$A$3:$H$3,0)),"")</f>
        <v/>
      </c>
      <c r="AA203" s="79"/>
      <c r="AB203" s="343" t="str">
        <f>IF(AA203="","",IF(VLOOKUP(AA203,'G-3 Multipliers'!$L$3:$N$6,2,FALSE)=0,"Spatial Data Missing",VLOOKUP(AA203,'G-3 Multipliers'!$L$3:$N$6,2,FALSE)))</f>
        <v/>
      </c>
      <c r="AC203" s="345" t="str">
        <f>IF(AA203="","",IF(VLOOKUP(AA203,'G-3 Multipliers'!$L$3:$N$6,3,FALSE)=0,"Spatial Data Missing",VLOOKUP(AA203,'G-3 Multipliers'!$L$3:$N$6,3,FALSE)))</f>
        <v/>
      </c>
      <c r="AD203" s="351" t="str">
        <f t="shared" si="20"/>
        <v/>
      </c>
      <c r="AE203" s="94"/>
      <c r="AF203" s="94"/>
      <c r="AG203" s="343" t="str">
        <f t="shared" si="23"/>
        <v/>
      </c>
      <c r="AH203" s="591" t="str">
        <f t="shared" si="24"/>
        <v/>
      </c>
      <c r="AI203" s="353" t="str">
        <f>IF(AH203="Check Data","Check Data",IFERROR(VLOOKUP(AH203,'G-4 Temporal multipliers'!$A$4:$C$36,3,FALSE),""))</f>
        <v/>
      </c>
      <c r="AJ203" s="77" t="str">
        <f>IF(S203="","",VLOOKUP(S203,'G-3 Multipliers'!$A$2:$E$130,4,FALSE))</f>
        <v/>
      </c>
      <c r="AK203" s="348" t="str">
        <f t="shared" si="25"/>
        <v/>
      </c>
      <c r="AL203" s="348" t="str">
        <f t="shared" si="26"/>
        <v/>
      </c>
      <c r="AM203" s="607" t="str">
        <f>IFERROR(IF(F203="","",IF(AH203="Check Data","Check Data",VLOOKUP(AL203, 'G-3 Multipliers'!$P$2:$Q$6,2,FALSE))),””)</f>
        <v/>
      </c>
      <c r="AN203" s="81" t="str">
        <f t="shared" si="21"/>
        <v/>
      </c>
      <c r="AO203" s="355"/>
      <c r="AP203" s="356"/>
    </row>
    <row r="204" spans="1:42" x14ac:dyDescent="0.25">
      <c r="A204" s="52" t="str">
        <f>IF(E204="","",IF(ISNA(VLOOKUP($E204,'A-1 Site Habitat Baseline'!$D$1:$O$258,2,FALSE)),"",(VLOOKUP($E204,'A-1 Site Habitat Baseline'!$D$1:$O$258,2,FALSE))))</f>
        <v/>
      </c>
      <c r="B204" s="52" t="str">
        <f>IF(E204="","",IF(ISNA(VLOOKUP($E204,'A-1 Site Habitat Baseline'!$D$1:$O$258,3,FALSE)),"",(VLOOKUP($E204,'A-1 Site Habitat Baseline'!$D$1:$O$258,3,FALSE))))</f>
        <v/>
      </c>
      <c r="C204" s="52" t="str">
        <f>IFERROR(INDEX('G-8 Condition Look up'!$I$4:$I$131,MATCH(S204,'G-8 Condition Look up'!$A$4:$A$131,0)),"")</f>
        <v/>
      </c>
      <c r="E204" s="342" t="str">
        <f>'A-1 Site Habitat Baseline'!AL203</f>
        <v/>
      </c>
      <c r="F204" s="343" t="str">
        <f>IF(E204="","",IF(ISNA(VLOOKUP($E204,'A-1 Site Habitat Baseline'!$D$1:$O$258,4,FALSE)),"",(VLOOKUP($E204,'A-1 Site Habitat Baseline'!$D$1:$O$258,4,FALSE))))</f>
        <v/>
      </c>
      <c r="G204" s="343" t="str">
        <f>IF(E204="","",IF(ISNA(VLOOKUP($E204,'A-1 Site Habitat Baseline'!$D$1:$O$258,5,FALSE)),"",(VLOOKUP($E204,'A-1 Site Habitat Baseline'!$D$1:$O$258,5,FALSE))))</f>
        <v/>
      </c>
      <c r="H204" s="343" t="str">
        <f>IF(E204="","",IF(ISNA(VLOOKUP($E204,'A-1 Site Habitat Baseline'!$D$1:$O$258,6,FALSE)),"",(VLOOKUP($E204,'A-1 Site Habitat Baseline'!$D$1:$O$258,6,FALSE))))</f>
        <v/>
      </c>
      <c r="I204" s="343" t="str">
        <f>IF(E204="","",IF(ISNA(VLOOKUP($E204,'A-1 Site Habitat Baseline'!$D$1:$O$258,7,FALSE)),"",(VLOOKUP($E204,'A-1 Site Habitat Baseline'!$D$1:$O$258,7,FALSE))))</f>
        <v/>
      </c>
      <c r="J204" s="343" t="str">
        <f>IF(E204="","",IF(ISNA(VLOOKUP($E204,'A-1 Site Habitat Baseline'!$D$1:$O$258,8,FALSE)),"",(VLOOKUP($E204,'A-1 Site Habitat Baseline'!$D$1:$O$258,8,FALSE))))</f>
        <v/>
      </c>
      <c r="K204" s="343" t="str">
        <f>IF(E204="","",IF(ISNA(VLOOKUP($E204,'A-1 Site Habitat Baseline'!$D$1:$O$258,9,FALSE)),"",(VLOOKUP($E204,'A-1 Site Habitat Baseline'!$D$1:$O$258,9,FALSE))))</f>
        <v/>
      </c>
      <c r="L204" s="343" t="str">
        <f>IF(E204="","",IF(ISNA(VLOOKUP($E204,'A-1 Site Habitat Baseline'!$D$1:$O$258,11,FALSE)),"",(VLOOKUP($E204,'A-1 Site Habitat Baseline'!$D$1:$O$258,11,FALSE))))</f>
        <v/>
      </c>
      <c r="M204" s="343" t="str">
        <f>IF(E204="","",IF(ISNA(VLOOKUP($E204,'A-1 Site Habitat Baseline'!$D$1:$O$258,12,FALSE)),"",(VLOOKUP($E204,'A-1 Site Habitat Baseline'!$D$1:$O$258,12,FALSE))))</f>
        <v/>
      </c>
      <c r="N204" s="344" t="str">
        <f>IF(E204="","",IF(ISNA(VLOOKUP($E204,'A-1 Site Habitat Baseline'!$D$1:$X$258,14,FALSE)),"",(VLOOKUP($E204,'A-1 Site Habitat Baseline'!$D$1:$X$258,14,FALSE))))</f>
        <v/>
      </c>
      <c r="O204" s="345" t="str">
        <f>IF(E204="","",IF(ISNA(VLOOKUP($E204,'A-1 Site Habitat Baseline'!$D$1:$X$258,16,FALSE)),"",(VLOOKUP($E204,'A-1 Site Habitat Baseline'!$D$1:$X$258,13,FALSE))))</f>
        <v/>
      </c>
      <c r="P204" s="346" t="str">
        <f>IFERROR(INDEX('G-1 All Habitats'!$AG$3:$AG$15,MATCH(Q204,'G-1 All Habitats'!$AF$3:$AF$15,0)),"")</f>
        <v/>
      </c>
      <c r="Q204" s="347"/>
      <c r="R204" s="347"/>
      <c r="S204" s="605" t="str">
        <f>IFERROR(INDEX('G-1 All Habitats'!$B$3:$B$130,MATCH(R204,'G-1 All Habitats'!$A$3:$A$130,0)),"")</f>
        <v/>
      </c>
      <c r="T204" s="77" t="str">
        <f t="shared" si="27"/>
        <v/>
      </c>
      <c r="U204" s="78" t="str">
        <f t="shared" si="22"/>
        <v/>
      </c>
      <c r="V204" s="350" t="str">
        <f t="shared" ref="V204:V257" si="28">IF(S204="","",VLOOKUP(E204,BaselineHabSite,17,FALSE))</f>
        <v/>
      </c>
      <c r="W204" s="343" t="str">
        <f>IF(S204="","",VLOOKUP(S204,'G-1 All Habitats'!$B$2:$M$130,10,FALSE))</f>
        <v/>
      </c>
      <c r="X204" s="343" t="str">
        <f>IFERROR(VLOOKUP(W204,'G-1 All Habitats'!$V$3:$W$7,2,FALSE),"")</f>
        <v/>
      </c>
      <c r="Y204" s="91"/>
      <c r="Z204" s="345" t="str">
        <f>IFERROR(INDEX('G-8 Condition Look up'!$A$3:$H$131,MATCH(S204,'G-8 Condition Look up'!$A$3:$A$131,0),MATCH(Y204,'G-8 Condition Look up'!$A$3:$H$3,0)),"")</f>
        <v/>
      </c>
      <c r="AA204" s="79"/>
      <c r="AB204" s="343" t="str">
        <f>IF(AA204="","",IF(VLOOKUP(AA204,'G-3 Multipliers'!$L$3:$N$6,2,FALSE)=0,"Spatial Data Missing",VLOOKUP(AA204,'G-3 Multipliers'!$L$3:$N$6,2,FALSE)))</f>
        <v/>
      </c>
      <c r="AC204" s="345" t="str">
        <f>IF(AA204="","",IF(VLOOKUP(AA204,'G-3 Multipliers'!$L$3:$N$6,3,FALSE)=0,"Spatial Data Missing",VLOOKUP(AA204,'G-3 Multipliers'!$L$3:$N$6,3,FALSE)))</f>
        <v/>
      </c>
      <c r="AD204" s="351" t="str">
        <f t="shared" ref="AD204:AD257" si="29">IFERROR(IF(OR(LEFT(U204,5)="Error",LEFT(T204,5)="Error"),"Check Data",INDEX(EnhanceTemporal,MATCH(S204,EnhanceHabitat,0),MATCH(U204,EnhanceCondition,0))),"")</f>
        <v/>
      </c>
      <c r="AE204" s="94"/>
      <c r="AF204" s="94"/>
      <c r="AG204" s="343" t="str">
        <f t="shared" si="23"/>
        <v/>
      </c>
      <c r="AH204" s="591" t="str">
        <f t="shared" si="24"/>
        <v/>
      </c>
      <c r="AI204" s="353" t="str">
        <f>IF(AH204="Check Data","Check Data",IFERROR(VLOOKUP(AH204,'G-4 Temporal multipliers'!$A$4:$C$36,3,FALSE),""))</f>
        <v/>
      </c>
      <c r="AJ204" s="77" t="str">
        <f>IF(S204="","",VLOOKUP(S204,'G-3 Multipliers'!$A$2:$E$130,4,FALSE))</f>
        <v/>
      </c>
      <c r="AK204" s="348" t="str">
        <f t="shared" si="25"/>
        <v/>
      </c>
      <c r="AL204" s="348" t="str">
        <f t="shared" si="26"/>
        <v/>
      </c>
      <c r="AM204" s="607" t="str">
        <f>IFERROR(IF(F204="","",IF(AH204="Check Data","Check Data",VLOOKUP(AL204, 'G-3 Multipliers'!$P$2:$Q$6,2,FALSE))),””)</f>
        <v/>
      </c>
      <c r="AN204" s="81" t="str">
        <f t="shared" ref="AN204:AN257" si="30">IFERROR(((((V204*X204*Z204)-(V204*I204*K204))*(AM204*AI204))+(V204*I204*K204))*(AC204),"")</f>
        <v/>
      </c>
      <c r="AO204" s="355"/>
      <c r="AP204" s="356"/>
    </row>
    <row r="205" spans="1:42" x14ac:dyDescent="0.25">
      <c r="A205" s="52" t="str">
        <f>IF(E205="","",IF(ISNA(VLOOKUP($E205,'A-1 Site Habitat Baseline'!$D$1:$O$258,2,FALSE)),"",(VLOOKUP($E205,'A-1 Site Habitat Baseline'!$D$1:$O$258,2,FALSE))))</f>
        <v/>
      </c>
      <c r="B205" s="52" t="str">
        <f>IF(E205="","",IF(ISNA(VLOOKUP($E205,'A-1 Site Habitat Baseline'!$D$1:$O$258,3,FALSE)),"",(VLOOKUP($E205,'A-1 Site Habitat Baseline'!$D$1:$O$258,3,FALSE))))</f>
        <v/>
      </c>
      <c r="C205" s="52" t="str">
        <f>IFERROR(INDEX('G-8 Condition Look up'!$I$4:$I$131,MATCH(S205,'G-8 Condition Look up'!$A$4:$A$131,0)),"")</f>
        <v/>
      </c>
      <c r="E205" s="342" t="str">
        <f>'A-1 Site Habitat Baseline'!AL204</f>
        <v/>
      </c>
      <c r="F205" s="343" t="str">
        <f>IF(E205="","",IF(ISNA(VLOOKUP($E205,'A-1 Site Habitat Baseline'!$D$1:$O$258,4,FALSE)),"",(VLOOKUP($E205,'A-1 Site Habitat Baseline'!$D$1:$O$258,4,FALSE))))</f>
        <v/>
      </c>
      <c r="G205" s="343" t="str">
        <f>IF(E205="","",IF(ISNA(VLOOKUP($E205,'A-1 Site Habitat Baseline'!$D$1:$O$258,5,FALSE)),"",(VLOOKUP($E205,'A-1 Site Habitat Baseline'!$D$1:$O$258,5,FALSE))))</f>
        <v/>
      </c>
      <c r="H205" s="343" t="str">
        <f>IF(E205="","",IF(ISNA(VLOOKUP($E205,'A-1 Site Habitat Baseline'!$D$1:$O$258,6,FALSE)),"",(VLOOKUP($E205,'A-1 Site Habitat Baseline'!$D$1:$O$258,6,FALSE))))</f>
        <v/>
      </c>
      <c r="I205" s="343" t="str">
        <f>IF(E205="","",IF(ISNA(VLOOKUP($E205,'A-1 Site Habitat Baseline'!$D$1:$O$258,7,FALSE)),"",(VLOOKUP($E205,'A-1 Site Habitat Baseline'!$D$1:$O$258,7,FALSE))))</f>
        <v/>
      </c>
      <c r="J205" s="343" t="str">
        <f>IF(E205="","",IF(ISNA(VLOOKUP($E205,'A-1 Site Habitat Baseline'!$D$1:$O$258,8,FALSE)),"",(VLOOKUP($E205,'A-1 Site Habitat Baseline'!$D$1:$O$258,8,FALSE))))</f>
        <v/>
      </c>
      <c r="K205" s="343" t="str">
        <f>IF(E205="","",IF(ISNA(VLOOKUP($E205,'A-1 Site Habitat Baseline'!$D$1:$O$258,9,FALSE)),"",(VLOOKUP($E205,'A-1 Site Habitat Baseline'!$D$1:$O$258,9,FALSE))))</f>
        <v/>
      </c>
      <c r="L205" s="343" t="str">
        <f>IF(E205="","",IF(ISNA(VLOOKUP($E205,'A-1 Site Habitat Baseline'!$D$1:$O$258,11,FALSE)),"",(VLOOKUP($E205,'A-1 Site Habitat Baseline'!$D$1:$O$258,11,FALSE))))</f>
        <v/>
      </c>
      <c r="M205" s="343" t="str">
        <f>IF(E205="","",IF(ISNA(VLOOKUP($E205,'A-1 Site Habitat Baseline'!$D$1:$O$258,12,FALSE)),"",(VLOOKUP($E205,'A-1 Site Habitat Baseline'!$D$1:$O$258,12,FALSE))))</f>
        <v/>
      </c>
      <c r="N205" s="344" t="str">
        <f>IF(E205="","",IF(ISNA(VLOOKUP($E205,'A-1 Site Habitat Baseline'!$D$1:$X$258,14,FALSE)),"",(VLOOKUP($E205,'A-1 Site Habitat Baseline'!$D$1:$X$258,14,FALSE))))</f>
        <v/>
      </c>
      <c r="O205" s="345" t="str">
        <f>IF(E205="","",IF(ISNA(VLOOKUP($E205,'A-1 Site Habitat Baseline'!$D$1:$X$258,16,FALSE)),"",(VLOOKUP($E205,'A-1 Site Habitat Baseline'!$D$1:$X$258,13,FALSE))))</f>
        <v/>
      </c>
      <c r="P205" s="346" t="str">
        <f>IFERROR(INDEX('G-1 All Habitats'!$AG$3:$AG$15,MATCH(Q205,'G-1 All Habitats'!$AF$3:$AF$15,0)),"")</f>
        <v/>
      </c>
      <c r="Q205" s="347"/>
      <c r="R205" s="347"/>
      <c r="S205" s="605" t="str">
        <f>IFERROR(INDEX('G-1 All Habitats'!$B$3:$B$130,MATCH(R205,'G-1 All Habitats'!$A$3:$A$130,0)),"")</f>
        <v/>
      </c>
      <c r="T205" s="77" t="str">
        <f t="shared" si="27"/>
        <v/>
      </c>
      <c r="U205" s="78" t="str">
        <f t="shared" ref="U205:U257" si="31">IF(F205="","",IF(AND(LEFT(F205,55)&lt;&gt;LEFT(S205,55),T205= "High - High"),"Error - Not like for like",IF(AND(I205=X205,K205&gt;Z205),"Error - Can not reduce condition",IF(AND(I205=X205,K205=Z205),"Error - No enhancement",IF(X205&lt;I205,"Error Trading Down",IF(AND(F205&lt;&gt;S205,I205&lt;X205),"Lower Distinctiveness Habitat"&amp;" - "&amp;Y205,J205&amp;" - "&amp;Y205))))))</f>
        <v/>
      </c>
      <c r="V205" s="350" t="str">
        <f t="shared" si="28"/>
        <v/>
      </c>
      <c r="W205" s="343" t="str">
        <f>IF(S205="","",VLOOKUP(S205,'G-1 All Habitats'!$B$2:$M$130,10,FALSE))</f>
        <v/>
      </c>
      <c r="X205" s="343" t="str">
        <f>IFERROR(VLOOKUP(W205,'G-1 All Habitats'!$V$3:$W$7,2,FALSE),"")</f>
        <v/>
      </c>
      <c r="Y205" s="91"/>
      <c r="Z205" s="345" t="str">
        <f>IFERROR(INDEX('G-8 Condition Look up'!$A$3:$H$131,MATCH(S205,'G-8 Condition Look up'!$A$3:$A$131,0),MATCH(Y205,'G-8 Condition Look up'!$A$3:$H$3,0)),"")</f>
        <v/>
      </c>
      <c r="AA205" s="79"/>
      <c r="AB205" s="343" t="str">
        <f>IF(AA205="","",IF(VLOOKUP(AA205,'G-3 Multipliers'!$L$3:$N$6,2,FALSE)=0,"Spatial Data Missing",VLOOKUP(AA205,'G-3 Multipliers'!$L$3:$N$6,2,FALSE)))</f>
        <v/>
      </c>
      <c r="AC205" s="345" t="str">
        <f>IF(AA205="","",IF(VLOOKUP(AA205,'G-3 Multipliers'!$L$3:$N$6,3,FALSE)=0,"Spatial Data Missing",VLOOKUP(AA205,'G-3 Multipliers'!$L$3:$N$6,3,FALSE)))</f>
        <v/>
      </c>
      <c r="AD205" s="351" t="str">
        <f t="shared" si="29"/>
        <v/>
      </c>
      <c r="AE205" s="94"/>
      <c r="AF205" s="94"/>
      <c r="AG205" s="343" t="str">
        <f t="shared" ref="AG205:AG257" si="32">IF(AD205="","",IF(AD205="Check Data","Check Data",IF(R205="","",IF(AND(AE205&gt;0,AF205&gt;0),"Error -both advance and delayed habitat creation",IF(AND(OR(AE205="Habitat already in target condition",AD205&lt;=AE205),AF205=0),"Check details - Is there evidence that habitat has reached target condition?",IF(O204="","",IF(AE205&gt;0,"Check details - Is there evidence habitat creation started/in place?",IF(AF205&gt;0,"Check details- Delay in starting habitat in required condition?","Standard time to target condition applied"))))))))</f>
        <v/>
      </c>
      <c r="AH205" s="591" t="str">
        <f t="shared" ref="AH205:AH257" si="33">IF(LEFT(AG205,5)="Error","Check Data",IF(AG205="Check Data","Check Data",IF(AD205="","",IF(AD205="Not Possible","Check Data",IF(AND(AD205="30+",AE205=0),"30+",IF(AND(AD205="30+",AE205="30+"),0,IF(AND(AD205="30+",AE205&lt;30),30-AE205,IF(AD205="30+",30-AE205,IF(AE205&gt;AD205,0,IF(AF205="30+","30+",IF(AD205+AF205&gt;30,"30+",IF(AD205+AF205&gt;30,"30+",IF(AD205-AE205&gt;30,"30+",IF(AD205+AF205-AE205&gt;0,AD205+AF205-AE205,IF(AD205-AE205&gt;0,AD205-AE205,AD205+AF205-AE205)))))))))))))))</f>
        <v/>
      </c>
      <c r="AI205" s="353" t="str">
        <f>IF(AH205="Check Data","Check Data",IFERROR(VLOOKUP(AH205,'G-4 Temporal multipliers'!$A$4:$C$36,3,FALSE),""))</f>
        <v/>
      </c>
      <c r="AJ205" s="77" t="str">
        <f>IF(S205="","",VLOOKUP(S205,'G-3 Multipliers'!$A$2:$E$130,4,FALSE))</f>
        <v/>
      </c>
      <c r="AK205" s="348" t="str">
        <f t="shared" ref="AK205:AK257" si="34">IF(E205="","",IF(AG205="Check details - Is there evidence that habitat has reached target condition?","Low Difficulty - only applicable if all habitat created before losses","Standard difficulty applied"))</f>
        <v/>
      </c>
      <c r="AL205" s="348" t="str">
        <f t="shared" ref="AL205:AL257" si="35">(IF(AND(AK205="Standard difficulty applied",AD205&gt;AE205),AJ205,IF(AND(AK205="Low Difficulty - only applicable if all habitat created before losses",AE205&gt;=AD205),"Low", AJ205)))</f>
        <v/>
      </c>
      <c r="AM205" s="607" t="str">
        <f>IFERROR(IF(F205="","",IF(AH205="Check Data","Check Data",VLOOKUP(AL205, 'G-3 Multipliers'!$P$2:$Q$6,2,FALSE))),””)</f>
        <v/>
      </c>
      <c r="AN205" s="81" t="str">
        <f t="shared" si="30"/>
        <v/>
      </c>
      <c r="AO205" s="355"/>
      <c r="AP205" s="356"/>
    </row>
    <row r="206" spans="1:42" x14ac:dyDescent="0.25">
      <c r="A206" s="52" t="str">
        <f>IF(E206="","",IF(ISNA(VLOOKUP($E206,'A-1 Site Habitat Baseline'!$D$1:$O$258,2,FALSE)),"",(VLOOKUP($E206,'A-1 Site Habitat Baseline'!$D$1:$O$258,2,FALSE))))</f>
        <v/>
      </c>
      <c r="B206" s="52" t="str">
        <f>IF(E206="","",IF(ISNA(VLOOKUP($E206,'A-1 Site Habitat Baseline'!$D$1:$O$258,3,FALSE)),"",(VLOOKUP($E206,'A-1 Site Habitat Baseline'!$D$1:$O$258,3,FALSE))))</f>
        <v/>
      </c>
      <c r="C206" s="52" t="str">
        <f>IFERROR(INDEX('G-8 Condition Look up'!$I$4:$I$131,MATCH(S206,'G-8 Condition Look up'!$A$4:$A$131,0)),"")</f>
        <v/>
      </c>
      <c r="E206" s="342" t="str">
        <f>'A-1 Site Habitat Baseline'!AL205</f>
        <v/>
      </c>
      <c r="F206" s="343" t="str">
        <f>IF(E206="","",IF(ISNA(VLOOKUP($E206,'A-1 Site Habitat Baseline'!$D$1:$O$258,4,FALSE)),"",(VLOOKUP($E206,'A-1 Site Habitat Baseline'!$D$1:$O$258,4,FALSE))))</f>
        <v/>
      </c>
      <c r="G206" s="343" t="str">
        <f>IF(E206="","",IF(ISNA(VLOOKUP($E206,'A-1 Site Habitat Baseline'!$D$1:$O$258,5,FALSE)),"",(VLOOKUP($E206,'A-1 Site Habitat Baseline'!$D$1:$O$258,5,FALSE))))</f>
        <v/>
      </c>
      <c r="H206" s="343" t="str">
        <f>IF(E206="","",IF(ISNA(VLOOKUP($E206,'A-1 Site Habitat Baseline'!$D$1:$O$258,6,FALSE)),"",(VLOOKUP($E206,'A-1 Site Habitat Baseline'!$D$1:$O$258,6,FALSE))))</f>
        <v/>
      </c>
      <c r="I206" s="343" t="str">
        <f>IF(E206="","",IF(ISNA(VLOOKUP($E206,'A-1 Site Habitat Baseline'!$D$1:$O$258,7,FALSE)),"",(VLOOKUP($E206,'A-1 Site Habitat Baseline'!$D$1:$O$258,7,FALSE))))</f>
        <v/>
      </c>
      <c r="J206" s="343" t="str">
        <f>IF(E206="","",IF(ISNA(VLOOKUP($E206,'A-1 Site Habitat Baseline'!$D$1:$O$258,8,FALSE)),"",(VLOOKUP($E206,'A-1 Site Habitat Baseline'!$D$1:$O$258,8,FALSE))))</f>
        <v/>
      </c>
      <c r="K206" s="343" t="str">
        <f>IF(E206="","",IF(ISNA(VLOOKUP($E206,'A-1 Site Habitat Baseline'!$D$1:$O$258,9,FALSE)),"",(VLOOKUP($E206,'A-1 Site Habitat Baseline'!$D$1:$O$258,9,FALSE))))</f>
        <v/>
      </c>
      <c r="L206" s="343" t="str">
        <f>IF(E206="","",IF(ISNA(VLOOKUP($E206,'A-1 Site Habitat Baseline'!$D$1:$O$258,11,FALSE)),"",(VLOOKUP($E206,'A-1 Site Habitat Baseline'!$D$1:$O$258,11,FALSE))))</f>
        <v/>
      </c>
      <c r="M206" s="343" t="str">
        <f>IF(E206="","",IF(ISNA(VLOOKUP($E206,'A-1 Site Habitat Baseline'!$D$1:$O$258,12,FALSE)),"",(VLOOKUP($E206,'A-1 Site Habitat Baseline'!$D$1:$O$258,12,FALSE))))</f>
        <v/>
      </c>
      <c r="N206" s="344" t="str">
        <f>IF(E206="","",IF(ISNA(VLOOKUP($E206,'A-1 Site Habitat Baseline'!$D$1:$X$258,14,FALSE)),"",(VLOOKUP($E206,'A-1 Site Habitat Baseline'!$D$1:$X$258,14,FALSE))))</f>
        <v/>
      </c>
      <c r="O206" s="345" t="str">
        <f>IF(E206="","",IF(ISNA(VLOOKUP($E206,'A-1 Site Habitat Baseline'!$D$1:$X$258,16,FALSE)),"",(VLOOKUP($E206,'A-1 Site Habitat Baseline'!$D$1:$X$258,13,FALSE))))</f>
        <v/>
      </c>
      <c r="P206" s="346" t="str">
        <f>IFERROR(INDEX('G-1 All Habitats'!$AG$3:$AG$15,MATCH(Q206,'G-1 All Habitats'!$AF$3:$AF$15,0)),"")</f>
        <v/>
      </c>
      <c r="Q206" s="347"/>
      <c r="R206" s="347"/>
      <c r="S206" s="605" t="str">
        <f>IFERROR(INDEX('G-1 All Habitats'!$B$3:$B$130,MATCH(R206,'G-1 All Habitats'!$A$3:$A$130,0)),"")</f>
        <v/>
      </c>
      <c r="T206" s="77" t="str">
        <f t="shared" si="27"/>
        <v/>
      </c>
      <c r="U206" s="78" t="str">
        <f t="shared" si="31"/>
        <v/>
      </c>
      <c r="V206" s="350" t="str">
        <f t="shared" si="28"/>
        <v/>
      </c>
      <c r="W206" s="343" t="str">
        <f>IF(S206="","",VLOOKUP(S206,'G-1 All Habitats'!$B$2:$M$130,10,FALSE))</f>
        <v/>
      </c>
      <c r="X206" s="343" t="str">
        <f>IFERROR(VLOOKUP(W206,'G-1 All Habitats'!$V$3:$W$7,2,FALSE),"")</f>
        <v/>
      </c>
      <c r="Y206" s="91"/>
      <c r="Z206" s="345" t="str">
        <f>IFERROR(INDEX('G-8 Condition Look up'!$A$3:$H$131,MATCH(S206,'G-8 Condition Look up'!$A$3:$A$131,0),MATCH(Y206,'G-8 Condition Look up'!$A$3:$H$3,0)),"")</f>
        <v/>
      </c>
      <c r="AA206" s="79"/>
      <c r="AB206" s="343" t="str">
        <f>IF(AA206="","",IF(VLOOKUP(AA206,'G-3 Multipliers'!$L$3:$N$6,2,FALSE)=0,"Spatial Data Missing",VLOOKUP(AA206,'G-3 Multipliers'!$L$3:$N$6,2,FALSE)))</f>
        <v/>
      </c>
      <c r="AC206" s="345" t="str">
        <f>IF(AA206="","",IF(VLOOKUP(AA206,'G-3 Multipliers'!$L$3:$N$6,3,FALSE)=0,"Spatial Data Missing",VLOOKUP(AA206,'G-3 Multipliers'!$L$3:$N$6,3,FALSE)))</f>
        <v/>
      </c>
      <c r="AD206" s="351" t="str">
        <f t="shared" si="29"/>
        <v/>
      </c>
      <c r="AE206" s="94"/>
      <c r="AF206" s="94"/>
      <c r="AG206" s="343" t="str">
        <f t="shared" si="32"/>
        <v/>
      </c>
      <c r="AH206" s="591" t="str">
        <f t="shared" si="33"/>
        <v/>
      </c>
      <c r="AI206" s="353" t="str">
        <f>IF(AH206="Check Data","Check Data",IFERROR(VLOOKUP(AH206,'G-4 Temporal multipliers'!$A$4:$C$36,3,FALSE),""))</f>
        <v/>
      </c>
      <c r="AJ206" s="77" t="str">
        <f>IF(S206="","",VLOOKUP(S206,'G-3 Multipliers'!$A$2:$E$130,4,FALSE))</f>
        <v/>
      </c>
      <c r="AK206" s="348" t="str">
        <f t="shared" si="34"/>
        <v/>
      </c>
      <c r="AL206" s="348" t="str">
        <f t="shared" si="35"/>
        <v/>
      </c>
      <c r="AM206" s="607" t="str">
        <f>IFERROR(IF(F206="","",IF(AH206="Check Data","Check Data",VLOOKUP(AL206, 'G-3 Multipliers'!$P$2:$Q$6,2,FALSE))),””)</f>
        <v/>
      </c>
      <c r="AN206" s="81" t="str">
        <f t="shared" si="30"/>
        <v/>
      </c>
      <c r="AO206" s="355"/>
      <c r="AP206" s="356"/>
    </row>
    <row r="207" spans="1:42" x14ac:dyDescent="0.25">
      <c r="A207" s="52" t="str">
        <f>IF(E207="","",IF(ISNA(VLOOKUP($E207,'A-1 Site Habitat Baseline'!$D$1:$O$258,2,FALSE)),"",(VLOOKUP($E207,'A-1 Site Habitat Baseline'!$D$1:$O$258,2,FALSE))))</f>
        <v/>
      </c>
      <c r="B207" s="52" t="str">
        <f>IF(E207="","",IF(ISNA(VLOOKUP($E207,'A-1 Site Habitat Baseline'!$D$1:$O$258,3,FALSE)),"",(VLOOKUP($E207,'A-1 Site Habitat Baseline'!$D$1:$O$258,3,FALSE))))</f>
        <v/>
      </c>
      <c r="C207" s="52" t="str">
        <f>IFERROR(INDEX('G-8 Condition Look up'!$I$4:$I$131,MATCH(S207,'G-8 Condition Look up'!$A$4:$A$131,0)),"")</f>
        <v/>
      </c>
      <c r="E207" s="342" t="str">
        <f>'A-1 Site Habitat Baseline'!AL206</f>
        <v/>
      </c>
      <c r="F207" s="343" t="str">
        <f>IF(E207="","",IF(ISNA(VLOOKUP($E207,'A-1 Site Habitat Baseline'!$D$1:$O$258,4,FALSE)),"",(VLOOKUP($E207,'A-1 Site Habitat Baseline'!$D$1:$O$258,4,FALSE))))</f>
        <v/>
      </c>
      <c r="G207" s="343" t="str">
        <f>IF(E207="","",IF(ISNA(VLOOKUP($E207,'A-1 Site Habitat Baseline'!$D$1:$O$258,5,FALSE)),"",(VLOOKUP($E207,'A-1 Site Habitat Baseline'!$D$1:$O$258,5,FALSE))))</f>
        <v/>
      </c>
      <c r="H207" s="343" t="str">
        <f>IF(E207="","",IF(ISNA(VLOOKUP($E207,'A-1 Site Habitat Baseline'!$D$1:$O$258,6,FALSE)),"",(VLOOKUP($E207,'A-1 Site Habitat Baseline'!$D$1:$O$258,6,FALSE))))</f>
        <v/>
      </c>
      <c r="I207" s="343" t="str">
        <f>IF(E207="","",IF(ISNA(VLOOKUP($E207,'A-1 Site Habitat Baseline'!$D$1:$O$258,7,FALSE)),"",(VLOOKUP($E207,'A-1 Site Habitat Baseline'!$D$1:$O$258,7,FALSE))))</f>
        <v/>
      </c>
      <c r="J207" s="343" t="str">
        <f>IF(E207="","",IF(ISNA(VLOOKUP($E207,'A-1 Site Habitat Baseline'!$D$1:$O$258,8,FALSE)),"",(VLOOKUP($E207,'A-1 Site Habitat Baseline'!$D$1:$O$258,8,FALSE))))</f>
        <v/>
      </c>
      <c r="K207" s="343" t="str">
        <f>IF(E207="","",IF(ISNA(VLOOKUP($E207,'A-1 Site Habitat Baseline'!$D$1:$O$258,9,FALSE)),"",(VLOOKUP($E207,'A-1 Site Habitat Baseline'!$D$1:$O$258,9,FALSE))))</f>
        <v/>
      </c>
      <c r="L207" s="343" t="str">
        <f>IF(E207="","",IF(ISNA(VLOOKUP($E207,'A-1 Site Habitat Baseline'!$D$1:$O$258,11,FALSE)),"",(VLOOKUP($E207,'A-1 Site Habitat Baseline'!$D$1:$O$258,11,FALSE))))</f>
        <v/>
      </c>
      <c r="M207" s="343" t="str">
        <f>IF(E207="","",IF(ISNA(VLOOKUP($E207,'A-1 Site Habitat Baseline'!$D$1:$O$258,12,FALSE)),"",(VLOOKUP($E207,'A-1 Site Habitat Baseline'!$D$1:$O$258,12,FALSE))))</f>
        <v/>
      </c>
      <c r="N207" s="344" t="str">
        <f>IF(E207="","",IF(ISNA(VLOOKUP($E207,'A-1 Site Habitat Baseline'!$D$1:$X$258,14,FALSE)),"",(VLOOKUP($E207,'A-1 Site Habitat Baseline'!$D$1:$X$258,14,FALSE))))</f>
        <v/>
      </c>
      <c r="O207" s="345" t="str">
        <f>IF(E207="","",IF(ISNA(VLOOKUP($E207,'A-1 Site Habitat Baseline'!$D$1:$X$258,16,FALSE)),"",(VLOOKUP($E207,'A-1 Site Habitat Baseline'!$D$1:$X$258,13,FALSE))))</f>
        <v/>
      </c>
      <c r="P207" s="346" t="str">
        <f>IFERROR(INDEX('G-1 All Habitats'!$AG$3:$AG$15,MATCH(Q207,'G-1 All Habitats'!$AF$3:$AF$15,0)),"")</f>
        <v/>
      </c>
      <c r="Q207" s="347"/>
      <c r="R207" s="347"/>
      <c r="S207" s="605" t="str">
        <f>IFERROR(INDEX('G-1 All Habitats'!$B$3:$B$130,MATCH(R207,'G-1 All Habitats'!$A$3:$A$130,0)),"")</f>
        <v/>
      </c>
      <c r="T207" s="77" t="str">
        <f t="shared" si="27"/>
        <v/>
      </c>
      <c r="U207" s="78" t="str">
        <f t="shared" si="31"/>
        <v/>
      </c>
      <c r="V207" s="350" t="str">
        <f t="shared" si="28"/>
        <v/>
      </c>
      <c r="W207" s="343" t="str">
        <f>IF(S207="","",VLOOKUP(S207,'G-1 All Habitats'!$B$2:$M$130,10,FALSE))</f>
        <v/>
      </c>
      <c r="X207" s="343" t="str">
        <f>IFERROR(VLOOKUP(W207,'G-1 All Habitats'!$V$3:$W$7,2,FALSE),"")</f>
        <v/>
      </c>
      <c r="Y207" s="91"/>
      <c r="Z207" s="345" t="str">
        <f>IFERROR(INDEX('G-8 Condition Look up'!$A$3:$H$131,MATCH(S207,'G-8 Condition Look up'!$A$3:$A$131,0),MATCH(Y207,'G-8 Condition Look up'!$A$3:$H$3,0)),"")</f>
        <v/>
      </c>
      <c r="AA207" s="79"/>
      <c r="AB207" s="343" t="str">
        <f>IF(AA207="","",IF(VLOOKUP(AA207,'G-3 Multipliers'!$L$3:$N$6,2,FALSE)=0,"Spatial Data Missing",VLOOKUP(AA207,'G-3 Multipliers'!$L$3:$N$6,2,FALSE)))</f>
        <v/>
      </c>
      <c r="AC207" s="345" t="str">
        <f>IF(AA207="","",IF(VLOOKUP(AA207,'G-3 Multipliers'!$L$3:$N$6,3,FALSE)=0,"Spatial Data Missing",VLOOKUP(AA207,'G-3 Multipliers'!$L$3:$N$6,3,FALSE)))</f>
        <v/>
      </c>
      <c r="AD207" s="351" t="str">
        <f t="shared" si="29"/>
        <v/>
      </c>
      <c r="AE207" s="94"/>
      <c r="AF207" s="94"/>
      <c r="AG207" s="343" t="str">
        <f t="shared" si="32"/>
        <v/>
      </c>
      <c r="AH207" s="591" t="str">
        <f t="shared" si="33"/>
        <v/>
      </c>
      <c r="AI207" s="353" t="str">
        <f>IF(AH207="Check Data","Check Data",IFERROR(VLOOKUP(AH207,'G-4 Temporal multipliers'!$A$4:$C$36,3,FALSE),""))</f>
        <v/>
      </c>
      <c r="AJ207" s="77" t="str">
        <f>IF(S207="","",VLOOKUP(S207,'G-3 Multipliers'!$A$2:$E$130,4,FALSE))</f>
        <v/>
      </c>
      <c r="AK207" s="348" t="str">
        <f t="shared" si="34"/>
        <v/>
      </c>
      <c r="AL207" s="348" t="str">
        <f t="shared" si="35"/>
        <v/>
      </c>
      <c r="AM207" s="607" t="str">
        <f>IFERROR(IF(F207="","",IF(AH207="Check Data","Check Data",VLOOKUP(AL207, 'G-3 Multipliers'!$P$2:$Q$6,2,FALSE))),””)</f>
        <v/>
      </c>
      <c r="AN207" s="81" t="str">
        <f t="shared" si="30"/>
        <v/>
      </c>
      <c r="AO207" s="355"/>
      <c r="AP207" s="356"/>
    </row>
    <row r="208" spans="1:42" x14ac:dyDescent="0.25">
      <c r="A208" s="52" t="str">
        <f>IF(E208="","",IF(ISNA(VLOOKUP($E208,'A-1 Site Habitat Baseline'!$D$1:$O$258,2,FALSE)),"",(VLOOKUP($E208,'A-1 Site Habitat Baseline'!$D$1:$O$258,2,FALSE))))</f>
        <v/>
      </c>
      <c r="B208" s="52" t="str">
        <f>IF(E208="","",IF(ISNA(VLOOKUP($E208,'A-1 Site Habitat Baseline'!$D$1:$O$258,3,FALSE)),"",(VLOOKUP($E208,'A-1 Site Habitat Baseline'!$D$1:$O$258,3,FALSE))))</f>
        <v/>
      </c>
      <c r="C208" s="52" t="str">
        <f>IFERROR(INDEX('G-8 Condition Look up'!$I$4:$I$131,MATCH(S208,'G-8 Condition Look up'!$A$4:$A$131,0)),"")</f>
        <v/>
      </c>
      <c r="E208" s="342" t="str">
        <f>'A-1 Site Habitat Baseline'!AL207</f>
        <v/>
      </c>
      <c r="F208" s="343" t="str">
        <f>IF(E208="","",IF(ISNA(VLOOKUP($E208,'A-1 Site Habitat Baseline'!$D$1:$O$258,4,FALSE)),"",(VLOOKUP($E208,'A-1 Site Habitat Baseline'!$D$1:$O$258,4,FALSE))))</f>
        <v/>
      </c>
      <c r="G208" s="343" t="str">
        <f>IF(E208="","",IF(ISNA(VLOOKUP($E208,'A-1 Site Habitat Baseline'!$D$1:$O$258,5,FALSE)),"",(VLOOKUP($E208,'A-1 Site Habitat Baseline'!$D$1:$O$258,5,FALSE))))</f>
        <v/>
      </c>
      <c r="H208" s="343" t="str">
        <f>IF(E208="","",IF(ISNA(VLOOKUP($E208,'A-1 Site Habitat Baseline'!$D$1:$O$258,6,FALSE)),"",(VLOOKUP($E208,'A-1 Site Habitat Baseline'!$D$1:$O$258,6,FALSE))))</f>
        <v/>
      </c>
      <c r="I208" s="343" t="str">
        <f>IF(E208="","",IF(ISNA(VLOOKUP($E208,'A-1 Site Habitat Baseline'!$D$1:$O$258,7,FALSE)),"",(VLOOKUP($E208,'A-1 Site Habitat Baseline'!$D$1:$O$258,7,FALSE))))</f>
        <v/>
      </c>
      <c r="J208" s="343" t="str">
        <f>IF(E208="","",IF(ISNA(VLOOKUP($E208,'A-1 Site Habitat Baseline'!$D$1:$O$258,8,FALSE)),"",(VLOOKUP($E208,'A-1 Site Habitat Baseline'!$D$1:$O$258,8,FALSE))))</f>
        <v/>
      </c>
      <c r="K208" s="343" t="str">
        <f>IF(E208="","",IF(ISNA(VLOOKUP($E208,'A-1 Site Habitat Baseline'!$D$1:$O$258,9,FALSE)),"",(VLOOKUP($E208,'A-1 Site Habitat Baseline'!$D$1:$O$258,9,FALSE))))</f>
        <v/>
      </c>
      <c r="L208" s="343" t="str">
        <f>IF(E208="","",IF(ISNA(VLOOKUP($E208,'A-1 Site Habitat Baseline'!$D$1:$O$258,11,FALSE)),"",(VLOOKUP($E208,'A-1 Site Habitat Baseline'!$D$1:$O$258,11,FALSE))))</f>
        <v/>
      </c>
      <c r="M208" s="343" t="str">
        <f>IF(E208="","",IF(ISNA(VLOOKUP($E208,'A-1 Site Habitat Baseline'!$D$1:$O$258,12,FALSE)),"",(VLOOKUP($E208,'A-1 Site Habitat Baseline'!$D$1:$O$258,12,FALSE))))</f>
        <v/>
      </c>
      <c r="N208" s="344" t="str">
        <f>IF(E208="","",IF(ISNA(VLOOKUP($E208,'A-1 Site Habitat Baseline'!$D$1:$X$258,14,FALSE)),"",(VLOOKUP($E208,'A-1 Site Habitat Baseline'!$D$1:$X$258,14,FALSE))))</f>
        <v/>
      </c>
      <c r="O208" s="345" t="str">
        <f>IF(E208="","",IF(ISNA(VLOOKUP($E208,'A-1 Site Habitat Baseline'!$D$1:$X$258,16,FALSE)),"",(VLOOKUP($E208,'A-1 Site Habitat Baseline'!$D$1:$X$258,13,FALSE))))</f>
        <v/>
      </c>
      <c r="P208" s="346" t="str">
        <f>IFERROR(INDEX('G-1 All Habitats'!$AG$3:$AG$15,MATCH(Q208,'G-1 All Habitats'!$AF$3:$AF$15,0)),"")</f>
        <v/>
      </c>
      <c r="Q208" s="347"/>
      <c r="R208" s="347"/>
      <c r="S208" s="605" t="str">
        <f>IFERROR(INDEX('G-1 All Habitats'!$B$3:$B$130,MATCH(R208,'G-1 All Habitats'!$A$3:$A$130,0)),"")</f>
        <v/>
      </c>
      <c r="T208" s="77" t="str">
        <f t="shared" ref="T208:T257" si="36">IF(E208="","",IF(AND(LEFT(O208,6)="Same d",I208&gt;X208),"Error - Trading rules not satisfied",IF(AND(LEFT(O208,6)="Same b",AND(LEFT(F208,5)&lt;&gt;LEFT(S208,5),I208&gt;X208)),"Error - Trading rules not satisfied",IF(AND(LEFT(O208,6)="Same h",F208&lt;&gt;S208),"Error - Trading rules not satisfied",IF(AND(LEFT(O208,6)="Bespok",F208&lt;&gt;S208),"Error - Trading rules not satisfied",IF(X208&lt;I208,"Error Trading Down",H208&amp;" - "&amp;W208))))))</f>
        <v/>
      </c>
      <c r="U208" s="78" t="str">
        <f t="shared" si="31"/>
        <v/>
      </c>
      <c r="V208" s="350" t="str">
        <f t="shared" si="28"/>
        <v/>
      </c>
      <c r="W208" s="343" t="str">
        <f>IF(S208="","",VLOOKUP(S208,'G-1 All Habitats'!$B$2:$M$130,10,FALSE))</f>
        <v/>
      </c>
      <c r="X208" s="343" t="str">
        <f>IFERROR(VLOOKUP(W208,'G-1 All Habitats'!$V$3:$W$7,2,FALSE),"")</f>
        <v/>
      </c>
      <c r="Y208" s="91"/>
      <c r="Z208" s="345" t="str">
        <f>IFERROR(INDEX('G-8 Condition Look up'!$A$3:$H$131,MATCH(S208,'G-8 Condition Look up'!$A$3:$A$131,0),MATCH(Y208,'G-8 Condition Look up'!$A$3:$H$3,0)),"")</f>
        <v/>
      </c>
      <c r="AA208" s="79"/>
      <c r="AB208" s="343" t="str">
        <f>IF(AA208="","",IF(VLOOKUP(AA208,'G-3 Multipliers'!$L$3:$N$6,2,FALSE)=0,"Spatial Data Missing",VLOOKUP(AA208,'G-3 Multipliers'!$L$3:$N$6,2,FALSE)))</f>
        <v/>
      </c>
      <c r="AC208" s="345" t="str">
        <f>IF(AA208="","",IF(VLOOKUP(AA208,'G-3 Multipliers'!$L$3:$N$6,3,FALSE)=0,"Spatial Data Missing",VLOOKUP(AA208,'G-3 Multipliers'!$L$3:$N$6,3,FALSE)))</f>
        <v/>
      </c>
      <c r="AD208" s="351" t="str">
        <f t="shared" si="29"/>
        <v/>
      </c>
      <c r="AE208" s="94"/>
      <c r="AF208" s="94"/>
      <c r="AG208" s="343" t="str">
        <f t="shared" si="32"/>
        <v/>
      </c>
      <c r="AH208" s="591" t="str">
        <f t="shared" si="33"/>
        <v/>
      </c>
      <c r="AI208" s="353" t="str">
        <f>IF(AH208="Check Data","Check Data",IFERROR(VLOOKUP(AH208,'G-4 Temporal multipliers'!$A$4:$C$36,3,FALSE),""))</f>
        <v/>
      </c>
      <c r="AJ208" s="77" t="str">
        <f>IF(S208="","",VLOOKUP(S208,'G-3 Multipliers'!$A$2:$E$130,4,FALSE))</f>
        <v/>
      </c>
      <c r="AK208" s="348" t="str">
        <f t="shared" si="34"/>
        <v/>
      </c>
      <c r="AL208" s="348" t="str">
        <f t="shared" si="35"/>
        <v/>
      </c>
      <c r="AM208" s="607" t="str">
        <f>IFERROR(IF(F208="","",IF(AH208="Check Data","Check Data",VLOOKUP(AL208, 'G-3 Multipliers'!$P$2:$Q$6,2,FALSE))),””)</f>
        <v/>
      </c>
      <c r="AN208" s="81" t="str">
        <f t="shared" si="30"/>
        <v/>
      </c>
      <c r="AO208" s="355"/>
      <c r="AP208" s="356"/>
    </row>
    <row r="209" spans="1:42" x14ac:dyDescent="0.25">
      <c r="A209" s="52" t="str">
        <f>IF(E209="","",IF(ISNA(VLOOKUP($E209,'A-1 Site Habitat Baseline'!$D$1:$O$258,2,FALSE)),"",(VLOOKUP($E209,'A-1 Site Habitat Baseline'!$D$1:$O$258,2,FALSE))))</f>
        <v/>
      </c>
      <c r="B209" s="52" t="str">
        <f>IF(E209="","",IF(ISNA(VLOOKUP($E209,'A-1 Site Habitat Baseline'!$D$1:$O$258,3,FALSE)),"",(VLOOKUP($E209,'A-1 Site Habitat Baseline'!$D$1:$O$258,3,FALSE))))</f>
        <v/>
      </c>
      <c r="C209" s="52" t="str">
        <f>IFERROR(INDEX('G-8 Condition Look up'!$I$4:$I$131,MATCH(S209,'G-8 Condition Look up'!$A$4:$A$131,0)),"")</f>
        <v/>
      </c>
      <c r="E209" s="342" t="str">
        <f>'A-1 Site Habitat Baseline'!AL208</f>
        <v/>
      </c>
      <c r="F209" s="343" t="str">
        <f>IF(E209="","",IF(ISNA(VLOOKUP($E209,'A-1 Site Habitat Baseline'!$D$1:$O$258,4,FALSE)),"",(VLOOKUP($E209,'A-1 Site Habitat Baseline'!$D$1:$O$258,4,FALSE))))</f>
        <v/>
      </c>
      <c r="G209" s="343" t="str">
        <f>IF(E209="","",IF(ISNA(VLOOKUP($E209,'A-1 Site Habitat Baseline'!$D$1:$O$258,5,FALSE)),"",(VLOOKUP($E209,'A-1 Site Habitat Baseline'!$D$1:$O$258,5,FALSE))))</f>
        <v/>
      </c>
      <c r="H209" s="343" t="str">
        <f>IF(E209="","",IF(ISNA(VLOOKUP($E209,'A-1 Site Habitat Baseline'!$D$1:$O$258,6,FALSE)),"",(VLOOKUP($E209,'A-1 Site Habitat Baseline'!$D$1:$O$258,6,FALSE))))</f>
        <v/>
      </c>
      <c r="I209" s="343" t="str">
        <f>IF(E209="","",IF(ISNA(VLOOKUP($E209,'A-1 Site Habitat Baseline'!$D$1:$O$258,7,FALSE)),"",(VLOOKUP($E209,'A-1 Site Habitat Baseline'!$D$1:$O$258,7,FALSE))))</f>
        <v/>
      </c>
      <c r="J209" s="343" t="str">
        <f>IF(E209="","",IF(ISNA(VLOOKUP($E209,'A-1 Site Habitat Baseline'!$D$1:$O$258,8,FALSE)),"",(VLOOKUP($E209,'A-1 Site Habitat Baseline'!$D$1:$O$258,8,FALSE))))</f>
        <v/>
      </c>
      <c r="K209" s="343" t="str">
        <f>IF(E209="","",IF(ISNA(VLOOKUP($E209,'A-1 Site Habitat Baseline'!$D$1:$O$258,9,FALSE)),"",(VLOOKUP($E209,'A-1 Site Habitat Baseline'!$D$1:$O$258,9,FALSE))))</f>
        <v/>
      </c>
      <c r="L209" s="343" t="str">
        <f>IF(E209="","",IF(ISNA(VLOOKUP($E209,'A-1 Site Habitat Baseline'!$D$1:$O$258,11,FALSE)),"",(VLOOKUP($E209,'A-1 Site Habitat Baseline'!$D$1:$O$258,11,FALSE))))</f>
        <v/>
      </c>
      <c r="M209" s="343" t="str">
        <f>IF(E209="","",IF(ISNA(VLOOKUP($E209,'A-1 Site Habitat Baseline'!$D$1:$O$258,12,FALSE)),"",(VLOOKUP($E209,'A-1 Site Habitat Baseline'!$D$1:$O$258,12,FALSE))))</f>
        <v/>
      </c>
      <c r="N209" s="344" t="str">
        <f>IF(E209="","",IF(ISNA(VLOOKUP($E209,'A-1 Site Habitat Baseline'!$D$1:$X$258,14,FALSE)),"",(VLOOKUP($E209,'A-1 Site Habitat Baseline'!$D$1:$X$258,14,FALSE))))</f>
        <v/>
      </c>
      <c r="O209" s="345" t="str">
        <f>IF(E209="","",IF(ISNA(VLOOKUP($E209,'A-1 Site Habitat Baseline'!$D$1:$X$258,16,FALSE)),"",(VLOOKUP($E209,'A-1 Site Habitat Baseline'!$D$1:$X$258,13,FALSE))))</f>
        <v/>
      </c>
      <c r="P209" s="346" t="str">
        <f>IFERROR(INDEX('G-1 All Habitats'!$AG$3:$AG$15,MATCH(Q209,'G-1 All Habitats'!$AF$3:$AF$15,0)),"")</f>
        <v/>
      </c>
      <c r="Q209" s="347"/>
      <c r="R209" s="347"/>
      <c r="S209" s="605" t="str">
        <f>IFERROR(INDEX('G-1 All Habitats'!$B$3:$B$130,MATCH(R209,'G-1 All Habitats'!$A$3:$A$130,0)),"")</f>
        <v/>
      </c>
      <c r="T209" s="77" t="str">
        <f t="shared" si="36"/>
        <v/>
      </c>
      <c r="U209" s="78" t="str">
        <f t="shared" si="31"/>
        <v/>
      </c>
      <c r="V209" s="350" t="str">
        <f t="shared" si="28"/>
        <v/>
      </c>
      <c r="W209" s="343" t="str">
        <f>IF(S209="","",VLOOKUP(S209,'G-1 All Habitats'!$B$2:$M$130,10,FALSE))</f>
        <v/>
      </c>
      <c r="X209" s="343" t="str">
        <f>IFERROR(VLOOKUP(W209,'G-1 All Habitats'!$V$3:$W$7,2,FALSE),"")</f>
        <v/>
      </c>
      <c r="Y209" s="91"/>
      <c r="Z209" s="345" t="str">
        <f>IFERROR(INDEX('G-8 Condition Look up'!$A$3:$H$131,MATCH(S209,'G-8 Condition Look up'!$A$3:$A$131,0),MATCH(Y209,'G-8 Condition Look up'!$A$3:$H$3,0)),"")</f>
        <v/>
      </c>
      <c r="AA209" s="79"/>
      <c r="AB209" s="343" t="str">
        <f>IF(AA209="","",IF(VLOOKUP(AA209,'G-3 Multipliers'!$L$3:$N$6,2,FALSE)=0,"Spatial Data Missing",VLOOKUP(AA209,'G-3 Multipliers'!$L$3:$N$6,2,FALSE)))</f>
        <v/>
      </c>
      <c r="AC209" s="345" t="str">
        <f>IF(AA209="","",IF(VLOOKUP(AA209,'G-3 Multipliers'!$L$3:$N$6,3,FALSE)=0,"Spatial Data Missing",VLOOKUP(AA209,'G-3 Multipliers'!$L$3:$N$6,3,FALSE)))</f>
        <v/>
      </c>
      <c r="AD209" s="351" t="str">
        <f t="shared" si="29"/>
        <v/>
      </c>
      <c r="AE209" s="94"/>
      <c r="AF209" s="94"/>
      <c r="AG209" s="343" t="str">
        <f t="shared" si="32"/>
        <v/>
      </c>
      <c r="AH209" s="591" t="str">
        <f t="shared" si="33"/>
        <v/>
      </c>
      <c r="AI209" s="353" t="str">
        <f>IF(AH209="Check Data","Check Data",IFERROR(VLOOKUP(AH209,'G-4 Temporal multipliers'!$A$4:$C$36,3,FALSE),""))</f>
        <v/>
      </c>
      <c r="AJ209" s="77" t="str">
        <f>IF(S209="","",VLOOKUP(S209,'G-3 Multipliers'!$A$2:$E$130,4,FALSE))</f>
        <v/>
      </c>
      <c r="AK209" s="348" t="str">
        <f t="shared" si="34"/>
        <v/>
      </c>
      <c r="AL209" s="348" t="str">
        <f t="shared" si="35"/>
        <v/>
      </c>
      <c r="AM209" s="607" t="str">
        <f>IFERROR(IF(F209="","",IF(AH209="Check Data","Check Data",VLOOKUP(AL209, 'G-3 Multipliers'!$P$2:$Q$6,2,FALSE))),””)</f>
        <v/>
      </c>
      <c r="AN209" s="81" t="str">
        <f t="shared" si="30"/>
        <v/>
      </c>
      <c r="AO209" s="355"/>
      <c r="AP209" s="356"/>
    </row>
    <row r="210" spans="1:42" x14ac:dyDescent="0.25">
      <c r="A210" s="52" t="str">
        <f>IF(E210="","",IF(ISNA(VLOOKUP($E210,'A-1 Site Habitat Baseline'!$D$1:$O$258,2,FALSE)),"",(VLOOKUP($E210,'A-1 Site Habitat Baseline'!$D$1:$O$258,2,FALSE))))</f>
        <v/>
      </c>
      <c r="B210" s="52" t="str">
        <f>IF(E210="","",IF(ISNA(VLOOKUP($E210,'A-1 Site Habitat Baseline'!$D$1:$O$258,3,FALSE)),"",(VLOOKUP($E210,'A-1 Site Habitat Baseline'!$D$1:$O$258,3,FALSE))))</f>
        <v/>
      </c>
      <c r="C210" s="52" t="str">
        <f>IFERROR(INDEX('G-8 Condition Look up'!$I$4:$I$131,MATCH(S210,'G-8 Condition Look up'!$A$4:$A$131,0)),"")</f>
        <v/>
      </c>
      <c r="E210" s="342" t="str">
        <f>'A-1 Site Habitat Baseline'!AL209</f>
        <v/>
      </c>
      <c r="F210" s="343" t="str">
        <f>IF(E210="","",IF(ISNA(VLOOKUP($E210,'A-1 Site Habitat Baseline'!$D$1:$O$258,4,FALSE)),"",(VLOOKUP($E210,'A-1 Site Habitat Baseline'!$D$1:$O$258,4,FALSE))))</f>
        <v/>
      </c>
      <c r="G210" s="343" t="str">
        <f>IF(E210="","",IF(ISNA(VLOOKUP($E210,'A-1 Site Habitat Baseline'!$D$1:$O$258,5,FALSE)),"",(VLOOKUP($E210,'A-1 Site Habitat Baseline'!$D$1:$O$258,5,FALSE))))</f>
        <v/>
      </c>
      <c r="H210" s="343" t="str">
        <f>IF(E210="","",IF(ISNA(VLOOKUP($E210,'A-1 Site Habitat Baseline'!$D$1:$O$258,6,FALSE)),"",(VLOOKUP($E210,'A-1 Site Habitat Baseline'!$D$1:$O$258,6,FALSE))))</f>
        <v/>
      </c>
      <c r="I210" s="343" t="str">
        <f>IF(E210="","",IF(ISNA(VLOOKUP($E210,'A-1 Site Habitat Baseline'!$D$1:$O$258,7,FALSE)),"",(VLOOKUP($E210,'A-1 Site Habitat Baseline'!$D$1:$O$258,7,FALSE))))</f>
        <v/>
      </c>
      <c r="J210" s="343" t="str">
        <f>IF(E210="","",IF(ISNA(VLOOKUP($E210,'A-1 Site Habitat Baseline'!$D$1:$O$258,8,FALSE)),"",(VLOOKUP($E210,'A-1 Site Habitat Baseline'!$D$1:$O$258,8,FALSE))))</f>
        <v/>
      </c>
      <c r="K210" s="343" t="str">
        <f>IF(E210="","",IF(ISNA(VLOOKUP($E210,'A-1 Site Habitat Baseline'!$D$1:$O$258,9,FALSE)),"",(VLOOKUP($E210,'A-1 Site Habitat Baseline'!$D$1:$O$258,9,FALSE))))</f>
        <v/>
      </c>
      <c r="L210" s="343" t="str">
        <f>IF(E210="","",IF(ISNA(VLOOKUP($E210,'A-1 Site Habitat Baseline'!$D$1:$O$258,11,FALSE)),"",(VLOOKUP($E210,'A-1 Site Habitat Baseline'!$D$1:$O$258,11,FALSE))))</f>
        <v/>
      </c>
      <c r="M210" s="343" t="str">
        <f>IF(E210="","",IF(ISNA(VLOOKUP($E210,'A-1 Site Habitat Baseline'!$D$1:$O$258,12,FALSE)),"",(VLOOKUP($E210,'A-1 Site Habitat Baseline'!$D$1:$O$258,12,FALSE))))</f>
        <v/>
      </c>
      <c r="N210" s="344" t="str">
        <f>IF(E210="","",IF(ISNA(VLOOKUP($E210,'A-1 Site Habitat Baseline'!$D$1:$X$258,14,FALSE)),"",(VLOOKUP($E210,'A-1 Site Habitat Baseline'!$D$1:$X$258,14,FALSE))))</f>
        <v/>
      </c>
      <c r="O210" s="345" t="str">
        <f>IF(E210="","",IF(ISNA(VLOOKUP($E210,'A-1 Site Habitat Baseline'!$D$1:$X$258,16,FALSE)),"",(VLOOKUP($E210,'A-1 Site Habitat Baseline'!$D$1:$X$258,13,FALSE))))</f>
        <v/>
      </c>
      <c r="P210" s="346" t="str">
        <f>IFERROR(INDEX('G-1 All Habitats'!$AG$3:$AG$15,MATCH(Q210,'G-1 All Habitats'!$AF$3:$AF$15,0)),"")</f>
        <v/>
      </c>
      <c r="Q210" s="347"/>
      <c r="R210" s="347"/>
      <c r="S210" s="605" t="str">
        <f>IFERROR(INDEX('G-1 All Habitats'!$B$3:$B$130,MATCH(R210,'G-1 All Habitats'!$A$3:$A$130,0)),"")</f>
        <v/>
      </c>
      <c r="T210" s="77" t="str">
        <f t="shared" si="36"/>
        <v/>
      </c>
      <c r="U210" s="78" t="str">
        <f t="shared" si="31"/>
        <v/>
      </c>
      <c r="V210" s="350" t="str">
        <f t="shared" si="28"/>
        <v/>
      </c>
      <c r="W210" s="343" t="str">
        <f>IF(S210="","",VLOOKUP(S210,'G-1 All Habitats'!$B$2:$M$130,10,FALSE))</f>
        <v/>
      </c>
      <c r="X210" s="343" t="str">
        <f>IFERROR(VLOOKUP(W210,'G-1 All Habitats'!$V$3:$W$7,2,FALSE),"")</f>
        <v/>
      </c>
      <c r="Y210" s="91"/>
      <c r="Z210" s="345" t="str">
        <f>IFERROR(INDEX('G-8 Condition Look up'!$A$3:$H$131,MATCH(S210,'G-8 Condition Look up'!$A$3:$A$131,0),MATCH(Y210,'G-8 Condition Look up'!$A$3:$H$3,0)),"")</f>
        <v/>
      </c>
      <c r="AA210" s="79"/>
      <c r="AB210" s="343" t="str">
        <f>IF(AA210="","",IF(VLOOKUP(AA210,'G-3 Multipliers'!$L$3:$N$6,2,FALSE)=0,"Spatial Data Missing",VLOOKUP(AA210,'G-3 Multipliers'!$L$3:$N$6,2,FALSE)))</f>
        <v/>
      </c>
      <c r="AC210" s="345" t="str">
        <f>IF(AA210="","",IF(VLOOKUP(AA210,'G-3 Multipliers'!$L$3:$N$6,3,FALSE)=0,"Spatial Data Missing",VLOOKUP(AA210,'G-3 Multipliers'!$L$3:$N$6,3,FALSE)))</f>
        <v/>
      </c>
      <c r="AD210" s="351" t="str">
        <f t="shared" si="29"/>
        <v/>
      </c>
      <c r="AE210" s="94"/>
      <c r="AF210" s="94"/>
      <c r="AG210" s="343" t="str">
        <f t="shared" si="32"/>
        <v/>
      </c>
      <c r="AH210" s="591" t="str">
        <f t="shared" si="33"/>
        <v/>
      </c>
      <c r="AI210" s="353" t="str">
        <f>IF(AH210="Check Data","Check Data",IFERROR(VLOOKUP(AH210,'G-4 Temporal multipliers'!$A$4:$C$36,3,FALSE),""))</f>
        <v/>
      </c>
      <c r="AJ210" s="77" t="str">
        <f>IF(S210="","",VLOOKUP(S210,'G-3 Multipliers'!$A$2:$E$130,4,FALSE))</f>
        <v/>
      </c>
      <c r="AK210" s="348" t="str">
        <f t="shared" si="34"/>
        <v/>
      </c>
      <c r="AL210" s="348" t="str">
        <f t="shared" si="35"/>
        <v/>
      </c>
      <c r="AM210" s="607" t="str">
        <f>IFERROR(IF(F210="","",IF(AH210="Check Data","Check Data",VLOOKUP(AL210, 'G-3 Multipliers'!$P$2:$Q$6,2,FALSE))),””)</f>
        <v/>
      </c>
      <c r="AN210" s="81" t="str">
        <f t="shared" si="30"/>
        <v/>
      </c>
      <c r="AO210" s="355"/>
      <c r="AP210" s="356"/>
    </row>
    <row r="211" spans="1:42" x14ac:dyDescent="0.25">
      <c r="A211" s="52" t="str">
        <f>IF(E211="","",IF(ISNA(VLOOKUP($E211,'A-1 Site Habitat Baseline'!$D$1:$O$258,2,FALSE)),"",(VLOOKUP($E211,'A-1 Site Habitat Baseline'!$D$1:$O$258,2,FALSE))))</f>
        <v/>
      </c>
      <c r="B211" s="52" t="str">
        <f>IF(E211="","",IF(ISNA(VLOOKUP($E211,'A-1 Site Habitat Baseline'!$D$1:$O$258,3,FALSE)),"",(VLOOKUP($E211,'A-1 Site Habitat Baseline'!$D$1:$O$258,3,FALSE))))</f>
        <v/>
      </c>
      <c r="C211" s="52" t="str">
        <f>IFERROR(INDEX('G-8 Condition Look up'!$I$4:$I$131,MATCH(S211,'G-8 Condition Look up'!$A$4:$A$131,0)),"")</f>
        <v/>
      </c>
      <c r="E211" s="342" t="str">
        <f>'A-1 Site Habitat Baseline'!AL210</f>
        <v/>
      </c>
      <c r="F211" s="343" t="str">
        <f>IF(E211="","",IF(ISNA(VLOOKUP($E211,'A-1 Site Habitat Baseline'!$D$1:$O$258,4,FALSE)),"",(VLOOKUP($E211,'A-1 Site Habitat Baseline'!$D$1:$O$258,4,FALSE))))</f>
        <v/>
      </c>
      <c r="G211" s="343" t="str">
        <f>IF(E211="","",IF(ISNA(VLOOKUP($E211,'A-1 Site Habitat Baseline'!$D$1:$O$258,5,FALSE)),"",(VLOOKUP($E211,'A-1 Site Habitat Baseline'!$D$1:$O$258,5,FALSE))))</f>
        <v/>
      </c>
      <c r="H211" s="343" t="str">
        <f>IF(E211="","",IF(ISNA(VLOOKUP($E211,'A-1 Site Habitat Baseline'!$D$1:$O$258,6,FALSE)),"",(VLOOKUP($E211,'A-1 Site Habitat Baseline'!$D$1:$O$258,6,FALSE))))</f>
        <v/>
      </c>
      <c r="I211" s="343" t="str">
        <f>IF(E211="","",IF(ISNA(VLOOKUP($E211,'A-1 Site Habitat Baseline'!$D$1:$O$258,7,FALSE)),"",(VLOOKUP($E211,'A-1 Site Habitat Baseline'!$D$1:$O$258,7,FALSE))))</f>
        <v/>
      </c>
      <c r="J211" s="343" t="str">
        <f>IF(E211="","",IF(ISNA(VLOOKUP($E211,'A-1 Site Habitat Baseline'!$D$1:$O$258,8,FALSE)),"",(VLOOKUP($E211,'A-1 Site Habitat Baseline'!$D$1:$O$258,8,FALSE))))</f>
        <v/>
      </c>
      <c r="K211" s="343" t="str">
        <f>IF(E211="","",IF(ISNA(VLOOKUP($E211,'A-1 Site Habitat Baseline'!$D$1:$O$258,9,FALSE)),"",(VLOOKUP($E211,'A-1 Site Habitat Baseline'!$D$1:$O$258,9,FALSE))))</f>
        <v/>
      </c>
      <c r="L211" s="343" t="str">
        <f>IF(E211="","",IF(ISNA(VLOOKUP($E211,'A-1 Site Habitat Baseline'!$D$1:$O$258,11,FALSE)),"",(VLOOKUP($E211,'A-1 Site Habitat Baseline'!$D$1:$O$258,11,FALSE))))</f>
        <v/>
      </c>
      <c r="M211" s="343" t="str">
        <f>IF(E211="","",IF(ISNA(VLOOKUP($E211,'A-1 Site Habitat Baseline'!$D$1:$O$258,12,FALSE)),"",(VLOOKUP($E211,'A-1 Site Habitat Baseline'!$D$1:$O$258,12,FALSE))))</f>
        <v/>
      </c>
      <c r="N211" s="344" t="str">
        <f>IF(E211="","",IF(ISNA(VLOOKUP($E211,'A-1 Site Habitat Baseline'!$D$1:$X$258,14,FALSE)),"",(VLOOKUP($E211,'A-1 Site Habitat Baseline'!$D$1:$X$258,14,FALSE))))</f>
        <v/>
      </c>
      <c r="O211" s="345" t="str">
        <f>IF(E211="","",IF(ISNA(VLOOKUP($E211,'A-1 Site Habitat Baseline'!$D$1:$X$258,16,FALSE)),"",(VLOOKUP($E211,'A-1 Site Habitat Baseline'!$D$1:$X$258,13,FALSE))))</f>
        <v/>
      </c>
      <c r="P211" s="346" t="str">
        <f>IFERROR(INDEX('G-1 All Habitats'!$AG$3:$AG$15,MATCH(Q211,'G-1 All Habitats'!$AF$3:$AF$15,0)),"")</f>
        <v/>
      </c>
      <c r="Q211" s="347"/>
      <c r="R211" s="347"/>
      <c r="S211" s="605" t="str">
        <f>IFERROR(INDEX('G-1 All Habitats'!$B$3:$B$130,MATCH(R211,'G-1 All Habitats'!$A$3:$A$130,0)),"")</f>
        <v/>
      </c>
      <c r="T211" s="77" t="str">
        <f t="shared" si="36"/>
        <v/>
      </c>
      <c r="U211" s="78" t="str">
        <f t="shared" si="31"/>
        <v/>
      </c>
      <c r="V211" s="350" t="str">
        <f t="shared" si="28"/>
        <v/>
      </c>
      <c r="W211" s="343" t="str">
        <f>IF(S211="","",VLOOKUP(S211,'G-1 All Habitats'!$B$2:$M$130,10,FALSE))</f>
        <v/>
      </c>
      <c r="X211" s="343" t="str">
        <f>IFERROR(VLOOKUP(W211,'G-1 All Habitats'!$V$3:$W$7,2,FALSE),"")</f>
        <v/>
      </c>
      <c r="Y211" s="91"/>
      <c r="Z211" s="345" t="str">
        <f>IFERROR(INDEX('G-8 Condition Look up'!$A$3:$H$131,MATCH(S211,'G-8 Condition Look up'!$A$3:$A$131,0),MATCH(Y211,'G-8 Condition Look up'!$A$3:$H$3,0)),"")</f>
        <v/>
      </c>
      <c r="AA211" s="79"/>
      <c r="AB211" s="343" t="str">
        <f>IF(AA211="","",IF(VLOOKUP(AA211,'G-3 Multipliers'!$L$3:$N$6,2,FALSE)=0,"Spatial Data Missing",VLOOKUP(AA211,'G-3 Multipliers'!$L$3:$N$6,2,FALSE)))</f>
        <v/>
      </c>
      <c r="AC211" s="345" t="str">
        <f>IF(AA211="","",IF(VLOOKUP(AA211,'G-3 Multipliers'!$L$3:$N$6,3,FALSE)=0,"Spatial Data Missing",VLOOKUP(AA211,'G-3 Multipliers'!$L$3:$N$6,3,FALSE)))</f>
        <v/>
      </c>
      <c r="AD211" s="351" t="str">
        <f t="shared" si="29"/>
        <v/>
      </c>
      <c r="AE211" s="94"/>
      <c r="AF211" s="94"/>
      <c r="AG211" s="343" t="str">
        <f t="shared" si="32"/>
        <v/>
      </c>
      <c r="AH211" s="591" t="str">
        <f t="shared" si="33"/>
        <v/>
      </c>
      <c r="AI211" s="353" t="str">
        <f>IF(AH211="Check Data","Check Data",IFERROR(VLOOKUP(AH211,'G-4 Temporal multipliers'!$A$4:$C$36,3,FALSE),""))</f>
        <v/>
      </c>
      <c r="AJ211" s="77" t="str">
        <f>IF(S211="","",VLOOKUP(S211,'G-3 Multipliers'!$A$2:$E$130,4,FALSE))</f>
        <v/>
      </c>
      <c r="AK211" s="348" t="str">
        <f t="shared" si="34"/>
        <v/>
      </c>
      <c r="AL211" s="348" t="str">
        <f t="shared" si="35"/>
        <v/>
      </c>
      <c r="AM211" s="607" t="str">
        <f>IFERROR(IF(F211="","",IF(AH211="Check Data","Check Data",VLOOKUP(AL211, 'G-3 Multipliers'!$P$2:$Q$6,2,FALSE))),””)</f>
        <v/>
      </c>
      <c r="AN211" s="81" t="str">
        <f t="shared" si="30"/>
        <v/>
      </c>
      <c r="AO211" s="355"/>
      <c r="AP211" s="356"/>
    </row>
    <row r="212" spans="1:42" x14ac:dyDescent="0.25">
      <c r="A212" s="52" t="str">
        <f>IF(E212="","",IF(ISNA(VLOOKUP($E212,'A-1 Site Habitat Baseline'!$D$1:$O$258,2,FALSE)),"",(VLOOKUP($E212,'A-1 Site Habitat Baseline'!$D$1:$O$258,2,FALSE))))</f>
        <v/>
      </c>
      <c r="B212" s="52" t="str">
        <f>IF(E212="","",IF(ISNA(VLOOKUP($E212,'A-1 Site Habitat Baseline'!$D$1:$O$258,3,FALSE)),"",(VLOOKUP($E212,'A-1 Site Habitat Baseline'!$D$1:$O$258,3,FALSE))))</f>
        <v/>
      </c>
      <c r="C212" s="52" t="str">
        <f>IFERROR(INDEX('G-8 Condition Look up'!$I$4:$I$131,MATCH(S212,'G-8 Condition Look up'!$A$4:$A$131,0)),"")</f>
        <v/>
      </c>
      <c r="E212" s="342" t="str">
        <f>'A-1 Site Habitat Baseline'!AL211</f>
        <v/>
      </c>
      <c r="F212" s="343" t="str">
        <f>IF(E212="","",IF(ISNA(VLOOKUP($E212,'A-1 Site Habitat Baseline'!$D$1:$O$258,4,FALSE)),"",(VLOOKUP($E212,'A-1 Site Habitat Baseline'!$D$1:$O$258,4,FALSE))))</f>
        <v/>
      </c>
      <c r="G212" s="343" t="str">
        <f>IF(E212="","",IF(ISNA(VLOOKUP($E212,'A-1 Site Habitat Baseline'!$D$1:$O$258,5,FALSE)),"",(VLOOKUP($E212,'A-1 Site Habitat Baseline'!$D$1:$O$258,5,FALSE))))</f>
        <v/>
      </c>
      <c r="H212" s="343" t="str">
        <f>IF(E212="","",IF(ISNA(VLOOKUP($E212,'A-1 Site Habitat Baseline'!$D$1:$O$258,6,FALSE)),"",(VLOOKUP($E212,'A-1 Site Habitat Baseline'!$D$1:$O$258,6,FALSE))))</f>
        <v/>
      </c>
      <c r="I212" s="343" t="str">
        <f>IF(E212="","",IF(ISNA(VLOOKUP($E212,'A-1 Site Habitat Baseline'!$D$1:$O$258,7,FALSE)),"",(VLOOKUP($E212,'A-1 Site Habitat Baseline'!$D$1:$O$258,7,FALSE))))</f>
        <v/>
      </c>
      <c r="J212" s="343" t="str">
        <f>IF(E212="","",IF(ISNA(VLOOKUP($E212,'A-1 Site Habitat Baseline'!$D$1:$O$258,8,FALSE)),"",(VLOOKUP($E212,'A-1 Site Habitat Baseline'!$D$1:$O$258,8,FALSE))))</f>
        <v/>
      </c>
      <c r="K212" s="343" t="str">
        <f>IF(E212="","",IF(ISNA(VLOOKUP($E212,'A-1 Site Habitat Baseline'!$D$1:$O$258,9,FALSE)),"",(VLOOKUP($E212,'A-1 Site Habitat Baseline'!$D$1:$O$258,9,FALSE))))</f>
        <v/>
      </c>
      <c r="L212" s="343" t="str">
        <f>IF(E212="","",IF(ISNA(VLOOKUP($E212,'A-1 Site Habitat Baseline'!$D$1:$O$258,11,FALSE)),"",(VLOOKUP($E212,'A-1 Site Habitat Baseline'!$D$1:$O$258,11,FALSE))))</f>
        <v/>
      </c>
      <c r="M212" s="343" t="str">
        <f>IF(E212="","",IF(ISNA(VLOOKUP($E212,'A-1 Site Habitat Baseline'!$D$1:$O$258,12,FALSE)),"",(VLOOKUP($E212,'A-1 Site Habitat Baseline'!$D$1:$O$258,12,FALSE))))</f>
        <v/>
      </c>
      <c r="N212" s="344" t="str">
        <f>IF(E212="","",IF(ISNA(VLOOKUP($E212,'A-1 Site Habitat Baseline'!$D$1:$X$258,14,FALSE)),"",(VLOOKUP($E212,'A-1 Site Habitat Baseline'!$D$1:$X$258,14,FALSE))))</f>
        <v/>
      </c>
      <c r="O212" s="345" t="str">
        <f>IF(E212="","",IF(ISNA(VLOOKUP($E212,'A-1 Site Habitat Baseline'!$D$1:$X$258,16,FALSE)),"",(VLOOKUP($E212,'A-1 Site Habitat Baseline'!$D$1:$X$258,13,FALSE))))</f>
        <v/>
      </c>
      <c r="P212" s="346" t="str">
        <f>IFERROR(INDEX('G-1 All Habitats'!$AG$3:$AG$15,MATCH(Q212,'G-1 All Habitats'!$AF$3:$AF$15,0)),"")</f>
        <v/>
      </c>
      <c r="Q212" s="347"/>
      <c r="R212" s="347"/>
      <c r="S212" s="605" t="str">
        <f>IFERROR(INDEX('G-1 All Habitats'!$B$3:$B$130,MATCH(R212,'G-1 All Habitats'!$A$3:$A$130,0)),"")</f>
        <v/>
      </c>
      <c r="T212" s="77" t="str">
        <f t="shared" si="36"/>
        <v/>
      </c>
      <c r="U212" s="78" t="str">
        <f t="shared" si="31"/>
        <v/>
      </c>
      <c r="V212" s="350" t="str">
        <f t="shared" si="28"/>
        <v/>
      </c>
      <c r="W212" s="343" t="str">
        <f>IF(S212="","",VLOOKUP(S212,'G-1 All Habitats'!$B$2:$M$130,10,FALSE))</f>
        <v/>
      </c>
      <c r="X212" s="343" t="str">
        <f>IFERROR(VLOOKUP(W212,'G-1 All Habitats'!$V$3:$W$7,2,FALSE),"")</f>
        <v/>
      </c>
      <c r="Y212" s="91"/>
      <c r="Z212" s="345" t="str">
        <f>IFERROR(INDEX('G-8 Condition Look up'!$A$3:$H$131,MATCH(S212,'G-8 Condition Look up'!$A$3:$A$131,0),MATCH(Y212,'G-8 Condition Look up'!$A$3:$H$3,0)),"")</f>
        <v/>
      </c>
      <c r="AA212" s="79"/>
      <c r="AB212" s="343" t="str">
        <f>IF(AA212="","",IF(VLOOKUP(AA212,'G-3 Multipliers'!$L$3:$N$6,2,FALSE)=0,"Spatial Data Missing",VLOOKUP(AA212,'G-3 Multipliers'!$L$3:$N$6,2,FALSE)))</f>
        <v/>
      </c>
      <c r="AC212" s="345" t="str">
        <f>IF(AA212="","",IF(VLOOKUP(AA212,'G-3 Multipliers'!$L$3:$N$6,3,FALSE)=0,"Spatial Data Missing",VLOOKUP(AA212,'G-3 Multipliers'!$L$3:$N$6,3,FALSE)))</f>
        <v/>
      </c>
      <c r="AD212" s="351" t="str">
        <f t="shared" si="29"/>
        <v/>
      </c>
      <c r="AE212" s="94"/>
      <c r="AF212" s="94"/>
      <c r="AG212" s="343" t="str">
        <f t="shared" si="32"/>
        <v/>
      </c>
      <c r="AH212" s="591" t="str">
        <f t="shared" si="33"/>
        <v/>
      </c>
      <c r="AI212" s="353" t="str">
        <f>IF(AH212="Check Data","Check Data",IFERROR(VLOOKUP(AH212,'G-4 Temporal multipliers'!$A$4:$C$36,3,FALSE),""))</f>
        <v/>
      </c>
      <c r="AJ212" s="77" t="str">
        <f>IF(S212="","",VLOOKUP(S212,'G-3 Multipliers'!$A$2:$E$130,4,FALSE))</f>
        <v/>
      </c>
      <c r="AK212" s="348" t="str">
        <f t="shared" si="34"/>
        <v/>
      </c>
      <c r="AL212" s="348" t="str">
        <f t="shared" si="35"/>
        <v/>
      </c>
      <c r="AM212" s="607" t="str">
        <f>IFERROR(IF(F212="","",IF(AH212="Check Data","Check Data",VLOOKUP(AL212, 'G-3 Multipliers'!$P$2:$Q$6,2,FALSE))),””)</f>
        <v/>
      </c>
      <c r="AN212" s="81" t="str">
        <f t="shared" si="30"/>
        <v/>
      </c>
      <c r="AO212" s="355"/>
      <c r="AP212" s="356"/>
    </row>
    <row r="213" spans="1:42" x14ac:dyDescent="0.25">
      <c r="A213" s="52" t="str">
        <f>IF(E213="","",IF(ISNA(VLOOKUP($E213,'A-1 Site Habitat Baseline'!$D$1:$O$258,2,FALSE)),"",(VLOOKUP($E213,'A-1 Site Habitat Baseline'!$D$1:$O$258,2,FALSE))))</f>
        <v/>
      </c>
      <c r="B213" s="52" t="str">
        <f>IF(E213="","",IF(ISNA(VLOOKUP($E213,'A-1 Site Habitat Baseline'!$D$1:$O$258,3,FALSE)),"",(VLOOKUP($E213,'A-1 Site Habitat Baseline'!$D$1:$O$258,3,FALSE))))</f>
        <v/>
      </c>
      <c r="C213" s="52" t="str">
        <f>IFERROR(INDEX('G-8 Condition Look up'!$I$4:$I$131,MATCH(S213,'G-8 Condition Look up'!$A$4:$A$131,0)),"")</f>
        <v/>
      </c>
      <c r="E213" s="342" t="str">
        <f>'A-1 Site Habitat Baseline'!AL212</f>
        <v/>
      </c>
      <c r="F213" s="343" t="str">
        <f>IF(E213="","",IF(ISNA(VLOOKUP($E213,'A-1 Site Habitat Baseline'!$D$1:$O$258,4,FALSE)),"",(VLOOKUP($E213,'A-1 Site Habitat Baseline'!$D$1:$O$258,4,FALSE))))</f>
        <v/>
      </c>
      <c r="G213" s="343" t="str">
        <f>IF(E213="","",IF(ISNA(VLOOKUP($E213,'A-1 Site Habitat Baseline'!$D$1:$O$258,5,FALSE)),"",(VLOOKUP($E213,'A-1 Site Habitat Baseline'!$D$1:$O$258,5,FALSE))))</f>
        <v/>
      </c>
      <c r="H213" s="343" t="str">
        <f>IF(E213="","",IF(ISNA(VLOOKUP($E213,'A-1 Site Habitat Baseline'!$D$1:$O$258,6,FALSE)),"",(VLOOKUP($E213,'A-1 Site Habitat Baseline'!$D$1:$O$258,6,FALSE))))</f>
        <v/>
      </c>
      <c r="I213" s="343" t="str">
        <f>IF(E213="","",IF(ISNA(VLOOKUP($E213,'A-1 Site Habitat Baseline'!$D$1:$O$258,7,FALSE)),"",(VLOOKUP($E213,'A-1 Site Habitat Baseline'!$D$1:$O$258,7,FALSE))))</f>
        <v/>
      </c>
      <c r="J213" s="343" t="str">
        <f>IF(E213="","",IF(ISNA(VLOOKUP($E213,'A-1 Site Habitat Baseline'!$D$1:$O$258,8,FALSE)),"",(VLOOKUP($E213,'A-1 Site Habitat Baseline'!$D$1:$O$258,8,FALSE))))</f>
        <v/>
      </c>
      <c r="K213" s="343" t="str">
        <f>IF(E213="","",IF(ISNA(VLOOKUP($E213,'A-1 Site Habitat Baseline'!$D$1:$O$258,9,FALSE)),"",(VLOOKUP($E213,'A-1 Site Habitat Baseline'!$D$1:$O$258,9,FALSE))))</f>
        <v/>
      </c>
      <c r="L213" s="343" t="str">
        <f>IF(E213="","",IF(ISNA(VLOOKUP($E213,'A-1 Site Habitat Baseline'!$D$1:$O$258,11,FALSE)),"",(VLOOKUP($E213,'A-1 Site Habitat Baseline'!$D$1:$O$258,11,FALSE))))</f>
        <v/>
      </c>
      <c r="M213" s="343" t="str">
        <f>IF(E213="","",IF(ISNA(VLOOKUP($E213,'A-1 Site Habitat Baseline'!$D$1:$O$258,12,FALSE)),"",(VLOOKUP($E213,'A-1 Site Habitat Baseline'!$D$1:$O$258,12,FALSE))))</f>
        <v/>
      </c>
      <c r="N213" s="344" t="str">
        <f>IF(E213="","",IF(ISNA(VLOOKUP($E213,'A-1 Site Habitat Baseline'!$D$1:$X$258,14,FALSE)),"",(VLOOKUP($E213,'A-1 Site Habitat Baseline'!$D$1:$X$258,14,FALSE))))</f>
        <v/>
      </c>
      <c r="O213" s="345" t="str">
        <f>IF(E213="","",IF(ISNA(VLOOKUP($E213,'A-1 Site Habitat Baseline'!$D$1:$X$258,16,FALSE)),"",(VLOOKUP($E213,'A-1 Site Habitat Baseline'!$D$1:$X$258,13,FALSE))))</f>
        <v/>
      </c>
      <c r="P213" s="346" t="str">
        <f>IFERROR(INDEX('G-1 All Habitats'!$AG$3:$AG$15,MATCH(Q213,'G-1 All Habitats'!$AF$3:$AF$15,0)),"")</f>
        <v/>
      </c>
      <c r="Q213" s="347"/>
      <c r="R213" s="347"/>
      <c r="S213" s="605" t="str">
        <f>IFERROR(INDEX('G-1 All Habitats'!$B$3:$B$130,MATCH(R213,'G-1 All Habitats'!$A$3:$A$130,0)),"")</f>
        <v/>
      </c>
      <c r="T213" s="77" t="str">
        <f t="shared" si="36"/>
        <v/>
      </c>
      <c r="U213" s="78" t="str">
        <f t="shared" si="31"/>
        <v/>
      </c>
      <c r="V213" s="350" t="str">
        <f t="shared" si="28"/>
        <v/>
      </c>
      <c r="W213" s="343" t="str">
        <f>IF(S213="","",VLOOKUP(S213,'G-1 All Habitats'!$B$2:$M$130,10,FALSE))</f>
        <v/>
      </c>
      <c r="X213" s="343" t="str">
        <f>IFERROR(VLOOKUP(W213,'G-1 All Habitats'!$V$3:$W$7,2,FALSE),"")</f>
        <v/>
      </c>
      <c r="Y213" s="91"/>
      <c r="Z213" s="345" t="str">
        <f>IFERROR(INDEX('G-8 Condition Look up'!$A$3:$H$131,MATCH(S213,'G-8 Condition Look up'!$A$3:$A$131,0),MATCH(Y213,'G-8 Condition Look up'!$A$3:$H$3,0)),"")</f>
        <v/>
      </c>
      <c r="AA213" s="79"/>
      <c r="AB213" s="343" t="str">
        <f>IF(AA213="","",IF(VLOOKUP(AA213,'G-3 Multipliers'!$L$3:$N$6,2,FALSE)=0,"Spatial Data Missing",VLOOKUP(AA213,'G-3 Multipliers'!$L$3:$N$6,2,FALSE)))</f>
        <v/>
      </c>
      <c r="AC213" s="345" t="str">
        <f>IF(AA213="","",IF(VLOOKUP(AA213,'G-3 Multipliers'!$L$3:$N$6,3,FALSE)=0,"Spatial Data Missing",VLOOKUP(AA213,'G-3 Multipliers'!$L$3:$N$6,3,FALSE)))</f>
        <v/>
      </c>
      <c r="AD213" s="351" t="str">
        <f t="shared" si="29"/>
        <v/>
      </c>
      <c r="AE213" s="94"/>
      <c r="AF213" s="94"/>
      <c r="AG213" s="343" t="str">
        <f t="shared" si="32"/>
        <v/>
      </c>
      <c r="AH213" s="591" t="str">
        <f t="shared" si="33"/>
        <v/>
      </c>
      <c r="AI213" s="353" t="str">
        <f>IF(AH213="Check Data","Check Data",IFERROR(VLOOKUP(AH213,'G-4 Temporal multipliers'!$A$4:$C$36,3,FALSE),""))</f>
        <v/>
      </c>
      <c r="AJ213" s="77" t="str">
        <f>IF(S213="","",VLOOKUP(S213,'G-3 Multipliers'!$A$2:$E$130,4,FALSE))</f>
        <v/>
      </c>
      <c r="AK213" s="348" t="str">
        <f t="shared" si="34"/>
        <v/>
      </c>
      <c r="AL213" s="348" t="str">
        <f t="shared" si="35"/>
        <v/>
      </c>
      <c r="AM213" s="607" t="str">
        <f>IFERROR(IF(F213="","",IF(AH213="Check Data","Check Data",VLOOKUP(AL213, 'G-3 Multipliers'!$P$2:$Q$6,2,FALSE))),””)</f>
        <v/>
      </c>
      <c r="AN213" s="81" t="str">
        <f t="shared" si="30"/>
        <v/>
      </c>
      <c r="AO213" s="355"/>
      <c r="AP213" s="356"/>
    </row>
    <row r="214" spans="1:42" x14ac:dyDescent="0.25">
      <c r="A214" s="52" t="str">
        <f>IF(E214="","",IF(ISNA(VLOOKUP($E214,'A-1 Site Habitat Baseline'!$D$1:$O$258,2,FALSE)),"",(VLOOKUP($E214,'A-1 Site Habitat Baseline'!$D$1:$O$258,2,FALSE))))</f>
        <v/>
      </c>
      <c r="B214" s="52" t="str">
        <f>IF(E214="","",IF(ISNA(VLOOKUP($E214,'A-1 Site Habitat Baseline'!$D$1:$O$258,3,FALSE)),"",(VLOOKUP($E214,'A-1 Site Habitat Baseline'!$D$1:$O$258,3,FALSE))))</f>
        <v/>
      </c>
      <c r="C214" s="52" t="str">
        <f>IFERROR(INDEX('G-8 Condition Look up'!$I$4:$I$131,MATCH(S214,'G-8 Condition Look up'!$A$4:$A$131,0)),"")</f>
        <v/>
      </c>
      <c r="E214" s="342" t="str">
        <f>'A-1 Site Habitat Baseline'!AL213</f>
        <v/>
      </c>
      <c r="F214" s="343" t="str">
        <f>IF(E214="","",IF(ISNA(VLOOKUP($E214,'A-1 Site Habitat Baseline'!$D$1:$O$258,4,FALSE)),"",(VLOOKUP($E214,'A-1 Site Habitat Baseline'!$D$1:$O$258,4,FALSE))))</f>
        <v/>
      </c>
      <c r="G214" s="343" t="str">
        <f>IF(E214="","",IF(ISNA(VLOOKUP($E214,'A-1 Site Habitat Baseline'!$D$1:$O$258,5,FALSE)),"",(VLOOKUP($E214,'A-1 Site Habitat Baseline'!$D$1:$O$258,5,FALSE))))</f>
        <v/>
      </c>
      <c r="H214" s="343" t="str">
        <f>IF(E214="","",IF(ISNA(VLOOKUP($E214,'A-1 Site Habitat Baseline'!$D$1:$O$258,6,FALSE)),"",(VLOOKUP($E214,'A-1 Site Habitat Baseline'!$D$1:$O$258,6,FALSE))))</f>
        <v/>
      </c>
      <c r="I214" s="343" t="str">
        <f>IF(E214="","",IF(ISNA(VLOOKUP($E214,'A-1 Site Habitat Baseline'!$D$1:$O$258,7,FALSE)),"",(VLOOKUP($E214,'A-1 Site Habitat Baseline'!$D$1:$O$258,7,FALSE))))</f>
        <v/>
      </c>
      <c r="J214" s="343" t="str">
        <f>IF(E214="","",IF(ISNA(VLOOKUP($E214,'A-1 Site Habitat Baseline'!$D$1:$O$258,8,FALSE)),"",(VLOOKUP($E214,'A-1 Site Habitat Baseline'!$D$1:$O$258,8,FALSE))))</f>
        <v/>
      </c>
      <c r="K214" s="343" t="str">
        <f>IF(E214="","",IF(ISNA(VLOOKUP($E214,'A-1 Site Habitat Baseline'!$D$1:$O$258,9,FALSE)),"",(VLOOKUP($E214,'A-1 Site Habitat Baseline'!$D$1:$O$258,9,FALSE))))</f>
        <v/>
      </c>
      <c r="L214" s="343" t="str">
        <f>IF(E214="","",IF(ISNA(VLOOKUP($E214,'A-1 Site Habitat Baseline'!$D$1:$O$258,11,FALSE)),"",(VLOOKUP($E214,'A-1 Site Habitat Baseline'!$D$1:$O$258,11,FALSE))))</f>
        <v/>
      </c>
      <c r="M214" s="343" t="str">
        <f>IF(E214="","",IF(ISNA(VLOOKUP($E214,'A-1 Site Habitat Baseline'!$D$1:$O$258,12,FALSE)),"",(VLOOKUP($E214,'A-1 Site Habitat Baseline'!$D$1:$O$258,12,FALSE))))</f>
        <v/>
      </c>
      <c r="N214" s="344" t="str">
        <f>IF(E214="","",IF(ISNA(VLOOKUP($E214,'A-1 Site Habitat Baseline'!$D$1:$X$258,14,FALSE)),"",(VLOOKUP($E214,'A-1 Site Habitat Baseline'!$D$1:$X$258,14,FALSE))))</f>
        <v/>
      </c>
      <c r="O214" s="345" t="str">
        <f>IF(E214="","",IF(ISNA(VLOOKUP($E214,'A-1 Site Habitat Baseline'!$D$1:$X$258,16,FALSE)),"",(VLOOKUP($E214,'A-1 Site Habitat Baseline'!$D$1:$X$258,13,FALSE))))</f>
        <v/>
      </c>
      <c r="P214" s="346" t="str">
        <f>IFERROR(INDEX('G-1 All Habitats'!$AG$3:$AG$15,MATCH(Q214,'G-1 All Habitats'!$AF$3:$AF$15,0)),"")</f>
        <v/>
      </c>
      <c r="Q214" s="347"/>
      <c r="R214" s="347"/>
      <c r="S214" s="605" t="str">
        <f>IFERROR(INDEX('G-1 All Habitats'!$B$3:$B$130,MATCH(R214,'G-1 All Habitats'!$A$3:$A$130,0)),"")</f>
        <v/>
      </c>
      <c r="T214" s="77" t="str">
        <f t="shared" si="36"/>
        <v/>
      </c>
      <c r="U214" s="78" t="str">
        <f t="shared" si="31"/>
        <v/>
      </c>
      <c r="V214" s="350" t="str">
        <f t="shared" si="28"/>
        <v/>
      </c>
      <c r="W214" s="343" t="str">
        <f>IF(S214="","",VLOOKUP(S214,'G-1 All Habitats'!$B$2:$M$130,10,FALSE))</f>
        <v/>
      </c>
      <c r="X214" s="343" t="str">
        <f>IFERROR(VLOOKUP(W214,'G-1 All Habitats'!$V$3:$W$7,2,FALSE),"")</f>
        <v/>
      </c>
      <c r="Y214" s="91"/>
      <c r="Z214" s="345" t="str">
        <f>IFERROR(INDEX('G-8 Condition Look up'!$A$3:$H$131,MATCH(S214,'G-8 Condition Look up'!$A$3:$A$131,0),MATCH(Y214,'G-8 Condition Look up'!$A$3:$H$3,0)),"")</f>
        <v/>
      </c>
      <c r="AA214" s="79"/>
      <c r="AB214" s="343" t="str">
        <f>IF(AA214="","",IF(VLOOKUP(AA214,'G-3 Multipliers'!$L$3:$N$6,2,FALSE)=0,"Spatial Data Missing",VLOOKUP(AA214,'G-3 Multipliers'!$L$3:$N$6,2,FALSE)))</f>
        <v/>
      </c>
      <c r="AC214" s="345" t="str">
        <f>IF(AA214="","",IF(VLOOKUP(AA214,'G-3 Multipliers'!$L$3:$N$6,3,FALSE)=0,"Spatial Data Missing",VLOOKUP(AA214,'G-3 Multipliers'!$L$3:$N$6,3,FALSE)))</f>
        <v/>
      </c>
      <c r="AD214" s="351" t="str">
        <f t="shared" si="29"/>
        <v/>
      </c>
      <c r="AE214" s="94"/>
      <c r="AF214" s="94"/>
      <c r="AG214" s="343" t="str">
        <f t="shared" si="32"/>
        <v/>
      </c>
      <c r="AH214" s="591" t="str">
        <f t="shared" si="33"/>
        <v/>
      </c>
      <c r="AI214" s="353" t="str">
        <f>IF(AH214="Check Data","Check Data",IFERROR(VLOOKUP(AH214,'G-4 Temporal multipliers'!$A$4:$C$36,3,FALSE),""))</f>
        <v/>
      </c>
      <c r="AJ214" s="77" t="str">
        <f>IF(S214="","",VLOOKUP(S214,'G-3 Multipliers'!$A$2:$E$130,4,FALSE))</f>
        <v/>
      </c>
      <c r="AK214" s="348" t="str">
        <f t="shared" si="34"/>
        <v/>
      </c>
      <c r="AL214" s="348" t="str">
        <f t="shared" si="35"/>
        <v/>
      </c>
      <c r="AM214" s="607" t="str">
        <f>IFERROR(IF(F214="","",IF(AH214="Check Data","Check Data",VLOOKUP(AL214, 'G-3 Multipliers'!$P$2:$Q$6,2,FALSE))),””)</f>
        <v/>
      </c>
      <c r="AN214" s="81" t="str">
        <f t="shared" si="30"/>
        <v/>
      </c>
      <c r="AO214" s="355"/>
      <c r="AP214" s="356"/>
    </row>
    <row r="215" spans="1:42" x14ac:dyDescent="0.25">
      <c r="A215" s="52" t="str">
        <f>IF(E215="","",IF(ISNA(VLOOKUP($E215,'A-1 Site Habitat Baseline'!$D$1:$O$258,2,FALSE)),"",(VLOOKUP($E215,'A-1 Site Habitat Baseline'!$D$1:$O$258,2,FALSE))))</f>
        <v/>
      </c>
      <c r="B215" s="52" t="str">
        <f>IF(E215="","",IF(ISNA(VLOOKUP($E215,'A-1 Site Habitat Baseline'!$D$1:$O$258,3,FALSE)),"",(VLOOKUP($E215,'A-1 Site Habitat Baseline'!$D$1:$O$258,3,FALSE))))</f>
        <v/>
      </c>
      <c r="C215" s="52" t="str">
        <f>IFERROR(INDEX('G-8 Condition Look up'!$I$4:$I$131,MATCH(S215,'G-8 Condition Look up'!$A$4:$A$131,0)),"")</f>
        <v/>
      </c>
      <c r="E215" s="342" t="str">
        <f>'A-1 Site Habitat Baseline'!AL214</f>
        <v/>
      </c>
      <c r="F215" s="343" t="str">
        <f>IF(E215="","",IF(ISNA(VLOOKUP($E215,'A-1 Site Habitat Baseline'!$D$1:$O$258,4,FALSE)),"",(VLOOKUP($E215,'A-1 Site Habitat Baseline'!$D$1:$O$258,4,FALSE))))</f>
        <v/>
      </c>
      <c r="G215" s="343" t="str">
        <f>IF(E215="","",IF(ISNA(VLOOKUP($E215,'A-1 Site Habitat Baseline'!$D$1:$O$258,5,FALSE)),"",(VLOOKUP($E215,'A-1 Site Habitat Baseline'!$D$1:$O$258,5,FALSE))))</f>
        <v/>
      </c>
      <c r="H215" s="343" t="str">
        <f>IF(E215="","",IF(ISNA(VLOOKUP($E215,'A-1 Site Habitat Baseline'!$D$1:$O$258,6,FALSE)),"",(VLOOKUP($E215,'A-1 Site Habitat Baseline'!$D$1:$O$258,6,FALSE))))</f>
        <v/>
      </c>
      <c r="I215" s="343" t="str">
        <f>IF(E215="","",IF(ISNA(VLOOKUP($E215,'A-1 Site Habitat Baseline'!$D$1:$O$258,7,FALSE)),"",(VLOOKUP($E215,'A-1 Site Habitat Baseline'!$D$1:$O$258,7,FALSE))))</f>
        <v/>
      </c>
      <c r="J215" s="343" t="str">
        <f>IF(E215="","",IF(ISNA(VLOOKUP($E215,'A-1 Site Habitat Baseline'!$D$1:$O$258,8,FALSE)),"",(VLOOKUP($E215,'A-1 Site Habitat Baseline'!$D$1:$O$258,8,FALSE))))</f>
        <v/>
      </c>
      <c r="K215" s="343" t="str">
        <f>IF(E215="","",IF(ISNA(VLOOKUP($E215,'A-1 Site Habitat Baseline'!$D$1:$O$258,9,FALSE)),"",(VLOOKUP($E215,'A-1 Site Habitat Baseline'!$D$1:$O$258,9,FALSE))))</f>
        <v/>
      </c>
      <c r="L215" s="343" t="str">
        <f>IF(E215="","",IF(ISNA(VLOOKUP($E215,'A-1 Site Habitat Baseline'!$D$1:$O$258,11,FALSE)),"",(VLOOKUP($E215,'A-1 Site Habitat Baseline'!$D$1:$O$258,11,FALSE))))</f>
        <v/>
      </c>
      <c r="M215" s="343" t="str">
        <f>IF(E215="","",IF(ISNA(VLOOKUP($E215,'A-1 Site Habitat Baseline'!$D$1:$O$258,12,FALSE)),"",(VLOOKUP($E215,'A-1 Site Habitat Baseline'!$D$1:$O$258,12,FALSE))))</f>
        <v/>
      </c>
      <c r="N215" s="344" t="str">
        <f>IF(E215="","",IF(ISNA(VLOOKUP($E215,'A-1 Site Habitat Baseline'!$D$1:$X$258,14,FALSE)),"",(VLOOKUP($E215,'A-1 Site Habitat Baseline'!$D$1:$X$258,14,FALSE))))</f>
        <v/>
      </c>
      <c r="O215" s="345" t="str">
        <f>IF(E215="","",IF(ISNA(VLOOKUP($E215,'A-1 Site Habitat Baseline'!$D$1:$X$258,16,FALSE)),"",(VLOOKUP($E215,'A-1 Site Habitat Baseline'!$D$1:$X$258,13,FALSE))))</f>
        <v/>
      </c>
      <c r="P215" s="346" t="str">
        <f>IFERROR(INDEX('G-1 All Habitats'!$AG$3:$AG$15,MATCH(Q215,'G-1 All Habitats'!$AF$3:$AF$15,0)),"")</f>
        <v/>
      </c>
      <c r="Q215" s="347"/>
      <c r="R215" s="347"/>
      <c r="S215" s="605" t="str">
        <f>IFERROR(INDEX('G-1 All Habitats'!$B$3:$B$130,MATCH(R215,'G-1 All Habitats'!$A$3:$A$130,0)),"")</f>
        <v/>
      </c>
      <c r="T215" s="77" t="str">
        <f t="shared" si="36"/>
        <v/>
      </c>
      <c r="U215" s="78" t="str">
        <f t="shared" si="31"/>
        <v/>
      </c>
      <c r="V215" s="350" t="str">
        <f t="shared" si="28"/>
        <v/>
      </c>
      <c r="W215" s="343" t="str">
        <f>IF(S215="","",VLOOKUP(S215,'G-1 All Habitats'!$B$2:$M$130,10,FALSE))</f>
        <v/>
      </c>
      <c r="X215" s="343" t="str">
        <f>IFERROR(VLOOKUP(W215,'G-1 All Habitats'!$V$3:$W$7,2,FALSE),"")</f>
        <v/>
      </c>
      <c r="Y215" s="91"/>
      <c r="Z215" s="345" t="str">
        <f>IFERROR(INDEX('G-8 Condition Look up'!$A$3:$H$131,MATCH(S215,'G-8 Condition Look up'!$A$3:$A$131,0),MATCH(Y215,'G-8 Condition Look up'!$A$3:$H$3,0)),"")</f>
        <v/>
      </c>
      <c r="AA215" s="79"/>
      <c r="AB215" s="343" t="str">
        <f>IF(AA215="","",IF(VLOOKUP(AA215,'G-3 Multipliers'!$L$3:$N$6,2,FALSE)=0,"Spatial Data Missing",VLOOKUP(AA215,'G-3 Multipliers'!$L$3:$N$6,2,FALSE)))</f>
        <v/>
      </c>
      <c r="AC215" s="345" t="str">
        <f>IF(AA215="","",IF(VLOOKUP(AA215,'G-3 Multipliers'!$L$3:$N$6,3,FALSE)=0,"Spatial Data Missing",VLOOKUP(AA215,'G-3 Multipliers'!$L$3:$N$6,3,FALSE)))</f>
        <v/>
      </c>
      <c r="AD215" s="351" t="str">
        <f t="shared" si="29"/>
        <v/>
      </c>
      <c r="AE215" s="94"/>
      <c r="AF215" s="94"/>
      <c r="AG215" s="343" t="str">
        <f t="shared" si="32"/>
        <v/>
      </c>
      <c r="AH215" s="591" t="str">
        <f t="shared" si="33"/>
        <v/>
      </c>
      <c r="AI215" s="353" t="str">
        <f>IF(AH215="Check Data","Check Data",IFERROR(VLOOKUP(AH215,'G-4 Temporal multipliers'!$A$4:$C$36,3,FALSE),""))</f>
        <v/>
      </c>
      <c r="AJ215" s="77" t="str">
        <f>IF(S215="","",VLOOKUP(S215,'G-3 Multipliers'!$A$2:$E$130,4,FALSE))</f>
        <v/>
      </c>
      <c r="AK215" s="348" t="str">
        <f t="shared" si="34"/>
        <v/>
      </c>
      <c r="AL215" s="348" t="str">
        <f t="shared" si="35"/>
        <v/>
      </c>
      <c r="AM215" s="607" t="str">
        <f>IFERROR(IF(F215="","",IF(AH215="Check Data","Check Data",VLOOKUP(AL215, 'G-3 Multipliers'!$P$2:$Q$6,2,FALSE))),””)</f>
        <v/>
      </c>
      <c r="AN215" s="81" t="str">
        <f t="shared" si="30"/>
        <v/>
      </c>
      <c r="AO215" s="355"/>
      <c r="AP215" s="356"/>
    </row>
    <row r="216" spans="1:42" x14ac:dyDescent="0.25">
      <c r="A216" s="52" t="str">
        <f>IF(E216="","",IF(ISNA(VLOOKUP($E216,'A-1 Site Habitat Baseline'!$D$1:$O$258,2,FALSE)),"",(VLOOKUP($E216,'A-1 Site Habitat Baseline'!$D$1:$O$258,2,FALSE))))</f>
        <v/>
      </c>
      <c r="B216" s="52" t="str">
        <f>IF(E216="","",IF(ISNA(VLOOKUP($E216,'A-1 Site Habitat Baseline'!$D$1:$O$258,3,FALSE)),"",(VLOOKUP($E216,'A-1 Site Habitat Baseline'!$D$1:$O$258,3,FALSE))))</f>
        <v/>
      </c>
      <c r="C216" s="52" t="str">
        <f>IFERROR(INDEX('G-8 Condition Look up'!$I$4:$I$131,MATCH(S216,'G-8 Condition Look up'!$A$4:$A$131,0)),"")</f>
        <v/>
      </c>
      <c r="E216" s="342" t="str">
        <f>'A-1 Site Habitat Baseline'!AL215</f>
        <v/>
      </c>
      <c r="F216" s="343" t="str">
        <f>IF(E216="","",IF(ISNA(VLOOKUP($E216,'A-1 Site Habitat Baseline'!$D$1:$O$258,4,FALSE)),"",(VLOOKUP($E216,'A-1 Site Habitat Baseline'!$D$1:$O$258,4,FALSE))))</f>
        <v/>
      </c>
      <c r="G216" s="343" t="str">
        <f>IF(E216="","",IF(ISNA(VLOOKUP($E216,'A-1 Site Habitat Baseline'!$D$1:$O$258,5,FALSE)),"",(VLOOKUP($E216,'A-1 Site Habitat Baseline'!$D$1:$O$258,5,FALSE))))</f>
        <v/>
      </c>
      <c r="H216" s="343" t="str">
        <f>IF(E216="","",IF(ISNA(VLOOKUP($E216,'A-1 Site Habitat Baseline'!$D$1:$O$258,6,FALSE)),"",(VLOOKUP($E216,'A-1 Site Habitat Baseline'!$D$1:$O$258,6,FALSE))))</f>
        <v/>
      </c>
      <c r="I216" s="343" t="str">
        <f>IF(E216="","",IF(ISNA(VLOOKUP($E216,'A-1 Site Habitat Baseline'!$D$1:$O$258,7,FALSE)),"",(VLOOKUP($E216,'A-1 Site Habitat Baseline'!$D$1:$O$258,7,FALSE))))</f>
        <v/>
      </c>
      <c r="J216" s="343" t="str">
        <f>IF(E216="","",IF(ISNA(VLOOKUP($E216,'A-1 Site Habitat Baseline'!$D$1:$O$258,8,FALSE)),"",(VLOOKUP($E216,'A-1 Site Habitat Baseline'!$D$1:$O$258,8,FALSE))))</f>
        <v/>
      </c>
      <c r="K216" s="343" t="str">
        <f>IF(E216="","",IF(ISNA(VLOOKUP($E216,'A-1 Site Habitat Baseline'!$D$1:$O$258,9,FALSE)),"",(VLOOKUP($E216,'A-1 Site Habitat Baseline'!$D$1:$O$258,9,FALSE))))</f>
        <v/>
      </c>
      <c r="L216" s="343" t="str">
        <f>IF(E216="","",IF(ISNA(VLOOKUP($E216,'A-1 Site Habitat Baseline'!$D$1:$O$258,11,FALSE)),"",(VLOOKUP($E216,'A-1 Site Habitat Baseline'!$D$1:$O$258,11,FALSE))))</f>
        <v/>
      </c>
      <c r="M216" s="343" t="str">
        <f>IF(E216="","",IF(ISNA(VLOOKUP($E216,'A-1 Site Habitat Baseline'!$D$1:$O$258,12,FALSE)),"",(VLOOKUP($E216,'A-1 Site Habitat Baseline'!$D$1:$O$258,12,FALSE))))</f>
        <v/>
      </c>
      <c r="N216" s="344" t="str">
        <f>IF(E216="","",IF(ISNA(VLOOKUP($E216,'A-1 Site Habitat Baseline'!$D$1:$X$258,14,FALSE)),"",(VLOOKUP($E216,'A-1 Site Habitat Baseline'!$D$1:$X$258,14,FALSE))))</f>
        <v/>
      </c>
      <c r="O216" s="345" t="str">
        <f>IF(E216="","",IF(ISNA(VLOOKUP($E216,'A-1 Site Habitat Baseline'!$D$1:$X$258,16,FALSE)),"",(VLOOKUP($E216,'A-1 Site Habitat Baseline'!$D$1:$X$258,13,FALSE))))</f>
        <v/>
      </c>
      <c r="P216" s="346" t="str">
        <f>IFERROR(INDEX('G-1 All Habitats'!$AG$3:$AG$15,MATCH(Q216,'G-1 All Habitats'!$AF$3:$AF$15,0)),"")</f>
        <v/>
      </c>
      <c r="Q216" s="347"/>
      <c r="R216" s="347"/>
      <c r="S216" s="605" t="str">
        <f>IFERROR(INDEX('G-1 All Habitats'!$B$3:$B$130,MATCH(R216,'G-1 All Habitats'!$A$3:$A$130,0)),"")</f>
        <v/>
      </c>
      <c r="T216" s="77" t="str">
        <f t="shared" si="36"/>
        <v/>
      </c>
      <c r="U216" s="78" t="str">
        <f t="shared" si="31"/>
        <v/>
      </c>
      <c r="V216" s="350" t="str">
        <f t="shared" si="28"/>
        <v/>
      </c>
      <c r="W216" s="343" t="str">
        <f>IF(S216="","",VLOOKUP(S216,'G-1 All Habitats'!$B$2:$M$130,10,FALSE))</f>
        <v/>
      </c>
      <c r="X216" s="343" t="str">
        <f>IFERROR(VLOOKUP(W216,'G-1 All Habitats'!$V$3:$W$7,2,FALSE),"")</f>
        <v/>
      </c>
      <c r="Y216" s="91"/>
      <c r="Z216" s="345" t="str">
        <f>IFERROR(INDEX('G-8 Condition Look up'!$A$3:$H$131,MATCH(S216,'G-8 Condition Look up'!$A$3:$A$131,0),MATCH(Y216,'G-8 Condition Look up'!$A$3:$H$3,0)),"")</f>
        <v/>
      </c>
      <c r="AA216" s="79"/>
      <c r="AB216" s="343" t="str">
        <f>IF(AA216="","",IF(VLOOKUP(AA216,'G-3 Multipliers'!$L$3:$N$6,2,FALSE)=0,"Spatial Data Missing",VLOOKUP(AA216,'G-3 Multipliers'!$L$3:$N$6,2,FALSE)))</f>
        <v/>
      </c>
      <c r="AC216" s="345" t="str">
        <f>IF(AA216="","",IF(VLOOKUP(AA216,'G-3 Multipliers'!$L$3:$N$6,3,FALSE)=0,"Spatial Data Missing",VLOOKUP(AA216,'G-3 Multipliers'!$L$3:$N$6,3,FALSE)))</f>
        <v/>
      </c>
      <c r="AD216" s="351" t="str">
        <f t="shared" si="29"/>
        <v/>
      </c>
      <c r="AE216" s="94"/>
      <c r="AF216" s="94"/>
      <c r="AG216" s="343" t="str">
        <f t="shared" si="32"/>
        <v/>
      </c>
      <c r="AH216" s="591" t="str">
        <f t="shared" si="33"/>
        <v/>
      </c>
      <c r="AI216" s="353" t="str">
        <f>IF(AH216="Check Data","Check Data",IFERROR(VLOOKUP(AH216,'G-4 Temporal multipliers'!$A$4:$C$36,3,FALSE),""))</f>
        <v/>
      </c>
      <c r="AJ216" s="77" t="str">
        <f>IF(S216="","",VLOOKUP(S216,'G-3 Multipliers'!$A$2:$E$130,4,FALSE))</f>
        <v/>
      </c>
      <c r="AK216" s="348" t="str">
        <f t="shared" si="34"/>
        <v/>
      </c>
      <c r="AL216" s="348" t="str">
        <f t="shared" si="35"/>
        <v/>
      </c>
      <c r="AM216" s="607" t="str">
        <f>IFERROR(IF(F216="","",IF(AH216="Check Data","Check Data",VLOOKUP(AL216, 'G-3 Multipliers'!$P$2:$Q$6,2,FALSE))),””)</f>
        <v/>
      </c>
      <c r="AN216" s="81" t="str">
        <f t="shared" si="30"/>
        <v/>
      </c>
      <c r="AO216" s="355"/>
      <c r="AP216" s="356"/>
    </row>
    <row r="217" spans="1:42" x14ac:dyDescent="0.25">
      <c r="A217" s="52" t="str">
        <f>IF(E217="","",IF(ISNA(VLOOKUP($E217,'A-1 Site Habitat Baseline'!$D$1:$O$258,2,FALSE)),"",(VLOOKUP($E217,'A-1 Site Habitat Baseline'!$D$1:$O$258,2,FALSE))))</f>
        <v/>
      </c>
      <c r="B217" s="52" t="str">
        <f>IF(E217="","",IF(ISNA(VLOOKUP($E217,'A-1 Site Habitat Baseline'!$D$1:$O$258,3,FALSE)),"",(VLOOKUP($E217,'A-1 Site Habitat Baseline'!$D$1:$O$258,3,FALSE))))</f>
        <v/>
      </c>
      <c r="C217" s="52" t="str">
        <f>IFERROR(INDEX('G-8 Condition Look up'!$I$4:$I$131,MATCH(S217,'G-8 Condition Look up'!$A$4:$A$131,0)),"")</f>
        <v/>
      </c>
      <c r="E217" s="342" t="str">
        <f>'A-1 Site Habitat Baseline'!AL216</f>
        <v/>
      </c>
      <c r="F217" s="343" t="str">
        <f>IF(E217="","",IF(ISNA(VLOOKUP($E217,'A-1 Site Habitat Baseline'!$D$1:$O$258,4,FALSE)),"",(VLOOKUP($E217,'A-1 Site Habitat Baseline'!$D$1:$O$258,4,FALSE))))</f>
        <v/>
      </c>
      <c r="G217" s="343" t="str">
        <f>IF(E217="","",IF(ISNA(VLOOKUP($E217,'A-1 Site Habitat Baseline'!$D$1:$O$258,5,FALSE)),"",(VLOOKUP($E217,'A-1 Site Habitat Baseline'!$D$1:$O$258,5,FALSE))))</f>
        <v/>
      </c>
      <c r="H217" s="343" t="str">
        <f>IF(E217="","",IF(ISNA(VLOOKUP($E217,'A-1 Site Habitat Baseline'!$D$1:$O$258,6,FALSE)),"",(VLOOKUP($E217,'A-1 Site Habitat Baseline'!$D$1:$O$258,6,FALSE))))</f>
        <v/>
      </c>
      <c r="I217" s="343" t="str">
        <f>IF(E217="","",IF(ISNA(VLOOKUP($E217,'A-1 Site Habitat Baseline'!$D$1:$O$258,7,FALSE)),"",(VLOOKUP($E217,'A-1 Site Habitat Baseline'!$D$1:$O$258,7,FALSE))))</f>
        <v/>
      </c>
      <c r="J217" s="343" t="str">
        <f>IF(E217="","",IF(ISNA(VLOOKUP($E217,'A-1 Site Habitat Baseline'!$D$1:$O$258,8,FALSE)),"",(VLOOKUP($E217,'A-1 Site Habitat Baseline'!$D$1:$O$258,8,FALSE))))</f>
        <v/>
      </c>
      <c r="K217" s="343" t="str">
        <f>IF(E217="","",IF(ISNA(VLOOKUP($E217,'A-1 Site Habitat Baseline'!$D$1:$O$258,9,FALSE)),"",(VLOOKUP($E217,'A-1 Site Habitat Baseline'!$D$1:$O$258,9,FALSE))))</f>
        <v/>
      </c>
      <c r="L217" s="343" t="str">
        <f>IF(E217="","",IF(ISNA(VLOOKUP($E217,'A-1 Site Habitat Baseline'!$D$1:$O$258,11,FALSE)),"",(VLOOKUP($E217,'A-1 Site Habitat Baseline'!$D$1:$O$258,11,FALSE))))</f>
        <v/>
      </c>
      <c r="M217" s="343" t="str">
        <f>IF(E217="","",IF(ISNA(VLOOKUP($E217,'A-1 Site Habitat Baseline'!$D$1:$O$258,12,FALSE)),"",(VLOOKUP($E217,'A-1 Site Habitat Baseline'!$D$1:$O$258,12,FALSE))))</f>
        <v/>
      </c>
      <c r="N217" s="344" t="str">
        <f>IF(E217="","",IF(ISNA(VLOOKUP($E217,'A-1 Site Habitat Baseline'!$D$1:$X$258,14,FALSE)),"",(VLOOKUP($E217,'A-1 Site Habitat Baseline'!$D$1:$X$258,14,FALSE))))</f>
        <v/>
      </c>
      <c r="O217" s="345" t="str">
        <f>IF(E217="","",IF(ISNA(VLOOKUP($E217,'A-1 Site Habitat Baseline'!$D$1:$X$258,16,FALSE)),"",(VLOOKUP($E217,'A-1 Site Habitat Baseline'!$D$1:$X$258,13,FALSE))))</f>
        <v/>
      </c>
      <c r="P217" s="346" t="str">
        <f>IFERROR(INDEX('G-1 All Habitats'!$AG$3:$AG$15,MATCH(Q217,'G-1 All Habitats'!$AF$3:$AF$15,0)),"")</f>
        <v/>
      </c>
      <c r="Q217" s="347"/>
      <c r="R217" s="347"/>
      <c r="S217" s="605" t="str">
        <f>IFERROR(INDEX('G-1 All Habitats'!$B$3:$B$130,MATCH(R217,'G-1 All Habitats'!$A$3:$A$130,0)),"")</f>
        <v/>
      </c>
      <c r="T217" s="77" t="str">
        <f t="shared" si="36"/>
        <v/>
      </c>
      <c r="U217" s="78" t="str">
        <f t="shared" si="31"/>
        <v/>
      </c>
      <c r="V217" s="350" t="str">
        <f t="shared" si="28"/>
        <v/>
      </c>
      <c r="W217" s="343" t="str">
        <f>IF(S217="","",VLOOKUP(S217,'G-1 All Habitats'!$B$2:$M$130,10,FALSE))</f>
        <v/>
      </c>
      <c r="X217" s="343" t="str">
        <f>IFERROR(VLOOKUP(W217,'G-1 All Habitats'!$V$3:$W$7,2,FALSE),"")</f>
        <v/>
      </c>
      <c r="Y217" s="91"/>
      <c r="Z217" s="345" t="str">
        <f>IFERROR(INDEX('G-8 Condition Look up'!$A$3:$H$131,MATCH(S217,'G-8 Condition Look up'!$A$3:$A$131,0),MATCH(Y217,'G-8 Condition Look up'!$A$3:$H$3,0)),"")</f>
        <v/>
      </c>
      <c r="AA217" s="79"/>
      <c r="AB217" s="343" t="str">
        <f>IF(AA217="","",IF(VLOOKUP(AA217,'G-3 Multipliers'!$L$3:$N$6,2,FALSE)=0,"Spatial Data Missing",VLOOKUP(AA217,'G-3 Multipliers'!$L$3:$N$6,2,FALSE)))</f>
        <v/>
      </c>
      <c r="AC217" s="345" t="str">
        <f>IF(AA217="","",IF(VLOOKUP(AA217,'G-3 Multipliers'!$L$3:$N$6,3,FALSE)=0,"Spatial Data Missing",VLOOKUP(AA217,'G-3 Multipliers'!$L$3:$N$6,3,FALSE)))</f>
        <v/>
      </c>
      <c r="AD217" s="351" t="str">
        <f t="shared" si="29"/>
        <v/>
      </c>
      <c r="AE217" s="94"/>
      <c r="AF217" s="94"/>
      <c r="AG217" s="343" t="str">
        <f t="shared" si="32"/>
        <v/>
      </c>
      <c r="AH217" s="591" t="str">
        <f t="shared" si="33"/>
        <v/>
      </c>
      <c r="AI217" s="353" t="str">
        <f>IF(AH217="Check Data","Check Data",IFERROR(VLOOKUP(AH217,'G-4 Temporal multipliers'!$A$4:$C$36,3,FALSE),""))</f>
        <v/>
      </c>
      <c r="AJ217" s="77" t="str">
        <f>IF(S217="","",VLOOKUP(S217,'G-3 Multipliers'!$A$2:$E$130,4,FALSE))</f>
        <v/>
      </c>
      <c r="AK217" s="348" t="str">
        <f t="shared" si="34"/>
        <v/>
      </c>
      <c r="AL217" s="348" t="str">
        <f t="shared" si="35"/>
        <v/>
      </c>
      <c r="AM217" s="607" t="str">
        <f>IFERROR(IF(F217="","",IF(AH217="Check Data","Check Data",VLOOKUP(AL217, 'G-3 Multipliers'!$P$2:$Q$6,2,FALSE))),””)</f>
        <v/>
      </c>
      <c r="AN217" s="81" t="str">
        <f t="shared" si="30"/>
        <v/>
      </c>
      <c r="AO217" s="355"/>
      <c r="AP217" s="356"/>
    </row>
    <row r="218" spans="1:42" x14ac:dyDescent="0.25">
      <c r="A218" s="52" t="str">
        <f>IF(E218="","",IF(ISNA(VLOOKUP($E218,'A-1 Site Habitat Baseline'!$D$1:$O$258,2,FALSE)),"",(VLOOKUP($E218,'A-1 Site Habitat Baseline'!$D$1:$O$258,2,FALSE))))</f>
        <v/>
      </c>
      <c r="B218" s="52" t="str">
        <f>IF(E218="","",IF(ISNA(VLOOKUP($E218,'A-1 Site Habitat Baseline'!$D$1:$O$258,3,FALSE)),"",(VLOOKUP($E218,'A-1 Site Habitat Baseline'!$D$1:$O$258,3,FALSE))))</f>
        <v/>
      </c>
      <c r="C218" s="52" t="str">
        <f>IFERROR(INDEX('G-8 Condition Look up'!$I$4:$I$131,MATCH(S218,'G-8 Condition Look up'!$A$4:$A$131,0)),"")</f>
        <v/>
      </c>
      <c r="E218" s="342" t="str">
        <f>'A-1 Site Habitat Baseline'!AL217</f>
        <v/>
      </c>
      <c r="F218" s="343" t="str">
        <f>IF(E218="","",IF(ISNA(VLOOKUP($E218,'A-1 Site Habitat Baseline'!$D$1:$O$258,4,FALSE)),"",(VLOOKUP($E218,'A-1 Site Habitat Baseline'!$D$1:$O$258,4,FALSE))))</f>
        <v/>
      </c>
      <c r="G218" s="343" t="str">
        <f>IF(E218="","",IF(ISNA(VLOOKUP($E218,'A-1 Site Habitat Baseline'!$D$1:$O$258,5,FALSE)),"",(VLOOKUP($E218,'A-1 Site Habitat Baseline'!$D$1:$O$258,5,FALSE))))</f>
        <v/>
      </c>
      <c r="H218" s="343" t="str">
        <f>IF(E218="","",IF(ISNA(VLOOKUP($E218,'A-1 Site Habitat Baseline'!$D$1:$O$258,6,FALSE)),"",(VLOOKUP($E218,'A-1 Site Habitat Baseline'!$D$1:$O$258,6,FALSE))))</f>
        <v/>
      </c>
      <c r="I218" s="343" t="str">
        <f>IF(E218="","",IF(ISNA(VLOOKUP($E218,'A-1 Site Habitat Baseline'!$D$1:$O$258,7,FALSE)),"",(VLOOKUP($E218,'A-1 Site Habitat Baseline'!$D$1:$O$258,7,FALSE))))</f>
        <v/>
      </c>
      <c r="J218" s="343" t="str">
        <f>IF(E218="","",IF(ISNA(VLOOKUP($E218,'A-1 Site Habitat Baseline'!$D$1:$O$258,8,FALSE)),"",(VLOOKUP($E218,'A-1 Site Habitat Baseline'!$D$1:$O$258,8,FALSE))))</f>
        <v/>
      </c>
      <c r="K218" s="343" t="str">
        <f>IF(E218="","",IF(ISNA(VLOOKUP($E218,'A-1 Site Habitat Baseline'!$D$1:$O$258,9,FALSE)),"",(VLOOKUP($E218,'A-1 Site Habitat Baseline'!$D$1:$O$258,9,FALSE))))</f>
        <v/>
      </c>
      <c r="L218" s="343" t="str">
        <f>IF(E218="","",IF(ISNA(VLOOKUP($E218,'A-1 Site Habitat Baseline'!$D$1:$O$258,11,FALSE)),"",(VLOOKUP($E218,'A-1 Site Habitat Baseline'!$D$1:$O$258,11,FALSE))))</f>
        <v/>
      </c>
      <c r="M218" s="343" t="str">
        <f>IF(E218="","",IF(ISNA(VLOOKUP($E218,'A-1 Site Habitat Baseline'!$D$1:$O$258,12,FALSE)),"",(VLOOKUP($E218,'A-1 Site Habitat Baseline'!$D$1:$O$258,12,FALSE))))</f>
        <v/>
      </c>
      <c r="N218" s="344" t="str">
        <f>IF(E218="","",IF(ISNA(VLOOKUP($E218,'A-1 Site Habitat Baseline'!$D$1:$X$258,14,FALSE)),"",(VLOOKUP($E218,'A-1 Site Habitat Baseline'!$D$1:$X$258,14,FALSE))))</f>
        <v/>
      </c>
      <c r="O218" s="345" t="str">
        <f>IF(E218="","",IF(ISNA(VLOOKUP($E218,'A-1 Site Habitat Baseline'!$D$1:$X$258,16,FALSE)),"",(VLOOKUP($E218,'A-1 Site Habitat Baseline'!$D$1:$X$258,13,FALSE))))</f>
        <v/>
      </c>
      <c r="P218" s="346" t="str">
        <f>IFERROR(INDEX('G-1 All Habitats'!$AG$3:$AG$15,MATCH(Q218,'G-1 All Habitats'!$AF$3:$AF$15,0)),"")</f>
        <v/>
      </c>
      <c r="Q218" s="347"/>
      <c r="R218" s="347"/>
      <c r="S218" s="605" t="str">
        <f>IFERROR(INDEX('G-1 All Habitats'!$B$3:$B$130,MATCH(R218,'G-1 All Habitats'!$A$3:$A$130,0)),"")</f>
        <v/>
      </c>
      <c r="T218" s="77" t="str">
        <f t="shared" si="36"/>
        <v/>
      </c>
      <c r="U218" s="78" t="str">
        <f t="shared" si="31"/>
        <v/>
      </c>
      <c r="V218" s="350" t="str">
        <f t="shared" si="28"/>
        <v/>
      </c>
      <c r="W218" s="343" t="str">
        <f>IF(S218="","",VLOOKUP(S218,'G-1 All Habitats'!$B$2:$M$130,10,FALSE))</f>
        <v/>
      </c>
      <c r="X218" s="343" t="str">
        <f>IFERROR(VLOOKUP(W218,'G-1 All Habitats'!$V$3:$W$7,2,FALSE),"")</f>
        <v/>
      </c>
      <c r="Y218" s="91"/>
      <c r="Z218" s="345" t="str">
        <f>IFERROR(INDEX('G-8 Condition Look up'!$A$3:$H$131,MATCH(S218,'G-8 Condition Look up'!$A$3:$A$131,0),MATCH(Y218,'G-8 Condition Look up'!$A$3:$H$3,0)),"")</f>
        <v/>
      </c>
      <c r="AA218" s="79"/>
      <c r="AB218" s="343" t="str">
        <f>IF(AA218="","",IF(VLOOKUP(AA218,'G-3 Multipliers'!$L$3:$N$6,2,FALSE)=0,"Spatial Data Missing",VLOOKUP(AA218,'G-3 Multipliers'!$L$3:$N$6,2,FALSE)))</f>
        <v/>
      </c>
      <c r="AC218" s="345" t="str">
        <f>IF(AA218="","",IF(VLOOKUP(AA218,'G-3 Multipliers'!$L$3:$N$6,3,FALSE)=0,"Spatial Data Missing",VLOOKUP(AA218,'G-3 Multipliers'!$L$3:$N$6,3,FALSE)))</f>
        <v/>
      </c>
      <c r="AD218" s="351" t="str">
        <f t="shared" si="29"/>
        <v/>
      </c>
      <c r="AE218" s="94"/>
      <c r="AF218" s="94"/>
      <c r="AG218" s="343" t="str">
        <f t="shared" si="32"/>
        <v/>
      </c>
      <c r="AH218" s="591" t="str">
        <f t="shared" si="33"/>
        <v/>
      </c>
      <c r="AI218" s="353" t="str">
        <f>IF(AH218="Check Data","Check Data",IFERROR(VLOOKUP(AH218,'G-4 Temporal multipliers'!$A$4:$C$36,3,FALSE),""))</f>
        <v/>
      </c>
      <c r="AJ218" s="77" t="str">
        <f>IF(S218="","",VLOOKUP(S218,'G-3 Multipliers'!$A$2:$E$130,4,FALSE))</f>
        <v/>
      </c>
      <c r="AK218" s="348" t="str">
        <f t="shared" si="34"/>
        <v/>
      </c>
      <c r="AL218" s="348" t="str">
        <f t="shared" si="35"/>
        <v/>
      </c>
      <c r="AM218" s="607" t="str">
        <f>IFERROR(IF(F218="","",IF(AH218="Check Data","Check Data",VLOOKUP(AL218, 'G-3 Multipliers'!$P$2:$Q$6,2,FALSE))),””)</f>
        <v/>
      </c>
      <c r="AN218" s="81" t="str">
        <f t="shared" si="30"/>
        <v/>
      </c>
      <c r="AO218" s="355"/>
      <c r="AP218" s="356"/>
    </row>
    <row r="219" spans="1:42" x14ac:dyDescent="0.25">
      <c r="A219" s="52" t="str">
        <f>IF(E219="","",IF(ISNA(VLOOKUP($E219,'A-1 Site Habitat Baseline'!$D$1:$O$258,2,FALSE)),"",(VLOOKUP($E219,'A-1 Site Habitat Baseline'!$D$1:$O$258,2,FALSE))))</f>
        <v/>
      </c>
      <c r="B219" s="52" t="str">
        <f>IF(E219="","",IF(ISNA(VLOOKUP($E219,'A-1 Site Habitat Baseline'!$D$1:$O$258,3,FALSE)),"",(VLOOKUP($E219,'A-1 Site Habitat Baseline'!$D$1:$O$258,3,FALSE))))</f>
        <v/>
      </c>
      <c r="C219" s="52" t="str">
        <f>IFERROR(INDEX('G-8 Condition Look up'!$I$4:$I$131,MATCH(S219,'G-8 Condition Look up'!$A$4:$A$131,0)),"")</f>
        <v/>
      </c>
      <c r="E219" s="342" t="str">
        <f>'A-1 Site Habitat Baseline'!AL218</f>
        <v/>
      </c>
      <c r="F219" s="343" t="str">
        <f>IF(E219="","",IF(ISNA(VLOOKUP($E219,'A-1 Site Habitat Baseline'!$D$1:$O$258,4,FALSE)),"",(VLOOKUP($E219,'A-1 Site Habitat Baseline'!$D$1:$O$258,4,FALSE))))</f>
        <v/>
      </c>
      <c r="G219" s="343" t="str">
        <f>IF(E219="","",IF(ISNA(VLOOKUP($E219,'A-1 Site Habitat Baseline'!$D$1:$O$258,5,FALSE)),"",(VLOOKUP($E219,'A-1 Site Habitat Baseline'!$D$1:$O$258,5,FALSE))))</f>
        <v/>
      </c>
      <c r="H219" s="343" t="str">
        <f>IF(E219="","",IF(ISNA(VLOOKUP($E219,'A-1 Site Habitat Baseline'!$D$1:$O$258,6,FALSE)),"",(VLOOKUP($E219,'A-1 Site Habitat Baseline'!$D$1:$O$258,6,FALSE))))</f>
        <v/>
      </c>
      <c r="I219" s="343" t="str">
        <f>IF(E219="","",IF(ISNA(VLOOKUP($E219,'A-1 Site Habitat Baseline'!$D$1:$O$258,7,FALSE)),"",(VLOOKUP($E219,'A-1 Site Habitat Baseline'!$D$1:$O$258,7,FALSE))))</f>
        <v/>
      </c>
      <c r="J219" s="343" t="str">
        <f>IF(E219="","",IF(ISNA(VLOOKUP($E219,'A-1 Site Habitat Baseline'!$D$1:$O$258,8,FALSE)),"",(VLOOKUP($E219,'A-1 Site Habitat Baseline'!$D$1:$O$258,8,FALSE))))</f>
        <v/>
      </c>
      <c r="K219" s="343" t="str">
        <f>IF(E219="","",IF(ISNA(VLOOKUP($E219,'A-1 Site Habitat Baseline'!$D$1:$O$258,9,FALSE)),"",(VLOOKUP($E219,'A-1 Site Habitat Baseline'!$D$1:$O$258,9,FALSE))))</f>
        <v/>
      </c>
      <c r="L219" s="343" t="str">
        <f>IF(E219="","",IF(ISNA(VLOOKUP($E219,'A-1 Site Habitat Baseline'!$D$1:$O$258,11,FALSE)),"",(VLOOKUP($E219,'A-1 Site Habitat Baseline'!$D$1:$O$258,11,FALSE))))</f>
        <v/>
      </c>
      <c r="M219" s="343" t="str">
        <f>IF(E219="","",IF(ISNA(VLOOKUP($E219,'A-1 Site Habitat Baseline'!$D$1:$O$258,12,FALSE)),"",(VLOOKUP($E219,'A-1 Site Habitat Baseline'!$D$1:$O$258,12,FALSE))))</f>
        <v/>
      </c>
      <c r="N219" s="344" t="str">
        <f>IF(E219="","",IF(ISNA(VLOOKUP($E219,'A-1 Site Habitat Baseline'!$D$1:$X$258,14,FALSE)),"",(VLOOKUP($E219,'A-1 Site Habitat Baseline'!$D$1:$X$258,14,FALSE))))</f>
        <v/>
      </c>
      <c r="O219" s="345" t="str">
        <f>IF(E219="","",IF(ISNA(VLOOKUP($E219,'A-1 Site Habitat Baseline'!$D$1:$X$258,16,FALSE)),"",(VLOOKUP($E219,'A-1 Site Habitat Baseline'!$D$1:$X$258,13,FALSE))))</f>
        <v/>
      </c>
      <c r="P219" s="346" t="str">
        <f>IFERROR(INDEX('G-1 All Habitats'!$AG$3:$AG$15,MATCH(Q219,'G-1 All Habitats'!$AF$3:$AF$15,0)),"")</f>
        <v/>
      </c>
      <c r="Q219" s="347"/>
      <c r="R219" s="347"/>
      <c r="S219" s="605" t="str">
        <f>IFERROR(INDEX('G-1 All Habitats'!$B$3:$B$130,MATCH(R219,'G-1 All Habitats'!$A$3:$A$130,0)),"")</f>
        <v/>
      </c>
      <c r="T219" s="77" t="str">
        <f t="shared" si="36"/>
        <v/>
      </c>
      <c r="U219" s="78" t="str">
        <f t="shared" si="31"/>
        <v/>
      </c>
      <c r="V219" s="350" t="str">
        <f t="shared" si="28"/>
        <v/>
      </c>
      <c r="W219" s="343" t="str">
        <f>IF(S219="","",VLOOKUP(S219,'G-1 All Habitats'!$B$2:$M$130,10,FALSE))</f>
        <v/>
      </c>
      <c r="X219" s="343" t="str">
        <f>IFERROR(VLOOKUP(W219,'G-1 All Habitats'!$V$3:$W$7,2,FALSE),"")</f>
        <v/>
      </c>
      <c r="Y219" s="91"/>
      <c r="Z219" s="345" t="str">
        <f>IFERROR(INDEX('G-8 Condition Look up'!$A$3:$H$131,MATCH(S219,'G-8 Condition Look up'!$A$3:$A$131,0),MATCH(Y219,'G-8 Condition Look up'!$A$3:$H$3,0)),"")</f>
        <v/>
      </c>
      <c r="AA219" s="79"/>
      <c r="AB219" s="343" t="str">
        <f>IF(AA219="","",IF(VLOOKUP(AA219,'G-3 Multipliers'!$L$3:$N$6,2,FALSE)=0,"Spatial Data Missing",VLOOKUP(AA219,'G-3 Multipliers'!$L$3:$N$6,2,FALSE)))</f>
        <v/>
      </c>
      <c r="AC219" s="345" t="str">
        <f>IF(AA219="","",IF(VLOOKUP(AA219,'G-3 Multipliers'!$L$3:$N$6,3,FALSE)=0,"Spatial Data Missing",VLOOKUP(AA219,'G-3 Multipliers'!$L$3:$N$6,3,FALSE)))</f>
        <v/>
      </c>
      <c r="AD219" s="351" t="str">
        <f t="shared" si="29"/>
        <v/>
      </c>
      <c r="AE219" s="94"/>
      <c r="AF219" s="94"/>
      <c r="AG219" s="343" t="str">
        <f t="shared" si="32"/>
        <v/>
      </c>
      <c r="AH219" s="591" t="str">
        <f t="shared" si="33"/>
        <v/>
      </c>
      <c r="AI219" s="353" t="str">
        <f>IF(AH219="Check Data","Check Data",IFERROR(VLOOKUP(AH219,'G-4 Temporal multipliers'!$A$4:$C$36,3,FALSE),""))</f>
        <v/>
      </c>
      <c r="AJ219" s="77" t="str">
        <f>IF(S219="","",VLOOKUP(S219,'G-3 Multipliers'!$A$2:$E$130,4,FALSE))</f>
        <v/>
      </c>
      <c r="AK219" s="348" t="str">
        <f t="shared" si="34"/>
        <v/>
      </c>
      <c r="AL219" s="348" t="str">
        <f t="shared" si="35"/>
        <v/>
      </c>
      <c r="AM219" s="607" t="str">
        <f>IFERROR(IF(F219="","",IF(AH219="Check Data","Check Data",VLOOKUP(AL219, 'G-3 Multipliers'!$P$2:$Q$6,2,FALSE))),””)</f>
        <v/>
      </c>
      <c r="AN219" s="81" t="str">
        <f t="shared" si="30"/>
        <v/>
      </c>
      <c r="AO219" s="355"/>
      <c r="AP219" s="356"/>
    </row>
    <row r="220" spans="1:42" x14ac:dyDescent="0.25">
      <c r="A220" s="52" t="str">
        <f>IF(E220="","",IF(ISNA(VLOOKUP($E220,'A-1 Site Habitat Baseline'!$D$1:$O$258,2,FALSE)),"",(VLOOKUP($E220,'A-1 Site Habitat Baseline'!$D$1:$O$258,2,FALSE))))</f>
        <v/>
      </c>
      <c r="B220" s="52" t="str">
        <f>IF(E220="","",IF(ISNA(VLOOKUP($E220,'A-1 Site Habitat Baseline'!$D$1:$O$258,3,FALSE)),"",(VLOOKUP($E220,'A-1 Site Habitat Baseline'!$D$1:$O$258,3,FALSE))))</f>
        <v/>
      </c>
      <c r="C220" s="52" t="str">
        <f>IFERROR(INDEX('G-8 Condition Look up'!$I$4:$I$131,MATCH(S220,'G-8 Condition Look up'!$A$4:$A$131,0)),"")</f>
        <v/>
      </c>
      <c r="E220" s="342" t="str">
        <f>'A-1 Site Habitat Baseline'!AL219</f>
        <v/>
      </c>
      <c r="F220" s="343" t="str">
        <f>IF(E220="","",IF(ISNA(VLOOKUP($E220,'A-1 Site Habitat Baseline'!$D$1:$O$258,4,FALSE)),"",(VLOOKUP($E220,'A-1 Site Habitat Baseline'!$D$1:$O$258,4,FALSE))))</f>
        <v/>
      </c>
      <c r="G220" s="343" t="str">
        <f>IF(E220="","",IF(ISNA(VLOOKUP($E220,'A-1 Site Habitat Baseline'!$D$1:$O$258,5,FALSE)),"",(VLOOKUP($E220,'A-1 Site Habitat Baseline'!$D$1:$O$258,5,FALSE))))</f>
        <v/>
      </c>
      <c r="H220" s="343" t="str">
        <f>IF(E220="","",IF(ISNA(VLOOKUP($E220,'A-1 Site Habitat Baseline'!$D$1:$O$258,6,FALSE)),"",(VLOOKUP($E220,'A-1 Site Habitat Baseline'!$D$1:$O$258,6,FALSE))))</f>
        <v/>
      </c>
      <c r="I220" s="343" t="str">
        <f>IF(E220="","",IF(ISNA(VLOOKUP($E220,'A-1 Site Habitat Baseline'!$D$1:$O$258,7,FALSE)),"",(VLOOKUP($E220,'A-1 Site Habitat Baseline'!$D$1:$O$258,7,FALSE))))</f>
        <v/>
      </c>
      <c r="J220" s="343" t="str">
        <f>IF(E220="","",IF(ISNA(VLOOKUP($E220,'A-1 Site Habitat Baseline'!$D$1:$O$258,8,FALSE)),"",(VLOOKUP($E220,'A-1 Site Habitat Baseline'!$D$1:$O$258,8,FALSE))))</f>
        <v/>
      </c>
      <c r="K220" s="343" t="str">
        <f>IF(E220="","",IF(ISNA(VLOOKUP($E220,'A-1 Site Habitat Baseline'!$D$1:$O$258,9,FALSE)),"",(VLOOKUP($E220,'A-1 Site Habitat Baseline'!$D$1:$O$258,9,FALSE))))</f>
        <v/>
      </c>
      <c r="L220" s="343" t="str">
        <f>IF(E220="","",IF(ISNA(VLOOKUP($E220,'A-1 Site Habitat Baseline'!$D$1:$O$258,11,FALSE)),"",(VLOOKUP($E220,'A-1 Site Habitat Baseline'!$D$1:$O$258,11,FALSE))))</f>
        <v/>
      </c>
      <c r="M220" s="343" t="str">
        <f>IF(E220="","",IF(ISNA(VLOOKUP($E220,'A-1 Site Habitat Baseline'!$D$1:$O$258,12,FALSE)),"",(VLOOKUP($E220,'A-1 Site Habitat Baseline'!$D$1:$O$258,12,FALSE))))</f>
        <v/>
      </c>
      <c r="N220" s="344" t="str">
        <f>IF(E220="","",IF(ISNA(VLOOKUP($E220,'A-1 Site Habitat Baseline'!$D$1:$X$258,14,FALSE)),"",(VLOOKUP($E220,'A-1 Site Habitat Baseline'!$D$1:$X$258,14,FALSE))))</f>
        <v/>
      </c>
      <c r="O220" s="345" t="str">
        <f>IF(E220="","",IF(ISNA(VLOOKUP($E220,'A-1 Site Habitat Baseline'!$D$1:$X$258,16,FALSE)),"",(VLOOKUP($E220,'A-1 Site Habitat Baseline'!$D$1:$X$258,13,FALSE))))</f>
        <v/>
      </c>
      <c r="P220" s="346" t="str">
        <f>IFERROR(INDEX('G-1 All Habitats'!$AG$3:$AG$15,MATCH(Q220,'G-1 All Habitats'!$AF$3:$AF$15,0)),"")</f>
        <v/>
      </c>
      <c r="Q220" s="347"/>
      <c r="R220" s="347"/>
      <c r="S220" s="605" t="str">
        <f>IFERROR(INDEX('G-1 All Habitats'!$B$3:$B$130,MATCH(R220,'G-1 All Habitats'!$A$3:$A$130,0)),"")</f>
        <v/>
      </c>
      <c r="T220" s="77" t="str">
        <f t="shared" si="36"/>
        <v/>
      </c>
      <c r="U220" s="78" t="str">
        <f t="shared" si="31"/>
        <v/>
      </c>
      <c r="V220" s="350" t="str">
        <f t="shared" si="28"/>
        <v/>
      </c>
      <c r="W220" s="343" t="str">
        <f>IF(S220="","",VLOOKUP(S220,'G-1 All Habitats'!$B$2:$M$130,10,FALSE))</f>
        <v/>
      </c>
      <c r="X220" s="343" t="str">
        <f>IFERROR(VLOOKUP(W220,'G-1 All Habitats'!$V$3:$W$7,2,FALSE),"")</f>
        <v/>
      </c>
      <c r="Y220" s="91"/>
      <c r="Z220" s="345" t="str">
        <f>IFERROR(INDEX('G-8 Condition Look up'!$A$3:$H$131,MATCH(S220,'G-8 Condition Look up'!$A$3:$A$131,0),MATCH(Y220,'G-8 Condition Look up'!$A$3:$H$3,0)),"")</f>
        <v/>
      </c>
      <c r="AA220" s="79"/>
      <c r="AB220" s="343" t="str">
        <f>IF(AA220="","",IF(VLOOKUP(AA220,'G-3 Multipliers'!$L$3:$N$6,2,FALSE)=0,"Spatial Data Missing",VLOOKUP(AA220,'G-3 Multipliers'!$L$3:$N$6,2,FALSE)))</f>
        <v/>
      </c>
      <c r="AC220" s="345" t="str">
        <f>IF(AA220="","",IF(VLOOKUP(AA220,'G-3 Multipliers'!$L$3:$N$6,3,FALSE)=0,"Spatial Data Missing",VLOOKUP(AA220,'G-3 Multipliers'!$L$3:$N$6,3,FALSE)))</f>
        <v/>
      </c>
      <c r="AD220" s="351" t="str">
        <f t="shared" si="29"/>
        <v/>
      </c>
      <c r="AE220" s="94"/>
      <c r="AF220" s="94"/>
      <c r="AG220" s="343" t="str">
        <f t="shared" si="32"/>
        <v/>
      </c>
      <c r="AH220" s="591" t="str">
        <f t="shared" si="33"/>
        <v/>
      </c>
      <c r="AI220" s="353" t="str">
        <f>IF(AH220="Check Data","Check Data",IFERROR(VLOOKUP(AH220,'G-4 Temporal multipliers'!$A$4:$C$36,3,FALSE),""))</f>
        <v/>
      </c>
      <c r="AJ220" s="77" t="str">
        <f>IF(S220="","",VLOOKUP(S220,'G-3 Multipliers'!$A$2:$E$130,4,FALSE))</f>
        <v/>
      </c>
      <c r="AK220" s="348" t="str">
        <f t="shared" si="34"/>
        <v/>
      </c>
      <c r="AL220" s="348" t="str">
        <f t="shared" si="35"/>
        <v/>
      </c>
      <c r="AM220" s="607" t="str">
        <f>IFERROR(IF(F220="","",IF(AH220="Check Data","Check Data",VLOOKUP(AL220, 'G-3 Multipliers'!$P$2:$Q$6,2,FALSE))),””)</f>
        <v/>
      </c>
      <c r="AN220" s="81" t="str">
        <f t="shared" si="30"/>
        <v/>
      </c>
      <c r="AO220" s="355"/>
      <c r="AP220" s="356"/>
    </row>
    <row r="221" spans="1:42" x14ac:dyDescent="0.25">
      <c r="A221" s="52" t="str">
        <f>IF(E221="","",IF(ISNA(VLOOKUP($E221,'A-1 Site Habitat Baseline'!$D$1:$O$258,2,FALSE)),"",(VLOOKUP($E221,'A-1 Site Habitat Baseline'!$D$1:$O$258,2,FALSE))))</f>
        <v/>
      </c>
      <c r="B221" s="52" t="str">
        <f>IF(E221="","",IF(ISNA(VLOOKUP($E221,'A-1 Site Habitat Baseline'!$D$1:$O$258,3,FALSE)),"",(VLOOKUP($E221,'A-1 Site Habitat Baseline'!$D$1:$O$258,3,FALSE))))</f>
        <v/>
      </c>
      <c r="C221" s="52" t="str">
        <f>IFERROR(INDEX('G-8 Condition Look up'!$I$4:$I$131,MATCH(S221,'G-8 Condition Look up'!$A$4:$A$131,0)),"")</f>
        <v/>
      </c>
      <c r="E221" s="342" t="str">
        <f>'A-1 Site Habitat Baseline'!AL220</f>
        <v/>
      </c>
      <c r="F221" s="343" t="str">
        <f>IF(E221="","",IF(ISNA(VLOOKUP($E221,'A-1 Site Habitat Baseline'!$D$1:$O$258,4,FALSE)),"",(VLOOKUP($E221,'A-1 Site Habitat Baseline'!$D$1:$O$258,4,FALSE))))</f>
        <v/>
      </c>
      <c r="G221" s="343" t="str">
        <f>IF(E221="","",IF(ISNA(VLOOKUP($E221,'A-1 Site Habitat Baseline'!$D$1:$O$258,5,FALSE)),"",(VLOOKUP($E221,'A-1 Site Habitat Baseline'!$D$1:$O$258,5,FALSE))))</f>
        <v/>
      </c>
      <c r="H221" s="343" t="str">
        <f>IF(E221="","",IF(ISNA(VLOOKUP($E221,'A-1 Site Habitat Baseline'!$D$1:$O$258,6,FALSE)),"",(VLOOKUP($E221,'A-1 Site Habitat Baseline'!$D$1:$O$258,6,FALSE))))</f>
        <v/>
      </c>
      <c r="I221" s="343" t="str">
        <f>IF(E221="","",IF(ISNA(VLOOKUP($E221,'A-1 Site Habitat Baseline'!$D$1:$O$258,7,FALSE)),"",(VLOOKUP($E221,'A-1 Site Habitat Baseline'!$D$1:$O$258,7,FALSE))))</f>
        <v/>
      </c>
      <c r="J221" s="343" t="str">
        <f>IF(E221="","",IF(ISNA(VLOOKUP($E221,'A-1 Site Habitat Baseline'!$D$1:$O$258,8,FALSE)),"",(VLOOKUP($E221,'A-1 Site Habitat Baseline'!$D$1:$O$258,8,FALSE))))</f>
        <v/>
      </c>
      <c r="K221" s="343" t="str">
        <f>IF(E221="","",IF(ISNA(VLOOKUP($E221,'A-1 Site Habitat Baseline'!$D$1:$O$258,9,FALSE)),"",(VLOOKUP($E221,'A-1 Site Habitat Baseline'!$D$1:$O$258,9,FALSE))))</f>
        <v/>
      </c>
      <c r="L221" s="343" t="str">
        <f>IF(E221="","",IF(ISNA(VLOOKUP($E221,'A-1 Site Habitat Baseline'!$D$1:$O$258,11,FALSE)),"",(VLOOKUP($E221,'A-1 Site Habitat Baseline'!$D$1:$O$258,11,FALSE))))</f>
        <v/>
      </c>
      <c r="M221" s="343" t="str">
        <f>IF(E221="","",IF(ISNA(VLOOKUP($E221,'A-1 Site Habitat Baseline'!$D$1:$O$258,12,FALSE)),"",(VLOOKUP($E221,'A-1 Site Habitat Baseline'!$D$1:$O$258,12,FALSE))))</f>
        <v/>
      </c>
      <c r="N221" s="344" t="str">
        <f>IF(E221="","",IF(ISNA(VLOOKUP($E221,'A-1 Site Habitat Baseline'!$D$1:$X$258,14,FALSE)),"",(VLOOKUP($E221,'A-1 Site Habitat Baseline'!$D$1:$X$258,14,FALSE))))</f>
        <v/>
      </c>
      <c r="O221" s="345" t="str">
        <f>IF(E221="","",IF(ISNA(VLOOKUP($E221,'A-1 Site Habitat Baseline'!$D$1:$X$258,16,FALSE)),"",(VLOOKUP($E221,'A-1 Site Habitat Baseline'!$D$1:$X$258,13,FALSE))))</f>
        <v/>
      </c>
      <c r="P221" s="346" t="str">
        <f>IFERROR(INDEX('G-1 All Habitats'!$AG$3:$AG$15,MATCH(Q221,'G-1 All Habitats'!$AF$3:$AF$15,0)),"")</f>
        <v/>
      </c>
      <c r="Q221" s="347"/>
      <c r="R221" s="347"/>
      <c r="S221" s="605" t="str">
        <f>IFERROR(INDEX('G-1 All Habitats'!$B$3:$B$130,MATCH(R221,'G-1 All Habitats'!$A$3:$A$130,0)),"")</f>
        <v/>
      </c>
      <c r="T221" s="77" t="str">
        <f t="shared" si="36"/>
        <v/>
      </c>
      <c r="U221" s="78" t="str">
        <f t="shared" si="31"/>
        <v/>
      </c>
      <c r="V221" s="350" t="str">
        <f t="shared" si="28"/>
        <v/>
      </c>
      <c r="W221" s="343" t="str">
        <f>IF(S221="","",VLOOKUP(S221,'G-1 All Habitats'!$B$2:$M$130,10,FALSE))</f>
        <v/>
      </c>
      <c r="X221" s="343" t="str">
        <f>IFERROR(VLOOKUP(W221,'G-1 All Habitats'!$V$3:$W$7,2,FALSE),"")</f>
        <v/>
      </c>
      <c r="Y221" s="91"/>
      <c r="Z221" s="345" t="str">
        <f>IFERROR(INDEX('G-8 Condition Look up'!$A$3:$H$131,MATCH(S221,'G-8 Condition Look up'!$A$3:$A$131,0),MATCH(Y221,'G-8 Condition Look up'!$A$3:$H$3,0)),"")</f>
        <v/>
      </c>
      <c r="AA221" s="79"/>
      <c r="AB221" s="343" t="str">
        <f>IF(AA221="","",IF(VLOOKUP(AA221,'G-3 Multipliers'!$L$3:$N$6,2,FALSE)=0,"Spatial Data Missing",VLOOKUP(AA221,'G-3 Multipliers'!$L$3:$N$6,2,FALSE)))</f>
        <v/>
      </c>
      <c r="AC221" s="345" t="str">
        <f>IF(AA221="","",IF(VLOOKUP(AA221,'G-3 Multipliers'!$L$3:$N$6,3,FALSE)=0,"Spatial Data Missing",VLOOKUP(AA221,'G-3 Multipliers'!$L$3:$N$6,3,FALSE)))</f>
        <v/>
      </c>
      <c r="AD221" s="351" t="str">
        <f t="shared" si="29"/>
        <v/>
      </c>
      <c r="AE221" s="94"/>
      <c r="AF221" s="94"/>
      <c r="AG221" s="343" t="str">
        <f t="shared" si="32"/>
        <v/>
      </c>
      <c r="AH221" s="591" t="str">
        <f t="shared" si="33"/>
        <v/>
      </c>
      <c r="AI221" s="353" t="str">
        <f>IF(AH221="Check Data","Check Data",IFERROR(VLOOKUP(AH221,'G-4 Temporal multipliers'!$A$4:$C$36,3,FALSE),""))</f>
        <v/>
      </c>
      <c r="AJ221" s="77" t="str">
        <f>IF(S221="","",VLOOKUP(S221,'G-3 Multipliers'!$A$2:$E$130,4,FALSE))</f>
        <v/>
      </c>
      <c r="AK221" s="348" t="str">
        <f t="shared" si="34"/>
        <v/>
      </c>
      <c r="AL221" s="348" t="str">
        <f t="shared" si="35"/>
        <v/>
      </c>
      <c r="AM221" s="607" t="str">
        <f>IFERROR(IF(F221="","",IF(AH221="Check Data","Check Data",VLOOKUP(AL221, 'G-3 Multipliers'!$P$2:$Q$6,2,FALSE))),””)</f>
        <v/>
      </c>
      <c r="AN221" s="81" t="str">
        <f t="shared" si="30"/>
        <v/>
      </c>
      <c r="AO221" s="355"/>
      <c r="AP221" s="356"/>
    </row>
    <row r="222" spans="1:42" x14ac:dyDescent="0.25">
      <c r="A222" s="52" t="str">
        <f>IF(E222="","",IF(ISNA(VLOOKUP($E222,'A-1 Site Habitat Baseline'!$D$1:$O$258,2,FALSE)),"",(VLOOKUP($E222,'A-1 Site Habitat Baseline'!$D$1:$O$258,2,FALSE))))</f>
        <v/>
      </c>
      <c r="B222" s="52" t="str">
        <f>IF(E222="","",IF(ISNA(VLOOKUP($E222,'A-1 Site Habitat Baseline'!$D$1:$O$258,3,FALSE)),"",(VLOOKUP($E222,'A-1 Site Habitat Baseline'!$D$1:$O$258,3,FALSE))))</f>
        <v/>
      </c>
      <c r="C222" s="52" t="str">
        <f>IFERROR(INDEX('G-8 Condition Look up'!$I$4:$I$131,MATCH(S222,'G-8 Condition Look up'!$A$4:$A$131,0)),"")</f>
        <v/>
      </c>
      <c r="E222" s="342" t="str">
        <f>'A-1 Site Habitat Baseline'!AL221</f>
        <v/>
      </c>
      <c r="F222" s="343" t="str">
        <f>IF(E222="","",IF(ISNA(VLOOKUP($E222,'A-1 Site Habitat Baseline'!$D$1:$O$258,4,FALSE)),"",(VLOOKUP($E222,'A-1 Site Habitat Baseline'!$D$1:$O$258,4,FALSE))))</f>
        <v/>
      </c>
      <c r="G222" s="343" t="str">
        <f>IF(E222="","",IF(ISNA(VLOOKUP($E222,'A-1 Site Habitat Baseline'!$D$1:$O$258,5,FALSE)),"",(VLOOKUP($E222,'A-1 Site Habitat Baseline'!$D$1:$O$258,5,FALSE))))</f>
        <v/>
      </c>
      <c r="H222" s="343" t="str">
        <f>IF(E222="","",IF(ISNA(VLOOKUP($E222,'A-1 Site Habitat Baseline'!$D$1:$O$258,6,FALSE)),"",(VLOOKUP($E222,'A-1 Site Habitat Baseline'!$D$1:$O$258,6,FALSE))))</f>
        <v/>
      </c>
      <c r="I222" s="343" t="str">
        <f>IF(E222="","",IF(ISNA(VLOOKUP($E222,'A-1 Site Habitat Baseline'!$D$1:$O$258,7,FALSE)),"",(VLOOKUP($E222,'A-1 Site Habitat Baseline'!$D$1:$O$258,7,FALSE))))</f>
        <v/>
      </c>
      <c r="J222" s="343" t="str">
        <f>IF(E222="","",IF(ISNA(VLOOKUP($E222,'A-1 Site Habitat Baseline'!$D$1:$O$258,8,FALSE)),"",(VLOOKUP($E222,'A-1 Site Habitat Baseline'!$D$1:$O$258,8,FALSE))))</f>
        <v/>
      </c>
      <c r="K222" s="343" t="str">
        <f>IF(E222="","",IF(ISNA(VLOOKUP($E222,'A-1 Site Habitat Baseline'!$D$1:$O$258,9,FALSE)),"",(VLOOKUP($E222,'A-1 Site Habitat Baseline'!$D$1:$O$258,9,FALSE))))</f>
        <v/>
      </c>
      <c r="L222" s="343" t="str">
        <f>IF(E222="","",IF(ISNA(VLOOKUP($E222,'A-1 Site Habitat Baseline'!$D$1:$O$258,11,FALSE)),"",(VLOOKUP($E222,'A-1 Site Habitat Baseline'!$D$1:$O$258,11,FALSE))))</f>
        <v/>
      </c>
      <c r="M222" s="343" t="str">
        <f>IF(E222="","",IF(ISNA(VLOOKUP($E222,'A-1 Site Habitat Baseline'!$D$1:$O$258,12,FALSE)),"",(VLOOKUP($E222,'A-1 Site Habitat Baseline'!$D$1:$O$258,12,FALSE))))</f>
        <v/>
      </c>
      <c r="N222" s="344" t="str">
        <f>IF(E222="","",IF(ISNA(VLOOKUP($E222,'A-1 Site Habitat Baseline'!$D$1:$X$258,14,FALSE)),"",(VLOOKUP($E222,'A-1 Site Habitat Baseline'!$D$1:$X$258,14,FALSE))))</f>
        <v/>
      </c>
      <c r="O222" s="345" t="str">
        <f>IF(E222="","",IF(ISNA(VLOOKUP($E222,'A-1 Site Habitat Baseline'!$D$1:$X$258,16,FALSE)),"",(VLOOKUP($E222,'A-1 Site Habitat Baseline'!$D$1:$X$258,13,FALSE))))</f>
        <v/>
      </c>
      <c r="P222" s="346" t="str">
        <f>IFERROR(INDEX('G-1 All Habitats'!$AG$3:$AG$15,MATCH(Q222,'G-1 All Habitats'!$AF$3:$AF$15,0)),"")</f>
        <v/>
      </c>
      <c r="Q222" s="347"/>
      <c r="R222" s="347"/>
      <c r="S222" s="605" t="str">
        <f>IFERROR(INDEX('G-1 All Habitats'!$B$3:$B$130,MATCH(R222,'G-1 All Habitats'!$A$3:$A$130,0)),"")</f>
        <v/>
      </c>
      <c r="T222" s="77" t="str">
        <f t="shared" si="36"/>
        <v/>
      </c>
      <c r="U222" s="78" t="str">
        <f t="shared" si="31"/>
        <v/>
      </c>
      <c r="V222" s="350" t="str">
        <f t="shared" si="28"/>
        <v/>
      </c>
      <c r="W222" s="343" t="str">
        <f>IF(S222="","",VLOOKUP(S222,'G-1 All Habitats'!$B$2:$M$130,10,FALSE))</f>
        <v/>
      </c>
      <c r="X222" s="343" t="str">
        <f>IFERROR(VLOOKUP(W222,'G-1 All Habitats'!$V$3:$W$7,2,FALSE),"")</f>
        <v/>
      </c>
      <c r="Y222" s="91"/>
      <c r="Z222" s="345" t="str">
        <f>IFERROR(INDEX('G-8 Condition Look up'!$A$3:$H$131,MATCH(S222,'G-8 Condition Look up'!$A$3:$A$131,0),MATCH(Y222,'G-8 Condition Look up'!$A$3:$H$3,0)),"")</f>
        <v/>
      </c>
      <c r="AA222" s="79"/>
      <c r="AB222" s="343" t="str">
        <f>IF(AA222="","",IF(VLOOKUP(AA222,'G-3 Multipliers'!$L$3:$N$6,2,FALSE)=0,"Spatial Data Missing",VLOOKUP(AA222,'G-3 Multipliers'!$L$3:$N$6,2,FALSE)))</f>
        <v/>
      </c>
      <c r="AC222" s="345" t="str">
        <f>IF(AA222="","",IF(VLOOKUP(AA222,'G-3 Multipliers'!$L$3:$N$6,3,FALSE)=0,"Spatial Data Missing",VLOOKUP(AA222,'G-3 Multipliers'!$L$3:$N$6,3,FALSE)))</f>
        <v/>
      </c>
      <c r="AD222" s="351" t="str">
        <f t="shared" si="29"/>
        <v/>
      </c>
      <c r="AE222" s="94"/>
      <c r="AF222" s="94"/>
      <c r="AG222" s="343" t="str">
        <f t="shared" si="32"/>
        <v/>
      </c>
      <c r="AH222" s="591" t="str">
        <f t="shared" si="33"/>
        <v/>
      </c>
      <c r="AI222" s="353" t="str">
        <f>IF(AH222="Check Data","Check Data",IFERROR(VLOOKUP(AH222,'G-4 Temporal multipliers'!$A$4:$C$36,3,FALSE),""))</f>
        <v/>
      </c>
      <c r="AJ222" s="77" t="str">
        <f>IF(S222="","",VLOOKUP(S222,'G-3 Multipliers'!$A$2:$E$130,4,FALSE))</f>
        <v/>
      </c>
      <c r="AK222" s="348" t="str">
        <f t="shared" si="34"/>
        <v/>
      </c>
      <c r="AL222" s="348" t="str">
        <f t="shared" si="35"/>
        <v/>
      </c>
      <c r="AM222" s="607" t="str">
        <f>IFERROR(IF(F222="","",IF(AH222="Check Data","Check Data",VLOOKUP(AL222, 'G-3 Multipliers'!$P$2:$Q$6,2,FALSE))),””)</f>
        <v/>
      </c>
      <c r="AN222" s="81" t="str">
        <f t="shared" si="30"/>
        <v/>
      </c>
      <c r="AO222" s="355"/>
      <c r="AP222" s="356"/>
    </row>
    <row r="223" spans="1:42" x14ac:dyDescent="0.25">
      <c r="A223" s="52" t="str">
        <f>IF(E223="","",IF(ISNA(VLOOKUP($E223,'A-1 Site Habitat Baseline'!$D$1:$O$258,2,FALSE)),"",(VLOOKUP($E223,'A-1 Site Habitat Baseline'!$D$1:$O$258,2,FALSE))))</f>
        <v/>
      </c>
      <c r="B223" s="52" t="str">
        <f>IF(E223="","",IF(ISNA(VLOOKUP($E223,'A-1 Site Habitat Baseline'!$D$1:$O$258,3,FALSE)),"",(VLOOKUP($E223,'A-1 Site Habitat Baseline'!$D$1:$O$258,3,FALSE))))</f>
        <v/>
      </c>
      <c r="C223" s="52" t="str">
        <f>IFERROR(INDEX('G-8 Condition Look up'!$I$4:$I$131,MATCH(S223,'G-8 Condition Look up'!$A$4:$A$131,0)),"")</f>
        <v/>
      </c>
      <c r="E223" s="342" t="str">
        <f>'A-1 Site Habitat Baseline'!AL222</f>
        <v/>
      </c>
      <c r="F223" s="343" t="str">
        <f>IF(E223="","",IF(ISNA(VLOOKUP($E223,'A-1 Site Habitat Baseline'!$D$1:$O$258,4,FALSE)),"",(VLOOKUP($E223,'A-1 Site Habitat Baseline'!$D$1:$O$258,4,FALSE))))</f>
        <v/>
      </c>
      <c r="G223" s="343" t="str">
        <f>IF(E223="","",IF(ISNA(VLOOKUP($E223,'A-1 Site Habitat Baseline'!$D$1:$O$258,5,FALSE)),"",(VLOOKUP($E223,'A-1 Site Habitat Baseline'!$D$1:$O$258,5,FALSE))))</f>
        <v/>
      </c>
      <c r="H223" s="343" t="str">
        <f>IF(E223="","",IF(ISNA(VLOOKUP($E223,'A-1 Site Habitat Baseline'!$D$1:$O$258,6,FALSE)),"",(VLOOKUP($E223,'A-1 Site Habitat Baseline'!$D$1:$O$258,6,FALSE))))</f>
        <v/>
      </c>
      <c r="I223" s="343" t="str">
        <f>IF(E223="","",IF(ISNA(VLOOKUP($E223,'A-1 Site Habitat Baseline'!$D$1:$O$258,7,FALSE)),"",(VLOOKUP($E223,'A-1 Site Habitat Baseline'!$D$1:$O$258,7,FALSE))))</f>
        <v/>
      </c>
      <c r="J223" s="343" t="str">
        <f>IF(E223="","",IF(ISNA(VLOOKUP($E223,'A-1 Site Habitat Baseline'!$D$1:$O$258,8,FALSE)),"",(VLOOKUP($E223,'A-1 Site Habitat Baseline'!$D$1:$O$258,8,FALSE))))</f>
        <v/>
      </c>
      <c r="K223" s="343" t="str">
        <f>IF(E223="","",IF(ISNA(VLOOKUP($E223,'A-1 Site Habitat Baseline'!$D$1:$O$258,9,FALSE)),"",(VLOOKUP($E223,'A-1 Site Habitat Baseline'!$D$1:$O$258,9,FALSE))))</f>
        <v/>
      </c>
      <c r="L223" s="343" t="str">
        <f>IF(E223="","",IF(ISNA(VLOOKUP($E223,'A-1 Site Habitat Baseline'!$D$1:$O$258,11,FALSE)),"",(VLOOKUP($E223,'A-1 Site Habitat Baseline'!$D$1:$O$258,11,FALSE))))</f>
        <v/>
      </c>
      <c r="M223" s="343" t="str">
        <f>IF(E223="","",IF(ISNA(VLOOKUP($E223,'A-1 Site Habitat Baseline'!$D$1:$O$258,12,FALSE)),"",(VLOOKUP($E223,'A-1 Site Habitat Baseline'!$D$1:$O$258,12,FALSE))))</f>
        <v/>
      </c>
      <c r="N223" s="344" t="str">
        <f>IF(E223="","",IF(ISNA(VLOOKUP($E223,'A-1 Site Habitat Baseline'!$D$1:$X$258,14,FALSE)),"",(VLOOKUP($E223,'A-1 Site Habitat Baseline'!$D$1:$X$258,14,FALSE))))</f>
        <v/>
      </c>
      <c r="O223" s="345" t="str">
        <f>IF(E223="","",IF(ISNA(VLOOKUP($E223,'A-1 Site Habitat Baseline'!$D$1:$X$258,16,FALSE)),"",(VLOOKUP($E223,'A-1 Site Habitat Baseline'!$D$1:$X$258,13,FALSE))))</f>
        <v/>
      </c>
      <c r="P223" s="346" t="str">
        <f>IFERROR(INDEX('G-1 All Habitats'!$AG$3:$AG$15,MATCH(Q223,'G-1 All Habitats'!$AF$3:$AF$15,0)),"")</f>
        <v/>
      </c>
      <c r="Q223" s="347"/>
      <c r="R223" s="347"/>
      <c r="S223" s="605" t="str">
        <f>IFERROR(INDEX('G-1 All Habitats'!$B$3:$B$130,MATCH(R223,'G-1 All Habitats'!$A$3:$A$130,0)),"")</f>
        <v/>
      </c>
      <c r="T223" s="77" t="str">
        <f t="shared" si="36"/>
        <v/>
      </c>
      <c r="U223" s="78" t="str">
        <f t="shared" si="31"/>
        <v/>
      </c>
      <c r="V223" s="350" t="str">
        <f t="shared" si="28"/>
        <v/>
      </c>
      <c r="W223" s="343" t="str">
        <f>IF(S223="","",VLOOKUP(S223,'G-1 All Habitats'!$B$2:$M$130,10,FALSE))</f>
        <v/>
      </c>
      <c r="X223" s="343" t="str">
        <f>IFERROR(VLOOKUP(W223,'G-1 All Habitats'!$V$3:$W$7,2,FALSE),"")</f>
        <v/>
      </c>
      <c r="Y223" s="91"/>
      <c r="Z223" s="345" t="str">
        <f>IFERROR(INDEX('G-8 Condition Look up'!$A$3:$H$131,MATCH(S223,'G-8 Condition Look up'!$A$3:$A$131,0),MATCH(Y223,'G-8 Condition Look up'!$A$3:$H$3,0)),"")</f>
        <v/>
      </c>
      <c r="AA223" s="79"/>
      <c r="AB223" s="343" t="str">
        <f>IF(AA223="","",IF(VLOOKUP(AA223,'G-3 Multipliers'!$L$3:$N$6,2,FALSE)=0,"Spatial Data Missing",VLOOKUP(AA223,'G-3 Multipliers'!$L$3:$N$6,2,FALSE)))</f>
        <v/>
      </c>
      <c r="AC223" s="345" t="str">
        <f>IF(AA223="","",IF(VLOOKUP(AA223,'G-3 Multipliers'!$L$3:$N$6,3,FALSE)=0,"Spatial Data Missing",VLOOKUP(AA223,'G-3 Multipliers'!$L$3:$N$6,3,FALSE)))</f>
        <v/>
      </c>
      <c r="AD223" s="351" t="str">
        <f t="shared" si="29"/>
        <v/>
      </c>
      <c r="AE223" s="94"/>
      <c r="AF223" s="94"/>
      <c r="AG223" s="343" t="str">
        <f t="shared" si="32"/>
        <v/>
      </c>
      <c r="AH223" s="591" t="str">
        <f t="shared" si="33"/>
        <v/>
      </c>
      <c r="AI223" s="353" t="str">
        <f>IF(AH223="Check Data","Check Data",IFERROR(VLOOKUP(AH223,'G-4 Temporal multipliers'!$A$4:$C$36,3,FALSE),""))</f>
        <v/>
      </c>
      <c r="AJ223" s="77" t="str">
        <f>IF(S223="","",VLOOKUP(S223,'G-3 Multipliers'!$A$2:$E$130,4,FALSE))</f>
        <v/>
      </c>
      <c r="AK223" s="348" t="str">
        <f t="shared" si="34"/>
        <v/>
      </c>
      <c r="AL223" s="348" t="str">
        <f t="shared" si="35"/>
        <v/>
      </c>
      <c r="AM223" s="607" t="str">
        <f>IFERROR(IF(F223="","",IF(AH223="Check Data","Check Data",VLOOKUP(AL223, 'G-3 Multipliers'!$P$2:$Q$6,2,FALSE))),””)</f>
        <v/>
      </c>
      <c r="AN223" s="81" t="str">
        <f t="shared" si="30"/>
        <v/>
      </c>
      <c r="AO223" s="355"/>
      <c r="AP223" s="356"/>
    </row>
    <row r="224" spans="1:42" x14ac:dyDescent="0.25">
      <c r="A224" s="52" t="str">
        <f>IF(E224="","",IF(ISNA(VLOOKUP($E224,'A-1 Site Habitat Baseline'!$D$1:$O$258,2,FALSE)),"",(VLOOKUP($E224,'A-1 Site Habitat Baseline'!$D$1:$O$258,2,FALSE))))</f>
        <v/>
      </c>
      <c r="B224" s="52" t="str">
        <f>IF(E224="","",IF(ISNA(VLOOKUP($E224,'A-1 Site Habitat Baseline'!$D$1:$O$258,3,FALSE)),"",(VLOOKUP($E224,'A-1 Site Habitat Baseline'!$D$1:$O$258,3,FALSE))))</f>
        <v/>
      </c>
      <c r="C224" s="52" t="str">
        <f>IFERROR(INDEX('G-8 Condition Look up'!$I$4:$I$131,MATCH(S224,'G-8 Condition Look up'!$A$4:$A$131,0)),"")</f>
        <v/>
      </c>
      <c r="E224" s="342" t="str">
        <f>'A-1 Site Habitat Baseline'!AL223</f>
        <v/>
      </c>
      <c r="F224" s="343" t="str">
        <f>IF(E224="","",IF(ISNA(VLOOKUP($E224,'A-1 Site Habitat Baseline'!$D$1:$O$258,4,FALSE)),"",(VLOOKUP($E224,'A-1 Site Habitat Baseline'!$D$1:$O$258,4,FALSE))))</f>
        <v/>
      </c>
      <c r="G224" s="343" t="str">
        <f>IF(E224="","",IF(ISNA(VLOOKUP($E224,'A-1 Site Habitat Baseline'!$D$1:$O$258,5,FALSE)),"",(VLOOKUP($E224,'A-1 Site Habitat Baseline'!$D$1:$O$258,5,FALSE))))</f>
        <v/>
      </c>
      <c r="H224" s="343" t="str">
        <f>IF(E224="","",IF(ISNA(VLOOKUP($E224,'A-1 Site Habitat Baseline'!$D$1:$O$258,6,FALSE)),"",(VLOOKUP($E224,'A-1 Site Habitat Baseline'!$D$1:$O$258,6,FALSE))))</f>
        <v/>
      </c>
      <c r="I224" s="343" t="str">
        <f>IF(E224="","",IF(ISNA(VLOOKUP($E224,'A-1 Site Habitat Baseline'!$D$1:$O$258,7,FALSE)),"",(VLOOKUP($E224,'A-1 Site Habitat Baseline'!$D$1:$O$258,7,FALSE))))</f>
        <v/>
      </c>
      <c r="J224" s="343" t="str">
        <f>IF(E224="","",IF(ISNA(VLOOKUP($E224,'A-1 Site Habitat Baseline'!$D$1:$O$258,8,FALSE)),"",(VLOOKUP($E224,'A-1 Site Habitat Baseline'!$D$1:$O$258,8,FALSE))))</f>
        <v/>
      </c>
      <c r="K224" s="343" t="str">
        <f>IF(E224="","",IF(ISNA(VLOOKUP($E224,'A-1 Site Habitat Baseline'!$D$1:$O$258,9,FALSE)),"",(VLOOKUP($E224,'A-1 Site Habitat Baseline'!$D$1:$O$258,9,FALSE))))</f>
        <v/>
      </c>
      <c r="L224" s="343" t="str">
        <f>IF(E224="","",IF(ISNA(VLOOKUP($E224,'A-1 Site Habitat Baseline'!$D$1:$O$258,11,FALSE)),"",(VLOOKUP($E224,'A-1 Site Habitat Baseline'!$D$1:$O$258,11,FALSE))))</f>
        <v/>
      </c>
      <c r="M224" s="343" t="str">
        <f>IF(E224="","",IF(ISNA(VLOOKUP($E224,'A-1 Site Habitat Baseline'!$D$1:$O$258,12,FALSE)),"",(VLOOKUP($E224,'A-1 Site Habitat Baseline'!$D$1:$O$258,12,FALSE))))</f>
        <v/>
      </c>
      <c r="N224" s="344" t="str">
        <f>IF(E224="","",IF(ISNA(VLOOKUP($E224,'A-1 Site Habitat Baseline'!$D$1:$X$258,14,FALSE)),"",(VLOOKUP($E224,'A-1 Site Habitat Baseline'!$D$1:$X$258,14,FALSE))))</f>
        <v/>
      </c>
      <c r="O224" s="345" t="str">
        <f>IF(E224="","",IF(ISNA(VLOOKUP($E224,'A-1 Site Habitat Baseline'!$D$1:$X$258,16,FALSE)),"",(VLOOKUP($E224,'A-1 Site Habitat Baseline'!$D$1:$X$258,13,FALSE))))</f>
        <v/>
      </c>
      <c r="P224" s="346" t="str">
        <f>IFERROR(INDEX('G-1 All Habitats'!$AG$3:$AG$15,MATCH(Q224,'G-1 All Habitats'!$AF$3:$AF$15,0)),"")</f>
        <v/>
      </c>
      <c r="Q224" s="347"/>
      <c r="R224" s="347"/>
      <c r="S224" s="605" t="str">
        <f>IFERROR(INDEX('G-1 All Habitats'!$B$3:$B$130,MATCH(R224,'G-1 All Habitats'!$A$3:$A$130,0)),"")</f>
        <v/>
      </c>
      <c r="T224" s="77" t="str">
        <f t="shared" si="36"/>
        <v/>
      </c>
      <c r="U224" s="78" t="str">
        <f t="shared" si="31"/>
        <v/>
      </c>
      <c r="V224" s="350" t="str">
        <f t="shared" si="28"/>
        <v/>
      </c>
      <c r="W224" s="343" t="str">
        <f>IF(S224="","",VLOOKUP(S224,'G-1 All Habitats'!$B$2:$M$130,10,FALSE))</f>
        <v/>
      </c>
      <c r="X224" s="343" t="str">
        <f>IFERROR(VLOOKUP(W224,'G-1 All Habitats'!$V$3:$W$7,2,FALSE),"")</f>
        <v/>
      </c>
      <c r="Y224" s="91"/>
      <c r="Z224" s="345" t="str">
        <f>IFERROR(INDEX('G-8 Condition Look up'!$A$3:$H$131,MATCH(S224,'G-8 Condition Look up'!$A$3:$A$131,0),MATCH(Y224,'G-8 Condition Look up'!$A$3:$H$3,0)),"")</f>
        <v/>
      </c>
      <c r="AA224" s="79"/>
      <c r="AB224" s="343" t="str">
        <f>IF(AA224="","",IF(VLOOKUP(AA224,'G-3 Multipliers'!$L$3:$N$6,2,FALSE)=0,"Spatial Data Missing",VLOOKUP(AA224,'G-3 Multipliers'!$L$3:$N$6,2,FALSE)))</f>
        <v/>
      </c>
      <c r="AC224" s="345" t="str">
        <f>IF(AA224="","",IF(VLOOKUP(AA224,'G-3 Multipliers'!$L$3:$N$6,3,FALSE)=0,"Spatial Data Missing",VLOOKUP(AA224,'G-3 Multipliers'!$L$3:$N$6,3,FALSE)))</f>
        <v/>
      </c>
      <c r="AD224" s="351" t="str">
        <f t="shared" si="29"/>
        <v/>
      </c>
      <c r="AE224" s="94"/>
      <c r="AF224" s="94"/>
      <c r="AG224" s="343" t="str">
        <f t="shared" si="32"/>
        <v/>
      </c>
      <c r="AH224" s="591" t="str">
        <f t="shared" si="33"/>
        <v/>
      </c>
      <c r="AI224" s="353" t="str">
        <f>IF(AH224="Check Data","Check Data",IFERROR(VLOOKUP(AH224,'G-4 Temporal multipliers'!$A$4:$C$36,3,FALSE),""))</f>
        <v/>
      </c>
      <c r="AJ224" s="77" t="str">
        <f>IF(S224="","",VLOOKUP(S224,'G-3 Multipliers'!$A$2:$E$130,4,FALSE))</f>
        <v/>
      </c>
      <c r="AK224" s="348" t="str">
        <f t="shared" si="34"/>
        <v/>
      </c>
      <c r="AL224" s="348" t="str">
        <f t="shared" si="35"/>
        <v/>
      </c>
      <c r="AM224" s="607" t="str">
        <f>IFERROR(IF(F224="","",IF(AH224="Check Data","Check Data",VLOOKUP(AL224, 'G-3 Multipliers'!$P$2:$Q$6,2,FALSE))),””)</f>
        <v/>
      </c>
      <c r="AN224" s="81" t="str">
        <f t="shared" si="30"/>
        <v/>
      </c>
      <c r="AO224" s="355"/>
      <c r="AP224" s="356"/>
    </row>
    <row r="225" spans="1:42" x14ac:dyDescent="0.25">
      <c r="A225" s="52" t="str">
        <f>IF(E225="","",IF(ISNA(VLOOKUP($E225,'A-1 Site Habitat Baseline'!$D$1:$O$258,2,FALSE)),"",(VLOOKUP($E225,'A-1 Site Habitat Baseline'!$D$1:$O$258,2,FALSE))))</f>
        <v/>
      </c>
      <c r="B225" s="52" t="str">
        <f>IF(E225="","",IF(ISNA(VLOOKUP($E225,'A-1 Site Habitat Baseline'!$D$1:$O$258,3,FALSE)),"",(VLOOKUP($E225,'A-1 Site Habitat Baseline'!$D$1:$O$258,3,FALSE))))</f>
        <v/>
      </c>
      <c r="C225" s="52" t="str">
        <f>IFERROR(INDEX('G-8 Condition Look up'!$I$4:$I$131,MATCH(S225,'G-8 Condition Look up'!$A$4:$A$131,0)),"")</f>
        <v/>
      </c>
      <c r="E225" s="342" t="str">
        <f>'A-1 Site Habitat Baseline'!AL224</f>
        <v/>
      </c>
      <c r="F225" s="343" t="str">
        <f>IF(E225="","",IF(ISNA(VLOOKUP($E225,'A-1 Site Habitat Baseline'!$D$1:$O$258,4,FALSE)),"",(VLOOKUP($E225,'A-1 Site Habitat Baseline'!$D$1:$O$258,4,FALSE))))</f>
        <v/>
      </c>
      <c r="G225" s="343" t="str">
        <f>IF(E225="","",IF(ISNA(VLOOKUP($E225,'A-1 Site Habitat Baseline'!$D$1:$O$258,5,FALSE)),"",(VLOOKUP($E225,'A-1 Site Habitat Baseline'!$D$1:$O$258,5,FALSE))))</f>
        <v/>
      </c>
      <c r="H225" s="343" t="str">
        <f>IF(E225="","",IF(ISNA(VLOOKUP($E225,'A-1 Site Habitat Baseline'!$D$1:$O$258,6,FALSE)),"",(VLOOKUP($E225,'A-1 Site Habitat Baseline'!$D$1:$O$258,6,FALSE))))</f>
        <v/>
      </c>
      <c r="I225" s="343" t="str">
        <f>IF(E225="","",IF(ISNA(VLOOKUP($E225,'A-1 Site Habitat Baseline'!$D$1:$O$258,7,FALSE)),"",(VLOOKUP($E225,'A-1 Site Habitat Baseline'!$D$1:$O$258,7,FALSE))))</f>
        <v/>
      </c>
      <c r="J225" s="343" t="str">
        <f>IF(E225="","",IF(ISNA(VLOOKUP($E225,'A-1 Site Habitat Baseline'!$D$1:$O$258,8,FALSE)),"",(VLOOKUP($E225,'A-1 Site Habitat Baseline'!$D$1:$O$258,8,FALSE))))</f>
        <v/>
      </c>
      <c r="K225" s="343" t="str">
        <f>IF(E225="","",IF(ISNA(VLOOKUP($E225,'A-1 Site Habitat Baseline'!$D$1:$O$258,9,FALSE)),"",(VLOOKUP($E225,'A-1 Site Habitat Baseline'!$D$1:$O$258,9,FALSE))))</f>
        <v/>
      </c>
      <c r="L225" s="343" t="str">
        <f>IF(E225="","",IF(ISNA(VLOOKUP($E225,'A-1 Site Habitat Baseline'!$D$1:$O$258,11,FALSE)),"",(VLOOKUP($E225,'A-1 Site Habitat Baseline'!$D$1:$O$258,11,FALSE))))</f>
        <v/>
      </c>
      <c r="M225" s="343" t="str">
        <f>IF(E225="","",IF(ISNA(VLOOKUP($E225,'A-1 Site Habitat Baseline'!$D$1:$O$258,12,FALSE)),"",(VLOOKUP($E225,'A-1 Site Habitat Baseline'!$D$1:$O$258,12,FALSE))))</f>
        <v/>
      </c>
      <c r="N225" s="344" t="str">
        <f>IF(E225="","",IF(ISNA(VLOOKUP($E225,'A-1 Site Habitat Baseline'!$D$1:$X$258,14,FALSE)),"",(VLOOKUP($E225,'A-1 Site Habitat Baseline'!$D$1:$X$258,14,FALSE))))</f>
        <v/>
      </c>
      <c r="O225" s="345" t="str">
        <f>IF(E225="","",IF(ISNA(VLOOKUP($E225,'A-1 Site Habitat Baseline'!$D$1:$X$258,16,FALSE)),"",(VLOOKUP($E225,'A-1 Site Habitat Baseline'!$D$1:$X$258,13,FALSE))))</f>
        <v/>
      </c>
      <c r="P225" s="346" t="str">
        <f>IFERROR(INDEX('G-1 All Habitats'!$AG$3:$AG$15,MATCH(Q225,'G-1 All Habitats'!$AF$3:$AF$15,0)),"")</f>
        <v/>
      </c>
      <c r="Q225" s="347"/>
      <c r="R225" s="347"/>
      <c r="S225" s="605" t="str">
        <f>IFERROR(INDEX('G-1 All Habitats'!$B$3:$B$130,MATCH(R225,'G-1 All Habitats'!$A$3:$A$130,0)),"")</f>
        <v/>
      </c>
      <c r="T225" s="77" t="str">
        <f t="shared" si="36"/>
        <v/>
      </c>
      <c r="U225" s="78" t="str">
        <f t="shared" si="31"/>
        <v/>
      </c>
      <c r="V225" s="350" t="str">
        <f t="shared" si="28"/>
        <v/>
      </c>
      <c r="W225" s="343" t="str">
        <f>IF(S225="","",VLOOKUP(S225,'G-1 All Habitats'!$B$2:$M$130,10,FALSE))</f>
        <v/>
      </c>
      <c r="X225" s="343" t="str">
        <f>IFERROR(VLOOKUP(W225,'G-1 All Habitats'!$V$3:$W$7,2,FALSE),"")</f>
        <v/>
      </c>
      <c r="Y225" s="91"/>
      <c r="Z225" s="345" t="str">
        <f>IFERROR(INDEX('G-8 Condition Look up'!$A$3:$H$131,MATCH(S225,'G-8 Condition Look up'!$A$3:$A$131,0),MATCH(Y225,'G-8 Condition Look up'!$A$3:$H$3,0)),"")</f>
        <v/>
      </c>
      <c r="AA225" s="79"/>
      <c r="AB225" s="343" t="str">
        <f>IF(AA225="","",IF(VLOOKUP(AA225,'G-3 Multipliers'!$L$3:$N$6,2,FALSE)=0,"Spatial Data Missing",VLOOKUP(AA225,'G-3 Multipliers'!$L$3:$N$6,2,FALSE)))</f>
        <v/>
      </c>
      <c r="AC225" s="345" t="str">
        <f>IF(AA225="","",IF(VLOOKUP(AA225,'G-3 Multipliers'!$L$3:$N$6,3,FALSE)=0,"Spatial Data Missing",VLOOKUP(AA225,'G-3 Multipliers'!$L$3:$N$6,3,FALSE)))</f>
        <v/>
      </c>
      <c r="AD225" s="351" t="str">
        <f t="shared" si="29"/>
        <v/>
      </c>
      <c r="AE225" s="94"/>
      <c r="AF225" s="94"/>
      <c r="AG225" s="343" t="str">
        <f t="shared" si="32"/>
        <v/>
      </c>
      <c r="AH225" s="591" t="str">
        <f t="shared" si="33"/>
        <v/>
      </c>
      <c r="AI225" s="353" t="str">
        <f>IF(AH225="Check Data","Check Data",IFERROR(VLOOKUP(AH225,'G-4 Temporal multipliers'!$A$4:$C$36,3,FALSE),""))</f>
        <v/>
      </c>
      <c r="AJ225" s="77" t="str">
        <f>IF(S225="","",VLOOKUP(S225,'G-3 Multipliers'!$A$2:$E$130,4,FALSE))</f>
        <v/>
      </c>
      <c r="AK225" s="348" t="str">
        <f t="shared" si="34"/>
        <v/>
      </c>
      <c r="AL225" s="348" t="str">
        <f t="shared" si="35"/>
        <v/>
      </c>
      <c r="AM225" s="607" t="str">
        <f>IFERROR(IF(F225="","",IF(AH225="Check Data","Check Data",VLOOKUP(AL225, 'G-3 Multipliers'!$P$2:$Q$6,2,FALSE))),””)</f>
        <v/>
      </c>
      <c r="AN225" s="81" t="str">
        <f t="shared" si="30"/>
        <v/>
      </c>
      <c r="AO225" s="355"/>
      <c r="AP225" s="356"/>
    </row>
    <row r="226" spans="1:42" x14ac:dyDescent="0.25">
      <c r="A226" s="52" t="str">
        <f>IF(E226="","",IF(ISNA(VLOOKUP($E226,'A-1 Site Habitat Baseline'!$D$1:$O$258,2,FALSE)),"",(VLOOKUP($E226,'A-1 Site Habitat Baseline'!$D$1:$O$258,2,FALSE))))</f>
        <v/>
      </c>
      <c r="B226" s="52" t="str">
        <f>IF(E226="","",IF(ISNA(VLOOKUP($E226,'A-1 Site Habitat Baseline'!$D$1:$O$258,3,FALSE)),"",(VLOOKUP($E226,'A-1 Site Habitat Baseline'!$D$1:$O$258,3,FALSE))))</f>
        <v/>
      </c>
      <c r="C226" s="52" t="str">
        <f>IFERROR(INDEX('G-8 Condition Look up'!$I$4:$I$131,MATCH(S226,'G-8 Condition Look up'!$A$4:$A$131,0)),"")</f>
        <v/>
      </c>
      <c r="E226" s="342" t="str">
        <f>'A-1 Site Habitat Baseline'!AL225</f>
        <v/>
      </c>
      <c r="F226" s="343" t="str">
        <f>IF(E226="","",IF(ISNA(VLOOKUP($E226,'A-1 Site Habitat Baseline'!$D$1:$O$258,4,FALSE)),"",(VLOOKUP($E226,'A-1 Site Habitat Baseline'!$D$1:$O$258,4,FALSE))))</f>
        <v/>
      </c>
      <c r="G226" s="343" t="str">
        <f>IF(E226="","",IF(ISNA(VLOOKUP($E226,'A-1 Site Habitat Baseline'!$D$1:$O$258,5,FALSE)),"",(VLOOKUP($E226,'A-1 Site Habitat Baseline'!$D$1:$O$258,5,FALSE))))</f>
        <v/>
      </c>
      <c r="H226" s="343" t="str">
        <f>IF(E226="","",IF(ISNA(VLOOKUP($E226,'A-1 Site Habitat Baseline'!$D$1:$O$258,6,FALSE)),"",(VLOOKUP($E226,'A-1 Site Habitat Baseline'!$D$1:$O$258,6,FALSE))))</f>
        <v/>
      </c>
      <c r="I226" s="343" t="str">
        <f>IF(E226="","",IF(ISNA(VLOOKUP($E226,'A-1 Site Habitat Baseline'!$D$1:$O$258,7,FALSE)),"",(VLOOKUP($E226,'A-1 Site Habitat Baseline'!$D$1:$O$258,7,FALSE))))</f>
        <v/>
      </c>
      <c r="J226" s="343" t="str">
        <f>IF(E226="","",IF(ISNA(VLOOKUP($E226,'A-1 Site Habitat Baseline'!$D$1:$O$258,8,FALSE)),"",(VLOOKUP($E226,'A-1 Site Habitat Baseline'!$D$1:$O$258,8,FALSE))))</f>
        <v/>
      </c>
      <c r="K226" s="343" t="str">
        <f>IF(E226="","",IF(ISNA(VLOOKUP($E226,'A-1 Site Habitat Baseline'!$D$1:$O$258,9,FALSE)),"",(VLOOKUP($E226,'A-1 Site Habitat Baseline'!$D$1:$O$258,9,FALSE))))</f>
        <v/>
      </c>
      <c r="L226" s="343" t="str">
        <f>IF(E226="","",IF(ISNA(VLOOKUP($E226,'A-1 Site Habitat Baseline'!$D$1:$O$258,11,FALSE)),"",(VLOOKUP($E226,'A-1 Site Habitat Baseline'!$D$1:$O$258,11,FALSE))))</f>
        <v/>
      </c>
      <c r="M226" s="343" t="str">
        <f>IF(E226="","",IF(ISNA(VLOOKUP($E226,'A-1 Site Habitat Baseline'!$D$1:$O$258,12,FALSE)),"",(VLOOKUP($E226,'A-1 Site Habitat Baseline'!$D$1:$O$258,12,FALSE))))</f>
        <v/>
      </c>
      <c r="N226" s="344" t="str">
        <f>IF(E226="","",IF(ISNA(VLOOKUP($E226,'A-1 Site Habitat Baseline'!$D$1:$X$258,14,FALSE)),"",(VLOOKUP($E226,'A-1 Site Habitat Baseline'!$D$1:$X$258,14,FALSE))))</f>
        <v/>
      </c>
      <c r="O226" s="345" t="str">
        <f>IF(E226="","",IF(ISNA(VLOOKUP($E226,'A-1 Site Habitat Baseline'!$D$1:$X$258,16,FALSE)),"",(VLOOKUP($E226,'A-1 Site Habitat Baseline'!$D$1:$X$258,13,FALSE))))</f>
        <v/>
      </c>
      <c r="P226" s="346" t="str">
        <f>IFERROR(INDEX('G-1 All Habitats'!$AG$3:$AG$15,MATCH(Q226,'G-1 All Habitats'!$AF$3:$AF$15,0)),"")</f>
        <v/>
      </c>
      <c r="Q226" s="347"/>
      <c r="R226" s="347"/>
      <c r="S226" s="605" t="str">
        <f>IFERROR(INDEX('G-1 All Habitats'!$B$3:$B$130,MATCH(R226,'G-1 All Habitats'!$A$3:$A$130,0)),"")</f>
        <v/>
      </c>
      <c r="T226" s="77" t="str">
        <f t="shared" si="36"/>
        <v/>
      </c>
      <c r="U226" s="78" t="str">
        <f t="shared" si="31"/>
        <v/>
      </c>
      <c r="V226" s="350" t="str">
        <f t="shared" si="28"/>
        <v/>
      </c>
      <c r="W226" s="343" t="str">
        <f>IF(S226="","",VLOOKUP(S226,'G-1 All Habitats'!$B$2:$M$130,10,FALSE))</f>
        <v/>
      </c>
      <c r="X226" s="343" t="str">
        <f>IFERROR(VLOOKUP(W226,'G-1 All Habitats'!$V$3:$W$7,2,FALSE),"")</f>
        <v/>
      </c>
      <c r="Y226" s="91"/>
      <c r="Z226" s="345" t="str">
        <f>IFERROR(INDEX('G-8 Condition Look up'!$A$3:$H$131,MATCH(S226,'G-8 Condition Look up'!$A$3:$A$131,0),MATCH(Y226,'G-8 Condition Look up'!$A$3:$H$3,0)),"")</f>
        <v/>
      </c>
      <c r="AA226" s="79"/>
      <c r="AB226" s="343" t="str">
        <f>IF(AA226="","",IF(VLOOKUP(AA226,'G-3 Multipliers'!$L$3:$N$6,2,FALSE)=0,"Spatial Data Missing",VLOOKUP(AA226,'G-3 Multipliers'!$L$3:$N$6,2,FALSE)))</f>
        <v/>
      </c>
      <c r="AC226" s="345" t="str">
        <f>IF(AA226="","",IF(VLOOKUP(AA226,'G-3 Multipliers'!$L$3:$N$6,3,FALSE)=0,"Spatial Data Missing",VLOOKUP(AA226,'G-3 Multipliers'!$L$3:$N$6,3,FALSE)))</f>
        <v/>
      </c>
      <c r="AD226" s="351" t="str">
        <f t="shared" si="29"/>
        <v/>
      </c>
      <c r="AE226" s="94"/>
      <c r="AF226" s="94"/>
      <c r="AG226" s="343" t="str">
        <f t="shared" si="32"/>
        <v/>
      </c>
      <c r="AH226" s="591" t="str">
        <f t="shared" si="33"/>
        <v/>
      </c>
      <c r="AI226" s="353" t="str">
        <f>IF(AH226="Check Data","Check Data",IFERROR(VLOOKUP(AH226,'G-4 Temporal multipliers'!$A$4:$C$36,3,FALSE),""))</f>
        <v/>
      </c>
      <c r="AJ226" s="77" t="str">
        <f>IF(S226="","",VLOOKUP(S226,'G-3 Multipliers'!$A$2:$E$130,4,FALSE))</f>
        <v/>
      </c>
      <c r="AK226" s="348" t="str">
        <f t="shared" si="34"/>
        <v/>
      </c>
      <c r="AL226" s="348" t="str">
        <f t="shared" si="35"/>
        <v/>
      </c>
      <c r="AM226" s="607" t="str">
        <f>IFERROR(IF(F226="","",IF(AH226="Check Data","Check Data",VLOOKUP(AL226, 'G-3 Multipliers'!$P$2:$Q$6,2,FALSE))),””)</f>
        <v/>
      </c>
      <c r="AN226" s="81" t="str">
        <f t="shared" si="30"/>
        <v/>
      </c>
      <c r="AO226" s="355"/>
      <c r="AP226" s="356"/>
    </row>
    <row r="227" spans="1:42" x14ac:dyDescent="0.25">
      <c r="A227" s="52" t="str">
        <f>IF(E227="","",IF(ISNA(VLOOKUP($E227,'A-1 Site Habitat Baseline'!$D$1:$O$258,2,FALSE)),"",(VLOOKUP($E227,'A-1 Site Habitat Baseline'!$D$1:$O$258,2,FALSE))))</f>
        <v/>
      </c>
      <c r="B227" s="52" t="str">
        <f>IF(E227="","",IF(ISNA(VLOOKUP($E227,'A-1 Site Habitat Baseline'!$D$1:$O$258,3,FALSE)),"",(VLOOKUP($E227,'A-1 Site Habitat Baseline'!$D$1:$O$258,3,FALSE))))</f>
        <v/>
      </c>
      <c r="C227" s="52" t="str">
        <f>IFERROR(INDEX('G-8 Condition Look up'!$I$4:$I$131,MATCH(S227,'G-8 Condition Look up'!$A$4:$A$131,0)),"")</f>
        <v/>
      </c>
      <c r="E227" s="342" t="str">
        <f>'A-1 Site Habitat Baseline'!AL226</f>
        <v/>
      </c>
      <c r="F227" s="343" t="str">
        <f>IF(E227="","",IF(ISNA(VLOOKUP($E227,'A-1 Site Habitat Baseline'!$D$1:$O$258,4,FALSE)),"",(VLOOKUP($E227,'A-1 Site Habitat Baseline'!$D$1:$O$258,4,FALSE))))</f>
        <v/>
      </c>
      <c r="G227" s="343" t="str">
        <f>IF(E227="","",IF(ISNA(VLOOKUP($E227,'A-1 Site Habitat Baseline'!$D$1:$O$258,5,FALSE)),"",(VLOOKUP($E227,'A-1 Site Habitat Baseline'!$D$1:$O$258,5,FALSE))))</f>
        <v/>
      </c>
      <c r="H227" s="343" t="str">
        <f>IF(E227="","",IF(ISNA(VLOOKUP($E227,'A-1 Site Habitat Baseline'!$D$1:$O$258,6,FALSE)),"",(VLOOKUP($E227,'A-1 Site Habitat Baseline'!$D$1:$O$258,6,FALSE))))</f>
        <v/>
      </c>
      <c r="I227" s="343" t="str">
        <f>IF(E227="","",IF(ISNA(VLOOKUP($E227,'A-1 Site Habitat Baseline'!$D$1:$O$258,7,FALSE)),"",(VLOOKUP($E227,'A-1 Site Habitat Baseline'!$D$1:$O$258,7,FALSE))))</f>
        <v/>
      </c>
      <c r="J227" s="343" t="str">
        <f>IF(E227="","",IF(ISNA(VLOOKUP($E227,'A-1 Site Habitat Baseline'!$D$1:$O$258,8,FALSE)),"",(VLOOKUP($E227,'A-1 Site Habitat Baseline'!$D$1:$O$258,8,FALSE))))</f>
        <v/>
      </c>
      <c r="K227" s="343" t="str">
        <f>IF(E227="","",IF(ISNA(VLOOKUP($E227,'A-1 Site Habitat Baseline'!$D$1:$O$258,9,FALSE)),"",(VLOOKUP($E227,'A-1 Site Habitat Baseline'!$D$1:$O$258,9,FALSE))))</f>
        <v/>
      </c>
      <c r="L227" s="343" t="str">
        <f>IF(E227="","",IF(ISNA(VLOOKUP($E227,'A-1 Site Habitat Baseline'!$D$1:$O$258,11,FALSE)),"",(VLOOKUP($E227,'A-1 Site Habitat Baseline'!$D$1:$O$258,11,FALSE))))</f>
        <v/>
      </c>
      <c r="M227" s="343" t="str">
        <f>IF(E227="","",IF(ISNA(VLOOKUP($E227,'A-1 Site Habitat Baseline'!$D$1:$O$258,12,FALSE)),"",(VLOOKUP($E227,'A-1 Site Habitat Baseline'!$D$1:$O$258,12,FALSE))))</f>
        <v/>
      </c>
      <c r="N227" s="344" t="str">
        <f>IF(E227="","",IF(ISNA(VLOOKUP($E227,'A-1 Site Habitat Baseline'!$D$1:$X$258,14,FALSE)),"",(VLOOKUP($E227,'A-1 Site Habitat Baseline'!$D$1:$X$258,14,FALSE))))</f>
        <v/>
      </c>
      <c r="O227" s="345" t="str">
        <f>IF(E227="","",IF(ISNA(VLOOKUP($E227,'A-1 Site Habitat Baseline'!$D$1:$X$258,16,FALSE)),"",(VLOOKUP($E227,'A-1 Site Habitat Baseline'!$D$1:$X$258,13,FALSE))))</f>
        <v/>
      </c>
      <c r="P227" s="346" t="str">
        <f>IFERROR(INDEX('G-1 All Habitats'!$AG$3:$AG$15,MATCH(Q227,'G-1 All Habitats'!$AF$3:$AF$15,0)),"")</f>
        <v/>
      </c>
      <c r="Q227" s="347"/>
      <c r="R227" s="347"/>
      <c r="S227" s="605" t="str">
        <f>IFERROR(INDEX('G-1 All Habitats'!$B$3:$B$130,MATCH(R227,'G-1 All Habitats'!$A$3:$A$130,0)),"")</f>
        <v/>
      </c>
      <c r="T227" s="77" t="str">
        <f t="shared" si="36"/>
        <v/>
      </c>
      <c r="U227" s="78" t="str">
        <f t="shared" si="31"/>
        <v/>
      </c>
      <c r="V227" s="350" t="str">
        <f t="shared" si="28"/>
        <v/>
      </c>
      <c r="W227" s="343" t="str">
        <f>IF(S227="","",VLOOKUP(S227,'G-1 All Habitats'!$B$2:$M$130,10,FALSE))</f>
        <v/>
      </c>
      <c r="X227" s="343" t="str">
        <f>IFERROR(VLOOKUP(W227,'G-1 All Habitats'!$V$3:$W$7,2,FALSE),"")</f>
        <v/>
      </c>
      <c r="Y227" s="91"/>
      <c r="Z227" s="345" t="str">
        <f>IFERROR(INDEX('G-8 Condition Look up'!$A$3:$H$131,MATCH(S227,'G-8 Condition Look up'!$A$3:$A$131,0),MATCH(Y227,'G-8 Condition Look up'!$A$3:$H$3,0)),"")</f>
        <v/>
      </c>
      <c r="AA227" s="79"/>
      <c r="AB227" s="343" t="str">
        <f>IF(AA227="","",IF(VLOOKUP(AA227,'G-3 Multipliers'!$L$3:$N$6,2,FALSE)=0,"Spatial Data Missing",VLOOKUP(AA227,'G-3 Multipliers'!$L$3:$N$6,2,FALSE)))</f>
        <v/>
      </c>
      <c r="AC227" s="345" t="str">
        <f>IF(AA227="","",IF(VLOOKUP(AA227,'G-3 Multipliers'!$L$3:$N$6,3,FALSE)=0,"Spatial Data Missing",VLOOKUP(AA227,'G-3 Multipliers'!$L$3:$N$6,3,FALSE)))</f>
        <v/>
      </c>
      <c r="AD227" s="351" t="str">
        <f t="shared" si="29"/>
        <v/>
      </c>
      <c r="AE227" s="94"/>
      <c r="AF227" s="94"/>
      <c r="AG227" s="343" t="str">
        <f t="shared" si="32"/>
        <v/>
      </c>
      <c r="AH227" s="591" t="str">
        <f t="shared" si="33"/>
        <v/>
      </c>
      <c r="AI227" s="353" t="str">
        <f>IF(AH227="Check Data","Check Data",IFERROR(VLOOKUP(AH227,'G-4 Temporal multipliers'!$A$4:$C$36,3,FALSE),""))</f>
        <v/>
      </c>
      <c r="AJ227" s="77" t="str">
        <f>IF(S227="","",VLOOKUP(S227,'G-3 Multipliers'!$A$2:$E$130,4,FALSE))</f>
        <v/>
      </c>
      <c r="AK227" s="348" t="str">
        <f t="shared" si="34"/>
        <v/>
      </c>
      <c r="AL227" s="348" t="str">
        <f t="shared" si="35"/>
        <v/>
      </c>
      <c r="AM227" s="607" t="str">
        <f>IFERROR(IF(F227="","",IF(AH227="Check Data","Check Data",VLOOKUP(AL227, 'G-3 Multipliers'!$P$2:$Q$6,2,FALSE))),””)</f>
        <v/>
      </c>
      <c r="AN227" s="81" t="str">
        <f t="shared" si="30"/>
        <v/>
      </c>
      <c r="AO227" s="355"/>
      <c r="AP227" s="356"/>
    </row>
    <row r="228" spans="1:42" x14ac:dyDescent="0.25">
      <c r="A228" s="52" t="str">
        <f>IF(E228="","",IF(ISNA(VLOOKUP($E228,'A-1 Site Habitat Baseline'!$D$1:$O$258,2,FALSE)),"",(VLOOKUP($E228,'A-1 Site Habitat Baseline'!$D$1:$O$258,2,FALSE))))</f>
        <v/>
      </c>
      <c r="B228" s="52" t="str">
        <f>IF(E228="","",IF(ISNA(VLOOKUP($E228,'A-1 Site Habitat Baseline'!$D$1:$O$258,3,FALSE)),"",(VLOOKUP($E228,'A-1 Site Habitat Baseline'!$D$1:$O$258,3,FALSE))))</f>
        <v/>
      </c>
      <c r="C228" s="52" t="str">
        <f>IFERROR(INDEX('G-8 Condition Look up'!$I$4:$I$131,MATCH(S228,'G-8 Condition Look up'!$A$4:$A$131,0)),"")</f>
        <v/>
      </c>
      <c r="E228" s="342" t="str">
        <f>'A-1 Site Habitat Baseline'!AL227</f>
        <v/>
      </c>
      <c r="F228" s="343" t="str">
        <f>IF(E228="","",IF(ISNA(VLOOKUP($E228,'A-1 Site Habitat Baseline'!$D$1:$O$258,4,FALSE)),"",(VLOOKUP($E228,'A-1 Site Habitat Baseline'!$D$1:$O$258,4,FALSE))))</f>
        <v/>
      </c>
      <c r="G228" s="343" t="str">
        <f>IF(E228="","",IF(ISNA(VLOOKUP($E228,'A-1 Site Habitat Baseline'!$D$1:$O$258,5,FALSE)),"",(VLOOKUP($E228,'A-1 Site Habitat Baseline'!$D$1:$O$258,5,FALSE))))</f>
        <v/>
      </c>
      <c r="H228" s="343" t="str">
        <f>IF(E228="","",IF(ISNA(VLOOKUP($E228,'A-1 Site Habitat Baseline'!$D$1:$O$258,6,FALSE)),"",(VLOOKUP($E228,'A-1 Site Habitat Baseline'!$D$1:$O$258,6,FALSE))))</f>
        <v/>
      </c>
      <c r="I228" s="343" t="str">
        <f>IF(E228="","",IF(ISNA(VLOOKUP($E228,'A-1 Site Habitat Baseline'!$D$1:$O$258,7,FALSE)),"",(VLOOKUP($E228,'A-1 Site Habitat Baseline'!$D$1:$O$258,7,FALSE))))</f>
        <v/>
      </c>
      <c r="J228" s="343" t="str">
        <f>IF(E228="","",IF(ISNA(VLOOKUP($E228,'A-1 Site Habitat Baseline'!$D$1:$O$258,8,FALSE)),"",(VLOOKUP($E228,'A-1 Site Habitat Baseline'!$D$1:$O$258,8,FALSE))))</f>
        <v/>
      </c>
      <c r="K228" s="343" t="str">
        <f>IF(E228="","",IF(ISNA(VLOOKUP($E228,'A-1 Site Habitat Baseline'!$D$1:$O$258,9,FALSE)),"",(VLOOKUP($E228,'A-1 Site Habitat Baseline'!$D$1:$O$258,9,FALSE))))</f>
        <v/>
      </c>
      <c r="L228" s="343" t="str">
        <f>IF(E228="","",IF(ISNA(VLOOKUP($E228,'A-1 Site Habitat Baseline'!$D$1:$O$258,11,FALSE)),"",(VLOOKUP($E228,'A-1 Site Habitat Baseline'!$D$1:$O$258,11,FALSE))))</f>
        <v/>
      </c>
      <c r="M228" s="343" t="str">
        <f>IF(E228="","",IF(ISNA(VLOOKUP($E228,'A-1 Site Habitat Baseline'!$D$1:$O$258,12,FALSE)),"",(VLOOKUP($E228,'A-1 Site Habitat Baseline'!$D$1:$O$258,12,FALSE))))</f>
        <v/>
      </c>
      <c r="N228" s="344" t="str">
        <f>IF(E228="","",IF(ISNA(VLOOKUP($E228,'A-1 Site Habitat Baseline'!$D$1:$X$258,14,FALSE)),"",(VLOOKUP($E228,'A-1 Site Habitat Baseline'!$D$1:$X$258,14,FALSE))))</f>
        <v/>
      </c>
      <c r="O228" s="345" t="str">
        <f>IF(E228="","",IF(ISNA(VLOOKUP($E228,'A-1 Site Habitat Baseline'!$D$1:$X$258,16,FALSE)),"",(VLOOKUP($E228,'A-1 Site Habitat Baseline'!$D$1:$X$258,13,FALSE))))</f>
        <v/>
      </c>
      <c r="P228" s="346" t="str">
        <f>IFERROR(INDEX('G-1 All Habitats'!$AG$3:$AG$15,MATCH(Q228,'G-1 All Habitats'!$AF$3:$AF$15,0)),"")</f>
        <v/>
      </c>
      <c r="Q228" s="347"/>
      <c r="R228" s="347"/>
      <c r="S228" s="605" t="str">
        <f>IFERROR(INDEX('G-1 All Habitats'!$B$3:$B$130,MATCH(R228,'G-1 All Habitats'!$A$3:$A$130,0)),"")</f>
        <v/>
      </c>
      <c r="T228" s="77" t="str">
        <f t="shared" si="36"/>
        <v/>
      </c>
      <c r="U228" s="78" t="str">
        <f t="shared" si="31"/>
        <v/>
      </c>
      <c r="V228" s="350" t="str">
        <f t="shared" si="28"/>
        <v/>
      </c>
      <c r="W228" s="343" t="str">
        <f>IF(S228="","",VLOOKUP(S228,'G-1 All Habitats'!$B$2:$M$130,10,FALSE))</f>
        <v/>
      </c>
      <c r="X228" s="343" t="str">
        <f>IFERROR(VLOOKUP(W228,'G-1 All Habitats'!$V$3:$W$7,2,FALSE),"")</f>
        <v/>
      </c>
      <c r="Y228" s="91"/>
      <c r="Z228" s="345" t="str">
        <f>IFERROR(INDEX('G-8 Condition Look up'!$A$3:$H$131,MATCH(S228,'G-8 Condition Look up'!$A$3:$A$131,0),MATCH(Y228,'G-8 Condition Look up'!$A$3:$H$3,0)),"")</f>
        <v/>
      </c>
      <c r="AA228" s="79"/>
      <c r="AB228" s="343" t="str">
        <f>IF(AA228="","",IF(VLOOKUP(AA228,'G-3 Multipliers'!$L$3:$N$6,2,FALSE)=0,"Spatial Data Missing",VLOOKUP(AA228,'G-3 Multipliers'!$L$3:$N$6,2,FALSE)))</f>
        <v/>
      </c>
      <c r="AC228" s="345" t="str">
        <f>IF(AA228="","",IF(VLOOKUP(AA228,'G-3 Multipliers'!$L$3:$N$6,3,FALSE)=0,"Spatial Data Missing",VLOOKUP(AA228,'G-3 Multipliers'!$L$3:$N$6,3,FALSE)))</f>
        <v/>
      </c>
      <c r="AD228" s="351" t="str">
        <f t="shared" si="29"/>
        <v/>
      </c>
      <c r="AE228" s="94"/>
      <c r="AF228" s="94"/>
      <c r="AG228" s="343" t="str">
        <f t="shared" si="32"/>
        <v/>
      </c>
      <c r="AH228" s="591" t="str">
        <f t="shared" si="33"/>
        <v/>
      </c>
      <c r="AI228" s="353" t="str">
        <f>IF(AH228="Check Data","Check Data",IFERROR(VLOOKUP(AH228,'G-4 Temporal multipliers'!$A$4:$C$36,3,FALSE),""))</f>
        <v/>
      </c>
      <c r="AJ228" s="77" t="str">
        <f>IF(S228="","",VLOOKUP(S228,'G-3 Multipliers'!$A$2:$E$130,4,FALSE))</f>
        <v/>
      </c>
      <c r="AK228" s="348" t="str">
        <f t="shared" si="34"/>
        <v/>
      </c>
      <c r="AL228" s="348" t="str">
        <f t="shared" si="35"/>
        <v/>
      </c>
      <c r="AM228" s="607" t="str">
        <f>IFERROR(IF(F228="","",IF(AH228="Check Data","Check Data",VLOOKUP(AL228, 'G-3 Multipliers'!$P$2:$Q$6,2,FALSE))),””)</f>
        <v/>
      </c>
      <c r="AN228" s="81" t="str">
        <f t="shared" si="30"/>
        <v/>
      </c>
      <c r="AO228" s="355"/>
      <c r="AP228" s="356"/>
    </row>
    <row r="229" spans="1:42" x14ac:dyDescent="0.25">
      <c r="A229" s="52" t="str">
        <f>IF(E229="","",IF(ISNA(VLOOKUP($E229,'A-1 Site Habitat Baseline'!$D$1:$O$258,2,FALSE)),"",(VLOOKUP($E229,'A-1 Site Habitat Baseline'!$D$1:$O$258,2,FALSE))))</f>
        <v/>
      </c>
      <c r="B229" s="52" t="str">
        <f>IF(E229="","",IF(ISNA(VLOOKUP($E229,'A-1 Site Habitat Baseline'!$D$1:$O$258,3,FALSE)),"",(VLOOKUP($E229,'A-1 Site Habitat Baseline'!$D$1:$O$258,3,FALSE))))</f>
        <v/>
      </c>
      <c r="C229" s="52" t="str">
        <f>IFERROR(INDEX('G-8 Condition Look up'!$I$4:$I$131,MATCH(S229,'G-8 Condition Look up'!$A$4:$A$131,0)),"")</f>
        <v/>
      </c>
      <c r="E229" s="342" t="str">
        <f>'A-1 Site Habitat Baseline'!AL228</f>
        <v/>
      </c>
      <c r="F229" s="343" t="str">
        <f>IF(E229="","",IF(ISNA(VLOOKUP($E229,'A-1 Site Habitat Baseline'!$D$1:$O$258,4,FALSE)),"",(VLOOKUP($E229,'A-1 Site Habitat Baseline'!$D$1:$O$258,4,FALSE))))</f>
        <v/>
      </c>
      <c r="G229" s="343" t="str">
        <f>IF(E229="","",IF(ISNA(VLOOKUP($E229,'A-1 Site Habitat Baseline'!$D$1:$O$258,5,FALSE)),"",(VLOOKUP($E229,'A-1 Site Habitat Baseline'!$D$1:$O$258,5,FALSE))))</f>
        <v/>
      </c>
      <c r="H229" s="343" t="str">
        <f>IF(E229="","",IF(ISNA(VLOOKUP($E229,'A-1 Site Habitat Baseline'!$D$1:$O$258,6,FALSE)),"",(VLOOKUP($E229,'A-1 Site Habitat Baseline'!$D$1:$O$258,6,FALSE))))</f>
        <v/>
      </c>
      <c r="I229" s="343" t="str">
        <f>IF(E229="","",IF(ISNA(VLOOKUP($E229,'A-1 Site Habitat Baseline'!$D$1:$O$258,7,FALSE)),"",(VLOOKUP($E229,'A-1 Site Habitat Baseline'!$D$1:$O$258,7,FALSE))))</f>
        <v/>
      </c>
      <c r="J229" s="343" t="str">
        <f>IF(E229="","",IF(ISNA(VLOOKUP($E229,'A-1 Site Habitat Baseline'!$D$1:$O$258,8,FALSE)),"",(VLOOKUP($E229,'A-1 Site Habitat Baseline'!$D$1:$O$258,8,FALSE))))</f>
        <v/>
      </c>
      <c r="K229" s="343" t="str">
        <f>IF(E229="","",IF(ISNA(VLOOKUP($E229,'A-1 Site Habitat Baseline'!$D$1:$O$258,9,FALSE)),"",(VLOOKUP($E229,'A-1 Site Habitat Baseline'!$D$1:$O$258,9,FALSE))))</f>
        <v/>
      </c>
      <c r="L229" s="343" t="str">
        <f>IF(E229="","",IF(ISNA(VLOOKUP($E229,'A-1 Site Habitat Baseline'!$D$1:$O$258,11,FALSE)),"",(VLOOKUP($E229,'A-1 Site Habitat Baseline'!$D$1:$O$258,11,FALSE))))</f>
        <v/>
      </c>
      <c r="M229" s="343" t="str">
        <f>IF(E229="","",IF(ISNA(VLOOKUP($E229,'A-1 Site Habitat Baseline'!$D$1:$O$258,12,FALSE)),"",(VLOOKUP($E229,'A-1 Site Habitat Baseline'!$D$1:$O$258,12,FALSE))))</f>
        <v/>
      </c>
      <c r="N229" s="344" t="str">
        <f>IF(E229="","",IF(ISNA(VLOOKUP($E229,'A-1 Site Habitat Baseline'!$D$1:$X$258,14,FALSE)),"",(VLOOKUP($E229,'A-1 Site Habitat Baseline'!$D$1:$X$258,14,FALSE))))</f>
        <v/>
      </c>
      <c r="O229" s="345" t="str">
        <f>IF(E229="","",IF(ISNA(VLOOKUP($E229,'A-1 Site Habitat Baseline'!$D$1:$X$258,16,FALSE)),"",(VLOOKUP($E229,'A-1 Site Habitat Baseline'!$D$1:$X$258,13,FALSE))))</f>
        <v/>
      </c>
      <c r="P229" s="346" t="str">
        <f>IFERROR(INDEX('G-1 All Habitats'!$AG$3:$AG$15,MATCH(Q229,'G-1 All Habitats'!$AF$3:$AF$15,0)),"")</f>
        <v/>
      </c>
      <c r="Q229" s="347"/>
      <c r="R229" s="347"/>
      <c r="S229" s="605" t="str">
        <f>IFERROR(INDEX('G-1 All Habitats'!$B$3:$B$130,MATCH(R229,'G-1 All Habitats'!$A$3:$A$130,0)),"")</f>
        <v/>
      </c>
      <c r="T229" s="77" t="str">
        <f t="shared" si="36"/>
        <v/>
      </c>
      <c r="U229" s="78" t="str">
        <f t="shared" si="31"/>
        <v/>
      </c>
      <c r="V229" s="350" t="str">
        <f t="shared" si="28"/>
        <v/>
      </c>
      <c r="W229" s="343" t="str">
        <f>IF(S229="","",VLOOKUP(S229,'G-1 All Habitats'!$B$2:$M$130,10,FALSE))</f>
        <v/>
      </c>
      <c r="X229" s="343" t="str">
        <f>IFERROR(VLOOKUP(W229,'G-1 All Habitats'!$V$3:$W$7,2,FALSE),"")</f>
        <v/>
      </c>
      <c r="Y229" s="91"/>
      <c r="Z229" s="345" t="str">
        <f>IFERROR(INDEX('G-8 Condition Look up'!$A$3:$H$131,MATCH(S229,'G-8 Condition Look up'!$A$3:$A$131,0),MATCH(Y229,'G-8 Condition Look up'!$A$3:$H$3,0)),"")</f>
        <v/>
      </c>
      <c r="AA229" s="79"/>
      <c r="AB229" s="343" t="str">
        <f>IF(AA229="","",IF(VLOOKUP(AA229,'G-3 Multipliers'!$L$3:$N$6,2,FALSE)=0,"Spatial Data Missing",VLOOKUP(AA229,'G-3 Multipliers'!$L$3:$N$6,2,FALSE)))</f>
        <v/>
      </c>
      <c r="AC229" s="345" t="str">
        <f>IF(AA229="","",IF(VLOOKUP(AA229,'G-3 Multipliers'!$L$3:$N$6,3,FALSE)=0,"Spatial Data Missing",VLOOKUP(AA229,'G-3 Multipliers'!$L$3:$N$6,3,FALSE)))</f>
        <v/>
      </c>
      <c r="AD229" s="351" t="str">
        <f t="shared" si="29"/>
        <v/>
      </c>
      <c r="AE229" s="94"/>
      <c r="AF229" s="94"/>
      <c r="AG229" s="343" t="str">
        <f t="shared" si="32"/>
        <v/>
      </c>
      <c r="AH229" s="591" t="str">
        <f t="shared" si="33"/>
        <v/>
      </c>
      <c r="AI229" s="353" t="str">
        <f>IF(AH229="Check Data","Check Data",IFERROR(VLOOKUP(AH229,'G-4 Temporal multipliers'!$A$4:$C$36,3,FALSE),""))</f>
        <v/>
      </c>
      <c r="AJ229" s="77" t="str">
        <f>IF(S229="","",VLOOKUP(S229,'G-3 Multipliers'!$A$2:$E$130,4,FALSE))</f>
        <v/>
      </c>
      <c r="AK229" s="348" t="str">
        <f t="shared" si="34"/>
        <v/>
      </c>
      <c r="AL229" s="348" t="str">
        <f t="shared" si="35"/>
        <v/>
      </c>
      <c r="AM229" s="607" t="str">
        <f>IFERROR(IF(F229="","",IF(AH229="Check Data","Check Data",VLOOKUP(AL229, 'G-3 Multipliers'!$P$2:$Q$6,2,FALSE))),””)</f>
        <v/>
      </c>
      <c r="AN229" s="81" t="str">
        <f t="shared" si="30"/>
        <v/>
      </c>
      <c r="AO229" s="355"/>
      <c r="AP229" s="356"/>
    </row>
    <row r="230" spans="1:42" x14ac:dyDescent="0.25">
      <c r="A230" s="52" t="str">
        <f>IF(E230="","",IF(ISNA(VLOOKUP($E230,'A-1 Site Habitat Baseline'!$D$1:$O$258,2,FALSE)),"",(VLOOKUP($E230,'A-1 Site Habitat Baseline'!$D$1:$O$258,2,FALSE))))</f>
        <v/>
      </c>
      <c r="B230" s="52" t="str">
        <f>IF(E230="","",IF(ISNA(VLOOKUP($E230,'A-1 Site Habitat Baseline'!$D$1:$O$258,3,FALSE)),"",(VLOOKUP($E230,'A-1 Site Habitat Baseline'!$D$1:$O$258,3,FALSE))))</f>
        <v/>
      </c>
      <c r="C230" s="52" t="str">
        <f>IFERROR(INDEX('G-8 Condition Look up'!$I$4:$I$131,MATCH(S230,'G-8 Condition Look up'!$A$4:$A$131,0)),"")</f>
        <v/>
      </c>
      <c r="E230" s="342" t="str">
        <f>'A-1 Site Habitat Baseline'!AL229</f>
        <v/>
      </c>
      <c r="F230" s="343" t="str">
        <f>IF(E230="","",IF(ISNA(VLOOKUP($E230,'A-1 Site Habitat Baseline'!$D$1:$O$258,4,FALSE)),"",(VLOOKUP($E230,'A-1 Site Habitat Baseline'!$D$1:$O$258,4,FALSE))))</f>
        <v/>
      </c>
      <c r="G230" s="343" t="str">
        <f>IF(E230="","",IF(ISNA(VLOOKUP($E230,'A-1 Site Habitat Baseline'!$D$1:$O$258,5,FALSE)),"",(VLOOKUP($E230,'A-1 Site Habitat Baseline'!$D$1:$O$258,5,FALSE))))</f>
        <v/>
      </c>
      <c r="H230" s="343" t="str">
        <f>IF(E230="","",IF(ISNA(VLOOKUP($E230,'A-1 Site Habitat Baseline'!$D$1:$O$258,6,FALSE)),"",(VLOOKUP($E230,'A-1 Site Habitat Baseline'!$D$1:$O$258,6,FALSE))))</f>
        <v/>
      </c>
      <c r="I230" s="343" t="str">
        <f>IF(E230="","",IF(ISNA(VLOOKUP($E230,'A-1 Site Habitat Baseline'!$D$1:$O$258,7,FALSE)),"",(VLOOKUP($E230,'A-1 Site Habitat Baseline'!$D$1:$O$258,7,FALSE))))</f>
        <v/>
      </c>
      <c r="J230" s="343" t="str">
        <f>IF(E230="","",IF(ISNA(VLOOKUP($E230,'A-1 Site Habitat Baseline'!$D$1:$O$258,8,FALSE)),"",(VLOOKUP($E230,'A-1 Site Habitat Baseline'!$D$1:$O$258,8,FALSE))))</f>
        <v/>
      </c>
      <c r="K230" s="343" t="str">
        <f>IF(E230="","",IF(ISNA(VLOOKUP($E230,'A-1 Site Habitat Baseline'!$D$1:$O$258,9,FALSE)),"",(VLOOKUP($E230,'A-1 Site Habitat Baseline'!$D$1:$O$258,9,FALSE))))</f>
        <v/>
      </c>
      <c r="L230" s="343" t="str">
        <f>IF(E230="","",IF(ISNA(VLOOKUP($E230,'A-1 Site Habitat Baseline'!$D$1:$O$258,11,FALSE)),"",(VLOOKUP($E230,'A-1 Site Habitat Baseline'!$D$1:$O$258,11,FALSE))))</f>
        <v/>
      </c>
      <c r="M230" s="343" t="str">
        <f>IF(E230="","",IF(ISNA(VLOOKUP($E230,'A-1 Site Habitat Baseline'!$D$1:$O$258,12,FALSE)),"",(VLOOKUP($E230,'A-1 Site Habitat Baseline'!$D$1:$O$258,12,FALSE))))</f>
        <v/>
      </c>
      <c r="N230" s="344" t="str">
        <f>IF(E230="","",IF(ISNA(VLOOKUP($E230,'A-1 Site Habitat Baseline'!$D$1:$X$258,14,FALSE)),"",(VLOOKUP($E230,'A-1 Site Habitat Baseline'!$D$1:$X$258,14,FALSE))))</f>
        <v/>
      </c>
      <c r="O230" s="345" t="str">
        <f>IF(E230="","",IF(ISNA(VLOOKUP($E230,'A-1 Site Habitat Baseline'!$D$1:$X$258,16,FALSE)),"",(VLOOKUP($E230,'A-1 Site Habitat Baseline'!$D$1:$X$258,13,FALSE))))</f>
        <v/>
      </c>
      <c r="P230" s="346" t="str">
        <f>IFERROR(INDEX('G-1 All Habitats'!$AG$3:$AG$15,MATCH(Q230,'G-1 All Habitats'!$AF$3:$AF$15,0)),"")</f>
        <v/>
      </c>
      <c r="Q230" s="347"/>
      <c r="R230" s="347"/>
      <c r="S230" s="605" t="str">
        <f>IFERROR(INDEX('G-1 All Habitats'!$B$3:$B$130,MATCH(R230,'G-1 All Habitats'!$A$3:$A$130,0)),"")</f>
        <v/>
      </c>
      <c r="T230" s="77" t="str">
        <f t="shared" si="36"/>
        <v/>
      </c>
      <c r="U230" s="78" t="str">
        <f t="shared" si="31"/>
        <v/>
      </c>
      <c r="V230" s="350" t="str">
        <f t="shared" si="28"/>
        <v/>
      </c>
      <c r="W230" s="343" t="str">
        <f>IF(S230="","",VLOOKUP(S230,'G-1 All Habitats'!$B$2:$M$130,10,FALSE))</f>
        <v/>
      </c>
      <c r="X230" s="343" t="str">
        <f>IFERROR(VLOOKUP(W230,'G-1 All Habitats'!$V$3:$W$7,2,FALSE),"")</f>
        <v/>
      </c>
      <c r="Y230" s="91"/>
      <c r="Z230" s="345" t="str">
        <f>IFERROR(INDEX('G-8 Condition Look up'!$A$3:$H$131,MATCH(S230,'G-8 Condition Look up'!$A$3:$A$131,0),MATCH(Y230,'G-8 Condition Look up'!$A$3:$H$3,0)),"")</f>
        <v/>
      </c>
      <c r="AA230" s="79"/>
      <c r="AB230" s="343" t="str">
        <f>IF(AA230="","",IF(VLOOKUP(AA230,'G-3 Multipliers'!$L$3:$N$6,2,FALSE)=0,"Spatial Data Missing",VLOOKUP(AA230,'G-3 Multipliers'!$L$3:$N$6,2,FALSE)))</f>
        <v/>
      </c>
      <c r="AC230" s="345" t="str">
        <f>IF(AA230="","",IF(VLOOKUP(AA230,'G-3 Multipliers'!$L$3:$N$6,3,FALSE)=0,"Spatial Data Missing",VLOOKUP(AA230,'G-3 Multipliers'!$L$3:$N$6,3,FALSE)))</f>
        <v/>
      </c>
      <c r="AD230" s="351" t="str">
        <f t="shared" si="29"/>
        <v/>
      </c>
      <c r="AE230" s="94"/>
      <c r="AF230" s="94"/>
      <c r="AG230" s="343" t="str">
        <f t="shared" si="32"/>
        <v/>
      </c>
      <c r="AH230" s="591" t="str">
        <f t="shared" si="33"/>
        <v/>
      </c>
      <c r="AI230" s="353" t="str">
        <f>IF(AH230="Check Data","Check Data",IFERROR(VLOOKUP(AH230,'G-4 Temporal multipliers'!$A$4:$C$36,3,FALSE),""))</f>
        <v/>
      </c>
      <c r="AJ230" s="77" t="str">
        <f>IF(S230="","",VLOOKUP(S230,'G-3 Multipliers'!$A$2:$E$130,4,FALSE))</f>
        <v/>
      </c>
      <c r="AK230" s="348" t="str">
        <f t="shared" si="34"/>
        <v/>
      </c>
      <c r="AL230" s="348" t="str">
        <f t="shared" si="35"/>
        <v/>
      </c>
      <c r="AM230" s="607" t="str">
        <f>IFERROR(IF(F230="","",IF(AH230="Check Data","Check Data",VLOOKUP(AL230, 'G-3 Multipliers'!$P$2:$Q$6,2,FALSE))),””)</f>
        <v/>
      </c>
      <c r="AN230" s="81" t="str">
        <f t="shared" si="30"/>
        <v/>
      </c>
      <c r="AO230" s="355"/>
      <c r="AP230" s="356"/>
    </row>
    <row r="231" spans="1:42" x14ac:dyDescent="0.25">
      <c r="A231" s="52" t="str">
        <f>IF(E231="","",IF(ISNA(VLOOKUP($E231,'A-1 Site Habitat Baseline'!$D$1:$O$258,2,FALSE)),"",(VLOOKUP($E231,'A-1 Site Habitat Baseline'!$D$1:$O$258,2,FALSE))))</f>
        <v/>
      </c>
      <c r="B231" s="52" t="str">
        <f>IF(E231="","",IF(ISNA(VLOOKUP($E231,'A-1 Site Habitat Baseline'!$D$1:$O$258,3,FALSE)),"",(VLOOKUP($E231,'A-1 Site Habitat Baseline'!$D$1:$O$258,3,FALSE))))</f>
        <v/>
      </c>
      <c r="C231" s="52" t="str">
        <f>IFERROR(INDEX('G-8 Condition Look up'!$I$4:$I$131,MATCH(S231,'G-8 Condition Look up'!$A$4:$A$131,0)),"")</f>
        <v/>
      </c>
      <c r="E231" s="342" t="str">
        <f>'A-1 Site Habitat Baseline'!AL230</f>
        <v/>
      </c>
      <c r="F231" s="343" t="str">
        <f>IF(E231="","",IF(ISNA(VLOOKUP($E231,'A-1 Site Habitat Baseline'!$D$1:$O$258,4,FALSE)),"",(VLOOKUP($E231,'A-1 Site Habitat Baseline'!$D$1:$O$258,4,FALSE))))</f>
        <v/>
      </c>
      <c r="G231" s="343" t="str">
        <f>IF(E231="","",IF(ISNA(VLOOKUP($E231,'A-1 Site Habitat Baseline'!$D$1:$O$258,5,FALSE)),"",(VLOOKUP($E231,'A-1 Site Habitat Baseline'!$D$1:$O$258,5,FALSE))))</f>
        <v/>
      </c>
      <c r="H231" s="343" t="str">
        <f>IF(E231="","",IF(ISNA(VLOOKUP($E231,'A-1 Site Habitat Baseline'!$D$1:$O$258,6,FALSE)),"",(VLOOKUP($E231,'A-1 Site Habitat Baseline'!$D$1:$O$258,6,FALSE))))</f>
        <v/>
      </c>
      <c r="I231" s="343" t="str">
        <f>IF(E231="","",IF(ISNA(VLOOKUP($E231,'A-1 Site Habitat Baseline'!$D$1:$O$258,7,FALSE)),"",(VLOOKUP($E231,'A-1 Site Habitat Baseline'!$D$1:$O$258,7,FALSE))))</f>
        <v/>
      </c>
      <c r="J231" s="343" t="str">
        <f>IF(E231="","",IF(ISNA(VLOOKUP($E231,'A-1 Site Habitat Baseline'!$D$1:$O$258,8,FALSE)),"",(VLOOKUP($E231,'A-1 Site Habitat Baseline'!$D$1:$O$258,8,FALSE))))</f>
        <v/>
      </c>
      <c r="K231" s="343" t="str">
        <f>IF(E231="","",IF(ISNA(VLOOKUP($E231,'A-1 Site Habitat Baseline'!$D$1:$O$258,9,FALSE)),"",(VLOOKUP($E231,'A-1 Site Habitat Baseline'!$D$1:$O$258,9,FALSE))))</f>
        <v/>
      </c>
      <c r="L231" s="343" t="str">
        <f>IF(E231="","",IF(ISNA(VLOOKUP($E231,'A-1 Site Habitat Baseline'!$D$1:$O$258,11,FALSE)),"",(VLOOKUP($E231,'A-1 Site Habitat Baseline'!$D$1:$O$258,11,FALSE))))</f>
        <v/>
      </c>
      <c r="M231" s="343" t="str">
        <f>IF(E231="","",IF(ISNA(VLOOKUP($E231,'A-1 Site Habitat Baseline'!$D$1:$O$258,12,FALSE)),"",(VLOOKUP($E231,'A-1 Site Habitat Baseline'!$D$1:$O$258,12,FALSE))))</f>
        <v/>
      </c>
      <c r="N231" s="344" t="str">
        <f>IF(E231="","",IF(ISNA(VLOOKUP($E231,'A-1 Site Habitat Baseline'!$D$1:$X$258,14,FALSE)),"",(VLOOKUP($E231,'A-1 Site Habitat Baseline'!$D$1:$X$258,14,FALSE))))</f>
        <v/>
      </c>
      <c r="O231" s="345" t="str">
        <f>IF(E231="","",IF(ISNA(VLOOKUP($E231,'A-1 Site Habitat Baseline'!$D$1:$X$258,16,FALSE)),"",(VLOOKUP($E231,'A-1 Site Habitat Baseline'!$D$1:$X$258,13,FALSE))))</f>
        <v/>
      </c>
      <c r="P231" s="346" t="str">
        <f>IFERROR(INDEX('G-1 All Habitats'!$AG$3:$AG$15,MATCH(Q231,'G-1 All Habitats'!$AF$3:$AF$15,0)),"")</f>
        <v/>
      </c>
      <c r="Q231" s="347"/>
      <c r="R231" s="347"/>
      <c r="S231" s="605" t="str">
        <f>IFERROR(INDEX('G-1 All Habitats'!$B$3:$B$130,MATCH(R231,'G-1 All Habitats'!$A$3:$A$130,0)),"")</f>
        <v/>
      </c>
      <c r="T231" s="77" t="str">
        <f t="shared" si="36"/>
        <v/>
      </c>
      <c r="U231" s="78" t="str">
        <f t="shared" si="31"/>
        <v/>
      </c>
      <c r="V231" s="350" t="str">
        <f t="shared" si="28"/>
        <v/>
      </c>
      <c r="W231" s="343" t="str">
        <f>IF(S231="","",VLOOKUP(S231,'G-1 All Habitats'!$B$2:$M$130,10,FALSE))</f>
        <v/>
      </c>
      <c r="X231" s="343" t="str">
        <f>IFERROR(VLOOKUP(W231,'G-1 All Habitats'!$V$3:$W$7,2,FALSE),"")</f>
        <v/>
      </c>
      <c r="Y231" s="91"/>
      <c r="Z231" s="345" t="str">
        <f>IFERROR(INDEX('G-8 Condition Look up'!$A$3:$H$131,MATCH(S231,'G-8 Condition Look up'!$A$3:$A$131,0),MATCH(Y231,'G-8 Condition Look up'!$A$3:$H$3,0)),"")</f>
        <v/>
      </c>
      <c r="AA231" s="79"/>
      <c r="AB231" s="343" t="str">
        <f>IF(AA231="","",IF(VLOOKUP(AA231,'G-3 Multipliers'!$L$3:$N$6,2,FALSE)=0,"Spatial Data Missing",VLOOKUP(AA231,'G-3 Multipliers'!$L$3:$N$6,2,FALSE)))</f>
        <v/>
      </c>
      <c r="AC231" s="345" t="str">
        <f>IF(AA231="","",IF(VLOOKUP(AA231,'G-3 Multipliers'!$L$3:$N$6,3,FALSE)=0,"Spatial Data Missing",VLOOKUP(AA231,'G-3 Multipliers'!$L$3:$N$6,3,FALSE)))</f>
        <v/>
      </c>
      <c r="AD231" s="351" t="str">
        <f t="shared" si="29"/>
        <v/>
      </c>
      <c r="AE231" s="94"/>
      <c r="AF231" s="94"/>
      <c r="AG231" s="343" t="str">
        <f t="shared" si="32"/>
        <v/>
      </c>
      <c r="AH231" s="591" t="str">
        <f t="shared" si="33"/>
        <v/>
      </c>
      <c r="AI231" s="353" t="str">
        <f>IF(AH231="Check Data","Check Data",IFERROR(VLOOKUP(AH231,'G-4 Temporal multipliers'!$A$4:$C$36,3,FALSE),""))</f>
        <v/>
      </c>
      <c r="AJ231" s="77" t="str">
        <f>IF(S231="","",VLOOKUP(S231,'G-3 Multipliers'!$A$2:$E$130,4,FALSE))</f>
        <v/>
      </c>
      <c r="AK231" s="348" t="str">
        <f t="shared" si="34"/>
        <v/>
      </c>
      <c r="AL231" s="348" t="str">
        <f t="shared" si="35"/>
        <v/>
      </c>
      <c r="AM231" s="607" t="str">
        <f>IFERROR(IF(F231="","",IF(AH231="Check Data","Check Data",VLOOKUP(AL231, 'G-3 Multipliers'!$P$2:$Q$6,2,FALSE))),””)</f>
        <v/>
      </c>
      <c r="AN231" s="81" t="str">
        <f t="shared" si="30"/>
        <v/>
      </c>
      <c r="AO231" s="355"/>
      <c r="AP231" s="356"/>
    </row>
    <row r="232" spans="1:42" x14ac:dyDescent="0.25">
      <c r="A232" s="52" t="str">
        <f>IF(E232="","",IF(ISNA(VLOOKUP($E232,'A-1 Site Habitat Baseline'!$D$1:$O$258,2,FALSE)),"",(VLOOKUP($E232,'A-1 Site Habitat Baseline'!$D$1:$O$258,2,FALSE))))</f>
        <v/>
      </c>
      <c r="B232" s="52" t="str">
        <f>IF(E232="","",IF(ISNA(VLOOKUP($E232,'A-1 Site Habitat Baseline'!$D$1:$O$258,3,FALSE)),"",(VLOOKUP($E232,'A-1 Site Habitat Baseline'!$D$1:$O$258,3,FALSE))))</f>
        <v/>
      </c>
      <c r="C232" s="52" t="str">
        <f>IFERROR(INDEX('G-8 Condition Look up'!$I$4:$I$131,MATCH(S232,'G-8 Condition Look up'!$A$4:$A$131,0)),"")</f>
        <v/>
      </c>
      <c r="E232" s="342" t="str">
        <f>'A-1 Site Habitat Baseline'!AL231</f>
        <v/>
      </c>
      <c r="F232" s="343" t="str">
        <f>IF(E232="","",IF(ISNA(VLOOKUP($E232,'A-1 Site Habitat Baseline'!$D$1:$O$258,4,FALSE)),"",(VLOOKUP($E232,'A-1 Site Habitat Baseline'!$D$1:$O$258,4,FALSE))))</f>
        <v/>
      </c>
      <c r="G232" s="343" t="str">
        <f>IF(E232="","",IF(ISNA(VLOOKUP($E232,'A-1 Site Habitat Baseline'!$D$1:$O$258,5,FALSE)),"",(VLOOKUP($E232,'A-1 Site Habitat Baseline'!$D$1:$O$258,5,FALSE))))</f>
        <v/>
      </c>
      <c r="H232" s="343" t="str">
        <f>IF(E232="","",IF(ISNA(VLOOKUP($E232,'A-1 Site Habitat Baseline'!$D$1:$O$258,6,FALSE)),"",(VLOOKUP($E232,'A-1 Site Habitat Baseline'!$D$1:$O$258,6,FALSE))))</f>
        <v/>
      </c>
      <c r="I232" s="343" t="str">
        <f>IF(E232="","",IF(ISNA(VLOOKUP($E232,'A-1 Site Habitat Baseline'!$D$1:$O$258,7,FALSE)),"",(VLOOKUP($E232,'A-1 Site Habitat Baseline'!$D$1:$O$258,7,FALSE))))</f>
        <v/>
      </c>
      <c r="J232" s="343" t="str">
        <f>IF(E232="","",IF(ISNA(VLOOKUP($E232,'A-1 Site Habitat Baseline'!$D$1:$O$258,8,FALSE)),"",(VLOOKUP($E232,'A-1 Site Habitat Baseline'!$D$1:$O$258,8,FALSE))))</f>
        <v/>
      </c>
      <c r="K232" s="343" t="str">
        <f>IF(E232="","",IF(ISNA(VLOOKUP($E232,'A-1 Site Habitat Baseline'!$D$1:$O$258,9,FALSE)),"",(VLOOKUP($E232,'A-1 Site Habitat Baseline'!$D$1:$O$258,9,FALSE))))</f>
        <v/>
      </c>
      <c r="L232" s="343" t="str">
        <f>IF(E232="","",IF(ISNA(VLOOKUP($E232,'A-1 Site Habitat Baseline'!$D$1:$O$258,11,FALSE)),"",(VLOOKUP($E232,'A-1 Site Habitat Baseline'!$D$1:$O$258,11,FALSE))))</f>
        <v/>
      </c>
      <c r="M232" s="343" t="str">
        <f>IF(E232="","",IF(ISNA(VLOOKUP($E232,'A-1 Site Habitat Baseline'!$D$1:$O$258,12,FALSE)),"",(VLOOKUP($E232,'A-1 Site Habitat Baseline'!$D$1:$O$258,12,FALSE))))</f>
        <v/>
      </c>
      <c r="N232" s="344" t="str">
        <f>IF(E232="","",IF(ISNA(VLOOKUP($E232,'A-1 Site Habitat Baseline'!$D$1:$X$258,14,FALSE)),"",(VLOOKUP($E232,'A-1 Site Habitat Baseline'!$D$1:$X$258,14,FALSE))))</f>
        <v/>
      </c>
      <c r="O232" s="345" t="str">
        <f>IF(E232="","",IF(ISNA(VLOOKUP($E232,'A-1 Site Habitat Baseline'!$D$1:$X$258,16,FALSE)),"",(VLOOKUP($E232,'A-1 Site Habitat Baseline'!$D$1:$X$258,13,FALSE))))</f>
        <v/>
      </c>
      <c r="P232" s="346" t="str">
        <f>IFERROR(INDEX('G-1 All Habitats'!$AG$3:$AG$15,MATCH(Q232,'G-1 All Habitats'!$AF$3:$AF$15,0)),"")</f>
        <v/>
      </c>
      <c r="Q232" s="347"/>
      <c r="R232" s="347"/>
      <c r="S232" s="605" t="str">
        <f>IFERROR(INDEX('G-1 All Habitats'!$B$3:$B$130,MATCH(R232,'G-1 All Habitats'!$A$3:$A$130,0)),"")</f>
        <v/>
      </c>
      <c r="T232" s="77" t="str">
        <f t="shared" si="36"/>
        <v/>
      </c>
      <c r="U232" s="78" t="str">
        <f t="shared" si="31"/>
        <v/>
      </c>
      <c r="V232" s="350" t="str">
        <f t="shared" si="28"/>
        <v/>
      </c>
      <c r="W232" s="343" t="str">
        <f>IF(S232="","",VLOOKUP(S232,'G-1 All Habitats'!$B$2:$M$130,10,FALSE))</f>
        <v/>
      </c>
      <c r="X232" s="343" t="str">
        <f>IFERROR(VLOOKUP(W232,'G-1 All Habitats'!$V$3:$W$7,2,FALSE),"")</f>
        <v/>
      </c>
      <c r="Y232" s="91"/>
      <c r="Z232" s="345" t="str">
        <f>IFERROR(INDEX('G-8 Condition Look up'!$A$3:$H$131,MATCH(S232,'G-8 Condition Look up'!$A$3:$A$131,0),MATCH(Y232,'G-8 Condition Look up'!$A$3:$H$3,0)),"")</f>
        <v/>
      </c>
      <c r="AA232" s="79"/>
      <c r="AB232" s="343" t="str">
        <f>IF(AA232="","",IF(VLOOKUP(AA232,'G-3 Multipliers'!$L$3:$N$6,2,FALSE)=0,"Spatial Data Missing",VLOOKUP(AA232,'G-3 Multipliers'!$L$3:$N$6,2,FALSE)))</f>
        <v/>
      </c>
      <c r="AC232" s="345" t="str">
        <f>IF(AA232="","",IF(VLOOKUP(AA232,'G-3 Multipliers'!$L$3:$N$6,3,FALSE)=0,"Spatial Data Missing",VLOOKUP(AA232,'G-3 Multipliers'!$L$3:$N$6,3,FALSE)))</f>
        <v/>
      </c>
      <c r="AD232" s="351" t="str">
        <f t="shared" si="29"/>
        <v/>
      </c>
      <c r="AE232" s="94"/>
      <c r="AF232" s="94"/>
      <c r="AG232" s="343" t="str">
        <f t="shared" si="32"/>
        <v/>
      </c>
      <c r="AH232" s="591" t="str">
        <f t="shared" si="33"/>
        <v/>
      </c>
      <c r="AI232" s="353" t="str">
        <f>IF(AH232="Check Data","Check Data",IFERROR(VLOOKUP(AH232,'G-4 Temporal multipliers'!$A$4:$C$36,3,FALSE),""))</f>
        <v/>
      </c>
      <c r="AJ232" s="77" t="str">
        <f>IF(S232="","",VLOOKUP(S232,'G-3 Multipliers'!$A$2:$E$130,4,FALSE))</f>
        <v/>
      </c>
      <c r="AK232" s="348" t="str">
        <f t="shared" si="34"/>
        <v/>
      </c>
      <c r="AL232" s="348" t="str">
        <f t="shared" si="35"/>
        <v/>
      </c>
      <c r="AM232" s="607" t="str">
        <f>IFERROR(IF(F232="","",IF(AH232="Check Data","Check Data",VLOOKUP(AL232, 'G-3 Multipliers'!$P$2:$Q$6,2,FALSE))),””)</f>
        <v/>
      </c>
      <c r="AN232" s="81" t="str">
        <f t="shared" si="30"/>
        <v/>
      </c>
      <c r="AO232" s="355"/>
      <c r="AP232" s="356"/>
    </row>
    <row r="233" spans="1:42" x14ac:dyDescent="0.25">
      <c r="A233" s="52" t="str">
        <f>IF(E233="","",IF(ISNA(VLOOKUP($E233,'A-1 Site Habitat Baseline'!$D$1:$O$258,2,FALSE)),"",(VLOOKUP($E233,'A-1 Site Habitat Baseline'!$D$1:$O$258,2,FALSE))))</f>
        <v/>
      </c>
      <c r="B233" s="52" t="str">
        <f>IF(E233="","",IF(ISNA(VLOOKUP($E233,'A-1 Site Habitat Baseline'!$D$1:$O$258,3,FALSE)),"",(VLOOKUP($E233,'A-1 Site Habitat Baseline'!$D$1:$O$258,3,FALSE))))</f>
        <v/>
      </c>
      <c r="C233" s="52" t="str">
        <f>IFERROR(INDEX('G-8 Condition Look up'!$I$4:$I$131,MATCH(S233,'G-8 Condition Look up'!$A$4:$A$131,0)),"")</f>
        <v/>
      </c>
      <c r="E233" s="342" t="str">
        <f>'A-1 Site Habitat Baseline'!AL232</f>
        <v/>
      </c>
      <c r="F233" s="343" t="str">
        <f>IF(E233="","",IF(ISNA(VLOOKUP($E233,'A-1 Site Habitat Baseline'!$D$1:$O$258,4,FALSE)),"",(VLOOKUP($E233,'A-1 Site Habitat Baseline'!$D$1:$O$258,4,FALSE))))</f>
        <v/>
      </c>
      <c r="G233" s="343" t="str">
        <f>IF(E233="","",IF(ISNA(VLOOKUP($E233,'A-1 Site Habitat Baseline'!$D$1:$O$258,5,FALSE)),"",(VLOOKUP($E233,'A-1 Site Habitat Baseline'!$D$1:$O$258,5,FALSE))))</f>
        <v/>
      </c>
      <c r="H233" s="343" t="str">
        <f>IF(E233="","",IF(ISNA(VLOOKUP($E233,'A-1 Site Habitat Baseline'!$D$1:$O$258,6,FALSE)),"",(VLOOKUP($E233,'A-1 Site Habitat Baseline'!$D$1:$O$258,6,FALSE))))</f>
        <v/>
      </c>
      <c r="I233" s="343" t="str">
        <f>IF(E233="","",IF(ISNA(VLOOKUP($E233,'A-1 Site Habitat Baseline'!$D$1:$O$258,7,FALSE)),"",(VLOOKUP($E233,'A-1 Site Habitat Baseline'!$D$1:$O$258,7,FALSE))))</f>
        <v/>
      </c>
      <c r="J233" s="343" t="str">
        <f>IF(E233="","",IF(ISNA(VLOOKUP($E233,'A-1 Site Habitat Baseline'!$D$1:$O$258,8,FALSE)),"",(VLOOKUP($E233,'A-1 Site Habitat Baseline'!$D$1:$O$258,8,FALSE))))</f>
        <v/>
      </c>
      <c r="K233" s="343" t="str">
        <f>IF(E233="","",IF(ISNA(VLOOKUP($E233,'A-1 Site Habitat Baseline'!$D$1:$O$258,9,FALSE)),"",(VLOOKUP($E233,'A-1 Site Habitat Baseline'!$D$1:$O$258,9,FALSE))))</f>
        <v/>
      </c>
      <c r="L233" s="343" t="str">
        <f>IF(E233="","",IF(ISNA(VLOOKUP($E233,'A-1 Site Habitat Baseline'!$D$1:$O$258,11,FALSE)),"",(VLOOKUP($E233,'A-1 Site Habitat Baseline'!$D$1:$O$258,11,FALSE))))</f>
        <v/>
      </c>
      <c r="M233" s="343" t="str">
        <f>IF(E233="","",IF(ISNA(VLOOKUP($E233,'A-1 Site Habitat Baseline'!$D$1:$O$258,12,FALSE)),"",(VLOOKUP($E233,'A-1 Site Habitat Baseline'!$D$1:$O$258,12,FALSE))))</f>
        <v/>
      </c>
      <c r="N233" s="344" t="str">
        <f>IF(E233="","",IF(ISNA(VLOOKUP($E233,'A-1 Site Habitat Baseline'!$D$1:$X$258,14,FALSE)),"",(VLOOKUP($E233,'A-1 Site Habitat Baseline'!$D$1:$X$258,14,FALSE))))</f>
        <v/>
      </c>
      <c r="O233" s="345" t="str">
        <f>IF(E233="","",IF(ISNA(VLOOKUP($E233,'A-1 Site Habitat Baseline'!$D$1:$X$258,16,FALSE)),"",(VLOOKUP($E233,'A-1 Site Habitat Baseline'!$D$1:$X$258,13,FALSE))))</f>
        <v/>
      </c>
      <c r="P233" s="346" t="str">
        <f>IFERROR(INDEX('G-1 All Habitats'!$AG$3:$AG$15,MATCH(Q233,'G-1 All Habitats'!$AF$3:$AF$15,0)),"")</f>
        <v/>
      </c>
      <c r="Q233" s="347"/>
      <c r="R233" s="347"/>
      <c r="S233" s="605" t="str">
        <f>IFERROR(INDEX('G-1 All Habitats'!$B$3:$B$130,MATCH(R233,'G-1 All Habitats'!$A$3:$A$130,0)),"")</f>
        <v/>
      </c>
      <c r="T233" s="77" t="str">
        <f t="shared" si="36"/>
        <v/>
      </c>
      <c r="U233" s="78" t="str">
        <f t="shared" si="31"/>
        <v/>
      </c>
      <c r="V233" s="350" t="str">
        <f t="shared" si="28"/>
        <v/>
      </c>
      <c r="W233" s="343" t="str">
        <f>IF(S233="","",VLOOKUP(S233,'G-1 All Habitats'!$B$2:$M$130,10,FALSE))</f>
        <v/>
      </c>
      <c r="X233" s="343" t="str">
        <f>IFERROR(VLOOKUP(W233,'G-1 All Habitats'!$V$3:$W$7,2,FALSE),"")</f>
        <v/>
      </c>
      <c r="Y233" s="91"/>
      <c r="Z233" s="345" t="str">
        <f>IFERROR(INDEX('G-8 Condition Look up'!$A$3:$H$131,MATCH(S233,'G-8 Condition Look up'!$A$3:$A$131,0),MATCH(Y233,'G-8 Condition Look up'!$A$3:$H$3,0)),"")</f>
        <v/>
      </c>
      <c r="AA233" s="79"/>
      <c r="AB233" s="343" t="str">
        <f>IF(AA233="","",IF(VLOOKUP(AA233,'G-3 Multipliers'!$L$3:$N$6,2,FALSE)=0,"Spatial Data Missing",VLOOKUP(AA233,'G-3 Multipliers'!$L$3:$N$6,2,FALSE)))</f>
        <v/>
      </c>
      <c r="AC233" s="345" t="str">
        <f>IF(AA233="","",IF(VLOOKUP(AA233,'G-3 Multipliers'!$L$3:$N$6,3,FALSE)=0,"Spatial Data Missing",VLOOKUP(AA233,'G-3 Multipliers'!$L$3:$N$6,3,FALSE)))</f>
        <v/>
      </c>
      <c r="AD233" s="351" t="str">
        <f t="shared" si="29"/>
        <v/>
      </c>
      <c r="AE233" s="94"/>
      <c r="AF233" s="94"/>
      <c r="AG233" s="343" t="str">
        <f t="shared" si="32"/>
        <v/>
      </c>
      <c r="AH233" s="591" t="str">
        <f t="shared" si="33"/>
        <v/>
      </c>
      <c r="AI233" s="353" t="str">
        <f>IF(AH233="Check Data","Check Data",IFERROR(VLOOKUP(AH233,'G-4 Temporal multipliers'!$A$4:$C$36,3,FALSE),""))</f>
        <v/>
      </c>
      <c r="AJ233" s="77" t="str">
        <f>IF(S233="","",VLOOKUP(S233,'G-3 Multipliers'!$A$2:$E$130,4,FALSE))</f>
        <v/>
      </c>
      <c r="AK233" s="348" t="str">
        <f t="shared" si="34"/>
        <v/>
      </c>
      <c r="AL233" s="348" t="str">
        <f t="shared" si="35"/>
        <v/>
      </c>
      <c r="AM233" s="607" t="str">
        <f>IFERROR(IF(F233="","",IF(AH233="Check Data","Check Data",VLOOKUP(AL233, 'G-3 Multipliers'!$P$2:$Q$6,2,FALSE))),””)</f>
        <v/>
      </c>
      <c r="AN233" s="81" t="str">
        <f t="shared" si="30"/>
        <v/>
      </c>
      <c r="AO233" s="355"/>
      <c r="AP233" s="356"/>
    </row>
    <row r="234" spans="1:42" x14ac:dyDescent="0.25">
      <c r="A234" s="52" t="str">
        <f>IF(E234="","",IF(ISNA(VLOOKUP($E234,'A-1 Site Habitat Baseline'!$D$1:$O$258,2,FALSE)),"",(VLOOKUP($E234,'A-1 Site Habitat Baseline'!$D$1:$O$258,2,FALSE))))</f>
        <v/>
      </c>
      <c r="B234" s="52" t="str">
        <f>IF(E234="","",IF(ISNA(VLOOKUP($E234,'A-1 Site Habitat Baseline'!$D$1:$O$258,3,FALSE)),"",(VLOOKUP($E234,'A-1 Site Habitat Baseline'!$D$1:$O$258,3,FALSE))))</f>
        <v/>
      </c>
      <c r="C234" s="52" t="str">
        <f>IFERROR(INDEX('G-8 Condition Look up'!$I$4:$I$131,MATCH(S234,'G-8 Condition Look up'!$A$4:$A$131,0)),"")</f>
        <v/>
      </c>
      <c r="E234" s="342" t="str">
        <f>'A-1 Site Habitat Baseline'!AL233</f>
        <v/>
      </c>
      <c r="F234" s="343" t="str">
        <f>IF(E234="","",IF(ISNA(VLOOKUP($E234,'A-1 Site Habitat Baseline'!$D$1:$O$258,4,FALSE)),"",(VLOOKUP($E234,'A-1 Site Habitat Baseline'!$D$1:$O$258,4,FALSE))))</f>
        <v/>
      </c>
      <c r="G234" s="343" t="str">
        <f>IF(E234="","",IF(ISNA(VLOOKUP($E234,'A-1 Site Habitat Baseline'!$D$1:$O$258,5,FALSE)),"",(VLOOKUP($E234,'A-1 Site Habitat Baseline'!$D$1:$O$258,5,FALSE))))</f>
        <v/>
      </c>
      <c r="H234" s="343" t="str">
        <f>IF(E234="","",IF(ISNA(VLOOKUP($E234,'A-1 Site Habitat Baseline'!$D$1:$O$258,6,FALSE)),"",(VLOOKUP($E234,'A-1 Site Habitat Baseline'!$D$1:$O$258,6,FALSE))))</f>
        <v/>
      </c>
      <c r="I234" s="343" t="str">
        <f>IF(E234="","",IF(ISNA(VLOOKUP($E234,'A-1 Site Habitat Baseline'!$D$1:$O$258,7,FALSE)),"",(VLOOKUP($E234,'A-1 Site Habitat Baseline'!$D$1:$O$258,7,FALSE))))</f>
        <v/>
      </c>
      <c r="J234" s="343" t="str">
        <f>IF(E234="","",IF(ISNA(VLOOKUP($E234,'A-1 Site Habitat Baseline'!$D$1:$O$258,8,FALSE)),"",(VLOOKUP($E234,'A-1 Site Habitat Baseline'!$D$1:$O$258,8,FALSE))))</f>
        <v/>
      </c>
      <c r="K234" s="343" t="str">
        <f>IF(E234="","",IF(ISNA(VLOOKUP($E234,'A-1 Site Habitat Baseline'!$D$1:$O$258,9,FALSE)),"",(VLOOKUP($E234,'A-1 Site Habitat Baseline'!$D$1:$O$258,9,FALSE))))</f>
        <v/>
      </c>
      <c r="L234" s="343" t="str">
        <f>IF(E234="","",IF(ISNA(VLOOKUP($E234,'A-1 Site Habitat Baseline'!$D$1:$O$258,11,FALSE)),"",(VLOOKUP($E234,'A-1 Site Habitat Baseline'!$D$1:$O$258,11,FALSE))))</f>
        <v/>
      </c>
      <c r="M234" s="343" t="str">
        <f>IF(E234="","",IF(ISNA(VLOOKUP($E234,'A-1 Site Habitat Baseline'!$D$1:$O$258,12,FALSE)),"",(VLOOKUP($E234,'A-1 Site Habitat Baseline'!$D$1:$O$258,12,FALSE))))</f>
        <v/>
      </c>
      <c r="N234" s="344" t="str">
        <f>IF(E234="","",IF(ISNA(VLOOKUP($E234,'A-1 Site Habitat Baseline'!$D$1:$X$258,14,FALSE)),"",(VLOOKUP($E234,'A-1 Site Habitat Baseline'!$D$1:$X$258,14,FALSE))))</f>
        <v/>
      </c>
      <c r="O234" s="345" t="str">
        <f>IF(E234="","",IF(ISNA(VLOOKUP($E234,'A-1 Site Habitat Baseline'!$D$1:$X$258,16,FALSE)),"",(VLOOKUP($E234,'A-1 Site Habitat Baseline'!$D$1:$X$258,13,FALSE))))</f>
        <v/>
      </c>
      <c r="P234" s="346" t="str">
        <f>IFERROR(INDEX('G-1 All Habitats'!$AG$3:$AG$15,MATCH(Q234,'G-1 All Habitats'!$AF$3:$AF$15,0)),"")</f>
        <v/>
      </c>
      <c r="Q234" s="347"/>
      <c r="R234" s="347"/>
      <c r="S234" s="605" t="str">
        <f>IFERROR(INDEX('G-1 All Habitats'!$B$3:$B$130,MATCH(R234,'G-1 All Habitats'!$A$3:$A$130,0)),"")</f>
        <v/>
      </c>
      <c r="T234" s="77" t="str">
        <f t="shared" si="36"/>
        <v/>
      </c>
      <c r="U234" s="78" t="str">
        <f t="shared" si="31"/>
        <v/>
      </c>
      <c r="V234" s="350" t="str">
        <f t="shared" si="28"/>
        <v/>
      </c>
      <c r="W234" s="343" t="str">
        <f>IF(S234="","",VLOOKUP(S234,'G-1 All Habitats'!$B$2:$M$130,10,FALSE))</f>
        <v/>
      </c>
      <c r="X234" s="343" t="str">
        <f>IFERROR(VLOOKUP(W234,'G-1 All Habitats'!$V$3:$W$7,2,FALSE),"")</f>
        <v/>
      </c>
      <c r="Y234" s="91"/>
      <c r="Z234" s="345" t="str">
        <f>IFERROR(INDEX('G-8 Condition Look up'!$A$3:$H$131,MATCH(S234,'G-8 Condition Look up'!$A$3:$A$131,0),MATCH(Y234,'G-8 Condition Look up'!$A$3:$H$3,0)),"")</f>
        <v/>
      </c>
      <c r="AA234" s="79"/>
      <c r="AB234" s="343" t="str">
        <f>IF(AA234="","",IF(VLOOKUP(AA234,'G-3 Multipliers'!$L$3:$N$6,2,FALSE)=0,"Spatial Data Missing",VLOOKUP(AA234,'G-3 Multipliers'!$L$3:$N$6,2,FALSE)))</f>
        <v/>
      </c>
      <c r="AC234" s="345" t="str">
        <f>IF(AA234="","",IF(VLOOKUP(AA234,'G-3 Multipliers'!$L$3:$N$6,3,FALSE)=0,"Spatial Data Missing",VLOOKUP(AA234,'G-3 Multipliers'!$L$3:$N$6,3,FALSE)))</f>
        <v/>
      </c>
      <c r="AD234" s="351" t="str">
        <f t="shared" si="29"/>
        <v/>
      </c>
      <c r="AE234" s="94"/>
      <c r="AF234" s="94"/>
      <c r="AG234" s="343" t="str">
        <f t="shared" si="32"/>
        <v/>
      </c>
      <c r="AH234" s="591" t="str">
        <f t="shared" si="33"/>
        <v/>
      </c>
      <c r="AI234" s="353" t="str">
        <f>IF(AH234="Check Data","Check Data",IFERROR(VLOOKUP(AH234,'G-4 Temporal multipliers'!$A$4:$C$36,3,FALSE),""))</f>
        <v/>
      </c>
      <c r="AJ234" s="77" t="str">
        <f>IF(S234="","",VLOOKUP(S234,'G-3 Multipliers'!$A$2:$E$130,4,FALSE))</f>
        <v/>
      </c>
      <c r="AK234" s="348" t="str">
        <f t="shared" si="34"/>
        <v/>
      </c>
      <c r="AL234" s="348" t="str">
        <f t="shared" si="35"/>
        <v/>
      </c>
      <c r="AM234" s="607" t="str">
        <f>IFERROR(IF(F234="","",IF(AH234="Check Data","Check Data",VLOOKUP(AL234, 'G-3 Multipliers'!$P$2:$Q$6,2,FALSE))),””)</f>
        <v/>
      </c>
      <c r="AN234" s="81" t="str">
        <f t="shared" si="30"/>
        <v/>
      </c>
      <c r="AO234" s="355"/>
      <c r="AP234" s="356"/>
    </row>
    <row r="235" spans="1:42" x14ac:dyDescent="0.25">
      <c r="A235" s="52" t="str">
        <f>IF(E235="","",IF(ISNA(VLOOKUP($E235,'A-1 Site Habitat Baseline'!$D$1:$O$258,2,FALSE)),"",(VLOOKUP($E235,'A-1 Site Habitat Baseline'!$D$1:$O$258,2,FALSE))))</f>
        <v/>
      </c>
      <c r="B235" s="52" t="str">
        <f>IF(E235="","",IF(ISNA(VLOOKUP($E235,'A-1 Site Habitat Baseline'!$D$1:$O$258,3,FALSE)),"",(VLOOKUP($E235,'A-1 Site Habitat Baseline'!$D$1:$O$258,3,FALSE))))</f>
        <v/>
      </c>
      <c r="C235" s="52" t="str">
        <f>IFERROR(INDEX('G-8 Condition Look up'!$I$4:$I$131,MATCH(S235,'G-8 Condition Look up'!$A$4:$A$131,0)),"")</f>
        <v/>
      </c>
      <c r="E235" s="342" t="str">
        <f>'A-1 Site Habitat Baseline'!AL234</f>
        <v/>
      </c>
      <c r="F235" s="343" t="str">
        <f>IF(E235="","",IF(ISNA(VLOOKUP($E235,'A-1 Site Habitat Baseline'!$D$1:$O$258,4,FALSE)),"",(VLOOKUP($E235,'A-1 Site Habitat Baseline'!$D$1:$O$258,4,FALSE))))</f>
        <v/>
      </c>
      <c r="G235" s="343" t="str">
        <f>IF(E235="","",IF(ISNA(VLOOKUP($E235,'A-1 Site Habitat Baseline'!$D$1:$O$258,5,FALSE)),"",(VLOOKUP($E235,'A-1 Site Habitat Baseline'!$D$1:$O$258,5,FALSE))))</f>
        <v/>
      </c>
      <c r="H235" s="343" t="str">
        <f>IF(E235="","",IF(ISNA(VLOOKUP($E235,'A-1 Site Habitat Baseline'!$D$1:$O$258,6,FALSE)),"",(VLOOKUP($E235,'A-1 Site Habitat Baseline'!$D$1:$O$258,6,FALSE))))</f>
        <v/>
      </c>
      <c r="I235" s="343" t="str">
        <f>IF(E235="","",IF(ISNA(VLOOKUP($E235,'A-1 Site Habitat Baseline'!$D$1:$O$258,7,FALSE)),"",(VLOOKUP($E235,'A-1 Site Habitat Baseline'!$D$1:$O$258,7,FALSE))))</f>
        <v/>
      </c>
      <c r="J235" s="343" t="str">
        <f>IF(E235="","",IF(ISNA(VLOOKUP($E235,'A-1 Site Habitat Baseline'!$D$1:$O$258,8,FALSE)),"",(VLOOKUP($E235,'A-1 Site Habitat Baseline'!$D$1:$O$258,8,FALSE))))</f>
        <v/>
      </c>
      <c r="K235" s="343" t="str">
        <f>IF(E235="","",IF(ISNA(VLOOKUP($E235,'A-1 Site Habitat Baseline'!$D$1:$O$258,9,FALSE)),"",(VLOOKUP($E235,'A-1 Site Habitat Baseline'!$D$1:$O$258,9,FALSE))))</f>
        <v/>
      </c>
      <c r="L235" s="343" t="str">
        <f>IF(E235="","",IF(ISNA(VLOOKUP($E235,'A-1 Site Habitat Baseline'!$D$1:$O$258,11,FALSE)),"",(VLOOKUP($E235,'A-1 Site Habitat Baseline'!$D$1:$O$258,11,FALSE))))</f>
        <v/>
      </c>
      <c r="M235" s="343" t="str">
        <f>IF(E235="","",IF(ISNA(VLOOKUP($E235,'A-1 Site Habitat Baseline'!$D$1:$O$258,12,FALSE)),"",(VLOOKUP($E235,'A-1 Site Habitat Baseline'!$D$1:$O$258,12,FALSE))))</f>
        <v/>
      </c>
      <c r="N235" s="344" t="str">
        <f>IF(E235="","",IF(ISNA(VLOOKUP($E235,'A-1 Site Habitat Baseline'!$D$1:$X$258,14,FALSE)),"",(VLOOKUP($E235,'A-1 Site Habitat Baseline'!$D$1:$X$258,14,FALSE))))</f>
        <v/>
      </c>
      <c r="O235" s="345" t="str">
        <f>IF(E235="","",IF(ISNA(VLOOKUP($E235,'A-1 Site Habitat Baseline'!$D$1:$X$258,16,FALSE)),"",(VLOOKUP($E235,'A-1 Site Habitat Baseline'!$D$1:$X$258,13,FALSE))))</f>
        <v/>
      </c>
      <c r="P235" s="346" t="str">
        <f>IFERROR(INDEX('G-1 All Habitats'!$AG$3:$AG$15,MATCH(Q235,'G-1 All Habitats'!$AF$3:$AF$15,0)),"")</f>
        <v/>
      </c>
      <c r="Q235" s="347"/>
      <c r="R235" s="347"/>
      <c r="S235" s="605" t="str">
        <f>IFERROR(INDEX('G-1 All Habitats'!$B$3:$B$130,MATCH(R235,'G-1 All Habitats'!$A$3:$A$130,0)),"")</f>
        <v/>
      </c>
      <c r="T235" s="77" t="str">
        <f t="shared" si="36"/>
        <v/>
      </c>
      <c r="U235" s="78" t="str">
        <f t="shared" si="31"/>
        <v/>
      </c>
      <c r="V235" s="350" t="str">
        <f t="shared" si="28"/>
        <v/>
      </c>
      <c r="W235" s="343" t="str">
        <f>IF(S235="","",VLOOKUP(S235,'G-1 All Habitats'!$B$2:$M$130,10,FALSE))</f>
        <v/>
      </c>
      <c r="X235" s="343" t="str">
        <f>IFERROR(VLOOKUP(W235,'G-1 All Habitats'!$V$3:$W$7,2,FALSE),"")</f>
        <v/>
      </c>
      <c r="Y235" s="91"/>
      <c r="Z235" s="345" t="str">
        <f>IFERROR(INDEX('G-8 Condition Look up'!$A$3:$H$131,MATCH(S235,'G-8 Condition Look up'!$A$3:$A$131,0),MATCH(Y235,'G-8 Condition Look up'!$A$3:$H$3,0)),"")</f>
        <v/>
      </c>
      <c r="AA235" s="79"/>
      <c r="AB235" s="343" t="str">
        <f>IF(AA235="","",IF(VLOOKUP(AA235,'G-3 Multipliers'!$L$3:$N$6,2,FALSE)=0,"Spatial Data Missing",VLOOKUP(AA235,'G-3 Multipliers'!$L$3:$N$6,2,FALSE)))</f>
        <v/>
      </c>
      <c r="AC235" s="345" t="str">
        <f>IF(AA235="","",IF(VLOOKUP(AA235,'G-3 Multipliers'!$L$3:$N$6,3,FALSE)=0,"Spatial Data Missing",VLOOKUP(AA235,'G-3 Multipliers'!$L$3:$N$6,3,FALSE)))</f>
        <v/>
      </c>
      <c r="AD235" s="351" t="str">
        <f t="shared" si="29"/>
        <v/>
      </c>
      <c r="AE235" s="94"/>
      <c r="AF235" s="94"/>
      <c r="AG235" s="343" t="str">
        <f t="shared" si="32"/>
        <v/>
      </c>
      <c r="AH235" s="591" t="str">
        <f t="shared" si="33"/>
        <v/>
      </c>
      <c r="AI235" s="353" t="str">
        <f>IF(AH235="Check Data","Check Data",IFERROR(VLOOKUP(AH235,'G-4 Temporal multipliers'!$A$4:$C$36,3,FALSE),""))</f>
        <v/>
      </c>
      <c r="AJ235" s="77" t="str">
        <f>IF(S235="","",VLOOKUP(S235,'G-3 Multipliers'!$A$2:$E$130,4,FALSE))</f>
        <v/>
      </c>
      <c r="AK235" s="348" t="str">
        <f t="shared" si="34"/>
        <v/>
      </c>
      <c r="AL235" s="348" t="str">
        <f t="shared" si="35"/>
        <v/>
      </c>
      <c r="AM235" s="607" t="str">
        <f>IFERROR(IF(F235="","",IF(AH235="Check Data","Check Data",VLOOKUP(AL235, 'G-3 Multipliers'!$P$2:$Q$6,2,FALSE))),””)</f>
        <v/>
      </c>
      <c r="AN235" s="81" t="str">
        <f t="shared" si="30"/>
        <v/>
      </c>
      <c r="AO235" s="355"/>
      <c r="AP235" s="356"/>
    </row>
    <row r="236" spans="1:42" x14ac:dyDescent="0.25">
      <c r="A236" s="52" t="str">
        <f>IF(E236="","",IF(ISNA(VLOOKUP($E236,'A-1 Site Habitat Baseline'!$D$1:$O$258,2,FALSE)),"",(VLOOKUP($E236,'A-1 Site Habitat Baseline'!$D$1:$O$258,2,FALSE))))</f>
        <v/>
      </c>
      <c r="B236" s="52" t="str">
        <f>IF(E236="","",IF(ISNA(VLOOKUP($E236,'A-1 Site Habitat Baseline'!$D$1:$O$258,3,FALSE)),"",(VLOOKUP($E236,'A-1 Site Habitat Baseline'!$D$1:$O$258,3,FALSE))))</f>
        <v/>
      </c>
      <c r="C236" s="52" t="str">
        <f>IFERROR(INDEX('G-8 Condition Look up'!$I$4:$I$131,MATCH(S236,'G-8 Condition Look up'!$A$4:$A$131,0)),"")</f>
        <v/>
      </c>
      <c r="E236" s="342" t="str">
        <f>'A-1 Site Habitat Baseline'!AL235</f>
        <v/>
      </c>
      <c r="F236" s="343" t="str">
        <f>IF(E236="","",IF(ISNA(VLOOKUP($E236,'A-1 Site Habitat Baseline'!$D$1:$O$258,4,FALSE)),"",(VLOOKUP($E236,'A-1 Site Habitat Baseline'!$D$1:$O$258,4,FALSE))))</f>
        <v/>
      </c>
      <c r="G236" s="343" t="str">
        <f>IF(E236="","",IF(ISNA(VLOOKUP($E236,'A-1 Site Habitat Baseline'!$D$1:$O$258,5,FALSE)),"",(VLOOKUP($E236,'A-1 Site Habitat Baseline'!$D$1:$O$258,5,FALSE))))</f>
        <v/>
      </c>
      <c r="H236" s="343" t="str">
        <f>IF(E236="","",IF(ISNA(VLOOKUP($E236,'A-1 Site Habitat Baseline'!$D$1:$O$258,6,FALSE)),"",(VLOOKUP($E236,'A-1 Site Habitat Baseline'!$D$1:$O$258,6,FALSE))))</f>
        <v/>
      </c>
      <c r="I236" s="343" t="str">
        <f>IF(E236="","",IF(ISNA(VLOOKUP($E236,'A-1 Site Habitat Baseline'!$D$1:$O$258,7,FALSE)),"",(VLOOKUP($E236,'A-1 Site Habitat Baseline'!$D$1:$O$258,7,FALSE))))</f>
        <v/>
      </c>
      <c r="J236" s="343" t="str">
        <f>IF(E236="","",IF(ISNA(VLOOKUP($E236,'A-1 Site Habitat Baseline'!$D$1:$O$258,8,FALSE)),"",(VLOOKUP($E236,'A-1 Site Habitat Baseline'!$D$1:$O$258,8,FALSE))))</f>
        <v/>
      </c>
      <c r="K236" s="343" t="str">
        <f>IF(E236="","",IF(ISNA(VLOOKUP($E236,'A-1 Site Habitat Baseline'!$D$1:$O$258,9,FALSE)),"",(VLOOKUP($E236,'A-1 Site Habitat Baseline'!$D$1:$O$258,9,FALSE))))</f>
        <v/>
      </c>
      <c r="L236" s="343" t="str">
        <f>IF(E236="","",IF(ISNA(VLOOKUP($E236,'A-1 Site Habitat Baseline'!$D$1:$O$258,11,FALSE)),"",(VLOOKUP($E236,'A-1 Site Habitat Baseline'!$D$1:$O$258,11,FALSE))))</f>
        <v/>
      </c>
      <c r="M236" s="343" t="str">
        <f>IF(E236="","",IF(ISNA(VLOOKUP($E236,'A-1 Site Habitat Baseline'!$D$1:$O$258,12,FALSE)),"",(VLOOKUP($E236,'A-1 Site Habitat Baseline'!$D$1:$O$258,12,FALSE))))</f>
        <v/>
      </c>
      <c r="N236" s="344" t="str">
        <f>IF(E236="","",IF(ISNA(VLOOKUP($E236,'A-1 Site Habitat Baseline'!$D$1:$X$258,14,FALSE)),"",(VLOOKUP($E236,'A-1 Site Habitat Baseline'!$D$1:$X$258,14,FALSE))))</f>
        <v/>
      </c>
      <c r="O236" s="345" t="str">
        <f>IF(E236="","",IF(ISNA(VLOOKUP($E236,'A-1 Site Habitat Baseline'!$D$1:$X$258,16,FALSE)),"",(VLOOKUP($E236,'A-1 Site Habitat Baseline'!$D$1:$X$258,13,FALSE))))</f>
        <v/>
      </c>
      <c r="P236" s="346" t="str">
        <f>IFERROR(INDEX('G-1 All Habitats'!$AG$3:$AG$15,MATCH(Q236,'G-1 All Habitats'!$AF$3:$AF$15,0)),"")</f>
        <v/>
      </c>
      <c r="Q236" s="347"/>
      <c r="R236" s="347"/>
      <c r="S236" s="605" t="str">
        <f>IFERROR(INDEX('G-1 All Habitats'!$B$3:$B$130,MATCH(R236,'G-1 All Habitats'!$A$3:$A$130,0)),"")</f>
        <v/>
      </c>
      <c r="T236" s="77" t="str">
        <f t="shared" si="36"/>
        <v/>
      </c>
      <c r="U236" s="78" t="str">
        <f t="shared" si="31"/>
        <v/>
      </c>
      <c r="V236" s="350" t="str">
        <f t="shared" si="28"/>
        <v/>
      </c>
      <c r="W236" s="343" t="str">
        <f>IF(S236="","",VLOOKUP(S236,'G-1 All Habitats'!$B$2:$M$130,10,FALSE))</f>
        <v/>
      </c>
      <c r="X236" s="343" t="str">
        <f>IFERROR(VLOOKUP(W236,'G-1 All Habitats'!$V$3:$W$7,2,FALSE),"")</f>
        <v/>
      </c>
      <c r="Y236" s="91"/>
      <c r="Z236" s="345" t="str">
        <f>IFERROR(INDEX('G-8 Condition Look up'!$A$3:$H$131,MATCH(S236,'G-8 Condition Look up'!$A$3:$A$131,0),MATCH(Y236,'G-8 Condition Look up'!$A$3:$H$3,0)),"")</f>
        <v/>
      </c>
      <c r="AA236" s="79"/>
      <c r="AB236" s="343" t="str">
        <f>IF(AA236="","",IF(VLOOKUP(AA236,'G-3 Multipliers'!$L$3:$N$6,2,FALSE)=0,"Spatial Data Missing",VLOOKUP(AA236,'G-3 Multipliers'!$L$3:$N$6,2,FALSE)))</f>
        <v/>
      </c>
      <c r="AC236" s="345" t="str">
        <f>IF(AA236="","",IF(VLOOKUP(AA236,'G-3 Multipliers'!$L$3:$N$6,3,FALSE)=0,"Spatial Data Missing",VLOOKUP(AA236,'G-3 Multipliers'!$L$3:$N$6,3,FALSE)))</f>
        <v/>
      </c>
      <c r="AD236" s="351" t="str">
        <f t="shared" si="29"/>
        <v/>
      </c>
      <c r="AE236" s="94"/>
      <c r="AF236" s="94"/>
      <c r="AG236" s="343" t="str">
        <f t="shared" si="32"/>
        <v/>
      </c>
      <c r="AH236" s="591" t="str">
        <f t="shared" si="33"/>
        <v/>
      </c>
      <c r="AI236" s="353" t="str">
        <f>IF(AH236="Check Data","Check Data",IFERROR(VLOOKUP(AH236,'G-4 Temporal multipliers'!$A$4:$C$36,3,FALSE),""))</f>
        <v/>
      </c>
      <c r="AJ236" s="77" t="str">
        <f>IF(S236="","",VLOOKUP(S236,'G-3 Multipliers'!$A$2:$E$130,4,FALSE))</f>
        <v/>
      </c>
      <c r="AK236" s="348" t="str">
        <f t="shared" si="34"/>
        <v/>
      </c>
      <c r="AL236" s="348" t="str">
        <f t="shared" si="35"/>
        <v/>
      </c>
      <c r="AM236" s="607" t="str">
        <f>IFERROR(IF(F236="","",IF(AH236="Check Data","Check Data",VLOOKUP(AL236, 'G-3 Multipliers'!$P$2:$Q$6,2,FALSE))),””)</f>
        <v/>
      </c>
      <c r="AN236" s="81" t="str">
        <f t="shared" si="30"/>
        <v/>
      </c>
      <c r="AO236" s="355"/>
      <c r="AP236" s="356"/>
    </row>
    <row r="237" spans="1:42" x14ac:dyDescent="0.25">
      <c r="A237" s="52" t="str">
        <f>IF(E237="","",IF(ISNA(VLOOKUP($E237,'A-1 Site Habitat Baseline'!$D$1:$O$258,2,FALSE)),"",(VLOOKUP($E237,'A-1 Site Habitat Baseline'!$D$1:$O$258,2,FALSE))))</f>
        <v/>
      </c>
      <c r="B237" s="52" t="str">
        <f>IF(E237="","",IF(ISNA(VLOOKUP($E237,'A-1 Site Habitat Baseline'!$D$1:$O$258,3,FALSE)),"",(VLOOKUP($E237,'A-1 Site Habitat Baseline'!$D$1:$O$258,3,FALSE))))</f>
        <v/>
      </c>
      <c r="C237" s="52" t="str">
        <f>IFERROR(INDEX('G-8 Condition Look up'!$I$4:$I$131,MATCH(S237,'G-8 Condition Look up'!$A$4:$A$131,0)),"")</f>
        <v/>
      </c>
      <c r="E237" s="342" t="str">
        <f>'A-1 Site Habitat Baseline'!AL236</f>
        <v/>
      </c>
      <c r="F237" s="343" t="str">
        <f>IF(E237="","",IF(ISNA(VLOOKUP($E237,'A-1 Site Habitat Baseline'!$D$1:$O$258,4,FALSE)),"",(VLOOKUP($E237,'A-1 Site Habitat Baseline'!$D$1:$O$258,4,FALSE))))</f>
        <v/>
      </c>
      <c r="G237" s="343" t="str">
        <f>IF(E237="","",IF(ISNA(VLOOKUP($E237,'A-1 Site Habitat Baseline'!$D$1:$O$258,5,FALSE)),"",(VLOOKUP($E237,'A-1 Site Habitat Baseline'!$D$1:$O$258,5,FALSE))))</f>
        <v/>
      </c>
      <c r="H237" s="343" t="str">
        <f>IF(E237="","",IF(ISNA(VLOOKUP($E237,'A-1 Site Habitat Baseline'!$D$1:$O$258,6,FALSE)),"",(VLOOKUP($E237,'A-1 Site Habitat Baseline'!$D$1:$O$258,6,FALSE))))</f>
        <v/>
      </c>
      <c r="I237" s="343" t="str">
        <f>IF(E237="","",IF(ISNA(VLOOKUP($E237,'A-1 Site Habitat Baseline'!$D$1:$O$258,7,FALSE)),"",(VLOOKUP($E237,'A-1 Site Habitat Baseline'!$D$1:$O$258,7,FALSE))))</f>
        <v/>
      </c>
      <c r="J237" s="343" t="str">
        <f>IF(E237="","",IF(ISNA(VLOOKUP($E237,'A-1 Site Habitat Baseline'!$D$1:$O$258,8,FALSE)),"",(VLOOKUP($E237,'A-1 Site Habitat Baseline'!$D$1:$O$258,8,FALSE))))</f>
        <v/>
      </c>
      <c r="K237" s="343" t="str">
        <f>IF(E237="","",IF(ISNA(VLOOKUP($E237,'A-1 Site Habitat Baseline'!$D$1:$O$258,9,FALSE)),"",(VLOOKUP($E237,'A-1 Site Habitat Baseline'!$D$1:$O$258,9,FALSE))))</f>
        <v/>
      </c>
      <c r="L237" s="343" t="str">
        <f>IF(E237="","",IF(ISNA(VLOOKUP($E237,'A-1 Site Habitat Baseline'!$D$1:$O$258,11,FALSE)),"",(VLOOKUP($E237,'A-1 Site Habitat Baseline'!$D$1:$O$258,11,FALSE))))</f>
        <v/>
      </c>
      <c r="M237" s="343" t="str">
        <f>IF(E237="","",IF(ISNA(VLOOKUP($E237,'A-1 Site Habitat Baseline'!$D$1:$O$258,12,FALSE)),"",(VLOOKUP($E237,'A-1 Site Habitat Baseline'!$D$1:$O$258,12,FALSE))))</f>
        <v/>
      </c>
      <c r="N237" s="344" t="str">
        <f>IF(E237="","",IF(ISNA(VLOOKUP($E237,'A-1 Site Habitat Baseline'!$D$1:$X$258,14,FALSE)),"",(VLOOKUP($E237,'A-1 Site Habitat Baseline'!$D$1:$X$258,14,FALSE))))</f>
        <v/>
      </c>
      <c r="O237" s="345" t="str">
        <f>IF(E237="","",IF(ISNA(VLOOKUP($E237,'A-1 Site Habitat Baseline'!$D$1:$X$258,16,FALSE)),"",(VLOOKUP($E237,'A-1 Site Habitat Baseline'!$D$1:$X$258,13,FALSE))))</f>
        <v/>
      </c>
      <c r="P237" s="346" t="str">
        <f>IFERROR(INDEX('G-1 All Habitats'!$AG$3:$AG$15,MATCH(Q237,'G-1 All Habitats'!$AF$3:$AF$15,0)),"")</f>
        <v/>
      </c>
      <c r="Q237" s="347"/>
      <c r="R237" s="347"/>
      <c r="S237" s="605" t="str">
        <f>IFERROR(INDEX('G-1 All Habitats'!$B$3:$B$130,MATCH(R237,'G-1 All Habitats'!$A$3:$A$130,0)),"")</f>
        <v/>
      </c>
      <c r="T237" s="77" t="str">
        <f t="shared" si="36"/>
        <v/>
      </c>
      <c r="U237" s="78" t="str">
        <f t="shared" si="31"/>
        <v/>
      </c>
      <c r="V237" s="350" t="str">
        <f t="shared" si="28"/>
        <v/>
      </c>
      <c r="W237" s="343" t="str">
        <f>IF(S237="","",VLOOKUP(S237,'G-1 All Habitats'!$B$2:$M$130,10,FALSE))</f>
        <v/>
      </c>
      <c r="X237" s="343" t="str">
        <f>IFERROR(VLOOKUP(W237,'G-1 All Habitats'!$V$3:$W$7,2,FALSE),"")</f>
        <v/>
      </c>
      <c r="Y237" s="91"/>
      <c r="Z237" s="345" t="str">
        <f>IFERROR(INDEX('G-8 Condition Look up'!$A$3:$H$131,MATCH(S237,'G-8 Condition Look up'!$A$3:$A$131,0),MATCH(Y237,'G-8 Condition Look up'!$A$3:$H$3,0)),"")</f>
        <v/>
      </c>
      <c r="AA237" s="79"/>
      <c r="AB237" s="343" t="str">
        <f>IF(AA237="","",IF(VLOOKUP(AA237,'G-3 Multipliers'!$L$3:$N$6,2,FALSE)=0,"Spatial Data Missing",VLOOKUP(AA237,'G-3 Multipliers'!$L$3:$N$6,2,FALSE)))</f>
        <v/>
      </c>
      <c r="AC237" s="345" t="str">
        <f>IF(AA237="","",IF(VLOOKUP(AA237,'G-3 Multipliers'!$L$3:$N$6,3,FALSE)=0,"Spatial Data Missing",VLOOKUP(AA237,'G-3 Multipliers'!$L$3:$N$6,3,FALSE)))</f>
        <v/>
      </c>
      <c r="AD237" s="351" t="str">
        <f t="shared" si="29"/>
        <v/>
      </c>
      <c r="AE237" s="94"/>
      <c r="AF237" s="94"/>
      <c r="AG237" s="343" t="str">
        <f t="shared" si="32"/>
        <v/>
      </c>
      <c r="AH237" s="591" t="str">
        <f t="shared" si="33"/>
        <v/>
      </c>
      <c r="AI237" s="353" t="str">
        <f>IF(AH237="Check Data","Check Data",IFERROR(VLOOKUP(AH237,'G-4 Temporal multipliers'!$A$4:$C$36,3,FALSE),""))</f>
        <v/>
      </c>
      <c r="AJ237" s="77" t="str">
        <f>IF(S237="","",VLOOKUP(S237,'G-3 Multipliers'!$A$2:$E$130,4,FALSE))</f>
        <v/>
      </c>
      <c r="AK237" s="348" t="str">
        <f t="shared" si="34"/>
        <v/>
      </c>
      <c r="AL237" s="348" t="str">
        <f t="shared" si="35"/>
        <v/>
      </c>
      <c r="AM237" s="607" t="str">
        <f>IFERROR(IF(F237="","",IF(AH237="Check Data","Check Data",VLOOKUP(AL237, 'G-3 Multipliers'!$P$2:$Q$6,2,FALSE))),””)</f>
        <v/>
      </c>
      <c r="AN237" s="81" t="str">
        <f t="shared" si="30"/>
        <v/>
      </c>
      <c r="AO237" s="355"/>
      <c r="AP237" s="356"/>
    </row>
    <row r="238" spans="1:42" x14ac:dyDescent="0.25">
      <c r="A238" s="52" t="str">
        <f>IF(E238="","",IF(ISNA(VLOOKUP($E238,'A-1 Site Habitat Baseline'!$D$1:$O$258,2,FALSE)),"",(VLOOKUP($E238,'A-1 Site Habitat Baseline'!$D$1:$O$258,2,FALSE))))</f>
        <v/>
      </c>
      <c r="B238" s="52" t="str">
        <f>IF(E238="","",IF(ISNA(VLOOKUP($E238,'A-1 Site Habitat Baseline'!$D$1:$O$258,3,FALSE)),"",(VLOOKUP($E238,'A-1 Site Habitat Baseline'!$D$1:$O$258,3,FALSE))))</f>
        <v/>
      </c>
      <c r="C238" s="52" t="str">
        <f>IFERROR(INDEX('G-8 Condition Look up'!$I$4:$I$131,MATCH(S238,'G-8 Condition Look up'!$A$4:$A$131,0)),"")</f>
        <v/>
      </c>
      <c r="E238" s="342" t="str">
        <f>'A-1 Site Habitat Baseline'!AL237</f>
        <v/>
      </c>
      <c r="F238" s="343" t="str">
        <f>IF(E238="","",IF(ISNA(VLOOKUP($E238,'A-1 Site Habitat Baseline'!$D$1:$O$258,4,FALSE)),"",(VLOOKUP($E238,'A-1 Site Habitat Baseline'!$D$1:$O$258,4,FALSE))))</f>
        <v/>
      </c>
      <c r="G238" s="343" t="str">
        <f>IF(E238="","",IF(ISNA(VLOOKUP($E238,'A-1 Site Habitat Baseline'!$D$1:$O$258,5,FALSE)),"",(VLOOKUP($E238,'A-1 Site Habitat Baseline'!$D$1:$O$258,5,FALSE))))</f>
        <v/>
      </c>
      <c r="H238" s="343" t="str">
        <f>IF(E238="","",IF(ISNA(VLOOKUP($E238,'A-1 Site Habitat Baseline'!$D$1:$O$258,6,FALSE)),"",(VLOOKUP($E238,'A-1 Site Habitat Baseline'!$D$1:$O$258,6,FALSE))))</f>
        <v/>
      </c>
      <c r="I238" s="343" t="str">
        <f>IF(E238="","",IF(ISNA(VLOOKUP($E238,'A-1 Site Habitat Baseline'!$D$1:$O$258,7,FALSE)),"",(VLOOKUP($E238,'A-1 Site Habitat Baseline'!$D$1:$O$258,7,FALSE))))</f>
        <v/>
      </c>
      <c r="J238" s="343" t="str">
        <f>IF(E238="","",IF(ISNA(VLOOKUP($E238,'A-1 Site Habitat Baseline'!$D$1:$O$258,8,FALSE)),"",(VLOOKUP($E238,'A-1 Site Habitat Baseline'!$D$1:$O$258,8,FALSE))))</f>
        <v/>
      </c>
      <c r="K238" s="343" t="str">
        <f>IF(E238="","",IF(ISNA(VLOOKUP($E238,'A-1 Site Habitat Baseline'!$D$1:$O$258,9,FALSE)),"",(VLOOKUP($E238,'A-1 Site Habitat Baseline'!$D$1:$O$258,9,FALSE))))</f>
        <v/>
      </c>
      <c r="L238" s="343" t="str">
        <f>IF(E238="","",IF(ISNA(VLOOKUP($E238,'A-1 Site Habitat Baseline'!$D$1:$O$258,11,FALSE)),"",(VLOOKUP($E238,'A-1 Site Habitat Baseline'!$D$1:$O$258,11,FALSE))))</f>
        <v/>
      </c>
      <c r="M238" s="343" t="str">
        <f>IF(E238="","",IF(ISNA(VLOOKUP($E238,'A-1 Site Habitat Baseline'!$D$1:$O$258,12,FALSE)),"",(VLOOKUP($E238,'A-1 Site Habitat Baseline'!$D$1:$O$258,12,FALSE))))</f>
        <v/>
      </c>
      <c r="N238" s="344" t="str">
        <f>IF(E238="","",IF(ISNA(VLOOKUP($E238,'A-1 Site Habitat Baseline'!$D$1:$X$258,14,FALSE)),"",(VLOOKUP($E238,'A-1 Site Habitat Baseline'!$D$1:$X$258,14,FALSE))))</f>
        <v/>
      </c>
      <c r="O238" s="345" t="str">
        <f>IF(E238="","",IF(ISNA(VLOOKUP($E238,'A-1 Site Habitat Baseline'!$D$1:$X$258,16,FALSE)),"",(VLOOKUP($E238,'A-1 Site Habitat Baseline'!$D$1:$X$258,13,FALSE))))</f>
        <v/>
      </c>
      <c r="P238" s="346" t="str">
        <f>IFERROR(INDEX('G-1 All Habitats'!$AG$3:$AG$15,MATCH(Q238,'G-1 All Habitats'!$AF$3:$AF$15,0)),"")</f>
        <v/>
      </c>
      <c r="Q238" s="347"/>
      <c r="R238" s="347"/>
      <c r="S238" s="605" t="str">
        <f>IFERROR(INDEX('G-1 All Habitats'!$B$3:$B$130,MATCH(R238,'G-1 All Habitats'!$A$3:$A$130,0)),"")</f>
        <v/>
      </c>
      <c r="T238" s="77" t="str">
        <f t="shared" si="36"/>
        <v/>
      </c>
      <c r="U238" s="78" t="str">
        <f t="shared" si="31"/>
        <v/>
      </c>
      <c r="V238" s="350" t="str">
        <f t="shared" si="28"/>
        <v/>
      </c>
      <c r="W238" s="343" t="str">
        <f>IF(S238="","",VLOOKUP(S238,'G-1 All Habitats'!$B$2:$M$130,10,FALSE))</f>
        <v/>
      </c>
      <c r="X238" s="343" t="str">
        <f>IFERROR(VLOOKUP(W238,'G-1 All Habitats'!$V$3:$W$7,2,FALSE),"")</f>
        <v/>
      </c>
      <c r="Y238" s="91"/>
      <c r="Z238" s="345" t="str">
        <f>IFERROR(INDEX('G-8 Condition Look up'!$A$3:$H$131,MATCH(S238,'G-8 Condition Look up'!$A$3:$A$131,0),MATCH(Y238,'G-8 Condition Look up'!$A$3:$H$3,0)),"")</f>
        <v/>
      </c>
      <c r="AA238" s="79"/>
      <c r="AB238" s="343" t="str">
        <f>IF(AA238="","",IF(VLOOKUP(AA238,'G-3 Multipliers'!$L$3:$N$6,2,FALSE)=0,"Spatial Data Missing",VLOOKUP(AA238,'G-3 Multipliers'!$L$3:$N$6,2,FALSE)))</f>
        <v/>
      </c>
      <c r="AC238" s="345" t="str">
        <f>IF(AA238="","",IF(VLOOKUP(AA238,'G-3 Multipliers'!$L$3:$N$6,3,FALSE)=0,"Spatial Data Missing",VLOOKUP(AA238,'G-3 Multipliers'!$L$3:$N$6,3,FALSE)))</f>
        <v/>
      </c>
      <c r="AD238" s="351" t="str">
        <f t="shared" si="29"/>
        <v/>
      </c>
      <c r="AE238" s="94"/>
      <c r="AF238" s="94"/>
      <c r="AG238" s="343" t="str">
        <f t="shared" si="32"/>
        <v/>
      </c>
      <c r="AH238" s="591" t="str">
        <f t="shared" si="33"/>
        <v/>
      </c>
      <c r="AI238" s="353" t="str">
        <f>IF(AH238="Check Data","Check Data",IFERROR(VLOOKUP(AH238,'G-4 Temporal multipliers'!$A$4:$C$36,3,FALSE),""))</f>
        <v/>
      </c>
      <c r="AJ238" s="77" t="str">
        <f>IF(S238="","",VLOOKUP(S238,'G-3 Multipliers'!$A$2:$E$130,4,FALSE))</f>
        <v/>
      </c>
      <c r="AK238" s="348" t="str">
        <f t="shared" si="34"/>
        <v/>
      </c>
      <c r="AL238" s="348" t="str">
        <f t="shared" si="35"/>
        <v/>
      </c>
      <c r="AM238" s="607" t="str">
        <f>IFERROR(IF(F238="","",IF(AH238="Check Data","Check Data",VLOOKUP(AL238, 'G-3 Multipliers'!$P$2:$Q$6,2,FALSE))),””)</f>
        <v/>
      </c>
      <c r="AN238" s="81" t="str">
        <f t="shared" si="30"/>
        <v/>
      </c>
      <c r="AO238" s="355"/>
      <c r="AP238" s="356"/>
    </row>
    <row r="239" spans="1:42" x14ac:dyDescent="0.25">
      <c r="A239" s="52" t="str">
        <f>IF(E239="","",IF(ISNA(VLOOKUP($E239,'A-1 Site Habitat Baseline'!$D$1:$O$258,2,FALSE)),"",(VLOOKUP($E239,'A-1 Site Habitat Baseline'!$D$1:$O$258,2,FALSE))))</f>
        <v/>
      </c>
      <c r="B239" s="52" t="str">
        <f>IF(E239="","",IF(ISNA(VLOOKUP($E239,'A-1 Site Habitat Baseline'!$D$1:$O$258,3,FALSE)),"",(VLOOKUP($E239,'A-1 Site Habitat Baseline'!$D$1:$O$258,3,FALSE))))</f>
        <v/>
      </c>
      <c r="C239" s="52" t="str">
        <f>IFERROR(INDEX('G-8 Condition Look up'!$I$4:$I$131,MATCH(S239,'G-8 Condition Look up'!$A$4:$A$131,0)),"")</f>
        <v/>
      </c>
      <c r="E239" s="342" t="str">
        <f>'A-1 Site Habitat Baseline'!AL238</f>
        <v/>
      </c>
      <c r="F239" s="343" t="str">
        <f>IF(E239="","",IF(ISNA(VLOOKUP($E239,'A-1 Site Habitat Baseline'!$D$1:$O$258,4,FALSE)),"",(VLOOKUP($E239,'A-1 Site Habitat Baseline'!$D$1:$O$258,4,FALSE))))</f>
        <v/>
      </c>
      <c r="G239" s="343" t="str">
        <f>IF(E239="","",IF(ISNA(VLOOKUP($E239,'A-1 Site Habitat Baseline'!$D$1:$O$258,5,FALSE)),"",(VLOOKUP($E239,'A-1 Site Habitat Baseline'!$D$1:$O$258,5,FALSE))))</f>
        <v/>
      </c>
      <c r="H239" s="343" t="str">
        <f>IF(E239="","",IF(ISNA(VLOOKUP($E239,'A-1 Site Habitat Baseline'!$D$1:$O$258,6,FALSE)),"",(VLOOKUP($E239,'A-1 Site Habitat Baseline'!$D$1:$O$258,6,FALSE))))</f>
        <v/>
      </c>
      <c r="I239" s="343" t="str">
        <f>IF(E239="","",IF(ISNA(VLOOKUP($E239,'A-1 Site Habitat Baseline'!$D$1:$O$258,7,FALSE)),"",(VLOOKUP($E239,'A-1 Site Habitat Baseline'!$D$1:$O$258,7,FALSE))))</f>
        <v/>
      </c>
      <c r="J239" s="343" t="str">
        <f>IF(E239="","",IF(ISNA(VLOOKUP($E239,'A-1 Site Habitat Baseline'!$D$1:$O$258,8,FALSE)),"",(VLOOKUP($E239,'A-1 Site Habitat Baseline'!$D$1:$O$258,8,FALSE))))</f>
        <v/>
      </c>
      <c r="K239" s="343" t="str">
        <f>IF(E239="","",IF(ISNA(VLOOKUP($E239,'A-1 Site Habitat Baseline'!$D$1:$O$258,9,FALSE)),"",(VLOOKUP($E239,'A-1 Site Habitat Baseline'!$D$1:$O$258,9,FALSE))))</f>
        <v/>
      </c>
      <c r="L239" s="343" t="str">
        <f>IF(E239="","",IF(ISNA(VLOOKUP($E239,'A-1 Site Habitat Baseline'!$D$1:$O$258,11,FALSE)),"",(VLOOKUP($E239,'A-1 Site Habitat Baseline'!$D$1:$O$258,11,FALSE))))</f>
        <v/>
      </c>
      <c r="M239" s="343" t="str">
        <f>IF(E239="","",IF(ISNA(VLOOKUP($E239,'A-1 Site Habitat Baseline'!$D$1:$O$258,12,FALSE)),"",(VLOOKUP($E239,'A-1 Site Habitat Baseline'!$D$1:$O$258,12,FALSE))))</f>
        <v/>
      </c>
      <c r="N239" s="344" t="str">
        <f>IF(E239="","",IF(ISNA(VLOOKUP($E239,'A-1 Site Habitat Baseline'!$D$1:$X$258,14,FALSE)),"",(VLOOKUP($E239,'A-1 Site Habitat Baseline'!$D$1:$X$258,14,FALSE))))</f>
        <v/>
      </c>
      <c r="O239" s="345" t="str">
        <f>IF(E239="","",IF(ISNA(VLOOKUP($E239,'A-1 Site Habitat Baseline'!$D$1:$X$258,16,FALSE)),"",(VLOOKUP($E239,'A-1 Site Habitat Baseline'!$D$1:$X$258,13,FALSE))))</f>
        <v/>
      </c>
      <c r="P239" s="346" t="str">
        <f>IFERROR(INDEX('G-1 All Habitats'!$AG$3:$AG$15,MATCH(Q239,'G-1 All Habitats'!$AF$3:$AF$15,0)),"")</f>
        <v/>
      </c>
      <c r="Q239" s="347"/>
      <c r="R239" s="347"/>
      <c r="S239" s="605" t="str">
        <f>IFERROR(INDEX('G-1 All Habitats'!$B$3:$B$130,MATCH(R239,'G-1 All Habitats'!$A$3:$A$130,0)),"")</f>
        <v/>
      </c>
      <c r="T239" s="77" t="str">
        <f t="shared" si="36"/>
        <v/>
      </c>
      <c r="U239" s="78" t="str">
        <f t="shared" si="31"/>
        <v/>
      </c>
      <c r="V239" s="350" t="str">
        <f t="shared" si="28"/>
        <v/>
      </c>
      <c r="W239" s="343" t="str">
        <f>IF(S239="","",VLOOKUP(S239,'G-1 All Habitats'!$B$2:$M$130,10,FALSE))</f>
        <v/>
      </c>
      <c r="X239" s="343" t="str">
        <f>IFERROR(VLOOKUP(W239,'G-1 All Habitats'!$V$3:$W$7,2,FALSE),"")</f>
        <v/>
      </c>
      <c r="Y239" s="91"/>
      <c r="Z239" s="345" t="str">
        <f>IFERROR(INDEX('G-8 Condition Look up'!$A$3:$H$131,MATCH(S239,'G-8 Condition Look up'!$A$3:$A$131,0),MATCH(Y239,'G-8 Condition Look up'!$A$3:$H$3,0)),"")</f>
        <v/>
      </c>
      <c r="AA239" s="79"/>
      <c r="AB239" s="343" t="str">
        <f>IF(AA239="","",IF(VLOOKUP(AA239,'G-3 Multipliers'!$L$3:$N$6,2,FALSE)=0,"Spatial Data Missing",VLOOKUP(AA239,'G-3 Multipliers'!$L$3:$N$6,2,FALSE)))</f>
        <v/>
      </c>
      <c r="AC239" s="345" t="str">
        <f>IF(AA239="","",IF(VLOOKUP(AA239,'G-3 Multipliers'!$L$3:$N$6,3,FALSE)=0,"Spatial Data Missing",VLOOKUP(AA239,'G-3 Multipliers'!$L$3:$N$6,3,FALSE)))</f>
        <v/>
      </c>
      <c r="AD239" s="351" t="str">
        <f t="shared" si="29"/>
        <v/>
      </c>
      <c r="AE239" s="94"/>
      <c r="AF239" s="94"/>
      <c r="AG239" s="343" t="str">
        <f t="shared" si="32"/>
        <v/>
      </c>
      <c r="AH239" s="591" t="str">
        <f t="shared" si="33"/>
        <v/>
      </c>
      <c r="AI239" s="353" t="str">
        <f>IF(AH239="Check Data","Check Data",IFERROR(VLOOKUP(AH239,'G-4 Temporal multipliers'!$A$4:$C$36,3,FALSE),""))</f>
        <v/>
      </c>
      <c r="AJ239" s="77" t="str">
        <f>IF(S239="","",VLOOKUP(S239,'G-3 Multipliers'!$A$2:$E$130,4,FALSE))</f>
        <v/>
      </c>
      <c r="AK239" s="348" t="str">
        <f t="shared" si="34"/>
        <v/>
      </c>
      <c r="AL239" s="348" t="str">
        <f t="shared" si="35"/>
        <v/>
      </c>
      <c r="AM239" s="607" t="str">
        <f>IFERROR(IF(F239="","",IF(AH239="Check Data","Check Data",VLOOKUP(AL239, 'G-3 Multipliers'!$P$2:$Q$6,2,FALSE))),””)</f>
        <v/>
      </c>
      <c r="AN239" s="81" t="str">
        <f t="shared" si="30"/>
        <v/>
      </c>
      <c r="AO239" s="355"/>
      <c r="AP239" s="356"/>
    </row>
    <row r="240" spans="1:42" x14ac:dyDescent="0.25">
      <c r="A240" s="52" t="str">
        <f>IF(E240="","",IF(ISNA(VLOOKUP($E240,'A-1 Site Habitat Baseline'!$D$1:$O$258,2,FALSE)),"",(VLOOKUP($E240,'A-1 Site Habitat Baseline'!$D$1:$O$258,2,FALSE))))</f>
        <v/>
      </c>
      <c r="B240" s="52" t="str">
        <f>IF(E240="","",IF(ISNA(VLOOKUP($E240,'A-1 Site Habitat Baseline'!$D$1:$O$258,3,FALSE)),"",(VLOOKUP($E240,'A-1 Site Habitat Baseline'!$D$1:$O$258,3,FALSE))))</f>
        <v/>
      </c>
      <c r="C240" s="52" t="str">
        <f>IFERROR(INDEX('G-8 Condition Look up'!$I$4:$I$131,MATCH(S240,'G-8 Condition Look up'!$A$4:$A$131,0)),"")</f>
        <v/>
      </c>
      <c r="E240" s="342" t="str">
        <f>'A-1 Site Habitat Baseline'!AL239</f>
        <v/>
      </c>
      <c r="F240" s="343" t="str">
        <f>IF(E240="","",IF(ISNA(VLOOKUP($E240,'A-1 Site Habitat Baseline'!$D$1:$O$258,4,FALSE)),"",(VLOOKUP($E240,'A-1 Site Habitat Baseline'!$D$1:$O$258,4,FALSE))))</f>
        <v/>
      </c>
      <c r="G240" s="343" t="str">
        <f>IF(E240="","",IF(ISNA(VLOOKUP($E240,'A-1 Site Habitat Baseline'!$D$1:$O$258,5,FALSE)),"",(VLOOKUP($E240,'A-1 Site Habitat Baseline'!$D$1:$O$258,5,FALSE))))</f>
        <v/>
      </c>
      <c r="H240" s="343" t="str">
        <f>IF(E240="","",IF(ISNA(VLOOKUP($E240,'A-1 Site Habitat Baseline'!$D$1:$O$258,6,FALSE)),"",(VLOOKUP($E240,'A-1 Site Habitat Baseline'!$D$1:$O$258,6,FALSE))))</f>
        <v/>
      </c>
      <c r="I240" s="343" t="str">
        <f>IF(E240="","",IF(ISNA(VLOOKUP($E240,'A-1 Site Habitat Baseline'!$D$1:$O$258,7,FALSE)),"",(VLOOKUP($E240,'A-1 Site Habitat Baseline'!$D$1:$O$258,7,FALSE))))</f>
        <v/>
      </c>
      <c r="J240" s="343" t="str">
        <f>IF(E240="","",IF(ISNA(VLOOKUP($E240,'A-1 Site Habitat Baseline'!$D$1:$O$258,8,FALSE)),"",(VLOOKUP($E240,'A-1 Site Habitat Baseline'!$D$1:$O$258,8,FALSE))))</f>
        <v/>
      </c>
      <c r="K240" s="343" t="str">
        <f>IF(E240="","",IF(ISNA(VLOOKUP($E240,'A-1 Site Habitat Baseline'!$D$1:$O$258,9,FALSE)),"",(VLOOKUP($E240,'A-1 Site Habitat Baseline'!$D$1:$O$258,9,FALSE))))</f>
        <v/>
      </c>
      <c r="L240" s="343" t="str">
        <f>IF(E240="","",IF(ISNA(VLOOKUP($E240,'A-1 Site Habitat Baseline'!$D$1:$O$258,11,FALSE)),"",(VLOOKUP($E240,'A-1 Site Habitat Baseline'!$D$1:$O$258,11,FALSE))))</f>
        <v/>
      </c>
      <c r="M240" s="343" t="str">
        <f>IF(E240="","",IF(ISNA(VLOOKUP($E240,'A-1 Site Habitat Baseline'!$D$1:$O$258,12,FALSE)),"",(VLOOKUP($E240,'A-1 Site Habitat Baseline'!$D$1:$O$258,12,FALSE))))</f>
        <v/>
      </c>
      <c r="N240" s="344" t="str">
        <f>IF(E240="","",IF(ISNA(VLOOKUP($E240,'A-1 Site Habitat Baseline'!$D$1:$X$258,14,FALSE)),"",(VLOOKUP($E240,'A-1 Site Habitat Baseline'!$D$1:$X$258,14,FALSE))))</f>
        <v/>
      </c>
      <c r="O240" s="345" t="str">
        <f>IF(E240="","",IF(ISNA(VLOOKUP($E240,'A-1 Site Habitat Baseline'!$D$1:$X$258,16,FALSE)),"",(VLOOKUP($E240,'A-1 Site Habitat Baseline'!$D$1:$X$258,13,FALSE))))</f>
        <v/>
      </c>
      <c r="P240" s="346" t="str">
        <f>IFERROR(INDEX('G-1 All Habitats'!$AG$3:$AG$15,MATCH(Q240,'G-1 All Habitats'!$AF$3:$AF$15,0)),"")</f>
        <v/>
      </c>
      <c r="Q240" s="347"/>
      <c r="R240" s="347"/>
      <c r="S240" s="605" t="str">
        <f>IFERROR(INDEX('G-1 All Habitats'!$B$3:$B$130,MATCH(R240,'G-1 All Habitats'!$A$3:$A$130,0)),"")</f>
        <v/>
      </c>
      <c r="T240" s="77" t="str">
        <f t="shared" si="36"/>
        <v/>
      </c>
      <c r="U240" s="78" t="str">
        <f t="shared" si="31"/>
        <v/>
      </c>
      <c r="V240" s="350" t="str">
        <f t="shared" si="28"/>
        <v/>
      </c>
      <c r="W240" s="343" t="str">
        <f>IF(S240="","",VLOOKUP(S240,'G-1 All Habitats'!$B$2:$M$130,10,FALSE))</f>
        <v/>
      </c>
      <c r="X240" s="343" t="str">
        <f>IFERROR(VLOOKUP(W240,'G-1 All Habitats'!$V$3:$W$7,2,FALSE),"")</f>
        <v/>
      </c>
      <c r="Y240" s="91"/>
      <c r="Z240" s="345" t="str">
        <f>IFERROR(INDEX('G-8 Condition Look up'!$A$3:$H$131,MATCH(S240,'G-8 Condition Look up'!$A$3:$A$131,0),MATCH(Y240,'G-8 Condition Look up'!$A$3:$H$3,0)),"")</f>
        <v/>
      </c>
      <c r="AA240" s="79"/>
      <c r="AB240" s="343" t="str">
        <f>IF(AA240="","",IF(VLOOKUP(AA240,'G-3 Multipliers'!$L$3:$N$6,2,FALSE)=0,"Spatial Data Missing",VLOOKUP(AA240,'G-3 Multipliers'!$L$3:$N$6,2,FALSE)))</f>
        <v/>
      </c>
      <c r="AC240" s="345" t="str">
        <f>IF(AA240="","",IF(VLOOKUP(AA240,'G-3 Multipliers'!$L$3:$N$6,3,FALSE)=0,"Spatial Data Missing",VLOOKUP(AA240,'G-3 Multipliers'!$L$3:$N$6,3,FALSE)))</f>
        <v/>
      </c>
      <c r="AD240" s="351" t="str">
        <f t="shared" si="29"/>
        <v/>
      </c>
      <c r="AE240" s="94"/>
      <c r="AF240" s="94"/>
      <c r="AG240" s="343" t="str">
        <f t="shared" si="32"/>
        <v/>
      </c>
      <c r="AH240" s="591" t="str">
        <f t="shared" si="33"/>
        <v/>
      </c>
      <c r="AI240" s="353" t="str">
        <f>IF(AH240="Check Data","Check Data",IFERROR(VLOOKUP(AH240,'G-4 Temporal multipliers'!$A$4:$C$36,3,FALSE),""))</f>
        <v/>
      </c>
      <c r="AJ240" s="77" t="str">
        <f>IF(S240="","",VLOOKUP(S240,'G-3 Multipliers'!$A$2:$E$130,4,FALSE))</f>
        <v/>
      </c>
      <c r="AK240" s="348" t="str">
        <f t="shared" si="34"/>
        <v/>
      </c>
      <c r="AL240" s="348" t="str">
        <f t="shared" si="35"/>
        <v/>
      </c>
      <c r="AM240" s="607" t="str">
        <f>IFERROR(IF(F240="","",IF(AH240="Check Data","Check Data",VLOOKUP(AL240, 'G-3 Multipliers'!$P$2:$Q$6,2,FALSE))),””)</f>
        <v/>
      </c>
      <c r="AN240" s="81" t="str">
        <f t="shared" si="30"/>
        <v/>
      </c>
      <c r="AO240" s="355"/>
      <c r="AP240" s="356"/>
    </row>
    <row r="241" spans="1:42" x14ac:dyDescent="0.25">
      <c r="A241" s="52" t="str">
        <f>IF(E241="","",IF(ISNA(VLOOKUP($E241,'A-1 Site Habitat Baseline'!$D$1:$O$258,2,FALSE)),"",(VLOOKUP($E241,'A-1 Site Habitat Baseline'!$D$1:$O$258,2,FALSE))))</f>
        <v/>
      </c>
      <c r="B241" s="52" t="str">
        <f>IF(E241="","",IF(ISNA(VLOOKUP($E241,'A-1 Site Habitat Baseline'!$D$1:$O$258,3,FALSE)),"",(VLOOKUP($E241,'A-1 Site Habitat Baseline'!$D$1:$O$258,3,FALSE))))</f>
        <v/>
      </c>
      <c r="C241" s="52" t="str">
        <f>IFERROR(INDEX('G-8 Condition Look up'!$I$4:$I$131,MATCH(S241,'G-8 Condition Look up'!$A$4:$A$131,0)),"")</f>
        <v/>
      </c>
      <c r="E241" s="342" t="str">
        <f>'A-1 Site Habitat Baseline'!AL240</f>
        <v/>
      </c>
      <c r="F241" s="343" t="str">
        <f>IF(E241="","",IF(ISNA(VLOOKUP($E241,'A-1 Site Habitat Baseline'!$D$1:$O$258,4,FALSE)),"",(VLOOKUP($E241,'A-1 Site Habitat Baseline'!$D$1:$O$258,4,FALSE))))</f>
        <v/>
      </c>
      <c r="G241" s="343" t="str">
        <f>IF(E241="","",IF(ISNA(VLOOKUP($E241,'A-1 Site Habitat Baseline'!$D$1:$O$258,5,FALSE)),"",(VLOOKUP($E241,'A-1 Site Habitat Baseline'!$D$1:$O$258,5,FALSE))))</f>
        <v/>
      </c>
      <c r="H241" s="343" t="str">
        <f>IF(E241="","",IF(ISNA(VLOOKUP($E241,'A-1 Site Habitat Baseline'!$D$1:$O$258,6,FALSE)),"",(VLOOKUP($E241,'A-1 Site Habitat Baseline'!$D$1:$O$258,6,FALSE))))</f>
        <v/>
      </c>
      <c r="I241" s="343" t="str">
        <f>IF(E241="","",IF(ISNA(VLOOKUP($E241,'A-1 Site Habitat Baseline'!$D$1:$O$258,7,FALSE)),"",(VLOOKUP($E241,'A-1 Site Habitat Baseline'!$D$1:$O$258,7,FALSE))))</f>
        <v/>
      </c>
      <c r="J241" s="343" t="str">
        <f>IF(E241="","",IF(ISNA(VLOOKUP($E241,'A-1 Site Habitat Baseline'!$D$1:$O$258,8,FALSE)),"",(VLOOKUP($E241,'A-1 Site Habitat Baseline'!$D$1:$O$258,8,FALSE))))</f>
        <v/>
      </c>
      <c r="K241" s="343" t="str">
        <f>IF(E241="","",IF(ISNA(VLOOKUP($E241,'A-1 Site Habitat Baseline'!$D$1:$O$258,9,FALSE)),"",(VLOOKUP($E241,'A-1 Site Habitat Baseline'!$D$1:$O$258,9,FALSE))))</f>
        <v/>
      </c>
      <c r="L241" s="343" t="str">
        <f>IF(E241="","",IF(ISNA(VLOOKUP($E241,'A-1 Site Habitat Baseline'!$D$1:$O$258,11,FALSE)),"",(VLOOKUP($E241,'A-1 Site Habitat Baseline'!$D$1:$O$258,11,FALSE))))</f>
        <v/>
      </c>
      <c r="M241" s="343" t="str">
        <f>IF(E241="","",IF(ISNA(VLOOKUP($E241,'A-1 Site Habitat Baseline'!$D$1:$O$258,12,FALSE)),"",(VLOOKUP($E241,'A-1 Site Habitat Baseline'!$D$1:$O$258,12,FALSE))))</f>
        <v/>
      </c>
      <c r="N241" s="344" t="str">
        <f>IF(E241="","",IF(ISNA(VLOOKUP($E241,'A-1 Site Habitat Baseline'!$D$1:$X$258,14,FALSE)),"",(VLOOKUP($E241,'A-1 Site Habitat Baseline'!$D$1:$X$258,14,FALSE))))</f>
        <v/>
      </c>
      <c r="O241" s="345" t="str">
        <f>IF(E241="","",IF(ISNA(VLOOKUP($E241,'A-1 Site Habitat Baseline'!$D$1:$X$258,16,FALSE)),"",(VLOOKUP($E241,'A-1 Site Habitat Baseline'!$D$1:$X$258,13,FALSE))))</f>
        <v/>
      </c>
      <c r="P241" s="346" t="str">
        <f>IFERROR(INDEX('G-1 All Habitats'!$AG$3:$AG$15,MATCH(Q241,'G-1 All Habitats'!$AF$3:$AF$15,0)),"")</f>
        <v/>
      </c>
      <c r="Q241" s="347"/>
      <c r="R241" s="347"/>
      <c r="S241" s="605" t="str">
        <f>IFERROR(INDEX('G-1 All Habitats'!$B$3:$B$130,MATCH(R241,'G-1 All Habitats'!$A$3:$A$130,0)),"")</f>
        <v/>
      </c>
      <c r="T241" s="77" t="str">
        <f t="shared" si="36"/>
        <v/>
      </c>
      <c r="U241" s="78" t="str">
        <f t="shared" si="31"/>
        <v/>
      </c>
      <c r="V241" s="350" t="str">
        <f t="shared" si="28"/>
        <v/>
      </c>
      <c r="W241" s="343" t="str">
        <f>IF(S241="","",VLOOKUP(S241,'G-1 All Habitats'!$B$2:$M$130,10,FALSE))</f>
        <v/>
      </c>
      <c r="X241" s="343" t="str">
        <f>IFERROR(VLOOKUP(W241,'G-1 All Habitats'!$V$3:$W$7,2,FALSE),"")</f>
        <v/>
      </c>
      <c r="Y241" s="91"/>
      <c r="Z241" s="345" t="str">
        <f>IFERROR(INDEX('G-8 Condition Look up'!$A$3:$H$131,MATCH(S241,'G-8 Condition Look up'!$A$3:$A$131,0),MATCH(Y241,'G-8 Condition Look up'!$A$3:$H$3,0)),"")</f>
        <v/>
      </c>
      <c r="AA241" s="79"/>
      <c r="AB241" s="343" t="str">
        <f>IF(AA241="","",IF(VLOOKUP(AA241,'G-3 Multipliers'!$L$3:$N$6,2,FALSE)=0,"Spatial Data Missing",VLOOKUP(AA241,'G-3 Multipliers'!$L$3:$N$6,2,FALSE)))</f>
        <v/>
      </c>
      <c r="AC241" s="345" t="str">
        <f>IF(AA241="","",IF(VLOOKUP(AA241,'G-3 Multipliers'!$L$3:$N$6,3,FALSE)=0,"Spatial Data Missing",VLOOKUP(AA241,'G-3 Multipliers'!$L$3:$N$6,3,FALSE)))</f>
        <v/>
      </c>
      <c r="AD241" s="351" t="str">
        <f t="shared" si="29"/>
        <v/>
      </c>
      <c r="AE241" s="94"/>
      <c r="AF241" s="94"/>
      <c r="AG241" s="343" t="str">
        <f t="shared" si="32"/>
        <v/>
      </c>
      <c r="AH241" s="591" t="str">
        <f t="shared" si="33"/>
        <v/>
      </c>
      <c r="AI241" s="353" t="str">
        <f>IF(AH241="Check Data","Check Data",IFERROR(VLOOKUP(AH241,'G-4 Temporal multipliers'!$A$4:$C$36,3,FALSE),""))</f>
        <v/>
      </c>
      <c r="AJ241" s="77" t="str">
        <f>IF(S241="","",VLOOKUP(S241,'G-3 Multipliers'!$A$2:$E$130,4,FALSE))</f>
        <v/>
      </c>
      <c r="AK241" s="348" t="str">
        <f t="shared" si="34"/>
        <v/>
      </c>
      <c r="AL241" s="348" t="str">
        <f t="shared" si="35"/>
        <v/>
      </c>
      <c r="AM241" s="607" t="str">
        <f>IFERROR(IF(F241="","",IF(AH241="Check Data","Check Data",VLOOKUP(AL241, 'G-3 Multipliers'!$P$2:$Q$6,2,FALSE))),””)</f>
        <v/>
      </c>
      <c r="AN241" s="81" t="str">
        <f t="shared" si="30"/>
        <v/>
      </c>
      <c r="AO241" s="355"/>
      <c r="AP241" s="356"/>
    </row>
    <row r="242" spans="1:42" x14ac:dyDescent="0.25">
      <c r="A242" s="52" t="str">
        <f>IF(E242="","",IF(ISNA(VLOOKUP($E242,'A-1 Site Habitat Baseline'!$D$1:$O$258,2,FALSE)),"",(VLOOKUP($E242,'A-1 Site Habitat Baseline'!$D$1:$O$258,2,FALSE))))</f>
        <v/>
      </c>
      <c r="B242" s="52" t="str">
        <f>IF(E242="","",IF(ISNA(VLOOKUP($E242,'A-1 Site Habitat Baseline'!$D$1:$O$258,3,FALSE)),"",(VLOOKUP($E242,'A-1 Site Habitat Baseline'!$D$1:$O$258,3,FALSE))))</f>
        <v/>
      </c>
      <c r="C242" s="52" t="str">
        <f>IFERROR(INDEX('G-8 Condition Look up'!$I$4:$I$131,MATCH(S242,'G-8 Condition Look up'!$A$4:$A$131,0)),"")</f>
        <v/>
      </c>
      <c r="E242" s="342" t="str">
        <f>'A-1 Site Habitat Baseline'!AL241</f>
        <v/>
      </c>
      <c r="F242" s="343" t="str">
        <f>IF(E242="","",IF(ISNA(VLOOKUP($E242,'A-1 Site Habitat Baseline'!$D$1:$O$258,4,FALSE)),"",(VLOOKUP($E242,'A-1 Site Habitat Baseline'!$D$1:$O$258,4,FALSE))))</f>
        <v/>
      </c>
      <c r="G242" s="343" t="str">
        <f>IF(E242="","",IF(ISNA(VLOOKUP($E242,'A-1 Site Habitat Baseline'!$D$1:$O$258,5,FALSE)),"",(VLOOKUP($E242,'A-1 Site Habitat Baseline'!$D$1:$O$258,5,FALSE))))</f>
        <v/>
      </c>
      <c r="H242" s="343" t="str">
        <f>IF(E242="","",IF(ISNA(VLOOKUP($E242,'A-1 Site Habitat Baseline'!$D$1:$O$258,6,FALSE)),"",(VLOOKUP($E242,'A-1 Site Habitat Baseline'!$D$1:$O$258,6,FALSE))))</f>
        <v/>
      </c>
      <c r="I242" s="343" t="str">
        <f>IF(E242="","",IF(ISNA(VLOOKUP($E242,'A-1 Site Habitat Baseline'!$D$1:$O$258,7,FALSE)),"",(VLOOKUP($E242,'A-1 Site Habitat Baseline'!$D$1:$O$258,7,FALSE))))</f>
        <v/>
      </c>
      <c r="J242" s="343" t="str">
        <f>IF(E242="","",IF(ISNA(VLOOKUP($E242,'A-1 Site Habitat Baseline'!$D$1:$O$258,8,FALSE)),"",(VLOOKUP($E242,'A-1 Site Habitat Baseline'!$D$1:$O$258,8,FALSE))))</f>
        <v/>
      </c>
      <c r="K242" s="343" t="str">
        <f>IF(E242="","",IF(ISNA(VLOOKUP($E242,'A-1 Site Habitat Baseline'!$D$1:$O$258,9,FALSE)),"",(VLOOKUP($E242,'A-1 Site Habitat Baseline'!$D$1:$O$258,9,FALSE))))</f>
        <v/>
      </c>
      <c r="L242" s="343" t="str">
        <f>IF(E242="","",IF(ISNA(VLOOKUP($E242,'A-1 Site Habitat Baseline'!$D$1:$O$258,11,FALSE)),"",(VLOOKUP($E242,'A-1 Site Habitat Baseline'!$D$1:$O$258,11,FALSE))))</f>
        <v/>
      </c>
      <c r="M242" s="343" t="str">
        <f>IF(E242="","",IF(ISNA(VLOOKUP($E242,'A-1 Site Habitat Baseline'!$D$1:$O$258,12,FALSE)),"",(VLOOKUP($E242,'A-1 Site Habitat Baseline'!$D$1:$O$258,12,FALSE))))</f>
        <v/>
      </c>
      <c r="N242" s="344" t="str">
        <f>IF(E242="","",IF(ISNA(VLOOKUP($E242,'A-1 Site Habitat Baseline'!$D$1:$X$258,14,FALSE)),"",(VLOOKUP($E242,'A-1 Site Habitat Baseline'!$D$1:$X$258,14,FALSE))))</f>
        <v/>
      </c>
      <c r="O242" s="345" t="str">
        <f>IF(E242="","",IF(ISNA(VLOOKUP($E242,'A-1 Site Habitat Baseline'!$D$1:$X$258,16,FALSE)),"",(VLOOKUP($E242,'A-1 Site Habitat Baseline'!$D$1:$X$258,13,FALSE))))</f>
        <v/>
      </c>
      <c r="P242" s="346" t="str">
        <f>IFERROR(INDEX('G-1 All Habitats'!$AG$3:$AG$15,MATCH(Q242,'G-1 All Habitats'!$AF$3:$AF$15,0)),"")</f>
        <v/>
      </c>
      <c r="Q242" s="347"/>
      <c r="R242" s="347"/>
      <c r="S242" s="605" t="str">
        <f>IFERROR(INDEX('G-1 All Habitats'!$B$3:$B$130,MATCH(R242,'G-1 All Habitats'!$A$3:$A$130,0)),"")</f>
        <v/>
      </c>
      <c r="T242" s="77" t="str">
        <f t="shared" si="36"/>
        <v/>
      </c>
      <c r="U242" s="78" t="str">
        <f t="shared" si="31"/>
        <v/>
      </c>
      <c r="V242" s="350" t="str">
        <f t="shared" si="28"/>
        <v/>
      </c>
      <c r="W242" s="343" t="str">
        <f>IF(S242="","",VLOOKUP(S242,'G-1 All Habitats'!$B$2:$M$130,10,FALSE))</f>
        <v/>
      </c>
      <c r="X242" s="343" t="str">
        <f>IFERROR(VLOOKUP(W242,'G-1 All Habitats'!$V$3:$W$7,2,FALSE),"")</f>
        <v/>
      </c>
      <c r="Y242" s="91"/>
      <c r="Z242" s="345" t="str">
        <f>IFERROR(INDEX('G-8 Condition Look up'!$A$3:$H$131,MATCH(S242,'G-8 Condition Look up'!$A$3:$A$131,0),MATCH(Y242,'G-8 Condition Look up'!$A$3:$H$3,0)),"")</f>
        <v/>
      </c>
      <c r="AA242" s="79"/>
      <c r="AB242" s="343" t="str">
        <f>IF(AA242="","",IF(VLOOKUP(AA242,'G-3 Multipliers'!$L$3:$N$6,2,FALSE)=0,"Spatial Data Missing",VLOOKUP(AA242,'G-3 Multipliers'!$L$3:$N$6,2,FALSE)))</f>
        <v/>
      </c>
      <c r="AC242" s="345" t="str">
        <f>IF(AA242="","",IF(VLOOKUP(AA242,'G-3 Multipliers'!$L$3:$N$6,3,FALSE)=0,"Spatial Data Missing",VLOOKUP(AA242,'G-3 Multipliers'!$L$3:$N$6,3,FALSE)))</f>
        <v/>
      </c>
      <c r="AD242" s="351" t="str">
        <f t="shared" si="29"/>
        <v/>
      </c>
      <c r="AE242" s="94"/>
      <c r="AF242" s="94"/>
      <c r="AG242" s="343" t="str">
        <f t="shared" si="32"/>
        <v/>
      </c>
      <c r="AH242" s="591" t="str">
        <f t="shared" si="33"/>
        <v/>
      </c>
      <c r="AI242" s="353" t="str">
        <f>IF(AH242="Check Data","Check Data",IFERROR(VLOOKUP(AH242,'G-4 Temporal multipliers'!$A$4:$C$36,3,FALSE),""))</f>
        <v/>
      </c>
      <c r="AJ242" s="77" t="str">
        <f>IF(S242="","",VLOOKUP(S242,'G-3 Multipliers'!$A$2:$E$130,4,FALSE))</f>
        <v/>
      </c>
      <c r="AK242" s="348" t="str">
        <f t="shared" si="34"/>
        <v/>
      </c>
      <c r="AL242" s="348" t="str">
        <f t="shared" si="35"/>
        <v/>
      </c>
      <c r="AM242" s="607" t="str">
        <f>IFERROR(IF(F242="","",IF(AH242="Check Data","Check Data",VLOOKUP(AL242, 'G-3 Multipliers'!$P$2:$Q$6,2,FALSE))),””)</f>
        <v/>
      </c>
      <c r="AN242" s="81" t="str">
        <f t="shared" si="30"/>
        <v/>
      </c>
      <c r="AO242" s="355"/>
      <c r="AP242" s="356"/>
    </row>
    <row r="243" spans="1:42" x14ac:dyDescent="0.25">
      <c r="A243" s="52" t="str">
        <f>IF(E243="","",IF(ISNA(VLOOKUP($E243,'A-1 Site Habitat Baseline'!$D$1:$O$258,2,FALSE)),"",(VLOOKUP($E243,'A-1 Site Habitat Baseline'!$D$1:$O$258,2,FALSE))))</f>
        <v/>
      </c>
      <c r="B243" s="52" t="str">
        <f>IF(E243="","",IF(ISNA(VLOOKUP($E243,'A-1 Site Habitat Baseline'!$D$1:$O$258,3,FALSE)),"",(VLOOKUP($E243,'A-1 Site Habitat Baseline'!$D$1:$O$258,3,FALSE))))</f>
        <v/>
      </c>
      <c r="C243" s="52" t="str">
        <f>IFERROR(INDEX('G-8 Condition Look up'!$I$4:$I$131,MATCH(S243,'G-8 Condition Look up'!$A$4:$A$131,0)),"")</f>
        <v/>
      </c>
      <c r="E243" s="342" t="str">
        <f>'A-1 Site Habitat Baseline'!AL242</f>
        <v/>
      </c>
      <c r="F243" s="343" t="str">
        <f>IF(E243="","",IF(ISNA(VLOOKUP($E243,'A-1 Site Habitat Baseline'!$D$1:$O$258,4,FALSE)),"",(VLOOKUP($E243,'A-1 Site Habitat Baseline'!$D$1:$O$258,4,FALSE))))</f>
        <v/>
      </c>
      <c r="G243" s="343" t="str">
        <f>IF(E243="","",IF(ISNA(VLOOKUP($E243,'A-1 Site Habitat Baseline'!$D$1:$O$258,5,FALSE)),"",(VLOOKUP($E243,'A-1 Site Habitat Baseline'!$D$1:$O$258,5,FALSE))))</f>
        <v/>
      </c>
      <c r="H243" s="343" t="str">
        <f>IF(E243="","",IF(ISNA(VLOOKUP($E243,'A-1 Site Habitat Baseline'!$D$1:$O$258,6,FALSE)),"",(VLOOKUP($E243,'A-1 Site Habitat Baseline'!$D$1:$O$258,6,FALSE))))</f>
        <v/>
      </c>
      <c r="I243" s="343" t="str">
        <f>IF(E243="","",IF(ISNA(VLOOKUP($E243,'A-1 Site Habitat Baseline'!$D$1:$O$258,7,FALSE)),"",(VLOOKUP($E243,'A-1 Site Habitat Baseline'!$D$1:$O$258,7,FALSE))))</f>
        <v/>
      </c>
      <c r="J243" s="343" t="str">
        <f>IF(E243="","",IF(ISNA(VLOOKUP($E243,'A-1 Site Habitat Baseline'!$D$1:$O$258,8,FALSE)),"",(VLOOKUP($E243,'A-1 Site Habitat Baseline'!$D$1:$O$258,8,FALSE))))</f>
        <v/>
      </c>
      <c r="K243" s="343" t="str">
        <f>IF(E243="","",IF(ISNA(VLOOKUP($E243,'A-1 Site Habitat Baseline'!$D$1:$O$258,9,FALSE)),"",(VLOOKUP($E243,'A-1 Site Habitat Baseline'!$D$1:$O$258,9,FALSE))))</f>
        <v/>
      </c>
      <c r="L243" s="343" t="str">
        <f>IF(E243="","",IF(ISNA(VLOOKUP($E243,'A-1 Site Habitat Baseline'!$D$1:$O$258,11,FALSE)),"",(VLOOKUP($E243,'A-1 Site Habitat Baseline'!$D$1:$O$258,11,FALSE))))</f>
        <v/>
      </c>
      <c r="M243" s="343" t="str">
        <f>IF(E243="","",IF(ISNA(VLOOKUP($E243,'A-1 Site Habitat Baseline'!$D$1:$O$258,12,FALSE)),"",(VLOOKUP($E243,'A-1 Site Habitat Baseline'!$D$1:$O$258,12,FALSE))))</f>
        <v/>
      </c>
      <c r="N243" s="344" t="str">
        <f>IF(E243="","",IF(ISNA(VLOOKUP($E243,'A-1 Site Habitat Baseline'!$D$1:$X$258,14,FALSE)),"",(VLOOKUP($E243,'A-1 Site Habitat Baseline'!$D$1:$X$258,14,FALSE))))</f>
        <v/>
      </c>
      <c r="O243" s="345" t="str">
        <f>IF(E243="","",IF(ISNA(VLOOKUP($E243,'A-1 Site Habitat Baseline'!$D$1:$X$258,16,FALSE)),"",(VLOOKUP($E243,'A-1 Site Habitat Baseline'!$D$1:$X$258,13,FALSE))))</f>
        <v/>
      </c>
      <c r="P243" s="346" t="str">
        <f>IFERROR(INDEX('G-1 All Habitats'!$AG$3:$AG$15,MATCH(Q243,'G-1 All Habitats'!$AF$3:$AF$15,0)),"")</f>
        <v/>
      </c>
      <c r="Q243" s="347"/>
      <c r="R243" s="347"/>
      <c r="S243" s="605" t="str">
        <f>IFERROR(INDEX('G-1 All Habitats'!$B$3:$B$130,MATCH(R243,'G-1 All Habitats'!$A$3:$A$130,0)),"")</f>
        <v/>
      </c>
      <c r="T243" s="77" t="str">
        <f t="shared" si="36"/>
        <v/>
      </c>
      <c r="U243" s="78" t="str">
        <f t="shared" si="31"/>
        <v/>
      </c>
      <c r="V243" s="350" t="str">
        <f t="shared" si="28"/>
        <v/>
      </c>
      <c r="W243" s="343" t="str">
        <f>IF(S243="","",VLOOKUP(S243,'G-1 All Habitats'!$B$2:$M$130,10,FALSE))</f>
        <v/>
      </c>
      <c r="X243" s="343" t="str">
        <f>IFERROR(VLOOKUP(W243,'G-1 All Habitats'!$V$3:$W$7,2,FALSE),"")</f>
        <v/>
      </c>
      <c r="Y243" s="91"/>
      <c r="Z243" s="345" t="str">
        <f>IFERROR(INDEX('G-8 Condition Look up'!$A$3:$H$131,MATCH(S243,'G-8 Condition Look up'!$A$3:$A$131,0),MATCH(Y243,'G-8 Condition Look up'!$A$3:$H$3,0)),"")</f>
        <v/>
      </c>
      <c r="AA243" s="79"/>
      <c r="AB243" s="343" t="str">
        <f>IF(AA243="","",IF(VLOOKUP(AA243,'G-3 Multipliers'!$L$3:$N$6,2,FALSE)=0,"Spatial Data Missing",VLOOKUP(AA243,'G-3 Multipliers'!$L$3:$N$6,2,FALSE)))</f>
        <v/>
      </c>
      <c r="AC243" s="345" t="str">
        <f>IF(AA243="","",IF(VLOOKUP(AA243,'G-3 Multipliers'!$L$3:$N$6,3,FALSE)=0,"Spatial Data Missing",VLOOKUP(AA243,'G-3 Multipliers'!$L$3:$N$6,3,FALSE)))</f>
        <v/>
      </c>
      <c r="AD243" s="351" t="str">
        <f t="shared" si="29"/>
        <v/>
      </c>
      <c r="AE243" s="94"/>
      <c r="AF243" s="94"/>
      <c r="AG243" s="343" t="str">
        <f t="shared" si="32"/>
        <v/>
      </c>
      <c r="AH243" s="591" t="str">
        <f t="shared" si="33"/>
        <v/>
      </c>
      <c r="AI243" s="353" t="str">
        <f>IF(AH243="Check Data","Check Data",IFERROR(VLOOKUP(AH243,'G-4 Temporal multipliers'!$A$4:$C$36,3,FALSE),""))</f>
        <v/>
      </c>
      <c r="AJ243" s="77" t="str">
        <f>IF(S243="","",VLOOKUP(S243,'G-3 Multipliers'!$A$2:$E$130,4,FALSE))</f>
        <v/>
      </c>
      <c r="AK243" s="348" t="str">
        <f t="shared" si="34"/>
        <v/>
      </c>
      <c r="AL243" s="348" t="str">
        <f t="shared" si="35"/>
        <v/>
      </c>
      <c r="AM243" s="607" t="str">
        <f>IFERROR(IF(F243="","",IF(AH243="Check Data","Check Data",VLOOKUP(AL243, 'G-3 Multipliers'!$P$2:$Q$6,2,FALSE))),””)</f>
        <v/>
      </c>
      <c r="AN243" s="81" t="str">
        <f t="shared" si="30"/>
        <v/>
      </c>
      <c r="AO243" s="355"/>
      <c r="AP243" s="356"/>
    </row>
    <row r="244" spans="1:42" x14ac:dyDescent="0.25">
      <c r="A244" s="52" t="str">
        <f>IF(E244="","",IF(ISNA(VLOOKUP($E244,'A-1 Site Habitat Baseline'!$D$1:$O$258,2,FALSE)),"",(VLOOKUP($E244,'A-1 Site Habitat Baseline'!$D$1:$O$258,2,FALSE))))</f>
        <v/>
      </c>
      <c r="B244" s="52" t="str">
        <f>IF(E244="","",IF(ISNA(VLOOKUP($E244,'A-1 Site Habitat Baseline'!$D$1:$O$258,3,FALSE)),"",(VLOOKUP($E244,'A-1 Site Habitat Baseline'!$D$1:$O$258,3,FALSE))))</f>
        <v/>
      </c>
      <c r="C244" s="52" t="str">
        <f>IFERROR(INDEX('G-8 Condition Look up'!$I$4:$I$131,MATCH(S244,'G-8 Condition Look up'!$A$4:$A$131,0)),"")</f>
        <v/>
      </c>
      <c r="E244" s="342" t="str">
        <f>'A-1 Site Habitat Baseline'!AL243</f>
        <v/>
      </c>
      <c r="F244" s="343" t="str">
        <f>IF(E244="","",IF(ISNA(VLOOKUP($E244,'A-1 Site Habitat Baseline'!$D$1:$O$258,4,FALSE)),"",(VLOOKUP($E244,'A-1 Site Habitat Baseline'!$D$1:$O$258,4,FALSE))))</f>
        <v/>
      </c>
      <c r="G244" s="343" t="str">
        <f>IF(E244="","",IF(ISNA(VLOOKUP($E244,'A-1 Site Habitat Baseline'!$D$1:$O$258,5,FALSE)),"",(VLOOKUP($E244,'A-1 Site Habitat Baseline'!$D$1:$O$258,5,FALSE))))</f>
        <v/>
      </c>
      <c r="H244" s="343" t="str">
        <f>IF(E244="","",IF(ISNA(VLOOKUP($E244,'A-1 Site Habitat Baseline'!$D$1:$O$258,6,FALSE)),"",(VLOOKUP($E244,'A-1 Site Habitat Baseline'!$D$1:$O$258,6,FALSE))))</f>
        <v/>
      </c>
      <c r="I244" s="343" t="str">
        <f>IF(E244="","",IF(ISNA(VLOOKUP($E244,'A-1 Site Habitat Baseline'!$D$1:$O$258,7,FALSE)),"",(VLOOKUP($E244,'A-1 Site Habitat Baseline'!$D$1:$O$258,7,FALSE))))</f>
        <v/>
      </c>
      <c r="J244" s="343" t="str">
        <f>IF(E244="","",IF(ISNA(VLOOKUP($E244,'A-1 Site Habitat Baseline'!$D$1:$O$258,8,FALSE)),"",(VLOOKUP($E244,'A-1 Site Habitat Baseline'!$D$1:$O$258,8,FALSE))))</f>
        <v/>
      </c>
      <c r="K244" s="343" t="str">
        <f>IF(E244="","",IF(ISNA(VLOOKUP($E244,'A-1 Site Habitat Baseline'!$D$1:$O$258,9,FALSE)),"",(VLOOKUP($E244,'A-1 Site Habitat Baseline'!$D$1:$O$258,9,FALSE))))</f>
        <v/>
      </c>
      <c r="L244" s="343" t="str">
        <f>IF(E244="","",IF(ISNA(VLOOKUP($E244,'A-1 Site Habitat Baseline'!$D$1:$O$258,11,FALSE)),"",(VLOOKUP($E244,'A-1 Site Habitat Baseline'!$D$1:$O$258,11,FALSE))))</f>
        <v/>
      </c>
      <c r="M244" s="343" t="str">
        <f>IF(E244="","",IF(ISNA(VLOOKUP($E244,'A-1 Site Habitat Baseline'!$D$1:$O$258,12,FALSE)),"",(VLOOKUP($E244,'A-1 Site Habitat Baseline'!$D$1:$O$258,12,FALSE))))</f>
        <v/>
      </c>
      <c r="N244" s="344" t="str">
        <f>IF(E244="","",IF(ISNA(VLOOKUP($E244,'A-1 Site Habitat Baseline'!$D$1:$X$258,14,FALSE)),"",(VLOOKUP($E244,'A-1 Site Habitat Baseline'!$D$1:$X$258,14,FALSE))))</f>
        <v/>
      </c>
      <c r="O244" s="345" t="str">
        <f>IF(E244="","",IF(ISNA(VLOOKUP($E244,'A-1 Site Habitat Baseline'!$D$1:$X$258,16,FALSE)),"",(VLOOKUP($E244,'A-1 Site Habitat Baseline'!$D$1:$X$258,13,FALSE))))</f>
        <v/>
      </c>
      <c r="P244" s="346" t="str">
        <f>IFERROR(INDEX('G-1 All Habitats'!$AG$3:$AG$15,MATCH(Q244,'G-1 All Habitats'!$AF$3:$AF$15,0)),"")</f>
        <v/>
      </c>
      <c r="Q244" s="347"/>
      <c r="R244" s="347"/>
      <c r="S244" s="605" t="str">
        <f>IFERROR(INDEX('G-1 All Habitats'!$B$3:$B$130,MATCH(R244,'G-1 All Habitats'!$A$3:$A$130,0)),"")</f>
        <v/>
      </c>
      <c r="T244" s="77" t="str">
        <f t="shared" si="36"/>
        <v/>
      </c>
      <c r="U244" s="78" t="str">
        <f t="shared" si="31"/>
        <v/>
      </c>
      <c r="V244" s="350" t="str">
        <f t="shared" si="28"/>
        <v/>
      </c>
      <c r="W244" s="343" t="str">
        <f>IF(S244="","",VLOOKUP(S244,'G-1 All Habitats'!$B$2:$M$130,10,FALSE))</f>
        <v/>
      </c>
      <c r="X244" s="343" t="str">
        <f>IFERROR(VLOOKUP(W244,'G-1 All Habitats'!$V$3:$W$7,2,FALSE),"")</f>
        <v/>
      </c>
      <c r="Y244" s="91"/>
      <c r="Z244" s="345" t="str">
        <f>IFERROR(INDEX('G-8 Condition Look up'!$A$3:$H$131,MATCH(S244,'G-8 Condition Look up'!$A$3:$A$131,0),MATCH(Y244,'G-8 Condition Look up'!$A$3:$H$3,0)),"")</f>
        <v/>
      </c>
      <c r="AA244" s="79"/>
      <c r="AB244" s="343" t="str">
        <f>IF(AA244="","",IF(VLOOKUP(AA244,'G-3 Multipliers'!$L$3:$N$6,2,FALSE)=0,"Spatial Data Missing",VLOOKUP(AA244,'G-3 Multipliers'!$L$3:$N$6,2,FALSE)))</f>
        <v/>
      </c>
      <c r="AC244" s="345" t="str">
        <f>IF(AA244="","",IF(VLOOKUP(AA244,'G-3 Multipliers'!$L$3:$N$6,3,FALSE)=0,"Spatial Data Missing",VLOOKUP(AA244,'G-3 Multipliers'!$L$3:$N$6,3,FALSE)))</f>
        <v/>
      </c>
      <c r="AD244" s="351" t="str">
        <f t="shared" si="29"/>
        <v/>
      </c>
      <c r="AE244" s="94"/>
      <c r="AF244" s="94"/>
      <c r="AG244" s="343" t="str">
        <f t="shared" si="32"/>
        <v/>
      </c>
      <c r="AH244" s="591" t="str">
        <f t="shared" si="33"/>
        <v/>
      </c>
      <c r="AI244" s="353" t="str">
        <f>IF(AH244="Check Data","Check Data",IFERROR(VLOOKUP(AH244,'G-4 Temporal multipliers'!$A$4:$C$36,3,FALSE),""))</f>
        <v/>
      </c>
      <c r="AJ244" s="77" t="str">
        <f>IF(S244="","",VLOOKUP(S244,'G-3 Multipliers'!$A$2:$E$130,4,FALSE))</f>
        <v/>
      </c>
      <c r="AK244" s="348" t="str">
        <f t="shared" si="34"/>
        <v/>
      </c>
      <c r="AL244" s="348" t="str">
        <f t="shared" si="35"/>
        <v/>
      </c>
      <c r="AM244" s="607" t="str">
        <f>IFERROR(IF(F244="","",IF(AH244="Check Data","Check Data",VLOOKUP(AL244, 'G-3 Multipliers'!$P$2:$Q$6,2,FALSE))),””)</f>
        <v/>
      </c>
      <c r="AN244" s="81" t="str">
        <f t="shared" si="30"/>
        <v/>
      </c>
      <c r="AO244" s="355"/>
      <c r="AP244" s="356"/>
    </row>
    <row r="245" spans="1:42" x14ac:dyDescent="0.25">
      <c r="A245" s="52" t="str">
        <f>IF(E245="","",IF(ISNA(VLOOKUP($E245,'A-1 Site Habitat Baseline'!$D$1:$O$258,2,FALSE)),"",(VLOOKUP($E245,'A-1 Site Habitat Baseline'!$D$1:$O$258,2,FALSE))))</f>
        <v/>
      </c>
      <c r="B245" s="52" t="str">
        <f>IF(E245="","",IF(ISNA(VLOOKUP($E245,'A-1 Site Habitat Baseline'!$D$1:$O$258,3,FALSE)),"",(VLOOKUP($E245,'A-1 Site Habitat Baseline'!$D$1:$O$258,3,FALSE))))</f>
        <v/>
      </c>
      <c r="C245" s="52" t="str">
        <f>IFERROR(INDEX('G-8 Condition Look up'!$I$4:$I$131,MATCH(S245,'G-8 Condition Look up'!$A$4:$A$131,0)),"")</f>
        <v/>
      </c>
      <c r="E245" s="342" t="str">
        <f>'A-1 Site Habitat Baseline'!AL244</f>
        <v/>
      </c>
      <c r="F245" s="343" t="str">
        <f>IF(E245="","",IF(ISNA(VLOOKUP($E245,'A-1 Site Habitat Baseline'!$D$1:$O$258,4,FALSE)),"",(VLOOKUP($E245,'A-1 Site Habitat Baseline'!$D$1:$O$258,4,FALSE))))</f>
        <v/>
      </c>
      <c r="G245" s="343" t="str">
        <f>IF(E245="","",IF(ISNA(VLOOKUP($E245,'A-1 Site Habitat Baseline'!$D$1:$O$258,5,FALSE)),"",(VLOOKUP($E245,'A-1 Site Habitat Baseline'!$D$1:$O$258,5,FALSE))))</f>
        <v/>
      </c>
      <c r="H245" s="343" t="str">
        <f>IF(E245="","",IF(ISNA(VLOOKUP($E245,'A-1 Site Habitat Baseline'!$D$1:$O$258,6,FALSE)),"",(VLOOKUP($E245,'A-1 Site Habitat Baseline'!$D$1:$O$258,6,FALSE))))</f>
        <v/>
      </c>
      <c r="I245" s="343" t="str">
        <f>IF(E245="","",IF(ISNA(VLOOKUP($E245,'A-1 Site Habitat Baseline'!$D$1:$O$258,7,FALSE)),"",(VLOOKUP($E245,'A-1 Site Habitat Baseline'!$D$1:$O$258,7,FALSE))))</f>
        <v/>
      </c>
      <c r="J245" s="343" t="str">
        <f>IF(E245="","",IF(ISNA(VLOOKUP($E245,'A-1 Site Habitat Baseline'!$D$1:$O$258,8,FALSE)),"",(VLOOKUP($E245,'A-1 Site Habitat Baseline'!$D$1:$O$258,8,FALSE))))</f>
        <v/>
      </c>
      <c r="K245" s="343" t="str">
        <f>IF(E245="","",IF(ISNA(VLOOKUP($E245,'A-1 Site Habitat Baseline'!$D$1:$O$258,9,FALSE)),"",(VLOOKUP($E245,'A-1 Site Habitat Baseline'!$D$1:$O$258,9,FALSE))))</f>
        <v/>
      </c>
      <c r="L245" s="343" t="str">
        <f>IF(E245="","",IF(ISNA(VLOOKUP($E245,'A-1 Site Habitat Baseline'!$D$1:$O$258,11,FALSE)),"",(VLOOKUP($E245,'A-1 Site Habitat Baseline'!$D$1:$O$258,11,FALSE))))</f>
        <v/>
      </c>
      <c r="M245" s="343" t="str">
        <f>IF(E245="","",IF(ISNA(VLOOKUP($E245,'A-1 Site Habitat Baseline'!$D$1:$O$258,12,FALSE)),"",(VLOOKUP($E245,'A-1 Site Habitat Baseline'!$D$1:$O$258,12,FALSE))))</f>
        <v/>
      </c>
      <c r="N245" s="344" t="str">
        <f>IF(E245="","",IF(ISNA(VLOOKUP($E245,'A-1 Site Habitat Baseline'!$D$1:$X$258,14,FALSE)),"",(VLOOKUP($E245,'A-1 Site Habitat Baseline'!$D$1:$X$258,14,FALSE))))</f>
        <v/>
      </c>
      <c r="O245" s="345" t="str">
        <f>IF(E245="","",IF(ISNA(VLOOKUP($E245,'A-1 Site Habitat Baseline'!$D$1:$X$258,16,FALSE)),"",(VLOOKUP($E245,'A-1 Site Habitat Baseline'!$D$1:$X$258,13,FALSE))))</f>
        <v/>
      </c>
      <c r="P245" s="346" t="str">
        <f>IFERROR(INDEX('G-1 All Habitats'!$AG$3:$AG$15,MATCH(Q245,'G-1 All Habitats'!$AF$3:$AF$15,0)),"")</f>
        <v/>
      </c>
      <c r="Q245" s="347"/>
      <c r="R245" s="347"/>
      <c r="S245" s="605" t="str">
        <f>IFERROR(INDEX('G-1 All Habitats'!$B$3:$B$130,MATCH(R245,'G-1 All Habitats'!$A$3:$A$130,0)),"")</f>
        <v/>
      </c>
      <c r="T245" s="77" t="str">
        <f t="shared" si="36"/>
        <v/>
      </c>
      <c r="U245" s="78" t="str">
        <f t="shared" si="31"/>
        <v/>
      </c>
      <c r="V245" s="350" t="str">
        <f t="shared" si="28"/>
        <v/>
      </c>
      <c r="W245" s="343" t="str">
        <f>IF(S245="","",VLOOKUP(S245,'G-1 All Habitats'!$B$2:$M$130,10,FALSE))</f>
        <v/>
      </c>
      <c r="X245" s="343" t="str">
        <f>IFERROR(VLOOKUP(W245,'G-1 All Habitats'!$V$3:$W$7,2,FALSE),"")</f>
        <v/>
      </c>
      <c r="Y245" s="91"/>
      <c r="Z245" s="345" t="str">
        <f>IFERROR(INDEX('G-8 Condition Look up'!$A$3:$H$131,MATCH(S245,'G-8 Condition Look up'!$A$3:$A$131,0),MATCH(Y245,'G-8 Condition Look up'!$A$3:$H$3,0)),"")</f>
        <v/>
      </c>
      <c r="AA245" s="79"/>
      <c r="AB245" s="343" t="str">
        <f>IF(AA245="","",IF(VLOOKUP(AA245,'G-3 Multipliers'!$L$3:$N$6,2,FALSE)=0,"Spatial Data Missing",VLOOKUP(AA245,'G-3 Multipliers'!$L$3:$N$6,2,FALSE)))</f>
        <v/>
      </c>
      <c r="AC245" s="345" t="str">
        <f>IF(AA245="","",IF(VLOOKUP(AA245,'G-3 Multipliers'!$L$3:$N$6,3,FALSE)=0,"Spatial Data Missing",VLOOKUP(AA245,'G-3 Multipliers'!$L$3:$N$6,3,FALSE)))</f>
        <v/>
      </c>
      <c r="AD245" s="351" t="str">
        <f t="shared" si="29"/>
        <v/>
      </c>
      <c r="AE245" s="94"/>
      <c r="AF245" s="94"/>
      <c r="AG245" s="343" t="str">
        <f t="shared" si="32"/>
        <v/>
      </c>
      <c r="AH245" s="591" t="str">
        <f t="shared" si="33"/>
        <v/>
      </c>
      <c r="AI245" s="353" t="str">
        <f>IF(AH245="Check Data","Check Data",IFERROR(VLOOKUP(AH245,'G-4 Temporal multipliers'!$A$4:$C$36,3,FALSE),""))</f>
        <v/>
      </c>
      <c r="AJ245" s="77" t="str">
        <f>IF(S245="","",VLOOKUP(S245,'G-3 Multipliers'!$A$2:$E$130,4,FALSE))</f>
        <v/>
      </c>
      <c r="AK245" s="348" t="str">
        <f t="shared" si="34"/>
        <v/>
      </c>
      <c r="AL245" s="348" t="str">
        <f t="shared" si="35"/>
        <v/>
      </c>
      <c r="AM245" s="607" t="str">
        <f>IFERROR(IF(F245="","",IF(AH245="Check Data","Check Data",VLOOKUP(AL245, 'G-3 Multipliers'!$P$2:$Q$6,2,FALSE))),””)</f>
        <v/>
      </c>
      <c r="AN245" s="81" t="str">
        <f t="shared" si="30"/>
        <v/>
      </c>
      <c r="AO245" s="355"/>
      <c r="AP245" s="356"/>
    </row>
    <row r="246" spans="1:42" x14ac:dyDescent="0.25">
      <c r="A246" s="52" t="str">
        <f>IF(E246="","",IF(ISNA(VLOOKUP($E246,'A-1 Site Habitat Baseline'!$D$1:$O$258,2,FALSE)),"",(VLOOKUP($E246,'A-1 Site Habitat Baseline'!$D$1:$O$258,2,FALSE))))</f>
        <v/>
      </c>
      <c r="B246" s="52" t="str">
        <f>IF(E246="","",IF(ISNA(VLOOKUP($E246,'A-1 Site Habitat Baseline'!$D$1:$O$258,3,FALSE)),"",(VLOOKUP($E246,'A-1 Site Habitat Baseline'!$D$1:$O$258,3,FALSE))))</f>
        <v/>
      </c>
      <c r="C246" s="52" t="str">
        <f>IFERROR(INDEX('G-8 Condition Look up'!$I$4:$I$131,MATCH(S246,'G-8 Condition Look up'!$A$4:$A$131,0)),"")</f>
        <v/>
      </c>
      <c r="E246" s="342" t="str">
        <f>'A-1 Site Habitat Baseline'!AL245</f>
        <v/>
      </c>
      <c r="F246" s="343" t="str">
        <f>IF(E246="","",IF(ISNA(VLOOKUP($E246,'A-1 Site Habitat Baseline'!$D$1:$O$258,4,FALSE)),"",(VLOOKUP($E246,'A-1 Site Habitat Baseline'!$D$1:$O$258,4,FALSE))))</f>
        <v/>
      </c>
      <c r="G246" s="343" t="str">
        <f>IF(E246="","",IF(ISNA(VLOOKUP($E246,'A-1 Site Habitat Baseline'!$D$1:$O$258,5,FALSE)),"",(VLOOKUP($E246,'A-1 Site Habitat Baseline'!$D$1:$O$258,5,FALSE))))</f>
        <v/>
      </c>
      <c r="H246" s="343" t="str">
        <f>IF(E246="","",IF(ISNA(VLOOKUP($E246,'A-1 Site Habitat Baseline'!$D$1:$O$258,6,FALSE)),"",(VLOOKUP($E246,'A-1 Site Habitat Baseline'!$D$1:$O$258,6,FALSE))))</f>
        <v/>
      </c>
      <c r="I246" s="343" t="str">
        <f>IF(E246="","",IF(ISNA(VLOOKUP($E246,'A-1 Site Habitat Baseline'!$D$1:$O$258,7,FALSE)),"",(VLOOKUP($E246,'A-1 Site Habitat Baseline'!$D$1:$O$258,7,FALSE))))</f>
        <v/>
      </c>
      <c r="J246" s="343" t="str">
        <f>IF(E246="","",IF(ISNA(VLOOKUP($E246,'A-1 Site Habitat Baseline'!$D$1:$O$258,8,FALSE)),"",(VLOOKUP($E246,'A-1 Site Habitat Baseline'!$D$1:$O$258,8,FALSE))))</f>
        <v/>
      </c>
      <c r="K246" s="343" t="str">
        <f>IF(E246="","",IF(ISNA(VLOOKUP($E246,'A-1 Site Habitat Baseline'!$D$1:$O$258,9,FALSE)),"",(VLOOKUP($E246,'A-1 Site Habitat Baseline'!$D$1:$O$258,9,FALSE))))</f>
        <v/>
      </c>
      <c r="L246" s="343" t="str">
        <f>IF(E246="","",IF(ISNA(VLOOKUP($E246,'A-1 Site Habitat Baseline'!$D$1:$O$258,11,FALSE)),"",(VLOOKUP($E246,'A-1 Site Habitat Baseline'!$D$1:$O$258,11,FALSE))))</f>
        <v/>
      </c>
      <c r="M246" s="343" t="str">
        <f>IF(E246="","",IF(ISNA(VLOOKUP($E246,'A-1 Site Habitat Baseline'!$D$1:$O$258,12,FALSE)),"",(VLOOKUP($E246,'A-1 Site Habitat Baseline'!$D$1:$O$258,12,FALSE))))</f>
        <v/>
      </c>
      <c r="N246" s="344" t="str">
        <f>IF(E246="","",IF(ISNA(VLOOKUP($E246,'A-1 Site Habitat Baseline'!$D$1:$X$258,14,FALSE)),"",(VLOOKUP($E246,'A-1 Site Habitat Baseline'!$D$1:$X$258,14,FALSE))))</f>
        <v/>
      </c>
      <c r="O246" s="345" t="str">
        <f>IF(E246="","",IF(ISNA(VLOOKUP($E246,'A-1 Site Habitat Baseline'!$D$1:$X$258,16,FALSE)),"",(VLOOKUP($E246,'A-1 Site Habitat Baseline'!$D$1:$X$258,13,FALSE))))</f>
        <v/>
      </c>
      <c r="P246" s="346" t="str">
        <f>IFERROR(INDEX('G-1 All Habitats'!$AG$3:$AG$15,MATCH(Q246,'G-1 All Habitats'!$AF$3:$AF$15,0)),"")</f>
        <v/>
      </c>
      <c r="Q246" s="347"/>
      <c r="R246" s="347"/>
      <c r="S246" s="605" t="str">
        <f>IFERROR(INDEX('G-1 All Habitats'!$B$3:$B$130,MATCH(R246,'G-1 All Habitats'!$A$3:$A$130,0)),"")</f>
        <v/>
      </c>
      <c r="T246" s="77" t="str">
        <f t="shared" si="36"/>
        <v/>
      </c>
      <c r="U246" s="78" t="str">
        <f t="shared" si="31"/>
        <v/>
      </c>
      <c r="V246" s="350" t="str">
        <f t="shared" si="28"/>
        <v/>
      </c>
      <c r="W246" s="343" t="str">
        <f>IF(S246="","",VLOOKUP(S246,'G-1 All Habitats'!$B$2:$M$130,10,FALSE))</f>
        <v/>
      </c>
      <c r="X246" s="343" t="str">
        <f>IFERROR(VLOOKUP(W246,'G-1 All Habitats'!$V$3:$W$7,2,FALSE),"")</f>
        <v/>
      </c>
      <c r="Y246" s="91"/>
      <c r="Z246" s="345" t="str">
        <f>IFERROR(INDEX('G-8 Condition Look up'!$A$3:$H$131,MATCH(S246,'G-8 Condition Look up'!$A$3:$A$131,0),MATCH(Y246,'G-8 Condition Look up'!$A$3:$H$3,0)),"")</f>
        <v/>
      </c>
      <c r="AA246" s="79"/>
      <c r="AB246" s="343" t="str">
        <f>IF(AA246="","",IF(VLOOKUP(AA246,'G-3 Multipliers'!$L$3:$N$6,2,FALSE)=0,"Spatial Data Missing",VLOOKUP(AA246,'G-3 Multipliers'!$L$3:$N$6,2,FALSE)))</f>
        <v/>
      </c>
      <c r="AC246" s="345" t="str">
        <f>IF(AA246="","",IF(VLOOKUP(AA246,'G-3 Multipliers'!$L$3:$N$6,3,FALSE)=0,"Spatial Data Missing",VLOOKUP(AA246,'G-3 Multipliers'!$L$3:$N$6,3,FALSE)))</f>
        <v/>
      </c>
      <c r="AD246" s="351" t="str">
        <f t="shared" si="29"/>
        <v/>
      </c>
      <c r="AE246" s="94"/>
      <c r="AF246" s="94"/>
      <c r="AG246" s="343" t="str">
        <f t="shared" si="32"/>
        <v/>
      </c>
      <c r="AH246" s="591" t="str">
        <f t="shared" si="33"/>
        <v/>
      </c>
      <c r="AI246" s="353" t="str">
        <f>IF(AH246="Check Data","Check Data",IFERROR(VLOOKUP(AH246,'G-4 Temporal multipliers'!$A$4:$C$36,3,FALSE),""))</f>
        <v/>
      </c>
      <c r="AJ246" s="77" t="str">
        <f>IF(S246="","",VLOOKUP(S246,'G-3 Multipliers'!$A$2:$E$130,4,FALSE))</f>
        <v/>
      </c>
      <c r="AK246" s="348" t="str">
        <f t="shared" si="34"/>
        <v/>
      </c>
      <c r="AL246" s="348" t="str">
        <f t="shared" si="35"/>
        <v/>
      </c>
      <c r="AM246" s="607" t="str">
        <f>IFERROR(IF(F246="","",IF(AH246="Check Data","Check Data",VLOOKUP(AL246, 'G-3 Multipliers'!$P$2:$Q$6,2,FALSE))),””)</f>
        <v/>
      </c>
      <c r="AN246" s="81" t="str">
        <f t="shared" si="30"/>
        <v/>
      </c>
      <c r="AO246" s="355"/>
      <c r="AP246" s="356"/>
    </row>
    <row r="247" spans="1:42" x14ac:dyDescent="0.25">
      <c r="A247" s="52" t="str">
        <f>IF(E247="","",IF(ISNA(VLOOKUP($E247,'A-1 Site Habitat Baseline'!$D$1:$O$258,2,FALSE)),"",(VLOOKUP($E247,'A-1 Site Habitat Baseline'!$D$1:$O$258,2,FALSE))))</f>
        <v/>
      </c>
      <c r="B247" s="52" t="str">
        <f>IF(E247="","",IF(ISNA(VLOOKUP($E247,'A-1 Site Habitat Baseline'!$D$1:$O$258,3,FALSE)),"",(VLOOKUP($E247,'A-1 Site Habitat Baseline'!$D$1:$O$258,3,FALSE))))</f>
        <v/>
      </c>
      <c r="C247" s="52" t="str">
        <f>IFERROR(INDEX('G-8 Condition Look up'!$I$4:$I$131,MATCH(S247,'G-8 Condition Look up'!$A$4:$A$131,0)),"")</f>
        <v/>
      </c>
      <c r="E247" s="342" t="str">
        <f>'A-1 Site Habitat Baseline'!AL246</f>
        <v/>
      </c>
      <c r="F247" s="343" t="str">
        <f>IF(E247="","",IF(ISNA(VLOOKUP($E247,'A-1 Site Habitat Baseline'!$D$1:$O$258,4,FALSE)),"",(VLOOKUP($E247,'A-1 Site Habitat Baseline'!$D$1:$O$258,4,FALSE))))</f>
        <v/>
      </c>
      <c r="G247" s="343" t="str">
        <f>IF(E247="","",IF(ISNA(VLOOKUP($E247,'A-1 Site Habitat Baseline'!$D$1:$O$258,5,FALSE)),"",(VLOOKUP($E247,'A-1 Site Habitat Baseline'!$D$1:$O$258,5,FALSE))))</f>
        <v/>
      </c>
      <c r="H247" s="343" t="str">
        <f>IF(E247="","",IF(ISNA(VLOOKUP($E247,'A-1 Site Habitat Baseline'!$D$1:$O$258,6,FALSE)),"",(VLOOKUP($E247,'A-1 Site Habitat Baseline'!$D$1:$O$258,6,FALSE))))</f>
        <v/>
      </c>
      <c r="I247" s="343" t="str">
        <f>IF(E247="","",IF(ISNA(VLOOKUP($E247,'A-1 Site Habitat Baseline'!$D$1:$O$258,7,FALSE)),"",(VLOOKUP($E247,'A-1 Site Habitat Baseline'!$D$1:$O$258,7,FALSE))))</f>
        <v/>
      </c>
      <c r="J247" s="343" t="str">
        <f>IF(E247="","",IF(ISNA(VLOOKUP($E247,'A-1 Site Habitat Baseline'!$D$1:$O$258,8,FALSE)),"",(VLOOKUP($E247,'A-1 Site Habitat Baseline'!$D$1:$O$258,8,FALSE))))</f>
        <v/>
      </c>
      <c r="K247" s="343" t="str">
        <f>IF(E247="","",IF(ISNA(VLOOKUP($E247,'A-1 Site Habitat Baseline'!$D$1:$O$258,9,FALSE)),"",(VLOOKUP($E247,'A-1 Site Habitat Baseline'!$D$1:$O$258,9,FALSE))))</f>
        <v/>
      </c>
      <c r="L247" s="343" t="str">
        <f>IF(E247="","",IF(ISNA(VLOOKUP($E247,'A-1 Site Habitat Baseline'!$D$1:$O$258,11,FALSE)),"",(VLOOKUP($E247,'A-1 Site Habitat Baseline'!$D$1:$O$258,11,FALSE))))</f>
        <v/>
      </c>
      <c r="M247" s="343" t="str">
        <f>IF(E247="","",IF(ISNA(VLOOKUP($E247,'A-1 Site Habitat Baseline'!$D$1:$O$258,12,FALSE)),"",(VLOOKUP($E247,'A-1 Site Habitat Baseline'!$D$1:$O$258,12,FALSE))))</f>
        <v/>
      </c>
      <c r="N247" s="344" t="str">
        <f>IF(E247="","",IF(ISNA(VLOOKUP($E247,'A-1 Site Habitat Baseline'!$D$1:$X$258,14,FALSE)),"",(VLOOKUP($E247,'A-1 Site Habitat Baseline'!$D$1:$X$258,14,FALSE))))</f>
        <v/>
      </c>
      <c r="O247" s="345" t="str">
        <f>IF(E247="","",IF(ISNA(VLOOKUP($E247,'A-1 Site Habitat Baseline'!$D$1:$X$258,16,FALSE)),"",(VLOOKUP($E247,'A-1 Site Habitat Baseline'!$D$1:$X$258,13,FALSE))))</f>
        <v/>
      </c>
      <c r="P247" s="346" t="str">
        <f>IFERROR(INDEX('G-1 All Habitats'!$AG$3:$AG$15,MATCH(Q247,'G-1 All Habitats'!$AF$3:$AF$15,0)),"")</f>
        <v/>
      </c>
      <c r="Q247" s="347"/>
      <c r="R247" s="347"/>
      <c r="S247" s="605" t="str">
        <f>IFERROR(INDEX('G-1 All Habitats'!$B$3:$B$130,MATCH(R247,'G-1 All Habitats'!$A$3:$A$130,0)),"")</f>
        <v/>
      </c>
      <c r="T247" s="77" t="str">
        <f t="shared" si="36"/>
        <v/>
      </c>
      <c r="U247" s="78" t="str">
        <f t="shared" si="31"/>
        <v/>
      </c>
      <c r="V247" s="350" t="str">
        <f t="shared" si="28"/>
        <v/>
      </c>
      <c r="W247" s="343" t="str">
        <f>IF(S247="","",VLOOKUP(S247,'G-1 All Habitats'!$B$2:$M$130,10,FALSE))</f>
        <v/>
      </c>
      <c r="X247" s="343" t="str">
        <f>IFERROR(VLOOKUP(W247,'G-1 All Habitats'!$V$3:$W$7,2,FALSE),"")</f>
        <v/>
      </c>
      <c r="Y247" s="91"/>
      <c r="Z247" s="345" t="str">
        <f>IFERROR(INDEX('G-8 Condition Look up'!$A$3:$H$131,MATCH(S247,'G-8 Condition Look up'!$A$3:$A$131,0),MATCH(Y247,'G-8 Condition Look up'!$A$3:$H$3,0)),"")</f>
        <v/>
      </c>
      <c r="AA247" s="79"/>
      <c r="AB247" s="343" t="str">
        <f>IF(AA247="","",IF(VLOOKUP(AA247,'G-3 Multipliers'!$L$3:$N$6,2,FALSE)=0,"Spatial Data Missing",VLOOKUP(AA247,'G-3 Multipliers'!$L$3:$N$6,2,FALSE)))</f>
        <v/>
      </c>
      <c r="AC247" s="345" t="str">
        <f>IF(AA247="","",IF(VLOOKUP(AA247,'G-3 Multipliers'!$L$3:$N$6,3,FALSE)=0,"Spatial Data Missing",VLOOKUP(AA247,'G-3 Multipliers'!$L$3:$N$6,3,FALSE)))</f>
        <v/>
      </c>
      <c r="AD247" s="351" t="str">
        <f t="shared" si="29"/>
        <v/>
      </c>
      <c r="AE247" s="94"/>
      <c r="AF247" s="94"/>
      <c r="AG247" s="343" t="str">
        <f t="shared" si="32"/>
        <v/>
      </c>
      <c r="AH247" s="591" t="str">
        <f t="shared" si="33"/>
        <v/>
      </c>
      <c r="AI247" s="353" t="str">
        <f>IF(AH247="Check Data","Check Data",IFERROR(VLOOKUP(AH247,'G-4 Temporal multipliers'!$A$4:$C$36,3,FALSE),""))</f>
        <v/>
      </c>
      <c r="AJ247" s="77" t="str">
        <f>IF(S247="","",VLOOKUP(S247,'G-3 Multipliers'!$A$2:$E$130,4,FALSE))</f>
        <v/>
      </c>
      <c r="AK247" s="348" t="str">
        <f t="shared" si="34"/>
        <v/>
      </c>
      <c r="AL247" s="348" t="str">
        <f t="shared" si="35"/>
        <v/>
      </c>
      <c r="AM247" s="607" t="str">
        <f>IFERROR(IF(F247="","",IF(AH247="Check Data","Check Data",VLOOKUP(AL247, 'G-3 Multipliers'!$P$2:$Q$6,2,FALSE))),””)</f>
        <v/>
      </c>
      <c r="AN247" s="81" t="str">
        <f t="shared" si="30"/>
        <v/>
      </c>
      <c r="AO247" s="355"/>
      <c r="AP247" s="356"/>
    </row>
    <row r="248" spans="1:42" x14ac:dyDescent="0.25">
      <c r="A248" s="52" t="str">
        <f>IF(E248="","",IF(ISNA(VLOOKUP($E248,'A-1 Site Habitat Baseline'!$D$1:$O$258,2,FALSE)),"",(VLOOKUP($E248,'A-1 Site Habitat Baseline'!$D$1:$O$258,2,FALSE))))</f>
        <v/>
      </c>
      <c r="B248" s="52" t="str">
        <f>IF(E248="","",IF(ISNA(VLOOKUP($E248,'A-1 Site Habitat Baseline'!$D$1:$O$258,3,FALSE)),"",(VLOOKUP($E248,'A-1 Site Habitat Baseline'!$D$1:$O$258,3,FALSE))))</f>
        <v/>
      </c>
      <c r="C248" s="52" t="str">
        <f>IFERROR(INDEX('G-8 Condition Look up'!$I$4:$I$131,MATCH(S248,'G-8 Condition Look up'!$A$4:$A$131,0)),"")</f>
        <v/>
      </c>
      <c r="E248" s="342" t="str">
        <f>'A-1 Site Habitat Baseline'!AL247</f>
        <v/>
      </c>
      <c r="F248" s="343" t="str">
        <f>IF(E248="","",IF(ISNA(VLOOKUP($E248,'A-1 Site Habitat Baseline'!$D$1:$O$258,4,FALSE)),"",(VLOOKUP($E248,'A-1 Site Habitat Baseline'!$D$1:$O$258,4,FALSE))))</f>
        <v/>
      </c>
      <c r="G248" s="343" t="str">
        <f>IF(E248="","",IF(ISNA(VLOOKUP($E248,'A-1 Site Habitat Baseline'!$D$1:$O$258,5,FALSE)),"",(VLOOKUP($E248,'A-1 Site Habitat Baseline'!$D$1:$O$258,5,FALSE))))</f>
        <v/>
      </c>
      <c r="H248" s="343" t="str">
        <f>IF(E248="","",IF(ISNA(VLOOKUP($E248,'A-1 Site Habitat Baseline'!$D$1:$O$258,6,FALSE)),"",(VLOOKUP($E248,'A-1 Site Habitat Baseline'!$D$1:$O$258,6,FALSE))))</f>
        <v/>
      </c>
      <c r="I248" s="343" t="str">
        <f>IF(E248="","",IF(ISNA(VLOOKUP($E248,'A-1 Site Habitat Baseline'!$D$1:$O$258,7,FALSE)),"",(VLOOKUP($E248,'A-1 Site Habitat Baseline'!$D$1:$O$258,7,FALSE))))</f>
        <v/>
      </c>
      <c r="J248" s="343" t="str">
        <f>IF(E248="","",IF(ISNA(VLOOKUP($E248,'A-1 Site Habitat Baseline'!$D$1:$O$258,8,FALSE)),"",(VLOOKUP($E248,'A-1 Site Habitat Baseline'!$D$1:$O$258,8,FALSE))))</f>
        <v/>
      </c>
      <c r="K248" s="343" t="str">
        <f>IF(E248="","",IF(ISNA(VLOOKUP($E248,'A-1 Site Habitat Baseline'!$D$1:$O$258,9,FALSE)),"",(VLOOKUP($E248,'A-1 Site Habitat Baseline'!$D$1:$O$258,9,FALSE))))</f>
        <v/>
      </c>
      <c r="L248" s="343" t="str">
        <f>IF(E248="","",IF(ISNA(VLOOKUP($E248,'A-1 Site Habitat Baseline'!$D$1:$O$258,11,FALSE)),"",(VLOOKUP($E248,'A-1 Site Habitat Baseline'!$D$1:$O$258,11,FALSE))))</f>
        <v/>
      </c>
      <c r="M248" s="343" t="str">
        <f>IF(E248="","",IF(ISNA(VLOOKUP($E248,'A-1 Site Habitat Baseline'!$D$1:$O$258,12,FALSE)),"",(VLOOKUP($E248,'A-1 Site Habitat Baseline'!$D$1:$O$258,12,FALSE))))</f>
        <v/>
      </c>
      <c r="N248" s="344" t="str">
        <f>IF(E248="","",IF(ISNA(VLOOKUP($E248,'A-1 Site Habitat Baseline'!$D$1:$X$258,14,FALSE)),"",(VLOOKUP($E248,'A-1 Site Habitat Baseline'!$D$1:$X$258,14,FALSE))))</f>
        <v/>
      </c>
      <c r="O248" s="345" t="str">
        <f>IF(E248="","",IF(ISNA(VLOOKUP($E248,'A-1 Site Habitat Baseline'!$D$1:$X$258,16,FALSE)),"",(VLOOKUP($E248,'A-1 Site Habitat Baseline'!$D$1:$X$258,13,FALSE))))</f>
        <v/>
      </c>
      <c r="P248" s="346" t="str">
        <f>IFERROR(INDEX('G-1 All Habitats'!$AG$3:$AG$15,MATCH(Q248,'G-1 All Habitats'!$AF$3:$AF$15,0)),"")</f>
        <v/>
      </c>
      <c r="Q248" s="347"/>
      <c r="R248" s="347"/>
      <c r="S248" s="605" t="str">
        <f>IFERROR(INDEX('G-1 All Habitats'!$B$3:$B$130,MATCH(R248,'G-1 All Habitats'!$A$3:$A$130,0)),"")</f>
        <v/>
      </c>
      <c r="T248" s="77" t="str">
        <f t="shared" si="36"/>
        <v/>
      </c>
      <c r="U248" s="78" t="str">
        <f t="shared" si="31"/>
        <v/>
      </c>
      <c r="V248" s="350" t="str">
        <f t="shared" si="28"/>
        <v/>
      </c>
      <c r="W248" s="343" t="str">
        <f>IF(S248="","",VLOOKUP(S248,'G-1 All Habitats'!$B$2:$M$130,10,FALSE))</f>
        <v/>
      </c>
      <c r="X248" s="343" t="str">
        <f>IFERROR(VLOOKUP(W248,'G-1 All Habitats'!$V$3:$W$7,2,FALSE),"")</f>
        <v/>
      </c>
      <c r="Y248" s="91"/>
      <c r="Z248" s="345" t="str">
        <f>IFERROR(INDEX('G-8 Condition Look up'!$A$3:$H$131,MATCH(S248,'G-8 Condition Look up'!$A$3:$A$131,0),MATCH(Y248,'G-8 Condition Look up'!$A$3:$H$3,0)),"")</f>
        <v/>
      </c>
      <c r="AA248" s="79"/>
      <c r="AB248" s="343" t="str">
        <f>IF(AA248="","",IF(VLOOKUP(AA248,'G-3 Multipliers'!$L$3:$N$6,2,FALSE)=0,"Spatial Data Missing",VLOOKUP(AA248,'G-3 Multipliers'!$L$3:$N$6,2,FALSE)))</f>
        <v/>
      </c>
      <c r="AC248" s="345" t="str">
        <f>IF(AA248="","",IF(VLOOKUP(AA248,'G-3 Multipliers'!$L$3:$N$6,3,FALSE)=0,"Spatial Data Missing",VLOOKUP(AA248,'G-3 Multipliers'!$L$3:$N$6,3,FALSE)))</f>
        <v/>
      </c>
      <c r="AD248" s="351" t="str">
        <f t="shared" si="29"/>
        <v/>
      </c>
      <c r="AE248" s="94"/>
      <c r="AF248" s="94"/>
      <c r="AG248" s="343" t="str">
        <f t="shared" si="32"/>
        <v/>
      </c>
      <c r="AH248" s="591" t="str">
        <f t="shared" si="33"/>
        <v/>
      </c>
      <c r="AI248" s="353" t="str">
        <f>IF(AH248="Check Data","Check Data",IFERROR(VLOOKUP(AH248,'G-4 Temporal multipliers'!$A$4:$C$36,3,FALSE),""))</f>
        <v/>
      </c>
      <c r="AJ248" s="77" t="str">
        <f>IF(S248="","",VLOOKUP(S248,'G-3 Multipliers'!$A$2:$E$130,4,FALSE))</f>
        <v/>
      </c>
      <c r="AK248" s="348" t="str">
        <f t="shared" si="34"/>
        <v/>
      </c>
      <c r="AL248" s="348" t="str">
        <f t="shared" si="35"/>
        <v/>
      </c>
      <c r="AM248" s="607" t="str">
        <f>IFERROR(IF(F248="","",IF(AH248="Check Data","Check Data",VLOOKUP(AL248, 'G-3 Multipliers'!$P$2:$Q$6,2,FALSE))),””)</f>
        <v/>
      </c>
      <c r="AN248" s="81" t="str">
        <f t="shared" si="30"/>
        <v/>
      </c>
      <c r="AO248" s="355"/>
      <c r="AP248" s="356"/>
    </row>
    <row r="249" spans="1:42" x14ac:dyDescent="0.25">
      <c r="A249" s="52" t="str">
        <f>IF(E249="","",IF(ISNA(VLOOKUP($E249,'A-1 Site Habitat Baseline'!$D$1:$O$258,2,FALSE)),"",(VLOOKUP($E249,'A-1 Site Habitat Baseline'!$D$1:$O$258,2,FALSE))))</f>
        <v/>
      </c>
      <c r="B249" s="52" t="str">
        <f>IF(E249="","",IF(ISNA(VLOOKUP($E249,'A-1 Site Habitat Baseline'!$D$1:$O$258,3,FALSE)),"",(VLOOKUP($E249,'A-1 Site Habitat Baseline'!$D$1:$O$258,3,FALSE))))</f>
        <v/>
      </c>
      <c r="C249" s="52" t="str">
        <f>IFERROR(INDEX('G-8 Condition Look up'!$I$4:$I$131,MATCH(S249,'G-8 Condition Look up'!$A$4:$A$131,0)),"")</f>
        <v/>
      </c>
      <c r="E249" s="342" t="str">
        <f>'A-1 Site Habitat Baseline'!AL248</f>
        <v/>
      </c>
      <c r="F249" s="343" t="str">
        <f>IF(E249="","",IF(ISNA(VLOOKUP($E249,'A-1 Site Habitat Baseline'!$D$1:$O$258,4,FALSE)),"",(VLOOKUP($E249,'A-1 Site Habitat Baseline'!$D$1:$O$258,4,FALSE))))</f>
        <v/>
      </c>
      <c r="G249" s="343" t="str">
        <f>IF(E249="","",IF(ISNA(VLOOKUP($E249,'A-1 Site Habitat Baseline'!$D$1:$O$258,5,FALSE)),"",(VLOOKUP($E249,'A-1 Site Habitat Baseline'!$D$1:$O$258,5,FALSE))))</f>
        <v/>
      </c>
      <c r="H249" s="343" t="str">
        <f>IF(E249="","",IF(ISNA(VLOOKUP($E249,'A-1 Site Habitat Baseline'!$D$1:$O$258,6,FALSE)),"",(VLOOKUP($E249,'A-1 Site Habitat Baseline'!$D$1:$O$258,6,FALSE))))</f>
        <v/>
      </c>
      <c r="I249" s="343" t="str">
        <f>IF(E249="","",IF(ISNA(VLOOKUP($E249,'A-1 Site Habitat Baseline'!$D$1:$O$258,7,FALSE)),"",(VLOOKUP($E249,'A-1 Site Habitat Baseline'!$D$1:$O$258,7,FALSE))))</f>
        <v/>
      </c>
      <c r="J249" s="343" t="str">
        <f>IF(E249="","",IF(ISNA(VLOOKUP($E249,'A-1 Site Habitat Baseline'!$D$1:$O$258,8,FALSE)),"",(VLOOKUP($E249,'A-1 Site Habitat Baseline'!$D$1:$O$258,8,FALSE))))</f>
        <v/>
      </c>
      <c r="K249" s="343" t="str">
        <f>IF(E249="","",IF(ISNA(VLOOKUP($E249,'A-1 Site Habitat Baseline'!$D$1:$O$258,9,FALSE)),"",(VLOOKUP($E249,'A-1 Site Habitat Baseline'!$D$1:$O$258,9,FALSE))))</f>
        <v/>
      </c>
      <c r="L249" s="343" t="str">
        <f>IF(E249="","",IF(ISNA(VLOOKUP($E249,'A-1 Site Habitat Baseline'!$D$1:$O$258,11,FALSE)),"",(VLOOKUP($E249,'A-1 Site Habitat Baseline'!$D$1:$O$258,11,FALSE))))</f>
        <v/>
      </c>
      <c r="M249" s="343" t="str">
        <f>IF(E249="","",IF(ISNA(VLOOKUP($E249,'A-1 Site Habitat Baseline'!$D$1:$O$258,12,FALSE)),"",(VLOOKUP($E249,'A-1 Site Habitat Baseline'!$D$1:$O$258,12,FALSE))))</f>
        <v/>
      </c>
      <c r="N249" s="344" t="str">
        <f>IF(E249="","",IF(ISNA(VLOOKUP($E249,'A-1 Site Habitat Baseline'!$D$1:$X$258,14,FALSE)),"",(VLOOKUP($E249,'A-1 Site Habitat Baseline'!$D$1:$X$258,14,FALSE))))</f>
        <v/>
      </c>
      <c r="O249" s="345" t="str">
        <f>IF(E249="","",IF(ISNA(VLOOKUP($E249,'A-1 Site Habitat Baseline'!$D$1:$X$258,16,FALSE)),"",(VLOOKUP($E249,'A-1 Site Habitat Baseline'!$D$1:$X$258,13,FALSE))))</f>
        <v/>
      </c>
      <c r="P249" s="346" t="str">
        <f>IFERROR(INDEX('G-1 All Habitats'!$AG$3:$AG$15,MATCH(Q249,'G-1 All Habitats'!$AF$3:$AF$15,0)),"")</f>
        <v/>
      </c>
      <c r="Q249" s="347"/>
      <c r="R249" s="347"/>
      <c r="S249" s="605" t="str">
        <f>IFERROR(INDEX('G-1 All Habitats'!$B$3:$B$130,MATCH(R249,'G-1 All Habitats'!$A$3:$A$130,0)),"")</f>
        <v/>
      </c>
      <c r="T249" s="77" t="str">
        <f t="shared" si="36"/>
        <v/>
      </c>
      <c r="U249" s="78" t="str">
        <f t="shared" si="31"/>
        <v/>
      </c>
      <c r="V249" s="350" t="str">
        <f t="shared" si="28"/>
        <v/>
      </c>
      <c r="W249" s="343" t="str">
        <f>IF(S249="","",VLOOKUP(S249,'G-1 All Habitats'!$B$2:$M$130,10,FALSE))</f>
        <v/>
      </c>
      <c r="X249" s="343" t="str">
        <f>IFERROR(VLOOKUP(W249,'G-1 All Habitats'!$V$3:$W$7,2,FALSE),"")</f>
        <v/>
      </c>
      <c r="Y249" s="91"/>
      <c r="Z249" s="345" t="str">
        <f>IFERROR(INDEX('G-8 Condition Look up'!$A$3:$H$131,MATCH(S249,'G-8 Condition Look up'!$A$3:$A$131,0),MATCH(Y249,'G-8 Condition Look up'!$A$3:$H$3,0)),"")</f>
        <v/>
      </c>
      <c r="AA249" s="79"/>
      <c r="AB249" s="343" t="str">
        <f>IF(AA249="","",IF(VLOOKUP(AA249,'G-3 Multipliers'!$L$3:$N$6,2,FALSE)=0,"Spatial Data Missing",VLOOKUP(AA249,'G-3 Multipliers'!$L$3:$N$6,2,FALSE)))</f>
        <v/>
      </c>
      <c r="AC249" s="345" t="str">
        <f>IF(AA249="","",IF(VLOOKUP(AA249,'G-3 Multipliers'!$L$3:$N$6,3,FALSE)=0,"Spatial Data Missing",VLOOKUP(AA249,'G-3 Multipliers'!$L$3:$N$6,3,FALSE)))</f>
        <v/>
      </c>
      <c r="AD249" s="351" t="str">
        <f t="shared" si="29"/>
        <v/>
      </c>
      <c r="AE249" s="94"/>
      <c r="AF249" s="94"/>
      <c r="AG249" s="343" t="str">
        <f t="shared" si="32"/>
        <v/>
      </c>
      <c r="AH249" s="591" t="str">
        <f t="shared" si="33"/>
        <v/>
      </c>
      <c r="AI249" s="353" t="str">
        <f>IF(AH249="Check Data","Check Data",IFERROR(VLOOKUP(AH249,'G-4 Temporal multipliers'!$A$4:$C$36,3,FALSE),""))</f>
        <v/>
      </c>
      <c r="AJ249" s="77" t="str">
        <f>IF(S249="","",VLOOKUP(S249,'G-3 Multipliers'!$A$2:$E$130,4,FALSE))</f>
        <v/>
      </c>
      <c r="AK249" s="348" t="str">
        <f t="shared" si="34"/>
        <v/>
      </c>
      <c r="AL249" s="348" t="str">
        <f t="shared" si="35"/>
        <v/>
      </c>
      <c r="AM249" s="607" t="str">
        <f>IFERROR(IF(F249="","",IF(AH249="Check Data","Check Data",VLOOKUP(AL249, 'G-3 Multipliers'!$P$2:$Q$6,2,FALSE))),””)</f>
        <v/>
      </c>
      <c r="AN249" s="81" t="str">
        <f t="shared" si="30"/>
        <v/>
      </c>
      <c r="AO249" s="355"/>
      <c r="AP249" s="356"/>
    </row>
    <row r="250" spans="1:42" x14ac:dyDescent="0.25">
      <c r="A250" s="52" t="str">
        <f>IF(E250="","",IF(ISNA(VLOOKUP($E250,'A-1 Site Habitat Baseline'!$D$1:$O$258,2,FALSE)),"",(VLOOKUP($E250,'A-1 Site Habitat Baseline'!$D$1:$O$258,2,FALSE))))</f>
        <v/>
      </c>
      <c r="B250" s="52" t="str">
        <f>IF(E250="","",IF(ISNA(VLOOKUP($E250,'A-1 Site Habitat Baseline'!$D$1:$O$258,3,FALSE)),"",(VLOOKUP($E250,'A-1 Site Habitat Baseline'!$D$1:$O$258,3,FALSE))))</f>
        <v/>
      </c>
      <c r="C250" s="52" t="str">
        <f>IFERROR(INDEX('G-8 Condition Look up'!$I$4:$I$131,MATCH(S250,'G-8 Condition Look up'!$A$4:$A$131,0)),"")</f>
        <v/>
      </c>
      <c r="E250" s="342" t="str">
        <f>'A-1 Site Habitat Baseline'!AL249</f>
        <v/>
      </c>
      <c r="F250" s="343" t="str">
        <f>IF(E250="","",IF(ISNA(VLOOKUP($E250,'A-1 Site Habitat Baseline'!$D$1:$O$258,4,FALSE)),"",(VLOOKUP($E250,'A-1 Site Habitat Baseline'!$D$1:$O$258,4,FALSE))))</f>
        <v/>
      </c>
      <c r="G250" s="343" t="str">
        <f>IF(E250="","",IF(ISNA(VLOOKUP($E250,'A-1 Site Habitat Baseline'!$D$1:$O$258,5,FALSE)),"",(VLOOKUP($E250,'A-1 Site Habitat Baseline'!$D$1:$O$258,5,FALSE))))</f>
        <v/>
      </c>
      <c r="H250" s="343" t="str">
        <f>IF(E250="","",IF(ISNA(VLOOKUP($E250,'A-1 Site Habitat Baseline'!$D$1:$O$258,6,FALSE)),"",(VLOOKUP($E250,'A-1 Site Habitat Baseline'!$D$1:$O$258,6,FALSE))))</f>
        <v/>
      </c>
      <c r="I250" s="343" t="str">
        <f>IF(E250="","",IF(ISNA(VLOOKUP($E250,'A-1 Site Habitat Baseline'!$D$1:$O$258,7,FALSE)),"",(VLOOKUP($E250,'A-1 Site Habitat Baseline'!$D$1:$O$258,7,FALSE))))</f>
        <v/>
      </c>
      <c r="J250" s="343" t="str">
        <f>IF(E250="","",IF(ISNA(VLOOKUP($E250,'A-1 Site Habitat Baseline'!$D$1:$O$258,8,FALSE)),"",(VLOOKUP($E250,'A-1 Site Habitat Baseline'!$D$1:$O$258,8,FALSE))))</f>
        <v/>
      </c>
      <c r="K250" s="343" t="str">
        <f>IF(E250="","",IF(ISNA(VLOOKUP($E250,'A-1 Site Habitat Baseline'!$D$1:$O$258,9,FALSE)),"",(VLOOKUP($E250,'A-1 Site Habitat Baseline'!$D$1:$O$258,9,FALSE))))</f>
        <v/>
      </c>
      <c r="L250" s="343" t="str">
        <f>IF(E250="","",IF(ISNA(VLOOKUP($E250,'A-1 Site Habitat Baseline'!$D$1:$O$258,11,FALSE)),"",(VLOOKUP($E250,'A-1 Site Habitat Baseline'!$D$1:$O$258,11,FALSE))))</f>
        <v/>
      </c>
      <c r="M250" s="343" t="str">
        <f>IF(E250="","",IF(ISNA(VLOOKUP($E250,'A-1 Site Habitat Baseline'!$D$1:$O$258,12,FALSE)),"",(VLOOKUP($E250,'A-1 Site Habitat Baseline'!$D$1:$O$258,12,FALSE))))</f>
        <v/>
      </c>
      <c r="N250" s="344" t="str">
        <f>IF(E250="","",IF(ISNA(VLOOKUP($E250,'A-1 Site Habitat Baseline'!$D$1:$X$258,14,FALSE)),"",(VLOOKUP($E250,'A-1 Site Habitat Baseline'!$D$1:$X$258,14,FALSE))))</f>
        <v/>
      </c>
      <c r="O250" s="345" t="str">
        <f>IF(E250="","",IF(ISNA(VLOOKUP($E250,'A-1 Site Habitat Baseline'!$D$1:$X$258,16,FALSE)),"",(VLOOKUP($E250,'A-1 Site Habitat Baseline'!$D$1:$X$258,13,FALSE))))</f>
        <v/>
      </c>
      <c r="P250" s="346" t="str">
        <f>IFERROR(INDEX('G-1 All Habitats'!$AG$3:$AG$15,MATCH(Q250,'G-1 All Habitats'!$AF$3:$AF$15,0)),"")</f>
        <v/>
      </c>
      <c r="Q250" s="347"/>
      <c r="R250" s="347"/>
      <c r="S250" s="605" t="str">
        <f>IFERROR(INDEX('G-1 All Habitats'!$B$3:$B$130,MATCH(R250,'G-1 All Habitats'!$A$3:$A$130,0)),"")</f>
        <v/>
      </c>
      <c r="T250" s="77" t="str">
        <f t="shared" si="36"/>
        <v/>
      </c>
      <c r="U250" s="78" t="str">
        <f t="shared" si="31"/>
        <v/>
      </c>
      <c r="V250" s="350" t="str">
        <f t="shared" si="28"/>
        <v/>
      </c>
      <c r="W250" s="343" t="str">
        <f>IF(S250="","",VLOOKUP(S250,'G-1 All Habitats'!$B$2:$M$130,10,FALSE))</f>
        <v/>
      </c>
      <c r="X250" s="343" t="str">
        <f>IFERROR(VLOOKUP(W250,'G-1 All Habitats'!$V$3:$W$7,2,FALSE),"")</f>
        <v/>
      </c>
      <c r="Y250" s="91"/>
      <c r="Z250" s="345" t="str">
        <f>IFERROR(INDEX('G-8 Condition Look up'!$A$3:$H$131,MATCH(S250,'G-8 Condition Look up'!$A$3:$A$131,0),MATCH(Y250,'G-8 Condition Look up'!$A$3:$H$3,0)),"")</f>
        <v/>
      </c>
      <c r="AA250" s="79"/>
      <c r="AB250" s="343" t="str">
        <f>IF(AA250="","",IF(VLOOKUP(AA250,'G-3 Multipliers'!$L$3:$N$6,2,FALSE)=0,"Spatial Data Missing",VLOOKUP(AA250,'G-3 Multipliers'!$L$3:$N$6,2,FALSE)))</f>
        <v/>
      </c>
      <c r="AC250" s="345" t="str">
        <f>IF(AA250="","",IF(VLOOKUP(AA250,'G-3 Multipliers'!$L$3:$N$6,3,FALSE)=0,"Spatial Data Missing",VLOOKUP(AA250,'G-3 Multipliers'!$L$3:$N$6,3,FALSE)))</f>
        <v/>
      </c>
      <c r="AD250" s="351" t="str">
        <f t="shared" si="29"/>
        <v/>
      </c>
      <c r="AE250" s="94"/>
      <c r="AF250" s="94"/>
      <c r="AG250" s="343" t="str">
        <f t="shared" si="32"/>
        <v/>
      </c>
      <c r="AH250" s="591" t="str">
        <f t="shared" si="33"/>
        <v/>
      </c>
      <c r="AI250" s="353" t="str">
        <f>IF(AH250="Check Data","Check Data",IFERROR(VLOOKUP(AH250,'G-4 Temporal multipliers'!$A$4:$C$36,3,FALSE),""))</f>
        <v/>
      </c>
      <c r="AJ250" s="77" t="str">
        <f>IF(S250="","",VLOOKUP(S250,'G-3 Multipliers'!$A$2:$E$130,4,FALSE))</f>
        <v/>
      </c>
      <c r="AK250" s="348" t="str">
        <f t="shared" si="34"/>
        <v/>
      </c>
      <c r="AL250" s="348" t="str">
        <f t="shared" si="35"/>
        <v/>
      </c>
      <c r="AM250" s="607" t="str">
        <f>IFERROR(IF(F250="","",IF(AH250="Check Data","Check Data",VLOOKUP(AL250, 'G-3 Multipliers'!$P$2:$Q$6,2,FALSE))),””)</f>
        <v/>
      </c>
      <c r="AN250" s="81" t="str">
        <f t="shared" si="30"/>
        <v/>
      </c>
      <c r="AO250" s="355"/>
      <c r="AP250" s="356"/>
    </row>
    <row r="251" spans="1:42" x14ac:dyDescent="0.25">
      <c r="A251" s="52" t="str">
        <f>IF(E251="","",IF(ISNA(VLOOKUP($E251,'A-1 Site Habitat Baseline'!$D$1:$O$258,2,FALSE)),"",(VLOOKUP($E251,'A-1 Site Habitat Baseline'!$D$1:$O$258,2,FALSE))))</f>
        <v/>
      </c>
      <c r="B251" s="52" t="str">
        <f>IF(E251="","",IF(ISNA(VLOOKUP($E251,'A-1 Site Habitat Baseline'!$D$1:$O$258,3,FALSE)),"",(VLOOKUP($E251,'A-1 Site Habitat Baseline'!$D$1:$O$258,3,FALSE))))</f>
        <v/>
      </c>
      <c r="C251" s="52" t="str">
        <f>IFERROR(INDEX('G-8 Condition Look up'!$I$4:$I$131,MATCH(S251,'G-8 Condition Look up'!$A$4:$A$131,0)),"")</f>
        <v/>
      </c>
      <c r="E251" s="342" t="str">
        <f>'A-1 Site Habitat Baseline'!AL250</f>
        <v/>
      </c>
      <c r="F251" s="343" t="str">
        <f>IF(E251="","",IF(ISNA(VLOOKUP($E251,'A-1 Site Habitat Baseline'!$D$1:$O$258,4,FALSE)),"",(VLOOKUP($E251,'A-1 Site Habitat Baseline'!$D$1:$O$258,4,FALSE))))</f>
        <v/>
      </c>
      <c r="G251" s="343" t="str">
        <f>IF(E251="","",IF(ISNA(VLOOKUP($E251,'A-1 Site Habitat Baseline'!$D$1:$O$258,5,FALSE)),"",(VLOOKUP($E251,'A-1 Site Habitat Baseline'!$D$1:$O$258,5,FALSE))))</f>
        <v/>
      </c>
      <c r="H251" s="343" t="str">
        <f>IF(E251="","",IF(ISNA(VLOOKUP($E251,'A-1 Site Habitat Baseline'!$D$1:$O$258,6,FALSE)),"",(VLOOKUP($E251,'A-1 Site Habitat Baseline'!$D$1:$O$258,6,FALSE))))</f>
        <v/>
      </c>
      <c r="I251" s="343" t="str">
        <f>IF(E251="","",IF(ISNA(VLOOKUP($E251,'A-1 Site Habitat Baseline'!$D$1:$O$258,7,FALSE)),"",(VLOOKUP($E251,'A-1 Site Habitat Baseline'!$D$1:$O$258,7,FALSE))))</f>
        <v/>
      </c>
      <c r="J251" s="343" t="str">
        <f>IF(E251="","",IF(ISNA(VLOOKUP($E251,'A-1 Site Habitat Baseline'!$D$1:$O$258,8,FALSE)),"",(VLOOKUP($E251,'A-1 Site Habitat Baseline'!$D$1:$O$258,8,FALSE))))</f>
        <v/>
      </c>
      <c r="K251" s="343" t="str">
        <f>IF(E251="","",IF(ISNA(VLOOKUP($E251,'A-1 Site Habitat Baseline'!$D$1:$O$258,9,FALSE)),"",(VLOOKUP($E251,'A-1 Site Habitat Baseline'!$D$1:$O$258,9,FALSE))))</f>
        <v/>
      </c>
      <c r="L251" s="343" t="str">
        <f>IF(E251="","",IF(ISNA(VLOOKUP($E251,'A-1 Site Habitat Baseline'!$D$1:$O$258,11,FALSE)),"",(VLOOKUP($E251,'A-1 Site Habitat Baseline'!$D$1:$O$258,11,FALSE))))</f>
        <v/>
      </c>
      <c r="M251" s="343" t="str">
        <f>IF(E251="","",IF(ISNA(VLOOKUP($E251,'A-1 Site Habitat Baseline'!$D$1:$O$258,12,FALSE)),"",(VLOOKUP($E251,'A-1 Site Habitat Baseline'!$D$1:$O$258,12,FALSE))))</f>
        <v/>
      </c>
      <c r="N251" s="344" t="str">
        <f>IF(E251="","",IF(ISNA(VLOOKUP($E251,'A-1 Site Habitat Baseline'!$D$1:$X$258,14,FALSE)),"",(VLOOKUP($E251,'A-1 Site Habitat Baseline'!$D$1:$X$258,14,FALSE))))</f>
        <v/>
      </c>
      <c r="O251" s="345" t="str">
        <f>IF(E251="","",IF(ISNA(VLOOKUP($E251,'A-1 Site Habitat Baseline'!$D$1:$X$258,16,FALSE)),"",(VLOOKUP($E251,'A-1 Site Habitat Baseline'!$D$1:$X$258,13,FALSE))))</f>
        <v/>
      </c>
      <c r="P251" s="346" t="str">
        <f>IFERROR(INDEX('G-1 All Habitats'!$AG$3:$AG$15,MATCH(Q251,'G-1 All Habitats'!$AF$3:$AF$15,0)),"")</f>
        <v/>
      </c>
      <c r="Q251" s="347"/>
      <c r="R251" s="347"/>
      <c r="S251" s="605" t="str">
        <f>IFERROR(INDEX('G-1 All Habitats'!$B$3:$B$130,MATCH(R251,'G-1 All Habitats'!$A$3:$A$130,0)),"")</f>
        <v/>
      </c>
      <c r="T251" s="77" t="str">
        <f t="shared" si="36"/>
        <v/>
      </c>
      <c r="U251" s="78" t="str">
        <f t="shared" si="31"/>
        <v/>
      </c>
      <c r="V251" s="350" t="str">
        <f t="shared" si="28"/>
        <v/>
      </c>
      <c r="W251" s="343" t="str">
        <f>IF(S251="","",VLOOKUP(S251,'G-1 All Habitats'!$B$2:$M$130,10,FALSE))</f>
        <v/>
      </c>
      <c r="X251" s="343" t="str">
        <f>IFERROR(VLOOKUP(W251,'G-1 All Habitats'!$V$3:$W$7,2,FALSE),"")</f>
        <v/>
      </c>
      <c r="Y251" s="91"/>
      <c r="Z251" s="345" t="str">
        <f>IFERROR(INDEX('G-8 Condition Look up'!$A$3:$H$131,MATCH(S251,'G-8 Condition Look up'!$A$3:$A$131,0),MATCH(Y251,'G-8 Condition Look up'!$A$3:$H$3,0)),"")</f>
        <v/>
      </c>
      <c r="AA251" s="79"/>
      <c r="AB251" s="343" t="str">
        <f>IF(AA251="","",IF(VLOOKUP(AA251,'G-3 Multipliers'!$L$3:$N$6,2,FALSE)=0,"Spatial Data Missing",VLOOKUP(AA251,'G-3 Multipliers'!$L$3:$N$6,2,FALSE)))</f>
        <v/>
      </c>
      <c r="AC251" s="345" t="str">
        <f>IF(AA251="","",IF(VLOOKUP(AA251,'G-3 Multipliers'!$L$3:$N$6,3,FALSE)=0,"Spatial Data Missing",VLOOKUP(AA251,'G-3 Multipliers'!$L$3:$N$6,3,FALSE)))</f>
        <v/>
      </c>
      <c r="AD251" s="351" t="str">
        <f t="shared" si="29"/>
        <v/>
      </c>
      <c r="AE251" s="94"/>
      <c r="AF251" s="94"/>
      <c r="AG251" s="343" t="str">
        <f t="shared" si="32"/>
        <v/>
      </c>
      <c r="AH251" s="591" t="str">
        <f t="shared" si="33"/>
        <v/>
      </c>
      <c r="AI251" s="353" t="str">
        <f>IF(AH251="Check Data","Check Data",IFERROR(VLOOKUP(AH251,'G-4 Temporal multipliers'!$A$4:$C$36,3,FALSE),""))</f>
        <v/>
      </c>
      <c r="AJ251" s="77" t="str">
        <f>IF(S251="","",VLOOKUP(S251,'G-3 Multipliers'!$A$2:$E$130,4,FALSE))</f>
        <v/>
      </c>
      <c r="AK251" s="348" t="str">
        <f t="shared" si="34"/>
        <v/>
      </c>
      <c r="AL251" s="348" t="str">
        <f t="shared" si="35"/>
        <v/>
      </c>
      <c r="AM251" s="607" t="str">
        <f>IFERROR(IF(F251="","",IF(AH251="Check Data","Check Data",VLOOKUP(AL251, 'G-3 Multipliers'!$P$2:$Q$6,2,FALSE))),””)</f>
        <v/>
      </c>
      <c r="AN251" s="81" t="str">
        <f t="shared" si="30"/>
        <v/>
      </c>
      <c r="AO251" s="355"/>
      <c r="AP251" s="356"/>
    </row>
    <row r="252" spans="1:42" x14ac:dyDescent="0.25">
      <c r="A252" s="52" t="str">
        <f>IF(E252="","",IF(ISNA(VLOOKUP($E252,'A-1 Site Habitat Baseline'!$D$1:$O$258,2,FALSE)),"",(VLOOKUP($E252,'A-1 Site Habitat Baseline'!$D$1:$O$258,2,FALSE))))</f>
        <v/>
      </c>
      <c r="B252" s="52" t="str">
        <f>IF(E252="","",IF(ISNA(VLOOKUP($E252,'A-1 Site Habitat Baseline'!$D$1:$O$258,3,FALSE)),"",(VLOOKUP($E252,'A-1 Site Habitat Baseline'!$D$1:$O$258,3,FALSE))))</f>
        <v/>
      </c>
      <c r="C252" s="52" t="str">
        <f>IFERROR(INDEX('G-8 Condition Look up'!$I$4:$I$131,MATCH(S252,'G-8 Condition Look up'!$A$4:$A$131,0)),"")</f>
        <v/>
      </c>
      <c r="E252" s="342" t="str">
        <f>'A-1 Site Habitat Baseline'!AL251</f>
        <v/>
      </c>
      <c r="F252" s="343" t="str">
        <f>IF(E252="","",IF(ISNA(VLOOKUP($E252,'A-1 Site Habitat Baseline'!$D$1:$O$258,4,FALSE)),"",(VLOOKUP($E252,'A-1 Site Habitat Baseline'!$D$1:$O$258,4,FALSE))))</f>
        <v/>
      </c>
      <c r="G252" s="343" t="str">
        <f>IF(E252="","",IF(ISNA(VLOOKUP($E252,'A-1 Site Habitat Baseline'!$D$1:$O$258,5,FALSE)),"",(VLOOKUP($E252,'A-1 Site Habitat Baseline'!$D$1:$O$258,5,FALSE))))</f>
        <v/>
      </c>
      <c r="H252" s="343" t="str">
        <f>IF(E252="","",IF(ISNA(VLOOKUP($E252,'A-1 Site Habitat Baseline'!$D$1:$O$258,6,FALSE)),"",(VLOOKUP($E252,'A-1 Site Habitat Baseline'!$D$1:$O$258,6,FALSE))))</f>
        <v/>
      </c>
      <c r="I252" s="343" t="str">
        <f>IF(E252="","",IF(ISNA(VLOOKUP($E252,'A-1 Site Habitat Baseline'!$D$1:$O$258,7,FALSE)),"",(VLOOKUP($E252,'A-1 Site Habitat Baseline'!$D$1:$O$258,7,FALSE))))</f>
        <v/>
      </c>
      <c r="J252" s="343" t="str">
        <f>IF(E252="","",IF(ISNA(VLOOKUP($E252,'A-1 Site Habitat Baseline'!$D$1:$O$258,8,FALSE)),"",(VLOOKUP($E252,'A-1 Site Habitat Baseline'!$D$1:$O$258,8,FALSE))))</f>
        <v/>
      </c>
      <c r="K252" s="343" t="str">
        <f>IF(E252="","",IF(ISNA(VLOOKUP($E252,'A-1 Site Habitat Baseline'!$D$1:$O$258,9,FALSE)),"",(VLOOKUP($E252,'A-1 Site Habitat Baseline'!$D$1:$O$258,9,FALSE))))</f>
        <v/>
      </c>
      <c r="L252" s="343" t="str">
        <f>IF(E252="","",IF(ISNA(VLOOKUP($E252,'A-1 Site Habitat Baseline'!$D$1:$O$258,11,FALSE)),"",(VLOOKUP($E252,'A-1 Site Habitat Baseline'!$D$1:$O$258,11,FALSE))))</f>
        <v/>
      </c>
      <c r="M252" s="343" t="str">
        <f>IF(E252="","",IF(ISNA(VLOOKUP($E252,'A-1 Site Habitat Baseline'!$D$1:$O$258,12,FALSE)),"",(VLOOKUP($E252,'A-1 Site Habitat Baseline'!$D$1:$O$258,12,FALSE))))</f>
        <v/>
      </c>
      <c r="N252" s="344" t="str">
        <f>IF(E252="","",IF(ISNA(VLOOKUP($E252,'A-1 Site Habitat Baseline'!$D$1:$X$258,14,FALSE)),"",(VLOOKUP($E252,'A-1 Site Habitat Baseline'!$D$1:$X$258,14,FALSE))))</f>
        <v/>
      </c>
      <c r="O252" s="345" t="str">
        <f>IF(E252="","",IF(ISNA(VLOOKUP($E252,'A-1 Site Habitat Baseline'!$D$1:$X$258,16,FALSE)),"",(VLOOKUP($E252,'A-1 Site Habitat Baseline'!$D$1:$X$258,13,FALSE))))</f>
        <v/>
      </c>
      <c r="P252" s="346" t="str">
        <f>IFERROR(INDEX('G-1 All Habitats'!$AG$3:$AG$15,MATCH(Q252,'G-1 All Habitats'!$AF$3:$AF$15,0)),"")</f>
        <v/>
      </c>
      <c r="Q252" s="347"/>
      <c r="R252" s="347"/>
      <c r="S252" s="605" t="str">
        <f>IFERROR(INDEX('G-1 All Habitats'!$B$3:$B$130,MATCH(R252,'G-1 All Habitats'!$A$3:$A$130,0)),"")</f>
        <v/>
      </c>
      <c r="T252" s="77" t="str">
        <f t="shared" si="36"/>
        <v/>
      </c>
      <c r="U252" s="78" t="str">
        <f t="shared" si="31"/>
        <v/>
      </c>
      <c r="V252" s="350" t="str">
        <f t="shared" si="28"/>
        <v/>
      </c>
      <c r="W252" s="343" t="str">
        <f>IF(S252="","",VLOOKUP(S252,'G-1 All Habitats'!$B$2:$M$130,10,FALSE))</f>
        <v/>
      </c>
      <c r="X252" s="343" t="str">
        <f>IFERROR(VLOOKUP(W252,'G-1 All Habitats'!$V$3:$W$7,2,FALSE),"")</f>
        <v/>
      </c>
      <c r="Y252" s="91"/>
      <c r="Z252" s="345" t="str">
        <f>IFERROR(INDEX('G-8 Condition Look up'!$A$3:$H$131,MATCH(S252,'G-8 Condition Look up'!$A$3:$A$131,0),MATCH(Y252,'G-8 Condition Look up'!$A$3:$H$3,0)),"")</f>
        <v/>
      </c>
      <c r="AA252" s="79"/>
      <c r="AB252" s="343" t="str">
        <f>IF(AA252="","",IF(VLOOKUP(AA252,'G-3 Multipliers'!$L$3:$N$6,2,FALSE)=0,"Spatial Data Missing",VLOOKUP(AA252,'G-3 Multipliers'!$L$3:$N$6,2,FALSE)))</f>
        <v/>
      </c>
      <c r="AC252" s="345" t="str">
        <f>IF(AA252="","",IF(VLOOKUP(AA252,'G-3 Multipliers'!$L$3:$N$6,3,FALSE)=0,"Spatial Data Missing",VLOOKUP(AA252,'G-3 Multipliers'!$L$3:$N$6,3,FALSE)))</f>
        <v/>
      </c>
      <c r="AD252" s="351" t="str">
        <f t="shared" si="29"/>
        <v/>
      </c>
      <c r="AE252" s="94"/>
      <c r="AF252" s="94"/>
      <c r="AG252" s="343" t="str">
        <f t="shared" si="32"/>
        <v/>
      </c>
      <c r="AH252" s="591" t="str">
        <f t="shared" si="33"/>
        <v/>
      </c>
      <c r="AI252" s="353" t="str">
        <f>IF(AH252="Check Data","Check Data",IFERROR(VLOOKUP(AH252,'G-4 Temporal multipliers'!$A$4:$C$36,3,FALSE),""))</f>
        <v/>
      </c>
      <c r="AJ252" s="77" t="str">
        <f>IF(S252="","",VLOOKUP(S252,'G-3 Multipliers'!$A$2:$E$130,4,FALSE))</f>
        <v/>
      </c>
      <c r="AK252" s="348" t="str">
        <f t="shared" si="34"/>
        <v/>
      </c>
      <c r="AL252" s="348" t="str">
        <f t="shared" si="35"/>
        <v/>
      </c>
      <c r="AM252" s="607" t="str">
        <f>IFERROR(IF(F252="","",IF(AH252="Check Data","Check Data",VLOOKUP(AL252, 'G-3 Multipliers'!$P$2:$Q$6,2,FALSE))),””)</f>
        <v/>
      </c>
      <c r="AN252" s="81" t="str">
        <f t="shared" si="30"/>
        <v/>
      </c>
      <c r="AO252" s="355"/>
      <c r="AP252" s="356"/>
    </row>
    <row r="253" spans="1:42" x14ac:dyDescent="0.25">
      <c r="A253" s="52" t="str">
        <f>IF(E253="","",IF(ISNA(VLOOKUP($E253,'A-1 Site Habitat Baseline'!$D$1:$O$258,2,FALSE)),"",(VLOOKUP($E253,'A-1 Site Habitat Baseline'!$D$1:$O$258,2,FALSE))))</f>
        <v/>
      </c>
      <c r="B253" s="52" t="str">
        <f>IF(E253="","",IF(ISNA(VLOOKUP($E253,'A-1 Site Habitat Baseline'!$D$1:$O$258,3,FALSE)),"",(VLOOKUP($E253,'A-1 Site Habitat Baseline'!$D$1:$O$258,3,FALSE))))</f>
        <v/>
      </c>
      <c r="C253" s="52" t="str">
        <f>IFERROR(INDEX('G-8 Condition Look up'!$I$4:$I$131,MATCH(S253,'G-8 Condition Look up'!$A$4:$A$131,0)),"")</f>
        <v/>
      </c>
      <c r="E253" s="342" t="str">
        <f>'A-1 Site Habitat Baseline'!AL252</f>
        <v/>
      </c>
      <c r="F253" s="343" t="str">
        <f>IF(E253="","",IF(ISNA(VLOOKUP($E253,'A-1 Site Habitat Baseline'!$D$1:$O$258,4,FALSE)),"",(VLOOKUP($E253,'A-1 Site Habitat Baseline'!$D$1:$O$258,4,FALSE))))</f>
        <v/>
      </c>
      <c r="G253" s="343" t="str">
        <f>IF(E253="","",IF(ISNA(VLOOKUP($E253,'A-1 Site Habitat Baseline'!$D$1:$O$258,5,FALSE)),"",(VLOOKUP($E253,'A-1 Site Habitat Baseline'!$D$1:$O$258,5,FALSE))))</f>
        <v/>
      </c>
      <c r="H253" s="343" t="str">
        <f>IF(E253="","",IF(ISNA(VLOOKUP($E253,'A-1 Site Habitat Baseline'!$D$1:$O$258,6,FALSE)),"",(VLOOKUP($E253,'A-1 Site Habitat Baseline'!$D$1:$O$258,6,FALSE))))</f>
        <v/>
      </c>
      <c r="I253" s="343" t="str">
        <f>IF(E253="","",IF(ISNA(VLOOKUP($E253,'A-1 Site Habitat Baseline'!$D$1:$O$258,7,FALSE)),"",(VLOOKUP($E253,'A-1 Site Habitat Baseline'!$D$1:$O$258,7,FALSE))))</f>
        <v/>
      </c>
      <c r="J253" s="343" t="str">
        <f>IF(E253="","",IF(ISNA(VLOOKUP($E253,'A-1 Site Habitat Baseline'!$D$1:$O$258,8,FALSE)),"",(VLOOKUP($E253,'A-1 Site Habitat Baseline'!$D$1:$O$258,8,FALSE))))</f>
        <v/>
      </c>
      <c r="K253" s="343" t="str">
        <f>IF(E253="","",IF(ISNA(VLOOKUP($E253,'A-1 Site Habitat Baseline'!$D$1:$O$258,9,FALSE)),"",(VLOOKUP($E253,'A-1 Site Habitat Baseline'!$D$1:$O$258,9,FALSE))))</f>
        <v/>
      </c>
      <c r="L253" s="343" t="str">
        <f>IF(E253="","",IF(ISNA(VLOOKUP($E253,'A-1 Site Habitat Baseline'!$D$1:$O$258,11,FALSE)),"",(VLOOKUP($E253,'A-1 Site Habitat Baseline'!$D$1:$O$258,11,FALSE))))</f>
        <v/>
      </c>
      <c r="M253" s="343" t="str">
        <f>IF(E253="","",IF(ISNA(VLOOKUP($E253,'A-1 Site Habitat Baseline'!$D$1:$O$258,12,FALSE)),"",(VLOOKUP($E253,'A-1 Site Habitat Baseline'!$D$1:$O$258,12,FALSE))))</f>
        <v/>
      </c>
      <c r="N253" s="344" t="str">
        <f>IF(E253="","",IF(ISNA(VLOOKUP($E253,'A-1 Site Habitat Baseline'!$D$1:$X$258,14,FALSE)),"",(VLOOKUP($E253,'A-1 Site Habitat Baseline'!$D$1:$X$258,14,FALSE))))</f>
        <v/>
      </c>
      <c r="O253" s="345" t="str">
        <f>IF(E253="","",IF(ISNA(VLOOKUP($E253,'A-1 Site Habitat Baseline'!$D$1:$X$258,16,FALSE)),"",(VLOOKUP($E253,'A-1 Site Habitat Baseline'!$D$1:$X$258,13,FALSE))))</f>
        <v/>
      </c>
      <c r="P253" s="346" t="str">
        <f>IFERROR(INDEX('G-1 All Habitats'!$AG$3:$AG$15,MATCH(Q253,'G-1 All Habitats'!$AF$3:$AF$15,0)),"")</f>
        <v/>
      </c>
      <c r="Q253" s="347"/>
      <c r="R253" s="347"/>
      <c r="S253" s="605" t="str">
        <f>IFERROR(INDEX('G-1 All Habitats'!$B$3:$B$130,MATCH(R253,'G-1 All Habitats'!$A$3:$A$130,0)),"")</f>
        <v/>
      </c>
      <c r="T253" s="77" t="str">
        <f t="shared" si="36"/>
        <v/>
      </c>
      <c r="U253" s="78" t="str">
        <f t="shared" si="31"/>
        <v/>
      </c>
      <c r="V253" s="350" t="str">
        <f t="shared" si="28"/>
        <v/>
      </c>
      <c r="W253" s="343" t="str">
        <f>IF(S253="","",VLOOKUP(S253,'G-1 All Habitats'!$B$2:$M$130,10,FALSE))</f>
        <v/>
      </c>
      <c r="X253" s="343" t="str">
        <f>IFERROR(VLOOKUP(W253,'G-1 All Habitats'!$V$3:$W$7,2,FALSE),"")</f>
        <v/>
      </c>
      <c r="Y253" s="91"/>
      <c r="Z253" s="345" t="str">
        <f>IFERROR(INDEX('G-8 Condition Look up'!$A$3:$H$131,MATCH(S253,'G-8 Condition Look up'!$A$3:$A$131,0),MATCH(Y253,'G-8 Condition Look up'!$A$3:$H$3,0)),"")</f>
        <v/>
      </c>
      <c r="AA253" s="79"/>
      <c r="AB253" s="343" t="str">
        <f>IF(AA253="","",IF(VLOOKUP(AA253,'G-3 Multipliers'!$L$3:$N$6,2,FALSE)=0,"Spatial Data Missing",VLOOKUP(AA253,'G-3 Multipliers'!$L$3:$N$6,2,FALSE)))</f>
        <v/>
      </c>
      <c r="AC253" s="345" t="str">
        <f>IF(AA253="","",IF(VLOOKUP(AA253,'G-3 Multipliers'!$L$3:$N$6,3,FALSE)=0,"Spatial Data Missing",VLOOKUP(AA253,'G-3 Multipliers'!$L$3:$N$6,3,FALSE)))</f>
        <v/>
      </c>
      <c r="AD253" s="351" t="str">
        <f t="shared" si="29"/>
        <v/>
      </c>
      <c r="AE253" s="94"/>
      <c r="AF253" s="94"/>
      <c r="AG253" s="343" t="str">
        <f t="shared" si="32"/>
        <v/>
      </c>
      <c r="AH253" s="591" t="str">
        <f t="shared" si="33"/>
        <v/>
      </c>
      <c r="AI253" s="353" t="str">
        <f>IF(AH253="Check Data","Check Data",IFERROR(VLOOKUP(AH253,'G-4 Temporal multipliers'!$A$4:$C$36,3,FALSE),""))</f>
        <v/>
      </c>
      <c r="AJ253" s="77" t="str">
        <f>IF(S253="","",VLOOKUP(S253,'G-3 Multipliers'!$A$2:$E$130,4,FALSE))</f>
        <v/>
      </c>
      <c r="AK253" s="348" t="str">
        <f t="shared" si="34"/>
        <v/>
      </c>
      <c r="AL253" s="348" t="str">
        <f t="shared" si="35"/>
        <v/>
      </c>
      <c r="AM253" s="607" t="str">
        <f>IFERROR(IF(F253="","",IF(AH253="Check Data","Check Data",VLOOKUP(AL253, 'G-3 Multipliers'!$P$2:$Q$6,2,FALSE))),””)</f>
        <v/>
      </c>
      <c r="AN253" s="81" t="str">
        <f t="shared" si="30"/>
        <v/>
      </c>
      <c r="AO253" s="355"/>
      <c r="AP253" s="356"/>
    </row>
    <row r="254" spans="1:42" x14ac:dyDescent="0.25">
      <c r="A254" s="52" t="str">
        <f>IF(E254="","",IF(ISNA(VLOOKUP($E254,'A-1 Site Habitat Baseline'!$D$1:$O$258,2,FALSE)),"",(VLOOKUP($E254,'A-1 Site Habitat Baseline'!$D$1:$O$258,2,FALSE))))</f>
        <v/>
      </c>
      <c r="B254" s="52" t="str">
        <f>IF(E254="","",IF(ISNA(VLOOKUP($E254,'A-1 Site Habitat Baseline'!$D$1:$O$258,3,FALSE)),"",(VLOOKUP($E254,'A-1 Site Habitat Baseline'!$D$1:$O$258,3,FALSE))))</f>
        <v/>
      </c>
      <c r="C254" s="52" t="str">
        <f>IFERROR(INDEX('G-8 Condition Look up'!$I$4:$I$131,MATCH(S254,'G-8 Condition Look up'!$A$4:$A$131,0)),"")</f>
        <v/>
      </c>
      <c r="E254" s="342" t="str">
        <f>'A-1 Site Habitat Baseline'!AL253</f>
        <v/>
      </c>
      <c r="F254" s="343" t="str">
        <f>IF(E254="","",IF(ISNA(VLOOKUP($E254,'A-1 Site Habitat Baseline'!$D$1:$O$258,4,FALSE)),"",(VLOOKUP($E254,'A-1 Site Habitat Baseline'!$D$1:$O$258,4,FALSE))))</f>
        <v/>
      </c>
      <c r="G254" s="343" t="str">
        <f>IF(E254="","",IF(ISNA(VLOOKUP($E254,'A-1 Site Habitat Baseline'!$D$1:$O$258,5,FALSE)),"",(VLOOKUP($E254,'A-1 Site Habitat Baseline'!$D$1:$O$258,5,FALSE))))</f>
        <v/>
      </c>
      <c r="H254" s="343" t="str">
        <f>IF(E254="","",IF(ISNA(VLOOKUP($E254,'A-1 Site Habitat Baseline'!$D$1:$O$258,6,FALSE)),"",(VLOOKUP($E254,'A-1 Site Habitat Baseline'!$D$1:$O$258,6,FALSE))))</f>
        <v/>
      </c>
      <c r="I254" s="343" t="str">
        <f>IF(E254="","",IF(ISNA(VLOOKUP($E254,'A-1 Site Habitat Baseline'!$D$1:$O$258,7,FALSE)),"",(VLOOKUP($E254,'A-1 Site Habitat Baseline'!$D$1:$O$258,7,FALSE))))</f>
        <v/>
      </c>
      <c r="J254" s="343" t="str">
        <f>IF(E254="","",IF(ISNA(VLOOKUP($E254,'A-1 Site Habitat Baseline'!$D$1:$O$258,8,FALSE)),"",(VLOOKUP($E254,'A-1 Site Habitat Baseline'!$D$1:$O$258,8,FALSE))))</f>
        <v/>
      </c>
      <c r="K254" s="343" t="str">
        <f>IF(E254="","",IF(ISNA(VLOOKUP($E254,'A-1 Site Habitat Baseline'!$D$1:$O$258,9,FALSE)),"",(VLOOKUP($E254,'A-1 Site Habitat Baseline'!$D$1:$O$258,9,FALSE))))</f>
        <v/>
      </c>
      <c r="L254" s="343" t="str">
        <f>IF(E254="","",IF(ISNA(VLOOKUP($E254,'A-1 Site Habitat Baseline'!$D$1:$O$258,11,FALSE)),"",(VLOOKUP($E254,'A-1 Site Habitat Baseline'!$D$1:$O$258,11,FALSE))))</f>
        <v/>
      </c>
      <c r="M254" s="343" t="str">
        <f>IF(E254="","",IF(ISNA(VLOOKUP($E254,'A-1 Site Habitat Baseline'!$D$1:$O$258,12,FALSE)),"",(VLOOKUP($E254,'A-1 Site Habitat Baseline'!$D$1:$O$258,12,FALSE))))</f>
        <v/>
      </c>
      <c r="N254" s="344" t="str">
        <f>IF(E254="","",IF(ISNA(VLOOKUP($E254,'A-1 Site Habitat Baseline'!$D$1:$X$258,14,FALSE)),"",(VLOOKUP($E254,'A-1 Site Habitat Baseline'!$D$1:$X$258,14,FALSE))))</f>
        <v/>
      </c>
      <c r="O254" s="345" t="str">
        <f>IF(E254="","",IF(ISNA(VLOOKUP($E254,'A-1 Site Habitat Baseline'!$D$1:$X$258,16,FALSE)),"",(VLOOKUP($E254,'A-1 Site Habitat Baseline'!$D$1:$X$258,13,FALSE))))</f>
        <v/>
      </c>
      <c r="P254" s="346" t="str">
        <f>IFERROR(INDEX('G-1 All Habitats'!$AG$3:$AG$15,MATCH(Q254,'G-1 All Habitats'!$AF$3:$AF$15,0)),"")</f>
        <v/>
      </c>
      <c r="Q254" s="347"/>
      <c r="R254" s="347"/>
      <c r="S254" s="605" t="str">
        <f>IFERROR(INDEX('G-1 All Habitats'!$B$3:$B$130,MATCH(R254,'G-1 All Habitats'!$A$3:$A$130,0)),"")</f>
        <v/>
      </c>
      <c r="T254" s="77" t="str">
        <f t="shared" si="36"/>
        <v/>
      </c>
      <c r="U254" s="78" t="str">
        <f t="shared" si="31"/>
        <v/>
      </c>
      <c r="V254" s="350" t="str">
        <f t="shared" si="28"/>
        <v/>
      </c>
      <c r="W254" s="343" t="str">
        <f>IF(S254="","",VLOOKUP(S254,'G-1 All Habitats'!$B$2:$M$130,10,FALSE))</f>
        <v/>
      </c>
      <c r="X254" s="343" t="str">
        <f>IFERROR(VLOOKUP(W254,'G-1 All Habitats'!$V$3:$W$7,2,FALSE),"")</f>
        <v/>
      </c>
      <c r="Y254" s="91"/>
      <c r="Z254" s="345" t="str">
        <f>IFERROR(INDEX('G-8 Condition Look up'!$A$3:$H$131,MATCH(S254,'G-8 Condition Look up'!$A$3:$A$131,0),MATCH(Y254,'G-8 Condition Look up'!$A$3:$H$3,0)),"")</f>
        <v/>
      </c>
      <c r="AA254" s="79"/>
      <c r="AB254" s="343" t="str">
        <f>IF(AA254="","",IF(VLOOKUP(AA254,'G-3 Multipliers'!$L$3:$N$6,2,FALSE)=0,"Spatial Data Missing",VLOOKUP(AA254,'G-3 Multipliers'!$L$3:$N$6,2,FALSE)))</f>
        <v/>
      </c>
      <c r="AC254" s="345" t="str">
        <f>IF(AA254="","",IF(VLOOKUP(AA254,'G-3 Multipliers'!$L$3:$N$6,3,FALSE)=0,"Spatial Data Missing",VLOOKUP(AA254,'G-3 Multipliers'!$L$3:$N$6,3,FALSE)))</f>
        <v/>
      </c>
      <c r="AD254" s="351" t="str">
        <f t="shared" si="29"/>
        <v/>
      </c>
      <c r="AE254" s="94"/>
      <c r="AF254" s="94"/>
      <c r="AG254" s="343" t="str">
        <f t="shared" si="32"/>
        <v/>
      </c>
      <c r="AH254" s="591" t="str">
        <f t="shared" si="33"/>
        <v/>
      </c>
      <c r="AI254" s="353" t="str">
        <f>IF(AH254="Check Data","Check Data",IFERROR(VLOOKUP(AH254,'G-4 Temporal multipliers'!$A$4:$C$36,3,FALSE),""))</f>
        <v/>
      </c>
      <c r="AJ254" s="77" t="str">
        <f>IF(S254="","",VLOOKUP(S254,'G-3 Multipliers'!$A$2:$E$130,4,FALSE))</f>
        <v/>
      </c>
      <c r="AK254" s="348" t="str">
        <f t="shared" si="34"/>
        <v/>
      </c>
      <c r="AL254" s="348" t="str">
        <f t="shared" si="35"/>
        <v/>
      </c>
      <c r="AM254" s="607" t="str">
        <f>IFERROR(IF(F254="","",IF(AH254="Check Data","Check Data",VLOOKUP(AL254, 'G-3 Multipliers'!$P$2:$Q$6,2,FALSE))),””)</f>
        <v/>
      </c>
      <c r="AN254" s="81" t="str">
        <f t="shared" si="30"/>
        <v/>
      </c>
      <c r="AO254" s="355"/>
      <c r="AP254" s="356"/>
    </row>
    <row r="255" spans="1:42" x14ac:dyDescent="0.25">
      <c r="A255" s="52" t="str">
        <f>IF(E255="","",IF(ISNA(VLOOKUP($E255,'A-1 Site Habitat Baseline'!$D$1:$O$258,2,FALSE)),"",(VLOOKUP($E255,'A-1 Site Habitat Baseline'!$D$1:$O$258,2,FALSE))))</f>
        <v/>
      </c>
      <c r="B255" s="52" t="str">
        <f>IF(E255="","",IF(ISNA(VLOOKUP($E255,'A-1 Site Habitat Baseline'!$D$1:$O$258,3,FALSE)),"",(VLOOKUP($E255,'A-1 Site Habitat Baseline'!$D$1:$O$258,3,FALSE))))</f>
        <v/>
      </c>
      <c r="C255" s="52" t="str">
        <f>IFERROR(INDEX('G-8 Condition Look up'!$I$4:$I$131,MATCH(S255,'G-8 Condition Look up'!$A$4:$A$131,0)),"")</f>
        <v/>
      </c>
      <c r="E255" s="342" t="str">
        <f>'A-1 Site Habitat Baseline'!AL254</f>
        <v/>
      </c>
      <c r="F255" s="343" t="str">
        <f>IF(E255="","",IF(ISNA(VLOOKUP($E255,'A-1 Site Habitat Baseline'!$D$1:$O$258,4,FALSE)),"",(VLOOKUP($E255,'A-1 Site Habitat Baseline'!$D$1:$O$258,4,FALSE))))</f>
        <v/>
      </c>
      <c r="G255" s="343" t="str">
        <f>IF(E255="","",IF(ISNA(VLOOKUP($E255,'A-1 Site Habitat Baseline'!$D$1:$O$258,5,FALSE)),"",(VLOOKUP($E255,'A-1 Site Habitat Baseline'!$D$1:$O$258,5,FALSE))))</f>
        <v/>
      </c>
      <c r="H255" s="343" t="str">
        <f>IF(E255="","",IF(ISNA(VLOOKUP($E255,'A-1 Site Habitat Baseline'!$D$1:$O$258,6,FALSE)),"",(VLOOKUP($E255,'A-1 Site Habitat Baseline'!$D$1:$O$258,6,FALSE))))</f>
        <v/>
      </c>
      <c r="I255" s="343" t="str">
        <f>IF(E255="","",IF(ISNA(VLOOKUP($E255,'A-1 Site Habitat Baseline'!$D$1:$O$258,7,FALSE)),"",(VLOOKUP($E255,'A-1 Site Habitat Baseline'!$D$1:$O$258,7,FALSE))))</f>
        <v/>
      </c>
      <c r="J255" s="343" t="str">
        <f>IF(E255="","",IF(ISNA(VLOOKUP($E255,'A-1 Site Habitat Baseline'!$D$1:$O$258,8,FALSE)),"",(VLOOKUP($E255,'A-1 Site Habitat Baseline'!$D$1:$O$258,8,FALSE))))</f>
        <v/>
      </c>
      <c r="K255" s="343" t="str">
        <f>IF(E255="","",IF(ISNA(VLOOKUP($E255,'A-1 Site Habitat Baseline'!$D$1:$O$258,9,FALSE)),"",(VLOOKUP($E255,'A-1 Site Habitat Baseline'!$D$1:$O$258,9,FALSE))))</f>
        <v/>
      </c>
      <c r="L255" s="343" t="str">
        <f>IF(E255="","",IF(ISNA(VLOOKUP($E255,'A-1 Site Habitat Baseline'!$D$1:$O$258,11,FALSE)),"",(VLOOKUP($E255,'A-1 Site Habitat Baseline'!$D$1:$O$258,11,FALSE))))</f>
        <v/>
      </c>
      <c r="M255" s="343" t="str">
        <f>IF(E255="","",IF(ISNA(VLOOKUP($E255,'A-1 Site Habitat Baseline'!$D$1:$O$258,12,FALSE)),"",(VLOOKUP($E255,'A-1 Site Habitat Baseline'!$D$1:$O$258,12,FALSE))))</f>
        <v/>
      </c>
      <c r="N255" s="344" t="str">
        <f>IF(E255="","",IF(ISNA(VLOOKUP($E255,'A-1 Site Habitat Baseline'!$D$1:$X$258,14,FALSE)),"",(VLOOKUP($E255,'A-1 Site Habitat Baseline'!$D$1:$X$258,14,FALSE))))</f>
        <v/>
      </c>
      <c r="O255" s="345" t="str">
        <f>IF(E255="","",IF(ISNA(VLOOKUP($E255,'A-1 Site Habitat Baseline'!$D$1:$X$258,16,FALSE)),"",(VLOOKUP($E255,'A-1 Site Habitat Baseline'!$D$1:$X$258,13,FALSE))))</f>
        <v/>
      </c>
      <c r="P255" s="346" t="str">
        <f>IFERROR(INDEX('G-1 All Habitats'!$AG$3:$AG$15,MATCH(Q255,'G-1 All Habitats'!$AF$3:$AF$15,0)),"")</f>
        <v/>
      </c>
      <c r="Q255" s="347"/>
      <c r="R255" s="347"/>
      <c r="S255" s="605" t="str">
        <f>IFERROR(INDEX('G-1 All Habitats'!$B$3:$B$130,MATCH(R255,'G-1 All Habitats'!$A$3:$A$130,0)),"")</f>
        <v/>
      </c>
      <c r="T255" s="77" t="str">
        <f t="shared" si="36"/>
        <v/>
      </c>
      <c r="U255" s="78" t="str">
        <f t="shared" si="31"/>
        <v/>
      </c>
      <c r="V255" s="350" t="str">
        <f t="shared" si="28"/>
        <v/>
      </c>
      <c r="W255" s="343" t="str">
        <f>IF(S255="","",VLOOKUP(S255,'G-1 All Habitats'!$B$2:$M$130,10,FALSE))</f>
        <v/>
      </c>
      <c r="X255" s="343" t="str">
        <f>IFERROR(VLOOKUP(W255,'G-1 All Habitats'!$V$3:$W$7,2,FALSE),"")</f>
        <v/>
      </c>
      <c r="Y255" s="91"/>
      <c r="Z255" s="345" t="str">
        <f>IFERROR(INDEX('G-8 Condition Look up'!$A$3:$H$131,MATCH(S255,'G-8 Condition Look up'!$A$3:$A$131,0),MATCH(Y255,'G-8 Condition Look up'!$A$3:$H$3,0)),"")</f>
        <v/>
      </c>
      <c r="AA255" s="79"/>
      <c r="AB255" s="343" t="str">
        <f>IF(AA255="","",IF(VLOOKUP(AA255,'G-3 Multipliers'!$L$3:$N$6,2,FALSE)=0,"Spatial Data Missing",VLOOKUP(AA255,'G-3 Multipliers'!$L$3:$N$6,2,FALSE)))</f>
        <v/>
      </c>
      <c r="AC255" s="345" t="str">
        <f>IF(AA255="","",IF(VLOOKUP(AA255,'G-3 Multipliers'!$L$3:$N$6,3,FALSE)=0,"Spatial Data Missing",VLOOKUP(AA255,'G-3 Multipliers'!$L$3:$N$6,3,FALSE)))</f>
        <v/>
      </c>
      <c r="AD255" s="351" t="str">
        <f t="shared" si="29"/>
        <v/>
      </c>
      <c r="AE255" s="94"/>
      <c r="AF255" s="94"/>
      <c r="AG255" s="343" t="str">
        <f t="shared" si="32"/>
        <v/>
      </c>
      <c r="AH255" s="591" t="str">
        <f t="shared" si="33"/>
        <v/>
      </c>
      <c r="AI255" s="353" t="str">
        <f>IF(AH255="Check Data","Check Data",IFERROR(VLOOKUP(AH255,'G-4 Temporal multipliers'!$A$4:$C$36,3,FALSE),""))</f>
        <v/>
      </c>
      <c r="AJ255" s="77" t="str">
        <f>IF(S255="","",VLOOKUP(S255,'G-3 Multipliers'!$A$2:$E$130,4,FALSE))</f>
        <v/>
      </c>
      <c r="AK255" s="348" t="str">
        <f t="shared" si="34"/>
        <v/>
      </c>
      <c r="AL255" s="348" t="str">
        <f t="shared" si="35"/>
        <v/>
      </c>
      <c r="AM255" s="607" t="str">
        <f>IFERROR(IF(F255="","",IF(AH255="Check Data","Check Data",VLOOKUP(AL255, 'G-3 Multipliers'!$P$2:$Q$6,2,FALSE))),””)</f>
        <v/>
      </c>
      <c r="AN255" s="81" t="str">
        <f t="shared" si="30"/>
        <v/>
      </c>
      <c r="AO255" s="355"/>
      <c r="AP255" s="356"/>
    </row>
    <row r="256" spans="1:42" x14ac:dyDescent="0.25">
      <c r="A256" s="52" t="str">
        <f>IF(E256="","",IF(ISNA(VLOOKUP($E256,'A-1 Site Habitat Baseline'!$D$1:$O$258,2,FALSE)),"",(VLOOKUP($E256,'A-1 Site Habitat Baseline'!$D$1:$O$258,2,FALSE))))</f>
        <v/>
      </c>
      <c r="B256" s="52" t="str">
        <f>IF(E256="","",IF(ISNA(VLOOKUP($E256,'A-1 Site Habitat Baseline'!$D$1:$O$258,3,FALSE)),"",(VLOOKUP($E256,'A-1 Site Habitat Baseline'!$D$1:$O$258,3,FALSE))))</f>
        <v/>
      </c>
      <c r="C256" s="52" t="str">
        <f>IFERROR(INDEX('G-8 Condition Look up'!$I$4:$I$131,MATCH(S256,'G-8 Condition Look up'!$A$4:$A$131,0)),"")</f>
        <v/>
      </c>
      <c r="E256" s="342" t="str">
        <f>'A-1 Site Habitat Baseline'!AL255</f>
        <v/>
      </c>
      <c r="F256" s="343" t="str">
        <f>IF(E256="","",IF(ISNA(VLOOKUP($E256,'A-1 Site Habitat Baseline'!$D$1:$O$258,4,FALSE)),"",(VLOOKUP($E256,'A-1 Site Habitat Baseline'!$D$1:$O$258,4,FALSE))))</f>
        <v/>
      </c>
      <c r="G256" s="343" t="str">
        <f>IF(E256="","",IF(ISNA(VLOOKUP($E256,'A-1 Site Habitat Baseline'!$D$1:$O$258,5,FALSE)),"",(VLOOKUP($E256,'A-1 Site Habitat Baseline'!$D$1:$O$258,5,FALSE))))</f>
        <v/>
      </c>
      <c r="H256" s="343" t="str">
        <f>IF(E256="","",IF(ISNA(VLOOKUP($E256,'A-1 Site Habitat Baseline'!$D$1:$O$258,6,FALSE)),"",(VLOOKUP($E256,'A-1 Site Habitat Baseline'!$D$1:$O$258,6,FALSE))))</f>
        <v/>
      </c>
      <c r="I256" s="343" t="str">
        <f>IF(E256="","",IF(ISNA(VLOOKUP($E256,'A-1 Site Habitat Baseline'!$D$1:$O$258,7,FALSE)),"",(VLOOKUP($E256,'A-1 Site Habitat Baseline'!$D$1:$O$258,7,FALSE))))</f>
        <v/>
      </c>
      <c r="J256" s="343" t="str">
        <f>IF(E256="","",IF(ISNA(VLOOKUP($E256,'A-1 Site Habitat Baseline'!$D$1:$O$258,8,FALSE)),"",(VLOOKUP($E256,'A-1 Site Habitat Baseline'!$D$1:$O$258,8,FALSE))))</f>
        <v/>
      </c>
      <c r="K256" s="343" t="str">
        <f>IF(E256="","",IF(ISNA(VLOOKUP($E256,'A-1 Site Habitat Baseline'!$D$1:$O$258,9,FALSE)),"",(VLOOKUP($E256,'A-1 Site Habitat Baseline'!$D$1:$O$258,9,FALSE))))</f>
        <v/>
      </c>
      <c r="L256" s="343" t="str">
        <f>IF(E256="","",IF(ISNA(VLOOKUP($E256,'A-1 Site Habitat Baseline'!$D$1:$O$258,11,FALSE)),"",(VLOOKUP($E256,'A-1 Site Habitat Baseline'!$D$1:$O$258,11,FALSE))))</f>
        <v/>
      </c>
      <c r="M256" s="343" t="str">
        <f>IF(E256="","",IF(ISNA(VLOOKUP($E256,'A-1 Site Habitat Baseline'!$D$1:$O$258,12,FALSE)),"",(VLOOKUP($E256,'A-1 Site Habitat Baseline'!$D$1:$O$258,12,FALSE))))</f>
        <v/>
      </c>
      <c r="N256" s="344" t="str">
        <f>IF(E256="","",IF(ISNA(VLOOKUP($E256,'A-1 Site Habitat Baseline'!$D$1:$X$258,14,FALSE)),"",(VLOOKUP($E256,'A-1 Site Habitat Baseline'!$D$1:$X$258,14,FALSE))))</f>
        <v/>
      </c>
      <c r="O256" s="345" t="str">
        <f>IF(E256="","",IF(ISNA(VLOOKUP($E256,'A-1 Site Habitat Baseline'!$D$1:$X$258,16,FALSE)),"",(VLOOKUP($E256,'A-1 Site Habitat Baseline'!$D$1:$X$258,13,FALSE))))</f>
        <v/>
      </c>
      <c r="P256" s="346" t="str">
        <f>IFERROR(INDEX('G-1 All Habitats'!$AG$3:$AG$15,MATCH(Q256,'G-1 All Habitats'!$AF$3:$AF$15,0)),"")</f>
        <v/>
      </c>
      <c r="Q256" s="347"/>
      <c r="R256" s="347"/>
      <c r="S256" s="605" t="str">
        <f>IFERROR(INDEX('G-1 All Habitats'!$B$3:$B$130,MATCH(R256,'G-1 All Habitats'!$A$3:$A$130,0)),"")</f>
        <v/>
      </c>
      <c r="T256" s="77" t="str">
        <f t="shared" si="36"/>
        <v/>
      </c>
      <c r="U256" s="78" t="str">
        <f t="shared" si="31"/>
        <v/>
      </c>
      <c r="V256" s="350" t="str">
        <f t="shared" si="28"/>
        <v/>
      </c>
      <c r="W256" s="343" t="str">
        <f>IF(S256="","",VLOOKUP(S256,'G-1 All Habitats'!$B$2:$M$130,10,FALSE))</f>
        <v/>
      </c>
      <c r="X256" s="343" t="str">
        <f>IFERROR(VLOOKUP(W256,'G-1 All Habitats'!$V$3:$W$7,2,FALSE),"")</f>
        <v/>
      </c>
      <c r="Y256" s="91"/>
      <c r="Z256" s="345" t="str">
        <f>IFERROR(INDEX('G-8 Condition Look up'!$A$3:$H$131,MATCH(S256,'G-8 Condition Look up'!$A$3:$A$131,0),MATCH(Y256,'G-8 Condition Look up'!$A$3:$H$3,0)),"")</f>
        <v/>
      </c>
      <c r="AA256" s="79"/>
      <c r="AB256" s="343" t="str">
        <f>IF(AA256="","",IF(VLOOKUP(AA256,'G-3 Multipliers'!$L$3:$N$6,2,FALSE)=0,"Spatial Data Missing",VLOOKUP(AA256,'G-3 Multipliers'!$L$3:$N$6,2,FALSE)))</f>
        <v/>
      </c>
      <c r="AC256" s="345" t="str">
        <f>IF(AA256="","",IF(VLOOKUP(AA256,'G-3 Multipliers'!$L$3:$N$6,3,FALSE)=0,"Spatial Data Missing",VLOOKUP(AA256,'G-3 Multipliers'!$L$3:$N$6,3,FALSE)))</f>
        <v/>
      </c>
      <c r="AD256" s="351" t="str">
        <f t="shared" si="29"/>
        <v/>
      </c>
      <c r="AE256" s="94"/>
      <c r="AF256" s="94"/>
      <c r="AG256" s="343" t="str">
        <f t="shared" si="32"/>
        <v/>
      </c>
      <c r="AH256" s="591" t="str">
        <f t="shared" si="33"/>
        <v/>
      </c>
      <c r="AI256" s="353" t="str">
        <f>IF(AH256="Check Data","Check Data",IFERROR(VLOOKUP(AH256,'G-4 Temporal multipliers'!$A$4:$C$36,3,FALSE),""))</f>
        <v/>
      </c>
      <c r="AJ256" s="77" t="str">
        <f>IF(S256="","",VLOOKUP(S256,'G-3 Multipliers'!$A$2:$E$130,4,FALSE))</f>
        <v/>
      </c>
      <c r="AK256" s="348" t="str">
        <f t="shared" si="34"/>
        <v/>
      </c>
      <c r="AL256" s="348" t="str">
        <f t="shared" si="35"/>
        <v/>
      </c>
      <c r="AM256" s="607" t="str">
        <f>IFERROR(IF(F256="","",IF(AH256="Check Data","Check Data",VLOOKUP(AL256, 'G-3 Multipliers'!$P$2:$Q$6,2,FALSE))),””)</f>
        <v/>
      </c>
      <c r="AN256" s="81" t="str">
        <f t="shared" si="30"/>
        <v/>
      </c>
      <c r="AO256" s="355"/>
      <c r="AP256" s="356"/>
    </row>
    <row r="257" spans="1:42" ht="14.4" thickBot="1" x14ac:dyDescent="0.3">
      <c r="A257" s="52" t="str">
        <f>IF(E257="","",IF(ISNA(VLOOKUP($E257,'A-1 Site Habitat Baseline'!$D$1:$O$258,2,FALSE)),"",(VLOOKUP($E257,'A-1 Site Habitat Baseline'!$D$1:$O$258,2,FALSE))))</f>
        <v/>
      </c>
      <c r="B257" s="52" t="str">
        <f>IF(E257="","",IF(ISNA(VLOOKUP($E257,'A-1 Site Habitat Baseline'!$D$1:$O$258,3,FALSE)),"",(VLOOKUP($E257,'A-1 Site Habitat Baseline'!$D$1:$O$258,3,FALSE))))</f>
        <v/>
      </c>
      <c r="C257" s="52" t="str">
        <f>IFERROR(INDEX('G-8 Condition Look up'!$I$4:$I$131,MATCH(S257,'G-8 Condition Look up'!$A$4:$A$131,0)),"")</f>
        <v/>
      </c>
      <c r="E257" s="670" t="str">
        <f>'A-1 Site Habitat Baseline'!AL256</f>
        <v/>
      </c>
      <c r="F257" s="671" t="str">
        <f>IF(E257="","",IF(ISNA(VLOOKUP($E257,'A-1 Site Habitat Baseline'!$D$1:$O$258,4,FALSE)),"",(VLOOKUP($E257,'A-1 Site Habitat Baseline'!$D$1:$O$258,4,FALSE))))</f>
        <v/>
      </c>
      <c r="G257" s="671" t="str">
        <f>IF(E257="","",IF(ISNA(VLOOKUP($E257,'A-1 Site Habitat Baseline'!$D$1:$O$258,5,FALSE)),"",(VLOOKUP($E257,'A-1 Site Habitat Baseline'!$D$1:$O$258,5,FALSE))))</f>
        <v/>
      </c>
      <c r="H257" s="671" t="str">
        <f>IF(E257="","",IF(ISNA(VLOOKUP($E257,'A-1 Site Habitat Baseline'!$D$1:$O$258,6,FALSE)),"",(VLOOKUP($E257,'A-1 Site Habitat Baseline'!$D$1:$O$258,6,FALSE))))</f>
        <v/>
      </c>
      <c r="I257" s="671" t="str">
        <f>IF(E257="","",IF(ISNA(VLOOKUP($E257,'A-1 Site Habitat Baseline'!$D$1:$O$258,7,FALSE)),"",(VLOOKUP($E257,'A-1 Site Habitat Baseline'!$D$1:$O$258,7,FALSE))))</f>
        <v/>
      </c>
      <c r="J257" s="671" t="str">
        <f>IF(E257="","",IF(ISNA(VLOOKUP($E257,'A-1 Site Habitat Baseline'!$D$1:$O$258,8,FALSE)),"",(VLOOKUP($E257,'A-1 Site Habitat Baseline'!$D$1:$O$258,8,FALSE))))</f>
        <v/>
      </c>
      <c r="K257" s="671" t="str">
        <f>IF(E257="","",IF(ISNA(VLOOKUP($E257,'A-1 Site Habitat Baseline'!$D$1:$O$258,9,FALSE)),"",(VLOOKUP($E257,'A-1 Site Habitat Baseline'!$D$1:$O$258,9,FALSE))))</f>
        <v/>
      </c>
      <c r="L257" s="671" t="str">
        <f>IF(E257="","",IF(ISNA(VLOOKUP($E257,'A-1 Site Habitat Baseline'!$D$1:$O$258,11,FALSE)),"",(VLOOKUP($E257,'A-1 Site Habitat Baseline'!$D$1:$O$258,11,FALSE))))</f>
        <v/>
      </c>
      <c r="M257" s="671" t="str">
        <f>IF(E257="","",IF(ISNA(VLOOKUP($E257,'A-1 Site Habitat Baseline'!$D$1:$O$258,12,FALSE)),"",(VLOOKUP($E257,'A-1 Site Habitat Baseline'!$D$1:$O$258,12,FALSE))))</f>
        <v/>
      </c>
      <c r="N257" s="672" t="str">
        <f>IF(E257="","",IF(ISNA(VLOOKUP($E257,'A-1 Site Habitat Baseline'!$D$1:$X$258,14,FALSE)),"",(VLOOKUP($E257,'A-1 Site Habitat Baseline'!$D$1:$X$258,14,FALSE))))</f>
        <v/>
      </c>
      <c r="O257" s="673" t="str">
        <f>IF(E257="","",IF(ISNA(VLOOKUP($E257,'A-1 Site Habitat Baseline'!$D$1:$X$258,16,FALSE)),"",(VLOOKUP($E257,'A-1 Site Habitat Baseline'!$D$1:$X$258,13,FALSE))))</f>
        <v/>
      </c>
      <c r="P257" s="674" t="str">
        <f>IFERROR(INDEX('G-1 All Habitats'!$AG$3:$AG$15,MATCH(Q257,'G-1 All Habitats'!$AF$3:$AF$15,0)),"")</f>
        <v/>
      </c>
      <c r="Q257" s="675"/>
      <c r="R257" s="347"/>
      <c r="S257" s="676" t="str">
        <f>IFERROR(INDEX('G-1 All Habitats'!$B$3:$B$130,MATCH(R257,'G-1 All Habitats'!$A$3:$A$130,0)),"")</f>
        <v/>
      </c>
      <c r="T257" s="677" t="str">
        <f t="shared" si="36"/>
        <v/>
      </c>
      <c r="U257" s="673" t="str">
        <f t="shared" si="31"/>
        <v/>
      </c>
      <c r="V257" s="677" t="str">
        <f t="shared" si="28"/>
        <v/>
      </c>
      <c r="W257" s="671" t="str">
        <f>IF(S257="","",VLOOKUP(S257,'G-1 All Habitats'!$B$2:$M$130,10,FALSE))</f>
        <v/>
      </c>
      <c r="X257" s="671" t="str">
        <f>IFERROR(VLOOKUP(W257,'G-1 All Habitats'!$V$3:$W$7,2,FALSE),"")</f>
        <v/>
      </c>
      <c r="Y257" s="525"/>
      <c r="Z257" s="673" t="str">
        <f>IFERROR(INDEX('G-8 Condition Look up'!$A$3:$H$131,MATCH(S257,'G-8 Condition Look up'!$A$3:$A$131,0),MATCH(Y257,'G-8 Condition Look up'!$A$3:$H$3,0)),"")</f>
        <v/>
      </c>
      <c r="AA257" s="678"/>
      <c r="AB257" s="671" t="str">
        <f>IF(AA257="","",IF(VLOOKUP(AA257,'G-3 Multipliers'!$L$3:$N$6,2,FALSE)=0,"Spatial Data Missing",VLOOKUP(AA257,'G-3 Multipliers'!$L$3:$N$6,2,FALSE)))</f>
        <v/>
      </c>
      <c r="AC257" s="673" t="str">
        <f>IF(AA257="","",IF(VLOOKUP(AA257,'G-3 Multipliers'!$L$3:$N$6,3,FALSE)=0,"Spatial Data Missing",VLOOKUP(AA257,'G-3 Multipliers'!$L$3:$N$6,3,FALSE)))</f>
        <v/>
      </c>
      <c r="AD257" s="679" t="str">
        <f t="shared" si="29"/>
        <v/>
      </c>
      <c r="AE257" s="525"/>
      <c r="AF257" s="525"/>
      <c r="AG257" s="671" t="str">
        <f t="shared" si="32"/>
        <v/>
      </c>
      <c r="AH257" s="591" t="str">
        <f t="shared" si="33"/>
        <v/>
      </c>
      <c r="AI257" s="680" t="str">
        <f>IF(AH257="Check Data","Check Data",IFERROR(VLOOKUP(AH257,'G-4 Temporal multipliers'!$A$4:$C$36,3,FALSE),""))</f>
        <v/>
      </c>
      <c r="AJ257" s="677" t="str">
        <f>IF(S257="","",VLOOKUP(S257,'G-3 Multipliers'!$A$2:$E$130,4,FALSE))</f>
        <v/>
      </c>
      <c r="AK257" s="665" t="str">
        <f t="shared" si="34"/>
        <v/>
      </c>
      <c r="AL257" s="665" t="str">
        <f t="shared" si="35"/>
        <v/>
      </c>
      <c r="AM257" s="666" t="str">
        <f>IFERROR(IF(F257="","",IF(AH257="Check Data","Check Data",VLOOKUP(AL257, 'G-3 Multipliers'!$P$2:$Q$6,2,FALSE))),””)</f>
        <v/>
      </c>
      <c r="AN257" s="667" t="str">
        <f t="shared" si="30"/>
        <v/>
      </c>
      <c r="AO257" s="668"/>
      <c r="AP257" s="681"/>
    </row>
    <row r="258" spans="1:42" ht="14.4" thickBot="1" x14ac:dyDescent="0.3">
      <c r="E258" s="669"/>
      <c r="F258" s="669"/>
      <c r="G258" s="669"/>
      <c r="H258" s="669"/>
      <c r="I258" s="669"/>
      <c r="J258" s="669"/>
      <c r="K258" s="669"/>
      <c r="L258" s="669"/>
      <c r="M258" s="669"/>
      <c r="N258" s="669"/>
      <c r="O258" s="669"/>
      <c r="P258" s="669"/>
      <c r="Q258" s="669"/>
      <c r="R258" s="669"/>
      <c r="S258" s="669"/>
      <c r="T258" s="669"/>
      <c r="U258" s="413"/>
      <c r="V258" s="523">
        <f>SUM(V12:V257)</f>
        <v>0</v>
      </c>
      <c r="W258" s="669"/>
      <c r="X258" s="669"/>
      <c r="Y258" s="669"/>
      <c r="Z258" s="669"/>
      <c r="AA258" s="669"/>
      <c r="AB258" s="669"/>
      <c r="AC258" s="669"/>
      <c r="AD258" s="669"/>
      <c r="AE258" s="669"/>
      <c r="AF258" s="669"/>
      <c r="AG258" s="669"/>
      <c r="AH258" s="669"/>
      <c r="AI258" s="669"/>
      <c r="AJ258" s="669"/>
      <c r="AK258" s="669"/>
      <c r="AL258" s="669"/>
      <c r="AM258" s="413"/>
      <c r="AN258" s="523">
        <f>(SUM(AN12:AN257))</f>
        <v>0</v>
      </c>
      <c r="AO258" s="669"/>
      <c r="AP258" s="669"/>
    </row>
    <row r="259" spans="1:42" ht="17.399999999999999" x14ac:dyDescent="0.3">
      <c r="V259" s="960" t="str">
        <f>IF(V258&lt;&gt;'A-1 Site Habitat Baseline'!T259,"Error - Area of habitat enhancement must match the area from sheet A1","")</f>
        <v/>
      </c>
      <c r="W259" s="960"/>
      <c r="X259" s="960"/>
      <c r="Y259" s="960"/>
      <c r="Z259" s="960"/>
      <c r="AA259" s="960"/>
    </row>
    <row r="260" spans="1:42" x14ac:dyDescent="0.25"/>
    <row r="261" spans="1:42" x14ac:dyDescent="0.25"/>
    <row r="262" spans="1:42" x14ac:dyDescent="0.25"/>
    <row r="263" spans="1:42" x14ac:dyDescent="0.25"/>
    <row r="264" spans="1:42" x14ac:dyDescent="0.25"/>
    <row r="265" spans="1:42" x14ac:dyDescent="0.25"/>
    <row r="266" spans="1:42" x14ac:dyDescent="0.25"/>
  </sheetData>
  <sheetProtection algorithmName="SHA-512" hashValue="+diGpAHS80jH303RPTWIimUW8adXs39k4Mt7vVlt7kPsTasPsfK+LUmgFse6AhxEJogpiAzIBVp8sDn9PBg2Bw==" saltValue="xjrU11YX4Zk2vKySpLkvGw==" spinCount="100000" sheet="1" objects="1" scenarios="1"/>
  <customSheetViews>
    <customSheetView guid="{8BDA793C-C9C5-4FC6-A0A5-F1109F6D4F22}" topLeftCell="D1">
      <pane ySplit="11" topLeftCell="A12" activePane="bottomLeft" state="frozen"/>
      <selection pane="bottomLeft"/>
    </customSheetView>
  </customSheetViews>
  <mergeCells count="19">
    <mergeCell ref="AO10:AP10"/>
    <mergeCell ref="F10:O10"/>
    <mergeCell ref="AA10:AC10"/>
    <mergeCell ref="V10:V11"/>
    <mergeCell ref="AN10:AN11"/>
    <mergeCell ref="Z10:Z11"/>
    <mergeCell ref="Y10:Y11"/>
    <mergeCell ref="X10:X11"/>
    <mergeCell ref="W10:W11"/>
    <mergeCell ref="AD10:AI10"/>
    <mergeCell ref="V259:AA259"/>
    <mergeCell ref="Q9:AM9"/>
    <mergeCell ref="AJ10:AM10"/>
    <mergeCell ref="E2:G2"/>
    <mergeCell ref="E3:G4"/>
    <mergeCell ref="Q10:R10"/>
    <mergeCell ref="T10:U10"/>
    <mergeCell ref="AD5:AI6"/>
    <mergeCell ref="AD2:AI3"/>
  </mergeCells>
  <conditionalFormatting sqref="Z12">
    <cfRule type="cellIs" dxfId="245" priority="32" operator="equal">
      <formula>"Not Possible"</formula>
    </cfRule>
  </conditionalFormatting>
  <conditionalFormatting sqref="Z13:Z257">
    <cfRule type="cellIs" dxfId="244" priority="25" operator="equal">
      <formula>"Not Possible"</formula>
    </cfRule>
  </conditionalFormatting>
  <conditionalFormatting sqref="AN12:AN257">
    <cfRule type="containsText" dxfId="243" priority="23" operator="containsText" text="Existing Value Not Required">
      <formula>NOT(ISERROR(SEARCH("Existing Value Not Required",AN12)))</formula>
    </cfRule>
    <cfRule type="containsText" dxfId="242" priority="24" operator="containsText" text="Existing Value Required">
      <formula>NOT(ISERROR(SEARCH("Existing Value Required",AN12)))</formula>
    </cfRule>
  </conditionalFormatting>
  <conditionalFormatting sqref="AN256:AN257">
    <cfRule type="containsText" dxfId="241" priority="21" operator="containsText" text="Existing Value Not Required">
      <formula>NOT(ISERROR(SEARCH("Existing Value Not Required",AN256)))</formula>
    </cfRule>
    <cfRule type="containsText" dxfId="240" priority="22" operator="containsText" text="Existing Value Required">
      <formula>NOT(ISERROR(SEARCH("Existing Value Required",AN256)))</formula>
    </cfRule>
  </conditionalFormatting>
  <conditionalFormatting sqref="AD2">
    <cfRule type="containsText" dxfId="239" priority="20" operator="containsText" text="Note">
      <formula>NOT(ISERROR(SEARCH("Note",AD2)))</formula>
    </cfRule>
  </conditionalFormatting>
  <conditionalFormatting sqref="T12:T257">
    <cfRule type="containsText" dxfId="238" priority="19" operator="containsText" text="Error">
      <formula>NOT(ISERROR(SEARCH("Error",T12)))</formula>
    </cfRule>
  </conditionalFormatting>
  <conditionalFormatting sqref="U12:U258">
    <cfRule type="containsText" dxfId="237" priority="18" operator="containsText" text="Error">
      <formula>NOT(ISERROR(SEARCH("Error",U12)))</formula>
    </cfRule>
  </conditionalFormatting>
  <conditionalFormatting sqref="AB12:AB257">
    <cfRule type="containsText" dxfId="236" priority="17" operator="containsText" text="Spatial">
      <formula>NOT(ISERROR(SEARCH("Spatial",AB12)))</formula>
    </cfRule>
  </conditionalFormatting>
  <conditionalFormatting sqref="AC12:AC257">
    <cfRule type="containsText" dxfId="235" priority="16" operator="containsText" text="Spatial">
      <formula>NOT(ISERROR(SEARCH("Spatial",AC12)))</formula>
    </cfRule>
  </conditionalFormatting>
  <conditionalFormatting sqref="AD12:AD257">
    <cfRule type="containsText" dxfId="234" priority="15" operator="containsText" text="Check Data">
      <formula>NOT(ISERROR(SEARCH("Check Data",AD12)))</formula>
    </cfRule>
  </conditionalFormatting>
  <conditionalFormatting sqref="AG12:AG257">
    <cfRule type="containsText" dxfId="233" priority="13" operator="containsText" text="Error">
      <formula>NOT(ISERROR(SEARCH("Error",AG12)))</formula>
    </cfRule>
    <cfRule type="containsText" dxfId="232" priority="14" operator="containsText" text="Check">
      <formula>NOT(ISERROR(SEARCH("Check",AG12)))</formula>
    </cfRule>
  </conditionalFormatting>
  <conditionalFormatting sqref="AH12:AH257">
    <cfRule type="containsText" dxfId="231" priority="10" operator="containsText" text="30+">
      <formula>NOT(ISERROR(SEARCH("30+",AH12)))</formula>
    </cfRule>
    <cfRule type="containsText" dxfId="230" priority="11" operator="containsText" text="Check Data">
      <formula>NOT(ISERROR(SEARCH("Check Data",AH12)))</formula>
    </cfRule>
    <cfRule type="containsText" dxfId="229" priority="12" operator="containsText" text="Error">
      <formula>NOT(ISERROR(SEARCH("Error",AH12)))</formula>
    </cfRule>
  </conditionalFormatting>
  <conditionalFormatting sqref="AI12:AI257">
    <cfRule type="containsText" dxfId="228" priority="9" operator="containsText" text="Check Data">
      <formula>NOT(ISERROR(SEARCH("Check Data",AI12)))</formula>
    </cfRule>
  </conditionalFormatting>
  <conditionalFormatting sqref="AK12:AK257">
    <cfRule type="containsText" dxfId="227" priority="8" operator="containsText" text="No - Low Difficulty - only applicable if all habitat created before losses">
      <formula>NOT(ISERROR(SEARCH("No - Low Difficulty - only applicable if all habitat created before losses",AK12)))</formula>
    </cfRule>
  </conditionalFormatting>
  <conditionalFormatting sqref="AM12:AM258">
    <cfRule type="containsText" dxfId="226" priority="7" operator="containsText" text="Check Data">
      <formula>NOT(ISERROR(SEARCH("Check Data",AM12)))</formula>
    </cfRule>
  </conditionalFormatting>
  <conditionalFormatting sqref="O12:O257">
    <cfRule type="beginsWith" dxfId="225" priority="3" operator="beginsWith" text="Bespoke">
      <formula>LEFT(O12,LEN("Bespoke"))="Bespoke"</formula>
    </cfRule>
    <cfRule type="beginsWith" dxfId="224" priority="4" operator="beginsWith" text="Same distinctiveness">
      <formula>LEFT(O12,LEN("Same distinctiveness"))="Same distinctiveness"</formula>
    </cfRule>
    <cfRule type="beginsWith" dxfId="223" priority="5" operator="beginsWith" text="Same broad">
      <formula>LEFT(O12,LEN("Same broad"))="Same broad"</formula>
    </cfRule>
    <cfRule type="beginsWith" dxfId="222" priority="6" operator="beginsWith" text="Same Habitat">
      <formula>LEFT(O12,LEN("Same Habitat"))="Same Habitat"</formula>
    </cfRule>
  </conditionalFormatting>
  <conditionalFormatting sqref="V259:AA259">
    <cfRule type="containsText" dxfId="221" priority="2" operator="containsText" text="Error">
      <formula>NOT(ISERROR(SEARCH("Error",V259)))</formula>
    </cfRule>
  </conditionalFormatting>
  <conditionalFormatting sqref="AD5">
    <cfRule type="containsText" dxfId="220" priority="1" operator="containsText" text="Change">
      <formula>NOT(ISERROR(SEARCH("Change",AD5)))</formula>
    </cfRule>
  </conditionalFormatting>
  <dataValidations count="3">
    <dataValidation allowBlank="1" showErrorMessage="1" errorTitle="Invalid Habitat" error="Select from List" sqref="S12:S257" xr:uid="{00000000-0002-0000-0D00-000001000000}"/>
    <dataValidation type="list" allowBlank="1" showInputMessage="1" showErrorMessage="1" sqref="Y12:Y257" xr:uid="{00000000-0002-0000-0D00-000002000000}">
      <formula1>INDIRECT(C12)</formula1>
    </dataValidation>
    <dataValidation type="list" allowBlank="1" showInputMessage="1" showErrorMessage="1" sqref="R12:R257" xr:uid="{4E63D83B-2213-4261-A0F6-5924AE99B179}">
      <formula1>INDIRECT(P12)</formula1>
    </dataValidation>
  </dataValidations>
  <pageMargins left="0.7" right="0.7" top="0.75" bottom="0.75" header="0.3" footer="0.3"/>
  <pageSetup paperSize="9" orientation="portrait" horizontalDpi="90" verticalDpi="90" r:id="rId1"/>
  <ignoredErrors>
    <ignoredError sqref="V25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D00-000003000000}">
          <x14:formula1>
            <xm:f>'G-3 Multipliers'!$L$4:$L$6</xm:f>
          </x14:formula1>
          <xm:sqref>AA12:AA257</xm:sqref>
        </x14:dataValidation>
        <x14:dataValidation type="list" allowBlank="1" showInputMessage="1" showErrorMessage="1" xr:uid="{00000000-0002-0000-0D00-000004000000}">
          <x14:formula1>
            <xm:f>'G-4 Temporal multipliers'!$A$41:$A$72</xm:f>
          </x14:formula1>
          <xm:sqref>AE12:AF257</xm:sqref>
        </x14:dataValidation>
        <x14:dataValidation type="list" allowBlank="1" showInputMessage="1" showErrorMessage="1" xr:uid="{00000000-0002-0000-0D00-000005000000}">
          <x14:formula1>
            <xm:f>'G-1 All Habitats'!$AF$3:$AF$15</xm:f>
          </x14:formula1>
          <xm:sqref>Q12:Q257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4">
    <tabColor rgb="FF92D050"/>
  </sheetPr>
  <dimension ref="A1:AQ271"/>
  <sheetViews>
    <sheetView showGridLines="0" showRowColHeaders="0" topLeftCell="C1" zoomScaleNormal="100" workbookViewId="0">
      <pane ySplit="10" topLeftCell="A11" activePane="bottomLeft" state="frozen"/>
      <selection activeCell="B18" sqref="B18:I19"/>
      <selection pane="bottomLeft" activeCell="E18" sqref="E18"/>
    </sheetView>
  </sheetViews>
  <sheetFormatPr defaultColWidth="0" defaultRowHeight="13.8" zeroHeight="1" x14ac:dyDescent="0.25"/>
  <cols>
    <col min="1" max="2" width="0" style="35" hidden="1" customWidth="1"/>
    <col min="3" max="3" width="3" style="35" customWidth="1"/>
    <col min="4" max="4" width="10.44140625" style="35" customWidth="1"/>
    <col min="5" max="5" width="22.109375" style="35" customWidth="1"/>
    <col min="6" max="6" width="70.109375" style="35" customWidth="1"/>
    <col min="7" max="7" width="76.88671875" style="35" hidden="1" customWidth="1"/>
    <col min="8" max="8" width="12.109375" style="35" customWidth="1"/>
    <col min="9" max="9" width="17.6640625" style="35" customWidth="1"/>
    <col min="10" max="10" width="7.88671875" style="35" customWidth="1"/>
    <col min="11" max="11" width="14.33203125" style="35" customWidth="1"/>
    <col min="12" max="12" width="9.6640625" style="35" customWidth="1"/>
    <col min="13" max="13" width="41.6640625" style="35" customWidth="1"/>
    <col min="14" max="14" width="20.44140625" style="35" customWidth="1"/>
    <col min="15" max="15" width="13.109375" style="35" customWidth="1"/>
    <col min="16" max="16" width="30.44140625" style="35" customWidth="1"/>
    <col min="17" max="17" width="13.44140625" style="35" customWidth="1"/>
    <col min="18" max="18" width="3.6640625" style="35" customWidth="1"/>
    <col min="19" max="19" width="11.5546875" style="35" customWidth="1"/>
    <col min="20" max="20" width="12.109375" style="35" customWidth="1"/>
    <col min="21" max="21" width="10.109375" style="35" customWidth="1"/>
    <col min="22" max="22" width="13" style="35" customWidth="1"/>
    <col min="23" max="23" width="13.109375" style="35" customWidth="1"/>
    <col min="24" max="24" width="15.5546875" style="35" customWidth="1"/>
    <col min="25" max="25" width="16.88671875" style="35" customWidth="1"/>
    <col min="26" max="27" width="50.109375" style="35" customWidth="1"/>
    <col min="28" max="28" width="8.88671875" style="35" customWidth="1"/>
    <col min="29" max="31" width="8.88671875" style="35" hidden="1" customWidth="1"/>
    <col min="32" max="32" width="14.33203125" style="35" hidden="1" customWidth="1"/>
    <col min="33" max="16384" width="8.88671875" style="35" hidden="1"/>
  </cols>
  <sheetData>
    <row r="1" spans="1:43" ht="12.75" customHeight="1" thickBot="1" x14ac:dyDescent="0.3"/>
    <row r="2" spans="1:43" ht="19.5" customHeight="1" thickBot="1" x14ac:dyDescent="0.3">
      <c r="D2" s="991" t="str">
        <f>IF(Start!F12="","",Start!F12)</f>
        <v>7948: Anglia Square, Norwich</v>
      </c>
      <c r="E2" s="992"/>
      <c r="F2" s="993"/>
    </row>
    <row r="3" spans="1:43" ht="15" customHeight="1" x14ac:dyDescent="0.25">
      <c r="D3" s="985" t="str">
        <f ca="1">MID(CELL("filename",C1),FIND("]",CELL("filename",C1))+1,256)</f>
        <v>D-1 Off Site Habitat Baseline</v>
      </c>
      <c r="E3" s="986"/>
      <c r="F3" s="987"/>
    </row>
    <row r="4" spans="1:43" ht="19.95" customHeight="1" thickBot="1" x14ac:dyDescent="0.3">
      <c r="D4" s="988"/>
      <c r="E4" s="989"/>
      <c r="F4" s="990"/>
    </row>
    <row r="5" spans="1:43" ht="24" customHeight="1" x14ac:dyDescent="0.25"/>
    <row r="6" spans="1:43" ht="15.75" customHeight="1" x14ac:dyDescent="0.25"/>
    <row r="7" spans="1:43" ht="16.2" customHeight="1" x14ac:dyDescent="0.25">
      <c r="D7" s="159"/>
      <c r="E7" s="159"/>
      <c r="F7" s="159"/>
      <c r="M7" s="158"/>
    </row>
    <row r="8" spans="1:43" ht="22.95" customHeight="1" thickBot="1" x14ac:dyDescent="0.3">
      <c r="D8" s="159"/>
      <c r="E8" s="159"/>
      <c r="F8" s="159"/>
    </row>
    <row r="9" spans="1:43" s="46" customFormat="1" ht="30" customHeight="1" thickBot="1" x14ac:dyDescent="0.3">
      <c r="D9" s="367"/>
      <c r="E9" s="983" t="s">
        <v>966</v>
      </c>
      <c r="F9" s="983"/>
      <c r="G9" s="983"/>
      <c r="H9" s="983"/>
      <c r="I9" s="983" t="s">
        <v>981</v>
      </c>
      <c r="J9" s="983"/>
      <c r="K9" s="983" t="s">
        <v>982</v>
      </c>
      <c r="L9" s="983"/>
      <c r="M9" s="983" t="s">
        <v>362</v>
      </c>
      <c r="N9" s="983"/>
      <c r="O9" s="983"/>
      <c r="P9" s="983" t="s">
        <v>1059</v>
      </c>
      <c r="Q9" s="160" t="s">
        <v>1010</v>
      </c>
      <c r="R9" s="165"/>
      <c r="S9" s="983" t="s">
        <v>1021</v>
      </c>
      <c r="T9" s="983"/>
      <c r="U9" s="983"/>
      <c r="V9" s="983"/>
      <c r="W9" s="983"/>
      <c r="X9" s="983"/>
      <c r="Y9" s="983" t="s">
        <v>1081</v>
      </c>
      <c r="Z9" s="983" t="s">
        <v>145</v>
      </c>
      <c r="AA9" s="983"/>
      <c r="AC9" s="46" t="s">
        <v>333</v>
      </c>
      <c r="AD9" s="46" t="s">
        <v>333</v>
      </c>
      <c r="AF9" s="368" t="s">
        <v>803</v>
      </c>
      <c r="AG9" s="368"/>
      <c r="AH9" s="368"/>
      <c r="AI9" s="368"/>
      <c r="AJ9" s="368"/>
      <c r="AK9" s="368" t="s">
        <v>1060</v>
      </c>
      <c r="AL9" s="188"/>
      <c r="AM9" s="188"/>
      <c r="AN9" s="188"/>
    </row>
    <row r="10" spans="1:43" ht="57" customHeight="1" thickBot="1" x14ac:dyDescent="0.3">
      <c r="B10" s="158" t="s">
        <v>1298</v>
      </c>
      <c r="D10" s="162" t="s">
        <v>840</v>
      </c>
      <c r="E10" s="163" t="s">
        <v>1080</v>
      </c>
      <c r="F10" s="163" t="s">
        <v>1032</v>
      </c>
      <c r="G10" s="163" t="s">
        <v>965</v>
      </c>
      <c r="H10" s="164" t="s">
        <v>967</v>
      </c>
      <c r="I10" s="162" t="s">
        <v>127</v>
      </c>
      <c r="J10" s="164" t="s">
        <v>140</v>
      </c>
      <c r="K10" s="162" t="s">
        <v>141</v>
      </c>
      <c r="L10" s="164" t="s">
        <v>140</v>
      </c>
      <c r="M10" s="162" t="s">
        <v>362</v>
      </c>
      <c r="N10" s="163" t="s">
        <v>362</v>
      </c>
      <c r="O10" s="164" t="s">
        <v>983</v>
      </c>
      <c r="P10" s="984"/>
      <c r="Q10" s="205" t="s">
        <v>1020</v>
      </c>
      <c r="R10" s="165"/>
      <c r="S10" s="162" t="s">
        <v>1022</v>
      </c>
      <c r="T10" s="163" t="s">
        <v>1023</v>
      </c>
      <c r="U10" s="163" t="s">
        <v>1024</v>
      </c>
      <c r="V10" s="163" t="s">
        <v>1025</v>
      </c>
      <c r="W10" s="163" t="s">
        <v>1026</v>
      </c>
      <c r="X10" s="164" t="s">
        <v>1017</v>
      </c>
      <c r="Y10" s="984"/>
      <c r="Z10" s="162" t="s">
        <v>991</v>
      </c>
      <c r="AA10" s="563" t="s">
        <v>992</v>
      </c>
      <c r="AC10" s="369" t="s">
        <v>1061</v>
      </c>
      <c r="AD10" s="369" t="s">
        <v>1063</v>
      </c>
      <c r="AE10" s="46"/>
      <c r="AF10" s="188" t="s">
        <v>800</v>
      </c>
      <c r="AG10" s="188" t="s">
        <v>801</v>
      </c>
      <c r="AH10" s="188" t="s">
        <v>802</v>
      </c>
      <c r="AI10" s="188" t="s">
        <v>804</v>
      </c>
      <c r="AJ10" s="188"/>
      <c r="AK10" s="188" t="s">
        <v>800</v>
      </c>
      <c r="AL10" s="188" t="s">
        <v>801</v>
      </c>
      <c r="AM10" s="188" t="s">
        <v>802</v>
      </c>
      <c r="AN10" s="188"/>
      <c r="AQ10" s="35" t="s">
        <v>1483</v>
      </c>
    </row>
    <row r="11" spans="1:43" x14ac:dyDescent="0.25">
      <c r="A11" s="35" t="str">
        <f>IFERROR(INDEX('G-1 All Habitats'!$AG$3:$AG$15,MATCH(E11,'G-1 All Habitats'!$AF$3:$AF$15,0)),"")</f>
        <v/>
      </c>
      <c r="B11" s="35" t="str">
        <f>IFERROR(INDEX('G-8 Condition Look up'!$I$4:$I$131,MATCH(G11,'G-8 Condition Look up'!$A$4:$A$131,0)),"")</f>
        <v/>
      </c>
      <c r="D11" s="561">
        <v>1</v>
      </c>
      <c r="E11" s="579"/>
      <c r="F11" s="579"/>
      <c r="G11" s="580" t="str">
        <f>IFERROR(INDEX('G-1 All Habitats'!$B$3:$B$130,MATCH(F11,'G-1 All Habitats'!$A$3:$A$130,0)),"")</f>
        <v/>
      </c>
      <c r="H11" s="213"/>
      <c r="I11" s="171" t="str">
        <f>IF(G11="","",VLOOKUP(G11,'G-1 All Habitats'!$B$2:$M$130,10,FALSE))</f>
        <v/>
      </c>
      <c r="J11" s="172" t="str">
        <f>IFERROR(VLOOKUP(I11,'G-1 All Habitats'!$V$3:$W$7,2,FALSE),"")</f>
        <v/>
      </c>
      <c r="K11" s="173"/>
      <c r="L11" s="172" t="str">
        <f>IFERROR(INDEX('G-8 Condition Look up'!$A$3:$H$131,MATCH(G11,'G-8 Condition Look up'!$A$3:$A$131,0),MATCH(K11,'G-8 Condition Look up'!$A$3:$H$3,0)),"")</f>
        <v/>
      </c>
      <c r="M11" s="186"/>
      <c r="N11" s="175" t="str">
        <f>IF(M11="","",IF(VLOOKUP(M11,'G-3 Multipliers'!$L$3:$N$6,2,FALSE)=0,"Spatial Data Missing",VLOOKUP(M11,'G-3 Multipliers'!$L$3:$N$6,2,FALSE)))</f>
        <v/>
      </c>
      <c r="O11" s="176" t="str">
        <f>IF(M11="","",IF(VLOOKUP(M11,'G-3 Multipliers'!$L$3:$N$6,3,FALSE)=0,"Spatial Data Missing",VLOOKUP(M11,'G-3 Multipliers'!$L$3:$N$6,3,FALSE)))</f>
        <v/>
      </c>
      <c r="P11" s="177" t="str">
        <f>IFERROR(VLOOKUP(G11,'G-1 All Habitats'!$B$2:$M$130,12,FALSE),"")</f>
        <v/>
      </c>
      <c r="Q11" s="81" t="str">
        <f>IFERROR(IF(P11="","",IF(AND(P11='G-1 All Habitats'!$X$3,T11&gt;0),U11+V11,IF(AND(P11='G-1 All Habitats'!$X$3,S11&gt;0),U11+V11,IF(AND(P11='G-1 All Habitats'!$X$3,AC11&gt;0),"Any Loss Unacceptable",IF(AND(P11='G-1 All Habitats'!$X$3,W11&gt;0),"Any Loss Unacceptable",H11*J11*L11*O11))))),"Check Data")</f>
        <v/>
      </c>
      <c r="R11" s="55"/>
      <c r="S11" s="79"/>
      <c r="T11" s="82"/>
      <c r="U11" s="83" t="str">
        <f>IFERROR(S11*J11*L11*O11,"")</f>
        <v/>
      </c>
      <c r="V11" s="83" t="str">
        <f>IFERROR(T11*J11*L11*O11,"")</f>
        <v/>
      </c>
      <c r="W11" s="83" t="str">
        <f>IF(E11="","",IF(H11&lt;S11+T11,"Error in Areas",IF(P11&lt;&gt;'G-1 All Habitats'!$X$3,H11-S11-T11,IF(AND(P11='G-1 All Habitats'!$X$3,Y11="Yes"),"Unacceptable Loss",IF(AND(P11='G-1 All Habitats'!$X$3,Y11="No"),AC11,IF(AND(P11='G-1 All Habitats'!$X$3,Y11=""),AC11,IF(AND(P11='G-1 All Habitats'!$X$3,AC11="None",AC11),IF(AND(P11='G-1 All Habitats'!$X$3,AC11&gt;0),H11-S11-T11))))))))</f>
        <v/>
      </c>
      <c r="X11" s="354" t="str">
        <f>IFERROR(IF(H11="","",IF(H11-S11-T11=0&lt;0,"Error in Areas",IF(S11+T11&gt;H11,"Error in Areas",IF(AND(P11='G-1 All Habitats'!$X$3,Y11="Yes"),"Alternative Compensation",IF(W11=0,0,IF(P11='G-1 All Habitats'!$X$3,"Unacceptable Loss",Q11-U11-V11)))))),"Check Data")</f>
        <v/>
      </c>
      <c r="Y11" s="82"/>
      <c r="Z11" s="180"/>
      <c r="AA11" s="181"/>
      <c r="AC11" s="371" t="str">
        <f>IF(P11="","",IF(P11='G-1 All Habitats'!$X$3,H11-S11-T11,"None"))</f>
        <v/>
      </c>
      <c r="AD11" s="372" t="str">
        <f>IFERROR(AC11*J11*L11*O11,IF(P11="","","None"))</f>
        <v/>
      </c>
      <c r="AF11" s="188" t="str">
        <f t="shared" ref="AF11:AF74" si="0">IF(G11="","",IF(S11&gt;0,TRUE,FALSE))</f>
        <v/>
      </c>
      <c r="AG11" s="188" t="str">
        <f t="shared" ref="AG11:AG74" si="1">IF(H11="","",IF(T11&gt;0,TRUE,FALSE))</f>
        <v/>
      </c>
      <c r="AH11" s="188" t="str">
        <f>IF(I11="","",IF(#REF!&gt;0,TRUE,FALSE))</f>
        <v/>
      </c>
      <c r="AI11" s="188">
        <v>1</v>
      </c>
      <c r="AJ11" s="188"/>
      <c r="AK11" s="188" t="str">
        <f t="array" ref="AK11">IFERROR(INDEX($AI$11:$AI$259, MATCH(0, IF(TRUE=$AF$11:$AF$259, COUNTIF($AK$10:$AK10, $AI$11:$AI$259), ""), 0)),"")</f>
        <v/>
      </c>
      <c r="AL11" s="188" t="str">
        <f t="array" ref="AL11">IFERROR(INDEX($AI$11:$AI$259, MATCH(0, IF(TRUE=$AG$11:$AG$259, COUNTIF($AL$10:$AL10, $AI$11:$AI$259), ""), 0)),"")</f>
        <v/>
      </c>
      <c r="AM11" s="188" t="str">
        <f t="array" ref="AM11">IFERROR(INDEX($AI$11:$AI$259, MATCH(0, IF(TRUE=$AH$11:$AH$259, COUNTIF($AM$10:$AM10, $AI$11:$AI$259), ""), 0)),"")</f>
        <v/>
      </c>
      <c r="AQ11" s="35">
        <f>IF(X11="Unacceptable Loss",1,0)</f>
        <v>0</v>
      </c>
    </row>
    <row r="12" spans="1:43" x14ac:dyDescent="0.25">
      <c r="A12" s="35" t="str">
        <f>IFERROR(INDEX('G-1 All Habitats'!$AG$3:$AG$15,MATCH(E12,'G-1 All Habitats'!$AF$3:$AF$15,0)),"")</f>
        <v/>
      </c>
      <c r="B12" s="35" t="str">
        <f>IFERROR(INDEX('G-8 Condition Look up'!$I$4:$I$131,MATCH(G12,'G-8 Condition Look up'!$A$4:$A$131,0)),"")</f>
        <v/>
      </c>
      <c r="D12" s="168">
        <v>2</v>
      </c>
      <c r="E12" s="275"/>
      <c r="F12" s="275"/>
      <c r="G12" s="370" t="str">
        <f>IFERROR(INDEX('G-1 All Habitats'!$B$3:$B$130,MATCH(F12,'G-1 All Habitats'!$A$3:$A$130,0)),"")</f>
        <v/>
      </c>
      <c r="H12" s="213"/>
      <c r="I12" s="171" t="str">
        <f>IF(G12="","",VLOOKUP(G12,'G-1 All Habitats'!$B$2:$M$130,10,FALSE))</f>
        <v/>
      </c>
      <c r="J12" s="172" t="str">
        <f>IFERROR(VLOOKUP(I12,'G-1 All Habitats'!$V$3:$W$7,2,FALSE),"")</f>
        <v/>
      </c>
      <c r="K12" s="173"/>
      <c r="L12" s="172" t="str">
        <f>IFERROR(INDEX('G-8 Condition Look up'!$A$3:$H$131,MATCH(G12,'G-8 Condition Look up'!$A$3:$A$131,0),MATCH(K12,'G-8 Condition Look up'!$A$3:$H$3,0)),"")</f>
        <v/>
      </c>
      <c r="M12" s="186"/>
      <c r="N12" s="175" t="str">
        <f>IF(M12="","",IF(VLOOKUP(M12,'G-3 Multipliers'!$L$3:$N$6,2,FALSE)=0,"Spatial Data Missing",VLOOKUP(M12,'G-3 Multipliers'!$L$3:$N$6,2,FALSE)))</f>
        <v/>
      </c>
      <c r="O12" s="176" t="str">
        <f>IF(M12="","",IF(VLOOKUP(M12,'G-3 Multipliers'!$L$3:$N$6,3,FALSE)=0,"Spatial Data Missing",VLOOKUP(M12,'G-3 Multipliers'!$L$3:$N$6,3,FALSE)))</f>
        <v/>
      </c>
      <c r="P12" s="177" t="str">
        <f>IFERROR(VLOOKUP(G12,'G-1 All Habitats'!$B$2:$M$130,12,FALSE),"")</f>
        <v/>
      </c>
      <c r="Q12" s="81" t="str">
        <f>IFERROR(IF(P12="","",IF(AND(P12='G-1 All Habitats'!$X$3,T12&gt;0),U12+V12,IF(AND(P12='G-1 All Habitats'!$X$3,S12&gt;0),U12+V12,IF(AND(P12='G-1 All Habitats'!$X$3,AC12&gt;0),"Any Loss Unacceptable",IF(AND(P12='G-1 All Habitats'!$X$3,W12&gt;0),"Any Loss Unacceptable",H12*J12*L12*O12))))),"Check Data")</f>
        <v/>
      </c>
      <c r="R12" s="55"/>
      <c r="S12" s="79"/>
      <c r="T12" s="82"/>
      <c r="U12" s="83" t="str">
        <f t="shared" ref="U12:U75" si="2">IFERROR(S12*J12*L12*O12,"")</f>
        <v/>
      </c>
      <c r="V12" s="83" t="str">
        <f t="shared" ref="V12:V75" si="3">IFERROR(T12*J12*L12*O12,"")</f>
        <v/>
      </c>
      <c r="W12" s="83" t="str">
        <f>IF(E12="","",IF(H12&lt;S12+T12,"Error in Areas",IF(P12&lt;&gt;'G-1 All Habitats'!$X$3,H12-S12-T12,IF(AND(P12='G-1 All Habitats'!$X$3,Y12="Yes"),"Unacceptable Loss",IF(AND(P12='G-1 All Habitats'!$X$3,Y12="No"),AC12,IF(AND(P12='G-1 All Habitats'!$X$3,Y12=""),AC12,IF(AND(P12='G-1 All Habitats'!$X$3,AC12="None",AC12),IF(AND(P12='G-1 All Habitats'!$X$3,AC12&gt;0),H12-S12-T12))))))))</f>
        <v/>
      </c>
      <c r="X12" s="354" t="str">
        <f>IFERROR(IF(H12="","",IF(H12-S12-T12=0&lt;0,"Error in Areas",IF(S12+T12&gt;H12,"Error in Areas",IF(AND(P12='G-1 All Habitats'!$X$3,Y12="Yes"),"Alternative Compensation",IF(W12=0,0,IF(P12='G-1 All Habitats'!$X$3,"Unacceptable Loss",Q12-U12-V12)))))),"Check Data")</f>
        <v/>
      </c>
      <c r="Y12" s="82"/>
      <c r="Z12" s="182"/>
      <c r="AA12" s="183"/>
      <c r="AC12" s="371" t="str">
        <f>IF(P12="","",IF(P12='G-1 All Habitats'!$X$3,H12-S12-T12,"None"))</f>
        <v/>
      </c>
      <c r="AD12" s="372" t="str">
        <f t="shared" ref="AD12:AD75" si="4">IFERROR(AC12*J12*L12*O12,IF(P12="","","None"))</f>
        <v/>
      </c>
      <c r="AF12" s="188" t="str">
        <f t="shared" si="0"/>
        <v/>
      </c>
      <c r="AG12" s="188" t="str">
        <f t="shared" si="1"/>
        <v/>
      </c>
      <c r="AH12" s="188" t="str">
        <f>IF(I12="","",IF(#REF!&gt;0,TRUE,FALSE))</f>
        <v/>
      </c>
      <c r="AI12" s="188">
        <v>2</v>
      </c>
      <c r="AJ12" s="188"/>
      <c r="AK12" s="188" t="str">
        <f t="array" ref="AK12">IFERROR(INDEX($AI$11:$AI$259, MATCH(0, IF(TRUE=$AF$11:$AF$259, COUNTIF($AK$10:$AK11, $AI$11:$AI$259), ""), 0)),"")</f>
        <v/>
      </c>
      <c r="AL12" s="188" t="str">
        <f t="array" ref="AL12">IFERROR(INDEX($AI$11:$AI$259, MATCH(0, IF(TRUE=$AG$11:$AG$259, COUNTIF($AL$10:$AL11, $AI$11:$AI$259), ""), 0)),"")</f>
        <v/>
      </c>
      <c r="AM12" s="188" t="str">
        <f t="array" ref="AM12">IFERROR(INDEX($AI$11:$AI$259, MATCH(0, IF(TRUE=$AH$11:$AH$259, COUNTIF($AM$10:$AM11, $AI$11:$AI$259), ""), 0)),"")</f>
        <v/>
      </c>
      <c r="AQ12" s="35">
        <f t="shared" ref="AQ12:AQ75" si="5">IF(X12="Unacceptable Loss",1,0)</f>
        <v>0</v>
      </c>
    </row>
    <row r="13" spans="1:43" x14ac:dyDescent="0.25">
      <c r="A13" s="35" t="str">
        <f>IFERROR(INDEX('G-1 All Habitats'!$AG$3:$AG$15,MATCH(E13,'G-1 All Habitats'!$AF$3:$AF$15,0)),"")</f>
        <v/>
      </c>
      <c r="B13" s="35" t="str">
        <f>IFERROR(INDEX('G-8 Condition Look up'!$I$4:$I$131,MATCH(G13,'G-8 Condition Look up'!$A$4:$A$131,0)),"")</f>
        <v/>
      </c>
      <c r="D13" s="168">
        <v>3</v>
      </c>
      <c r="E13" s="275"/>
      <c r="F13" s="275"/>
      <c r="G13" s="370" t="str">
        <f>IFERROR(INDEX('G-1 All Habitats'!$B$3:$B$130,MATCH(F13,'G-1 All Habitats'!$A$3:$A$130,0)),"")</f>
        <v/>
      </c>
      <c r="H13" s="213"/>
      <c r="I13" s="171" t="str">
        <f>IF(G13="","",VLOOKUP(G13,'G-1 All Habitats'!$B$2:$M$130,10,FALSE))</f>
        <v/>
      </c>
      <c r="J13" s="172" t="str">
        <f>IFERROR(VLOOKUP(I13,'G-1 All Habitats'!$V$3:$W$7,2,FALSE),"")</f>
        <v/>
      </c>
      <c r="K13" s="173"/>
      <c r="L13" s="172" t="str">
        <f>IFERROR(INDEX('G-8 Condition Look up'!$A$3:$H$131,MATCH(G13,'G-8 Condition Look up'!$A$3:$A$131,0),MATCH(K13,'G-8 Condition Look up'!$A$3:$H$3,0)),"")</f>
        <v/>
      </c>
      <c r="M13" s="186"/>
      <c r="N13" s="175" t="str">
        <f>IF(M13="","",IF(VLOOKUP(M13,'G-3 Multipliers'!$L$3:$N$6,2,FALSE)=0,"Spatial Data Missing",VLOOKUP(M13,'G-3 Multipliers'!$L$3:$N$6,2,FALSE)))</f>
        <v/>
      </c>
      <c r="O13" s="176" t="str">
        <f>IF(M13="","",IF(VLOOKUP(M13,'G-3 Multipliers'!$L$3:$N$6,3,FALSE)=0,"Spatial Data Missing",VLOOKUP(M13,'G-3 Multipliers'!$L$3:$N$6,3,FALSE)))</f>
        <v/>
      </c>
      <c r="P13" s="177" t="str">
        <f>IFERROR(VLOOKUP(G13,'G-1 All Habitats'!$B$2:$M$130,12,FALSE),"")</f>
        <v/>
      </c>
      <c r="Q13" s="81" t="str">
        <f>IFERROR(IF(P13="","",IF(AND(P13='G-1 All Habitats'!$X$3,T13&gt;0),U13+V13,IF(AND(P13='G-1 All Habitats'!$X$3,S13&gt;0),U13+V13,IF(AND(P13='G-1 All Habitats'!$X$3,AC13&gt;0),"Any Loss Unacceptable",IF(AND(P13='G-1 All Habitats'!$X$3,W13&gt;0),"Any Loss Unacceptable",H13*J13*L13*O13))))),"Check Data")</f>
        <v/>
      </c>
      <c r="R13" s="55"/>
      <c r="S13" s="79"/>
      <c r="T13" s="82"/>
      <c r="U13" s="83" t="str">
        <f t="shared" si="2"/>
        <v/>
      </c>
      <c r="V13" s="83" t="str">
        <f t="shared" si="3"/>
        <v/>
      </c>
      <c r="W13" s="83" t="str">
        <f>IF(E13="","",IF(H13&lt;S13+T13,"Error in Areas",IF(P13&lt;&gt;'G-1 All Habitats'!$X$3,H13-S13-T13,IF(AND(P13='G-1 All Habitats'!$X$3,Y13="Yes"),"Unacceptable Loss",IF(AND(P13='G-1 All Habitats'!$X$3,Y13="No"),AC13,IF(AND(P13='G-1 All Habitats'!$X$3,Y13=""),AC13,IF(AND(P13='G-1 All Habitats'!$X$3,AC13="None",AC13),IF(AND(P13='G-1 All Habitats'!$X$3,AC13&gt;0),H13-S13-T13))))))))</f>
        <v/>
      </c>
      <c r="X13" s="354" t="str">
        <f>IFERROR(IF(H13="","",IF(H13-S13-T13=0&lt;0,"Error in Areas",IF(S13+T13&gt;H13,"Error in Areas",IF(AND(P13='G-1 All Habitats'!$X$3,Y13="Yes"),"Alternative Compensation",IF(W13=0,0,IF(P13='G-1 All Habitats'!$X$3,"Unacceptable Loss",Q13-U13-V13)))))),"Check Data")</f>
        <v/>
      </c>
      <c r="Y13" s="82"/>
      <c r="Z13" s="182"/>
      <c r="AA13" s="183"/>
      <c r="AC13" s="371" t="str">
        <f>IF(P13="","",IF(P13='G-1 All Habitats'!$X$3,H13-S13-T13,"None"))</f>
        <v/>
      </c>
      <c r="AD13" s="372" t="str">
        <f t="shared" si="4"/>
        <v/>
      </c>
      <c r="AF13" s="188" t="str">
        <f t="shared" si="0"/>
        <v/>
      </c>
      <c r="AG13" s="188" t="str">
        <f t="shared" si="1"/>
        <v/>
      </c>
      <c r="AH13" s="188" t="str">
        <f>IF(I13="","",IF(#REF!&gt;0,TRUE,FALSE))</f>
        <v/>
      </c>
      <c r="AI13" s="188">
        <v>3</v>
      </c>
      <c r="AJ13" s="188"/>
      <c r="AK13" s="188" t="str">
        <f t="array" ref="AK13">IFERROR(INDEX($AI$11:$AI$259, MATCH(0, IF(TRUE=$AF$11:$AF$259, COUNTIF($AK$10:$AK12, $AI$11:$AI$259), ""), 0)),"")</f>
        <v/>
      </c>
      <c r="AL13" s="188" t="str">
        <f t="array" ref="AL13">IFERROR(INDEX($AI$11:$AI$259, MATCH(0, IF(TRUE=$AG$11:$AG$259, COUNTIF($AL$10:$AL12, $AI$11:$AI$259), ""), 0)),"")</f>
        <v/>
      </c>
      <c r="AM13" s="188" t="str">
        <f t="array" ref="AM13">IFERROR(INDEX($AI$11:$AI$259, MATCH(0, IF(TRUE=$AH$11:$AH$259, COUNTIF($AM$10:$AM12, $AI$11:$AI$259), ""), 0)),"")</f>
        <v/>
      </c>
      <c r="AQ13" s="35">
        <f t="shared" si="5"/>
        <v>0</v>
      </c>
    </row>
    <row r="14" spans="1:43" x14ac:dyDescent="0.25">
      <c r="A14" s="35" t="str">
        <f>IFERROR(INDEX('G-1 All Habitats'!$AG$3:$AG$15,MATCH(E14,'G-1 All Habitats'!$AF$3:$AF$15,0)),"")</f>
        <v/>
      </c>
      <c r="B14" s="35" t="str">
        <f>IFERROR(INDEX('G-8 Condition Look up'!$I$4:$I$131,MATCH(G14,'G-8 Condition Look up'!$A$4:$A$131,0)),"")</f>
        <v/>
      </c>
      <c r="D14" s="168">
        <v>4</v>
      </c>
      <c r="E14" s="275"/>
      <c r="F14" s="275"/>
      <c r="G14" s="370" t="str">
        <f>IFERROR(INDEX('G-1 All Habitats'!$B$3:$B$130,MATCH(F14,'G-1 All Habitats'!$A$3:$A$130,0)),"")</f>
        <v/>
      </c>
      <c r="H14" s="213"/>
      <c r="I14" s="171" t="str">
        <f>IF(G14="","",VLOOKUP(G14,'G-1 All Habitats'!$B$2:$M$130,10,FALSE))</f>
        <v/>
      </c>
      <c r="J14" s="172" t="str">
        <f>IFERROR(VLOOKUP(I14,'G-1 All Habitats'!$V$3:$W$7,2,FALSE),"")</f>
        <v/>
      </c>
      <c r="K14" s="173"/>
      <c r="L14" s="172" t="str">
        <f>IFERROR(INDEX('G-8 Condition Look up'!$A$3:$H$131,MATCH(G14,'G-8 Condition Look up'!$A$3:$A$131,0),MATCH(K14,'G-8 Condition Look up'!$A$3:$H$3,0)),"")</f>
        <v/>
      </c>
      <c r="M14" s="186"/>
      <c r="N14" s="175" t="str">
        <f>IF(M14="","",IF(VLOOKUP(M14,'G-3 Multipliers'!$L$3:$N$6,2,FALSE)=0,"Spatial Data Missing",VLOOKUP(M14,'G-3 Multipliers'!$L$3:$N$6,2,FALSE)))</f>
        <v/>
      </c>
      <c r="O14" s="176" t="str">
        <f>IF(M14="","",IF(VLOOKUP(M14,'G-3 Multipliers'!$L$3:$N$6,3,FALSE)=0,"Spatial Data Missing",VLOOKUP(M14,'G-3 Multipliers'!$L$3:$N$6,3,FALSE)))</f>
        <v/>
      </c>
      <c r="P14" s="177" t="str">
        <f>IFERROR(VLOOKUP(G14,'G-1 All Habitats'!$B$2:$M$130,12,FALSE),"")</f>
        <v/>
      </c>
      <c r="Q14" s="81" t="str">
        <f>IFERROR(IF(P14="","",IF(AND(P14='G-1 All Habitats'!$X$3,T14&gt;0),U14+V14,IF(AND(P14='G-1 All Habitats'!$X$3,S14&gt;0),U14+V14,IF(AND(P14='G-1 All Habitats'!$X$3,AC14&gt;0),"Any Loss Unacceptable",IF(AND(P14='G-1 All Habitats'!$X$3,W14&gt;0),"Any Loss Unacceptable",H14*J14*L14*O14))))),"Check Data")</f>
        <v/>
      </c>
      <c r="R14" s="55"/>
      <c r="S14" s="79"/>
      <c r="T14" s="82"/>
      <c r="U14" s="83" t="str">
        <f t="shared" si="2"/>
        <v/>
      </c>
      <c r="V14" s="83" t="str">
        <f t="shared" si="3"/>
        <v/>
      </c>
      <c r="W14" s="83" t="str">
        <f>IF(E14="","",IF(H14&lt;S14+T14,"Error in Areas",IF(P14&lt;&gt;'G-1 All Habitats'!$X$3,H14-S14-T14,IF(AND(P14='G-1 All Habitats'!$X$3,Y14="Yes"),"Unacceptable Loss",IF(AND(P14='G-1 All Habitats'!$X$3,Y14="No"),AC14,IF(AND(P14='G-1 All Habitats'!$X$3,Y14=""),AC14,IF(AND(P14='G-1 All Habitats'!$X$3,AC14="None",AC14),IF(AND(P14='G-1 All Habitats'!$X$3,AC14&gt;0),H14-S14-T14))))))))</f>
        <v/>
      </c>
      <c r="X14" s="354" t="str">
        <f>IFERROR(IF(H14="","",IF(H14-S14-T14=0&lt;0,"Error in Areas",IF(S14+T14&gt;H14,"Error in Areas",IF(AND(P14='G-1 All Habitats'!$X$3,Y14="Yes"),"Alternative Compensation",IF(W14=0,0,IF(P14='G-1 All Habitats'!$X$3,"Unacceptable Loss",Q14-U14-V14)))))),"Check Data")</f>
        <v/>
      </c>
      <c r="Y14" s="82"/>
      <c r="Z14" s="182"/>
      <c r="AA14" s="183"/>
      <c r="AC14" s="371" t="str">
        <f>IF(P14="","",IF(P14='G-1 All Habitats'!$X$3,H14-S14-T14,"None"))</f>
        <v/>
      </c>
      <c r="AD14" s="372" t="str">
        <f t="shared" si="4"/>
        <v/>
      </c>
      <c r="AF14" s="188" t="str">
        <f t="shared" si="0"/>
        <v/>
      </c>
      <c r="AG14" s="188" t="str">
        <f t="shared" si="1"/>
        <v/>
      </c>
      <c r="AH14" s="188" t="str">
        <f>IF(I14="","",IF(#REF!&gt;0,TRUE,FALSE))</f>
        <v/>
      </c>
      <c r="AI14" s="188">
        <v>4</v>
      </c>
      <c r="AJ14" s="188"/>
      <c r="AK14" s="188" t="str">
        <f t="array" ref="AK14">IFERROR(INDEX($AI$11:$AI$259, MATCH(0, IF(TRUE=$AF$11:$AF$259, COUNTIF($AK$10:$AK13, $AI$11:$AI$259), ""), 0)),"")</f>
        <v/>
      </c>
      <c r="AL14" s="188" t="str">
        <f t="array" ref="AL14">IFERROR(INDEX($AI$11:$AI$259, MATCH(0, IF(TRUE=$AG$11:$AG$259, COUNTIF($AL$10:$AL13, $AI$11:$AI$259), ""), 0)),"")</f>
        <v/>
      </c>
      <c r="AM14" s="188" t="str">
        <f t="array" ref="AM14">IFERROR(INDEX($AI$11:$AI$259, MATCH(0, IF(TRUE=$AH$11:$AH$259, COUNTIF($AM$10:$AM13, $AI$11:$AI$259), ""), 0)),"")</f>
        <v/>
      </c>
      <c r="AQ14" s="35">
        <f t="shared" si="5"/>
        <v>0</v>
      </c>
    </row>
    <row r="15" spans="1:43" x14ac:dyDescent="0.25">
      <c r="A15" s="35" t="str">
        <f>IFERROR(INDEX('G-1 All Habitats'!$AG$3:$AG$15,MATCH(E15,'G-1 All Habitats'!$AF$3:$AF$15,0)),"")</f>
        <v/>
      </c>
      <c r="B15" s="35" t="str">
        <f>IFERROR(INDEX('G-8 Condition Look up'!$I$4:$I$131,MATCH(G15,'G-8 Condition Look up'!$A$4:$A$131,0)),"")</f>
        <v/>
      </c>
      <c r="D15" s="168">
        <v>5</v>
      </c>
      <c r="E15" s="275"/>
      <c r="F15" s="275"/>
      <c r="G15" s="370" t="str">
        <f>IFERROR(INDEX('G-1 All Habitats'!$B$3:$B$130,MATCH(F15,'G-1 All Habitats'!$A$3:$A$130,0)),"")</f>
        <v/>
      </c>
      <c r="H15" s="213"/>
      <c r="I15" s="171" t="str">
        <f>IF(G15="","",VLOOKUP(G15,'G-1 All Habitats'!$B$2:$M$130,10,FALSE))</f>
        <v/>
      </c>
      <c r="J15" s="172" t="str">
        <f>IFERROR(VLOOKUP(I15,'G-1 All Habitats'!$V$3:$W$7,2,FALSE),"")</f>
        <v/>
      </c>
      <c r="K15" s="173"/>
      <c r="L15" s="172" t="str">
        <f>IFERROR(INDEX('G-8 Condition Look up'!$A$3:$H$131,MATCH(G15,'G-8 Condition Look up'!$A$3:$A$131,0),MATCH(K15,'G-8 Condition Look up'!$A$3:$H$3,0)),"")</f>
        <v/>
      </c>
      <c r="M15" s="186"/>
      <c r="N15" s="175" t="str">
        <f>IF(M15="","",IF(VLOOKUP(M15,'G-3 Multipliers'!$L$3:$N$6,2,FALSE)=0,"Spatial Data Missing",VLOOKUP(M15,'G-3 Multipliers'!$L$3:$N$6,2,FALSE)))</f>
        <v/>
      </c>
      <c r="O15" s="176" t="str">
        <f>IF(M15="","",IF(VLOOKUP(M15,'G-3 Multipliers'!$L$3:$N$6,3,FALSE)=0,"Spatial Data Missing",VLOOKUP(M15,'G-3 Multipliers'!$L$3:$N$6,3,FALSE)))</f>
        <v/>
      </c>
      <c r="P15" s="177" t="str">
        <f>IFERROR(VLOOKUP(G15,'G-1 All Habitats'!$B$2:$M$130,12,FALSE),"")</f>
        <v/>
      </c>
      <c r="Q15" s="81" t="str">
        <f>IFERROR(IF(P15="","",IF(AND(P15='G-1 All Habitats'!$X$3,T15&gt;0),U15+V15,IF(AND(P15='G-1 All Habitats'!$X$3,S15&gt;0),U15+V15,IF(AND(P15='G-1 All Habitats'!$X$3,AC15&gt;0),"Any Loss Unacceptable",IF(AND(P15='G-1 All Habitats'!$X$3,W15&gt;0),"Any Loss Unacceptable",H15*J15*L15*O15))))),"Check Data")</f>
        <v/>
      </c>
      <c r="R15" s="55"/>
      <c r="S15" s="79"/>
      <c r="T15" s="82"/>
      <c r="U15" s="83" t="str">
        <f t="shared" si="2"/>
        <v/>
      </c>
      <c r="V15" s="83" t="str">
        <f t="shared" si="3"/>
        <v/>
      </c>
      <c r="W15" s="83" t="str">
        <f>IF(E15="","",IF(H15&lt;S15+T15,"Error in Areas",IF(P15&lt;&gt;'G-1 All Habitats'!$X$3,H15-S15-T15,IF(AND(P15='G-1 All Habitats'!$X$3,Y15="Yes"),"Unacceptable Loss",IF(AND(P15='G-1 All Habitats'!$X$3,Y15="No"),AC15,IF(AND(P15='G-1 All Habitats'!$X$3,Y15=""),AC15,IF(AND(P15='G-1 All Habitats'!$X$3,AC15="None",AC15),IF(AND(P15='G-1 All Habitats'!$X$3,AC15&gt;0),H15-S15-T15))))))))</f>
        <v/>
      </c>
      <c r="X15" s="354" t="str">
        <f>IFERROR(IF(H15="","",IF(H15-S15-T15=0&lt;0,"Error in Areas",IF(S15+T15&gt;H15,"Error in Areas",IF(AND(P15='G-1 All Habitats'!$X$3,Y15="Yes"),"Alternative Compensation",IF(W15=0,0,IF(P15='G-1 All Habitats'!$X$3,"Unacceptable Loss",Q15-U15-V15)))))),"Check Data")</f>
        <v/>
      </c>
      <c r="Y15" s="82"/>
      <c r="Z15" s="182"/>
      <c r="AA15" s="183"/>
      <c r="AC15" s="371" t="str">
        <f>IF(P15="","",IF(P15='G-1 All Habitats'!$X$3,H15-S15-T15,"None"))</f>
        <v/>
      </c>
      <c r="AD15" s="372" t="str">
        <f t="shared" si="4"/>
        <v/>
      </c>
      <c r="AF15" s="188" t="str">
        <f t="shared" si="0"/>
        <v/>
      </c>
      <c r="AG15" s="188" t="str">
        <f t="shared" si="1"/>
        <v/>
      </c>
      <c r="AH15" s="188" t="str">
        <f>IF(I15="","",IF(#REF!&gt;0,TRUE,FALSE))</f>
        <v/>
      </c>
      <c r="AI15" s="188">
        <v>5</v>
      </c>
      <c r="AJ15" s="188"/>
      <c r="AK15" s="188" t="str">
        <f t="array" ref="AK15">IFERROR(INDEX($AI$11:$AI$259, MATCH(0, IF(TRUE=$AF$11:$AF$259, COUNTIF($AK$10:$AK14, $AI$11:$AI$259), ""), 0)),"")</f>
        <v/>
      </c>
      <c r="AL15" s="188" t="str">
        <f t="array" ref="AL15">IFERROR(INDEX($AI$11:$AI$259, MATCH(0, IF(TRUE=$AG$11:$AG$259, COUNTIF($AL$10:$AL14, $AI$11:$AI$259), ""), 0)),"")</f>
        <v/>
      </c>
      <c r="AM15" s="188" t="str">
        <f t="array" ref="AM15">IFERROR(INDEX($AI$11:$AI$259, MATCH(0, IF(TRUE=$AH$11:$AH$259, COUNTIF($AM$10:$AM14, $AI$11:$AI$259), ""), 0)),"")</f>
        <v/>
      </c>
      <c r="AQ15" s="35">
        <f t="shared" si="5"/>
        <v>0</v>
      </c>
    </row>
    <row r="16" spans="1:43" x14ac:dyDescent="0.25">
      <c r="A16" s="35" t="str">
        <f>IFERROR(INDEX('G-1 All Habitats'!$AG$3:$AG$15,MATCH(E16,'G-1 All Habitats'!$AF$3:$AF$15,0)),"")</f>
        <v/>
      </c>
      <c r="B16" s="35" t="str">
        <f>IFERROR(INDEX('G-8 Condition Look up'!$I$4:$I$131,MATCH(G16,'G-8 Condition Look up'!$A$4:$A$131,0)),"")</f>
        <v/>
      </c>
      <c r="D16" s="168">
        <v>6</v>
      </c>
      <c r="E16" s="275"/>
      <c r="F16" s="275"/>
      <c r="G16" s="370" t="str">
        <f>IFERROR(INDEX('G-1 All Habitats'!$B$3:$B$130,MATCH(F16,'G-1 All Habitats'!$A$3:$A$130,0)),"")</f>
        <v/>
      </c>
      <c r="H16" s="213"/>
      <c r="I16" s="171" t="str">
        <f>IF(G16="","",VLOOKUP(G16,'G-1 All Habitats'!$B$2:$M$130,10,FALSE))</f>
        <v/>
      </c>
      <c r="J16" s="172" t="str">
        <f>IFERROR(VLOOKUP(I16,'G-1 All Habitats'!$V$3:$W$7,2,FALSE),"")</f>
        <v/>
      </c>
      <c r="K16" s="173"/>
      <c r="L16" s="172" t="str">
        <f>IFERROR(INDEX('G-8 Condition Look up'!$A$3:$H$131,MATCH(G16,'G-8 Condition Look up'!$A$3:$A$131,0),MATCH(K16,'G-8 Condition Look up'!$A$3:$H$3,0)),"")</f>
        <v/>
      </c>
      <c r="M16" s="186"/>
      <c r="N16" s="175" t="str">
        <f>IF(M16="","",IF(VLOOKUP(M16,'G-3 Multipliers'!$L$3:$N$6,2,FALSE)=0,"Spatial Data Missing",VLOOKUP(M16,'G-3 Multipliers'!$L$3:$N$6,2,FALSE)))</f>
        <v/>
      </c>
      <c r="O16" s="176" t="str">
        <f>IF(M16="","",IF(VLOOKUP(M16,'G-3 Multipliers'!$L$3:$N$6,3,FALSE)=0,"Spatial Data Missing",VLOOKUP(M16,'G-3 Multipliers'!$L$3:$N$6,3,FALSE)))</f>
        <v/>
      </c>
      <c r="P16" s="177" t="str">
        <f>IFERROR(VLOOKUP(G16,'G-1 All Habitats'!$B$2:$M$130,12,FALSE),"")</f>
        <v/>
      </c>
      <c r="Q16" s="81" t="str">
        <f>IFERROR(IF(P16="","",IF(AND(P16='G-1 All Habitats'!$X$3,T16&gt;0),U16+V16,IF(AND(P16='G-1 All Habitats'!$X$3,S16&gt;0),U16+V16,IF(AND(P16='G-1 All Habitats'!$X$3,AC16&gt;0),"Any Loss Unacceptable",IF(AND(P16='G-1 All Habitats'!$X$3,W16&gt;0),"Any Loss Unacceptable",H16*J16*L16*O16))))),"Check Data")</f>
        <v/>
      </c>
      <c r="R16" s="55"/>
      <c r="S16" s="79"/>
      <c r="T16" s="82"/>
      <c r="U16" s="83" t="str">
        <f t="shared" si="2"/>
        <v/>
      </c>
      <c r="V16" s="83" t="str">
        <f t="shared" si="3"/>
        <v/>
      </c>
      <c r="W16" s="83" t="str">
        <f>IF(E16="","",IF(H16&lt;S16+T16,"Error in Areas",IF(P16&lt;&gt;'G-1 All Habitats'!$X$3,H16-S16-T16,IF(AND(P16='G-1 All Habitats'!$X$3,Y16="Yes"),"Unacceptable Loss",IF(AND(P16='G-1 All Habitats'!$X$3,Y16="No"),AC16,IF(AND(P16='G-1 All Habitats'!$X$3,Y16=""),AC16,IF(AND(P16='G-1 All Habitats'!$X$3,AC16="None",AC16),IF(AND(P16='G-1 All Habitats'!$X$3,AC16&gt;0),H16-S16-T16))))))))</f>
        <v/>
      </c>
      <c r="X16" s="354" t="str">
        <f>IFERROR(IF(H16="","",IF(H16-S16-T16=0&lt;0,"Error in Areas",IF(S16+T16&gt;H16,"Error in Areas",IF(AND(P16='G-1 All Habitats'!$X$3,Y16="Yes"),"Alternative Compensation",IF(W16=0,0,IF(P16='G-1 All Habitats'!$X$3,"Unacceptable Loss",Q16-U16-V16)))))),"Check Data")</f>
        <v/>
      </c>
      <c r="Y16" s="82"/>
      <c r="Z16" s="182"/>
      <c r="AA16" s="183"/>
      <c r="AC16" s="371" t="str">
        <f>IF(P16="","",IF(P16='G-1 All Habitats'!$X$3,H16-S16-T16,"None"))</f>
        <v/>
      </c>
      <c r="AD16" s="372" t="str">
        <f t="shared" si="4"/>
        <v/>
      </c>
      <c r="AF16" s="188" t="str">
        <f t="shared" si="0"/>
        <v/>
      </c>
      <c r="AG16" s="188" t="str">
        <f t="shared" si="1"/>
        <v/>
      </c>
      <c r="AH16" s="188" t="str">
        <f>IF(I16="","",IF(#REF!&gt;0,TRUE,FALSE))</f>
        <v/>
      </c>
      <c r="AI16" s="188">
        <v>6</v>
      </c>
      <c r="AJ16" s="188"/>
      <c r="AK16" s="188" t="str">
        <f t="array" ref="AK16">IFERROR(INDEX($AI$11:$AI$259, MATCH(0, IF(TRUE=$AF$11:$AF$259, COUNTIF($AK$10:$AK15, $AI$11:$AI$259), ""), 0)),"")</f>
        <v/>
      </c>
      <c r="AL16" s="188" t="str">
        <f t="array" ref="AL16">IFERROR(INDEX($AI$11:$AI$259, MATCH(0, IF(TRUE=$AG$11:$AG$259, COUNTIF($AL$10:$AL15, $AI$11:$AI$259), ""), 0)),"")</f>
        <v/>
      </c>
      <c r="AM16" s="188" t="str">
        <f t="array" ref="AM16">IFERROR(INDEX($AI$11:$AI$259, MATCH(0, IF(TRUE=$AH$11:$AH$259, COUNTIF($AM$10:$AM15, $AI$11:$AI$259), ""), 0)),"")</f>
        <v/>
      </c>
      <c r="AQ16" s="35">
        <f t="shared" si="5"/>
        <v>0</v>
      </c>
    </row>
    <row r="17" spans="1:43" x14ac:dyDescent="0.25">
      <c r="A17" s="35" t="str">
        <f>IFERROR(INDEX('G-1 All Habitats'!$AG$3:$AG$15,MATCH(E17,'G-1 All Habitats'!$AF$3:$AF$15,0)),"")</f>
        <v/>
      </c>
      <c r="B17" s="35" t="str">
        <f>IFERROR(INDEX('G-8 Condition Look up'!$I$4:$I$131,MATCH(G17,'G-8 Condition Look up'!$A$4:$A$131,0)),"")</f>
        <v/>
      </c>
      <c r="D17" s="168">
        <v>7</v>
      </c>
      <c r="E17" s="275"/>
      <c r="F17" s="275"/>
      <c r="G17" s="370" t="str">
        <f>IFERROR(INDEX('G-1 All Habitats'!$B$3:$B$130,MATCH(F17,'G-1 All Habitats'!$A$3:$A$130,0)),"")</f>
        <v/>
      </c>
      <c r="H17" s="213"/>
      <c r="I17" s="171" t="str">
        <f>IF(G17="","",VLOOKUP(G17,'G-1 All Habitats'!$B$2:$M$130,10,FALSE))</f>
        <v/>
      </c>
      <c r="J17" s="172" t="str">
        <f>IFERROR(VLOOKUP(I17,'G-1 All Habitats'!$V$3:$W$7,2,FALSE),"")</f>
        <v/>
      </c>
      <c r="K17" s="173"/>
      <c r="L17" s="172" t="str">
        <f>IFERROR(INDEX('G-8 Condition Look up'!$A$3:$H$131,MATCH(G17,'G-8 Condition Look up'!$A$3:$A$131,0),MATCH(K17,'G-8 Condition Look up'!$A$3:$H$3,0)),"")</f>
        <v/>
      </c>
      <c r="M17" s="186"/>
      <c r="N17" s="175" t="str">
        <f>IF(M17="","",IF(VLOOKUP(M17,'G-3 Multipliers'!$L$3:$N$6,2,FALSE)=0,"Spatial Data Missing",VLOOKUP(M17,'G-3 Multipliers'!$L$3:$N$6,2,FALSE)))</f>
        <v/>
      </c>
      <c r="O17" s="176" t="str">
        <f>IF(M17="","",IF(VLOOKUP(M17,'G-3 Multipliers'!$L$3:$N$6,3,FALSE)=0,"Spatial Data Missing",VLOOKUP(M17,'G-3 Multipliers'!$L$3:$N$6,3,FALSE)))</f>
        <v/>
      </c>
      <c r="P17" s="177" t="str">
        <f>IFERROR(VLOOKUP(G17,'G-1 All Habitats'!$B$2:$M$130,12,FALSE),"")</f>
        <v/>
      </c>
      <c r="Q17" s="81" t="str">
        <f>IFERROR(IF(P17="","",IF(AND(P17='G-1 All Habitats'!$X$3,T17&gt;0),U17+V17,IF(AND(P17='G-1 All Habitats'!$X$3,S17&gt;0),U17+V17,IF(AND(P17='G-1 All Habitats'!$X$3,AC17&gt;0),"Any Loss Unacceptable",IF(AND(P17='G-1 All Habitats'!$X$3,W17&gt;0),"Any Loss Unacceptable",H17*J17*L17*O17))))),"Check Data")</f>
        <v/>
      </c>
      <c r="R17" s="55"/>
      <c r="S17" s="79"/>
      <c r="T17" s="82"/>
      <c r="U17" s="83" t="str">
        <f t="shared" si="2"/>
        <v/>
      </c>
      <c r="V17" s="83" t="str">
        <f t="shared" si="3"/>
        <v/>
      </c>
      <c r="W17" s="83" t="str">
        <f>IF(E17="","",IF(H17&lt;S17+T17,"Error in Areas",IF(P17&lt;&gt;'G-1 All Habitats'!$X$3,H17-S17-T17,IF(AND(P17='G-1 All Habitats'!$X$3,Y17="Yes"),"Unacceptable Loss",IF(AND(P17='G-1 All Habitats'!$X$3,Y17="No"),AC17,IF(AND(P17='G-1 All Habitats'!$X$3,Y17=""),AC17,IF(AND(P17='G-1 All Habitats'!$X$3,AC17="None",AC17),IF(AND(P17='G-1 All Habitats'!$X$3,AC17&gt;0),H17-S17-T17))))))))</f>
        <v/>
      </c>
      <c r="X17" s="354" t="str">
        <f>IFERROR(IF(H17="","",IF(H17-S17-T17=0&lt;0,"Error in Areas",IF(S17+T17&gt;H17,"Error in Areas",IF(AND(P17='G-1 All Habitats'!$X$3,Y17="Yes"),"Alternative Compensation",IF(W17=0,0,IF(P17='G-1 All Habitats'!$X$3,"Unacceptable Loss",Q17-U17-V17)))))),"Check Data")</f>
        <v/>
      </c>
      <c r="Y17" s="82"/>
      <c r="Z17" s="182"/>
      <c r="AA17" s="183"/>
      <c r="AC17" s="371" t="str">
        <f>IF(P17="","",IF(P17='G-1 All Habitats'!$X$3,H17-S17-T17,"None"))</f>
        <v/>
      </c>
      <c r="AD17" s="372" t="str">
        <f t="shared" si="4"/>
        <v/>
      </c>
      <c r="AF17" s="188" t="str">
        <f t="shared" si="0"/>
        <v/>
      </c>
      <c r="AG17" s="188" t="str">
        <f t="shared" si="1"/>
        <v/>
      </c>
      <c r="AH17" s="188" t="str">
        <f>IF(I17="","",IF(#REF!&gt;0,TRUE,FALSE))</f>
        <v/>
      </c>
      <c r="AI17" s="188">
        <v>7</v>
      </c>
      <c r="AJ17" s="188"/>
      <c r="AK17" s="188" t="str">
        <f t="array" ref="AK17">IFERROR(INDEX($AI$11:$AI$259, MATCH(0, IF(TRUE=$AF$11:$AF$259, COUNTIF($AK$10:$AK16, $AI$11:$AI$259), ""), 0)),"")</f>
        <v/>
      </c>
      <c r="AL17" s="188" t="str">
        <f t="array" ref="AL17">IFERROR(INDEX($AI$11:$AI$259, MATCH(0, IF(TRUE=$AG$11:$AG$259, COUNTIF($AL$10:$AL16, $AI$11:$AI$259), ""), 0)),"")</f>
        <v/>
      </c>
      <c r="AM17" s="188" t="str">
        <f t="array" ref="AM17">IFERROR(INDEX($AI$11:$AI$259, MATCH(0, IF(TRUE=$AH$11:$AH$259, COUNTIF($AM$10:$AM16, $AI$11:$AI$259), ""), 0)),"")</f>
        <v/>
      </c>
      <c r="AQ17" s="35">
        <f t="shared" si="5"/>
        <v>0</v>
      </c>
    </row>
    <row r="18" spans="1:43" x14ac:dyDescent="0.25">
      <c r="A18" s="35" t="str">
        <f>IFERROR(INDEX('G-1 All Habitats'!$AG$3:$AG$15,MATCH(E18,'G-1 All Habitats'!$AF$3:$AF$15,0)),"")</f>
        <v/>
      </c>
      <c r="B18" s="35" t="str">
        <f>IFERROR(INDEX('G-8 Condition Look up'!$I$4:$I$131,MATCH(G18,'G-8 Condition Look up'!$A$4:$A$131,0)),"")</f>
        <v/>
      </c>
      <c r="D18" s="168">
        <v>8</v>
      </c>
      <c r="E18" s="275"/>
      <c r="F18" s="275"/>
      <c r="G18" s="370" t="str">
        <f>IFERROR(INDEX('G-1 All Habitats'!$B$3:$B$130,MATCH(F18,'G-1 All Habitats'!$A$3:$A$130,0)),"")</f>
        <v/>
      </c>
      <c r="H18" s="213"/>
      <c r="I18" s="171" t="str">
        <f>IF(G18="","",VLOOKUP(G18,'G-1 All Habitats'!$B$2:$M$130,10,FALSE))</f>
        <v/>
      </c>
      <c r="J18" s="172" t="str">
        <f>IFERROR(VLOOKUP(I18,'G-1 All Habitats'!$V$3:$W$7,2,FALSE),"")</f>
        <v/>
      </c>
      <c r="K18" s="173"/>
      <c r="L18" s="172" t="str">
        <f>IFERROR(INDEX('G-8 Condition Look up'!$A$3:$H$131,MATCH(G18,'G-8 Condition Look up'!$A$3:$A$131,0),MATCH(K18,'G-8 Condition Look up'!$A$3:$H$3,0)),"")</f>
        <v/>
      </c>
      <c r="M18" s="186"/>
      <c r="N18" s="175" t="str">
        <f>IF(M18="","",IF(VLOOKUP(M18,'G-3 Multipliers'!$L$3:$N$6,2,FALSE)=0,"Spatial Data Missing",VLOOKUP(M18,'G-3 Multipliers'!$L$3:$N$6,2,FALSE)))</f>
        <v/>
      </c>
      <c r="O18" s="176" t="str">
        <f>IF(M18="","",IF(VLOOKUP(M18,'G-3 Multipliers'!$L$3:$N$6,3,FALSE)=0,"Spatial Data Missing",VLOOKUP(M18,'G-3 Multipliers'!$L$3:$N$6,3,FALSE)))</f>
        <v/>
      </c>
      <c r="P18" s="177" t="str">
        <f>IFERROR(VLOOKUP(G18,'G-1 All Habitats'!$B$2:$M$130,12,FALSE),"")</f>
        <v/>
      </c>
      <c r="Q18" s="81" t="str">
        <f>IFERROR(IF(P18="","",IF(AND(P18='G-1 All Habitats'!$X$3,T18&gt;0),U18+V18,IF(AND(P18='G-1 All Habitats'!$X$3,S18&gt;0),U18+V18,IF(AND(P18='G-1 All Habitats'!$X$3,AC18&gt;0),"Any Loss Unacceptable",IF(AND(P18='G-1 All Habitats'!$X$3,W18&gt;0),"Any Loss Unacceptable",H18*J18*L18*O18))))),"Check Data")</f>
        <v/>
      </c>
      <c r="R18" s="55"/>
      <c r="S18" s="79"/>
      <c r="T18" s="82"/>
      <c r="U18" s="83" t="str">
        <f t="shared" si="2"/>
        <v/>
      </c>
      <c r="V18" s="83" t="str">
        <f t="shared" si="3"/>
        <v/>
      </c>
      <c r="W18" s="83" t="str">
        <f>IF(E18="","",IF(H18&lt;S18+T18,"Error in Areas",IF(P18&lt;&gt;'G-1 All Habitats'!$X$3,H18-S18-T18,IF(AND(P18='G-1 All Habitats'!$X$3,Y18="Yes"),"Unacceptable Loss",IF(AND(P18='G-1 All Habitats'!$X$3,Y18="No"),AC18,IF(AND(P18='G-1 All Habitats'!$X$3,Y18=""),AC18,IF(AND(P18='G-1 All Habitats'!$X$3,AC18="None",AC18),IF(AND(P18='G-1 All Habitats'!$X$3,AC18&gt;0),H18-S18-T18))))))))</f>
        <v/>
      </c>
      <c r="X18" s="354" t="str">
        <f>IFERROR(IF(H18="","",IF(H18-S18-T18=0&lt;0,"Error in Areas",IF(S18+T18&gt;H18,"Error in Areas",IF(AND(P18='G-1 All Habitats'!$X$3,Y18="Yes"),"Alternative Compensation",IF(W18=0,0,IF(P18='G-1 All Habitats'!$X$3,"Unacceptable Loss",Q18-U18-V18)))))),"Check Data")</f>
        <v/>
      </c>
      <c r="Y18" s="82"/>
      <c r="Z18" s="182"/>
      <c r="AA18" s="183"/>
      <c r="AC18" s="371" t="str">
        <f>IF(P18="","",IF(P18='G-1 All Habitats'!$X$3,H18-S18-T18,"None"))</f>
        <v/>
      </c>
      <c r="AD18" s="372" t="str">
        <f t="shared" si="4"/>
        <v/>
      </c>
      <c r="AF18" s="188" t="str">
        <f t="shared" si="0"/>
        <v/>
      </c>
      <c r="AG18" s="188" t="str">
        <f t="shared" si="1"/>
        <v/>
      </c>
      <c r="AH18" s="188" t="str">
        <f>IF(I18="","",IF(#REF!&gt;0,TRUE,FALSE))</f>
        <v/>
      </c>
      <c r="AI18" s="188">
        <v>8</v>
      </c>
      <c r="AJ18" s="188"/>
      <c r="AK18" s="188" t="str">
        <f t="array" ref="AK18">IFERROR(INDEX($AI$11:$AI$259, MATCH(0, IF(TRUE=$AF$11:$AF$259, COUNTIF($AK$10:$AK17, $AI$11:$AI$259), ""), 0)),"")</f>
        <v/>
      </c>
      <c r="AL18" s="188" t="str">
        <f t="array" ref="AL18">IFERROR(INDEX($AI$11:$AI$259, MATCH(0, IF(TRUE=$AG$11:$AG$259, COUNTIF($AL$10:$AL17, $AI$11:$AI$259), ""), 0)),"")</f>
        <v/>
      </c>
      <c r="AM18" s="188" t="str">
        <f t="array" ref="AM18">IFERROR(INDEX($AI$11:$AI$259, MATCH(0, IF(TRUE=$AH$11:$AH$259, COUNTIF($AM$10:$AM17, $AI$11:$AI$259), ""), 0)),"")</f>
        <v/>
      </c>
      <c r="AQ18" s="35">
        <f t="shared" si="5"/>
        <v>0</v>
      </c>
    </row>
    <row r="19" spans="1:43" x14ac:dyDescent="0.25">
      <c r="A19" s="35" t="str">
        <f>IFERROR(INDEX('G-1 All Habitats'!$AG$3:$AG$15,MATCH(E19,'G-1 All Habitats'!$AF$3:$AF$15,0)),"")</f>
        <v/>
      </c>
      <c r="B19" s="35" t="str">
        <f>IFERROR(INDEX('G-8 Condition Look up'!$I$4:$I$131,MATCH(G19,'G-8 Condition Look up'!$A$4:$A$131,0)),"")</f>
        <v/>
      </c>
      <c r="D19" s="168">
        <v>9</v>
      </c>
      <c r="E19" s="275"/>
      <c r="F19" s="275"/>
      <c r="G19" s="370" t="str">
        <f>IFERROR(INDEX('G-1 All Habitats'!$B$3:$B$130,MATCH(F19,'G-1 All Habitats'!$A$3:$A$130,0)),"")</f>
        <v/>
      </c>
      <c r="H19" s="213"/>
      <c r="I19" s="171" t="str">
        <f>IF(G19="","",VLOOKUP(G19,'G-1 All Habitats'!$B$2:$M$130,10,FALSE))</f>
        <v/>
      </c>
      <c r="J19" s="172" t="str">
        <f>IFERROR(VLOOKUP(I19,'G-1 All Habitats'!$V$3:$W$7,2,FALSE),"")</f>
        <v/>
      </c>
      <c r="K19" s="173"/>
      <c r="L19" s="172" t="str">
        <f>IFERROR(INDEX('G-8 Condition Look up'!$A$3:$H$131,MATCH(G19,'G-8 Condition Look up'!$A$3:$A$131,0),MATCH(K19,'G-8 Condition Look up'!$A$3:$H$3,0)),"")</f>
        <v/>
      </c>
      <c r="M19" s="186"/>
      <c r="N19" s="175" t="str">
        <f>IF(M19="","",IF(VLOOKUP(M19,'G-3 Multipliers'!$L$3:$N$6,2,FALSE)=0,"Spatial Data Missing",VLOOKUP(M19,'G-3 Multipliers'!$L$3:$N$6,2,FALSE)))</f>
        <v/>
      </c>
      <c r="O19" s="176" t="str">
        <f>IF(M19="","",IF(VLOOKUP(M19,'G-3 Multipliers'!$L$3:$N$6,3,FALSE)=0,"Spatial Data Missing",VLOOKUP(M19,'G-3 Multipliers'!$L$3:$N$6,3,FALSE)))</f>
        <v/>
      </c>
      <c r="P19" s="177" t="str">
        <f>IFERROR(VLOOKUP(G19,'G-1 All Habitats'!$B$2:$M$130,12,FALSE),"")</f>
        <v/>
      </c>
      <c r="Q19" s="81" t="str">
        <f>IFERROR(IF(P19="","",IF(AND(P19='G-1 All Habitats'!$X$3,T19&gt;0),U19+V19,IF(AND(P19='G-1 All Habitats'!$X$3,S19&gt;0),U19+V19,IF(AND(P19='G-1 All Habitats'!$X$3,AC19&gt;0),"Any Loss Unacceptable",IF(AND(P19='G-1 All Habitats'!$X$3,W19&gt;0),"Any Loss Unacceptable",H19*J19*L19*O19))))),"Check Data")</f>
        <v/>
      </c>
      <c r="R19" s="55"/>
      <c r="S19" s="79"/>
      <c r="T19" s="82"/>
      <c r="U19" s="83" t="str">
        <f t="shared" si="2"/>
        <v/>
      </c>
      <c r="V19" s="83" t="str">
        <f t="shared" si="3"/>
        <v/>
      </c>
      <c r="W19" s="83" t="str">
        <f>IF(E19="","",IF(H19&lt;S19+T19,"Error in Areas",IF(P19&lt;&gt;'G-1 All Habitats'!$X$3,H19-S19-T19,IF(AND(P19='G-1 All Habitats'!$X$3,Y19="Yes"),"Unacceptable Loss",IF(AND(P19='G-1 All Habitats'!$X$3,Y19="No"),AC19,IF(AND(P19='G-1 All Habitats'!$X$3,Y19=""),AC19,IF(AND(P19='G-1 All Habitats'!$X$3,AC19="None",AC19),IF(AND(P19='G-1 All Habitats'!$X$3,AC19&gt;0),H19-S19-T19))))))))</f>
        <v/>
      </c>
      <c r="X19" s="354" t="str">
        <f>IFERROR(IF(H19="","",IF(H19-S19-T19=0&lt;0,"Error in Areas",IF(S19+T19&gt;H19,"Error in Areas",IF(AND(P19='G-1 All Habitats'!$X$3,Y19="Yes"),"Alternative Compensation",IF(W19=0,0,IF(P19='G-1 All Habitats'!$X$3,"Unacceptable Loss",Q19-U19-V19)))))),"Check Data")</f>
        <v/>
      </c>
      <c r="Y19" s="82"/>
      <c r="Z19" s="182"/>
      <c r="AA19" s="183"/>
      <c r="AC19" s="371" t="str">
        <f>IF(P19="","",IF(P19='G-1 All Habitats'!$X$3,H19-S19-T19,"None"))</f>
        <v/>
      </c>
      <c r="AD19" s="372" t="str">
        <f t="shared" si="4"/>
        <v/>
      </c>
      <c r="AF19" s="188" t="str">
        <f t="shared" si="0"/>
        <v/>
      </c>
      <c r="AG19" s="188" t="str">
        <f t="shared" si="1"/>
        <v/>
      </c>
      <c r="AH19" s="188" t="str">
        <f>IF(I19="","",IF(#REF!&gt;0,TRUE,FALSE))</f>
        <v/>
      </c>
      <c r="AI19" s="188">
        <v>9</v>
      </c>
      <c r="AJ19" s="188"/>
      <c r="AK19" s="188" t="str">
        <f t="array" ref="AK19">IFERROR(INDEX($AI$11:$AI$259, MATCH(0, IF(TRUE=$AF$11:$AF$259, COUNTIF($AK$10:$AK18, $AI$11:$AI$259), ""), 0)),"")</f>
        <v/>
      </c>
      <c r="AL19" s="188" t="str">
        <f t="array" ref="AL19">IFERROR(INDEX($AI$11:$AI$259, MATCH(0, IF(TRUE=$AG$11:$AG$259, COUNTIF($AL$10:$AL18, $AI$11:$AI$259), ""), 0)),"")</f>
        <v/>
      </c>
      <c r="AM19" s="188" t="str">
        <f t="array" ref="AM19">IFERROR(INDEX($AI$11:$AI$259, MATCH(0, IF(TRUE=$AH$11:$AH$259, COUNTIF($AM$10:$AM18, $AI$11:$AI$259), ""), 0)),"")</f>
        <v/>
      </c>
      <c r="AQ19" s="35">
        <f t="shared" si="5"/>
        <v>0</v>
      </c>
    </row>
    <row r="20" spans="1:43" x14ac:dyDescent="0.25">
      <c r="A20" s="35" t="str">
        <f>IFERROR(INDEX('G-1 All Habitats'!$AG$3:$AG$15,MATCH(E20,'G-1 All Habitats'!$AF$3:$AF$15,0)),"")</f>
        <v/>
      </c>
      <c r="B20" s="35" t="str">
        <f>IFERROR(INDEX('G-8 Condition Look up'!$I$4:$I$131,MATCH(G20,'G-8 Condition Look up'!$A$4:$A$131,0)),"")</f>
        <v/>
      </c>
      <c r="D20" s="168">
        <v>10</v>
      </c>
      <c r="E20" s="275"/>
      <c r="F20" s="275"/>
      <c r="G20" s="370" t="str">
        <f>IFERROR(INDEX('G-1 All Habitats'!$B$3:$B$130,MATCH(F20,'G-1 All Habitats'!$A$3:$A$130,0)),"")</f>
        <v/>
      </c>
      <c r="H20" s="213"/>
      <c r="I20" s="171" t="str">
        <f>IF(G20="","",VLOOKUP(G20,'G-1 All Habitats'!$B$2:$M$130,10,FALSE))</f>
        <v/>
      </c>
      <c r="J20" s="172" t="str">
        <f>IFERROR(VLOOKUP(I20,'G-1 All Habitats'!$V$3:$W$7,2,FALSE),"")</f>
        <v/>
      </c>
      <c r="K20" s="173"/>
      <c r="L20" s="172" t="str">
        <f>IFERROR(INDEX('G-8 Condition Look up'!$A$3:$H$131,MATCH(G20,'G-8 Condition Look up'!$A$3:$A$131,0),MATCH(K20,'G-8 Condition Look up'!$A$3:$H$3,0)),"")</f>
        <v/>
      </c>
      <c r="M20" s="186"/>
      <c r="N20" s="175" t="str">
        <f>IF(M20="","",IF(VLOOKUP(M20,'G-3 Multipliers'!$L$3:$N$6,2,FALSE)=0,"Spatial Data Missing",VLOOKUP(M20,'G-3 Multipliers'!$L$3:$N$6,2,FALSE)))</f>
        <v/>
      </c>
      <c r="O20" s="176" t="str">
        <f>IF(M20="","",IF(VLOOKUP(M20,'G-3 Multipliers'!$L$3:$N$6,3,FALSE)=0,"Spatial Data Missing",VLOOKUP(M20,'G-3 Multipliers'!$L$3:$N$6,3,FALSE)))</f>
        <v/>
      </c>
      <c r="P20" s="177" t="str">
        <f>IFERROR(VLOOKUP(G20,'G-1 All Habitats'!$B$2:$M$130,12,FALSE),"")</f>
        <v/>
      </c>
      <c r="Q20" s="81" t="str">
        <f>IFERROR(IF(P20="","",IF(AND(P20='G-1 All Habitats'!$X$3,T20&gt;0),U20+V20,IF(AND(P20='G-1 All Habitats'!$X$3,S20&gt;0),U20+V20,IF(AND(P20='G-1 All Habitats'!$X$3,AC20&gt;0),"Any Loss Unacceptable",IF(AND(P20='G-1 All Habitats'!$X$3,W20&gt;0),"Any Loss Unacceptable",H20*J20*L20*O20))))),"Check Data")</f>
        <v/>
      </c>
      <c r="R20" s="55"/>
      <c r="S20" s="79"/>
      <c r="T20" s="82"/>
      <c r="U20" s="83" t="str">
        <f t="shared" si="2"/>
        <v/>
      </c>
      <c r="V20" s="83" t="str">
        <f t="shared" si="3"/>
        <v/>
      </c>
      <c r="W20" s="83" t="str">
        <f>IF(E20="","",IF(H20&lt;S20+T20,"Error in Areas",IF(P20&lt;&gt;'G-1 All Habitats'!$X$3,H20-S20-T20,IF(AND(P20='G-1 All Habitats'!$X$3,Y20="Yes"),"Unacceptable Loss",IF(AND(P20='G-1 All Habitats'!$X$3,Y20="No"),AC20,IF(AND(P20='G-1 All Habitats'!$X$3,Y20=""),AC20,IF(AND(P20='G-1 All Habitats'!$X$3,AC20="None",AC20),IF(AND(P20='G-1 All Habitats'!$X$3,AC20&gt;0),H20-S20-T20))))))))</f>
        <v/>
      </c>
      <c r="X20" s="354" t="str">
        <f>IFERROR(IF(H20="","",IF(H20-S20-T20=0&lt;0,"Error in Areas",IF(S20+T20&gt;H20,"Error in Areas",IF(AND(P20='G-1 All Habitats'!$X$3,Y20="Yes"),"Alternative Compensation",IF(W20=0,0,IF(P20='G-1 All Habitats'!$X$3,"Unacceptable Loss",Q20-U20-V20)))))),"Check Data")</f>
        <v/>
      </c>
      <c r="Y20" s="82"/>
      <c r="Z20" s="182"/>
      <c r="AA20" s="183"/>
      <c r="AC20" s="371" t="str">
        <f>IF(P20="","",IF(P20='G-1 All Habitats'!$X$3,H20-S20-T20,"None"))</f>
        <v/>
      </c>
      <c r="AD20" s="372" t="str">
        <f t="shared" si="4"/>
        <v/>
      </c>
      <c r="AF20" s="188" t="str">
        <f t="shared" si="0"/>
        <v/>
      </c>
      <c r="AG20" s="188" t="str">
        <f t="shared" si="1"/>
        <v/>
      </c>
      <c r="AH20" s="188" t="str">
        <f>IF(I20="","",IF(#REF!&gt;0,TRUE,FALSE))</f>
        <v/>
      </c>
      <c r="AI20" s="188">
        <v>10</v>
      </c>
      <c r="AJ20" s="188"/>
      <c r="AK20" s="188" t="str">
        <f t="array" ref="AK20">IFERROR(INDEX($AI$11:$AI$259, MATCH(0, IF(TRUE=$AF$11:$AF$259, COUNTIF($AK$10:$AK19, $AI$11:$AI$259), ""), 0)),"")</f>
        <v/>
      </c>
      <c r="AL20" s="188" t="str">
        <f t="array" ref="AL20">IFERROR(INDEX($AI$11:$AI$259, MATCH(0, IF(TRUE=$AG$11:$AG$259, COUNTIF($AL$10:$AL19, $AI$11:$AI$259), ""), 0)),"")</f>
        <v/>
      </c>
      <c r="AM20" s="188" t="str">
        <f t="array" ref="AM20">IFERROR(INDEX($AI$11:$AI$259, MATCH(0, IF(TRUE=$AH$11:$AH$259, COUNTIF($AM$10:$AM19, $AI$11:$AI$259), ""), 0)),"")</f>
        <v/>
      </c>
      <c r="AQ20" s="35">
        <f t="shared" si="5"/>
        <v>0</v>
      </c>
    </row>
    <row r="21" spans="1:43" x14ac:dyDescent="0.25">
      <c r="A21" s="35" t="str">
        <f>IFERROR(INDEX('G-1 All Habitats'!$AG$3:$AG$15,MATCH(E21,'G-1 All Habitats'!$AF$3:$AF$15,0)),"")</f>
        <v/>
      </c>
      <c r="B21" s="35" t="str">
        <f>IFERROR(INDEX('G-8 Condition Look up'!$I$4:$I$131,MATCH(G21,'G-8 Condition Look up'!$A$4:$A$131,0)),"")</f>
        <v/>
      </c>
      <c r="D21" s="168">
        <v>11</v>
      </c>
      <c r="E21" s="275"/>
      <c r="F21" s="275"/>
      <c r="G21" s="370" t="str">
        <f>IFERROR(INDEX('G-1 All Habitats'!$B$3:$B$130,MATCH(F21,'G-1 All Habitats'!$A$3:$A$130,0)),"")</f>
        <v/>
      </c>
      <c r="H21" s="213"/>
      <c r="I21" s="171" t="str">
        <f>IF(G21="","",VLOOKUP(G21,'G-1 All Habitats'!$B$2:$M$130,10,FALSE))</f>
        <v/>
      </c>
      <c r="J21" s="172" t="str">
        <f>IFERROR(VLOOKUP(I21,'G-1 All Habitats'!$V$3:$W$7,2,FALSE),"")</f>
        <v/>
      </c>
      <c r="K21" s="173"/>
      <c r="L21" s="172" t="str">
        <f>IFERROR(INDEX('G-8 Condition Look up'!$A$3:$H$131,MATCH(G21,'G-8 Condition Look up'!$A$3:$A$131,0),MATCH(K21,'G-8 Condition Look up'!$A$3:$H$3,0)),"")</f>
        <v/>
      </c>
      <c r="M21" s="186"/>
      <c r="N21" s="175" t="str">
        <f>IF(M21="","",IF(VLOOKUP(M21,'G-3 Multipliers'!$L$3:$N$6,2,FALSE)=0,"Spatial Data Missing",VLOOKUP(M21,'G-3 Multipliers'!$L$3:$N$6,2,FALSE)))</f>
        <v/>
      </c>
      <c r="O21" s="176" t="str">
        <f>IF(M21="","",IF(VLOOKUP(M21,'G-3 Multipliers'!$L$3:$N$6,3,FALSE)=0,"Spatial Data Missing",VLOOKUP(M21,'G-3 Multipliers'!$L$3:$N$6,3,FALSE)))</f>
        <v/>
      </c>
      <c r="P21" s="177" t="str">
        <f>IFERROR(VLOOKUP(G21,'G-1 All Habitats'!$B$2:$M$130,12,FALSE),"")</f>
        <v/>
      </c>
      <c r="Q21" s="81" t="str">
        <f>IFERROR(IF(P21="","",IF(AND(P21='G-1 All Habitats'!$X$3,T21&gt;0),U21+V21,IF(AND(P21='G-1 All Habitats'!$X$3,S21&gt;0),U21+V21,IF(AND(P21='G-1 All Habitats'!$X$3,AC21&gt;0),"Any Loss Unacceptable",IF(AND(P21='G-1 All Habitats'!$X$3,W21&gt;0),"Any Loss Unacceptable",H21*J21*L21*O21))))),"Check Data")</f>
        <v/>
      </c>
      <c r="R21" s="55"/>
      <c r="S21" s="79"/>
      <c r="T21" s="82"/>
      <c r="U21" s="83" t="str">
        <f t="shared" si="2"/>
        <v/>
      </c>
      <c r="V21" s="83" t="str">
        <f t="shared" si="3"/>
        <v/>
      </c>
      <c r="W21" s="83" t="str">
        <f>IF(E21="","",IF(H21&lt;S21+T21,"Error in Areas",IF(P21&lt;&gt;'G-1 All Habitats'!$X$3,H21-S21-T21,IF(AND(P21='G-1 All Habitats'!$X$3,Y21="Yes"),"Unacceptable Loss",IF(AND(P21='G-1 All Habitats'!$X$3,Y21="No"),AC21,IF(AND(P21='G-1 All Habitats'!$X$3,Y21=""),AC21,IF(AND(P21='G-1 All Habitats'!$X$3,AC21="None",AC21),IF(AND(P21='G-1 All Habitats'!$X$3,AC21&gt;0),H21-S21-T21))))))))</f>
        <v/>
      </c>
      <c r="X21" s="354" t="str">
        <f>IFERROR(IF(H21="","",IF(H21-S21-T21=0&lt;0,"Error in Areas",IF(S21+T21&gt;H21,"Error in Areas",IF(AND(P21='G-1 All Habitats'!$X$3,Y21="Yes"),"Alternative Compensation",IF(W21=0,0,IF(P21='G-1 All Habitats'!$X$3,"Unacceptable Loss",Q21-U21-V21)))))),"Check Data")</f>
        <v/>
      </c>
      <c r="Y21" s="82"/>
      <c r="Z21" s="182"/>
      <c r="AA21" s="183"/>
      <c r="AC21" s="371" t="str">
        <f>IF(P21="","",IF(P21='G-1 All Habitats'!$X$3,H21-S21-T21,"None"))</f>
        <v/>
      </c>
      <c r="AD21" s="372" t="str">
        <f t="shared" si="4"/>
        <v/>
      </c>
      <c r="AF21" s="188" t="str">
        <f t="shared" si="0"/>
        <v/>
      </c>
      <c r="AG21" s="188" t="str">
        <f t="shared" si="1"/>
        <v/>
      </c>
      <c r="AH21" s="188" t="str">
        <f>IF(I21="","",IF(#REF!&gt;0,TRUE,FALSE))</f>
        <v/>
      </c>
      <c r="AI21" s="188">
        <v>11</v>
      </c>
      <c r="AJ21" s="188"/>
      <c r="AK21" s="188" t="str">
        <f t="array" ref="AK21">IFERROR(INDEX($AI$11:$AI$259, MATCH(0, IF(TRUE=$AF$11:$AF$259, COUNTIF($AK$10:$AK20, $AI$11:$AI$259), ""), 0)),"")</f>
        <v/>
      </c>
      <c r="AL21" s="188" t="str">
        <f t="array" ref="AL21">IFERROR(INDEX($AI$11:$AI$259, MATCH(0, IF(TRUE=$AG$11:$AG$259, COUNTIF($AL$10:$AL20, $AI$11:$AI$259), ""), 0)),"")</f>
        <v/>
      </c>
      <c r="AM21" s="188" t="str">
        <f t="array" ref="AM21">IFERROR(INDEX($AI$11:$AI$259, MATCH(0, IF(TRUE=$AH$11:$AH$259, COUNTIF($AM$10:$AM20, $AI$11:$AI$259), ""), 0)),"")</f>
        <v/>
      </c>
      <c r="AQ21" s="35">
        <f t="shared" si="5"/>
        <v>0</v>
      </c>
    </row>
    <row r="22" spans="1:43" x14ac:dyDescent="0.25">
      <c r="A22" s="35" t="str">
        <f>IFERROR(INDEX('G-1 All Habitats'!$AG$3:$AG$15,MATCH(E22,'G-1 All Habitats'!$AF$3:$AF$15,0)),"")</f>
        <v/>
      </c>
      <c r="B22" s="35" t="str">
        <f>IFERROR(INDEX('G-8 Condition Look up'!$I$4:$I$131,MATCH(G22,'G-8 Condition Look up'!$A$4:$A$131,0)),"")</f>
        <v/>
      </c>
      <c r="D22" s="168">
        <v>12</v>
      </c>
      <c r="E22" s="275"/>
      <c r="F22" s="275"/>
      <c r="G22" s="370" t="str">
        <f>IFERROR(INDEX('G-1 All Habitats'!$B$3:$B$130,MATCH(F22,'G-1 All Habitats'!$A$3:$A$130,0)),"")</f>
        <v/>
      </c>
      <c r="H22" s="213"/>
      <c r="I22" s="171" t="str">
        <f>IF(G22="","",VLOOKUP(G22,'G-1 All Habitats'!$B$2:$M$130,10,FALSE))</f>
        <v/>
      </c>
      <c r="J22" s="172" t="str">
        <f>IFERROR(VLOOKUP(I22,'G-1 All Habitats'!$V$3:$W$7,2,FALSE),"")</f>
        <v/>
      </c>
      <c r="K22" s="173"/>
      <c r="L22" s="172" t="str">
        <f>IFERROR(INDEX('G-8 Condition Look up'!$A$3:$H$131,MATCH(G22,'G-8 Condition Look up'!$A$3:$A$131,0),MATCH(K22,'G-8 Condition Look up'!$A$3:$H$3,0)),"")</f>
        <v/>
      </c>
      <c r="M22" s="186"/>
      <c r="N22" s="175" t="str">
        <f>IF(M22="","",IF(VLOOKUP(M22,'G-3 Multipliers'!$L$3:$N$6,2,FALSE)=0,"Spatial Data Missing",VLOOKUP(M22,'G-3 Multipliers'!$L$3:$N$6,2,FALSE)))</f>
        <v/>
      </c>
      <c r="O22" s="176" t="str">
        <f>IF(M22="","",IF(VLOOKUP(M22,'G-3 Multipliers'!$L$3:$N$6,3,FALSE)=0,"Spatial Data Missing",VLOOKUP(M22,'G-3 Multipliers'!$L$3:$N$6,3,FALSE)))</f>
        <v/>
      </c>
      <c r="P22" s="177" t="str">
        <f>IFERROR(VLOOKUP(G22,'G-1 All Habitats'!$B$2:$M$130,12,FALSE),"")</f>
        <v/>
      </c>
      <c r="Q22" s="81" t="str">
        <f>IFERROR(IF(P22="","",IF(AND(P22='G-1 All Habitats'!$X$3,T22&gt;0),U22+V22,IF(AND(P22='G-1 All Habitats'!$X$3,S22&gt;0),U22+V22,IF(AND(P22='G-1 All Habitats'!$X$3,AC22&gt;0),"Any Loss Unacceptable",IF(AND(P22='G-1 All Habitats'!$X$3,W22&gt;0),"Any Loss Unacceptable",H22*J22*L22*O22))))),"Check Data")</f>
        <v/>
      </c>
      <c r="R22" s="55"/>
      <c r="S22" s="79"/>
      <c r="T22" s="82"/>
      <c r="U22" s="83" t="str">
        <f t="shared" si="2"/>
        <v/>
      </c>
      <c r="V22" s="83" t="str">
        <f t="shared" si="3"/>
        <v/>
      </c>
      <c r="W22" s="83" t="str">
        <f>IF(E22="","",IF(H22&lt;S22+T22,"Error in Areas",IF(P22&lt;&gt;'G-1 All Habitats'!$X$3,H22-S22-T22,IF(AND(P22='G-1 All Habitats'!$X$3,Y22="Yes"),"Unacceptable Loss",IF(AND(P22='G-1 All Habitats'!$X$3,Y22="No"),AC22,IF(AND(P22='G-1 All Habitats'!$X$3,Y22=""),AC22,IF(AND(P22='G-1 All Habitats'!$X$3,AC22="None",AC22),IF(AND(P22='G-1 All Habitats'!$X$3,AC22&gt;0),H22-S22-T22))))))))</f>
        <v/>
      </c>
      <c r="X22" s="354" t="str">
        <f>IFERROR(IF(H22="","",IF(H22-S22-T22=0&lt;0,"Error in Areas",IF(S22+T22&gt;H22,"Error in Areas",IF(AND(P22='G-1 All Habitats'!$X$3,Y22="Yes"),"Alternative Compensation",IF(W22=0,0,IF(P22='G-1 All Habitats'!$X$3,"Unacceptable Loss",Q22-U22-V22)))))),"Check Data")</f>
        <v/>
      </c>
      <c r="Y22" s="82"/>
      <c r="Z22" s="182"/>
      <c r="AA22" s="183"/>
      <c r="AC22" s="371" t="str">
        <f>IF(P22="","",IF(P22='G-1 All Habitats'!$X$3,H22-S22-T22,"None"))</f>
        <v/>
      </c>
      <c r="AD22" s="372" t="str">
        <f t="shared" si="4"/>
        <v/>
      </c>
      <c r="AF22" s="188" t="str">
        <f t="shared" si="0"/>
        <v/>
      </c>
      <c r="AG22" s="188" t="str">
        <f t="shared" si="1"/>
        <v/>
      </c>
      <c r="AH22" s="188" t="str">
        <f>IF(I22="","",IF(#REF!&gt;0,TRUE,FALSE))</f>
        <v/>
      </c>
      <c r="AI22" s="188">
        <v>12</v>
      </c>
      <c r="AJ22" s="188"/>
      <c r="AK22" s="188" t="str">
        <f t="array" ref="AK22">IFERROR(INDEX($AI$11:$AI$259, MATCH(0, IF(TRUE=$AF$11:$AF$259, COUNTIF($AK$10:$AK21, $AI$11:$AI$259), ""), 0)),"")</f>
        <v/>
      </c>
      <c r="AL22" s="188" t="str">
        <f t="array" ref="AL22">IFERROR(INDEX($AI$11:$AI$259, MATCH(0, IF(TRUE=$AG$11:$AG$259, COUNTIF($AL$10:$AL21, $AI$11:$AI$259), ""), 0)),"")</f>
        <v/>
      </c>
      <c r="AM22" s="188" t="str">
        <f t="array" ref="AM22">IFERROR(INDEX($AI$11:$AI$259, MATCH(0, IF(TRUE=$AH$11:$AH$259, COUNTIF($AM$10:$AM21, $AI$11:$AI$259), ""), 0)),"")</f>
        <v/>
      </c>
      <c r="AQ22" s="35">
        <f t="shared" si="5"/>
        <v>0</v>
      </c>
    </row>
    <row r="23" spans="1:43" x14ac:dyDescent="0.25">
      <c r="A23" s="35" t="str">
        <f>IFERROR(INDEX('G-1 All Habitats'!$AG$3:$AG$15,MATCH(E23,'G-1 All Habitats'!$AF$3:$AF$15,0)),"")</f>
        <v/>
      </c>
      <c r="B23" s="35" t="str">
        <f>IFERROR(INDEX('G-8 Condition Look up'!$I$4:$I$131,MATCH(G23,'G-8 Condition Look up'!$A$4:$A$131,0)),"")</f>
        <v/>
      </c>
      <c r="D23" s="168">
        <v>13</v>
      </c>
      <c r="E23" s="275"/>
      <c r="F23" s="275"/>
      <c r="G23" s="370" t="str">
        <f>IFERROR(INDEX('G-1 All Habitats'!$B$3:$B$130,MATCH(F23,'G-1 All Habitats'!$A$3:$A$130,0)),"")</f>
        <v/>
      </c>
      <c r="H23" s="213"/>
      <c r="I23" s="171" t="str">
        <f>IF(G23="","",VLOOKUP(G23,'G-1 All Habitats'!$B$2:$M$130,10,FALSE))</f>
        <v/>
      </c>
      <c r="J23" s="172" t="str">
        <f>IFERROR(VLOOKUP(I23,'G-1 All Habitats'!$V$3:$W$7,2,FALSE),"")</f>
        <v/>
      </c>
      <c r="K23" s="173"/>
      <c r="L23" s="172" t="str">
        <f>IFERROR(INDEX('G-8 Condition Look up'!$A$3:$H$131,MATCH(G23,'G-8 Condition Look up'!$A$3:$A$131,0),MATCH(K23,'G-8 Condition Look up'!$A$3:$H$3,0)),"")</f>
        <v/>
      </c>
      <c r="M23" s="186"/>
      <c r="N23" s="175" t="str">
        <f>IF(M23="","",IF(VLOOKUP(M23,'G-3 Multipliers'!$L$3:$N$6,2,FALSE)=0,"Spatial Data Missing",VLOOKUP(M23,'G-3 Multipliers'!$L$3:$N$6,2,FALSE)))</f>
        <v/>
      </c>
      <c r="O23" s="176" t="str">
        <f>IF(M23="","",IF(VLOOKUP(M23,'G-3 Multipliers'!$L$3:$N$6,3,FALSE)=0,"Spatial Data Missing",VLOOKUP(M23,'G-3 Multipliers'!$L$3:$N$6,3,FALSE)))</f>
        <v/>
      </c>
      <c r="P23" s="177" t="str">
        <f>IFERROR(VLOOKUP(G23,'G-1 All Habitats'!$B$2:$M$130,12,FALSE),"")</f>
        <v/>
      </c>
      <c r="Q23" s="81" t="str">
        <f>IFERROR(IF(P23="","",IF(AND(P23='G-1 All Habitats'!$X$3,T23&gt;0),U23+V23,IF(AND(P23='G-1 All Habitats'!$X$3,S23&gt;0),U23+V23,IF(AND(P23='G-1 All Habitats'!$X$3,AC23&gt;0),"Any Loss Unacceptable",IF(AND(P23='G-1 All Habitats'!$X$3,W23&gt;0),"Any Loss Unacceptable",H23*J23*L23*O23))))),"Check Data")</f>
        <v/>
      </c>
      <c r="R23" s="55"/>
      <c r="S23" s="79"/>
      <c r="T23" s="82"/>
      <c r="U23" s="83" t="str">
        <f t="shared" si="2"/>
        <v/>
      </c>
      <c r="V23" s="83" t="str">
        <f t="shared" si="3"/>
        <v/>
      </c>
      <c r="W23" s="83" t="str">
        <f>IF(E23="","",IF(H23&lt;S23+T23,"Error in Areas",IF(P23&lt;&gt;'G-1 All Habitats'!$X$3,H23-S23-T23,IF(AND(P23='G-1 All Habitats'!$X$3,Y23="Yes"),"Unacceptable Loss",IF(AND(P23='G-1 All Habitats'!$X$3,Y23="No"),AC23,IF(AND(P23='G-1 All Habitats'!$X$3,Y23=""),AC23,IF(AND(P23='G-1 All Habitats'!$X$3,AC23="None",AC23),IF(AND(P23='G-1 All Habitats'!$X$3,AC23&gt;0),H23-S23-T23))))))))</f>
        <v/>
      </c>
      <c r="X23" s="354" t="str">
        <f>IFERROR(IF(H23="","",IF(H23-S23-T23=0&lt;0,"Error in Areas",IF(S23+T23&gt;H23,"Error in Areas",IF(AND(P23='G-1 All Habitats'!$X$3,Y23="Yes"),"Alternative Compensation",IF(W23=0,0,IF(P23='G-1 All Habitats'!$X$3,"Unacceptable Loss",Q23-U23-V23)))))),"Check Data")</f>
        <v/>
      </c>
      <c r="Y23" s="82"/>
      <c r="Z23" s="182"/>
      <c r="AA23" s="183"/>
      <c r="AC23" s="371" t="str">
        <f>IF(P23="","",IF(P23='G-1 All Habitats'!$X$3,H23-S23-T23,"None"))</f>
        <v/>
      </c>
      <c r="AD23" s="372" t="str">
        <f t="shared" si="4"/>
        <v/>
      </c>
      <c r="AF23" s="188" t="str">
        <f t="shared" si="0"/>
        <v/>
      </c>
      <c r="AG23" s="188" t="str">
        <f t="shared" si="1"/>
        <v/>
      </c>
      <c r="AH23" s="188" t="str">
        <f>IF(I23="","",IF(#REF!&gt;0,TRUE,FALSE))</f>
        <v/>
      </c>
      <c r="AI23" s="188">
        <v>13</v>
      </c>
      <c r="AJ23" s="188"/>
      <c r="AK23" s="188" t="str">
        <f t="array" ref="AK23">IFERROR(INDEX($AI$11:$AI$259, MATCH(0, IF(TRUE=$AF$11:$AF$259, COUNTIF($AK$10:$AK22, $AI$11:$AI$259), ""), 0)),"")</f>
        <v/>
      </c>
      <c r="AL23" s="188" t="str">
        <f t="array" ref="AL23">IFERROR(INDEX($AI$11:$AI$259, MATCH(0, IF(TRUE=$AG$11:$AG$259, COUNTIF($AL$10:$AL22, $AI$11:$AI$259), ""), 0)),"")</f>
        <v/>
      </c>
      <c r="AM23" s="188" t="str">
        <f t="array" ref="AM23">IFERROR(INDEX($AI$11:$AI$259, MATCH(0, IF(TRUE=$AH$11:$AH$259, COUNTIF($AM$10:$AM22, $AI$11:$AI$259), ""), 0)),"")</f>
        <v/>
      </c>
      <c r="AQ23" s="35">
        <f t="shared" si="5"/>
        <v>0</v>
      </c>
    </row>
    <row r="24" spans="1:43" x14ac:dyDescent="0.25">
      <c r="A24" s="35" t="str">
        <f>IFERROR(INDEX('G-1 All Habitats'!$AG$3:$AG$15,MATCH(E24,'G-1 All Habitats'!$AF$3:$AF$15,0)),"")</f>
        <v/>
      </c>
      <c r="B24" s="35" t="str">
        <f>IFERROR(INDEX('G-8 Condition Look up'!$I$4:$I$131,MATCH(G24,'G-8 Condition Look up'!$A$4:$A$131,0)),"")</f>
        <v/>
      </c>
      <c r="D24" s="168">
        <v>14</v>
      </c>
      <c r="E24" s="275"/>
      <c r="F24" s="275"/>
      <c r="G24" s="370" t="str">
        <f>IFERROR(INDEX('G-1 All Habitats'!$B$3:$B$130,MATCH(F24,'G-1 All Habitats'!$A$3:$A$130,0)),"")</f>
        <v/>
      </c>
      <c r="H24" s="213"/>
      <c r="I24" s="171" t="str">
        <f>IF(G24="","",VLOOKUP(G24,'G-1 All Habitats'!$B$2:$M$130,10,FALSE))</f>
        <v/>
      </c>
      <c r="J24" s="172" t="str">
        <f>IFERROR(VLOOKUP(I24,'G-1 All Habitats'!$V$3:$W$7,2,FALSE),"")</f>
        <v/>
      </c>
      <c r="K24" s="173"/>
      <c r="L24" s="172" t="str">
        <f>IFERROR(INDEX('G-8 Condition Look up'!$A$3:$H$131,MATCH(G24,'G-8 Condition Look up'!$A$3:$A$131,0),MATCH(K24,'G-8 Condition Look up'!$A$3:$H$3,0)),"")</f>
        <v/>
      </c>
      <c r="M24" s="186"/>
      <c r="N24" s="175" t="str">
        <f>IF(M24="","",IF(VLOOKUP(M24,'G-3 Multipliers'!$L$3:$N$6,2,FALSE)=0,"Spatial Data Missing",VLOOKUP(M24,'G-3 Multipliers'!$L$3:$N$6,2,FALSE)))</f>
        <v/>
      </c>
      <c r="O24" s="176" t="str">
        <f>IF(M24="","",IF(VLOOKUP(M24,'G-3 Multipliers'!$L$3:$N$6,3,FALSE)=0,"Spatial Data Missing",VLOOKUP(M24,'G-3 Multipliers'!$L$3:$N$6,3,FALSE)))</f>
        <v/>
      </c>
      <c r="P24" s="177" t="str">
        <f>IFERROR(VLOOKUP(G24,'G-1 All Habitats'!$B$2:$M$130,12,FALSE),"")</f>
        <v/>
      </c>
      <c r="Q24" s="81" t="str">
        <f>IFERROR(IF(P24="","",IF(AND(P24='G-1 All Habitats'!$X$3,T24&gt;0),U24+V24,IF(AND(P24='G-1 All Habitats'!$X$3,S24&gt;0),U24+V24,IF(AND(P24='G-1 All Habitats'!$X$3,AC24&gt;0),"Any Loss Unacceptable",IF(AND(P24='G-1 All Habitats'!$X$3,W24&gt;0),"Any Loss Unacceptable",H24*J24*L24*O24))))),"Check Data")</f>
        <v/>
      </c>
      <c r="R24" s="55"/>
      <c r="S24" s="79"/>
      <c r="T24" s="82"/>
      <c r="U24" s="83" t="str">
        <f t="shared" si="2"/>
        <v/>
      </c>
      <c r="V24" s="83" t="str">
        <f t="shared" si="3"/>
        <v/>
      </c>
      <c r="W24" s="83" t="str">
        <f>IF(E24="","",IF(H24&lt;S24+T24,"Error in Areas",IF(P24&lt;&gt;'G-1 All Habitats'!$X$3,H24-S24-T24,IF(AND(P24='G-1 All Habitats'!$X$3,Y24="Yes"),"Unacceptable Loss",IF(AND(P24='G-1 All Habitats'!$X$3,Y24="No"),AC24,IF(AND(P24='G-1 All Habitats'!$X$3,Y24=""),AC24,IF(AND(P24='G-1 All Habitats'!$X$3,AC24="None",AC24),IF(AND(P24='G-1 All Habitats'!$X$3,AC24&gt;0),H24-S24-T24))))))))</f>
        <v/>
      </c>
      <c r="X24" s="354" t="str">
        <f>IFERROR(IF(H24="","",IF(H24-S24-T24=0&lt;0,"Error in Areas",IF(S24+T24&gt;H24,"Error in Areas",IF(AND(P24='G-1 All Habitats'!$X$3,Y24="Yes"),"Alternative Compensation",IF(W24=0,0,IF(P24='G-1 All Habitats'!$X$3,"Unacceptable Loss",Q24-U24-V24)))))),"Check Data")</f>
        <v/>
      </c>
      <c r="Y24" s="82"/>
      <c r="Z24" s="182"/>
      <c r="AA24" s="183"/>
      <c r="AC24" s="371" t="str">
        <f>IF(P24="","",IF(P24='G-1 All Habitats'!$X$3,H24-S24-T24,"None"))</f>
        <v/>
      </c>
      <c r="AD24" s="372" t="str">
        <f t="shared" si="4"/>
        <v/>
      </c>
      <c r="AF24" s="188" t="str">
        <f t="shared" si="0"/>
        <v/>
      </c>
      <c r="AG24" s="188" t="str">
        <f t="shared" si="1"/>
        <v/>
      </c>
      <c r="AH24" s="188" t="str">
        <f>IF(I24="","",IF(#REF!&gt;0,TRUE,FALSE))</f>
        <v/>
      </c>
      <c r="AI24" s="188">
        <v>14</v>
      </c>
      <c r="AJ24" s="188"/>
      <c r="AK24" s="188" t="str">
        <f t="array" ref="AK24">IFERROR(INDEX($AI$11:$AI$259, MATCH(0, IF(TRUE=$AF$11:$AF$259, COUNTIF($AK$10:$AK23, $AI$11:$AI$259), ""), 0)),"")</f>
        <v/>
      </c>
      <c r="AL24" s="188" t="str">
        <f t="array" ref="AL24">IFERROR(INDEX($AI$11:$AI$259, MATCH(0, IF(TRUE=$AG$11:$AG$259, COUNTIF($AL$10:$AL23, $AI$11:$AI$259), ""), 0)),"")</f>
        <v/>
      </c>
      <c r="AM24" s="188" t="str">
        <f t="array" ref="AM24">IFERROR(INDEX($AI$11:$AI$259, MATCH(0, IF(TRUE=$AH$11:$AH$259, COUNTIF($AM$10:$AM23, $AI$11:$AI$259), ""), 0)),"")</f>
        <v/>
      </c>
      <c r="AQ24" s="35">
        <f t="shared" si="5"/>
        <v>0</v>
      </c>
    </row>
    <row r="25" spans="1:43" x14ac:dyDescent="0.25">
      <c r="A25" s="35" t="str">
        <f>IFERROR(INDEX('G-1 All Habitats'!$AG$3:$AG$15,MATCH(E25,'G-1 All Habitats'!$AF$3:$AF$15,0)),"")</f>
        <v/>
      </c>
      <c r="B25" s="35" t="str">
        <f>IFERROR(INDEX('G-8 Condition Look up'!$I$4:$I$131,MATCH(G25,'G-8 Condition Look up'!$A$4:$A$131,0)),"")</f>
        <v/>
      </c>
      <c r="D25" s="168">
        <v>15</v>
      </c>
      <c r="E25" s="275"/>
      <c r="F25" s="275"/>
      <c r="G25" s="370" t="str">
        <f>IFERROR(INDEX('G-1 All Habitats'!$B$3:$B$130,MATCH(F25,'G-1 All Habitats'!$A$3:$A$130,0)),"")</f>
        <v/>
      </c>
      <c r="H25" s="213"/>
      <c r="I25" s="171" t="str">
        <f>IF(G25="","",VLOOKUP(G25,'G-1 All Habitats'!$B$2:$M$130,10,FALSE))</f>
        <v/>
      </c>
      <c r="J25" s="172" t="str">
        <f>IFERROR(VLOOKUP(I25,'G-1 All Habitats'!$V$3:$W$7,2,FALSE),"")</f>
        <v/>
      </c>
      <c r="K25" s="173"/>
      <c r="L25" s="172" t="str">
        <f>IFERROR(INDEX('G-8 Condition Look up'!$A$3:$H$131,MATCH(G25,'G-8 Condition Look up'!$A$3:$A$131,0),MATCH(K25,'G-8 Condition Look up'!$A$3:$H$3,0)),"")</f>
        <v/>
      </c>
      <c r="M25" s="186"/>
      <c r="N25" s="175" t="str">
        <f>IF(M25="","",IF(VLOOKUP(M25,'G-3 Multipliers'!$L$3:$N$6,2,FALSE)=0,"Spatial Data Missing",VLOOKUP(M25,'G-3 Multipliers'!$L$3:$N$6,2,FALSE)))</f>
        <v/>
      </c>
      <c r="O25" s="176" t="str">
        <f>IF(M25="","",IF(VLOOKUP(M25,'G-3 Multipliers'!$L$3:$N$6,3,FALSE)=0,"Spatial Data Missing",VLOOKUP(M25,'G-3 Multipliers'!$L$3:$N$6,3,FALSE)))</f>
        <v/>
      </c>
      <c r="P25" s="177" t="str">
        <f>IFERROR(VLOOKUP(G25,'G-1 All Habitats'!$B$2:$M$130,12,FALSE),"")</f>
        <v/>
      </c>
      <c r="Q25" s="81" t="str">
        <f>IFERROR(IF(P25="","",IF(AND(P25='G-1 All Habitats'!$X$3,T25&gt;0),U25+V25,IF(AND(P25='G-1 All Habitats'!$X$3,S25&gt;0),U25+V25,IF(AND(P25='G-1 All Habitats'!$X$3,AC25&gt;0),"Any Loss Unacceptable",IF(AND(P25='G-1 All Habitats'!$X$3,W25&gt;0),"Any Loss Unacceptable",H25*J25*L25*O25))))),"Check Data")</f>
        <v/>
      </c>
      <c r="R25" s="55"/>
      <c r="S25" s="79"/>
      <c r="T25" s="82"/>
      <c r="U25" s="83" t="str">
        <f t="shared" si="2"/>
        <v/>
      </c>
      <c r="V25" s="83" t="str">
        <f t="shared" si="3"/>
        <v/>
      </c>
      <c r="W25" s="83" t="str">
        <f>IF(E25="","",IF(H25&lt;S25+T25,"Error in Areas",IF(P25&lt;&gt;'G-1 All Habitats'!$X$3,H25-S25-T25,IF(AND(P25='G-1 All Habitats'!$X$3,Y25="Yes"),"Unacceptable Loss",IF(AND(P25='G-1 All Habitats'!$X$3,Y25="No"),AC25,IF(AND(P25='G-1 All Habitats'!$X$3,Y25=""),AC25,IF(AND(P25='G-1 All Habitats'!$X$3,AC25="None",AC25),IF(AND(P25='G-1 All Habitats'!$X$3,AC25&gt;0),H25-S25-T25))))))))</f>
        <v/>
      </c>
      <c r="X25" s="354" t="str">
        <f>IFERROR(IF(H25="","",IF(H25-S25-T25=0&lt;0,"Error in Areas",IF(S25+T25&gt;H25,"Error in Areas",IF(AND(P25='G-1 All Habitats'!$X$3,Y25="Yes"),"Alternative Compensation",IF(W25=0,0,IF(P25='G-1 All Habitats'!$X$3,"Unacceptable Loss",Q25-U25-V25)))))),"Check Data")</f>
        <v/>
      </c>
      <c r="Y25" s="82"/>
      <c r="Z25" s="182"/>
      <c r="AA25" s="183"/>
      <c r="AC25" s="371" t="str">
        <f>IF(P25="","",IF(P25='G-1 All Habitats'!$X$3,H25-S25-T25,"None"))</f>
        <v/>
      </c>
      <c r="AD25" s="372" t="str">
        <f t="shared" si="4"/>
        <v/>
      </c>
      <c r="AF25" s="188" t="str">
        <f t="shared" si="0"/>
        <v/>
      </c>
      <c r="AG25" s="188" t="str">
        <f t="shared" si="1"/>
        <v/>
      </c>
      <c r="AH25" s="188" t="str">
        <f>IF(I25="","",IF(#REF!&gt;0,TRUE,FALSE))</f>
        <v/>
      </c>
      <c r="AI25" s="188">
        <v>15</v>
      </c>
      <c r="AJ25" s="188"/>
      <c r="AK25" s="188" t="str">
        <f t="array" ref="AK25">IFERROR(INDEX($AI$11:$AI$259, MATCH(0, IF(TRUE=$AF$11:$AF$259, COUNTIF($AK$10:$AK24, $AI$11:$AI$259), ""), 0)),"")</f>
        <v/>
      </c>
      <c r="AL25" s="188" t="str">
        <f t="array" ref="AL25">IFERROR(INDEX($AI$11:$AI$259, MATCH(0, IF(TRUE=$AG$11:$AG$259, COUNTIF($AL$10:$AL24, $AI$11:$AI$259), ""), 0)),"")</f>
        <v/>
      </c>
      <c r="AM25" s="188" t="str">
        <f t="array" ref="AM25">IFERROR(INDEX($AI$11:$AI$259, MATCH(0, IF(TRUE=$AH$11:$AH$259, COUNTIF($AM$10:$AM24, $AI$11:$AI$259), ""), 0)),"")</f>
        <v/>
      </c>
      <c r="AQ25" s="35">
        <f t="shared" si="5"/>
        <v>0</v>
      </c>
    </row>
    <row r="26" spans="1:43" x14ac:dyDescent="0.25">
      <c r="A26" s="35" t="str">
        <f>IFERROR(INDEX('G-1 All Habitats'!$AG$3:$AG$15,MATCH(E26,'G-1 All Habitats'!$AF$3:$AF$15,0)),"")</f>
        <v/>
      </c>
      <c r="B26" s="35" t="str">
        <f>IFERROR(INDEX('G-8 Condition Look up'!$I$4:$I$131,MATCH(G26,'G-8 Condition Look up'!$A$4:$A$131,0)),"")</f>
        <v/>
      </c>
      <c r="D26" s="168">
        <v>16</v>
      </c>
      <c r="E26" s="275"/>
      <c r="F26" s="275"/>
      <c r="G26" s="370" t="str">
        <f>IFERROR(INDEX('G-1 All Habitats'!$B$3:$B$130,MATCH(F26,'G-1 All Habitats'!$A$3:$A$130,0)),"")</f>
        <v/>
      </c>
      <c r="H26" s="213"/>
      <c r="I26" s="171" t="str">
        <f>IF(G26="","",VLOOKUP(G26,'G-1 All Habitats'!$B$2:$M$130,10,FALSE))</f>
        <v/>
      </c>
      <c r="J26" s="172" t="str">
        <f>IFERROR(VLOOKUP(I26,'G-1 All Habitats'!$V$3:$W$7,2,FALSE),"")</f>
        <v/>
      </c>
      <c r="K26" s="173"/>
      <c r="L26" s="172" t="str">
        <f>IFERROR(INDEX('G-8 Condition Look up'!$A$3:$H$131,MATCH(G26,'G-8 Condition Look up'!$A$3:$A$131,0),MATCH(K26,'G-8 Condition Look up'!$A$3:$H$3,0)),"")</f>
        <v/>
      </c>
      <c r="M26" s="186"/>
      <c r="N26" s="175" t="str">
        <f>IF(M26="","",IF(VLOOKUP(M26,'G-3 Multipliers'!$L$3:$N$6,2,FALSE)=0,"Spatial Data Missing",VLOOKUP(M26,'G-3 Multipliers'!$L$3:$N$6,2,FALSE)))</f>
        <v/>
      </c>
      <c r="O26" s="176" t="str">
        <f>IF(M26="","",IF(VLOOKUP(M26,'G-3 Multipliers'!$L$3:$N$6,3,FALSE)=0,"Spatial Data Missing",VLOOKUP(M26,'G-3 Multipliers'!$L$3:$N$6,3,FALSE)))</f>
        <v/>
      </c>
      <c r="P26" s="177" t="str">
        <f>IFERROR(VLOOKUP(G26,'G-1 All Habitats'!$B$2:$M$130,12,FALSE),"")</f>
        <v/>
      </c>
      <c r="Q26" s="81" t="str">
        <f>IFERROR(IF(P26="","",IF(AND(P26='G-1 All Habitats'!$X$3,T26&gt;0),U26+V26,IF(AND(P26='G-1 All Habitats'!$X$3,S26&gt;0),U26+V26,IF(AND(P26='G-1 All Habitats'!$X$3,AC26&gt;0),"Any Loss Unacceptable",IF(AND(P26='G-1 All Habitats'!$X$3,W26&gt;0),"Any Loss Unacceptable",H26*J26*L26*O26))))),"Check Data")</f>
        <v/>
      </c>
      <c r="R26" s="55"/>
      <c r="S26" s="79"/>
      <c r="T26" s="82"/>
      <c r="U26" s="83" t="str">
        <f t="shared" si="2"/>
        <v/>
      </c>
      <c r="V26" s="83" t="str">
        <f t="shared" si="3"/>
        <v/>
      </c>
      <c r="W26" s="83" t="str">
        <f>IF(E26="","",IF(H26&lt;S26+T26,"Error in Areas",IF(P26&lt;&gt;'G-1 All Habitats'!$X$3,H26-S26-T26,IF(AND(P26='G-1 All Habitats'!$X$3,Y26="Yes"),"Unacceptable Loss",IF(AND(P26='G-1 All Habitats'!$X$3,Y26="No"),AC26,IF(AND(P26='G-1 All Habitats'!$X$3,Y26=""),AC26,IF(AND(P26='G-1 All Habitats'!$X$3,AC26="None",AC26),IF(AND(P26='G-1 All Habitats'!$X$3,AC26&gt;0),H26-S26-T26))))))))</f>
        <v/>
      </c>
      <c r="X26" s="354" t="str">
        <f>IFERROR(IF(H26="","",IF(H26-S26-T26=0&lt;0,"Error in Areas",IF(S26+T26&gt;H26,"Error in Areas",IF(AND(P26='G-1 All Habitats'!$X$3,Y26="Yes"),"Alternative Compensation",IF(W26=0,0,IF(P26='G-1 All Habitats'!$X$3,"Unacceptable Loss",Q26-U26-V26)))))),"Check Data")</f>
        <v/>
      </c>
      <c r="Y26" s="82"/>
      <c r="Z26" s="182"/>
      <c r="AA26" s="183"/>
      <c r="AC26" s="371" t="str">
        <f>IF(P26="","",IF(P26='G-1 All Habitats'!$X$3,H26-S26-T26,"None"))</f>
        <v/>
      </c>
      <c r="AD26" s="372" t="str">
        <f t="shared" si="4"/>
        <v/>
      </c>
      <c r="AF26" s="188" t="str">
        <f t="shared" si="0"/>
        <v/>
      </c>
      <c r="AG26" s="188" t="str">
        <f t="shared" si="1"/>
        <v/>
      </c>
      <c r="AH26" s="188" t="str">
        <f>IF(I26="","",IF(#REF!&gt;0,TRUE,FALSE))</f>
        <v/>
      </c>
      <c r="AI26" s="188">
        <v>16</v>
      </c>
      <c r="AJ26" s="188"/>
      <c r="AK26" s="188" t="str">
        <f t="array" ref="AK26">IFERROR(INDEX($AI$11:$AI$259, MATCH(0, IF(TRUE=$AF$11:$AF$259, COUNTIF($AK$10:$AK25, $AI$11:$AI$259), ""), 0)),"")</f>
        <v/>
      </c>
      <c r="AL26" s="188" t="str">
        <f t="array" ref="AL26">IFERROR(INDEX($AI$11:$AI$259, MATCH(0, IF(TRUE=$AG$11:$AG$259, COUNTIF($AL$10:$AL25, $AI$11:$AI$259), ""), 0)),"")</f>
        <v/>
      </c>
      <c r="AM26" s="188" t="str">
        <f t="array" ref="AM26">IFERROR(INDEX($AI$11:$AI$259, MATCH(0, IF(TRUE=$AH$11:$AH$259, COUNTIF($AM$10:$AM25, $AI$11:$AI$259), ""), 0)),"")</f>
        <v/>
      </c>
      <c r="AQ26" s="35">
        <f t="shared" si="5"/>
        <v>0</v>
      </c>
    </row>
    <row r="27" spans="1:43" x14ac:dyDescent="0.25">
      <c r="A27" s="35" t="str">
        <f>IFERROR(INDEX('G-1 All Habitats'!$AG$3:$AG$15,MATCH(E27,'G-1 All Habitats'!$AF$3:$AF$15,0)),"")</f>
        <v/>
      </c>
      <c r="B27" s="35" t="str">
        <f>IFERROR(INDEX('G-8 Condition Look up'!$I$4:$I$131,MATCH(G27,'G-8 Condition Look up'!$A$4:$A$131,0)),"")</f>
        <v/>
      </c>
      <c r="D27" s="168">
        <v>17</v>
      </c>
      <c r="E27" s="275"/>
      <c r="F27" s="275"/>
      <c r="G27" s="370" t="str">
        <f>IFERROR(INDEX('G-1 All Habitats'!$B$3:$B$130,MATCH(F27,'G-1 All Habitats'!$A$3:$A$130,0)),"")</f>
        <v/>
      </c>
      <c r="H27" s="213"/>
      <c r="I27" s="171" t="str">
        <f>IF(G27="","",VLOOKUP(G27,'G-1 All Habitats'!$B$2:$M$130,10,FALSE))</f>
        <v/>
      </c>
      <c r="J27" s="172" t="str">
        <f>IFERROR(VLOOKUP(I27,'G-1 All Habitats'!$V$3:$W$7,2,FALSE),"")</f>
        <v/>
      </c>
      <c r="K27" s="173"/>
      <c r="L27" s="172" t="str">
        <f>IFERROR(INDEX('G-8 Condition Look up'!$A$3:$H$131,MATCH(G27,'G-8 Condition Look up'!$A$3:$A$131,0),MATCH(K27,'G-8 Condition Look up'!$A$3:$H$3,0)),"")</f>
        <v/>
      </c>
      <c r="M27" s="186"/>
      <c r="N27" s="175" t="str">
        <f>IF(M27="","",IF(VLOOKUP(M27,'G-3 Multipliers'!$L$3:$N$6,2,FALSE)=0,"Spatial Data Missing",VLOOKUP(M27,'G-3 Multipliers'!$L$3:$N$6,2,FALSE)))</f>
        <v/>
      </c>
      <c r="O27" s="176" t="str">
        <f>IF(M27="","",IF(VLOOKUP(M27,'G-3 Multipliers'!$L$3:$N$6,3,FALSE)=0,"Spatial Data Missing",VLOOKUP(M27,'G-3 Multipliers'!$L$3:$N$6,3,FALSE)))</f>
        <v/>
      </c>
      <c r="P27" s="177" t="str">
        <f>IFERROR(VLOOKUP(G27,'G-1 All Habitats'!$B$2:$M$130,12,FALSE),"")</f>
        <v/>
      </c>
      <c r="Q27" s="81" t="str">
        <f>IFERROR(IF(P27="","",IF(AND(P27='G-1 All Habitats'!$X$3,T27&gt;0),U27+V27,IF(AND(P27='G-1 All Habitats'!$X$3,S27&gt;0),U27+V27,IF(AND(P27='G-1 All Habitats'!$X$3,AC27&gt;0),"Any Loss Unacceptable",IF(AND(P27='G-1 All Habitats'!$X$3,W27&gt;0),"Any Loss Unacceptable",H27*J27*L27*O27))))),"Check Data")</f>
        <v/>
      </c>
      <c r="R27" s="55"/>
      <c r="S27" s="79"/>
      <c r="T27" s="82"/>
      <c r="U27" s="83" t="str">
        <f t="shared" si="2"/>
        <v/>
      </c>
      <c r="V27" s="83" t="str">
        <f t="shared" si="3"/>
        <v/>
      </c>
      <c r="W27" s="83" t="str">
        <f>IF(E27="","",IF(H27&lt;S27+T27,"Error in Areas",IF(P27&lt;&gt;'G-1 All Habitats'!$X$3,H27-S27-T27,IF(AND(P27='G-1 All Habitats'!$X$3,Y27="Yes"),"Unacceptable Loss",IF(AND(P27='G-1 All Habitats'!$X$3,Y27="No"),AC27,IF(AND(P27='G-1 All Habitats'!$X$3,Y27=""),AC27,IF(AND(P27='G-1 All Habitats'!$X$3,AC27="None",AC27),IF(AND(P27='G-1 All Habitats'!$X$3,AC27&gt;0),H27-S27-T27))))))))</f>
        <v/>
      </c>
      <c r="X27" s="354" t="str">
        <f>IFERROR(IF(H27="","",IF(H27-S27-T27=0&lt;0,"Error in Areas",IF(S27+T27&gt;H27,"Error in Areas",IF(AND(P27='G-1 All Habitats'!$X$3,Y27="Yes"),"Alternative Compensation",IF(W27=0,0,IF(P27='G-1 All Habitats'!$X$3,"Unacceptable Loss",Q27-U27-V27)))))),"Check Data")</f>
        <v/>
      </c>
      <c r="Y27" s="82"/>
      <c r="Z27" s="182"/>
      <c r="AA27" s="183"/>
      <c r="AC27" s="371" t="str">
        <f>IF(P27="","",IF(P27='G-1 All Habitats'!$X$3,H27-S27-T27,"None"))</f>
        <v/>
      </c>
      <c r="AD27" s="372" t="str">
        <f t="shared" si="4"/>
        <v/>
      </c>
      <c r="AF27" s="188" t="str">
        <f t="shared" si="0"/>
        <v/>
      </c>
      <c r="AG27" s="188" t="str">
        <f t="shared" si="1"/>
        <v/>
      </c>
      <c r="AH27" s="188" t="str">
        <f>IF(I27="","",IF(#REF!&gt;0,TRUE,FALSE))</f>
        <v/>
      </c>
      <c r="AI27" s="188">
        <v>17</v>
      </c>
      <c r="AJ27" s="188"/>
      <c r="AK27" s="188" t="str">
        <f t="array" ref="AK27">IFERROR(INDEX($AI$11:$AI$259, MATCH(0, IF(TRUE=$AF$11:$AF$259, COUNTIF($AK$10:$AK26, $AI$11:$AI$259), ""), 0)),"")</f>
        <v/>
      </c>
      <c r="AL27" s="188" t="str">
        <f t="array" ref="AL27">IFERROR(INDEX($AI$11:$AI$259, MATCH(0, IF(TRUE=$AG$11:$AG$259, COUNTIF($AL$10:$AL26, $AI$11:$AI$259), ""), 0)),"")</f>
        <v/>
      </c>
      <c r="AM27" s="188" t="str">
        <f t="array" ref="AM27">IFERROR(INDEX($AI$11:$AI$259, MATCH(0, IF(TRUE=$AH$11:$AH$259, COUNTIF($AM$10:$AM26, $AI$11:$AI$259), ""), 0)),"")</f>
        <v/>
      </c>
      <c r="AQ27" s="35">
        <f t="shared" si="5"/>
        <v>0</v>
      </c>
    </row>
    <row r="28" spans="1:43" x14ac:dyDescent="0.25">
      <c r="A28" s="35" t="str">
        <f>IFERROR(INDEX('G-1 All Habitats'!$AG$3:$AG$15,MATCH(E28,'G-1 All Habitats'!$AF$3:$AF$15,0)),"")</f>
        <v/>
      </c>
      <c r="B28" s="35" t="str">
        <f>IFERROR(INDEX('G-8 Condition Look up'!$I$4:$I$131,MATCH(G28,'G-8 Condition Look up'!$A$4:$A$131,0)),"")</f>
        <v/>
      </c>
      <c r="D28" s="168">
        <v>18</v>
      </c>
      <c r="E28" s="275"/>
      <c r="F28" s="275"/>
      <c r="G28" s="370" t="str">
        <f>IFERROR(INDEX('G-1 All Habitats'!$B$3:$B$130,MATCH(F28,'G-1 All Habitats'!$A$3:$A$130,0)),"")</f>
        <v/>
      </c>
      <c r="H28" s="213"/>
      <c r="I28" s="171" t="str">
        <f>IF(G28="","",VLOOKUP(G28,'G-1 All Habitats'!$B$2:$M$130,10,FALSE))</f>
        <v/>
      </c>
      <c r="J28" s="172" t="str">
        <f>IFERROR(VLOOKUP(I28,'G-1 All Habitats'!$V$3:$W$7,2,FALSE),"")</f>
        <v/>
      </c>
      <c r="K28" s="173"/>
      <c r="L28" s="172" t="str">
        <f>IFERROR(INDEX('G-8 Condition Look up'!$A$3:$H$131,MATCH(G28,'G-8 Condition Look up'!$A$3:$A$131,0),MATCH(K28,'G-8 Condition Look up'!$A$3:$H$3,0)),"")</f>
        <v/>
      </c>
      <c r="M28" s="186"/>
      <c r="N28" s="175" t="str">
        <f>IF(M28="","",IF(VLOOKUP(M28,'G-3 Multipliers'!$L$3:$N$6,2,FALSE)=0,"Spatial Data Missing",VLOOKUP(M28,'G-3 Multipliers'!$L$3:$N$6,2,FALSE)))</f>
        <v/>
      </c>
      <c r="O28" s="176" t="str">
        <f>IF(M28="","",IF(VLOOKUP(M28,'G-3 Multipliers'!$L$3:$N$6,3,FALSE)=0,"Spatial Data Missing",VLOOKUP(M28,'G-3 Multipliers'!$L$3:$N$6,3,FALSE)))</f>
        <v/>
      </c>
      <c r="P28" s="177" t="str">
        <f>IFERROR(VLOOKUP(G28,'G-1 All Habitats'!$B$2:$M$130,12,FALSE),"")</f>
        <v/>
      </c>
      <c r="Q28" s="81" t="str">
        <f>IFERROR(IF(P28="","",IF(AND(P28='G-1 All Habitats'!$X$3,T28&gt;0),U28+V28,IF(AND(P28='G-1 All Habitats'!$X$3,S28&gt;0),U28+V28,IF(AND(P28='G-1 All Habitats'!$X$3,AC28&gt;0),"Any Loss Unacceptable",IF(AND(P28='G-1 All Habitats'!$X$3,W28&gt;0),"Any Loss Unacceptable",H28*J28*L28*O28))))),"Check Data")</f>
        <v/>
      </c>
      <c r="R28" s="55"/>
      <c r="S28" s="79"/>
      <c r="T28" s="82"/>
      <c r="U28" s="83" t="str">
        <f t="shared" si="2"/>
        <v/>
      </c>
      <c r="V28" s="83" t="str">
        <f t="shared" si="3"/>
        <v/>
      </c>
      <c r="W28" s="83" t="str">
        <f>IF(E28="","",IF(H28&lt;S28+T28,"Error in Areas",IF(P28&lt;&gt;'G-1 All Habitats'!$X$3,H28-S28-T28,IF(AND(P28='G-1 All Habitats'!$X$3,Y28="Yes"),"Unacceptable Loss",IF(AND(P28='G-1 All Habitats'!$X$3,Y28="No"),AC28,IF(AND(P28='G-1 All Habitats'!$X$3,Y28=""),AC28,IF(AND(P28='G-1 All Habitats'!$X$3,AC28="None",AC28),IF(AND(P28='G-1 All Habitats'!$X$3,AC28&gt;0),H28-S28-T28))))))))</f>
        <v/>
      </c>
      <c r="X28" s="354" t="str">
        <f>IFERROR(IF(H28="","",IF(H28-S28-T28=0&lt;0,"Error in Areas",IF(S28+T28&gt;H28,"Error in Areas",IF(AND(P28='G-1 All Habitats'!$X$3,Y28="Yes"),"Alternative Compensation",IF(W28=0,0,IF(P28='G-1 All Habitats'!$X$3,"Unacceptable Loss",Q28-U28-V28)))))),"Check Data")</f>
        <v/>
      </c>
      <c r="Y28" s="82"/>
      <c r="Z28" s="182"/>
      <c r="AA28" s="183"/>
      <c r="AC28" s="371" t="str">
        <f>IF(P28="","",IF(P28='G-1 All Habitats'!$X$3,H28-S28-T28,"None"))</f>
        <v/>
      </c>
      <c r="AD28" s="372" t="str">
        <f t="shared" si="4"/>
        <v/>
      </c>
      <c r="AF28" s="188" t="str">
        <f t="shared" si="0"/>
        <v/>
      </c>
      <c r="AG28" s="188" t="str">
        <f t="shared" si="1"/>
        <v/>
      </c>
      <c r="AH28" s="188" t="str">
        <f>IF(I28="","",IF(#REF!&gt;0,TRUE,FALSE))</f>
        <v/>
      </c>
      <c r="AI28" s="188">
        <v>18</v>
      </c>
      <c r="AJ28" s="188"/>
      <c r="AK28" s="188" t="str">
        <f t="array" ref="AK28">IFERROR(INDEX($AI$11:$AI$259, MATCH(0, IF(TRUE=$AF$11:$AF$259, COUNTIF($AK$10:$AK27, $AI$11:$AI$259), ""), 0)),"")</f>
        <v/>
      </c>
      <c r="AL28" s="188" t="str">
        <f t="array" ref="AL28">IFERROR(INDEX($AI$11:$AI$259, MATCH(0, IF(TRUE=$AG$11:$AG$259, COUNTIF($AL$10:$AL27, $AI$11:$AI$259), ""), 0)),"")</f>
        <v/>
      </c>
      <c r="AM28" s="188" t="str">
        <f t="array" ref="AM28">IFERROR(INDEX($AI$11:$AI$259, MATCH(0, IF(TRUE=$AH$11:$AH$259, COUNTIF($AM$10:$AM27, $AI$11:$AI$259), ""), 0)),"")</f>
        <v/>
      </c>
      <c r="AQ28" s="35">
        <f t="shared" si="5"/>
        <v>0</v>
      </c>
    </row>
    <row r="29" spans="1:43" x14ac:dyDescent="0.25">
      <c r="A29" s="35" t="str">
        <f>IFERROR(INDEX('G-1 All Habitats'!$AG$3:$AG$15,MATCH(E29,'G-1 All Habitats'!$AF$3:$AF$15,0)),"")</f>
        <v/>
      </c>
      <c r="B29" s="35" t="str">
        <f>IFERROR(INDEX('G-8 Condition Look up'!$I$4:$I$131,MATCH(G29,'G-8 Condition Look up'!$A$4:$A$131,0)),"")</f>
        <v/>
      </c>
      <c r="D29" s="168">
        <v>19</v>
      </c>
      <c r="E29" s="275"/>
      <c r="F29" s="275"/>
      <c r="G29" s="370" t="str">
        <f>IFERROR(INDEX('G-1 All Habitats'!$B$3:$B$130,MATCH(F29,'G-1 All Habitats'!$A$3:$A$130,0)),"")</f>
        <v/>
      </c>
      <c r="H29" s="213"/>
      <c r="I29" s="171" t="str">
        <f>IF(G29="","",VLOOKUP(G29,'G-1 All Habitats'!$B$2:$M$130,10,FALSE))</f>
        <v/>
      </c>
      <c r="J29" s="172" t="str">
        <f>IFERROR(VLOOKUP(I29,'G-1 All Habitats'!$V$3:$W$7,2,FALSE),"")</f>
        <v/>
      </c>
      <c r="K29" s="173"/>
      <c r="L29" s="172" t="str">
        <f>IFERROR(INDEX('G-8 Condition Look up'!$A$3:$H$131,MATCH(G29,'G-8 Condition Look up'!$A$3:$A$131,0),MATCH(K29,'G-8 Condition Look up'!$A$3:$H$3,0)),"")</f>
        <v/>
      </c>
      <c r="M29" s="186"/>
      <c r="N29" s="175" t="str">
        <f>IF(M29="","",IF(VLOOKUP(M29,'G-3 Multipliers'!$L$3:$N$6,2,FALSE)=0,"Spatial Data Missing",VLOOKUP(M29,'G-3 Multipliers'!$L$3:$N$6,2,FALSE)))</f>
        <v/>
      </c>
      <c r="O29" s="176" t="str">
        <f>IF(M29="","",IF(VLOOKUP(M29,'G-3 Multipliers'!$L$3:$N$6,3,FALSE)=0,"Spatial Data Missing",VLOOKUP(M29,'G-3 Multipliers'!$L$3:$N$6,3,FALSE)))</f>
        <v/>
      </c>
      <c r="P29" s="177" t="str">
        <f>IFERROR(VLOOKUP(G29,'G-1 All Habitats'!$B$2:$M$130,12,FALSE),"")</f>
        <v/>
      </c>
      <c r="Q29" s="81" t="str">
        <f>IFERROR(IF(P29="","",IF(AND(P29='G-1 All Habitats'!$X$3,T29&gt;0),U29+V29,IF(AND(P29='G-1 All Habitats'!$X$3,S29&gt;0),U29+V29,IF(AND(P29='G-1 All Habitats'!$X$3,AC29&gt;0),"Any Loss Unacceptable",IF(AND(P29='G-1 All Habitats'!$X$3,W29&gt;0),"Any Loss Unacceptable",H29*J29*L29*O29))))),"Check Data")</f>
        <v/>
      </c>
      <c r="R29" s="55"/>
      <c r="S29" s="79"/>
      <c r="T29" s="82"/>
      <c r="U29" s="83" t="str">
        <f t="shared" si="2"/>
        <v/>
      </c>
      <c r="V29" s="83" t="str">
        <f t="shared" si="3"/>
        <v/>
      </c>
      <c r="W29" s="83" t="str">
        <f>IF(E29="","",IF(H29&lt;S29+T29,"Error in Areas",IF(P29&lt;&gt;'G-1 All Habitats'!$X$3,H29-S29-T29,IF(AND(P29='G-1 All Habitats'!$X$3,Y29="Yes"),"Unacceptable Loss",IF(AND(P29='G-1 All Habitats'!$X$3,Y29="No"),AC29,IF(AND(P29='G-1 All Habitats'!$X$3,Y29=""),AC29,IF(AND(P29='G-1 All Habitats'!$X$3,AC29="None",AC29),IF(AND(P29='G-1 All Habitats'!$X$3,AC29&gt;0),H29-S29-T29))))))))</f>
        <v/>
      </c>
      <c r="X29" s="354" t="str">
        <f>IFERROR(IF(H29="","",IF(H29-S29-T29=0&lt;0,"Error in Areas",IF(S29+T29&gt;H29,"Error in Areas",IF(AND(P29='G-1 All Habitats'!$X$3,Y29="Yes"),"Alternative Compensation",IF(W29=0,0,IF(P29='G-1 All Habitats'!$X$3,"Unacceptable Loss",Q29-U29-V29)))))),"Check Data")</f>
        <v/>
      </c>
      <c r="Y29" s="82"/>
      <c r="Z29" s="182"/>
      <c r="AA29" s="183"/>
      <c r="AC29" s="371" t="str">
        <f>IF(P29="","",IF(P29='G-1 All Habitats'!$X$3,H29-S29-T29,"None"))</f>
        <v/>
      </c>
      <c r="AD29" s="372" t="str">
        <f t="shared" si="4"/>
        <v/>
      </c>
      <c r="AF29" s="188" t="str">
        <f t="shared" si="0"/>
        <v/>
      </c>
      <c r="AG29" s="188" t="str">
        <f t="shared" si="1"/>
        <v/>
      </c>
      <c r="AH29" s="188" t="str">
        <f>IF(I29="","",IF(#REF!&gt;0,TRUE,FALSE))</f>
        <v/>
      </c>
      <c r="AI29" s="188">
        <v>19</v>
      </c>
      <c r="AJ29" s="188"/>
      <c r="AK29" s="188" t="str">
        <f t="array" ref="AK29">IFERROR(INDEX($AI$11:$AI$259, MATCH(0, IF(TRUE=$AF$11:$AF$259, COUNTIF($AK$10:$AK28, $AI$11:$AI$259), ""), 0)),"")</f>
        <v/>
      </c>
      <c r="AL29" s="188" t="str">
        <f t="array" ref="AL29">IFERROR(INDEX($AI$11:$AI$259, MATCH(0, IF(TRUE=$AG$11:$AG$259, COUNTIF($AL$10:$AL28, $AI$11:$AI$259), ""), 0)),"")</f>
        <v/>
      </c>
      <c r="AM29" s="188" t="str">
        <f t="array" ref="AM29">IFERROR(INDEX($AI$11:$AI$259, MATCH(0, IF(TRUE=$AH$11:$AH$259, COUNTIF($AM$10:$AM28, $AI$11:$AI$259), ""), 0)),"")</f>
        <v/>
      </c>
      <c r="AQ29" s="35">
        <f t="shared" si="5"/>
        <v>0</v>
      </c>
    </row>
    <row r="30" spans="1:43" x14ac:dyDescent="0.25">
      <c r="A30" s="35" t="str">
        <f>IFERROR(INDEX('G-1 All Habitats'!$AG$3:$AG$15,MATCH(E30,'G-1 All Habitats'!$AF$3:$AF$15,0)),"")</f>
        <v/>
      </c>
      <c r="B30" s="35" t="str">
        <f>IFERROR(INDEX('G-8 Condition Look up'!$I$4:$I$131,MATCH(G30,'G-8 Condition Look up'!$A$4:$A$131,0)),"")</f>
        <v/>
      </c>
      <c r="D30" s="168">
        <v>20</v>
      </c>
      <c r="E30" s="275"/>
      <c r="F30" s="275"/>
      <c r="G30" s="370" t="str">
        <f>IFERROR(INDEX('G-1 All Habitats'!$B$3:$B$130,MATCH(F30,'G-1 All Habitats'!$A$3:$A$130,0)),"")</f>
        <v/>
      </c>
      <c r="H30" s="213"/>
      <c r="I30" s="171" t="str">
        <f>IF(G30="","",VLOOKUP(G30,'G-1 All Habitats'!$B$2:$M$130,10,FALSE))</f>
        <v/>
      </c>
      <c r="J30" s="172" t="str">
        <f>IFERROR(VLOOKUP(I30,'G-1 All Habitats'!$V$3:$W$7,2,FALSE),"")</f>
        <v/>
      </c>
      <c r="K30" s="173"/>
      <c r="L30" s="172" t="str">
        <f>IFERROR(INDEX('G-8 Condition Look up'!$A$3:$H$131,MATCH(G30,'G-8 Condition Look up'!$A$3:$A$131,0),MATCH(K30,'G-8 Condition Look up'!$A$3:$H$3,0)),"")</f>
        <v/>
      </c>
      <c r="M30" s="186"/>
      <c r="N30" s="175" t="str">
        <f>IF(M30="","",IF(VLOOKUP(M30,'G-3 Multipliers'!$L$3:$N$6,2,FALSE)=0,"Spatial Data Missing",VLOOKUP(M30,'G-3 Multipliers'!$L$3:$N$6,2,FALSE)))</f>
        <v/>
      </c>
      <c r="O30" s="176" t="str">
        <f>IF(M30="","",IF(VLOOKUP(M30,'G-3 Multipliers'!$L$3:$N$6,3,FALSE)=0,"Spatial Data Missing",VLOOKUP(M30,'G-3 Multipliers'!$L$3:$N$6,3,FALSE)))</f>
        <v/>
      </c>
      <c r="P30" s="177" t="str">
        <f>IFERROR(VLOOKUP(G30,'G-1 All Habitats'!$B$2:$M$130,12,FALSE),"")</f>
        <v/>
      </c>
      <c r="Q30" s="81" t="str">
        <f>IFERROR(IF(P30="","",IF(AND(P30='G-1 All Habitats'!$X$3,T30&gt;0),U30+V30,IF(AND(P30='G-1 All Habitats'!$X$3,S30&gt;0),U30+V30,IF(AND(P30='G-1 All Habitats'!$X$3,AC30&gt;0),"Any Loss Unacceptable",IF(AND(P30='G-1 All Habitats'!$X$3,W30&gt;0),"Any Loss Unacceptable",H30*J30*L30*O30))))),"Check Data")</f>
        <v/>
      </c>
      <c r="R30" s="55"/>
      <c r="S30" s="79"/>
      <c r="T30" s="82"/>
      <c r="U30" s="83" t="str">
        <f t="shared" si="2"/>
        <v/>
      </c>
      <c r="V30" s="83" t="str">
        <f t="shared" si="3"/>
        <v/>
      </c>
      <c r="W30" s="83" t="str">
        <f>IF(E30="","",IF(H30&lt;S30+T30,"Error in Areas",IF(P30&lt;&gt;'G-1 All Habitats'!$X$3,H30-S30-T30,IF(AND(P30='G-1 All Habitats'!$X$3,Y30="Yes"),"Unacceptable Loss",IF(AND(P30='G-1 All Habitats'!$X$3,Y30="No"),AC30,IF(AND(P30='G-1 All Habitats'!$X$3,Y30=""),AC30,IF(AND(P30='G-1 All Habitats'!$X$3,AC30="None",AC30),IF(AND(P30='G-1 All Habitats'!$X$3,AC30&gt;0),H30-S30-T30))))))))</f>
        <v/>
      </c>
      <c r="X30" s="354" t="str">
        <f>IFERROR(IF(H30="","",IF(H30-S30-T30=0&lt;0,"Error in Areas",IF(S30+T30&gt;H30,"Error in Areas",IF(AND(P30='G-1 All Habitats'!$X$3,Y30="Yes"),"Alternative Compensation",IF(W30=0,0,IF(P30='G-1 All Habitats'!$X$3,"Unacceptable Loss",Q30-U30-V30)))))),"Check Data")</f>
        <v/>
      </c>
      <c r="Y30" s="82"/>
      <c r="Z30" s="182"/>
      <c r="AA30" s="183"/>
      <c r="AC30" s="371" t="str">
        <f>IF(P30="","",IF(P30='G-1 All Habitats'!$X$3,H30-S30-T30,"None"))</f>
        <v/>
      </c>
      <c r="AD30" s="372" t="str">
        <f t="shared" si="4"/>
        <v/>
      </c>
      <c r="AF30" s="188" t="str">
        <f t="shared" si="0"/>
        <v/>
      </c>
      <c r="AG30" s="188" t="str">
        <f t="shared" si="1"/>
        <v/>
      </c>
      <c r="AH30" s="188" t="str">
        <f>IF(I30="","",IF(#REF!&gt;0,TRUE,FALSE))</f>
        <v/>
      </c>
      <c r="AI30" s="188">
        <v>20</v>
      </c>
      <c r="AJ30" s="188"/>
      <c r="AK30" s="188" t="str">
        <f t="array" ref="AK30">IFERROR(INDEX($AI$11:$AI$259, MATCH(0, IF(TRUE=$AF$11:$AF$259, COUNTIF($AK$10:$AK29, $AI$11:$AI$259), ""), 0)),"")</f>
        <v/>
      </c>
      <c r="AL30" s="188" t="str">
        <f t="array" ref="AL30">IFERROR(INDEX($AI$11:$AI$259, MATCH(0, IF(TRUE=$AG$11:$AG$259, COUNTIF($AL$10:$AL29, $AI$11:$AI$259), ""), 0)),"")</f>
        <v/>
      </c>
      <c r="AM30" s="188" t="str">
        <f t="array" ref="AM30">IFERROR(INDEX($AI$11:$AI$259, MATCH(0, IF(TRUE=$AH$11:$AH$259, COUNTIF($AM$10:$AM29, $AI$11:$AI$259), ""), 0)),"")</f>
        <v/>
      </c>
      <c r="AQ30" s="35">
        <f t="shared" si="5"/>
        <v>0</v>
      </c>
    </row>
    <row r="31" spans="1:43" x14ac:dyDescent="0.25">
      <c r="A31" s="35" t="str">
        <f>IFERROR(INDEX('G-1 All Habitats'!$AG$3:$AG$15,MATCH(E31,'G-1 All Habitats'!$AF$3:$AF$15,0)),"")</f>
        <v/>
      </c>
      <c r="B31" s="35" t="str">
        <f>IFERROR(INDEX('G-8 Condition Look up'!$I$4:$I$131,MATCH(G31,'G-8 Condition Look up'!$A$4:$A$131,0)),"")</f>
        <v/>
      </c>
      <c r="D31" s="168">
        <v>21</v>
      </c>
      <c r="E31" s="275"/>
      <c r="F31" s="275"/>
      <c r="G31" s="370" t="str">
        <f>IFERROR(INDEX('G-1 All Habitats'!$B$3:$B$130,MATCH(F31,'G-1 All Habitats'!$A$3:$A$130,0)),"")</f>
        <v/>
      </c>
      <c r="H31" s="213"/>
      <c r="I31" s="171" t="str">
        <f>IF(G31="","",VLOOKUP(G31,'G-1 All Habitats'!$B$2:$M$130,10,FALSE))</f>
        <v/>
      </c>
      <c r="J31" s="172" t="str">
        <f>IFERROR(VLOOKUP(I31,'G-1 All Habitats'!$V$3:$W$7,2,FALSE),"")</f>
        <v/>
      </c>
      <c r="K31" s="173"/>
      <c r="L31" s="172" t="str">
        <f>IFERROR(INDEX('G-8 Condition Look up'!$A$3:$H$131,MATCH(G31,'G-8 Condition Look up'!$A$3:$A$131,0),MATCH(K31,'G-8 Condition Look up'!$A$3:$H$3,0)),"")</f>
        <v/>
      </c>
      <c r="M31" s="186"/>
      <c r="N31" s="175" t="str">
        <f>IF(M31="","",IF(VLOOKUP(M31,'G-3 Multipliers'!$L$3:$N$6,2,FALSE)=0,"Spatial Data Missing",VLOOKUP(M31,'G-3 Multipliers'!$L$3:$N$6,2,FALSE)))</f>
        <v/>
      </c>
      <c r="O31" s="176" t="str">
        <f>IF(M31="","",IF(VLOOKUP(M31,'G-3 Multipliers'!$L$3:$N$6,3,FALSE)=0,"Spatial Data Missing",VLOOKUP(M31,'G-3 Multipliers'!$L$3:$N$6,3,FALSE)))</f>
        <v/>
      </c>
      <c r="P31" s="177" t="str">
        <f>IFERROR(VLOOKUP(G31,'G-1 All Habitats'!$B$2:$M$130,12,FALSE),"")</f>
        <v/>
      </c>
      <c r="Q31" s="81" t="str">
        <f>IFERROR(IF(P31="","",IF(AND(P31='G-1 All Habitats'!$X$3,T31&gt;0),U31+V31,IF(AND(P31='G-1 All Habitats'!$X$3,S31&gt;0),U31+V31,IF(AND(P31='G-1 All Habitats'!$X$3,AC31&gt;0),"Any Loss Unacceptable",IF(AND(P31='G-1 All Habitats'!$X$3,W31&gt;0),"Any Loss Unacceptable",H31*J31*L31*O31))))),"Check Data")</f>
        <v/>
      </c>
      <c r="R31" s="55"/>
      <c r="S31" s="79"/>
      <c r="T31" s="82"/>
      <c r="U31" s="83" t="str">
        <f t="shared" si="2"/>
        <v/>
      </c>
      <c r="V31" s="83" t="str">
        <f t="shared" si="3"/>
        <v/>
      </c>
      <c r="W31" s="83" t="str">
        <f>IF(E31="","",IF(H31&lt;S31+T31,"Error in Areas",IF(P31&lt;&gt;'G-1 All Habitats'!$X$3,H31-S31-T31,IF(AND(P31='G-1 All Habitats'!$X$3,Y31="Yes"),"Unacceptable Loss",IF(AND(P31='G-1 All Habitats'!$X$3,Y31="No"),AC31,IF(AND(P31='G-1 All Habitats'!$X$3,Y31=""),AC31,IF(AND(P31='G-1 All Habitats'!$X$3,AC31="None",AC31),IF(AND(P31='G-1 All Habitats'!$X$3,AC31&gt;0),H31-S31-T31))))))))</f>
        <v/>
      </c>
      <c r="X31" s="354" t="str">
        <f>IFERROR(IF(H31="","",IF(H31-S31-T31=0&lt;0,"Error in Areas",IF(S31+T31&gt;H31,"Error in Areas",IF(AND(P31='G-1 All Habitats'!$X$3,Y31="Yes"),"Alternative Compensation",IF(W31=0,0,IF(P31='G-1 All Habitats'!$X$3,"Unacceptable Loss",Q31-U31-V31)))))),"Check Data")</f>
        <v/>
      </c>
      <c r="Y31" s="82"/>
      <c r="Z31" s="182"/>
      <c r="AA31" s="183"/>
      <c r="AC31" s="371" t="str">
        <f>IF(P31="","",IF(P31='G-1 All Habitats'!$X$3,H31-S31-T31,"None"))</f>
        <v/>
      </c>
      <c r="AD31" s="372" t="str">
        <f t="shared" si="4"/>
        <v/>
      </c>
      <c r="AF31" s="188" t="str">
        <f t="shared" si="0"/>
        <v/>
      </c>
      <c r="AG31" s="188" t="str">
        <f t="shared" si="1"/>
        <v/>
      </c>
      <c r="AH31" s="188" t="str">
        <f>IF(I31="","",IF(#REF!&gt;0,TRUE,FALSE))</f>
        <v/>
      </c>
      <c r="AI31" s="188">
        <v>21</v>
      </c>
      <c r="AJ31" s="188"/>
      <c r="AK31" s="188" t="str">
        <f t="array" ref="AK31">IFERROR(INDEX($AI$11:$AI$259, MATCH(0, IF(TRUE=$AF$11:$AF$259, COUNTIF($AK$10:$AK30, $AI$11:$AI$259), ""), 0)),"")</f>
        <v/>
      </c>
      <c r="AL31" s="188" t="str">
        <f t="array" ref="AL31">IFERROR(INDEX($AI$11:$AI$259, MATCH(0, IF(TRUE=$AG$11:$AG$259, COUNTIF($AL$10:$AL30, $AI$11:$AI$259), ""), 0)),"")</f>
        <v/>
      </c>
      <c r="AM31" s="188" t="str">
        <f t="array" ref="AM31">IFERROR(INDEX($AI$11:$AI$259, MATCH(0, IF(TRUE=$AH$11:$AH$259, COUNTIF($AM$10:$AM30, $AI$11:$AI$259), ""), 0)),"")</f>
        <v/>
      </c>
      <c r="AQ31" s="35">
        <f t="shared" si="5"/>
        <v>0</v>
      </c>
    </row>
    <row r="32" spans="1:43" x14ac:dyDescent="0.25">
      <c r="A32" s="35" t="str">
        <f>IFERROR(INDEX('G-1 All Habitats'!$AG$3:$AG$15,MATCH(E32,'G-1 All Habitats'!$AF$3:$AF$15,0)),"")</f>
        <v/>
      </c>
      <c r="B32" s="35" t="str">
        <f>IFERROR(INDEX('G-8 Condition Look up'!$I$4:$I$131,MATCH(G32,'G-8 Condition Look up'!$A$4:$A$131,0)),"")</f>
        <v/>
      </c>
      <c r="D32" s="168">
        <v>22</v>
      </c>
      <c r="E32" s="275"/>
      <c r="F32" s="275"/>
      <c r="G32" s="370" t="str">
        <f>IFERROR(INDEX('G-1 All Habitats'!$B$3:$B$130,MATCH(F32,'G-1 All Habitats'!$A$3:$A$130,0)),"")</f>
        <v/>
      </c>
      <c r="H32" s="213"/>
      <c r="I32" s="171" t="str">
        <f>IF(G32="","",VLOOKUP(G32,'G-1 All Habitats'!$B$2:$M$130,10,FALSE))</f>
        <v/>
      </c>
      <c r="J32" s="172" t="str">
        <f>IFERROR(VLOOKUP(I32,'G-1 All Habitats'!$V$3:$W$7,2,FALSE),"")</f>
        <v/>
      </c>
      <c r="K32" s="173"/>
      <c r="L32" s="172" t="str">
        <f>IFERROR(INDEX('G-8 Condition Look up'!$A$3:$H$131,MATCH(G32,'G-8 Condition Look up'!$A$3:$A$131,0),MATCH(K32,'G-8 Condition Look up'!$A$3:$H$3,0)),"")</f>
        <v/>
      </c>
      <c r="M32" s="186"/>
      <c r="N32" s="175" t="str">
        <f>IF(M32="","",IF(VLOOKUP(M32,'G-3 Multipliers'!$L$3:$N$6,2,FALSE)=0,"Spatial Data Missing",VLOOKUP(M32,'G-3 Multipliers'!$L$3:$N$6,2,FALSE)))</f>
        <v/>
      </c>
      <c r="O32" s="176" t="str">
        <f>IF(M32="","",IF(VLOOKUP(M32,'G-3 Multipliers'!$L$3:$N$6,3,FALSE)=0,"Spatial Data Missing",VLOOKUP(M32,'G-3 Multipliers'!$L$3:$N$6,3,FALSE)))</f>
        <v/>
      </c>
      <c r="P32" s="177" t="str">
        <f>IFERROR(VLOOKUP(G32,'G-1 All Habitats'!$B$2:$M$130,12,FALSE),"")</f>
        <v/>
      </c>
      <c r="Q32" s="81" t="str">
        <f>IFERROR(IF(P32="","",IF(AND(P32='G-1 All Habitats'!$X$3,T32&gt;0),U32+V32,IF(AND(P32='G-1 All Habitats'!$X$3,S32&gt;0),U32+V32,IF(AND(P32='G-1 All Habitats'!$X$3,AC32&gt;0),"Any Loss Unacceptable",IF(AND(P32='G-1 All Habitats'!$X$3,W32&gt;0),"Any Loss Unacceptable",H32*J32*L32*O32))))),"Check Data")</f>
        <v/>
      </c>
      <c r="R32" s="55"/>
      <c r="S32" s="79"/>
      <c r="T32" s="82"/>
      <c r="U32" s="83" t="str">
        <f t="shared" si="2"/>
        <v/>
      </c>
      <c r="V32" s="83" t="str">
        <f t="shared" si="3"/>
        <v/>
      </c>
      <c r="W32" s="83" t="str">
        <f>IF(E32="","",IF(H32&lt;S32+T32,"Error in Areas",IF(P32&lt;&gt;'G-1 All Habitats'!$X$3,H32-S32-T32,IF(AND(P32='G-1 All Habitats'!$X$3,Y32="Yes"),"Unacceptable Loss",IF(AND(P32='G-1 All Habitats'!$X$3,Y32="No"),AC32,IF(AND(P32='G-1 All Habitats'!$X$3,Y32=""),AC32,IF(AND(P32='G-1 All Habitats'!$X$3,AC32="None",AC32),IF(AND(P32='G-1 All Habitats'!$X$3,AC32&gt;0),H32-S32-T32))))))))</f>
        <v/>
      </c>
      <c r="X32" s="354" t="str">
        <f>IFERROR(IF(H32="","",IF(H32-S32-T32=0&lt;0,"Error in Areas",IF(S32+T32&gt;H32,"Error in Areas",IF(AND(P32='G-1 All Habitats'!$X$3,Y32="Yes"),"Alternative Compensation",IF(W32=0,0,IF(P32='G-1 All Habitats'!$X$3,"Unacceptable Loss",Q32-U32-V32)))))),"Check Data")</f>
        <v/>
      </c>
      <c r="Y32" s="82"/>
      <c r="Z32" s="182"/>
      <c r="AA32" s="183"/>
      <c r="AC32" s="371" t="str">
        <f>IF(P32="","",IF(P32='G-1 All Habitats'!$X$3,H32-S32-T32,"None"))</f>
        <v/>
      </c>
      <c r="AD32" s="372" t="str">
        <f t="shared" si="4"/>
        <v/>
      </c>
      <c r="AF32" s="188" t="str">
        <f t="shared" si="0"/>
        <v/>
      </c>
      <c r="AG32" s="188" t="str">
        <f t="shared" si="1"/>
        <v/>
      </c>
      <c r="AH32" s="188" t="str">
        <f>IF(I32="","",IF(#REF!&gt;0,TRUE,FALSE))</f>
        <v/>
      </c>
      <c r="AI32" s="188">
        <v>22</v>
      </c>
      <c r="AJ32" s="188"/>
      <c r="AK32" s="188" t="str">
        <f t="array" ref="AK32">IFERROR(INDEX($AI$11:$AI$259, MATCH(0, IF(TRUE=$AF$11:$AF$259, COUNTIF($AK$10:$AK31, $AI$11:$AI$259), ""), 0)),"")</f>
        <v/>
      </c>
      <c r="AL32" s="188" t="str">
        <f t="array" ref="AL32">IFERROR(INDEX($AI$11:$AI$259, MATCH(0, IF(TRUE=$AG$11:$AG$259, COUNTIF($AL$10:$AL31, $AI$11:$AI$259), ""), 0)),"")</f>
        <v/>
      </c>
      <c r="AM32" s="188" t="str">
        <f t="array" ref="AM32">IFERROR(INDEX($AI$11:$AI$259, MATCH(0, IF(TRUE=$AH$11:$AH$259, COUNTIF($AM$10:$AM31, $AI$11:$AI$259), ""), 0)),"")</f>
        <v/>
      </c>
      <c r="AQ32" s="35">
        <f t="shared" si="5"/>
        <v>0</v>
      </c>
    </row>
    <row r="33" spans="1:43" x14ac:dyDescent="0.25">
      <c r="A33" s="35" t="str">
        <f>IFERROR(INDEX('G-1 All Habitats'!$AG$3:$AG$15,MATCH(E33,'G-1 All Habitats'!$AF$3:$AF$15,0)),"")</f>
        <v/>
      </c>
      <c r="B33" s="35" t="str">
        <f>IFERROR(INDEX('G-8 Condition Look up'!$I$4:$I$131,MATCH(G33,'G-8 Condition Look up'!$A$4:$A$131,0)),"")</f>
        <v/>
      </c>
      <c r="D33" s="168">
        <v>23</v>
      </c>
      <c r="E33" s="275"/>
      <c r="F33" s="275"/>
      <c r="G33" s="370" t="str">
        <f>IFERROR(INDEX('G-1 All Habitats'!$B$3:$B$130,MATCH(F33,'G-1 All Habitats'!$A$3:$A$130,0)),"")</f>
        <v/>
      </c>
      <c r="H33" s="213"/>
      <c r="I33" s="171" t="str">
        <f>IF(G33="","",VLOOKUP(G33,'G-1 All Habitats'!$B$2:$M$130,10,FALSE))</f>
        <v/>
      </c>
      <c r="J33" s="172" t="str">
        <f>IFERROR(VLOOKUP(I33,'G-1 All Habitats'!$V$3:$W$7,2,FALSE),"")</f>
        <v/>
      </c>
      <c r="K33" s="173"/>
      <c r="L33" s="172" t="str">
        <f>IFERROR(INDEX('G-8 Condition Look up'!$A$3:$H$131,MATCH(G33,'G-8 Condition Look up'!$A$3:$A$131,0),MATCH(K33,'G-8 Condition Look up'!$A$3:$H$3,0)),"")</f>
        <v/>
      </c>
      <c r="M33" s="186"/>
      <c r="N33" s="175" t="str">
        <f>IF(M33="","",IF(VLOOKUP(M33,'G-3 Multipliers'!$L$3:$N$6,2,FALSE)=0,"Spatial Data Missing",VLOOKUP(M33,'G-3 Multipliers'!$L$3:$N$6,2,FALSE)))</f>
        <v/>
      </c>
      <c r="O33" s="176" t="str">
        <f>IF(M33="","",IF(VLOOKUP(M33,'G-3 Multipliers'!$L$3:$N$6,3,FALSE)=0,"Spatial Data Missing",VLOOKUP(M33,'G-3 Multipliers'!$L$3:$N$6,3,FALSE)))</f>
        <v/>
      </c>
      <c r="P33" s="177" t="str">
        <f>IFERROR(VLOOKUP(G33,'G-1 All Habitats'!$B$2:$M$130,12,FALSE),"")</f>
        <v/>
      </c>
      <c r="Q33" s="81" t="str">
        <f>IFERROR(IF(P33="","",IF(AND(P33='G-1 All Habitats'!$X$3,T33&gt;0),U33+V33,IF(AND(P33='G-1 All Habitats'!$X$3,S33&gt;0),U33+V33,IF(AND(P33='G-1 All Habitats'!$X$3,AC33&gt;0),"Any Loss Unacceptable",IF(AND(P33='G-1 All Habitats'!$X$3,W33&gt;0),"Any Loss Unacceptable",H33*J33*L33*O33))))),"Check Data")</f>
        <v/>
      </c>
      <c r="R33" s="55"/>
      <c r="S33" s="79"/>
      <c r="T33" s="82"/>
      <c r="U33" s="83" t="str">
        <f t="shared" si="2"/>
        <v/>
      </c>
      <c r="V33" s="83" t="str">
        <f t="shared" si="3"/>
        <v/>
      </c>
      <c r="W33" s="83" t="str">
        <f>IF(E33="","",IF(H33&lt;S33+T33,"Error in Areas",IF(P33&lt;&gt;'G-1 All Habitats'!$X$3,H33-S33-T33,IF(AND(P33='G-1 All Habitats'!$X$3,Y33="Yes"),"Unacceptable Loss",IF(AND(P33='G-1 All Habitats'!$X$3,Y33="No"),AC33,IF(AND(P33='G-1 All Habitats'!$X$3,Y33=""),AC33,IF(AND(P33='G-1 All Habitats'!$X$3,AC33="None",AC33),IF(AND(P33='G-1 All Habitats'!$X$3,AC33&gt;0),H33-S33-T33))))))))</f>
        <v/>
      </c>
      <c r="X33" s="354" t="str">
        <f>IFERROR(IF(H33="","",IF(H33-S33-T33=0&lt;0,"Error in Areas",IF(S33+T33&gt;H33,"Error in Areas",IF(AND(P33='G-1 All Habitats'!$X$3,Y33="Yes"),"Alternative Compensation",IF(W33=0,0,IF(P33='G-1 All Habitats'!$X$3,"Unacceptable Loss",Q33-U33-V33)))))),"Check Data")</f>
        <v/>
      </c>
      <c r="Y33" s="82"/>
      <c r="Z33" s="182"/>
      <c r="AA33" s="183"/>
      <c r="AC33" s="371" t="str">
        <f>IF(P33="","",IF(P33='G-1 All Habitats'!$X$3,H33-S33-T33,"None"))</f>
        <v/>
      </c>
      <c r="AD33" s="372" t="str">
        <f t="shared" si="4"/>
        <v/>
      </c>
      <c r="AF33" s="188" t="str">
        <f t="shared" si="0"/>
        <v/>
      </c>
      <c r="AG33" s="188" t="str">
        <f t="shared" si="1"/>
        <v/>
      </c>
      <c r="AH33" s="188" t="str">
        <f>IF(I33="","",IF(#REF!&gt;0,TRUE,FALSE))</f>
        <v/>
      </c>
      <c r="AI33" s="188">
        <v>23</v>
      </c>
      <c r="AJ33" s="188"/>
      <c r="AK33" s="188" t="str">
        <f t="array" ref="AK33">IFERROR(INDEX($AI$11:$AI$259, MATCH(0, IF(TRUE=$AF$11:$AF$259, COUNTIF($AK$10:$AK32, $AI$11:$AI$259), ""), 0)),"")</f>
        <v/>
      </c>
      <c r="AL33" s="188" t="str">
        <f t="array" ref="AL33">IFERROR(INDEX($AI$11:$AI$259, MATCH(0, IF(TRUE=$AG$11:$AG$259, COUNTIF($AL$10:$AL32, $AI$11:$AI$259), ""), 0)),"")</f>
        <v/>
      </c>
      <c r="AM33" s="188" t="str">
        <f t="array" ref="AM33">IFERROR(INDEX($AI$11:$AI$259, MATCH(0, IF(TRUE=$AH$11:$AH$259, COUNTIF($AM$10:$AM32, $AI$11:$AI$259), ""), 0)),"")</f>
        <v/>
      </c>
      <c r="AQ33" s="35">
        <f t="shared" si="5"/>
        <v>0</v>
      </c>
    </row>
    <row r="34" spans="1:43" x14ac:dyDescent="0.25">
      <c r="A34" s="35" t="str">
        <f>IFERROR(INDEX('G-1 All Habitats'!$AG$3:$AG$15,MATCH(E34,'G-1 All Habitats'!$AF$3:$AF$15,0)),"")</f>
        <v/>
      </c>
      <c r="B34" s="35" t="str">
        <f>IFERROR(INDEX('G-8 Condition Look up'!$I$4:$I$131,MATCH(G34,'G-8 Condition Look up'!$A$4:$A$131,0)),"")</f>
        <v/>
      </c>
      <c r="D34" s="168">
        <v>24</v>
      </c>
      <c r="E34" s="275"/>
      <c r="F34" s="275"/>
      <c r="G34" s="370" t="str">
        <f>IFERROR(INDEX('G-1 All Habitats'!$B$3:$B$130,MATCH(F34,'G-1 All Habitats'!$A$3:$A$130,0)),"")</f>
        <v/>
      </c>
      <c r="H34" s="213"/>
      <c r="I34" s="171" t="str">
        <f>IF(G34="","",VLOOKUP(G34,'G-1 All Habitats'!$B$2:$M$130,10,FALSE))</f>
        <v/>
      </c>
      <c r="J34" s="172" t="str">
        <f>IFERROR(VLOOKUP(I34,'G-1 All Habitats'!$V$3:$W$7,2,FALSE),"")</f>
        <v/>
      </c>
      <c r="K34" s="173"/>
      <c r="L34" s="172" t="str">
        <f>IFERROR(INDEX('G-8 Condition Look up'!$A$3:$H$131,MATCH(G34,'G-8 Condition Look up'!$A$3:$A$131,0),MATCH(K34,'G-8 Condition Look up'!$A$3:$H$3,0)),"")</f>
        <v/>
      </c>
      <c r="M34" s="186"/>
      <c r="N34" s="175" t="str">
        <f>IF(M34="","",IF(VLOOKUP(M34,'G-3 Multipliers'!$L$3:$N$6,2,FALSE)=0,"Spatial Data Missing",VLOOKUP(M34,'G-3 Multipliers'!$L$3:$N$6,2,FALSE)))</f>
        <v/>
      </c>
      <c r="O34" s="176" t="str">
        <f>IF(M34="","",IF(VLOOKUP(M34,'G-3 Multipliers'!$L$3:$N$6,3,FALSE)=0,"Spatial Data Missing",VLOOKUP(M34,'G-3 Multipliers'!$L$3:$N$6,3,FALSE)))</f>
        <v/>
      </c>
      <c r="P34" s="177" t="str">
        <f>IFERROR(VLOOKUP(G34,'G-1 All Habitats'!$B$2:$M$130,12,FALSE),"")</f>
        <v/>
      </c>
      <c r="Q34" s="81" t="str">
        <f>IFERROR(IF(P34="","",IF(AND(P34='G-1 All Habitats'!$X$3,T34&gt;0),U34+V34,IF(AND(P34='G-1 All Habitats'!$X$3,S34&gt;0),U34+V34,IF(AND(P34='G-1 All Habitats'!$X$3,AC34&gt;0),"Any Loss Unacceptable",IF(AND(P34='G-1 All Habitats'!$X$3,W34&gt;0),"Any Loss Unacceptable",H34*J34*L34*O34))))),"Check Data")</f>
        <v/>
      </c>
      <c r="R34" s="55"/>
      <c r="S34" s="79"/>
      <c r="T34" s="82"/>
      <c r="U34" s="83" t="str">
        <f t="shared" si="2"/>
        <v/>
      </c>
      <c r="V34" s="83" t="str">
        <f t="shared" si="3"/>
        <v/>
      </c>
      <c r="W34" s="83" t="str">
        <f>IF(E34="","",IF(H34&lt;S34+T34,"Error in Areas",IF(P34&lt;&gt;'G-1 All Habitats'!$X$3,H34-S34-T34,IF(AND(P34='G-1 All Habitats'!$X$3,Y34="Yes"),"Unacceptable Loss",IF(AND(P34='G-1 All Habitats'!$X$3,Y34="No"),AC34,IF(AND(P34='G-1 All Habitats'!$X$3,Y34=""),AC34,IF(AND(P34='G-1 All Habitats'!$X$3,AC34="None",AC34),IF(AND(P34='G-1 All Habitats'!$X$3,AC34&gt;0),H34-S34-T34))))))))</f>
        <v/>
      </c>
      <c r="X34" s="354" t="str">
        <f>IFERROR(IF(H34="","",IF(H34-S34-T34=0&lt;0,"Error in Areas",IF(S34+T34&gt;H34,"Error in Areas",IF(AND(P34='G-1 All Habitats'!$X$3,Y34="Yes"),"Alternative Compensation",IF(W34=0,0,IF(P34='G-1 All Habitats'!$X$3,"Unacceptable Loss",Q34-U34-V34)))))),"Check Data")</f>
        <v/>
      </c>
      <c r="Y34" s="82"/>
      <c r="Z34" s="182"/>
      <c r="AA34" s="183"/>
      <c r="AC34" s="371" t="str">
        <f>IF(P34="","",IF(P34='G-1 All Habitats'!$X$3,H34-S34-T34,"None"))</f>
        <v/>
      </c>
      <c r="AD34" s="372" t="str">
        <f t="shared" si="4"/>
        <v/>
      </c>
      <c r="AF34" s="188" t="str">
        <f t="shared" si="0"/>
        <v/>
      </c>
      <c r="AG34" s="188" t="str">
        <f t="shared" si="1"/>
        <v/>
      </c>
      <c r="AH34" s="188" t="str">
        <f>IF(I34="","",IF(#REF!&gt;0,TRUE,FALSE))</f>
        <v/>
      </c>
      <c r="AI34" s="188">
        <v>24</v>
      </c>
      <c r="AJ34" s="188"/>
      <c r="AK34" s="188" t="str">
        <f t="array" ref="AK34">IFERROR(INDEX($AI$11:$AI$259, MATCH(0, IF(TRUE=$AF$11:$AF$259, COUNTIF($AK$10:$AK33, $AI$11:$AI$259), ""), 0)),"")</f>
        <v/>
      </c>
      <c r="AL34" s="188" t="str">
        <f t="array" ref="AL34">IFERROR(INDEX($AI$11:$AI$259, MATCH(0, IF(TRUE=$AG$11:$AG$259, COUNTIF($AL$10:$AL33, $AI$11:$AI$259), ""), 0)),"")</f>
        <v/>
      </c>
      <c r="AM34" s="188" t="str">
        <f t="array" ref="AM34">IFERROR(INDEX($AI$11:$AI$259, MATCH(0, IF(TRUE=$AH$11:$AH$259, COUNTIF($AM$10:$AM33, $AI$11:$AI$259), ""), 0)),"")</f>
        <v/>
      </c>
      <c r="AQ34" s="35">
        <f t="shared" si="5"/>
        <v>0</v>
      </c>
    </row>
    <row r="35" spans="1:43" x14ac:dyDescent="0.25">
      <c r="A35" s="35" t="str">
        <f>IFERROR(INDEX('G-1 All Habitats'!$AG$3:$AG$15,MATCH(E35,'G-1 All Habitats'!$AF$3:$AF$15,0)),"")</f>
        <v/>
      </c>
      <c r="B35" s="35" t="str">
        <f>IFERROR(INDEX('G-8 Condition Look up'!$I$4:$I$131,MATCH(G35,'G-8 Condition Look up'!$A$4:$A$131,0)),"")</f>
        <v/>
      </c>
      <c r="D35" s="168">
        <v>25</v>
      </c>
      <c r="E35" s="275"/>
      <c r="F35" s="275"/>
      <c r="G35" s="370" t="str">
        <f>IFERROR(INDEX('G-1 All Habitats'!$B$3:$B$130,MATCH(F35,'G-1 All Habitats'!$A$3:$A$130,0)),"")</f>
        <v/>
      </c>
      <c r="H35" s="213"/>
      <c r="I35" s="171" t="str">
        <f>IF(G35="","",VLOOKUP(G35,'G-1 All Habitats'!$B$2:$M$130,10,FALSE))</f>
        <v/>
      </c>
      <c r="J35" s="172" t="str">
        <f>IFERROR(VLOOKUP(I35,'G-1 All Habitats'!$V$3:$W$7,2,FALSE),"")</f>
        <v/>
      </c>
      <c r="K35" s="173"/>
      <c r="L35" s="172" t="str">
        <f>IFERROR(INDEX('G-8 Condition Look up'!$A$3:$H$131,MATCH(G35,'G-8 Condition Look up'!$A$3:$A$131,0),MATCH(K35,'G-8 Condition Look up'!$A$3:$H$3,0)),"")</f>
        <v/>
      </c>
      <c r="M35" s="186"/>
      <c r="N35" s="175" t="str">
        <f>IF(M35="","",IF(VLOOKUP(M35,'G-3 Multipliers'!$L$3:$N$6,2,FALSE)=0,"Spatial Data Missing",VLOOKUP(M35,'G-3 Multipliers'!$L$3:$N$6,2,FALSE)))</f>
        <v/>
      </c>
      <c r="O35" s="176" t="str">
        <f>IF(M35="","",IF(VLOOKUP(M35,'G-3 Multipliers'!$L$3:$N$6,3,FALSE)=0,"Spatial Data Missing",VLOOKUP(M35,'G-3 Multipliers'!$L$3:$N$6,3,FALSE)))</f>
        <v/>
      </c>
      <c r="P35" s="177" t="str">
        <f>IFERROR(VLOOKUP(G35,'G-1 All Habitats'!$B$2:$M$130,12,FALSE),"")</f>
        <v/>
      </c>
      <c r="Q35" s="81" t="str">
        <f>IFERROR(IF(P35="","",IF(AND(P35='G-1 All Habitats'!$X$3,T35&gt;0),U35+V35,IF(AND(P35='G-1 All Habitats'!$X$3,S35&gt;0),U35+V35,IF(AND(P35='G-1 All Habitats'!$X$3,AC35&gt;0),"Any Loss Unacceptable",IF(AND(P35='G-1 All Habitats'!$X$3,W35&gt;0),"Any Loss Unacceptable",H35*J35*L35*O35))))),"Check Data")</f>
        <v/>
      </c>
      <c r="R35" s="55"/>
      <c r="S35" s="79"/>
      <c r="T35" s="82"/>
      <c r="U35" s="83" t="str">
        <f t="shared" si="2"/>
        <v/>
      </c>
      <c r="V35" s="83" t="str">
        <f t="shared" si="3"/>
        <v/>
      </c>
      <c r="W35" s="83" t="str">
        <f>IF(E35="","",IF(H35&lt;S35+T35,"Error in Areas",IF(P35&lt;&gt;'G-1 All Habitats'!$X$3,H35-S35-T35,IF(AND(P35='G-1 All Habitats'!$X$3,Y35="Yes"),"Unacceptable Loss",IF(AND(P35='G-1 All Habitats'!$X$3,Y35="No"),AC35,IF(AND(P35='G-1 All Habitats'!$X$3,Y35=""),AC35,IF(AND(P35='G-1 All Habitats'!$X$3,AC35="None",AC35),IF(AND(P35='G-1 All Habitats'!$X$3,AC35&gt;0),H35-S35-T35))))))))</f>
        <v/>
      </c>
      <c r="X35" s="354" t="str">
        <f>IFERROR(IF(H35="","",IF(H35-S35-T35=0&lt;0,"Error in Areas",IF(S35+T35&gt;H35,"Error in Areas",IF(AND(P35='G-1 All Habitats'!$X$3,Y35="Yes"),"Alternative Compensation",IF(W35=0,0,IF(P35='G-1 All Habitats'!$X$3,"Unacceptable Loss",Q35-U35-V35)))))),"Check Data")</f>
        <v/>
      </c>
      <c r="Y35" s="82"/>
      <c r="Z35" s="182"/>
      <c r="AA35" s="183"/>
      <c r="AC35" s="371" t="str">
        <f>IF(P35="","",IF(P35='G-1 All Habitats'!$X$3,H35-S35-T35,"None"))</f>
        <v/>
      </c>
      <c r="AD35" s="372" t="str">
        <f t="shared" si="4"/>
        <v/>
      </c>
      <c r="AF35" s="188" t="str">
        <f t="shared" si="0"/>
        <v/>
      </c>
      <c r="AG35" s="188" t="str">
        <f t="shared" si="1"/>
        <v/>
      </c>
      <c r="AH35" s="188" t="str">
        <f>IF(I35="","",IF(#REF!&gt;0,TRUE,FALSE))</f>
        <v/>
      </c>
      <c r="AI35" s="188">
        <v>25</v>
      </c>
      <c r="AJ35" s="188"/>
      <c r="AK35" s="188" t="str">
        <f t="array" ref="AK35">IFERROR(INDEX($AI$11:$AI$259, MATCH(0, IF(TRUE=$AF$11:$AF$259, COUNTIF($AK$10:$AK34, $AI$11:$AI$259), ""), 0)),"")</f>
        <v/>
      </c>
      <c r="AL35" s="188" t="str">
        <f t="array" ref="AL35">IFERROR(INDEX($AI$11:$AI$259, MATCH(0, IF(TRUE=$AG$11:$AG$259, COUNTIF($AL$10:$AL34, $AI$11:$AI$259), ""), 0)),"")</f>
        <v/>
      </c>
      <c r="AM35" s="188" t="str">
        <f t="array" ref="AM35">IFERROR(INDEX($AI$11:$AI$259, MATCH(0, IF(TRUE=$AH$11:$AH$259, COUNTIF($AM$10:$AM34, $AI$11:$AI$259), ""), 0)),"")</f>
        <v/>
      </c>
      <c r="AQ35" s="35">
        <f t="shared" si="5"/>
        <v>0</v>
      </c>
    </row>
    <row r="36" spans="1:43" x14ac:dyDescent="0.25">
      <c r="A36" s="35" t="str">
        <f>IFERROR(INDEX('G-1 All Habitats'!$AG$3:$AG$15,MATCH(E36,'G-1 All Habitats'!$AF$3:$AF$15,0)),"")</f>
        <v/>
      </c>
      <c r="B36" s="35" t="str">
        <f>IFERROR(INDEX('G-8 Condition Look up'!$I$4:$I$131,MATCH(G36,'G-8 Condition Look up'!$A$4:$A$131,0)),"")</f>
        <v/>
      </c>
      <c r="D36" s="168">
        <v>26</v>
      </c>
      <c r="E36" s="275"/>
      <c r="F36" s="275"/>
      <c r="G36" s="370" t="str">
        <f>IFERROR(INDEX('G-1 All Habitats'!$B$3:$B$130,MATCH(F36,'G-1 All Habitats'!$A$3:$A$130,0)),"")</f>
        <v/>
      </c>
      <c r="H36" s="213"/>
      <c r="I36" s="171" t="str">
        <f>IF(G36="","",VLOOKUP(G36,'G-1 All Habitats'!$B$2:$M$130,10,FALSE))</f>
        <v/>
      </c>
      <c r="J36" s="172" t="str">
        <f>IFERROR(VLOOKUP(I36,'G-1 All Habitats'!$V$3:$W$7,2,FALSE),"")</f>
        <v/>
      </c>
      <c r="K36" s="173"/>
      <c r="L36" s="172" t="str">
        <f>IFERROR(INDEX('G-8 Condition Look up'!$A$3:$H$131,MATCH(G36,'G-8 Condition Look up'!$A$3:$A$131,0),MATCH(K36,'G-8 Condition Look up'!$A$3:$H$3,0)),"")</f>
        <v/>
      </c>
      <c r="M36" s="186"/>
      <c r="N36" s="175" t="str">
        <f>IF(M36="","",IF(VLOOKUP(M36,'G-3 Multipliers'!$L$3:$N$6,2,FALSE)=0,"Spatial Data Missing",VLOOKUP(M36,'G-3 Multipliers'!$L$3:$N$6,2,FALSE)))</f>
        <v/>
      </c>
      <c r="O36" s="176" t="str">
        <f>IF(M36="","",IF(VLOOKUP(M36,'G-3 Multipliers'!$L$3:$N$6,3,FALSE)=0,"Spatial Data Missing",VLOOKUP(M36,'G-3 Multipliers'!$L$3:$N$6,3,FALSE)))</f>
        <v/>
      </c>
      <c r="P36" s="177" t="str">
        <f>IFERROR(VLOOKUP(G36,'G-1 All Habitats'!$B$2:$M$130,12,FALSE),"")</f>
        <v/>
      </c>
      <c r="Q36" s="81" t="str">
        <f>IFERROR(IF(P36="","",IF(AND(P36='G-1 All Habitats'!$X$3,T36&gt;0),U36+V36,IF(AND(P36='G-1 All Habitats'!$X$3,S36&gt;0),U36+V36,IF(AND(P36='G-1 All Habitats'!$X$3,AC36&gt;0),"Any Loss Unacceptable",IF(AND(P36='G-1 All Habitats'!$X$3,W36&gt;0),"Any Loss Unacceptable",H36*J36*L36*O36))))),"Check Data")</f>
        <v/>
      </c>
      <c r="R36" s="55"/>
      <c r="S36" s="79"/>
      <c r="T36" s="82"/>
      <c r="U36" s="83" t="str">
        <f t="shared" si="2"/>
        <v/>
      </c>
      <c r="V36" s="83" t="str">
        <f t="shared" si="3"/>
        <v/>
      </c>
      <c r="W36" s="83" t="str">
        <f>IF(E36="","",IF(H36&lt;S36+T36,"Error in Areas",IF(P36&lt;&gt;'G-1 All Habitats'!$X$3,H36-S36-T36,IF(AND(P36='G-1 All Habitats'!$X$3,Y36="Yes"),"Unacceptable Loss",IF(AND(P36='G-1 All Habitats'!$X$3,Y36="No"),AC36,IF(AND(P36='G-1 All Habitats'!$X$3,Y36=""),AC36,IF(AND(P36='G-1 All Habitats'!$X$3,AC36="None",AC36),IF(AND(P36='G-1 All Habitats'!$X$3,AC36&gt;0),H36-S36-T36))))))))</f>
        <v/>
      </c>
      <c r="X36" s="354" t="str">
        <f>IFERROR(IF(H36="","",IF(H36-S36-T36=0&lt;0,"Error in Areas",IF(S36+T36&gt;H36,"Error in Areas",IF(AND(P36='G-1 All Habitats'!$X$3,Y36="Yes"),"Alternative Compensation",IF(W36=0,0,IF(P36='G-1 All Habitats'!$X$3,"Unacceptable Loss",Q36-U36-V36)))))),"Check Data")</f>
        <v/>
      </c>
      <c r="Y36" s="82"/>
      <c r="Z36" s="182"/>
      <c r="AA36" s="183"/>
      <c r="AC36" s="371" t="str">
        <f>IF(P36="","",IF(P36='G-1 All Habitats'!$X$3,H36-S36-T36,"None"))</f>
        <v/>
      </c>
      <c r="AD36" s="372" t="str">
        <f t="shared" si="4"/>
        <v/>
      </c>
      <c r="AF36" s="188" t="str">
        <f t="shared" si="0"/>
        <v/>
      </c>
      <c r="AG36" s="188" t="str">
        <f t="shared" si="1"/>
        <v/>
      </c>
      <c r="AH36" s="188" t="str">
        <f>IF(I36="","",IF(#REF!&gt;0,TRUE,FALSE))</f>
        <v/>
      </c>
      <c r="AI36" s="188">
        <v>26</v>
      </c>
      <c r="AJ36" s="188"/>
      <c r="AK36" s="188" t="str">
        <f t="array" ref="AK36">IFERROR(INDEX($AI$11:$AI$259, MATCH(0, IF(TRUE=$AF$11:$AF$259, COUNTIF($AK$10:$AK35, $AI$11:$AI$259), ""), 0)),"")</f>
        <v/>
      </c>
      <c r="AL36" s="188" t="str">
        <f t="array" ref="AL36">IFERROR(INDEX($AI$11:$AI$259, MATCH(0, IF(TRUE=$AG$11:$AG$259, COUNTIF($AL$10:$AL35, $AI$11:$AI$259), ""), 0)),"")</f>
        <v/>
      </c>
      <c r="AM36" s="188" t="str">
        <f t="array" ref="AM36">IFERROR(INDEX($AI$11:$AI$259, MATCH(0, IF(TRUE=$AH$11:$AH$259, COUNTIF($AM$10:$AM35, $AI$11:$AI$259), ""), 0)),"")</f>
        <v/>
      </c>
      <c r="AQ36" s="35">
        <f t="shared" si="5"/>
        <v>0</v>
      </c>
    </row>
    <row r="37" spans="1:43" x14ac:dyDescent="0.25">
      <c r="A37" s="35" t="str">
        <f>IFERROR(INDEX('G-1 All Habitats'!$AG$3:$AG$15,MATCH(E37,'G-1 All Habitats'!$AF$3:$AF$15,0)),"")</f>
        <v/>
      </c>
      <c r="B37" s="35" t="str">
        <f>IFERROR(INDEX('G-8 Condition Look up'!$I$4:$I$131,MATCH(G37,'G-8 Condition Look up'!$A$4:$A$131,0)),"")</f>
        <v/>
      </c>
      <c r="D37" s="168">
        <v>27</v>
      </c>
      <c r="E37" s="275"/>
      <c r="F37" s="275"/>
      <c r="G37" s="370" t="str">
        <f>IFERROR(INDEX('G-1 All Habitats'!$B$3:$B$130,MATCH(F37,'G-1 All Habitats'!$A$3:$A$130,0)),"")</f>
        <v/>
      </c>
      <c r="H37" s="213"/>
      <c r="I37" s="171" t="str">
        <f>IF(G37="","",VLOOKUP(G37,'G-1 All Habitats'!$B$2:$M$130,10,FALSE))</f>
        <v/>
      </c>
      <c r="J37" s="172" t="str">
        <f>IFERROR(VLOOKUP(I37,'G-1 All Habitats'!$V$3:$W$7,2,FALSE),"")</f>
        <v/>
      </c>
      <c r="K37" s="173"/>
      <c r="L37" s="172" t="str">
        <f>IFERROR(INDEX('G-8 Condition Look up'!$A$3:$H$131,MATCH(G37,'G-8 Condition Look up'!$A$3:$A$131,0),MATCH(K37,'G-8 Condition Look up'!$A$3:$H$3,0)),"")</f>
        <v/>
      </c>
      <c r="M37" s="186"/>
      <c r="N37" s="175" t="str">
        <f>IF(M37="","",IF(VLOOKUP(M37,'G-3 Multipliers'!$L$3:$N$6,2,FALSE)=0,"Spatial Data Missing",VLOOKUP(M37,'G-3 Multipliers'!$L$3:$N$6,2,FALSE)))</f>
        <v/>
      </c>
      <c r="O37" s="176" t="str">
        <f>IF(M37="","",IF(VLOOKUP(M37,'G-3 Multipliers'!$L$3:$N$6,3,FALSE)=0,"Spatial Data Missing",VLOOKUP(M37,'G-3 Multipliers'!$L$3:$N$6,3,FALSE)))</f>
        <v/>
      </c>
      <c r="P37" s="177" t="str">
        <f>IFERROR(VLOOKUP(G37,'G-1 All Habitats'!$B$2:$M$130,12,FALSE),"")</f>
        <v/>
      </c>
      <c r="Q37" s="81" t="str">
        <f>IFERROR(IF(P37="","",IF(AND(P37='G-1 All Habitats'!$X$3,T37&gt;0),U37+V37,IF(AND(P37='G-1 All Habitats'!$X$3,S37&gt;0),U37+V37,IF(AND(P37='G-1 All Habitats'!$X$3,AC37&gt;0),"Any Loss Unacceptable",IF(AND(P37='G-1 All Habitats'!$X$3,W37&gt;0),"Any Loss Unacceptable",H37*J37*L37*O37))))),"Check Data")</f>
        <v/>
      </c>
      <c r="R37" s="55"/>
      <c r="S37" s="79"/>
      <c r="T37" s="82"/>
      <c r="U37" s="83" t="str">
        <f t="shared" si="2"/>
        <v/>
      </c>
      <c r="V37" s="83" t="str">
        <f t="shared" si="3"/>
        <v/>
      </c>
      <c r="W37" s="83" t="str">
        <f>IF(E37="","",IF(H37&lt;S37+T37,"Error in Areas",IF(P37&lt;&gt;'G-1 All Habitats'!$X$3,H37-S37-T37,IF(AND(P37='G-1 All Habitats'!$X$3,Y37="Yes"),"Unacceptable Loss",IF(AND(P37='G-1 All Habitats'!$X$3,Y37="No"),AC37,IF(AND(P37='G-1 All Habitats'!$X$3,Y37=""),AC37,IF(AND(P37='G-1 All Habitats'!$X$3,AC37="None",AC37),IF(AND(P37='G-1 All Habitats'!$X$3,AC37&gt;0),H37-S37-T37))))))))</f>
        <v/>
      </c>
      <c r="X37" s="354" t="str">
        <f>IFERROR(IF(H37="","",IF(H37-S37-T37=0&lt;0,"Error in Areas",IF(S37+T37&gt;H37,"Error in Areas",IF(AND(P37='G-1 All Habitats'!$X$3,Y37="Yes"),"Alternative Compensation",IF(W37=0,0,IF(P37='G-1 All Habitats'!$X$3,"Unacceptable Loss",Q37-U37-V37)))))),"Check Data")</f>
        <v/>
      </c>
      <c r="Y37" s="82"/>
      <c r="Z37" s="182"/>
      <c r="AA37" s="183"/>
      <c r="AC37" s="371" t="str">
        <f>IF(P37="","",IF(P37='G-1 All Habitats'!$X$3,H37-S37-T37,"None"))</f>
        <v/>
      </c>
      <c r="AD37" s="372" t="str">
        <f t="shared" si="4"/>
        <v/>
      </c>
      <c r="AF37" s="188" t="str">
        <f t="shared" si="0"/>
        <v/>
      </c>
      <c r="AG37" s="188" t="str">
        <f t="shared" si="1"/>
        <v/>
      </c>
      <c r="AH37" s="188" t="str">
        <f>IF(I37="","",IF(#REF!&gt;0,TRUE,FALSE))</f>
        <v/>
      </c>
      <c r="AI37" s="188">
        <v>27</v>
      </c>
      <c r="AJ37" s="188"/>
      <c r="AK37" s="188" t="str">
        <f t="array" ref="AK37">IFERROR(INDEX($AI$11:$AI$259, MATCH(0, IF(TRUE=$AF$11:$AF$259, COUNTIF($AK$10:$AK36, $AI$11:$AI$259), ""), 0)),"")</f>
        <v/>
      </c>
      <c r="AL37" s="188" t="str">
        <f t="array" ref="AL37">IFERROR(INDEX($AI$11:$AI$259, MATCH(0, IF(TRUE=$AG$11:$AG$259, COUNTIF($AL$10:$AL36, $AI$11:$AI$259), ""), 0)),"")</f>
        <v/>
      </c>
      <c r="AM37" s="188" t="str">
        <f t="array" ref="AM37">IFERROR(INDEX($AI$11:$AI$259, MATCH(0, IF(TRUE=$AH$11:$AH$259, COUNTIF($AM$10:$AM36, $AI$11:$AI$259), ""), 0)),"")</f>
        <v/>
      </c>
      <c r="AQ37" s="35">
        <f t="shared" si="5"/>
        <v>0</v>
      </c>
    </row>
    <row r="38" spans="1:43" x14ac:dyDescent="0.25">
      <c r="A38" s="35" t="str">
        <f>IFERROR(INDEX('G-1 All Habitats'!$AG$3:$AG$15,MATCH(E38,'G-1 All Habitats'!$AF$3:$AF$15,0)),"")</f>
        <v/>
      </c>
      <c r="B38" s="35" t="str">
        <f>IFERROR(INDEX('G-8 Condition Look up'!$I$4:$I$131,MATCH(G38,'G-8 Condition Look up'!$A$4:$A$131,0)),"")</f>
        <v/>
      </c>
      <c r="D38" s="168">
        <v>28</v>
      </c>
      <c r="E38" s="275"/>
      <c r="F38" s="275"/>
      <c r="G38" s="370" t="str">
        <f>IFERROR(INDEX('G-1 All Habitats'!$B$3:$B$130,MATCH(F38,'G-1 All Habitats'!$A$3:$A$130,0)),"")</f>
        <v/>
      </c>
      <c r="H38" s="213"/>
      <c r="I38" s="171" t="str">
        <f>IF(G38="","",VLOOKUP(G38,'G-1 All Habitats'!$B$2:$M$130,10,FALSE))</f>
        <v/>
      </c>
      <c r="J38" s="172" t="str">
        <f>IFERROR(VLOOKUP(I38,'G-1 All Habitats'!$V$3:$W$7,2,FALSE),"")</f>
        <v/>
      </c>
      <c r="K38" s="173"/>
      <c r="L38" s="172" t="str">
        <f>IFERROR(INDEX('G-8 Condition Look up'!$A$3:$H$131,MATCH(G38,'G-8 Condition Look up'!$A$3:$A$131,0),MATCH(K38,'G-8 Condition Look up'!$A$3:$H$3,0)),"")</f>
        <v/>
      </c>
      <c r="M38" s="186"/>
      <c r="N38" s="175" t="str">
        <f>IF(M38="","",IF(VLOOKUP(M38,'G-3 Multipliers'!$L$3:$N$6,2,FALSE)=0,"Spatial Data Missing",VLOOKUP(M38,'G-3 Multipliers'!$L$3:$N$6,2,FALSE)))</f>
        <v/>
      </c>
      <c r="O38" s="176" t="str">
        <f>IF(M38="","",IF(VLOOKUP(M38,'G-3 Multipliers'!$L$3:$N$6,3,FALSE)=0,"Spatial Data Missing",VLOOKUP(M38,'G-3 Multipliers'!$L$3:$N$6,3,FALSE)))</f>
        <v/>
      </c>
      <c r="P38" s="177" t="str">
        <f>IFERROR(VLOOKUP(G38,'G-1 All Habitats'!$B$2:$M$130,12,FALSE),"")</f>
        <v/>
      </c>
      <c r="Q38" s="81" t="str">
        <f>IFERROR(IF(P38="","",IF(AND(P38='G-1 All Habitats'!$X$3,T38&gt;0),U38+V38,IF(AND(P38='G-1 All Habitats'!$X$3,S38&gt;0),U38+V38,IF(AND(P38='G-1 All Habitats'!$X$3,AC38&gt;0),"Any Loss Unacceptable",IF(AND(P38='G-1 All Habitats'!$X$3,W38&gt;0),"Any Loss Unacceptable",H38*J38*L38*O38))))),"Check Data")</f>
        <v/>
      </c>
      <c r="R38" s="55"/>
      <c r="S38" s="79"/>
      <c r="T38" s="82"/>
      <c r="U38" s="83" t="str">
        <f t="shared" si="2"/>
        <v/>
      </c>
      <c r="V38" s="83" t="str">
        <f t="shared" si="3"/>
        <v/>
      </c>
      <c r="W38" s="83" t="str">
        <f>IF(E38="","",IF(H38&lt;S38+T38,"Error in Areas",IF(P38&lt;&gt;'G-1 All Habitats'!$X$3,H38-S38-T38,IF(AND(P38='G-1 All Habitats'!$X$3,Y38="Yes"),"Unacceptable Loss",IF(AND(P38='G-1 All Habitats'!$X$3,Y38="No"),AC38,IF(AND(P38='G-1 All Habitats'!$X$3,Y38=""),AC38,IF(AND(P38='G-1 All Habitats'!$X$3,AC38="None",AC38),IF(AND(P38='G-1 All Habitats'!$X$3,AC38&gt;0),H38-S38-T38))))))))</f>
        <v/>
      </c>
      <c r="X38" s="354" t="str">
        <f>IFERROR(IF(H38="","",IF(H38-S38-T38=0&lt;0,"Error in Areas",IF(S38+T38&gt;H38,"Error in Areas",IF(AND(P38='G-1 All Habitats'!$X$3,Y38="Yes"),"Alternative Compensation",IF(W38=0,0,IF(P38='G-1 All Habitats'!$X$3,"Unacceptable Loss",Q38-U38-V38)))))),"Check Data")</f>
        <v/>
      </c>
      <c r="Y38" s="82"/>
      <c r="Z38" s="182"/>
      <c r="AA38" s="183"/>
      <c r="AC38" s="371" t="str">
        <f>IF(P38="","",IF(P38='G-1 All Habitats'!$X$3,H38-S38-T38,"None"))</f>
        <v/>
      </c>
      <c r="AD38" s="372" t="str">
        <f t="shared" si="4"/>
        <v/>
      </c>
      <c r="AF38" s="188" t="str">
        <f t="shared" si="0"/>
        <v/>
      </c>
      <c r="AG38" s="188" t="str">
        <f t="shared" si="1"/>
        <v/>
      </c>
      <c r="AH38" s="188" t="str">
        <f>IF(I38="","",IF(#REF!&gt;0,TRUE,FALSE))</f>
        <v/>
      </c>
      <c r="AI38" s="188">
        <v>28</v>
      </c>
      <c r="AJ38" s="188"/>
      <c r="AK38" s="188" t="str">
        <f t="array" ref="AK38">IFERROR(INDEX($AI$11:$AI$259, MATCH(0, IF(TRUE=$AF$11:$AF$259, COUNTIF($AK$10:$AK37, $AI$11:$AI$259), ""), 0)),"")</f>
        <v/>
      </c>
      <c r="AL38" s="188" t="str">
        <f t="array" ref="AL38">IFERROR(INDEX($AI$11:$AI$259, MATCH(0, IF(TRUE=$AG$11:$AG$259, COUNTIF($AL$10:$AL37, $AI$11:$AI$259), ""), 0)),"")</f>
        <v/>
      </c>
      <c r="AM38" s="188" t="str">
        <f t="array" ref="AM38">IFERROR(INDEX($AI$11:$AI$259, MATCH(0, IF(TRUE=$AH$11:$AH$259, COUNTIF($AM$10:$AM37, $AI$11:$AI$259), ""), 0)),"")</f>
        <v/>
      </c>
      <c r="AQ38" s="35">
        <f t="shared" si="5"/>
        <v>0</v>
      </c>
    </row>
    <row r="39" spans="1:43" x14ac:dyDescent="0.25">
      <c r="A39" s="35" t="str">
        <f>IFERROR(INDEX('G-1 All Habitats'!$AG$3:$AG$15,MATCH(E39,'G-1 All Habitats'!$AF$3:$AF$15,0)),"")</f>
        <v/>
      </c>
      <c r="B39" s="35" t="str">
        <f>IFERROR(INDEX('G-8 Condition Look up'!$I$4:$I$131,MATCH(G39,'G-8 Condition Look up'!$A$4:$A$131,0)),"")</f>
        <v/>
      </c>
      <c r="D39" s="168">
        <v>29</v>
      </c>
      <c r="E39" s="275"/>
      <c r="F39" s="275"/>
      <c r="G39" s="370" t="str">
        <f>IFERROR(INDEX('G-1 All Habitats'!$B$3:$B$130,MATCH(F39,'G-1 All Habitats'!$A$3:$A$130,0)),"")</f>
        <v/>
      </c>
      <c r="H39" s="213"/>
      <c r="I39" s="171" t="str">
        <f>IF(G39="","",VLOOKUP(G39,'G-1 All Habitats'!$B$2:$M$130,10,FALSE))</f>
        <v/>
      </c>
      <c r="J39" s="172" t="str">
        <f>IFERROR(VLOOKUP(I39,'G-1 All Habitats'!$V$3:$W$7,2,FALSE),"")</f>
        <v/>
      </c>
      <c r="K39" s="173"/>
      <c r="L39" s="172" t="str">
        <f>IFERROR(INDEX('G-8 Condition Look up'!$A$3:$H$131,MATCH(G39,'G-8 Condition Look up'!$A$3:$A$131,0),MATCH(K39,'G-8 Condition Look up'!$A$3:$H$3,0)),"")</f>
        <v/>
      </c>
      <c r="M39" s="186"/>
      <c r="N39" s="175" t="str">
        <f>IF(M39="","",IF(VLOOKUP(M39,'G-3 Multipliers'!$L$3:$N$6,2,FALSE)=0,"Spatial Data Missing",VLOOKUP(M39,'G-3 Multipliers'!$L$3:$N$6,2,FALSE)))</f>
        <v/>
      </c>
      <c r="O39" s="176" t="str">
        <f>IF(M39="","",IF(VLOOKUP(M39,'G-3 Multipliers'!$L$3:$N$6,3,FALSE)=0,"Spatial Data Missing",VLOOKUP(M39,'G-3 Multipliers'!$L$3:$N$6,3,FALSE)))</f>
        <v/>
      </c>
      <c r="P39" s="177" t="str">
        <f>IFERROR(VLOOKUP(G39,'G-1 All Habitats'!$B$2:$M$130,12,FALSE),"")</f>
        <v/>
      </c>
      <c r="Q39" s="81" t="str">
        <f>IFERROR(IF(P39="","",IF(AND(P39='G-1 All Habitats'!$X$3,T39&gt;0),U39+V39,IF(AND(P39='G-1 All Habitats'!$X$3,S39&gt;0),U39+V39,IF(AND(P39='G-1 All Habitats'!$X$3,AC39&gt;0),"Any Loss Unacceptable",IF(AND(P39='G-1 All Habitats'!$X$3,W39&gt;0),"Any Loss Unacceptable",H39*J39*L39*O39))))),"Check Data")</f>
        <v/>
      </c>
      <c r="R39" s="55"/>
      <c r="S39" s="79"/>
      <c r="T39" s="82"/>
      <c r="U39" s="83" t="str">
        <f t="shared" si="2"/>
        <v/>
      </c>
      <c r="V39" s="83" t="str">
        <f t="shared" si="3"/>
        <v/>
      </c>
      <c r="W39" s="83" t="str">
        <f>IF(E39="","",IF(H39&lt;S39+T39,"Error in Areas",IF(P39&lt;&gt;'G-1 All Habitats'!$X$3,H39-S39-T39,IF(AND(P39='G-1 All Habitats'!$X$3,Y39="Yes"),"Unacceptable Loss",IF(AND(P39='G-1 All Habitats'!$X$3,Y39="No"),AC39,IF(AND(P39='G-1 All Habitats'!$X$3,Y39=""),AC39,IF(AND(P39='G-1 All Habitats'!$X$3,AC39="None",AC39),IF(AND(P39='G-1 All Habitats'!$X$3,AC39&gt;0),H39-S39-T39))))))))</f>
        <v/>
      </c>
      <c r="X39" s="354" t="str">
        <f>IFERROR(IF(H39="","",IF(H39-S39-T39=0&lt;0,"Error in Areas",IF(S39+T39&gt;H39,"Error in Areas",IF(AND(P39='G-1 All Habitats'!$X$3,Y39="Yes"),"Alternative Compensation",IF(W39=0,0,IF(P39='G-1 All Habitats'!$X$3,"Unacceptable Loss",Q39-U39-V39)))))),"Check Data")</f>
        <v/>
      </c>
      <c r="Y39" s="82"/>
      <c r="Z39" s="182"/>
      <c r="AA39" s="183"/>
      <c r="AC39" s="371" t="str">
        <f>IF(P39="","",IF(P39='G-1 All Habitats'!$X$3,H39-S39-T39,"None"))</f>
        <v/>
      </c>
      <c r="AD39" s="372" t="str">
        <f t="shared" si="4"/>
        <v/>
      </c>
      <c r="AF39" s="188" t="str">
        <f t="shared" si="0"/>
        <v/>
      </c>
      <c r="AG39" s="188" t="str">
        <f t="shared" si="1"/>
        <v/>
      </c>
      <c r="AH39" s="188" t="str">
        <f>IF(I39="","",IF(#REF!&gt;0,TRUE,FALSE))</f>
        <v/>
      </c>
      <c r="AI39" s="188">
        <v>29</v>
      </c>
      <c r="AJ39" s="188"/>
      <c r="AK39" s="188" t="str">
        <f t="array" ref="AK39">IFERROR(INDEX($AI$11:$AI$259, MATCH(0, IF(TRUE=$AF$11:$AF$259, COUNTIF($AK$10:$AK38, $AI$11:$AI$259), ""), 0)),"")</f>
        <v/>
      </c>
      <c r="AL39" s="188" t="str">
        <f t="array" ref="AL39">IFERROR(INDEX($AI$11:$AI$259, MATCH(0, IF(TRUE=$AG$11:$AG$259, COUNTIF($AL$10:$AL38, $AI$11:$AI$259), ""), 0)),"")</f>
        <v/>
      </c>
      <c r="AM39" s="188" t="str">
        <f t="array" ref="AM39">IFERROR(INDEX($AI$11:$AI$259, MATCH(0, IF(TRUE=$AH$11:$AH$259, COUNTIF($AM$10:$AM38, $AI$11:$AI$259), ""), 0)),"")</f>
        <v/>
      </c>
      <c r="AQ39" s="35">
        <f t="shared" si="5"/>
        <v>0</v>
      </c>
    </row>
    <row r="40" spans="1:43" x14ac:dyDescent="0.25">
      <c r="A40" s="35" t="str">
        <f>IFERROR(INDEX('G-1 All Habitats'!$AG$3:$AG$15,MATCH(E40,'G-1 All Habitats'!$AF$3:$AF$15,0)),"")</f>
        <v/>
      </c>
      <c r="B40" s="35" t="str">
        <f>IFERROR(INDEX('G-8 Condition Look up'!$I$4:$I$131,MATCH(G40,'G-8 Condition Look up'!$A$4:$A$131,0)),"")</f>
        <v/>
      </c>
      <c r="D40" s="168">
        <v>30</v>
      </c>
      <c r="E40" s="275"/>
      <c r="F40" s="275"/>
      <c r="G40" s="370" t="str">
        <f>IFERROR(INDEX('G-1 All Habitats'!$B$3:$B$130,MATCH(F40,'G-1 All Habitats'!$A$3:$A$130,0)),"")</f>
        <v/>
      </c>
      <c r="H40" s="213"/>
      <c r="I40" s="171" t="str">
        <f>IF(G40="","",VLOOKUP(G40,'G-1 All Habitats'!$B$2:$M$130,10,FALSE))</f>
        <v/>
      </c>
      <c r="J40" s="172" t="str">
        <f>IFERROR(VLOOKUP(I40,'G-1 All Habitats'!$V$3:$W$7,2,FALSE),"")</f>
        <v/>
      </c>
      <c r="K40" s="173"/>
      <c r="L40" s="172" t="str">
        <f>IFERROR(INDEX('G-8 Condition Look up'!$A$3:$H$131,MATCH(G40,'G-8 Condition Look up'!$A$3:$A$131,0),MATCH(K40,'G-8 Condition Look up'!$A$3:$H$3,0)),"")</f>
        <v/>
      </c>
      <c r="M40" s="186"/>
      <c r="N40" s="175" t="str">
        <f>IF(M40="","",IF(VLOOKUP(M40,'G-3 Multipliers'!$L$3:$N$6,2,FALSE)=0,"Spatial Data Missing",VLOOKUP(M40,'G-3 Multipliers'!$L$3:$N$6,2,FALSE)))</f>
        <v/>
      </c>
      <c r="O40" s="176" t="str">
        <f>IF(M40="","",IF(VLOOKUP(M40,'G-3 Multipliers'!$L$3:$N$6,3,FALSE)=0,"Spatial Data Missing",VLOOKUP(M40,'G-3 Multipliers'!$L$3:$N$6,3,FALSE)))</f>
        <v/>
      </c>
      <c r="P40" s="177" t="str">
        <f>IFERROR(VLOOKUP(G40,'G-1 All Habitats'!$B$2:$M$130,12,FALSE),"")</f>
        <v/>
      </c>
      <c r="Q40" s="81" t="str">
        <f>IFERROR(IF(P40="","",IF(AND(P40='G-1 All Habitats'!$X$3,T40&gt;0),U40+V40,IF(AND(P40='G-1 All Habitats'!$X$3,S40&gt;0),U40+V40,IF(AND(P40='G-1 All Habitats'!$X$3,AC40&gt;0),"Any Loss Unacceptable",IF(AND(P40='G-1 All Habitats'!$X$3,W40&gt;0),"Any Loss Unacceptable",H40*J40*L40*O40))))),"Check Data")</f>
        <v/>
      </c>
      <c r="R40" s="55"/>
      <c r="S40" s="79"/>
      <c r="T40" s="82"/>
      <c r="U40" s="83" t="str">
        <f t="shared" si="2"/>
        <v/>
      </c>
      <c r="V40" s="83" t="str">
        <f t="shared" si="3"/>
        <v/>
      </c>
      <c r="W40" s="83" t="str">
        <f>IF(E40="","",IF(H40&lt;S40+T40,"Error in Areas",IF(P40&lt;&gt;'G-1 All Habitats'!$X$3,H40-S40-T40,IF(AND(P40='G-1 All Habitats'!$X$3,Y40="Yes"),"Unacceptable Loss",IF(AND(P40='G-1 All Habitats'!$X$3,Y40="No"),AC40,IF(AND(P40='G-1 All Habitats'!$X$3,Y40=""),AC40,IF(AND(P40='G-1 All Habitats'!$X$3,AC40="None",AC40),IF(AND(P40='G-1 All Habitats'!$X$3,AC40&gt;0),H40-S40-T40))))))))</f>
        <v/>
      </c>
      <c r="X40" s="354" t="str">
        <f>IFERROR(IF(H40="","",IF(H40-S40-T40=0&lt;0,"Error in Areas",IF(S40+T40&gt;H40,"Error in Areas",IF(AND(P40='G-1 All Habitats'!$X$3,Y40="Yes"),"Alternative Compensation",IF(W40=0,0,IF(P40='G-1 All Habitats'!$X$3,"Unacceptable Loss",Q40-U40-V40)))))),"Check Data")</f>
        <v/>
      </c>
      <c r="Y40" s="82"/>
      <c r="Z40" s="182"/>
      <c r="AA40" s="183"/>
      <c r="AC40" s="371" t="str">
        <f>IF(P40="","",IF(P40='G-1 All Habitats'!$X$3,H40-S40-T40,"None"))</f>
        <v/>
      </c>
      <c r="AD40" s="372" t="str">
        <f t="shared" si="4"/>
        <v/>
      </c>
      <c r="AF40" s="188" t="str">
        <f t="shared" si="0"/>
        <v/>
      </c>
      <c r="AG40" s="188" t="str">
        <f t="shared" si="1"/>
        <v/>
      </c>
      <c r="AH40" s="188" t="str">
        <f>IF(I40="","",IF(#REF!&gt;0,TRUE,FALSE))</f>
        <v/>
      </c>
      <c r="AI40" s="188">
        <v>30</v>
      </c>
      <c r="AJ40" s="188"/>
      <c r="AK40" s="188" t="str">
        <f t="array" ref="AK40">IFERROR(INDEX($AI$11:$AI$259, MATCH(0, IF(TRUE=$AF$11:$AF$259, COUNTIF($AK$10:$AK39, $AI$11:$AI$259), ""), 0)),"")</f>
        <v/>
      </c>
      <c r="AL40" s="188" t="str">
        <f t="array" ref="AL40">IFERROR(INDEX($AI$11:$AI$259, MATCH(0, IF(TRUE=$AG$11:$AG$259, COUNTIF($AL$10:$AL39, $AI$11:$AI$259), ""), 0)),"")</f>
        <v/>
      </c>
      <c r="AM40" s="188" t="str">
        <f t="array" ref="AM40">IFERROR(INDEX($AI$11:$AI$259, MATCH(0, IF(TRUE=$AH$11:$AH$259, COUNTIF($AM$10:$AM39, $AI$11:$AI$259), ""), 0)),"")</f>
        <v/>
      </c>
      <c r="AQ40" s="35">
        <f t="shared" si="5"/>
        <v>0</v>
      </c>
    </row>
    <row r="41" spans="1:43" x14ac:dyDescent="0.25">
      <c r="A41" s="35" t="str">
        <f>IFERROR(INDEX('G-1 All Habitats'!$AG$3:$AG$15,MATCH(E41,'G-1 All Habitats'!$AF$3:$AF$15,0)),"")</f>
        <v/>
      </c>
      <c r="B41" s="35" t="str">
        <f>IFERROR(INDEX('G-8 Condition Look up'!$I$4:$I$131,MATCH(G41,'G-8 Condition Look up'!$A$4:$A$131,0)),"")</f>
        <v/>
      </c>
      <c r="D41" s="168">
        <v>31</v>
      </c>
      <c r="E41" s="275"/>
      <c r="F41" s="275"/>
      <c r="G41" s="370" t="str">
        <f>IFERROR(INDEX('G-1 All Habitats'!$B$3:$B$130,MATCH(F41,'G-1 All Habitats'!$A$3:$A$130,0)),"")</f>
        <v/>
      </c>
      <c r="H41" s="213"/>
      <c r="I41" s="171" t="str">
        <f>IF(G41="","",VLOOKUP(G41,'G-1 All Habitats'!$B$2:$M$130,10,FALSE))</f>
        <v/>
      </c>
      <c r="J41" s="172" t="str">
        <f>IFERROR(VLOOKUP(I41,'G-1 All Habitats'!$V$3:$W$7,2,FALSE),"")</f>
        <v/>
      </c>
      <c r="K41" s="173"/>
      <c r="L41" s="172" t="str">
        <f>IFERROR(INDEX('G-8 Condition Look up'!$A$3:$H$131,MATCH(G41,'G-8 Condition Look up'!$A$3:$A$131,0),MATCH(K41,'G-8 Condition Look up'!$A$3:$H$3,0)),"")</f>
        <v/>
      </c>
      <c r="M41" s="186"/>
      <c r="N41" s="175" t="str">
        <f>IF(M41="","",IF(VLOOKUP(M41,'G-3 Multipliers'!$L$3:$N$6,2,FALSE)=0,"Spatial Data Missing",VLOOKUP(M41,'G-3 Multipliers'!$L$3:$N$6,2,FALSE)))</f>
        <v/>
      </c>
      <c r="O41" s="176" t="str">
        <f>IF(M41="","",IF(VLOOKUP(M41,'G-3 Multipliers'!$L$3:$N$6,3,FALSE)=0,"Spatial Data Missing",VLOOKUP(M41,'G-3 Multipliers'!$L$3:$N$6,3,FALSE)))</f>
        <v/>
      </c>
      <c r="P41" s="177" t="str">
        <f>IFERROR(VLOOKUP(G41,'G-1 All Habitats'!$B$2:$M$130,12,FALSE),"")</f>
        <v/>
      </c>
      <c r="Q41" s="81" t="str">
        <f>IFERROR(IF(P41="","",IF(AND(P41='G-1 All Habitats'!$X$3,T41&gt;0),U41+V41,IF(AND(P41='G-1 All Habitats'!$X$3,S41&gt;0),U41+V41,IF(AND(P41='G-1 All Habitats'!$X$3,AC41&gt;0),"Any Loss Unacceptable",IF(AND(P41='G-1 All Habitats'!$X$3,W41&gt;0),"Any Loss Unacceptable",H41*J41*L41*O41))))),"Check Data")</f>
        <v/>
      </c>
      <c r="R41" s="55"/>
      <c r="S41" s="79"/>
      <c r="T41" s="82"/>
      <c r="U41" s="83" t="str">
        <f t="shared" si="2"/>
        <v/>
      </c>
      <c r="V41" s="83" t="str">
        <f t="shared" si="3"/>
        <v/>
      </c>
      <c r="W41" s="83" t="str">
        <f>IF(E41="","",IF(H41&lt;S41+T41,"Error in Areas",IF(P41&lt;&gt;'G-1 All Habitats'!$X$3,H41-S41-T41,IF(AND(P41='G-1 All Habitats'!$X$3,Y41="Yes"),"Unacceptable Loss",IF(AND(P41='G-1 All Habitats'!$X$3,Y41="No"),AC41,IF(AND(P41='G-1 All Habitats'!$X$3,Y41=""),AC41,IF(AND(P41='G-1 All Habitats'!$X$3,AC41="None",AC41),IF(AND(P41='G-1 All Habitats'!$X$3,AC41&gt;0),H41-S41-T41))))))))</f>
        <v/>
      </c>
      <c r="X41" s="354" t="str">
        <f>IFERROR(IF(H41="","",IF(H41-S41-T41=0&lt;0,"Error in Areas",IF(S41+T41&gt;H41,"Error in Areas",IF(AND(P41='G-1 All Habitats'!$X$3,Y41="Yes"),"Alternative Compensation",IF(W41=0,0,IF(P41='G-1 All Habitats'!$X$3,"Unacceptable Loss",Q41-U41-V41)))))),"Check Data")</f>
        <v/>
      </c>
      <c r="Y41" s="82"/>
      <c r="Z41" s="182"/>
      <c r="AA41" s="183"/>
      <c r="AC41" s="371" t="str">
        <f>IF(P41="","",IF(P41='G-1 All Habitats'!$X$3,H41-S41-T41,"None"))</f>
        <v/>
      </c>
      <c r="AD41" s="372" t="str">
        <f t="shared" si="4"/>
        <v/>
      </c>
      <c r="AF41" s="188" t="str">
        <f t="shared" si="0"/>
        <v/>
      </c>
      <c r="AG41" s="188" t="str">
        <f t="shared" si="1"/>
        <v/>
      </c>
      <c r="AH41" s="188" t="str">
        <f>IF(I41="","",IF(#REF!&gt;0,TRUE,FALSE))</f>
        <v/>
      </c>
      <c r="AI41" s="188">
        <v>31</v>
      </c>
      <c r="AJ41" s="188"/>
      <c r="AK41" s="188" t="str">
        <f t="array" ref="AK41">IFERROR(INDEX($AI$11:$AI$259, MATCH(0, IF(TRUE=$AF$11:$AF$259, COUNTIF($AK$10:$AK40, $AI$11:$AI$259), ""), 0)),"")</f>
        <v/>
      </c>
      <c r="AL41" s="188" t="str">
        <f t="array" ref="AL41">IFERROR(INDEX($AI$11:$AI$259, MATCH(0, IF(TRUE=$AG$11:$AG$259, COUNTIF($AL$10:$AL40, $AI$11:$AI$259), ""), 0)),"")</f>
        <v/>
      </c>
      <c r="AM41" s="188" t="str">
        <f t="array" ref="AM41">IFERROR(INDEX($AI$11:$AI$259, MATCH(0, IF(TRUE=$AH$11:$AH$259, COUNTIF($AM$10:$AM40, $AI$11:$AI$259), ""), 0)),"")</f>
        <v/>
      </c>
      <c r="AQ41" s="35">
        <f t="shared" si="5"/>
        <v>0</v>
      </c>
    </row>
    <row r="42" spans="1:43" x14ac:dyDescent="0.25">
      <c r="A42" s="35" t="str">
        <f>IFERROR(INDEX('G-1 All Habitats'!$AG$3:$AG$15,MATCH(E42,'G-1 All Habitats'!$AF$3:$AF$15,0)),"")</f>
        <v/>
      </c>
      <c r="B42" s="35" t="str">
        <f>IFERROR(INDEX('G-8 Condition Look up'!$I$4:$I$131,MATCH(G42,'G-8 Condition Look up'!$A$4:$A$131,0)),"")</f>
        <v/>
      </c>
      <c r="D42" s="168">
        <v>32</v>
      </c>
      <c r="E42" s="275"/>
      <c r="F42" s="275"/>
      <c r="G42" s="370" t="str">
        <f>IFERROR(INDEX('G-1 All Habitats'!$B$3:$B$130,MATCH(F42,'G-1 All Habitats'!$A$3:$A$130,0)),"")</f>
        <v/>
      </c>
      <c r="H42" s="213"/>
      <c r="I42" s="171" t="str">
        <f>IF(G42="","",VLOOKUP(G42,'G-1 All Habitats'!$B$2:$M$130,10,FALSE))</f>
        <v/>
      </c>
      <c r="J42" s="172" t="str">
        <f>IFERROR(VLOOKUP(I42,'G-1 All Habitats'!$V$3:$W$7,2,FALSE),"")</f>
        <v/>
      </c>
      <c r="K42" s="173"/>
      <c r="L42" s="172" t="str">
        <f>IFERROR(INDEX('G-8 Condition Look up'!$A$3:$H$131,MATCH(G42,'G-8 Condition Look up'!$A$3:$A$131,0),MATCH(K42,'G-8 Condition Look up'!$A$3:$H$3,0)),"")</f>
        <v/>
      </c>
      <c r="M42" s="186"/>
      <c r="N42" s="175" t="str">
        <f>IF(M42="","",IF(VLOOKUP(M42,'G-3 Multipliers'!$L$3:$N$6,2,FALSE)=0,"Spatial Data Missing",VLOOKUP(M42,'G-3 Multipliers'!$L$3:$N$6,2,FALSE)))</f>
        <v/>
      </c>
      <c r="O42" s="176" t="str">
        <f>IF(M42="","",IF(VLOOKUP(M42,'G-3 Multipliers'!$L$3:$N$6,3,FALSE)=0,"Spatial Data Missing",VLOOKUP(M42,'G-3 Multipliers'!$L$3:$N$6,3,FALSE)))</f>
        <v/>
      </c>
      <c r="P42" s="177" t="str">
        <f>IFERROR(VLOOKUP(G42,'G-1 All Habitats'!$B$2:$M$130,12,FALSE),"")</f>
        <v/>
      </c>
      <c r="Q42" s="81" t="str">
        <f>IFERROR(IF(P42="","",IF(AND(P42='G-1 All Habitats'!$X$3,T42&gt;0),U42+V42,IF(AND(P42='G-1 All Habitats'!$X$3,S42&gt;0),U42+V42,IF(AND(P42='G-1 All Habitats'!$X$3,AC42&gt;0),"Any Loss Unacceptable",IF(AND(P42='G-1 All Habitats'!$X$3,W42&gt;0),"Any Loss Unacceptable",H42*J42*L42*O42))))),"Check Data")</f>
        <v/>
      </c>
      <c r="R42" s="55"/>
      <c r="S42" s="79"/>
      <c r="T42" s="82"/>
      <c r="U42" s="83" t="str">
        <f t="shared" si="2"/>
        <v/>
      </c>
      <c r="V42" s="83" t="str">
        <f t="shared" si="3"/>
        <v/>
      </c>
      <c r="W42" s="83" t="str">
        <f>IF(E42="","",IF(H42&lt;S42+T42,"Error in Areas",IF(P42&lt;&gt;'G-1 All Habitats'!$X$3,H42-S42-T42,IF(AND(P42='G-1 All Habitats'!$X$3,Y42="Yes"),"Unacceptable Loss",IF(AND(P42='G-1 All Habitats'!$X$3,Y42="No"),AC42,IF(AND(P42='G-1 All Habitats'!$X$3,Y42=""),AC42,IF(AND(P42='G-1 All Habitats'!$X$3,AC42="None",AC42),IF(AND(P42='G-1 All Habitats'!$X$3,AC42&gt;0),H42-S42-T42))))))))</f>
        <v/>
      </c>
      <c r="X42" s="354" t="str">
        <f>IFERROR(IF(H42="","",IF(H42-S42-T42=0&lt;0,"Error in Areas",IF(S42+T42&gt;H42,"Error in Areas",IF(AND(P42='G-1 All Habitats'!$X$3,Y42="Yes"),"Alternative Compensation",IF(W42=0,0,IF(P42='G-1 All Habitats'!$X$3,"Unacceptable Loss",Q42-U42-V42)))))),"Check Data")</f>
        <v/>
      </c>
      <c r="Y42" s="82"/>
      <c r="Z42" s="182"/>
      <c r="AA42" s="183"/>
      <c r="AC42" s="371" t="str">
        <f>IF(P42="","",IF(P42='G-1 All Habitats'!$X$3,H42-S42-T42,"None"))</f>
        <v/>
      </c>
      <c r="AD42" s="372" t="str">
        <f t="shared" si="4"/>
        <v/>
      </c>
      <c r="AF42" s="188" t="str">
        <f t="shared" si="0"/>
        <v/>
      </c>
      <c r="AG42" s="188" t="str">
        <f t="shared" si="1"/>
        <v/>
      </c>
      <c r="AH42" s="188" t="str">
        <f>IF(I42="","",IF(#REF!&gt;0,TRUE,FALSE))</f>
        <v/>
      </c>
      <c r="AI42" s="188">
        <v>32</v>
      </c>
      <c r="AJ42" s="188"/>
      <c r="AK42" s="188" t="str">
        <f t="array" ref="AK42">IFERROR(INDEX($AI$11:$AI$259, MATCH(0, IF(TRUE=$AF$11:$AF$259, COUNTIF($AK$10:$AK41, $AI$11:$AI$259), ""), 0)),"")</f>
        <v/>
      </c>
      <c r="AL42" s="188" t="str">
        <f t="array" ref="AL42">IFERROR(INDEX($AI$11:$AI$259, MATCH(0, IF(TRUE=$AG$11:$AG$259, COUNTIF($AL$10:$AL41, $AI$11:$AI$259), ""), 0)),"")</f>
        <v/>
      </c>
      <c r="AM42" s="188" t="str">
        <f t="array" ref="AM42">IFERROR(INDEX($AI$11:$AI$259, MATCH(0, IF(TRUE=$AH$11:$AH$259, COUNTIF($AM$10:$AM41, $AI$11:$AI$259), ""), 0)),"")</f>
        <v/>
      </c>
      <c r="AQ42" s="35">
        <f t="shared" si="5"/>
        <v>0</v>
      </c>
    </row>
    <row r="43" spans="1:43" x14ac:dyDescent="0.25">
      <c r="A43" s="35" t="str">
        <f>IFERROR(INDEX('G-1 All Habitats'!$AG$3:$AG$15,MATCH(E43,'G-1 All Habitats'!$AF$3:$AF$15,0)),"")</f>
        <v/>
      </c>
      <c r="B43" s="35" t="str">
        <f>IFERROR(INDEX('G-8 Condition Look up'!$I$4:$I$131,MATCH(G43,'G-8 Condition Look up'!$A$4:$A$131,0)),"")</f>
        <v/>
      </c>
      <c r="D43" s="168">
        <v>33</v>
      </c>
      <c r="E43" s="275"/>
      <c r="F43" s="275"/>
      <c r="G43" s="370" t="str">
        <f>IFERROR(INDEX('G-1 All Habitats'!$B$3:$B$130,MATCH(F43,'G-1 All Habitats'!$A$3:$A$130,0)),"")</f>
        <v/>
      </c>
      <c r="H43" s="213"/>
      <c r="I43" s="171" t="str">
        <f>IF(G43="","",VLOOKUP(G43,'G-1 All Habitats'!$B$2:$M$130,10,FALSE))</f>
        <v/>
      </c>
      <c r="J43" s="172" t="str">
        <f>IFERROR(VLOOKUP(I43,'G-1 All Habitats'!$V$3:$W$7,2,FALSE),"")</f>
        <v/>
      </c>
      <c r="K43" s="173"/>
      <c r="L43" s="172" t="str">
        <f>IFERROR(INDEX('G-8 Condition Look up'!$A$3:$H$131,MATCH(G43,'G-8 Condition Look up'!$A$3:$A$131,0),MATCH(K43,'G-8 Condition Look up'!$A$3:$H$3,0)),"")</f>
        <v/>
      </c>
      <c r="M43" s="186"/>
      <c r="N43" s="175" t="str">
        <f>IF(M43="","",IF(VLOOKUP(M43,'G-3 Multipliers'!$L$3:$N$6,2,FALSE)=0,"Spatial Data Missing",VLOOKUP(M43,'G-3 Multipliers'!$L$3:$N$6,2,FALSE)))</f>
        <v/>
      </c>
      <c r="O43" s="176" t="str">
        <f>IF(M43="","",IF(VLOOKUP(M43,'G-3 Multipliers'!$L$3:$N$6,3,FALSE)=0,"Spatial Data Missing",VLOOKUP(M43,'G-3 Multipliers'!$L$3:$N$6,3,FALSE)))</f>
        <v/>
      </c>
      <c r="P43" s="177" t="str">
        <f>IFERROR(VLOOKUP(G43,'G-1 All Habitats'!$B$2:$M$130,12,FALSE),"")</f>
        <v/>
      </c>
      <c r="Q43" s="81" t="str">
        <f>IFERROR(IF(P43="","",IF(AND(P43='G-1 All Habitats'!$X$3,T43&gt;0),U43+V43,IF(AND(P43='G-1 All Habitats'!$X$3,S43&gt;0),U43+V43,IF(AND(P43='G-1 All Habitats'!$X$3,AC43&gt;0),"Any Loss Unacceptable",IF(AND(P43='G-1 All Habitats'!$X$3,W43&gt;0),"Any Loss Unacceptable",H43*J43*L43*O43))))),"Check Data")</f>
        <v/>
      </c>
      <c r="R43" s="55"/>
      <c r="S43" s="79"/>
      <c r="T43" s="82"/>
      <c r="U43" s="83" t="str">
        <f t="shared" si="2"/>
        <v/>
      </c>
      <c r="V43" s="83" t="str">
        <f t="shared" si="3"/>
        <v/>
      </c>
      <c r="W43" s="83" t="str">
        <f>IF(E43="","",IF(H43&lt;S43+T43,"Error in Areas",IF(P43&lt;&gt;'G-1 All Habitats'!$X$3,H43-S43-T43,IF(AND(P43='G-1 All Habitats'!$X$3,Y43="Yes"),"Unacceptable Loss",IF(AND(P43='G-1 All Habitats'!$X$3,Y43="No"),AC43,IF(AND(P43='G-1 All Habitats'!$X$3,Y43=""),AC43,IF(AND(P43='G-1 All Habitats'!$X$3,AC43="None",AC43),IF(AND(P43='G-1 All Habitats'!$X$3,AC43&gt;0),H43-S43-T43))))))))</f>
        <v/>
      </c>
      <c r="X43" s="354" t="str">
        <f>IFERROR(IF(H43="","",IF(H43-S43-T43=0&lt;0,"Error in Areas",IF(S43+T43&gt;H43,"Error in Areas",IF(AND(P43='G-1 All Habitats'!$X$3,Y43="Yes"),"Alternative Compensation",IF(W43=0,0,IF(P43='G-1 All Habitats'!$X$3,"Unacceptable Loss",Q43-U43-V43)))))),"Check Data")</f>
        <v/>
      </c>
      <c r="Y43" s="82"/>
      <c r="Z43" s="182"/>
      <c r="AA43" s="183"/>
      <c r="AC43" s="371" t="str">
        <f>IF(P43="","",IF(P43='G-1 All Habitats'!$X$3,H43-S43-T43,"None"))</f>
        <v/>
      </c>
      <c r="AD43" s="372" t="str">
        <f t="shared" si="4"/>
        <v/>
      </c>
      <c r="AF43" s="188" t="str">
        <f t="shared" si="0"/>
        <v/>
      </c>
      <c r="AG43" s="188" t="str">
        <f t="shared" si="1"/>
        <v/>
      </c>
      <c r="AH43" s="188" t="str">
        <f>IF(I43="","",IF(#REF!&gt;0,TRUE,FALSE))</f>
        <v/>
      </c>
      <c r="AI43" s="188">
        <v>33</v>
      </c>
      <c r="AJ43" s="188"/>
      <c r="AK43" s="188" t="str">
        <f t="array" ref="AK43">IFERROR(INDEX($AI$11:$AI$259, MATCH(0, IF(TRUE=$AF$11:$AF$259, COUNTIF($AK$10:$AK42, $AI$11:$AI$259), ""), 0)),"")</f>
        <v/>
      </c>
      <c r="AL43" s="188" t="str">
        <f t="array" ref="AL43">IFERROR(INDEX($AI$11:$AI$259, MATCH(0, IF(TRUE=$AG$11:$AG$259, COUNTIF($AL$10:$AL42, $AI$11:$AI$259), ""), 0)),"")</f>
        <v/>
      </c>
      <c r="AM43" s="188" t="str">
        <f t="array" ref="AM43">IFERROR(INDEX($AI$11:$AI$259, MATCH(0, IF(TRUE=$AH$11:$AH$259, COUNTIF($AM$10:$AM42, $AI$11:$AI$259), ""), 0)),"")</f>
        <v/>
      </c>
      <c r="AQ43" s="35">
        <f t="shared" si="5"/>
        <v>0</v>
      </c>
    </row>
    <row r="44" spans="1:43" x14ac:dyDescent="0.25">
      <c r="A44" s="35" t="str">
        <f>IFERROR(INDEX('G-1 All Habitats'!$AG$3:$AG$15,MATCH(E44,'G-1 All Habitats'!$AF$3:$AF$15,0)),"")</f>
        <v/>
      </c>
      <c r="B44" s="35" t="str">
        <f>IFERROR(INDEX('G-8 Condition Look up'!$I$4:$I$131,MATCH(G44,'G-8 Condition Look up'!$A$4:$A$131,0)),"")</f>
        <v/>
      </c>
      <c r="D44" s="168">
        <v>34</v>
      </c>
      <c r="E44" s="275"/>
      <c r="F44" s="275"/>
      <c r="G44" s="370" t="str">
        <f>IFERROR(INDEX('G-1 All Habitats'!$B$3:$B$130,MATCH(F44,'G-1 All Habitats'!$A$3:$A$130,0)),"")</f>
        <v/>
      </c>
      <c r="H44" s="213"/>
      <c r="I44" s="171" t="str">
        <f>IF(G44="","",VLOOKUP(G44,'G-1 All Habitats'!$B$2:$M$130,10,FALSE))</f>
        <v/>
      </c>
      <c r="J44" s="172" t="str">
        <f>IFERROR(VLOOKUP(I44,'G-1 All Habitats'!$V$3:$W$7,2,FALSE),"")</f>
        <v/>
      </c>
      <c r="K44" s="173"/>
      <c r="L44" s="172" t="str">
        <f>IFERROR(INDEX('G-8 Condition Look up'!$A$3:$H$131,MATCH(G44,'G-8 Condition Look up'!$A$3:$A$131,0),MATCH(K44,'G-8 Condition Look up'!$A$3:$H$3,0)),"")</f>
        <v/>
      </c>
      <c r="M44" s="186"/>
      <c r="N44" s="175" t="str">
        <f>IF(M44="","",IF(VLOOKUP(M44,'G-3 Multipliers'!$L$3:$N$6,2,FALSE)=0,"Spatial Data Missing",VLOOKUP(M44,'G-3 Multipliers'!$L$3:$N$6,2,FALSE)))</f>
        <v/>
      </c>
      <c r="O44" s="176" t="str">
        <f>IF(M44="","",IF(VLOOKUP(M44,'G-3 Multipliers'!$L$3:$N$6,3,FALSE)=0,"Spatial Data Missing",VLOOKUP(M44,'G-3 Multipliers'!$L$3:$N$6,3,FALSE)))</f>
        <v/>
      </c>
      <c r="P44" s="177" t="str">
        <f>IFERROR(VLOOKUP(G44,'G-1 All Habitats'!$B$2:$M$130,12,FALSE),"")</f>
        <v/>
      </c>
      <c r="Q44" s="81" t="str">
        <f>IFERROR(IF(P44="","",IF(AND(P44='G-1 All Habitats'!$X$3,T44&gt;0),U44+V44,IF(AND(P44='G-1 All Habitats'!$X$3,S44&gt;0),U44+V44,IF(AND(P44='G-1 All Habitats'!$X$3,AC44&gt;0),"Any Loss Unacceptable",IF(AND(P44='G-1 All Habitats'!$X$3,W44&gt;0),"Any Loss Unacceptable",H44*J44*L44*O44))))),"Check Data")</f>
        <v/>
      </c>
      <c r="R44" s="55"/>
      <c r="S44" s="79"/>
      <c r="T44" s="82"/>
      <c r="U44" s="83" t="str">
        <f t="shared" si="2"/>
        <v/>
      </c>
      <c r="V44" s="83" t="str">
        <f t="shared" si="3"/>
        <v/>
      </c>
      <c r="W44" s="83" t="str">
        <f>IF(E44="","",IF(H44&lt;S44+T44,"Error in Areas",IF(P44&lt;&gt;'G-1 All Habitats'!$X$3,H44-S44-T44,IF(AND(P44='G-1 All Habitats'!$X$3,Y44="Yes"),"Unacceptable Loss",IF(AND(P44='G-1 All Habitats'!$X$3,Y44="No"),AC44,IF(AND(P44='G-1 All Habitats'!$X$3,Y44=""),AC44,IF(AND(P44='G-1 All Habitats'!$X$3,AC44="None",AC44),IF(AND(P44='G-1 All Habitats'!$X$3,AC44&gt;0),H44-S44-T44))))))))</f>
        <v/>
      </c>
      <c r="X44" s="354" t="str">
        <f>IFERROR(IF(H44="","",IF(H44-S44-T44=0&lt;0,"Error in Areas",IF(S44+T44&gt;H44,"Error in Areas",IF(AND(P44='G-1 All Habitats'!$X$3,Y44="Yes"),"Alternative Compensation",IF(W44=0,0,IF(P44='G-1 All Habitats'!$X$3,"Unacceptable Loss",Q44-U44-V44)))))),"Check Data")</f>
        <v/>
      </c>
      <c r="Y44" s="82"/>
      <c r="Z44" s="182"/>
      <c r="AA44" s="183"/>
      <c r="AC44" s="371" t="str">
        <f>IF(P44="","",IF(P44='G-1 All Habitats'!$X$3,H44-S44-T44,"None"))</f>
        <v/>
      </c>
      <c r="AD44" s="372" t="str">
        <f t="shared" si="4"/>
        <v/>
      </c>
      <c r="AF44" s="188" t="str">
        <f t="shared" si="0"/>
        <v/>
      </c>
      <c r="AG44" s="188" t="str">
        <f t="shared" si="1"/>
        <v/>
      </c>
      <c r="AH44" s="188" t="str">
        <f>IF(I44="","",IF(#REF!&gt;0,TRUE,FALSE))</f>
        <v/>
      </c>
      <c r="AI44" s="188">
        <v>34</v>
      </c>
      <c r="AJ44" s="188"/>
      <c r="AK44" s="188" t="str">
        <f t="array" ref="AK44">IFERROR(INDEX($AI$11:$AI$259, MATCH(0, IF(TRUE=$AF$11:$AF$259, COUNTIF($AK$10:$AK43, $AI$11:$AI$259), ""), 0)),"")</f>
        <v/>
      </c>
      <c r="AL44" s="188" t="str">
        <f t="array" ref="AL44">IFERROR(INDEX($AI$11:$AI$259, MATCH(0, IF(TRUE=$AG$11:$AG$259, COUNTIF($AL$10:$AL43, $AI$11:$AI$259), ""), 0)),"")</f>
        <v/>
      </c>
      <c r="AM44" s="188" t="str">
        <f t="array" ref="AM44">IFERROR(INDEX($AI$11:$AI$259, MATCH(0, IF(TRUE=$AH$11:$AH$259, COUNTIF($AM$10:$AM43, $AI$11:$AI$259), ""), 0)),"")</f>
        <v/>
      </c>
      <c r="AQ44" s="35">
        <f t="shared" si="5"/>
        <v>0</v>
      </c>
    </row>
    <row r="45" spans="1:43" x14ac:dyDescent="0.25">
      <c r="A45" s="35" t="str">
        <f>IFERROR(INDEX('G-1 All Habitats'!$AG$3:$AG$15,MATCH(E45,'G-1 All Habitats'!$AF$3:$AF$15,0)),"")</f>
        <v/>
      </c>
      <c r="B45" s="35" t="str">
        <f>IFERROR(INDEX('G-8 Condition Look up'!$I$4:$I$131,MATCH(G45,'G-8 Condition Look up'!$A$4:$A$131,0)),"")</f>
        <v/>
      </c>
      <c r="D45" s="168">
        <v>35</v>
      </c>
      <c r="E45" s="275"/>
      <c r="F45" s="275"/>
      <c r="G45" s="370" t="str">
        <f>IFERROR(INDEX('G-1 All Habitats'!$B$3:$B$130,MATCH(F45,'G-1 All Habitats'!$A$3:$A$130,0)),"")</f>
        <v/>
      </c>
      <c r="H45" s="213"/>
      <c r="I45" s="171" t="str">
        <f>IF(G45="","",VLOOKUP(G45,'G-1 All Habitats'!$B$2:$M$130,10,FALSE))</f>
        <v/>
      </c>
      <c r="J45" s="172" t="str">
        <f>IFERROR(VLOOKUP(I45,'G-1 All Habitats'!$V$3:$W$7,2,FALSE),"")</f>
        <v/>
      </c>
      <c r="K45" s="173"/>
      <c r="L45" s="172" t="str">
        <f>IFERROR(INDEX('G-8 Condition Look up'!$A$3:$H$131,MATCH(G45,'G-8 Condition Look up'!$A$3:$A$131,0),MATCH(K45,'G-8 Condition Look up'!$A$3:$H$3,0)),"")</f>
        <v/>
      </c>
      <c r="M45" s="186"/>
      <c r="N45" s="175" t="str">
        <f>IF(M45="","",IF(VLOOKUP(M45,'G-3 Multipliers'!$L$3:$N$6,2,FALSE)=0,"Spatial Data Missing",VLOOKUP(M45,'G-3 Multipliers'!$L$3:$N$6,2,FALSE)))</f>
        <v/>
      </c>
      <c r="O45" s="176" t="str">
        <f>IF(M45="","",IF(VLOOKUP(M45,'G-3 Multipliers'!$L$3:$N$6,3,FALSE)=0,"Spatial Data Missing",VLOOKUP(M45,'G-3 Multipliers'!$L$3:$N$6,3,FALSE)))</f>
        <v/>
      </c>
      <c r="P45" s="177" t="str">
        <f>IFERROR(VLOOKUP(G45,'G-1 All Habitats'!$B$2:$M$130,12,FALSE),"")</f>
        <v/>
      </c>
      <c r="Q45" s="81" t="str">
        <f>IFERROR(IF(P45="","",IF(AND(P45='G-1 All Habitats'!$X$3,T45&gt;0),U45+V45,IF(AND(P45='G-1 All Habitats'!$X$3,S45&gt;0),U45+V45,IF(AND(P45='G-1 All Habitats'!$X$3,AC45&gt;0),"Any Loss Unacceptable",IF(AND(P45='G-1 All Habitats'!$X$3,W45&gt;0),"Any Loss Unacceptable",H45*J45*L45*O45))))),"Check Data")</f>
        <v/>
      </c>
      <c r="R45" s="55"/>
      <c r="S45" s="79"/>
      <c r="T45" s="82"/>
      <c r="U45" s="83" t="str">
        <f t="shared" si="2"/>
        <v/>
      </c>
      <c r="V45" s="83" t="str">
        <f t="shared" si="3"/>
        <v/>
      </c>
      <c r="W45" s="83" t="str">
        <f>IF(E45="","",IF(H45&lt;S45+T45,"Error in Areas",IF(P45&lt;&gt;'G-1 All Habitats'!$X$3,H45-S45-T45,IF(AND(P45='G-1 All Habitats'!$X$3,Y45="Yes"),"Unacceptable Loss",IF(AND(P45='G-1 All Habitats'!$X$3,Y45="No"),AC45,IF(AND(P45='G-1 All Habitats'!$X$3,Y45=""),AC45,IF(AND(P45='G-1 All Habitats'!$X$3,AC45="None",AC45),IF(AND(P45='G-1 All Habitats'!$X$3,AC45&gt;0),H45-S45-T45))))))))</f>
        <v/>
      </c>
      <c r="X45" s="354" t="str">
        <f>IFERROR(IF(H45="","",IF(H45-S45-T45=0&lt;0,"Error in Areas",IF(S45+T45&gt;H45,"Error in Areas",IF(AND(P45='G-1 All Habitats'!$X$3,Y45="Yes"),"Alternative Compensation",IF(W45=0,0,IF(P45='G-1 All Habitats'!$X$3,"Unacceptable Loss",Q45-U45-V45)))))),"Check Data")</f>
        <v/>
      </c>
      <c r="Y45" s="82"/>
      <c r="Z45" s="182"/>
      <c r="AA45" s="183"/>
      <c r="AC45" s="371" t="str">
        <f>IF(P45="","",IF(P45='G-1 All Habitats'!$X$3,H45-S45-T45,"None"))</f>
        <v/>
      </c>
      <c r="AD45" s="372" t="str">
        <f t="shared" si="4"/>
        <v/>
      </c>
      <c r="AF45" s="188" t="str">
        <f t="shared" si="0"/>
        <v/>
      </c>
      <c r="AG45" s="188" t="str">
        <f t="shared" si="1"/>
        <v/>
      </c>
      <c r="AH45" s="188" t="str">
        <f>IF(I45="","",IF(#REF!&gt;0,TRUE,FALSE))</f>
        <v/>
      </c>
      <c r="AI45" s="188">
        <v>35</v>
      </c>
      <c r="AJ45" s="188"/>
      <c r="AK45" s="188" t="str">
        <f t="array" ref="AK45">IFERROR(INDEX($AI$11:$AI$259, MATCH(0, IF(TRUE=$AF$11:$AF$259, COUNTIF($AK$10:$AK44, $AI$11:$AI$259), ""), 0)),"")</f>
        <v/>
      </c>
      <c r="AL45" s="188" t="str">
        <f t="array" ref="AL45">IFERROR(INDEX($AI$11:$AI$259, MATCH(0, IF(TRUE=$AG$11:$AG$259, COUNTIF($AL$10:$AL44, $AI$11:$AI$259), ""), 0)),"")</f>
        <v/>
      </c>
      <c r="AM45" s="188" t="str">
        <f t="array" ref="AM45">IFERROR(INDEX($AI$11:$AI$259, MATCH(0, IF(TRUE=$AH$11:$AH$259, COUNTIF($AM$10:$AM44, $AI$11:$AI$259), ""), 0)),"")</f>
        <v/>
      </c>
      <c r="AQ45" s="35">
        <f t="shared" si="5"/>
        <v>0</v>
      </c>
    </row>
    <row r="46" spans="1:43" x14ac:dyDescent="0.25">
      <c r="A46" s="35" t="str">
        <f>IFERROR(INDEX('G-1 All Habitats'!$AG$3:$AG$15,MATCH(E46,'G-1 All Habitats'!$AF$3:$AF$15,0)),"")</f>
        <v/>
      </c>
      <c r="B46" s="35" t="str">
        <f>IFERROR(INDEX('G-8 Condition Look up'!$I$4:$I$131,MATCH(G46,'G-8 Condition Look up'!$A$4:$A$131,0)),"")</f>
        <v/>
      </c>
      <c r="D46" s="168">
        <v>36</v>
      </c>
      <c r="E46" s="275"/>
      <c r="F46" s="275"/>
      <c r="G46" s="370" t="str">
        <f>IFERROR(INDEX('G-1 All Habitats'!$B$3:$B$130,MATCH(F46,'G-1 All Habitats'!$A$3:$A$130,0)),"")</f>
        <v/>
      </c>
      <c r="H46" s="213"/>
      <c r="I46" s="171" t="str">
        <f>IF(G46="","",VLOOKUP(G46,'G-1 All Habitats'!$B$2:$M$130,10,FALSE))</f>
        <v/>
      </c>
      <c r="J46" s="172" t="str">
        <f>IFERROR(VLOOKUP(I46,'G-1 All Habitats'!$V$3:$W$7,2,FALSE),"")</f>
        <v/>
      </c>
      <c r="K46" s="173"/>
      <c r="L46" s="172" t="str">
        <f>IFERROR(INDEX('G-8 Condition Look up'!$A$3:$H$131,MATCH(G46,'G-8 Condition Look up'!$A$3:$A$131,0),MATCH(K46,'G-8 Condition Look up'!$A$3:$H$3,0)),"")</f>
        <v/>
      </c>
      <c r="M46" s="186"/>
      <c r="N46" s="175" t="str">
        <f>IF(M46="","",IF(VLOOKUP(M46,'G-3 Multipliers'!$L$3:$N$6,2,FALSE)=0,"Spatial Data Missing",VLOOKUP(M46,'G-3 Multipliers'!$L$3:$N$6,2,FALSE)))</f>
        <v/>
      </c>
      <c r="O46" s="176" t="str">
        <f>IF(M46="","",IF(VLOOKUP(M46,'G-3 Multipliers'!$L$3:$N$6,3,FALSE)=0,"Spatial Data Missing",VLOOKUP(M46,'G-3 Multipliers'!$L$3:$N$6,3,FALSE)))</f>
        <v/>
      </c>
      <c r="P46" s="177" t="str">
        <f>IFERROR(VLOOKUP(G46,'G-1 All Habitats'!$B$2:$M$130,12,FALSE),"")</f>
        <v/>
      </c>
      <c r="Q46" s="81" t="str">
        <f>IFERROR(IF(P46="","",IF(AND(P46='G-1 All Habitats'!$X$3,T46&gt;0),U46+V46,IF(AND(P46='G-1 All Habitats'!$X$3,S46&gt;0),U46+V46,IF(AND(P46='G-1 All Habitats'!$X$3,AC46&gt;0),"Any Loss Unacceptable",IF(AND(P46='G-1 All Habitats'!$X$3,W46&gt;0),"Any Loss Unacceptable",H46*J46*L46*O46))))),"Check Data")</f>
        <v/>
      </c>
      <c r="R46" s="55"/>
      <c r="S46" s="79"/>
      <c r="T46" s="82"/>
      <c r="U46" s="83" t="str">
        <f t="shared" si="2"/>
        <v/>
      </c>
      <c r="V46" s="83" t="str">
        <f t="shared" si="3"/>
        <v/>
      </c>
      <c r="W46" s="83" t="str">
        <f>IF(E46="","",IF(H46&lt;S46+T46,"Error in Areas",IF(P46&lt;&gt;'G-1 All Habitats'!$X$3,H46-S46-T46,IF(AND(P46='G-1 All Habitats'!$X$3,Y46="Yes"),"Unacceptable Loss",IF(AND(P46='G-1 All Habitats'!$X$3,Y46="No"),AC46,IF(AND(P46='G-1 All Habitats'!$X$3,Y46=""),AC46,IF(AND(P46='G-1 All Habitats'!$X$3,AC46="None",AC46),IF(AND(P46='G-1 All Habitats'!$X$3,AC46&gt;0),H46-S46-T46))))))))</f>
        <v/>
      </c>
      <c r="X46" s="354" t="str">
        <f>IFERROR(IF(H46="","",IF(H46-S46-T46=0&lt;0,"Error in Areas",IF(S46+T46&gt;H46,"Error in Areas",IF(AND(P46='G-1 All Habitats'!$X$3,Y46="Yes"),"Alternative Compensation",IF(W46=0,0,IF(P46='G-1 All Habitats'!$X$3,"Unacceptable Loss",Q46-U46-V46)))))),"Check Data")</f>
        <v/>
      </c>
      <c r="Y46" s="82"/>
      <c r="Z46" s="182"/>
      <c r="AA46" s="183"/>
      <c r="AC46" s="371" t="str">
        <f>IF(P46="","",IF(P46='G-1 All Habitats'!$X$3,H46-S46-T46,"None"))</f>
        <v/>
      </c>
      <c r="AD46" s="372" t="str">
        <f t="shared" si="4"/>
        <v/>
      </c>
      <c r="AF46" s="188" t="str">
        <f t="shared" si="0"/>
        <v/>
      </c>
      <c r="AG46" s="188" t="str">
        <f t="shared" si="1"/>
        <v/>
      </c>
      <c r="AH46" s="188" t="str">
        <f>IF(I46="","",IF(#REF!&gt;0,TRUE,FALSE))</f>
        <v/>
      </c>
      <c r="AI46" s="188">
        <v>36</v>
      </c>
      <c r="AJ46" s="188"/>
      <c r="AK46" s="188" t="str">
        <f t="array" ref="AK46">IFERROR(INDEX($AI$11:$AI$259, MATCH(0, IF(TRUE=$AF$11:$AF$259, COUNTIF($AK$10:$AK45, $AI$11:$AI$259), ""), 0)),"")</f>
        <v/>
      </c>
      <c r="AL46" s="188" t="str">
        <f t="array" ref="AL46">IFERROR(INDEX($AI$11:$AI$259, MATCH(0, IF(TRUE=$AG$11:$AG$259, COUNTIF($AL$10:$AL45, $AI$11:$AI$259), ""), 0)),"")</f>
        <v/>
      </c>
      <c r="AM46" s="188" t="str">
        <f t="array" ref="AM46">IFERROR(INDEX($AI$11:$AI$259, MATCH(0, IF(TRUE=$AH$11:$AH$259, COUNTIF($AM$10:$AM45, $AI$11:$AI$259), ""), 0)),"")</f>
        <v/>
      </c>
      <c r="AQ46" s="35">
        <f t="shared" si="5"/>
        <v>0</v>
      </c>
    </row>
    <row r="47" spans="1:43" x14ac:dyDescent="0.25">
      <c r="A47" s="35" t="str">
        <f>IFERROR(INDEX('G-1 All Habitats'!$AG$3:$AG$15,MATCH(E47,'G-1 All Habitats'!$AF$3:$AF$15,0)),"")</f>
        <v/>
      </c>
      <c r="B47" s="35" t="str">
        <f>IFERROR(INDEX('G-8 Condition Look up'!$I$4:$I$131,MATCH(G47,'G-8 Condition Look up'!$A$4:$A$131,0)),"")</f>
        <v/>
      </c>
      <c r="D47" s="168">
        <v>37</v>
      </c>
      <c r="E47" s="275"/>
      <c r="F47" s="275"/>
      <c r="G47" s="370" t="str">
        <f>IFERROR(INDEX('G-1 All Habitats'!$B$3:$B$130,MATCH(F47,'G-1 All Habitats'!$A$3:$A$130,0)),"")</f>
        <v/>
      </c>
      <c r="H47" s="213"/>
      <c r="I47" s="171" t="str">
        <f>IF(G47="","",VLOOKUP(G47,'G-1 All Habitats'!$B$2:$M$130,10,FALSE))</f>
        <v/>
      </c>
      <c r="J47" s="172" t="str">
        <f>IFERROR(VLOOKUP(I47,'G-1 All Habitats'!$V$3:$W$7,2,FALSE),"")</f>
        <v/>
      </c>
      <c r="K47" s="173"/>
      <c r="L47" s="172" t="str">
        <f>IFERROR(INDEX('G-8 Condition Look up'!$A$3:$H$131,MATCH(G47,'G-8 Condition Look up'!$A$3:$A$131,0),MATCH(K47,'G-8 Condition Look up'!$A$3:$H$3,0)),"")</f>
        <v/>
      </c>
      <c r="M47" s="186"/>
      <c r="N47" s="175" t="str">
        <f>IF(M47="","",IF(VLOOKUP(M47,'G-3 Multipliers'!$L$3:$N$6,2,FALSE)=0,"Spatial Data Missing",VLOOKUP(M47,'G-3 Multipliers'!$L$3:$N$6,2,FALSE)))</f>
        <v/>
      </c>
      <c r="O47" s="176" t="str">
        <f>IF(M47="","",IF(VLOOKUP(M47,'G-3 Multipliers'!$L$3:$N$6,3,FALSE)=0,"Spatial Data Missing",VLOOKUP(M47,'G-3 Multipliers'!$L$3:$N$6,3,FALSE)))</f>
        <v/>
      </c>
      <c r="P47" s="177" t="str">
        <f>IFERROR(VLOOKUP(G47,'G-1 All Habitats'!$B$2:$M$130,12,FALSE),"")</f>
        <v/>
      </c>
      <c r="Q47" s="81" t="str">
        <f>IFERROR(IF(P47="","",IF(AND(P47='G-1 All Habitats'!$X$3,T47&gt;0),U47+V47,IF(AND(P47='G-1 All Habitats'!$X$3,S47&gt;0),U47+V47,IF(AND(P47='G-1 All Habitats'!$X$3,AC47&gt;0),"Any Loss Unacceptable",IF(AND(P47='G-1 All Habitats'!$X$3,W47&gt;0),"Any Loss Unacceptable",H47*J47*L47*O47))))),"Check Data")</f>
        <v/>
      </c>
      <c r="R47" s="55"/>
      <c r="S47" s="79"/>
      <c r="T47" s="82"/>
      <c r="U47" s="83" t="str">
        <f t="shared" si="2"/>
        <v/>
      </c>
      <c r="V47" s="83" t="str">
        <f t="shared" si="3"/>
        <v/>
      </c>
      <c r="W47" s="83" t="str">
        <f>IF(E47="","",IF(H47&lt;S47+T47,"Error in Areas",IF(P47&lt;&gt;'G-1 All Habitats'!$X$3,H47-S47-T47,IF(AND(P47='G-1 All Habitats'!$X$3,Y47="Yes"),"Unacceptable Loss",IF(AND(P47='G-1 All Habitats'!$X$3,Y47="No"),AC47,IF(AND(P47='G-1 All Habitats'!$X$3,Y47=""),AC47,IF(AND(P47='G-1 All Habitats'!$X$3,AC47="None",AC47),IF(AND(P47='G-1 All Habitats'!$X$3,AC47&gt;0),H47-S47-T47))))))))</f>
        <v/>
      </c>
      <c r="X47" s="354" t="str">
        <f>IFERROR(IF(H47="","",IF(H47-S47-T47=0&lt;0,"Error in Areas",IF(S47+T47&gt;H47,"Error in Areas",IF(AND(P47='G-1 All Habitats'!$X$3,Y47="Yes"),"Alternative Compensation",IF(W47=0,0,IF(P47='G-1 All Habitats'!$X$3,"Unacceptable Loss",Q47-U47-V47)))))),"Check Data")</f>
        <v/>
      </c>
      <c r="Y47" s="82"/>
      <c r="Z47" s="182"/>
      <c r="AA47" s="183"/>
      <c r="AC47" s="371" t="str">
        <f>IF(P47="","",IF(P47='G-1 All Habitats'!$X$3,H47-S47-T47,"None"))</f>
        <v/>
      </c>
      <c r="AD47" s="372" t="str">
        <f t="shared" si="4"/>
        <v/>
      </c>
      <c r="AF47" s="188" t="str">
        <f t="shared" si="0"/>
        <v/>
      </c>
      <c r="AG47" s="188" t="str">
        <f t="shared" si="1"/>
        <v/>
      </c>
      <c r="AH47" s="188" t="str">
        <f>IF(I47="","",IF(#REF!&gt;0,TRUE,FALSE))</f>
        <v/>
      </c>
      <c r="AI47" s="188">
        <v>37</v>
      </c>
      <c r="AJ47" s="188"/>
      <c r="AK47" s="188" t="str">
        <f t="array" ref="AK47">IFERROR(INDEX($AI$11:$AI$259, MATCH(0, IF(TRUE=$AF$11:$AF$259, COUNTIF($AK$10:$AK46, $AI$11:$AI$259), ""), 0)),"")</f>
        <v/>
      </c>
      <c r="AL47" s="188" t="str">
        <f t="array" ref="AL47">IFERROR(INDEX($AI$11:$AI$259, MATCH(0, IF(TRUE=$AG$11:$AG$259, COUNTIF($AL$10:$AL46, $AI$11:$AI$259), ""), 0)),"")</f>
        <v/>
      </c>
      <c r="AM47" s="188" t="str">
        <f t="array" ref="AM47">IFERROR(INDEX($AI$11:$AI$259, MATCH(0, IF(TRUE=$AH$11:$AH$259, COUNTIF($AM$10:$AM46, $AI$11:$AI$259), ""), 0)),"")</f>
        <v/>
      </c>
      <c r="AQ47" s="35">
        <f t="shared" si="5"/>
        <v>0</v>
      </c>
    </row>
    <row r="48" spans="1:43" x14ac:dyDescent="0.25">
      <c r="A48" s="35" t="str">
        <f>IFERROR(INDEX('G-1 All Habitats'!$AG$3:$AG$15,MATCH(E48,'G-1 All Habitats'!$AF$3:$AF$15,0)),"")</f>
        <v/>
      </c>
      <c r="B48" s="35" t="str">
        <f>IFERROR(INDEX('G-8 Condition Look up'!$I$4:$I$131,MATCH(G48,'G-8 Condition Look up'!$A$4:$A$131,0)),"")</f>
        <v/>
      </c>
      <c r="D48" s="168">
        <v>38</v>
      </c>
      <c r="E48" s="275"/>
      <c r="F48" s="275"/>
      <c r="G48" s="370" t="str">
        <f>IFERROR(INDEX('G-1 All Habitats'!$B$3:$B$130,MATCH(F48,'G-1 All Habitats'!$A$3:$A$130,0)),"")</f>
        <v/>
      </c>
      <c r="H48" s="213"/>
      <c r="I48" s="171" t="str">
        <f>IF(G48="","",VLOOKUP(G48,'G-1 All Habitats'!$B$2:$M$130,10,FALSE))</f>
        <v/>
      </c>
      <c r="J48" s="172" t="str">
        <f>IFERROR(VLOOKUP(I48,'G-1 All Habitats'!$V$3:$W$7,2,FALSE),"")</f>
        <v/>
      </c>
      <c r="K48" s="173"/>
      <c r="L48" s="172" t="str">
        <f>IFERROR(INDEX('G-8 Condition Look up'!$A$3:$H$131,MATCH(G48,'G-8 Condition Look up'!$A$3:$A$131,0),MATCH(K48,'G-8 Condition Look up'!$A$3:$H$3,0)),"")</f>
        <v/>
      </c>
      <c r="M48" s="186"/>
      <c r="N48" s="175" t="str">
        <f>IF(M48="","",IF(VLOOKUP(M48,'G-3 Multipliers'!$L$3:$N$6,2,FALSE)=0,"Spatial Data Missing",VLOOKUP(M48,'G-3 Multipliers'!$L$3:$N$6,2,FALSE)))</f>
        <v/>
      </c>
      <c r="O48" s="176" t="str">
        <f>IF(M48="","",IF(VLOOKUP(M48,'G-3 Multipliers'!$L$3:$N$6,3,FALSE)=0,"Spatial Data Missing",VLOOKUP(M48,'G-3 Multipliers'!$L$3:$N$6,3,FALSE)))</f>
        <v/>
      </c>
      <c r="P48" s="177" t="str">
        <f>IFERROR(VLOOKUP(G48,'G-1 All Habitats'!$B$2:$M$130,12,FALSE),"")</f>
        <v/>
      </c>
      <c r="Q48" s="81" t="str">
        <f>IFERROR(IF(P48="","",IF(AND(P48='G-1 All Habitats'!$X$3,T48&gt;0),U48+V48,IF(AND(P48='G-1 All Habitats'!$X$3,S48&gt;0),U48+V48,IF(AND(P48='G-1 All Habitats'!$X$3,AC48&gt;0),"Any Loss Unacceptable",IF(AND(P48='G-1 All Habitats'!$X$3,W48&gt;0),"Any Loss Unacceptable",H48*J48*L48*O48))))),"Check Data")</f>
        <v/>
      </c>
      <c r="R48" s="55"/>
      <c r="S48" s="79"/>
      <c r="T48" s="82"/>
      <c r="U48" s="83" t="str">
        <f t="shared" si="2"/>
        <v/>
      </c>
      <c r="V48" s="83" t="str">
        <f t="shared" si="3"/>
        <v/>
      </c>
      <c r="W48" s="83" t="str">
        <f>IF(E48="","",IF(H48&lt;S48+T48,"Error in Areas",IF(P48&lt;&gt;'G-1 All Habitats'!$X$3,H48-S48-T48,IF(AND(P48='G-1 All Habitats'!$X$3,Y48="Yes"),"Unacceptable Loss",IF(AND(P48='G-1 All Habitats'!$X$3,Y48="No"),AC48,IF(AND(P48='G-1 All Habitats'!$X$3,Y48=""),AC48,IF(AND(P48='G-1 All Habitats'!$X$3,AC48="None",AC48),IF(AND(P48='G-1 All Habitats'!$X$3,AC48&gt;0),H48-S48-T48))))))))</f>
        <v/>
      </c>
      <c r="X48" s="354" t="str">
        <f>IFERROR(IF(H48="","",IF(H48-S48-T48=0&lt;0,"Error in Areas",IF(S48+T48&gt;H48,"Error in Areas",IF(AND(P48='G-1 All Habitats'!$X$3,Y48="Yes"),"Alternative Compensation",IF(W48=0,0,IF(P48='G-1 All Habitats'!$X$3,"Unacceptable Loss",Q48-U48-V48)))))),"Check Data")</f>
        <v/>
      </c>
      <c r="Y48" s="82"/>
      <c r="Z48" s="182"/>
      <c r="AA48" s="183"/>
      <c r="AC48" s="371" t="str">
        <f>IF(P48="","",IF(P48='G-1 All Habitats'!$X$3,H48-S48-T48,"None"))</f>
        <v/>
      </c>
      <c r="AD48" s="372" t="str">
        <f t="shared" si="4"/>
        <v/>
      </c>
      <c r="AF48" s="188" t="str">
        <f t="shared" si="0"/>
        <v/>
      </c>
      <c r="AG48" s="188" t="str">
        <f t="shared" si="1"/>
        <v/>
      </c>
      <c r="AH48" s="188" t="str">
        <f>IF(I48="","",IF(#REF!&gt;0,TRUE,FALSE))</f>
        <v/>
      </c>
      <c r="AI48" s="188">
        <v>38</v>
      </c>
      <c r="AJ48" s="188"/>
      <c r="AK48" s="188" t="str">
        <f t="array" ref="AK48">IFERROR(INDEX($AI$11:$AI$259, MATCH(0, IF(TRUE=$AF$11:$AF$259, COUNTIF($AK$10:$AK47, $AI$11:$AI$259), ""), 0)),"")</f>
        <v/>
      </c>
      <c r="AL48" s="188" t="str">
        <f t="array" ref="AL48">IFERROR(INDEX($AI$11:$AI$259, MATCH(0, IF(TRUE=$AG$11:$AG$259, COUNTIF($AL$10:$AL47, $AI$11:$AI$259), ""), 0)),"")</f>
        <v/>
      </c>
      <c r="AM48" s="188" t="str">
        <f t="array" ref="AM48">IFERROR(INDEX($AI$11:$AI$259, MATCH(0, IF(TRUE=$AH$11:$AH$259, COUNTIF($AM$10:$AM47, $AI$11:$AI$259), ""), 0)),"")</f>
        <v/>
      </c>
      <c r="AQ48" s="35">
        <f t="shared" si="5"/>
        <v>0</v>
      </c>
    </row>
    <row r="49" spans="1:43" x14ac:dyDescent="0.25">
      <c r="A49" s="35" t="str">
        <f>IFERROR(INDEX('G-1 All Habitats'!$AG$3:$AG$15,MATCH(E49,'G-1 All Habitats'!$AF$3:$AF$15,0)),"")</f>
        <v/>
      </c>
      <c r="B49" s="35" t="str">
        <f>IFERROR(INDEX('G-8 Condition Look up'!$I$4:$I$131,MATCH(G49,'G-8 Condition Look up'!$A$4:$A$131,0)),"")</f>
        <v/>
      </c>
      <c r="D49" s="168">
        <v>39</v>
      </c>
      <c r="E49" s="275"/>
      <c r="F49" s="275"/>
      <c r="G49" s="370" t="str">
        <f>IFERROR(INDEX('G-1 All Habitats'!$B$3:$B$130,MATCH(F49,'G-1 All Habitats'!$A$3:$A$130,0)),"")</f>
        <v/>
      </c>
      <c r="H49" s="213"/>
      <c r="I49" s="171" t="str">
        <f>IF(G49="","",VLOOKUP(G49,'G-1 All Habitats'!$B$2:$M$130,10,FALSE))</f>
        <v/>
      </c>
      <c r="J49" s="172" t="str">
        <f>IFERROR(VLOOKUP(I49,'G-1 All Habitats'!$V$3:$W$7,2,FALSE),"")</f>
        <v/>
      </c>
      <c r="K49" s="173"/>
      <c r="L49" s="172" t="str">
        <f>IFERROR(INDEX('G-8 Condition Look up'!$A$3:$H$131,MATCH(G49,'G-8 Condition Look up'!$A$3:$A$131,0),MATCH(K49,'G-8 Condition Look up'!$A$3:$H$3,0)),"")</f>
        <v/>
      </c>
      <c r="M49" s="186"/>
      <c r="N49" s="175" t="str">
        <f>IF(M49="","",IF(VLOOKUP(M49,'G-3 Multipliers'!$L$3:$N$6,2,FALSE)=0,"Spatial Data Missing",VLOOKUP(M49,'G-3 Multipliers'!$L$3:$N$6,2,FALSE)))</f>
        <v/>
      </c>
      <c r="O49" s="176" t="str">
        <f>IF(M49="","",IF(VLOOKUP(M49,'G-3 Multipliers'!$L$3:$N$6,3,FALSE)=0,"Spatial Data Missing",VLOOKUP(M49,'G-3 Multipliers'!$L$3:$N$6,3,FALSE)))</f>
        <v/>
      </c>
      <c r="P49" s="177" t="str">
        <f>IFERROR(VLOOKUP(G49,'G-1 All Habitats'!$B$2:$M$130,12,FALSE),"")</f>
        <v/>
      </c>
      <c r="Q49" s="81" t="str">
        <f>IFERROR(IF(P49="","",IF(AND(P49='G-1 All Habitats'!$X$3,T49&gt;0),U49+V49,IF(AND(P49='G-1 All Habitats'!$X$3,S49&gt;0),U49+V49,IF(AND(P49='G-1 All Habitats'!$X$3,AC49&gt;0),"Any Loss Unacceptable",IF(AND(P49='G-1 All Habitats'!$X$3,W49&gt;0),"Any Loss Unacceptable",H49*J49*L49*O49))))),"Check Data")</f>
        <v/>
      </c>
      <c r="R49" s="55"/>
      <c r="S49" s="79"/>
      <c r="T49" s="82"/>
      <c r="U49" s="83" t="str">
        <f t="shared" si="2"/>
        <v/>
      </c>
      <c r="V49" s="83" t="str">
        <f t="shared" si="3"/>
        <v/>
      </c>
      <c r="W49" s="83" t="str">
        <f>IF(E49="","",IF(H49&lt;S49+T49,"Error in Areas",IF(P49&lt;&gt;'G-1 All Habitats'!$X$3,H49-S49-T49,IF(AND(P49='G-1 All Habitats'!$X$3,Y49="Yes"),"Unacceptable Loss",IF(AND(P49='G-1 All Habitats'!$X$3,Y49="No"),AC49,IF(AND(P49='G-1 All Habitats'!$X$3,Y49=""),AC49,IF(AND(P49='G-1 All Habitats'!$X$3,AC49="None",AC49),IF(AND(P49='G-1 All Habitats'!$X$3,AC49&gt;0),H49-S49-T49))))))))</f>
        <v/>
      </c>
      <c r="X49" s="354" t="str">
        <f>IFERROR(IF(H49="","",IF(H49-S49-T49=0&lt;0,"Error in Areas",IF(S49+T49&gt;H49,"Error in Areas",IF(AND(P49='G-1 All Habitats'!$X$3,Y49="Yes"),"Alternative Compensation",IF(W49=0,0,IF(P49='G-1 All Habitats'!$X$3,"Unacceptable Loss",Q49-U49-V49)))))),"Check Data")</f>
        <v/>
      </c>
      <c r="Y49" s="82"/>
      <c r="Z49" s="182"/>
      <c r="AA49" s="183"/>
      <c r="AC49" s="371" t="str">
        <f>IF(P49="","",IF(P49='G-1 All Habitats'!$X$3,H49-S49-T49,"None"))</f>
        <v/>
      </c>
      <c r="AD49" s="372" t="str">
        <f t="shared" si="4"/>
        <v/>
      </c>
      <c r="AF49" s="188" t="str">
        <f t="shared" si="0"/>
        <v/>
      </c>
      <c r="AG49" s="188" t="str">
        <f t="shared" si="1"/>
        <v/>
      </c>
      <c r="AH49" s="188" t="str">
        <f>IF(I49="","",IF(#REF!&gt;0,TRUE,FALSE))</f>
        <v/>
      </c>
      <c r="AI49" s="188">
        <v>39</v>
      </c>
      <c r="AJ49" s="188"/>
      <c r="AK49" s="188" t="str">
        <f t="array" ref="AK49">IFERROR(INDEX($AI$11:$AI$259, MATCH(0, IF(TRUE=$AF$11:$AF$259, COUNTIF($AK$10:$AK48, $AI$11:$AI$259), ""), 0)),"")</f>
        <v/>
      </c>
      <c r="AL49" s="188" t="str">
        <f t="array" ref="AL49">IFERROR(INDEX($AI$11:$AI$259, MATCH(0, IF(TRUE=$AG$11:$AG$259, COUNTIF($AL$10:$AL48, $AI$11:$AI$259), ""), 0)),"")</f>
        <v/>
      </c>
      <c r="AM49" s="188" t="str">
        <f t="array" ref="AM49">IFERROR(INDEX($AI$11:$AI$259, MATCH(0, IF(TRUE=$AH$11:$AH$259, COUNTIF($AM$10:$AM48, $AI$11:$AI$259), ""), 0)),"")</f>
        <v/>
      </c>
      <c r="AQ49" s="35">
        <f t="shared" si="5"/>
        <v>0</v>
      </c>
    </row>
    <row r="50" spans="1:43" x14ac:dyDescent="0.25">
      <c r="A50" s="35" t="str">
        <f>IFERROR(INDEX('G-1 All Habitats'!$AG$3:$AG$15,MATCH(E50,'G-1 All Habitats'!$AF$3:$AF$15,0)),"")</f>
        <v/>
      </c>
      <c r="B50" s="35" t="str">
        <f>IFERROR(INDEX('G-8 Condition Look up'!$I$4:$I$131,MATCH(G50,'G-8 Condition Look up'!$A$4:$A$131,0)),"")</f>
        <v/>
      </c>
      <c r="D50" s="168">
        <v>40</v>
      </c>
      <c r="E50" s="275"/>
      <c r="F50" s="275"/>
      <c r="G50" s="370" t="str">
        <f>IFERROR(INDEX('G-1 All Habitats'!$B$3:$B$130,MATCH(F50,'G-1 All Habitats'!$A$3:$A$130,0)),"")</f>
        <v/>
      </c>
      <c r="H50" s="213"/>
      <c r="I50" s="171" t="str">
        <f>IF(G50="","",VLOOKUP(G50,'G-1 All Habitats'!$B$2:$M$130,10,FALSE))</f>
        <v/>
      </c>
      <c r="J50" s="172" t="str">
        <f>IFERROR(VLOOKUP(I50,'G-1 All Habitats'!$V$3:$W$7,2,FALSE),"")</f>
        <v/>
      </c>
      <c r="K50" s="173"/>
      <c r="L50" s="172" t="str">
        <f>IFERROR(INDEX('G-8 Condition Look up'!$A$3:$H$131,MATCH(G50,'G-8 Condition Look up'!$A$3:$A$131,0),MATCH(K50,'G-8 Condition Look up'!$A$3:$H$3,0)),"")</f>
        <v/>
      </c>
      <c r="M50" s="186"/>
      <c r="N50" s="175" t="str">
        <f>IF(M50="","",IF(VLOOKUP(M50,'G-3 Multipliers'!$L$3:$N$6,2,FALSE)=0,"Spatial Data Missing",VLOOKUP(M50,'G-3 Multipliers'!$L$3:$N$6,2,FALSE)))</f>
        <v/>
      </c>
      <c r="O50" s="176" t="str">
        <f>IF(M50="","",IF(VLOOKUP(M50,'G-3 Multipliers'!$L$3:$N$6,3,FALSE)=0,"Spatial Data Missing",VLOOKUP(M50,'G-3 Multipliers'!$L$3:$N$6,3,FALSE)))</f>
        <v/>
      </c>
      <c r="P50" s="177" t="str">
        <f>IFERROR(VLOOKUP(G50,'G-1 All Habitats'!$B$2:$M$130,12,FALSE),"")</f>
        <v/>
      </c>
      <c r="Q50" s="81" t="str">
        <f>IFERROR(IF(P50="","",IF(AND(P50='G-1 All Habitats'!$X$3,T50&gt;0),U50+V50,IF(AND(P50='G-1 All Habitats'!$X$3,S50&gt;0),U50+V50,IF(AND(P50='G-1 All Habitats'!$X$3,AC50&gt;0),"Any Loss Unacceptable",IF(AND(P50='G-1 All Habitats'!$X$3,W50&gt;0),"Any Loss Unacceptable",H50*J50*L50*O50))))),"Check Data")</f>
        <v/>
      </c>
      <c r="R50" s="55"/>
      <c r="S50" s="79"/>
      <c r="T50" s="82"/>
      <c r="U50" s="83" t="str">
        <f t="shared" si="2"/>
        <v/>
      </c>
      <c r="V50" s="83" t="str">
        <f t="shared" si="3"/>
        <v/>
      </c>
      <c r="W50" s="83" t="str">
        <f>IF(E50="","",IF(H50&lt;S50+T50,"Error in Areas",IF(P50&lt;&gt;'G-1 All Habitats'!$X$3,H50-S50-T50,IF(AND(P50='G-1 All Habitats'!$X$3,Y50="Yes"),"Unacceptable Loss",IF(AND(P50='G-1 All Habitats'!$X$3,Y50="No"),AC50,IF(AND(P50='G-1 All Habitats'!$X$3,Y50=""),AC50,IF(AND(P50='G-1 All Habitats'!$X$3,AC50="None",AC50),IF(AND(P50='G-1 All Habitats'!$X$3,AC50&gt;0),H50-S50-T50))))))))</f>
        <v/>
      </c>
      <c r="X50" s="354" t="str">
        <f>IFERROR(IF(H50="","",IF(H50-S50-T50=0&lt;0,"Error in Areas",IF(S50+T50&gt;H50,"Error in Areas",IF(AND(P50='G-1 All Habitats'!$X$3,Y50="Yes"),"Alternative Compensation",IF(W50=0,0,IF(P50='G-1 All Habitats'!$X$3,"Unacceptable Loss",Q50-U50-V50)))))),"Check Data")</f>
        <v/>
      </c>
      <c r="Y50" s="82"/>
      <c r="Z50" s="182"/>
      <c r="AA50" s="183"/>
      <c r="AC50" s="371" t="str">
        <f>IF(P50="","",IF(P50='G-1 All Habitats'!$X$3,H50-S50-T50,"None"))</f>
        <v/>
      </c>
      <c r="AD50" s="372" t="str">
        <f t="shared" si="4"/>
        <v/>
      </c>
      <c r="AF50" s="188" t="str">
        <f t="shared" si="0"/>
        <v/>
      </c>
      <c r="AG50" s="188" t="str">
        <f t="shared" si="1"/>
        <v/>
      </c>
      <c r="AH50" s="188" t="str">
        <f>IF(I50="","",IF(#REF!&gt;0,TRUE,FALSE))</f>
        <v/>
      </c>
      <c r="AI50" s="188">
        <v>40</v>
      </c>
      <c r="AJ50" s="188"/>
      <c r="AK50" s="188" t="str">
        <f t="array" ref="AK50">IFERROR(INDEX($AI$11:$AI$259, MATCH(0, IF(TRUE=$AF$11:$AF$259, COUNTIF($AK$10:$AK49, $AI$11:$AI$259), ""), 0)),"")</f>
        <v/>
      </c>
      <c r="AL50" s="188" t="str">
        <f t="array" ref="AL50">IFERROR(INDEX($AI$11:$AI$259, MATCH(0, IF(TRUE=$AG$11:$AG$259, COUNTIF($AL$10:$AL49, $AI$11:$AI$259), ""), 0)),"")</f>
        <v/>
      </c>
      <c r="AM50" s="188" t="str">
        <f t="array" ref="AM50">IFERROR(INDEX($AI$11:$AI$259, MATCH(0, IF(TRUE=$AH$11:$AH$259, COUNTIF($AM$10:$AM49, $AI$11:$AI$259), ""), 0)),"")</f>
        <v/>
      </c>
      <c r="AQ50" s="35">
        <f t="shared" si="5"/>
        <v>0</v>
      </c>
    </row>
    <row r="51" spans="1:43" x14ac:dyDescent="0.25">
      <c r="A51" s="35" t="str">
        <f>IFERROR(INDEX('G-1 All Habitats'!$AG$3:$AG$15,MATCH(E51,'G-1 All Habitats'!$AF$3:$AF$15,0)),"")</f>
        <v/>
      </c>
      <c r="B51" s="35" t="str">
        <f>IFERROR(INDEX('G-8 Condition Look up'!$I$4:$I$131,MATCH(G51,'G-8 Condition Look up'!$A$4:$A$131,0)),"")</f>
        <v/>
      </c>
      <c r="D51" s="168">
        <v>41</v>
      </c>
      <c r="E51" s="275"/>
      <c r="F51" s="275"/>
      <c r="G51" s="370" t="str">
        <f>IFERROR(INDEX('G-1 All Habitats'!$B$3:$B$130,MATCH(F51,'G-1 All Habitats'!$A$3:$A$130,0)),"")</f>
        <v/>
      </c>
      <c r="H51" s="213"/>
      <c r="I51" s="171" t="str">
        <f>IF(G51="","",VLOOKUP(G51,'G-1 All Habitats'!$B$2:$M$130,10,FALSE))</f>
        <v/>
      </c>
      <c r="J51" s="172" t="str">
        <f>IFERROR(VLOOKUP(I51,'G-1 All Habitats'!$V$3:$W$7,2,FALSE),"")</f>
        <v/>
      </c>
      <c r="K51" s="173"/>
      <c r="L51" s="172" t="str">
        <f>IFERROR(INDEX('G-8 Condition Look up'!$A$3:$H$131,MATCH(G51,'G-8 Condition Look up'!$A$3:$A$131,0),MATCH(K51,'G-8 Condition Look up'!$A$3:$H$3,0)),"")</f>
        <v/>
      </c>
      <c r="M51" s="186"/>
      <c r="N51" s="175" t="str">
        <f>IF(M51="","",IF(VLOOKUP(M51,'G-3 Multipliers'!$L$3:$N$6,2,FALSE)=0,"Spatial Data Missing",VLOOKUP(M51,'G-3 Multipliers'!$L$3:$N$6,2,FALSE)))</f>
        <v/>
      </c>
      <c r="O51" s="176" t="str">
        <f>IF(M51="","",IF(VLOOKUP(M51,'G-3 Multipliers'!$L$3:$N$6,3,FALSE)=0,"Spatial Data Missing",VLOOKUP(M51,'G-3 Multipliers'!$L$3:$N$6,3,FALSE)))</f>
        <v/>
      </c>
      <c r="P51" s="177" t="str">
        <f>IFERROR(VLOOKUP(G51,'G-1 All Habitats'!$B$2:$M$130,12,FALSE),"")</f>
        <v/>
      </c>
      <c r="Q51" s="81" t="str">
        <f>IFERROR(IF(P51="","",IF(AND(P51='G-1 All Habitats'!$X$3,T51&gt;0),U51+V51,IF(AND(P51='G-1 All Habitats'!$X$3,S51&gt;0),U51+V51,IF(AND(P51='G-1 All Habitats'!$X$3,AC51&gt;0),"Any Loss Unacceptable",IF(AND(P51='G-1 All Habitats'!$X$3,W51&gt;0),"Any Loss Unacceptable",H51*J51*L51*O51))))),"Check Data")</f>
        <v/>
      </c>
      <c r="R51" s="55"/>
      <c r="S51" s="79"/>
      <c r="T51" s="82"/>
      <c r="U51" s="83" t="str">
        <f t="shared" si="2"/>
        <v/>
      </c>
      <c r="V51" s="83" t="str">
        <f t="shared" si="3"/>
        <v/>
      </c>
      <c r="W51" s="83" t="str">
        <f>IF(E51="","",IF(H51&lt;S51+T51,"Error in Areas",IF(P51&lt;&gt;'G-1 All Habitats'!$X$3,H51-S51-T51,IF(AND(P51='G-1 All Habitats'!$X$3,Y51="Yes"),"Unacceptable Loss",IF(AND(P51='G-1 All Habitats'!$X$3,Y51="No"),AC51,IF(AND(P51='G-1 All Habitats'!$X$3,Y51=""),AC51,IF(AND(P51='G-1 All Habitats'!$X$3,AC51="None",AC51),IF(AND(P51='G-1 All Habitats'!$X$3,AC51&gt;0),H51-S51-T51))))))))</f>
        <v/>
      </c>
      <c r="X51" s="354" t="str">
        <f>IFERROR(IF(H51="","",IF(H51-S51-T51=0&lt;0,"Error in Areas",IF(S51+T51&gt;H51,"Error in Areas",IF(AND(P51='G-1 All Habitats'!$X$3,Y51="Yes"),"Alternative Compensation",IF(W51=0,0,IF(P51='G-1 All Habitats'!$X$3,"Unacceptable Loss",Q51-U51-V51)))))),"Check Data")</f>
        <v/>
      </c>
      <c r="Y51" s="82"/>
      <c r="Z51" s="182"/>
      <c r="AA51" s="183"/>
      <c r="AC51" s="371" t="str">
        <f>IF(P51="","",IF(P51='G-1 All Habitats'!$X$3,H51-S51-T51,"None"))</f>
        <v/>
      </c>
      <c r="AD51" s="372" t="str">
        <f t="shared" si="4"/>
        <v/>
      </c>
      <c r="AF51" s="188" t="str">
        <f t="shared" si="0"/>
        <v/>
      </c>
      <c r="AG51" s="188" t="str">
        <f t="shared" si="1"/>
        <v/>
      </c>
      <c r="AH51" s="188" t="str">
        <f>IF(I51="","",IF(#REF!&gt;0,TRUE,FALSE))</f>
        <v/>
      </c>
      <c r="AI51" s="188">
        <v>41</v>
      </c>
      <c r="AJ51" s="188"/>
      <c r="AK51" s="188" t="str">
        <f t="array" ref="AK51">IFERROR(INDEX($AI$11:$AI$259, MATCH(0, IF(TRUE=$AF$11:$AF$259, COUNTIF($AK$10:$AK50, $AI$11:$AI$259), ""), 0)),"")</f>
        <v/>
      </c>
      <c r="AL51" s="188" t="str">
        <f t="array" ref="AL51">IFERROR(INDEX($AI$11:$AI$259, MATCH(0, IF(TRUE=$AG$11:$AG$259, COUNTIF($AL$10:$AL50, $AI$11:$AI$259), ""), 0)),"")</f>
        <v/>
      </c>
      <c r="AM51" s="188" t="str">
        <f t="array" ref="AM51">IFERROR(INDEX($AI$11:$AI$259, MATCH(0, IF(TRUE=$AH$11:$AH$259, COUNTIF($AM$10:$AM50, $AI$11:$AI$259), ""), 0)),"")</f>
        <v/>
      </c>
      <c r="AQ51" s="35">
        <f t="shared" si="5"/>
        <v>0</v>
      </c>
    </row>
    <row r="52" spans="1:43" x14ac:dyDescent="0.25">
      <c r="A52" s="35" t="str">
        <f>IFERROR(INDEX('G-1 All Habitats'!$AG$3:$AG$15,MATCH(E52,'G-1 All Habitats'!$AF$3:$AF$15,0)),"")</f>
        <v/>
      </c>
      <c r="B52" s="35" t="str">
        <f>IFERROR(INDEX('G-8 Condition Look up'!$I$4:$I$131,MATCH(G52,'G-8 Condition Look up'!$A$4:$A$131,0)),"")</f>
        <v/>
      </c>
      <c r="D52" s="168">
        <v>42</v>
      </c>
      <c r="E52" s="275"/>
      <c r="F52" s="275"/>
      <c r="G52" s="370" t="str">
        <f>IFERROR(INDEX('G-1 All Habitats'!$B$3:$B$130,MATCH(F52,'G-1 All Habitats'!$A$3:$A$130,0)),"")</f>
        <v/>
      </c>
      <c r="H52" s="213"/>
      <c r="I52" s="171" t="str">
        <f>IF(G52="","",VLOOKUP(G52,'G-1 All Habitats'!$B$2:$M$130,10,FALSE))</f>
        <v/>
      </c>
      <c r="J52" s="172" t="str">
        <f>IFERROR(VLOOKUP(I52,'G-1 All Habitats'!$V$3:$W$7,2,FALSE),"")</f>
        <v/>
      </c>
      <c r="K52" s="173"/>
      <c r="L52" s="172" t="str">
        <f>IFERROR(INDEX('G-8 Condition Look up'!$A$3:$H$131,MATCH(G52,'G-8 Condition Look up'!$A$3:$A$131,0),MATCH(K52,'G-8 Condition Look up'!$A$3:$H$3,0)),"")</f>
        <v/>
      </c>
      <c r="M52" s="186"/>
      <c r="N52" s="175" t="str">
        <f>IF(M52="","",IF(VLOOKUP(M52,'G-3 Multipliers'!$L$3:$N$6,2,FALSE)=0,"Spatial Data Missing",VLOOKUP(M52,'G-3 Multipliers'!$L$3:$N$6,2,FALSE)))</f>
        <v/>
      </c>
      <c r="O52" s="176" t="str">
        <f>IF(M52="","",IF(VLOOKUP(M52,'G-3 Multipliers'!$L$3:$N$6,3,FALSE)=0,"Spatial Data Missing",VLOOKUP(M52,'G-3 Multipliers'!$L$3:$N$6,3,FALSE)))</f>
        <v/>
      </c>
      <c r="P52" s="177" t="str">
        <f>IFERROR(VLOOKUP(G52,'G-1 All Habitats'!$B$2:$M$130,12,FALSE),"")</f>
        <v/>
      </c>
      <c r="Q52" s="81" t="str">
        <f>IFERROR(IF(P52="","",IF(AND(P52='G-1 All Habitats'!$X$3,T52&gt;0),U52+V52,IF(AND(P52='G-1 All Habitats'!$X$3,S52&gt;0),U52+V52,IF(AND(P52='G-1 All Habitats'!$X$3,AC52&gt;0),"Any Loss Unacceptable",IF(AND(P52='G-1 All Habitats'!$X$3,W52&gt;0),"Any Loss Unacceptable",H52*J52*L52*O52))))),"Check Data")</f>
        <v/>
      </c>
      <c r="R52" s="55"/>
      <c r="S52" s="79"/>
      <c r="T52" s="82"/>
      <c r="U52" s="83" t="str">
        <f t="shared" si="2"/>
        <v/>
      </c>
      <c r="V52" s="83" t="str">
        <f t="shared" si="3"/>
        <v/>
      </c>
      <c r="W52" s="83" t="str">
        <f>IF(E52="","",IF(H52&lt;S52+T52,"Error in Areas",IF(P52&lt;&gt;'G-1 All Habitats'!$X$3,H52-S52-T52,IF(AND(P52='G-1 All Habitats'!$X$3,Y52="Yes"),"Unacceptable Loss",IF(AND(P52='G-1 All Habitats'!$X$3,Y52="No"),AC52,IF(AND(P52='G-1 All Habitats'!$X$3,Y52=""),AC52,IF(AND(P52='G-1 All Habitats'!$X$3,AC52="None",AC52),IF(AND(P52='G-1 All Habitats'!$X$3,AC52&gt;0),H52-S52-T52))))))))</f>
        <v/>
      </c>
      <c r="X52" s="354" t="str">
        <f>IFERROR(IF(H52="","",IF(H52-S52-T52=0&lt;0,"Error in Areas",IF(S52+T52&gt;H52,"Error in Areas",IF(AND(P52='G-1 All Habitats'!$X$3,Y52="Yes"),"Alternative Compensation",IF(W52=0,0,IF(P52='G-1 All Habitats'!$X$3,"Unacceptable Loss",Q52-U52-V52)))))),"Check Data")</f>
        <v/>
      </c>
      <c r="Y52" s="82"/>
      <c r="Z52" s="182"/>
      <c r="AA52" s="183"/>
      <c r="AC52" s="371" t="str">
        <f>IF(P52="","",IF(P52='G-1 All Habitats'!$X$3,H52-S52-T52,"None"))</f>
        <v/>
      </c>
      <c r="AD52" s="372" t="str">
        <f t="shared" si="4"/>
        <v/>
      </c>
      <c r="AF52" s="188" t="str">
        <f t="shared" si="0"/>
        <v/>
      </c>
      <c r="AG52" s="188" t="str">
        <f t="shared" si="1"/>
        <v/>
      </c>
      <c r="AH52" s="188" t="str">
        <f>IF(I52="","",IF(#REF!&gt;0,TRUE,FALSE))</f>
        <v/>
      </c>
      <c r="AI52" s="188">
        <v>42</v>
      </c>
      <c r="AJ52" s="188"/>
      <c r="AK52" s="188" t="str">
        <f t="array" ref="AK52">IFERROR(INDEX($AI$11:$AI$259, MATCH(0, IF(TRUE=$AF$11:$AF$259, COUNTIF($AK$10:$AK51, $AI$11:$AI$259), ""), 0)),"")</f>
        <v/>
      </c>
      <c r="AL52" s="188" t="str">
        <f t="array" ref="AL52">IFERROR(INDEX($AI$11:$AI$259, MATCH(0, IF(TRUE=$AG$11:$AG$259, COUNTIF($AL$10:$AL51, $AI$11:$AI$259), ""), 0)),"")</f>
        <v/>
      </c>
      <c r="AM52" s="188" t="str">
        <f t="array" ref="AM52">IFERROR(INDEX($AI$11:$AI$259, MATCH(0, IF(TRUE=$AH$11:$AH$259, COUNTIF($AM$10:$AM51, $AI$11:$AI$259), ""), 0)),"")</f>
        <v/>
      </c>
      <c r="AQ52" s="35">
        <f t="shared" si="5"/>
        <v>0</v>
      </c>
    </row>
    <row r="53" spans="1:43" x14ac:dyDescent="0.25">
      <c r="A53" s="35" t="str">
        <f>IFERROR(INDEX('G-1 All Habitats'!$AG$3:$AG$15,MATCH(E53,'G-1 All Habitats'!$AF$3:$AF$15,0)),"")</f>
        <v/>
      </c>
      <c r="B53" s="35" t="str">
        <f>IFERROR(INDEX('G-8 Condition Look up'!$I$4:$I$131,MATCH(G53,'G-8 Condition Look up'!$A$4:$A$131,0)),"")</f>
        <v/>
      </c>
      <c r="D53" s="168">
        <v>43</v>
      </c>
      <c r="E53" s="275"/>
      <c r="F53" s="275"/>
      <c r="G53" s="370" t="str">
        <f>IFERROR(INDEX('G-1 All Habitats'!$B$3:$B$130,MATCH(F53,'G-1 All Habitats'!$A$3:$A$130,0)),"")</f>
        <v/>
      </c>
      <c r="H53" s="213"/>
      <c r="I53" s="171" t="str">
        <f>IF(G53="","",VLOOKUP(G53,'G-1 All Habitats'!$B$2:$M$130,10,FALSE))</f>
        <v/>
      </c>
      <c r="J53" s="172" t="str">
        <f>IFERROR(VLOOKUP(I53,'G-1 All Habitats'!$V$3:$W$7,2,FALSE),"")</f>
        <v/>
      </c>
      <c r="K53" s="173"/>
      <c r="L53" s="172" t="str">
        <f>IFERROR(INDEX('G-8 Condition Look up'!$A$3:$H$131,MATCH(G53,'G-8 Condition Look up'!$A$3:$A$131,0),MATCH(K53,'G-8 Condition Look up'!$A$3:$H$3,0)),"")</f>
        <v/>
      </c>
      <c r="M53" s="186"/>
      <c r="N53" s="175" t="str">
        <f>IF(M53="","",IF(VLOOKUP(M53,'G-3 Multipliers'!$L$3:$N$6,2,FALSE)=0,"Spatial Data Missing",VLOOKUP(M53,'G-3 Multipliers'!$L$3:$N$6,2,FALSE)))</f>
        <v/>
      </c>
      <c r="O53" s="176" t="str">
        <f>IF(M53="","",IF(VLOOKUP(M53,'G-3 Multipliers'!$L$3:$N$6,3,FALSE)=0,"Spatial Data Missing",VLOOKUP(M53,'G-3 Multipliers'!$L$3:$N$6,3,FALSE)))</f>
        <v/>
      </c>
      <c r="P53" s="177" t="str">
        <f>IFERROR(VLOOKUP(G53,'G-1 All Habitats'!$B$2:$M$130,12,FALSE),"")</f>
        <v/>
      </c>
      <c r="Q53" s="81" t="str">
        <f>IFERROR(IF(P53="","",IF(AND(P53='G-1 All Habitats'!$X$3,T53&gt;0),U53+V53,IF(AND(P53='G-1 All Habitats'!$X$3,S53&gt;0),U53+V53,IF(AND(P53='G-1 All Habitats'!$X$3,AC53&gt;0),"Any Loss Unacceptable",IF(AND(P53='G-1 All Habitats'!$X$3,W53&gt;0),"Any Loss Unacceptable",H53*J53*L53*O53))))),"Check Data")</f>
        <v/>
      </c>
      <c r="R53" s="55"/>
      <c r="S53" s="79"/>
      <c r="T53" s="82"/>
      <c r="U53" s="83" t="str">
        <f t="shared" si="2"/>
        <v/>
      </c>
      <c r="V53" s="83" t="str">
        <f t="shared" si="3"/>
        <v/>
      </c>
      <c r="W53" s="83" t="str">
        <f>IF(E53="","",IF(H53&lt;S53+T53,"Error in Areas",IF(P53&lt;&gt;'G-1 All Habitats'!$X$3,H53-S53-T53,IF(AND(P53='G-1 All Habitats'!$X$3,Y53="Yes"),"Unacceptable Loss",IF(AND(P53='G-1 All Habitats'!$X$3,Y53="No"),AC53,IF(AND(P53='G-1 All Habitats'!$X$3,Y53=""),AC53,IF(AND(P53='G-1 All Habitats'!$X$3,AC53="None",AC53),IF(AND(P53='G-1 All Habitats'!$X$3,AC53&gt;0),H53-S53-T53))))))))</f>
        <v/>
      </c>
      <c r="X53" s="354" t="str">
        <f>IFERROR(IF(H53="","",IF(H53-S53-T53=0&lt;0,"Error in Areas",IF(S53+T53&gt;H53,"Error in Areas",IF(AND(P53='G-1 All Habitats'!$X$3,Y53="Yes"),"Alternative Compensation",IF(W53=0,0,IF(P53='G-1 All Habitats'!$X$3,"Unacceptable Loss",Q53-U53-V53)))))),"Check Data")</f>
        <v/>
      </c>
      <c r="Y53" s="82"/>
      <c r="Z53" s="182"/>
      <c r="AA53" s="183"/>
      <c r="AC53" s="371" t="str">
        <f>IF(P53="","",IF(P53='G-1 All Habitats'!$X$3,H53-S53-T53,"None"))</f>
        <v/>
      </c>
      <c r="AD53" s="372" t="str">
        <f t="shared" si="4"/>
        <v/>
      </c>
      <c r="AF53" s="188" t="str">
        <f t="shared" si="0"/>
        <v/>
      </c>
      <c r="AG53" s="188" t="str">
        <f t="shared" si="1"/>
        <v/>
      </c>
      <c r="AH53" s="188" t="str">
        <f>IF(I53="","",IF(#REF!&gt;0,TRUE,FALSE))</f>
        <v/>
      </c>
      <c r="AI53" s="188">
        <v>43</v>
      </c>
      <c r="AJ53" s="188"/>
      <c r="AK53" s="188" t="str">
        <f t="array" ref="AK53">IFERROR(INDEX($AI$11:$AI$259, MATCH(0, IF(TRUE=$AF$11:$AF$259, COUNTIF($AK$10:$AK52, $AI$11:$AI$259), ""), 0)),"")</f>
        <v/>
      </c>
      <c r="AL53" s="188" t="str">
        <f t="array" ref="AL53">IFERROR(INDEX($AI$11:$AI$259, MATCH(0, IF(TRUE=$AG$11:$AG$259, COUNTIF($AL$10:$AL52, $AI$11:$AI$259), ""), 0)),"")</f>
        <v/>
      </c>
      <c r="AM53" s="188" t="str">
        <f t="array" ref="AM53">IFERROR(INDEX($AI$11:$AI$259, MATCH(0, IF(TRUE=$AH$11:$AH$259, COUNTIF($AM$10:$AM52, $AI$11:$AI$259), ""), 0)),"")</f>
        <v/>
      </c>
      <c r="AQ53" s="35">
        <f t="shared" si="5"/>
        <v>0</v>
      </c>
    </row>
    <row r="54" spans="1:43" x14ac:dyDescent="0.25">
      <c r="A54" s="35" t="str">
        <f>IFERROR(INDEX('G-1 All Habitats'!$AG$3:$AG$15,MATCH(E54,'G-1 All Habitats'!$AF$3:$AF$15,0)),"")</f>
        <v/>
      </c>
      <c r="B54" s="35" t="str">
        <f>IFERROR(INDEX('G-8 Condition Look up'!$I$4:$I$131,MATCH(G54,'G-8 Condition Look up'!$A$4:$A$131,0)),"")</f>
        <v/>
      </c>
      <c r="D54" s="168">
        <v>44</v>
      </c>
      <c r="E54" s="275"/>
      <c r="F54" s="275"/>
      <c r="G54" s="370" t="str">
        <f>IFERROR(INDEX('G-1 All Habitats'!$B$3:$B$130,MATCH(F54,'G-1 All Habitats'!$A$3:$A$130,0)),"")</f>
        <v/>
      </c>
      <c r="H54" s="213"/>
      <c r="I54" s="171" t="str">
        <f>IF(G54="","",VLOOKUP(G54,'G-1 All Habitats'!$B$2:$M$130,10,FALSE))</f>
        <v/>
      </c>
      <c r="J54" s="172" t="str">
        <f>IFERROR(VLOOKUP(I54,'G-1 All Habitats'!$V$3:$W$7,2,FALSE),"")</f>
        <v/>
      </c>
      <c r="K54" s="173"/>
      <c r="L54" s="172" t="str">
        <f>IFERROR(INDEX('G-8 Condition Look up'!$A$3:$H$131,MATCH(G54,'G-8 Condition Look up'!$A$3:$A$131,0),MATCH(K54,'G-8 Condition Look up'!$A$3:$H$3,0)),"")</f>
        <v/>
      </c>
      <c r="M54" s="186"/>
      <c r="N54" s="175" t="str">
        <f>IF(M54="","",IF(VLOOKUP(M54,'G-3 Multipliers'!$L$3:$N$6,2,FALSE)=0,"Spatial Data Missing",VLOOKUP(M54,'G-3 Multipliers'!$L$3:$N$6,2,FALSE)))</f>
        <v/>
      </c>
      <c r="O54" s="176" t="str">
        <f>IF(M54="","",IF(VLOOKUP(M54,'G-3 Multipliers'!$L$3:$N$6,3,FALSE)=0,"Spatial Data Missing",VLOOKUP(M54,'G-3 Multipliers'!$L$3:$N$6,3,FALSE)))</f>
        <v/>
      </c>
      <c r="P54" s="177" t="str">
        <f>IFERROR(VLOOKUP(G54,'G-1 All Habitats'!$B$2:$M$130,12,FALSE),"")</f>
        <v/>
      </c>
      <c r="Q54" s="81" t="str">
        <f>IFERROR(IF(P54="","",IF(AND(P54='G-1 All Habitats'!$X$3,T54&gt;0),U54+V54,IF(AND(P54='G-1 All Habitats'!$X$3,S54&gt;0),U54+V54,IF(AND(P54='G-1 All Habitats'!$X$3,AC54&gt;0),"Any Loss Unacceptable",IF(AND(P54='G-1 All Habitats'!$X$3,W54&gt;0),"Any Loss Unacceptable",H54*J54*L54*O54))))),"Check Data")</f>
        <v/>
      </c>
      <c r="R54" s="55"/>
      <c r="S54" s="79"/>
      <c r="T54" s="82"/>
      <c r="U54" s="83" t="str">
        <f t="shared" si="2"/>
        <v/>
      </c>
      <c r="V54" s="83" t="str">
        <f t="shared" si="3"/>
        <v/>
      </c>
      <c r="W54" s="83" t="str">
        <f>IF(E54="","",IF(H54&lt;S54+T54,"Error in Areas",IF(P54&lt;&gt;'G-1 All Habitats'!$X$3,H54-S54-T54,IF(AND(P54='G-1 All Habitats'!$X$3,Y54="Yes"),"Unacceptable Loss",IF(AND(P54='G-1 All Habitats'!$X$3,Y54="No"),AC54,IF(AND(P54='G-1 All Habitats'!$X$3,Y54=""),AC54,IF(AND(P54='G-1 All Habitats'!$X$3,AC54="None",AC54),IF(AND(P54='G-1 All Habitats'!$X$3,AC54&gt;0),H54-S54-T54))))))))</f>
        <v/>
      </c>
      <c r="X54" s="354" t="str">
        <f>IFERROR(IF(H54="","",IF(H54-S54-T54=0&lt;0,"Error in Areas",IF(S54+T54&gt;H54,"Error in Areas",IF(AND(P54='G-1 All Habitats'!$X$3,Y54="Yes"),"Alternative Compensation",IF(W54=0,0,IF(P54='G-1 All Habitats'!$X$3,"Unacceptable Loss",Q54-U54-V54)))))),"Check Data")</f>
        <v/>
      </c>
      <c r="Y54" s="82"/>
      <c r="Z54" s="182"/>
      <c r="AA54" s="183"/>
      <c r="AC54" s="371" t="str">
        <f>IF(P54="","",IF(P54='G-1 All Habitats'!$X$3,H54-S54-T54,"None"))</f>
        <v/>
      </c>
      <c r="AD54" s="372" t="str">
        <f t="shared" si="4"/>
        <v/>
      </c>
      <c r="AF54" s="188" t="str">
        <f t="shared" si="0"/>
        <v/>
      </c>
      <c r="AG54" s="188" t="str">
        <f t="shared" si="1"/>
        <v/>
      </c>
      <c r="AH54" s="188" t="str">
        <f>IF(I54="","",IF(#REF!&gt;0,TRUE,FALSE))</f>
        <v/>
      </c>
      <c r="AI54" s="188">
        <v>44</v>
      </c>
      <c r="AJ54" s="188"/>
      <c r="AK54" s="188" t="str">
        <f t="array" ref="AK54">IFERROR(INDEX($AI$11:$AI$259, MATCH(0, IF(TRUE=$AF$11:$AF$259, COUNTIF($AK$10:$AK53, $AI$11:$AI$259), ""), 0)),"")</f>
        <v/>
      </c>
      <c r="AL54" s="188" t="str">
        <f t="array" ref="AL54">IFERROR(INDEX($AI$11:$AI$259, MATCH(0, IF(TRUE=$AG$11:$AG$259, COUNTIF($AL$10:$AL53, $AI$11:$AI$259), ""), 0)),"")</f>
        <v/>
      </c>
      <c r="AM54" s="188" t="str">
        <f t="array" ref="AM54">IFERROR(INDEX($AI$11:$AI$259, MATCH(0, IF(TRUE=$AH$11:$AH$259, COUNTIF($AM$10:$AM53, $AI$11:$AI$259), ""), 0)),"")</f>
        <v/>
      </c>
      <c r="AQ54" s="35">
        <f t="shared" si="5"/>
        <v>0</v>
      </c>
    </row>
    <row r="55" spans="1:43" x14ac:dyDescent="0.25">
      <c r="A55" s="35" t="str">
        <f>IFERROR(INDEX('G-1 All Habitats'!$AG$3:$AG$15,MATCH(E55,'G-1 All Habitats'!$AF$3:$AF$15,0)),"")</f>
        <v/>
      </c>
      <c r="B55" s="35" t="str">
        <f>IFERROR(INDEX('G-8 Condition Look up'!$I$4:$I$131,MATCH(G55,'G-8 Condition Look up'!$A$4:$A$131,0)),"")</f>
        <v/>
      </c>
      <c r="D55" s="168">
        <v>45</v>
      </c>
      <c r="E55" s="275"/>
      <c r="F55" s="275"/>
      <c r="G55" s="370" t="str">
        <f>IFERROR(INDEX('G-1 All Habitats'!$B$3:$B$130,MATCH(F55,'G-1 All Habitats'!$A$3:$A$130,0)),"")</f>
        <v/>
      </c>
      <c r="H55" s="213"/>
      <c r="I55" s="171" t="str">
        <f>IF(G55="","",VLOOKUP(G55,'G-1 All Habitats'!$B$2:$M$130,10,FALSE))</f>
        <v/>
      </c>
      <c r="J55" s="172" t="str">
        <f>IFERROR(VLOOKUP(I55,'G-1 All Habitats'!$V$3:$W$7,2,FALSE),"")</f>
        <v/>
      </c>
      <c r="K55" s="173"/>
      <c r="L55" s="172" t="str">
        <f>IFERROR(INDEX('G-8 Condition Look up'!$A$3:$H$131,MATCH(G55,'G-8 Condition Look up'!$A$3:$A$131,0),MATCH(K55,'G-8 Condition Look up'!$A$3:$H$3,0)),"")</f>
        <v/>
      </c>
      <c r="M55" s="186"/>
      <c r="N55" s="175" t="str">
        <f>IF(M55="","",IF(VLOOKUP(M55,'G-3 Multipliers'!$L$3:$N$6,2,FALSE)=0,"Spatial Data Missing",VLOOKUP(M55,'G-3 Multipliers'!$L$3:$N$6,2,FALSE)))</f>
        <v/>
      </c>
      <c r="O55" s="176" t="str">
        <f>IF(M55="","",IF(VLOOKUP(M55,'G-3 Multipliers'!$L$3:$N$6,3,FALSE)=0,"Spatial Data Missing",VLOOKUP(M55,'G-3 Multipliers'!$L$3:$N$6,3,FALSE)))</f>
        <v/>
      </c>
      <c r="P55" s="177" t="str">
        <f>IFERROR(VLOOKUP(G55,'G-1 All Habitats'!$B$2:$M$130,12,FALSE),"")</f>
        <v/>
      </c>
      <c r="Q55" s="81" t="str">
        <f>IFERROR(IF(P55="","",IF(AND(P55='G-1 All Habitats'!$X$3,T55&gt;0),U55+V55,IF(AND(P55='G-1 All Habitats'!$X$3,S55&gt;0),U55+V55,IF(AND(P55='G-1 All Habitats'!$X$3,AC55&gt;0),"Any Loss Unacceptable",IF(AND(P55='G-1 All Habitats'!$X$3,W55&gt;0),"Any Loss Unacceptable",H55*J55*L55*O55))))),"Check Data")</f>
        <v/>
      </c>
      <c r="R55" s="55"/>
      <c r="S55" s="79"/>
      <c r="T55" s="82"/>
      <c r="U55" s="83" t="str">
        <f t="shared" si="2"/>
        <v/>
      </c>
      <c r="V55" s="83" t="str">
        <f t="shared" si="3"/>
        <v/>
      </c>
      <c r="W55" s="83" t="str">
        <f>IF(E55="","",IF(H55&lt;S55+T55,"Error in Areas",IF(P55&lt;&gt;'G-1 All Habitats'!$X$3,H55-S55-T55,IF(AND(P55='G-1 All Habitats'!$X$3,Y55="Yes"),"Unacceptable Loss",IF(AND(P55='G-1 All Habitats'!$X$3,Y55="No"),AC55,IF(AND(P55='G-1 All Habitats'!$X$3,Y55=""),AC55,IF(AND(P55='G-1 All Habitats'!$X$3,AC55="None",AC55),IF(AND(P55='G-1 All Habitats'!$X$3,AC55&gt;0),H55-S55-T55))))))))</f>
        <v/>
      </c>
      <c r="X55" s="354" t="str">
        <f>IFERROR(IF(H55="","",IF(H55-S55-T55=0&lt;0,"Error in Areas",IF(S55+T55&gt;H55,"Error in Areas",IF(AND(P55='G-1 All Habitats'!$X$3,Y55="Yes"),"Alternative Compensation",IF(W55=0,0,IF(P55='G-1 All Habitats'!$X$3,"Unacceptable Loss",Q55-U55-V55)))))),"Check Data")</f>
        <v/>
      </c>
      <c r="Y55" s="82"/>
      <c r="Z55" s="182"/>
      <c r="AA55" s="183"/>
      <c r="AC55" s="371" t="str">
        <f>IF(P55="","",IF(P55='G-1 All Habitats'!$X$3,H55-S55-T55,"None"))</f>
        <v/>
      </c>
      <c r="AD55" s="372" t="str">
        <f t="shared" si="4"/>
        <v/>
      </c>
      <c r="AF55" s="188" t="str">
        <f t="shared" si="0"/>
        <v/>
      </c>
      <c r="AG55" s="188" t="str">
        <f t="shared" si="1"/>
        <v/>
      </c>
      <c r="AH55" s="188" t="str">
        <f>IF(I55="","",IF(#REF!&gt;0,TRUE,FALSE))</f>
        <v/>
      </c>
      <c r="AI55" s="188">
        <v>45</v>
      </c>
      <c r="AJ55" s="188"/>
      <c r="AK55" s="188" t="str">
        <f t="array" ref="AK55">IFERROR(INDEX($AI$11:$AI$259, MATCH(0, IF(TRUE=$AF$11:$AF$259, COUNTIF($AK$10:$AK54, $AI$11:$AI$259), ""), 0)),"")</f>
        <v/>
      </c>
      <c r="AL55" s="188" t="str">
        <f t="array" ref="AL55">IFERROR(INDEX($AI$11:$AI$259, MATCH(0, IF(TRUE=$AG$11:$AG$259, COUNTIF($AL$10:$AL54, $AI$11:$AI$259), ""), 0)),"")</f>
        <v/>
      </c>
      <c r="AM55" s="188" t="str">
        <f t="array" ref="AM55">IFERROR(INDEX($AI$11:$AI$259, MATCH(0, IF(TRUE=$AH$11:$AH$259, COUNTIF($AM$10:$AM54, $AI$11:$AI$259), ""), 0)),"")</f>
        <v/>
      </c>
      <c r="AQ55" s="35">
        <f t="shared" si="5"/>
        <v>0</v>
      </c>
    </row>
    <row r="56" spans="1:43" x14ac:dyDescent="0.25">
      <c r="A56" s="35" t="str">
        <f>IFERROR(INDEX('G-1 All Habitats'!$AG$3:$AG$15,MATCH(E56,'G-1 All Habitats'!$AF$3:$AF$15,0)),"")</f>
        <v/>
      </c>
      <c r="B56" s="35" t="str">
        <f>IFERROR(INDEX('G-8 Condition Look up'!$I$4:$I$131,MATCH(G56,'G-8 Condition Look up'!$A$4:$A$131,0)),"")</f>
        <v/>
      </c>
      <c r="D56" s="168">
        <v>46</v>
      </c>
      <c r="E56" s="275"/>
      <c r="F56" s="275"/>
      <c r="G56" s="370" t="str">
        <f>IFERROR(INDEX('G-1 All Habitats'!$B$3:$B$130,MATCH(F56,'G-1 All Habitats'!$A$3:$A$130,0)),"")</f>
        <v/>
      </c>
      <c r="H56" s="213"/>
      <c r="I56" s="171" t="str">
        <f>IF(G56="","",VLOOKUP(G56,'G-1 All Habitats'!$B$2:$M$130,10,FALSE))</f>
        <v/>
      </c>
      <c r="J56" s="172" t="str">
        <f>IFERROR(VLOOKUP(I56,'G-1 All Habitats'!$V$3:$W$7,2,FALSE),"")</f>
        <v/>
      </c>
      <c r="K56" s="173"/>
      <c r="L56" s="172" t="str">
        <f>IFERROR(INDEX('G-8 Condition Look up'!$A$3:$H$131,MATCH(G56,'G-8 Condition Look up'!$A$3:$A$131,0),MATCH(K56,'G-8 Condition Look up'!$A$3:$H$3,0)),"")</f>
        <v/>
      </c>
      <c r="M56" s="186"/>
      <c r="N56" s="175" t="str">
        <f>IF(M56="","",IF(VLOOKUP(M56,'G-3 Multipliers'!$L$3:$N$6,2,FALSE)=0,"Spatial Data Missing",VLOOKUP(M56,'G-3 Multipliers'!$L$3:$N$6,2,FALSE)))</f>
        <v/>
      </c>
      <c r="O56" s="176" t="str">
        <f>IF(M56="","",IF(VLOOKUP(M56,'G-3 Multipliers'!$L$3:$N$6,3,FALSE)=0,"Spatial Data Missing",VLOOKUP(M56,'G-3 Multipliers'!$L$3:$N$6,3,FALSE)))</f>
        <v/>
      </c>
      <c r="P56" s="177" t="str">
        <f>IFERROR(VLOOKUP(G56,'G-1 All Habitats'!$B$2:$M$130,12,FALSE),"")</f>
        <v/>
      </c>
      <c r="Q56" s="81" t="str">
        <f>IFERROR(IF(P56="","",IF(AND(P56='G-1 All Habitats'!$X$3,T56&gt;0),U56+V56,IF(AND(P56='G-1 All Habitats'!$X$3,S56&gt;0),U56+V56,IF(AND(P56='G-1 All Habitats'!$X$3,AC56&gt;0),"Any Loss Unacceptable",IF(AND(P56='G-1 All Habitats'!$X$3,W56&gt;0),"Any Loss Unacceptable",H56*J56*L56*O56))))),"Check Data")</f>
        <v/>
      </c>
      <c r="R56" s="55"/>
      <c r="S56" s="79"/>
      <c r="T56" s="82"/>
      <c r="U56" s="83" t="str">
        <f t="shared" si="2"/>
        <v/>
      </c>
      <c r="V56" s="83" t="str">
        <f t="shared" si="3"/>
        <v/>
      </c>
      <c r="W56" s="83" t="str">
        <f>IF(E56="","",IF(H56&lt;S56+T56,"Error in Areas",IF(P56&lt;&gt;'G-1 All Habitats'!$X$3,H56-S56-T56,IF(AND(P56='G-1 All Habitats'!$X$3,Y56="Yes"),"Unacceptable Loss",IF(AND(P56='G-1 All Habitats'!$X$3,Y56="No"),AC56,IF(AND(P56='G-1 All Habitats'!$X$3,Y56=""),AC56,IF(AND(P56='G-1 All Habitats'!$X$3,AC56="None",AC56),IF(AND(P56='G-1 All Habitats'!$X$3,AC56&gt;0),H56-S56-T56))))))))</f>
        <v/>
      </c>
      <c r="X56" s="354" t="str">
        <f>IFERROR(IF(H56="","",IF(H56-S56-T56=0&lt;0,"Error in Areas",IF(S56+T56&gt;H56,"Error in Areas",IF(AND(P56='G-1 All Habitats'!$X$3,Y56="Yes"),"Alternative Compensation",IF(W56=0,0,IF(P56='G-1 All Habitats'!$X$3,"Unacceptable Loss",Q56-U56-V56)))))),"Check Data")</f>
        <v/>
      </c>
      <c r="Y56" s="82"/>
      <c r="Z56" s="182"/>
      <c r="AA56" s="183"/>
      <c r="AC56" s="371" t="str">
        <f>IF(P56="","",IF(P56='G-1 All Habitats'!$X$3,H56-S56-T56,"None"))</f>
        <v/>
      </c>
      <c r="AD56" s="372" t="str">
        <f t="shared" si="4"/>
        <v/>
      </c>
      <c r="AF56" s="188" t="str">
        <f t="shared" si="0"/>
        <v/>
      </c>
      <c r="AG56" s="188" t="str">
        <f t="shared" si="1"/>
        <v/>
      </c>
      <c r="AH56" s="188" t="str">
        <f>IF(I56="","",IF(#REF!&gt;0,TRUE,FALSE))</f>
        <v/>
      </c>
      <c r="AI56" s="188">
        <v>46</v>
      </c>
      <c r="AJ56" s="188"/>
      <c r="AK56" s="188" t="str">
        <f t="array" ref="AK56">IFERROR(INDEX($AI$11:$AI$259, MATCH(0, IF(TRUE=$AF$11:$AF$259, COUNTIF($AK$10:$AK55, $AI$11:$AI$259), ""), 0)),"")</f>
        <v/>
      </c>
      <c r="AL56" s="188" t="str">
        <f t="array" ref="AL56">IFERROR(INDEX($AI$11:$AI$259, MATCH(0, IF(TRUE=$AG$11:$AG$259, COUNTIF($AL$10:$AL55, $AI$11:$AI$259), ""), 0)),"")</f>
        <v/>
      </c>
      <c r="AM56" s="188" t="str">
        <f t="array" ref="AM56">IFERROR(INDEX($AI$11:$AI$259, MATCH(0, IF(TRUE=$AH$11:$AH$259, COUNTIF($AM$10:$AM55, $AI$11:$AI$259), ""), 0)),"")</f>
        <v/>
      </c>
      <c r="AQ56" s="35">
        <f t="shared" si="5"/>
        <v>0</v>
      </c>
    </row>
    <row r="57" spans="1:43" x14ac:dyDescent="0.25">
      <c r="A57" s="35" t="str">
        <f>IFERROR(INDEX('G-1 All Habitats'!$AG$3:$AG$15,MATCH(E57,'G-1 All Habitats'!$AF$3:$AF$15,0)),"")</f>
        <v/>
      </c>
      <c r="B57" s="35" t="str">
        <f>IFERROR(INDEX('G-8 Condition Look up'!$I$4:$I$131,MATCH(G57,'G-8 Condition Look up'!$A$4:$A$131,0)),"")</f>
        <v/>
      </c>
      <c r="D57" s="168">
        <v>47</v>
      </c>
      <c r="E57" s="275"/>
      <c r="F57" s="275"/>
      <c r="G57" s="370" t="str">
        <f>IFERROR(INDEX('G-1 All Habitats'!$B$3:$B$130,MATCH(F57,'G-1 All Habitats'!$A$3:$A$130,0)),"")</f>
        <v/>
      </c>
      <c r="H57" s="213"/>
      <c r="I57" s="171" t="str">
        <f>IF(G57="","",VLOOKUP(G57,'G-1 All Habitats'!$B$2:$M$130,10,FALSE))</f>
        <v/>
      </c>
      <c r="J57" s="172" t="str">
        <f>IFERROR(VLOOKUP(I57,'G-1 All Habitats'!$V$3:$W$7,2,FALSE),"")</f>
        <v/>
      </c>
      <c r="K57" s="173"/>
      <c r="L57" s="172" t="str">
        <f>IFERROR(INDEX('G-8 Condition Look up'!$A$3:$H$131,MATCH(G57,'G-8 Condition Look up'!$A$3:$A$131,0),MATCH(K57,'G-8 Condition Look up'!$A$3:$H$3,0)),"")</f>
        <v/>
      </c>
      <c r="M57" s="186"/>
      <c r="N57" s="175" t="str">
        <f>IF(M57="","",IF(VLOOKUP(M57,'G-3 Multipliers'!$L$3:$N$6,2,FALSE)=0,"Spatial Data Missing",VLOOKUP(M57,'G-3 Multipliers'!$L$3:$N$6,2,FALSE)))</f>
        <v/>
      </c>
      <c r="O57" s="176" t="str">
        <f>IF(M57="","",IF(VLOOKUP(M57,'G-3 Multipliers'!$L$3:$N$6,3,FALSE)=0,"Spatial Data Missing",VLOOKUP(M57,'G-3 Multipliers'!$L$3:$N$6,3,FALSE)))</f>
        <v/>
      </c>
      <c r="P57" s="177" t="str">
        <f>IFERROR(VLOOKUP(G57,'G-1 All Habitats'!$B$2:$M$130,12,FALSE),"")</f>
        <v/>
      </c>
      <c r="Q57" s="81" t="str">
        <f>IFERROR(IF(P57="","",IF(AND(P57='G-1 All Habitats'!$X$3,T57&gt;0),U57+V57,IF(AND(P57='G-1 All Habitats'!$X$3,S57&gt;0),U57+V57,IF(AND(P57='G-1 All Habitats'!$X$3,AC57&gt;0),"Any Loss Unacceptable",IF(AND(P57='G-1 All Habitats'!$X$3,W57&gt;0),"Any Loss Unacceptable",H57*J57*L57*O57))))),"Check Data")</f>
        <v/>
      </c>
      <c r="R57" s="55"/>
      <c r="S57" s="79"/>
      <c r="T57" s="82"/>
      <c r="U57" s="83" t="str">
        <f t="shared" si="2"/>
        <v/>
      </c>
      <c r="V57" s="83" t="str">
        <f t="shared" si="3"/>
        <v/>
      </c>
      <c r="W57" s="83" t="str">
        <f>IF(E57="","",IF(H57&lt;S57+T57,"Error in Areas",IF(P57&lt;&gt;'G-1 All Habitats'!$X$3,H57-S57-T57,IF(AND(P57='G-1 All Habitats'!$X$3,Y57="Yes"),"Unacceptable Loss",IF(AND(P57='G-1 All Habitats'!$X$3,Y57="No"),AC57,IF(AND(P57='G-1 All Habitats'!$X$3,Y57=""),AC57,IF(AND(P57='G-1 All Habitats'!$X$3,AC57="None",AC57),IF(AND(P57='G-1 All Habitats'!$X$3,AC57&gt;0),H57-S57-T57))))))))</f>
        <v/>
      </c>
      <c r="X57" s="354" t="str">
        <f>IFERROR(IF(H57="","",IF(H57-S57-T57=0&lt;0,"Error in Areas",IF(S57+T57&gt;H57,"Error in Areas",IF(AND(P57='G-1 All Habitats'!$X$3,Y57="Yes"),"Alternative Compensation",IF(W57=0,0,IF(P57='G-1 All Habitats'!$X$3,"Unacceptable Loss",Q57-U57-V57)))))),"Check Data")</f>
        <v/>
      </c>
      <c r="Y57" s="82"/>
      <c r="Z57" s="182"/>
      <c r="AA57" s="183"/>
      <c r="AC57" s="371" t="str">
        <f>IF(P57="","",IF(P57='G-1 All Habitats'!$X$3,H57-S57-T57,"None"))</f>
        <v/>
      </c>
      <c r="AD57" s="372" t="str">
        <f t="shared" si="4"/>
        <v/>
      </c>
      <c r="AF57" s="188" t="str">
        <f t="shared" si="0"/>
        <v/>
      </c>
      <c r="AG57" s="188" t="str">
        <f t="shared" si="1"/>
        <v/>
      </c>
      <c r="AH57" s="188" t="str">
        <f>IF(I57="","",IF(#REF!&gt;0,TRUE,FALSE))</f>
        <v/>
      </c>
      <c r="AI57" s="188">
        <v>47</v>
      </c>
      <c r="AJ57" s="188"/>
      <c r="AK57" s="188" t="str">
        <f t="array" ref="AK57">IFERROR(INDEX($AI$11:$AI$259, MATCH(0, IF(TRUE=$AF$11:$AF$259, COUNTIF($AK$10:$AK56, $AI$11:$AI$259), ""), 0)),"")</f>
        <v/>
      </c>
      <c r="AL57" s="188" t="str">
        <f t="array" ref="AL57">IFERROR(INDEX($AI$11:$AI$259, MATCH(0, IF(TRUE=$AG$11:$AG$259, COUNTIF($AL$10:$AL56, $AI$11:$AI$259), ""), 0)),"")</f>
        <v/>
      </c>
      <c r="AM57" s="188" t="str">
        <f t="array" ref="AM57">IFERROR(INDEX($AI$11:$AI$259, MATCH(0, IF(TRUE=$AH$11:$AH$259, COUNTIF($AM$10:$AM56, $AI$11:$AI$259), ""), 0)),"")</f>
        <v/>
      </c>
      <c r="AQ57" s="35">
        <f t="shared" si="5"/>
        <v>0</v>
      </c>
    </row>
    <row r="58" spans="1:43" x14ac:dyDescent="0.25">
      <c r="A58" s="35" t="str">
        <f>IFERROR(INDEX('G-1 All Habitats'!$AG$3:$AG$15,MATCH(E58,'G-1 All Habitats'!$AF$3:$AF$15,0)),"")</f>
        <v/>
      </c>
      <c r="B58" s="35" t="str">
        <f>IFERROR(INDEX('G-8 Condition Look up'!$I$4:$I$131,MATCH(G58,'G-8 Condition Look up'!$A$4:$A$131,0)),"")</f>
        <v/>
      </c>
      <c r="D58" s="168">
        <v>48</v>
      </c>
      <c r="E58" s="275"/>
      <c r="F58" s="275"/>
      <c r="G58" s="370" t="str">
        <f>IFERROR(INDEX('G-1 All Habitats'!$B$3:$B$130,MATCH(F58,'G-1 All Habitats'!$A$3:$A$130,0)),"")</f>
        <v/>
      </c>
      <c r="H58" s="213"/>
      <c r="I58" s="171" t="str">
        <f>IF(G58="","",VLOOKUP(G58,'G-1 All Habitats'!$B$2:$M$130,10,FALSE))</f>
        <v/>
      </c>
      <c r="J58" s="172" t="str">
        <f>IFERROR(VLOOKUP(I58,'G-1 All Habitats'!$V$3:$W$7,2,FALSE),"")</f>
        <v/>
      </c>
      <c r="K58" s="173"/>
      <c r="L58" s="172" t="str">
        <f>IFERROR(INDEX('G-8 Condition Look up'!$A$3:$H$131,MATCH(G58,'G-8 Condition Look up'!$A$3:$A$131,0),MATCH(K58,'G-8 Condition Look up'!$A$3:$H$3,0)),"")</f>
        <v/>
      </c>
      <c r="M58" s="186"/>
      <c r="N58" s="175" t="str">
        <f>IF(M58="","",IF(VLOOKUP(M58,'G-3 Multipliers'!$L$3:$N$6,2,FALSE)=0,"Spatial Data Missing",VLOOKUP(M58,'G-3 Multipliers'!$L$3:$N$6,2,FALSE)))</f>
        <v/>
      </c>
      <c r="O58" s="176" t="str">
        <f>IF(M58="","",IF(VLOOKUP(M58,'G-3 Multipliers'!$L$3:$N$6,3,FALSE)=0,"Spatial Data Missing",VLOOKUP(M58,'G-3 Multipliers'!$L$3:$N$6,3,FALSE)))</f>
        <v/>
      </c>
      <c r="P58" s="177" t="str">
        <f>IFERROR(VLOOKUP(G58,'G-1 All Habitats'!$B$2:$M$130,12,FALSE),"")</f>
        <v/>
      </c>
      <c r="Q58" s="81" t="str">
        <f>IFERROR(IF(P58="","",IF(AND(P58='G-1 All Habitats'!$X$3,T58&gt;0),U58+V58,IF(AND(P58='G-1 All Habitats'!$X$3,S58&gt;0),U58+V58,IF(AND(P58='G-1 All Habitats'!$X$3,AC58&gt;0),"Any Loss Unacceptable",IF(AND(P58='G-1 All Habitats'!$X$3,W58&gt;0),"Any Loss Unacceptable",H58*J58*L58*O58))))),"Check Data")</f>
        <v/>
      </c>
      <c r="R58" s="55"/>
      <c r="S58" s="79"/>
      <c r="T58" s="82"/>
      <c r="U58" s="83" t="str">
        <f t="shared" si="2"/>
        <v/>
      </c>
      <c r="V58" s="83" t="str">
        <f t="shared" si="3"/>
        <v/>
      </c>
      <c r="W58" s="83" t="str">
        <f>IF(E58="","",IF(H58&lt;S58+T58,"Error in Areas",IF(P58&lt;&gt;'G-1 All Habitats'!$X$3,H58-S58-T58,IF(AND(P58='G-1 All Habitats'!$X$3,Y58="Yes"),"Unacceptable Loss",IF(AND(P58='G-1 All Habitats'!$X$3,Y58="No"),AC58,IF(AND(P58='G-1 All Habitats'!$X$3,Y58=""),AC58,IF(AND(P58='G-1 All Habitats'!$X$3,AC58="None",AC58),IF(AND(P58='G-1 All Habitats'!$X$3,AC58&gt;0),H58-S58-T58))))))))</f>
        <v/>
      </c>
      <c r="X58" s="354" t="str">
        <f>IFERROR(IF(H58="","",IF(H58-S58-T58=0&lt;0,"Error in Areas",IF(S58+T58&gt;H58,"Error in Areas",IF(AND(P58='G-1 All Habitats'!$X$3,Y58="Yes"),"Alternative Compensation",IF(W58=0,0,IF(P58='G-1 All Habitats'!$X$3,"Unacceptable Loss",Q58-U58-V58)))))),"Check Data")</f>
        <v/>
      </c>
      <c r="Y58" s="82"/>
      <c r="Z58" s="182"/>
      <c r="AA58" s="183"/>
      <c r="AC58" s="371" t="str">
        <f>IF(P58="","",IF(P58='G-1 All Habitats'!$X$3,H58-S58-T58,"None"))</f>
        <v/>
      </c>
      <c r="AD58" s="372" t="str">
        <f t="shared" si="4"/>
        <v/>
      </c>
      <c r="AF58" s="188" t="str">
        <f t="shared" si="0"/>
        <v/>
      </c>
      <c r="AG58" s="188" t="str">
        <f t="shared" si="1"/>
        <v/>
      </c>
      <c r="AH58" s="188" t="str">
        <f>IF(I58="","",IF(#REF!&gt;0,TRUE,FALSE))</f>
        <v/>
      </c>
      <c r="AI58" s="188">
        <v>48</v>
      </c>
      <c r="AJ58" s="188"/>
      <c r="AK58" s="188" t="str">
        <f t="array" ref="AK58">IFERROR(INDEX($AI$11:$AI$259, MATCH(0, IF(TRUE=$AF$11:$AF$259, COUNTIF($AK$10:$AK57, $AI$11:$AI$259), ""), 0)),"")</f>
        <v/>
      </c>
      <c r="AL58" s="188" t="str">
        <f t="array" ref="AL58">IFERROR(INDEX($AI$11:$AI$259, MATCH(0, IF(TRUE=$AG$11:$AG$259, COUNTIF($AL$10:$AL57, $AI$11:$AI$259), ""), 0)),"")</f>
        <v/>
      </c>
      <c r="AM58" s="188" t="str">
        <f t="array" ref="AM58">IFERROR(INDEX($AI$11:$AI$259, MATCH(0, IF(TRUE=$AH$11:$AH$259, COUNTIF($AM$10:$AM57, $AI$11:$AI$259), ""), 0)),"")</f>
        <v/>
      </c>
      <c r="AQ58" s="35">
        <f t="shared" si="5"/>
        <v>0</v>
      </c>
    </row>
    <row r="59" spans="1:43" x14ac:dyDescent="0.25">
      <c r="A59" s="35" t="str">
        <f>IFERROR(INDEX('G-1 All Habitats'!$AG$3:$AG$15,MATCH(E59,'G-1 All Habitats'!$AF$3:$AF$15,0)),"")</f>
        <v/>
      </c>
      <c r="B59" s="35" t="str">
        <f>IFERROR(INDEX('G-8 Condition Look up'!$I$4:$I$131,MATCH(G59,'G-8 Condition Look up'!$A$4:$A$131,0)),"")</f>
        <v/>
      </c>
      <c r="D59" s="168">
        <v>49</v>
      </c>
      <c r="E59" s="275"/>
      <c r="F59" s="275"/>
      <c r="G59" s="370" t="str">
        <f>IFERROR(INDEX('G-1 All Habitats'!$B$3:$B$130,MATCH(F59,'G-1 All Habitats'!$A$3:$A$130,0)),"")</f>
        <v/>
      </c>
      <c r="H59" s="213"/>
      <c r="I59" s="171" t="str">
        <f>IF(G59="","",VLOOKUP(G59,'G-1 All Habitats'!$B$2:$M$130,10,FALSE))</f>
        <v/>
      </c>
      <c r="J59" s="172" t="str">
        <f>IFERROR(VLOOKUP(I59,'G-1 All Habitats'!$V$3:$W$7,2,FALSE),"")</f>
        <v/>
      </c>
      <c r="K59" s="173"/>
      <c r="L59" s="172" t="str">
        <f>IFERROR(INDEX('G-8 Condition Look up'!$A$3:$H$131,MATCH(G59,'G-8 Condition Look up'!$A$3:$A$131,0),MATCH(K59,'G-8 Condition Look up'!$A$3:$H$3,0)),"")</f>
        <v/>
      </c>
      <c r="M59" s="186"/>
      <c r="N59" s="175" t="str">
        <f>IF(M59="","",IF(VLOOKUP(M59,'G-3 Multipliers'!$L$3:$N$6,2,FALSE)=0,"Spatial Data Missing",VLOOKUP(M59,'G-3 Multipliers'!$L$3:$N$6,2,FALSE)))</f>
        <v/>
      </c>
      <c r="O59" s="176" t="str">
        <f>IF(M59="","",IF(VLOOKUP(M59,'G-3 Multipliers'!$L$3:$N$6,3,FALSE)=0,"Spatial Data Missing",VLOOKUP(M59,'G-3 Multipliers'!$L$3:$N$6,3,FALSE)))</f>
        <v/>
      </c>
      <c r="P59" s="177" t="str">
        <f>IFERROR(VLOOKUP(G59,'G-1 All Habitats'!$B$2:$M$130,12,FALSE),"")</f>
        <v/>
      </c>
      <c r="Q59" s="81" t="str">
        <f>IFERROR(IF(P59="","",IF(AND(P59='G-1 All Habitats'!$X$3,T59&gt;0),U59+V59,IF(AND(P59='G-1 All Habitats'!$X$3,S59&gt;0),U59+V59,IF(AND(P59='G-1 All Habitats'!$X$3,AC59&gt;0),"Any Loss Unacceptable",IF(AND(P59='G-1 All Habitats'!$X$3,W59&gt;0),"Any Loss Unacceptable",H59*J59*L59*O59))))),"Check Data")</f>
        <v/>
      </c>
      <c r="R59" s="55"/>
      <c r="S59" s="79"/>
      <c r="T59" s="82"/>
      <c r="U59" s="83" t="str">
        <f t="shared" si="2"/>
        <v/>
      </c>
      <c r="V59" s="83" t="str">
        <f t="shared" si="3"/>
        <v/>
      </c>
      <c r="W59" s="83" t="str">
        <f>IF(E59="","",IF(H59&lt;S59+T59,"Error in Areas",IF(P59&lt;&gt;'G-1 All Habitats'!$X$3,H59-S59-T59,IF(AND(P59='G-1 All Habitats'!$X$3,Y59="Yes"),"Unacceptable Loss",IF(AND(P59='G-1 All Habitats'!$X$3,Y59="No"),AC59,IF(AND(P59='G-1 All Habitats'!$X$3,Y59=""),AC59,IF(AND(P59='G-1 All Habitats'!$X$3,AC59="None",AC59),IF(AND(P59='G-1 All Habitats'!$X$3,AC59&gt;0),H59-S59-T59))))))))</f>
        <v/>
      </c>
      <c r="X59" s="354" t="str">
        <f>IFERROR(IF(H59="","",IF(H59-S59-T59=0&lt;0,"Error in Areas",IF(S59+T59&gt;H59,"Error in Areas",IF(AND(P59='G-1 All Habitats'!$X$3,Y59="Yes"),"Alternative Compensation",IF(W59=0,0,IF(P59='G-1 All Habitats'!$X$3,"Unacceptable Loss",Q59-U59-V59)))))),"Check Data")</f>
        <v/>
      </c>
      <c r="Y59" s="82"/>
      <c r="Z59" s="182"/>
      <c r="AA59" s="183"/>
      <c r="AC59" s="371" t="str">
        <f>IF(P59="","",IF(P59='G-1 All Habitats'!$X$3,H59-S59-T59,"None"))</f>
        <v/>
      </c>
      <c r="AD59" s="372" t="str">
        <f t="shared" si="4"/>
        <v/>
      </c>
      <c r="AF59" s="188" t="str">
        <f t="shared" si="0"/>
        <v/>
      </c>
      <c r="AG59" s="188" t="str">
        <f t="shared" si="1"/>
        <v/>
      </c>
      <c r="AH59" s="188" t="str">
        <f>IF(I59="","",IF(#REF!&gt;0,TRUE,FALSE))</f>
        <v/>
      </c>
      <c r="AI59" s="188">
        <v>49</v>
      </c>
      <c r="AJ59" s="188"/>
      <c r="AK59" s="188" t="str">
        <f t="array" ref="AK59">IFERROR(INDEX($AI$11:$AI$259, MATCH(0, IF(TRUE=$AF$11:$AF$259, COUNTIF($AK$10:$AK58, $AI$11:$AI$259), ""), 0)),"")</f>
        <v/>
      </c>
      <c r="AL59" s="188" t="str">
        <f t="array" ref="AL59">IFERROR(INDEX($AI$11:$AI$259, MATCH(0, IF(TRUE=$AG$11:$AG$259, COUNTIF($AL$10:$AL58, $AI$11:$AI$259), ""), 0)),"")</f>
        <v/>
      </c>
      <c r="AM59" s="188" t="str">
        <f t="array" ref="AM59">IFERROR(INDEX($AI$11:$AI$259, MATCH(0, IF(TRUE=$AH$11:$AH$259, COUNTIF($AM$10:$AM58, $AI$11:$AI$259), ""), 0)),"")</f>
        <v/>
      </c>
      <c r="AQ59" s="35">
        <f t="shared" si="5"/>
        <v>0</v>
      </c>
    </row>
    <row r="60" spans="1:43" x14ac:dyDescent="0.25">
      <c r="A60" s="35" t="str">
        <f>IFERROR(INDEX('G-1 All Habitats'!$AG$3:$AG$15,MATCH(E60,'G-1 All Habitats'!$AF$3:$AF$15,0)),"")</f>
        <v/>
      </c>
      <c r="B60" s="35" t="str">
        <f>IFERROR(INDEX('G-8 Condition Look up'!$I$4:$I$131,MATCH(G60,'G-8 Condition Look up'!$A$4:$A$131,0)),"")</f>
        <v/>
      </c>
      <c r="D60" s="168">
        <v>50</v>
      </c>
      <c r="E60" s="275"/>
      <c r="F60" s="275"/>
      <c r="G60" s="370" t="str">
        <f>IFERROR(INDEX('G-1 All Habitats'!$B$3:$B$130,MATCH(F60,'G-1 All Habitats'!$A$3:$A$130,0)),"")</f>
        <v/>
      </c>
      <c r="H60" s="213"/>
      <c r="I60" s="171" t="str">
        <f>IF(G60="","",VLOOKUP(G60,'G-1 All Habitats'!$B$2:$M$130,10,FALSE))</f>
        <v/>
      </c>
      <c r="J60" s="172" t="str">
        <f>IFERROR(VLOOKUP(I60,'G-1 All Habitats'!$V$3:$W$7,2,FALSE),"")</f>
        <v/>
      </c>
      <c r="K60" s="173"/>
      <c r="L60" s="172" t="str">
        <f>IFERROR(INDEX('G-8 Condition Look up'!$A$3:$H$131,MATCH(G60,'G-8 Condition Look up'!$A$3:$A$131,0),MATCH(K60,'G-8 Condition Look up'!$A$3:$H$3,0)),"")</f>
        <v/>
      </c>
      <c r="M60" s="186"/>
      <c r="N60" s="175" t="str">
        <f>IF(M60="","",IF(VLOOKUP(M60,'G-3 Multipliers'!$L$3:$N$6,2,FALSE)=0,"Spatial Data Missing",VLOOKUP(M60,'G-3 Multipliers'!$L$3:$N$6,2,FALSE)))</f>
        <v/>
      </c>
      <c r="O60" s="176" t="str">
        <f>IF(M60="","",IF(VLOOKUP(M60,'G-3 Multipliers'!$L$3:$N$6,3,FALSE)=0,"Spatial Data Missing",VLOOKUP(M60,'G-3 Multipliers'!$L$3:$N$6,3,FALSE)))</f>
        <v/>
      </c>
      <c r="P60" s="177" t="str">
        <f>IFERROR(VLOOKUP(G60,'G-1 All Habitats'!$B$2:$M$130,12,FALSE),"")</f>
        <v/>
      </c>
      <c r="Q60" s="81" t="str">
        <f>IFERROR(IF(P60="","",IF(AND(P60='G-1 All Habitats'!$X$3,T60&gt;0),U60+V60,IF(AND(P60='G-1 All Habitats'!$X$3,S60&gt;0),U60+V60,IF(AND(P60='G-1 All Habitats'!$X$3,AC60&gt;0),"Any Loss Unacceptable",IF(AND(P60='G-1 All Habitats'!$X$3,W60&gt;0),"Any Loss Unacceptable",H60*J60*L60*O60))))),"Check Data")</f>
        <v/>
      </c>
      <c r="R60" s="55"/>
      <c r="S60" s="79"/>
      <c r="T60" s="82"/>
      <c r="U60" s="83" t="str">
        <f t="shared" si="2"/>
        <v/>
      </c>
      <c r="V60" s="83" t="str">
        <f t="shared" si="3"/>
        <v/>
      </c>
      <c r="W60" s="83" t="str">
        <f>IF(E60="","",IF(H60&lt;S60+T60,"Error in Areas",IF(P60&lt;&gt;'G-1 All Habitats'!$X$3,H60-S60-T60,IF(AND(P60='G-1 All Habitats'!$X$3,Y60="Yes"),"Unacceptable Loss",IF(AND(P60='G-1 All Habitats'!$X$3,Y60="No"),AC60,IF(AND(P60='G-1 All Habitats'!$X$3,Y60=""),AC60,IF(AND(P60='G-1 All Habitats'!$X$3,AC60="None",AC60),IF(AND(P60='G-1 All Habitats'!$X$3,AC60&gt;0),H60-S60-T60))))))))</f>
        <v/>
      </c>
      <c r="X60" s="354" t="str">
        <f>IFERROR(IF(H60="","",IF(H60-S60-T60=0&lt;0,"Error in Areas",IF(S60+T60&gt;H60,"Error in Areas",IF(AND(P60='G-1 All Habitats'!$X$3,Y60="Yes"),"Alternative Compensation",IF(W60=0,0,IF(P60='G-1 All Habitats'!$X$3,"Unacceptable Loss",Q60-U60-V60)))))),"Check Data")</f>
        <v/>
      </c>
      <c r="Y60" s="82"/>
      <c r="Z60" s="182"/>
      <c r="AA60" s="183"/>
      <c r="AC60" s="371" t="str">
        <f>IF(P60="","",IF(P60='G-1 All Habitats'!$X$3,H60-S60-T60,"None"))</f>
        <v/>
      </c>
      <c r="AD60" s="372" t="str">
        <f t="shared" si="4"/>
        <v/>
      </c>
      <c r="AF60" s="188" t="str">
        <f t="shared" si="0"/>
        <v/>
      </c>
      <c r="AG60" s="188" t="str">
        <f t="shared" si="1"/>
        <v/>
      </c>
      <c r="AH60" s="188" t="str">
        <f>IF(I60="","",IF(#REF!&gt;0,TRUE,FALSE))</f>
        <v/>
      </c>
      <c r="AI60" s="188">
        <v>50</v>
      </c>
      <c r="AJ60" s="188"/>
      <c r="AK60" s="188" t="str">
        <f t="array" ref="AK60">IFERROR(INDEX($AI$11:$AI$259, MATCH(0, IF(TRUE=$AF$11:$AF$259, COUNTIF($AK$10:$AK59, $AI$11:$AI$259), ""), 0)),"")</f>
        <v/>
      </c>
      <c r="AL60" s="188" t="str">
        <f t="array" ref="AL60">IFERROR(INDEX($AI$11:$AI$259, MATCH(0, IF(TRUE=$AG$11:$AG$259, COUNTIF($AL$10:$AL59, $AI$11:$AI$259), ""), 0)),"")</f>
        <v/>
      </c>
      <c r="AM60" s="188" t="str">
        <f t="array" ref="AM60">IFERROR(INDEX($AI$11:$AI$259, MATCH(0, IF(TRUE=$AH$11:$AH$259, COUNTIF($AM$10:$AM59, $AI$11:$AI$259), ""), 0)),"")</f>
        <v/>
      </c>
      <c r="AQ60" s="35">
        <f t="shared" si="5"/>
        <v>0</v>
      </c>
    </row>
    <row r="61" spans="1:43" x14ac:dyDescent="0.25">
      <c r="A61" s="35" t="str">
        <f>IFERROR(INDEX('G-1 All Habitats'!$AG$3:$AG$15,MATCH(E61,'G-1 All Habitats'!$AF$3:$AF$15,0)),"")</f>
        <v/>
      </c>
      <c r="B61" s="35" t="str">
        <f>IFERROR(INDEX('G-8 Condition Look up'!$I$4:$I$131,MATCH(G61,'G-8 Condition Look up'!$A$4:$A$131,0)),"")</f>
        <v/>
      </c>
      <c r="D61" s="168">
        <v>51</v>
      </c>
      <c r="E61" s="275"/>
      <c r="F61" s="275"/>
      <c r="G61" s="370" t="str">
        <f>IFERROR(INDEX('G-1 All Habitats'!$B$3:$B$130,MATCH(F61,'G-1 All Habitats'!$A$3:$A$130,0)),"")</f>
        <v/>
      </c>
      <c r="H61" s="213"/>
      <c r="I61" s="171" t="str">
        <f>IF(G61="","",VLOOKUP(G61,'G-1 All Habitats'!$B$2:$M$130,10,FALSE))</f>
        <v/>
      </c>
      <c r="J61" s="172" t="str">
        <f>IFERROR(VLOOKUP(I61,'G-1 All Habitats'!$V$3:$W$7,2,FALSE),"")</f>
        <v/>
      </c>
      <c r="K61" s="173"/>
      <c r="L61" s="172" t="str">
        <f>IFERROR(INDEX('G-8 Condition Look up'!$A$3:$H$131,MATCH(G61,'G-8 Condition Look up'!$A$3:$A$131,0),MATCH(K61,'G-8 Condition Look up'!$A$3:$H$3,0)),"")</f>
        <v/>
      </c>
      <c r="M61" s="186"/>
      <c r="N61" s="175" t="str">
        <f>IF(M61="","",IF(VLOOKUP(M61,'G-3 Multipliers'!$L$3:$N$6,2,FALSE)=0,"Spatial Data Missing",VLOOKUP(M61,'G-3 Multipliers'!$L$3:$N$6,2,FALSE)))</f>
        <v/>
      </c>
      <c r="O61" s="176" t="str">
        <f>IF(M61="","",IF(VLOOKUP(M61,'G-3 Multipliers'!$L$3:$N$6,3,FALSE)=0,"Spatial Data Missing",VLOOKUP(M61,'G-3 Multipliers'!$L$3:$N$6,3,FALSE)))</f>
        <v/>
      </c>
      <c r="P61" s="177" t="str">
        <f>IFERROR(VLOOKUP(G61,'G-1 All Habitats'!$B$2:$M$130,12,FALSE),"")</f>
        <v/>
      </c>
      <c r="Q61" s="81" t="str">
        <f>IFERROR(IF(P61="","",IF(AND(P61='G-1 All Habitats'!$X$3,T61&gt;0),U61+V61,IF(AND(P61='G-1 All Habitats'!$X$3,S61&gt;0),U61+V61,IF(AND(P61='G-1 All Habitats'!$X$3,AC61&gt;0),"Any Loss Unacceptable",IF(AND(P61='G-1 All Habitats'!$X$3,W61&gt;0),"Any Loss Unacceptable",H61*J61*L61*O61))))),"Check Data")</f>
        <v/>
      </c>
      <c r="R61" s="55"/>
      <c r="S61" s="79"/>
      <c r="T61" s="82"/>
      <c r="U61" s="83" t="str">
        <f t="shared" si="2"/>
        <v/>
      </c>
      <c r="V61" s="83" t="str">
        <f t="shared" si="3"/>
        <v/>
      </c>
      <c r="W61" s="83" t="str">
        <f>IF(E61="","",IF(H61&lt;S61+T61,"Error in Areas",IF(P61&lt;&gt;'G-1 All Habitats'!$X$3,H61-S61-T61,IF(AND(P61='G-1 All Habitats'!$X$3,Y61="Yes"),"Unacceptable Loss",IF(AND(P61='G-1 All Habitats'!$X$3,Y61="No"),AC61,IF(AND(P61='G-1 All Habitats'!$X$3,Y61=""),AC61,IF(AND(P61='G-1 All Habitats'!$X$3,AC61="None",AC61),IF(AND(P61='G-1 All Habitats'!$X$3,AC61&gt;0),H61-S61-T61))))))))</f>
        <v/>
      </c>
      <c r="X61" s="354" t="str">
        <f>IFERROR(IF(H61="","",IF(H61-S61-T61=0&lt;0,"Error in Areas",IF(S61+T61&gt;H61,"Error in Areas",IF(AND(P61='G-1 All Habitats'!$X$3,Y61="Yes"),"Alternative Compensation",IF(W61=0,0,IF(P61='G-1 All Habitats'!$X$3,"Unacceptable Loss",Q61-U61-V61)))))),"Check Data")</f>
        <v/>
      </c>
      <c r="Y61" s="82"/>
      <c r="Z61" s="182"/>
      <c r="AA61" s="183"/>
      <c r="AC61" s="371" t="str">
        <f>IF(P61="","",IF(P61='G-1 All Habitats'!$X$3,H61-S61-T61,"None"))</f>
        <v/>
      </c>
      <c r="AD61" s="372" t="str">
        <f t="shared" si="4"/>
        <v/>
      </c>
      <c r="AF61" s="188" t="str">
        <f t="shared" si="0"/>
        <v/>
      </c>
      <c r="AG61" s="188" t="str">
        <f t="shared" si="1"/>
        <v/>
      </c>
      <c r="AH61" s="188" t="str">
        <f>IF(I61="","",IF(#REF!&gt;0,TRUE,FALSE))</f>
        <v/>
      </c>
      <c r="AI61" s="188">
        <v>51</v>
      </c>
      <c r="AJ61" s="188"/>
      <c r="AK61" s="188" t="str">
        <f t="array" ref="AK61">IFERROR(INDEX($AI$11:$AI$259, MATCH(0, IF(TRUE=$AF$11:$AF$259, COUNTIF($AK$10:$AK60, $AI$11:$AI$259), ""), 0)),"")</f>
        <v/>
      </c>
      <c r="AL61" s="188" t="str">
        <f t="array" ref="AL61">IFERROR(INDEX($AI$11:$AI$259, MATCH(0, IF(TRUE=$AG$11:$AG$259, COUNTIF($AL$10:$AL60, $AI$11:$AI$259), ""), 0)),"")</f>
        <v/>
      </c>
      <c r="AM61" s="188" t="str">
        <f t="array" ref="AM61">IFERROR(INDEX($AI$11:$AI$259, MATCH(0, IF(TRUE=$AH$11:$AH$259, COUNTIF($AM$10:$AM60, $AI$11:$AI$259), ""), 0)),"")</f>
        <v/>
      </c>
      <c r="AQ61" s="35">
        <f t="shared" si="5"/>
        <v>0</v>
      </c>
    </row>
    <row r="62" spans="1:43" x14ac:dyDescent="0.25">
      <c r="A62" s="35" t="str">
        <f>IFERROR(INDEX('G-1 All Habitats'!$AG$3:$AG$15,MATCH(E62,'G-1 All Habitats'!$AF$3:$AF$15,0)),"")</f>
        <v/>
      </c>
      <c r="B62" s="35" t="str">
        <f>IFERROR(INDEX('G-8 Condition Look up'!$I$4:$I$131,MATCH(G62,'G-8 Condition Look up'!$A$4:$A$131,0)),"")</f>
        <v/>
      </c>
      <c r="D62" s="168">
        <v>52</v>
      </c>
      <c r="E62" s="275"/>
      <c r="F62" s="275"/>
      <c r="G62" s="370" t="str">
        <f>IFERROR(INDEX('G-1 All Habitats'!$B$3:$B$130,MATCH(F62,'G-1 All Habitats'!$A$3:$A$130,0)),"")</f>
        <v/>
      </c>
      <c r="H62" s="213"/>
      <c r="I62" s="171" t="str">
        <f>IF(G62="","",VLOOKUP(G62,'G-1 All Habitats'!$B$2:$M$130,10,FALSE))</f>
        <v/>
      </c>
      <c r="J62" s="172" t="str">
        <f>IFERROR(VLOOKUP(I62,'G-1 All Habitats'!$V$3:$W$7,2,FALSE),"")</f>
        <v/>
      </c>
      <c r="K62" s="173"/>
      <c r="L62" s="172" t="str">
        <f>IFERROR(INDEX('G-8 Condition Look up'!$A$3:$H$131,MATCH(G62,'G-8 Condition Look up'!$A$3:$A$131,0),MATCH(K62,'G-8 Condition Look up'!$A$3:$H$3,0)),"")</f>
        <v/>
      </c>
      <c r="M62" s="186"/>
      <c r="N62" s="175" t="str">
        <f>IF(M62="","",IF(VLOOKUP(M62,'G-3 Multipliers'!$L$3:$N$6,2,FALSE)=0,"Spatial Data Missing",VLOOKUP(M62,'G-3 Multipliers'!$L$3:$N$6,2,FALSE)))</f>
        <v/>
      </c>
      <c r="O62" s="176" t="str">
        <f>IF(M62="","",IF(VLOOKUP(M62,'G-3 Multipliers'!$L$3:$N$6,3,FALSE)=0,"Spatial Data Missing",VLOOKUP(M62,'G-3 Multipliers'!$L$3:$N$6,3,FALSE)))</f>
        <v/>
      </c>
      <c r="P62" s="177" t="str">
        <f>IFERROR(VLOOKUP(G62,'G-1 All Habitats'!$B$2:$M$130,12,FALSE),"")</f>
        <v/>
      </c>
      <c r="Q62" s="81" t="str">
        <f>IFERROR(IF(P62="","",IF(AND(P62='G-1 All Habitats'!$X$3,T62&gt;0),U62+V62,IF(AND(P62='G-1 All Habitats'!$X$3,S62&gt;0),U62+V62,IF(AND(P62='G-1 All Habitats'!$X$3,AC62&gt;0),"Any Loss Unacceptable",IF(AND(P62='G-1 All Habitats'!$X$3,W62&gt;0),"Any Loss Unacceptable",H62*J62*L62*O62))))),"Check Data")</f>
        <v/>
      </c>
      <c r="R62" s="55"/>
      <c r="S62" s="79"/>
      <c r="T62" s="82"/>
      <c r="U62" s="83" t="str">
        <f t="shared" si="2"/>
        <v/>
      </c>
      <c r="V62" s="83" t="str">
        <f t="shared" si="3"/>
        <v/>
      </c>
      <c r="W62" s="83" t="str">
        <f>IF(E62="","",IF(H62&lt;S62+T62,"Error in Areas",IF(P62&lt;&gt;'G-1 All Habitats'!$X$3,H62-S62-T62,IF(AND(P62='G-1 All Habitats'!$X$3,Y62="Yes"),"Unacceptable Loss",IF(AND(P62='G-1 All Habitats'!$X$3,Y62="No"),AC62,IF(AND(P62='G-1 All Habitats'!$X$3,Y62=""),AC62,IF(AND(P62='G-1 All Habitats'!$X$3,AC62="None",AC62),IF(AND(P62='G-1 All Habitats'!$X$3,AC62&gt;0),H62-S62-T62))))))))</f>
        <v/>
      </c>
      <c r="X62" s="354" t="str">
        <f>IFERROR(IF(H62="","",IF(H62-S62-T62=0&lt;0,"Error in Areas",IF(S62+T62&gt;H62,"Error in Areas",IF(AND(P62='G-1 All Habitats'!$X$3,Y62="Yes"),"Alternative Compensation",IF(W62=0,0,IF(P62='G-1 All Habitats'!$X$3,"Unacceptable Loss",Q62-U62-V62)))))),"Check Data")</f>
        <v/>
      </c>
      <c r="Y62" s="82"/>
      <c r="Z62" s="182"/>
      <c r="AA62" s="183"/>
      <c r="AC62" s="371" t="str">
        <f>IF(P62="","",IF(P62='G-1 All Habitats'!$X$3,H62-S62-T62,"None"))</f>
        <v/>
      </c>
      <c r="AD62" s="372" t="str">
        <f t="shared" si="4"/>
        <v/>
      </c>
      <c r="AF62" s="188" t="str">
        <f t="shared" si="0"/>
        <v/>
      </c>
      <c r="AG62" s="188" t="str">
        <f t="shared" si="1"/>
        <v/>
      </c>
      <c r="AH62" s="188" t="str">
        <f>IF(I62="","",IF(#REF!&gt;0,TRUE,FALSE))</f>
        <v/>
      </c>
      <c r="AI62" s="188">
        <v>52</v>
      </c>
      <c r="AJ62" s="188"/>
      <c r="AK62" s="188" t="str">
        <f t="array" ref="AK62">IFERROR(INDEX($AI$11:$AI$259, MATCH(0, IF(TRUE=$AF$11:$AF$259, COUNTIF($AK$10:$AK61, $AI$11:$AI$259), ""), 0)),"")</f>
        <v/>
      </c>
      <c r="AL62" s="188" t="str">
        <f t="array" ref="AL62">IFERROR(INDEX($AI$11:$AI$259, MATCH(0, IF(TRUE=$AG$11:$AG$259, COUNTIF($AL$10:$AL61, $AI$11:$AI$259), ""), 0)),"")</f>
        <v/>
      </c>
      <c r="AM62" s="188" t="str">
        <f t="array" ref="AM62">IFERROR(INDEX($AI$11:$AI$259, MATCH(0, IF(TRUE=$AH$11:$AH$259, COUNTIF($AM$10:$AM61, $AI$11:$AI$259), ""), 0)),"")</f>
        <v/>
      </c>
      <c r="AQ62" s="35">
        <f t="shared" si="5"/>
        <v>0</v>
      </c>
    </row>
    <row r="63" spans="1:43" x14ac:dyDescent="0.25">
      <c r="A63" s="35" t="str">
        <f>IFERROR(INDEX('G-1 All Habitats'!$AG$3:$AG$15,MATCH(E63,'G-1 All Habitats'!$AF$3:$AF$15,0)),"")</f>
        <v/>
      </c>
      <c r="B63" s="35" t="str">
        <f>IFERROR(INDEX('G-8 Condition Look up'!$I$4:$I$131,MATCH(G63,'G-8 Condition Look up'!$A$4:$A$131,0)),"")</f>
        <v/>
      </c>
      <c r="D63" s="168">
        <v>53</v>
      </c>
      <c r="E63" s="275"/>
      <c r="F63" s="275"/>
      <c r="G63" s="370" t="str">
        <f>IFERROR(INDEX('G-1 All Habitats'!$B$3:$B$130,MATCH(F63,'G-1 All Habitats'!$A$3:$A$130,0)),"")</f>
        <v/>
      </c>
      <c r="H63" s="213"/>
      <c r="I63" s="171" t="str">
        <f>IF(G63="","",VLOOKUP(G63,'G-1 All Habitats'!$B$2:$M$130,10,FALSE))</f>
        <v/>
      </c>
      <c r="J63" s="172" t="str">
        <f>IFERROR(VLOOKUP(I63,'G-1 All Habitats'!$V$3:$W$7,2,FALSE),"")</f>
        <v/>
      </c>
      <c r="K63" s="173"/>
      <c r="L63" s="172" t="str">
        <f>IFERROR(INDEX('G-8 Condition Look up'!$A$3:$H$131,MATCH(G63,'G-8 Condition Look up'!$A$3:$A$131,0),MATCH(K63,'G-8 Condition Look up'!$A$3:$H$3,0)),"")</f>
        <v/>
      </c>
      <c r="M63" s="186"/>
      <c r="N63" s="175" t="str">
        <f>IF(M63="","",IF(VLOOKUP(M63,'G-3 Multipliers'!$L$3:$N$6,2,FALSE)=0,"Spatial Data Missing",VLOOKUP(M63,'G-3 Multipliers'!$L$3:$N$6,2,FALSE)))</f>
        <v/>
      </c>
      <c r="O63" s="176" t="str">
        <f>IF(M63="","",IF(VLOOKUP(M63,'G-3 Multipliers'!$L$3:$N$6,3,FALSE)=0,"Spatial Data Missing",VLOOKUP(M63,'G-3 Multipliers'!$L$3:$N$6,3,FALSE)))</f>
        <v/>
      </c>
      <c r="P63" s="177" t="str">
        <f>IFERROR(VLOOKUP(G63,'G-1 All Habitats'!$B$2:$M$130,12,FALSE),"")</f>
        <v/>
      </c>
      <c r="Q63" s="81" t="str">
        <f>IFERROR(IF(P63="","",IF(AND(P63='G-1 All Habitats'!$X$3,T63&gt;0),U63+V63,IF(AND(P63='G-1 All Habitats'!$X$3,S63&gt;0),U63+V63,IF(AND(P63='G-1 All Habitats'!$X$3,AC63&gt;0),"Any Loss Unacceptable",IF(AND(P63='G-1 All Habitats'!$X$3,W63&gt;0),"Any Loss Unacceptable",H63*J63*L63*O63))))),"Check Data")</f>
        <v/>
      </c>
      <c r="R63" s="55"/>
      <c r="S63" s="79"/>
      <c r="T63" s="82"/>
      <c r="U63" s="83" t="str">
        <f t="shared" si="2"/>
        <v/>
      </c>
      <c r="V63" s="83" t="str">
        <f t="shared" si="3"/>
        <v/>
      </c>
      <c r="W63" s="83" t="str">
        <f>IF(E63="","",IF(H63&lt;S63+T63,"Error in Areas",IF(P63&lt;&gt;'G-1 All Habitats'!$X$3,H63-S63-T63,IF(AND(P63='G-1 All Habitats'!$X$3,Y63="Yes"),"Unacceptable Loss",IF(AND(P63='G-1 All Habitats'!$X$3,Y63="No"),AC63,IF(AND(P63='G-1 All Habitats'!$X$3,Y63=""),AC63,IF(AND(P63='G-1 All Habitats'!$X$3,AC63="None",AC63),IF(AND(P63='G-1 All Habitats'!$X$3,AC63&gt;0),H63-S63-T63))))))))</f>
        <v/>
      </c>
      <c r="X63" s="354" t="str">
        <f>IFERROR(IF(H63="","",IF(H63-S63-T63=0&lt;0,"Error in Areas",IF(S63+T63&gt;H63,"Error in Areas",IF(AND(P63='G-1 All Habitats'!$X$3,Y63="Yes"),"Alternative Compensation",IF(W63=0,0,IF(P63='G-1 All Habitats'!$X$3,"Unacceptable Loss",Q63-U63-V63)))))),"Check Data")</f>
        <v/>
      </c>
      <c r="Y63" s="82"/>
      <c r="Z63" s="182"/>
      <c r="AA63" s="183"/>
      <c r="AC63" s="371" t="str">
        <f>IF(P63="","",IF(P63='G-1 All Habitats'!$X$3,H63-S63-T63,"None"))</f>
        <v/>
      </c>
      <c r="AD63" s="372" t="str">
        <f t="shared" si="4"/>
        <v/>
      </c>
      <c r="AF63" s="188" t="str">
        <f t="shared" si="0"/>
        <v/>
      </c>
      <c r="AG63" s="188" t="str">
        <f t="shared" si="1"/>
        <v/>
      </c>
      <c r="AH63" s="188" t="str">
        <f>IF(I63="","",IF(#REF!&gt;0,TRUE,FALSE))</f>
        <v/>
      </c>
      <c r="AI63" s="188">
        <v>53</v>
      </c>
      <c r="AJ63" s="188"/>
      <c r="AK63" s="188" t="str">
        <f t="array" ref="AK63">IFERROR(INDEX($AI$11:$AI$259, MATCH(0, IF(TRUE=$AF$11:$AF$259, COUNTIF($AK$10:$AK62, $AI$11:$AI$259), ""), 0)),"")</f>
        <v/>
      </c>
      <c r="AL63" s="188" t="str">
        <f t="array" ref="AL63">IFERROR(INDEX($AI$11:$AI$259, MATCH(0, IF(TRUE=$AG$11:$AG$259, COUNTIF($AL$10:$AL62, $AI$11:$AI$259), ""), 0)),"")</f>
        <v/>
      </c>
      <c r="AM63" s="188" t="str">
        <f t="array" ref="AM63">IFERROR(INDEX($AI$11:$AI$259, MATCH(0, IF(TRUE=$AH$11:$AH$259, COUNTIF($AM$10:$AM62, $AI$11:$AI$259), ""), 0)),"")</f>
        <v/>
      </c>
      <c r="AQ63" s="35">
        <f t="shared" si="5"/>
        <v>0</v>
      </c>
    </row>
    <row r="64" spans="1:43" x14ac:dyDescent="0.25">
      <c r="A64" s="35" t="str">
        <f>IFERROR(INDEX('G-1 All Habitats'!$AG$3:$AG$15,MATCH(E64,'G-1 All Habitats'!$AF$3:$AF$15,0)),"")</f>
        <v/>
      </c>
      <c r="B64" s="35" t="str">
        <f>IFERROR(INDEX('G-8 Condition Look up'!$I$4:$I$131,MATCH(G64,'G-8 Condition Look up'!$A$4:$A$131,0)),"")</f>
        <v/>
      </c>
      <c r="D64" s="168">
        <v>54</v>
      </c>
      <c r="E64" s="275"/>
      <c r="F64" s="275"/>
      <c r="G64" s="370" t="str">
        <f>IFERROR(INDEX('G-1 All Habitats'!$B$3:$B$130,MATCH(F64,'G-1 All Habitats'!$A$3:$A$130,0)),"")</f>
        <v/>
      </c>
      <c r="H64" s="213"/>
      <c r="I64" s="171" t="str">
        <f>IF(G64="","",VLOOKUP(G64,'G-1 All Habitats'!$B$2:$M$130,10,FALSE))</f>
        <v/>
      </c>
      <c r="J64" s="172" t="str">
        <f>IFERROR(VLOOKUP(I64,'G-1 All Habitats'!$V$3:$W$7,2,FALSE),"")</f>
        <v/>
      </c>
      <c r="K64" s="173"/>
      <c r="L64" s="172" t="str">
        <f>IFERROR(INDEX('G-8 Condition Look up'!$A$3:$H$131,MATCH(G64,'G-8 Condition Look up'!$A$3:$A$131,0),MATCH(K64,'G-8 Condition Look up'!$A$3:$H$3,0)),"")</f>
        <v/>
      </c>
      <c r="M64" s="186"/>
      <c r="N64" s="175" t="str">
        <f>IF(M64="","",IF(VLOOKUP(M64,'G-3 Multipliers'!$L$3:$N$6,2,FALSE)=0,"Spatial Data Missing",VLOOKUP(M64,'G-3 Multipliers'!$L$3:$N$6,2,FALSE)))</f>
        <v/>
      </c>
      <c r="O64" s="176" t="str">
        <f>IF(M64="","",IF(VLOOKUP(M64,'G-3 Multipliers'!$L$3:$N$6,3,FALSE)=0,"Spatial Data Missing",VLOOKUP(M64,'G-3 Multipliers'!$L$3:$N$6,3,FALSE)))</f>
        <v/>
      </c>
      <c r="P64" s="177" t="str">
        <f>IFERROR(VLOOKUP(G64,'G-1 All Habitats'!$B$2:$M$130,12,FALSE),"")</f>
        <v/>
      </c>
      <c r="Q64" s="81" t="str">
        <f>IFERROR(IF(P64="","",IF(AND(P64='G-1 All Habitats'!$X$3,T64&gt;0),U64+V64,IF(AND(P64='G-1 All Habitats'!$X$3,S64&gt;0),U64+V64,IF(AND(P64='G-1 All Habitats'!$X$3,AC64&gt;0),"Any Loss Unacceptable",IF(AND(P64='G-1 All Habitats'!$X$3,W64&gt;0),"Any Loss Unacceptable",H64*J64*L64*O64))))),"Check Data")</f>
        <v/>
      </c>
      <c r="R64" s="55"/>
      <c r="S64" s="79"/>
      <c r="T64" s="82"/>
      <c r="U64" s="83" t="str">
        <f t="shared" si="2"/>
        <v/>
      </c>
      <c r="V64" s="83" t="str">
        <f t="shared" si="3"/>
        <v/>
      </c>
      <c r="W64" s="83" t="str">
        <f>IF(E64="","",IF(H64&lt;S64+T64,"Error in Areas",IF(P64&lt;&gt;'G-1 All Habitats'!$X$3,H64-S64-T64,IF(AND(P64='G-1 All Habitats'!$X$3,Y64="Yes"),"Unacceptable Loss",IF(AND(P64='G-1 All Habitats'!$X$3,Y64="No"),AC64,IF(AND(P64='G-1 All Habitats'!$X$3,Y64=""),AC64,IF(AND(P64='G-1 All Habitats'!$X$3,AC64="None",AC64),IF(AND(P64='G-1 All Habitats'!$X$3,AC64&gt;0),H64-S64-T64))))))))</f>
        <v/>
      </c>
      <c r="X64" s="354" t="str">
        <f>IFERROR(IF(H64="","",IF(H64-S64-T64=0&lt;0,"Error in Areas",IF(S64+T64&gt;H64,"Error in Areas",IF(AND(P64='G-1 All Habitats'!$X$3,Y64="Yes"),"Alternative Compensation",IF(W64=0,0,IF(P64='G-1 All Habitats'!$X$3,"Unacceptable Loss",Q64-U64-V64)))))),"Check Data")</f>
        <v/>
      </c>
      <c r="Y64" s="82"/>
      <c r="Z64" s="182"/>
      <c r="AA64" s="183"/>
      <c r="AC64" s="371" t="str">
        <f>IF(P64="","",IF(P64='G-1 All Habitats'!$X$3,H64-S64-T64,"None"))</f>
        <v/>
      </c>
      <c r="AD64" s="372" t="str">
        <f t="shared" si="4"/>
        <v/>
      </c>
      <c r="AF64" s="188" t="str">
        <f t="shared" si="0"/>
        <v/>
      </c>
      <c r="AG64" s="188" t="str">
        <f t="shared" si="1"/>
        <v/>
      </c>
      <c r="AH64" s="188" t="str">
        <f>IF(I64="","",IF(#REF!&gt;0,TRUE,FALSE))</f>
        <v/>
      </c>
      <c r="AI64" s="188">
        <v>54</v>
      </c>
      <c r="AJ64" s="188"/>
      <c r="AK64" s="188" t="str">
        <f t="array" ref="AK64">IFERROR(INDEX($AI$11:$AI$259, MATCH(0, IF(TRUE=$AF$11:$AF$259, COUNTIF($AK$10:$AK63, $AI$11:$AI$259), ""), 0)),"")</f>
        <v/>
      </c>
      <c r="AL64" s="188" t="str">
        <f t="array" ref="AL64">IFERROR(INDEX($AI$11:$AI$259, MATCH(0, IF(TRUE=$AG$11:$AG$259, COUNTIF($AL$10:$AL63, $AI$11:$AI$259), ""), 0)),"")</f>
        <v/>
      </c>
      <c r="AM64" s="188" t="str">
        <f t="array" ref="AM64">IFERROR(INDEX($AI$11:$AI$259, MATCH(0, IF(TRUE=$AH$11:$AH$259, COUNTIF($AM$10:$AM63, $AI$11:$AI$259), ""), 0)),"")</f>
        <v/>
      </c>
      <c r="AQ64" s="35">
        <f t="shared" si="5"/>
        <v>0</v>
      </c>
    </row>
    <row r="65" spans="1:43" x14ac:dyDescent="0.25">
      <c r="A65" s="35" t="str">
        <f>IFERROR(INDEX('G-1 All Habitats'!$AG$3:$AG$15,MATCH(E65,'G-1 All Habitats'!$AF$3:$AF$15,0)),"")</f>
        <v/>
      </c>
      <c r="B65" s="35" t="str">
        <f>IFERROR(INDEX('G-8 Condition Look up'!$I$4:$I$131,MATCH(G65,'G-8 Condition Look up'!$A$4:$A$131,0)),"")</f>
        <v/>
      </c>
      <c r="D65" s="168">
        <v>55</v>
      </c>
      <c r="E65" s="275"/>
      <c r="F65" s="275"/>
      <c r="G65" s="370" t="str">
        <f>IFERROR(INDEX('G-1 All Habitats'!$B$3:$B$130,MATCH(F65,'G-1 All Habitats'!$A$3:$A$130,0)),"")</f>
        <v/>
      </c>
      <c r="H65" s="213"/>
      <c r="I65" s="171" t="str">
        <f>IF(G65="","",VLOOKUP(G65,'G-1 All Habitats'!$B$2:$M$130,10,FALSE))</f>
        <v/>
      </c>
      <c r="J65" s="172" t="str">
        <f>IFERROR(VLOOKUP(I65,'G-1 All Habitats'!$V$3:$W$7,2,FALSE),"")</f>
        <v/>
      </c>
      <c r="K65" s="173"/>
      <c r="L65" s="172" t="str">
        <f>IFERROR(INDEX('G-8 Condition Look up'!$A$3:$H$131,MATCH(G65,'G-8 Condition Look up'!$A$3:$A$131,0),MATCH(K65,'G-8 Condition Look up'!$A$3:$H$3,0)),"")</f>
        <v/>
      </c>
      <c r="M65" s="186"/>
      <c r="N65" s="175" t="str">
        <f>IF(M65="","",IF(VLOOKUP(M65,'G-3 Multipliers'!$L$3:$N$6,2,FALSE)=0,"Spatial Data Missing",VLOOKUP(M65,'G-3 Multipliers'!$L$3:$N$6,2,FALSE)))</f>
        <v/>
      </c>
      <c r="O65" s="176" t="str">
        <f>IF(M65="","",IF(VLOOKUP(M65,'G-3 Multipliers'!$L$3:$N$6,3,FALSE)=0,"Spatial Data Missing",VLOOKUP(M65,'G-3 Multipliers'!$L$3:$N$6,3,FALSE)))</f>
        <v/>
      </c>
      <c r="P65" s="177" t="str">
        <f>IFERROR(VLOOKUP(G65,'G-1 All Habitats'!$B$2:$M$130,12,FALSE),"")</f>
        <v/>
      </c>
      <c r="Q65" s="81" t="str">
        <f>IFERROR(IF(P65="","",IF(AND(P65='G-1 All Habitats'!$X$3,T65&gt;0),U65+V65,IF(AND(P65='G-1 All Habitats'!$X$3,S65&gt;0),U65+V65,IF(AND(P65='G-1 All Habitats'!$X$3,AC65&gt;0),"Any Loss Unacceptable",IF(AND(P65='G-1 All Habitats'!$X$3,W65&gt;0),"Any Loss Unacceptable",H65*J65*L65*O65))))),"Check Data")</f>
        <v/>
      </c>
      <c r="R65" s="55"/>
      <c r="S65" s="79"/>
      <c r="T65" s="82"/>
      <c r="U65" s="83" t="str">
        <f t="shared" si="2"/>
        <v/>
      </c>
      <c r="V65" s="83" t="str">
        <f t="shared" si="3"/>
        <v/>
      </c>
      <c r="W65" s="83" t="str">
        <f>IF(E65="","",IF(H65&lt;S65+T65,"Error in Areas",IF(P65&lt;&gt;'G-1 All Habitats'!$X$3,H65-S65-T65,IF(AND(P65='G-1 All Habitats'!$X$3,Y65="Yes"),"Unacceptable Loss",IF(AND(P65='G-1 All Habitats'!$X$3,Y65="No"),AC65,IF(AND(P65='G-1 All Habitats'!$X$3,Y65=""),AC65,IF(AND(P65='G-1 All Habitats'!$X$3,AC65="None",AC65),IF(AND(P65='G-1 All Habitats'!$X$3,AC65&gt;0),H65-S65-T65))))))))</f>
        <v/>
      </c>
      <c r="X65" s="354" t="str">
        <f>IFERROR(IF(H65="","",IF(H65-S65-T65=0&lt;0,"Error in Areas",IF(S65+T65&gt;H65,"Error in Areas",IF(AND(P65='G-1 All Habitats'!$X$3,Y65="Yes"),"Alternative Compensation",IF(W65=0,0,IF(P65='G-1 All Habitats'!$X$3,"Unacceptable Loss",Q65-U65-V65)))))),"Check Data")</f>
        <v/>
      </c>
      <c r="Y65" s="82"/>
      <c r="Z65" s="182"/>
      <c r="AA65" s="183"/>
      <c r="AC65" s="371" t="str">
        <f>IF(P65="","",IF(P65='G-1 All Habitats'!$X$3,H65-S65-T65,"None"))</f>
        <v/>
      </c>
      <c r="AD65" s="372" t="str">
        <f t="shared" si="4"/>
        <v/>
      </c>
      <c r="AF65" s="188" t="str">
        <f t="shared" si="0"/>
        <v/>
      </c>
      <c r="AG65" s="188" t="str">
        <f t="shared" si="1"/>
        <v/>
      </c>
      <c r="AH65" s="188" t="str">
        <f>IF(I65="","",IF(#REF!&gt;0,TRUE,FALSE))</f>
        <v/>
      </c>
      <c r="AI65" s="188">
        <v>55</v>
      </c>
      <c r="AJ65" s="188"/>
      <c r="AK65" s="188" t="str">
        <f t="array" ref="AK65">IFERROR(INDEX($AI$11:$AI$259, MATCH(0, IF(TRUE=$AF$11:$AF$259, COUNTIF($AK$10:$AK64, $AI$11:$AI$259), ""), 0)),"")</f>
        <v/>
      </c>
      <c r="AL65" s="188" t="str">
        <f t="array" ref="AL65">IFERROR(INDEX($AI$11:$AI$259, MATCH(0, IF(TRUE=$AG$11:$AG$259, COUNTIF($AL$10:$AL64, $AI$11:$AI$259), ""), 0)),"")</f>
        <v/>
      </c>
      <c r="AM65" s="188" t="str">
        <f t="array" ref="AM65">IFERROR(INDEX($AI$11:$AI$259, MATCH(0, IF(TRUE=$AH$11:$AH$259, COUNTIF($AM$10:$AM64, $AI$11:$AI$259), ""), 0)),"")</f>
        <v/>
      </c>
      <c r="AQ65" s="35">
        <f t="shared" si="5"/>
        <v>0</v>
      </c>
    </row>
    <row r="66" spans="1:43" x14ac:dyDescent="0.25">
      <c r="A66" s="35" t="str">
        <f>IFERROR(INDEX('G-1 All Habitats'!$AG$3:$AG$15,MATCH(E66,'G-1 All Habitats'!$AF$3:$AF$15,0)),"")</f>
        <v/>
      </c>
      <c r="B66" s="35" t="str">
        <f>IFERROR(INDEX('G-8 Condition Look up'!$I$4:$I$131,MATCH(G66,'G-8 Condition Look up'!$A$4:$A$131,0)),"")</f>
        <v/>
      </c>
      <c r="D66" s="168">
        <v>56</v>
      </c>
      <c r="E66" s="275"/>
      <c r="F66" s="275"/>
      <c r="G66" s="370" t="str">
        <f>IFERROR(INDEX('G-1 All Habitats'!$B$3:$B$130,MATCH(F66,'G-1 All Habitats'!$A$3:$A$130,0)),"")</f>
        <v/>
      </c>
      <c r="H66" s="213"/>
      <c r="I66" s="171" t="str">
        <f>IF(G66="","",VLOOKUP(G66,'G-1 All Habitats'!$B$2:$M$130,10,FALSE))</f>
        <v/>
      </c>
      <c r="J66" s="172" t="str">
        <f>IFERROR(VLOOKUP(I66,'G-1 All Habitats'!$V$3:$W$7,2,FALSE),"")</f>
        <v/>
      </c>
      <c r="K66" s="173"/>
      <c r="L66" s="172" t="str">
        <f>IFERROR(INDEX('G-8 Condition Look up'!$A$3:$H$131,MATCH(G66,'G-8 Condition Look up'!$A$3:$A$131,0),MATCH(K66,'G-8 Condition Look up'!$A$3:$H$3,0)),"")</f>
        <v/>
      </c>
      <c r="M66" s="186"/>
      <c r="N66" s="175" t="str">
        <f>IF(M66="","",IF(VLOOKUP(M66,'G-3 Multipliers'!$L$3:$N$6,2,FALSE)=0,"Spatial Data Missing",VLOOKUP(M66,'G-3 Multipliers'!$L$3:$N$6,2,FALSE)))</f>
        <v/>
      </c>
      <c r="O66" s="176" t="str">
        <f>IF(M66="","",IF(VLOOKUP(M66,'G-3 Multipliers'!$L$3:$N$6,3,FALSE)=0,"Spatial Data Missing",VLOOKUP(M66,'G-3 Multipliers'!$L$3:$N$6,3,FALSE)))</f>
        <v/>
      </c>
      <c r="P66" s="177" t="str">
        <f>IFERROR(VLOOKUP(G66,'G-1 All Habitats'!$B$2:$M$130,12,FALSE),"")</f>
        <v/>
      </c>
      <c r="Q66" s="81" t="str">
        <f>IFERROR(IF(P66="","",IF(AND(P66='G-1 All Habitats'!$X$3,T66&gt;0),U66+V66,IF(AND(P66='G-1 All Habitats'!$X$3,S66&gt;0),U66+V66,IF(AND(P66='G-1 All Habitats'!$X$3,AC66&gt;0),"Any Loss Unacceptable",IF(AND(P66='G-1 All Habitats'!$X$3,W66&gt;0),"Any Loss Unacceptable",H66*J66*L66*O66))))),"Check Data")</f>
        <v/>
      </c>
      <c r="R66" s="55"/>
      <c r="S66" s="79"/>
      <c r="T66" s="82"/>
      <c r="U66" s="83" t="str">
        <f t="shared" si="2"/>
        <v/>
      </c>
      <c r="V66" s="83" t="str">
        <f t="shared" si="3"/>
        <v/>
      </c>
      <c r="W66" s="83" t="str">
        <f>IF(E66="","",IF(H66&lt;S66+T66,"Error in Areas",IF(P66&lt;&gt;'G-1 All Habitats'!$X$3,H66-S66-T66,IF(AND(P66='G-1 All Habitats'!$X$3,Y66="Yes"),"Unacceptable Loss",IF(AND(P66='G-1 All Habitats'!$X$3,Y66="No"),AC66,IF(AND(P66='G-1 All Habitats'!$X$3,Y66=""),AC66,IF(AND(P66='G-1 All Habitats'!$X$3,AC66="None",AC66),IF(AND(P66='G-1 All Habitats'!$X$3,AC66&gt;0),H66-S66-T66))))))))</f>
        <v/>
      </c>
      <c r="X66" s="354" t="str">
        <f>IFERROR(IF(H66="","",IF(H66-S66-T66=0&lt;0,"Error in Areas",IF(S66+T66&gt;H66,"Error in Areas",IF(AND(P66='G-1 All Habitats'!$X$3,Y66="Yes"),"Alternative Compensation",IF(W66=0,0,IF(P66='G-1 All Habitats'!$X$3,"Unacceptable Loss",Q66-U66-V66)))))),"Check Data")</f>
        <v/>
      </c>
      <c r="Y66" s="82"/>
      <c r="Z66" s="182"/>
      <c r="AA66" s="183"/>
      <c r="AC66" s="371" t="str">
        <f>IF(P66="","",IF(P66='G-1 All Habitats'!$X$3,H66-S66-T66,"None"))</f>
        <v/>
      </c>
      <c r="AD66" s="372" t="str">
        <f t="shared" si="4"/>
        <v/>
      </c>
      <c r="AF66" s="188" t="str">
        <f t="shared" si="0"/>
        <v/>
      </c>
      <c r="AG66" s="188" t="str">
        <f t="shared" si="1"/>
        <v/>
      </c>
      <c r="AH66" s="188" t="str">
        <f>IF(I66="","",IF(#REF!&gt;0,TRUE,FALSE))</f>
        <v/>
      </c>
      <c r="AI66" s="188">
        <v>56</v>
      </c>
      <c r="AJ66" s="188"/>
      <c r="AK66" s="188" t="str">
        <f t="array" ref="AK66">IFERROR(INDEX($AI$11:$AI$259, MATCH(0, IF(TRUE=$AF$11:$AF$259, COUNTIF($AK$10:$AK65, $AI$11:$AI$259), ""), 0)),"")</f>
        <v/>
      </c>
      <c r="AL66" s="188" t="str">
        <f t="array" ref="AL66">IFERROR(INDEX($AI$11:$AI$259, MATCH(0, IF(TRUE=$AG$11:$AG$259, COUNTIF($AL$10:$AL65, $AI$11:$AI$259), ""), 0)),"")</f>
        <v/>
      </c>
      <c r="AM66" s="188" t="str">
        <f t="array" ref="AM66">IFERROR(INDEX($AI$11:$AI$259, MATCH(0, IF(TRUE=$AH$11:$AH$259, COUNTIF($AM$10:$AM65, $AI$11:$AI$259), ""), 0)),"")</f>
        <v/>
      </c>
      <c r="AQ66" s="35">
        <f t="shared" si="5"/>
        <v>0</v>
      </c>
    </row>
    <row r="67" spans="1:43" x14ac:dyDescent="0.25">
      <c r="A67" s="35" t="str">
        <f>IFERROR(INDEX('G-1 All Habitats'!$AG$3:$AG$15,MATCH(E67,'G-1 All Habitats'!$AF$3:$AF$15,0)),"")</f>
        <v/>
      </c>
      <c r="B67" s="35" t="str">
        <f>IFERROR(INDEX('G-8 Condition Look up'!$I$4:$I$131,MATCH(G67,'G-8 Condition Look up'!$A$4:$A$131,0)),"")</f>
        <v/>
      </c>
      <c r="D67" s="168">
        <v>57</v>
      </c>
      <c r="E67" s="275"/>
      <c r="F67" s="275"/>
      <c r="G67" s="370" t="str">
        <f>IFERROR(INDEX('G-1 All Habitats'!$B$3:$B$130,MATCH(F67,'G-1 All Habitats'!$A$3:$A$130,0)),"")</f>
        <v/>
      </c>
      <c r="H67" s="213"/>
      <c r="I67" s="171" t="str">
        <f>IF(G67="","",VLOOKUP(G67,'G-1 All Habitats'!$B$2:$M$130,10,FALSE))</f>
        <v/>
      </c>
      <c r="J67" s="172" t="str">
        <f>IFERROR(VLOOKUP(I67,'G-1 All Habitats'!$V$3:$W$7,2,FALSE),"")</f>
        <v/>
      </c>
      <c r="K67" s="173"/>
      <c r="L67" s="172" t="str">
        <f>IFERROR(INDEX('G-8 Condition Look up'!$A$3:$H$131,MATCH(G67,'G-8 Condition Look up'!$A$3:$A$131,0),MATCH(K67,'G-8 Condition Look up'!$A$3:$H$3,0)),"")</f>
        <v/>
      </c>
      <c r="M67" s="186"/>
      <c r="N67" s="175" t="str">
        <f>IF(M67="","",IF(VLOOKUP(M67,'G-3 Multipliers'!$L$3:$N$6,2,FALSE)=0,"Spatial Data Missing",VLOOKUP(M67,'G-3 Multipliers'!$L$3:$N$6,2,FALSE)))</f>
        <v/>
      </c>
      <c r="O67" s="176" t="str">
        <f>IF(M67="","",IF(VLOOKUP(M67,'G-3 Multipliers'!$L$3:$N$6,3,FALSE)=0,"Spatial Data Missing",VLOOKUP(M67,'G-3 Multipliers'!$L$3:$N$6,3,FALSE)))</f>
        <v/>
      </c>
      <c r="P67" s="177" t="str">
        <f>IFERROR(VLOOKUP(G67,'G-1 All Habitats'!$B$2:$M$130,12,FALSE),"")</f>
        <v/>
      </c>
      <c r="Q67" s="81" t="str">
        <f>IFERROR(IF(P67="","",IF(AND(P67='G-1 All Habitats'!$X$3,T67&gt;0),U67+V67,IF(AND(P67='G-1 All Habitats'!$X$3,S67&gt;0),U67+V67,IF(AND(P67='G-1 All Habitats'!$X$3,AC67&gt;0),"Any Loss Unacceptable",IF(AND(P67='G-1 All Habitats'!$X$3,W67&gt;0),"Any Loss Unacceptable",H67*J67*L67*O67))))),"Check Data")</f>
        <v/>
      </c>
      <c r="R67" s="55"/>
      <c r="S67" s="79"/>
      <c r="T67" s="82"/>
      <c r="U67" s="83" t="str">
        <f t="shared" si="2"/>
        <v/>
      </c>
      <c r="V67" s="83" t="str">
        <f t="shared" si="3"/>
        <v/>
      </c>
      <c r="W67" s="83" t="str">
        <f>IF(E67="","",IF(H67&lt;S67+T67,"Error in Areas",IF(P67&lt;&gt;'G-1 All Habitats'!$X$3,H67-S67-T67,IF(AND(P67='G-1 All Habitats'!$X$3,Y67="Yes"),"Unacceptable Loss",IF(AND(P67='G-1 All Habitats'!$X$3,Y67="No"),AC67,IF(AND(P67='G-1 All Habitats'!$X$3,Y67=""),AC67,IF(AND(P67='G-1 All Habitats'!$X$3,AC67="None",AC67),IF(AND(P67='G-1 All Habitats'!$X$3,AC67&gt;0),H67-S67-T67))))))))</f>
        <v/>
      </c>
      <c r="X67" s="354" t="str">
        <f>IFERROR(IF(H67="","",IF(H67-S67-T67=0&lt;0,"Error in Areas",IF(S67+T67&gt;H67,"Error in Areas",IF(AND(P67='G-1 All Habitats'!$X$3,Y67="Yes"),"Alternative Compensation",IF(W67=0,0,IF(P67='G-1 All Habitats'!$X$3,"Unacceptable Loss",Q67-U67-V67)))))),"Check Data")</f>
        <v/>
      </c>
      <c r="Y67" s="82"/>
      <c r="Z67" s="182"/>
      <c r="AA67" s="183"/>
      <c r="AC67" s="371" t="str">
        <f>IF(P67="","",IF(P67='G-1 All Habitats'!$X$3,H67-S67-T67,"None"))</f>
        <v/>
      </c>
      <c r="AD67" s="372" t="str">
        <f t="shared" si="4"/>
        <v/>
      </c>
      <c r="AF67" s="188" t="str">
        <f t="shared" si="0"/>
        <v/>
      </c>
      <c r="AG67" s="188" t="str">
        <f t="shared" si="1"/>
        <v/>
      </c>
      <c r="AH67" s="188" t="str">
        <f>IF(I67="","",IF(#REF!&gt;0,TRUE,FALSE))</f>
        <v/>
      </c>
      <c r="AI67" s="188">
        <v>57</v>
      </c>
      <c r="AJ67" s="188"/>
      <c r="AK67" s="188" t="str">
        <f t="array" ref="AK67">IFERROR(INDEX($AI$11:$AI$259, MATCH(0, IF(TRUE=$AF$11:$AF$259, COUNTIF($AK$10:$AK66, $AI$11:$AI$259), ""), 0)),"")</f>
        <v/>
      </c>
      <c r="AL67" s="188" t="str">
        <f t="array" ref="AL67">IFERROR(INDEX($AI$11:$AI$259, MATCH(0, IF(TRUE=$AG$11:$AG$259, COUNTIF($AL$10:$AL66, $AI$11:$AI$259), ""), 0)),"")</f>
        <v/>
      </c>
      <c r="AM67" s="188" t="str">
        <f t="array" ref="AM67">IFERROR(INDEX($AI$11:$AI$259, MATCH(0, IF(TRUE=$AH$11:$AH$259, COUNTIF($AM$10:$AM66, $AI$11:$AI$259), ""), 0)),"")</f>
        <v/>
      </c>
      <c r="AQ67" s="35">
        <f t="shared" si="5"/>
        <v>0</v>
      </c>
    </row>
    <row r="68" spans="1:43" x14ac:dyDescent="0.25">
      <c r="A68" s="35" t="str">
        <f>IFERROR(INDEX('G-1 All Habitats'!$AG$3:$AG$15,MATCH(E68,'G-1 All Habitats'!$AF$3:$AF$15,0)),"")</f>
        <v/>
      </c>
      <c r="B68" s="35" t="str">
        <f>IFERROR(INDEX('G-8 Condition Look up'!$I$4:$I$131,MATCH(G68,'G-8 Condition Look up'!$A$4:$A$131,0)),"")</f>
        <v/>
      </c>
      <c r="D68" s="168">
        <v>58</v>
      </c>
      <c r="E68" s="275"/>
      <c r="F68" s="275"/>
      <c r="G68" s="370" t="str">
        <f>IFERROR(INDEX('G-1 All Habitats'!$B$3:$B$130,MATCH(F68,'G-1 All Habitats'!$A$3:$A$130,0)),"")</f>
        <v/>
      </c>
      <c r="H68" s="213"/>
      <c r="I68" s="171" t="str">
        <f>IF(G68="","",VLOOKUP(G68,'G-1 All Habitats'!$B$2:$M$130,10,FALSE))</f>
        <v/>
      </c>
      <c r="J68" s="172" t="str">
        <f>IFERROR(VLOOKUP(I68,'G-1 All Habitats'!$V$3:$W$7,2,FALSE),"")</f>
        <v/>
      </c>
      <c r="K68" s="173"/>
      <c r="L68" s="172" t="str">
        <f>IFERROR(INDEX('G-8 Condition Look up'!$A$3:$H$131,MATCH(G68,'G-8 Condition Look up'!$A$3:$A$131,0),MATCH(K68,'G-8 Condition Look up'!$A$3:$H$3,0)),"")</f>
        <v/>
      </c>
      <c r="M68" s="186"/>
      <c r="N68" s="175" t="str">
        <f>IF(M68="","",IF(VLOOKUP(M68,'G-3 Multipliers'!$L$3:$N$6,2,FALSE)=0,"Spatial Data Missing",VLOOKUP(M68,'G-3 Multipliers'!$L$3:$N$6,2,FALSE)))</f>
        <v/>
      </c>
      <c r="O68" s="176" t="str">
        <f>IF(M68="","",IF(VLOOKUP(M68,'G-3 Multipliers'!$L$3:$N$6,3,FALSE)=0,"Spatial Data Missing",VLOOKUP(M68,'G-3 Multipliers'!$L$3:$N$6,3,FALSE)))</f>
        <v/>
      </c>
      <c r="P68" s="177" t="str">
        <f>IFERROR(VLOOKUP(G68,'G-1 All Habitats'!$B$2:$M$130,12,FALSE),"")</f>
        <v/>
      </c>
      <c r="Q68" s="81" t="str">
        <f>IFERROR(IF(P68="","",IF(AND(P68='G-1 All Habitats'!$X$3,T68&gt;0),U68+V68,IF(AND(P68='G-1 All Habitats'!$X$3,S68&gt;0),U68+V68,IF(AND(P68='G-1 All Habitats'!$X$3,AC68&gt;0),"Any Loss Unacceptable",IF(AND(P68='G-1 All Habitats'!$X$3,W68&gt;0),"Any Loss Unacceptable",H68*J68*L68*O68))))),"Check Data")</f>
        <v/>
      </c>
      <c r="R68" s="55"/>
      <c r="S68" s="79"/>
      <c r="T68" s="82"/>
      <c r="U68" s="83" t="str">
        <f t="shared" si="2"/>
        <v/>
      </c>
      <c r="V68" s="83" t="str">
        <f t="shared" si="3"/>
        <v/>
      </c>
      <c r="W68" s="83" t="str">
        <f>IF(E68="","",IF(H68&lt;S68+T68,"Error in Areas",IF(P68&lt;&gt;'G-1 All Habitats'!$X$3,H68-S68-T68,IF(AND(P68='G-1 All Habitats'!$X$3,Y68="Yes"),"Unacceptable Loss",IF(AND(P68='G-1 All Habitats'!$X$3,Y68="No"),AC68,IF(AND(P68='G-1 All Habitats'!$X$3,Y68=""),AC68,IF(AND(P68='G-1 All Habitats'!$X$3,AC68="None",AC68),IF(AND(P68='G-1 All Habitats'!$X$3,AC68&gt;0),H68-S68-T68))))))))</f>
        <v/>
      </c>
      <c r="X68" s="354" t="str">
        <f>IFERROR(IF(H68="","",IF(H68-S68-T68=0&lt;0,"Error in Areas",IF(S68+T68&gt;H68,"Error in Areas",IF(AND(P68='G-1 All Habitats'!$X$3,Y68="Yes"),"Alternative Compensation",IF(W68=0,0,IF(P68='G-1 All Habitats'!$X$3,"Unacceptable Loss",Q68-U68-V68)))))),"Check Data")</f>
        <v/>
      </c>
      <c r="Y68" s="82"/>
      <c r="Z68" s="182"/>
      <c r="AA68" s="183"/>
      <c r="AC68" s="371" t="str">
        <f>IF(P68="","",IF(P68='G-1 All Habitats'!$X$3,H68-S68-T68,"None"))</f>
        <v/>
      </c>
      <c r="AD68" s="372" t="str">
        <f t="shared" si="4"/>
        <v/>
      </c>
      <c r="AF68" s="188" t="str">
        <f t="shared" si="0"/>
        <v/>
      </c>
      <c r="AG68" s="188" t="str">
        <f t="shared" si="1"/>
        <v/>
      </c>
      <c r="AH68" s="188" t="str">
        <f>IF(I68="","",IF(#REF!&gt;0,TRUE,FALSE))</f>
        <v/>
      </c>
      <c r="AI68" s="188">
        <v>58</v>
      </c>
      <c r="AJ68" s="188"/>
      <c r="AK68" s="188" t="str">
        <f t="array" ref="AK68">IFERROR(INDEX($AI$11:$AI$259, MATCH(0, IF(TRUE=$AF$11:$AF$259, COUNTIF($AK$10:$AK67, $AI$11:$AI$259), ""), 0)),"")</f>
        <v/>
      </c>
      <c r="AL68" s="188" t="str">
        <f t="array" ref="AL68">IFERROR(INDEX($AI$11:$AI$259, MATCH(0, IF(TRUE=$AG$11:$AG$259, COUNTIF($AL$10:$AL67, $AI$11:$AI$259), ""), 0)),"")</f>
        <v/>
      </c>
      <c r="AM68" s="188" t="str">
        <f t="array" ref="AM68">IFERROR(INDEX($AI$11:$AI$259, MATCH(0, IF(TRUE=$AH$11:$AH$259, COUNTIF($AM$10:$AM67, $AI$11:$AI$259), ""), 0)),"")</f>
        <v/>
      </c>
      <c r="AQ68" s="35">
        <f t="shared" si="5"/>
        <v>0</v>
      </c>
    </row>
    <row r="69" spans="1:43" x14ac:dyDescent="0.25">
      <c r="A69" s="35" t="str">
        <f>IFERROR(INDEX('G-1 All Habitats'!$AG$3:$AG$15,MATCH(E69,'G-1 All Habitats'!$AF$3:$AF$15,0)),"")</f>
        <v/>
      </c>
      <c r="B69" s="35" t="str">
        <f>IFERROR(INDEX('G-8 Condition Look up'!$I$4:$I$131,MATCH(G69,'G-8 Condition Look up'!$A$4:$A$131,0)),"")</f>
        <v/>
      </c>
      <c r="D69" s="168">
        <v>59</v>
      </c>
      <c r="E69" s="275"/>
      <c r="F69" s="275"/>
      <c r="G69" s="370" t="str">
        <f>IFERROR(INDEX('G-1 All Habitats'!$B$3:$B$130,MATCH(F69,'G-1 All Habitats'!$A$3:$A$130,0)),"")</f>
        <v/>
      </c>
      <c r="H69" s="213"/>
      <c r="I69" s="171" t="str">
        <f>IF(G69="","",VLOOKUP(G69,'G-1 All Habitats'!$B$2:$M$130,10,FALSE))</f>
        <v/>
      </c>
      <c r="J69" s="172" t="str">
        <f>IFERROR(VLOOKUP(I69,'G-1 All Habitats'!$V$3:$W$7,2,FALSE),"")</f>
        <v/>
      </c>
      <c r="K69" s="173"/>
      <c r="L69" s="172" t="str">
        <f>IFERROR(INDEX('G-8 Condition Look up'!$A$3:$H$131,MATCH(G69,'G-8 Condition Look up'!$A$3:$A$131,0),MATCH(K69,'G-8 Condition Look up'!$A$3:$H$3,0)),"")</f>
        <v/>
      </c>
      <c r="M69" s="186"/>
      <c r="N69" s="175" t="str">
        <f>IF(M69="","",IF(VLOOKUP(M69,'G-3 Multipliers'!$L$3:$N$6,2,FALSE)=0,"Spatial Data Missing",VLOOKUP(M69,'G-3 Multipliers'!$L$3:$N$6,2,FALSE)))</f>
        <v/>
      </c>
      <c r="O69" s="176" t="str">
        <f>IF(M69="","",IF(VLOOKUP(M69,'G-3 Multipliers'!$L$3:$N$6,3,FALSE)=0,"Spatial Data Missing",VLOOKUP(M69,'G-3 Multipliers'!$L$3:$N$6,3,FALSE)))</f>
        <v/>
      </c>
      <c r="P69" s="177" t="str">
        <f>IFERROR(VLOOKUP(G69,'G-1 All Habitats'!$B$2:$M$130,12,FALSE),"")</f>
        <v/>
      </c>
      <c r="Q69" s="81" t="str">
        <f>IFERROR(IF(P69="","",IF(AND(P69='G-1 All Habitats'!$X$3,T69&gt;0),U69+V69,IF(AND(P69='G-1 All Habitats'!$X$3,S69&gt;0),U69+V69,IF(AND(P69='G-1 All Habitats'!$X$3,AC69&gt;0),"Any Loss Unacceptable",IF(AND(P69='G-1 All Habitats'!$X$3,W69&gt;0),"Any Loss Unacceptable",H69*J69*L69*O69))))),"Check Data")</f>
        <v/>
      </c>
      <c r="R69" s="55"/>
      <c r="S69" s="79"/>
      <c r="T69" s="82"/>
      <c r="U69" s="83" t="str">
        <f t="shared" si="2"/>
        <v/>
      </c>
      <c r="V69" s="83" t="str">
        <f t="shared" si="3"/>
        <v/>
      </c>
      <c r="W69" s="83" t="str">
        <f>IF(E69="","",IF(H69&lt;S69+T69,"Error in Areas",IF(P69&lt;&gt;'G-1 All Habitats'!$X$3,H69-S69-T69,IF(AND(P69='G-1 All Habitats'!$X$3,Y69="Yes"),"Unacceptable Loss",IF(AND(P69='G-1 All Habitats'!$X$3,Y69="No"),AC69,IF(AND(P69='G-1 All Habitats'!$X$3,Y69=""),AC69,IF(AND(P69='G-1 All Habitats'!$X$3,AC69="None",AC69),IF(AND(P69='G-1 All Habitats'!$X$3,AC69&gt;0),H69-S69-T69))))))))</f>
        <v/>
      </c>
      <c r="X69" s="354" t="str">
        <f>IFERROR(IF(H69="","",IF(H69-S69-T69=0&lt;0,"Error in Areas",IF(S69+T69&gt;H69,"Error in Areas",IF(AND(P69='G-1 All Habitats'!$X$3,Y69="Yes"),"Alternative Compensation",IF(W69=0,0,IF(P69='G-1 All Habitats'!$X$3,"Unacceptable Loss",Q69-U69-V69)))))),"Check Data")</f>
        <v/>
      </c>
      <c r="Y69" s="82"/>
      <c r="Z69" s="182"/>
      <c r="AA69" s="183"/>
      <c r="AC69" s="371" t="str">
        <f>IF(P69="","",IF(P69='G-1 All Habitats'!$X$3,H69-S69-T69,"None"))</f>
        <v/>
      </c>
      <c r="AD69" s="372" t="str">
        <f t="shared" si="4"/>
        <v/>
      </c>
      <c r="AF69" s="188" t="str">
        <f t="shared" si="0"/>
        <v/>
      </c>
      <c r="AG69" s="188" t="str">
        <f t="shared" si="1"/>
        <v/>
      </c>
      <c r="AH69" s="188" t="str">
        <f>IF(I69="","",IF(#REF!&gt;0,TRUE,FALSE))</f>
        <v/>
      </c>
      <c r="AI69" s="188">
        <v>59</v>
      </c>
      <c r="AJ69" s="188"/>
      <c r="AK69" s="188" t="str">
        <f t="array" ref="AK69">IFERROR(INDEX($AI$11:$AI$259, MATCH(0, IF(TRUE=$AF$11:$AF$259, COUNTIF($AK$10:$AK68, $AI$11:$AI$259), ""), 0)),"")</f>
        <v/>
      </c>
      <c r="AL69" s="188" t="str">
        <f t="array" ref="AL69">IFERROR(INDEX($AI$11:$AI$259, MATCH(0, IF(TRUE=$AG$11:$AG$259, COUNTIF($AL$10:$AL68, $AI$11:$AI$259), ""), 0)),"")</f>
        <v/>
      </c>
      <c r="AM69" s="188" t="str">
        <f t="array" ref="AM69">IFERROR(INDEX($AI$11:$AI$259, MATCH(0, IF(TRUE=$AH$11:$AH$259, COUNTIF($AM$10:$AM68, $AI$11:$AI$259), ""), 0)),"")</f>
        <v/>
      </c>
      <c r="AQ69" s="35">
        <f t="shared" si="5"/>
        <v>0</v>
      </c>
    </row>
    <row r="70" spans="1:43" x14ac:dyDescent="0.25">
      <c r="A70" s="35" t="str">
        <f>IFERROR(INDEX('G-1 All Habitats'!$AG$3:$AG$15,MATCH(E70,'G-1 All Habitats'!$AF$3:$AF$15,0)),"")</f>
        <v/>
      </c>
      <c r="B70" s="35" t="str">
        <f>IFERROR(INDEX('G-8 Condition Look up'!$I$4:$I$131,MATCH(G70,'G-8 Condition Look up'!$A$4:$A$131,0)),"")</f>
        <v/>
      </c>
      <c r="D70" s="168">
        <v>60</v>
      </c>
      <c r="E70" s="275"/>
      <c r="F70" s="275"/>
      <c r="G70" s="370" t="str">
        <f>IFERROR(INDEX('G-1 All Habitats'!$B$3:$B$130,MATCH(F70,'G-1 All Habitats'!$A$3:$A$130,0)),"")</f>
        <v/>
      </c>
      <c r="H70" s="213"/>
      <c r="I70" s="171" t="str">
        <f>IF(G70="","",VLOOKUP(G70,'G-1 All Habitats'!$B$2:$M$130,10,FALSE))</f>
        <v/>
      </c>
      <c r="J70" s="172" t="str">
        <f>IFERROR(VLOOKUP(I70,'G-1 All Habitats'!$V$3:$W$7,2,FALSE),"")</f>
        <v/>
      </c>
      <c r="K70" s="173"/>
      <c r="L70" s="172" t="str">
        <f>IFERROR(INDEX('G-8 Condition Look up'!$A$3:$H$131,MATCH(G70,'G-8 Condition Look up'!$A$3:$A$131,0),MATCH(K70,'G-8 Condition Look up'!$A$3:$H$3,0)),"")</f>
        <v/>
      </c>
      <c r="M70" s="186"/>
      <c r="N70" s="175" t="str">
        <f>IF(M70="","",IF(VLOOKUP(M70,'G-3 Multipliers'!$L$3:$N$6,2,FALSE)=0,"Spatial Data Missing",VLOOKUP(M70,'G-3 Multipliers'!$L$3:$N$6,2,FALSE)))</f>
        <v/>
      </c>
      <c r="O70" s="176" t="str">
        <f>IF(M70="","",IF(VLOOKUP(M70,'G-3 Multipliers'!$L$3:$N$6,3,FALSE)=0,"Spatial Data Missing",VLOOKUP(M70,'G-3 Multipliers'!$L$3:$N$6,3,FALSE)))</f>
        <v/>
      </c>
      <c r="P70" s="177" t="str">
        <f>IFERROR(VLOOKUP(G70,'G-1 All Habitats'!$B$2:$M$130,12,FALSE),"")</f>
        <v/>
      </c>
      <c r="Q70" s="81" t="str">
        <f>IFERROR(IF(P70="","",IF(AND(P70='G-1 All Habitats'!$X$3,T70&gt;0),U70+V70,IF(AND(P70='G-1 All Habitats'!$X$3,S70&gt;0),U70+V70,IF(AND(P70='G-1 All Habitats'!$X$3,AC70&gt;0),"Any Loss Unacceptable",IF(AND(P70='G-1 All Habitats'!$X$3,W70&gt;0),"Any Loss Unacceptable",H70*J70*L70*O70))))),"Check Data")</f>
        <v/>
      </c>
      <c r="R70" s="55"/>
      <c r="S70" s="79"/>
      <c r="T70" s="82"/>
      <c r="U70" s="83" t="str">
        <f t="shared" si="2"/>
        <v/>
      </c>
      <c r="V70" s="83" t="str">
        <f t="shared" si="3"/>
        <v/>
      </c>
      <c r="W70" s="83" t="str">
        <f>IF(E70="","",IF(H70&lt;S70+T70,"Error in Areas",IF(P70&lt;&gt;'G-1 All Habitats'!$X$3,H70-S70-T70,IF(AND(P70='G-1 All Habitats'!$X$3,Y70="Yes"),"Unacceptable Loss",IF(AND(P70='G-1 All Habitats'!$X$3,Y70="No"),AC70,IF(AND(P70='G-1 All Habitats'!$X$3,Y70=""),AC70,IF(AND(P70='G-1 All Habitats'!$X$3,AC70="None",AC70),IF(AND(P70='G-1 All Habitats'!$X$3,AC70&gt;0),H70-S70-T70))))))))</f>
        <v/>
      </c>
      <c r="X70" s="354" t="str">
        <f>IFERROR(IF(H70="","",IF(H70-S70-T70=0&lt;0,"Error in Areas",IF(S70+T70&gt;H70,"Error in Areas",IF(AND(P70='G-1 All Habitats'!$X$3,Y70="Yes"),"Alternative Compensation",IF(W70=0,0,IF(P70='G-1 All Habitats'!$X$3,"Unacceptable Loss",Q70-U70-V70)))))),"Check Data")</f>
        <v/>
      </c>
      <c r="Y70" s="82"/>
      <c r="Z70" s="182"/>
      <c r="AA70" s="183"/>
      <c r="AC70" s="371" t="str">
        <f>IF(P70="","",IF(P70='G-1 All Habitats'!$X$3,H70-S70-T70,"None"))</f>
        <v/>
      </c>
      <c r="AD70" s="372" t="str">
        <f t="shared" si="4"/>
        <v/>
      </c>
      <c r="AF70" s="188" t="str">
        <f t="shared" si="0"/>
        <v/>
      </c>
      <c r="AG70" s="188" t="str">
        <f t="shared" si="1"/>
        <v/>
      </c>
      <c r="AH70" s="188" t="str">
        <f>IF(I70="","",IF(#REF!&gt;0,TRUE,FALSE))</f>
        <v/>
      </c>
      <c r="AI70" s="188">
        <v>60</v>
      </c>
      <c r="AJ70" s="188"/>
      <c r="AK70" s="188" t="str">
        <f t="array" ref="AK70">IFERROR(INDEX($AI$11:$AI$259, MATCH(0, IF(TRUE=$AF$11:$AF$259, COUNTIF($AK$10:$AK69, $AI$11:$AI$259), ""), 0)),"")</f>
        <v/>
      </c>
      <c r="AL70" s="188" t="str">
        <f t="array" ref="AL70">IFERROR(INDEX($AI$11:$AI$259, MATCH(0, IF(TRUE=$AG$11:$AG$259, COUNTIF($AL$10:$AL69, $AI$11:$AI$259), ""), 0)),"")</f>
        <v/>
      </c>
      <c r="AM70" s="188" t="str">
        <f t="array" ref="AM70">IFERROR(INDEX($AI$11:$AI$259, MATCH(0, IF(TRUE=$AH$11:$AH$259, COUNTIF($AM$10:$AM69, $AI$11:$AI$259), ""), 0)),"")</f>
        <v/>
      </c>
      <c r="AQ70" s="35">
        <f t="shared" si="5"/>
        <v>0</v>
      </c>
    </row>
    <row r="71" spans="1:43" x14ac:dyDescent="0.25">
      <c r="A71" s="35" t="str">
        <f>IFERROR(INDEX('G-1 All Habitats'!$AG$3:$AG$15,MATCH(E71,'G-1 All Habitats'!$AF$3:$AF$15,0)),"")</f>
        <v/>
      </c>
      <c r="B71" s="35" t="str">
        <f>IFERROR(INDEX('G-8 Condition Look up'!$I$4:$I$131,MATCH(G71,'G-8 Condition Look up'!$A$4:$A$131,0)),"")</f>
        <v/>
      </c>
      <c r="D71" s="168">
        <v>61</v>
      </c>
      <c r="E71" s="275"/>
      <c r="F71" s="275"/>
      <c r="G71" s="370" t="str">
        <f>IFERROR(INDEX('G-1 All Habitats'!$B$3:$B$130,MATCH(F71,'G-1 All Habitats'!$A$3:$A$130,0)),"")</f>
        <v/>
      </c>
      <c r="H71" s="213"/>
      <c r="I71" s="171" t="str">
        <f>IF(G71="","",VLOOKUP(G71,'G-1 All Habitats'!$B$2:$M$130,10,FALSE))</f>
        <v/>
      </c>
      <c r="J71" s="172" t="str">
        <f>IFERROR(VLOOKUP(I71,'G-1 All Habitats'!$V$3:$W$7,2,FALSE),"")</f>
        <v/>
      </c>
      <c r="K71" s="173"/>
      <c r="L71" s="172" t="str">
        <f>IFERROR(INDEX('G-8 Condition Look up'!$A$3:$H$131,MATCH(G71,'G-8 Condition Look up'!$A$3:$A$131,0),MATCH(K71,'G-8 Condition Look up'!$A$3:$H$3,0)),"")</f>
        <v/>
      </c>
      <c r="M71" s="186"/>
      <c r="N71" s="175" t="str">
        <f>IF(M71="","",IF(VLOOKUP(M71,'G-3 Multipliers'!$L$3:$N$6,2,FALSE)=0,"Spatial Data Missing",VLOOKUP(M71,'G-3 Multipliers'!$L$3:$N$6,2,FALSE)))</f>
        <v/>
      </c>
      <c r="O71" s="176" t="str">
        <f>IF(M71="","",IF(VLOOKUP(M71,'G-3 Multipliers'!$L$3:$N$6,3,FALSE)=0,"Spatial Data Missing",VLOOKUP(M71,'G-3 Multipliers'!$L$3:$N$6,3,FALSE)))</f>
        <v/>
      </c>
      <c r="P71" s="177" t="str">
        <f>IFERROR(VLOOKUP(G71,'G-1 All Habitats'!$B$2:$M$130,12,FALSE),"")</f>
        <v/>
      </c>
      <c r="Q71" s="81" t="str">
        <f>IFERROR(IF(P71="","",IF(AND(P71='G-1 All Habitats'!$X$3,T71&gt;0),U71+V71,IF(AND(P71='G-1 All Habitats'!$X$3,S71&gt;0),U71+V71,IF(AND(P71='G-1 All Habitats'!$X$3,AC71&gt;0),"Any Loss Unacceptable",IF(AND(P71='G-1 All Habitats'!$X$3,W71&gt;0),"Any Loss Unacceptable",H71*J71*L71*O71))))),"Check Data")</f>
        <v/>
      </c>
      <c r="R71" s="55"/>
      <c r="S71" s="79"/>
      <c r="T71" s="82"/>
      <c r="U71" s="83" t="str">
        <f t="shared" si="2"/>
        <v/>
      </c>
      <c r="V71" s="83" t="str">
        <f t="shared" si="3"/>
        <v/>
      </c>
      <c r="W71" s="83" t="str">
        <f>IF(E71="","",IF(H71&lt;S71+T71,"Error in Areas",IF(P71&lt;&gt;'G-1 All Habitats'!$X$3,H71-S71-T71,IF(AND(P71='G-1 All Habitats'!$X$3,Y71="Yes"),"Unacceptable Loss",IF(AND(P71='G-1 All Habitats'!$X$3,Y71="No"),AC71,IF(AND(P71='G-1 All Habitats'!$X$3,Y71=""),AC71,IF(AND(P71='G-1 All Habitats'!$X$3,AC71="None",AC71),IF(AND(P71='G-1 All Habitats'!$X$3,AC71&gt;0),H71-S71-T71))))))))</f>
        <v/>
      </c>
      <c r="X71" s="354" t="str">
        <f>IFERROR(IF(H71="","",IF(H71-S71-T71=0&lt;0,"Error in Areas",IF(S71+T71&gt;H71,"Error in Areas",IF(AND(P71='G-1 All Habitats'!$X$3,Y71="Yes"),"Alternative Compensation",IF(W71=0,0,IF(P71='G-1 All Habitats'!$X$3,"Unacceptable Loss",Q71-U71-V71)))))),"Check Data")</f>
        <v/>
      </c>
      <c r="Y71" s="82"/>
      <c r="Z71" s="182"/>
      <c r="AA71" s="183"/>
      <c r="AC71" s="371" t="str">
        <f>IF(P71="","",IF(P71='G-1 All Habitats'!$X$3,H71-S71-T71,"None"))</f>
        <v/>
      </c>
      <c r="AD71" s="372" t="str">
        <f t="shared" si="4"/>
        <v/>
      </c>
      <c r="AF71" s="188" t="str">
        <f t="shared" si="0"/>
        <v/>
      </c>
      <c r="AG71" s="188" t="str">
        <f t="shared" si="1"/>
        <v/>
      </c>
      <c r="AH71" s="188" t="str">
        <f>IF(I71="","",IF(#REF!&gt;0,TRUE,FALSE))</f>
        <v/>
      </c>
      <c r="AI71" s="188">
        <v>61</v>
      </c>
      <c r="AJ71" s="188"/>
      <c r="AK71" s="188" t="str">
        <f t="array" ref="AK71">IFERROR(INDEX($AI$11:$AI$259, MATCH(0, IF(TRUE=$AF$11:$AF$259, COUNTIF($AK$10:$AK70, $AI$11:$AI$259), ""), 0)),"")</f>
        <v/>
      </c>
      <c r="AL71" s="188" t="str">
        <f t="array" ref="AL71">IFERROR(INDEX($AI$11:$AI$259, MATCH(0, IF(TRUE=$AG$11:$AG$259, COUNTIF($AL$10:$AL70, $AI$11:$AI$259), ""), 0)),"")</f>
        <v/>
      </c>
      <c r="AM71" s="188" t="str">
        <f t="array" ref="AM71">IFERROR(INDEX($AI$11:$AI$259, MATCH(0, IF(TRUE=$AH$11:$AH$259, COUNTIF($AM$10:$AM70, $AI$11:$AI$259), ""), 0)),"")</f>
        <v/>
      </c>
      <c r="AQ71" s="35">
        <f t="shared" si="5"/>
        <v>0</v>
      </c>
    </row>
    <row r="72" spans="1:43" x14ac:dyDescent="0.25">
      <c r="A72" s="35" t="str">
        <f>IFERROR(INDEX('G-1 All Habitats'!$AG$3:$AG$15,MATCH(E72,'G-1 All Habitats'!$AF$3:$AF$15,0)),"")</f>
        <v/>
      </c>
      <c r="B72" s="35" t="str">
        <f>IFERROR(INDEX('G-8 Condition Look up'!$I$4:$I$131,MATCH(G72,'G-8 Condition Look up'!$A$4:$A$131,0)),"")</f>
        <v/>
      </c>
      <c r="D72" s="168">
        <v>62</v>
      </c>
      <c r="E72" s="275"/>
      <c r="F72" s="275"/>
      <c r="G72" s="370" t="str">
        <f>IFERROR(INDEX('G-1 All Habitats'!$B$3:$B$130,MATCH(F72,'G-1 All Habitats'!$A$3:$A$130,0)),"")</f>
        <v/>
      </c>
      <c r="H72" s="213"/>
      <c r="I72" s="171" t="str">
        <f>IF(G72="","",VLOOKUP(G72,'G-1 All Habitats'!$B$2:$M$130,10,FALSE))</f>
        <v/>
      </c>
      <c r="J72" s="172" t="str">
        <f>IFERROR(VLOOKUP(I72,'G-1 All Habitats'!$V$3:$W$7,2,FALSE),"")</f>
        <v/>
      </c>
      <c r="K72" s="173"/>
      <c r="L72" s="172" t="str">
        <f>IFERROR(INDEX('G-8 Condition Look up'!$A$3:$H$131,MATCH(G72,'G-8 Condition Look up'!$A$3:$A$131,0),MATCH(K72,'G-8 Condition Look up'!$A$3:$H$3,0)),"")</f>
        <v/>
      </c>
      <c r="M72" s="186"/>
      <c r="N72" s="175" t="str">
        <f>IF(M72="","",IF(VLOOKUP(M72,'G-3 Multipliers'!$L$3:$N$6,2,FALSE)=0,"Spatial Data Missing",VLOOKUP(M72,'G-3 Multipliers'!$L$3:$N$6,2,FALSE)))</f>
        <v/>
      </c>
      <c r="O72" s="176" t="str">
        <f>IF(M72="","",IF(VLOOKUP(M72,'G-3 Multipliers'!$L$3:$N$6,3,FALSE)=0,"Spatial Data Missing",VLOOKUP(M72,'G-3 Multipliers'!$L$3:$N$6,3,FALSE)))</f>
        <v/>
      </c>
      <c r="P72" s="177" t="str">
        <f>IFERROR(VLOOKUP(G72,'G-1 All Habitats'!$B$2:$M$130,12,FALSE),"")</f>
        <v/>
      </c>
      <c r="Q72" s="81" t="str">
        <f>IFERROR(IF(P72="","",IF(AND(P72='G-1 All Habitats'!$X$3,T72&gt;0),U72+V72,IF(AND(P72='G-1 All Habitats'!$X$3,S72&gt;0),U72+V72,IF(AND(P72='G-1 All Habitats'!$X$3,AC72&gt;0),"Any Loss Unacceptable",IF(AND(P72='G-1 All Habitats'!$X$3,W72&gt;0),"Any Loss Unacceptable",H72*J72*L72*O72))))),"Check Data")</f>
        <v/>
      </c>
      <c r="R72" s="55"/>
      <c r="S72" s="79"/>
      <c r="T72" s="82"/>
      <c r="U72" s="83" t="str">
        <f t="shared" si="2"/>
        <v/>
      </c>
      <c r="V72" s="83" t="str">
        <f t="shared" si="3"/>
        <v/>
      </c>
      <c r="W72" s="83" t="str">
        <f>IF(E72="","",IF(H72&lt;S72+T72,"Error in Areas",IF(P72&lt;&gt;'G-1 All Habitats'!$X$3,H72-S72-T72,IF(AND(P72='G-1 All Habitats'!$X$3,Y72="Yes"),"Unacceptable Loss",IF(AND(P72='G-1 All Habitats'!$X$3,Y72="No"),AC72,IF(AND(P72='G-1 All Habitats'!$X$3,Y72=""),AC72,IF(AND(P72='G-1 All Habitats'!$X$3,AC72="None",AC72),IF(AND(P72='G-1 All Habitats'!$X$3,AC72&gt;0),H72-S72-T72))))))))</f>
        <v/>
      </c>
      <c r="X72" s="354" t="str">
        <f>IFERROR(IF(H72="","",IF(H72-S72-T72=0&lt;0,"Error in Areas",IF(S72+T72&gt;H72,"Error in Areas",IF(AND(P72='G-1 All Habitats'!$X$3,Y72="Yes"),"Alternative Compensation",IF(W72=0,0,IF(P72='G-1 All Habitats'!$X$3,"Unacceptable Loss",Q72-U72-V72)))))),"Check Data")</f>
        <v/>
      </c>
      <c r="Y72" s="82"/>
      <c r="Z72" s="182"/>
      <c r="AA72" s="183"/>
      <c r="AC72" s="371" t="str">
        <f>IF(P72="","",IF(P72='G-1 All Habitats'!$X$3,H72-S72-T72,"None"))</f>
        <v/>
      </c>
      <c r="AD72" s="372" t="str">
        <f t="shared" si="4"/>
        <v/>
      </c>
      <c r="AF72" s="188" t="str">
        <f t="shared" si="0"/>
        <v/>
      </c>
      <c r="AG72" s="188" t="str">
        <f t="shared" si="1"/>
        <v/>
      </c>
      <c r="AH72" s="188" t="str">
        <f>IF(I72="","",IF(#REF!&gt;0,TRUE,FALSE))</f>
        <v/>
      </c>
      <c r="AI72" s="188">
        <v>62</v>
      </c>
      <c r="AJ72" s="188"/>
      <c r="AK72" s="188" t="str">
        <f t="array" ref="AK72">IFERROR(INDEX($AI$11:$AI$259, MATCH(0, IF(TRUE=$AF$11:$AF$259, COUNTIF($AK$10:$AK71, $AI$11:$AI$259), ""), 0)),"")</f>
        <v/>
      </c>
      <c r="AL72" s="188" t="str">
        <f t="array" ref="AL72">IFERROR(INDEX($AI$11:$AI$259, MATCH(0, IF(TRUE=$AG$11:$AG$259, COUNTIF($AL$10:$AL71, $AI$11:$AI$259), ""), 0)),"")</f>
        <v/>
      </c>
      <c r="AM72" s="188" t="str">
        <f t="array" ref="AM72">IFERROR(INDEX($AI$11:$AI$259, MATCH(0, IF(TRUE=$AH$11:$AH$259, COUNTIF($AM$10:$AM71, $AI$11:$AI$259), ""), 0)),"")</f>
        <v/>
      </c>
      <c r="AQ72" s="35">
        <f t="shared" si="5"/>
        <v>0</v>
      </c>
    </row>
    <row r="73" spans="1:43" x14ac:dyDescent="0.25">
      <c r="A73" s="35" t="str">
        <f>IFERROR(INDEX('G-1 All Habitats'!$AG$3:$AG$15,MATCH(E73,'G-1 All Habitats'!$AF$3:$AF$15,0)),"")</f>
        <v/>
      </c>
      <c r="B73" s="35" t="str">
        <f>IFERROR(INDEX('G-8 Condition Look up'!$I$4:$I$131,MATCH(G73,'G-8 Condition Look up'!$A$4:$A$131,0)),"")</f>
        <v/>
      </c>
      <c r="D73" s="168">
        <v>63</v>
      </c>
      <c r="E73" s="275"/>
      <c r="F73" s="275"/>
      <c r="G73" s="370" t="str">
        <f>IFERROR(INDEX('G-1 All Habitats'!$B$3:$B$130,MATCH(F73,'G-1 All Habitats'!$A$3:$A$130,0)),"")</f>
        <v/>
      </c>
      <c r="H73" s="213"/>
      <c r="I73" s="171" t="str">
        <f>IF(G73="","",VLOOKUP(G73,'G-1 All Habitats'!$B$2:$M$130,10,FALSE))</f>
        <v/>
      </c>
      <c r="J73" s="172" t="str">
        <f>IFERROR(VLOOKUP(I73,'G-1 All Habitats'!$V$3:$W$7,2,FALSE),"")</f>
        <v/>
      </c>
      <c r="K73" s="173"/>
      <c r="L73" s="172" t="str">
        <f>IFERROR(INDEX('G-8 Condition Look up'!$A$3:$H$131,MATCH(G73,'G-8 Condition Look up'!$A$3:$A$131,0),MATCH(K73,'G-8 Condition Look up'!$A$3:$H$3,0)),"")</f>
        <v/>
      </c>
      <c r="M73" s="186"/>
      <c r="N73" s="175" t="str">
        <f>IF(M73="","",IF(VLOOKUP(M73,'G-3 Multipliers'!$L$3:$N$6,2,FALSE)=0,"Spatial Data Missing",VLOOKUP(M73,'G-3 Multipliers'!$L$3:$N$6,2,FALSE)))</f>
        <v/>
      </c>
      <c r="O73" s="176" t="str">
        <f>IF(M73="","",IF(VLOOKUP(M73,'G-3 Multipliers'!$L$3:$N$6,3,FALSE)=0,"Spatial Data Missing",VLOOKUP(M73,'G-3 Multipliers'!$L$3:$N$6,3,FALSE)))</f>
        <v/>
      </c>
      <c r="P73" s="177" t="str">
        <f>IFERROR(VLOOKUP(G73,'G-1 All Habitats'!$B$2:$M$130,12,FALSE),"")</f>
        <v/>
      </c>
      <c r="Q73" s="81" t="str">
        <f>IFERROR(IF(P73="","",IF(AND(P73='G-1 All Habitats'!$X$3,T73&gt;0),U73+V73,IF(AND(P73='G-1 All Habitats'!$X$3,S73&gt;0),U73+V73,IF(AND(P73='G-1 All Habitats'!$X$3,AC73&gt;0),"Any Loss Unacceptable",IF(AND(P73='G-1 All Habitats'!$X$3,W73&gt;0),"Any Loss Unacceptable",H73*J73*L73*O73))))),"Check Data")</f>
        <v/>
      </c>
      <c r="R73" s="55"/>
      <c r="S73" s="79"/>
      <c r="T73" s="82"/>
      <c r="U73" s="83" t="str">
        <f t="shared" si="2"/>
        <v/>
      </c>
      <c r="V73" s="83" t="str">
        <f t="shared" si="3"/>
        <v/>
      </c>
      <c r="W73" s="83" t="str">
        <f>IF(E73="","",IF(H73&lt;S73+T73,"Error in Areas",IF(P73&lt;&gt;'G-1 All Habitats'!$X$3,H73-S73-T73,IF(AND(P73='G-1 All Habitats'!$X$3,Y73="Yes"),"Unacceptable Loss",IF(AND(P73='G-1 All Habitats'!$X$3,Y73="No"),AC73,IF(AND(P73='G-1 All Habitats'!$X$3,Y73=""),AC73,IF(AND(P73='G-1 All Habitats'!$X$3,AC73="None",AC73),IF(AND(P73='G-1 All Habitats'!$X$3,AC73&gt;0),H73-S73-T73))))))))</f>
        <v/>
      </c>
      <c r="X73" s="354" t="str">
        <f>IFERROR(IF(H73="","",IF(H73-S73-T73=0&lt;0,"Error in Areas",IF(S73+T73&gt;H73,"Error in Areas",IF(AND(P73='G-1 All Habitats'!$X$3,Y73="Yes"),"Alternative Compensation",IF(W73=0,0,IF(P73='G-1 All Habitats'!$X$3,"Unacceptable Loss",Q73-U73-V73)))))),"Check Data")</f>
        <v/>
      </c>
      <c r="Y73" s="82"/>
      <c r="Z73" s="182"/>
      <c r="AA73" s="183"/>
      <c r="AC73" s="371" t="str">
        <f>IF(P73="","",IF(P73='G-1 All Habitats'!$X$3,H73-S73-T73,"None"))</f>
        <v/>
      </c>
      <c r="AD73" s="372" t="str">
        <f t="shared" si="4"/>
        <v/>
      </c>
      <c r="AF73" s="188" t="str">
        <f t="shared" si="0"/>
        <v/>
      </c>
      <c r="AG73" s="188" t="str">
        <f t="shared" si="1"/>
        <v/>
      </c>
      <c r="AH73" s="188" t="str">
        <f>IF(I73="","",IF(#REF!&gt;0,TRUE,FALSE))</f>
        <v/>
      </c>
      <c r="AI73" s="188">
        <v>63</v>
      </c>
      <c r="AJ73" s="188"/>
      <c r="AK73" s="188" t="str">
        <f t="array" ref="AK73">IFERROR(INDEX($AI$11:$AI$259, MATCH(0, IF(TRUE=$AF$11:$AF$259, COUNTIF($AK$10:$AK72, $AI$11:$AI$259), ""), 0)),"")</f>
        <v/>
      </c>
      <c r="AL73" s="188" t="str">
        <f t="array" ref="AL73">IFERROR(INDEX($AI$11:$AI$259, MATCH(0, IF(TRUE=$AG$11:$AG$259, COUNTIF($AL$10:$AL72, $AI$11:$AI$259), ""), 0)),"")</f>
        <v/>
      </c>
      <c r="AM73" s="188" t="str">
        <f t="array" ref="AM73">IFERROR(INDEX($AI$11:$AI$259, MATCH(0, IF(TRUE=$AH$11:$AH$259, COUNTIF($AM$10:$AM72, $AI$11:$AI$259), ""), 0)),"")</f>
        <v/>
      </c>
      <c r="AQ73" s="35">
        <f t="shared" si="5"/>
        <v>0</v>
      </c>
    </row>
    <row r="74" spans="1:43" x14ac:dyDescent="0.25">
      <c r="A74" s="35" t="str">
        <f>IFERROR(INDEX('G-1 All Habitats'!$AG$3:$AG$15,MATCH(E74,'G-1 All Habitats'!$AF$3:$AF$15,0)),"")</f>
        <v/>
      </c>
      <c r="B74" s="35" t="str">
        <f>IFERROR(INDEX('G-8 Condition Look up'!$I$4:$I$131,MATCH(G74,'G-8 Condition Look up'!$A$4:$A$131,0)),"")</f>
        <v/>
      </c>
      <c r="D74" s="168">
        <v>64</v>
      </c>
      <c r="E74" s="275"/>
      <c r="F74" s="275"/>
      <c r="G74" s="370" t="str">
        <f>IFERROR(INDEX('G-1 All Habitats'!$B$3:$B$130,MATCH(F74,'G-1 All Habitats'!$A$3:$A$130,0)),"")</f>
        <v/>
      </c>
      <c r="H74" s="213"/>
      <c r="I74" s="171" t="str">
        <f>IF(G74="","",VLOOKUP(G74,'G-1 All Habitats'!$B$2:$M$130,10,FALSE))</f>
        <v/>
      </c>
      <c r="J74" s="172" t="str">
        <f>IFERROR(VLOOKUP(I74,'G-1 All Habitats'!$V$3:$W$7,2,FALSE),"")</f>
        <v/>
      </c>
      <c r="K74" s="173"/>
      <c r="L74" s="172" t="str">
        <f>IFERROR(INDEX('G-8 Condition Look up'!$A$3:$H$131,MATCH(G74,'G-8 Condition Look up'!$A$3:$A$131,0),MATCH(K74,'G-8 Condition Look up'!$A$3:$H$3,0)),"")</f>
        <v/>
      </c>
      <c r="M74" s="186"/>
      <c r="N74" s="175" t="str">
        <f>IF(M74="","",IF(VLOOKUP(M74,'G-3 Multipliers'!$L$3:$N$6,2,FALSE)=0,"Spatial Data Missing",VLOOKUP(M74,'G-3 Multipliers'!$L$3:$N$6,2,FALSE)))</f>
        <v/>
      </c>
      <c r="O74" s="176" t="str">
        <f>IF(M74="","",IF(VLOOKUP(M74,'G-3 Multipliers'!$L$3:$N$6,3,FALSE)=0,"Spatial Data Missing",VLOOKUP(M74,'G-3 Multipliers'!$L$3:$N$6,3,FALSE)))</f>
        <v/>
      </c>
      <c r="P74" s="177" t="str">
        <f>IFERROR(VLOOKUP(G74,'G-1 All Habitats'!$B$2:$M$130,12,FALSE),"")</f>
        <v/>
      </c>
      <c r="Q74" s="81" t="str">
        <f>IFERROR(IF(P74="","",IF(AND(P74='G-1 All Habitats'!$X$3,T74&gt;0),U74+V74,IF(AND(P74='G-1 All Habitats'!$X$3,S74&gt;0),U74+V74,IF(AND(P74='G-1 All Habitats'!$X$3,AC74&gt;0),"Any Loss Unacceptable",IF(AND(P74='G-1 All Habitats'!$X$3,W74&gt;0),"Any Loss Unacceptable",H74*J74*L74*O74))))),"Check Data")</f>
        <v/>
      </c>
      <c r="R74" s="55"/>
      <c r="S74" s="79"/>
      <c r="T74" s="82"/>
      <c r="U74" s="83" t="str">
        <f t="shared" si="2"/>
        <v/>
      </c>
      <c r="V74" s="83" t="str">
        <f t="shared" si="3"/>
        <v/>
      </c>
      <c r="W74" s="83" t="str">
        <f>IF(E74="","",IF(H74&lt;S74+T74,"Error in Areas",IF(P74&lt;&gt;'G-1 All Habitats'!$X$3,H74-S74-T74,IF(AND(P74='G-1 All Habitats'!$X$3,Y74="Yes"),"Unacceptable Loss",IF(AND(P74='G-1 All Habitats'!$X$3,Y74="No"),AC74,IF(AND(P74='G-1 All Habitats'!$X$3,Y74=""),AC74,IF(AND(P74='G-1 All Habitats'!$X$3,AC74="None",AC74),IF(AND(P74='G-1 All Habitats'!$X$3,AC74&gt;0),H74-S74-T74))))))))</f>
        <v/>
      </c>
      <c r="X74" s="354" t="str">
        <f>IFERROR(IF(H74="","",IF(H74-S74-T74=0&lt;0,"Error in Areas",IF(S74+T74&gt;H74,"Error in Areas",IF(AND(P74='G-1 All Habitats'!$X$3,Y74="Yes"),"Alternative Compensation",IF(W74=0,0,IF(P74='G-1 All Habitats'!$X$3,"Unacceptable Loss",Q74-U74-V74)))))),"Check Data")</f>
        <v/>
      </c>
      <c r="Y74" s="82"/>
      <c r="Z74" s="182"/>
      <c r="AA74" s="183"/>
      <c r="AC74" s="371" t="str">
        <f>IF(P74="","",IF(P74='G-1 All Habitats'!$X$3,H74-S74-T74,"None"))</f>
        <v/>
      </c>
      <c r="AD74" s="372" t="str">
        <f t="shared" si="4"/>
        <v/>
      </c>
      <c r="AF74" s="188" t="str">
        <f t="shared" si="0"/>
        <v/>
      </c>
      <c r="AG74" s="188" t="str">
        <f t="shared" si="1"/>
        <v/>
      </c>
      <c r="AH74" s="188" t="str">
        <f>IF(I74="","",IF(#REF!&gt;0,TRUE,FALSE))</f>
        <v/>
      </c>
      <c r="AI74" s="188">
        <v>64</v>
      </c>
      <c r="AJ74" s="188"/>
      <c r="AK74" s="188" t="str">
        <f t="array" ref="AK74">IFERROR(INDEX($AI$11:$AI$259, MATCH(0, IF(TRUE=$AF$11:$AF$259, COUNTIF($AK$10:$AK73, $AI$11:$AI$259), ""), 0)),"")</f>
        <v/>
      </c>
      <c r="AL74" s="188" t="str">
        <f t="array" ref="AL74">IFERROR(INDEX($AI$11:$AI$259, MATCH(0, IF(TRUE=$AG$11:$AG$259, COUNTIF($AL$10:$AL73, $AI$11:$AI$259), ""), 0)),"")</f>
        <v/>
      </c>
      <c r="AM74" s="188" t="str">
        <f t="array" ref="AM74">IFERROR(INDEX($AI$11:$AI$259, MATCH(0, IF(TRUE=$AH$11:$AH$259, COUNTIF($AM$10:$AM73, $AI$11:$AI$259), ""), 0)),"")</f>
        <v/>
      </c>
      <c r="AQ74" s="35">
        <f t="shared" si="5"/>
        <v>0</v>
      </c>
    </row>
    <row r="75" spans="1:43" x14ac:dyDescent="0.25">
      <c r="A75" s="35" t="str">
        <f>IFERROR(INDEX('G-1 All Habitats'!$AG$3:$AG$15,MATCH(E75,'G-1 All Habitats'!$AF$3:$AF$15,0)),"")</f>
        <v/>
      </c>
      <c r="B75" s="35" t="str">
        <f>IFERROR(INDEX('G-8 Condition Look up'!$I$4:$I$131,MATCH(G75,'G-8 Condition Look up'!$A$4:$A$131,0)),"")</f>
        <v/>
      </c>
      <c r="D75" s="168">
        <v>65</v>
      </c>
      <c r="E75" s="275"/>
      <c r="F75" s="275"/>
      <c r="G75" s="370" t="str">
        <f>IFERROR(INDEX('G-1 All Habitats'!$B$3:$B$130,MATCH(F75,'G-1 All Habitats'!$A$3:$A$130,0)),"")</f>
        <v/>
      </c>
      <c r="H75" s="213"/>
      <c r="I75" s="171" t="str">
        <f>IF(G75="","",VLOOKUP(G75,'G-1 All Habitats'!$B$2:$M$130,10,FALSE))</f>
        <v/>
      </c>
      <c r="J75" s="172" t="str">
        <f>IFERROR(VLOOKUP(I75,'G-1 All Habitats'!$V$3:$W$7,2,FALSE),"")</f>
        <v/>
      </c>
      <c r="K75" s="173"/>
      <c r="L75" s="172" t="str">
        <f>IFERROR(INDEX('G-8 Condition Look up'!$A$3:$H$131,MATCH(G75,'G-8 Condition Look up'!$A$3:$A$131,0),MATCH(K75,'G-8 Condition Look up'!$A$3:$H$3,0)),"")</f>
        <v/>
      </c>
      <c r="M75" s="186"/>
      <c r="N75" s="175" t="str">
        <f>IF(M75="","",IF(VLOOKUP(M75,'G-3 Multipliers'!$L$3:$N$6,2,FALSE)=0,"Spatial Data Missing",VLOOKUP(M75,'G-3 Multipliers'!$L$3:$N$6,2,FALSE)))</f>
        <v/>
      </c>
      <c r="O75" s="176" t="str">
        <f>IF(M75="","",IF(VLOOKUP(M75,'G-3 Multipliers'!$L$3:$N$6,3,FALSE)=0,"Spatial Data Missing",VLOOKUP(M75,'G-3 Multipliers'!$L$3:$N$6,3,FALSE)))</f>
        <v/>
      </c>
      <c r="P75" s="177" t="str">
        <f>IFERROR(VLOOKUP(G75,'G-1 All Habitats'!$B$2:$M$130,12,FALSE),"")</f>
        <v/>
      </c>
      <c r="Q75" s="81" t="str">
        <f>IFERROR(IF(P75="","",IF(AND(P75='G-1 All Habitats'!$X$3,T75&gt;0),U75+V75,IF(AND(P75='G-1 All Habitats'!$X$3,S75&gt;0),U75+V75,IF(AND(P75='G-1 All Habitats'!$X$3,AC75&gt;0),"Any Loss Unacceptable",IF(AND(P75='G-1 All Habitats'!$X$3,W75&gt;0),"Any Loss Unacceptable",H75*J75*L75*O75))))),"Check Data")</f>
        <v/>
      </c>
      <c r="R75" s="55"/>
      <c r="S75" s="79"/>
      <c r="T75" s="82"/>
      <c r="U75" s="83" t="str">
        <f t="shared" si="2"/>
        <v/>
      </c>
      <c r="V75" s="83" t="str">
        <f t="shared" si="3"/>
        <v/>
      </c>
      <c r="W75" s="83" t="str">
        <f>IF(E75="","",IF(H75&lt;S75+T75,"Error in Areas",IF(P75&lt;&gt;'G-1 All Habitats'!$X$3,H75-S75-T75,IF(AND(P75='G-1 All Habitats'!$X$3,Y75="Yes"),"Unacceptable Loss",IF(AND(P75='G-1 All Habitats'!$X$3,Y75="No"),AC75,IF(AND(P75='G-1 All Habitats'!$X$3,Y75=""),AC75,IF(AND(P75='G-1 All Habitats'!$X$3,AC75="None",AC75),IF(AND(P75='G-1 All Habitats'!$X$3,AC75&gt;0),H75-S75-T75))))))))</f>
        <v/>
      </c>
      <c r="X75" s="354" t="str">
        <f>IFERROR(IF(H75="","",IF(H75-S75-T75=0&lt;0,"Error in Areas",IF(S75+T75&gt;H75,"Error in Areas",IF(AND(P75='G-1 All Habitats'!$X$3,Y75="Yes"),"Alternative Compensation",IF(W75=0,0,IF(P75='G-1 All Habitats'!$X$3,"Unacceptable Loss",Q75-U75-V75)))))),"Check Data")</f>
        <v/>
      </c>
      <c r="Y75" s="82"/>
      <c r="Z75" s="182"/>
      <c r="AA75" s="183"/>
      <c r="AC75" s="371" t="str">
        <f>IF(P75="","",IF(P75='G-1 All Habitats'!$X$3,H75-S75-T75,"None"))</f>
        <v/>
      </c>
      <c r="AD75" s="372" t="str">
        <f t="shared" si="4"/>
        <v/>
      </c>
      <c r="AF75" s="188" t="str">
        <f t="shared" ref="AF75:AF138" si="6">IF(G75="","",IF(S75&gt;0,TRUE,FALSE))</f>
        <v/>
      </c>
      <c r="AG75" s="188" t="str">
        <f t="shared" ref="AG75:AG138" si="7">IF(H75="","",IF(T75&gt;0,TRUE,FALSE))</f>
        <v/>
      </c>
      <c r="AH75" s="188" t="str">
        <f>IF(I75="","",IF(#REF!&gt;0,TRUE,FALSE))</f>
        <v/>
      </c>
      <c r="AI75" s="188">
        <v>65</v>
      </c>
      <c r="AJ75" s="188"/>
      <c r="AK75" s="188" t="str">
        <f t="array" ref="AK75">IFERROR(INDEX($AI$11:$AI$259, MATCH(0, IF(TRUE=$AF$11:$AF$259, COUNTIF($AK$10:$AK74, $AI$11:$AI$259), ""), 0)),"")</f>
        <v/>
      </c>
      <c r="AL75" s="188" t="str">
        <f t="array" ref="AL75">IFERROR(INDEX($AI$11:$AI$259, MATCH(0, IF(TRUE=$AG$11:$AG$259, COUNTIF($AL$10:$AL74, $AI$11:$AI$259), ""), 0)),"")</f>
        <v/>
      </c>
      <c r="AM75" s="188" t="str">
        <f t="array" ref="AM75">IFERROR(INDEX($AI$11:$AI$259, MATCH(0, IF(TRUE=$AH$11:$AH$259, COUNTIF($AM$10:$AM74, $AI$11:$AI$259), ""), 0)),"")</f>
        <v/>
      </c>
      <c r="AQ75" s="35">
        <f t="shared" si="5"/>
        <v>0</v>
      </c>
    </row>
    <row r="76" spans="1:43" x14ac:dyDescent="0.25">
      <c r="A76" s="35" t="str">
        <f>IFERROR(INDEX('G-1 All Habitats'!$AG$3:$AG$15,MATCH(E76,'G-1 All Habitats'!$AF$3:$AF$15,0)),"")</f>
        <v/>
      </c>
      <c r="B76" s="35" t="str">
        <f>IFERROR(INDEX('G-8 Condition Look up'!$I$4:$I$131,MATCH(G76,'G-8 Condition Look up'!$A$4:$A$131,0)),"")</f>
        <v/>
      </c>
      <c r="D76" s="168">
        <v>66</v>
      </c>
      <c r="E76" s="275"/>
      <c r="F76" s="275"/>
      <c r="G76" s="370" t="str">
        <f>IFERROR(INDEX('G-1 All Habitats'!$B$3:$B$130,MATCH(F76,'G-1 All Habitats'!$A$3:$A$130,0)),"")</f>
        <v/>
      </c>
      <c r="H76" s="213"/>
      <c r="I76" s="171" t="str">
        <f>IF(G76="","",VLOOKUP(G76,'G-1 All Habitats'!$B$2:$M$130,10,FALSE))</f>
        <v/>
      </c>
      <c r="J76" s="172" t="str">
        <f>IFERROR(VLOOKUP(I76,'G-1 All Habitats'!$V$3:$W$7,2,FALSE),"")</f>
        <v/>
      </c>
      <c r="K76" s="173"/>
      <c r="L76" s="172" t="str">
        <f>IFERROR(INDEX('G-8 Condition Look up'!$A$3:$H$131,MATCH(G76,'G-8 Condition Look up'!$A$3:$A$131,0),MATCH(K76,'G-8 Condition Look up'!$A$3:$H$3,0)),"")</f>
        <v/>
      </c>
      <c r="M76" s="186"/>
      <c r="N76" s="175" t="str">
        <f>IF(M76="","",IF(VLOOKUP(M76,'G-3 Multipliers'!$L$3:$N$6,2,FALSE)=0,"Spatial Data Missing",VLOOKUP(M76,'G-3 Multipliers'!$L$3:$N$6,2,FALSE)))</f>
        <v/>
      </c>
      <c r="O76" s="176" t="str">
        <f>IF(M76="","",IF(VLOOKUP(M76,'G-3 Multipliers'!$L$3:$N$6,3,FALSE)=0,"Spatial Data Missing",VLOOKUP(M76,'G-3 Multipliers'!$L$3:$N$6,3,FALSE)))</f>
        <v/>
      </c>
      <c r="P76" s="177" t="str">
        <f>IFERROR(VLOOKUP(G76,'G-1 All Habitats'!$B$2:$M$130,12,FALSE),"")</f>
        <v/>
      </c>
      <c r="Q76" s="81" t="str">
        <f>IFERROR(IF(P76="","",IF(AND(P76='G-1 All Habitats'!$X$3,T76&gt;0),U76+V76,IF(AND(P76='G-1 All Habitats'!$X$3,S76&gt;0),U76+V76,IF(AND(P76='G-1 All Habitats'!$X$3,AC76&gt;0),"Any Loss Unacceptable",IF(AND(P76='G-1 All Habitats'!$X$3,W76&gt;0),"Any Loss Unacceptable",H76*J76*L76*O76))))),"Check Data")</f>
        <v/>
      </c>
      <c r="R76" s="55"/>
      <c r="S76" s="79"/>
      <c r="T76" s="82"/>
      <c r="U76" s="83" t="str">
        <f t="shared" ref="U76:U139" si="8">IFERROR(S76*J76*L76*O76,"")</f>
        <v/>
      </c>
      <c r="V76" s="83" t="str">
        <f t="shared" ref="V76:V139" si="9">IFERROR(T76*J76*L76*O76,"")</f>
        <v/>
      </c>
      <c r="W76" s="83" t="str">
        <f>IF(E76="","",IF(H76&lt;S76+T76,"Error in Areas",IF(P76&lt;&gt;'G-1 All Habitats'!$X$3,H76-S76-T76,IF(AND(P76='G-1 All Habitats'!$X$3,Y76="Yes"),"Unacceptable Loss",IF(AND(P76='G-1 All Habitats'!$X$3,Y76="No"),AC76,IF(AND(P76='G-1 All Habitats'!$X$3,Y76=""),AC76,IF(AND(P76='G-1 All Habitats'!$X$3,AC76="None",AC76),IF(AND(P76='G-1 All Habitats'!$X$3,AC76&gt;0),H76-S76-T76))))))))</f>
        <v/>
      </c>
      <c r="X76" s="354" t="str">
        <f>IFERROR(IF(H76="","",IF(H76-S76-T76=0&lt;0,"Error in Areas",IF(S76+T76&gt;H76,"Error in Areas",IF(AND(P76='G-1 All Habitats'!$X$3,Y76="Yes"),"Alternative Compensation",IF(W76=0,0,IF(P76='G-1 All Habitats'!$X$3,"Unacceptable Loss",Q76-U76-V76)))))),"Check Data")</f>
        <v/>
      </c>
      <c r="Y76" s="82"/>
      <c r="Z76" s="182"/>
      <c r="AA76" s="183"/>
      <c r="AC76" s="371" t="str">
        <f>IF(P76="","",IF(P76='G-1 All Habitats'!$X$3,H76-S76-T76,"None"))</f>
        <v/>
      </c>
      <c r="AD76" s="372" t="str">
        <f t="shared" ref="AD76:AD139" si="10">IFERROR(AC76*J76*L76*O76,IF(P76="","","None"))</f>
        <v/>
      </c>
      <c r="AF76" s="188" t="str">
        <f t="shared" si="6"/>
        <v/>
      </c>
      <c r="AG76" s="188" t="str">
        <f t="shared" si="7"/>
        <v/>
      </c>
      <c r="AH76" s="188" t="str">
        <f>IF(I76="","",IF(#REF!&gt;0,TRUE,FALSE))</f>
        <v/>
      </c>
      <c r="AI76" s="188">
        <v>66</v>
      </c>
      <c r="AJ76" s="188"/>
      <c r="AK76" s="188" t="str">
        <f t="array" ref="AK76">IFERROR(INDEX($AI$11:$AI$259, MATCH(0, IF(TRUE=$AF$11:$AF$259, COUNTIF($AK$10:$AK75, $AI$11:$AI$259), ""), 0)),"")</f>
        <v/>
      </c>
      <c r="AL76" s="188" t="str">
        <f t="array" ref="AL76">IFERROR(INDEX($AI$11:$AI$259, MATCH(0, IF(TRUE=$AG$11:$AG$259, COUNTIF($AL$10:$AL75, $AI$11:$AI$259), ""), 0)),"")</f>
        <v/>
      </c>
      <c r="AM76" s="188" t="str">
        <f t="array" ref="AM76">IFERROR(INDEX($AI$11:$AI$259, MATCH(0, IF(TRUE=$AH$11:$AH$259, COUNTIF($AM$10:$AM75, $AI$11:$AI$259), ""), 0)),"")</f>
        <v/>
      </c>
      <c r="AQ76" s="35">
        <f t="shared" ref="AQ76:AQ139" si="11">IF(X76="Unacceptable Loss",1,0)</f>
        <v>0</v>
      </c>
    </row>
    <row r="77" spans="1:43" x14ac:dyDescent="0.25">
      <c r="A77" s="35" t="str">
        <f>IFERROR(INDEX('G-1 All Habitats'!$AG$3:$AG$15,MATCH(E77,'G-1 All Habitats'!$AF$3:$AF$15,0)),"")</f>
        <v/>
      </c>
      <c r="B77" s="35" t="str">
        <f>IFERROR(INDEX('G-8 Condition Look up'!$I$4:$I$131,MATCH(G77,'G-8 Condition Look up'!$A$4:$A$131,0)),"")</f>
        <v/>
      </c>
      <c r="D77" s="168">
        <v>67</v>
      </c>
      <c r="E77" s="275"/>
      <c r="F77" s="275"/>
      <c r="G77" s="370" t="str">
        <f>IFERROR(INDEX('G-1 All Habitats'!$B$3:$B$130,MATCH(F77,'G-1 All Habitats'!$A$3:$A$130,0)),"")</f>
        <v/>
      </c>
      <c r="H77" s="213"/>
      <c r="I77" s="171" t="str">
        <f>IF(G77="","",VLOOKUP(G77,'G-1 All Habitats'!$B$2:$M$130,10,FALSE))</f>
        <v/>
      </c>
      <c r="J77" s="172" t="str">
        <f>IFERROR(VLOOKUP(I77,'G-1 All Habitats'!$V$3:$W$7,2,FALSE),"")</f>
        <v/>
      </c>
      <c r="K77" s="173"/>
      <c r="L77" s="172" t="str">
        <f>IFERROR(INDEX('G-8 Condition Look up'!$A$3:$H$131,MATCH(G77,'G-8 Condition Look up'!$A$3:$A$131,0),MATCH(K77,'G-8 Condition Look up'!$A$3:$H$3,0)),"")</f>
        <v/>
      </c>
      <c r="M77" s="186"/>
      <c r="N77" s="175" t="str">
        <f>IF(M77="","",IF(VLOOKUP(M77,'G-3 Multipliers'!$L$3:$N$6,2,FALSE)=0,"Spatial Data Missing",VLOOKUP(M77,'G-3 Multipliers'!$L$3:$N$6,2,FALSE)))</f>
        <v/>
      </c>
      <c r="O77" s="176" t="str">
        <f>IF(M77="","",IF(VLOOKUP(M77,'G-3 Multipliers'!$L$3:$N$6,3,FALSE)=0,"Spatial Data Missing",VLOOKUP(M77,'G-3 Multipliers'!$L$3:$N$6,3,FALSE)))</f>
        <v/>
      </c>
      <c r="P77" s="177" t="str">
        <f>IFERROR(VLOOKUP(G77,'G-1 All Habitats'!$B$2:$M$130,12,FALSE),"")</f>
        <v/>
      </c>
      <c r="Q77" s="81" t="str">
        <f>IFERROR(IF(P77="","",IF(AND(P77='G-1 All Habitats'!$X$3,T77&gt;0),U77+V77,IF(AND(P77='G-1 All Habitats'!$X$3,S77&gt;0),U77+V77,IF(AND(P77='G-1 All Habitats'!$X$3,AC77&gt;0),"Any Loss Unacceptable",IF(AND(P77='G-1 All Habitats'!$X$3,W77&gt;0),"Any Loss Unacceptable",H77*J77*L77*O77))))),"Check Data")</f>
        <v/>
      </c>
      <c r="R77" s="55"/>
      <c r="S77" s="79"/>
      <c r="T77" s="82"/>
      <c r="U77" s="83" t="str">
        <f t="shared" si="8"/>
        <v/>
      </c>
      <c r="V77" s="83" t="str">
        <f t="shared" si="9"/>
        <v/>
      </c>
      <c r="W77" s="83" t="str">
        <f>IF(E77="","",IF(H77&lt;S77+T77,"Error in Areas",IF(P77&lt;&gt;'G-1 All Habitats'!$X$3,H77-S77-T77,IF(AND(P77='G-1 All Habitats'!$X$3,Y77="Yes"),"Unacceptable Loss",IF(AND(P77='G-1 All Habitats'!$X$3,Y77="No"),AC77,IF(AND(P77='G-1 All Habitats'!$X$3,Y77=""),AC77,IF(AND(P77='G-1 All Habitats'!$X$3,AC77="None",AC77),IF(AND(P77='G-1 All Habitats'!$X$3,AC77&gt;0),H77-S77-T77))))))))</f>
        <v/>
      </c>
      <c r="X77" s="354" t="str">
        <f>IFERROR(IF(H77="","",IF(H77-S77-T77=0&lt;0,"Error in Areas",IF(S77+T77&gt;H77,"Error in Areas",IF(AND(P77='G-1 All Habitats'!$X$3,Y77="Yes"),"Alternative Compensation",IF(W77=0,0,IF(P77='G-1 All Habitats'!$X$3,"Unacceptable Loss",Q77-U77-V77)))))),"Check Data")</f>
        <v/>
      </c>
      <c r="Y77" s="82"/>
      <c r="Z77" s="182"/>
      <c r="AA77" s="183"/>
      <c r="AC77" s="371" t="str">
        <f>IF(P77="","",IF(P77='G-1 All Habitats'!$X$3,H77-S77-T77,"None"))</f>
        <v/>
      </c>
      <c r="AD77" s="372" t="str">
        <f t="shared" si="10"/>
        <v/>
      </c>
      <c r="AF77" s="188" t="str">
        <f t="shared" si="6"/>
        <v/>
      </c>
      <c r="AG77" s="188" t="str">
        <f t="shared" si="7"/>
        <v/>
      </c>
      <c r="AH77" s="188" t="str">
        <f>IF(I77="","",IF(#REF!&gt;0,TRUE,FALSE))</f>
        <v/>
      </c>
      <c r="AI77" s="188">
        <v>67</v>
      </c>
      <c r="AJ77" s="188"/>
      <c r="AK77" s="188" t="str">
        <f t="array" ref="AK77">IFERROR(INDEX($AI$11:$AI$259, MATCH(0, IF(TRUE=$AF$11:$AF$259, COUNTIF($AK$10:$AK76, $AI$11:$AI$259), ""), 0)),"")</f>
        <v/>
      </c>
      <c r="AL77" s="188" t="str">
        <f t="array" ref="AL77">IFERROR(INDEX($AI$11:$AI$259, MATCH(0, IF(TRUE=$AG$11:$AG$259, COUNTIF($AL$10:$AL76, $AI$11:$AI$259), ""), 0)),"")</f>
        <v/>
      </c>
      <c r="AM77" s="188" t="str">
        <f t="array" ref="AM77">IFERROR(INDEX($AI$11:$AI$259, MATCH(0, IF(TRUE=$AH$11:$AH$259, COUNTIF($AM$10:$AM76, $AI$11:$AI$259), ""), 0)),"")</f>
        <v/>
      </c>
      <c r="AQ77" s="35">
        <f t="shared" si="11"/>
        <v>0</v>
      </c>
    </row>
    <row r="78" spans="1:43" x14ac:dyDescent="0.25">
      <c r="A78" s="35" t="str">
        <f>IFERROR(INDEX('G-1 All Habitats'!$AG$3:$AG$15,MATCH(E78,'G-1 All Habitats'!$AF$3:$AF$15,0)),"")</f>
        <v/>
      </c>
      <c r="B78" s="35" t="str">
        <f>IFERROR(INDEX('G-8 Condition Look up'!$I$4:$I$131,MATCH(G78,'G-8 Condition Look up'!$A$4:$A$131,0)),"")</f>
        <v/>
      </c>
      <c r="D78" s="168">
        <v>68</v>
      </c>
      <c r="E78" s="275"/>
      <c r="F78" s="275"/>
      <c r="G78" s="370" t="str">
        <f>IFERROR(INDEX('G-1 All Habitats'!$B$3:$B$130,MATCH(F78,'G-1 All Habitats'!$A$3:$A$130,0)),"")</f>
        <v/>
      </c>
      <c r="H78" s="213"/>
      <c r="I78" s="171" t="str">
        <f>IF(G78="","",VLOOKUP(G78,'G-1 All Habitats'!$B$2:$M$130,10,FALSE))</f>
        <v/>
      </c>
      <c r="J78" s="172" t="str">
        <f>IFERROR(VLOOKUP(I78,'G-1 All Habitats'!$V$3:$W$7,2,FALSE),"")</f>
        <v/>
      </c>
      <c r="K78" s="173"/>
      <c r="L78" s="172" t="str">
        <f>IFERROR(INDEX('G-8 Condition Look up'!$A$3:$H$131,MATCH(G78,'G-8 Condition Look up'!$A$3:$A$131,0),MATCH(K78,'G-8 Condition Look up'!$A$3:$H$3,0)),"")</f>
        <v/>
      </c>
      <c r="M78" s="186"/>
      <c r="N78" s="175" t="str">
        <f>IF(M78="","",IF(VLOOKUP(M78,'G-3 Multipliers'!$L$3:$N$6,2,FALSE)=0,"Spatial Data Missing",VLOOKUP(M78,'G-3 Multipliers'!$L$3:$N$6,2,FALSE)))</f>
        <v/>
      </c>
      <c r="O78" s="176" t="str">
        <f>IF(M78="","",IF(VLOOKUP(M78,'G-3 Multipliers'!$L$3:$N$6,3,FALSE)=0,"Spatial Data Missing",VLOOKUP(M78,'G-3 Multipliers'!$L$3:$N$6,3,FALSE)))</f>
        <v/>
      </c>
      <c r="P78" s="177" t="str">
        <f>IFERROR(VLOOKUP(G78,'G-1 All Habitats'!$B$2:$M$130,12,FALSE),"")</f>
        <v/>
      </c>
      <c r="Q78" s="81" t="str">
        <f>IFERROR(IF(P78="","",IF(AND(P78='G-1 All Habitats'!$X$3,T78&gt;0),U78+V78,IF(AND(P78='G-1 All Habitats'!$X$3,S78&gt;0),U78+V78,IF(AND(P78='G-1 All Habitats'!$X$3,AC78&gt;0),"Any Loss Unacceptable",IF(AND(P78='G-1 All Habitats'!$X$3,W78&gt;0),"Any Loss Unacceptable",H78*J78*L78*O78))))),"Check Data")</f>
        <v/>
      </c>
      <c r="R78" s="55"/>
      <c r="S78" s="79"/>
      <c r="T78" s="82"/>
      <c r="U78" s="83" t="str">
        <f t="shared" si="8"/>
        <v/>
      </c>
      <c r="V78" s="83" t="str">
        <f t="shared" si="9"/>
        <v/>
      </c>
      <c r="W78" s="83" t="str">
        <f>IF(E78="","",IF(H78&lt;S78+T78,"Error in Areas",IF(P78&lt;&gt;'G-1 All Habitats'!$X$3,H78-S78-T78,IF(AND(P78='G-1 All Habitats'!$X$3,Y78="Yes"),"Unacceptable Loss",IF(AND(P78='G-1 All Habitats'!$X$3,Y78="No"),AC78,IF(AND(P78='G-1 All Habitats'!$X$3,Y78=""),AC78,IF(AND(P78='G-1 All Habitats'!$X$3,AC78="None",AC78),IF(AND(P78='G-1 All Habitats'!$X$3,AC78&gt;0),H78-S78-T78))))))))</f>
        <v/>
      </c>
      <c r="X78" s="354" t="str">
        <f>IFERROR(IF(H78="","",IF(H78-S78-T78=0&lt;0,"Error in Areas",IF(S78+T78&gt;H78,"Error in Areas",IF(AND(P78='G-1 All Habitats'!$X$3,Y78="Yes"),"Alternative Compensation",IF(W78=0,0,IF(P78='G-1 All Habitats'!$X$3,"Unacceptable Loss",Q78-U78-V78)))))),"Check Data")</f>
        <v/>
      </c>
      <c r="Y78" s="82"/>
      <c r="Z78" s="182"/>
      <c r="AA78" s="183"/>
      <c r="AC78" s="371" t="str">
        <f>IF(P78="","",IF(P78='G-1 All Habitats'!$X$3,H78-S78-T78,"None"))</f>
        <v/>
      </c>
      <c r="AD78" s="372" t="str">
        <f t="shared" si="10"/>
        <v/>
      </c>
      <c r="AF78" s="188" t="str">
        <f t="shared" si="6"/>
        <v/>
      </c>
      <c r="AG78" s="188" t="str">
        <f t="shared" si="7"/>
        <v/>
      </c>
      <c r="AH78" s="188" t="str">
        <f>IF(I78="","",IF(#REF!&gt;0,TRUE,FALSE))</f>
        <v/>
      </c>
      <c r="AI78" s="188">
        <v>68</v>
      </c>
      <c r="AJ78" s="188"/>
      <c r="AK78" s="188" t="str">
        <f t="array" ref="AK78">IFERROR(INDEX($AI$11:$AI$259, MATCH(0, IF(TRUE=$AF$11:$AF$259, COUNTIF($AK$10:$AK77, $AI$11:$AI$259), ""), 0)),"")</f>
        <v/>
      </c>
      <c r="AL78" s="188" t="str">
        <f t="array" ref="AL78">IFERROR(INDEX($AI$11:$AI$259, MATCH(0, IF(TRUE=$AG$11:$AG$259, COUNTIF($AL$10:$AL77, $AI$11:$AI$259), ""), 0)),"")</f>
        <v/>
      </c>
      <c r="AM78" s="188" t="str">
        <f t="array" ref="AM78">IFERROR(INDEX($AI$11:$AI$259, MATCH(0, IF(TRUE=$AH$11:$AH$259, COUNTIF($AM$10:$AM77, $AI$11:$AI$259), ""), 0)),"")</f>
        <v/>
      </c>
      <c r="AQ78" s="35">
        <f t="shared" si="11"/>
        <v>0</v>
      </c>
    </row>
    <row r="79" spans="1:43" x14ac:dyDescent="0.25">
      <c r="A79" s="35" t="str">
        <f>IFERROR(INDEX('G-1 All Habitats'!$AG$3:$AG$15,MATCH(E79,'G-1 All Habitats'!$AF$3:$AF$15,0)),"")</f>
        <v/>
      </c>
      <c r="B79" s="35" t="str">
        <f>IFERROR(INDEX('G-8 Condition Look up'!$I$4:$I$131,MATCH(G79,'G-8 Condition Look up'!$A$4:$A$131,0)),"")</f>
        <v/>
      </c>
      <c r="D79" s="168">
        <v>69</v>
      </c>
      <c r="E79" s="275"/>
      <c r="F79" s="275"/>
      <c r="G79" s="370" t="str">
        <f>IFERROR(INDEX('G-1 All Habitats'!$B$3:$B$130,MATCH(F79,'G-1 All Habitats'!$A$3:$A$130,0)),"")</f>
        <v/>
      </c>
      <c r="H79" s="213"/>
      <c r="I79" s="171" t="str">
        <f>IF(G79="","",VLOOKUP(G79,'G-1 All Habitats'!$B$2:$M$130,10,FALSE))</f>
        <v/>
      </c>
      <c r="J79" s="172" t="str">
        <f>IFERROR(VLOOKUP(I79,'G-1 All Habitats'!$V$3:$W$7,2,FALSE),"")</f>
        <v/>
      </c>
      <c r="K79" s="173"/>
      <c r="L79" s="172" t="str">
        <f>IFERROR(INDEX('G-8 Condition Look up'!$A$3:$H$131,MATCH(G79,'G-8 Condition Look up'!$A$3:$A$131,0),MATCH(K79,'G-8 Condition Look up'!$A$3:$H$3,0)),"")</f>
        <v/>
      </c>
      <c r="M79" s="186"/>
      <c r="N79" s="175" t="str">
        <f>IF(M79="","",IF(VLOOKUP(M79,'G-3 Multipliers'!$L$3:$N$6,2,FALSE)=0,"Spatial Data Missing",VLOOKUP(M79,'G-3 Multipliers'!$L$3:$N$6,2,FALSE)))</f>
        <v/>
      </c>
      <c r="O79" s="176" t="str">
        <f>IF(M79="","",IF(VLOOKUP(M79,'G-3 Multipliers'!$L$3:$N$6,3,FALSE)=0,"Spatial Data Missing",VLOOKUP(M79,'G-3 Multipliers'!$L$3:$N$6,3,FALSE)))</f>
        <v/>
      </c>
      <c r="P79" s="177" t="str">
        <f>IFERROR(VLOOKUP(G79,'G-1 All Habitats'!$B$2:$M$130,12,FALSE),"")</f>
        <v/>
      </c>
      <c r="Q79" s="81" t="str">
        <f>IFERROR(IF(P79="","",IF(AND(P79='G-1 All Habitats'!$X$3,T79&gt;0),U79+V79,IF(AND(P79='G-1 All Habitats'!$X$3,S79&gt;0),U79+V79,IF(AND(P79='G-1 All Habitats'!$X$3,AC79&gt;0),"Any Loss Unacceptable",IF(AND(P79='G-1 All Habitats'!$X$3,W79&gt;0),"Any Loss Unacceptable",H79*J79*L79*O79))))),"Check Data")</f>
        <v/>
      </c>
      <c r="R79" s="55"/>
      <c r="S79" s="79"/>
      <c r="T79" s="82"/>
      <c r="U79" s="83" t="str">
        <f t="shared" si="8"/>
        <v/>
      </c>
      <c r="V79" s="83" t="str">
        <f t="shared" si="9"/>
        <v/>
      </c>
      <c r="W79" s="83" t="str">
        <f>IF(E79="","",IF(H79&lt;S79+T79,"Error in Areas",IF(P79&lt;&gt;'G-1 All Habitats'!$X$3,H79-S79-T79,IF(AND(P79='G-1 All Habitats'!$X$3,Y79="Yes"),"Unacceptable Loss",IF(AND(P79='G-1 All Habitats'!$X$3,Y79="No"),AC79,IF(AND(P79='G-1 All Habitats'!$X$3,Y79=""),AC79,IF(AND(P79='G-1 All Habitats'!$X$3,AC79="None",AC79),IF(AND(P79='G-1 All Habitats'!$X$3,AC79&gt;0),H79-S79-T79))))))))</f>
        <v/>
      </c>
      <c r="X79" s="354" t="str">
        <f>IFERROR(IF(H79="","",IF(H79-S79-T79=0&lt;0,"Error in Areas",IF(S79+T79&gt;H79,"Error in Areas",IF(AND(P79='G-1 All Habitats'!$X$3,Y79="Yes"),"Alternative Compensation",IF(W79=0,0,IF(P79='G-1 All Habitats'!$X$3,"Unacceptable Loss",Q79-U79-V79)))))),"Check Data")</f>
        <v/>
      </c>
      <c r="Y79" s="82"/>
      <c r="Z79" s="182"/>
      <c r="AA79" s="183"/>
      <c r="AC79" s="371" t="str">
        <f>IF(P79="","",IF(P79='G-1 All Habitats'!$X$3,H79-S79-T79,"None"))</f>
        <v/>
      </c>
      <c r="AD79" s="372" t="str">
        <f t="shared" si="10"/>
        <v/>
      </c>
      <c r="AF79" s="188" t="str">
        <f t="shared" si="6"/>
        <v/>
      </c>
      <c r="AG79" s="188" t="str">
        <f t="shared" si="7"/>
        <v/>
      </c>
      <c r="AH79" s="188" t="str">
        <f>IF(I79="","",IF(#REF!&gt;0,TRUE,FALSE))</f>
        <v/>
      </c>
      <c r="AI79" s="188">
        <v>69</v>
      </c>
      <c r="AJ79" s="188"/>
      <c r="AK79" s="188" t="str">
        <f t="array" ref="AK79">IFERROR(INDEX($AI$11:$AI$259, MATCH(0, IF(TRUE=$AF$11:$AF$259, COUNTIF($AK$10:$AK78, $AI$11:$AI$259), ""), 0)),"")</f>
        <v/>
      </c>
      <c r="AL79" s="188" t="str">
        <f t="array" ref="AL79">IFERROR(INDEX($AI$11:$AI$259, MATCH(0, IF(TRUE=$AG$11:$AG$259, COUNTIF($AL$10:$AL78, $AI$11:$AI$259), ""), 0)),"")</f>
        <v/>
      </c>
      <c r="AM79" s="188" t="str">
        <f t="array" ref="AM79">IFERROR(INDEX($AI$11:$AI$259, MATCH(0, IF(TRUE=$AH$11:$AH$259, COUNTIF($AM$10:$AM78, $AI$11:$AI$259), ""), 0)),"")</f>
        <v/>
      </c>
      <c r="AQ79" s="35">
        <f t="shared" si="11"/>
        <v>0</v>
      </c>
    </row>
    <row r="80" spans="1:43" x14ac:dyDescent="0.25">
      <c r="A80" s="35" t="str">
        <f>IFERROR(INDEX('G-1 All Habitats'!$AG$3:$AG$15,MATCH(E80,'G-1 All Habitats'!$AF$3:$AF$15,0)),"")</f>
        <v/>
      </c>
      <c r="B80" s="35" t="str">
        <f>IFERROR(INDEX('G-8 Condition Look up'!$I$4:$I$131,MATCH(G80,'G-8 Condition Look up'!$A$4:$A$131,0)),"")</f>
        <v/>
      </c>
      <c r="D80" s="168">
        <v>70</v>
      </c>
      <c r="E80" s="275"/>
      <c r="F80" s="275"/>
      <c r="G80" s="370" t="str">
        <f>IFERROR(INDEX('G-1 All Habitats'!$B$3:$B$130,MATCH(F80,'G-1 All Habitats'!$A$3:$A$130,0)),"")</f>
        <v/>
      </c>
      <c r="H80" s="213"/>
      <c r="I80" s="171" t="str">
        <f>IF(G80="","",VLOOKUP(G80,'G-1 All Habitats'!$B$2:$M$130,10,FALSE))</f>
        <v/>
      </c>
      <c r="J80" s="172" t="str">
        <f>IFERROR(VLOOKUP(I80,'G-1 All Habitats'!$V$3:$W$7,2,FALSE),"")</f>
        <v/>
      </c>
      <c r="K80" s="173"/>
      <c r="L80" s="172" t="str">
        <f>IFERROR(INDEX('G-8 Condition Look up'!$A$3:$H$131,MATCH(G80,'G-8 Condition Look up'!$A$3:$A$131,0),MATCH(K80,'G-8 Condition Look up'!$A$3:$H$3,0)),"")</f>
        <v/>
      </c>
      <c r="M80" s="186"/>
      <c r="N80" s="175" t="str">
        <f>IF(M80="","",IF(VLOOKUP(M80,'G-3 Multipliers'!$L$3:$N$6,2,FALSE)=0,"Spatial Data Missing",VLOOKUP(M80,'G-3 Multipliers'!$L$3:$N$6,2,FALSE)))</f>
        <v/>
      </c>
      <c r="O80" s="176" t="str">
        <f>IF(M80="","",IF(VLOOKUP(M80,'G-3 Multipliers'!$L$3:$N$6,3,FALSE)=0,"Spatial Data Missing",VLOOKUP(M80,'G-3 Multipliers'!$L$3:$N$6,3,FALSE)))</f>
        <v/>
      </c>
      <c r="P80" s="177" t="str">
        <f>IFERROR(VLOOKUP(G80,'G-1 All Habitats'!$B$2:$M$130,12,FALSE),"")</f>
        <v/>
      </c>
      <c r="Q80" s="81" t="str">
        <f>IFERROR(IF(P80="","",IF(AND(P80='G-1 All Habitats'!$X$3,T80&gt;0),U80+V80,IF(AND(P80='G-1 All Habitats'!$X$3,S80&gt;0),U80+V80,IF(AND(P80='G-1 All Habitats'!$X$3,AC80&gt;0),"Any Loss Unacceptable",IF(AND(P80='G-1 All Habitats'!$X$3,W80&gt;0),"Any Loss Unacceptable",H80*J80*L80*O80))))),"Check Data")</f>
        <v/>
      </c>
      <c r="R80" s="55"/>
      <c r="S80" s="79"/>
      <c r="T80" s="82"/>
      <c r="U80" s="83" t="str">
        <f t="shared" si="8"/>
        <v/>
      </c>
      <c r="V80" s="83" t="str">
        <f t="shared" si="9"/>
        <v/>
      </c>
      <c r="W80" s="83" t="str">
        <f>IF(E80="","",IF(H80&lt;S80+T80,"Error in Areas",IF(P80&lt;&gt;'G-1 All Habitats'!$X$3,H80-S80-T80,IF(AND(P80='G-1 All Habitats'!$X$3,Y80="Yes"),"Unacceptable Loss",IF(AND(P80='G-1 All Habitats'!$X$3,Y80="No"),AC80,IF(AND(P80='G-1 All Habitats'!$X$3,Y80=""),AC80,IF(AND(P80='G-1 All Habitats'!$X$3,AC80="None",AC80),IF(AND(P80='G-1 All Habitats'!$X$3,AC80&gt;0),H80-S80-T80))))))))</f>
        <v/>
      </c>
      <c r="X80" s="354" t="str">
        <f>IFERROR(IF(H80="","",IF(H80-S80-T80=0&lt;0,"Error in Areas",IF(S80+T80&gt;H80,"Error in Areas",IF(AND(P80='G-1 All Habitats'!$X$3,Y80="Yes"),"Alternative Compensation",IF(W80=0,0,IF(P80='G-1 All Habitats'!$X$3,"Unacceptable Loss",Q80-U80-V80)))))),"Check Data")</f>
        <v/>
      </c>
      <c r="Y80" s="82"/>
      <c r="Z80" s="182"/>
      <c r="AA80" s="183"/>
      <c r="AC80" s="371" t="str">
        <f>IF(P80="","",IF(P80='G-1 All Habitats'!$X$3,H80-S80-T80,"None"))</f>
        <v/>
      </c>
      <c r="AD80" s="372" t="str">
        <f t="shared" si="10"/>
        <v/>
      </c>
      <c r="AF80" s="188" t="str">
        <f t="shared" si="6"/>
        <v/>
      </c>
      <c r="AG80" s="188" t="str">
        <f t="shared" si="7"/>
        <v/>
      </c>
      <c r="AH80" s="188" t="str">
        <f>IF(I80="","",IF(#REF!&gt;0,TRUE,FALSE))</f>
        <v/>
      </c>
      <c r="AI80" s="188">
        <v>70</v>
      </c>
      <c r="AJ80" s="188"/>
      <c r="AK80" s="188" t="str">
        <f t="array" ref="AK80">IFERROR(INDEX($AI$11:$AI$259, MATCH(0, IF(TRUE=$AF$11:$AF$259, COUNTIF($AK$10:$AK79, $AI$11:$AI$259), ""), 0)),"")</f>
        <v/>
      </c>
      <c r="AL80" s="188" t="str">
        <f t="array" ref="AL80">IFERROR(INDEX($AI$11:$AI$259, MATCH(0, IF(TRUE=$AG$11:$AG$259, COUNTIF($AL$10:$AL79, $AI$11:$AI$259), ""), 0)),"")</f>
        <v/>
      </c>
      <c r="AM80" s="188" t="str">
        <f t="array" ref="AM80">IFERROR(INDEX($AI$11:$AI$259, MATCH(0, IF(TRUE=$AH$11:$AH$259, COUNTIF($AM$10:$AM79, $AI$11:$AI$259), ""), 0)),"")</f>
        <v/>
      </c>
      <c r="AQ80" s="35">
        <f t="shared" si="11"/>
        <v>0</v>
      </c>
    </row>
    <row r="81" spans="1:43" x14ac:dyDescent="0.25">
      <c r="A81" s="35" t="str">
        <f>IFERROR(INDEX('G-1 All Habitats'!$AG$3:$AG$15,MATCH(E81,'G-1 All Habitats'!$AF$3:$AF$15,0)),"")</f>
        <v/>
      </c>
      <c r="B81" s="35" t="str">
        <f>IFERROR(INDEX('G-8 Condition Look up'!$I$4:$I$131,MATCH(G81,'G-8 Condition Look up'!$A$4:$A$131,0)),"")</f>
        <v/>
      </c>
      <c r="D81" s="168">
        <v>71</v>
      </c>
      <c r="E81" s="275"/>
      <c r="F81" s="275"/>
      <c r="G81" s="370" t="str">
        <f>IFERROR(INDEX('G-1 All Habitats'!$B$3:$B$130,MATCH(F81,'G-1 All Habitats'!$A$3:$A$130,0)),"")</f>
        <v/>
      </c>
      <c r="H81" s="213"/>
      <c r="I81" s="171" t="str">
        <f>IF(G81="","",VLOOKUP(G81,'G-1 All Habitats'!$B$2:$M$130,10,FALSE))</f>
        <v/>
      </c>
      <c r="J81" s="172" t="str">
        <f>IFERROR(VLOOKUP(I81,'G-1 All Habitats'!$V$3:$W$7,2,FALSE),"")</f>
        <v/>
      </c>
      <c r="K81" s="173"/>
      <c r="L81" s="172" t="str">
        <f>IFERROR(INDEX('G-8 Condition Look up'!$A$3:$H$131,MATCH(G81,'G-8 Condition Look up'!$A$3:$A$131,0),MATCH(K81,'G-8 Condition Look up'!$A$3:$H$3,0)),"")</f>
        <v/>
      </c>
      <c r="M81" s="186"/>
      <c r="N81" s="175" t="str">
        <f>IF(M81="","",IF(VLOOKUP(M81,'G-3 Multipliers'!$L$3:$N$6,2,FALSE)=0,"Spatial Data Missing",VLOOKUP(M81,'G-3 Multipliers'!$L$3:$N$6,2,FALSE)))</f>
        <v/>
      </c>
      <c r="O81" s="176" t="str">
        <f>IF(M81="","",IF(VLOOKUP(M81,'G-3 Multipliers'!$L$3:$N$6,3,FALSE)=0,"Spatial Data Missing",VLOOKUP(M81,'G-3 Multipliers'!$L$3:$N$6,3,FALSE)))</f>
        <v/>
      </c>
      <c r="P81" s="177" t="str">
        <f>IFERROR(VLOOKUP(G81,'G-1 All Habitats'!$B$2:$M$130,12,FALSE),"")</f>
        <v/>
      </c>
      <c r="Q81" s="81" t="str">
        <f>IFERROR(IF(P81="","",IF(AND(P81='G-1 All Habitats'!$X$3,T81&gt;0),U81+V81,IF(AND(P81='G-1 All Habitats'!$X$3,S81&gt;0),U81+V81,IF(AND(P81='G-1 All Habitats'!$X$3,AC81&gt;0),"Any Loss Unacceptable",IF(AND(P81='G-1 All Habitats'!$X$3,W81&gt;0),"Any Loss Unacceptable",H81*J81*L81*O81))))),"Check Data")</f>
        <v/>
      </c>
      <c r="R81" s="55"/>
      <c r="S81" s="79"/>
      <c r="T81" s="82"/>
      <c r="U81" s="83" t="str">
        <f t="shared" si="8"/>
        <v/>
      </c>
      <c r="V81" s="83" t="str">
        <f t="shared" si="9"/>
        <v/>
      </c>
      <c r="W81" s="83" t="str">
        <f>IF(E81="","",IF(H81&lt;S81+T81,"Error in Areas",IF(P81&lt;&gt;'G-1 All Habitats'!$X$3,H81-S81-T81,IF(AND(P81='G-1 All Habitats'!$X$3,Y81="Yes"),"Unacceptable Loss",IF(AND(P81='G-1 All Habitats'!$X$3,Y81="No"),AC81,IF(AND(P81='G-1 All Habitats'!$X$3,Y81=""),AC81,IF(AND(P81='G-1 All Habitats'!$X$3,AC81="None",AC81),IF(AND(P81='G-1 All Habitats'!$X$3,AC81&gt;0),H81-S81-T81))))))))</f>
        <v/>
      </c>
      <c r="X81" s="354" t="str">
        <f>IFERROR(IF(H81="","",IF(H81-S81-T81=0&lt;0,"Error in Areas",IF(S81+T81&gt;H81,"Error in Areas",IF(AND(P81='G-1 All Habitats'!$X$3,Y81="Yes"),"Alternative Compensation",IF(W81=0,0,IF(P81='G-1 All Habitats'!$X$3,"Unacceptable Loss",Q81-U81-V81)))))),"Check Data")</f>
        <v/>
      </c>
      <c r="Y81" s="82"/>
      <c r="Z81" s="182"/>
      <c r="AA81" s="183"/>
      <c r="AC81" s="371" t="str">
        <f>IF(P81="","",IF(P81='G-1 All Habitats'!$X$3,H81-S81-T81,"None"))</f>
        <v/>
      </c>
      <c r="AD81" s="372" t="str">
        <f t="shared" si="10"/>
        <v/>
      </c>
      <c r="AF81" s="188" t="str">
        <f t="shared" si="6"/>
        <v/>
      </c>
      <c r="AG81" s="188" t="str">
        <f t="shared" si="7"/>
        <v/>
      </c>
      <c r="AH81" s="188" t="str">
        <f>IF(I81="","",IF(#REF!&gt;0,TRUE,FALSE))</f>
        <v/>
      </c>
      <c r="AI81" s="188">
        <v>71</v>
      </c>
      <c r="AJ81" s="188"/>
      <c r="AK81" s="188" t="str">
        <f t="array" ref="AK81">IFERROR(INDEX($AI$11:$AI$259, MATCH(0, IF(TRUE=$AF$11:$AF$259, COUNTIF($AK$10:$AK80, $AI$11:$AI$259), ""), 0)),"")</f>
        <v/>
      </c>
      <c r="AL81" s="188" t="str">
        <f t="array" ref="AL81">IFERROR(INDEX($AI$11:$AI$259, MATCH(0, IF(TRUE=$AG$11:$AG$259, COUNTIF($AL$10:$AL80, $AI$11:$AI$259), ""), 0)),"")</f>
        <v/>
      </c>
      <c r="AM81" s="188" t="str">
        <f t="array" ref="AM81">IFERROR(INDEX($AI$11:$AI$259, MATCH(0, IF(TRUE=$AH$11:$AH$259, COUNTIF($AM$10:$AM80, $AI$11:$AI$259), ""), 0)),"")</f>
        <v/>
      </c>
      <c r="AQ81" s="35">
        <f t="shared" si="11"/>
        <v>0</v>
      </c>
    </row>
    <row r="82" spans="1:43" x14ac:dyDescent="0.25">
      <c r="A82" s="35" t="str">
        <f>IFERROR(INDEX('G-1 All Habitats'!$AG$3:$AG$15,MATCH(E82,'G-1 All Habitats'!$AF$3:$AF$15,0)),"")</f>
        <v/>
      </c>
      <c r="B82" s="35" t="str">
        <f>IFERROR(INDEX('G-8 Condition Look up'!$I$4:$I$131,MATCH(G82,'G-8 Condition Look up'!$A$4:$A$131,0)),"")</f>
        <v/>
      </c>
      <c r="D82" s="168">
        <v>72</v>
      </c>
      <c r="E82" s="275"/>
      <c r="F82" s="275"/>
      <c r="G82" s="370" t="str">
        <f>IFERROR(INDEX('G-1 All Habitats'!$B$3:$B$130,MATCH(F82,'G-1 All Habitats'!$A$3:$A$130,0)),"")</f>
        <v/>
      </c>
      <c r="H82" s="213"/>
      <c r="I82" s="171" t="str">
        <f>IF(G82="","",VLOOKUP(G82,'G-1 All Habitats'!$B$2:$M$130,10,FALSE))</f>
        <v/>
      </c>
      <c r="J82" s="172" t="str">
        <f>IFERROR(VLOOKUP(I82,'G-1 All Habitats'!$V$3:$W$7,2,FALSE),"")</f>
        <v/>
      </c>
      <c r="K82" s="173"/>
      <c r="L82" s="172" t="str">
        <f>IFERROR(INDEX('G-8 Condition Look up'!$A$3:$H$131,MATCH(G82,'G-8 Condition Look up'!$A$3:$A$131,0),MATCH(K82,'G-8 Condition Look up'!$A$3:$H$3,0)),"")</f>
        <v/>
      </c>
      <c r="M82" s="186"/>
      <c r="N82" s="175" t="str">
        <f>IF(M82="","",IF(VLOOKUP(M82,'G-3 Multipliers'!$L$3:$N$6,2,FALSE)=0,"Spatial Data Missing",VLOOKUP(M82,'G-3 Multipliers'!$L$3:$N$6,2,FALSE)))</f>
        <v/>
      </c>
      <c r="O82" s="176" t="str">
        <f>IF(M82="","",IF(VLOOKUP(M82,'G-3 Multipliers'!$L$3:$N$6,3,FALSE)=0,"Spatial Data Missing",VLOOKUP(M82,'G-3 Multipliers'!$L$3:$N$6,3,FALSE)))</f>
        <v/>
      </c>
      <c r="P82" s="177" t="str">
        <f>IFERROR(VLOOKUP(G82,'G-1 All Habitats'!$B$2:$M$130,12,FALSE),"")</f>
        <v/>
      </c>
      <c r="Q82" s="81" t="str">
        <f>IFERROR(IF(P82="","",IF(AND(P82='G-1 All Habitats'!$X$3,T82&gt;0),U82+V82,IF(AND(P82='G-1 All Habitats'!$X$3,S82&gt;0),U82+V82,IF(AND(P82='G-1 All Habitats'!$X$3,AC82&gt;0),"Any Loss Unacceptable",IF(AND(P82='G-1 All Habitats'!$X$3,W82&gt;0),"Any Loss Unacceptable",H82*J82*L82*O82))))),"Check Data")</f>
        <v/>
      </c>
      <c r="R82" s="55"/>
      <c r="S82" s="79"/>
      <c r="T82" s="82"/>
      <c r="U82" s="83" t="str">
        <f t="shared" si="8"/>
        <v/>
      </c>
      <c r="V82" s="83" t="str">
        <f t="shared" si="9"/>
        <v/>
      </c>
      <c r="W82" s="83" t="str">
        <f>IF(E82="","",IF(H82&lt;S82+T82,"Error in Areas",IF(P82&lt;&gt;'G-1 All Habitats'!$X$3,H82-S82-T82,IF(AND(P82='G-1 All Habitats'!$X$3,Y82="Yes"),"Unacceptable Loss",IF(AND(P82='G-1 All Habitats'!$X$3,Y82="No"),AC82,IF(AND(P82='G-1 All Habitats'!$X$3,Y82=""),AC82,IF(AND(P82='G-1 All Habitats'!$X$3,AC82="None",AC82),IF(AND(P82='G-1 All Habitats'!$X$3,AC82&gt;0),H82-S82-T82))))))))</f>
        <v/>
      </c>
      <c r="X82" s="354" t="str">
        <f>IFERROR(IF(H82="","",IF(H82-S82-T82=0&lt;0,"Error in Areas",IF(S82+T82&gt;H82,"Error in Areas",IF(AND(P82='G-1 All Habitats'!$X$3,Y82="Yes"),"Alternative Compensation",IF(W82=0,0,IF(P82='G-1 All Habitats'!$X$3,"Unacceptable Loss",Q82-U82-V82)))))),"Check Data")</f>
        <v/>
      </c>
      <c r="Y82" s="82"/>
      <c r="Z82" s="182"/>
      <c r="AA82" s="183"/>
      <c r="AC82" s="371" t="str">
        <f>IF(P82="","",IF(P82='G-1 All Habitats'!$X$3,H82-S82-T82,"None"))</f>
        <v/>
      </c>
      <c r="AD82" s="372" t="str">
        <f t="shared" si="10"/>
        <v/>
      </c>
      <c r="AF82" s="188" t="str">
        <f t="shared" si="6"/>
        <v/>
      </c>
      <c r="AG82" s="188" t="str">
        <f t="shared" si="7"/>
        <v/>
      </c>
      <c r="AH82" s="188" t="str">
        <f>IF(I82="","",IF(#REF!&gt;0,TRUE,FALSE))</f>
        <v/>
      </c>
      <c r="AI82" s="188">
        <v>72</v>
      </c>
      <c r="AJ82" s="188"/>
      <c r="AK82" s="188" t="str">
        <f t="array" ref="AK82">IFERROR(INDEX($AI$11:$AI$259, MATCH(0, IF(TRUE=$AF$11:$AF$259, COUNTIF($AK$10:$AK81, $AI$11:$AI$259), ""), 0)),"")</f>
        <v/>
      </c>
      <c r="AL82" s="188" t="str">
        <f t="array" ref="AL82">IFERROR(INDEX($AI$11:$AI$259, MATCH(0, IF(TRUE=$AG$11:$AG$259, COUNTIF($AL$10:$AL81, $AI$11:$AI$259), ""), 0)),"")</f>
        <v/>
      </c>
      <c r="AM82" s="188" t="str">
        <f t="array" ref="AM82">IFERROR(INDEX($AI$11:$AI$259, MATCH(0, IF(TRUE=$AH$11:$AH$259, COUNTIF($AM$10:$AM81, $AI$11:$AI$259), ""), 0)),"")</f>
        <v/>
      </c>
      <c r="AQ82" s="35">
        <f t="shared" si="11"/>
        <v>0</v>
      </c>
    </row>
    <row r="83" spans="1:43" x14ac:dyDescent="0.25">
      <c r="A83" s="35" t="str">
        <f>IFERROR(INDEX('G-1 All Habitats'!$AG$3:$AG$15,MATCH(E83,'G-1 All Habitats'!$AF$3:$AF$15,0)),"")</f>
        <v/>
      </c>
      <c r="B83" s="35" t="str">
        <f>IFERROR(INDEX('G-8 Condition Look up'!$I$4:$I$131,MATCH(G83,'G-8 Condition Look up'!$A$4:$A$131,0)),"")</f>
        <v/>
      </c>
      <c r="D83" s="168">
        <v>73</v>
      </c>
      <c r="E83" s="275"/>
      <c r="F83" s="275"/>
      <c r="G83" s="370" t="str">
        <f>IFERROR(INDEX('G-1 All Habitats'!$B$3:$B$130,MATCH(F83,'G-1 All Habitats'!$A$3:$A$130,0)),"")</f>
        <v/>
      </c>
      <c r="H83" s="213"/>
      <c r="I83" s="171" t="str">
        <f>IF(G83="","",VLOOKUP(G83,'G-1 All Habitats'!$B$2:$M$130,10,FALSE))</f>
        <v/>
      </c>
      <c r="J83" s="172" t="str">
        <f>IFERROR(VLOOKUP(I83,'G-1 All Habitats'!$V$3:$W$7,2,FALSE),"")</f>
        <v/>
      </c>
      <c r="K83" s="173"/>
      <c r="L83" s="172" t="str">
        <f>IFERROR(INDEX('G-8 Condition Look up'!$A$3:$H$131,MATCH(G83,'G-8 Condition Look up'!$A$3:$A$131,0),MATCH(K83,'G-8 Condition Look up'!$A$3:$H$3,0)),"")</f>
        <v/>
      </c>
      <c r="M83" s="186"/>
      <c r="N83" s="175" t="str">
        <f>IF(M83="","",IF(VLOOKUP(M83,'G-3 Multipliers'!$L$3:$N$6,2,FALSE)=0,"Spatial Data Missing",VLOOKUP(M83,'G-3 Multipliers'!$L$3:$N$6,2,FALSE)))</f>
        <v/>
      </c>
      <c r="O83" s="176" t="str">
        <f>IF(M83="","",IF(VLOOKUP(M83,'G-3 Multipliers'!$L$3:$N$6,3,FALSE)=0,"Spatial Data Missing",VLOOKUP(M83,'G-3 Multipliers'!$L$3:$N$6,3,FALSE)))</f>
        <v/>
      </c>
      <c r="P83" s="177" t="str">
        <f>IFERROR(VLOOKUP(G83,'G-1 All Habitats'!$B$2:$M$130,12,FALSE),"")</f>
        <v/>
      </c>
      <c r="Q83" s="81" t="str">
        <f>IFERROR(IF(P83="","",IF(AND(P83='G-1 All Habitats'!$X$3,T83&gt;0),U83+V83,IF(AND(P83='G-1 All Habitats'!$X$3,S83&gt;0),U83+V83,IF(AND(P83='G-1 All Habitats'!$X$3,AC83&gt;0),"Any Loss Unacceptable",IF(AND(P83='G-1 All Habitats'!$X$3,W83&gt;0),"Any Loss Unacceptable",H83*J83*L83*O83))))),"Check Data")</f>
        <v/>
      </c>
      <c r="R83" s="55"/>
      <c r="S83" s="79"/>
      <c r="T83" s="82"/>
      <c r="U83" s="83" t="str">
        <f t="shared" si="8"/>
        <v/>
      </c>
      <c r="V83" s="83" t="str">
        <f t="shared" si="9"/>
        <v/>
      </c>
      <c r="W83" s="83" t="str">
        <f>IF(E83="","",IF(H83&lt;S83+T83,"Error in Areas",IF(P83&lt;&gt;'G-1 All Habitats'!$X$3,H83-S83-T83,IF(AND(P83='G-1 All Habitats'!$X$3,Y83="Yes"),"Unacceptable Loss",IF(AND(P83='G-1 All Habitats'!$X$3,Y83="No"),AC83,IF(AND(P83='G-1 All Habitats'!$X$3,Y83=""),AC83,IF(AND(P83='G-1 All Habitats'!$X$3,AC83="None",AC83),IF(AND(P83='G-1 All Habitats'!$X$3,AC83&gt;0),H83-S83-T83))))))))</f>
        <v/>
      </c>
      <c r="X83" s="354" t="str">
        <f>IFERROR(IF(H83="","",IF(H83-S83-T83=0&lt;0,"Error in Areas",IF(S83+T83&gt;H83,"Error in Areas",IF(AND(P83='G-1 All Habitats'!$X$3,Y83="Yes"),"Alternative Compensation",IF(W83=0,0,IF(P83='G-1 All Habitats'!$X$3,"Unacceptable Loss",Q83-U83-V83)))))),"Check Data")</f>
        <v/>
      </c>
      <c r="Y83" s="82"/>
      <c r="Z83" s="182"/>
      <c r="AA83" s="183"/>
      <c r="AC83" s="371" t="str">
        <f>IF(P83="","",IF(P83='G-1 All Habitats'!$X$3,H83-S83-T83,"None"))</f>
        <v/>
      </c>
      <c r="AD83" s="372" t="str">
        <f t="shared" si="10"/>
        <v/>
      </c>
      <c r="AF83" s="188" t="str">
        <f t="shared" si="6"/>
        <v/>
      </c>
      <c r="AG83" s="188" t="str">
        <f t="shared" si="7"/>
        <v/>
      </c>
      <c r="AH83" s="188" t="str">
        <f>IF(I83="","",IF(#REF!&gt;0,TRUE,FALSE))</f>
        <v/>
      </c>
      <c r="AI83" s="188">
        <v>73</v>
      </c>
      <c r="AJ83" s="188"/>
      <c r="AK83" s="188" t="str">
        <f t="array" ref="AK83">IFERROR(INDEX($AI$11:$AI$259, MATCH(0, IF(TRUE=$AF$11:$AF$259, COUNTIF($AK$10:$AK82, $AI$11:$AI$259), ""), 0)),"")</f>
        <v/>
      </c>
      <c r="AL83" s="188" t="str">
        <f t="array" ref="AL83">IFERROR(INDEX($AI$11:$AI$259, MATCH(0, IF(TRUE=$AG$11:$AG$259, COUNTIF($AL$10:$AL82, $AI$11:$AI$259), ""), 0)),"")</f>
        <v/>
      </c>
      <c r="AM83" s="188" t="str">
        <f t="array" ref="AM83">IFERROR(INDEX($AI$11:$AI$259, MATCH(0, IF(TRUE=$AH$11:$AH$259, COUNTIF($AM$10:$AM82, $AI$11:$AI$259), ""), 0)),"")</f>
        <v/>
      </c>
      <c r="AQ83" s="35">
        <f t="shared" si="11"/>
        <v>0</v>
      </c>
    </row>
    <row r="84" spans="1:43" x14ac:dyDescent="0.25">
      <c r="A84" s="35" t="str">
        <f>IFERROR(INDEX('G-1 All Habitats'!$AG$3:$AG$15,MATCH(E84,'G-1 All Habitats'!$AF$3:$AF$15,0)),"")</f>
        <v/>
      </c>
      <c r="B84" s="35" t="str">
        <f>IFERROR(INDEX('G-8 Condition Look up'!$I$4:$I$131,MATCH(G84,'G-8 Condition Look up'!$A$4:$A$131,0)),"")</f>
        <v/>
      </c>
      <c r="D84" s="168">
        <v>74</v>
      </c>
      <c r="E84" s="275"/>
      <c r="F84" s="275"/>
      <c r="G84" s="370" t="str">
        <f>IFERROR(INDEX('G-1 All Habitats'!$B$3:$B$130,MATCH(F84,'G-1 All Habitats'!$A$3:$A$130,0)),"")</f>
        <v/>
      </c>
      <c r="H84" s="213"/>
      <c r="I84" s="171" t="str">
        <f>IF(G84="","",VLOOKUP(G84,'G-1 All Habitats'!$B$2:$M$130,10,FALSE))</f>
        <v/>
      </c>
      <c r="J84" s="172" t="str">
        <f>IFERROR(VLOOKUP(I84,'G-1 All Habitats'!$V$3:$W$7,2,FALSE),"")</f>
        <v/>
      </c>
      <c r="K84" s="173"/>
      <c r="L84" s="172" t="str">
        <f>IFERROR(INDEX('G-8 Condition Look up'!$A$3:$H$131,MATCH(G84,'G-8 Condition Look up'!$A$3:$A$131,0),MATCH(K84,'G-8 Condition Look up'!$A$3:$H$3,0)),"")</f>
        <v/>
      </c>
      <c r="M84" s="186"/>
      <c r="N84" s="175" t="str">
        <f>IF(M84="","",IF(VLOOKUP(M84,'G-3 Multipliers'!$L$3:$N$6,2,FALSE)=0,"Spatial Data Missing",VLOOKUP(M84,'G-3 Multipliers'!$L$3:$N$6,2,FALSE)))</f>
        <v/>
      </c>
      <c r="O84" s="176" t="str">
        <f>IF(M84="","",IF(VLOOKUP(M84,'G-3 Multipliers'!$L$3:$N$6,3,FALSE)=0,"Spatial Data Missing",VLOOKUP(M84,'G-3 Multipliers'!$L$3:$N$6,3,FALSE)))</f>
        <v/>
      </c>
      <c r="P84" s="177" t="str">
        <f>IFERROR(VLOOKUP(G84,'G-1 All Habitats'!$B$2:$M$130,12,FALSE),"")</f>
        <v/>
      </c>
      <c r="Q84" s="81" t="str">
        <f>IFERROR(IF(P84="","",IF(AND(P84='G-1 All Habitats'!$X$3,T84&gt;0),U84+V84,IF(AND(P84='G-1 All Habitats'!$X$3,S84&gt;0),U84+V84,IF(AND(P84='G-1 All Habitats'!$X$3,AC84&gt;0),"Any Loss Unacceptable",IF(AND(P84='G-1 All Habitats'!$X$3,W84&gt;0),"Any Loss Unacceptable",H84*J84*L84*O84))))),"Check Data")</f>
        <v/>
      </c>
      <c r="R84" s="55"/>
      <c r="S84" s="79"/>
      <c r="T84" s="82"/>
      <c r="U84" s="83" t="str">
        <f t="shared" si="8"/>
        <v/>
      </c>
      <c r="V84" s="83" t="str">
        <f t="shared" si="9"/>
        <v/>
      </c>
      <c r="W84" s="83" t="str">
        <f>IF(E84="","",IF(H84&lt;S84+T84,"Error in Areas",IF(P84&lt;&gt;'G-1 All Habitats'!$X$3,H84-S84-T84,IF(AND(P84='G-1 All Habitats'!$X$3,Y84="Yes"),"Unacceptable Loss",IF(AND(P84='G-1 All Habitats'!$X$3,Y84="No"),AC84,IF(AND(P84='G-1 All Habitats'!$X$3,Y84=""),AC84,IF(AND(P84='G-1 All Habitats'!$X$3,AC84="None",AC84),IF(AND(P84='G-1 All Habitats'!$X$3,AC84&gt;0),H84-S84-T84))))))))</f>
        <v/>
      </c>
      <c r="X84" s="354" t="str">
        <f>IFERROR(IF(H84="","",IF(H84-S84-T84=0&lt;0,"Error in Areas",IF(S84+T84&gt;H84,"Error in Areas",IF(AND(P84='G-1 All Habitats'!$X$3,Y84="Yes"),"Alternative Compensation",IF(W84=0,0,IF(P84='G-1 All Habitats'!$X$3,"Unacceptable Loss",Q84-U84-V84)))))),"Check Data")</f>
        <v/>
      </c>
      <c r="Y84" s="82"/>
      <c r="Z84" s="182"/>
      <c r="AA84" s="183"/>
      <c r="AC84" s="371" t="str">
        <f>IF(P84="","",IF(P84='G-1 All Habitats'!$X$3,H84-S84-T84,"None"))</f>
        <v/>
      </c>
      <c r="AD84" s="372" t="str">
        <f t="shared" si="10"/>
        <v/>
      </c>
      <c r="AF84" s="188" t="str">
        <f t="shared" si="6"/>
        <v/>
      </c>
      <c r="AG84" s="188" t="str">
        <f t="shared" si="7"/>
        <v/>
      </c>
      <c r="AH84" s="188" t="str">
        <f>IF(I84="","",IF(#REF!&gt;0,TRUE,FALSE))</f>
        <v/>
      </c>
      <c r="AI84" s="188">
        <v>74</v>
      </c>
      <c r="AJ84" s="188"/>
      <c r="AK84" s="188" t="str">
        <f t="array" ref="AK84">IFERROR(INDEX($AI$11:$AI$259, MATCH(0, IF(TRUE=$AF$11:$AF$259, COUNTIF($AK$10:$AK83, $AI$11:$AI$259), ""), 0)),"")</f>
        <v/>
      </c>
      <c r="AL84" s="188" t="str">
        <f t="array" ref="AL84">IFERROR(INDEX($AI$11:$AI$259, MATCH(0, IF(TRUE=$AG$11:$AG$259, COUNTIF($AL$10:$AL83, $AI$11:$AI$259), ""), 0)),"")</f>
        <v/>
      </c>
      <c r="AM84" s="188" t="str">
        <f t="array" ref="AM84">IFERROR(INDEX($AI$11:$AI$259, MATCH(0, IF(TRUE=$AH$11:$AH$259, COUNTIF($AM$10:$AM83, $AI$11:$AI$259), ""), 0)),"")</f>
        <v/>
      </c>
      <c r="AQ84" s="35">
        <f t="shared" si="11"/>
        <v>0</v>
      </c>
    </row>
    <row r="85" spans="1:43" x14ac:dyDescent="0.25">
      <c r="A85" s="35" t="str">
        <f>IFERROR(INDEX('G-1 All Habitats'!$AG$3:$AG$15,MATCH(E85,'G-1 All Habitats'!$AF$3:$AF$15,0)),"")</f>
        <v/>
      </c>
      <c r="B85" s="35" t="str">
        <f>IFERROR(INDEX('G-8 Condition Look up'!$I$4:$I$131,MATCH(G85,'G-8 Condition Look up'!$A$4:$A$131,0)),"")</f>
        <v/>
      </c>
      <c r="D85" s="168">
        <v>75</v>
      </c>
      <c r="E85" s="275"/>
      <c r="F85" s="275"/>
      <c r="G85" s="370" t="str">
        <f>IFERROR(INDEX('G-1 All Habitats'!$B$3:$B$130,MATCH(F85,'G-1 All Habitats'!$A$3:$A$130,0)),"")</f>
        <v/>
      </c>
      <c r="H85" s="213"/>
      <c r="I85" s="171" t="str">
        <f>IF(G85="","",VLOOKUP(G85,'G-1 All Habitats'!$B$2:$M$130,10,FALSE))</f>
        <v/>
      </c>
      <c r="J85" s="172" t="str">
        <f>IFERROR(VLOOKUP(I85,'G-1 All Habitats'!$V$3:$W$7,2,FALSE),"")</f>
        <v/>
      </c>
      <c r="K85" s="173"/>
      <c r="L85" s="172" t="str">
        <f>IFERROR(INDEX('G-8 Condition Look up'!$A$3:$H$131,MATCH(G85,'G-8 Condition Look up'!$A$3:$A$131,0),MATCH(K85,'G-8 Condition Look up'!$A$3:$H$3,0)),"")</f>
        <v/>
      </c>
      <c r="M85" s="186"/>
      <c r="N85" s="175" t="str">
        <f>IF(M85="","",IF(VLOOKUP(M85,'G-3 Multipliers'!$L$3:$N$6,2,FALSE)=0,"Spatial Data Missing",VLOOKUP(M85,'G-3 Multipliers'!$L$3:$N$6,2,FALSE)))</f>
        <v/>
      </c>
      <c r="O85" s="176" t="str">
        <f>IF(M85="","",IF(VLOOKUP(M85,'G-3 Multipliers'!$L$3:$N$6,3,FALSE)=0,"Spatial Data Missing",VLOOKUP(M85,'G-3 Multipliers'!$L$3:$N$6,3,FALSE)))</f>
        <v/>
      </c>
      <c r="P85" s="177" t="str">
        <f>IFERROR(VLOOKUP(G85,'G-1 All Habitats'!$B$2:$M$130,12,FALSE),"")</f>
        <v/>
      </c>
      <c r="Q85" s="81" t="str">
        <f>IFERROR(IF(P85="","",IF(AND(P85='G-1 All Habitats'!$X$3,T85&gt;0),U85+V85,IF(AND(P85='G-1 All Habitats'!$X$3,S85&gt;0),U85+V85,IF(AND(P85='G-1 All Habitats'!$X$3,AC85&gt;0),"Any Loss Unacceptable",IF(AND(P85='G-1 All Habitats'!$X$3,W85&gt;0),"Any Loss Unacceptable",H85*J85*L85*O85))))),"Check Data")</f>
        <v/>
      </c>
      <c r="R85" s="55"/>
      <c r="S85" s="79"/>
      <c r="T85" s="82"/>
      <c r="U85" s="83" t="str">
        <f t="shared" si="8"/>
        <v/>
      </c>
      <c r="V85" s="83" t="str">
        <f t="shared" si="9"/>
        <v/>
      </c>
      <c r="W85" s="83" t="str">
        <f>IF(E85="","",IF(H85&lt;S85+T85,"Error in Areas",IF(P85&lt;&gt;'G-1 All Habitats'!$X$3,H85-S85-T85,IF(AND(P85='G-1 All Habitats'!$X$3,Y85="Yes"),"Unacceptable Loss",IF(AND(P85='G-1 All Habitats'!$X$3,Y85="No"),AC85,IF(AND(P85='G-1 All Habitats'!$X$3,Y85=""),AC85,IF(AND(P85='G-1 All Habitats'!$X$3,AC85="None",AC85),IF(AND(P85='G-1 All Habitats'!$X$3,AC85&gt;0),H85-S85-T85))))))))</f>
        <v/>
      </c>
      <c r="X85" s="354" t="str">
        <f>IFERROR(IF(H85="","",IF(H85-S85-T85=0&lt;0,"Error in Areas",IF(S85+T85&gt;H85,"Error in Areas",IF(AND(P85='G-1 All Habitats'!$X$3,Y85="Yes"),"Alternative Compensation",IF(W85=0,0,IF(P85='G-1 All Habitats'!$X$3,"Unacceptable Loss",Q85-U85-V85)))))),"Check Data")</f>
        <v/>
      </c>
      <c r="Y85" s="82"/>
      <c r="Z85" s="182"/>
      <c r="AA85" s="183"/>
      <c r="AC85" s="371" t="str">
        <f>IF(P85="","",IF(P85='G-1 All Habitats'!$X$3,H85-S85-T85,"None"))</f>
        <v/>
      </c>
      <c r="AD85" s="372" t="str">
        <f t="shared" si="10"/>
        <v/>
      </c>
      <c r="AF85" s="188" t="str">
        <f t="shared" si="6"/>
        <v/>
      </c>
      <c r="AG85" s="188" t="str">
        <f t="shared" si="7"/>
        <v/>
      </c>
      <c r="AH85" s="188" t="str">
        <f>IF(I85="","",IF(#REF!&gt;0,TRUE,FALSE))</f>
        <v/>
      </c>
      <c r="AI85" s="188">
        <v>75</v>
      </c>
      <c r="AJ85" s="188"/>
      <c r="AK85" s="188" t="str">
        <f t="array" ref="AK85">IFERROR(INDEX($AI$11:$AI$259, MATCH(0, IF(TRUE=$AF$11:$AF$259, COUNTIF($AK$10:$AK84, $AI$11:$AI$259), ""), 0)),"")</f>
        <v/>
      </c>
      <c r="AL85" s="188" t="str">
        <f t="array" ref="AL85">IFERROR(INDEX($AI$11:$AI$259, MATCH(0, IF(TRUE=$AG$11:$AG$259, COUNTIF($AL$10:$AL84, $AI$11:$AI$259), ""), 0)),"")</f>
        <v/>
      </c>
      <c r="AM85" s="188" t="str">
        <f t="array" ref="AM85">IFERROR(INDEX($AI$11:$AI$259, MATCH(0, IF(TRUE=$AH$11:$AH$259, COUNTIF($AM$10:$AM84, $AI$11:$AI$259), ""), 0)),"")</f>
        <v/>
      </c>
      <c r="AQ85" s="35">
        <f t="shared" si="11"/>
        <v>0</v>
      </c>
    </row>
    <row r="86" spans="1:43" x14ac:dyDescent="0.25">
      <c r="A86" s="35" t="str">
        <f>IFERROR(INDEX('G-1 All Habitats'!$AG$3:$AG$15,MATCH(E86,'G-1 All Habitats'!$AF$3:$AF$15,0)),"")</f>
        <v/>
      </c>
      <c r="B86" s="35" t="str">
        <f>IFERROR(INDEX('G-8 Condition Look up'!$I$4:$I$131,MATCH(G86,'G-8 Condition Look up'!$A$4:$A$131,0)),"")</f>
        <v/>
      </c>
      <c r="D86" s="168">
        <v>76</v>
      </c>
      <c r="E86" s="275"/>
      <c r="F86" s="275"/>
      <c r="G86" s="370" t="str">
        <f>IFERROR(INDEX('G-1 All Habitats'!$B$3:$B$130,MATCH(F86,'G-1 All Habitats'!$A$3:$A$130,0)),"")</f>
        <v/>
      </c>
      <c r="H86" s="213"/>
      <c r="I86" s="171" t="str">
        <f>IF(G86="","",VLOOKUP(G86,'G-1 All Habitats'!$B$2:$M$130,10,FALSE))</f>
        <v/>
      </c>
      <c r="J86" s="172" t="str">
        <f>IFERROR(VLOOKUP(I86,'G-1 All Habitats'!$V$3:$W$7,2,FALSE),"")</f>
        <v/>
      </c>
      <c r="K86" s="173"/>
      <c r="L86" s="172" t="str">
        <f>IFERROR(INDEX('G-8 Condition Look up'!$A$3:$H$131,MATCH(G86,'G-8 Condition Look up'!$A$3:$A$131,0),MATCH(K86,'G-8 Condition Look up'!$A$3:$H$3,0)),"")</f>
        <v/>
      </c>
      <c r="M86" s="186"/>
      <c r="N86" s="175" t="str">
        <f>IF(M86="","",IF(VLOOKUP(M86,'G-3 Multipliers'!$L$3:$N$6,2,FALSE)=0,"Spatial Data Missing",VLOOKUP(M86,'G-3 Multipliers'!$L$3:$N$6,2,FALSE)))</f>
        <v/>
      </c>
      <c r="O86" s="176" t="str">
        <f>IF(M86="","",IF(VLOOKUP(M86,'G-3 Multipliers'!$L$3:$N$6,3,FALSE)=0,"Spatial Data Missing",VLOOKUP(M86,'G-3 Multipliers'!$L$3:$N$6,3,FALSE)))</f>
        <v/>
      </c>
      <c r="P86" s="177" t="str">
        <f>IFERROR(VLOOKUP(G86,'G-1 All Habitats'!$B$2:$M$130,12,FALSE),"")</f>
        <v/>
      </c>
      <c r="Q86" s="81" t="str">
        <f>IFERROR(IF(P86="","",IF(AND(P86='G-1 All Habitats'!$X$3,T86&gt;0),U86+V86,IF(AND(P86='G-1 All Habitats'!$X$3,S86&gt;0),U86+V86,IF(AND(P86='G-1 All Habitats'!$X$3,AC86&gt;0),"Any Loss Unacceptable",IF(AND(P86='G-1 All Habitats'!$X$3,W86&gt;0),"Any Loss Unacceptable",H86*J86*L86*O86))))),"Check Data")</f>
        <v/>
      </c>
      <c r="R86" s="55"/>
      <c r="S86" s="79"/>
      <c r="T86" s="82"/>
      <c r="U86" s="83" t="str">
        <f t="shared" si="8"/>
        <v/>
      </c>
      <c r="V86" s="83" t="str">
        <f t="shared" si="9"/>
        <v/>
      </c>
      <c r="W86" s="83" t="str">
        <f>IF(E86="","",IF(H86&lt;S86+T86,"Error in Areas",IF(P86&lt;&gt;'G-1 All Habitats'!$X$3,H86-S86-T86,IF(AND(P86='G-1 All Habitats'!$X$3,Y86="Yes"),"Unacceptable Loss",IF(AND(P86='G-1 All Habitats'!$X$3,Y86="No"),AC86,IF(AND(P86='G-1 All Habitats'!$X$3,Y86=""),AC86,IF(AND(P86='G-1 All Habitats'!$X$3,AC86="None",AC86),IF(AND(P86='G-1 All Habitats'!$X$3,AC86&gt;0),H86-S86-T86))))))))</f>
        <v/>
      </c>
      <c r="X86" s="354" t="str">
        <f>IFERROR(IF(H86="","",IF(H86-S86-T86=0&lt;0,"Error in Areas",IF(S86+T86&gt;H86,"Error in Areas",IF(AND(P86='G-1 All Habitats'!$X$3,Y86="Yes"),"Alternative Compensation",IF(W86=0,0,IF(P86='G-1 All Habitats'!$X$3,"Unacceptable Loss",Q86-U86-V86)))))),"Check Data")</f>
        <v/>
      </c>
      <c r="Y86" s="82"/>
      <c r="Z86" s="182"/>
      <c r="AA86" s="183"/>
      <c r="AC86" s="371" t="str">
        <f>IF(P86="","",IF(P86='G-1 All Habitats'!$X$3,H86-S86-T86,"None"))</f>
        <v/>
      </c>
      <c r="AD86" s="372" t="str">
        <f t="shared" si="10"/>
        <v/>
      </c>
      <c r="AF86" s="188" t="str">
        <f t="shared" si="6"/>
        <v/>
      </c>
      <c r="AG86" s="188" t="str">
        <f t="shared" si="7"/>
        <v/>
      </c>
      <c r="AH86" s="188" t="str">
        <f>IF(I86="","",IF(#REF!&gt;0,TRUE,FALSE))</f>
        <v/>
      </c>
      <c r="AI86" s="188">
        <v>76</v>
      </c>
      <c r="AJ86" s="188"/>
      <c r="AK86" s="188" t="str">
        <f t="array" ref="AK86">IFERROR(INDEX($AI$11:$AI$259, MATCH(0, IF(TRUE=$AF$11:$AF$259, COUNTIF($AK$10:$AK85, $AI$11:$AI$259), ""), 0)),"")</f>
        <v/>
      </c>
      <c r="AL86" s="188" t="str">
        <f t="array" ref="AL86">IFERROR(INDEX($AI$11:$AI$259, MATCH(0, IF(TRUE=$AG$11:$AG$259, COUNTIF($AL$10:$AL85, $AI$11:$AI$259), ""), 0)),"")</f>
        <v/>
      </c>
      <c r="AM86" s="188" t="str">
        <f t="array" ref="AM86">IFERROR(INDEX($AI$11:$AI$259, MATCH(0, IF(TRUE=$AH$11:$AH$259, COUNTIF($AM$10:$AM85, $AI$11:$AI$259), ""), 0)),"")</f>
        <v/>
      </c>
      <c r="AQ86" s="35">
        <f t="shared" si="11"/>
        <v>0</v>
      </c>
    </row>
    <row r="87" spans="1:43" x14ac:dyDescent="0.25">
      <c r="A87" s="35" t="str">
        <f>IFERROR(INDEX('G-1 All Habitats'!$AG$3:$AG$15,MATCH(E87,'G-1 All Habitats'!$AF$3:$AF$15,0)),"")</f>
        <v/>
      </c>
      <c r="B87" s="35" t="str">
        <f>IFERROR(INDEX('G-8 Condition Look up'!$I$4:$I$131,MATCH(G87,'G-8 Condition Look up'!$A$4:$A$131,0)),"")</f>
        <v/>
      </c>
      <c r="D87" s="168">
        <v>77</v>
      </c>
      <c r="E87" s="275"/>
      <c r="F87" s="275"/>
      <c r="G87" s="370" t="str">
        <f>IFERROR(INDEX('G-1 All Habitats'!$B$3:$B$130,MATCH(F87,'G-1 All Habitats'!$A$3:$A$130,0)),"")</f>
        <v/>
      </c>
      <c r="H87" s="213"/>
      <c r="I87" s="171" t="str">
        <f>IF(G87="","",VLOOKUP(G87,'G-1 All Habitats'!$B$2:$M$130,10,FALSE))</f>
        <v/>
      </c>
      <c r="J87" s="172" t="str">
        <f>IFERROR(VLOOKUP(I87,'G-1 All Habitats'!$V$3:$W$7,2,FALSE),"")</f>
        <v/>
      </c>
      <c r="K87" s="173"/>
      <c r="L87" s="172" t="str">
        <f>IFERROR(INDEX('G-8 Condition Look up'!$A$3:$H$131,MATCH(G87,'G-8 Condition Look up'!$A$3:$A$131,0),MATCH(K87,'G-8 Condition Look up'!$A$3:$H$3,0)),"")</f>
        <v/>
      </c>
      <c r="M87" s="186"/>
      <c r="N87" s="175" t="str">
        <f>IF(M87="","",IF(VLOOKUP(M87,'G-3 Multipliers'!$L$3:$N$6,2,FALSE)=0,"Spatial Data Missing",VLOOKUP(M87,'G-3 Multipliers'!$L$3:$N$6,2,FALSE)))</f>
        <v/>
      </c>
      <c r="O87" s="176" t="str">
        <f>IF(M87="","",IF(VLOOKUP(M87,'G-3 Multipliers'!$L$3:$N$6,3,FALSE)=0,"Spatial Data Missing",VLOOKUP(M87,'G-3 Multipliers'!$L$3:$N$6,3,FALSE)))</f>
        <v/>
      </c>
      <c r="P87" s="177" t="str">
        <f>IFERROR(VLOOKUP(G87,'G-1 All Habitats'!$B$2:$M$130,12,FALSE),"")</f>
        <v/>
      </c>
      <c r="Q87" s="81" t="str">
        <f>IFERROR(IF(P87="","",IF(AND(P87='G-1 All Habitats'!$X$3,T87&gt;0),U87+V87,IF(AND(P87='G-1 All Habitats'!$X$3,S87&gt;0),U87+V87,IF(AND(P87='G-1 All Habitats'!$X$3,AC87&gt;0),"Any Loss Unacceptable",IF(AND(P87='G-1 All Habitats'!$X$3,W87&gt;0),"Any Loss Unacceptable",H87*J87*L87*O87))))),"Check Data")</f>
        <v/>
      </c>
      <c r="R87" s="55"/>
      <c r="S87" s="79"/>
      <c r="T87" s="82"/>
      <c r="U87" s="83" t="str">
        <f t="shared" si="8"/>
        <v/>
      </c>
      <c r="V87" s="83" t="str">
        <f t="shared" si="9"/>
        <v/>
      </c>
      <c r="W87" s="83" t="str">
        <f>IF(E87="","",IF(H87&lt;S87+T87,"Error in Areas",IF(P87&lt;&gt;'G-1 All Habitats'!$X$3,H87-S87-T87,IF(AND(P87='G-1 All Habitats'!$X$3,Y87="Yes"),"Unacceptable Loss",IF(AND(P87='G-1 All Habitats'!$X$3,Y87="No"),AC87,IF(AND(P87='G-1 All Habitats'!$X$3,Y87=""),AC87,IF(AND(P87='G-1 All Habitats'!$X$3,AC87="None",AC87),IF(AND(P87='G-1 All Habitats'!$X$3,AC87&gt;0),H87-S87-T87))))))))</f>
        <v/>
      </c>
      <c r="X87" s="354" t="str">
        <f>IFERROR(IF(H87="","",IF(H87-S87-T87=0&lt;0,"Error in Areas",IF(S87+T87&gt;H87,"Error in Areas",IF(AND(P87='G-1 All Habitats'!$X$3,Y87="Yes"),"Alternative Compensation",IF(W87=0,0,IF(P87='G-1 All Habitats'!$X$3,"Unacceptable Loss",Q87-U87-V87)))))),"Check Data")</f>
        <v/>
      </c>
      <c r="Y87" s="82"/>
      <c r="Z87" s="182"/>
      <c r="AA87" s="183"/>
      <c r="AC87" s="371" t="str">
        <f>IF(P87="","",IF(P87='G-1 All Habitats'!$X$3,H87-S87-T87,"None"))</f>
        <v/>
      </c>
      <c r="AD87" s="372" t="str">
        <f t="shared" si="10"/>
        <v/>
      </c>
      <c r="AF87" s="188" t="str">
        <f t="shared" si="6"/>
        <v/>
      </c>
      <c r="AG87" s="188" t="str">
        <f t="shared" si="7"/>
        <v/>
      </c>
      <c r="AH87" s="188" t="str">
        <f>IF(I87="","",IF(#REF!&gt;0,TRUE,FALSE))</f>
        <v/>
      </c>
      <c r="AI87" s="188">
        <v>77</v>
      </c>
      <c r="AJ87" s="188"/>
      <c r="AK87" s="188" t="str">
        <f t="array" ref="AK87">IFERROR(INDEX($AI$11:$AI$259, MATCH(0, IF(TRUE=$AF$11:$AF$259, COUNTIF($AK$10:$AK86, $AI$11:$AI$259), ""), 0)),"")</f>
        <v/>
      </c>
      <c r="AL87" s="188" t="str">
        <f t="array" ref="AL87">IFERROR(INDEX($AI$11:$AI$259, MATCH(0, IF(TRUE=$AG$11:$AG$259, COUNTIF($AL$10:$AL86, $AI$11:$AI$259), ""), 0)),"")</f>
        <v/>
      </c>
      <c r="AM87" s="188" t="str">
        <f t="array" ref="AM87">IFERROR(INDEX($AI$11:$AI$259, MATCH(0, IF(TRUE=$AH$11:$AH$259, COUNTIF($AM$10:$AM86, $AI$11:$AI$259), ""), 0)),"")</f>
        <v/>
      </c>
      <c r="AQ87" s="35">
        <f t="shared" si="11"/>
        <v>0</v>
      </c>
    </row>
    <row r="88" spans="1:43" x14ac:dyDescent="0.25">
      <c r="A88" s="35" t="str">
        <f>IFERROR(INDEX('G-1 All Habitats'!$AG$3:$AG$15,MATCH(E88,'G-1 All Habitats'!$AF$3:$AF$15,0)),"")</f>
        <v/>
      </c>
      <c r="B88" s="35" t="str">
        <f>IFERROR(INDEX('G-8 Condition Look up'!$I$4:$I$131,MATCH(G88,'G-8 Condition Look up'!$A$4:$A$131,0)),"")</f>
        <v/>
      </c>
      <c r="D88" s="168">
        <v>78</v>
      </c>
      <c r="E88" s="275"/>
      <c r="F88" s="275"/>
      <c r="G88" s="370" t="str">
        <f>IFERROR(INDEX('G-1 All Habitats'!$B$3:$B$130,MATCH(F88,'G-1 All Habitats'!$A$3:$A$130,0)),"")</f>
        <v/>
      </c>
      <c r="H88" s="213"/>
      <c r="I88" s="171" t="str">
        <f>IF(G88="","",VLOOKUP(G88,'G-1 All Habitats'!$B$2:$M$130,10,FALSE))</f>
        <v/>
      </c>
      <c r="J88" s="172" t="str">
        <f>IFERROR(VLOOKUP(I88,'G-1 All Habitats'!$V$3:$W$7,2,FALSE),"")</f>
        <v/>
      </c>
      <c r="K88" s="173"/>
      <c r="L88" s="172" t="str">
        <f>IFERROR(INDEX('G-8 Condition Look up'!$A$3:$H$131,MATCH(G88,'G-8 Condition Look up'!$A$3:$A$131,0),MATCH(K88,'G-8 Condition Look up'!$A$3:$H$3,0)),"")</f>
        <v/>
      </c>
      <c r="M88" s="186"/>
      <c r="N88" s="175" t="str">
        <f>IF(M88="","",IF(VLOOKUP(M88,'G-3 Multipliers'!$L$3:$N$6,2,FALSE)=0,"Spatial Data Missing",VLOOKUP(M88,'G-3 Multipliers'!$L$3:$N$6,2,FALSE)))</f>
        <v/>
      </c>
      <c r="O88" s="176" t="str">
        <f>IF(M88="","",IF(VLOOKUP(M88,'G-3 Multipliers'!$L$3:$N$6,3,FALSE)=0,"Spatial Data Missing",VLOOKUP(M88,'G-3 Multipliers'!$L$3:$N$6,3,FALSE)))</f>
        <v/>
      </c>
      <c r="P88" s="177" t="str">
        <f>IFERROR(VLOOKUP(G88,'G-1 All Habitats'!$B$2:$M$130,12,FALSE),"")</f>
        <v/>
      </c>
      <c r="Q88" s="81" t="str">
        <f>IFERROR(IF(P88="","",IF(AND(P88='G-1 All Habitats'!$X$3,T88&gt;0),U88+V88,IF(AND(P88='G-1 All Habitats'!$X$3,S88&gt;0),U88+V88,IF(AND(P88='G-1 All Habitats'!$X$3,AC88&gt;0),"Any Loss Unacceptable",IF(AND(P88='G-1 All Habitats'!$X$3,W88&gt;0),"Any Loss Unacceptable",H88*J88*L88*O88))))),"Check Data")</f>
        <v/>
      </c>
      <c r="R88" s="55"/>
      <c r="S88" s="79"/>
      <c r="T88" s="82"/>
      <c r="U88" s="83" t="str">
        <f t="shared" si="8"/>
        <v/>
      </c>
      <c r="V88" s="83" t="str">
        <f t="shared" si="9"/>
        <v/>
      </c>
      <c r="W88" s="83" t="str">
        <f>IF(E88="","",IF(H88&lt;S88+T88,"Error in Areas",IF(P88&lt;&gt;'G-1 All Habitats'!$X$3,H88-S88-T88,IF(AND(P88='G-1 All Habitats'!$X$3,Y88="Yes"),"Unacceptable Loss",IF(AND(P88='G-1 All Habitats'!$X$3,Y88="No"),AC88,IF(AND(P88='G-1 All Habitats'!$X$3,Y88=""),AC88,IF(AND(P88='G-1 All Habitats'!$X$3,AC88="None",AC88),IF(AND(P88='G-1 All Habitats'!$X$3,AC88&gt;0),H88-S88-T88))))))))</f>
        <v/>
      </c>
      <c r="X88" s="354" t="str">
        <f>IFERROR(IF(H88="","",IF(H88-S88-T88=0&lt;0,"Error in Areas",IF(S88+T88&gt;H88,"Error in Areas",IF(AND(P88='G-1 All Habitats'!$X$3,Y88="Yes"),"Alternative Compensation",IF(W88=0,0,IF(P88='G-1 All Habitats'!$X$3,"Unacceptable Loss",Q88-U88-V88)))))),"Check Data")</f>
        <v/>
      </c>
      <c r="Y88" s="82"/>
      <c r="Z88" s="182"/>
      <c r="AA88" s="183"/>
      <c r="AC88" s="371" t="str">
        <f>IF(P88="","",IF(P88='G-1 All Habitats'!$X$3,H88-S88-T88,"None"))</f>
        <v/>
      </c>
      <c r="AD88" s="372" t="str">
        <f t="shared" si="10"/>
        <v/>
      </c>
      <c r="AF88" s="188" t="str">
        <f t="shared" si="6"/>
        <v/>
      </c>
      <c r="AG88" s="188" t="str">
        <f t="shared" si="7"/>
        <v/>
      </c>
      <c r="AH88" s="188" t="str">
        <f>IF(I88="","",IF(#REF!&gt;0,TRUE,FALSE))</f>
        <v/>
      </c>
      <c r="AI88" s="188">
        <v>78</v>
      </c>
      <c r="AJ88" s="188"/>
      <c r="AK88" s="188" t="str">
        <f t="array" ref="AK88">IFERROR(INDEX($AI$11:$AI$259, MATCH(0, IF(TRUE=$AF$11:$AF$259, COUNTIF($AK$10:$AK87, $AI$11:$AI$259), ""), 0)),"")</f>
        <v/>
      </c>
      <c r="AL88" s="188" t="str">
        <f t="array" ref="AL88">IFERROR(INDEX($AI$11:$AI$259, MATCH(0, IF(TRUE=$AG$11:$AG$259, COUNTIF($AL$10:$AL87, $AI$11:$AI$259), ""), 0)),"")</f>
        <v/>
      </c>
      <c r="AM88" s="188" t="str">
        <f t="array" ref="AM88">IFERROR(INDEX($AI$11:$AI$259, MATCH(0, IF(TRUE=$AH$11:$AH$259, COUNTIF($AM$10:$AM87, $AI$11:$AI$259), ""), 0)),"")</f>
        <v/>
      </c>
      <c r="AQ88" s="35">
        <f t="shared" si="11"/>
        <v>0</v>
      </c>
    </row>
    <row r="89" spans="1:43" x14ac:dyDescent="0.25">
      <c r="A89" s="35" t="str">
        <f>IFERROR(INDEX('G-1 All Habitats'!$AG$3:$AG$15,MATCH(E89,'G-1 All Habitats'!$AF$3:$AF$15,0)),"")</f>
        <v/>
      </c>
      <c r="B89" s="35" t="str">
        <f>IFERROR(INDEX('G-8 Condition Look up'!$I$4:$I$131,MATCH(G89,'G-8 Condition Look up'!$A$4:$A$131,0)),"")</f>
        <v/>
      </c>
      <c r="D89" s="168">
        <v>79</v>
      </c>
      <c r="E89" s="275"/>
      <c r="F89" s="275"/>
      <c r="G89" s="370" t="str">
        <f>IFERROR(INDEX('G-1 All Habitats'!$B$3:$B$130,MATCH(F89,'G-1 All Habitats'!$A$3:$A$130,0)),"")</f>
        <v/>
      </c>
      <c r="H89" s="213"/>
      <c r="I89" s="171" t="str">
        <f>IF(G89="","",VLOOKUP(G89,'G-1 All Habitats'!$B$2:$M$130,10,FALSE))</f>
        <v/>
      </c>
      <c r="J89" s="172" t="str">
        <f>IFERROR(VLOOKUP(I89,'G-1 All Habitats'!$V$3:$W$7,2,FALSE),"")</f>
        <v/>
      </c>
      <c r="K89" s="173"/>
      <c r="L89" s="172" t="str">
        <f>IFERROR(INDEX('G-8 Condition Look up'!$A$3:$H$131,MATCH(G89,'G-8 Condition Look up'!$A$3:$A$131,0),MATCH(K89,'G-8 Condition Look up'!$A$3:$H$3,0)),"")</f>
        <v/>
      </c>
      <c r="M89" s="186"/>
      <c r="N89" s="175" t="str">
        <f>IF(M89="","",IF(VLOOKUP(M89,'G-3 Multipliers'!$L$3:$N$6,2,FALSE)=0,"Spatial Data Missing",VLOOKUP(M89,'G-3 Multipliers'!$L$3:$N$6,2,FALSE)))</f>
        <v/>
      </c>
      <c r="O89" s="176" t="str">
        <f>IF(M89="","",IF(VLOOKUP(M89,'G-3 Multipliers'!$L$3:$N$6,3,FALSE)=0,"Spatial Data Missing",VLOOKUP(M89,'G-3 Multipliers'!$L$3:$N$6,3,FALSE)))</f>
        <v/>
      </c>
      <c r="P89" s="177" t="str">
        <f>IFERROR(VLOOKUP(G89,'G-1 All Habitats'!$B$2:$M$130,12,FALSE),"")</f>
        <v/>
      </c>
      <c r="Q89" s="81" t="str">
        <f>IFERROR(IF(P89="","",IF(AND(P89='G-1 All Habitats'!$X$3,T89&gt;0),U89+V89,IF(AND(P89='G-1 All Habitats'!$X$3,S89&gt;0),U89+V89,IF(AND(P89='G-1 All Habitats'!$X$3,AC89&gt;0),"Any Loss Unacceptable",IF(AND(P89='G-1 All Habitats'!$X$3,W89&gt;0),"Any Loss Unacceptable",H89*J89*L89*O89))))),"Check Data")</f>
        <v/>
      </c>
      <c r="R89" s="55"/>
      <c r="S89" s="79"/>
      <c r="T89" s="82"/>
      <c r="U89" s="83" t="str">
        <f t="shared" si="8"/>
        <v/>
      </c>
      <c r="V89" s="83" t="str">
        <f t="shared" si="9"/>
        <v/>
      </c>
      <c r="W89" s="83" t="str">
        <f>IF(E89="","",IF(H89&lt;S89+T89,"Error in Areas",IF(P89&lt;&gt;'G-1 All Habitats'!$X$3,H89-S89-T89,IF(AND(P89='G-1 All Habitats'!$X$3,Y89="Yes"),"Unacceptable Loss",IF(AND(P89='G-1 All Habitats'!$X$3,Y89="No"),AC89,IF(AND(P89='G-1 All Habitats'!$X$3,Y89=""),AC89,IF(AND(P89='G-1 All Habitats'!$X$3,AC89="None",AC89),IF(AND(P89='G-1 All Habitats'!$X$3,AC89&gt;0),H89-S89-T89))))))))</f>
        <v/>
      </c>
      <c r="X89" s="354" t="str">
        <f>IFERROR(IF(H89="","",IF(H89-S89-T89=0&lt;0,"Error in Areas",IF(S89+T89&gt;H89,"Error in Areas",IF(AND(P89='G-1 All Habitats'!$X$3,Y89="Yes"),"Alternative Compensation",IF(W89=0,0,IF(P89='G-1 All Habitats'!$X$3,"Unacceptable Loss",Q89-U89-V89)))))),"Check Data")</f>
        <v/>
      </c>
      <c r="Y89" s="82"/>
      <c r="Z89" s="182"/>
      <c r="AA89" s="183"/>
      <c r="AC89" s="371" t="str">
        <f>IF(P89="","",IF(P89='G-1 All Habitats'!$X$3,H89-S89-T89,"None"))</f>
        <v/>
      </c>
      <c r="AD89" s="372" t="str">
        <f t="shared" si="10"/>
        <v/>
      </c>
      <c r="AF89" s="188" t="str">
        <f t="shared" si="6"/>
        <v/>
      </c>
      <c r="AG89" s="188" t="str">
        <f t="shared" si="7"/>
        <v/>
      </c>
      <c r="AH89" s="188" t="str">
        <f>IF(I89="","",IF(#REF!&gt;0,TRUE,FALSE))</f>
        <v/>
      </c>
      <c r="AI89" s="188">
        <v>79</v>
      </c>
      <c r="AJ89" s="188"/>
      <c r="AK89" s="188" t="str">
        <f t="array" ref="AK89">IFERROR(INDEX($AI$11:$AI$259, MATCH(0, IF(TRUE=$AF$11:$AF$259, COUNTIF($AK$10:$AK88, $AI$11:$AI$259), ""), 0)),"")</f>
        <v/>
      </c>
      <c r="AL89" s="188" t="str">
        <f t="array" ref="AL89">IFERROR(INDEX($AI$11:$AI$259, MATCH(0, IF(TRUE=$AG$11:$AG$259, COUNTIF($AL$10:$AL88, $AI$11:$AI$259), ""), 0)),"")</f>
        <v/>
      </c>
      <c r="AM89" s="188" t="str">
        <f t="array" ref="AM89">IFERROR(INDEX($AI$11:$AI$259, MATCH(0, IF(TRUE=$AH$11:$AH$259, COUNTIF($AM$10:$AM88, $AI$11:$AI$259), ""), 0)),"")</f>
        <v/>
      </c>
      <c r="AQ89" s="35">
        <f t="shared" si="11"/>
        <v>0</v>
      </c>
    </row>
    <row r="90" spans="1:43" x14ac:dyDescent="0.25">
      <c r="A90" s="35" t="str">
        <f>IFERROR(INDEX('G-1 All Habitats'!$AG$3:$AG$15,MATCH(E90,'G-1 All Habitats'!$AF$3:$AF$15,0)),"")</f>
        <v/>
      </c>
      <c r="B90" s="35" t="str">
        <f>IFERROR(INDEX('G-8 Condition Look up'!$I$4:$I$131,MATCH(G90,'G-8 Condition Look up'!$A$4:$A$131,0)),"")</f>
        <v/>
      </c>
      <c r="D90" s="168">
        <v>80</v>
      </c>
      <c r="E90" s="275"/>
      <c r="F90" s="275"/>
      <c r="G90" s="370" t="str">
        <f>IFERROR(INDEX('G-1 All Habitats'!$B$3:$B$130,MATCH(F90,'G-1 All Habitats'!$A$3:$A$130,0)),"")</f>
        <v/>
      </c>
      <c r="H90" s="213"/>
      <c r="I90" s="171" t="str">
        <f>IF(G90="","",VLOOKUP(G90,'G-1 All Habitats'!$B$2:$M$130,10,FALSE))</f>
        <v/>
      </c>
      <c r="J90" s="172" t="str">
        <f>IFERROR(VLOOKUP(I90,'G-1 All Habitats'!$V$3:$W$7,2,FALSE),"")</f>
        <v/>
      </c>
      <c r="K90" s="173"/>
      <c r="L90" s="172" t="str">
        <f>IFERROR(INDEX('G-8 Condition Look up'!$A$3:$H$131,MATCH(G90,'G-8 Condition Look up'!$A$3:$A$131,0),MATCH(K90,'G-8 Condition Look up'!$A$3:$H$3,0)),"")</f>
        <v/>
      </c>
      <c r="M90" s="186"/>
      <c r="N90" s="175" t="str">
        <f>IF(M90="","",IF(VLOOKUP(M90,'G-3 Multipliers'!$L$3:$N$6,2,FALSE)=0,"Spatial Data Missing",VLOOKUP(M90,'G-3 Multipliers'!$L$3:$N$6,2,FALSE)))</f>
        <v/>
      </c>
      <c r="O90" s="176" t="str">
        <f>IF(M90="","",IF(VLOOKUP(M90,'G-3 Multipliers'!$L$3:$N$6,3,FALSE)=0,"Spatial Data Missing",VLOOKUP(M90,'G-3 Multipliers'!$L$3:$N$6,3,FALSE)))</f>
        <v/>
      </c>
      <c r="P90" s="177" t="str">
        <f>IFERROR(VLOOKUP(G90,'G-1 All Habitats'!$B$2:$M$130,12,FALSE),"")</f>
        <v/>
      </c>
      <c r="Q90" s="81" t="str">
        <f>IFERROR(IF(P90="","",IF(AND(P90='G-1 All Habitats'!$X$3,T90&gt;0),U90+V90,IF(AND(P90='G-1 All Habitats'!$X$3,S90&gt;0),U90+V90,IF(AND(P90='G-1 All Habitats'!$X$3,AC90&gt;0),"Any Loss Unacceptable",IF(AND(P90='G-1 All Habitats'!$X$3,W90&gt;0),"Any Loss Unacceptable",H90*J90*L90*O90))))),"Check Data")</f>
        <v/>
      </c>
      <c r="R90" s="55"/>
      <c r="S90" s="79"/>
      <c r="T90" s="82"/>
      <c r="U90" s="83" t="str">
        <f t="shared" si="8"/>
        <v/>
      </c>
      <c r="V90" s="83" t="str">
        <f t="shared" si="9"/>
        <v/>
      </c>
      <c r="W90" s="83" t="str">
        <f>IF(E90="","",IF(H90&lt;S90+T90,"Error in Areas",IF(P90&lt;&gt;'G-1 All Habitats'!$X$3,H90-S90-T90,IF(AND(P90='G-1 All Habitats'!$X$3,Y90="Yes"),"Unacceptable Loss",IF(AND(P90='G-1 All Habitats'!$X$3,Y90="No"),AC90,IF(AND(P90='G-1 All Habitats'!$X$3,Y90=""),AC90,IF(AND(P90='G-1 All Habitats'!$X$3,AC90="None",AC90),IF(AND(P90='G-1 All Habitats'!$X$3,AC90&gt;0),H90-S90-T90))))))))</f>
        <v/>
      </c>
      <c r="X90" s="354" t="str">
        <f>IFERROR(IF(H90="","",IF(H90-S90-T90=0&lt;0,"Error in Areas",IF(S90+T90&gt;H90,"Error in Areas",IF(AND(P90='G-1 All Habitats'!$X$3,Y90="Yes"),"Alternative Compensation",IF(W90=0,0,IF(P90='G-1 All Habitats'!$X$3,"Unacceptable Loss",Q90-U90-V90)))))),"Check Data")</f>
        <v/>
      </c>
      <c r="Y90" s="82"/>
      <c r="Z90" s="182"/>
      <c r="AA90" s="183"/>
      <c r="AC90" s="371" t="str">
        <f>IF(P90="","",IF(P90='G-1 All Habitats'!$X$3,H90-S90-T90,"None"))</f>
        <v/>
      </c>
      <c r="AD90" s="372" t="str">
        <f t="shared" si="10"/>
        <v/>
      </c>
      <c r="AF90" s="188" t="str">
        <f t="shared" si="6"/>
        <v/>
      </c>
      <c r="AG90" s="188" t="str">
        <f t="shared" si="7"/>
        <v/>
      </c>
      <c r="AH90" s="188" t="str">
        <f>IF(I90="","",IF(#REF!&gt;0,TRUE,FALSE))</f>
        <v/>
      </c>
      <c r="AI90" s="188">
        <v>80</v>
      </c>
      <c r="AJ90" s="188"/>
      <c r="AK90" s="188" t="str">
        <f t="array" ref="AK90">IFERROR(INDEX($AI$11:$AI$259, MATCH(0, IF(TRUE=$AF$11:$AF$259, COUNTIF($AK$10:$AK89, $AI$11:$AI$259), ""), 0)),"")</f>
        <v/>
      </c>
      <c r="AL90" s="188" t="str">
        <f t="array" ref="AL90">IFERROR(INDEX($AI$11:$AI$259, MATCH(0, IF(TRUE=$AG$11:$AG$259, COUNTIF($AL$10:$AL89, $AI$11:$AI$259), ""), 0)),"")</f>
        <v/>
      </c>
      <c r="AM90" s="188" t="str">
        <f t="array" ref="AM90">IFERROR(INDEX($AI$11:$AI$259, MATCH(0, IF(TRUE=$AH$11:$AH$259, COUNTIF($AM$10:$AM89, $AI$11:$AI$259), ""), 0)),"")</f>
        <v/>
      </c>
      <c r="AQ90" s="35">
        <f t="shared" si="11"/>
        <v>0</v>
      </c>
    </row>
    <row r="91" spans="1:43" x14ac:dyDescent="0.25">
      <c r="A91" s="35" t="str">
        <f>IFERROR(INDEX('G-1 All Habitats'!$AG$3:$AG$15,MATCH(E91,'G-1 All Habitats'!$AF$3:$AF$15,0)),"")</f>
        <v/>
      </c>
      <c r="B91" s="35" t="str">
        <f>IFERROR(INDEX('G-8 Condition Look up'!$I$4:$I$131,MATCH(G91,'G-8 Condition Look up'!$A$4:$A$131,0)),"")</f>
        <v/>
      </c>
      <c r="D91" s="168">
        <v>81</v>
      </c>
      <c r="E91" s="275"/>
      <c r="F91" s="275"/>
      <c r="G91" s="370" t="str">
        <f>IFERROR(INDEX('G-1 All Habitats'!$B$3:$B$130,MATCH(F91,'G-1 All Habitats'!$A$3:$A$130,0)),"")</f>
        <v/>
      </c>
      <c r="H91" s="213"/>
      <c r="I91" s="171" t="str">
        <f>IF(G91="","",VLOOKUP(G91,'G-1 All Habitats'!$B$2:$M$130,10,FALSE))</f>
        <v/>
      </c>
      <c r="J91" s="172" t="str">
        <f>IFERROR(VLOOKUP(I91,'G-1 All Habitats'!$V$3:$W$7,2,FALSE),"")</f>
        <v/>
      </c>
      <c r="K91" s="173"/>
      <c r="L91" s="172" t="str">
        <f>IFERROR(INDEX('G-8 Condition Look up'!$A$3:$H$131,MATCH(G91,'G-8 Condition Look up'!$A$3:$A$131,0),MATCH(K91,'G-8 Condition Look up'!$A$3:$H$3,0)),"")</f>
        <v/>
      </c>
      <c r="M91" s="186"/>
      <c r="N91" s="175" t="str">
        <f>IF(M91="","",IF(VLOOKUP(M91,'G-3 Multipliers'!$L$3:$N$6,2,FALSE)=0,"Spatial Data Missing",VLOOKUP(M91,'G-3 Multipliers'!$L$3:$N$6,2,FALSE)))</f>
        <v/>
      </c>
      <c r="O91" s="176" t="str">
        <f>IF(M91="","",IF(VLOOKUP(M91,'G-3 Multipliers'!$L$3:$N$6,3,FALSE)=0,"Spatial Data Missing",VLOOKUP(M91,'G-3 Multipliers'!$L$3:$N$6,3,FALSE)))</f>
        <v/>
      </c>
      <c r="P91" s="177" t="str">
        <f>IFERROR(VLOOKUP(G91,'G-1 All Habitats'!$B$2:$M$130,12,FALSE),"")</f>
        <v/>
      </c>
      <c r="Q91" s="81" t="str">
        <f>IFERROR(IF(P91="","",IF(AND(P91='G-1 All Habitats'!$X$3,T91&gt;0),U91+V91,IF(AND(P91='G-1 All Habitats'!$X$3,S91&gt;0),U91+V91,IF(AND(P91='G-1 All Habitats'!$X$3,AC91&gt;0),"Any Loss Unacceptable",IF(AND(P91='G-1 All Habitats'!$X$3,W91&gt;0),"Any Loss Unacceptable",H91*J91*L91*O91))))),"Check Data")</f>
        <v/>
      </c>
      <c r="R91" s="55"/>
      <c r="S91" s="79"/>
      <c r="T91" s="82"/>
      <c r="U91" s="83" t="str">
        <f t="shared" si="8"/>
        <v/>
      </c>
      <c r="V91" s="83" t="str">
        <f t="shared" si="9"/>
        <v/>
      </c>
      <c r="W91" s="83" t="str">
        <f>IF(E91="","",IF(H91&lt;S91+T91,"Error in Areas",IF(P91&lt;&gt;'G-1 All Habitats'!$X$3,H91-S91-T91,IF(AND(P91='G-1 All Habitats'!$X$3,Y91="Yes"),"Unacceptable Loss",IF(AND(P91='G-1 All Habitats'!$X$3,Y91="No"),AC91,IF(AND(P91='G-1 All Habitats'!$X$3,Y91=""),AC91,IF(AND(P91='G-1 All Habitats'!$X$3,AC91="None",AC91),IF(AND(P91='G-1 All Habitats'!$X$3,AC91&gt;0),H91-S91-T91))))))))</f>
        <v/>
      </c>
      <c r="X91" s="354" t="str">
        <f>IFERROR(IF(H91="","",IF(H91-S91-T91=0&lt;0,"Error in Areas",IF(S91+T91&gt;H91,"Error in Areas",IF(AND(P91='G-1 All Habitats'!$X$3,Y91="Yes"),"Alternative Compensation",IF(W91=0,0,IF(P91='G-1 All Habitats'!$X$3,"Unacceptable Loss",Q91-U91-V91)))))),"Check Data")</f>
        <v/>
      </c>
      <c r="Y91" s="82"/>
      <c r="Z91" s="182"/>
      <c r="AA91" s="183"/>
      <c r="AC91" s="371" t="str">
        <f>IF(P91="","",IF(P91='G-1 All Habitats'!$X$3,H91-S91-T91,"None"))</f>
        <v/>
      </c>
      <c r="AD91" s="372" t="str">
        <f t="shared" si="10"/>
        <v/>
      </c>
      <c r="AF91" s="188" t="str">
        <f t="shared" si="6"/>
        <v/>
      </c>
      <c r="AG91" s="188" t="str">
        <f t="shared" si="7"/>
        <v/>
      </c>
      <c r="AH91" s="188" t="str">
        <f>IF(I91="","",IF(#REF!&gt;0,TRUE,FALSE))</f>
        <v/>
      </c>
      <c r="AI91" s="188">
        <v>81</v>
      </c>
      <c r="AJ91" s="188"/>
      <c r="AK91" s="188" t="str">
        <f t="array" ref="AK91">IFERROR(INDEX($AI$11:$AI$259, MATCH(0, IF(TRUE=$AF$11:$AF$259, COUNTIF($AK$10:$AK90, $AI$11:$AI$259), ""), 0)),"")</f>
        <v/>
      </c>
      <c r="AL91" s="188" t="str">
        <f t="array" ref="AL91">IFERROR(INDEX($AI$11:$AI$259, MATCH(0, IF(TRUE=$AG$11:$AG$259, COUNTIF($AL$10:$AL90, $AI$11:$AI$259), ""), 0)),"")</f>
        <v/>
      </c>
      <c r="AM91" s="188" t="str">
        <f t="array" ref="AM91">IFERROR(INDEX($AI$11:$AI$259, MATCH(0, IF(TRUE=$AH$11:$AH$259, COUNTIF($AM$10:$AM90, $AI$11:$AI$259), ""), 0)),"")</f>
        <v/>
      </c>
      <c r="AQ91" s="35">
        <f t="shared" si="11"/>
        <v>0</v>
      </c>
    </row>
    <row r="92" spans="1:43" x14ac:dyDescent="0.25">
      <c r="A92" s="35" t="str">
        <f>IFERROR(INDEX('G-1 All Habitats'!$AG$3:$AG$15,MATCH(E92,'G-1 All Habitats'!$AF$3:$AF$15,0)),"")</f>
        <v/>
      </c>
      <c r="B92" s="35" t="str">
        <f>IFERROR(INDEX('G-8 Condition Look up'!$I$4:$I$131,MATCH(G92,'G-8 Condition Look up'!$A$4:$A$131,0)),"")</f>
        <v/>
      </c>
      <c r="D92" s="168">
        <v>82</v>
      </c>
      <c r="E92" s="275"/>
      <c r="F92" s="275"/>
      <c r="G92" s="370" t="str">
        <f>IFERROR(INDEX('G-1 All Habitats'!$B$3:$B$130,MATCH(F92,'G-1 All Habitats'!$A$3:$A$130,0)),"")</f>
        <v/>
      </c>
      <c r="H92" s="213"/>
      <c r="I92" s="171" t="str">
        <f>IF(G92="","",VLOOKUP(G92,'G-1 All Habitats'!$B$2:$M$130,10,FALSE))</f>
        <v/>
      </c>
      <c r="J92" s="172" t="str">
        <f>IFERROR(VLOOKUP(I92,'G-1 All Habitats'!$V$3:$W$7,2,FALSE),"")</f>
        <v/>
      </c>
      <c r="K92" s="173"/>
      <c r="L92" s="172" t="str">
        <f>IFERROR(INDEX('G-8 Condition Look up'!$A$3:$H$131,MATCH(G92,'G-8 Condition Look up'!$A$3:$A$131,0),MATCH(K92,'G-8 Condition Look up'!$A$3:$H$3,0)),"")</f>
        <v/>
      </c>
      <c r="M92" s="186"/>
      <c r="N92" s="175" t="str">
        <f>IF(M92="","",IF(VLOOKUP(M92,'G-3 Multipliers'!$L$3:$N$6,2,FALSE)=0,"Spatial Data Missing",VLOOKUP(M92,'G-3 Multipliers'!$L$3:$N$6,2,FALSE)))</f>
        <v/>
      </c>
      <c r="O92" s="176" t="str">
        <f>IF(M92="","",IF(VLOOKUP(M92,'G-3 Multipliers'!$L$3:$N$6,3,FALSE)=0,"Spatial Data Missing",VLOOKUP(M92,'G-3 Multipliers'!$L$3:$N$6,3,FALSE)))</f>
        <v/>
      </c>
      <c r="P92" s="177" t="str">
        <f>IFERROR(VLOOKUP(G92,'G-1 All Habitats'!$B$2:$M$130,12,FALSE),"")</f>
        <v/>
      </c>
      <c r="Q92" s="81" t="str">
        <f>IFERROR(IF(P92="","",IF(AND(P92='G-1 All Habitats'!$X$3,T92&gt;0),U92+V92,IF(AND(P92='G-1 All Habitats'!$X$3,S92&gt;0),U92+V92,IF(AND(P92='G-1 All Habitats'!$X$3,AC92&gt;0),"Any Loss Unacceptable",IF(AND(P92='G-1 All Habitats'!$X$3,W92&gt;0),"Any Loss Unacceptable",H92*J92*L92*O92))))),"Check Data")</f>
        <v/>
      </c>
      <c r="R92" s="55"/>
      <c r="S92" s="79"/>
      <c r="T92" s="82"/>
      <c r="U92" s="83" t="str">
        <f t="shared" si="8"/>
        <v/>
      </c>
      <c r="V92" s="83" t="str">
        <f t="shared" si="9"/>
        <v/>
      </c>
      <c r="W92" s="83" t="str">
        <f>IF(E92="","",IF(H92&lt;S92+T92,"Error in Areas",IF(P92&lt;&gt;'G-1 All Habitats'!$X$3,H92-S92-T92,IF(AND(P92='G-1 All Habitats'!$X$3,Y92="Yes"),"Unacceptable Loss",IF(AND(P92='G-1 All Habitats'!$X$3,Y92="No"),AC92,IF(AND(P92='G-1 All Habitats'!$X$3,Y92=""),AC92,IF(AND(P92='G-1 All Habitats'!$X$3,AC92="None",AC92),IF(AND(P92='G-1 All Habitats'!$X$3,AC92&gt;0),H92-S92-T92))))))))</f>
        <v/>
      </c>
      <c r="X92" s="354" t="str">
        <f>IFERROR(IF(H92="","",IF(H92-S92-T92=0&lt;0,"Error in Areas",IF(S92+T92&gt;H92,"Error in Areas",IF(AND(P92='G-1 All Habitats'!$X$3,Y92="Yes"),"Alternative Compensation",IF(W92=0,0,IF(P92='G-1 All Habitats'!$X$3,"Unacceptable Loss",Q92-U92-V92)))))),"Check Data")</f>
        <v/>
      </c>
      <c r="Y92" s="82"/>
      <c r="Z92" s="182"/>
      <c r="AA92" s="183"/>
      <c r="AC92" s="371" t="str">
        <f>IF(P92="","",IF(P92='G-1 All Habitats'!$X$3,H92-S92-T92,"None"))</f>
        <v/>
      </c>
      <c r="AD92" s="372" t="str">
        <f t="shared" si="10"/>
        <v/>
      </c>
      <c r="AF92" s="188" t="str">
        <f t="shared" si="6"/>
        <v/>
      </c>
      <c r="AG92" s="188" t="str">
        <f t="shared" si="7"/>
        <v/>
      </c>
      <c r="AH92" s="188" t="str">
        <f>IF(I92="","",IF(#REF!&gt;0,TRUE,FALSE))</f>
        <v/>
      </c>
      <c r="AI92" s="188">
        <v>82</v>
      </c>
      <c r="AJ92" s="188"/>
      <c r="AK92" s="188" t="str">
        <f t="array" ref="AK92">IFERROR(INDEX($AI$11:$AI$259, MATCH(0, IF(TRUE=$AF$11:$AF$259, COUNTIF($AK$10:$AK91, $AI$11:$AI$259), ""), 0)),"")</f>
        <v/>
      </c>
      <c r="AL92" s="188" t="str">
        <f t="array" ref="AL92">IFERROR(INDEX($AI$11:$AI$259, MATCH(0, IF(TRUE=$AG$11:$AG$259, COUNTIF($AL$10:$AL91, $AI$11:$AI$259), ""), 0)),"")</f>
        <v/>
      </c>
      <c r="AM92" s="188" t="str">
        <f t="array" ref="AM92">IFERROR(INDEX($AI$11:$AI$259, MATCH(0, IF(TRUE=$AH$11:$AH$259, COUNTIF($AM$10:$AM91, $AI$11:$AI$259), ""), 0)),"")</f>
        <v/>
      </c>
      <c r="AQ92" s="35">
        <f t="shared" si="11"/>
        <v>0</v>
      </c>
    </row>
    <row r="93" spans="1:43" x14ac:dyDescent="0.25">
      <c r="A93" s="35" t="str">
        <f>IFERROR(INDEX('G-1 All Habitats'!$AG$3:$AG$15,MATCH(E93,'G-1 All Habitats'!$AF$3:$AF$15,0)),"")</f>
        <v/>
      </c>
      <c r="B93" s="35" t="str">
        <f>IFERROR(INDEX('G-8 Condition Look up'!$I$4:$I$131,MATCH(G93,'G-8 Condition Look up'!$A$4:$A$131,0)),"")</f>
        <v/>
      </c>
      <c r="D93" s="168">
        <v>83</v>
      </c>
      <c r="E93" s="275"/>
      <c r="F93" s="275"/>
      <c r="G93" s="370" t="str">
        <f>IFERROR(INDEX('G-1 All Habitats'!$B$3:$B$130,MATCH(F93,'G-1 All Habitats'!$A$3:$A$130,0)),"")</f>
        <v/>
      </c>
      <c r="H93" s="213"/>
      <c r="I93" s="171" t="str">
        <f>IF(G93="","",VLOOKUP(G93,'G-1 All Habitats'!$B$2:$M$130,10,FALSE))</f>
        <v/>
      </c>
      <c r="J93" s="172" t="str">
        <f>IFERROR(VLOOKUP(I93,'G-1 All Habitats'!$V$3:$W$7,2,FALSE),"")</f>
        <v/>
      </c>
      <c r="K93" s="173"/>
      <c r="L93" s="172" t="str">
        <f>IFERROR(INDEX('G-8 Condition Look up'!$A$3:$H$131,MATCH(G93,'G-8 Condition Look up'!$A$3:$A$131,0),MATCH(K93,'G-8 Condition Look up'!$A$3:$H$3,0)),"")</f>
        <v/>
      </c>
      <c r="M93" s="186"/>
      <c r="N93" s="175" t="str">
        <f>IF(M93="","",IF(VLOOKUP(M93,'G-3 Multipliers'!$L$3:$N$6,2,FALSE)=0,"Spatial Data Missing",VLOOKUP(M93,'G-3 Multipliers'!$L$3:$N$6,2,FALSE)))</f>
        <v/>
      </c>
      <c r="O93" s="176" t="str">
        <f>IF(M93="","",IF(VLOOKUP(M93,'G-3 Multipliers'!$L$3:$N$6,3,FALSE)=0,"Spatial Data Missing",VLOOKUP(M93,'G-3 Multipliers'!$L$3:$N$6,3,FALSE)))</f>
        <v/>
      </c>
      <c r="P93" s="177" t="str">
        <f>IFERROR(VLOOKUP(G93,'G-1 All Habitats'!$B$2:$M$130,12,FALSE),"")</f>
        <v/>
      </c>
      <c r="Q93" s="81" t="str">
        <f>IFERROR(IF(P93="","",IF(AND(P93='G-1 All Habitats'!$X$3,T93&gt;0),U93+V93,IF(AND(P93='G-1 All Habitats'!$X$3,S93&gt;0),U93+V93,IF(AND(P93='G-1 All Habitats'!$X$3,AC93&gt;0),"Any Loss Unacceptable",IF(AND(P93='G-1 All Habitats'!$X$3,W93&gt;0),"Any Loss Unacceptable",H93*J93*L93*O93))))),"Check Data")</f>
        <v/>
      </c>
      <c r="R93" s="55"/>
      <c r="S93" s="79"/>
      <c r="T93" s="82"/>
      <c r="U93" s="83" t="str">
        <f t="shared" si="8"/>
        <v/>
      </c>
      <c r="V93" s="83" t="str">
        <f t="shared" si="9"/>
        <v/>
      </c>
      <c r="W93" s="83" t="str">
        <f>IF(E93="","",IF(H93&lt;S93+T93,"Error in Areas",IF(P93&lt;&gt;'G-1 All Habitats'!$X$3,H93-S93-T93,IF(AND(P93='G-1 All Habitats'!$X$3,Y93="Yes"),"Unacceptable Loss",IF(AND(P93='G-1 All Habitats'!$X$3,Y93="No"),AC93,IF(AND(P93='G-1 All Habitats'!$X$3,Y93=""),AC93,IF(AND(P93='G-1 All Habitats'!$X$3,AC93="None",AC93),IF(AND(P93='G-1 All Habitats'!$X$3,AC93&gt;0),H93-S93-T93))))))))</f>
        <v/>
      </c>
      <c r="X93" s="354" t="str">
        <f>IFERROR(IF(H93="","",IF(H93-S93-T93=0&lt;0,"Error in Areas",IF(S93+T93&gt;H93,"Error in Areas",IF(AND(P93='G-1 All Habitats'!$X$3,Y93="Yes"),"Alternative Compensation",IF(W93=0,0,IF(P93='G-1 All Habitats'!$X$3,"Unacceptable Loss",Q93-U93-V93)))))),"Check Data")</f>
        <v/>
      </c>
      <c r="Y93" s="82"/>
      <c r="Z93" s="182"/>
      <c r="AA93" s="183"/>
      <c r="AC93" s="371" t="str">
        <f>IF(P93="","",IF(P93='G-1 All Habitats'!$X$3,H93-S93-T93,"None"))</f>
        <v/>
      </c>
      <c r="AD93" s="372" t="str">
        <f t="shared" si="10"/>
        <v/>
      </c>
      <c r="AF93" s="188" t="str">
        <f t="shared" si="6"/>
        <v/>
      </c>
      <c r="AG93" s="188" t="str">
        <f t="shared" si="7"/>
        <v/>
      </c>
      <c r="AH93" s="188" t="str">
        <f>IF(I93="","",IF(#REF!&gt;0,TRUE,FALSE))</f>
        <v/>
      </c>
      <c r="AI93" s="188">
        <v>83</v>
      </c>
      <c r="AJ93" s="188"/>
      <c r="AK93" s="188" t="str">
        <f t="array" ref="AK93">IFERROR(INDEX($AI$11:$AI$259, MATCH(0, IF(TRUE=$AF$11:$AF$259, COUNTIF($AK$10:$AK92, $AI$11:$AI$259), ""), 0)),"")</f>
        <v/>
      </c>
      <c r="AL93" s="188" t="str">
        <f t="array" ref="AL93">IFERROR(INDEX($AI$11:$AI$259, MATCH(0, IF(TRUE=$AG$11:$AG$259, COUNTIF($AL$10:$AL92, $AI$11:$AI$259), ""), 0)),"")</f>
        <v/>
      </c>
      <c r="AM93" s="188" t="str">
        <f t="array" ref="AM93">IFERROR(INDEX($AI$11:$AI$259, MATCH(0, IF(TRUE=$AH$11:$AH$259, COUNTIF($AM$10:$AM92, $AI$11:$AI$259), ""), 0)),"")</f>
        <v/>
      </c>
      <c r="AQ93" s="35">
        <f t="shared" si="11"/>
        <v>0</v>
      </c>
    </row>
    <row r="94" spans="1:43" x14ac:dyDescent="0.25">
      <c r="A94" s="35" t="str">
        <f>IFERROR(INDEX('G-1 All Habitats'!$AG$3:$AG$15,MATCH(E94,'G-1 All Habitats'!$AF$3:$AF$15,0)),"")</f>
        <v/>
      </c>
      <c r="B94" s="35" t="str">
        <f>IFERROR(INDEX('G-8 Condition Look up'!$I$4:$I$131,MATCH(G94,'G-8 Condition Look up'!$A$4:$A$131,0)),"")</f>
        <v/>
      </c>
      <c r="D94" s="168">
        <v>84</v>
      </c>
      <c r="E94" s="275"/>
      <c r="F94" s="275"/>
      <c r="G94" s="370" t="str">
        <f>IFERROR(INDEX('G-1 All Habitats'!$B$3:$B$130,MATCH(F94,'G-1 All Habitats'!$A$3:$A$130,0)),"")</f>
        <v/>
      </c>
      <c r="H94" s="213"/>
      <c r="I94" s="171" t="str">
        <f>IF(G94="","",VLOOKUP(G94,'G-1 All Habitats'!$B$2:$M$130,10,FALSE))</f>
        <v/>
      </c>
      <c r="J94" s="172" t="str">
        <f>IFERROR(VLOOKUP(I94,'G-1 All Habitats'!$V$3:$W$7,2,FALSE),"")</f>
        <v/>
      </c>
      <c r="K94" s="173"/>
      <c r="L94" s="172" t="str">
        <f>IFERROR(INDEX('G-8 Condition Look up'!$A$3:$H$131,MATCH(G94,'G-8 Condition Look up'!$A$3:$A$131,0),MATCH(K94,'G-8 Condition Look up'!$A$3:$H$3,0)),"")</f>
        <v/>
      </c>
      <c r="M94" s="186"/>
      <c r="N94" s="175" t="str">
        <f>IF(M94="","",IF(VLOOKUP(M94,'G-3 Multipliers'!$L$3:$N$6,2,FALSE)=0,"Spatial Data Missing",VLOOKUP(M94,'G-3 Multipliers'!$L$3:$N$6,2,FALSE)))</f>
        <v/>
      </c>
      <c r="O94" s="176" t="str">
        <f>IF(M94="","",IF(VLOOKUP(M94,'G-3 Multipliers'!$L$3:$N$6,3,FALSE)=0,"Spatial Data Missing",VLOOKUP(M94,'G-3 Multipliers'!$L$3:$N$6,3,FALSE)))</f>
        <v/>
      </c>
      <c r="P94" s="177" t="str">
        <f>IFERROR(VLOOKUP(G94,'G-1 All Habitats'!$B$2:$M$130,12,FALSE),"")</f>
        <v/>
      </c>
      <c r="Q94" s="81" t="str">
        <f>IFERROR(IF(P94="","",IF(AND(P94='G-1 All Habitats'!$X$3,T94&gt;0),U94+V94,IF(AND(P94='G-1 All Habitats'!$X$3,S94&gt;0),U94+V94,IF(AND(P94='G-1 All Habitats'!$X$3,AC94&gt;0),"Any Loss Unacceptable",IF(AND(P94='G-1 All Habitats'!$X$3,W94&gt;0),"Any Loss Unacceptable",H94*J94*L94*O94))))),"Check Data")</f>
        <v/>
      </c>
      <c r="R94" s="55"/>
      <c r="S94" s="79"/>
      <c r="T94" s="82"/>
      <c r="U94" s="83" t="str">
        <f t="shared" si="8"/>
        <v/>
      </c>
      <c r="V94" s="83" t="str">
        <f t="shared" si="9"/>
        <v/>
      </c>
      <c r="W94" s="83" t="str">
        <f>IF(E94="","",IF(H94&lt;S94+T94,"Error in Areas",IF(P94&lt;&gt;'G-1 All Habitats'!$X$3,H94-S94-T94,IF(AND(P94='G-1 All Habitats'!$X$3,Y94="Yes"),"Unacceptable Loss",IF(AND(P94='G-1 All Habitats'!$X$3,Y94="No"),AC94,IF(AND(P94='G-1 All Habitats'!$X$3,Y94=""),AC94,IF(AND(P94='G-1 All Habitats'!$X$3,AC94="None",AC94),IF(AND(P94='G-1 All Habitats'!$X$3,AC94&gt;0),H94-S94-T94))))))))</f>
        <v/>
      </c>
      <c r="X94" s="354" t="str">
        <f>IFERROR(IF(H94="","",IF(H94-S94-T94=0&lt;0,"Error in Areas",IF(S94+T94&gt;H94,"Error in Areas",IF(AND(P94='G-1 All Habitats'!$X$3,Y94="Yes"),"Alternative Compensation",IF(W94=0,0,IF(P94='G-1 All Habitats'!$X$3,"Unacceptable Loss",Q94-U94-V94)))))),"Check Data")</f>
        <v/>
      </c>
      <c r="Y94" s="82"/>
      <c r="Z94" s="182"/>
      <c r="AA94" s="183"/>
      <c r="AC94" s="371" t="str">
        <f>IF(P94="","",IF(P94='G-1 All Habitats'!$X$3,H94-S94-T94,"None"))</f>
        <v/>
      </c>
      <c r="AD94" s="372" t="str">
        <f t="shared" si="10"/>
        <v/>
      </c>
      <c r="AF94" s="188" t="str">
        <f t="shared" si="6"/>
        <v/>
      </c>
      <c r="AG94" s="188" t="str">
        <f t="shared" si="7"/>
        <v/>
      </c>
      <c r="AH94" s="188" t="str">
        <f>IF(I94="","",IF(#REF!&gt;0,TRUE,FALSE))</f>
        <v/>
      </c>
      <c r="AI94" s="188">
        <v>84</v>
      </c>
      <c r="AJ94" s="188"/>
      <c r="AK94" s="188" t="str">
        <f t="array" ref="AK94">IFERROR(INDEX($AI$11:$AI$259, MATCH(0, IF(TRUE=$AF$11:$AF$259, COUNTIF($AK$10:$AK93, $AI$11:$AI$259), ""), 0)),"")</f>
        <v/>
      </c>
      <c r="AL94" s="188" t="str">
        <f t="array" ref="AL94">IFERROR(INDEX($AI$11:$AI$259, MATCH(0, IF(TRUE=$AG$11:$AG$259, COUNTIF($AL$10:$AL93, $AI$11:$AI$259), ""), 0)),"")</f>
        <v/>
      </c>
      <c r="AM94" s="188" t="str">
        <f t="array" ref="AM94">IFERROR(INDEX($AI$11:$AI$259, MATCH(0, IF(TRUE=$AH$11:$AH$259, COUNTIF($AM$10:$AM93, $AI$11:$AI$259), ""), 0)),"")</f>
        <v/>
      </c>
      <c r="AQ94" s="35">
        <f t="shared" si="11"/>
        <v>0</v>
      </c>
    </row>
    <row r="95" spans="1:43" x14ac:dyDescent="0.25">
      <c r="A95" s="35" t="str">
        <f>IFERROR(INDEX('G-1 All Habitats'!$AG$3:$AG$15,MATCH(E95,'G-1 All Habitats'!$AF$3:$AF$15,0)),"")</f>
        <v/>
      </c>
      <c r="B95" s="35" t="str">
        <f>IFERROR(INDEX('G-8 Condition Look up'!$I$4:$I$131,MATCH(G95,'G-8 Condition Look up'!$A$4:$A$131,0)),"")</f>
        <v/>
      </c>
      <c r="D95" s="168">
        <v>85</v>
      </c>
      <c r="E95" s="275"/>
      <c r="F95" s="275"/>
      <c r="G95" s="370" t="str">
        <f>IFERROR(INDEX('G-1 All Habitats'!$B$3:$B$130,MATCH(F95,'G-1 All Habitats'!$A$3:$A$130,0)),"")</f>
        <v/>
      </c>
      <c r="H95" s="213"/>
      <c r="I95" s="171" t="str">
        <f>IF(G95="","",VLOOKUP(G95,'G-1 All Habitats'!$B$2:$M$130,10,FALSE))</f>
        <v/>
      </c>
      <c r="J95" s="172" t="str">
        <f>IFERROR(VLOOKUP(I95,'G-1 All Habitats'!$V$3:$W$7,2,FALSE),"")</f>
        <v/>
      </c>
      <c r="K95" s="173"/>
      <c r="L95" s="172" t="str">
        <f>IFERROR(INDEX('G-8 Condition Look up'!$A$3:$H$131,MATCH(G95,'G-8 Condition Look up'!$A$3:$A$131,0),MATCH(K95,'G-8 Condition Look up'!$A$3:$H$3,0)),"")</f>
        <v/>
      </c>
      <c r="M95" s="186"/>
      <c r="N95" s="175" t="str">
        <f>IF(M95="","",IF(VLOOKUP(M95,'G-3 Multipliers'!$L$3:$N$6,2,FALSE)=0,"Spatial Data Missing",VLOOKUP(M95,'G-3 Multipliers'!$L$3:$N$6,2,FALSE)))</f>
        <v/>
      </c>
      <c r="O95" s="176" t="str">
        <f>IF(M95="","",IF(VLOOKUP(M95,'G-3 Multipliers'!$L$3:$N$6,3,FALSE)=0,"Spatial Data Missing",VLOOKUP(M95,'G-3 Multipliers'!$L$3:$N$6,3,FALSE)))</f>
        <v/>
      </c>
      <c r="P95" s="177" t="str">
        <f>IFERROR(VLOOKUP(G95,'G-1 All Habitats'!$B$2:$M$130,12,FALSE),"")</f>
        <v/>
      </c>
      <c r="Q95" s="81" t="str">
        <f>IFERROR(IF(P95="","",IF(AND(P95='G-1 All Habitats'!$X$3,T95&gt;0),U95+V95,IF(AND(P95='G-1 All Habitats'!$X$3,S95&gt;0),U95+V95,IF(AND(P95='G-1 All Habitats'!$X$3,AC95&gt;0),"Any Loss Unacceptable",IF(AND(P95='G-1 All Habitats'!$X$3,W95&gt;0),"Any Loss Unacceptable",H95*J95*L95*O95))))),"Check Data")</f>
        <v/>
      </c>
      <c r="R95" s="55"/>
      <c r="S95" s="79"/>
      <c r="T95" s="82"/>
      <c r="U95" s="83" t="str">
        <f t="shared" si="8"/>
        <v/>
      </c>
      <c r="V95" s="83" t="str">
        <f t="shared" si="9"/>
        <v/>
      </c>
      <c r="W95" s="83" t="str">
        <f>IF(E95="","",IF(H95&lt;S95+T95,"Error in Areas",IF(P95&lt;&gt;'G-1 All Habitats'!$X$3,H95-S95-T95,IF(AND(P95='G-1 All Habitats'!$X$3,Y95="Yes"),"Unacceptable Loss",IF(AND(P95='G-1 All Habitats'!$X$3,Y95="No"),AC95,IF(AND(P95='G-1 All Habitats'!$X$3,Y95=""),AC95,IF(AND(P95='G-1 All Habitats'!$X$3,AC95="None",AC95),IF(AND(P95='G-1 All Habitats'!$X$3,AC95&gt;0),H95-S95-T95))))))))</f>
        <v/>
      </c>
      <c r="X95" s="354" t="str">
        <f>IFERROR(IF(H95="","",IF(H95-S95-T95=0&lt;0,"Error in Areas",IF(S95+T95&gt;H95,"Error in Areas",IF(AND(P95='G-1 All Habitats'!$X$3,Y95="Yes"),"Alternative Compensation",IF(W95=0,0,IF(P95='G-1 All Habitats'!$X$3,"Unacceptable Loss",Q95-U95-V95)))))),"Check Data")</f>
        <v/>
      </c>
      <c r="Y95" s="82"/>
      <c r="Z95" s="182"/>
      <c r="AA95" s="183"/>
      <c r="AC95" s="371" t="str">
        <f>IF(P95="","",IF(P95='G-1 All Habitats'!$X$3,H95-S95-T95,"None"))</f>
        <v/>
      </c>
      <c r="AD95" s="372" t="str">
        <f t="shared" si="10"/>
        <v/>
      </c>
      <c r="AF95" s="188" t="str">
        <f t="shared" si="6"/>
        <v/>
      </c>
      <c r="AG95" s="188" t="str">
        <f t="shared" si="7"/>
        <v/>
      </c>
      <c r="AH95" s="188" t="str">
        <f>IF(I95="","",IF(#REF!&gt;0,TRUE,FALSE))</f>
        <v/>
      </c>
      <c r="AI95" s="188">
        <v>85</v>
      </c>
      <c r="AJ95" s="188"/>
      <c r="AK95" s="188" t="str">
        <f t="array" ref="AK95">IFERROR(INDEX($AI$11:$AI$259, MATCH(0, IF(TRUE=$AF$11:$AF$259, COUNTIF($AK$10:$AK94, $AI$11:$AI$259), ""), 0)),"")</f>
        <v/>
      </c>
      <c r="AL95" s="188" t="str">
        <f t="array" ref="AL95">IFERROR(INDEX($AI$11:$AI$259, MATCH(0, IF(TRUE=$AG$11:$AG$259, COUNTIF($AL$10:$AL94, $AI$11:$AI$259), ""), 0)),"")</f>
        <v/>
      </c>
      <c r="AM95" s="188" t="str">
        <f t="array" ref="AM95">IFERROR(INDEX($AI$11:$AI$259, MATCH(0, IF(TRUE=$AH$11:$AH$259, COUNTIF($AM$10:$AM94, $AI$11:$AI$259), ""), 0)),"")</f>
        <v/>
      </c>
      <c r="AQ95" s="35">
        <f t="shared" si="11"/>
        <v>0</v>
      </c>
    </row>
    <row r="96" spans="1:43" x14ac:dyDescent="0.25">
      <c r="A96" s="35" t="str">
        <f>IFERROR(INDEX('G-1 All Habitats'!$AG$3:$AG$15,MATCH(E96,'G-1 All Habitats'!$AF$3:$AF$15,0)),"")</f>
        <v/>
      </c>
      <c r="B96" s="35" t="str">
        <f>IFERROR(INDEX('G-8 Condition Look up'!$I$4:$I$131,MATCH(G96,'G-8 Condition Look up'!$A$4:$A$131,0)),"")</f>
        <v/>
      </c>
      <c r="D96" s="168">
        <v>86</v>
      </c>
      <c r="E96" s="275"/>
      <c r="F96" s="275"/>
      <c r="G96" s="370" t="str">
        <f>IFERROR(INDEX('G-1 All Habitats'!$B$3:$B$130,MATCH(F96,'G-1 All Habitats'!$A$3:$A$130,0)),"")</f>
        <v/>
      </c>
      <c r="H96" s="213"/>
      <c r="I96" s="171" t="str">
        <f>IF(G96="","",VLOOKUP(G96,'G-1 All Habitats'!$B$2:$M$130,10,FALSE))</f>
        <v/>
      </c>
      <c r="J96" s="172" t="str">
        <f>IFERROR(VLOOKUP(I96,'G-1 All Habitats'!$V$3:$W$7,2,FALSE),"")</f>
        <v/>
      </c>
      <c r="K96" s="173"/>
      <c r="L96" s="172" t="str">
        <f>IFERROR(INDEX('G-8 Condition Look up'!$A$3:$H$131,MATCH(G96,'G-8 Condition Look up'!$A$3:$A$131,0),MATCH(K96,'G-8 Condition Look up'!$A$3:$H$3,0)),"")</f>
        <v/>
      </c>
      <c r="M96" s="186"/>
      <c r="N96" s="175" t="str">
        <f>IF(M96="","",IF(VLOOKUP(M96,'G-3 Multipliers'!$L$3:$N$6,2,FALSE)=0,"Spatial Data Missing",VLOOKUP(M96,'G-3 Multipliers'!$L$3:$N$6,2,FALSE)))</f>
        <v/>
      </c>
      <c r="O96" s="176" t="str">
        <f>IF(M96="","",IF(VLOOKUP(M96,'G-3 Multipliers'!$L$3:$N$6,3,FALSE)=0,"Spatial Data Missing",VLOOKUP(M96,'G-3 Multipliers'!$L$3:$N$6,3,FALSE)))</f>
        <v/>
      </c>
      <c r="P96" s="177" t="str">
        <f>IFERROR(VLOOKUP(G96,'G-1 All Habitats'!$B$2:$M$130,12,FALSE),"")</f>
        <v/>
      </c>
      <c r="Q96" s="81" t="str">
        <f>IFERROR(IF(P96="","",IF(AND(P96='G-1 All Habitats'!$X$3,T96&gt;0),U96+V96,IF(AND(P96='G-1 All Habitats'!$X$3,S96&gt;0),U96+V96,IF(AND(P96='G-1 All Habitats'!$X$3,AC96&gt;0),"Any Loss Unacceptable",IF(AND(P96='G-1 All Habitats'!$X$3,W96&gt;0),"Any Loss Unacceptable",H96*J96*L96*O96))))),"Check Data")</f>
        <v/>
      </c>
      <c r="R96" s="55"/>
      <c r="S96" s="79"/>
      <c r="T96" s="82"/>
      <c r="U96" s="83" t="str">
        <f t="shared" si="8"/>
        <v/>
      </c>
      <c r="V96" s="83" t="str">
        <f t="shared" si="9"/>
        <v/>
      </c>
      <c r="W96" s="83" t="str">
        <f>IF(E96="","",IF(H96&lt;S96+T96,"Error in Areas",IF(P96&lt;&gt;'G-1 All Habitats'!$X$3,H96-S96-T96,IF(AND(P96='G-1 All Habitats'!$X$3,Y96="Yes"),"Unacceptable Loss",IF(AND(P96='G-1 All Habitats'!$X$3,Y96="No"),AC96,IF(AND(P96='G-1 All Habitats'!$X$3,Y96=""),AC96,IF(AND(P96='G-1 All Habitats'!$X$3,AC96="None",AC96),IF(AND(P96='G-1 All Habitats'!$X$3,AC96&gt;0),H96-S96-T96))))))))</f>
        <v/>
      </c>
      <c r="X96" s="354" t="str">
        <f>IFERROR(IF(H96="","",IF(H96-S96-T96=0&lt;0,"Error in Areas",IF(S96+T96&gt;H96,"Error in Areas",IF(AND(P96='G-1 All Habitats'!$X$3,Y96="Yes"),"Alternative Compensation",IF(W96=0,0,IF(P96='G-1 All Habitats'!$X$3,"Unacceptable Loss",Q96-U96-V96)))))),"Check Data")</f>
        <v/>
      </c>
      <c r="Y96" s="82"/>
      <c r="Z96" s="182"/>
      <c r="AA96" s="183"/>
      <c r="AC96" s="371" t="str">
        <f>IF(P96="","",IF(P96='G-1 All Habitats'!$X$3,H96-S96-T96,"None"))</f>
        <v/>
      </c>
      <c r="AD96" s="372" t="str">
        <f t="shared" si="10"/>
        <v/>
      </c>
      <c r="AF96" s="188" t="str">
        <f t="shared" si="6"/>
        <v/>
      </c>
      <c r="AG96" s="188" t="str">
        <f t="shared" si="7"/>
        <v/>
      </c>
      <c r="AH96" s="188" t="str">
        <f>IF(I96="","",IF(#REF!&gt;0,TRUE,FALSE))</f>
        <v/>
      </c>
      <c r="AI96" s="188">
        <v>86</v>
      </c>
      <c r="AJ96" s="188"/>
      <c r="AK96" s="188" t="str">
        <f t="array" ref="AK96">IFERROR(INDEX($AI$11:$AI$259, MATCH(0, IF(TRUE=$AF$11:$AF$259, COUNTIF($AK$10:$AK95, $AI$11:$AI$259), ""), 0)),"")</f>
        <v/>
      </c>
      <c r="AL96" s="188" t="str">
        <f t="array" ref="AL96">IFERROR(INDEX($AI$11:$AI$259, MATCH(0, IF(TRUE=$AG$11:$AG$259, COUNTIF($AL$10:$AL95, $AI$11:$AI$259), ""), 0)),"")</f>
        <v/>
      </c>
      <c r="AM96" s="188" t="str">
        <f t="array" ref="AM96">IFERROR(INDEX($AI$11:$AI$259, MATCH(0, IF(TRUE=$AH$11:$AH$259, COUNTIF($AM$10:$AM95, $AI$11:$AI$259), ""), 0)),"")</f>
        <v/>
      </c>
      <c r="AQ96" s="35">
        <f t="shared" si="11"/>
        <v>0</v>
      </c>
    </row>
    <row r="97" spans="1:43" x14ac:dyDescent="0.25">
      <c r="A97" s="35" t="str">
        <f>IFERROR(INDEX('G-1 All Habitats'!$AG$3:$AG$15,MATCH(E97,'G-1 All Habitats'!$AF$3:$AF$15,0)),"")</f>
        <v/>
      </c>
      <c r="B97" s="35" t="str">
        <f>IFERROR(INDEX('G-8 Condition Look up'!$I$4:$I$131,MATCH(G97,'G-8 Condition Look up'!$A$4:$A$131,0)),"")</f>
        <v/>
      </c>
      <c r="D97" s="168">
        <v>87</v>
      </c>
      <c r="E97" s="275"/>
      <c r="F97" s="275"/>
      <c r="G97" s="370" t="str">
        <f>IFERROR(INDEX('G-1 All Habitats'!$B$3:$B$130,MATCH(F97,'G-1 All Habitats'!$A$3:$A$130,0)),"")</f>
        <v/>
      </c>
      <c r="H97" s="213"/>
      <c r="I97" s="171" t="str">
        <f>IF(G97="","",VLOOKUP(G97,'G-1 All Habitats'!$B$2:$M$130,10,FALSE))</f>
        <v/>
      </c>
      <c r="J97" s="172" t="str">
        <f>IFERROR(VLOOKUP(I97,'G-1 All Habitats'!$V$3:$W$7,2,FALSE),"")</f>
        <v/>
      </c>
      <c r="K97" s="173"/>
      <c r="L97" s="172" t="str">
        <f>IFERROR(INDEX('G-8 Condition Look up'!$A$3:$H$131,MATCH(G97,'G-8 Condition Look up'!$A$3:$A$131,0),MATCH(K97,'G-8 Condition Look up'!$A$3:$H$3,0)),"")</f>
        <v/>
      </c>
      <c r="M97" s="186"/>
      <c r="N97" s="175" t="str">
        <f>IF(M97="","",IF(VLOOKUP(M97,'G-3 Multipliers'!$L$3:$N$6,2,FALSE)=0,"Spatial Data Missing",VLOOKUP(M97,'G-3 Multipliers'!$L$3:$N$6,2,FALSE)))</f>
        <v/>
      </c>
      <c r="O97" s="176" t="str">
        <f>IF(M97="","",IF(VLOOKUP(M97,'G-3 Multipliers'!$L$3:$N$6,3,FALSE)=0,"Spatial Data Missing",VLOOKUP(M97,'G-3 Multipliers'!$L$3:$N$6,3,FALSE)))</f>
        <v/>
      </c>
      <c r="P97" s="177" t="str">
        <f>IFERROR(VLOOKUP(G97,'G-1 All Habitats'!$B$2:$M$130,12,FALSE),"")</f>
        <v/>
      </c>
      <c r="Q97" s="81" t="str">
        <f>IFERROR(IF(P97="","",IF(AND(P97='G-1 All Habitats'!$X$3,T97&gt;0),U97+V97,IF(AND(P97='G-1 All Habitats'!$X$3,S97&gt;0),U97+V97,IF(AND(P97='G-1 All Habitats'!$X$3,AC97&gt;0),"Any Loss Unacceptable",IF(AND(P97='G-1 All Habitats'!$X$3,W97&gt;0),"Any Loss Unacceptable",H97*J97*L97*O97))))),"Check Data")</f>
        <v/>
      </c>
      <c r="R97" s="55"/>
      <c r="S97" s="79"/>
      <c r="T97" s="82"/>
      <c r="U97" s="83" t="str">
        <f t="shared" si="8"/>
        <v/>
      </c>
      <c r="V97" s="83" t="str">
        <f t="shared" si="9"/>
        <v/>
      </c>
      <c r="W97" s="83" t="str">
        <f>IF(E97="","",IF(H97&lt;S97+T97,"Error in Areas",IF(P97&lt;&gt;'G-1 All Habitats'!$X$3,H97-S97-T97,IF(AND(P97='G-1 All Habitats'!$X$3,Y97="Yes"),"Unacceptable Loss",IF(AND(P97='G-1 All Habitats'!$X$3,Y97="No"),AC97,IF(AND(P97='G-1 All Habitats'!$X$3,Y97=""),AC97,IF(AND(P97='G-1 All Habitats'!$X$3,AC97="None",AC97),IF(AND(P97='G-1 All Habitats'!$X$3,AC97&gt;0),H97-S97-T97))))))))</f>
        <v/>
      </c>
      <c r="X97" s="354" t="str">
        <f>IFERROR(IF(H97="","",IF(H97-S97-T97=0&lt;0,"Error in Areas",IF(S97+T97&gt;H97,"Error in Areas",IF(AND(P97='G-1 All Habitats'!$X$3,Y97="Yes"),"Alternative Compensation",IF(W97=0,0,IF(P97='G-1 All Habitats'!$X$3,"Unacceptable Loss",Q97-U97-V97)))))),"Check Data")</f>
        <v/>
      </c>
      <c r="Y97" s="82"/>
      <c r="Z97" s="182"/>
      <c r="AA97" s="183"/>
      <c r="AC97" s="371" t="str">
        <f>IF(P97="","",IF(P97='G-1 All Habitats'!$X$3,H97-S97-T97,"None"))</f>
        <v/>
      </c>
      <c r="AD97" s="372" t="str">
        <f t="shared" si="10"/>
        <v/>
      </c>
      <c r="AF97" s="188" t="str">
        <f t="shared" si="6"/>
        <v/>
      </c>
      <c r="AG97" s="188" t="str">
        <f t="shared" si="7"/>
        <v/>
      </c>
      <c r="AH97" s="188" t="str">
        <f>IF(I97="","",IF(#REF!&gt;0,TRUE,FALSE))</f>
        <v/>
      </c>
      <c r="AI97" s="188">
        <v>87</v>
      </c>
      <c r="AJ97" s="188"/>
      <c r="AK97" s="188" t="str">
        <f t="array" ref="AK97">IFERROR(INDEX($AI$11:$AI$259, MATCH(0, IF(TRUE=$AF$11:$AF$259, COUNTIF($AK$10:$AK96, $AI$11:$AI$259), ""), 0)),"")</f>
        <v/>
      </c>
      <c r="AL97" s="188" t="str">
        <f t="array" ref="AL97">IFERROR(INDEX($AI$11:$AI$259, MATCH(0, IF(TRUE=$AG$11:$AG$259, COUNTIF($AL$10:$AL96, $AI$11:$AI$259), ""), 0)),"")</f>
        <v/>
      </c>
      <c r="AM97" s="188" t="str">
        <f t="array" ref="AM97">IFERROR(INDEX($AI$11:$AI$259, MATCH(0, IF(TRUE=$AH$11:$AH$259, COUNTIF($AM$10:$AM96, $AI$11:$AI$259), ""), 0)),"")</f>
        <v/>
      </c>
      <c r="AQ97" s="35">
        <f t="shared" si="11"/>
        <v>0</v>
      </c>
    </row>
    <row r="98" spans="1:43" x14ac:dyDescent="0.25">
      <c r="A98" s="35" t="str">
        <f>IFERROR(INDEX('G-1 All Habitats'!$AG$3:$AG$15,MATCH(E98,'G-1 All Habitats'!$AF$3:$AF$15,0)),"")</f>
        <v/>
      </c>
      <c r="B98" s="35" t="str">
        <f>IFERROR(INDEX('G-8 Condition Look up'!$I$4:$I$131,MATCH(G98,'G-8 Condition Look up'!$A$4:$A$131,0)),"")</f>
        <v/>
      </c>
      <c r="D98" s="168">
        <v>88</v>
      </c>
      <c r="E98" s="275"/>
      <c r="F98" s="275"/>
      <c r="G98" s="370" t="str">
        <f>IFERROR(INDEX('G-1 All Habitats'!$B$3:$B$130,MATCH(F98,'G-1 All Habitats'!$A$3:$A$130,0)),"")</f>
        <v/>
      </c>
      <c r="H98" s="213"/>
      <c r="I98" s="171" t="str">
        <f>IF(G98="","",VLOOKUP(G98,'G-1 All Habitats'!$B$2:$M$130,10,FALSE))</f>
        <v/>
      </c>
      <c r="J98" s="172" t="str">
        <f>IFERROR(VLOOKUP(I98,'G-1 All Habitats'!$V$3:$W$7,2,FALSE),"")</f>
        <v/>
      </c>
      <c r="K98" s="173"/>
      <c r="L98" s="172" t="str">
        <f>IFERROR(INDEX('G-8 Condition Look up'!$A$3:$H$131,MATCH(G98,'G-8 Condition Look up'!$A$3:$A$131,0),MATCH(K98,'G-8 Condition Look up'!$A$3:$H$3,0)),"")</f>
        <v/>
      </c>
      <c r="M98" s="186"/>
      <c r="N98" s="175" t="str">
        <f>IF(M98="","",IF(VLOOKUP(M98,'G-3 Multipliers'!$L$3:$N$6,2,FALSE)=0,"Spatial Data Missing",VLOOKUP(M98,'G-3 Multipliers'!$L$3:$N$6,2,FALSE)))</f>
        <v/>
      </c>
      <c r="O98" s="176" t="str">
        <f>IF(M98="","",IF(VLOOKUP(M98,'G-3 Multipliers'!$L$3:$N$6,3,FALSE)=0,"Spatial Data Missing",VLOOKUP(M98,'G-3 Multipliers'!$L$3:$N$6,3,FALSE)))</f>
        <v/>
      </c>
      <c r="P98" s="177" t="str">
        <f>IFERROR(VLOOKUP(G98,'G-1 All Habitats'!$B$2:$M$130,12,FALSE),"")</f>
        <v/>
      </c>
      <c r="Q98" s="81" t="str">
        <f>IFERROR(IF(P98="","",IF(AND(P98='G-1 All Habitats'!$X$3,T98&gt;0),U98+V98,IF(AND(P98='G-1 All Habitats'!$X$3,S98&gt;0),U98+V98,IF(AND(P98='G-1 All Habitats'!$X$3,AC98&gt;0),"Any Loss Unacceptable",IF(AND(P98='G-1 All Habitats'!$X$3,W98&gt;0),"Any Loss Unacceptable",H98*J98*L98*O98))))),"Check Data")</f>
        <v/>
      </c>
      <c r="R98" s="55"/>
      <c r="S98" s="79"/>
      <c r="T98" s="82"/>
      <c r="U98" s="83" t="str">
        <f t="shared" si="8"/>
        <v/>
      </c>
      <c r="V98" s="83" t="str">
        <f t="shared" si="9"/>
        <v/>
      </c>
      <c r="W98" s="83" t="str">
        <f>IF(E98="","",IF(H98&lt;S98+T98,"Error in Areas",IF(P98&lt;&gt;'G-1 All Habitats'!$X$3,H98-S98-T98,IF(AND(P98='G-1 All Habitats'!$X$3,Y98="Yes"),"Unacceptable Loss",IF(AND(P98='G-1 All Habitats'!$X$3,Y98="No"),AC98,IF(AND(P98='G-1 All Habitats'!$X$3,Y98=""),AC98,IF(AND(P98='G-1 All Habitats'!$X$3,AC98="None",AC98),IF(AND(P98='G-1 All Habitats'!$X$3,AC98&gt;0),H98-S98-T98))))))))</f>
        <v/>
      </c>
      <c r="X98" s="354" t="str">
        <f>IFERROR(IF(H98="","",IF(H98-S98-T98=0&lt;0,"Error in Areas",IF(S98+T98&gt;H98,"Error in Areas",IF(AND(P98='G-1 All Habitats'!$X$3,Y98="Yes"),"Alternative Compensation",IF(W98=0,0,IF(P98='G-1 All Habitats'!$X$3,"Unacceptable Loss",Q98-U98-V98)))))),"Check Data")</f>
        <v/>
      </c>
      <c r="Y98" s="82"/>
      <c r="Z98" s="182"/>
      <c r="AA98" s="183"/>
      <c r="AC98" s="371" t="str">
        <f>IF(P98="","",IF(P98='G-1 All Habitats'!$X$3,H98-S98-T98,"None"))</f>
        <v/>
      </c>
      <c r="AD98" s="372" t="str">
        <f t="shared" si="10"/>
        <v/>
      </c>
      <c r="AF98" s="188" t="str">
        <f t="shared" si="6"/>
        <v/>
      </c>
      <c r="AG98" s="188" t="str">
        <f t="shared" si="7"/>
        <v/>
      </c>
      <c r="AH98" s="188" t="str">
        <f>IF(I98="","",IF(#REF!&gt;0,TRUE,FALSE))</f>
        <v/>
      </c>
      <c r="AI98" s="188">
        <v>88</v>
      </c>
      <c r="AJ98" s="188"/>
      <c r="AK98" s="188" t="str">
        <f t="array" ref="AK98">IFERROR(INDEX($AI$11:$AI$259, MATCH(0, IF(TRUE=$AF$11:$AF$259, COUNTIF($AK$10:$AK97, $AI$11:$AI$259), ""), 0)),"")</f>
        <v/>
      </c>
      <c r="AL98" s="188" t="str">
        <f t="array" ref="AL98">IFERROR(INDEX($AI$11:$AI$259, MATCH(0, IF(TRUE=$AG$11:$AG$259, COUNTIF($AL$10:$AL97, $AI$11:$AI$259), ""), 0)),"")</f>
        <v/>
      </c>
      <c r="AM98" s="188" t="str">
        <f t="array" ref="AM98">IFERROR(INDEX($AI$11:$AI$259, MATCH(0, IF(TRUE=$AH$11:$AH$259, COUNTIF($AM$10:$AM97, $AI$11:$AI$259), ""), 0)),"")</f>
        <v/>
      </c>
      <c r="AQ98" s="35">
        <f t="shared" si="11"/>
        <v>0</v>
      </c>
    </row>
    <row r="99" spans="1:43" x14ac:dyDescent="0.25">
      <c r="A99" s="35" t="str">
        <f>IFERROR(INDEX('G-1 All Habitats'!$AG$3:$AG$15,MATCH(E99,'G-1 All Habitats'!$AF$3:$AF$15,0)),"")</f>
        <v/>
      </c>
      <c r="B99" s="35" t="str">
        <f>IFERROR(INDEX('G-8 Condition Look up'!$I$4:$I$131,MATCH(G99,'G-8 Condition Look up'!$A$4:$A$131,0)),"")</f>
        <v/>
      </c>
      <c r="D99" s="168">
        <v>89</v>
      </c>
      <c r="E99" s="275"/>
      <c r="F99" s="275"/>
      <c r="G99" s="370" t="str">
        <f>IFERROR(INDEX('G-1 All Habitats'!$B$3:$B$130,MATCH(F99,'G-1 All Habitats'!$A$3:$A$130,0)),"")</f>
        <v/>
      </c>
      <c r="H99" s="213"/>
      <c r="I99" s="171" t="str">
        <f>IF(G99="","",VLOOKUP(G99,'G-1 All Habitats'!$B$2:$M$130,10,FALSE))</f>
        <v/>
      </c>
      <c r="J99" s="172" t="str">
        <f>IFERROR(VLOOKUP(I99,'G-1 All Habitats'!$V$3:$W$7,2,FALSE),"")</f>
        <v/>
      </c>
      <c r="K99" s="173"/>
      <c r="L99" s="172" t="str">
        <f>IFERROR(INDEX('G-8 Condition Look up'!$A$3:$H$131,MATCH(G99,'G-8 Condition Look up'!$A$3:$A$131,0),MATCH(K99,'G-8 Condition Look up'!$A$3:$H$3,0)),"")</f>
        <v/>
      </c>
      <c r="M99" s="186"/>
      <c r="N99" s="175" t="str">
        <f>IF(M99="","",IF(VLOOKUP(M99,'G-3 Multipliers'!$L$3:$N$6,2,FALSE)=0,"Spatial Data Missing",VLOOKUP(M99,'G-3 Multipliers'!$L$3:$N$6,2,FALSE)))</f>
        <v/>
      </c>
      <c r="O99" s="176" t="str">
        <f>IF(M99="","",IF(VLOOKUP(M99,'G-3 Multipliers'!$L$3:$N$6,3,FALSE)=0,"Spatial Data Missing",VLOOKUP(M99,'G-3 Multipliers'!$L$3:$N$6,3,FALSE)))</f>
        <v/>
      </c>
      <c r="P99" s="177" t="str">
        <f>IFERROR(VLOOKUP(G99,'G-1 All Habitats'!$B$2:$M$130,12,FALSE),"")</f>
        <v/>
      </c>
      <c r="Q99" s="81" t="str">
        <f>IFERROR(IF(P99="","",IF(AND(P99='G-1 All Habitats'!$X$3,T99&gt;0),U99+V99,IF(AND(P99='G-1 All Habitats'!$X$3,S99&gt;0),U99+V99,IF(AND(P99='G-1 All Habitats'!$X$3,AC99&gt;0),"Any Loss Unacceptable",IF(AND(P99='G-1 All Habitats'!$X$3,W99&gt;0),"Any Loss Unacceptable",H99*J99*L99*O99))))),"Check Data")</f>
        <v/>
      </c>
      <c r="R99" s="55"/>
      <c r="S99" s="79"/>
      <c r="T99" s="82"/>
      <c r="U99" s="83" t="str">
        <f t="shared" si="8"/>
        <v/>
      </c>
      <c r="V99" s="83" t="str">
        <f t="shared" si="9"/>
        <v/>
      </c>
      <c r="W99" s="83" t="str">
        <f>IF(E99="","",IF(H99&lt;S99+T99,"Error in Areas",IF(P99&lt;&gt;'G-1 All Habitats'!$X$3,H99-S99-T99,IF(AND(P99='G-1 All Habitats'!$X$3,Y99="Yes"),"Unacceptable Loss",IF(AND(P99='G-1 All Habitats'!$X$3,Y99="No"),AC99,IF(AND(P99='G-1 All Habitats'!$X$3,Y99=""),AC99,IF(AND(P99='G-1 All Habitats'!$X$3,AC99="None",AC99),IF(AND(P99='G-1 All Habitats'!$X$3,AC99&gt;0),H99-S99-T99))))))))</f>
        <v/>
      </c>
      <c r="X99" s="354" t="str">
        <f>IFERROR(IF(H99="","",IF(H99-S99-T99=0&lt;0,"Error in Areas",IF(S99+T99&gt;H99,"Error in Areas",IF(AND(P99='G-1 All Habitats'!$X$3,Y99="Yes"),"Alternative Compensation",IF(W99=0,0,IF(P99='G-1 All Habitats'!$X$3,"Unacceptable Loss",Q99-U99-V99)))))),"Check Data")</f>
        <v/>
      </c>
      <c r="Y99" s="82"/>
      <c r="Z99" s="182"/>
      <c r="AA99" s="183"/>
      <c r="AC99" s="371" t="str">
        <f>IF(P99="","",IF(P99='G-1 All Habitats'!$X$3,H99-S99-T99,"None"))</f>
        <v/>
      </c>
      <c r="AD99" s="372" t="str">
        <f t="shared" si="10"/>
        <v/>
      </c>
      <c r="AF99" s="188" t="str">
        <f t="shared" si="6"/>
        <v/>
      </c>
      <c r="AG99" s="188" t="str">
        <f t="shared" si="7"/>
        <v/>
      </c>
      <c r="AH99" s="188" t="str">
        <f>IF(I99="","",IF(#REF!&gt;0,TRUE,FALSE))</f>
        <v/>
      </c>
      <c r="AI99" s="188">
        <v>89</v>
      </c>
      <c r="AJ99" s="188"/>
      <c r="AK99" s="188" t="str">
        <f t="array" ref="AK99">IFERROR(INDEX($AI$11:$AI$259, MATCH(0, IF(TRUE=$AF$11:$AF$259, COUNTIF($AK$10:$AK98, $AI$11:$AI$259), ""), 0)),"")</f>
        <v/>
      </c>
      <c r="AL99" s="188" t="str">
        <f t="array" ref="AL99">IFERROR(INDEX($AI$11:$AI$259, MATCH(0, IF(TRUE=$AG$11:$AG$259, COUNTIF($AL$10:$AL98, $AI$11:$AI$259), ""), 0)),"")</f>
        <v/>
      </c>
      <c r="AM99" s="188" t="str">
        <f t="array" ref="AM99">IFERROR(INDEX($AI$11:$AI$259, MATCH(0, IF(TRUE=$AH$11:$AH$259, COUNTIF($AM$10:$AM98, $AI$11:$AI$259), ""), 0)),"")</f>
        <v/>
      </c>
      <c r="AQ99" s="35">
        <f t="shared" si="11"/>
        <v>0</v>
      </c>
    </row>
    <row r="100" spans="1:43" x14ac:dyDescent="0.25">
      <c r="A100" s="35" t="str">
        <f>IFERROR(INDEX('G-1 All Habitats'!$AG$3:$AG$15,MATCH(E100,'G-1 All Habitats'!$AF$3:$AF$15,0)),"")</f>
        <v/>
      </c>
      <c r="B100" s="35" t="str">
        <f>IFERROR(INDEX('G-8 Condition Look up'!$I$4:$I$131,MATCH(G100,'G-8 Condition Look up'!$A$4:$A$131,0)),"")</f>
        <v/>
      </c>
      <c r="D100" s="168">
        <v>90</v>
      </c>
      <c r="E100" s="275"/>
      <c r="F100" s="275"/>
      <c r="G100" s="370" t="str">
        <f>IFERROR(INDEX('G-1 All Habitats'!$B$3:$B$130,MATCH(F100,'G-1 All Habitats'!$A$3:$A$130,0)),"")</f>
        <v/>
      </c>
      <c r="H100" s="213"/>
      <c r="I100" s="171" t="str">
        <f>IF(G100="","",VLOOKUP(G100,'G-1 All Habitats'!$B$2:$M$130,10,FALSE))</f>
        <v/>
      </c>
      <c r="J100" s="172" t="str">
        <f>IFERROR(VLOOKUP(I100,'G-1 All Habitats'!$V$3:$W$7,2,FALSE),"")</f>
        <v/>
      </c>
      <c r="K100" s="173"/>
      <c r="L100" s="172" t="str">
        <f>IFERROR(INDEX('G-8 Condition Look up'!$A$3:$H$131,MATCH(G100,'G-8 Condition Look up'!$A$3:$A$131,0),MATCH(K100,'G-8 Condition Look up'!$A$3:$H$3,0)),"")</f>
        <v/>
      </c>
      <c r="M100" s="186"/>
      <c r="N100" s="175" t="str">
        <f>IF(M100="","",IF(VLOOKUP(M100,'G-3 Multipliers'!$L$3:$N$6,2,FALSE)=0,"Spatial Data Missing",VLOOKUP(M100,'G-3 Multipliers'!$L$3:$N$6,2,FALSE)))</f>
        <v/>
      </c>
      <c r="O100" s="176" t="str">
        <f>IF(M100="","",IF(VLOOKUP(M100,'G-3 Multipliers'!$L$3:$N$6,3,FALSE)=0,"Spatial Data Missing",VLOOKUP(M100,'G-3 Multipliers'!$L$3:$N$6,3,FALSE)))</f>
        <v/>
      </c>
      <c r="P100" s="177" t="str">
        <f>IFERROR(VLOOKUP(G100,'G-1 All Habitats'!$B$2:$M$130,12,FALSE),"")</f>
        <v/>
      </c>
      <c r="Q100" s="81" t="str">
        <f>IFERROR(IF(P100="","",IF(AND(P100='G-1 All Habitats'!$X$3,T100&gt;0),U100+V100,IF(AND(P100='G-1 All Habitats'!$X$3,S100&gt;0),U100+V100,IF(AND(P100='G-1 All Habitats'!$X$3,AC100&gt;0),"Any Loss Unacceptable",IF(AND(P100='G-1 All Habitats'!$X$3,W100&gt;0),"Any Loss Unacceptable",H100*J100*L100*O100))))),"Check Data")</f>
        <v/>
      </c>
      <c r="R100" s="55"/>
      <c r="S100" s="79"/>
      <c r="T100" s="82"/>
      <c r="U100" s="83" t="str">
        <f t="shared" si="8"/>
        <v/>
      </c>
      <c r="V100" s="83" t="str">
        <f t="shared" si="9"/>
        <v/>
      </c>
      <c r="W100" s="83" t="str">
        <f>IF(E100="","",IF(H100&lt;S100+T100,"Error in Areas",IF(P100&lt;&gt;'G-1 All Habitats'!$X$3,H100-S100-T100,IF(AND(P100='G-1 All Habitats'!$X$3,Y100="Yes"),"Unacceptable Loss",IF(AND(P100='G-1 All Habitats'!$X$3,Y100="No"),AC100,IF(AND(P100='G-1 All Habitats'!$X$3,Y100=""),AC100,IF(AND(P100='G-1 All Habitats'!$X$3,AC100="None",AC100),IF(AND(P100='G-1 All Habitats'!$X$3,AC100&gt;0),H100-S100-T100))))))))</f>
        <v/>
      </c>
      <c r="X100" s="354" t="str">
        <f>IFERROR(IF(H100="","",IF(H100-S100-T100=0&lt;0,"Error in Areas",IF(S100+T100&gt;H100,"Error in Areas",IF(AND(P100='G-1 All Habitats'!$X$3,Y100="Yes"),"Alternative Compensation",IF(W100=0,0,IF(P100='G-1 All Habitats'!$X$3,"Unacceptable Loss",Q100-U100-V100)))))),"Check Data")</f>
        <v/>
      </c>
      <c r="Y100" s="82"/>
      <c r="Z100" s="182"/>
      <c r="AA100" s="183"/>
      <c r="AC100" s="371" t="str">
        <f>IF(P100="","",IF(P100='G-1 All Habitats'!$X$3,H100-S100-T100,"None"))</f>
        <v/>
      </c>
      <c r="AD100" s="372" t="str">
        <f t="shared" si="10"/>
        <v/>
      </c>
      <c r="AF100" s="188" t="str">
        <f t="shared" si="6"/>
        <v/>
      </c>
      <c r="AG100" s="188" t="str">
        <f t="shared" si="7"/>
        <v/>
      </c>
      <c r="AH100" s="188" t="str">
        <f>IF(I100="","",IF(#REF!&gt;0,TRUE,FALSE))</f>
        <v/>
      </c>
      <c r="AI100" s="188">
        <v>90</v>
      </c>
      <c r="AJ100" s="188"/>
      <c r="AK100" s="188" t="str">
        <f t="array" ref="AK100">IFERROR(INDEX($AI$11:$AI$259, MATCH(0, IF(TRUE=$AF$11:$AF$259, COUNTIF($AK$10:$AK99, $AI$11:$AI$259), ""), 0)),"")</f>
        <v/>
      </c>
      <c r="AL100" s="188" t="str">
        <f t="array" ref="AL100">IFERROR(INDEX($AI$11:$AI$259, MATCH(0, IF(TRUE=$AG$11:$AG$259, COUNTIF($AL$10:$AL99, $AI$11:$AI$259), ""), 0)),"")</f>
        <v/>
      </c>
      <c r="AM100" s="188" t="str">
        <f t="array" ref="AM100">IFERROR(INDEX($AI$11:$AI$259, MATCH(0, IF(TRUE=$AH$11:$AH$259, COUNTIF($AM$10:$AM99, $AI$11:$AI$259), ""), 0)),"")</f>
        <v/>
      </c>
      <c r="AQ100" s="35">
        <f t="shared" si="11"/>
        <v>0</v>
      </c>
    </row>
    <row r="101" spans="1:43" x14ac:dyDescent="0.25">
      <c r="A101" s="35" t="str">
        <f>IFERROR(INDEX('G-1 All Habitats'!$AG$3:$AG$15,MATCH(E101,'G-1 All Habitats'!$AF$3:$AF$15,0)),"")</f>
        <v/>
      </c>
      <c r="B101" s="35" t="str">
        <f>IFERROR(INDEX('G-8 Condition Look up'!$I$4:$I$131,MATCH(G101,'G-8 Condition Look up'!$A$4:$A$131,0)),"")</f>
        <v/>
      </c>
      <c r="D101" s="168">
        <v>91</v>
      </c>
      <c r="E101" s="275"/>
      <c r="F101" s="275"/>
      <c r="G101" s="370" t="str">
        <f>IFERROR(INDEX('G-1 All Habitats'!$B$3:$B$130,MATCH(F101,'G-1 All Habitats'!$A$3:$A$130,0)),"")</f>
        <v/>
      </c>
      <c r="H101" s="213"/>
      <c r="I101" s="171" t="str">
        <f>IF(G101="","",VLOOKUP(G101,'G-1 All Habitats'!$B$2:$M$130,10,FALSE))</f>
        <v/>
      </c>
      <c r="J101" s="172" t="str">
        <f>IFERROR(VLOOKUP(I101,'G-1 All Habitats'!$V$3:$W$7,2,FALSE),"")</f>
        <v/>
      </c>
      <c r="K101" s="173"/>
      <c r="L101" s="172" t="str">
        <f>IFERROR(INDEX('G-8 Condition Look up'!$A$3:$H$131,MATCH(G101,'G-8 Condition Look up'!$A$3:$A$131,0),MATCH(K101,'G-8 Condition Look up'!$A$3:$H$3,0)),"")</f>
        <v/>
      </c>
      <c r="M101" s="186"/>
      <c r="N101" s="175" t="str">
        <f>IF(M101="","",IF(VLOOKUP(M101,'G-3 Multipliers'!$L$3:$N$6,2,FALSE)=0,"Spatial Data Missing",VLOOKUP(M101,'G-3 Multipliers'!$L$3:$N$6,2,FALSE)))</f>
        <v/>
      </c>
      <c r="O101" s="176" t="str">
        <f>IF(M101="","",IF(VLOOKUP(M101,'G-3 Multipliers'!$L$3:$N$6,3,FALSE)=0,"Spatial Data Missing",VLOOKUP(M101,'G-3 Multipliers'!$L$3:$N$6,3,FALSE)))</f>
        <v/>
      </c>
      <c r="P101" s="177" t="str">
        <f>IFERROR(VLOOKUP(G101,'G-1 All Habitats'!$B$2:$M$130,12,FALSE),"")</f>
        <v/>
      </c>
      <c r="Q101" s="81" t="str">
        <f>IFERROR(IF(P101="","",IF(AND(P101='G-1 All Habitats'!$X$3,T101&gt;0),U101+V101,IF(AND(P101='G-1 All Habitats'!$X$3,S101&gt;0),U101+V101,IF(AND(P101='G-1 All Habitats'!$X$3,AC101&gt;0),"Any Loss Unacceptable",IF(AND(P101='G-1 All Habitats'!$X$3,W101&gt;0),"Any Loss Unacceptable",H101*J101*L101*O101))))),"Check Data")</f>
        <v/>
      </c>
      <c r="R101" s="55"/>
      <c r="S101" s="79"/>
      <c r="T101" s="82"/>
      <c r="U101" s="83" t="str">
        <f t="shared" si="8"/>
        <v/>
      </c>
      <c r="V101" s="83" t="str">
        <f t="shared" si="9"/>
        <v/>
      </c>
      <c r="W101" s="83" t="str">
        <f>IF(E101="","",IF(H101&lt;S101+T101,"Error in Areas",IF(P101&lt;&gt;'G-1 All Habitats'!$X$3,H101-S101-T101,IF(AND(P101='G-1 All Habitats'!$X$3,Y101="Yes"),"Unacceptable Loss",IF(AND(P101='G-1 All Habitats'!$X$3,Y101="No"),AC101,IF(AND(P101='G-1 All Habitats'!$X$3,Y101=""),AC101,IF(AND(P101='G-1 All Habitats'!$X$3,AC101="None",AC101),IF(AND(P101='G-1 All Habitats'!$X$3,AC101&gt;0),H101-S101-T101))))))))</f>
        <v/>
      </c>
      <c r="X101" s="354" t="str">
        <f>IFERROR(IF(H101="","",IF(H101-S101-T101=0&lt;0,"Error in Areas",IF(S101+T101&gt;H101,"Error in Areas",IF(AND(P101='G-1 All Habitats'!$X$3,Y101="Yes"),"Alternative Compensation",IF(W101=0,0,IF(P101='G-1 All Habitats'!$X$3,"Unacceptable Loss",Q101-U101-V101)))))),"Check Data")</f>
        <v/>
      </c>
      <c r="Y101" s="82"/>
      <c r="Z101" s="182"/>
      <c r="AA101" s="183"/>
      <c r="AC101" s="371" t="str">
        <f>IF(P101="","",IF(P101='G-1 All Habitats'!$X$3,H101-S101-T101,"None"))</f>
        <v/>
      </c>
      <c r="AD101" s="372" t="str">
        <f t="shared" si="10"/>
        <v/>
      </c>
      <c r="AF101" s="188" t="str">
        <f t="shared" si="6"/>
        <v/>
      </c>
      <c r="AG101" s="188" t="str">
        <f t="shared" si="7"/>
        <v/>
      </c>
      <c r="AH101" s="188" t="str">
        <f>IF(I101="","",IF(#REF!&gt;0,TRUE,FALSE))</f>
        <v/>
      </c>
      <c r="AI101" s="188">
        <v>91</v>
      </c>
      <c r="AJ101" s="188"/>
      <c r="AK101" s="188" t="str">
        <f t="array" ref="AK101">IFERROR(INDEX($AI$11:$AI$259, MATCH(0, IF(TRUE=$AF$11:$AF$259, COUNTIF($AK$10:$AK100, $AI$11:$AI$259), ""), 0)),"")</f>
        <v/>
      </c>
      <c r="AL101" s="188" t="str">
        <f t="array" ref="AL101">IFERROR(INDEX($AI$11:$AI$259, MATCH(0, IF(TRUE=$AG$11:$AG$259, COUNTIF($AL$10:$AL100, $AI$11:$AI$259), ""), 0)),"")</f>
        <v/>
      </c>
      <c r="AM101" s="188" t="str">
        <f t="array" ref="AM101">IFERROR(INDEX($AI$11:$AI$259, MATCH(0, IF(TRUE=$AH$11:$AH$259, COUNTIF($AM$10:$AM100, $AI$11:$AI$259), ""), 0)),"")</f>
        <v/>
      </c>
      <c r="AQ101" s="35">
        <f t="shared" si="11"/>
        <v>0</v>
      </c>
    </row>
    <row r="102" spans="1:43" x14ac:dyDescent="0.25">
      <c r="A102" s="35" t="str">
        <f>IFERROR(INDEX('G-1 All Habitats'!$AG$3:$AG$15,MATCH(E102,'G-1 All Habitats'!$AF$3:$AF$15,0)),"")</f>
        <v/>
      </c>
      <c r="B102" s="35" t="str">
        <f>IFERROR(INDEX('G-8 Condition Look up'!$I$4:$I$131,MATCH(G102,'G-8 Condition Look up'!$A$4:$A$131,0)),"")</f>
        <v/>
      </c>
      <c r="D102" s="168">
        <v>92</v>
      </c>
      <c r="E102" s="275"/>
      <c r="F102" s="275"/>
      <c r="G102" s="370" t="str">
        <f>IFERROR(INDEX('G-1 All Habitats'!$B$3:$B$130,MATCH(F102,'G-1 All Habitats'!$A$3:$A$130,0)),"")</f>
        <v/>
      </c>
      <c r="H102" s="213"/>
      <c r="I102" s="171" t="str">
        <f>IF(G102="","",VLOOKUP(G102,'G-1 All Habitats'!$B$2:$M$130,10,FALSE))</f>
        <v/>
      </c>
      <c r="J102" s="172" t="str">
        <f>IFERROR(VLOOKUP(I102,'G-1 All Habitats'!$V$3:$W$7,2,FALSE),"")</f>
        <v/>
      </c>
      <c r="K102" s="173"/>
      <c r="L102" s="172" t="str">
        <f>IFERROR(INDEX('G-8 Condition Look up'!$A$3:$H$131,MATCH(G102,'G-8 Condition Look up'!$A$3:$A$131,0),MATCH(K102,'G-8 Condition Look up'!$A$3:$H$3,0)),"")</f>
        <v/>
      </c>
      <c r="M102" s="186"/>
      <c r="N102" s="175" t="str">
        <f>IF(M102="","",IF(VLOOKUP(M102,'G-3 Multipliers'!$L$3:$N$6,2,FALSE)=0,"Spatial Data Missing",VLOOKUP(M102,'G-3 Multipliers'!$L$3:$N$6,2,FALSE)))</f>
        <v/>
      </c>
      <c r="O102" s="176" t="str">
        <f>IF(M102="","",IF(VLOOKUP(M102,'G-3 Multipliers'!$L$3:$N$6,3,FALSE)=0,"Spatial Data Missing",VLOOKUP(M102,'G-3 Multipliers'!$L$3:$N$6,3,FALSE)))</f>
        <v/>
      </c>
      <c r="P102" s="177" t="str">
        <f>IFERROR(VLOOKUP(G102,'G-1 All Habitats'!$B$2:$M$130,12,FALSE),"")</f>
        <v/>
      </c>
      <c r="Q102" s="81" t="str">
        <f>IFERROR(IF(P102="","",IF(AND(P102='G-1 All Habitats'!$X$3,T102&gt;0),U102+V102,IF(AND(P102='G-1 All Habitats'!$X$3,S102&gt;0),U102+V102,IF(AND(P102='G-1 All Habitats'!$X$3,AC102&gt;0),"Any Loss Unacceptable",IF(AND(P102='G-1 All Habitats'!$X$3,W102&gt;0),"Any Loss Unacceptable",H102*J102*L102*O102))))),"Check Data")</f>
        <v/>
      </c>
      <c r="R102" s="55"/>
      <c r="S102" s="79"/>
      <c r="T102" s="82"/>
      <c r="U102" s="83" t="str">
        <f t="shared" si="8"/>
        <v/>
      </c>
      <c r="V102" s="83" t="str">
        <f t="shared" si="9"/>
        <v/>
      </c>
      <c r="W102" s="83" t="str">
        <f>IF(E102="","",IF(H102&lt;S102+T102,"Error in Areas",IF(P102&lt;&gt;'G-1 All Habitats'!$X$3,H102-S102-T102,IF(AND(P102='G-1 All Habitats'!$X$3,Y102="Yes"),"Unacceptable Loss",IF(AND(P102='G-1 All Habitats'!$X$3,Y102="No"),AC102,IF(AND(P102='G-1 All Habitats'!$X$3,Y102=""),AC102,IF(AND(P102='G-1 All Habitats'!$X$3,AC102="None",AC102),IF(AND(P102='G-1 All Habitats'!$X$3,AC102&gt;0),H102-S102-T102))))))))</f>
        <v/>
      </c>
      <c r="X102" s="354" t="str">
        <f>IFERROR(IF(H102="","",IF(H102-S102-T102=0&lt;0,"Error in Areas",IF(S102+T102&gt;H102,"Error in Areas",IF(AND(P102='G-1 All Habitats'!$X$3,Y102="Yes"),"Alternative Compensation",IF(W102=0,0,IF(P102='G-1 All Habitats'!$X$3,"Unacceptable Loss",Q102-U102-V102)))))),"Check Data")</f>
        <v/>
      </c>
      <c r="Y102" s="82"/>
      <c r="Z102" s="182"/>
      <c r="AA102" s="183"/>
      <c r="AC102" s="371" t="str">
        <f>IF(P102="","",IF(P102='G-1 All Habitats'!$X$3,H102-S102-T102,"None"))</f>
        <v/>
      </c>
      <c r="AD102" s="372" t="str">
        <f t="shared" si="10"/>
        <v/>
      </c>
      <c r="AF102" s="188" t="str">
        <f t="shared" si="6"/>
        <v/>
      </c>
      <c r="AG102" s="188" t="str">
        <f t="shared" si="7"/>
        <v/>
      </c>
      <c r="AH102" s="188" t="str">
        <f>IF(I102="","",IF(#REF!&gt;0,TRUE,FALSE))</f>
        <v/>
      </c>
      <c r="AI102" s="188">
        <v>92</v>
      </c>
      <c r="AJ102" s="188"/>
      <c r="AK102" s="188" t="str">
        <f t="array" ref="AK102">IFERROR(INDEX($AI$11:$AI$259, MATCH(0, IF(TRUE=$AF$11:$AF$259, COUNTIF($AK$10:$AK101, $AI$11:$AI$259), ""), 0)),"")</f>
        <v/>
      </c>
      <c r="AL102" s="188" t="str">
        <f t="array" ref="AL102">IFERROR(INDEX($AI$11:$AI$259, MATCH(0, IF(TRUE=$AG$11:$AG$259, COUNTIF($AL$10:$AL101, $AI$11:$AI$259), ""), 0)),"")</f>
        <v/>
      </c>
      <c r="AM102" s="188" t="str">
        <f t="array" ref="AM102">IFERROR(INDEX($AI$11:$AI$259, MATCH(0, IF(TRUE=$AH$11:$AH$259, COUNTIF($AM$10:$AM101, $AI$11:$AI$259), ""), 0)),"")</f>
        <v/>
      </c>
      <c r="AQ102" s="35">
        <f t="shared" si="11"/>
        <v>0</v>
      </c>
    </row>
    <row r="103" spans="1:43" x14ac:dyDescent="0.25">
      <c r="A103" s="35" t="str">
        <f>IFERROR(INDEX('G-1 All Habitats'!$AG$3:$AG$15,MATCH(E103,'G-1 All Habitats'!$AF$3:$AF$15,0)),"")</f>
        <v/>
      </c>
      <c r="B103" s="35" t="str">
        <f>IFERROR(INDEX('G-8 Condition Look up'!$I$4:$I$131,MATCH(G103,'G-8 Condition Look up'!$A$4:$A$131,0)),"")</f>
        <v/>
      </c>
      <c r="D103" s="168">
        <v>93</v>
      </c>
      <c r="E103" s="275"/>
      <c r="F103" s="275"/>
      <c r="G103" s="370" t="str">
        <f>IFERROR(INDEX('G-1 All Habitats'!$B$3:$B$130,MATCH(F103,'G-1 All Habitats'!$A$3:$A$130,0)),"")</f>
        <v/>
      </c>
      <c r="H103" s="213"/>
      <c r="I103" s="171" t="str">
        <f>IF(G103="","",VLOOKUP(G103,'G-1 All Habitats'!$B$2:$M$130,10,FALSE))</f>
        <v/>
      </c>
      <c r="J103" s="172" t="str">
        <f>IFERROR(VLOOKUP(I103,'G-1 All Habitats'!$V$3:$W$7,2,FALSE),"")</f>
        <v/>
      </c>
      <c r="K103" s="173"/>
      <c r="L103" s="172" t="str">
        <f>IFERROR(INDEX('G-8 Condition Look up'!$A$3:$H$131,MATCH(G103,'G-8 Condition Look up'!$A$3:$A$131,0),MATCH(K103,'G-8 Condition Look up'!$A$3:$H$3,0)),"")</f>
        <v/>
      </c>
      <c r="M103" s="186"/>
      <c r="N103" s="175" t="str">
        <f>IF(M103="","",IF(VLOOKUP(M103,'G-3 Multipliers'!$L$3:$N$6,2,FALSE)=0,"Spatial Data Missing",VLOOKUP(M103,'G-3 Multipliers'!$L$3:$N$6,2,FALSE)))</f>
        <v/>
      </c>
      <c r="O103" s="176" t="str">
        <f>IF(M103="","",IF(VLOOKUP(M103,'G-3 Multipliers'!$L$3:$N$6,3,FALSE)=0,"Spatial Data Missing",VLOOKUP(M103,'G-3 Multipliers'!$L$3:$N$6,3,FALSE)))</f>
        <v/>
      </c>
      <c r="P103" s="177" t="str">
        <f>IFERROR(VLOOKUP(G103,'G-1 All Habitats'!$B$2:$M$130,12,FALSE),"")</f>
        <v/>
      </c>
      <c r="Q103" s="81" t="str">
        <f>IFERROR(IF(P103="","",IF(AND(P103='G-1 All Habitats'!$X$3,T103&gt;0),U103+V103,IF(AND(P103='G-1 All Habitats'!$X$3,S103&gt;0),U103+V103,IF(AND(P103='G-1 All Habitats'!$X$3,AC103&gt;0),"Any Loss Unacceptable",IF(AND(P103='G-1 All Habitats'!$X$3,W103&gt;0),"Any Loss Unacceptable",H103*J103*L103*O103))))),"Check Data")</f>
        <v/>
      </c>
      <c r="R103" s="55"/>
      <c r="S103" s="79"/>
      <c r="T103" s="82"/>
      <c r="U103" s="83" t="str">
        <f t="shared" si="8"/>
        <v/>
      </c>
      <c r="V103" s="83" t="str">
        <f t="shared" si="9"/>
        <v/>
      </c>
      <c r="W103" s="83" t="str">
        <f>IF(E103="","",IF(H103&lt;S103+T103,"Error in Areas",IF(P103&lt;&gt;'G-1 All Habitats'!$X$3,H103-S103-T103,IF(AND(P103='G-1 All Habitats'!$X$3,Y103="Yes"),"Unacceptable Loss",IF(AND(P103='G-1 All Habitats'!$X$3,Y103="No"),AC103,IF(AND(P103='G-1 All Habitats'!$X$3,Y103=""),AC103,IF(AND(P103='G-1 All Habitats'!$X$3,AC103="None",AC103),IF(AND(P103='G-1 All Habitats'!$X$3,AC103&gt;0),H103-S103-T103))))))))</f>
        <v/>
      </c>
      <c r="X103" s="354" t="str">
        <f>IFERROR(IF(H103="","",IF(H103-S103-T103=0&lt;0,"Error in Areas",IF(S103+T103&gt;H103,"Error in Areas",IF(AND(P103='G-1 All Habitats'!$X$3,Y103="Yes"),"Alternative Compensation",IF(W103=0,0,IF(P103='G-1 All Habitats'!$X$3,"Unacceptable Loss",Q103-U103-V103)))))),"Check Data")</f>
        <v/>
      </c>
      <c r="Y103" s="82"/>
      <c r="Z103" s="182"/>
      <c r="AA103" s="183"/>
      <c r="AC103" s="371" t="str">
        <f>IF(P103="","",IF(P103='G-1 All Habitats'!$X$3,H103-S103-T103,"None"))</f>
        <v/>
      </c>
      <c r="AD103" s="372" t="str">
        <f t="shared" si="10"/>
        <v/>
      </c>
      <c r="AF103" s="188" t="str">
        <f t="shared" si="6"/>
        <v/>
      </c>
      <c r="AG103" s="188" t="str">
        <f t="shared" si="7"/>
        <v/>
      </c>
      <c r="AH103" s="188" t="str">
        <f>IF(I103="","",IF(#REF!&gt;0,TRUE,FALSE))</f>
        <v/>
      </c>
      <c r="AI103" s="188">
        <v>93</v>
      </c>
      <c r="AJ103" s="188"/>
      <c r="AK103" s="188" t="str">
        <f t="array" ref="AK103">IFERROR(INDEX($AI$11:$AI$259, MATCH(0, IF(TRUE=$AF$11:$AF$259, COUNTIF($AK$10:$AK102, $AI$11:$AI$259), ""), 0)),"")</f>
        <v/>
      </c>
      <c r="AL103" s="188" t="str">
        <f t="array" ref="AL103">IFERROR(INDEX($AI$11:$AI$259, MATCH(0, IF(TRUE=$AG$11:$AG$259, COUNTIF($AL$10:$AL102, $AI$11:$AI$259), ""), 0)),"")</f>
        <v/>
      </c>
      <c r="AM103" s="188" t="str">
        <f t="array" ref="AM103">IFERROR(INDEX($AI$11:$AI$259, MATCH(0, IF(TRUE=$AH$11:$AH$259, COUNTIF($AM$10:$AM102, $AI$11:$AI$259), ""), 0)),"")</f>
        <v/>
      </c>
      <c r="AQ103" s="35">
        <f t="shared" si="11"/>
        <v>0</v>
      </c>
    </row>
    <row r="104" spans="1:43" x14ac:dyDescent="0.25">
      <c r="A104" s="35" t="str">
        <f>IFERROR(INDEX('G-1 All Habitats'!$AG$3:$AG$15,MATCH(E104,'G-1 All Habitats'!$AF$3:$AF$15,0)),"")</f>
        <v/>
      </c>
      <c r="B104" s="35" t="str">
        <f>IFERROR(INDEX('G-8 Condition Look up'!$I$4:$I$131,MATCH(G104,'G-8 Condition Look up'!$A$4:$A$131,0)),"")</f>
        <v/>
      </c>
      <c r="D104" s="168">
        <v>94</v>
      </c>
      <c r="E104" s="275"/>
      <c r="F104" s="275"/>
      <c r="G104" s="370" t="str">
        <f>IFERROR(INDEX('G-1 All Habitats'!$B$3:$B$130,MATCH(F104,'G-1 All Habitats'!$A$3:$A$130,0)),"")</f>
        <v/>
      </c>
      <c r="H104" s="213"/>
      <c r="I104" s="171" t="str">
        <f>IF(G104="","",VLOOKUP(G104,'G-1 All Habitats'!$B$2:$M$130,10,FALSE))</f>
        <v/>
      </c>
      <c r="J104" s="172" t="str">
        <f>IFERROR(VLOOKUP(I104,'G-1 All Habitats'!$V$3:$W$7,2,FALSE),"")</f>
        <v/>
      </c>
      <c r="K104" s="173"/>
      <c r="L104" s="172" t="str">
        <f>IFERROR(INDEX('G-8 Condition Look up'!$A$3:$H$131,MATCH(G104,'G-8 Condition Look up'!$A$3:$A$131,0),MATCH(K104,'G-8 Condition Look up'!$A$3:$H$3,0)),"")</f>
        <v/>
      </c>
      <c r="M104" s="186"/>
      <c r="N104" s="175" t="str">
        <f>IF(M104="","",IF(VLOOKUP(M104,'G-3 Multipliers'!$L$3:$N$6,2,FALSE)=0,"Spatial Data Missing",VLOOKUP(M104,'G-3 Multipliers'!$L$3:$N$6,2,FALSE)))</f>
        <v/>
      </c>
      <c r="O104" s="176" t="str">
        <f>IF(M104="","",IF(VLOOKUP(M104,'G-3 Multipliers'!$L$3:$N$6,3,FALSE)=0,"Spatial Data Missing",VLOOKUP(M104,'G-3 Multipliers'!$L$3:$N$6,3,FALSE)))</f>
        <v/>
      </c>
      <c r="P104" s="177" t="str">
        <f>IFERROR(VLOOKUP(G104,'G-1 All Habitats'!$B$2:$M$130,12,FALSE),"")</f>
        <v/>
      </c>
      <c r="Q104" s="81" t="str">
        <f>IFERROR(IF(P104="","",IF(AND(P104='G-1 All Habitats'!$X$3,T104&gt;0),U104+V104,IF(AND(P104='G-1 All Habitats'!$X$3,S104&gt;0),U104+V104,IF(AND(P104='G-1 All Habitats'!$X$3,AC104&gt;0),"Any Loss Unacceptable",IF(AND(P104='G-1 All Habitats'!$X$3,W104&gt;0),"Any Loss Unacceptable",H104*J104*L104*O104))))),"Check Data")</f>
        <v/>
      </c>
      <c r="R104" s="55"/>
      <c r="S104" s="79"/>
      <c r="T104" s="82"/>
      <c r="U104" s="83" t="str">
        <f t="shared" si="8"/>
        <v/>
      </c>
      <c r="V104" s="83" t="str">
        <f t="shared" si="9"/>
        <v/>
      </c>
      <c r="W104" s="83" t="str">
        <f>IF(E104="","",IF(H104&lt;S104+T104,"Error in Areas",IF(P104&lt;&gt;'G-1 All Habitats'!$X$3,H104-S104-T104,IF(AND(P104='G-1 All Habitats'!$X$3,Y104="Yes"),"Unacceptable Loss",IF(AND(P104='G-1 All Habitats'!$X$3,Y104="No"),AC104,IF(AND(P104='G-1 All Habitats'!$X$3,Y104=""),AC104,IF(AND(P104='G-1 All Habitats'!$X$3,AC104="None",AC104),IF(AND(P104='G-1 All Habitats'!$X$3,AC104&gt;0),H104-S104-T104))))))))</f>
        <v/>
      </c>
      <c r="X104" s="354" t="str">
        <f>IFERROR(IF(H104="","",IF(H104-S104-T104=0&lt;0,"Error in Areas",IF(S104+T104&gt;H104,"Error in Areas",IF(AND(P104='G-1 All Habitats'!$X$3,Y104="Yes"),"Alternative Compensation",IF(W104=0,0,IF(P104='G-1 All Habitats'!$X$3,"Unacceptable Loss",Q104-U104-V104)))))),"Check Data")</f>
        <v/>
      </c>
      <c r="Y104" s="82"/>
      <c r="Z104" s="182"/>
      <c r="AA104" s="183"/>
      <c r="AC104" s="371" t="str">
        <f>IF(P104="","",IF(P104='G-1 All Habitats'!$X$3,H104-S104-T104,"None"))</f>
        <v/>
      </c>
      <c r="AD104" s="372" t="str">
        <f t="shared" si="10"/>
        <v/>
      </c>
      <c r="AF104" s="188" t="str">
        <f t="shared" si="6"/>
        <v/>
      </c>
      <c r="AG104" s="188" t="str">
        <f t="shared" si="7"/>
        <v/>
      </c>
      <c r="AH104" s="188" t="str">
        <f>IF(I104="","",IF(#REF!&gt;0,TRUE,FALSE))</f>
        <v/>
      </c>
      <c r="AI104" s="188">
        <v>94</v>
      </c>
      <c r="AJ104" s="188"/>
      <c r="AK104" s="188" t="str">
        <f t="array" ref="AK104">IFERROR(INDEX($AI$11:$AI$259, MATCH(0, IF(TRUE=$AF$11:$AF$259, COUNTIF($AK$10:$AK103, $AI$11:$AI$259), ""), 0)),"")</f>
        <v/>
      </c>
      <c r="AL104" s="188" t="str">
        <f t="array" ref="AL104">IFERROR(INDEX($AI$11:$AI$259, MATCH(0, IF(TRUE=$AG$11:$AG$259, COUNTIF($AL$10:$AL103, $AI$11:$AI$259), ""), 0)),"")</f>
        <v/>
      </c>
      <c r="AM104" s="188" t="str">
        <f t="array" ref="AM104">IFERROR(INDEX($AI$11:$AI$259, MATCH(0, IF(TRUE=$AH$11:$AH$259, COUNTIF($AM$10:$AM103, $AI$11:$AI$259), ""), 0)),"")</f>
        <v/>
      </c>
      <c r="AQ104" s="35">
        <f t="shared" si="11"/>
        <v>0</v>
      </c>
    </row>
    <row r="105" spans="1:43" x14ac:dyDescent="0.25">
      <c r="A105" s="35" t="str">
        <f>IFERROR(INDEX('G-1 All Habitats'!$AG$3:$AG$15,MATCH(E105,'G-1 All Habitats'!$AF$3:$AF$15,0)),"")</f>
        <v/>
      </c>
      <c r="B105" s="35" t="str">
        <f>IFERROR(INDEX('G-8 Condition Look up'!$I$4:$I$131,MATCH(G105,'G-8 Condition Look up'!$A$4:$A$131,0)),"")</f>
        <v/>
      </c>
      <c r="D105" s="168">
        <v>95</v>
      </c>
      <c r="E105" s="275"/>
      <c r="F105" s="275"/>
      <c r="G105" s="370" t="str">
        <f>IFERROR(INDEX('G-1 All Habitats'!$B$3:$B$130,MATCH(F105,'G-1 All Habitats'!$A$3:$A$130,0)),"")</f>
        <v/>
      </c>
      <c r="H105" s="213"/>
      <c r="I105" s="171" t="str">
        <f>IF(G105="","",VLOOKUP(G105,'G-1 All Habitats'!$B$2:$M$130,10,FALSE))</f>
        <v/>
      </c>
      <c r="J105" s="172" t="str">
        <f>IFERROR(VLOOKUP(I105,'G-1 All Habitats'!$V$3:$W$7,2,FALSE),"")</f>
        <v/>
      </c>
      <c r="K105" s="173"/>
      <c r="L105" s="172" t="str">
        <f>IFERROR(INDEX('G-8 Condition Look up'!$A$3:$H$131,MATCH(G105,'G-8 Condition Look up'!$A$3:$A$131,0),MATCH(K105,'G-8 Condition Look up'!$A$3:$H$3,0)),"")</f>
        <v/>
      </c>
      <c r="M105" s="186"/>
      <c r="N105" s="175" t="str">
        <f>IF(M105="","",IF(VLOOKUP(M105,'G-3 Multipliers'!$L$3:$N$6,2,FALSE)=0,"Spatial Data Missing",VLOOKUP(M105,'G-3 Multipliers'!$L$3:$N$6,2,FALSE)))</f>
        <v/>
      </c>
      <c r="O105" s="176" t="str">
        <f>IF(M105="","",IF(VLOOKUP(M105,'G-3 Multipliers'!$L$3:$N$6,3,FALSE)=0,"Spatial Data Missing",VLOOKUP(M105,'G-3 Multipliers'!$L$3:$N$6,3,FALSE)))</f>
        <v/>
      </c>
      <c r="P105" s="177" t="str">
        <f>IFERROR(VLOOKUP(G105,'G-1 All Habitats'!$B$2:$M$130,12,FALSE),"")</f>
        <v/>
      </c>
      <c r="Q105" s="81" t="str">
        <f>IFERROR(IF(P105="","",IF(AND(P105='G-1 All Habitats'!$X$3,T105&gt;0),U105+V105,IF(AND(P105='G-1 All Habitats'!$X$3,S105&gt;0),U105+V105,IF(AND(P105='G-1 All Habitats'!$X$3,AC105&gt;0),"Any Loss Unacceptable",IF(AND(P105='G-1 All Habitats'!$X$3,W105&gt;0),"Any Loss Unacceptable",H105*J105*L105*O105))))),"Check Data")</f>
        <v/>
      </c>
      <c r="R105" s="55"/>
      <c r="S105" s="79"/>
      <c r="T105" s="82"/>
      <c r="U105" s="83" t="str">
        <f t="shared" si="8"/>
        <v/>
      </c>
      <c r="V105" s="83" t="str">
        <f t="shared" si="9"/>
        <v/>
      </c>
      <c r="W105" s="83" t="str">
        <f>IF(E105="","",IF(H105&lt;S105+T105,"Error in Areas",IF(P105&lt;&gt;'G-1 All Habitats'!$X$3,H105-S105-T105,IF(AND(P105='G-1 All Habitats'!$X$3,Y105="Yes"),"Unacceptable Loss",IF(AND(P105='G-1 All Habitats'!$X$3,Y105="No"),AC105,IF(AND(P105='G-1 All Habitats'!$X$3,Y105=""),AC105,IF(AND(P105='G-1 All Habitats'!$X$3,AC105="None",AC105),IF(AND(P105='G-1 All Habitats'!$X$3,AC105&gt;0),H105-S105-T105))))))))</f>
        <v/>
      </c>
      <c r="X105" s="354" t="str">
        <f>IFERROR(IF(H105="","",IF(H105-S105-T105=0&lt;0,"Error in Areas",IF(S105+T105&gt;H105,"Error in Areas",IF(AND(P105='G-1 All Habitats'!$X$3,Y105="Yes"),"Alternative Compensation",IF(W105=0,0,IF(P105='G-1 All Habitats'!$X$3,"Unacceptable Loss",Q105-U105-V105)))))),"Check Data")</f>
        <v/>
      </c>
      <c r="Y105" s="82"/>
      <c r="Z105" s="182"/>
      <c r="AA105" s="183"/>
      <c r="AC105" s="371" t="str">
        <f>IF(P105="","",IF(P105='G-1 All Habitats'!$X$3,H105-S105-T105,"None"))</f>
        <v/>
      </c>
      <c r="AD105" s="372" t="str">
        <f t="shared" si="10"/>
        <v/>
      </c>
      <c r="AF105" s="188" t="str">
        <f t="shared" si="6"/>
        <v/>
      </c>
      <c r="AG105" s="188" t="str">
        <f t="shared" si="7"/>
        <v/>
      </c>
      <c r="AH105" s="188" t="str">
        <f>IF(I105="","",IF(#REF!&gt;0,TRUE,FALSE))</f>
        <v/>
      </c>
      <c r="AI105" s="188">
        <v>95</v>
      </c>
      <c r="AJ105" s="188"/>
      <c r="AK105" s="188" t="str">
        <f t="array" ref="AK105">IFERROR(INDEX($AI$11:$AI$259, MATCH(0, IF(TRUE=$AF$11:$AF$259, COUNTIF($AK$10:$AK104, $AI$11:$AI$259), ""), 0)),"")</f>
        <v/>
      </c>
      <c r="AL105" s="188" t="str">
        <f t="array" ref="AL105">IFERROR(INDEX($AI$11:$AI$259, MATCH(0, IF(TRUE=$AG$11:$AG$259, COUNTIF($AL$10:$AL104, $AI$11:$AI$259), ""), 0)),"")</f>
        <v/>
      </c>
      <c r="AM105" s="188" t="str">
        <f t="array" ref="AM105">IFERROR(INDEX($AI$11:$AI$259, MATCH(0, IF(TRUE=$AH$11:$AH$259, COUNTIF($AM$10:$AM104, $AI$11:$AI$259), ""), 0)),"")</f>
        <v/>
      </c>
      <c r="AQ105" s="35">
        <f t="shared" si="11"/>
        <v>0</v>
      </c>
    </row>
    <row r="106" spans="1:43" x14ac:dyDescent="0.25">
      <c r="A106" s="35" t="str">
        <f>IFERROR(INDEX('G-1 All Habitats'!$AG$3:$AG$15,MATCH(E106,'G-1 All Habitats'!$AF$3:$AF$15,0)),"")</f>
        <v/>
      </c>
      <c r="B106" s="35" t="str">
        <f>IFERROR(INDEX('G-8 Condition Look up'!$I$4:$I$131,MATCH(G106,'G-8 Condition Look up'!$A$4:$A$131,0)),"")</f>
        <v/>
      </c>
      <c r="D106" s="168">
        <v>96</v>
      </c>
      <c r="E106" s="275"/>
      <c r="F106" s="275"/>
      <c r="G106" s="370" t="str">
        <f>IFERROR(INDEX('G-1 All Habitats'!$B$3:$B$130,MATCH(F106,'G-1 All Habitats'!$A$3:$A$130,0)),"")</f>
        <v/>
      </c>
      <c r="H106" s="213"/>
      <c r="I106" s="171" t="str">
        <f>IF(G106="","",VLOOKUP(G106,'G-1 All Habitats'!$B$2:$M$130,10,FALSE))</f>
        <v/>
      </c>
      <c r="J106" s="172" t="str">
        <f>IFERROR(VLOOKUP(I106,'G-1 All Habitats'!$V$3:$W$7,2,FALSE),"")</f>
        <v/>
      </c>
      <c r="K106" s="173"/>
      <c r="L106" s="172" t="str">
        <f>IFERROR(INDEX('G-8 Condition Look up'!$A$3:$H$131,MATCH(G106,'G-8 Condition Look up'!$A$3:$A$131,0),MATCH(K106,'G-8 Condition Look up'!$A$3:$H$3,0)),"")</f>
        <v/>
      </c>
      <c r="M106" s="186"/>
      <c r="N106" s="175" t="str">
        <f>IF(M106="","",IF(VLOOKUP(M106,'G-3 Multipliers'!$L$3:$N$6,2,FALSE)=0,"Spatial Data Missing",VLOOKUP(M106,'G-3 Multipliers'!$L$3:$N$6,2,FALSE)))</f>
        <v/>
      </c>
      <c r="O106" s="176" t="str">
        <f>IF(M106="","",IF(VLOOKUP(M106,'G-3 Multipliers'!$L$3:$N$6,3,FALSE)=0,"Spatial Data Missing",VLOOKUP(M106,'G-3 Multipliers'!$L$3:$N$6,3,FALSE)))</f>
        <v/>
      </c>
      <c r="P106" s="177" t="str">
        <f>IFERROR(VLOOKUP(G106,'G-1 All Habitats'!$B$2:$M$130,12,FALSE),"")</f>
        <v/>
      </c>
      <c r="Q106" s="81" t="str">
        <f>IFERROR(IF(P106="","",IF(AND(P106='G-1 All Habitats'!$X$3,T106&gt;0),U106+V106,IF(AND(P106='G-1 All Habitats'!$X$3,S106&gt;0),U106+V106,IF(AND(P106='G-1 All Habitats'!$X$3,AC106&gt;0),"Any Loss Unacceptable",IF(AND(P106='G-1 All Habitats'!$X$3,W106&gt;0),"Any Loss Unacceptable",H106*J106*L106*O106))))),"Check Data")</f>
        <v/>
      </c>
      <c r="R106" s="55"/>
      <c r="S106" s="79"/>
      <c r="T106" s="82"/>
      <c r="U106" s="83" t="str">
        <f t="shared" si="8"/>
        <v/>
      </c>
      <c r="V106" s="83" t="str">
        <f t="shared" si="9"/>
        <v/>
      </c>
      <c r="W106" s="83" t="str">
        <f>IF(E106="","",IF(H106&lt;S106+T106,"Error in Areas",IF(P106&lt;&gt;'G-1 All Habitats'!$X$3,H106-S106-T106,IF(AND(P106='G-1 All Habitats'!$X$3,Y106="Yes"),"Unacceptable Loss",IF(AND(P106='G-1 All Habitats'!$X$3,Y106="No"),AC106,IF(AND(P106='G-1 All Habitats'!$X$3,Y106=""),AC106,IF(AND(P106='G-1 All Habitats'!$X$3,AC106="None",AC106),IF(AND(P106='G-1 All Habitats'!$X$3,AC106&gt;0),H106-S106-T106))))))))</f>
        <v/>
      </c>
      <c r="X106" s="354" t="str">
        <f>IFERROR(IF(H106="","",IF(H106-S106-T106=0&lt;0,"Error in Areas",IF(S106+T106&gt;H106,"Error in Areas",IF(AND(P106='G-1 All Habitats'!$X$3,Y106="Yes"),"Alternative Compensation",IF(W106=0,0,IF(P106='G-1 All Habitats'!$X$3,"Unacceptable Loss",Q106-U106-V106)))))),"Check Data")</f>
        <v/>
      </c>
      <c r="Y106" s="82"/>
      <c r="Z106" s="182"/>
      <c r="AA106" s="183"/>
      <c r="AC106" s="371" t="str">
        <f>IF(P106="","",IF(P106='G-1 All Habitats'!$X$3,H106-S106-T106,"None"))</f>
        <v/>
      </c>
      <c r="AD106" s="372" t="str">
        <f t="shared" si="10"/>
        <v/>
      </c>
      <c r="AF106" s="188" t="str">
        <f t="shared" si="6"/>
        <v/>
      </c>
      <c r="AG106" s="188" t="str">
        <f t="shared" si="7"/>
        <v/>
      </c>
      <c r="AH106" s="188" t="str">
        <f>IF(I106="","",IF(#REF!&gt;0,TRUE,FALSE))</f>
        <v/>
      </c>
      <c r="AI106" s="188">
        <v>96</v>
      </c>
      <c r="AJ106" s="188"/>
      <c r="AK106" s="188" t="str">
        <f t="array" ref="AK106">IFERROR(INDEX($AI$11:$AI$259, MATCH(0, IF(TRUE=$AF$11:$AF$259, COUNTIF($AK$10:$AK105, $AI$11:$AI$259), ""), 0)),"")</f>
        <v/>
      </c>
      <c r="AL106" s="188" t="str">
        <f t="array" ref="AL106">IFERROR(INDEX($AI$11:$AI$259, MATCH(0, IF(TRUE=$AG$11:$AG$259, COUNTIF($AL$10:$AL105, $AI$11:$AI$259), ""), 0)),"")</f>
        <v/>
      </c>
      <c r="AM106" s="188" t="str">
        <f t="array" ref="AM106">IFERROR(INDEX($AI$11:$AI$259, MATCH(0, IF(TRUE=$AH$11:$AH$259, COUNTIF($AM$10:$AM105, $AI$11:$AI$259), ""), 0)),"")</f>
        <v/>
      </c>
      <c r="AQ106" s="35">
        <f t="shared" si="11"/>
        <v>0</v>
      </c>
    </row>
    <row r="107" spans="1:43" x14ac:dyDescent="0.25">
      <c r="A107" s="35" t="str">
        <f>IFERROR(INDEX('G-1 All Habitats'!$AG$3:$AG$15,MATCH(E107,'G-1 All Habitats'!$AF$3:$AF$15,0)),"")</f>
        <v/>
      </c>
      <c r="B107" s="35" t="str">
        <f>IFERROR(INDEX('G-8 Condition Look up'!$I$4:$I$131,MATCH(G107,'G-8 Condition Look up'!$A$4:$A$131,0)),"")</f>
        <v/>
      </c>
      <c r="D107" s="168">
        <v>97</v>
      </c>
      <c r="E107" s="275"/>
      <c r="F107" s="275"/>
      <c r="G107" s="370" t="str">
        <f>IFERROR(INDEX('G-1 All Habitats'!$B$3:$B$130,MATCH(F107,'G-1 All Habitats'!$A$3:$A$130,0)),"")</f>
        <v/>
      </c>
      <c r="H107" s="213"/>
      <c r="I107" s="171" t="str">
        <f>IF(G107="","",VLOOKUP(G107,'G-1 All Habitats'!$B$2:$M$130,10,FALSE))</f>
        <v/>
      </c>
      <c r="J107" s="172" t="str">
        <f>IFERROR(VLOOKUP(I107,'G-1 All Habitats'!$V$3:$W$7,2,FALSE),"")</f>
        <v/>
      </c>
      <c r="K107" s="173"/>
      <c r="L107" s="172" t="str">
        <f>IFERROR(INDEX('G-8 Condition Look up'!$A$3:$H$131,MATCH(G107,'G-8 Condition Look up'!$A$3:$A$131,0),MATCH(K107,'G-8 Condition Look up'!$A$3:$H$3,0)),"")</f>
        <v/>
      </c>
      <c r="M107" s="186"/>
      <c r="N107" s="175" t="str">
        <f>IF(M107="","",IF(VLOOKUP(M107,'G-3 Multipliers'!$L$3:$N$6,2,FALSE)=0,"Spatial Data Missing",VLOOKUP(M107,'G-3 Multipliers'!$L$3:$N$6,2,FALSE)))</f>
        <v/>
      </c>
      <c r="O107" s="176" t="str">
        <f>IF(M107="","",IF(VLOOKUP(M107,'G-3 Multipliers'!$L$3:$N$6,3,FALSE)=0,"Spatial Data Missing",VLOOKUP(M107,'G-3 Multipliers'!$L$3:$N$6,3,FALSE)))</f>
        <v/>
      </c>
      <c r="P107" s="177" t="str">
        <f>IFERROR(VLOOKUP(G107,'G-1 All Habitats'!$B$2:$M$130,12,FALSE),"")</f>
        <v/>
      </c>
      <c r="Q107" s="81" t="str">
        <f>IFERROR(IF(P107="","",IF(AND(P107='G-1 All Habitats'!$X$3,T107&gt;0),U107+V107,IF(AND(P107='G-1 All Habitats'!$X$3,S107&gt;0),U107+V107,IF(AND(P107='G-1 All Habitats'!$X$3,AC107&gt;0),"Any Loss Unacceptable",IF(AND(P107='G-1 All Habitats'!$X$3,W107&gt;0),"Any Loss Unacceptable",H107*J107*L107*O107))))),"Check Data")</f>
        <v/>
      </c>
      <c r="R107" s="55"/>
      <c r="S107" s="79"/>
      <c r="T107" s="82"/>
      <c r="U107" s="83" t="str">
        <f t="shared" si="8"/>
        <v/>
      </c>
      <c r="V107" s="83" t="str">
        <f t="shared" si="9"/>
        <v/>
      </c>
      <c r="W107" s="83" t="str">
        <f>IF(E107="","",IF(H107&lt;S107+T107,"Error in Areas",IF(P107&lt;&gt;'G-1 All Habitats'!$X$3,H107-S107-T107,IF(AND(P107='G-1 All Habitats'!$X$3,Y107="Yes"),"Unacceptable Loss",IF(AND(P107='G-1 All Habitats'!$X$3,Y107="No"),AC107,IF(AND(P107='G-1 All Habitats'!$X$3,Y107=""),AC107,IF(AND(P107='G-1 All Habitats'!$X$3,AC107="None",AC107),IF(AND(P107='G-1 All Habitats'!$X$3,AC107&gt;0),H107-S107-T107))))))))</f>
        <v/>
      </c>
      <c r="X107" s="354" t="str">
        <f>IFERROR(IF(H107="","",IF(H107-S107-T107=0&lt;0,"Error in Areas",IF(S107+T107&gt;H107,"Error in Areas",IF(AND(P107='G-1 All Habitats'!$X$3,Y107="Yes"),"Alternative Compensation",IF(W107=0,0,IF(P107='G-1 All Habitats'!$X$3,"Unacceptable Loss",Q107-U107-V107)))))),"Check Data")</f>
        <v/>
      </c>
      <c r="Y107" s="82"/>
      <c r="Z107" s="182"/>
      <c r="AA107" s="183"/>
      <c r="AC107" s="371" t="str">
        <f>IF(P107="","",IF(P107='G-1 All Habitats'!$X$3,H107-S107-T107,"None"))</f>
        <v/>
      </c>
      <c r="AD107" s="372" t="str">
        <f t="shared" si="10"/>
        <v/>
      </c>
      <c r="AF107" s="188" t="str">
        <f t="shared" si="6"/>
        <v/>
      </c>
      <c r="AG107" s="188" t="str">
        <f t="shared" si="7"/>
        <v/>
      </c>
      <c r="AH107" s="188" t="str">
        <f>IF(I107="","",IF(#REF!&gt;0,TRUE,FALSE))</f>
        <v/>
      </c>
      <c r="AI107" s="188">
        <v>97</v>
      </c>
      <c r="AJ107" s="188"/>
      <c r="AK107" s="188" t="str">
        <f t="array" ref="AK107">IFERROR(INDEX($AI$11:$AI$259, MATCH(0, IF(TRUE=$AF$11:$AF$259, COUNTIF($AK$10:$AK106, $AI$11:$AI$259), ""), 0)),"")</f>
        <v/>
      </c>
      <c r="AL107" s="188" t="str">
        <f t="array" ref="AL107">IFERROR(INDEX($AI$11:$AI$259, MATCH(0, IF(TRUE=$AG$11:$AG$259, COUNTIF($AL$10:$AL106, $AI$11:$AI$259), ""), 0)),"")</f>
        <v/>
      </c>
      <c r="AM107" s="188" t="str">
        <f t="array" ref="AM107">IFERROR(INDEX($AI$11:$AI$259, MATCH(0, IF(TRUE=$AH$11:$AH$259, COUNTIF($AM$10:$AM106, $AI$11:$AI$259), ""), 0)),"")</f>
        <v/>
      </c>
      <c r="AQ107" s="35">
        <f t="shared" si="11"/>
        <v>0</v>
      </c>
    </row>
    <row r="108" spans="1:43" x14ac:dyDescent="0.25">
      <c r="A108" s="35" t="str">
        <f>IFERROR(INDEX('G-1 All Habitats'!$AG$3:$AG$15,MATCH(E108,'G-1 All Habitats'!$AF$3:$AF$15,0)),"")</f>
        <v/>
      </c>
      <c r="B108" s="35" t="str">
        <f>IFERROR(INDEX('G-8 Condition Look up'!$I$4:$I$131,MATCH(G108,'G-8 Condition Look up'!$A$4:$A$131,0)),"")</f>
        <v/>
      </c>
      <c r="D108" s="168">
        <v>98</v>
      </c>
      <c r="E108" s="275"/>
      <c r="F108" s="275"/>
      <c r="G108" s="370" t="str">
        <f>IFERROR(INDEX('G-1 All Habitats'!$B$3:$B$130,MATCH(F108,'G-1 All Habitats'!$A$3:$A$130,0)),"")</f>
        <v/>
      </c>
      <c r="H108" s="213"/>
      <c r="I108" s="171" t="str">
        <f>IF(G108="","",VLOOKUP(G108,'G-1 All Habitats'!$B$2:$M$130,10,FALSE))</f>
        <v/>
      </c>
      <c r="J108" s="172" t="str">
        <f>IFERROR(VLOOKUP(I108,'G-1 All Habitats'!$V$3:$W$7,2,FALSE),"")</f>
        <v/>
      </c>
      <c r="K108" s="173"/>
      <c r="L108" s="172" t="str">
        <f>IFERROR(INDEX('G-8 Condition Look up'!$A$3:$H$131,MATCH(G108,'G-8 Condition Look up'!$A$3:$A$131,0),MATCH(K108,'G-8 Condition Look up'!$A$3:$H$3,0)),"")</f>
        <v/>
      </c>
      <c r="M108" s="186"/>
      <c r="N108" s="175" t="str">
        <f>IF(M108="","",IF(VLOOKUP(M108,'G-3 Multipliers'!$L$3:$N$6,2,FALSE)=0,"Spatial Data Missing",VLOOKUP(M108,'G-3 Multipliers'!$L$3:$N$6,2,FALSE)))</f>
        <v/>
      </c>
      <c r="O108" s="176" t="str">
        <f>IF(M108="","",IF(VLOOKUP(M108,'G-3 Multipliers'!$L$3:$N$6,3,FALSE)=0,"Spatial Data Missing",VLOOKUP(M108,'G-3 Multipliers'!$L$3:$N$6,3,FALSE)))</f>
        <v/>
      </c>
      <c r="P108" s="177" t="str">
        <f>IFERROR(VLOOKUP(G108,'G-1 All Habitats'!$B$2:$M$130,12,FALSE),"")</f>
        <v/>
      </c>
      <c r="Q108" s="81" t="str">
        <f>IFERROR(IF(P108="","",IF(AND(P108='G-1 All Habitats'!$X$3,T108&gt;0),U108+V108,IF(AND(P108='G-1 All Habitats'!$X$3,S108&gt;0),U108+V108,IF(AND(P108='G-1 All Habitats'!$X$3,AC108&gt;0),"Any Loss Unacceptable",IF(AND(P108='G-1 All Habitats'!$X$3,W108&gt;0),"Any Loss Unacceptable",H108*J108*L108*O108))))),"Check Data")</f>
        <v/>
      </c>
      <c r="R108" s="55"/>
      <c r="S108" s="79"/>
      <c r="T108" s="82"/>
      <c r="U108" s="83" t="str">
        <f t="shared" si="8"/>
        <v/>
      </c>
      <c r="V108" s="83" t="str">
        <f t="shared" si="9"/>
        <v/>
      </c>
      <c r="W108" s="83" t="str">
        <f>IF(E108="","",IF(H108&lt;S108+T108,"Error in Areas",IF(P108&lt;&gt;'G-1 All Habitats'!$X$3,H108-S108-T108,IF(AND(P108='G-1 All Habitats'!$X$3,Y108="Yes"),"Unacceptable Loss",IF(AND(P108='G-1 All Habitats'!$X$3,Y108="No"),AC108,IF(AND(P108='G-1 All Habitats'!$X$3,Y108=""),AC108,IF(AND(P108='G-1 All Habitats'!$X$3,AC108="None",AC108),IF(AND(P108='G-1 All Habitats'!$X$3,AC108&gt;0),H108-S108-T108))))))))</f>
        <v/>
      </c>
      <c r="X108" s="354" t="str">
        <f>IFERROR(IF(H108="","",IF(H108-S108-T108=0&lt;0,"Error in Areas",IF(S108+T108&gt;H108,"Error in Areas",IF(AND(P108='G-1 All Habitats'!$X$3,Y108="Yes"),"Alternative Compensation",IF(W108=0,0,IF(P108='G-1 All Habitats'!$X$3,"Unacceptable Loss",Q108-U108-V108)))))),"Check Data")</f>
        <v/>
      </c>
      <c r="Y108" s="82"/>
      <c r="Z108" s="182"/>
      <c r="AA108" s="183"/>
      <c r="AC108" s="371" t="str">
        <f>IF(P108="","",IF(P108='G-1 All Habitats'!$X$3,H108-S108-T108,"None"))</f>
        <v/>
      </c>
      <c r="AD108" s="372" t="str">
        <f t="shared" si="10"/>
        <v/>
      </c>
      <c r="AF108" s="188" t="str">
        <f t="shared" si="6"/>
        <v/>
      </c>
      <c r="AG108" s="188" t="str">
        <f t="shared" si="7"/>
        <v/>
      </c>
      <c r="AH108" s="188" t="str">
        <f>IF(I108="","",IF(#REF!&gt;0,TRUE,FALSE))</f>
        <v/>
      </c>
      <c r="AI108" s="188">
        <v>98</v>
      </c>
      <c r="AJ108" s="188"/>
      <c r="AK108" s="188" t="str">
        <f t="array" ref="AK108">IFERROR(INDEX($AI$11:$AI$259, MATCH(0, IF(TRUE=$AF$11:$AF$259, COUNTIF($AK$10:$AK107, $AI$11:$AI$259), ""), 0)),"")</f>
        <v/>
      </c>
      <c r="AL108" s="188" t="str">
        <f t="array" ref="AL108">IFERROR(INDEX($AI$11:$AI$259, MATCH(0, IF(TRUE=$AG$11:$AG$259, COUNTIF($AL$10:$AL107, $AI$11:$AI$259), ""), 0)),"")</f>
        <v/>
      </c>
      <c r="AM108" s="188" t="str">
        <f t="array" ref="AM108">IFERROR(INDEX($AI$11:$AI$259, MATCH(0, IF(TRUE=$AH$11:$AH$259, COUNTIF($AM$10:$AM107, $AI$11:$AI$259), ""), 0)),"")</f>
        <v/>
      </c>
      <c r="AQ108" s="35">
        <f t="shared" si="11"/>
        <v>0</v>
      </c>
    </row>
    <row r="109" spans="1:43" x14ac:dyDescent="0.25">
      <c r="A109" s="35" t="str">
        <f>IFERROR(INDEX('G-1 All Habitats'!$AG$3:$AG$15,MATCH(E109,'G-1 All Habitats'!$AF$3:$AF$15,0)),"")</f>
        <v/>
      </c>
      <c r="B109" s="35" t="str">
        <f>IFERROR(INDEX('G-8 Condition Look up'!$I$4:$I$131,MATCH(G109,'G-8 Condition Look up'!$A$4:$A$131,0)),"")</f>
        <v/>
      </c>
      <c r="D109" s="168">
        <v>99</v>
      </c>
      <c r="E109" s="275"/>
      <c r="F109" s="275"/>
      <c r="G109" s="370" t="str">
        <f>IFERROR(INDEX('G-1 All Habitats'!$B$3:$B$130,MATCH(F109,'G-1 All Habitats'!$A$3:$A$130,0)),"")</f>
        <v/>
      </c>
      <c r="H109" s="213"/>
      <c r="I109" s="171" t="str">
        <f>IF(G109="","",VLOOKUP(G109,'G-1 All Habitats'!$B$2:$M$130,10,FALSE))</f>
        <v/>
      </c>
      <c r="J109" s="172" t="str">
        <f>IFERROR(VLOOKUP(I109,'G-1 All Habitats'!$V$3:$W$7,2,FALSE),"")</f>
        <v/>
      </c>
      <c r="K109" s="173"/>
      <c r="L109" s="172" t="str">
        <f>IFERROR(INDEX('G-8 Condition Look up'!$A$3:$H$131,MATCH(G109,'G-8 Condition Look up'!$A$3:$A$131,0),MATCH(K109,'G-8 Condition Look up'!$A$3:$H$3,0)),"")</f>
        <v/>
      </c>
      <c r="M109" s="186"/>
      <c r="N109" s="175" t="str">
        <f>IF(M109="","",IF(VLOOKUP(M109,'G-3 Multipliers'!$L$3:$N$6,2,FALSE)=0,"Spatial Data Missing",VLOOKUP(M109,'G-3 Multipliers'!$L$3:$N$6,2,FALSE)))</f>
        <v/>
      </c>
      <c r="O109" s="176" t="str">
        <f>IF(M109="","",IF(VLOOKUP(M109,'G-3 Multipliers'!$L$3:$N$6,3,FALSE)=0,"Spatial Data Missing",VLOOKUP(M109,'G-3 Multipliers'!$L$3:$N$6,3,FALSE)))</f>
        <v/>
      </c>
      <c r="P109" s="177" t="str">
        <f>IFERROR(VLOOKUP(G109,'G-1 All Habitats'!$B$2:$M$130,12,FALSE),"")</f>
        <v/>
      </c>
      <c r="Q109" s="81" t="str">
        <f>IFERROR(IF(P109="","",IF(AND(P109='G-1 All Habitats'!$X$3,T109&gt;0),U109+V109,IF(AND(P109='G-1 All Habitats'!$X$3,S109&gt;0),U109+V109,IF(AND(P109='G-1 All Habitats'!$X$3,AC109&gt;0),"Any Loss Unacceptable",IF(AND(P109='G-1 All Habitats'!$X$3,W109&gt;0),"Any Loss Unacceptable",H109*J109*L109*O109))))),"Check Data")</f>
        <v/>
      </c>
      <c r="R109" s="55"/>
      <c r="S109" s="79"/>
      <c r="T109" s="82"/>
      <c r="U109" s="83" t="str">
        <f t="shared" si="8"/>
        <v/>
      </c>
      <c r="V109" s="83" t="str">
        <f t="shared" si="9"/>
        <v/>
      </c>
      <c r="W109" s="83" t="str">
        <f>IF(E109="","",IF(H109&lt;S109+T109,"Error in Areas",IF(P109&lt;&gt;'G-1 All Habitats'!$X$3,H109-S109-T109,IF(AND(P109='G-1 All Habitats'!$X$3,Y109="Yes"),"Unacceptable Loss",IF(AND(P109='G-1 All Habitats'!$X$3,Y109="No"),AC109,IF(AND(P109='G-1 All Habitats'!$X$3,Y109=""),AC109,IF(AND(P109='G-1 All Habitats'!$X$3,AC109="None",AC109),IF(AND(P109='G-1 All Habitats'!$X$3,AC109&gt;0),H109-S109-T109))))))))</f>
        <v/>
      </c>
      <c r="X109" s="354" t="str">
        <f>IFERROR(IF(H109="","",IF(H109-S109-T109=0&lt;0,"Error in Areas",IF(S109+T109&gt;H109,"Error in Areas",IF(AND(P109='G-1 All Habitats'!$X$3,Y109="Yes"),"Alternative Compensation",IF(W109=0,0,IF(P109='G-1 All Habitats'!$X$3,"Unacceptable Loss",Q109-U109-V109)))))),"Check Data")</f>
        <v/>
      </c>
      <c r="Y109" s="82"/>
      <c r="Z109" s="182"/>
      <c r="AA109" s="183"/>
      <c r="AC109" s="371" t="str">
        <f>IF(P109="","",IF(P109='G-1 All Habitats'!$X$3,H109-S109-T109,"None"))</f>
        <v/>
      </c>
      <c r="AD109" s="372" t="str">
        <f t="shared" si="10"/>
        <v/>
      </c>
      <c r="AF109" s="188" t="str">
        <f t="shared" si="6"/>
        <v/>
      </c>
      <c r="AG109" s="188" t="str">
        <f t="shared" si="7"/>
        <v/>
      </c>
      <c r="AH109" s="188" t="str">
        <f>IF(I109="","",IF(#REF!&gt;0,TRUE,FALSE))</f>
        <v/>
      </c>
      <c r="AI109" s="188">
        <v>99</v>
      </c>
      <c r="AJ109" s="188"/>
      <c r="AK109" s="188" t="str">
        <f t="array" ref="AK109">IFERROR(INDEX($AI$11:$AI$259, MATCH(0, IF(TRUE=$AF$11:$AF$259, COUNTIF($AK$10:$AK108, $AI$11:$AI$259), ""), 0)),"")</f>
        <v/>
      </c>
      <c r="AL109" s="188" t="str">
        <f t="array" ref="AL109">IFERROR(INDEX($AI$11:$AI$259, MATCH(0, IF(TRUE=$AG$11:$AG$259, COUNTIF($AL$10:$AL108, $AI$11:$AI$259), ""), 0)),"")</f>
        <v/>
      </c>
      <c r="AM109" s="188" t="str">
        <f t="array" ref="AM109">IFERROR(INDEX($AI$11:$AI$259, MATCH(0, IF(TRUE=$AH$11:$AH$259, COUNTIF($AM$10:$AM108, $AI$11:$AI$259), ""), 0)),"")</f>
        <v/>
      </c>
      <c r="AQ109" s="35">
        <f t="shared" si="11"/>
        <v>0</v>
      </c>
    </row>
    <row r="110" spans="1:43" x14ac:dyDescent="0.25">
      <c r="A110" s="35" t="str">
        <f>IFERROR(INDEX('G-1 All Habitats'!$AG$3:$AG$15,MATCH(E110,'G-1 All Habitats'!$AF$3:$AF$15,0)),"")</f>
        <v/>
      </c>
      <c r="B110" s="35" t="str">
        <f>IFERROR(INDEX('G-8 Condition Look up'!$I$4:$I$131,MATCH(G110,'G-8 Condition Look up'!$A$4:$A$131,0)),"")</f>
        <v/>
      </c>
      <c r="D110" s="168">
        <v>100</v>
      </c>
      <c r="E110" s="275"/>
      <c r="F110" s="275"/>
      <c r="G110" s="370" t="str">
        <f>IFERROR(INDEX('G-1 All Habitats'!$B$3:$B$130,MATCH(F110,'G-1 All Habitats'!$A$3:$A$130,0)),"")</f>
        <v/>
      </c>
      <c r="H110" s="213"/>
      <c r="I110" s="171" t="str">
        <f>IF(G110="","",VLOOKUP(G110,'G-1 All Habitats'!$B$2:$M$130,10,FALSE))</f>
        <v/>
      </c>
      <c r="J110" s="172" t="str">
        <f>IFERROR(VLOOKUP(I110,'G-1 All Habitats'!$V$3:$W$7,2,FALSE),"")</f>
        <v/>
      </c>
      <c r="K110" s="173"/>
      <c r="L110" s="172" t="str">
        <f>IFERROR(INDEX('G-8 Condition Look up'!$A$3:$H$131,MATCH(G110,'G-8 Condition Look up'!$A$3:$A$131,0),MATCH(K110,'G-8 Condition Look up'!$A$3:$H$3,0)),"")</f>
        <v/>
      </c>
      <c r="M110" s="186"/>
      <c r="N110" s="175" t="str">
        <f>IF(M110="","",IF(VLOOKUP(M110,'G-3 Multipliers'!$L$3:$N$6,2,FALSE)=0,"Spatial Data Missing",VLOOKUP(M110,'G-3 Multipliers'!$L$3:$N$6,2,FALSE)))</f>
        <v/>
      </c>
      <c r="O110" s="176" t="str">
        <f>IF(M110="","",IF(VLOOKUP(M110,'G-3 Multipliers'!$L$3:$N$6,3,FALSE)=0,"Spatial Data Missing",VLOOKUP(M110,'G-3 Multipliers'!$L$3:$N$6,3,FALSE)))</f>
        <v/>
      </c>
      <c r="P110" s="177" t="str">
        <f>IFERROR(VLOOKUP(G110,'G-1 All Habitats'!$B$2:$M$130,12,FALSE),"")</f>
        <v/>
      </c>
      <c r="Q110" s="81" t="str">
        <f>IFERROR(IF(P110="","",IF(AND(P110='G-1 All Habitats'!$X$3,T110&gt;0),U110+V110,IF(AND(P110='G-1 All Habitats'!$X$3,S110&gt;0),U110+V110,IF(AND(P110='G-1 All Habitats'!$X$3,AC110&gt;0),"Any Loss Unacceptable",IF(AND(P110='G-1 All Habitats'!$X$3,W110&gt;0),"Any Loss Unacceptable",H110*J110*L110*O110))))),"Check Data")</f>
        <v/>
      </c>
      <c r="R110" s="55"/>
      <c r="S110" s="79"/>
      <c r="T110" s="82"/>
      <c r="U110" s="83" t="str">
        <f t="shared" si="8"/>
        <v/>
      </c>
      <c r="V110" s="83" t="str">
        <f t="shared" si="9"/>
        <v/>
      </c>
      <c r="W110" s="83" t="str">
        <f>IF(E110="","",IF(H110&lt;S110+T110,"Error in Areas",IF(P110&lt;&gt;'G-1 All Habitats'!$X$3,H110-S110-T110,IF(AND(P110='G-1 All Habitats'!$X$3,Y110="Yes"),"Unacceptable Loss",IF(AND(P110='G-1 All Habitats'!$X$3,Y110="No"),AC110,IF(AND(P110='G-1 All Habitats'!$X$3,Y110=""),AC110,IF(AND(P110='G-1 All Habitats'!$X$3,AC110="None",AC110),IF(AND(P110='G-1 All Habitats'!$X$3,AC110&gt;0),H110-S110-T110))))))))</f>
        <v/>
      </c>
      <c r="X110" s="354" t="str">
        <f>IFERROR(IF(H110="","",IF(H110-S110-T110=0&lt;0,"Error in Areas",IF(S110+T110&gt;H110,"Error in Areas",IF(AND(P110='G-1 All Habitats'!$X$3,Y110="Yes"),"Alternative Compensation",IF(W110=0,0,IF(P110='G-1 All Habitats'!$X$3,"Unacceptable Loss",Q110-U110-V110)))))),"Check Data")</f>
        <v/>
      </c>
      <c r="Y110" s="82"/>
      <c r="Z110" s="182"/>
      <c r="AA110" s="183"/>
      <c r="AC110" s="371" t="str">
        <f>IF(P110="","",IF(P110='G-1 All Habitats'!$X$3,H110-S110-T110,"None"))</f>
        <v/>
      </c>
      <c r="AD110" s="372" t="str">
        <f t="shared" si="10"/>
        <v/>
      </c>
      <c r="AF110" s="188" t="str">
        <f t="shared" si="6"/>
        <v/>
      </c>
      <c r="AG110" s="188" t="str">
        <f t="shared" si="7"/>
        <v/>
      </c>
      <c r="AH110" s="188" t="str">
        <f>IF(I110="","",IF(#REF!&gt;0,TRUE,FALSE))</f>
        <v/>
      </c>
      <c r="AI110" s="188">
        <v>100</v>
      </c>
      <c r="AJ110" s="188"/>
      <c r="AK110" s="188" t="str">
        <f t="array" ref="AK110">IFERROR(INDEX($AI$11:$AI$259, MATCH(0, IF(TRUE=$AF$11:$AF$259, COUNTIF($AK$10:$AK109, $AI$11:$AI$259), ""), 0)),"")</f>
        <v/>
      </c>
      <c r="AL110" s="188" t="str">
        <f t="array" ref="AL110">IFERROR(INDEX($AI$11:$AI$259, MATCH(0, IF(TRUE=$AG$11:$AG$259, COUNTIF($AL$10:$AL109, $AI$11:$AI$259), ""), 0)),"")</f>
        <v/>
      </c>
      <c r="AM110" s="188" t="str">
        <f t="array" ref="AM110">IFERROR(INDEX($AI$11:$AI$259, MATCH(0, IF(TRUE=$AH$11:$AH$259, COUNTIF($AM$10:$AM109, $AI$11:$AI$259), ""), 0)),"")</f>
        <v/>
      </c>
      <c r="AQ110" s="35">
        <f t="shared" si="11"/>
        <v>0</v>
      </c>
    </row>
    <row r="111" spans="1:43" x14ac:dyDescent="0.25">
      <c r="A111" s="35" t="str">
        <f>IFERROR(INDEX('G-1 All Habitats'!$AG$3:$AG$15,MATCH(E111,'G-1 All Habitats'!$AF$3:$AF$15,0)),"")</f>
        <v/>
      </c>
      <c r="B111" s="35" t="str">
        <f>IFERROR(INDEX('G-8 Condition Look up'!$I$4:$I$131,MATCH(G111,'G-8 Condition Look up'!$A$4:$A$131,0)),"")</f>
        <v/>
      </c>
      <c r="D111" s="168">
        <v>101</v>
      </c>
      <c r="E111" s="275"/>
      <c r="F111" s="275"/>
      <c r="G111" s="370" t="str">
        <f>IFERROR(INDEX('G-1 All Habitats'!$B$3:$B$130,MATCH(F111,'G-1 All Habitats'!$A$3:$A$130,0)),"")</f>
        <v/>
      </c>
      <c r="H111" s="213"/>
      <c r="I111" s="171" t="str">
        <f>IF(G111="","",VLOOKUP(G111,'G-1 All Habitats'!$B$2:$M$130,10,FALSE))</f>
        <v/>
      </c>
      <c r="J111" s="172" t="str">
        <f>IFERROR(VLOOKUP(I111,'G-1 All Habitats'!$V$3:$W$7,2,FALSE),"")</f>
        <v/>
      </c>
      <c r="K111" s="173"/>
      <c r="L111" s="172" t="str">
        <f>IFERROR(INDEX('G-8 Condition Look up'!$A$3:$H$131,MATCH(G111,'G-8 Condition Look up'!$A$3:$A$131,0),MATCH(K111,'G-8 Condition Look up'!$A$3:$H$3,0)),"")</f>
        <v/>
      </c>
      <c r="M111" s="186"/>
      <c r="N111" s="175" t="str">
        <f>IF(M111="","",IF(VLOOKUP(M111,'G-3 Multipliers'!$L$3:$N$6,2,FALSE)=0,"Spatial Data Missing",VLOOKUP(M111,'G-3 Multipliers'!$L$3:$N$6,2,FALSE)))</f>
        <v/>
      </c>
      <c r="O111" s="176" t="str">
        <f>IF(M111="","",IF(VLOOKUP(M111,'G-3 Multipliers'!$L$3:$N$6,3,FALSE)=0,"Spatial Data Missing",VLOOKUP(M111,'G-3 Multipliers'!$L$3:$N$6,3,FALSE)))</f>
        <v/>
      </c>
      <c r="P111" s="177" t="str">
        <f>IFERROR(VLOOKUP(G111,'G-1 All Habitats'!$B$2:$M$130,12,FALSE),"")</f>
        <v/>
      </c>
      <c r="Q111" s="81" t="str">
        <f>IFERROR(IF(P111="","",IF(AND(P111='G-1 All Habitats'!$X$3,T111&gt;0),U111+V111,IF(AND(P111='G-1 All Habitats'!$X$3,S111&gt;0),U111+V111,IF(AND(P111='G-1 All Habitats'!$X$3,AC111&gt;0),"Any Loss Unacceptable",IF(AND(P111='G-1 All Habitats'!$X$3,W111&gt;0),"Any Loss Unacceptable",H111*J111*L111*O111))))),"Check Data")</f>
        <v/>
      </c>
      <c r="R111" s="55"/>
      <c r="S111" s="79"/>
      <c r="T111" s="82"/>
      <c r="U111" s="83" t="str">
        <f t="shared" si="8"/>
        <v/>
      </c>
      <c r="V111" s="83" t="str">
        <f t="shared" si="9"/>
        <v/>
      </c>
      <c r="W111" s="83" t="str">
        <f>IF(E111="","",IF(H111&lt;S111+T111,"Error in Areas",IF(P111&lt;&gt;'G-1 All Habitats'!$X$3,H111-S111-T111,IF(AND(P111='G-1 All Habitats'!$X$3,Y111="Yes"),"Unacceptable Loss",IF(AND(P111='G-1 All Habitats'!$X$3,Y111="No"),AC111,IF(AND(P111='G-1 All Habitats'!$X$3,Y111=""),AC111,IF(AND(P111='G-1 All Habitats'!$X$3,AC111="None",AC111),IF(AND(P111='G-1 All Habitats'!$X$3,AC111&gt;0),H111-S111-T111))))))))</f>
        <v/>
      </c>
      <c r="X111" s="354" t="str">
        <f>IFERROR(IF(H111="","",IF(H111-S111-T111=0&lt;0,"Error in Areas",IF(S111+T111&gt;H111,"Error in Areas",IF(AND(P111='G-1 All Habitats'!$X$3,Y111="Yes"),"Alternative Compensation",IF(W111=0,0,IF(P111='G-1 All Habitats'!$X$3,"Unacceptable Loss",Q111-U111-V111)))))),"Check Data")</f>
        <v/>
      </c>
      <c r="Y111" s="82"/>
      <c r="Z111" s="182"/>
      <c r="AA111" s="183"/>
      <c r="AC111" s="371" t="str">
        <f>IF(P111="","",IF(P111='G-1 All Habitats'!$X$3,H111-S111-T111,"None"))</f>
        <v/>
      </c>
      <c r="AD111" s="372" t="str">
        <f t="shared" si="10"/>
        <v/>
      </c>
      <c r="AF111" s="188" t="str">
        <f t="shared" si="6"/>
        <v/>
      </c>
      <c r="AG111" s="188" t="str">
        <f t="shared" si="7"/>
        <v/>
      </c>
      <c r="AH111" s="188" t="str">
        <f>IF(I111="","",IF(#REF!&gt;0,TRUE,FALSE))</f>
        <v/>
      </c>
      <c r="AI111" s="188">
        <v>101</v>
      </c>
      <c r="AJ111" s="188"/>
      <c r="AK111" s="188" t="str">
        <f t="array" ref="AK111">IFERROR(INDEX($AI$11:$AI$259, MATCH(0, IF(TRUE=$AF$11:$AF$259, COUNTIF($AK$10:$AK110, $AI$11:$AI$259), ""), 0)),"")</f>
        <v/>
      </c>
      <c r="AL111" s="188" t="str">
        <f t="array" ref="AL111">IFERROR(INDEX($AI$11:$AI$259, MATCH(0, IF(TRUE=$AG$11:$AG$259, COUNTIF($AL$10:$AL110, $AI$11:$AI$259), ""), 0)),"")</f>
        <v/>
      </c>
      <c r="AM111" s="188" t="str">
        <f t="array" ref="AM111">IFERROR(INDEX($AI$11:$AI$259, MATCH(0, IF(TRUE=$AH$11:$AH$259, COUNTIF($AM$10:$AM110, $AI$11:$AI$259), ""), 0)),"")</f>
        <v/>
      </c>
      <c r="AQ111" s="35">
        <f t="shared" si="11"/>
        <v>0</v>
      </c>
    </row>
    <row r="112" spans="1:43" x14ac:dyDescent="0.25">
      <c r="A112" s="35" t="str">
        <f>IFERROR(INDEX('G-1 All Habitats'!$AG$3:$AG$15,MATCH(E112,'G-1 All Habitats'!$AF$3:$AF$15,0)),"")</f>
        <v/>
      </c>
      <c r="B112" s="35" t="str">
        <f>IFERROR(INDEX('G-8 Condition Look up'!$I$4:$I$131,MATCH(G112,'G-8 Condition Look up'!$A$4:$A$131,0)),"")</f>
        <v/>
      </c>
      <c r="D112" s="168">
        <v>102</v>
      </c>
      <c r="E112" s="275"/>
      <c r="F112" s="275"/>
      <c r="G112" s="370" t="str">
        <f>IFERROR(INDEX('G-1 All Habitats'!$B$3:$B$130,MATCH(F112,'G-1 All Habitats'!$A$3:$A$130,0)),"")</f>
        <v/>
      </c>
      <c r="H112" s="213"/>
      <c r="I112" s="171" t="str">
        <f>IF(G112="","",VLOOKUP(G112,'G-1 All Habitats'!$B$2:$M$130,10,FALSE))</f>
        <v/>
      </c>
      <c r="J112" s="172" t="str">
        <f>IFERROR(VLOOKUP(I112,'G-1 All Habitats'!$V$3:$W$7,2,FALSE),"")</f>
        <v/>
      </c>
      <c r="K112" s="173"/>
      <c r="L112" s="172" t="str">
        <f>IFERROR(INDEX('G-8 Condition Look up'!$A$3:$H$131,MATCH(G112,'G-8 Condition Look up'!$A$3:$A$131,0),MATCH(K112,'G-8 Condition Look up'!$A$3:$H$3,0)),"")</f>
        <v/>
      </c>
      <c r="M112" s="186"/>
      <c r="N112" s="175" t="str">
        <f>IF(M112="","",IF(VLOOKUP(M112,'G-3 Multipliers'!$L$3:$N$6,2,FALSE)=0,"Spatial Data Missing",VLOOKUP(M112,'G-3 Multipliers'!$L$3:$N$6,2,FALSE)))</f>
        <v/>
      </c>
      <c r="O112" s="176" t="str">
        <f>IF(M112="","",IF(VLOOKUP(M112,'G-3 Multipliers'!$L$3:$N$6,3,FALSE)=0,"Spatial Data Missing",VLOOKUP(M112,'G-3 Multipliers'!$L$3:$N$6,3,FALSE)))</f>
        <v/>
      </c>
      <c r="P112" s="177" t="str">
        <f>IFERROR(VLOOKUP(G112,'G-1 All Habitats'!$B$2:$M$130,12,FALSE),"")</f>
        <v/>
      </c>
      <c r="Q112" s="81" t="str">
        <f>IFERROR(IF(P112="","",IF(AND(P112='G-1 All Habitats'!$X$3,T112&gt;0),U112+V112,IF(AND(P112='G-1 All Habitats'!$X$3,S112&gt;0),U112+V112,IF(AND(P112='G-1 All Habitats'!$X$3,AC112&gt;0),"Any Loss Unacceptable",IF(AND(P112='G-1 All Habitats'!$X$3,W112&gt;0),"Any Loss Unacceptable",H112*J112*L112*O112))))),"Check Data")</f>
        <v/>
      </c>
      <c r="R112" s="55"/>
      <c r="S112" s="79"/>
      <c r="T112" s="82"/>
      <c r="U112" s="83" t="str">
        <f t="shared" si="8"/>
        <v/>
      </c>
      <c r="V112" s="83" t="str">
        <f t="shared" si="9"/>
        <v/>
      </c>
      <c r="W112" s="83" t="str">
        <f>IF(E112="","",IF(H112&lt;S112+T112,"Error in Areas",IF(P112&lt;&gt;'G-1 All Habitats'!$X$3,H112-S112-T112,IF(AND(P112='G-1 All Habitats'!$X$3,Y112="Yes"),"Unacceptable Loss",IF(AND(P112='G-1 All Habitats'!$X$3,Y112="No"),AC112,IF(AND(P112='G-1 All Habitats'!$X$3,Y112=""),AC112,IF(AND(P112='G-1 All Habitats'!$X$3,AC112="None",AC112),IF(AND(P112='G-1 All Habitats'!$X$3,AC112&gt;0),H112-S112-T112))))))))</f>
        <v/>
      </c>
      <c r="X112" s="354" t="str">
        <f>IFERROR(IF(H112="","",IF(H112-S112-T112=0&lt;0,"Error in Areas",IF(S112+T112&gt;H112,"Error in Areas",IF(AND(P112='G-1 All Habitats'!$X$3,Y112="Yes"),"Alternative Compensation",IF(W112=0,0,IF(P112='G-1 All Habitats'!$X$3,"Unacceptable Loss",Q112-U112-V112)))))),"Check Data")</f>
        <v/>
      </c>
      <c r="Y112" s="82"/>
      <c r="Z112" s="182"/>
      <c r="AA112" s="183"/>
      <c r="AC112" s="371" t="str">
        <f>IF(P112="","",IF(P112='G-1 All Habitats'!$X$3,H112-S112-T112,"None"))</f>
        <v/>
      </c>
      <c r="AD112" s="372" t="str">
        <f t="shared" si="10"/>
        <v/>
      </c>
      <c r="AF112" s="188" t="str">
        <f t="shared" si="6"/>
        <v/>
      </c>
      <c r="AG112" s="188" t="str">
        <f t="shared" si="7"/>
        <v/>
      </c>
      <c r="AH112" s="188" t="str">
        <f>IF(I112="","",IF(#REF!&gt;0,TRUE,FALSE))</f>
        <v/>
      </c>
      <c r="AI112" s="188">
        <v>102</v>
      </c>
      <c r="AJ112" s="188"/>
      <c r="AK112" s="188" t="str">
        <f t="array" ref="AK112">IFERROR(INDEX($AI$11:$AI$259, MATCH(0, IF(TRUE=$AF$11:$AF$259, COUNTIF($AK$10:$AK111, $AI$11:$AI$259), ""), 0)),"")</f>
        <v/>
      </c>
      <c r="AL112" s="188" t="str">
        <f t="array" ref="AL112">IFERROR(INDEX($AI$11:$AI$259, MATCH(0, IF(TRUE=$AG$11:$AG$259, COUNTIF($AL$10:$AL111, $AI$11:$AI$259), ""), 0)),"")</f>
        <v/>
      </c>
      <c r="AM112" s="188" t="str">
        <f t="array" ref="AM112">IFERROR(INDEX($AI$11:$AI$259, MATCH(0, IF(TRUE=$AH$11:$AH$259, COUNTIF($AM$10:$AM111, $AI$11:$AI$259), ""), 0)),"")</f>
        <v/>
      </c>
      <c r="AQ112" s="35">
        <f t="shared" si="11"/>
        <v>0</v>
      </c>
    </row>
    <row r="113" spans="1:43" x14ac:dyDescent="0.25">
      <c r="A113" s="35" t="str">
        <f>IFERROR(INDEX('G-1 All Habitats'!$AG$3:$AG$15,MATCH(E113,'G-1 All Habitats'!$AF$3:$AF$15,0)),"")</f>
        <v/>
      </c>
      <c r="B113" s="35" t="str">
        <f>IFERROR(INDEX('G-8 Condition Look up'!$I$4:$I$131,MATCH(G113,'G-8 Condition Look up'!$A$4:$A$131,0)),"")</f>
        <v/>
      </c>
      <c r="D113" s="168">
        <v>103</v>
      </c>
      <c r="E113" s="275"/>
      <c r="F113" s="275"/>
      <c r="G113" s="370" t="str">
        <f>IFERROR(INDEX('G-1 All Habitats'!$B$3:$B$130,MATCH(F113,'G-1 All Habitats'!$A$3:$A$130,0)),"")</f>
        <v/>
      </c>
      <c r="H113" s="213"/>
      <c r="I113" s="171" t="str">
        <f>IF(G113="","",VLOOKUP(G113,'G-1 All Habitats'!$B$2:$M$130,10,FALSE))</f>
        <v/>
      </c>
      <c r="J113" s="172" t="str">
        <f>IFERROR(VLOOKUP(I113,'G-1 All Habitats'!$V$3:$W$7,2,FALSE),"")</f>
        <v/>
      </c>
      <c r="K113" s="173"/>
      <c r="L113" s="172" t="str">
        <f>IFERROR(INDEX('G-8 Condition Look up'!$A$3:$H$131,MATCH(G113,'G-8 Condition Look up'!$A$3:$A$131,0),MATCH(K113,'G-8 Condition Look up'!$A$3:$H$3,0)),"")</f>
        <v/>
      </c>
      <c r="M113" s="186"/>
      <c r="N113" s="175" t="str">
        <f>IF(M113="","",IF(VLOOKUP(M113,'G-3 Multipliers'!$L$3:$N$6,2,FALSE)=0,"Spatial Data Missing",VLOOKUP(M113,'G-3 Multipliers'!$L$3:$N$6,2,FALSE)))</f>
        <v/>
      </c>
      <c r="O113" s="176" t="str">
        <f>IF(M113="","",IF(VLOOKUP(M113,'G-3 Multipliers'!$L$3:$N$6,3,FALSE)=0,"Spatial Data Missing",VLOOKUP(M113,'G-3 Multipliers'!$L$3:$N$6,3,FALSE)))</f>
        <v/>
      </c>
      <c r="P113" s="177" t="str">
        <f>IFERROR(VLOOKUP(G113,'G-1 All Habitats'!$B$2:$M$130,12,FALSE),"")</f>
        <v/>
      </c>
      <c r="Q113" s="81" t="str">
        <f>IFERROR(IF(P113="","",IF(AND(P113='G-1 All Habitats'!$X$3,T113&gt;0),U113+V113,IF(AND(P113='G-1 All Habitats'!$X$3,S113&gt;0),U113+V113,IF(AND(P113='G-1 All Habitats'!$X$3,AC113&gt;0),"Any Loss Unacceptable",IF(AND(P113='G-1 All Habitats'!$X$3,W113&gt;0),"Any Loss Unacceptable",H113*J113*L113*O113))))),"Check Data")</f>
        <v/>
      </c>
      <c r="R113" s="55"/>
      <c r="S113" s="79"/>
      <c r="T113" s="82"/>
      <c r="U113" s="83" t="str">
        <f t="shared" si="8"/>
        <v/>
      </c>
      <c r="V113" s="83" t="str">
        <f t="shared" si="9"/>
        <v/>
      </c>
      <c r="W113" s="83" t="str">
        <f>IF(E113="","",IF(H113&lt;S113+T113,"Error in Areas",IF(P113&lt;&gt;'G-1 All Habitats'!$X$3,H113-S113-T113,IF(AND(P113='G-1 All Habitats'!$X$3,Y113="Yes"),"Unacceptable Loss",IF(AND(P113='G-1 All Habitats'!$X$3,Y113="No"),AC113,IF(AND(P113='G-1 All Habitats'!$X$3,Y113=""),AC113,IF(AND(P113='G-1 All Habitats'!$X$3,AC113="None",AC113),IF(AND(P113='G-1 All Habitats'!$X$3,AC113&gt;0),H113-S113-T113))))))))</f>
        <v/>
      </c>
      <c r="X113" s="354" t="str">
        <f>IFERROR(IF(H113="","",IF(H113-S113-T113=0&lt;0,"Error in Areas",IF(S113+T113&gt;H113,"Error in Areas",IF(AND(P113='G-1 All Habitats'!$X$3,Y113="Yes"),"Alternative Compensation",IF(W113=0,0,IF(P113='G-1 All Habitats'!$X$3,"Unacceptable Loss",Q113-U113-V113)))))),"Check Data")</f>
        <v/>
      </c>
      <c r="Y113" s="82"/>
      <c r="Z113" s="182"/>
      <c r="AA113" s="183"/>
      <c r="AC113" s="371" t="str">
        <f>IF(P113="","",IF(P113='G-1 All Habitats'!$X$3,H113-S113-T113,"None"))</f>
        <v/>
      </c>
      <c r="AD113" s="372" t="str">
        <f t="shared" si="10"/>
        <v/>
      </c>
      <c r="AF113" s="188" t="str">
        <f t="shared" si="6"/>
        <v/>
      </c>
      <c r="AG113" s="188" t="str">
        <f t="shared" si="7"/>
        <v/>
      </c>
      <c r="AH113" s="188" t="str">
        <f>IF(I113="","",IF(#REF!&gt;0,TRUE,FALSE))</f>
        <v/>
      </c>
      <c r="AI113" s="188">
        <v>103</v>
      </c>
      <c r="AJ113" s="188"/>
      <c r="AK113" s="188" t="str">
        <f t="array" ref="AK113">IFERROR(INDEX($AI$11:$AI$259, MATCH(0, IF(TRUE=$AF$11:$AF$259, COUNTIF($AK$10:$AK112, $AI$11:$AI$259), ""), 0)),"")</f>
        <v/>
      </c>
      <c r="AL113" s="188" t="str">
        <f t="array" ref="AL113">IFERROR(INDEX($AI$11:$AI$259, MATCH(0, IF(TRUE=$AG$11:$AG$259, COUNTIF($AL$10:$AL112, $AI$11:$AI$259), ""), 0)),"")</f>
        <v/>
      </c>
      <c r="AM113" s="188" t="str">
        <f t="array" ref="AM113">IFERROR(INDEX($AI$11:$AI$259, MATCH(0, IF(TRUE=$AH$11:$AH$259, COUNTIF($AM$10:$AM112, $AI$11:$AI$259), ""), 0)),"")</f>
        <v/>
      </c>
      <c r="AQ113" s="35">
        <f t="shared" si="11"/>
        <v>0</v>
      </c>
    </row>
    <row r="114" spans="1:43" x14ac:dyDescent="0.25">
      <c r="A114" s="35" t="str">
        <f>IFERROR(INDEX('G-1 All Habitats'!$AG$3:$AG$15,MATCH(E114,'G-1 All Habitats'!$AF$3:$AF$15,0)),"")</f>
        <v/>
      </c>
      <c r="B114" s="35" t="str">
        <f>IFERROR(INDEX('G-8 Condition Look up'!$I$4:$I$131,MATCH(G114,'G-8 Condition Look up'!$A$4:$A$131,0)),"")</f>
        <v/>
      </c>
      <c r="D114" s="168">
        <v>104</v>
      </c>
      <c r="E114" s="275"/>
      <c r="F114" s="275"/>
      <c r="G114" s="370" t="str">
        <f>IFERROR(INDEX('G-1 All Habitats'!$B$3:$B$130,MATCH(F114,'G-1 All Habitats'!$A$3:$A$130,0)),"")</f>
        <v/>
      </c>
      <c r="H114" s="213"/>
      <c r="I114" s="171" t="str">
        <f>IF(G114="","",VLOOKUP(G114,'G-1 All Habitats'!$B$2:$M$130,10,FALSE))</f>
        <v/>
      </c>
      <c r="J114" s="172" t="str">
        <f>IFERROR(VLOOKUP(I114,'G-1 All Habitats'!$V$3:$W$7,2,FALSE),"")</f>
        <v/>
      </c>
      <c r="K114" s="173"/>
      <c r="L114" s="172" t="str">
        <f>IFERROR(INDEX('G-8 Condition Look up'!$A$3:$H$131,MATCH(G114,'G-8 Condition Look up'!$A$3:$A$131,0),MATCH(K114,'G-8 Condition Look up'!$A$3:$H$3,0)),"")</f>
        <v/>
      </c>
      <c r="M114" s="186"/>
      <c r="N114" s="175" t="str">
        <f>IF(M114="","",IF(VLOOKUP(M114,'G-3 Multipliers'!$L$3:$N$6,2,FALSE)=0,"Spatial Data Missing",VLOOKUP(M114,'G-3 Multipliers'!$L$3:$N$6,2,FALSE)))</f>
        <v/>
      </c>
      <c r="O114" s="176" t="str">
        <f>IF(M114="","",IF(VLOOKUP(M114,'G-3 Multipliers'!$L$3:$N$6,3,FALSE)=0,"Spatial Data Missing",VLOOKUP(M114,'G-3 Multipliers'!$L$3:$N$6,3,FALSE)))</f>
        <v/>
      </c>
      <c r="P114" s="177" t="str">
        <f>IFERROR(VLOOKUP(G114,'G-1 All Habitats'!$B$2:$M$130,12,FALSE),"")</f>
        <v/>
      </c>
      <c r="Q114" s="81" t="str">
        <f>IFERROR(IF(P114="","",IF(AND(P114='G-1 All Habitats'!$X$3,T114&gt;0),U114+V114,IF(AND(P114='G-1 All Habitats'!$X$3,S114&gt;0),U114+V114,IF(AND(P114='G-1 All Habitats'!$X$3,AC114&gt;0),"Any Loss Unacceptable",IF(AND(P114='G-1 All Habitats'!$X$3,W114&gt;0),"Any Loss Unacceptable",H114*J114*L114*O114))))),"Check Data")</f>
        <v/>
      </c>
      <c r="R114" s="55"/>
      <c r="S114" s="79"/>
      <c r="T114" s="82"/>
      <c r="U114" s="83" t="str">
        <f t="shared" si="8"/>
        <v/>
      </c>
      <c r="V114" s="83" t="str">
        <f t="shared" si="9"/>
        <v/>
      </c>
      <c r="W114" s="83" t="str">
        <f>IF(E114="","",IF(H114&lt;S114+T114,"Error in Areas",IF(P114&lt;&gt;'G-1 All Habitats'!$X$3,H114-S114-T114,IF(AND(P114='G-1 All Habitats'!$X$3,Y114="Yes"),"Unacceptable Loss",IF(AND(P114='G-1 All Habitats'!$X$3,Y114="No"),AC114,IF(AND(P114='G-1 All Habitats'!$X$3,Y114=""),AC114,IF(AND(P114='G-1 All Habitats'!$X$3,AC114="None",AC114),IF(AND(P114='G-1 All Habitats'!$X$3,AC114&gt;0),H114-S114-T114))))))))</f>
        <v/>
      </c>
      <c r="X114" s="354" t="str">
        <f>IFERROR(IF(H114="","",IF(H114-S114-T114=0&lt;0,"Error in Areas",IF(S114+T114&gt;H114,"Error in Areas",IF(AND(P114='G-1 All Habitats'!$X$3,Y114="Yes"),"Alternative Compensation",IF(W114=0,0,IF(P114='G-1 All Habitats'!$X$3,"Unacceptable Loss",Q114-U114-V114)))))),"Check Data")</f>
        <v/>
      </c>
      <c r="Y114" s="82"/>
      <c r="Z114" s="182"/>
      <c r="AA114" s="183"/>
      <c r="AC114" s="371" t="str">
        <f>IF(P114="","",IF(P114='G-1 All Habitats'!$X$3,H114-S114-T114,"None"))</f>
        <v/>
      </c>
      <c r="AD114" s="372" t="str">
        <f t="shared" si="10"/>
        <v/>
      </c>
      <c r="AF114" s="188" t="str">
        <f t="shared" si="6"/>
        <v/>
      </c>
      <c r="AG114" s="188" t="str">
        <f t="shared" si="7"/>
        <v/>
      </c>
      <c r="AH114" s="188" t="str">
        <f>IF(I114="","",IF(#REF!&gt;0,TRUE,FALSE))</f>
        <v/>
      </c>
      <c r="AI114" s="188">
        <v>104</v>
      </c>
      <c r="AJ114" s="188"/>
      <c r="AK114" s="188" t="str">
        <f t="array" ref="AK114">IFERROR(INDEX($AI$11:$AI$259, MATCH(0, IF(TRUE=$AF$11:$AF$259, COUNTIF($AK$10:$AK113, $AI$11:$AI$259), ""), 0)),"")</f>
        <v/>
      </c>
      <c r="AL114" s="188" t="str">
        <f t="array" ref="AL114">IFERROR(INDEX($AI$11:$AI$259, MATCH(0, IF(TRUE=$AG$11:$AG$259, COUNTIF($AL$10:$AL113, $AI$11:$AI$259), ""), 0)),"")</f>
        <v/>
      </c>
      <c r="AM114" s="188" t="str">
        <f t="array" ref="AM114">IFERROR(INDEX($AI$11:$AI$259, MATCH(0, IF(TRUE=$AH$11:$AH$259, COUNTIF($AM$10:$AM113, $AI$11:$AI$259), ""), 0)),"")</f>
        <v/>
      </c>
      <c r="AQ114" s="35">
        <f t="shared" si="11"/>
        <v>0</v>
      </c>
    </row>
    <row r="115" spans="1:43" x14ac:dyDescent="0.25">
      <c r="A115" s="35" t="str">
        <f>IFERROR(INDEX('G-1 All Habitats'!$AG$3:$AG$15,MATCH(E115,'G-1 All Habitats'!$AF$3:$AF$15,0)),"")</f>
        <v/>
      </c>
      <c r="B115" s="35" t="str">
        <f>IFERROR(INDEX('G-8 Condition Look up'!$I$4:$I$131,MATCH(G115,'G-8 Condition Look up'!$A$4:$A$131,0)),"")</f>
        <v/>
      </c>
      <c r="D115" s="168">
        <v>105</v>
      </c>
      <c r="E115" s="275"/>
      <c r="F115" s="275"/>
      <c r="G115" s="370" t="str">
        <f>IFERROR(INDEX('G-1 All Habitats'!$B$3:$B$130,MATCH(F115,'G-1 All Habitats'!$A$3:$A$130,0)),"")</f>
        <v/>
      </c>
      <c r="H115" s="213"/>
      <c r="I115" s="171" t="str">
        <f>IF(G115="","",VLOOKUP(G115,'G-1 All Habitats'!$B$2:$M$130,10,FALSE))</f>
        <v/>
      </c>
      <c r="J115" s="172" t="str">
        <f>IFERROR(VLOOKUP(I115,'G-1 All Habitats'!$V$3:$W$7,2,FALSE),"")</f>
        <v/>
      </c>
      <c r="K115" s="173"/>
      <c r="L115" s="172" t="str">
        <f>IFERROR(INDEX('G-8 Condition Look up'!$A$3:$H$131,MATCH(G115,'G-8 Condition Look up'!$A$3:$A$131,0),MATCH(K115,'G-8 Condition Look up'!$A$3:$H$3,0)),"")</f>
        <v/>
      </c>
      <c r="M115" s="186"/>
      <c r="N115" s="175" t="str">
        <f>IF(M115="","",IF(VLOOKUP(M115,'G-3 Multipliers'!$L$3:$N$6,2,FALSE)=0,"Spatial Data Missing",VLOOKUP(M115,'G-3 Multipliers'!$L$3:$N$6,2,FALSE)))</f>
        <v/>
      </c>
      <c r="O115" s="176" t="str">
        <f>IF(M115="","",IF(VLOOKUP(M115,'G-3 Multipliers'!$L$3:$N$6,3,FALSE)=0,"Spatial Data Missing",VLOOKUP(M115,'G-3 Multipliers'!$L$3:$N$6,3,FALSE)))</f>
        <v/>
      </c>
      <c r="P115" s="177" t="str">
        <f>IFERROR(VLOOKUP(G115,'G-1 All Habitats'!$B$2:$M$130,12,FALSE),"")</f>
        <v/>
      </c>
      <c r="Q115" s="81" t="str">
        <f>IFERROR(IF(P115="","",IF(AND(P115='G-1 All Habitats'!$X$3,T115&gt;0),U115+V115,IF(AND(P115='G-1 All Habitats'!$X$3,S115&gt;0),U115+V115,IF(AND(P115='G-1 All Habitats'!$X$3,AC115&gt;0),"Any Loss Unacceptable",IF(AND(P115='G-1 All Habitats'!$X$3,W115&gt;0),"Any Loss Unacceptable",H115*J115*L115*O115))))),"Check Data")</f>
        <v/>
      </c>
      <c r="R115" s="55"/>
      <c r="S115" s="79"/>
      <c r="T115" s="82"/>
      <c r="U115" s="83" t="str">
        <f t="shared" si="8"/>
        <v/>
      </c>
      <c r="V115" s="83" t="str">
        <f t="shared" si="9"/>
        <v/>
      </c>
      <c r="W115" s="83" t="str">
        <f>IF(E115="","",IF(H115&lt;S115+T115,"Error in Areas",IF(P115&lt;&gt;'G-1 All Habitats'!$X$3,H115-S115-T115,IF(AND(P115='G-1 All Habitats'!$X$3,Y115="Yes"),"Unacceptable Loss",IF(AND(P115='G-1 All Habitats'!$X$3,Y115="No"),AC115,IF(AND(P115='G-1 All Habitats'!$X$3,Y115=""),AC115,IF(AND(P115='G-1 All Habitats'!$X$3,AC115="None",AC115),IF(AND(P115='G-1 All Habitats'!$X$3,AC115&gt;0),H115-S115-T115))))))))</f>
        <v/>
      </c>
      <c r="X115" s="354" t="str">
        <f>IFERROR(IF(H115="","",IF(H115-S115-T115=0&lt;0,"Error in Areas",IF(S115+T115&gt;H115,"Error in Areas",IF(AND(P115='G-1 All Habitats'!$X$3,Y115="Yes"),"Alternative Compensation",IF(W115=0,0,IF(P115='G-1 All Habitats'!$X$3,"Unacceptable Loss",Q115-U115-V115)))))),"Check Data")</f>
        <v/>
      </c>
      <c r="Y115" s="82"/>
      <c r="Z115" s="182"/>
      <c r="AA115" s="183"/>
      <c r="AC115" s="371" t="str">
        <f>IF(P115="","",IF(P115='G-1 All Habitats'!$X$3,H115-S115-T115,"None"))</f>
        <v/>
      </c>
      <c r="AD115" s="372" t="str">
        <f t="shared" si="10"/>
        <v/>
      </c>
      <c r="AF115" s="188" t="str">
        <f t="shared" si="6"/>
        <v/>
      </c>
      <c r="AG115" s="188" t="str">
        <f t="shared" si="7"/>
        <v/>
      </c>
      <c r="AH115" s="188" t="str">
        <f>IF(I115="","",IF(#REF!&gt;0,TRUE,FALSE))</f>
        <v/>
      </c>
      <c r="AI115" s="188">
        <v>105</v>
      </c>
      <c r="AJ115" s="188"/>
      <c r="AK115" s="188" t="str">
        <f t="array" ref="AK115">IFERROR(INDEX($AI$11:$AI$259, MATCH(0, IF(TRUE=$AF$11:$AF$259, COUNTIF($AK$10:$AK114, $AI$11:$AI$259), ""), 0)),"")</f>
        <v/>
      </c>
      <c r="AL115" s="188" t="str">
        <f t="array" ref="AL115">IFERROR(INDEX($AI$11:$AI$259, MATCH(0, IF(TRUE=$AG$11:$AG$259, COUNTIF($AL$10:$AL114, $AI$11:$AI$259), ""), 0)),"")</f>
        <v/>
      </c>
      <c r="AM115" s="188" t="str">
        <f t="array" ref="AM115">IFERROR(INDEX($AI$11:$AI$259, MATCH(0, IF(TRUE=$AH$11:$AH$259, COUNTIF($AM$10:$AM114, $AI$11:$AI$259), ""), 0)),"")</f>
        <v/>
      </c>
      <c r="AQ115" s="35">
        <f t="shared" si="11"/>
        <v>0</v>
      </c>
    </row>
    <row r="116" spans="1:43" x14ac:dyDescent="0.25">
      <c r="A116" s="35" t="str">
        <f>IFERROR(INDEX('G-1 All Habitats'!$AG$3:$AG$15,MATCH(E116,'G-1 All Habitats'!$AF$3:$AF$15,0)),"")</f>
        <v/>
      </c>
      <c r="B116" s="35" t="str">
        <f>IFERROR(INDEX('G-8 Condition Look up'!$I$4:$I$131,MATCH(G116,'G-8 Condition Look up'!$A$4:$A$131,0)),"")</f>
        <v/>
      </c>
      <c r="D116" s="168">
        <v>106</v>
      </c>
      <c r="E116" s="275"/>
      <c r="F116" s="275"/>
      <c r="G116" s="370" t="str">
        <f>IFERROR(INDEX('G-1 All Habitats'!$B$3:$B$130,MATCH(F116,'G-1 All Habitats'!$A$3:$A$130,0)),"")</f>
        <v/>
      </c>
      <c r="H116" s="213"/>
      <c r="I116" s="171" t="str">
        <f>IF(G116="","",VLOOKUP(G116,'G-1 All Habitats'!$B$2:$M$130,10,FALSE))</f>
        <v/>
      </c>
      <c r="J116" s="172" t="str">
        <f>IFERROR(VLOOKUP(I116,'G-1 All Habitats'!$V$3:$W$7,2,FALSE),"")</f>
        <v/>
      </c>
      <c r="K116" s="173"/>
      <c r="L116" s="172" t="str">
        <f>IFERROR(INDEX('G-8 Condition Look up'!$A$3:$H$131,MATCH(G116,'G-8 Condition Look up'!$A$3:$A$131,0),MATCH(K116,'G-8 Condition Look up'!$A$3:$H$3,0)),"")</f>
        <v/>
      </c>
      <c r="M116" s="186"/>
      <c r="N116" s="175" t="str">
        <f>IF(M116="","",IF(VLOOKUP(M116,'G-3 Multipliers'!$L$3:$N$6,2,FALSE)=0,"Spatial Data Missing",VLOOKUP(M116,'G-3 Multipliers'!$L$3:$N$6,2,FALSE)))</f>
        <v/>
      </c>
      <c r="O116" s="176" t="str">
        <f>IF(M116="","",IF(VLOOKUP(M116,'G-3 Multipliers'!$L$3:$N$6,3,FALSE)=0,"Spatial Data Missing",VLOOKUP(M116,'G-3 Multipliers'!$L$3:$N$6,3,FALSE)))</f>
        <v/>
      </c>
      <c r="P116" s="177" t="str">
        <f>IFERROR(VLOOKUP(G116,'G-1 All Habitats'!$B$2:$M$130,12,FALSE),"")</f>
        <v/>
      </c>
      <c r="Q116" s="81" t="str">
        <f>IFERROR(IF(P116="","",IF(AND(P116='G-1 All Habitats'!$X$3,T116&gt;0),U116+V116,IF(AND(P116='G-1 All Habitats'!$X$3,S116&gt;0),U116+V116,IF(AND(P116='G-1 All Habitats'!$X$3,AC116&gt;0),"Any Loss Unacceptable",IF(AND(P116='G-1 All Habitats'!$X$3,W116&gt;0),"Any Loss Unacceptable",H116*J116*L116*O116))))),"Check Data")</f>
        <v/>
      </c>
      <c r="R116" s="55"/>
      <c r="S116" s="79"/>
      <c r="T116" s="82"/>
      <c r="U116" s="83" t="str">
        <f t="shared" si="8"/>
        <v/>
      </c>
      <c r="V116" s="83" t="str">
        <f t="shared" si="9"/>
        <v/>
      </c>
      <c r="W116" s="83" t="str">
        <f>IF(E116="","",IF(H116&lt;S116+T116,"Error in Areas",IF(P116&lt;&gt;'G-1 All Habitats'!$X$3,H116-S116-T116,IF(AND(P116='G-1 All Habitats'!$X$3,Y116="Yes"),"Unacceptable Loss",IF(AND(P116='G-1 All Habitats'!$X$3,Y116="No"),AC116,IF(AND(P116='G-1 All Habitats'!$X$3,Y116=""),AC116,IF(AND(P116='G-1 All Habitats'!$X$3,AC116="None",AC116),IF(AND(P116='G-1 All Habitats'!$X$3,AC116&gt;0),H116-S116-T116))))))))</f>
        <v/>
      </c>
      <c r="X116" s="354" t="str">
        <f>IFERROR(IF(H116="","",IF(H116-S116-T116=0&lt;0,"Error in Areas",IF(S116+T116&gt;H116,"Error in Areas",IF(AND(P116='G-1 All Habitats'!$X$3,Y116="Yes"),"Alternative Compensation",IF(W116=0,0,IF(P116='G-1 All Habitats'!$X$3,"Unacceptable Loss",Q116-U116-V116)))))),"Check Data")</f>
        <v/>
      </c>
      <c r="Y116" s="82"/>
      <c r="Z116" s="182"/>
      <c r="AA116" s="183"/>
      <c r="AC116" s="371" t="str">
        <f>IF(P116="","",IF(P116='G-1 All Habitats'!$X$3,H116-S116-T116,"None"))</f>
        <v/>
      </c>
      <c r="AD116" s="372" t="str">
        <f t="shared" si="10"/>
        <v/>
      </c>
      <c r="AF116" s="188" t="str">
        <f t="shared" si="6"/>
        <v/>
      </c>
      <c r="AG116" s="188" t="str">
        <f t="shared" si="7"/>
        <v/>
      </c>
      <c r="AH116" s="188" t="str">
        <f>IF(I116="","",IF(#REF!&gt;0,TRUE,FALSE))</f>
        <v/>
      </c>
      <c r="AI116" s="188">
        <v>106</v>
      </c>
      <c r="AJ116" s="188"/>
      <c r="AK116" s="188" t="str">
        <f t="array" ref="AK116">IFERROR(INDEX($AI$11:$AI$259, MATCH(0, IF(TRUE=$AF$11:$AF$259, COUNTIF($AK$10:$AK115, $AI$11:$AI$259), ""), 0)),"")</f>
        <v/>
      </c>
      <c r="AL116" s="188" t="str">
        <f t="array" ref="AL116">IFERROR(INDEX($AI$11:$AI$259, MATCH(0, IF(TRUE=$AG$11:$AG$259, COUNTIF($AL$10:$AL115, $AI$11:$AI$259), ""), 0)),"")</f>
        <v/>
      </c>
      <c r="AM116" s="188" t="str">
        <f t="array" ref="AM116">IFERROR(INDEX($AI$11:$AI$259, MATCH(0, IF(TRUE=$AH$11:$AH$259, COUNTIF($AM$10:$AM115, $AI$11:$AI$259), ""), 0)),"")</f>
        <v/>
      </c>
      <c r="AQ116" s="35">
        <f t="shared" si="11"/>
        <v>0</v>
      </c>
    </row>
    <row r="117" spans="1:43" x14ac:dyDescent="0.25">
      <c r="A117" s="35" t="str">
        <f>IFERROR(INDEX('G-1 All Habitats'!$AG$3:$AG$15,MATCH(E117,'G-1 All Habitats'!$AF$3:$AF$15,0)),"")</f>
        <v/>
      </c>
      <c r="B117" s="35" t="str">
        <f>IFERROR(INDEX('G-8 Condition Look up'!$I$4:$I$131,MATCH(G117,'G-8 Condition Look up'!$A$4:$A$131,0)),"")</f>
        <v/>
      </c>
      <c r="D117" s="168">
        <v>107</v>
      </c>
      <c r="E117" s="275"/>
      <c r="F117" s="275"/>
      <c r="G117" s="370" t="str">
        <f>IFERROR(INDEX('G-1 All Habitats'!$B$3:$B$130,MATCH(F117,'G-1 All Habitats'!$A$3:$A$130,0)),"")</f>
        <v/>
      </c>
      <c r="H117" s="213"/>
      <c r="I117" s="171" t="str">
        <f>IF(G117="","",VLOOKUP(G117,'G-1 All Habitats'!$B$2:$M$130,10,FALSE))</f>
        <v/>
      </c>
      <c r="J117" s="172" t="str">
        <f>IFERROR(VLOOKUP(I117,'G-1 All Habitats'!$V$3:$W$7,2,FALSE),"")</f>
        <v/>
      </c>
      <c r="K117" s="173"/>
      <c r="L117" s="172" t="str">
        <f>IFERROR(INDEX('G-8 Condition Look up'!$A$3:$H$131,MATCH(G117,'G-8 Condition Look up'!$A$3:$A$131,0),MATCH(K117,'G-8 Condition Look up'!$A$3:$H$3,0)),"")</f>
        <v/>
      </c>
      <c r="M117" s="186"/>
      <c r="N117" s="175" t="str">
        <f>IF(M117="","",IF(VLOOKUP(M117,'G-3 Multipliers'!$L$3:$N$6,2,FALSE)=0,"Spatial Data Missing",VLOOKUP(M117,'G-3 Multipliers'!$L$3:$N$6,2,FALSE)))</f>
        <v/>
      </c>
      <c r="O117" s="176" t="str">
        <f>IF(M117="","",IF(VLOOKUP(M117,'G-3 Multipliers'!$L$3:$N$6,3,FALSE)=0,"Spatial Data Missing",VLOOKUP(M117,'G-3 Multipliers'!$L$3:$N$6,3,FALSE)))</f>
        <v/>
      </c>
      <c r="P117" s="177" t="str">
        <f>IFERROR(VLOOKUP(G117,'G-1 All Habitats'!$B$2:$M$130,12,FALSE),"")</f>
        <v/>
      </c>
      <c r="Q117" s="81" t="str">
        <f>IFERROR(IF(P117="","",IF(AND(P117='G-1 All Habitats'!$X$3,T117&gt;0),U117+V117,IF(AND(P117='G-1 All Habitats'!$X$3,S117&gt;0),U117+V117,IF(AND(P117='G-1 All Habitats'!$X$3,AC117&gt;0),"Any Loss Unacceptable",IF(AND(P117='G-1 All Habitats'!$X$3,W117&gt;0),"Any Loss Unacceptable",H117*J117*L117*O117))))),"Check Data")</f>
        <v/>
      </c>
      <c r="R117" s="55"/>
      <c r="S117" s="79"/>
      <c r="T117" s="82"/>
      <c r="U117" s="83" t="str">
        <f t="shared" si="8"/>
        <v/>
      </c>
      <c r="V117" s="83" t="str">
        <f t="shared" si="9"/>
        <v/>
      </c>
      <c r="W117" s="83" t="str">
        <f>IF(E117="","",IF(H117&lt;S117+T117,"Error in Areas",IF(P117&lt;&gt;'G-1 All Habitats'!$X$3,H117-S117-T117,IF(AND(P117='G-1 All Habitats'!$X$3,Y117="Yes"),"Unacceptable Loss",IF(AND(P117='G-1 All Habitats'!$X$3,Y117="No"),AC117,IF(AND(P117='G-1 All Habitats'!$X$3,Y117=""),AC117,IF(AND(P117='G-1 All Habitats'!$X$3,AC117="None",AC117),IF(AND(P117='G-1 All Habitats'!$X$3,AC117&gt;0),H117-S117-T117))))))))</f>
        <v/>
      </c>
      <c r="X117" s="354" t="str">
        <f>IFERROR(IF(H117="","",IF(H117-S117-T117=0&lt;0,"Error in Areas",IF(S117+T117&gt;H117,"Error in Areas",IF(AND(P117='G-1 All Habitats'!$X$3,Y117="Yes"),"Alternative Compensation",IF(W117=0,0,IF(P117='G-1 All Habitats'!$X$3,"Unacceptable Loss",Q117-U117-V117)))))),"Check Data")</f>
        <v/>
      </c>
      <c r="Y117" s="82"/>
      <c r="Z117" s="182"/>
      <c r="AA117" s="183"/>
      <c r="AC117" s="371" t="str">
        <f>IF(P117="","",IF(P117='G-1 All Habitats'!$X$3,H117-S117-T117,"None"))</f>
        <v/>
      </c>
      <c r="AD117" s="372" t="str">
        <f t="shared" si="10"/>
        <v/>
      </c>
      <c r="AF117" s="188" t="str">
        <f t="shared" si="6"/>
        <v/>
      </c>
      <c r="AG117" s="188" t="str">
        <f t="shared" si="7"/>
        <v/>
      </c>
      <c r="AH117" s="188" t="str">
        <f>IF(I117="","",IF(#REF!&gt;0,TRUE,FALSE))</f>
        <v/>
      </c>
      <c r="AI117" s="188">
        <v>107</v>
      </c>
      <c r="AJ117" s="188"/>
      <c r="AK117" s="188" t="str">
        <f t="array" ref="AK117">IFERROR(INDEX($AI$11:$AI$259, MATCH(0, IF(TRUE=$AF$11:$AF$259, COUNTIF($AK$10:$AK116, $AI$11:$AI$259), ""), 0)),"")</f>
        <v/>
      </c>
      <c r="AL117" s="188" t="str">
        <f t="array" ref="AL117">IFERROR(INDEX($AI$11:$AI$259, MATCH(0, IF(TRUE=$AG$11:$AG$259, COUNTIF($AL$10:$AL116, $AI$11:$AI$259), ""), 0)),"")</f>
        <v/>
      </c>
      <c r="AM117" s="188" t="str">
        <f t="array" ref="AM117">IFERROR(INDEX($AI$11:$AI$259, MATCH(0, IF(TRUE=$AH$11:$AH$259, COUNTIF($AM$10:$AM116, $AI$11:$AI$259), ""), 0)),"")</f>
        <v/>
      </c>
      <c r="AQ117" s="35">
        <f t="shared" si="11"/>
        <v>0</v>
      </c>
    </row>
    <row r="118" spans="1:43" x14ac:dyDescent="0.25">
      <c r="A118" s="35" t="str">
        <f>IFERROR(INDEX('G-1 All Habitats'!$AG$3:$AG$15,MATCH(E118,'G-1 All Habitats'!$AF$3:$AF$15,0)),"")</f>
        <v/>
      </c>
      <c r="B118" s="35" t="str">
        <f>IFERROR(INDEX('G-8 Condition Look up'!$I$4:$I$131,MATCH(G118,'G-8 Condition Look up'!$A$4:$A$131,0)),"")</f>
        <v/>
      </c>
      <c r="D118" s="168">
        <v>108</v>
      </c>
      <c r="E118" s="275"/>
      <c r="F118" s="275"/>
      <c r="G118" s="370" t="str">
        <f>IFERROR(INDEX('G-1 All Habitats'!$B$3:$B$130,MATCH(F118,'G-1 All Habitats'!$A$3:$A$130,0)),"")</f>
        <v/>
      </c>
      <c r="H118" s="213"/>
      <c r="I118" s="171" t="str">
        <f>IF(G118="","",VLOOKUP(G118,'G-1 All Habitats'!$B$2:$M$130,10,FALSE))</f>
        <v/>
      </c>
      <c r="J118" s="172" t="str">
        <f>IFERROR(VLOOKUP(I118,'G-1 All Habitats'!$V$3:$W$7,2,FALSE),"")</f>
        <v/>
      </c>
      <c r="K118" s="173"/>
      <c r="L118" s="172" t="str">
        <f>IFERROR(INDEX('G-8 Condition Look up'!$A$3:$H$131,MATCH(G118,'G-8 Condition Look up'!$A$3:$A$131,0),MATCH(K118,'G-8 Condition Look up'!$A$3:$H$3,0)),"")</f>
        <v/>
      </c>
      <c r="M118" s="186"/>
      <c r="N118" s="175" t="str">
        <f>IF(M118="","",IF(VLOOKUP(M118,'G-3 Multipliers'!$L$3:$N$6,2,FALSE)=0,"Spatial Data Missing",VLOOKUP(M118,'G-3 Multipliers'!$L$3:$N$6,2,FALSE)))</f>
        <v/>
      </c>
      <c r="O118" s="176" t="str">
        <f>IF(M118="","",IF(VLOOKUP(M118,'G-3 Multipliers'!$L$3:$N$6,3,FALSE)=0,"Spatial Data Missing",VLOOKUP(M118,'G-3 Multipliers'!$L$3:$N$6,3,FALSE)))</f>
        <v/>
      </c>
      <c r="P118" s="177" t="str">
        <f>IFERROR(VLOOKUP(G118,'G-1 All Habitats'!$B$2:$M$130,12,FALSE),"")</f>
        <v/>
      </c>
      <c r="Q118" s="81" t="str">
        <f>IFERROR(IF(P118="","",IF(AND(P118='G-1 All Habitats'!$X$3,T118&gt;0),U118+V118,IF(AND(P118='G-1 All Habitats'!$X$3,S118&gt;0),U118+V118,IF(AND(P118='G-1 All Habitats'!$X$3,AC118&gt;0),"Any Loss Unacceptable",IF(AND(P118='G-1 All Habitats'!$X$3,W118&gt;0),"Any Loss Unacceptable",H118*J118*L118*O118))))),"Check Data")</f>
        <v/>
      </c>
      <c r="R118" s="55"/>
      <c r="S118" s="79"/>
      <c r="T118" s="82"/>
      <c r="U118" s="83" t="str">
        <f t="shared" si="8"/>
        <v/>
      </c>
      <c r="V118" s="83" t="str">
        <f t="shared" si="9"/>
        <v/>
      </c>
      <c r="W118" s="83" t="str">
        <f>IF(E118="","",IF(H118&lt;S118+T118,"Error in Areas",IF(P118&lt;&gt;'G-1 All Habitats'!$X$3,H118-S118-T118,IF(AND(P118='G-1 All Habitats'!$X$3,Y118="Yes"),"Unacceptable Loss",IF(AND(P118='G-1 All Habitats'!$X$3,Y118="No"),AC118,IF(AND(P118='G-1 All Habitats'!$X$3,Y118=""),AC118,IF(AND(P118='G-1 All Habitats'!$X$3,AC118="None",AC118),IF(AND(P118='G-1 All Habitats'!$X$3,AC118&gt;0),H118-S118-T118))))))))</f>
        <v/>
      </c>
      <c r="X118" s="354" t="str">
        <f>IFERROR(IF(H118="","",IF(H118-S118-T118=0&lt;0,"Error in Areas",IF(S118+T118&gt;H118,"Error in Areas",IF(AND(P118='G-1 All Habitats'!$X$3,Y118="Yes"),"Alternative Compensation",IF(W118=0,0,IF(P118='G-1 All Habitats'!$X$3,"Unacceptable Loss",Q118-U118-V118)))))),"Check Data")</f>
        <v/>
      </c>
      <c r="Y118" s="82"/>
      <c r="Z118" s="182"/>
      <c r="AA118" s="183"/>
      <c r="AC118" s="371" t="str">
        <f>IF(P118="","",IF(P118='G-1 All Habitats'!$X$3,H118-S118-T118,"None"))</f>
        <v/>
      </c>
      <c r="AD118" s="372" t="str">
        <f t="shared" si="10"/>
        <v/>
      </c>
      <c r="AF118" s="188" t="str">
        <f t="shared" si="6"/>
        <v/>
      </c>
      <c r="AG118" s="188" t="str">
        <f t="shared" si="7"/>
        <v/>
      </c>
      <c r="AH118" s="188" t="str">
        <f>IF(I118="","",IF(#REF!&gt;0,TRUE,FALSE))</f>
        <v/>
      </c>
      <c r="AI118" s="188">
        <v>108</v>
      </c>
      <c r="AJ118" s="188"/>
      <c r="AK118" s="188" t="str">
        <f t="array" ref="AK118">IFERROR(INDEX($AI$11:$AI$259, MATCH(0, IF(TRUE=$AF$11:$AF$259, COUNTIF($AK$10:$AK117, $AI$11:$AI$259), ""), 0)),"")</f>
        <v/>
      </c>
      <c r="AL118" s="188" t="str">
        <f t="array" ref="AL118">IFERROR(INDEX($AI$11:$AI$259, MATCH(0, IF(TRUE=$AG$11:$AG$259, COUNTIF($AL$10:$AL117, $AI$11:$AI$259), ""), 0)),"")</f>
        <v/>
      </c>
      <c r="AM118" s="188" t="str">
        <f t="array" ref="AM118">IFERROR(INDEX($AI$11:$AI$259, MATCH(0, IF(TRUE=$AH$11:$AH$259, COUNTIF($AM$10:$AM117, $AI$11:$AI$259), ""), 0)),"")</f>
        <v/>
      </c>
      <c r="AQ118" s="35">
        <f t="shared" si="11"/>
        <v>0</v>
      </c>
    </row>
    <row r="119" spans="1:43" x14ac:dyDescent="0.25">
      <c r="A119" s="35" t="str">
        <f>IFERROR(INDEX('G-1 All Habitats'!$AG$3:$AG$15,MATCH(E119,'G-1 All Habitats'!$AF$3:$AF$15,0)),"")</f>
        <v/>
      </c>
      <c r="B119" s="35" t="str">
        <f>IFERROR(INDEX('G-8 Condition Look up'!$I$4:$I$131,MATCH(G119,'G-8 Condition Look up'!$A$4:$A$131,0)),"")</f>
        <v/>
      </c>
      <c r="D119" s="168">
        <v>109</v>
      </c>
      <c r="E119" s="275"/>
      <c r="F119" s="275"/>
      <c r="G119" s="370" t="str">
        <f>IFERROR(INDEX('G-1 All Habitats'!$B$3:$B$130,MATCH(F119,'G-1 All Habitats'!$A$3:$A$130,0)),"")</f>
        <v/>
      </c>
      <c r="H119" s="213"/>
      <c r="I119" s="171" t="str">
        <f>IF(G119="","",VLOOKUP(G119,'G-1 All Habitats'!$B$2:$M$130,10,FALSE))</f>
        <v/>
      </c>
      <c r="J119" s="172" t="str">
        <f>IFERROR(VLOOKUP(I119,'G-1 All Habitats'!$V$3:$W$7,2,FALSE),"")</f>
        <v/>
      </c>
      <c r="K119" s="173"/>
      <c r="L119" s="172" t="str">
        <f>IFERROR(INDEX('G-8 Condition Look up'!$A$3:$H$131,MATCH(G119,'G-8 Condition Look up'!$A$3:$A$131,0),MATCH(K119,'G-8 Condition Look up'!$A$3:$H$3,0)),"")</f>
        <v/>
      </c>
      <c r="M119" s="186"/>
      <c r="N119" s="175" t="str">
        <f>IF(M119="","",IF(VLOOKUP(M119,'G-3 Multipliers'!$L$3:$N$6,2,FALSE)=0,"Spatial Data Missing",VLOOKUP(M119,'G-3 Multipliers'!$L$3:$N$6,2,FALSE)))</f>
        <v/>
      </c>
      <c r="O119" s="176" t="str">
        <f>IF(M119="","",IF(VLOOKUP(M119,'G-3 Multipliers'!$L$3:$N$6,3,FALSE)=0,"Spatial Data Missing",VLOOKUP(M119,'G-3 Multipliers'!$L$3:$N$6,3,FALSE)))</f>
        <v/>
      </c>
      <c r="P119" s="177" t="str">
        <f>IFERROR(VLOOKUP(G119,'G-1 All Habitats'!$B$2:$M$130,12,FALSE),"")</f>
        <v/>
      </c>
      <c r="Q119" s="81" t="str">
        <f>IFERROR(IF(P119="","",IF(AND(P119='G-1 All Habitats'!$X$3,T119&gt;0),U119+V119,IF(AND(P119='G-1 All Habitats'!$X$3,S119&gt;0),U119+V119,IF(AND(P119='G-1 All Habitats'!$X$3,AC119&gt;0),"Any Loss Unacceptable",IF(AND(P119='G-1 All Habitats'!$X$3,W119&gt;0),"Any Loss Unacceptable",H119*J119*L119*O119))))),"Check Data")</f>
        <v/>
      </c>
      <c r="R119" s="55"/>
      <c r="S119" s="79"/>
      <c r="T119" s="82"/>
      <c r="U119" s="83" t="str">
        <f t="shared" si="8"/>
        <v/>
      </c>
      <c r="V119" s="83" t="str">
        <f t="shared" si="9"/>
        <v/>
      </c>
      <c r="W119" s="83" t="str">
        <f>IF(E119="","",IF(H119&lt;S119+T119,"Error in Areas",IF(P119&lt;&gt;'G-1 All Habitats'!$X$3,H119-S119-T119,IF(AND(P119='G-1 All Habitats'!$X$3,Y119="Yes"),"Unacceptable Loss",IF(AND(P119='G-1 All Habitats'!$X$3,Y119="No"),AC119,IF(AND(P119='G-1 All Habitats'!$X$3,Y119=""),AC119,IF(AND(P119='G-1 All Habitats'!$X$3,AC119="None",AC119),IF(AND(P119='G-1 All Habitats'!$X$3,AC119&gt;0),H119-S119-T119))))))))</f>
        <v/>
      </c>
      <c r="X119" s="354" t="str">
        <f>IFERROR(IF(H119="","",IF(H119-S119-T119=0&lt;0,"Error in Areas",IF(S119+T119&gt;H119,"Error in Areas",IF(AND(P119='G-1 All Habitats'!$X$3,Y119="Yes"),"Alternative Compensation",IF(W119=0,0,IF(P119='G-1 All Habitats'!$X$3,"Unacceptable Loss",Q119-U119-V119)))))),"Check Data")</f>
        <v/>
      </c>
      <c r="Y119" s="82"/>
      <c r="Z119" s="182"/>
      <c r="AA119" s="183"/>
      <c r="AC119" s="371" t="str">
        <f>IF(P119="","",IF(P119='G-1 All Habitats'!$X$3,H119-S119-T119,"None"))</f>
        <v/>
      </c>
      <c r="AD119" s="372" t="str">
        <f t="shared" si="10"/>
        <v/>
      </c>
      <c r="AF119" s="188" t="str">
        <f t="shared" si="6"/>
        <v/>
      </c>
      <c r="AG119" s="188" t="str">
        <f t="shared" si="7"/>
        <v/>
      </c>
      <c r="AH119" s="188" t="str">
        <f>IF(I119="","",IF(#REF!&gt;0,TRUE,FALSE))</f>
        <v/>
      </c>
      <c r="AI119" s="188">
        <v>109</v>
      </c>
      <c r="AJ119" s="188"/>
      <c r="AK119" s="188" t="str">
        <f t="array" ref="AK119">IFERROR(INDEX($AI$11:$AI$259, MATCH(0, IF(TRUE=$AF$11:$AF$259, COUNTIF($AK$10:$AK118, $AI$11:$AI$259), ""), 0)),"")</f>
        <v/>
      </c>
      <c r="AL119" s="188" t="str">
        <f t="array" ref="AL119">IFERROR(INDEX($AI$11:$AI$259, MATCH(0, IF(TRUE=$AG$11:$AG$259, COUNTIF($AL$10:$AL118, $AI$11:$AI$259), ""), 0)),"")</f>
        <v/>
      </c>
      <c r="AM119" s="188" t="str">
        <f t="array" ref="AM119">IFERROR(INDEX($AI$11:$AI$259, MATCH(0, IF(TRUE=$AH$11:$AH$259, COUNTIF($AM$10:$AM118, $AI$11:$AI$259), ""), 0)),"")</f>
        <v/>
      </c>
      <c r="AQ119" s="35">
        <f t="shared" si="11"/>
        <v>0</v>
      </c>
    </row>
    <row r="120" spans="1:43" x14ac:dyDescent="0.25">
      <c r="A120" s="35" t="str">
        <f>IFERROR(INDEX('G-1 All Habitats'!$AG$3:$AG$15,MATCH(E120,'G-1 All Habitats'!$AF$3:$AF$15,0)),"")</f>
        <v/>
      </c>
      <c r="B120" s="35" t="str">
        <f>IFERROR(INDEX('G-8 Condition Look up'!$I$4:$I$131,MATCH(G120,'G-8 Condition Look up'!$A$4:$A$131,0)),"")</f>
        <v/>
      </c>
      <c r="D120" s="168">
        <v>110</v>
      </c>
      <c r="E120" s="275"/>
      <c r="F120" s="275"/>
      <c r="G120" s="370" t="str">
        <f>IFERROR(INDEX('G-1 All Habitats'!$B$3:$B$130,MATCH(F120,'G-1 All Habitats'!$A$3:$A$130,0)),"")</f>
        <v/>
      </c>
      <c r="H120" s="213"/>
      <c r="I120" s="171" t="str">
        <f>IF(G120="","",VLOOKUP(G120,'G-1 All Habitats'!$B$2:$M$130,10,FALSE))</f>
        <v/>
      </c>
      <c r="J120" s="172" t="str">
        <f>IFERROR(VLOOKUP(I120,'G-1 All Habitats'!$V$3:$W$7,2,FALSE),"")</f>
        <v/>
      </c>
      <c r="K120" s="173"/>
      <c r="L120" s="172" t="str">
        <f>IFERROR(INDEX('G-8 Condition Look up'!$A$3:$H$131,MATCH(G120,'G-8 Condition Look up'!$A$3:$A$131,0),MATCH(K120,'G-8 Condition Look up'!$A$3:$H$3,0)),"")</f>
        <v/>
      </c>
      <c r="M120" s="186"/>
      <c r="N120" s="175" t="str">
        <f>IF(M120="","",IF(VLOOKUP(M120,'G-3 Multipliers'!$L$3:$N$6,2,FALSE)=0,"Spatial Data Missing",VLOOKUP(M120,'G-3 Multipliers'!$L$3:$N$6,2,FALSE)))</f>
        <v/>
      </c>
      <c r="O120" s="176" t="str">
        <f>IF(M120="","",IF(VLOOKUP(M120,'G-3 Multipliers'!$L$3:$N$6,3,FALSE)=0,"Spatial Data Missing",VLOOKUP(M120,'G-3 Multipliers'!$L$3:$N$6,3,FALSE)))</f>
        <v/>
      </c>
      <c r="P120" s="177" t="str">
        <f>IFERROR(VLOOKUP(G120,'G-1 All Habitats'!$B$2:$M$130,12,FALSE),"")</f>
        <v/>
      </c>
      <c r="Q120" s="81" t="str">
        <f>IFERROR(IF(P120="","",IF(AND(P120='G-1 All Habitats'!$X$3,T120&gt;0),U120+V120,IF(AND(P120='G-1 All Habitats'!$X$3,S120&gt;0),U120+V120,IF(AND(P120='G-1 All Habitats'!$X$3,AC120&gt;0),"Any Loss Unacceptable",IF(AND(P120='G-1 All Habitats'!$X$3,W120&gt;0),"Any Loss Unacceptable",H120*J120*L120*O120))))),"Check Data")</f>
        <v/>
      </c>
      <c r="R120" s="55"/>
      <c r="S120" s="79"/>
      <c r="T120" s="82"/>
      <c r="U120" s="83" t="str">
        <f t="shared" si="8"/>
        <v/>
      </c>
      <c r="V120" s="83" t="str">
        <f t="shared" si="9"/>
        <v/>
      </c>
      <c r="W120" s="83" t="str">
        <f>IF(E120="","",IF(H120&lt;S120+T120,"Error in Areas",IF(P120&lt;&gt;'G-1 All Habitats'!$X$3,H120-S120-T120,IF(AND(P120='G-1 All Habitats'!$X$3,Y120="Yes"),"Unacceptable Loss",IF(AND(P120='G-1 All Habitats'!$X$3,Y120="No"),AC120,IF(AND(P120='G-1 All Habitats'!$X$3,Y120=""),AC120,IF(AND(P120='G-1 All Habitats'!$X$3,AC120="None",AC120),IF(AND(P120='G-1 All Habitats'!$X$3,AC120&gt;0),H120-S120-T120))))))))</f>
        <v/>
      </c>
      <c r="X120" s="354" t="str">
        <f>IFERROR(IF(H120="","",IF(H120-S120-T120=0&lt;0,"Error in Areas",IF(S120+T120&gt;H120,"Error in Areas",IF(AND(P120='G-1 All Habitats'!$X$3,Y120="Yes"),"Alternative Compensation",IF(W120=0,0,IF(P120='G-1 All Habitats'!$X$3,"Unacceptable Loss",Q120-U120-V120)))))),"Check Data")</f>
        <v/>
      </c>
      <c r="Y120" s="82"/>
      <c r="Z120" s="182"/>
      <c r="AA120" s="183"/>
      <c r="AC120" s="371" t="str">
        <f>IF(P120="","",IF(P120='G-1 All Habitats'!$X$3,H120-S120-T120,"None"))</f>
        <v/>
      </c>
      <c r="AD120" s="372" t="str">
        <f t="shared" si="10"/>
        <v/>
      </c>
      <c r="AF120" s="188" t="str">
        <f t="shared" si="6"/>
        <v/>
      </c>
      <c r="AG120" s="188" t="str">
        <f t="shared" si="7"/>
        <v/>
      </c>
      <c r="AH120" s="188" t="str">
        <f>IF(I120="","",IF(#REF!&gt;0,TRUE,FALSE))</f>
        <v/>
      </c>
      <c r="AI120" s="188">
        <v>110</v>
      </c>
      <c r="AJ120" s="188"/>
      <c r="AK120" s="188" t="str">
        <f t="array" ref="AK120">IFERROR(INDEX($AI$11:$AI$259, MATCH(0, IF(TRUE=$AF$11:$AF$259, COUNTIF($AK$10:$AK119, $AI$11:$AI$259), ""), 0)),"")</f>
        <v/>
      </c>
      <c r="AL120" s="188" t="str">
        <f t="array" ref="AL120">IFERROR(INDEX($AI$11:$AI$259, MATCH(0, IF(TRUE=$AG$11:$AG$259, COUNTIF($AL$10:$AL119, $AI$11:$AI$259), ""), 0)),"")</f>
        <v/>
      </c>
      <c r="AM120" s="188" t="str">
        <f t="array" ref="AM120">IFERROR(INDEX($AI$11:$AI$259, MATCH(0, IF(TRUE=$AH$11:$AH$259, COUNTIF($AM$10:$AM119, $AI$11:$AI$259), ""), 0)),"")</f>
        <v/>
      </c>
      <c r="AQ120" s="35">
        <f t="shared" si="11"/>
        <v>0</v>
      </c>
    </row>
    <row r="121" spans="1:43" x14ac:dyDescent="0.25">
      <c r="A121" s="35" t="str">
        <f>IFERROR(INDEX('G-1 All Habitats'!$AG$3:$AG$15,MATCH(E121,'G-1 All Habitats'!$AF$3:$AF$15,0)),"")</f>
        <v/>
      </c>
      <c r="B121" s="35" t="str">
        <f>IFERROR(INDEX('G-8 Condition Look up'!$I$4:$I$131,MATCH(G121,'G-8 Condition Look up'!$A$4:$A$131,0)),"")</f>
        <v/>
      </c>
      <c r="D121" s="168">
        <v>111</v>
      </c>
      <c r="E121" s="275"/>
      <c r="F121" s="275"/>
      <c r="G121" s="370" t="str">
        <f>IFERROR(INDEX('G-1 All Habitats'!$B$3:$B$130,MATCH(F121,'G-1 All Habitats'!$A$3:$A$130,0)),"")</f>
        <v/>
      </c>
      <c r="H121" s="213"/>
      <c r="I121" s="171" t="str">
        <f>IF(G121="","",VLOOKUP(G121,'G-1 All Habitats'!$B$2:$M$130,10,FALSE))</f>
        <v/>
      </c>
      <c r="J121" s="172" t="str">
        <f>IFERROR(VLOOKUP(I121,'G-1 All Habitats'!$V$3:$W$7,2,FALSE),"")</f>
        <v/>
      </c>
      <c r="K121" s="173"/>
      <c r="L121" s="172" t="str">
        <f>IFERROR(INDEX('G-8 Condition Look up'!$A$3:$H$131,MATCH(G121,'G-8 Condition Look up'!$A$3:$A$131,0),MATCH(K121,'G-8 Condition Look up'!$A$3:$H$3,0)),"")</f>
        <v/>
      </c>
      <c r="M121" s="186"/>
      <c r="N121" s="175" t="str">
        <f>IF(M121="","",IF(VLOOKUP(M121,'G-3 Multipliers'!$L$3:$N$6,2,FALSE)=0,"Spatial Data Missing",VLOOKUP(M121,'G-3 Multipliers'!$L$3:$N$6,2,FALSE)))</f>
        <v/>
      </c>
      <c r="O121" s="176" t="str">
        <f>IF(M121="","",IF(VLOOKUP(M121,'G-3 Multipliers'!$L$3:$N$6,3,FALSE)=0,"Spatial Data Missing",VLOOKUP(M121,'G-3 Multipliers'!$L$3:$N$6,3,FALSE)))</f>
        <v/>
      </c>
      <c r="P121" s="177" t="str">
        <f>IFERROR(VLOOKUP(G121,'G-1 All Habitats'!$B$2:$M$130,12,FALSE),"")</f>
        <v/>
      </c>
      <c r="Q121" s="81" t="str">
        <f>IFERROR(IF(P121="","",IF(AND(P121='G-1 All Habitats'!$X$3,T121&gt;0),U121+V121,IF(AND(P121='G-1 All Habitats'!$X$3,S121&gt;0),U121+V121,IF(AND(P121='G-1 All Habitats'!$X$3,AC121&gt;0),"Any Loss Unacceptable",IF(AND(P121='G-1 All Habitats'!$X$3,W121&gt;0),"Any Loss Unacceptable",H121*J121*L121*O121))))),"Check Data")</f>
        <v/>
      </c>
      <c r="R121" s="55"/>
      <c r="S121" s="79"/>
      <c r="T121" s="82"/>
      <c r="U121" s="83" t="str">
        <f t="shared" si="8"/>
        <v/>
      </c>
      <c r="V121" s="83" t="str">
        <f t="shared" si="9"/>
        <v/>
      </c>
      <c r="W121" s="83" t="str">
        <f>IF(E121="","",IF(H121&lt;S121+T121,"Error in Areas",IF(P121&lt;&gt;'G-1 All Habitats'!$X$3,H121-S121-T121,IF(AND(P121='G-1 All Habitats'!$X$3,Y121="Yes"),"Unacceptable Loss",IF(AND(P121='G-1 All Habitats'!$X$3,Y121="No"),AC121,IF(AND(P121='G-1 All Habitats'!$X$3,Y121=""),AC121,IF(AND(P121='G-1 All Habitats'!$X$3,AC121="None",AC121),IF(AND(P121='G-1 All Habitats'!$X$3,AC121&gt;0),H121-S121-T121))))))))</f>
        <v/>
      </c>
      <c r="X121" s="354" t="str">
        <f>IFERROR(IF(H121="","",IF(H121-S121-T121=0&lt;0,"Error in Areas",IF(S121+T121&gt;H121,"Error in Areas",IF(AND(P121='G-1 All Habitats'!$X$3,Y121="Yes"),"Alternative Compensation",IF(W121=0,0,IF(P121='G-1 All Habitats'!$X$3,"Unacceptable Loss",Q121-U121-V121)))))),"Check Data")</f>
        <v/>
      </c>
      <c r="Y121" s="82"/>
      <c r="Z121" s="182"/>
      <c r="AA121" s="183"/>
      <c r="AC121" s="371" t="str">
        <f>IF(P121="","",IF(P121='G-1 All Habitats'!$X$3,H121-S121-T121,"None"))</f>
        <v/>
      </c>
      <c r="AD121" s="372" t="str">
        <f t="shared" si="10"/>
        <v/>
      </c>
      <c r="AF121" s="188" t="str">
        <f t="shared" si="6"/>
        <v/>
      </c>
      <c r="AG121" s="188" t="str">
        <f t="shared" si="7"/>
        <v/>
      </c>
      <c r="AH121" s="188" t="str">
        <f>IF(I121="","",IF(#REF!&gt;0,TRUE,FALSE))</f>
        <v/>
      </c>
      <c r="AI121" s="188">
        <v>111</v>
      </c>
      <c r="AJ121" s="188"/>
      <c r="AK121" s="188" t="str">
        <f t="array" ref="AK121">IFERROR(INDEX($AI$11:$AI$259, MATCH(0, IF(TRUE=$AF$11:$AF$259, COUNTIF($AK$10:$AK120, $AI$11:$AI$259), ""), 0)),"")</f>
        <v/>
      </c>
      <c r="AL121" s="188" t="str">
        <f t="array" ref="AL121">IFERROR(INDEX($AI$11:$AI$259, MATCH(0, IF(TRUE=$AG$11:$AG$259, COUNTIF($AL$10:$AL120, $AI$11:$AI$259), ""), 0)),"")</f>
        <v/>
      </c>
      <c r="AM121" s="188" t="str">
        <f t="array" ref="AM121">IFERROR(INDEX($AI$11:$AI$259, MATCH(0, IF(TRUE=$AH$11:$AH$259, COUNTIF($AM$10:$AM120, $AI$11:$AI$259), ""), 0)),"")</f>
        <v/>
      </c>
      <c r="AQ121" s="35">
        <f t="shared" si="11"/>
        <v>0</v>
      </c>
    </row>
    <row r="122" spans="1:43" x14ac:dyDescent="0.25">
      <c r="A122" s="35" t="str">
        <f>IFERROR(INDEX('G-1 All Habitats'!$AG$3:$AG$15,MATCH(E122,'G-1 All Habitats'!$AF$3:$AF$15,0)),"")</f>
        <v/>
      </c>
      <c r="B122" s="35" t="str">
        <f>IFERROR(INDEX('G-8 Condition Look up'!$I$4:$I$131,MATCH(G122,'G-8 Condition Look up'!$A$4:$A$131,0)),"")</f>
        <v/>
      </c>
      <c r="D122" s="168">
        <v>112</v>
      </c>
      <c r="E122" s="275"/>
      <c r="F122" s="275"/>
      <c r="G122" s="370" t="str">
        <f>IFERROR(INDEX('G-1 All Habitats'!$B$3:$B$130,MATCH(F122,'G-1 All Habitats'!$A$3:$A$130,0)),"")</f>
        <v/>
      </c>
      <c r="H122" s="213"/>
      <c r="I122" s="171" t="str">
        <f>IF(G122="","",VLOOKUP(G122,'G-1 All Habitats'!$B$2:$M$130,10,FALSE))</f>
        <v/>
      </c>
      <c r="J122" s="172" t="str">
        <f>IFERROR(VLOOKUP(I122,'G-1 All Habitats'!$V$3:$W$7,2,FALSE),"")</f>
        <v/>
      </c>
      <c r="K122" s="173"/>
      <c r="L122" s="172" t="str">
        <f>IFERROR(INDEX('G-8 Condition Look up'!$A$3:$H$131,MATCH(G122,'G-8 Condition Look up'!$A$3:$A$131,0),MATCH(K122,'G-8 Condition Look up'!$A$3:$H$3,0)),"")</f>
        <v/>
      </c>
      <c r="M122" s="186"/>
      <c r="N122" s="175" t="str">
        <f>IF(M122="","",IF(VLOOKUP(M122,'G-3 Multipliers'!$L$3:$N$6,2,FALSE)=0,"Spatial Data Missing",VLOOKUP(M122,'G-3 Multipliers'!$L$3:$N$6,2,FALSE)))</f>
        <v/>
      </c>
      <c r="O122" s="176" t="str">
        <f>IF(M122="","",IF(VLOOKUP(M122,'G-3 Multipliers'!$L$3:$N$6,3,FALSE)=0,"Spatial Data Missing",VLOOKUP(M122,'G-3 Multipliers'!$L$3:$N$6,3,FALSE)))</f>
        <v/>
      </c>
      <c r="P122" s="177" t="str">
        <f>IFERROR(VLOOKUP(G122,'G-1 All Habitats'!$B$2:$M$130,12,FALSE),"")</f>
        <v/>
      </c>
      <c r="Q122" s="81" t="str">
        <f>IFERROR(IF(P122="","",IF(AND(P122='G-1 All Habitats'!$X$3,T122&gt;0),U122+V122,IF(AND(P122='G-1 All Habitats'!$X$3,S122&gt;0),U122+V122,IF(AND(P122='G-1 All Habitats'!$X$3,AC122&gt;0),"Any Loss Unacceptable",IF(AND(P122='G-1 All Habitats'!$X$3,W122&gt;0),"Any Loss Unacceptable",H122*J122*L122*O122))))),"Check Data")</f>
        <v/>
      </c>
      <c r="R122" s="55"/>
      <c r="S122" s="79"/>
      <c r="T122" s="82"/>
      <c r="U122" s="83" t="str">
        <f t="shared" si="8"/>
        <v/>
      </c>
      <c r="V122" s="83" t="str">
        <f t="shared" si="9"/>
        <v/>
      </c>
      <c r="W122" s="83" t="str">
        <f>IF(E122="","",IF(H122&lt;S122+T122,"Error in Areas",IF(P122&lt;&gt;'G-1 All Habitats'!$X$3,H122-S122-T122,IF(AND(P122='G-1 All Habitats'!$X$3,Y122="Yes"),"Unacceptable Loss",IF(AND(P122='G-1 All Habitats'!$X$3,Y122="No"),AC122,IF(AND(P122='G-1 All Habitats'!$X$3,Y122=""),AC122,IF(AND(P122='G-1 All Habitats'!$X$3,AC122="None",AC122),IF(AND(P122='G-1 All Habitats'!$X$3,AC122&gt;0),H122-S122-T122))))))))</f>
        <v/>
      </c>
      <c r="X122" s="354" t="str">
        <f>IFERROR(IF(H122="","",IF(H122-S122-T122=0&lt;0,"Error in Areas",IF(S122+T122&gt;H122,"Error in Areas",IF(AND(P122='G-1 All Habitats'!$X$3,Y122="Yes"),"Alternative Compensation",IF(W122=0,0,IF(P122='G-1 All Habitats'!$X$3,"Unacceptable Loss",Q122-U122-V122)))))),"Check Data")</f>
        <v/>
      </c>
      <c r="Y122" s="82"/>
      <c r="Z122" s="182"/>
      <c r="AA122" s="183"/>
      <c r="AC122" s="371" t="str">
        <f>IF(P122="","",IF(P122='G-1 All Habitats'!$X$3,H122-S122-T122,"None"))</f>
        <v/>
      </c>
      <c r="AD122" s="372" t="str">
        <f t="shared" si="10"/>
        <v/>
      </c>
      <c r="AF122" s="188" t="str">
        <f t="shared" si="6"/>
        <v/>
      </c>
      <c r="AG122" s="188" t="str">
        <f t="shared" si="7"/>
        <v/>
      </c>
      <c r="AH122" s="188" t="str">
        <f>IF(I122="","",IF(#REF!&gt;0,TRUE,FALSE))</f>
        <v/>
      </c>
      <c r="AI122" s="188">
        <v>112</v>
      </c>
      <c r="AJ122" s="188"/>
      <c r="AK122" s="188" t="str">
        <f t="array" ref="AK122">IFERROR(INDEX($AI$11:$AI$259, MATCH(0, IF(TRUE=$AF$11:$AF$259, COUNTIF($AK$10:$AK121, $AI$11:$AI$259), ""), 0)),"")</f>
        <v/>
      </c>
      <c r="AL122" s="188" t="str">
        <f t="array" ref="AL122">IFERROR(INDEX($AI$11:$AI$259, MATCH(0, IF(TRUE=$AG$11:$AG$259, COUNTIF($AL$10:$AL121, $AI$11:$AI$259), ""), 0)),"")</f>
        <v/>
      </c>
      <c r="AM122" s="188" t="str">
        <f t="array" ref="AM122">IFERROR(INDEX($AI$11:$AI$259, MATCH(0, IF(TRUE=$AH$11:$AH$259, COUNTIF($AM$10:$AM121, $AI$11:$AI$259), ""), 0)),"")</f>
        <v/>
      </c>
      <c r="AQ122" s="35">
        <f t="shared" si="11"/>
        <v>0</v>
      </c>
    </row>
    <row r="123" spans="1:43" x14ac:dyDescent="0.25">
      <c r="A123" s="35" t="str">
        <f>IFERROR(INDEX('G-1 All Habitats'!$AG$3:$AG$15,MATCH(E123,'G-1 All Habitats'!$AF$3:$AF$15,0)),"")</f>
        <v/>
      </c>
      <c r="B123" s="35" t="str">
        <f>IFERROR(INDEX('G-8 Condition Look up'!$I$4:$I$131,MATCH(G123,'G-8 Condition Look up'!$A$4:$A$131,0)),"")</f>
        <v/>
      </c>
      <c r="D123" s="168">
        <v>113</v>
      </c>
      <c r="E123" s="275"/>
      <c r="F123" s="275"/>
      <c r="G123" s="370" t="str">
        <f>IFERROR(INDEX('G-1 All Habitats'!$B$3:$B$130,MATCH(F123,'G-1 All Habitats'!$A$3:$A$130,0)),"")</f>
        <v/>
      </c>
      <c r="H123" s="213"/>
      <c r="I123" s="171" t="str">
        <f>IF(G123="","",VLOOKUP(G123,'G-1 All Habitats'!$B$2:$M$130,10,FALSE))</f>
        <v/>
      </c>
      <c r="J123" s="172" t="str">
        <f>IFERROR(VLOOKUP(I123,'G-1 All Habitats'!$V$3:$W$7,2,FALSE),"")</f>
        <v/>
      </c>
      <c r="K123" s="173"/>
      <c r="L123" s="172" t="str">
        <f>IFERROR(INDEX('G-8 Condition Look up'!$A$3:$H$131,MATCH(G123,'G-8 Condition Look up'!$A$3:$A$131,0),MATCH(K123,'G-8 Condition Look up'!$A$3:$H$3,0)),"")</f>
        <v/>
      </c>
      <c r="M123" s="186"/>
      <c r="N123" s="175" t="str">
        <f>IF(M123="","",IF(VLOOKUP(M123,'G-3 Multipliers'!$L$3:$N$6,2,FALSE)=0,"Spatial Data Missing",VLOOKUP(M123,'G-3 Multipliers'!$L$3:$N$6,2,FALSE)))</f>
        <v/>
      </c>
      <c r="O123" s="176" t="str">
        <f>IF(M123="","",IF(VLOOKUP(M123,'G-3 Multipliers'!$L$3:$N$6,3,FALSE)=0,"Spatial Data Missing",VLOOKUP(M123,'G-3 Multipliers'!$L$3:$N$6,3,FALSE)))</f>
        <v/>
      </c>
      <c r="P123" s="177" t="str">
        <f>IFERROR(VLOOKUP(G123,'G-1 All Habitats'!$B$2:$M$130,12,FALSE),"")</f>
        <v/>
      </c>
      <c r="Q123" s="81" t="str">
        <f>IFERROR(IF(P123="","",IF(AND(P123='G-1 All Habitats'!$X$3,T123&gt;0),U123+V123,IF(AND(P123='G-1 All Habitats'!$X$3,S123&gt;0),U123+V123,IF(AND(P123='G-1 All Habitats'!$X$3,AC123&gt;0),"Any Loss Unacceptable",IF(AND(P123='G-1 All Habitats'!$X$3,W123&gt;0),"Any Loss Unacceptable",H123*J123*L123*O123))))),"Check Data")</f>
        <v/>
      </c>
      <c r="R123" s="55"/>
      <c r="S123" s="79"/>
      <c r="T123" s="82"/>
      <c r="U123" s="83" t="str">
        <f t="shared" si="8"/>
        <v/>
      </c>
      <c r="V123" s="83" t="str">
        <f t="shared" si="9"/>
        <v/>
      </c>
      <c r="W123" s="83" t="str">
        <f>IF(E123="","",IF(H123&lt;S123+T123,"Error in Areas",IF(P123&lt;&gt;'G-1 All Habitats'!$X$3,H123-S123-T123,IF(AND(P123='G-1 All Habitats'!$X$3,Y123="Yes"),"Unacceptable Loss",IF(AND(P123='G-1 All Habitats'!$X$3,Y123="No"),AC123,IF(AND(P123='G-1 All Habitats'!$X$3,Y123=""),AC123,IF(AND(P123='G-1 All Habitats'!$X$3,AC123="None",AC123),IF(AND(P123='G-1 All Habitats'!$X$3,AC123&gt;0),H123-S123-T123))))))))</f>
        <v/>
      </c>
      <c r="X123" s="354" t="str">
        <f>IFERROR(IF(H123="","",IF(H123-S123-T123=0&lt;0,"Error in Areas",IF(S123+T123&gt;H123,"Error in Areas",IF(AND(P123='G-1 All Habitats'!$X$3,Y123="Yes"),"Alternative Compensation",IF(W123=0,0,IF(P123='G-1 All Habitats'!$X$3,"Unacceptable Loss",Q123-U123-V123)))))),"Check Data")</f>
        <v/>
      </c>
      <c r="Y123" s="82"/>
      <c r="Z123" s="182"/>
      <c r="AA123" s="183"/>
      <c r="AC123" s="371" t="str">
        <f>IF(P123="","",IF(P123='G-1 All Habitats'!$X$3,H123-S123-T123,"None"))</f>
        <v/>
      </c>
      <c r="AD123" s="372" t="str">
        <f t="shared" si="10"/>
        <v/>
      </c>
      <c r="AF123" s="188" t="str">
        <f t="shared" si="6"/>
        <v/>
      </c>
      <c r="AG123" s="188" t="str">
        <f t="shared" si="7"/>
        <v/>
      </c>
      <c r="AH123" s="188" t="str">
        <f>IF(I123="","",IF(#REF!&gt;0,TRUE,FALSE))</f>
        <v/>
      </c>
      <c r="AI123" s="188">
        <v>113</v>
      </c>
      <c r="AJ123" s="188"/>
      <c r="AK123" s="188" t="str">
        <f t="array" ref="AK123">IFERROR(INDEX($AI$11:$AI$259, MATCH(0, IF(TRUE=$AF$11:$AF$259, COUNTIF($AK$10:$AK122, $AI$11:$AI$259), ""), 0)),"")</f>
        <v/>
      </c>
      <c r="AL123" s="188" t="str">
        <f t="array" ref="AL123">IFERROR(INDEX($AI$11:$AI$259, MATCH(0, IF(TRUE=$AG$11:$AG$259, COUNTIF($AL$10:$AL122, $AI$11:$AI$259), ""), 0)),"")</f>
        <v/>
      </c>
      <c r="AM123" s="188" t="str">
        <f t="array" ref="AM123">IFERROR(INDEX($AI$11:$AI$259, MATCH(0, IF(TRUE=$AH$11:$AH$259, COUNTIF($AM$10:$AM122, $AI$11:$AI$259), ""), 0)),"")</f>
        <v/>
      </c>
      <c r="AQ123" s="35">
        <f t="shared" si="11"/>
        <v>0</v>
      </c>
    </row>
    <row r="124" spans="1:43" x14ac:dyDescent="0.25">
      <c r="A124" s="35" t="str">
        <f>IFERROR(INDEX('G-1 All Habitats'!$AG$3:$AG$15,MATCH(E124,'G-1 All Habitats'!$AF$3:$AF$15,0)),"")</f>
        <v/>
      </c>
      <c r="B124" s="35" t="str">
        <f>IFERROR(INDEX('G-8 Condition Look up'!$I$4:$I$131,MATCH(G124,'G-8 Condition Look up'!$A$4:$A$131,0)),"")</f>
        <v/>
      </c>
      <c r="D124" s="168">
        <v>114</v>
      </c>
      <c r="E124" s="275"/>
      <c r="F124" s="275"/>
      <c r="G124" s="370" t="str">
        <f>IFERROR(INDEX('G-1 All Habitats'!$B$3:$B$130,MATCH(F124,'G-1 All Habitats'!$A$3:$A$130,0)),"")</f>
        <v/>
      </c>
      <c r="H124" s="213"/>
      <c r="I124" s="171" t="str">
        <f>IF(G124="","",VLOOKUP(G124,'G-1 All Habitats'!$B$2:$M$130,10,FALSE))</f>
        <v/>
      </c>
      <c r="J124" s="172" t="str">
        <f>IFERROR(VLOOKUP(I124,'G-1 All Habitats'!$V$3:$W$7,2,FALSE),"")</f>
        <v/>
      </c>
      <c r="K124" s="173"/>
      <c r="L124" s="172" t="str">
        <f>IFERROR(INDEX('G-8 Condition Look up'!$A$3:$H$131,MATCH(G124,'G-8 Condition Look up'!$A$3:$A$131,0),MATCH(K124,'G-8 Condition Look up'!$A$3:$H$3,0)),"")</f>
        <v/>
      </c>
      <c r="M124" s="186"/>
      <c r="N124" s="175" t="str">
        <f>IF(M124="","",IF(VLOOKUP(M124,'G-3 Multipliers'!$L$3:$N$6,2,FALSE)=0,"Spatial Data Missing",VLOOKUP(M124,'G-3 Multipliers'!$L$3:$N$6,2,FALSE)))</f>
        <v/>
      </c>
      <c r="O124" s="176" t="str">
        <f>IF(M124="","",IF(VLOOKUP(M124,'G-3 Multipliers'!$L$3:$N$6,3,FALSE)=0,"Spatial Data Missing",VLOOKUP(M124,'G-3 Multipliers'!$L$3:$N$6,3,FALSE)))</f>
        <v/>
      </c>
      <c r="P124" s="177" t="str">
        <f>IFERROR(VLOOKUP(G124,'G-1 All Habitats'!$B$2:$M$130,12,FALSE),"")</f>
        <v/>
      </c>
      <c r="Q124" s="81" t="str">
        <f>IFERROR(IF(P124="","",IF(AND(P124='G-1 All Habitats'!$X$3,T124&gt;0),U124+V124,IF(AND(P124='G-1 All Habitats'!$X$3,S124&gt;0),U124+V124,IF(AND(P124='G-1 All Habitats'!$X$3,AC124&gt;0),"Any Loss Unacceptable",IF(AND(P124='G-1 All Habitats'!$X$3,W124&gt;0),"Any Loss Unacceptable",H124*J124*L124*O124))))),"Check Data")</f>
        <v/>
      </c>
      <c r="R124" s="55"/>
      <c r="S124" s="79"/>
      <c r="T124" s="82"/>
      <c r="U124" s="83" t="str">
        <f t="shared" si="8"/>
        <v/>
      </c>
      <c r="V124" s="83" t="str">
        <f t="shared" si="9"/>
        <v/>
      </c>
      <c r="W124" s="83" t="str">
        <f>IF(E124="","",IF(H124&lt;S124+T124,"Error in Areas",IF(P124&lt;&gt;'G-1 All Habitats'!$X$3,H124-S124-T124,IF(AND(P124='G-1 All Habitats'!$X$3,Y124="Yes"),"Unacceptable Loss",IF(AND(P124='G-1 All Habitats'!$X$3,Y124="No"),AC124,IF(AND(P124='G-1 All Habitats'!$X$3,Y124=""),AC124,IF(AND(P124='G-1 All Habitats'!$X$3,AC124="None",AC124),IF(AND(P124='G-1 All Habitats'!$X$3,AC124&gt;0),H124-S124-T124))))))))</f>
        <v/>
      </c>
      <c r="X124" s="354" t="str">
        <f>IFERROR(IF(H124="","",IF(H124-S124-T124=0&lt;0,"Error in Areas",IF(S124+T124&gt;H124,"Error in Areas",IF(AND(P124='G-1 All Habitats'!$X$3,Y124="Yes"),"Alternative Compensation",IF(W124=0,0,IF(P124='G-1 All Habitats'!$X$3,"Unacceptable Loss",Q124-U124-V124)))))),"Check Data")</f>
        <v/>
      </c>
      <c r="Y124" s="82"/>
      <c r="Z124" s="182"/>
      <c r="AA124" s="183"/>
      <c r="AC124" s="371" t="str">
        <f>IF(P124="","",IF(P124='G-1 All Habitats'!$X$3,H124-S124-T124,"None"))</f>
        <v/>
      </c>
      <c r="AD124" s="372" t="str">
        <f t="shared" si="10"/>
        <v/>
      </c>
      <c r="AF124" s="188" t="str">
        <f t="shared" si="6"/>
        <v/>
      </c>
      <c r="AG124" s="188" t="str">
        <f t="shared" si="7"/>
        <v/>
      </c>
      <c r="AH124" s="188" t="str">
        <f>IF(I124="","",IF(#REF!&gt;0,TRUE,FALSE))</f>
        <v/>
      </c>
      <c r="AI124" s="188">
        <v>114</v>
      </c>
      <c r="AJ124" s="188"/>
      <c r="AK124" s="188" t="str">
        <f t="array" ref="AK124">IFERROR(INDEX($AI$11:$AI$259, MATCH(0, IF(TRUE=$AF$11:$AF$259, COUNTIF($AK$10:$AK123, $AI$11:$AI$259), ""), 0)),"")</f>
        <v/>
      </c>
      <c r="AL124" s="188" t="str">
        <f t="array" ref="AL124">IFERROR(INDEX($AI$11:$AI$259, MATCH(0, IF(TRUE=$AG$11:$AG$259, COUNTIF($AL$10:$AL123, $AI$11:$AI$259), ""), 0)),"")</f>
        <v/>
      </c>
      <c r="AM124" s="188" t="str">
        <f t="array" ref="AM124">IFERROR(INDEX($AI$11:$AI$259, MATCH(0, IF(TRUE=$AH$11:$AH$259, COUNTIF($AM$10:$AM123, $AI$11:$AI$259), ""), 0)),"")</f>
        <v/>
      </c>
      <c r="AQ124" s="35">
        <f t="shared" si="11"/>
        <v>0</v>
      </c>
    </row>
    <row r="125" spans="1:43" x14ac:dyDescent="0.25">
      <c r="A125" s="35" t="str">
        <f>IFERROR(INDEX('G-1 All Habitats'!$AG$3:$AG$15,MATCH(E125,'G-1 All Habitats'!$AF$3:$AF$15,0)),"")</f>
        <v/>
      </c>
      <c r="B125" s="35" t="str">
        <f>IFERROR(INDEX('G-8 Condition Look up'!$I$4:$I$131,MATCH(G125,'G-8 Condition Look up'!$A$4:$A$131,0)),"")</f>
        <v/>
      </c>
      <c r="D125" s="168">
        <v>115</v>
      </c>
      <c r="E125" s="275"/>
      <c r="F125" s="275"/>
      <c r="G125" s="370" t="str">
        <f>IFERROR(INDEX('G-1 All Habitats'!$B$3:$B$130,MATCH(F125,'G-1 All Habitats'!$A$3:$A$130,0)),"")</f>
        <v/>
      </c>
      <c r="H125" s="213"/>
      <c r="I125" s="171" t="str">
        <f>IF(G125="","",VLOOKUP(G125,'G-1 All Habitats'!$B$2:$M$130,10,FALSE))</f>
        <v/>
      </c>
      <c r="J125" s="172" t="str">
        <f>IFERROR(VLOOKUP(I125,'G-1 All Habitats'!$V$3:$W$7,2,FALSE),"")</f>
        <v/>
      </c>
      <c r="K125" s="173"/>
      <c r="L125" s="172" t="str">
        <f>IFERROR(INDEX('G-8 Condition Look up'!$A$3:$H$131,MATCH(G125,'G-8 Condition Look up'!$A$3:$A$131,0),MATCH(K125,'G-8 Condition Look up'!$A$3:$H$3,0)),"")</f>
        <v/>
      </c>
      <c r="M125" s="186"/>
      <c r="N125" s="175" t="str">
        <f>IF(M125="","",IF(VLOOKUP(M125,'G-3 Multipliers'!$L$3:$N$6,2,FALSE)=0,"Spatial Data Missing",VLOOKUP(M125,'G-3 Multipliers'!$L$3:$N$6,2,FALSE)))</f>
        <v/>
      </c>
      <c r="O125" s="176" t="str">
        <f>IF(M125="","",IF(VLOOKUP(M125,'G-3 Multipliers'!$L$3:$N$6,3,FALSE)=0,"Spatial Data Missing",VLOOKUP(M125,'G-3 Multipliers'!$L$3:$N$6,3,FALSE)))</f>
        <v/>
      </c>
      <c r="P125" s="177" t="str">
        <f>IFERROR(VLOOKUP(G125,'G-1 All Habitats'!$B$2:$M$130,12,FALSE),"")</f>
        <v/>
      </c>
      <c r="Q125" s="81" t="str">
        <f>IFERROR(IF(P125="","",IF(AND(P125='G-1 All Habitats'!$X$3,T125&gt;0),U125+V125,IF(AND(P125='G-1 All Habitats'!$X$3,S125&gt;0),U125+V125,IF(AND(P125='G-1 All Habitats'!$X$3,AC125&gt;0),"Any Loss Unacceptable",IF(AND(P125='G-1 All Habitats'!$X$3,W125&gt;0),"Any Loss Unacceptable",H125*J125*L125*O125))))),"Check Data")</f>
        <v/>
      </c>
      <c r="R125" s="55"/>
      <c r="S125" s="79"/>
      <c r="T125" s="82"/>
      <c r="U125" s="83" t="str">
        <f t="shared" si="8"/>
        <v/>
      </c>
      <c r="V125" s="83" t="str">
        <f t="shared" si="9"/>
        <v/>
      </c>
      <c r="W125" s="83" t="str">
        <f>IF(E125="","",IF(H125&lt;S125+T125,"Error in Areas",IF(P125&lt;&gt;'G-1 All Habitats'!$X$3,H125-S125-T125,IF(AND(P125='G-1 All Habitats'!$X$3,Y125="Yes"),"Unacceptable Loss",IF(AND(P125='G-1 All Habitats'!$X$3,Y125="No"),AC125,IF(AND(P125='G-1 All Habitats'!$X$3,Y125=""),AC125,IF(AND(P125='G-1 All Habitats'!$X$3,AC125="None",AC125),IF(AND(P125='G-1 All Habitats'!$X$3,AC125&gt;0),H125-S125-T125))))))))</f>
        <v/>
      </c>
      <c r="X125" s="354" t="str">
        <f>IFERROR(IF(H125="","",IF(H125-S125-T125=0&lt;0,"Error in Areas",IF(S125+T125&gt;H125,"Error in Areas",IF(AND(P125='G-1 All Habitats'!$X$3,Y125="Yes"),"Alternative Compensation",IF(W125=0,0,IF(P125='G-1 All Habitats'!$X$3,"Unacceptable Loss",Q125-U125-V125)))))),"Check Data")</f>
        <v/>
      </c>
      <c r="Y125" s="82"/>
      <c r="Z125" s="182"/>
      <c r="AA125" s="183"/>
      <c r="AC125" s="371" t="str">
        <f>IF(P125="","",IF(P125='G-1 All Habitats'!$X$3,H125-S125-T125,"None"))</f>
        <v/>
      </c>
      <c r="AD125" s="372" t="str">
        <f t="shared" si="10"/>
        <v/>
      </c>
      <c r="AF125" s="188" t="str">
        <f t="shared" si="6"/>
        <v/>
      </c>
      <c r="AG125" s="188" t="str">
        <f t="shared" si="7"/>
        <v/>
      </c>
      <c r="AH125" s="188" t="str">
        <f>IF(I125="","",IF(#REF!&gt;0,TRUE,FALSE))</f>
        <v/>
      </c>
      <c r="AI125" s="188">
        <v>115</v>
      </c>
      <c r="AJ125" s="188"/>
      <c r="AK125" s="188" t="str">
        <f t="array" ref="AK125">IFERROR(INDEX($AI$11:$AI$259, MATCH(0, IF(TRUE=$AF$11:$AF$259, COUNTIF($AK$10:$AK124, $AI$11:$AI$259), ""), 0)),"")</f>
        <v/>
      </c>
      <c r="AL125" s="188" t="str">
        <f t="array" ref="AL125">IFERROR(INDEX($AI$11:$AI$259, MATCH(0, IF(TRUE=$AG$11:$AG$259, COUNTIF($AL$10:$AL124, $AI$11:$AI$259), ""), 0)),"")</f>
        <v/>
      </c>
      <c r="AM125" s="188" t="str">
        <f t="array" ref="AM125">IFERROR(INDEX($AI$11:$AI$259, MATCH(0, IF(TRUE=$AH$11:$AH$259, COUNTIF($AM$10:$AM124, $AI$11:$AI$259), ""), 0)),"")</f>
        <v/>
      </c>
      <c r="AQ125" s="35">
        <f t="shared" si="11"/>
        <v>0</v>
      </c>
    </row>
    <row r="126" spans="1:43" x14ac:dyDescent="0.25">
      <c r="A126" s="35" t="str">
        <f>IFERROR(INDEX('G-1 All Habitats'!$AG$3:$AG$15,MATCH(E126,'G-1 All Habitats'!$AF$3:$AF$15,0)),"")</f>
        <v/>
      </c>
      <c r="B126" s="35" t="str">
        <f>IFERROR(INDEX('G-8 Condition Look up'!$I$4:$I$131,MATCH(G126,'G-8 Condition Look up'!$A$4:$A$131,0)),"")</f>
        <v/>
      </c>
      <c r="D126" s="168">
        <v>116</v>
      </c>
      <c r="E126" s="275"/>
      <c r="F126" s="275"/>
      <c r="G126" s="370" t="str">
        <f>IFERROR(INDEX('G-1 All Habitats'!$B$3:$B$130,MATCH(F126,'G-1 All Habitats'!$A$3:$A$130,0)),"")</f>
        <v/>
      </c>
      <c r="H126" s="213"/>
      <c r="I126" s="171" t="str">
        <f>IF(G126="","",VLOOKUP(G126,'G-1 All Habitats'!$B$2:$M$130,10,FALSE))</f>
        <v/>
      </c>
      <c r="J126" s="172" t="str">
        <f>IFERROR(VLOOKUP(I126,'G-1 All Habitats'!$V$3:$W$7,2,FALSE),"")</f>
        <v/>
      </c>
      <c r="K126" s="173"/>
      <c r="L126" s="172" t="str">
        <f>IFERROR(INDEX('G-8 Condition Look up'!$A$3:$H$131,MATCH(G126,'G-8 Condition Look up'!$A$3:$A$131,0),MATCH(K126,'G-8 Condition Look up'!$A$3:$H$3,0)),"")</f>
        <v/>
      </c>
      <c r="M126" s="186"/>
      <c r="N126" s="175" t="str">
        <f>IF(M126="","",IF(VLOOKUP(M126,'G-3 Multipliers'!$L$3:$N$6,2,FALSE)=0,"Spatial Data Missing",VLOOKUP(M126,'G-3 Multipliers'!$L$3:$N$6,2,FALSE)))</f>
        <v/>
      </c>
      <c r="O126" s="176" t="str">
        <f>IF(M126="","",IF(VLOOKUP(M126,'G-3 Multipliers'!$L$3:$N$6,3,FALSE)=0,"Spatial Data Missing",VLOOKUP(M126,'G-3 Multipliers'!$L$3:$N$6,3,FALSE)))</f>
        <v/>
      </c>
      <c r="P126" s="177" t="str">
        <f>IFERROR(VLOOKUP(G126,'G-1 All Habitats'!$B$2:$M$130,12,FALSE),"")</f>
        <v/>
      </c>
      <c r="Q126" s="81" t="str">
        <f>IFERROR(IF(P126="","",IF(AND(P126='G-1 All Habitats'!$X$3,T126&gt;0),U126+V126,IF(AND(P126='G-1 All Habitats'!$X$3,S126&gt;0),U126+V126,IF(AND(P126='G-1 All Habitats'!$X$3,AC126&gt;0),"Any Loss Unacceptable",IF(AND(P126='G-1 All Habitats'!$X$3,W126&gt;0),"Any Loss Unacceptable",H126*J126*L126*O126))))),"Check Data")</f>
        <v/>
      </c>
      <c r="R126" s="55"/>
      <c r="S126" s="79"/>
      <c r="T126" s="82"/>
      <c r="U126" s="83" t="str">
        <f t="shared" si="8"/>
        <v/>
      </c>
      <c r="V126" s="83" t="str">
        <f t="shared" si="9"/>
        <v/>
      </c>
      <c r="W126" s="83" t="str">
        <f>IF(E126="","",IF(H126&lt;S126+T126,"Error in Areas",IF(P126&lt;&gt;'G-1 All Habitats'!$X$3,H126-S126-T126,IF(AND(P126='G-1 All Habitats'!$X$3,Y126="Yes"),"Unacceptable Loss",IF(AND(P126='G-1 All Habitats'!$X$3,Y126="No"),AC126,IF(AND(P126='G-1 All Habitats'!$X$3,Y126=""),AC126,IF(AND(P126='G-1 All Habitats'!$X$3,AC126="None",AC126),IF(AND(P126='G-1 All Habitats'!$X$3,AC126&gt;0),H126-S126-T126))))))))</f>
        <v/>
      </c>
      <c r="X126" s="354" t="str">
        <f>IFERROR(IF(H126="","",IF(H126-S126-T126=0&lt;0,"Error in Areas",IF(S126+T126&gt;H126,"Error in Areas",IF(AND(P126='G-1 All Habitats'!$X$3,Y126="Yes"),"Alternative Compensation",IF(W126=0,0,IF(P126='G-1 All Habitats'!$X$3,"Unacceptable Loss",Q126-U126-V126)))))),"Check Data")</f>
        <v/>
      </c>
      <c r="Y126" s="82"/>
      <c r="Z126" s="182"/>
      <c r="AA126" s="183"/>
      <c r="AC126" s="371" t="str">
        <f>IF(P126="","",IF(P126='G-1 All Habitats'!$X$3,H126-S126-T126,"None"))</f>
        <v/>
      </c>
      <c r="AD126" s="372" t="str">
        <f t="shared" si="10"/>
        <v/>
      </c>
      <c r="AF126" s="188" t="str">
        <f t="shared" si="6"/>
        <v/>
      </c>
      <c r="AG126" s="188" t="str">
        <f t="shared" si="7"/>
        <v/>
      </c>
      <c r="AH126" s="188" t="str">
        <f>IF(I126="","",IF(#REF!&gt;0,TRUE,FALSE))</f>
        <v/>
      </c>
      <c r="AI126" s="188">
        <v>116</v>
      </c>
      <c r="AJ126" s="188"/>
      <c r="AK126" s="188" t="str">
        <f t="array" ref="AK126">IFERROR(INDEX($AI$11:$AI$259, MATCH(0, IF(TRUE=$AF$11:$AF$259, COUNTIF($AK$10:$AK125, $AI$11:$AI$259), ""), 0)),"")</f>
        <v/>
      </c>
      <c r="AL126" s="188" t="str">
        <f t="array" ref="AL126">IFERROR(INDEX($AI$11:$AI$259, MATCH(0, IF(TRUE=$AG$11:$AG$259, COUNTIF($AL$10:$AL125, $AI$11:$AI$259), ""), 0)),"")</f>
        <v/>
      </c>
      <c r="AM126" s="188" t="str">
        <f t="array" ref="AM126">IFERROR(INDEX($AI$11:$AI$259, MATCH(0, IF(TRUE=$AH$11:$AH$259, COUNTIF($AM$10:$AM125, $AI$11:$AI$259), ""), 0)),"")</f>
        <v/>
      </c>
      <c r="AQ126" s="35">
        <f t="shared" si="11"/>
        <v>0</v>
      </c>
    </row>
    <row r="127" spans="1:43" x14ac:dyDescent="0.25">
      <c r="A127" s="35" t="str">
        <f>IFERROR(INDEX('G-1 All Habitats'!$AG$3:$AG$15,MATCH(E127,'G-1 All Habitats'!$AF$3:$AF$15,0)),"")</f>
        <v/>
      </c>
      <c r="B127" s="35" t="str">
        <f>IFERROR(INDEX('G-8 Condition Look up'!$I$4:$I$131,MATCH(G127,'G-8 Condition Look up'!$A$4:$A$131,0)),"")</f>
        <v/>
      </c>
      <c r="D127" s="168">
        <v>117</v>
      </c>
      <c r="E127" s="275"/>
      <c r="F127" s="275"/>
      <c r="G127" s="370" t="str">
        <f>IFERROR(INDEX('G-1 All Habitats'!$B$3:$B$130,MATCH(F127,'G-1 All Habitats'!$A$3:$A$130,0)),"")</f>
        <v/>
      </c>
      <c r="H127" s="213"/>
      <c r="I127" s="171" t="str">
        <f>IF(G127="","",VLOOKUP(G127,'G-1 All Habitats'!$B$2:$M$130,10,FALSE))</f>
        <v/>
      </c>
      <c r="J127" s="172" t="str">
        <f>IFERROR(VLOOKUP(I127,'G-1 All Habitats'!$V$3:$W$7,2,FALSE),"")</f>
        <v/>
      </c>
      <c r="K127" s="173"/>
      <c r="L127" s="172" t="str">
        <f>IFERROR(INDEX('G-8 Condition Look up'!$A$3:$H$131,MATCH(G127,'G-8 Condition Look up'!$A$3:$A$131,0),MATCH(K127,'G-8 Condition Look up'!$A$3:$H$3,0)),"")</f>
        <v/>
      </c>
      <c r="M127" s="186"/>
      <c r="N127" s="175" t="str">
        <f>IF(M127="","",IF(VLOOKUP(M127,'G-3 Multipliers'!$L$3:$N$6,2,FALSE)=0,"Spatial Data Missing",VLOOKUP(M127,'G-3 Multipliers'!$L$3:$N$6,2,FALSE)))</f>
        <v/>
      </c>
      <c r="O127" s="176" t="str">
        <f>IF(M127="","",IF(VLOOKUP(M127,'G-3 Multipliers'!$L$3:$N$6,3,FALSE)=0,"Spatial Data Missing",VLOOKUP(M127,'G-3 Multipliers'!$L$3:$N$6,3,FALSE)))</f>
        <v/>
      </c>
      <c r="P127" s="177" t="str">
        <f>IFERROR(VLOOKUP(G127,'G-1 All Habitats'!$B$2:$M$130,12,FALSE),"")</f>
        <v/>
      </c>
      <c r="Q127" s="81" t="str">
        <f>IFERROR(IF(P127="","",IF(AND(P127='G-1 All Habitats'!$X$3,T127&gt;0),U127+V127,IF(AND(P127='G-1 All Habitats'!$X$3,S127&gt;0),U127+V127,IF(AND(P127='G-1 All Habitats'!$X$3,AC127&gt;0),"Any Loss Unacceptable",IF(AND(P127='G-1 All Habitats'!$X$3,W127&gt;0),"Any Loss Unacceptable",H127*J127*L127*O127))))),"Check Data")</f>
        <v/>
      </c>
      <c r="R127" s="55"/>
      <c r="S127" s="79"/>
      <c r="T127" s="82"/>
      <c r="U127" s="83" t="str">
        <f t="shared" si="8"/>
        <v/>
      </c>
      <c r="V127" s="83" t="str">
        <f t="shared" si="9"/>
        <v/>
      </c>
      <c r="W127" s="83" t="str">
        <f>IF(E127="","",IF(H127&lt;S127+T127,"Error in Areas",IF(P127&lt;&gt;'G-1 All Habitats'!$X$3,H127-S127-T127,IF(AND(P127='G-1 All Habitats'!$X$3,Y127="Yes"),"Unacceptable Loss",IF(AND(P127='G-1 All Habitats'!$X$3,Y127="No"),AC127,IF(AND(P127='G-1 All Habitats'!$X$3,Y127=""),AC127,IF(AND(P127='G-1 All Habitats'!$X$3,AC127="None",AC127),IF(AND(P127='G-1 All Habitats'!$X$3,AC127&gt;0),H127-S127-T127))))))))</f>
        <v/>
      </c>
      <c r="X127" s="354" t="str">
        <f>IFERROR(IF(H127="","",IF(H127-S127-T127=0&lt;0,"Error in Areas",IF(S127+T127&gt;H127,"Error in Areas",IF(AND(P127='G-1 All Habitats'!$X$3,Y127="Yes"),"Alternative Compensation",IF(W127=0,0,IF(P127='G-1 All Habitats'!$X$3,"Unacceptable Loss",Q127-U127-V127)))))),"Check Data")</f>
        <v/>
      </c>
      <c r="Y127" s="82"/>
      <c r="Z127" s="182"/>
      <c r="AA127" s="183"/>
      <c r="AC127" s="371" t="str">
        <f>IF(P127="","",IF(P127='G-1 All Habitats'!$X$3,H127-S127-T127,"None"))</f>
        <v/>
      </c>
      <c r="AD127" s="372" t="str">
        <f t="shared" si="10"/>
        <v/>
      </c>
      <c r="AF127" s="188" t="str">
        <f t="shared" si="6"/>
        <v/>
      </c>
      <c r="AG127" s="188" t="str">
        <f t="shared" si="7"/>
        <v/>
      </c>
      <c r="AH127" s="188" t="str">
        <f>IF(I127="","",IF(#REF!&gt;0,TRUE,FALSE))</f>
        <v/>
      </c>
      <c r="AI127" s="188">
        <v>117</v>
      </c>
      <c r="AJ127" s="188"/>
      <c r="AK127" s="188" t="str">
        <f t="array" ref="AK127">IFERROR(INDEX($AI$11:$AI$259, MATCH(0, IF(TRUE=$AF$11:$AF$259, COUNTIF($AK$10:$AK126, $AI$11:$AI$259), ""), 0)),"")</f>
        <v/>
      </c>
      <c r="AL127" s="188" t="str">
        <f t="array" ref="AL127">IFERROR(INDEX($AI$11:$AI$259, MATCH(0, IF(TRUE=$AG$11:$AG$259, COUNTIF($AL$10:$AL126, $AI$11:$AI$259), ""), 0)),"")</f>
        <v/>
      </c>
      <c r="AM127" s="188" t="str">
        <f t="array" ref="AM127">IFERROR(INDEX($AI$11:$AI$259, MATCH(0, IF(TRUE=$AH$11:$AH$259, COUNTIF($AM$10:$AM126, $AI$11:$AI$259), ""), 0)),"")</f>
        <v/>
      </c>
      <c r="AQ127" s="35">
        <f t="shared" si="11"/>
        <v>0</v>
      </c>
    </row>
    <row r="128" spans="1:43" x14ac:dyDescent="0.25">
      <c r="A128" s="35" t="str">
        <f>IFERROR(INDEX('G-1 All Habitats'!$AG$3:$AG$15,MATCH(E128,'G-1 All Habitats'!$AF$3:$AF$15,0)),"")</f>
        <v/>
      </c>
      <c r="B128" s="35" t="str">
        <f>IFERROR(INDEX('G-8 Condition Look up'!$I$4:$I$131,MATCH(G128,'G-8 Condition Look up'!$A$4:$A$131,0)),"")</f>
        <v/>
      </c>
      <c r="D128" s="168">
        <v>118</v>
      </c>
      <c r="E128" s="275"/>
      <c r="F128" s="275"/>
      <c r="G128" s="370" t="str">
        <f>IFERROR(INDEX('G-1 All Habitats'!$B$3:$B$130,MATCH(F128,'G-1 All Habitats'!$A$3:$A$130,0)),"")</f>
        <v/>
      </c>
      <c r="H128" s="213"/>
      <c r="I128" s="171" t="str">
        <f>IF(G128="","",VLOOKUP(G128,'G-1 All Habitats'!$B$2:$M$130,10,FALSE))</f>
        <v/>
      </c>
      <c r="J128" s="172" t="str">
        <f>IFERROR(VLOOKUP(I128,'G-1 All Habitats'!$V$3:$W$7,2,FALSE),"")</f>
        <v/>
      </c>
      <c r="K128" s="173"/>
      <c r="L128" s="172" t="str">
        <f>IFERROR(INDEX('G-8 Condition Look up'!$A$3:$H$131,MATCH(G128,'G-8 Condition Look up'!$A$3:$A$131,0),MATCH(K128,'G-8 Condition Look up'!$A$3:$H$3,0)),"")</f>
        <v/>
      </c>
      <c r="M128" s="186"/>
      <c r="N128" s="175" t="str">
        <f>IF(M128="","",IF(VLOOKUP(M128,'G-3 Multipliers'!$L$3:$N$6,2,FALSE)=0,"Spatial Data Missing",VLOOKUP(M128,'G-3 Multipliers'!$L$3:$N$6,2,FALSE)))</f>
        <v/>
      </c>
      <c r="O128" s="176" t="str">
        <f>IF(M128="","",IF(VLOOKUP(M128,'G-3 Multipliers'!$L$3:$N$6,3,FALSE)=0,"Spatial Data Missing",VLOOKUP(M128,'G-3 Multipliers'!$L$3:$N$6,3,FALSE)))</f>
        <v/>
      </c>
      <c r="P128" s="177" t="str">
        <f>IFERROR(VLOOKUP(G128,'G-1 All Habitats'!$B$2:$M$130,12,FALSE),"")</f>
        <v/>
      </c>
      <c r="Q128" s="81" t="str">
        <f>IFERROR(IF(P128="","",IF(AND(P128='G-1 All Habitats'!$X$3,T128&gt;0),U128+V128,IF(AND(P128='G-1 All Habitats'!$X$3,S128&gt;0),U128+V128,IF(AND(P128='G-1 All Habitats'!$X$3,AC128&gt;0),"Any Loss Unacceptable",IF(AND(P128='G-1 All Habitats'!$X$3,W128&gt;0),"Any Loss Unacceptable",H128*J128*L128*O128))))),"Check Data")</f>
        <v/>
      </c>
      <c r="R128" s="55"/>
      <c r="S128" s="79"/>
      <c r="T128" s="82"/>
      <c r="U128" s="83" t="str">
        <f t="shared" si="8"/>
        <v/>
      </c>
      <c r="V128" s="83" t="str">
        <f t="shared" si="9"/>
        <v/>
      </c>
      <c r="W128" s="83" t="str">
        <f>IF(E128="","",IF(H128&lt;S128+T128,"Error in Areas",IF(P128&lt;&gt;'G-1 All Habitats'!$X$3,H128-S128-T128,IF(AND(P128='G-1 All Habitats'!$X$3,Y128="Yes"),"Unacceptable Loss",IF(AND(P128='G-1 All Habitats'!$X$3,Y128="No"),AC128,IF(AND(P128='G-1 All Habitats'!$X$3,Y128=""),AC128,IF(AND(P128='G-1 All Habitats'!$X$3,AC128="None",AC128),IF(AND(P128='G-1 All Habitats'!$X$3,AC128&gt;0),H128-S128-T128))))))))</f>
        <v/>
      </c>
      <c r="X128" s="354" t="str">
        <f>IFERROR(IF(H128="","",IF(H128-S128-T128=0&lt;0,"Error in Areas",IF(S128+T128&gt;H128,"Error in Areas",IF(AND(P128='G-1 All Habitats'!$X$3,Y128="Yes"),"Alternative Compensation",IF(W128=0,0,IF(P128='G-1 All Habitats'!$X$3,"Unacceptable Loss",Q128-U128-V128)))))),"Check Data")</f>
        <v/>
      </c>
      <c r="Y128" s="82"/>
      <c r="Z128" s="182"/>
      <c r="AA128" s="183"/>
      <c r="AC128" s="371" t="str">
        <f>IF(P128="","",IF(P128='G-1 All Habitats'!$X$3,H128-S128-T128,"None"))</f>
        <v/>
      </c>
      <c r="AD128" s="372" t="str">
        <f t="shared" si="10"/>
        <v/>
      </c>
      <c r="AF128" s="188" t="str">
        <f t="shared" si="6"/>
        <v/>
      </c>
      <c r="AG128" s="188" t="str">
        <f t="shared" si="7"/>
        <v/>
      </c>
      <c r="AH128" s="188" t="str">
        <f>IF(I128="","",IF(#REF!&gt;0,TRUE,FALSE))</f>
        <v/>
      </c>
      <c r="AI128" s="188">
        <v>118</v>
      </c>
      <c r="AJ128" s="188"/>
      <c r="AK128" s="188" t="str">
        <f t="array" ref="AK128">IFERROR(INDEX($AI$11:$AI$259, MATCH(0, IF(TRUE=$AF$11:$AF$259, COUNTIF($AK$10:$AK127, $AI$11:$AI$259), ""), 0)),"")</f>
        <v/>
      </c>
      <c r="AL128" s="188" t="str">
        <f t="array" ref="AL128">IFERROR(INDEX($AI$11:$AI$259, MATCH(0, IF(TRUE=$AG$11:$AG$259, COUNTIF($AL$10:$AL127, $AI$11:$AI$259), ""), 0)),"")</f>
        <v/>
      </c>
      <c r="AM128" s="188" t="str">
        <f t="array" ref="AM128">IFERROR(INDEX($AI$11:$AI$259, MATCH(0, IF(TRUE=$AH$11:$AH$259, COUNTIF($AM$10:$AM127, $AI$11:$AI$259), ""), 0)),"")</f>
        <v/>
      </c>
      <c r="AQ128" s="35">
        <f t="shared" si="11"/>
        <v>0</v>
      </c>
    </row>
    <row r="129" spans="1:43" x14ac:dyDescent="0.25">
      <c r="A129" s="35" t="str">
        <f>IFERROR(INDEX('G-1 All Habitats'!$AG$3:$AG$15,MATCH(E129,'G-1 All Habitats'!$AF$3:$AF$15,0)),"")</f>
        <v/>
      </c>
      <c r="B129" s="35" t="str">
        <f>IFERROR(INDEX('G-8 Condition Look up'!$I$4:$I$131,MATCH(G129,'G-8 Condition Look up'!$A$4:$A$131,0)),"")</f>
        <v/>
      </c>
      <c r="D129" s="168">
        <v>119</v>
      </c>
      <c r="E129" s="275"/>
      <c r="F129" s="275"/>
      <c r="G129" s="370" t="str">
        <f>IFERROR(INDEX('G-1 All Habitats'!$B$3:$B$130,MATCH(F129,'G-1 All Habitats'!$A$3:$A$130,0)),"")</f>
        <v/>
      </c>
      <c r="H129" s="213"/>
      <c r="I129" s="171" t="str">
        <f>IF(G129="","",VLOOKUP(G129,'G-1 All Habitats'!$B$2:$M$130,10,FALSE))</f>
        <v/>
      </c>
      <c r="J129" s="172" t="str">
        <f>IFERROR(VLOOKUP(I129,'G-1 All Habitats'!$V$3:$W$7,2,FALSE),"")</f>
        <v/>
      </c>
      <c r="K129" s="173"/>
      <c r="L129" s="172" t="str">
        <f>IFERROR(INDEX('G-8 Condition Look up'!$A$3:$H$131,MATCH(G129,'G-8 Condition Look up'!$A$3:$A$131,0),MATCH(K129,'G-8 Condition Look up'!$A$3:$H$3,0)),"")</f>
        <v/>
      </c>
      <c r="M129" s="186"/>
      <c r="N129" s="175" t="str">
        <f>IF(M129="","",IF(VLOOKUP(M129,'G-3 Multipliers'!$L$3:$N$6,2,FALSE)=0,"Spatial Data Missing",VLOOKUP(M129,'G-3 Multipliers'!$L$3:$N$6,2,FALSE)))</f>
        <v/>
      </c>
      <c r="O129" s="176" t="str">
        <f>IF(M129="","",IF(VLOOKUP(M129,'G-3 Multipliers'!$L$3:$N$6,3,FALSE)=0,"Spatial Data Missing",VLOOKUP(M129,'G-3 Multipliers'!$L$3:$N$6,3,FALSE)))</f>
        <v/>
      </c>
      <c r="P129" s="177" t="str">
        <f>IFERROR(VLOOKUP(G129,'G-1 All Habitats'!$B$2:$M$130,12,FALSE),"")</f>
        <v/>
      </c>
      <c r="Q129" s="81" t="str">
        <f>IFERROR(IF(P129="","",IF(AND(P129='G-1 All Habitats'!$X$3,T129&gt;0),U129+V129,IF(AND(P129='G-1 All Habitats'!$X$3,S129&gt;0),U129+V129,IF(AND(P129='G-1 All Habitats'!$X$3,AC129&gt;0),"Any Loss Unacceptable",IF(AND(P129='G-1 All Habitats'!$X$3,W129&gt;0),"Any Loss Unacceptable",H129*J129*L129*O129))))),"Check Data")</f>
        <v/>
      </c>
      <c r="R129" s="55"/>
      <c r="S129" s="79"/>
      <c r="T129" s="82"/>
      <c r="U129" s="83" t="str">
        <f t="shared" si="8"/>
        <v/>
      </c>
      <c r="V129" s="83" t="str">
        <f t="shared" si="9"/>
        <v/>
      </c>
      <c r="W129" s="83" t="str">
        <f>IF(E129="","",IF(H129&lt;S129+T129,"Error in Areas",IF(P129&lt;&gt;'G-1 All Habitats'!$X$3,H129-S129-T129,IF(AND(P129='G-1 All Habitats'!$X$3,Y129="Yes"),"Unacceptable Loss",IF(AND(P129='G-1 All Habitats'!$X$3,Y129="No"),AC129,IF(AND(P129='G-1 All Habitats'!$X$3,Y129=""),AC129,IF(AND(P129='G-1 All Habitats'!$X$3,AC129="None",AC129),IF(AND(P129='G-1 All Habitats'!$X$3,AC129&gt;0),H129-S129-T129))))))))</f>
        <v/>
      </c>
      <c r="X129" s="354" t="str">
        <f>IFERROR(IF(H129="","",IF(H129-S129-T129=0&lt;0,"Error in Areas",IF(S129+T129&gt;H129,"Error in Areas",IF(AND(P129='G-1 All Habitats'!$X$3,Y129="Yes"),"Alternative Compensation",IF(W129=0,0,IF(P129='G-1 All Habitats'!$X$3,"Unacceptable Loss",Q129-U129-V129)))))),"Check Data")</f>
        <v/>
      </c>
      <c r="Y129" s="82"/>
      <c r="Z129" s="182"/>
      <c r="AA129" s="183"/>
      <c r="AC129" s="371" t="str">
        <f>IF(P129="","",IF(P129='G-1 All Habitats'!$X$3,H129-S129-T129,"None"))</f>
        <v/>
      </c>
      <c r="AD129" s="372" t="str">
        <f t="shared" si="10"/>
        <v/>
      </c>
      <c r="AF129" s="188" t="str">
        <f t="shared" si="6"/>
        <v/>
      </c>
      <c r="AG129" s="188" t="str">
        <f t="shared" si="7"/>
        <v/>
      </c>
      <c r="AH129" s="188" t="str">
        <f>IF(I129="","",IF(#REF!&gt;0,TRUE,FALSE))</f>
        <v/>
      </c>
      <c r="AI129" s="188">
        <v>119</v>
      </c>
      <c r="AJ129" s="188"/>
      <c r="AK129" s="188" t="str">
        <f t="array" ref="AK129">IFERROR(INDEX($AI$11:$AI$259, MATCH(0, IF(TRUE=$AF$11:$AF$259, COUNTIF($AK$10:$AK128, $AI$11:$AI$259), ""), 0)),"")</f>
        <v/>
      </c>
      <c r="AL129" s="188" t="str">
        <f t="array" ref="AL129">IFERROR(INDEX($AI$11:$AI$259, MATCH(0, IF(TRUE=$AG$11:$AG$259, COUNTIF($AL$10:$AL128, $AI$11:$AI$259), ""), 0)),"")</f>
        <v/>
      </c>
      <c r="AM129" s="188" t="str">
        <f t="array" ref="AM129">IFERROR(INDEX($AI$11:$AI$259, MATCH(0, IF(TRUE=$AH$11:$AH$259, COUNTIF($AM$10:$AM128, $AI$11:$AI$259), ""), 0)),"")</f>
        <v/>
      </c>
      <c r="AQ129" s="35">
        <f t="shared" si="11"/>
        <v>0</v>
      </c>
    </row>
    <row r="130" spans="1:43" x14ac:dyDescent="0.25">
      <c r="A130" s="35" t="str">
        <f>IFERROR(INDEX('G-1 All Habitats'!$AG$3:$AG$15,MATCH(E130,'G-1 All Habitats'!$AF$3:$AF$15,0)),"")</f>
        <v/>
      </c>
      <c r="B130" s="35" t="str">
        <f>IFERROR(INDEX('G-8 Condition Look up'!$I$4:$I$131,MATCH(G130,'G-8 Condition Look up'!$A$4:$A$131,0)),"")</f>
        <v/>
      </c>
      <c r="D130" s="168">
        <v>120</v>
      </c>
      <c r="E130" s="275"/>
      <c r="F130" s="275"/>
      <c r="G130" s="370" t="str">
        <f>IFERROR(INDEX('G-1 All Habitats'!$B$3:$B$130,MATCH(F130,'G-1 All Habitats'!$A$3:$A$130,0)),"")</f>
        <v/>
      </c>
      <c r="H130" s="213"/>
      <c r="I130" s="171" t="str">
        <f>IF(G130="","",VLOOKUP(G130,'G-1 All Habitats'!$B$2:$M$130,10,FALSE))</f>
        <v/>
      </c>
      <c r="J130" s="172" t="str">
        <f>IFERROR(VLOOKUP(I130,'G-1 All Habitats'!$V$3:$W$7,2,FALSE),"")</f>
        <v/>
      </c>
      <c r="K130" s="173"/>
      <c r="L130" s="172" t="str">
        <f>IFERROR(INDEX('G-8 Condition Look up'!$A$3:$H$131,MATCH(G130,'G-8 Condition Look up'!$A$3:$A$131,0),MATCH(K130,'G-8 Condition Look up'!$A$3:$H$3,0)),"")</f>
        <v/>
      </c>
      <c r="M130" s="186"/>
      <c r="N130" s="175" t="str">
        <f>IF(M130="","",IF(VLOOKUP(M130,'G-3 Multipliers'!$L$3:$N$6,2,FALSE)=0,"Spatial Data Missing",VLOOKUP(M130,'G-3 Multipliers'!$L$3:$N$6,2,FALSE)))</f>
        <v/>
      </c>
      <c r="O130" s="176" t="str">
        <f>IF(M130="","",IF(VLOOKUP(M130,'G-3 Multipliers'!$L$3:$N$6,3,FALSE)=0,"Spatial Data Missing",VLOOKUP(M130,'G-3 Multipliers'!$L$3:$N$6,3,FALSE)))</f>
        <v/>
      </c>
      <c r="P130" s="177" t="str">
        <f>IFERROR(VLOOKUP(G130,'G-1 All Habitats'!$B$2:$M$130,12,FALSE),"")</f>
        <v/>
      </c>
      <c r="Q130" s="81" t="str">
        <f>IFERROR(IF(P130="","",IF(AND(P130='G-1 All Habitats'!$X$3,T130&gt;0),U130+V130,IF(AND(P130='G-1 All Habitats'!$X$3,S130&gt;0),U130+V130,IF(AND(P130='G-1 All Habitats'!$X$3,AC130&gt;0),"Any Loss Unacceptable",IF(AND(P130='G-1 All Habitats'!$X$3,W130&gt;0),"Any Loss Unacceptable",H130*J130*L130*O130))))),"Check Data")</f>
        <v/>
      </c>
      <c r="R130" s="55"/>
      <c r="S130" s="79"/>
      <c r="T130" s="82"/>
      <c r="U130" s="83" t="str">
        <f t="shared" si="8"/>
        <v/>
      </c>
      <c r="V130" s="83" t="str">
        <f t="shared" si="9"/>
        <v/>
      </c>
      <c r="W130" s="83" t="str">
        <f>IF(E130="","",IF(H130&lt;S130+T130,"Error in Areas",IF(P130&lt;&gt;'G-1 All Habitats'!$X$3,H130-S130-T130,IF(AND(P130='G-1 All Habitats'!$X$3,Y130="Yes"),"Unacceptable Loss",IF(AND(P130='G-1 All Habitats'!$X$3,Y130="No"),AC130,IF(AND(P130='G-1 All Habitats'!$X$3,Y130=""),AC130,IF(AND(P130='G-1 All Habitats'!$X$3,AC130="None",AC130),IF(AND(P130='G-1 All Habitats'!$X$3,AC130&gt;0),H130-S130-T130))))))))</f>
        <v/>
      </c>
      <c r="X130" s="354" t="str">
        <f>IFERROR(IF(H130="","",IF(H130-S130-T130=0&lt;0,"Error in Areas",IF(S130+T130&gt;H130,"Error in Areas",IF(AND(P130='G-1 All Habitats'!$X$3,Y130="Yes"),"Alternative Compensation",IF(W130=0,0,IF(P130='G-1 All Habitats'!$X$3,"Unacceptable Loss",Q130-U130-V130)))))),"Check Data")</f>
        <v/>
      </c>
      <c r="Y130" s="82"/>
      <c r="Z130" s="182"/>
      <c r="AA130" s="183"/>
      <c r="AC130" s="371" t="str">
        <f>IF(P130="","",IF(P130='G-1 All Habitats'!$X$3,H130-S130-T130,"None"))</f>
        <v/>
      </c>
      <c r="AD130" s="372" t="str">
        <f t="shared" si="10"/>
        <v/>
      </c>
      <c r="AF130" s="188" t="str">
        <f t="shared" si="6"/>
        <v/>
      </c>
      <c r="AG130" s="188" t="str">
        <f t="shared" si="7"/>
        <v/>
      </c>
      <c r="AH130" s="188" t="str">
        <f>IF(I130="","",IF(#REF!&gt;0,TRUE,FALSE))</f>
        <v/>
      </c>
      <c r="AI130" s="188">
        <v>120</v>
      </c>
      <c r="AJ130" s="188"/>
      <c r="AK130" s="188" t="str">
        <f t="array" ref="AK130">IFERROR(INDEX($AI$11:$AI$259, MATCH(0, IF(TRUE=$AF$11:$AF$259, COUNTIF($AK$10:$AK129, $AI$11:$AI$259), ""), 0)),"")</f>
        <v/>
      </c>
      <c r="AL130" s="188" t="str">
        <f t="array" ref="AL130">IFERROR(INDEX($AI$11:$AI$259, MATCH(0, IF(TRUE=$AG$11:$AG$259, COUNTIF($AL$10:$AL129, $AI$11:$AI$259), ""), 0)),"")</f>
        <v/>
      </c>
      <c r="AM130" s="188" t="str">
        <f t="array" ref="AM130">IFERROR(INDEX($AI$11:$AI$259, MATCH(0, IF(TRUE=$AH$11:$AH$259, COUNTIF($AM$10:$AM129, $AI$11:$AI$259), ""), 0)),"")</f>
        <v/>
      </c>
      <c r="AQ130" s="35">
        <f t="shared" si="11"/>
        <v>0</v>
      </c>
    </row>
    <row r="131" spans="1:43" x14ac:dyDescent="0.25">
      <c r="A131" s="35" t="str">
        <f>IFERROR(INDEX('G-1 All Habitats'!$AG$3:$AG$15,MATCH(E131,'G-1 All Habitats'!$AF$3:$AF$15,0)),"")</f>
        <v/>
      </c>
      <c r="B131" s="35" t="str">
        <f>IFERROR(INDEX('G-8 Condition Look up'!$I$4:$I$131,MATCH(G131,'G-8 Condition Look up'!$A$4:$A$131,0)),"")</f>
        <v/>
      </c>
      <c r="D131" s="168">
        <v>121</v>
      </c>
      <c r="E131" s="275"/>
      <c r="F131" s="275"/>
      <c r="G131" s="370" t="str">
        <f>IFERROR(INDEX('G-1 All Habitats'!$B$3:$B$130,MATCH(F131,'G-1 All Habitats'!$A$3:$A$130,0)),"")</f>
        <v/>
      </c>
      <c r="H131" s="213"/>
      <c r="I131" s="171" t="str">
        <f>IF(G131="","",VLOOKUP(G131,'G-1 All Habitats'!$B$2:$M$130,10,FALSE))</f>
        <v/>
      </c>
      <c r="J131" s="172" t="str">
        <f>IFERROR(VLOOKUP(I131,'G-1 All Habitats'!$V$3:$W$7,2,FALSE),"")</f>
        <v/>
      </c>
      <c r="K131" s="173"/>
      <c r="L131" s="172" t="str">
        <f>IFERROR(INDEX('G-8 Condition Look up'!$A$3:$H$131,MATCH(G131,'G-8 Condition Look up'!$A$3:$A$131,0),MATCH(K131,'G-8 Condition Look up'!$A$3:$H$3,0)),"")</f>
        <v/>
      </c>
      <c r="M131" s="186"/>
      <c r="N131" s="175" t="str">
        <f>IF(M131="","",IF(VLOOKUP(M131,'G-3 Multipliers'!$L$3:$N$6,2,FALSE)=0,"Spatial Data Missing",VLOOKUP(M131,'G-3 Multipliers'!$L$3:$N$6,2,FALSE)))</f>
        <v/>
      </c>
      <c r="O131" s="176" t="str">
        <f>IF(M131="","",IF(VLOOKUP(M131,'G-3 Multipliers'!$L$3:$N$6,3,FALSE)=0,"Spatial Data Missing",VLOOKUP(M131,'G-3 Multipliers'!$L$3:$N$6,3,FALSE)))</f>
        <v/>
      </c>
      <c r="P131" s="177" t="str">
        <f>IFERROR(VLOOKUP(G131,'G-1 All Habitats'!$B$2:$M$130,12,FALSE),"")</f>
        <v/>
      </c>
      <c r="Q131" s="81" t="str">
        <f>IFERROR(IF(P131="","",IF(AND(P131='G-1 All Habitats'!$X$3,T131&gt;0),U131+V131,IF(AND(P131='G-1 All Habitats'!$X$3,S131&gt;0),U131+V131,IF(AND(P131='G-1 All Habitats'!$X$3,AC131&gt;0),"Any Loss Unacceptable",IF(AND(P131='G-1 All Habitats'!$X$3,W131&gt;0),"Any Loss Unacceptable",H131*J131*L131*O131))))),"Check Data")</f>
        <v/>
      </c>
      <c r="R131" s="55"/>
      <c r="S131" s="79"/>
      <c r="T131" s="82"/>
      <c r="U131" s="83" t="str">
        <f t="shared" si="8"/>
        <v/>
      </c>
      <c r="V131" s="83" t="str">
        <f t="shared" si="9"/>
        <v/>
      </c>
      <c r="W131" s="83" t="str">
        <f>IF(E131="","",IF(H131&lt;S131+T131,"Error in Areas",IF(P131&lt;&gt;'G-1 All Habitats'!$X$3,H131-S131-T131,IF(AND(P131='G-1 All Habitats'!$X$3,Y131="Yes"),"Unacceptable Loss",IF(AND(P131='G-1 All Habitats'!$X$3,Y131="No"),AC131,IF(AND(P131='G-1 All Habitats'!$X$3,Y131=""),AC131,IF(AND(P131='G-1 All Habitats'!$X$3,AC131="None",AC131),IF(AND(P131='G-1 All Habitats'!$X$3,AC131&gt;0),H131-S131-T131))))))))</f>
        <v/>
      </c>
      <c r="X131" s="354" t="str">
        <f>IFERROR(IF(H131="","",IF(H131-S131-T131=0&lt;0,"Error in Areas",IF(S131+T131&gt;H131,"Error in Areas",IF(AND(P131='G-1 All Habitats'!$X$3,Y131="Yes"),"Alternative Compensation",IF(W131=0,0,IF(P131='G-1 All Habitats'!$X$3,"Unacceptable Loss",Q131-U131-V131)))))),"Check Data")</f>
        <v/>
      </c>
      <c r="Y131" s="82"/>
      <c r="Z131" s="182"/>
      <c r="AA131" s="183"/>
      <c r="AC131" s="371" t="str">
        <f>IF(P131="","",IF(P131='G-1 All Habitats'!$X$3,H131-S131-T131,"None"))</f>
        <v/>
      </c>
      <c r="AD131" s="372" t="str">
        <f t="shared" si="10"/>
        <v/>
      </c>
      <c r="AF131" s="188" t="str">
        <f t="shared" si="6"/>
        <v/>
      </c>
      <c r="AG131" s="188" t="str">
        <f t="shared" si="7"/>
        <v/>
      </c>
      <c r="AH131" s="188" t="str">
        <f>IF(I131="","",IF(#REF!&gt;0,TRUE,FALSE))</f>
        <v/>
      </c>
      <c r="AI131" s="188">
        <v>121</v>
      </c>
      <c r="AJ131" s="188"/>
      <c r="AK131" s="188" t="str">
        <f t="array" ref="AK131">IFERROR(INDEX($AI$11:$AI$259, MATCH(0, IF(TRUE=$AF$11:$AF$259, COUNTIF($AK$10:$AK130, $AI$11:$AI$259), ""), 0)),"")</f>
        <v/>
      </c>
      <c r="AL131" s="188" t="str">
        <f t="array" ref="AL131">IFERROR(INDEX($AI$11:$AI$259, MATCH(0, IF(TRUE=$AG$11:$AG$259, COUNTIF($AL$10:$AL130, $AI$11:$AI$259), ""), 0)),"")</f>
        <v/>
      </c>
      <c r="AM131" s="188" t="str">
        <f t="array" ref="AM131">IFERROR(INDEX($AI$11:$AI$259, MATCH(0, IF(TRUE=$AH$11:$AH$259, COUNTIF($AM$10:$AM130, $AI$11:$AI$259), ""), 0)),"")</f>
        <v/>
      </c>
      <c r="AQ131" s="35">
        <f t="shared" si="11"/>
        <v>0</v>
      </c>
    </row>
    <row r="132" spans="1:43" x14ac:dyDescent="0.25">
      <c r="A132" s="35" t="str">
        <f>IFERROR(INDEX('G-1 All Habitats'!$AG$3:$AG$15,MATCH(E132,'G-1 All Habitats'!$AF$3:$AF$15,0)),"")</f>
        <v/>
      </c>
      <c r="B132" s="35" t="str">
        <f>IFERROR(INDEX('G-8 Condition Look up'!$I$4:$I$131,MATCH(G132,'G-8 Condition Look up'!$A$4:$A$131,0)),"")</f>
        <v/>
      </c>
      <c r="D132" s="168">
        <v>122</v>
      </c>
      <c r="E132" s="275"/>
      <c r="F132" s="275"/>
      <c r="G132" s="370" t="str">
        <f>IFERROR(INDEX('G-1 All Habitats'!$B$3:$B$130,MATCH(F132,'G-1 All Habitats'!$A$3:$A$130,0)),"")</f>
        <v/>
      </c>
      <c r="H132" s="213"/>
      <c r="I132" s="171" t="str">
        <f>IF(G132="","",VLOOKUP(G132,'G-1 All Habitats'!$B$2:$M$130,10,FALSE))</f>
        <v/>
      </c>
      <c r="J132" s="172" t="str">
        <f>IFERROR(VLOOKUP(I132,'G-1 All Habitats'!$V$3:$W$7,2,FALSE),"")</f>
        <v/>
      </c>
      <c r="K132" s="173"/>
      <c r="L132" s="172" t="str">
        <f>IFERROR(INDEX('G-8 Condition Look up'!$A$3:$H$131,MATCH(G132,'G-8 Condition Look up'!$A$3:$A$131,0),MATCH(K132,'G-8 Condition Look up'!$A$3:$H$3,0)),"")</f>
        <v/>
      </c>
      <c r="M132" s="186"/>
      <c r="N132" s="175" t="str">
        <f>IF(M132="","",IF(VLOOKUP(M132,'G-3 Multipliers'!$L$3:$N$6,2,FALSE)=0,"Spatial Data Missing",VLOOKUP(M132,'G-3 Multipliers'!$L$3:$N$6,2,FALSE)))</f>
        <v/>
      </c>
      <c r="O132" s="176" t="str">
        <f>IF(M132="","",IF(VLOOKUP(M132,'G-3 Multipliers'!$L$3:$N$6,3,FALSE)=0,"Spatial Data Missing",VLOOKUP(M132,'G-3 Multipliers'!$L$3:$N$6,3,FALSE)))</f>
        <v/>
      </c>
      <c r="P132" s="177" t="str">
        <f>IFERROR(VLOOKUP(G132,'G-1 All Habitats'!$B$2:$M$130,12,FALSE),"")</f>
        <v/>
      </c>
      <c r="Q132" s="81" t="str">
        <f>IFERROR(IF(P132="","",IF(AND(P132='G-1 All Habitats'!$X$3,T132&gt;0),U132+V132,IF(AND(P132='G-1 All Habitats'!$X$3,S132&gt;0),U132+V132,IF(AND(P132='G-1 All Habitats'!$X$3,AC132&gt;0),"Any Loss Unacceptable",IF(AND(P132='G-1 All Habitats'!$X$3,W132&gt;0),"Any Loss Unacceptable",H132*J132*L132*O132))))),"Check Data")</f>
        <v/>
      </c>
      <c r="R132" s="55"/>
      <c r="S132" s="79"/>
      <c r="T132" s="82"/>
      <c r="U132" s="83" t="str">
        <f t="shared" si="8"/>
        <v/>
      </c>
      <c r="V132" s="83" t="str">
        <f t="shared" si="9"/>
        <v/>
      </c>
      <c r="W132" s="83" t="str">
        <f>IF(E132="","",IF(H132&lt;S132+T132,"Error in Areas",IF(P132&lt;&gt;'G-1 All Habitats'!$X$3,H132-S132-T132,IF(AND(P132='G-1 All Habitats'!$X$3,Y132="Yes"),"Unacceptable Loss",IF(AND(P132='G-1 All Habitats'!$X$3,Y132="No"),AC132,IF(AND(P132='G-1 All Habitats'!$X$3,Y132=""),AC132,IF(AND(P132='G-1 All Habitats'!$X$3,AC132="None",AC132),IF(AND(P132='G-1 All Habitats'!$X$3,AC132&gt;0),H132-S132-T132))))))))</f>
        <v/>
      </c>
      <c r="X132" s="354" t="str">
        <f>IFERROR(IF(H132="","",IF(H132-S132-T132=0&lt;0,"Error in Areas",IF(S132+T132&gt;H132,"Error in Areas",IF(AND(P132='G-1 All Habitats'!$X$3,Y132="Yes"),"Alternative Compensation",IF(W132=0,0,IF(P132='G-1 All Habitats'!$X$3,"Unacceptable Loss",Q132-U132-V132)))))),"Check Data")</f>
        <v/>
      </c>
      <c r="Y132" s="82"/>
      <c r="Z132" s="182"/>
      <c r="AA132" s="183"/>
      <c r="AC132" s="371" t="str">
        <f>IF(P132="","",IF(P132='G-1 All Habitats'!$X$3,H132-S132-T132,"None"))</f>
        <v/>
      </c>
      <c r="AD132" s="372" t="str">
        <f t="shared" si="10"/>
        <v/>
      </c>
      <c r="AF132" s="188" t="str">
        <f t="shared" si="6"/>
        <v/>
      </c>
      <c r="AG132" s="188" t="str">
        <f t="shared" si="7"/>
        <v/>
      </c>
      <c r="AH132" s="188" t="str">
        <f>IF(I132="","",IF(#REF!&gt;0,TRUE,FALSE))</f>
        <v/>
      </c>
      <c r="AI132" s="188">
        <v>122</v>
      </c>
      <c r="AJ132" s="188"/>
      <c r="AK132" s="188" t="str">
        <f t="array" ref="AK132">IFERROR(INDEX($AI$11:$AI$259, MATCH(0, IF(TRUE=$AF$11:$AF$259, COUNTIF($AK$10:$AK131, $AI$11:$AI$259), ""), 0)),"")</f>
        <v/>
      </c>
      <c r="AL132" s="188" t="str">
        <f t="array" ref="AL132">IFERROR(INDEX($AI$11:$AI$259, MATCH(0, IF(TRUE=$AG$11:$AG$259, COUNTIF($AL$10:$AL131, $AI$11:$AI$259), ""), 0)),"")</f>
        <v/>
      </c>
      <c r="AM132" s="188" t="str">
        <f t="array" ref="AM132">IFERROR(INDEX($AI$11:$AI$259, MATCH(0, IF(TRUE=$AH$11:$AH$259, COUNTIF($AM$10:$AM131, $AI$11:$AI$259), ""), 0)),"")</f>
        <v/>
      </c>
      <c r="AQ132" s="35">
        <f t="shared" si="11"/>
        <v>0</v>
      </c>
    </row>
    <row r="133" spans="1:43" x14ac:dyDescent="0.25">
      <c r="A133" s="35" t="str">
        <f>IFERROR(INDEX('G-1 All Habitats'!$AG$3:$AG$15,MATCH(E133,'G-1 All Habitats'!$AF$3:$AF$15,0)),"")</f>
        <v/>
      </c>
      <c r="B133" s="35" t="str">
        <f>IFERROR(INDEX('G-8 Condition Look up'!$I$4:$I$131,MATCH(G133,'G-8 Condition Look up'!$A$4:$A$131,0)),"")</f>
        <v/>
      </c>
      <c r="D133" s="168">
        <v>123</v>
      </c>
      <c r="E133" s="275"/>
      <c r="F133" s="275"/>
      <c r="G133" s="370" t="str">
        <f>IFERROR(INDEX('G-1 All Habitats'!$B$3:$B$130,MATCH(F133,'G-1 All Habitats'!$A$3:$A$130,0)),"")</f>
        <v/>
      </c>
      <c r="H133" s="213"/>
      <c r="I133" s="171" t="str">
        <f>IF(G133="","",VLOOKUP(G133,'G-1 All Habitats'!$B$2:$M$130,10,FALSE))</f>
        <v/>
      </c>
      <c r="J133" s="172" t="str">
        <f>IFERROR(VLOOKUP(I133,'G-1 All Habitats'!$V$3:$W$7,2,FALSE),"")</f>
        <v/>
      </c>
      <c r="K133" s="173"/>
      <c r="L133" s="172" t="str">
        <f>IFERROR(INDEX('G-8 Condition Look up'!$A$3:$H$131,MATCH(G133,'G-8 Condition Look up'!$A$3:$A$131,0),MATCH(K133,'G-8 Condition Look up'!$A$3:$H$3,0)),"")</f>
        <v/>
      </c>
      <c r="M133" s="186"/>
      <c r="N133" s="175" t="str">
        <f>IF(M133="","",IF(VLOOKUP(M133,'G-3 Multipliers'!$L$3:$N$6,2,FALSE)=0,"Spatial Data Missing",VLOOKUP(M133,'G-3 Multipliers'!$L$3:$N$6,2,FALSE)))</f>
        <v/>
      </c>
      <c r="O133" s="176" t="str">
        <f>IF(M133="","",IF(VLOOKUP(M133,'G-3 Multipliers'!$L$3:$N$6,3,FALSE)=0,"Spatial Data Missing",VLOOKUP(M133,'G-3 Multipliers'!$L$3:$N$6,3,FALSE)))</f>
        <v/>
      </c>
      <c r="P133" s="177" t="str">
        <f>IFERROR(VLOOKUP(G133,'G-1 All Habitats'!$B$2:$M$130,12,FALSE),"")</f>
        <v/>
      </c>
      <c r="Q133" s="81" t="str">
        <f>IFERROR(IF(P133="","",IF(AND(P133='G-1 All Habitats'!$X$3,T133&gt;0),U133+V133,IF(AND(P133='G-1 All Habitats'!$X$3,S133&gt;0),U133+V133,IF(AND(P133='G-1 All Habitats'!$X$3,AC133&gt;0),"Any Loss Unacceptable",IF(AND(P133='G-1 All Habitats'!$X$3,W133&gt;0),"Any Loss Unacceptable",H133*J133*L133*O133))))),"Check Data")</f>
        <v/>
      </c>
      <c r="R133" s="55"/>
      <c r="S133" s="79"/>
      <c r="T133" s="82"/>
      <c r="U133" s="83" t="str">
        <f t="shared" si="8"/>
        <v/>
      </c>
      <c r="V133" s="83" t="str">
        <f t="shared" si="9"/>
        <v/>
      </c>
      <c r="W133" s="83" t="str">
        <f>IF(E133="","",IF(H133&lt;S133+T133,"Error in Areas",IF(P133&lt;&gt;'G-1 All Habitats'!$X$3,H133-S133-T133,IF(AND(P133='G-1 All Habitats'!$X$3,Y133="Yes"),"Unacceptable Loss",IF(AND(P133='G-1 All Habitats'!$X$3,Y133="No"),AC133,IF(AND(P133='G-1 All Habitats'!$X$3,Y133=""),AC133,IF(AND(P133='G-1 All Habitats'!$X$3,AC133="None",AC133),IF(AND(P133='G-1 All Habitats'!$X$3,AC133&gt;0),H133-S133-T133))))))))</f>
        <v/>
      </c>
      <c r="X133" s="354" t="str">
        <f>IFERROR(IF(H133="","",IF(H133-S133-T133=0&lt;0,"Error in Areas",IF(S133+T133&gt;H133,"Error in Areas",IF(AND(P133='G-1 All Habitats'!$X$3,Y133="Yes"),"Alternative Compensation",IF(W133=0,0,IF(P133='G-1 All Habitats'!$X$3,"Unacceptable Loss",Q133-U133-V133)))))),"Check Data")</f>
        <v/>
      </c>
      <c r="Y133" s="82"/>
      <c r="Z133" s="182"/>
      <c r="AA133" s="183"/>
      <c r="AC133" s="371" t="str">
        <f>IF(P133="","",IF(P133='G-1 All Habitats'!$X$3,H133-S133-T133,"None"))</f>
        <v/>
      </c>
      <c r="AD133" s="372" t="str">
        <f t="shared" si="10"/>
        <v/>
      </c>
      <c r="AF133" s="188" t="str">
        <f t="shared" si="6"/>
        <v/>
      </c>
      <c r="AG133" s="188" t="str">
        <f t="shared" si="7"/>
        <v/>
      </c>
      <c r="AH133" s="188" t="str">
        <f>IF(I133="","",IF(#REF!&gt;0,TRUE,FALSE))</f>
        <v/>
      </c>
      <c r="AI133" s="188">
        <v>123</v>
      </c>
      <c r="AJ133" s="188"/>
      <c r="AK133" s="188" t="str">
        <f t="array" ref="AK133">IFERROR(INDEX($AI$11:$AI$259, MATCH(0, IF(TRUE=$AF$11:$AF$259, COUNTIF($AK$10:$AK132, $AI$11:$AI$259), ""), 0)),"")</f>
        <v/>
      </c>
      <c r="AL133" s="188" t="str">
        <f t="array" ref="AL133">IFERROR(INDEX($AI$11:$AI$259, MATCH(0, IF(TRUE=$AG$11:$AG$259, COUNTIF($AL$10:$AL132, $AI$11:$AI$259), ""), 0)),"")</f>
        <v/>
      </c>
      <c r="AM133" s="188" t="str">
        <f t="array" ref="AM133">IFERROR(INDEX($AI$11:$AI$259, MATCH(0, IF(TRUE=$AH$11:$AH$259, COUNTIF($AM$10:$AM132, $AI$11:$AI$259), ""), 0)),"")</f>
        <v/>
      </c>
      <c r="AQ133" s="35">
        <f t="shared" si="11"/>
        <v>0</v>
      </c>
    </row>
    <row r="134" spans="1:43" x14ac:dyDescent="0.25">
      <c r="A134" s="35" t="str">
        <f>IFERROR(INDEX('G-1 All Habitats'!$AG$3:$AG$15,MATCH(E134,'G-1 All Habitats'!$AF$3:$AF$15,0)),"")</f>
        <v/>
      </c>
      <c r="B134" s="35" t="str">
        <f>IFERROR(INDEX('G-8 Condition Look up'!$I$4:$I$131,MATCH(G134,'G-8 Condition Look up'!$A$4:$A$131,0)),"")</f>
        <v/>
      </c>
      <c r="D134" s="168">
        <v>124</v>
      </c>
      <c r="E134" s="275"/>
      <c r="F134" s="275"/>
      <c r="G134" s="370" t="str">
        <f>IFERROR(INDEX('G-1 All Habitats'!$B$3:$B$130,MATCH(F134,'G-1 All Habitats'!$A$3:$A$130,0)),"")</f>
        <v/>
      </c>
      <c r="H134" s="213"/>
      <c r="I134" s="171" t="str">
        <f>IF(G134="","",VLOOKUP(G134,'G-1 All Habitats'!$B$2:$M$130,10,FALSE))</f>
        <v/>
      </c>
      <c r="J134" s="172" t="str">
        <f>IFERROR(VLOOKUP(I134,'G-1 All Habitats'!$V$3:$W$7,2,FALSE),"")</f>
        <v/>
      </c>
      <c r="K134" s="173"/>
      <c r="L134" s="172" t="str">
        <f>IFERROR(INDEX('G-8 Condition Look up'!$A$3:$H$131,MATCH(G134,'G-8 Condition Look up'!$A$3:$A$131,0),MATCH(K134,'G-8 Condition Look up'!$A$3:$H$3,0)),"")</f>
        <v/>
      </c>
      <c r="M134" s="186"/>
      <c r="N134" s="175" t="str">
        <f>IF(M134="","",IF(VLOOKUP(M134,'G-3 Multipliers'!$L$3:$N$6,2,FALSE)=0,"Spatial Data Missing",VLOOKUP(M134,'G-3 Multipliers'!$L$3:$N$6,2,FALSE)))</f>
        <v/>
      </c>
      <c r="O134" s="176" t="str">
        <f>IF(M134="","",IF(VLOOKUP(M134,'G-3 Multipliers'!$L$3:$N$6,3,FALSE)=0,"Spatial Data Missing",VLOOKUP(M134,'G-3 Multipliers'!$L$3:$N$6,3,FALSE)))</f>
        <v/>
      </c>
      <c r="P134" s="177" t="str">
        <f>IFERROR(VLOOKUP(G134,'G-1 All Habitats'!$B$2:$M$130,12,FALSE),"")</f>
        <v/>
      </c>
      <c r="Q134" s="81" t="str">
        <f>IFERROR(IF(P134="","",IF(AND(P134='G-1 All Habitats'!$X$3,T134&gt;0),U134+V134,IF(AND(P134='G-1 All Habitats'!$X$3,S134&gt;0),U134+V134,IF(AND(P134='G-1 All Habitats'!$X$3,AC134&gt;0),"Any Loss Unacceptable",IF(AND(P134='G-1 All Habitats'!$X$3,W134&gt;0),"Any Loss Unacceptable",H134*J134*L134*O134))))),"Check Data")</f>
        <v/>
      </c>
      <c r="R134" s="55"/>
      <c r="S134" s="79"/>
      <c r="T134" s="82"/>
      <c r="U134" s="83" t="str">
        <f t="shared" si="8"/>
        <v/>
      </c>
      <c r="V134" s="83" t="str">
        <f t="shared" si="9"/>
        <v/>
      </c>
      <c r="W134" s="83" t="str">
        <f>IF(E134="","",IF(H134&lt;S134+T134,"Error in Areas",IF(P134&lt;&gt;'G-1 All Habitats'!$X$3,H134-S134-T134,IF(AND(P134='G-1 All Habitats'!$X$3,Y134="Yes"),"Unacceptable Loss",IF(AND(P134='G-1 All Habitats'!$X$3,Y134="No"),AC134,IF(AND(P134='G-1 All Habitats'!$X$3,Y134=""),AC134,IF(AND(P134='G-1 All Habitats'!$X$3,AC134="None",AC134),IF(AND(P134='G-1 All Habitats'!$X$3,AC134&gt;0),H134-S134-T134))))))))</f>
        <v/>
      </c>
      <c r="X134" s="354" t="str">
        <f>IFERROR(IF(H134="","",IF(H134-S134-T134=0&lt;0,"Error in Areas",IF(S134+T134&gt;H134,"Error in Areas",IF(AND(P134='G-1 All Habitats'!$X$3,Y134="Yes"),"Alternative Compensation",IF(W134=0,0,IF(P134='G-1 All Habitats'!$X$3,"Unacceptable Loss",Q134-U134-V134)))))),"Check Data")</f>
        <v/>
      </c>
      <c r="Y134" s="82"/>
      <c r="Z134" s="182"/>
      <c r="AA134" s="183"/>
      <c r="AC134" s="371" t="str">
        <f>IF(P134="","",IF(P134='G-1 All Habitats'!$X$3,H134-S134-T134,"None"))</f>
        <v/>
      </c>
      <c r="AD134" s="372" t="str">
        <f t="shared" si="10"/>
        <v/>
      </c>
      <c r="AF134" s="188" t="str">
        <f t="shared" si="6"/>
        <v/>
      </c>
      <c r="AG134" s="188" t="str">
        <f t="shared" si="7"/>
        <v/>
      </c>
      <c r="AH134" s="188" t="str">
        <f>IF(I134="","",IF(#REF!&gt;0,TRUE,FALSE))</f>
        <v/>
      </c>
      <c r="AI134" s="188">
        <v>124</v>
      </c>
      <c r="AJ134" s="188"/>
      <c r="AK134" s="188" t="str">
        <f t="array" ref="AK134">IFERROR(INDEX($AI$11:$AI$259, MATCH(0, IF(TRUE=$AF$11:$AF$259, COUNTIF($AK$10:$AK133, $AI$11:$AI$259), ""), 0)),"")</f>
        <v/>
      </c>
      <c r="AL134" s="188" t="str">
        <f t="array" ref="AL134">IFERROR(INDEX($AI$11:$AI$259, MATCH(0, IF(TRUE=$AG$11:$AG$259, COUNTIF($AL$10:$AL133, $AI$11:$AI$259), ""), 0)),"")</f>
        <v/>
      </c>
      <c r="AM134" s="188" t="str">
        <f t="array" ref="AM134">IFERROR(INDEX($AI$11:$AI$259, MATCH(0, IF(TRUE=$AH$11:$AH$259, COUNTIF($AM$10:$AM133, $AI$11:$AI$259), ""), 0)),"")</f>
        <v/>
      </c>
      <c r="AQ134" s="35">
        <f t="shared" si="11"/>
        <v>0</v>
      </c>
    </row>
    <row r="135" spans="1:43" x14ac:dyDescent="0.25">
      <c r="A135" s="35" t="str">
        <f>IFERROR(INDEX('G-1 All Habitats'!$AG$3:$AG$15,MATCH(E135,'G-1 All Habitats'!$AF$3:$AF$15,0)),"")</f>
        <v/>
      </c>
      <c r="B135" s="35" t="str">
        <f>IFERROR(INDEX('G-8 Condition Look up'!$I$4:$I$131,MATCH(G135,'G-8 Condition Look up'!$A$4:$A$131,0)),"")</f>
        <v/>
      </c>
      <c r="D135" s="168">
        <v>125</v>
      </c>
      <c r="E135" s="275"/>
      <c r="F135" s="275"/>
      <c r="G135" s="370" t="str">
        <f>IFERROR(INDEX('G-1 All Habitats'!$B$3:$B$130,MATCH(F135,'G-1 All Habitats'!$A$3:$A$130,0)),"")</f>
        <v/>
      </c>
      <c r="H135" s="213"/>
      <c r="I135" s="171" t="str">
        <f>IF(G135="","",VLOOKUP(G135,'G-1 All Habitats'!$B$2:$M$130,10,FALSE))</f>
        <v/>
      </c>
      <c r="J135" s="172" t="str">
        <f>IFERROR(VLOOKUP(I135,'G-1 All Habitats'!$V$3:$W$7,2,FALSE),"")</f>
        <v/>
      </c>
      <c r="K135" s="173"/>
      <c r="L135" s="172" t="str">
        <f>IFERROR(INDEX('G-8 Condition Look up'!$A$3:$H$131,MATCH(G135,'G-8 Condition Look up'!$A$3:$A$131,0),MATCH(K135,'G-8 Condition Look up'!$A$3:$H$3,0)),"")</f>
        <v/>
      </c>
      <c r="M135" s="186"/>
      <c r="N135" s="175" t="str">
        <f>IF(M135="","",IF(VLOOKUP(M135,'G-3 Multipliers'!$L$3:$N$6,2,FALSE)=0,"Spatial Data Missing",VLOOKUP(M135,'G-3 Multipliers'!$L$3:$N$6,2,FALSE)))</f>
        <v/>
      </c>
      <c r="O135" s="176" t="str">
        <f>IF(M135="","",IF(VLOOKUP(M135,'G-3 Multipliers'!$L$3:$N$6,3,FALSE)=0,"Spatial Data Missing",VLOOKUP(M135,'G-3 Multipliers'!$L$3:$N$6,3,FALSE)))</f>
        <v/>
      </c>
      <c r="P135" s="177" t="str">
        <f>IFERROR(VLOOKUP(G135,'G-1 All Habitats'!$B$2:$M$130,12,FALSE),"")</f>
        <v/>
      </c>
      <c r="Q135" s="81" t="str">
        <f>IFERROR(IF(P135="","",IF(AND(P135='G-1 All Habitats'!$X$3,T135&gt;0),U135+V135,IF(AND(P135='G-1 All Habitats'!$X$3,S135&gt;0),U135+V135,IF(AND(P135='G-1 All Habitats'!$X$3,AC135&gt;0),"Any Loss Unacceptable",IF(AND(P135='G-1 All Habitats'!$X$3,W135&gt;0),"Any Loss Unacceptable",H135*J135*L135*O135))))),"Check Data")</f>
        <v/>
      </c>
      <c r="R135" s="55"/>
      <c r="S135" s="79"/>
      <c r="T135" s="82"/>
      <c r="U135" s="83" t="str">
        <f t="shared" si="8"/>
        <v/>
      </c>
      <c r="V135" s="83" t="str">
        <f t="shared" si="9"/>
        <v/>
      </c>
      <c r="W135" s="83" t="str">
        <f>IF(E135="","",IF(H135&lt;S135+T135,"Error in Areas",IF(P135&lt;&gt;'G-1 All Habitats'!$X$3,H135-S135-T135,IF(AND(P135='G-1 All Habitats'!$X$3,Y135="Yes"),"Unacceptable Loss",IF(AND(P135='G-1 All Habitats'!$X$3,Y135="No"),AC135,IF(AND(P135='G-1 All Habitats'!$X$3,Y135=""),AC135,IF(AND(P135='G-1 All Habitats'!$X$3,AC135="None",AC135),IF(AND(P135='G-1 All Habitats'!$X$3,AC135&gt;0),H135-S135-T135))))))))</f>
        <v/>
      </c>
      <c r="X135" s="354" t="str">
        <f>IFERROR(IF(H135="","",IF(H135-S135-T135=0&lt;0,"Error in Areas",IF(S135+T135&gt;H135,"Error in Areas",IF(AND(P135='G-1 All Habitats'!$X$3,Y135="Yes"),"Alternative Compensation",IF(W135=0,0,IF(P135='G-1 All Habitats'!$X$3,"Unacceptable Loss",Q135-U135-V135)))))),"Check Data")</f>
        <v/>
      </c>
      <c r="Y135" s="82"/>
      <c r="Z135" s="182"/>
      <c r="AA135" s="183"/>
      <c r="AC135" s="371" t="str">
        <f>IF(P135="","",IF(P135='G-1 All Habitats'!$X$3,H135-S135-T135,"None"))</f>
        <v/>
      </c>
      <c r="AD135" s="372" t="str">
        <f t="shared" si="10"/>
        <v/>
      </c>
      <c r="AF135" s="188" t="str">
        <f t="shared" si="6"/>
        <v/>
      </c>
      <c r="AG135" s="188" t="str">
        <f t="shared" si="7"/>
        <v/>
      </c>
      <c r="AH135" s="188" t="str">
        <f>IF(I135="","",IF(#REF!&gt;0,TRUE,FALSE))</f>
        <v/>
      </c>
      <c r="AI135" s="188">
        <v>125</v>
      </c>
      <c r="AJ135" s="188"/>
      <c r="AK135" s="188" t="str">
        <f t="array" ref="AK135">IFERROR(INDEX($AI$11:$AI$259, MATCH(0, IF(TRUE=$AF$11:$AF$259, COUNTIF($AK$10:$AK134, $AI$11:$AI$259), ""), 0)),"")</f>
        <v/>
      </c>
      <c r="AL135" s="188" t="str">
        <f t="array" ref="AL135">IFERROR(INDEX($AI$11:$AI$259, MATCH(0, IF(TRUE=$AG$11:$AG$259, COUNTIF($AL$10:$AL134, $AI$11:$AI$259), ""), 0)),"")</f>
        <v/>
      </c>
      <c r="AM135" s="188" t="str">
        <f t="array" ref="AM135">IFERROR(INDEX($AI$11:$AI$259, MATCH(0, IF(TRUE=$AH$11:$AH$259, COUNTIF($AM$10:$AM134, $AI$11:$AI$259), ""), 0)),"")</f>
        <v/>
      </c>
      <c r="AQ135" s="35">
        <f t="shared" si="11"/>
        <v>0</v>
      </c>
    </row>
    <row r="136" spans="1:43" x14ac:dyDescent="0.25">
      <c r="A136" s="35" t="str">
        <f>IFERROR(INDEX('G-1 All Habitats'!$AG$3:$AG$15,MATCH(E136,'G-1 All Habitats'!$AF$3:$AF$15,0)),"")</f>
        <v/>
      </c>
      <c r="B136" s="35" t="str">
        <f>IFERROR(INDEX('G-8 Condition Look up'!$I$4:$I$131,MATCH(G136,'G-8 Condition Look up'!$A$4:$A$131,0)),"")</f>
        <v/>
      </c>
      <c r="D136" s="168">
        <v>126</v>
      </c>
      <c r="E136" s="275"/>
      <c r="F136" s="275"/>
      <c r="G136" s="370" t="str">
        <f>IFERROR(INDEX('G-1 All Habitats'!$B$3:$B$130,MATCH(F136,'G-1 All Habitats'!$A$3:$A$130,0)),"")</f>
        <v/>
      </c>
      <c r="H136" s="213"/>
      <c r="I136" s="171" t="str">
        <f>IF(G136="","",VLOOKUP(G136,'G-1 All Habitats'!$B$2:$M$130,10,FALSE))</f>
        <v/>
      </c>
      <c r="J136" s="172" t="str">
        <f>IFERROR(VLOOKUP(I136,'G-1 All Habitats'!$V$3:$W$7,2,FALSE),"")</f>
        <v/>
      </c>
      <c r="K136" s="173"/>
      <c r="L136" s="172" t="str">
        <f>IFERROR(INDEX('G-8 Condition Look up'!$A$3:$H$131,MATCH(G136,'G-8 Condition Look up'!$A$3:$A$131,0),MATCH(K136,'G-8 Condition Look up'!$A$3:$H$3,0)),"")</f>
        <v/>
      </c>
      <c r="M136" s="186"/>
      <c r="N136" s="175" t="str">
        <f>IF(M136="","",IF(VLOOKUP(M136,'G-3 Multipliers'!$L$3:$N$6,2,FALSE)=0,"Spatial Data Missing",VLOOKUP(M136,'G-3 Multipliers'!$L$3:$N$6,2,FALSE)))</f>
        <v/>
      </c>
      <c r="O136" s="176" t="str">
        <f>IF(M136="","",IF(VLOOKUP(M136,'G-3 Multipliers'!$L$3:$N$6,3,FALSE)=0,"Spatial Data Missing",VLOOKUP(M136,'G-3 Multipliers'!$L$3:$N$6,3,FALSE)))</f>
        <v/>
      </c>
      <c r="P136" s="177" t="str">
        <f>IFERROR(VLOOKUP(G136,'G-1 All Habitats'!$B$2:$M$130,12,FALSE),"")</f>
        <v/>
      </c>
      <c r="Q136" s="81" t="str">
        <f>IFERROR(IF(P136="","",IF(AND(P136='G-1 All Habitats'!$X$3,T136&gt;0),U136+V136,IF(AND(P136='G-1 All Habitats'!$X$3,S136&gt;0),U136+V136,IF(AND(P136='G-1 All Habitats'!$X$3,AC136&gt;0),"Any Loss Unacceptable",IF(AND(P136='G-1 All Habitats'!$X$3,W136&gt;0),"Any Loss Unacceptable",H136*J136*L136*O136))))),"Check Data")</f>
        <v/>
      </c>
      <c r="R136" s="55"/>
      <c r="S136" s="79"/>
      <c r="T136" s="82"/>
      <c r="U136" s="83" t="str">
        <f t="shared" si="8"/>
        <v/>
      </c>
      <c r="V136" s="83" t="str">
        <f t="shared" si="9"/>
        <v/>
      </c>
      <c r="W136" s="83" t="str">
        <f>IF(E136="","",IF(H136&lt;S136+T136,"Error in Areas",IF(P136&lt;&gt;'G-1 All Habitats'!$X$3,H136-S136-T136,IF(AND(P136='G-1 All Habitats'!$X$3,Y136="Yes"),"Unacceptable Loss",IF(AND(P136='G-1 All Habitats'!$X$3,Y136="No"),AC136,IF(AND(P136='G-1 All Habitats'!$X$3,Y136=""),AC136,IF(AND(P136='G-1 All Habitats'!$X$3,AC136="None",AC136),IF(AND(P136='G-1 All Habitats'!$X$3,AC136&gt;0),H136-S136-T136))))))))</f>
        <v/>
      </c>
      <c r="X136" s="354" t="str">
        <f>IFERROR(IF(H136="","",IF(H136-S136-T136=0&lt;0,"Error in Areas",IF(S136+T136&gt;H136,"Error in Areas",IF(AND(P136='G-1 All Habitats'!$X$3,Y136="Yes"),"Alternative Compensation",IF(W136=0,0,IF(P136='G-1 All Habitats'!$X$3,"Unacceptable Loss",Q136-U136-V136)))))),"Check Data")</f>
        <v/>
      </c>
      <c r="Y136" s="82"/>
      <c r="Z136" s="182"/>
      <c r="AA136" s="183"/>
      <c r="AC136" s="371" t="str">
        <f>IF(P136="","",IF(P136='G-1 All Habitats'!$X$3,H136-S136-T136,"None"))</f>
        <v/>
      </c>
      <c r="AD136" s="372" t="str">
        <f t="shared" si="10"/>
        <v/>
      </c>
      <c r="AF136" s="188" t="str">
        <f t="shared" si="6"/>
        <v/>
      </c>
      <c r="AG136" s="188" t="str">
        <f t="shared" si="7"/>
        <v/>
      </c>
      <c r="AH136" s="188" t="str">
        <f>IF(I136="","",IF(#REF!&gt;0,TRUE,FALSE))</f>
        <v/>
      </c>
      <c r="AI136" s="188">
        <v>126</v>
      </c>
      <c r="AJ136" s="188"/>
      <c r="AK136" s="188" t="str">
        <f t="array" ref="AK136">IFERROR(INDEX($AI$11:$AI$259, MATCH(0, IF(TRUE=$AF$11:$AF$259, COUNTIF($AK$10:$AK135, $AI$11:$AI$259), ""), 0)),"")</f>
        <v/>
      </c>
      <c r="AL136" s="188" t="str">
        <f t="array" ref="AL136">IFERROR(INDEX($AI$11:$AI$259, MATCH(0, IF(TRUE=$AG$11:$AG$259, COUNTIF($AL$10:$AL135, $AI$11:$AI$259), ""), 0)),"")</f>
        <v/>
      </c>
      <c r="AM136" s="188" t="str">
        <f t="array" ref="AM136">IFERROR(INDEX($AI$11:$AI$259, MATCH(0, IF(TRUE=$AH$11:$AH$259, COUNTIF($AM$10:$AM135, $AI$11:$AI$259), ""), 0)),"")</f>
        <v/>
      </c>
      <c r="AQ136" s="35">
        <f t="shared" si="11"/>
        <v>0</v>
      </c>
    </row>
    <row r="137" spans="1:43" x14ac:dyDescent="0.25">
      <c r="A137" s="35" t="str">
        <f>IFERROR(INDEX('G-1 All Habitats'!$AG$3:$AG$15,MATCH(E137,'G-1 All Habitats'!$AF$3:$AF$15,0)),"")</f>
        <v/>
      </c>
      <c r="B137" s="35" t="str">
        <f>IFERROR(INDEX('G-8 Condition Look up'!$I$4:$I$131,MATCH(G137,'G-8 Condition Look up'!$A$4:$A$131,0)),"")</f>
        <v/>
      </c>
      <c r="D137" s="168">
        <v>127</v>
      </c>
      <c r="E137" s="275"/>
      <c r="F137" s="275"/>
      <c r="G137" s="370" t="str">
        <f>IFERROR(INDEX('G-1 All Habitats'!$B$3:$B$130,MATCH(F137,'G-1 All Habitats'!$A$3:$A$130,0)),"")</f>
        <v/>
      </c>
      <c r="H137" s="213"/>
      <c r="I137" s="171" t="str">
        <f>IF(G137="","",VLOOKUP(G137,'G-1 All Habitats'!$B$2:$M$130,10,FALSE))</f>
        <v/>
      </c>
      <c r="J137" s="172" t="str">
        <f>IFERROR(VLOOKUP(I137,'G-1 All Habitats'!$V$3:$W$7,2,FALSE),"")</f>
        <v/>
      </c>
      <c r="K137" s="173"/>
      <c r="L137" s="172" t="str">
        <f>IFERROR(INDEX('G-8 Condition Look up'!$A$3:$H$131,MATCH(G137,'G-8 Condition Look up'!$A$3:$A$131,0),MATCH(K137,'G-8 Condition Look up'!$A$3:$H$3,0)),"")</f>
        <v/>
      </c>
      <c r="M137" s="186"/>
      <c r="N137" s="175" t="str">
        <f>IF(M137="","",IF(VLOOKUP(M137,'G-3 Multipliers'!$L$3:$N$6,2,FALSE)=0,"Spatial Data Missing",VLOOKUP(M137,'G-3 Multipliers'!$L$3:$N$6,2,FALSE)))</f>
        <v/>
      </c>
      <c r="O137" s="176" t="str">
        <f>IF(M137="","",IF(VLOOKUP(M137,'G-3 Multipliers'!$L$3:$N$6,3,FALSE)=0,"Spatial Data Missing",VLOOKUP(M137,'G-3 Multipliers'!$L$3:$N$6,3,FALSE)))</f>
        <v/>
      </c>
      <c r="P137" s="177" t="str">
        <f>IFERROR(VLOOKUP(G137,'G-1 All Habitats'!$B$2:$M$130,12,FALSE),"")</f>
        <v/>
      </c>
      <c r="Q137" s="81" t="str">
        <f>IFERROR(IF(P137="","",IF(AND(P137='G-1 All Habitats'!$X$3,T137&gt;0),U137+V137,IF(AND(P137='G-1 All Habitats'!$X$3,S137&gt;0),U137+V137,IF(AND(P137='G-1 All Habitats'!$X$3,AC137&gt;0),"Any Loss Unacceptable",IF(AND(P137='G-1 All Habitats'!$X$3,W137&gt;0),"Any Loss Unacceptable",H137*J137*L137*O137))))),"Check Data")</f>
        <v/>
      </c>
      <c r="R137" s="55"/>
      <c r="S137" s="79"/>
      <c r="T137" s="82"/>
      <c r="U137" s="83" t="str">
        <f t="shared" si="8"/>
        <v/>
      </c>
      <c r="V137" s="83" t="str">
        <f t="shared" si="9"/>
        <v/>
      </c>
      <c r="W137" s="83" t="str">
        <f>IF(E137="","",IF(H137&lt;S137+T137,"Error in Areas",IF(P137&lt;&gt;'G-1 All Habitats'!$X$3,H137-S137-T137,IF(AND(P137='G-1 All Habitats'!$X$3,Y137="Yes"),"Unacceptable Loss",IF(AND(P137='G-1 All Habitats'!$X$3,Y137="No"),AC137,IF(AND(P137='G-1 All Habitats'!$X$3,Y137=""),AC137,IF(AND(P137='G-1 All Habitats'!$X$3,AC137="None",AC137),IF(AND(P137='G-1 All Habitats'!$X$3,AC137&gt;0),H137-S137-T137))))))))</f>
        <v/>
      </c>
      <c r="X137" s="354" t="str">
        <f>IFERROR(IF(H137="","",IF(H137-S137-T137=0&lt;0,"Error in Areas",IF(S137+T137&gt;H137,"Error in Areas",IF(AND(P137='G-1 All Habitats'!$X$3,Y137="Yes"),"Alternative Compensation",IF(W137=0,0,IF(P137='G-1 All Habitats'!$X$3,"Unacceptable Loss",Q137-U137-V137)))))),"Check Data")</f>
        <v/>
      </c>
      <c r="Y137" s="82"/>
      <c r="Z137" s="182"/>
      <c r="AA137" s="183"/>
      <c r="AC137" s="371" t="str">
        <f>IF(P137="","",IF(P137='G-1 All Habitats'!$X$3,H137-S137-T137,"None"))</f>
        <v/>
      </c>
      <c r="AD137" s="372" t="str">
        <f t="shared" si="10"/>
        <v/>
      </c>
      <c r="AF137" s="188" t="str">
        <f t="shared" si="6"/>
        <v/>
      </c>
      <c r="AG137" s="188" t="str">
        <f t="shared" si="7"/>
        <v/>
      </c>
      <c r="AH137" s="188" t="str">
        <f>IF(I137="","",IF(#REF!&gt;0,TRUE,FALSE))</f>
        <v/>
      </c>
      <c r="AI137" s="188">
        <v>127</v>
      </c>
      <c r="AJ137" s="188"/>
      <c r="AK137" s="188" t="str">
        <f t="array" ref="AK137">IFERROR(INDEX($AI$11:$AI$259, MATCH(0, IF(TRUE=$AF$11:$AF$259, COUNTIF($AK$10:$AK136, $AI$11:$AI$259), ""), 0)),"")</f>
        <v/>
      </c>
      <c r="AL137" s="188" t="str">
        <f t="array" ref="AL137">IFERROR(INDEX($AI$11:$AI$259, MATCH(0, IF(TRUE=$AG$11:$AG$259, COUNTIF($AL$10:$AL136, $AI$11:$AI$259), ""), 0)),"")</f>
        <v/>
      </c>
      <c r="AM137" s="188" t="str">
        <f t="array" ref="AM137">IFERROR(INDEX($AI$11:$AI$259, MATCH(0, IF(TRUE=$AH$11:$AH$259, COUNTIF($AM$10:$AM136, $AI$11:$AI$259), ""), 0)),"")</f>
        <v/>
      </c>
      <c r="AQ137" s="35">
        <f t="shared" si="11"/>
        <v>0</v>
      </c>
    </row>
    <row r="138" spans="1:43" x14ac:dyDescent="0.25">
      <c r="A138" s="35" t="str">
        <f>IFERROR(INDEX('G-1 All Habitats'!$AG$3:$AG$15,MATCH(E138,'G-1 All Habitats'!$AF$3:$AF$15,0)),"")</f>
        <v/>
      </c>
      <c r="B138" s="35" t="str">
        <f>IFERROR(INDEX('G-8 Condition Look up'!$I$4:$I$131,MATCH(G138,'G-8 Condition Look up'!$A$4:$A$131,0)),"")</f>
        <v/>
      </c>
      <c r="D138" s="168">
        <v>128</v>
      </c>
      <c r="E138" s="275"/>
      <c r="F138" s="275"/>
      <c r="G138" s="370" t="str">
        <f>IFERROR(INDEX('G-1 All Habitats'!$B$3:$B$130,MATCH(F138,'G-1 All Habitats'!$A$3:$A$130,0)),"")</f>
        <v/>
      </c>
      <c r="H138" s="213"/>
      <c r="I138" s="171" t="str">
        <f>IF(G138="","",VLOOKUP(G138,'G-1 All Habitats'!$B$2:$M$130,10,FALSE))</f>
        <v/>
      </c>
      <c r="J138" s="172" t="str">
        <f>IFERROR(VLOOKUP(I138,'G-1 All Habitats'!$V$3:$W$7,2,FALSE),"")</f>
        <v/>
      </c>
      <c r="K138" s="173"/>
      <c r="L138" s="172" t="str">
        <f>IFERROR(INDEX('G-8 Condition Look up'!$A$3:$H$131,MATCH(G138,'G-8 Condition Look up'!$A$3:$A$131,0),MATCH(K138,'G-8 Condition Look up'!$A$3:$H$3,0)),"")</f>
        <v/>
      </c>
      <c r="M138" s="186"/>
      <c r="N138" s="175" t="str">
        <f>IF(M138="","",IF(VLOOKUP(M138,'G-3 Multipliers'!$L$3:$N$6,2,FALSE)=0,"Spatial Data Missing",VLOOKUP(M138,'G-3 Multipliers'!$L$3:$N$6,2,FALSE)))</f>
        <v/>
      </c>
      <c r="O138" s="176" t="str">
        <f>IF(M138="","",IF(VLOOKUP(M138,'G-3 Multipliers'!$L$3:$N$6,3,FALSE)=0,"Spatial Data Missing",VLOOKUP(M138,'G-3 Multipliers'!$L$3:$N$6,3,FALSE)))</f>
        <v/>
      </c>
      <c r="P138" s="177" t="str">
        <f>IFERROR(VLOOKUP(G138,'G-1 All Habitats'!$B$2:$M$130,12,FALSE),"")</f>
        <v/>
      </c>
      <c r="Q138" s="81" t="str">
        <f>IFERROR(IF(P138="","",IF(AND(P138='G-1 All Habitats'!$X$3,T138&gt;0),U138+V138,IF(AND(P138='G-1 All Habitats'!$X$3,S138&gt;0),U138+V138,IF(AND(P138='G-1 All Habitats'!$X$3,AC138&gt;0),"Any Loss Unacceptable",IF(AND(P138='G-1 All Habitats'!$X$3,W138&gt;0),"Any Loss Unacceptable",H138*J138*L138*O138))))),"Check Data")</f>
        <v/>
      </c>
      <c r="R138" s="55"/>
      <c r="S138" s="79"/>
      <c r="T138" s="82"/>
      <c r="U138" s="83" t="str">
        <f t="shared" si="8"/>
        <v/>
      </c>
      <c r="V138" s="83" t="str">
        <f t="shared" si="9"/>
        <v/>
      </c>
      <c r="W138" s="83" t="str">
        <f>IF(E138="","",IF(H138&lt;S138+T138,"Error in Areas",IF(P138&lt;&gt;'G-1 All Habitats'!$X$3,H138-S138-T138,IF(AND(P138='G-1 All Habitats'!$X$3,Y138="Yes"),"Unacceptable Loss",IF(AND(P138='G-1 All Habitats'!$X$3,Y138="No"),AC138,IF(AND(P138='G-1 All Habitats'!$X$3,Y138=""),AC138,IF(AND(P138='G-1 All Habitats'!$X$3,AC138="None",AC138),IF(AND(P138='G-1 All Habitats'!$X$3,AC138&gt;0),H138-S138-T138))))))))</f>
        <v/>
      </c>
      <c r="X138" s="354" t="str">
        <f>IFERROR(IF(H138="","",IF(H138-S138-T138=0&lt;0,"Error in Areas",IF(S138+T138&gt;H138,"Error in Areas",IF(AND(P138='G-1 All Habitats'!$X$3,Y138="Yes"),"Alternative Compensation",IF(W138=0,0,IF(P138='G-1 All Habitats'!$X$3,"Unacceptable Loss",Q138-U138-V138)))))),"Check Data")</f>
        <v/>
      </c>
      <c r="Y138" s="82"/>
      <c r="Z138" s="182"/>
      <c r="AA138" s="183"/>
      <c r="AC138" s="371" t="str">
        <f>IF(P138="","",IF(P138='G-1 All Habitats'!$X$3,H138-S138-T138,"None"))</f>
        <v/>
      </c>
      <c r="AD138" s="372" t="str">
        <f t="shared" si="10"/>
        <v/>
      </c>
      <c r="AF138" s="188" t="str">
        <f t="shared" si="6"/>
        <v/>
      </c>
      <c r="AG138" s="188" t="str">
        <f t="shared" si="7"/>
        <v/>
      </c>
      <c r="AH138" s="188" t="str">
        <f>IF(I138="","",IF(#REF!&gt;0,TRUE,FALSE))</f>
        <v/>
      </c>
      <c r="AI138" s="188">
        <v>128</v>
      </c>
      <c r="AJ138" s="188"/>
      <c r="AK138" s="188" t="str">
        <f t="array" ref="AK138">IFERROR(INDEX($AI$11:$AI$259, MATCH(0, IF(TRUE=$AF$11:$AF$259, COUNTIF($AK$10:$AK137, $AI$11:$AI$259), ""), 0)),"")</f>
        <v/>
      </c>
      <c r="AL138" s="188" t="str">
        <f t="array" ref="AL138">IFERROR(INDEX($AI$11:$AI$259, MATCH(0, IF(TRUE=$AG$11:$AG$259, COUNTIF($AL$10:$AL137, $AI$11:$AI$259), ""), 0)),"")</f>
        <v/>
      </c>
      <c r="AM138" s="188" t="str">
        <f t="array" ref="AM138">IFERROR(INDEX($AI$11:$AI$259, MATCH(0, IF(TRUE=$AH$11:$AH$259, COUNTIF($AM$10:$AM137, $AI$11:$AI$259), ""), 0)),"")</f>
        <v/>
      </c>
      <c r="AQ138" s="35">
        <f t="shared" si="11"/>
        <v>0</v>
      </c>
    </row>
    <row r="139" spans="1:43" x14ac:dyDescent="0.25">
      <c r="A139" s="35" t="str">
        <f>IFERROR(INDEX('G-1 All Habitats'!$AG$3:$AG$15,MATCH(E139,'G-1 All Habitats'!$AF$3:$AF$15,0)),"")</f>
        <v/>
      </c>
      <c r="B139" s="35" t="str">
        <f>IFERROR(INDEX('G-8 Condition Look up'!$I$4:$I$131,MATCH(G139,'G-8 Condition Look up'!$A$4:$A$131,0)),"")</f>
        <v/>
      </c>
      <c r="D139" s="168">
        <v>129</v>
      </c>
      <c r="E139" s="275"/>
      <c r="F139" s="275"/>
      <c r="G139" s="370" t="str">
        <f>IFERROR(INDEX('G-1 All Habitats'!$B$3:$B$130,MATCH(F139,'G-1 All Habitats'!$A$3:$A$130,0)),"")</f>
        <v/>
      </c>
      <c r="H139" s="213"/>
      <c r="I139" s="171" t="str">
        <f>IF(G139="","",VLOOKUP(G139,'G-1 All Habitats'!$B$2:$M$130,10,FALSE))</f>
        <v/>
      </c>
      <c r="J139" s="172" t="str">
        <f>IFERROR(VLOOKUP(I139,'G-1 All Habitats'!$V$3:$W$7,2,FALSE),"")</f>
        <v/>
      </c>
      <c r="K139" s="173"/>
      <c r="L139" s="172" t="str">
        <f>IFERROR(INDEX('G-8 Condition Look up'!$A$3:$H$131,MATCH(G139,'G-8 Condition Look up'!$A$3:$A$131,0),MATCH(K139,'G-8 Condition Look up'!$A$3:$H$3,0)),"")</f>
        <v/>
      </c>
      <c r="M139" s="186"/>
      <c r="N139" s="175" t="str">
        <f>IF(M139="","",IF(VLOOKUP(M139,'G-3 Multipliers'!$L$3:$N$6,2,FALSE)=0,"Spatial Data Missing",VLOOKUP(M139,'G-3 Multipliers'!$L$3:$N$6,2,FALSE)))</f>
        <v/>
      </c>
      <c r="O139" s="176" t="str">
        <f>IF(M139="","",IF(VLOOKUP(M139,'G-3 Multipliers'!$L$3:$N$6,3,FALSE)=0,"Spatial Data Missing",VLOOKUP(M139,'G-3 Multipliers'!$L$3:$N$6,3,FALSE)))</f>
        <v/>
      </c>
      <c r="P139" s="177" t="str">
        <f>IFERROR(VLOOKUP(G139,'G-1 All Habitats'!$B$2:$M$130,12,FALSE),"")</f>
        <v/>
      </c>
      <c r="Q139" s="81" t="str">
        <f>IFERROR(IF(P139="","",IF(AND(P139='G-1 All Habitats'!$X$3,T139&gt;0),U139+V139,IF(AND(P139='G-1 All Habitats'!$X$3,S139&gt;0),U139+V139,IF(AND(P139='G-1 All Habitats'!$X$3,AC139&gt;0),"Any Loss Unacceptable",IF(AND(P139='G-1 All Habitats'!$X$3,W139&gt;0),"Any Loss Unacceptable",H139*J139*L139*O139))))),"Check Data")</f>
        <v/>
      </c>
      <c r="R139" s="55"/>
      <c r="S139" s="79"/>
      <c r="T139" s="82"/>
      <c r="U139" s="83" t="str">
        <f t="shared" si="8"/>
        <v/>
      </c>
      <c r="V139" s="83" t="str">
        <f t="shared" si="9"/>
        <v/>
      </c>
      <c r="W139" s="83" t="str">
        <f>IF(E139="","",IF(H139&lt;S139+T139,"Error in Areas",IF(P139&lt;&gt;'G-1 All Habitats'!$X$3,H139-S139-T139,IF(AND(P139='G-1 All Habitats'!$X$3,Y139="Yes"),"Unacceptable Loss",IF(AND(P139='G-1 All Habitats'!$X$3,Y139="No"),AC139,IF(AND(P139='G-1 All Habitats'!$X$3,Y139=""),AC139,IF(AND(P139='G-1 All Habitats'!$X$3,AC139="None",AC139),IF(AND(P139='G-1 All Habitats'!$X$3,AC139&gt;0),H139-S139-T139))))))))</f>
        <v/>
      </c>
      <c r="X139" s="354" t="str">
        <f>IFERROR(IF(H139="","",IF(H139-S139-T139=0&lt;0,"Error in Areas",IF(S139+T139&gt;H139,"Error in Areas",IF(AND(P139='G-1 All Habitats'!$X$3,Y139="Yes"),"Alternative Compensation",IF(W139=0,0,IF(P139='G-1 All Habitats'!$X$3,"Unacceptable Loss",Q139-U139-V139)))))),"Check Data")</f>
        <v/>
      </c>
      <c r="Y139" s="82"/>
      <c r="Z139" s="182"/>
      <c r="AA139" s="183"/>
      <c r="AC139" s="371" t="str">
        <f>IF(P139="","",IF(P139='G-1 All Habitats'!$X$3,H139-S139-T139,"None"))</f>
        <v/>
      </c>
      <c r="AD139" s="372" t="str">
        <f t="shared" si="10"/>
        <v/>
      </c>
      <c r="AF139" s="188" t="str">
        <f t="shared" ref="AF139:AF202" si="12">IF(G139="","",IF(S139&gt;0,TRUE,FALSE))</f>
        <v/>
      </c>
      <c r="AG139" s="188" t="str">
        <f t="shared" ref="AG139:AG202" si="13">IF(H139="","",IF(T139&gt;0,TRUE,FALSE))</f>
        <v/>
      </c>
      <c r="AH139" s="188" t="str">
        <f>IF(I139="","",IF(#REF!&gt;0,TRUE,FALSE))</f>
        <v/>
      </c>
      <c r="AI139" s="188">
        <v>129</v>
      </c>
      <c r="AJ139" s="188"/>
      <c r="AK139" s="188" t="str">
        <f t="array" ref="AK139">IFERROR(INDEX($AI$11:$AI$259, MATCH(0, IF(TRUE=$AF$11:$AF$259, COUNTIF($AK$10:$AK138, $AI$11:$AI$259), ""), 0)),"")</f>
        <v/>
      </c>
      <c r="AL139" s="188" t="str">
        <f t="array" ref="AL139">IFERROR(INDEX($AI$11:$AI$259, MATCH(0, IF(TRUE=$AG$11:$AG$259, COUNTIF($AL$10:$AL138, $AI$11:$AI$259), ""), 0)),"")</f>
        <v/>
      </c>
      <c r="AM139" s="188" t="str">
        <f t="array" ref="AM139">IFERROR(INDEX($AI$11:$AI$259, MATCH(0, IF(TRUE=$AH$11:$AH$259, COUNTIF($AM$10:$AM138, $AI$11:$AI$259), ""), 0)),"")</f>
        <v/>
      </c>
      <c r="AQ139" s="35">
        <f t="shared" si="11"/>
        <v>0</v>
      </c>
    </row>
    <row r="140" spans="1:43" x14ac:dyDescent="0.25">
      <c r="A140" s="35" t="str">
        <f>IFERROR(INDEX('G-1 All Habitats'!$AG$3:$AG$15,MATCH(E140,'G-1 All Habitats'!$AF$3:$AF$15,0)),"")</f>
        <v/>
      </c>
      <c r="B140" s="35" t="str">
        <f>IFERROR(INDEX('G-8 Condition Look up'!$I$4:$I$131,MATCH(G140,'G-8 Condition Look up'!$A$4:$A$131,0)),"")</f>
        <v/>
      </c>
      <c r="D140" s="168">
        <v>130</v>
      </c>
      <c r="E140" s="275"/>
      <c r="F140" s="275"/>
      <c r="G140" s="370" t="str">
        <f>IFERROR(INDEX('G-1 All Habitats'!$B$3:$B$130,MATCH(F140,'G-1 All Habitats'!$A$3:$A$130,0)),"")</f>
        <v/>
      </c>
      <c r="H140" s="213"/>
      <c r="I140" s="171" t="str">
        <f>IF(G140="","",VLOOKUP(G140,'G-1 All Habitats'!$B$2:$M$130,10,FALSE))</f>
        <v/>
      </c>
      <c r="J140" s="172" t="str">
        <f>IFERROR(VLOOKUP(I140,'G-1 All Habitats'!$V$3:$W$7,2,FALSE),"")</f>
        <v/>
      </c>
      <c r="K140" s="173"/>
      <c r="L140" s="172" t="str">
        <f>IFERROR(INDEX('G-8 Condition Look up'!$A$3:$H$131,MATCH(G140,'G-8 Condition Look up'!$A$3:$A$131,0),MATCH(K140,'G-8 Condition Look up'!$A$3:$H$3,0)),"")</f>
        <v/>
      </c>
      <c r="M140" s="186"/>
      <c r="N140" s="175" t="str">
        <f>IF(M140="","",IF(VLOOKUP(M140,'G-3 Multipliers'!$L$3:$N$6,2,FALSE)=0,"Spatial Data Missing",VLOOKUP(M140,'G-3 Multipliers'!$L$3:$N$6,2,FALSE)))</f>
        <v/>
      </c>
      <c r="O140" s="176" t="str">
        <f>IF(M140="","",IF(VLOOKUP(M140,'G-3 Multipliers'!$L$3:$N$6,3,FALSE)=0,"Spatial Data Missing",VLOOKUP(M140,'G-3 Multipliers'!$L$3:$N$6,3,FALSE)))</f>
        <v/>
      </c>
      <c r="P140" s="177" t="str">
        <f>IFERROR(VLOOKUP(G140,'G-1 All Habitats'!$B$2:$M$130,12,FALSE),"")</f>
        <v/>
      </c>
      <c r="Q140" s="81" t="str">
        <f>IFERROR(IF(P140="","",IF(AND(P140='G-1 All Habitats'!$X$3,T140&gt;0),U140+V140,IF(AND(P140='G-1 All Habitats'!$X$3,S140&gt;0),U140+V140,IF(AND(P140='G-1 All Habitats'!$X$3,AC140&gt;0),"Any Loss Unacceptable",IF(AND(P140='G-1 All Habitats'!$X$3,W140&gt;0),"Any Loss Unacceptable",H140*J140*L140*O140))))),"Check Data")</f>
        <v/>
      </c>
      <c r="R140" s="55"/>
      <c r="S140" s="79"/>
      <c r="T140" s="82"/>
      <c r="U140" s="83" t="str">
        <f t="shared" ref="U140:U203" si="14">IFERROR(S140*J140*L140*O140,"")</f>
        <v/>
      </c>
      <c r="V140" s="83" t="str">
        <f t="shared" ref="V140:V203" si="15">IFERROR(T140*J140*L140*O140,"")</f>
        <v/>
      </c>
      <c r="W140" s="83" t="str">
        <f>IF(E140="","",IF(H140&lt;S140+T140,"Error in Areas",IF(P140&lt;&gt;'G-1 All Habitats'!$X$3,H140-S140-T140,IF(AND(P140='G-1 All Habitats'!$X$3,Y140="Yes"),"Unacceptable Loss",IF(AND(P140='G-1 All Habitats'!$X$3,Y140="No"),AC140,IF(AND(P140='G-1 All Habitats'!$X$3,Y140=""),AC140,IF(AND(P140='G-1 All Habitats'!$X$3,AC140="None",AC140),IF(AND(P140='G-1 All Habitats'!$X$3,AC140&gt;0),H140-S140-T140))))))))</f>
        <v/>
      </c>
      <c r="X140" s="354" t="str">
        <f>IFERROR(IF(H140="","",IF(H140-S140-T140=0&lt;0,"Error in Areas",IF(S140+T140&gt;H140,"Error in Areas",IF(AND(P140='G-1 All Habitats'!$X$3,Y140="Yes"),"Alternative Compensation",IF(W140=0,0,IF(P140='G-1 All Habitats'!$X$3,"Unacceptable Loss",Q140-U140-V140)))))),"Check Data")</f>
        <v/>
      </c>
      <c r="Y140" s="82"/>
      <c r="Z140" s="182"/>
      <c r="AA140" s="183"/>
      <c r="AC140" s="371" t="str">
        <f>IF(P140="","",IF(P140='G-1 All Habitats'!$X$3,H140-S140-T140,"None"))</f>
        <v/>
      </c>
      <c r="AD140" s="372" t="str">
        <f t="shared" ref="AD140:AD203" si="16">IFERROR(AC140*J140*L140*O140,IF(P140="","","None"))</f>
        <v/>
      </c>
      <c r="AF140" s="188" t="str">
        <f t="shared" si="12"/>
        <v/>
      </c>
      <c r="AG140" s="188" t="str">
        <f t="shared" si="13"/>
        <v/>
      </c>
      <c r="AH140" s="188" t="str">
        <f>IF(I140="","",IF(#REF!&gt;0,TRUE,FALSE))</f>
        <v/>
      </c>
      <c r="AI140" s="188">
        <v>130</v>
      </c>
      <c r="AJ140" s="188"/>
      <c r="AK140" s="188" t="str">
        <f t="array" ref="AK140">IFERROR(INDEX($AI$11:$AI$259, MATCH(0, IF(TRUE=$AF$11:$AF$259, COUNTIF($AK$10:$AK139, $AI$11:$AI$259), ""), 0)),"")</f>
        <v/>
      </c>
      <c r="AL140" s="188" t="str">
        <f t="array" ref="AL140">IFERROR(INDEX($AI$11:$AI$259, MATCH(0, IF(TRUE=$AG$11:$AG$259, COUNTIF($AL$10:$AL139, $AI$11:$AI$259), ""), 0)),"")</f>
        <v/>
      </c>
      <c r="AM140" s="188" t="str">
        <f t="array" ref="AM140">IFERROR(INDEX($AI$11:$AI$259, MATCH(0, IF(TRUE=$AH$11:$AH$259, COUNTIF($AM$10:$AM139, $AI$11:$AI$259), ""), 0)),"")</f>
        <v/>
      </c>
      <c r="AQ140" s="35">
        <f t="shared" ref="AQ140:AQ203" si="17">IF(X140="Unacceptable Loss",1,0)</f>
        <v>0</v>
      </c>
    </row>
    <row r="141" spans="1:43" x14ac:dyDescent="0.25">
      <c r="A141" s="35" t="str">
        <f>IFERROR(INDEX('G-1 All Habitats'!$AG$3:$AG$15,MATCH(E141,'G-1 All Habitats'!$AF$3:$AF$15,0)),"")</f>
        <v/>
      </c>
      <c r="B141" s="35" t="str">
        <f>IFERROR(INDEX('G-8 Condition Look up'!$I$4:$I$131,MATCH(G141,'G-8 Condition Look up'!$A$4:$A$131,0)),"")</f>
        <v/>
      </c>
      <c r="D141" s="168">
        <v>131</v>
      </c>
      <c r="E141" s="275"/>
      <c r="F141" s="275"/>
      <c r="G141" s="370" t="str">
        <f>IFERROR(INDEX('G-1 All Habitats'!$B$3:$B$130,MATCH(F141,'G-1 All Habitats'!$A$3:$A$130,0)),"")</f>
        <v/>
      </c>
      <c r="H141" s="213"/>
      <c r="I141" s="171" t="str">
        <f>IF(G141="","",VLOOKUP(G141,'G-1 All Habitats'!$B$2:$M$130,10,FALSE))</f>
        <v/>
      </c>
      <c r="J141" s="172" t="str">
        <f>IFERROR(VLOOKUP(I141,'G-1 All Habitats'!$V$3:$W$7,2,FALSE),"")</f>
        <v/>
      </c>
      <c r="K141" s="173"/>
      <c r="L141" s="172" t="str">
        <f>IFERROR(INDEX('G-8 Condition Look up'!$A$3:$H$131,MATCH(G141,'G-8 Condition Look up'!$A$3:$A$131,0),MATCH(K141,'G-8 Condition Look up'!$A$3:$H$3,0)),"")</f>
        <v/>
      </c>
      <c r="M141" s="186"/>
      <c r="N141" s="175" t="str">
        <f>IF(M141="","",IF(VLOOKUP(M141,'G-3 Multipliers'!$L$3:$N$6,2,FALSE)=0,"Spatial Data Missing",VLOOKUP(M141,'G-3 Multipliers'!$L$3:$N$6,2,FALSE)))</f>
        <v/>
      </c>
      <c r="O141" s="176" t="str">
        <f>IF(M141="","",IF(VLOOKUP(M141,'G-3 Multipliers'!$L$3:$N$6,3,FALSE)=0,"Spatial Data Missing",VLOOKUP(M141,'G-3 Multipliers'!$L$3:$N$6,3,FALSE)))</f>
        <v/>
      </c>
      <c r="P141" s="177" t="str">
        <f>IFERROR(VLOOKUP(G141,'G-1 All Habitats'!$B$2:$M$130,12,FALSE),"")</f>
        <v/>
      </c>
      <c r="Q141" s="81" t="str">
        <f>IFERROR(IF(P141="","",IF(AND(P141='G-1 All Habitats'!$X$3,T141&gt;0),U141+V141,IF(AND(P141='G-1 All Habitats'!$X$3,S141&gt;0),U141+V141,IF(AND(P141='G-1 All Habitats'!$X$3,AC141&gt;0),"Any Loss Unacceptable",IF(AND(P141='G-1 All Habitats'!$X$3,W141&gt;0),"Any Loss Unacceptable",H141*J141*L141*O141))))),"Check Data")</f>
        <v/>
      </c>
      <c r="R141" s="55"/>
      <c r="S141" s="79"/>
      <c r="T141" s="82"/>
      <c r="U141" s="83" t="str">
        <f t="shared" si="14"/>
        <v/>
      </c>
      <c r="V141" s="83" t="str">
        <f t="shared" si="15"/>
        <v/>
      </c>
      <c r="W141" s="83" t="str">
        <f>IF(E141="","",IF(H141&lt;S141+T141,"Error in Areas",IF(P141&lt;&gt;'G-1 All Habitats'!$X$3,H141-S141-T141,IF(AND(P141='G-1 All Habitats'!$X$3,Y141="Yes"),"Unacceptable Loss",IF(AND(P141='G-1 All Habitats'!$X$3,Y141="No"),AC141,IF(AND(P141='G-1 All Habitats'!$X$3,Y141=""),AC141,IF(AND(P141='G-1 All Habitats'!$X$3,AC141="None",AC141),IF(AND(P141='G-1 All Habitats'!$X$3,AC141&gt;0),H141-S141-T141))))))))</f>
        <v/>
      </c>
      <c r="X141" s="354" t="str">
        <f>IFERROR(IF(H141="","",IF(H141-S141-T141=0&lt;0,"Error in Areas",IF(S141+T141&gt;H141,"Error in Areas",IF(AND(P141='G-1 All Habitats'!$X$3,Y141="Yes"),"Alternative Compensation",IF(W141=0,0,IF(P141='G-1 All Habitats'!$X$3,"Unacceptable Loss",Q141-U141-V141)))))),"Check Data")</f>
        <v/>
      </c>
      <c r="Y141" s="82"/>
      <c r="Z141" s="182"/>
      <c r="AA141" s="183"/>
      <c r="AC141" s="371" t="str">
        <f>IF(P141="","",IF(P141='G-1 All Habitats'!$X$3,H141-S141-T141,"None"))</f>
        <v/>
      </c>
      <c r="AD141" s="372" t="str">
        <f t="shared" si="16"/>
        <v/>
      </c>
      <c r="AF141" s="188" t="str">
        <f t="shared" si="12"/>
        <v/>
      </c>
      <c r="AG141" s="188" t="str">
        <f t="shared" si="13"/>
        <v/>
      </c>
      <c r="AH141" s="188" t="str">
        <f>IF(I141="","",IF(#REF!&gt;0,TRUE,FALSE))</f>
        <v/>
      </c>
      <c r="AI141" s="188">
        <v>131</v>
      </c>
      <c r="AJ141" s="188"/>
      <c r="AK141" s="188" t="str">
        <f t="array" ref="AK141">IFERROR(INDEX($AI$11:$AI$259, MATCH(0, IF(TRUE=$AF$11:$AF$259, COUNTIF($AK$10:$AK140, $AI$11:$AI$259), ""), 0)),"")</f>
        <v/>
      </c>
      <c r="AL141" s="188" t="str">
        <f t="array" ref="AL141">IFERROR(INDEX($AI$11:$AI$259, MATCH(0, IF(TRUE=$AG$11:$AG$259, COUNTIF($AL$10:$AL140, $AI$11:$AI$259), ""), 0)),"")</f>
        <v/>
      </c>
      <c r="AM141" s="188" t="str">
        <f t="array" ref="AM141">IFERROR(INDEX($AI$11:$AI$259, MATCH(0, IF(TRUE=$AH$11:$AH$259, COUNTIF($AM$10:$AM140, $AI$11:$AI$259), ""), 0)),"")</f>
        <v/>
      </c>
      <c r="AQ141" s="35">
        <f t="shared" si="17"/>
        <v>0</v>
      </c>
    </row>
    <row r="142" spans="1:43" x14ac:dyDescent="0.25">
      <c r="A142" s="35" t="str">
        <f>IFERROR(INDEX('G-1 All Habitats'!$AG$3:$AG$15,MATCH(E142,'G-1 All Habitats'!$AF$3:$AF$15,0)),"")</f>
        <v/>
      </c>
      <c r="B142" s="35" t="str">
        <f>IFERROR(INDEX('G-8 Condition Look up'!$I$4:$I$131,MATCH(G142,'G-8 Condition Look up'!$A$4:$A$131,0)),"")</f>
        <v/>
      </c>
      <c r="D142" s="168">
        <v>132</v>
      </c>
      <c r="E142" s="275"/>
      <c r="F142" s="275"/>
      <c r="G142" s="370" t="str">
        <f>IFERROR(INDEX('G-1 All Habitats'!$B$3:$B$130,MATCH(F142,'G-1 All Habitats'!$A$3:$A$130,0)),"")</f>
        <v/>
      </c>
      <c r="H142" s="213"/>
      <c r="I142" s="171" t="str">
        <f>IF(G142="","",VLOOKUP(G142,'G-1 All Habitats'!$B$2:$M$130,10,FALSE))</f>
        <v/>
      </c>
      <c r="J142" s="172" t="str">
        <f>IFERROR(VLOOKUP(I142,'G-1 All Habitats'!$V$3:$W$7,2,FALSE),"")</f>
        <v/>
      </c>
      <c r="K142" s="173"/>
      <c r="L142" s="172" t="str">
        <f>IFERROR(INDEX('G-8 Condition Look up'!$A$3:$H$131,MATCH(G142,'G-8 Condition Look up'!$A$3:$A$131,0),MATCH(K142,'G-8 Condition Look up'!$A$3:$H$3,0)),"")</f>
        <v/>
      </c>
      <c r="M142" s="186"/>
      <c r="N142" s="175" t="str">
        <f>IF(M142="","",IF(VLOOKUP(M142,'G-3 Multipliers'!$L$3:$N$6,2,FALSE)=0,"Spatial Data Missing",VLOOKUP(M142,'G-3 Multipliers'!$L$3:$N$6,2,FALSE)))</f>
        <v/>
      </c>
      <c r="O142" s="176" t="str">
        <f>IF(M142="","",IF(VLOOKUP(M142,'G-3 Multipliers'!$L$3:$N$6,3,FALSE)=0,"Spatial Data Missing",VLOOKUP(M142,'G-3 Multipliers'!$L$3:$N$6,3,FALSE)))</f>
        <v/>
      </c>
      <c r="P142" s="177" t="str">
        <f>IFERROR(VLOOKUP(G142,'G-1 All Habitats'!$B$2:$M$130,12,FALSE),"")</f>
        <v/>
      </c>
      <c r="Q142" s="81" t="str">
        <f>IFERROR(IF(P142="","",IF(AND(P142='G-1 All Habitats'!$X$3,T142&gt;0),U142+V142,IF(AND(P142='G-1 All Habitats'!$X$3,S142&gt;0),U142+V142,IF(AND(P142='G-1 All Habitats'!$X$3,AC142&gt;0),"Any Loss Unacceptable",IF(AND(P142='G-1 All Habitats'!$X$3,W142&gt;0),"Any Loss Unacceptable",H142*J142*L142*O142))))),"Check Data")</f>
        <v/>
      </c>
      <c r="R142" s="55"/>
      <c r="S142" s="79"/>
      <c r="T142" s="82"/>
      <c r="U142" s="83" t="str">
        <f t="shared" si="14"/>
        <v/>
      </c>
      <c r="V142" s="83" t="str">
        <f t="shared" si="15"/>
        <v/>
      </c>
      <c r="W142" s="83" t="str">
        <f>IF(E142="","",IF(H142&lt;S142+T142,"Error in Areas",IF(P142&lt;&gt;'G-1 All Habitats'!$X$3,H142-S142-T142,IF(AND(P142='G-1 All Habitats'!$X$3,Y142="Yes"),"Unacceptable Loss",IF(AND(P142='G-1 All Habitats'!$X$3,Y142="No"),AC142,IF(AND(P142='G-1 All Habitats'!$X$3,Y142=""),AC142,IF(AND(P142='G-1 All Habitats'!$X$3,AC142="None",AC142),IF(AND(P142='G-1 All Habitats'!$X$3,AC142&gt;0),H142-S142-T142))))))))</f>
        <v/>
      </c>
      <c r="X142" s="354" t="str">
        <f>IFERROR(IF(H142="","",IF(H142-S142-T142=0&lt;0,"Error in Areas",IF(S142+T142&gt;H142,"Error in Areas",IF(AND(P142='G-1 All Habitats'!$X$3,Y142="Yes"),"Alternative Compensation",IF(W142=0,0,IF(P142='G-1 All Habitats'!$X$3,"Unacceptable Loss",Q142-U142-V142)))))),"Check Data")</f>
        <v/>
      </c>
      <c r="Y142" s="82"/>
      <c r="Z142" s="182"/>
      <c r="AA142" s="183"/>
      <c r="AC142" s="371" t="str">
        <f>IF(P142="","",IF(P142='G-1 All Habitats'!$X$3,H142-S142-T142,"None"))</f>
        <v/>
      </c>
      <c r="AD142" s="372" t="str">
        <f t="shared" si="16"/>
        <v/>
      </c>
      <c r="AF142" s="188" t="str">
        <f t="shared" si="12"/>
        <v/>
      </c>
      <c r="AG142" s="188" t="str">
        <f t="shared" si="13"/>
        <v/>
      </c>
      <c r="AH142" s="188" t="str">
        <f>IF(I142="","",IF(#REF!&gt;0,TRUE,FALSE))</f>
        <v/>
      </c>
      <c r="AI142" s="188">
        <v>132</v>
      </c>
      <c r="AJ142" s="188"/>
      <c r="AK142" s="188" t="str">
        <f t="array" ref="AK142">IFERROR(INDEX($AI$11:$AI$259, MATCH(0, IF(TRUE=$AF$11:$AF$259, COUNTIF($AK$10:$AK141, $AI$11:$AI$259), ""), 0)),"")</f>
        <v/>
      </c>
      <c r="AL142" s="188" t="str">
        <f t="array" ref="AL142">IFERROR(INDEX($AI$11:$AI$259, MATCH(0, IF(TRUE=$AG$11:$AG$259, COUNTIF($AL$10:$AL141, $AI$11:$AI$259), ""), 0)),"")</f>
        <v/>
      </c>
      <c r="AM142" s="188" t="str">
        <f t="array" ref="AM142">IFERROR(INDEX($AI$11:$AI$259, MATCH(0, IF(TRUE=$AH$11:$AH$259, COUNTIF($AM$10:$AM141, $AI$11:$AI$259), ""), 0)),"")</f>
        <v/>
      </c>
      <c r="AQ142" s="35">
        <f t="shared" si="17"/>
        <v>0</v>
      </c>
    </row>
    <row r="143" spans="1:43" x14ac:dyDescent="0.25">
      <c r="A143" s="35" t="str">
        <f>IFERROR(INDEX('G-1 All Habitats'!$AG$3:$AG$15,MATCH(E143,'G-1 All Habitats'!$AF$3:$AF$15,0)),"")</f>
        <v/>
      </c>
      <c r="B143" s="35" t="str">
        <f>IFERROR(INDEX('G-8 Condition Look up'!$I$4:$I$131,MATCH(G143,'G-8 Condition Look up'!$A$4:$A$131,0)),"")</f>
        <v/>
      </c>
      <c r="D143" s="168">
        <v>133</v>
      </c>
      <c r="E143" s="275"/>
      <c r="F143" s="275"/>
      <c r="G143" s="370" t="str">
        <f>IFERROR(INDEX('G-1 All Habitats'!$B$3:$B$130,MATCH(F143,'G-1 All Habitats'!$A$3:$A$130,0)),"")</f>
        <v/>
      </c>
      <c r="H143" s="213"/>
      <c r="I143" s="171" t="str">
        <f>IF(G143="","",VLOOKUP(G143,'G-1 All Habitats'!$B$2:$M$130,10,FALSE))</f>
        <v/>
      </c>
      <c r="J143" s="172" t="str">
        <f>IFERROR(VLOOKUP(I143,'G-1 All Habitats'!$V$3:$W$7,2,FALSE),"")</f>
        <v/>
      </c>
      <c r="K143" s="173"/>
      <c r="L143" s="172" t="str">
        <f>IFERROR(INDEX('G-8 Condition Look up'!$A$3:$H$131,MATCH(G143,'G-8 Condition Look up'!$A$3:$A$131,0),MATCH(K143,'G-8 Condition Look up'!$A$3:$H$3,0)),"")</f>
        <v/>
      </c>
      <c r="M143" s="186"/>
      <c r="N143" s="175" t="str">
        <f>IF(M143="","",IF(VLOOKUP(M143,'G-3 Multipliers'!$L$3:$N$6,2,FALSE)=0,"Spatial Data Missing",VLOOKUP(M143,'G-3 Multipliers'!$L$3:$N$6,2,FALSE)))</f>
        <v/>
      </c>
      <c r="O143" s="176" t="str">
        <f>IF(M143="","",IF(VLOOKUP(M143,'G-3 Multipliers'!$L$3:$N$6,3,FALSE)=0,"Spatial Data Missing",VLOOKUP(M143,'G-3 Multipliers'!$L$3:$N$6,3,FALSE)))</f>
        <v/>
      </c>
      <c r="P143" s="177" t="str">
        <f>IFERROR(VLOOKUP(G143,'G-1 All Habitats'!$B$2:$M$130,12,FALSE),"")</f>
        <v/>
      </c>
      <c r="Q143" s="81" t="str">
        <f>IFERROR(IF(P143="","",IF(AND(P143='G-1 All Habitats'!$X$3,T143&gt;0),U143+V143,IF(AND(P143='G-1 All Habitats'!$X$3,S143&gt;0),U143+V143,IF(AND(P143='G-1 All Habitats'!$X$3,AC143&gt;0),"Any Loss Unacceptable",IF(AND(P143='G-1 All Habitats'!$X$3,W143&gt;0),"Any Loss Unacceptable",H143*J143*L143*O143))))),"Check Data")</f>
        <v/>
      </c>
      <c r="R143" s="55"/>
      <c r="S143" s="79"/>
      <c r="T143" s="82"/>
      <c r="U143" s="83" t="str">
        <f t="shared" si="14"/>
        <v/>
      </c>
      <c r="V143" s="83" t="str">
        <f t="shared" si="15"/>
        <v/>
      </c>
      <c r="W143" s="83" t="str">
        <f>IF(E143="","",IF(H143&lt;S143+T143,"Error in Areas",IF(P143&lt;&gt;'G-1 All Habitats'!$X$3,H143-S143-T143,IF(AND(P143='G-1 All Habitats'!$X$3,Y143="Yes"),"Unacceptable Loss",IF(AND(P143='G-1 All Habitats'!$X$3,Y143="No"),AC143,IF(AND(P143='G-1 All Habitats'!$X$3,Y143=""),AC143,IF(AND(P143='G-1 All Habitats'!$X$3,AC143="None",AC143),IF(AND(P143='G-1 All Habitats'!$X$3,AC143&gt;0),H143-S143-T143))))))))</f>
        <v/>
      </c>
      <c r="X143" s="354" t="str">
        <f>IFERROR(IF(H143="","",IF(H143-S143-T143=0&lt;0,"Error in Areas",IF(S143+T143&gt;H143,"Error in Areas",IF(AND(P143='G-1 All Habitats'!$X$3,Y143="Yes"),"Alternative Compensation",IF(W143=0,0,IF(P143='G-1 All Habitats'!$X$3,"Unacceptable Loss",Q143-U143-V143)))))),"Check Data")</f>
        <v/>
      </c>
      <c r="Y143" s="82"/>
      <c r="Z143" s="182"/>
      <c r="AA143" s="183"/>
      <c r="AC143" s="371" t="str">
        <f>IF(P143="","",IF(P143='G-1 All Habitats'!$X$3,H143-S143-T143,"None"))</f>
        <v/>
      </c>
      <c r="AD143" s="372" t="str">
        <f t="shared" si="16"/>
        <v/>
      </c>
      <c r="AF143" s="188" t="str">
        <f t="shared" si="12"/>
        <v/>
      </c>
      <c r="AG143" s="188" t="str">
        <f t="shared" si="13"/>
        <v/>
      </c>
      <c r="AH143" s="188" t="str">
        <f>IF(I143="","",IF(#REF!&gt;0,TRUE,FALSE))</f>
        <v/>
      </c>
      <c r="AI143" s="188">
        <v>133</v>
      </c>
      <c r="AJ143" s="188"/>
      <c r="AK143" s="188" t="str">
        <f t="array" ref="AK143">IFERROR(INDEX($AI$11:$AI$259, MATCH(0, IF(TRUE=$AF$11:$AF$259, COUNTIF($AK$10:$AK142, $AI$11:$AI$259), ""), 0)),"")</f>
        <v/>
      </c>
      <c r="AL143" s="188" t="str">
        <f t="array" ref="AL143">IFERROR(INDEX($AI$11:$AI$259, MATCH(0, IF(TRUE=$AG$11:$AG$259, COUNTIF($AL$10:$AL142, $AI$11:$AI$259), ""), 0)),"")</f>
        <v/>
      </c>
      <c r="AM143" s="188" t="str">
        <f t="array" ref="AM143">IFERROR(INDEX($AI$11:$AI$259, MATCH(0, IF(TRUE=$AH$11:$AH$259, COUNTIF($AM$10:$AM142, $AI$11:$AI$259), ""), 0)),"")</f>
        <v/>
      </c>
      <c r="AQ143" s="35">
        <f t="shared" si="17"/>
        <v>0</v>
      </c>
    </row>
    <row r="144" spans="1:43" x14ac:dyDescent="0.25">
      <c r="A144" s="35" t="str">
        <f>IFERROR(INDEX('G-1 All Habitats'!$AG$3:$AG$15,MATCH(E144,'G-1 All Habitats'!$AF$3:$AF$15,0)),"")</f>
        <v/>
      </c>
      <c r="B144" s="35" t="str">
        <f>IFERROR(INDEX('G-8 Condition Look up'!$I$4:$I$131,MATCH(G144,'G-8 Condition Look up'!$A$4:$A$131,0)),"")</f>
        <v/>
      </c>
      <c r="D144" s="168">
        <v>134</v>
      </c>
      <c r="E144" s="275"/>
      <c r="F144" s="275"/>
      <c r="G144" s="370" t="str">
        <f>IFERROR(INDEX('G-1 All Habitats'!$B$3:$B$130,MATCH(F144,'G-1 All Habitats'!$A$3:$A$130,0)),"")</f>
        <v/>
      </c>
      <c r="H144" s="213"/>
      <c r="I144" s="171" t="str">
        <f>IF(G144="","",VLOOKUP(G144,'G-1 All Habitats'!$B$2:$M$130,10,FALSE))</f>
        <v/>
      </c>
      <c r="J144" s="172" t="str">
        <f>IFERROR(VLOOKUP(I144,'G-1 All Habitats'!$V$3:$W$7,2,FALSE),"")</f>
        <v/>
      </c>
      <c r="K144" s="173"/>
      <c r="L144" s="172" t="str">
        <f>IFERROR(INDEX('G-8 Condition Look up'!$A$3:$H$131,MATCH(G144,'G-8 Condition Look up'!$A$3:$A$131,0),MATCH(K144,'G-8 Condition Look up'!$A$3:$H$3,0)),"")</f>
        <v/>
      </c>
      <c r="M144" s="186"/>
      <c r="N144" s="175" t="str">
        <f>IF(M144="","",IF(VLOOKUP(M144,'G-3 Multipliers'!$L$3:$N$6,2,FALSE)=0,"Spatial Data Missing",VLOOKUP(M144,'G-3 Multipliers'!$L$3:$N$6,2,FALSE)))</f>
        <v/>
      </c>
      <c r="O144" s="176" t="str">
        <f>IF(M144="","",IF(VLOOKUP(M144,'G-3 Multipliers'!$L$3:$N$6,3,FALSE)=0,"Spatial Data Missing",VLOOKUP(M144,'G-3 Multipliers'!$L$3:$N$6,3,FALSE)))</f>
        <v/>
      </c>
      <c r="P144" s="177" t="str">
        <f>IFERROR(VLOOKUP(G144,'G-1 All Habitats'!$B$2:$M$130,12,FALSE),"")</f>
        <v/>
      </c>
      <c r="Q144" s="81" t="str">
        <f>IFERROR(IF(P144="","",IF(AND(P144='G-1 All Habitats'!$X$3,T144&gt;0),U144+V144,IF(AND(P144='G-1 All Habitats'!$X$3,S144&gt;0),U144+V144,IF(AND(P144='G-1 All Habitats'!$X$3,AC144&gt;0),"Any Loss Unacceptable",IF(AND(P144='G-1 All Habitats'!$X$3,W144&gt;0),"Any Loss Unacceptable",H144*J144*L144*O144))))),"Check Data")</f>
        <v/>
      </c>
      <c r="R144" s="55"/>
      <c r="S144" s="79"/>
      <c r="T144" s="82"/>
      <c r="U144" s="83" t="str">
        <f t="shared" si="14"/>
        <v/>
      </c>
      <c r="V144" s="83" t="str">
        <f t="shared" si="15"/>
        <v/>
      </c>
      <c r="W144" s="83" t="str">
        <f>IF(E144="","",IF(H144&lt;S144+T144,"Error in Areas",IF(P144&lt;&gt;'G-1 All Habitats'!$X$3,H144-S144-T144,IF(AND(P144='G-1 All Habitats'!$X$3,Y144="Yes"),"Unacceptable Loss",IF(AND(P144='G-1 All Habitats'!$X$3,Y144="No"),AC144,IF(AND(P144='G-1 All Habitats'!$X$3,Y144=""),AC144,IF(AND(P144='G-1 All Habitats'!$X$3,AC144="None",AC144),IF(AND(P144='G-1 All Habitats'!$X$3,AC144&gt;0),H144-S144-T144))))))))</f>
        <v/>
      </c>
      <c r="X144" s="354" t="str">
        <f>IFERROR(IF(H144="","",IF(H144-S144-T144=0&lt;0,"Error in Areas",IF(S144+T144&gt;H144,"Error in Areas",IF(AND(P144='G-1 All Habitats'!$X$3,Y144="Yes"),"Alternative Compensation",IF(W144=0,0,IF(P144='G-1 All Habitats'!$X$3,"Unacceptable Loss",Q144-U144-V144)))))),"Check Data")</f>
        <v/>
      </c>
      <c r="Y144" s="82"/>
      <c r="Z144" s="182"/>
      <c r="AA144" s="183"/>
      <c r="AC144" s="371" t="str">
        <f>IF(P144="","",IF(P144='G-1 All Habitats'!$X$3,H144-S144-T144,"None"))</f>
        <v/>
      </c>
      <c r="AD144" s="372" t="str">
        <f t="shared" si="16"/>
        <v/>
      </c>
      <c r="AF144" s="188" t="str">
        <f t="shared" si="12"/>
        <v/>
      </c>
      <c r="AG144" s="188" t="str">
        <f t="shared" si="13"/>
        <v/>
      </c>
      <c r="AH144" s="188" t="str">
        <f>IF(I144="","",IF(#REF!&gt;0,TRUE,FALSE))</f>
        <v/>
      </c>
      <c r="AI144" s="188">
        <v>134</v>
      </c>
      <c r="AJ144" s="188"/>
      <c r="AK144" s="188" t="str">
        <f t="array" ref="AK144">IFERROR(INDEX($AI$11:$AI$259, MATCH(0, IF(TRUE=$AF$11:$AF$259, COUNTIF($AK$10:$AK143, $AI$11:$AI$259), ""), 0)),"")</f>
        <v/>
      </c>
      <c r="AL144" s="188" t="str">
        <f t="array" ref="AL144">IFERROR(INDEX($AI$11:$AI$259, MATCH(0, IF(TRUE=$AG$11:$AG$259, COUNTIF($AL$10:$AL143, $AI$11:$AI$259), ""), 0)),"")</f>
        <v/>
      </c>
      <c r="AM144" s="188" t="str">
        <f t="array" ref="AM144">IFERROR(INDEX($AI$11:$AI$259, MATCH(0, IF(TRUE=$AH$11:$AH$259, COUNTIF($AM$10:$AM143, $AI$11:$AI$259), ""), 0)),"")</f>
        <v/>
      </c>
      <c r="AQ144" s="35">
        <f t="shared" si="17"/>
        <v>0</v>
      </c>
    </row>
    <row r="145" spans="1:43" x14ac:dyDescent="0.25">
      <c r="A145" s="35" t="str">
        <f>IFERROR(INDEX('G-1 All Habitats'!$AG$3:$AG$15,MATCH(E145,'G-1 All Habitats'!$AF$3:$AF$15,0)),"")</f>
        <v/>
      </c>
      <c r="B145" s="35" t="str">
        <f>IFERROR(INDEX('G-8 Condition Look up'!$I$4:$I$131,MATCH(G145,'G-8 Condition Look up'!$A$4:$A$131,0)),"")</f>
        <v/>
      </c>
      <c r="D145" s="168">
        <v>135</v>
      </c>
      <c r="E145" s="275"/>
      <c r="F145" s="275"/>
      <c r="G145" s="370" t="str">
        <f>IFERROR(INDEX('G-1 All Habitats'!$B$3:$B$130,MATCH(F145,'G-1 All Habitats'!$A$3:$A$130,0)),"")</f>
        <v/>
      </c>
      <c r="H145" s="213"/>
      <c r="I145" s="171" t="str">
        <f>IF(G145="","",VLOOKUP(G145,'G-1 All Habitats'!$B$2:$M$130,10,FALSE))</f>
        <v/>
      </c>
      <c r="J145" s="172" t="str">
        <f>IFERROR(VLOOKUP(I145,'G-1 All Habitats'!$V$3:$W$7,2,FALSE),"")</f>
        <v/>
      </c>
      <c r="K145" s="173"/>
      <c r="L145" s="172" t="str">
        <f>IFERROR(INDEX('G-8 Condition Look up'!$A$3:$H$131,MATCH(G145,'G-8 Condition Look up'!$A$3:$A$131,0),MATCH(K145,'G-8 Condition Look up'!$A$3:$H$3,0)),"")</f>
        <v/>
      </c>
      <c r="M145" s="186"/>
      <c r="N145" s="175" t="str">
        <f>IF(M145="","",IF(VLOOKUP(M145,'G-3 Multipliers'!$L$3:$N$6,2,FALSE)=0,"Spatial Data Missing",VLOOKUP(M145,'G-3 Multipliers'!$L$3:$N$6,2,FALSE)))</f>
        <v/>
      </c>
      <c r="O145" s="176" t="str">
        <f>IF(M145="","",IF(VLOOKUP(M145,'G-3 Multipliers'!$L$3:$N$6,3,FALSE)=0,"Spatial Data Missing",VLOOKUP(M145,'G-3 Multipliers'!$L$3:$N$6,3,FALSE)))</f>
        <v/>
      </c>
      <c r="P145" s="177" t="str">
        <f>IFERROR(VLOOKUP(G145,'G-1 All Habitats'!$B$2:$M$130,12,FALSE),"")</f>
        <v/>
      </c>
      <c r="Q145" s="81" t="str">
        <f>IFERROR(IF(P145="","",IF(AND(P145='G-1 All Habitats'!$X$3,T145&gt;0),U145+V145,IF(AND(P145='G-1 All Habitats'!$X$3,S145&gt;0),U145+V145,IF(AND(P145='G-1 All Habitats'!$X$3,AC145&gt;0),"Any Loss Unacceptable",IF(AND(P145='G-1 All Habitats'!$X$3,W145&gt;0),"Any Loss Unacceptable",H145*J145*L145*O145))))),"Check Data")</f>
        <v/>
      </c>
      <c r="R145" s="55"/>
      <c r="S145" s="79"/>
      <c r="T145" s="82"/>
      <c r="U145" s="83" t="str">
        <f t="shared" si="14"/>
        <v/>
      </c>
      <c r="V145" s="83" t="str">
        <f t="shared" si="15"/>
        <v/>
      </c>
      <c r="W145" s="83" t="str">
        <f>IF(E145="","",IF(H145&lt;S145+T145,"Error in Areas",IF(P145&lt;&gt;'G-1 All Habitats'!$X$3,H145-S145-T145,IF(AND(P145='G-1 All Habitats'!$X$3,Y145="Yes"),"Unacceptable Loss",IF(AND(P145='G-1 All Habitats'!$X$3,Y145="No"),AC145,IF(AND(P145='G-1 All Habitats'!$X$3,Y145=""),AC145,IF(AND(P145='G-1 All Habitats'!$X$3,AC145="None",AC145),IF(AND(P145='G-1 All Habitats'!$X$3,AC145&gt;0),H145-S145-T145))))))))</f>
        <v/>
      </c>
      <c r="X145" s="354" t="str">
        <f>IFERROR(IF(H145="","",IF(H145-S145-T145=0&lt;0,"Error in Areas",IF(S145+T145&gt;H145,"Error in Areas",IF(AND(P145='G-1 All Habitats'!$X$3,Y145="Yes"),"Alternative Compensation",IF(W145=0,0,IF(P145='G-1 All Habitats'!$X$3,"Unacceptable Loss",Q145-U145-V145)))))),"Check Data")</f>
        <v/>
      </c>
      <c r="Y145" s="82"/>
      <c r="Z145" s="182"/>
      <c r="AA145" s="183"/>
      <c r="AC145" s="371" t="str">
        <f>IF(P145="","",IF(P145='G-1 All Habitats'!$X$3,H145-S145-T145,"None"))</f>
        <v/>
      </c>
      <c r="AD145" s="372" t="str">
        <f t="shared" si="16"/>
        <v/>
      </c>
      <c r="AF145" s="188" t="str">
        <f t="shared" si="12"/>
        <v/>
      </c>
      <c r="AG145" s="188" t="str">
        <f t="shared" si="13"/>
        <v/>
      </c>
      <c r="AH145" s="188" t="str">
        <f>IF(I145="","",IF(#REF!&gt;0,TRUE,FALSE))</f>
        <v/>
      </c>
      <c r="AI145" s="188">
        <v>135</v>
      </c>
      <c r="AJ145" s="188"/>
      <c r="AK145" s="188" t="str">
        <f t="array" ref="AK145">IFERROR(INDEX($AI$11:$AI$259, MATCH(0, IF(TRUE=$AF$11:$AF$259, COUNTIF($AK$10:$AK144, $AI$11:$AI$259), ""), 0)),"")</f>
        <v/>
      </c>
      <c r="AL145" s="188" t="str">
        <f t="array" ref="AL145">IFERROR(INDEX($AI$11:$AI$259, MATCH(0, IF(TRUE=$AG$11:$AG$259, COUNTIF($AL$10:$AL144, $AI$11:$AI$259), ""), 0)),"")</f>
        <v/>
      </c>
      <c r="AM145" s="188" t="str">
        <f t="array" ref="AM145">IFERROR(INDEX($AI$11:$AI$259, MATCH(0, IF(TRUE=$AH$11:$AH$259, COUNTIF($AM$10:$AM144, $AI$11:$AI$259), ""), 0)),"")</f>
        <v/>
      </c>
      <c r="AQ145" s="35">
        <f t="shared" si="17"/>
        <v>0</v>
      </c>
    </row>
    <row r="146" spans="1:43" x14ac:dyDescent="0.25">
      <c r="A146" s="35" t="str">
        <f>IFERROR(INDEX('G-1 All Habitats'!$AG$3:$AG$15,MATCH(E146,'G-1 All Habitats'!$AF$3:$AF$15,0)),"")</f>
        <v/>
      </c>
      <c r="B146" s="35" t="str">
        <f>IFERROR(INDEX('G-8 Condition Look up'!$I$4:$I$131,MATCH(G146,'G-8 Condition Look up'!$A$4:$A$131,0)),"")</f>
        <v/>
      </c>
      <c r="D146" s="168">
        <v>136</v>
      </c>
      <c r="E146" s="275"/>
      <c r="F146" s="275"/>
      <c r="G146" s="370" t="str">
        <f>IFERROR(INDEX('G-1 All Habitats'!$B$3:$B$130,MATCH(F146,'G-1 All Habitats'!$A$3:$A$130,0)),"")</f>
        <v/>
      </c>
      <c r="H146" s="213"/>
      <c r="I146" s="171" t="str">
        <f>IF(G146="","",VLOOKUP(G146,'G-1 All Habitats'!$B$2:$M$130,10,FALSE))</f>
        <v/>
      </c>
      <c r="J146" s="172" t="str">
        <f>IFERROR(VLOOKUP(I146,'G-1 All Habitats'!$V$3:$W$7,2,FALSE),"")</f>
        <v/>
      </c>
      <c r="K146" s="173"/>
      <c r="L146" s="172" t="str">
        <f>IFERROR(INDEX('G-8 Condition Look up'!$A$3:$H$131,MATCH(G146,'G-8 Condition Look up'!$A$3:$A$131,0),MATCH(K146,'G-8 Condition Look up'!$A$3:$H$3,0)),"")</f>
        <v/>
      </c>
      <c r="M146" s="186"/>
      <c r="N146" s="175" t="str">
        <f>IF(M146="","",IF(VLOOKUP(M146,'G-3 Multipliers'!$L$3:$N$6,2,FALSE)=0,"Spatial Data Missing",VLOOKUP(M146,'G-3 Multipliers'!$L$3:$N$6,2,FALSE)))</f>
        <v/>
      </c>
      <c r="O146" s="176" t="str">
        <f>IF(M146="","",IF(VLOOKUP(M146,'G-3 Multipliers'!$L$3:$N$6,3,FALSE)=0,"Spatial Data Missing",VLOOKUP(M146,'G-3 Multipliers'!$L$3:$N$6,3,FALSE)))</f>
        <v/>
      </c>
      <c r="P146" s="177" t="str">
        <f>IFERROR(VLOOKUP(G146,'G-1 All Habitats'!$B$2:$M$130,12,FALSE),"")</f>
        <v/>
      </c>
      <c r="Q146" s="81" t="str">
        <f>IFERROR(IF(P146="","",IF(AND(P146='G-1 All Habitats'!$X$3,T146&gt;0),U146+V146,IF(AND(P146='G-1 All Habitats'!$X$3,S146&gt;0),U146+V146,IF(AND(P146='G-1 All Habitats'!$X$3,AC146&gt;0),"Any Loss Unacceptable",IF(AND(P146='G-1 All Habitats'!$X$3,W146&gt;0),"Any Loss Unacceptable",H146*J146*L146*O146))))),"Check Data")</f>
        <v/>
      </c>
      <c r="R146" s="55"/>
      <c r="S146" s="79"/>
      <c r="T146" s="82"/>
      <c r="U146" s="83" t="str">
        <f t="shared" si="14"/>
        <v/>
      </c>
      <c r="V146" s="83" t="str">
        <f t="shared" si="15"/>
        <v/>
      </c>
      <c r="W146" s="83" t="str">
        <f>IF(E146="","",IF(H146&lt;S146+T146,"Error in Areas",IF(P146&lt;&gt;'G-1 All Habitats'!$X$3,H146-S146-T146,IF(AND(P146='G-1 All Habitats'!$X$3,Y146="Yes"),"Unacceptable Loss",IF(AND(P146='G-1 All Habitats'!$X$3,Y146="No"),AC146,IF(AND(P146='G-1 All Habitats'!$X$3,Y146=""),AC146,IF(AND(P146='G-1 All Habitats'!$X$3,AC146="None",AC146),IF(AND(P146='G-1 All Habitats'!$X$3,AC146&gt;0),H146-S146-T146))))))))</f>
        <v/>
      </c>
      <c r="X146" s="354" t="str">
        <f>IFERROR(IF(H146="","",IF(H146-S146-T146=0&lt;0,"Error in Areas",IF(S146+T146&gt;H146,"Error in Areas",IF(AND(P146='G-1 All Habitats'!$X$3,Y146="Yes"),"Alternative Compensation",IF(W146=0,0,IF(P146='G-1 All Habitats'!$X$3,"Unacceptable Loss",Q146-U146-V146)))))),"Check Data")</f>
        <v/>
      </c>
      <c r="Y146" s="82"/>
      <c r="Z146" s="182"/>
      <c r="AA146" s="183"/>
      <c r="AC146" s="371" t="str">
        <f>IF(P146="","",IF(P146='G-1 All Habitats'!$X$3,H146-S146-T146,"None"))</f>
        <v/>
      </c>
      <c r="AD146" s="372" t="str">
        <f t="shared" si="16"/>
        <v/>
      </c>
      <c r="AF146" s="188" t="str">
        <f t="shared" si="12"/>
        <v/>
      </c>
      <c r="AG146" s="188" t="str">
        <f t="shared" si="13"/>
        <v/>
      </c>
      <c r="AH146" s="188" t="str">
        <f>IF(I146="","",IF(#REF!&gt;0,TRUE,FALSE))</f>
        <v/>
      </c>
      <c r="AI146" s="188">
        <v>136</v>
      </c>
      <c r="AJ146" s="188"/>
      <c r="AK146" s="188" t="str">
        <f t="array" ref="AK146">IFERROR(INDEX($AI$11:$AI$259, MATCH(0, IF(TRUE=$AF$11:$AF$259, COUNTIF($AK$10:$AK145, $AI$11:$AI$259), ""), 0)),"")</f>
        <v/>
      </c>
      <c r="AL146" s="188" t="str">
        <f t="array" ref="AL146">IFERROR(INDEX($AI$11:$AI$259, MATCH(0, IF(TRUE=$AG$11:$AG$259, COUNTIF($AL$10:$AL145, $AI$11:$AI$259), ""), 0)),"")</f>
        <v/>
      </c>
      <c r="AM146" s="188" t="str">
        <f t="array" ref="AM146">IFERROR(INDEX($AI$11:$AI$259, MATCH(0, IF(TRUE=$AH$11:$AH$259, COUNTIF($AM$10:$AM145, $AI$11:$AI$259), ""), 0)),"")</f>
        <v/>
      </c>
      <c r="AQ146" s="35">
        <f t="shared" si="17"/>
        <v>0</v>
      </c>
    </row>
    <row r="147" spans="1:43" x14ac:dyDescent="0.25">
      <c r="A147" s="35" t="str">
        <f>IFERROR(INDEX('G-1 All Habitats'!$AG$3:$AG$15,MATCH(E147,'G-1 All Habitats'!$AF$3:$AF$15,0)),"")</f>
        <v/>
      </c>
      <c r="B147" s="35" t="str">
        <f>IFERROR(INDEX('G-8 Condition Look up'!$I$4:$I$131,MATCH(G147,'G-8 Condition Look up'!$A$4:$A$131,0)),"")</f>
        <v/>
      </c>
      <c r="D147" s="168">
        <v>137</v>
      </c>
      <c r="E147" s="275"/>
      <c r="F147" s="275"/>
      <c r="G147" s="370" t="str">
        <f>IFERROR(INDEX('G-1 All Habitats'!$B$3:$B$130,MATCH(F147,'G-1 All Habitats'!$A$3:$A$130,0)),"")</f>
        <v/>
      </c>
      <c r="H147" s="213"/>
      <c r="I147" s="171" t="str">
        <f>IF(G147="","",VLOOKUP(G147,'G-1 All Habitats'!$B$2:$M$130,10,FALSE))</f>
        <v/>
      </c>
      <c r="J147" s="172" t="str">
        <f>IFERROR(VLOOKUP(I147,'G-1 All Habitats'!$V$3:$W$7,2,FALSE),"")</f>
        <v/>
      </c>
      <c r="K147" s="173"/>
      <c r="L147" s="172" t="str">
        <f>IFERROR(INDEX('G-8 Condition Look up'!$A$3:$H$131,MATCH(G147,'G-8 Condition Look up'!$A$3:$A$131,0),MATCH(K147,'G-8 Condition Look up'!$A$3:$H$3,0)),"")</f>
        <v/>
      </c>
      <c r="M147" s="186"/>
      <c r="N147" s="175" t="str">
        <f>IF(M147="","",IF(VLOOKUP(M147,'G-3 Multipliers'!$L$3:$N$6,2,FALSE)=0,"Spatial Data Missing",VLOOKUP(M147,'G-3 Multipliers'!$L$3:$N$6,2,FALSE)))</f>
        <v/>
      </c>
      <c r="O147" s="176" t="str">
        <f>IF(M147="","",IF(VLOOKUP(M147,'G-3 Multipliers'!$L$3:$N$6,3,FALSE)=0,"Spatial Data Missing",VLOOKUP(M147,'G-3 Multipliers'!$L$3:$N$6,3,FALSE)))</f>
        <v/>
      </c>
      <c r="P147" s="177" t="str">
        <f>IFERROR(VLOOKUP(G147,'G-1 All Habitats'!$B$2:$M$130,12,FALSE),"")</f>
        <v/>
      </c>
      <c r="Q147" s="81" t="str">
        <f>IFERROR(IF(P147="","",IF(AND(P147='G-1 All Habitats'!$X$3,T147&gt;0),U147+V147,IF(AND(P147='G-1 All Habitats'!$X$3,S147&gt;0),U147+V147,IF(AND(P147='G-1 All Habitats'!$X$3,AC147&gt;0),"Any Loss Unacceptable",IF(AND(P147='G-1 All Habitats'!$X$3,W147&gt;0),"Any Loss Unacceptable",H147*J147*L147*O147))))),"Check Data")</f>
        <v/>
      </c>
      <c r="R147" s="55"/>
      <c r="S147" s="79"/>
      <c r="T147" s="82"/>
      <c r="U147" s="83" t="str">
        <f t="shared" si="14"/>
        <v/>
      </c>
      <c r="V147" s="83" t="str">
        <f t="shared" si="15"/>
        <v/>
      </c>
      <c r="W147" s="83" t="str">
        <f>IF(E147="","",IF(H147&lt;S147+T147,"Error in Areas",IF(P147&lt;&gt;'G-1 All Habitats'!$X$3,H147-S147-T147,IF(AND(P147='G-1 All Habitats'!$X$3,Y147="Yes"),"Unacceptable Loss",IF(AND(P147='G-1 All Habitats'!$X$3,Y147="No"),AC147,IF(AND(P147='G-1 All Habitats'!$X$3,Y147=""),AC147,IF(AND(P147='G-1 All Habitats'!$X$3,AC147="None",AC147),IF(AND(P147='G-1 All Habitats'!$X$3,AC147&gt;0),H147-S147-T147))))))))</f>
        <v/>
      </c>
      <c r="X147" s="354" t="str">
        <f>IFERROR(IF(H147="","",IF(H147-S147-T147=0&lt;0,"Error in Areas",IF(S147+T147&gt;H147,"Error in Areas",IF(AND(P147='G-1 All Habitats'!$X$3,Y147="Yes"),"Alternative Compensation",IF(W147=0,0,IF(P147='G-1 All Habitats'!$X$3,"Unacceptable Loss",Q147-U147-V147)))))),"Check Data")</f>
        <v/>
      </c>
      <c r="Y147" s="82"/>
      <c r="Z147" s="182"/>
      <c r="AA147" s="183"/>
      <c r="AC147" s="371" t="str">
        <f>IF(P147="","",IF(P147='G-1 All Habitats'!$X$3,H147-S147-T147,"None"))</f>
        <v/>
      </c>
      <c r="AD147" s="372" t="str">
        <f t="shared" si="16"/>
        <v/>
      </c>
      <c r="AF147" s="188" t="str">
        <f t="shared" si="12"/>
        <v/>
      </c>
      <c r="AG147" s="188" t="str">
        <f t="shared" si="13"/>
        <v/>
      </c>
      <c r="AH147" s="188" t="str">
        <f>IF(I147="","",IF(#REF!&gt;0,TRUE,FALSE))</f>
        <v/>
      </c>
      <c r="AI147" s="188">
        <v>137</v>
      </c>
      <c r="AJ147" s="188"/>
      <c r="AK147" s="188" t="str">
        <f t="array" ref="AK147">IFERROR(INDEX($AI$11:$AI$259, MATCH(0, IF(TRUE=$AF$11:$AF$259, COUNTIF($AK$10:$AK146, $AI$11:$AI$259), ""), 0)),"")</f>
        <v/>
      </c>
      <c r="AL147" s="188" t="str">
        <f t="array" ref="AL147">IFERROR(INDEX($AI$11:$AI$259, MATCH(0, IF(TRUE=$AG$11:$AG$259, COUNTIF($AL$10:$AL146, $AI$11:$AI$259), ""), 0)),"")</f>
        <v/>
      </c>
      <c r="AM147" s="188" t="str">
        <f t="array" ref="AM147">IFERROR(INDEX($AI$11:$AI$259, MATCH(0, IF(TRUE=$AH$11:$AH$259, COUNTIF($AM$10:$AM146, $AI$11:$AI$259), ""), 0)),"")</f>
        <v/>
      </c>
      <c r="AQ147" s="35">
        <f t="shared" si="17"/>
        <v>0</v>
      </c>
    </row>
    <row r="148" spans="1:43" x14ac:dyDescent="0.25">
      <c r="A148" s="35" t="str">
        <f>IFERROR(INDEX('G-1 All Habitats'!$AG$3:$AG$15,MATCH(E148,'G-1 All Habitats'!$AF$3:$AF$15,0)),"")</f>
        <v/>
      </c>
      <c r="B148" s="35" t="str">
        <f>IFERROR(INDEX('G-8 Condition Look up'!$I$4:$I$131,MATCH(G148,'G-8 Condition Look up'!$A$4:$A$131,0)),"")</f>
        <v/>
      </c>
      <c r="D148" s="168">
        <v>138</v>
      </c>
      <c r="E148" s="275"/>
      <c r="F148" s="275"/>
      <c r="G148" s="370" t="str">
        <f>IFERROR(INDEX('G-1 All Habitats'!$B$3:$B$130,MATCH(F148,'G-1 All Habitats'!$A$3:$A$130,0)),"")</f>
        <v/>
      </c>
      <c r="H148" s="213"/>
      <c r="I148" s="171" t="str">
        <f>IF(G148="","",VLOOKUP(G148,'G-1 All Habitats'!$B$2:$M$130,10,FALSE))</f>
        <v/>
      </c>
      <c r="J148" s="172" t="str">
        <f>IFERROR(VLOOKUP(I148,'G-1 All Habitats'!$V$3:$W$7,2,FALSE),"")</f>
        <v/>
      </c>
      <c r="K148" s="173"/>
      <c r="L148" s="172" t="str">
        <f>IFERROR(INDEX('G-8 Condition Look up'!$A$3:$H$131,MATCH(G148,'G-8 Condition Look up'!$A$3:$A$131,0),MATCH(K148,'G-8 Condition Look up'!$A$3:$H$3,0)),"")</f>
        <v/>
      </c>
      <c r="M148" s="186"/>
      <c r="N148" s="175" t="str">
        <f>IF(M148="","",IF(VLOOKUP(M148,'G-3 Multipliers'!$L$3:$N$6,2,FALSE)=0,"Spatial Data Missing",VLOOKUP(M148,'G-3 Multipliers'!$L$3:$N$6,2,FALSE)))</f>
        <v/>
      </c>
      <c r="O148" s="176" t="str">
        <f>IF(M148="","",IF(VLOOKUP(M148,'G-3 Multipliers'!$L$3:$N$6,3,FALSE)=0,"Spatial Data Missing",VLOOKUP(M148,'G-3 Multipliers'!$L$3:$N$6,3,FALSE)))</f>
        <v/>
      </c>
      <c r="P148" s="177" t="str">
        <f>IFERROR(VLOOKUP(G148,'G-1 All Habitats'!$B$2:$M$130,12,FALSE),"")</f>
        <v/>
      </c>
      <c r="Q148" s="81" t="str">
        <f>IFERROR(IF(P148="","",IF(AND(P148='G-1 All Habitats'!$X$3,T148&gt;0),U148+V148,IF(AND(P148='G-1 All Habitats'!$X$3,S148&gt;0),U148+V148,IF(AND(P148='G-1 All Habitats'!$X$3,AC148&gt;0),"Any Loss Unacceptable",IF(AND(P148='G-1 All Habitats'!$X$3,W148&gt;0),"Any Loss Unacceptable",H148*J148*L148*O148))))),"Check Data")</f>
        <v/>
      </c>
      <c r="R148" s="55"/>
      <c r="S148" s="79"/>
      <c r="T148" s="82"/>
      <c r="U148" s="83" t="str">
        <f t="shared" si="14"/>
        <v/>
      </c>
      <c r="V148" s="83" t="str">
        <f t="shared" si="15"/>
        <v/>
      </c>
      <c r="W148" s="83" t="str">
        <f>IF(E148="","",IF(H148&lt;S148+T148,"Error in Areas",IF(P148&lt;&gt;'G-1 All Habitats'!$X$3,H148-S148-T148,IF(AND(P148='G-1 All Habitats'!$X$3,Y148="Yes"),"Unacceptable Loss",IF(AND(P148='G-1 All Habitats'!$X$3,Y148="No"),AC148,IF(AND(P148='G-1 All Habitats'!$X$3,Y148=""),AC148,IF(AND(P148='G-1 All Habitats'!$X$3,AC148="None",AC148),IF(AND(P148='G-1 All Habitats'!$X$3,AC148&gt;0),H148-S148-T148))))))))</f>
        <v/>
      </c>
      <c r="X148" s="354" t="str">
        <f>IFERROR(IF(H148="","",IF(H148-S148-T148=0&lt;0,"Error in Areas",IF(S148+T148&gt;H148,"Error in Areas",IF(AND(P148='G-1 All Habitats'!$X$3,Y148="Yes"),"Alternative Compensation",IF(W148=0,0,IF(P148='G-1 All Habitats'!$X$3,"Unacceptable Loss",Q148-U148-V148)))))),"Check Data")</f>
        <v/>
      </c>
      <c r="Y148" s="82"/>
      <c r="Z148" s="182"/>
      <c r="AA148" s="183"/>
      <c r="AC148" s="371" t="str">
        <f>IF(P148="","",IF(P148='G-1 All Habitats'!$X$3,H148-S148-T148,"None"))</f>
        <v/>
      </c>
      <c r="AD148" s="372" t="str">
        <f t="shared" si="16"/>
        <v/>
      </c>
      <c r="AF148" s="188" t="str">
        <f t="shared" si="12"/>
        <v/>
      </c>
      <c r="AG148" s="188" t="str">
        <f t="shared" si="13"/>
        <v/>
      </c>
      <c r="AH148" s="188" t="str">
        <f>IF(I148="","",IF(#REF!&gt;0,TRUE,FALSE))</f>
        <v/>
      </c>
      <c r="AI148" s="188">
        <v>138</v>
      </c>
      <c r="AJ148" s="188"/>
      <c r="AK148" s="188" t="str">
        <f t="array" ref="AK148">IFERROR(INDEX($AI$11:$AI$259, MATCH(0, IF(TRUE=$AF$11:$AF$259, COUNTIF($AK$10:$AK147, $AI$11:$AI$259), ""), 0)),"")</f>
        <v/>
      </c>
      <c r="AL148" s="188" t="str">
        <f t="array" ref="AL148">IFERROR(INDEX($AI$11:$AI$259, MATCH(0, IF(TRUE=$AG$11:$AG$259, COUNTIF($AL$10:$AL147, $AI$11:$AI$259), ""), 0)),"")</f>
        <v/>
      </c>
      <c r="AM148" s="188" t="str">
        <f t="array" ref="AM148">IFERROR(INDEX($AI$11:$AI$259, MATCH(0, IF(TRUE=$AH$11:$AH$259, COUNTIF($AM$10:$AM147, $AI$11:$AI$259), ""), 0)),"")</f>
        <v/>
      </c>
      <c r="AQ148" s="35">
        <f t="shared" si="17"/>
        <v>0</v>
      </c>
    </row>
    <row r="149" spans="1:43" x14ac:dyDescent="0.25">
      <c r="A149" s="35" t="str">
        <f>IFERROR(INDEX('G-1 All Habitats'!$AG$3:$AG$15,MATCH(E149,'G-1 All Habitats'!$AF$3:$AF$15,0)),"")</f>
        <v/>
      </c>
      <c r="B149" s="35" t="str">
        <f>IFERROR(INDEX('G-8 Condition Look up'!$I$4:$I$131,MATCH(G149,'G-8 Condition Look up'!$A$4:$A$131,0)),"")</f>
        <v/>
      </c>
      <c r="D149" s="168">
        <v>139</v>
      </c>
      <c r="E149" s="275"/>
      <c r="F149" s="275"/>
      <c r="G149" s="370" t="str">
        <f>IFERROR(INDEX('G-1 All Habitats'!$B$3:$B$130,MATCH(F149,'G-1 All Habitats'!$A$3:$A$130,0)),"")</f>
        <v/>
      </c>
      <c r="H149" s="213"/>
      <c r="I149" s="171" t="str">
        <f>IF(G149="","",VLOOKUP(G149,'G-1 All Habitats'!$B$2:$M$130,10,FALSE))</f>
        <v/>
      </c>
      <c r="J149" s="172" t="str">
        <f>IFERROR(VLOOKUP(I149,'G-1 All Habitats'!$V$3:$W$7,2,FALSE),"")</f>
        <v/>
      </c>
      <c r="K149" s="173"/>
      <c r="L149" s="172" t="str">
        <f>IFERROR(INDEX('G-8 Condition Look up'!$A$3:$H$131,MATCH(G149,'G-8 Condition Look up'!$A$3:$A$131,0),MATCH(K149,'G-8 Condition Look up'!$A$3:$H$3,0)),"")</f>
        <v/>
      </c>
      <c r="M149" s="186"/>
      <c r="N149" s="175" t="str">
        <f>IF(M149="","",IF(VLOOKUP(M149,'G-3 Multipliers'!$L$3:$N$6,2,FALSE)=0,"Spatial Data Missing",VLOOKUP(M149,'G-3 Multipliers'!$L$3:$N$6,2,FALSE)))</f>
        <v/>
      </c>
      <c r="O149" s="176" t="str">
        <f>IF(M149="","",IF(VLOOKUP(M149,'G-3 Multipliers'!$L$3:$N$6,3,FALSE)=0,"Spatial Data Missing",VLOOKUP(M149,'G-3 Multipliers'!$L$3:$N$6,3,FALSE)))</f>
        <v/>
      </c>
      <c r="P149" s="177" t="str">
        <f>IFERROR(VLOOKUP(G149,'G-1 All Habitats'!$B$2:$M$130,12,FALSE),"")</f>
        <v/>
      </c>
      <c r="Q149" s="81" t="str">
        <f>IFERROR(IF(P149="","",IF(AND(P149='G-1 All Habitats'!$X$3,T149&gt;0),U149+V149,IF(AND(P149='G-1 All Habitats'!$X$3,S149&gt;0),U149+V149,IF(AND(P149='G-1 All Habitats'!$X$3,AC149&gt;0),"Any Loss Unacceptable",IF(AND(P149='G-1 All Habitats'!$X$3,W149&gt;0),"Any Loss Unacceptable",H149*J149*L149*O149))))),"Check Data")</f>
        <v/>
      </c>
      <c r="R149" s="55"/>
      <c r="S149" s="79"/>
      <c r="T149" s="82"/>
      <c r="U149" s="83" t="str">
        <f t="shared" si="14"/>
        <v/>
      </c>
      <c r="V149" s="83" t="str">
        <f t="shared" si="15"/>
        <v/>
      </c>
      <c r="W149" s="83" t="str">
        <f>IF(E149="","",IF(H149&lt;S149+T149,"Error in Areas",IF(P149&lt;&gt;'G-1 All Habitats'!$X$3,H149-S149-T149,IF(AND(P149='G-1 All Habitats'!$X$3,Y149="Yes"),"Unacceptable Loss",IF(AND(P149='G-1 All Habitats'!$X$3,Y149="No"),AC149,IF(AND(P149='G-1 All Habitats'!$X$3,Y149=""),AC149,IF(AND(P149='G-1 All Habitats'!$X$3,AC149="None",AC149),IF(AND(P149='G-1 All Habitats'!$X$3,AC149&gt;0),H149-S149-T149))))))))</f>
        <v/>
      </c>
      <c r="X149" s="354" t="str">
        <f>IFERROR(IF(H149="","",IF(H149-S149-T149=0&lt;0,"Error in Areas",IF(S149+T149&gt;H149,"Error in Areas",IF(AND(P149='G-1 All Habitats'!$X$3,Y149="Yes"),"Alternative Compensation",IF(W149=0,0,IF(P149='G-1 All Habitats'!$X$3,"Unacceptable Loss",Q149-U149-V149)))))),"Check Data")</f>
        <v/>
      </c>
      <c r="Y149" s="82"/>
      <c r="Z149" s="182"/>
      <c r="AA149" s="183"/>
      <c r="AC149" s="371" t="str">
        <f>IF(P149="","",IF(P149='G-1 All Habitats'!$X$3,H149-S149-T149,"None"))</f>
        <v/>
      </c>
      <c r="AD149" s="372" t="str">
        <f t="shared" si="16"/>
        <v/>
      </c>
      <c r="AF149" s="188" t="str">
        <f t="shared" si="12"/>
        <v/>
      </c>
      <c r="AG149" s="188" t="str">
        <f t="shared" si="13"/>
        <v/>
      </c>
      <c r="AH149" s="188" t="str">
        <f>IF(I149="","",IF(#REF!&gt;0,TRUE,FALSE))</f>
        <v/>
      </c>
      <c r="AI149" s="188">
        <v>139</v>
      </c>
      <c r="AJ149" s="188"/>
      <c r="AK149" s="188" t="str">
        <f t="array" ref="AK149">IFERROR(INDEX($AI$11:$AI$259, MATCH(0, IF(TRUE=$AF$11:$AF$259, COUNTIF($AK$10:$AK148, $AI$11:$AI$259), ""), 0)),"")</f>
        <v/>
      </c>
      <c r="AL149" s="188" t="str">
        <f t="array" ref="AL149">IFERROR(INDEX($AI$11:$AI$259, MATCH(0, IF(TRUE=$AG$11:$AG$259, COUNTIF($AL$10:$AL148, $AI$11:$AI$259), ""), 0)),"")</f>
        <v/>
      </c>
      <c r="AM149" s="188" t="str">
        <f t="array" ref="AM149">IFERROR(INDEX($AI$11:$AI$259, MATCH(0, IF(TRUE=$AH$11:$AH$259, COUNTIF($AM$10:$AM148, $AI$11:$AI$259), ""), 0)),"")</f>
        <v/>
      </c>
      <c r="AQ149" s="35">
        <f t="shared" si="17"/>
        <v>0</v>
      </c>
    </row>
    <row r="150" spans="1:43" x14ac:dyDescent="0.25">
      <c r="A150" s="35" t="str">
        <f>IFERROR(INDEX('G-1 All Habitats'!$AG$3:$AG$15,MATCH(E150,'G-1 All Habitats'!$AF$3:$AF$15,0)),"")</f>
        <v/>
      </c>
      <c r="B150" s="35" t="str">
        <f>IFERROR(INDEX('G-8 Condition Look up'!$I$4:$I$131,MATCH(G150,'G-8 Condition Look up'!$A$4:$A$131,0)),"")</f>
        <v/>
      </c>
      <c r="D150" s="168">
        <v>140</v>
      </c>
      <c r="E150" s="275"/>
      <c r="F150" s="275"/>
      <c r="G150" s="370" t="str">
        <f>IFERROR(INDEX('G-1 All Habitats'!$B$3:$B$130,MATCH(F150,'G-1 All Habitats'!$A$3:$A$130,0)),"")</f>
        <v/>
      </c>
      <c r="H150" s="213"/>
      <c r="I150" s="171" t="str">
        <f>IF(G150="","",VLOOKUP(G150,'G-1 All Habitats'!$B$2:$M$130,10,FALSE))</f>
        <v/>
      </c>
      <c r="J150" s="172" t="str">
        <f>IFERROR(VLOOKUP(I150,'G-1 All Habitats'!$V$3:$W$7,2,FALSE),"")</f>
        <v/>
      </c>
      <c r="K150" s="173"/>
      <c r="L150" s="172" t="str">
        <f>IFERROR(INDEX('G-8 Condition Look up'!$A$3:$H$131,MATCH(G150,'G-8 Condition Look up'!$A$3:$A$131,0),MATCH(K150,'G-8 Condition Look up'!$A$3:$H$3,0)),"")</f>
        <v/>
      </c>
      <c r="M150" s="186"/>
      <c r="N150" s="175" t="str">
        <f>IF(M150="","",IF(VLOOKUP(M150,'G-3 Multipliers'!$L$3:$N$6,2,FALSE)=0,"Spatial Data Missing",VLOOKUP(M150,'G-3 Multipliers'!$L$3:$N$6,2,FALSE)))</f>
        <v/>
      </c>
      <c r="O150" s="176" t="str">
        <f>IF(M150="","",IF(VLOOKUP(M150,'G-3 Multipliers'!$L$3:$N$6,3,FALSE)=0,"Spatial Data Missing",VLOOKUP(M150,'G-3 Multipliers'!$L$3:$N$6,3,FALSE)))</f>
        <v/>
      </c>
      <c r="P150" s="177" t="str">
        <f>IFERROR(VLOOKUP(G150,'G-1 All Habitats'!$B$2:$M$130,12,FALSE),"")</f>
        <v/>
      </c>
      <c r="Q150" s="81" t="str">
        <f>IFERROR(IF(P150="","",IF(AND(P150='G-1 All Habitats'!$X$3,T150&gt;0),U150+V150,IF(AND(P150='G-1 All Habitats'!$X$3,S150&gt;0),U150+V150,IF(AND(P150='G-1 All Habitats'!$X$3,AC150&gt;0),"Any Loss Unacceptable",IF(AND(P150='G-1 All Habitats'!$X$3,W150&gt;0),"Any Loss Unacceptable",H150*J150*L150*O150))))),"Check Data")</f>
        <v/>
      </c>
      <c r="R150" s="55"/>
      <c r="S150" s="79"/>
      <c r="T150" s="82"/>
      <c r="U150" s="83" t="str">
        <f t="shared" si="14"/>
        <v/>
      </c>
      <c r="V150" s="83" t="str">
        <f t="shared" si="15"/>
        <v/>
      </c>
      <c r="W150" s="83" t="str">
        <f>IF(E150="","",IF(H150&lt;S150+T150,"Error in Areas",IF(P150&lt;&gt;'G-1 All Habitats'!$X$3,H150-S150-T150,IF(AND(P150='G-1 All Habitats'!$X$3,Y150="Yes"),"Unacceptable Loss",IF(AND(P150='G-1 All Habitats'!$X$3,Y150="No"),AC150,IF(AND(P150='G-1 All Habitats'!$X$3,Y150=""),AC150,IF(AND(P150='G-1 All Habitats'!$X$3,AC150="None",AC150),IF(AND(P150='G-1 All Habitats'!$X$3,AC150&gt;0),H150-S150-T150))))))))</f>
        <v/>
      </c>
      <c r="X150" s="354" t="str">
        <f>IFERROR(IF(H150="","",IF(H150-S150-T150=0&lt;0,"Error in Areas",IF(S150+T150&gt;H150,"Error in Areas",IF(AND(P150='G-1 All Habitats'!$X$3,Y150="Yes"),"Alternative Compensation",IF(W150=0,0,IF(P150='G-1 All Habitats'!$X$3,"Unacceptable Loss",Q150-U150-V150)))))),"Check Data")</f>
        <v/>
      </c>
      <c r="Y150" s="82"/>
      <c r="Z150" s="182"/>
      <c r="AA150" s="183"/>
      <c r="AC150" s="371" t="str">
        <f>IF(P150="","",IF(P150='G-1 All Habitats'!$X$3,H150-S150-T150,"None"))</f>
        <v/>
      </c>
      <c r="AD150" s="372" t="str">
        <f t="shared" si="16"/>
        <v/>
      </c>
      <c r="AF150" s="188" t="str">
        <f t="shared" si="12"/>
        <v/>
      </c>
      <c r="AG150" s="188" t="str">
        <f t="shared" si="13"/>
        <v/>
      </c>
      <c r="AH150" s="188" t="str">
        <f>IF(I150="","",IF(#REF!&gt;0,TRUE,FALSE))</f>
        <v/>
      </c>
      <c r="AI150" s="188">
        <v>140</v>
      </c>
      <c r="AJ150" s="188"/>
      <c r="AK150" s="188" t="str">
        <f t="array" ref="AK150">IFERROR(INDEX($AI$11:$AI$259, MATCH(0, IF(TRUE=$AF$11:$AF$259, COUNTIF($AK$10:$AK149, $AI$11:$AI$259), ""), 0)),"")</f>
        <v/>
      </c>
      <c r="AL150" s="188" t="str">
        <f t="array" ref="AL150">IFERROR(INDEX($AI$11:$AI$259, MATCH(0, IF(TRUE=$AG$11:$AG$259, COUNTIF($AL$10:$AL149, $AI$11:$AI$259), ""), 0)),"")</f>
        <v/>
      </c>
      <c r="AM150" s="188" t="str">
        <f t="array" ref="AM150">IFERROR(INDEX($AI$11:$AI$259, MATCH(0, IF(TRUE=$AH$11:$AH$259, COUNTIF($AM$10:$AM149, $AI$11:$AI$259), ""), 0)),"")</f>
        <v/>
      </c>
      <c r="AQ150" s="35">
        <f t="shared" si="17"/>
        <v>0</v>
      </c>
    </row>
    <row r="151" spans="1:43" x14ac:dyDescent="0.25">
      <c r="A151" s="35" t="str">
        <f>IFERROR(INDEX('G-1 All Habitats'!$AG$3:$AG$15,MATCH(E151,'G-1 All Habitats'!$AF$3:$AF$15,0)),"")</f>
        <v/>
      </c>
      <c r="B151" s="35" t="str">
        <f>IFERROR(INDEX('G-8 Condition Look up'!$I$4:$I$131,MATCH(G151,'G-8 Condition Look up'!$A$4:$A$131,0)),"")</f>
        <v/>
      </c>
      <c r="D151" s="168">
        <v>141</v>
      </c>
      <c r="E151" s="275"/>
      <c r="F151" s="275"/>
      <c r="G151" s="370" t="str">
        <f>IFERROR(INDEX('G-1 All Habitats'!$B$3:$B$130,MATCH(F151,'G-1 All Habitats'!$A$3:$A$130,0)),"")</f>
        <v/>
      </c>
      <c r="H151" s="213"/>
      <c r="I151" s="171" t="str">
        <f>IF(G151="","",VLOOKUP(G151,'G-1 All Habitats'!$B$2:$M$130,10,FALSE))</f>
        <v/>
      </c>
      <c r="J151" s="172" t="str">
        <f>IFERROR(VLOOKUP(I151,'G-1 All Habitats'!$V$3:$W$7,2,FALSE),"")</f>
        <v/>
      </c>
      <c r="K151" s="173"/>
      <c r="L151" s="172" t="str">
        <f>IFERROR(INDEX('G-8 Condition Look up'!$A$3:$H$131,MATCH(G151,'G-8 Condition Look up'!$A$3:$A$131,0),MATCH(K151,'G-8 Condition Look up'!$A$3:$H$3,0)),"")</f>
        <v/>
      </c>
      <c r="M151" s="186"/>
      <c r="N151" s="175" t="str">
        <f>IF(M151="","",IF(VLOOKUP(M151,'G-3 Multipliers'!$L$3:$N$6,2,FALSE)=0,"Spatial Data Missing",VLOOKUP(M151,'G-3 Multipliers'!$L$3:$N$6,2,FALSE)))</f>
        <v/>
      </c>
      <c r="O151" s="176" t="str">
        <f>IF(M151="","",IF(VLOOKUP(M151,'G-3 Multipliers'!$L$3:$N$6,3,FALSE)=0,"Spatial Data Missing",VLOOKUP(M151,'G-3 Multipliers'!$L$3:$N$6,3,FALSE)))</f>
        <v/>
      </c>
      <c r="P151" s="177" t="str">
        <f>IFERROR(VLOOKUP(G151,'G-1 All Habitats'!$B$2:$M$130,12,FALSE),"")</f>
        <v/>
      </c>
      <c r="Q151" s="81" t="str">
        <f>IFERROR(IF(P151="","",IF(AND(P151='G-1 All Habitats'!$X$3,T151&gt;0),U151+V151,IF(AND(P151='G-1 All Habitats'!$X$3,S151&gt;0),U151+V151,IF(AND(P151='G-1 All Habitats'!$X$3,AC151&gt;0),"Any Loss Unacceptable",IF(AND(P151='G-1 All Habitats'!$X$3,W151&gt;0),"Any Loss Unacceptable",H151*J151*L151*O151))))),"Check Data")</f>
        <v/>
      </c>
      <c r="R151" s="55"/>
      <c r="S151" s="79"/>
      <c r="T151" s="82"/>
      <c r="U151" s="83" t="str">
        <f t="shared" si="14"/>
        <v/>
      </c>
      <c r="V151" s="83" t="str">
        <f t="shared" si="15"/>
        <v/>
      </c>
      <c r="W151" s="83" t="str">
        <f>IF(E151="","",IF(H151&lt;S151+T151,"Error in Areas",IF(P151&lt;&gt;'G-1 All Habitats'!$X$3,H151-S151-T151,IF(AND(P151='G-1 All Habitats'!$X$3,Y151="Yes"),"Unacceptable Loss",IF(AND(P151='G-1 All Habitats'!$X$3,Y151="No"),AC151,IF(AND(P151='G-1 All Habitats'!$X$3,Y151=""),AC151,IF(AND(P151='G-1 All Habitats'!$X$3,AC151="None",AC151),IF(AND(P151='G-1 All Habitats'!$X$3,AC151&gt;0),H151-S151-T151))))))))</f>
        <v/>
      </c>
      <c r="X151" s="354" t="str">
        <f>IFERROR(IF(H151="","",IF(H151-S151-T151=0&lt;0,"Error in Areas",IF(S151+T151&gt;H151,"Error in Areas",IF(AND(P151='G-1 All Habitats'!$X$3,Y151="Yes"),"Alternative Compensation",IF(W151=0,0,IF(P151='G-1 All Habitats'!$X$3,"Unacceptable Loss",Q151-U151-V151)))))),"Check Data")</f>
        <v/>
      </c>
      <c r="Y151" s="82"/>
      <c r="Z151" s="182"/>
      <c r="AA151" s="183"/>
      <c r="AC151" s="371" t="str">
        <f>IF(P151="","",IF(P151='G-1 All Habitats'!$X$3,H151-S151-T151,"None"))</f>
        <v/>
      </c>
      <c r="AD151" s="372" t="str">
        <f t="shared" si="16"/>
        <v/>
      </c>
      <c r="AF151" s="188" t="str">
        <f t="shared" si="12"/>
        <v/>
      </c>
      <c r="AG151" s="188" t="str">
        <f t="shared" si="13"/>
        <v/>
      </c>
      <c r="AH151" s="188" t="str">
        <f>IF(I151="","",IF(#REF!&gt;0,TRUE,FALSE))</f>
        <v/>
      </c>
      <c r="AI151" s="188">
        <v>141</v>
      </c>
      <c r="AJ151" s="188"/>
      <c r="AK151" s="188" t="str">
        <f t="array" ref="AK151">IFERROR(INDEX($AI$11:$AI$259, MATCH(0, IF(TRUE=$AF$11:$AF$259, COUNTIF($AK$10:$AK150, $AI$11:$AI$259), ""), 0)),"")</f>
        <v/>
      </c>
      <c r="AL151" s="188" t="str">
        <f t="array" ref="AL151">IFERROR(INDEX($AI$11:$AI$259, MATCH(0, IF(TRUE=$AG$11:$AG$259, COUNTIF($AL$10:$AL150, $AI$11:$AI$259), ""), 0)),"")</f>
        <v/>
      </c>
      <c r="AM151" s="188" t="str">
        <f t="array" ref="AM151">IFERROR(INDEX($AI$11:$AI$259, MATCH(0, IF(TRUE=$AH$11:$AH$259, COUNTIF($AM$10:$AM150, $AI$11:$AI$259), ""), 0)),"")</f>
        <v/>
      </c>
      <c r="AQ151" s="35">
        <f t="shared" si="17"/>
        <v>0</v>
      </c>
    </row>
    <row r="152" spans="1:43" x14ac:dyDescent="0.25">
      <c r="A152" s="35" t="str">
        <f>IFERROR(INDEX('G-1 All Habitats'!$AG$3:$AG$15,MATCH(E152,'G-1 All Habitats'!$AF$3:$AF$15,0)),"")</f>
        <v/>
      </c>
      <c r="B152" s="35" t="str">
        <f>IFERROR(INDEX('G-8 Condition Look up'!$I$4:$I$131,MATCH(G152,'G-8 Condition Look up'!$A$4:$A$131,0)),"")</f>
        <v/>
      </c>
      <c r="D152" s="168">
        <v>142</v>
      </c>
      <c r="E152" s="275"/>
      <c r="F152" s="275"/>
      <c r="G152" s="370" t="str">
        <f>IFERROR(INDEX('G-1 All Habitats'!$B$3:$B$130,MATCH(F152,'G-1 All Habitats'!$A$3:$A$130,0)),"")</f>
        <v/>
      </c>
      <c r="H152" s="213"/>
      <c r="I152" s="171" t="str">
        <f>IF(G152="","",VLOOKUP(G152,'G-1 All Habitats'!$B$2:$M$130,10,FALSE))</f>
        <v/>
      </c>
      <c r="J152" s="172" t="str">
        <f>IFERROR(VLOOKUP(I152,'G-1 All Habitats'!$V$3:$W$7,2,FALSE),"")</f>
        <v/>
      </c>
      <c r="K152" s="173"/>
      <c r="L152" s="172" t="str">
        <f>IFERROR(INDEX('G-8 Condition Look up'!$A$3:$H$131,MATCH(G152,'G-8 Condition Look up'!$A$3:$A$131,0),MATCH(K152,'G-8 Condition Look up'!$A$3:$H$3,0)),"")</f>
        <v/>
      </c>
      <c r="M152" s="186"/>
      <c r="N152" s="175" t="str">
        <f>IF(M152="","",IF(VLOOKUP(M152,'G-3 Multipliers'!$L$3:$N$6,2,FALSE)=0,"Spatial Data Missing",VLOOKUP(M152,'G-3 Multipliers'!$L$3:$N$6,2,FALSE)))</f>
        <v/>
      </c>
      <c r="O152" s="176" t="str">
        <f>IF(M152="","",IF(VLOOKUP(M152,'G-3 Multipliers'!$L$3:$N$6,3,FALSE)=0,"Spatial Data Missing",VLOOKUP(M152,'G-3 Multipliers'!$L$3:$N$6,3,FALSE)))</f>
        <v/>
      </c>
      <c r="P152" s="177" t="str">
        <f>IFERROR(VLOOKUP(G152,'G-1 All Habitats'!$B$2:$M$130,12,FALSE),"")</f>
        <v/>
      </c>
      <c r="Q152" s="81" t="str">
        <f>IFERROR(IF(P152="","",IF(AND(P152='G-1 All Habitats'!$X$3,T152&gt;0),U152+V152,IF(AND(P152='G-1 All Habitats'!$X$3,S152&gt;0),U152+V152,IF(AND(P152='G-1 All Habitats'!$X$3,AC152&gt;0),"Any Loss Unacceptable",IF(AND(P152='G-1 All Habitats'!$X$3,W152&gt;0),"Any Loss Unacceptable",H152*J152*L152*O152))))),"Check Data")</f>
        <v/>
      </c>
      <c r="R152" s="55"/>
      <c r="S152" s="79"/>
      <c r="T152" s="82"/>
      <c r="U152" s="83" t="str">
        <f t="shared" si="14"/>
        <v/>
      </c>
      <c r="V152" s="83" t="str">
        <f t="shared" si="15"/>
        <v/>
      </c>
      <c r="W152" s="83" t="str">
        <f>IF(E152="","",IF(H152&lt;S152+T152,"Error in Areas",IF(P152&lt;&gt;'G-1 All Habitats'!$X$3,H152-S152-T152,IF(AND(P152='G-1 All Habitats'!$X$3,Y152="Yes"),"Unacceptable Loss",IF(AND(P152='G-1 All Habitats'!$X$3,Y152="No"),AC152,IF(AND(P152='G-1 All Habitats'!$X$3,Y152=""),AC152,IF(AND(P152='G-1 All Habitats'!$X$3,AC152="None",AC152),IF(AND(P152='G-1 All Habitats'!$X$3,AC152&gt;0),H152-S152-T152))))))))</f>
        <v/>
      </c>
      <c r="X152" s="354" t="str">
        <f>IFERROR(IF(H152="","",IF(H152-S152-T152=0&lt;0,"Error in Areas",IF(S152+T152&gt;H152,"Error in Areas",IF(AND(P152='G-1 All Habitats'!$X$3,Y152="Yes"),"Alternative Compensation",IF(W152=0,0,IF(P152='G-1 All Habitats'!$X$3,"Unacceptable Loss",Q152-U152-V152)))))),"Check Data")</f>
        <v/>
      </c>
      <c r="Y152" s="82"/>
      <c r="Z152" s="182"/>
      <c r="AA152" s="183"/>
      <c r="AC152" s="371" t="str">
        <f>IF(P152="","",IF(P152='G-1 All Habitats'!$X$3,H152-S152-T152,"None"))</f>
        <v/>
      </c>
      <c r="AD152" s="372" t="str">
        <f t="shared" si="16"/>
        <v/>
      </c>
      <c r="AF152" s="188" t="str">
        <f t="shared" si="12"/>
        <v/>
      </c>
      <c r="AG152" s="188" t="str">
        <f t="shared" si="13"/>
        <v/>
      </c>
      <c r="AH152" s="188" t="str">
        <f>IF(I152="","",IF(#REF!&gt;0,TRUE,FALSE))</f>
        <v/>
      </c>
      <c r="AI152" s="188">
        <v>142</v>
      </c>
      <c r="AJ152" s="188"/>
      <c r="AK152" s="188" t="str">
        <f t="array" ref="AK152">IFERROR(INDEX($AI$11:$AI$259, MATCH(0, IF(TRUE=$AF$11:$AF$259, COUNTIF($AK$10:$AK151, $AI$11:$AI$259), ""), 0)),"")</f>
        <v/>
      </c>
      <c r="AL152" s="188" t="str">
        <f t="array" ref="AL152">IFERROR(INDEX($AI$11:$AI$259, MATCH(0, IF(TRUE=$AG$11:$AG$259, COUNTIF($AL$10:$AL151, $AI$11:$AI$259), ""), 0)),"")</f>
        <v/>
      </c>
      <c r="AM152" s="188" t="str">
        <f t="array" ref="AM152">IFERROR(INDEX($AI$11:$AI$259, MATCH(0, IF(TRUE=$AH$11:$AH$259, COUNTIF($AM$10:$AM151, $AI$11:$AI$259), ""), 0)),"")</f>
        <v/>
      </c>
      <c r="AQ152" s="35">
        <f t="shared" si="17"/>
        <v>0</v>
      </c>
    </row>
    <row r="153" spans="1:43" x14ac:dyDescent="0.25">
      <c r="A153" s="35" t="str">
        <f>IFERROR(INDEX('G-1 All Habitats'!$AG$3:$AG$15,MATCH(E153,'G-1 All Habitats'!$AF$3:$AF$15,0)),"")</f>
        <v/>
      </c>
      <c r="B153" s="35" t="str">
        <f>IFERROR(INDEX('G-8 Condition Look up'!$I$4:$I$131,MATCH(G153,'G-8 Condition Look up'!$A$4:$A$131,0)),"")</f>
        <v/>
      </c>
      <c r="D153" s="168">
        <v>143</v>
      </c>
      <c r="E153" s="275"/>
      <c r="F153" s="275"/>
      <c r="G153" s="370" t="str">
        <f>IFERROR(INDEX('G-1 All Habitats'!$B$3:$B$130,MATCH(F153,'G-1 All Habitats'!$A$3:$A$130,0)),"")</f>
        <v/>
      </c>
      <c r="H153" s="213"/>
      <c r="I153" s="171" t="str">
        <f>IF(G153="","",VLOOKUP(G153,'G-1 All Habitats'!$B$2:$M$130,10,FALSE))</f>
        <v/>
      </c>
      <c r="J153" s="172" t="str">
        <f>IFERROR(VLOOKUP(I153,'G-1 All Habitats'!$V$3:$W$7,2,FALSE),"")</f>
        <v/>
      </c>
      <c r="K153" s="173"/>
      <c r="L153" s="172" t="str">
        <f>IFERROR(INDEX('G-8 Condition Look up'!$A$3:$H$131,MATCH(G153,'G-8 Condition Look up'!$A$3:$A$131,0),MATCH(K153,'G-8 Condition Look up'!$A$3:$H$3,0)),"")</f>
        <v/>
      </c>
      <c r="M153" s="186"/>
      <c r="N153" s="175" t="str">
        <f>IF(M153="","",IF(VLOOKUP(M153,'G-3 Multipliers'!$L$3:$N$6,2,FALSE)=0,"Spatial Data Missing",VLOOKUP(M153,'G-3 Multipliers'!$L$3:$N$6,2,FALSE)))</f>
        <v/>
      </c>
      <c r="O153" s="176" t="str">
        <f>IF(M153="","",IF(VLOOKUP(M153,'G-3 Multipliers'!$L$3:$N$6,3,FALSE)=0,"Spatial Data Missing",VLOOKUP(M153,'G-3 Multipliers'!$L$3:$N$6,3,FALSE)))</f>
        <v/>
      </c>
      <c r="P153" s="177" t="str">
        <f>IFERROR(VLOOKUP(G153,'G-1 All Habitats'!$B$2:$M$130,12,FALSE),"")</f>
        <v/>
      </c>
      <c r="Q153" s="81" t="str">
        <f>IFERROR(IF(P153="","",IF(AND(P153='G-1 All Habitats'!$X$3,T153&gt;0),U153+V153,IF(AND(P153='G-1 All Habitats'!$X$3,S153&gt;0),U153+V153,IF(AND(P153='G-1 All Habitats'!$X$3,AC153&gt;0),"Any Loss Unacceptable",IF(AND(P153='G-1 All Habitats'!$X$3,W153&gt;0),"Any Loss Unacceptable",H153*J153*L153*O153))))),"Check Data")</f>
        <v/>
      </c>
      <c r="R153" s="55"/>
      <c r="S153" s="79"/>
      <c r="T153" s="82"/>
      <c r="U153" s="83" t="str">
        <f t="shared" si="14"/>
        <v/>
      </c>
      <c r="V153" s="83" t="str">
        <f t="shared" si="15"/>
        <v/>
      </c>
      <c r="W153" s="83" t="str">
        <f>IF(E153="","",IF(H153&lt;S153+T153,"Error in Areas",IF(P153&lt;&gt;'G-1 All Habitats'!$X$3,H153-S153-T153,IF(AND(P153='G-1 All Habitats'!$X$3,Y153="Yes"),"Unacceptable Loss",IF(AND(P153='G-1 All Habitats'!$X$3,Y153="No"),AC153,IF(AND(P153='G-1 All Habitats'!$X$3,Y153=""),AC153,IF(AND(P153='G-1 All Habitats'!$X$3,AC153="None",AC153),IF(AND(P153='G-1 All Habitats'!$X$3,AC153&gt;0),H153-S153-T153))))))))</f>
        <v/>
      </c>
      <c r="X153" s="354" t="str">
        <f>IFERROR(IF(H153="","",IF(H153-S153-T153=0&lt;0,"Error in Areas",IF(S153+T153&gt;H153,"Error in Areas",IF(AND(P153='G-1 All Habitats'!$X$3,Y153="Yes"),"Alternative Compensation",IF(W153=0,0,IF(P153='G-1 All Habitats'!$X$3,"Unacceptable Loss",Q153-U153-V153)))))),"Check Data")</f>
        <v/>
      </c>
      <c r="Y153" s="82"/>
      <c r="Z153" s="182"/>
      <c r="AA153" s="183"/>
      <c r="AC153" s="371" t="str">
        <f>IF(P153="","",IF(P153='G-1 All Habitats'!$X$3,H153-S153-T153,"None"))</f>
        <v/>
      </c>
      <c r="AD153" s="372" t="str">
        <f t="shared" si="16"/>
        <v/>
      </c>
      <c r="AF153" s="188" t="str">
        <f t="shared" si="12"/>
        <v/>
      </c>
      <c r="AG153" s="188" t="str">
        <f t="shared" si="13"/>
        <v/>
      </c>
      <c r="AH153" s="188" t="str">
        <f>IF(I153="","",IF(#REF!&gt;0,TRUE,FALSE))</f>
        <v/>
      </c>
      <c r="AI153" s="188">
        <v>143</v>
      </c>
      <c r="AJ153" s="188"/>
      <c r="AK153" s="188" t="str">
        <f t="array" ref="AK153">IFERROR(INDEX($AI$11:$AI$259, MATCH(0, IF(TRUE=$AF$11:$AF$259, COUNTIF($AK$10:$AK152, $AI$11:$AI$259), ""), 0)),"")</f>
        <v/>
      </c>
      <c r="AL153" s="188" t="str">
        <f t="array" ref="AL153">IFERROR(INDEX($AI$11:$AI$259, MATCH(0, IF(TRUE=$AG$11:$AG$259, COUNTIF($AL$10:$AL152, $AI$11:$AI$259), ""), 0)),"")</f>
        <v/>
      </c>
      <c r="AM153" s="188" t="str">
        <f t="array" ref="AM153">IFERROR(INDEX($AI$11:$AI$259, MATCH(0, IF(TRUE=$AH$11:$AH$259, COUNTIF($AM$10:$AM152, $AI$11:$AI$259), ""), 0)),"")</f>
        <v/>
      </c>
      <c r="AQ153" s="35">
        <f t="shared" si="17"/>
        <v>0</v>
      </c>
    </row>
    <row r="154" spans="1:43" x14ac:dyDescent="0.25">
      <c r="A154" s="35" t="str">
        <f>IFERROR(INDEX('G-1 All Habitats'!$AG$3:$AG$15,MATCH(E154,'G-1 All Habitats'!$AF$3:$AF$15,0)),"")</f>
        <v/>
      </c>
      <c r="B154" s="35" t="str">
        <f>IFERROR(INDEX('G-8 Condition Look up'!$I$4:$I$131,MATCH(G154,'G-8 Condition Look up'!$A$4:$A$131,0)),"")</f>
        <v/>
      </c>
      <c r="D154" s="168">
        <v>144</v>
      </c>
      <c r="E154" s="275"/>
      <c r="F154" s="275"/>
      <c r="G154" s="370" t="str">
        <f>IFERROR(INDEX('G-1 All Habitats'!$B$3:$B$130,MATCH(F154,'G-1 All Habitats'!$A$3:$A$130,0)),"")</f>
        <v/>
      </c>
      <c r="H154" s="213"/>
      <c r="I154" s="171" t="str">
        <f>IF(G154="","",VLOOKUP(G154,'G-1 All Habitats'!$B$2:$M$130,10,FALSE))</f>
        <v/>
      </c>
      <c r="J154" s="172" t="str">
        <f>IFERROR(VLOOKUP(I154,'G-1 All Habitats'!$V$3:$W$7,2,FALSE),"")</f>
        <v/>
      </c>
      <c r="K154" s="173"/>
      <c r="L154" s="172" t="str">
        <f>IFERROR(INDEX('G-8 Condition Look up'!$A$3:$H$131,MATCH(G154,'G-8 Condition Look up'!$A$3:$A$131,0),MATCH(K154,'G-8 Condition Look up'!$A$3:$H$3,0)),"")</f>
        <v/>
      </c>
      <c r="M154" s="186"/>
      <c r="N154" s="175" t="str">
        <f>IF(M154="","",IF(VLOOKUP(M154,'G-3 Multipliers'!$L$3:$N$6,2,FALSE)=0,"Spatial Data Missing",VLOOKUP(M154,'G-3 Multipliers'!$L$3:$N$6,2,FALSE)))</f>
        <v/>
      </c>
      <c r="O154" s="176" t="str">
        <f>IF(M154="","",IF(VLOOKUP(M154,'G-3 Multipliers'!$L$3:$N$6,3,FALSE)=0,"Spatial Data Missing",VLOOKUP(M154,'G-3 Multipliers'!$L$3:$N$6,3,FALSE)))</f>
        <v/>
      </c>
      <c r="P154" s="177" t="str">
        <f>IFERROR(VLOOKUP(G154,'G-1 All Habitats'!$B$2:$M$130,12,FALSE),"")</f>
        <v/>
      </c>
      <c r="Q154" s="81" t="str">
        <f>IFERROR(IF(P154="","",IF(AND(P154='G-1 All Habitats'!$X$3,T154&gt;0),U154+V154,IF(AND(P154='G-1 All Habitats'!$X$3,S154&gt;0),U154+V154,IF(AND(P154='G-1 All Habitats'!$X$3,AC154&gt;0),"Any Loss Unacceptable",IF(AND(P154='G-1 All Habitats'!$X$3,W154&gt;0),"Any Loss Unacceptable",H154*J154*L154*O154))))),"Check Data")</f>
        <v/>
      </c>
      <c r="R154" s="55"/>
      <c r="S154" s="79"/>
      <c r="T154" s="82"/>
      <c r="U154" s="83" t="str">
        <f t="shared" si="14"/>
        <v/>
      </c>
      <c r="V154" s="83" t="str">
        <f t="shared" si="15"/>
        <v/>
      </c>
      <c r="W154" s="83" t="str">
        <f>IF(E154="","",IF(H154&lt;S154+T154,"Error in Areas",IF(P154&lt;&gt;'G-1 All Habitats'!$X$3,H154-S154-T154,IF(AND(P154='G-1 All Habitats'!$X$3,Y154="Yes"),"Unacceptable Loss",IF(AND(P154='G-1 All Habitats'!$X$3,Y154="No"),AC154,IF(AND(P154='G-1 All Habitats'!$X$3,Y154=""),AC154,IF(AND(P154='G-1 All Habitats'!$X$3,AC154="None",AC154),IF(AND(P154='G-1 All Habitats'!$X$3,AC154&gt;0),H154-S154-T154))))))))</f>
        <v/>
      </c>
      <c r="X154" s="354" t="str">
        <f>IFERROR(IF(H154="","",IF(H154-S154-T154=0&lt;0,"Error in Areas",IF(S154+T154&gt;H154,"Error in Areas",IF(AND(P154='G-1 All Habitats'!$X$3,Y154="Yes"),"Alternative Compensation",IF(W154=0,0,IF(P154='G-1 All Habitats'!$X$3,"Unacceptable Loss",Q154-U154-V154)))))),"Check Data")</f>
        <v/>
      </c>
      <c r="Y154" s="82"/>
      <c r="Z154" s="182"/>
      <c r="AA154" s="183"/>
      <c r="AC154" s="371" t="str">
        <f>IF(P154="","",IF(P154='G-1 All Habitats'!$X$3,H154-S154-T154,"None"))</f>
        <v/>
      </c>
      <c r="AD154" s="372" t="str">
        <f t="shared" si="16"/>
        <v/>
      </c>
      <c r="AF154" s="188" t="str">
        <f t="shared" si="12"/>
        <v/>
      </c>
      <c r="AG154" s="188" t="str">
        <f t="shared" si="13"/>
        <v/>
      </c>
      <c r="AH154" s="188" t="str">
        <f>IF(I154="","",IF(#REF!&gt;0,TRUE,FALSE))</f>
        <v/>
      </c>
      <c r="AI154" s="188">
        <v>144</v>
      </c>
      <c r="AJ154" s="188"/>
      <c r="AK154" s="188" t="str">
        <f t="array" ref="AK154">IFERROR(INDEX($AI$11:$AI$259, MATCH(0, IF(TRUE=$AF$11:$AF$259, COUNTIF($AK$10:$AK153, $AI$11:$AI$259), ""), 0)),"")</f>
        <v/>
      </c>
      <c r="AL154" s="188" t="str">
        <f t="array" ref="AL154">IFERROR(INDEX($AI$11:$AI$259, MATCH(0, IF(TRUE=$AG$11:$AG$259, COUNTIF($AL$10:$AL153, $AI$11:$AI$259), ""), 0)),"")</f>
        <v/>
      </c>
      <c r="AM154" s="188" t="str">
        <f t="array" ref="AM154">IFERROR(INDEX($AI$11:$AI$259, MATCH(0, IF(TRUE=$AH$11:$AH$259, COUNTIF($AM$10:$AM153, $AI$11:$AI$259), ""), 0)),"")</f>
        <v/>
      </c>
      <c r="AQ154" s="35">
        <f t="shared" si="17"/>
        <v>0</v>
      </c>
    </row>
    <row r="155" spans="1:43" x14ac:dyDescent="0.25">
      <c r="A155" s="35" t="str">
        <f>IFERROR(INDEX('G-1 All Habitats'!$AG$3:$AG$15,MATCH(E155,'G-1 All Habitats'!$AF$3:$AF$15,0)),"")</f>
        <v/>
      </c>
      <c r="B155" s="35" t="str">
        <f>IFERROR(INDEX('G-8 Condition Look up'!$I$4:$I$131,MATCH(G155,'G-8 Condition Look up'!$A$4:$A$131,0)),"")</f>
        <v/>
      </c>
      <c r="D155" s="168">
        <v>145</v>
      </c>
      <c r="E155" s="275"/>
      <c r="F155" s="275"/>
      <c r="G155" s="370" t="str">
        <f>IFERROR(INDEX('G-1 All Habitats'!$B$3:$B$130,MATCH(F155,'G-1 All Habitats'!$A$3:$A$130,0)),"")</f>
        <v/>
      </c>
      <c r="H155" s="213"/>
      <c r="I155" s="171" t="str">
        <f>IF(G155="","",VLOOKUP(G155,'G-1 All Habitats'!$B$2:$M$130,10,FALSE))</f>
        <v/>
      </c>
      <c r="J155" s="172" t="str">
        <f>IFERROR(VLOOKUP(I155,'G-1 All Habitats'!$V$3:$W$7,2,FALSE),"")</f>
        <v/>
      </c>
      <c r="K155" s="173"/>
      <c r="L155" s="172" t="str">
        <f>IFERROR(INDEX('G-8 Condition Look up'!$A$3:$H$131,MATCH(G155,'G-8 Condition Look up'!$A$3:$A$131,0),MATCH(K155,'G-8 Condition Look up'!$A$3:$H$3,0)),"")</f>
        <v/>
      </c>
      <c r="M155" s="186"/>
      <c r="N155" s="175" t="str">
        <f>IF(M155="","",IF(VLOOKUP(M155,'G-3 Multipliers'!$L$3:$N$6,2,FALSE)=0,"Spatial Data Missing",VLOOKUP(M155,'G-3 Multipliers'!$L$3:$N$6,2,FALSE)))</f>
        <v/>
      </c>
      <c r="O155" s="176" t="str">
        <f>IF(M155="","",IF(VLOOKUP(M155,'G-3 Multipliers'!$L$3:$N$6,3,FALSE)=0,"Spatial Data Missing",VLOOKUP(M155,'G-3 Multipliers'!$L$3:$N$6,3,FALSE)))</f>
        <v/>
      </c>
      <c r="P155" s="177" t="str">
        <f>IFERROR(VLOOKUP(G155,'G-1 All Habitats'!$B$2:$M$130,12,FALSE),"")</f>
        <v/>
      </c>
      <c r="Q155" s="81" t="str">
        <f>IFERROR(IF(P155="","",IF(AND(P155='G-1 All Habitats'!$X$3,T155&gt;0),U155+V155,IF(AND(P155='G-1 All Habitats'!$X$3,S155&gt;0),U155+V155,IF(AND(P155='G-1 All Habitats'!$X$3,AC155&gt;0),"Any Loss Unacceptable",IF(AND(P155='G-1 All Habitats'!$X$3,W155&gt;0),"Any Loss Unacceptable",H155*J155*L155*O155))))),"Check Data")</f>
        <v/>
      </c>
      <c r="R155" s="55"/>
      <c r="S155" s="79"/>
      <c r="T155" s="82"/>
      <c r="U155" s="83" t="str">
        <f t="shared" si="14"/>
        <v/>
      </c>
      <c r="V155" s="83" t="str">
        <f t="shared" si="15"/>
        <v/>
      </c>
      <c r="W155" s="83" t="str">
        <f>IF(E155="","",IF(H155&lt;S155+T155,"Error in Areas",IF(P155&lt;&gt;'G-1 All Habitats'!$X$3,H155-S155-T155,IF(AND(P155='G-1 All Habitats'!$X$3,Y155="Yes"),"Unacceptable Loss",IF(AND(P155='G-1 All Habitats'!$X$3,Y155="No"),AC155,IF(AND(P155='G-1 All Habitats'!$X$3,Y155=""),AC155,IF(AND(P155='G-1 All Habitats'!$X$3,AC155="None",AC155),IF(AND(P155='G-1 All Habitats'!$X$3,AC155&gt;0),H155-S155-T155))))))))</f>
        <v/>
      </c>
      <c r="X155" s="354" t="str">
        <f>IFERROR(IF(H155="","",IF(H155-S155-T155=0&lt;0,"Error in Areas",IF(S155+T155&gt;H155,"Error in Areas",IF(AND(P155='G-1 All Habitats'!$X$3,Y155="Yes"),"Alternative Compensation",IF(W155=0,0,IF(P155='G-1 All Habitats'!$X$3,"Unacceptable Loss",Q155-U155-V155)))))),"Check Data")</f>
        <v/>
      </c>
      <c r="Y155" s="82"/>
      <c r="Z155" s="182"/>
      <c r="AA155" s="183"/>
      <c r="AC155" s="371" t="str">
        <f>IF(P155="","",IF(P155='G-1 All Habitats'!$X$3,H155-S155-T155,"None"))</f>
        <v/>
      </c>
      <c r="AD155" s="372" t="str">
        <f t="shared" si="16"/>
        <v/>
      </c>
      <c r="AF155" s="188" t="str">
        <f t="shared" si="12"/>
        <v/>
      </c>
      <c r="AG155" s="188" t="str">
        <f t="shared" si="13"/>
        <v/>
      </c>
      <c r="AH155" s="188" t="str">
        <f>IF(I155="","",IF(#REF!&gt;0,TRUE,FALSE))</f>
        <v/>
      </c>
      <c r="AI155" s="188">
        <v>145</v>
      </c>
      <c r="AJ155" s="188"/>
      <c r="AK155" s="188" t="str">
        <f t="array" ref="AK155">IFERROR(INDEX($AI$11:$AI$259, MATCH(0, IF(TRUE=$AF$11:$AF$259, COUNTIF($AK$10:$AK154, $AI$11:$AI$259), ""), 0)),"")</f>
        <v/>
      </c>
      <c r="AL155" s="188" t="str">
        <f t="array" ref="AL155">IFERROR(INDEX($AI$11:$AI$259, MATCH(0, IF(TRUE=$AG$11:$AG$259, COUNTIF($AL$10:$AL154, $AI$11:$AI$259), ""), 0)),"")</f>
        <v/>
      </c>
      <c r="AM155" s="188" t="str">
        <f t="array" ref="AM155">IFERROR(INDEX($AI$11:$AI$259, MATCH(0, IF(TRUE=$AH$11:$AH$259, COUNTIF($AM$10:$AM154, $AI$11:$AI$259), ""), 0)),"")</f>
        <v/>
      </c>
      <c r="AQ155" s="35">
        <f t="shared" si="17"/>
        <v>0</v>
      </c>
    </row>
    <row r="156" spans="1:43" x14ac:dyDescent="0.25">
      <c r="A156" s="35" t="str">
        <f>IFERROR(INDEX('G-1 All Habitats'!$AG$3:$AG$15,MATCH(E156,'G-1 All Habitats'!$AF$3:$AF$15,0)),"")</f>
        <v/>
      </c>
      <c r="B156" s="35" t="str">
        <f>IFERROR(INDEX('G-8 Condition Look up'!$I$4:$I$131,MATCH(G156,'G-8 Condition Look up'!$A$4:$A$131,0)),"")</f>
        <v/>
      </c>
      <c r="D156" s="168">
        <v>146</v>
      </c>
      <c r="E156" s="275"/>
      <c r="F156" s="275"/>
      <c r="G156" s="370" t="str">
        <f>IFERROR(INDEX('G-1 All Habitats'!$B$3:$B$130,MATCH(F156,'G-1 All Habitats'!$A$3:$A$130,0)),"")</f>
        <v/>
      </c>
      <c r="H156" s="213"/>
      <c r="I156" s="171" t="str">
        <f>IF(G156="","",VLOOKUP(G156,'G-1 All Habitats'!$B$2:$M$130,10,FALSE))</f>
        <v/>
      </c>
      <c r="J156" s="172" t="str">
        <f>IFERROR(VLOOKUP(I156,'G-1 All Habitats'!$V$3:$W$7,2,FALSE),"")</f>
        <v/>
      </c>
      <c r="K156" s="173"/>
      <c r="L156" s="172" t="str">
        <f>IFERROR(INDEX('G-8 Condition Look up'!$A$3:$H$131,MATCH(G156,'G-8 Condition Look up'!$A$3:$A$131,0),MATCH(K156,'G-8 Condition Look up'!$A$3:$H$3,0)),"")</f>
        <v/>
      </c>
      <c r="M156" s="186"/>
      <c r="N156" s="175" t="str">
        <f>IF(M156="","",IF(VLOOKUP(M156,'G-3 Multipliers'!$L$3:$N$6,2,FALSE)=0,"Spatial Data Missing",VLOOKUP(M156,'G-3 Multipliers'!$L$3:$N$6,2,FALSE)))</f>
        <v/>
      </c>
      <c r="O156" s="176" t="str">
        <f>IF(M156="","",IF(VLOOKUP(M156,'G-3 Multipliers'!$L$3:$N$6,3,FALSE)=0,"Spatial Data Missing",VLOOKUP(M156,'G-3 Multipliers'!$L$3:$N$6,3,FALSE)))</f>
        <v/>
      </c>
      <c r="P156" s="177" t="str">
        <f>IFERROR(VLOOKUP(G156,'G-1 All Habitats'!$B$2:$M$130,12,FALSE),"")</f>
        <v/>
      </c>
      <c r="Q156" s="81" t="str">
        <f>IFERROR(IF(P156="","",IF(AND(P156='G-1 All Habitats'!$X$3,T156&gt;0),U156+V156,IF(AND(P156='G-1 All Habitats'!$X$3,S156&gt;0),U156+V156,IF(AND(P156='G-1 All Habitats'!$X$3,AC156&gt;0),"Any Loss Unacceptable",IF(AND(P156='G-1 All Habitats'!$X$3,W156&gt;0),"Any Loss Unacceptable",H156*J156*L156*O156))))),"Check Data")</f>
        <v/>
      </c>
      <c r="R156" s="55"/>
      <c r="S156" s="79"/>
      <c r="T156" s="82"/>
      <c r="U156" s="83" t="str">
        <f t="shared" si="14"/>
        <v/>
      </c>
      <c r="V156" s="83" t="str">
        <f t="shared" si="15"/>
        <v/>
      </c>
      <c r="W156" s="83" t="str">
        <f>IF(E156="","",IF(H156&lt;S156+T156,"Error in Areas",IF(P156&lt;&gt;'G-1 All Habitats'!$X$3,H156-S156-T156,IF(AND(P156='G-1 All Habitats'!$X$3,Y156="Yes"),"Unacceptable Loss",IF(AND(P156='G-1 All Habitats'!$X$3,Y156="No"),AC156,IF(AND(P156='G-1 All Habitats'!$X$3,Y156=""),AC156,IF(AND(P156='G-1 All Habitats'!$X$3,AC156="None",AC156),IF(AND(P156='G-1 All Habitats'!$X$3,AC156&gt;0),H156-S156-T156))))))))</f>
        <v/>
      </c>
      <c r="X156" s="354" t="str">
        <f>IFERROR(IF(H156="","",IF(H156-S156-T156=0&lt;0,"Error in Areas",IF(S156+T156&gt;H156,"Error in Areas",IF(AND(P156='G-1 All Habitats'!$X$3,Y156="Yes"),"Alternative Compensation",IF(W156=0,0,IF(P156='G-1 All Habitats'!$X$3,"Unacceptable Loss",Q156-U156-V156)))))),"Check Data")</f>
        <v/>
      </c>
      <c r="Y156" s="82"/>
      <c r="Z156" s="182"/>
      <c r="AA156" s="183"/>
      <c r="AC156" s="371" t="str">
        <f>IF(P156="","",IF(P156='G-1 All Habitats'!$X$3,H156-S156-T156,"None"))</f>
        <v/>
      </c>
      <c r="AD156" s="372" t="str">
        <f t="shared" si="16"/>
        <v/>
      </c>
      <c r="AF156" s="188" t="str">
        <f t="shared" si="12"/>
        <v/>
      </c>
      <c r="AG156" s="188" t="str">
        <f t="shared" si="13"/>
        <v/>
      </c>
      <c r="AH156" s="188" t="str">
        <f>IF(I156="","",IF(#REF!&gt;0,TRUE,FALSE))</f>
        <v/>
      </c>
      <c r="AI156" s="188">
        <v>146</v>
      </c>
      <c r="AJ156" s="188"/>
      <c r="AK156" s="188" t="str">
        <f t="array" ref="AK156">IFERROR(INDEX($AI$11:$AI$259, MATCH(0, IF(TRUE=$AF$11:$AF$259, COUNTIF($AK$10:$AK155, $AI$11:$AI$259), ""), 0)),"")</f>
        <v/>
      </c>
      <c r="AL156" s="188" t="str">
        <f t="array" ref="AL156">IFERROR(INDEX($AI$11:$AI$259, MATCH(0, IF(TRUE=$AG$11:$AG$259, COUNTIF($AL$10:$AL155, $AI$11:$AI$259), ""), 0)),"")</f>
        <v/>
      </c>
      <c r="AM156" s="188" t="str">
        <f t="array" ref="AM156">IFERROR(INDEX($AI$11:$AI$259, MATCH(0, IF(TRUE=$AH$11:$AH$259, COUNTIF($AM$10:$AM155, $AI$11:$AI$259), ""), 0)),"")</f>
        <v/>
      </c>
      <c r="AQ156" s="35">
        <f t="shared" si="17"/>
        <v>0</v>
      </c>
    </row>
    <row r="157" spans="1:43" x14ac:dyDescent="0.25">
      <c r="A157" s="35" t="str">
        <f>IFERROR(INDEX('G-1 All Habitats'!$AG$3:$AG$15,MATCH(E157,'G-1 All Habitats'!$AF$3:$AF$15,0)),"")</f>
        <v/>
      </c>
      <c r="B157" s="35" t="str">
        <f>IFERROR(INDEX('G-8 Condition Look up'!$I$4:$I$131,MATCH(G157,'G-8 Condition Look up'!$A$4:$A$131,0)),"")</f>
        <v/>
      </c>
      <c r="D157" s="168">
        <v>147</v>
      </c>
      <c r="E157" s="275"/>
      <c r="F157" s="275"/>
      <c r="G157" s="370" t="str">
        <f>IFERROR(INDEX('G-1 All Habitats'!$B$3:$B$130,MATCH(F157,'G-1 All Habitats'!$A$3:$A$130,0)),"")</f>
        <v/>
      </c>
      <c r="H157" s="213"/>
      <c r="I157" s="171" t="str">
        <f>IF(G157="","",VLOOKUP(G157,'G-1 All Habitats'!$B$2:$M$130,10,FALSE))</f>
        <v/>
      </c>
      <c r="J157" s="172" t="str">
        <f>IFERROR(VLOOKUP(I157,'G-1 All Habitats'!$V$3:$W$7,2,FALSE),"")</f>
        <v/>
      </c>
      <c r="K157" s="173"/>
      <c r="L157" s="172" t="str">
        <f>IFERROR(INDEX('G-8 Condition Look up'!$A$3:$H$131,MATCH(G157,'G-8 Condition Look up'!$A$3:$A$131,0),MATCH(K157,'G-8 Condition Look up'!$A$3:$H$3,0)),"")</f>
        <v/>
      </c>
      <c r="M157" s="186"/>
      <c r="N157" s="175" t="str">
        <f>IF(M157="","",IF(VLOOKUP(M157,'G-3 Multipliers'!$L$3:$N$6,2,FALSE)=0,"Spatial Data Missing",VLOOKUP(M157,'G-3 Multipliers'!$L$3:$N$6,2,FALSE)))</f>
        <v/>
      </c>
      <c r="O157" s="176" t="str">
        <f>IF(M157="","",IF(VLOOKUP(M157,'G-3 Multipliers'!$L$3:$N$6,3,FALSE)=0,"Spatial Data Missing",VLOOKUP(M157,'G-3 Multipliers'!$L$3:$N$6,3,FALSE)))</f>
        <v/>
      </c>
      <c r="P157" s="177" t="str">
        <f>IFERROR(VLOOKUP(G157,'G-1 All Habitats'!$B$2:$M$130,12,FALSE),"")</f>
        <v/>
      </c>
      <c r="Q157" s="81" t="str">
        <f>IFERROR(IF(P157="","",IF(AND(P157='G-1 All Habitats'!$X$3,T157&gt;0),U157+V157,IF(AND(P157='G-1 All Habitats'!$X$3,S157&gt;0),U157+V157,IF(AND(P157='G-1 All Habitats'!$X$3,AC157&gt;0),"Any Loss Unacceptable",IF(AND(P157='G-1 All Habitats'!$X$3,W157&gt;0),"Any Loss Unacceptable",H157*J157*L157*O157))))),"Check Data")</f>
        <v/>
      </c>
      <c r="R157" s="55"/>
      <c r="S157" s="79"/>
      <c r="T157" s="82"/>
      <c r="U157" s="83" t="str">
        <f t="shared" si="14"/>
        <v/>
      </c>
      <c r="V157" s="83" t="str">
        <f t="shared" si="15"/>
        <v/>
      </c>
      <c r="W157" s="83" t="str">
        <f>IF(E157="","",IF(H157&lt;S157+T157,"Error in Areas",IF(P157&lt;&gt;'G-1 All Habitats'!$X$3,H157-S157-T157,IF(AND(P157='G-1 All Habitats'!$X$3,Y157="Yes"),"Unacceptable Loss",IF(AND(P157='G-1 All Habitats'!$X$3,Y157="No"),AC157,IF(AND(P157='G-1 All Habitats'!$X$3,Y157=""),AC157,IF(AND(P157='G-1 All Habitats'!$X$3,AC157="None",AC157),IF(AND(P157='G-1 All Habitats'!$X$3,AC157&gt;0),H157-S157-T157))))))))</f>
        <v/>
      </c>
      <c r="X157" s="354" t="str">
        <f>IFERROR(IF(H157="","",IF(H157-S157-T157=0&lt;0,"Error in Areas",IF(S157+T157&gt;H157,"Error in Areas",IF(AND(P157='G-1 All Habitats'!$X$3,Y157="Yes"),"Alternative Compensation",IF(W157=0,0,IF(P157='G-1 All Habitats'!$X$3,"Unacceptable Loss",Q157-U157-V157)))))),"Check Data")</f>
        <v/>
      </c>
      <c r="Y157" s="82"/>
      <c r="Z157" s="182"/>
      <c r="AA157" s="183"/>
      <c r="AC157" s="371" t="str">
        <f>IF(P157="","",IF(P157='G-1 All Habitats'!$X$3,H157-S157-T157,"None"))</f>
        <v/>
      </c>
      <c r="AD157" s="372" t="str">
        <f t="shared" si="16"/>
        <v/>
      </c>
      <c r="AF157" s="188" t="str">
        <f t="shared" si="12"/>
        <v/>
      </c>
      <c r="AG157" s="188" t="str">
        <f t="shared" si="13"/>
        <v/>
      </c>
      <c r="AH157" s="188" t="str">
        <f>IF(I157="","",IF(#REF!&gt;0,TRUE,FALSE))</f>
        <v/>
      </c>
      <c r="AI157" s="188">
        <v>147</v>
      </c>
      <c r="AJ157" s="188"/>
      <c r="AK157" s="188" t="str">
        <f t="array" ref="AK157">IFERROR(INDEX($AI$11:$AI$259, MATCH(0, IF(TRUE=$AF$11:$AF$259, COUNTIF($AK$10:$AK156, $AI$11:$AI$259), ""), 0)),"")</f>
        <v/>
      </c>
      <c r="AL157" s="188" t="str">
        <f t="array" ref="AL157">IFERROR(INDEX($AI$11:$AI$259, MATCH(0, IF(TRUE=$AG$11:$AG$259, COUNTIF($AL$10:$AL156, $AI$11:$AI$259), ""), 0)),"")</f>
        <v/>
      </c>
      <c r="AM157" s="188" t="str">
        <f t="array" ref="AM157">IFERROR(INDEX($AI$11:$AI$259, MATCH(0, IF(TRUE=$AH$11:$AH$259, COUNTIF($AM$10:$AM156, $AI$11:$AI$259), ""), 0)),"")</f>
        <v/>
      </c>
      <c r="AQ157" s="35">
        <f t="shared" si="17"/>
        <v>0</v>
      </c>
    </row>
    <row r="158" spans="1:43" x14ac:dyDescent="0.25">
      <c r="A158" s="35" t="str">
        <f>IFERROR(INDEX('G-1 All Habitats'!$AG$3:$AG$15,MATCH(E158,'G-1 All Habitats'!$AF$3:$AF$15,0)),"")</f>
        <v/>
      </c>
      <c r="B158" s="35" t="str">
        <f>IFERROR(INDEX('G-8 Condition Look up'!$I$4:$I$131,MATCH(G158,'G-8 Condition Look up'!$A$4:$A$131,0)),"")</f>
        <v/>
      </c>
      <c r="D158" s="168">
        <v>148</v>
      </c>
      <c r="E158" s="275"/>
      <c r="F158" s="275"/>
      <c r="G158" s="370" t="str">
        <f>IFERROR(INDEX('G-1 All Habitats'!$B$3:$B$130,MATCH(F158,'G-1 All Habitats'!$A$3:$A$130,0)),"")</f>
        <v/>
      </c>
      <c r="H158" s="213"/>
      <c r="I158" s="171" t="str">
        <f>IF(G158="","",VLOOKUP(G158,'G-1 All Habitats'!$B$2:$M$130,10,FALSE))</f>
        <v/>
      </c>
      <c r="J158" s="172" t="str">
        <f>IFERROR(VLOOKUP(I158,'G-1 All Habitats'!$V$3:$W$7,2,FALSE),"")</f>
        <v/>
      </c>
      <c r="K158" s="173"/>
      <c r="L158" s="172" t="str">
        <f>IFERROR(INDEX('G-8 Condition Look up'!$A$3:$H$131,MATCH(G158,'G-8 Condition Look up'!$A$3:$A$131,0),MATCH(K158,'G-8 Condition Look up'!$A$3:$H$3,0)),"")</f>
        <v/>
      </c>
      <c r="M158" s="186"/>
      <c r="N158" s="175" t="str">
        <f>IF(M158="","",IF(VLOOKUP(M158,'G-3 Multipliers'!$L$3:$N$6,2,FALSE)=0,"Spatial Data Missing",VLOOKUP(M158,'G-3 Multipliers'!$L$3:$N$6,2,FALSE)))</f>
        <v/>
      </c>
      <c r="O158" s="176" t="str">
        <f>IF(M158="","",IF(VLOOKUP(M158,'G-3 Multipliers'!$L$3:$N$6,3,FALSE)=0,"Spatial Data Missing",VLOOKUP(M158,'G-3 Multipliers'!$L$3:$N$6,3,FALSE)))</f>
        <v/>
      </c>
      <c r="P158" s="177" t="str">
        <f>IFERROR(VLOOKUP(G158,'G-1 All Habitats'!$B$2:$M$130,12,FALSE),"")</f>
        <v/>
      </c>
      <c r="Q158" s="81" t="str">
        <f>IFERROR(IF(P158="","",IF(AND(P158='G-1 All Habitats'!$X$3,T158&gt;0),U158+V158,IF(AND(P158='G-1 All Habitats'!$X$3,S158&gt;0),U158+V158,IF(AND(P158='G-1 All Habitats'!$X$3,AC158&gt;0),"Any Loss Unacceptable",IF(AND(P158='G-1 All Habitats'!$X$3,W158&gt;0),"Any Loss Unacceptable",H158*J158*L158*O158))))),"Check Data")</f>
        <v/>
      </c>
      <c r="R158" s="55"/>
      <c r="S158" s="79"/>
      <c r="T158" s="82"/>
      <c r="U158" s="83" t="str">
        <f t="shared" si="14"/>
        <v/>
      </c>
      <c r="V158" s="83" t="str">
        <f t="shared" si="15"/>
        <v/>
      </c>
      <c r="W158" s="83" t="str">
        <f>IF(E158="","",IF(H158&lt;S158+T158,"Error in Areas",IF(P158&lt;&gt;'G-1 All Habitats'!$X$3,H158-S158-T158,IF(AND(P158='G-1 All Habitats'!$X$3,Y158="Yes"),"Unacceptable Loss",IF(AND(P158='G-1 All Habitats'!$X$3,Y158="No"),AC158,IF(AND(P158='G-1 All Habitats'!$X$3,Y158=""),AC158,IF(AND(P158='G-1 All Habitats'!$X$3,AC158="None",AC158),IF(AND(P158='G-1 All Habitats'!$X$3,AC158&gt;0),H158-S158-T158))))))))</f>
        <v/>
      </c>
      <c r="X158" s="354" t="str">
        <f>IFERROR(IF(H158="","",IF(H158-S158-T158=0&lt;0,"Error in Areas",IF(S158+T158&gt;H158,"Error in Areas",IF(AND(P158='G-1 All Habitats'!$X$3,Y158="Yes"),"Alternative Compensation",IF(W158=0,0,IF(P158='G-1 All Habitats'!$X$3,"Unacceptable Loss",Q158-U158-V158)))))),"Check Data")</f>
        <v/>
      </c>
      <c r="Y158" s="82"/>
      <c r="Z158" s="182"/>
      <c r="AA158" s="183"/>
      <c r="AC158" s="371" t="str">
        <f>IF(P158="","",IF(P158='G-1 All Habitats'!$X$3,H158-S158-T158,"None"))</f>
        <v/>
      </c>
      <c r="AD158" s="372" t="str">
        <f t="shared" si="16"/>
        <v/>
      </c>
      <c r="AF158" s="188" t="str">
        <f t="shared" si="12"/>
        <v/>
      </c>
      <c r="AG158" s="188" t="str">
        <f t="shared" si="13"/>
        <v/>
      </c>
      <c r="AH158" s="188" t="str">
        <f>IF(I158="","",IF(#REF!&gt;0,TRUE,FALSE))</f>
        <v/>
      </c>
      <c r="AI158" s="188">
        <v>148</v>
      </c>
      <c r="AJ158" s="188"/>
      <c r="AK158" s="188" t="str">
        <f t="array" ref="AK158">IFERROR(INDEX($AI$11:$AI$259, MATCH(0, IF(TRUE=$AF$11:$AF$259, COUNTIF($AK$10:$AK157, $AI$11:$AI$259), ""), 0)),"")</f>
        <v/>
      </c>
      <c r="AL158" s="188" t="str">
        <f t="array" ref="AL158">IFERROR(INDEX($AI$11:$AI$259, MATCH(0, IF(TRUE=$AG$11:$AG$259, COUNTIF($AL$10:$AL157, $AI$11:$AI$259), ""), 0)),"")</f>
        <v/>
      </c>
      <c r="AM158" s="188" t="str">
        <f t="array" ref="AM158">IFERROR(INDEX($AI$11:$AI$259, MATCH(0, IF(TRUE=$AH$11:$AH$259, COUNTIF($AM$10:$AM157, $AI$11:$AI$259), ""), 0)),"")</f>
        <v/>
      </c>
      <c r="AQ158" s="35">
        <f t="shared" si="17"/>
        <v>0</v>
      </c>
    </row>
    <row r="159" spans="1:43" x14ac:dyDescent="0.25">
      <c r="A159" s="35" t="str">
        <f>IFERROR(INDEX('G-1 All Habitats'!$AG$3:$AG$15,MATCH(E159,'G-1 All Habitats'!$AF$3:$AF$15,0)),"")</f>
        <v/>
      </c>
      <c r="B159" s="35" t="str">
        <f>IFERROR(INDEX('G-8 Condition Look up'!$I$4:$I$131,MATCH(G159,'G-8 Condition Look up'!$A$4:$A$131,0)),"")</f>
        <v/>
      </c>
      <c r="D159" s="168">
        <v>149</v>
      </c>
      <c r="E159" s="275"/>
      <c r="F159" s="275"/>
      <c r="G159" s="370" t="str">
        <f>IFERROR(INDEX('G-1 All Habitats'!$B$3:$B$130,MATCH(F159,'G-1 All Habitats'!$A$3:$A$130,0)),"")</f>
        <v/>
      </c>
      <c r="H159" s="213"/>
      <c r="I159" s="171" t="str">
        <f>IF(G159="","",VLOOKUP(G159,'G-1 All Habitats'!$B$2:$M$130,10,FALSE))</f>
        <v/>
      </c>
      <c r="J159" s="172" t="str">
        <f>IFERROR(VLOOKUP(I159,'G-1 All Habitats'!$V$3:$W$7,2,FALSE),"")</f>
        <v/>
      </c>
      <c r="K159" s="173"/>
      <c r="L159" s="172" t="str">
        <f>IFERROR(INDEX('G-8 Condition Look up'!$A$3:$H$131,MATCH(G159,'G-8 Condition Look up'!$A$3:$A$131,0),MATCH(K159,'G-8 Condition Look up'!$A$3:$H$3,0)),"")</f>
        <v/>
      </c>
      <c r="M159" s="186"/>
      <c r="N159" s="175" t="str">
        <f>IF(M159="","",IF(VLOOKUP(M159,'G-3 Multipliers'!$L$3:$N$6,2,FALSE)=0,"Spatial Data Missing",VLOOKUP(M159,'G-3 Multipliers'!$L$3:$N$6,2,FALSE)))</f>
        <v/>
      </c>
      <c r="O159" s="176" t="str">
        <f>IF(M159="","",IF(VLOOKUP(M159,'G-3 Multipliers'!$L$3:$N$6,3,FALSE)=0,"Spatial Data Missing",VLOOKUP(M159,'G-3 Multipliers'!$L$3:$N$6,3,FALSE)))</f>
        <v/>
      </c>
      <c r="P159" s="177" t="str">
        <f>IFERROR(VLOOKUP(G159,'G-1 All Habitats'!$B$2:$M$130,12,FALSE),"")</f>
        <v/>
      </c>
      <c r="Q159" s="81" t="str">
        <f>IFERROR(IF(P159="","",IF(AND(P159='G-1 All Habitats'!$X$3,T159&gt;0),U159+V159,IF(AND(P159='G-1 All Habitats'!$X$3,S159&gt;0),U159+V159,IF(AND(P159='G-1 All Habitats'!$X$3,AC159&gt;0),"Any Loss Unacceptable",IF(AND(P159='G-1 All Habitats'!$X$3,W159&gt;0),"Any Loss Unacceptable",H159*J159*L159*O159))))),"Check Data")</f>
        <v/>
      </c>
      <c r="R159" s="55"/>
      <c r="S159" s="79"/>
      <c r="T159" s="82"/>
      <c r="U159" s="83" t="str">
        <f t="shared" si="14"/>
        <v/>
      </c>
      <c r="V159" s="83" t="str">
        <f t="shared" si="15"/>
        <v/>
      </c>
      <c r="W159" s="83" t="str">
        <f>IF(E159="","",IF(H159&lt;S159+T159,"Error in Areas",IF(P159&lt;&gt;'G-1 All Habitats'!$X$3,H159-S159-T159,IF(AND(P159='G-1 All Habitats'!$X$3,Y159="Yes"),"Unacceptable Loss",IF(AND(P159='G-1 All Habitats'!$X$3,Y159="No"),AC159,IF(AND(P159='G-1 All Habitats'!$X$3,Y159=""),AC159,IF(AND(P159='G-1 All Habitats'!$X$3,AC159="None",AC159),IF(AND(P159='G-1 All Habitats'!$X$3,AC159&gt;0),H159-S159-T159))))))))</f>
        <v/>
      </c>
      <c r="X159" s="354" t="str">
        <f>IFERROR(IF(H159="","",IF(H159-S159-T159=0&lt;0,"Error in Areas",IF(S159+T159&gt;H159,"Error in Areas",IF(AND(P159='G-1 All Habitats'!$X$3,Y159="Yes"),"Alternative Compensation",IF(W159=0,0,IF(P159='G-1 All Habitats'!$X$3,"Unacceptable Loss",Q159-U159-V159)))))),"Check Data")</f>
        <v/>
      </c>
      <c r="Y159" s="82"/>
      <c r="Z159" s="182"/>
      <c r="AA159" s="183"/>
      <c r="AC159" s="371" t="str">
        <f>IF(P159="","",IF(P159='G-1 All Habitats'!$X$3,H159-S159-T159,"None"))</f>
        <v/>
      </c>
      <c r="AD159" s="372" t="str">
        <f t="shared" si="16"/>
        <v/>
      </c>
      <c r="AF159" s="188" t="str">
        <f t="shared" si="12"/>
        <v/>
      </c>
      <c r="AG159" s="188" t="str">
        <f t="shared" si="13"/>
        <v/>
      </c>
      <c r="AH159" s="188" t="str">
        <f>IF(I159="","",IF(#REF!&gt;0,TRUE,FALSE))</f>
        <v/>
      </c>
      <c r="AI159" s="188">
        <v>149</v>
      </c>
      <c r="AJ159" s="188"/>
      <c r="AK159" s="188" t="str">
        <f t="array" ref="AK159">IFERROR(INDEX($AI$11:$AI$259, MATCH(0, IF(TRUE=$AF$11:$AF$259, COUNTIF($AK$10:$AK158, $AI$11:$AI$259), ""), 0)),"")</f>
        <v/>
      </c>
      <c r="AL159" s="188" t="str">
        <f t="array" ref="AL159">IFERROR(INDEX($AI$11:$AI$259, MATCH(0, IF(TRUE=$AG$11:$AG$259, COUNTIF($AL$10:$AL158, $AI$11:$AI$259), ""), 0)),"")</f>
        <v/>
      </c>
      <c r="AM159" s="188" t="str">
        <f t="array" ref="AM159">IFERROR(INDEX($AI$11:$AI$259, MATCH(0, IF(TRUE=$AH$11:$AH$259, COUNTIF($AM$10:$AM158, $AI$11:$AI$259), ""), 0)),"")</f>
        <v/>
      </c>
      <c r="AQ159" s="35">
        <f t="shared" si="17"/>
        <v>0</v>
      </c>
    </row>
    <row r="160" spans="1:43" x14ac:dyDescent="0.25">
      <c r="A160" s="35" t="str">
        <f>IFERROR(INDEX('G-1 All Habitats'!$AG$3:$AG$15,MATCH(E160,'G-1 All Habitats'!$AF$3:$AF$15,0)),"")</f>
        <v/>
      </c>
      <c r="B160" s="35" t="str">
        <f>IFERROR(INDEX('G-8 Condition Look up'!$I$4:$I$131,MATCH(G160,'G-8 Condition Look up'!$A$4:$A$131,0)),"")</f>
        <v/>
      </c>
      <c r="D160" s="168">
        <v>150</v>
      </c>
      <c r="E160" s="275"/>
      <c r="F160" s="275"/>
      <c r="G160" s="370" t="str">
        <f>IFERROR(INDEX('G-1 All Habitats'!$B$3:$B$130,MATCH(F160,'G-1 All Habitats'!$A$3:$A$130,0)),"")</f>
        <v/>
      </c>
      <c r="H160" s="213"/>
      <c r="I160" s="171" t="str">
        <f>IF(G160="","",VLOOKUP(G160,'G-1 All Habitats'!$B$2:$M$130,10,FALSE))</f>
        <v/>
      </c>
      <c r="J160" s="172" t="str">
        <f>IFERROR(VLOOKUP(I160,'G-1 All Habitats'!$V$3:$W$7,2,FALSE),"")</f>
        <v/>
      </c>
      <c r="K160" s="173"/>
      <c r="L160" s="172" t="str">
        <f>IFERROR(INDEX('G-8 Condition Look up'!$A$3:$H$131,MATCH(G160,'G-8 Condition Look up'!$A$3:$A$131,0),MATCH(K160,'G-8 Condition Look up'!$A$3:$H$3,0)),"")</f>
        <v/>
      </c>
      <c r="M160" s="186"/>
      <c r="N160" s="175" t="str">
        <f>IF(M160="","",IF(VLOOKUP(M160,'G-3 Multipliers'!$L$3:$N$6,2,FALSE)=0,"Spatial Data Missing",VLOOKUP(M160,'G-3 Multipliers'!$L$3:$N$6,2,FALSE)))</f>
        <v/>
      </c>
      <c r="O160" s="176" t="str">
        <f>IF(M160="","",IF(VLOOKUP(M160,'G-3 Multipliers'!$L$3:$N$6,3,FALSE)=0,"Spatial Data Missing",VLOOKUP(M160,'G-3 Multipliers'!$L$3:$N$6,3,FALSE)))</f>
        <v/>
      </c>
      <c r="P160" s="177" t="str">
        <f>IFERROR(VLOOKUP(G160,'G-1 All Habitats'!$B$2:$M$130,12,FALSE),"")</f>
        <v/>
      </c>
      <c r="Q160" s="81" t="str">
        <f>IFERROR(IF(P160="","",IF(AND(P160='G-1 All Habitats'!$X$3,T160&gt;0),U160+V160,IF(AND(P160='G-1 All Habitats'!$X$3,S160&gt;0),U160+V160,IF(AND(P160='G-1 All Habitats'!$X$3,AC160&gt;0),"Any Loss Unacceptable",IF(AND(P160='G-1 All Habitats'!$X$3,W160&gt;0),"Any Loss Unacceptable",H160*J160*L160*O160))))),"Check Data")</f>
        <v/>
      </c>
      <c r="R160" s="55"/>
      <c r="S160" s="79"/>
      <c r="T160" s="82"/>
      <c r="U160" s="83" t="str">
        <f t="shared" si="14"/>
        <v/>
      </c>
      <c r="V160" s="83" t="str">
        <f t="shared" si="15"/>
        <v/>
      </c>
      <c r="W160" s="83" t="str">
        <f>IF(E160="","",IF(H160&lt;S160+T160,"Error in Areas",IF(P160&lt;&gt;'G-1 All Habitats'!$X$3,H160-S160-T160,IF(AND(P160='G-1 All Habitats'!$X$3,Y160="Yes"),"Unacceptable Loss",IF(AND(P160='G-1 All Habitats'!$X$3,Y160="No"),AC160,IF(AND(P160='G-1 All Habitats'!$X$3,Y160=""),AC160,IF(AND(P160='G-1 All Habitats'!$X$3,AC160="None",AC160),IF(AND(P160='G-1 All Habitats'!$X$3,AC160&gt;0),H160-S160-T160))))))))</f>
        <v/>
      </c>
      <c r="X160" s="354" t="str">
        <f>IFERROR(IF(H160="","",IF(H160-S160-T160=0&lt;0,"Error in Areas",IF(S160+T160&gt;H160,"Error in Areas",IF(AND(P160='G-1 All Habitats'!$X$3,Y160="Yes"),"Alternative Compensation",IF(W160=0,0,IF(P160='G-1 All Habitats'!$X$3,"Unacceptable Loss",Q160-U160-V160)))))),"Check Data")</f>
        <v/>
      </c>
      <c r="Y160" s="82"/>
      <c r="Z160" s="182"/>
      <c r="AA160" s="183"/>
      <c r="AC160" s="371" t="str">
        <f>IF(P160="","",IF(P160='G-1 All Habitats'!$X$3,H160-S160-T160,"None"))</f>
        <v/>
      </c>
      <c r="AD160" s="372" t="str">
        <f t="shared" si="16"/>
        <v/>
      </c>
      <c r="AF160" s="188" t="str">
        <f t="shared" si="12"/>
        <v/>
      </c>
      <c r="AG160" s="188" t="str">
        <f t="shared" si="13"/>
        <v/>
      </c>
      <c r="AH160" s="188" t="str">
        <f>IF(I160="","",IF(#REF!&gt;0,TRUE,FALSE))</f>
        <v/>
      </c>
      <c r="AI160" s="188">
        <v>150</v>
      </c>
      <c r="AJ160" s="188"/>
      <c r="AK160" s="188" t="str">
        <f t="array" ref="AK160">IFERROR(INDEX($AI$11:$AI$259, MATCH(0, IF(TRUE=$AF$11:$AF$259, COUNTIF($AK$10:$AK159, $AI$11:$AI$259), ""), 0)),"")</f>
        <v/>
      </c>
      <c r="AL160" s="188" t="str">
        <f t="array" ref="AL160">IFERROR(INDEX($AI$11:$AI$259, MATCH(0, IF(TRUE=$AG$11:$AG$259, COUNTIF($AL$10:$AL159, $AI$11:$AI$259), ""), 0)),"")</f>
        <v/>
      </c>
      <c r="AM160" s="188" t="str">
        <f t="array" ref="AM160">IFERROR(INDEX($AI$11:$AI$259, MATCH(0, IF(TRUE=$AH$11:$AH$259, COUNTIF($AM$10:$AM159, $AI$11:$AI$259), ""), 0)),"")</f>
        <v/>
      </c>
      <c r="AQ160" s="35">
        <f t="shared" si="17"/>
        <v>0</v>
      </c>
    </row>
    <row r="161" spans="1:43" x14ac:dyDescent="0.25">
      <c r="A161" s="35" t="str">
        <f>IFERROR(INDEX('G-1 All Habitats'!$AG$3:$AG$15,MATCH(E161,'G-1 All Habitats'!$AF$3:$AF$15,0)),"")</f>
        <v/>
      </c>
      <c r="B161" s="35" t="str">
        <f>IFERROR(INDEX('G-8 Condition Look up'!$I$4:$I$131,MATCH(G161,'G-8 Condition Look up'!$A$4:$A$131,0)),"")</f>
        <v/>
      </c>
      <c r="D161" s="168">
        <v>151</v>
      </c>
      <c r="E161" s="275"/>
      <c r="F161" s="275"/>
      <c r="G161" s="370" t="str">
        <f>IFERROR(INDEX('G-1 All Habitats'!$B$3:$B$130,MATCH(F161,'G-1 All Habitats'!$A$3:$A$130,0)),"")</f>
        <v/>
      </c>
      <c r="H161" s="213"/>
      <c r="I161" s="171" t="str">
        <f>IF(G161="","",VLOOKUP(G161,'G-1 All Habitats'!$B$2:$M$130,10,FALSE))</f>
        <v/>
      </c>
      <c r="J161" s="172" t="str">
        <f>IFERROR(VLOOKUP(I161,'G-1 All Habitats'!$V$3:$W$7,2,FALSE),"")</f>
        <v/>
      </c>
      <c r="K161" s="173"/>
      <c r="L161" s="172" t="str">
        <f>IFERROR(INDEX('G-8 Condition Look up'!$A$3:$H$131,MATCH(G161,'G-8 Condition Look up'!$A$3:$A$131,0),MATCH(K161,'G-8 Condition Look up'!$A$3:$H$3,0)),"")</f>
        <v/>
      </c>
      <c r="M161" s="186"/>
      <c r="N161" s="175" t="str">
        <f>IF(M161="","",IF(VLOOKUP(M161,'G-3 Multipliers'!$L$3:$N$6,2,FALSE)=0,"Spatial Data Missing",VLOOKUP(M161,'G-3 Multipliers'!$L$3:$N$6,2,FALSE)))</f>
        <v/>
      </c>
      <c r="O161" s="176" t="str">
        <f>IF(M161="","",IF(VLOOKUP(M161,'G-3 Multipliers'!$L$3:$N$6,3,FALSE)=0,"Spatial Data Missing",VLOOKUP(M161,'G-3 Multipliers'!$L$3:$N$6,3,FALSE)))</f>
        <v/>
      </c>
      <c r="P161" s="177" t="str">
        <f>IFERROR(VLOOKUP(G161,'G-1 All Habitats'!$B$2:$M$130,12,FALSE),"")</f>
        <v/>
      </c>
      <c r="Q161" s="81" t="str">
        <f>IFERROR(IF(P161="","",IF(AND(P161='G-1 All Habitats'!$X$3,T161&gt;0),U161+V161,IF(AND(P161='G-1 All Habitats'!$X$3,S161&gt;0),U161+V161,IF(AND(P161='G-1 All Habitats'!$X$3,AC161&gt;0),"Any Loss Unacceptable",IF(AND(P161='G-1 All Habitats'!$X$3,W161&gt;0),"Any Loss Unacceptable",H161*J161*L161*O161))))),"Check Data")</f>
        <v/>
      </c>
      <c r="R161" s="55"/>
      <c r="S161" s="79"/>
      <c r="T161" s="82"/>
      <c r="U161" s="83" t="str">
        <f t="shared" si="14"/>
        <v/>
      </c>
      <c r="V161" s="83" t="str">
        <f t="shared" si="15"/>
        <v/>
      </c>
      <c r="W161" s="83" t="str">
        <f>IF(E161="","",IF(H161&lt;S161+T161,"Error in Areas",IF(P161&lt;&gt;'G-1 All Habitats'!$X$3,H161-S161-T161,IF(AND(P161='G-1 All Habitats'!$X$3,Y161="Yes"),"Unacceptable Loss",IF(AND(P161='G-1 All Habitats'!$X$3,Y161="No"),AC161,IF(AND(P161='G-1 All Habitats'!$X$3,Y161=""),AC161,IF(AND(P161='G-1 All Habitats'!$X$3,AC161="None",AC161),IF(AND(P161='G-1 All Habitats'!$X$3,AC161&gt;0),H161-S161-T161))))))))</f>
        <v/>
      </c>
      <c r="X161" s="354" t="str">
        <f>IFERROR(IF(H161="","",IF(H161-S161-T161=0&lt;0,"Error in Areas",IF(S161+T161&gt;H161,"Error in Areas",IF(AND(P161='G-1 All Habitats'!$X$3,Y161="Yes"),"Alternative Compensation",IF(W161=0,0,IF(P161='G-1 All Habitats'!$X$3,"Unacceptable Loss",Q161-U161-V161)))))),"Check Data")</f>
        <v/>
      </c>
      <c r="Y161" s="82"/>
      <c r="Z161" s="182"/>
      <c r="AA161" s="183"/>
      <c r="AC161" s="371" t="str">
        <f>IF(P161="","",IF(P161='G-1 All Habitats'!$X$3,H161-S161-T161,"None"))</f>
        <v/>
      </c>
      <c r="AD161" s="372" t="str">
        <f t="shared" si="16"/>
        <v/>
      </c>
      <c r="AF161" s="188" t="str">
        <f t="shared" si="12"/>
        <v/>
      </c>
      <c r="AG161" s="188" t="str">
        <f t="shared" si="13"/>
        <v/>
      </c>
      <c r="AH161" s="188" t="str">
        <f>IF(I161="","",IF(#REF!&gt;0,TRUE,FALSE))</f>
        <v/>
      </c>
      <c r="AI161" s="188">
        <v>151</v>
      </c>
      <c r="AJ161" s="188"/>
      <c r="AK161" s="188" t="str">
        <f t="array" ref="AK161">IFERROR(INDEX($AI$11:$AI$259, MATCH(0, IF(TRUE=$AF$11:$AF$259, COUNTIF($AK$10:$AK160, $AI$11:$AI$259), ""), 0)),"")</f>
        <v/>
      </c>
      <c r="AL161" s="188" t="str">
        <f t="array" ref="AL161">IFERROR(INDEX($AI$11:$AI$259, MATCH(0, IF(TRUE=$AG$11:$AG$259, COUNTIF($AL$10:$AL160, $AI$11:$AI$259), ""), 0)),"")</f>
        <v/>
      </c>
      <c r="AM161" s="188" t="str">
        <f t="array" ref="AM161">IFERROR(INDEX($AI$11:$AI$259, MATCH(0, IF(TRUE=$AH$11:$AH$259, COUNTIF($AM$10:$AM160, $AI$11:$AI$259), ""), 0)),"")</f>
        <v/>
      </c>
      <c r="AQ161" s="35">
        <f t="shared" si="17"/>
        <v>0</v>
      </c>
    </row>
    <row r="162" spans="1:43" x14ac:dyDescent="0.25">
      <c r="A162" s="35" t="str">
        <f>IFERROR(INDEX('G-1 All Habitats'!$AG$3:$AG$15,MATCH(E162,'G-1 All Habitats'!$AF$3:$AF$15,0)),"")</f>
        <v/>
      </c>
      <c r="B162" s="35" t="str">
        <f>IFERROR(INDEX('G-8 Condition Look up'!$I$4:$I$131,MATCH(G162,'G-8 Condition Look up'!$A$4:$A$131,0)),"")</f>
        <v/>
      </c>
      <c r="D162" s="168">
        <v>152</v>
      </c>
      <c r="E162" s="275"/>
      <c r="F162" s="275"/>
      <c r="G162" s="370" t="str">
        <f>IFERROR(INDEX('G-1 All Habitats'!$B$3:$B$130,MATCH(F162,'G-1 All Habitats'!$A$3:$A$130,0)),"")</f>
        <v/>
      </c>
      <c r="H162" s="213"/>
      <c r="I162" s="171" t="str">
        <f>IF(G162="","",VLOOKUP(G162,'G-1 All Habitats'!$B$2:$M$130,10,FALSE))</f>
        <v/>
      </c>
      <c r="J162" s="172" t="str">
        <f>IFERROR(VLOOKUP(I162,'G-1 All Habitats'!$V$3:$W$7,2,FALSE),"")</f>
        <v/>
      </c>
      <c r="K162" s="173"/>
      <c r="L162" s="172" t="str">
        <f>IFERROR(INDEX('G-8 Condition Look up'!$A$3:$H$131,MATCH(G162,'G-8 Condition Look up'!$A$3:$A$131,0),MATCH(K162,'G-8 Condition Look up'!$A$3:$H$3,0)),"")</f>
        <v/>
      </c>
      <c r="M162" s="186"/>
      <c r="N162" s="175" t="str">
        <f>IF(M162="","",IF(VLOOKUP(M162,'G-3 Multipliers'!$L$3:$N$6,2,FALSE)=0,"Spatial Data Missing",VLOOKUP(M162,'G-3 Multipliers'!$L$3:$N$6,2,FALSE)))</f>
        <v/>
      </c>
      <c r="O162" s="176" t="str">
        <f>IF(M162="","",IF(VLOOKUP(M162,'G-3 Multipliers'!$L$3:$N$6,3,FALSE)=0,"Spatial Data Missing",VLOOKUP(M162,'G-3 Multipliers'!$L$3:$N$6,3,FALSE)))</f>
        <v/>
      </c>
      <c r="P162" s="177" t="str">
        <f>IFERROR(VLOOKUP(G162,'G-1 All Habitats'!$B$2:$M$130,12,FALSE),"")</f>
        <v/>
      </c>
      <c r="Q162" s="81" t="str">
        <f>IFERROR(IF(P162="","",IF(AND(P162='G-1 All Habitats'!$X$3,T162&gt;0),U162+V162,IF(AND(P162='G-1 All Habitats'!$X$3,S162&gt;0),U162+V162,IF(AND(P162='G-1 All Habitats'!$X$3,AC162&gt;0),"Any Loss Unacceptable",IF(AND(P162='G-1 All Habitats'!$X$3,W162&gt;0),"Any Loss Unacceptable",H162*J162*L162*O162))))),"Check Data")</f>
        <v/>
      </c>
      <c r="R162" s="55"/>
      <c r="S162" s="79"/>
      <c r="T162" s="82"/>
      <c r="U162" s="83" t="str">
        <f t="shared" si="14"/>
        <v/>
      </c>
      <c r="V162" s="83" t="str">
        <f t="shared" si="15"/>
        <v/>
      </c>
      <c r="W162" s="83" t="str">
        <f>IF(E162="","",IF(H162&lt;S162+T162,"Error in Areas",IF(P162&lt;&gt;'G-1 All Habitats'!$X$3,H162-S162-T162,IF(AND(P162='G-1 All Habitats'!$X$3,Y162="Yes"),"Unacceptable Loss",IF(AND(P162='G-1 All Habitats'!$X$3,Y162="No"),AC162,IF(AND(P162='G-1 All Habitats'!$X$3,Y162=""),AC162,IF(AND(P162='G-1 All Habitats'!$X$3,AC162="None",AC162),IF(AND(P162='G-1 All Habitats'!$X$3,AC162&gt;0),H162-S162-T162))))))))</f>
        <v/>
      </c>
      <c r="X162" s="354" t="str">
        <f>IFERROR(IF(H162="","",IF(H162-S162-T162=0&lt;0,"Error in Areas",IF(S162+T162&gt;H162,"Error in Areas",IF(AND(P162='G-1 All Habitats'!$X$3,Y162="Yes"),"Alternative Compensation",IF(W162=0,0,IF(P162='G-1 All Habitats'!$X$3,"Unacceptable Loss",Q162-U162-V162)))))),"Check Data")</f>
        <v/>
      </c>
      <c r="Y162" s="82"/>
      <c r="Z162" s="182"/>
      <c r="AA162" s="183"/>
      <c r="AC162" s="371" t="str">
        <f>IF(P162="","",IF(P162='G-1 All Habitats'!$X$3,H162-S162-T162,"None"))</f>
        <v/>
      </c>
      <c r="AD162" s="372" t="str">
        <f t="shared" si="16"/>
        <v/>
      </c>
      <c r="AF162" s="188" t="str">
        <f t="shared" si="12"/>
        <v/>
      </c>
      <c r="AG162" s="188" t="str">
        <f t="shared" si="13"/>
        <v/>
      </c>
      <c r="AH162" s="188" t="str">
        <f>IF(I162="","",IF(#REF!&gt;0,TRUE,FALSE))</f>
        <v/>
      </c>
      <c r="AI162" s="188">
        <v>152</v>
      </c>
      <c r="AJ162" s="188"/>
      <c r="AK162" s="188" t="str">
        <f t="array" ref="AK162">IFERROR(INDEX($AI$11:$AI$259, MATCH(0, IF(TRUE=$AF$11:$AF$259, COUNTIF($AK$10:$AK161, $AI$11:$AI$259), ""), 0)),"")</f>
        <v/>
      </c>
      <c r="AL162" s="188" t="str">
        <f t="array" ref="AL162">IFERROR(INDEX($AI$11:$AI$259, MATCH(0, IF(TRUE=$AG$11:$AG$259, COUNTIF($AL$10:$AL161, $AI$11:$AI$259), ""), 0)),"")</f>
        <v/>
      </c>
      <c r="AM162" s="188" t="str">
        <f t="array" ref="AM162">IFERROR(INDEX($AI$11:$AI$259, MATCH(0, IF(TRUE=$AH$11:$AH$259, COUNTIF($AM$10:$AM161, $AI$11:$AI$259), ""), 0)),"")</f>
        <v/>
      </c>
      <c r="AQ162" s="35">
        <f t="shared" si="17"/>
        <v>0</v>
      </c>
    </row>
    <row r="163" spans="1:43" x14ac:dyDescent="0.25">
      <c r="A163" s="35" t="str">
        <f>IFERROR(INDEX('G-1 All Habitats'!$AG$3:$AG$15,MATCH(E163,'G-1 All Habitats'!$AF$3:$AF$15,0)),"")</f>
        <v/>
      </c>
      <c r="B163" s="35" t="str">
        <f>IFERROR(INDEX('G-8 Condition Look up'!$I$4:$I$131,MATCH(G163,'G-8 Condition Look up'!$A$4:$A$131,0)),"")</f>
        <v/>
      </c>
      <c r="D163" s="168">
        <v>153</v>
      </c>
      <c r="E163" s="275"/>
      <c r="F163" s="275"/>
      <c r="G163" s="370" t="str">
        <f>IFERROR(INDEX('G-1 All Habitats'!$B$3:$B$130,MATCH(F163,'G-1 All Habitats'!$A$3:$A$130,0)),"")</f>
        <v/>
      </c>
      <c r="H163" s="213"/>
      <c r="I163" s="171" t="str">
        <f>IF(G163="","",VLOOKUP(G163,'G-1 All Habitats'!$B$2:$M$130,10,FALSE))</f>
        <v/>
      </c>
      <c r="J163" s="172" t="str">
        <f>IFERROR(VLOOKUP(I163,'G-1 All Habitats'!$V$3:$W$7,2,FALSE),"")</f>
        <v/>
      </c>
      <c r="K163" s="173"/>
      <c r="L163" s="172" t="str">
        <f>IFERROR(INDEX('G-8 Condition Look up'!$A$3:$H$131,MATCH(G163,'G-8 Condition Look up'!$A$3:$A$131,0),MATCH(K163,'G-8 Condition Look up'!$A$3:$H$3,0)),"")</f>
        <v/>
      </c>
      <c r="M163" s="186"/>
      <c r="N163" s="175" t="str">
        <f>IF(M163="","",IF(VLOOKUP(M163,'G-3 Multipliers'!$L$3:$N$6,2,FALSE)=0,"Spatial Data Missing",VLOOKUP(M163,'G-3 Multipliers'!$L$3:$N$6,2,FALSE)))</f>
        <v/>
      </c>
      <c r="O163" s="176" t="str">
        <f>IF(M163="","",IF(VLOOKUP(M163,'G-3 Multipliers'!$L$3:$N$6,3,FALSE)=0,"Spatial Data Missing",VLOOKUP(M163,'G-3 Multipliers'!$L$3:$N$6,3,FALSE)))</f>
        <v/>
      </c>
      <c r="P163" s="177" t="str">
        <f>IFERROR(VLOOKUP(G163,'G-1 All Habitats'!$B$2:$M$130,12,FALSE),"")</f>
        <v/>
      </c>
      <c r="Q163" s="81" t="str">
        <f>IFERROR(IF(P163="","",IF(AND(P163='G-1 All Habitats'!$X$3,T163&gt;0),U163+V163,IF(AND(P163='G-1 All Habitats'!$X$3,S163&gt;0),U163+V163,IF(AND(P163='G-1 All Habitats'!$X$3,AC163&gt;0),"Any Loss Unacceptable",IF(AND(P163='G-1 All Habitats'!$X$3,W163&gt;0),"Any Loss Unacceptable",H163*J163*L163*O163))))),"Check Data")</f>
        <v/>
      </c>
      <c r="R163" s="55"/>
      <c r="S163" s="79"/>
      <c r="T163" s="82"/>
      <c r="U163" s="83" t="str">
        <f t="shared" si="14"/>
        <v/>
      </c>
      <c r="V163" s="83" t="str">
        <f t="shared" si="15"/>
        <v/>
      </c>
      <c r="W163" s="83" t="str">
        <f>IF(E163="","",IF(H163&lt;S163+T163,"Error in Areas",IF(P163&lt;&gt;'G-1 All Habitats'!$X$3,H163-S163-T163,IF(AND(P163='G-1 All Habitats'!$X$3,Y163="Yes"),"Unacceptable Loss",IF(AND(P163='G-1 All Habitats'!$X$3,Y163="No"),AC163,IF(AND(P163='G-1 All Habitats'!$X$3,Y163=""),AC163,IF(AND(P163='G-1 All Habitats'!$X$3,AC163="None",AC163),IF(AND(P163='G-1 All Habitats'!$X$3,AC163&gt;0),H163-S163-T163))))))))</f>
        <v/>
      </c>
      <c r="X163" s="354" t="str">
        <f>IFERROR(IF(H163="","",IF(H163-S163-T163=0&lt;0,"Error in Areas",IF(S163+T163&gt;H163,"Error in Areas",IF(AND(P163='G-1 All Habitats'!$X$3,Y163="Yes"),"Alternative Compensation",IF(W163=0,0,IF(P163='G-1 All Habitats'!$X$3,"Unacceptable Loss",Q163-U163-V163)))))),"Check Data")</f>
        <v/>
      </c>
      <c r="Y163" s="82"/>
      <c r="Z163" s="182"/>
      <c r="AA163" s="183"/>
      <c r="AC163" s="371" t="str">
        <f>IF(P163="","",IF(P163='G-1 All Habitats'!$X$3,H163-S163-T163,"None"))</f>
        <v/>
      </c>
      <c r="AD163" s="372" t="str">
        <f t="shared" si="16"/>
        <v/>
      </c>
      <c r="AF163" s="188" t="str">
        <f t="shared" si="12"/>
        <v/>
      </c>
      <c r="AG163" s="188" t="str">
        <f t="shared" si="13"/>
        <v/>
      </c>
      <c r="AH163" s="188" t="str">
        <f>IF(I163="","",IF(#REF!&gt;0,TRUE,FALSE))</f>
        <v/>
      </c>
      <c r="AI163" s="188">
        <v>153</v>
      </c>
      <c r="AJ163" s="188"/>
      <c r="AK163" s="188" t="str">
        <f t="array" ref="AK163">IFERROR(INDEX($AI$11:$AI$259, MATCH(0, IF(TRUE=$AF$11:$AF$259, COUNTIF($AK$10:$AK162, $AI$11:$AI$259), ""), 0)),"")</f>
        <v/>
      </c>
      <c r="AL163" s="188" t="str">
        <f t="array" ref="AL163">IFERROR(INDEX($AI$11:$AI$259, MATCH(0, IF(TRUE=$AG$11:$AG$259, COUNTIF($AL$10:$AL162, $AI$11:$AI$259), ""), 0)),"")</f>
        <v/>
      </c>
      <c r="AM163" s="188" t="str">
        <f t="array" ref="AM163">IFERROR(INDEX($AI$11:$AI$259, MATCH(0, IF(TRUE=$AH$11:$AH$259, COUNTIF($AM$10:$AM162, $AI$11:$AI$259), ""), 0)),"")</f>
        <v/>
      </c>
      <c r="AQ163" s="35">
        <f t="shared" si="17"/>
        <v>0</v>
      </c>
    </row>
    <row r="164" spans="1:43" x14ac:dyDescent="0.25">
      <c r="A164" s="35" t="str">
        <f>IFERROR(INDEX('G-1 All Habitats'!$AG$3:$AG$15,MATCH(E164,'G-1 All Habitats'!$AF$3:$AF$15,0)),"")</f>
        <v/>
      </c>
      <c r="B164" s="35" t="str">
        <f>IFERROR(INDEX('G-8 Condition Look up'!$I$4:$I$131,MATCH(G164,'G-8 Condition Look up'!$A$4:$A$131,0)),"")</f>
        <v/>
      </c>
      <c r="D164" s="168">
        <v>154</v>
      </c>
      <c r="E164" s="275"/>
      <c r="F164" s="275"/>
      <c r="G164" s="370" t="str">
        <f>IFERROR(INDEX('G-1 All Habitats'!$B$3:$B$130,MATCH(F164,'G-1 All Habitats'!$A$3:$A$130,0)),"")</f>
        <v/>
      </c>
      <c r="H164" s="213"/>
      <c r="I164" s="171" t="str">
        <f>IF(G164="","",VLOOKUP(G164,'G-1 All Habitats'!$B$2:$M$130,10,FALSE))</f>
        <v/>
      </c>
      <c r="J164" s="172" t="str">
        <f>IFERROR(VLOOKUP(I164,'G-1 All Habitats'!$V$3:$W$7,2,FALSE),"")</f>
        <v/>
      </c>
      <c r="K164" s="173"/>
      <c r="L164" s="172" t="str">
        <f>IFERROR(INDEX('G-8 Condition Look up'!$A$3:$H$131,MATCH(G164,'G-8 Condition Look up'!$A$3:$A$131,0),MATCH(K164,'G-8 Condition Look up'!$A$3:$H$3,0)),"")</f>
        <v/>
      </c>
      <c r="M164" s="186"/>
      <c r="N164" s="175" t="str">
        <f>IF(M164="","",IF(VLOOKUP(M164,'G-3 Multipliers'!$L$3:$N$6,2,FALSE)=0,"Spatial Data Missing",VLOOKUP(M164,'G-3 Multipliers'!$L$3:$N$6,2,FALSE)))</f>
        <v/>
      </c>
      <c r="O164" s="176" t="str">
        <f>IF(M164="","",IF(VLOOKUP(M164,'G-3 Multipliers'!$L$3:$N$6,3,FALSE)=0,"Spatial Data Missing",VLOOKUP(M164,'G-3 Multipliers'!$L$3:$N$6,3,FALSE)))</f>
        <v/>
      </c>
      <c r="P164" s="177" t="str">
        <f>IFERROR(VLOOKUP(G164,'G-1 All Habitats'!$B$2:$M$130,12,FALSE),"")</f>
        <v/>
      </c>
      <c r="Q164" s="81" t="str">
        <f>IFERROR(IF(P164="","",IF(AND(P164='G-1 All Habitats'!$X$3,T164&gt;0),U164+V164,IF(AND(P164='G-1 All Habitats'!$X$3,S164&gt;0),U164+V164,IF(AND(P164='G-1 All Habitats'!$X$3,AC164&gt;0),"Any Loss Unacceptable",IF(AND(P164='G-1 All Habitats'!$X$3,W164&gt;0),"Any Loss Unacceptable",H164*J164*L164*O164))))),"Check Data")</f>
        <v/>
      </c>
      <c r="R164" s="55"/>
      <c r="S164" s="79"/>
      <c r="T164" s="82"/>
      <c r="U164" s="83" t="str">
        <f t="shared" si="14"/>
        <v/>
      </c>
      <c r="V164" s="83" t="str">
        <f t="shared" si="15"/>
        <v/>
      </c>
      <c r="W164" s="83" t="str">
        <f>IF(E164="","",IF(H164&lt;S164+T164,"Error in Areas",IF(P164&lt;&gt;'G-1 All Habitats'!$X$3,H164-S164-T164,IF(AND(P164='G-1 All Habitats'!$X$3,Y164="Yes"),"Unacceptable Loss",IF(AND(P164='G-1 All Habitats'!$X$3,Y164="No"),AC164,IF(AND(P164='G-1 All Habitats'!$X$3,Y164=""),AC164,IF(AND(P164='G-1 All Habitats'!$X$3,AC164="None",AC164),IF(AND(P164='G-1 All Habitats'!$X$3,AC164&gt;0),H164-S164-T164))))))))</f>
        <v/>
      </c>
      <c r="X164" s="354" t="str">
        <f>IFERROR(IF(H164="","",IF(H164-S164-T164=0&lt;0,"Error in Areas",IF(S164+T164&gt;H164,"Error in Areas",IF(AND(P164='G-1 All Habitats'!$X$3,Y164="Yes"),"Alternative Compensation",IF(W164=0,0,IF(P164='G-1 All Habitats'!$X$3,"Unacceptable Loss",Q164-U164-V164)))))),"Check Data")</f>
        <v/>
      </c>
      <c r="Y164" s="82"/>
      <c r="Z164" s="182"/>
      <c r="AA164" s="183"/>
      <c r="AC164" s="371" t="str">
        <f>IF(P164="","",IF(P164='G-1 All Habitats'!$X$3,H164-S164-T164,"None"))</f>
        <v/>
      </c>
      <c r="AD164" s="372" t="str">
        <f t="shared" si="16"/>
        <v/>
      </c>
      <c r="AF164" s="188" t="str">
        <f t="shared" si="12"/>
        <v/>
      </c>
      <c r="AG164" s="188" t="str">
        <f t="shared" si="13"/>
        <v/>
      </c>
      <c r="AH164" s="188" t="str">
        <f>IF(I164="","",IF(#REF!&gt;0,TRUE,FALSE))</f>
        <v/>
      </c>
      <c r="AI164" s="188">
        <v>154</v>
      </c>
      <c r="AJ164" s="188"/>
      <c r="AK164" s="188" t="str">
        <f t="array" ref="AK164">IFERROR(INDEX($AI$11:$AI$259, MATCH(0, IF(TRUE=$AF$11:$AF$259, COUNTIF($AK$10:$AK163, $AI$11:$AI$259), ""), 0)),"")</f>
        <v/>
      </c>
      <c r="AL164" s="188" t="str">
        <f t="array" ref="AL164">IFERROR(INDEX($AI$11:$AI$259, MATCH(0, IF(TRUE=$AG$11:$AG$259, COUNTIF($AL$10:$AL163, $AI$11:$AI$259), ""), 0)),"")</f>
        <v/>
      </c>
      <c r="AM164" s="188" t="str">
        <f t="array" ref="AM164">IFERROR(INDEX($AI$11:$AI$259, MATCH(0, IF(TRUE=$AH$11:$AH$259, COUNTIF($AM$10:$AM163, $AI$11:$AI$259), ""), 0)),"")</f>
        <v/>
      </c>
      <c r="AQ164" s="35">
        <f t="shared" si="17"/>
        <v>0</v>
      </c>
    </row>
    <row r="165" spans="1:43" x14ac:dyDescent="0.25">
      <c r="A165" s="35" t="str">
        <f>IFERROR(INDEX('G-1 All Habitats'!$AG$3:$AG$15,MATCH(E165,'G-1 All Habitats'!$AF$3:$AF$15,0)),"")</f>
        <v/>
      </c>
      <c r="B165" s="35" t="str">
        <f>IFERROR(INDEX('G-8 Condition Look up'!$I$4:$I$131,MATCH(G165,'G-8 Condition Look up'!$A$4:$A$131,0)),"")</f>
        <v/>
      </c>
      <c r="D165" s="168">
        <v>155</v>
      </c>
      <c r="E165" s="275"/>
      <c r="F165" s="275"/>
      <c r="G165" s="370" t="str">
        <f>IFERROR(INDEX('G-1 All Habitats'!$B$3:$B$130,MATCH(F165,'G-1 All Habitats'!$A$3:$A$130,0)),"")</f>
        <v/>
      </c>
      <c r="H165" s="213"/>
      <c r="I165" s="171" t="str">
        <f>IF(G165="","",VLOOKUP(G165,'G-1 All Habitats'!$B$2:$M$130,10,FALSE))</f>
        <v/>
      </c>
      <c r="J165" s="172" t="str">
        <f>IFERROR(VLOOKUP(I165,'G-1 All Habitats'!$V$3:$W$7,2,FALSE),"")</f>
        <v/>
      </c>
      <c r="K165" s="173"/>
      <c r="L165" s="172" t="str">
        <f>IFERROR(INDEX('G-8 Condition Look up'!$A$3:$H$131,MATCH(G165,'G-8 Condition Look up'!$A$3:$A$131,0),MATCH(K165,'G-8 Condition Look up'!$A$3:$H$3,0)),"")</f>
        <v/>
      </c>
      <c r="M165" s="186"/>
      <c r="N165" s="175" t="str">
        <f>IF(M165="","",IF(VLOOKUP(M165,'G-3 Multipliers'!$L$3:$N$6,2,FALSE)=0,"Spatial Data Missing",VLOOKUP(M165,'G-3 Multipliers'!$L$3:$N$6,2,FALSE)))</f>
        <v/>
      </c>
      <c r="O165" s="176" t="str">
        <f>IF(M165="","",IF(VLOOKUP(M165,'G-3 Multipliers'!$L$3:$N$6,3,FALSE)=0,"Spatial Data Missing",VLOOKUP(M165,'G-3 Multipliers'!$L$3:$N$6,3,FALSE)))</f>
        <v/>
      </c>
      <c r="P165" s="177" t="str">
        <f>IFERROR(VLOOKUP(G165,'G-1 All Habitats'!$B$2:$M$130,12,FALSE),"")</f>
        <v/>
      </c>
      <c r="Q165" s="81" t="str">
        <f>IFERROR(IF(P165="","",IF(AND(P165='G-1 All Habitats'!$X$3,T165&gt;0),U165+V165,IF(AND(P165='G-1 All Habitats'!$X$3,S165&gt;0),U165+V165,IF(AND(P165='G-1 All Habitats'!$X$3,AC165&gt;0),"Any Loss Unacceptable",IF(AND(P165='G-1 All Habitats'!$X$3,W165&gt;0),"Any Loss Unacceptable",H165*J165*L165*O165))))),"Check Data")</f>
        <v/>
      </c>
      <c r="R165" s="55"/>
      <c r="S165" s="79"/>
      <c r="T165" s="82"/>
      <c r="U165" s="83" t="str">
        <f t="shared" si="14"/>
        <v/>
      </c>
      <c r="V165" s="83" t="str">
        <f t="shared" si="15"/>
        <v/>
      </c>
      <c r="W165" s="83" t="str">
        <f>IF(E165="","",IF(H165&lt;S165+T165,"Error in Areas",IF(P165&lt;&gt;'G-1 All Habitats'!$X$3,H165-S165-T165,IF(AND(P165='G-1 All Habitats'!$X$3,Y165="Yes"),"Unacceptable Loss",IF(AND(P165='G-1 All Habitats'!$X$3,Y165="No"),AC165,IF(AND(P165='G-1 All Habitats'!$X$3,Y165=""),AC165,IF(AND(P165='G-1 All Habitats'!$X$3,AC165="None",AC165),IF(AND(P165='G-1 All Habitats'!$X$3,AC165&gt;0),H165-S165-T165))))))))</f>
        <v/>
      </c>
      <c r="X165" s="354" t="str">
        <f>IFERROR(IF(H165="","",IF(H165-S165-T165=0&lt;0,"Error in Areas",IF(S165+T165&gt;H165,"Error in Areas",IF(AND(P165='G-1 All Habitats'!$X$3,Y165="Yes"),"Alternative Compensation",IF(W165=0,0,IF(P165='G-1 All Habitats'!$X$3,"Unacceptable Loss",Q165-U165-V165)))))),"Check Data")</f>
        <v/>
      </c>
      <c r="Y165" s="82"/>
      <c r="Z165" s="182"/>
      <c r="AA165" s="183"/>
      <c r="AC165" s="371" t="str">
        <f>IF(P165="","",IF(P165='G-1 All Habitats'!$X$3,H165-S165-T165,"None"))</f>
        <v/>
      </c>
      <c r="AD165" s="372" t="str">
        <f t="shared" si="16"/>
        <v/>
      </c>
      <c r="AF165" s="188" t="str">
        <f t="shared" si="12"/>
        <v/>
      </c>
      <c r="AG165" s="188" t="str">
        <f t="shared" si="13"/>
        <v/>
      </c>
      <c r="AH165" s="188" t="str">
        <f>IF(I165="","",IF(#REF!&gt;0,TRUE,FALSE))</f>
        <v/>
      </c>
      <c r="AI165" s="188">
        <v>155</v>
      </c>
      <c r="AJ165" s="188"/>
      <c r="AK165" s="188" t="str">
        <f t="array" ref="AK165">IFERROR(INDEX($AI$11:$AI$259, MATCH(0, IF(TRUE=$AF$11:$AF$259, COUNTIF($AK$10:$AK164, $AI$11:$AI$259), ""), 0)),"")</f>
        <v/>
      </c>
      <c r="AL165" s="188" t="str">
        <f t="array" ref="AL165">IFERROR(INDEX($AI$11:$AI$259, MATCH(0, IF(TRUE=$AG$11:$AG$259, COUNTIF($AL$10:$AL164, $AI$11:$AI$259), ""), 0)),"")</f>
        <v/>
      </c>
      <c r="AM165" s="188" t="str">
        <f t="array" ref="AM165">IFERROR(INDEX($AI$11:$AI$259, MATCH(0, IF(TRUE=$AH$11:$AH$259, COUNTIF($AM$10:$AM164, $AI$11:$AI$259), ""), 0)),"")</f>
        <v/>
      </c>
      <c r="AQ165" s="35">
        <f t="shared" si="17"/>
        <v>0</v>
      </c>
    </row>
    <row r="166" spans="1:43" x14ac:dyDescent="0.25">
      <c r="A166" s="35" t="str">
        <f>IFERROR(INDEX('G-1 All Habitats'!$AG$3:$AG$15,MATCH(E166,'G-1 All Habitats'!$AF$3:$AF$15,0)),"")</f>
        <v/>
      </c>
      <c r="B166" s="35" t="str">
        <f>IFERROR(INDEX('G-8 Condition Look up'!$I$4:$I$131,MATCH(G166,'G-8 Condition Look up'!$A$4:$A$131,0)),"")</f>
        <v/>
      </c>
      <c r="D166" s="168">
        <v>156</v>
      </c>
      <c r="E166" s="275"/>
      <c r="F166" s="275"/>
      <c r="G166" s="370" t="str">
        <f>IFERROR(INDEX('G-1 All Habitats'!$B$3:$B$130,MATCH(F166,'G-1 All Habitats'!$A$3:$A$130,0)),"")</f>
        <v/>
      </c>
      <c r="H166" s="213"/>
      <c r="I166" s="171" t="str">
        <f>IF(G166="","",VLOOKUP(G166,'G-1 All Habitats'!$B$2:$M$130,10,FALSE))</f>
        <v/>
      </c>
      <c r="J166" s="172" t="str">
        <f>IFERROR(VLOOKUP(I166,'G-1 All Habitats'!$V$3:$W$7,2,FALSE),"")</f>
        <v/>
      </c>
      <c r="K166" s="173"/>
      <c r="L166" s="172" t="str">
        <f>IFERROR(INDEX('G-8 Condition Look up'!$A$3:$H$131,MATCH(G166,'G-8 Condition Look up'!$A$3:$A$131,0),MATCH(K166,'G-8 Condition Look up'!$A$3:$H$3,0)),"")</f>
        <v/>
      </c>
      <c r="M166" s="186"/>
      <c r="N166" s="175" t="str">
        <f>IF(M166="","",IF(VLOOKUP(M166,'G-3 Multipliers'!$L$3:$N$6,2,FALSE)=0,"Spatial Data Missing",VLOOKUP(M166,'G-3 Multipliers'!$L$3:$N$6,2,FALSE)))</f>
        <v/>
      </c>
      <c r="O166" s="176" t="str">
        <f>IF(M166="","",IF(VLOOKUP(M166,'G-3 Multipliers'!$L$3:$N$6,3,FALSE)=0,"Spatial Data Missing",VLOOKUP(M166,'G-3 Multipliers'!$L$3:$N$6,3,FALSE)))</f>
        <v/>
      </c>
      <c r="P166" s="177" t="str">
        <f>IFERROR(VLOOKUP(G166,'G-1 All Habitats'!$B$2:$M$130,12,FALSE),"")</f>
        <v/>
      </c>
      <c r="Q166" s="81" t="str">
        <f>IFERROR(IF(P166="","",IF(AND(P166='G-1 All Habitats'!$X$3,T166&gt;0),U166+V166,IF(AND(P166='G-1 All Habitats'!$X$3,S166&gt;0),U166+V166,IF(AND(P166='G-1 All Habitats'!$X$3,AC166&gt;0),"Any Loss Unacceptable",IF(AND(P166='G-1 All Habitats'!$X$3,W166&gt;0),"Any Loss Unacceptable",H166*J166*L166*O166))))),"Check Data")</f>
        <v/>
      </c>
      <c r="R166" s="55"/>
      <c r="S166" s="79"/>
      <c r="T166" s="82"/>
      <c r="U166" s="83" t="str">
        <f t="shared" si="14"/>
        <v/>
      </c>
      <c r="V166" s="83" t="str">
        <f t="shared" si="15"/>
        <v/>
      </c>
      <c r="W166" s="83" t="str">
        <f>IF(E166="","",IF(H166&lt;S166+T166,"Error in Areas",IF(P166&lt;&gt;'G-1 All Habitats'!$X$3,H166-S166-T166,IF(AND(P166='G-1 All Habitats'!$X$3,Y166="Yes"),"Unacceptable Loss",IF(AND(P166='G-1 All Habitats'!$X$3,Y166="No"),AC166,IF(AND(P166='G-1 All Habitats'!$X$3,Y166=""),AC166,IF(AND(P166='G-1 All Habitats'!$X$3,AC166="None",AC166),IF(AND(P166='G-1 All Habitats'!$X$3,AC166&gt;0),H166-S166-T166))))))))</f>
        <v/>
      </c>
      <c r="X166" s="354" t="str">
        <f>IFERROR(IF(H166="","",IF(H166-S166-T166=0&lt;0,"Error in Areas",IF(S166+T166&gt;H166,"Error in Areas",IF(AND(P166='G-1 All Habitats'!$X$3,Y166="Yes"),"Alternative Compensation",IF(W166=0,0,IF(P166='G-1 All Habitats'!$X$3,"Unacceptable Loss",Q166-U166-V166)))))),"Check Data")</f>
        <v/>
      </c>
      <c r="Y166" s="82"/>
      <c r="Z166" s="182"/>
      <c r="AA166" s="183"/>
      <c r="AC166" s="371" t="str">
        <f>IF(P166="","",IF(P166='G-1 All Habitats'!$X$3,H166-S166-T166,"None"))</f>
        <v/>
      </c>
      <c r="AD166" s="372" t="str">
        <f t="shared" si="16"/>
        <v/>
      </c>
      <c r="AF166" s="188" t="str">
        <f t="shared" si="12"/>
        <v/>
      </c>
      <c r="AG166" s="188" t="str">
        <f t="shared" si="13"/>
        <v/>
      </c>
      <c r="AH166" s="188" t="str">
        <f>IF(I166="","",IF(#REF!&gt;0,TRUE,FALSE))</f>
        <v/>
      </c>
      <c r="AI166" s="188">
        <v>156</v>
      </c>
      <c r="AJ166" s="188"/>
      <c r="AK166" s="188" t="str">
        <f t="array" ref="AK166">IFERROR(INDEX($AI$11:$AI$259, MATCH(0, IF(TRUE=$AF$11:$AF$259, COUNTIF($AK$10:$AK165, $AI$11:$AI$259), ""), 0)),"")</f>
        <v/>
      </c>
      <c r="AL166" s="188" t="str">
        <f t="array" ref="AL166">IFERROR(INDEX($AI$11:$AI$259, MATCH(0, IF(TRUE=$AG$11:$AG$259, COUNTIF($AL$10:$AL165, $AI$11:$AI$259), ""), 0)),"")</f>
        <v/>
      </c>
      <c r="AM166" s="188" t="str">
        <f t="array" ref="AM166">IFERROR(INDEX($AI$11:$AI$259, MATCH(0, IF(TRUE=$AH$11:$AH$259, COUNTIF($AM$10:$AM165, $AI$11:$AI$259), ""), 0)),"")</f>
        <v/>
      </c>
      <c r="AQ166" s="35">
        <f t="shared" si="17"/>
        <v>0</v>
      </c>
    </row>
    <row r="167" spans="1:43" x14ac:dyDescent="0.25">
      <c r="A167" s="35" t="str">
        <f>IFERROR(INDEX('G-1 All Habitats'!$AG$3:$AG$15,MATCH(E167,'G-1 All Habitats'!$AF$3:$AF$15,0)),"")</f>
        <v/>
      </c>
      <c r="B167" s="35" t="str">
        <f>IFERROR(INDEX('G-8 Condition Look up'!$I$4:$I$131,MATCH(G167,'G-8 Condition Look up'!$A$4:$A$131,0)),"")</f>
        <v/>
      </c>
      <c r="D167" s="168">
        <v>157</v>
      </c>
      <c r="E167" s="275"/>
      <c r="F167" s="275"/>
      <c r="G167" s="370" t="str">
        <f>IFERROR(INDEX('G-1 All Habitats'!$B$3:$B$130,MATCH(F167,'G-1 All Habitats'!$A$3:$A$130,0)),"")</f>
        <v/>
      </c>
      <c r="H167" s="213"/>
      <c r="I167" s="171" t="str">
        <f>IF(G167="","",VLOOKUP(G167,'G-1 All Habitats'!$B$2:$M$130,10,FALSE))</f>
        <v/>
      </c>
      <c r="J167" s="172" t="str">
        <f>IFERROR(VLOOKUP(I167,'G-1 All Habitats'!$V$3:$W$7,2,FALSE),"")</f>
        <v/>
      </c>
      <c r="K167" s="173"/>
      <c r="L167" s="172" t="str">
        <f>IFERROR(INDEX('G-8 Condition Look up'!$A$3:$H$131,MATCH(G167,'G-8 Condition Look up'!$A$3:$A$131,0),MATCH(K167,'G-8 Condition Look up'!$A$3:$H$3,0)),"")</f>
        <v/>
      </c>
      <c r="M167" s="186"/>
      <c r="N167" s="175" t="str">
        <f>IF(M167="","",IF(VLOOKUP(M167,'G-3 Multipliers'!$L$3:$N$6,2,FALSE)=0,"Spatial Data Missing",VLOOKUP(M167,'G-3 Multipliers'!$L$3:$N$6,2,FALSE)))</f>
        <v/>
      </c>
      <c r="O167" s="176" t="str">
        <f>IF(M167="","",IF(VLOOKUP(M167,'G-3 Multipliers'!$L$3:$N$6,3,FALSE)=0,"Spatial Data Missing",VLOOKUP(M167,'G-3 Multipliers'!$L$3:$N$6,3,FALSE)))</f>
        <v/>
      </c>
      <c r="P167" s="177" t="str">
        <f>IFERROR(VLOOKUP(G167,'G-1 All Habitats'!$B$2:$M$130,12,FALSE),"")</f>
        <v/>
      </c>
      <c r="Q167" s="81" t="str">
        <f>IFERROR(IF(P167="","",IF(AND(P167='G-1 All Habitats'!$X$3,T167&gt;0),U167+V167,IF(AND(P167='G-1 All Habitats'!$X$3,S167&gt;0),U167+V167,IF(AND(P167='G-1 All Habitats'!$X$3,AC167&gt;0),"Any Loss Unacceptable",IF(AND(P167='G-1 All Habitats'!$X$3,W167&gt;0),"Any Loss Unacceptable",H167*J167*L167*O167))))),"Check Data")</f>
        <v/>
      </c>
      <c r="R167" s="55"/>
      <c r="S167" s="79"/>
      <c r="T167" s="82"/>
      <c r="U167" s="83" t="str">
        <f t="shared" si="14"/>
        <v/>
      </c>
      <c r="V167" s="83" t="str">
        <f t="shared" si="15"/>
        <v/>
      </c>
      <c r="W167" s="83" t="str">
        <f>IF(E167="","",IF(H167&lt;S167+T167,"Error in Areas",IF(P167&lt;&gt;'G-1 All Habitats'!$X$3,H167-S167-T167,IF(AND(P167='G-1 All Habitats'!$X$3,Y167="Yes"),"Unacceptable Loss",IF(AND(P167='G-1 All Habitats'!$X$3,Y167="No"),AC167,IF(AND(P167='G-1 All Habitats'!$X$3,Y167=""),AC167,IF(AND(P167='G-1 All Habitats'!$X$3,AC167="None",AC167),IF(AND(P167='G-1 All Habitats'!$X$3,AC167&gt;0),H167-S167-T167))))))))</f>
        <v/>
      </c>
      <c r="X167" s="354" t="str">
        <f>IFERROR(IF(H167="","",IF(H167-S167-T167=0&lt;0,"Error in Areas",IF(S167+T167&gt;H167,"Error in Areas",IF(AND(P167='G-1 All Habitats'!$X$3,Y167="Yes"),"Alternative Compensation",IF(W167=0,0,IF(P167='G-1 All Habitats'!$X$3,"Unacceptable Loss",Q167-U167-V167)))))),"Check Data")</f>
        <v/>
      </c>
      <c r="Y167" s="82"/>
      <c r="Z167" s="182"/>
      <c r="AA167" s="183"/>
      <c r="AC167" s="371" t="str">
        <f>IF(P167="","",IF(P167='G-1 All Habitats'!$X$3,H167-S167-T167,"None"))</f>
        <v/>
      </c>
      <c r="AD167" s="372" t="str">
        <f t="shared" si="16"/>
        <v/>
      </c>
      <c r="AF167" s="188" t="str">
        <f t="shared" si="12"/>
        <v/>
      </c>
      <c r="AG167" s="188" t="str">
        <f t="shared" si="13"/>
        <v/>
      </c>
      <c r="AH167" s="188" t="str">
        <f>IF(I167="","",IF(#REF!&gt;0,TRUE,FALSE))</f>
        <v/>
      </c>
      <c r="AI167" s="188">
        <v>157</v>
      </c>
      <c r="AJ167" s="188"/>
      <c r="AK167" s="188" t="str">
        <f t="array" ref="AK167">IFERROR(INDEX($AI$11:$AI$259, MATCH(0, IF(TRUE=$AF$11:$AF$259, COUNTIF($AK$10:$AK166, $AI$11:$AI$259), ""), 0)),"")</f>
        <v/>
      </c>
      <c r="AL167" s="188" t="str">
        <f t="array" ref="AL167">IFERROR(INDEX($AI$11:$AI$259, MATCH(0, IF(TRUE=$AG$11:$AG$259, COUNTIF($AL$10:$AL166, $AI$11:$AI$259), ""), 0)),"")</f>
        <v/>
      </c>
      <c r="AM167" s="188" t="str">
        <f t="array" ref="AM167">IFERROR(INDEX($AI$11:$AI$259, MATCH(0, IF(TRUE=$AH$11:$AH$259, COUNTIF($AM$10:$AM166, $AI$11:$AI$259), ""), 0)),"")</f>
        <v/>
      </c>
      <c r="AQ167" s="35">
        <f t="shared" si="17"/>
        <v>0</v>
      </c>
    </row>
    <row r="168" spans="1:43" x14ac:dyDescent="0.25">
      <c r="A168" s="35" t="str">
        <f>IFERROR(INDEX('G-1 All Habitats'!$AG$3:$AG$15,MATCH(E168,'G-1 All Habitats'!$AF$3:$AF$15,0)),"")</f>
        <v/>
      </c>
      <c r="B168" s="35" t="str">
        <f>IFERROR(INDEX('G-8 Condition Look up'!$I$4:$I$131,MATCH(G168,'G-8 Condition Look up'!$A$4:$A$131,0)),"")</f>
        <v/>
      </c>
      <c r="D168" s="168">
        <v>158</v>
      </c>
      <c r="E168" s="275"/>
      <c r="F168" s="275"/>
      <c r="G168" s="370" t="str">
        <f>IFERROR(INDEX('G-1 All Habitats'!$B$3:$B$130,MATCH(F168,'G-1 All Habitats'!$A$3:$A$130,0)),"")</f>
        <v/>
      </c>
      <c r="H168" s="213"/>
      <c r="I168" s="171" t="str">
        <f>IF(G168="","",VLOOKUP(G168,'G-1 All Habitats'!$B$2:$M$130,10,FALSE))</f>
        <v/>
      </c>
      <c r="J168" s="172" t="str">
        <f>IFERROR(VLOOKUP(I168,'G-1 All Habitats'!$V$3:$W$7,2,FALSE),"")</f>
        <v/>
      </c>
      <c r="K168" s="173"/>
      <c r="L168" s="172" t="str">
        <f>IFERROR(INDEX('G-8 Condition Look up'!$A$3:$H$131,MATCH(G168,'G-8 Condition Look up'!$A$3:$A$131,0),MATCH(K168,'G-8 Condition Look up'!$A$3:$H$3,0)),"")</f>
        <v/>
      </c>
      <c r="M168" s="186"/>
      <c r="N168" s="175" t="str">
        <f>IF(M168="","",IF(VLOOKUP(M168,'G-3 Multipliers'!$L$3:$N$6,2,FALSE)=0,"Spatial Data Missing",VLOOKUP(M168,'G-3 Multipliers'!$L$3:$N$6,2,FALSE)))</f>
        <v/>
      </c>
      <c r="O168" s="176" t="str">
        <f>IF(M168="","",IF(VLOOKUP(M168,'G-3 Multipliers'!$L$3:$N$6,3,FALSE)=0,"Spatial Data Missing",VLOOKUP(M168,'G-3 Multipliers'!$L$3:$N$6,3,FALSE)))</f>
        <v/>
      </c>
      <c r="P168" s="177" t="str">
        <f>IFERROR(VLOOKUP(G168,'G-1 All Habitats'!$B$2:$M$130,12,FALSE),"")</f>
        <v/>
      </c>
      <c r="Q168" s="81" t="str">
        <f>IFERROR(IF(P168="","",IF(AND(P168='G-1 All Habitats'!$X$3,T168&gt;0),U168+V168,IF(AND(P168='G-1 All Habitats'!$X$3,S168&gt;0),U168+V168,IF(AND(P168='G-1 All Habitats'!$X$3,AC168&gt;0),"Any Loss Unacceptable",IF(AND(P168='G-1 All Habitats'!$X$3,W168&gt;0),"Any Loss Unacceptable",H168*J168*L168*O168))))),"Check Data")</f>
        <v/>
      </c>
      <c r="R168" s="55"/>
      <c r="S168" s="79"/>
      <c r="T168" s="82"/>
      <c r="U168" s="83" t="str">
        <f t="shared" si="14"/>
        <v/>
      </c>
      <c r="V168" s="83" t="str">
        <f t="shared" si="15"/>
        <v/>
      </c>
      <c r="W168" s="83" t="str">
        <f>IF(E168="","",IF(H168&lt;S168+T168,"Error in Areas",IF(P168&lt;&gt;'G-1 All Habitats'!$X$3,H168-S168-T168,IF(AND(P168='G-1 All Habitats'!$X$3,Y168="Yes"),"Unacceptable Loss",IF(AND(P168='G-1 All Habitats'!$X$3,Y168="No"),AC168,IF(AND(P168='G-1 All Habitats'!$X$3,Y168=""),AC168,IF(AND(P168='G-1 All Habitats'!$X$3,AC168="None",AC168),IF(AND(P168='G-1 All Habitats'!$X$3,AC168&gt;0),H168-S168-T168))))))))</f>
        <v/>
      </c>
      <c r="X168" s="354" t="str">
        <f>IFERROR(IF(H168="","",IF(H168-S168-T168=0&lt;0,"Error in Areas",IF(S168+T168&gt;H168,"Error in Areas",IF(AND(P168='G-1 All Habitats'!$X$3,Y168="Yes"),"Alternative Compensation",IF(W168=0,0,IF(P168='G-1 All Habitats'!$X$3,"Unacceptable Loss",Q168-U168-V168)))))),"Check Data")</f>
        <v/>
      </c>
      <c r="Y168" s="82"/>
      <c r="Z168" s="182"/>
      <c r="AA168" s="183"/>
      <c r="AC168" s="371" t="str">
        <f>IF(P168="","",IF(P168='G-1 All Habitats'!$X$3,H168-S168-T168,"None"))</f>
        <v/>
      </c>
      <c r="AD168" s="372" t="str">
        <f t="shared" si="16"/>
        <v/>
      </c>
      <c r="AF168" s="188" t="str">
        <f t="shared" si="12"/>
        <v/>
      </c>
      <c r="AG168" s="188" t="str">
        <f t="shared" si="13"/>
        <v/>
      </c>
      <c r="AH168" s="188" t="str">
        <f>IF(I168="","",IF(#REF!&gt;0,TRUE,FALSE))</f>
        <v/>
      </c>
      <c r="AI168" s="188">
        <v>158</v>
      </c>
      <c r="AJ168" s="188"/>
      <c r="AK168" s="188" t="str">
        <f t="array" ref="AK168">IFERROR(INDEX($AI$11:$AI$259, MATCH(0, IF(TRUE=$AF$11:$AF$259, COUNTIF($AK$10:$AK167, $AI$11:$AI$259), ""), 0)),"")</f>
        <v/>
      </c>
      <c r="AL168" s="188" t="str">
        <f t="array" ref="AL168">IFERROR(INDEX($AI$11:$AI$259, MATCH(0, IF(TRUE=$AG$11:$AG$259, COUNTIF($AL$10:$AL167, $AI$11:$AI$259), ""), 0)),"")</f>
        <v/>
      </c>
      <c r="AM168" s="188" t="str">
        <f t="array" ref="AM168">IFERROR(INDEX($AI$11:$AI$259, MATCH(0, IF(TRUE=$AH$11:$AH$259, COUNTIF($AM$10:$AM167, $AI$11:$AI$259), ""), 0)),"")</f>
        <v/>
      </c>
      <c r="AQ168" s="35">
        <f t="shared" si="17"/>
        <v>0</v>
      </c>
    </row>
    <row r="169" spans="1:43" x14ac:dyDescent="0.25">
      <c r="A169" s="35" t="str">
        <f>IFERROR(INDEX('G-1 All Habitats'!$AG$3:$AG$15,MATCH(E169,'G-1 All Habitats'!$AF$3:$AF$15,0)),"")</f>
        <v/>
      </c>
      <c r="B169" s="35" t="str">
        <f>IFERROR(INDEX('G-8 Condition Look up'!$I$4:$I$131,MATCH(G169,'G-8 Condition Look up'!$A$4:$A$131,0)),"")</f>
        <v/>
      </c>
      <c r="D169" s="168">
        <v>159</v>
      </c>
      <c r="E169" s="275"/>
      <c r="F169" s="275"/>
      <c r="G169" s="370" t="str">
        <f>IFERROR(INDEX('G-1 All Habitats'!$B$3:$B$130,MATCH(F169,'G-1 All Habitats'!$A$3:$A$130,0)),"")</f>
        <v/>
      </c>
      <c r="H169" s="213"/>
      <c r="I169" s="171" t="str">
        <f>IF(G169="","",VLOOKUP(G169,'G-1 All Habitats'!$B$2:$M$130,10,FALSE))</f>
        <v/>
      </c>
      <c r="J169" s="172" t="str">
        <f>IFERROR(VLOOKUP(I169,'G-1 All Habitats'!$V$3:$W$7,2,FALSE),"")</f>
        <v/>
      </c>
      <c r="K169" s="173"/>
      <c r="L169" s="172" t="str">
        <f>IFERROR(INDEX('G-8 Condition Look up'!$A$3:$H$131,MATCH(G169,'G-8 Condition Look up'!$A$3:$A$131,0),MATCH(K169,'G-8 Condition Look up'!$A$3:$H$3,0)),"")</f>
        <v/>
      </c>
      <c r="M169" s="186"/>
      <c r="N169" s="175" t="str">
        <f>IF(M169="","",IF(VLOOKUP(M169,'G-3 Multipliers'!$L$3:$N$6,2,FALSE)=0,"Spatial Data Missing",VLOOKUP(M169,'G-3 Multipliers'!$L$3:$N$6,2,FALSE)))</f>
        <v/>
      </c>
      <c r="O169" s="176" t="str">
        <f>IF(M169="","",IF(VLOOKUP(M169,'G-3 Multipliers'!$L$3:$N$6,3,FALSE)=0,"Spatial Data Missing",VLOOKUP(M169,'G-3 Multipliers'!$L$3:$N$6,3,FALSE)))</f>
        <v/>
      </c>
      <c r="P169" s="177" t="str">
        <f>IFERROR(VLOOKUP(G169,'G-1 All Habitats'!$B$2:$M$130,12,FALSE),"")</f>
        <v/>
      </c>
      <c r="Q169" s="81" t="str">
        <f>IFERROR(IF(P169="","",IF(AND(P169='G-1 All Habitats'!$X$3,T169&gt;0),U169+V169,IF(AND(P169='G-1 All Habitats'!$X$3,S169&gt;0),U169+V169,IF(AND(P169='G-1 All Habitats'!$X$3,AC169&gt;0),"Any Loss Unacceptable",IF(AND(P169='G-1 All Habitats'!$X$3,W169&gt;0),"Any Loss Unacceptable",H169*J169*L169*O169))))),"Check Data")</f>
        <v/>
      </c>
      <c r="R169" s="55"/>
      <c r="S169" s="79"/>
      <c r="T169" s="82"/>
      <c r="U169" s="83" t="str">
        <f t="shared" si="14"/>
        <v/>
      </c>
      <c r="V169" s="83" t="str">
        <f t="shared" si="15"/>
        <v/>
      </c>
      <c r="W169" s="83" t="str">
        <f>IF(E169="","",IF(H169&lt;S169+T169,"Error in Areas",IF(P169&lt;&gt;'G-1 All Habitats'!$X$3,H169-S169-T169,IF(AND(P169='G-1 All Habitats'!$X$3,Y169="Yes"),"Unacceptable Loss",IF(AND(P169='G-1 All Habitats'!$X$3,Y169="No"),AC169,IF(AND(P169='G-1 All Habitats'!$X$3,Y169=""),AC169,IF(AND(P169='G-1 All Habitats'!$X$3,AC169="None",AC169),IF(AND(P169='G-1 All Habitats'!$X$3,AC169&gt;0),H169-S169-T169))))))))</f>
        <v/>
      </c>
      <c r="X169" s="354" t="str">
        <f>IFERROR(IF(H169="","",IF(H169-S169-T169=0&lt;0,"Error in Areas",IF(S169+T169&gt;H169,"Error in Areas",IF(AND(P169='G-1 All Habitats'!$X$3,Y169="Yes"),"Alternative Compensation",IF(W169=0,0,IF(P169='G-1 All Habitats'!$X$3,"Unacceptable Loss",Q169-U169-V169)))))),"Check Data")</f>
        <v/>
      </c>
      <c r="Y169" s="82"/>
      <c r="Z169" s="182"/>
      <c r="AA169" s="183"/>
      <c r="AC169" s="371" t="str">
        <f>IF(P169="","",IF(P169='G-1 All Habitats'!$X$3,H169-S169-T169,"None"))</f>
        <v/>
      </c>
      <c r="AD169" s="372" t="str">
        <f t="shared" si="16"/>
        <v/>
      </c>
      <c r="AF169" s="188" t="str">
        <f t="shared" si="12"/>
        <v/>
      </c>
      <c r="AG169" s="188" t="str">
        <f t="shared" si="13"/>
        <v/>
      </c>
      <c r="AH169" s="188" t="str">
        <f>IF(I169="","",IF(#REF!&gt;0,TRUE,FALSE))</f>
        <v/>
      </c>
      <c r="AI169" s="188">
        <v>159</v>
      </c>
      <c r="AJ169" s="188"/>
      <c r="AK169" s="188" t="str">
        <f t="array" ref="AK169">IFERROR(INDEX($AI$11:$AI$259, MATCH(0, IF(TRUE=$AF$11:$AF$259, COUNTIF($AK$10:$AK168, $AI$11:$AI$259), ""), 0)),"")</f>
        <v/>
      </c>
      <c r="AL169" s="188" t="str">
        <f t="array" ref="AL169">IFERROR(INDEX($AI$11:$AI$259, MATCH(0, IF(TRUE=$AG$11:$AG$259, COUNTIF($AL$10:$AL168, $AI$11:$AI$259), ""), 0)),"")</f>
        <v/>
      </c>
      <c r="AM169" s="188" t="str">
        <f t="array" ref="AM169">IFERROR(INDEX($AI$11:$AI$259, MATCH(0, IF(TRUE=$AH$11:$AH$259, COUNTIF($AM$10:$AM168, $AI$11:$AI$259), ""), 0)),"")</f>
        <v/>
      </c>
      <c r="AQ169" s="35">
        <f t="shared" si="17"/>
        <v>0</v>
      </c>
    </row>
    <row r="170" spans="1:43" x14ac:dyDescent="0.25">
      <c r="A170" s="35" t="str">
        <f>IFERROR(INDEX('G-1 All Habitats'!$AG$3:$AG$15,MATCH(E170,'G-1 All Habitats'!$AF$3:$AF$15,0)),"")</f>
        <v/>
      </c>
      <c r="B170" s="35" t="str">
        <f>IFERROR(INDEX('G-8 Condition Look up'!$I$4:$I$131,MATCH(G170,'G-8 Condition Look up'!$A$4:$A$131,0)),"")</f>
        <v/>
      </c>
      <c r="D170" s="168">
        <v>160</v>
      </c>
      <c r="E170" s="275"/>
      <c r="F170" s="275"/>
      <c r="G170" s="370" t="str">
        <f>IFERROR(INDEX('G-1 All Habitats'!$B$3:$B$130,MATCH(F170,'G-1 All Habitats'!$A$3:$A$130,0)),"")</f>
        <v/>
      </c>
      <c r="H170" s="213"/>
      <c r="I170" s="171" t="str">
        <f>IF(G170="","",VLOOKUP(G170,'G-1 All Habitats'!$B$2:$M$130,10,FALSE))</f>
        <v/>
      </c>
      <c r="J170" s="172" t="str">
        <f>IFERROR(VLOOKUP(I170,'G-1 All Habitats'!$V$3:$W$7,2,FALSE),"")</f>
        <v/>
      </c>
      <c r="K170" s="173"/>
      <c r="L170" s="172" t="str">
        <f>IFERROR(INDEX('G-8 Condition Look up'!$A$3:$H$131,MATCH(G170,'G-8 Condition Look up'!$A$3:$A$131,0),MATCH(K170,'G-8 Condition Look up'!$A$3:$H$3,0)),"")</f>
        <v/>
      </c>
      <c r="M170" s="186"/>
      <c r="N170" s="175" t="str">
        <f>IF(M170="","",IF(VLOOKUP(M170,'G-3 Multipliers'!$L$3:$N$6,2,FALSE)=0,"Spatial Data Missing",VLOOKUP(M170,'G-3 Multipliers'!$L$3:$N$6,2,FALSE)))</f>
        <v/>
      </c>
      <c r="O170" s="176" t="str">
        <f>IF(M170="","",IF(VLOOKUP(M170,'G-3 Multipliers'!$L$3:$N$6,3,FALSE)=0,"Spatial Data Missing",VLOOKUP(M170,'G-3 Multipliers'!$L$3:$N$6,3,FALSE)))</f>
        <v/>
      </c>
      <c r="P170" s="177" t="str">
        <f>IFERROR(VLOOKUP(G170,'G-1 All Habitats'!$B$2:$M$130,12,FALSE),"")</f>
        <v/>
      </c>
      <c r="Q170" s="81" t="str">
        <f>IFERROR(IF(P170="","",IF(AND(P170='G-1 All Habitats'!$X$3,T170&gt;0),U170+V170,IF(AND(P170='G-1 All Habitats'!$X$3,S170&gt;0),U170+V170,IF(AND(P170='G-1 All Habitats'!$X$3,AC170&gt;0),"Any Loss Unacceptable",IF(AND(P170='G-1 All Habitats'!$X$3,W170&gt;0),"Any Loss Unacceptable",H170*J170*L170*O170))))),"Check Data")</f>
        <v/>
      </c>
      <c r="R170" s="55"/>
      <c r="S170" s="79"/>
      <c r="T170" s="82"/>
      <c r="U170" s="83" t="str">
        <f t="shared" si="14"/>
        <v/>
      </c>
      <c r="V170" s="83" t="str">
        <f t="shared" si="15"/>
        <v/>
      </c>
      <c r="W170" s="83" t="str">
        <f>IF(E170="","",IF(H170&lt;S170+T170,"Error in Areas",IF(P170&lt;&gt;'G-1 All Habitats'!$X$3,H170-S170-T170,IF(AND(P170='G-1 All Habitats'!$X$3,Y170="Yes"),"Unacceptable Loss",IF(AND(P170='G-1 All Habitats'!$X$3,Y170="No"),AC170,IF(AND(P170='G-1 All Habitats'!$X$3,Y170=""),AC170,IF(AND(P170='G-1 All Habitats'!$X$3,AC170="None",AC170),IF(AND(P170='G-1 All Habitats'!$X$3,AC170&gt;0),H170-S170-T170))))))))</f>
        <v/>
      </c>
      <c r="X170" s="354" t="str">
        <f>IFERROR(IF(H170="","",IF(H170-S170-T170=0&lt;0,"Error in Areas",IF(S170+T170&gt;H170,"Error in Areas",IF(AND(P170='G-1 All Habitats'!$X$3,Y170="Yes"),"Alternative Compensation",IF(W170=0,0,IF(P170='G-1 All Habitats'!$X$3,"Unacceptable Loss",Q170-U170-V170)))))),"Check Data")</f>
        <v/>
      </c>
      <c r="Y170" s="82"/>
      <c r="Z170" s="182"/>
      <c r="AA170" s="183"/>
      <c r="AC170" s="371" t="str">
        <f>IF(P170="","",IF(P170='G-1 All Habitats'!$X$3,H170-S170-T170,"None"))</f>
        <v/>
      </c>
      <c r="AD170" s="372" t="str">
        <f t="shared" si="16"/>
        <v/>
      </c>
      <c r="AF170" s="188" t="str">
        <f t="shared" si="12"/>
        <v/>
      </c>
      <c r="AG170" s="188" t="str">
        <f t="shared" si="13"/>
        <v/>
      </c>
      <c r="AH170" s="188" t="str">
        <f>IF(I170="","",IF(#REF!&gt;0,TRUE,FALSE))</f>
        <v/>
      </c>
      <c r="AI170" s="188">
        <v>160</v>
      </c>
      <c r="AJ170" s="188"/>
      <c r="AK170" s="188" t="str">
        <f t="array" ref="AK170">IFERROR(INDEX($AI$11:$AI$259, MATCH(0, IF(TRUE=$AF$11:$AF$259, COUNTIF($AK$10:$AK169, $AI$11:$AI$259), ""), 0)),"")</f>
        <v/>
      </c>
      <c r="AL170" s="188" t="str">
        <f t="array" ref="AL170">IFERROR(INDEX($AI$11:$AI$259, MATCH(0, IF(TRUE=$AG$11:$AG$259, COUNTIF($AL$10:$AL169, $AI$11:$AI$259), ""), 0)),"")</f>
        <v/>
      </c>
      <c r="AM170" s="188" t="str">
        <f t="array" ref="AM170">IFERROR(INDEX($AI$11:$AI$259, MATCH(0, IF(TRUE=$AH$11:$AH$259, COUNTIF($AM$10:$AM169, $AI$11:$AI$259), ""), 0)),"")</f>
        <v/>
      </c>
      <c r="AQ170" s="35">
        <f t="shared" si="17"/>
        <v>0</v>
      </c>
    </row>
    <row r="171" spans="1:43" x14ac:dyDescent="0.25">
      <c r="A171" s="35" t="str">
        <f>IFERROR(INDEX('G-1 All Habitats'!$AG$3:$AG$15,MATCH(E171,'G-1 All Habitats'!$AF$3:$AF$15,0)),"")</f>
        <v/>
      </c>
      <c r="B171" s="35" t="str">
        <f>IFERROR(INDEX('G-8 Condition Look up'!$I$4:$I$131,MATCH(G171,'G-8 Condition Look up'!$A$4:$A$131,0)),"")</f>
        <v/>
      </c>
      <c r="D171" s="168">
        <v>161</v>
      </c>
      <c r="E171" s="275"/>
      <c r="F171" s="275"/>
      <c r="G171" s="370" t="str">
        <f>IFERROR(INDEX('G-1 All Habitats'!$B$3:$B$130,MATCH(F171,'G-1 All Habitats'!$A$3:$A$130,0)),"")</f>
        <v/>
      </c>
      <c r="H171" s="213"/>
      <c r="I171" s="171" t="str">
        <f>IF(G171="","",VLOOKUP(G171,'G-1 All Habitats'!$B$2:$M$130,10,FALSE))</f>
        <v/>
      </c>
      <c r="J171" s="172" t="str">
        <f>IFERROR(VLOOKUP(I171,'G-1 All Habitats'!$V$3:$W$7,2,FALSE),"")</f>
        <v/>
      </c>
      <c r="K171" s="173"/>
      <c r="L171" s="172" t="str">
        <f>IFERROR(INDEX('G-8 Condition Look up'!$A$3:$H$131,MATCH(G171,'G-8 Condition Look up'!$A$3:$A$131,0),MATCH(K171,'G-8 Condition Look up'!$A$3:$H$3,0)),"")</f>
        <v/>
      </c>
      <c r="M171" s="186"/>
      <c r="N171" s="175" t="str">
        <f>IF(M171="","",IF(VLOOKUP(M171,'G-3 Multipliers'!$L$3:$N$6,2,FALSE)=0,"Spatial Data Missing",VLOOKUP(M171,'G-3 Multipliers'!$L$3:$N$6,2,FALSE)))</f>
        <v/>
      </c>
      <c r="O171" s="176" t="str">
        <f>IF(M171="","",IF(VLOOKUP(M171,'G-3 Multipliers'!$L$3:$N$6,3,FALSE)=0,"Spatial Data Missing",VLOOKUP(M171,'G-3 Multipliers'!$L$3:$N$6,3,FALSE)))</f>
        <v/>
      </c>
      <c r="P171" s="177" t="str">
        <f>IFERROR(VLOOKUP(G171,'G-1 All Habitats'!$B$2:$M$130,12,FALSE),"")</f>
        <v/>
      </c>
      <c r="Q171" s="81" t="str">
        <f>IFERROR(IF(P171="","",IF(AND(P171='G-1 All Habitats'!$X$3,T171&gt;0),U171+V171,IF(AND(P171='G-1 All Habitats'!$X$3,S171&gt;0),U171+V171,IF(AND(P171='G-1 All Habitats'!$X$3,AC171&gt;0),"Any Loss Unacceptable",IF(AND(P171='G-1 All Habitats'!$X$3,W171&gt;0),"Any Loss Unacceptable",H171*J171*L171*O171))))),"Check Data")</f>
        <v/>
      </c>
      <c r="R171" s="55"/>
      <c r="S171" s="79"/>
      <c r="T171" s="82"/>
      <c r="U171" s="83" t="str">
        <f t="shared" si="14"/>
        <v/>
      </c>
      <c r="V171" s="83" t="str">
        <f t="shared" si="15"/>
        <v/>
      </c>
      <c r="W171" s="83" t="str">
        <f>IF(E171="","",IF(H171&lt;S171+T171,"Error in Areas",IF(P171&lt;&gt;'G-1 All Habitats'!$X$3,H171-S171-T171,IF(AND(P171='G-1 All Habitats'!$X$3,Y171="Yes"),"Unacceptable Loss",IF(AND(P171='G-1 All Habitats'!$X$3,Y171="No"),AC171,IF(AND(P171='G-1 All Habitats'!$X$3,Y171=""),AC171,IF(AND(P171='G-1 All Habitats'!$X$3,AC171="None",AC171),IF(AND(P171='G-1 All Habitats'!$X$3,AC171&gt;0),H171-S171-T171))))))))</f>
        <v/>
      </c>
      <c r="X171" s="354" t="str">
        <f>IFERROR(IF(H171="","",IF(H171-S171-T171=0&lt;0,"Error in Areas",IF(S171+T171&gt;H171,"Error in Areas",IF(AND(P171='G-1 All Habitats'!$X$3,Y171="Yes"),"Alternative Compensation",IF(W171=0,0,IF(P171='G-1 All Habitats'!$X$3,"Unacceptable Loss",Q171-U171-V171)))))),"Check Data")</f>
        <v/>
      </c>
      <c r="Y171" s="82"/>
      <c r="Z171" s="182"/>
      <c r="AA171" s="183"/>
      <c r="AC171" s="371" t="str">
        <f>IF(P171="","",IF(P171='G-1 All Habitats'!$X$3,H171-S171-T171,"None"))</f>
        <v/>
      </c>
      <c r="AD171" s="372" t="str">
        <f t="shared" si="16"/>
        <v/>
      </c>
      <c r="AF171" s="188" t="str">
        <f t="shared" si="12"/>
        <v/>
      </c>
      <c r="AG171" s="188" t="str">
        <f t="shared" si="13"/>
        <v/>
      </c>
      <c r="AH171" s="188" t="str">
        <f>IF(I171="","",IF(#REF!&gt;0,TRUE,FALSE))</f>
        <v/>
      </c>
      <c r="AI171" s="188">
        <v>161</v>
      </c>
      <c r="AJ171" s="188"/>
      <c r="AK171" s="188" t="str">
        <f t="array" ref="AK171">IFERROR(INDEX($AI$11:$AI$259, MATCH(0, IF(TRUE=$AF$11:$AF$259, COUNTIF($AK$10:$AK170, $AI$11:$AI$259), ""), 0)),"")</f>
        <v/>
      </c>
      <c r="AL171" s="188" t="str">
        <f t="array" ref="AL171">IFERROR(INDEX($AI$11:$AI$259, MATCH(0, IF(TRUE=$AG$11:$AG$259, COUNTIF($AL$10:$AL170, $AI$11:$AI$259), ""), 0)),"")</f>
        <v/>
      </c>
      <c r="AM171" s="188" t="str">
        <f t="array" ref="AM171">IFERROR(INDEX($AI$11:$AI$259, MATCH(0, IF(TRUE=$AH$11:$AH$259, COUNTIF($AM$10:$AM170, $AI$11:$AI$259), ""), 0)),"")</f>
        <v/>
      </c>
      <c r="AQ171" s="35">
        <f t="shared" si="17"/>
        <v>0</v>
      </c>
    </row>
    <row r="172" spans="1:43" x14ac:dyDescent="0.25">
      <c r="A172" s="35" t="str">
        <f>IFERROR(INDEX('G-1 All Habitats'!$AG$3:$AG$15,MATCH(E172,'G-1 All Habitats'!$AF$3:$AF$15,0)),"")</f>
        <v/>
      </c>
      <c r="B172" s="35" t="str">
        <f>IFERROR(INDEX('G-8 Condition Look up'!$I$4:$I$131,MATCH(G172,'G-8 Condition Look up'!$A$4:$A$131,0)),"")</f>
        <v/>
      </c>
      <c r="D172" s="168">
        <v>162</v>
      </c>
      <c r="E172" s="275"/>
      <c r="F172" s="275"/>
      <c r="G172" s="370" t="str">
        <f>IFERROR(INDEX('G-1 All Habitats'!$B$3:$B$130,MATCH(F172,'G-1 All Habitats'!$A$3:$A$130,0)),"")</f>
        <v/>
      </c>
      <c r="H172" s="213"/>
      <c r="I172" s="171" t="str">
        <f>IF(G172="","",VLOOKUP(G172,'G-1 All Habitats'!$B$2:$M$130,10,FALSE))</f>
        <v/>
      </c>
      <c r="J172" s="172" t="str">
        <f>IFERROR(VLOOKUP(I172,'G-1 All Habitats'!$V$3:$W$7,2,FALSE),"")</f>
        <v/>
      </c>
      <c r="K172" s="173"/>
      <c r="L172" s="172" t="str">
        <f>IFERROR(INDEX('G-8 Condition Look up'!$A$3:$H$131,MATCH(G172,'G-8 Condition Look up'!$A$3:$A$131,0),MATCH(K172,'G-8 Condition Look up'!$A$3:$H$3,0)),"")</f>
        <v/>
      </c>
      <c r="M172" s="186"/>
      <c r="N172" s="175" t="str">
        <f>IF(M172="","",IF(VLOOKUP(M172,'G-3 Multipliers'!$L$3:$N$6,2,FALSE)=0,"Spatial Data Missing",VLOOKUP(M172,'G-3 Multipliers'!$L$3:$N$6,2,FALSE)))</f>
        <v/>
      </c>
      <c r="O172" s="176" t="str">
        <f>IF(M172="","",IF(VLOOKUP(M172,'G-3 Multipliers'!$L$3:$N$6,3,FALSE)=0,"Spatial Data Missing",VLOOKUP(M172,'G-3 Multipliers'!$L$3:$N$6,3,FALSE)))</f>
        <v/>
      </c>
      <c r="P172" s="177" t="str">
        <f>IFERROR(VLOOKUP(G172,'G-1 All Habitats'!$B$2:$M$130,12,FALSE),"")</f>
        <v/>
      </c>
      <c r="Q172" s="81" t="str">
        <f>IFERROR(IF(P172="","",IF(AND(P172='G-1 All Habitats'!$X$3,T172&gt;0),U172+V172,IF(AND(P172='G-1 All Habitats'!$X$3,S172&gt;0),U172+V172,IF(AND(P172='G-1 All Habitats'!$X$3,AC172&gt;0),"Any Loss Unacceptable",IF(AND(P172='G-1 All Habitats'!$X$3,W172&gt;0),"Any Loss Unacceptable",H172*J172*L172*O172))))),"Check Data")</f>
        <v/>
      </c>
      <c r="R172" s="55"/>
      <c r="S172" s="79"/>
      <c r="T172" s="82"/>
      <c r="U172" s="83" t="str">
        <f t="shared" si="14"/>
        <v/>
      </c>
      <c r="V172" s="83" t="str">
        <f t="shared" si="15"/>
        <v/>
      </c>
      <c r="W172" s="83" t="str">
        <f>IF(E172="","",IF(H172&lt;S172+T172,"Error in Areas",IF(P172&lt;&gt;'G-1 All Habitats'!$X$3,H172-S172-T172,IF(AND(P172='G-1 All Habitats'!$X$3,Y172="Yes"),"Unacceptable Loss",IF(AND(P172='G-1 All Habitats'!$X$3,Y172="No"),AC172,IF(AND(P172='G-1 All Habitats'!$X$3,Y172=""),AC172,IF(AND(P172='G-1 All Habitats'!$X$3,AC172="None",AC172),IF(AND(P172='G-1 All Habitats'!$X$3,AC172&gt;0),H172-S172-T172))))))))</f>
        <v/>
      </c>
      <c r="X172" s="354" t="str">
        <f>IFERROR(IF(H172="","",IF(H172-S172-T172=0&lt;0,"Error in Areas",IF(S172+T172&gt;H172,"Error in Areas",IF(AND(P172='G-1 All Habitats'!$X$3,Y172="Yes"),"Alternative Compensation",IF(W172=0,0,IF(P172='G-1 All Habitats'!$X$3,"Unacceptable Loss",Q172-U172-V172)))))),"Check Data")</f>
        <v/>
      </c>
      <c r="Y172" s="82"/>
      <c r="Z172" s="182"/>
      <c r="AA172" s="183"/>
      <c r="AC172" s="371" t="str">
        <f>IF(P172="","",IF(P172='G-1 All Habitats'!$X$3,H172-S172-T172,"None"))</f>
        <v/>
      </c>
      <c r="AD172" s="372" t="str">
        <f t="shared" si="16"/>
        <v/>
      </c>
      <c r="AF172" s="188" t="str">
        <f t="shared" si="12"/>
        <v/>
      </c>
      <c r="AG172" s="188" t="str">
        <f t="shared" si="13"/>
        <v/>
      </c>
      <c r="AH172" s="188" t="str">
        <f>IF(I172="","",IF(#REF!&gt;0,TRUE,FALSE))</f>
        <v/>
      </c>
      <c r="AI172" s="188">
        <v>162</v>
      </c>
      <c r="AJ172" s="188"/>
      <c r="AK172" s="188" t="str">
        <f t="array" ref="AK172">IFERROR(INDEX($AI$11:$AI$259, MATCH(0, IF(TRUE=$AF$11:$AF$259, COUNTIF($AK$10:$AK171, $AI$11:$AI$259), ""), 0)),"")</f>
        <v/>
      </c>
      <c r="AL172" s="188" t="str">
        <f t="array" ref="AL172">IFERROR(INDEX($AI$11:$AI$259, MATCH(0, IF(TRUE=$AG$11:$AG$259, COUNTIF($AL$10:$AL171, $AI$11:$AI$259), ""), 0)),"")</f>
        <v/>
      </c>
      <c r="AM172" s="188" t="str">
        <f t="array" ref="AM172">IFERROR(INDEX($AI$11:$AI$259, MATCH(0, IF(TRUE=$AH$11:$AH$259, COUNTIF($AM$10:$AM171, $AI$11:$AI$259), ""), 0)),"")</f>
        <v/>
      </c>
      <c r="AQ172" s="35">
        <f t="shared" si="17"/>
        <v>0</v>
      </c>
    </row>
    <row r="173" spans="1:43" x14ac:dyDescent="0.25">
      <c r="A173" s="35" t="str">
        <f>IFERROR(INDEX('G-1 All Habitats'!$AG$3:$AG$15,MATCH(E173,'G-1 All Habitats'!$AF$3:$AF$15,0)),"")</f>
        <v/>
      </c>
      <c r="B173" s="35" t="str">
        <f>IFERROR(INDEX('G-8 Condition Look up'!$I$4:$I$131,MATCH(G173,'G-8 Condition Look up'!$A$4:$A$131,0)),"")</f>
        <v/>
      </c>
      <c r="D173" s="168">
        <v>163</v>
      </c>
      <c r="E173" s="275"/>
      <c r="F173" s="275"/>
      <c r="G173" s="370" t="str">
        <f>IFERROR(INDEX('G-1 All Habitats'!$B$3:$B$130,MATCH(F173,'G-1 All Habitats'!$A$3:$A$130,0)),"")</f>
        <v/>
      </c>
      <c r="H173" s="213"/>
      <c r="I173" s="171" t="str">
        <f>IF(G173="","",VLOOKUP(G173,'G-1 All Habitats'!$B$2:$M$130,10,FALSE))</f>
        <v/>
      </c>
      <c r="J173" s="172" t="str">
        <f>IFERROR(VLOOKUP(I173,'G-1 All Habitats'!$V$3:$W$7,2,FALSE),"")</f>
        <v/>
      </c>
      <c r="K173" s="173"/>
      <c r="L173" s="172" t="str">
        <f>IFERROR(INDEX('G-8 Condition Look up'!$A$3:$H$131,MATCH(G173,'G-8 Condition Look up'!$A$3:$A$131,0),MATCH(K173,'G-8 Condition Look up'!$A$3:$H$3,0)),"")</f>
        <v/>
      </c>
      <c r="M173" s="186"/>
      <c r="N173" s="175" t="str">
        <f>IF(M173="","",IF(VLOOKUP(M173,'G-3 Multipliers'!$L$3:$N$6,2,FALSE)=0,"Spatial Data Missing",VLOOKUP(M173,'G-3 Multipliers'!$L$3:$N$6,2,FALSE)))</f>
        <v/>
      </c>
      <c r="O173" s="176" t="str">
        <f>IF(M173="","",IF(VLOOKUP(M173,'G-3 Multipliers'!$L$3:$N$6,3,FALSE)=0,"Spatial Data Missing",VLOOKUP(M173,'G-3 Multipliers'!$L$3:$N$6,3,FALSE)))</f>
        <v/>
      </c>
      <c r="P173" s="177" t="str">
        <f>IFERROR(VLOOKUP(G173,'G-1 All Habitats'!$B$2:$M$130,12,FALSE),"")</f>
        <v/>
      </c>
      <c r="Q173" s="81" t="str">
        <f>IFERROR(IF(P173="","",IF(AND(P173='G-1 All Habitats'!$X$3,T173&gt;0),U173+V173,IF(AND(P173='G-1 All Habitats'!$X$3,S173&gt;0),U173+V173,IF(AND(P173='G-1 All Habitats'!$X$3,AC173&gt;0),"Any Loss Unacceptable",IF(AND(P173='G-1 All Habitats'!$X$3,W173&gt;0),"Any Loss Unacceptable",H173*J173*L173*O173))))),"Check Data")</f>
        <v/>
      </c>
      <c r="R173" s="55"/>
      <c r="S173" s="79"/>
      <c r="T173" s="82"/>
      <c r="U173" s="83" t="str">
        <f t="shared" si="14"/>
        <v/>
      </c>
      <c r="V173" s="83" t="str">
        <f t="shared" si="15"/>
        <v/>
      </c>
      <c r="W173" s="83" t="str">
        <f>IF(E173="","",IF(H173&lt;S173+T173,"Error in Areas",IF(P173&lt;&gt;'G-1 All Habitats'!$X$3,H173-S173-T173,IF(AND(P173='G-1 All Habitats'!$X$3,Y173="Yes"),"Unacceptable Loss",IF(AND(P173='G-1 All Habitats'!$X$3,Y173="No"),AC173,IF(AND(P173='G-1 All Habitats'!$X$3,Y173=""),AC173,IF(AND(P173='G-1 All Habitats'!$X$3,AC173="None",AC173),IF(AND(P173='G-1 All Habitats'!$X$3,AC173&gt;0),H173-S173-T173))))))))</f>
        <v/>
      </c>
      <c r="X173" s="354" t="str">
        <f>IFERROR(IF(H173="","",IF(H173-S173-T173=0&lt;0,"Error in Areas",IF(S173+T173&gt;H173,"Error in Areas",IF(AND(P173='G-1 All Habitats'!$X$3,Y173="Yes"),"Alternative Compensation",IF(W173=0,0,IF(P173='G-1 All Habitats'!$X$3,"Unacceptable Loss",Q173-U173-V173)))))),"Check Data")</f>
        <v/>
      </c>
      <c r="Y173" s="82"/>
      <c r="Z173" s="182"/>
      <c r="AA173" s="183"/>
      <c r="AC173" s="371" t="str">
        <f>IF(P173="","",IF(P173='G-1 All Habitats'!$X$3,H173-S173-T173,"None"))</f>
        <v/>
      </c>
      <c r="AD173" s="372" t="str">
        <f t="shared" si="16"/>
        <v/>
      </c>
      <c r="AF173" s="188" t="str">
        <f t="shared" si="12"/>
        <v/>
      </c>
      <c r="AG173" s="188" t="str">
        <f t="shared" si="13"/>
        <v/>
      </c>
      <c r="AH173" s="188" t="str">
        <f>IF(I173="","",IF(#REF!&gt;0,TRUE,FALSE))</f>
        <v/>
      </c>
      <c r="AI173" s="188">
        <v>163</v>
      </c>
      <c r="AJ173" s="188"/>
      <c r="AK173" s="188" t="str">
        <f t="array" ref="AK173">IFERROR(INDEX($AI$11:$AI$259, MATCH(0, IF(TRUE=$AF$11:$AF$259, COUNTIF($AK$10:$AK172, $AI$11:$AI$259), ""), 0)),"")</f>
        <v/>
      </c>
      <c r="AL173" s="188" t="str">
        <f t="array" ref="AL173">IFERROR(INDEX($AI$11:$AI$259, MATCH(0, IF(TRUE=$AG$11:$AG$259, COUNTIF($AL$10:$AL172, $AI$11:$AI$259), ""), 0)),"")</f>
        <v/>
      </c>
      <c r="AM173" s="188" t="str">
        <f t="array" ref="AM173">IFERROR(INDEX($AI$11:$AI$259, MATCH(0, IF(TRUE=$AH$11:$AH$259, COUNTIF($AM$10:$AM172, $AI$11:$AI$259), ""), 0)),"")</f>
        <v/>
      </c>
      <c r="AQ173" s="35">
        <f t="shared" si="17"/>
        <v>0</v>
      </c>
    </row>
    <row r="174" spans="1:43" x14ac:dyDescent="0.25">
      <c r="A174" s="35" t="str">
        <f>IFERROR(INDEX('G-1 All Habitats'!$AG$3:$AG$15,MATCH(E174,'G-1 All Habitats'!$AF$3:$AF$15,0)),"")</f>
        <v/>
      </c>
      <c r="B174" s="35" t="str">
        <f>IFERROR(INDEX('G-8 Condition Look up'!$I$4:$I$131,MATCH(G174,'G-8 Condition Look up'!$A$4:$A$131,0)),"")</f>
        <v/>
      </c>
      <c r="D174" s="168">
        <v>164</v>
      </c>
      <c r="E174" s="275"/>
      <c r="F174" s="275"/>
      <c r="G174" s="370" t="str">
        <f>IFERROR(INDEX('G-1 All Habitats'!$B$3:$B$130,MATCH(F174,'G-1 All Habitats'!$A$3:$A$130,0)),"")</f>
        <v/>
      </c>
      <c r="H174" s="213"/>
      <c r="I174" s="171" t="str">
        <f>IF(G174="","",VLOOKUP(G174,'G-1 All Habitats'!$B$2:$M$130,10,FALSE))</f>
        <v/>
      </c>
      <c r="J174" s="172" t="str">
        <f>IFERROR(VLOOKUP(I174,'G-1 All Habitats'!$V$3:$W$7,2,FALSE),"")</f>
        <v/>
      </c>
      <c r="K174" s="173"/>
      <c r="L174" s="172" t="str">
        <f>IFERROR(INDEX('G-8 Condition Look up'!$A$3:$H$131,MATCH(G174,'G-8 Condition Look up'!$A$3:$A$131,0),MATCH(K174,'G-8 Condition Look up'!$A$3:$H$3,0)),"")</f>
        <v/>
      </c>
      <c r="M174" s="186"/>
      <c r="N174" s="175" t="str">
        <f>IF(M174="","",IF(VLOOKUP(M174,'G-3 Multipliers'!$L$3:$N$6,2,FALSE)=0,"Spatial Data Missing",VLOOKUP(M174,'G-3 Multipliers'!$L$3:$N$6,2,FALSE)))</f>
        <v/>
      </c>
      <c r="O174" s="176" t="str">
        <f>IF(M174="","",IF(VLOOKUP(M174,'G-3 Multipliers'!$L$3:$N$6,3,FALSE)=0,"Spatial Data Missing",VLOOKUP(M174,'G-3 Multipliers'!$L$3:$N$6,3,FALSE)))</f>
        <v/>
      </c>
      <c r="P174" s="177" t="str">
        <f>IFERROR(VLOOKUP(G174,'G-1 All Habitats'!$B$2:$M$130,12,FALSE),"")</f>
        <v/>
      </c>
      <c r="Q174" s="81" t="str">
        <f>IFERROR(IF(P174="","",IF(AND(P174='G-1 All Habitats'!$X$3,T174&gt;0),U174+V174,IF(AND(P174='G-1 All Habitats'!$X$3,S174&gt;0),U174+V174,IF(AND(P174='G-1 All Habitats'!$X$3,AC174&gt;0),"Any Loss Unacceptable",IF(AND(P174='G-1 All Habitats'!$X$3,W174&gt;0),"Any Loss Unacceptable",H174*J174*L174*O174))))),"Check Data")</f>
        <v/>
      </c>
      <c r="R174" s="55"/>
      <c r="S174" s="79"/>
      <c r="T174" s="82"/>
      <c r="U174" s="83" t="str">
        <f t="shared" si="14"/>
        <v/>
      </c>
      <c r="V174" s="83" t="str">
        <f t="shared" si="15"/>
        <v/>
      </c>
      <c r="W174" s="83" t="str">
        <f>IF(E174="","",IF(H174&lt;S174+T174,"Error in Areas",IF(P174&lt;&gt;'G-1 All Habitats'!$X$3,H174-S174-T174,IF(AND(P174='G-1 All Habitats'!$X$3,Y174="Yes"),"Unacceptable Loss",IF(AND(P174='G-1 All Habitats'!$X$3,Y174="No"),AC174,IF(AND(P174='G-1 All Habitats'!$X$3,Y174=""),AC174,IF(AND(P174='G-1 All Habitats'!$X$3,AC174="None",AC174),IF(AND(P174='G-1 All Habitats'!$X$3,AC174&gt;0),H174-S174-T174))))))))</f>
        <v/>
      </c>
      <c r="X174" s="354" t="str">
        <f>IFERROR(IF(H174="","",IF(H174-S174-T174=0&lt;0,"Error in Areas",IF(S174+T174&gt;H174,"Error in Areas",IF(AND(P174='G-1 All Habitats'!$X$3,Y174="Yes"),"Alternative Compensation",IF(W174=0,0,IF(P174='G-1 All Habitats'!$X$3,"Unacceptable Loss",Q174-U174-V174)))))),"Check Data")</f>
        <v/>
      </c>
      <c r="Y174" s="82"/>
      <c r="Z174" s="182"/>
      <c r="AA174" s="183"/>
      <c r="AC174" s="371" t="str">
        <f>IF(P174="","",IF(P174='G-1 All Habitats'!$X$3,H174-S174-T174,"None"))</f>
        <v/>
      </c>
      <c r="AD174" s="372" t="str">
        <f t="shared" si="16"/>
        <v/>
      </c>
      <c r="AF174" s="188" t="str">
        <f t="shared" si="12"/>
        <v/>
      </c>
      <c r="AG174" s="188" t="str">
        <f t="shared" si="13"/>
        <v/>
      </c>
      <c r="AH174" s="188" t="str">
        <f>IF(I174="","",IF(#REF!&gt;0,TRUE,FALSE))</f>
        <v/>
      </c>
      <c r="AI174" s="188">
        <v>164</v>
      </c>
      <c r="AJ174" s="188"/>
      <c r="AK174" s="188" t="str">
        <f t="array" ref="AK174">IFERROR(INDEX($AI$11:$AI$259, MATCH(0, IF(TRUE=$AF$11:$AF$259, COUNTIF($AK$10:$AK173, $AI$11:$AI$259), ""), 0)),"")</f>
        <v/>
      </c>
      <c r="AL174" s="188" t="str">
        <f t="array" ref="AL174">IFERROR(INDEX($AI$11:$AI$259, MATCH(0, IF(TRUE=$AG$11:$AG$259, COUNTIF($AL$10:$AL173, $AI$11:$AI$259), ""), 0)),"")</f>
        <v/>
      </c>
      <c r="AM174" s="188" t="str">
        <f t="array" ref="AM174">IFERROR(INDEX($AI$11:$AI$259, MATCH(0, IF(TRUE=$AH$11:$AH$259, COUNTIF($AM$10:$AM173, $AI$11:$AI$259), ""), 0)),"")</f>
        <v/>
      </c>
      <c r="AQ174" s="35">
        <f t="shared" si="17"/>
        <v>0</v>
      </c>
    </row>
    <row r="175" spans="1:43" x14ac:dyDescent="0.25">
      <c r="A175" s="35" t="str">
        <f>IFERROR(INDEX('G-1 All Habitats'!$AG$3:$AG$15,MATCH(E175,'G-1 All Habitats'!$AF$3:$AF$15,0)),"")</f>
        <v/>
      </c>
      <c r="B175" s="35" t="str">
        <f>IFERROR(INDEX('G-8 Condition Look up'!$I$4:$I$131,MATCH(G175,'G-8 Condition Look up'!$A$4:$A$131,0)),"")</f>
        <v/>
      </c>
      <c r="D175" s="168">
        <v>165</v>
      </c>
      <c r="E175" s="275"/>
      <c r="F175" s="275"/>
      <c r="G175" s="370" t="str">
        <f>IFERROR(INDEX('G-1 All Habitats'!$B$3:$B$130,MATCH(F175,'G-1 All Habitats'!$A$3:$A$130,0)),"")</f>
        <v/>
      </c>
      <c r="H175" s="213"/>
      <c r="I175" s="171" t="str">
        <f>IF(G175="","",VLOOKUP(G175,'G-1 All Habitats'!$B$2:$M$130,10,FALSE))</f>
        <v/>
      </c>
      <c r="J175" s="172" t="str">
        <f>IFERROR(VLOOKUP(I175,'G-1 All Habitats'!$V$3:$W$7,2,FALSE),"")</f>
        <v/>
      </c>
      <c r="K175" s="173"/>
      <c r="L175" s="172" t="str">
        <f>IFERROR(INDEX('G-8 Condition Look up'!$A$3:$H$131,MATCH(G175,'G-8 Condition Look up'!$A$3:$A$131,0),MATCH(K175,'G-8 Condition Look up'!$A$3:$H$3,0)),"")</f>
        <v/>
      </c>
      <c r="M175" s="186"/>
      <c r="N175" s="175" t="str">
        <f>IF(M175="","",IF(VLOOKUP(M175,'G-3 Multipliers'!$L$3:$N$6,2,FALSE)=0,"Spatial Data Missing",VLOOKUP(M175,'G-3 Multipliers'!$L$3:$N$6,2,FALSE)))</f>
        <v/>
      </c>
      <c r="O175" s="176" t="str">
        <f>IF(M175="","",IF(VLOOKUP(M175,'G-3 Multipliers'!$L$3:$N$6,3,FALSE)=0,"Spatial Data Missing",VLOOKUP(M175,'G-3 Multipliers'!$L$3:$N$6,3,FALSE)))</f>
        <v/>
      </c>
      <c r="P175" s="177" t="str">
        <f>IFERROR(VLOOKUP(G175,'G-1 All Habitats'!$B$2:$M$130,12,FALSE),"")</f>
        <v/>
      </c>
      <c r="Q175" s="81" t="str">
        <f>IFERROR(IF(P175="","",IF(AND(P175='G-1 All Habitats'!$X$3,T175&gt;0),U175+V175,IF(AND(P175='G-1 All Habitats'!$X$3,S175&gt;0),U175+V175,IF(AND(P175='G-1 All Habitats'!$X$3,AC175&gt;0),"Any Loss Unacceptable",IF(AND(P175='G-1 All Habitats'!$X$3,W175&gt;0),"Any Loss Unacceptable",H175*J175*L175*O175))))),"Check Data")</f>
        <v/>
      </c>
      <c r="R175" s="55"/>
      <c r="S175" s="79"/>
      <c r="T175" s="82"/>
      <c r="U175" s="83" t="str">
        <f t="shared" si="14"/>
        <v/>
      </c>
      <c r="V175" s="83" t="str">
        <f t="shared" si="15"/>
        <v/>
      </c>
      <c r="W175" s="83" t="str">
        <f>IF(E175="","",IF(H175&lt;S175+T175,"Error in Areas",IF(P175&lt;&gt;'G-1 All Habitats'!$X$3,H175-S175-T175,IF(AND(P175='G-1 All Habitats'!$X$3,Y175="Yes"),"Unacceptable Loss",IF(AND(P175='G-1 All Habitats'!$X$3,Y175="No"),AC175,IF(AND(P175='G-1 All Habitats'!$X$3,Y175=""),AC175,IF(AND(P175='G-1 All Habitats'!$X$3,AC175="None",AC175),IF(AND(P175='G-1 All Habitats'!$X$3,AC175&gt;0),H175-S175-T175))))))))</f>
        <v/>
      </c>
      <c r="X175" s="354" t="str">
        <f>IFERROR(IF(H175="","",IF(H175-S175-T175=0&lt;0,"Error in Areas",IF(S175+T175&gt;H175,"Error in Areas",IF(AND(P175='G-1 All Habitats'!$X$3,Y175="Yes"),"Alternative Compensation",IF(W175=0,0,IF(P175='G-1 All Habitats'!$X$3,"Unacceptable Loss",Q175-U175-V175)))))),"Check Data")</f>
        <v/>
      </c>
      <c r="Y175" s="82"/>
      <c r="Z175" s="182"/>
      <c r="AA175" s="183"/>
      <c r="AC175" s="371" t="str">
        <f>IF(P175="","",IF(P175='G-1 All Habitats'!$X$3,H175-S175-T175,"None"))</f>
        <v/>
      </c>
      <c r="AD175" s="372" t="str">
        <f t="shared" si="16"/>
        <v/>
      </c>
      <c r="AF175" s="188" t="str">
        <f t="shared" si="12"/>
        <v/>
      </c>
      <c r="AG175" s="188" t="str">
        <f t="shared" si="13"/>
        <v/>
      </c>
      <c r="AH175" s="188" t="str">
        <f>IF(I175="","",IF(#REF!&gt;0,TRUE,FALSE))</f>
        <v/>
      </c>
      <c r="AI175" s="188">
        <v>165</v>
      </c>
      <c r="AJ175" s="188"/>
      <c r="AK175" s="188" t="str">
        <f t="array" ref="AK175">IFERROR(INDEX($AI$11:$AI$259, MATCH(0, IF(TRUE=$AF$11:$AF$259, COUNTIF($AK$10:$AK174, $AI$11:$AI$259), ""), 0)),"")</f>
        <v/>
      </c>
      <c r="AL175" s="188" t="str">
        <f t="array" ref="AL175">IFERROR(INDEX($AI$11:$AI$259, MATCH(0, IF(TRUE=$AG$11:$AG$259, COUNTIF($AL$10:$AL174, $AI$11:$AI$259), ""), 0)),"")</f>
        <v/>
      </c>
      <c r="AM175" s="188" t="str">
        <f t="array" ref="AM175">IFERROR(INDEX($AI$11:$AI$259, MATCH(0, IF(TRUE=$AH$11:$AH$259, COUNTIF($AM$10:$AM174, $AI$11:$AI$259), ""), 0)),"")</f>
        <v/>
      </c>
      <c r="AQ175" s="35">
        <f t="shared" si="17"/>
        <v>0</v>
      </c>
    </row>
    <row r="176" spans="1:43" x14ac:dyDescent="0.25">
      <c r="A176" s="35" t="str">
        <f>IFERROR(INDEX('G-1 All Habitats'!$AG$3:$AG$15,MATCH(E176,'G-1 All Habitats'!$AF$3:$AF$15,0)),"")</f>
        <v/>
      </c>
      <c r="B176" s="35" t="str">
        <f>IFERROR(INDEX('G-8 Condition Look up'!$I$4:$I$131,MATCH(G176,'G-8 Condition Look up'!$A$4:$A$131,0)),"")</f>
        <v/>
      </c>
      <c r="D176" s="168">
        <v>166</v>
      </c>
      <c r="E176" s="275"/>
      <c r="F176" s="275"/>
      <c r="G176" s="370" t="str">
        <f>IFERROR(INDEX('G-1 All Habitats'!$B$3:$B$130,MATCH(F176,'G-1 All Habitats'!$A$3:$A$130,0)),"")</f>
        <v/>
      </c>
      <c r="H176" s="213"/>
      <c r="I176" s="171" t="str">
        <f>IF(G176="","",VLOOKUP(G176,'G-1 All Habitats'!$B$2:$M$130,10,FALSE))</f>
        <v/>
      </c>
      <c r="J176" s="172" t="str">
        <f>IFERROR(VLOOKUP(I176,'G-1 All Habitats'!$V$3:$W$7,2,FALSE),"")</f>
        <v/>
      </c>
      <c r="K176" s="173"/>
      <c r="L176" s="172" t="str">
        <f>IFERROR(INDEX('G-8 Condition Look up'!$A$3:$H$131,MATCH(G176,'G-8 Condition Look up'!$A$3:$A$131,0),MATCH(K176,'G-8 Condition Look up'!$A$3:$H$3,0)),"")</f>
        <v/>
      </c>
      <c r="M176" s="186"/>
      <c r="N176" s="175" t="str">
        <f>IF(M176="","",IF(VLOOKUP(M176,'G-3 Multipliers'!$L$3:$N$6,2,FALSE)=0,"Spatial Data Missing",VLOOKUP(M176,'G-3 Multipliers'!$L$3:$N$6,2,FALSE)))</f>
        <v/>
      </c>
      <c r="O176" s="176" t="str">
        <f>IF(M176="","",IF(VLOOKUP(M176,'G-3 Multipliers'!$L$3:$N$6,3,FALSE)=0,"Spatial Data Missing",VLOOKUP(M176,'G-3 Multipliers'!$L$3:$N$6,3,FALSE)))</f>
        <v/>
      </c>
      <c r="P176" s="177" t="str">
        <f>IFERROR(VLOOKUP(G176,'G-1 All Habitats'!$B$2:$M$130,12,FALSE),"")</f>
        <v/>
      </c>
      <c r="Q176" s="81" t="str">
        <f>IFERROR(IF(P176="","",IF(AND(P176='G-1 All Habitats'!$X$3,T176&gt;0),U176+V176,IF(AND(P176='G-1 All Habitats'!$X$3,S176&gt;0),U176+V176,IF(AND(P176='G-1 All Habitats'!$X$3,AC176&gt;0),"Any Loss Unacceptable",IF(AND(P176='G-1 All Habitats'!$X$3,W176&gt;0),"Any Loss Unacceptable",H176*J176*L176*O176))))),"Check Data")</f>
        <v/>
      </c>
      <c r="R176" s="55"/>
      <c r="S176" s="79"/>
      <c r="T176" s="82"/>
      <c r="U176" s="83" t="str">
        <f t="shared" si="14"/>
        <v/>
      </c>
      <c r="V176" s="83" t="str">
        <f t="shared" si="15"/>
        <v/>
      </c>
      <c r="W176" s="83" t="str">
        <f>IF(E176="","",IF(H176&lt;S176+T176,"Error in Areas",IF(P176&lt;&gt;'G-1 All Habitats'!$X$3,H176-S176-T176,IF(AND(P176='G-1 All Habitats'!$X$3,Y176="Yes"),"Unacceptable Loss",IF(AND(P176='G-1 All Habitats'!$X$3,Y176="No"),AC176,IF(AND(P176='G-1 All Habitats'!$X$3,Y176=""),AC176,IF(AND(P176='G-1 All Habitats'!$X$3,AC176="None",AC176),IF(AND(P176='G-1 All Habitats'!$X$3,AC176&gt;0),H176-S176-T176))))))))</f>
        <v/>
      </c>
      <c r="X176" s="354" t="str">
        <f>IFERROR(IF(H176="","",IF(H176-S176-T176=0&lt;0,"Error in Areas",IF(S176+T176&gt;H176,"Error in Areas",IF(AND(P176='G-1 All Habitats'!$X$3,Y176="Yes"),"Alternative Compensation",IF(W176=0,0,IF(P176='G-1 All Habitats'!$X$3,"Unacceptable Loss",Q176-U176-V176)))))),"Check Data")</f>
        <v/>
      </c>
      <c r="Y176" s="82"/>
      <c r="Z176" s="182"/>
      <c r="AA176" s="183"/>
      <c r="AC176" s="371" t="str">
        <f>IF(P176="","",IF(P176='G-1 All Habitats'!$X$3,H176-S176-T176,"None"))</f>
        <v/>
      </c>
      <c r="AD176" s="372" t="str">
        <f t="shared" si="16"/>
        <v/>
      </c>
      <c r="AF176" s="188" t="str">
        <f t="shared" si="12"/>
        <v/>
      </c>
      <c r="AG176" s="188" t="str">
        <f t="shared" si="13"/>
        <v/>
      </c>
      <c r="AH176" s="188" t="str">
        <f>IF(I176="","",IF(#REF!&gt;0,TRUE,FALSE))</f>
        <v/>
      </c>
      <c r="AI176" s="188">
        <v>166</v>
      </c>
      <c r="AJ176" s="188"/>
      <c r="AK176" s="188" t="str">
        <f t="array" ref="AK176">IFERROR(INDEX($AI$11:$AI$259, MATCH(0, IF(TRUE=$AF$11:$AF$259, COUNTIF($AK$10:$AK175, $AI$11:$AI$259), ""), 0)),"")</f>
        <v/>
      </c>
      <c r="AL176" s="188" t="str">
        <f t="array" ref="AL176">IFERROR(INDEX($AI$11:$AI$259, MATCH(0, IF(TRUE=$AG$11:$AG$259, COUNTIF($AL$10:$AL175, $AI$11:$AI$259), ""), 0)),"")</f>
        <v/>
      </c>
      <c r="AM176" s="188" t="str">
        <f t="array" ref="AM176">IFERROR(INDEX($AI$11:$AI$259, MATCH(0, IF(TRUE=$AH$11:$AH$259, COUNTIF($AM$10:$AM175, $AI$11:$AI$259), ""), 0)),"")</f>
        <v/>
      </c>
      <c r="AQ176" s="35">
        <f t="shared" si="17"/>
        <v>0</v>
      </c>
    </row>
    <row r="177" spans="1:43" x14ac:dyDescent="0.25">
      <c r="A177" s="35" t="str">
        <f>IFERROR(INDEX('G-1 All Habitats'!$AG$3:$AG$15,MATCH(E177,'G-1 All Habitats'!$AF$3:$AF$15,0)),"")</f>
        <v/>
      </c>
      <c r="B177" s="35" t="str">
        <f>IFERROR(INDEX('G-8 Condition Look up'!$I$4:$I$131,MATCH(G177,'G-8 Condition Look up'!$A$4:$A$131,0)),"")</f>
        <v/>
      </c>
      <c r="D177" s="168">
        <v>167</v>
      </c>
      <c r="E177" s="275"/>
      <c r="F177" s="275"/>
      <c r="G177" s="370" t="str">
        <f>IFERROR(INDEX('G-1 All Habitats'!$B$3:$B$130,MATCH(F177,'G-1 All Habitats'!$A$3:$A$130,0)),"")</f>
        <v/>
      </c>
      <c r="H177" s="213"/>
      <c r="I177" s="171" t="str">
        <f>IF(G177="","",VLOOKUP(G177,'G-1 All Habitats'!$B$2:$M$130,10,FALSE))</f>
        <v/>
      </c>
      <c r="J177" s="172" t="str">
        <f>IFERROR(VLOOKUP(I177,'G-1 All Habitats'!$V$3:$W$7,2,FALSE),"")</f>
        <v/>
      </c>
      <c r="K177" s="173"/>
      <c r="L177" s="172" t="str">
        <f>IFERROR(INDEX('G-8 Condition Look up'!$A$3:$H$131,MATCH(G177,'G-8 Condition Look up'!$A$3:$A$131,0),MATCH(K177,'G-8 Condition Look up'!$A$3:$H$3,0)),"")</f>
        <v/>
      </c>
      <c r="M177" s="186"/>
      <c r="N177" s="175" t="str">
        <f>IF(M177="","",IF(VLOOKUP(M177,'G-3 Multipliers'!$L$3:$N$6,2,FALSE)=0,"Spatial Data Missing",VLOOKUP(M177,'G-3 Multipliers'!$L$3:$N$6,2,FALSE)))</f>
        <v/>
      </c>
      <c r="O177" s="176" t="str">
        <f>IF(M177="","",IF(VLOOKUP(M177,'G-3 Multipliers'!$L$3:$N$6,3,FALSE)=0,"Spatial Data Missing",VLOOKUP(M177,'G-3 Multipliers'!$L$3:$N$6,3,FALSE)))</f>
        <v/>
      </c>
      <c r="P177" s="177" t="str">
        <f>IFERROR(VLOOKUP(G177,'G-1 All Habitats'!$B$2:$M$130,12,FALSE),"")</f>
        <v/>
      </c>
      <c r="Q177" s="81" t="str">
        <f>IFERROR(IF(P177="","",IF(AND(P177='G-1 All Habitats'!$X$3,T177&gt;0),U177+V177,IF(AND(P177='G-1 All Habitats'!$X$3,S177&gt;0),U177+V177,IF(AND(P177='G-1 All Habitats'!$X$3,AC177&gt;0),"Any Loss Unacceptable",IF(AND(P177='G-1 All Habitats'!$X$3,W177&gt;0),"Any Loss Unacceptable",H177*J177*L177*O177))))),"Check Data")</f>
        <v/>
      </c>
      <c r="R177" s="55"/>
      <c r="S177" s="79"/>
      <c r="T177" s="82"/>
      <c r="U177" s="83" t="str">
        <f t="shared" si="14"/>
        <v/>
      </c>
      <c r="V177" s="83" t="str">
        <f t="shared" si="15"/>
        <v/>
      </c>
      <c r="W177" s="83" t="str">
        <f>IF(E177="","",IF(H177&lt;S177+T177,"Error in Areas",IF(P177&lt;&gt;'G-1 All Habitats'!$X$3,H177-S177-T177,IF(AND(P177='G-1 All Habitats'!$X$3,Y177="Yes"),"Unacceptable Loss",IF(AND(P177='G-1 All Habitats'!$X$3,Y177="No"),AC177,IF(AND(P177='G-1 All Habitats'!$X$3,Y177=""),AC177,IF(AND(P177='G-1 All Habitats'!$X$3,AC177="None",AC177),IF(AND(P177='G-1 All Habitats'!$X$3,AC177&gt;0),H177-S177-T177))))))))</f>
        <v/>
      </c>
      <c r="X177" s="354" t="str">
        <f>IFERROR(IF(H177="","",IF(H177-S177-T177=0&lt;0,"Error in Areas",IF(S177+T177&gt;H177,"Error in Areas",IF(AND(P177='G-1 All Habitats'!$X$3,Y177="Yes"),"Alternative Compensation",IF(W177=0,0,IF(P177='G-1 All Habitats'!$X$3,"Unacceptable Loss",Q177-U177-V177)))))),"Check Data")</f>
        <v/>
      </c>
      <c r="Y177" s="82"/>
      <c r="Z177" s="182"/>
      <c r="AA177" s="183"/>
      <c r="AC177" s="371" t="str">
        <f>IF(P177="","",IF(P177='G-1 All Habitats'!$X$3,H177-S177-T177,"None"))</f>
        <v/>
      </c>
      <c r="AD177" s="372" t="str">
        <f t="shared" si="16"/>
        <v/>
      </c>
      <c r="AF177" s="188" t="str">
        <f t="shared" si="12"/>
        <v/>
      </c>
      <c r="AG177" s="188" t="str">
        <f t="shared" si="13"/>
        <v/>
      </c>
      <c r="AH177" s="188" t="str">
        <f>IF(I177="","",IF(#REF!&gt;0,TRUE,FALSE))</f>
        <v/>
      </c>
      <c r="AI177" s="188">
        <v>167</v>
      </c>
      <c r="AJ177" s="188"/>
      <c r="AK177" s="188" t="str">
        <f t="array" ref="AK177">IFERROR(INDEX($AI$11:$AI$259, MATCH(0, IF(TRUE=$AF$11:$AF$259, COUNTIF($AK$10:$AK176, $AI$11:$AI$259), ""), 0)),"")</f>
        <v/>
      </c>
      <c r="AL177" s="188" t="str">
        <f t="array" ref="AL177">IFERROR(INDEX($AI$11:$AI$259, MATCH(0, IF(TRUE=$AG$11:$AG$259, COUNTIF($AL$10:$AL176, $AI$11:$AI$259), ""), 0)),"")</f>
        <v/>
      </c>
      <c r="AM177" s="188" t="str">
        <f t="array" ref="AM177">IFERROR(INDEX($AI$11:$AI$259, MATCH(0, IF(TRUE=$AH$11:$AH$259, COUNTIF($AM$10:$AM176, $AI$11:$AI$259), ""), 0)),"")</f>
        <v/>
      </c>
      <c r="AQ177" s="35">
        <f t="shared" si="17"/>
        <v>0</v>
      </c>
    </row>
    <row r="178" spans="1:43" x14ac:dyDescent="0.25">
      <c r="A178" s="35" t="str">
        <f>IFERROR(INDEX('G-1 All Habitats'!$AG$3:$AG$15,MATCH(E178,'G-1 All Habitats'!$AF$3:$AF$15,0)),"")</f>
        <v/>
      </c>
      <c r="B178" s="35" t="str">
        <f>IFERROR(INDEX('G-8 Condition Look up'!$I$4:$I$131,MATCH(G178,'G-8 Condition Look up'!$A$4:$A$131,0)),"")</f>
        <v/>
      </c>
      <c r="D178" s="168">
        <v>168</v>
      </c>
      <c r="E178" s="275"/>
      <c r="F178" s="275"/>
      <c r="G178" s="370" t="str">
        <f>IFERROR(INDEX('G-1 All Habitats'!$B$3:$B$130,MATCH(F178,'G-1 All Habitats'!$A$3:$A$130,0)),"")</f>
        <v/>
      </c>
      <c r="H178" s="213"/>
      <c r="I178" s="171" t="str">
        <f>IF(G178="","",VLOOKUP(G178,'G-1 All Habitats'!$B$2:$M$130,10,FALSE))</f>
        <v/>
      </c>
      <c r="J178" s="172" t="str">
        <f>IFERROR(VLOOKUP(I178,'G-1 All Habitats'!$V$3:$W$7,2,FALSE),"")</f>
        <v/>
      </c>
      <c r="K178" s="173"/>
      <c r="L178" s="172" t="str">
        <f>IFERROR(INDEX('G-8 Condition Look up'!$A$3:$H$131,MATCH(G178,'G-8 Condition Look up'!$A$3:$A$131,0),MATCH(K178,'G-8 Condition Look up'!$A$3:$H$3,0)),"")</f>
        <v/>
      </c>
      <c r="M178" s="186"/>
      <c r="N178" s="175" t="str">
        <f>IF(M178="","",IF(VLOOKUP(M178,'G-3 Multipliers'!$L$3:$N$6,2,FALSE)=0,"Spatial Data Missing",VLOOKUP(M178,'G-3 Multipliers'!$L$3:$N$6,2,FALSE)))</f>
        <v/>
      </c>
      <c r="O178" s="176" t="str">
        <f>IF(M178="","",IF(VLOOKUP(M178,'G-3 Multipliers'!$L$3:$N$6,3,FALSE)=0,"Spatial Data Missing",VLOOKUP(M178,'G-3 Multipliers'!$L$3:$N$6,3,FALSE)))</f>
        <v/>
      </c>
      <c r="P178" s="177" t="str">
        <f>IFERROR(VLOOKUP(G178,'G-1 All Habitats'!$B$2:$M$130,12,FALSE),"")</f>
        <v/>
      </c>
      <c r="Q178" s="81" t="str">
        <f>IFERROR(IF(P178="","",IF(AND(P178='G-1 All Habitats'!$X$3,T178&gt;0),U178+V178,IF(AND(P178='G-1 All Habitats'!$X$3,S178&gt;0),U178+V178,IF(AND(P178='G-1 All Habitats'!$X$3,AC178&gt;0),"Any Loss Unacceptable",IF(AND(P178='G-1 All Habitats'!$X$3,W178&gt;0),"Any Loss Unacceptable",H178*J178*L178*O178))))),"Check Data")</f>
        <v/>
      </c>
      <c r="R178" s="55"/>
      <c r="S178" s="79"/>
      <c r="T178" s="82"/>
      <c r="U178" s="83" t="str">
        <f t="shared" si="14"/>
        <v/>
      </c>
      <c r="V178" s="83" t="str">
        <f t="shared" si="15"/>
        <v/>
      </c>
      <c r="W178" s="83" t="str">
        <f>IF(E178="","",IF(H178&lt;S178+T178,"Error in Areas",IF(P178&lt;&gt;'G-1 All Habitats'!$X$3,H178-S178-T178,IF(AND(P178='G-1 All Habitats'!$X$3,Y178="Yes"),"Unacceptable Loss",IF(AND(P178='G-1 All Habitats'!$X$3,Y178="No"),AC178,IF(AND(P178='G-1 All Habitats'!$X$3,Y178=""),AC178,IF(AND(P178='G-1 All Habitats'!$X$3,AC178="None",AC178),IF(AND(P178='G-1 All Habitats'!$X$3,AC178&gt;0),H178-S178-T178))))))))</f>
        <v/>
      </c>
      <c r="X178" s="354" t="str">
        <f>IFERROR(IF(H178="","",IF(H178-S178-T178=0&lt;0,"Error in Areas",IF(S178+T178&gt;H178,"Error in Areas",IF(AND(P178='G-1 All Habitats'!$X$3,Y178="Yes"),"Alternative Compensation",IF(W178=0,0,IF(P178='G-1 All Habitats'!$X$3,"Unacceptable Loss",Q178-U178-V178)))))),"Check Data")</f>
        <v/>
      </c>
      <c r="Y178" s="82"/>
      <c r="Z178" s="182"/>
      <c r="AA178" s="183"/>
      <c r="AC178" s="371" t="str">
        <f>IF(P178="","",IF(P178='G-1 All Habitats'!$X$3,H178-S178-T178,"None"))</f>
        <v/>
      </c>
      <c r="AD178" s="372" t="str">
        <f t="shared" si="16"/>
        <v/>
      </c>
      <c r="AF178" s="188" t="str">
        <f t="shared" si="12"/>
        <v/>
      </c>
      <c r="AG178" s="188" t="str">
        <f t="shared" si="13"/>
        <v/>
      </c>
      <c r="AH178" s="188" t="str">
        <f>IF(I178="","",IF(#REF!&gt;0,TRUE,FALSE))</f>
        <v/>
      </c>
      <c r="AI178" s="188">
        <v>168</v>
      </c>
      <c r="AJ178" s="188"/>
      <c r="AK178" s="188" t="str">
        <f t="array" ref="AK178">IFERROR(INDEX($AI$11:$AI$259, MATCH(0, IF(TRUE=$AF$11:$AF$259, COUNTIF($AK$10:$AK177, $AI$11:$AI$259), ""), 0)),"")</f>
        <v/>
      </c>
      <c r="AL178" s="188" t="str">
        <f t="array" ref="AL178">IFERROR(INDEX($AI$11:$AI$259, MATCH(0, IF(TRUE=$AG$11:$AG$259, COUNTIF($AL$10:$AL177, $AI$11:$AI$259), ""), 0)),"")</f>
        <v/>
      </c>
      <c r="AM178" s="188" t="str">
        <f t="array" ref="AM178">IFERROR(INDEX($AI$11:$AI$259, MATCH(0, IF(TRUE=$AH$11:$AH$259, COUNTIF($AM$10:$AM177, $AI$11:$AI$259), ""), 0)),"")</f>
        <v/>
      </c>
      <c r="AQ178" s="35">
        <f t="shared" si="17"/>
        <v>0</v>
      </c>
    </row>
    <row r="179" spans="1:43" x14ac:dyDescent="0.25">
      <c r="A179" s="35" t="str">
        <f>IFERROR(INDEX('G-1 All Habitats'!$AG$3:$AG$15,MATCH(E179,'G-1 All Habitats'!$AF$3:$AF$15,0)),"")</f>
        <v/>
      </c>
      <c r="B179" s="35" t="str">
        <f>IFERROR(INDEX('G-8 Condition Look up'!$I$4:$I$131,MATCH(G179,'G-8 Condition Look up'!$A$4:$A$131,0)),"")</f>
        <v/>
      </c>
      <c r="D179" s="168">
        <v>169</v>
      </c>
      <c r="E179" s="275"/>
      <c r="F179" s="275"/>
      <c r="G179" s="370" t="str">
        <f>IFERROR(INDEX('G-1 All Habitats'!$B$3:$B$130,MATCH(F179,'G-1 All Habitats'!$A$3:$A$130,0)),"")</f>
        <v/>
      </c>
      <c r="H179" s="213"/>
      <c r="I179" s="171" t="str">
        <f>IF(G179="","",VLOOKUP(G179,'G-1 All Habitats'!$B$2:$M$130,10,FALSE))</f>
        <v/>
      </c>
      <c r="J179" s="172" t="str">
        <f>IFERROR(VLOOKUP(I179,'G-1 All Habitats'!$V$3:$W$7,2,FALSE),"")</f>
        <v/>
      </c>
      <c r="K179" s="173"/>
      <c r="L179" s="172" t="str">
        <f>IFERROR(INDEX('G-8 Condition Look up'!$A$3:$H$131,MATCH(G179,'G-8 Condition Look up'!$A$3:$A$131,0),MATCH(K179,'G-8 Condition Look up'!$A$3:$H$3,0)),"")</f>
        <v/>
      </c>
      <c r="M179" s="186"/>
      <c r="N179" s="175" t="str">
        <f>IF(M179="","",IF(VLOOKUP(M179,'G-3 Multipliers'!$L$3:$N$6,2,FALSE)=0,"Spatial Data Missing",VLOOKUP(M179,'G-3 Multipliers'!$L$3:$N$6,2,FALSE)))</f>
        <v/>
      </c>
      <c r="O179" s="176" t="str">
        <f>IF(M179="","",IF(VLOOKUP(M179,'G-3 Multipliers'!$L$3:$N$6,3,FALSE)=0,"Spatial Data Missing",VLOOKUP(M179,'G-3 Multipliers'!$L$3:$N$6,3,FALSE)))</f>
        <v/>
      </c>
      <c r="P179" s="177" t="str">
        <f>IFERROR(VLOOKUP(G179,'G-1 All Habitats'!$B$2:$M$130,12,FALSE),"")</f>
        <v/>
      </c>
      <c r="Q179" s="81" t="str">
        <f>IFERROR(IF(P179="","",IF(AND(P179='G-1 All Habitats'!$X$3,T179&gt;0),U179+V179,IF(AND(P179='G-1 All Habitats'!$X$3,S179&gt;0),U179+V179,IF(AND(P179='G-1 All Habitats'!$X$3,AC179&gt;0),"Any Loss Unacceptable",IF(AND(P179='G-1 All Habitats'!$X$3,W179&gt;0),"Any Loss Unacceptable",H179*J179*L179*O179))))),"Check Data")</f>
        <v/>
      </c>
      <c r="R179" s="55"/>
      <c r="S179" s="79"/>
      <c r="T179" s="82"/>
      <c r="U179" s="83" t="str">
        <f t="shared" si="14"/>
        <v/>
      </c>
      <c r="V179" s="83" t="str">
        <f t="shared" si="15"/>
        <v/>
      </c>
      <c r="W179" s="83" t="str">
        <f>IF(E179="","",IF(H179&lt;S179+T179,"Error in Areas",IF(P179&lt;&gt;'G-1 All Habitats'!$X$3,H179-S179-T179,IF(AND(P179='G-1 All Habitats'!$X$3,Y179="Yes"),"Unacceptable Loss",IF(AND(P179='G-1 All Habitats'!$X$3,Y179="No"),AC179,IF(AND(P179='G-1 All Habitats'!$X$3,Y179=""),AC179,IF(AND(P179='G-1 All Habitats'!$X$3,AC179="None",AC179),IF(AND(P179='G-1 All Habitats'!$X$3,AC179&gt;0),H179-S179-T179))))))))</f>
        <v/>
      </c>
      <c r="X179" s="354" t="str">
        <f>IFERROR(IF(H179="","",IF(H179-S179-T179=0&lt;0,"Error in Areas",IF(S179+T179&gt;H179,"Error in Areas",IF(AND(P179='G-1 All Habitats'!$X$3,Y179="Yes"),"Alternative Compensation",IF(W179=0,0,IF(P179='G-1 All Habitats'!$X$3,"Unacceptable Loss",Q179-U179-V179)))))),"Check Data")</f>
        <v/>
      </c>
      <c r="Y179" s="82"/>
      <c r="Z179" s="182"/>
      <c r="AA179" s="183"/>
      <c r="AC179" s="371" t="str">
        <f>IF(P179="","",IF(P179='G-1 All Habitats'!$X$3,H179-S179-T179,"None"))</f>
        <v/>
      </c>
      <c r="AD179" s="372" t="str">
        <f t="shared" si="16"/>
        <v/>
      </c>
      <c r="AF179" s="188" t="str">
        <f t="shared" si="12"/>
        <v/>
      </c>
      <c r="AG179" s="188" t="str">
        <f t="shared" si="13"/>
        <v/>
      </c>
      <c r="AH179" s="188" t="str">
        <f>IF(I179="","",IF(#REF!&gt;0,TRUE,FALSE))</f>
        <v/>
      </c>
      <c r="AI179" s="188">
        <v>169</v>
      </c>
      <c r="AJ179" s="188"/>
      <c r="AK179" s="188" t="str">
        <f t="array" ref="AK179">IFERROR(INDEX($AI$11:$AI$259, MATCH(0, IF(TRUE=$AF$11:$AF$259, COUNTIF($AK$10:$AK178, $AI$11:$AI$259), ""), 0)),"")</f>
        <v/>
      </c>
      <c r="AL179" s="188" t="str">
        <f t="array" ref="AL179">IFERROR(INDEX($AI$11:$AI$259, MATCH(0, IF(TRUE=$AG$11:$AG$259, COUNTIF($AL$10:$AL178, $AI$11:$AI$259), ""), 0)),"")</f>
        <v/>
      </c>
      <c r="AM179" s="188" t="str">
        <f t="array" ref="AM179">IFERROR(INDEX($AI$11:$AI$259, MATCH(0, IF(TRUE=$AH$11:$AH$259, COUNTIF($AM$10:$AM178, $AI$11:$AI$259), ""), 0)),"")</f>
        <v/>
      </c>
      <c r="AQ179" s="35">
        <f t="shared" si="17"/>
        <v>0</v>
      </c>
    </row>
    <row r="180" spans="1:43" x14ac:dyDescent="0.25">
      <c r="A180" s="35" t="str">
        <f>IFERROR(INDEX('G-1 All Habitats'!$AG$3:$AG$15,MATCH(E180,'G-1 All Habitats'!$AF$3:$AF$15,0)),"")</f>
        <v/>
      </c>
      <c r="B180" s="35" t="str">
        <f>IFERROR(INDEX('G-8 Condition Look up'!$I$4:$I$131,MATCH(G180,'G-8 Condition Look up'!$A$4:$A$131,0)),"")</f>
        <v/>
      </c>
      <c r="D180" s="168">
        <v>170</v>
      </c>
      <c r="E180" s="275"/>
      <c r="F180" s="275"/>
      <c r="G180" s="370" t="str">
        <f>IFERROR(INDEX('G-1 All Habitats'!$B$3:$B$130,MATCH(F180,'G-1 All Habitats'!$A$3:$A$130,0)),"")</f>
        <v/>
      </c>
      <c r="H180" s="213"/>
      <c r="I180" s="171" t="str">
        <f>IF(G180="","",VLOOKUP(G180,'G-1 All Habitats'!$B$2:$M$130,10,FALSE))</f>
        <v/>
      </c>
      <c r="J180" s="172" t="str">
        <f>IFERROR(VLOOKUP(I180,'G-1 All Habitats'!$V$3:$W$7,2,FALSE),"")</f>
        <v/>
      </c>
      <c r="K180" s="173"/>
      <c r="L180" s="172" t="str">
        <f>IFERROR(INDEX('G-8 Condition Look up'!$A$3:$H$131,MATCH(G180,'G-8 Condition Look up'!$A$3:$A$131,0),MATCH(K180,'G-8 Condition Look up'!$A$3:$H$3,0)),"")</f>
        <v/>
      </c>
      <c r="M180" s="186"/>
      <c r="N180" s="175" t="str">
        <f>IF(M180="","",IF(VLOOKUP(M180,'G-3 Multipliers'!$L$3:$N$6,2,FALSE)=0,"Spatial Data Missing",VLOOKUP(M180,'G-3 Multipliers'!$L$3:$N$6,2,FALSE)))</f>
        <v/>
      </c>
      <c r="O180" s="176" t="str">
        <f>IF(M180="","",IF(VLOOKUP(M180,'G-3 Multipliers'!$L$3:$N$6,3,FALSE)=0,"Spatial Data Missing",VLOOKUP(M180,'G-3 Multipliers'!$L$3:$N$6,3,FALSE)))</f>
        <v/>
      </c>
      <c r="P180" s="177" t="str">
        <f>IFERROR(VLOOKUP(G180,'G-1 All Habitats'!$B$2:$M$130,12,FALSE),"")</f>
        <v/>
      </c>
      <c r="Q180" s="81" t="str">
        <f>IFERROR(IF(P180="","",IF(AND(P180='G-1 All Habitats'!$X$3,T180&gt;0),U180+V180,IF(AND(P180='G-1 All Habitats'!$X$3,S180&gt;0),U180+V180,IF(AND(P180='G-1 All Habitats'!$X$3,AC180&gt;0),"Any Loss Unacceptable",IF(AND(P180='G-1 All Habitats'!$X$3,W180&gt;0),"Any Loss Unacceptable",H180*J180*L180*O180))))),"Check Data")</f>
        <v/>
      </c>
      <c r="R180" s="55"/>
      <c r="S180" s="79"/>
      <c r="T180" s="82"/>
      <c r="U180" s="83" t="str">
        <f t="shared" si="14"/>
        <v/>
      </c>
      <c r="V180" s="83" t="str">
        <f t="shared" si="15"/>
        <v/>
      </c>
      <c r="W180" s="83" t="str">
        <f>IF(E180="","",IF(H180&lt;S180+T180,"Error in Areas",IF(P180&lt;&gt;'G-1 All Habitats'!$X$3,H180-S180-T180,IF(AND(P180='G-1 All Habitats'!$X$3,Y180="Yes"),"Unacceptable Loss",IF(AND(P180='G-1 All Habitats'!$X$3,Y180="No"),AC180,IF(AND(P180='G-1 All Habitats'!$X$3,Y180=""),AC180,IF(AND(P180='G-1 All Habitats'!$X$3,AC180="None",AC180),IF(AND(P180='G-1 All Habitats'!$X$3,AC180&gt;0),H180-S180-T180))))))))</f>
        <v/>
      </c>
      <c r="X180" s="354" t="str">
        <f>IFERROR(IF(H180="","",IF(H180-S180-T180=0&lt;0,"Error in Areas",IF(S180+T180&gt;H180,"Error in Areas",IF(AND(P180='G-1 All Habitats'!$X$3,Y180="Yes"),"Alternative Compensation",IF(W180=0,0,IF(P180='G-1 All Habitats'!$X$3,"Unacceptable Loss",Q180-U180-V180)))))),"Check Data")</f>
        <v/>
      </c>
      <c r="Y180" s="82"/>
      <c r="Z180" s="182"/>
      <c r="AA180" s="183"/>
      <c r="AC180" s="371" t="str">
        <f>IF(P180="","",IF(P180='G-1 All Habitats'!$X$3,H180-S180-T180,"None"))</f>
        <v/>
      </c>
      <c r="AD180" s="372" t="str">
        <f t="shared" si="16"/>
        <v/>
      </c>
      <c r="AF180" s="188" t="str">
        <f t="shared" si="12"/>
        <v/>
      </c>
      <c r="AG180" s="188" t="str">
        <f t="shared" si="13"/>
        <v/>
      </c>
      <c r="AH180" s="188" t="str">
        <f>IF(I180="","",IF(#REF!&gt;0,TRUE,FALSE))</f>
        <v/>
      </c>
      <c r="AI180" s="188">
        <v>170</v>
      </c>
      <c r="AJ180" s="188"/>
      <c r="AK180" s="188" t="str">
        <f t="array" ref="AK180">IFERROR(INDEX($AI$11:$AI$259, MATCH(0, IF(TRUE=$AF$11:$AF$259, COUNTIF($AK$10:$AK179, $AI$11:$AI$259), ""), 0)),"")</f>
        <v/>
      </c>
      <c r="AL180" s="188" t="str">
        <f t="array" ref="AL180">IFERROR(INDEX($AI$11:$AI$259, MATCH(0, IF(TRUE=$AG$11:$AG$259, COUNTIF($AL$10:$AL179, $AI$11:$AI$259), ""), 0)),"")</f>
        <v/>
      </c>
      <c r="AM180" s="188" t="str">
        <f t="array" ref="AM180">IFERROR(INDEX($AI$11:$AI$259, MATCH(0, IF(TRUE=$AH$11:$AH$259, COUNTIF($AM$10:$AM179, $AI$11:$AI$259), ""), 0)),"")</f>
        <v/>
      </c>
      <c r="AQ180" s="35">
        <f t="shared" si="17"/>
        <v>0</v>
      </c>
    </row>
    <row r="181" spans="1:43" x14ac:dyDescent="0.25">
      <c r="A181" s="35" t="str">
        <f>IFERROR(INDEX('G-1 All Habitats'!$AG$3:$AG$15,MATCH(E181,'G-1 All Habitats'!$AF$3:$AF$15,0)),"")</f>
        <v/>
      </c>
      <c r="B181" s="35" t="str">
        <f>IFERROR(INDEX('G-8 Condition Look up'!$I$4:$I$131,MATCH(G181,'G-8 Condition Look up'!$A$4:$A$131,0)),"")</f>
        <v/>
      </c>
      <c r="D181" s="168">
        <v>171</v>
      </c>
      <c r="E181" s="275"/>
      <c r="F181" s="275"/>
      <c r="G181" s="370" t="str">
        <f>IFERROR(INDEX('G-1 All Habitats'!$B$3:$B$130,MATCH(F181,'G-1 All Habitats'!$A$3:$A$130,0)),"")</f>
        <v/>
      </c>
      <c r="H181" s="213"/>
      <c r="I181" s="171" t="str">
        <f>IF(G181="","",VLOOKUP(G181,'G-1 All Habitats'!$B$2:$M$130,10,FALSE))</f>
        <v/>
      </c>
      <c r="J181" s="172" t="str">
        <f>IFERROR(VLOOKUP(I181,'G-1 All Habitats'!$V$3:$W$7,2,FALSE),"")</f>
        <v/>
      </c>
      <c r="K181" s="173"/>
      <c r="L181" s="172" t="str">
        <f>IFERROR(INDEX('G-8 Condition Look up'!$A$3:$H$131,MATCH(G181,'G-8 Condition Look up'!$A$3:$A$131,0),MATCH(K181,'G-8 Condition Look up'!$A$3:$H$3,0)),"")</f>
        <v/>
      </c>
      <c r="M181" s="186"/>
      <c r="N181" s="175" t="str">
        <f>IF(M181="","",IF(VLOOKUP(M181,'G-3 Multipliers'!$L$3:$N$6,2,FALSE)=0,"Spatial Data Missing",VLOOKUP(M181,'G-3 Multipliers'!$L$3:$N$6,2,FALSE)))</f>
        <v/>
      </c>
      <c r="O181" s="176" t="str">
        <f>IF(M181="","",IF(VLOOKUP(M181,'G-3 Multipliers'!$L$3:$N$6,3,FALSE)=0,"Spatial Data Missing",VLOOKUP(M181,'G-3 Multipliers'!$L$3:$N$6,3,FALSE)))</f>
        <v/>
      </c>
      <c r="P181" s="177" t="str">
        <f>IFERROR(VLOOKUP(G181,'G-1 All Habitats'!$B$2:$M$130,12,FALSE),"")</f>
        <v/>
      </c>
      <c r="Q181" s="81" t="str">
        <f>IFERROR(IF(P181="","",IF(AND(P181='G-1 All Habitats'!$X$3,T181&gt;0),U181+V181,IF(AND(P181='G-1 All Habitats'!$X$3,S181&gt;0),U181+V181,IF(AND(P181='G-1 All Habitats'!$X$3,AC181&gt;0),"Any Loss Unacceptable",IF(AND(P181='G-1 All Habitats'!$X$3,W181&gt;0),"Any Loss Unacceptable",H181*J181*L181*O181))))),"Check Data")</f>
        <v/>
      </c>
      <c r="R181" s="55"/>
      <c r="S181" s="79"/>
      <c r="T181" s="82"/>
      <c r="U181" s="83" t="str">
        <f t="shared" si="14"/>
        <v/>
      </c>
      <c r="V181" s="83" t="str">
        <f t="shared" si="15"/>
        <v/>
      </c>
      <c r="W181" s="83" t="str">
        <f>IF(E181="","",IF(H181&lt;S181+T181,"Error in Areas",IF(P181&lt;&gt;'G-1 All Habitats'!$X$3,H181-S181-T181,IF(AND(P181='G-1 All Habitats'!$X$3,Y181="Yes"),"Unacceptable Loss",IF(AND(P181='G-1 All Habitats'!$X$3,Y181="No"),AC181,IF(AND(P181='G-1 All Habitats'!$X$3,Y181=""),AC181,IF(AND(P181='G-1 All Habitats'!$X$3,AC181="None",AC181),IF(AND(P181='G-1 All Habitats'!$X$3,AC181&gt;0),H181-S181-T181))))))))</f>
        <v/>
      </c>
      <c r="X181" s="354" t="str">
        <f>IFERROR(IF(H181="","",IF(H181-S181-T181=0&lt;0,"Error in Areas",IF(S181+T181&gt;H181,"Error in Areas",IF(AND(P181='G-1 All Habitats'!$X$3,Y181="Yes"),"Alternative Compensation",IF(W181=0,0,IF(P181='G-1 All Habitats'!$X$3,"Unacceptable Loss",Q181-U181-V181)))))),"Check Data")</f>
        <v/>
      </c>
      <c r="Y181" s="82"/>
      <c r="Z181" s="182"/>
      <c r="AA181" s="183"/>
      <c r="AC181" s="371" t="str">
        <f>IF(P181="","",IF(P181='G-1 All Habitats'!$X$3,H181-S181-T181,"None"))</f>
        <v/>
      </c>
      <c r="AD181" s="372" t="str">
        <f t="shared" si="16"/>
        <v/>
      </c>
      <c r="AF181" s="188" t="str">
        <f t="shared" si="12"/>
        <v/>
      </c>
      <c r="AG181" s="188" t="str">
        <f t="shared" si="13"/>
        <v/>
      </c>
      <c r="AH181" s="188" t="str">
        <f>IF(I181="","",IF(#REF!&gt;0,TRUE,FALSE))</f>
        <v/>
      </c>
      <c r="AI181" s="188">
        <v>171</v>
      </c>
      <c r="AJ181" s="188"/>
      <c r="AK181" s="188" t="str">
        <f t="array" ref="AK181">IFERROR(INDEX($AI$11:$AI$259, MATCH(0, IF(TRUE=$AF$11:$AF$259, COUNTIF($AK$10:$AK180, $AI$11:$AI$259), ""), 0)),"")</f>
        <v/>
      </c>
      <c r="AL181" s="188" t="str">
        <f t="array" ref="AL181">IFERROR(INDEX($AI$11:$AI$259, MATCH(0, IF(TRUE=$AG$11:$AG$259, COUNTIF($AL$10:$AL180, $AI$11:$AI$259), ""), 0)),"")</f>
        <v/>
      </c>
      <c r="AM181" s="188" t="str">
        <f t="array" ref="AM181">IFERROR(INDEX($AI$11:$AI$259, MATCH(0, IF(TRUE=$AH$11:$AH$259, COUNTIF($AM$10:$AM180, $AI$11:$AI$259), ""), 0)),"")</f>
        <v/>
      </c>
      <c r="AQ181" s="35">
        <f t="shared" si="17"/>
        <v>0</v>
      </c>
    </row>
    <row r="182" spans="1:43" x14ac:dyDescent="0.25">
      <c r="A182" s="35" t="str">
        <f>IFERROR(INDEX('G-1 All Habitats'!$AG$3:$AG$15,MATCH(E182,'G-1 All Habitats'!$AF$3:$AF$15,0)),"")</f>
        <v/>
      </c>
      <c r="B182" s="35" t="str">
        <f>IFERROR(INDEX('G-8 Condition Look up'!$I$4:$I$131,MATCH(G182,'G-8 Condition Look up'!$A$4:$A$131,0)),"")</f>
        <v/>
      </c>
      <c r="D182" s="168">
        <v>172</v>
      </c>
      <c r="E182" s="275"/>
      <c r="F182" s="275"/>
      <c r="G182" s="370" t="str">
        <f>IFERROR(INDEX('G-1 All Habitats'!$B$3:$B$130,MATCH(F182,'G-1 All Habitats'!$A$3:$A$130,0)),"")</f>
        <v/>
      </c>
      <c r="H182" s="213"/>
      <c r="I182" s="171" t="str">
        <f>IF(G182="","",VLOOKUP(G182,'G-1 All Habitats'!$B$2:$M$130,10,FALSE))</f>
        <v/>
      </c>
      <c r="J182" s="172" t="str">
        <f>IFERROR(VLOOKUP(I182,'G-1 All Habitats'!$V$3:$W$7,2,FALSE),"")</f>
        <v/>
      </c>
      <c r="K182" s="173"/>
      <c r="L182" s="172" t="str">
        <f>IFERROR(INDEX('G-8 Condition Look up'!$A$3:$H$131,MATCH(G182,'G-8 Condition Look up'!$A$3:$A$131,0),MATCH(K182,'G-8 Condition Look up'!$A$3:$H$3,0)),"")</f>
        <v/>
      </c>
      <c r="M182" s="186"/>
      <c r="N182" s="175" t="str">
        <f>IF(M182="","",IF(VLOOKUP(M182,'G-3 Multipliers'!$L$3:$N$6,2,FALSE)=0,"Spatial Data Missing",VLOOKUP(M182,'G-3 Multipliers'!$L$3:$N$6,2,FALSE)))</f>
        <v/>
      </c>
      <c r="O182" s="176" t="str">
        <f>IF(M182="","",IF(VLOOKUP(M182,'G-3 Multipliers'!$L$3:$N$6,3,FALSE)=0,"Spatial Data Missing",VLOOKUP(M182,'G-3 Multipliers'!$L$3:$N$6,3,FALSE)))</f>
        <v/>
      </c>
      <c r="P182" s="177" t="str">
        <f>IFERROR(VLOOKUP(G182,'G-1 All Habitats'!$B$2:$M$130,12,FALSE),"")</f>
        <v/>
      </c>
      <c r="Q182" s="81" t="str">
        <f>IFERROR(IF(P182="","",IF(AND(P182='G-1 All Habitats'!$X$3,T182&gt;0),U182+V182,IF(AND(P182='G-1 All Habitats'!$X$3,S182&gt;0),U182+V182,IF(AND(P182='G-1 All Habitats'!$X$3,AC182&gt;0),"Any Loss Unacceptable",IF(AND(P182='G-1 All Habitats'!$X$3,W182&gt;0),"Any Loss Unacceptable",H182*J182*L182*O182))))),"Check Data")</f>
        <v/>
      </c>
      <c r="R182" s="55"/>
      <c r="S182" s="79"/>
      <c r="T182" s="82"/>
      <c r="U182" s="83" t="str">
        <f t="shared" si="14"/>
        <v/>
      </c>
      <c r="V182" s="83" t="str">
        <f t="shared" si="15"/>
        <v/>
      </c>
      <c r="W182" s="83" t="str">
        <f>IF(E182="","",IF(H182&lt;S182+T182,"Error in Areas",IF(P182&lt;&gt;'G-1 All Habitats'!$X$3,H182-S182-T182,IF(AND(P182='G-1 All Habitats'!$X$3,Y182="Yes"),"Unacceptable Loss",IF(AND(P182='G-1 All Habitats'!$X$3,Y182="No"),AC182,IF(AND(P182='G-1 All Habitats'!$X$3,Y182=""),AC182,IF(AND(P182='G-1 All Habitats'!$X$3,AC182="None",AC182),IF(AND(P182='G-1 All Habitats'!$X$3,AC182&gt;0),H182-S182-T182))))))))</f>
        <v/>
      </c>
      <c r="X182" s="354" t="str">
        <f>IFERROR(IF(H182="","",IF(H182-S182-T182=0&lt;0,"Error in Areas",IF(S182+T182&gt;H182,"Error in Areas",IF(AND(P182='G-1 All Habitats'!$X$3,Y182="Yes"),"Alternative Compensation",IF(W182=0,0,IF(P182='G-1 All Habitats'!$X$3,"Unacceptable Loss",Q182-U182-V182)))))),"Check Data")</f>
        <v/>
      </c>
      <c r="Y182" s="82"/>
      <c r="Z182" s="182"/>
      <c r="AA182" s="183"/>
      <c r="AC182" s="371" t="str">
        <f>IF(P182="","",IF(P182='G-1 All Habitats'!$X$3,H182-S182-T182,"None"))</f>
        <v/>
      </c>
      <c r="AD182" s="372" t="str">
        <f t="shared" si="16"/>
        <v/>
      </c>
      <c r="AF182" s="188" t="str">
        <f t="shared" si="12"/>
        <v/>
      </c>
      <c r="AG182" s="188" t="str">
        <f t="shared" si="13"/>
        <v/>
      </c>
      <c r="AH182" s="188" t="str">
        <f>IF(I182="","",IF(#REF!&gt;0,TRUE,FALSE))</f>
        <v/>
      </c>
      <c r="AI182" s="188">
        <v>172</v>
      </c>
      <c r="AJ182" s="188"/>
      <c r="AK182" s="188" t="str">
        <f t="array" ref="AK182">IFERROR(INDEX($AI$11:$AI$259, MATCH(0, IF(TRUE=$AF$11:$AF$259, COUNTIF($AK$10:$AK181, $AI$11:$AI$259), ""), 0)),"")</f>
        <v/>
      </c>
      <c r="AL182" s="188" t="str">
        <f t="array" ref="AL182">IFERROR(INDEX($AI$11:$AI$259, MATCH(0, IF(TRUE=$AG$11:$AG$259, COUNTIF($AL$10:$AL181, $AI$11:$AI$259), ""), 0)),"")</f>
        <v/>
      </c>
      <c r="AM182" s="188" t="str">
        <f t="array" ref="AM182">IFERROR(INDEX($AI$11:$AI$259, MATCH(0, IF(TRUE=$AH$11:$AH$259, COUNTIF($AM$10:$AM181, $AI$11:$AI$259), ""), 0)),"")</f>
        <v/>
      </c>
      <c r="AQ182" s="35">
        <f t="shared" si="17"/>
        <v>0</v>
      </c>
    </row>
    <row r="183" spans="1:43" x14ac:dyDescent="0.25">
      <c r="A183" s="35" t="str">
        <f>IFERROR(INDEX('G-1 All Habitats'!$AG$3:$AG$15,MATCH(E183,'G-1 All Habitats'!$AF$3:$AF$15,0)),"")</f>
        <v/>
      </c>
      <c r="B183" s="35" t="str">
        <f>IFERROR(INDEX('G-8 Condition Look up'!$I$4:$I$131,MATCH(G183,'G-8 Condition Look up'!$A$4:$A$131,0)),"")</f>
        <v/>
      </c>
      <c r="D183" s="168">
        <v>173</v>
      </c>
      <c r="E183" s="275"/>
      <c r="F183" s="275"/>
      <c r="G183" s="370" t="str">
        <f>IFERROR(INDEX('G-1 All Habitats'!$B$3:$B$130,MATCH(F183,'G-1 All Habitats'!$A$3:$A$130,0)),"")</f>
        <v/>
      </c>
      <c r="H183" s="213"/>
      <c r="I183" s="171" t="str">
        <f>IF(G183="","",VLOOKUP(G183,'G-1 All Habitats'!$B$2:$M$130,10,FALSE))</f>
        <v/>
      </c>
      <c r="J183" s="172" t="str">
        <f>IFERROR(VLOOKUP(I183,'G-1 All Habitats'!$V$3:$W$7,2,FALSE),"")</f>
        <v/>
      </c>
      <c r="K183" s="173"/>
      <c r="L183" s="172" t="str">
        <f>IFERROR(INDEX('G-8 Condition Look up'!$A$3:$H$131,MATCH(G183,'G-8 Condition Look up'!$A$3:$A$131,0),MATCH(K183,'G-8 Condition Look up'!$A$3:$H$3,0)),"")</f>
        <v/>
      </c>
      <c r="M183" s="186"/>
      <c r="N183" s="175" t="str">
        <f>IF(M183="","",IF(VLOOKUP(M183,'G-3 Multipliers'!$L$3:$N$6,2,FALSE)=0,"Spatial Data Missing",VLOOKUP(M183,'G-3 Multipliers'!$L$3:$N$6,2,FALSE)))</f>
        <v/>
      </c>
      <c r="O183" s="176" t="str">
        <f>IF(M183="","",IF(VLOOKUP(M183,'G-3 Multipliers'!$L$3:$N$6,3,FALSE)=0,"Spatial Data Missing",VLOOKUP(M183,'G-3 Multipliers'!$L$3:$N$6,3,FALSE)))</f>
        <v/>
      </c>
      <c r="P183" s="177" t="str">
        <f>IFERROR(VLOOKUP(G183,'G-1 All Habitats'!$B$2:$M$130,12,FALSE),"")</f>
        <v/>
      </c>
      <c r="Q183" s="81" t="str">
        <f>IFERROR(IF(P183="","",IF(AND(P183='G-1 All Habitats'!$X$3,T183&gt;0),U183+V183,IF(AND(P183='G-1 All Habitats'!$X$3,S183&gt;0),U183+V183,IF(AND(P183='G-1 All Habitats'!$X$3,AC183&gt;0),"Any Loss Unacceptable",IF(AND(P183='G-1 All Habitats'!$X$3,W183&gt;0),"Any Loss Unacceptable",H183*J183*L183*O183))))),"Check Data")</f>
        <v/>
      </c>
      <c r="R183" s="55"/>
      <c r="S183" s="79"/>
      <c r="T183" s="82"/>
      <c r="U183" s="83" t="str">
        <f t="shared" si="14"/>
        <v/>
      </c>
      <c r="V183" s="83" t="str">
        <f t="shared" si="15"/>
        <v/>
      </c>
      <c r="W183" s="83" t="str">
        <f>IF(E183="","",IF(H183&lt;S183+T183,"Error in Areas",IF(P183&lt;&gt;'G-1 All Habitats'!$X$3,H183-S183-T183,IF(AND(P183='G-1 All Habitats'!$X$3,Y183="Yes"),"Unacceptable Loss",IF(AND(P183='G-1 All Habitats'!$X$3,Y183="No"),AC183,IF(AND(P183='G-1 All Habitats'!$X$3,Y183=""),AC183,IF(AND(P183='G-1 All Habitats'!$X$3,AC183="None",AC183),IF(AND(P183='G-1 All Habitats'!$X$3,AC183&gt;0),H183-S183-T183))))))))</f>
        <v/>
      </c>
      <c r="X183" s="354" t="str">
        <f>IFERROR(IF(H183="","",IF(H183-S183-T183=0&lt;0,"Error in Areas",IF(S183+T183&gt;H183,"Error in Areas",IF(AND(P183='G-1 All Habitats'!$X$3,Y183="Yes"),"Alternative Compensation",IF(W183=0,0,IF(P183='G-1 All Habitats'!$X$3,"Unacceptable Loss",Q183-U183-V183)))))),"Check Data")</f>
        <v/>
      </c>
      <c r="Y183" s="82"/>
      <c r="Z183" s="182"/>
      <c r="AA183" s="183"/>
      <c r="AC183" s="371" t="str">
        <f>IF(P183="","",IF(P183='G-1 All Habitats'!$X$3,H183-S183-T183,"None"))</f>
        <v/>
      </c>
      <c r="AD183" s="372" t="str">
        <f t="shared" si="16"/>
        <v/>
      </c>
      <c r="AF183" s="188" t="str">
        <f t="shared" si="12"/>
        <v/>
      </c>
      <c r="AG183" s="188" t="str">
        <f t="shared" si="13"/>
        <v/>
      </c>
      <c r="AH183" s="188" t="str">
        <f>IF(I183="","",IF(#REF!&gt;0,TRUE,FALSE))</f>
        <v/>
      </c>
      <c r="AI183" s="188">
        <v>173</v>
      </c>
      <c r="AJ183" s="188"/>
      <c r="AK183" s="188" t="str">
        <f t="array" ref="AK183">IFERROR(INDEX($AI$11:$AI$259, MATCH(0, IF(TRUE=$AF$11:$AF$259, COUNTIF($AK$10:$AK182, $AI$11:$AI$259), ""), 0)),"")</f>
        <v/>
      </c>
      <c r="AL183" s="188" t="str">
        <f t="array" ref="AL183">IFERROR(INDEX($AI$11:$AI$259, MATCH(0, IF(TRUE=$AG$11:$AG$259, COUNTIF($AL$10:$AL182, $AI$11:$AI$259), ""), 0)),"")</f>
        <v/>
      </c>
      <c r="AM183" s="188" t="str">
        <f t="array" ref="AM183">IFERROR(INDEX($AI$11:$AI$259, MATCH(0, IF(TRUE=$AH$11:$AH$259, COUNTIF($AM$10:$AM182, $AI$11:$AI$259), ""), 0)),"")</f>
        <v/>
      </c>
      <c r="AQ183" s="35">
        <f t="shared" si="17"/>
        <v>0</v>
      </c>
    </row>
    <row r="184" spans="1:43" x14ac:dyDescent="0.25">
      <c r="A184" s="35" t="str">
        <f>IFERROR(INDEX('G-1 All Habitats'!$AG$3:$AG$15,MATCH(E184,'G-1 All Habitats'!$AF$3:$AF$15,0)),"")</f>
        <v/>
      </c>
      <c r="B184" s="35" t="str">
        <f>IFERROR(INDEX('G-8 Condition Look up'!$I$4:$I$131,MATCH(G184,'G-8 Condition Look up'!$A$4:$A$131,0)),"")</f>
        <v/>
      </c>
      <c r="D184" s="168">
        <v>174</v>
      </c>
      <c r="E184" s="275"/>
      <c r="F184" s="275"/>
      <c r="G184" s="370" t="str">
        <f>IFERROR(INDEX('G-1 All Habitats'!$B$3:$B$130,MATCH(F184,'G-1 All Habitats'!$A$3:$A$130,0)),"")</f>
        <v/>
      </c>
      <c r="H184" s="213"/>
      <c r="I184" s="171" t="str">
        <f>IF(G184="","",VLOOKUP(G184,'G-1 All Habitats'!$B$2:$M$130,10,FALSE))</f>
        <v/>
      </c>
      <c r="J184" s="172" t="str">
        <f>IFERROR(VLOOKUP(I184,'G-1 All Habitats'!$V$3:$W$7,2,FALSE),"")</f>
        <v/>
      </c>
      <c r="K184" s="173"/>
      <c r="L184" s="172" t="str">
        <f>IFERROR(INDEX('G-8 Condition Look up'!$A$3:$H$131,MATCH(G184,'G-8 Condition Look up'!$A$3:$A$131,0),MATCH(K184,'G-8 Condition Look up'!$A$3:$H$3,0)),"")</f>
        <v/>
      </c>
      <c r="M184" s="186"/>
      <c r="N184" s="175" t="str">
        <f>IF(M184="","",IF(VLOOKUP(M184,'G-3 Multipliers'!$L$3:$N$6,2,FALSE)=0,"Spatial Data Missing",VLOOKUP(M184,'G-3 Multipliers'!$L$3:$N$6,2,FALSE)))</f>
        <v/>
      </c>
      <c r="O184" s="176" t="str">
        <f>IF(M184="","",IF(VLOOKUP(M184,'G-3 Multipliers'!$L$3:$N$6,3,FALSE)=0,"Spatial Data Missing",VLOOKUP(M184,'G-3 Multipliers'!$L$3:$N$6,3,FALSE)))</f>
        <v/>
      </c>
      <c r="P184" s="177" t="str">
        <f>IFERROR(VLOOKUP(G184,'G-1 All Habitats'!$B$2:$M$130,12,FALSE),"")</f>
        <v/>
      </c>
      <c r="Q184" s="81" t="str">
        <f>IFERROR(IF(P184="","",IF(AND(P184='G-1 All Habitats'!$X$3,T184&gt;0),U184+V184,IF(AND(P184='G-1 All Habitats'!$X$3,S184&gt;0),U184+V184,IF(AND(P184='G-1 All Habitats'!$X$3,AC184&gt;0),"Any Loss Unacceptable",IF(AND(P184='G-1 All Habitats'!$X$3,W184&gt;0),"Any Loss Unacceptable",H184*J184*L184*O184))))),"Check Data")</f>
        <v/>
      </c>
      <c r="R184" s="55"/>
      <c r="S184" s="79"/>
      <c r="T184" s="82"/>
      <c r="U184" s="83" t="str">
        <f t="shared" si="14"/>
        <v/>
      </c>
      <c r="V184" s="83" t="str">
        <f t="shared" si="15"/>
        <v/>
      </c>
      <c r="W184" s="83" t="str">
        <f>IF(E184="","",IF(H184&lt;S184+T184,"Error in Areas",IF(P184&lt;&gt;'G-1 All Habitats'!$X$3,H184-S184-T184,IF(AND(P184='G-1 All Habitats'!$X$3,Y184="Yes"),"Unacceptable Loss",IF(AND(P184='G-1 All Habitats'!$X$3,Y184="No"),AC184,IF(AND(P184='G-1 All Habitats'!$X$3,Y184=""),AC184,IF(AND(P184='G-1 All Habitats'!$X$3,AC184="None",AC184),IF(AND(P184='G-1 All Habitats'!$X$3,AC184&gt;0),H184-S184-T184))))))))</f>
        <v/>
      </c>
      <c r="X184" s="354" t="str">
        <f>IFERROR(IF(H184="","",IF(H184-S184-T184=0&lt;0,"Error in Areas",IF(S184+T184&gt;H184,"Error in Areas",IF(AND(P184='G-1 All Habitats'!$X$3,Y184="Yes"),"Alternative Compensation",IF(W184=0,0,IF(P184='G-1 All Habitats'!$X$3,"Unacceptable Loss",Q184-U184-V184)))))),"Check Data")</f>
        <v/>
      </c>
      <c r="Y184" s="82"/>
      <c r="Z184" s="182"/>
      <c r="AA184" s="183"/>
      <c r="AC184" s="371" t="str">
        <f>IF(P184="","",IF(P184='G-1 All Habitats'!$X$3,H184-S184-T184,"None"))</f>
        <v/>
      </c>
      <c r="AD184" s="372" t="str">
        <f t="shared" si="16"/>
        <v/>
      </c>
      <c r="AF184" s="188" t="str">
        <f t="shared" si="12"/>
        <v/>
      </c>
      <c r="AG184" s="188" t="str">
        <f t="shared" si="13"/>
        <v/>
      </c>
      <c r="AH184" s="188" t="str">
        <f>IF(I184="","",IF(#REF!&gt;0,TRUE,FALSE))</f>
        <v/>
      </c>
      <c r="AI184" s="188">
        <v>174</v>
      </c>
      <c r="AJ184" s="188"/>
      <c r="AK184" s="188" t="str">
        <f t="array" ref="AK184">IFERROR(INDEX($AI$11:$AI$259, MATCH(0, IF(TRUE=$AF$11:$AF$259, COUNTIF($AK$10:$AK183, $AI$11:$AI$259), ""), 0)),"")</f>
        <v/>
      </c>
      <c r="AL184" s="188" t="str">
        <f t="array" ref="AL184">IFERROR(INDEX($AI$11:$AI$259, MATCH(0, IF(TRUE=$AG$11:$AG$259, COUNTIF($AL$10:$AL183, $AI$11:$AI$259), ""), 0)),"")</f>
        <v/>
      </c>
      <c r="AM184" s="188" t="str">
        <f t="array" ref="AM184">IFERROR(INDEX($AI$11:$AI$259, MATCH(0, IF(TRUE=$AH$11:$AH$259, COUNTIF($AM$10:$AM183, $AI$11:$AI$259), ""), 0)),"")</f>
        <v/>
      </c>
      <c r="AQ184" s="35">
        <f t="shared" si="17"/>
        <v>0</v>
      </c>
    </row>
    <row r="185" spans="1:43" x14ac:dyDescent="0.25">
      <c r="A185" s="35" t="str">
        <f>IFERROR(INDEX('G-1 All Habitats'!$AG$3:$AG$15,MATCH(E185,'G-1 All Habitats'!$AF$3:$AF$15,0)),"")</f>
        <v/>
      </c>
      <c r="B185" s="35" t="str">
        <f>IFERROR(INDEX('G-8 Condition Look up'!$I$4:$I$131,MATCH(G185,'G-8 Condition Look up'!$A$4:$A$131,0)),"")</f>
        <v/>
      </c>
      <c r="D185" s="168">
        <v>175</v>
      </c>
      <c r="E185" s="275"/>
      <c r="F185" s="275"/>
      <c r="G185" s="370" t="str">
        <f>IFERROR(INDEX('G-1 All Habitats'!$B$3:$B$130,MATCH(F185,'G-1 All Habitats'!$A$3:$A$130,0)),"")</f>
        <v/>
      </c>
      <c r="H185" s="213"/>
      <c r="I185" s="171" t="str">
        <f>IF(G185="","",VLOOKUP(G185,'G-1 All Habitats'!$B$2:$M$130,10,FALSE))</f>
        <v/>
      </c>
      <c r="J185" s="172" t="str">
        <f>IFERROR(VLOOKUP(I185,'G-1 All Habitats'!$V$3:$W$7,2,FALSE),"")</f>
        <v/>
      </c>
      <c r="K185" s="173"/>
      <c r="L185" s="172" t="str">
        <f>IFERROR(INDEX('G-8 Condition Look up'!$A$3:$H$131,MATCH(G185,'G-8 Condition Look up'!$A$3:$A$131,0),MATCH(K185,'G-8 Condition Look up'!$A$3:$H$3,0)),"")</f>
        <v/>
      </c>
      <c r="M185" s="186"/>
      <c r="N185" s="175" t="str">
        <f>IF(M185="","",IF(VLOOKUP(M185,'G-3 Multipliers'!$L$3:$N$6,2,FALSE)=0,"Spatial Data Missing",VLOOKUP(M185,'G-3 Multipliers'!$L$3:$N$6,2,FALSE)))</f>
        <v/>
      </c>
      <c r="O185" s="176" t="str">
        <f>IF(M185="","",IF(VLOOKUP(M185,'G-3 Multipliers'!$L$3:$N$6,3,FALSE)=0,"Spatial Data Missing",VLOOKUP(M185,'G-3 Multipliers'!$L$3:$N$6,3,FALSE)))</f>
        <v/>
      </c>
      <c r="P185" s="177" t="str">
        <f>IFERROR(VLOOKUP(G185,'G-1 All Habitats'!$B$2:$M$130,12,FALSE),"")</f>
        <v/>
      </c>
      <c r="Q185" s="81" t="str">
        <f>IFERROR(IF(P185="","",IF(AND(P185='G-1 All Habitats'!$X$3,T185&gt;0),U185+V185,IF(AND(P185='G-1 All Habitats'!$X$3,S185&gt;0),U185+V185,IF(AND(P185='G-1 All Habitats'!$X$3,AC185&gt;0),"Any Loss Unacceptable",IF(AND(P185='G-1 All Habitats'!$X$3,W185&gt;0),"Any Loss Unacceptable",H185*J185*L185*O185))))),"Check Data")</f>
        <v/>
      </c>
      <c r="R185" s="55"/>
      <c r="S185" s="79"/>
      <c r="T185" s="82"/>
      <c r="U185" s="83" t="str">
        <f t="shared" si="14"/>
        <v/>
      </c>
      <c r="V185" s="83" t="str">
        <f t="shared" si="15"/>
        <v/>
      </c>
      <c r="W185" s="83" t="str">
        <f>IF(E185="","",IF(H185&lt;S185+T185,"Error in Areas",IF(P185&lt;&gt;'G-1 All Habitats'!$X$3,H185-S185-T185,IF(AND(P185='G-1 All Habitats'!$X$3,Y185="Yes"),"Unacceptable Loss",IF(AND(P185='G-1 All Habitats'!$X$3,Y185="No"),AC185,IF(AND(P185='G-1 All Habitats'!$X$3,Y185=""),AC185,IF(AND(P185='G-1 All Habitats'!$X$3,AC185="None",AC185),IF(AND(P185='G-1 All Habitats'!$X$3,AC185&gt;0),H185-S185-T185))))))))</f>
        <v/>
      </c>
      <c r="X185" s="354" t="str">
        <f>IFERROR(IF(H185="","",IF(H185-S185-T185=0&lt;0,"Error in Areas",IF(S185+T185&gt;H185,"Error in Areas",IF(AND(P185='G-1 All Habitats'!$X$3,Y185="Yes"),"Alternative Compensation",IF(W185=0,0,IF(P185='G-1 All Habitats'!$X$3,"Unacceptable Loss",Q185-U185-V185)))))),"Check Data")</f>
        <v/>
      </c>
      <c r="Y185" s="82"/>
      <c r="Z185" s="182"/>
      <c r="AA185" s="183"/>
      <c r="AC185" s="371" t="str">
        <f>IF(P185="","",IF(P185='G-1 All Habitats'!$X$3,H185-S185-T185,"None"))</f>
        <v/>
      </c>
      <c r="AD185" s="372" t="str">
        <f t="shared" si="16"/>
        <v/>
      </c>
      <c r="AF185" s="188" t="str">
        <f t="shared" si="12"/>
        <v/>
      </c>
      <c r="AG185" s="188" t="str">
        <f t="shared" si="13"/>
        <v/>
      </c>
      <c r="AH185" s="188" t="str">
        <f>IF(I185="","",IF(#REF!&gt;0,TRUE,FALSE))</f>
        <v/>
      </c>
      <c r="AI185" s="188">
        <v>175</v>
      </c>
      <c r="AJ185" s="188"/>
      <c r="AK185" s="188" t="str">
        <f t="array" ref="AK185">IFERROR(INDEX($AI$11:$AI$259, MATCH(0, IF(TRUE=$AF$11:$AF$259, COUNTIF($AK$10:$AK184, $AI$11:$AI$259), ""), 0)),"")</f>
        <v/>
      </c>
      <c r="AL185" s="188" t="str">
        <f t="array" ref="AL185">IFERROR(INDEX($AI$11:$AI$259, MATCH(0, IF(TRUE=$AG$11:$AG$259, COUNTIF($AL$10:$AL184, $AI$11:$AI$259), ""), 0)),"")</f>
        <v/>
      </c>
      <c r="AM185" s="188" t="str">
        <f t="array" ref="AM185">IFERROR(INDEX($AI$11:$AI$259, MATCH(0, IF(TRUE=$AH$11:$AH$259, COUNTIF($AM$10:$AM184, $AI$11:$AI$259), ""), 0)),"")</f>
        <v/>
      </c>
      <c r="AQ185" s="35">
        <f t="shared" si="17"/>
        <v>0</v>
      </c>
    </row>
    <row r="186" spans="1:43" x14ac:dyDescent="0.25">
      <c r="A186" s="35" t="str">
        <f>IFERROR(INDEX('G-1 All Habitats'!$AG$3:$AG$15,MATCH(E186,'G-1 All Habitats'!$AF$3:$AF$15,0)),"")</f>
        <v/>
      </c>
      <c r="B186" s="35" t="str">
        <f>IFERROR(INDEX('G-8 Condition Look up'!$I$4:$I$131,MATCH(G186,'G-8 Condition Look up'!$A$4:$A$131,0)),"")</f>
        <v/>
      </c>
      <c r="D186" s="168">
        <v>176</v>
      </c>
      <c r="E186" s="275"/>
      <c r="F186" s="275"/>
      <c r="G186" s="370" t="str">
        <f>IFERROR(INDEX('G-1 All Habitats'!$B$3:$B$130,MATCH(F186,'G-1 All Habitats'!$A$3:$A$130,0)),"")</f>
        <v/>
      </c>
      <c r="H186" s="213"/>
      <c r="I186" s="171" t="str">
        <f>IF(G186="","",VLOOKUP(G186,'G-1 All Habitats'!$B$2:$M$130,10,FALSE))</f>
        <v/>
      </c>
      <c r="J186" s="172" t="str">
        <f>IFERROR(VLOOKUP(I186,'G-1 All Habitats'!$V$3:$W$7,2,FALSE),"")</f>
        <v/>
      </c>
      <c r="K186" s="173"/>
      <c r="L186" s="172" t="str">
        <f>IFERROR(INDEX('G-8 Condition Look up'!$A$3:$H$131,MATCH(G186,'G-8 Condition Look up'!$A$3:$A$131,0),MATCH(K186,'G-8 Condition Look up'!$A$3:$H$3,0)),"")</f>
        <v/>
      </c>
      <c r="M186" s="186"/>
      <c r="N186" s="175" t="str">
        <f>IF(M186="","",IF(VLOOKUP(M186,'G-3 Multipliers'!$L$3:$N$6,2,FALSE)=0,"Spatial Data Missing",VLOOKUP(M186,'G-3 Multipliers'!$L$3:$N$6,2,FALSE)))</f>
        <v/>
      </c>
      <c r="O186" s="176" t="str">
        <f>IF(M186="","",IF(VLOOKUP(M186,'G-3 Multipliers'!$L$3:$N$6,3,FALSE)=0,"Spatial Data Missing",VLOOKUP(M186,'G-3 Multipliers'!$L$3:$N$6,3,FALSE)))</f>
        <v/>
      </c>
      <c r="P186" s="177" t="str">
        <f>IFERROR(VLOOKUP(G186,'G-1 All Habitats'!$B$2:$M$130,12,FALSE),"")</f>
        <v/>
      </c>
      <c r="Q186" s="81" t="str">
        <f>IFERROR(IF(P186="","",IF(AND(P186='G-1 All Habitats'!$X$3,T186&gt;0),U186+V186,IF(AND(P186='G-1 All Habitats'!$X$3,S186&gt;0),U186+V186,IF(AND(P186='G-1 All Habitats'!$X$3,AC186&gt;0),"Any Loss Unacceptable",IF(AND(P186='G-1 All Habitats'!$X$3,W186&gt;0),"Any Loss Unacceptable",H186*J186*L186*O186))))),"Check Data")</f>
        <v/>
      </c>
      <c r="R186" s="55"/>
      <c r="S186" s="79"/>
      <c r="T186" s="82"/>
      <c r="U186" s="83" t="str">
        <f t="shared" si="14"/>
        <v/>
      </c>
      <c r="V186" s="83" t="str">
        <f t="shared" si="15"/>
        <v/>
      </c>
      <c r="W186" s="83" t="str">
        <f>IF(E186="","",IF(H186&lt;S186+T186,"Error in Areas",IF(P186&lt;&gt;'G-1 All Habitats'!$X$3,H186-S186-T186,IF(AND(P186='G-1 All Habitats'!$X$3,Y186="Yes"),"Unacceptable Loss",IF(AND(P186='G-1 All Habitats'!$X$3,Y186="No"),AC186,IF(AND(P186='G-1 All Habitats'!$X$3,Y186=""),AC186,IF(AND(P186='G-1 All Habitats'!$X$3,AC186="None",AC186),IF(AND(P186='G-1 All Habitats'!$X$3,AC186&gt;0),H186-S186-T186))))))))</f>
        <v/>
      </c>
      <c r="X186" s="354" t="str">
        <f>IFERROR(IF(H186="","",IF(H186-S186-T186=0&lt;0,"Error in Areas",IF(S186+T186&gt;H186,"Error in Areas",IF(AND(P186='G-1 All Habitats'!$X$3,Y186="Yes"),"Alternative Compensation",IF(W186=0,0,IF(P186='G-1 All Habitats'!$X$3,"Unacceptable Loss",Q186-U186-V186)))))),"Check Data")</f>
        <v/>
      </c>
      <c r="Y186" s="82"/>
      <c r="Z186" s="182"/>
      <c r="AA186" s="183"/>
      <c r="AC186" s="371" t="str">
        <f>IF(P186="","",IF(P186='G-1 All Habitats'!$X$3,H186-S186-T186,"None"))</f>
        <v/>
      </c>
      <c r="AD186" s="372" t="str">
        <f t="shared" si="16"/>
        <v/>
      </c>
      <c r="AF186" s="188" t="str">
        <f t="shared" si="12"/>
        <v/>
      </c>
      <c r="AG186" s="188" t="str">
        <f t="shared" si="13"/>
        <v/>
      </c>
      <c r="AH186" s="188" t="str">
        <f>IF(I186="","",IF(#REF!&gt;0,TRUE,FALSE))</f>
        <v/>
      </c>
      <c r="AI186" s="188">
        <v>176</v>
      </c>
      <c r="AJ186" s="188"/>
      <c r="AK186" s="188" t="str">
        <f t="array" ref="AK186">IFERROR(INDEX($AI$11:$AI$259, MATCH(0, IF(TRUE=$AF$11:$AF$259, COUNTIF($AK$10:$AK185, $AI$11:$AI$259), ""), 0)),"")</f>
        <v/>
      </c>
      <c r="AL186" s="188" t="str">
        <f t="array" ref="AL186">IFERROR(INDEX($AI$11:$AI$259, MATCH(0, IF(TRUE=$AG$11:$AG$259, COUNTIF($AL$10:$AL185, $AI$11:$AI$259), ""), 0)),"")</f>
        <v/>
      </c>
      <c r="AM186" s="188" t="str">
        <f t="array" ref="AM186">IFERROR(INDEX($AI$11:$AI$259, MATCH(0, IF(TRUE=$AH$11:$AH$259, COUNTIF($AM$10:$AM185, $AI$11:$AI$259), ""), 0)),"")</f>
        <v/>
      </c>
      <c r="AQ186" s="35">
        <f t="shared" si="17"/>
        <v>0</v>
      </c>
    </row>
    <row r="187" spans="1:43" x14ac:dyDescent="0.25">
      <c r="A187" s="35" t="str">
        <f>IFERROR(INDEX('G-1 All Habitats'!$AG$3:$AG$15,MATCH(E187,'G-1 All Habitats'!$AF$3:$AF$15,0)),"")</f>
        <v/>
      </c>
      <c r="B187" s="35" t="str">
        <f>IFERROR(INDEX('G-8 Condition Look up'!$I$4:$I$131,MATCH(G187,'G-8 Condition Look up'!$A$4:$A$131,0)),"")</f>
        <v/>
      </c>
      <c r="D187" s="168">
        <v>177</v>
      </c>
      <c r="E187" s="275"/>
      <c r="F187" s="275"/>
      <c r="G187" s="370" t="str">
        <f>IFERROR(INDEX('G-1 All Habitats'!$B$3:$B$130,MATCH(F187,'G-1 All Habitats'!$A$3:$A$130,0)),"")</f>
        <v/>
      </c>
      <c r="H187" s="213"/>
      <c r="I187" s="171" t="str">
        <f>IF(G187="","",VLOOKUP(G187,'G-1 All Habitats'!$B$2:$M$130,10,FALSE))</f>
        <v/>
      </c>
      <c r="J187" s="172" t="str">
        <f>IFERROR(VLOOKUP(I187,'G-1 All Habitats'!$V$3:$W$7,2,FALSE),"")</f>
        <v/>
      </c>
      <c r="K187" s="173"/>
      <c r="L187" s="172" t="str">
        <f>IFERROR(INDEX('G-8 Condition Look up'!$A$3:$H$131,MATCH(G187,'G-8 Condition Look up'!$A$3:$A$131,0),MATCH(K187,'G-8 Condition Look up'!$A$3:$H$3,0)),"")</f>
        <v/>
      </c>
      <c r="M187" s="186"/>
      <c r="N187" s="175" t="str">
        <f>IF(M187="","",IF(VLOOKUP(M187,'G-3 Multipliers'!$L$3:$N$6,2,FALSE)=0,"Spatial Data Missing",VLOOKUP(M187,'G-3 Multipliers'!$L$3:$N$6,2,FALSE)))</f>
        <v/>
      </c>
      <c r="O187" s="176" t="str">
        <f>IF(M187="","",IF(VLOOKUP(M187,'G-3 Multipliers'!$L$3:$N$6,3,FALSE)=0,"Spatial Data Missing",VLOOKUP(M187,'G-3 Multipliers'!$L$3:$N$6,3,FALSE)))</f>
        <v/>
      </c>
      <c r="P187" s="177" t="str">
        <f>IFERROR(VLOOKUP(G187,'G-1 All Habitats'!$B$2:$M$130,12,FALSE),"")</f>
        <v/>
      </c>
      <c r="Q187" s="81" t="str">
        <f>IFERROR(IF(P187="","",IF(AND(P187='G-1 All Habitats'!$X$3,T187&gt;0),U187+V187,IF(AND(P187='G-1 All Habitats'!$X$3,S187&gt;0),U187+V187,IF(AND(P187='G-1 All Habitats'!$X$3,AC187&gt;0),"Any Loss Unacceptable",IF(AND(P187='G-1 All Habitats'!$X$3,W187&gt;0),"Any Loss Unacceptable",H187*J187*L187*O187))))),"Check Data")</f>
        <v/>
      </c>
      <c r="R187" s="55"/>
      <c r="S187" s="79"/>
      <c r="T187" s="82"/>
      <c r="U187" s="83" t="str">
        <f t="shared" si="14"/>
        <v/>
      </c>
      <c r="V187" s="83" t="str">
        <f t="shared" si="15"/>
        <v/>
      </c>
      <c r="W187" s="83" t="str">
        <f>IF(E187="","",IF(H187&lt;S187+T187,"Error in Areas",IF(P187&lt;&gt;'G-1 All Habitats'!$X$3,H187-S187-T187,IF(AND(P187='G-1 All Habitats'!$X$3,Y187="Yes"),"Unacceptable Loss",IF(AND(P187='G-1 All Habitats'!$X$3,Y187="No"),AC187,IF(AND(P187='G-1 All Habitats'!$X$3,Y187=""),AC187,IF(AND(P187='G-1 All Habitats'!$X$3,AC187="None",AC187),IF(AND(P187='G-1 All Habitats'!$X$3,AC187&gt;0),H187-S187-T187))))))))</f>
        <v/>
      </c>
      <c r="X187" s="354" t="str">
        <f>IFERROR(IF(H187="","",IF(H187-S187-T187=0&lt;0,"Error in Areas",IF(S187+T187&gt;H187,"Error in Areas",IF(AND(P187='G-1 All Habitats'!$X$3,Y187="Yes"),"Alternative Compensation",IF(W187=0,0,IF(P187='G-1 All Habitats'!$X$3,"Unacceptable Loss",Q187-U187-V187)))))),"Check Data")</f>
        <v/>
      </c>
      <c r="Y187" s="82"/>
      <c r="Z187" s="182"/>
      <c r="AA187" s="183"/>
      <c r="AC187" s="371" t="str">
        <f>IF(P187="","",IF(P187='G-1 All Habitats'!$X$3,H187-S187-T187,"None"))</f>
        <v/>
      </c>
      <c r="AD187" s="372" t="str">
        <f t="shared" si="16"/>
        <v/>
      </c>
      <c r="AF187" s="188" t="str">
        <f t="shared" si="12"/>
        <v/>
      </c>
      <c r="AG187" s="188" t="str">
        <f t="shared" si="13"/>
        <v/>
      </c>
      <c r="AH187" s="188" t="str">
        <f>IF(I187="","",IF(#REF!&gt;0,TRUE,FALSE))</f>
        <v/>
      </c>
      <c r="AI187" s="188">
        <v>177</v>
      </c>
      <c r="AJ187" s="188"/>
      <c r="AK187" s="188" t="str">
        <f t="array" ref="AK187">IFERROR(INDEX($AI$11:$AI$259, MATCH(0, IF(TRUE=$AF$11:$AF$259, COUNTIF($AK$10:$AK186, $AI$11:$AI$259), ""), 0)),"")</f>
        <v/>
      </c>
      <c r="AL187" s="188" t="str">
        <f t="array" ref="AL187">IFERROR(INDEX($AI$11:$AI$259, MATCH(0, IF(TRUE=$AG$11:$AG$259, COUNTIF($AL$10:$AL186, $AI$11:$AI$259), ""), 0)),"")</f>
        <v/>
      </c>
      <c r="AM187" s="188" t="str">
        <f t="array" ref="AM187">IFERROR(INDEX($AI$11:$AI$259, MATCH(0, IF(TRUE=$AH$11:$AH$259, COUNTIF($AM$10:$AM186, $AI$11:$AI$259), ""), 0)),"")</f>
        <v/>
      </c>
      <c r="AQ187" s="35">
        <f t="shared" si="17"/>
        <v>0</v>
      </c>
    </row>
    <row r="188" spans="1:43" x14ac:dyDescent="0.25">
      <c r="A188" s="35" t="str">
        <f>IFERROR(INDEX('G-1 All Habitats'!$AG$3:$AG$15,MATCH(E188,'G-1 All Habitats'!$AF$3:$AF$15,0)),"")</f>
        <v/>
      </c>
      <c r="B188" s="35" t="str">
        <f>IFERROR(INDEX('G-8 Condition Look up'!$I$4:$I$131,MATCH(G188,'G-8 Condition Look up'!$A$4:$A$131,0)),"")</f>
        <v/>
      </c>
      <c r="D188" s="168">
        <v>178</v>
      </c>
      <c r="E188" s="275"/>
      <c r="F188" s="275"/>
      <c r="G188" s="370" t="str">
        <f>IFERROR(INDEX('G-1 All Habitats'!$B$3:$B$130,MATCH(F188,'G-1 All Habitats'!$A$3:$A$130,0)),"")</f>
        <v/>
      </c>
      <c r="H188" s="213"/>
      <c r="I188" s="171" t="str">
        <f>IF(G188="","",VLOOKUP(G188,'G-1 All Habitats'!$B$2:$M$130,10,FALSE))</f>
        <v/>
      </c>
      <c r="J188" s="172" t="str">
        <f>IFERROR(VLOOKUP(I188,'G-1 All Habitats'!$V$3:$W$7,2,FALSE),"")</f>
        <v/>
      </c>
      <c r="K188" s="173"/>
      <c r="L188" s="172" t="str">
        <f>IFERROR(INDEX('G-8 Condition Look up'!$A$3:$H$131,MATCH(G188,'G-8 Condition Look up'!$A$3:$A$131,0),MATCH(K188,'G-8 Condition Look up'!$A$3:$H$3,0)),"")</f>
        <v/>
      </c>
      <c r="M188" s="186"/>
      <c r="N188" s="175" t="str">
        <f>IF(M188="","",IF(VLOOKUP(M188,'G-3 Multipliers'!$L$3:$N$6,2,FALSE)=0,"Spatial Data Missing",VLOOKUP(M188,'G-3 Multipliers'!$L$3:$N$6,2,FALSE)))</f>
        <v/>
      </c>
      <c r="O188" s="176" t="str">
        <f>IF(M188="","",IF(VLOOKUP(M188,'G-3 Multipliers'!$L$3:$N$6,3,FALSE)=0,"Spatial Data Missing",VLOOKUP(M188,'G-3 Multipliers'!$L$3:$N$6,3,FALSE)))</f>
        <v/>
      </c>
      <c r="P188" s="177" t="str">
        <f>IFERROR(VLOOKUP(G188,'G-1 All Habitats'!$B$2:$M$130,12,FALSE),"")</f>
        <v/>
      </c>
      <c r="Q188" s="81" t="str">
        <f>IFERROR(IF(P188="","",IF(AND(P188='G-1 All Habitats'!$X$3,T188&gt;0),U188+V188,IF(AND(P188='G-1 All Habitats'!$X$3,S188&gt;0),U188+V188,IF(AND(P188='G-1 All Habitats'!$X$3,AC188&gt;0),"Any Loss Unacceptable",IF(AND(P188='G-1 All Habitats'!$X$3,W188&gt;0),"Any Loss Unacceptable",H188*J188*L188*O188))))),"Check Data")</f>
        <v/>
      </c>
      <c r="R188" s="55"/>
      <c r="S188" s="79"/>
      <c r="T188" s="82"/>
      <c r="U188" s="83" t="str">
        <f t="shared" si="14"/>
        <v/>
      </c>
      <c r="V188" s="83" t="str">
        <f t="shared" si="15"/>
        <v/>
      </c>
      <c r="W188" s="83" t="str">
        <f>IF(E188="","",IF(H188&lt;S188+T188,"Error in Areas",IF(P188&lt;&gt;'G-1 All Habitats'!$X$3,H188-S188-T188,IF(AND(P188='G-1 All Habitats'!$X$3,Y188="Yes"),"Unacceptable Loss",IF(AND(P188='G-1 All Habitats'!$X$3,Y188="No"),AC188,IF(AND(P188='G-1 All Habitats'!$X$3,Y188=""),AC188,IF(AND(P188='G-1 All Habitats'!$X$3,AC188="None",AC188),IF(AND(P188='G-1 All Habitats'!$X$3,AC188&gt;0),H188-S188-T188))))))))</f>
        <v/>
      </c>
      <c r="X188" s="354" t="str">
        <f>IFERROR(IF(H188="","",IF(H188-S188-T188=0&lt;0,"Error in Areas",IF(S188+T188&gt;H188,"Error in Areas",IF(AND(P188='G-1 All Habitats'!$X$3,Y188="Yes"),"Alternative Compensation",IF(W188=0,0,IF(P188='G-1 All Habitats'!$X$3,"Unacceptable Loss",Q188-U188-V188)))))),"Check Data")</f>
        <v/>
      </c>
      <c r="Y188" s="82"/>
      <c r="Z188" s="182"/>
      <c r="AA188" s="183"/>
      <c r="AC188" s="371" t="str">
        <f>IF(P188="","",IF(P188='G-1 All Habitats'!$X$3,H188-S188-T188,"None"))</f>
        <v/>
      </c>
      <c r="AD188" s="372" t="str">
        <f t="shared" si="16"/>
        <v/>
      </c>
      <c r="AF188" s="188" t="str">
        <f t="shared" si="12"/>
        <v/>
      </c>
      <c r="AG188" s="188" t="str">
        <f t="shared" si="13"/>
        <v/>
      </c>
      <c r="AH188" s="188" t="str">
        <f>IF(I188="","",IF(#REF!&gt;0,TRUE,FALSE))</f>
        <v/>
      </c>
      <c r="AI188" s="188">
        <v>178</v>
      </c>
      <c r="AJ188" s="188"/>
      <c r="AK188" s="188" t="str">
        <f t="array" ref="AK188">IFERROR(INDEX($AI$11:$AI$259, MATCH(0, IF(TRUE=$AF$11:$AF$259, COUNTIF($AK$10:$AK187, $AI$11:$AI$259), ""), 0)),"")</f>
        <v/>
      </c>
      <c r="AL188" s="188" t="str">
        <f t="array" ref="AL188">IFERROR(INDEX($AI$11:$AI$259, MATCH(0, IF(TRUE=$AG$11:$AG$259, COUNTIF($AL$10:$AL187, $AI$11:$AI$259), ""), 0)),"")</f>
        <v/>
      </c>
      <c r="AM188" s="188" t="str">
        <f t="array" ref="AM188">IFERROR(INDEX($AI$11:$AI$259, MATCH(0, IF(TRUE=$AH$11:$AH$259, COUNTIF($AM$10:$AM187, $AI$11:$AI$259), ""), 0)),"")</f>
        <v/>
      </c>
      <c r="AQ188" s="35">
        <f t="shared" si="17"/>
        <v>0</v>
      </c>
    </row>
    <row r="189" spans="1:43" x14ac:dyDescent="0.25">
      <c r="A189" s="35" t="str">
        <f>IFERROR(INDEX('G-1 All Habitats'!$AG$3:$AG$15,MATCH(E189,'G-1 All Habitats'!$AF$3:$AF$15,0)),"")</f>
        <v/>
      </c>
      <c r="B189" s="35" t="str">
        <f>IFERROR(INDEX('G-8 Condition Look up'!$I$4:$I$131,MATCH(G189,'G-8 Condition Look up'!$A$4:$A$131,0)),"")</f>
        <v/>
      </c>
      <c r="D189" s="168">
        <v>179</v>
      </c>
      <c r="E189" s="275"/>
      <c r="F189" s="275"/>
      <c r="G189" s="370" t="str">
        <f>IFERROR(INDEX('G-1 All Habitats'!$B$3:$B$130,MATCH(F189,'G-1 All Habitats'!$A$3:$A$130,0)),"")</f>
        <v/>
      </c>
      <c r="H189" s="213"/>
      <c r="I189" s="171" t="str">
        <f>IF(G189="","",VLOOKUP(G189,'G-1 All Habitats'!$B$2:$M$130,10,FALSE))</f>
        <v/>
      </c>
      <c r="J189" s="172" t="str">
        <f>IFERROR(VLOOKUP(I189,'G-1 All Habitats'!$V$3:$W$7,2,FALSE),"")</f>
        <v/>
      </c>
      <c r="K189" s="173"/>
      <c r="L189" s="172" t="str">
        <f>IFERROR(INDEX('G-8 Condition Look up'!$A$3:$H$131,MATCH(G189,'G-8 Condition Look up'!$A$3:$A$131,0),MATCH(K189,'G-8 Condition Look up'!$A$3:$H$3,0)),"")</f>
        <v/>
      </c>
      <c r="M189" s="186"/>
      <c r="N189" s="175" t="str">
        <f>IF(M189="","",IF(VLOOKUP(M189,'G-3 Multipliers'!$L$3:$N$6,2,FALSE)=0,"Spatial Data Missing",VLOOKUP(M189,'G-3 Multipliers'!$L$3:$N$6,2,FALSE)))</f>
        <v/>
      </c>
      <c r="O189" s="176" t="str">
        <f>IF(M189="","",IF(VLOOKUP(M189,'G-3 Multipliers'!$L$3:$N$6,3,FALSE)=0,"Spatial Data Missing",VLOOKUP(M189,'G-3 Multipliers'!$L$3:$N$6,3,FALSE)))</f>
        <v/>
      </c>
      <c r="P189" s="177" t="str">
        <f>IFERROR(VLOOKUP(G189,'G-1 All Habitats'!$B$2:$M$130,12,FALSE),"")</f>
        <v/>
      </c>
      <c r="Q189" s="81" t="str">
        <f>IFERROR(IF(P189="","",IF(AND(P189='G-1 All Habitats'!$X$3,T189&gt;0),U189+V189,IF(AND(P189='G-1 All Habitats'!$X$3,S189&gt;0),U189+V189,IF(AND(P189='G-1 All Habitats'!$X$3,AC189&gt;0),"Any Loss Unacceptable",IF(AND(P189='G-1 All Habitats'!$X$3,W189&gt;0),"Any Loss Unacceptable",H189*J189*L189*O189))))),"Check Data")</f>
        <v/>
      </c>
      <c r="R189" s="55"/>
      <c r="S189" s="79"/>
      <c r="T189" s="82"/>
      <c r="U189" s="83" t="str">
        <f t="shared" si="14"/>
        <v/>
      </c>
      <c r="V189" s="83" t="str">
        <f t="shared" si="15"/>
        <v/>
      </c>
      <c r="W189" s="83" t="str">
        <f>IF(E189="","",IF(H189&lt;S189+T189,"Error in Areas",IF(P189&lt;&gt;'G-1 All Habitats'!$X$3,H189-S189-T189,IF(AND(P189='G-1 All Habitats'!$X$3,Y189="Yes"),"Unacceptable Loss",IF(AND(P189='G-1 All Habitats'!$X$3,Y189="No"),AC189,IF(AND(P189='G-1 All Habitats'!$X$3,Y189=""),AC189,IF(AND(P189='G-1 All Habitats'!$X$3,AC189="None",AC189),IF(AND(P189='G-1 All Habitats'!$X$3,AC189&gt;0),H189-S189-T189))))))))</f>
        <v/>
      </c>
      <c r="X189" s="354" t="str">
        <f>IFERROR(IF(H189="","",IF(H189-S189-T189=0&lt;0,"Error in Areas",IF(S189+T189&gt;H189,"Error in Areas",IF(AND(P189='G-1 All Habitats'!$X$3,Y189="Yes"),"Alternative Compensation",IF(W189=0,0,IF(P189='G-1 All Habitats'!$X$3,"Unacceptable Loss",Q189-U189-V189)))))),"Check Data")</f>
        <v/>
      </c>
      <c r="Y189" s="82"/>
      <c r="Z189" s="182"/>
      <c r="AA189" s="183"/>
      <c r="AC189" s="371" t="str">
        <f>IF(P189="","",IF(P189='G-1 All Habitats'!$X$3,H189-S189-T189,"None"))</f>
        <v/>
      </c>
      <c r="AD189" s="372" t="str">
        <f t="shared" si="16"/>
        <v/>
      </c>
      <c r="AF189" s="188" t="str">
        <f t="shared" si="12"/>
        <v/>
      </c>
      <c r="AG189" s="188" t="str">
        <f t="shared" si="13"/>
        <v/>
      </c>
      <c r="AH189" s="188" t="str">
        <f>IF(I189="","",IF(#REF!&gt;0,TRUE,FALSE))</f>
        <v/>
      </c>
      <c r="AI189" s="188">
        <v>179</v>
      </c>
      <c r="AJ189" s="188"/>
      <c r="AK189" s="188" t="str">
        <f t="array" ref="AK189">IFERROR(INDEX($AI$11:$AI$259, MATCH(0, IF(TRUE=$AF$11:$AF$259, COUNTIF($AK$10:$AK188, $AI$11:$AI$259), ""), 0)),"")</f>
        <v/>
      </c>
      <c r="AL189" s="188" t="str">
        <f t="array" ref="AL189">IFERROR(INDEX($AI$11:$AI$259, MATCH(0, IF(TRUE=$AG$11:$AG$259, COUNTIF($AL$10:$AL188, $AI$11:$AI$259), ""), 0)),"")</f>
        <v/>
      </c>
      <c r="AM189" s="188" t="str">
        <f t="array" ref="AM189">IFERROR(INDEX($AI$11:$AI$259, MATCH(0, IF(TRUE=$AH$11:$AH$259, COUNTIF($AM$10:$AM188, $AI$11:$AI$259), ""), 0)),"")</f>
        <v/>
      </c>
      <c r="AQ189" s="35">
        <f t="shared" si="17"/>
        <v>0</v>
      </c>
    </row>
    <row r="190" spans="1:43" x14ac:dyDescent="0.25">
      <c r="A190" s="35" t="str">
        <f>IFERROR(INDEX('G-1 All Habitats'!$AG$3:$AG$15,MATCH(E190,'G-1 All Habitats'!$AF$3:$AF$15,0)),"")</f>
        <v/>
      </c>
      <c r="B190" s="35" t="str">
        <f>IFERROR(INDEX('G-8 Condition Look up'!$I$4:$I$131,MATCH(G190,'G-8 Condition Look up'!$A$4:$A$131,0)),"")</f>
        <v/>
      </c>
      <c r="D190" s="168">
        <v>180</v>
      </c>
      <c r="E190" s="275"/>
      <c r="F190" s="275"/>
      <c r="G190" s="370" t="str">
        <f>IFERROR(INDEX('G-1 All Habitats'!$B$3:$B$130,MATCH(F190,'G-1 All Habitats'!$A$3:$A$130,0)),"")</f>
        <v/>
      </c>
      <c r="H190" s="213"/>
      <c r="I190" s="171" t="str">
        <f>IF(G190="","",VLOOKUP(G190,'G-1 All Habitats'!$B$2:$M$130,10,FALSE))</f>
        <v/>
      </c>
      <c r="J190" s="172" t="str">
        <f>IFERROR(VLOOKUP(I190,'G-1 All Habitats'!$V$3:$W$7,2,FALSE),"")</f>
        <v/>
      </c>
      <c r="K190" s="173"/>
      <c r="L190" s="172" t="str">
        <f>IFERROR(INDEX('G-8 Condition Look up'!$A$3:$H$131,MATCH(G190,'G-8 Condition Look up'!$A$3:$A$131,0),MATCH(K190,'G-8 Condition Look up'!$A$3:$H$3,0)),"")</f>
        <v/>
      </c>
      <c r="M190" s="186"/>
      <c r="N190" s="175" t="str">
        <f>IF(M190="","",IF(VLOOKUP(M190,'G-3 Multipliers'!$L$3:$N$6,2,FALSE)=0,"Spatial Data Missing",VLOOKUP(M190,'G-3 Multipliers'!$L$3:$N$6,2,FALSE)))</f>
        <v/>
      </c>
      <c r="O190" s="176" t="str">
        <f>IF(M190="","",IF(VLOOKUP(M190,'G-3 Multipliers'!$L$3:$N$6,3,FALSE)=0,"Spatial Data Missing",VLOOKUP(M190,'G-3 Multipliers'!$L$3:$N$6,3,FALSE)))</f>
        <v/>
      </c>
      <c r="P190" s="177" t="str">
        <f>IFERROR(VLOOKUP(G190,'G-1 All Habitats'!$B$2:$M$130,12,FALSE),"")</f>
        <v/>
      </c>
      <c r="Q190" s="81" t="str">
        <f>IFERROR(IF(P190="","",IF(AND(P190='G-1 All Habitats'!$X$3,T190&gt;0),U190+V190,IF(AND(P190='G-1 All Habitats'!$X$3,S190&gt;0),U190+V190,IF(AND(P190='G-1 All Habitats'!$X$3,AC190&gt;0),"Any Loss Unacceptable",IF(AND(P190='G-1 All Habitats'!$X$3,W190&gt;0),"Any Loss Unacceptable",H190*J190*L190*O190))))),"Check Data")</f>
        <v/>
      </c>
      <c r="R190" s="55"/>
      <c r="S190" s="79"/>
      <c r="T190" s="82"/>
      <c r="U190" s="83" t="str">
        <f t="shared" si="14"/>
        <v/>
      </c>
      <c r="V190" s="83" t="str">
        <f t="shared" si="15"/>
        <v/>
      </c>
      <c r="W190" s="83" t="str">
        <f>IF(E190="","",IF(H190&lt;S190+T190,"Error in Areas",IF(P190&lt;&gt;'G-1 All Habitats'!$X$3,H190-S190-T190,IF(AND(P190='G-1 All Habitats'!$X$3,Y190="Yes"),"Unacceptable Loss",IF(AND(P190='G-1 All Habitats'!$X$3,Y190="No"),AC190,IF(AND(P190='G-1 All Habitats'!$X$3,Y190=""),AC190,IF(AND(P190='G-1 All Habitats'!$X$3,AC190="None",AC190),IF(AND(P190='G-1 All Habitats'!$X$3,AC190&gt;0),H190-S190-T190))))))))</f>
        <v/>
      </c>
      <c r="X190" s="354" t="str">
        <f>IFERROR(IF(H190="","",IF(H190-S190-T190=0&lt;0,"Error in Areas",IF(S190+T190&gt;H190,"Error in Areas",IF(AND(P190='G-1 All Habitats'!$X$3,Y190="Yes"),"Alternative Compensation",IF(W190=0,0,IF(P190='G-1 All Habitats'!$X$3,"Unacceptable Loss",Q190-U190-V190)))))),"Check Data")</f>
        <v/>
      </c>
      <c r="Y190" s="82"/>
      <c r="Z190" s="182"/>
      <c r="AA190" s="183"/>
      <c r="AC190" s="371" t="str">
        <f>IF(P190="","",IF(P190='G-1 All Habitats'!$X$3,H190-S190-T190,"None"))</f>
        <v/>
      </c>
      <c r="AD190" s="372" t="str">
        <f t="shared" si="16"/>
        <v/>
      </c>
      <c r="AF190" s="188" t="str">
        <f t="shared" si="12"/>
        <v/>
      </c>
      <c r="AG190" s="188" t="str">
        <f t="shared" si="13"/>
        <v/>
      </c>
      <c r="AH190" s="188" t="str">
        <f>IF(I190="","",IF(#REF!&gt;0,TRUE,FALSE))</f>
        <v/>
      </c>
      <c r="AI190" s="188">
        <v>180</v>
      </c>
      <c r="AJ190" s="188"/>
      <c r="AK190" s="188" t="str">
        <f t="array" ref="AK190">IFERROR(INDEX($AI$11:$AI$259, MATCH(0, IF(TRUE=$AF$11:$AF$259, COUNTIF($AK$10:$AK189, $AI$11:$AI$259), ""), 0)),"")</f>
        <v/>
      </c>
      <c r="AL190" s="188" t="str">
        <f t="array" ref="AL190">IFERROR(INDEX($AI$11:$AI$259, MATCH(0, IF(TRUE=$AG$11:$AG$259, COUNTIF($AL$10:$AL189, $AI$11:$AI$259), ""), 0)),"")</f>
        <v/>
      </c>
      <c r="AM190" s="188" t="str">
        <f t="array" ref="AM190">IFERROR(INDEX($AI$11:$AI$259, MATCH(0, IF(TRUE=$AH$11:$AH$259, COUNTIF($AM$10:$AM189, $AI$11:$AI$259), ""), 0)),"")</f>
        <v/>
      </c>
      <c r="AQ190" s="35">
        <f t="shared" si="17"/>
        <v>0</v>
      </c>
    </row>
    <row r="191" spans="1:43" x14ac:dyDescent="0.25">
      <c r="A191" s="35" t="str">
        <f>IFERROR(INDEX('G-1 All Habitats'!$AG$3:$AG$15,MATCH(E191,'G-1 All Habitats'!$AF$3:$AF$15,0)),"")</f>
        <v/>
      </c>
      <c r="B191" s="35" t="str">
        <f>IFERROR(INDEX('G-8 Condition Look up'!$I$4:$I$131,MATCH(G191,'G-8 Condition Look up'!$A$4:$A$131,0)),"")</f>
        <v/>
      </c>
      <c r="D191" s="168">
        <v>181</v>
      </c>
      <c r="E191" s="275"/>
      <c r="F191" s="275"/>
      <c r="G191" s="370" t="str">
        <f>IFERROR(INDEX('G-1 All Habitats'!$B$3:$B$130,MATCH(F191,'G-1 All Habitats'!$A$3:$A$130,0)),"")</f>
        <v/>
      </c>
      <c r="H191" s="213"/>
      <c r="I191" s="171" t="str">
        <f>IF(G191="","",VLOOKUP(G191,'G-1 All Habitats'!$B$2:$M$130,10,FALSE))</f>
        <v/>
      </c>
      <c r="J191" s="172" t="str">
        <f>IFERROR(VLOOKUP(I191,'G-1 All Habitats'!$V$3:$W$7,2,FALSE),"")</f>
        <v/>
      </c>
      <c r="K191" s="173"/>
      <c r="L191" s="172" t="str">
        <f>IFERROR(INDEX('G-8 Condition Look up'!$A$3:$H$131,MATCH(G191,'G-8 Condition Look up'!$A$3:$A$131,0),MATCH(K191,'G-8 Condition Look up'!$A$3:$H$3,0)),"")</f>
        <v/>
      </c>
      <c r="M191" s="186"/>
      <c r="N191" s="175" t="str">
        <f>IF(M191="","",IF(VLOOKUP(M191,'G-3 Multipliers'!$L$3:$N$6,2,FALSE)=0,"Spatial Data Missing",VLOOKUP(M191,'G-3 Multipliers'!$L$3:$N$6,2,FALSE)))</f>
        <v/>
      </c>
      <c r="O191" s="176" t="str">
        <f>IF(M191="","",IF(VLOOKUP(M191,'G-3 Multipliers'!$L$3:$N$6,3,FALSE)=0,"Spatial Data Missing",VLOOKUP(M191,'G-3 Multipliers'!$L$3:$N$6,3,FALSE)))</f>
        <v/>
      </c>
      <c r="P191" s="177" t="str">
        <f>IFERROR(VLOOKUP(G191,'G-1 All Habitats'!$B$2:$M$130,12,FALSE),"")</f>
        <v/>
      </c>
      <c r="Q191" s="81" t="str">
        <f>IFERROR(IF(P191="","",IF(AND(P191='G-1 All Habitats'!$X$3,T191&gt;0),U191+V191,IF(AND(P191='G-1 All Habitats'!$X$3,S191&gt;0),U191+V191,IF(AND(P191='G-1 All Habitats'!$X$3,AC191&gt;0),"Any Loss Unacceptable",IF(AND(P191='G-1 All Habitats'!$X$3,W191&gt;0),"Any Loss Unacceptable",H191*J191*L191*O191))))),"Check Data")</f>
        <v/>
      </c>
      <c r="R191" s="55"/>
      <c r="S191" s="79"/>
      <c r="T191" s="82"/>
      <c r="U191" s="83" t="str">
        <f t="shared" si="14"/>
        <v/>
      </c>
      <c r="V191" s="83" t="str">
        <f t="shared" si="15"/>
        <v/>
      </c>
      <c r="W191" s="83" t="str">
        <f>IF(E191="","",IF(H191&lt;S191+T191,"Error in Areas",IF(P191&lt;&gt;'G-1 All Habitats'!$X$3,H191-S191-T191,IF(AND(P191='G-1 All Habitats'!$X$3,Y191="Yes"),"Unacceptable Loss",IF(AND(P191='G-1 All Habitats'!$X$3,Y191="No"),AC191,IF(AND(P191='G-1 All Habitats'!$X$3,Y191=""),AC191,IF(AND(P191='G-1 All Habitats'!$X$3,AC191="None",AC191),IF(AND(P191='G-1 All Habitats'!$X$3,AC191&gt;0),H191-S191-T191))))))))</f>
        <v/>
      </c>
      <c r="X191" s="354" t="str">
        <f>IFERROR(IF(H191="","",IF(H191-S191-T191=0&lt;0,"Error in Areas",IF(S191+T191&gt;H191,"Error in Areas",IF(AND(P191='G-1 All Habitats'!$X$3,Y191="Yes"),"Alternative Compensation",IF(W191=0,0,IF(P191='G-1 All Habitats'!$X$3,"Unacceptable Loss",Q191-U191-V191)))))),"Check Data")</f>
        <v/>
      </c>
      <c r="Y191" s="82"/>
      <c r="Z191" s="182"/>
      <c r="AA191" s="183"/>
      <c r="AC191" s="371" t="str">
        <f>IF(P191="","",IF(P191='G-1 All Habitats'!$X$3,H191-S191-T191,"None"))</f>
        <v/>
      </c>
      <c r="AD191" s="372" t="str">
        <f t="shared" si="16"/>
        <v/>
      </c>
      <c r="AF191" s="188" t="str">
        <f t="shared" si="12"/>
        <v/>
      </c>
      <c r="AG191" s="188" t="str">
        <f t="shared" si="13"/>
        <v/>
      </c>
      <c r="AH191" s="188" t="str">
        <f>IF(I191="","",IF(#REF!&gt;0,TRUE,FALSE))</f>
        <v/>
      </c>
      <c r="AI191" s="188">
        <v>181</v>
      </c>
      <c r="AJ191" s="188"/>
      <c r="AK191" s="188" t="str">
        <f t="array" ref="AK191">IFERROR(INDEX($AI$11:$AI$259, MATCH(0, IF(TRUE=$AF$11:$AF$259, COUNTIF($AK$10:$AK190, $AI$11:$AI$259), ""), 0)),"")</f>
        <v/>
      </c>
      <c r="AL191" s="188" t="str">
        <f t="array" ref="AL191">IFERROR(INDEX($AI$11:$AI$259, MATCH(0, IF(TRUE=$AG$11:$AG$259, COUNTIF($AL$10:$AL190, $AI$11:$AI$259), ""), 0)),"")</f>
        <v/>
      </c>
      <c r="AM191" s="188" t="str">
        <f t="array" ref="AM191">IFERROR(INDEX($AI$11:$AI$259, MATCH(0, IF(TRUE=$AH$11:$AH$259, COUNTIF($AM$10:$AM190, $AI$11:$AI$259), ""), 0)),"")</f>
        <v/>
      </c>
      <c r="AQ191" s="35">
        <f t="shared" si="17"/>
        <v>0</v>
      </c>
    </row>
    <row r="192" spans="1:43" x14ac:dyDescent="0.25">
      <c r="A192" s="35" t="str">
        <f>IFERROR(INDEX('G-1 All Habitats'!$AG$3:$AG$15,MATCH(E192,'G-1 All Habitats'!$AF$3:$AF$15,0)),"")</f>
        <v/>
      </c>
      <c r="B192" s="35" t="str">
        <f>IFERROR(INDEX('G-8 Condition Look up'!$I$4:$I$131,MATCH(G192,'G-8 Condition Look up'!$A$4:$A$131,0)),"")</f>
        <v/>
      </c>
      <c r="D192" s="168">
        <v>182</v>
      </c>
      <c r="E192" s="275"/>
      <c r="F192" s="275"/>
      <c r="G192" s="370" t="str">
        <f>IFERROR(INDEX('G-1 All Habitats'!$B$3:$B$130,MATCH(F192,'G-1 All Habitats'!$A$3:$A$130,0)),"")</f>
        <v/>
      </c>
      <c r="H192" s="213"/>
      <c r="I192" s="171" t="str">
        <f>IF(G192="","",VLOOKUP(G192,'G-1 All Habitats'!$B$2:$M$130,10,FALSE))</f>
        <v/>
      </c>
      <c r="J192" s="172" t="str">
        <f>IFERROR(VLOOKUP(I192,'G-1 All Habitats'!$V$3:$W$7,2,FALSE),"")</f>
        <v/>
      </c>
      <c r="K192" s="173"/>
      <c r="L192" s="172" t="str">
        <f>IFERROR(INDEX('G-8 Condition Look up'!$A$3:$H$131,MATCH(G192,'G-8 Condition Look up'!$A$3:$A$131,0),MATCH(K192,'G-8 Condition Look up'!$A$3:$H$3,0)),"")</f>
        <v/>
      </c>
      <c r="M192" s="186"/>
      <c r="N192" s="175" t="str">
        <f>IF(M192="","",IF(VLOOKUP(M192,'G-3 Multipliers'!$L$3:$N$6,2,FALSE)=0,"Spatial Data Missing",VLOOKUP(M192,'G-3 Multipliers'!$L$3:$N$6,2,FALSE)))</f>
        <v/>
      </c>
      <c r="O192" s="176" t="str">
        <f>IF(M192="","",IF(VLOOKUP(M192,'G-3 Multipliers'!$L$3:$N$6,3,FALSE)=0,"Spatial Data Missing",VLOOKUP(M192,'G-3 Multipliers'!$L$3:$N$6,3,FALSE)))</f>
        <v/>
      </c>
      <c r="P192" s="177" t="str">
        <f>IFERROR(VLOOKUP(G192,'G-1 All Habitats'!$B$2:$M$130,12,FALSE),"")</f>
        <v/>
      </c>
      <c r="Q192" s="81" t="str">
        <f>IFERROR(IF(P192="","",IF(AND(P192='G-1 All Habitats'!$X$3,T192&gt;0),U192+V192,IF(AND(P192='G-1 All Habitats'!$X$3,S192&gt;0),U192+V192,IF(AND(P192='G-1 All Habitats'!$X$3,AC192&gt;0),"Any Loss Unacceptable",IF(AND(P192='G-1 All Habitats'!$X$3,W192&gt;0),"Any Loss Unacceptable",H192*J192*L192*O192))))),"Check Data")</f>
        <v/>
      </c>
      <c r="R192" s="55"/>
      <c r="S192" s="79"/>
      <c r="T192" s="82"/>
      <c r="U192" s="83" t="str">
        <f t="shared" si="14"/>
        <v/>
      </c>
      <c r="V192" s="83" t="str">
        <f t="shared" si="15"/>
        <v/>
      </c>
      <c r="W192" s="83" t="str">
        <f>IF(E192="","",IF(H192&lt;S192+T192,"Error in Areas",IF(P192&lt;&gt;'G-1 All Habitats'!$X$3,H192-S192-T192,IF(AND(P192='G-1 All Habitats'!$X$3,Y192="Yes"),"Unacceptable Loss",IF(AND(P192='G-1 All Habitats'!$X$3,Y192="No"),AC192,IF(AND(P192='G-1 All Habitats'!$X$3,Y192=""),AC192,IF(AND(P192='G-1 All Habitats'!$X$3,AC192="None",AC192),IF(AND(P192='G-1 All Habitats'!$X$3,AC192&gt;0),H192-S192-T192))))))))</f>
        <v/>
      </c>
      <c r="X192" s="354" t="str">
        <f>IFERROR(IF(H192="","",IF(H192-S192-T192=0&lt;0,"Error in Areas",IF(S192+T192&gt;H192,"Error in Areas",IF(AND(P192='G-1 All Habitats'!$X$3,Y192="Yes"),"Alternative Compensation",IF(W192=0,0,IF(P192='G-1 All Habitats'!$X$3,"Unacceptable Loss",Q192-U192-V192)))))),"Check Data")</f>
        <v/>
      </c>
      <c r="Y192" s="82"/>
      <c r="Z192" s="182"/>
      <c r="AA192" s="183"/>
      <c r="AC192" s="371" t="str">
        <f>IF(P192="","",IF(P192='G-1 All Habitats'!$X$3,H192-S192-T192,"None"))</f>
        <v/>
      </c>
      <c r="AD192" s="372" t="str">
        <f t="shared" si="16"/>
        <v/>
      </c>
      <c r="AF192" s="188" t="str">
        <f t="shared" si="12"/>
        <v/>
      </c>
      <c r="AG192" s="188" t="str">
        <f t="shared" si="13"/>
        <v/>
      </c>
      <c r="AH192" s="188" t="str">
        <f>IF(I192="","",IF(#REF!&gt;0,TRUE,FALSE))</f>
        <v/>
      </c>
      <c r="AI192" s="188">
        <v>182</v>
      </c>
      <c r="AJ192" s="188"/>
      <c r="AK192" s="188" t="str">
        <f t="array" ref="AK192">IFERROR(INDEX($AI$11:$AI$259, MATCH(0, IF(TRUE=$AF$11:$AF$259, COUNTIF($AK$10:$AK191, $AI$11:$AI$259), ""), 0)),"")</f>
        <v/>
      </c>
      <c r="AL192" s="188" t="str">
        <f t="array" ref="AL192">IFERROR(INDEX($AI$11:$AI$259, MATCH(0, IF(TRUE=$AG$11:$AG$259, COUNTIF($AL$10:$AL191, $AI$11:$AI$259), ""), 0)),"")</f>
        <v/>
      </c>
      <c r="AM192" s="188" t="str">
        <f t="array" ref="AM192">IFERROR(INDEX($AI$11:$AI$259, MATCH(0, IF(TRUE=$AH$11:$AH$259, COUNTIF($AM$10:$AM191, $AI$11:$AI$259), ""), 0)),"")</f>
        <v/>
      </c>
      <c r="AQ192" s="35">
        <f t="shared" si="17"/>
        <v>0</v>
      </c>
    </row>
    <row r="193" spans="1:43" x14ac:dyDescent="0.25">
      <c r="A193" s="35" t="str">
        <f>IFERROR(INDEX('G-1 All Habitats'!$AG$3:$AG$15,MATCH(E193,'G-1 All Habitats'!$AF$3:$AF$15,0)),"")</f>
        <v/>
      </c>
      <c r="B193" s="35" t="str">
        <f>IFERROR(INDEX('G-8 Condition Look up'!$I$4:$I$131,MATCH(G193,'G-8 Condition Look up'!$A$4:$A$131,0)),"")</f>
        <v/>
      </c>
      <c r="D193" s="168">
        <v>183</v>
      </c>
      <c r="E193" s="275"/>
      <c r="F193" s="275"/>
      <c r="G193" s="370" t="str">
        <f>IFERROR(INDEX('G-1 All Habitats'!$B$3:$B$130,MATCH(F193,'G-1 All Habitats'!$A$3:$A$130,0)),"")</f>
        <v/>
      </c>
      <c r="H193" s="213"/>
      <c r="I193" s="171" t="str">
        <f>IF(G193="","",VLOOKUP(G193,'G-1 All Habitats'!$B$2:$M$130,10,FALSE))</f>
        <v/>
      </c>
      <c r="J193" s="172" t="str">
        <f>IFERROR(VLOOKUP(I193,'G-1 All Habitats'!$V$3:$W$7,2,FALSE),"")</f>
        <v/>
      </c>
      <c r="K193" s="173"/>
      <c r="L193" s="172" t="str">
        <f>IFERROR(INDEX('G-8 Condition Look up'!$A$3:$H$131,MATCH(G193,'G-8 Condition Look up'!$A$3:$A$131,0),MATCH(K193,'G-8 Condition Look up'!$A$3:$H$3,0)),"")</f>
        <v/>
      </c>
      <c r="M193" s="186"/>
      <c r="N193" s="175" t="str">
        <f>IF(M193="","",IF(VLOOKUP(M193,'G-3 Multipliers'!$L$3:$N$6,2,FALSE)=0,"Spatial Data Missing",VLOOKUP(M193,'G-3 Multipliers'!$L$3:$N$6,2,FALSE)))</f>
        <v/>
      </c>
      <c r="O193" s="176" t="str">
        <f>IF(M193="","",IF(VLOOKUP(M193,'G-3 Multipliers'!$L$3:$N$6,3,FALSE)=0,"Spatial Data Missing",VLOOKUP(M193,'G-3 Multipliers'!$L$3:$N$6,3,FALSE)))</f>
        <v/>
      </c>
      <c r="P193" s="177" t="str">
        <f>IFERROR(VLOOKUP(G193,'G-1 All Habitats'!$B$2:$M$130,12,FALSE),"")</f>
        <v/>
      </c>
      <c r="Q193" s="81" t="str">
        <f>IFERROR(IF(P193="","",IF(AND(P193='G-1 All Habitats'!$X$3,T193&gt;0),U193+V193,IF(AND(P193='G-1 All Habitats'!$X$3,S193&gt;0),U193+V193,IF(AND(P193='G-1 All Habitats'!$X$3,AC193&gt;0),"Any Loss Unacceptable",IF(AND(P193='G-1 All Habitats'!$X$3,W193&gt;0),"Any Loss Unacceptable",H193*J193*L193*O193))))),"Check Data")</f>
        <v/>
      </c>
      <c r="R193" s="55"/>
      <c r="S193" s="79"/>
      <c r="T193" s="82"/>
      <c r="U193" s="83" t="str">
        <f t="shared" si="14"/>
        <v/>
      </c>
      <c r="V193" s="83" t="str">
        <f t="shared" si="15"/>
        <v/>
      </c>
      <c r="W193" s="83" t="str">
        <f>IF(E193="","",IF(H193&lt;S193+T193,"Error in Areas",IF(P193&lt;&gt;'G-1 All Habitats'!$X$3,H193-S193-T193,IF(AND(P193='G-1 All Habitats'!$X$3,Y193="Yes"),"Unacceptable Loss",IF(AND(P193='G-1 All Habitats'!$X$3,Y193="No"),AC193,IF(AND(P193='G-1 All Habitats'!$X$3,Y193=""),AC193,IF(AND(P193='G-1 All Habitats'!$X$3,AC193="None",AC193),IF(AND(P193='G-1 All Habitats'!$X$3,AC193&gt;0),H193-S193-T193))))))))</f>
        <v/>
      </c>
      <c r="X193" s="354" t="str">
        <f>IFERROR(IF(H193="","",IF(H193-S193-T193=0&lt;0,"Error in Areas",IF(S193+T193&gt;H193,"Error in Areas",IF(AND(P193='G-1 All Habitats'!$X$3,Y193="Yes"),"Alternative Compensation",IF(W193=0,0,IF(P193='G-1 All Habitats'!$X$3,"Unacceptable Loss",Q193-U193-V193)))))),"Check Data")</f>
        <v/>
      </c>
      <c r="Y193" s="82"/>
      <c r="Z193" s="182"/>
      <c r="AA193" s="183"/>
      <c r="AC193" s="371" t="str">
        <f>IF(P193="","",IF(P193='G-1 All Habitats'!$X$3,H193-S193-T193,"None"))</f>
        <v/>
      </c>
      <c r="AD193" s="372" t="str">
        <f t="shared" si="16"/>
        <v/>
      </c>
      <c r="AF193" s="188" t="str">
        <f t="shared" si="12"/>
        <v/>
      </c>
      <c r="AG193" s="188" t="str">
        <f t="shared" si="13"/>
        <v/>
      </c>
      <c r="AH193" s="188" t="str">
        <f>IF(I193="","",IF(#REF!&gt;0,TRUE,FALSE))</f>
        <v/>
      </c>
      <c r="AI193" s="188">
        <v>183</v>
      </c>
      <c r="AJ193" s="188"/>
      <c r="AK193" s="188" t="str">
        <f t="array" ref="AK193">IFERROR(INDEX($AI$11:$AI$259, MATCH(0, IF(TRUE=$AF$11:$AF$259, COUNTIF($AK$10:$AK192, $AI$11:$AI$259), ""), 0)),"")</f>
        <v/>
      </c>
      <c r="AL193" s="188" t="str">
        <f t="array" ref="AL193">IFERROR(INDEX($AI$11:$AI$259, MATCH(0, IF(TRUE=$AG$11:$AG$259, COUNTIF($AL$10:$AL192, $AI$11:$AI$259), ""), 0)),"")</f>
        <v/>
      </c>
      <c r="AM193" s="188" t="str">
        <f t="array" ref="AM193">IFERROR(INDEX($AI$11:$AI$259, MATCH(0, IF(TRUE=$AH$11:$AH$259, COUNTIF($AM$10:$AM192, $AI$11:$AI$259), ""), 0)),"")</f>
        <v/>
      </c>
      <c r="AQ193" s="35">
        <f t="shared" si="17"/>
        <v>0</v>
      </c>
    </row>
    <row r="194" spans="1:43" x14ac:dyDescent="0.25">
      <c r="A194" s="35" t="str">
        <f>IFERROR(INDEX('G-1 All Habitats'!$AG$3:$AG$15,MATCH(E194,'G-1 All Habitats'!$AF$3:$AF$15,0)),"")</f>
        <v/>
      </c>
      <c r="B194" s="35" t="str">
        <f>IFERROR(INDEX('G-8 Condition Look up'!$I$4:$I$131,MATCH(G194,'G-8 Condition Look up'!$A$4:$A$131,0)),"")</f>
        <v/>
      </c>
      <c r="D194" s="168">
        <v>184</v>
      </c>
      <c r="E194" s="275"/>
      <c r="F194" s="275"/>
      <c r="G194" s="370" t="str">
        <f>IFERROR(INDEX('G-1 All Habitats'!$B$3:$B$130,MATCH(F194,'G-1 All Habitats'!$A$3:$A$130,0)),"")</f>
        <v/>
      </c>
      <c r="H194" s="213"/>
      <c r="I194" s="171" t="str">
        <f>IF(G194="","",VLOOKUP(G194,'G-1 All Habitats'!$B$2:$M$130,10,FALSE))</f>
        <v/>
      </c>
      <c r="J194" s="172" t="str">
        <f>IFERROR(VLOOKUP(I194,'G-1 All Habitats'!$V$3:$W$7,2,FALSE),"")</f>
        <v/>
      </c>
      <c r="K194" s="173"/>
      <c r="L194" s="172" t="str">
        <f>IFERROR(INDEX('G-8 Condition Look up'!$A$3:$H$131,MATCH(G194,'G-8 Condition Look up'!$A$3:$A$131,0),MATCH(K194,'G-8 Condition Look up'!$A$3:$H$3,0)),"")</f>
        <v/>
      </c>
      <c r="M194" s="186"/>
      <c r="N194" s="175" t="str">
        <f>IF(M194="","",IF(VLOOKUP(M194,'G-3 Multipliers'!$L$3:$N$6,2,FALSE)=0,"Spatial Data Missing",VLOOKUP(M194,'G-3 Multipliers'!$L$3:$N$6,2,FALSE)))</f>
        <v/>
      </c>
      <c r="O194" s="176" t="str">
        <f>IF(M194="","",IF(VLOOKUP(M194,'G-3 Multipliers'!$L$3:$N$6,3,FALSE)=0,"Spatial Data Missing",VLOOKUP(M194,'G-3 Multipliers'!$L$3:$N$6,3,FALSE)))</f>
        <v/>
      </c>
      <c r="P194" s="177" t="str">
        <f>IFERROR(VLOOKUP(G194,'G-1 All Habitats'!$B$2:$M$130,12,FALSE),"")</f>
        <v/>
      </c>
      <c r="Q194" s="81" t="str">
        <f>IFERROR(IF(P194="","",IF(AND(P194='G-1 All Habitats'!$X$3,T194&gt;0),U194+V194,IF(AND(P194='G-1 All Habitats'!$X$3,S194&gt;0),U194+V194,IF(AND(P194='G-1 All Habitats'!$X$3,AC194&gt;0),"Any Loss Unacceptable",IF(AND(P194='G-1 All Habitats'!$X$3,W194&gt;0),"Any Loss Unacceptable",H194*J194*L194*O194))))),"Check Data")</f>
        <v/>
      </c>
      <c r="R194" s="55"/>
      <c r="S194" s="79"/>
      <c r="T194" s="82"/>
      <c r="U194" s="83" t="str">
        <f t="shared" si="14"/>
        <v/>
      </c>
      <c r="V194" s="83" t="str">
        <f t="shared" si="15"/>
        <v/>
      </c>
      <c r="W194" s="83" t="str">
        <f>IF(E194="","",IF(H194&lt;S194+T194,"Error in Areas",IF(P194&lt;&gt;'G-1 All Habitats'!$X$3,H194-S194-T194,IF(AND(P194='G-1 All Habitats'!$X$3,Y194="Yes"),"Unacceptable Loss",IF(AND(P194='G-1 All Habitats'!$X$3,Y194="No"),AC194,IF(AND(P194='G-1 All Habitats'!$X$3,Y194=""),AC194,IF(AND(P194='G-1 All Habitats'!$X$3,AC194="None",AC194),IF(AND(P194='G-1 All Habitats'!$X$3,AC194&gt;0),H194-S194-T194))))))))</f>
        <v/>
      </c>
      <c r="X194" s="354" t="str">
        <f>IFERROR(IF(H194="","",IF(H194-S194-T194=0&lt;0,"Error in Areas",IF(S194+T194&gt;H194,"Error in Areas",IF(AND(P194='G-1 All Habitats'!$X$3,Y194="Yes"),"Alternative Compensation",IF(W194=0,0,IF(P194='G-1 All Habitats'!$X$3,"Unacceptable Loss",Q194-U194-V194)))))),"Check Data")</f>
        <v/>
      </c>
      <c r="Y194" s="82"/>
      <c r="Z194" s="182"/>
      <c r="AA194" s="183"/>
      <c r="AC194" s="371" t="str">
        <f>IF(P194="","",IF(P194='G-1 All Habitats'!$X$3,H194-S194-T194,"None"))</f>
        <v/>
      </c>
      <c r="AD194" s="372" t="str">
        <f t="shared" si="16"/>
        <v/>
      </c>
      <c r="AF194" s="188" t="str">
        <f t="shared" si="12"/>
        <v/>
      </c>
      <c r="AG194" s="188" t="str">
        <f t="shared" si="13"/>
        <v/>
      </c>
      <c r="AH194" s="188" t="str">
        <f>IF(I194="","",IF(#REF!&gt;0,TRUE,FALSE))</f>
        <v/>
      </c>
      <c r="AI194" s="188">
        <v>184</v>
      </c>
      <c r="AJ194" s="188"/>
      <c r="AK194" s="188" t="str">
        <f t="array" ref="AK194">IFERROR(INDEX($AI$11:$AI$259, MATCH(0, IF(TRUE=$AF$11:$AF$259, COUNTIF($AK$10:$AK193, $AI$11:$AI$259), ""), 0)),"")</f>
        <v/>
      </c>
      <c r="AL194" s="188" t="str">
        <f t="array" ref="AL194">IFERROR(INDEX($AI$11:$AI$259, MATCH(0, IF(TRUE=$AG$11:$AG$259, COUNTIF($AL$10:$AL193, $AI$11:$AI$259), ""), 0)),"")</f>
        <v/>
      </c>
      <c r="AM194" s="188" t="str">
        <f t="array" ref="AM194">IFERROR(INDEX($AI$11:$AI$259, MATCH(0, IF(TRUE=$AH$11:$AH$259, COUNTIF($AM$10:$AM193, $AI$11:$AI$259), ""), 0)),"")</f>
        <v/>
      </c>
      <c r="AQ194" s="35">
        <f t="shared" si="17"/>
        <v>0</v>
      </c>
    </row>
    <row r="195" spans="1:43" x14ac:dyDescent="0.25">
      <c r="A195" s="35" t="str">
        <f>IFERROR(INDEX('G-1 All Habitats'!$AG$3:$AG$15,MATCH(E195,'G-1 All Habitats'!$AF$3:$AF$15,0)),"")</f>
        <v/>
      </c>
      <c r="B195" s="35" t="str">
        <f>IFERROR(INDEX('G-8 Condition Look up'!$I$4:$I$131,MATCH(G195,'G-8 Condition Look up'!$A$4:$A$131,0)),"")</f>
        <v/>
      </c>
      <c r="D195" s="168">
        <v>185</v>
      </c>
      <c r="E195" s="275"/>
      <c r="F195" s="275"/>
      <c r="G195" s="370" t="str">
        <f>IFERROR(INDEX('G-1 All Habitats'!$B$3:$B$130,MATCH(F195,'G-1 All Habitats'!$A$3:$A$130,0)),"")</f>
        <v/>
      </c>
      <c r="H195" s="213"/>
      <c r="I195" s="171" t="str">
        <f>IF(G195="","",VLOOKUP(G195,'G-1 All Habitats'!$B$2:$M$130,10,FALSE))</f>
        <v/>
      </c>
      <c r="J195" s="172" t="str">
        <f>IFERROR(VLOOKUP(I195,'G-1 All Habitats'!$V$3:$W$7,2,FALSE),"")</f>
        <v/>
      </c>
      <c r="K195" s="173"/>
      <c r="L195" s="172" t="str">
        <f>IFERROR(INDEX('G-8 Condition Look up'!$A$3:$H$131,MATCH(G195,'G-8 Condition Look up'!$A$3:$A$131,0),MATCH(K195,'G-8 Condition Look up'!$A$3:$H$3,0)),"")</f>
        <v/>
      </c>
      <c r="M195" s="186"/>
      <c r="N195" s="175" t="str">
        <f>IF(M195="","",IF(VLOOKUP(M195,'G-3 Multipliers'!$L$3:$N$6,2,FALSE)=0,"Spatial Data Missing",VLOOKUP(M195,'G-3 Multipliers'!$L$3:$N$6,2,FALSE)))</f>
        <v/>
      </c>
      <c r="O195" s="176" t="str">
        <f>IF(M195="","",IF(VLOOKUP(M195,'G-3 Multipliers'!$L$3:$N$6,3,FALSE)=0,"Spatial Data Missing",VLOOKUP(M195,'G-3 Multipliers'!$L$3:$N$6,3,FALSE)))</f>
        <v/>
      </c>
      <c r="P195" s="177" t="str">
        <f>IFERROR(VLOOKUP(G195,'G-1 All Habitats'!$B$2:$M$130,12,FALSE),"")</f>
        <v/>
      </c>
      <c r="Q195" s="81" t="str">
        <f>IFERROR(IF(P195="","",IF(AND(P195='G-1 All Habitats'!$X$3,T195&gt;0),U195+V195,IF(AND(P195='G-1 All Habitats'!$X$3,S195&gt;0),U195+V195,IF(AND(P195='G-1 All Habitats'!$X$3,AC195&gt;0),"Any Loss Unacceptable",IF(AND(P195='G-1 All Habitats'!$X$3,W195&gt;0),"Any Loss Unacceptable",H195*J195*L195*O195))))),"Check Data")</f>
        <v/>
      </c>
      <c r="R195" s="55"/>
      <c r="S195" s="79"/>
      <c r="T195" s="82"/>
      <c r="U195" s="83" t="str">
        <f t="shared" si="14"/>
        <v/>
      </c>
      <c r="V195" s="83" t="str">
        <f t="shared" si="15"/>
        <v/>
      </c>
      <c r="W195" s="83" t="str">
        <f>IF(E195="","",IF(H195&lt;S195+T195,"Error in Areas",IF(P195&lt;&gt;'G-1 All Habitats'!$X$3,H195-S195-T195,IF(AND(P195='G-1 All Habitats'!$X$3,Y195="Yes"),"Unacceptable Loss",IF(AND(P195='G-1 All Habitats'!$X$3,Y195="No"),AC195,IF(AND(P195='G-1 All Habitats'!$X$3,Y195=""),AC195,IF(AND(P195='G-1 All Habitats'!$X$3,AC195="None",AC195),IF(AND(P195='G-1 All Habitats'!$X$3,AC195&gt;0),H195-S195-T195))))))))</f>
        <v/>
      </c>
      <c r="X195" s="354" t="str">
        <f>IFERROR(IF(H195="","",IF(H195-S195-T195=0&lt;0,"Error in Areas",IF(S195+T195&gt;H195,"Error in Areas",IF(AND(P195='G-1 All Habitats'!$X$3,Y195="Yes"),"Alternative Compensation",IF(W195=0,0,IF(P195='G-1 All Habitats'!$X$3,"Unacceptable Loss",Q195-U195-V195)))))),"Check Data")</f>
        <v/>
      </c>
      <c r="Y195" s="82"/>
      <c r="Z195" s="182"/>
      <c r="AA195" s="183"/>
      <c r="AC195" s="371" t="str">
        <f>IF(P195="","",IF(P195='G-1 All Habitats'!$X$3,H195-S195-T195,"None"))</f>
        <v/>
      </c>
      <c r="AD195" s="372" t="str">
        <f t="shared" si="16"/>
        <v/>
      </c>
      <c r="AF195" s="188" t="str">
        <f t="shared" si="12"/>
        <v/>
      </c>
      <c r="AG195" s="188" t="str">
        <f t="shared" si="13"/>
        <v/>
      </c>
      <c r="AH195" s="188" t="str">
        <f>IF(I195="","",IF(#REF!&gt;0,TRUE,FALSE))</f>
        <v/>
      </c>
      <c r="AI195" s="188">
        <v>185</v>
      </c>
      <c r="AJ195" s="188"/>
      <c r="AK195" s="188" t="str">
        <f t="array" ref="AK195">IFERROR(INDEX($AI$11:$AI$259, MATCH(0, IF(TRUE=$AF$11:$AF$259, COUNTIF($AK$10:$AK194, $AI$11:$AI$259), ""), 0)),"")</f>
        <v/>
      </c>
      <c r="AL195" s="188" t="str">
        <f t="array" ref="AL195">IFERROR(INDEX($AI$11:$AI$259, MATCH(0, IF(TRUE=$AG$11:$AG$259, COUNTIF($AL$10:$AL194, $AI$11:$AI$259), ""), 0)),"")</f>
        <v/>
      </c>
      <c r="AM195" s="188" t="str">
        <f t="array" ref="AM195">IFERROR(INDEX($AI$11:$AI$259, MATCH(0, IF(TRUE=$AH$11:$AH$259, COUNTIF($AM$10:$AM194, $AI$11:$AI$259), ""), 0)),"")</f>
        <v/>
      </c>
      <c r="AQ195" s="35">
        <f t="shared" si="17"/>
        <v>0</v>
      </c>
    </row>
    <row r="196" spans="1:43" x14ac:dyDescent="0.25">
      <c r="A196" s="35" t="str">
        <f>IFERROR(INDEX('G-1 All Habitats'!$AG$3:$AG$15,MATCH(E196,'G-1 All Habitats'!$AF$3:$AF$15,0)),"")</f>
        <v/>
      </c>
      <c r="B196" s="35" t="str">
        <f>IFERROR(INDEX('G-8 Condition Look up'!$I$4:$I$131,MATCH(G196,'G-8 Condition Look up'!$A$4:$A$131,0)),"")</f>
        <v/>
      </c>
      <c r="D196" s="168">
        <v>186</v>
      </c>
      <c r="E196" s="275"/>
      <c r="F196" s="275"/>
      <c r="G196" s="370" t="str">
        <f>IFERROR(INDEX('G-1 All Habitats'!$B$3:$B$130,MATCH(F196,'G-1 All Habitats'!$A$3:$A$130,0)),"")</f>
        <v/>
      </c>
      <c r="H196" s="213"/>
      <c r="I196" s="171" t="str">
        <f>IF(G196="","",VLOOKUP(G196,'G-1 All Habitats'!$B$2:$M$130,10,FALSE))</f>
        <v/>
      </c>
      <c r="J196" s="172" t="str">
        <f>IFERROR(VLOOKUP(I196,'G-1 All Habitats'!$V$3:$W$7,2,FALSE),"")</f>
        <v/>
      </c>
      <c r="K196" s="173"/>
      <c r="L196" s="172" t="str">
        <f>IFERROR(INDEX('G-8 Condition Look up'!$A$3:$H$131,MATCH(G196,'G-8 Condition Look up'!$A$3:$A$131,0),MATCH(K196,'G-8 Condition Look up'!$A$3:$H$3,0)),"")</f>
        <v/>
      </c>
      <c r="M196" s="186"/>
      <c r="N196" s="175" t="str">
        <f>IF(M196="","",IF(VLOOKUP(M196,'G-3 Multipliers'!$L$3:$N$6,2,FALSE)=0,"Spatial Data Missing",VLOOKUP(M196,'G-3 Multipliers'!$L$3:$N$6,2,FALSE)))</f>
        <v/>
      </c>
      <c r="O196" s="176" t="str">
        <f>IF(M196="","",IF(VLOOKUP(M196,'G-3 Multipliers'!$L$3:$N$6,3,FALSE)=0,"Spatial Data Missing",VLOOKUP(M196,'G-3 Multipliers'!$L$3:$N$6,3,FALSE)))</f>
        <v/>
      </c>
      <c r="P196" s="177" t="str">
        <f>IFERROR(VLOOKUP(G196,'G-1 All Habitats'!$B$2:$M$130,12,FALSE),"")</f>
        <v/>
      </c>
      <c r="Q196" s="81" t="str">
        <f>IFERROR(IF(P196="","",IF(AND(P196='G-1 All Habitats'!$X$3,T196&gt;0),U196+V196,IF(AND(P196='G-1 All Habitats'!$X$3,S196&gt;0),U196+V196,IF(AND(P196='G-1 All Habitats'!$X$3,AC196&gt;0),"Any Loss Unacceptable",IF(AND(P196='G-1 All Habitats'!$X$3,W196&gt;0),"Any Loss Unacceptable",H196*J196*L196*O196))))),"Check Data")</f>
        <v/>
      </c>
      <c r="R196" s="55"/>
      <c r="S196" s="79"/>
      <c r="T196" s="82"/>
      <c r="U196" s="83" t="str">
        <f t="shared" si="14"/>
        <v/>
      </c>
      <c r="V196" s="83" t="str">
        <f t="shared" si="15"/>
        <v/>
      </c>
      <c r="W196" s="83" t="str">
        <f>IF(E196="","",IF(H196&lt;S196+T196,"Error in Areas",IF(P196&lt;&gt;'G-1 All Habitats'!$X$3,H196-S196-T196,IF(AND(P196='G-1 All Habitats'!$X$3,Y196="Yes"),"Unacceptable Loss",IF(AND(P196='G-1 All Habitats'!$X$3,Y196="No"),AC196,IF(AND(P196='G-1 All Habitats'!$X$3,Y196=""),AC196,IF(AND(P196='G-1 All Habitats'!$X$3,AC196="None",AC196),IF(AND(P196='G-1 All Habitats'!$X$3,AC196&gt;0),H196-S196-T196))))))))</f>
        <v/>
      </c>
      <c r="X196" s="354" t="str">
        <f>IFERROR(IF(H196="","",IF(H196-S196-T196=0&lt;0,"Error in Areas",IF(S196+T196&gt;H196,"Error in Areas",IF(AND(P196='G-1 All Habitats'!$X$3,Y196="Yes"),"Alternative Compensation",IF(W196=0,0,IF(P196='G-1 All Habitats'!$X$3,"Unacceptable Loss",Q196-U196-V196)))))),"Check Data")</f>
        <v/>
      </c>
      <c r="Y196" s="82"/>
      <c r="Z196" s="182"/>
      <c r="AA196" s="183"/>
      <c r="AC196" s="371" t="str">
        <f>IF(P196="","",IF(P196='G-1 All Habitats'!$X$3,H196-S196-T196,"None"))</f>
        <v/>
      </c>
      <c r="AD196" s="372" t="str">
        <f t="shared" si="16"/>
        <v/>
      </c>
      <c r="AF196" s="188" t="str">
        <f t="shared" si="12"/>
        <v/>
      </c>
      <c r="AG196" s="188" t="str">
        <f t="shared" si="13"/>
        <v/>
      </c>
      <c r="AH196" s="188" t="str">
        <f>IF(I196="","",IF(#REF!&gt;0,TRUE,FALSE))</f>
        <v/>
      </c>
      <c r="AI196" s="188">
        <v>186</v>
      </c>
      <c r="AJ196" s="188"/>
      <c r="AK196" s="188" t="str">
        <f t="array" ref="AK196">IFERROR(INDEX($AI$11:$AI$259, MATCH(0, IF(TRUE=$AF$11:$AF$259, COUNTIF($AK$10:$AK195, $AI$11:$AI$259), ""), 0)),"")</f>
        <v/>
      </c>
      <c r="AL196" s="188" t="str">
        <f t="array" ref="AL196">IFERROR(INDEX($AI$11:$AI$259, MATCH(0, IF(TRUE=$AG$11:$AG$259, COUNTIF($AL$10:$AL195, $AI$11:$AI$259), ""), 0)),"")</f>
        <v/>
      </c>
      <c r="AM196" s="188" t="str">
        <f t="array" ref="AM196">IFERROR(INDEX($AI$11:$AI$259, MATCH(0, IF(TRUE=$AH$11:$AH$259, COUNTIF($AM$10:$AM195, $AI$11:$AI$259), ""), 0)),"")</f>
        <v/>
      </c>
      <c r="AQ196" s="35">
        <f t="shared" si="17"/>
        <v>0</v>
      </c>
    </row>
    <row r="197" spans="1:43" x14ac:dyDescent="0.25">
      <c r="A197" s="35" t="str">
        <f>IFERROR(INDEX('G-1 All Habitats'!$AG$3:$AG$15,MATCH(E197,'G-1 All Habitats'!$AF$3:$AF$15,0)),"")</f>
        <v/>
      </c>
      <c r="B197" s="35" t="str">
        <f>IFERROR(INDEX('G-8 Condition Look up'!$I$4:$I$131,MATCH(G197,'G-8 Condition Look up'!$A$4:$A$131,0)),"")</f>
        <v/>
      </c>
      <c r="D197" s="168">
        <v>187</v>
      </c>
      <c r="E197" s="275"/>
      <c r="F197" s="275"/>
      <c r="G197" s="370" t="str">
        <f>IFERROR(INDEX('G-1 All Habitats'!$B$3:$B$130,MATCH(F197,'G-1 All Habitats'!$A$3:$A$130,0)),"")</f>
        <v/>
      </c>
      <c r="H197" s="213"/>
      <c r="I197" s="171" t="str">
        <f>IF(G197="","",VLOOKUP(G197,'G-1 All Habitats'!$B$2:$M$130,10,FALSE))</f>
        <v/>
      </c>
      <c r="J197" s="172" t="str">
        <f>IFERROR(VLOOKUP(I197,'G-1 All Habitats'!$V$3:$W$7,2,FALSE),"")</f>
        <v/>
      </c>
      <c r="K197" s="173"/>
      <c r="L197" s="172" t="str">
        <f>IFERROR(INDEX('G-8 Condition Look up'!$A$3:$H$131,MATCH(G197,'G-8 Condition Look up'!$A$3:$A$131,0),MATCH(K197,'G-8 Condition Look up'!$A$3:$H$3,0)),"")</f>
        <v/>
      </c>
      <c r="M197" s="186"/>
      <c r="N197" s="175" t="str">
        <f>IF(M197="","",IF(VLOOKUP(M197,'G-3 Multipliers'!$L$3:$N$6,2,FALSE)=0,"Spatial Data Missing",VLOOKUP(M197,'G-3 Multipliers'!$L$3:$N$6,2,FALSE)))</f>
        <v/>
      </c>
      <c r="O197" s="176" t="str">
        <f>IF(M197="","",IF(VLOOKUP(M197,'G-3 Multipliers'!$L$3:$N$6,3,FALSE)=0,"Spatial Data Missing",VLOOKUP(M197,'G-3 Multipliers'!$L$3:$N$6,3,FALSE)))</f>
        <v/>
      </c>
      <c r="P197" s="177" t="str">
        <f>IFERROR(VLOOKUP(G197,'G-1 All Habitats'!$B$2:$M$130,12,FALSE),"")</f>
        <v/>
      </c>
      <c r="Q197" s="81" t="str">
        <f>IFERROR(IF(P197="","",IF(AND(P197='G-1 All Habitats'!$X$3,T197&gt;0),U197+V197,IF(AND(P197='G-1 All Habitats'!$X$3,S197&gt;0),U197+V197,IF(AND(P197='G-1 All Habitats'!$X$3,AC197&gt;0),"Any Loss Unacceptable",IF(AND(P197='G-1 All Habitats'!$X$3,W197&gt;0),"Any Loss Unacceptable",H197*J197*L197*O197))))),"Check Data")</f>
        <v/>
      </c>
      <c r="R197" s="55"/>
      <c r="S197" s="79"/>
      <c r="T197" s="82"/>
      <c r="U197" s="83" t="str">
        <f t="shared" si="14"/>
        <v/>
      </c>
      <c r="V197" s="83" t="str">
        <f t="shared" si="15"/>
        <v/>
      </c>
      <c r="W197" s="83" t="str">
        <f>IF(E197="","",IF(H197&lt;S197+T197,"Error in Areas",IF(P197&lt;&gt;'G-1 All Habitats'!$X$3,H197-S197-T197,IF(AND(P197='G-1 All Habitats'!$X$3,Y197="Yes"),"Unacceptable Loss",IF(AND(P197='G-1 All Habitats'!$X$3,Y197="No"),AC197,IF(AND(P197='G-1 All Habitats'!$X$3,Y197=""),AC197,IF(AND(P197='G-1 All Habitats'!$X$3,AC197="None",AC197),IF(AND(P197='G-1 All Habitats'!$X$3,AC197&gt;0),H197-S197-T197))))))))</f>
        <v/>
      </c>
      <c r="X197" s="354" t="str">
        <f>IFERROR(IF(H197="","",IF(H197-S197-T197=0&lt;0,"Error in Areas",IF(S197+T197&gt;H197,"Error in Areas",IF(AND(P197='G-1 All Habitats'!$X$3,Y197="Yes"),"Alternative Compensation",IF(W197=0,0,IF(P197='G-1 All Habitats'!$X$3,"Unacceptable Loss",Q197-U197-V197)))))),"Check Data")</f>
        <v/>
      </c>
      <c r="Y197" s="82"/>
      <c r="Z197" s="182"/>
      <c r="AA197" s="183"/>
      <c r="AC197" s="371" t="str">
        <f>IF(P197="","",IF(P197='G-1 All Habitats'!$X$3,H197-S197-T197,"None"))</f>
        <v/>
      </c>
      <c r="AD197" s="372" t="str">
        <f t="shared" si="16"/>
        <v/>
      </c>
      <c r="AF197" s="188" t="str">
        <f t="shared" si="12"/>
        <v/>
      </c>
      <c r="AG197" s="188" t="str">
        <f t="shared" si="13"/>
        <v/>
      </c>
      <c r="AH197" s="188" t="str">
        <f>IF(I197="","",IF(#REF!&gt;0,TRUE,FALSE))</f>
        <v/>
      </c>
      <c r="AI197" s="188">
        <v>187</v>
      </c>
      <c r="AJ197" s="188"/>
      <c r="AK197" s="188" t="str">
        <f t="array" ref="AK197">IFERROR(INDEX($AI$11:$AI$259, MATCH(0, IF(TRUE=$AF$11:$AF$259, COUNTIF($AK$10:$AK196, $AI$11:$AI$259), ""), 0)),"")</f>
        <v/>
      </c>
      <c r="AL197" s="188" t="str">
        <f t="array" ref="AL197">IFERROR(INDEX($AI$11:$AI$259, MATCH(0, IF(TRUE=$AG$11:$AG$259, COUNTIF($AL$10:$AL196, $AI$11:$AI$259), ""), 0)),"")</f>
        <v/>
      </c>
      <c r="AM197" s="188" t="str">
        <f t="array" ref="AM197">IFERROR(INDEX($AI$11:$AI$259, MATCH(0, IF(TRUE=$AH$11:$AH$259, COUNTIF($AM$10:$AM196, $AI$11:$AI$259), ""), 0)),"")</f>
        <v/>
      </c>
      <c r="AQ197" s="35">
        <f t="shared" si="17"/>
        <v>0</v>
      </c>
    </row>
    <row r="198" spans="1:43" x14ac:dyDescent="0.25">
      <c r="A198" s="35" t="str">
        <f>IFERROR(INDEX('G-1 All Habitats'!$AG$3:$AG$15,MATCH(E198,'G-1 All Habitats'!$AF$3:$AF$15,0)),"")</f>
        <v/>
      </c>
      <c r="B198" s="35" t="str">
        <f>IFERROR(INDEX('G-8 Condition Look up'!$I$4:$I$131,MATCH(G198,'G-8 Condition Look up'!$A$4:$A$131,0)),"")</f>
        <v/>
      </c>
      <c r="D198" s="168">
        <v>188</v>
      </c>
      <c r="E198" s="275"/>
      <c r="F198" s="275"/>
      <c r="G198" s="370" t="str">
        <f>IFERROR(INDEX('G-1 All Habitats'!$B$3:$B$130,MATCH(F198,'G-1 All Habitats'!$A$3:$A$130,0)),"")</f>
        <v/>
      </c>
      <c r="H198" s="213"/>
      <c r="I198" s="171" t="str">
        <f>IF(G198="","",VLOOKUP(G198,'G-1 All Habitats'!$B$2:$M$130,10,FALSE))</f>
        <v/>
      </c>
      <c r="J198" s="172" t="str">
        <f>IFERROR(VLOOKUP(I198,'G-1 All Habitats'!$V$3:$W$7,2,FALSE),"")</f>
        <v/>
      </c>
      <c r="K198" s="173"/>
      <c r="L198" s="172" t="str">
        <f>IFERROR(INDEX('G-8 Condition Look up'!$A$3:$H$131,MATCH(G198,'G-8 Condition Look up'!$A$3:$A$131,0),MATCH(K198,'G-8 Condition Look up'!$A$3:$H$3,0)),"")</f>
        <v/>
      </c>
      <c r="M198" s="186"/>
      <c r="N198" s="175" t="str">
        <f>IF(M198="","",IF(VLOOKUP(M198,'G-3 Multipliers'!$L$3:$N$6,2,FALSE)=0,"Spatial Data Missing",VLOOKUP(M198,'G-3 Multipliers'!$L$3:$N$6,2,FALSE)))</f>
        <v/>
      </c>
      <c r="O198" s="176" t="str">
        <f>IF(M198="","",IF(VLOOKUP(M198,'G-3 Multipliers'!$L$3:$N$6,3,FALSE)=0,"Spatial Data Missing",VLOOKUP(M198,'G-3 Multipliers'!$L$3:$N$6,3,FALSE)))</f>
        <v/>
      </c>
      <c r="P198" s="177" t="str">
        <f>IFERROR(VLOOKUP(G198,'G-1 All Habitats'!$B$2:$M$130,12,FALSE),"")</f>
        <v/>
      </c>
      <c r="Q198" s="81" t="str">
        <f>IFERROR(IF(P198="","",IF(AND(P198='G-1 All Habitats'!$X$3,T198&gt;0),U198+V198,IF(AND(P198='G-1 All Habitats'!$X$3,S198&gt;0),U198+V198,IF(AND(P198='G-1 All Habitats'!$X$3,AC198&gt;0),"Any Loss Unacceptable",IF(AND(P198='G-1 All Habitats'!$X$3,W198&gt;0),"Any Loss Unacceptable",H198*J198*L198*O198))))),"Check Data")</f>
        <v/>
      </c>
      <c r="R198" s="55"/>
      <c r="S198" s="79"/>
      <c r="T198" s="82"/>
      <c r="U198" s="83" t="str">
        <f t="shared" si="14"/>
        <v/>
      </c>
      <c r="V198" s="83" t="str">
        <f t="shared" si="15"/>
        <v/>
      </c>
      <c r="W198" s="83" t="str">
        <f>IF(E198="","",IF(H198&lt;S198+T198,"Error in Areas",IF(P198&lt;&gt;'G-1 All Habitats'!$X$3,H198-S198-T198,IF(AND(P198='G-1 All Habitats'!$X$3,Y198="Yes"),"Unacceptable Loss",IF(AND(P198='G-1 All Habitats'!$X$3,Y198="No"),AC198,IF(AND(P198='G-1 All Habitats'!$X$3,Y198=""),AC198,IF(AND(P198='G-1 All Habitats'!$X$3,AC198="None",AC198),IF(AND(P198='G-1 All Habitats'!$X$3,AC198&gt;0),H198-S198-T198))))))))</f>
        <v/>
      </c>
      <c r="X198" s="354" t="str">
        <f>IFERROR(IF(H198="","",IF(H198-S198-T198=0&lt;0,"Error in Areas",IF(S198+T198&gt;H198,"Error in Areas",IF(AND(P198='G-1 All Habitats'!$X$3,Y198="Yes"),"Alternative Compensation",IF(W198=0,0,IF(P198='G-1 All Habitats'!$X$3,"Unacceptable Loss",Q198-U198-V198)))))),"Check Data")</f>
        <v/>
      </c>
      <c r="Y198" s="82"/>
      <c r="Z198" s="182"/>
      <c r="AA198" s="183"/>
      <c r="AC198" s="371" t="str">
        <f>IF(P198="","",IF(P198='G-1 All Habitats'!$X$3,H198-S198-T198,"None"))</f>
        <v/>
      </c>
      <c r="AD198" s="372" t="str">
        <f t="shared" si="16"/>
        <v/>
      </c>
      <c r="AF198" s="188" t="str">
        <f t="shared" si="12"/>
        <v/>
      </c>
      <c r="AG198" s="188" t="str">
        <f t="shared" si="13"/>
        <v/>
      </c>
      <c r="AH198" s="188" t="str">
        <f>IF(I198="","",IF(#REF!&gt;0,TRUE,FALSE))</f>
        <v/>
      </c>
      <c r="AI198" s="188">
        <v>188</v>
      </c>
      <c r="AJ198" s="188"/>
      <c r="AK198" s="188" t="str">
        <f t="array" ref="AK198">IFERROR(INDEX($AI$11:$AI$259, MATCH(0, IF(TRUE=$AF$11:$AF$259, COUNTIF($AK$10:$AK197, $AI$11:$AI$259), ""), 0)),"")</f>
        <v/>
      </c>
      <c r="AL198" s="188" t="str">
        <f t="array" ref="AL198">IFERROR(INDEX($AI$11:$AI$259, MATCH(0, IF(TRUE=$AG$11:$AG$259, COUNTIF($AL$10:$AL197, $AI$11:$AI$259), ""), 0)),"")</f>
        <v/>
      </c>
      <c r="AM198" s="188" t="str">
        <f t="array" ref="AM198">IFERROR(INDEX($AI$11:$AI$259, MATCH(0, IF(TRUE=$AH$11:$AH$259, COUNTIF($AM$10:$AM197, $AI$11:$AI$259), ""), 0)),"")</f>
        <v/>
      </c>
      <c r="AQ198" s="35">
        <f t="shared" si="17"/>
        <v>0</v>
      </c>
    </row>
    <row r="199" spans="1:43" x14ac:dyDescent="0.25">
      <c r="A199" s="35" t="str">
        <f>IFERROR(INDEX('G-1 All Habitats'!$AG$3:$AG$15,MATCH(E199,'G-1 All Habitats'!$AF$3:$AF$15,0)),"")</f>
        <v/>
      </c>
      <c r="B199" s="35" t="str">
        <f>IFERROR(INDEX('G-8 Condition Look up'!$I$4:$I$131,MATCH(G199,'G-8 Condition Look up'!$A$4:$A$131,0)),"")</f>
        <v/>
      </c>
      <c r="D199" s="168">
        <v>189</v>
      </c>
      <c r="E199" s="275"/>
      <c r="F199" s="275"/>
      <c r="G199" s="370" t="str">
        <f>IFERROR(INDEX('G-1 All Habitats'!$B$3:$B$130,MATCH(F199,'G-1 All Habitats'!$A$3:$A$130,0)),"")</f>
        <v/>
      </c>
      <c r="H199" s="213"/>
      <c r="I199" s="171" t="str">
        <f>IF(G199="","",VLOOKUP(G199,'G-1 All Habitats'!$B$2:$M$130,10,FALSE))</f>
        <v/>
      </c>
      <c r="J199" s="172" t="str">
        <f>IFERROR(VLOOKUP(I199,'G-1 All Habitats'!$V$3:$W$7,2,FALSE),"")</f>
        <v/>
      </c>
      <c r="K199" s="173"/>
      <c r="L199" s="172" t="str">
        <f>IFERROR(INDEX('G-8 Condition Look up'!$A$3:$H$131,MATCH(G199,'G-8 Condition Look up'!$A$3:$A$131,0),MATCH(K199,'G-8 Condition Look up'!$A$3:$H$3,0)),"")</f>
        <v/>
      </c>
      <c r="M199" s="186"/>
      <c r="N199" s="175" t="str">
        <f>IF(M199="","",IF(VLOOKUP(M199,'G-3 Multipliers'!$L$3:$N$6,2,FALSE)=0,"Spatial Data Missing",VLOOKUP(M199,'G-3 Multipliers'!$L$3:$N$6,2,FALSE)))</f>
        <v/>
      </c>
      <c r="O199" s="176" t="str">
        <f>IF(M199="","",IF(VLOOKUP(M199,'G-3 Multipliers'!$L$3:$N$6,3,FALSE)=0,"Spatial Data Missing",VLOOKUP(M199,'G-3 Multipliers'!$L$3:$N$6,3,FALSE)))</f>
        <v/>
      </c>
      <c r="P199" s="177" t="str">
        <f>IFERROR(VLOOKUP(G199,'G-1 All Habitats'!$B$2:$M$130,12,FALSE),"")</f>
        <v/>
      </c>
      <c r="Q199" s="81" t="str">
        <f>IFERROR(IF(P199="","",IF(AND(P199='G-1 All Habitats'!$X$3,T199&gt;0),U199+V199,IF(AND(P199='G-1 All Habitats'!$X$3,S199&gt;0),U199+V199,IF(AND(P199='G-1 All Habitats'!$X$3,AC199&gt;0),"Any Loss Unacceptable",IF(AND(P199='G-1 All Habitats'!$X$3,W199&gt;0),"Any Loss Unacceptable",H199*J199*L199*O199))))),"Check Data")</f>
        <v/>
      </c>
      <c r="R199" s="55"/>
      <c r="S199" s="79"/>
      <c r="T199" s="82"/>
      <c r="U199" s="83" t="str">
        <f t="shared" si="14"/>
        <v/>
      </c>
      <c r="V199" s="83" t="str">
        <f t="shared" si="15"/>
        <v/>
      </c>
      <c r="W199" s="83" t="str">
        <f>IF(E199="","",IF(H199&lt;S199+T199,"Error in Areas",IF(P199&lt;&gt;'G-1 All Habitats'!$X$3,H199-S199-T199,IF(AND(P199='G-1 All Habitats'!$X$3,Y199="Yes"),"Unacceptable Loss",IF(AND(P199='G-1 All Habitats'!$X$3,Y199="No"),AC199,IF(AND(P199='G-1 All Habitats'!$X$3,Y199=""),AC199,IF(AND(P199='G-1 All Habitats'!$X$3,AC199="None",AC199),IF(AND(P199='G-1 All Habitats'!$X$3,AC199&gt;0),H199-S199-T199))))))))</f>
        <v/>
      </c>
      <c r="X199" s="354" t="str">
        <f>IFERROR(IF(H199="","",IF(H199-S199-T199=0&lt;0,"Error in Areas",IF(S199+T199&gt;H199,"Error in Areas",IF(AND(P199='G-1 All Habitats'!$X$3,Y199="Yes"),"Alternative Compensation",IF(W199=0,0,IF(P199='G-1 All Habitats'!$X$3,"Unacceptable Loss",Q199-U199-V199)))))),"Check Data")</f>
        <v/>
      </c>
      <c r="Y199" s="82"/>
      <c r="Z199" s="182"/>
      <c r="AA199" s="183"/>
      <c r="AC199" s="371" t="str">
        <f>IF(P199="","",IF(P199='G-1 All Habitats'!$X$3,H199-S199-T199,"None"))</f>
        <v/>
      </c>
      <c r="AD199" s="372" t="str">
        <f t="shared" si="16"/>
        <v/>
      </c>
      <c r="AF199" s="188" t="str">
        <f t="shared" si="12"/>
        <v/>
      </c>
      <c r="AG199" s="188" t="str">
        <f t="shared" si="13"/>
        <v/>
      </c>
      <c r="AH199" s="188" t="str">
        <f>IF(I199="","",IF(#REF!&gt;0,TRUE,FALSE))</f>
        <v/>
      </c>
      <c r="AI199" s="188">
        <v>189</v>
      </c>
      <c r="AJ199" s="188"/>
      <c r="AK199" s="188" t="str">
        <f t="array" ref="AK199">IFERROR(INDEX($AI$11:$AI$259, MATCH(0, IF(TRUE=$AF$11:$AF$259, COUNTIF($AK$10:$AK198, $AI$11:$AI$259), ""), 0)),"")</f>
        <v/>
      </c>
      <c r="AL199" s="188" t="str">
        <f t="array" ref="AL199">IFERROR(INDEX($AI$11:$AI$259, MATCH(0, IF(TRUE=$AG$11:$AG$259, COUNTIF($AL$10:$AL198, $AI$11:$AI$259), ""), 0)),"")</f>
        <v/>
      </c>
      <c r="AM199" s="188" t="str">
        <f t="array" ref="AM199">IFERROR(INDEX($AI$11:$AI$259, MATCH(0, IF(TRUE=$AH$11:$AH$259, COUNTIF($AM$10:$AM198, $AI$11:$AI$259), ""), 0)),"")</f>
        <v/>
      </c>
      <c r="AQ199" s="35">
        <f t="shared" si="17"/>
        <v>0</v>
      </c>
    </row>
    <row r="200" spans="1:43" x14ac:dyDescent="0.25">
      <c r="A200" s="35" t="str">
        <f>IFERROR(INDEX('G-1 All Habitats'!$AG$3:$AG$15,MATCH(E200,'G-1 All Habitats'!$AF$3:$AF$15,0)),"")</f>
        <v/>
      </c>
      <c r="B200" s="35" t="str">
        <f>IFERROR(INDEX('G-8 Condition Look up'!$I$4:$I$131,MATCH(G200,'G-8 Condition Look up'!$A$4:$A$131,0)),"")</f>
        <v/>
      </c>
      <c r="D200" s="168">
        <v>190</v>
      </c>
      <c r="E200" s="275"/>
      <c r="F200" s="275"/>
      <c r="G200" s="370" t="str">
        <f>IFERROR(INDEX('G-1 All Habitats'!$B$3:$B$130,MATCH(F200,'G-1 All Habitats'!$A$3:$A$130,0)),"")</f>
        <v/>
      </c>
      <c r="H200" s="213"/>
      <c r="I200" s="171" t="str">
        <f>IF(G200="","",VLOOKUP(G200,'G-1 All Habitats'!$B$2:$M$130,10,FALSE))</f>
        <v/>
      </c>
      <c r="J200" s="172" t="str">
        <f>IFERROR(VLOOKUP(I200,'G-1 All Habitats'!$V$3:$W$7,2,FALSE),"")</f>
        <v/>
      </c>
      <c r="K200" s="173"/>
      <c r="L200" s="172" t="str">
        <f>IFERROR(INDEX('G-8 Condition Look up'!$A$3:$H$131,MATCH(G200,'G-8 Condition Look up'!$A$3:$A$131,0),MATCH(K200,'G-8 Condition Look up'!$A$3:$H$3,0)),"")</f>
        <v/>
      </c>
      <c r="M200" s="186"/>
      <c r="N200" s="175" t="str">
        <f>IF(M200="","",IF(VLOOKUP(M200,'G-3 Multipliers'!$L$3:$N$6,2,FALSE)=0,"Spatial Data Missing",VLOOKUP(M200,'G-3 Multipliers'!$L$3:$N$6,2,FALSE)))</f>
        <v/>
      </c>
      <c r="O200" s="176" t="str">
        <f>IF(M200="","",IF(VLOOKUP(M200,'G-3 Multipliers'!$L$3:$N$6,3,FALSE)=0,"Spatial Data Missing",VLOOKUP(M200,'G-3 Multipliers'!$L$3:$N$6,3,FALSE)))</f>
        <v/>
      </c>
      <c r="P200" s="177" t="str">
        <f>IFERROR(VLOOKUP(G200,'G-1 All Habitats'!$B$2:$M$130,12,FALSE),"")</f>
        <v/>
      </c>
      <c r="Q200" s="81" t="str">
        <f>IFERROR(IF(P200="","",IF(AND(P200='G-1 All Habitats'!$X$3,T200&gt;0),U200+V200,IF(AND(P200='G-1 All Habitats'!$X$3,S200&gt;0),U200+V200,IF(AND(P200='G-1 All Habitats'!$X$3,AC200&gt;0),"Any Loss Unacceptable",IF(AND(P200='G-1 All Habitats'!$X$3,W200&gt;0),"Any Loss Unacceptable",H200*J200*L200*O200))))),"Check Data")</f>
        <v/>
      </c>
      <c r="R200" s="55"/>
      <c r="S200" s="79"/>
      <c r="T200" s="82"/>
      <c r="U200" s="83" t="str">
        <f t="shared" si="14"/>
        <v/>
      </c>
      <c r="V200" s="83" t="str">
        <f t="shared" si="15"/>
        <v/>
      </c>
      <c r="W200" s="83" t="str">
        <f>IF(E200="","",IF(H200&lt;S200+T200,"Error in Areas",IF(P200&lt;&gt;'G-1 All Habitats'!$X$3,H200-S200-T200,IF(AND(P200='G-1 All Habitats'!$X$3,Y200="Yes"),"Unacceptable Loss",IF(AND(P200='G-1 All Habitats'!$X$3,Y200="No"),AC200,IF(AND(P200='G-1 All Habitats'!$X$3,Y200=""),AC200,IF(AND(P200='G-1 All Habitats'!$X$3,AC200="None",AC200),IF(AND(P200='G-1 All Habitats'!$X$3,AC200&gt;0),H200-S200-T200))))))))</f>
        <v/>
      </c>
      <c r="X200" s="354" t="str">
        <f>IFERROR(IF(H200="","",IF(H200-S200-T200=0&lt;0,"Error in Areas",IF(S200+T200&gt;H200,"Error in Areas",IF(AND(P200='G-1 All Habitats'!$X$3,Y200="Yes"),"Alternative Compensation",IF(W200=0,0,IF(P200='G-1 All Habitats'!$X$3,"Unacceptable Loss",Q200-U200-V200)))))),"Check Data")</f>
        <v/>
      </c>
      <c r="Y200" s="82"/>
      <c r="Z200" s="182"/>
      <c r="AA200" s="183"/>
      <c r="AC200" s="371" t="str">
        <f>IF(P200="","",IF(P200='G-1 All Habitats'!$X$3,H200-S200-T200,"None"))</f>
        <v/>
      </c>
      <c r="AD200" s="372" t="str">
        <f t="shared" si="16"/>
        <v/>
      </c>
      <c r="AF200" s="188" t="str">
        <f t="shared" si="12"/>
        <v/>
      </c>
      <c r="AG200" s="188" t="str">
        <f t="shared" si="13"/>
        <v/>
      </c>
      <c r="AH200" s="188" t="str">
        <f>IF(I200="","",IF(#REF!&gt;0,TRUE,FALSE))</f>
        <v/>
      </c>
      <c r="AI200" s="188">
        <v>190</v>
      </c>
      <c r="AJ200" s="188"/>
      <c r="AK200" s="188" t="str">
        <f t="array" ref="AK200">IFERROR(INDEX($AI$11:$AI$259, MATCH(0, IF(TRUE=$AF$11:$AF$259, COUNTIF($AK$10:$AK199, $AI$11:$AI$259), ""), 0)),"")</f>
        <v/>
      </c>
      <c r="AL200" s="188" t="str">
        <f t="array" ref="AL200">IFERROR(INDEX($AI$11:$AI$259, MATCH(0, IF(TRUE=$AG$11:$AG$259, COUNTIF($AL$10:$AL199, $AI$11:$AI$259), ""), 0)),"")</f>
        <v/>
      </c>
      <c r="AM200" s="188" t="str">
        <f t="array" ref="AM200">IFERROR(INDEX($AI$11:$AI$259, MATCH(0, IF(TRUE=$AH$11:$AH$259, COUNTIF($AM$10:$AM199, $AI$11:$AI$259), ""), 0)),"")</f>
        <v/>
      </c>
      <c r="AQ200" s="35">
        <f t="shared" si="17"/>
        <v>0</v>
      </c>
    </row>
    <row r="201" spans="1:43" x14ac:dyDescent="0.25">
      <c r="A201" s="35" t="str">
        <f>IFERROR(INDEX('G-1 All Habitats'!$AG$3:$AG$15,MATCH(E201,'G-1 All Habitats'!$AF$3:$AF$15,0)),"")</f>
        <v/>
      </c>
      <c r="B201" s="35" t="str">
        <f>IFERROR(INDEX('G-8 Condition Look up'!$I$4:$I$131,MATCH(G201,'G-8 Condition Look up'!$A$4:$A$131,0)),"")</f>
        <v/>
      </c>
      <c r="D201" s="168">
        <v>191</v>
      </c>
      <c r="E201" s="275"/>
      <c r="F201" s="275"/>
      <c r="G201" s="370" t="str">
        <f>IFERROR(INDEX('G-1 All Habitats'!$B$3:$B$130,MATCH(F201,'G-1 All Habitats'!$A$3:$A$130,0)),"")</f>
        <v/>
      </c>
      <c r="H201" s="213"/>
      <c r="I201" s="171" t="str">
        <f>IF(G201="","",VLOOKUP(G201,'G-1 All Habitats'!$B$2:$M$130,10,FALSE))</f>
        <v/>
      </c>
      <c r="J201" s="172" t="str">
        <f>IFERROR(VLOOKUP(I201,'G-1 All Habitats'!$V$3:$W$7,2,FALSE),"")</f>
        <v/>
      </c>
      <c r="K201" s="173"/>
      <c r="L201" s="172" t="str">
        <f>IFERROR(INDEX('G-8 Condition Look up'!$A$3:$H$131,MATCH(G201,'G-8 Condition Look up'!$A$3:$A$131,0),MATCH(K201,'G-8 Condition Look up'!$A$3:$H$3,0)),"")</f>
        <v/>
      </c>
      <c r="M201" s="186"/>
      <c r="N201" s="175" t="str">
        <f>IF(M201="","",IF(VLOOKUP(M201,'G-3 Multipliers'!$L$3:$N$6,2,FALSE)=0,"Spatial Data Missing",VLOOKUP(M201,'G-3 Multipliers'!$L$3:$N$6,2,FALSE)))</f>
        <v/>
      </c>
      <c r="O201" s="176" t="str">
        <f>IF(M201="","",IF(VLOOKUP(M201,'G-3 Multipliers'!$L$3:$N$6,3,FALSE)=0,"Spatial Data Missing",VLOOKUP(M201,'G-3 Multipliers'!$L$3:$N$6,3,FALSE)))</f>
        <v/>
      </c>
      <c r="P201" s="177" t="str">
        <f>IFERROR(VLOOKUP(G201,'G-1 All Habitats'!$B$2:$M$130,12,FALSE),"")</f>
        <v/>
      </c>
      <c r="Q201" s="81" t="str">
        <f>IFERROR(IF(P201="","",IF(AND(P201='G-1 All Habitats'!$X$3,T201&gt;0),U201+V201,IF(AND(P201='G-1 All Habitats'!$X$3,S201&gt;0),U201+V201,IF(AND(P201='G-1 All Habitats'!$X$3,AC201&gt;0),"Any Loss Unacceptable",IF(AND(P201='G-1 All Habitats'!$X$3,W201&gt;0),"Any Loss Unacceptable",H201*J201*L201*O201))))),"Check Data")</f>
        <v/>
      </c>
      <c r="R201" s="55"/>
      <c r="S201" s="79"/>
      <c r="T201" s="82"/>
      <c r="U201" s="83" t="str">
        <f t="shared" si="14"/>
        <v/>
      </c>
      <c r="V201" s="83" t="str">
        <f t="shared" si="15"/>
        <v/>
      </c>
      <c r="W201" s="83" t="str">
        <f>IF(E201="","",IF(H201&lt;S201+T201,"Error in Areas",IF(P201&lt;&gt;'G-1 All Habitats'!$X$3,H201-S201-T201,IF(AND(P201='G-1 All Habitats'!$X$3,Y201="Yes"),"Unacceptable Loss",IF(AND(P201='G-1 All Habitats'!$X$3,Y201="No"),AC201,IF(AND(P201='G-1 All Habitats'!$X$3,Y201=""),AC201,IF(AND(P201='G-1 All Habitats'!$X$3,AC201="None",AC201),IF(AND(P201='G-1 All Habitats'!$X$3,AC201&gt;0),H201-S201-T201))))))))</f>
        <v/>
      </c>
      <c r="X201" s="354" t="str">
        <f>IFERROR(IF(H201="","",IF(H201-S201-T201=0&lt;0,"Error in Areas",IF(S201+T201&gt;H201,"Error in Areas",IF(AND(P201='G-1 All Habitats'!$X$3,Y201="Yes"),"Alternative Compensation",IF(W201=0,0,IF(P201='G-1 All Habitats'!$X$3,"Unacceptable Loss",Q201-U201-V201)))))),"Check Data")</f>
        <v/>
      </c>
      <c r="Y201" s="82"/>
      <c r="Z201" s="182"/>
      <c r="AA201" s="183"/>
      <c r="AC201" s="371" t="str">
        <f>IF(P201="","",IF(P201='G-1 All Habitats'!$X$3,H201-S201-T201,"None"))</f>
        <v/>
      </c>
      <c r="AD201" s="372" t="str">
        <f t="shared" si="16"/>
        <v/>
      </c>
      <c r="AF201" s="188" t="str">
        <f t="shared" si="12"/>
        <v/>
      </c>
      <c r="AG201" s="188" t="str">
        <f t="shared" si="13"/>
        <v/>
      </c>
      <c r="AH201" s="188" t="str">
        <f>IF(I201="","",IF(#REF!&gt;0,TRUE,FALSE))</f>
        <v/>
      </c>
      <c r="AI201" s="188">
        <v>191</v>
      </c>
      <c r="AJ201" s="188"/>
      <c r="AK201" s="188" t="str">
        <f t="array" ref="AK201">IFERROR(INDEX($AI$11:$AI$259, MATCH(0, IF(TRUE=$AF$11:$AF$259, COUNTIF($AK$10:$AK200, $AI$11:$AI$259), ""), 0)),"")</f>
        <v/>
      </c>
      <c r="AL201" s="188" t="str">
        <f t="array" ref="AL201">IFERROR(INDEX($AI$11:$AI$259, MATCH(0, IF(TRUE=$AG$11:$AG$259, COUNTIF($AL$10:$AL200, $AI$11:$AI$259), ""), 0)),"")</f>
        <v/>
      </c>
      <c r="AM201" s="188" t="str">
        <f t="array" ref="AM201">IFERROR(INDEX($AI$11:$AI$259, MATCH(0, IF(TRUE=$AH$11:$AH$259, COUNTIF($AM$10:$AM200, $AI$11:$AI$259), ""), 0)),"")</f>
        <v/>
      </c>
      <c r="AQ201" s="35">
        <f t="shared" si="17"/>
        <v>0</v>
      </c>
    </row>
    <row r="202" spans="1:43" x14ac:dyDescent="0.25">
      <c r="A202" s="35" t="str">
        <f>IFERROR(INDEX('G-1 All Habitats'!$AG$3:$AG$15,MATCH(E202,'G-1 All Habitats'!$AF$3:$AF$15,0)),"")</f>
        <v/>
      </c>
      <c r="B202" s="35" t="str">
        <f>IFERROR(INDEX('G-8 Condition Look up'!$I$4:$I$131,MATCH(G202,'G-8 Condition Look up'!$A$4:$A$131,0)),"")</f>
        <v/>
      </c>
      <c r="D202" s="168">
        <v>192</v>
      </c>
      <c r="E202" s="275"/>
      <c r="F202" s="275"/>
      <c r="G202" s="370" t="str">
        <f>IFERROR(INDEX('G-1 All Habitats'!$B$3:$B$130,MATCH(F202,'G-1 All Habitats'!$A$3:$A$130,0)),"")</f>
        <v/>
      </c>
      <c r="H202" s="213"/>
      <c r="I202" s="171" t="str">
        <f>IF(G202="","",VLOOKUP(G202,'G-1 All Habitats'!$B$2:$M$130,10,FALSE))</f>
        <v/>
      </c>
      <c r="J202" s="172" t="str">
        <f>IFERROR(VLOOKUP(I202,'G-1 All Habitats'!$V$3:$W$7,2,FALSE),"")</f>
        <v/>
      </c>
      <c r="K202" s="173"/>
      <c r="L202" s="172" t="str">
        <f>IFERROR(INDEX('G-8 Condition Look up'!$A$3:$H$131,MATCH(G202,'G-8 Condition Look up'!$A$3:$A$131,0),MATCH(K202,'G-8 Condition Look up'!$A$3:$H$3,0)),"")</f>
        <v/>
      </c>
      <c r="M202" s="186"/>
      <c r="N202" s="175" t="str">
        <f>IF(M202="","",IF(VLOOKUP(M202,'G-3 Multipliers'!$L$3:$N$6,2,FALSE)=0,"Spatial Data Missing",VLOOKUP(M202,'G-3 Multipliers'!$L$3:$N$6,2,FALSE)))</f>
        <v/>
      </c>
      <c r="O202" s="176" t="str">
        <f>IF(M202="","",IF(VLOOKUP(M202,'G-3 Multipliers'!$L$3:$N$6,3,FALSE)=0,"Spatial Data Missing",VLOOKUP(M202,'G-3 Multipliers'!$L$3:$N$6,3,FALSE)))</f>
        <v/>
      </c>
      <c r="P202" s="177" t="str">
        <f>IFERROR(VLOOKUP(G202,'G-1 All Habitats'!$B$2:$M$130,12,FALSE),"")</f>
        <v/>
      </c>
      <c r="Q202" s="81" t="str">
        <f>IFERROR(IF(P202="","",IF(AND(P202='G-1 All Habitats'!$X$3,T202&gt;0),U202+V202,IF(AND(P202='G-1 All Habitats'!$X$3,S202&gt;0),U202+V202,IF(AND(P202='G-1 All Habitats'!$X$3,AC202&gt;0),"Any Loss Unacceptable",IF(AND(P202='G-1 All Habitats'!$X$3,W202&gt;0),"Any Loss Unacceptable",H202*J202*L202*O202))))),"Check Data")</f>
        <v/>
      </c>
      <c r="R202" s="55"/>
      <c r="S202" s="79"/>
      <c r="T202" s="82"/>
      <c r="U202" s="83" t="str">
        <f t="shared" si="14"/>
        <v/>
      </c>
      <c r="V202" s="83" t="str">
        <f t="shared" si="15"/>
        <v/>
      </c>
      <c r="W202" s="83" t="str">
        <f>IF(E202="","",IF(H202&lt;S202+T202,"Error in Areas",IF(P202&lt;&gt;'G-1 All Habitats'!$X$3,H202-S202-T202,IF(AND(P202='G-1 All Habitats'!$X$3,Y202="Yes"),"Unacceptable Loss",IF(AND(P202='G-1 All Habitats'!$X$3,Y202="No"),AC202,IF(AND(P202='G-1 All Habitats'!$X$3,Y202=""),AC202,IF(AND(P202='G-1 All Habitats'!$X$3,AC202="None",AC202),IF(AND(P202='G-1 All Habitats'!$X$3,AC202&gt;0),H202-S202-T202))))))))</f>
        <v/>
      </c>
      <c r="X202" s="354" t="str">
        <f>IFERROR(IF(H202="","",IF(H202-S202-T202=0&lt;0,"Error in Areas",IF(S202+T202&gt;H202,"Error in Areas",IF(AND(P202='G-1 All Habitats'!$X$3,Y202="Yes"),"Alternative Compensation",IF(W202=0,0,IF(P202='G-1 All Habitats'!$X$3,"Unacceptable Loss",Q202-U202-V202)))))),"Check Data")</f>
        <v/>
      </c>
      <c r="Y202" s="82"/>
      <c r="Z202" s="182"/>
      <c r="AA202" s="183"/>
      <c r="AC202" s="371" t="str">
        <f>IF(P202="","",IF(P202='G-1 All Habitats'!$X$3,H202-S202-T202,"None"))</f>
        <v/>
      </c>
      <c r="AD202" s="372" t="str">
        <f t="shared" si="16"/>
        <v/>
      </c>
      <c r="AF202" s="188" t="str">
        <f t="shared" si="12"/>
        <v/>
      </c>
      <c r="AG202" s="188" t="str">
        <f t="shared" si="13"/>
        <v/>
      </c>
      <c r="AH202" s="188" t="str">
        <f>IF(I202="","",IF(#REF!&gt;0,TRUE,FALSE))</f>
        <v/>
      </c>
      <c r="AI202" s="188">
        <v>192</v>
      </c>
      <c r="AJ202" s="188"/>
      <c r="AK202" s="188" t="str">
        <f t="array" ref="AK202">IFERROR(INDEX($AI$11:$AI$259, MATCH(0, IF(TRUE=$AF$11:$AF$259, COUNTIF($AK$10:$AK201, $AI$11:$AI$259), ""), 0)),"")</f>
        <v/>
      </c>
      <c r="AL202" s="188" t="str">
        <f t="array" ref="AL202">IFERROR(INDEX($AI$11:$AI$259, MATCH(0, IF(TRUE=$AG$11:$AG$259, COUNTIF($AL$10:$AL201, $AI$11:$AI$259), ""), 0)),"")</f>
        <v/>
      </c>
      <c r="AM202" s="188" t="str">
        <f t="array" ref="AM202">IFERROR(INDEX($AI$11:$AI$259, MATCH(0, IF(TRUE=$AH$11:$AH$259, COUNTIF($AM$10:$AM201, $AI$11:$AI$259), ""), 0)),"")</f>
        <v/>
      </c>
      <c r="AQ202" s="35">
        <f t="shared" si="17"/>
        <v>0</v>
      </c>
    </row>
    <row r="203" spans="1:43" x14ac:dyDescent="0.25">
      <c r="A203" s="35" t="str">
        <f>IFERROR(INDEX('G-1 All Habitats'!$AG$3:$AG$15,MATCH(E203,'G-1 All Habitats'!$AF$3:$AF$15,0)),"")</f>
        <v/>
      </c>
      <c r="B203" s="35" t="str">
        <f>IFERROR(INDEX('G-8 Condition Look up'!$I$4:$I$131,MATCH(G203,'G-8 Condition Look up'!$A$4:$A$131,0)),"")</f>
        <v/>
      </c>
      <c r="D203" s="168">
        <v>193</v>
      </c>
      <c r="E203" s="275"/>
      <c r="F203" s="275"/>
      <c r="G203" s="370" t="str">
        <f>IFERROR(INDEX('G-1 All Habitats'!$B$3:$B$130,MATCH(F203,'G-1 All Habitats'!$A$3:$A$130,0)),"")</f>
        <v/>
      </c>
      <c r="H203" s="213"/>
      <c r="I203" s="171" t="str">
        <f>IF(G203="","",VLOOKUP(G203,'G-1 All Habitats'!$B$2:$M$130,10,FALSE))</f>
        <v/>
      </c>
      <c r="J203" s="172" t="str">
        <f>IFERROR(VLOOKUP(I203,'G-1 All Habitats'!$V$3:$W$7,2,FALSE),"")</f>
        <v/>
      </c>
      <c r="K203" s="173"/>
      <c r="L203" s="172" t="str">
        <f>IFERROR(INDEX('G-8 Condition Look up'!$A$3:$H$131,MATCH(G203,'G-8 Condition Look up'!$A$3:$A$131,0),MATCH(K203,'G-8 Condition Look up'!$A$3:$H$3,0)),"")</f>
        <v/>
      </c>
      <c r="M203" s="186"/>
      <c r="N203" s="175" t="str">
        <f>IF(M203="","",IF(VLOOKUP(M203,'G-3 Multipliers'!$L$3:$N$6,2,FALSE)=0,"Spatial Data Missing",VLOOKUP(M203,'G-3 Multipliers'!$L$3:$N$6,2,FALSE)))</f>
        <v/>
      </c>
      <c r="O203" s="176" t="str">
        <f>IF(M203="","",IF(VLOOKUP(M203,'G-3 Multipliers'!$L$3:$N$6,3,FALSE)=0,"Spatial Data Missing",VLOOKUP(M203,'G-3 Multipliers'!$L$3:$N$6,3,FALSE)))</f>
        <v/>
      </c>
      <c r="P203" s="177" t="str">
        <f>IFERROR(VLOOKUP(G203,'G-1 All Habitats'!$B$2:$M$130,12,FALSE),"")</f>
        <v/>
      </c>
      <c r="Q203" s="81" t="str">
        <f>IFERROR(IF(P203="","",IF(AND(P203='G-1 All Habitats'!$X$3,T203&gt;0),U203+V203,IF(AND(P203='G-1 All Habitats'!$X$3,S203&gt;0),U203+V203,IF(AND(P203='G-1 All Habitats'!$X$3,AC203&gt;0),"Any Loss Unacceptable",IF(AND(P203='G-1 All Habitats'!$X$3,W203&gt;0),"Any Loss Unacceptable",H203*J203*L203*O203))))),"Check Data")</f>
        <v/>
      </c>
      <c r="R203" s="55"/>
      <c r="S203" s="79"/>
      <c r="T203" s="82"/>
      <c r="U203" s="83" t="str">
        <f t="shared" si="14"/>
        <v/>
      </c>
      <c r="V203" s="83" t="str">
        <f t="shared" si="15"/>
        <v/>
      </c>
      <c r="W203" s="83" t="str">
        <f>IF(E203="","",IF(H203&lt;S203+T203,"Error in Areas",IF(P203&lt;&gt;'G-1 All Habitats'!$X$3,H203-S203-T203,IF(AND(P203='G-1 All Habitats'!$X$3,Y203="Yes"),"Unacceptable Loss",IF(AND(P203='G-1 All Habitats'!$X$3,Y203="No"),AC203,IF(AND(P203='G-1 All Habitats'!$X$3,Y203=""),AC203,IF(AND(P203='G-1 All Habitats'!$X$3,AC203="None",AC203),IF(AND(P203='G-1 All Habitats'!$X$3,AC203&gt;0),H203-S203-T203))))))))</f>
        <v/>
      </c>
      <c r="X203" s="354" t="str">
        <f>IFERROR(IF(H203="","",IF(H203-S203-T203=0&lt;0,"Error in Areas",IF(S203+T203&gt;H203,"Error in Areas",IF(AND(P203='G-1 All Habitats'!$X$3,Y203="Yes"),"Alternative Compensation",IF(W203=0,0,IF(P203='G-1 All Habitats'!$X$3,"Unacceptable Loss",Q203-U203-V203)))))),"Check Data")</f>
        <v/>
      </c>
      <c r="Y203" s="82"/>
      <c r="Z203" s="182"/>
      <c r="AA203" s="183"/>
      <c r="AC203" s="371" t="str">
        <f>IF(P203="","",IF(P203='G-1 All Habitats'!$X$3,H203-S203-T203,"None"))</f>
        <v/>
      </c>
      <c r="AD203" s="372" t="str">
        <f t="shared" si="16"/>
        <v/>
      </c>
      <c r="AF203" s="188" t="str">
        <f t="shared" ref="AF203:AF258" si="18">IF(G203="","",IF(S203&gt;0,TRUE,FALSE))</f>
        <v/>
      </c>
      <c r="AG203" s="188" t="str">
        <f t="shared" ref="AG203:AG258" si="19">IF(H203="","",IF(T203&gt;0,TRUE,FALSE))</f>
        <v/>
      </c>
      <c r="AH203" s="188" t="str">
        <f>IF(I203="","",IF(#REF!&gt;0,TRUE,FALSE))</f>
        <v/>
      </c>
      <c r="AI203" s="188">
        <v>193</v>
      </c>
      <c r="AJ203" s="188"/>
      <c r="AK203" s="188" t="str">
        <f t="array" ref="AK203">IFERROR(INDEX($AI$11:$AI$259, MATCH(0, IF(TRUE=$AF$11:$AF$259, COUNTIF($AK$10:$AK202, $AI$11:$AI$259), ""), 0)),"")</f>
        <v/>
      </c>
      <c r="AL203" s="188" t="str">
        <f t="array" ref="AL203">IFERROR(INDEX($AI$11:$AI$259, MATCH(0, IF(TRUE=$AG$11:$AG$259, COUNTIF($AL$10:$AL202, $AI$11:$AI$259), ""), 0)),"")</f>
        <v/>
      </c>
      <c r="AM203" s="188" t="str">
        <f t="array" ref="AM203">IFERROR(INDEX($AI$11:$AI$259, MATCH(0, IF(TRUE=$AH$11:$AH$259, COUNTIF($AM$10:$AM202, $AI$11:$AI$259), ""), 0)),"")</f>
        <v/>
      </c>
      <c r="AQ203" s="35">
        <f t="shared" si="17"/>
        <v>0</v>
      </c>
    </row>
    <row r="204" spans="1:43" x14ac:dyDescent="0.25">
      <c r="A204" s="35" t="str">
        <f>IFERROR(INDEX('G-1 All Habitats'!$AG$3:$AG$15,MATCH(E204,'G-1 All Habitats'!$AF$3:$AF$15,0)),"")</f>
        <v/>
      </c>
      <c r="B204" s="35" t="str">
        <f>IFERROR(INDEX('G-8 Condition Look up'!$I$4:$I$131,MATCH(G204,'G-8 Condition Look up'!$A$4:$A$131,0)),"")</f>
        <v/>
      </c>
      <c r="D204" s="168">
        <v>194</v>
      </c>
      <c r="E204" s="275"/>
      <c r="F204" s="275"/>
      <c r="G204" s="370" t="str">
        <f>IFERROR(INDEX('G-1 All Habitats'!$B$3:$B$130,MATCH(F204,'G-1 All Habitats'!$A$3:$A$130,0)),"")</f>
        <v/>
      </c>
      <c r="H204" s="213"/>
      <c r="I204" s="171" t="str">
        <f>IF(G204="","",VLOOKUP(G204,'G-1 All Habitats'!$B$2:$M$130,10,FALSE))</f>
        <v/>
      </c>
      <c r="J204" s="172" t="str">
        <f>IFERROR(VLOOKUP(I204,'G-1 All Habitats'!$V$3:$W$7,2,FALSE),"")</f>
        <v/>
      </c>
      <c r="K204" s="173"/>
      <c r="L204" s="172" t="str">
        <f>IFERROR(INDEX('G-8 Condition Look up'!$A$3:$H$131,MATCH(G204,'G-8 Condition Look up'!$A$3:$A$131,0),MATCH(K204,'G-8 Condition Look up'!$A$3:$H$3,0)),"")</f>
        <v/>
      </c>
      <c r="M204" s="186"/>
      <c r="N204" s="175" t="str">
        <f>IF(M204="","",IF(VLOOKUP(M204,'G-3 Multipliers'!$L$3:$N$6,2,FALSE)=0,"Spatial Data Missing",VLOOKUP(M204,'G-3 Multipliers'!$L$3:$N$6,2,FALSE)))</f>
        <v/>
      </c>
      <c r="O204" s="176" t="str">
        <f>IF(M204="","",IF(VLOOKUP(M204,'G-3 Multipliers'!$L$3:$N$6,3,FALSE)=0,"Spatial Data Missing",VLOOKUP(M204,'G-3 Multipliers'!$L$3:$N$6,3,FALSE)))</f>
        <v/>
      </c>
      <c r="P204" s="177" t="str">
        <f>IFERROR(VLOOKUP(G204,'G-1 All Habitats'!$B$2:$M$130,12,FALSE),"")</f>
        <v/>
      </c>
      <c r="Q204" s="81" t="str">
        <f>IFERROR(IF(P204="","",IF(AND(P204='G-1 All Habitats'!$X$3,T204&gt;0),U204+V204,IF(AND(P204='G-1 All Habitats'!$X$3,S204&gt;0),U204+V204,IF(AND(P204='G-1 All Habitats'!$X$3,AC204&gt;0),"Any Loss Unacceptable",IF(AND(P204='G-1 All Habitats'!$X$3,W204&gt;0),"Any Loss Unacceptable",H204*J204*L204*O204))))),"Check Data")</f>
        <v/>
      </c>
      <c r="R204" s="55"/>
      <c r="S204" s="79"/>
      <c r="T204" s="82"/>
      <c r="U204" s="83" t="str">
        <f t="shared" ref="U204:U258" si="20">IFERROR(S204*J204*L204*O204,"")</f>
        <v/>
      </c>
      <c r="V204" s="83" t="str">
        <f t="shared" ref="V204:V258" si="21">IFERROR(T204*J204*L204*O204,"")</f>
        <v/>
      </c>
      <c r="W204" s="83" t="str">
        <f>IF(E204="","",IF(H204&lt;S204+T204,"Error in Areas",IF(P204&lt;&gt;'G-1 All Habitats'!$X$3,H204-S204-T204,IF(AND(P204='G-1 All Habitats'!$X$3,Y204="Yes"),"Unacceptable Loss",IF(AND(P204='G-1 All Habitats'!$X$3,Y204="No"),AC204,IF(AND(P204='G-1 All Habitats'!$X$3,Y204=""),AC204,IF(AND(P204='G-1 All Habitats'!$X$3,AC204="None",AC204),IF(AND(P204='G-1 All Habitats'!$X$3,AC204&gt;0),H204-S204-T204))))))))</f>
        <v/>
      </c>
      <c r="X204" s="354" t="str">
        <f>IFERROR(IF(H204="","",IF(H204-S204-T204=0&lt;0,"Error in Areas",IF(S204+T204&gt;H204,"Error in Areas",IF(AND(P204='G-1 All Habitats'!$X$3,Y204="Yes"),"Alternative Compensation",IF(W204=0,0,IF(P204='G-1 All Habitats'!$X$3,"Unacceptable Loss",Q204-U204-V204)))))),"Check Data")</f>
        <v/>
      </c>
      <c r="Y204" s="82"/>
      <c r="Z204" s="182"/>
      <c r="AA204" s="183"/>
      <c r="AC204" s="371" t="str">
        <f>IF(P204="","",IF(P204='G-1 All Habitats'!$X$3,H204-S204-T204,"None"))</f>
        <v/>
      </c>
      <c r="AD204" s="372" t="str">
        <f t="shared" ref="AD204:AD258" si="22">IFERROR(AC204*J204*L204*O204,IF(P204="","","None"))</f>
        <v/>
      </c>
      <c r="AF204" s="188" t="str">
        <f t="shared" si="18"/>
        <v/>
      </c>
      <c r="AG204" s="188" t="str">
        <f t="shared" si="19"/>
        <v/>
      </c>
      <c r="AH204" s="188" t="str">
        <f>IF(I204="","",IF(#REF!&gt;0,TRUE,FALSE))</f>
        <v/>
      </c>
      <c r="AI204" s="188">
        <v>194</v>
      </c>
      <c r="AJ204" s="188"/>
      <c r="AK204" s="188" t="str">
        <f t="array" ref="AK204">IFERROR(INDEX($AI$11:$AI$259, MATCH(0, IF(TRUE=$AF$11:$AF$259, COUNTIF($AK$10:$AK203, $AI$11:$AI$259), ""), 0)),"")</f>
        <v/>
      </c>
      <c r="AL204" s="188" t="str">
        <f t="array" ref="AL204">IFERROR(INDEX($AI$11:$AI$259, MATCH(0, IF(TRUE=$AG$11:$AG$259, COUNTIF($AL$10:$AL203, $AI$11:$AI$259), ""), 0)),"")</f>
        <v/>
      </c>
      <c r="AM204" s="188" t="str">
        <f t="array" ref="AM204">IFERROR(INDEX($AI$11:$AI$259, MATCH(0, IF(TRUE=$AH$11:$AH$259, COUNTIF($AM$10:$AM203, $AI$11:$AI$259), ""), 0)),"")</f>
        <v/>
      </c>
      <c r="AQ204" s="35">
        <f t="shared" ref="AQ204:AQ258" si="23">IF(X204="Unacceptable Loss",1,0)</f>
        <v>0</v>
      </c>
    </row>
    <row r="205" spans="1:43" x14ac:dyDescent="0.25">
      <c r="A205" s="35" t="str">
        <f>IFERROR(INDEX('G-1 All Habitats'!$AG$3:$AG$15,MATCH(E205,'G-1 All Habitats'!$AF$3:$AF$15,0)),"")</f>
        <v/>
      </c>
      <c r="B205" s="35" t="str">
        <f>IFERROR(INDEX('G-8 Condition Look up'!$I$4:$I$131,MATCH(G205,'G-8 Condition Look up'!$A$4:$A$131,0)),"")</f>
        <v/>
      </c>
      <c r="D205" s="168">
        <v>195</v>
      </c>
      <c r="E205" s="275"/>
      <c r="F205" s="275"/>
      <c r="G205" s="370" t="str">
        <f>IFERROR(INDEX('G-1 All Habitats'!$B$3:$B$130,MATCH(F205,'G-1 All Habitats'!$A$3:$A$130,0)),"")</f>
        <v/>
      </c>
      <c r="H205" s="213"/>
      <c r="I205" s="171" t="str">
        <f>IF(G205="","",VLOOKUP(G205,'G-1 All Habitats'!$B$2:$M$130,10,FALSE))</f>
        <v/>
      </c>
      <c r="J205" s="172" t="str">
        <f>IFERROR(VLOOKUP(I205,'G-1 All Habitats'!$V$3:$W$7,2,FALSE),"")</f>
        <v/>
      </c>
      <c r="K205" s="173"/>
      <c r="L205" s="172" t="str">
        <f>IFERROR(INDEX('G-8 Condition Look up'!$A$3:$H$131,MATCH(G205,'G-8 Condition Look up'!$A$3:$A$131,0),MATCH(K205,'G-8 Condition Look up'!$A$3:$H$3,0)),"")</f>
        <v/>
      </c>
      <c r="M205" s="186"/>
      <c r="N205" s="175" t="str">
        <f>IF(M205="","",IF(VLOOKUP(M205,'G-3 Multipliers'!$L$3:$N$6,2,FALSE)=0,"Spatial Data Missing",VLOOKUP(M205,'G-3 Multipliers'!$L$3:$N$6,2,FALSE)))</f>
        <v/>
      </c>
      <c r="O205" s="176" t="str">
        <f>IF(M205="","",IF(VLOOKUP(M205,'G-3 Multipliers'!$L$3:$N$6,3,FALSE)=0,"Spatial Data Missing",VLOOKUP(M205,'G-3 Multipliers'!$L$3:$N$6,3,FALSE)))</f>
        <v/>
      </c>
      <c r="P205" s="177" t="str">
        <f>IFERROR(VLOOKUP(G205,'G-1 All Habitats'!$B$2:$M$130,12,FALSE),"")</f>
        <v/>
      </c>
      <c r="Q205" s="81" t="str">
        <f>IFERROR(IF(P205="","",IF(AND(P205='G-1 All Habitats'!$X$3,T205&gt;0),U205+V205,IF(AND(P205='G-1 All Habitats'!$X$3,S205&gt;0),U205+V205,IF(AND(P205='G-1 All Habitats'!$X$3,AC205&gt;0),"Any Loss Unacceptable",IF(AND(P205='G-1 All Habitats'!$X$3,W205&gt;0),"Any Loss Unacceptable",H205*J205*L205*O205))))),"Check Data")</f>
        <v/>
      </c>
      <c r="R205" s="55"/>
      <c r="S205" s="79"/>
      <c r="T205" s="82"/>
      <c r="U205" s="83" t="str">
        <f t="shared" si="20"/>
        <v/>
      </c>
      <c r="V205" s="83" t="str">
        <f t="shared" si="21"/>
        <v/>
      </c>
      <c r="W205" s="83" t="str">
        <f>IF(E205="","",IF(H205&lt;S205+T205,"Error in Areas",IF(P205&lt;&gt;'G-1 All Habitats'!$X$3,H205-S205-T205,IF(AND(P205='G-1 All Habitats'!$X$3,Y205="Yes"),"Unacceptable Loss",IF(AND(P205='G-1 All Habitats'!$X$3,Y205="No"),AC205,IF(AND(P205='G-1 All Habitats'!$X$3,Y205=""),AC205,IF(AND(P205='G-1 All Habitats'!$X$3,AC205="None",AC205),IF(AND(P205='G-1 All Habitats'!$X$3,AC205&gt;0),H205-S205-T205))))))))</f>
        <v/>
      </c>
      <c r="X205" s="354" t="str">
        <f>IFERROR(IF(H205="","",IF(H205-S205-T205=0&lt;0,"Error in Areas",IF(S205+T205&gt;H205,"Error in Areas",IF(AND(P205='G-1 All Habitats'!$X$3,Y205="Yes"),"Alternative Compensation",IF(W205=0,0,IF(P205='G-1 All Habitats'!$X$3,"Unacceptable Loss",Q205-U205-V205)))))),"Check Data")</f>
        <v/>
      </c>
      <c r="Y205" s="82"/>
      <c r="Z205" s="182"/>
      <c r="AA205" s="183"/>
      <c r="AC205" s="371" t="str">
        <f>IF(P205="","",IF(P205='G-1 All Habitats'!$X$3,H205-S205-T205,"None"))</f>
        <v/>
      </c>
      <c r="AD205" s="372" t="str">
        <f t="shared" si="22"/>
        <v/>
      </c>
      <c r="AF205" s="188" t="str">
        <f t="shared" si="18"/>
        <v/>
      </c>
      <c r="AG205" s="188" t="str">
        <f t="shared" si="19"/>
        <v/>
      </c>
      <c r="AH205" s="188" t="str">
        <f>IF(I205="","",IF(#REF!&gt;0,TRUE,FALSE))</f>
        <v/>
      </c>
      <c r="AI205" s="188">
        <v>195</v>
      </c>
      <c r="AJ205" s="188"/>
      <c r="AK205" s="188" t="str">
        <f t="array" ref="AK205">IFERROR(INDEX($AI$11:$AI$259, MATCH(0, IF(TRUE=$AF$11:$AF$259, COUNTIF($AK$10:$AK204, $AI$11:$AI$259), ""), 0)),"")</f>
        <v/>
      </c>
      <c r="AL205" s="188" t="str">
        <f t="array" ref="AL205">IFERROR(INDEX($AI$11:$AI$259, MATCH(0, IF(TRUE=$AG$11:$AG$259, COUNTIF($AL$10:$AL204, $AI$11:$AI$259), ""), 0)),"")</f>
        <v/>
      </c>
      <c r="AM205" s="188" t="str">
        <f t="array" ref="AM205">IFERROR(INDEX($AI$11:$AI$259, MATCH(0, IF(TRUE=$AH$11:$AH$259, COUNTIF($AM$10:$AM204, $AI$11:$AI$259), ""), 0)),"")</f>
        <v/>
      </c>
      <c r="AQ205" s="35">
        <f t="shared" si="23"/>
        <v>0</v>
      </c>
    </row>
    <row r="206" spans="1:43" x14ac:dyDescent="0.25">
      <c r="A206" s="35" t="str">
        <f>IFERROR(INDEX('G-1 All Habitats'!$AG$3:$AG$15,MATCH(E206,'G-1 All Habitats'!$AF$3:$AF$15,0)),"")</f>
        <v/>
      </c>
      <c r="B206" s="35" t="str">
        <f>IFERROR(INDEX('G-8 Condition Look up'!$I$4:$I$131,MATCH(G206,'G-8 Condition Look up'!$A$4:$A$131,0)),"")</f>
        <v/>
      </c>
      <c r="D206" s="168">
        <v>196</v>
      </c>
      <c r="E206" s="275"/>
      <c r="F206" s="275"/>
      <c r="G206" s="370" t="str">
        <f>IFERROR(INDEX('G-1 All Habitats'!$B$3:$B$130,MATCH(F206,'G-1 All Habitats'!$A$3:$A$130,0)),"")</f>
        <v/>
      </c>
      <c r="H206" s="213"/>
      <c r="I206" s="171" t="str">
        <f>IF(G206="","",VLOOKUP(G206,'G-1 All Habitats'!$B$2:$M$130,10,FALSE))</f>
        <v/>
      </c>
      <c r="J206" s="172" t="str">
        <f>IFERROR(VLOOKUP(I206,'G-1 All Habitats'!$V$3:$W$7,2,FALSE),"")</f>
        <v/>
      </c>
      <c r="K206" s="173"/>
      <c r="L206" s="172" t="str">
        <f>IFERROR(INDEX('G-8 Condition Look up'!$A$3:$H$131,MATCH(G206,'G-8 Condition Look up'!$A$3:$A$131,0),MATCH(K206,'G-8 Condition Look up'!$A$3:$H$3,0)),"")</f>
        <v/>
      </c>
      <c r="M206" s="186"/>
      <c r="N206" s="175" t="str">
        <f>IF(M206="","",IF(VLOOKUP(M206,'G-3 Multipliers'!$L$3:$N$6,2,FALSE)=0,"Spatial Data Missing",VLOOKUP(M206,'G-3 Multipliers'!$L$3:$N$6,2,FALSE)))</f>
        <v/>
      </c>
      <c r="O206" s="176" t="str">
        <f>IF(M206="","",IF(VLOOKUP(M206,'G-3 Multipliers'!$L$3:$N$6,3,FALSE)=0,"Spatial Data Missing",VLOOKUP(M206,'G-3 Multipliers'!$L$3:$N$6,3,FALSE)))</f>
        <v/>
      </c>
      <c r="P206" s="177" t="str">
        <f>IFERROR(VLOOKUP(G206,'G-1 All Habitats'!$B$2:$M$130,12,FALSE),"")</f>
        <v/>
      </c>
      <c r="Q206" s="81" t="str">
        <f>IFERROR(IF(P206="","",IF(AND(P206='G-1 All Habitats'!$X$3,T206&gt;0),U206+V206,IF(AND(P206='G-1 All Habitats'!$X$3,S206&gt;0),U206+V206,IF(AND(P206='G-1 All Habitats'!$X$3,AC206&gt;0),"Any Loss Unacceptable",IF(AND(P206='G-1 All Habitats'!$X$3,W206&gt;0),"Any Loss Unacceptable",H206*J206*L206*O206))))),"Check Data")</f>
        <v/>
      </c>
      <c r="R206" s="55"/>
      <c r="S206" s="79"/>
      <c r="T206" s="82"/>
      <c r="U206" s="83" t="str">
        <f t="shared" si="20"/>
        <v/>
      </c>
      <c r="V206" s="83" t="str">
        <f t="shared" si="21"/>
        <v/>
      </c>
      <c r="W206" s="83" t="str">
        <f>IF(E206="","",IF(H206&lt;S206+T206,"Error in Areas",IF(P206&lt;&gt;'G-1 All Habitats'!$X$3,H206-S206-T206,IF(AND(P206='G-1 All Habitats'!$X$3,Y206="Yes"),"Unacceptable Loss",IF(AND(P206='G-1 All Habitats'!$X$3,Y206="No"),AC206,IF(AND(P206='G-1 All Habitats'!$X$3,Y206=""),AC206,IF(AND(P206='G-1 All Habitats'!$X$3,AC206="None",AC206),IF(AND(P206='G-1 All Habitats'!$X$3,AC206&gt;0),H206-S206-T206))))))))</f>
        <v/>
      </c>
      <c r="X206" s="354" t="str">
        <f>IFERROR(IF(H206="","",IF(H206-S206-T206=0&lt;0,"Error in Areas",IF(S206+T206&gt;H206,"Error in Areas",IF(AND(P206='G-1 All Habitats'!$X$3,Y206="Yes"),"Alternative Compensation",IF(W206=0,0,IF(P206='G-1 All Habitats'!$X$3,"Unacceptable Loss",Q206-U206-V206)))))),"Check Data")</f>
        <v/>
      </c>
      <c r="Y206" s="82"/>
      <c r="Z206" s="182"/>
      <c r="AA206" s="183"/>
      <c r="AC206" s="371" t="str">
        <f>IF(P206="","",IF(P206='G-1 All Habitats'!$X$3,H206-S206-T206,"None"))</f>
        <v/>
      </c>
      <c r="AD206" s="372" t="str">
        <f t="shared" si="22"/>
        <v/>
      </c>
      <c r="AF206" s="188" t="str">
        <f t="shared" si="18"/>
        <v/>
      </c>
      <c r="AG206" s="188" t="str">
        <f t="shared" si="19"/>
        <v/>
      </c>
      <c r="AH206" s="188" t="str">
        <f>IF(I206="","",IF(#REF!&gt;0,TRUE,FALSE))</f>
        <v/>
      </c>
      <c r="AI206" s="188">
        <v>196</v>
      </c>
      <c r="AJ206" s="188"/>
      <c r="AK206" s="188" t="str">
        <f t="array" ref="AK206">IFERROR(INDEX($AI$11:$AI$259, MATCH(0, IF(TRUE=$AF$11:$AF$259, COUNTIF($AK$10:$AK205, $AI$11:$AI$259), ""), 0)),"")</f>
        <v/>
      </c>
      <c r="AL206" s="188" t="str">
        <f t="array" ref="AL206">IFERROR(INDEX($AI$11:$AI$259, MATCH(0, IF(TRUE=$AG$11:$AG$259, COUNTIF($AL$10:$AL205, $AI$11:$AI$259), ""), 0)),"")</f>
        <v/>
      </c>
      <c r="AM206" s="188" t="str">
        <f t="array" ref="AM206">IFERROR(INDEX($AI$11:$AI$259, MATCH(0, IF(TRUE=$AH$11:$AH$259, COUNTIF($AM$10:$AM205, $AI$11:$AI$259), ""), 0)),"")</f>
        <v/>
      </c>
      <c r="AQ206" s="35">
        <f t="shared" si="23"/>
        <v>0</v>
      </c>
    </row>
    <row r="207" spans="1:43" x14ac:dyDescent="0.25">
      <c r="A207" s="35" t="str">
        <f>IFERROR(INDEX('G-1 All Habitats'!$AG$3:$AG$15,MATCH(E207,'G-1 All Habitats'!$AF$3:$AF$15,0)),"")</f>
        <v/>
      </c>
      <c r="B207" s="35" t="str">
        <f>IFERROR(INDEX('G-8 Condition Look up'!$I$4:$I$131,MATCH(G207,'G-8 Condition Look up'!$A$4:$A$131,0)),"")</f>
        <v/>
      </c>
      <c r="D207" s="168">
        <v>197</v>
      </c>
      <c r="E207" s="275"/>
      <c r="F207" s="275"/>
      <c r="G207" s="370" t="str">
        <f>IFERROR(INDEX('G-1 All Habitats'!$B$3:$B$130,MATCH(F207,'G-1 All Habitats'!$A$3:$A$130,0)),"")</f>
        <v/>
      </c>
      <c r="H207" s="213"/>
      <c r="I207" s="171" t="str">
        <f>IF(G207="","",VLOOKUP(G207,'G-1 All Habitats'!$B$2:$M$130,10,FALSE))</f>
        <v/>
      </c>
      <c r="J207" s="172" t="str">
        <f>IFERROR(VLOOKUP(I207,'G-1 All Habitats'!$V$3:$W$7,2,FALSE),"")</f>
        <v/>
      </c>
      <c r="K207" s="173"/>
      <c r="L207" s="172" t="str">
        <f>IFERROR(INDEX('G-8 Condition Look up'!$A$3:$H$131,MATCH(G207,'G-8 Condition Look up'!$A$3:$A$131,0),MATCH(K207,'G-8 Condition Look up'!$A$3:$H$3,0)),"")</f>
        <v/>
      </c>
      <c r="M207" s="186"/>
      <c r="N207" s="175" t="str">
        <f>IF(M207="","",IF(VLOOKUP(M207,'G-3 Multipliers'!$L$3:$N$6,2,FALSE)=0,"Spatial Data Missing",VLOOKUP(M207,'G-3 Multipliers'!$L$3:$N$6,2,FALSE)))</f>
        <v/>
      </c>
      <c r="O207" s="176" t="str">
        <f>IF(M207="","",IF(VLOOKUP(M207,'G-3 Multipliers'!$L$3:$N$6,3,FALSE)=0,"Spatial Data Missing",VLOOKUP(M207,'G-3 Multipliers'!$L$3:$N$6,3,FALSE)))</f>
        <v/>
      </c>
      <c r="P207" s="177" t="str">
        <f>IFERROR(VLOOKUP(G207,'G-1 All Habitats'!$B$2:$M$130,12,FALSE),"")</f>
        <v/>
      </c>
      <c r="Q207" s="81" t="str">
        <f>IFERROR(IF(P207="","",IF(AND(P207='G-1 All Habitats'!$X$3,T207&gt;0),U207+V207,IF(AND(P207='G-1 All Habitats'!$X$3,S207&gt;0),U207+V207,IF(AND(P207='G-1 All Habitats'!$X$3,AC207&gt;0),"Any Loss Unacceptable",IF(AND(P207='G-1 All Habitats'!$X$3,W207&gt;0),"Any Loss Unacceptable",H207*J207*L207*O207))))),"Check Data")</f>
        <v/>
      </c>
      <c r="R207" s="55"/>
      <c r="S207" s="79"/>
      <c r="T207" s="82"/>
      <c r="U207" s="83" t="str">
        <f t="shared" si="20"/>
        <v/>
      </c>
      <c r="V207" s="83" t="str">
        <f t="shared" si="21"/>
        <v/>
      </c>
      <c r="W207" s="83" t="str">
        <f>IF(E207="","",IF(H207&lt;S207+T207,"Error in Areas",IF(P207&lt;&gt;'G-1 All Habitats'!$X$3,H207-S207-T207,IF(AND(P207='G-1 All Habitats'!$X$3,Y207="Yes"),"Unacceptable Loss",IF(AND(P207='G-1 All Habitats'!$X$3,Y207="No"),AC207,IF(AND(P207='G-1 All Habitats'!$X$3,Y207=""),AC207,IF(AND(P207='G-1 All Habitats'!$X$3,AC207="None",AC207),IF(AND(P207='G-1 All Habitats'!$X$3,AC207&gt;0),H207-S207-T207))))))))</f>
        <v/>
      </c>
      <c r="X207" s="354" t="str">
        <f>IFERROR(IF(H207="","",IF(H207-S207-T207=0&lt;0,"Error in Areas",IF(S207+T207&gt;H207,"Error in Areas",IF(AND(P207='G-1 All Habitats'!$X$3,Y207="Yes"),"Alternative Compensation",IF(W207=0,0,IF(P207='G-1 All Habitats'!$X$3,"Unacceptable Loss",Q207-U207-V207)))))),"Check Data")</f>
        <v/>
      </c>
      <c r="Y207" s="82"/>
      <c r="Z207" s="182"/>
      <c r="AA207" s="183"/>
      <c r="AC207" s="371" t="str">
        <f>IF(P207="","",IF(P207='G-1 All Habitats'!$X$3,H207-S207-T207,"None"))</f>
        <v/>
      </c>
      <c r="AD207" s="372" t="str">
        <f t="shared" si="22"/>
        <v/>
      </c>
      <c r="AF207" s="188" t="str">
        <f t="shared" si="18"/>
        <v/>
      </c>
      <c r="AG207" s="188" t="str">
        <f t="shared" si="19"/>
        <v/>
      </c>
      <c r="AH207" s="188" t="str">
        <f>IF(I207="","",IF(#REF!&gt;0,TRUE,FALSE))</f>
        <v/>
      </c>
      <c r="AI207" s="188">
        <v>197</v>
      </c>
      <c r="AJ207" s="188"/>
      <c r="AK207" s="188" t="str">
        <f t="array" ref="AK207">IFERROR(INDEX($AI$11:$AI$259, MATCH(0, IF(TRUE=$AF$11:$AF$259, COUNTIF($AK$10:$AK206, $AI$11:$AI$259), ""), 0)),"")</f>
        <v/>
      </c>
      <c r="AL207" s="188" t="str">
        <f t="array" ref="AL207">IFERROR(INDEX($AI$11:$AI$259, MATCH(0, IF(TRUE=$AG$11:$AG$259, COUNTIF($AL$10:$AL206, $AI$11:$AI$259), ""), 0)),"")</f>
        <v/>
      </c>
      <c r="AM207" s="188" t="str">
        <f t="array" ref="AM207">IFERROR(INDEX($AI$11:$AI$259, MATCH(0, IF(TRUE=$AH$11:$AH$259, COUNTIF($AM$10:$AM206, $AI$11:$AI$259), ""), 0)),"")</f>
        <v/>
      </c>
      <c r="AQ207" s="35">
        <f t="shared" si="23"/>
        <v>0</v>
      </c>
    </row>
    <row r="208" spans="1:43" x14ac:dyDescent="0.25">
      <c r="A208" s="35" t="str">
        <f>IFERROR(INDEX('G-1 All Habitats'!$AG$3:$AG$15,MATCH(E208,'G-1 All Habitats'!$AF$3:$AF$15,0)),"")</f>
        <v/>
      </c>
      <c r="B208" s="35" t="str">
        <f>IFERROR(INDEX('G-8 Condition Look up'!$I$4:$I$131,MATCH(G208,'G-8 Condition Look up'!$A$4:$A$131,0)),"")</f>
        <v/>
      </c>
      <c r="D208" s="168">
        <v>198</v>
      </c>
      <c r="E208" s="275"/>
      <c r="F208" s="275"/>
      <c r="G208" s="370" t="str">
        <f>IFERROR(INDEX('G-1 All Habitats'!$B$3:$B$130,MATCH(F208,'G-1 All Habitats'!$A$3:$A$130,0)),"")</f>
        <v/>
      </c>
      <c r="H208" s="213"/>
      <c r="I208" s="171" t="str">
        <f>IF(G208="","",VLOOKUP(G208,'G-1 All Habitats'!$B$2:$M$130,10,FALSE))</f>
        <v/>
      </c>
      <c r="J208" s="172" t="str">
        <f>IFERROR(VLOOKUP(I208,'G-1 All Habitats'!$V$3:$W$7,2,FALSE),"")</f>
        <v/>
      </c>
      <c r="K208" s="173"/>
      <c r="L208" s="172" t="str">
        <f>IFERROR(INDEX('G-8 Condition Look up'!$A$3:$H$131,MATCH(G208,'G-8 Condition Look up'!$A$3:$A$131,0),MATCH(K208,'G-8 Condition Look up'!$A$3:$H$3,0)),"")</f>
        <v/>
      </c>
      <c r="M208" s="186"/>
      <c r="N208" s="175" t="str">
        <f>IF(M208="","",IF(VLOOKUP(M208,'G-3 Multipliers'!$L$3:$N$6,2,FALSE)=0,"Spatial Data Missing",VLOOKUP(M208,'G-3 Multipliers'!$L$3:$N$6,2,FALSE)))</f>
        <v/>
      </c>
      <c r="O208" s="176" t="str">
        <f>IF(M208="","",IF(VLOOKUP(M208,'G-3 Multipliers'!$L$3:$N$6,3,FALSE)=0,"Spatial Data Missing",VLOOKUP(M208,'G-3 Multipliers'!$L$3:$N$6,3,FALSE)))</f>
        <v/>
      </c>
      <c r="P208" s="177" t="str">
        <f>IFERROR(VLOOKUP(G208,'G-1 All Habitats'!$B$2:$M$130,12,FALSE),"")</f>
        <v/>
      </c>
      <c r="Q208" s="81" t="str">
        <f>IFERROR(IF(P208="","",IF(AND(P208='G-1 All Habitats'!$X$3,T208&gt;0),U208+V208,IF(AND(P208='G-1 All Habitats'!$X$3,S208&gt;0),U208+V208,IF(AND(P208='G-1 All Habitats'!$X$3,AC208&gt;0),"Any Loss Unacceptable",IF(AND(P208='G-1 All Habitats'!$X$3,W208&gt;0),"Any Loss Unacceptable",H208*J208*L208*O208))))),"Check Data")</f>
        <v/>
      </c>
      <c r="R208" s="55"/>
      <c r="S208" s="79"/>
      <c r="T208" s="82"/>
      <c r="U208" s="83" t="str">
        <f t="shared" si="20"/>
        <v/>
      </c>
      <c r="V208" s="83" t="str">
        <f t="shared" si="21"/>
        <v/>
      </c>
      <c r="W208" s="83" t="str">
        <f>IF(E208="","",IF(H208&lt;S208+T208,"Error in Areas",IF(P208&lt;&gt;'G-1 All Habitats'!$X$3,H208-S208-T208,IF(AND(P208='G-1 All Habitats'!$X$3,Y208="Yes"),"Unacceptable Loss",IF(AND(P208='G-1 All Habitats'!$X$3,Y208="No"),AC208,IF(AND(P208='G-1 All Habitats'!$X$3,Y208=""),AC208,IF(AND(P208='G-1 All Habitats'!$X$3,AC208="None",AC208),IF(AND(P208='G-1 All Habitats'!$X$3,AC208&gt;0),H208-S208-T208))))))))</f>
        <v/>
      </c>
      <c r="X208" s="354" t="str">
        <f>IFERROR(IF(H208="","",IF(H208-S208-T208=0&lt;0,"Error in Areas",IF(S208+T208&gt;H208,"Error in Areas",IF(AND(P208='G-1 All Habitats'!$X$3,Y208="Yes"),"Alternative Compensation",IF(W208=0,0,IF(P208='G-1 All Habitats'!$X$3,"Unacceptable Loss",Q208-U208-V208)))))),"Check Data")</f>
        <v/>
      </c>
      <c r="Y208" s="82"/>
      <c r="Z208" s="182"/>
      <c r="AA208" s="183"/>
      <c r="AC208" s="371" t="str">
        <f>IF(P208="","",IF(P208='G-1 All Habitats'!$X$3,H208-S208-T208,"None"))</f>
        <v/>
      </c>
      <c r="AD208" s="372" t="str">
        <f t="shared" si="22"/>
        <v/>
      </c>
      <c r="AF208" s="188" t="str">
        <f t="shared" si="18"/>
        <v/>
      </c>
      <c r="AG208" s="188" t="str">
        <f t="shared" si="19"/>
        <v/>
      </c>
      <c r="AH208" s="188" t="str">
        <f>IF(I208="","",IF(#REF!&gt;0,TRUE,FALSE))</f>
        <v/>
      </c>
      <c r="AI208" s="188">
        <v>198</v>
      </c>
      <c r="AJ208" s="188"/>
      <c r="AK208" s="188" t="str">
        <f t="array" ref="AK208">IFERROR(INDEX($AI$11:$AI$259, MATCH(0, IF(TRUE=$AF$11:$AF$259, COUNTIF($AK$10:$AK207, $AI$11:$AI$259), ""), 0)),"")</f>
        <v/>
      </c>
      <c r="AL208" s="188" t="str">
        <f t="array" ref="AL208">IFERROR(INDEX($AI$11:$AI$259, MATCH(0, IF(TRUE=$AG$11:$AG$259, COUNTIF($AL$10:$AL207, $AI$11:$AI$259), ""), 0)),"")</f>
        <v/>
      </c>
      <c r="AM208" s="188" t="str">
        <f t="array" ref="AM208">IFERROR(INDEX($AI$11:$AI$259, MATCH(0, IF(TRUE=$AH$11:$AH$259, COUNTIF($AM$10:$AM207, $AI$11:$AI$259), ""), 0)),"")</f>
        <v/>
      </c>
      <c r="AQ208" s="35">
        <f t="shared" si="23"/>
        <v>0</v>
      </c>
    </row>
    <row r="209" spans="1:43" x14ac:dyDescent="0.25">
      <c r="A209" s="35" t="str">
        <f>IFERROR(INDEX('G-1 All Habitats'!$AG$3:$AG$15,MATCH(E209,'G-1 All Habitats'!$AF$3:$AF$15,0)),"")</f>
        <v/>
      </c>
      <c r="B209" s="35" t="str">
        <f>IFERROR(INDEX('G-8 Condition Look up'!$I$4:$I$131,MATCH(G209,'G-8 Condition Look up'!$A$4:$A$131,0)),"")</f>
        <v/>
      </c>
      <c r="D209" s="168">
        <v>199</v>
      </c>
      <c r="E209" s="275"/>
      <c r="F209" s="275"/>
      <c r="G209" s="370" t="str">
        <f>IFERROR(INDEX('G-1 All Habitats'!$B$3:$B$130,MATCH(F209,'G-1 All Habitats'!$A$3:$A$130,0)),"")</f>
        <v/>
      </c>
      <c r="H209" s="213"/>
      <c r="I209" s="171" t="str">
        <f>IF(G209="","",VLOOKUP(G209,'G-1 All Habitats'!$B$2:$M$130,10,FALSE))</f>
        <v/>
      </c>
      <c r="J209" s="172" t="str">
        <f>IFERROR(VLOOKUP(I209,'G-1 All Habitats'!$V$3:$W$7,2,FALSE),"")</f>
        <v/>
      </c>
      <c r="K209" s="173"/>
      <c r="L209" s="172" t="str">
        <f>IFERROR(INDEX('G-8 Condition Look up'!$A$3:$H$131,MATCH(G209,'G-8 Condition Look up'!$A$3:$A$131,0),MATCH(K209,'G-8 Condition Look up'!$A$3:$H$3,0)),"")</f>
        <v/>
      </c>
      <c r="M209" s="186"/>
      <c r="N209" s="175" t="str">
        <f>IF(M209="","",IF(VLOOKUP(M209,'G-3 Multipliers'!$L$3:$N$6,2,FALSE)=0,"Spatial Data Missing",VLOOKUP(M209,'G-3 Multipliers'!$L$3:$N$6,2,FALSE)))</f>
        <v/>
      </c>
      <c r="O209" s="176" t="str">
        <f>IF(M209="","",IF(VLOOKUP(M209,'G-3 Multipliers'!$L$3:$N$6,3,FALSE)=0,"Spatial Data Missing",VLOOKUP(M209,'G-3 Multipliers'!$L$3:$N$6,3,FALSE)))</f>
        <v/>
      </c>
      <c r="P209" s="177" t="str">
        <f>IFERROR(VLOOKUP(G209,'G-1 All Habitats'!$B$2:$M$130,12,FALSE),"")</f>
        <v/>
      </c>
      <c r="Q209" s="81" t="str">
        <f>IFERROR(IF(P209="","",IF(AND(P209='G-1 All Habitats'!$X$3,T209&gt;0),U209+V209,IF(AND(P209='G-1 All Habitats'!$X$3,S209&gt;0),U209+V209,IF(AND(P209='G-1 All Habitats'!$X$3,AC209&gt;0),"Any Loss Unacceptable",IF(AND(P209='G-1 All Habitats'!$X$3,W209&gt;0),"Any Loss Unacceptable",H209*J209*L209*O209))))),"Check Data")</f>
        <v/>
      </c>
      <c r="R209" s="55"/>
      <c r="S209" s="79"/>
      <c r="T209" s="82"/>
      <c r="U209" s="83" t="str">
        <f t="shared" si="20"/>
        <v/>
      </c>
      <c r="V209" s="83" t="str">
        <f t="shared" si="21"/>
        <v/>
      </c>
      <c r="W209" s="83" t="str">
        <f>IF(E209="","",IF(H209&lt;S209+T209,"Error in Areas",IF(P209&lt;&gt;'G-1 All Habitats'!$X$3,H209-S209-T209,IF(AND(P209='G-1 All Habitats'!$X$3,Y209="Yes"),"Unacceptable Loss",IF(AND(P209='G-1 All Habitats'!$X$3,Y209="No"),AC209,IF(AND(P209='G-1 All Habitats'!$X$3,Y209=""),AC209,IF(AND(P209='G-1 All Habitats'!$X$3,AC209="None",AC209),IF(AND(P209='G-1 All Habitats'!$X$3,AC209&gt;0),H209-S209-T209))))))))</f>
        <v/>
      </c>
      <c r="X209" s="354" t="str">
        <f>IFERROR(IF(H209="","",IF(H209-S209-T209=0&lt;0,"Error in Areas",IF(S209+T209&gt;H209,"Error in Areas",IF(AND(P209='G-1 All Habitats'!$X$3,Y209="Yes"),"Alternative Compensation",IF(W209=0,0,IF(P209='G-1 All Habitats'!$X$3,"Unacceptable Loss",Q209-U209-V209)))))),"Check Data")</f>
        <v/>
      </c>
      <c r="Y209" s="82"/>
      <c r="Z209" s="182"/>
      <c r="AA209" s="183"/>
      <c r="AC209" s="371" t="str">
        <f>IF(P209="","",IF(P209='G-1 All Habitats'!$X$3,H209-S209-T209,"None"))</f>
        <v/>
      </c>
      <c r="AD209" s="372" t="str">
        <f t="shared" si="22"/>
        <v/>
      </c>
      <c r="AF209" s="188" t="str">
        <f t="shared" si="18"/>
        <v/>
      </c>
      <c r="AG209" s="188" t="str">
        <f t="shared" si="19"/>
        <v/>
      </c>
      <c r="AH209" s="188" t="str">
        <f>IF(I209="","",IF(#REF!&gt;0,TRUE,FALSE))</f>
        <v/>
      </c>
      <c r="AI209" s="188">
        <v>199</v>
      </c>
      <c r="AJ209" s="188"/>
      <c r="AK209" s="188" t="str">
        <f t="array" ref="AK209">IFERROR(INDEX($AI$11:$AI$259, MATCH(0, IF(TRUE=$AF$11:$AF$259, COUNTIF($AK$10:$AK208, $AI$11:$AI$259), ""), 0)),"")</f>
        <v/>
      </c>
      <c r="AL209" s="188" t="str">
        <f t="array" ref="AL209">IFERROR(INDEX($AI$11:$AI$259, MATCH(0, IF(TRUE=$AG$11:$AG$259, COUNTIF($AL$10:$AL208, $AI$11:$AI$259), ""), 0)),"")</f>
        <v/>
      </c>
      <c r="AM209" s="188" t="str">
        <f t="array" ref="AM209">IFERROR(INDEX($AI$11:$AI$259, MATCH(0, IF(TRUE=$AH$11:$AH$259, COUNTIF($AM$10:$AM208, $AI$11:$AI$259), ""), 0)),"")</f>
        <v/>
      </c>
      <c r="AQ209" s="35">
        <f t="shared" si="23"/>
        <v>0</v>
      </c>
    </row>
    <row r="210" spans="1:43" x14ac:dyDescent="0.25">
      <c r="A210" s="35" t="str">
        <f>IFERROR(INDEX('G-1 All Habitats'!$AG$3:$AG$15,MATCH(E210,'G-1 All Habitats'!$AF$3:$AF$15,0)),"")</f>
        <v/>
      </c>
      <c r="B210" s="35" t="str">
        <f>IFERROR(INDEX('G-8 Condition Look up'!$I$4:$I$131,MATCH(G210,'G-8 Condition Look up'!$A$4:$A$131,0)),"")</f>
        <v/>
      </c>
      <c r="D210" s="168">
        <v>200</v>
      </c>
      <c r="E210" s="275"/>
      <c r="F210" s="275"/>
      <c r="G210" s="370" t="str">
        <f>IFERROR(INDEX('G-1 All Habitats'!$B$3:$B$130,MATCH(F210,'G-1 All Habitats'!$A$3:$A$130,0)),"")</f>
        <v/>
      </c>
      <c r="H210" s="213"/>
      <c r="I210" s="171" t="str">
        <f>IF(G210="","",VLOOKUP(G210,'G-1 All Habitats'!$B$2:$M$130,10,FALSE))</f>
        <v/>
      </c>
      <c r="J210" s="172" t="str">
        <f>IFERROR(VLOOKUP(I210,'G-1 All Habitats'!$V$3:$W$7,2,FALSE),"")</f>
        <v/>
      </c>
      <c r="K210" s="173"/>
      <c r="L210" s="172" t="str">
        <f>IFERROR(INDEX('G-8 Condition Look up'!$A$3:$H$131,MATCH(G210,'G-8 Condition Look up'!$A$3:$A$131,0),MATCH(K210,'G-8 Condition Look up'!$A$3:$H$3,0)),"")</f>
        <v/>
      </c>
      <c r="M210" s="186"/>
      <c r="N210" s="175" t="str">
        <f>IF(M210="","",IF(VLOOKUP(M210,'G-3 Multipliers'!$L$3:$N$6,2,FALSE)=0,"Spatial Data Missing",VLOOKUP(M210,'G-3 Multipliers'!$L$3:$N$6,2,FALSE)))</f>
        <v/>
      </c>
      <c r="O210" s="176" t="str">
        <f>IF(M210="","",IF(VLOOKUP(M210,'G-3 Multipliers'!$L$3:$N$6,3,FALSE)=0,"Spatial Data Missing",VLOOKUP(M210,'G-3 Multipliers'!$L$3:$N$6,3,FALSE)))</f>
        <v/>
      </c>
      <c r="P210" s="177" t="str">
        <f>IFERROR(VLOOKUP(G210,'G-1 All Habitats'!$B$2:$M$130,12,FALSE),"")</f>
        <v/>
      </c>
      <c r="Q210" s="81" t="str">
        <f>IFERROR(IF(P210="","",IF(AND(P210='G-1 All Habitats'!$X$3,T210&gt;0),U210+V210,IF(AND(P210='G-1 All Habitats'!$X$3,S210&gt;0),U210+V210,IF(AND(P210='G-1 All Habitats'!$X$3,AC210&gt;0),"Any Loss Unacceptable",IF(AND(P210='G-1 All Habitats'!$X$3,W210&gt;0),"Any Loss Unacceptable",H210*J210*L210*O210))))),"Check Data")</f>
        <v/>
      </c>
      <c r="R210" s="55"/>
      <c r="S210" s="79"/>
      <c r="T210" s="82"/>
      <c r="U210" s="83" t="str">
        <f t="shared" si="20"/>
        <v/>
      </c>
      <c r="V210" s="83" t="str">
        <f t="shared" si="21"/>
        <v/>
      </c>
      <c r="W210" s="83" t="str">
        <f>IF(E210="","",IF(H210&lt;S210+T210,"Error in Areas",IF(P210&lt;&gt;'G-1 All Habitats'!$X$3,H210-S210-T210,IF(AND(P210='G-1 All Habitats'!$X$3,Y210="Yes"),"Unacceptable Loss",IF(AND(P210='G-1 All Habitats'!$X$3,Y210="No"),AC210,IF(AND(P210='G-1 All Habitats'!$X$3,Y210=""),AC210,IF(AND(P210='G-1 All Habitats'!$X$3,AC210="None",AC210),IF(AND(P210='G-1 All Habitats'!$X$3,AC210&gt;0),H210-S210-T210))))))))</f>
        <v/>
      </c>
      <c r="X210" s="354" t="str">
        <f>IFERROR(IF(H210="","",IF(H210-S210-T210=0&lt;0,"Error in Areas",IF(S210+T210&gt;H210,"Error in Areas",IF(AND(P210='G-1 All Habitats'!$X$3,Y210="Yes"),"Alternative Compensation",IF(W210=0,0,IF(P210='G-1 All Habitats'!$X$3,"Unacceptable Loss",Q210-U210-V210)))))),"Check Data")</f>
        <v/>
      </c>
      <c r="Y210" s="82"/>
      <c r="Z210" s="182"/>
      <c r="AA210" s="183"/>
      <c r="AC210" s="371" t="str">
        <f>IF(P210="","",IF(P210='G-1 All Habitats'!$X$3,H210-S210-T210,"None"))</f>
        <v/>
      </c>
      <c r="AD210" s="372" t="str">
        <f t="shared" si="22"/>
        <v/>
      </c>
      <c r="AF210" s="188" t="str">
        <f t="shared" si="18"/>
        <v/>
      </c>
      <c r="AG210" s="188" t="str">
        <f t="shared" si="19"/>
        <v/>
      </c>
      <c r="AH210" s="188" t="str">
        <f>IF(I210="","",IF(#REF!&gt;0,TRUE,FALSE))</f>
        <v/>
      </c>
      <c r="AI210" s="188">
        <v>200</v>
      </c>
      <c r="AJ210" s="188"/>
      <c r="AK210" s="188" t="str">
        <f t="array" ref="AK210">IFERROR(INDEX($AI$11:$AI$259, MATCH(0, IF(TRUE=$AF$11:$AF$259, COUNTIF($AK$10:$AK209, $AI$11:$AI$259), ""), 0)),"")</f>
        <v/>
      </c>
      <c r="AL210" s="188" t="str">
        <f t="array" ref="AL210">IFERROR(INDEX($AI$11:$AI$259, MATCH(0, IF(TRUE=$AG$11:$AG$259, COUNTIF($AL$10:$AL209, $AI$11:$AI$259), ""), 0)),"")</f>
        <v/>
      </c>
      <c r="AM210" s="188" t="str">
        <f t="array" ref="AM210">IFERROR(INDEX($AI$11:$AI$259, MATCH(0, IF(TRUE=$AH$11:$AH$259, COUNTIF($AM$10:$AM209, $AI$11:$AI$259), ""), 0)),"")</f>
        <v/>
      </c>
      <c r="AQ210" s="35">
        <f t="shared" si="23"/>
        <v>0</v>
      </c>
    </row>
    <row r="211" spans="1:43" x14ac:dyDescent="0.25">
      <c r="A211" s="35" t="str">
        <f>IFERROR(INDEX('G-1 All Habitats'!$AG$3:$AG$15,MATCH(E211,'G-1 All Habitats'!$AF$3:$AF$15,0)),"")</f>
        <v/>
      </c>
      <c r="B211" s="35" t="str">
        <f>IFERROR(INDEX('G-8 Condition Look up'!$I$4:$I$131,MATCH(G211,'G-8 Condition Look up'!$A$4:$A$131,0)),"")</f>
        <v/>
      </c>
      <c r="D211" s="168">
        <v>201</v>
      </c>
      <c r="E211" s="275"/>
      <c r="F211" s="275"/>
      <c r="G211" s="370" t="str">
        <f>IFERROR(INDEX('G-1 All Habitats'!$B$3:$B$130,MATCH(F211,'G-1 All Habitats'!$A$3:$A$130,0)),"")</f>
        <v/>
      </c>
      <c r="H211" s="213"/>
      <c r="I211" s="171" t="str">
        <f>IF(G211="","",VLOOKUP(G211,'G-1 All Habitats'!$B$2:$M$130,10,FALSE))</f>
        <v/>
      </c>
      <c r="J211" s="172" t="str">
        <f>IFERROR(VLOOKUP(I211,'G-1 All Habitats'!$V$3:$W$7,2,FALSE),"")</f>
        <v/>
      </c>
      <c r="K211" s="173"/>
      <c r="L211" s="172" t="str">
        <f>IFERROR(INDEX('G-8 Condition Look up'!$A$3:$H$131,MATCH(G211,'G-8 Condition Look up'!$A$3:$A$131,0),MATCH(K211,'G-8 Condition Look up'!$A$3:$H$3,0)),"")</f>
        <v/>
      </c>
      <c r="M211" s="186"/>
      <c r="N211" s="175" t="str">
        <f>IF(M211="","",IF(VLOOKUP(M211,'G-3 Multipliers'!$L$3:$N$6,2,FALSE)=0,"Spatial Data Missing",VLOOKUP(M211,'G-3 Multipliers'!$L$3:$N$6,2,FALSE)))</f>
        <v/>
      </c>
      <c r="O211" s="176" t="str">
        <f>IF(M211="","",IF(VLOOKUP(M211,'G-3 Multipliers'!$L$3:$N$6,3,FALSE)=0,"Spatial Data Missing",VLOOKUP(M211,'G-3 Multipliers'!$L$3:$N$6,3,FALSE)))</f>
        <v/>
      </c>
      <c r="P211" s="177" t="str">
        <f>IFERROR(VLOOKUP(G211,'G-1 All Habitats'!$B$2:$M$130,12,FALSE),"")</f>
        <v/>
      </c>
      <c r="Q211" s="81" t="str">
        <f>IFERROR(IF(P211="","",IF(AND(P211='G-1 All Habitats'!$X$3,T211&gt;0),U211+V211,IF(AND(P211='G-1 All Habitats'!$X$3,S211&gt;0),U211+V211,IF(AND(P211='G-1 All Habitats'!$X$3,AC211&gt;0),"Any Loss Unacceptable",IF(AND(P211='G-1 All Habitats'!$X$3,W211&gt;0),"Any Loss Unacceptable",H211*J211*L211*O211))))),"Check Data")</f>
        <v/>
      </c>
      <c r="R211" s="55"/>
      <c r="S211" s="79"/>
      <c r="T211" s="82"/>
      <c r="U211" s="83" t="str">
        <f t="shared" si="20"/>
        <v/>
      </c>
      <c r="V211" s="83" t="str">
        <f t="shared" si="21"/>
        <v/>
      </c>
      <c r="W211" s="83" t="str">
        <f>IF(E211="","",IF(H211&lt;S211+T211,"Error in Areas",IF(P211&lt;&gt;'G-1 All Habitats'!$X$3,H211-S211-T211,IF(AND(P211='G-1 All Habitats'!$X$3,Y211="Yes"),"Unacceptable Loss",IF(AND(P211='G-1 All Habitats'!$X$3,Y211="No"),AC211,IF(AND(P211='G-1 All Habitats'!$X$3,Y211=""),AC211,IF(AND(P211='G-1 All Habitats'!$X$3,AC211="None",AC211),IF(AND(P211='G-1 All Habitats'!$X$3,AC211&gt;0),H211-S211-T211))))))))</f>
        <v/>
      </c>
      <c r="X211" s="354" t="str">
        <f>IFERROR(IF(H211="","",IF(H211-S211-T211=0&lt;0,"Error in Areas",IF(S211+T211&gt;H211,"Error in Areas",IF(AND(P211='G-1 All Habitats'!$X$3,Y211="Yes"),"Alternative Compensation",IF(W211=0,0,IF(P211='G-1 All Habitats'!$X$3,"Unacceptable Loss",Q211-U211-V211)))))),"Check Data")</f>
        <v/>
      </c>
      <c r="Y211" s="82"/>
      <c r="Z211" s="182"/>
      <c r="AA211" s="183"/>
      <c r="AC211" s="371" t="str">
        <f>IF(P211="","",IF(P211='G-1 All Habitats'!$X$3,H211-S211-T211,"None"))</f>
        <v/>
      </c>
      <c r="AD211" s="372" t="str">
        <f t="shared" si="22"/>
        <v/>
      </c>
      <c r="AF211" s="188" t="str">
        <f t="shared" si="18"/>
        <v/>
      </c>
      <c r="AG211" s="188" t="str">
        <f t="shared" si="19"/>
        <v/>
      </c>
      <c r="AH211" s="188" t="str">
        <f>IF(I211="","",IF(#REF!&gt;0,TRUE,FALSE))</f>
        <v/>
      </c>
      <c r="AI211" s="188">
        <v>201</v>
      </c>
      <c r="AJ211" s="188"/>
      <c r="AK211" s="188" t="str">
        <f t="array" ref="AK211">IFERROR(INDEX($AI$11:$AI$259, MATCH(0, IF(TRUE=$AF$11:$AF$259, COUNTIF($AK$10:$AK210, $AI$11:$AI$259), ""), 0)),"")</f>
        <v/>
      </c>
      <c r="AL211" s="188" t="str">
        <f t="array" ref="AL211">IFERROR(INDEX($AI$11:$AI$259, MATCH(0, IF(TRUE=$AG$11:$AG$259, COUNTIF($AL$10:$AL210, $AI$11:$AI$259), ""), 0)),"")</f>
        <v/>
      </c>
      <c r="AM211" s="188" t="str">
        <f t="array" ref="AM211">IFERROR(INDEX($AI$11:$AI$259, MATCH(0, IF(TRUE=$AH$11:$AH$259, COUNTIF($AM$10:$AM210, $AI$11:$AI$259), ""), 0)),"")</f>
        <v/>
      </c>
      <c r="AQ211" s="35">
        <f t="shared" si="23"/>
        <v>0</v>
      </c>
    </row>
    <row r="212" spans="1:43" x14ac:dyDescent="0.25">
      <c r="A212" s="35" t="str">
        <f>IFERROR(INDEX('G-1 All Habitats'!$AG$3:$AG$15,MATCH(E212,'G-1 All Habitats'!$AF$3:$AF$15,0)),"")</f>
        <v/>
      </c>
      <c r="B212" s="35" t="str">
        <f>IFERROR(INDEX('G-8 Condition Look up'!$I$4:$I$131,MATCH(G212,'G-8 Condition Look up'!$A$4:$A$131,0)),"")</f>
        <v/>
      </c>
      <c r="D212" s="168">
        <v>202</v>
      </c>
      <c r="E212" s="275"/>
      <c r="F212" s="275"/>
      <c r="G212" s="370" t="str">
        <f>IFERROR(INDEX('G-1 All Habitats'!$B$3:$B$130,MATCH(F212,'G-1 All Habitats'!$A$3:$A$130,0)),"")</f>
        <v/>
      </c>
      <c r="H212" s="213"/>
      <c r="I212" s="171" t="str">
        <f>IF(G212="","",VLOOKUP(G212,'G-1 All Habitats'!$B$2:$M$130,10,FALSE))</f>
        <v/>
      </c>
      <c r="J212" s="172" t="str">
        <f>IFERROR(VLOOKUP(I212,'G-1 All Habitats'!$V$3:$W$7,2,FALSE),"")</f>
        <v/>
      </c>
      <c r="K212" s="173"/>
      <c r="L212" s="172" t="str">
        <f>IFERROR(INDEX('G-8 Condition Look up'!$A$3:$H$131,MATCH(G212,'G-8 Condition Look up'!$A$3:$A$131,0),MATCH(K212,'G-8 Condition Look up'!$A$3:$H$3,0)),"")</f>
        <v/>
      </c>
      <c r="M212" s="186"/>
      <c r="N212" s="175" t="str">
        <f>IF(M212="","",IF(VLOOKUP(M212,'G-3 Multipliers'!$L$3:$N$6,2,FALSE)=0,"Spatial Data Missing",VLOOKUP(M212,'G-3 Multipliers'!$L$3:$N$6,2,FALSE)))</f>
        <v/>
      </c>
      <c r="O212" s="176" t="str">
        <f>IF(M212="","",IF(VLOOKUP(M212,'G-3 Multipliers'!$L$3:$N$6,3,FALSE)=0,"Spatial Data Missing",VLOOKUP(M212,'G-3 Multipliers'!$L$3:$N$6,3,FALSE)))</f>
        <v/>
      </c>
      <c r="P212" s="177" t="str">
        <f>IFERROR(VLOOKUP(G212,'G-1 All Habitats'!$B$2:$M$130,12,FALSE),"")</f>
        <v/>
      </c>
      <c r="Q212" s="81" t="str">
        <f>IFERROR(IF(P212="","",IF(AND(P212='G-1 All Habitats'!$X$3,T212&gt;0),U212+V212,IF(AND(P212='G-1 All Habitats'!$X$3,S212&gt;0),U212+V212,IF(AND(P212='G-1 All Habitats'!$X$3,AC212&gt;0),"Any Loss Unacceptable",IF(AND(P212='G-1 All Habitats'!$X$3,W212&gt;0),"Any Loss Unacceptable",H212*J212*L212*O212))))),"Check Data")</f>
        <v/>
      </c>
      <c r="R212" s="55"/>
      <c r="S212" s="79"/>
      <c r="T212" s="82"/>
      <c r="U212" s="83" t="str">
        <f t="shared" si="20"/>
        <v/>
      </c>
      <c r="V212" s="83" t="str">
        <f t="shared" si="21"/>
        <v/>
      </c>
      <c r="W212" s="83" t="str">
        <f>IF(E212="","",IF(H212&lt;S212+T212,"Error in Areas",IF(P212&lt;&gt;'G-1 All Habitats'!$X$3,H212-S212-T212,IF(AND(P212='G-1 All Habitats'!$X$3,Y212="Yes"),"Unacceptable Loss",IF(AND(P212='G-1 All Habitats'!$X$3,Y212="No"),AC212,IF(AND(P212='G-1 All Habitats'!$X$3,Y212=""),AC212,IF(AND(P212='G-1 All Habitats'!$X$3,AC212="None",AC212),IF(AND(P212='G-1 All Habitats'!$X$3,AC212&gt;0),H212-S212-T212))))))))</f>
        <v/>
      </c>
      <c r="X212" s="354" t="str">
        <f>IFERROR(IF(H212="","",IF(H212-S212-T212=0&lt;0,"Error in Areas",IF(S212+T212&gt;H212,"Error in Areas",IF(AND(P212='G-1 All Habitats'!$X$3,Y212="Yes"),"Alternative Compensation",IF(W212=0,0,IF(P212='G-1 All Habitats'!$X$3,"Unacceptable Loss",Q212-U212-V212)))))),"Check Data")</f>
        <v/>
      </c>
      <c r="Y212" s="82"/>
      <c r="Z212" s="182"/>
      <c r="AA212" s="183"/>
      <c r="AC212" s="371" t="str">
        <f>IF(P212="","",IF(P212='G-1 All Habitats'!$X$3,H212-S212-T212,"None"))</f>
        <v/>
      </c>
      <c r="AD212" s="372" t="str">
        <f t="shared" si="22"/>
        <v/>
      </c>
      <c r="AF212" s="188" t="str">
        <f t="shared" si="18"/>
        <v/>
      </c>
      <c r="AG212" s="188" t="str">
        <f t="shared" si="19"/>
        <v/>
      </c>
      <c r="AH212" s="188" t="str">
        <f>IF(I212="","",IF(#REF!&gt;0,TRUE,FALSE))</f>
        <v/>
      </c>
      <c r="AI212" s="188">
        <v>202</v>
      </c>
      <c r="AJ212" s="188"/>
      <c r="AK212" s="188" t="str">
        <f t="array" ref="AK212">IFERROR(INDEX($AI$11:$AI$259, MATCH(0, IF(TRUE=$AF$11:$AF$259, COUNTIF($AK$10:$AK211, $AI$11:$AI$259), ""), 0)),"")</f>
        <v/>
      </c>
      <c r="AL212" s="188" t="str">
        <f t="array" ref="AL212">IFERROR(INDEX($AI$11:$AI$259, MATCH(0, IF(TRUE=$AG$11:$AG$259, COUNTIF($AL$10:$AL211, $AI$11:$AI$259), ""), 0)),"")</f>
        <v/>
      </c>
      <c r="AM212" s="188" t="str">
        <f t="array" ref="AM212">IFERROR(INDEX($AI$11:$AI$259, MATCH(0, IF(TRUE=$AH$11:$AH$259, COUNTIF($AM$10:$AM211, $AI$11:$AI$259), ""), 0)),"")</f>
        <v/>
      </c>
      <c r="AQ212" s="35">
        <f t="shared" si="23"/>
        <v>0</v>
      </c>
    </row>
    <row r="213" spans="1:43" x14ac:dyDescent="0.25">
      <c r="A213" s="35" t="str">
        <f>IFERROR(INDEX('G-1 All Habitats'!$AG$3:$AG$15,MATCH(E213,'G-1 All Habitats'!$AF$3:$AF$15,0)),"")</f>
        <v/>
      </c>
      <c r="B213" s="35" t="str">
        <f>IFERROR(INDEX('G-8 Condition Look up'!$I$4:$I$131,MATCH(G213,'G-8 Condition Look up'!$A$4:$A$131,0)),"")</f>
        <v/>
      </c>
      <c r="D213" s="168">
        <v>203</v>
      </c>
      <c r="E213" s="275"/>
      <c r="F213" s="275"/>
      <c r="G213" s="370" t="str">
        <f>IFERROR(INDEX('G-1 All Habitats'!$B$3:$B$130,MATCH(F213,'G-1 All Habitats'!$A$3:$A$130,0)),"")</f>
        <v/>
      </c>
      <c r="H213" s="213"/>
      <c r="I213" s="171" t="str">
        <f>IF(G213="","",VLOOKUP(G213,'G-1 All Habitats'!$B$2:$M$130,10,FALSE))</f>
        <v/>
      </c>
      <c r="J213" s="172" t="str">
        <f>IFERROR(VLOOKUP(I213,'G-1 All Habitats'!$V$3:$W$7,2,FALSE),"")</f>
        <v/>
      </c>
      <c r="K213" s="173"/>
      <c r="L213" s="172" t="str">
        <f>IFERROR(INDEX('G-8 Condition Look up'!$A$3:$H$131,MATCH(G213,'G-8 Condition Look up'!$A$3:$A$131,0),MATCH(K213,'G-8 Condition Look up'!$A$3:$H$3,0)),"")</f>
        <v/>
      </c>
      <c r="M213" s="186"/>
      <c r="N213" s="175" t="str">
        <f>IF(M213="","",IF(VLOOKUP(M213,'G-3 Multipliers'!$L$3:$N$6,2,FALSE)=0,"Spatial Data Missing",VLOOKUP(M213,'G-3 Multipliers'!$L$3:$N$6,2,FALSE)))</f>
        <v/>
      </c>
      <c r="O213" s="176" t="str">
        <f>IF(M213="","",IF(VLOOKUP(M213,'G-3 Multipliers'!$L$3:$N$6,3,FALSE)=0,"Spatial Data Missing",VLOOKUP(M213,'G-3 Multipliers'!$L$3:$N$6,3,FALSE)))</f>
        <v/>
      </c>
      <c r="P213" s="177" t="str">
        <f>IFERROR(VLOOKUP(G213,'G-1 All Habitats'!$B$2:$M$130,12,FALSE),"")</f>
        <v/>
      </c>
      <c r="Q213" s="81" t="str">
        <f>IFERROR(IF(P213="","",IF(AND(P213='G-1 All Habitats'!$X$3,T213&gt;0),U213+V213,IF(AND(P213='G-1 All Habitats'!$X$3,S213&gt;0),U213+V213,IF(AND(P213='G-1 All Habitats'!$X$3,AC213&gt;0),"Any Loss Unacceptable",IF(AND(P213='G-1 All Habitats'!$X$3,W213&gt;0),"Any Loss Unacceptable",H213*J213*L213*O213))))),"Check Data")</f>
        <v/>
      </c>
      <c r="R213" s="55"/>
      <c r="S213" s="79"/>
      <c r="T213" s="82"/>
      <c r="U213" s="83" t="str">
        <f t="shared" si="20"/>
        <v/>
      </c>
      <c r="V213" s="83" t="str">
        <f t="shared" si="21"/>
        <v/>
      </c>
      <c r="W213" s="83" t="str">
        <f>IF(E213="","",IF(H213&lt;S213+T213,"Error in Areas",IF(P213&lt;&gt;'G-1 All Habitats'!$X$3,H213-S213-T213,IF(AND(P213='G-1 All Habitats'!$X$3,Y213="Yes"),"Unacceptable Loss",IF(AND(P213='G-1 All Habitats'!$X$3,Y213="No"),AC213,IF(AND(P213='G-1 All Habitats'!$X$3,Y213=""),AC213,IF(AND(P213='G-1 All Habitats'!$X$3,AC213="None",AC213),IF(AND(P213='G-1 All Habitats'!$X$3,AC213&gt;0),H213-S213-T213))))))))</f>
        <v/>
      </c>
      <c r="X213" s="354" t="str">
        <f>IFERROR(IF(H213="","",IF(H213-S213-T213=0&lt;0,"Error in Areas",IF(S213+T213&gt;H213,"Error in Areas",IF(AND(P213='G-1 All Habitats'!$X$3,Y213="Yes"),"Alternative Compensation",IF(W213=0,0,IF(P213='G-1 All Habitats'!$X$3,"Unacceptable Loss",Q213-U213-V213)))))),"Check Data")</f>
        <v/>
      </c>
      <c r="Y213" s="82"/>
      <c r="Z213" s="182"/>
      <c r="AA213" s="183"/>
      <c r="AC213" s="371" t="str">
        <f>IF(P213="","",IF(P213='G-1 All Habitats'!$X$3,H213-S213-T213,"None"))</f>
        <v/>
      </c>
      <c r="AD213" s="372" t="str">
        <f t="shared" si="22"/>
        <v/>
      </c>
      <c r="AF213" s="188" t="str">
        <f t="shared" si="18"/>
        <v/>
      </c>
      <c r="AG213" s="188" t="str">
        <f t="shared" si="19"/>
        <v/>
      </c>
      <c r="AH213" s="188" t="str">
        <f>IF(I213="","",IF(#REF!&gt;0,TRUE,FALSE))</f>
        <v/>
      </c>
      <c r="AI213" s="188">
        <v>203</v>
      </c>
      <c r="AJ213" s="188"/>
      <c r="AK213" s="188" t="str">
        <f t="array" ref="AK213">IFERROR(INDEX($AI$11:$AI$259, MATCH(0, IF(TRUE=$AF$11:$AF$259, COUNTIF($AK$10:$AK212, $AI$11:$AI$259), ""), 0)),"")</f>
        <v/>
      </c>
      <c r="AL213" s="188" t="str">
        <f t="array" ref="AL213">IFERROR(INDEX($AI$11:$AI$259, MATCH(0, IF(TRUE=$AG$11:$AG$259, COUNTIF($AL$10:$AL212, $AI$11:$AI$259), ""), 0)),"")</f>
        <v/>
      </c>
      <c r="AM213" s="188" t="str">
        <f t="array" ref="AM213">IFERROR(INDEX($AI$11:$AI$259, MATCH(0, IF(TRUE=$AH$11:$AH$259, COUNTIF($AM$10:$AM212, $AI$11:$AI$259), ""), 0)),"")</f>
        <v/>
      </c>
      <c r="AQ213" s="35">
        <f t="shared" si="23"/>
        <v>0</v>
      </c>
    </row>
    <row r="214" spans="1:43" x14ac:dyDescent="0.25">
      <c r="A214" s="35" t="str">
        <f>IFERROR(INDEX('G-1 All Habitats'!$AG$3:$AG$15,MATCH(E214,'G-1 All Habitats'!$AF$3:$AF$15,0)),"")</f>
        <v/>
      </c>
      <c r="B214" s="35" t="str">
        <f>IFERROR(INDEX('G-8 Condition Look up'!$I$4:$I$131,MATCH(G214,'G-8 Condition Look up'!$A$4:$A$131,0)),"")</f>
        <v/>
      </c>
      <c r="D214" s="168">
        <v>204</v>
      </c>
      <c r="E214" s="275"/>
      <c r="F214" s="275"/>
      <c r="G214" s="370" t="str">
        <f>IFERROR(INDEX('G-1 All Habitats'!$B$3:$B$130,MATCH(F214,'G-1 All Habitats'!$A$3:$A$130,0)),"")</f>
        <v/>
      </c>
      <c r="H214" s="213"/>
      <c r="I214" s="171" t="str">
        <f>IF(G214="","",VLOOKUP(G214,'G-1 All Habitats'!$B$2:$M$130,10,FALSE))</f>
        <v/>
      </c>
      <c r="J214" s="172" t="str">
        <f>IFERROR(VLOOKUP(I214,'G-1 All Habitats'!$V$3:$W$7,2,FALSE),"")</f>
        <v/>
      </c>
      <c r="K214" s="173"/>
      <c r="L214" s="172" t="str">
        <f>IFERROR(INDEX('G-8 Condition Look up'!$A$3:$H$131,MATCH(G214,'G-8 Condition Look up'!$A$3:$A$131,0),MATCH(K214,'G-8 Condition Look up'!$A$3:$H$3,0)),"")</f>
        <v/>
      </c>
      <c r="M214" s="186"/>
      <c r="N214" s="175" t="str">
        <f>IF(M214="","",IF(VLOOKUP(M214,'G-3 Multipliers'!$L$3:$N$6,2,FALSE)=0,"Spatial Data Missing",VLOOKUP(M214,'G-3 Multipliers'!$L$3:$N$6,2,FALSE)))</f>
        <v/>
      </c>
      <c r="O214" s="176" t="str">
        <f>IF(M214="","",IF(VLOOKUP(M214,'G-3 Multipliers'!$L$3:$N$6,3,FALSE)=0,"Spatial Data Missing",VLOOKUP(M214,'G-3 Multipliers'!$L$3:$N$6,3,FALSE)))</f>
        <v/>
      </c>
      <c r="P214" s="177" t="str">
        <f>IFERROR(VLOOKUP(G214,'G-1 All Habitats'!$B$2:$M$130,12,FALSE),"")</f>
        <v/>
      </c>
      <c r="Q214" s="81" t="str">
        <f>IFERROR(IF(P214="","",IF(AND(P214='G-1 All Habitats'!$X$3,T214&gt;0),U214+V214,IF(AND(P214='G-1 All Habitats'!$X$3,S214&gt;0),U214+V214,IF(AND(P214='G-1 All Habitats'!$X$3,AC214&gt;0),"Any Loss Unacceptable",IF(AND(P214='G-1 All Habitats'!$X$3,W214&gt;0),"Any Loss Unacceptable",H214*J214*L214*O214))))),"Check Data")</f>
        <v/>
      </c>
      <c r="R214" s="55"/>
      <c r="S214" s="79"/>
      <c r="T214" s="82"/>
      <c r="U214" s="83" t="str">
        <f t="shared" si="20"/>
        <v/>
      </c>
      <c r="V214" s="83" t="str">
        <f t="shared" si="21"/>
        <v/>
      </c>
      <c r="W214" s="83" t="str">
        <f>IF(E214="","",IF(H214&lt;S214+T214,"Error in Areas",IF(P214&lt;&gt;'G-1 All Habitats'!$X$3,H214-S214-T214,IF(AND(P214='G-1 All Habitats'!$X$3,Y214="Yes"),"Unacceptable Loss",IF(AND(P214='G-1 All Habitats'!$X$3,Y214="No"),AC214,IF(AND(P214='G-1 All Habitats'!$X$3,Y214=""),AC214,IF(AND(P214='G-1 All Habitats'!$X$3,AC214="None",AC214),IF(AND(P214='G-1 All Habitats'!$X$3,AC214&gt;0),H214-S214-T214))))))))</f>
        <v/>
      </c>
      <c r="X214" s="354" t="str">
        <f>IFERROR(IF(H214="","",IF(H214-S214-T214=0&lt;0,"Error in Areas",IF(S214+T214&gt;H214,"Error in Areas",IF(AND(P214='G-1 All Habitats'!$X$3,Y214="Yes"),"Alternative Compensation",IF(W214=0,0,IF(P214='G-1 All Habitats'!$X$3,"Unacceptable Loss",Q214-U214-V214)))))),"Check Data")</f>
        <v/>
      </c>
      <c r="Y214" s="82"/>
      <c r="Z214" s="182"/>
      <c r="AA214" s="183"/>
      <c r="AC214" s="371" t="str">
        <f>IF(P214="","",IF(P214='G-1 All Habitats'!$X$3,H214-S214-T214,"None"))</f>
        <v/>
      </c>
      <c r="AD214" s="372" t="str">
        <f t="shared" si="22"/>
        <v/>
      </c>
      <c r="AF214" s="188" t="str">
        <f t="shared" si="18"/>
        <v/>
      </c>
      <c r="AG214" s="188" t="str">
        <f t="shared" si="19"/>
        <v/>
      </c>
      <c r="AH214" s="188" t="str">
        <f>IF(I214="","",IF(#REF!&gt;0,TRUE,FALSE))</f>
        <v/>
      </c>
      <c r="AI214" s="188">
        <v>204</v>
      </c>
      <c r="AJ214" s="188"/>
      <c r="AK214" s="188" t="str">
        <f t="array" ref="AK214">IFERROR(INDEX($AI$11:$AI$259, MATCH(0, IF(TRUE=$AF$11:$AF$259, COUNTIF($AK$10:$AK213, $AI$11:$AI$259), ""), 0)),"")</f>
        <v/>
      </c>
      <c r="AL214" s="188" t="str">
        <f t="array" ref="AL214">IFERROR(INDEX($AI$11:$AI$259, MATCH(0, IF(TRUE=$AG$11:$AG$259, COUNTIF($AL$10:$AL213, $AI$11:$AI$259), ""), 0)),"")</f>
        <v/>
      </c>
      <c r="AM214" s="188" t="str">
        <f t="array" ref="AM214">IFERROR(INDEX($AI$11:$AI$259, MATCH(0, IF(TRUE=$AH$11:$AH$259, COUNTIF($AM$10:$AM213, $AI$11:$AI$259), ""), 0)),"")</f>
        <v/>
      </c>
      <c r="AQ214" s="35">
        <f t="shared" si="23"/>
        <v>0</v>
      </c>
    </row>
    <row r="215" spans="1:43" x14ac:dyDescent="0.25">
      <c r="A215" s="35" t="str">
        <f>IFERROR(INDEX('G-1 All Habitats'!$AG$3:$AG$15,MATCH(E215,'G-1 All Habitats'!$AF$3:$AF$15,0)),"")</f>
        <v/>
      </c>
      <c r="B215" s="35" t="str">
        <f>IFERROR(INDEX('G-8 Condition Look up'!$I$4:$I$131,MATCH(G215,'G-8 Condition Look up'!$A$4:$A$131,0)),"")</f>
        <v/>
      </c>
      <c r="D215" s="168">
        <v>205</v>
      </c>
      <c r="E215" s="275"/>
      <c r="F215" s="275"/>
      <c r="G215" s="370" t="str">
        <f>IFERROR(INDEX('G-1 All Habitats'!$B$3:$B$130,MATCH(F215,'G-1 All Habitats'!$A$3:$A$130,0)),"")</f>
        <v/>
      </c>
      <c r="H215" s="213"/>
      <c r="I215" s="171" t="str">
        <f>IF(G215="","",VLOOKUP(G215,'G-1 All Habitats'!$B$2:$M$130,10,FALSE))</f>
        <v/>
      </c>
      <c r="J215" s="172" t="str">
        <f>IFERROR(VLOOKUP(I215,'G-1 All Habitats'!$V$3:$W$7,2,FALSE),"")</f>
        <v/>
      </c>
      <c r="K215" s="173"/>
      <c r="L215" s="172" t="str">
        <f>IFERROR(INDEX('G-8 Condition Look up'!$A$3:$H$131,MATCH(G215,'G-8 Condition Look up'!$A$3:$A$131,0),MATCH(K215,'G-8 Condition Look up'!$A$3:$H$3,0)),"")</f>
        <v/>
      </c>
      <c r="M215" s="186"/>
      <c r="N215" s="175" t="str">
        <f>IF(M215="","",IF(VLOOKUP(M215,'G-3 Multipliers'!$L$3:$N$6,2,FALSE)=0,"Spatial Data Missing",VLOOKUP(M215,'G-3 Multipliers'!$L$3:$N$6,2,FALSE)))</f>
        <v/>
      </c>
      <c r="O215" s="176" t="str">
        <f>IF(M215="","",IF(VLOOKUP(M215,'G-3 Multipliers'!$L$3:$N$6,3,FALSE)=0,"Spatial Data Missing",VLOOKUP(M215,'G-3 Multipliers'!$L$3:$N$6,3,FALSE)))</f>
        <v/>
      </c>
      <c r="P215" s="177" t="str">
        <f>IFERROR(VLOOKUP(G215,'G-1 All Habitats'!$B$2:$M$130,12,FALSE),"")</f>
        <v/>
      </c>
      <c r="Q215" s="81" t="str">
        <f>IFERROR(IF(P215="","",IF(AND(P215='G-1 All Habitats'!$X$3,T215&gt;0),U215+V215,IF(AND(P215='G-1 All Habitats'!$X$3,S215&gt;0),U215+V215,IF(AND(P215='G-1 All Habitats'!$X$3,AC215&gt;0),"Any Loss Unacceptable",IF(AND(P215='G-1 All Habitats'!$X$3,W215&gt;0),"Any Loss Unacceptable",H215*J215*L215*O215))))),"Check Data")</f>
        <v/>
      </c>
      <c r="R215" s="55"/>
      <c r="S215" s="79"/>
      <c r="T215" s="82"/>
      <c r="U215" s="83" t="str">
        <f t="shared" si="20"/>
        <v/>
      </c>
      <c r="V215" s="83" t="str">
        <f t="shared" si="21"/>
        <v/>
      </c>
      <c r="W215" s="83" t="str">
        <f>IF(E215="","",IF(H215&lt;S215+T215,"Error in Areas",IF(P215&lt;&gt;'G-1 All Habitats'!$X$3,H215-S215-T215,IF(AND(P215='G-1 All Habitats'!$X$3,Y215="Yes"),"Unacceptable Loss",IF(AND(P215='G-1 All Habitats'!$X$3,Y215="No"),AC215,IF(AND(P215='G-1 All Habitats'!$X$3,Y215=""),AC215,IF(AND(P215='G-1 All Habitats'!$X$3,AC215="None",AC215),IF(AND(P215='G-1 All Habitats'!$X$3,AC215&gt;0),H215-S215-T215))))))))</f>
        <v/>
      </c>
      <c r="X215" s="354" t="str">
        <f>IFERROR(IF(H215="","",IF(H215-S215-T215=0&lt;0,"Error in Areas",IF(S215+T215&gt;H215,"Error in Areas",IF(AND(P215='G-1 All Habitats'!$X$3,Y215="Yes"),"Alternative Compensation",IF(W215=0,0,IF(P215='G-1 All Habitats'!$X$3,"Unacceptable Loss",Q215-U215-V215)))))),"Check Data")</f>
        <v/>
      </c>
      <c r="Y215" s="82"/>
      <c r="Z215" s="182"/>
      <c r="AA215" s="183"/>
      <c r="AC215" s="371" t="str">
        <f>IF(P215="","",IF(P215='G-1 All Habitats'!$X$3,H215-S215-T215,"None"))</f>
        <v/>
      </c>
      <c r="AD215" s="372" t="str">
        <f t="shared" si="22"/>
        <v/>
      </c>
      <c r="AF215" s="188" t="str">
        <f t="shared" si="18"/>
        <v/>
      </c>
      <c r="AG215" s="188" t="str">
        <f t="shared" si="19"/>
        <v/>
      </c>
      <c r="AH215" s="188" t="str">
        <f>IF(I215="","",IF(#REF!&gt;0,TRUE,FALSE))</f>
        <v/>
      </c>
      <c r="AI215" s="188">
        <v>205</v>
      </c>
      <c r="AJ215" s="188"/>
      <c r="AK215" s="188" t="str">
        <f t="array" ref="AK215">IFERROR(INDEX($AI$11:$AI$259, MATCH(0, IF(TRUE=$AF$11:$AF$259, COUNTIF($AK$10:$AK214, $AI$11:$AI$259), ""), 0)),"")</f>
        <v/>
      </c>
      <c r="AL215" s="188" t="str">
        <f t="array" ref="AL215">IFERROR(INDEX($AI$11:$AI$259, MATCH(0, IF(TRUE=$AG$11:$AG$259, COUNTIF($AL$10:$AL214, $AI$11:$AI$259), ""), 0)),"")</f>
        <v/>
      </c>
      <c r="AM215" s="188" t="str">
        <f t="array" ref="AM215">IFERROR(INDEX($AI$11:$AI$259, MATCH(0, IF(TRUE=$AH$11:$AH$259, COUNTIF($AM$10:$AM214, $AI$11:$AI$259), ""), 0)),"")</f>
        <v/>
      </c>
      <c r="AQ215" s="35">
        <f t="shared" si="23"/>
        <v>0</v>
      </c>
    </row>
    <row r="216" spans="1:43" x14ac:dyDescent="0.25">
      <c r="A216" s="35" t="str">
        <f>IFERROR(INDEX('G-1 All Habitats'!$AG$3:$AG$15,MATCH(E216,'G-1 All Habitats'!$AF$3:$AF$15,0)),"")</f>
        <v/>
      </c>
      <c r="B216" s="35" t="str">
        <f>IFERROR(INDEX('G-8 Condition Look up'!$I$4:$I$131,MATCH(G216,'G-8 Condition Look up'!$A$4:$A$131,0)),"")</f>
        <v/>
      </c>
      <c r="D216" s="168">
        <v>206</v>
      </c>
      <c r="E216" s="275"/>
      <c r="F216" s="275"/>
      <c r="G216" s="370" t="str">
        <f>IFERROR(INDEX('G-1 All Habitats'!$B$3:$B$130,MATCH(F216,'G-1 All Habitats'!$A$3:$A$130,0)),"")</f>
        <v/>
      </c>
      <c r="H216" s="213"/>
      <c r="I216" s="171" t="str">
        <f>IF(G216="","",VLOOKUP(G216,'G-1 All Habitats'!$B$2:$M$130,10,FALSE))</f>
        <v/>
      </c>
      <c r="J216" s="172" t="str">
        <f>IFERROR(VLOOKUP(I216,'G-1 All Habitats'!$V$3:$W$7,2,FALSE),"")</f>
        <v/>
      </c>
      <c r="K216" s="173"/>
      <c r="L216" s="172" t="str">
        <f>IFERROR(INDEX('G-8 Condition Look up'!$A$3:$H$131,MATCH(G216,'G-8 Condition Look up'!$A$3:$A$131,0),MATCH(K216,'G-8 Condition Look up'!$A$3:$H$3,0)),"")</f>
        <v/>
      </c>
      <c r="M216" s="186"/>
      <c r="N216" s="175" t="str">
        <f>IF(M216="","",IF(VLOOKUP(M216,'G-3 Multipliers'!$L$3:$N$6,2,FALSE)=0,"Spatial Data Missing",VLOOKUP(M216,'G-3 Multipliers'!$L$3:$N$6,2,FALSE)))</f>
        <v/>
      </c>
      <c r="O216" s="176" t="str">
        <f>IF(M216="","",IF(VLOOKUP(M216,'G-3 Multipliers'!$L$3:$N$6,3,FALSE)=0,"Spatial Data Missing",VLOOKUP(M216,'G-3 Multipliers'!$L$3:$N$6,3,FALSE)))</f>
        <v/>
      </c>
      <c r="P216" s="177" t="str">
        <f>IFERROR(VLOOKUP(G216,'G-1 All Habitats'!$B$2:$M$130,12,FALSE),"")</f>
        <v/>
      </c>
      <c r="Q216" s="81" t="str">
        <f>IFERROR(IF(P216="","",IF(AND(P216='G-1 All Habitats'!$X$3,T216&gt;0),U216+V216,IF(AND(P216='G-1 All Habitats'!$X$3,S216&gt;0),U216+V216,IF(AND(P216='G-1 All Habitats'!$X$3,AC216&gt;0),"Any Loss Unacceptable",IF(AND(P216='G-1 All Habitats'!$X$3,W216&gt;0),"Any Loss Unacceptable",H216*J216*L216*O216))))),"Check Data")</f>
        <v/>
      </c>
      <c r="R216" s="55"/>
      <c r="S216" s="79"/>
      <c r="T216" s="82"/>
      <c r="U216" s="83" t="str">
        <f t="shared" si="20"/>
        <v/>
      </c>
      <c r="V216" s="83" t="str">
        <f t="shared" si="21"/>
        <v/>
      </c>
      <c r="W216" s="83" t="str">
        <f>IF(E216="","",IF(H216&lt;S216+T216,"Error in Areas",IF(P216&lt;&gt;'G-1 All Habitats'!$X$3,H216-S216-T216,IF(AND(P216='G-1 All Habitats'!$X$3,Y216="Yes"),"Unacceptable Loss",IF(AND(P216='G-1 All Habitats'!$X$3,Y216="No"),AC216,IF(AND(P216='G-1 All Habitats'!$X$3,Y216=""),AC216,IF(AND(P216='G-1 All Habitats'!$X$3,AC216="None",AC216),IF(AND(P216='G-1 All Habitats'!$X$3,AC216&gt;0),H216-S216-T216))))))))</f>
        <v/>
      </c>
      <c r="X216" s="354" t="str">
        <f>IFERROR(IF(H216="","",IF(H216-S216-T216=0&lt;0,"Error in Areas",IF(S216+T216&gt;H216,"Error in Areas",IF(AND(P216='G-1 All Habitats'!$X$3,Y216="Yes"),"Alternative Compensation",IF(W216=0,0,IF(P216='G-1 All Habitats'!$X$3,"Unacceptable Loss",Q216-U216-V216)))))),"Check Data")</f>
        <v/>
      </c>
      <c r="Y216" s="82"/>
      <c r="Z216" s="182"/>
      <c r="AA216" s="183"/>
      <c r="AC216" s="371" t="str">
        <f>IF(P216="","",IF(P216='G-1 All Habitats'!$X$3,H216-S216-T216,"None"))</f>
        <v/>
      </c>
      <c r="AD216" s="372" t="str">
        <f t="shared" si="22"/>
        <v/>
      </c>
      <c r="AF216" s="188" t="str">
        <f t="shared" si="18"/>
        <v/>
      </c>
      <c r="AG216" s="188" t="str">
        <f t="shared" si="19"/>
        <v/>
      </c>
      <c r="AH216" s="188" t="str">
        <f>IF(I216="","",IF(#REF!&gt;0,TRUE,FALSE))</f>
        <v/>
      </c>
      <c r="AI216" s="188">
        <v>206</v>
      </c>
      <c r="AJ216" s="188"/>
      <c r="AK216" s="188" t="str">
        <f t="array" ref="AK216">IFERROR(INDEX($AI$11:$AI$259, MATCH(0, IF(TRUE=$AF$11:$AF$259, COUNTIF($AK$10:$AK215, $AI$11:$AI$259), ""), 0)),"")</f>
        <v/>
      </c>
      <c r="AL216" s="188" t="str">
        <f t="array" ref="AL216">IFERROR(INDEX($AI$11:$AI$259, MATCH(0, IF(TRUE=$AG$11:$AG$259, COUNTIF($AL$10:$AL215, $AI$11:$AI$259), ""), 0)),"")</f>
        <v/>
      </c>
      <c r="AM216" s="188" t="str">
        <f t="array" ref="AM216">IFERROR(INDEX($AI$11:$AI$259, MATCH(0, IF(TRUE=$AH$11:$AH$259, COUNTIF($AM$10:$AM215, $AI$11:$AI$259), ""), 0)),"")</f>
        <v/>
      </c>
      <c r="AQ216" s="35">
        <f t="shared" si="23"/>
        <v>0</v>
      </c>
    </row>
    <row r="217" spans="1:43" x14ac:dyDescent="0.25">
      <c r="A217" s="35" t="str">
        <f>IFERROR(INDEX('G-1 All Habitats'!$AG$3:$AG$15,MATCH(E217,'G-1 All Habitats'!$AF$3:$AF$15,0)),"")</f>
        <v/>
      </c>
      <c r="B217" s="35" t="str">
        <f>IFERROR(INDEX('G-8 Condition Look up'!$I$4:$I$131,MATCH(G217,'G-8 Condition Look up'!$A$4:$A$131,0)),"")</f>
        <v/>
      </c>
      <c r="D217" s="168">
        <v>207</v>
      </c>
      <c r="E217" s="275"/>
      <c r="F217" s="275"/>
      <c r="G217" s="370" t="str">
        <f>IFERROR(INDEX('G-1 All Habitats'!$B$3:$B$130,MATCH(F217,'G-1 All Habitats'!$A$3:$A$130,0)),"")</f>
        <v/>
      </c>
      <c r="H217" s="213"/>
      <c r="I217" s="171" t="str">
        <f>IF(G217="","",VLOOKUP(G217,'G-1 All Habitats'!$B$2:$M$130,10,FALSE))</f>
        <v/>
      </c>
      <c r="J217" s="172" t="str">
        <f>IFERROR(VLOOKUP(I217,'G-1 All Habitats'!$V$3:$W$7,2,FALSE),"")</f>
        <v/>
      </c>
      <c r="K217" s="173"/>
      <c r="L217" s="172" t="str">
        <f>IFERROR(INDEX('G-8 Condition Look up'!$A$3:$H$131,MATCH(G217,'G-8 Condition Look up'!$A$3:$A$131,0),MATCH(K217,'G-8 Condition Look up'!$A$3:$H$3,0)),"")</f>
        <v/>
      </c>
      <c r="M217" s="186"/>
      <c r="N217" s="175" t="str">
        <f>IF(M217="","",IF(VLOOKUP(M217,'G-3 Multipliers'!$L$3:$N$6,2,FALSE)=0,"Spatial Data Missing",VLOOKUP(M217,'G-3 Multipliers'!$L$3:$N$6,2,FALSE)))</f>
        <v/>
      </c>
      <c r="O217" s="176" t="str">
        <f>IF(M217="","",IF(VLOOKUP(M217,'G-3 Multipliers'!$L$3:$N$6,3,FALSE)=0,"Spatial Data Missing",VLOOKUP(M217,'G-3 Multipliers'!$L$3:$N$6,3,FALSE)))</f>
        <v/>
      </c>
      <c r="P217" s="177" t="str">
        <f>IFERROR(VLOOKUP(G217,'G-1 All Habitats'!$B$2:$M$130,12,FALSE),"")</f>
        <v/>
      </c>
      <c r="Q217" s="81" t="str">
        <f>IFERROR(IF(P217="","",IF(AND(P217='G-1 All Habitats'!$X$3,T217&gt;0),U217+V217,IF(AND(P217='G-1 All Habitats'!$X$3,S217&gt;0),U217+V217,IF(AND(P217='G-1 All Habitats'!$X$3,AC217&gt;0),"Any Loss Unacceptable",IF(AND(P217='G-1 All Habitats'!$X$3,W217&gt;0),"Any Loss Unacceptable",H217*J217*L217*O217))))),"Check Data")</f>
        <v/>
      </c>
      <c r="R217" s="55"/>
      <c r="S217" s="79"/>
      <c r="T217" s="82"/>
      <c r="U217" s="83" t="str">
        <f t="shared" si="20"/>
        <v/>
      </c>
      <c r="V217" s="83" t="str">
        <f t="shared" si="21"/>
        <v/>
      </c>
      <c r="W217" s="83" t="str">
        <f>IF(E217="","",IF(H217&lt;S217+T217,"Error in Areas",IF(P217&lt;&gt;'G-1 All Habitats'!$X$3,H217-S217-T217,IF(AND(P217='G-1 All Habitats'!$X$3,Y217="Yes"),"Unacceptable Loss",IF(AND(P217='G-1 All Habitats'!$X$3,Y217="No"),AC217,IF(AND(P217='G-1 All Habitats'!$X$3,Y217=""),AC217,IF(AND(P217='G-1 All Habitats'!$X$3,AC217="None",AC217),IF(AND(P217='G-1 All Habitats'!$X$3,AC217&gt;0),H217-S217-T217))))))))</f>
        <v/>
      </c>
      <c r="X217" s="354" t="str">
        <f>IFERROR(IF(H217="","",IF(H217-S217-T217=0&lt;0,"Error in Areas",IF(S217+T217&gt;H217,"Error in Areas",IF(AND(P217='G-1 All Habitats'!$X$3,Y217="Yes"),"Alternative Compensation",IF(W217=0,0,IF(P217='G-1 All Habitats'!$X$3,"Unacceptable Loss",Q217-U217-V217)))))),"Check Data")</f>
        <v/>
      </c>
      <c r="Y217" s="82"/>
      <c r="Z217" s="182"/>
      <c r="AA217" s="183"/>
      <c r="AC217" s="371" t="str">
        <f>IF(P217="","",IF(P217='G-1 All Habitats'!$X$3,H217-S217-T217,"None"))</f>
        <v/>
      </c>
      <c r="AD217" s="372" t="str">
        <f t="shared" si="22"/>
        <v/>
      </c>
      <c r="AF217" s="188" t="str">
        <f t="shared" si="18"/>
        <v/>
      </c>
      <c r="AG217" s="188" t="str">
        <f t="shared" si="19"/>
        <v/>
      </c>
      <c r="AH217" s="188" t="str">
        <f>IF(I217="","",IF(#REF!&gt;0,TRUE,FALSE))</f>
        <v/>
      </c>
      <c r="AI217" s="188">
        <v>207</v>
      </c>
      <c r="AJ217" s="188"/>
      <c r="AK217" s="188" t="str">
        <f t="array" ref="AK217">IFERROR(INDEX($AI$11:$AI$259, MATCH(0, IF(TRUE=$AF$11:$AF$259, COUNTIF($AK$10:$AK216, $AI$11:$AI$259), ""), 0)),"")</f>
        <v/>
      </c>
      <c r="AL217" s="188" t="str">
        <f t="array" ref="AL217">IFERROR(INDEX($AI$11:$AI$259, MATCH(0, IF(TRUE=$AG$11:$AG$259, COUNTIF($AL$10:$AL216, $AI$11:$AI$259), ""), 0)),"")</f>
        <v/>
      </c>
      <c r="AM217" s="188" t="str">
        <f t="array" ref="AM217">IFERROR(INDEX($AI$11:$AI$259, MATCH(0, IF(TRUE=$AH$11:$AH$259, COUNTIF($AM$10:$AM216, $AI$11:$AI$259), ""), 0)),"")</f>
        <v/>
      </c>
      <c r="AQ217" s="35">
        <f t="shared" si="23"/>
        <v>0</v>
      </c>
    </row>
    <row r="218" spans="1:43" x14ac:dyDescent="0.25">
      <c r="A218" s="35" t="str">
        <f>IFERROR(INDEX('G-1 All Habitats'!$AG$3:$AG$15,MATCH(E218,'G-1 All Habitats'!$AF$3:$AF$15,0)),"")</f>
        <v/>
      </c>
      <c r="B218" s="35" t="str">
        <f>IFERROR(INDEX('G-8 Condition Look up'!$I$4:$I$131,MATCH(G218,'G-8 Condition Look up'!$A$4:$A$131,0)),"")</f>
        <v/>
      </c>
      <c r="D218" s="168">
        <v>208</v>
      </c>
      <c r="E218" s="275"/>
      <c r="F218" s="275"/>
      <c r="G218" s="370" t="str">
        <f>IFERROR(INDEX('G-1 All Habitats'!$B$3:$B$130,MATCH(F218,'G-1 All Habitats'!$A$3:$A$130,0)),"")</f>
        <v/>
      </c>
      <c r="H218" s="213"/>
      <c r="I218" s="171" t="str">
        <f>IF(G218="","",VLOOKUP(G218,'G-1 All Habitats'!$B$2:$M$130,10,FALSE))</f>
        <v/>
      </c>
      <c r="J218" s="172" t="str">
        <f>IFERROR(VLOOKUP(I218,'G-1 All Habitats'!$V$3:$W$7,2,FALSE),"")</f>
        <v/>
      </c>
      <c r="K218" s="173"/>
      <c r="L218" s="172" t="str">
        <f>IFERROR(INDEX('G-8 Condition Look up'!$A$3:$H$131,MATCH(G218,'G-8 Condition Look up'!$A$3:$A$131,0),MATCH(K218,'G-8 Condition Look up'!$A$3:$H$3,0)),"")</f>
        <v/>
      </c>
      <c r="M218" s="186"/>
      <c r="N218" s="175" t="str">
        <f>IF(M218="","",IF(VLOOKUP(M218,'G-3 Multipliers'!$L$3:$N$6,2,FALSE)=0,"Spatial Data Missing",VLOOKUP(M218,'G-3 Multipliers'!$L$3:$N$6,2,FALSE)))</f>
        <v/>
      </c>
      <c r="O218" s="176" t="str">
        <f>IF(M218="","",IF(VLOOKUP(M218,'G-3 Multipliers'!$L$3:$N$6,3,FALSE)=0,"Spatial Data Missing",VLOOKUP(M218,'G-3 Multipliers'!$L$3:$N$6,3,FALSE)))</f>
        <v/>
      </c>
      <c r="P218" s="177" t="str">
        <f>IFERROR(VLOOKUP(G218,'G-1 All Habitats'!$B$2:$M$130,12,FALSE),"")</f>
        <v/>
      </c>
      <c r="Q218" s="81" t="str">
        <f>IFERROR(IF(P218="","",IF(AND(P218='G-1 All Habitats'!$X$3,T218&gt;0),U218+V218,IF(AND(P218='G-1 All Habitats'!$X$3,S218&gt;0),U218+V218,IF(AND(P218='G-1 All Habitats'!$X$3,AC218&gt;0),"Any Loss Unacceptable",IF(AND(P218='G-1 All Habitats'!$X$3,W218&gt;0),"Any Loss Unacceptable",H218*J218*L218*O218))))),"Check Data")</f>
        <v/>
      </c>
      <c r="R218" s="55"/>
      <c r="S218" s="79"/>
      <c r="T218" s="82"/>
      <c r="U218" s="83" t="str">
        <f t="shared" si="20"/>
        <v/>
      </c>
      <c r="V218" s="83" t="str">
        <f t="shared" si="21"/>
        <v/>
      </c>
      <c r="W218" s="83" t="str">
        <f>IF(E218="","",IF(H218&lt;S218+T218,"Error in Areas",IF(P218&lt;&gt;'G-1 All Habitats'!$X$3,H218-S218-T218,IF(AND(P218='G-1 All Habitats'!$X$3,Y218="Yes"),"Unacceptable Loss",IF(AND(P218='G-1 All Habitats'!$X$3,Y218="No"),AC218,IF(AND(P218='G-1 All Habitats'!$X$3,Y218=""),AC218,IF(AND(P218='G-1 All Habitats'!$X$3,AC218="None",AC218),IF(AND(P218='G-1 All Habitats'!$X$3,AC218&gt;0),H218-S218-T218))))))))</f>
        <v/>
      </c>
      <c r="X218" s="354" t="str">
        <f>IFERROR(IF(H218="","",IF(H218-S218-T218=0&lt;0,"Error in Areas",IF(S218+T218&gt;H218,"Error in Areas",IF(AND(P218='G-1 All Habitats'!$X$3,Y218="Yes"),"Alternative Compensation",IF(W218=0,0,IF(P218='G-1 All Habitats'!$X$3,"Unacceptable Loss",Q218-U218-V218)))))),"Check Data")</f>
        <v/>
      </c>
      <c r="Y218" s="82"/>
      <c r="Z218" s="182"/>
      <c r="AA218" s="183"/>
      <c r="AC218" s="371" t="str">
        <f>IF(P218="","",IF(P218='G-1 All Habitats'!$X$3,H218-S218-T218,"None"))</f>
        <v/>
      </c>
      <c r="AD218" s="372" t="str">
        <f t="shared" si="22"/>
        <v/>
      </c>
      <c r="AF218" s="188" t="str">
        <f t="shared" si="18"/>
        <v/>
      </c>
      <c r="AG218" s="188" t="str">
        <f t="shared" si="19"/>
        <v/>
      </c>
      <c r="AH218" s="188" t="str">
        <f>IF(I218="","",IF(#REF!&gt;0,TRUE,FALSE))</f>
        <v/>
      </c>
      <c r="AI218" s="188">
        <v>208</v>
      </c>
      <c r="AJ218" s="188"/>
      <c r="AK218" s="188" t="str">
        <f t="array" ref="AK218">IFERROR(INDEX($AI$11:$AI$259, MATCH(0, IF(TRUE=$AF$11:$AF$259, COUNTIF($AK$10:$AK217, $AI$11:$AI$259), ""), 0)),"")</f>
        <v/>
      </c>
      <c r="AL218" s="188" t="str">
        <f t="array" ref="AL218">IFERROR(INDEX($AI$11:$AI$259, MATCH(0, IF(TRUE=$AG$11:$AG$259, COUNTIF($AL$10:$AL217, $AI$11:$AI$259), ""), 0)),"")</f>
        <v/>
      </c>
      <c r="AM218" s="188" t="str">
        <f t="array" ref="AM218">IFERROR(INDEX($AI$11:$AI$259, MATCH(0, IF(TRUE=$AH$11:$AH$259, COUNTIF($AM$10:$AM217, $AI$11:$AI$259), ""), 0)),"")</f>
        <v/>
      </c>
      <c r="AQ218" s="35">
        <f t="shared" si="23"/>
        <v>0</v>
      </c>
    </row>
    <row r="219" spans="1:43" x14ac:dyDescent="0.25">
      <c r="A219" s="35" t="str">
        <f>IFERROR(INDEX('G-1 All Habitats'!$AG$3:$AG$15,MATCH(E219,'G-1 All Habitats'!$AF$3:$AF$15,0)),"")</f>
        <v/>
      </c>
      <c r="B219" s="35" t="str">
        <f>IFERROR(INDEX('G-8 Condition Look up'!$I$4:$I$131,MATCH(G219,'G-8 Condition Look up'!$A$4:$A$131,0)),"")</f>
        <v/>
      </c>
      <c r="D219" s="168">
        <v>209</v>
      </c>
      <c r="E219" s="275"/>
      <c r="F219" s="275"/>
      <c r="G219" s="370" t="str">
        <f>IFERROR(INDEX('G-1 All Habitats'!$B$3:$B$130,MATCH(F219,'G-1 All Habitats'!$A$3:$A$130,0)),"")</f>
        <v/>
      </c>
      <c r="H219" s="213"/>
      <c r="I219" s="171" t="str">
        <f>IF(G219="","",VLOOKUP(G219,'G-1 All Habitats'!$B$2:$M$130,10,FALSE))</f>
        <v/>
      </c>
      <c r="J219" s="172" t="str">
        <f>IFERROR(VLOOKUP(I219,'G-1 All Habitats'!$V$3:$W$7,2,FALSE),"")</f>
        <v/>
      </c>
      <c r="K219" s="173"/>
      <c r="L219" s="172" t="str">
        <f>IFERROR(INDEX('G-8 Condition Look up'!$A$3:$H$131,MATCH(G219,'G-8 Condition Look up'!$A$3:$A$131,0),MATCH(K219,'G-8 Condition Look up'!$A$3:$H$3,0)),"")</f>
        <v/>
      </c>
      <c r="M219" s="186"/>
      <c r="N219" s="175" t="str">
        <f>IF(M219="","",IF(VLOOKUP(M219,'G-3 Multipliers'!$L$3:$N$6,2,FALSE)=0,"Spatial Data Missing",VLOOKUP(M219,'G-3 Multipliers'!$L$3:$N$6,2,FALSE)))</f>
        <v/>
      </c>
      <c r="O219" s="176" t="str">
        <f>IF(M219="","",IF(VLOOKUP(M219,'G-3 Multipliers'!$L$3:$N$6,3,FALSE)=0,"Spatial Data Missing",VLOOKUP(M219,'G-3 Multipliers'!$L$3:$N$6,3,FALSE)))</f>
        <v/>
      </c>
      <c r="P219" s="177" t="str">
        <f>IFERROR(VLOOKUP(G219,'G-1 All Habitats'!$B$2:$M$130,12,FALSE),"")</f>
        <v/>
      </c>
      <c r="Q219" s="81" t="str">
        <f>IFERROR(IF(P219="","",IF(AND(P219='G-1 All Habitats'!$X$3,T219&gt;0),U219+V219,IF(AND(P219='G-1 All Habitats'!$X$3,S219&gt;0),U219+V219,IF(AND(P219='G-1 All Habitats'!$X$3,AC219&gt;0),"Any Loss Unacceptable",IF(AND(P219='G-1 All Habitats'!$X$3,W219&gt;0),"Any Loss Unacceptable",H219*J219*L219*O219))))),"Check Data")</f>
        <v/>
      </c>
      <c r="R219" s="55"/>
      <c r="S219" s="79"/>
      <c r="T219" s="82"/>
      <c r="U219" s="83" t="str">
        <f t="shared" si="20"/>
        <v/>
      </c>
      <c r="V219" s="83" t="str">
        <f t="shared" si="21"/>
        <v/>
      </c>
      <c r="W219" s="83" t="str">
        <f>IF(E219="","",IF(H219&lt;S219+T219,"Error in Areas",IF(P219&lt;&gt;'G-1 All Habitats'!$X$3,H219-S219-T219,IF(AND(P219='G-1 All Habitats'!$X$3,Y219="Yes"),"Unacceptable Loss",IF(AND(P219='G-1 All Habitats'!$X$3,Y219="No"),AC219,IF(AND(P219='G-1 All Habitats'!$X$3,Y219=""),AC219,IF(AND(P219='G-1 All Habitats'!$X$3,AC219="None",AC219),IF(AND(P219='G-1 All Habitats'!$X$3,AC219&gt;0),H219-S219-T219))))))))</f>
        <v/>
      </c>
      <c r="X219" s="354" t="str">
        <f>IFERROR(IF(H219="","",IF(H219-S219-T219=0&lt;0,"Error in Areas",IF(S219+T219&gt;H219,"Error in Areas",IF(AND(P219='G-1 All Habitats'!$X$3,Y219="Yes"),"Alternative Compensation",IF(W219=0,0,IF(P219='G-1 All Habitats'!$X$3,"Unacceptable Loss",Q219-U219-V219)))))),"Check Data")</f>
        <v/>
      </c>
      <c r="Y219" s="82"/>
      <c r="Z219" s="182"/>
      <c r="AA219" s="183"/>
      <c r="AC219" s="371" t="str">
        <f>IF(P219="","",IF(P219='G-1 All Habitats'!$X$3,H219-S219-T219,"None"))</f>
        <v/>
      </c>
      <c r="AD219" s="372" t="str">
        <f t="shared" si="22"/>
        <v/>
      </c>
      <c r="AF219" s="188" t="str">
        <f t="shared" si="18"/>
        <v/>
      </c>
      <c r="AG219" s="188" t="str">
        <f t="shared" si="19"/>
        <v/>
      </c>
      <c r="AH219" s="188" t="str">
        <f>IF(I219="","",IF(#REF!&gt;0,TRUE,FALSE))</f>
        <v/>
      </c>
      <c r="AI219" s="188">
        <v>209</v>
      </c>
      <c r="AJ219" s="188"/>
      <c r="AK219" s="188" t="str">
        <f t="array" ref="AK219">IFERROR(INDEX($AI$11:$AI$259, MATCH(0, IF(TRUE=$AF$11:$AF$259, COUNTIF($AK$10:$AK218, $AI$11:$AI$259), ""), 0)),"")</f>
        <v/>
      </c>
      <c r="AL219" s="188" t="str">
        <f t="array" ref="AL219">IFERROR(INDEX($AI$11:$AI$259, MATCH(0, IF(TRUE=$AG$11:$AG$259, COUNTIF($AL$10:$AL218, $AI$11:$AI$259), ""), 0)),"")</f>
        <v/>
      </c>
      <c r="AM219" s="188" t="str">
        <f t="array" ref="AM219">IFERROR(INDEX($AI$11:$AI$259, MATCH(0, IF(TRUE=$AH$11:$AH$259, COUNTIF($AM$10:$AM218, $AI$11:$AI$259), ""), 0)),"")</f>
        <v/>
      </c>
      <c r="AQ219" s="35">
        <f t="shared" si="23"/>
        <v>0</v>
      </c>
    </row>
    <row r="220" spans="1:43" x14ac:dyDescent="0.25">
      <c r="A220" s="35" t="str">
        <f>IFERROR(INDEX('G-1 All Habitats'!$AG$3:$AG$15,MATCH(E220,'G-1 All Habitats'!$AF$3:$AF$15,0)),"")</f>
        <v/>
      </c>
      <c r="B220" s="35" t="str">
        <f>IFERROR(INDEX('G-8 Condition Look up'!$I$4:$I$131,MATCH(G220,'G-8 Condition Look up'!$A$4:$A$131,0)),"")</f>
        <v/>
      </c>
      <c r="D220" s="168">
        <v>210</v>
      </c>
      <c r="E220" s="275"/>
      <c r="F220" s="275"/>
      <c r="G220" s="370" t="str">
        <f>IFERROR(INDEX('G-1 All Habitats'!$B$3:$B$130,MATCH(F220,'G-1 All Habitats'!$A$3:$A$130,0)),"")</f>
        <v/>
      </c>
      <c r="H220" s="213"/>
      <c r="I220" s="171" t="str">
        <f>IF(G220="","",VLOOKUP(G220,'G-1 All Habitats'!$B$2:$M$130,10,FALSE))</f>
        <v/>
      </c>
      <c r="J220" s="172" t="str">
        <f>IFERROR(VLOOKUP(I220,'G-1 All Habitats'!$V$3:$W$7,2,FALSE),"")</f>
        <v/>
      </c>
      <c r="K220" s="173"/>
      <c r="L220" s="172" t="str">
        <f>IFERROR(INDEX('G-8 Condition Look up'!$A$3:$H$131,MATCH(G220,'G-8 Condition Look up'!$A$3:$A$131,0),MATCH(K220,'G-8 Condition Look up'!$A$3:$H$3,0)),"")</f>
        <v/>
      </c>
      <c r="M220" s="186"/>
      <c r="N220" s="175" t="str">
        <f>IF(M220="","",IF(VLOOKUP(M220,'G-3 Multipliers'!$L$3:$N$6,2,FALSE)=0,"Spatial Data Missing",VLOOKUP(M220,'G-3 Multipliers'!$L$3:$N$6,2,FALSE)))</f>
        <v/>
      </c>
      <c r="O220" s="176" t="str">
        <f>IF(M220="","",IF(VLOOKUP(M220,'G-3 Multipliers'!$L$3:$N$6,3,FALSE)=0,"Spatial Data Missing",VLOOKUP(M220,'G-3 Multipliers'!$L$3:$N$6,3,FALSE)))</f>
        <v/>
      </c>
      <c r="P220" s="177" t="str">
        <f>IFERROR(VLOOKUP(G220,'G-1 All Habitats'!$B$2:$M$130,12,FALSE),"")</f>
        <v/>
      </c>
      <c r="Q220" s="81" t="str">
        <f>IFERROR(IF(P220="","",IF(AND(P220='G-1 All Habitats'!$X$3,T220&gt;0),U220+V220,IF(AND(P220='G-1 All Habitats'!$X$3,S220&gt;0),U220+V220,IF(AND(P220='G-1 All Habitats'!$X$3,AC220&gt;0),"Any Loss Unacceptable",IF(AND(P220='G-1 All Habitats'!$X$3,W220&gt;0),"Any Loss Unacceptable",H220*J220*L220*O220))))),"Check Data")</f>
        <v/>
      </c>
      <c r="R220" s="55"/>
      <c r="S220" s="79"/>
      <c r="T220" s="82"/>
      <c r="U220" s="83" t="str">
        <f t="shared" si="20"/>
        <v/>
      </c>
      <c r="V220" s="83" t="str">
        <f t="shared" si="21"/>
        <v/>
      </c>
      <c r="W220" s="83" t="str">
        <f>IF(E220="","",IF(H220&lt;S220+T220,"Error in Areas",IF(P220&lt;&gt;'G-1 All Habitats'!$X$3,H220-S220-T220,IF(AND(P220='G-1 All Habitats'!$X$3,Y220="Yes"),"Unacceptable Loss",IF(AND(P220='G-1 All Habitats'!$X$3,Y220="No"),AC220,IF(AND(P220='G-1 All Habitats'!$X$3,Y220=""),AC220,IF(AND(P220='G-1 All Habitats'!$X$3,AC220="None",AC220),IF(AND(P220='G-1 All Habitats'!$X$3,AC220&gt;0),H220-S220-T220))))))))</f>
        <v/>
      </c>
      <c r="X220" s="354" t="str">
        <f>IFERROR(IF(H220="","",IF(H220-S220-T220=0&lt;0,"Error in Areas",IF(S220+T220&gt;H220,"Error in Areas",IF(AND(P220='G-1 All Habitats'!$X$3,Y220="Yes"),"Alternative Compensation",IF(W220=0,0,IF(P220='G-1 All Habitats'!$X$3,"Unacceptable Loss",Q220-U220-V220)))))),"Check Data")</f>
        <v/>
      </c>
      <c r="Y220" s="82"/>
      <c r="Z220" s="182"/>
      <c r="AA220" s="183"/>
      <c r="AC220" s="371" t="str">
        <f>IF(P220="","",IF(P220='G-1 All Habitats'!$X$3,H220-S220-T220,"None"))</f>
        <v/>
      </c>
      <c r="AD220" s="372" t="str">
        <f t="shared" si="22"/>
        <v/>
      </c>
      <c r="AF220" s="188" t="str">
        <f t="shared" si="18"/>
        <v/>
      </c>
      <c r="AG220" s="188" t="str">
        <f t="shared" si="19"/>
        <v/>
      </c>
      <c r="AH220" s="188" t="str">
        <f>IF(I220="","",IF(#REF!&gt;0,TRUE,FALSE))</f>
        <v/>
      </c>
      <c r="AI220" s="188">
        <v>210</v>
      </c>
      <c r="AJ220" s="188"/>
      <c r="AK220" s="188" t="str">
        <f t="array" ref="AK220">IFERROR(INDEX($AI$11:$AI$259, MATCH(0, IF(TRUE=$AF$11:$AF$259, COUNTIF($AK$10:$AK219, $AI$11:$AI$259), ""), 0)),"")</f>
        <v/>
      </c>
      <c r="AL220" s="188" t="str">
        <f t="array" ref="AL220">IFERROR(INDEX($AI$11:$AI$259, MATCH(0, IF(TRUE=$AG$11:$AG$259, COUNTIF($AL$10:$AL219, $AI$11:$AI$259), ""), 0)),"")</f>
        <v/>
      </c>
      <c r="AM220" s="188" t="str">
        <f t="array" ref="AM220">IFERROR(INDEX($AI$11:$AI$259, MATCH(0, IF(TRUE=$AH$11:$AH$259, COUNTIF($AM$10:$AM219, $AI$11:$AI$259), ""), 0)),"")</f>
        <v/>
      </c>
      <c r="AQ220" s="35">
        <f t="shared" si="23"/>
        <v>0</v>
      </c>
    </row>
    <row r="221" spans="1:43" x14ac:dyDescent="0.25">
      <c r="A221" s="35" t="str">
        <f>IFERROR(INDEX('G-1 All Habitats'!$AG$3:$AG$15,MATCH(E221,'G-1 All Habitats'!$AF$3:$AF$15,0)),"")</f>
        <v/>
      </c>
      <c r="B221" s="35" t="str">
        <f>IFERROR(INDEX('G-8 Condition Look up'!$I$4:$I$131,MATCH(G221,'G-8 Condition Look up'!$A$4:$A$131,0)),"")</f>
        <v/>
      </c>
      <c r="D221" s="168">
        <v>211</v>
      </c>
      <c r="E221" s="275"/>
      <c r="F221" s="275"/>
      <c r="G221" s="370" t="str">
        <f>IFERROR(INDEX('G-1 All Habitats'!$B$3:$B$130,MATCH(F221,'G-1 All Habitats'!$A$3:$A$130,0)),"")</f>
        <v/>
      </c>
      <c r="H221" s="213"/>
      <c r="I221" s="171" t="str">
        <f>IF(G221="","",VLOOKUP(G221,'G-1 All Habitats'!$B$2:$M$130,10,FALSE))</f>
        <v/>
      </c>
      <c r="J221" s="172" t="str">
        <f>IFERROR(VLOOKUP(I221,'G-1 All Habitats'!$V$3:$W$7,2,FALSE),"")</f>
        <v/>
      </c>
      <c r="K221" s="173"/>
      <c r="L221" s="172" t="str">
        <f>IFERROR(INDEX('G-8 Condition Look up'!$A$3:$H$131,MATCH(G221,'G-8 Condition Look up'!$A$3:$A$131,0),MATCH(K221,'G-8 Condition Look up'!$A$3:$H$3,0)),"")</f>
        <v/>
      </c>
      <c r="M221" s="186"/>
      <c r="N221" s="175" t="str">
        <f>IF(M221="","",IF(VLOOKUP(M221,'G-3 Multipliers'!$L$3:$N$6,2,FALSE)=0,"Spatial Data Missing",VLOOKUP(M221,'G-3 Multipliers'!$L$3:$N$6,2,FALSE)))</f>
        <v/>
      </c>
      <c r="O221" s="176" t="str">
        <f>IF(M221="","",IF(VLOOKUP(M221,'G-3 Multipliers'!$L$3:$N$6,3,FALSE)=0,"Spatial Data Missing",VLOOKUP(M221,'G-3 Multipliers'!$L$3:$N$6,3,FALSE)))</f>
        <v/>
      </c>
      <c r="P221" s="177" t="str">
        <f>IFERROR(VLOOKUP(G221,'G-1 All Habitats'!$B$2:$M$130,12,FALSE),"")</f>
        <v/>
      </c>
      <c r="Q221" s="81" t="str">
        <f>IFERROR(IF(P221="","",IF(AND(P221='G-1 All Habitats'!$X$3,T221&gt;0),U221+V221,IF(AND(P221='G-1 All Habitats'!$X$3,S221&gt;0),U221+V221,IF(AND(P221='G-1 All Habitats'!$X$3,AC221&gt;0),"Any Loss Unacceptable",IF(AND(P221='G-1 All Habitats'!$X$3,W221&gt;0),"Any Loss Unacceptable",H221*J221*L221*O221))))),"Check Data")</f>
        <v/>
      </c>
      <c r="R221" s="55"/>
      <c r="S221" s="79"/>
      <c r="T221" s="82"/>
      <c r="U221" s="83" t="str">
        <f t="shared" si="20"/>
        <v/>
      </c>
      <c r="V221" s="83" t="str">
        <f t="shared" si="21"/>
        <v/>
      </c>
      <c r="W221" s="83" t="str">
        <f>IF(E221="","",IF(H221&lt;S221+T221,"Error in Areas",IF(P221&lt;&gt;'G-1 All Habitats'!$X$3,H221-S221-T221,IF(AND(P221='G-1 All Habitats'!$X$3,Y221="Yes"),"Unacceptable Loss",IF(AND(P221='G-1 All Habitats'!$X$3,Y221="No"),AC221,IF(AND(P221='G-1 All Habitats'!$X$3,Y221=""),AC221,IF(AND(P221='G-1 All Habitats'!$X$3,AC221="None",AC221),IF(AND(P221='G-1 All Habitats'!$X$3,AC221&gt;0),H221-S221-T221))))))))</f>
        <v/>
      </c>
      <c r="X221" s="354" t="str">
        <f>IFERROR(IF(H221="","",IF(H221-S221-T221=0&lt;0,"Error in Areas",IF(S221+T221&gt;H221,"Error in Areas",IF(AND(P221='G-1 All Habitats'!$X$3,Y221="Yes"),"Alternative Compensation",IF(W221=0,0,IF(P221='G-1 All Habitats'!$X$3,"Unacceptable Loss",Q221-U221-V221)))))),"Check Data")</f>
        <v/>
      </c>
      <c r="Y221" s="82"/>
      <c r="Z221" s="182"/>
      <c r="AA221" s="183"/>
      <c r="AC221" s="371" t="str">
        <f>IF(P221="","",IF(P221='G-1 All Habitats'!$X$3,H221-S221-T221,"None"))</f>
        <v/>
      </c>
      <c r="AD221" s="372" t="str">
        <f t="shared" si="22"/>
        <v/>
      </c>
      <c r="AF221" s="188" t="str">
        <f t="shared" si="18"/>
        <v/>
      </c>
      <c r="AG221" s="188" t="str">
        <f t="shared" si="19"/>
        <v/>
      </c>
      <c r="AH221" s="188" t="str">
        <f>IF(I221="","",IF(#REF!&gt;0,TRUE,FALSE))</f>
        <v/>
      </c>
      <c r="AI221" s="188">
        <v>211</v>
      </c>
      <c r="AJ221" s="188"/>
      <c r="AK221" s="188" t="str">
        <f t="array" ref="AK221">IFERROR(INDEX($AI$11:$AI$259, MATCH(0, IF(TRUE=$AF$11:$AF$259, COUNTIF($AK$10:$AK220, $AI$11:$AI$259), ""), 0)),"")</f>
        <v/>
      </c>
      <c r="AL221" s="188" t="str">
        <f t="array" ref="AL221">IFERROR(INDEX($AI$11:$AI$259, MATCH(0, IF(TRUE=$AG$11:$AG$259, COUNTIF($AL$10:$AL220, $AI$11:$AI$259), ""), 0)),"")</f>
        <v/>
      </c>
      <c r="AM221" s="188" t="str">
        <f t="array" ref="AM221">IFERROR(INDEX($AI$11:$AI$259, MATCH(0, IF(TRUE=$AH$11:$AH$259, COUNTIF($AM$10:$AM220, $AI$11:$AI$259), ""), 0)),"")</f>
        <v/>
      </c>
      <c r="AQ221" s="35">
        <f t="shared" si="23"/>
        <v>0</v>
      </c>
    </row>
    <row r="222" spans="1:43" x14ac:dyDescent="0.25">
      <c r="A222" s="35" t="str">
        <f>IFERROR(INDEX('G-1 All Habitats'!$AG$3:$AG$15,MATCH(E222,'G-1 All Habitats'!$AF$3:$AF$15,0)),"")</f>
        <v/>
      </c>
      <c r="B222" s="35" t="str">
        <f>IFERROR(INDEX('G-8 Condition Look up'!$I$4:$I$131,MATCH(G222,'G-8 Condition Look up'!$A$4:$A$131,0)),"")</f>
        <v/>
      </c>
      <c r="D222" s="168">
        <v>212</v>
      </c>
      <c r="E222" s="275"/>
      <c r="F222" s="275"/>
      <c r="G222" s="370" t="str">
        <f>IFERROR(INDEX('G-1 All Habitats'!$B$3:$B$130,MATCH(F222,'G-1 All Habitats'!$A$3:$A$130,0)),"")</f>
        <v/>
      </c>
      <c r="H222" s="213"/>
      <c r="I222" s="171" t="str">
        <f>IF(G222="","",VLOOKUP(G222,'G-1 All Habitats'!$B$2:$M$130,10,FALSE))</f>
        <v/>
      </c>
      <c r="J222" s="172" t="str">
        <f>IFERROR(VLOOKUP(I222,'G-1 All Habitats'!$V$3:$W$7,2,FALSE),"")</f>
        <v/>
      </c>
      <c r="K222" s="173"/>
      <c r="L222" s="172" t="str">
        <f>IFERROR(INDEX('G-8 Condition Look up'!$A$3:$H$131,MATCH(G222,'G-8 Condition Look up'!$A$3:$A$131,0),MATCH(K222,'G-8 Condition Look up'!$A$3:$H$3,0)),"")</f>
        <v/>
      </c>
      <c r="M222" s="186"/>
      <c r="N222" s="175" t="str">
        <f>IF(M222="","",IF(VLOOKUP(M222,'G-3 Multipliers'!$L$3:$N$6,2,FALSE)=0,"Spatial Data Missing",VLOOKUP(M222,'G-3 Multipliers'!$L$3:$N$6,2,FALSE)))</f>
        <v/>
      </c>
      <c r="O222" s="176" t="str">
        <f>IF(M222="","",IF(VLOOKUP(M222,'G-3 Multipliers'!$L$3:$N$6,3,FALSE)=0,"Spatial Data Missing",VLOOKUP(M222,'G-3 Multipliers'!$L$3:$N$6,3,FALSE)))</f>
        <v/>
      </c>
      <c r="P222" s="177" t="str">
        <f>IFERROR(VLOOKUP(G222,'G-1 All Habitats'!$B$2:$M$130,12,FALSE),"")</f>
        <v/>
      </c>
      <c r="Q222" s="81" t="str">
        <f>IFERROR(IF(P222="","",IF(AND(P222='G-1 All Habitats'!$X$3,T222&gt;0),U222+V222,IF(AND(P222='G-1 All Habitats'!$X$3,S222&gt;0),U222+V222,IF(AND(P222='G-1 All Habitats'!$X$3,AC222&gt;0),"Any Loss Unacceptable",IF(AND(P222='G-1 All Habitats'!$X$3,W222&gt;0),"Any Loss Unacceptable",H222*J222*L222*O222))))),"Check Data")</f>
        <v/>
      </c>
      <c r="R222" s="55"/>
      <c r="S222" s="79"/>
      <c r="T222" s="82"/>
      <c r="U222" s="83" t="str">
        <f t="shared" si="20"/>
        <v/>
      </c>
      <c r="V222" s="83" t="str">
        <f t="shared" si="21"/>
        <v/>
      </c>
      <c r="W222" s="83" t="str">
        <f>IF(E222="","",IF(H222&lt;S222+T222,"Error in Areas",IF(P222&lt;&gt;'G-1 All Habitats'!$X$3,H222-S222-T222,IF(AND(P222='G-1 All Habitats'!$X$3,Y222="Yes"),"Unacceptable Loss",IF(AND(P222='G-1 All Habitats'!$X$3,Y222="No"),AC222,IF(AND(P222='G-1 All Habitats'!$X$3,Y222=""),AC222,IF(AND(P222='G-1 All Habitats'!$X$3,AC222="None",AC222),IF(AND(P222='G-1 All Habitats'!$X$3,AC222&gt;0),H222-S222-T222))))))))</f>
        <v/>
      </c>
      <c r="X222" s="354" t="str">
        <f>IFERROR(IF(H222="","",IF(H222-S222-T222=0&lt;0,"Error in Areas",IF(S222+T222&gt;H222,"Error in Areas",IF(AND(P222='G-1 All Habitats'!$X$3,Y222="Yes"),"Alternative Compensation",IF(W222=0,0,IF(P222='G-1 All Habitats'!$X$3,"Unacceptable Loss",Q222-U222-V222)))))),"Check Data")</f>
        <v/>
      </c>
      <c r="Y222" s="82"/>
      <c r="Z222" s="182"/>
      <c r="AA222" s="183"/>
      <c r="AC222" s="371" t="str">
        <f>IF(P222="","",IF(P222='G-1 All Habitats'!$X$3,H222-S222-T222,"None"))</f>
        <v/>
      </c>
      <c r="AD222" s="372" t="str">
        <f t="shared" si="22"/>
        <v/>
      </c>
      <c r="AF222" s="188" t="str">
        <f t="shared" si="18"/>
        <v/>
      </c>
      <c r="AG222" s="188" t="str">
        <f t="shared" si="19"/>
        <v/>
      </c>
      <c r="AH222" s="188" t="str">
        <f>IF(I222="","",IF(#REF!&gt;0,TRUE,FALSE))</f>
        <v/>
      </c>
      <c r="AI222" s="188">
        <v>212</v>
      </c>
      <c r="AJ222" s="188"/>
      <c r="AK222" s="188" t="str">
        <f t="array" ref="AK222">IFERROR(INDEX($AI$11:$AI$259, MATCH(0, IF(TRUE=$AF$11:$AF$259, COUNTIF($AK$10:$AK221, $AI$11:$AI$259), ""), 0)),"")</f>
        <v/>
      </c>
      <c r="AL222" s="188" t="str">
        <f t="array" ref="AL222">IFERROR(INDEX($AI$11:$AI$259, MATCH(0, IF(TRUE=$AG$11:$AG$259, COUNTIF($AL$10:$AL221, $AI$11:$AI$259), ""), 0)),"")</f>
        <v/>
      </c>
      <c r="AM222" s="188" t="str">
        <f t="array" ref="AM222">IFERROR(INDEX($AI$11:$AI$259, MATCH(0, IF(TRUE=$AH$11:$AH$259, COUNTIF($AM$10:$AM221, $AI$11:$AI$259), ""), 0)),"")</f>
        <v/>
      </c>
      <c r="AQ222" s="35">
        <f t="shared" si="23"/>
        <v>0</v>
      </c>
    </row>
    <row r="223" spans="1:43" x14ac:dyDescent="0.25">
      <c r="A223" s="35" t="str">
        <f>IFERROR(INDEX('G-1 All Habitats'!$AG$3:$AG$15,MATCH(E223,'G-1 All Habitats'!$AF$3:$AF$15,0)),"")</f>
        <v/>
      </c>
      <c r="B223" s="35" t="str">
        <f>IFERROR(INDEX('G-8 Condition Look up'!$I$4:$I$131,MATCH(G223,'G-8 Condition Look up'!$A$4:$A$131,0)),"")</f>
        <v/>
      </c>
      <c r="D223" s="168">
        <v>213</v>
      </c>
      <c r="E223" s="275"/>
      <c r="F223" s="275"/>
      <c r="G223" s="370" t="str">
        <f>IFERROR(INDEX('G-1 All Habitats'!$B$3:$B$130,MATCH(F223,'G-1 All Habitats'!$A$3:$A$130,0)),"")</f>
        <v/>
      </c>
      <c r="H223" s="213"/>
      <c r="I223" s="171" t="str">
        <f>IF(G223="","",VLOOKUP(G223,'G-1 All Habitats'!$B$2:$M$130,10,FALSE))</f>
        <v/>
      </c>
      <c r="J223" s="172" t="str">
        <f>IFERROR(VLOOKUP(I223,'G-1 All Habitats'!$V$3:$W$7,2,FALSE),"")</f>
        <v/>
      </c>
      <c r="K223" s="173"/>
      <c r="L223" s="172" t="str">
        <f>IFERROR(INDEX('G-8 Condition Look up'!$A$3:$H$131,MATCH(G223,'G-8 Condition Look up'!$A$3:$A$131,0),MATCH(K223,'G-8 Condition Look up'!$A$3:$H$3,0)),"")</f>
        <v/>
      </c>
      <c r="M223" s="186"/>
      <c r="N223" s="175" t="str">
        <f>IF(M223="","",IF(VLOOKUP(M223,'G-3 Multipliers'!$L$3:$N$6,2,FALSE)=0,"Spatial Data Missing",VLOOKUP(M223,'G-3 Multipliers'!$L$3:$N$6,2,FALSE)))</f>
        <v/>
      </c>
      <c r="O223" s="176" t="str">
        <f>IF(M223="","",IF(VLOOKUP(M223,'G-3 Multipliers'!$L$3:$N$6,3,FALSE)=0,"Spatial Data Missing",VLOOKUP(M223,'G-3 Multipliers'!$L$3:$N$6,3,FALSE)))</f>
        <v/>
      </c>
      <c r="P223" s="177" t="str">
        <f>IFERROR(VLOOKUP(G223,'G-1 All Habitats'!$B$2:$M$130,12,FALSE),"")</f>
        <v/>
      </c>
      <c r="Q223" s="81" t="str">
        <f>IFERROR(IF(P223="","",IF(AND(P223='G-1 All Habitats'!$X$3,T223&gt;0),U223+V223,IF(AND(P223='G-1 All Habitats'!$X$3,S223&gt;0),U223+V223,IF(AND(P223='G-1 All Habitats'!$X$3,AC223&gt;0),"Any Loss Unacceptable",IF(AND(P223='G-1 All Habitats'!$X$3,W223&gt;0),"Any Loss Unacceptable",H223*J223*L223*O223))))),"Check Data")</f>
        <v/>
      </c>
      <c r="R223" s="55"/>
      <c r="S223" s="79"/>
      <c r="T223" s="82"/>
      <c r="U223" s="83" t="str">
        <f t="shared" si="20"/>
        <v/>
      </c>
      <c r="V223" s="83" t="str">
        <f t="shared" si="21"/>
        <v/>
      </c>
      <c r="W223" s="83" t="str">
        <f>IF(E223="","",IF(H223&lt;S223+T223,"Error in Areas",IF(P223&lt;&gt;'G-1 All Habitats'!$X$3,H223-S223-T223,IF(AND(P223='G-1 All Habitats'!$X$3,Y223="Yes"),"Unacceptable Loss",IF(AND(P223='G-1 All Habitats'!$X$3,Y223="No"),AC223,IF(AND(P223='G-1 All Habitats'!$X$3,Y223=""),AC223,IF(AND(P223='G-1 All Habitats'!$X$3,AC223="None",AC223),IF(AND(P223='G-1 All Habitats'!$X$3,AC223&gt;0),H223-S223-T223))))))))</f>
        <v/>
      </c>
      <c r="X223" s="354" t="str">
        <f>IFERROR(IF(H223="","",IF(H223-S223-T223=0&lt;0,"Error in Areas",IF(S223+T223&gt;H223,"Error in Areas",IF(AND(P223='G-1 All Habitats'!$X$3,Y223="Yes"),"Alternative Compensation",IF(W223=0,0,IF(P223='G-1 All Habitats'!$X$3,"Unacceptable Loss",Q223-U223-V223)))))),"Check Data")</f>
        <v/>
      </c>
      <c r="Y223" s="82"/>
      <c r="Z223" s="182"/>
      <c r="AA223" s="183"/>
      <c r="AC223" s="371" t="str">
        <f>IF(P223="","",IF(P223='G-1 All Habitats'!$X$3,H223-S223-T223,"None"))</f>
        <v/>
      </c>
      <c r="AD223" s="372" t="str">
        <f t="shared" si="22"/>
        <v/>
      </c>
      <c r="AF223" s="188" t="str">
        <f t="shared" si="18"/>
        <v/>
      </c>
      <c r="AG223" s="188" t="str">
        <f t="shared" si="19"/>
        <v/>
      </c>
      <c r="AH223" s="188" t="str">
        <f>IF(I223="","",IF(#REF!&gt;0,TRUE,FALSE))</f>
        <v/>
      </c>
      <c r="AI223" s="188">
        <v>213</v>
      </c>
      <c r="AJ223" s="188"/>
      <c r="AK223" s="188" t="str">
        <f t="array" ref="AK223">IFERROR(INDEX($AI$11:$AI$259, MATCH(0, IF(TRUE=$AF$11:$AF$259, COUNTIF($AK$10:$AK222, $AI$11:$AI$259), ""), 0)),"")</f>
        <v/>
      </c>
      <c r="AL223" s="188" t="str">
        <f t="array" ref="AL223">IFERROR(INDEX($AI$11:$AI$259, MATCH(0, IF(TRUE=$AG$11:$AG$259, COUNTIF($AL$10:$AL222, $AI$11:$AI$259), ""), 0)),"")</f>
        <v/>
      </c>
      <c r="AM223" s="188" t="str">
        <f t="array" ref="AM223">IFERROR(INDEX($AI$11:$AI$259, MATCH(0, IF(TRUE=$AH$11:$AH$259, COUNTIF($AM$10:$AM222, $AI$11:$AI$259), ""), 0)),"")</f>
        <v/>
      </c>
      <c r="AQ223" s="35">
        <f t="shared" si="23"/>
        <v>0</v>
      </c>
    </row>
    <row r="224" spans="1:43" x14ac:dyDescent="0.25">
      <c r="A224" s="35" t="str">
        <f>IFERROR(INDEX('G-1 All Habitats'!$AG$3:$AG$15,MATCH(E224,'G-1 All Habitats'!$AF$3:$AF$15,0)),"")</f>
        <v/>
      </c>
      <c r="B224" s="35" t="str">
        <f>IFERROR(INDEX('G-8 Condition Look up'!$I$4:$I$131,MATCH(G224,'G-8 Condition Look up'!$A$4:$A$131,0)),"")</f>
        <v/>
      </c>
      <c r="D224" s="168">
        <v>214</v>
      </c>
      <c r="E224" s="275"/>
      <c r="F224" s="275"/>
      <c r="G224" s="370" t="str">
        <f>IFERROR(INDEX('G-1 All Habitats'!$B$3:$B$130,MATCH(F224,'G-1 All Habitats'!$A$3:$A$130,0)),"")</f>
        <v/>
      </c>
      <c r="H224" s="213"/>
      <c r="I224" s="171" t="str">
        <f>IF(G224="","",VLOOKUP(G224,'G-1 All Habitats'!$B$2:$M$130,10,FALSE))</f>
        <v/>
      </c>
      <c r="J224" s="172" t="str">
        <f>IFERROR(VLOOKUP(I224,'G-1 All Habitats'!$V$3:$W$7,2,FALSE),"")</f>
        <v/>
      </c>
      <c r="K224" s="173"/>
      <c r="L224" s="172" t="str">
        <f>IFERROR(INDEX('G-8 Condition Look up'!$A$3:$H$131,MATCH(G224,'G-8 Condition Look up'!$A$3:$A$131,0),MATCH(K224,'G-8 Condition Look up'!$A$3:$H$3,0)),"")</f>
        <v/>
      </c>
      <c r="M224" s="186"/>
      <c r="N224" s="175" t="str">
        <f>IF(M224="","",IF(VLOOKUP(M224,'G-3 Multipliers'!$L$3:$N$6,2,FALSE)=0,"Spatial Data Missing",VLOOKUP(M224,'G-3 Multipliers'!$L$3:$N$6,2,FALSE)))</f>
        <v/>
      </c>
      <c r="O224" s="176" t="str">
        <f>IF(M224="","",IF(VLOOKUP(M224,'G-3 Multipliers'!$L$3:$N$6,3,FALSE)=0,"Spatial Data Missing",VLOOKUP(M224,'G-3 Multipliers'!$L$3:$N$6,3,FALSE)))</f>
        <v/>
      </c>
      <c r="P224" s="177" t="str">
        <f>IFERROR(VLOOKUP(G224,'G-1 All Habitats'!$B$2:$M$130,12,FALSE),"")</f>
        <v/>
      </c>
      <c r="Q224" s="81" t="str">
        <f>IFERROR(IF(P224="","",IF(AND(P224='G-1 All Habitats'!$X$3,T224&gt;0),U224+V224,IF(AND(P224='G-1 All Habitats'!$X$3,S224&gt;0),U224+V224,IF(AND(P224='G-1 All Habitats'!$X$3,AC224&gt;0),"Any Loss Unacceptable",IF(AND(P224='G-1 All Habitats'!$X$3,W224&gt;0),"Any Loss Unacceptable",H224*J224*L224*O224))))),"Check Data")</f>
        <v/>
      </c>
      <c r="R224" s="55"/>
      <c r="S224" s="79"/>
      <c r="T224" s="82"/>
      <c r="U224" s="83" t="str">
        <f t="shared" si="20"/>
        <v/>
      </c>
      <c r="V224" s="83" t="str">
        <f t="shared" si="21"/>
        <v/>
      </c>
      <c r="W224" s="83" t="str">
        <f>IF(E224="","",IF(H224&lt;S224+T224,"Error in Areas",IF(P224&lt;&gt;'G-1 All Habitats'!$X$3,H224-S224-T224,IF(AND(P224='G-1 All Habitats'!$X$3,Y224="Yes"),"Unacceptable Loss",IF(AND(P224='G-1 All Habitats'!$X$3,Y224="No"),AC224,IF(AND(P224='G-1 All Habitats'!$X$3,Y224=""),AC224,IF(AND(P224='G-1 All Habitats'!$X$3,AC224="None",AC224),IF(AND(P224='G-1 All Habitats'!$X$3,AC224&gt;0),H224-S224-T224))))))))</f>
        <v/>
      </c>
      <c r="X224" s="354" t="str">
        <f>IFERROR(IF(H224="","",IF(H224-S224-T224=0&lt;0,"Error in Areas",IF(S224+T224&gt;H224,"Error in Areas",IF(AND(P224='G-1 All Habitats'!$X$3,Y224="Yes"),"Alternative Compensation",IF(W224=0,0,IF(P224='G-1 All Habitats'!$X$3,"Unacceptable Loss",Q224-U224-V224)))))),"Check Data")</f>
        <v/>
      </c>
      <c r="Y224" s="82"/>
      <c r="Z224" s="182"/>
      <c r="AA224" s="183"/>
      <c r="AC224" s="371" t="str">
        <f>IF(P224="","",IF(P224='G-1 All Habitats'!$X$3,H224-S224-T224,"None"))</f>
        <v/>
      </c>
      <c r="AD224" s="372" t="str">
        <f t="shared" si="22"/>
        <v/>
      </c>
      <c r="AF224" s="188" t="str">
        <f t="shared" si="18"/>
        <v/>
      </c>
      <c r="AG224" s="188" t="str">
        <f t="shared" si="19"/>
        <v/>
      </c>
      <c r="AH224" s="188" t="str">
        <f>IF(I224="","",IF(#REF!&gt;0,TRUE,FALSE))</f>
        <v/>
      </c>
      <c r="AI224" s="188">
        <v>214</v>
      </c>
      <c r="AJ224" s="188"/>
      <c r="AK224" s="188" t="str">
        <f t="array" ref="AK224">IFERROR(INDEX($AI$11:$AI$259, MATCH(0, IF(TRUE=$AF$11:$AF$259, COUNTIF($AK$10:$AK223, $AI$11:$AI$259), ""), 0)),"")</f>
        <v/>
      </c>
      <c r="AL224" s="188" t="str">
        <f t="array" ref="AL224">IFERROR(INDEX($AI$11:$AI$259, MATCH(0, IF(TRUE=$AG$11:$AG$259, COUNTIF($AL$10:$AL223, $AI$11:$AI$259), ""), 0)),"")</f>
        <v/>
      </c>
      <c r="AM224" s="188" t="str">
        <f t="array" ref="AM224">IFERROR(INDEX($AI$11:$AI$259, MATCH(0, IF(TRUE=$AH$11:$AH$259, COUNTIF($AM$10:$AM223, $AI$11:$AI$259), ""), 0)),"")</f>
        <v/>
      </c>
      <c r="AQ224" s="35">
        <f t="shared" si="23"/>
        <v>0</v>
      </c>
    </row>
    <row r="225" spans="1:43" x14ac:dyDescent="0.25">
      <c r="A225" s="35" t="str">
        <f>IFERROR(INDEX('G-1 All Habitats'!$AG$3:$AG$15,MATCH(E225,'G-1 All Habitats'!$AF$3:$AF$15,0)),"")</f>
        <v/>
      </c>
      <c r="B225" s="35" t="str">
        <f>IFERROR(INDEX('G-8 Condition Look up'!$I$4:$I$131,MATCH(G225,'G-8 Condition Look up'!$A$4:$A$131,0)),"")</f>
        <v/>
      </c>
      <c r="D225" s="168">
        <v>215</v>
      </c>
      <c r="E225" s="275"/>
      <c r="F225" s="275"/>
      <c r="G225" s="370" t="str">
        <f>IFERROR(INDEX('G-1 All Habitats'!$B$3:$B$130,MATCH(F225,'G-1 All Habitats'!$A$3:$A$130,0)),"")</f>
        <v/>
      </c>
      <c r="H225" s="213"/>
      <c r="I225" s="171" t="str">
        <f>IF(G225="","",VLOOKUP(G225,'G-1 All Habitats'!$B$2:$M$130,10,FALSE))</f>
        <v/>
      </c>
      <c r="J225" s="172" t="str">
        <f>IFERROR(VLOOKUP(I225,'G-1 All Habitats'!$V$3:$W$7,2,FALSE),"")</f>
        <v/>
      </c>
      <c r="K225" s="173"/>
      <c r="L225" s="172" t="str">
        <f>IFERROR(INDEX('G-8 Condition Look up'!$A$3:$H$131,MATCH(G225,'G-8 Condition Look up'!$A$3:$A$131,0),MATCH(K225,'G-8 Condition Look up'!$A$3:$H$3,0)),"")</f>
        <v/>
      </c>
      <c r="M225" s="186"/>
      <c r="N225" s="175" t="str">
        <f>IF(M225="","",IF(VLOOKUP(M225,'G-3 Multipliers'!$L$3:$N$6,2,FALSE)=0,"Spatial Data Missing",VLOOKUP(M225,'G-3 Multipliers'!$L$3:$N$6,2,FALSE)))</f>
        <v/>
      </c>
      <c r="O225" s="176" t="str">
        <f>IF(M225="","",IF(VLOOKUP(M225,'G-3 Multipliers'!$L$3:$N$6,3,FALSE)=0,"Spatial Data Missing",VLOOKUP(M225,'G-3 Multipliers'!$L$3:$N$6,3,FALSE)))</f>
        <v/>
      </c>
      <c r="P225" s="177" t="str">
        <f>IFERROR(VLOOKUP(G225,'G-1 All Habitats'!$B$2:$M$130,12,FALSE),"")</f>
        <v/>
      </c>
      <c r="Q225" s="81" t="str">
        <f>IFERROR(IF(P225="","",IF(AND(P225='G-1 All Habitats'!$X$3,T225&gt;0),U225+V225,IF(AND(P225='G-1 All Habitats'!$X$3,S225&gt;0),U225+V225,IF(AND(P225='G-1 All Habitats'!$X$3,AC225&gt;0),"Any Loss Unacceptable",IF(AND(P225='G-1 All Habitats'!$X$3,W225&gt;0),"Any Loss Unacceptable",H225*J225*L225*O225))))),"Check Data")</f>
        <v/>
      </c>
      <c r="R225" s="55"/>
      <c r="S225" s="79"/>
      <c r="T225" s="82"/>
      <c r="U225" s="83" t="str">
        <f t="shared" si="20"/>
        <v/>
      </c>
      <c r="V225" s="83" t="str">
        <f t="shared" si="21"/>
        <v/>
      </c>
      <c r="W225" s="83" t="str">
        <f>IF(E225="","",IF(H225&lt;S225+T225,"Error in Areas",IF(P225&lt;&gt;'G-1 All Habitats'!$X$3,H225-S225-T225,IF(AND(P225='G-1 All Habitats'!$X$3,Y225="Yes"),"Unacceptable Loss",IF(AND(P225='G-1 All Habitats'!$X$3,Y225="No"),AC225,IF(AND(P225='G-1 All Habitats'!$X$3,Y225=""),AC225,IF(AND(P225='G-1 All Habitats'!$X$3,AC225="None",AC225),IF(AND(P225='G-1 All Habitats'!$X$3,AC225&gt;0),H225-S225-T225))))))))</f>
        <v/>
      </c>
      <c r="X225" s="354" t="str">
        <f>IFERROR(IF(H225="","",IF(H225-S225-T225=0&lt;0,"Error in Areas",IF(S225+T225&gt;H225,"Error in Areas",IF(AND(P225='G-1 All Habitats'!$X$3,Y225="Yes"),"Alternative Compensation",IF(W225=0,0,IF(P225='G-1 All Habitats'!$X$3,"Unacceptable Loss",Q225-U225-V225)))))),"Check Data")</f>
        <v/>
      </c>
      <c r="Y225" s="82"/>
      <c r="Z225" s="182"/>
      <c r="AA225" s="183"/>
      <c r="AC225" s="371" t="str">
        <f>IF(P225="","",IF(P225='G-1 All Habitats'!$X$3,H225-S225-T225,"None"))</f>
        <v/>
      </c>
      <c r="AD225" s="372" t="str">
        <f t="shared" si="22"/>
        <v/>
      </c>
      <c r="AF225" s="188" t="str">
        <f t="shared" si="18"/>
        <v/>
      </c>
      <c r="AG225" s="188" t="str">
        <f t="shared" si="19"/>
        <v/>
      </c>
      <c r="AH225" s="188" t="str">
        <f>IF(I225="","",IF(#REF!&gt;0,TRUE,FALSE))</f>
        <v/>
      </c>
      <c r="AI225" s="188">
        <v>215</v>
      </c>
      <c r="AJ225" s="188"/>
      <c r="AK225" s="188" t="str">
        <f t="array" ref="AK225">IFERROR(INDEX($AI$11:$AI$259, MATCH(0, IF(TRUE=$AF$11:$AF$259, COUNTIF($AK$10:$AK224, $AI$11:$AI$259), ""), 0)),"")</f>
        <v/>
      </c>
      <c r="AL225" s="188" t="str">
        <f t="array" ref="AL225">IFERROR(INDEX($AI$11:$AI$259, MATCH(0, IF(TRUE=$AG$11:$AG$259, COUNTIF($AL$10:$AL224, $AI$11:$AI$259), ""), 0)),"")</f>
        <v/>
      </c>
      <c r="AM225" s="188" t="str">
        <f t="array" ref="AM225">IFERROR(INDEX($AI$11:$AI$259, MATCH(0, IF(TRUE=$AH$11:$AH$259, COUNTIF($AM$10:$AM224, $AI$11:$AI$259), ""), 0)),"")</f>
        <v/>
      </c>
      <c r="AQ225" s="35">
        <f t="shared" si="23"/>
        <v>0</v>
      </c>
    </row>
    <row r="226" spans="1:43" x14ac:dyDescent="0.25">
      <c r="A226" s="35" t="str">
        <f>IFERROR(INDEX('G-1 All Habitats'!$AG$3:$AG$15,MATCH(E226,'G-1 All Habitats'!$AF$3:$AF$15,0)),"")</f>
        <v/>
      </c>
      <c r="B226" s="35" t="str">
        <f>IFERROR(INDEX('G-8 Condition Look up'!$I$4:$I$131,MATCH(G226,'G-8 Condition Look up'!$A$4:$A$131,0)),"")</f>
        <v/>
      </c>
      <c r="D226" s="168">
        <v>216</v>
      </c>
      <c r="E226" s="275"/>
      <c r="F226" s="275"/>
      <c r="G226" s="370" t="str">
        <f>IFERROR(INDEX('G-1 All Habitats'!$B$3:$B$130,MATCH(F226,'G-1 All Habitats'!$A$3:$A$130,0)),"")</f>
        <v/>
      </c>
      <c r="H226" s="213"/>
      <c r="I226" s="171" t="str">
        <f>IF(G226="","",VLOOKUP(G226,'G-1 All Habitats'!$B$2:$M$130,10,FALSE))</f>
        <v/>
      </c>
      <c r="J226" s="172" t="str">
        <f>IFERROR(VLOOKUP(I226,'G-1 All Habitats'!$V$3:$W$7,2,FALSE),"")</f>
        <v/>
      </c>
      <c r="K226" s="173"/>
      <c r="L226" s="172" t="str">
        <f>IFERROR(INDEX('G-8 Condition Look up'!$A$3:$H$131,MATCH(G226,'G-8 Condition Look up'!$A$3:$A$131,0),MATCH(K226,'G-8 Condition Look up'!$A$3:$H$3,0)),"")</f>
        <v/>
      </c>
      <c r="M226" s="186"/>
      <c r="N226" s="175" t="str">
        <f>IF(M226="","",IF(VLOOKUP(M226,'G-3 Multipliers'!$L$3:$N$6,2,FALSE)=0,"Spatial Data Missing",VLOOKUP(M226,'G-3 Multipliers'!$L$3:$N$6,2,FALSE)))</f>
        <v/>
      </c>
      <c r="O226" s="176" t="str">
        <f>IF(M226="","",IF(VLOOKUP(M226,'G-3 Multipliers'!$L$3:$N$6,3,FALSE)=0,"Spatial Data Missing",VLOOKUP(M226,'G-3 Multipliers'!$L$3:$N$6,3,FALSE)))</f>
        <v/>
      </c>
      <c r="P226" s="177" t="str">
        <f>IFERROR(VLOOKUP(G226,'G-1 All Habitats'!$B$2:$M$130,12,FALSE),"")</f>
        <v/>
      </c>
      <c r="Q226" s="81" t="str">
        <f>IFERROR(IF(P226="","",IF(AND(P226='G-1 All Habitats'!$X$3,T226&gt;0),U226+V226,IF(AND(P226='G-1 All Habitats'!$X$3,S226&gt;0),U226+V226,IF(AND(P226='G-1 All Habitats'!$X$3,AC226&gt;0),"Any Loss Unacceptable",IF(AND(P226='G-1 All Habitats'!$X$3,W226&gt;0),"Any Loss Unacceptable",H226*J226*L226*O226))))),"Check Data")</f>
        <v/>
      </c>
      <c r="R226" s="55"/>
      <c r="S226" s="79"/>
      <c r="T226" s="82"/>
      <c r="U226" s="83" t="str">
        <f t="shared" si="20"/>
        <v/>
      </c>
      <c r="V226" s="83" t="str">
        <f t="shared" si="21"/>
        <v/>
      </c>
      <c r="W226" s="83" t="str">
        <f>IF(E226="","",IF(H226&lt;S226+T226,"Error in Areas",IF(P226&lt;&gt;'G-1 All Habitats'!$X$3,H226-S226-T226,IF(AND(P226='G-1 All Habitats'!$X$3,Y226="Yes"),"Unacceptable Loss",IF(AND(P226='G-1 All Habitats'!$X$3,Y226="No"),AC226,IF(AND(P226='G-1 All Habitats'!$X$3,Y226=""),AC226,IF(AND(P226='G-1 All Habitats'!$X$3,AC226="None",AC226),IF(AND(P226='G-1 All Habitats'!$X$3,AC226&gt;0),H226-S226-T226))))))))</f>
        <v/>
      </c>
      <c r="X226" s="354" t="str">
        <f>IFERROR(IF(H226="","",IF(H226-S226-T226=0&lt;0,"Error in Areas",IF(S226+T226&gt;H226,"Error in Areas",IF(AND(P226='G-1 All Habitats'!$X$3,Y226="Yes"),"Alternative Compensation",IF(W226=0,0,IF(P226='G-1 All Habitats'!$X$3,"Unacceptable Loss",Q226-U226-V226)))))),"Check Data")</f>
        <v/>
      </c>
      <c r="Y226" s="82"/>
      <c r="Z226" s="182"/>
      <c r="AA226" s="183"/>
      <c r="AC226" s="371" t="str">
        <f>IF(P226="","",IF(P226='G-1 All Habitats'!$X$3,H226-S226-T226,"None"))</f>
        <v/>
      </c>
      <c r="AD226" s="372" t="str">
        <f t="shared" si="22"/>
        <v/>
      </c>
      <c r="AF226" s="188" t="str">
        <f t="shared" si="18"/>
        <v/>
      </c>
      <c r="AG226" s="188" t="str">
        <f t="shared" si="19"/>
        <v/>
      </c>
      <c r="AH226" s="188" t="str">
        <f>IF(I226="","",IF(#REF!&gt;0,TRUE,FALSE))</f>
        <v/>
      </c>
      <c r="AI226" s="188">
        <v>216</v>
      </c>
      <c r="AJ226" s="188"/>
      <c r="AK226" s="188" t="str">
        <f t="array" ref="AK226">IFERROR(INDEX($AI$11:$AI$259, MATCH(0, IF(TRUE=$AF$11:$AF$259, COUNTIF($AK$10:$AK225, $AI$11:$AI$259), ""), 0)),"")</f>
        <v/>
      </c>
      <c r="AL226" s="188" t="str">
        <f t="array" ref="AL226">IFERROR(INDEX($AI$11:$AI$259, MATCH(0, IF(TRUE=$AG$11:$AG$259, COUNTIF($AL$10:$AL225, $AI$11:$AI$259), ""), 0)),"")</f>
        <v/>
      </c>
      <c r="AM226" s="188" t="str">
        <f t="array" ref="AM226">IFERROR(INDEX($AI$11:$AI$259, MATCH(0, IF(TRUE=$AH$11:$AH$259, COUNTIF($AM$10:$AM225, $AI$11:$AI$259), ""), 0)),"")</f>
        <v/>
      </c>
      <c r="AQ226" s="35">
        <f t="shared" si="23"/>
        <v>0</v>
      </c>
    </row>
    <row r="227" spans="1:43" x14ac:dyDescent="0.25">
      <c r="A227" s="35" t="str">
        <f>IFERROR(INDEX('G-1 All Habitats'!$AG$3:$AG$15,MATCH(E227,'G-1 All Habitats'!$AF$3:$AF$15,0)),"")</f>
        <v/>
      </c>
      <c r="B227" s="35" t="str">
        <f>IFERROR(INDEX('G-8 Condition Look up'!$I$4:$I$131,MATCH(G227,'G-8 Condition Look up'!$A$4:$A$131,0)),"")</f>
        <v/>
      </c>
      <c r="D227" s="168">
        <v>217</v>
      </c>
      <c r="E227" s="275"/>
      <c r="F227" s="275"/>
      <c r="G227" s="370" t="str">
        <f>IFERROR(INDEX('G-1 All Habitats'!$B$3:$B$130,MATCH(F227,'G-1 All Habitats'!$A$3:$A$130,0)),"")</f>
        <v/>
      </c>
      <c r="H227" s="213"/>
      <c r="I227" s="171" t="str">
        <f>IF(G227="","",VLOOKUP(G227,'G-1 All Habitats'!$B$2:$M$130,10,FALSE))</f>
        <v/>
      </c>
      <c r="J227" s="172" t="str">
        <f>IFERROR(VLOOKUP(I227,'G-1 All Habitats'!$V$3:$W$7,2,FALSE),"")</f>
        <v/>
      </c>
      <c r="K227" s="173"/>
      <c r="L227" s="172" t="str">
        <f>IFERROR(INDEX('G-8 Condition Look up'!$A$3:$H$131,MATCH(G227,'G-8 Condition Look up'!$A$3:$A$131,0),MATCH(K227,'G-8 Condition Look up'!$A$3:$H$3,0)),"")</f>
        <v/>
      </c>
      <c r="M227" s="186"/>
      <c r="N227" s="175" t="str">
        <f>IF(M227="","",IF(VLOOKUP(M227,'G-3 Multipliers'!$L$3:$N$6,2,FALSE)=0,"Spatial Data Missing",VLOOKUP(M227,'G-3 Multipliers'!$L$3:$N$6,2,FALSE)))</f>
        <v/>
      </c>
      <c r="O227" s="176" t="str">
        <f>IF(M227="","",IF(VLOOKUP(M227,'G-3 Multipliers'!$L$3:$N$6,3,FALSE)=0,"Spatial Data Missing",VLOOKUP(M227,'G-3 Multipliers'!$L$3:$N$6,3,FALSE)))</f>
        <v/>
      </c>
      <c r="P227" s="177" t="str">
        <f>IFERROR(VLOOKUP(G227,'G-1 All Habitats'!$B$2:$M$130,12,FALSE),"")</f>
        <v/>
      </c>
      <c r="Q227" s="81" t="str">
        <f>IFERROR(IF(P227="","",IF(AND(P227='G-1 All Habitats'!$X$3,T227&gt;0),U227+V227,IF(AND(P227='G-1 All Habitats'!$X$3,S227&gt;0),U227+V227,IF(AND(P227='G-1 All Habitats'!$X$3,AC227&gt;0),"Any Loss Unacceptable",IF(AND(P227='G-1 All Habitats'!$X$3,W227&gt;0),"Any Loss Unacceptable",H227*J227*L227*O227))))),"Check Data")</f>
        <v/>
      </c>
      <c r="R227" s="55"/>
      <c r="S227" s="79"/>
      <c r="T227" s="82"/>
      <c r="U227" s="83" t="str">
        <f t="shared" si="20"/>
        <v/>
      </c>
      <c r="V227" s="83" t="str">
        <f t="shared" si="21"/>
        <v/>
      </c>
      <c r="W227" s="83" t="str">
        <f>IF(E227="","",IF(H227&lt;S227+T227,"Error in Areas",IF(P227&lt;&gt;'G-1 All Habitats'!$X$3,H227-S227-T227,IF(AND(P227='G-1 All Habitats'!$X$3,Y227="Yes"),"Unacceptable Loss",IF(AND(P227='G-1 All Habitats'!$X$3,Y227="No"),AC227,IF(AND(P227='G-1 All Habitats'!$X$3,Y227=""),AC227,IF(AND(P227='G-1 All Habitats'!$X$3,AC227="None",AC227),IF(AND(P227='G-1 All Habitats'!$X$3,AC227&gt;0),H227-S227-T227))))))))</f>
        <v/>
      </c>
      <c r="X227" s="354" t="str">
        <f>IFERROR(IF(H227="","",IF(H227-S227-T227=0&lt;0,"Error in Areas",IF(S227+T227&gt;H227,"Error in Areas",IF(AND(P227='G-1 All Habitats'!$X$3,Y227="Yes"),"Alternative Compensation",IF(W227=0,0,IF(P227='G-1 All Habitats'!$X$3,"Unacceptable Loss",Q227-U227-V227)))))),"Check Data")</f>
        <v/>
      </c>
      <c r="Y227" s="82"/>
      <c r="Z227" s="182"/>
      <c r="AA227" s="183"/>
      <c r="AC227" s="371" t="str">
        <f>IF(P227="","",IF(P227='G-1 All Habitats'!$X$3,H227-S227-T227,"None"))</f>
        <v/>
      </c>
      <c r="AD227" s="372" t="str">
        <f t="shared" si="22"/>
        <v/>
      </c>
      <c r="AF227" s="188" t="str">
        <f t="shared" si="18"/>
        <v/>
      </c>
      <c r="AG227" s="188" t="str">
        <f t="shared" si="19"/>
        <v/>
      </c>
      <c r="AH227" s="188" t="str">
        <f>IF(I227="","",IF(#REF!&gt;0,TRUE,FALSE))</f>
        <v/>
      </c>
      <c r="AI227" s="188">
        <v>217</v>
      </c>
      <c r="AJ227" s="188"/>
      <c r="AK227" s="188" t="str">
        <f t="array" ref="AK227">IFERROR(INDEX($AI$11:$AI$259, MATCH(0, IF(TRUE=$AF$11:$AF$259, COUNTIF($AK$10:$AK226, $AI$11:$AI$259), ""), 0)),"")</f>
        <v/>
      </c>
      <c r="AL227" s="188" t="str">
        <f t="array" ref="AL227">IFERROR(INDEX($AI$11:$AI$259, MATCH(0, IF(TRUE=$AG$11:$AG$259, COUNTIF($AL$10:$AL226, $AI$11:$AI$259), ""), 0)),"")</f>
        <v/>
      </c>
      <c r="AM227" s="188" t="str">
        <f t="array" ref="AM227">IFERROR(INDEX($AI$11:$AI$259, MATCH(0, IF(TRUE=$AH$11:$AH$259, COUNTIF($AM$10:$AM226, $AI$11:$AI$259), ""), 0)),"")</f>
        <v/>
      </c>
      <c r="AQ227" s="35">
        <f t="shared" si="23"/>
        <v>0</v>
      </c>
    </row>
    <row r="228" spans="1:43" x14ac:dyDescent="0.25">
      <c r="A228" s="35" t="str">
        <f>IFERROR(INDEX('G-1 All Habitats'!$AG$3:$AG$15,MATCH(E228,'G-1 All Habitats'!$AF$3:$AF$15,0)),"")</f>
        <v/>
      </c>
      <c r="B228" s="35" t="str">
        <f>IFERROR(INDEX('G-8 Condition Look up'!$I$4:$I$131,MATCH(G228,'G-8 Condition Look up'!$A$4:$A$131,0)),"")</f>
        <v/>
      </c>
      <c r="D228" s="168">
        <v>218</v>
      </c>
      <c r="E228" s="275"/>
      <c r="F228" s="275"/>
      <c r="G228" s="370" t="str">
        <f>IFERROR(INDEX('G-1 All Habitats'!$B$3:$B$130,MATCH(F228,'G-1 All Habitats'!$A$3:$A$130,0)),"")</f>
        <v/>
      </c>
      <c r="H228" s="213"/>
      <c r="I228" s="171" t="str">
        <f>IF(G228="","",VLOOKUP(G228,'G-1 All Habitats'!$B$2:$M$130,10,FALSE))</f>
        <v/>
      </c>
      <c r="J228" s="172" t="str">
        <f>IFERROR(VLOOKUP(I228,'G-1 All Habitats'!$V$3:$W$7,2,FALSE),"")</f>
        <v/>
      </c>
      <c r="K228" s="173"/>
      <c r="L228" s="172" t="str">
        <f>IFERROR(INDEX('G-8 Condition Look up'!$A$3:$H$131,MATCH(G228,'G-8 Condition Look up'!$A$3:$A$131,0),MATCH(K228,'G-8 Condition Look up'!$A$3:$H$3,0)),"")</f>
        <v/>
      </c>
      <c r="M228" s="186"/>
      <c r="N228" s="175" t="str">
        <f>IF(M228="","",IF(VLOOKUP(M228,'G-3 Multipliers'!$L$3:$N$6,2,FALSE)=0,"Spatial Data Missing",VLOOKUP(M228,'G-3 Multipliers'!$L$3:$N$6,2,FALSE)))</f>
        <v/>
      </c>
      <c r="O228" s="176" t="str">
        <f>IF(M228="","",IF(VLOOKUP(M228,'G-3 Multipliers'!$L$3:$N$6,3,FALSE)=0,"Spatial Data Missing",VLOOKUP(M228,'G-3 Multipliers'!$L$3:$N$6,3,FALSE)))</f>
        <v/>
      </c>
      <c r="P228" s="177" t="str">
        <f>IFERROR(VLOOKUP(G228,'G-1 All Habitats'!$B$2:$M$130,12,FALSE),"")</f>
        <v/>
      </c>
      <c r="Q228" s="81" t="str">
        <f>IFERROR(IF(P228="","",IF(AND(P228='G-1 All Habitats'!$X$3,T228&gt;0),U228+V228,IF(AND(P228='G-1 All Habitats'!$X$3,S228&gt;0),U228+V228,IF(AND(P228='G-1 All Habitats'!$X$3,AC228&gt;0),"Any Loss Unacceptable",IF(AND(P228='G-1 All Habitats'!$X$3,W228&gt;0),"Any Loss Unacceptable",H228*J228*L228*O228))))),"Check Data")</f>
        <v/>
      </c>
      <c r="R228" s="55"/>
      <c r="S228" s="79"/>
      <c r="T228" s="82"/>
      <c r="U228" s="83" t="str">
        <f t="shared" si="20"/>
        <v/>
      </c>
      <c r="V228" s="83" t="str">
        <f t="shared" si="21"/>
        <v/>
      </c>
      <c r="W228" s="83" t="str">
        <f>IF(E228="","",IF(H228&lt;S228+T228,"Error in Areas",IF(P228&lt;&gt;'G-1 All Habitats'!$X$3,H228-S228-T228,IF(AND(P228='G-1 All Habitats'!$X$3,Y228="Yes"),"Unacceptable Loss",IF(AND(P228='G-1 All Habitats'!$X$3,Y228="No"),AC228,IF(AND(P228='G-1 All Habitats'!$X$3,Y228=""),AC228,IF(AND(P228='G-1 All Habitats'!$X$3,AC228="None",AC228),IF(AND(P228='G-1 All Habitats'!$X$3,AC228&gt;0),H228-S228-T228))))))))</f>
        <v/>
      </c>
      <c r="X228" s="354" t="str">
        <f>IFERROR(IF(H228="","",IF(H228-S228-T228=0&lt;0,"Error in Areas",IF(S228+T228&gt;H228,"Error in Areas",IF(AND(P228='G-1 All Habitats'!$X$3,Y228="Yes"),"Alternative Compensation",IF(W228=0,0,IF(P228='G-1 All Habitats'!$X$3,"Unacceptable Loss",Q228-U228-V228)))))),"Check Data")</f>
        <v/>
      </c>
      <c r="Y228" s="82"/>
      <c r="Z228" s="182"/>
      <c r="AA228" s="183"/>
      <c r="AC228" s="371" t="str">
        <f>IF(P228="","",IF(P228='G-1 All Habitats'!$X$3,H228-S228-T228,"None"))</f>
        <v/>
      </c>
      <c r="AD228" s="372" t="str">
        <f t="shared" si="22"/>
        <v/>
      </c>
      <c r="AF228" s="188" t="str">
        <f t="shared" si="18"/>
        <v/>
      </c>
      <c r="AG228" s="188" t="str">
        <f t="shared" si="19"/>
        <v/>
      </c>
      <c r="AH228" s="188" t="str">
        <f>IF(I228="","",IF(#REF!&gt;0,TRUE,FALSE))</f>
        <v/>
      </c>
      <c r="AI228" s="188">
        <v>218</v>
      </c>
      <c r="AJ228" s="188"/>
      <c r="AK228" s="188" t="str">
        <f t="array" ref="AK228">IFERROR(INDEX($AI$11:$AI$259, MATCH(0, IF(TRUE=$AF$11:$AF$259, COUNTIF($AK$10:$AK227, $AI$11:$AI$259), ""), 0)),"")</f>
        <v/>
      </c>
      <c r="AL228" s="188" t="str">
        <f t="array" ref="AL228">IFERROR(INDEX($AI$11:$AI$259, MATCH(0, IF(TRUE=$AG$11:$AG$259, COUNTIF($AL$10:$AL227, $AI$11:$AI$259), ""), 0)),"")</f>
        <v/>
      </c>
      <c r="AM228" s="188" t="str">
        <f t="array" ref="AM228">IFERROR(INDEX($AI$11:$AI$259, MATCH(0, IF(TRUE=$AH$11:$AH$259, COUNTIF($AM$10:$AM227, $AI$11:$AI$259), ""), 0)),"")</f>
        <v/>
      </c>
      <c r="AQ228" s="35">
        <f t="shared" si="23"/>
        <v>0</v>
      </c>
    </row>
    <row r="229" spans="1:43" x14ac:dyDescent="0.25">
      <c r="A229" s="35" t="str">
        <f>IFERROR(INDEX('G-1 All Habitats'!$AG$3:$AG$15,MATCH(E229,'G-1 All Habitats'!$AF$3:$AF$15,0)),"")</f>
        <v/>
      </c>
      <c r="B229" s="35" t="str">
        <f>IFERROR(INDEX('G-8 Condition Look up'!$I$4:$I$131,MATCH(G229,'G-8 Condition Look up'!$A$4:$A$131,0)),"")</f>
        <v/>
      </c>
      <c r="D229" s="168">
        <v>219</v>
      </c>
      <c r="E229" s="275"/>
      <c r="F229" s="275"/>
      <c r="G229" s="370" t="str">
        <f>IFERROR(INDEX('G-1 All Habitats'!$B$3:$B$130,MATCH(F229,'G-1 All Habitats'!$A$3:$A$130,0)),"")</f>
        <v/>
      </c>
      <c r="H229" s="213"/>
      <c r="I229" s="171" t="str">
        <f>IF(G229="","",VLOOKUP(G229,'G-1 All Habitats'!$B$2:$M$130,10,FALSE))</f>
        <v/>
      </c>
      <c r="J229" s="172" t="str">
        <f>IFERROR(VLOOKUP(I229,'G-1 All Habitats'!$V$3:$W$7,2,FALSE),"")</f>
        <v/>
      </c>
      <c r="K229" s="173"/>
      <c r="L229" s="172" t="str">
        <f>IFERROR(INDEX('G-8 Condition Look up'!$A$3:$H$131,MATCH(G229,'G-8 Condition Look up'!$A$3:$A$131,0),MATCH(K229,'G-8 Condition Look up'!$A$3:$H$3,0)),"")</f>
        <v/>
      </c>
      <c r="M229" s="186"/>
      <c r="N229" s="175" t="str">
        <f>IF(M229="","",IF(VLOOKUP(M229,'G-3 Multipliers'!$L$3:$N$6,2,FALSE)=0,"Spatial Data Missing",VLOOKUP(M229,'G-3 Multipliers'!$L$3:$N$6,2,FALSE)))</f>
        <v/>
      </c>
      <c r="O229" s="176" t="str">
        <f>IF(M229="","",IF(VLOOKUP(M229,'G-3 Multipliers'!$L$3:$N$6,3,FALSE)=0,"Spatial Data Missing",VLOOKUP(M229,'G-3 Multipliers'!$L$3:$N$6,3,FALSE)))</f>
        <v/>
      </c>
      <c r="P229" s="177" t="str">
        <f>IFERROR(VLOOKUP(G229,'G-1 All Habitats'!$B$2:$M$130,12,FALSE),"")</f>
        <v/>
      </c>
      <c r="Q229" s="81" t="str">
        <f>IFERROR(IF(P229="","",IF(AND(P229='G-1 All Habitats'!$X$3,T229&gt;0),U229+V229,IF(AND(P229='G-1 All Habitats'!$X$3,S229&gt;0),U229+V229,IF(AND(P229='G-1 All Habitats'!$X$3,AC229&gt;0),"Any Loss Unacceptable",IF(AND(P229='G-1 All Habitats'!$X$3,W229&gt;0),"Any Loss Unacceptable",H229*J229*L229*O229))))),"Check Data")</f>
        <v/>
      </c>
      <c r="R229" s="55"/>
      <c r="S229" s="79"/>
      <c r="T229" s="82"/>
      <c r="U229" s="83" t="str">
        <f t="shared" si="20"/>
        <v/>
      </c>
      <c r="V229" s="83" t="str">
        <f t="shared" si="21"/>
        <v/>
      </c>
      <c r="W229" s="83" t="str">
        <f>IF(E229="","",IF(H229&lt;S229+T229,"Error in Areas",IF(P229&lt;&gt;'G-1 All Habitats'!$X$3,H229-S229-T229,IF(AND(P229='G-1 All Habitats'!$X$3,Y229="Yes"),"Unacceptable Loss",IF(AND(P229='G-1 All Habitats'!$X$3,Y229="No"),AC229,IF(AND(P229='G-1 All Habitats'!$X$3,Y229=""),AC229,IF(AND(P229='G-1 All Habitats'!$X$3,AC229="None",AC229),IF(AND(P229='G-1 All Habitats'!$X$3,AC229&gt;0),H229-S229-T229))))))))</f>
        <v/>
      </c>
      <c r="X229" s="354" t="str">
        <f>IFERROR(IF(H229="","",IF(H229-S229-T229=0&lt;0,"Error in Areas",IF(S229+T229&gt;H229,"Error in Areas",IF(AND(P229='G-1 All Habitats'!$X$3,Y229="Yes"),"Alternative Compensation",IF(W229=0,0,IF(P229='G-1 All Habitats'!$X$3,"Unacceptable Loss",Q229-U229-V229)))))),"Check Data")</f>
        <v/>
      </c>
      <c r="Y229" s="82"/>
      <c r="Z229" s="182"/>
      <c r="AA229" s="183"/>
      <c r="AC229" s="371" t="str">
        <f>IF(P229="","",IF(P229='G-1 All Habitats'!$X$3,H229-S229-T229,"None"))</f>
        <v/>
      </c>
      <c r="AD229" s="372" t="str">
        <f t="shared" si="22"/>
        <v/>
      </c>
      <c r="AF229" s="188" t="str">
        <f t="shared" si="18"/>
        <v/>
      </c>
      <c r="AG229" s="188" t="str">
        <f t="shared" si="19"/>
        <v/>
      </c>
      <c r="AH229" s="188" t="str">
        <f>IF(I229="","",IF(#REF!&gt;0,TRUE,FALSE))</f>
        <v/>
      </c>
      <c r="AI229" s="188">
        <v>219</v>
      </c>
      <c r="AJ229" s="188"/>
      <c r="AK229" s="188" t="str">
        <f t="array" ref="AK229">IFERROR(INDEX($AI$11:$AI$259, MATCH(0, IF(TRUE=$AF$11:$AF$259, COUNTIF($AK$10:$AK228, $AI$11:$AI$259), ""), 0)),"")</f>
        <v/>
      </c>
      <c r="AL229" s="188" t="str">
        <f t="array" ref="AL229">IFERROR(INDEX($AI$11:$AI$259, MATCH(0, IF(TRUE=$AG$11:$AG$259, COUNTIF($AL$10:$AL228, $AI$11:$AI$259), ""), 0)),"")</f>
        <v/>
      </c>
      <c r="AM229" s="188" t="str">
        <f t="array" ref="AM229">IFERROR(INDEX($AI$11:$AI$259, MATCH(0, IF(TRUE=$AH$11:$AH$259, COUNTIF($AM$10:$AM228, $AI$11:$AI$259), ""), 0)),"")</f>
        <v/>
      </c>
      <c r="AQ229" s="35">
        <f t="shared" si="23"/>
        <v>0</v>
      </c>
    </row>
    <row r="230" spans="1:43" x14ac:dyDescent="0.25">
      <c r="A230" s="35" t="str">
        <f>IFERROR(INDEX('G-1 All Habitats'!$AG$3:$AG$15,MATCH(E230,'G-1 All Habitats'!$AF$3:$AF$15,0)),"")</f>
        <v/>
      </c>
      <c r="B230" s="35" t="str">
        <f>IFERROR(INDEX('G-8 Condition Look up'!$I$4:$I$131,MATCH(G230,'G-8 Condition Look up'!$A$4:$A$131,0)),"")</f>
        <v/>
      </c>
      <c r="D230" s="168">
        <v>220</v>
      </c>
      <c r="E230" s="275"/>
      <c r="F230" s="275"/>
      <c r="G230" s="370" t="str">
        <f>IFERROR(INDEX('G-1 All Habitats'!$B$3:$B$130,MATCH(F230,'G-1 All Habitats'!$A$3:$A$130,0)),"")</f>
        <v/>
      </c>
      <c r="H230" s="213"/>
      <c r="I230" s="171" t="str">
        <f>IF(G230="","",VLOOKUP(G230,'G-1 All Habitats'!$B$2:$M$130,10,FALSE))</f>
        <v/>
      </c>
      <c r="J230" s="172" t="str">
        <f>IFERROR(VLOOKUP(I230,'G-1 All Habitats'!$V$3:$W$7,2,FALSE),"")</f>
        <v/>
      </c>
      <c r="K230" s="173"/>
      <c r="L230" s="172" t="str">
        <f>IFERROR(INDEX('G-8 Condition Look up'!$A$3:$H$131,MATCH(G230,'G-8 Condition Look up'!$A$3:$A$131,0),MATCH(K230,'G-8 Condition Look up'!$A$3:$H$3,0)),"")</f>
        <v/>
      </c>
      <c r="M230" s="186"/>
      <c r="N230" s="175" t="str">
        <f>IF(M230="","",IF(VLOOKUP(M230,'G-3 Multipliers'!$L$3:$N$6,2,FALSE)=0,"Spatial Data Missing",VLOOKUP(M230,'G-3 Multipliers'!$L$3:$N$6,2,FALSE)))</f>
        <v/>
      </c>
      <c r="O230" s="176" t="str">
        <f>IF(M230="","",IF(VLOOKUP(M230,'G-3 Multipliers'!$L$3:$N$6,3,FALSE)=0,"Spatial Data Missing",VLOOKUP(M230,'G-3 Multipliers'!$L$3:$N$6,3,FALSE)))</f>
        <v/>
      </c>
      <c r="P230" s="177" t="str">
        <f>IFERROR(VLOOKUP(G230,'G-1 All Habitats'!$B$2:$M$130,12,FALSE),"")</f>
        <v/>
      </c>
      <c r="Q230" s="81" t="str">
        <f>IFERROR(IF(P230="","",IF(AND(P230='G-1 All Habitats'!$X$3,T230&gt;0),U230+V230,IF(AND(P230='G-1 All Habitats'!$X$3,S230&gt;0),U230+V230,IF(AND(P230='G-1 All Habitats'!$X$3,AC230&gt;0),"Any Loss Unacceptable",IF(AND(P230='G-1 All Habitats'!$X$3,W230&gt;0),"Any Loss Unacceptable",H230*J230*L230*O230))))),"Check Data")</f>
        <v/>
      </c>
      <c r="R230" s="55"/>
      <c r="S230" s="79"/>
      <c r="T230" s="82"/>
      <c r="U230" s="83" t="str">
        <f t="shared" si="20"/>
        <v/>
      </c>
      <c r="V230" s="83" t="str">
        <f t="shared" si="21"/>
        <v/>
      </c>
      <c r="W230" s="83" t="str">
        <f>IF(E230="","",IF(H230&lt;S230+T230,"Error in Areas",IF(P230&lt;&gt;'G-1 All Habitats'!$X$3,H230-S230-T230,IF(AND(P230='G-1 All Habitats'!$X$3,Y230="Yes"),"Unacceptable Loss",IF(AND(P230='G-1 All Habitats'!$X$3,Y230="No"),AC230,IF(AND(P230='G-1 All Habitats'!$X$3,Y230=""),AC230,IF(AND(P230='G-1 All Habitats'!$X$3,AC230="None",AC230),IF(AND(P230='G-1 All Habitats'!$X$3,AC230&gt;0),H230-S230-T230))))))))</f>
        <v/>
      </c>
      <c r="X230" s="354" t="str">
        <f>IFERROR(IF(H230="","",IF(H230-S230-T230=0&lt;0,"Error in Areas",IF(S230+T230&gt;H230,"Error in Areas",IF(AND(P230='G-1 All Habitats'!$X$3,Y230="Yes"),"Alternative Compensation",IF(W230=0,0,IF(P230='G-1 All Habitats'!$X$3,"Unacceptable Loss",Q230-U230-V230)))))),"Check Data")</f>
        <v/>
      </c>
      <c r="Y230" s="82"/>
      <c r="Z230" s="182"/>
      <c r="AA230" s="183"/>
      <c r="AC230" s="371" t="str">
        <f>IF(P230="","",IF(P230='G-1 All Habitats'!$X$3,H230-S230-T230,"None"))</f>
        <v/>
      </c>
      <c r="AD230" s="372" t="str">
        <f t="shared" si="22"/>
        <v/>
      </c>
      <c r="AF230" s="188" t="str">
        <f t="shared" si="18"/>
        <v/>
      </c>
      <c r="AG230" s="188" t="str">
        <f t="shared" si="19"/>
        <v/>
      </c>
      <c r="AH230" s="188" t="str">
        <f>IF(I230="","",IF(#REF!&gt;0,TRUE,FALSE))</f>
        <v/>
      </c>
      <c r="AI230" s="188">
        <v>220</v>
      </c>
      <c r="AJ230" s="188"/>
      <c r="AK230" s="188" t="str">
        <f t="array" ref="AK230">IFERROR(INDEX($AI$11:$AI$259, MATCH(0, IF(TRUE=$AF$11:$AF$259, COUNTIF($AK$10:$AK229, $AI$11:$AI$259), ""), 0)),"")</f>
        <v/>
      </c>
      <c r="AL230" s="188" t="str">
        <f t="array" ref="AL230">IFERROR(INDEX($AI$11:$AI$259, MATCH(0, IF(TRUE=$AG$11:$AG$259, COUNTIF($AL$10:$AL229, $AI$11:$AI$259), ""), 0)),"")</f>
        <v/>
      </c>
      <c r="AM230" s="188" t="str">
        <f t="array" ref="AM230">IFERROR(INDEX($AI$11:$AI$259, MATCH(0, IF(TRUE=$AH$11:$AH$259, COUNTIF($AM$10:$AM229, $AI$11:$AI$259), ""), 0)),"")</f>
        <v/>
      </c>
      <c r="AQ230" s="35">
        <f t="shared" si="23"/>
        <v>0</v>
      </c>
    </row>
    <row r="231" spans="1:43" x14ac:dyDescent="0.25">
      <c r="A231" s="35" t="str">
        <f>IFERROR(INDEX('G-1 All Habitats'!$AG$3:$AG$15,MATCH(E231,'G-1 All Habitats'!$AF$3:$AF$15,0)),"")</f>
        <v/>
      </c>
      <c r="B231" s="35" t="str">
        <f>IFERROR(INDEX('G-8 Condition Look up'!$I$4:$I$131,MATCH(G231,'G-8 Condition Look up'!$A$4:$A$131,0)),"")</f>
        <v/>
      </c>
      <c r="D231" s="168">
        <v>221</v>
      </c>
      <c r="E231" s="275"/>
      <c r="F231" s="275"/>
      <c r="G231" s="370" t="str">
        <f>IFERROR(INDEX('G-1 All Habitats'!$B$3:$B$130,MATCH(F231,'G-1 All Habitats'!$A$3:$A$130,0)),"")</f>
        <v/>
      </c>
      <c r="H231" s="213"/>
      <c r="I231" s="171" t="str">
        <f>IF(G231="","",VLOOKUP(G231,'G-1 All Habitats'!$B$2:$M$130,10,FALSE))</f>
        <v/>
      </c>
      <c r="J231" s="172" t="str">
        <f>IFERROR(VLOOKUP(I231,'G-1 All Habitats'!$V$3:$W$7,2,FALSE),"")</f>
        <v/>
      </c>
      <c r="K231" s="173"/>
      <c r="L231" s="172" t="str">
        <f>IFERROR(INDEX('G-8 Condition Look up'!$A$3:$H$131,MATCH(G231,'G-8 Condition Look up'!$A$3:$A$131,0),MATCH(K231,'G-8 Condition Look up'!$A$3:$H$3,0)),"")</f>
        <v/>
      </c>
      <c r="M231" s="186"/>
      <c r="N231" s="175" t="str">
        <f>IF(M231="","",IF(VLOOKUP(M231,'G-3 Multipliers'!$L$3:$N$6,2,FALSE)=0,"Spatial Data Missing",VLOOKUP(M231,'G-3 Multipliers'!$L$3:$N$6,2,FALSE)))</f>
        <v/>
      </c>
      <c r="O231" s="176" t="str">
        <f>IF(M231="","",IF(VLOOKUP(M231,'G-3 Multipliers'!$L$3:$N$6,3,FALSE)=0,"Spatial Data Missing",VLOOKUP(M231,'G-3 Multipliers'!$L$3:$N$6,3,FALSE)))</f>
        <v/>
      </c>
      <c r="P231" s="177" t="str">
        <f>IFERROR(VLOOKUP(G231,'G-1 All Habitats'!$B$2:$M$130,12,FALSE),"")</f>
        <v/>
      </c>
      <c r="Q231" s="81" t="str">
        <f>IFERROR(IF(P231="","",IF(AND(P231='G-1 All Habitats'!$X$3,T231&gt;0),U231+V231,IF(AND(P231='G-1 All Habitats'!$X$3,S231&gt;0),U231+V231,IF(AND(P231='G-1 All Habitats'!$X$3,AC231&gt;0),"Any Loss Unacceptable",IF(AND(P231='G-1 All Habitats'!$X$3,W231&gt;0),"Any Loss Unacceptable",H231*J231*L231*O231))))),"Check Data")</f>
        <v/>
      </c>
      <c r="R231" s="55"/>
      <c r="S231" s="79"/>
      <c r="T231" s="82"/>
      <c r="U231" s="83" t="str">
        <f t="shared" si="20"/>
        <v/>
      </c>
      <c r="V231" s="83" t="str">
        <f t="shared" si="21"/>
        <v/>
      </c>
      <c r="W231" s="83" t="str">
        <f>IF(E231="","",IF(H231&lt;S231+T231,"Error in Areas",IF(P231&lt;&gt;'G-1 All Habitats'!$X$3,H231-S231-T231,IF(AND(P231='G-1 All Habitats'!$X$3,Y231="Yes"),"Unacceptable Loss",IF(AND(P231='G-1 All Habitats'!$X$3,Y231="No"),AC231,IF(AND(P231='G-1 All Habitats'!$X$3,Y231=""),AC231,IF(AND(P231='G-1 All Habitats'!$X$3,AC231="None",AC231),IF(AND(P231='G-1 All Habitats'!$X$3,AC231&gt;0),H231-S231-T231))))))))</f>
        <v/>
      </c>
      <c r="X231" s="354" t="str">
        <f>IFERROR(IF(H231="","",IF(H231-S231-T231=0&lt;0,"Error in Areas",IF(S231+T231&gt;H231,"Error in Areas",IF(AND(P231='G-1 All Habitats'!$X$3,Y231="Yes"),"Alternative Compensation",IF(W231=0,0,IF(P231='G-1 All Habitats'!$X$3,"Unacceptable Loss",Q231-U231-V231)))))),"Check Data")</f>
        <v/>
      </c>
      <c r="Y231" s="82"/>
      <c r="Z231" s="182"/>
      <c r="AA231" s="183"/>
      <c r="AC231" s="371" t="str">
        <f>IF(P231="","",IF(P231='G-1 All Habitats'!$X$3,H231-S231-T231,"None"))</f>
        <v/>
      </c>
      <c r="AD231" s="372" t="str">
        <f t="shared" si="22"/>
        <v/>
      </c>
      <c r="AF231" s="188" t="str">
        <f t="shared" si="18"/>
        <v/>
      </c>
      <c r="AG231" s="188" t="str">
        <f t="shared" si="19"/>
        <v/>
      </c>
      <c r="AH231" s="188" t="str">
        <f>IF(I231="","",IF(#REF!&gt;0,TRUE,FALSE))</f>
        <v/>
      </c>
      <c r="AI231" s="188">
        <v>221</v>
      </c>
      <c r="AJ231" s="188"/>
      <c r="AK231" s="188" t="str">
        <f t="array" ref="AK231">IFERROR(INDEX($AI$11:$AI$259, MATCH(0, IF(TRUE=$AF$11:$AF$259, COUNTIF($AK$10:$AK230, $AI$11:$AI$259), ""), 0)),"")</f>
        <v/>
      </c>
      <c r="AL231" s="188" t="str">
        <f t="array" ref="AL231">IFERROR(INDEX($AI$11:$AI$259, MATCH(0, IF(TRUE=$AG$11:$AG$259, COUNTIF($AL$10:$AL230, $AI$11:$AI$259), ""), 0)),"")</f>
        <v/>
      </c>
      <c r="AM231" s="188" t="str">
        <f t="array" ref="AM231">IFERROR(INDEX($AI$11:$AI$259, MATCH(0, IF(TRUE=$AH$11:$AH$259, COUNTIF($AM$10:$AM230, $AI$11:$AI$259), ""), 0)),"")</f>
        <v/>
      </c>
      <c r="AQ231" s="35">
        <f t="shared" si="23"/>
        <v>0</v>
      </c>
    </row>
    <row r="232" spans="1:43" x14ac:dyDescent="0.25">
      <c r="A232" s="35" t="str">
        <f>IFERROR(INDEX('G-1 All Habitats'!$AG$3:$AG$15,MATCH(E232,'G-1 All Habitats'!$AF$3:$AF$15,0)),"")</f>
        <v/>
      </c>
      <c r="B232" s="35" t="str">
        <f>IFERROR(INDEX('G-8 Condition Look up'!$I$4:$I$131,MATCH(G232,'G-8 Condition Look up'!$A$4:$A$131,0)),"")</f>
        <v/>
      </c>
      <c r="D232" s="168">
        <v>222</v>
      </c>
      <c r="E232" s="275"/>
      <c r="F232" s="275"/>
      <c r="G232" s="370" t="str">
        <f>IFERROR(INDEX('G-1 All Habitats'!$B$3:$B$130,MATCH(F232,'G-1 All Habitats'!$A$3:$A$130,0)),"")</f>
        <v/>
      </c>
      <c r="H232" s="213"/>
      <c r="I232" s="171" t="str">
        <f>IF(G232="","",VLOOKUP(G232,'G-1 All Habitats'!$B$2:$M$130,10,FALSE))</f>
        <v/>
      </c>
      <c r="J232" s="172" t="str">
        <f>IFERROR(VLOOKUP(I232,'G-1 All Habitats'!$V$3:$W$7,2,FALSE),"")</f>
        <v/>
      </c>
      <c r="K232" s="173"/>
      <c r="L232" s="172" t="str">
        <f>IFERROR(INDEX('G-8 Condition Look up'!$A$3:$H$131,MATCH(G232,'G-8 Condition Look up'!$A$3:$A$131,0),MATCH(K232,'G-8 Condition Look up'!$A$3:$H$3,0)),"")</f>
        <v/>
      </c>
      <c r="M232" s="186"/>
      <c r="N232" s="175" t="str">
        <f>IF(M232="","",IF(VLOOKUP(M232,'G-3 Multipliers'!$L$3:$N$6,2,FALSE)=0,"Spatial Data Missing",VLOOKUP(M232,'G-3 Multipliers'!$L$3:$N$6,2,FALSE)))</f>
        <v/>
      </c>
      <c r="O232" s="176" t="str">
        <f>IF(M232="","",IF(VLOOKUP(M232,'G-3 Multipliers'!$L$3:$N$6,3,FALSE)=0,"Spatial Data Missing",VLOOKUP(M232,'G-3 Multipliers'!$L$3:$N$6,3,FALSE)))</f>
        <v/>
      </c>
      <c r="P232" s="177" t="str">
        <f>IFERROR(VLOOKUP(G232,'G-1 All Habitats'!$B$2:$M$130,12,FALSE),"")</f>
        <v/>
      </c>
      <c r="Q232" s="81" t="str">
        <f>IFERROR(IF(P232="","",IF(AND(P232='G-1 All Habitats'!$X$3,T232&gt;0),U232+V232,IF(AND(P232='G-1 All Habitats'!$X$3,S232&gt;0),U232+V232,IF(AND(P232='G-1 All Habitats'!$X$3,AC232&gt;0),"Any Loss Unacceptable",IF(AND(P232='G-1 All Habitats'!$X$3,W232&gt;0),"Any Loss Unacceptable",H232*J232*L232*O232))))),"Check Data")</f>
        <v/>
      </c>
      <c r="R232" s="55"/>
      <c r="S232" s="79"/>
      <c r="T232" s="82"/>
      <c r="U232" s="83" t="str">
        <f t="shared" si="20"/>
        <v/>
      </c>
      <c r="V232" s="83" t="str">
        <f t="shared" si="21"/>
        <v/>
      </c>
      <c r="W232" s="83" t="str">
        <f>IF(E232="","",IF(H232&lt;S232+T232,"Error in Areas",IF(P232&lt;&gt;'G-1 All Habitats'!$X$3,H232-S232-T232,IF(AND(P232='G-1 All Habitats'!$X$3,Y232="Yes"),"Unacceptable Loss",IF(AND(P232='G-1 All Habitats'!$X$3,Y232="No"),AC232,IF(AND(P232='G-1 All Habitats'!$X$3,Y232=""),AC232,IF(AND(P232='G-1 All Habitats'!$X$3,AC232="None",AC232),IF(AND(P232='G-1 All Habitats'!$X$3,AC232&gt;0),H232-S232-T232))))))))</f>
        <v/>
      </c>
      <c r="X232" s="354" t="str">
        <f>IFERROR(IF(H232="","",IF(H232-S232-T232=0&lt;0,"Error in Areas",IF(S232+T232&gt;H232,"Error in Areas",IF(AND(P232='G-1 All Habitats'!$X$3,Y232="Yes"),"Alternative Compensation",IF(W232=0,0,IF(P232='G-1 All Habitats'!$X$3,"Unacceptable Loss",Q232-U232-V232)))))),"Check Data")</f>
        <v/>
      </c>
      <c r="Y232" s="82"/>
      <c r="Z232" s="182"/>
      <c r="AA232" s="183"/>
      <c r="AC232" s="371" t="str">
        <f>IF(P232="","",IF(P232='G-1 All Habitats'!$X$3,H232-S232-T232,"None"))</f>
        <v/>
      </c>
      <c r="AD232" s="372" t="str">
        <f t="shared" si="22"/>
        <v/>
      </c>
      <c r="AF232" s="188" t="str">
        <f t="shared" si="18"/>
        <v/>
      </c>
      <c r="AG232" s="188" t="str">
        <f t="shared" si="19"/>
        <v/>
      </c>
      <c r="AH232" s="188" t="str">
        <f>IF(I232="","",IF(#REF!&gt;0,TRUE,FALSE))</f>
        <v/>
      </c>
      <c r="AI232" s="188">
        <v>222</v>
      </c>
      <c r="AJ232" s="188"/>
      <c r="AK232" s="188" t="str">
        <f t="array" ref="AK232">IFERROR(INDEX($AI$11:$AI$259, MATCH(0, IF(TRUE=$AF$11:$AF$259, COUNTIF($AK$10:$AK231, $AI$11:$AI$259), ""), 0)),"")</f>
        <v/>
      </c>
      <c r="AL232" s="188" t="str">
        <f t="array" ref="AL232">IFERROR(INDEX($AI$11:$AI$259, MATCH(0, IF(TRUE=$AG$11:$AG$259, COUNTIF($AL$10:$AL231, $AI$11:$AI$259), ""), 0)),"")</f>
        <v/>
      </c>
      <c r="AM232" s="188" t="str">
        <f t="array" ref="AM232">IFERROR(INDEX($AI$11:$AI$259, MATCH(0, IF(TRUE=$AH$11:$AH$259, COUNTIF($AM$10:$AM231, $AI$11:$AI$259), ""), 0)),"")</f>
        <v/>
      </c>
      <c r="AQ232" s="35">
        <f t="shared" si="23"/>
        <v>0</v>
      </c>
    </row>
    <row r="233" spans="1:43" x14ac:dyDescent="0.25">
      <c r="A233" s="35" t="str">
        <f>IFERROR(INDEX('G-1 All Habitats'!$AG$3:$AG$15,MATCH(E233,'G-1 All Habitats'!$AF$3:$AF$15,0)),"")</f>
        <v/>
      </c>
      <c r="B233" s="35" t="str">
        <f>IFERROR(INDEX('G-8 Condition Look up'!$I$4:$I$131,MATCH(G233,'G-8 Condition Look up'!$A$4:$A$131,0)),"")</f>
        <v/>
      </c>
      <c r="D233" s="168">
        <v>223</v>
      </c>
      <c r="E233" s="275"/>
      <c r="F233" s="275"/>
      <c r="G233" s="370" t="str">
        <f>IFERROR(INDEX('G-1 All Habitats'!$B$3:$B$130,MATCH(F233,'G-1 All Habitats'!$A$3:$A$130,0)),"")</f>
        <v/>
      </c>
      <c r="H233" s="213"/>
      <c r="I233" s="171" t="str">
        <f>IF(G233="","",VLOOKUP(G233,'G-1 All Habitats'!$B$2:$M$130,10,FALSE))</f>
        <v/>
      </c>
      <c r="J233" s="172" t="str">
        <f>IFERROR(VLOOKUP(I233,'G-1 All Habitats'!$V$3:$W$7,2,FALSE),"")</f>
        <v/>
      </c>
      <c r="K233" s="173"/>
      <c r="L233" s="172" t="str">
        <f>IFERROR(INDEX('G-8 Condition Look up'!$A$3:$H$131,MATCH(G233,'G-8 Condition Look up'!$A$3:$A$131,0),MATCH(K233,'G-8 Condition Look up'!$A$3:$H$3,0)),"")</f>
        <v/>
      </c>
      <c r="M233" s="186"/>
      <c r="N233" s="175" t="str">
        <f>IF(M233="","",IF(VLOOKUP(M233,'G-3 Multipliers'!$L$3:$N$6,2,FALSE)=0,"Spatial Data Missing",VLOOKUP(M233,'G-3 Multipliers'!$L$3:$N$6,2,FALSE)))</f>
        <v/>
      </c>
      <c r="O233" s="176" t="str">
        <f>IF(M233="","",IF(VLOOKUP(M233,'G-3 Multipliers'!$L$3:$N$6,3,FALSE)=0,"Spatial Data Missing",VLOOKUP(M233,'G-3 Multipliers'!$L$3:$N$6,3,FALSE)))</f>
        <v/>
      </c>
      <c r="P233" s="177" t="str">
        <f>IFERROR(VLOOKUP(G233,'G-1 All Habitats'!$B$2:$M$130,12,FALSE),"")</f>
        <v/>
      </c>
      <c r="Q233" s="81" t="str">
        <f>IFERROR(IF(P233="","",IF(AND(P233='G-1 All Habitats'!$X$3,T233&gt;0),U233+V233,IF(AND(P233='G-1 All Habitats'!$X$3,S233&gt;0),U233+V233,IF(AND(P233='G-1 All Habitats'!$X$3,AC233&gt;0),"Any Loss Unacceptable",IF(AND(P233='G-1 All Habitats'!$X$3,W233&gt;0),"Any Loss Unacceptable",H233*J233*L233*O233))))),"Check Data")</f>
        <v/>
      </c>
      <c r="R233" s="55"/>
      <c r="S233" s="79"/>
      <c r="T233" s="82"/>
      <c r="U233" s="83" t="str">
        <f t="shared" si="20"/>
        <v/>
      </c>
      <c r="V233" s="83" t="str">
        <f t="shared" si="21"/>
        <v/>
      </c>
      <c r="W233" s="83" t="str">
        <f>IF(E233="","",IF(H233&lt;S233+T233,"Error in Areas",IF(P233&lt;&gt;'G-1 All Habitats'!$X$3,H233-S233-T233,IF(AND(P233='G-1 All Habitats'!$X$3,Y233="Yes"),"Unacceptable Loss",IF(AND(P233='G-1 All Habitats'!$X$3,Y233="No"),AC233,IF(AND(P233='G-1 All Habitats'!$X$3,Y233=""),AC233,IF(AND(P233='G-1 All Habitats'!$X$3,AC233="None",AC233),IF(AND(P233='G-1 All Habitats'!$X$3,AC233&gt;0),H233-S233-T233))))))))</f>
        <v/>
      </c>
      <c r="X233" s="354" t="str">
        <f>IFERROR(IF(H233="","",IF(H233-S233-T233=0&lt;0,"Error in Areas",IF(S233+T233&gt;H233,"Error in Areas",IF(AND(P233='G-1 All Habitats'!$X$3,Y233="Yes"),"Alternative Compensation",IF(W233=0,0,IF(P233='G-1 All Habitats'!$X$3,"Unacceptable Loss",Q233-U233-V233)))))),"Check Data")</f>
        <v/>
      </c>
      <c r="Y233" s="82"/>
      <c r="Z233" s="182"/>
      <c r="AA233" s="183"/>
      <c r="AC233" s="371" t="str">
        <f>IF(P233="","",IF(P233='G-1 All Habitats'!$X$3,H233-S233-T233,"None"))</f>
        <v/>
      </c>
      <c r="AD233" s="372" t="str">
        <f t="shared" si="22"/>
        <v/>
      </c>
      <c r="AF233" s="188" t="str">
        <f t="shared" si="18"/>
        <v/>
      </c>
      <c r="AG233" s="188" t="str">
        <f t="shared" si="19"/>
        <v/>
      </c>
      <c r="AH233" s="188" t="str">
        <f>IF(I233="","",IF(#REF!&gt;0,TRUE,FALSE))</f>
        <v/>
      </c>
      <c r="AI233" s="188">
        <v>223</v>
      </c>
      <c r="AJ233" s="188"/>
      <c r="AK233" s="188" t="str">
        <f t="array" ref="AK233">IFERROR(INDEX($AI$11:$AI$259, MATCH(0, IF(TRUE=$AF$11:$AF$259, COUNTIF($AK$10:$AK232, $AI$11:$AI$259), ""), 0)),"")</f>
        <v/>
      </c>
      <c r="AL233" s="188" t="str">
        <f t="array" ref="AL233">IFERROR(INDEX($AI$11:$AI$259, MATCH(0, IF(TRUE=$AG$11:$AG$259, COUNTIF($AL$10:$AL232, $AI$11:$AI$259), ""), 0)),"")</f>
        <v/>
      </c>
      <c r="AM233" s="188" t="str">
        <f t="array" ref="AM233">IFERROR(INDEX($AI$11:$AI$259, MATCH(0, IF(TRUE=$AH$11:$AH$259, COUNTIF($AM$10:$AM232, $AI$11:$AI$259), ""), 0)),"")</f>
        <v/>
      </c>
      <c r="AQ233" s="35">
        <f t="shared" si="23"/>
        <v>0</v>
      </c>
    </row>
    <row r="234" spans="1:43" x14ac:dyDescent="0.25">
      <c r="A234" s="35" t="str">
        <f>IFERROR(INDEX('G-1 All Habitats'!$AG$3:$AG$15,MATCH(E234,'G-1 All Habitats'!$AF$3:$AF$15,0)),"")</f>
        <v/>
      </c>
      <c r="B234" s="35" t="str">
        <f>IFERROR(INDEX('G-8 Condition Look up'!$I$4:$I$131,MATCH(G234,'G-8 Condition Look up'!$A$4:$A$131,0)),"")</f>
        <v/>
      </c>
      <c r="D234" s="168">
        <v>224</v>
      </c>
      <c r="E234" s="275"/>
      <c r="F234" s="275"/>
      <c r="G234" s="370" t="str">
        <f>IFERROR(INDEX('G-1 All Habitats'!$B$3:$B$130,MATCH(F234,'G-1 All Habitats'!$A$3:$A$130,0)),"")</f>
        <v/>
      </c>
      <c r="H234" s="213"/>
      <c r="I234" s="171" t="str">
        <f>IF(G234="","",VLOOKUP(G234,'G-1 All Habitats'!$B$2:$M$130,10,FALSE))</f>
        <v/>
      </c>
      <c r="J234" s="172" t="str">
        <f>IFERROR(VLOOKUP(I234,'G-1 All Habitats'!$V$3:$W$7,2,FALSE),"")</f>
        <v/>
      </c>
      <c r="K234" s="173"/>
      <c r="L234" s="172" t="str">
        <f>IFERROR(INDEX('G-8 Condition Look up'!$A$3:$H$131,MATCH(G234,'G-8 Condition Look up'!$A$3:$A$131,0),MATCH(K234,'G-8 Condition Look up'!$A$3:$H$3,0)),"")</f>
        <v/>
      </c>
      <c r="M234" s="186"/>
      <c r="N234" s="175" t="str">
        <f>IF(M234="","",IF(VLOOKUP(M234,'G-3 Multipliers'!$L$3:$N$6,2,FALSE)=0,"Spatial Data Missing",VLOOKUP(M234,'G-3 Multipliers'!$L$3:$N$6,2,FALSE)))</f>
        <v/>
      </c>
      <c r="O234" s="176" t="str">
        <f>IF(M234="","",IF(VLOOKUP(M234,'G-3 Multipliers'!$L$3:$N$6,3,FALSE)=0,"Spatial Data Missing",VLOOKUP(M234,'G-3 Multipliers'!$L$3:$N$6,3,FALSE)))</f>
        <v/>
      </c>
      <c r="P234" s="177" t="str">
        <f>IFERROR(VLOOKUP(G234,'G-1 All Habitats'!$B$2:$M$130,12,FALSE),"")</f>
        <v/>
      </c>
      <c r="Q234" s="81" t="str">
        <f>IFERROR(IF(P234="","",IF(AND(P234='G-1 All Habitats'!$X$3,T234&gt;0),U234+V234,IF(AND(P234='G-1 All Habitats'!$X$3,S234&gt;0),U234+V234,IF(AND(P234='G-1 All Habitats'!$X$3,AC234&gt;0),"Any Loss Unacceptable",IF(AND(P234='G-1 All Habitats'!$X$3,W234&gt;0),"Any Loss Unacceptable",H234*J234*L234*O234))))),"Check Data")</f>
        <v/>
      </c>
      <c r="R234" s="55"/>
      <c r="S234" s="79"/>
      <c r="T234" s="82"/>
      <c r="U234" s="83" t="str">
        <f t="shared" si="20"/>
        <v/>
      </c>
      <c r="V234" s="83" t="str">
        <f t="shared" si="21"/>
        <v/>
      </c>
      <c r="W234" s="83" t="str">
        <f>IF(E234="","",IF(H234&lt;S234+T234,"Error in Areas",IF(P234&lt;&gt;'G-1 All Habitats'!$X$3,H234-S234-T234,IF(AND(P234='G-1 All Habitats'!$X$3,Y234="Yes"),"Unacceptable Loss",IF(AND(P234='G-1 All Habitats'!$X$3,Y234="No"),AC234,IF(AND(P234='G-1 All Habitats'!$X$3,Y234=""),AC234,IF(AND(P234='G-1 All Habitats'!$X$3,AC234="None",AC234),IF(AND(P234='G-1 All Habitats'!$X$3,AC234&gt;0),H234-S234-T234))))))))</f>
        <v/>
      </c>
      <c r="X234" s="354" t="str">
        <f>IFERROR(IF(H234="","",IF(H234-S234-T234=0&lt;0,"Error in Areas",IF(S234+T234&gt;H234,"Error in Areas",IF(AND(P234='G-1 All Habitats'!$X$3,Y234="Yes"),"Alternative Compensation",IF(W234=0,0,IF(P234='G-1 All Habitats'!$X$3,"Unacceptable Loss",Q234-U234-V234)))))),"Check Data")</f>
        <v/>
      </c>
      <c r="Y234" s="82"/>
      <c r="Z234" s="182"/>
      <c r="AA234" s="183"/>
      <c r="AC234" s="371" t="str">
        <f>IF(P234="","",IF(P234='G-1 All Habitats'!$X$3,H234-S234-T234,"None"))</f>
        <v/>
      </c>
      <c r="AD234" s="372" t="str">
        <f t="shared" si="22"/>
        <v/>
      </c>
      <c r="AF234" s="188" t="str">
        <f t="shared" si="18"/>
        <v/>
      </c>
      <c r="AG234" s="188" t="str">
        <f t="shared" si="19"/>
        <v/>
      </c>
      <c r="AH234" s="188" t="str">
        <f>IF(I234="","",IF(#REF!&gt;0,TRUE,FALSE))</f>
        <v/>
      </c>
      <c r="AI234" s="188">
        <v>224</v>
      </c>
      <c r="AJ234" s="188"/>
      <c r="AK234" s="188" t="str">
        <f t="array" ref="AK234">IFERROR(INDEX($AI$11:$AI$259, MATCH(0, IF(TRUE=$AF$11:$AF$259, COUNTIF($AK$10:$AK233, $AI$11:$AI$259), ""), 0)),"")</f>
        <v/>
      </c>
      <c r="AL234" s="188" t="str">
        <f t="array" ref="AL234">IFERROR(INDEX($AI$11:$AI$259, MATCH(0, IF(TRUE=$AG$11:$AG$259, COUNTIF($AL$10:$AL233, $AI$11:$AI$259), ""), 0)),"")</f>
        <v/>
      </c>
      <c r="AM234" s="188" t="str">
        <f t="array" ref="AM234">IFERROR(INDEX($AI$11:$AI$259, MATCH(0, IF(TRUE=$AH$11:$AH$259, COUNTIF($AM$10:$AM233, $AI$11:$AI$259), ""), 0)),"")</f>
        <v/>
      </c>
      <c r="AQ234" s="35">
        <f t="shared" si="23"/>
        <v>0</v>
      </c>
    </row>
    <row r="235" spans="1:43" x14ac:dyDescent="0.25">
      <c r="A235" s="35" t="str">
        <f>IFERROR(INDEX('G-1 All Habitats'!$AG$3:$AG$15,MATCH(E235,'G-1 All Habitats'!$AF$3:$AF$15,0)),"")</f>
        <v/>
      </c>
      <c r="B235" s="35" t="str">
        <f>IFERROR(INDEX('G-8 Condition Look up'!$I$4:$I$131,MATCH(G235,'G-8 Condition Look up'!$A$4:$A$131,0)),"")</f>
        <v/>
      </c>
      <c r="D235" s="168">
        <v>225</v>
      </c>
      <c r="E235" s="275"/>
      <c r="F235" s="275"/>
      <c r="G235" s="370" t="str">
        <f>IFERROR(INDEX('G-1 All Habitats'!$B$3:$B$130,MATCH(F235,'G-1 All Habitats'!$A$3:$A$130,0)),"")</f>
        <v/>
      </c>
      <c r="H235" s="213"/>
      <c r="I235" s="171" t="str">
        <f>IF(G235="","",VLOOKUP(G235,'G-1 All Habitats'!$B$2:$M$130,10,FALSE))</f>
        <v/>
      </c>
      <c r="J235" s="172" t="str">
        <f>IFERROR(VLOOKUP(I235,'G-1 All Habitats'!$V$3:$W$7,2,FALSE),"")</f>
        <v/>
      </c>
      <c r="K235" s="173"/>
      <c r="L235" s="172" t="str">
        <f>IFERROR(INDEX('G-8 Condition Look up'!$A$3:$H$131,MATCH(G235,'G-8 Condition Look up'!$A$3:$A$131,0),MATCH(K235,'G-8 Condition Look up'!$A$3:$H$3,0)),"")</f>
        <v/>
      </c>
      <c r="M235" s="186"/>
      <c r="N235" s="175" t="str">
        <f>IF(M235="","",IF(VLOOKUP(M235,'G-3 Multipliers'!$L$3:$N$6,2,FALSE)=0,"Spatial Data Missing",VLOOKUP(M235,'G-3 Multipliers'!$L$3:$N$6,2,FALSE)))</f>
        <v/>
      </c>
      <c r="O235" s="176" t="str">
        <f>IF(M235="","",IF(VLOOKUP(M235,'G-3 Multipliers'!$L$3:$N$6,3,FALSE)=0,"Spatial Data Missing",VLOOKUP(M235,'G-3 Multipliers'!$L$3:$N$6,3,FALSE)))</f>
        <v/>
      </c>
      <c r="P235" s="177" t="str">
        <f>IFERROR(VLOOKUP(G235,'G-1 All Habitats'!$B$2:$M$130,12,FALSE),"")</f>
        <v/>
      </c>
      <c r="Q235" s="81" t="str">
        <f>IFERROR(IF(P235="","",IF(AND(P235='G-1 All Habitats'!$X$3,T235&gt;0),U235+V235,IF(AND(P235='G-1 All Habitats'!$X$3,S235&gt;0),U235+V235,IF(AND(P235='G-1 All Habitats'!$X$3,AC235&gt;0),"Any Loss Unacceptable",IF(AND(P235='G-1 All Habitats'!$X$3,W235&gt;0),"Any Loss Unacceptable",H235*J235*L235*O235))))),"Check Data")</f>
        <v/>
      </c>
      <c r="R235" s="55"/>
      <c r="S235" s="79"/>
      <c r="T235" s="82"/>
      <c r="U235" s="83" t="str">
        <f t="shared" si="20"/>
        <v/>
      </c>
      <c r="V235" s="83" t="str">
        <f t="shared" si="21"/>
        <v/>
      </c>
      <c r="W235" s="83" t="str">
        <f>IF(E235="","",IF(H235&lt;S235+T235,"Error in Areas",IF(P235&lt;&gt;'G-1 All Habitats'!$X$3,H235-S235-T235,IF(AND(P235='G-1 All Habitats'!$X$3,Y235="Yes"),"Unacceptable Loss",IF(AND(P235='G-1 All Habitats'!$X$3,Y235="No"),AC235,IF(AND(P235='G-1 All Habitats'!$X$3,Y235=""),AC235,IF(AND(P235='G-1 All Habitats'!$X$3,AC235="None",AC235),IF(AND(P235='G-1 All Habitats'!$X$3,AC235&gt;0),H235-S235-T235))))))))</f>
        <v/>
      </c>
      <c r="X235" s="354" t="str">
        <f>IFERROR(IF(H235="","",IF(H235-S235-T235=0&lt;0,"Error in Areas",IF(S235+T235&gt;H235,"Error in Areas",IF(AND(P235='G-1 All Habitats'!$X$3,Y235="Yes"),"Alternative Compensation",IF(W235=0,0,IF(P235='G-1 All Habitats'!$X$3,"Unacceptable Loss",Q235-U235-V235)))))),"Check Data")</f>
        <v/>
      </c>
      <c r="Y235" s="82"/>
      <c r="Z235" s="182"/>
      <c r="AA235" s="183"/>
      <c r="AC235" s="371" t="str">
        <f>IF(P235="","",IF(P235='G-1 All Habitats'!$X$3,H235-S235-T235,"None"))</f>
        <v/>
      </c>
      <c r="AD235" s="372" t="str">
        <f t="shared" si="22"/>
        <v/>
      </c>
      <c r="AF235" s="188" t="str">
        <f t="shared" si="18"/>
        <v/>
      </c>
      <c r="AG235" s="188" t="str">
        <f t="shared" si="19"/>
        <v/>
      </c>
      <c r="AH235" s="188" t="str">
        <f>IF(I235="","",IF(#REF!&gt;0,TRUE,FALSE))</f>
        <v/>
      </c>
      <c r="AI235" s="188">
        <v>225</v>
      </c>
      <c r="AJ235" s="188"/>
      <c r="AK235" s="188" t="str">
        <f t="array" ref="AK235">IFERROR(INDEX($AI$11:$AI$259, MATCH(0, IF(TRUE=$AF$11:$AF$259, COUNTIF($AK$10:$AK234, $AI$11:$AI$259), ""), 0)),"")</f>
        <v/>
      </c>
      <c r="AL235" s="188" t="str">
        <f t="array" ref="AL235">IFERROR(INDEX($AI$11:$AI$259, MATCH(0, IF(TRUE=$AG$11:$AG$259, COUNTIF($AL$10:$AL234, $AI$11:$AI$259), ""), 0)),"")</f>
        <v/>
      </c>
      <c r="AM235" s="188" t="str">
        <f t="array" ref="AM235">IFERROR(INDEX($AI$11:$AI$259, MATCH(0, IF(TRUE=$AH$11:$AH$259, COUNTIF($AM$10:$AM234, $AI$11:$AI$259), ""), 0)),"")</f>
        <v/>
      </c>
      <c r="AQ235" s="35">
        <f t="shared" si="23"/>
        <v>0</v>
      </c>
    </row>
    <row r="236" spans="1:43" x14ac:dyDescent="0.25">
      <c r="A236" s="35" t="str">
        <f>IFERROR(INDEX('G-1 All Habitats'!$AG$3:$AG$15,MATCH(E236,'G-1 All Habitats'!$AF$3:$AF$15,0)),"")</f>
        <v/>
      </c>
      <c r="B236" s="35" t="str">
        <f>IFERROR(INDEX('G-8 Condition Look up'!$I$4:$I$131,MATCH(G236,'G-8 Condition Look up'!$A$4:$A$131,0)),"")</f>
        <v/>
      </c>
      <c r="D236" s="168">
        <v>226</v>
      </c>
      <c r="E236" s="275"/>
      <c r="F236" s="275"/>
      <c r="G236" s="370" t="str">
        <f>IFERROR(INDEX('G-1 All Habitats'!$B$3:$B$130,MATCH(F236,'G-1 All Habitats'!$A$3:$A$130,0)),"")</f>
        <v/>
      </c>
      <c r="H236" s="213"/>
      <c r="I236" s="171" t="str">
        <f>IF(G236="","",VLOOKUP(G236,'G-1 All Habitats'!$B$2:$M$130,10,FALSE))</f>
        <v/>
      </c>
      <c r="J236" s="172" t="str">
        <f>IFERROR(VLOOKUP(I236,'G-1 All Habitats'!$V$3:$W$7,2,FALSE),"")</f>
        <v/>
      </c>
      <c r="K236" s="173"/>
      <c r="L236" s="172" t="str">
        <f>IFERROR(INDEX('G-8 Condition Look up'!$A$3:$H$131,MATCH(G236,'G-8 Condition Look up'!$A$3:$A$131,0),MATCH(K236,'G-8 Condition Look up'!$A$3:$H$3,0)),"")</f>
        <v/>
      </c>
      <c r="M236" s="186"/>
      <c r="N236" s="175" t="str">
        <f>IF(M236="","",IF(VLOOKUP(M236,'G-3 Multipliers'!$L$3:$N$6,2,FALSE)=0,"Spatial Data Missing",VLOOKUP(M236,'G-3 Multipliers'!$L$3:$N$6,2,FALSE)))</f>
        <v/>
      </c>
      <c r="O236" s="176" t="str">
        <f>IF(M236="","",IF(VLOOKUP(M236,'G-3 Multipliers'!$L$3:$N$6,3,FALSE)=0,"Spatial Data Missing",VLOOKUP(M236,'G-3 Multipliers'!$L$3:$N$6,3,FALSE)))</f>
        <v/>
      </c>
      <c r="P236" s="177" t="str">
        <f>IFERROR(VLOOKUP(G236,'G-1 All Habitats'!$B$2:$M$130,12,FALSE),"")</f>
        <v/>
      </c>
      <c r="Q236" s="81" t="str">
        <f>IFERROR(IF(P236="","",IF(AND(P236='G-1 All Habitats'!$X$3,T236&gt;0),U236+V236,IF(AND(P236='G-1 All Habitats'!$X$3,S236&gt;0),U236+V236,IF(AND(P236='G-1 All Habitats'!$X$3,AC236&gt;0),"Any Loss Unacceptable",IF(AND(P236='G-1 All Habitats'!$X$3,W236&gt;0),"Any Loss Unacceptable",H236*J236*L236*O236))))),"Check Data")</f>
        <v/>
      </c>
      <c r="R236" s="55"/>
      <c r="S236" s="79"/>
      <c r="T236" s="82"/>
      <c r="U236" s="83" t="str">
        <f t="shared" si="20"/>
        <v/>
      </c>
      <c r="V236" s="83" t="str">
        <f t="shared" si="21"/>
        <v/>
      </c>
      <c r="W236" s="83" t="str">
        <f>IF(E236="","",IF(H236&lt;S236+T236,"Error in Areas",IF(P236&lt;&gt;'G-1 All Habitats'!$X$3,H236-S236-T236,IF(AND(P236='G-1 All Habitats'!$X$3,Y236="Yes"),"Unacceptable Loss",IF(AND(P236='G-1 All Habitats'!$X$3,Y236="No"),AC236,IF(AND(P236='G-1 All Habitats'!$X$3,Y236=""),AC236,IF(AND(P236='G-1 All Habitats'!$X$3,AC236="None",AC236),IF(AND(P236='G-1 All Habitats'!$X$3,AC236&gt;0),H236-S236-T236))))))))</f>
        <v/>
      </c>
      <c r="X236" s="354" t="str">
        <f>IFERROR(IF(H236="","",IF(H236-S236-T236=0&lt;0,"Error in Areas",IF(S236+T236&gt;H236,"Error in Areas",IF(AND(P236='G-1 All Habitats'!$X$3,Y236="Yes"),"Alternative Compensation",IF(W236=0,0,IF(P236='G-1 All Habitats'!$X$3,"Unacceptable Loss",Q236-U236-V236)))))),"Check Data")</f>
        <v/>
      </c>
      <c r="Y236" s="82"/>
      <c r="Z236" s="182"/>
      <c r="AA236" s="183"/>
      <c r="AC236" s="371" t="str">
        <f>IF(P236="","",IF(P236='G-1 All Habitats'!$X$3,H236-S236-T236,"None"))</f>
        <v/>
      </c>
      <c r="AD236" s="372" t="str">
        <f t="shared" si="22"/>
        <v/>
      </c>
      <c r="AF236" s="188" t="str">
        <f t="shared" si="18"/>
        <v/>
      </c>
      <c r="AG236" s="188" t="str">
        <f t="shared" si="19"/>
        <v/>
      </c>
      <c r="AH236" s="188" t="str">
        <f>IF(I236="","",IF(#REF!&gt;0,TRUE,FALSE))</f>
        <v/>
      </c>
      <c r="AI236" s="188">
        <v>226</v>
      </c>
      <c r="AJ236" s="188"/>
      <c r="AK236" s="188" t="str">
        <f t="array" ref="AK236">IFERROR(INDEX($AI$11:$AI$259, MATCH(0, IF(TRUE=$AF$11:$AF$259, COUNTIF($AK$10:$AK235, $AI$11:$AI$259), ""), 0)),"")</f>
        <v/>
      </c>
      <c r="AL236" s="188" t="str">
        <f t="array" ref="AL236">IFERROR(INDEX($AI$11:$AI$259, MATCH(0, IF(TRUE=$AG$11:$AG$259, COUNTIF($AL$10:$AL235, $AI$11:$AI$259), ""), 0)),"")</f>
        <v/>
      </c>
      <c r="AM236" s="188" t="str">
        <f t="array" ref="AM236">IFERROR(INDEX($AI$11:$AI$259, MATCH(0, IF(TRUE=$AH$11:$AH$259, COUNTIF($AM$10:$AM235, $AI$11:$AI$259), ""), 0)),"")</f>
        <v/>
      </c>
      <c r="AQ236" s="35">
        <f t="shared" si="23"/>
        <v>0</v>
      </c>
    </row>
    <row r="237" spans="1:43" x14ac:dyDescent="0.25">
      <c r="A237" s="35" t="str">
        <f>IFERROR(INDEX('G-1 All Habitats'!$AG$3:$AG$15,MATCH(E237,'G-1 All Habitats'!$AF$3:$AF$15,0)),"")</f>
        <v/>
      </c>
      <c r="B237" s="35" t="str">
        <f>IFERROR(INDEX('G-8 Condition Look up'!$I$4:$I$131,MATCH(G237,'G-8 Condition Look up'!$A$4:$A$131,0)),"")</f>
        <v/>
      </c>
      <c r="D237" s="168">
        <v>227</v>
      </c>
      <c r="E237" s="275"/>
      <c r="F237" s="275"/>
      <c r="G237" s="370" t="str">
        <f>IFERROR(INDEX('G-1 All Habitats'!$B$3:$B$130,MATCH(F237,'G-1 All Habitats'!$A$3:$A$130,0)),"")</f>
        <v/>
      </c>
      <c r="H237" s="213"/>
      <c r="I237" s="171" t="str">
        <f>IF(G237="","",VLOOKUP(G237,'G-1 All Habitats'!$B$2:$M$130,10,FALSE))</f>
        <v/>
      </c>
      <c r="J237" s="172" t="str">
        <f>IFERROR(VLOOKUP(I237,'G-1 All Habitats'!$V$3:$W$7,2,FALSE),"")</f>
        <v/>
      </c>
      <c r="K237" s="173"/>
      <c r="L237" s="172" t="str">
        <f>IFERROR(INDEX('G-8 Condition Look up'!$A$3:$H$131,MATCH(G237,'G-8 Condition Look up'!$A$3:$A$131,0),MATCH(K237,'G-8 Condition Look up'!$A$3:$H$3,0)),"")</f>
        <v/>
      </c>
      <c r="M237" s="186"/>
      <c r="N237" s="175" t="str">
        <f>IF(M237="","",IF(VLOOKUP(M237,'G-3 Multipliers'!$L$3:$N$6,2,FALSE)=0,"Spatial Data Missing",VLOOKUP(M237,'G-3 Multipliers'!$L$3:$N$6,2,FALSE)))</f>
        <v/>
      </c>
      <c r="O237" s="176" t="str">
        <f>IF(M237="","",IF(VLOOKUP(M237,'G-3 Multipliers'!$L$3:$N$6,3,FALSE)=0,"Spatial Data Missing",VLOOKUP(M237,'G-3 Multipliers'!$L$3:$N$6,3,FALSE)))</f>
        <v/>
      </c>
      <c r="P237" s="177" t="str">
        <f>IFERROR(VLOOKUP(G237,'G-1 All Habitats'!$B$2:$M$130,12,FALSE),"")</f>
        <v/>
      </c>
      <c r="Q237" s="81" t="str">
        <f>IFERROR(IF(P237="","",IF(AND(P237='G-1 All Habitats'!$X$3,T237&gt;0),U237+V237,IF(AND(P237='G-1 All Habitats'!$X$3,S237&gt;0),U237+V237,IF(AND(P237='G-1 All Habitats'!$X$3,AC237&gt;0),"Any Loss Unacceptable",IF(AND(P237='G-1 All Habitats'!$X$3,W237&gt;0),"Any Loss Unacceptable",H237*J237*L237*O237))))),"Check Data")</f>
        <v/>
      </c>
      <c r="R237" s="55"/>
      <c r="S237" s="79"/>
      <c r="T237" s="82"/>
      <c r="U237" s="83" t="str">
        <f t="shared" si="20"/>
        <v/>
      </c>
      <c r="V237" s="83" t="str">
        <f t="shared" si="21"/>
        <v/>
      </c>
      <c r="W237" s="83" t="str">
        <f>IF(E237="","",IF(H237&lt;S237+T237,"Error in Areas",IF(P237&lt;&gt;'G-1 All Habitats'!$X$3,H237-S237-T237,IF(AND(P237='G-1 All Habitats'!$X$3,Y237="Yes"),"Unacceptable Loss",IF(AND(P237='G-1 All Habitats'!$X$3,Y237="No"),AC237,IF(AND(P237='G-1 All Habitats'!$X$3,Y237=""),AC237,IF(AND(P237='G-1 All Habitats'!$X$3,AC237="None",AC237),IF(AND(P237='G-1 All Habitats'!$X$3,AC237&gt;0),H237-S237-T237))))))))</f>
        <v/>
      </c>
      <c r="X237" s="354" t="str">
        <f>IFERROR(IF(H237="","",IF(H237-S237-T237=0&lt;0,"Error in Areas",IF(S237+T237&gt;H237,"Error in Areas",IF(AND(P237='G-1 All Habitats'!$X$3,Y237="Yes"),"Alternative Compensation",IF(W237=0,0,IF(P237='G-1 All Habitats'!$X$3,"Unacceptable Loss",Q237-U237-V237)))))),"Check Data")</f>
        <v/>
      </c>
      <c r="Y237" s="82"/>
      <c r="Z237" s="182"/>
      <c r="AA237" s="183"/>
      <c r="AC237" s="371" t="str">
        <f>IF(P237="","",IF(P237='G-1 All Habitats'!$X$3,H237-S237-T237,"None"))</f>
        <v/>
      </c>
      <c r="AD237" s="372" t="str">
        <f t="shared" si="22"/>
        <v/>
      </c>
      <c r="AF237" s="188" t="str">
        <f t="shared" si="18"/>
        <v/>
      </c>
      <c r="AG237" s="188" t="str">
        <f t="shared" si="19"/>
        <v/>
      </c>
      <c r="AH237" s="188" t="str">
        <f>IF(I237="","",IF(#REF!&gt;0,TRUE,FALSE))</f>
        <v/>
      </c>
      <c r="AI237" s="188">
        <v>227</v>
      </c>
      <c r="AJ237" s="188"/>
      <c r="AK237" s="188" t="str">
        <f t="array" ref="AK237">IFERROR(INDEX($AI$11:$AI$259, MATCH(0, IF(TRUE=$AF$11:$AF$259, COUNTIF($AK$10:$AK236, $AI$11:$AI$259), ""), 0)),"")</f>
        <v/>
      </c>
      <c r="AL237" s="188" t="str">
        <f t="array" ref="AL237">IFERROR(INDEX($AI$11:$AI$259, MATCH(0, IF(TRUE=$AG$11:$AG$259, COUNTIF($AL$10:$AL236, $AI$11:$AI$259), ""), 0)),"")</f>
        <v/>
      </c>
      <c r="AM237" s="188" t="str">
        <f t="array" ref="AM237">IFERROR(INDEX($AI$11:$AI$259, MATCH(0, IF(TRUE=$AH$11:$AH$259, COUNTIF($AM$10:$AM236, $AI$11:$AI$259), ""), 0)),"")</f>
        <v/>
      </c>
      <c r="AQ237" s="35">
        <f t="shared" si="23"/>
        <v>0</v>
      </c>
    </row>
    <row r="238" spans="1:43" x14ac:dyDescent="0.25">
      <c r="A238" s="35" t="str">
        <f>IFERROR(INDEX('G-1 All Habitats'!$AG$3:$AG$15,MATCH(E238,'G-1 All Habitats'!$AF$3:$AF$15,0)),"")</f>
        <v/>
      </c>
      <c r="B238" s="35" t="str">
        <f>IFERROR(INDEX('G-8 Condition Look up'!$I$4:$I$131,MATCH(G238,'G-8 Condition Look up'!$A$4:$A$131,0)),"")</f>
        <v/>
      </c>
      <c r="D238" s="168">
        <v>228</v>
      </c>
      <c r="E238" s="275"/>
      <c r="F238" s="275"/>
      <c r="G238" s="370" t="str">
        <f>IFERROR(INDEX('G-1 All Habitats'!$B$3:$B$130,MATCH(F238,'G-1 All Habitats'!$A$3:$A$130,0)),"")</f>
        <v/>
      </c>
      <c r="H238" s="213"/>
      <c r="I238" s="171" t="str">
        <f>IF(G238="","",VLOOKUP(G238,'G-1 All Habitats'!$B$2:$M$130,10,FALSE))</f>
        <v/>
      </c>
      <c r="J238" s="172" t="str">
        <f>IFERROR(VLOOKUP(I238,'G-1 All Habitats'!$V$3:$W$7,2,FALSE),"")</f>
        <v/>
      </c>
      <c r="K238" s="173"/>
      <c r="L238" s="172" t="str">
        <f>IFERROR(INDEX('G-8 Condition Look up'!$A$3:$H$131,MATCH(G238,'G-8 Condition Look up'!$A$3:$A$131,0),MATCH(K238,'G-8 Condition Look up'!$A$3:$H$3,0)),"")</f>
        <v/>
      </c>
      <c r="M238" s="186"/>
      <c r="N238" s="175" t="str">
        <f>IF(M238="","",IF(VLOOKUP(M238,'G-3 Multipliers'!$L$3:$N$6,2,FALSE)=0,"Spatial Data Missing",VLOOKUP(M238,'G-3 Multipliers'!$L$3:$N$6,2,FALSE)))</f>
        <v/>
      </c>
      <c r="O238" s="176" t="str">
        <f>IF(M238="","",IF(VLOOKUP(M238,'G-3 Multipliers'!$L$3:$N$6,3,FALSE)=0,"Spatial Data Missing",VLOOKUP(M238,'G-3 Multipliers'!$L$3:$N$6,3,FALSE)))</f>
        <v/>
      </c>
      <c r="P238" s="177" t="str">
        <f>IFERROR(VLOOKUP(G238,'G-1 All Habitats'!$B$2:$M$130,12,FALSE),"")</f>
        <v/>
      </c>
      <c r="Q238" s="81" t="str">
        <f>IFERROR(IF(P238="","",IF(AND(P238='G-1 All Habitats'!$X$3,T238&gt;0),U238+V238,IF(AND(P238='G-1 All Habitats'!$X$3,S238&gt;0),U238+V238,IF(AND(P238='G-1 All Habitats'!$X$3,AC238&gt;0),"Any Loss Unacceptable",IF(AND(P238='G-1 All Habitats'!$X$3,W238&gt;0),"Any Loss Unacceptable",H238*J238*L238*O238))))),"Check Data")</f>
        <v/>
      </c>
      <c r="R238" s="55"/>
      <c r="S238" s="79"/>
      <c r="T238" s="82"/>
      <c r="U238" s="83" t="str">
        <f t="shared" si="20"/>
        <v/>
      </c>
      <c r="V238" s="83" t="str">
        <f t="shared" si="21"/>
        <v/>
      </c>
      <c r="W238" s="83" t="str">
        <f>IF(E238="","",IF(H238&lt;S238+T238,"Error in Areas",IF(P238&lt;&gt;'G-1 All Habitats'!$X$3,H238-S238-T238,IF(AND(P238='G-1 All Habitats'!$X$3,Y238="Yes"),"Unacceptable Loss",IF(AND(P238='G-1 All Habitats'!$X$3,Y238="No"),AC238,IF(AND(P238='G-1 All Habitats'!$X$3,Y238=""),AC238,IF(AND(P238='G-1 All Habitats'!$X$3,AC238="None",AC238),IF(AND(P238='G-1 All Habitats'!$X$3,AC238&gt;0),H238-S238-T238))))))))</f>
        <v/>
      </c>
      <c r="X238" s="354" t="str">
        <f>IFERROR(IF(H238="","",IF(H238-S238-T238=0&lt;0,"Error in Areas",IF(S238+T238&gt;H238,"Error in Areas",IF(AND(P238='G-1 All Habitats'!$X$3,Y238="Yes"),"Alternative Compensation",IF(W238=0,0,IF(P238='G-1 All Habitats'!$X$3,"Unacceptable Loss",Q238-U238-V238)))))),"Check Data")</f>
        <v/>
      </c>
      <c r="Y238" s="82"/>
      <c r="Z238" s="182"/>
      <c r="AA238" s="183"/>
      <c r="AC238" s="371" t="str">
        <f>IF(P238="","",IF(P238='G-1 All Habitats'!$X$3,H238-S238-T238,"None"))</f>
        <v/>
      </c>
      <c r="AD238" s="372" t="str">
        <f t="shared" si="22"/>
        <v/>
      </c>
      <c r="AF238" s="188" t="str">
        <f t="shared" si="18"/>
        <v/>
      </c>
      <c r="AG238" s="188" t="str">
        <f t="shared" si="19"/>
        <v/>
      </c>
      <c r="AH238" s="188" t="str">
        <f>IF(I238="","",IF(#REF!&gt;0,TRUE,FALSE))</f>
        <v/>
      </c>
      <c r="AI238" s="188">
        <v>228</v>
      </c>
      <c r="AJ238" s="188"/>
      <c r="AK238" s="188" t="str">
        <f t="array" ref="AK238">IFERROR(INDEX($AI$11:$AI$259, MATCH(0, IF(TRUE=$AF$11:$AF$259, COUNTIF($AK$10:$AK237, $AI$11:$AI$259), ""), 0)),"")</f>
        <v/>
      </c>
      <c r="AL238" s="188" t="str">
        <f t="array" ref="AL238">IFERROR(INDEX($AI$11:$AI$259, MATCH(0, IF(TRUE=$AG$11:$AG$259, COUNTIF($AL$10:$AL237, $AI$11:$AI$259), ""), 0)),"")</f>
        <v/>
      </c>
      <c r="AM238" s="188" t="str">
        <f t="array" ref="AM238">IFERROR(INDEX($AI$11:$AI$259, MATCH(0, IF(TRUE=$AH$11:$AH$259, COUNTIF($AM$10:$AM237, $AI$11:$AI$259), ""), 0)),"")</f>
        <v/>
      </c>
      <c r="AQ238" s="35">
        <f t="shared" si="23"/>
        <v>0</v>
      </c>
    </row>
    <row r="239" spans="1:43" x14ac:dyDescent="0.25">
      <c r="A239" s="35" t="str">
        <f>IFERROR(INDEX('G-1 All Habitats'!$AG$3:$AG$15,MATCH(E239,'G-1 All Habitats'!$AF$3:$AF$15,0)),"")</f>
        <v/>
      </c>
      <c r="B239" s="35" t="str">
        <f>IFERROR(INDEX('G-8 Condition Look up'!$I$4:$I$131,MATCH(G239,'G-8 Condition Look up'!$A$4:$A$131,0)),"")</f>
        <v/>
      </c>
      <c r="D239" s="168">
        <v>229</v>
      </c>
      <c r="E239" s="275"/>
      <c r="F239" s="275"/>
      <c r="G239" s="370" t="str">
        <f>IFERROR(INDEX('G-1 All Habitats'!$B$3:$B$130,MATCH(F239,'G-1 All Habitats'!$A$3:$A$130,0)),"")</f>
        <v/>
      </c>
      <c r="H239" s="213"/>
      <c r="I239" s="171" t="str">
        <f>IF(G239="","",VLOOKUP(G239,'G-1 All Habitats'!$B$2:$M$130,10,FALSE))</f>
        <v/>
      </c>
      <c r="J239" s="172" t="str">
        <f>IFERROR(VLOOKUP(I239,'G-1 All Habitats'!$V$3:$W$7,2,FALSE),"")</f>
        <v/>
      </c>
      <c r="K239" s="173"/>
      <c r="L239" s="172" t="str">
        <f>IFERROR(INDEX('G-8 Condition Look up'!$A$3:$H$131,MATCH(G239,'G-8 Condition Look up'!$A$3:$A$131,0),MATCH(K239,'G-8 Condition Look up'!$A$3:$H$3,0)),"")</f>
        <v/>
      </c>
      <c r="M239" s="186"/>
      <c r="N239" s="175" t="str">
        <f>IF(M239="","",IF(VLOOKUP(M239,'G-3 Multipliers'!$L$3:$N$6,2,FALSE)=0,"Spatial Data Missing",VLOOKUP(M239,'G-3 Multipliers'!$L$3:$N$6,2,FALSE)))</f>
        <v/>
      </c>
      <c r="O239" s="176" t="str">
        <f>IF(M239="","",IF(VLOOKUP(M239,'G-3 Multipliers'!$L$3:$N$6,3,FALSE)=0,"Spatial Data Missing",VLOOKUP(M239,'G-3 Multipliers'!$L$3:$N$6,3,FALSE)))</f>
        <v/>
      </c>
      <c r="P239" s="177" t="str">
        <f>IFERROR(VLOOKUP(G239,'G-1 All Habitats'!$B$2:$M$130,12,FALSE),"")</f>
        <v/>
      </c>
      <c r="Q239" s="81" t="str">
        <f>IFERROR(IF(P239="","",IF(AND(P239='G-1 All Habitats'!$X$3,T239&gt;0),U239+V239,IF(AND(P239='G-1 All Habitats'!$X$3,S239&gt;0),U239+V239,IF(AND(P239='G-1 All Habitats'!$X$3,AC239&gt;0),"Any Loss Unacceptable",IF(AND(P239='G-1 All Habitats'!$X$3,W239&gt;0),"Any Loss Unacceptable",H239*J239*L239*O239))))),"Check Data")</f>
        <v/>
      </c>
      <c r="R239" s="55"/>
      <c r="S239" s="79"/>
      <c r="T239" s="82"/>
      <c r="U239" s="83" t="str">
        <f t="shared" si="20"/>
        <v/>
      </c>
      <c r="V239" s="83" t="str">
        <f t="shared" si="21"/>
        <v/>
      </c>
      <c r="W239" s="83" t="str">
        <f>IF(E239="","",IF(H239&lt;S239+T239,"Error in Areas",IF(P239&lt;&gt;'G-1 All Habitats'!$X$3,H239-S239-T239,IF(AND(P239='G-1 All Habitats'!$X$3,Y239="Yes"),"Unacceptable Loss",IF(AND(P239='G-1 All Habitats'!$X$3,Y239="No"),AC239,IF(AND(P239='G-1 All Habitats'!$X$3,Y239=""),AC239,IF(AND(P239='G-1 All Habitats'!$X$3,AC239="None",AC239),IF(AND(P239='G-1 All Habitats'!$X$3,AC239&gt;0),H239-S239-T239))))))))</f>
        <v/>
      </c>
      <c r="X239" s="354" t="str">
        <f>IFERROR(IF(H239="","",IF(H239-S239-T239=0&lt;0,"Error in Areas",IF(S239+T239&gt;H239,"Error in Areas",IF(AND(P239='G-1 All Habitats'!$X$3,Y239="Yes"),"Alternative Compensation",IF(W239=0,0,IF(P239='G-1 All Habitats'!$X$3,"Unacceptable Loss",Q239-U239-V239)))))),"Check Data")</f>
        <v/>
      </c>
      <c r="Y239" s="82"/>
      <c r="Z239" s="182"/>
      <c r="AA239" s="183"/>
      <c r="AC239" s="371" t="str">
        <f>IF(P239="","",IF(P239='G-1 All Habitats'!$X$3,H239-S239-T239,"None"))</f>
        <v/>
      </c>
      <c r="AD239" s="372" t="str">
        <f t="shared" si="22"/>
        <v/>
      </c>
      <c r="AF239" s="188" t="str">
        <f t="shared" si="18"/>
        <v/>
      </c>
      <c r="AG239" s="188" t="str">
        <f t="shared" si="19"/>
        <v/>
      </c>
      <c r="AH239" s="188" t="str">
        <f>IF(I239="","",IF(#REF!&gt;0,TRUE,FALSE))</f>
        <v/>
      </c>
      <c r="AI239" s="188">
        <v>229</v>
      </c>
      <c r="AJ239" s="188"/>
      <c r="AK239" s="188" t="str">
        <f t="array" ref="AK239">IFERROR(INDEX($AI$11:$AI$259, MATCH(0, IF(TRUE=$AF$11:$AF$259, COUNTIF($AK$10:$AK238, $AI$11:$AI$259), ""), 0)),"")</f>
        <v/>
      </c>
      <c r="AL239" s="188" t="str">
        <f t="array" ref="AL239">IFERROR(INDEX($AI$11:$AI$259, MATCH(0, IF(TRUE=$AG$11:$AG$259, COUNTIF($AL$10:$AL238, $AI$11:$AI$259), ""), 0)),"")</f>
        <v/>
      </c>
      <c r="AM239" s="188" t="str">
        <f t="array" ref="AM239">IFERROR(INDEX($AI$11:$AI$259, MATCH(0, IF(TRUE=$AH$11:$AH$259, COUNTIF($AM$10:$AM238, $AI$11:$AI$259), ""), 0)),"")</f>
        <v/>
      </c>
      <c r="AQ239" s="35">
        <f t="shared" si="23"/>
        <v>0</v>
      </c>
    </row>
    <row r="240" spans="1:43" x14ac:dyDescent="0.25">
      <c r="A240" s="35" t="str">
        <f>IFERROR(INDEX('G-1 All Habitats'!$AG$3:$AG$15,MATCH(E240,'G-1 All Habitats'!$AF$3:$AF$15,0)),"")</f>
        <v/>
      </c>
      <c r="B240" s="35" t="str">
        <f>IFERROR(INDEX('G-8 Condition Look up'!$I$4:$I$131,MATCH(G240,'G-8 Condition Look up'!$A$4:$A$131,0)),"")</f>
        <v/>
      </c>
      <c r="D240" s="168">
        <v>230</v>
      </c>
      <c r="E240" s="275"/>
      <c r="F240" s="275"/>
      <c r="G240" s="370" t="str">
        <f>IFERROR(INDEX('G-1 All Habitats'!$B$3:$B$130,MATCH(F240,'G-1 All Habitats'!$A$3:$A$130,0)),"")</f>
        <v/>
      </c>
      <c r="H240" s="213"/>
      <c r="I240" s="171" t="str">
        <f>IF(G240="","",VLOOKUP(G240,'G-1 All Habitats'!$B$2:$M$130,10,FALSE))</f>
        <v/>
      </c>
      <c r="J240" s="172" t="str">
        <f>IFERROR(VLOOKUP(I240,'G-1 All Habitats'!$V$3:$W$7,2,FALSE),"")</f>
        <v/>
      </c>
      <c r="K240" s="173"/>
      <c r="L240" s="172" t="str">
        <f>IFERROR(INDEX('G-8 Condition Look up'!$A$3:$H$131,MATCH(G240,'G-8 Condition Look up'!$A$3:$A$131,0),MATCH(K240,'G-8 Condition Look up'!$A$3:$H$3,0)),"")</f>
        <v/>
      </c>
      <c r="M240" s="186"/>
      <c r="N240" s="175" t="str">
        <f>IF(M240="","",IF(VLOOKUP(M240,'G-3 Multipliers'!$L$3:$N$6,2,FALSE)=0,"Spatial Data Missing",VLOOKUP(M240,'G-3 Multipliers'!$L$3:$N$6,2,FALSE)))</f>
        <v/>
      </c>
      <c r="O240" s="176" t="str">
        <f>IF(M240="","",IF(VLOOKUP(M240,'G-3 Multipliers'!$L$3:$N$6,3,FALSE)=0,"Spatial Data Missing",VLOOKUP(M240,'G-3 Multipliers'!$L$3:$N$6,3,FALSE)))</f>
        <v/>
      </c>
      <c r="P240" s="177" t="str">
        <f>IFERROR(VLOOKUP(G240,'G-1 All Habitats'!$B$2:$M$130,12,FALSE),"")</f>
        <v/>
      </c>
      <c r="Q240" s="81" t="str">
        <f>IFERROR(IF(P240="","",IF(AND(P240='G-1 All Habitats'!$X$3,T240&gt;0),U240+V240,IF(AND(P240='G-1 All Habitats'!$X$3,S240&gt;0),U240+V240,IF(AND(P240='G-1 All Habitats'!$X$3,AC240&gt;0),"Any Loss Unacceptable",IF(AND(P240='G-1 All Habitats'!$X$3,W240&gt;0),"Any Loss Unacceptable",H240*J240*L240*O240))))),"Check Data")</f>
        <v/>
      </c>
      <c r="R240" s="55"/>
      <c r="S240" s="79"/>
      <c r="T240" s="82"/>
      <c r="U240" s="83" t="str">
        <f t="shared" si="20"/>
        <v/>
      </c>
      <c r="V240" s="83" t="str">
        <f t="shared" si="21"/>
        <v/>
      </c>
      <c r="W240" s="83" t="str">
        <f>IF(E240="","",IF(H240&lt;S240+T240,"Error in Areas",IF(P240&lt;&gt;'G-1 All Habitats'!$X$3,H240-S240-T240,IF(AND(P240='G-1 All Habitats'!$X$3,Y240="Yes"),"Unacceptable Loss",IF(AND(P240='G-1 All Habitats'!$X$3,Y240="No"),AC240,IF(AND(P240='G-1 All Habitats'!$X$3,Y240=""),AC240,IF(AND(P240='G-1 All Habitats'!$X$3,AC240="None",AC240),IF(AND(P240='G-1 All Habitats'!$X$3,AC240&gt;0),H240-S240-T240))))))))</f>
        <v/>
      </c>
      <c r="X240" s="354" t="str">
        <f>IFERROR(IF(H240="","",IF(H240-S240-T240=0&lt;0,"Error in Areas",IF(S240+T240&gt;H240,"Error in Areas",IF(AND(P240='G-1 All Habitats'!$X$3,Y240="Yes"),"Alternative Compensation",IF(W240=0,0,IF(P240='G-1 All Habitats'!$X$3,"Unacceptable Loss",Q240-U240-V240)))))),"Check Data")</f>
        <v/>
      </c>
      <c r="Y240" s="82"/>
      <c r="Z240" s="182"/>
      <c r="AA240" s="183"/>
      <c r="AC240" s="371" t="str">
        <f>IF(P240="","",IF(P240='G-1 All Habitats'!$X$3,H240-S240-T240,"None"))</f>
        <v/>
      </c>
      <c r="AD240" s="372" t="str">
        <f t="shared" si="22"/>
        <v/>
      </c>
      <c r="AF240" s="188" t="str">
        <f t="shared" si="18"/>
        <v/>
      </c>
      <c r="AG240" s="188" t="str">
        <f t="shared" si="19"/>
        <v/>
      </c>
      <c r="AH240" s="188" t="str">
        <f>IF(I240="","",IF(#REF!&gt;0,TRUE,FALSE))</f>
        <v/>
      </c>
      <c r="AI240" s="188">
        <v>230</v>
      </c>
      <c r="AJ240" s="188"/>
      <c r="AK240" s="188" t="str">
        <f t="array" ref="AK240">IFERROR(INDEX($AI$11:$AI$259, MATCH(0, IF(TRUE=$AF$11:$AF$259, COUNTIF($AK$10:$AK239, $AI$11:$AI$259), ""), 0)),"")</f>
        <v/>
      </c>
      <c r="AL240" s="188" t="str">
        <f t="array" ref="AL240">IFERROR(INDEX($AI$11:$AI$259, MATCH(0, IF(TRUE=$AG$11:$AG$259, COUNTIF($AL$10:$AL239, $AI$11:$AI$259), ""), 0)),"")</f>
        <v/>
      </c>
      <c r="AM240" s="188" t="str">
        <f t="array" ref="AM240">IFERROR(INDEX($AI$11:$AI$259, MATCH(0, IF(TRUE=$AH$11:$AH$259, COUNTIF($AM$10:$AM239, $AI$11:$AI$259), ""), 0)),"")</f>
        <v/>
      </c>
      <c r="AQ240" s="35">
        <f t="shared" si="23"/>
        <v>0</v>
      </c>
    </row>
    <row r="241" spans="1:43" x14ac:dyDescent="0.25">
      <c r="A241" s="35" t="str">
        <f>IFERROR(INDEX('G-1 All Habitats'!$AG$3:$AG$15,MATCH(E241,'G-1 All Habitats'!$AF$3:$AF$15,0)),"")</f>
        <v/>
      </c>
      <c r="B241" s="35" t="str">
        <f>IFERROR(INDEX('G-8 Condition Look up'!$I$4:$I$131,MATCH(G241,'G-8 Condition Look up'!$A$4:$A$131,0)),"")</f>
        <v/>
      </c>
      <c r="D241" s="168">
        <v>231</v>
      </c>
      <c r="E241" s="275"/>
      <c r="F241" s="275"/>
      <c r="G241" s="370" t="str">
        <f>IFERROR(INDEX('G-1 All Habitats'!$B$3:$B$130,MATCH(F241,'G-1 All Habitats'!$A$3:$A$130,0)),"")</f>
        <v/>
      </c>
      <c r="H241" s="213"/>
      <c r="I241" s="171" t="str">
        <f>IF(G241="","",VLOOKUP(G241,'G-1 All Habitats'!$B$2:$M$130,10,FALSE))</f>
        <v/>
      </c>
      <c r="J241" s="172" t="str">
        <f>IFERROR(VLOOKUP(I241,'G-1 All Habitats'!$V$3:$W$7,2,FALSE),"")</f>
        <v/>
      </c>
      <c r="K241" s="173"/>
      <c r="L241" s="172" t="str">
        <f>IFERROR(INDEX('G-8 Condition Look up'!$A$3:$H$131,MATCH(G241,'G-8 Condition Look up'!$A$3:$A$131,0),MATCH(K241,'G-8 Condition Look up'!$A$3:$H$3,0)),"")</f>
        <v/>
      </c>
      <c r="M241" s="186"/>
      <c r="N241" s="175" t="str">
        <f>IF(M241="","",IF(VLOOKUP(M241,'G-3 Multipliers'!$L$3:$N$6,2,FALSE)=0,"Spatial Data Missing",VLOOKUP(M241,'G-3 Multipliers'!$L$3:$N$6,2,FALSE)))</f>
        <v/>
      </c>
      <c r="O241" s="176" t="str">
        <f>IF(M241="","",IF(VLOOKUP(M241,'G-3 Multipliers'!$L$3:$N$6,3,FALSE)=0,"Spatial Data Missing",VLOOKUP(M241,'G-3 Multipliers'!$L$3:$N$6,3,FALSE)))</f>
        <v/>
      </c>
      <c r="P241" s="177" t="str">
        <f>IFERROR(VLOOKUP(G241,'G-1 All Habitats'!$B$2:$M$130,12,FALSE),"")</f>
        <v/>
      </c>
      <c r="Q241" s="81" t="str">
        <f>IFERROR(IF(P241="","",IF(AND(P241='G-1 All Habitats'!$X$3,T241&gt;0),U241+V241,IF(AND(P241='G-1 All Habitats'!$X$3,S241&gt;0),U241+V241,IF(AND(P241='G-1 All Habitats'!$X$3,AC241&gt;0),"Any Loss Unacceptable",IF(AND(P241='G-1 All Habitats'!$X$3,W241&gt;0),"Any Loss Unacceptable",H241*J241*L241*O241))))),"Check Data")</f>
        <v/>
      </c>
      <c r="R241" s="55"/>
      <c r="S241" s="79"/>
      <c r="T241" s="82"/>
      <c r="U241" s="83" t="str">
        <f t="shared" si="20"/>
        <v/>
      </c>
      <c r="V241" s="83" t="str">
        <f t="shared" si="21"/>
        <v/>
      </c>
      <c r="W241" s="83" t="str">
        <f>IF(E241="","",IF(H241&lt;S241+T241,"Error in Areas",IF(P241&lt;&gt;'G-1 All Habitats'!$X$3,H241-S241-T241,IF(AND(P241='G-1 All Habitats'!$X$3,Y241="Yes"),"Unacceptable Loss",IF(AND(P241='G-1 All Habitats'!$X$3,Y241="No"),AC241,IF(AND(P241='G-1 All Habitats'!$X$3,Y241=""),AC241,IF(AND(P241='G-1 All Habitats'!$X$3,AC241="None",AC241),IF(AND(P241='G-1 All Habitats'!$X$3,AC241&gt;0),H241-S241-T241))))))))</f>
        <v/>
      </c>
      <c r="X241" s="354" t="str">
        <f>IFERROR(IF(H241="","",IF(H241-S241-T241=0&lt;0,"Error in Areas",IF(S241+T241&gt;H241,"Error in Areas",IF(AND(P241='G-1 All Habitats'!$X$3,Y241="Yes"),"Alternative Compensation",IF(W241=0,0,IF(P241='G-1 All Habitats'!$X$3,"Unacceptable Loss",Q241-U241-V241)))))),"Check Data")</f>
        <v/>
      </c>
      <c r="Y241" s="82"/>
      <c r="Z241" s="182"/>
      <c r="AA241" s="183"/>
      <c r="AC241" s="371" t="str">
        <f>IF(P241="","",IF(P241='G-1 All Habitats'!$X$3,H241-S241-T241,"None"))</f>
        <v/>
      </c>
      <c r="AD241" s="372" t="str">
        <f t="shared" si="22"/>
        <v/>
      </c>
      <c r="AF241" s="188" t="str">
        <f t="shared" si="18"/>
        <v/>
      </c>
      <c r="AG241" s="188" t="str">
        <f t="shared" si="19"/>
        <v/>
      </c>
      <c r="AH241" s="188" t="str">
        <f>IF(I241="","",IF(#REF!&gt;0,TRUE,FALSE))</f>
        <v/>
      </c>
      <c r="AI241" s="188">
        <v>231</v>
      </c>
      <c r="AJ241" s="188"/>
      <c r="AK241" s="188" t="str">
        <f t="array" ref="AK241">IFERROR(INDEX($AI$11:$AI$259, MATCH(0, IF(TRUE=$AF$11:$AF$259, COUNTIF($AK$10:$AK240, $AI$11:$AI$259), ""), 0)),"")</f>
        <v/>
      </c>
      <c r="AL241" s="188" t="str">
        <f t="array" ref="AL241">IFERROR(INDEX($AI$11:$AI$259, MATCH(0, IF(TRUE=$AG$11:$AG$259, COUNTIF($AL$10:$AL240, $AI$11:$AI$259), ""), 0)),"")</f>
        <v/>
      </c>
      <c r="AM241" s="188" t="str">
        <f t="array" ref="AM241">IFERROR(INDEX($AI$11:$AI$259, MATCH(0, IF(TRUE=$AH$11:$AH$259, COUNTIF($AM$10:$AM240, $AI$11:$AI$259), ""), 0)),"")</f>
        <v/>
      </c>
      <c r="AQ241" s="35">
        <f t="shared" si="23"/>
        <v>0</v>
      </c>
    </row>
    <row r="242" spans="1:43" x14ac:dyDescent="0.25">
      <c r="A242" s="35" t="str">
        <f>IFERROR(INDEX('G-1 All Habitats'!$AG$3:$AG$15,MATCH(E242,'G-1 All Habitats'!$AF$3:$AF$15,0)),"")</f>
        <v/>
      </c>
      <c r="B242" s="35" t="str">
        <f>IFERROR(INDEX('G-8 Condition Look up'!$I$4:$I$131,MATCH(G242,'G-8 Condition Look up'!$A$4:$A$131,0)),"")</f>
        <v/>
      </c>
      <c r="D242" s="168">
        <v>232</v>
      </c>
      <c r="E242" s="275"/>
      <c r="F242" s="275"/>
      <c r="G242" s="370" t="str">
        <f>IFERROR(INDEX('G-1 All Habitats'!$B$3:$B$130,MATCH(F242,'G-1 All Habitats'!$A$3:$A$130,0)),"")</f>
        <v/>
      </c>
      <c r="H242" s="213"/>
      <c r="I242" s="171" t="str">
        <f>IF(G242="","",VLOOKUP(G242,'G-1 All Habitats'!$B$2:$M$130,10,FALSE))</f>
        <v/>
      </c>
      <c r="J242" s="172" t="str">
        <f>IFERROR(VLOOKUP(I242,'G-1 All Habitats'!$V$3:$W$7,2,FALSE),"")</f>
        <v/>
      </c>
      <c r="K242" s="173"/>
      <c r="L242" s="172" t="str">
        <f>IFERROR(INDEX('G-8 Condition Look up'!$A$3:$H$131,MATCH(G242,'G-8 Condition Look up'!$A$3:$A$131,0),MATCH(K242,'G-8 Condition Look up'!$A$3:$H$3,0)),"")</f>
        <v/>
      </c>
      <c r="M242" s="186"/>
      <c r="N242" s="175" t="str">
        <f>IF(M242="","",IF(VLOOKUP(M242,'G-3 Multipliers'!$L$3:$N$6,2,FALSE)=0,"Spatial Data Missing",VLOOKUP(M242,'G-3 Multipliers'!$L$3:$N$6,2,FALSE)))</f>
        <v/>
      </c>
      <c r="O242" s="176" t="str">
        <f>IF(M242="","",IF(VLOOKUP(M242,'G-3 Multipliers'!$L$3:$N$6,3,FALSE)=0,"Spatial Data Missing",VLOOKUP(M242,'G-3 Multipliers'!$L$3:$N$6,3,FALSE)))</f>
        <v/>
      </c>
      <c r="P242" s="177" t="str">
        <f>IFERROR(VLOOKUP(G242,'G-1 All Habitats'!$B$2:$M$130,12,FALSE),"")</f>
        <v/>
      </c>
      <c r="Q242" s="81" t="str">
        <f>IFERROR(IF(P242="","",IF(AND(P242='G-1 All Habitats'!$X$3,T242&gt;0),U242+V242,IF(AND(P242='G-1 All Habitats'!$X$3,S242&gt;0),U242+V242,IF(AND(P242='G-1 All Habitats'!$X$3,AC242&gt;0),"Any Loss Unacceptable",IF(AND(P242='G-1 All Habitats'!$X$3,W242&gt;0),"Any Loss Unacceptable",H242*J242*L242*O242))))),"Check Data")</f>
        <v/>
      </c>
      <c r="R242" s="55"/>
      <c r="S242" s="79"/>
      <c r="T242" s="82"/>
      <c r="U242" s="83" t="str">
        <f t="shared" si="20"/>
        <v/>
      </c>
      <c r="V242" s="83" t="str">
        <f t="shared" si="21"/>
        <v/>
      </c>
      <c r="W242" s="83" t="str">
        <f>IF(E242="","",IF(H242&lt;S242+T242,"Error in Areas",IF(P242&lt;&gt;'G-1 All Habitats'!$X$3,H242-S242-T242,IF(AND(P242='G-1 All Habitats'!$X$3,Y242="Yes"),"Unacceptable Loss",IF(AND(P242='G-1 All Habitats'!$X$3,Y242="No"),AC242,IF(AND(P242='G-1 All Habitats'!$X$3,Y242=""),AC242,IF(AND(P242='G-1 All Habitats'!$X$3,AC242="None",AC242),IF(AND(P242='G-1 All Habitats'!$X$3,AC242&gt;0),H242-S242-T242))))))))</f>
        <v/>
      </c>
      <c r="X242" s="354" t="str">
        <f>IFERROR(IF(H242="","",IF(H242-S242-T242=0&lt;0,"Error in Areas",IF(S242+T242&gt;H242,"Error in Areas",IF(AND(P242='G-1 All Habitats'!$X$3,Y242="Yes"),"Alternative Compensation",IF(W242=0,0,IF(P242='G-1 All Habitats'!$X$3,"Unacceptable Loss",Q242-U242-V242)))))),"Check Data")</f>
        <v/>
      </c>
      <c r="Y242" s="82"/>
      <c r="Z242" s="182"/>
      <c r="AA242" s="183"/>
      <c r="AC242" s="371" t="str">
        <f>IF(P242="","",IF(P242='G-1 All Habitats'!$X$3,H242-S242-T242,"None"))</f>
        <v/>
      </c>
      <c r="AD242" s="372" t="str">
        <f t="shared" si="22"/>
        <v/>
      </c>
      <c r="AF242" s="188" t="str">
        <f t="shared" si="18"/>
        <v/>
      </c>
      <c r="AG242" s="188" t="str">
        <f t="shared" si="19"/>
        <v/>
      </c>
      <c r="AH242" s="188" t="str">
        <f>IF(I242="","",IF(#REF!&gt;0,TRUE,FALSE))</f>
        <v/>
      </c>
      <c r="AI242" s="188">
        <v>232</v>
      </c>
      <c r="AJ242" s="188"/>
      <c r="AK242" s="188" t="str">
        <f t="array" ref="AK242">IFERROR(INDEX($AI$11:$AI$259, MATCH(0, IF(TRUE=$AF$11:$AF$259, COUNTIF($AK$10:$AK241, $AI$11:$AI$259), ""), 0)),"")</f>
        <v/>
      </c>
      <c r="AL242" s="188" t="str">
        <f t="array" ref="AL242">IFERROR(INDEX($AI$11:$AI$259, MATCH(0, IF(TRUE=$AG$11:$AG$259, COUNTIF($AL$10:$AL241, $AI$11:$AI$259), ""), 0)),"")</f>
        <v/>
      </c>
      <c r="AM242" s="188" t="str">
        <f t="array" ref="AM242">IFERROR(INDEX($AI$11:$AI$259, MATCH(0, IF(TRUE=$AH$11:$AH$259, COUNTIF($AM$10:$AM241, $AI$11:$AI$259), ""), 0)),"")</f>
        <v/>
      </c>
      <c r="AQ242" s="35">
        <f t="shared" si="23"/>
        <v>0</v>
      </c>
    </row>
    <row r="243" spans="1:43" x14ac:dyDescent="0.25">
      <c r="A243" s="35" t="str">
        <f>IFERROR(INDEX('G-1 All Habitats'!$AG$3:$AG$15,MATCH(E243,'G-1 All Habitats'!$AF$3:$AF$15,0)),"")</f>
        <v/>
      </c>
      <c r="B243" s="35" t="str">
        <f>IFERROR(INDEX('G-8 Condition Look up'!$I$4:$I$131,MATCH(G243,'G-8 Condition Look up'!$A$4:$A$131,0)),"")</f>
        <v/>
      </c>
      <c r="D243" s="168">
        <v>233</v>
      </c>
      <c r="E243" s="275"/>
      <c r="F243" s="275"/>
      <c r="G243" s="370" t="str">
        <f>IFERROR(INDEX('G-1 All Habitats'!$B$3:$B$130,MATCH(F243,'G-1 All Habitats'!$A$3:$A$130,0)),"")</f>
        <v/>
      </c>
      <c r="H243" s="213"/>
      <c r="I243" s="171" t="str">
        <f>IF(G243="","",VLOOKUP(G243,'G-1 All Habitats'!$B$2:$M$130,10,FALSE))</f>
        <v/>
      </c>
      <c r="J243" s="172" t="str">
        <f>IFERROR(VLOOKUP(I243,'G-1 All Habitats'!$V$3:$W$7,2,FALSE),"")</f>
        <v/>
      </c>
      <c r="K243" s="173"/>
      <c r="L243" s="172" t="str">
        <f>IFERROR(INDEX('G-8 Condition Look up'!$A$3:$H$131,MATCH(G243,'G-8 Condition Look up'!$A$3:$A$131,0),MATCH(K243,'G-8 Condition Look up'!$A$3:$H$3,0)),"")</f>
        <v/>
      </c>
      <c r="M243" s="186"/>
      <c r="N243" s="175" t="str">
        <f>IF(M243="","",IF(VLOOKUP(M243,'G-3 Multipliers'!$L$3:$N$6,2,FALSE)=0,"Spatial Data Missing",VLOOKUP(M243,'G-3 Multipliers'!$L$3:$N$6,2,FALSE)))</f>
        <v/>
      </c>
      <c r="O243" s="176" t="str">
        <f>IF(M243="","",IF(VLOOKUP(M243,'G-3 Multipliers'!$L$3:$N$6,3,FALSE)=0,"Spatial Data Missing",VLOOKUP(M243,'G-3 Multipliers'!$L$3:$N$6,3,FALSE)))</f>
        <v/>
      </c>
      <c r="P243" s="177" t="str">
        <f>IFERROR(VLOOKUP(G243,'G-1 All Habitats'!$B$2:$M$130,12,FALSE),"")</f>
        <v/>
      </c>
      <c r="Q243" s="81" t="str">
        <f>IFERROR(IF(P243="","",IF(AND(P243='G-1 All Habitats'!$X$3,T243&gt;0),U243+V243,IF(AND(P243='G-1 All Habitats'!$X$3,S243&gt;0),U243+V243,IF(AND(P243='G-1 All Habitats'!$X$3,AC243&gt;0),"Any Loss Unacceptable",IF(AND(P243='G-1 All Habitats'!$X$3,W243&gt;0),"Any Loss Unacceptable",H243*J243*L243*O243))))),"Check Data")</f>
        <v/>
      </c>
      <c r="R243" s="55"/>
      <c r="S243" s="79"/>
      <c r="T243" s="82"/>
      <c r="U243" s="83" t="str">
        <f t="shared" si="20"/>
        <v/>
      </c>
      <c r="V243" s="83" t="str">
        <f t="shared" si="21"/>
        <v/>
      </c>
      <c r="W243" s="83" t="str">
        <f>IF(E243="","",IF(H243&lt;S243+T243,"Error in Areas",IF(P243&lt;&gt;'G-1 All Habitats'!$X$3,H243-S243-T243,IF(AND(P243='G-1 All Habitats'!$X$3,Y243="Yes"),"Unacceptable Loss",IF(AND(P243='G-1 All Habitats'!$X$3,Y243="No"),AC243,IF(AND(P243='G-1 All Habitats'!$X$3,Y243=""),AC243,IF(AND(P243='G-1 All Habitats'!$X$3,AC243="None",AC243),IF(AND(P243='G-1 All Habitats'!$X$3,AC243&gt;0),H243-S243-T243))))))))</f>
        <v/>
      </c>
      <c r="X243" s="354" t="str">
        <f>IFERROR(IF(H243="","",IF(H243-S243-T243=0&lt;0,"Error in Areas",IF(S243+T243&gt;H243,"Error in Areas",IF(AND(P243='G-1 All Habitats'!$X$3,Y243="Yes"),"Alternative Compensation",IF(W243=0,0,IF(P243='G-1 All Habitats'!$X$3,"Unacceptable Loss",Q243-U243-V243)))))),"Check Data")</f>
        <v/>
      </c>
      <c r="Y243" s="82"/>
      <c r="Z243" s="182"/>
      <c r="AA243" s="183"/>
      <c r="AC243" s="371" t="str">
        <f>IF(P243="","",IF(P243='G-1 All Habitats'!$X$3,H243-S243-T243,"None"))</f>
        <v/>
      </c>
      <c r="AD243" s="372" t="str">
        <f t="shared" si="22"/>
        <v/>
      </c>
      <c r="AF243" s="188" t="str">
        <f t="shared" si="18"/>
        <v/>
      </c>
      <c r="AG243" s="188" t="str">
        <f t="shared" si="19"/>
        <v/>
      </c>
      <c r="AH243" s="188" t="str">
        <f>IF(I243="","",IF(#REF!&gt;0,TRUE,FALSE))</f>
        <v/>
      </c>
      <c r="AI243" s="188">
        <v>233</v>
      </c>
      <c r="AJ243" s="188"/>
      <c r="AK243" s="188" t="str">
        <f t="array" ref="AK243">IFERROR(INDEX($AI$11:$AI$259, MATCH(0, IF(TRUE=$AF$11:$AF$259, COUNTIF($AK$10:$AK242, $AI$11:$AI$259), ""), 0)),"")</f>
        <v/>
      </c>
      <c r="AL243" s="188" t="str">
        <f t="array" ref="AL243">IFERROR(INDEX($AI$11:$AI$259, MATCH(0, IF(TRUE=$AG$11:$AG$259, COUNTIF($AL$10:$AL242, $AI$11:$AI$259), ""), 0)),"")</f>
        <v/>
      </c>
      <c r="AM243" s="188" t="str">
        <f t="array" ref="AM243">IFERROR(INDEX($AI$11:$AI$259, MATCH(0, IF(TRUE=$AH$11:$AH$259, COUNTIF($AM$10:$AM242, $AI$11:$AI$259), ""), 0)),"")</f>
        <v/>
      </c>
      <c r="AQ243" s="35">
        <f t="shared" si="23"/>
        <v>0</v>
      </c>
    </row>
    <row r="244" spans="1:43" x14ac:dyDescent="0.25">
      <c r="A244" s="35" t="str">
        <f>IFERROR(INDEX('G-1 All Habitats'!$AG$3:$AG$15,MATCH(E244,'G-1 All Habitats'!$AF$3:$AF$15,0)),"")</f>
        <v/>
      </c>
      <c r="B244" s="35" t="str">
        <f>IFERROR(INDEX('G-8 Condition Look up'!$I$4:$I$131,MATCH(G244,'G-8 Condition Look up'!$A$4:$A$131,0)),"")</f>
        <v/>
      </c>
      <c r="D244" s="168">
        <v>234</v>
      </c>
      <c r="E244" s="275"/>
      <c r="F244" s="275"/>
      <c r="G244" s="370" t="str">
        <f>IFERROR(INDEX('G-1 All Habitats'!$B$3:$B$130,MATCH(F244,'G-1 All Habitats'!$A$3:$A$130,0)),"")</f>
        <v/>
      </c>
      <c r="H244" s="213"/>
      <c r="I244" s="171" t="str">
        <f>IF(G244="","",VLOOKUP(G244,'G-1 All Habitats'!$B$2:$M$130,10,FALSE))</f>
        <v/>
      </c>
      <c r="J244" s="172" t="str">
        <f>IFERROR(VLOOKUP(I244,'G-1 All Habitats'!$V$3:$W$7,2,FALSE),"")</f>
        <v/>
      </c>
      <c r="K244" s="173"/>
      <c r="L244" s="172" t="str">
        <f>IFERROR(INDEX('G-8 Condition Look up'!$A$3:$H$131,MATCH(G244,'G-8 Condition Look up'!$A$3:$A$131,0),MATCH(K244,'G-8 Condition Look up'!$A$3:$H$3,0)),"")</f>
        <v/>
      </c>
      <c r="M244" s="186"/>
      <c r="N244" s="175" t="str">
        <f>IF(M244="","",IF(VLOOKUP(M244,'G-3 Multipliers'!$L$3:$N$6,2,FALSE)=0,"Spatial Data Missing",VLOOKUP(M244,'G-3 Multipliers'!$L$3:$N$6,2,FALSE)))</f>
        <v/>
      </c>
      <c r="O244" s="176" t="str">
        <f>IF(M244="","",IF(VLOOKUP(M244,'G-3 Multipliers'!$L$3:$N$6,3,FALSE)=0,"Spatial Data Missing",VLOOKUP(M244,'G-3 Multipliers'!$L$3:$N$6,3,FALSE)))</f>
        <v/>
      </c>
      <c r="P244" s="177" t="str">
        <f>IFERROR(VLOOKUP(G244,'G-1 All Habitats'!$B$2:$M$130,12,FALSE),"")</f>
        <v/>
      </c>
      <c r="Q244" s="81" t="str">
        <f>IFERROR(IF(P244="","",IF(AND(P244='G-1 All Habitats'!$X$3,T244&gt;0),U244+V244,IF(AND(P244='G-1 All Habitats'!$X$3,S244&gt;0),U244+V244,IF(AND(P244='G-1 All Habitats'!$X$3,AC244&gt;0),"Any Loss Unacceptable",IF(AND(P244='G-1 All Habitats'!$X$3,W244&gt;0),"Any Loss Unacceptable",H244*J244*L244*O244))))),"Check Data")</f>
        <v/>
      </c>
      <c r="R244" s="55"/>
      <c r="S244" s="79"/>
      <c r="T244" s="82"/>
      <c r="U244" s="83" t="str">
        <f t="shared" si="20"/>
        <v/>
      </c>
      <c r="V244" s="83" t="str">
        <f t="shared" si="21"/>
        <v/>
      </c>
      <c r="W244" s="83" t="str">
        <f>IF(E244="","",IF(H244&lt;S244+T244,"Error in Areas",IF(P244&lt;&gt;'G-1 All Habitats'!$X$3,H244-S244-T244,IF(AND(P244='G-1 All Habitats'!$X$3,Y244="Yes"),"Unacceptable Loss",IF(AND(P244='G-1 All Habitats'!$X$3,Y244="No"),AC244,IF(AND(P244='G-1 All Habitats'!$X$3,Y244=""),AC244,IF(AND(P244='G-1 All Habitats'!$X$3,AC244="None",AC244),IF(AND(P244='G-1 All Habitats'!$X$3,AC244&gt;0),H244-S244-T244))))))))</f>
        <v/>
      </c>
      <c r="X244" s="354" t="str">
        <f>IFERROR(IF(H244="","",IF(H244-S244-T244=0&lt;0,"Error in Areas",IF(S244+T244&gt;H244,"Error in Areas",IF(AND(P244='G-1 All Habitats'!$X$3,Y244="Yes"),"Alternative Compensation",IF(W244=0,0,IF(P244='G-1 All Habitats'!$X$3,"Unacceptable Loss",Q244-U244-V244)))))),"Check Data")</f>
        <v/>
      </c>
      <c r="Y244" s="82"/>
      <c r="Z244" s="182"/>
      <c r="AA244" s="183"/>
      <c r="AC244" s="371" t="str">
        <f>IF(P244="","",IF(P244='G-1 All Habitats'!$X$3,H244-S244-T244,"None"))</f>
        <v/>
      </c>
      <c r="AD244" s="372" t="str">
        <f t="shared" si="22"/>
        <v/>
      </c>
      <c r="AF244" s="188" t="str">
        <f t="shared" si="18"/>
        <v/>
      </c>
      <c r="AG244" s="188" t="str">
        <f t="shared" si="19"/>
        <v/>
      </c>
      <c r="AH244" s="188" t="str">
        <f>IF(I244="","",IF(#REF!&gt;0,TRUE,FALSE))</f>
        <v/>
      </c>
      <c r="AI244" s="188">
        <v>234</v>
      </c>
      <c r="AJ244" s="188"/>
      <c r="AK244" s="188" t="str">
        <f t="array" ref="AK244">IFERROR(INDEX($AI$11:$AI$259, MATCH(0, IF(TRUE=$AF$11:$AF$259, COUNTIF($AK$10:$AK243, $AI$11:$AI$259), ""), 0)),"")</f>
        <v/>
      </c>
      <c r="AL244" s="188" t="str">
        <f t="array" ref="AL244">IFERROR(INDEX($AI$11:$AI$259, MATCH(0, IF(TRUE=$AG$11:$AG$259, COUNTIF($AL$10:$AL243, $AI$11:$AI$259), ""), 0)),"")</f>
        <v/>
      </c>
      <c r="AM244" s="188" t="str">
        <f t="array" ref="AM244">IFERROR(INDEX($AI$11:$AI$259, MATCH(0, IF(TRUE=$AH$11:$AH$259, COUNTIF($AM$10:$AM243, $AI$11:$AI$259), ""), 0)),"")</f>
        <v/>
      </c>
      <c r="AQ244" s="35">
        <f t="shared" si="23"/>
        <v>0</v>
      </c>
    </row>
    <row r="245" spans="1:43" x14ac:dyDescent="0.25">
      <c r="A245" s="35" t="str">
        <f>IFERROR(INDEX('G-1 All Habitats'!$AG$3:$AG$15,MATCH(E245,'G-1 All Habitats'!$AF$3:$AF$15,0)),"")</f>
        <v/>
      </c>
      <c r="B245" s="35" t="str">
        <f>IFERROR(INDEX('G-8 Condition Look up'!$I$4:$I$131,MATCH(G245,'G-8 Condition Look up'!$A$4:$A$131,0)),"")</f>
        <v/>
      </c>
      <c r="D245" s="168">
        <v>235</v>
      </c>
      <c r="E245" s="275"/>
      <c r="F245" s="275"/>
      <c r="G245" s="370" t="str">
        <f>IFERROR(INDEX('G-1 All Habitats'!$B$3:$B$130,MATCH(F245,'G-1 All Habitats'!$A$3:$A$130,0)),"")</f>
        <v/>
      </c>
      <c r="H245" s="213"/>
      <c r="I245" s="171" t="str">
        <f>IF(G245="","",VLOOKUP(G245,'G-1 All Habitats'!$B$2:$M$130,10,FALSE))</f>
        <v/>
      </c>
      <c r="J245" s="172" t="str">
        <f>IFERROR(VLOOKUP(I245,'G-1 All Habitats'!$V$3:$W$7,2,FALSE),"")</f>
        <v/>
      </c>
      <c r="K245" s="173"/>
      <c r="L245" s="172" t="str">
        <f>IFERROR(INDEX('G-8 Condition Look up'!$A$3:$H$131,MATCH(G245,'G-8 Condition Look up'!$A$3:$A$131,0),MATCH(K245,'G-8 Condition Look up'!$A$3:$H$3,0)),"")</f>
        <v/>
      </c>
      <c r="M245" s="186"/>
      <c r="N245" s="175" t="str">
        <f>IF(M245="","",IF(VLOOKUP(M245,'G-3 Multipliers'!$L$3:$N$6,2,FALSE)=0,"Spatial Data Missing",VLOOKUP(M245,'G-3 Multipliers'!$L$3:$N$6,2,FALSE)))</f>
        <v/>
      </c>
      <c r="O245" s="176" t="str">
        <f>IF(M245="","",IF(VLOOKUP(M245,'G-3 Multipliers'!$L$3:$N$6,3,FALSE)=0,"Spatial Data Missing",VLOOKUP(M245,'G-3 Multipliers'!$L$3:$N$6,3,FALSE)))</f>
        <v/>
      </c>
      <c r="P245" s="177" t="str">
        <f>IFERROR(VLOOKUP(G245,'G-1 All Habitats'!$B$2:$M$130,12,FALSE),"")</f>
        <v/>
      </c>
      <c r="Q245" s="81" t="str">
        <f>IFERROR(IF(P245="","",IF(AND(P245='G-1 All Habitats'!$X$3,T245&gt;0),U245+V245,IF(AND(P245='G-1 All Habitats'!$X$3,S245&gt;0),U245+V245,IF(AND(P245='G-1 All Habitats'!$X$3,AC245&gt;0),"Any Loss Unacceptable",IF(AND(P245='G-1 All Habitats'!$X$3,W245&gt;0),"Any Loss Unacceptable",H245*J245*L245*O245))))),"Check Data")</f>
        <v/>
      </c>
      <c r="R245" s="55"/>
      <c r="S245" s="79"/>
      <c r="T245" s="82"/>
      <c r="U245" s="83" t="str">
        <f t="shared" si="20"/>
        <v/>
      </c>
      <c r="V245" s="83" t="str">
        <f t="shared" si="21"/>
        <v/>
      </c>
      <c r="W245" s="83" t="str">
        <f>IF(E245="","",IF(H245&lt;S245+T245,"Error in Areas",IF(P245&lt;&gt;'G-1 All Habitats'!$X$3,H245-S245-T245,IF(AND(P245='G-1 All Habitats'!$X$3,Y245="Yes"),"Unacceptable Loss",IF(AND(P245='G-1 All Habitats'!$X$3,Y245="No"),AC245,IF(AND(P245='G-1 All Habitats'!$X$3,Y245=""),AC245,IF(AND(P245='G-1 All Habitats'!$X$3,AC245="None",AC245),IF(AND(P245='G-1 All Habitats'!$X$3,AC245&gt;0),H245-S245-T245))))))))</f>
        <v/>
      </c>
      <c r="X245" s="354" t="str">
        <f>IFERROR(IF(H245="","",IF(H245-S245-T245=0&lt;0,"Error in Areas",IF(S245+T245&gt;H245,"Error in Areas",IF(AND(P245='G-1 All Habitats'!$X$3,Y245="Yes"),"Alternative Compensation",IF(W245=0,0,IF(P245='G-1 All Habitats'!$X$3,"Unacceptable Loss",Q245-U245-V245)))))),"Check Data")</f>
        <v/>
      </c>
      <c r="Y245" s="82"/>
      <c r="Z245" s="182"/>
      <c r="AA245" s="183"/>
      <c r="AC245" s="371" t="str">
        <f>IF(P245="","",IF(P245='G-1 All Habitats'!$X$3,H245-S245-T245,"None"))</f>
        <v/>
      </c>
      <c r="AD245" s="372" t="str">
        <f t="shared" si="22"/>
        <v/>
      </c>
      <c r="AF245" s="188" t="str">
        <f t="shared" si="18"/>
        <v/>
      </c>
      <c r="AG245" s="188" t="str">
        <f t="shared" si="19"/>
        <v/>
      </c>
      <c r="AH245" s="188" t="str">
        <f>IF(I245="","",IF(#REF!&gt;0,TRUE,FALSE))</f>
        <v/>
      </c>
      <c r="AI245" s="188">
        <v>235</v>
      </c>
      <c r="AJ245" s="188"/>
      <c r="AK245" s="188" t="str">
        <f t="array" ref="AK245">IFERROR(INDEX($AI$11:$AI$259, MATCH(0, IF(TRUE=$AF$11:$AF$259, COUNTIF($AK$10:$AK244, $AI$11:$AI$259), ""), 0)),"")</f>
        <v/>
      </c>
      <c r="AL245" s="188" t="str">
        <f t="array" ref="AL245">IFERROR(INDEX($AI$11:$AI$259, MATCH(0, IF(TRUE=$AG$11:$AG$259, COUNTIF($AL$10:$AL244, $AI$11:$AI$259), ""), 0)),"")</f>
        <v/>
      </c>
      <c r="AM245" s="188" t="str">
        <f t="array" ref="AM245">IFERROR(INDEX($AI$11:$AI$259, MATCH(0, IF(TRUE=$AH$11:$AH$259, COUNTIF($AM$10:$AM244, $AI$11:$AI$259), ""), 0)),"")</f>
        <v/>
      </c>
      <c r="AQ245" s="35">
        <f t="shared" si="23"/>
        <v>0</v>
      </c>
    </row>
    <row r="246" spans="1:43" x14ac:dyDescent="0.25">
      <c r="A246" s="35" t="str">
        <f>IFERROR(INDEX('G-1 All Habitats'!$AG$3:$AG$15,MATCH(E246,'G-1 All Habitats'!$AF$3:$AF$15,0)),"")</f>
        <v/>
      </c>
      <c r="B246" s="35" t="str">
        <f>IFERROR(INDEX('G-8 Condition Look up'!$I$4:$I$131,MATCH(G246,'G-8 Condition Look up'!$A$4:$A$131,0)),"")</f>
        <v/>
      </c>
      <c r="D246" s="168">
        <v>236</v>
      </c>
      <c r="E246" s="275"/>
      <c r="F246" s="275"/>
      <c r="G246" s="370" t="str">
        <f>IFERROR(INDEX('G-1 All Habitats'!$B$3:$B$130,MATCH(F246,'G-1 All Habitats'!$A$3:$A$130,0)),"")</f>
        <v/>
      </c>
      <c r="H246" s="213"/>
      <c r="I246" s="171" t="str">
        <f>IF(G246="","",VLOOKUP(G246,'G-1 All Habitats'!$B$2:$M$130,10,FALSE))</f>
        <v/>
      </c>
      <c r="J246" s="172" t="str">
        <f>IFERROR(VLOOKUP(I246,'G-1 All Habitats'!$V$3:$W$7,2,FALSE),"")</f>
        <v/>
      </c>
      <c r="K246" s="173"/>
      <c r="L246" s="172" t="str">
        <f>IFERROR(INDEX('G-8 Condition Look up'!$A$3:$H$131,MATCH(G246,'G-8 Condition Look up'!$A$3:$A$131,0),MATCH(K246,'G-8 Condition Look up'!$A$3:$H$3,0)),"")</f>
        <v/>
      </c>
      <c r="M246" s="186"/>
      <c r="N246" s="175" t="str">
        <f>IF(M246="","",IF(VLOOKUP(M246,'G-3 Multipliers'!$L$3:$N$6,2,FALSE)=0,"Spatial Data Missing",VLOOKUP(M246,'G-3 Multipliers'!$L$3:$N$6,2,FALSE)))</f>
        <v/>
      </c>
      <c r="O246" s="176" t="str">
        <f>IF(M246="","",IF(VLOOKUP(M246,'G-3 Multipliers'!$L$3:$N$6,3,FALSE)=0,"Spatial Data Missing",VLOOKUP(M246,'G-3 Multipliers'!$L$3:$N$6,3,FALSE)))</f>
        <v/>
      </c>
      <c r="P246" s="177" t="str">
        <f>IFERROR(VLOOKUP(G246,'G-1 All Habitats'!$B$2:$M$130,12,FALSE),"")</f>
        <v/>
      </c>
      <c r="Q246" s="81" t="str">
        <f>IFERROR(IF(P246="","",IF(AND(P246='G-1 All Habitats'!$X$3,T246&gt;0),U246+V246,IF(AND(P246='G-1 All Habitats'!$X$3,S246&gt;0),U246+V246,IF(AND(P246='G-1 All Habitats'!$X$3,AC246&gt;0),"Any Loss Unacceptable",IF(AND(P246='G-1 All Habitats'!$X$3,W246&gt;0),"Any Loss Unacceptable",H246*J246*L246*O246))))),"Check Data")</f>
        <v/>
      </c>
      <c r="R246" s="55"/>
      <c r="S246" s="79"/>
      <c r="T246" s="82"/>
      <c r="U246" s="83" t="str">
        <f t="shared" si="20"/>
        <v/>
      </c>
      <c r="V246" s="83" t="str">
        <f t="shared" si="21"/>
        <v/>
      </c>
      <c r="W246" s="83" t="str">
        <f>IF(E246="","",IF(H246&lt;S246+T246,"Error in Areas",IF(P246&lt;&gt;'G-1 All Habitats'!$X$3,H246-S246-T246,IF(AND(P246='G-1 All Habitats'!$X$3,Y246="Yes"),"Unacceptable Loss",IF(AND(P246='G-1 All Habitats'!$X$3,Y246="No"),AC246,IF(AND(P246='G-1 All Habitats'!$X$3,Y246=""),AC246,IF(AND(P246='G-1 All Habitats'!$X$3,AC246="None",AC246),IF(AND(P246='G-1 All Habitats'!$X$3,AC246&gt;0),H246-S246-T246))))))))</f>
        <v/>
      </c>
      <c r="X246" s="354" t="str">
        <f>IFERROR(IF(H246="","",IF(H246-S246-T246=0&lt;0,"Error in Areas",IF(S246+T246&gt;H246,"Error in Areas",IF(AND(P246='G-1 All Habitats'!$X$3,Y246="Yes"),"Alternative Compensation",IF(W246=0,0,IF(P246='G-1 All Habitats'!$X$3,"Unacceptable Loss",Q246-U246-V246)))))),"Check Data")</f>
        <v/>
      </c>
      <c r="Y246" s="82"/>
      <c r="Z246" s="182"/>
      <c r="AA246" s="183"/>
      <c r="AC246" s="371" t="str">
        <f>IF(P246="","",IF(P246='G-1 All Habitats'!$X$3,H246-S246-T246,"None"))</f>
        <v/>
      </c>
      <c r="AD246" s="372" t="str">
        <f t="shared" si="22"/>
        <v/>
      </c>
      <c r="AF246" s="188" t="str">
        <f t="shared" si="18"/>
        <v/>
      </c>
      <c r="AG246" s="188" t="str">
        <f t="shared" si="19"/>
        <v/>
      </c>
      <c r="AH246" s="188" t="str">
        <f>IF(I246="","",IF(#REF!&gt;0,TRUE,FALSE))</f>
        <v/>
      </c>
      <c r="AI246" s="188">
        <v>236</v>
      </c>
      <c r="AJ246" s="188"/>
      <c r="AK246" s="188" t="str">
        <f t="array" ref="AK246">IFERROR(INDEX($AI$11:$AI$259, MATCH(0, IF(TRUE=$AF$11:$AF$259, COUNTIF($AK$10:$AK245, $AI$11:$AI$259), ""), 0)),"")</f>
        <v/>
      </c>
      <c r="AL246" s="188" t="str">
        <f t="array" ref="AL246">IFERROR(INDEX($AI$11:$AI$259, MATCH(0, IF(TRUE=$AG$11:$AG$259, COUNTIF($AL$10:$AL245, $AI$11:$AI$259), ""), 0)),"")</f>
        <v/>
      </c>
      <c r="AM246" s="188" t="str">
        <f t="array" ref="AM246">IFERROR(INDEX($AI$11:$AI$259, MATCH(0, IF(TRUE=$AH$11:$AH$259, COUNTIF($AM$10:$AM245, $AI$11:$AI$259), ""), 0)),"")</f>
        <v/>
      </c>
      <c r="AQ246" s="35">
        <f t="shared" si="23"/>
        <v>0</v>
      </c>
    </row>
    <row r="247" spans="1:43" x14ac:dyDescent="0.25">
      <c r="A247" s="35" t="str">
        <f>IFERROR(INDEX('G-1 All Habitats'!$AG$3:$AG$15,MATCH(E247,'G-1 All Habitats'!$AF$3:$AF$15,0)),"")</f>
        <v/>
      </c>
      <c r="B247" s="35" t="str">
        <f>IFERROR(INDEX('G-8 Condition Look up'!$I$4:$I$131,MATCH(G247,'G-8 Condition Look up'!$A$4:$A$131,0)),"")</f>
        <v/>
      </c>
      <c r="D247" s="168">
        <v>237</v>
      </c>
      <c r="E247" s="275"/>
      <c r="F247" s="275"/>
      <c r="G247" s="370" t="str">
        <f>IFERROR(INDEX('G-1 All Habitats'!$B$3:$B$130,MATCH(F247,'G-1 All Habitats'!$A$3:$A$130,0)),"")</f>
        <v/>
      </c>
      <c r="H247" s="213"/>
      <c r="I247" s="171" t="str">
        <f>IF(G247="","",VLOOKUP(G247,'G-1 All Habitats'!$B$2:$M$130,10,FALSE))</f>
        <v/>
      </c>
      <c r="J247" s="172" t="str">
        <f>IFERROR(VLOOKUP(I247,'G-1 All Habitats'!$V$3:$W$7,2,FALSE),"")</f>
        <v/>
      </c>
      <c r="K247" s="173"/>
      <c r="L247" s="172" t="str">
        <f>IFERROR(INDEX('G-8 Condition Look up'!$A$3:$H$131,MATCH(G247,'G-8 Condition Look up'!$A$3:$A$131,0),MATCH(K247,'G-8 Condition Look up'!$A$3:$H$3,0)),"")</f>
        <v/>
      </c>
      <c r="M247" s="186"/>
      <c r="N247" s="175" t="str">
        <f>IF(M247="","",IF(VLOOKUP(M247,'G-3 Multipliers'!$L$3:$N$6,2,FALSE)=0,"Spatial Data Missing",VLOOKUP(M247,'G-3 Multipliers'!$L$3:$N$6,2,FALSE)))</f>
        <v/>
      </c>
      <c r="O247" s="176" t="str">
        <f>IF(M247="","",IF(VLOOKUP(M247,'G-3 Multipliers'!$L$3:$N$6,3,FALSE)=0,"Spatial Data Missing",VLOOKUP(M247,'G-3 Multipliers'!$L$3:$N$6,3,FALSE)))</f>
        <v/>
      </c>
      <c r="P247" s="177" t="str">
        <f>IFERROR(VLOOKUP(G247,'G-1 All Habitats'!$B$2:$M$130,12,FALSE),"")</f>
        <v/>
      </c>
      <c r="Q247" s="81" t="str">
        <f>IFERROR(IF(P247="","",IF(AND(P247='G-1 All Habitats'!$X$3,T247&gt;0),U247+V247,IF(AND(P247='G-1 All Habitats'!$X$3,S247&gt;0),U247+V247,IF(AND(P247='G-1 All Habitats'!$X$3,AC247&gt;0),"Any Loss Unacceptable",IF(AND(P247='G-1 All Habitats'!$X$3,W247&gt;0),"Any Loss Unacceptable",H247*J247*L247*O247))))),"Check Data")</f>
        <v/>
      </c>
      <c r="R247" s="55"/>
      <c r="S247" s="79"/>
      <c r="T247" s="82"/>
      <c r="U247" s="83" t="str">
        <f t="shared" si="20"/>
        <v/>
      </c>
      <c r="V247" s="83" t="str">
        <f t="shared" si="21"/>
        <v/>
      </c>
      <c r="W247" s="83" t="str">
        <f>IF(E247="","",IF(H247&lt;S247+T247,"Error in Areas",IF(P247&lt;&gt;'G-1 All Habitats'!$X$3,H247-S247-T247,IF(AND(P247='G-1 All Habitats'!$X$3,Y247="Yes"),"Unacceptable Loss",IF(AND(P247='G-1 All Habitats'!$X$3,Y247="No"),AC247,IF(AND(P247='G-1 All Habitats'!$X$3,Y247=""),AC247,IF(AND(P247='G-1 All Habitats'!$X$3,AC247="None",AC247),IF(AND(P247='G-1 All Habitats'!$X$3,AC247&gt;0),H247-S247-T247))))))))</f>
        <v/>
      </c>
      <c r="X247" s="354" t="str">
        <f>IFERROR(IF(H247="","",IF(H247-S247-T247=0&lt;0,"Error in Areas",IF(S247+T247&gt;H247,"Error in Areas",IF(AND(P247='G-1 All Habitats'!$X$3,Y247="Yes"),"Alternative Compensation",IF(W247=0,0,IF(P247='G-1 All Habitats'!$X$3,"Unacceptable Loss",Q247-U247-V247)))))),"Check Data")</f>
        <v/>
      </c>
      <c r="Y247" s="82"/>
      <c r="Z247" s="182"/>
      <c r="AA247" s="183"/>
      <c r="AC247" s="371" t="str">
        <f>IF(P247="","",IF(P247='G-1 All Habitats'!$X$3,H247-S247-T247,"None"))</f>
        <v/>
      </c>
      <c r="AD247" s="372" t="str">
        <f t="shared" si="22"/>
        <v/>
      </c>
      <c r="AF247" s="188" t="str">
        <f t="shared" si="18"/>
        <v/>
      </c>
      <c r="AG247" s="188" t="str">
        <f t="shared" si="19"/>
        <v/>
      </c>
      <c r="AH247" s="188" t="str">
        <f>IF(I247="","",IF(#REF!&gt;0,TRUE,FALSE))</f>
        <v/>
      </c>
      <c r="AI247" s="188">
        <v>237</v>
      </c>
      <c r="AJ247" s="188"/>
      <c r="AK247" s="188" t="str">
        <f t="array" ref="AK247">IFERROR(INDEX($AI$11:$AI$259, MATCH(0, IF(TRUE=$AF$11:$AF$259, COUNTIF($AK$10:$AK246, $AI$11:$AI$259), ""), 0)),"")</f>
        <v/>
      </c>
      <c r="AL247" s="188" t="str">
        <f t="array" ref="AL247">IFERROR(INDEX($AI$11:$AI$259, MATCH(0, IF(TRUE=$AG$11:$AG$259, COUNTIF($AL$10:$AL246, $AI$11:$AI$259), ""), 0)),"")</f>
        <v/>
      </c>
      <c r="AM247" s="188" t="str">
        <f t="array" ref="AM247">IFERROR(INDEX($AI$11:$AI$259, MATCH(0, IF(TRUE=$AH$11:$AH$259, COUNTIF($AM$10:$AM246, $AI$11:$AI$259), ""), 0)),"")</f>
        <v/>
      </c>
      <c r="AQ247" s="35">
        <f t="shared" si="23"/>
        <v>0</v>
      </c>
    </row>
    <row r="248" spans="1:43" x14ac:dyDescent="0.25">
      <c r="A248" s="35" t="str">
        <f>IFERROR(INDEX('G-1 All Habitats'!$AG$3:$AG$15,MATCH(E248,'G-1 All Habitats'!$AF$3:$AF$15,0)),"")</f>
        <v/>
      </c>
      <c r="B248" s="35" t="str">
        <f>IFERROR(INDEX('G-8 Condition Look up'!$I$4:$I$131,MATCH(G248,'G-8 Condition Look up'!$A$4:$A$131,0)),"")</f>
        <v/>
      </c>
      <c r="D248" s="168">
        <v>238</v>
      </c>
      <c r="E248" s="275"/>
      <c r="F248" s="275"/>
      <c r="G248" s="370" t="str">
        <f>IFERROR(INDEX('G-1 All Habitats'!$B$3:$B$130,MATCH(F248,'G-1 All Habitats'!$A$3:$A$130,0)),"")</f>
        <v/>
      </c>
      <c r="H248" s="213"/>
      <c r="I248" s="171" t="str">
        <f>IF(G248="","",VLOOKUP(G248,'G-1 All Habitats'!$B$2:$M$130,10,FALSE))</f>
        <v/>
      </c>
      <c r="J248" s="172" t="str">
        <f>IFERROR(VLOOKUP(I248,'G-1 All Habitats'!$V$3:$W$7,2,FALSE),"")</f>
        <v/>
      </c>
      <c r="K248" s="173"/>
      <c r="L248" s="172" t="str">
        <f>IFERROR(INDEX('G-8 Condition Look up'!$A$3:$H$131,MATCH(G248,'G-8 Condition Look up'!$A$3:$A$131,0),MATCH(K248,'G-8 Condition Look up'!$A$3:$H$3,0)),"")</f>
        <v/>
      </c>
      <c r="M248" s="186"/>
      <c r="N248" s="175" t="str">
        <f>IF(M248="","",IF(VLOOKUP(M248,'G-3 Multipliers'!$L$3:$N$6,2,FALSE)=0,"Spatial Data Missing",VLOOKUP(M248,'G-3 Multipliers'!$L$3:$N$6,2,FALSE)))</f>
        <v/>
      </c>
      <c r="O248" s="176" t="str">
        <f>IF(M248="","",IF(VLOOKUP(M248,'G-3 Multipliers'!$L$3:$N$6,3,FALSE)=0,"Spatial Data Missing",VLOOKUP(M248,'G-3 Multipliers'!$L$3:$N$6,3,FALSE)))</f>
        <v/>
      </c>
      <c r="P248" s="177" t="str">
        <f>IFERROR(VLOOKUP(G248,'G-1 All Habitats'!$B$2:$M$130,12,FALSE),"")</f>
        <v/>
      </c>
      <c r="Q248" s="81" t="str">
        <f>IFERROR(IF(P248="","",IF(AND(P248='G-1 All Habitats'!$X$3,T248&gt;0),U248+V248,IF(AND(P248='G-1 All Habitats'!$X$3,S248&gt;0),U248+V248,IF(AND(P248='G-1 All Habitats'!$X$3,AC248&gt;0),"Any Loss Unacceptable",IF(AND(P248='G-1 All Habitats'!$X$3,W248&gt;0),"Any Loss Unacceptable",H248*J248*L248*O248))))),"Check Data")</f>
        <v/>
      </c>
      <c r="R248" s="55"/>
      <c r="S248" s="79"/>
      <c r="T248" s="82"/>
      <c r="U248" s="83" t="str">
        <f t="shared" si="20"/>
        <v/>
      </c>
      <c r="V248" s="83" t="str">
        <f t="shared" si="21"/>
        <v/>
      </c>
      <c r="W248" s="83" t="str">
        <f>IF(E248="","",IF(H248&lt;S248+T248,"Error in Areas",IF(P248&lt;&gt;'G-1 All Habitats'!$X$3,H248-S248-T248,IF(AND(P248='G-1 All Habitats'!$X$3,Y248="Yes"),"Unacceptable Loss",IF(AND(P248='G-1 All Habitats'!$X$3,Y248="No"),AC248,IF(AND(P248='G-1 All Habitats'!$X$3,Y248=""),AC248,IF(AND(P248='G-1 All Habitats'!$X$3,AC248="None",AC248),IF(AND(P248='G-1 All Habitats'!$X$3,AC248&gt;0),H248-S248-T248))))))))</f>
        <v/>
      </c>
      <c r="X248" s="354" t="str">
        <f>IFERROR(IF(H248="","",IF(H248-S248-T248=0&lt;0,"Error in Areas",IF(S248+T248&gt;H248,"Error in Areas",IF(AND(P248='G-1 All Habitats'!$X$3,Y248="Yes"),"Alternative Compensation",IF(W248=0,0,IF(P248='G-1 All Habitats'!$X$3,"Unacceptable Loss",Q248-U248-V248)))))),"Check Data")</f>
        <v/>
      </c>
      <c r="Y248" s="82"/>
      <c r="Z248" s="182"/>
      <c r="AA248" s="183"/>
      <c r="AC248" s="371" t="str">
        <f>IF(P248="","",IF(P248='G-1 All Habitats'!$X$3,H248-S248-T248,"None"))</f>
        <v/>
      </c>
      <c r="AD248" s="372" t="str">
        <f t="shared" si="22"/>
        <v/>
      </c>
      <c r="AF248" s="188" t="str">
        <f t="shared" si="18"/>
        <v/>
      </c>
      <c r="AG248" s="188" t="str">
        <f t="shared" si="19"/>
        <v/>
      </c>
      <c r="AH248" s="188" t="str">
        <f>IF(I248="","",IF(#REF!&gt;0,TRUE,FALSE))</f>
        <v/>
      </c>
      <c r="AI248" s="188">
        <v>238</v>
      </c>
      <c r="AJ248" s="188"/>
      <c r="AK248" s="188" t="str">
        <f t="array" ref="AK248">IFERROR(INDEX($AI$11:$AI$259, MATCH(0, IF(TRUE=$AF$11:$AF$259, COUNTIF($AK$10:$AK247, $AI$11:$AI$259), ""), 0)),"")</f>
        <v/>
      </c>
      <c r="AL248" s="188" t="str">
        <f t="array" ref="AL248">IFERROR(INDEX($AI$11:$AI$259, MATCH(0, IF(TRUE=$AG$11:$AG$259, COUNTIF($AL$10:$AL247, $AI$11:$AI$259), ""), 0)),"")</f>
        <v/>
      </c>
      <c r="AM248" s="188" t="str">
        <f t="array" ref="AM248">IFERROR(INDEX($AI$11:$AI$259, MATCH(0, IF(TRUE=$AH$11:$AH$259, COUNTIF($AM$10:$AM247, $AI$11:$AI$259), ""), 0)),"")</f>
        <v/>
      </c>
      <c r="AQ248" s="35">
        <f t="shared" si="23"/>
        <v>0</v>
      </c>
    </row>
    <row r="249" spans="1:43" x14ac:dyDescent="0.25">
      <c r="A249" s="35" t="str">
        <f>IFERROR(INDEX('G-1 All Habitats'!$AG$3:$AG$15,MATCH(E249,'G-1 All Habitats'!$AF$3:$AF$15,0)),"")</f>
        <v/>
      </c>
      <c r="B249" s="35" t="str">
        <f>IFERROR(INDEX('G-8 Condition Look up'!$I$4:$I$131,MATCH(G249,'G-8 Condition Look up'!$A$4:$A$131,0)),"")</f>
        <v/>
      </c>
      <c r="D249" s="168">
        <v>239</v>
      </c>
      <c r="E249" s="275"/>
      <c r="F249" s="275"/>
      <c r="G249" s="370" t="str">
        <f>IFERROR(INDEX('G-1 All Habitats'!$B$3:$B$130,MATCH(F249,'G-1 All Habitats'!$A$3:$A$130,0)),"")</f>
        <v/>
      </c>
      <c r="H249" s="213"/>
      <c r="I249" s="171" t="str">
        <f>IF(G249="","",VLOOKUP(G249,'G-1 All Habitats'!$B$2:$M$130,10,FALSE))</f>
        <v/>
      </c>
      <c r="J249" s="172" t="str">
        <f>IFERROR(VLOOKUP(I249,'G-1 All Habitats'!$V$3:$W$7,2,FALSE),"")</f>
        <v/>
      </c>
      <c r="K249" s="173"/>
      <c r="L249" s="172" t="str">
        <f>IFERROR(INDEX('G-8 Condition Look up'!$A$3:$H$131,MATCH(G249,'G-8 Condition Look up'!$A$3:$A$131,0),MATCH(K249,'G-8 Condition Look up'!$A$3:$H$3,0)),"")</f>
        <v/>
      </c>
      <c r="M249" s="186"/>
      <c r="N249" s="175" t="str">
        <f>IF(M249="","",IF(VLOOKUP(M249,'G-3 Multipliers'!$L$3:$N$6,2,FALSE)=0,"Spatial Data Missing",VLOOKUP(M249,'G-3 Multipliers'!$L$3:$N$6,2,FALSE)))</f>
        <v/>
      </c>
      <c r="O249" s="176" t="str">
        <f>IF(M249="","",IF(VLOOKUP(M249,'G-3 Multipliers'!$L$3:$N$6,3,FALSE)=0,"Spatial Data Missing",VLOOKUP(M249,'G-3 Multipliers'!$L$3:$N$6,3,FALSE)))</f>
        <v/>
      </c>
      <c r="P249" s="177" t="str">
        <f>IFERROR(VLOOKUP(G249,'G-1 All Habitats'!$B$2:$M$130,12,FALSE),"")</f>
        <v/>
      </c>
      <c r="Q249" s="81" t="str">
        <f>IFERROR(IF(P249="","",IF(AND(P249='G-1 All Habitats'!$X$3,T249&gt;0),U249+V249,IF(AND(P249='G-1 All Habitats'!$X$3,S249&gt;0),U249+V249,IF(AND(P249='G-1 All Habitats'!$X$3,AC249&gt;0),"Any Loss Unacceptable",IF(AND(P249='G-1 All Habitats'!$X$3,W249&gt;0),"Any Loss Unacceptable",H249*J249*L249*O249))))),"Check Data")</f>
        <v/>
      </c>
      <c r="R249" s="55"/>
      <c r="S249" s="79"/>
      <c r="T249" s="82"/>
      <c r="U249" s="83" t="str">
        <f t="shared" si="20"/>
        <v/>
      </c>
      <c r="V249" s="83" t="str">
        <f t="shared" si="21"/>
        <v/>
      </c>
      <c r="W249" s="83" t="str">
        <f>IF(E249="","",IF(H249&lt;S249+T249,"Error in Areas",IF(P249&lt;&gt;'G-1 All Habitats'!$X$3,H249-S249-T249,IF(AND(P249='G-1 All Habitats'!$X$3,Y249="Yes"),"Unacceptable Loss",IF(AND(P249='G-1 All Habitats'!$X$3,Y249="No"),AC249,IF(AND(P249='G-1 All Habitats'!$X$3,Y249=""),AC249,IF(AND(P249='G-1 All Habitats'!$X$3,AC249="None",AC249),IF(AND(P249='G-1 All Habitats'!$X$3,AC249&gt;0),H249-S249-T249))))))))</f>
        <v/>
      </c>
      <c r="X249" s="354" t="str">
        <f>IFERROR(IF(H249="","",IF(H249-S249-T249=0&lt;0,"Error in Areas",IF(S249+T249&gt;H249,"Error in Areas",IF(AND(P249='G-1 All Habitats'!$X$3,Y249="Yes"),"Alternative Compensation",IF(W249=0,0,IF(P249='G-1 All Habitats'!$X$3,"Unacceptable Loss",Q249-U249-V249)))))),"Check Data")</f>
        <v/>
      </c>
      <c r="Y249" s="82"/>
      <c r="Z249" s="182"/>
      <c r="AA249" s="183"/>
      <c r="AC249" s="371" t="str">
        <f>IF(P249="","",IF(P249='G-1 All Habitats'!$X$3,H249-S249-T249,"None"))</f>
        <v/>
      </c>
      <c r="AD249" s="372" t="str">
        <f t="shared" si="22"/>
        <v/>
      </c>
      <c r="AF249" s="188" t="str">
        <f t="shared" si="18"/>
        <v/>
      </c>
      <c r="AG249" s="188" t="str">
        <f t="shared" si="19"/>
        <v/>
      </c>
      <c r="AH249" s="188" t="str">
        <f>IF(I249="","",IF(#REF!&gt;0,TRUE,FALSE))</f>
        <v/>
      </c>
      <c r="AI249" s="188">
        <v>239</v>
      </c>
      <c r="AJ249" s="188"/>
      <c r="AK249" s="188" t="str">
        <f t="array" ref="AK249">IFERROR(INDEX($AI$11:$AI$259, MATCH(0, IF(TRUE=$AF$11:$AF$259, COUNTIF($AK$10:$AK248, $AI$11:$AI$259), ""), 0)),"")</f>
        <v/>
      </c>
      <c r="AL249" s="188" t="str">
        <f t="array" ref="AL249">IFERROR(INDEX($AI$11:$AI$259, MATCH(0, IF(TRUE=$AG$11:$AG$259, COUNTIF($AL$10:$AL248, $AI$11:$AI$259), ""), 0)),"")</f>
        <v/>
      </c>
      <c r="AM249" s="188" t="str">
        <f t="array" ref="AM249">IFERROR(INDEX($AI$11:$AI$259, MATCH(0, IF(TRUE=$AH$11:$AH$259, COUNTIF($AM$10:$AM248, $AI$11:$AI$259), ""), 0)),"")</f>
        <v/>
      </c>
      <c r="AQ249" s="35">
        <f t="shared" si="23"/>
        <v>0</v>
      </c>
    </row>
    <row r="250" spans="1:43" x14ac:dyDescent="0.25">
      <c r="A250" s="35" t="str">
        <f>IFERROR(INDEX('G-1 All Habitats'!$AG$3:$AG$15,MATCH(E250,'G-1 All Habitats'!$AF$3:$AF$15,0)),"")</f>
        <v/>
      </c>
      <c r="B250" s="35" t="str">
        <f>IFERROR(INDEX('G-8 Condition Look up'!$I$4:$I$131,MATCH(G250,'G-8 Condition Look up'!$A$4:$A$131,0)),"")</f>
        <v/>
      </c>
      <c r="D250" s="168">
        <v>240</v>
      </c>
      <c r="E250" s="275"/>
      <c r="F250" s="275"/>
      <c r="G250" s="370" t="str">
        <f>IFERROR(INDEX('G-1 All Habitats'!$B$3:$B$130,MATCH(F250,'G-1 All Habitats'!$A$3:$A$130,0)),"")</f>
        <v/>
      </c>
      <c r="H250" s="213"/>
      <c r="I250" s="171" t="str">
        <f>IF(G250="","",VLOOKUP(G250,'G-1 All Habitats'!$B$2:$M$130,10,FALSE))</f>
        <v/>
      </c>
      <c r="J250" s="172" t="str">
        <f>IFERROR(VLOOKUP(I250,'G-1 All Habitats'!$V$3:$W$7,2,FALSE),"")</f>
        <v/>
      </c>
      <c r="K250" s="173"/>
      <c r="L250" s="172" t="str">
        <f>IFERROR(INDEX('G-8 Condition Look up'!$A$3:$H$131,MATCH(G250,'G-8 Condition Look up'!$A$3:$A$131,0),MATCH(K250,'G-8 Condition Look up'!$A$3:$H$3,0)),"")</f>
        <v/>
      </c>
      <c r="M250" s="186"/>
      <c r="N250" s="175" t="str">
        <f>IF(M250="","",IF(VLOOKUP(M250,'G-3 Multipliers'!$L$3:$N$6,2,FALSE)=0,"Spatial Data Missing",VLOOKUP(M250,'G-3 Multipliers'!$L$3:$N$6,2,FALSE)))</f>
        <v/>
      </c>
      <c r="O250" s="176" t="str">
        <f>IF(M250="","",IF(VLOOKUP(M250,'G-3 Multipliers'!$L$3:$N$6,3,FALSE)=0,"Spatial Data Missing",VLOOKUP(M250,'G-3 Multipliers'!$L$3:$N$6,3,FALSE)))</f>
        <v/>
      </c>
      <c r="P250" s="177" t="str">
        <f>IFERROR(VLOOKUP(G250,'G-1 All Habitats'!$B$2:$M$130,12,FALSE),"")</f>
        <v/>
      </c>
      <c r="Q250" s="81" t="str">
        <f>IFERROR(IF(P250="","",IF(AND(P250='G-1 All Habitats'!$X$3,T250&gt;0),U250+V250,IF(AND(P250='G-1 All Habitats'!$X$3,S250&gt;0),U250+V250,IF(AND(P250='G-1 All Habitats'!$X$3,AC250&gt;0),"Any Loss Unacceptable",IF(AND(P250='G-1 All Habitats'!$X$3,W250&gt;0),"Any Loss Unacceptable",H250*J250*L250*O250))))),"Check Data")</f>
        <v/>
      </c>
      <c r="R250" s="55"/>
      <c r="S250" s="79"/>
      <c r="T250" s="82"/>
      <c r="U250" s="83" t="str">
        <f t="shared" si="20"/>
        <v/>
      </c>
      <c r="V250" s="83" t="str">
        <f t="shared" si="21"/>
        <v/>
      </c>
      <c r="W250" s="83" t="str">
        <f>IF(E250="","",IF(H250&lt;S250+T250,"Error in Areas",IF(P250&lt;&gt;'G-1 All Habitats'!$X$3,H250-S250-T250,IF(AND(P250='G-1 All Habitats'!$X$3,Y250="Yes"),"Unacceptable Loss",IF(AND(P250='G-1 All Habitats'!$X$3,Y250="No"),AC250,IF(AND(P250='G-1 All Habitats'!$X$3,Y250=""),AC250,IF(AND(P250='G-1 All Habitats'!$X$3,AC250="None",AC250),IF(AND(P250='G-1 All Habitats'!$X$3,AC250&gt;0),H250-S250-T250))))))))</f>
        <v/>
      </c>
      <c r="X250" s="354" t="str">
        <f>IFERROR(IF(H250="","",IF(H250-S250-T250=0&lt;0,"Error in Areas",IF(S250+T250&gt;H250,"Error in Areas",IF(AND(P250='G-1 All Habitats'!$X$3,Y250="Yes"),"Alternative Compensation",IF(W250=0,0,IF(P250='G-1 All Habitats'!$X$3,"Unacceptable Loss",Q250-U250-V250)))))),"Check Data")</f>
        <v/>
      </c>
      <c r="Y250" s="82"/>
      <c r="Z250" s="182"/>
      <c r="AA250" s="183"/>
      <c r="AC250" s="371" t="str">
        <f>IF(P250="","",IF(P250='G-1 All Habitats'!$X$3,H250-S250-T250,"None"))</f>
        <v/>
      </c>
      <c r="AD250" s="372" t="str">
        <f t="shared" si="22"/>
        <v/>
      </c>
      <c r="AF250" s="188" t="str">
        <f t="shared" si="18"/>
        <v/>
      </c>
      <c r="AG250" s="188" t="str">
        <f t="shared" si="19"/>
        <v/>
      </c>
      <c r="AH250" s="188" t="str">
        <f>IF(I250="","",IF(#REF!&gt;0,TRUE,FALSE))</f>
        <v/>
      </c>
      <c r="AI250" s="188">
        <v>240</v>
      </c>
      <c r="AJ250" s="188"/>
      <c r="AK250" s="188" t="str">
        <f t="array" ref="AK250">IFERROR(INDEX($AI$11:$AI$259, MATCH(0, IF(TRUE=$AF$11:$AF$259, COUNTIF($AK$10:$AK249, $AI$11:$AI$259), ""), 0)),"")</f>
        <v/>
      </c>
      <c r="AL250" s="188" t="str">
        <f t="array" ref="AL250">IFERROR(INDEX($AI$11:$AI$259, MATCH(0, IF(TRUE=$AG$11:$AG$259, COUNTIF($AL$10:$AL249, $AI$11:$AI$259), ""), 0)),"")</f>
        <v/>
      </c>
      <c r="AM250" s="188" t="str">
        <f t="array" ref="AM250">IFERROR(INDEX($AI$11:$AI$259, MATCH(0, IF(TRUE=$AH$11:$AH$259, COUNTIF($AM$10:$AM249, $AI$11:$AI$259), ""), 0)),"")</f>
        <v/>
      </c>
      <c r="AQ250" s="35">
        <f t="shared" si="23"/>
        <v>0</v>
      </c>
    </row>
    <row r="251" spans="1:43" x14ac:dyDescent="0.25">
      <c r="A251" s="35" t="str">
        <f>IFERROR(INDEX('G-1 All Habitats'!$AG$3:$AG$15,MATCH(E251,'G-1 All Habitats'!$AF$3:$AF$15,0)),"")</f>
        <v/>
      </c>
      <c r="B251" s="35" t="str">
        <f>IFERROR(INDEX('G-8 Condition Look up'!$I$4:$I$131,MATCH(G251,'G-8 Condition Look up'!$A$4:$A$131,0)),"")</f>
        <v/>
      </c>
      <c r="D251" s="168">
        <v>241</v>
      </c>
      <c r="E251" s="275"/>
      <c r="F251" s="275"/>
      <c r="G251" s="370" t="str">
        <f>IFERROR(INDEX('G-1 All Habitats'!$B$3:$B$130,MATCH(F251,'G-1 All Habitats'!$A$3:$A$130,0)),"")</f>
        <v/>
      </c>
      <c r="H251" s="213"/>
      <c r="I251" s="171" t="str">
        <f>IF(G251="","",VLOOKUP(G251,'G-1 All Habitats'!$B$2:$M$130,10,FALSE))</f>
        <v/>
      </c>
      <c r="J251" s="172" t="str">
        <f>IFERROR(VLOOKUP(I251,'G-1 All Habitats'!$V$3:$W$7,2,FALSE),"")</f>
        <v/>
      </c>
      <c r="K251" s="173"/>
      <c r="L251" s="172" t="str">
        <f>IFERROR(INDEX('G-8 Condition Look up'!$A$3:$H$131,MATCH(G251,'G-8 Condition Look up'!$A$3:$A$131,0),MATCH(K251,'G-8 Condition Look up'!$A$3:$H$3,0)),"")</f>
        <v/>
      </c>
      <c r="M251" s="186"/>
      <c r="N251" s="175" t="str">
        <f>IF(M251="","",IF(VLOOKUP(M251,'G-3 Multipliers'!$L$3:$N$6,2,FALSE)=0,"Spatial Data Missing",VLOOKUP(M251,'G-3 Multipliers'!$L$3:$N$6,2,FALSE)))</f>
        <v/>
      </c>
      <c r="O251" s="176" t="str">
        <f>IF(M251="","",IF(VLOOKUP(M251,'G-3 Multipliers'!$L$3:$N$6,3,FALSE)=0,"Spatial Data Missing",VLOOKUP(M251,'G-3 Multipliers'!$L$3:$N$6,3,FALSE)))</f>
        <v/>
      </c>
      <c r="P251" s="177" t="str">
        <f>IFERROR(VLOOKUP(G251,'G-1 All Habitats'!$B$2:$M$130,12,FALSE),"")</f>
        <v/>
      </c>
      <c r="Q251" s="81" t="str">
        <f>IFERROR(IF(P251="","",IF(AND(P251='G-1 All Habitats'!$X$3,T251&gt;0),U251+V251,IF(AND(P251='G-1 All Habitats'!$X$3,S251&gt;0),U251+V251,IF(AND(P251='G-1 All Habitats'!$X$3,AC251&gt;0),"Any Loss Unacceptable",IF(AND(P251='G-1 All Habitats'!$X$3,W251&gt;0),"Any Loss Unacceptable",H251*J251*L251*O251))))),"Check Data")</f>
        <v/>
      </c>
      <c r="R251" s="55"/>
      <c r="S251" s="79"/>
      <c r="T251" s="82"/>
      <c r="U251" s="83" t="str">
        <f t="shared" si="20"/>
        <v/>
      </c>
      <c r="V251" s="83" t="str">
        <f t="shared" si="21"/>
        <v/>
      </c>
      <c r="W251" s="83" t="str">
        <f>IF(E251="","",IF(H251&lt;S251+T251,"Error in Areas",IF(P251&lt;&gt;'G-1 All Habitats'!$X$3,H251-S251-T251,IF(AND(P251='G-1 All Habitats'!$X$3,Y251="Yes"),"Unacceptable Loss",IF(AND(P251='G-1 All Habitats'!$X$3,Y251="No"),AC251,IF(AND(P251='G-1 All Habitats'!$X$3,Y251=""),AC251,IF(AND(P251='G-1 All Habitats'!$X$3,AC251="None",AC251),IF(AND(P251='G-1 All Habitats'!$X$3,AC251&gt;0),H251-S251-T251))))))))</f>
        <v/>
      </c>
      <c r="X251" s="354" t="str">
        <f>IFERROR(IF(H251="","",IF(H251-S251-T251=0&lt;0,"Error in Areas",IF(S251+T251&gt;H251,"Error in Areas",IF(AND(P251='G-1 All Habitats'!$X$3,Y251="Yes"),"Alternative Compensation",IF(W251=0,0,IF(P251='G-1 All Habitats'!$X$3,"Unacceptable Loss",Q251-U251-V251)))))),"Check Data")</f>
        <v/>
      </c>
      <c r="Y251" s="82"/>
      <c r="Z251" s="182"/>
      <c r="AA251" s="183"/>
      <c r="AC251" s="371" t="str">
        <f>IF(P251="","",IF(P251='G-1 All Habitats'!$X$3,H251-S251-T251,"None"))</f>
        <v/>
      </c>
      <c r="AD251" s="372" t="str">
        <f t="shared" si="22"/>
        <v/>
      </c>
      <c r="AF251" s="188" t="str">
        <f t="shared" si="18"/>
        <v/>
      </c>
      <c r="AG251" s="188" t="str">
        <f t="shared" si="19"/>
        <v/>
      </c>
      <c r="AH251" s="188" t="str">
        <f>IF(I251="","",IF(#REF!&gt;0,TRUE,FALSE))</f>
        <v/>
      </c>
      <c r="AI251" s="188">
        <v>241</v>
      </c>
      <c r="AJ251" s="188"/>
      <c r="AK251" s="188" t="str">
        <f t="array" ref="AK251">IFERROR(INDEX($AI$11:$AI$259, MATCH(0, IF(TRUE=$AF$11:$AF$259, COUNTIF($AK$10:$AK250, $AI$11:$AI$259), ""), 0)),"")</f>
        <v/>
      </c>
      <c r="AL251" s="188" t="str">
        <f t="array" ref="AL251">IFERROR(INDEX($AI$11:$AI$259, MATCH(0, IF(TRUE=$AG$11:$AG$259, COUNTIF($AL$10:$AL250, $AI$11:$AI$259), ""), 0)),"")</f>
        <v/>
      </c>
      <c r="AM251" s="188" t="str">
        <f t="array" ref="AM251">IFERROR(INDEX($AI$11:$AI$259, MATCH(0, IF(TRUE=$AH$11:$AH$259, COUNTIF($AM$10:$AM250, $AI$11:$AI$259), ""), 0)),"")</f>
        <v/>
      </c>
      <c r="AQ251" s="35">
        <f t="shared" si="23"/>
        <v>0</v>
      </c>
    </row>
    <row r="252" spans="1:43" x14ac:dyDescent="0.25">
      <c r="A252" s="35" t="str">
        <f>IFERROR(INDEX('G-1 All Habitats'!$AG$3:$AG$15,MATCH(E252,'G-1 All Habitats'!$AF$3:$AF$15,0)),"")</f>
        <v/>
      </c>
      <c r="B252" s="35" t="str">
        <f>IFERROR(INDEX('G-8 Condition Look up'!$I$4:$I$131,MATCH(G252,'G-8 Condition Look up'!$A$4:$A$131,0)),"")</f>
        <v/>
      </c>
      <c r="D252" s="168">
        <v>242</v>
      </c>
      <c r="E252" s="275"/>
      <c r="F252" s="275"/>
      <c r="G252" s="370" t="str">
        <f>IFERROR(INDEX('G-1 All Habitats'!$B$3:$B$130,MATCH(F252,'G-1 All Habitats'!$A$3:$A$130,0)),"")</f>
        <v/>
      </c>
      <c r="H252" s="213"/>
      <c r="I252" s="171" t="str">
        <f>IF(G252="","",VLOOKUP(G252,'G-1 All Habitats'!$B$2:$M$130,10,FALSE))</f>
        <v/>
      </c>
      <c r="J252" s="172" t="str">
        <f>IFERROR(VLOOKUP(I252,'G-1 All Habitats'!$V$3:$W$7,2,FALSE),"")</f>
        <v/>
      </c>
      <c r="K252" s="173"/>
      <c r="L252" s="172" t="str">
        <f>IFERROR(INDEX('G-8 Condition Look up'!$A$3:$H$131,MATCH(G252,'G-8 Condition Look up'!$A$3:$A$131,0),MATCH(K252,'G-8 Condition Look up'!$A$3:$H$3,0)),"")</f>
        <v/>
      </c>
      <c r="M252" s="186"/>
      <c r="N252" s="175" t="str">
        <f>IF(M252="","",IF(VLOOKUP(M252,'G-3 Multipliers'!$L$3:$N$6,2,FALSE)=0,"Spatial Data Missing",VLOOKUP(M252,'G-3 Multipliers'!$L$3:$N$6,2,FALSE)))</f>
        <v/>
      </c>
      <c r="O252" s="176" t="str">
        <f>IF(M252="","",IF(VLOOKUP(M252,'G-3 Multipliers'!$L$3:$N$6,3,FALSE)=0,"Spatial Data Missing",VLOOKUP(M252,'G-3 Multipliers'!$L$3:$N$6,3,FALSE)))</f>
        <v/>
      </c>
      <c r="P252" s="177" t="str">
        <f>IFERROR(VLOOKUP(G252,'G-1 All Habitats'!$B$2:$M$130,12,FALSE),"")</f>
        <v/>
      </c>
      <c r="Q252" s="81" t="str">
        <f>IFERROR(IF(P252="","",IF(AND(P252='G-1 All Habitats'!$X$3,T252&gt;0),U252+V252,IF(AND(P252='G-1 All Habitats'!$X$3,S252&gt;0),U252+V252,IF(AND(P252='G-1 All Habitats'!$X$3,AC252&gt;0),"Any Loss Unacceptable",IF(AND(P252='G-1 All Habitats'!$X$3,W252&gt;0),"Any Loss Unacceptable",H252*J252*L252*O252))))),"Check Data")</f>
        <v/>
      </c>
      <c r="R252" s="55"/>
      <c r="S252" s="79"/>
      <c r="T252" s="82"/>
      <c r="U252" s="83" t="str">
        <f t="shared" si="20"/>
        <v/>
      </c>
      <c r="V252" s="83" t="str">
        <f t="shared" si="21"/>
        <v/>
      </c>
      <c r="W252" s="83" t="str">
        <f>IF(E252="","",IF(H252&lt;S252+T252,"Error in Areas",IF(P252&lt;&gt;'G-1 All Habitats'!$X$3,H252-S252-T252,IF(AND(P252='G-1 All Habitats'!$X$3,Y252="Yes"),"Unacceptable Loss",IF(AND(P252='G-1 All Habitats'!$X$3,Y252="No"),AC252,IF(AND(P252='G-1 All Habitats'!$X$3,Y252=""),AC252,IF(AND(P252='G-1 All Habitats'!$X$3,AC252="None",AC252),IF(AND(P252='G-1 All Habitats'!$X$3,AC252&gt;0),H252-S252-T252))))))))</f>
        <v/>
      </c>
      <c r="X252" s="354" t="str">
        <f>IFERROR(IF(H252="","",IF(H252-S252-T252=0&lt;0,"Error in Areas",IF(S252+T252&gt;H252,"Error in Areas",IF(AND(P252='G-1 All Habitats'!$X$3,Y252="Yes"),"Alternative Compensation",IF(W252=0,0,IF(P252='G-1 All Habitats'!$X$3,"Unacceptable Loss",Q252-U252-V252)))))),"Check Data")</f>
        <v/>
      </c>
      <c r="Y252" s="82"/>
      <c r="Z252" s="182"/>
      <c r="AA252" s="183"/>
      <c r="AC252" s="371" t="str">
        <f>IF(P252="","",IF(P252='G-1 All Habitats'!$X$3,H252-S252-T252,"None"))</f>
        <v/>
      </c>
      <c r="AD252" s="372" t="str">
        <f t="shared" si="22"/>
        <v/>
      </c>
      <c r="AF252" s="188" t="str">
        <f t="shared" si="18"/>
        <v/>
      </c>
      <c r="AG252" s="188" t="str">
        <f t="shared" si="19"/>
        <v/>
      </c>
      <c r="AH252" s="188" t="str">
        <f>IF(I252="","",IF(#REF!&gt;0,TRUE,FALSE))</f>
        <v/>
      </c>
      <c r="AI252" s="188">
        <v>242</v>
      </c>
      <c r="AJ252" s="188"/>
      <c r="AK252" s="188" t="str">
        <f t="array" ref="AK252">IFERROR(INDEX($AI$11:$AI$259, MATCH(0, IF(TRUE=$AF$11:$AF$259, COUNTIF($AK$10:$AK251, $AI$11:$AI$259), ""), 0)),"")</f>
        <v/>
      </c>
      <c r="AL252" s="188" t="str">
        <f t="array" ref="AL252">IFERROR(INDEX($AI$11:$AI$259, MATCH(0, IF(TRUE=$AG$11:$AG$259, COUNTIF($AL$10:$AL251, $AI$11:$AI$259), ""), 0)),"")</f>
        <v/>
      </c>
      <c r="AM252" s="188" t="str">
        <f t="array" ref="AM252">IFERROR(INDEX($AI$11:$AI$259, MATCH(0, IF(TRUE=$AH$11:$AH$259, COUNTIF($AM$10:$AM251, $AI$11:$AI$259), ""), 0)),"")</f>
        <v/>
      </c>
      <c r="AQ252" s="35">
        <f t="shared" si="23"/>
        <v>0</v>
      </c>
    </row>
    <row r="253" spans="1:43" x14ac:dyDescent="0.25">
      <c r="A253" s="35" t="str">
        <f>IFERROR(INDEX('G-1 All Habitats'!$AG$3:$AG$15,MATCH(E253,'G-1 All Habitats'!$AF$3:$AF$15,0)),"")</f>
        <v/>
      </c>
      <c r="B253" s="35" t="str">
        <f>IFERROR(INDEX('G-8 Condition Look up'!$I$4:$I$131,MATCH(G253,'G-8 Condition Look up'!$A$4:$A$131,0)),"")</f>
        <v/>
      </c>
      <c r="D253" s="168">
        <v>243</v>
      </c>
      <c r="E253" s="275"/>
      <c r="F253" s="275"/>
      <c r="G253" s="370" t="str">
        <f>IFERROR(INDEX('G-1 All Habitats'!$B$3:$B$130,MATCH(F253,'G-1 All Habitats'!$A$3:$A$130,0)),"")</f>
        <v/>
      </c>
      <c r="H253" s="213"/>
      <c r="I253" s="171" t="str">
        <f>IF(G253="","",VLOOKUP(G253,'G-1 All Habitats'!$B$2:$M$130,10,FALSE))</f>
        <v/>
      </c>
      <c r="J253" s="172" t="str">
        <f>IFERROR(VLOOKUP(I253,'G-1 All Habitats'!$V$3:$W$7,2,FALSE),"")</f>
        <v/>
      </c>
      <c r="K253" s="173"/>
      <c r="L253" s="172" t="str">
        <f>IFERROR(INDEX('G-8 Condition Look up'!$A$3:$H$131,MATCH(G253,'G-8 Condition Look up'!$A$3:$A$131,0),MATCH(K253,'G-8 Condition Look up'!$A$3:$H$3,0)),"")</f>
        <v/>
      </c>
      <c r="M253" s="186"/>
      <c r="N253" s="175" t="str">
        <f>IF(M253="","",IF(VLOOKUP(M253,'G-3 Multipliers'!$L$3:$N$6,2,FALSE)=0,"Spatial Data Missing",VLOOKUP(M253,'G-3 Multipliers'!$L$3:$N$6,2,FALSE)))</f>
        <v/>
      </c>
      <c r="O253" s="176" t="str">
        <f>IF(M253="","",IF(VLOOKUP(M253,'G-3 Multipliers'!$L$3:$N$6,3,FALSE)=0,"Spatial Data Missing",VLOOKUP(M253,'G-3 Multipliers'!$L$3:$N$6,3,FALSE)))</f>
        <v/>
      </c>
      <c r="P253" s="177" t="str">
        <f>IFERROR(VLOOKUP(G253,'G-1 All Habitats'!$B$2:$M$130,12,FALSE),"")</f>
        <v/>
      </c>
      <c r="Q253" s="81" t="str">
        <f>IFERROR(IF(P253="","",IF(AND(P253='G-1 All Habitats'!$X$3,T253&gt;0),U253+V253,IF(AND(P253='G-1 All Habitats'!$X$3,S253&gt;0),U253+V253,IF(AND(P253='G-1 All Habitats'!$X$3,AC253&gt;0),"Any Loss Unacceptable",IF(AND(P253='G-1 All Habitats'!$X$3,W253&gt;0),"Any Loss Unacceptable",H253*J253*L253*O253))))),"Check Data")</f>
        <v/>
      </c>
      <c r="R253" s="55"/>
      <c r="S253" s="79"/>
      <c r="T253" s="82"/>
      <c r="U253" s="83" t="str">
        <f t="shared" si="20"/>
        <v/>
      </c>
      <c r="V253" s="83" t="str">
        <f t="shared" si="21"/>
        <v/>
      </c>
      <c r="W253" s="83" t="str">
        <f>IF(E253="","",IF(H253&lt;S253+T253,"Error in Areas",IF(P253&lt;&gt;'G-1 All Habitats'!$X$3,H253-S253-T253,IF(AND(P253='G-1 All Habitats'!$X$3,Y253="Yes"),"Unacceptable Loss",IF(AND(P253='G-1 All Habitats'!$X$3,Y253="No"),AC253,IF(AND(P253='G-1 All Habitats'!$X$3,Y253=""),AC253,IF(AND(P253='G-1 All Habitats'!$X$3,AC253="None",AC253),IF(AND(P253='G-1 All Habitats'!$X$3,AC253&gt;0),H253-S253-T253))))))))</f>
        <v/>
      </c>
      <c r="X253" s="354" t="str">
        <f>IFERROR(IF(H253="","",IF(H253-S253-T253=0&lt;0,"Error in Areas",IF(S253+T253&gt;H253,"Error in Areas",IF(AND(P253='G-1 All Habitats'!$X$3,Y253="Yes"),"Alternative Compensation",IF(W253=0,0,IF(P253='G-1 All Habitats'!$X$3,"Unacceptable Loss",Q253-U253-V253)))))),"Check Data")</f>
        <v/>
      </c>
      <c r="Y253" s="82"/>
      <c r="Z253" s="182"/>
      <c r="AA253" s="183"/>
      <c r="AC253" s="371" t="str">
        <f>IF(P253="","",IF(P253='G-1 All Habitats'!$X$3,H253-S253-T253,"None"))</f>
        <v/>
      </c>
      <c r="AD253" s="372" t="str">
        <f t="shared" si="22"/>
        <v/>
      </c>
      <c r="AF253" s="188" t="str">
        <f t="shared" si="18"/>
        <v/>
      </c>
      <c r="AG253" s="188" t="str">
        <f t="shared" si="19"/>
        <v/>
      </c>
      <c r="AH253" s="188" t="str">
        <f>IF(I253="","",IF(#REF!&gt;0,TRUE,FALSE))</f>
        <v/>
      </c>
      <c r="AI253" s="188">
        <v>243</v>
      </c>
      <c r="AJ253" s="188"/>
      <c r="AK253" s="188" t="str">
        <f t="array" ref="AK253">IFERROR(INDEX($AI$11:$AI$259, MATCH(0, IF(TRUE=$AF$11:$AF$259, COUNTIF($AK$10:$AK252, $AI$11:$AI$259), ""), 0)),"")</f>
        <v/>
      </c>
      <c r="AL253" s="188" t="str">
        <f t="array" ref="AL253">IFERROR(INDEX($AI$11:$AI$259, MATCH(0, IF(TRUE=$AG$11:$AG$259, COUNTIF($AL$10:$AL252, $AI$11:$AI$259), ""), 0)),"")</f>
        <v/>
      </c>
      <c r="AM253" s="188" t="str">
        <f t="array" ref="AM253">IFERROR(INDEX($AI$11:$AI$259, MATCH(0, IF(TRUE=$AH$11:$AH$259, COUNTIF($AM$10:$AM252, $AI$11:$AI$259), ""), 0)),"")</f>
        <v/>
      </c>
      <c r="AQ253" s="35">
        <f t="shared" si="23"/>
        <v>0</v>
      </c>
    </row>
    <row r="254" spans="1:43" x14ac:dyDescent="0.25">
      <c r="A254" s="35" t="str">
        <f>IFERROR(INDEX('G-1 All Habitats'!$AG$3:$AG$15,MATCH(E254,'G-1 All Habitats'!$AF$3:$AF$15,0)),"")</f>
        <v/>
      </c>
      <c r="B254" s="35" t="str">
        <f>IFERROR(INDEX('G-8 Condition Look up'!$I$4:$I$131,MATCH(G254,'G-8 Condition Look up'!$A$4:$A$131,0)),"")</f>
        <v/>
      </c>
      <c r="D254" s="168">
        <v>244</v>
      </c>
      <c r="E254" s="275"/>
      <c r="F254" s="275"/>
      <c r="G254" s="370" t="str">
        <f>IFERROR(INDEX('G-1 All Habitats'!$B$3:$B$130,MATCH(F254,'G-1 All Habitats'!$A$3:$A$130,0)),"")</f>
        <v/>
      </c>
      <c r="H254" s="213"/>
      <c r="I254" s="171" t="str">
        <f>IF(G254="","",VLOOKUP(G254,'G-1 All Habitats'!$B$2:$M$130,10,FALSE))</f>
        <v/>
      </c>
      <c r="J254" s="172" t="str">
        <f>IFERROR(VLOOKUP(I254,'G-1 All Habitats'!$V$3:$W$7,2,FALSE),"")</f>
        <v/>
      </c>
      <c r="K254" s="173"/>
      <c r="L254" s="172" t="str">
        <f>IFERROR(INDEX('G-8 Condition Look up'!$A$3:$H$131,MATCH(G254,'G-8 Condition Look up'!$A$3:$A$131,0),MATCH(K254,'G-8 Condition Look up'!$A$3:$H$3,0)),"")</f>
        <v/>
      </c>
      <c r="M254" s="186"/>
      <c r="N254" s="175" t="str">
        <f>IF(M254="","",IF(VLOOKUP(M254,'G-3 Multipliers'!$L$3:$N$6,2,FALSE)=0,"Spatial Data Missing",VLOOKUP(M254,'G-3 Multipliers'!$L$3:$N$6,2,FALSE)))</f>
        <v/>
      </c>
      <c r="O254" s="176" t="str">
        <f>IF(M254="","",IF(VLOOKUP(M254,'G-3 Multipliers'!$L$3:$N$6,3,FALSE)=0,"Spatial Data Missing",VLOOKUP(M254,'G-3 Multipliers'!$L$3:$N$6,3,FALSE)))</f>
        <v/>
      </c>
      <c r="P254" s="177" t="str">
        <f>IFERROR(VLOOKUP(G254,'G-1 All Habitats'!$B$2:$M$130,12,FALSE),"")</f>
        <v/>
      </c>
      <c r="Q254" s="81" t="str">
        <f>IFERROR(IF(P254="","",IF(AND(P254='G-1 All Habitats'!$X$3,T254&gt;0),U254+V254,IF(AND(P254='G-1 All Habitats'!$X$3,S254&gt;0),U254+V254,IF(AND(P254='G-1 All Habitats'!$X$3,AC254&gt;0),"Any Loss Unacceptable",IF(AND(P254='G-1 All Habitats'!$X$3,W254&gt;0),"Any Loss Unacceptable",H254*J254*L254*O254))))),"Check Data")</f>
        <v/>
      </c>
      <c r="R254" s="55"/>
      <c r="S254" s="79"/>
      <c r="T254" s="82"/>
      <c r="U254" s="83" t="str">
        <f t="shared" si="20"/>
        <v/>
      </c>
      <c r="V254" s="83" t="str">
        <f t="shared" si="21"/>
        <v/>
      </c>
      <c r="W254" s="83" t="str">
        <f>IF(E254="","",IF(H254&lt;S254+T254,"Error in Areas",IF(P254&lt;&gt;'G-1 All Habitats'!$X$3,H254-S254-T254,IF(AND(P254='G-1 All Habitats'!$X$3,Y254="Yes"),"Unacceptable Loss",IF(AND(P254='G-1 All Habitats'!$X$3,Y254="No"),AC254,IF(AND(P254='G-1 All Habitats'!$X$3,Y254=""),AC254,IF(AND(P254='G-1 All Habitats'!$X$3,AC254="None",AC254),IF(AND(P254='G-1 All Habitats'!$X$3,AC254&gt;0),H254-S254-T254))))))))</f>
        <v/>
      </c>
      <c r="X254" s="354" t="str">
        <f>IFERROR(IF(H254="","",IF(H254-S254-T254=0&lt;0,"Error in Areas",IF(S254+T254&gt;H254,"Error in Areas",IF(AND(P254='G-1 All Habitats'!$X$3,Y254="Yes"),"Alternative Compensation",IF(W254=0,0,IF(P254='G-1 All Habitats'!$X$3,"Unacceptable Loss",Q254-U254-V254)))))),"Check Data")</f>
        <v/>
      </c>
      <c r="Y254" s="82"/>
      <c r="Z254" s="182"/>
      <c r="AA254" s="183"/>
      <c r="AC254" s="371" t="str">
        <f>IF(P254="","",IF(P254='G-1 All Habitats'!$X$3,H254-S254-T254,"None"))</f>
        <v/>
      </c>
      <c r="AD254" s="372" t="str">
        <f t="shared" si="22"/>
        <v/>
      </c>
      <c r="AF254" s="188" t="str">
        <f t="shared" si="18"/>
        <v/>
      </c>
      <c r="AG254" s="188" t="str">
        <f t="shared" si="19"/>
        <v/>
      </c>
      <c r="AH254" s="188" t="str">
        <f>IF(I254="","",IF(#REF!&gt;0,TRUE,FALSE))</f>
        <v/>
      </c>
      <c r="AI254" s="188">
        <v>244</v>
      </c>
      <c r="AJ254" s="188"/>
      <c r="AK254" s="188" t="str">
        <f t="array" ref="AK254">IFERROR(INDEX($AI$11:$AI$259, MATCH(0, IF(TRUE=$AF$11:$AF$259, COUNTIF($AK$10:$AK253, $AI$11:$AI$259), ""), 0)),"")</f>
        <v/>
      </c>
      <c r="AL254" s="188" t="str">
        <f t="array" ref="AL254">IFERROR(INDEX($AI$11:$AI$259, MATCH(0, IF(TRUE=$AG$11:$AG$259, COUNTIF($AL$10:$AL253, $AI$11:$AI$259), ""), 0)),"")</f>
        <v/>
      </c>
      <c r="AM254" s="188" t="str">
        <f t="array" ref="AM254">IFERROR(INDEX($AI$11:$AI$259, MATCH(0, IF(TRUE=$AH$11:$AH$259, COUNTIF($AM$10:$AM253, $AI$11:$AI$259), ""), 0)),"")</f>
        <v/>
      </c>
      <c r="AQ254" s="35">
        <f t="shared" si="23"/>
        <v>0</v>
      </c>
    </row>
    <row r="255" spans="1:43" x14ac:dyDescent="0.25">
      <c r="A255" s="35" t="str">
        <f>IFERROR(INDEX('G-1 All Habitats'!$AG$3:$AG$15,MATCH(E255,'G-1 All Habitats'!$AF$3:$AF$15,0)),"")</f>
        <v/>
      </c>
      <c r="B255" s="35" t="str">
        <f>IFERROR(INDEX('G-8 Condition Look up'!$I$4:$I$131,MATCH(G255,'G-8 Condition Look up'!$A$4:$A$131,0)),"")</f>
        <v/>
      </c>
      <c r="D255" s="168">
        <v>245</v>
      </c>
      <c r="E255" s="275"/>
      <c r="F255" s="275"/>
      <c r="G255" s="370" t="str">
        <f>IFERROR(INDEX('G-1 All Habitats'!$B$3:$B$130,MATCH(F255,'G-1 All Habitats'!$A$3:$A$130,0)),"")</f>
        <v/>
      </c>
      <c r="H255" s="213"/>
      <c r="I255" s="171" t="str">
        <f>IF(G255="","",VLOOKUP(G255,'G-1 All Habitats'!$B$2:$M$130,10,FALSE))</f>
        <v/>
      </c>
      <c r="J255" s="172" t="str">
        <f>IFERROR(VLOOKUP(I255,'G-1 All Habitats'!$V$3:$W$7,2,FALSE),"")</f>
        <v/>
      </c>
      <c r="K255" s="173"/>
      <c r="L255" s="172" t="str">
        <f>IFERROR(INDEX('G-8 Condition Look up'!$A$3:$H$131,MATCH(G255,'G-8 Condition Look up'!$A$3:$A$131,0),MATCH(K255,'G-8 Condition Look up'!$A$3:$H$3,0)),"")</f>
        <v/>
      </c>
      <c r="M255" s="186"/>
      <c r="N255" s="175" t="str">
        <f>IF(M255="","",IF(VLOOKUP(M255,'G-3 Multipliers'!$L$3:$N$6,2,FALSE)=0,"Spatial Data Missing",VLOOKUP(M255,'G-3 Multipliers'!$L$3:$N$6,2,FALSE)))</f>
        <v/>
      </c>
      <c r="O255" s="176" t="str">
        <f>IF(M255="","",IF(VLOOKUP(M255,'G-3 Multipliers'!$L$3:$N$6,3,FALSE)=0,"Spatial Data Missing",VLOOKUP(M255,'G-3 Multipliers'!$L$3:$N$6,3,FALSE)))</f>
        <v/>
      </c>
      <c r="P255" s="177" t="str">
        <f>IFERROR(VLOOKUP(G255,'G-1 All Habitats'!$B$2:$M$130,12,FALSE),"")</f>
        <v/>
      </c>
      <c r="Q255" s="81" t="str">
        <f>IFERROR(IF(P255="","",IF(AND(P255='G-1 All Habitats'!$X$3,T255&gt;0),U255+V255,IF(AND(P255='G-1 All Habitats'!$X$3,S255&gt;0),U255+V255,IF(AND(P255='G-1 All Habitats'!$X$3,AC255&gt;0),"Any Loss Unacceptable",IF(AND(P255='G-1 All Habitats'!$X$3,W255&gt;0),"Any Loss Unacceptable",H255*J255*L255*O255))))),"Check Data")</f>
        <v/>
      </c>
      <c r="R255" s="55"/>
      <c r="S255" s="79"/>
      <c r="T255" s="82"/>
      <c r="U255" s="83" t="str">
        <f t="shared" si="20"/>
        <v/>
      </c>
      <c r="V255" s="83" t="str">
        <f t="shared" si="21"/>
        <v/>
      </c>
      <c r="W255" s="83" t="str">
        <f>IF(E255="","",IF(H255&lt;S255+T255,"Error in Areas",IF(P255&lt;&gt;'G-1 All Habitats'!$X$3,H255-S255-T255,IF(AND(P255='G-1 All Habitats'!$X$3,Y255="Yes"),"Unacceptable Loss",IF(AND(P255='G-1 All Habitats'!$X$3,Y255="No"),AC255,IF(AND(P255='G-1 All Habitats'!$X$3,Y255=""),AC255,IF(AND(P255='G-1 All Habitats'!$X$3,AC255="None",AC255),IF(AND(P255='G-1 All Habitats'!$X$3,AC255&gt;0),H255-S255-T255))))))))</f>
        <v/>
      </c>
      <c r="X255" s="354" t="str">
        <f>IFERROR(IF(H255="","",IF(H255-S255-T255=0&lt;0,"Error in Areas",IF(S255+T255&gt;H255,"Error in Areas",IF(AND(P255='G-1 All Habitats'!$X$3,Y255="Yes"),"Alternative Compensation",IF(W255=0,0,IF(P255='G-1 All Habitats'!$X$3,"Unacceptable Loss",Q255-U255-V255)))))),"Check Data")</f>
        <v/>
      </c>
      <c r="Y255" s="82"/>
      <c r="Z255" s="182"/>
      <c r="AA255" s="183"/>
      <c r="AC255" s="371" t="str">
        <f>IF(P255="","",IF(P255='G-1 All Habitats'!$X$3,H255-S255-T255,"None"))</f>
        <v/>
      </c>
      <c r="AD255" s="372" t="str">
        <f t="shared" si="22"/>
        <v/>
      </c>
      <c r="AF255" s="188" t="str">
        <f t="shared" si="18"/>
        <v/>
      </c>
      <c r="AG255" s="188" t="str">
        <f t="shared" si="19"/>
        <v/>
      </c>
      <c r="AH255" s="188" t="str">
        <f>IF(I255="","",IF(#REF!&gt;0,TRUE,FALSE))</f>
        <v/>
      </c>
      <c r="AI255" s="188">
        <v>245</v>
      </c>
      <c r="AJ255" s="188"/>
      <c r="AK255" s="188" t="str">
        <f t="array" ref="AK255">IFERROR(INDEX($AI$11:$AI$259, MATCH(0, IF(TRUE=$AF$11:$AF$259, COUNTIF($AK$10:$AK254, $AI$11:$AI$259), ""), 0)),"")</f>
        <v/>
      </c>
      <c r="AL255" s="188" t="str">
        <f t="array" ref="AL255">IFERROR(INDEX($AI$11:$AI$259, MATCH(0, IF(TRUE=$AG$11:$AG$259, COUNTIF($AL$10:$AL254, $AI$11:$AI$259), ""), 0)),"")</f>
        <v/>
      </c>
      <c r="AM255" s="188" t="str">
        <f t="array" ref="AM255">IFERROR(INDEX($AI$11:$AI$259, MATCH(0, IF(TRUE=$AH$11:$AH$259, COUNTIF($AM$10:$AM254, $AI$11:$AI$259), ""), 0)),"")</f>
        <v/>
      </c>
      <c r="AQ255" s="35">
        <f t="shared" si="23"/>
        <v>0</v>
      </c>
    </row>
    <row r="256" spans="1:43" x14ac:dyDescent="0.25">
      <c r="A256" s="35" t="str">
        <f>IFERROR(INDEX('G-1 All Habitats'!$AG$3:$AG$15,MATCH(E256,'G-1 All Habitats'!$AF$3:$AF$15,0)),"")</f>
        <v/>
      </c>
      <c r="B256" s="35" t="str">
        <f>IFERROR(INDEX('G-8 Condition Look up'!$I$4:$I$131,MATCH(G256,'G-8 Condition Look up'!$A$4:$A$131,0)),"")</f>
        <v/>
      </c>
      <c r="D256" s="168">
        <v>246</v>
      </c>
      <c r="E256" s="275"/>
      <c r="F256" s="275"/>
      <c r="G256" s="370" t="str">
        <f>IFERROR(INDEX('G-1 All Habitats'!$B$3:$B$130,MATCH(F256,'G-1 All Habitats'!$A$3:$A$130,0)),"")</f>
        <v/>
      </c>
      <c r="H256" s="213"/>
      <c r="I256" s="171" t="str">
        <f>IF(G256="","",VLOOKUP(G256,'G-1 All Habitats'!$B$2:$M$130,10,FALSE))</f>
        <v/>
      </c>
      <c r="J256" s="172" t="str">
        <f>IFERROR(VLOOKUP(I256,'G-1 All Habitats'!$V$3:$W$7,2,FALSE),"")</f>
        <v/>
      </c>
      <c r="K256" s="173"/>
      <c r="L256" s="172" t="str">
        <f>IFERROR(INDEX('G-8 Condition Look up'!$A$3:$H$131,MATCH(G256,'G-8 Condition Look up'!$A$3:$A$131,0),MATCH(K256,'G-8 Condition Look up'!$A$3:$H$3,0)),"")</f>
        <v/>
      </c>
      <c r="M256" s="186"/>
      <c r="N256" s="175" t="str">
        <f>IF(M256="","",IF(VLOOKUP(M256,'G-3 Multipliers'!$L$3:$N$6,2,FALSE)=0,"Spatial Data Missing",VLOOKUP(M256,'G-3 Multipliers'!$L$3:$N$6,2,FALSE)))</f>
        <v/>
      </c>
      <c r="O256" s="176" t="str">
        <f>IF(M256="","",IF(VLOOKUP(M256,'G-3 Multipliers'!$L$3:$N$6,3,FALSE)=0,"Spatial Data Missing",VLOOKUP(M256,'G-3 Multipliers'!$L$3:$N$6,3,FALSE)))</f>
        <v/>
      </c>
      <c r="P256" s="177" t="str">
        <f>IFERROR(VLOOKUP(G256,'G-1 All Habitats'!$B$2:$M$130,12,FALSE),"")</f>
        <v/>
      </c>
      <c r="Q256" s="81" t="str">
        <f>IFERROR(IF(P256="","",IF(AND(P256='G-1 All Habitats'!$X$3,T256&gt;0),U256+V256,IF(AND(P256='G-1 All Habitats'!$X$3,S256&gt;0),U256+V256,IF(AND(P256='G-1 All Habitats'!$X$3,AC256&gt;0),"Any Loss Unacceptable",IF(AND(P256='G-1 All Habitats'!$X$3,W256&gt;0),"Any Loss Unacceptable",H256*J256*L256*O256))))),"Check Data")</f>
        <v/>
      </c>
      <c r="R256" s="55"/>
      <c r="S256" s="79"/>
      <c r="T256" s="82"/>
      <c r="U256" s="83" t="str">
        <f t="shared" si="20"/>
        <v/>
      </c>
      <c r="V256" s="83" t="str">
        <f t="shared" si="21"/>
        <v/>
      </c>
      <c r="W256" s="83" t="str">
        <f>IF(E256="","",IF(H256&lt;S256+T256,"Error in Areas",IF(P256&lt;&gt;'G-1 All Habitats'!$X$3,H256-S256-T256,IF(AND(P256='G-1 All Habitats'!$X$3,Y256="Yes"),"Unacceptable Loss",IF(AND(P256='G-1 All Habitats'!$X$3,Y256="No"),AC256,IF(AND(P256='G-1 All Habitats'!$X$3,Y256=""),AC256,IF(AND(P256='G-1 All Habitats'!$X$3,AC256="None",AC256),IF(AND(P256='G-1 All Habitats'!$X$3,AC256&gt;0),H256-S256-T256))))))))</f>
        <v/>
      </c>
      <c r="X256" s="354" t="str">
        <f>IFERROR(IF(H256="","",IF(H256-S256-T256=0&lt;0,"Error in Areas",IF(S256+T256&gt;H256,"Error in Areas",IF(AND(P256='G-1 All Habitats'!$X$3,Y256="Yes"),"Alternative Compensation",IF(W256=0,0,IF(P256='G-1 All Habitats'!$X$3,"Unacceptable Loss",Q256-U256-V256)))))),"Check Data")</f>
        <v/>
      </c>
      <c r="Y256" s="82"/>
      <c r="Z256" s="182"/>
      <c r="AA256" s="183"/>
      <c r="AC256" s="371" t="str">
        <f>IF(P256="","",IF(P256='G-1 All Habitats'!$X$3,H256-S256-T256,"None"))</f>
        <v/>
      </c>
      <c r="AD256" s="372" t="str">
        <f t="shared" si="22"/>
        <v/>
      </c>
      <c r="AF256" s="188" t="str">
        <f t="shared" si="18"/>
        <v/>
      </c>
      <c r="AG256" s="188" t="str">
        <f t="shared" si="19"/>
        <v/>
      </c>
      <c r="AH256" s="188" t="str">
        <f>IF(I256="","",IF(#REF!&gt;0,TRUE,FALSE))</f>
        <v/>
      </c>
      <c r="AI256" s="188">
        <v>246</v>
      </c>
      <c r="AJ256" s="188"/>
      <c r="AK256" s="188" t="str">
        <f t="array" ref="AK256">IFERROR(INDEX($AI$11:$AI$259, MATCH(0, IF(TRUE=$AF$11:$AF$259, COUNTIF($AK$10:$AK255, $AI$11:$AI$259), ""), 0)),"")</f>
        <v/>
      </c>
      <c r="AL256" s="188" t="str">
        <f t="array" ref="AL256">IFERROR(INDEX($AI$11:$AI$259, MATCH(0, IF(TRUE=$AG$11:$AG$259, COUNTIF($AL$10:$AL255, $AI$11:$AI$259), ""), 0)),"")</f>
        <v/>
      </c>
      <c r="AM256" s="188" t="str">
        <f t="array" ref="AM256">IFERROR(INDEX($AI$11:$AI$259, MATCH(0, IF(TRUE=$AH$11:$AH$259, COUNTIF($AM$10:$AM255, $AI$11:$AI$259), ""), 0)),"")</f>
        <v/>
      </c>
      <c r="AQ256" s="35">
        <f t="shared" si="23"/>
        <v>0</v>
      </c>
    </row>
    <row r="257" spans="1:43" x14ac:dyDescent="0.25">
      <c r="A257" s="35" t="str">
        <f>IFERROR(INDEX('G-1 All Habitats'!$AG$3:$AG$15,MATCH(E257,'G-1 All Habitats'!$AF$3:$AF$15,0)),"")</f>
        <v/>
      </c>
      <c r="B257" s="35" t="str">
        <f>IFERROR(INDEX('G-8 Condition Look up'!$I$4:$I$131,MATCH(G257,'G-8 Condition Look up'!$A$4:$A$131,0)),"")</f>
        <v/>
      </c>
      <c r="D257" s="168">
        <v>247</v>
      </c>
      <c r="E257" s="275"/>
      <c r="F257" s="275"/>
      <c r="G257" s="370" t="str">
        <f>IFERROR(INDEX('G-1 All Habitats'!$B$3:$B$130,MATCH(F257,'G-1 All Habitats'!$A$3:$A$130,0)),"")</f>
        <v/>
      </c>
      <c r="H257" s="213"/>
      <c r="I257" s="171" t="str">
        <f>IF(G257="","",VLOOKUP(G257,'G-1 All Habitats'!$B$2:$M$130,10,FALSE))</f>
        <v/>
      </c>
      <c r="J257" s="172" t="str">
        <f>IFERROR(VLOOKUP(I257,'G-1 All Habitats'!$V$3:$W$7,2,FALSE),"")</f>
        <v/>
      </c>
      <c r="K257" s="173"/>
      <c r="L257" s="172" t="str">
        <f>IFERROR(INDEX('G-8 Condition Look up'!$A$3:$H$131,MATCH(G257,'G-8 Condition Look up'!$A$3:$A$131,0),MATCH(K257,'G-8 Condition Look up'!$A$3:$H$3,0)),"")</f>
        <v/>
      </c>
      <c r="M257" s="186"/>
      <c r="N257" s="175" t="str">
        <f>IF(M257="","",IF(VLOOKUP(M257,'G-3 Multipliers'!$L$3:$N$6,2,FALSE)=0,"Spatial Data Missing",VLOOKUP(M257,'G-3 Multipliers'!$L$3:$N$6,2,FALSE)))</f>
        <v/>
      </c>
      <c r="O257" s="176" t="str">
        <f>IF(M257="","",IF(VLOOKUP(M257,'G-3 Multipliers'!$L$3:$N$6,3,FALSE)=0,"Spatial Data Missing",VLOOKUP(M257,'G-3 Multipliers'!$L$3:$N$6,3,FALSE)))</f>
        <v/>
      </c>
      <c r="P257" s="177" t="str">
        <f>IFERROR(VLOOKUP(G257,'G-1 All Habitats'!$B$2:$M$130,12,FALSE),"")</f>
        <v/>
      </c>
      <c r="Q257" s="81" t="str">
        <f>IFERROR(IF(P257="","",IF(AND(P257='G-1 All Habitats'!$X$3,T257&gt;0),U257+V257,IF(AND(P257='G-1 All Habitats'!$X$3,S257&gt;0),U257+V257,IF(AND(P257='G-1 All Habitats'!$X$3,AC257&gt;0),"Any Loss Unacceptable",IF(AND(P257='G-1 All Habitats'!$X$3,W257&gt;0),"Any Loss Unacceptable",H257*J257*L257*O257))))),"Check Data")</f>
        <v/>
      </c>
      <c r="R257" s="55"/>
      <c r="S257" s="79"/>
      <c r="T257" s="82"/>
      <c r="U257" s="83" t="str">
        <f t="shared" si="20"/>
        <v/>
      </c>
      <c r="V257" s="83" t="str">
        <f t="shared" si="21"/>
        <v/>
      </c>
      <c r="W257" s="83" t="str">
        <f>IF(E257="","",IF(H257&lt;S257+T257,"Error in Areas",IF(P257&lt;&gt;'G-1 All Habitats'!$X$3,H257-S257-T257,IF(AND(P257='G-1 All Habitats'!$X$3,Y257="Yes"),"Unacceptable Loss",IF(AND(P257='G-1 All Habitats'!$X$3,Y257="No"),AC257,IF(AND(P257='G-1 All Habitats'!$X$3,Y257=""),AC257,IF(AND(P257='G-1 All Habitats'!$X$3,AC257="None",AC257),IF(AND(P257='G-1 All Habitats'!$X$3,AC257&gt;0),H257-S257-T257))))))))</f>
        <v/>
      </c>
      <c r="X257" s="354" t="str">
        <f>IFERROR(IF(H257="","",IF(H257-S257-T257=0&lt;0,"Error in Areas",IF(S257+T257&gt;H257,"Error in Areas",IF(AND(P257='G-1 All Habitats'!$X$3,Y257="Yes"),"Alternative Compensation",IF(W257=0,0,IF(P257='G-1 All Habitats'!$X$3,"Unacceptable Loss",Q257-U257-V257)))))),"Check Data")</f>
        <v/>
      </c>
      <c r="Y257" s="82"/>
      <c r="Z257" s="182"/>
      <c r="AA257" s="183"/>
      <c r="AC257" s="371" t="str">
        <f>IF(P257="","",IF(P257='G-1 All Habitats'!$X$3,H257-S257-T257,"None"))</f>
        <v/>
      </c>
      <c r="AD257" s="372" t="str">
        <f t="shared" si="22"/>
        <v/>
      </c>
      <c r="AF257" s="188" t="str">
        <f t="shared" si="18"/>
        <v/>
      </c>
      <c r="AG257" s="188" t="str">
        <f t="shared" si="19"/>
        <v/>
      </c>
      <c r="AH257" s="188" t="str">
        <f>IF(I257="","",IF(#REF!&gt;0,TRUE,FALSE))</f>
        <v/>
      </c>
      <c r="AI257" s="188">
        <v>247</v>
      </c>
      <c r="AJ257" s="188"/>
      <c r="AK257" s="188" t="str">
        <f t="array" ref="AK257">IFERROR(INDEX($AI$11:$AI$259, MATCH(0, IF(TRUE=$AF$11:$AF$259, COUNTIF($AK$10:$AK256, $AI$11:$AI$259), ""), 0)),"")</f>
        <v/>
      </c>
      <c r="AL257" s="188" t="str">
        <f t="array" ref="AL257">IFERROR(INDEX($AI$11:$AI$259, MATCH(0, IF(TRUE=$AG$11:$AG$259, COUNTIF($AL$10:$AL256, $AI$11:$AI$259), ""), 0)),"")</f>
        <v/>
      </c>
      <c r="AM257" s="188" t="str">
        <f t="array" ref="AM257">IFERROR(INDEX($AI$11:$AI$259, MATCH(0, IF(TRUE=$AH$11:$AH$259, COUNTIF($AM$10:$AM256, $AI$11:$AI$259), ""), 0)),"")</f>
        <v/>
      </c>
      <c r="AQ257" s="35">
        <f t="shared" si="23"/>
        <v>0</v>
      </c>
    </row>
    <row r="258" spans="1:43" ht="14.4" thickBot="1" x14ac:dyDescent="0.3">
      <c r="A258" s="35" t="str">
        <f>IFERROR(INDEX('G-1 All Habitats'!$AG$3:$AG$15,MATCH(E258,'G-1 All Habitats'!$AF$3:$AF$15,0)),"")</f>
        <v/>
      </c>
      <c r="B258" s="35" t="str">
        <f>IFERROR(INDEX('G-8 Condition Look up'!$I$4:$I$131,MATCH(G258,'G-8 Condition Look up'!$A$4:$A$131,0)),"")</f>
        <v/>
      </c>
      <c r="D258" s="190">
        <v>248</v>
      </c>
      <c r="E258" s="279"/>
      <c r="F258" s="279"/>
      <c r="G258" s="577" t="str">
        <f>IFERROR(INDEX('G-1 All Habitats'!$B$3:$B$130,MATCH(F258,'G-1 All Habitats'!$A$3:$A$130,0)),"")</f>
        <v/>
      </c>
      <c r="H258" s="192"/>
      <c r="I258" s="248" t="str">
        <f>IF(G258="","",VLOOKUP(G258,'G-1 All Habitats'!$B$2:$M$130,10,FALSE))</f>
        <v/>
      </c>
      <c r="J258" s="195" t="str">
        <f>IFERROR(VLOOKUP(I258,'G-1 All Habitats'!$V$3:$W$7,2,FALSE),"")</f>
        <v/>
      </c>
      <c r="K258" s="193"/>
      <c r="L258" s="195" t="str">
        <f>IFERROR(INDEX('G-8 Condition Look up'!$A$3:$H$131,MATCH(G258,'G-8 Condition Look up'!$A$3:$A$131,0),MATCH(K258,'G-8 Condition Look up'!$A$3:$H$3,0)),"")</f>
        <v/>
      </c>
      <c r="M258" s="193"/>
      <c r="N258" s="194" t="str">
        <f>IF(M258="","",IF(VLOOKUP(M258,'G-3 Multipliers'!$L$3:$N$6,2,FALSE)=0,"Spatial Data Missing",VLOOKUP(M258,'G-3 Multipliers'!$L$3:$N$6,2,FALSE)))</f>
        <v/>
      </c>
      <c r="O258" s="195" t="str">
        <f>IF(M258="","",IF(VLOOKUP(M258,'G-3 Multipliers'!$L$3:$N$6,3,FALSE)=0,"Spatial Data Missing",VLOOKUP(M258,'G-3 Multipliers'!$L$3:$N$6,3,FALSE)))</f>
        <v/>
      </c>
      <c r="P258" s="405" t="str">
        <f>IFERROR(VLOOKUP(G258,'G-1 All Habitats'!$B$2:$M$130,12,FALSE),"")</f>
        <v/>
      </c>
      <c r="Q258" s="578" t="str">
        <f>IFERROR(IF(P258="","",IF(AND(P258='G-1 All Habitats'!$X$3,T258&gt;0),U258+V258,IF(AND(P258='G-1 All Habitats'!$X$3,S258&gt;0),U258+V258,IF(AND(P258='G-1 All Habitats'!$X$3,AC258&gt;0),"Any Loss Unacceptable",IF(AND(P258='G-1 All Habitats'!$X$3,W258&gt;0),"Any Loss Unacceptable",H258*J258*L258*O258))))),"Check Data")</f>
        <v/>
      </c>
      <c r="R258" s="55"/>
      <c r="S258" s="573"/>
      <c r="T258" s="574"/>
      <c r="U258" s="565" t="str">
        <f t="shared" si="20"/>
        <v/>
      </c>
      <c r="V258" s="565" t="str">
        <f t="shared" si="21"/>
        <v/>
      </c>
      <c r="W258" s="83" t="str">
        <f>IF(E258="","",IF(H258&lt;S258+T258,"Error in Areas",IF(P258&lt;&gt;'G-1 All Habitats'!$X$3,H258-S258-T258,IF(AND(P258='G-1 All Habitats'!$X$3,Y258="Yes"),"Unacceptable Loss",IF(AND(P258='G-1 All Habitats'!$X$3,Y258="No"),AC258,IF(AND(P258='G-1 All Habitats'!$X$3,Y258=""),AC258,IF(AND(P258='G-1 All Habitats'!$X$3,AC258="None",AC258),IF(AND(P258='G-1 All Habitats'!$X$3,AC258&gt;0),H258-S258-T258))))))))</f>
        <v/>
      </c>
      <c r="X258" s="575" t="str">
        <f>IFERROR(IF(H258="","",IF(H258-S258-T258=0&lt;0,"Error in Areas",IF(S258+T258&gt;H258,"Error in Areas",IF(AND(P258='G-1 All Habitats'!$X$3,Y258="Yes"),"Alternative Compensation",IF(W258=0,0,IF(P258='G-1 All Habitats'!$X$3,"Unacceptable Loss",Q258-U258-V258)))))),"Check Data")</f>
        <v/>
      </c>
      <c r="Y258" s="576"/>
      <c r="Z258" s="197"/>
      <c r="AA258" s="198"/>
      <c r="AC258" s="371" t="str">
        <f>IF(P258="","",IF(P258='G-1 All Habitats'!$X$3,H258-S258-T258,"None"))</f>
        <v/>
      </c>
      <c r="AD258" s="372" t="str">
        <f t="shared" si="22"/>
        <v/>
      </c>
      <c r="AF258" s="188" t="str">
        <f t="shared" si="18"/>
        <v/>
      </c>
      <c r="AG258" s="188" t="str">
        <f t="shared" si="19"/>
        <v/>
      </c>
      <c r="AH258" s="188" t="str">
        <f>IF(I258="","",IF(#REF!&gt;0,TRUE,FALSE))</f>
        <v/>
      </c>
      <c r="AI258" s="188">
        <v>248</v>
      </c>
      <c r="AJ258" s="188"/>
      <c r="AK258" s="188" t="str">
        <f t="array" ref="AK258">IFERROR(INDEX($AI$11:$AI$259, MATCH(0, IF(TRUE=$AF$11:$AF$259, COUNTIF($AK$10:$AK257, $AI$11:$AI$259), ""), 0)),"")</f>
        <v/>
      </c>
      <c r="AL258" s="188" t="str">
        <f t="array" ref="AL258">IFERROR(INDEX($AI$11:$AI$259, MATCH(0, IF(TRUE=$AG$11:$AG$259, COUNTIF($AL$10:$AL257, $AI$11:$AI$259), ""), 0)),"")</f>
        <v/>
      </c>
      <c r="AM258" s="188" t="str">
        <f t="array" ref="AM258">IFERROR(INDEX($AI$11:$AI$259, MATCH(0, IF(TRUE=$AH$11:$AH$259, COUNTIF($AM$10:$AM257, $AI$11:$AI$259), ""), 0)),"")</f>
        <v/>
      </c>
      <c r="AQ258" s="35">
        <f t="shared" si="23"/>
        <v>0</v>
      </c>
    </row>
    <row r="259" spans="1:43" ht="14.4" thickBot="1" x14ac:dyDescent="0.3">
      <c r="G259" s="492" t="s">
        <v>357</v>
      </c>
      <c r="H259" s="523">
        <f>IF('Detailed Results'!$K$40&gt;0,"Error",SUMIFS($H$11:$H$258,$G$11:$G$258,"&lt;&gt;"&amp;'G-1 All Habitats'!B66,$G$11:$G$258,"&lt;&gt;"&amp;'G-1 All Habitats'!B67,$G$11:$G$258,"&lt;&gt;"&amp;'G-1 All Habitats'!B74))</f>
        <v>0</v>
      </c>
      <c r="N259" s="44"/>
      <c r="P259" s="214" t="s">
        <v>358</v>
      </c>
      <c r="Q259" s="608">
        <f>IF('Detailed Results'!$K$40&gt;0,"Error",SUM(Q11:Q258))</f>
        <v>0</v>
      </c>
      <c r="R259" s="97"/>
      <c r="S259" s="567">
        <f>IF('Detailed Results'!$K$40&gt;0,"Error",SUM(S11:S258))</f>
        <v>0</v>
      </c>
      <c r="T259" s="609">
        <f>IF('Detailed Results'!$K$40&gt;0,"Error",SUM(T11:T258))</f>
        <v>0</v>
      </c>
      <c r="U259" s="609">
        <f>IF('Detailed Results'!$K$40&gt;0,"Error",SUM(U11:U258))</f>
        <v>0</v>
      </c>
      <c r="V259" s="609">
        <f>IF('Detailed Results'!$K$40&gt;0,"Error",SUM(V11:V258))</f>
        <v>0</v>
      </c>
      <c r="W259" s="609">
        <f>IF('Detailed Results'!$K$40&gt;0,"Error",SUM(W11:W258))</f>
        <v>0</v>
      </c>
      <c r="X259" s="610">
        <f>IF('Detailed Results'!$K$40&gt;0,"Error",SUM(X11:X258))</f>
        <v>0</v>
      </c>
      <c r="Y259" s="373"/>
      <c r="AQ259" s="158">
        <f>SUM(AQ11:AQ258)</f>
        <v>0</v>
      </c>
    </row>
    <row r="260" spans="1:43" x14ac:dyDescent="0.25">
      <c r="R260" s="201"/>
      <c r="S260" s="201"/>
      <c r="T260" s="201"/>
      <c r="U260" s="201"/>
      <c r="V260" s="201"/>
      <c r="W260" s="201"/>
      <c r="X260" s="201"/>
    </row>
    <row r="261" spans="1:43" x14ac:dyDescent="0.25">
      <c r="D261" s="159"/>
      <c r="E261" s="159"/>
      <c r="F261" s="159"/>
    </row>
    <row r="262" spans="1:43" x14ac:dyDescent="0.25">
      <c r="D262" s="159"/>
      <c r="E262" s="159"/>
      <c r="F262" s="159"/>
    </row>
    <row r="263" spans="1:43" x14ac:dyDescent="0.25">
      <c r="D263" s="159"/>
      <c r="E263" s="159"/>
      <c r="F263" s="159"/>
    </row>
    <row r="264" spans="1:43" x14ac:dyDescent="0.25">
      <c r="D264" s="159"/>
      <c r="E264" s="159"/>
      <c r="F264" s="159"/>
    </row>
    <row r="265" spans="1:43" x14ac:dyDescent="0.25">
      <c r="D265" s="159"/>
      <c r="E265" s="159"/>
      <c r="F265" s="159"/>
    </row>
    <row r="266" spans="1:43" x14ac:dyDescent="0.25">
      <c r="D266" s="159"/>
      <c r="E266" s="159"/>
      <c r="F266" s="159"/>
    </row>
    <row r="267" spans="1:43" x14ac:dyDescent="0.25">
      <c r="D267" s="159"/>
      <c r="E267" s="159"/>
      <c r="F267" s="159"/>
    </row>
    <row r="268" spans="1:43" x14ac:dyDescent="0.25">
      <c r="D268" s="159"/>
      <c r="E268" s="159"/>
      <c r="F268" s="159"/>
    </row>
    <row r="269" spans="1:43" x14ac:dyDescent="0.25">
      <c r="D269" s="159"/>
      <c r="E269" s="159"/>
      <c r="F269" s="159"/>
    </row>
    <row r="270" spans="1:43" x14ac:dyDescent="0.25">
      <c r="D270" s="159"/>
      <c r="E270" s="159"/>
      <c r="F270" s="159"/>
    </row>
    <row r="271" spans="1:43" x14ac:dyDescent="0.25">
      <c r="D271" s="159"/>
      <c r="E271" s="159"/>
      <c r="F271" s="159"/>
    </row>
  </sheetData>
  <sheetProtection algorithmName="SHA-512" hashValue="JrILf50euo/ATl225mxj8EpGB44sorwU+Q7Y3aOUwP9iOMwtEjAsKXsNGXZIFRU2r3+ASe8RuIjWA4xvz3+WTw==" saltValue="lTbzsUDiv/r1uYF98tVgxA==" spinCount="100000" sheet="1" objects="1" scenarios="1"/>
  <customSheetViews>
    <customSheetView guid="{8BDA793C-C9C5-4FC6-A0A5-F1109F6D4F22}" topLeftCell="C1">
      <pane ySplit="10" topLeftCell="A11" activePane="bottomLeft" state="frozen"/>
      <selection pane="bottomLeft"/>
    </customSheetView>
  </customSheetViews>
  <mergeCells count="10">
    <mergeCell ref="E9:H9"/>
    <mergeCell ref="I9:J9"/>
    <mergeCell ref="K9:L9"/>
    <mergeCell ref="D3:F4"/>
    <mergeCell ref="D2:F2"/>
    <mergeCell ref="P9:P10"/>
    <mergeCell ref="Y9:Y10"/>
    <mergeCell ref="Z9:AA9"/>
    <mergeCell ref="M9:O9"/>
    <mergeCell ref="S9:X9"/>
  </mergeCells>
  <conditionalFormatting sqref="AC11:AC258">
    <cfRule type="cellIs" dxfId="219" priority="116" operator="equal">
      <formula>""</formula>
    </cfRule>
    <cfRule type="cellIs" dxfId="218" priority="117" operator="equal">
      <formula>"None"</formula>
    </cfRule>
    <cfRule type="cellIs" dxfId="217" priority="119" operator="greaterThan">
      <formula>0</formula>
    </cfRule>
  </conditionalFormatting>
  <conditionalFormatting sqref="AD12">
    <cfRule type="cellIs" dxfId="216" priority="112" operator="equal">
      <formula>"None"</formula>
    </cfRule>
    <cfRule type="cellIs" dxfId="215" priority="115" operator="equal">
      <formula>""</formula>
    </cfRule>
    <cfRule type="cellIs" dxfId="214" priority="118" operator="greaterThan">
      <formula>0</formula>
    </cfRule>
  </conditionalFormatting>
  <conditionalFormatting sqref="AC11">
    <cfRule type="cellIs" dxfId="213" priority="103" operator="equal">
      <formula>""</formula>
    </cfRule>
    <cfRule type="cellIs" dxfId="212" priority="104" operator="equal">
      <formula>"None"</formula>
    </cfRule>
    <cfRule type="cellIs" dxfId="211" priority="106" operator="greaterThan">
      <formula>0</formula>
    </cfRule>
  </conditionalFormatting>
  <conditionalFormatting sqref="AD11:AD258">
    <cfRule type="cellIs" dxfId="210" priority="99" operator="equal">
      <formula>"None"</formula>
    </cfRule>
    <cfRule type="cellIs" dxfId="209" priority="102" operator="equal">
      <formula>""</formula>
    </cfRule>
    <cfRule type="cellIs" dxfId="208" priority="105" operator="greaterThan">
      <formula>0</formula>
    </cfRule>
  </conditionalFormatting>
  <conditionalFormatting sqref="AC11:AC258">
    <cfRule type="cellIs" dxfId="207" priority="90" operator="equal">
      <formula>""</formula>
    </cfRule>
    <cfRule type="cellIs" dxfId="206" priority="91" operator="equal">
      <formula>"None"</formula>
    </cfRule>
    <cfRule type="cellIs" dxfId="205" priority="93" operator="greaterThan">
      <formula>0</formula>
    </cfRule>
  </conditionalFormatting>
  <conditionalFormatting sqref="AD13:AD258">
    <cfRule type="cellIs" dxfId="204" priority="86" operator="equal">
      <formula>"None"</formula>
    </cfRule>
    <cfRule type="cellIs" dxfId="203" priority="89" operator="equal">
      <formula>""</formula>
    </cfRule>
    <cfRule type="cellIs" dxfId="202" priority="92" operator="greaterThan">
      <formula>0</formula>
    </cfRule>
  </conditionalFormatting>
  <conditionalFormatting sqref="AC11:AC258">
    <cfRule type="cellIs" dxfId="201" priority="84" operator="equal">
      <formula>0</formula>
    </cfRule>
  </conditionalFormatting>
  <conditionalFormatting sqref="L11">
    <cfRule type="containsText" dxfId="200" priority="79" operator="containsText" text="Not Possible">
      <formula>NOT(ISERROR(SEARCH("Not Possible",L11)))</formula>
    </cfRule>
  </conditionalFormatting>
  <conditionalFormatting sqref="L12:L258">
    <cfRule type="containsText" dxfId="199" priority="67" operator="containsText" text="Not Possible">
      <formula>NOT(ISERROR(SEARCH("Not Possible",L12)))</formula>
    </cfRule>
  </conditionalFormatting>
  <conditionalFormatting sqref="N11:O258">
    <cfRule type="containsText" dxfId="198" priority="31" operator="containsText" text="Spatial">
      <formula>NOT(ISERROR(SEARCH("Spatial",N11)))</formula>
    </cfRule>
  </conditionalFormatting>
  <conditionalFormatting sqref="W11:W258">
    <cfRule type="cellIs" dxfId="197" priority="18" operator="equal">
      <formula>"Error in Areas"</formula>
    </cfRule>
    <cfRule type="cellIs" dxfId="196" priority="26" operator="equal">
      <formula>"Unacceptable Loss"</formula>
    </cfRule>
  </conditionalFormatting>
  <conditionalFormatting sqref="Q11:Q258">
    <cfRule type="cellIs" dxfId="195" priority="23" operator="equal">
      <formula>"Any loss Unacceptable"</formula>
    </cfRule>
  </conditionalFormatting>
  <conditionalFormatting sqref="Q11:Q258">
    <cfRule type="expression" dxfId="194" priority="25">
      <formula>"p18=""Avoid"""</formula>
    </cfRule>
  </conditionalFormatting>
  <conditionalFormatting sqref="Q11:Q258">
    <cfRule type="cellIs" dxfId="193" priority="24" operator="equal">
      <formula>"Any loss Unacceptable"</formula>
    </cfRule>
  </conditionalFormatting>
  <conditionalFormatting sqref="Q11:Q258">
    <cfRule type="cellIs" dxfId="192" priority="20" operator="equal">
      <formula>"Any loss Unacceptable"</formula>
    </cfRule>
  </conditionalFormatting>
  <conditionalFormatting sqref="Q11:Q258">
    <cfRule type="expression" dxfId="191" priority="22">
      <formula>"p18=""Avoid"""</formula>
    </cfRule>
  </conditionalFormatting>
  <conditionalFormatting sqref="Q11:Q258">
    <cfRule type="cellIs" dxfId="190" priority="21" operator="equal">
      <formula>"Any loss Unacceptable"</formula>
    </cfRule>
  </conditionalFormatting>
  <conditionalFormatting sqref="Q11:Q258">
    <cfRule type="cellIs" dxfId="189" priority="19" operator="equal">
      <formula>"Check Data Entry"</formula>
    </cfRule>
  </conditionalFormatting>
  <conditionalFormatting sqref="Y11">
    <cfRule type="cellIs" dxfId="188" priority="27" operator="equal">
      <formula>"No"</formula>
    </cfRule>
    <cfRule type="cellIs" dxfId="187" priority="28" operator="equal">
      <formula>"Yes"</formula>
    </cfRule>
  </conditionalFormatting>
  <conditionalFormatting sqref="X11">
    <cfRule type="cellIs" dxfId="186" priority="15" operator="equal">
      <formula>"Alternative Compensation"</formula>
    </cfRule>
    <cfRule type="cellIs" dxfId="185" priority="16" operator="equal">
      <formula>"Error in Areas"</formula>
    </cfRule>
  </conditionalFormatting>
  <conditionalFormatting sqref="X11">
    <cfRule type="cellIs" dxfId="184" priority="17" operator="equal">
      <formula>"Unacceptable Loss"</formula>
    </cfRule>
  </conditionalFormatting>
  <conditionalFormatting sqref="Y12:Y258">
    <cfRule type="cellIs" dxfId="183" priority="13" operator="equal">
      <formula>"No"</formula>
    </cfRule>
    <cfRule type="cellIs" dxfId="182" priority="14" operator="equal">
      <formula>"Yes"</formula>
    </cfRule>
  </conditionalFormatting>
  <conditionalFormatting sqref="X12:X258">
    <cfRule type="cellIs" dxfId="181" priority="1" operator="equal">
      <formula>"Alternative Compensation"</formula>
    </cfRule>
    <cfRule type="cellIs" dxfId="180" priority="2" operator="equal">
      <formula>"Error in Areas"</formula>
    </cfRule>
  </conditionalFormatting>
  <conditionalFormatting sqref="X12:X258">
    <cfRule type="cellIs" dxfId="179" priority="3" operator="equal">
      <formula>"Unacceptable Loss"</formula>
    </cfRule>
  </conditionalFormatting>
  <dataValidations count="3">
    <dataValidation allowBlank="1" showErrorMessage="1" errorTitle="Invalid Habitat" error="Select from List" sqref="G11:G258" xr:uid="{00000000-0002-0000-0A00-000000000000}"/>
    <dataValidation type="list" allowBlank="1" showInputMessage="1" showErrorMessage="1" sqref="F11:F258" xr:uid="{00000000-0002-0000-0A00-000001000000}">
      <formula1>INDIRECT(A11)</formula1>
    </dataValidation>
    <dataValidation type="list" allowBlank="1" showInputMessage="1" showErrorMessage="1" sqref="K11:K258" xr:uid="{00000000-0002-0000-0A00-000002000000}">
      <formula1>INDIRECT(B11)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1" operator="equal" id="{99574D18-7AB8-41B9-8EC8-21122B53A41A}">
            <xm:f>'G-1 All Habitats'!$X$6</xm:f>
            <x14:dxf>
              <fill>
                <patternFill>
                  <bgColor theme="8" tint="0.59996337778862885"/>
                </patternFill>
              </fill>
            </x14:dxf>
          </x14:cfRule>
          <x14:cfRule type="cellIs" priority="128" operator="equal" id="{BC7093FB-615B-4E34-83D8-491F2586965E}">
            <xm:f>'G-1 All Habitats'!$X$5</xm:f>
            <x14:dxf>
              <fill>
                <patternFill>
                  <bgColor theme="8" tint="-0.24994659260841701"/>
                </patternFill>
              </fill>
            </x14:dxf>
          </x14:cfRule>
          <x14:cfRule type="cellIs" priority="129" operator="equal" id="{AD663CE7-2BF5-4FE8-9C44-A8F78E6556CC}">
            <xm:f>'G-1 All Habitats'!$X$4</xm:f>
            <x14:dxf>
              <fill>
                <patternFill>
                  <bgColor theme="6"/>
                </patternFill>
              </fill>
            </x14:dxf>
          </x14:cfRule>
          <x14:cfRule type="cellIs" priority="130" operator="equal" id="{5D93FC52-1B91-43E8-B3CB-E3717EE8B034}">
            <xm:f>'G-1 All Habitats'!$X$3</xm:f>
            <x14:dxf>
              <fill>
                <patternFill>
                  <bgColor rgb="FFFF0000"/>
                </patternFill>
              </fill>
            </x14:dxf>
          </x14:cfRule>
          <xm:sqref>P11:P258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A00-000003000000}">
          <x14:formula1>
            <xm:f>'G-3 Multipliers'!$L$4:$L$6</xm:f>
          </x14:formula1>
          <xm:sqref>M11:M258</xm:sqref>
        </x14:dataValidation>
        <x14:dataValidation type="list" allowBlank="1" showInputMessage="1" showErrorMessage="1" xr:uid="{00000000-0002-0000-0A00-000005000000}">
          <x14:formula1>
            <xm:f>'G-1 All Habitats'!$AF$3:$AF$15</xm:f>
          </x14:formula1>
          <xm:sqref>E11:E258</xm:sqref>
        </x14:dataValidation>
        <x14:dataValidation type="list" allowBlank="1" showInputMessage="1" showErrorMessage="1" xr:uid="{00000000-0002-0000-0A00-000004000000}">
          <x14:formula1>
            <xm:f>'G-1 All Habitats'!$AD$3:$AD$4</xm:f>
          </x14:formula1>
          <xm:sqref>Y11:Y258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>
    <tabColor rgb="FF92D050"/>
  </sheetPr>
  <dimension ref="A1:AI265"/>
  <sheetViews>
    <sheetView showGridLines="0" showRowColHeaders="0" topLeftCell="B1" zoomScaleNormal="100" workbookViewId="0">
      <pane ySplit="10" topLeftCell="A11" activePane="bottomLeft" state="frozen"/>
      <selection activeCell="B18" sqref="B18:I19"/>
      <selection pane="bottomLeft" activeCell="E16" sqref="E16"/>
    </sheetView>
  </sheetViews>
  <sheetFormatPr defaultColWidth="0" defaultRowHeight="0" customHeight="1" zeroHeight="1" x14ac:dyDescent="0.25"/>
  <cols>
    <col min="1" max="1" width="15.88671875" style="35" hidden="1" customWidth="1"/>
    <col min="2" max="2" width="2.44140625" style="35" customWidth="1"/>
    <col min="3" max="3" width="23.44140625" style="35" hidden="1" customWidth="1"/>
    <col min="4" max="4" width="22.5546875" style="35" bestFit="1" customWidth="1"/>
    <col min="5" max="5" width="71" style="35" customWidth="1"/>
    <col min="6" max="6" width="74.109375" style="35" hidden="1" customWidth="1"/>
    <col min="7" max="7" width="11.5546875" style="35" customWidth="1"/>
    <col min="8" max="8" width="18" style="35" customWidth="1"/>
    <col min="9" max="9" width="13.109375" style="35" customWidth="1"/>
    <col min="10" max="11" width="12.5546875" style="35" customWidth="1"/>
    <col min="12" max="12" width="41.33203125" style="35" customWidth="1"/>
    <col min="13" max="13" width="15.44140625" style="35" customWidth="1"/>
    <col min="14" max="14" width="12.33203125" style="35" customWidth="1"/>
    <col min="15" max="17" width="17.6640625" style="35" customWidth="1"/>
    <col min="18" max="18" width="31.109375" style="35" customWidth="1"/>
    <col min="19" max="19" width="17.6640625" style="35" customWidth="1"/>
    <col min="20" max="20" width="15.33203125" style="35" customWidth="1"/>
    <col min="21" max="21" width="13.6640625" style="35" customWidth="1"/>
    <col min="22" max="22" width="35.33203125" style="35" customWidth="1"/>
    <col min="23" max="23" width="13.6640625" style="35" customWidth="1"/>
    <col min="24" max="24" width="14.33203125" style="35" customWidth="1"/>
    <col min="25" max="25" width="91.44140625" style="35" customWidth="1"/>
    <col min="26" max="26" width="14.33203125" style="35" customWidth="1"/>
    <col min="27" max="27" width="12.6640625" style="35" customWidth="1"/>
    <col min="28" max="29" width="34.88671875" style="35" customWidth="1"/>
    <col min="30" max="30" width="12.44140625" style="35" customWidth="1"/>
    <col min="31" max="31" width="11.5546875" style="35" hidden="1" customWidth="1"/>
    <col min="32" max="32" width="11.33203125" style="35" hidden="1" customWidth="1"/>
    <col min="33" max="33" width="14.5546875" style="35" hidden="1" customWidth="1"/>
    <col min="34" max="35" width="8.88671875" style="35" hidden="1" customWidth="1"/>
    <col min="36" max="16384" width="0" style="35" hidden="1"/>
  </cols>
  <sheetData>
    <row r="1" spans="1:29" ht="14.4" thickBot="1" x14ac:dyDescent="0.3"/>
    <row r="2" spans="1:29" ht="25.95" customHeight="1" thickBot="1" x14ac:dyDescent="0.3">
      <c r="D2" s="991" t="str">
        <f>IF(Start!F12="","",Start!F12)</f>
        <v>7948: Anglia Square, Norwich</v>
      </c>
      <c r="E2" s="992"/>
      <c r="G2" s="361"/>
      <c r="O2" s="958" t="str">
        <f>IF(OR(COUNTIF($O$11:O256,"*30+*")&gt;0,COUNTIF($S$11:S256,"*30+*")&gt;0),"Note; Habitat selected has a time to target condition greater than 30 years. Non standard agreement may be required.","")</f>
        <v/>
      </c>
      <c r="P2" s="958"/>
      <c r="Q2" s="958"/>
      <c r="R2" s="958"/>
      <c r="S2" s="958"/>
      <c r="T2" s="958"/>
    </row>
    <row r="3" spans="1:29" ht="19.95" customHeight="1" x14ac:dyDescent="0.25">
      <c r="D3" s="985" t="str">
        <f ca="1">MID(CELL("filename",C1),FIND("]",CELL("filename",C1))+1,256)</f>
        <v>D-2 Off Site Habitat Creation</v>
      </c>
      <c r="E3" s="986"/>
      <c r="G3" s="361"/>
      <c r="O3" s="958"/>
      <c r="P3" s="958"/>
      <c r="Q3" s="958"/>
      <c r="R3" s="958"/>
      <c r="S3" s="958"/>
      <c r="T3" s="958"/>
    </row>
    <row r="4" spans="1:29" ht="15.75" customHeight="1" thickBot="1" x14ac:dyDescent="0.3">
      <c r="D4" s="988"/>
      <c r="E4" s="989"/>
      <c r="G4" s="361"/>
      <c r="M4" s="158"/>
      <c r="O4" s="618"/>
      <c r="P4" s="618"/>
      <c r="Q4" s="618"/>
      <c r="R4" s="618"/>
      <c r="S4" s="618"/>
    </row>
    <row r="5" spans="1:29" ht="29.4" customHeight="1" x14ac:dyDescent="0.3">
      <c r="M5" s="37"/>
      <c r="N5" s="257"/>
      <c r="O5" s="958" t="str">
        <f>IFERROR(IF(OR((G257-'D-1 Off Site Habitat Baseline'!W259)&gt;0.01,(G257-'D-1 Off Site Habitat Baseline'!W259)&lt;-0.01),"Check Areas - Area of development and habitat creation exceeds the area of habitats lost",""),"")</f>
        <v/>
      </c>
      <c r="P5" s="958"/>
      <c r="Q5" s="958"/>
      <c r="R5" s="958"/>
      <c r="S5" s="958"/>
      <c r="T5" s="958"/>
      <c r="U5" s="619"/>
      <c r="V5" s="619"/>
    </row>
    <row r="6" spans="1:29" ht="31.2" customHeight="1" x14ac:dyDescent="0.25">
      <c r="O6" s="958"/>
      <c r="P6" s="958"/>
      <c r="Q6" s="958"/>
      <c r="R6" s="958"/>
      <c r="S6" s="958"/>
      <c r="T6" s="958"/>
    </row>
    <row r="7" spans="1:29" ht="14.4" thickBot="1" x14ac:dyDescent="0.3"/>
    <row r="8" spans="1:29" ht="14.4" thickBot="1" x14ac:dyDescent="0.3">
      <c r="D8" s="995" t="s">
        <v>990</v>
      </c>
      <c r="E8" s="996"/>
      <c r="F8" s="996"/>
      <c r="G8" s="996"/>
      <c r="H8" s="996"/>
      <c r="I8" s="996"/>
      <c r="J8" s="996"/>
      <c r="K8" s="996"/>
      <c r="L8" s="996"/>
      <c r="M8" s="996"/>
      <c r="N8" s="996"/>
      <c r="O8" s="996"/>
      <c r="P8" s="996"/>
      <c r="Q8" s="996"/>
      <c r="R8" s="996"/>
      <c r="S8" s="996"/>
      <c r="T8" s="996"/>
      <c r="U8" s="996"/>
      <c r="V8" s="996"/>
      <c r="W8" s="996"/>
      <c r="X8" s="997"/>
    </row>
    <row r="9" spans="1:29" s="46" customFormat="1" ht="15" customHeight="1" thickBot="1" x14ac:dyDescent="0.3">
      <c r="B9" s="35"/>
      <c r="C9" s="35"/>
      <c r="D9" s="921" t="s">
        <v>372</v>
      </c>
      <c r="E9" s="923" t="s">
        <v>987</v>
      </c>
      <c r="F9" s="923" t="s">
        <v>987</v>
      </c>
      <c r="G9" s="998" t="s">
        <v>139</v>
      </c>
      <c r="H9" s="921" t="s">
        <v>127</v>
      </c>
      <c r="I9" s="919" t="s">
        <v>140</v>
      </c>
      <c r="J9" s="1000" t="s">
        <v>141</v>
      </c>
      <c r="K9" s="919" t="s">
        <v>140</v>
      </c>
      <c r="L9" s="984" t="s">
        <v>362</v>
      </c>
      <c r="M9" s="984"/>
      <c r="N9" s="984"/>
      <c r="O9" s="984" t="s">
        <v>1292</v>
      </c>
      <c r="P9" s="984"/>
      <c r="Q9" s="984"/>
      <c r="R9" s="984"/>
      <c r="S9" s="984"/>
      <c r="T9" s="984"/>
      <c r="U9" s="984" t="s">
        <v>1293</v>
      </c>
      <c r="V9" s="984"/>
      <c r="W9" s="984"/>
      <c r="X9" s="984"/>
      <c r="Y9" s="994" t="s">
        <v>1027</v>
      </c>
      <c r="Z9" s="994"/>
      <c r="AA9" s="983" t="s">
        <v>993</v>
      </c>
      <c r="AB9" s="983" t="s">
        <v>145</v>
      </c>
      <c r="AC9" s="983"/>
    </row>
    <row r="10" spans="1:29" ht="41.4" x14ac:dyDescent="0.25">
      <c r="A10" s="158" t="s">
        <v>1298</v>
      </c>
      <c r="C10" s="35" t="s">
        <v>1291</v>
      </c>
      <c r="D10" s="922"/>
      <c r="E10" s="924"/>
      <c r="F10" s="924"/>
      <c r="G10" s="999"/>
      <c r="H10" s="922"/>
      <c r="I10" s="920"/>
      <c r="J10" s="1001"/>
      <c r="K10" s="920"/>
      <c r="L10" s="561" t="s">
        <v>362</v>
      </c>
      <c r="M10" s="272" t="s">
        <v>362</v>
      </c>
      <c r="N10" s="273" t="s">
        <v>983</v>
      </c>
      <c r="O10" s="561" t="s">
        <v>1180</v>
      </c>
      <c r="P10" s="272" t="s">
        <v>1177</v>
      </c>
      <c r="Q10" s="272" t="s">
        <v>1178</v>
      </c>
      <c r="R10" s="272" t="s">
        <v>1179</v>
      </c>
      <c r="S10" s="272" t="s">
        <v>1183</v>
      </c>
      <c r="T10" s="273" t="s">
        <v>1181</v>
      </c>
      <c r="U10" s="561" t="s">
        <v>1186</v>
      </c>
      <c r="V10" s="272" t="s">
        <v>1487</v>
      </c>
      <c r="W10" s="272" t="s">
        <v>1187</v>
      </c>
      <c r="X10" s="273" t="s">
        <v>1182</v>
      </c>
      <c r="Y10" s="623" t="s">
        <v>1028</v>
      </c>
      <c r="Z10" s="624" t="s">
        <v>1027</v>
      </c>
      <c r="AA10" s="984"/>
      <c r="AB10" s="162" t="s">
        <v>991</v>
      </c>
      <c r="AC10" s="164" t="s">
        <v>992</v>
      </c>
    </row>
    <row r="11" spans="1:29" ht="13.8" x14ac:dyDescent="0.25">
      <c r="A11" s="35" t="str">
        <f>IFERROR(INDEX('G-8 Condition Look up'!$I$4:$I$131,MATCH(F11,'G-8 Condition Look up'!$A$4:$A$131,0)),"")</f>
        <v/>
      </c>
      <c r="C11" s="122" t="str">
        <f>IFERROR(INDEX('G-1 All Habitats'!$AG$3:$AG$15,MATCH(D11,'G-1 All Habitats'!$AF$3:$AF$15,0)),"")</f>
        <v/>
      </c>
      <c r="D11" s="186"/>
      <c r="E11" s="275"/>
      <c r="F11" s="362" t="str">
        <f>IFERROR(INDEX('G-1 All Habitats'!$B$3:$B$130,MATCH(E11,'G-1 All Habitats'!$A$3:$A$130,0)),"")</f>
        <v/>
      </c>
      <c r="G11" s="598"/>
      <c r="H11" s="239" t="str">
        <f>IF(F11="","",VLOOKUP(F11,'G-1 All Habitats'!$B$2:$M$130,10,FALSE))</f>
        <v/>
      </c>
      <c r="I11" s="176" t="str">
        <f>IFERROR(VLOOKUP(H11,'G-1 All Habitats'!$V$3:$W$7,2,FALSE),"")</f>
        <v/>
      </c>
      <c r="J11" s="270"/>
      <c r="K11" s="176" t="str">
        <f>IFERROR(INDEX('G-8 Condition Look up'!$A$3:$H$131,MATCH(F11,'G-8 Condition Look up'!$A$3:$A$131,0),MATCH(J11,'G-8 Condition Look up'!$A$3:$H$3,0)),"")</f>
        <v/>
      </c>
      <c r="L11" s="173"/>
      <c r="M11" s="269" t="str">
        <f>IF(L11="","",IF(VLOOKUP(L11,'G-3 Multipliers'!$L$3:$N$6,2,FALSE)=0,"Spatial Data Missing",VLOOKUP(L11,'G-3 Multipliers'!$L$3:$N$6,2,FALSE)))</f>
        <v/>
      </c>
      <c r="N11" s="172" t="str">
        <f>IF(L11="","",IF(VLOOKUP(L11,'G-3 Multipliers'!$L$3:$N$6,3,FALSE)=0,"Spatial Data Missing",VLOOKUP(L11,'G-3 Multipliers'!$L$3:$N$6,3,FALSE)))</f>
        <v/>
      </c>
      <c r="O11" s="171" t="str">
        <f t="shared" ref="O11:O74" si="0">IFERROR(INDEX(TemporalData,MATCH(F11,TemporalHabitats,0),MATCH(J11,TemporalConditions,0)),"")</f>
        <v/>
      </c>
      <c r="P11" s="261"/>
      <c r="Q11" s="261"/>
      <c r="R11" s="343" t="str">
        <f>IF(E11="","",IF(AND(P11&gt;0,Q11&gt;0),"Error -both advance and delayed habitat creation",IF(AND(OR(P11="Habitat already in target condition",O11&lt;=P11),Q11=0,I11&gt;0),"Check details - Is there evidence that habitat has reached target condition?",IF(O11="","",IF(AND(P11&gt;=AE11,P11&gt;0),"Check details - Is there evidence habitat creation started and the threshold for Poor condition reached?",IF(Q11&gt;0,"Check details- Delay in starting habitat in required condition?",IF(P11&gt;0,"Check details - Is there evidence habitat creation started/in place?","Standard time to target condition applied")))))))</f>
        <v/>
      </c>
      <c r="S11" s="352" t="str">
        <f>IF(R11="Error -both advance and delayed habitat creation","Check Data",IF(O11="Not Possible","Check Data",IF(O11="","",IF(AND(O11="30+",P11=0),"30+",IF(AND(O11="30+",P11="30+"),0,IF(AND(O11="30+",P11&lt;32),30-P11,IF(O11="30+",30-P11,IF(P11&gt;O11,0,IF(Q11="30+","30+",IF(O11+Q11&gt;30,"30+",IF(O11+Q11&gt;30,"30+",IF(O11-P11&gt;30,"30+",IF(O11+Q11-P11&gt;0,O11+Q11-P11,IF(O11-P11&gt;0,O11-P11,O11+Q11-P11))))))))))))))</f>
        <v/>
      </c>
      <c r="T11" s="593" t="str">
        <f>IFERROR(IF(S11="Check Data","Check Data",VLOOKUP(S11,'G-4 Temporal multipliers'!$A$4:$C$37,3,FALSE)),"")</f>
        <v/>
      </c>
      <c r="U11" s="592" t="str">
        <f>IF(F11="","",VLOOKUP(F11,'G-3 Multipliers'!$A$2:$E$130,2,FALSE))</f>
        <v/>
      </c>
      <c r="V11" s="343" t="str">
        <f>IF(F11="","",IF($R11="Check details - Is there evidence that habitat has reached target condition?","Low Difficulty - only applicable if all habitat created before losses",IF($R11="Check details - Is there evidence habitat creation started and the threshold for Poor condition reached?","Enhancement difficulty applied","Standard difficulty applied")))</f>
        <v/>
      </c>
      <c r="W11" s="343" t="str">
        <f>IF(E11="","",IF(AND(V11="Standard difficulty applied",O11&gt;P11),U11,IF(AND(V11="Low Difficulty - only applicable if all habitat created before losses",P11&gt;=O11),"Low",VLOOKUP(F11,'G-3 Multipliers'!$A$2:$E$130,4,FALSE))))</f>
        <v/>
      </c>
      <c r="X11" s="345" t="str">
        <f>IFERROR(IF(E11="","",VLOOKUP(W11, 'G-3 Multipliers'!$P$2:$Q$6,2,FALSE)),””)</f>
        <v/>
      </c>
      <c r="Y11" s="266"/>
      <c r="Z11" s="172" t="str">
        <f>IF(Y11="","",IF(VLOOKUP(Y11,'G-3 Multipliers'!$S$3:$T$9,2,FALSE)=0,"Spatial Data Missing",VLOOKUP(Y11,'G-3 Multipliers'!$S$3:$T$9,2,FALSE)))</f>
        <v/>
      </c>
      <c r="AA11" s="265" t="str">
        <f>IFERROR(G11*I11*K11*N11*T11*X11*Z11,"")</f>
        <v/>
      </c>
      <c r="AB11" s="180"/>
      <c r="AC11" s="181"/>
    </row>
    <row r="12" spans="1:29" ht="13.8" x14ac:dyDescent="0.25">
      <c r="A12" s="35" t="str">
        <f>IFERROR(INDEX('G-8 Condition Look up'!$I$4:$I$131,MATCH(F12,'G-8 Condition Look up'!$A$4:$A$131,0)),"")</f>
        <v/>
      </c>
      <c r="C12" s="363" t="str">
        <f>IFERROR(INDEX('G-1 All Habitats'!$AG$3:$AG$15,MATCH(D12,'G-1 All Habitats'!$AF$3:$AF$15,0)),"")</f>
        <v/>
      </c>
      <c r="D12" s="186"/>
      <c r="E12" s="275"/>
      <c r="F12" s="362" t="str">
        <f>IFERROR(INDEX('G-1 All Habitats'!$B$3:$B$130,MATCH(E12,'G-1 All Habitats'!$A$3:$A$130,0)),"")</f>
        <v/>
      </c>
      <c r="G12" s="598"/>
      <c r="H12" s="239" t="str">
        <f>IF(F12="","",VLOOKUP(F12,'G-1 All Habitats'!$B$2:$M$130,10,FALSE))</f>
        <v/>
      </c>
      <c r="I12" s="176" t="str">
        <f>IFERROR(VLOOKUP(H12,'G-1 All Habitats'!$V$3:$W$7,2,FALSE),"")</f>
        <v/>
      </c>
      <c r="J12" s="270"/>
      <c r="K12" s="176" t="str">
        <f>IFERROR(INDEX('G-8 Condition Look up'!$A$3:$H$131,MATCH(F12,'G-8 Condition Look up'!$A$3:$A$131,0),MATCH(J12,'G-8 Condition Look up'!$A$3:$H$3,0)),"")</f>
        <v/>
      </c>
      <c r="L12" s="173"/>
      <c r="M12" s="269" t="str">
        <f>IF(L12="","",IF(VLOOKUP(L12,'G-3 Multipliers'!$L$3:$N$6,2,FALSE)=0,"Spatial Data Missing",VLOOKUP(L12,'G-3 Multipliers'!$L$3:$N$6,2,FALSE)))</f>
        <v/>
      </c>
      <c r="N12" s="172" t="str">
        <f>IF(L12="","",IF(VLOOKUP(L12,'G-3 Multipliers'!$L$3:$N$6,3,FALSE)=0,"Spatial Data Missing",VLOOKUP(L12,'G-3 Multipliers'!$L$3:$N$6,3,FALSE)))</f>
        <v/>
      </c>
      <c r="O12" s="171" t="str">
        <f t="shared" si="0"/>
        <v/>
      </c>
      <c r="P12" s="261"/>
      <c r="Q12" s="261"/>
      <c r="R12" s="343" t="str">
        <f t="shared" ref="R12:R75" si="1">IF(E12="","",IF(AND(P12&gt;0,Q12&gt;0),"Error -both advance and delayed habitat creation",IF(AND(OR(P12="Habitat already in target condition",O12&lt;=P12),Q12=0,I12&gt;0),"Check details - Is there evidence that habitat has reached target condition?",IF(O12="","",IF(AND(P12&gt;=AE12,P12&gt;0),"Check details - Is there evidence habitat creation started and the threshold for Poor condition reached?",IF(Q12&gt;0,"Check details- Delay in starting habitat in required condition?",IF(P12&gt;0,"Check details - Is there evidence habitat creation started/in place?","Standard time to target condition applied")))))))</f>
        <v/>
      </c>
      <c r="S12" s="352" t="str">
        <f t="shared" ref="S12:S75" si="2">IF(R12="Error -both advance and delayed habitat creation","Check Data",IF(O12="Not Possible","Check Data",IF(O12="","",IF(AND(O12="30+",P12=0),"30+",IF(AND(O12="30+",P12="30+"),0,IF(AND(O12="30+",P12&lt;32),30-P12,IF(O12="30+",30-P12,IF(P12&gt;O12,0,IF(Q12="30+","30+",IF(O12+Q12&gt;30,"30+",IF(O12+Q12&gt;30,"30+",IF(O12-P12&gt;30,"30+",IF(O12+Q12-P12&gt;0,O12+Q12-P12,IF(O12-P12&gt;0,O12-P12,O12+Q12-P12))))))))))))))</f>
        <v/>
      </c>
      <c r="T12" s="593" t="str">
        <f>IFERROR(IF(S12="Check Data","Check Data",VLOOKUP(S12,'G-4 Temporal multipliers'!$A$4:$C$37,3,FALSE)),"")</f>
        <v/>
      </c>
      <c r="U12" s="592" t="str">
        <f>IF(F12="","",VLOOKUP(F12,'G-3 Multipliers'!$A$2:$E$130,2,FALSE))</f>
        <v/>
      </c>
      <c r="V12" s="343" t="str">
        <f t="shared" ref="V12:V75" si="3">IF(F12="","",IF($R12="Check details - Is there evidence that habitat has reached target condition?","Low Difficulty - only applicable if all habitat created before losses",IF($R12="Check details - Is there evidence habitat creation started and the threshold for Poor condition reached?","Enhancement difficulty applied","Standard difficulty applied")))</f>
        <v/>
      </c>
      <c r="W12" s="343" t="str">
        <f>IF(E12="","",IF(AND(V12="Standard difficulty applied",O12&gt;P12),U12,IF(AND(V12="Low Difficulty - only applicable if all habitat created before losses",P12&gt;=O12),"Low",VLOOKUP(F12,'G-3 Multipliers'!$A$2:$E$130,4,FALSE))))</f>
        <v/>
      </c>
      <c r="X12" s="345" t="str">
        <f>IFERROR(IF(E12="","",VLOOKUP(W12, 'G-3 Multipliers'!$P$2:$Q$6,2,FALSE)),””)</f>
        <v/>
      </c>
      <c r="Y12" s="266"/>
      <c r="Z12" s="172" t="str">
        <f>IF(Y12="","",IF(VLOOKUP(Y12,'G-3 Multipliers'!$S$3:$T$9,2,FALSE)=0,"Spatial Data Missing",VLOOKUP(Y12,'G-3 Multipliers'!$S$3:$T$9,2,FALSE)))</f>
        <v/>
      </c>
      <c r="AA12" s="265" t="str">
        <f t="shared" ref="AA12:AA75" si="4">IFERROR(G12*I12*K12*N12*T12*X12*Z12,"")</f>
        <v/>
      </c>
      <c r="AB12" s="180"/>
      <c r="AC12" s="181"/>
    </row>
    <row r="13" spans="1:29" ht="13.8" x14ac:dyDescent="0.25">
      <c r="A13" s="35" t="str">
        <f>IFERROR(INDEX('G-8 Condition Look up'!$I$4:$I$131,MATCH(F13,'G-8 Condition Look up'!$A$4:$A$131,0)),"")</f>
        <v/>
      </c>
      <c r="C13" s="363" t="str">
        <f>IFERROR(INDEX('G-1 All Habitats'!$AG$3:$AG$15,MATCH(D13,'G-1 All Habitats'!$AF$3:$AF$15,0)),"")</f>
        <v/>
      </c>
      <c r="D13" s="186"/>
      <c r="E13" s="275"/>
      <c r="F13" s="362" t="str">
        <f>IFERROR(INDEX('G-1 All Habitats'!$B$3:$B$130,MATCH(E13,'G-1 All Habitats'!$A$3:$A$130,0)),"")</f>
        <v/>
      </c>
      <c r="G13" s="598"/>
      <c r="H13" s="239" t="str">
        <f>IF(F13="","",VLOOKUP(F13,'G-1 All Habitats'!$B$2:$M$130,10,FALSE))</f>
        <v/>
      </c>
      <c r="I13" s="176" t="str">
        <f>IFERROR(VLOOKUP(H13,'G-1 All Habitats'!$V$3:$W$7,2,FALSE),"")</f>
        <v/>
      </c>
      <c r="J13" s="270"/>
      <c r="K13" s="176" t="str">
        <f>IFERROR(INDEX('G-8 Condition Look up'!$A$3:$H$131,MATCH(F13,'G-8 Condition Look up'!$A$3:$A$131,0),MATCH(J13,'G-8 Condition Look up'!$A$3:$H$3,0)),"")</f>
        <v/>
      </c>
      <c r="L13" s="173"/>
      <c r="M13" s="269" t="str">
        <f>IF(L13="","",IF(VLOOKUP(L13,'G-3 Multipliers'!$L$3:$N$6,2,FALSE)=0,"Spatial Data Missing",VLOOKUP(L13,'G-3 Multipliers'!$L$3:$N$6,2,FALSE)))</f>
        <v/>
      </c>
      <c r="N13" s="172" t="str">
        <f>IF(L13="","",IF(VLOOKUP(L13,'G-3 Multipliers'!$L$3:$N$6,3,FALSE)=0,"Spatial Data Missing",VLOOKUP(L13,'G-3 Multipliers'!$L$3:$N$6,3,FALSE)))</f>
        <v/>
      </c>
      <c r="O13" s="171" t="str">
        <f t="shared" si="0"/>
        <v/>
      </c>
      <c r="P13" s="261"/>
      <c r="Q13" s="261"/>
      <c r="R13" s="343" t="str">
        <f t="shared" si="1"/>
        <v/>
      </c>
      <c r="S13" s="352" t="str">
        <f t="shared" si="2"/>
        <v/>
      </c>
      <c r="T13" s="593" t="str">
        <f>IFERROR(IF(S13="Check Data","Check Data",VLOOKUP(S13,'G-4 Temporal multipliers'!$A$4:$C$37,3,FALSE)),"")</f>
        <v/>
      </c>
      <c r="U13" s="592" t="str">
        <f>IF(F13="","",VLOOKUP(F13,'G-3 Multipliers'!$A$2:$E$130,2,FALSE))</f>
        <v/>
      </c>
      <c r="V13" s="343" t="str">
        <f t="shared" si="3"/>
        <v/>
      </c>
      <c r="W13" s="343" t="str">
        <f>IF(E13="","",IF(AND(V13="Standard difficulty applied",O13&gt;P13),U13,IF(AND(V13="Low Difficulty - only applicable if all habitat created before losses",P13&gt;=O13),"Low",VLOOKUP(F13,'G-3 Multipliers'!$A$2:$E$130,4,FALSE))))</f>
        <v/>
      </c>
      <c r="X13" s="345" t="str">
        <f>IFERROR(IF(E13="","",VLOOKUP(W13, 'G-3 Multipliers'!$P$2:$Q$6,2,FALSE)),””)</f>
        <v/>
      </c>
      <c r="Y13" s="266"/>
      <c r="Z13" s="172" t="str">
        <f>IF(Y13="","",IF(VLOOKUP(Y13,'G-3 Multipliers'!$S$3:$T$9,2,FALSE)=0,"Spatial Data Missing",VLOOKUP(Y13,'G-3 Multipliers'!$S$3:$T$9,2,FALSE)))</f>
        <v/>
      </c>
      <c r="AA13" s="265" t="str">
        <f t="shared" si="4"/>
        <v/>
      </c>
      <c r="AB13" s="180"/>
      <c r="AC13" s="181"/>
    </row>
    <row r="14" spans="1:29" ht="13.8" x14ac:dyDescent="0.25">
      <c r="A14" s="35" t="str">
        <f>IFERROR(INDEX('G-8 Condition Look up'!$I$4:$I$131,MATCH(F14,'G-8 Condition Look up'!$A$4:$A$131,0)),"")</f>
        <v/>
      </c>
      <c r="C14" s="363" t="str">
        <f>IFERROR(INDEX('G-1 All Habitats'!$AG$3:$AG$15,MATCH(D14,'G-1 All Habitats'!$AF$3:$AF$15,0)),"")</f>
        <v/>
      </c>
      <c r="D14" s="186"/>
      <c r="E14" s="275"/>
      <c r="F14" s="362" t="str">
        <f>IFERROR(INDEX('G-1 All Habitats'!$B$3:$B$130,MATCH(E14,'G-1 All Habitats'!$A$3:$A$130,0)),"")</f>
        <v/>
      </c>
      <c r="G14" s="598"/>
      <c r="H14" s="239" t="str">
        <f>IF(F14="","",VLOOKUP(F14,'G-1 All Habitats'!$B$2:$M$130,10,FALSE))</f>
        <v/>
      </c>
      <c r="I14" s="176" t="str">
        <f>IFERROR(VLOOKUP(H14,'G-1 All Habitats'!$V$3:$W$7,2,FALSE),"")</f>
        <v/>
      </c>
      <c r="J14" s="270"/>
      <c r="K14" s="176" t="str">
        <f>IFERROR(INDEX('G-8 Condition Look up'!$A$3:$H$131,MATCH(F14,'G-8 Condition Look up'!$A$3:$A$131,0),MATCH(J14,'G-8 Condition Look up'!$A$3:$H$3,0)),"")</f>
        <v/>
      </c>
      <c r="L14" s="173"/>
      <c r="M14" s="269" t="str">
        <f>IF(L14="","",IF(VLOOKUP(L14,'G-3 Multipliers'!$L$3:$N$6,2,FALSE)=0,"Spatial Data Missing",VLOOKUP(L14,'G-3 Multipliers'!$L$3:$N$6,2,FALSE)))</f>
        <v/>
      </c>
      <c r="N14" s="172" t="str">
        <f>IF(L14="","",IF(VLOOKUP(L14,'G-3 Multipliers'!$L$3:$N$6,3,FALSE)=0,"Spatial Data Missing",VLOOKUP(L14,'G-3 Multipliers'!$L$3:$N$6,3,FALSE)))</f>
        <v/>
      </c>
      <c r="O14" s="171" t="str">
        <f t="shared" si="0"/>
        <v/>
      </c>
      <c r="P14" s="261"/>
      <c r="Q14" s="261"/>
      <c r="R14" s="343" t="str">
        <f t="shared" si="1"/>
        <v/>
      </c>
      <c r="S14" s="352" t="str">
        <f t="shared" si="2"/>
        <v/>
      </c>
      <c r="T14" s="593" t="str">
        <f>IFERROR(IF(S14="Check Data","Check Data",VLOOKUP(S14,'G-4 Temporal multipliers'!$A$4:$C$37,3,FALSE)),"")</f>
        <v/>
      </c>
      <c r="U14" s="592" t="str">
        <f>IF(F14="","",VLOOKUP(F14,'G-3 Multipliers'!$A$2:$E$130,2,FALSE))</f>
        <v/>
      </c>
      <c r="V14" s="343" t="str">
        <f t="shared" si="3"/>
        <v/>
      </c>
      <c r="W14" s="343" t="str">
        <f>IF(E14="","",IF(AND(V14="Standard difficulty applied",O14&gt;P14),U14,IF(AND(V14="Low Difficulty - only applicable if all habitat created before losses",P14&gt;=O14),"Low",VLOOKUP(F14,'G-3 Multipliers'!$A$2:$E$130,4,FALSE))))</f>
        <v/>
      </c>
      <c r="X14" s="345" t="str">
        <f>IFERROR(IF(E14="","",VLOOKUP(W14, 'G-3 Multipliers'!$P$2:$Q$6,2,FALSE)),””)</f>
        <v/>
      </c>
      <c r="Y14" s="266"/>
      <c r="Z14" s="172" t="str">
        <f>IF(Y14="","",IF(VLOOKUP(Y14,'G-3 Multipliers'!$S$3:$T$9,2,FALSE)=0,"Spatial Data Missing",VLOOKUP(Y14,'G-3 Multipliers'!$S$3:$T$9,2,FALSE)))</f>
        <v/>
      </c>
      <c r="AA14" s="265" t="str">
        <f t="shared" si="4"/>
        <v/>
      </c>
      <c r="AB14" s="180"/>
      <c r="AC14" s="181"/>
    </row>
    <row r="15" spans="1:29" ht="13.8" x14ac:dyDescent="0.25">
      <c r="A15" s="35" t="str">
        <f>IFERROR(INDEX('G-8 Condition Look up'!$I$4:$I$131,MATCH(F15,'G-8 Condition Look up'!$A$4:$A$131,0)),"")</f>
        <v/>
      </c>
      <c r="C15" s="363" t="str">
        <f>IFERROR(INDEX('G-1 All Habitats'!$AG$3:$AG$15,MATCH(D15,'G-1 All Habitats'!$AF$3:$AF$15,0)),"")</f>
        <v/>
      </c>
      <c r="D15" s="186"/>
      <c r="E15" s="275"/>
      <c r="F15" s="362" t="str">
        <f>IFERROR(INDEX('G-1 All Habitats'!$B$3:$B$130,MATCH(E15,'G-1 All Habitats'!$A$3:$A$130,0)),"")</f>
        <v/>
      </c>
      <c r="G15" s="598"/>
      <c r="H15" s="239" t="str">
        <f>IF(F15="","",VLOOKUP(F15,'G-1 All Habitats'!$B$2:$M$130,10,FALSE))</f>
        <v/>
      </c>
      <c r="I15" s="176" t="str">
        <f>IFERROR(VLOOKUP(H15,'G-1 All Habitats'!$V$3:$W$7,2,FALSE),"")</f>
        <v/>
      </c>
      <c r="J15" s="270"/>
      <c r="K15" s="176" t="str">
        <f>IFERROR(INDEX('G-8 Condition Look up'!$A$3:$H$131,MATCH(F15,'G-8 Condition Look up'!$A$3:$A$131,0),MATCH(J15,'G-8 Condition Look up'!$A$3:$H$3,0)),"")</f>
        <v/>
      </c>
      <c r="L15" s="173"/>
      <c r="M15" s="269" t="str">
        <f>IF(L15="","",IF(VLOOKUP(L15,'G-3 Multipliers'!$L$3:$N$6,2,FALSE)=0,"Spatial Data Missing",VLOOKUP(L15,'G-3 Multipliers'!$L$3:$N$6,2,FALSE)))</f>
        <v/>
      </c>
      <c r="N15" s="172" t="str">
        <f>IF(L15="","",IF(VLOOKUP(L15,'G-3 Multipliers'!$L$3:$N$6,3,FALSE)=0,"Spatial Data Missing",VLOOKUP(L15,'G-3 Multipliers'!$L$3:$N$6,3,FALSE)))</f>
        <v/>
      </c>
      <c r="O15" s="171" t="str">
        <f t="shared" si="0"/>
        <v/>
      </c>
      <c r="P15" s="261"/>
      <c r="Q15" s="261"/>
      <c r="R15" s="343" t="str">
        <f t="shared" si="1"/>
        <v/>
      </c>
      <c r="S15" s="352" t="str">
        <f t="shared" si="2"/>
        <v/>
      </c>
      <c r="T15" s="593" t="str">
        <f>IFERROR(IF(S15="Check Data","Check Data",VLOOKUP(S15,'G-4 Temporal multipliers'!$A$4:$C$37,3,FALSE)),"")</f>
        <v/>
      </c>
      <c r="U15" s="592" t="str">
        <f>IF(F15="","",VLOOKUP(F15,'G-3 Multipliers'!$A$2:$E$130,2,FALSE))</f>
        <v/>
      </c>
      <c r="V15" s="343" t="str">
        <f t="shared" si="3"/>
        <v/>
      </c>
      <c r="W15" s="343" t="str">
        <f>IF(E15="","",IF(AND(V15="Standard difficulty applied",O15&gt;P15),U15,IF(AND(V15="Low Difficulty - only applicable if all habitat created before losses",P15&gt;=O15),"Low",VLOOKUP(F15,'G-3 Multipliers'!$A$2:$E$130,4,FALSE))))</f>
        <v/>
      </c>
      <c r="X15" s="345" t="str">
        <f>IFERROR(IF(E15="","",VLOOKUP(W15, 'G-3 Multipliers'!$P$2:$Q$6,2,FALSE)),””)</f>
        <v/>
      </c>
      <c r="Y15" s="266"/>
      <c r="Z15" s="172" t="str">
        <f>IF(Y15="","",IF(VLOOKUP(Y15,'G-3 Multipliers'!$S$3:$T$9,2,FALSE)=0,"Spatial Data Missing",VLOOKUP(Y15,'G-3 Multipliers'!$S$3:$T$9,2,FALSE)))</f>
        <v/>
      </c>
      <c r="AA15" s="265" t="str">
        <f t="shared" si="4"/>
        <v/>
      </c>
      <c r="AB15" s="180"/>
      <c r="AC15" s="181"/>
    </row>
    <row r="16" spans="1:29" ht="13.8" x14ac:dyDescent="0.25">
      <c r="A16" s="35" t="str">
        <f>IFERROR(INDEX('G-8 Condition Look up'!$I$4:$I$131,MATCH(F16,'G-8 Condition Look up'!$A$4:$A$131,0)),"")</f>
        <v/>
      </c>
      <c r="C16" s="363" t="str">
        <f>IFERROR(INDEX('G-1 All Habitats'!$AG$3:$AG$15,MATCH(D16,'G-1 All Habitats'!$AF$3:$AF$15,0)),"")</f>
        <v/>
      </c>
      <c r="D16" s="186"/>
      <c r="E16" s="275"/>
      <c r="F16" s="362" t="str">
        <f>IFERROR(INDEX('G-1 All Habitats'!$B$3:$B$130,MATCH(E16,'G-1 All Habitats'!$A$3:$A$130,0)),"")</f>
        <v/>
      </c>
      <c r="G16" s="598"/>
      <c r="H16" s="239" t="str">
        <f>IF(F16="","",VLOOKUP(F16,'G-1 All Habitats'!$B$2:$M$130,10,FALSE))</f>
        <v/>
      </c>
      <c r="I16" s="176" t="str">
        <f>IFERROR(VLOOKUP(H16,'G-1 All Habitats'!$V$3:$W$7,2,FALSE),"")</f>
        <v/>
      </c>
      <c r="J16" s="270"/>
      <c r="K16" s="176" t="str">
        <f>IFERROR(INDEX('G-8 Condition Look up'!$A$3:$H$131,MATCH(F16,'G-8 Condition Look up'!$A$3:$A$131,0),MATCH(J16,'G-8 Condition Look up'!$A$3:$H$3,0)),"")</f>
        <v/>
      </c>
      <c r="L16" s="173"/>
      <c r="M16" s="269" t="str">
        <f>IF(L16="","",IF(VLOOKUP(L16,'G-3 Multipliers'!$L$3:$N$6,2,FALSE)=0,"Spatial Data Missing",VLOOKUP(L16,'G-3 Multipliers'!$L$3:$N$6,2,FALSE)))</f>
        <v/>
      </c>
      <c r="N16" s="172" t="str">
        <f>IF(L16="","",IF(VLOOKUP(L16,'G-3 Multipliers'!$L$3:$N$6,3,FALSE)=0,"Spatial Data Missing",VLOOKUP(L16,'G-3 Multipliers'!$L$3:$N$6,3,FALSE)))</f>
        <v/>
      </c>
      <c r="O16" s="171" t="str">
        <f t="shared" si="0"/>
        <v/>
      </c>
      <c r="P16" s="261"/>
      <c r="Q16" s="261"/>
      <c r="R16" s="343" t="str">
        <f t="shared" si="1"/>
        <v/>
      </c>
      <c r="S16" s="352" t="str">
        <f t="shared" si="2"/>
        <v/>
      </c>
      <c r="T16" s="593" t="str">
        <f>IFERROR(IF(S16="Check Data","Check Data",VLOOKUP(S16,'G-4 Temporal multipliers'!$A$4:$C$37,3,FALSE)),"")</f>
        <v/>
      </c>
      <c r="U16" s="592" t="str">
        <f>IF(F16="","",VLOOKUP(F16,'G-3 Multipliers'!$A$2:$E$130,2,FALSE))</f>
        <v/>
      </c>
      <c r="V16" s="343" t="str">
        <f t="shared" si="3"/>
        <v/>
      </c>
      <c r="W16" s="343" t="str">
        <f>IF(E16="","",IF(AND(V16="Standard difficulty applied",O16&gt;P16),U16,IF(AND(V16="Low Difficulty - only applicable if all habitat created before losses",P16&gt;=O16),"Low",VLOOKUP(F16,'G-3 Multipliers'!$A$2:$E$130,4,FALSE))))</f>
        <v/>
      </c>
      <c r="X16" s="345" t="str">
        <f>IFERROR(IF(E16="","",VLOOKUP(W16, 'G-3 Multipliers'!$P$2:$Q$6,2,FALSE)),””)</f>
        <v/>
      </c>
      <c r="Y16" s="266"/>
      <c r="Z16" s="172" t="str">
        <f>IF(Y16="","",IF(VLOOKUP(Y16,'G-3 Multipliers'!$S$3:$T$9,2,FALSE)=0,"Spatial Data Missing",VLOOKUP(Y16,'G-3 Multipliers'!$S$3:$T$9,2,FALSE)))</f>
        <v/>
      </c>
      <c r="AA16" s="265" t="str">
        <f t="shared" si="4"/>
        <v/>
      </c>
      <c r="AB16" s="180"/>
      <c r="AC16" s="181"/>
    </row>
    <row r="17" spans="1:29" ht="13.8" x14ac:dyDescent="0.25">
      <c r="A17" s="35" t="str">
        <f>IFERROR(INDEX('G-8 Condition Look up'!$I$4:$I$131,MATCH(F17,'G-8 Condition Look up'!$A$4:$A$131,0)),"")</f>
        <v/>
      </c>
      <c r="C17" s="363" t="str">
        <f>IFERROR(INDEX('G-1 All Habitats'!$AG$3:$AG$15,MATCH(D17,'G-1 All Habitats'!$AF$3:$AF$15,0)),"")</f>
        <v/>
      </c>
      <c r="D17" s="186"/>
      <c r="E17" s="275"/>
      <c r="F17" s="362" t="str">
        <f>IFERROR(INDEX('G-1 All Habitats'!$B$3:$B$130,MATCH(E17,'G-1 All Habitats'!$A$3:$A$130,0)),"")</f>
        <v/>
      </c>
      <c r="G17" s="598"/>
      <c r="H17" s="239" t="str">
        <f>IF(F17="","",VLOOKUP(F17,'G-1 All Habitats'!$B$2:$M$130,10,FALSE))</f>
        <v/>
      </c>
      <c r="I17" s="176" t="str">
        <f>IFERROR(VLOOKUP(H17,'G-1 All Habitats'!$V$3:$W$7,2,FALSE),"")</f>
        <v/>
      </c>
      <c r="J17" s="270"/>
      <c r="K17" s="176" t="str">
        <f>IFERROR(INDEX('G-8 Condition Look up'!$A$3:$H$131,MATCH(F17,'G-8 Condition Look up'!$A$3:$A$131,0),MATCH(J17,'G-8 Condition Look up'!$A$3:$H$3,0)),"")</f>
        <v/>
      </c>
      <c r="L17" s="173"/>
      <c r="M17" s="269" t="str">
        <f>IF(L17="","",IF(VLOOKUP(L17,'G-3 Multipliers'!$L$3:$N$6,2,FALSE)=0,"Spatial Data Missing",VLOOKUP(L17,'G-3 Multipliers'!$L$3:$N$6,2,FALSE)))</f>
        <v/>
      </c>
      <c r="N17" s="172" t="str">
        <f>IF(L17="","",IF(VLOOKUP(L17,'G-3 Multipliers'!$L$3:$N$6,3,FALSE)=0,"Spatial Data Missing",VLOOKUP(L17,'G-3 Multipliers'!$L$3:$N$6,3,FALSE)))</f>
        <v/>
      </c>
      <c r="O17" s="171" t="str">
        <f t="shared" si="0"/>
        <v/>
      </c>
      <c r="P17" s="261"/>
      <c r="Q17" s="261"/>
      <c r="R17" s="343" t="str">
        <f t="shared" si="1"/>
        <v/>
      </c>
      <c r="S17" s="352" t="str">
        <f t="shared" si="2"/>
        <v/>
      </c>
      <c r="T17" s="593" t="str">
        <f>IFERROR(IF(S17="Check Data","Check Data",VLOOKUP(S17,'G-4 Temporal multipliers'!$A$4:$C$37,3,FALSE)),"")</f>
        <v/>
      </c>
      <c r="U17" s="592" t="str">
        <f>IF(F17="","",VLOOKUP(F17,'G-3 Multipliers'!$A$2:$E$130,2,FALSE))</f>
        <v/>
      </c>
      <c r="V17" s="343" t="str">
        <f t="shared" si="3"/>
        <v/>
      </c>
      <c r="W17" s="343" t="str">
        <f>IF(E17="","",IF(AND(V17="Standard difficulty applied",O17&gt;P17),U17,IF(AND(V17="Low Difficulty - only applicable if all habitat created before losses",P17&gt;=O17),"Low",VLOOKUP(F17,'G-3 Multipliers'!$A$2:$E$130,4,FALSE))))</f>
        <v/>
      </c>
      <c r="X17" s="345" t="str">
        <f>IFERROR(IF(E17="","",VLOOKUP(W17, 'G-3 Multipliers'!$P$2:$Q$6,2,FALSE)),””)</f>
        <v/>
      </c>
      <c r="Y17" s="266"/>
      <c r="Z17" s="172" t="str">
        <f>IF(Y17="","",IF(VLOOKUP(Y17,'G-3 Multipliers'!$S$3:$T$9,2,FALSE)=0,"Spatial Data Missing",VLOOKUP(Y17,'G-3 Multipliers'!$S$3:$T$9,2,FALSE)))</f>
        <v/>
      </c>
      <c r="AA17" s="265" t="str">
        <f t="shared" si="4"/>
        <v/>
      </c>
      <c r="AB17" s="180"/>
      <c r="AC17" s="181"/>
    </row>
    <row r="18" spans="1:29" ht="13.8" x14ac:dyDescent="0.25">
      <c r="A18" s="35" t="str">
        <f>IFERROR(INDEX('G-8 Condition Look up'!$I$4:$I$131,MATCH(F18,'G-8 Condition Look up'!$A$4:$A$131,0)),"")</f>
        <v/>
      </c>
      <c r="C18" s="363" t="str">
        <f>IFERROR(INDEX('G-1 All Habitats'!$AG$3:$AG$15,MATCH(D18,'G-1 All Habitats'!$AF$3:$AF$15,0)),"")</f>
        <v/>
      </c>
      <c r="D18" s="186"/>
      <c r="E18" s="275"/>
      <c r="F18" s="362" t="str">
        <f>IFERROR(INDEX('G-1 All Habitats'!$B$3:$B$130,MATCH(E18,'G-1 All Habitats'!$A$3:$A$130,0)),"")</f>
        <v/>
      </c>
      <c r="G18" s="598"/>
      <c r="H18" s="239" t="str">
        <f>IF(F18="","",VLOOKUP(F18,'G-1 All Habitats'!$B$2:$M$130,10,FALSE))</f>
        <v/>
      </c>
      <c r="I18" s="176" t="str">
        <f>IFERROR(VLOOKUP(H18,'G-1 All Habitats'!$V$3:$W$7,2,FALSE),"")</f>
        <v/>
      </c>
      <c r="J18" s="270"/>
      <c r="K18" s="176" t="str">
        <f>IFERROR(INDEX('G-8 Condition Look up'!$A$3:$H$131,MATCH(F18,'G-8 Condition Look up'!$A$3:$A$131,0),MATCH(J18,'G-8 Condition Look up'!$A$3:$H$3,0)),"")</f>
        <v/>
      </c>
      <c r="L18" s="173"/>
      <c r="M18" s="269" t="str">
        <f>IF(L18="","",IF(VLOOKUP(L18,'G-3 Multipliers'!$L$3:$N$6,2,FALSE)=0,"Spatial Data Missing",VLOOKUP(L18,'G-3 Multipliers'!$L$3:$N$6,2,FALSE)))</f>
        <v/>
      </c>
      <c r="N18" s="172" t="str">
        <f>IF(L18="","",IF(VLOOKUP(L18,'G-3 Multipliers'!$L$3:$N$6,3,FALSE)=0,"Spatial Data Missing",VLOOKUP(L18,'G-3 Multipliers'!$L$3:$N$6,3,FALSE)))</f>
        <v/>
      </c>
      <c r="O18" s="171" t="str">
        <f t="shared" si="0"/>
        <v/>
      </c>
      <c r="P18" s="261"/>
      <c r="Q18" s="261"/>
      <c r="R18" s="343" t="str">
        <f t="shared" si="1"/>
        <v/>
      </c>
      <c r="S18" s="352" t="str">
        <f t="shared" si="2"/>
        <v/>
      </c>
      <c r="T18" s="593" t="str">
        <f>IFERROR(IF(S18="Check Data","Check Data",VLOOKUP(S18,'G-4 Temporal multipliers'!$A$4:$C$37,3,FALSE)),"")</f>
        <v/>
      </c>
      <c r="U18" s="592" t="str">
        <f>IF(F18="","",VLOOKUP(F18,'G-3 Multipliers'!$A$2:$E$130,2,FALSE))</f>
        <v/>
      </c>
      <c r="V18" s="343" t="str">
        <f t="shared" si="3"/>
        <v/>
      </c>
      <c r="W18" s="343" t="str">
        <f>IF(E18="","",IF(AND(V18="Standard difficulty applied",O18&gt;P18),U18,IF(AND(V18="Low Difficulty - only applicable if all habitat created before losses",P18&gt;=O18),"Low",VLOOKUP(F18,'G-3 Multipliers'!$A$2:$E$130,4,FALSE))))</f>
        <v/>
      </c>
      <c r="X18" s="345" t="str">
        <f>IFERROR(IF(E18="","",VLOOKUP(W18, 'G-3 Multipliers'!$P$2:$Q$6,2,FALSE)),””)</f>
        <v/>
      </c>
      <c r="Y18" s="266"/>
      <c r="Z18" s="172" t="str">
        <f>IF(Y18="","",IF(VLOOKUP(Y18,'G-3 Multipliers'!$S$3:$T$9,2,FALSE)=0,"Spatial Data Missing",VLOOKUP(Y18,'G-3 Multipliers'!$S$3:$T$9,2,FALSE)))</f>
        <v/>
      </c>
      <c r="AA18" s="265" t="str">
        <f t="shared" si="4"/>
        <v/>
      </c>
      <c r="AB18" s="180"/>
      <c r="AC18" s="181"/>
    </row>
    <row r="19" spans="1:29" ht="13.8" x14ac:dyDescent="0.25">
      <c r="A19" s="35" t="str">
        <f>IFERROR(INDEX('G-8 Condition Look up'!$I$4:$I$131,MATCH(F19,'G-8 Condition Look up'!$A$4:$A$131,0)),"")</f>
        <v/>
      </c>
      <c r="C19" s="363" t="str">
        <f>IFERROR(INDEX('G-1 All Habitats'!$AG$3:$AG$15,MATCH(D19,'G-1 All Habitats'!$AF$3:$AF$15,0)),"")</f>
        <v/>
      </c>
      <c r="D19" s="186"/>
      <c r="E19" s="275"/>
      <c r="F19" s="362" t="str">
        <f>IFERROR(INDEX('G-1 All Habitats'!$B$3:$B$130,MATCH(E19,'G-1 All Habitats'!$A$3:$A$130,0)),"")</f>
        <v/>
      </c>
      <c r="G19" s="598"/>
      <c r="H19" s="239" t="str">
        <f>IF(F19="","",VLOOKUP(F19,'G-1 All Habitats'!$B$2:$M$130,10,FALSE))</f>
        <v/>
      </c>
      <c r="I19" s="176" t="str">
        <f>IFERROR(VLOOKUP(H19,'G-1 All Habitats'!$V$3:$W$7,2,FALSE),"")</f>
        <v/>
      </c>
      <c r="J19" s="270"/>
      <c r="K19" s="176" t="str">
        <f>IFERROR(INDEX('G-8 Condition Look up'!$A$3:$H$131,MATCH(F19,'G-8 Condition Look up'!$A$3:$A$131,0),MATCH(J19,'G-8 Condition Look up'!$A$3:$H$3,0)),"")</f>
        <v/>
      </c>
      <c r="L19" s="173"/>
      <c r="M19" s="269" t="str">
        <f>IF(L19="","",IF(VLOOKUP(L19,'G-3 Multipliers'!$L$3:$N$6,2,FALSE)=0,"Spatial Data Missing",VLOOKUP(L19,'G-3 Multipliers'!$L$3:$N$6,2,FALSE)))</f>
        <v/>
      </c>
      <c r="N19" s="172" t="str">
        <f>IF(L19="","",IF(VLOOKUP(L19,'G-3 Multipliers'!$L$3:$N$6,3,FALSE)=0,"Spatial Data Missing",VLOOKUP(L19,'G-3 Multipliers'!$L$3:$N$6,3,FALSE)))</f>
        <v/>
      </c>
      <c r="O19" s="171" t="str">
        <f t="shared" si="0"/>
        <v/>
      </c>
      <c r="P19" s="261"/>
      <c r="Q19" s="261"/>
      <c r="R19" s="343" t="str">
        <f t="shared" si="1"/>
        <v/>
      </c>
      <c r="S19" s="352" t="str">
        <f t="shared" si="2"/>
        <v/>
      </c>
      <c r="T19" s="593" t="str">
        <f>IFERROR(IF(S19="Check Data","Check Data",VLOOKUP(S19,'G-4 Temporal multipliers'!$A$4:$C$37,3,FALSE)),"")</f>
        <v/>
      </c>
      <c r="U19" s="592" t="str">
        <f>IF(F19="","",VLOOKUP(F19,'G-3 Multipliers'!$A$2:$E$130,2,FALSE))</f>
        <v/>
      </c>
      <c r="V19" s="343" t="str">
        <f t="shared" si="3"/>
        <v/>
      </c>
      <c r="W19" s="343" t="str">
        <f>IF(E19="","",IF(AND(V19="Standard difficulty applied",O19&gt;P19),U19,IF(AND(V19="Low Difficulty - only applicable if all habitat created before losses",P19&gt;=O19),"Low",VLOOKUP(F19,'G-3 Multipliers'!$A$2:$E$130,4,FALSE))))</f>
        <v/>
      </c>
      <c r="X19" s="345" t="str">
        <f>IFERROR(IF(E19="","",VLOOKUP(W19, 'G-3 Multipliers'!$P$2:$Q$6,2,FALSE)),””)</f>
        <v/>
      </c>
      <c r="Y19" s="266"/>
      <c r="Z19" s="172" t="str">
        <f>IF(Y19="","",IF(VLOOKUP(Y19,'G-3 Multipliers'!$S$3:$T$9,2,FALSE)=0,"Spatial Data Missing",VLOOKUP(Y19,'G-3 Multipliers'!$S$3:$T$9,2,FALSE)))</f>
        <v/>
      </c>
      <c r="AA19" s="265" t="str">
        <f t="shared" si="4"/>
        <v/>
      </c>
      <c r="AB19" s="180"/>
      <c r="AC19" s="181"/>
    </row>
    <row r="20" spans="1:29" ht="13.8" x14ac:dyDescent="0.25">
      <c r="A20" s="35" t="str">
        <f>IFERROR(INDEX('G-8 Condition Look up'!$I$4:$I$131,MATCH(F20,'G-8 Condition Look up'!$A$4:$A$131,0)),"")</f>
        <v/>
      </c>
      <c r="C20" s="363" t="str">
        <f>IFERROR(INDEX('G-1 All Habitats'!$AG$3:$AG$15,MATCH(D20,'G-1 All Habitats'!$AF$3:$AF$15,0)),"")</f>
        <v/>
      </c>
      <c r="D20" s="186"/>
      <c r="E20" s="275"/>
      <c r="F20" s="362" t="str">
        <f>IFERROR(INDEX('G-1 All Habitats'!$B$3:$B$130,MATCH(E20,'G-1 All Habitats'!$A$3:$A$130,0)),"")</f>
        <v/>
      </c>
      <c r="G20" s="598"/>
      <c r="H20" s="239" t="str">
        <f>IF(F20="","",VLOOKUP(F20,'G-1 All Habitats'!$B$2:$M$130,10,FALSE))</f>
        <v/>
      </c>
      <c r="I20" s="176" t="str">
        <f>IFERROR(VLOOKUP(H20,'G-1 All Habitats'!$V$3:$W$7,2,FALSE),"")</f>
        <v/>
      </c>
      <c r="J20" s="270"/>
      <c r="K20" s="176" t="str">
        <f>IFERROR(INDEX('G-8 Condition Look up'!$A$3:$H$131,MATCH(F20,'G-8 Condition Look up'!$A$3:$A$131,0),MATCH(J20,'G-8 Condition Look up'!$A$3:$H$3,0)),"")</f>
        <v/>
      </c>
      <c r="L20" s="173"/>
      <c r="M20" s="269" t="str">
        <f>IF(L20="","",IF(VLOOKUP(L20,'G-3 Multipliers'!$L$3:$N$6,2,FALSE)=0,"Spatial Data Missing",VLOOKUP(L20,'G-3 Multipliers'!$L$3:$N$6,2,FALSE)))</f>
        <v/>
      </c>
      <c r="N20" s="172" t="str">
        <f>IF(L20="","",IF(VLOOKUP(L20,'G-3 Multipliers'!$L$3:$N$6,3,FALSE)=0,"Spatial Data Missing",VLOOKUP(L20,'G-3 Multipliers'!$L$3:$N$6,3,FALSE)))</f>
        <v/>
      </c>
      <c r="O20" s="171" t="str">
        <f t="shared" si="0"/>
        <v/>
      </c>
      <c r="P20" s="261"/>
      <c r="Q20" s="261"/>
      <c r="R20" s="343" t="str">
        <f t="shared" si="1"/>
        <v/>
      </c>
      <c r="S20" s="352" t="str">
        <f t="shared" si="2"/>
        <v/>
      </c>
      <c r="T20" s="593" t="str">
        <f>IFERROR(IF(S20="Check Data","Check Data",VLOOKUP(S20,'G-4 Temporal multipliers'!$A$4:$C$37,3,FALSE)),"")</f>
        <v/>
      </c>
      <c r="U20" s="592" t="str">
        <f>IF(F20="","",VLOOKUP(F20,'G-3 Multipliers'!$A$2:$E$130,2,FALSE))</f>
        <v/>
      </c>
      <c r="V20" s="343" t="str">
        <f t="shared" si="3"/>
        <v/>
      </c>
      <c r="W20" s="343" t="str">
        <f>IF(E20="","",IF(AND(V20="Standard difficulty applied",O20&gt;P20),U20,IF(AND(V20="Low Difficulty - only applicable if all habitat created before losses",P20&gt;=O20),"Low",VLOOKUP(F20,'G-3 Multipliers'!$A$2:$E$130,4,FALSE))))</f>
        <v/>
      </c>
      <c r="X20" s="345" t="str">
        <f>IFERROR(IF(E20="","",VLOOKUP(W20, 'G-3 Multipliers'!$P$2:$Q$6,2,FALSE)),””)</f>
        <v/>
      </c>
      <c r="Y20" s="266"/>
      <c r="Z20" s="172" t="str">
        <f>IF(Y20="","",IF(VLOOKUP(Y20,'G-3 Multipliers'!$S$3:$T$9,2,FALSE)=0,"Spatial Data Missing",VLOOKUP(Y20,'G-3 Multipliers'!$S$3:$T$9,2,FALSE)))</f>
        <v/>
      </c>
      <c r="AA20" s="265" t="str">
        <f t="shared" si="4"/>
        <v/>
      </c>
      <c r="AB20" s="180"/>
      <c r="AC20" s="181"/>
    </row>
    <row r="21" spans="1:29" ht="13.8" x14ac:dyDescent="0.25">
      <c r="A21" s="35" t="str">
        <f>IFERROR(INDEX('G-8 Condition Look up'!$I$4:$I$131,MATCH(F21,'G-8 Condition Look up'!$A$4:$A$131,0)),"")</f>
        <v/>
      </c>
      <c r="C21" s="363" t="str">
        <f>IFERROR(INDEX('G-1 All Habitats'!$AG$3:$AG$15,MATCH(D21,'G-1 All Habitats'!$AF$3:$AF$15,0)),"")</f>
        <v/>
      </c>
      <c r="D21" s="186"/>
      <c r="E21" s="275"/>
      <c r="F21" s="362" t="str">
        <f>IFERROR(INDEX('G-1 All Habitats'!$B$3:$B$130,MATCH(E21,'G-1 All Habitats'!$A$3:$A$130,0)),"")</f>
        <v/>
      </c>
      <c r="G21" s="598"/>
      <c r="H21" s="239" t="str">
        <f>IF(F21="","",VLOOKUP(F21,'G-1 All Habitats'!$B$2:$M$130,10,FALSE))</f>
        <v/>
      </c>
      <c r="I21" s="176" t="str">
        <f>IFERROR(VLOOKUP(H21,'G-1 All Habitats'!$V$3:$W$7,2,FALSE),"")</f>
        <v/>
      </c>
      <c r="J21" s="270"/>
      <c r="K21" s="176" t="str">
        <f>IFERROR(INDEX('G-8 Condition Look up'!$A$3:$H$131,MATCH(F21,'G-8 Condition Look up'!$A$3:$A$131,0),MATCH(J21,'G-8 Condition Look up'!$A$3:$H$3,0)),"")</f>
        <v/>
      </c>
      <c r="L21" s="173"/>
      <c r="M21" s="269" t="str">
        <f>IF(L21="","",IF(VLOOKUP(L21,'G-3 Multipliers'!$L$3:$N$6,2,FALSE)=0,"Spatial Data Missing",VLOOKUP(L21,'G-3 Multipliers'!$L$3:$N$6,2,FALSE)))</f>
        <v/>
      </c>
      <c r="N21" s="172" t="str">
        <f>IF(L21="","",IF(VLOOKUP(L21,'G-3 Multipliers'!$L$3:$N$6,3,FALSE)=0,"Spatial Data Missing",VLOOKUP(L21,'G-3 Multipliers'!$L$3:$N$6,3,FALSE)))</f>
        <v/>
      </c>
      <c r="O21" s="171" t="str">
        <f t="shared" si="0"/>
        <v/>
      </c>
      <c r="P21" s="261"/>
      <c r="Q21" s="261"/>
      <c r="R21" s="343" t="str">
        <f t="shared" si="1"/>
        <v/>
      </c>
      <c r="S21" s="352" t="str">
        <f t="shared" si="2"/>
        <v/>
      </c>
      <c r="T21" s="593" t="str">
        <f>IFERROR(IF(S21="Check Data","Check Data",VLOOKUP(S21,'G-4 Temporal multipliers'!$A$4:$C$37,3,FALSE)),"")</f>
        <v/>
      </c>
      <c r="U21" s="592" t="str">
        <f>IF(F21="","",VLOOKUP(F21,'G-3 Multipliers'!$A$2:$E$130,2,FALSE))</f>
        <v/>
      </c>
      <c r="V21" s="343" t="str">
        <f t="shared" si="3"/>
        <v/>
      </c>
      <c r="W21" s="343" t="str">
        <f>IF(E21="","",IF(AND(V21="Standard difficulty applied",O21&gt;P21),U21,IF(AND(V21="Low Difficulty - only applicable if all habitat created before losses",P21&gt;=O21),"Low",VLOOKUP(F21,'G-3 Multipliers'!$A$2:$E$130,4,FALSE))))</f>
        <v/>
      </c>
      <c r="X21" s="345" t="str">
        <f>IFERROR(IF(E21="","",VLOOKUP(W21, 'G-3 Multipliers'!$P$2:$Q$6,2,FALSE)),””)</f>
        <v/>
      </c>
      <c r="Y21" s="266"/>
      <c r="Z21" s="172" t="str">
        <f>IF(Y21="","",IF(VLOOKUP(Y21,'G-3 Multipliers'!$S$3:$T$9,2,FALSE)=0,"Spatial Data Missing",VLOOKUP(Y21,'G-3 Multipliers'!$S$3:$T$9,2,FALSE)))</f>
        <v/>
      </c>
      <c r="AA21" s="265" t="str">
        <f t="shared" si="4"/>
        <v/>
      </c>
      <c r="AB21" s="180"/>
      <c r="AC21" s="181"/>
    </row>
    <row r="22" spans="1:29" ht="13.8" x14ac:dyDescent="0.25">
      <c r="A22" s="35" t="str">
        <f>IFERROR(INDEX('G-8 Condition Look up'!$I$4:$I$131,MATCH(F22,'G-8 Condition Look up'!$A$4:$A$131,0)),"")</f>
        <v/>
      </c>
      <c r="C22" s="363" t="str">
        <f>IFERROR(INDEX('G-1 All Habitats'!$AG$3:$AG$15,MATCH(D22,'G-1 All Habitats'!$AF$3:$AF$15,0)),"")</f>
        <v/>
      </c>
      <c r="D22" s="186"/>
      <c r="E22" s="275"/>
      <c r="F22" s="362" t="str">
        <f>IFERROR(INDEX('G-1 All Habitats'!$B$3:$B$130,MATCH(E22,'G-1 All Habitats'!$A$3:$A$130,0)),"")</f>
        <v/>
      </c>
      <c r="G22" s="598"/>
      <c r="H22" s="239" t="str">
        <f>IF(F22="","",VLOOKUP(F22,'G-1 All Habitats'!$B$2:$M$130,10,FALSE))</f>
        <v/>
      </c>
      <c r="I22" s="176" t="str">
        <f>IFERROR(VLOOKUP(H22,'G-1 All Habitats'!$V$3:$W$7,2,FALSE),"")</f>
        <v/>
      </c>
      <c r="J22" s="270"/>
      <c r="K22" s="176" t="str">
        <f>IFERROR(INDEX('G-8 Condition Look up'!$A$3:$H$131,MATCH(F22,'G-8 Condition Look up'!$A$3:$A$131,0),MATCH(J22,'G-8 Condition Look up'!$A$3:$H$3,0)),"")</f>
        <v/>
      </c>
      <c r="L22" s="173"/>
      <c r="M22" s="269" t="str">
        <f>IF(L22="","",IF(VLOOKUP(L22,'G-3 Multipliers'!$L$3:$N$6,2,FALSE)=0,"Spatial Data Missing",VLOOKUP(L22,'G-3 Multipliers'!$L$3:$N$6,2,FALSE)))</f>
        <v/>
      </c>
      <c r="N22" s="172" t="str">
        <f>IF(L22="","",IF(VLOOKUP(L22,'G-3 Multipliers'!$L$3:$N$6,3,FALSE)=0,"Spatial Data Missing",VLOOKUP(L22,'G-3 Multipliers'!$L$3:$N$6,3,FALSE)))</f>
        <v/>
      </c>
      <c r="O22" s="171" t="str">
        <f t="shared" si="0"/>
        <v/>
      </c>
      <c r="P22" s="261"/>
      <c r="Q22" s="261"/>
      <c r="R22" s="343" t="str">
        <f t="shared" si="1"/>
        <v/>
      </c>
      <c r="S22" s="352" t="str">
        <f t="shared" si="2"/>
        <v/>
      </c>
      <c r="T22" s="593" t="str">
        <f>IFERROR(IF(S22="Check Data","Check Data",VLOOKUP(S22,'G-4 Temporal multipliers'!$A$4:$C$37,3,FALSE)),"")</f>
        <v/>
      </c>
      <c r="U22" s="592" t="str">
        <f>IF(F22="","",VLOOKUP(F22,'G-3 Multipliers'!$A$2:$E$130,2,FALSE))</f>
        <v/>
      </c>
      <c r="V22" s="343" t="str">
        <f t="shared" si="3"/>
        <v/>
      </c>
      <c r="W22" s="343" t="str">
        <f>IF(E22="","",IF(AND(V22="Standard difficulty applied",O22&gt;P22),U22,IF(AND(V22="Low Difficulty - only applicable if all habitat created before losses",P22&gt;=O22),"Low",VLOOKUP(F22,'G-3 Multipliers'!$A$2:$E$130,4,FALSE))))</f>
        <v/>
      </c>
      <c r="X22" s="345" t="str">
        <f>IFERROR(IF(E22="","",VLOOKUP(W22, 'G-3 Multipliers'!$P$2:$Q$6,2,FALSE)),””)</f>
        <v/>
      </c>
      <c r="Y22" s="266"/>
      <c r="Z22" s="172" t="str">
        <f>IF(Y22="","",IF(VLOOKUP(Y22,'G-3 Multipliers'!$S$3:$T$9,2,FALSE)=0,"Spatial Data Missing",VLOOKUP(Y22,'G-3 Multipliers'!$S$3:$T$9,2,FALSE)))</f>
        <v/>
      </c>
      <c r="AA22" s="265" t="str">
        <f t="shared" si="4"/>
        <v/>
      </c>
      <c r="AB22" s="180"/>
      <c r="AC22" s="181"/>
    </row>
    <row r="23" spans="1:29" ht="13.8" x14ac:dyDescent="0.25">
      <c r="A23" s="35" t="str">
        <f>IFERROR(INDEX('G-8 Condition Look up'!$I$4:$I$131,MATCH(F23,'G-8 Condition Look up'!$A$4:$A$131,0)),"")</f>
        <v/>
      </c>
      <c r="C23" s="363" t="str">
        <f>IFERROR(INDEX('G-1 All Habitats'!$AG$3:$AG$15,MATCH(D23,'G-1 All Habitats'!$AF$3:$AF$15,0)),"")</f>
        <v/>
      </c>
      <c r="D23" s="186"/>
      <c r="E23" s="275"/>
      <c r="F23" s="362" t="str">
        <f>IFERROR(INDEX('G-1 All Habitats'!$B$3:$B$130,MATCH(E23,'G-1 All Habitats'!$A$3:$A$130,0)),"")</f>
        <v/>
      </c>
      <c r="G23" s="598"/>
      <c r="H23" s="239" t="str">
        <f>IF(F23="","",VLOOKUP(F23,'G-1 All Habitats'!$B$2:$M$130,10,FALSE))</f>
        <v/>
      </c>
      <c r="I23" s="176" t="str">
        <f>IFERROR(VLOOKUP(H23,'G-1 All Habitats'!$V$3:$W$7,2,FALSE),"")</f>
        <v/>
      </c>
      <c r="J23" s="270"/>
      <c r="K23" s="176" t="str">
        <f>IFERROR(INDEX('G-8 Condition Look up'!$A$3:$H$131,MATCH(F23,'G-8 Condition Look up'!$A$3:$A$131,0),MATCH(J23,'G-8 Condition Look up'!$A$3:$H$3,0)),"")</f>
        <v/>
      </c>
      <c r="L23" s="173"/>
      <c r="M23" s="269" t="str">
        <f>IF(L23="","",IF(VLOOKUP(L23,'G-3 Multipliers'!$L$3:$N$6,2,FALSE)=0,"Spatial Data Missing",VLOOKUP(L23,'G-3 Multipliers'!$L$3:$N$6,2,FALSE)))</f>
        <v/>
      </c>
      <c r="N23" s="172" t="str">
        <f>IF(L23="","",IF(VLOOKUP(L23,'G-3 Multipliers'!$L$3:$N$6,3,FALSE)=0,"Spatial Data Missing",VLOOKUP(L23,'G-3 Multipliers'!$L$3:$N$6,3,FALSE)))</f>
        <v/>
      </c>
      <c r="O23" s="171" t="str">
        <f t="shared" si="0"/>
        <v/>
      </c>
      <c r="P23" s="261"/>
      <c r="Q23" s="261"/>
      <c r="R23" s="343" t="str">
        <f t="shared" si="1"/>
        <v/>
      </c>
      <c r="S23" s="352" t="str">
        <f t="shared" si="2"/>
        <v/>
      </c>
      <c r="T23" s="593" t="str">
        <f>IFERROR(IF(S23="Check Data","Check Data",VLOOKUP(S23,'G-4 Temporal multipliers'!$A$4:$C$37,3,FALSE)),"")</f>
        <v/>
      </c>
      <c r="U23" s="592" t="str">
        <f>IF(F23="","",VLOOKUP(F23,'G-3 Multipliers'!$A$2:$E$130,2,FALSE))</f>
        <v/>
      </c>
      <c r="V23" s="343" t="str">
        <f t="shared" si="3"/>
        <v/>
      </c>
      <c r="W23" s="343" t="str">
        <f>IF(E23="","",IF(AND(V23="Standard difficulty applied",O23&gt;P23),U23,IF(AND(V23="Low Difficulty - only applicable if all habitat created before losses",P23&gt;=O23),"Low",VLOOKUP(F23,'G-3 Multipliers'!$A$2:$E$130,4,FALSE))))</f>
        <v/>
      </c>
      <c r="X23" s="345" t="str">
        <f>IFERROR(IF(E23="","",VLOOKUP(W23, 'G-3 Multipliers'!$P$2:$Q$6,2,FALSE)),””)</f>
        <v/>
      </c>
      <c r="Y23" s="266"/>
      <c r="Z23" s="172" t="str">
        <f>IF(Y23="","",IF(VLOOKUP(Y23,'G-3 Multipliers'!$S$3:$T$9,2,FALSE)=0,"Spatial Data Missing",VLOOKUP(Y23,'G-3 Multipliers'!$S$3:$T$9,2,FALSE)))</f>
        <v/>
      </c>
      <c r="AA23" s="265" t="str">
        <f t="shared" si="4"/>
        <v/>
      </c>
      <c r="AB23" s="180"/>
      <c r="AC23" s="181"/>
    </row>
    <row r="24" spans="1:29" ht="13.8" x14ac:dyDescent="0.25">
      <c r="A24" s="35" t="str">
        <f>IFERROR(INDEX('G-8 Condition Look up'!$I$4:$I$131,MATCH(F24,'G-8 Condition Look up'!$A$4:$A$131,0)),"")</f>
        <v/>
      </c>
      <c r="C24" s="363" t="str">
        <f>IFERROR(INDEX('G-1 All Habitats'!$AG$3:$AG$15,MATCH(D24,'G-1 All Habitats'!$AF$3:$AF$15,0)),"")</f>
        <v/>
      </c>
      <c r="D24" s="186"/>
      <c r="E24" s="275"/>
      <c r="F24" s="362" t="str">
        <f>IFERROR(INDEX('G-1 All Habitats'!$B$3:$B$130,MATCH(E24,'G-1 All Habitats'!$A$3:$A$130,0)),"")</f>
        <v/>
      </c>
      <c r="G24" s="598"/>
      <c r="H24" s="239" t="str">
        <f>IF(F24="","",VLOOKUP(F24,'G-1 All Habitats'!$B$2:$M$130,10,FALSE))</f>
        <v/>
      </c>
      <c r="I24" s="176" t="str">
        <f>IFERROR(VLOOKUP(H24,'G-1 All Habitats'!$V$3:$W$7,2,FALSE),"")</f>
        <v/>
      </c>
      <c r="J24" s="270"/>
      <c r="K24" s="176" t="str">
        <f>IFERROR(INDEX('G-8 Condition Look up'!$A$3:$H$131,MATCH(F24,'G-8 Condition Look up'!$A$3:$A$131,0),MATCH(J24,'G-8 Condition Look up'!$A$3:$H$3,0)),"")</f>
        <v/>
      </c>
      <c r="L24" s="173"/>
      <c r="M24" s="269" t="str">
        <f>IF(L24="","",IF(VLOOKUP(L24,'G-3 Multipliers'!$L$3:$N$6,2,FALSE)=0,"Spatial Data Missing",VLOOKUP(L24,'G-3 Multipliers'!$L$3:$N$6,2,FALSE)))</f>
        <v/>
      </c>
      <c r="N24" s="172" t="str">
        <f>IF(L24="","",IF(VLOOKUP(L24,'G-3 Multipliers'!$L$3:$N$6,3,FALSE)=0,"Spatial Data Missing",VLOOKUP(L24,'G-3 Multipliers'!$L$3:$N$6,3,FALSE)))</f>
        <v/>
      </c>
      <c r="O24" s="171" t="str">
        <f t="shared" si="0"/>
        <v/>
      </c>
      <c r="P24" s="261"/>
      <c r="Q24" s="261"/>
      <c r="R24" s="343" t="str">
        <f t="shared" si="1"/>
        <v/>
      </c>
      <c r="S24" s="352" t="str">
        <f t="shared" si="2"/>
        <v/>
      </c>
      <c r="T24" s="593" t="str">
        <f>IFERROR(IF(S24="Check Data","Check Data",VLOOKUP(S24,'G-4 Temporal multipliers'!$A$4:$C$37,3,FALSE)),"")</f>
        <v/>
      </c>
      <c r="U24" s="592" t="str">
        <f>IF(F24="","",VLOOKUP(F24,'G-3 Multipliers'!$A$2:$E$130,2,FALSE))</f>
        <v/>
      </c>
      <c r="V24" s="343" t="str">
        <f t="shared" si="3"/>
        <v/>
      </c>
      <c r="W24" s="343" t="str">
        <f>IF(E24="","",IF(AND(V24="Standard difficulty applied",O24&gt;P24),U24,IF(AND(V24="Low Difficulty - only applicable if all habitat created before losses",P24&gt;=O24),"Low",VLOOKUP(F24,'G-3 Multipliers'!$A$2:$E$130,4,FALSE))))</f>
        <v/>
      </c>
      <c r="X24" s="345" t="str">
        <f>IFERROR(IF(E24="","",VLOOKUP(W24, 'G-3 Multipliers'!$P$2:$Q$6,2,FALSE)),””)</f>
        <v/>
      </c>
      <c r="Y24" s="266"/>
      <c r="Z24" s="172" t="str">
        <f>IF(Y24="","",IF(VLOOKUP(Y24,'G-3 Multipliers'!$S$3:$T$9,2,FALSE)=0,"Spatial Data Missing",VLOOKUP(Y24,'G-3 Multipliers'!$S$3:$T$9,2,FALSE)))</f>
        <v/>
      </c>
      <c r="AA24" s="265" t="str">
        <f t="shared" si="4"/>
        <v/>
      </c>
      <c r="AB24" s="180"/>
      <c r="AC24" s="181"/>
    </row>
    <row r="25" spans="1:29" ht="13.8" x14ac:dyDescent="0.25">
      <c r="A25" s="35" t="str">
        <f>IFERROR(INDEX('G-8 Condition Look up'!$I$4:$I$131,MATCH(F25,'G-8 Condition Look up'!$A$4:$A$131,0)),"")</f>
        <v/>
      </c>
      <c r="C25" s="363" t="str">
        <f>IFERROR(INDEX('G-1 All Habitats'!$AG$3:$AG$15,MATCH(D25,'G-1 All Habitats'!$AF$3:$AF$15,0)),"")</f>
        <v/>
      </c>
      <c r="D25" s="186"/>
      <c r="E25" s="275"/>
      <c r="F25" s="362" t="str">
        <f>IFERROR(INDEX('G-1 All Habitats'!$B$3:$B$130,MATCH(E25,'G-1 All Habitats'!$A$3:$A$130,0)),"")</f>
        <v/>
      </c>
      <c r="G25" s="598"/>
      <c r="H25" s="239" t="str">
        <f>IF(F25="","",VLOOKUP(F25,'G-1 All Habitats'!$B$2:$M$130,10,FALSE))</f>
        <v/>
      </c>
      <c r="I25" s="176" t="str">
        <f>IFERROR(VLOOKUP(H25,'G-1 All Habitats'!$V$3:$W$7,2,FALSE),"")</f>
        <v/>
      </c>
      <c r="J25" s="270"/>
      <c r="K25" s="176" t="str">
        <f>IFERROR(INDEX('G-8 Condition Look up'!$A$3:$H$131,MATCH(F25,'G-8 Condition Look up'!$A$3:$A$131,0),MATCH(J25,'G-8 Condition Look up'!$A$3:$H$3,0)),"")</f>
        <v/>
      </c>
      <c r="L25" s="173"/>
      <c r="M25" s="269" t="str">
        <f>IF(L25="","",IF(VLOOKUP(L25,'G-3 Multipliers'!$L$3:$N$6,2,FALSE)=0,"Spatial Data Missing",VLOOKUP(L25,'G-3 Multipliers'!$L$3:$N$6,2,FALSE)))</f>
        <v/>
      </c>
      <c r="N25" s="172" t="str">
        <f>IF(L25="","",IF(VLOOKUP(L25,'G-3 Multipliers'!$L$3:$N$6,3,FALSE)=0,"Spatial Data Missing",VLOOKUP(L25,'G-3 Multipliers'!$L$3:$N$6,3,FALSE)))</f>
        <v/>
      </c>
      <c r="O25" s="171" t="str">
        <f t="shared" si="0"/>
        <v/>
      </c>
      <c r="P25" s="261"/>
      <c r="Q25" s="261"/>
      <c r="R25" s="343" t="str">
        <f t="shared" si="1"/>
        <v/>
      </c>
      <c r="S25" s="352" t="str">
        <f t="shared" si="2"/>
        <v/>
      </c>
      <c r="T25" s="593" t="str">
        <f>IFERROR(IF(S25="Check Data","Check Data",VLOOKUP(S25,'G-4 Temporal multipliers'!$A$4:$C$37,3,FALSE)),"")</f>
        <v/>
      </c>
      <c r="U25" s="592" t="str">
        <f>IF(F25="","",VLOOKUP(F25,'G-3 Multipliers'!$A$2:$E$130,2,FALSE))</f>
        <v/>
      </c>
      <c r="V25" s="343" t="str">
        <f t="shared" si="3"/>
        <v/>
      </c>
      <c r="W25" s="343" t="str">
        <f>IF(E25="","",IF(AND(V25="Standard difficulty applied",O25&gt;P25),U25,IF(AND(V25="Low Difficulty - only applicable if all habitat created before losses",P25&gt;=O25),"Low",VLOOKUP(F25,'G-3 Multipliers'!$A$2:$E$130,4,FALSE))))</f>
        <v/>
      </c>
      <c r="X25" s="345" t="str">
        <f>IFERROR(IF(E25="","",VLOOKUP(W25, 'G-3 Multipliers'!$P$2:$Q$6,2,FALSE)),””)</f>
        <v/>
      </c>
      <c r="Y25" s="266"/>
      <c r="Z25" s="172" t="str">
        <f>IF(Y25="","",IF(VLOOKUP(Y25,'G-3 Multipliers'!$S$3:$T$9,2,FALSE)=0,"Spatial Data Missing",VLOOKUP(Y25,'G-3 Multipliers'!$S$3:$T$9,2,FALSE)))</f>
        <v/>
      </c>
      <c r="AA25" s="265" t="str">
        <f t="shared" si="4"/>
        <v/>
      </c>
      <c r="AB25" s="180"/>
      <c r="AC25" s="181"/>
    </row>
    <row r="26" spans="1:29" ht="13.8" x14ac:dyDescent="0.25">
      <c r="A26" s="35" t="str">
        <f>IFERROR(INDEX('G-8 Condition Look up'!$I$4:$I$131,MATCH(F26,'G-8 Condition Look up'!$A$4:$A$131,0)),"")</f>
        <v/>
      </c>
      <c r="C26" s="363" t="str">
        <f>IFERROR(INDEX('G-1 All Habitats'!$AG$3:$AG$15,MATCH(D26,'G-1 All Habitats'!$AF$3:$AF$15,0)),"")</f>
        <v/>
      </c>
      <c r="D26" s="186"/>
      <c r="E26" s="275"/>
      <c r="F26" s="362" t="str">
        <f>IFERROR(INDEX('G-1 All Habitats'!$B$3:$B$130,MATCH(E26,'G-1 All Habitats'!$A$3:$A$130,0)),"")</f>
        <v/>
      </c>
      <c r="G26" s="598"/>
      <c r="H26" s="239" t="str">
        <f>IF(F26="","",VLOOKUP(F26,'G-1 All Habitats'!$B$2:$M$130,10,FALSE))</f>
        <v/>
      </c>
      <c r="I26" s="176" t="str">
        <f>IFERROR(VLOOKUP(H26,'G-1 All Habitats'!$V$3:$W$7,2,FALSE),"")</f>
        <v/>
      </c>
      <c r="J26" s="270"/>
      <c r="K26" s="176" t="str">
        <f>IFERROR(INDEX('G-8 Condition Look up'!$A$3:$H$131,MATCH(F26,'G-8 Condition Look up'!$A$3:$A$131,0),MATCH(J26,'G-8 Condition Look up'!$A$3:$H$3,0)),"")</f>
        <v/>
      </c>
      <c r="L26" s="173"/>
      <c r="M26" s="269" t="str">
        <f>IF(L26="","",IF(VLOOKUP(L26,'G-3 Multipliers'!$L$3:$N$6,2,FALSE)=0,"Spatial Data Missing",VLOOKUP(L26,'G-3 Multipliers'!$L$3:$N$6,2,FALSE)))</f>
        <v/>
      </c>
      <c r="N26" s="172" t="str">
        <f>IF(L26="","",IF(VLOOKUP(L26,'G-3 Multipliers'!$L$3:$N$6,3,FALSE)=0,"Spatial Data Missing",VLOOKUP(L26,'G-3 Multipliers'!$L$3:$N$6,3,FALSE)))</f>
        <v/>
      </c>
      <c r="O26" s="171" t="str">
        <f t="shared" si="0"/>
        <v/>
      </c>
      <c r="P26" s="261"/>
      <c r="Q26" s="261"/>
      <c r="R26" s="343" t="str">
        <f t="shared" si="1"/>
        <v/>
      </c>
      <c r="S26" s="352" t="str">
        <f t="shared" si="2"/>
        <v/>
      </c>
      <c r="T26" s="593" t="str">
        <f>IFERROR(IF(S26="Check Data","Check Data",VLOOKUP(S26,'G-4 Temporal multipliers'!$A$4:$C$37,3,FALSE)),"")</f>
        <v/>
      </c>
      <c r="U26" s="592" t="str">
        <f>IF(F26="","",VLOOKUP(F26,'G-3 Multipliers'!$A$2:$E$130,2,FALSE))</f>
        <v/>
      </c>
      <c r="V26" s="343" t="str">
        <f t="shared" si="3"/>
        <v/>
      </c>
      <c r="W26" s="343" t="str">
        <f>IF(E26="","",IF(AND(V26="Standard difficulty applied",O26&gt;P26),U26,IF(AND(V26="Low Difficulty - only applicable if all habitat created before losses",P26&gt;=O26),"Low",VLOOKUP(F26,'G-3 Multipliers'!$A$2:$E$130,4,FALSE))))</f>
        <v/>
      </c>
      <c r="X26" s="345" t="str">
        <f>IFERROR(IF(E26="","",VLOOKUP(W26, 'G-3 Multipliers'!$P$2:$Q$6,2,FALSE)),””)</f>
        <v/>
      </c>
      <c r="Y26" s="266"/>
      <c r="Z26" s="172" t="str">
        <f>IF(Y26="","",IF(VLOOKUP(Y26,'G-3 Multipliers'!$S$3:$T$9,2,FALSE)=0,"Spatial Data Missing",VLOOKUP(Y26,'G-3 Multipliers'!$S$3:$T$9,2,FALSE)))</f>
        <v/>
      </c>
      <c r="AA26" s="265" t="str">
        <f t="shared" si="4"/>
        <v/>
      </c>
      <c r="AB26" s="180"/>
      <c r="AC26" s="181"/>
    </row>
    <row r="27" spans="1:29" ht="13.8" x14ac:dyDescent="0.25">
      <c r="A27" s="35" t="str">
        <f>IFERROR(INDEX('G-8 Condition Look up'!$I$4:$I$131,MATCH(F27,'G-8 Condition Look up'!$A$4:$A$131,0)),"")</f>
        <v/>
      </c>
      <c r="C27" s="363" t="str">
        <f>IFERROR(INDEX('G-1 All Habitats'!$AG$3:$AG$15,MATCH(D27,'G-1 All Habitats'!$AF$3:$AF$15,0)),"")</f>
        <v/>
      </c>
      <c r="D27" s="186"/>
      <c r="E27" s="275"/>
      <c r="F27" s="362" t="str">
        <f>IFERROR(INDEX('G-1 All Habitats'!$B$3:$B$130,MATCH(E27,'G-1 All Habitats'!$A$3:$A$130,0)),"")</f>
        <v/>
      </c>
      <c r="G27" s="598"/>
      <c r="H27" s="239" t="str">
        <f>IF(F27="","",VLOOKUP(F27,'G-1 All Habitats'!$B$2:$M$130,10,FALSE))</f>
        <v/>
      </c>
      <c r="I27" s="176" t="str">
        <f>IFERROR(VLOOKUP(H27,'G-1 All Habitats'!$V$3:$W$7,2,FALSE),"")</f>
        <v/>
      </c>
      <c r="J27" s="270"/>
      <c r="K27" s="176" t="str">
        <f>IFERROR(INDEX('G-8 Condition Look up'!$A$3:$H$131,MATCH(F27,'G-8 Condition Look up'!$A$3:$A$131,0),MATCH(J27,'G-8 Condition Look up'!$A$3:$H$3,0)),"")</f>
        <v/>
      </c>
      <c r="L27" s="173"/>
      <c r="M27" s="269" t="str">
        <f>IF(L27="","",IF(VLOOKUP(L27,'G-3 Multipliers'!$L$3:$N$6,2,FALSE)=0,"Spatial Data Missing",VLOOKUP(L27,'G-3 Multipliers'!$L$3:$N$6,2,FALSE)))</f>
        <v/>
      </c>
      <c r="N27" s="172" t="str">
        <f>IF(L27="","",IF(VLOOKUP(L27,'G-3 Multipliers'!$L$3:$N$6,3,FALSE)=0,"Spatial Data Missing",VLOOKUP(L27,'G-3 Multipliers'!$L$3:$N$6,3,FALSE)))</f>
        <v/>
      </c>
      <c r="O27" s="171" t="str">
        <f t="shared" si="0"/>
        <v/>
      </c>
      <c r="P27" s="261"/>
      <c r="Q27" s="261"/>
      <c r="R27" s="343" t="str">
        <f t="shared" si="1"/>
        <v/>
      </c>
      <c r="S27" s="352" t="str">
        <f t="shared" si="2"/>
        <v/>
      </c>
      <c r="T27" s="593" t="str">
        <f>IFERROR(IF(S27="Check Data","Check Data",VLOOKUP(S27,'G-4 Temporal multipliers'!$A$4:$C$37,3,FALSE)),"")</f>
        <v/>
      </c>
      <c r="U27" s="592" t="str">
        <f>IF(F27="","",VLOOKUP(F27,'G-3 Multipliers'!$A$2:$E$130,2,FALSE))</f>
        <v/>
      </c>
      <c r="V27" s="343" t="str">
        <f t="shared" si="3"/>
        <v/>
      </c>
      <c r="W27" s="343" t="str">
        <f>IF(E27="","",IF(AND(V27="Standard difficulty applied",O27&gt;P27),U27,IF(AND(V27="Low Difficulty - only applicable if all habitat created before losses",P27&gt;=O27),"Low",VLOOKUP(F27,'G-3 Multipliers'!$A$2:$E$130,4,FALSE))))</f>
        <v/>
      </c>
      <c r="X27" s="345" t="str">
        <f>IFERROR(IF(E27="","",VLOOKUP(W27, 'G-3 Multipliers'!$P$2:$Q$6,2,FALSE)),””)</f>
        <v/>
      </c>
      <c r="Y27" s="266"/>
      <c r="Z27" s="172" t="str">
        <f>IF(Y27="","",IF(VLOOKUP(Y27,'G-3 Multipliers'!$S$3:$T$9,2,FALSE)=0,"Spatial Data Missing",VLOOKUP(Y27,'G-3 Multipliers'!$S$3:$T$9,2,FALSE)))</f>
        <v/>
      </c>
      <c r="AA27" s="265" t="str">
        <f t="shared" si="4"/>
        <v/>
      </c>
      <c r="AB27" s="180"/>
      <c r="AC27" s="181"/>
    </row>
    <row r="28" spans="1:29" ht="13.8" x14ac:dyDescent="0.25">
      <c r="A28" s="35" t="str">
        <f>IFERROR(INDEX('G-8 Condition Look up'!$I$4:$I$131,MATCH(F28,'G-8 Condition Look up'!$A$4:$A$131,0)),"")</f>
        <v/>
      </c>
      <c r="C28" s="363" t="str">
        <f>IFERROR(INDEX('G-1 All Habitats'!$AG$3:$AG$15,MATCH(D28,'G-1 All Habitats'!$AF$3:$AF$15,0)),"")</f>
        <v/>
      </c>
      <c r="D28" s="186"/>
      <c r="E28" s="275"/>
      <c r="F28" s="362" t="str">
        <f>IFERROR(INDEX('G-1 All Habitats'!$B$3:$B$130,MATCH(E28,'G-1 All Habitats'!$A$3:$A$130,0)),"")</f>
        <v/>
      </c>
      <c r="G28" s="598"/>
      <c r="H28" s="239" t="str">
        <f>IF(F28="","",VLOOKUP(F28,'G-1 All Habitats'!$B$2:$M$130,10,FALSE))</f>
        <v/>
      </c>
      <c r="I28" s="176" t="str">
        <f>IFERROR(VLOOKUP(H28,'G-1 All Habitats'!$V$3:$W$7,2,FALSE),"")</f>
        <v/>
      </c>
      <c r="J28" s="270"/>
      <c r="K28" s="176" t="str">
        <f>IFERROR(INDEX('G-8 Condition Look up'!$A$3:$H$131,MATCH(F28,'G-8 Condition Look up'!$A$3:$A$131,0),MATCH(J28,'G-8 Condition Look up'!$A$3:$H$3,0)),"")</f>
        <v/>
      </c>
      <c r="L28" s="173"/>
      <c r="M28" s="269" t="str">
        <f>IF(L28="","",IF(VLOOKUP(L28,'G-3 Multipliers'!$L$3:$N$6,2,FALSE)=0,"Spatial Data Missing",VLOOKUP(L28,'G-3 Multipliers'!$L$3:$N$6,2,FALSE)))</f>
        <v/>
      </c>
      <c r="N28" s="172" t="str">
        <f>IF(L28="","",IF(VLOOKUP(L28,'G-3 Multipliers'!$L$3:$N$6,3,FALSE)=0,"Spatial Data Missing",VLOOKUP(L28,'G-3 Multipliers'!$L$3:$N$6,3,FALSE)))</f>
        <v/>
      </c>
      <c r="O28" s="171" t="str">
        <f t="shared" si="0"/>
        <v/>
      </c>
      <c r="P28" s="261"/>
      <c r="Q28" s="261"/>
      <c r="R28" s="343" t="str">
        <f t="shared" si="1"/>
        <v/>
      </c>
      <c r="S28" s="352" t="str">
        <f t="shared" si="2"/>
        <v/>
      </c>
      <c r="T28" s="593" t="str">
        <f>IFERROR(IF(S28="Check Data","Check Data",VLOOKUP(S28,'G-4 Temporal multipliers'!$A$4:$C$37,3,FALSE)),"")</f>
        <v/>
      </c>
      <c r="U28" s="592" t="str">
        <f>IF(F28="","",VLOOKUP(F28,'G-3 Multipliers'!$A$2:$E$130,2,FALSE))</f>
        <v/>
      </c>
      <c r="V28" s="343" t="str">
        <f t="shared" si="3"/>
        <v/>
      </c>
      <c r="W28" s="343" t="str">
        <f>IF(E28="","",IF(AND(V28="Standard difficulty applied",O28&gt;P28),U28,IF(AND(V28="Low Difficulty - only applicable if all habitat created before losses",P28&gt;=O28),"Low",VLOOKUP(F28,'G-3 Multipliers'!$A$2:$E$130,4,FALSE))))</f>
        <v/>
      </c>
      <c r="X28" s="345" t="str">
        <f>IFERROR(IF(E28="","",VLOOKUP(W28, 'G-3 Multipliers'!$P$2:$Q$6,2,FALSE)),””)</f>
        <v/>
      </c>
      <c r="Y28" s="266"/>
      <c r="Z28" s="172" t="str">
        <f>IF(Y28="","",IF(VLOOKUP(Y28,'G-3 Multipliers'!$S$3:$T$9,2,FALSE)=0,"Spatial Data Missing",VLOOKUP(Y28,'G-3 Multipliers'!$S$3:$T$9,2,FALSE)))</f>
        <v/>
      </c>
      <c r="AA28" s="265" t="str">
        <f t="shared" si="4"/>
        <v/>
      </c>
      <c r="AB28" s="180"/>
      <c r="AC28" s="181"/>
    </row>
    <row r="29" spans="1:29" ht="13.8" x14ac:dyDescent="0.25">
      <c r="A29" s="35" t="str">
        <f>IFERROR(INDEX('G-8 Condition Look up'!$I$4:$I$131,MATCH(F29,'G-8 Condition Look up'!$A$4:$A$131,0)),"")</f>
        <v/>
      </c>
      <c r="C29" s="363" t="str">
        <f>IFERROR(INDEX('G-1 All Habitats'!$AG$3:$AG$15,MATCH(D29,'G-1 All Habitats'!$AF$3:$AF$15,0)),"")</f>
        <v/>
      </c>
      <c r="D29" s="186"/>
      <c r="E29" s="275"/>
      <c r="F29" s="362" t="str">
        <f>IFERROR(INDEX('G-1 All Habitats'!$B$3:$B$130,MATCH(E29,'G-1 All Habitats'!$A$3:$A$130,0)),"")</f>
        <v/>
      </c>
      <c r="G29" s="598"/>
      <c r="H29" s="239" t="str">
        <f>IF(F29="","",VLOOKUP(F29,'G-1 All Habitats'!$B$2:$M$130,10,FALSE))</f>
        <v/>
      </c>
      <c r="I29" s="176" t="str">
        <f>IFERROR(VLOOKUP(H29,'G-1 All Habitats'!$V$3:$W$7,2,FALSE),"")</f>
        <v/>
      </c>
      <c r="J29" s="270"/>
      <c r="K29" s="176" t="str">
        <f>IFERROR(INDEX('G-8 Condition Look up'!$A$3:$H$131,MATCH(F29,'G-8 Condition Look up'!$A$3:$A$131,0),MATCH(J29,'G-8 Condition Look up'!$A$3:$H$3,0)),"")</f>
        <v/>
      </c>
      <c r="L29" s="173"/>
      <c r="M29" s="269" t="str">
        <f>IF(L29="","",IF(VLOOKUP(L29,'G-3 Multipliers'!$L$3:$N$6,2,FALSE)=0,"Spatial Data Missing",VLOOKUP(L29,'G-3 Multipliers'!$L$3:$N$6,2,FALSE)))</f>
        <v/>
      </c>
      <c r="N29" s="172" t="str">
        <f>IF(L29="","",IF(VLOOKUP(L29,'G-3 Multipliers'!$L$3:$N$6,3,FALSE)=0,"Spatial Data Missing",VLOOKUP(L29,'G-3 Multipliers'!$L$3:$N$6,3,FALSE)))</f>
        <v/>
      </c>
      <c r="O29" s="171" t="str">
        <f t="shared" si="0"/>
        <v/>
      </c>
      <c r="P29" s="261"/>
      <c r="Q29" s="261"/>
      <c r="R29" s="343" t="str">
        <f t="shared" si="1"/>
        <v/>
      </c>
      <c r="S29" s="352" t="str">
        <f t="shared" si="2"/>
        <v/>
      </c>
      <c r="T29" s="593" t="str">
        <f>IFERROR(IF(S29="Check Data","Check Data",VLOOKUP(S29,'G-4 Temporal multipliers'!$A$4:$C$37,3,FALSE)),"")</f>
        <v/>
      </c>
      <c r="U29" s="592" t="str">
        <f>IF(F29="","",VLOOKUP(F29,'G-3 Multipliers'!$A$2:$E$130,2,FALSE))</f>
        <v/>
      </c>
      <c r="V29" s="343" t="str">
        <f t="shared" si="3"/>
        <v/>
      </c>
      <c r="W29" s="343" t="str">
        <f>IF(E29="","",IF(AND(V29="Standard difficulty applied",O29&gt;P29),U29,IF(AND(V29="Low Difficulty - only applicable if all habitat created before losses",P29&gt;=O29),"Low",VLOOKUP(F29,'G-3 Multipliers'!$A$2:$E$130,4,FALSE))))</f>
        <v/>
      </c>
      <c r="X29" s="345" t="str">
        <f>IFERROR(IF(E29="","",VLOOKUP(W29, 'G-3 Multipliers'!$P$2:$Q$6,2,FALSE)),””)</f>
        <v/>
      </c>
      <c r="Y29" s="266"/>
      <c r="Z29" s="172" t="str">
        <f>IF(Y29="","",IF(VLOOKUP(Y29,'G-3 Multipliers'!$S$3:$T$9,2,FALSE)=0,"Spatial Data Missing",VLOOKUP(Y29,'G-3 Multipliers'!$S$3:$T$9,2,FALSE)))</f>
        <v/>
      </c>
      <c r="AA29" s="265" t="str">
        <f t="shared" si="4"/>
        <v/>
      </c>
      <c r="AB29" s="180"/>
      <c r="AC29" s="181"/>
    </row>
    <row r="30" spans="1:29" ht="13.8" x14ac:dyDescent="0.25">
      <c r="A30" s="35" t="str">
        <f>IFERROR(INDEX('G-8 Condition Look up'!$I$4:$I$131,MATCH(F30,'G-8 Condition Look up'!$A$4:$A$131,0)),"")</f>
        <v/>
      </c>
      <c r="C30" s="363" t="str">
        <f>IFERROR(INDEX('G-1 All Habitats'!$AG$3:$AG$15,MATCH(D30,'G-1 All Habitats'!$AF$3:$AF$15,0)),"")</f>
        <v/>
      </c>
      <c r="D30" s="186"/>
      <c r="E30" s="275"/>
      <c r="F30" s="362" t="str">
        <f>IFERROR(INDEX('G-1 All Habitats'!$B$3:$B$130,MATCH(E30,'G-1 All Habitats'!$A$3:$A$130,0)),"")</f>
        <v/>
      </c>
      <c r="G30" s="598"/>
      <c r="H30" s="239" t="str">
        <f>IF(F30="","",VLOOKUP(F30,'G-1 All Habitats'!$B$2:$M$130,10,FALSE))</f>
        <v/>
      </c>
      <c r="I30" s="176" t="str">
        <f>IFERROR(VLOOKUP(H30,'G-1 All Habitats'!$V$3:$W$7,2,FALSE),"")</f>
        <v/>
      </c>
      <c r="J30" s="270"/>
      <c r="K30" s="176" t="str">
        <f>IFERROR(INDEX('G-8 Condition Look up'!$A$3:$H$131,MATCH(F30,'G-8 Condition Look up'!$A$3:$A$131,0),MATCH(J30,'G-8 Condition Look up'!$A$3:$H$3,0)),"")</f>
        <v/>
      </c>
      <c r="L30" s="173"/>
      <c r="M30" s="269" t="str">
        <f>IF(L30="","",IF(VLOOKUP(L30,'G-3 Multipliers'!$L$3:$N$6,2,FALSE)=0,"Spatial Data Missing",VLOOKUP(L30,'G-3 Multipliers'!$L$3:$N$6,2,FALSE)))</f>
        <v/>
      </c>
      <c r="N30" s="172" t="str">
        <f>IF(L30="","",IF(VLOOKUP(L30,'G-3 Multipliers'!$L$3:$N$6,3,FALSE)=0,"Spatial Data Missing",VLOOKUP(L30,'G-3 Multipliers'!$L$3:$N$6,3,FALSE)))</f>
        <v/>
      </c>
      <c r="O30" s="171" t="str">
        <f t="shared" si="0"/>
        <v/>
      </c>
      <c r="P30" s="261"/>
      <c r="Q30" s="261"/>
      <c r="R30" s="343" t="str">
        <f t="shared" si="1"/>
        <v/>
      </c>
      <c r="S30" s="352" t="str">
        <f t="shared" si="2"/>
        <v/>
      </c>
      <c r="T30" s="593" t="str">
        <f>IFERROR(IF(S30="Check Data","Check Data",VLOOKUP(S30,'G-4 Temporal multipliers'!$A$4:$C$37,3,FALSE)),"")</f>
        <v/>
      </c>
      <c r="U30" s="592" t="str">
        <f>IF(F30="","",VLOOKUP(F30,'G-3 Multipliers'!$A$2:$E$130,2,FALSE))</f>
        <v/>
      </c>
      <c r="V30" s="343" t="str">
        <f t="shared" si="3"/>
        <v/>
      </c>
      <c r="W30" s="343" t="str">
        <f>IF(E30="","",IF(AND(V30="Standard difficulty applied",O30&gt;P30),U30,IF(AND(V30="Low Difficulty - only applicable if all habitat created before losses",P30&gt;=O30),"Low",VLOOKUP(F30,'G-3 Multipliers'!$A$2:$E$130,4,FALSE))))</f>
        <v/>
      </c>
      <c r="X30" s="345" t="str">
        <f>IFERROR(IF(E30="","",VLOOKUP(W30, 'G-3 Multipliers'!$P$2:$Q$6,2,FALSE)),””)</f>
        <v/>
      </c>
      <c r="Y30" s="266"/>
      <c r="Z30" s="172" t="str">
        <f>IF(Y30="","",IF(VLOOKUP(Y30,'G-3 Multipliers'!$S$3:$T$9,2,FALSE)=0,"Spatial Data Missing",VLOOKUP(Y30,'G-3 Multipliers'!$S$3:$T$9,2,FALSE)))</f>
        <v/>
      </c>
      <c r="AA30" s="265" t="str">
        <f t="shared" si="4"/>
        <v/>
      </c>
      <c r="AB30" s="180"/>
      <c r="AC30" s="181"/>
    </row>
    <row r="31" spans="1:29" ht="13.8" x14ac:dyDescent="0.25">
      <c r="A31" s="35" t="str">
        <f>IFERROR(INDEX('G-8 Condition Look up'!$I$4:$I$131,MATCH(F31,'G-8 Condition Look up'!$A$4:$A$131,0)),"")</f>
        <v/>
      </c>
      <c r="C31" s="363" t="str">
        <f>IFERROR(INDEX('G-1 All Habitats'!$AG$3:$AG$15,MATCH(D31,'G-1 All Habitats'!$AF$3:$AF$15,0)),"")</f>
        <v/>
      </c>
      <c r="D31" s="186"/>
      <c r="E31" s="275"/>
      <c r="F31" s="362" t="str">
        <f>IFERROR(INDEX('G-1 All Habitats'!$B$3:$B$130,MATCH(E31,'G-1 All Habitats'!$A$3:$A$130,0)),"")</f>
        <v/>
      </c>
      <c r="G31" s="598"/>
      <c r="H31" s="239" t="str">
        <f>IF(F31="","",VLOOKUP(F31,'G-1 All Habitats'!$B$2:$M$130,10,FALSE))</f>
        <v/>
      </c>
      <c r="I31" s="176" t="str">
        <f>IFERROR(VLOOKUP(H31,'G-1 All Habitats'!$V$3:$W$7,2,FALSE),"")</f>
        <v/>
      </c>
      <c r="J31" s="270"/>
      <c r="K31" s="176" t="str">
        <f>IFERROR(INDEX('G-8 Condition Look up'!$A$3:$H$131,MATCH(F31,'G-8 Condition Look up'!$A$3:$A$131,0),MATCH(J31,'G-8 Condition Look up'!$A$3:$H$3,0)),"")</f>
        <v/>
      </c>
      <c r="L31" s="173"/>
      <c r="M31" s="269" t="str">
        <f>IF(L31="","",IF(VLOOKUP(L31,'G-3 Multipliers'!$L$3:$N$6,2,FALSE)=0,"Spatial Data Missing",VLOOKUP(L31,'G-3 Multipliers'!$L$3:$N$6,2,FALSE)))</f>
        <v/>
      </c>
      <c r="N31" s="172" t="str">
        <f>IF(L31="","",IF(VLOOKUP(L31,'G-3 Multipliers'!$L$3:$N$6,3,FALSE)=0,"Spatial Data Missing",VLOOKUP(L31,'G-3 Multipliers'!$L$3:$N$6,3,FALSE)))</f>
        <v/>
      </c>
      <c r="O31" s="171" t="str">
        <f t="shared" si="0"/>
        <v/>
      </c>
      <c r="P31" s="261"/>
      <c r="Q31" s="261"/>
      <c r="R31" s="343" t="str">
        <f t="shared" si="1"/>
        <v/>
      </c>
      <c r="S31" s="352" t="str">
        <f t="shared" si="2"/>
        <v/>
      </c>
      <c r="T31" s="593" t="str">
        <f>IFERROR(IF(S31="Check Data","Check Data",VLOOKUP(S31,'G-4 Temporal multipliers'!$A$4:$C$37,3,FALSE)),"")</f>
        <v/>
      </c>
      <c r="U31" s="592" t="str">
        <f>IF(F31="","",VLOOKUP(F31,'G-3 Multipliers'!$A$2:$E$130,2,FALSE))</f>
        <v/>
      </c>
      <c r="V31" s="343" t="str">
        <f t="shared" si="3"/>
        <v/>
      </c>
      <c r="W31" s="343" t="str">
        <f>IF(E31="","",IF(AND(V31="Standard difficulty applied",O31&gt;P31),U31,IF(AND(V31="Low Difficulty - only applicable if all habitat created before losses",P31&gt;=O31),"Low",VLOOKUP(F31,'G-3 Multipliers'!$A$2:$E$130,4,FALSE))))</f>
        <v/>
      </c>
      <c r="X31" s="345" t="str">
        <f>IFERROR(IF(E31="","",VLOOKUP(W31, 'G-3 Multipliers'!$P$2:$Q$6,2,FALSE)),””)</f>
        <v/>
      </c>
      <c r="Y31" s="266"/>
      <c r="Z31" s="172" t="str">
        <f>IF(Y31="","",IF(VLOOKUP(Y31,'G-3 Multipliers'!$S$3:$T$9,2,FALSE)=0,"Spatial Data Missing",VLOOKUP(Y31,'G-3 Multipliers'!$S$3:$T$9,2,FALSE)))</f>
        <v/>
      </c>
      <c r="AA31" s="265" t="str">
        <f t="shared" si="4"/>
        <v/>
      </c>
      <c r="AB31" s="180"/>
      <c r="AC31" s="181"/>
    </row>
    <row r="32" spans="1:29" ht="13.8" x14ac:dyDescent="0.25">
      <c r="A32" s="35" t="str">
        <f>IFERROR(INDEX('G-8 Condition Look up'!$I$4:$I$131,MATCH(F32,'G-8 Condition Look up'!$A$4:$A$131,0)),"")</f>
        <v/>
      </c>
      <c r="C32" s="363" t="str">
        <f>IFERROR(INDEX('G-1 All Habitats'!$AG$3:$AG$15,MATCH(D32,'G-1 All Habitats'!$AF$3:$AF$15,0)),"")</f>
        <v/>
      </c>
      <c r="D32" s="186"/>
      <c r="E32" s="275"/>
      <c r="F32" s="362" t="str">
        <f>IFERROR(INDEX('G-1 All Habitats'!$B$3:$B$130,MATCH(E32,'G-1 All Habitats'!$A$3:$A$130,0)),"")</f>
        <v/>
      </c>
      <c r="G32" s="598"/>
      <c r="H32" s="239" t="str">
        <f>IF(F32="","",VLOOKUP(F32,'G-1 All Habitats'!$B$2:$M$130,10,FALSE))</f>
        <v/>
      </c>
      <c r="I32" s="176" t="str">
        <f>IFERROR(VLOOKUP(H32,'G-1 All Habitats'!$V$3:$W$7,2,FALSE),"")</f>
        <v/>
      </c>
      <c r="J32" s="270"/>
      <c r="K32" s="176" t="str">
        <f>IFERROR(INDEX('G-8 Condition Look up'!$A$3:$H$131,MATCH(F32,'G-8 Condition Look up'!$A$3:$A$131,0),MATCH(J32,'G-8 Condition Look up'!$A$3:$H$3,0)),"")</f>
        <v/>
      </c>
      <c r="L32" s="173"/>
      <c r="M32" s="269" t="str">
        <f>IF(L32="","",IF(VLOOKUP(L32,'G-3 Multipliers'!$L$3:$N$6,2,FALSE)=0,"Spatial Data Missing",VLOOKUP(L32,'G-3 Multipliers'!$L$3:$N$6,2,FALSE)))</f>
        <v/>
      </c>
      <c r="N32" s="172" t="str">
        <f>IF(L32="","",IF(VLOOKUP(L32,'G-3 Multipliers'!$L$3:$N$6,3,FALSE)=0,"Spatial Data Missing",VLOOKUP(L32,'G-3 Multipliers'!$L$3:$N$6,3,FALSE)))</f>
        <v/>
      </c>
      <c r="O32" s="171" t="str">
        <f t="shared" si="0"/>
        <v/>
      </c>
      <c r="P32" s="261"/>
      <c r="Q32" s="261"/>
      <c r="R32" s="343" t="str">
        <f t="shared" si="1"/>
        <v/>
      </c>
      <c r="S32" s="352" t="str">
        <f t="shared" si="2"/>
        <v/>
      </c>
      <c r="T32" s="593" t="str">
        <f>IFERROR(IF(S32="Check Data","Check Data",VLOOKUP(S32,'G-4 Temporal multipliers'!$A$4:$C$37,3,FALSE)),"")</f>
        <v/>
      </c>
      <c r="U32" s="592" t="str">
        <f>IF(F32="","",VLOOKUP(F32,'G-3 Multipliers'!$A$2:$E$130,2,FALSE))</f>
        <v/>
      </c>
      <c r="V32" s="343" t="str">
        <f t="shared" si="3"/>
        <v/>
      </c>
      <c r="W32" s="343" t="str">
        <f>IF(E32="","",IF(AND(V32="Standard difficulty applied",O32&gt;P32),U32,IF(AND(V32="Low Difficulty - only applicable if all habitat created before losses",P32&gt;=O32),"Low",VLOOKUP(F32,'G-3 Multipliers'!$A$2:$E$130,4,FALSE))))</f>
        <v/>
      </c>
      <c r="X32" s="345" t="str">
        <f>IFERROR(IF(E32="","",VLOOKUP(W32, 'G-3 Multipliers'!$P$2:$Q$6,2,FALSE)),””)</f>
        <v/>
      </c>
      <c r="Y32" s="266"/>
      <c r="Z32" s="172" t="str">
        <f>IF(Y32="","",IF(VLOOKUP(Y32,'G-3 Multipliers'!$S$3:$T$9,2,FALSE)=0,"Spatial Data Missing",VLOOKUP(Y32,'G-3 Multipliers'!$S$3:$T$9,2,FALSE)))</f>
        <v/>
      </c>
      <c r="AA32" s="265" t="str">
        <f t="shared" si="4"/>
        <v/>
      </c>
      <c r="AB32" s="180"/>
      <c r="AC32" s="181"/>
    </row>
    <row r="33" spans="1:29" ht="13.8" x14ac:dyDescent="0.25">
      <c r="A33" s="35" t="str">
        <f>IFERROR(INDEX('G-8 Condition Look up'!$I$4:$I$131,MATCH(F33,'G-8 Condition Look up'!$A$4:$A$131,0)),"")</f>
        <v/>
      </c>
      <c r="C33" s="363" t="str">
        <f>IFERROR(INDEX('G-1 All Habitats'!$AG$3:$AG$15,MATCH(D33,'G-1 All Habitats'!$AF$3:$AF$15,0)),"")</f>
        <v/>
      </c>
      <c r="D33" s="186"/>
      <c r="E33" s="275"/>
      <c r="F33" s="362" t="str">
        <f>IFERROR(INDEX('G-1 All Habitats'!$B$3:$B$130,MATCH(E33,'G-1 All Habitats'!$A$3:$A$130,0)),"")</f>
        <v/>
      </c>
      <c r="G33" s="598"/>
      <c r="H33" s="239" t="str">
        <f>IF(F33="","",VLOOKUP(F33,'G-1 All Habitats'!$B$2:$M$130,10,FALSE))</f>
        <v/>
      </c>
      <c r="I33" s="176" t="str">
        <f>IFERROR(VLOOKUP(H33,'G-1 All Habitats'!$V$3:$W$7,2,FALSE),"")</f>
        <v/>
      </c>
      <c r="J33" s="270"/>
      <c r="K33" s="176" t="str">
        <f>IFERROR(INDEX('G-8 Condition Look up'!$A$3:$H$131,MATCH(F33,'G-8 Condition Look up'!$A$3:$A$131,0),MATCH(J33,'G-8 Condition Look up'!$A$3:$H$3,0)),"")</f>
        <v/>
      </c>
      <c r="L33" s="173"/>
      <c r="M33" s="269" t="str">
        <f>IF(L33="","",IF(VLOOKUP(L33,'G-3 Multipliers'!$L$3:$N$6,2,FALSE)=0,"Spatial Data Missing",VLOOKUP(L33,'G-3 Multipliers'!$L$3:$N$6,2,FALSE)))</f>
        <v/>
      </c>
      <c r="N33" s="172" t="str">
        <f>IF(L33="","",IF(VLOOKUP(L33,'G-3 Multipliers'!$L$3:$N$6,3,FALSE)=0,"Spatial Data Missing",VLOOKUP(L33,'G-3 Multipliers'!$L$3:$N$6,3,FALSE)))</f>
        <v/>
      </c>
      <c r="O33" s="171" t="str">
        <f t="shared" si="0"/>
        <v/>
      </c>
      <c r="P33" s="261"/>
      <c r="Q33" s="261"/>
      <c r="R33" s="343" t="str">
        <f t="shared" si="1"/>
        <v/>
      </c>
      <c r="S33" s="352" t="str">
        <f t="shared" si="2"/>
        <v/>
      </c>
      <c r="T33" s="593" t="str">
        <f>IFERROR(IF(S33="Check Data","Check Data",VLOOKUP(S33,'G-4 Temporal multipliers'!$A$4:$C$37,3,FALSE)),"")</f>
        <v/>
      </c>
      <c r="U33" s="592" t="str">
        <f>IF(F33="","",VLOOKUP(F33,'G-3 Multipliers'!$A$2:$E$130,2,FALSE))</f>
        <v/>
      </c>
      <c r="V33" s="343" t="str">
        <f t="shared" si="3"/>
        <v/>
      </c>
      <c r="W33" s="343" t="str">
        <f>IF(E33="","",IF(AND(V33="Standard difficulty applied",O33&gt;P33),U33,IF(AND(V33="Low Difficulty - only applicable if all habitat created before losses",P33&gt;=O33),"Low",VLOOKUP(F33,'G-3 Multipliers'!$A$2:$E$130,4,FALSE))))</f>
        <v/>
      </c>
      <c r="X33" s="345" t="str">
        <f>IFERROR(IF(E33="","",VLOOKUP(W33, 'G-3 Multipliers'!$P$2:$Q$6,2,FALSE)),””)</f>
        <v/>
      </c>
      <c r="Y33" s="266"/>
      <c r="Z33" s="172" t="str">
        <f>IF(Y33="","",IF(VLOOKUP(Y33,'G-3 Multipliers'!$S$3:$T$9,2,FALSE)=0,"Spatial Data Missing",VLOOKUP(Y33,'G-3 Multipliers'!$S$3:$T$9,2,FALSE)))</f>
        <v/>
      </c>
      <c r="AA33" s="265" t="str">
        <f t="shared" si="4"/>
        <v/>
      </c>
      <c r="AB33" s="180"/>
      <c r="AC33" s="181"/>
    </row>
    <row r="34" spans="1:29" ht="13.8" x14ac:dyDescent="0.25">
      <c r="A34" s="35" t="str">
        <f>IFERROR(INDEX('G-8 Condition Look up'!$I$4:$I$131,MATCH(F34,'G-8 Condition Look up'!$A$4:$A$131,0)),"")</f>
        <v/>
      </c>
      <c r="C34" s="363" t="str">
        <f>IFERROR(INDEX('G-1 All Habitats'!$AG$3:$AG$15,MATCH(D34,'G-1 All Habitats'!$AF$3:$AF$15,0)),"")</f>
        <v/>
      </c>
      <c r="D34" s="186"/>
      <c r="E34" s="275"/>
      <c r="F34" s="362" t="str">
        <f>IFERROR(INDEX('G-1 All Habitats'!$B$3:$B$130,MATCH(E34,'G-1 All Habitats'!$A$3:$A$130,0)),"")</f>
        <v/>
      </c>
      <c r="G34" s="598"/>
      <c r="H34" s="239" t="str">
        <f>IF(F34="","",VLOOKUP(F34,'G-1 All Habitats'!$B$2:$M$130,10,FALSE))</f>
        <v/>
      </c>
      <c r="I34" s="176" t="str">
        <f>IFERROR(VLOOKUP(H34,'G-1 All Habitats'!$V$3:$W$7,2,FALSE),"")</f>
        <v/>
      </c>
      <c r="J34" s="270"/>
      <c r="K34" s="176" t="str">
        <f>IFERROR(INDEX('G-8 Condition Look up'!$A$3:$H$131,MATCH(F34,'G-8 Condition Look up'!$A$3:$A$131,0),MATCH(J34,'G-8 Condition Look up'!$A$3:$H$3,0)),"")</f>
        <v/>
      </c>
      <c r="L34" s="173"/>
      <c r="M34" s="269" t="str">
        <f>IF(L34="","",IF(VLOOKUP(L34,'G-3 Multipliers'!$L$3:$N$6,2,FALSE)=0,"Spatial Data Missing",VLOOKUP(L34,'G-3 Multipliers'!$L$3:$N$6,2,FALSE)))</f>
        <v/>
      </c>
      <c r="N34" s="172" t="str">
        <f>IF(L34="","",IF(VLOOKUP(L34,'G-3 Multipliers'!$L$3:$N$6,3,FALSE)=0,"Spatial Data Missing",VLOOKUP(L34,'G-3 Multipliers'!$L$3:$N$6,3,FALSE)))</f>
        <v/>
      </c>
      <c r="O34" s="171" t="str">
        <f t="shared" si="0"/>
        <v/>
      </c>
      <c r="P34" s="261"/>
      <c r="Q34" s="261"/>
      <c r="R34" s="343" t="str">
        <f t="shared" si="1"/>
        <v/>
      </c>
      <c r="S34" s="352" t="str">
        <f t="shared" si="2"/>
        <v/>
      </c>
      <c r="T34" s="593" t="str">
        <f>IFERROR(IF(S34="Check Data","Check Data",VLOOKUP(S34,'G-4 Temporal multipliers'!$A$4:$C$37,3,FALSE)),"")</f>
        <v/>
      </c>
      <c r="U34" s="592" t="str">
        <f>IF(F34="","",VLOOKUP(F34,'G-3 Multipliers'!$A$2:$E$130,2,FALSE))</f>
        <v/>
      </c>
      <c r="V34" s="343" t="str">
        <f t="shared" si="3"/>
        <v/>
      </c>
      <c r="W34" s="343" t="str">
        <f>IF(E34="","",IF(AND(V34="Standard difficulty applied",O34&gt;P34),U34,IF(AND(V34="Low Difficulty - only applicable if all habitat created before losses",P34&gt;=O34),"Low",VLOOKUP(F34,'G-3 Multipliers'!$A$2:$E$130,4,FALSE))))</f>
        <v/>
      </c>
      <c r="X34" s="345" t="str">
        <f>IFERROR(IF(E34="","",VLOOKUP(W34, 'G-3 Multipliers'!$P$2:$Q$6,2,FALSE)),””)</f>
        <v/>
      </c>
      <c r="Y34" s="266"/>
      <c r="Z34" s="172" t="str">
        <f>IF(Y34="","",IF(VLOOKUP(Y34,'G-3 Multipliers'!$S$3:$T$9,2,FALSE)=0,"Spatial Data Missing",VLOOKUP(Y34,'G-3 Multipliers'!$S$3:$T$9,2,FALSE)))</f>
        <v/>
      </c>
      <c r="AA34" s="265" t="str">
        <f t="shared" si="4"/>
        <v/>
      </c>
      <c r="AB34" s="180"/>
      <c r="AC34" s="181"/>
    </row>
    <row r="35" spans="1:29" ht="13.8" x14ac:dyDescent="0.25">
      <c r="A35" s="35" t="str">
        <f>IFERROR(INDEX('G-8 Condition Look up'!$I$4:$I$131,MATCH(F35,'G-8 Condition Look up'!$A$4:$A$131,0)),"")</f>
        <v/>
      </c>
      <c r="C35" s="363" t="str">
        <f>IFERROR(INDEX('G-1 All Habitats'!$AG$3:$AG$15,MATCH(D35,'G-1 All Habitats'!$AF$3:$AF$15,0)),"")</f>
        <v/>
      </c>
      <c r="D35" s="186"/>
      <c r="E35" s="275"/>
      <c r="F35" s="362" t="str">
        <f>IFERROR(INDEX('G-1 All Habitats'!$B$3:$B$130,MATCH(E35,'G-1 All Habitats'!$A$3:$A$130,0)),"")</f>
        <v/>
      </c>
      <c r="G35" s="598"/>
      <c r="H35" s="239" t="str">
        <f>IF(F35="","",VLOOKUP(F35,'G-1 All Habitats'!$B$2:$M$130,10,FALSE))</f>
        <v/>
      </c>
      <c r="I35" s="176" t="str">
        <f>IFERROR(VLOOKUP(H35,'G-1 All Habitats'!$V$3:$W$7,2,FALSE),"")</f>
        <v/>
      </c>
      <c r="J35" s="270"/>
      <c r="K35" s="176" t="str">
        <f>IFERROR(INDEX('G-8 Condition Look up'!$A$3:$H$131,MATCH(F35,'G-8 Condition Look up'!$A$3:$A$131,0),MATCH(J35,'G-8 Condition Look up'!$A$3:$H$3,0)),"")</f>
        <v/>
      </c>
      <c r="L35" s="173"/>
      <c r="M35" s="269" t="str">
        <f>IF(L35="","",IF(VLOOKUP(L35,'G-3 Multipliers'!$L$3:$N$6,2,FALSE)=0,"Spatial Data Missing",VLOOKUP(L35,'G-3 Multipliers'!$L$3:$N$6,2,FALSE)))</f>
        <v/>
      </c>
      <c r="N35" s="172" t="str">
        <f>IF(L35="","",IF(VLOOKUP(L35,'G-3 Multipliers'!$L$3:$N$6,3,FALSE)=0,"Spatial Data Missing",VLOOKUP(L35,'G-3 Multipliers'!$L$3:$N$6,3,FALSE)))</f>
        <v/>
      </c>
      <c r="O35" s="171" t="str">
        <f t="shared" si="0"/>
        <v/>
      </c>
      <c r="P35" s="261"/>
      <c r="Q35" s="261"/>
      <c r="R35" s="343" t="str">
        <f t="shared" si="1"/>
        <v/>
      </c>
      <c r="S35" s="352" t="str">
        <f t="shared" si="2"/>
        <v/>
      </c>
      <c r="T35" s="593" t="str">
        <f>IFERROR(IF(S35="Check Data","Check Data",VLOOKUP(S35,'G-4 Temporal multipliers'!$A$4:$C$37,3,FALSE)),"")</f>
        <v/>
      </c>
      <c r="U35" s="592" t="str">
        <f>IF(F35="","",VLOOKUP(F35,'G-3 Multipliers'!$A$2:$E$130,2,FALSE))</f>
        <v/>
      </c>
      <c r="V35" s="343" t="str">
        <f t="shared" si="3"/>
        <v/>
      </c>
      <c r="W35" s="343" t="str">
        <f>IF(E35="","",IF(AND(V35="Standard difficulty applied",O35&gt;P35),U35,IF(AND(V35="Low Difficulty - only applicable if all habitat created before losses",P35&gt;=O35),"Low",VLOOKUP(F35,'G-3 Multipliers'!$A$2:$E$130,4,FALSE))))</f>
        <v/>
      </c>
      <c r="X35" s="345" t="str">
        <f>IFERROR(IF(E35="","",VLOOKUP(W35, 'G-3 Multipliers'!$P$2:$Q$6,2,FALSE)),””)</f>
        <v/>
      </c>
      <c r="Y35" s="266"/>
      <c r="Z35" s="172" t="str">
        <f>IF(Y35="","",IF(VLOOKUP(Y35,'G-3 Multipliers'!$S$3:$T$9,2,FALSE)=0,"Spatial Data Missing",VLOOKUP(Y35,'G-3 Multipliers'!$S$3:$T$9,2,FALSE)))</f>
        <v/>
      </c>
      <c r="AA35" s="265" t="str">
        <f t="shared" si="4"/>
        <v/>
      </c>
      <c r="AB35" s="180"/>
      <c r="AC35" s="181"/>
    </row>
    <row r="36" spans="1:29" ht="13.8" x14ac:dyDescent="0.25">
      <c r="A36" s="35" t="str">
        <f>IFERROR(INDEX('G-8 Condition Look up'!$I$4:$I$131,MATCH(F36,'G-8 Condition Look up'!$A$4:$A$131,0)),"")</f>
        <v/>
      </c>
      <c r="C36" s="363" t="str">
        <f>IFERROR(INDEX('G-1 All Habitats'!$AG$3:$AG$15,MATCH(D36,'G-1 All Habitats'!$AF$3:$AF$15,0)),"")</f>
        <v/>
      </c>
      <c r="D36" s="186"/>
      <c r="E36" s="275"/>
      <c r="F36" s="362" t="str">
        <f>IFERROR(INDEX('G-1 All Habitats'!$B$3:$B$130,MATCH(E36,'G-1 All Habitats'!$A$3:$A$130,0)),"")</f>
        <v/>
      </c>
      <c r="G36" s="598"/>
      <c r="H36" s="239" t="str">
        <f>IF(F36="","",VLOOKUP(F36,'G-1 All Habitats'!$B$2:$M$130,10,FALSE))</f>
        <v/>
      </c>
      <c r="I36" s="176" t="str">
        <f>IFERROR(VLOOKUP(H36,'G-1 All Habitats'!$V$3:$W$7,2,FALSE),"")</f>
        <v/>
      </c>
      <c r="J36" s="270"/>
      <c r="K36" s="176" t="str">
        <f>IFERROR(INDEX('G-8 Condition Look up'!$A$3:$H$131,MATCH(F36,'G-8 Condition Look up'!$A$3:$A$131,0),MATCH(J36,'G-8 Condition Look up'!$A$3:$H$3,0)),"")</f>
        <v/>
      </c>
      <c r="L36" s="173"/>
      <c r="M36" s="269" t="str">
        <f>IF(L36="","",IF(VLOOKUP(L36,'G-3 Multipliers'!$L$3:$N$6,2,FALSE)=0,"Spatial Data Missing",VLOOKUP(L36,'G-3 Multipliers'!$L$3:$N$6,2,FALSE)))</f>
        <v/>
      </c>
      <c r="N36" s="172" t="str">
        <f>IF(L36="","",IF(VLOOKUP(L36,'G-3 Multipliers'!$L$3:$N$6,3,FALSE)=0,"Spatial Data Missing",VLOOKUP(L36,'G-3 Multipliers'!$L$3:$N$6,3,FALSE)))</f>
        <v/>
      </c>
      <c r="O36" s="171" t="str">
        <f t="shared" si="0"/>
        <v/>
      </c>
      <c r="P36" s="261"/>
      <c r="Q36" s="261"/>
      <c r="R36" s="343" t="str">
        <f t="shared" si="1"/>
        <v/>
      </c>
      <c r="S36" s="352" t="str">
        <f t="shared" si="2"/>
        <v/>
      </c>
      <c r="T36" s="593" t="str">
        <f>IFERROR(IF(S36="Check Data","Check Data",VLOOKUP(S36,'G-4 Temporal multipliers'!$A$4:$C$37,3,FALSE)),"")</f>
        <v/>
      </c>
      <c r="U36" s="592" t="str">
        <f>IF(F36="","",VLOOKUP(F36,'G-3 Multipliers'!$A$2:$E$130,2,FALSE))</f>
        <v/>
      </c>
      <c r="V36" s="343" t="str">
        <f t="shared" si="3"/>
        <v/>
      </c>
      <c r="W36" s="343" t="str">
        <f>IF(E36="","",IF(AND(V36="Standard difficulty applied",O36&gt;P36),U36,IF(AND(V36="Low Difficulty - only applicable if all habitat created before losses",P36&gt;=O36),"Low",VLOOKUP(F36,'G-3 Multipliers'!$A$2:$E$130,4,FALSE))))</f>
        <v/>
      </c>
      <c r="X36" s="345" t="str">
        <f>IFERROR(IF(E36="","",VLOOKUP(W36, 'G-3 Multipliers'!$P$2:$Q$6,2,FALSE)),””)</f>
        <v/>
      </c>
      <c r="Y36" s="266"/>
      <c r="Z36" s="172" t="str">
        <f>IF(Y36="","",IF(VLOOKUP(Y36,'G-3 Multipliers'!$S$3:$T$9,2,FALSE)=0,"Spatial Data Missing",VLOOKUP(Y36,'G-3 Multipliers'!$S$3:$T$9,2,FALSE)))</f>
        <v/>
      </c>
      <c r="AA36" s="265" t="str">
        <f t="shared" si="4"/>
        <v/>
      </c>
      <c r="AB36" s="180"/>
      <c r="AC36" s="181"/>
    </row>
    <row r="37" spans="1:29" ht="13.8" x14ac:dyDescent="0.25">
      <c r="A37" s="35" t="str">
        <f>IFERROR(INDEX('G-8 Condition Look up'!$I$4:$I$131,MATCH(F37,'G-8 Condition Look up'!$A$4:$A$131,0)),"")</f>
        <v/>
      </c>
      <c r="C37" s="363" t="str">
        <f>IFERROR(INDEX('G-1 All Habitats'!$AG$3:$AG$15,MATCH(D37,'G-1 All Habitats'!$AF$3:$AF$15,0)),"")</f>
        <v/>
      </c>
      <c r="D37" s="186"/>
      <c r="E37" s="275"/>
      <c r="F37" s="362" t="str">
        <f>IFERROR(INDEX('G-1 All Habitats'!$B$3:$B$130,MATCH(E37,'G-1 All Habitats'!$A$3:$A$130,0)),"")</f>
        <v/>
      </c>
      <c r="G37" s="598"/>
      <c r="H37" s="239" t="str">
        <f>IF(F37="","",VLOOKUP(F37,'G-1 All Habitats'!$B$2:$M$130,10,FALSE))</f>
        <v/>
      </c>
      <c r="I37" s="176" t="str">
        <f>IFERROR(VLOOKUP(H37,'G-1 All Habitats'!$V$3:$W$7,2,FALSE),"")</f>
        <v/>
      </c>
      <c r="J37" s="270"/>
      <c r="K37" s="176" t="str">
        <f>IFERROR(INDEX('G-8 Condition Look up'!$A$3:$H$131,MATCH(F37,'G-8 Condition Look up'!$A$3:$A$131,0),MATCH(J37,'G-8 Condition Look up'!$A$3:$H$3,0)),"")</f>
        <v/>
      </c>
      <c r="L37" s="173"/>
      <c r="M37" s="269" t="str">
        <f>IF(L37="","",IF(VLOOKUP(L37,'G-3 Multipliers'!$L$3:$N$6,2,FALSE)=0,"Spatial Data Missing",VLOOKUP(L37,'G-3 Multipliers'!$L$3:$N$6,2,FALSE)))</f>
        <v/>
      </c>
      <c r="N37" s="172" t="str">
        <f>IF(L37="","",IF(VLOOKUP(L37,'G-3 Multipliers'!$L$3:$N$6,3,FALSE)=0,"Spatial Data Missing",VLOOKUP(L37,'G-3 Multipliers'!$L$3:$N$6,3,FALSE)))</f>
        <v/>
      </c>
      <c r="O37" s="171" t="str">
        <f t="shared" si="0"/>
        <v/>
      </c>
      <c r="P37" s="261"/>
      <c r="Q37" s="261"/>
      <c r="R37" s="343" t="str">
        <f t="shared" si="1"/>
        <v/>
      </c>
      <c r="S37" s="352" t="str">
        <f t="shared" si="2"/>
        <v/>
      </c>
      <c r="T37" s="593" t="str">
        <f>IFERROR(IF(S37="Check Data","Check Data",VLOOKUP(S37,'G-4 Temporal multipliers'!$A$4:$C$37,3,FALSE)),"")</f>
        <v/>
      </c>
      <c r="U37" s="592" t="str">
        <f>IF(F37="","",VLOOKUP(F37,'G-3 Multipliers'!$A$2:$E$130,2,FALSE))</f>
        <v/>
      </c>
      <c r="V37" s="343" t="str">
        <f t="shared" si="3"/>
        <v/>
      </c>
      <c r="W37" s="343" t="str">
        <f>IF(E37="","",IF(AND(V37="Standard difficulty applied",O37&gt;P37),U37,IF(AND(V37="Low Difficulty - only applicable if all habitat created before losses",P37&gt;=O37),"Low",VLOOKUP(F37,'G-3 Multipliers'!$A$2:$E$130,4,FALSE))))</f>
        <v/>
      </c>
      <c r="X37" s="345" t="str">
        <f>IFERROR(IF(E37="","",VLOOKUP(W37, 'G-3 Multipliers'!$P$2:$Q$6,2,FALSE)),””)</f>
        <v/>
      </c>
      <c r="Y37" s="266"/>
      <c r="Z37" s="172" t="str">
        <f>IF(Y37="","",IF(VLOOKUP(Y37,'G-3 Multipliers'!$S$3:$T$9,2,FALSE)=0,"Spatial Data Missing",VLOOKUP(Y37,'G-3 Multipliers'!$S$3:$T$9,2,FALSE)))</f>
        <v/>
      </c>
      <c r="AA37" s="265" t="str">
        <f t="shared" si="4"/>
        <v/>
      </c>
      <c r="AB37" s="180"/>
      <c r="AC37" s="181"/>
    </row>
    <row r="38" spans="1:29" ht="13.8" x14ac:dyDescent="0.25">
      <c r="A38" s="35" t="str">
        <f>IFERROR(INDEX('G-8 Condition Look up'!$I$4:$I$131,MATCH(F38,'G-8 Condition Look up'!$A$4:$A$131,0)),"")</f>
        <v/>
      </c>
      <c r="C38" s="363" t="str">
        <f>IFERROR(INDEX('G-1 All Habitats'!$AG$3:$AG$15,MATCH(D38,'G-1 All Habitats'!$AF$3:$AF$15,0)),"")</f>
        <v/>
      </c>
      <c r="D38" s="186"/>
      <c r="E38" s="275"/>
      <c r="F38" s="362" t="str">
        <f>IFERROR(INDEX('G-1 All Habitats'!$B$3:$B$130,MATCH(E38,'G-1 All Habitats'!$A$3:$A$130,0)),"")</f>
        <v/>
      </c>
      <c r="G38" s="598"/>
      <c r="H38" s="239" t="str">
        <f>IF(F38="","",VLOOKUP(F38,'G-1 All Habitats'!$B$2:$M$130,10,FALSE))</f>
        <v/>
      </c>
      <c r="I38" s="176" t="str">
        <f>IFERROR(VLOOKUP(H38,'G-1 All Habitats'!$V$3:$W$7,2,FALSE),"")</f>
        <v/>
      </c>
      <c r="J38" s="270"/>
      <c r="K38" s="176" t="str">
        <f>IFERROR(INDEX('G-8 Condition Look up'!$A$3:$H$131,MATCH(F38,'G-8 Condition Look up'!$A$3:$A$131,0),MATCH(J38,'G-8 Condition Look up'!$A$3:$H$3,0)),"")</f>
        <v/>
      </c>
      <c r="L38" s="173"/>
      <c r="M38" s="269" t="str">
        <f>IF(L38="","",IF(VLOOKUP(L38,'G-3 Multipliers'!$L$3:$N$6,2,FALSE)=0,"Spatial Data Missing",VLOOKUP(L38,'G-3 Multipliers'!$L$3:$N$6,2,FALSE)))</f>
        <v/>
      </c>
      <c r="N38" s="172" t="str">
        <f>IF(L38="","",IF(VLOOKUP(L38,'G-3 Multipliers'!$L$3:$N$6,3,FALSE)=0,"Spatial Data Missing",VLOOKUP(L38,'G-3 Multipliers'!$L$3:$N$6,3,FALSE)))</f>
        <v/>
      </c>
      <c r="O38" s="171" t="str">
        <f t="shared" si="0"/>
        <v/>
      </c>
      <c r="P38" s="261"/>
      <c r="Q38" s="261"/>
      <c r="R38" s="343" t="str">
        <f t="shared" si="1"/>
        <v/>
      </c>
      <c r="S38" s="352" t="str">
        <f t="shared" si="2"/>
        <v/>
      </c>
      <c r="T38" s="593" t="str">
        <f>IFERROR(IF(S38="Check Data","Check Data",VLOOKUP(S38,'G-4 Temporal multipliers'!$A$4:$C$37,3,FALSE)),"")</f>
        <v/>
      </c>
      <c r="U38" s="592" t="str">
        <f>IF(F38="","",VLOOKUP(F38,'G-3 Multipliers'!$A$2:$E$130,2,FALSE))</f>
        <v/>
      </c>
      <c r="V38" s="343" t="str">
        <f t="shared" si="3"/>
        <v/>
      </c>
      <c r="W38" s="343" t="str">
        <f>IF(E38="","",IF(AND(V38="Standard difficulty applied",O38&gt;P38),U38,IF(AND(V38="Low Difficulty - only applicable if all habitat created before losses",P38&gt;=O38),"Low",VLOOKUP(F38,'G-3 Multipliers'!$A$2:$E$130,4,FALSE))))</f>
        <v/>
      </c>
      <c r="X38" s="345" t="str">
        <f>IFERROR(IF(E38="","",VLOOKUP(W38, 'G-3 Multipliers'!$P$2:$Q$6,2,FALSE)),””)</f>
        <v/>
      </c>
      <c r="Y38" s="266"/>
      <c r="Z38" s="172" t="str">
        <f>IF(Y38="","",IF(VLOOKUP(Y38,'G-3 Multipliers'!$S$3:$T$9,2,FALSE)=0,"Spatial Data Missing",VLOOKUP(Y38,'G-3 Multipliers'!$S$3:$T$9,2,FALSE)))</f>
        <v/>
      </c>
      <c r="AA38" s="265" t="str">
        <f t="shared" si="4"/>
        <v/>
      </c>
      <c r="AB38" s="180"/>
      <c r="AC38" s="181"/>
    </row>
    <row r="39" spans="1:29" ht="13.8" x14ac:dyDescent="0.25">
      <c r="A39" s="35" t="str">
        <f>IFERROR(INDEX('G-8 Condition Look up'!$I$4:$I$131,MATCH(F39,'G-8 Condition Look up'!$A$4:$A$131,0)),"")</f>
        <v/>
      </c>
      <c r="C39" s="363" t="str">
        <f>IFERROR(INDEX('G-1 All Habitats'!$AG$3:$AG$15,MATCH(D39,'G-1 All Habitats'!$AF$3:$AF$15,0)),"")</f>
        <v/>
      </c>
      <c r="D39" s="186"/>
      <c r="E39" s="275"/>
      <c r="F39" s="362" t="str">
        <f>IFERROR(INDEX('G-1 All Habitats'!$B$3:$B$130,MATCH(E39,'G-1 All Habitats'!$A$3:$A$130,0)),"")</f>
        <v/>
      </c>
      <c r="G39" s="598"/>
      <c r="H39" s="239" t="str">
        <f>IF(F39="","",VLOOKUP(F39,'G-1 All Habitats'!$B$2:$M$130,10,FALSE))</f>
        <v/>
      </c>
      <c r="I39" s="176" t="str">
        <f>IFERROR(VLOOKUP(H39,'G-1 All Habitats'!$V$3:$W$7,2,FALSE),"")</f>
        <v/>
      </c>
      <c r="J39" s="270"/>
      <c r="K39" s="176" t="str">
        <f>IFERROR(INDEX('G-8 Condition Look up'!$A$3:$H$131,MATCH(F39,'G-8 Condition Look up'!$A$3:$A$131,0),MATCH(J39,'G-8 Condition Look up'!$A$3:$H$3,0)),"")</f>
        <v/>
      </c>
      <c r="L39" s="173"/>
      <c r="M39" s="269" t="str">
        <f>IF(L39="","",IF(VLOOKUP(L39,'G-3 Multipliers'!$L$3:$N$6,2,FALSE)=0,"Spatial Data Missing",VLOOKUP(L39,'G-3 Multipliers'!$L$3:$N$6,2,FALSE)))</f>
        <v/>
      </c>
      <c r="N39" s="172" t="str">
        <f>IF(L39="","",IF(VLOOKUP(L39,'G-3 Multipliers'!$L$3:$N$6,3,FALSE)=0,"Spatial Data Missing",VLOOKUP(L39,'G-3 Multipliers'!$L$3:$N$6,3,FALSE)))</f>
        <v/>
      </c>
      <c r="O39" s="171" t="str">
        <f t="shared" si="0"/>
        <v/>
      </c>
      <c r="P39" s="261"/>
      <c r="Q39" s="261"/>
      <c r="R39" s="343" t="str">
        <f t="shared" si="1"/>
        <v/>
      </c>
      <c r="S39" s="352" t="str">
        <f t="shared" si="2"/>
        <v/>
      </c>
      <c r="T39" s="593" t="str">
        <f>IFERROR(IF(S39="Check Data","Check Data",VLOOKUP(S39,'G-4 Temporal multipliers'!$A$4:$C$37,3,FALSE)),"")</f>
        <v/>
      </c>
      <c r="U39" s="592" t="str">
        <f>IF(F39="","",VLOOKUP(F39,'G-3 Multipliers'!$A$2:$E$130,2,FALSE))</f>
        <v/>
      </c>
      <c r="V39" s="343" t="str">
        <f t="shared" si="3"/>
        <v/>
      </c>
      <c r="W39" s="343" t="str">
        <f>IF(E39="","",IF(AND(V39="Standard difficulty applied",O39&gt;P39),U39,IF(AND(V39="Low Difficulty - only applicable if all habitat created before losses",P39&gt;=O39),"Low",VLOOKUP(F39,'G-3 Multipliers'!$A$2:$E$130,4,FALSE))))</f>
        <v/>
      </c>
      <c r="X39" s="345" t="str">
        <f>IFERROR(IF(E39="","",VLOOKUP(W39, 'G-3 Multipliers'!$P$2:$Q$6,2,FALSE)),””)</f>
        <v/>
      </c>
      <c r="Y39" s="266"/>
      <c r="Z39" s="172" t="str">
        <f>IF(Y39="","",IF(VLOOKUP(Y39,'G-3 Multipliers'!$S$3:$T$9,2,FALSE)=0,"Spatial Data Missing",VLOOKUP(Y39,'G-3 Multipliers'!$S$3:$T$9,2,FALSE)))</f>
        <v/>
      </c>
      <c r="AA39" s="265" t="str">
        <f t="shared" si="4"/>
        <v/>
      </c>
      <c r="AB39" s="180"/>
      <c r="AC39" s="181"/>
    </row>
    <row r="40" spans="1:29" ht="13.8" x14ac:dyDescent="0.25">
      <c r="A40" s="35" t="str">
        <f>IFERROR(INDEX('G-8 Condition Look up'!$I$4:$I$131,MATCH(F40,'G-8 Condition Look up'!$A$4:$A$131,0)),"")</f>
        <v/>
      </c>
      <c r="C40" s="363" t="str">
        <f>IFERROR(INDEX('G-1 All Habitats'!$AG$3:$AG$15,MATCH(D40,'G-1 All Habitats'!$AF$3:$AF$15,0)),"")</f>
        <v/>
      </c>
      <c r="D40" s="186"/>
      <c r="E40" s="275"/>
      <c r="F40" s="362" t="str">
        <f>IFERROR(INDEX('G-1 All Habitats'!$B$3:$B$130,MATCH(E40,'G-1 All Habitats'!$A$3:$A$130,0)),"")</f>
        <v/>
      </c>
      <c r="G40" s="598"/>
      <c r="H40" s="239" t="str">
        <f>IF(F40="","",VLOOKUP(F40,'G-1 All Habitats'!$B$2:$M$130,10,FALSE))</f>
        <v/>
      </c>
      <c r="I40" s="176" t="str">
        <f>IFERROR(VLOOKUP(H40,'G-1 All Habitats'!$V$3:$W$7,2,FALSE),"")</f>
        <v/>
      </c>
      <c r="J40" s="270"/>
      <c r="K40" s="176" t="str">
        <f>IFERROR(INDEX('G-8 Condition Look up'!$A$3:$H$131,MATCH(F40,'G-8 Condition Look up'!$A$3:$A$131,0),MATCH(J40,'G-8 Condition Look up'!$A$3:$H$3,0)),"")</f>
        <v/>
      </c>
      <c r="L40" s="173"/>
      <c r="M40" s="269" t="str">
        <f>IF(L40="","",IF(VLOOKUP(L40,'G-3 Multipliers'!$L$3:$N$6,2,FALSE)=0,"Spatial Data Missing",VLOOKUP(L40,'G-3 Multipliers'!$L$3:$N$6,2,FALSE)))</f>
        <v/>
      </c>
      <c r="N40" s="172" t="str">
        <f>IF(L40="","",IF(VLOOKUP(L40,'G-3 Multipliers'!$L$3:$N$6,3,FALSE)=0,"Spatial Data Missing",VLOOKUP(L40,'G-3 Multipliers'!$L$3:$N$6,3,FALSE)))</f>
        <v/>
      </c>
      <c r="O40" s="171" t="str">
        <f t="shared" si="0"/>
        <v/>
      </c>
      <c r="P40" s="261"/>
      <c r="Q40" s="261"/>
      <c r="R40" s="343" t="str">
        <f t="shared" si="1"/>
        <v/>
      </c>
      <c r="S40" s="352" t="str">
        <f t="shared" si="2"/>
        <v/>
      </c>
      <c r="T40" s="593" t="str">
        <f>IFERROR(IF(S40="Check Data","Check Data",VLOOKUP(S40,'G-4 Temporal multipliers'!$A$4:$C$37,3,FALSE)),"")</f>
        <v/>
      </c>
      <c r="U40" s="592" t="str">
        <f>IF(F40="","",VLOOKUP(F40,'G-3 Multipliers'!$A$2:$E$130,2,FALSE))</f>
        <v/>
      </c>
      <c r="V40" s="343" t="str">
        <f t="shared" si="3"/>
        <v/>
      </c>
      <c r="W40" s="343" t="str">
        <f>IF(E40="","",IF(AND(V40="Standard difficulty applied",O40&gt;P40),U40,IF(AND(V40="Low Difficulty - only applicable if all habitat created before losses",P40&gt;=O40),"Low",VLOOKUP(F40,'G-3 Multipliers'!$A$2:$E$130,4,FALSE))))</f>
        <v/>
      </c>
      <c r="X40" s="345" t="str">
        <f>IFERROR(IF(E40="","",VLOOKUP(W40, 'G-3 Multipliers'!$P$2:$Q$6,2,FALSE)),””)</f>
        <v/>
      </c>
      <c r="Y40" s="266"/>
      <c r="Z40" s="172" t="str">
        <f>IF(Y40="","",IF(VLOOKUP(Y40,'G-3 Multipliers'!$S$3:$T$9,2,FALSE)=0,"Spatial Data Missing",VLOOKUP(Y40,'G-3 Multipliers'!$S$3:$T$9,2,FALSE)))</f>
        <v/>
      </c>
      <c r="AA40" s="265" t="str">
        <f t="shared" si="4"/>
        <v/>
      </c>
      <c r="AB40" s="180"/>
      <c r="AC40" s="181"/>
    </row>
    <row r="41" spans="1:29" ht="13.8" x14ac:dyDescent="0.25">
      <c r="A41" s="35" t="str">
        <f>IFERROR(INDEX('G-8 Condition Look up'!$I$4:$I$131,MATCH(F41,'G-8 Condition Look up'!$A$4:$A$131,0)),"")</f>
        <v/>
      </c>
      <c r="C41" s="363" t="str">
        <f>IFERROR(INDEX('G-1 All Habitats'!$AG$3:$AG$15,MATCH(D41,'G-1 All Habitats'!$AF$3:$AF$15,0)),"")</f>
        <v/>
      </c>
      <c r="D41" s="186"/>
      <c r="E41" s="275"/>
      <c r="F41" s="362" t="str">
        <f>IFERROR(INDEX('G-1 All Habitats'!$B$3:$B$130,MATCH(E41,'G-1 All Habitats'!$A$3:$A$130,0)),"")</f>
        <v/>
      </c>
      <c r="G41" s="598"/>
      <c r="H41" s="239" t="str">
        <f>IF(F41="","",VLOOKUP(F41,'G-1 All Habitats'!$B$2:$M$130,10,FALSE))</f>
        <v/>
      </c>
      <c r="I41" s="176" t="str">
        <f>IFERROR(VLOOKUP(H41,'G-1 All Habitats'!$V$3:$W$7,2,FALSE),"")</f>
        <v/>
      </c>
      <c r="J41" s="270"/>
      <c r="K41" s="176" t="str">
        <f>IFERROR(INDEX('G-8 Condition Look up'!$A$3:$H$131,MATCH(F41,'G-8 Condition Look up'!$A$3:$A$131,0),MATCH(J41,'G-8 Condition Look up'!$A$3:$H$3,0)),"")</f>
        <v/>
      </c>
      <c r="L41" s="173"/>
      <c r="M41" s="269" t="str">
        <f>IF(L41="","",IF(VLOOKUP(L41,'G-3 Multipliers'!$L$3:$N$6,2,FALSE)=0,"Spatial Data Missing",VLOOKUP(L41,'G-3 Multipliers'!$L$3:$N$6,2,FALSE)))</f>
        <v/>
      </c>
      <c r="N41" s="172" t="str">
        <f>IF(L41="","",IF(VLOOKUP(L41,'G-3 Multipliers'!$L$3:$N$6,3,FALSE)=0,"Spatial Data Missing",VLOOKUP(L41,'G-3 Multipliers'!$L$3:$N$6,3,FALSE)))</f>
        <v/>
      </c>
      <c r="O41" s="171" t="str">
        <f t="shared" si="0"/>
        <v/>
      </c>
      <c r="P41" s="261"/>
      <c r="Q41" s="261"/>
      <c r="R41" s="343" t="str">
        <f t="shared" si="1"/>
        <v/>
      </c>
      <c r="S41" s="352" t="str">
        <f t="shared" si="2"/>
        <v/>
      </c>
      <c r="T41" s="593" t="str">
        <f>IFERROR(IF(S41="Check Data","Check Data",VLOOKUP(S41,'G-4 Temporal multipliers'!$A$4:$C$37,3,FALSE)),"")</f>
        <v/>
      </c>
      <c r="U41" s="592" t="str">
        <f>IF(F41="","",VLOOKUP(F41,'G-3 Multipliers'!$A$2:$E$130,2,FALSE))</f>
        <v/>
      </c>
      <c r="V41" s="343" t="str">
        <f t="shared" si="3"/>
        <v/>
      </c>
      <c r="W41" s="343" t="str">
        <f>IF(E41="","",IF(AND(V41="Standard difficulty applied",O41&gt;P41),U41,IF(AND(V41="Low Difficulty - only applicable if all habitat created before losses",P41&gt;=O41),"Low",VLOOKUP(F41,'G-3 Multipliers'!$A$2:$E$130,4,FALSE))))</f>
        <v/>
      </c>
      <c r="X41" s="345" t="str">
        <f>IFERROR(IF(E41="","",VLOOKUP(W41, 'G-3 Multipliers'!$P$2:$Q$6,2,FALSE)),””)</f>
        <v/>
      </c>
      <c r="Y41" s="266"/>
      <c r="Z41" s="172" t="str">
        <f>IF(Y41="","",IF(VLOOKUP(Y41,'G-3 Multipliers'!$S$3:$T$9,2,FALSE)=0,"Spatial Data Missing",VLOOKUP(Y41,'G-3 Multipliers'!$S$3:$T$9,2,FALSE)))</f>
        <v/>
      </c>
      <c r="AA41" s="265" t="str">
        <f t="shared" si="4"/>
        <v/>
      </c>
      <c r="AB41" s="180"/>
      <c r="AC41" s="181"/>
    </row>
    <row r="42" spans="1:29" ht="13.8" x14ac:dyDescent="0.25">
      <c r="A42" s="35" t="str">
        <f>IFERROR(INDEX('G-8 Condition Look up'!$I$4:$I$131,MATCH(F42,'G-8 Condition Look up'!$A$4:$A$131,0)),"")</f>
        <v/>
      </c>
      <c r="C42" s="363" t="str">
        <f>IFERROR(INDEX('G-1 All Habitats'!$AG$3:$AG$15,MATCH(D42,'G-1 All Habitats'!$AF$3:$AF$15,0)),"")</f>
        <v/>
      </c>
      <c r="D42" s="186"/>
      <c r="E42" s="275"/>
      <c r="F42" s="362" t="str">
        <f>IFERROR(INDEX('G-1 All Habitats'!$B$3:$B$130,MATCH(E42,'G-1 All Habitats'!$A$3:$A$130,0)),"")</f>
        <v/>
      </c>
      <c r="G42" s="598"/>
      <c r="H42" s="239" t="str">
        <f>IF(F42="","",VLOOKUP(F42,'G-1 All Habitats'!$B$2:$M$130,10,FALSE))</f>
        <v/>
      </c>
      <c r="I42" s="176" t="str">
        <f>IFERROR(VLOOKUP(H42,'G-1 All Habitats'!$V$3:$W$7,2,FALSE),"")</f>
        <v/>
      </c>
      <c r="J42" s="270"/>
      <c r="K42" s="176" t="str">
        <f>IFERROR(INDEX('G-8 Condition Look up'!$A$3:$H$131,MATCH(F42,'G-8 Condition Look up'!$A$3:$A$131,0),MATCH(J42,'G-8 Condition Look up'!$A$3:$H$3,0)),"")</f>
        <v/>
      </c>
      <c r="L42" s="173"/>
      <c r="M42" s="269" t="str">
        <f>IF(L42="","",IF(VLOOKUP(L42,'G-3 Multipliers'!$L$3:$N$6,2,FALSE)=0,"Spatial Data Missing",VLOOKUP(L42,'G-3 Multipliers'!$L$3:$N$6,2,FALSE)))</f>
        <v/>
      </c>
      <c r="N42" s="172" t="str">
        <f>IF(L42="","",IF(VLOOKUP(L42,'G-3 Multipliers'!$L$3:$N$6,3,FALSE)=0,"Spatial Data Missing",VLOOKUP(L42,'G-3 Multipliers'!$L$3:$N$6,3,FALSE)))</f>
        <v/>
      </c>
      <c r="O42" s="171" t="str">
        <f t="shared" si="0"/>
        <v/>
      </c>
      <c r="P42" s="261"/>
      <c r="Q42" s="261"/>
      <c r="R42" s="343" t="str">
        <f t="shared" si="1"/>
        <v/>
      </c>
      <c r="S42" s="352" t="str">
        <f t="shared" si="2"/>
        <v/>
      </c>
      <c r="T42" s="593" t="str">
        <f>IFERROR(IF(S42="Check Data","Check Data",VLOOKUP(S42,'G-4 Temporal multipliers'!$A$4:$C$37,3,FALSE)),"")</f>
        <v/>
      </c>
      <c r="U42" s="592" t="str">
        <f>IF(F42="","",VLOOKUP(F42,'G-3 Multipliers'!$A$2:$E$130,2,FALSE))</f>
        <v/>
      </c>
      <c r="V42" s="343" t="str">
        <f t="shared" si="3"/>
        <v/>
      </c>
      <c r="W42" s="343" t="str">
        <f>IF(E42="","",IF(AND(V42="Standard difficulty applied",O42&gt;P42),U42,IF(AND(V42="Low Difficulty - only applicable if all habitat created before losses",P42&gt;=O42),"Low",VLOOKUP(F42,'G-3 Multipliers'!$A$2:$E$130,4,FALSE))))</f>
        <v/>
      </c>
      <c r="X42" s="345" t="str">
        <f>IFERROR(IF(E42="","",VLOOKUP(W42, 'G-3 Multipliers'!$P$2:$Q$6,2,FALSE)),””)</f>
        <v/>
      </c>
      <c r="Y42" s="266"/>
      <c r="Z42" s="172" t="str">
        <f>IF(Y42="","",IF(VLOOKUP(Y42,'G-3 Multipliers'!$S$3:$T$9,2,FALSE)=0,"Spatial Data Missing",VLOOKUP(Y42,'G-3 Multipliers'!$S$3:$T$9,2,FALSE)))</f>
        <v/>
      </c>
      <c r="AA42" s="265" t="str">
        <f t="shared" si="4"/>
        <v/>
      </c>
      <c r="AB42" s="180"/>
      <c r="AC42" s="181"/>
    </row>
    <row r="43" spans="1:29" ht="13.8" x14ac:dyDescent="0.25">
      <c r="A43" s="35" t="str">
        <f>IFERROR(INDEX('G-8 Condition Look up'!$I$4:$I$131,MATCH(F43,'G-8 Condition Look up'!$A$4:$A$131,0)),"")</f>
        <v/>
      </c>
      <c r="C43" s="363" t="str">
        <f>IFERROR(INDEX('G-1 All Habitats'!$AG$3:$AG$15,MATCH(D43,'G-1 All Habitats'!$AF$3:$AF$15,0)),"")</f>
        <v/>
      </c>
      <c r="D43" s="186"/>
      <c r="E43" s="275"/>
      <c r="F43" s="362" t="str">
        <f>IFERROR(INDEX('G-1 All Habitats'!$B$3:$B$130,MATCH(E43,'G-1 All Habitats'!$A$3:$A$130,0)),"")</f>
        <v/>
      </c>
      <c r="G43" s="598"/>
      <c r="H43" s="239" t="str">
        <f>IF(F43="","",VLOOKUP(F43,'G-1 All Habitats'!$B$2:$M$130,10,FALSE))</f>
        <v/>
      </c>
      <c r="I43" s="176" t="str">
        <f>IFERROR(VLOOKUP(H43,'G-1 All Habitats'!$V$3:$W$7,2,FALSE),"")</f>
        <v/>
      </c>
      <c r="J43" s="270"/>
      <c r="K43" s="176" t="str">
        <f>IFERROR(INDEX('G-8 Condition Look up'!$A$3:$H$131,MATCH(F43,'G-8 Condition Look up'!$A$3:$A$131,0),MATCH(J43,'G-8 Condition Look up'!$A$3:$H$3,0)),"")</f>
        <v/>
      </c>
      <c r="L43" s="173"/>
      <c r="M43" s="269" t="str">
        <f>IF(L43="","",IF(VLOOKUP(L43,'G-3 Multipliers'!$L$3:$N$6,2,FALSE)=0,"Spatial Data Missing",VLOOKUP(L43,'G-3 Multipliers'!$L$3:$N$6,2,FALSE)))</f>
        <v/>
      </c>
      <c r="N43" s="172" t="str">
        <f>IF(L43="","",IF(VLOOKUP(L43,'G-3 Multipliers'!$L$3:$N$6,3,FALSE)=0,"Spatial Data Missing",VLOOKUP(L43,'G-3 Multipliers'!$L$3:$N$6,3,FALSE)))</f>
        <v/>
      </c>
      <c r="O43" s="171" t="str">
        <f t="shared" si="0"/>
        <v/>
      </c>
      <c r="P43" s="261"/>
      <c r="Q43" s="261"/>
      <c r="R43" s="343" t="str">
        <f t="shared" si="1"/>
        <v/>
      </c>
      <c r="S43" s="352" t="str">
        <f t="shared" si="2"/>
        <v/>
      </c>
      <c r="T43" s="593" t="str">
        <f>IFERROR(IF(S43="Check Data","Check Data",VLOOKUP(S43,'G-4 Temporal multipliers'!$A$4:$C$37,3,FALSE)),"")</f>
        <v/>
      </c>
      <c r="U43" s="592" t="str">
        <f>IF(F43="","",VLOOKUP(F43,'G-3 Multipliers'!$A$2:$E$130,2,FALSE))</f>
        <v/>
      </c>
      <c r="V43" s="343" t="str">
        <f t="shared" si="3"/>
        <v/>
      </c>
      <c r="W43" s="343" t="str">
        <f>IF(E43="","",IF(AND(V43="Standard difficulty applied",O43&gt;P43),U43,IF(AND(V43="Low Difficulty - only applicable if all habitat created before losses",P43&gt;=O43),"Low",VLOOKUP(F43,'G-3 Multipliers'!$A$2:$E$130,4,FALSE))))</f>
        <v/>
      </c>
      <c r="X43" s="345" t="str">
        <f>IFERROR(IF(E43="","",VLOOKUP(W43, 'G-3 Multipliers'!$P$2:$Q$6,2,FALSE)),””)</f>
        <v/>
      </c>
      <c r="Y43" s="266"/>
      <c r="Z43" s="172" t="str">
        <f>IF(Y43="","",IF(VLOOKUP(Y43,'G-3 Multipliers'!$S$3:$T$9,2,FALSE)=0,"Spatial Data Missing",VLOOKUP(Y43,'G-3 Multipliers'!$S$3:$T$9,2,FALSE)))</f>
        <v/>
      </c>
      <c r="AA43" s="265" t="str">
        <f t="shared" si="4"/>
        <v/>
      </c>
      <c r="AB43" s="180"/>
      <c r="AC43" s="181"/>
    </row>
    <row r="44" spans="1:29" ht="13.8" x14ac:dyDescent="0.25">
      <c r="A44" s="35" t="str">
        <f>IFERROR(INDEX('G-8 Condition Look up'!$I$4:$I$131,MATCH(F44,'G-8 Condition Look up'!$A$4:$A$131,0)),"")</f>
        <v/>
      </c>
      <c r="C44" s="363" t="str">
        <f>IFERROR(INDEX('G-1 All Habitats'!$AG$3:$AG$15,MATCH(D44,'G-1 All Habitats'!$AF$3:$AF$15,0)),"")</f>
        <v/>
      </c>
      <c r="D44" s="186"/>
      <c r="E44" s="275"/>
      <c r="F44" s="362" t="str">
        <f>IFERROR(INDEX('G-1 All Habitats'!$B$3:$B$130,MATCH(E44,'G-1 All Habitats'!$A$3:$A$130,0)),"")</f>
        <v/>
      </c>
      <c r="G44" s="598"/>
      <c r="H44" s="239" t="str">
        <f>IF(F44="","",VLOOKUP(F44,'G-1 All Habitats'!$B$2:$M$130,10,FALSE))</f>
        <v/>
      </c>
      <c r="I44" s="176" t="str">
        <f>IFERROR(VLOOKUP(H44,'G-1 All Habitats'!$V$3:$W$7,2,FALSE),"")</f>
        <v/>
      </c>
      <c r="J44" s="270"/>
      <c r="K44" s="176" t="str">
        <f>IFERROR(INDEX('G-8 Condition Look up'!$A$3:$H$131,MATCH(F44,'G-8 Condition Look up'!$A$3:$A$131,0),MATCH(J44,'G-8 Condition Look up'!$A$3:$H$3,0)),"")</f>
        <v/>
      </c>
      <c r="L44" s="173"/>
      <c r="M44" s="269" t="str">
        <f>IF(L44="","",IF(VLOOKUP(L44,'G-3 Multipliers'!$L$3:$N$6,2,FALSE)=0,"Spatial Data Missing",VLOOKUP(L44,'G-3 Multipliers'!$L$3:$N$6,2,FALSE)))</f>
        <v/>
      </c>
      <c r="N44" s="172" t="str">
        <f>IF(L44="","",IF(VLOOKUP(L44,'G-3 Multipliers'!$L$3:$N$6,3,FALSE)=0,"Spatial Data Missing",VLOOKUP(L44,'G-3 Multipliers'!$L$3:$N$6,3,FALSE)))</f>
        <v/>
      </c>
      <c r="O44" s="171" t="str">
        <f t="shared" si="0"/>
        <v/>
      </c>
      <c r="P44" s="261"/>
      <c r="Q44" s="261"/>
      <c r="R44" s="343" t="str">
        <f t="shared" si="1"/>
        <v/>
      </c>
      <c r="S44" s="352" t="str">
        <f t="shared" si="2"/>
        <v/>
      </c>
      <c r="T44" s="593" t="str">
        <f>IFERROR(IF(S44="Check Data","Check Data",VLOOKUP(S44,'G-4 Temporal multipliers'!$A$4:$C$37,3,FALSE)),"")</f>
        <v/>
      </c>
      <c r="U44" s="592" t="str">
        <f>IF(F44="","",VLOOKUP(F44,'G-3 Multipliers'!$A$2:$E$130,2,FALSE))</f>
        <v/>
      </c>
      <c r="V44" s="343" t="str">
        <f t="shared" si="3"/>
        <v/>
      </c>
      <c r="W44" s="343" t="str">
        <f>IF(E44="","",IF(AND(V44="Standard difficulty applied",O44&gt;P44),U44,IF(AND(V44="Low Difficulty - only applicable if all habitat created before losses",P44&gt;=O44),"Low",VLOOKUP(F44,'G-3 Multipliers'!$A$2:$E$130,4,FALSE))))</f>
        <v/>
      </c>
      <c r="X44" s="345" t="str">
        <f>IFERROR(IF(E44="","",VLOOKUP(W44, 'G-3 Multipliers'!$P$2:$Q$6,2,FALSE)),””)</f>
        <v/>
      </c>
      <c r="Y44" s="266"/>
      <c r="Z44" s="172" t="str">
        <f>IF(Y44="","",IF(VLOOKUP(Y44,'G-3 Multipliers'!$S$3:$T$9,2,FALSE)=0,"Spatial Data Missing",VLOOKUP(Y44,'G-3 Multipliers'!$S$3:$T$9,2,FALSE)))</f>
        <v/>
      </c>
      <c r="AA44" s="265" t="str">
        <f t="shared" si="4"/>
        <v/>
      </c>
      <c r="AB44" s="180"/>
      <c r="AC44" s="181"/>
    </row>
    <row r="45" spans="1:29" ht="13.8" x14ac:dyDescent="0.25">
      <c r="A45" s="35" t="str">
        <f>IFERROR(INDEX('G-8 Condition Look up'!$I$4:$I$131,MATCH(F45,'G-8 Condition Look up'!$A$4:$A$131,0)),"")</f>
        <v/>
      </c>
      <c r="C45" s="363" t="str">
        <f>IFERROR(INDEX('G-1 All Habitats'!$AG$3:$AG$15,MATCH(D45,'G-1 All Habitats'!$AF$3:$AF$15,0)),"")</f>
        <v/>
      </c>
      <c r="D45" s="186"/>
      <c r="E45" s="275"/>
      <c r="F45" s="362" t="str">
        <f>IFERROR(INDEX('G-1 All Habitats'!$B$3:$B$130,MATCH(E45,'G-1 All Habitats'!$A$3:$A$130,0)),"")</f>
        <v/>
      </c>
      <c r="G45" s="598"/>
      <c r="H45" s="239" t="str">
        <f>IF(F45="","",VLOOKUP(F45,'G-1 All Habitats'!$B$2:$M$130,10,FALSE))</f>
        <v/>
      </c>
      <c r="I45" s="176" t="str">
        <f>IFERROR(VLOOKUP(H45,'G-1 All Habitats'!$V$3:$W$7,2,FALSE),"")</f>
        <v/>
      </c>
      <c r="J45" s="270"/>
      <c r="K45" s="176" t="str">
        <f>IFERROR(INDEX('G-8 Condition Look up'!$A$3:$H$131,MATCH(F45,'G-8 Condition Look up'!$A$3:$A$131,0),MATCH(J45,'G-8 Condition Look up'!$A$3:$H$3,0)),"")</f>
        <v/>
      </c>
      <c r="L45" s="173"/>
      <c r="M45" s="269" t="str">
        <f>IF(L45="","",IF(VLOOKUP(L45,'G-3 Multipliers'!$L$3:$N$6,2,FALSE)=0,"Spatial Data Missing",VLOOKUP(L45,'G-3 Multipliers'!$L$3:$N$6,2,FALSE)))</f>
        <v/>
      </c>
      <c r="N45" s="172" t="str">
        <f>IF(L45="","",IF(VLOOKUP(L45,'G-3 Multipliers'!$L$3:$N$6,3,FALSE)=0,"Spatial Data Missing",VLOOKUP(L45,'G-3 Multipliers'!$L$3:$N$6,3,FALSE)))</f>
        <v/>
      </c>
      <c r="O45" s="171" t="str">
        <f t="shared" si="0"/>
        <v/>
      </c>
      <c r="P45" s="261"/>
      <c r="Q45" s="261"/>
      <c r="R45" s="343" t="str">
        <f t="shared" si="1"/>
        <v/>
      </c>
      <c r="S45" s="352" t="str">
        <f t="shared" si="2"/>
        <v/>
      </c>
      <c r="T45" s="593" t="str">
        <f>IFERROR(IF(S45="Check Data","Check Data",VLOOKUP(S45,'G-4 Temporal multipliers'!$A$4:$C$37,3,FALSE)),"")</f>
        <v/>
      </c>
      <c r="U45" s="592" t="str">
        <f>IF(F45="","",VLOOKUP(F45,'G-3 Multipliers'!$A$2:$E$130,2,FALSE))</f>
        <v/>
      </c>
      <c r="V45" s="343" t="str">
        <f t="shared" si="3"/>
        <v/>
      </c>
      <c r="W45" s="343" t="str">
        <f>IF(E45="","",IF(AND(V45="Standard difficulty applied",O45&gt;P45),U45,IF(AND(V45="Low Difficulty - only applicable if all habitat created before losses",P45&gt;=O45),"Low",VLOOKUP(F45,'G-3 Multipliers'!$A$2:$E$130,4,FALSE))))</f>
        <v/>
      </c>
      <c r="X45" s="345" t="str">
        <f>IFERROR(IF(E45="","",VLOOKUP(W45, 'G-3 Multipliers'!$P$2:$Q$6,2,FALSE)),””)</f>
        <v/>
      </c>
      <c r="Y45" s="266"/>
      <c r="Z45" s="172" t="str">
        <f>IF(Y45="","",IF(VLOOKUP(Y45,'G-3 Multipliers'!$S$3:$T$9,2,FALSE)=0,"Spatial Data Missing",VLOOKUP(Y45,'G-3 Multipliers'!$S$3:$T$9,2,FALSE)))</f>
        <v/>
      </c>
      <c r="AA45" s="265" t="str">
        <f t="shared" si="4"/>
        <v/>
      </c>
      <c r="AB45" s="180"/>
      <c r="AC45" s="181"/>
    </row>
    <row r="46" spans="1:29" ht="13.8" x14ac:dyDescent="0.25">
      <c r="A46" s="35" t="str">
        <f>IFERROR(INDEX('G-8 Condition Look up'!$I$4:$I$131,MATCH(F46,'G-8 Condition Look up'!$A$4:$A$131,0)),"")</f>
        <v/>
      </c>
      <c r="C46" s="363" t="str">
        <f>IFERROR(INDEX('G-1 All Habitats'!$AG$3:$AG$15,MATCH(D46,'G-1 All Habitats'!$AF$3:$AF$15,0)),"")</f>
        <v/>
      </c>
      <c r="D46" s="186"/>
      <c r="E46" s="275"/>
      <c r="F46" s="362" t="str">
        <f>IFERROR(INDEX('G-1 All Habitats'!$B$3:$B$130,MATCH(E46,'G-1 All Habitats'!$A$3:$A$130,0)),"")</f>
        <v/>
      </c>
      <c r="G46" s="598"/>
      <c r="H46" s="239" t="str">
        <f>IF(F46="","",VLOOKUP(F46,'G-1 All Habitats'!$B$2:$M$130,10,FALSE))</f>
        <v/>
      </c>
      <c r="I46" s="176" t="str">
        <f>IFERROR(VLOOKUP(H46,'G-1 All Habitats'!$V$3:$W$7,2,FALSE),"")</f>
        <v/>
      </c>
      <c r="J46" s="270"/>
      <c r="K46" s="176" t="str">
        <f>IFERROR(INDEX('G-8 Condition Look up'!$A$3:$H$131,MATCH(F46,'G-8 Condition Look up'!$A$3:$A$131,0),MATCH(J46,'G-8 Condition Look up'!$A$3:$H$3,0)),"")</f>
        <v/>
      </c>
      <c r="L46" s="173"/>
      <c r="M46" s="269" t="str">
        <f>IF(L46="","",IF(VLOOKUP(L46,'G-3 Multipliers'!$L$3:$N$6,2,FALSE)=0,"Spatial Data Missing",VLOOKUP(L46,'G-3 Multipliers'!$L$3:$N$6,2,FALSE)))</f>
        <v/>
      </c>
      <c r="N46" s="172" t="str">
        <f>IF(L46="","",IF(VLOOKUP(L46,'G-3 Multipliers'!$L$3:$N$6,3,FALSE)=0,"Spatial Data Missing",VLOOKUP(L46,'G-3 Multipliers'!$L$3:$N$6,3,FALSE)))</f>
        <v/>
      </c>
      <c r="O46" s="171" t="str">
        <f t="shared" si="0"/>
        <v/>
      </c>
      <c r="P46" s="261"/>
      <c r="Q46" s="261"/>
      <c r="R46" s="343" t="str">
        <f t="shared" si="1"/>
        <v/>
      </c>
      <c r="S46" s="352" t="str">
        <f t="shared" si="2"/>
        <v/>
      </c>
      <c r="T46" s="593" t="str">
        <f>IFERROR(IF(S46="Check Data","Check Data",VLOOKUP(S46,'G-4 Temporal multipliers'!$A$4:$C$37,3,FALSE)),"")</f>
        <v/>
      </c>
      <c r="U46" s="592" t="str">
        <f>IF(F46="","",VLOOKUP(F46,'G-3 Multipliers'!$A$2:$E$130,2,FALSE))</f>
        <v/>
      </c>
      <c r="V46" s="343" t="str">
        <f t="shared" si="3"/>
        <v/>
      </c>
      <c r="W46" s="343" t="str">
        <f>IF(E46="","",IF(AND(V46="Standard difficulty applied",O46&gt;P46),U46,IF(AND(V46="Low Difficulty - only applicable if all habitat created before losses",P46&gt;=O46),"Low",VLOOKUP(F46,'G-3 Multipliers'!$A$2:$E$130,4,FALSE))))</f>
        <v/>
      </c>
      <c r="X46" s="345" t="str">
        <f>IFERROR(IF(E46="","",VLOOKUP(W46, 'G-3 Multipliers'!$P$2:$Q$6,2,FALSE)),””)</f>
        <v/>
      </c>
      <c r="Y46" s="266"/>
      <c r="Z46" s="172" t="str">
        <f>IF(Y46="","",IF(VLOOKUP(Y46,'G-3 Multipliers'!$S$3:$T$9,2,FALSE)=0,"Spatial Data Missing",VLOOKUP(Y46,'G-3 Multipliers'!$S$3:$T$9,2,FALSE)))</f>
        <v/>
      </c>
      <c r="AA46" s="265" t="str">
        <f t="shared" si="4"/>
        <v/>
      </c>
      <c r="AB46" s="180"/>
      <c r="AC46" s="181"/>
    </row>
    <row r="47" spans="1:29" ht="13.8" x14ac:dyDescent="0.25">
      <c r="A47" s="35" t="str">
        <f>IFERROR(INDEX('G-8 Condition Look up'!$I$4:$I$131,MATCH(F47,'G-8 Condition Look up'!$A$4:$A$131,0)),"")</f>
        <v/>
      </c>
      <c r="C47" s="363" t="str">
        <f>IFERROR(INDEX('G-1 All Habitats'!$AG$3:$AG$15,MATCH(D47,'G-1 All Habitats'!$AF$3:$AF$15,0)),"")</f>
        <v/>
      </c>
      <c r="D47" s="186"/>
      <c r="E47" s="275"/>
      <c r="F47" s="362" t="str">
        <f>IFERROR(INDEX('G-1 All Habitats'!$B$3:$B$130,MATCH(E47,'G-1 All Habitats'!$A$3:$A$130,0)),"")</f>
        <v/>
      </c>
      <c r="G47" s="598"/>
      <c r="H47" s="239" t="str">
        <f>IF(F47="","",VLOOKUP(F47,'G-1 All Habitats'!$B$2:$M$130,10,FALSE))</f>
        <v/>
      </c>
      <c r="I47" s="176" t="str">
        <f>IFERROR(VLOOKUP(H47,'G-1 All Habitats'!$V$3:$W$7,2,FALSE),"")</f>
        <v/>
      </c>
      <c r="J47" s="270"/>
      <c r="K47" s="176" t="str">
        <f>IFERROR(INDEX('G-8 Condition Look up'!$A$3:$H$131,MATCH(F47,'G-8 Condition Look up'!$A$3:$A$131,0),MATCH(J47,'G-8 Condition Look up'!$A$3:$H$3,0)),"")</f>
        <v/>
      </c>
      <c r="L47" s="173"/>
      <c r="M47" s="269" t="str">
        <f>IF(L47="","",IF(VLOOKUP(L47,'G-3 Multipliers'!$L$3:$N$6,2,FALSE)=0,"Spatial Data Missing",VLOOKUP(L47,'G-3 Multipliers'!$L$3:$N$6,2,FALSE)))</f>
        <v/>
      </c>
      <c r="N47" s="172" t="str">
        <f>IF(L47="","",IF(VLOOKUP(L47,'G-3 Multipliers'!$L$3:$N$6,3,FALSE)=0,"Spatial Data Missing",VLOOKUP(L47,'G-3 Multipliers'!$L$3:$N$6,3,FALSE)))</f>
        <v/>
      </c>
      <c r="O47" s="171" t="str">
        <f t="shared" si="0"/>
        <v/>
      </c>
      <c r="P47" s="261"/>
      <c r="Q47" s="261"/>
      <c r="R47" s="343" t="str">
        <f t="shared" si="1"/>
        <v/>
      </c>
      <c r="S47" s="352" t="str">
        <f t="shared" si="2"/>
        <v/>
      </c>
      <c r="T47" s="593" t="str">
        <f>IFERROR(IF(S47="Check Data","Check Data",VLOOKUP(S47,'G-4 Temporal multipliers'!$A$4:$C$37,3,FALSE)),"")</f>
        <v/>
      </c>
      <c r="U47" s="592" t="str">
        <f>IF(F47="","",VLOOKUP(F47,'G-3 Multipliers'!$A$2:$E$130,2,FALSE))</f>
        <v/>
      </c>
      <c r="V47" s="343" t="str">
        <f t="shared" si="3"/>
        <v/>
      </c>
      <c r="W47" s="343" t="str">
        <f>IF(E47="","",IF(AND(V47="Standard difficulty applied",O47&gt;P47),U47,IF(AND(V47="Low Difficulty - only applicable if all habitat created before losses",P47&gt;=O47),"Low",VLOOKUP(F47,'G-3 Multipliers'!$A$2:$E$130,4,FALSE))))</f>
        <v/>
      </c>
      <c r="X47" s="345" t="str">
        <f>IFERROR(IF(E47="","",VLOOKUP(W47, 'G-3 Multipliers'!$P$2:$Q$6,2,FALSE)),””)</f>
        <v/>
      </c>
      <c r="Y47" s="266"/>
      <c r="Z47" s="172" t="str">
        <f>IF(Y47="","",IF(VLOOKUP(Y47,'G-3 Multipliers'!$S$3:$T$9,2,FALSE)=0,"Spatial Data Missing",VLOOKUP(Y47,'G-3 Multipliers'!$S$3:$T$9,2,FALSE)))</f>
        <v/>
      </c>
      <c r="AA47" s="265" t="str">
        <f t="shared" si="4"/>
        <v/>
      </c>
      <c r="AB47" s="180"/>
      <c r="AC47" s="181"/>
    </row>
    <row r="48" spans="1:29" ht="13.8" x14ac:dyDescent="0.25">
      <c r="A48" s="35" t="str">
        <f>IFERROR(INDEX('G-8 Condition Look up'!$I$4:$I$131,MATCH(F48,'G-8 Condition Look up'!$A$4:$A$131,0)),"")</f>
        <v/>
      </c>
      <c r="C48" s="363" t="str">
        <f>IFERROR(INDEX('G-1 All Habitats'!$AG$3:$AG$15,MATCH(D48,'G-1 All Habitats'!$AF$3:$AF$15,0)),"")</f>
        <v/>
      </c>
      <c r="D48" s="186"/>
      <c r="E48" s="275"/>
      <c r="F48" s="362" t="str">
        <f>IFERROR(INDEX('G-1 All Habitats'!$B$3:$B$130,MATCH(E48,'G-1 All Habitats'!$A$3:$A$130,0)),"")</f>
        <v/>
      </c>
      <c r="G48" s="598"/>
      <c r="H48" s="239" t="str">
        <f>IF(F48="","",VLOOKUP(F48,'G-1 All Habitats'!$B$2:$M$130,10,FALSE))</f>
        <v/>
      </c>
      <c r="I48" s="176" t="str">
        <f>IFERROR(VLOOKUP(H48,'G-1 All Habitats'!$V$3:$W$7,2,FALSE),"")</f>
        <v/>
      </c>
      <c r="J48" s="270"/>
      <c r="K48" s="176" t="str">
        <f>IFERROR(INDEX('G-8 Condition Look up'!$A$3:$H$131,MATCH(F48,'G-8 Condition Look up'!$A$3:$A$131,0),MATCH(J48,'G-8 Condition Look up'!$A$3:$H$3,0)),"")</f>
        <v/>
      </c>
      <c r="L48" s="173"/>
      <c r="M48" s="269" t="str">
        <f>IF(L48="","",IF(VLOOKUP(L48,'G-3 Multipliers'!$L$3:$N$6,2,FALSE)=0,"Spatial Data Missing",VLOOKUP(L48,'G-3 Multipliers'!$L$3:$N$6,2,FALSE)))</f>
        <v/>
      </c>
      <c r="N48" s="172" t="str">
        <f>IF(L48="","",IF(VLOOKUP(L48,'G-3 Multipliers'!$L$3:$N$6,3,FALSE)=0,"Spatial Data Missing",VLOOKUP(L48,'G-3 Multipliers'!$L$3:$N$6,3,FALSE)))</f>
        <v/>
      </c>
      <c r="O48" s="171" t="str">
        <f t="shared" si="0"/>
        <v/>
      </c>
      <c r="P48" s="261"/>
      <c r="Q48" s="261"/>
      <c r="R48" s="343" t="str">
        <f t="shared" si="1"/>
        <v/>
      </c>
      <c r="S48" s="352" t="str">
        <f t="shared" si="2"/>
        <v/>
      </c>
      <c r="T48" s="593" t="str">
        <f>IFERROR(IF(S48="Check Data","Check Data",VLOOKUP(S48,'G-4 Temporal multipliers'!$A$4:$C$37,3,FALSE)),"")</f>
        <v/>
      </c>
      <c r="U48" s="592" t="str">
        <f>IF(F48="","",VLOOKUP(F48,'G-3 Multipliers'!$A$2:$E$130,2,FALSE))</f>
        <v/>
      </c>
      <c r="V48" s="343" t="str">
        <f t="shared" si="3"/>
        <v/>
      </c>
      <c r="W48" s="343" t="str">
        <f>IF(E48="","",IF(AND(V48="Standard difficulty applied",O48&gt;P48),U48,IF(AND(V48="Low Difficulty - only applicable if all habitat created before losses",P48&gt;=O48),"Low",VLOOKUP(F48,'G-3 Multipliers'!$A$2:$E$130,4,FALSE))))</f>
        <v/>
      </c>
      <c r="X48" s="345" t="str">
        <f>IFERROR(IF(E48="","",VLOOKUP(W48, 'G-3 Multipliers'!$P$2:$Q$6,2,FALSE)),””)</f>
        <v/>
      </c>
      <c r="Y48" s="266"/>
      <c r="Z48" s="172" t="str">
        <f>IF(Y48="","",IF(VLOOKUP(Y48,'G-3 Multipliers'!$S$3:$T$9,2,FALSE)=0,"Spatial Data Missing",VLOOKUP(Y48,'G-3 Multipliers'!$S$3:$T$9,2,FALSE)))</f>
        <v/>
      </c>
      <c r="AA48" s="265" t="str">
        <f t="shared" si="4"/>
        <v/>
      </c>
      <c r="AB48" s="180"/>
      <c r="AC48" s="181"/>
    </row>
    <row r="49" spans="1:29" ht="13.8" x14ac:dyDescent="0.25">
      <c r="A49" s="35" t="str">
        <f>IFERROR(INDEX('G-8 Condition Look up'!$I$4:$I$131,MATCH(F49,'G-8 Condition Look up'!$A$4:$A$131,0)),"")</f>
        <v/>
      </c>
      <c r="C49" s="363" t="str">
        <f>IFERROR(INDEX('G-1 All Habitats'!$AG$3:$AG$15,MATCH(D49,'G-1 All Habitats'!$AF$3:$AF$15,0)),"")</f>
        <v/>
      </c>
      <c r="D49" s="186"/>
      <c r="E49" s="275"/>
      <c r="F49" s="362" t="str">
        <f>IFERROR(INDEX('G-1 All Habitats'!$B$3:$B$130,MATCH(E49,'G-1 All Habitats'!$A$3:$A$130,0)),"")</f>
        <v/>
      </c>
      <c r="G49" s="598"/>
      <c r="H49" s="239" t="str">
        <f>IF(F49="","",VLOOKUP(F49,'G-1 All Habitats'!$B$2:$M$130,10,FALSE))</f>
        <v/>
      </c>
      <c r="I49" s="176" t="str">
        <f>IFERROR(VLOOKUP(H49,'G-1 All Habitats'!$V$3:$W$7,2,FALSE),"")</f>
        <v/>
      </c>
      <c r="J49" s="270"/>
      <c r="K49" s="176" t="str">
        <f>IFERROR(INDEX('G-8 Condition Look up'!$A$3:$H$131,MATCH(F49,'G-8 Condition Look up'!$A$3:$A$131,0),MATCH(J49,'G-8 Condition Look up'!$A$3:$H$3,0)),"")</f>
        <v/>
      </c>
      <c r="L49" s="173"/>
      <c r="M49" s="269" t="str">
        <f>IF(L49="","",IF(VLOOKUP(L49,'G-3 Multipliers'!$L$3:$N$6,2,FALSE)=0,"Spatial Data Missing",VLOOKUP(L49,'G-3 Multipliers'!$L$3:$N$6,2,FALSE)))</f>
        <v/>
      </c>
      <c r="N49" s="172" t="str">
        <f>IF(L49="","",IF(VLOOKUP(L49,'G-3 Multipliers'!$L$3:$N$6,3,FALSE)=0,"Spatial Data Missing",VLOOKUP(L49,'G-3 Multipliers'!$L$3:$N$6,3,FALSE)))</f>
        <v/>
      </c>
      <c r="O49" s="171" t="str">
        <f t="shared" si="0"/>
        <v/>
      </c>
      <c r="P49" s="261"/>
      <c r="Q49" s="261"/>
      <c r="R49" s="343" t="str">
        <f t="shared" si="1"/>
        <v/>
      </c>
      <c r="S49" s="352" t="str">
        <f t="shared" si="2"/>
        <v/>
      </c>
      <c r="T49" s="593" t="str">
        <f>IFERROR(IF(S49="Check Data","Check Data",VLOOKUP(S49,'G-4 Temporal multipliers'!$A$4:$C$37,3,FALSE)),"")</f>
        <v/>
      </c>
      <c r="U49" s="592" t="str">
        <f>IF(F49="","",VLOOKUP(F49,'G-3 Multipliers'!$A$2:$E$130,2,FALSE))</f>
        <v/>
      </c>
      <c r="V49" s="343" t="str">
        <f t="shared" si="3"/>
        <v/>
      </c>
      <c r="W49" s="343" t="str">
        <f>IF(E49="","",IF(AND(V49="Standard difficulty applied",O49&gt;P49),U49,IF(AND(V49="Low Difficulty - only applicable if all habitat created before losses",P49&gt;=O49),"Low",VLOOKUP(F49,'G-3 Multipliers'!$A$2:$E$130,4,FALSE))))</f>
        <v/>
      </c>
      <c r="X49" s="345" t="str">
        <f>IFERROR(IF(E49="","",VLOOKUP(W49, 'G-3 Multipliers'!$P$2:$Q$6,2,FALSE)),””)</f>
        <v/>
      </c>
      <c r="Y49" s="266"/>
      <c r="Z49" s="172" t="str">
        <f>IF(Y49="","",IF(VLOOKUP(Y49,'G-3 Multipliers'!$S$3:$T$9,2,FALSE)=0,"Spatial Data Missing",VLOOKUP(Y49,'G-3 Multipliers'!$S$3:$T$9,2,FALSE)))</f>
        <v/>
      </c>
      <c r="AA49" s="265" t="str">
        <f t="shared" si="4"/>
        <v/>
      </c>
      <c r="AB49" s="180"/>
      <c r="AC49" s="181"/>
    </row>
    <row r="50" spans="1:29" ht="13.8" x14ac:dyDescent="0.25">
      <c r="A50" s="35" t="str">
        <f>IFERROR(INDEX('G-8 Condition Look up'!$I$4:$I$131,MATCH(F50,'G-8 Condition Look up'!$A$4:$A$131,0)),"")</f>
        <v/>
      </c>
      <c r="C50" s="363" t="str">
        <f>IFERROR(INDEX('G-1 All Habitats'!$AG$3:$AG$15,MATCH(D50,'G-1 All Habitats'!$AF$3:$AF$15,0)),"")</f>
        <v/>
      </c>
      <c r="D50" s="186"/>
      <c r="E50" s="275"/>
      <c r="F50" s="362" t="str">
        <f>IFERROR(INDEX('G-1 All Habitats'!$B$3:$B$130,MATCH(E50,'G-1 All Habitats'!$A$3:$A$130,0)),"")</f>
        <v/>
      </c>
      <c r="G50" s="598"/>
      <c r="H50" s="239" t="str">
        <f>IF(F50="","",VLOOKUP(F50,'G-1 All Habitats'!$B$2:$M$130,10,FALSE))</f>
        <v/>
      </c>
      <c r="I50" s="176" t="str">
        <f>IFERROR(VLOOKUP(H50,'G-1 All Habitats'!$V$3:$W$7,2,FALSE),"")</f>
        <v/>
      </c>
      <c r="J50" s="270"/>
      <c r="K50" s="176" t="str">
        <f>IFERROR(INDEX('G-8 Condition Look up'!$A$3:$H$131,MATCH(F50,'G-8 Condition Look up'!$A$3:$A$131,0),MATCH(J50,'G-8 Condition Look up'!$A$3:$H$3,0)),"")</f>
        <v/>
      </c>
      <c r="L50" s="173"/>
      <c r="M50" s="269" t="str">
        <f>IF(L50="","",IF(VLOOKUP(L50,'G-3 Multipliers'!$L$3:$N$6,2,FALSE)=0,"Spatial Data Missing",VLOOKUP(L50,'G-3 Multipliers'!$L$3:$N$6,2,FALSE)))</f>
        <v/>
      </c>
      <c r="N50" s="172" t="str">
        <f>IF(L50="","",IF(VLOOKUP(L50,'G-3 Multipliers'!$L$3:$N$6,3,FALSE)=0,"Spatial Data Missing",VLOOKUP(L50,'G-3 Multipliers'!$L$3:$N$6,3,FALSE)))</f>
        <v/>
      </c>
      <c r="O50" s="171" t="str">
        <f t="shared" si="0"/>
        <v/>
      </c>
      <c r="P50" s="261"/>
      <c r="Q50" s="261"/>
      <c r="R50" s="343" t="str">
        <f t="shared" si="1"/>
        <v/>
      </c>
      <c r="S50" s="352" t="str">
        <f t="shared" si="2"/>
        <v/>
      </c>
      <c r="T50" s="593" t="str">
        <f>IFERROR(IF(S50="Check Data","Check Data",VLOOKUP(S50,'G-4 Temporal multipliers'!$A$4:$C$37,3,FALSE)),"")</f>
        <v/>
      </c>
      <c r="U50" s="592" t="str">
        <f>IF(F50="","",VLOOKUP(F50,'G-3 Multipliers'!$A$2:$E$130,2,FALSE))</f>
        <v/>
      </c>
      <c r="V50" s="343" t="str">
        <f t="shared" si="3"/>
        <v/>
      </c>
      <c r="W50" s="343" t="str">
        <f>IF(E50="","",IF(AND(V50="Standard difficulty applied",O50&gt;P50),U50,IF(AND(V50="Low Difficulty - only applicable if all habitat created before losses",P50&gt;=O50),"Low",VLOOKUP(F50,'G-3 Multipliers'!$A$2:$E$130,4,FALSE))))</f>
        <v/>
      </c>
      <c r="X50" s="345" t="str">
        <f>IFERROR(IF(E50="","",VLOOKUP(W50, 'G-3 Multipliers'!$P$2:$Q$6,2,FALSE)),””)</f>
        <v/>
      </c>
      <c r="Y50" s="266"/>
      <c r="Z50" s="172" t="str">
        <f>IF(Y50="","",IF(VLOOKUP(Y50,'G-3 Multipliers'!$S$3:$T$9,2,FALSE)=0,"Spatial Data Missing",VLOOKUP(Y50,'G-3 Multipliers'!$S$3:$T$9,2,FALSE)))</f>
        <v/>
      </c>
      <c r="AA50" s="265" t="str">
        <f t="shared" si="4"/>
        <v/>
      </c>
      <c r="AB50" s="180"/>
      <c r="AC50" s="181"/>
    </row>
    <row r="51" spans="1:29" ht="13.8" x14ac:dyDescent="0.25">
      <c r="A51" s="35" t="str">
        <f>IFERROR(INDEX('G-8 Condition Look up'!$I$4:$I$131,MATCH(F51,'G-8 Condition Look up'!$A$4:$A$131,0)),"")</f>
        <v/>
      </c>
      <c r="C51" s="363" t="str">
        <f>IFERROR(INDEX('G-1 All Habitats'!$AG$3:$AG$15,MATCH(D51,'G-1 All Habitats'!$AF$3:$AF$15,0)),"")</f>
        <v/>
      </c>
      <c r="D51" s="186"/>
      <c r="E51" s="275"/>
      <c r="F51" s="362" t="str">
        <f>IFERROR(INDEX('G-1 All Habitats'!$B$3:$B$130,MATCH(E51,'G-1 All Habitats'!$A$3:$A$130,0)),"")</f>
        <v/>
      </c>
      <c r="G51" s="598"/>
      <c r="H51" s="239" t="str">
        <f>IF(F51="","",VLOOKUP(F51,'G-1 All Habitats'!$B$2:$M$130,10,FALSE))</f>
        <v/>
      </c>
      <c r="I51" s="176" t="str">
        <f>IFERROR(VLOOKUP(H51,'G-1 All Habitats'!$V$3:$W$7,2,FALSE),"")</f>
        <v/>
      </c>
      <c r="J51" s="270"/>
      <c r="K51" s="176" t="str">
        <f>IFERROR(INDEX('G-8 Condition Look up'!$A$3:$H$131,MATCH(F51,'G-8 Condition Look up'!$A$3:$A$131,0),MATCH(J51,'G-8 Condition Look up'!$A$3:$H$3,0)),"")</f>
        <v/>
      </c>
      <c r="L51" s="173"/>
      <c r="M51" s="269" t="str">
        <f>IF(L51="","",IF(VLOOKUP(L51,'G-3 Multipliers'!$L$3:$N$6,2,FALSE)=0,"Spatial Data Missing",VLOOKUP(L51,'G-3 Multipliers'!$L$3:$N$6,2,FALSE)))</f>
        <v/>
      </c>
      <c r="N51" s="172" t="str">
        <f>IF(L51="","",IF(VLOOKUP(L51,'G-3 Multipliers'!$L$3:$N$6,3,FALSE)=0,"Spatial Data Missing",VLOOKUP(L51,'G-3 Multipliers'!$L$3:$N$6,3,FALSE)))</f>
        <v/>
      </c>
      <c r="O51" s="171" t="str">
        <f t="shared" si="0"/>
        <v/>
      </c>
      <c r="P51" s="261"/>
      <c r="Q51" s="261"/>
      <c r="R51" s="343" t="str">
        <f t="shared" si="1"/>
        <v/>
      </c>
      <c r="S51" s="352" t="str">
        <f t="shared" si="2"/>
        <v/>
      </c>
      <c r="T51" s="593" t="str">
        <f>IFERROR(IF(S51="Check Data","Check Data",VLOOKUP(S51,'G-4 Temporal multipliers'!$A$4:$C$37,3,FALSE)),"")</f>
        <v/>
      </c>
      <c r="U51" s="592" t="str">
        <f>IF(F51="","",VLOOKUP(F51,'G-3 Multipliers'!$A$2:$E$130,2,FALSE))</f>
        <v/>
      </c>
      <c r="V51" s="343" t="str">
        <f t="shared" si="3"/>
        <v/>
      </c>
      <c r="W51" s="343" t="str">
        <f>IF(E51="","",IF(AND(V51="Standard difficulty applied",O51&gt;P51),U51,IF(AND(V51="Low Difficulty - only applicable if all habitat created before losses",P51&gt;=O51),"Low",VLOOKUP(F51,'G-3 Multipliers'!$A$2:$E$130,4,FALSE))))</f>
        <v/>
      </c>
      <c r="X51" s="345" t="str">
        <f>IFERROR(IF(E51="","",VLOOKUP(W51, 'G-3 Multipliers'!$P$2:$Q$6,2,FALSE)),””)</f>
        <v/>
      </c>
      <c r="Y51" s="266"/>
      <c r="Z51" s="172" t="str">
        <f>IF(Y51="","",IF(VLOOKUP(Y51,'G-3 Multipliers'!$S$3:$T$9,2,FALSE)=0,"Spatial Data Missing",VLOOKUP(Y51,'G-3 Multipliers'!$S$3:$T$9,2,FALSE)))</f>
        <v/>
      </c>
      <c r="AA51" s="265" t="str">
        <f t="shared" si="4"/>
        <v/>
      </c>
      <c r="AB51" s="180"/>
      <c r="AC51" s="181"/>
    </row>
    <row r="52" spans="1:29" ht="13.8" x14ac:dyDescent="0.25">
      <c r="A52" s="35" t="str">
        <f>IFERROR(INDEX('G-8 Condition Look up'!$I$4:$I$131,MATCH(F52,'G-8 Condition Look up'!$A$4:$A$131,0)),"")</f>
        <v/>
      </c>
      <c r="C52" s="363" t="str">
        <f>IFERROR(INDEX('G-1 All Habitats'!$AG$3:$AG$15,MATCH(D52,'G-1 All Habitats'!$AF$3:$AF$15,0)),"")</f>
        <v/>
      </c>
      <c r="D52" s="186"/>
      <c r="E52" s="275"/>
      <c r="F52" s="362" t="str">
        <f>IFERROR(INDEX('G-1 All Habitats'!$B$3:$B$130,MATCH(E52,'G-1 All Habitats'!$A$3:$A$130,0)),"")</f>
        <v/>
      </c>
      <c r="G52" s="598"/>
      <c r="H52" s="239" t="str">
        <f>IF(F52="","",VLOOKUP(F52,'G-1 All Habitats'!$B$2:$M$130,10,FALSE))</f>
        <v/>
      </c>
      <c r="I52" s="176" t="str">
        <f>IFERROR(VLOOKUP(H52,'G-1 All Habitats'!$V$3:$W$7,2,FALSE),"")</f>
        <v/>
      </c>
      <c r="J52" s="270"/>
      <c r="K52" s="176" t="str">
        <f>IFERROR(INDEX('G-8 Condition Look up'!$A$3:$H$131,MATCH(F52,'G-8 Condition Look up'!$A$3:$A$131,0),MATCH(J52,'G-8 Condition Look up'!$A$3:$H$3,0)),"")</f>
        <v/>
      </c>
      <c r="L52" s="173"/>
      <c r="M52" s="269" t="str">
        <f>IF(L52="","",IF(VLOOKUP(L52,'G-3 Multipliers'!$L$3:$N$6,2,FALSE)=0,"Spatial Data Missing",VLOOKUP(L52,'G-3 Multipliers'!$L$3:$N$6,2,FALSE)))</f>
        <v/>
      </c>
      <c r="N52" s="172" t="str">
        <f>IF(L52="","",IF(VLOOKUP(L52,'G-3 Multipliers'!$L$3:$N$6,3,FALSE)=0,"Spatial Data Missing",VLOOKUP(L52,'G-3 Multipliers'!$L$3:$N$6,3,FALSE)))</f>
        <v/>
      </c>
      <c r="O52" s="171" t="str">
        <f t="shared" si="0"/>
        <v/>
      </c>
      <c r="P52" s="261"/>
      <c r="Q52" s="261"/>
      <c r="R52" s="343" t="str">
        <f t="shared" si="1"/>
        <v/>
      </c>
      <c r="S52" s="352" t="str">
        <f t="shared" si="2"/>
        <v/>
      </c>
      <c r="T52" s="593" t="str">
        <f>IFERROR(IF(S52="Check Data","Check Data",VLOOKUP(S52,'G-4 Temporal multipliers'!$A$4:$C$37,3,FALSE)),"")</f>
        <v/>
      </c>
      <c r="U52" s="592" t="str">
        <f>IF(F52="","",VLOOKUP(F52,'G-3 Multipliers'!$A$2:$E$130,2,FALSE))</f>
        <v/>
      </c>
      <c r="V52" s="343" t="str">
        <f t="shared" si="3"/>
        <v/>
      </c>
      <c r="W52" s="343" t="str">
        <f>IF(E52="","",IF(AND(V52="Standard difficulty applied",O52&gt;P52),U52,IF(AND(V52="Low Difficulty - only applicable if all habitat created before losses",P52&gt;=O52),"Low",VLOOKUP(F52,'G-3 Multipliers'!$A$2:$E$130,4,FALSE))))</f>
        <v/>
      </c>
      <c r="X52" s="345" t="str">
        <f>IFERROR(IF(E52="","",VLOOKUP(W52, 'G-3 Multipliers'!$P$2:$Q$6,2,FALSE)),””)</f>
        <v/>
      </c>
      <c r="Y52" s="266"/>
      <c r="Z52" s="172" t="str">
        <f>IF(Y52="","",IF(VLOOKUP(Y52,'G-3 Multipliers'!$S$3:$T$9,2,FALSE)=0,"Spatial Data Missing",VLOOKUP(Y52,'G-3 Multipliers'!$S$3:$T$9,2,FALSE)))</f>
        <v/>
      </c>
      <c r="AA52" s="265" t="str">
        <f t="shared" si="4"/>
        <v/>
      </c>
      <c r="AB52" s="180"/>
      <c r="AC52" s="181"/>
    </row>
    <row r="53" spans="1:29" ht="13.8" x14ac:dyDescent="0.25">
      <c r="A53" s="35" t="str">
        <f>IFERROR(INDEX('G-8 Condition Look up'!$I$4:$I$131,MATCH(F53,'G-8 Condition Look up'!$A$4:$A$131,0)),"")</f>
        <v/>
      </c>
      <c r="C53" s="363" t="str">
        <f>IFERROR(INDEX('G-1 All Habitats'!$AG$3:$AG$15,MATCH(D53,'G-1 All Habitats'!$AF$3:$AF$15,0)),"")</f>
        <v/>
      </c>
      <c r="D53" s="186"/>
      <c r="E53" s="275"/>
      <c r="F53" s="362" t="str">
        <f>IFERROR(INDEX('G-1 All Habitats'!$B$3:$B$130,MATCH(E53,'G-1 All Habitats'!$A$3:$A$130,0)),"")</f>
        <v/>
      </c>
      <c r="G53" s="598"/>
      <c r="H53" s="239" t="str">
        <f>IF(F53="","",VLOOKUP(F53,'G-1 All Habitats'!$B$2:$M$130,10,FALSE))</f>
        <v/>
      </c>
      <c r="I53" s="176" t="str">
        <f>IFERROR(VLOOKUP(H53,'G-1 All Habitats'!$V$3:$W$7,2,FALSE),"")</f>
        <v/>
      </c>
      <c r="J53" s="270"/>
      <c r="K53" s="176" t="str">
        <f>IFERROR(INDEX('G-8 Condition Look up'!$A$3:$H$131,MATCH(F53,'G-8 Condition Look up'!$A$3:$A$131,0),MATCH(J53,'G-8 Condition Look up'!$A$3:$H$3,0)),"")</f>
        <v/>
      </c>
      <c r="L53" s="173"/>
      <c r="M53" s="269" t="str">
        <f>IF(L53="","",IF(VLOOKUP(L53,'G-3 Multipliers'!$L$3:$N$6,2,FALSE)=0,"Spatial Data Missing",VLOOKUP(L53,'G-3 Multipliers'!$L$3:$N$6,2,FALSE)))</f>
        <v/>
      </c>
      <c r="N53" s="172" t="str">
        <f>IF(L53="","",IF(VLOOKUP(L53,'G-3 Multipliers'!$L$3:$N$6,3,FALSE)=0,"Spatial Data Missing",VLOOKUP(L53,'G-3 Multipliers'!$L$3:$N$6,3,FALSE)))</f>
        <v/>
      </c>
      <c r="O53" s="171" t="str">
        <f t="shared" si="0"/>
        <v/>
      </c>
      <c r="P53" s="261"/>
      <c r="Q53" s="261"/>
      <c r="R53" s="343" t="str">
        <f t="shared" si="1"/>
        <v/>
      </c>
      <c r="S53" s="352" t="str">
        <f t="shared" si="2"/>
        <v/>
      </c>
      <c r="T53" s="593" t="str">
        <f>IFERROR(IF(S53="Check Data","Check Data",VLOOKUP(S53,'G-4 Temporal multipliers'!$A$4:$C$37,3,FALSE)),"")</f>
        <v/>
      </c>
      <c r="U53" s="592" t="str">
        <f>IF(F53="","",VLOOKUP(F53,'G-3 Multipliers'!$A$2:$E$130,2,FALSE))</f>
        <v/>
      </c>
      <c r="V53" s="343" t="str">
        <f t="shared" si="3"/>
        <v/>
      </c>
      <c r="W53" s="343" t="str">
        <f>IF(E53="","",IF(AND(V53="Standard difficulty applied",O53&gt;P53),U53,IF(AND(V53="Low Difficulty - only applicable if all habitat created before losses",P53&gt;=O53),"Low",VLOOKUP(F53,'G-3 Multipliers'!$A$2:$E$130,4,FALSE))))</f>
        <v/>
      </c>
      <c r="X53" s="345" t="str">
        <f>IFERROR(IF(E53="","",VLOOKUP(W53, 'G-3 Multipliers'!$P$2:$Q$6,2,FALSE)),””)</f>
        <v/>
      </c>
      <c r="Y53" s="266"/>
      <c r="Z53" s="172" t="str">
        <f>IF(Y53="","",IF(VLOOKUP(Y53,'G-3 Multipliers'!$S$3:$T$9,2,FALSE)=0,"Spatial Data Missing",VLOOKUP(Y53,'G-3 Multipliers'!$S$3:$T$9,2,FALSE)))</f>
        <v/>
      </c>
      <c r="AA53" s="265" t="str">
        <f t="shared" si="4"/>
        <v/>
      </c>
      <c r="AB53" s="180"/>
      <c r="AC53" s="181"/>
    </row>
    <row r="54" spans="1:29" ht="13.8" x14ac:dyDescent="0.25">
      <c r="A54" s="35" t="str">
        <f>IFERROR(INDEX('G-8 Condition Look up'!$I$4:$I$131,MATCH(F54,'G-8 Condition Look up'!$A$4:$A$131,0)),"")</f>
        <v/>
      </c>
      <c r="C54" s="363" t="str">
        <f>IFERROR(INDEX('G-1 All Habitats'!$AG$3:$AG$15,MATCH(D54,'G-1 All Habitats'!$AF$3:$AF$15,0)),"")</f>
        <v/>
      </c>
      <c r="D54" s="186"/>
      <c r="E54" s="275"/>
      <c r="F54" s="362" t="str">
        <f>IFERROR(INDEX('G-1 All Habitats'!$B$3:$B$130,MATCH(E54,'G-1 All Habitats'!$A$3:$A$130,0)),"")</f>
        <v/>
      </c>
      <c r="G54" s="598"/>
      <c r="H54" s="239" t="str">
        <f>IF(F54="","",VLOOKUP(F54,'G-1 All Habitats'!$B$2:$M$130,10,FALSE))</f>
        <v/>
      </c>
      <c r="I54" s="176" t="str">
        <f>IFERROR(VLOOKUP(H54,'G-1 All Habitats'!$V$3:$W$7,2,FALSE),"")</f>
        <v/>
      </c>
      <c r="J54" s="270"/>
      <c r="K54" s="176" t="str">
        <f>IFERROR(INDEX('G-8 Condition Look up'!$A$3:$H$131,MATCH(F54,'G-8 Condition Look up'!$A$3:$A$131,0),MATCH(J54,'G-8 Condition Look up'!$A$3:$H$3,0)),"")</f>
        <v/>
      </c>
      <c r="L54" s="173"/>
      <c r="M54" s="269" t="str">
        <f>IF(L54="","",IF(VLOOKUP(L54,'G-3 Multipliers'!$L$3:$N$6,2,FALSE)=0,"Spatial Data Missing",VLOOKUP(L54,'G-3 Multipliers'!$L$3:$N$6,2,FALSE)))</f>
        <v/>
      </c>
      <c r="N54" s="172" t="str">
        <f>IF(L54="","",IF(VLOOKUP(L54,'G-3 Multipliers'!$L$3:$N$6,3,FALSE)=0,"Spatial Data Missing",VLOOKUP(L54,'G-3 Multipliers'!$L$3:$N$6,3,FALSE)))</f>
        <v/>
      </c>
      <c r="O54" s="171" t="str">
        <f t="shared" si="0"/>
        <v/>
      </c>
      <c r="P54" s="261"/>
      <c r="Q54" s="261"/>
      <c r="R54" s="343" t="str">
        <f t="shared" si="1"/>
        <v/>
      </c>
      <c r="S54" s="352" t="str">
        <f t="shared" si="2"/>
        <v/>
      </c>
      <c r="T54" s="593" t="str">
        <f>IFERROR(IF(S54="Check Data","Check Data",VLOOKUP(S54,'G-4 Temporal multipliers'!$A$4:$C$37,3,FALSE)),"")</f>
        <v/>
      </c>
      <c r="U54" s="592" t="str">
        <f>IF(F54="","",VLOOKUP(F54,'G-3 Multipliers'!$A$2:$E$130,2,FALSE))</f>
        <v/>
      </c>
      <c r="V54" s="343" t="str">
        <f t="shared" si="3"/>
        <v/>
      </c>
      <c r="W54" s="343" t="str">
        <f>IF(E54="","",IF(AND(V54="Standard difficulty applied",O54&gt;P54),U54,IF(AND(V54="Low Difficulty - only applicable if all habitat created before losses",P54&gt;=O54),"Low",VLOOKUP(F54,'G-3 Multipliers'!$A$2:$E$130,4,FALSE))))</f>
        <v/>
      </c>
      <c r="X54" s="345" t="str">
        <f>IFERROR(IF(E54="","",VLOOKUP(W54, 'G-3 Multipliers'!$P$2:$Q$6,2,FALSE)),””)</f>
        <v/>
      </c>
      <c r="Y54" s="266"/>
      <c r="Z54" s="172" t="str">
        <f>IF(Y54="","",IF(VLOOKUP(Y54,'G-3 Multipliers'!$S$3:$T$9,2,FALSE)=0,"Spatial Data Missing",VLOOKUP(Y54,'G-3 Multipliers'!$S$3:$T$9,2,FALSE)))</f>
        <v/>
      </c>
      <c r="AA54" s="265" t="str">
        <f t="shared" si="4"/>
        <v/>
      </c>
      <c r="AB54" s="180"/>
      <c r="AC54" s="181"/>
    </row>
    <row r="55" spans="1:29" ht="13.8" x14ac:dyDescent="0.25">
      <c r="A55" s="35" t="str">
        <f>IFERROR(INDEX('G-8 Condition Look up'!$I$4:$I$131,MATCH(F55,'G-8 Condition Look up'!$A$4:$A$131,0)),"")</f>
        <v/>
      </c>
      <c r="C55" s="363" t="str">
        <f>IFERROR(INDEX('G-1 All Habitats'!$AG$3:$AG$15,MATCH(D55,'G-1 All Habitats'!$AF$3:$AF$15,0)),"")</f>
        <v/>
      </c>
      <c r="D55" s="186"/>
      <c r="E55" s="275"/>
      <c r="F55" s="362" t="str">
        <f>IFERROR(INDEX('G-1 All Habitats'!$B$3:$B$130,MATCH(E55,'G-1 All Habitats'!$A$3:$A$130,0)),"")</f>
        <v/>
      </c>
      <c r="G55" s="598"/>
      <c r="H55" s="239" t="str">
        <f>IF(F55="","",VLOOKUP(F55,'G-1 All Habitats'!$B$2:$M$130,10,FALSE))</f>
        <v/>
      </c>
      <c r="I55" s="176" t="str">
        <f>IFERROR(VLOOKUP(H55,'G-1 All Habitats'!$V$3:$W$7,2,FALSE),"")</f>
        <v/>
      </c>
      <c r="J55" s="270"/>
      <c r="K55" s="176" t="str">
        <f>IFERROR(INDEX('G-8 Condition Look up'!$A$3:$H$131,MATCH(F55,'G-8 Condition Look up'!$A$3:$A$131,0),MATCH(J55,'G-8 Condition Look up'!$A$3:$H$3,0)),"")</f>
        <v/>
      </c>
      <c r="L55" s="173"/>
      <c r="M55" s="269" t="str">
        <f>IF(L55="","",IF(VLOOKUP(L55,'G-3 Multipliers'!$L$3:$N$6,2,FALSE)=0,"Spatial Data Missing",VLOOKUP(L55,'G-3 Multipliers'!$L$3:$N$6,2,FALSE)))</f>
        <v/>
      </c>
      <c r="N55" s="172" t="str">
        <f>IF(L55="","",IF(VLOOKUP(L55,'G-3 Multipliers'!$L$3:$N$6,3,FALSE)=0,"Spatial Data Missing",VLOOKUP(L55,'G-3 Multipliers'!$L$3:$N$6,3,FALSE)))</f>
        <v/>
      </c>
      <c r="O55" s="171" t="str">
        <f t="shared" si="0"/>
        <v/>
      </c>
      <c r="P55" s="261"/>
      <c r="Q55" s="261"/>
      <c r="R55" s="343" t="str">
        <f t="shared" si="1"/>
        <v/>
      </c>
      <c r="S55" s="352" t="str">
        <f t="shared" si="2"/>
        <v/>
      </c>
      <c r="T55" s="593" t="str">
        <f>IFERROR(IF(S55="Check Data","Check Data",VLOOKUP(S55,'G-4 Temporal multipliers'!$A$4:$C$37,3,FALSE)),"")</f>
        <v/>
      </c>
      <c r="U55" s="592" t="str">
        <f>IF(F55="","",VLOOKUP(F55,'G-3 Multipliers'!$A$2:$E$130,2,FALSE))</f>
        <v/>
      </c>
      <c r="V55" s="343" t="str">
        <f t="shared" si="3"/>
        <v/>
      </c>
      <c r="W55" s="343" t="str">
        <f>IF(E55="","",IF(AND(V55="Standard difficulty applied",O55&gt;P55),U55,IF(AND(V55="Low Difficulty - only applicable if all habitat created before losses",P55&gt;=O55),"Low",VLOOKUP(F55,'G-3 Multipliers'!$A$2:$E$130,4,FALSE))))</f>
        <v/>
      </c>
      <c r="X55" s="345" t="str">
        <f>IFERROR(IF(E55="","",VLOOKUP(W55, 'G-3 Multipliers'!$P$2:$Q$6,2,FALSE)),””)</f>
        <v/>
      </c>
      <c r="Y55" s="266"/>
      <c r="Z55" s="172" t="str">
        <f>IF(Y55="","",IF(VLOOKUP(Y55,'G-3 Multipliers'!$S$3:$T$9,2,FALSE)=0,"Spatial Data Missing",VLOOKUP(Y55,'G-3 Multipliers'!$S$3:$T$9,2,FALSE)))</f>
        <v/>
      </c>
      <c r="AA55" s="265" t="str">
        <f t="shared" si="4"/>
        <v/>
      </c>
      <c r="AB55" s="180"/>
      <c r="AC55" s="181"/>
    </row>
    <row r="56" spans="1:29" ht="13.8" x14ac:dyDescent="0.25">
      <c r="A56" s="35" t="str">
        <f>IFERROR(INDEX('G-8 Condition Look up'!$I$4:$I$131,MATCH(F56,'G-8 Condition Look up'!$A$4:$A$131,0)),"")</f>
        <v/>
      </c>
      <c r="C56" s="363" t="str">
        <f>IFERROR(INDEX('G-1 All Habitats'!$AG$3:$AG$15,MATCH(D56,'G-1 All Habitats'!$AF$3:$AF$15,0)),"")</f>
        <v/>
      </c>
      <c r="D56" s="186"/>
      <c r="E56" s="275"/>
      <c r="F56" s="362" t="str">
        <f>IFERROR(INDEX('G-1 All Habitats'!$B$3:$B$130,MATCH(E56,'G-1 All Habitats'!$A$3:$A$130,0)),"")</f>
        <v/>
      </c>
      <c r="G56" s="598"/>
      <c r="H56" s="239" t="str">
        <f>IF(F56="","",VLOOKUP(F56,'G-1 All Habitats'!$B$2:$M$130,10,FALSE))</f>
        <v/>
      </c>
      <c r="I56" s="176" t="str">
        <f>IFERROR(VLOOKUP(H56,'G-1 All Habitats'!$V$3:$W$7,2,FALSE),"")</f>
        <v/>
      </c>
      <c r="J56" s="270"/>
      <c r="K56" s="176" t="str">
        <f>IFERROR(INDEX('G-8 Condition Look up'!$A$3:$H$131,MATCH(F56,'G-8 Condition Look up'!$A$3:$A$131,0),MATCH(J56,'G-8 Condition Look up'!$A$3:$H$3,0)),"")</f>
        <v/>
      </c>
      <c r="L56" s="173"/>
      <c r="M56" s="269" t="str">
        <f>IF(L56="","",IF(VLOOKUP(L56,'G-3 Multipliers'!$L$3:$N$6,2,FALSE)=0,"Spatial Data Missing",VLOOKUP(L56,'G-3 Multipliers'!$L$3:$N$6,2,FALSE)))</f>
        <v/>
      </c>
      <c r="N56" s="172" t="str">
        <f>IF(L56="","",IF(VLOOKUP(L56,'G-3 Multipliers'!$L$3:$N$6,3,FALSE)=0,"Spatial Data Missing",VLOOKUP(L56,'G-3 Multipliers'!$L$3:$N$6,3,FALSE)))</f>
        <v/>
      </c>
      <c r="O56" s="171" t="str">
        <f t="shared" si="0"/>
        <v/>
      </c>
      <c r="P56" s="261"/>
      <c r="Q56" s="261"/>
      <c r="R56" s="343" t="str">
        <f t="shared" si="1"/>
        <v/>
      </c>
      <c r="S56" s="352" t="str">
        <f t="shared" si="2"/>
        <v/>
      </c>
      <c r="T56" s="593" t="str">
        <f>IFERROR(IF(S56="Check Data","Check Data",VLOOKUP(S56,'G-4 Temporal multipliers'!$A$4:$C$37,3,FALSE)),"")</f>
        <v/>
      </c>
      <c r="U56" s="592" t="str">
        <f>IF(F56="","",VLOOKUP(F56,'G-3 Multipliers'!$A$2:$E$130,2,FALSE))</f>
        <v/>
      </c>
      <c r="V56" s="343" t="str">
        <f t="shared" si="3"/>
        <v/>
      </c>
      <c r="W56" s="343" t="str">
        <f>IF(E56="","",IF(AND(V56="Standard difficulty applied",O56&gt;P56),U56,IF(AND(V56="Low Difficulty - only applicable if all habitat created before losses",P56&gt;=O56),"Low",VLOOKUP(F56,'G-3 Multipliers'!$A$2:$E$130,4,FALSE))))</f>
        <v/>
      </c>
      <c r="X56" s="345" t="str">
        <f>IFERROR(IF(E56="","",VLOOKUP(W56, 'G-3 Multipliers'!$P$2:$Q$6,2,FALSE)),””)</f>
        <v/>
      </c>
      <c r="Y56" s="266"/>
      <c r="Z56" s="172" t="str">
        <f>IF(Y56="","",IF(VLOOKUP(Y56,'G-3 Multipliers'!$S$3:$T$9,2,FALSE)=0,"Spatial Data Missing",VLOOKUP(Y56,'G-3 Multipliers'!$S$3:$T$9,2,FALSE)))</f>
        <v/>
      </c>
      <c r="AA56" s="265" t="str">
        <f t="shared" si="4"/>
        <v/>
      </c>
      <c r="AB56" s="180"/>
      <c r="AC56" s="181"/>
    </row>
    <row r="57" spans="1:29" ht="13.8" x14ac:dyDescent="0.25">
      <c r="A57" s="35" t="str">
        <f>IFERROR(INDEX('G-8 Condition Look up'!$I$4:$I$131,MATCH(F57,'G-8 Condition Look up'!$A$4:$A$131,0)),"")</f>
        <v/>
      </c>
      <c r="C57" s="363" t="str">
        <f>IFERROR(INDEX('G-1 All Habitats'!$AG$3:$AG$15,MATCH(D57,'G-1 All Habitats'!$AF$3:$AF$15,0)),"")</f>
        <v/>
      </c>
      <c r="D57" s="186"/>
      <c r="E57" s="275"/>
      <c r="F57" s="362" t="str">
        <f>IFERROR(INDEX('G-1 All Habitats'!$B$3:$B$130,MATCH(E57,'G-1 All Habitats'!$A$3:$A$130,0)),"")</f>
        <v/>
      </c>
      <c r="G57" s="598"/>
      <c r="H57" s="239" t="str">
        <f>IF(F57="","",VLOOKUP(F57,'G-1 All Habitats'!$B$2:$M$130,10,FALSE))</f>
        <v/>
      </c>
      <c r="I57" s="176" t="str">
        <f>IFERROR(VLOOKUP(H57,'G-1 All Habitats'!$V$3:$W$7,2,FALSE),"")</f>
        <v/>
      </c>
      <c r="J57" s="270"/>
      <c r="K57" s="176" t="str">
        <f>IFERROR(INDEX('G-8 Condition Look up'!$A$3:$H$131,MATCH(F57,'G-8 Condition Look up'!$A$3:$A$131,0),MATCH(J57,'G-8 Condition Look up'!$A$3:$H$3,0)),"")</f>
        <v/>
      </c>
      <c r="L57" s="173"/>
      <c r="M57" s="269" t="str">
        <f>IF(L57="","",IF(VLOOKUP(L57,'G-3 Multipliers'!$L$3:$N$6,2,FALSE)=0,"Spatial Data Missing",VLOOKUP(L57,'G-3 Multipliers'!$L$3:$N$6,2,FALSE)))</f>
        <v/>
      </c>
      <c r="N57" s="172" t="str">
        <f>IF(L57="","",IF(VLOOKUP(L57,'G-3 Multipliers'!$L$3:$N$6,3,FALSE)=0,"Spatial Data Missing",VLOOKUP(L57,'G-3 Multipliers'!$L$3:$N$6,3,FALSE)))</f>
        <v/>
      </c>
      <c r="O57" s="171" t="str">
        <f t="shared" si="0"/>
        <v/>
      </c>
      <c r="P57" s="261"/>
      <c r="Q57" s="261"/>
      <c r="R57" s="343" t="str">
        <f t="shared" si="1"/>
        <v/>
      </c>
      <c r="S57" s="352" t="str">
        <f t="shared" si="2"/>
        <v/>
      </c>
      <c r="T57" s="593" t="str">
        <f>IFERROR(IF(S57="Check Data","Check Data",VLOOKUP(S57,'G-4 Temporal multipliers'!$A$4:$C$37,3,FALSE)),"")</f>
        <v/>
      </c>
      <c r="U57" s="592" t="str">
        <f>IF(F57="","",VLOOKUP(F57,'G-3 Multipliers'!$A$2:$E$130,2,FALSE))</f>
        <v/>
      </c>
      <c r="V57" s="343" t="str">
        <f t="shared" si="3"/>
        <v/>
      </c>
      <c r="W57" s="343" t="str">
        <f>IF(E57="","",IF(AND(V57="Standard difficulty applied",O57&gt;P57),U57,IF(AND(V57="Low Difficulty - only applicable if all habitat created before losses",P57&gt;=O57),"Low",VLOOKUP(F57,'G-3 Multipliers'!$A$2:$E$130,4,FALSE))))</f>
        <v/>
      </c>
      <c r="X57" s="345" t="str">
        <f>IFERROR(IF(E57="","",VLOOKUP(W57, 'G-3 Multipliers'!$P$2:$Q$6,2,FALSE)),””)</f>
        <v/>
      </c>
      <c r="Y57" s="266"/>
      <c r="Z57" s="172" t="str">
        <f>IF(Y57="","",IF(VLOOKUP(Y57,'G-3 Multipliers'!$S$3:$T$9,2,FALSE)=0,"Spatial Data Missing",VLOOKUP(Y57,'G-3 Multipliers'!$S$3:$T$9,2,FALSE)))</f>
        <v/>
      </c>
      <c r="AA57" s="265" t="str">
        <f t="shared" si="4"/>
        <v/>
      </c>
      <c r="AB57" s="180"/>
      <c r="AC57" s="181"/>
    </row>
    <row r="58" spans="1:29" ht="13.8" x14ac:dyDescent="0.25">
      <c r="A58" s="35" t="str">
        <f>IFERROR(INDEX('G-8 Condition Look up'!$I$4:$I$131,MATCH(F58,'G-8 Condition Look up'!$A$4:$A$131,0)),"")</f>
        <v/>
      </c>
      <c r="C58" s="363" t="str">
        <f>IFERROR(INDEX('G-1 All Habitats'!$AG$3:$AG$15,MATCH(D58,'G-1 All Habitats'!$AF$3:$AF$15,0)),"")</f>
        <v/>
      </c>
      <c r="D58" s="186"/>
      <c r="E58" s="275"/>
      <c r="F58" s="362" t="str">
        <f>IFERROR(INDEX('G-1 All Habitats'!$B$3:$B$130,MATCH(E58,'G-1 All Habitats'!$A$3:$A$130,0)),"")</f>
        <v/>
      </c>
      <c r="G58" s="598"/>
      <c r="H58" s="239" t="str">
        <f>IF(F58="","",VLOOKUP(F58,'G-1 All Habitats'!$B$2:$M$130,10,FALSE))</f>
        <v/>
      </c>
      <c r="I58" s="176" t="str">
        <f>IFERROR(VLOOKUP(H58,'G-1 All Habitats'!$V$3:$W$7,2,FALSE),"")</f>
        <v/>
      </c>
      <c r="J58" s="270"/>
      <c r="K58" s="176" t="str">
        <f>IFERROR(INDEX('G-8 Condition Look up'!$A$3:$H$131,MATCH(F58,'G-8 Condition Look up'!$A$3:$A$131,0),MATCH(J58,'G-8 Condition Look up'!$A$3:$H$3,0)),"")</f>
        <v/>
      </c>
      <c r="L58" s="173"/>
      <c r="M58" s="269" t="str">
        <f>IF(L58="","",IF(VLOOKUP(L58,'G-3 Multipliers'!$L$3:$N$6,2,FALSE)=0,"Spatial Data Missing",VLOOKUP(L58,'G-3 Multipliers'!$L$3:$N$6,2,FALSE)))</f>
        <v/>
      </c>
      <c r="N58" s="172" t="str">
        <f>IF(L58="","",IF(VLOOKUP(L58,'G-3 Multipliers'!$L$3:$N$6,3,FALSE)=0,"Spatial Data Missing",VLOOKUP(L58,'G-3 Multipliers'!$L$3:$N$6,3,FALSE)))</f>
        <v/>
      </c>
      <c r="O58" s="171" t="str">
        <f t="shared" si="0"/>
        <v/>
      </c>
      <c r="P58" s="261"/>
      <c r="Q58" s="261"/>
      <c r="R58" s="343" t="str">
        <f t="shared" si="1"/>
        <v/>
      </c>
      <c r="S58" s="352" t="str">
        <f t="shared" si="2"/>
        <v/>
      </c>
      <c r="T58" s="593" t="str">
        <f>IFERROR(IF(S58="Check Data","Check Data",VLOOKUP(S58,'G-4 Temporal multipliers'!$A$4:$C$37,3,FALSE)),"")</f>
        <v/>
      </c>
      <c r="U58" s="592" t="str">
        <f>IF(F58="","",VLOOKUP(F58,'G-3 Multipliers'!$A$2:$E$130,2,FALSE))</f>
        <v/>
      </c>
      <c r="V58" s="343" t="str">
        <f t="shared" si="3"/>
        <v/>
      </c>
      <c r="W58" s="343" t="str">
        <f>IF(E58="","",IF(AND(V58="Standard difficulty applied",O58&gt;P58),U58,IF(AND(V58="Low Difficulty - only applicable if all habitat created before losses",P58&gt;=O58),"Low",VLOOKUP(F58,'G-3 Multipliers'!$A$2:$E$130,4,FALSE))))</f>
        <v/>
      </c>
      <c r="X58" s="345" t="str">
        <f>IFERROR(IF(E58="","",VLOOKUP(W58, 'G-3 Multipliers'!$P$2:$Q$6,2,FALSE)),””)</f>
        <v/>
      </c>
      <c r="Y58" s="266"/>
      <c r="Z58" s="172" t="str">
        <f>IF(Y58="","",IF(VLOOKUP(Y58,'G-3 Multipliers'!$S$3:$T$9,2,FALSE)=0,"Spatial Data Missing",VLOOKUP(Y58,'G-3 Multipliers'!$S$3:$T$9,2,FALSE)))</f>
        <v/>
      </c>
      <c r="AA58" s="265" t="str">
        <f t="shared" si="4"/>
        <v/>
      </c>
      <c r="AB58" s="180"/>
      <c r="AC58" s="181"/>
    </row>
    <row r="59" spans="1:29" ht="13.8" x14ac:dyDescent="0.25">
      <c r="A59" s="35" t="str">
        <f>IFERROR(INDEX('G-8 Condition Look up'!$I$4:$I$131,MATCH(F59,'G-8 Condition Look up'!$A$4:$A$131,0)),"")</f>
        <v/>
      </c>
      <c r="C59" s="363" t="str">
        <f>IFERROR(INDEX('G-1 All Habitats'!$AG$3:$AG$15,MATCH(D59,'G-1 All Habitats'!$AF$3:$AF$15,0)),"")</f>
        <v/>
      </c>
      <c r="D59" s="186"/>
      <c r="E59" s="275"/>
      <c r="F59" s="362" t="str">
        <f>IFERROR(INDEX('G-1 All Habitats'!$B$3:$B$130,MATCH(E59,'G-1 All Habitats'!$A$3:$A$130,0)),"")</f>
        <v/>
      </c>
      <c r="G59" s="598"/>
      <c r="H59" s="239" t="str">
        <f>IF(F59="","",VLOOKUP(F59,'G-1 All Habitats'!$B$2:$M$130,10,FALSE))</f>
        <v/>
      </c>
      <c r="I59" s="176" t="str">
        <f>IFERROR(VLOOKUP(H59,'G-1 All Habitats'!$V$3:$W$7,2,FALSE),"")</f>
        <v/>
      </c>
      <c r="J59" s="270"/>
      <c r="K59" s="176" t="str">
        <f>IFERROR(INDEX('G-8 Condition Look up'!$A$3:$H$131,MATCH(F59,'G-8 Condition Look up'!$A$3:$A$131,0),MATCH(J59,'G-8 Condition Look up'!$A$3:$H$3,0)),"")</f>
        <v/>
      </c>
      <c r="L59" s="173"/>
      <c r="M59" s="269" t="str">
        <f>IF(L59="","",IF(VLOOKUP(L59,'G-3 Multipliers'!$L$3:$N$6,2,FALSE)=0,"Spatial Data Missing",VLOOKUP(L59,'G-3 Multipliers'!$L$3:$N$6,2,FALSE)))</f>
        <v/>
      </c>
      <c r="N59" s="172" t="str">
        <f>IF(L59="","",IF(VLOOKUP(L59,'G-3 Multipliers'!$L$3:$N$6,3,FALSE)=0,"Spatial Data Missing",VLOOKUP(L59,'G-3 Multipliers'!$L$3:$N$6,3,FALSE)))</f>
        <v/>
      </c>
      <c r="O59" s="171" t="str">
        <f t="shared" si="0"/>
        <v/>
      </c>
      <c r="P59" s="261"/>
      <c r="Q59" s="261"/>
      <c r="R59" s="343" t="str">
        <f t="shared" si="1"/>
        <v/>
      </c>
      <c r="S59" s="352" t="str">
        <f t="shared" si="2"/>
        <v/>
      </c>
      <c r="T59" s="593" t="str">
        <f>IFERROR(IF(S59="Check Data","Check Data",VLOOKUP(S59,'G-4 Temporal multipliers'!$A$4:$C$37,3,FALSE)),"")</f>
        <v/>
      </c>
      <c r="U59" s="592" t="str">
        <f>IF(F59="","",VLOOKUP(F59,'G-3 Multipliers'!$A$2:$E$130,2,FALSE))</f>
        <v/>
      </c>
      <c r="V59" s="343" t="str">
        <f t="shared" si="3"/>
        <v/>
      </c>
      <c r="W59" s="343" t="str">
        <f>IF(E59="","",IF(AND(V59="Standard difficulty applied",O59&gt;P59),U59,IF(AND(V59="Low Difficulty - only applicable if all habitat created before losses",P59&gt;=O59),"Low",VLOOKUP(F59,'G-3 Multipliers'!$A$2:$E$130,4,FALSE))))</f>
        <v/>
      </c>
      <c r="X59" s="345" t="str">
        <f>IFERROR(IF(E59="","",VLOOKUP(W59, 'G-3 Multipliers'!$P$2:$Q$6,2,FALSE)),””)</f>
        <v/>
      </c>
      <c r="Y59" s="266"/>
      <c r="Z59" s="172" t="str">
        <f>IF(Y59="","",IF(VLOOKUP(Y59,'G-3 Multipliers'!$S$3:$T$9,2,FALSE)=0,"Spatial Data Missing",VLOOKUP(Y59,'G-3 Multipliers'!$S$3:$T$9,2,FALSE)))</f>
        <v/>
      </c>
      <c r="AA59" s="265" t="str">
        <f t="shared" si="4"/>
        <v/>
      </c>
      <c r="AB59" s="180"/>
      <c r="AC59" s="181"/>
    </row>
    <row r="60" spans="1:29" ht="13.8" x14ac:dyDescent="0.25">
      <c r="A60" s="35" t="str">
        <f>IFERROR(INDEX('G-8 Condition Look up'!$I$4:$I$131,MATCH(F60,'G-8 Condition Look up'!$A$4:$A$131,0)),"")</f>
        <v/>
      </c>
      <c r="C60" s="363" t="str">
        <f>IFERROR(INDEX('G-1 All Habitats'!$AG$3:$AG$15,MATCH(D60,'G-1 All Habitats'!$AF$3:$AF$15,0)),"")</f>
        <v/>
      </c>
      <c r="D60" s="186"/>
      <c r="E60" s="275"/>
      <c r="F60" s="362" t="str">
        <f>IFERROR(INDEX('G-1 All Habitats'!$B$3:$B$130,MATCH(E60,'G-1 All Habitats'!$A$3:$A$130,0)),"")</f>
        <v/>
      </c>
      <c r="G60" s="598"/>
      <c r="H60" s="239" t="str">
        <f>IF(F60="","",VLOOKUP(F60,'G-1 All Habitats'!$B$2:$M$130,10,FALSE))</f>
        <v/>
      </c>
      <c r="I60" s="176" t="str">
        <f>IFERROR(VLOOKUP(H60,'G-1 All Habitats'!$V$3:$W$7,2,FALSE),"")</f>
        <v/>
      </c>
      <c r="J60" s="270"/>
      <c r="K60" s="176" t="str">
        <f>IFERROR(INDEX('G-8 Condition Look up'!$A$3:$H$131,MATCH(F60,'G-8 Condition Look up'!$A$3:$A$131,0),MATCH(J60,'G-8 Condition Look up'!$A$3:$H$3,0)),"")</f>
        <v/>
      </c>
      <c r="L60" s="173"/>
      <c r="M60" s="269" t="str">
        <f>IF(L60="","",IF(VLOOKUP(L60,'G-3 Multipliers'!$L$3:$N$6,2,FALSE)=0,"Spatial Data Missing",VLOOKUP(L60,'G-3 Multipliers'!$L$3:$N$6,2,FALSE)))</f>
        <v/>
      </c>
      <c r="N60" s="172" t="str">
        <f>IF(L60="","",IF(VLOOKUP(L60,'G-3 Multipliers'!$L$3:$N$6,3,FALSE)=0,"Spatial Data Missing",VLOOKUP(L60,'G-3 Multipliers'!$L$3:$N$6,3,FALSE)))</f>
        <v/>
      </c>
      <c r="O60" s="171" t="str">
        <f t="shared" si="0"/>
        <v/>
      </c>
      <c r="P60" s="261"/>
      <c r="Q60" s="261"/>
      <c r="R60" s="343" t="str">
        <f t="shared" si="1"/>
        <v/>
      </c>
      <c r="S60" s="352" t="str">
        <f t="shared" si="2"/>
        <v/>
      </c>
      <c r="T60" s="593" t="str">
        <f>IFERROR(IF(S60="Check Data","Check Data",VLOOKUP(S60,'G-4 Temporal multipliers'!$A$4:$C$37,3,FALSE)),"")</f>
        <v/>
      </c>
      <c r="U60" s="592" t="str">
        <f>IF(F60="","",VLOOKUP(F60,'G-3 Multipliers'!$A$2:$E$130,2,FALSE))</f>
        <v/>
      </c>
      <c r="V60" s="343" t="str">
        <f t="shared" si="3"/>
        <v/>
      </c>
      <c r="W60" s="343" t="str">
        <f>IF(E60="","",IF(AND(V60="Standard difficulty applied",O60&gt;P60),U60,IF(AND(V60="Low Difficulty - only applicable if all habitat created before losses",P60&gt;=O60),"Low",VLOOKUP(F60,'G-3 Multipliers'!$A$2:$E$130,4,FALSE))))</f>
        <v/>
      </c>
      <c r="X60" s="345" t="str">
        <f>IFERROR(IF(E60="","",VLOOKUP(W60, 'G-3 Multipliers'!$P$2:$Q$6,2,FALSE)),””)</f>
        <v/>
      </c>
      <c r="Y60" s="266"/>
      <c r="Z60" s="172" t="str">
        <f>IF(Y60="","",IF(VLOOKUP(Y60,'G-3 Multipliers'!$S$3:$T$9,2,FALSE)=0,"Spatial Data Missing",VLOOKUP(Y60,'G-3 Multipliers'!$S$3:$T$9,2,FALSE)))</f>
        <v/>
      </c>
      <c r="AA60" s="265" t="str">
        <f t="shared" si="4"/>
        <v/>
      </c>
      <c r="AB60" s="180"/>
      <c r="AC60" s="181"/>
    </row>
    <row r="61" spans="1:29" ht="13.8" x14ac:dyDescent="0.25">
      <c r="A61" s="35" t="str">
        <f>IFERROR(INDEX('G-8 Condition Look up'!$I$4:$I$131,MATCH(F61,'G-8 Condition Look up'!$A$4:$A$131,0)),"")</f>
        <v/>
      </c>
      <c r="C61" s="363" t="str">
        <f>IFERROR(INDEX('G-1 All Habitats'!$AG$3:$AG$15,MATCH(D61,'G-1 All Habitats'!$AF$3:$AF$15,0)),"")</f>
        <v/>
      </c>
      <c r="D61" s="186"/>
      <c r="E61" s="275"/>
      <c r="F61" s="362" t="str">
        <f>IFERROR(INDEX('G-1 All Habitats'!$B$3:$B$130,MATCH(E61,'G-1 All Habitats'!$A$3:$A$130,0)),"")</f>
        <v/>
      </c>
      <c r="G61" s="598"/>
      <c r="H61" s="239" t="str">
        <f>IF(F61="","",VLOOKUP(F61,'G-1 All Habitats'!$B$2:$M$130,10,FALSE))</f>
        <v/>
      </c>
      <c r="I61" s="176" t="str">
        <f>IFERROR(VLOOKUP(H61,'G-1 All Habitats'!$V$3:$W$7,2,FALSE),"")</f>
        <v/>
      </c>
      <c r="J61" s="270"/>
      <c r="K61" s="176" t="str">
        <f>IFERROR(INDEX('G-8 Condition Look up'!$A$3:$H$131,MATCH(F61,'G-8 Condition Look up'!$A$3:$A$131,0),MATCH(J61,'G-8 Condition Look up'!$A$3:$H$3,0)),"")</f>
        <v/>
      </c>
      <c r="L61" s="173"/>
      <c r="M61" s="269" t="str">
        <f>IF(L61="","",IF(VLOOKUP(L61,'G-3 Multipliers'!$L$3:$N$6,2,FALSE)=0,"Spatial Data Missing",VLOOKUP(L61,'G-3 Multipliers'!$L$3:$N$6,2,FALSE)))</f>
        <v/>
      </c>
      <c r="N61" s="172" t="str">
        <f>IF(L61="","",IF(VLOOKUP(L61,'G-3 Multipliers'!$L$3:$N$6,3,FALSE)=0,"Spatial Data Missing",VLOOKUP(L61,'G-3 Multipliers'!$L$3:$N$6,3,FALSE)))</f>
        <v/>
      </c>
      <c r="O61" s="171" t="str">
        <f t="shared" si="0"/>
        <v/>
      </c>
      <c r="P61" s="261"/>
      <c r="Q61" s="261"/>
      <c r="R61" s="343" t="str">
        <f t="shared" si="1"/>
        <v/>
      </c>
      <c r="S61" s="352" t="str">
        <f t="shared" si="2"/>
        <v/>
      </c>
      <c r="T61" s="593" t="str">
        <f>IFERROR(IF(S61="Check Data","Check Data",VLOOKUP(S61,'G-4 Temporal multipliers'!$A$4:$C$37,3,FALSE)),"")</f>
        <v/>
      </c>
      <c r="U61" s="592" t="str">
        <f>IF(F61="","",VLOOKUP(F61,'G-3 Multipliers'!$A$2:$E$130,2,FALSE))</f>
        <v/>
      </c>
      <c r="V61" s="343" t="str">
        <f t="shared" si="3"/>
        <v/>
      </c>
      <c r="W61" s="343" t="str">
        <f>IF(E61="","",IF(AND(V61="Standard difficulty applied",O61&gt;P61),U61,IF(AND(V61="Low Difficulty - only applicable if all habitat created before losses",P61&gt;=O61),"Low",VLOOKUP(F61,'G-3 Multipliers'!$A$2:$E$130,4,FALSE))))</f>
        <v/>
      </c>
      <c r="X61" s="345" t="str">
        <f>IFERROR(IF(E61="","",VLOOKUP(W61, 'G-3 Multipliers'!$P$2:$Q$6,2,FALSE)),””)</f>
        <v/>
      </c>
      <c r="Y61" s="266"/>
      <c r="Z61" s="172" t="str">
        <f>IF(Y61="","",IF(VLOOKUP(Y61,'G-3 Multipliers'!$S$3:$T$9,2,FALSE)=0,"Spatial Data Missing",VLOOKUP(Y61,'G-3 Multipliers'!$S$3:$T$9,2,FALSE)))</f>
        <v/>
      </c>
      <c r="AA61" s="265" t="str">
        <f t="shared" si="4"/>
        <v/>
      </c>
      <c r="AB61" s="180"/>
      <c r="AC61" s="181"/>
    </row>
    <row r="62" spans="1:29" ht="13.8" x14ac:dyDescent="0.25">
      <c r="A62" s="35" t="str">
        <f>IFERROR(INDEX('G-8 Condition Look up'!$I$4:$I$131,MATCH(F62,'G-8 Condition Look up'!$A$4:$A$131,0)),"")</f>
        <v/>
      </c>
      <c r="C62" s="363" t="str">
        <f>IFERROR(INDEX('G-1 All Habitats'!$AG$3:$AG$15,MATCH(D62,'G-1 All Habitats'!$AF$3:$AF$15,0)),"")</f>
        <v/>
      </c>
      <c r="D62" s="186"/>
      <c r="E62" s="275"/>
      <c r="F62" s="362" t="str">
        <f>IFERROR(INDEX('G-1 All Habitats'!$B$3:$B$130,MATCH(E62,'G-1 All Habitats'!$A$3:$A$130,0)),"")</f>
        <v/>
      </c>
      <c r="G62" s="598"/>
      <c r="H62" s="239" t="str">
        <f>IF(F62="","",VLOOKUP(F62,'G-1 All Habitats'!$B$2:$M$130,10,FALSE))</f>
        <v/>
      </c>
      <c r="I62" s="176" t="str">
        <f>IFERROR(VLOOKUP(H62,'G-1 All Habitats'!$V$3:$W$7,2,FALSE),"")</f>
        <v/>
      </c>
      <c r="J62" s="270"/>
      <c r="K62" s="176" t="str">
        <f>IFERROR(INDEX('G-8 Condition Look up'!$A$3:$H$131,MATCH(F62,'G-8 Condition Look up'!$A$3:$A$131,0),MATCH(J62,'G-8 Condition Look up'!$A$3:$H$3,0)),"")</f>
        <v/>
      </c>
      <c r="L62" s="173"/>
      <c r="M62" s="269" t="str">
        <f>IF(L62="","",IF(VLOOKUP(L62,'G-3 Multipliers'!$L$3:$N$6,2,FALSE)=0,"Spatial Data Missing",VLOOKUP(L62,'G-3 Multipliers'!$L$3:$N$6,2,FALSE)))</f>
        <v/>
      </c>
      <c r="N62" s="172" t="str">
        <f>IF(L62="","",IF(VLOOKUP(L62,'G-3 Multipliers'!$L$3:$N$6,3,FALSE)=0,"Spatial Data Missing",VLOOKUP(L62,'G-3 Multipliers'!$L$3:$N$6,3,FALSE)))</f>
        <v/>
      </c>
      <c r="O62" s="171" t="str">
        <f t="shared" si="0"/>
        <v/>
      </c>
      <c r="P62" s="261"/>
      <c r="Q62" s="261"/>
      <c r="R62" s="343" t="str">
        <f t="shared" si="1"/>
        <v/>
      </c>
      <c r="S62" s="352" t="str">
        <f t="shared" si="2"/>
        <v/>
      </c>
      <c r="T62" s="593" t="str">
        <f>IFERROR(IF(S62="Check Data","Check Data",VLOOKUP(S62,'G-4 Temporal multipliers'!$A$4:$C$37,3,FALSE)),"")</f>
        <v/>
      </c>
      <c r="U62" s="592" t="str">
        <f>IF(F62="","",VLOOKUP(F62,'G-3 Multipliers'!$A$2:$E$130,2,FALSE))</f>
        <v/>
      </c>
      <c r="V62" s="343" t="str">
        <f t="shared" si="3"/>
        <v/>
      </c>
      <c r="W62" s="343" t="str">
        <f>IF(E62="","",IF(AND(V62="Standard difficulty applied",O62&gt;P62),U62,IF(AND(V62="Low Difficulty - only applicable if all habitat created before losses",P62&gt;=O62),"Low",VLOOKUP(F62,'G-3 Multipliers'!$A$2:$E$130,4,FALSE))))</f>
        <v/>
      </c>
      <c r="X62" s="345" t="str">
        <f>IFERROR(IF(E62="","",VLOOKUP(W62, 'G-3 Multipliers'!$P$2:$Q$6,2,FALSE)),””)</f>
        <v/>
      </c>
      <c r="Y62" s="266"/>
      <c r="Z62" s="172" t="str">
        <f>IF(Y62="","",IF(VLOOKUP(Y62,'G-3 Multipliers'!$S$3:$T$9,2,FALSE)=0,"Spatial Data Missing",VLOOKUP(Y62,'G-3 Multipliers'!$S$3:$T$9,2,FALSE)))</f>
        <v/>
      </c>
      <c r="AA62" s="265" t="str">
        <f t="shared" si="4"/>
        <v/>
      </c>
      <c r="AB62" s="180"/>
      <c r="AC62" s="181"/>
    </row>
    <row r="63" spans="1:29" ht="13.8" x14ac:dyDescent="0.25">
      <c r="A63" s="35" t="str">
        <f>IFERROR(INDEX('G-8 Condition Look up'!$I$4:$I$131,MATCH(F63,'G-8 Condition Look up'!$A$4:$A$131,0)),"")</f>
        <v/>
      </c>
      <c r="C63" s="363" t="str">
        <f>IFERROR(INDEX('G-1 All Habitats'!$AG$3:$AG$15,MATCH(D63,'G-1 All Habitats'!$AF$3:$AF$15,0)),"")</f>
        <v/>
      </c>
      <c r="D63" s="186"/>
      <c r="E63" s="275"/>
      <c r="F63" s="362" t="str">
        <f>IFERROR(INDEX('G-1 All Habitats'!$B$3:$B$130,MATCH(E63,'G-1 All Habitats'!$A$3:$A$130,0)),"")</f>
        <v/>
      </c>
      <c r="G63" s="598"/>
      <c r="H63" s="239" t="str">
        <f>IF(F63="","",VLOOKUP(F63,'G-1 All Habitats'!$B$2:$M$130,10,FALSE))</f>
        <v/>
      </c>
      <c r="I63" s="176" t="str">
        <f>IFERROR(VLOOKUP(H63,'G-1 All Habitats'!$V$3:$W$7,2,FALSE),"")</f>
        <v/>
      </c>
      <c r="J63" s="270"/>
      <c r="K63" s="176" t="str">
        <f>IFERROR(INDEX('G-8 Condition Look up'!$A$3:$H$131,MATCH(F63,'G-8 Condition Look up'!$A$3:$A$131,0),MATCH(J63,'G-8 Condition Look up'!$A$3:$H$3,0)),"")</f>
        <v/>
      </c>
      <c r="L63" s="173"/>
      <c r="M63" s="269" t="str">
        <f>IF(L63="","",IF(VLOOKUP(L63,'G-3 Multipliers'!$L$3:$N$6,2,FALSE)=0,"Spatial Data Missing",VLOOKUP(L63,'G-3 Multipliers'!$L$3:$N$6,2,FALSE)))</f>
        <v/>
      </c>
      <c r="N63" s="172" t="str">
        <f>IF(L63="","",IF(VLOOKUP(L63,'G-3 Multipliers'!$L$3:$N$6,3,FALSE)=0,"Spatial Data Missing",VLOOKUP(L63,'G-3 Multipliers'!$L$3:$N$6,3,FALSE)))</f>
        <v/>
      </c>
      <c r="O63" s="171" t="str">
        <f t="shared" si="0"/>
        <v/>
      </c>
      <c r="P63" s="261"/>
      <c r="Q63" s="261"/>
      <c r="R63" s="343" t="str">
        <f t="shared" si="1"/>
        <v/>
      </c>
      <c r="S63" s="352" t="str">
        <f t="shared" si="2"/>
        <v/>
      </c>
      <c r="T63" s="593" t="str">
        <f>IFERROR(IF(S63="Check Data","Check Data",VLOOKUP(S63,'G-4 Temporal multipliers'!$A$4:$C$37,3,FALSE)),"")</f>
        <v/>
      </c>
      <c r="U63" s="592" t="str">
        <f>IF(F63="","",VLOOKUP(F63,'G-3 Multipliers'!$A$2:$E$130,2,FALSE))</f>
        <v/>
      </c>
      <c r="V63" s="343" t="str">
        <f t="shared" si="3"/>
        <v/>
      </c>
      <c r="W63" s="343" t="str">
        <f>IF(E63="","",IF(AND(V63="Standard difficulty applied",O63&gt;P63),U63,IF(AND(V63="Low Difficulty - only applicable if all habitat created before losses",P63&gt;=O63),"Low",VLOOKUP(F63,'G-3 Multipliers'!$A$2:$E$130,4,FALSE))))</f>
        <v/>
      </c>
      <c r="X63" s="345" t="str">
        <f>IFERROR(IF(E63="","",VLOOKUP(W63, 'G-3 Multipliers'!$P$2:$Q$6,2,FALSE)),””)</f>
        <v/>
      </c>
      <c r="Y63" s="266"/>
      <c r="Z63" s="172" t="str">
        <f>IF(Y63="","",IF(VLOOKUP(Y63,'G-3 Multipliers'!$S$3:$T$9,2,FALSE)=0,"Spatial Data Missing",VLOOKUP(Y63,'G-3 Multipliers'!$S$3:$T$9,2,FALSE)))</f>
        <v/>
      </c>
      <c r="AA63" s="265" t="str">
        <f t="shared" si="4"/>
        <v/>
      </c>
      <c r="AB63" s="180"/>
      <c r="AC63" s="181"/>
    </row>
    <row r="64" spans="1:29" ht="13.8" x14ac:dyDescent="0.25">
      <c r="A64" s="35" t="str">
        <f>IFERROR(INDEX('G-8 Condition Look up'!$I$4:$I$131,MATCH(F64,'G-8 Condition Look up'!$A$4:$A$131,0)),"")</f>
        <v/>
      </c>
      <c r="C64" s="363" t="str">
        <f>IFERROR(INDEX('G-1 All Habitats'!$AG$3:$AG$15,MATCH(D64,'G-1 All Habitats'!$AF$3:$AF$15,0)),"")</f>
        <v/>
      </c>
      <c r="D64" s="186"/>
      <c r="E64" s="275"/>
      <c r="F64" s="362" t="str">
        <f>IFERROR(INDEX('G-1 All Habitats'!$B$3:$B$130,MATCH(E64,'G-1 All Habitats'!$A$3:$A$130,0)),"")</f>
        <v/>
      </c>
      <c r="G64" s="598"/>
      <c r="H64" s="239" t="str">
        <f>IF(F64="","",VLOOKUP(F64,'G-1 All Habitats'!$B$2:$M$130,10,FALSE))</f>
        <v/>
      </c>
      <c r="I64" s="176" t="str">
        <f>IFERROR(VLOOKUP(H64,'G-1 All Habitats'!$V$3:$W$7,2,FALSE),"")</f>
        <v/>
      </c>
      <c r="J64" s="270"/>
      <c r="K64" s="176" t="str">
        <f>IFERROR(INDEX('G-8 Condition Look up'!$A$3:$H$131,MATCH(F64,'G-8 Condition Look up'!$A$3:$A$131,0),MATCH(J64,'G-8 Condition Look up'!$A$3:$H$3,0)),"")</f>
        <v/>
      </c>
      <c r="L64" s="173"/>
      <c r="M64" s="269" t="str">
        <f>IF(L64="","",IF(VLOOKUP(L64,'G-3 Multipliers'!$L$3:$N$6,2,FALSE)=0,"Spatial Data Missing",VLOOKUP(L64,'G-3 Multipliers'!$L$3:$N$6,2,FALSE)))</f>
        <v/>
      </c>
      <c r="N64" s="172" t="str">
        <f>IF(L64="","",IF(VLOOKUP(L64,'G-3 Multipliers'!$L$3:$N$6,3,FALSE)=0,"Spatial Data Missing",VLOOKUP(L64,'G-3 Multipliers'!$L$3:$N$6,3,FALSE)))</f>
        <v/>
      </c>
      <c r="O64" s="171" t="str">
        <f t="shared" si="0"/>
        <v/>
      </c>
      <c r="P64" s="261"/>
      <c r="Q64" s="261"/>
      <c r="R64" s="343" t="str">
        <f t="shared" si="1"/>
        <v/>
      </c>
      <c r="S64" s="352" t="str">
        <f t="shared" si="2"/>
        <v/>
      </c>
      <c r="T64" s="593" t="str">
        <f>IFERROR(IF(S64="Check Data","Check Data",VLOOKUP(S64,'G-4 Temporal multipliers'!$A$4:$C$37,3,FALSE)),"")</f>
        <v/>
      </c>
      <c r="U64" s="592" t="str">
        <f>IF(F64="","",VLOOKUP(F64,'G-3 Multipliers'!$A$2:$E$130,2,FALSE))</f>
        <v/>
      </c>
      <c r="V64" s="343" t="str">
        <f t="shared" si="3"/>
        <v/>
      </c>
      <c r="W64" s="343" t="str">
        <f>IF(E64="","",IF(AND(V64="Standard difficulty applied",O64&gt;P64),U64,IF(AND(V64="Low Difficulty - only applicable if all habitat created before losses",P64&gt;=O64),"Low",VLOOKUP(F64,'G-3 Multipliers'!$A$2:$E$130,4,FALSE))))</f>
        <v/>
      </c>
      <c r="X64" s="345" t="str">
        <f>IFERROR(IF(E64="","",VLOOKUP(W64, 'G-3 Multipliers'!$P$2:$Q$6,2,FALSE)),””)</f>
        <v/>
      </c>
      <c r="Y64" s="266"/>
      <c r="Z64" s="172" t="str">
        <f>IF(Y64="","",IF(VLOOKUP(Y64,'G-3 Multipliers'!$S$3:$T$9,2,FALSE)=0,"Spatial Data Missing",VLOOKUP(Y64,'G-3 Multipliers'!$S$3:$T$9,2,FALSE)))</f>
        <v/>
      </c>
      <c r="AA64" s="265" t="str">
        <f t="shared" si="4"/>
        <v/>
      </c>
      <c r="AB64" s="180"/>
      <c r="AC64" s="181"/>
    </row>
    <row r="65" spans="1:29" ht="13.8" x14ac:dyDescent="0.25">
      <c r="A65" s="35" t="str">
        <f>IFERROR(INDEX('G-8 Condition Look up'!$I$4:$I$131,MATCH(F65,'G-8 Condition Look up'!$A$4:$A$131,0)),"")</f>
        <v/>
      </c>
      <c r="C65" s="363" t="str">
        <f>IFERROR(INDEX('G-1 All Habitats'!$AG$3:$AG$15,MATCH(D65,'G-1 All Habitats'!$AF$3:$AF$15,0)),"")</f>
        <v/>
      </c>
      <c r="D65" s="186"/>
      <c r="E65" s="275"/>
      <c r="F65" s="362" t="str">
        <f>IFERROR(INDEX('G-1 All Habitats'!$B$3:$B$130,MATCH(E65,'G-1 All Habitats'!$A$3:$A$130,0)),"")</f>
        <v/>
      </c>
      <c r="G65" s="598"/>
      <c r="H65" s="239" t="str">
        <f>IF(F65="","",VLOOKUP(F65,'G-1 All Habitats'!$B$2:$M$130,10,FALSE))</f>
        <v/>
      </c>
      <c r="I65" s="176" t="str">
        <f>IFERROR(VLOOKUP(H65,'G-1 All Habitats'!$V$3:$W$7,2,FALSE),"")</f>
        <v/>
      </c>
      <c r="J65" s="270"/>
      <c r="K65" s="176" t="str">
        <f>IFERROR(INDEX('G-8 Condition Look up'!$A$3:$H$131,MATCH(F65,'G-8 Condition Look up'!$A$3:$A$131,0),MATCH(J65,'G-8 Condition Look up'!$A$3:$H$3,0)),"")</f>
        <v/>
      </c>
      <c r="L65" s="173"/>
      <c r="M65" s="269" t="str">
        <f>IF(L65="","",IF(VLOOKUP(L65,'G-3 Multipliers'!$L$3:$N$6,2,FALSE)=0,"Spatial Data Missing",VLOOKUP(L65,'G-3 Multipliers'!$L$3:$N$6,2,FALSE)))</f>
        <v/>
      </c>
      <c r="N65" s="172" t="str">
        <f>IF(L65="","",IF(VLOOKUP(L65,'G-3 Multipliers'!$L$3:$N$6,3,FALSE)=0,"Spatial Data Missing",VLOOKUP(L65,'G-3 Multipliers'!$L$3:$N$6,3,FALSE)))</f>
        <v/>
      </c>
      <c r="O65" s="171" t="str">
        <f t="shared" si="0"/>
        <v/>
      </c>
      <c r="P65" s="261"/>
      <c r="Q65" s="261"/>
      <c r="R65" s="343" t="str">
        <f t="shared" si="1"/>
        <v/>
      </c>
      <c r="S65" s="352" t="str">
        <f t="shared" si="2"/>
        <v/>
      </c>
      <c r="T65" s="593" t="str">
        <f>IFERROR(IF(S65="Check Data","Check Data",VLOOKUP(S65,'G-4 Temporal multipliers'!$A$4:$C$37,3,FALSE)),"")</f>
        <v/>
      </c>
      <c r="U65" s="592" t="str">
        <f>IF(F65="","",VLOOKUP(F65,'G-3 Multipliers'!$A$2:$E$130,2,FALSE))</f>
        <v/>
      </c>
      <c r="V65" s="343" t="str">
        <f t="shared" si="3"/>
        <v/>
      </c>
      <c r="W65" s="343" t="str">
        <f>IF(E65="","",IF(AND(V65="Standard difficulty applied",O65&gt;P65),U65,IF(AND(V65="Low Difficulty - only applicable if all habitat created before losses",P65&gt;=O65),"Low",VLOOKUP(F65,'G-3 Multipliers'!$A$2:$E$130,4,FALSE))))</f>
        <v/>
      </c>
      <c r="X65" s="345" t="str">
        <f>IFERROR(IF(E65="","",VLOOKUP(W65, 'G-3 Multipliers'!$P$2:$Q$6,2,FALSE)),””)</f>
        <v/>
      </c>
      <c r="Y65" s="266"/>
      <c r="Z65" s="172" t="str">
        <f>IF(Y65="","",IF(VLOOKUP(Y65,'G-3 Multipliers'!$S$3:$T$9,2,FALSE)=0,"Spatial Data Missing",VLOOKUP(Y65,'G-3 Multipliers'!$S$3:$T$9,2,FALSE)))</f>
        <v/>
      </c>
      <c r="AA65" s="265" t="str">
        <f t="shared" si="4"/>
        <v/>
      </c>
      <c r="AB65" s="180"/>
      <c r="AC65" s="181"/>
    </row>
    <row r="66" spans="1:29" ht="13.8" x14ac:dyDescent="0.25">
      <c r="A66" s="35" t="str">
        <f>IFERROR(INDEX('G-8 Condition Look up'!$I$4:$I$131,MATCH(F66,'G-8 Condition Look up'!$A$4:$A$131,0)),"")</f>
        <v/>
      </c>
      <c r="C66" s="363" t="str">
        <f>IFERROR(INDEX('G-1 All Habitats'!$AG$3:$AG$15,MATCH(D66,'G-1 All Habitats'!$AF$3:$AF$15,0)),"")</f>
        <v/>
      </c>
      <c r="D66" s="186"/>
      <c r="E66" s="275"/>
      <c r="F66" s="362" t="str">
        <f>IFERROR(INDEX('G-1 All Habitats'!$B$3:$B$130,MATCH(E66,'G-1 All Habitats'!$A$3:$A$130,0)),"")</f>
        <v/>
      </c>
      <c r="G66" s="598"/>
      <c r="H66" s="239" t="str">
        <f>IF(F66="","",VLOOKUP(F66,'G-1 All Habitats'!$B$2:$M$130,10,FALSE))</f>
        <v/>
      </c>
      <c r="I66" s="176" t="str">
        <f>IFERROR(VLOOKUP(H66,'G-1 All Habitats'!$V$3:$W$7,2,FALSE),"")</f>
        <v/>
      </c>
      <c r="J66" s="270"/>
      <c r="K66" s="176" t="str">
        <f>IFERROR(INDEX('G-8 Condition Look up'!$A$3:$H$131,MATCH(F66,'G-8 Condition Look up'!$A$3:$A$131,0),MATCH(J66,'G-8 Condition Look up'!$A$3:$H$3,0)),"")</f>
        <v/>
      </c>
      <c r="L66" s="173"/>
      <c r="M66" s="269" t="str">
        <f>IF(L66="","",IF(VLOOKUP(L66,'G-3 Multipliers'!$L$3:$N$6,2,FALSE)=0,"Spatial Data Missing",VLOOKUP(L66,'G-3 Multipliers'!$L$3:$N$6,2,FALSE)))</f>
        <v/>
      </c>
      <c r="N66" s="172" t="str">
        <f>IF(L66="","",IF(VLOOKUP(L66,'G-3 Multipliers'!$L$3:$N$6,3,FALSE)=0,"Spatial Data Missing",VLOOKUP(L66,'G-3 Multipliers'!$L$3:$N$6,3,FALSE)))</f>
        <v/>
      </c>
      <c r="O66" s="171" t="str">
        <f t="shared" si="0"/>
        <v/>
      </c>
      <c r="P66" s="261"/>
      <c r="Q66" s="261"/>
      <c r="R66" s="343" t="str">
        <f t="shared" si="1"/>
        <v/>
      </c>
      <c r="S66" s="352" t="str">
        <f t="shared" si="2"/>
        <v/>
      </c>
      <c r="T66" s="593" t="str">
        <f>IFERROR(IF(S66="Check Data","Check Data",VLOOKUP(S66,'G-4 Temporal multipliers'!$A$4:$C$37,3,FALSE)),"")</f>
        <v/>
      </c>
      <c r="U66" s="592" t="str">
        <f>IF(F66="","",VLOOKUP(F66,'G-3 Multipliers'!$A$2:$E$130,2,FALSE))</f>
        <v/>
      </c>
      <c r="V66" s="343" t="str">
        <f t="shared" si="3"/>
        <v/>
      </c>
      <c r="W66" s="343" t="str">
        <f>IF(E66="","",IF(AND(V66="Standard difficulty applied",O66&gt;P66),U66,IF(AND(V66="Low Difficulty - only applicable if all habitat created before losses",P66&gt;=O66),"Low",VLOOKUP(F66,'G-3 Multipliers'!$A$2:$E$130,4,FALSE))))</f>
        <v/>
      </c>
      <c r="X66" s="345" t="str">
        <f>IFERROR(IF(E66="","",VLOOKUP(W66, 'G-3 Multipliers'!$P$2:$Q$6,2,FALSE)),””)</f>
        <v/>
      </c>
      <c r="Y66" s="266"/>
      <c r="Z66" s="172" t="str">
        <f>IF(Y66="","",IF(VLOOKUP(Y66,'G-3 Multipliers'!$S$3:$T$9,2,FALSE)=0,"Spatial Data Missing",VLOOKUP(Y66,'G-3 Multipliers'!$S$3:$T$9,2,FALSE)))</f>
        <v/>
      </c>
      <c r="AA66" s="265" t="str">
        <f t="shared" si="4"/>
        <v/>
      </c>
      <c r="AB66" s="180"/>
      <c r="AC66" s="181"/>
    </row>
    <row r="67" spans="1:29" ht="13.8" x14ac:dyDescent="0.25">
      <c r="A67" s="35" t="str">
        <f>IFERROR(INDEX('G-8 Condition Look up'!$I$4:$I$131,MATCH(F67,'G-8 Condition Look up'!$A$4:$A$131,0)),"")</f>
        <v/>
      </c>
      <c r="C67" s="363" t="str">
        <f>IFERROR(INDEX('G-1 All Habitats'!$AG$3:$AG$15,MATCH(D67,'G-1 All Habitats'!$AF$3:$AF$15,0)),"")</f>
        <v/>
      </c>
      <c r="D67" s="186"/>
      <c r="E67" s="275"/>
      <c r="F67" s="362" t="str">
        <f>IFERROR(INDEX('G-1 All Habitats'!$B$3:$B$130,MATCH(E67,'G-1 All Habitats'!$A$3:$A$130,0)),"")</f>
        <v/>
      </c>
      <c r="G67" s="598"/>
      <c r="H67" s="239" t="str">
        <f>IF(F67="","",VLOOKUP(F67,'G-1 All Habitats'!$B$2:$M$130,10,FALSE))</f>
        <v/>
      </c>
      <c r="I67" s="176" t="str">
        <f>IFERROR(VLOOKUP(H67,'G-1 All Habitats'!$V$3:$W$7,2,FALSE),"")</f>
        <v/>
      </c>
      <c r="J67" s="270"/>
      <c r="K67" s="176" t="str">
        <f>IFERROR(INDEX('G-8 Condition Look up'!$A$3:$H$131,MATCH(F67,'G-8 Condition Look up'!$A$3:$A$131,0),MATCH(J67,'G-8 Condition Look up'!$A$3:$H$3,0)),"")</f>
        <v/>
      </c>
      <c r="L67" s="173"/>
      <c r="M67" s="269" t="str">
        <f>IF(L67="","",IF(VLOOKUP(L67,'G-3 Multipliers'!$L$3:$N$6,2,FALSE)=0,"Spatial Data Missing",VLOOKUP(L67,'G-3 Multipliers'!$L$3:$N$6,2,FALSE)))</f>
        <v/>
      </c>
      <c r="N67" s="172" t="str">
        <f>IF(L67="","",IF(VLOOKUP(L67,'G-3 Multipliers'!$L$3:$N$6,3,FALSE)=0,"Spatial Data Missing",VLOOKUP(L67,'G-3 Multipliers'!$L$3:$N$6,3,FALSE)))</f>
        <v/>
      </c>
      <c r="O67" s="171" t="str">
        <f t="shared" si="0"/>
        <v/>
      </c>
      <c r="P67" s="261"/>
      <c r="Q67" s="261"/>
      <c r="R67" s="343" t="str">
        <f t="shared" si="1"/>
        <v/>
      </c>
      <c r="S67" s="352" t="str">
        <f t="shared" si="2"/>
        <v/>
      </c>
      <c r="T67" s="593" t="str">
        <f>IFERROR(IF(S67="Check Data","Check Data",VLOOKUP(S67,'G-4 Temporal multipliers'!$A$4:$C$37,3,FALSE)),"")</f>
        <v/>
      </c>
      <c r="U67" s="592" t="str">
        <f>IF(F67="","",VLOOKUP(F67,'G-3 Multipliers'!$A$2:$E$130,2,FALSE))</f>
        <v/>
      </c>
      <c r="V67" s="343" t="str">
        <f t="shared" si="3"/>
        <v/>
      </c>
      <c r="W67" s="343" t="str">
        <f>IF(E67="","",IF(AND(V67="Standard difficulty applied",O67&gt;P67),U67,IF(AND(V67="Low Difficulty - only applicable if all habitat created before losses",P67&gt;=O67),"Low",VLOOKUP(F67,'G-3 Multipliers'!$A$2:$E$130,4,FALSE))))</f>
        <v/>
      </c>
      <c r="X67" s="345" t="str">
        <f>IFERROR(IF(E67="","",VLOOKUP(W67, 'G-3 Multipliers'!$P$2:$Q$6,2,FALSE)),””)</f>
        <v/>
      </c>
      <c r="Y67" s="266"/>
      <c r="Z67" s="172" t="str">
        <f>IF(Y67="","",IF(VLOOKUP(Y67,'G-3 Multipliers'!$S$3:$T$9,2,FALSE)=0,"Spatial Data Missing",VLOOKUP(Y67,'G-3 Multipliers'!$S$3:$T$9,2,FALSE)))</f>
        <v/>
      </c>
      <c r="AA67" s="265" t="str">
        <f t="shared" si="4"/>
        <v/>
      </c>
      <c r="AB67" s="180"/>
      <c r="AC67" s="181"/>
    </row>
    <row r="68" spans="1:29" ht="13.8" x14ac:dyDescent="0.25">
      <c r="A68" s="35" t="str">
        <f>IFERROR(INDEX('G-8 Condition Look up'!$I$4:$I$131,MATCH(F68,'G-8 Condition Look up'!$A$4:$A$131,0)),"")</f>
        <v/>
      </c>
      <c r="C68" s="363" t="str">
        <f>IFERROR(INDEX('G-1 All Habitats'!$AG$3:$AG$15,MATCH(D68,'G-1 All Habitats'!$AF$3:$AF$15,0)),"")</f>
        <v/>
      </c>
      <c r="D68" s="186"/>
      <c r="E68" s="275"/>
      <c r="F68" s="362" t="str">
        <f>IFERROR(INDEX('G-1 All Habitats'!$B$3:$B$130,MATCH(E68,'G-1 All Habitats'!$A$3:$A$130,0)),"")</f>
        <v/>
      </c>
      <c r="G68" s="598"/>
      <c r="H68" s="239" t="str">
        <f>IF(F68="","",VLOOKUP(F68,'G-1 All Habitats'!$B$2:$M$130,10,FALSE))</f>
        <v/>
      </c>
      <c r="I68" s="176" t="str">
        <f>IFERROR(VLOOKUP(H68,'G-1 All Habitats'!$V$3:$W$7,2,FALSE),"")</f>
        <v/>
      </c>
      <c r="J68" s="270"/>
      <c r="K68" s="176" t="str">
        <f>IFERROR(INDEX('G-8 Condition Look up'!$A$3:$H$131,MATCH(F68,'G-8 Condition Look up'!$A$3:$A$131,0),MATCH(J68,'G-8 Condition Look up'!$A$3:$H$3,0)),"")</f>
        <v/>
      </c>
      <c r="L68" s="173"/>
      <c r="M68" s="269" t="str">
        <f>IF(L68="","",IF(VLOOKUP(L68,'G-3 Multipliers'!$L$3:$N$6,2,FALSE)=0,"Spatial Data Missing",VLOOKUP(L68,'G-3 Multipliers'!$L$3:$N$6,2,FALSE)))</f>
        <v/>
      </c>
      <c r="N68" s="172" t="str">
        <f>IF(L68="","",IF(VLOOKUP(L68,'G-3 Multipliers'!$L$3:$N$6,3,FALSE)=0,"Spatial Data Missing",VLOOKUP(L68,'G-3 Multipliers'!$L$3:$N$6,3,FALSE)))</f>
        <v/>
      </c>
      <c r="O68" s="171" t="str">
        <f t="shared" si="0"/>
        <v/>
      </c>
      <c r="P68" s="261"/>
      <c r="Q68" s="261"/>
      <c r="R68" s="343" t="str">
        <f t="shared" si="1"/>
        <v/>
      </c>
      <c r="S68" s="352" t="str">
        <f t="shared" si="2"/>
        <v/>
      </c>
      <c r="T68" s="593" t="str">
        <f>IFERROR(IF(S68="Check Data","Check Data",VLOOKUP(S68,'G-4 Temporal multipliers'!$A$4:$C$37,3,FALSE)),"")</f>
        <v/>
      </c>
      <c r="U68" s="592" t="str">
        <f>IF(F68="","",VLOOKUP(F68,'G-3 Multipliers'!$A$2:$E$130,2,FALSE))</f>
        <v/>
      </c>
      <c r="V68" s="343" t="str">
        <f t="shared" si="3"/>
        <v/>
      </c>
      <c r="W68" s="343" t="str">
        <f>IF(E68="","",IF(AND(V68="Standard difficulty applied",O68&gt;P68),U68,IF(AND(V68="Low Difficulty - only applicable if all habitat created before losses",P68&gt;=O68),"Low",VLOOKUP(F68,'G-3 Multipliers'!$A$2:$E$130,4,FALSE))))</f>
        <v/>
      </c>
      <c r="X68" s="345" t="str">
        <f>IFERROR(IF(E68="","",VLOOKUP(W68, 'G-3 Multipliers'!$P$2:$Q$6,2,FALSE)),””)</f>
        <v/>
      </c>
      <c r="Y68" s="266"/>
      <c r="Z68" s="172" t="str">
        <f>IF(Y68="","",IF(VLOOKUP(Y68,'G-3 Multipliers'!$S$3:$T$9,2,FALSE)=0,"Spatial Data Missing",VLOOKUP(Y68,'G-3 Multipliers'!$S$3:$T$9,2,FALSE)))</f>
        <v/>
      </c>
      <c r="AA68" s="265" t="str">
        <f t="shared" si="4"/>
        <v/>
      </c>
      <c r="AB68" s="180"/>
      <c r="AC68" s="181"/>
    </row>
    <row r="69" spans="1:29" ht="13.8" x14ac:dyDescent="0.25">
      <c r="A69" s="35" t="str">
        <f>IFERROR(INDEX('G-8 Condition Look up'!$I$4:$I$131,MATCH(F69,'G-8 Condition Look up'!$A$4:$A$131,0)),"")</f>
        <v/>
      </c>
      <c r="C69" s="363" t="str">
        <f>IFERROR(INDEX('G-1 All Habitats'!$AG$3:$AG$15,MATCH(D69,'G-1 All Habitats'!$AF$3:$AF$15,0)),"")</f>
        <v/>
      </c>
      <c r="D69" s="186"/>
      <c r="E69" s="275"/>
      <c r="F69" s="362" t="str">
        <f>IFERROR(INDEX('G-1 All Habitats'!$B$3:$B$130,MATCH(E69,'G-1 All Habitats'!$A$3:$A$130,0)),"")</f>
        <v/>
      </c>
      <c r="G69" s="598"/>
      <c r="H69" s="239" t="str">
        <f>IF(F69="","",VLOOKUP(F69,'G-1 All Habitats'!$B$2:$M$130,10,FALSE))</f>
        <v/>
      </c>
      <c r="I69" s="176" t="str">
        <f>IFERROR(VLOOKUP(H69,'G-1 All Habitats'!$V$3:$W$7,2,FALSE),"")</f>
        <v/>
      </c>
      <c r="J69" s="270"/>
      <c r="K69" s="176" t="str">
        <f>IFERROR(INDEX('G-8 Condition Look up'!$A$3:$H$131,MATCH(F69,'G-8 Condition Look up'!$A$3:$A$131,0),MATCH(J69,'G-8 Condition Look up'!$A$3:$H$3,0)),"")</f>
        <v/>
      </c>
      <c r="L69" s="173"/>
      <c r="M69" s="269" t="str">
        <f>IF(L69="","",IF(VLOOKUP(L69,'G-3 Multipliers'!$L$3:$N$6,2,FALSE)=0,"Spatial Data Missing",VLOOKUP(L69,'G-3 Multipliers'!$L$3:$N$6,2,FALSE)))</f>
        <v/>
      </c>
      <c r="N69" s="172" t="str">
        <f>IF(L69="","",IF(VLOOKUP(L69,'G-3 Multipliers'!$L$3:$N$6,3,FALSE)=0,"Spatial Data Missing",VLOOKUP(L69,'G-3 Multipliers'!$L$3:$N$6,3,FALSE)))</f>
        <v/>
      </c>
      <c r="O69" s="171" t="str">
        <f t="shared" si="0"/>
        <v/>
      </c>
      <c r="P69" s="261"/>
      <c r="Q69" s="261"/>
      <c r="R69" s="343" t="str">
        <f t="shared" si="1"/>
        <v/>
      </c>
      <c r="S69" s="352" t="str">
        <f t="shared" si="2"/>
        <v/>
      </c>
      <c r="T69" s="593" t="str">
        <f>IFERROR(IF(S69="Check Data","Check Data",VLOOKUP(S69,'G-4 Temporal multipliers'!$A$4:$C$37,3,FALSE)),"")</f>
        <v/>
      </c>
      <c r="U69" s="592" t="str">
        <f>IF(F69="","",VLOOKUP(F69,'G-3 Multipliers'!$A$2:$E$130,2,FALSE))</f>
        <v/>
      </c>
      <c r="V69" s="343" t="str">
        <f t="shared" si="3"/>
        <v/>
      </c>
      <c r="W69" s="343" t="str">
        <f>IF(E69="","",IF(AND(V69="Standard difficulty applied",O69&gt;P69),U69,IF(AND(V69="Low Difficulty - only applicable if all habitat created before losses",P69&gt;=O69),"Low",VLOOKUP(F69,'G-3 Multipliers'!$A$2:$E$130,4,FALSE))))</f>
        <v/>
      </c>
      <c r="X69" s="345" t="str">
        <f>IFERROR(IF(E69="","",VLOOKUP(W69, 'G-3 Multipliers'!$P$2:$Q$6,2,FALSE)),””)</f>
        <v/>
      </c>
      <c r="Y69" s="266"/>
      <c r="Z69" s="172" t="str">
        <f>IF(Y69="","",IF(VLOOKUP(Y69,'G-3 Multipliers'!$S$3:$T$9,2,FALSE)=0,"Spatial Data Missing",VLOOKUP(Y69,'G-3 Multipliers'!$S$3:$T$9,2,FALSE)))</f>
        <v/>
      </c>
      <c r="AA69" s="265" t="str">
        <f t="shared" si="4"/>
        <v/>
      </c>
      <c r="AB69" s="180"/>
      <c r="AC69" s="181"/>
    </row>
    <row r="70" spans="1:29" ht="13.8" x14ac:dyDescent="0.25">
      <c r="A70" s="35" t="str">
        <f>IFERROR(INDEX('G-8 Condition Look up'!$I$4:$I$131,MATCH(F70,'G-8 Condition Look up'!$A$4:$A$131,0)),"")</f>
        <v/>
      </c>
      <c r="C70" s="363" t="str">
        <f>IFERROR(INDEX('G-1 All Habitats'!$AG$3:$AG$15,MATCH(D70,'G-1 All Habitats'!$AF$3:$AF$15,0)),"")</f>
        <v/>
      </c>
      <c r="D70" s="186"/>
      <c r="E70" s="275"/>
      <c r="F70" s="362" t="str">
        <f>IFERROR(INDEX('G-1 All Habitats'!$B$3:$B$130,MATCH(E70,'G-1 All Habitats'!$A$3:$A$130,0)),"")</f>
        <v/>
      </c>
      <c r="G70" s="598"/>
      <c r="H70" s="239" t="str">
        <f>IF(F70="","",VLOOKUP(F70,'G-1 All Habitats'!$B$2:$M$130,10,FALSE))</f>
        <v/>
      </c>
      <c r="I70" s="176" t="str">
        <f>IFERROR(VLOOKUP(H70,'G-1 All Habitats'!$V$3:$W$7,2,FALSE),"")</f>
        <v/>
      </c>
      <c r="J70" s="270"/>
      <c r="K70" s="176" t="str">
        <f>IFERROR(INDEX('G-8 Condition Look up'!$A$3:$H$131,MATCH(F70,'G-8 Condition Look up'!$A$3:$A$131,0),MATCH(J70,'G-8 Condition Look up'!$A$3:$H$3,0)),"")</f>
        <v/>
      </c>
      <c r="L70" s="173"/>
      <c r="M70" s="269" t="str">
        <f>IF(L70="","",IF(VLOOKUP(L70,'G-3 Multipliers'!$L$3:$N$6,2,FALSE)=0,"Spatial Data Missing",VLOOKUP(L70,'G-3 Multipliers'!$L$3:$N$6,2,FALSE)))</f>
        <v/>
      </c>
      <c r="N70" s="172" t="str">
        <f>IF(L70="","",IF(VLOOKUP(L70,'G-3 Multipliers'!$L$3:$N$6,3,FALSE)=0,"Spatial Data Missing",VLOOKUP(L70,'G-3 Multipliers'!$L$3:$N$6,3,FALSE)))</f>
        <v/>
      </c>
      <c r="O70" s="171" t="str">
        <f t="shared" si="0"/>
        <v/>
      </c>
      <c r="P70" s="261"/>
      <c r="Q70" s="261"/>
      <c r="R70" s="343" t="str">
        <f t="shared" si="1"/>
        <v/>
      </c>
      <c r="S70" s="352" t="str">
        <f t="shared" si="2"/>
        <v/>
      </c>
      <c r="T70" s="593" t="str">
        <f>IFERROR(IF(S70="Check Data","Check Data",VLOOKUP(S70,'G-4 Temporal multipliers'!$A$4:$C$37,3,FALSE)),"")</f>
        <v/>
      </c>
      <c r="U70" s="592" t="str">
        <f>IF(F70="","",VLOOKUP(F70,'G-3 Multipliers'!$A$2:$E$130,2,FALSE))</f>
        <v/>
      </c>
      <c r="V70" s="343" t="str">
        <f t="shared" si="3"/>
        <v/>
      </c>
      <c r="W70" s="343" t="str">
        <f>IF(E70="","",IF(AND(V70="Standard difficulty applied",O70&gt;P70),U70,IF(AND(V70="Low Difficulty - only applicable if all habitat created before losses",P70&gt;=O70),"Low",VLOOKUP(F70,'G-3 Multipliers'!$A$2:$E$130,4,FALSE))))</f>
        <v/>
      </c>
      <c r="X70" s="345" t="str">
        <f>IFERROR(IF(E70="","",VLOOKUP(W70, 'G-3 Multipliers'!$P$2:$Q$6,2,FALSE)),””)</f>
        <v/>
      </c>
      <c r="Y70" s="266"/>
      <c r="Z70" s="172" t="str">
        <f>IF(Y70="","",IF(VLOOKUP(Y70,'G-3 Multipliers'!$S$3:$T$9,2,FALSE)=0,"Spatial Data Missing",VLOOKUP(Y70,'G-3 Multipliers'!$S$3:$T$9,2,FALSE)))</f>
        <v/>
      </c>
      <c r="AA70" s="265" t="str">
        <f t="shared" si="4"/>
        <v/>
      </c>
      <c r="AB70" s="180"/>
      <c r="AC70" s="181"/>
    </row>
    <row r="71" spans="1:29" ht="13.8" x14ac:dyDescent="0.25">
      <c r="A71" s="35" t="str">
        <f>IFERROR(INDEX('G-8 Condition Look up'!$I$4:$I$131,MATCH(F71,'G-8 Condition Look up'!$A$4:$A$131,0)),"")</f>
        <v/>
      </c>
      <c r="C71" s="363" t="str">
        <f>IFERROR(INDEX('G-1 All Habitats'!$AG$3:$AG$15,MATCH(D71,'G-1 All Habitats'!$AF$3:$AF$15,0)),"")</f>
        <v/>
      </c>
      <c r="D71" s="186"/>
      <c r="E71" s="275"/>
      <c r="F71" s="362" t="str">
        <f>IFERROR(INDEX('G-1 All Habitats'!$B$3:$B$130,MATCH(E71,'G-1 All Habitats'!$A$3:$A$130,0)),"")</f>
        <v/>
      </c>
      <c r="G71" s="598"/>
      <c r="H71" s="239" t="str">
        <f>IF(F71="","",VLOOKUP(F71,'G-1 All Habitats'!$B$2:$M$130,10,FALSE))</f>
        <v/>
      </c>
      <c r="I71" s="176" t="str">
        <f>IFERROR(VLOOKUP(H71,'G-1 All Habitats'!$V$3:$W$7,2,FALSE),"")</f>
        <v/>
      </c>
      <c r="J71" s="270"/>
      <c r="K71" s="176" t="str">
        <f>IFERROR(INDEX('G-8 Condition Look up'!$A$3:$H$131,MATCH(F71,'G-8 Condition Look up'!$A$3:$A$131,0),MATCH(J71,'G-8 Condition Look up'!$A$3:$H$3,0)),"")</f>
        <v/>
      </c>
      <c r="L71" s="173"/>
      <c r="M71" s="269" t="str">
        <f>IF(L71="","",IF(VLOOKUP(L71,'G-3 Multipliers'!$L$3:$N$6,2,FALSE)=0,"Spatial Data Missing",VLOOKUP(L71,'G-3 Multipliers'!$L$3:$N$6,2,FALSE)))</f>
        <v/>
      </c>
      <c r="N71" s="172" t="str">
        <f>IF(L71="","",IF(VLOOKUP(L71,'G-3 Multipliers'!$L$3:$N$6,3,FALSE)=0,"Spatial Data Missing",VLOOKUP(L71,'G-3 Multipliers'!$L$3:$N$6,3,FALSE)))</f>
        <v/>
      </c>
      <c r="O71" s="171" t="str">
        <f t="shared" si="0"/>
        <v/>
      </c>
      <c r="P71" s="261"/>
      <c r="Q71" s="261"/>
      <c r="R71" s="343" t="str">
        <f t="shared" si="1"/>
        <v/>
      </c>
      <c r="S71" s="352" t="str">
        <f t="shared" si="2"/>
        <v/>
      </c>
      <c r="T71" s="593" t="str">
        <f>IFERROR(IF(S71="Check Data","Check Data",VLOOKUP(S71,'G-4 Temporal multipliers'!$A$4:$C$37,3,FALSE)),"")</f>
        <v/>
      </c>
      <c r="U71" s="592" t="str">
        <f>IF(F71="","",VLOOKUP(F71,'G-3 Multipliers'!$A$2:$E$130,2,FALSE))</f>
        <v/>
      </c>
      <c r="V71" s="343" t="str">
        <f t="shared" si="3"/>
        <v/>
      </c>
      <c r="W71" s="343" t="str">
        <f>IF(E71="","",IF(AND(V71="Standard difficulty applied",O71&gt;P71),U71,IF(AND(V71="Low Difficulty - only applicable if all habitat created before losses",P71&gt;=O71),"Low",VLOOKUP(F71,'G-3 Multipliers'!$A$2:$E$130,4,FALSE))))</f>
        <v/>
      </c>
      <c r="X71" s="345" t="str">
        <f>IFERROR(IF(E71="","",VLOOKUP(W71, 'G-3 Multipliers'!$P$2:$Q$6,2,FALSE)),””)</f>
        <v/>
      </c>
      <c r="Y71" s="266"/>
      <c r="Z71" s="172" t="str">
        <f>IF(Y71="","",IF(VLOOKUP(Y71,'G-3 Multipliers'!$S$3:$T$9,2,FALSE)=0,"Spatial Data Missing",VLOOKUP(Y71,'G-3 Multipliers'!$S$3:$T$9,2,FALSE)))</f>
        <v/>
      </c>
      <c r="AA71" s="265" t="str">
        <f t="shared" si="4"/>
        <v/>
      </c>
      <c r="AB71" s="180"/>
      <c r="AC71" s="181"/>
    </row>
    <row r="72" spans="1:29" ht="13.8" x14ac:dyDescent="0.25">
      <c r="A72" s="35" t="str">
        <f>IFERROR(INDEX('G-8 Condition Look up'!$I$4:$I$131,MATCH(F72,'G-8 Condition Look up'!$A$4:$A$131,0)),"")</f>
        <v/>
      </c>
      <c r="C72" s="363" t="str">
        <f>IFERROR(INDEX('G-1 All Habitats'!$AG$3:$AG$15,MATCH(D72,'G-1 All Habitats'!$AF$3:$AF$15,0)),"")</f>
        <v/>
      </c>
      <c r="D72" s="186"/>
      <c r="E72" s="275"/>
      <c r="F72" s="362" t="str">
        <f>IFERROR(INDEX('G-1 All Habitats'!$B$3:$B$130,MATCH(E72,'G-1 All Habitats'!$A$3:$A$130,0)),"")</f>
        <v/>
      </c>
      <c r="G72" s="598"/>
      <c r="H72" s="239" t="str">
        <f>IF(F72="","",VLOOKUP(F72,'G-1 All Habitats'!$B$2:$M$130,10,FALSE))</f>
        <v/>
      </c>
      <c r="I72" s="176" t="str">
        <f>IFERROR(VLOOKUP(H72,'G-1 All Habitats'!$V$3:$W$7,2,FALSE),"")</f>
        <v/>
      </c>
      <c r="J72" s="270"/>
      <c r="K72" s="176" t="str">
        <f>IFERROR(INDEX('G-8 Condition Look up'!$A$3:$H$131,MATCH(F72,'G-8 Condition Look up'!$A$3:$A$131,0),MATCH(J72,'G-8 Condition Look up'!$A$3:$H$3,0)),"")</f>
        <v/>
      </c>
      <c r="L72" s="173"/>
      <c r="M72" s="269" t="str">
        <f>IF(L72="","",IF(VLOOKUP(L72,'G-3 Multipliers'!$L$3:$N$6,2,FALSE)=0,"Spatial Data Missing",VLOOKUP(L72,'G-3 Multipliers'!$L$3:$N$6,2,FALSE)))</f>
        <v/>
      </c>
      <c r="N72" s="172" t="str">
        <f>IF(L72="","",IF(VLOOKUP(L72,'G-3 Multipliers'!$L$3:$N$6,3,FALSE)=0,"Spatial Data Missing",VLOOKUP(L72,'G-3 Multipliers'!$L$3:$N$6,3,FALSE)))</f>
        <v/>
      </c>
      <c r="O72" s="171" t="str">
        <f t="shared" si="0"/>
        <v/>
      </c>
      <c r="P72" s="261"/>
      <c r="Q72" s="261"/>
      <c r="R72" s="343" t="str">
        <f t="shared" si="1"/>
        <v/>
      </c>
      <c r="S72" s="352" t="str">
        <f t="shared" si="2"/>
        <v/>
      </c>
      <c r="T72" s="593" t="str">
        <f>IFERROR(IF(S72="Check Data","Check Data",VLOOKUP(S72,'G-4 Temporal multipliers'!$A$4:$C$37,3,FALSE)),"")</f>
        <v/>
      </c>
      <c r="U72" s="592" t="str">
        <f>IF(F72="","",VLOOKUP(F72,'G-3 Multipliers'!$A$2:$E$130,2,FALSE))</f>
        <v/>
      </c>
      <c r="V72" s="343" t="str">
        <f t="shared" si="3"/>
        <v/>
      </c>
      <c r="W72" s="343" t="str">
        <f>IF(E72="","",IF(AND(V72="Standard difficulty applied",O72&gt;P72),U72,IF(AND(V72="Low Difficulty - only applicable if all habitat created before losses",P72&gt;=O72),"Low",VLOOKUP(F72,'G-3 Multipliers'!$A$2:$E$130,4,FALSE))))</f>
        <v/>
      </c>
      <c r="X72" s="345" t="str">
        <f>IFERROR(IF(E72="","",VLOOKUP(W72, 'G-3 Multipliers'!$P$2:$Q$6,2,FALSE)),””)</f>
        <v/>
      </c>
      <c r="Y72" s="266"/>
      <c r="Z72" s="172" t="str">
        <f>IF(Y72="","",IF(VLOOKUP(Y72,'G-3 Multipliers'!$S$3:$T$9,2,FALSE)=0,"Spatial Data Missing",VLOOKUP(Y72,'G-3 Multipliers'!$S$3:$T$9,2,FALSE)))</f>
        <v/>
      </c>
      <c r="AA72" s="265" t="str">
        <f t="shared" si="4"/>
        <v/>
      </c>
      <c r="AB72" s="180"/>
      <c r="AC72" s="181"/>
    </row>
    <row r="73" spans="1:29" ht="13.8" x14ac:dyDescent="0.25">
      <c r="A73" s="35" t="str">
        <f>IFERROR(INDEX('G-8 Condition Look up'!$I$4:$I$131,MATCH(F73,'G-8 Condition Look up'!$A$4:$A$131,0)),"")</f>
        <v/>
      </c>
      <c r="C73" s="363" t="str">
        <f>IFERROR(INDEX('G-1 All Habitats'!$AG$3:$AG$15,MATCH(D73,'G-1 All Habitats'!$AF$3:$AF$15,0)),"")</f>
        <v/>
      </c>
      <c r="D73" s="186"/>
      <c r="E73" s="275"/>
      <c r="F73" s="362" t="str">
        <f>IFERROR(INDEX('G-1 All Habitats'!$B$3:$B$130,MATCH(E73,'G-1 All Habitats'!$A$3:$A$130,0)),"")</f>
        <v/>
      </c>
      <c r="G73" s="598"/>
      <c r="H73" s="239" t="str">
        <f>IF(F73="","",VLOOKUP(F73,'G-1 All Habitats'!$B$2:$M$130,10,FALSE))</f>
        <v/>
      </c>
      <c r="I73" s="176" t="str">
        <f>IFERROR(VLOOKUP(H73,'G-1 All Habitats'!$V$3:$W$7,2,FALSE),"")</f>
        <v/>
      </c>
      <c r="J73" s="270"/>
      <c r="K73" s="176" t="str">
        <f>IFERROR(INDEX('G-8 Condition Look up'!$A$3:$H$131,MATCH(F73,'G-8 Condition Look up'!$A$3:$A$131,0),MATCH(J73,'G-8 Condition Look up'!$A$3:$H$3,0)),"")</f>
        <v/>
      </c>
      <c r="L73" s="173"/>
      <c r="M73" s="269" t="str">
        <f>IF(L73="","",IF(VLOOKUP(L73,'G-3 Multipliers'!$L$3:$N$6,2,FALSE)=0,"Spatial Data Missing",VLOOKUP(L73,'G-3 Multipliers'!$L$3:$N$6,2,FALSE)))</f>
        <v/>
      </c>
      <c r="N73" s="172" t="str">
        <f>IF(L73="","",IF(VLOOKUP(L73,'G-3 Multipliers'!$L$3:$N$6,3,FALSE)=0,"Spatial Data Missing",VLOOKUP(L73,'G-3 Multipliers'!$L$3:$N$6,3,FALSE)))</f>
        <v/>
      </c>
      <c r="O73" s="171" t="str">
        <f t="shared" si="0"/>
        <v/>
      </c>
      <c r="P73" s="261"/>
      <c r="Q73" s="261"/>
      <c r="R73" s="343" t="str">
        <f t="shared" si="1"/>
        <v/>
      </c>
      <c r="S73" s="352" t="str">
        <f t="shared" si="2"/>
        <v/>
      </c>
      <c r="T73" s="593" t="str">
        <f>IFERROR(IF(S73="Check Data","Check Data",VLOOKUP(S73,'G-4 Temporal multipliers'!$A$4:$C$37,3,FALSE)),"")</f>
        <v/>
      </c>
      <c r="U73" s="592" t="str">
        <f>IF(F73="","",VLOOKUP(F73,'G-3 Multipliers'!$A$2:$E$130,2,FALSE))</f>
        <v/>
      </c>
      <c r="V73" s="343" t="str">
        <f t="shared" si="3"/>
        <v/>
      </c>
      <c r="W73" s="343" t="str">
        <f>IF(E73="","",IF(AND(V73="Standard difficulty applied",O73&gt;P73),U73,IF(AND(V73="Low Difficulty - only applicable if all habitat created before losses",P73&gt;=O73),"Low",VLOOKUP(F73,'G-3 Multipliers'!$A$2:$E$130,4,FALSE))))</f>
        <v/>
      </c>
      <c r="X73" s="345" t="str">
        <f>IFERROR(IF(E73="","",VLOOKUP(W73, 'G-3 Multipliers'!$P$2:$Q$6,2,FALSE)),””)</f>
        <v/>
      </c>
      <c r="Y73" s="266"/>
      <c r="Z73" s="172" t="str">
        <f>IF(Y73="","",IF(VLOOKUP(Y73,'G-3 Multipliers'!$S$3:$T$9,2,FALSE)=0,"Spatial Data Missing",VLOOKUP(Y73,'G-3 Multipliers'!$S$3:$T$9,2,FALSE)))</f>
        <v/>
      </c>
      <c r="AA73" s="265" t="str">
        <f t="shared" si="4"/>
        <v/>
      </c>
      <c r="AB73" s="180"/>
      <c r="AC73" s="181"/>
    </row>
    <row r="74" spans="1:29" ht="13.8" x14ac:dyDescent="0.25">
      <c r="A74" s="35" t="str">
        <f>IFERROR(INDEX('G-8 Condition Look up'!$I$4:$I$131,MATCH(F74,'G-8 Condition Look up'!$A$4:$A$131,0)),"")</f>
        <v/>
      </c>
      <c r="C74" s="363" t="str">
        <f>IFERROR(INDEX('G-1 All Habitats'!$AG$3:$AG$15,MATCH(D74,'G-1 All Habitats'!$AF$3:$AF$15,0)),"")</f>
        <v/>
      </c>
      <c r="D74" s="186"/>
      <c r="E74" s="275"/>
      <c r="F74" s="362" t="str">
        <f>IFERROR(INDEX('G-1 All Habitats'!$B$3:$B$130,MATCH(E74,'G-1 All Habitats'!$A$3:$A$130,0)),"")</f>
        <v/>
      </c>
      <c r="G74" s="598"/>
      <c r="H74" s="239" t="str">
        <f>IF(F74="","",VLOOKUP(F74,'G-1 All Habitats'!$B$2:$M$130,10,FALSE))</f>
        <v/>
      </c>
      <c r="I74" s="176" t="str">
        <f>IFERROR(VLOOKUP(H74,'G-1 All Habitats'!$V$3:$W$7,2,FALSE),"")</f>
        <v/>
      </c>
      <c r="J74" s="270"/>
      <c r="K74" s="176" t="str">
        <f>IFERROR(INDEX('G-8 Condition Look up'!$A$3:$H$131,MATCH(F74,'G-8 Condition Look up'!$A$3:$A$131,0),MATCH(J74,'G-8 Condition Look up'!$A$3:$H$3,0)),"")</f>
        <v/>
      </c>
      <c r="L74" s="173"/>
      <c r="M74" s="269" t="str">
        <f>IF(L74="","",IF(VLOOKUP(L74,'G-3 Multipliers'!$L$3:$N$6,2,FALSE)=0,"Spatial Data Missing",VLOOKUP(L74,'G-3 Multipliers'!$L$3:$N$6,2,FALSE)))</f>
        <v/>
      </c>
      <c r="N74" s="172" t="str">
        <f>IF(L74="","",IF(VLOOKUP(L74,'G-3 Multipliers'!$L$3:$N$6,3,FALSE)=0,"Spatial Data Missing",VLOOKUP(L74,'G-3 Multipliers'!$L$3:$N$6,3,FALSE)))</f>
        <v/>
      </c>
      <c r="O74" s="171" t="str">
        <f t="shared" si="0"/>
        <v/>
      </c>
      <c r="P74" s="261"/>
      <c r="Q74" s="261"/>
      <c r="R74" s="343" t="str">
        <f t="shared" si="1"/>
        <v/>
      </c>
      <c r="S74" s="352" t="str">
        <f t="shared" si="2"/>
        <v/>
      </c>
      <c r="T74" s="593" t="str">
        <f>IFERROR(IF(S74="Check Data","Check Data",VLOOKUP(S74,'G-4 Temporal multipliers'!$A$4:$C$37,3,FALSE)),"")</f>
        <v/>
      </c>
      <c r="U74" s="592" t="str">
        <f>IF(F74="","",VLOOKUP(F74,'G-3 Multipliers'!$A$2:$E$130,2,FALSE))</f>
        <v/>
      </c>
      <c r="V74" s="343" t="str">
        <f t="shared" si="3"/>
        <v/>
      </c>
      <c r="W74" s="343" t="str">
        <f>IF(E74="","",IF(AND(V74="Standard difficulty applied",O74&gt;P74),U74,IF(AND(V74="Low Difficulty - only applicable if all habitat created before losses",P74&gt;=O74),"Low",VLOOKUP(F74,'G-3 Multipliers'!$A$2:$E$130,4,FALSE))))</f>
        <v/>
      </c>
      <c r="X74" s="345" t="str">
        <f>IFERROR(IF(E74="","",VLOOKUP(W74, 'G-3 Multipliers'!$P$2:$Q$6,2,FALSE)),””)</f>
        <v/>
      </c>
      <c r="Y74" s="266"/>
      <c r="Z74" s="172" t="str">
        <f>IF(Y74="","",IF(VLOOKUP(Y74,'G-3 Multipliers'!$S$3:$T$9,2,FALSE)=0,"Spatial Data Missing",VLOOKUP(Y74,'G-3 Multipliers'!$S$3:$T$9,2,FALSE)))</f>
        <v/>
      </c>
      <c r="AA74" s="265" t="str">
        <f t="shared" si="4"/>
        <v/>
      </c>
      <c r="AB74" s="180"/>
      <c r="AC74" s="181"/>
    </row>
    <row r="75" spans="1:29" ht="13.8" x14ac:dyDescent="0.25">
      <c r="A75" s="35" t="str">
        <f>IFERROR(INDEX('G-8 Condition Look up'!$I$4:$I$131,MATCH(F75,'G-8 Condition Look up'!$A$4:$A$131,0)),"")</f>
        <v/>
      </c>
      <c r="C75" s="363" t="str">
        <f>IFERROR(INDEX('G-1 All Habitats'!$AG$3:$AG$15,MATCH(D75,'G-1 All Habitats'!$AF$3:$AF$15,0)),"")</f>
        <v/>
      </c>
      <c r="D75" s="186"/>
      <c r="E75" s="275"/>
      <c r="F75" s="362" t="str">
        <f>IFERROR(INDEX('G-1 All Habitats'!$B$3:$B$130,MATCH(E75,'G-1 All Habitats'!$A$3:$A$130,0)),"")</f>
        <v/>
      </c>
      <c r="G75" s="598"/>
      <c r="H75" s="239" t="str">
        <f>IF(F75="","",VLOOKUP(F75,'G-1 All Habitats'!$B$2:$M$130,10,FALSE))</f>
        <v/>
      </c>
      <c r="I75" s="176" t="str">
        <f>IFERROR(VLOOKUP(H75,'G-1 All Habitats'!$V$3:$W$7,2,FALSE),"")</f>
        <v/>
      </c>
      <c r="J75" s="270"/>
      <c r="K75" s="176" t="str">
        <f>IFERROR(INDEX('G-8 Condition Look up'!$A$3:$H$131,MATCH(F75,'G-8 Condition Look up'!$A$3:$A$131,0),MATCH(J75,'G-8 Condition Look up'!$A$3:$H$3,0)),"")</f>
        <v/>
      </c>
      <c r="L75" s="173"/>
      <c r="M75" s="269" t="str">
        <f>IF(L75="","",IF(VLOOKUP(L75,'G-3 Multipliers'!$L$3:$N$6,2,FALSE)=0,"Spatial Data Missing",VLOOKUP(L75,'G-3 Multipliers'!$L$3:$N$6,2,FALSE)))</f>
        <v/>
      </c>
      <c r="N75" s="172" t="str">
        <f>IF(L75="","",IF(VLOOKUP(L75,'G-3 Multipliers'!$L$3:$N$6,3,FALSE)=0,"Spatial Data Missing",VLOOKUP(L75,'G-3 Multipliers'!$L$3:$N$6,3,FALSE)))</f>
        <v/>
      </c>
      <c r="O75" s="171" t="str">
        <f t="shared" ref="O75:O138" si="5">IFERROR(INDEX(TemporalData,MATCH(F75,TemporalHabitats,0),MATCH(J75,TemporalConditions,0)),"")</f>
        <v/>
      </c>
      <c r="P75" s="261"/>
      <c r="Q75" s="261"/>
      <c r="R75" s="343" t="str">
        <f t="shared" si="1"/>
        <v/>
      </c>
      <c r="S75" s="352" t="str">
        <f t="shared" si="2"/>
        <v/>
      </c>
      <c r="T75" s="593" t="str">
        <f>IFERROR(IF(S75="Check Data","Check Data",VLOOKUP(S75,'G-4 Temporal multipliers'!$A$4:$C$37,3,FALSE)),"")</f>
        <v/>
      </c>
      <c r="U75" s="592" t="str">
        <f>IF(F75="","",VLOOKUP(F75,'G-3 Multipliers'!$A$2:$E$130,2,FALSE))</f>
        <v/>
      </c>
      <c r="V75" s="343" t="str">
        <f t="shared" si="3"/>
        <v/>
      </c>
      <c r="W75" s="343" t="str">
        <f>IF(E75="","",IF(AND(V75="Standard difficulty applied",O75&gt;P75),U75,IF(AND(V75="Low Difficulty - only applicable if all habitat created before losses",P75&gt;=O75),"Low",VLOOKUP(F75,'G-3 Multipliers'!$A$2:$E$130,4,FALSE))))</f>
        <v/>
      </c>
      <c r="X75" s="345" t="str">
        <f>IFERROR(IF(E75="","",VLOOKUP(W75, 'G-3 Multipliers'!$P$2:$Q$6,2,FALSE)),””)</f>
        <v/>
      </c>
      <c r="Y75" s="266"/>
      <c r="Z75" s="172" t="str">
        <f>IF(Y75="","",IF(VLOOKUP(Y75,'G-3 Multipliers'!$S$3:$T$9,2,FALSE)=0,"Spatial Data Missing",VLOOKUP(Y75,'G-3 Multipliers'!$S$3:$T$9,2,FALSE)))</f>
        <v/>
      </c>
      <c r="AA75" s="265" t="str">
        <f t="shared" si="4"/>
        <v/>
      </c>
      <c r="AB75" s="180"/>
      <c r="AC75" s="181"/>
    </row>
    <row r="76" spans="1:29" ht="13.8" x14ac:dyDescent="0.25">
      <c r="A76" s="35" t="str">
        <f>IFERROR(INDEX('G-8 Condition Look up'!$I$4:$I$131,MATCH(F76,'G-8 Condition Look up'!$A$4:$A$131,0)),"")</f>
        <v/>
      </c>
      <c r="C76" s="363" t="str">
        <f>IFERROR(INDEX('G-1 All Habitats'!$AG$3:$AG$15,MATCH(D76,'G-1 All Habitats'!$AF$3:$AF$15,0)),"")</f>
        <v/>
      </c>
      <c r="D76" s="186"/>
      <c r="E76" s="275"/>
      <c r="F76" s="362" t="str">
        <f>IFERROR(INDEX('G-1 All Habitats'!$B$3:$B$130,MATCH(E76,'G-1 All Habitats'!$A$3:$A$130,0)),"")</f>
        <v/>
      </c>
      <c r="G76" s="598"/>
      <c r="H76" s="239" t="str">
        <f>IF(F76="","",VLOOKUP(F76,'G-1 All Habitats'!$B$2:$M$130,10,FALSE))</f>
        <v/>
      </c>
      <c r="I76" s="176" t="str">
        <f>IFERROR(VLOOKUP(H76,'G-1 All Habitats'!$V$3:$W$7,2,FALSE),"")</f>
        <v/>
      </c>
      <c r="J76" s="270"/>
      <c r="K76" s="176" t="str">
        <f>IFERROR(INDEX('G-8 Condition Look up'!$A$3:$H$131,MATCH(F76,'G-8 Condition Look up'!$A$3:$A$131,0),MATCH(J76,'G-8 Condition Look up'!$A$3:$H$3,0)),"")</f>
        <v/>
      </c>
      <c r="L76" s="173"/>
      <c r="M76" s="269" t="str">
        <f>IF(L76="","",IF(VLOOKUP(L76,'G-3 Multipliers'!$L$3:$N$6,2,FALSE)=0,"Spatial Data Missing",VLOOKUP(L76,'G-3 Multipliers'!$L$3:$N$6,2,FALSE)))</f>
        <v/>
      </c>
      <c r="N76" s="172" t="str">
        <f>IF(L76="","",IF(VLOOKUP(L76,'G-3 Multipliers'!$L$3:$N$6,3,FALSE)=0,"Spatial Data Missing",VLOOKUP(L76,'G-3 Multipliers'!$L$3:$N$6,3,FALSE)))</f>
        <v/>
      </c>
      <c r="O76" s="171" t="str">
        <f t="shared" si="5"/>
        <v/>
      </c>
      <c r="P76" s="261"/>
      <c r="Q76" s="261"/>
      <c r="R76" s="343" t="str">
        <f t="shared" ref="R76:R139" si="6">IF(E76="","",IF(AND(P76&gt;0,Q76&gt;0),"Error -both advance and delayed habitat creation",IF(AND(OR(P76="Habitat already in target condition",O76&lt;=P76),Q76=0,I76&gt;0),"Check details - Is there evidence that habitat has reached target condition?",IF(O76="","",IF(AND(P76&gt;=AE76,P76&gt;0),"Check details - Is there evidence habitat creation started and the threshold for Poor condition reached?",IF(Q76&gt;0,"Check details- Delay in starting habitat in required condition?",IF(P76&gt;0,"Check details - Is there evidence habitat creation started/in place?","Standard time to target condition applied")))))))</f>
        <v/>
      </c>
      <c r="S76" s="352" t="str">
        <f t="shared" ref="S76:S139" si="7">IF(R76="Error -both advance and delayed habitat creation","Check Data",IF(O76="Not Possible","Check Data",IF(O76="","",IF(AND(O76="30+",P76=0),"30+",IF(AND(O76="30+",P76="30+"),0,IF(AND(O76="30+",P76&lt;32),30-P76,IF(O76="30+",30-P76,IF(P76&gt;O76,0,IF(Q76="30+","30+",IF(O76+Q76&gt;30,"30+",IF(O76+Q76&gt;30,"30+",IF(O76-P76&gt;30,"30+",IF(O76+Q76-P76&gt;0,O76+Q76-P76,IF(O76-P76&gt;0,O76-P76,O76+Q76-P76))))))))))))))</f>
        <v/>
      </c>
      <c r="T76" s="593" t="str">
        <f>IFERROR(IF(S76="Check Data","Check Data",VLOOKUP(S76,'G-4 Temporal multipliers'!$A$4:$C$37,3,FALSE)),"")</f>
        <v/>
      </c>
      <c r="U76" s="592" t="str">
        <f>IF(F76="","",VLOOKUP(F76,'G-3 Multipliers'!$A$2:$E$130,2,FALSE))</f>
        <v/>
      </c>
      <c r="V76" s="343" t="str">
        <f t="shared" ref="V76:V139" si="8">IF(F76="","",IF($R76="Check details - Is there evidence that habitat has reached target condition?","Low Difficulty - only applicable if all habitat created before losses",IF($R76="Check details - Is there evidence habitat creation started and the threshold for Poor condition reached?","Enhancement difficulty applied","Standard difficulty applied")))</f>
        <v/>
      </c>
      <c r="W76" s="343" t="str">
        <f>IF(E76="","",IF(AND(V76="Standard difficulty applied",O76&gt;P76),U76,IF(AND(V76="Low Difficulty - only applicable if all habitat created before losses",P76&gt;=O76),"Low",VLOOKUP(F76,'G-3 Multipliers'!$A$2:$E$130,4,FALSE))))</f>
        <v/>
      </c>
      <c r="X76" s="345" t="str">
        <f>IFERROR(IF(E76="","",VLOOKUP(W76, 'G-3 Multipliers'!$P$2:$Q$6,2,FALSE)),””)</f>
        <v/>
      </c>
      <c r="Y76" s="266"/>
      <c r="Z76" s="172" t="str">
        <f>IF(Y76="","",IF(VLOOKUP(Y76,'G-3 Multipliers'!$S$3:$T$9,2,FALSE)=0,"Spatial Data Missing",VLOOKUP(Y76,'G-3 Multipliers'!$S$3:$T$9,2,FALSE)))</f>
        <v/>
      </c>
      <c r="AA76" s="265" t="str">
        <f t="shared" ref="AA76:AA139" si="9">IFERROR(G76*I76*K76*N76*T76*X76*Z76,"")</f>
        <v/>
      </c>
      <c r="AB76" s="180"/>
      <c r="AC76" s="181"/>
    </row>
    <row r="77" spans="1:29" ht="13.8" x14ac:dyDescent="0.25">
      <c r="A77" s="35" t="str">
        <f>IFERROR(INDEX('G-8 Condition Look up'!$I$4:$I$131,MATCH(F77,'G-8 Condition Look up'!$A$4:$A$131,0)),"")</f>
        <v/>
      </c>
      <c r="C77" s="363" t="str">
        <f>IFERROR(INDEX('G-1 All Habitats'!$AG$3:$AG$15,MATCH(D77,'G-1 All Habitats'!$AF$3:$AF$15,0)),"")</f>
        <v/>
      </c>
      <c r="D77" s="186"/>
      <c r="E77" s="275"/>
      <c r="F77" s="362" t="str">
        <f>IFERROR(INDEX('G-1 All Habitats'!$B$3:$B$130,MATCH(E77,'G-1 All Habitats'!$A$3:$A$130,0)),"")</f>
        <v/>
      </c>
      <c r="G77" s="598"/>
      <c r="H77" s="239" t="str">
        <f>IF(F77="","",VLOOKUP(F77,'G-1 All Habitats'!$B$2:$M$130,10,FALSE))</f>
        <v/>
      </c>
      <c r="I77" s="176" t="str">
        <f>IFERROR(VLOOKUP(H77,'G-1 All Habitats'!$V$3:$W$7,2,FALSE),"")</f>
        <v/>
      </c>
      <c r="J77" s="270"/>
      <c r="K77" s="176" t="str">
        <f>IFERROR(INDEX('G-8 Condition Look up'!$A$3:$H$131,MATCH(F77,'G-8 Condition Look up'!$A$3:$A$131,0),MATCH(J77,'G-8 Condition Look up'!$A$3:$H$3,0)),"")</f>
        <v/>
      </c>
      <c r="L77" s="173"/>
      <c r="M77" s="269" t="str">
        <f>IF(L77="","",IF(VLOOKUP(L77,'G-3 Multipliers'!$L$3:$N$6,2,FALSE)=0,"Spatial Data Missing",VLOOKUP(L77,'G-3 Multipliers'!$L$3:$N$6,2,FALSE)))</f>
        <v/>
      </c>
      <c r="N77" s="172" t="str">
        <f>IF(L77="","",IF(VLOOKUP(L77,'G-3 Multipliers'!$L$3:$N$6,3,FALSE)=0,"Spatial Data Missing",VLOOKUP(L77,'G-3 Multipliers'!$L$3:$N$6,3,FALSE)))</f>
        <v/>
      </c>
      <c r="O77" s="171" t="str">
        <f t="shared" si="5"/>
        <v/>
      </c>
      <c r="P77" s="261"/>
      <c r="Q77" s="261"/>
      <c r="R77" s="343" t="str">
        <f t="shared" si="6"/>
        <v/>
      </c>
      <c r="S77" s="352" t="str">
        <f t="shared" si="7"/>
        <v/>
      </c>
      <c r="T77" s="593" t="str">
        <f>IFERROR(IF(S77="Check Data","Check Data",VLOOKUP(S77,'G-4 Temporal multipliers'!$A$4:$C$37,3,FALSE)),"")</f>
        <v/>
      </c>
      <c r="U77" s="592" t="str">
        <f>IF(F77="","",VLOOKUP(F77,'G-3 Multipliers'!$A$2:$E$130,2,FALSE))</f>
        <v/>
      </c>
      <c r="V77" s="343" t="str">
        <f t="shared" si="8"/>
        <v/>
      </c>
      <c r="W77" s="343" t="str">
        <f>IF(E77="","",IF(AND(V77="Standard difficulty applied",O77&gt;P77),U77,IF(AND(V77="Low Difficulty - only applicable if all habitat created before losses",P77&gt;=O77),"Low",VLOOKUP(F77,'G-3 Multipliers'!$A$2:$E$130,4,FALSE))))</f>
        <v/>
      </c>
      <c r="X77" s="345" t="str">
        <f>IFERROR(IF(E77="","",VLOOKUP(W77, 'G-3 Multipliers'!$P$2:$Q$6,2,FALSE)),””)</f>
        <v/>
      </c>
      <c r="Y77" s="266"/>
      <c r="Z77" s="172" t="str">
        <f>IF(Y77="","",IF(VLOOKUP(Y77,'G-3 Multipliers'!$S$3:$T$9,2,FALSE)=0,"Spatial Data Missing",VLOOKUP(Y77,'G-3 Multipliers'!$S$3:$T$9,2,FALSE)))</f>
        <v/>
      </c>
      <c r="AA77" s="265" t="str">
        <f t="shared" si="9"/>
        <v/>
      </c>
      <c r="AB77" s="180"/>
      <c r="AC77" s="181"/>
    </row>
    <row r="78" spans="1:29" ht="13.8" x14ac:dyDescent="0.25">
      <c r="A78" s="35" t="str">
        <f>IFERROR(INDEX('G-8 Condition Look up'!$I$4:$I$131,MATCH(F78,'G-8 Condition Look up'!$A$4:$A$131,0)),"")</f>
        <v/>
      </c>
      <c r="C78" s="363" t="str">
        <f>IFERROR(INDEX('G-1 All Habitats'!$AG$3:$AG$15,MATCH(D78,'G-1 All Habitats'!$AF$3:$AF$15,0)),"")</f>
        <v/>
      </c>
      <c r="D78" s="186"/>
      <c r="E78" s="275"/>
      <c r="F78" s="362" t="str">
        <f>IFERROR(INDEX('G-1 All Habitats'!$B$3:$B$130,MATCH(E78,'G-1 All Habitats'!$A$3:$A$130,0)),"")</f>
        <v/>
      </c>
      <c r="G78" s="598"/>
      <c r="H78" s="239" t="str">
        <f>IF(F78="","",VLOOKUP(F78,'G-1 All Habitats'!$B$2:$M$130,10,FALSE))</f>
        <v/>
      </c>
      <c r="I78" s="176" t="str">
        <f>IFERROR(VLOOKUP(H78,'G-1 All Habitats'!$V$3:$W$7,2,FALSE),"")</f>
        <v/>
      </c>
      <c r="J78" s="270"/>
      <c r="K78" s="176" t="str">
        <f>IFERROR(INDEX('G-8 Condition Look up'!$A$3:$H$131,MATCH(F78,'G-8 Condition Look up'!$A$3:$A$131,0),MATCH(J78,'G-8 Condition Look up'!$A$3:$H$3,0)),"")</f>
        <v/>
      </c>
      <c r="L78" s="173"/>
      <c r="M78" s="269" t="str">
        <f>IF(L78="","",IF(VLOOKUP(L78,'G-3 Multipliers'!$L$3:$N$6,2,FALSE)=0,"Spatial Data Missing",VLOOKUP(L78,'G-3 Multipliers'!$L$3:$N$6,2,FALSE)))</f>
        <v/>
      </c>
      <c r="N78" s="172" t="str">
        <f>IF(L78="","",IF(VLOOKUP(L78,'G-3 Multipliers'!$L$3:$N$6,3,FALSE)=0,"Spatial Data Missing",VLOOKUP(L78,'G-3 Multipliers'!$L$3:$N$6,3,FALSE)))</f>
        <v/>
      </c>
      <c r="O78" s="171" t="str">
        <f t="shared" si="5"/>
        <v/>
      </c>
      <c r="P78" s="261"/>
      <c r="Q78" s="261"/>
      <c r="R78" s="343" t="str">
        <f t="shared" si="6"/>
        <v/>
      </c>
      <c r="S78" s="352" t="str">
        <f t="shared" si="7"/>
        <v/>
      </c>
      <c r="T78" s="593" t="str">
        <f>IFERROR(IF(S78="Check Data","Check Data",VLOOKUP(S78,'G-4 Temporal multipliers'!$A$4:$C$37,3,FALSE)),"")</f>
        <v/>
      </c>
      <c r="U78" s="592" t="str">
        <f>IF(F78="","",VLOOKUP(F78,'G-3 Multipliers'!$A$2:$E$130,2,FALSE))</f>
        <v/>
      </c>
      <c r="V78" s="343" t="str">
        <f t="shared" si="8"/>
        <v/>
      </c>
      <c r="W78" s="343" t="str">
        <f>IF(E78="","",IF(AND(V78="Standard difficulty applied",O78&gt;P78),U78,IF(AND(V78="Low Difficulty - only applicable if all habitat created before losses",P78&gt;=O78),"Low",VLOOKUP(F78,'G-3 Multipliers'!$A$2:$E$130,4,FALSE))))</f>
        <v/>
      </c>
      <c r="X78" s="345" t="str">
        <f>IFERROR(IF(E78="","",VLOOKUP(W78, 'G-3 Multipliers'!$P$2:$Q$6,2,FALSE)),””)</f>
        <v/>
      </c>
      <c r="Y78" s="266"/>
      <c r="Z78" s="172" t="str">
        <f>IF(Y78="","",IF(VLOOKUP(Y78,'G-3 Multipliers'!$S$3:$T$9,2,FALSE)=0,"Spatial Data Missing",VLOOKUP(Y78,'G-3 Multipliers'!$S$3:$T$9,2,FALSE)))</f>
        <v/>
      </c>
      <c r="AA78" s="265" t="str">
        <f t="shared" si="9"/>
        <v/>
      </c>
      <c r="AB78" s="180"/>
      <c r="AC78" s="181"/>
    </row>
    <row r="79" spans="1:29" ht="13.8" x14ac:dyDescent="0.25">
      <c r="A79" s="35" t="str">
        <f>IFERROR(INDEX('G-8 Condition Look up'!$I$4:$I$131,MATCH(F79,'G-8 Condition Look up'!$A$4:$A$131,0)),"")</f>
        <v/>
      </c>
      <c r="C79" s="363" t="str">
        <f>IFERROR(INDEX('G-1 All Habitats'!$AG$3:$AG$15,MATCH(D79,'G-1 All Habitats'!$AF$3:$AF$15,0)),"")</f>
        <v/>
      </c>
      <c r="D79" s="186"/>
      <c r="E79" s="275"/>
      <c r="F79" s="362" t="str">
        <f>IFERROR(INDEX('G-1 All Habitats'!$B$3:$B$130,MATCH(E79,'G-1 All Habitats'!$A$3:$A$130,0)),"")</f>
        <v/>
      </c>
      <c r="G79" s="598"/>
      <c r="H79" s="239" t="str">
        <f>IF(F79="","",VLOOKUP(F79,'G-1 All Habitats'!$B$2:$M$130,10,FALSE))</f>
        <v/>
      </c>
      <c r="I79" s="176" t="str">
        <f>IFERROR(VLOOKUP(H79,'G-1 All Habitats'!$V$3:$W$7,2,FALSE),"")</f>
        <v/>
      </c>
      <c r="J79" s="270"/>
      <c r="K79" s="176" t="str">
        <f>IFERROR(INDEX('G-8 Condition Look up'!$A$3:$H$131,MATCH(F79,'G-8 Condition Look up'!$A$3:$A$131,0),MATCH(J79,'G-8 Condition Look up'!$A$3:$H$3,0)),"")</f>
        <v/>
      </c>
      <c r="L79" s="173"/>
      <c r="M79" s="269" t="str">
        <f>IF(L79="","",IF(VLOOKUP(L79,'G-3 Multipliers'!$L$3:$N$6,2,FALSE)=0,"Spatial Data Missing",VLOOKUP(L79,'G-3 Multipliers'!$L$3:$N$6,2,FALSE)))</f>
        <v/>
      </c>
      <c r="N79" s="172" t="str">
        <f>IF(L79="","",IF(VLOOKUP(L79,'G-3 Multipliers'!$L$3:$N$6,3,FALSE)=0,"Spatial Data Missing",VLOOKUP(L79,'G-3 Multipliers'!$L$3:$N$6,3,FALSE)))</f>
        <v/>
      </c>
      <c r="O79" s="171" t="str">
        <f t="shared" si="5"/>
        <v/>
      </c>
      <c r="P79" s="261"/>
      <c r="Q79" s="261"/>
      <c r="R79" s="343" t="str">
        <f t="shared" si="6"/>
        <v/>
      </c>
      <c r="S79" s="352" t="str">
        <f t="shared" si="7"/>
        <v/>
      </c>
      <c r="T79" s="593" t="str">
        <f>IFERROR(IF(S79="Check Data","Check Data",VLOOKUP(S79,'G-4 Temporal multipliers'!$A$4:$C$37,3,FALSE)),"")</f>
        <v/>
      </c>
      <c r="U79" s="592" t="str">
        <f>IF(F79="","",VLOOKUP(F79,'G-3 Multipliers'!$A$2:$E$130,2,FALSE))</f>
        <v/>
      </c>
      <c r="V79" s="343" t="str">
        <f t="shared" si="8"/>
        <v/>
      </c>
      <c r="W79" s="343" t="str">
        <f>IF(E79="","",IF(AND(V79="Standard difficulty applied",O79&gt;P79),U79,IF(AND(V79="Low Difficulty - only applicable if all habitat created before losses",P79&gt;=O79),"Low",VLOOKUP(F79,'G-3 Multipliers'!$A$2:$E$130,4,FALSE))))</f>
        <v/>
      </c>
      <c r="X79" s="345" t="str">
        <f>IFERROR(IF(E79="","",VLOOKUP(W79, 'G-3 Multipliers'!$P$2:$Q$6,2,FALSE)),””)</f>
        <v/>
      </c>
      <c r="Y79" s="266"/>
      <c r="Z79" s="172" t="str">
        <f>IF(Y79="","",IF(VLOOKUP(Y79,'G-3 Multipliers'!$S$3:$T$9,2,FALSE)=0,"Spatial Data Missing",VLOOKUP(Y79,'G-3 Multipliers'!$S$3:$T$9,2,FALSE)))</f>
        <v/>
      </c>
      <c r="AA79" s="265" t="str">
        <f t="shared" si="9"/>
        <v/>
      </c>
      <c r="AB79" s="180"/>
      <c r="AC79" s="181"/>
    </row>
    <row r="80" spans="1:29" ht="13.8" x14ac:dyDescent="0.25">
      <c r="A80" s="35" t="str">
        <f>IFERROR(INDEX('G-8 Condition Look up'!$I$4:$I$131,MATCH(F80,'G-8 Condition Look up'!$A$4:$A$131,0)),"")</f>
        <v/>
      </c>
      <c r="C80" s="363" t="str">
        <f>IFERROR(INDEX('G-1 All Habitats'!$AG$3:$AG$15,MATCH(D80,'G-1 All Habitats'!$AF$3:$AF$15,0)),"")</f>
        <v/>
      </c>
      <c r="D80" s="186"/>
      <c r="E80" s="275"/>
      <c r="F80" s="362" t="str">
        <f>IFERROR(INDEX('G-1 All Habitats'!$B$3:$B$130,MATCH(E80,'G-1 All Habitats'!$A$3:$A$130,0)),"")</f>
        <v/>
      </c>
      <c r="G80" s="598"/>
      <c r="H80" s="239" t="str">
        <f>IF(F80="","",VLOOKUP(F80,'G-1 All Habitats'!$B$2:$M$130,10,FALSE))</f>
        <v/>
      </c>
      <c r="I80" s="176" t="str">
        <f>IFERROR(VLOOKUP(H80,'G-1 All Habitats'!$V$3:$W$7,2,FALSE),"")</f>
        <v/>
      </c>
      <c r="J80" s="270"/>
      <c r="K80" s="176" t="str">
        <f>IFERROR(INDEX('G-8 Condition Look up'!$A$3:$H$131,MATCH(F80,'G-8 Condition Look up'!$A$3:$A$131,0),MATCH(J80,'G-8 Condition Look up'!$A$3:$H$3,0)),"")</f>
        <v/>
      </c>
      <c r="L80" s="173"/>
      <c r="M80" s="269" t="str">
        <f>IF(L80="","",IF(VLOOKUP(L80,'G-3 Multipliers'!$L$3:$N$6,2,FALSE)=0,"Spatial Data Missing",VLOOKUP(L80,'G-3 Multipliers'!$L$3:$N$6,2,FALSE)))</f>
        <v/>
      </c>
      <c r="N80" s="172" t="str">
        <f>IF(L80="","",IF(VLOOKUP(L80,'G-3 Multipliers'!$L$3:$N$6,3,FALSE)=0,"Spatial Data Missing",VLOOKUP(L80,'G-3 Multipliers'!$L$3:$N$6,3,FALSE)))</f>
        <v/>
      </c>
      <c r="O80" s="171" t="str">
        <f t="shared" si="5"/>
        <v/>
      </c>
      <c r="P80" s="261"/>
      <c r="Q80" s="261"/>
      <c r="R80" s="343" t="str">
        <f t="shared" si="6"/>
        <v/>
      </c>
      <c r="S80" s="352" t="str">
        <f t="shared" si="7"/>
        <v/>
      </c>
      <c r="T80" s="593" t="str">
        <f>IFERROR(IF(S80="Check Data","Check Data",VLOOKUP(S80,'G-4 Temporal multipliers'!$A$4:$C$37,3,FALSE)),"")</f>
        <v/>
      </c>
      <c r="U80" s="592" t="str">
        <f>IF(F80="","",VLOOKUP(F80,'G-3 Multipliers'!$A$2:$E$130,2,FALSE))</f>
        <v/>
      </c>
      <c r="V80" s="343" t="str">
        <f t="shared" si="8"/>
        <v/>
      </c>
      <c r="W80" s="343" t="str">
        <f>IF(E80="","",IF(AND(V80="Standard difficulty applied",O80&gt;P80),U80,IF(AND(V80="Low Difficulty - only applicable if all habitat created before losses",P80&gt;=O80),"Low",VLOOKUP(F80,'G-3 Multipliers'!$A$2:$E$130,4,FALSE))))</f>
        <v/>
      </c>
      <c r="X80" s="345" t="str">
        <f>IFERROR(IF(E80="","",VLOOKUP(W80, 'G-3 Multipliers'!$P$2:$Q$6,2,FALSE)),””)</f>
        <v/>
      </c>
      <c r="Y80" s="266"/>
      <c r="Z80" s="172" t="str">
        <f>IF(Y80="","",IF(VLOOKUP(Y80,'G-3 Multipliers'!$S$3:$T$9,2,FALSE)=0,"Spatial Data Missing",VLOOKUP(Y80,'G-3 Multipliers'!$S$3:$T$9,2,FALSE)))</f>
        <v/>
      </c>
      <c r="AA80" s="265" t="str">
        <f t="shared" si="9"/>
        <v/>
      </c>
      <c r="AB80" s="180"/>
      <c r="AC80" s="181"/>
    </row>
    <row r="81" spans="1:29" ht="13.8" x14ac:dyDescent="0.25">
      <c r="A81" s="35" t="str">
        <f>IFERROR(INDEX('G-8 Condition Look up'!$I$4:$I$131,MATCH(F81,'G-8 Condition Look up'!$A$4:$A$131,0)),"")</f>
        <v/>
      </c>
      <c r="C81" s="363" t="str">
        <f>IFERROR(INDEX('G-1 All Habitats'!$AG$3:$AG$15,MATCH(D81,'G-1 All Habitats'!$AF$3:$AF$15,0)),"")</f>
        <v/>
      </c>
      <c r="D81" s="186"/>
      <c r="E81" s="275"/>
      <c r="F81" s="362" t="str">
        <f>IFERROR(INDEX('G-1 All Habitats'!$B$3:$B$130,MATCH(E81,'G-1 All Habitats'!$A$3:$A$130,0)),"")</f>
        <v/>
      </c>
      <c r="G81" s="598"/>
      <c r="H81" s="239" t="str">
        <f>IF(F81="","",VLOOKUP(F81,'G-1 All Habitats'!$B$2:$M$130,10,FALSE))</f>
        <v/>
      </c>
      <c r="I81" s="176" t="str">
        <f>IFERROR(VLOOKUP(H81,'G-1 All Habitats'!$V$3:$W$7,2,FALSE),"")</f>
        <v/>
      </c>
      <c r="J81" s="270"/>
      <c r="K81" s="176" t="str">
        <f>IFERROR(INDEX('G-8 Condition Look up'!$A$3:$H$131,MATCH(F81,'G-8 Condition Look up'!$A$3:$A$131,0),MATCH(J81,'G-8 Condition Look up'!$A$3:$H$3,0)),"")</f>
        <v/>
      </c>
      <c r="L81" s="173"/>
      <c r="M81" s="269" t="str">
        <f>IF(L81="","",IF(VLOOKUP(L81,'G-3 Multipliers'!$L$3:$N$6,2,FALSE)=0,"Spatial Data Missing",VLOOKUP(L81,'G-3 Multipliers'!$L$3:$N$6,2,FALSE)))</f>
        <v/>
      </c>
      <c r="N81" s="172" t="str">
        <f>IF(L81="","",IF(VLOOKUP(L81,'G-3 Multipliers'!$L$3:$N$6,3,FALSE)=0,"Spatial Data Missing",VLOOKUP(L81,'G-3 Multipliers'!$L$3:$N$6,3,FALSE)))</f>
        <v/>
      </c>
      <c r="O81" s="171" t="str">
        <f t="shared" si="5"/>
        <v/>
      </c>
      <c r="P81" s="261"/>
      <c r="Q81" s="261"/>
      <c r="R81" s="343" t="str">
        <f t="shared" si="6"/>
        <v/>
      </c>
      <c r="S81" s="352" t="str">
        <f t="shared" si="7"/>
        <v/>
      </c>
      <c r="T81" s="593" t="str">
        <f>IFERROR(IF(S81="Check Data","Check Data",VLOOKUP(S81,'G-4 Temporal multipliers'!$A$4:$C$37,3,FALSE)),"")</f>
        <v/>
      </c>
      <c r="U81" s="592" t="str">
        <f>IF(F81="","",VLOOKUP(F81,'G-3 Multipliers'!$A$2:$E$130,2,FALSE))</f>
        <v/>
      </c>
      <c r="V81" s="343" t="str">
        <f t="shared" si="8"/>
        <v/>
      </c>
      <c r="W81" s="343" t="str">
        <f>IF(E81="","",IF(AND(V81="Standard difficulty applied",O81&gt;P81),U81,IF(AND(V81="Low Difficulty - only applicable if all habitat created before losses",P81&gt;=O81),"Low",VLOOKUP(F81,'G-3 Multipliers'!$A$2:$E$130,4,FALSE))))</f>
        <v/>
      </c>
      <c r="X81" s="345" t="str">
        <f>IFERROR(IF(E81="","",VLOOKUP(W81, 'G-3 Multipliers'!$P$2:$Q$6,2,FALSE)),””)</f>
        <v/>
      </c>
      <c r="Y81" s="266"/>
      <c r="Z81" s="172" t="str">
        <f>IF(Y81="","",IF(VLOOKUP(Y81,'G-3 Multipliers'!$S$3:$T$9,2,FALSE)=0,"Spatial Data Missing",VLOOKUP(Y81,'G-3 Multipliers'!$S$3:$T$9,2,FALSE)))</f>
        <v/>
      </c>
      <c r="AA81" s="265" t="str">
        <f t="shared" si="9"/>
        <v/>
      </c>
      <c r="AB81" s="180"/>
      <c r="AC81" s="181"/>
    </row>
    <row r="82" spans="1:29" ht="13.8" x14ac:dyDescent="0.25">
      <c r="A82" s="35" t="str">
        <f>IFERROR(INDEX('G-8 Condition Look up'!$I$4:$I$131,MATCH(F82,'G-8 Condition Look up'!$A$4:$A$131,0)),"")</f>
        <v/>
      </c>
      <c r="C82" s="363" t="str">
        <f>IFERROR(INDEX('G-1 All Habitats'!$AG$3:$AG$15,MATCH(D82,'G-1 All Habitats'!$AF$3:$AF$15,0)),"")</f>
        <v/>
      </c>
      <c r="D82" s="186"/>
      <c r="E82" s="275"/>
      <c r="F82" s="362" t="str">
        <f>IFERROR(INDEX('G-1 All Habitats'!$B$3:$B$130,MATCH(E82,'G-1 All Habitats'!$A$3:$A$130,0)),"")</f>
        <v/>
      </c>
      <c r="G82" s="598"/>
      <c r="H82" s="239" t="str">
        <f>IF(F82="","",VLOOKUP(F82,'G-1 All Habitats'!$B$2:$M$130,10,FALSE))</f>
        <v/>
      </c>
      <c r="I82" s="176" t="str">
        <f>IFERROR(VLOOKUP(H82,'G-1 All Habitats'!$V$3:$W$7,2,FALSE),"")</f>
        <v/>
      </c>
      <c r="J82" s="270"/>
      <c r="K82" s="176" t="str">
        <f>IFERROR(INDEX('G-8 Condition Look up'!$A$3:$H$131,MATCH(F82,'G-8 Condition Look up'!$A$3:$A$131,0),MATCH(J82,'G-8 Condition Look up'!$A$3:$H$3,0)),"")</f>
        <v/>
      </c>
      <c r="L82" s="173"/>
      <c r="M82" s="269" t="str">
        <f>IF(L82="","",IF(VLOOKUP(L82,'G-3 Multipliers'!$L$3:$N$6,2,FALSE)=0,"Spatial Data Missing",VLOOKUP(L82,'G-3 Multipliers'!$L$3:$N$6,2,FALSE)))</f>
        <v/>
      </c>
      <c r="N82" s="172" t="str">
        <f>IF(L82="","",IF(VLOOKUP(L82,'G-3 Multipliers'!$L$3:$N$6,3,FALSE)=0,"Spatial Data Missing",VLOOKUP(L82,'G-3 Multipliers'!$L$3:$N$6,3,FALSE)))</f>
        <v/>
      </c>
      <c r="O82" s="171" t="str">
        <f t="shared" si="5"/>
        <v/>
      </c>
      <c r="P82" s="261"/>
      <c r="Q82" s="261"/>
      <c r="R82" s="343" t="str">
        <f t="shared" si="6"/>
        <v/>
      </c>
      <c r="S82" s="352" t="str">
        <f t="shared" si="7"/>
        <v/>
      </c>
      <c r="T82" s="593" t="str">
        <f>IFERROR(IF(S82="Check Data","Check Data",VLOOKUP(S82,'G-4 Temporal multipliers'!$A$4:$C$37,3,FALSE)),"")</f>
        <v/>
      </c>
      <c r="U82" s="592" t="str">
        <f>IF(F82="","",VLOOKUP(F82,'G-3 Multipliers'!$A$2:$E$130,2,FALSE))</f>
        <v/>
      </c>
      <c r="V82" s="343" t="str">
        <f t="shared" si="8"/>
        <v/>
      </c>
      <c r="W82" s="343" t="str">
        <f>IF(E82="","",IF(AND(V82="Standard difficulty applied",O82&gt;P82),U82,IF(AND(V82="Low Difficulty - only applicable if all habitat created before losses",P82&gt;=O82),"Low",VLOOKUP(F82,'G-3 Multipliers'!$A$2:$E$130,4,FALSE))))</f>
        <v/>
      </c>
      <c r="X82" s="345" t="str">
        <f>IFERROR(IF(E82="","",VLOOKUP(W82, 'G-3 Multipliers'!$P$2:$Q$6,2,FALSE)),””)</f>
        <v/>
      </c>
      <c r="Y82" s="266"/>
      <c r="Z82" s="172" t="str">
        <f>IF(Y82="","",IF(VLOOKUP(Y82,'G-3 Multipliers'!$S$3:$T$9,2,FALSE)=0,"Spatial Data Missing",VLOOKUP(Y82,'G-3 Multipliers'!$S$3:$T$9,2,FALSE)))</f>
        <v/>
      </c>
      <c r="AA82" s="265" t="str">
        <f t="shared" si="9"/>
        <v/>
      </c>
      <c r="AB82" s="180"/>
      <c r="AC82" s="181"/>
    </row>
    <row r="83" spans="1:29" ht="13.8" x14ac:dyDescent="0.25">
      <c r="A83" s="35" t="str">
        <f>IFERROR(INDEX('G-8 Condition Look up'!$I$4:$I$131,MATCH(F83,'G-8 Condition Look up'!$A$4:$A$131,0)),"")</f>
        <v/>
      </c>
      <c r="C83" s="363" t="str">
        <f>IFERROR(INDEX('G-1 All Habitats'!$AG$3:$AG$15,MATCH(D83,'G-1 All Habitats'!$AF$3:$AF$15,0)),"")</f>
        <v/>
      </c>
      <c r="D83" s="186"/>
      <c r="E83" s="275"/>
      <c r="F83" s="362" t="str">
        <f>IFERROR(INDEX('G-1 All Habitats'!$B$3:$B$130,MATCH(E83,'G-1 All Habitats'!$A$3:$A$130,0)),"")</f>
        <v/>
      </c>
      <c r="G83" s="598"/>
      <c r="H83" s="239" t="str">
        <f>IF(F83="","",VLOOKUP(F83,'G-1 All Habitats'!$B$2:$M$130,10,FALSE))</f>
        <v/>
      </c>
      <c r="I83" s="176" t="str">
        <f>IFERROR(VLOOKUP(H83,'G-1 All Habitats'!$V$3:$W$7,2,FALSE),"")</f>
        <v/>
      </c>
      <c r="J83" s="270"/>
      <c r="K83" s="176" t="str">
        <f>IFERROR(INDEX('G-8 Condition Look up'!$A$3:$H$131,MATCH(F83,'G-8 Condition Look up'!$A$3:$A$131,0),MATCH(J83,'G-8 Condition Look up'!$A$3:$H$3,0)),"")</f>
        <v/>
      </c>
      <c r="L83" s="173"/>
      <c r="M83" s="269" t="str">
        <f>IF(L83="","",IF(VLOOKUP(L83,'G-3 Multipliers'!$L$3:$N$6,2,FALSE)=0,"Spatial Data Missing",VLOOKUP(L83,'G-3 Multipliers'!$L$3:$N$6,2,FALSE)))</f>
        <v/>
      </c>
      <c r="N83" s="172" t="str">
        <f>IF(L83="","",IF(VLOOKUP(L83,'G-3 Multipliers'!$L$3:$N$6,3,FALSE)=0,"Spatial Data Missing",VLOOKUP(L83,'G-3 Multipliers'!$L$3:$N$6,3,FALSE)))</f>
        <v/>
      </c>
      <c r="O83" s="171" t="str">
        <f t="shared" si="5"/>
        <v/>
      </c>
      <c r="P83" s="261"/>
      <c r="Q83" s="261"/>
      <c r="R83" s="343" t="str">
        <f t="shared" si="6"/>
        <v/>
      </c>
      <c r="S83" s="352" t="str">
        <f t="shared" si="7"/>
        <v/>
      </c>
      <c r="T83" s="593" t="str">
        <f>IFERROR(IF(S83="Check Data","Check Data",VLOOKUP(S83,'G-4 Temporal multipliers'!$A$4:$C$37,3,FALSE)),"")</f>
        <v/>
      </c>
      <c r="U83" s="592" t="str">
        <f>IF(F83="","",VLOOKUP(F83,'G-3 Multipliers'!$A$2:$E$130,2,FALSE))</f>
        <v/>
      </c>
      <c r="V83" s="343" t="str">
        <f t="shared" si="8"/>
        <v/>
      </c>
      <c r="W83" s="343" t="str">
        <f>IF(E83="","",IF(AND(V83="Standard difficulty applied",O83&gt;P83),U83,IF(AND(V83="Low Difficulty - only applicable if all habitat created before losses",P83&gt;=O83),"Low",VLOOKUP(F83,'G-3 Multipliers'!$A$2:$E$130,4,FALSE))))</f>
        <v/>
      </c>
      <c r="X83" s="345" t="str">
        <f>IFERROR(IF(E83="","",VLOOKUP(W83, 'G-3 Multipliers'!$P$2:$Q$6,2,FALSE)),””)</f>
        <v/>
      </c>
      <c r="Y83" s="266"/>
      <c r="Z83" s="172" t="str">
        <f>IF(Y83="","",IF(VLOOKUP(Y83,'G-3 Multipliers'!$S$3:$T$9,2,FALSE)=0,"Spatial Data Missing",VLOOKUP(Y83,'G-3 Multipliers'!$S$3:$T$9,2,FALSE)))</f>
        <v/>
      </c>
      <c r="AA83" s="265" t="str">
        <f t="shared" si="9"/>
        <v/>
      </c>
      <c r="AB83" s="180"/>
      <c r="AC83" s="181"/>
    </row>
    <row r="84" spans="1:29" ht="13.8" x14ac:dyDescent="0.25">
      <c r="A84" s="35" t="str">
        <f>IFERROR(INDEX('G-8 Condition Look up'!$I$4:$I$131,MATCH(F84,'G-8 Condition Look up'!$A$4:$A$131,0)),"")</f>
        <v/>
      </c>
      <c r="C84" s="363" t="str">
        <f>IFERROR(INDEX('G-1 All Habitats'!$AG$3:$AG$15,MATCH(D84,'G-1 All Habitats'!$AF$3:$AF$15,0)),"")</f>
        <v/>
      </c>
      <c r="D84" s="186"/>
      <c r="E84" s="275"/>
      <c r="F84" s="362" t="str">
        <f>IFERROR(INDEX('G-1 All Habitats'!$B$3:$B$130,MATCH(E84,'G-1 All Habitats'!$A$3:$A$130,0)),"")</f>
        <v/>
      </c>
      <c r="G84" s="598"/>
      <c r="H84" s="239" t="str">
        <f>IF(F84="","",VLOOKUP(F84,'G-1 All Habitats'!$B$2:$M$130,10,FALSE))</f>
        <v/>
      </c>
      <c r="I84" s="176" t="str">
        <f>IFERROR(VLOOKUP(H84,'G-1 All Habitats'!$V$3:$W$7,2,FALSE),"")</f>
        <v/>
      </c>
      <c r="J84" s="270"/>
      <c r="K84" s="176" t="str">
        <f>IFERROR(INDEX('G-8 Condition Look up'!$A$3:$H$131,MATCH(F84,'G-8 Condition Look up'!$A$3:$A$131,0),MATCH(J84,'G-8 Condition Look up'!$A$3:$H$3,0)),"")</f>
        <v/>
      </c>
      <c r="L84" s="173"/>
      <c r="M84" s="269" t="str">
        <f>IF(L84="","",IF(VLOOKUP(L84,'G-3 Multipliers'!$L$3:$N$6,2,FALSE)=0,"Spatial Data Missing",VLOOKUP(L84,'G-3 Multipliers'!$L$3:$N$6,2,FALSE)))</f>
        <v/>
      </c>
      <c r="N84" s="172" t="str">
        <f>IF(L84="","",IF(VLOOKUP(L84,'G-3 Multipliers'!$L$3:$N$6,3,FALSE)=0,"Spatial Data Missing",VLOOKUP(L84,'G-3 Multipliers'!$L$3:$N$6,3,FALSE)))</f>
        <v/>
      </c>
      <c r="O84" s="171" t="str">
        <f t="shared" si="5"/>
        <v/>
      </c>
      <c r="P84" s="261"/>
      <c r="Q84" s="261"/>
      <c r="R84" s="343" t="str">
        <f t="shared" si="6"/>
        <v/>
      </c>
      <c r="S84" s="352" t="str">
        <f t="shared" si="7"/>
        <v/>
      </c>
      <c r="T84" s="593" t="str">
        <f>IFERROR(IF(S84="Check Data","Check Data",VLOOKUP(S84,'G-4 Temporal multipliers'!$A$4:$C$37,3,FALSE)),"")</f>
        <v/>
      </c>
      <c r="U84" s="592" t="str">
        <f>IF(F84="","",VLOOKUP(F84,'G-3 Multipliers'!$A$2:$E$130,2,FALSE))</f>
        <v/>
      </c>
      <c r="V84" s="343" t="str">
        <f t="shared" si="8"/>
        <v/>
      </c>
      <c r="W84" s="343" t="str">
        <f>IF(E84="","",IF(AND(V84="Standard difficulty applied",O84&gt;P84),U84,IF(AND(V84="Low Difficulty - only applicable if all habitat created before losses",P84&gt;=O84),"Low",VLOOKUP(F84,'G-3 Multipliers'!$A$2:$E$130,4,FALSE))))</f>
        <v/>
      </c>
      <c r="X84" s="345" t="str">
        <f>IFERROR(IF(E84="","",VLOOKUP(W84, 'G-3 Multipliers'!$P$2:$Q$6,2,FALSE)),””)</f>
        <v/>
      </c>
      <c r="Y84" s="266"/>
      <c r="Z84" s="172" t="str">
        <f>IF(Y84="","",IF(VLOOKUP(Y84,'G-3 Multipliers'!$S$3:$T$9,2,FALSE)=0,"Spatial Data Missing",VLOOKUP(Y84,'G-3 Multipliers'!$S$3:$T$9,2,FALSE)))</f>
        <v/>
      </c>
      <c r="AA84" s="265" t="str">
        <f t="shared" si="9"/>
        <v/>
      </c>
      <c r="AB84" s="180"/>
      <c r="AC84" s="181"/>
    </row>
    <row r="85" spans="1:29" ht="13.8" x14ac:dyDescent="0.25">
      <c r="A85" s="35" t="str">
        <f>IFERROR(INDEX('G-8 Condition Look up'!$I$4:$I$131,MATCH(F85,'G-8 Condition Look up'!$A$4:$A$131,0)),"")</f>
        <v/>
      </c>
      <c r="C85" s="363" t="str">
        <f>IFERROR(INDEX('G-1 All Habitats'!$AG$3:$AG$15,MATCH(D85,'G-1 All Habitats'!$AF$3:$AF$15,0)),"")</f>
        <v/>
      </c>
      <c r="D85" s="186"/>
      <c r="E85" s="275"/>
      <c r="F85" s="362" t="str">
        <f>IFERROR(INDEX('G-1 All Habitats'!$B$3:$B$130,MATCH(E85,'G-1 All Habitats'!$A$3:$A$130,0)),"")</f>
        <v/>
      </c>
      <c r="G85" s="598"/>
      <c r="H85" s="239" t="str">
        <f>IF(F85="","",VLOOKUP(F85,'G-1 All Habitats'!$B$2:$M$130,10,FALSE))</f>
        <v/>
      </c>
      <c r="I85" s="176" t="str">
        <f>IFERROR(VLOOKUP(H85,'G-1 All Habitats'!$V$3:$W$7,2,FALSE),"")</f>
        <v/>
      </c>
      <c r="J85" s="270"/>
      <c r="K85" s="176" t="str">
        <f>IFERROR(INDEX('G-8 Condition Look up'!$A$3:$H$131,MATCH(F85,'G-8 Condition Look up'!$A$3:$A$131,0),MATCH(J85,'G-8 Condition Look up'!$A$3:$H$3,0)),"")</f>
        <v/>
      </c>
      <c r="L85" s="173"/>
      <c r="M85" s="269" t="str">
        <f>IF(L85="","",IF(VLOOKUP(L85,'G-3 Multipliers'!$L$3:$N$6,2,FALSE)=0,"Spatial Data Missing",VLOOKUP(L85,'G-3 Multipliers'!$L$3:$N$6,2,FALSE)))</f>
        <v/>
      </c>
      <c r="N85" s="172" t="str">
        <f>IF(L85="","",IF(VLOOKUP(L85,'G-3 Multipliers'!$L$3:$N$6,3,FALSE)=0,"Spatial Data Missing",VLOOKUP(L85,'G-3 Multipliers'!$L$3:$N$6,3,FALSE)))</f>
        <v/>
      </c>
      <c r="O85" s="171" t="str">
        <f t="shared" si="5"/>
        <v/>
      </c>
      <c r="P85" s="261"/>
      <c r="Q85" s="261"/>
      <c r="R85" s="343" t="str">
        <f t="shared" si="6"/>
        <v/>
      </c>
      <c r="S85" s="352" t="str">
        <f t="shared" si="7"/>
        <v/>
      </c>
      <c r="T85" s="593" t="str">
        <f>IFERROR(IF(S85="Check Data","Check Data",VLOOKUP(S85,'G-4 Temporal multipliers'!$A$4:$C$37,3,FALSE)),"")</f>
        <v/>
      </c>
      <c r="U85" s="592" t="str">
        <f>IF(F85="","",VLOOKUP(F85,'G-3 Multipliers'!$A$2:$E$130,2,FALSE))</f>
        <v/>
      </c>
      <c r="V85" s="343" t="str">
        <f t="shared" si="8"/>
        <v/>
      </c>
      <c r="W85" s="343" t="str">
        <f>IF(E85="","",IF(AND(V85="Standard difficulty applied",O85&gt;P85),U85,IF(AND(V85="Low Difficulty - only applicable if all habitat created before losses",P85&gt;=O85),"Low",VLOOKUP(F85,'G-3 Multipliers'!$A$2:$E$130,4,FALSE))))</f>
        <v/>
      </c>
      <c r="X85" s="345" t="str">
        <f>IFERROR(IF(E85="","",VLOOKUP(W85, 'G-3 Multipliers'!$P$2:$Q$6,2,FALSE)),””)</f>
        <v/>
      </c>
      <c r="Y85" s="266"/>
      <c r="Z85" s="172" t="str">
        <f>IF(Y85="","",IF(VLOOKUP(Y85,'G-3 Multipliers'!$S$3:$T$9,2,FALSE)=0,"Spatial Data Missing",VLOOKUP(Y85,'G-3 Multipliers'!$S$3:$T$9,2,FALSE)))</f>
        <v/>
      </c>
      <c r="AA85" s="265" t="str">
        <f t="shared" si="9"/>
        <v/>
      </c>
      <c r="AB85" s="180"/>
      <c r="AC85" s="181"/>
    </row>
    <row r="86" spans="1:29" ht="13.8" x14ac:dyDescent="0.25">
      <c r="A86" s="35" t="str">
        <f>IFERROR(INDEX('G-8 Condition Look up'!$I$4:$I$131,MATCH(F86,'G-8 Condition Look up'!$A$4:$A$131,0)),"")</f>
        <v/>
      </c>
      <c r="C86" s="363" t="str">
        <f>IFERROR(INDEX('G-1 All Habitats'!$AG$3:$AG$15,MATCH(D86,'G-1 All Habitats'!$AF$3:$AF$15,0)),"")</f>
        <v/>
      </c>
      <c r="D86" s="186"/>
      <c r="E86" s="275"/>
      <c r="F86" s="362" t="str">
        <f>IFERROR(INDEX('G-1 All Habitats'!$B$3:$B$130,MATCH(E86,'G-1 All Habitats'!$A$3:$A$130,0)),"")</f>
        <v/>
      </c>
      <c r="G86" s="598"/>
      <c r="H86" s="239" t="str">
        <f>IF(F86="","",VLOOKUP(F86,'G-1 All Habitats'!$B$2:$M$130,10,FALSE))</f>
        <v/>
      </c>
      <c r="I86" s="176" t="str">
        <f>IFERROR(VLOOKUP(H86,'G-1 All Habitats'!$V$3:$W$7,2,FALSE),"")</f>
        <v/>
      </c>
      <c r="J86" s="270"/>
      <c r="K86" s="176" t="str">
        <f>IFERROR(INDEX('G-8 Condition Look up'!$A$3:$H$131,MATCH(F86,'G-8 Condition Look up'!$A$3:$A$131,0),MATCH(J86,'G-8 Condition Look up'!$A$3:$H$3,0)),"")</f>
        <v/>
      </c>
      <c r="L86" s="173"/>
      <c r="M86" s="269" t="str">
        <f>IF(L86="","",IF(VLOOKUP(L86,'G-3 Multipliers'!$L$3:$N$6,2,FALSE)=0,"Spatial Data Missing",VLOOKUP(L86,'G-3 Multipliers'!$L$3:$N$6,2,FALSE)))</f>
        <v/>
      </c>
      <c r="N86" s="172" t="str">
        <f>IF(L86="","",IF(VLOOKUP(L86,'G-3 Multipliers'!$L$3:$N$6,3,FALSE)=0,"Spatial Data Missing",VLOOKUP(L86,'G-3 Multipliers'!$L$3:$N$6,3,FALSE)))</f>
        <v/>
      </c>
      <c r="O86" s="171" t="str">
        <f t="shared" si="5"/>
        <v/>
      </c>
      <c r="P86" s="261"/>
      <c r="Q86" s="261"/>
      <c r="R86" s="343" t="str">
        <f t="shared" si="6"/>
        <v/>
      </c>
      <c r="S86" s="352" t="str">
        <f t="shared" si="7"/>
        <v/>
      </c>
      <c r="T86" s="593" t="str">
        <f>IFERROR(IF(S86="Check Data","Check Data",VLOOKUP(S86,'G-4 Temporal multipliers'!$A$4:$C$37,3,FALSE)),"")</f>
        <v/>
      </c>
      <c r="U86" s="592" t="str">
        <f>IF(F86="","",VLOOKUP(F86,'G-3 Multipliers'!$A$2:$E$130,2,FALSE))</f>
        <v/>
      </c>
      <c r="V86" s="343" t="str">
        <f t="shared" si="8"/>
        <v/>
      </c>
      <c r="W86" s="343" t="str">
        <f>IF(E86="","",IF(AND(V86="Standard difficulty applied",O86&gt;P86),U86,IF(AND(V86="Low Difficulty - only applicable if all habitat created before losses",P86&gt;=O86),"Low",VLOOKUP(F86,'G-3 Multipliers'!$A$2:$E$130,4,FALSE))))</f>
        <v/>
      </c>
      <c r="X86" s="345" t="str">
        <f>IFERROR(IF(E86="","",VLOOKUP(W86, 'G-3 Multipliers'!$P$2:$Q$6,2,FALSE)),””)</f>
        <v/>
      </c>
      <c r="Y86" s="266"/>
      <c r="Z86" s="172" t="str">
        <f>IF(Y86="","",IF(VLOOKUP(Y86,'G-3 Multipliers'!$S$3:$T$9,2,FALSE)=0,"Spatial Data Missing",VLOOKUP(Y86,'G-3 Multipliers'!$S$3:$T$9,2,FALSE)))</f>
        <v/>
      </c>
      <c r="AA86" s="265" t="str">
        <f t="shared" si="9"/>
        <v/>
      </c>
      <c r="AB86" s="180"/>
      <c r="AC86" s="181"/>
    </row>
    <row r="87" spans="1:29" ht="13.8" x14ac:dyDescent="0.25">
      <c r="A87" s="35" t="str">
        <f>IFERROR(INDEX('G-8 Condition Look up'!$I$4:$I$131,MATCH(F87,'G-8 Condition Look up'!$A$4:$A$131,0)),"")</f>
        <v/>
      </c>
      <c r="C87" s="363" t="str">
        <f>IFERROR(INDEX('G-1 All Habitats'!$AG$3:$AG$15,MATCH(D87,'G-1 All Habitats'!$AF$3:$AF$15,0)),"")</f>
        <v/>
      </c>
      <c r="D87" s="186"/>
      <c r="E87" s="275"/>
      <c r="F87" s="362" t="str">
        <f>IFERROR(INDEX('G-1 All Habitats'!$B$3:$B$130,MATCH(E87,'G-1 All Habitats'!$A$3:$A$130,0)),"")</f>
        <v/>
      </c>
      <c r="G87" s="598"/>
      <c r="H87" s="239" t="str">
        <f>IF(F87="","",VLOOKUP(F87,'G-1 All Habitats'!$B$2:$M$130,10,FALSE))</f>
        <v/>
      </c>
      <c r="I87" s="176" t="str">
        <f>IFERROR(VLOOKUP(H87,'G-1 All Habitats'!$V$3:$W$7,2,FALSE),"")</f>
        <v/>
      </c>
      <c r="J87" s="270"/>
      <c r="K87" s="176" t="str">
        <f>IFERROR(INDEX('G-8 Condition Look up'!$A$3:$H$131,MATCH(F87,'G-8 Condition Look up'!$A$3:$A$131,0),MATCH(J87,'G-8 Condition Look up'!$A$3:$H$3,0)),"")</f>
        <v/>
      </c>
      <c r="L87" s="173"/>
      <c r="M87" s="269" t="str">
        <f>IF(L87="","",IF(VLOOKUP(L87,'G-3 Multipliers'!$L$3:$N$6,2,FALSE)=0,"Spatial Data Missing",VLOOKUP(L87,'G-3 Multipliers'!$L$3:$N$6,2,FALSE)))</f>
        <v/>
      </c>
      <c r="N87" s="172" t="str">
        <f>IF(L87="","",IF(VLOOKUP(L87,'G-3 Multipliers'!$L$3:$N$6,3,FALSE)=0,"Spatial Data Missing",VLOOKUP(L87,'G-3 Multipliers'!$L$3:$N$6,3,FALSE)))</f>
        <v/>
      </c>
      <c r="O87" s="171" t="str">
        <f t="shared" si="5"/>
        <v/>
      </c>
      <c r="P87" s="261"/>
      <c r="Q87" s="261"/>
      <c r="R87" s="343" t="str">
        <f t="shared" si="6"/>
        <v/>
      </c>
      <c r="S87" s="352" t="str">
        <f t="shared" si="7"/>
        <v/>
      </c>
      <c r="T87" s="593" t="str">
        <f>IFERROR(IF(S87="Check Data","Check Data",VLOOKUP(S87,'G-4 Temporal multipliers'!$A$4:$C$37,3,FALSE)),"")</f>
        <v/>
      </c>
      <c r="U87" s="592" t="str">
        <f>IF(F87="","",VLOOKUP(F87,'G-3 Multipliers'!$A$2:$E$130,2,FALSE))</f>
        <v/>
      </c>
      <c r="V87" s="343" t="str">
        <f t="shared" si="8"/>
        <v/>
      </c>
      <c r="W87" s="343" t="str">
        <f>IF(E87="","",IF(AND(V87="Standard difficulty applied",O87&gt;P87),U87,IF(AND(V87="Low Difficulty - only applicable if all habitat created before losses",P87&gt;=O87),"Low",VLOOKUP(F87,'G-3 Multipliers'!$A$2:$E$130,4,FALSE))))</f>
        <v/>
      </c>
      <c r="X87" s="345" t="str">
        <f>IFERROR(IF(E87="","",VLOOKUP(W87, 'G-3 Multipliers'!$P$2:$Q$6,2,FALSE)),””)</f>
        <v/>
      </c>
      <c r="Y87" s="266"/>
      <c r="Z87" s="172" t="str">
        <f>IF(Y87="","",IF(VLOOKUP(Y87,'G-3 Multipliers'!$S$3:$T$9,2,FALSE)=0,"Spatial Data Missing",VLOOKUP(Y87,'G-3 Multipliers'!$S$3:$T$9,2,FALSE)))</f>
        <v/>
      </c>
      <c r="AA87" s="265" t="str">
        <f t="shared" si="9"/>
        <v/>
      </c>
      <c r="AB87" s="180"/>
      <c r="AC87" s="181"/>
    </row>
    <row r="88" spans="1:29" ht="13.8" x14ac:dyDescent="0.25">
      <c r="A88" s="35" t="str">
        <f>IFERROR(INDEX('G-8 Condition Look up'!$I$4:$I$131,MATCH(F88,'G-8 Condition Look up'!$A$4:$A$131,0)),"")</f>
        <v/>
      </c>
      <c r="C88" s="363" t="str">
        <f>IFERROR(INDEX('G-1 All Habitats'!$AG$3:$AG$15,MATCH(D88,'G-1 All Habitats'!$AF$3:$AF$15,0)),"")</f>
        <v/>
      </c>
      <c r="D88" s="186"/>
      <c r="E88" s="275"/>
      <c r="F88" s="362" t="str">
        <f>IFERROR(INDEX('G-1 All Habitats'!$B$3:$B$130,MATCH(E88,'G-1 All Habitats'!$A$3:$A$130,0)),"")</f>
        <v/>
      </c>
      <c r="G88" s="598"/>
      <c r="H88" s="239" t="str">
        <f>IF(F88="","",VLOOKUP(F88,'G-1 All Habitats'!$B$2:$M$130,10,FALSE))</f>
        <v/>
      </c>
      <c r="I88" s="176" t="str">
        <f>IFERROR(VLOOKUP(H88,'G-1 All Habitats'!$V$3:$W$7,2,FALSE),"")</f>
        <v/>
      </c>
      <c r="J88" s="270"/>
      <c r="K88" s="176" t="str">
        <f>IFERROR(INDEX('G-8 Condition Look up'!$A$3:$H$131,MATCH(F88,'G-8 Condition Look up'!$A$3:$A$131,0),MATCH(J88,'G-8 Condition Look up'!$A$3:$H$3,0)),"")</f>
        <v/>
      </c>
      <c r="L88" s="173"/>
      <c r="M88" s="269" t="str">
        <f>IF(L88="","",IF(VLOOKUP(L88,'G-3 Multipliers'!$L$3:$N$6,2,FALSE)=0,"Spatial Data Missing",VLOOKUP(L88,'G-3 Multipliers'!$L$3:$N$6,2,FALSE)))</f>
        <v/>
      </c>
      <c r="N88" s="172" t="str">
        <f>IF(L88="","",IF(VLOOKUP(L88,'G-3 Multipliers'!$L$3:$N$6,3,FALSE)=0,"Spatial Data Missing",VLOOKUP(L88,'G-3 Multipliers'!$L$3:$N$6,3,FALSE)))</f>
        <v/>
      </c>
      <c r="O88" s="171" t="str">
        <f t="shared" si="5"/>
        <v/>
      </c>
      <c r="P88" s="261"/>
      <c r="Q88" s="261"/>
      <c r="R88" s="343" t="str">
        <f t="shared" si="6"/>
        <v/>
      </c>
      <c r="S88" s="352" t="str">
        <f t="shared" si="7"/>
        <v/>
      </c>
      <c r="T88" s="593" t="str">
        <f>IFERROR(IF(S88="Check Data","Check Data",VLOOKUP(S88,'G-4 Temporal multipliers'!$A$4:$C$37,3,FALSE)),"")</f>
        <v/>
      </c>
      <c r="U88" s="592" t="str">
        <f>IF(F88="","",VLOOKUP(F88,'G-3 Multipliers'!$A$2:$E$130,2,FALSE))</f>
        <v/>
      </c>
      <c r="V88" s="343" t="str">
        <f t="shared" si="8"/>
        <v/>
      </c>
      <c r="W88" s="343" t="str">
        <f>IF(E88="","",IF(AND(V88="Standard difficulty applied",O88&gt;P88),U88,IF(AND(V88="Low Difficulty - only applicable if all habitat created before losses",P88&gt;=O88),"Low",VLOOKUP(F88,'G-3 Multipliers'!$A$2:$E$130,4,FALSE))))</f>
        <v/>
      </c>
      <c r="X88" s="345" t="str">
        <f>IFERROR(IF(E88="","",VLOOKUP(W88, 'G-3 Multipliers'!$P$2:$Q$6,2,FALSE)),””)</f>
        <v/>
      </c>
      <c r="Y88" s="266"/>
      <c r="Z88" s="172" t="str">
        <f>IF(Y88="","",IF(VLOOKUP(Y88,'G-3 Multipliers'!$S$3:$T$9,2,FALSE)=0,"Spatial Data Missing",VLOOKUP(Y88,'G-3 Multipliers'!$S$3:$T$9,2,FALSE)))</f>
        <v/>
      </c>
      <c r="AA88" s="265" t="str">
        <f t="shared" si="9"/>
        <v/>
      </c>
      <c r="AB88" s="180"/>
      <c r="AC88" s="181"/>
    </row>
    <row r="89" spans="1:29" ht="13.8" x14ac:dyDescent="0.25">
      <c r="A89" s="35" t="str">
        <f>IFERROR(INDEX('G-8 Condition Look up'!$I$4:$I$131,MATCH(F89,'G-8 Condition Look up'!$A$4:$A$131,0)),"")</f>
        <v/>
      </c>
      <c r="C89" s="363" t="str">
        <f>IFERROR(INDEX('G-1 All Habitats'!$AG$3:$AG$15,MATCH(D89,'G-1 All Habitats'!$AF$3:$AF$15,0)),"")</f>
        <v/>
      </c>
      <c r="D89" s="186"/>
      <c r="E89" s="275"/>
      <c r="F89" s="362" t="str">
        <f>IFERROR(INDEX('G-1 All Habitats'!$B$3:$B$130,MATCH(E89,'G-1 All Habitats'!$A$3:$A$130,0)),"")</f>
        <v/>
      </c>
      <c r="G89" s="598"/>
      <c r="H89" s="239" t="str">
        <f>IF(F89="","",VLOOKUP(F89,'G-1 All Habitats'!$B$2:$M$130,10,FALSE))</f>
        <v/>
      </c>
      <c r="I89" s="176" t="str">
        <f>IFERROR(VLOOKUP(H89,'G-1 All Habitats'!$V$3:$W$7,2,FALSE),"")</f>
        <v/>
      </c>
      <c r="J89" s="270"/>
      <c r="K89" s="176" t="str">
        <f>IFERROR(INDEX('G-8 Condition Look up'!$A$3:$H$131,MATCH(F89,'G-8 Condition Look up'!$A$3:$A$131,0),MATCH(J89,'G-8 Condition Look up'!$A$3:$H$3,0)),"")</f>
        <v/>
      </c>
      <c r="L89" s="173"/>
      <c r="M89" s="269" t="str">
        <f>IF(L89="","",IF(VLOOKUP(L89,'G-3 Multipliers'!$L$3:$N$6,2,FALSE)=0,"Spatial Data Missing",VLOOKUP(L89,'G-3 Multipliers'!$L$3:$N$6,2,FALSE)))</f>
        <v/>
      </c>
      <c r="N89" s="172" t="str">
        <f>IF(L89="","",IF(VLOOKUP(L89,'G-3 Multipliers'!$L$3:$N$6,3,FALSE)=0,"Spatial Data Missing",VLOOKUP(L89,'G-3 Multipliers'!$L$3:$N$6,3,FALSE)))</f>
        <v/>
      </c>
      <c r="O89" s="171" t="str">
        <f t="shared" si="5"/>
        <v/>
      </c>
      <c r="P89" s="261"/>
      <c r="Q89" s="261"/>
      <c r="R89" s="343" t="str">
        <f t="shared" si="6"/>
        <v/>
      </c>
      <c r="S89" s="352" t="str">
        <f t="shared" si="7"/>
        <v/>
      </c>
      <c r="T89" s="593" t="str">
        <f>IFERROR(IF(S89="Check Data","Check Data",VLOOKUP(S89,'G-4 Temporal multipliers'!$A$4:$C$37,3,FALSE)),"")</f>
        <v/>
      </c>
      <c r="U89" s="592" t="str">
        <f>IF(F89="","",VLOOKUP(F89,'G-3 Multipliers'!$A$2:$E$130,2,FALSE))</f>
        <v/>
      </c>
      <c r="V89" s="343" t="str">
        <f t="shared" si="8"/>
        <v/>
      </c>
      <c r="W89" s="343" t="str">
        <f>IF(E89="","",IF(AND(V89="Standard difficulty applied",O89&gt;P89),U89,IF(AND(V89="Low Difficulty - only applicable if all habitat created before losses",P89&gt;=O89),"Low",VLOOKUP(F89,'G-3 Multipliers'!$A$2:$E$130,4,FALSE))))</f>
        <v/>
      </c>
      <c r="X89" s="345" t="str">
        <f>IFERROR(IF(E89="","",VLOOKUP(W89, 'G-3 Multipliers'!$P$2:$Q$6,2,FALSE)),””)</f>
        <v/>
      </c>
      <c r="Y89" s="266"/>
      <c r="Z89" s="172" t="str">
        <f>IF(Y89="","",IF(VLOOKUP(Y89,'G-3 Multipliers'!$S$3:$T$9,2,FALSE)=0,"Spatial Data Missing",VLOOKUP(Y89,'G-3 Multipliers'!$S$3:$T$9,2,FALSE)))</f>
        <v/>
      </c>
      <c r="AA89" s="265" t="str">
        <f t="shared" si="9"/>
        <v/>
      </c>
      <c r="AB89" s="180"/>
      <c r="AC89" s="181"/>
    </row>
    <row r="90" spans="1:29" ht="13.8" x14ac:dyDescent="0.25">
      <c r="A90" s="35" t="str">
        <f>IFERROR(INDEX('G-8 Condition Look up'!$I$4:$I$131,MATCH(F90,'G-8 Condition Look up'!$A$4:$A$131,0)),"")</f>
        <v/>
      </c>
      <c r="C90" s="363" t="str">
        <f>IFERROR(INDEX('G-1 All Habitats'!$AG$3:$AG$15,MATCH(D90,'G-1 All Habitats'!$AF$3:$AF$15,0)),"")</f>
        <v/>
      </c>
      <c r="D90" s="186"/>
      <c r="E90" s="275"/>
      <c r="F90" s="362" t="str">
        <f>IFERROR(INDEX('G-1 All Habitats'!$B$3:$B$130,MATCH(E90,'G-1 All Habitats'!$A$3:$A$130,0)),"")</f>
        <v/>
      </c>
      <c r="G90" s="598"/>
      <c r="H90" s="239" t="str">
        <f>IF(F90="","",VLOOKUP(F90,'G-1 All Habitats'!$B$2:$M$130,10,FALSE))</f>
        <v/>
      </c>
      <c r="I90" s="176" t="str">
        <f>IFERROR(VLOOKUP(H90,'G-1 All Habitats'!$V$3:$W$7,2,FALSE),"")</f>
        <v/>
      </c>
      <c r="J90" s="270"/>
      <c r="K90" s="176" t="str">
        <f>IFERROR(INDEX('G-8 Condition Look up'!$A$3:$H$131,MATCH(F90,'G-8 Condition Look up'!$A$3:$A$131,0),MATCH(J90,'G-8 Condition Look up'!$A$3:$H$3,0)),"")</f>
        <v/>
      </c>
      <c r="L90" s="173"/>
      <c r="M90" s="269" t="str">
        <f>IF(L90="","",IF(VLOOKUP(L90,'G-3 Multipliers'!$L$3:$N$6,2,FALSE)=0,"Spatial Data Missing",VLOOKUP(L90,'G-3 Multipliers'!$L$3:$N$6,2,FALSE)))</f>
        <v/>
      </c>
      <c r="N90" s="172" t="str">
        <f>IF(L90="","",IF(VLOOKUP(L90,'G-3 Multipliers'!$L$3:$N$6,3,FALSE)=0,"Spatial Data Missing",VLOOKUP(L90,'G-3 Multipliers'!$L$3:$N$6,3,FALSE)))</f>
        <v/>
      </c>
      <c r="O90" s="171" t="str">
        <f t="shared" si="5"/>
        <v/>
      </c>
      <c r="P90" s="261"/>
      <c r="Q90" s="261"/>
      <c r="R90" s="343" t="str">
        <f t="shared" si="6"/>
        <v/>
      </c>
      <c r="S90" s="352" t="str">
        <f t="shared" si="7"/>
        <v/>
      </c>
      <c r="T90" s="593" t="str">
        <f>IFERROR(IF(S90="Check Data","Check Data",VLOOKUP(S90,'G-4 Temporal multipliers'!$A$4:$C$37,3,FALSE)),"")</f>
        <v/>
      </c>
      <c r="U90" s="592" t="str">
        <f>IF(F90="","",VLOOKUP(F90,'G-3 Multipliers'!$A$2:$E$130,2,FALSE))</f>
        <v/>
      </c>
      <c r="V90" s="343" t="str">
        <f t="shared" si="8"/>
        <v/>
      </c>
      <c r="W90" s="343" t="str">
        <f>IF(E90="","",IF(AND(V90="Standard difficulty applied",O90&gt;P90),U90,IF(AND(V90="Low Difficulty - only applicable if all habitat created before losses",P90&gt;=O90),"Low",VLOOKUP(F90,'G-3 Multipliers'!$A$2:$E$130,4,FALSE))))</f>
        <v/>
      </c>
      <c r="X90" s="345" t="str">
        <f>IFERROR(IF(E90="","",VLOOKUP(W90, 'G-3 Multipliers'!$P$2:$Q$6,2,FALSE)),””)</f>
        <v/>
      </c>
      <c r="Y90" s="266"/>
      <c r="Z90" s="172" t="str">
        <f>IF(Y90="","",IF(VLOOKUP(Y90,'G-3 Multipliers'!$S$3:$T$9,2,FALSE)=0,"Spatial Data Missing",VLOOKUP(Y90,'G-3 Multipliers'!$S$3:$T$9,2,FALSE)))</f>
        <v/>
      </c>
      <c r="AA90" s="265" t="str">
        <f t="shared" si="9"/>
        <v/>
      </c>
      <c r="AB90" s="180"/>
      <c r="AC90" s="181"/>
    </row>
    <row r="91" spans="1:29" ht="13.8" x14ac:dyDescent="0.25">
      <c r="A91" s="35" t="str">
        <f>IFERROR(INDEX('G-8 Condition Look up'!$I$4:$I$131,MATCH(F91,'G-8 Condition Look up'!$A$4:$A$131,0)),"")</f>
        <v/>
      </c>
      <c r="C91" s="363" t="str">
        <f>IFERROR(INDEX('G-1 All Habitats'!$AG$3:$AG$15,MATCH(D91,'G-1 All Habitats'!$AF$3:$AF$15,0)),"")</f>
        <v/>
      </c>
      <c r="D91" s="186"/>
      <c r="E91" s="275"/>
      <c r="F91" s="362" t="str">
        <f>IFERROR(INDEX('G-1 All Habitats'!$B$3:$B$130,MATCH(E91,'G-1 All Habitats'!$A$3:$A$130,0)),"")</f>
        <v/>
      </c>
      <c r="G91" s="598"/>
      <c r="H91" s="239" t="str">
        <f>IF(F91="","",VLOOKUP(F91,'G-1 All Habitats'!$B$2:$M$130,10,FALSE))</f>
        <v/>
      </c>
      <c r="I91" s="176" t="str">
        <f>IFERROR(VLOOKUP(H91,'G-1 All Habitats'!$V$3:$W$7,2,FALSE),"")</f>
        <v/>
      </c>
      <c r="J91" s="270"/>
      <c r="K91" s="176" t="str">
        <f>IFERROR(INDEX('G-8 Condition Look up'!$A$3:$H$131,MATCH(F91,'G-8 Condition Look up'!$A$3:$A$131,0),MATCH(J91,'G-8 Condition Look up'!$A$3:$H$3,0)),"")</f>
        <v/>
      </c>
      <c r="L91" s="173"/>
      <c r="M91" s="269" t="str">
        <f>IF(L91="","",IF(VLOOKUP(L91,'G-3 Multipliers'!$L$3:$N$6,2,FALSE)=0,"Spatial Data Missing",VLOOKUP(L91,'G-3 Multipliers'!$L$3:$N$6,2,FALSE)))</f>
        <v/>
      </c>
      <c r="N91" s="172" t="str">
        <f>IF(L91="","",IF(VLOOKUP(L91,'G-3 Multipliers'!$L$3:$N$6,3,FALSE)=0,"Spatial Data Missing",VLOOKUP(L91,'G-3 Multipliers'!$L$3:$N$6,3,FALSE)))</f>
        <v/>
      </c>
      <c r="O91" s="171" t="str">
        <f t="shared" si="5"/>
        <v/>
      </c>
      <c r="P91" s="261"/>
      <c r="Q91" s="261"/>
      <c r="R91" s="343" t="str">
        <f t="shared" si="6"/>
        <v/>
      </c>
      <c r="S91" s="352" t="str">
        <f t="shared" si="7"/>
        <v/>
      </c>
      <c r="T91" s="593" t="str">
        <f>IFERROR(IF(S91="Check Data","Check Data",VLOOKUP(S91,'G-4 Temporal multipliers'!$A$4:$C$37,3,FALSE)),"")</f>
        <v/>
      </c>
      <c r="U91" s="592" t="str">
        <f>IF(F91="","",VLOOKUP(F91,'G-3 Multipliers'!$A$2:$E$130,2,FALSE))</f>
        <v/>
      </c>
      <c r="V91" s="343" t="str">
        <f t="shared" si="8"/>
        <v/>
      </c>
      <c r="W91" s="343" t="str">
        <f>IF(E91="","",IF(AND(V91="Standard difficulty applied",O91&gt;P91),U91,IF(AND(V91="Low Difficulty - only applicable if all habitat created before losses",P91&gt;=O91),"Low",VLOOKUP(F91,'G-3 Multipliers'!$A$2:$E$130,4,FALSE))))</f>
        <v/>
      </c>
      <c r="X91" s="345" t="str">
        <f>IFERROR(IF(E91="","",VLOOKUP(W91, 'G-3 Multipliers'!$P$2:$Q$6,2,FALSE)),””)</f>
        <v/>
      </c>
      <c r="Y91" s="266"/>
      <c r="Z91" s="172" t="str">
        <f>IF(Y91="","",IF(VLOOKUP(Y91,'G-3 Multipliers'!$S$3:$T$9,2,FALSE)=0,"Spatial Data Missing",VLOOKUP(Y91,'G-3 Multipliers'!$S$3:$T$9,2,FALSE)))</f>
        <v/>
      </c>
      <c r="AA91" s="265" t="str">
        <f t="shared" si="9"/>
        <v/>
      </c>
      <c r="AB91" s="180"/>
      <c r="AC91" s="181"/>
    </row>
    <row r="92" spans="1:29" ht="13.8" x14ac:dyDescent="0.25">
      <c r="A92" s="35" t="str">
        <f>IFERROR(INDEX('G-8 Condition Look up'!$I$4:$I$131,MATCH(F92,'G-8 Condition Look up'!$A$4:$A$131,0)),"")</f>
        <v/>
      </c>
      <c r="C92" s="363" t="str">
        <f>IFERROR(INDEX('G-1 All Habitats'!$AG$3:$AG$15,MATCH(D92,'G-1 All Habitats'!$AF$3:$AF$15,0)),"")</f>
        <v/>
      </c>
      <c r="D92" s="186"/>
      <c r="E92" s="275"/>
      <c r="F92" s="362" t="str">
        <f>IFERROR(INDEX('G-1 All Habitats'!$B$3:$B$130,MATCH(E92,'G-1 All Habitats'!$A$3:$A$130,0)),"")</f>
        <v/>
      </c>
      <c r="G92" s="598"/>
      <c r="H92" s="239" t="str">
        <f>IF(F92="","",VLOOKUP(F92,'G-1 All Habitats'!$B$2:$M$130,10,FALSE))</f>
        <v/>
      </c>
      <c r="I92" s="176" t="str">
        <f>IFERROR(VLOOKUP(H92,'G-1 All Habitats'!$V$3:$W$7,2,FALSE),"")</f>
        <v/>
      </c>
      <c r="J92" s="270"/>
      <c r="K92" s="176" t="str">
        <f>IFERROR(INDEX('G-8 Condition Look up'!$A$3:$H$131,MATCH(F92,'G-8 Condition Look up'!$A$3:$A$131,0),MATCH(J92,'G-8 Condition Look up'!$A$3:$H$3,0)),"")</f>
        <v/>
      </c>
      <c r="L92" s="173"/>
      <c r="M92" s="269" t="str">
        <f>IF(L92="","",IF(VLOOKUP(L92,'G-3 Multipliers'!$L$3:$N$6,2,FALSE)=0,"Spatial Data Missing",VLOOKUP(L92,'G-3 Multipliers'!$L$3:$N$6,2,FALSE)))</f>
        <v/>
      </c>
      <c r="N92" s="172" t="str">
        <f>IF(L92="","",IF(VLOOKUP(L92,'G-3 Multipliers'!$L$3:$N$6,3,FALSE)=0,"Spatial Data Missing",VLOOKUP(L92,'G-3 Multipliers'!$L$3:$N$6,3,FALSE)))</f>
        <v/>
      </c>
      <c r="O92" s="171" t="str">
        <f t="shared" si="5"/>
        <v/>
      </c>
      <c r="P92" s="261"/>
      <c r="Q92" s="261"/>
      <c r="R92" s="343" t="str">
        <f t="shared" si="6"/>
        <v/>
      </c>
      <c r="S92" s="352" t="str">
        <f t="shared" si="7"/>
        <v/>
      </c>
      <c r="T92" s="593" t="str">
        <f>IFERROR(IF(S92="Check Data","Check Data",VLOOKUP(S92,'G-4 Temporal multipliers'!$A$4:$C$37,3,FALSE)),"")</f>
        <v/>
      </c>
      <c r="U92" s="592" t="str">
        <f>IF(F92="","",VLOOKUP(F92,'G-3 Multipliers'!$A$2:$E$130,2,FALSE))</f>
        <v/>
      </c>
      <c r="V92" s="343" t="str">
        <f t="shared" si="8"/>
        <v/>
      </c>
      <c r="W92" s="343" t="str">
        <f>IF(E92="","",IF(AND(V92="Standard difficulty applied",O92&gt;P92),U92,IF(AND(V92="Low Difficulty - only applicable if all habitat created before losses",P92&gt;=O92),"Low",VLOOKUP(F92,'G-3 Multipliers'!$A$2:$E$130,4,FALSE))))</f>
        <v/>
      </c>
      <c r="X92" s="345" t="str">
        <f>IFERROR(IF(E92="","",VLOOKUP(W92, 'G-3 Multipliers'!$P$2:$Q$6,2,FALSE)),””)</f>
        <v/>
      </c>
      <c r="Y92" s="266"/>
      <c r="Z92" s="172" t="str">
        <f>IF(Y92="","",IF(VLOOKUP(Y92,'G-3 Multipliers'!$S$3:$T$9,2,FALSE)=0,"Spatial Data Missing",VLOOKUP(Y92,'G-3 Multipliers'!$S$3:$T$9,2,FALSE)))</f>
        <v/>
      </c>
      <c r="AA92" s="265" t="str">
        <f t="shared" si="9"/>
        <v/>
      </c>
      <c r="AB92" s="180"/>
      <c r="AC92" s="181"/>
    </row>
    <row r="93" spans="1:29" ht="13.8" x14ac:dyDescent="0.25">
      <c r="A93" s="35" t="str">
        <f>IFERROR(INDEX('G-8 Condition Look up'!$I$4:$I$131,MATCH(F93,'G-8 Condition Look up'!$A$4:$A$131,0)),"")</f>
        <v/>
      </c>
      <c r="C93" s="363" t="str">
        <f>IFERROR(INDEX('G-1 All Habitats'!$AG$3:$AG$15,MATCH(D93,'G-1 All Habitats'!$AF$3:$AF$15,0)),"")</f>
        <v/>
      </c>
      <c r="D93" s="186"/>
      <c r="E93" s="275"/>
      <c r="F93" s="362" t="str">
        <f>IFERROR(INDEX('G-1 All Habitats'!$B$3:$B$130,MATCH(E93,'G-1 All Habitats'!$A$3:$A$130,0)),"")</f>
        <v/>
      </c>
      <c r="G93" s="598"/>
      <c r="H93" s="239" t="str">
        <f>IF(F93="","",VLOOKUP(F93,'G-1 All Habitats'!$B$2:$M$130,10,FALSE))</f>
        <v/>
      </c>
      <c r="I93" s="176" t="str">
        <f>IFERROR(VLOOKUP(H93,'G-1 All Habitats'!$V$3:$W$7,2,FALSE),"")</f>
        <v/>
      </c>
      <c r="J93" s="270"/>
      <c r="K93" s="176" t="str">
        <f>IFERROR(INDEX('G-8 Condition Look up'!$A$3:$H$131,MATCH(F93,'G-8 Condition Look up'!$A$3:$A$131,0),MATCH(J93,'G-8 Condition Look up'!$A$3:$H$3,0)),"")</f>
        <v/>
      </c>
      <c r="L93" s="173"/>
      <c r="M93" s="269" t="str">
        <f>IF(L93="","",IF(VLOOKUP(L93,'G-3 Multipliers'!$L$3:$N$6,2,FALSE)=0,"Spatial Data Missing",VLOOKUP(L93,'G-3 Multipliers'!$L$3:$N$6,2,FALSE)))</f>
        <v/>
      </c>
      <c r="N93" s="172" t="str">
        <f>IF(L93="","",IF(VLOOKUP(L93,'G-3 Multipliers'!$L$3:$N$6,3,FALSE)=0,"Spatial Data Missing",VLOOKUP(L93,'G-3 Multipliers'!$L$3:$N$6,3,FALSE)))</f>
        <v/>
      </c>
      <c r="O93" s="171" t="str">
        <f t="shared" si="5"/>
        <v/>
      </c>
      <c r="P93" s="261"/>
      <c r="Q93" s="261"/>
      <c r="R93" s="343" t="str">
        <f t="shared" si="6"/>
        <v/>
      </c>
      <c r="S93" s="352" t="str">
        <f t="shared" si="7"/>
        <v/>
      </c>
      <c r="T93" s="593" t="str">
        <f>IFERROR(IF(S93="Check Data","Check Data",VLOOKUP(S93,'G-4 Temporal multipliers'!$A$4:$C$37,3,FALSE)),"")</f>
        <v/>
      </c>
      <c r="U93" s="592" t="str">
        <f>IF(F93="","",VLOOKUP(F93,'G-3 Multipliers'!$A$2:$E$130,2,FALSE))</f>
        <v/>
      </c>
      <c r="V93" s="343" t="str">
        <f t="shared" si="8"/>
        <v/>
      </c>
      <c r="W93" s="343" t="str">
        <f>IF(E93="","",IF(AND(V93="Standard difficulty applied",O93&gt;P93),U93,IF(AND(V93="Low Difficulty - only applicable if all habitat created before losses",P93&gt;=O93),"Low",VLOOKUP(F93,'G-3 Multipliers'!$A$2:$E$130,4,FALSE))))</f>
        <v/>
      </c>
      <c r="X93" s="345" t="str">
        <f>IFERROR(IF(E93="","",VLOOKUP(W93, 'G-3 Multipliers'!$P$2:$Q$6,2,FALSE)),””)</f>
        <v/>
      </c>
      <c r="Y93" s="266"/>
      <c r="Z93" s="172" t="str">
        <f>IF(Y93="","",IF(VLOOKUP(Y93,'G-3 Multipliers'!$S$3:$T$9,2,FALSE)=0,"Spatial Data Missing",VLOOKUP(Y93,'G-3 Multipliers'!$S$3:$T$9,2,FALSE)))</f>
        <v/>
      </c>
      <c r="AA93" s="265" t="str">
        <f t="shared" si="9"/>
        <v/>
      </c>
      <c r="AB93" s="180"/>
      <c r="AC93" s="181"/>
    </row>
    <row r="94" spans="1:29" ht="13.8" x14ac:dyDescent="0.25">
      <c r="A94" s="35" t="str">
        <f>IFERROR(INDEX('G-8 Condition Look up'!$I$4:$I$131,MATCH(F94,'G-8 Condition Look up'!$A$4:$A$131,0)),"")</f>
        <v/>
      </c>
      <c r="C94" s="363" t="str">
        <f>IFERROR(INDEX('G-1 All Habitats'!$AG$3:$AG$15,MATCH(D94,'G-1 All Habitats'!$AF$3:$AF$15,0)),"")</f>
        <v/>
      </c>
      <c r="D94" s="186"/>
      <c r="E94" s="275"/>
      <c r="F94" s="362" t="str">
        <f>IFERROR(INDEX('G-1 All Habitats'!$B$3:$B$130,MATCH(E94,'G-1 All Habitats'!$A$3:$A$130,0)),"")</f>
        <v/>
      </c>
      <c r="G94" s="598"/>
      <c r="H94" s="239" t="str">
        <f>IF(F94="","",VLOOKUP(F94,'G-1 All Habitats'!$B$2:$M$130,10,FALSE))</f>
        <v/>
      </c>
      <c r="I94" s="176" t="str">
        <f>IFERROR(VLOOKUP(H94,'G-1 All Habitats'!$V$3:$W$7,2,FALSE),"")</f>
        <v/>
      </c>
      <c r="J94" s="270"/>
      <c r="K94" s="176" t="str">
        <f>IFERROR(INDEX('G-8 Condition Look up'!$A$3:$H$131,MATCH(F94,'G-8 Condition Look up'!$A$3:$A$131,0),MATCH(J94,'G-8 Condition Look up'!$A$3:$H$3,0)),"")</f>
        <v/>
      </c>
      <c r="L94" s="173"/>
      <c r="M94" s="269" t="str">
        <f>IF(L94="","",IF(VLOOKUP(L94,'G-3 Multipliers'!$L$3:$N$6,2,FALSE)=0,"Spatial Data Missing",VLOOKUP(L94,'G-3 Multipliers'!$L$3:$N$6,2,FALSE)))</f>
        <v/>
      </c>
      <c r="N94" s="172" t="str">
        <f>IF(L94="","",IF(VLOOKUP(L94,'G-3 Multipliers'!$L$3:$N$6,3,FALSE)=0,"Spatial Data Missing",VLOOKUP(L94,'G-3 Multipliers'!$L$3:$N$6,3,FALSE)))</f>
        <v/>
      </c>
      <c r="O94" s="171" t="str">
        <f t="shared" si="5"/>
        <v/>
      </c>
      <c r="P94" s="261"/>
      <c r="Q94" s="261"/>
      <c r="R94" s="343" t="str">
        <f t="shared" si="6"/>
        <v/>
      </c>
      <c r="S94" s="352" t="str">
        <f t="shared" si="7"/>
        <v/>
      </c>
      <c r="T94" s="593" t="str">
        <f>IFERROR(IF(S94="Check Data","Check Data",VLOOKUP(S94,'G-4 Temporal multipliers'!$A$4:$C$37,3,FALSE)),"")</f>
        <v/>
      </c>
      <c r="U94" s="592" t="str">
        <f>IF(F94="","",VLOOKUP(F94,'G-3 Multipliers'!$A$2:$E$130,2,FALSE))</f>
        <v/>
      </c>
      <c r="V94" s="343" t="str">
        <f t="shared" si="8"/>
        <v/>
      </c>
      <c r="W94" s="343" t="str">
        <f>IF(E94="","",IF(AND(V94="Standard difficulty applied",O94&gt;P94),U94,IF(AND(V94="Low Difficulty - only applicable if all habitat created before losses",P94&gt;=O94),"Low",VLOOKUP(F94,'G-3 Multipliers'!$A$2:$E$130,4,FALSE))))</f>
        <v/>
      </c>
      <c r="X94" s="345" t="str">
        <f>IFERROR(IF(E94="","",VLOOKUP(W94, 'G-3 Multipliers'!$P$2:$Q$6,2,FALSE)),””)</f>
        <v/>
      </c>
      <c r="Y94" s="266"/>
      <c r="Z94" s="172" t="str">
        <f>IF(Y94="","",IF(VLOOKUP(Y94,'G-3 Multipliers'!$S$3:$T$9,2,FALSE)=0,"Spatial Data Missing",VLOOKUP(Y94,'G-3 Multipliers'!$S$3:$T$9,2,FALSE)))</f>
        <v/>
      </c>
      <c r="AA94" s="265" t="str">
        <f t="shared" si="9"/>
        <v/>
      </c>
      <c r="AB94" s="180"/>
      <c r="AC94" s="181"/>
    </row>
    <row r="95" spans="1:29" ht="13.8" x14ac:dyDescent="0.25">
      <c r="A95" s="35" t="str">
        <f>IFERROR(INDEX('G-8 Condition Look up'!$I$4:$I$131,MATCH(F95,'G-8 Condition Look up'!$A$4:$A$131,0)),"")</f>
        <v/>
      </c>
      <c r="C95" s="363" t="str">
        <f>IFERROR(INDEX('G-1 All Habitats'!$AG$3:$AG$15,MATCH(D95,'G-1 All Habitats'!$AF$3:$AF$15,0)),"")</f>
        <v/>
      </c>
      <c r="D95" s="186"/>
      <c r="E95" s="275"/>
      <c r="F95" s="362" t="str">
        <f>IFERROR(INDEX('G-1 All Habitats'!$B$3:$B$130,MATCH(E95,'G-1 All Habitats'!$A$3:$A$130,0)),"")</f>
        <v/>
      </c>
      <c r="G95" s="598"/>
      <c r="H95" s="239" t="str">
        <f>IF(F95="","",VLOOKUP(F95,'G-1 All Habitats'!$B$2:$M$130,10,FALSE))</f>
        <v/>
      </c>
      <c r="I95" s="176" t="str">
        <f>IFERROR(VLOOKUP(H95,'G-1 All Habitats'!$V$3:$W$7,2,FALSE),"")</f>
        <v/>
      </c>
      <c r="J95" s="270"/>
      <c r="K95" s="176" t="str">
        <f>IFERROR(INDEX('G-8 Condition Look up'!$A$3:$H$131,MATCH(F95,'G-8 Condition Look up'!$A$3:$A$131,0),MATCH(J95,'G-8 Condition Look up'!$A$3:$H$3,0)),"")</f>
        <v/>
      </c>
      <c r="L95" s="173"/>
      <c r="M95" s="269" t="str">
        <f>IF(L95="","",IF(VLOOKUP(L95,'G-3 Multipliers'!$L$3:$N$6,2,FALSE)=0,"Spatial Data Missing",VLOOKUP(L95,'G-3 Multipliers'!$L$3:$N$6,2,FALSE)))</f>
        <v/>
      </c>
      <c r="N95" s="172" t="str">
        <f>IF(L95="","",IF(VLOOKUP(L95,'G-3 Multipliers'!$L$3:$N$6,3,FALSE)=0,"Spatial Data Missing",VLOOKUP(L95,'G-3 Multipliers'!$L$3:$N$6,3,FALSE)))</f>
        <v/>
      </c>
      <c r="O95" s="171" t="str">
        <f t="shared" si="5"/>
        <v/>
      </c>
      <c r="P95" s="261"/>
      <c r="Q95" s="261"/>
      <c r="R95" s="343" t="str">
        <f t="shared" si="6"/>
        <v/>
      </c>
      <c r="S95" s="352" t="str">
        <f t="shared" si="7"/>
        <v/>
      </c>
      <c r="T95" s="593" t="str">
        <f>IFERROR(IF(S95="Check Data","Check Data",VLOOKUP(S95,'G-4 Temporal multipliers'!$A$4:$C$37,3,FALSE)),"")</f>
        <v/>
      </c>
      <c r="U95" s="592" t="str">
        <f>IF(F95="","",VLOOKUP(F95,'G-3 Multipliers'!$A$2:$E$130,2,FALSE))</f>
        <v/>
      </c>
      <c r="V95" s="343" t="str">
        <f t="shared" si="8"/>
        <v/>
      </c>
      <c r="W95" s="343" t="str">
        <f>IF(E95="","",IF(AND(V95="Standard difficulty applied",O95&gt;P95),U95,IF(AND(V95="Low Difficulty - only applicable if all habitat created before losses",P95&gt;=O95),"Low",VLOOKUP(F95,'G-3 Multipliers'!$A$2:$E$130,4,FALSE))))</f>
        <v/>
      </c>
      <c r="X95" s="345" t="str">
        <f>IFERROR(IF(E95="","",VLOOKUP(W95, 'G-3 Multipliers'!$P$2:$Q$6,2,FALSE)),””)</f>
        <v/>
      </c>
      <c r="Y95" s="266"/>
      <c r="Z95" s="172" t="str">
        <f>IF(Y95="","",IF(VLOOKUP(Y95,'G-3 Multipliers'!$S$3:$T$9,2,FALSE)=0,"Spatial Data Missing",VLOOKUP(Y95,'G-3 Multipliers'!$S$3:$T$9,2,FALSE)))</f>
        <v/>
      </c>
      <c r="AA95" s="265" t="str">
        <f t="shared" si="9"/>
        <v/>
      </c>
      <c r="AB95" s="180"/>
      <c r="AC95" s="181"/>
    </row>
    <row r="96" spans="1:29" ht="13.8" x14ac:dyDescent="0.25">
      <c r="A96" s="35" t="str">
        <f>IFERROR(INDEX('G-8 Condition Look up'!$I$4:$I$131,MATCH(F96,'G-8 Condition Look up'!$A$4:$A$131,0)),"")</f>
        <v/>
      </c>
      <c r="C96" s="363" t="str">
        <f>IFERROR(INDEX('G-1 All Habitats'!$AG$3:$AG$15,MATCH(D96,'G-1 All Habitats'!$AF$3:$AF$15,0)),"")</f>
        <v/>
      </c>
      <c r="D96" s="186"/>
      <c r="E96" s="275"/>
      <c r="F96" s="362" t="str">
        <f>IFERROR(INDEX('G-1 All Habitats'!$B$3:$B$130,MATCH(E96,'G-1 All Habitats'!$A$3:$A$130,0)),"")</f>
        <v/>
      </c>
      <c r="G96" s="598"/>
      <c r="H96" s="239" t="str">
        <f>IF(F96="","",VLOOKUP(F96,'G-1 All Habitats'!$B$2:$M$130,10,FALSE))</f>
        <v/>
      </c>
      <c r="I96" s="176" t="str">
        <f>IFERROR(VLOOKUP(H96,'G-1 All Habitats'!$V$3:$W$7,2,FALSE),"")</f>
        <v/>
      </c>
      <c r="J96" s="270"/>
      <c r="K96" s="176" t="str">
        <f>IFERROR(INDEX('G-8 Condition Look up'!$A$3:$H$131,MATCH(F96,'G-8 Condition Look up'!$A$3:$A$131,0),MATCH(J96,'G-8 Condition Look up'!$A$3:$H$3,0)),"")</f>
        <v/>
      </c>
      <c r="L96" s="173"/>
      <c r="M96" s="269" t="str">
        <f>IF(L96="","",IF(VLOOKUP(L96,'G-3 Multipliers'!$L$3:$N$6,2,FALSE)=0,"Spatial Data Missing",VLOOKUP(L96,'G-3 Multipliers'!$L$3:$N$6,2,FALSE)))</f>
        <v/>
      </c>
      <c r="N96" s="172" t="str">
        <f>IF(L96="","",IF(VLOOKUP(L96,'G-3 Multipliers'!$L$3:$N$6,3,FALSE)=0,"Spatial Data Missing",VLOOKUP(L96,'G-3 Multipliers'!$L$3:$N$6,3,FALSE)))</f>
        <v/>
      </c>
      <c r="O96" s="171" t="str">
        <f t="shared" si="5"/>
        <v/>
      </c>
      <c r="P96" s="261"/>
      <c r="Q96" s="261"/>
      <c r="R96" s="343" t="str">
        <f t="shared" si="6"/>
        <v/>
      </c>
      <c r="S96" s="352" t="str">
        <f t="shared" si="7"/>
        <v/>
      </c>
      <c r="T96" s="593" t="str">
        <f>IFERROR(IF(S96="Check Data","Check Data",VLOOKUP(S96,'G-4 Temporal multipliers'!$A$4:$C$37,3,FALSE)),"")</f>
        <v/>
      </c>
      <c r="U96" s="592" t="str">
        <f>IF(F96="","",VLOOKUP(F96,'G-3 Multipliers'!$A$2:$E$130,2,FALSE))</f>
        <v/>
      </c>
      <c r="V96" s="343" t="str">
        <f t="shared" si="8"/>
        <v/>
      </c>
      <c r="W96" s="343" t="str">
        <f>IF(E96="","",IF(AND(V96="Standard difficulty applied",O96&gt;P96),U96,IF(AND(V96="Low Difficulty - only applicable if all habitat created before losses",P96&gt;=O96),"Low",VLOOKUP(F96,'G-3 Multipliers'!$A$2:$E$130,4,FALSE))))</f>
        <v/>
      </c>
      <c r="X96" s="345" t="str">
        <f>IFERROR(IF(E96="","",VLOOKUP(W96, 'G-3 Multipliers'!$P$2:$Q$6,2,FALSE)),””)</f>
        <v/>
      </c>
      <c r="Y96" s="266"/>
      <c r="Z96" s="172" t="str">
        <f>IF(Y96="","",IF(VLOOKUP(Y96,'G-3 Multipliers'!$S$3:$T$9,2,FALSE)=0,"Spatial Data Missing",VLOOKUP(Y96,'G-3 Multipliers'!$S$3:$T$9,2,FALSE)))</f>
        <v/>
      </c>
      <c r="AA96" s="265" t="str">
        <f t="shared" si="9"/>
        <v/>
      </c>
      <c r="AB96" s="180"/>
      <c r="AC96" s="181"/>
    </row>
    <row r="97" spans="1:29" ht="13.8" x14ac:dyDescent="0.25">
      <c r="A97" s="35" t="str">
        <f>IFERROR(INDEX('G-8 Condition Look up'!$I$4:$I$131,MATCH(F97,'G-8 Condition Look up'!$A$4:$A$131,0)),"")</f>
        <v/>
      </c>
      <c r="C97" s="363" t="str">
        <f>IFERROR(INDEX('G-1 All Habitats'!$AG$3:$AG$15,MATCH(D97,'G-1 All Habitats'!$AF$3:$AF$15,0)),"")</f>
        <v/>
      </c>
      <c r="D97" s="186"/>
      <c r="E97" s="275"/>
      <c r="F97" s="362" t="str">
        <f>IFERROR(INDEX('G-1 All Habitats'!$B$3:$B$130,MATCH(E97,'G-1 All Habitats'!$A$3:$A$130,0)),"")</f>
        <v/>
      </c>
      <c r="G97" s="598"/>
      <c r="H97" s="239" t="str">
        <f>IF(F97="","",VLOOKUP(F97,'G-1 All Habitats'!$B$2:$M$130,10,FALSE))</f>
        <v/>
      </c>
      <c r="I97" s="176" t="str">
        <f>IFERROR(VLOOKUP(H97,'G-1 All Habitats'!$V$3:$W$7,2,FALSE),"")</f>
        <v/>
      </c>
      <c r="J97" s="270"/>
      <c r="K97" s="176" t="str">
        <f>IFERROR(INDEX('G-8 Condition Look up'!$A$3:$H$131,MATCH(F97,'G-8 Condition Look up'!$A$3:$A$131,0),MATCH(J97,'G-8 Condition Look up'!$A$3:$H$3,0)),"")</f>
        <v/>
      </c>
      <c r="L97" s="173"/>
      <c r="M97" s="269" t="str">
        <f>IF(L97="","",IF(VLOOKUP(L97,'G-3 Multipliers'!$L$3:$N$6,2,FALSE)=0,"Spatial Data Missing",VLOOKUP(L97,'G-3 Multipliers'!$L$3:$N$6,2,FALSE)))</f>
        <v/>
      </c>
      <c r="N97" s="172" t="str">
        <f>IF(L97="","",IF(VLOOKUP(L97,'G-3 Multipliers'!$L$3:$N$6,3,FALSE)=0,"Spatial Data Missing",VLOOKUP(L97,'G-3 Multipliers'!$L$3:$N$6,3,FALSE)))</f>
        <v/>
      </c>
      <c r="O97" s="171" t="str">
        <f t="shared" si="5"/>
        <v/>
      </c>
      <c r="P97" s="261"/>
      <c r="Q97" s="261"/>
      <c r="R97" s="343" t="str">
        <f t="shared" si="6"/>
        <v/>
      </c>
      <c r="S97" s="352" t="str">
        <f t="shared" si="7"/>
        <v/>
      </c>
      <c r="T97" s="593" t="str">
        <f>IFERROR(IF(S97="Check Data","Check Data",VLOOKUP(S97,'G-4 Temporal multipliers'!$A$4:$C$37,3,FALSE)),"")</f>
        <v/>
      </c>
      <c r="U97" s="592" t="str">
        <f>IF(F97="","",VLOOKUP(F97,'G-3 Multipliers'!$A$2:$E$130,2,FALSE))</f>
        <v/>
      </c>
      <c r="V97" s="343" t="str">
        <f t="shared" si="8"/>
        <v/>
      </c>
      <c r="W97" s="343" t="str">
        <f>IF(E97="","",IF(AND(V97="Standard difficulty applied",O97&gt;P97),U97,IF(AND(V97="Low Difficulty - only applicable if all habitat created before losses",P97&gt;=O97),"Low",VLOOKUP(F97,'G-3 Multipliers'!$A$2:$E$130,4,FALSE))))</f>
        <v/>
      </c>
      <c r="X97" s="345" t="str">
        <f>IFERROR(IF(E97="","",VLOOKUP(W97, 'G-3 Multipliers'!$P$2:$Q$6,2,FALSE)),””)</f>
        <v/>
      </c>
      <c r="Y97" s="266"/>
      <c r="Z97" s="172" t="str">
        <f>IF(Y97="","",IF(VLOOKUP(Y97,'G-3 Multipliers'!$S$3:$T$9,2,FALSE)=0,"Spatial Data Missing",VLOOKUP(Y97,'G-3 Multipliers'!$S$3:$T$9,2,FALSE)))</f>
        <v/>
      </c>
      <c r="AA97" s="265" t="str">
        <f t="shared" si="9"/>
        <v/>
      </c>
      <c r="AB97" s="180"/>
      <c r="AC97" s="181"/>
    </row>
    <row r="98" spans="1:29" ht="13.8" x14ac:dyDescent="0.25">
      <c r="A98" s="35" t="str">
        <f>IFERROR(INDEX('G-8 Condition Look up'!$I$4:$I$131,MATCH(F98,'G-8 Condition Look up'!$A$4:$A$131,0)),"")</f>
        <v/>
      </c>
      <c r="C98" s="363" t="str">
        <f>IFERROR(INDEX('G-1 All Habitats'!$AG$3:$AG$15,MATCH(D98,'G-1 All Habitats'!$AF$3:$AF$15,0)),"")</f>
        <v/>
      </c>
      <c r="D98" s="186"/>
      <c r="E98" s="275"/>
      <c r="F98" s="362" t="str">
        <f>IFERROR(INDEX('G-1 All Habitats'!$B$3:$B$130,MATCH(E98,'G-1 All Habitats'!$A$3:$A$130,0)),"")</f>
        <v/>
      </c>
      <c r="G98" s="598"/>
      <c r="H98" s="239" t="str">
        <f>IF(F98="","",VLOOKUP(F98,'G-1 All Habitats'!$B$2:$M$130,10,FALSE))</f>
        <v/>
      </c>
      <c r="I98" s="176" t="str">
        <f>IFERROR(VLOOKUP(H98,'G-1 All Habitats'!$V$3:$W$7,2,FALSE),"")</f>
        <v/>
      </c>
      <c r="J98" s="270"/>
      <c r="K98" s="176" t="str">
        <f>IFERROR(INDEX('G-8 Condition Look up'!$A$3:$H$131,MATCH(F98,'G-8 Condition Look up'!$A$3:$A$131,0),MATCH(J98,'G-8 Condition Look up'!$A$3:$H$3,0)),"")</f>
        <v/>
      </c>
      <c r="L98" s="173"/>
      <c r="M98" s="269" t="str">
        <f>IF(L98="","",IF(VLOOKUP(L98,'G-3 Multipliers'!$L$3:$N$6,2,FALSE)=0,"Spatial Data Missing",VLOOKUP(L98,'G-3 Multipliers'!$L$3:$N$6,2,FALSE)))</f>
        <v/>
      </c>
      <c r="N98" s="172" t="str">
        <f>IF(L98="","",IF(VLOOKUP(L98,'G-3 Multipliers'!$L$3:$N$6,3,FALSE)=0,"Spatial Data Missing",VLOOKUP(L98,'G-3 Multipliers'!$L$3:$N$6,3,FALSE)))</f>
        <v/>
      </c>
      <c r="O98" s="171" t="str">
        <f t="shared" si="5"/>
        <v/>
      </c>
      <c r="P98" s="261"/>
      <c r="Q98" s="261"/>
      <c r="R98" s="343" t="str">
        <f t="shared" si="6"/>
        <v/>
      </c>
      <c r="S98" s="352" t="str">
        <f t="shared" si="7"/>
        <v/>
      </c>
      <c r="T98" s="593" t="str">
        <f>IFERROR(IF(S98="Check Data","Check Data",VLOOKUP(S98,'G-4 Temporal multipliers'!$A$4:$C$37,3,FALSE)),"")</f>
        <v/>
      </c>
      <c r="U98" s="592" t="str">
        <f>IF(F98="","",VLOOKUP(F98,'G-3 Multipliers'!$A$2:$E$130,2,FALSE))</f>
        <v/>
      </c>
      <c r="V98" s="343" t="str">
        <f t="shared" si="8"/>
        <v/>
      </c>
      <c r="W98" s="343" t="str">
        <f>IF(E98="","",IF(AND(V98="Standard difficulty applied",O98&gt;P98),U98,IF(AND(V98="Low Difficulty - only applicable if all habitat created before losses",P98&gt;=O98),"Low",VLOOKUP(F98,'G-3 Multipliers'!$A$2:$E$130,4,FALSE))))</f>
        <v/>
      </c>
      <c r="X98" s="345" t="str">
        <f>IFERROR(IF(E98="","",VLOOKUP(W98, 'G-3 Multipliers'!$P$2:$Q$6,2,FALSE)),””)</f>
        <v/>
      </c>
      <c r="Y98" s="266"/>
      <c r="Z98" s="172" t="str">
        <f>IF(Y98="","",IF(VLOOKUP(Y98,'G-3 Multipliers'!$S$3:$T$9,2,FALSE)=0,"Spatial Data Missing",VLOOKUP(Y98,'G-3 Multipliers'!$S$3:$T$9,2,FALSE)))</f>
        <v/>
      </c>
      <c r="AA98" s="265" t="str">
        <f t="shared" si="9"/>
        <v/>
      </c>
      <c r="AB98" s="180"/>
      <c r="AC98" s="181"/>
    </row>
    <row r="99" spans="1:29" ht="13.8" x14ac:dyDescent="0.25">
      <c r="A99" s="35" t="str">
        <f>IFERROR(INDEX('G-8 Condition Look up'!$I$4:$I$131,MATCH(F99,'G-8 Condition Look up'!$A$4:$A$131,0)),"")</f>
        <v/>
      </c>
      <c r="C99" s="363" t="str">
        <f>IFERROR(INDEX('G-1 All Habitats'!$AG$3:$AG$15,MATCH(D99,'G-1 All Habitats'!$AF$3:$AF$15,0)),"")</f>
        <v/>
      </c>
      <c r="D99" s="186"/>
      <c r="E99" s="275"/>
      <c r="F99" s="362" t="str">
        <f>IFERROR(INDEX('G-1 All Habitats'!$B$3:$B$130,MATCH(E99,'G-1 All Habitats'!$A$3:$A$130,0)),"")</f>
        <v/>
      </c>
      <c r="G99" s="598"/>
      <c r="H99" s="239" t="str">
        <f>IF(F99="","",VLOOKUP(F99,'G-1 All Habitats'!$B$2:$M$130,10,FALSE))</f>
        <v/>
      </c>
      <c r="I99" s="176" t="str">
        <f>IFERROR(VLOOKUP(H99,'G-1 All Habitats'!$V$3:$W$7,2,FALSE),"")</f>
        <v/>
      </c>
      <c r="J99" s="270"/>
      <c r="K99" s="176" t="str">
        <f>IFERROR(INDEX('G-8 Condition Look up'!$A$3:$H$131,MATCH(F99,'G-8 Condition Look up'!$A$3:$A$131,0),MATCH(J99,'G-8 Condition Look up'!$A$3:$H$3,0)),"")</f>
        <v/>
      </c>
      <c r="L99" s="173"/>
      <c r="M99" s="269" t="str">
        <f>IF(L99="","",IF(VLOOKUP(L99,'G-3 Multipliers'!$L$3:$N$6,2,FALSE)=0,"Spatial Data Missing",VLOOKUP(L99,'G-3 Multipliers'!$L$3:$N$6,2,FALSE)))</f>
        <v/>
      </c>
      <c r="N99" s="172" t="str">
        <f>IF(L99="","",IF(VLOOKUP(L99,'G-3 Multipliers'!$L$3:$N$6,3,FALSE)=0,"Spatial Data Missing",VLOOKUP(L99,'G-3 Multipliers'!$L$3:$N$6,3,FALSE)))</f>
        <v/>
      </c>
      <c r="O99" s="171" t="str">
        <f t="shared" si="5"/>
        <v/>
      </c>
      <c r="P99" s="261"/>
      <c r="Q99" s="261"/>
      <c r="R99" s="343" t="str">
        <f t="shared" si="6"/>
        <v/>
      </c>
      <c r="S99" s="352" t="str">
        <f t="shared" si="7"/>
        <v/>
      </c>
      <c r="T99" s="593" t="str">
        <f>IFERROR(IF(S99="Check Data","Check Data",VLOOKUP(S99,'G-4 Temporal multipliers'!$A$4:$C$37,3,FALSE)),"")</f>
        <v/>
      </c>
      <c r="U99" s="592" t="str">
        <f>IF(F99="","",VLOOKUP(F99,'G-3 Multipliers'!$A$2:$E$130,2,FALSE))</f>
        <v/>
      </c>
      <c r="V99" s="343" t="str">
        <f t="shared" si="8"/>
        <v/>
      </c>
      <c r="W99" s="343" t="str">
        <f>IF(E99="","",IF(AND(V99="Standard difficulty applied",O99&gt;P99),U99,IF(AND(V99="Low Difficulty - only applicable if all habitat created before losses",P99&gt;=O99),"Low",VLOOKUP(F99,'G-3 Multipliers'!$A$2:$E$130,4,FALSE))))</f>
        <v/>
      </c>
      <c r="X99" s="345" t="str">
        <f>IFERROR(IF(E99="","",VLOOKUP(W99, 'G-3 Multipliers'!$P$2:$Q$6,2,FALSE)),””)</f>
        <v/>
      </c>
      <c r="Y99" s="266"/>
      <c r="Z99" s="172" t="str">
        <f>IF(Y99="","",IF(VLOOKUP(Y99,'G-3 Multipliers'!$S$3:$T$9,2,FALSE)=0,"Spatial Data Missing",VLOOKUP(Y99,'G-3 Multipliers'!$S$3:$T$9,2,FALSE)))</f>
        <v/>
      </c>
      <c r="AA99" s="265" t="str">
        <f t="shared" si="9"/>
        <v/>
      </c>
      <c r="AB99" s="180"/>
      <c r="AC99" s="181"/>
    </row>
    <row r="100" spans="1:29" ht="13.8" x14ac:dyDescent="0.25">
      <c r="A100" s="35" t="str">
        <f>IFERROR(INDEX('G-8 Condition Look up'!$I$4:$I$131,MATCH(F100,'G-8 Condition Look up'!$A$4:$A$131,0)),"")</f>
        <v/>
      </c>
      <c r="C100" s="363" t="str">
        <f>IFERROR(INDEX('G-1 All Habitats'!$AG$3:$AG$15,MATCH(D100,'G-1 All Habitats'!$AF$3:$AF$15,0)),"")</f>
        <v/>
      </c>
      <c r="D100" s="186"/>
      <c r="E100" s="275"/>
      <c r="F100" s="362" t="str">
        <f>IFERROR(INDEX('G-1 All Habitats'!$B$3:$B$130,MATCH(E100,'G-1 All Habitats'!$A$3:$A$130,0)),"")</f>
        <v/>
      </c>
      <c r="G100" s="598"/>
      <c r="H100" s="239" t="str">
        <f>IF(F100="","",VLOOKUP(F100,'G-1 All Habitats'!$B$2:$M$130,10,FALSE))</f>
        <v/>
      </c>
      <c r="I100" s="176" t="str">
        <f>IFERROR(VLOOKUP(H100,'G-1 All Habitats'!$V$3:$W$7,2,FALSE),"")</f>
        <v/>
      </c>
      <c r="J100" s="270"/>
      <c r="K100" s="176" t="str">
        <f>IFERROR(INDEX('G-8 Condition Look up'!$A$3:$H$131,MATCH(F100,'G-8 Condition Look up'!$A$3:$A$131,0),MATCH(J100,'G-8 Condition Look up'!$A$3:$H$3,0)),"")</f>
        <v/>
      </c>
      <c r="L100" s="173"/>
      <c r="M100" s="269" t="str">
        <f>IF(L100="","",IF(VLOOKUP(L100,'G-3 Multipliers'!$L$3:$N$6,2,FALSE)=0,"Spatial Data Missing",VLOOKUP(L100,'G-3 Multipliers'!$L$3:$N$6,2,FALSE)))</f>
        <v/>
      </c>
      <c r="N100" s="172" t="str">
        <f>IF(L100="","",IF(VLOOKUP(L100,'G-3 Multipliers'!$L$3:$N$6,3,FALSE)=0,"Spatial Data Missing",VLOOKUP(L100,'G-3 Multipliers'!$L$3:$N$6,3,FALSE)))</f>
        <v/>
      </c>
      <c r="O100" s="171" t="str">
        <f t="shared" si="5"/>
        <v/>
      </c>
      <c r="P100" s="261"/>
      <c r="Q100" s="261"/>
      <c r="R100" s="343" t="str">
        <f t="shared" si="6"/>
        <v/>
      </c>
      <c r="S100" s="352" t="str">
        <f t="shared" si="7"/>
        <v/>
      </c>
      <c r="T100" s="593" t="str">
        <f>IFERROR(IF(S100="Check Data","Check Data",VLOOKUP(S100,'G-4 Temporal multipliers'!$A$4:$C$37,3,FALSE)),"")</f>
        <v/>
      </c>
      <c r="U100" s="592" t="str">
        <f>IF(F100="","",VLOOKUP(F100,'G-3 Multipliers'!$A$2:$E$130,2,FALSE))</f>
        <v/>
      </c>
      <c r="V100" s="343" t="str">
        <f t="shared" si="8"/>
        <v/>
      </c>
      <c r="W100" s="343" t="str">
        <f>IF(E100="","",IF(AND(V100="Standard difficulty applied",O100&gt;P100),U100,IF(AND(V100="Low Difficulty - only applicable if all habitat created before losses",P100&gt;=O100),"Low",VLOOKUP(F100,'G-3 Multipliers'!$A$2:$E$130,4,FALSE))))</f>
        <v/>
      </c>
      <c r="X100" s="345" t="str">
        <f>IFERROR(IF(E100="","",VLOOKUP(W100, 'G-3 Multipliers'!$P$2:$Q$6,2,FALSE)),””)</f>
        <v/>
      </c>
      <c r="Y100" s="266"/>
      <c r="Z100" s="172" t="str">
        <f>IF(Y100="","",IF(VLOOKUP(Y100,'G-3 Multipliers'!$S$3:$T$9,2,FALSE)=0,"Spatial Data Missing",VLOOKUP(Y100,'G-3 Multipliers'!$S$3:$T$9,2,FALSE)))</f>
        <v/>
      </c>
      <c r="AA100" s="265" t="str">
        <f t="shared" si="9"/>
        <v/>
      </c>
      <c r="AB100" s="180"/>
      <c r="AC100" s="181"/>
    </row>
    <row r="101" spans="1:29" ht="13.8" x14ac:dyDescent="0.25">
      <c r="A101" s="35" t="str">
        <f>IFERROR(INDEX('G-8 Condition Look up'!$I$4:$I$131,MATCH(F101,'G-8 Condition Look up'!$A$4:$A$131,0)),"")</f>
        <v/>
      </c>
      <c r="C101" s="363" t="str">
        <f>IFERROR(INDEX('G-1 All Habitats'!$AG$3:$AG$15,MATCH(D101,'G-1 All Habitats'!$AF$3:$AF$15,0)),"")</f>
        <v/>
      </c>
      <c r="D101" s="186"/>
      <c r="E101" s="275"/>
      <c r="F101" s="362" t="str">
        <f>IFERROR(INDEX('G-1 All Habitats'!$B$3:$B$130,MATCH(E101,'G-1 All Habitats'!$A$3:$A$130,0)),"")</f>
        <v/>
      </c>
      <c r="G101" s="598"/>
      <c r="H101" s="239" t="str">
        <f>IF(F101="","",VLOOKUP(F101,'G-1 All Habitats'!$B$2:$M$130,10,FALSE))</f>
        <v/>
      </c>
      <c r="I101" s="176" t="str">
        <f>IFERROR(VLOOKUP(H101,'G-1 All Habitats'!$V$3:$W$7,2,FALSE),"")</f>
        <v/>
      </c>
      <c r="J101" s="270"/>
      <c r="K101" s="176" t="str">
        <f>IFERROR(INDEX('G-8 Condition Look up'!$A$3:$H$131,MATCH(F101,'G-8 Condition Look up'!$A$3:$A$131,0),MATCH(J101,'G-8 Condition Look up'!$A$3:$H$3,0)),"")</f>
        <v/>
      </c>
      <c r="L101" s="173"/>
      <c r="M101" s="269" t="str">
        <f>IF(L101="","",IF(VLOOKUP(L101,'G-3 Multipliers'!$L$3:$N$6,2,FALSE)=0,"Spatial Data Missing",VLOOKUP(L101,'G-3 Multipliers'!$L$3:$N$6,2,FALSE)))</f>
        <v/>
      </c>
      <c r="N101" s="172" t="str">
        <f>IF(L101="","",IF(VLOOKUP(L101,'G-3 Multipliers'!$L$3:$N$6,3,FALSE)=0,"Spatial Data Missing",VLOOKUP(L101,'G-3 Multipliers'!$L$3:$N$6,3,FALSE)))</f>
        <v/>
      </c>
      <c r="O101" s="171" t="str">
        <f t="shared" si="5"/>
        <v/>
      </c>
      <c r="P101" s="261"/>
      <c r="Q101" s="261"/>
      <c r="R101" s="343" t="str">
        <f t="shared" si="6"/>
        <v/>
      </c>
      <c r="S101" s="352" t="str">
        <f t="shared" si="7"/>
        <v/>
      </c>
      <c r="T101" s="593" t="str">
        <f>IFERROR(IF(S101="Check Data","Check Data",VLOOKUP(S101,'G-4 Temporal multipliers'!$A$4:$C$37,3,FALSE)),"")</f>
        <v/>
      </c>
      <c r="U101" s="592" t="str">
        <f>IF(F101="","",VLOOKUP(F101,'G-3 Multipliers'!$A$2:$E$130,2,FALSE))</f>
        <v/>
      </c>
      <c r="V101" s="343" t="str">
        <f t="shared" si="8"/>
        <v/>
      </c>
      <c r="W101" s="343" t="str">
        <f>IF(E101="","",IF(AND(V101="Standard difficulty applied",O101&gt;P101),U101,IF(AND(V101="Low Difficulty - only applicable if all habitat created before losses",P101&gt;=O101),"Low",VLOOKUP(F101,'G-3 Multipliers'!$A$2:$E$130,4,FALSE))))</f>
        <v/>
      </c>
      <c r="X101" s="345" t="str">
        <f>IFERROR(IF(E101="","",VLOOKUP(W101, 'G-3 Multipliers'!$P$2:$Q$6,2,FALSE)),””)</f>
        <v/>
      </c>
      <c r="Y101" s="266"/>
      <c r="Z101" s="172" t="str">
        <f>IF(Y101="","",IF(VLOOKUP(Y101,'G-3 Multipliers'!$S$3:$T$9,2,FALSE)=0,"Spatial Data Missing",VLOOKUP(Y101,'G-3 Multipliers'!$S$3:$T$9,2,FALSE)))</f>
        <v/>
      </c>
      <c r="AA101" s="265" t="str">
        <f t="shared" si="9"/>
        <v/>
      </c>
      <c r="AB101" s="180"/>
      <c r="AC101" s="181"/>
    </row>
    <row r="102" spans="1:29" ht="13.8" x14ac:dyDescent="0.25">
      <c r="A102" s="35" t="str">
        <f>IFERROR(INDEX('G-8 Condition Look up'!$I$4:$I$131,MATCH(F102,'G-8 Condition Look up'!$A$4:$A$131,0)),"")</f>
        <v/>
      </c>
      <c r="C102" s="363" t="str">
        <f>IFERROR(INDEX('G-1 All Habitats'!$AG$3:$AG$15,MATCH(D102,'G-1 All Habitats'!$AF$3:$AF$15,0)),"")</f>
        <v/>
      </c>
      <c r="D102" s="186"/>
      <c r="E102" s="275"/>
      <c r="F102" s="362" t="str">
        <f>IFERROR(INDEX('G-1 All Habitats'!$B$3:$B$130,MATCH(E102,'G-1 All Habitats'!$A$3:$A$130,0)),"")</f>
        <v/>
      </c>
      <c r="G102" s="598"/>
      <c r="H102" s="239" t="str">
        <f>IF(F102="","",VLOOKUP(F102,'G-1 All Habitats'!$B$2:$M$130,10,FALSE))</f>
        <v/>
      </c>
      <c r="I102" s="176" t="str">
        <f>IFERROR(VLOOKUP(H102,'G-1 All Habitats'!$V$3:$W$7,2,FALSE),"")</f>
        <v/>
      </c>
      <c r="J102" s="270"/>
      <c r="K102" s="176" t="str">
        <f>IFERROR(INDEX('G-8 Condition Look up'!$A$3:$H$131,MATCH(F102,'G-8 Condition Look up'!$A$3:$A$131,0),MATCH(J102,'G-8 Condition Look up'!$A$3:$H$3,0)),"")</f>
        <v/>
      </c>
      <c r="L102" s="173"/>
      <c r="M102" s="269" t="str">
        <f>IF(L102="","",IF(VLOOKUP(L102,'G-3 Multipliers'!$L$3:$N$6,2,FALSE)=0,"Spatial Data Missing",VLOOKUP(L102,'G-3 Multipliers'!$L$3:$N$6,2,FALSE)))</f>
        <v/>
      </c>
      <c r="N102" s="172" t="str">
        <f>IF(L102="","",IF(VLOOKUP(L102,'G-3 Multipliers'!$L$3:$N$6,3,FALSE)=0,"Spatial Data Missing",VLOOKUP(L102,'G-3 Multipliers'!$L$3:$N$6,3,FALSE)))</f>
        <v/>
      </c>
      <c r="O102" s="171" t="str">
        <f t="shared" si="5"/>
        <v/>
      </c>
      <c r="P102" s="261"/>
      <c r="Q102" s="261"/>
      <c r="R102" s="343" t="str">
        <f t="shared" si="6"/>
        <v/>
      </c>
      <c r="S102" s="352" t="str">
        <f t="shared" si="7"/>
        <v/>
      </c>
      <c r="T102" s="593" t="str">
        <f>IFERROR(IF(S102="Check Data","Check Data",VLOOKUP(S102,'G-4 Temporal multipliers'!$A$4:$C$37,3,FALSE)),"")</f>
        <v/>
      </c>
      <c r="U102" s="592" t="str">
        <f>IF(F102="","",VLOOKUP(F102,'G-3 Multipliers'!$A$2:$E$130,2,FALSE))</f>
        <v/>
      </c>
      <c r="V102" s="343" t="str">
        <f t="shared" si="8"/>
        <v/>
      </c>
      <c r="W102" s="343" t="str">
        <f>IF(E102="","",IF(AND(V102="Standard difficulty applied",O102&gt;P102),U102,IF(AND(V102="Low Difficulty - only applicable if all habitat created before losses",P102&gt;=O102),"Low",VLOOKUP(F102,'G-3 Multipliers'!$A$2:$E$130,4,FALSE))))</f>
        <v/>
      </c>
      <c r="X102" s="345" t="str">
        <f>IFERROR(IF(E102="","",VLOOKUP(W102, 'G-3 Multipliers'!$P$2:$Q$6,2,FALSE)),””)</f>
        <v/>
      </c>
      <c r="Y102" s="266"/>
      <c r="Z102" s="172" t="str">
        <f>IF(Y102="","",IF(VLOOKUP(Y102,'G-3 Multipliers'!$S$3:$T$9,2,FALSE)=0,"Spatial Data Missing",VLOOKUP(Y102,'G-3 Multipliers'!$S$3:$T$9,2,FALSE)))</f>
        <v/>
      </c>
      <c r="AA102" s="265" t="str">
        <f t="shared" si="9"/>
        <v/>
      </c>
      <c r="AB102" s="180"/>
      <c r="AC102" s="181"/>
    </row>
    <row r="103" spans="1:29" ht="13.8" x14ac:dyDescent="0.25">
      <c r="A103" s="35" t="str">
        <f>IFERROR(INDEX('G-8 Condition Look up'!$I$4:$I$131,MATCH(F103,'G-8 Condition Look up'!$A$4:$A$131,0)),"")</f>
        <v/>
      </c>
      <c r="C103" s="363" t="str">
        <f>IFERROR(INDEX('G-1 All Habitats'!$AG$3:$AG$15,MATCH(D103,'G-1 All Habitats'!$AF$3:$AF$15,0)),"")</f>
        <v/>
      </c>
      <c r="D103" s="186"/>
      <c r="E103" s="275"/>
      <c r="F103" s="362" t="str">
        <f>IFERROR(INDEX('G-1 All Habitats'!$B$3:$B$130,MATCH(E103,'G-1 All Habitats'!$A$3:$A$130,0)),"")</f>
        <v/>
      </c>
      <c r="G103" s="598"/>
      <c r="H103" s="239" t="str">
        <f>IF(F103="","",VLOOKUP(F103,'G-1 All Habitats'!$B$2:$M$130,10,FALSE))</f>
        <v/>
      </c>
      <c r="I103" s="176" t="str">
        <f>IFERROR(VLOOKUP(H103,'G-1 All Habitats'!$V$3:$W$7,2,FALSE),"")</f>
        <v/>
      </c>
      <c r="J103" s="270"/>
      <c r="K103" s="176" t="str">
        <f>IFERROR(INDEX('G-8 Condition Look up'!$A$3:$H$131,MATCH(F103,'G-8 Condition Look up'!$A$3:$A$131,0),MATCH(J103,'G-8 Condition Look up'!$A$3:$H$3,0)),"")</f>
        <v/>
      </c>
      <c r="L103" s="173"/>
      <c r="M103" s="269" t="str">
        <f>IF(L103="","",IF(VLOOKUP(L103,'G-3 Multipliers'!$L$3:$N$6,2,FALSE)=0,"Spatial Data Missing",VLOOKUP(L103,'G-3 Multipliers'!$L$3:$N$6,2,FALSE)))</f>
        <v/>
      </c>
      <c r="N103" s="172" t="str">
        <f>IF(L103="","",IF(VLOOKUP(L103,'G-3 Multipliers'!$L$3:$N$6,3,FALSE)=0,"Spatial Data Missing",VLOOKUP(L103,'G-3 Multipliers'!$L$3:$N$6,3,FALSE)))</f>
        <v/>
      </c>
      <c r="O103" s="171" t="str">
        <f t="shared" si="5"/>
        <v/>
      </c>
      <c r="P103" s="261"/>
      <c r="Q103" s="261"/>
      <c r="R103" s="343" t="str">
        <f t="shared" si="6"/>
        <v/>
      </c>
      <c r="S103" s="352" t="str">
        <f t="shared" si="7"/>
        <v/>
      </c>
      <c r="T103" s="593" t="str">
        <f>IFERROR(IF(S103="Check Data","Check Data",VLOOKUP(S103,'G-4 Temporal multipliers'!$A$4:$C$37,3,FALSE)),"")</f>
        <v/>
      </c>
      <c r="U103" s="592" t="str">
        <f>IF(F103="","",VLOOKUP(F103,'G-3 Multipliers'!$A$2:$E$130,2,FALSE))</f>
        <v/>
      </c>
      <c r="V103" s="343" t="str">
        <f t="shared" si="8"/>
        <v/>
      </c>
      <c r="W103" s="343" t="str">
        <f>IF(E103="","",IF(AND(V103="Standard difficulty applied",O103&gt;P103),U103,IF(AND(V103="Low Difficulty - only applicable if all habitat created before losses",P103&gt;=O103),"Low",VLOOKUP(F103,'G-3 Multipliers'!$A$2:$E$130,4,FALSE))))</f>
        <v/>
      </c>
      <c r="X103" s="345" t="str">
        <f>IFERROR(IF(E103="","",VLOOKUP(W103, 'G-3 Multipliers'!$P$2:$Q$6,2,FALSE)),””)</f>
        <v/>
      </c>
      <c r="Y103" s="266"/>
      <c r="Z103" s="172" t="str">
        <f>IF(Y103="","",IF(VLOOKUP(Y103,'G-3 Multipliers'!$S$3:$T$9,2,FALSE)=0,"Spatial Data Missing",VLOOKUP(Y103,'G-3 Multipliers'!$S$3:$T$9,2,FALSE)))</f>
        <v/>
      </c>
      <c r="AA103" s="265" t="str">
        <f t="shared" si="9"/>
        <v/>
      </c>
      <c r="AB103" s="180"/>
      <c r="AC103" s="181"/>
    </row>
    <row r="104" spans="1:29" ht="13.8" x14ac:dyDescent="0.25">
      <c r="A104" s="35" t="str">
        <f>IFERROR(INDEX('G-8 Condition Look up'!$I$4:$I$131,MATCH(F104,'G-8 Condition Look up'!$A$4:$A$131,0)),"")</f>
        <v/>
      </c>
      <c r="C104" s="363" t="str">
        <f>IFERROR(INDEX('G-1 All Habitats'!$AG$3:$AG$15,MATCH(D104,'G-1 All Habitats'!$AF$3:$AF$15,0)),"")</f>
        <v/>
      </c>
      <c r="D104" s="186"/>
      <c r="E104" s="275"/>
      <c r="F104" s="362" t="str">
        <f>IFERROR(INDEX('G-1 All Habitats'!$B$3:$B$130,MATCH(E104,'G-1 All Habitats'!$A$3:$A$130,0)),"")</f>
        <v/>
      </c>
      <c r="G104" s="598"/>
      <c r="H104" s="239" t="str">
        <f>IF(F104="","",VLOOKUP(F104,'G-1 All Habitats'!$B$2:$M$130,10,FALSE))</f>
        <v/>
      </c>
      <c r="I104" s="176" t="str">
        <f>IFERROR(VLOOKUP(H104,'G-1 All Habitats'!$V$3:$W$7,2,FALSE),"")</f>
        <v/>
      </c>
      <c r="J104" s="270"/>
      <c r="K104" s="176" t="str">
        <f>IFERROR(INDEX('G-8 Condition Look up'!$A$3:$H$131,MATCH(F104,'G-8 Condition Look up'!$A$3:$A$131,0),MATCH(J104,'G-8 Condition Look up'!$A$3:$H$3,0)),"")</f>
        <v/>
      </c>
      <c r="L104" s="173"/>
      <c r="M104" s="269" t="str">
        <f>IF(L104="","",IF(VLOOKUP(L104,'G-3 Multipliers'!$L$3:$N$6,2,FALSE)=0,"Spatial Data Missing",VLOOKUP(L104,'G-3 Multipliers'!$L$3:$N$6,2,FALSE)))</f>
        <v/>
      </c>
      <c r="N104" s="172" t="str">
        <f>IF(L104="","",IF(VLOOKUP(L104,'G-3 Multipliers'!$L$3:$N$6,3,FALSE)=0,"Spatial Data Missing",VLOOKUP(L104,'G-3 Multipliers'!$L$3:$N$6,3,FALSE)))</f>
        <v/>
      </c>
      <c r="O104" s="171" t="str">
        <f t="shared" si="5"/>
        <v/>
      </c>
      <c r="P104" s="261"/>
      <c r="Q104" s="261"/>
      <c r="R104" s="343" t="str">
        <f t="shared" si="6"/>
        <v/>
      </c>
      <c r="S104" s="352" t="str">
        <f t="shared" si="7"/>
        <v/>
      </c>
      <c r="T104" s="593" t="str">
        <f>IFERROR(IF(S104="Check Data","Check Data",VLOOKUP(S104,'G-4 Temporal multipliers'!$A$4:$C$37,3,FALSE)),"")</f>
        <v/>
      </c>
      <c r="U104" s="592" t="str">
        <f>IF(F104="","",VLOOKUP(F104,'G-3 Multipliers'!$A$2:$E$130,2,FALSE))</f>
        <v/>
      </c>
      <c r="V104" s="343" t="str">
        <f t="shared" si="8"/>
        <v/>
      </c>
      <c r="W104" s="343" t="str">
        <f>IF(E104="","",IF(AND(V104="Standard difficulty applied",O104&gt;P104),U104,IF(AND(V104="Low Difficulty - only applicable if all habitat created before losses",P104&gt;=O104),"Low",VLOOKUP(F104,'G-3 Multipliers'!$A$2:$E$130,4,FALSE))))</f>
        <v/>
      </c>
      <c r="X104" s="345" t="str">
        <f>IFERROR(IF(E104="","",VLOOKUP(W104, 'G-3 Multipliers'!$P$2:$Q$6,2,FALSE)),””)</f>
        <v/>
      </c>
      <c r="Y104" s="266"/>
      <c r="Z104" s="172" t="str">
        <f>IF(Y104="","",IF(VLOOKUP(Y104,'G-3 Multipliers'!$S$3:$T$9,2,FALSE)=0,"Spatial Data Missing",VLOOKUP(Y104,'G-3 Multipliers'!$S$3:$T$9,2,FALSE)))</f>
        <v/>
      </c>
      <c r="AA104" s="265" t="str">
        <f t="shared" si="9"/>
        <v/>
      </c>
      <c r="AB104" s="180"/>
      <c r="AC104" s="181"/>
    </row>
    <row r="105" spans="1:29" ht="13.8" x14ac:dyDescent="0.25">
      <c r="A105" s="35" t="str">
        <f>IFERROR(INDEX('G-8 Condition Look up'!$I$4:$I$131,MATCH(F105,'G-8 Condition Look up'!$A$4:$A$131,0)),"")</f>
        <v/>
      </c>
      <c r="C105" s="363" t="str">
        <f>IFERROR(INDEX('G-1 All Habitats'!$AG$3:$AG$15,MATCH(D105,'G-1 All Habitats'!$AF$3:$AF$15,0)),"")</f>
        <v/>
      </c>
      <c r="D105" s="186"/>
      <c r="E105" s="275"/>
      <c r="F105" s="362" t="str">
        <f>IFERROR(INDEX('G-1 All Habitats'!$B$3:$B$130,MATCH(E105,'G-1 All Habitats'!$A$3:$A$130,0)),"")</f>
        <v/>
      </c>
      <c r="G105" s="598"/>
      <c r="H105" s="239" t="str">
        <f>IF(F105="","",VLOOKUP(F105,'G-1 All Habitats'!$B$2:$M$130,10,FALSE))</f>
        <v/>
      </c>
      <c r="I105" s="176" t="str">
        <f>IFERROR(VLOOKUP(H105,'G-1 All Habitats'!$V$3:$W$7,2,FALSE),"")</f>
        <v/>
      </c>
      <c r="J105" s="270"/>
      <c r="K105" s="176" t="str">
        <f>IFERROR(INDEX('G-8 Condition Look up'!$A$3:$H$131,MATCH(F105,'G-8 Condition Look up'!$A$3:$A$131,0),MATCH(J105,'G-8 Condition Look up'!$A$3:$H$3,0)),"")</f>
        <v/>
      </c>
      <c r="L105" s="173"/>
      <c r="M105" s="269" t="str">
        <f>IF(L105="","",IF(VLOOKUP(L105,'G-3 Multipliers'!$L$3:$N$6,2,FALSE)=0,"Spatial Data Missing",VLOOKUP(L105,'G-3 Multipliers'!$L$3:$N$6,2,FALSE)))</f>
        <v/>
      </c>
      <c r="N105" s="172" t="str">
        <f>IF(L105="","",IF(VLOOKUP(L105,'G-3 Multipliers'!$L$3:$N$6,3,FALSE)=0,"Spatial Data Missing",VLOOKUP(L105,'G-3 Multipliers'!$L$3:$N$6,3,FALSE)))</f>
        <v/>
      </c>
      <c r="O105" s="171" t="str">
        <f t="shared" si="5"/>
        <v/>
      </c>
      <c r="P105" s="261"/>
      <c r="Q105" s="261"/>
      <c r="R105" s="343" t="str">
        <f t="shared" si="6"/>
        <v/>
      </c>
      <c r="S105" s="352" t="str">
        <f t="shared" si="7"/>
        <v/>
      </c>
      <c r="T105" s="593" t="str">
        <f>IFERROR(IF(S105="Check Data","Check Data",VLOOKUP(S105,'G-4 Temporal multipliers'!$A$4:$C$37,3,FALSE)),"")</f>
        <v/>
      </c>
      <c r="U105" s="592" t="str">
        <f>IF(F105="","",VLOOKUP(F105,'G-3 Multipliers'!$A$2:$E$130,2,FALSE))</f>
        <v/>
      </c>
      <c r="V105" s="343" t="str">
        <f t="shared" si="8"/>
        <v/>
      </c>
      <c r="W105" s="343" t="str">
        <f>IF(E105="","",IF(AND(V105="Standard difficulty applied",O105&gt;P105),U105,IF(AND(V105="Low Difficulty - only applicable if all habitat created before losses",P105&gt;=O105),"Low",VLOOKUP(F105,'G-3 Multipliers'!$A$2:$E$130,4,FALSE))))</f>
        <v/>
      </c>
      <c r="X105" s="345" t="str">
        <f>IFERROR(IF(E105="","",VLOOKUP(W105, 'G-3 Multipliers'!$P$2:$Q$6,2,FALSE)),””)</f>
        <v/>
      </c>
      <c r="Y105" s="266"/>
      <c r="Z105" s="172" t="str">
        <f>IF(Y105="","",IF(VLOOKUP(Y105,'G-3 Multipliers'!$S$3:$T$9,2,FALSE)=0,"Spatial Data Missing",VLOOKUP(Y105,'G-3 Multipliers'!$S$3:$T$9,2,FALSE)))</f>
        <v/>
      </c>
      <c r="AA105" s="265" t="str">
        <f t="shared" si="9"/>
        <v/>
      </c>
      <c r="AB105" s="180"/>
      <c r="AC105" s="181"/>
    </row>
    <row r="106" spans="1:29" ht="13.8" x14ac:dyDescent="0.25">
      <c r="A106" s="35" t="str">
        <f>IFERROR(INDEX('G-8 Condition Look up'!$I$4:$I$131,MATCH(F106,'G-8 Condition Look up'!$A$4:$A$131,0)),"")</f>
        <v/>
      </c>
      <c r="C106" s="363" t="str">
        <f>IFERROR(INDEX('G-1 All Habitats'!$AG$3:$AG$15,MATCH(D106,'G-1 All Habitats'!$AF$3:$AF$15,0)),"")</f>
        <v/>
      </c>
      <c r="D106" s="186"/>
      <c r="E106" s="275"/>
      <c r="F106" s="362" t="str">
        <f>IFERROR(INDEX('G-1 All Habitats'!$B$3:$B$130,MATCH(E106,'G-1 All Habitats'!$A$3:$A$130,0)),"")</f>
        <v/>
      </c>
      <c r="G106" s="598"/>
      <c r="H106" s="239" t="str">
        <f>IF(F106="","",VLOOKUP(F106,'G-1 All Habitats'!$B$2:$M$130,10,FALSE))</f>
        <v/>
      </c>
      <c r="I106" s="176" t="str">
        <f>IFERROR(VLOOKUP(H106,'G-1 All Habitats'!$V$3:$W$7,2,FALSE),"")</f>
        <v/>
      </c>
      <c r="J106" s="270"/>
      <c r="K106" s="176" t="str">
        <f>IFERROR(INDEX('G-8 Condition Look up'!$A$3:$H$131,MATCH(F106,'G-8 Condition Look up'!$A$3:$A$131,0),MATCH(J106,'G-8 Condition Look up'!$A$3:$H$3,0)),"")</f>
        <v/>
      </c>
      <c r="L106" s="173"/>
      <c r="M106" s="269" t="str">
        <f>IF(L106="","",IF(VLOOKUP(L106,'G-3 Multipliers'!$L$3:$N$6,2,FALSE)=0,"Spatial Data Missing",VLOOKUP(L106,'G-3 Multipliers'!$L$3:$N$6,2,FALSE)))</f>
        <v/>
      </c>
      <c r="N106" s="172" t="str">
        <f>IF(L106="","",IF(VLOOKUP(L106,'G-3 Multipliers'!$L$3:$N$6,3,FALSE)=0,"Spatial Data Missing",VLOOKUP(L106,'G-3 Multipliers'!$L$3:$N$6,3,FALSE)))</f>
        <v/>
      </c>
      <c r="O106" s="171" t="str">
        <f t="shared" si="5"/>
        <v/>
      </c>
      <c r="P106" s="261"/>
      <c r="Q106" s="261"/>
      <c r="R106" s="343" t="str">
        <f t="shared" si="6"/>
        <v/>
      </c>
      <c r="S106" s="352" t="str">
        <f t="shared" si="7"/>
        <v/>
      </c>
      <c r="T106" s="593" t="str">
        <f>IFERROR(IF(S106="Check Data","Check Data",VLOOKUP(S106,'G-4 Temporal multipliers'!$A$4:$C$37,3,FALSE)),"")</f>
        <v/>
      </c>
      <c r="U106" s="592" t="str">
        <f>IF(F106="","",VLOOKUP(F106,'G-3 Multipliers'!$A$2:$E$130,2,FALSE))</f>
        <v/>
      </c>
      <c r="V106" s="343" t="str">
        <f t="shared" si="8"/>
        <v/>
      </c>
      <c r="W106" s="343" t="str">
        <f>IF(E106="","",IF(AND(V106="Standard difficulty applied",O106&gt;P106),U106,IF(AND(V106="Low Difficulty - only applicable if all habitat created before losses",P106&gt;=O106),"Low",VLOOKUP(F106,'G-3 Multipliers'!$A$2:$E$130,4,FALSE))))</f>
        <v/>
      </c>
      <c r="X106" s="345" t="str">
        <f>IFERROR(IF(E106="","",VLOOKUP(W106, 'G-3 Multipliers'!$P$2:$Q$6,2,FALSE)),””)</f>
        <v/>
      </c>
      <c r="Y106" s="266"/>
      <c r="Z106" s="172" t="str">
        <f>IF(Y106="","",IF(VLOOKUP(Y106,'G-3 Multipliers'!$S$3:$T$9,2,FALSE)=0,"Spatial Data Missing",VLOOKUP(Y106,'G-3 Multipliers'!$S$3:$T$9,2,FALSE)))</f>
        <v/>
      </c>
      <c r="AA106" s="265" t="str">
        <f t="shared" si="9"/>
        <v/>
      </c>
      <c r="AB106" s="180"/>
      <c r="AC106" s="181"/>
    </row>
    <row r="107" spans="1:29" ht="13.8" x14ac:dyDescent="0.25">
      <c r="A107" s="35" t="str">
        <f>IFERROR(INDEX('G-8 Condition Look up'!$I$4:$I$131,MATCH(F107,'G-8 Condition Look up'!$A$4:$A$131,0)),"")</f>
        <v/>
      </c>
      <c r="C107" s="363" t="str">
        <f>IFERROR(INDEX('G-1 All Habitats'!$AG$3:$AG$15,MATCH(D107,'G-1 All Habitats'!$AF$3:$AF$15,0)),"")</f>
        <v/>
      </c>
      <c r="D107" s="186"/>
      <c r="E107" s="275"/>
      <c r="F107" s="362" t="str">
        <f>IFERROR(INDEX('G-1 All Habitats'!$B$3:$B$130,MATCH(E107,'G-1 All Habitats'!$A$3:$A$130,0)),"")</f>
        <v/>
      </c>
      <c r="G107" s="598"/>
      <c r="H107" s="239" t="str">
        <f>IF(F107="","",VLOOKUP(F107,'G-1 All Habitats'!$B$2:$M$130,10,FALSE))</f>
        <v/>
      </c>
      <c r="I107" s="176" t="str">
        <f>IFERROR(VLOOKUP(H107,'G-1 All Habitats'!$V$3:$W$7,2,FALSE),"")</f>
        <v/>
      </c>
      <c r="J107" s="270"/>
      <c r="K107" s="176" t="str">
        <f>IFERROR(INDEX('G-8 Condition Look up'!$A$3:$H$131,MATCH(F107,'G-8 Condition Look up'!$A$3:$A$131,0),MATCH(J107,'G-8 Condition Look up'!$A$3:$H$3,0)),"")</f>
        <v/>
      </c>
      <c r="L107" s="173"/>
      <c r="M107" s="269" t="str">
        <f>IF(L107="","",IF(VLOOKUP(L107,'G-3 Multipliers'!$L$3:$N$6,2,FALSE)=0,"Spatial Data Missing",VLOOKUP(L107,'G-3 Multipliers'!$L$3:$N$6,2,FALSE)))</f>
        <v/>
      </c>
      <c r="N107" s="172" t="str">
        <f>IF(L107="","",IF(VLOOKUP(L107,'G-3 Multipliers'!$L$3:$N$6,3,FALSE)=0,"Spatial Data Missing",VLOOKUP(L107,'G-3 Multipliers'!$L$3:$N$6,3,FALSE)))</f>
        <v/>
      </c>
      <c r="O107" s="171" t="str">
        <f t="shared" si="5"/>
        <v/>
      </c>
      <c r="P107" s="261"/>
      <c r="Q107" s="261"/>
      <c r="R107" s="343" t="str">
        <f t="shared" si="6"/>
        <v/>
      </c>
      <c r="S107" s="352" t="str">
        <f t="shared" si="7"/>
        <v/>
      </c>
      <c r="T107" s="593" t="str">
        <f>IFERROR(IF(S107="Check Data","Check Data",VLOOKUP(S107,'G-4 Temporal multipliers'!$A$4:$C$37,3,FALSE)),"")</f>
        <v/>
      </c>
      <c r="U107" s="592" t="str">
        <f>IF(F107="","",VLOOKUP(F107,'G-3 Multipliers'!$A$2:$E$130,2,FALSE))</f>
        <v/>
      </c>
      <c r="V107" s="343" t="str">
        <f t="shared" si="8"/>
        <v/>
      </c>
      <c r="W107" s="343" t="str">
        <f>IF(E107="","",IF(AND(V107="Standard difficulty applied",O107&gt;P107),U107,IF(AND(V107="Low Difficulty - only applicable if all habitat created before losses",P107&gt;=O107),"Low",VLOOKUP(F107,'G-3 Multipliers'!$A$2:$E$130,4,FALSE))))</f>
        <v/>
      </c>
      <c r="X107" s="345" t="str">
        <f>IFERROR(IF(E107="","",VLOOKUP(W107, 'G-3 Multipliers'!$P$2:$Q$6,2,FALSE)),””)</f>
        <v/>
      </c>
      <c r="Y107" s="266"/>
      <c r="Z107" s="172" t="str">
        <f>IF(Y107="","",IF(VLOOKUP(Y107,'G-3 Multipliers'!$S$3:$T$9,2,FALSE)=0,"Spatial Data Missing",VLOOKUP(Y107,'G-3 Multipliers'!$S$3:$T$9,2,FALSE)))</f>
        <v/>
      </c>
      <c r="AA107" s="265" t="str">
        <f t="shared" si="9"/>
        <v/>
      </c>
      <c r="AB107" s="180"/>
      <c r="AC107" s="181"/>
    </row>
    <row r="108" spans="1:29" ht="13.8" x14ac:dyDescent="0.25">
      <c r="A108" s="35" t="str">
        <f>IFERROR(INDEX('G-8 Condition Look up'!$I$4:$I$131,MATCH(F108,'G-8 Condition Look up'!$A$4:$A$131,0)),"")</f>
        <v/>
      </c>
      <c r="C108" s="363" t="str">
        <f>IFERROR(INDEX('G-1 All Habitats'!$AG$3:$AG$15,MATCH(D108,'G-1 All Habitats'!$AF$3:$AF$15,0)),"")</f>
        <v/>
      </c>
      <c r="D108" s="186"/>
      <c r="E108" s="275"/>
      <c r="F108" s="362" t="str">
        <f>IFERROR(INDEX('G-1 All Habitats'!$B$3:$B$130,MATCH(E108,'G-1 All Habitats'!$A$3:$A$130,0)),"")</f>
        <v/>
      </c>
      <c r="G108" s="598"/>
      <c r="H108" s="239" t="str">
        <f>IF(F108="","",VLOOKUP(F108,'G-1 All Habitats'!$B$2:$M$130,10,FALSE))</f>
        <v/>
      </c>
      <c r="I108" s="176" t="str">
        <f>IFERROR(VLOOKUP(H108,'G-1 All Habitats'!$V$3:$W$7,2,FALSE),"")</f>
        <v/>
      </c>
      <c r="J108" s="270"/>
      <c r="K108" s="176" t="str">
        <f>IFERROR(INDEX('G-8 Condition Look up'!$A$3:$H$131,MATCH(F108,'G-8 Condition Look up'!$A$3:$A$131,0),MATCH(J108,'G-8 Condition Look up'!$A$3:$H$3,0)),"")</f>
        <v/>
      </c>
      <c r="L108" s="173"/>
      <c r="M108" s="269" t="str">
        <f>IF(L108="","",IF(VLOOKUP(L108,'G-3 Multipliers'!$L$3:$N$6,2,FALSE)=0,"Spatial Data Missing",VLOOKUP(L108,'G-3 Multipliers'!$L$3:$N$6,2,FALSE)))</f>
        <v/>
      </c>
      <c r="N108" s="172" t="str">
        <f>IF(L108="","",IF(VLOOKUP(L108,'G-3 Multipliers'!$L$3:$N$6,3,FALSE)=0,"Spatial Data Missing",VLOOKUP(L108,'G-3 Multipliers'!$L$3:$N$6,3,FALSE)))</f>
        <v/>
      </c>
      <c r="O108" s="171" t="str">
        <f t="shared" si="5"/>
        <v/>
      </c>
      <c r="P108" s="261"/>
      <c r="Q108" s="261"/>
      <c r="R108" s="343" t="str">
        <f t="shared" si="6"/>
        <v/>
      </c>
      <c r="S108" s="352" t="str">
        <f t="shared" si="7"/>
        <v/>
      </c>
      <c r="T108" s="593" t="str">
        <f>IFERROR(IF(S108="Check Data","Check Data",VLOOKUP(S108,'G-4 Temporal multipliers'!$A$4:$C$37,3,FALSE)),"")</f>
        <v/>
      </c>
      <c r="U108" s="592" t="str">
        <f>IF(F108="","",VLOOKUP(F108,'G-3 Multipliers'!$A$2:$E$130,2,FALSE))</f>
        <v/>
      </c>
      <c r="V108" s="343" t="str">
        <f t="shared" si="8"/>
        <v/>
      </c>
      <c r="W108" s="343" t="str">
        <f>IF(E108="","",IF(AND(V108="Standard difficulty applied",O108&gt;P108),U108,IF(AND(V108="Low Difficulty - only applicable if all habitat created before losses",P108&gt;=O108),"Low",VLOOKUP(F108,'G-3 Multipliers'!$A$2:$E$130,4,FALSE))))</f>
        <v/>
      </c>
      <c r="X108" s="345" t="str">
        <f>IFERROR(IF(E108="","",VLOOKUP(W108, 'G-3 Multipliers'!$P$2:$Q$6,2,FALSE)),””)</f>
        <v/>
      </c>
      <c r="Y108" s="266"/>
      <c r="Z108" s="172" t="str">
        <f>IF(Y108="","",IF(VLOOKUP(Y108,'G-3 Multipliers'!$S$3:$T$9,2,FALSE)=0,"Spatial Data Missing",VLOOKUP(Y108,'G-3 Multipliers'!$S$3:$T$9,2,FALSE)))</f>
        <v/>
      </c>
      <c r="AA108" s="265" t="str">
        <f t="shared" si="9"/>
        <v/>
      </c>
      <c r="AB108" s="180"/>
      <c r="AC108" s="181"/>
    </row>
    <row r="109" spans="1:29" ht="13.8" x14ac:dyDescent="0.25">
      <c r="A109" s="35" t="str">
        <f>IFERROR(INDEX('G-8 Condition Look up'!$I$4:$I$131,MATCH(F109,'G-8 Condition Look up'!$A$4:$A$131,0)),"")</f>
        <v/>
      </c>
      <c r="C109" s="363" t="str">
        <f>IFERROR(INDEX('G-1 All Habitats'!$AG$3:$AG$15,MATCH(D109,'G-1 All Habitats'!$AF$3:$AF$15,0)),"")</f>
        <v/>
      </c>
      <c r="D109" s="186"/>
      <c r="E109" s="275"/>
      <c r="F109" s="362" t="str">
        <f>IFERROR(INDEX('G-1 All Habitats'!$B$3:$B$130,MATCH(E109,'G-1 All Habitats'!$A$3:$A$130,0)),"")</f>
        <v/>
      </c>
      <c r="G109" s="598"/>
      <c r="H109" s="239" t="str">
        <f>IF(F109="","",VLOOKUP(F109,'G-1 All Habitats'!$B$2:$M$130,10,FALSE))</f>
        <v/>
      </c>
      <c r="I109" s="176" t="str">
        <f>IFERROR(VLOOKUP(H109,'G-1 All Habitats'!$V$3:$W$7,2,FALSE),"")</f>
        <v/>
      </c>
      <c r="J109" s="270"/>
      <c r="K109" s="176" t="str">
        <f>IFERROR(INDEX('G-8 Condition Look up'!$A$3:$H$131,MATCH(F109,'G-8 Condition Look up'!$A$3:$A$131,0),MATCH(J109,'G-8 Condition Look up'!$A$3:$H$3,0)),"")</f>
        <v/>
      </c>
      <c r="L109" s="173"/>
      <c r="M109" s="269" t="str">
        <f>IF(L109="","",IF(VLOOKUP(L109,'G-3 Multipliers'!$L$3:$N$6,2,FALSE)=0,"Spatial Data Missing",VLOOKUP(L109,'G-3 Multipliers'!$L$3:$N$6,2,FALSE)))</f>
        <v/>
      </c>
      <c r="N109" s="172" t="str">
        <f>IF(L109="","",IF(VLOOKUP(L109,'G-3 Multipliers'!$L$3:$N$6,3,FALSE)=0,"Spatial Data Missing",VLOOKUP(L109,'G-3 Multipliers'!$L$3:$N$6,3,FALSE)))</f>
        <v/>
      </c>
      <c r="O109" s="171" t="str">
        <f t="shared" si="5"/>
        <v/>
      </c>
      <c r="P109" s="261"/>
      <c r="Q109" s="261"/>
      <c r="R109" s="343" t="str">
        <f t="shared" si="6"/>
        <v/>
      </c>
      <c r="S109" s="352" t="str">
        <f t="shared" si="7"/>
        <v/>
      </c>
      <c r="T109" s="593" t="str">
        <f>IFERROR(IF(S109="Check Data","Check Data",VLOOKUP(S109,'G-4 Temporal multipliers'!$A$4:$C$37,3,FALSE)),"")</f>
        <v/>
      </c>
      <c r="U109" s="592" t="str">
        <f>IF(F109="","",VLOOKUP(F109,'G-3 Multipliers'!$A$2:$E$130,2,FALSE))</f>
        <v/>
      </c>
      <c r="V109" s="343" t="str">
        <f t="shared" si="8"/>
        <v/>
      </c>
      <c r="W109" s="343" t="str">
        <f>IF(E109="","",IF(AND(V109="Standard difficulty applied",O109&gt;P109),U109,IF(AND(V109="Low Difficulty - only applicable if all habitat created before losses",P109&gt;=O109),"Low",VLOOKUP(F109,'G-3 Multipliers'!$A$2:$E$130,4,FALSE))))</f>
        <v/>
      </c>
      <c r="X109" s="345" t="str">
        <f>IFERROR(IF(E109="","",VLOOKUP(W109, 'G-3 Multipliers'!$P$2:$Q$6,2,FALSE)),””)</f>
        <v/>
      </c>
      <c r="Y109" s="266"/>
      <c r="Z109" s="172" t="str">
        <f>IF(Y109="","",IF(VLOOKUP(Y109,'G-3 Multipliers'!$S$3:$T$9,2,FALSE)=0,"Spatial Data Missing",VLOOKUP(Y109,'G-3 Multipliers'!$S$3:$T$9,2,FALSE)))</f>
        <v/>
      </c>
      <c r="AA109" s="265" t="str">
        <f t="shared" si="9"/>
        <v/>
      </c>
      <c r="AB109" s="180"/>
      <c r="AC109" s="181"/>
    </row>
    <row r="110" spans="1:29" ht="13.8" x14ac:dyDescent="0.25">
      <c r="A110" s="35" t="str">
        <f>IFERROR(INDEX('G-8 Condition Look up'!$I$4:$I$131,MATCH(F110,'G-8 Condition Look up'!$A$4:$A$131,0)),"")</f>
        <v/>
      </c>
      <c r="C110" s="363" t="str">
        <f>IFERROR(INDEX('G-1 All Habitats'!$AG$3:$AG$15,MATCH(D110,'G-1 All Habitats'!$AF$3:$AF$15,0)),"")</f>
        <v/>
      </c>
      <c r="D110" s="186"/>
      <c r="E110" s="275"/>
      <c r="F110" s="362" t="str">
        <f>IFERROR(INDEX('G-1 All Habitats'!$B$3:$B$130,MATCH(E110,'G-1 All Habitats'!$A$3:$A$130,0)),"")</f>
        <v/>
      </c>
      <c r="G110" s="598"/>
      <c r="H110" s="239" t="str">
        <f>IF(F110="","",VLOOKUP(F110,'G-1 All Habitats'!$B$2:$M$130,10,FALSE))</f>
        <v/>
      </c>
      <c r="I110" s="176" t="str">
        <f>IFERROR(VLOOKUP(H110,'G-1 All Habitats'!$V$3:$W$7,2,FALSE),"")</f>
        <v/>
      </c>
      <c r="J110" s="270"/>
      <c r="K110" s="176" t="str">
        <f>IFERROR(INDEX('G-8 Condition Look up'!$A$3:$H$131,MATCH(F110,'G-8 Condition Look up'!$A$3:$A$131,0),MATCH(J110,'G-8 Condition Look up'!$A$3:$H$3,0)),"")</f>
        <v/>
      </c>
      <c r="L110" s="173"/>
      <c r="M110" s="269" t="str">
        <f>IF(L110="","",IF(VLOOKUP(L110,'G-3 Multipliers'!$L$3:$N$6,2,FALSE)=0,"Spatial Data Missing",VLOOKUP(L110,'G-3 Multipliers'!$L$3:$N$6,2,FALSE)))</f>
        <v/>
      </c>
      <c r="N110" s="172" t="str">
        <f>IF(L110="","",IF(VLOOKUP(L110,'G-3 Multipliers'!$L$3:$N$6,3,FALSE)=0,"Spatial Data Missing",VLOOKUP(L110,'G-3 Multipliers'!$L$3:$N$6,3,FALSE)))</f>
        <v/>
      </c>
      <c r="O110" s="171" t="str">
        <f t="shared" si="5"/>
        <v/>
      </c>
      <c r="P110" s="261"/>
      <c r="Q110" s="261"/>
      <c r="R110" s="343" t="str">
        <f t="shared" si="6"/>
        <v/>
      </c>
      <c r="S110" s="352" t="str">
        <f t="shared" si="7"/>
        <v/>
      </c>
      <c r="T110" s="593" t="str">
        <f>IFERROR(IF(S110="Check Data","Check Data",VLOOKUP(S110,'G-4 Temporal multipliers'!$A$4:$C$37,3,FALSE)),"")</f>
        <v/>
      </c>
      <c r="U110" s="592" t="str">
        <f>IF(F110="","",VLOOKUP(F110,'G-3 Multipliers'!$A$2:$E$130,2,FALSE))</f>
        <v/>
      </c>
      <c r="V110" s="343" t="str">
        <f t="shared" si="8"/>
        <v/>
      </c>
      <c r="W110" s="343" t="str">
        <f>IF(E110="","",IF(AND(V110="Standard difficulty applied",O110&gt;P110),U110,IF(AND(V110="Low Difficulty - only applicable if all habitat created before losses",P110&gt;=O110),"Low",VLOOKUP(F110,'G-3 Multipliers'!$A$2:$E$130,4,FALSE))))</f>
        <v/>
      </c>
      <c r="X110" s="345" t="str">
        <f>IFERROR(IF(E110="","",VLOOKUP(W110, 'G-3 Multipliers'!$P$2:$Q$6,2,FALSE)),””)</f>
        <v/>
      </c>
      <c r="Y110" s="266"/>
      <c r="Z110" s="172" t="str">
        <f>IF(Y110="","",IF(VLOOKUP(Y110,'G-3 Multipliers'!$S$3:$T$9,2,FALSE)=0,"Spatial Data Missing",VLOOKUP(Y110,'G-3 Multipliers'!$S$3:$T$9,2,FALSE)))</f>
        <v/>
      </c>
      <c r="AA110" s="265" t="str">
        <f t="shared" si="9"/>
        <v/>
      </c>
      <c r="AB110" s="180"/>
      <c r="AC110" s="181"/>
    </row>
    <row r="111" spans="1:29" ht="13.8" x14ac:dyDescent="0.25">
      <c r="A111" s="35" t="str">
        <f>IFERROR(INDEX('G-8 Condition Look up'!$I$4:$I$131,MATCH(F111,'G-8 Condition Look up'!$A$4:$A$131,0)),"")</f>
        <v/>
      </c>
      <c r="C111" s="363" t="str">
        <f>IFERROR(INDEX('G-1 All Habitats'!$AG$3:$AG$15,MATCH(D111,'G-1 All Habitats'!$AF$3:$AF$15,0)),"")</f>
        <v/>
      </c>
      <c r="D111" s="186"/>
      <c r="E111" s="275"/>
      <c r="F111" s="362" t="str">
        <f>IFERROR(INDEX('G-1 All Habitats'!$B$3:$B$130,MATCH(E111,'G-1 All Habitats'!$A$3:$A$130,0)),"")</f>
        <v/>
      </c>
      <c r="G111" s="598"/>
      <c r="H111" s="239" t="str">
        <f>IF(F111="","",VLOOKUP(F111,'G-1 All Habitats'!$B$2:$M$130,10,FALSE))</f>
        <v/>
      </c>
      <c r="I111" s="176" t="str">
        <f>IFERROR(VLOOKUP(H111,'G-1 All Habitats'!$V$3:$W$7,2,FALSE),"")</f>
        <v/>
      </c>
      <c r="J111" s="270"/>
      <c r="K111" s="176" t="str">
        <f>IFERROR(INDEX('G-8 Condition Look up'!$A$3:$H$131,MATCH(F111,'G-8 Condition Look up'!$A$3:$A$131,0),MATCH(J111,'G-8 Condition Look up'!$A$3:$H$3,0)),"")</f>
        <v/>
      </c>
      <c r="L111" s="173"/>
      <c r="M111" s="269" t="str">
        <f>IF(L111="","",IF(VLOOKUP(L111,'G-3 Multipliers'!$L$3:$N$6,2,FALSE)=0,"Spatial Data Missing",VLOOKUP(L111,'G-3 Multipliers'!$L$3:$N$6,2,FALSE)))</f>
        <v/>
      </c>
      <c r="N111" s="172" t="str">
        <f>IF(L111="","",IF(VLOOKUP(L111,'G-3 Multipliers'!$L$3:$N$6,3,FALSE)=0,"Spatial Data Missing",VLOOKUP(L111,'G-3 Multipliers'!$L$3:$N$6,3,FALSE)))</f>
        <v/>
      </c>
      <c r="O111" s="171" t="str">
        <f t="shared" si="5"/>
        <v/>
      </c>
      <c r="P111" s="261"/>
      <c r="Q111" s="261"/>
      <c r="R111" s="343" t="str">
        <f t="shared" si="6"/>
        <v/>
      </c>
      <c r="S111" s="352" t="str">
        <f t="shared" si="7"/>
        <v/>
      </c>
      <c r="T111" s="593" t="str">
        <f>IFERROR(IF(S111="Check Data","Check Data",VLOOKUP(S111,'G-4 Temporal multipliers'!$A$4:$C$37,3,FALSE)),"")</f>
        <v/>
      </c>
      <c r="U111" s="592" t="str">
        <f>IF(F111="","",VLOOKUP(F111,'G-3 Multipliers'!$A$2:$E$130,2,FALSE))</f>
        <v/>
      </c>
      <c r="V111" s="343" t="str">
        <f t="shared" si="8"/>
        <v/>
      </c>
      <c r="W111" s="343" t="str">
        <f>IF(E111="","",IF(AND(V111="Standard difficulty applied",O111&gt;P111),U111,IF(AND(V111="Low Difficulty - only applicable if all habitat created before losses",P111&gt;=O111),"Low",VLOOKUP(F111,'G-3 Multipliers'!$A$2:$E$130,4,FALSE))))</f>
        <v/>
      </c>
      <c r="X111" s="345" t="str">
        <f>IFERROR(IF(E111="","",VLOOKUP(W111, 'G-3 Multipliers'!$P$2:$Q$6,2,FALSE)),””)</f>
        <v/>
      </c>
      <c r="Y111" s="266"/>
      <c r="Z111" s="172" t="str">
        <f>IF(Y111="","",IF(VLOOKUP(Y111,'G-3 Multipliers'!$S$3:$T$9,2,FALSE)=0,"Spatial Data Missing",VLOOKUP(Y111,'G-3 Multipliers'!$S$3:$T$9,2,FALSE)))</f>
        <v/>
      </c>
      <c r="AA111" s="265" t="str">
        <f t="shared" si="9"/>
        <v/>
      </c>
      <c r="AB111" s="180"/>
      <c r="AC111" s="181"/>
    </row>
    <row r="112" spans="1:29" ht="13.8" x14ac:dyDescent="0.25">
      <c r="A112" s="35" t="str">
        <f>IFERROR(INDEX('G-8 Condition Look up'!$I$4:$I$131,MATCH(F112,'G-8 Condition Look up'!$A$4:$A$131,0)),"")</f>
        <v/>
      </c>
      <c r="C112" s="363" t="str">
        <f>IFERROR(INDEX('G-1 All Habitats'!$AG$3:$AG$15,MATCH(D112,'G-1 All Habitats'!$AF$3:$AF$15,0)),"")</f>
        <v/>
      </c>
      <c r="D112" s="186"/>
      <c r="E112" s="275"/>
      <c r="F112" s="362" t="str">
        <f>IFERROR(INDEX('G-1 All Habitats'!$B$3:$B$130,MATCH(E112,'G-1 All Habitats'!$A$3:$A$130,0)),"")</f>
        <v/>
      </c>
      <c r="G112" s="598"/>
      <c r="H112" s="239" t="str">
        <f>IF(F112="","",VLOOKUP(F112,'G-1 All Habitats'!$B$2:$M$130,10,FALSE))</f>
        <v/>
      </c>
      <c r="I112" s="176" t="str">
        <f>IFERROR(VLOOKUP(H112,'G-1 All Habitats'!$V$3:$W$7,2,FALSE),"")</f>
        <v/>
      </c>
      <c r="J112" s="270"/>
      <c r="K112" s="176" t="str">
        <f>IFERROR(INDEX('G-8 Condition Look up'!$A$3:$H$131,MATCH(F112,'G-8 Condition Look up'!$A$3:$A$131,0),MATCH(J112,'G-8 Condition Look up'!$A$3:$H$3,0)),"")</f>
        <v/>
      </c>
      <c r="L112" s="173"/>
      <c r="M112" s="269" t="str">
        <f>IF(L112="","",IF(VLOOKUP(L112,'G-3 Multipliers'!$L$3:$N$6,2,FALSE)=0,"Spatial Data Missing",VLOOKUP(L112,'G-3 Multipliers'!$L$3:$N$6,2,FALSE)))</f>
        <v/>
      </c>
      <c r="N112" s="172" t="str">
        <f>IF(L112="","",IF(VLOOKUP(L112,'G-3 Multipliers'!$L$3:$N$6,3,FALSE)=0,"Spatial Data Missing",VLOOKUP(L112,'G-3 Multipliers'!$L$3:$N$6,3,FALSE)))</f>
        <v/>
      </c>
      <c r="O112" s="171" t="str">
        <f t="shared" si="5"/>
        <v/>
      </c>
      <c r="P112" s="261"/>
      <c r="Q112" s="261"/>
      <c r="R112" s="343" t="str">
        <f t="shared" si="6"/>
        <v/>
      </c>
      <c r="S112" s="352" t="str">
        <f t="shared" si="7"/>
        <v/>
      </c>
      <c r="T112" s="593" t="str">
        <f>IFERROR(IF(S112="Check Data","Check Data",VLOOKUP(S112,'G-4 Temporal multipliers'!$A$4:$C$37,3,FALSE)),"")</f>
        <v/>
      </c>
      <c r="U112" s="592" t="str">
        <f>IF(F112="","",VLOOKUP(F112,'G-3 Multipliers'!$A$2:$E$130,2,FALSE))</f>
        <v/>
      </c>
      <c r="V112" s="343" t="str">
        <f t="shared" si="8"/>
        <v/>
      </c>
      <c r="W112" s="343" t="str">
        <f>IF(E112="","",IF(AND(V112="Standard difficulty applied",O112&gt;P112),U112,IF(AND(V112="Low Difficulty - only applicable if all habitat created before losses",P112&gt;=O112),"Low",VLOOKUP(F112,'G-3 Multipliers'!$A$2:$E$130,4,FALSE))))</f>
        <v/>
      </c>
      <c r="X112" s="345" t="str">
        <f>IFERROR(IF(E112="","",VLOOKUP(W112, 'G-3 Multipliers'!$P$2:$Q$6,2,FALSE)),””)</f>
        <v/>
      </c>
      <c r="Y112" s="266"/>
      <c r="Z112" s="172" t="str">
        <f>IF(Y112="","",IF(VLOOKUP(Y112,'G-3 Multipliers'!$S$3:$T$9,2,FALSE)=0,"Spatial Data Missing",VLOOKUP(Y112,'G-3 Multipliers'!$S$3:$T$9,2,FALSE)))</f>
        <v/>
      </c>
      <c r="AA112" s="265" t="str">
        <f t="shared" si="9"/>
        <v/>
      </c>
      <c r="AB112" s="180"/>
      <c r="AC112" s="181"/>
    </row>
    <row r="113" spans="1:29" ht="13.8" x14ac:dyDescent="0.25">
      <c r="A113" s="35" t="str">
        <f>IFERROR(INDEX('G-8 Condition Look up'!$I$4:$I$131,MATCH(F113,'G-8 Condition Look up'!$A$4:$A$131,0)),"")</f>
        <v/>
      </c>
      <c r="C113" s="363" t="str">
        <f>IFERROR(INDEX('G-1 All Habitats'!$AG$3:$AG$15,MATCH(D113,'G-1 All Habitats'!$AF$3:$AF$15,0)),"")</f>
        <v/>
      </c>
      <c r="D113" s="186"/>
      <c r="E113" s="275"/>
      <c r="F113" s="362" t="str">
        <f>IFERROR(INDEX('G-1 All Habitats'!$B$3:$B$130,MATCH(E113,'G-1 All Habitats'!$A$3:$A$130,0)),"")</f>
        <v/>
      </c>
      <c r="G113" s="598"/>
      <c r="H113" s="239" t="str">
        <f>IF(F113="","",VLOOKUP(F113,'G-1 All Habitats'!$B$2:$M$130,10,FALSE))</f>
        <v/>
      </c>
      <c r="I113" s="176" t="str">
        <f>IFERROR(VLOOKUP(H113,'G-1 All Habitats'!$V$3:$W$7,2,FALSE),"")</f>
        <v/>
      </c>
      <c r="J113" s="270"/>
      <c r="K113" s="176" t="str">
        <f>IFERROR(INDEX('G-8 Condition Look up'!$A$3:$H$131,MATCH(F113,'G-8 Condition Look up'!$A$3:$A$131,0),MATCH(J113,'G-8 Condition Look up'!$A$3:$H$3,0)),"")</f>
        <v/>
      </c>
      <c r="L113" s="173"/>
      <c r="M113" s="269" t="str">
        <f>IF(L113="","",IF(VLOOKUP(L113,'G-3 Multipliers'!$L$3:$N$6,2,FALSE)=0,"Spatial Data Missing",VLOOKUP(L113,'G-3 Multipliers'!$L$3:$N$6,2,FALSE)))</f>
        <v/>
      </c>
      <c r="N113" s="172" t="str">
        <f>IF(L113="","",IF(VLOOKUP(L113,'G-3 Multipliers'!$L$3:$N$6,3,FALSE)=0,"Spatial Data Missing",VLOOKUP(L113,'G-3 Multipliers'!$L$3:$N$6,3,FALSE)))</f>
        <v/>
      </c>
      <c r="O113" s="171" t="str">
        <f t="shared" si="5"/>
        <v/>
      </c>
      <c r="P113" s="261"/>
      <c r="Q113" s="261"/>
      <c r="R113" s="343" t="str">
        <f t="shared" si="6"/>
        <v/>
      </c>
      <c r="S113" s="352" t="str">
        <f t="shared" si="7"/>
        <v/>
      </c>
      <c r="T113" s="593" t="str">
        <f>IFERROR(IF(S113="Check Data","Check Data",VLOOKUP(S113,'G-4 Temporal multipliers'!$A$4:$C$37,3,FALSE)),"")</f>
        <v/>
      </c>
      <c r="U113" s="592" t="str">
        <f>IF(F113="","",VLOOKUP(F113,'G-3 Multipliers'!$A$2:$E$130,2,FALSE))</f>
        <v/>
      </c>
      <c r="V113" s="343" t="str">
        <f t="shared" si="8"/>
        <v/>
      </c>
      <c r="W113" s="343" t="str">
        <f>IF(E113="","",IF(AND(V113="Standard difficulty applied",O113&gt;P113),U113,IF(AND(V113="Low Difficulty - only applicable if all habitat created before losses",P113&gt;=O113),"Low",VLOOKUP(F113,'G-3 Multipliers'!$A$2:$E$130,4,FALSE))))</f>
        <v/>
      </c>
      <c r="X113" s="345" t="str">
        <f>IFERROR(IF(E113="","",VLOOKUP(W113, 'G-3 Multipliers'!$P$2:$Q$6,2,FALSE)),””)</f>
        <v/>
      </c>
      <c r="Y113" s="266"/>
      <c r="Z113" s="172" t="str">
        <f>IF(Y113="","",IF(VLOOKUP(Y113,'G-3 Multipliers'!$S$3:$T$9,2,FALSE)=0,"Spatial Data Missing",VLOOKUP(Y113,'G-3 Multipliers'!$S$3:$T$9,2,FALSE)))</f>
        <v/>
      </c>
      <c r="AA113" s="265" t="str">
        <f t="shared" si="9"/>
        <v/>
      </c>
      <c r="AB113" s="180"/>
      <c r="AC113" s="181"/>
    </row>
    <row r="114" spans="1:29" ht="13.8" x14ac:dyDescent="0.25">
      <c r="A114" s="35" t="str">
        <f>IFERROR(INDEX('G-8 Condition Look up'!$I$4:$I$131,MATCH(F114,'G-8 Condition Look up'!$A$4:$A$131,0)),"")</f>
        <v/>
      </c>
      <c r="C114" s="363" t="str">
        <f>IFERROR(INDEX('G-1 All Habitats'!$AG$3:$AG$15,MATCH(D114,'G-1 All Habitats'!$AF$3:$AF$15,0)),"")</f>
        <v/>
      </c>
      <c r="D114" s="186"/>
      <c r="E114" s="275"/>
      <c r="F114" s="362" t="str">
        <f>IFERROR(INDEX('G-1 All Habitats'!$B$3:$B$130,MATCH(E114,'G-1 All Habitats'!$A$3:$A$130,0)),"")</f>
        <v/>
      </c>
      <c r="G114" s="598"/>
      <c r="H114" s="239" t="str">
        <f>IF(F114="","",VLOOKUP(F114,'G-1 All Habitats'!$B$2:$M$130,10,FALSE))</f>
        <v/>
      </c>
      <c r="I114" s="176" t="str">
        <f>IFERROR(VLOOKUP(H114,'G-1 All Habitats'!$V$3:$W$7,2,FALSE),"")</f>
        <v/>
      </c>
      <c r="J114" s="270"/>
      <c r="K114" s="176" t="str">
        <f>IFERROR(INDEX('G-8 Condition Look up'!$A$3:$H$131,MATCH(F114,'G-8 Condition Look up'!$A$3:$A$131,0),MATCH(J114,'G-8 Condition Look up'!$A$3:$H$3,0)),"")</f>
        <v/>
      </c>
      <c r="L114" s="173"/>
      <c r="M114" s="269" t="str">
        <f>IF(L114="","",IF(VLOOKUP(L114,'G-3 Multipliers'!$L$3:$N$6,2,FALSE)=0,"Spatial Data Missing",VLOOKUP(L114,'G-3 Multipliers'!$L$3:$N$6,2,FALSE)))</f>
        <v/>
      </c>
      <c r="N114" s="172" t="str">
        <f>IF(L114="","",IF(VLOOKUP(L114,'G-3 Multipliers'!$L$3:$N$6,3,FALSE)=0,"Spatial Data Missing",VLOOKUP(L114,'G-3 Multipliers'!$L$3:$N$6,3,FALSE)))</f>
        <v/>
      </c>
      <c r="O114" s="171" t="str">
        <f t="shared" si="5"/>
        <v/>
      </c>
      <c r="P114" s="261"/>
      <c r="Q114" s="261"/>
      <c r="R114" s="343" t="str">
        <f t="shared" si="6"/>
        <v/>
      </c>
      <c r="S114" s="352" t="str">
        <f t="shared" si="7"/>
        <v/>
      </c>
      <c r="T114" s="593" t="str">
        <f>IFERROR(IF(S114="Check Data","Check Data",VLOOKUP(S114,'G-4 Temporal multipliers'!$A$4:$C$37,3,FALSE)),"")</f>
        <v/>
      </c>
      <c r="U114" s="592" t="str">
        <f>IF(F114="","",VLOOKUP(F114,'G-3 Multipliers'!$A$2:$E$130,2,FALSE))</f>
        <v/>
      </c>
      <c r="V114" s="343" t="str">
        <f t="shared" si="8"/>
        <v/>
      </c>
      <c r="W114" s="343" t="str">
        <f>IF(E114="","",IF(AND(V114="Standard difficulty applied",O114&gt;P114),U114,IF(AND(V114="Low Difficulty - only applicable if all habitat created before losses",P114&gt;=O114),"Low",VLOOKUP(F114,'G-3 Multipliers'!$A$2:$E$130,4,FALSE))))</f>
        <v/>
      </c>
      <c r="X114" s="345" t="str">
        <f>IFERROR(IF(E114="","",VLOOKUP(W114, 'G-3 Multipliers'!$P$2:$Q$6,2,FALSE)),””)</f>
        <v/>
      </c>
      <c r="Y114" s="266"/>
      <c r="Z114" s="172" t="str">
        <f>IF(Y114="","",IF(VLOOKUP(Y114,'G-3 Multipliers'!$S$3:$T$9,2,FALSE)=0,"Spatial Data Missing",VLOOKUP(Y114,'G-3 Multipliers'!$S$3:$T$9,2,FALSE)))</f>
        <v/>
      </c>
      <c r="AA114" s="265" t="str">
        <f t="shared" si="9"/>
        <v/>
      </c>
      <c r="AB114" s="180"/>
      <c r="AC114" s="181"/>
    </row>
    <row r="115" spans="1:29" ht="13.8" x14ac:dyDescent="0.25">
      <c r="A115" s="35" t="str">
        <f>IFERROR(INDEX('G-8 Condition Look up'!$I$4:$I$131,MATCH(F115,'G-8 Condition Look up'!$A$4:$A$131,0)),"")</f>
        <v/>
      </c>
      <c r="C115" s="363" t="str">
        <f>IFERROR(INDEX('G-1 All Habitats'!$AG$3:$AG$15,MATCH(D115,'G-1 All Habitats'!$AF$3:$AF$15,0)),"")</f>
        <v/>
      </c>
      <c r="D115" s="186"/>
      <c r="E115" s="275"/>
      <c r="F115" s="362" t="str">
        <f>IFERROR(INDEX('G-1 All Habitats'!$B$3:$B$130,MATCH(E115,'G-1 All Habitats'!$A$3:$A$130,0)),"")</f>
        <v/>
      </c>
      <c r="G115" s="598"/>
      <c r="H115" s="239" t="str">
        <f>IF(F115="","",VLOOKUP(F115,'G-1 All Habitats'!$B$2:$M$130,10,FALSE))</f>
        <v/>
      </c>
      <c r="I115" s="176" t="str">
        <f>IFERROR(VLOOKUP(H115,'G-1 All Habitats'!$V$3:$W$7,2,FALSE),"")</f>
        <v/>
      </c>
      <c r="J115" s="270"/>
      <c r="K115" s="176" t="str">
        <f>IFERROR(INDEX('G-8 Condition Look up'!$A$3:$H$131,MATCH(F115,'G-8 Condition Look up'!$A$3:$A$131,0),MATCH(J115,'G-8 Condition Look up'!$A$3:$H$3,0)),"")</f>
        <v/>
      </c>
      <c r="L115" s="173"/>
      <c r="M115" s="269" t="str">
        <f>IF(L115="","",IF(VLOOKUP(L115,'G-3 Multipliers'!$L$3:$N$6,2,FALSE)=0,"Spatial Data Missing",VLOOKUP(L115,'G-3 Multipliers'!$L$3:$N$6,2,FALSE)))</f>
        <v/>
      </c>
      <c r="N115" s="172" t="str">
        <f>IF(L115="","",IF(VLOOKUP(L115,'G-3 Multipliers'!$L$3:$N$6,3,FALSE)=0,"Spatial Data Missing",VLOOKUP(L115,'G-3 Multipliers'!$L$3:$N$6,3,FALSE)))</f>
        <v/>
      </c>
      <c r="O115" s="171" t="str">
        <f t="shared" si="5"/>
        <v/>
      </c>
      <c r="P115" s="261"/>
      <c r="Q115" s="261"/>
      <c r="R115" s="343" t="str">
        <f t="shared" si="6"/>
        <v/>
      </c>
      <c r="S115" s="352" t="str">
        <f t="shared" si="7"/>
        <v/>
      </c>
      <c r="T115" s="593" t="str">
        <f>IFERROR(IF(S115="Check Data","Check Data",VLOOKUP(S115,'G-4 Temporal multipliers'!$A$4:$C$37,3,FALSE)),"")</f>
        <v/>
      </c>
      <c r="U115" s="592" t="str">
        <f>IF(F115="","",VLOOKUP(F115,'G-3 Multipliers'!$A$2:$E$130,2,FALSE))</f>
        <v/>
      </c>
      <c r="V115" s="343" t="str">
        <f t="shared" si="8"/>
        <v/>
      </c>
      <c r="W115" s="343" t="str">
        <f>IF(E115="","",IF(AND(V115="Standard difficulty applied",O115&gt;P115),U115,IF(AND(V115="Low Difficulty - only applicable if all habitat created before losses",P115&gt;=O115),"Low",VLOOKUP(F115,'G-3 Multipliers'!$A$2:$E$130,4,FALSE))))</f>
        <v/>
      </c>
      <c r="X115" s="345" t="str">
        <f>IFERROR(IF(E115="","",VLOOKUP(W115, 'G-3 Multipliers'!$P$2:$Q$6,2,FALSE)),””)</f>
        <v/>
      </c>
      <c r="Y115" s="266"/>
      <c r="Z115" s="172" t="str">
        <f>IF(Y115="","",IF(VLOOKUP(Y115,'G-3 Multipliers'!$S$3:$T$9,2,FALSE)=0,"Spatial Data Missing",VLOOKUP(Y115,'G-3 Multipliers'!$S$3:$T$9,2,FALSE)))</f>
        <v/>
      </c>
      <c r="AA115" s="265" t="str">
        <f t="shared" si="9"/>
        <v/>
      </c>
      <c r="AB115" s="180"/>
      <c r="AC115" s="181"/>
    </row>
    <row r="116" spans="1:29" ht="13.8" x14ac:dyDescent="0.25">
      <c r="A116" s="35" t="str">
        <f>IFERROR(INDEX('G-8 Condition Look up'!$I$4:$I$131,MATCH(F116,'G-8 Condition Look up'!$A$4:$A$131,0)),"")</f>
        <v/>
      </c>
      <c r="C116" s="363" t="str">
        <f>IFERROR(INDEX('G-1 All Habitats'!$AG$3:$AG$15,MATCH(D116,'G-1 All Habitats'!$AF$3:$AF$15,0)),"")</f>
        <v/>
      </c>
      <c r="D116" s="186"/>
      <c r="E116" s="275"/>
      <c r="F116" s="362" t="str">
        <f>IFERROR(INDEX('G-1 All Habitats'!$B$3:$B$130,MATCH(E116,'G-1 All Habitats'!$A$3:$A$130,0)),"")</f>
        <v/>
      </c>
      <c r="G116" s="598"/>
      <c r="H116" s="239" t="str">
        <f>IF(F116="","",VLOOKUP(F116,'G-1 All Habitats'!$B$2:$M$130,10,FALSE))</f>
        <v/>
      </c>
      <c r="I116" s="176" t="str">
        <f>IFERROR(VLOOKUP(H116,'G-1 All Habitats'!$V$3:$W$7,2,FALSE),"")</f>
        <v/>
      </c>
      <c r="J116" s="270"/>
      <c r="K116" s="176" t="str">
        <f>IFERROR(INDEX('G-8 Condition Look up'!$A$3:$H$131,MATCH(F116,'G-8 Condition Look up'!$A$3:$A$131,0),MATCH(J116,'G-8 Condition Look up'!$A$3:$H$3,0)),"")</f>
        <v/>
      </c>
      <c r="L116" s="173"/>
      <c r="M116" s="269" t="str">
        <f>IF(L116="","",IF(VLOOKUP(L116,'G-3 Multipliers'!$L$3:$N$6,2,FALSE)=0,"Spatial Data Missing",VLOOKUP(L116,'G-3 Multipliers'!$L$3:$N$6,2,FALSE)))</f>
        <v/>
      </c>
      <c r="N116" s="172" t="str">
        <f>IF(L116="","",IF(VLOOKUP(L116,'G-3 Multipliers'!$L$3:$N$6,3,FALSE)=0,"Spatial Data Missing",VLOOKUP(L116,'G-3 Multipliers'!$L$3:$N$6,3,FALSE)))</f>
        <v/>
      </c>
      <c r="O116" s="171" t="str">
        <f t="shared" si="5"/>
        <v/>
      </c>
      <c r="P116" s="261"/>
      <c r="Q116" s="261"/>
      <c r="R116" s="343" t="str">
        <f t="shared" si="6"/>
        <v/>
      </c>
      <c r="S116" s="352" t="str">
        <f t="shared" si="7"/>
        <v/>
      </c>
      <c r="T116" s="593" t="str">
        <f>IFERROR(IF(S116="Check Data","Check Data",VLOOKUP(S116,'G-4 Temporal multipliers'!$A$4:$C$37,3,FALSE)),"")</f>
        <v/>
      </c>
      <c r="U116" s="592" t="str">
        <f>IF(F116="","",VLOOKUP(F116,'G-3 Multipliers'!$A$2:$E$130,2,FALSE))</f>
        <v/>
      </c>
      <c r="V116" s="343" t="str">
        <f t="shared" si="8"/>
        <v/>
      </c>
      <c r="W116" s="343" t="str">
        <f>IF(E116="","",IF(AND(V116="Standard difficulty applied",O116&gt;P116),U116,IF(AND(V116="Low Difficulty - only applicable if all habitat created before losses",P116&gt;=O116),"Low",VLOOKUP(F116,'G-3 Multipliers'!$A$2:$E$130,4,FALSE))))</f>
        <v/>
      </c>
      <c r="X116" s="345" t="str">
        <f>IFERROR(IF(E116="","",VLOOKUP(W116, 'G-3 Multipliers'!$P$2:$Q$6,2,FALSE)),””)</f>
        <v/>
      </c>
      <c r="Y116" s="266"/>
      <c r="Z116" s="172" t="str">
        <f>IF(Y116="","",IF(VLOOKUP(Y116,'G-3 Multipliers'!$S$3:$T$9,2,FALSE)=0,"Spatial Data Missing",VLOOKUP(Y116,'G-3 Multipliers'!$S$3:$T$9,2,FALSE)))</f>
        <v/>
      </c>
      <c r="AA116" s="265" t="str">
        <f t="shared" si="9"/>
        <v/>
      </c>
      <c r="AB116" s="180"/>
      <c r="AC116" s="181"/>
    </row>
    <row r="117" spans="1:29" ht="13.8" x14ac:dyDescent="0.25">
      <c r="A117" s="35" t="str">
        <f>IFERROR(INDEX('G-8 Condition Look up'!$I$4:$I$131,MATCH(F117,'G-8 Condition Look up'!$A$4:$A$131,0)),"")</f>
        <v/>
      </c>
      <c r="C117" s="363" t="str">
        <f>IFERROR(INDEX('G-1 All Habitats'!$AG$3:$AG$15,MATCH(D117,'G-1 All Habitats'!$AF$3:$AF$15,0)),"")</f>
        <v/>
      </c>
      <c r="D117" s="186"/>
      <c r="E117" s="275"/>
      <c r="F117" s="362" t="str">
        <f>IFERROR(INDEX('G-1 All Habitats'!$B$3:$B$130,MATCH(E117,'G-1 All Habitats'!$A$3:$A$130,0)),"")</f>
        <v/>
      </c>
      <c r="G117" s="598"/>
      <c r="H117" s="239" t="str">
        <f>IF(F117="","",VLOOKUP(F117,'G-1 All Habitats'!$B$2:$M$130,10,FALSE))</f>
        <v/>
      </c>
      <c r="I117" s="176" t="str">
        <f>IFERROR(VLOOKUP(H117,'G-1 All Habitats'!$V$3:$W$7,2,FALSE),"")</f>
        <v/>
      </c>
      <c r="J117" s="270"/>
      <c r="K117" s="176" t="str">
        <f>IFERROR(INDEX('G-8 Condition Look up'!$A$3:$H$131,MATCH(F117,'G-8 Condition Look up'!$A$3:$A$131,0),MATCH(J117,'G-8 Condition Look up'!$A$3:$H$3,0)),"")</f>
        <v/>
      </c>
      <c r="L117" s="173"/>
      <c r="M117" s="269" t="str">
        <f>IF(L117="","",IF(VLOOKUP(L117,'G-3 Multipliers'!$L$3:$N$6,2,FALSE)=0,"Spatial Data Missing",VLOOKUP(L117,'G-3 Multipliers'!$L$3:$N$6,2,FALSE)))</f>
        <v/>
      </c>
      <c r="N117" s="172" t="str">
        <f>IF(L117="","",IF(VLOOKUP(L117,'G-3 Multipliers'!$L$3:$N$6,3,FALSE)=0,"Spatial Data Missing",VLOOKUP(L117,'G-3 Multipliers'!$L$3:$N$6,3,FALSE)))</f>
        <v/>
      </c>
      <c r="O117" s="171" t="str">
        <f t="shared" si="5"/>
        <v/>
      </c>
      <c r="P117" s="261"/>
      <c r="Q117" s="261"/>
      <c r="R117" s="343" t="str">
        <f t="shared" si="6"/>
        <v/>
      </c>
      <c r="S117" s="352" t="str">
        <f t="shared" si="7"/>
        <v/>
      </c>
      <c r="T117" s="593" t="str">
        <f>IFERROR(IF(S117="Check Data","Check Data",VLOOKUP(S117,'G-4 Temporal multipliers'!$A$4:$C$37,3,FALSE)),"")</f>
        <v/>
      </c>
      <c r="U117" s="592" t="str">
        <f>IF(F117="","",VLOOKUP(F117,'G-3 Multipliers'!$A$2:$E$130,2,FALSE))</f>
        <v/>
      </c>
      <c r="V117" s="343" t="str">
        <f t="shared" si="8"/>
        <v/>
      </c>
      <c r="W117" s="343" t="str">
        <f>IF(E117="","",IF(AND(V117="Standard difficulty applied",O117&gt;P117),U117,IF(AND(V117="Low Difficulty - only applicable if all habitat created before losses",P117&gt;=O117),"Low",VLOOKUP(F117,'G-3 Multipliers'!$A$2:$E$130,4,FALSE))))</f>
        <v/>
      </c>
      <c r="X117" s="345" t="str">
        <f>IFERROR(IF(E117="","",VLOOKUP(W117, 'G-3 Multipliers'!$P$2:$Q$6,2,FALSE)),””)</f>
        <v/>
      </c>
      <c r="Y117" s="266"/>
      <c r="Z117" s="172" t="str">
        <f>IF(Y117="","",IF(VLOOKUP(Y117,'G-3 Multipliers'!$S$3:$T$9,2,FALSE)=0,"Spatial Data Missing",VLOOKUP(Y117,'G-3 Multipliers'!$S$3:$T$9,2,FALSE)))</f>
        <v/>
      </c>
      <c r="AA117" s="265" t="str">
        <f t="shared" si="9"/>
        <v/>
      </c>
      <c r="AB117" s="180"/>
      <c r="AC117" s="181"/>
    </row>
    <row r="118" spans="1:29" ht="13.8" x14ac:dyDescent="0.25">
      <c r="A118" s="35" t="str">
        <f>IFERROR(INDEX('G-8 Condition Look up'!$I$4:$I$131,MATCH(F118,'G-8 Condition Look up'!$A$4:$A$131,0)),"")</f>
        <v/>
      </c>
      <c r="C118" s="363" t="str">
        <f>IFERROR(INDEX('G-1 All Habitats'!$AG$3:$AG$15,MATCH(D118,'G-1 All Habitats'!$AF$3:$AF$15,0)),"")</f>
        <v/>
      </c>
      <c r="D118" s="186"/>
      <c r="E118" s="275"/>
      <c r="F118" s="362" t="str">
        <f>IFERROR(INDEX('G-1 All Habitats'!$B$3:$B$130,MATCH(E118,'G-1 All Habitats'!$A$3:$A$130,0)),"")</f>
        <v/>
      </c>
      <c r="G118" s="598"/>
      <c r="H118" s="239" t="str">
        <f>IF(F118="","",VLOOKUP(F118,'G-1 All Habitats'!$B$2:$M$130,10,FALSE))</f>
        <v/>
      </c>
      <c r="I118" s="176" t="str">
        <f>IFERROR(VLOOKUP(H118,'G-1 All Habitats'!$V$3:$W$7,2,FALSE),"")</f>
        <v/>
      </c>
      <c r="J118" s="270"/>
      <c r="K118" s="176" t="str">
        <f>IFERROR(INDEX('G-8 Condition Look up'!$A$3:$H$131,MATCH(F118,'G-8 Condition Look up'!$A$3:$A$131,0),MATCH(J118,'G-8 Condition Look up'!$A$3:$H$3,0)),"")</f>
        <v/>
      </c>
      <c r="L118" s="173"/>
      <c r="M118" s="269" t="str">
        <f>IF(L118="","",IF(VLOOKUP(L118,'G-3 Multipliers'!$L$3:$N$6,2,FALSE)=0,"Spatial Data Missing",VLOOKUP(L118,'G-3 Multipliers'!$L$3:$N$6,2,FALSE)))</f>
        <v/>
      </c>
      <c r="N118" s="172" t="str">
        <f>IF(L118="","",IF(VLOOKUP(L118,'G-3 Multipliers'!$L$3:$N$6,3,FALSE)=0,"Spatial Data Missing",VLOOKUP(L118,'G-3 Multipliers'!$L$3:$N$6,3,FALSE)))</f>
        <v/>
      </c>
      <c r="O118" s="171" t="str">
        <f t="shared" si="5"/>
        <v/>
      </c>
      <c r="P118" s="261"/>
      <c r="Q118" s="261"/>
      <c r="R118" s="343" t="str">
        <f t="shared" si="6"/>
        <v/>
      </c>
      <c r="S118" s="352" t="str">
        <f t="shared" si="7"/>
        <v/>
      </c>
      <c r="T118" s="593" t="str">
        <f>IFERROR(IF(S118="Check Data","Check Data",VLOOKUP(S118,'G-4 Temporal multipliers'!$A$4:$C$37,3,FALSE)),"")</f>
        <v/>
      </c>
      <c r="U118" s="592" t="str">
        <f>IF(F118="","",VLOOKUP(F118,'G-3 Multipliers'!$A$2:$E$130,2,FALSE))</f>
        <v/>
      </c>
      <c r="V118" s="343" t="str">
        <f t="shared" si="8"/>
        <v/>
      </c>
      <c r="W118" s="343" t="str">
        <f>IF(E118="","",IF(AND(V118="Standard difficulty applied",O118&gt;P118),U118,IF(AND(V118="Low Difficulty - only applicable if all habitat created before losses",P118&gt;=O118),"Low",VLOOKUP(F118,'G-3 Multipliers'!$A$2:$E$130,4,FALSE))))</f>
        <v/>
      </c>
      <c r="X118" s="345" t="str">
        <f>IFERROR(IF(E118="","",VLOOKUP(W118, 'G-3 Multipliers'!$P$2:$Q$6,2,FALSE)),””)</f>
        <v/>
      </c>
      <c r="Y118" s="266"/>
      <c r="Z118" s="172" t="str">
        <f>IF(Y118="","",IF(VLOOKUP(Y118,'G-3 Multipliers'!$S$3:$T$9,2,FALSE)=0,"Spatial Data Missing",VLOOKUP(Y118,'G-3 Multipliers'!$S$3:$T$9,2,FALSE)))</f>
        <v/>
      </c>
      <c r="AA118" s="265" t="str">
        <f t="shared" si="9"/>
        <v/>
      </c>
      <c r="AB118" s="180"/>
      <c r="AC118" s="181"/>
    </row>
    <row r="119" spans="1:29" ht="13.8" x14ac:dyDescent="0.25">
      <c r="A119" s="35" t="str">
        <f>IFERROR(INDEX('G-8 Condition Look up'!$I$4:$I$131,MATCH(F119,'G-8 Condition Look up'!$A$4:$A$131,0)),"")</f>
        <v/>
      </c>
      <c r="C119" s="363" t="str">
        <f>IFERROR(INDEX('G-1 All Habitats'!$AG$3:$AG$15,MATCH(D119,'G-1 All Habitats'!$AF$3:$AF$15,0)),"")</f>
        <v/>
      </c>
      <c r="D119" s="186"/>
      <c r="E119" s="275"/>
      <c r="F119" s="362" t="str">
        <f>IFERROR(INDEX('G-1 All Habitats'!$B$3:$B$130,MATCH(E119,'G-1 All Habitats'!$A$3:$A$130,0)),"")</f>
        <v/>
      </c>
      <c r="G119" s="598"/>
      <c r="H119" s="239" t="str">
        <f>IF(F119="","",VLOOKUP(F119,'G-1 All Habitats'!$B$2:$M$130,10,FALSE))</f>
        <v/>
      </c>
      <c r="I119" s="176" t="str">
        <f>IFERROR(VLOOKUP(H119,'G-1 All Habitats'!$V$3:$W$7,2,FALSE),"")</f>
        <v/>
      </c>
      <c r="J119" s="270"/>
      <c r="K119" s="176" t="str">
        <f>IFERROR(INDEX('G-8 Condition Look up'!$A$3:$H$131,MATCH(F119,'G-8 Condition Look up'!$A$3:$A$131,0),MATCH(J119,'G-8 Condition Look up'!$A$3:$H$3,0)),"")</f>
        <v/>
      </c>
      <c r="L119" s="173"/>
      <c r="M119" s="269" t="str">
        <f>IF(L119="","",IF(VLOOKUP(L119,'G-3 Multipliers'!$L$3:$N$6,2,FALSE)=0,"Spatial Data Missing",VLOOKUP(L119,'G-3 Multipliers'!$L$3:$N$6,2,FALSE)))</f>
        <v/>
      </c>
      <c r="N119" s="172" t="str">
        <f>IF(L119="","",IF(VLOOKUP(L119,'G-3 Multipliers'!$L$3:$N$6,3,FALSE)=0,"Spatial Data Missing",VLOOKUP(L119,'G-3 Multipliers'!$L$3:$N$6,3,FALSE)))</f>
        <v/>
      </c>
      <c r="O119" s="171" t="str">
        <f t="shared" si="5"/>
        <v/>
      </c>
      <c r="P119" s="261"/>
      <c r="Q119" s="261"/>
      <c r="R119" s="343" t="str">
        <f t="shared" si="6"/>
        <v/>
      </c>
      <c r="S119" s="352" t="str">
        <f t="shared" si="7"/>
        <v/>
      </c>
      <c r="T119" s="593" t="str">
        <f>IFERROR(IF(S119="Check Data","Check Data",VLOOKUP(S119,'G-4 Temporal multipliers'!$A$4:$C$37,3,FALSE)),"")</f>
        <v/>
      </c>
      <c r="U119" s="592" t="str">
        <f>IF(F119="","",VLOOKUP(F119,'G-3 Multipliers'!$A$2:$E$130,2,FALSE))</f>
        <v/>
      </c>
      <c r="V119" s="343" t="str">
        <f t="shared" si="8"/>
        <v/>
      </c>
      <c r="W119" s="343" t="str">
        <f>IF(E119="","",IF(AND(V119="Standard difficulty applied",O119&gt;P119),U119,IF(AND(V119="Low Difficulty - only applicable if all habitat created before losses",P119&gt;=O119),"Low",VLOOKUP(F119,'G-3 Multipliers'!$A$2:$E$130,4,FALSE))))</f>
        <v/>
      </c>
      <c r="X119" s="345" t="str">
        <f>IFERROR(IF(E119="","",VLOOKUP(W119, 'G-3 Multipliers'!$P$2:$Q$6,2,FALSE)),””)</f>
        <v/>
      </c>
      <c r="Y119" s="266"/>
      <c r="Z119" s="172" t="str">
        <f>IF(Y119="","",IF(VLOOKUP(Y119,'G-3 Multipliers'!$S$3:$T$9,2,FALSE)=0,"Spatial Data Missing",VLOOKUP(Y119,'G-3 Multipliers'!$S$3:$T$9,2,FALSE)))</f>
        <v/>
      </c>
      <c r="AA119" s="265" t="str">
        <f t="shared" si="9"/>
        <v/>
      </c>
      <c r="AB119" s="180"/>
      <c r="AC119" s="181"/>
    </row>
    <row r="120" spans="1:29" ht="13.8" x14ac:dyDescent="0.25">
      <c r="A120" s="35" t="str">
        <f>IFERROR(INDEX('G-8 Condition Look up'!$I$4:$I$131,MATCH(F120,'G-8 Condition Look up'!$A$4:$A$131,0)),"")</f>
        <v/>
      </c>
      <c r="C120" s="363" t="str">
        <f>IFERROR(INDEX('G-1 All Habitats'!$AG$3:$AG$15,MATCH(D120,'G-1 All Habitats'!$AF$3:$AF$15,0)),"")</f>
        <v/>
      </c>
      <c r="D120" s="186"/>
      <c r="E120" s="275"/>
      <c r="F120" s="362" t="str">
        <f>IFERROR(INDEX('G-1 All Habitats'!$B$3:$B$130,MATCH(E120,'G-1 All Habitats'!$A$3:$A$130,0)),"")</f>
        <v/>
      </c>
      <c r="G120" s="598"/>
      <c r="H120" s="239" t="str">
        <f>IF(F120="","",VLOOKUP(F120,'G-1 All Habitats'!$B$2:$M$130,10,FALSE))</f>
        <v/>
      </c>
      <c r="I120" s="176" t="str">
        <f>IFERROR(VLOOKUP(H120,'G-1 All Habitats'!$V$3:$W$7,2,FALSE),"")</f>
        <v/>
      </c>
      <c r="J120" s="270"/>
      <c r="K120" s="176" t="str">
        <f>IFERROR(INDEX('G-8 Condition Look up'!$A$3:$H$131,MATCH(F120,'G-8 Condition Look up'!$A$3:$A$131,0),MATCH(J120,'G-8 Condition Look up'!$A$3:$H$3,0)),"")</f>
        <v/>
      </c>
      <c r="L120" s="173"/>
      <c r="M120" s="269" t="str">
        <f>IF(L120="","",IF(VLOOKUP(L120,'G-3 Multipliers'!$L$3:$N$6,2,FALSE)=0,"Spatial Data Missing",VLOOKUP(L120,'G-3 Multipliers'!$L$3:$N$6,2,FALSE)))</f>
        <v/>
      </c>
      <c r="N120" s="172" t="str">
        <f>IF(L120="","",IF(VLOOKUP(L120,'G-3 Multipliers'!$L$3:$N$6,3,FALSE)=0,"Spatial Data Missing",VLOOKUP(L120,'G-3 Multipliers'!$L$3:$N$6,3,FALSE)))</f>
        <v/>
      </c>
      <c r="O120" s="171" t="str">
        <f t="shared" si="5"/>
        <v/>
      </c>
      <c r="P120" s="261"/>
      <c r="Q120" s="261"/>
      <c r="R120" s="343" t="str">
        <f t="shared" si="6"/>
        <v/>
      </c>
      <c r="S120" s="352" t="str">
        <f t="shared" si="7"/>
        <v/>
      </c>
      <c r="T120" s="593" t="str">
        <f>IFERROR(IF(S120="Check Data","Check Data",VLOOKUP(S120,'G-4 Temporal multipliers'!$A$4:$C$37,3,FALSE)),"")</f>
        <v/>
      </c>
      <c r="U120" s="592" t="str">
        <f>IF(F120="","",VLOOKUP(F120,'G-3 Multipliers'!$A$2:$E$130,2,FALSE))</f>
        <v/>
      </c>
      <c r="V120" s="343" t="str">
        <f t="shared" si="8"/>
        <v/>
      </c>
      <c r="W120" s="343" t="str">
        <f>IF(E120="","",IF(AND(V120="Standard difficulty applied",O120&gt;P120),U120,IF(AND(V120="Low Difficulty - only applicable if all habitat created before losses",P120&gt;=O120),"Low",VLOOKUP(F120,'G-3 Multipliers'!$A$2:$E$130,4,FALSE))))</f>
        <v/>
      </c>
      <c r="X120" s="345" t="str">
        <f>IFERROR(IF(E120="","",VLOOKUP(W120, 'G-3 Multipliers'!$P$2:$Q$6,2,FALSE)),””)</f>
        <v/>
      </c>
      <c r="Y120" s="266"/>
      <c r="Z120" s="172" t="str">
        <f>IF(Y120="","",IF(VLOOKUP(Y120,'G-3 Multipliers'!$S$3:$T$9,2,FALSE)=0,"Spatial Data Missing",VLOOKUP(Y120,'G-3 Multipliers'!$S$3:$T$9,2,FALSE)))</f>
        <v/>
      </c>
      <c r="AA120" s="265" t="str">
        <f t="shared" si="9"/>
        <v/>
      </c>
      <c r="AB120" s="180"/>
      <c r="AC120" s="181"/>
    </row>
    <row r="121" spans="1:29" ht="13.8" x14ac:dyDescent="0.25">
      <c r="A121" s="35" t="str">
        <f>IFERROR(INDEX('G-8 Condition Look up'!$I$4:$I$131,MATCH(F121,'G-8 Condition Look up'!$A$4:$A$131,0)),"")</f>
        <v/>
      </c>
      <c r="C121" s="363" t="str">
        <f>IFERROR(INDEX('G-1 All Habitats'!$AG$3:$AG$15,MATCH(D121,'G-1 All Habitats'!$AF$3:$AF$15,0)),"")</f>
        <v/>
      </c>
      <c r="D121" s="186"/>
      <c r="E121" s="275"/>
      <c r="F121" s="362" t="str">
        <f>IFERROR(INDEX('G-1 All Habitats'!$B$3:$B$130,MATCH(E121,'G-1 All Habitats'!$A$3:$A$130,0)),"")</f>
        <v/>
      </c>
      <c r="G121" s="598"/>
      <c r="H121" s="239" t="str">
        <f>IF(F121="","",VLOOKUP(F121,'G-1 All Habitats'!$B$2:$M$130,10,FALSE))</f>
        <v/>
      </c>
      <c r="I121" s="176" t="str">
        <f>IFERROR(VLOOKUP(H121,'G-1 All Habitats'!$V$3:$W$7,2,FALSE),"")</f>
        <v/>
      </c>
      <c r="J121" s="270"/>
      <c r="K121" s="176" t="str">
        <f>IFERROR(INDEX('G-8 Condition Look up'!$A$3:$H$131,MATCH(F121,'G-8 Condition Look up'!$A$3:$A$131,0),MATCH(J121,'G-8 Condition Look up'!$A$3:$H$3,0)),"")</f>
        <v/>
      </c>
      <c r="L121" s="173"/>
      <c r="M121" s="269" t="str">
        <f>IF(L121="","",IF(VLOOKUP(L121,'G-3 Multipliers'!$L$3:$N$6,2,FALSE)=0,"Spatial Data Missing",VLOOKUP(L121,'G-3 Multipliers'!$L$3:$N$6,2,FALSE)))</f>
        <v/>
      </c>
      <c r="N121" s="172" t="str">
        <f>IF(L121="","",IF(VLOOKUP(L121,'G-3 Multipliers'!$L$3:$N$6,3,FALSE)=0,"Spatial Data Missing",VLOOKUP(L121,'G-3 Multipliers'!$L$3:$N$6,3,FALSE)))</f>
        <v/>
      </c>
      <c r="O121" s="171" t="str">
        <f t="shared" si="5"/>
        <v/>
      </c>
      <c r="P121" s="261"/>
      <c r="Q121" s="261"/>
      <c r="R121" s="343" t="str">
        <f t="shared" si="6"/>
        <v/>
      </c>
      <c r="S121" s="352" t="str">
        <f t="shared" si="7"/>
        <v/>
      </c>
      <c r="T121" s="593" t="str">
        <f>IFERROR(IF(S121="Check Data","Check Data",VLOOKUP(S121,'G-4 Temporal multipliers'!$A$4:$C$37,3,FALSE)),"")</f>
        <v/>
      </c>
      <c r="U121" s="592" t="str">
        <f>IF(F121="","",VLOOKUP(F121,'G-3 Multipliers'!$A$2:$E$130,2,FALSE))</f>
        <v/>
      </c>
      <c r="V121" s="343" t="str">
        <f t="shared" si="8"/>
        <v/>
      </c>
      <c r="W121" s="343" t="str">
        <f>IF(E121="","",IF(AND(V121="Standard difficulty applied",O121&gt;P121),U121,IF(AND(V121="Low Difficulty - only applicable if all habitat created before losses",P121&gt;=O121),"Low",VLOOKUP(F121,'G-3 Multipliers'!$A$2:$E$130,4,FALSE))))</f>
        <v/>
      </c>
      <c r="X121" s="345" t="str">
        <f>IFERROR(IF(E121="","",VLOOKUP(W121, 'G-3 Multipliers'!$P$2:$Q$6,2,FALSE)),””)</f>
        <v/>
      </c>
      <c r="Y121" s="266"/>
      <c r="Z121" s="172" t="str">
        <f>IF(Y121="","",IF(VLOOKUP(Y121,'G-3 Multipliers'!$S$3:$T$9,2,FALSE)=0,"Spatial Data Missing",VLOOKUP(Y121,'G-3 Multipliers'!$S$3:$T$9,2,FALSE)))</f>
        <v/>
      </c>
      <c r="AA121" s="265" t="str">
        <f t="shared" si="9"/>
        <v/>
      </c>
      <c r="AB121" s="180"/>
      <c r="AC121" s="181"/>
    </row>
    <row r="122" spans="1:29" ht="13.8" x14ac:dyDescent="0.25">
      <c r="A122" s="35" t="str">
        <f>IFERROR(INDEX('G-8 Condition Look up'!$I$4:$I$131,MATCH(F122,'G-8 Condition Look up'!$A$4:$A$131,0)),"")</f>
        <v/>
      </c>
      <c r="C122" s="363" t="str">
        <f>IFERROR(INDEX('G-1 All Habitats'!$AG$3:$AG$15,MATCH(D122,'G-1 All Habitats'!$AF$3:$AF$15,0)),"")</f>
        <v/>
      </c>
      <c r="D122" s="186"/>
      <c r="E122" s="275"/>
      <c r="F122" s="362" t="str">
        <f>IFERROR(INDEX('G-1 All Habitats'!$B$3:$B$130,MATCH(E122,'G-1 All Habitats'!$A$3:$A$130,0)),"")</f>
        <v/>
      </c>
      <c r="G122" s="598"/>
      <c r="H122" s="239" t="str">
        <f>IF(F122="","",VLOOKUP(F122,'G-1 All Habitats'!$B$2:$M$130,10,FALSE))</f>
        <v/>
      </c>
      <c r="I122" s="176" t="str">
        <f>IFERROR(VLOOKUP(H122,'G-1 All Habitats'!$V$3:$W$7,2,FALSE),"")</f>
        <v/>
      </c>
      <c r="J122" s="270"/>
      <c r="K122" s="176" t="str">
        <f>IFERROR(INDEX('G-8 Condition Look up'!$A$3:$H$131,MATCH(F122,'G-8 Condition Look up'!$A$3:$A$131,0),MATCH(J122,'G-8 Condition Look up'!$A$3:$H$3,0)),"")</f>
        <v/>
      </c>
      <c r="L122" s="173"/>
      <c r="M122" s="269" t="str">
        <f>IF(L122="","",IF(VLOOKUP(L122,'G-3 Multipliers'!$L$3:$N$6,2,FALSE)=0,"Spatial Data Missing",VLOOKUP(L122,'G-3 Multipliers'!$L$3:$N$6,2,FALSE)))</f>
        <v/>
      </c>
      <c r="N122" s="172" t="str">
        <f>IF(L122="","",IF(VLOOKUP(L122,'G-3 Multipliers'!$L$3:$N$6,3,FALSE)=0,"Spatial Data Missing",VLOOKUP(L122,'G-3 Multipliers'!$L$3:$N$6,3,FALSE)))</f>
        <v/>
      </c>
      <c r="O122" s="171" t="str">
        <f t="shared" si="5"/>
        <v/>
      </c>
      <c r="P122" s="261"/>
      <c r="Q122" s="261"/>
      <c r="R122" s="343" t="str">
        <f t="shared" si="6"/>
        <v/>
      </c>
      <c r="S122" s="352" t="str">
        <f t="shared" si="7"/>
        <v/>
      </c>
      <c r="T122" s="593" t="str">
        <f>IFERROR(IF(S122="Check Data","Check Data",VLOOKUP(S122,'G-4 Temporal multipliers'!$A$4:$C$37,3,FALSE)),"")</f>
        <v/>
      </c>
      <c r="U122" s="592" t="str">
        <f>IF(F122="","",VLOOKUP(F122,'G-3 Multipliers'!$A$2:$E$130,2,FALSE))</f>
        <v/>
      </c>
      <c r="V122" s="343" t="str">
        <f t="shared" si="8"/>
        <v/>
      </c>
      <c r="W122" s="343" t="str">
        <f>IF(E122="","",IF(AND(V122="Standard difficulty applied",O122&gt;P122),U122,IF(AND(V122="Low Difficulty - only applicable if all habitat created before losses",P122&gt;=O122),"Low",VLOOKUP(F122,'G-3 Multipliers'!$A$2:$E$130,4,FALSE))))</f>
        <v/>
      </c>
      <c r="X122" s="345" t="str">
        <f>IFERROR(IF(E122="","",VLOOKUP(W122, 'G-3 Multipliers'!$P$2:$Q$6,2,FALSE)),””)</f>
        <v/>
      </c>
      <c r="Y122" s="266"/>
      <c r="Z122" s="172" t="str">
        <f>IF(Y122="","",IF(VLOOKUP(Y122,'G-3 Multipliers'!$S$3:$T$9,2,FALSE)=0,"Spatial Data Missing",VLOOKUP(Y122,'G-3 Multipliers'!$S$3:$T$9,2,FALSE)))</f>
        <v/>
      </c>
      <c r="AA122" s="265" t="str">
        <f t="shared" si="9"/>
        <v/>
      </c>
      <c r="AB122" s="180"/>
      <c r="AC122" s="181"/>
    </row>
    <row r="123" spans="1:29" ht="13.8" x14ac:dyDescent="0.25">
      <c r="A123" s="35" t="str">
        <f>IFERROR(INDEX('G-8 Condition Look up'!$I$4:$I$131,MATCH(F123,'G-8 Condition Look up'!$A$4:$A$131,0)),"")</f>
        <v/>
      </c>
      <c r="C123" s="363" t="str">
        <f>IFERROR(INDEX('G-1 All Habitats'!$AG$3:$AG$15,MATCH(D123,'G-1 All Habitats'!$AF$3:$AF$15,0)),"")</f>
        <v/>
      </c>
      <c r="D123" s="186"/>
      <c r="E123" s="275"/>
      <c r="F123" s="362" t="str">
        <f>IFERROR(INDEX('G-1 All Habitats'!$B$3:$B$130,MATCH(E123,'G-1 All Habitats'!$A$3:$A$130,0)),"")</f>
        <v/>
      </c>
      <c r="G123" s="598"/>
      <c r="H123" s="239" t="str">
        <f>IF(F123="","",VLOOKUP(F123,'G-1 All Habitats'!$B$2:$M$130,10,FALSE))</f>
        <v/>
      </c>
      <c r="I123" s="176" t="str">
        <f>IFERROR(VLOOKUP(H123,'G-1 All Habitats'!$V$3:$W$7,2,FALSE),"")</f>
        <v/>
      </c>
      <c r="J123" s="270"/>
      <c r="K123" s="176" t="str">
        <f>IFERROR(INDEX('G-8 Condition Look up'!$A$3:$H$131,MATCH(F123,'G-8 Condition Look up'!$A$3:$A$131,0),MATCH(J123,'G-8 Condition Look up'!$A$3:$H$3,0)),"")</f>
        <v/>
      </c>
      <c r="L123" s="173"/>
      <c r="M123" s="269" t="str">
        <f>IF(L123="","",IF(VLOOKUP(L123,'G-3 Multipliers'!$L$3:$N$6,2,FALSE)=0,"Spatial Data Missing",VLOOKUP(L123,'G-3 Multipliers'!$L$3:$N$6,2,FALSE)))</f>
        <v/>
      </c>
      <c r="N123" s="172" t="str">
        <f>IF(L123="","",IF(VLOOKUP(L123,'G-3 Multipliers'!$L$3:$N$6,3,FALSE)=0,"Spatial Data Missing",VLOOKUP(L123,'G-3 Multipliers'!$L$3:$N$6,3,FALSE)))</f>
        <v/>
      </c>
      <c r="O123" s="171" t="str">
        <f t="shared" si="5"/>
        <v/>
      </c>
      <c r="P123" s="261"/>
      <c r="Q123" s="261"/>
      <c r="R123" s="343" t="str">
        <f t="shared" si="6"/>
        <v/>
      </c>
      <c r="S123" s="352" t="str">
        <f t="shared" si="7"/>
        <v/>
      </c>
      <c r="T123" s="593" t="str">
        <f>IFERROR(IF(S123="Check Data","Check Data",VLOOKUP(S123,'G-4 Temporal multipliers'!$A$4:$C$37,3,FALSE)),"")</f>
        <v/>
      </c>
      <c r="U123" s="592" t="str">
        <f>IF(F123="","",VLOOKUP(F123,'G-3 Multipliers'!$A$2:$E$130,2,FALSE))</f>
        <v/>
      </c>
      <c r="V123" s="343" t="str">
        <f t="shared" si="8"/>
        <v/>
      </c>
      <c r="W123" s="343" t="str">
        <f>IF(E123="","",IF(AND(V123="Standard difficulty applied",O123&gt;P123),U123,IF(AND(V123="Low Difficulty - only applicable if all habitat created before losses",P123&gt;=O123),"Low",VLOOKUP(F123,'G-3 Multipliers'!$A$2:$E$130,4,FALSE))))</f>
        <v/>
      </c>
      <c r="X123" s="345" t="str">
        <f>IFERROR(IF(E123="","",VLOOKUP(W123, 'G-3 Multipliers'!$P$2:$Q$6,2,FALSE)),””)</f>
        <v/>
      </c>
      <c r="Y123" s="266"/>
      <c r="Z123" s="172" t="str">
        <f>IF(Y123="","",IF(VLOOKUP(Y123,'G-3 Multipliers'!$S$3:$T$9,2,FALSE)=0,"Spatial Data Missing",VLOOKUP(Y123,'G-3 Multipliers'!$S$3:$T$9,2,FALSE)))</f>
        <v/>
      </c>
      <c r="AA123" s="265" t="str">
        <f t="shared" si="9"/>
        <v/>
      </c>
      <c r="AB123" s="180"/>
      <c r="AC123" s="181"/>
    </row>
    <row r="124" spans="1:29" ht="13.8" x14ac:dyDescent="0.25">
      <c r="A124" s="35" t="str">
        <f>IFERROR(INDEX('G-8 Condition Look up'!$I$4:$I$131,MATCH(F124,'G-8 Condition Look up'!$A$4:$A$131,0)),"")</f>
        <v/>
      </c>
      <c r="C124" s="363" t="str">
        <f>IFERROR(INDEX('G-1 All Habitats'!$AG$3:$AG$15,MATCH(D124,'G-1 All Habitats'!$AF$3:$AF$15,0)),"")</f>
        <v/>
      </c>
      <c r="D124" s="186"/>
      <c r="E124" s="275"/>
      <c r="F124" s="362" t="str">
        <f>IFERROR(INDEX('G-1 All Habitats'!$B$3:$B$130,MATCH(E124,'G-1 All Habitats'!$A$3:$A$130,0)),"")</f>
        <v/>
      </c>
      <c r="G124" s="598"/>
      <c r="H124" s="239" t="str">
        <f>IF(F124="","",VLOOKUP(F124,'G-1 All Habitats'!$B$2:$M$130,10,FALSE))</f>
        <v/>
      </c>
      <c r="I124" s="176" t="str">
        <f>IFERROR(VLOOKUP(H124,'G-1 All Habitats'!$V$3:$W$7,2,FALSE),"")</f>
        <v/>
      </c>
      <c r="J124" s="270"/>
      <c r="K124" s="176" t="str">
        <f>IFERROR(INDEX('G-8 Condition Look up'!$A$3:$H$131,MATCH(F124,'G-8 Condition Look up'!$A$3:$A$131,0),MATCH(J124,'G-8 Condition Look up'!$A$3:$H$3,0)),"")</f>
        <v/>
      </c>
      <c r="L124" s="173"/>
      <c r="M124" s="269" t="str">
        <f>IF(L124="","",IF(VLOOKUP(L124,'G-3 Multipliers'!$L$3:$N$6,2,FALSE)=0,"Spatial Data Missing",VLOOKUP(L124,'G-3 Multipliers'!$L$3:$N$6,2,FALSE)))</f>
        <v/>
      </c>
      <c r="N124" s="172" t="str">
        <f>IF(L124="","",IF(VLOOKUP(L124,'G-3 Multipliers'!$L$3:$N$6,3,FALSE)=0,"Spatial Data Missing",VLOOKUP(L124,'G-3 Multipliers'!$L$3:$N$6,3,FALSE)))</f>
        <v/>
      </c>
      <c r="O124" s="171" t="str">
        <f t="shared" si="5"/>
        <v/>
      </c>
      <c r="P124" s="261"/>
      <c r="Q124" s="261"/>
      <c r="R124" s="343" t="str">
        <f t="shared" si="6"/>
        <v/>
      </c>
      <c r="S124" s="352" t="str">
        <f t="shared" si="7"/>
        <v/>
      </c>
      <c r="T124" s="593" t="str">
        <f>IFERROR(IF(S124="Check Data","Check Data",VLOOKUP(S124,'G-4 Temporal multipliers'!$A$4:$C$37,3,FALSE)),"")</f>
        <v/>
      </c>
      <c r="U124" s="592" t="str">
        <f>IF(F124="","",VLOOKUP(F124,'G-3 Multipliers'!$A$2:$E$130,2,FALSE))</f>
        <v/>
      </c>
      <c r="V124" s="343" t="str">
        <f t="shared" si="8"/>
        <v/>
      </c>
      <c r="W124" s="343" t="str">
        <f>IF(E124="","",IF(AND(V124="Standard difficulty applied",O124&gt;P124),U124,IF(AND(V124="Low Difficulty - only applicable if all habitat created before losses",P124&gt;=O124),"Low",VLOOKUP(F124,'G-3 Multipliers'!$A$2:$E$130,4,FALSE))))</f>
        <v/>
      </c>
      <c r="X124" s="345" t="str">
        <f>IFERROR(IF(E124="","",VLOOKUP(W124, 'G-3 Multipliers'!$P$2:$Q$6,2,FALSE)),””)</f>
        <v/>
      </c>
      <c r="Y124" s="266"/>
      <c r="Z124" s="172" t="str">
        <f>IF(Y124="","",IF(VLOOKUP(Y124,'G-3 Multipliers'!$S$3:$T$9,2,FALSE)=0,"Spatial Data Missing",VLOOKUP(Y124,'G-3 Multipliers'!$S$3:$T$9,2,FALSE)))</f>
        <v/>
      </c>
      <c r="AA124" s="265" t="str">
        <f t="shared" si="9"/>
        <v/>
      </c>
      <c r="AB124" s="180"/>
      <c r="AC124" s="181"/>
    </row>
    <row r="125" spans="1:29" ht="13.8" x14ac:dyDescent="0.25">
      <c r="A125" s="35" t="str">
        <f>IFERROR(INDEX('G-8 Condition Look up'!$I$4:$I$131,MATCH(F125,'G-8 Condition Look up'!$A$4:$A$131,0)),"")</f>
        <v/>
      </c>
      <c r="C125" s="363" t="str">
        <f>IFERROR(INDEX('G-1 All Habitats'!$AG$3:$AG$15,MATCH(D125,'G-1 All Habitats'!$AF$3:$AF$15,0)),"")</f>
        <v/>
      </c>
      <c r="D125" s="186"/>
      <c r="E125" s="275"/>
      <c r="F125" s="362" t="str">
        <f>IFERROR(INDEX('G-1 All Habitats'!$B$3:$B$130,MATCH(E125,'G-1 All Habitats'!$A$3:$A$130,0)),"")</f>
        <v/>
      </c>
      <c r="G125" s="598"/>
      <c r="H125" s="239" t="str">
        <f>IF(F125="","",VLOOKUP(F125,'G-1 All Habitats'!$B$2:$M$130,10,FALSE))</f>
        <v/>
      </c>
      <c r="I125" s="176" t="str">
        <f>IFERROR(VLOOKUP(H125,'G-1 All Habitats'!$V$3:$W$7,2,FALSE),"")</f>
        <v/>
      </c>
      <c r="J125" s="270"/>
      <c r="K125" s="176" t="str">
        <f>IFERROR(INDEX('G-8 Condition Look up'!$A$3:$H$131,MATCH(F125,'G-8 Condition Look up'!$A$3:$A$131,0),MATCH(J125,'G-8 Condition Look up'!$A$3:$H$3,0)),"")</f>
        <v/>
      </c>
      <c r="L125" s="173"/>
      <c r="M125" s="269" t="str">
        <f>IF(L125="","",IF(VLOOKUP(L125,'G-3 Multipliers'!$L$3:$N$6,2,FALSE)=0,"Spatial Data Missing",VLOOKUP(L125,'G-3 Multipliers'!$L$3:$N$6,2,FALSE)))</f>
        <v/>
      </c>
      <c r="N125" s="172" t="str">
        <f>IF(L125="","",IF(VLOOKUP(L125,'G-3 Multipliers'!$L$3:$N$6,3,FALSE)=0,"Spatial Data Missing",VLOOKUP(L125,'G-3 Multipliers'!$L$3:$N$6,3,FALSE)))</f>
        <v/>
      </c>
      <c r="O125" s="171" t="str">
        <f t="shared" si="5"/>
        <v/>
      </c>
      <c r="P125" s="261"/>
      <c r="Q125" s="261"/>
      <c r="R125" s="343" t="str">
        <f t="shared" si="6"/>
        <v/>
      </c>
      <c r="S125" s="352" t="str">
        <f t="shared" si="7"/>
        <v/>
      </c>
      <c r="T125" s="593" t="str">
        <f>IFERROR(IF(S125="Check Data","Check Data",VLOOKUP(S125,'G-4 Temporal multipliers'!$A$4:$C$37,3,FALSE)),"")</f>
        <v/>
      </c>
      <c r="U125" s="592" t="str">
        <f>IF(F125="","",VLOOKUP(F125,'G-3 Multipliers'!$A$2:$E$130,2,FALSE))</f>
        <v/>
      </c>
      <c r="V125" s="343" t="str">
        <f t="shared" si="8"/>
        <v/>
      </c>
      <c r="W125" s="343" t="str">
        <f>IF(E125="","",IF(AND(V125="Standard difficulty applied",O125&gt;P125),U125,IF(AND(V125="Low Difficulty - only applicable if all habitat created before losses",P125&gt;=O125),"Low",VLOOKUP(F125,'G-3 Multipliers'!$A$2:$E$130,4,FALSE))))</f>
        <v/>
      </c>
      <c r="X125" s="345" t="str">
        <f>IFERROR(IF(E125="","",VLOOKUP(W125, 'G-3 Multipliers'!$P$2:$Q$6,2,FALSE)),””)</f>
        <v/>
      </c>
      <c r="Y125" s="266"/>
      <c r="Z125" s="172" t="str">
        <f>IF(Y125="","",IF(VLOOKUP(Y125,'G-3 Multipliers'!$S$3:$T$9,2,FALSE)=0,"Spatial Data Missing",VLOOKUP(Y125,'G-3 Multipliers'!$S$3:$T$9,2,FALSE)))</f>
        <v/>
      </c>
      <c r="AA125" s="265" t="str">
        <f t="shared" si="9"/>
        <v/>
      </c>
      <c r="AB125" s="180"/>
      <c r="AC125" s="181"/>
    </row>
    <row r="126" spans="1:29" ht="13.8" x14ac:dyDescent="0.25">
      <c r="A126" s="35" t="str">
        <f>IFERROR(INDEX('G-8 Condition Look up'!$I$4:$I$131,MATCH(F126,'G-8 Condition Look up'!$A$4:$A$131,0)),"")</f>
        <v/>
      </c>
      <c r="C126" s="363" t="str">
        <f>IFERROR(INDEX('G-1 All Habitats'!$AG$3:$AG$15,MATCH(D126,'G-1 All Habitats'!$AF$3:$AF$15,0)),"")</f>
        <v/>
      </c>
      <c r="D126" s="186"/>
      <c r="E126" s="275"/>
      <c r="F126" s="362" t="str">
        <f>IFERROR(INDEX('G-1 All Habitats'!$B$3:$B$130,MATCH(E126,'G-1 All Habitats'!$A$3:$A$130,0)),"")</f>
        <v/>
      </c>
      <c r="G126" s="598"/>
      <c r="H126" s="239" t="str">
        <f>IF(F126="","",VLOOKUP(F126,'G-1 All Habitats'!$B$2:$M$130,10,FALSE))</f>
        <v/>
      </c>
      <c r="I126" s="176" t="str">
        <f>IFERROR(VLOOKUP(H126,'G-1 All Habitats'!$V$3:$W$7,2,FALSE),"")</f>
        <v/>
      </c>
      <c r="J126" s="270"/>
      <c r="K126" s="176" t="str">
        <f>IFERROR(INDEX('G-8 Condition Look up'!$A$3:$H$131,MATCH(F126,'G-8 Condition Look up'!$A$3:$A$131,0),MATCH(J126,'G-8 Condition Look up'!$A$3:$H$3,0)),"")</f>
        <v/>
      </c>
      <c r="L126" s="173"/>
      <c r="M126" s="269" t="str">
        <f>IF(L126="","",IF(VLOOKUP(L126,'G-3 Multipliers'!$L$3:$N$6,2,FALSE)=0,"Spatial Data Missing",VLOOKUP(L126,'G-3 Multipliers'!$L$3:$N$6,2,FALSE)))</f>
        <v/>
      </c>
      <c r="N126" s="172" t="str">
        <f>IF(L126="","",IF(VLOOKUP(L126,'G-3 Multipliers'!$L$3:$N$6,3,FALSE)=0,"Spatial Data Missing",VLOOKUP(L126,'G-3 Multipliers'!$L$3:$N$6,3,FALSE)))</f>
        <v/>
      </c>
      <c r="O126" s="171" t="str">
        <f t="shared" si="5"/>
        <v/>
      </c>
      <c r="P126" s="261"/>
      <c r="Q126" s="261"/>
      <c r="R126" s="343" t="str">
        <f t="shared" si="6"/>
        <v/>
      </c>
      <c r="S126" s="352" t="str">
        <f t="shared" si="7"/>
        <v/>
      </c>
      <c r="T126" s="593" t="str">
        <f>IFERROR(IF(S126="Check Data","Check Data",VLOOKUP(S126,'G-4 Temporal multipliers'!$A$4:$C$37,3,FALSE)),"")</f>
        <v/>
      </c>
      <c r="U126" s="592" t="str">
        <f>IF(F126="","",VLOOKUP(F126,'G-3 Multipliers'!$A$2:$E$130,2,FALSE))</f>
        <v/>
      </c>
      <c r="V126" s="343" t="str">
        <f t="shared" si="8"/>
        <v/>
      </c>
      <c r="W126" s="343" t="str">
        <f>IF(E126="","",IF(AND(V126="Standard difficulty applied",O126&gt;P126),U126,IF(AND(V126="Low Difficulty - only applicable if all habitat created before losses",P126&gt;=O126),"Low",VLOOKUP(F126,'G-3 Multipliers'!$A$2:$E$130,4,FALSE))))</f>
        <v/>
      </c>
      <c r="X126" s="345" t="str">
        <f>IFERROR(IF(E126="","",VLOOKUP(W126, 'G-3 Multipliers'!$P$2:$Q$6,2,FALSE)),””)</f>
        <v/>
      </c>
      <c r="Y126" s="266"/>
      <c r="Z126" s="172" t="str">
        <f>IF(Y126="","",IF(VLOOKUP(Y126,'G-3 Multipliers'!$S$3:$T$9,2,FALSE)=0,"Spatial Data Missing",VLOOKUP(Y126,'G-3 Multipliers'!$S$3:$T$9,2,FALSE)))</f>
        <v/>
      </c>
      <c r="AA126" s="265" t="str">
        <f t="shared" si="9"/>
        <v/>
      </c>
      <c r="AB126" s="180"/>
      <c r="AC126" s="181"/>
    </row>
    <row r="127" spans="1:29" ht="13.8" x14ac:dyDescent="0.25">
      <c r="A127" s="35" t="str">
        <f>IFERROR(INDEX('G-8 Condition Look up'!$I$4:$I$131,MATCH(F127,'G-8 Condition Look up'!$A$4:$A$131,0)),"")</f>
        <v/>
      </c>
      <c r="C127" s="363" t="str">
        <f>IFERROR(INDEX('G-1 All Habitats'!$AG$3:$AG$15,MATCH(D127,'G-1 All Habitats'!$AF$3:$AF$15,0)),"")</f>
        <v/>
      </c>
      <c r="D127" s="186"/>
      <c r="E127" s="275"/>
      <c r="F127" s="362" t="str">
        <f>IFERROR(INDEX('G-1 All Habitats'!$B$3:$B$130,MATCH(E127,'G-1 All Habitats'!$A$3:$A$130,0)),"")</f>
        <v/>
      </c>
      <c r="G127" s="598"/>
      <c r="H127" s="239" t="str">
        <f>IF(F127="","",VLOOKUP(F127,'G-1 All Habitats'!$B$2:$M$130,10,FALSE))</f>
        <v/>
      </c>
      <c r="I127" s="176" t="str">
        <f>IFERROR(VLOOKUP(H127,'G-1 All Habitats'!$V$3:$W$7,2,FALSE),"")</f>
        <v/>
      </c>
      <c r="J127" s="270"/>
      <c r="K127" s="176" t="str">
        <f>IFERROR(INDEX('G-8 Condition Look up'!$A$3:$H$131,MATCH(F127,'G-8 Condition Look up'!$A$3:$A$131,0),MATCH(J127,'G-8 Condition Look up'!$A$3:$H$3,0)),"")</f>
        <v/>
      </c>
      <c r="L127" s="173"/>
      <c r="M127" s="269" t="str">
        <f>IF(L127="","",IF(VLOOKUP(L127,'G-3 Multipliers'!$L$3:$N$6,2,FALSE)=0,"Spatial Data Missing",VLOOKUP(L127,'G-3 Multipliers'!$L$3:$N$6,2,FALSE)))</f>
        <v/>
      </c>
      <c r="N127" s="172" t="str">
        <f>IF(L127="","",IF(VLOOKUP(L127,'G-3 Multipliers'!$L$3:$N$6,3,FALSE)=0,"Spatial Data Missing",VLOOKUP(L127,'G-3 Multipliers'!$L$3:$N$6,3,FALSE)))</f>
        <v/>
      </c>
      <c r="O127" s="171" t="str">
        <f t="shared" si="5"/>
        <v/>
      </c>
      <c r="P127" s="261"/>
      <c r="Q127" s="261"/>
      <c r="R127" s="343" t="str">
        <f t="shared" si="6"/>
        <v/>
      </c>
      <c r="S127" s="352" t="str">
        <f t="shared" si="7"/>
        <v/>
      </c>
      <c r="T127" s="593" t="str">
        <f>IFERROR(IF(S127="Check Data","Check Data",VLOOKUP(S127,'G-4 Temporal multipliers'!$A$4:$C$37,3,FALSE)),"")</f>
        <v/>
      </c>
      <c r="U127" s="592" t="str">
        <f>IF(F127="","",VLOOKUP(F127,'G-3 Multipliers'!$A$2:$E$130,2,FALSE))</f>
        <v/>
      </c>
      <c r="V127" s="343" t="str">
        <f t="shared" si="8"/>
        <v/>
      </c>
      <c r="W127" s="343" t="str">
        <f>IF(E127="","",IF(AND(V127="Standard difficulty applied",O127&gt;P127),U127,IF(AND(V127="Low Difficulty - only applicable if all habitat created before losses",P127&gt;=O127),"Low",VLOOKUP(F127,'G-3 Multipliers'!$A$2:$E$130,4,FALSE))))</f>
        <v/>
      </c>
      <c r="X127" s="345" t="str">
        <f>IFERROR(IF(E127="","",VLOOKUP(W127, 'G-3 Multipliers'!$P$2:$Q$6,2,FALSE)),””)</f>
        <v/>
      </c>
      <c r="Y127" s="266"/>
      <c r="Z127" s="172" t="str">
        <f>IF(Y127="","",IF(VLOOKUP(Y127,'G-3 Multipliers'!$S$3:$T$9,2,FALSE)=0,"Spatial Data Missing",VLOOKUP(Y127,'G-3 Multipliers'!$S$3:$T$9,2,FALSE)))</f>
        <v/>
      </c>
      <c r="AA127" s="265" t="str">
        <f t="shared" si="9"/>
        <v/>
      </c>
      <c r="AB127" s="180"/>
      <c r="AC127" s="181"/>
    </row>
    <row r="128" spans="1:29" ht="13.8" x14ac:dyDescent="0.25">
      <c r="A128" s="35" t="str">
        <f>IFERROR(INDEX('G-8 Condition Look up'!$I$4:$I$131,MATCH(F128,'G-8 Condition Look up'!$A$4:$A$131,0)),"")</f>
        <v/>
      </c>
      <c r="C128" s="363" t="str">
        <f>IFERROR(INDEX('G-1 All Habitats'!$AG$3:$AG$15,MATCH(D128,'G-1 All Habitats'!$AF$3:$AF$15,0)),"")</f>
        <v/>
      </c>
      <c r="D128" s="186"/>
      <c r="E128" s="275"/>
      <c r="F128" s="362" t="str">
        <f>IFERROR(INDEX('G-1 All Habitats'!$B$3:$B$130,MATCH(E128,'G-1 All Habitats'!$A$3:$A$130,0)),"")</f>
        <v/>
      </c>
      <c r="G128" s="598"/>
      <c r="H128" s="239" t="str">
        <f>IF(F128="","",VLOOKUP(F128,'G-1 All Habitats'!$B$2:$M$130,10,FALSE))</f>
        <v/>
      </c>
      <c r="I128" s="176" t="str">
        <f>IFERROR(VLOOKUP(H128,'G-1 All Habitats'!$V$3:$W$7,2,FALSE),"")</f>
        <v/>
      </c>
      <c r="J128" s="270"/>
      <c r="K128" s="176" t="str">
        <f>IFERROR(INDEX('G-8 Condition Look up'!$A$3:$H$131,MATCH(F128,'G-8 Condition Look up'!$A$3:$A$131,0),MATCH(J128,'G-8 Condition Look up'!$A$3:$H$3,0)),"")</f>
        <v/>
      </c>
      <c r="L128" s="173"/>
      <c r="M128" s="269" t="str">
        <f>IF(L128="","",IF(VLOOKUP(L128,'G-3 Multipliers'!$L$3:$N$6,2,FALSE)=0,"Spatial Data Missing",VLOOKUP(L128,'G-3 Multipliers'!$L$3:$N$6,2,FALSE)))</f>
        <v/>
      </c>
      <c r="N128" s="172" t="str">
        <f>IF(L128="","",IF(VLOOKUP(L128,'G-3 Multipliers'!$L$3:$N$6,3,FALSE)=0,"Spatial Data Missing",VLOOKUP(L128,'G-3 Multipliers'!$L$3:$N$6,3,FALSE)))</f>
        <v/>
      </c>
      <c r="O128" s="171" t="str">
        <f t="shared" si="5"/>
        <v/>
      </c>
      <c r="P128" s="261"/>
      <c r="Q128" s="261"/>
      <c r="R128" s="343" t="str">
        <f t="shared" si="6"/>
        <v/>
      </c>
      <c r="S128" s="352" t="str">
        <f t="shared" si="7"/>
        <v/>
      </c>
      <c r="T128" s="593" t="str">
        <f>IFERROR(IF(S128="Check Data","Check Data",VLOOKUP(S128,'G-4 Temporal multipliers'!$A$4:$C$37,3,FALSE)),"")</f>
        <v/>
      </c>
      <c r="U128" s="592" t="str">
        <f>IF(F128="","",VLOOKUP(F128,'G-3 Multipliers'!$A$2:$E$130,2,FALSE))</f>
        <v/>
      </c>
      <c r="V128" s="343" t="str">
        <f t="shared" si="8"/>
        <v/>
      </c>
      <c r="W128" s="343" t="str">
        <f>IF(E128="","",IF(AND(V128="Standard difficulty applied",O128&gt;P128),U128,IF(AND(V128="Low Difficulty - only applicable if all habitat created before losses",P128&gt;=O128),"Low",VLOOKUP(F128,'G-3 Multipliers'!$A$2:$E$130,4,FALSE))))</f>
        <v/>
      </c>
      <c r="X128" s="345" t="str">
        <f>IFERROR(IF(E128="","",VLOOKUP(W128, 'G-3 Multipliers'!$P$2:$Q$6,2,FALSE)),””)</f>
        <v/>
      </c>
      <c r="Y128" s="266"/>
      <c r="Z128" s="172" t="str">
        <f>IF(Y128="","",IF(VLOOKUP(Y128,'G-3 Multipliers'!$S$3:$T$9,2,FALSE)=0,"Spatial Data Missing",VLOOKUP(Y128,'G-3 Multipliers'!$S$3:$T$9,2,FALSE)))</f>
        <v/>
      </c>
      <c r="AA128" s="265" t="str">
        <f t="shared" si="9"/>
        <v/>
      </c>
      <c r="AB128" s="180"/>
      <c r="AC128" s="181"/>
    </row>
    <row r="129" spans="1:29" ht="13.8" x14ac:dyDescent="0.25">
      <c r="A129" s="35" t="str">
        <f>IFERROR(INDEX('G-8 Condition Look up'!$I$4:$I$131,MATCH(F129,'G-8 Condition Look up'!$A$4:$A$131,0)),"")</f>
        <v/>
      </c>
      <c r="C129" s="363" t="str">
        <f>IFERROR(INDEX('G-1 All Habitats'!$AG$3:$AG$15,MATCH(D129,'G-1 All Habitats'!$AF$3:$AF$15,0)),"")</f>
        <v/>
      </c>
      <c r="D129" s="186"/>
      <c r="E129" s="275"/>
      <c r="F129" s="362" t="str">
        <f>IFERROR(INDEX('G-1 All Habitats'!$B$3:$B$130,MATCH(E129,'G-1 All Habitats'!$A$3:$A$130,0)),"")</f>
        <v/>
      </c>
      <c r="G129" s="598"/>
      <c r="H129" s="239" t="str">
        <f>IF(F129="","",VLOOKUP(F129,'G-1 All Habitats'!$B$2:$M$130,10,FALSE))</f>
        <v/>
      </c>
      <c r="I129" s="176" t="str">
        <f>IFERROR(VLOOKUP(H129,'G-1 All Habitats'!$V$3:$W$7,2,FALSE),"")</f>
        <v/>
      </c>
      <c r="J129" s="270"/>
      <c r="K129" s="176" t="str">
        <f>IFERROR(INDEX('G-8 Condition Look up'!$A$3:$H$131,MATCH(F129,'G-8 Condition Look up'!$A$3:$A$131,0),MATCH(J129,'G-8 Condition Look up'!$A$3:$H$3,0)),"")</f>
        <v/>
      </c>
      <c r="L129" s="173"/>
      <c r="M129" s="269" t="str">
        <f>IF(L129="","",IF(VLOOKUP(L129,'G-3 Multipliers'!$L$3:$N$6,2,FALSE)=0,"Spatial Data Missing",VLOOKUP(L129,'G-3 Multipliers'!$L$3:$N$6,2,FALSE)))</f>
        <v/>
      </c>
      <c r="N129" s="172" t="str">
        <f>IF(L129="","",IF(VLOOKUP(L129,'G-3 Multipliers'!$L$3:$N$6,3,FALSE)=0,"Spatial Data Missing",VLOOKUP(L129,'G-3 Multipliers'!$L$3:$N$6,3,FALSE)))</f>
        <v/>
      </c>
      <c r="O129" s="171" t="str">
        <f t="shared" si="5"/>
        <v/>
      </c>
      <c r="P129" s="261"/>
      <c r="Q129" s="261"/>
      <c r="R129" s="343" t="str">
        <f t="shared" si="6"/>
        <v/>
      </c>
      <c r="S129" s="352" t="str">
        <f t="shared" si="7"/>
        <v/>
      </c>
      <c r="T129" s="593" t="str">
        <f>IFERROR(IF(S129="Check Data","Check Data",VLOOKUP(S129,'G-4 Temporal multipliers'!$A$4:$C$37,3,FALSE)),"")</f>
        <v/>
      </c>
      <c r="U129" s="592" t="str">
        <f>IF(F129="","",VLOOKUP(F129,'G-3 Multipliers'!$A$2:$E$130,2,FALSE))</f>
        <v/>
      </c>
      <c r="V129" s="343" t="str">
        <f t="shared" si="8"/>
        <v/>
      </c>
      <c r="W129" s="343" t="str">
        <f>IF(E129="","",IF(AND(V129="Standard difficulty applied",O129&gt;P129),U129,IF(AND(V129="Low Difficulty - only applicable if all habitat created before losses",P129&gt;=O129),"Low",VLOOKUP(F129,'G-3 Multipliers'!$A$2:$E$130,4,FALSE))))</f>
        <v/>
      </c>
      <c r="X129" s="345" t="str">
        <f>IFERROR(IF(E129="","",VLOOKUP(W129, 'G-3 Multipliers'!$P$2:$Q$6,2,FALSE)),””)</f>
        <v/>
      </c>
      <c r="Y129" s="266"/>
      <c r="Z129" s="172" t="str">
        <f>IF(Y129="","",IF(VLOOKUP(Y129,'G-3 Multipliers'!$S$3:$T$9,2,FALSE)=0,"Spatial Data Missing",VLOOKUP(Y129,'G-3 Multipliers'!$S$3:$T$9,2,FALSE)))</f>
        <v/>
      </c>
      <c r="AA129" s="265" t="str">
        <f t="shared" si="9"/>
        <v/>
      </c>
      <c r="AB129" s="180"/>
      <c r="AC129" s="181"/>
    </row>
    <row r="130" spans="1:29" ht="13.8" x14ac:dyDescent="0.25">
      <c r="A130" s="35" t="str">
        <f>IFERROR(INDEX('G-8 Condition Look up'!$I$4:$I$131,MATCH(F130,'G-8 Condition Look up'!$A$4:$A$131,0)),"")</f>
        <v/>
      </c>
      <c r="C130" s="363" t="str">
        <f>IFERROR(INDEX('G-1 All Habitats'!$AG$3:$AG$15,MATCH(D130,'G-1 All Habitats'!$AF$3:$AF$15,0)),"")</f>
        <v/>
      </c>
      <c r="D130" s="186"/>
      <c r="E130" s="275"/>
      <c r="F130" s="362" t="str">
        <f>IFERROR(INDEX('G-1 All Habitats'!$B$3:$B$130,MATCH(E130,'G-1 All Habitats'!$A$3:$A$130,0)),"")</f>
        <v/>
      </c>
      <c r="G130" s="598"/>
      <c r="H130" s="239" t="str">
        <f>IF(F130="","",VLOOKUP(F130,'G-1 All Habitats'!$B$2:$M$130,10,FALSE))</f>
        <v/>
      </c>
      <c r="I130" s="176" t="str">
        <f>IFERROR(VLOOKUP(H130,'G-1 All Habitats'!$V$3:$W$7,2,FALSE),"")</f>
        <v/>
      </c>
      <c r="J130" s="270"/>
      <c r="K130" s="176" t="str">
        <f>IFERROR(INDEX('G-8 Condition Look up'!$A$3:$H$131,MATCH(F130,'G-8 Condition Look up'!$A$3:$A$131,0),MATCH(J130,'G-8 Condition Look up'!$A$3:$H$3,0)),"")</f>
        <v/>
      </c>
      <c r="L130" s="173"/>
      <c r="M130" s="269" t="str">
        <f>IF(L130="","",IF(VLOOKUP(L130,'G-3 Multipliers'!$L$3:$N$6,2,FALSE)=0,"Spatial Data Missing",VLOOKUP(L130,'G-3 Multipliers'!$L$3:$N$6,2,FALSE)))</f>
        <v/>
      </c>
      <c r="N130" s="172" t="str">
        <f>IF(L130="","",IF(VLOOKUP(L130,'G-3 Multipliers'!$L$3:$N$6,3,FALSE)=0,"Spatial Data Missing",VLOOKUP(L130,'G-3 Multipliers'!$L$3:$N$6,3,FALSE)))</f>
        <v/>
      </c>
      <c r="O130" s="171" t="str">
        <f t="shared" si="5"/>
        <v/>
      </c>
      <c r="P130" s="261"/>
      <c r="Q130" s="261"/>
      <c r="R130" s="343" t="str">
        <f t="shared" si="6"/>
        <v/>
      </c>
      <c r="S130" s="352" t="str">
        <f t="shared" si="7"/>
        <v/>
      </c>
      <c r="T130" s="593" t="str">
        <f>IFERROR(IF(S130="Check Data","Check Data",VLOOKUP(S130,'G-4 Temporal multipliers'!$A$4:$C$37,3,FALSE)),"")</f>
        <v/>
      </c>
      <c r="U130" s="592" t="str">
        <f>IF(F130="","",VLOOKUP(F130,'G-3 Multipliers'!$A$2:$E$130,2,FALSE))</f>
        <v/>
      </c>
      <c r="V130" s="343" t="str">
        <f t="shared" si="8"/>
        <v/>
      </c>
      <c r="W130" s="343" t="str">
        <f>IF(E130="","",IF(AND(V130="Standard difficulty applied",O130&gt;P130),U130,IF(AND(V130="Low Difficulty - only applicable if all habitat created before losses",P130&gt;=O130),"Low",VLOOKUP(F130,'G-3 Multipliers'!$A$2:$E$130,4,FALSE))))</f>
        <v/>
      </c>
      <c r="X130" s="345" t="str">
        <f>IFERROR(IF(E130="","",VLOOKUP(W130, 'G-3 Multipliers'!$P$2:$Q$6,2,FALSE)),””)</f>
        <v/>
      </c>
      <c r="Y130" s="266"/>
      <c r="Z130" s="172" t="str">
        <f>IF(Y130="","",IF(VLOOKUP(Y130,'G-3 Multipliers'!$S$3:$T$9,2,FALSE)=0,"Spatial Data Missing",VLOOKUP(Y130,'G-3 Multipliers'!$S$3:$T$9,2,FALSE)))</f>
        <v/>
      </c>
      <c r="AA130" s="265" t="str">
        <f t="shared" si="9"/>
        <v/>
      </c>
      <c r="AB130" s="180"/>
      <c r="AC130" s="181"/>
    </row>
    <row r="131" spans="1:29" ht="13.8" x14ac:dyDescent="0.25">
      <c r="A131" s="35" t="str">
        <f>IFERROR(INDEX('G-8 Condition Look up'!$I$4:$I$131,MATCH(F131,'G-8 Condition Look up'!$A$4:$A$131,0)),"")</f>
        <v/>
      </c>
      <c r="C131" s="363" t="str">
        <f>IFERROR(INDEX('G-1 All Habitats'!$AG$3:$AG$15,MATCH(D131,'G-1 All Habitats'!$AF$3:$AF$15,0)),"")</f>
        <v/>
      </c>
      <c r="D131" s="186"/>
      <c r="E131" s="275"/>
      <c r="F131" s="362" t="str">
        <f>IFERROR(INDEX('G-1 All Habitats'!$B$3:$B$130,MATCH(E131,'G-1 All Habitats'!$A$3:$A$130,0)),"")</f>
        <v/>
      </c>
      <c r="G131" s="598"/>
      <c r="H131" s="239" t="str">
        <f>IF(F131="","",VLOOKUP(F131,'G-1 All Habitats'!$B$2:$M$130,10,FALSE))</f>
        <v/>
      </c>
      <c r="I131" s="176" t="str">
        <f>IFERROR(VLOOKUP(H131,'G-1 All Habitats'!$V$3:$W$7,2,FALSE),"")</f>
        <v/>
      </c>
      <c r="J131" s="270"/>
      <c r="K131" s="176" t="str">
        <f>IFERROR(INDEX('G-8 Condition Look up'!$A$3:$H$131,MATCH(F131,'G-8 Condition Look up'!$A$3:$A$131,0),MATCH(J131,'G-8 Condition Look up'!$A$3:$H$3,0)),"")</f>
        <v/>
      </c>
      <c r="L131" s="173"/>
      <c r="M131" s="269" t="str">
        <f>IF(L131="","",IF(VLOOKUP(L131,'G-3 Multipliers'!$L$3:$N$6,2,FALSE)=0,"Spatial Data Missing",VLOOKUP(L131,'G-3 Multipliers'!$L$3:$N$6,2,FALSE)))</f>
        <v/>
      </c>
      <c r="N131" s="172" t="str">
        <f>IF(L131="","",IF(VLOOKUP(L131,'G-3 Multipliers'!$L$3:$N$6,3,FALSE)=0,"Spatial Data Missing",VLOOKUP(L131,'G-3 Multipliers'!$L$3:$N$6,3,FALSE)))</f>
        <v/>
      </c>
      <c r="O131" s="171" t="str">
        <f t="shared" si="5"/>
        <v/>
      </c>
      <c r="P131" s="261"/>
      <c r="Q131" s="261"/>
      <c r="R131" s="343" t="str">
        <f t="shared" si="6"/>
        <v/>
      </c>
      <c r="S131" s="352" t="str">
        <f t="shared" si="7"/>
        <v/>
      </c>
      <c r="T131" s="593" t="str">
        <f>IFERROR(IF(S131="Check Data","Check Data",VLOOKUP(S131,'G-4 Temporal multipliers'!$A$4:$C$37,3,FALSE)),"")</f>
        <v/>
      </c>
      <c r="U131" s="592" t="str">
        <f>IF(F131="","",VLOOKUP(F131,'G-3 Multipliers'!$A$2:$E$130,2,FALSE))</f>
        <v/>
      </c>
      <c r="V131" s="343" t="str">
        <f t="shared" si="8"/>
        <v/>
      </c>
      <c r="W131" s="343" t="str">
        <f>IF(E131="","",IF(AND(V131="Standard difficulty applied",O131&gt;P131),U131,IF(AND(V131="Low Difficulty - only applicable if all habitat created before losses",P131&gt;=O131),"Low",VLOOKUP(F131,'G-3 Multipliers'!$A$2:$E$130,4,FALSE))))</f>
        <v/>
      </c>
      <c r="X131" s="345" t="str">
        <f>IFERROR(IF(E131="","",VLOOKUP(W131, 'G-3 Multipliers'!$P$2:$Q$6,2,FALSE)),””)</f>
        <v/>
      </c>
      <c r="Y131" s="266"/>
      <c r="Z131" s="172" t="str">
        <f>IF(Y131="","",IF(VLOOKUP(Y131,'G-3 Multipliers'!$S$3:$T$9,2,FALSE)=0,"Spatial Data Missing",VLOOKUP(Y131,'G-3 Multipliers'!$S$3:$T$9,2,FALSE)))</f>
        <v/>
      </c>
      <c r="AA131" s="265" t="str">
        <f t="shared" si="9"/>
        <v/>
      </c>
      <c r="AB131" s="180"/>
      <c r="AC131" s="181"/>
    </row>
    <row r="132" spans="1:29" ht="13.8" x14ac:dyDescent="0.25">
      <c r="A132" s="35" t="str">
        <f>IFERROR(INDEX('G-8 Condition Look up'!$I$4:$I$131,MATCH(F132,'G-8 Condition Look up'!$A$4:$A$131,0)),"")</f>
        <v/>
      </c>
      <c r="C132" s="363" t="str">
        <f>IFERROR(INDEX('G-1 All Habitats'!$AG$3:$AG$15,MATCH(D132,'G-1 All Habitats'!$AF$3:$AF$15,0)),"")</f>
        <v/>
      </c>
      <c r="D132" s="186"/>
      <c r="E132" s="275"/>
      <c r="F132" s="362" t="str">
        <f>IFERROR(INDEX('G-1 All Habitats'!$B$3:$B$130,MATCH(E132,'G-1 All Habitats'!$A$3:$A$130,0)),"")</f>
        <v/>
      </c>
      <c r="G132" s="598"/>
      <c r="H132" s="239" t="str">
        <f>IF(F132="","",VLOOKUP(F132,'G-1 All Habitats'!$B$2:$M$130,10,FALSE))</f>
        <v/>
      </c>
      <c r="I132" s="176" t="str">
        <f>IFERROR(VLOOKUP(H132,'G-1 All Habitats'!$V$3:$W$7,2,FALSE),"")</f>
        <v/>
      </c>
      <c r="J132" s="270"/>
      <c r="K132" s="176" t="str">
        <f>IFERROR(INDEX('G-8 Condition Look up'!$A$3:$H$131,MATCH(F132,'G-8 Condition Look up'!$A$3:$A$131,0),MATCH(J132,'G-8 Condition Look up'!$A$3:$H$3,0)),"")</f>
        <v/>
      </c>
      <c r="L132" s="173"/>
      <c r="M132" s="269" t="str">
        <f>IF(L132="","",IF(VLOOKUP(L132,'G-3 Multipliers'!$L$3:$N$6,2,FALSE)=0,"Spatial Data Missing",VLOOKUP(L132,'G-3 Multipliers'!$L$3:$N$6,2,FALSE)))</f>
        <v/>
      </c>
      <c r="N132" s="172" t="str">
        <f>IF(L132="","",IF(VLOOKUP(L132,'G-3 Multipliers'!$L$3:$N$6,3,FALSE)=0,"Spatial Data Missing",VLOOKUP(L132,'G-3 Multipliers'!$L$3:$N$6,3,FALSE)))</f>
        <v/>
      </c>
      <c r="O132" s="171" t="str">
        <f t="shared" si="5"/>
        <v/>
      </c>
      <c r="P132" s="261"/>
      <c r="Q132" s="261"/>
      <c r="R132" s="343" t="str">
        <f t="shared" si="6"/>
        <v/>
      </c>
      <c r="S132" s="352" t="str">
        <f t="shared" si="7"/>
        <v/>
      </c>
      <c r="T132" s="593" t="str">
        <f>IFERROR(IF(S132="Check Data","Check Data",VLOOKUP(S132,'G-4 Temporal multipliers'!$A$4:$C$37,3,FALSE)),"")</f>
        <v/>
      </c>
      <c r="U132" s="592" t="str">
        <f>IF(F132="","",VLOOKUP(F132,'G-3 Multipliers'!$A$2:$E$130,2,FALSE))</f>
        <v/>
      </c>
      <c r="V132" s="343" t="str">
        <f t="shared" si="8"/>
        <v/>
      </c>
      <c r="W132" s="343" t="str">
        <f>IF(E132="","",IF(AND(V132="Standard difficulty applied",O132&gt;P132),U132,IF(AND(V132="Low Difficulty - only applicable if all habitat created before losses",P132&gt;=O132),"Low",VLOOKUP(F132,'G-3 Multipliers'!$A$2:$E$130,4,FALSE))))</f>
        <v/>
      </c>
      <c r="X132" s="345" t="str">
        <f>IFERROR(IF(E132="","",VLOOKUP(W132, 'G-3 Multipliers'!$P$2:$Q$6,2,FALSE)),””)</f>
        <v/>
      </c>
      <c r="Y132" s="266"/>
      <c r="Z132" s="172" t="str">
        <f>IF(Y132="","",IF(VLOOKUP(Y132,'G-3 Multipliers'!$S$3:$T$9,2,FALSE)=0,"Spatial Data Missing",VLOOKUP(Y132,'G-3 Multipliers'!$S$3:$T$9,2,FALSE)))</f>
        <v/>
      </c>
      <c r="AA132" s="265" t="str">
        <f t="shared" si="9"/>
        <v/>
      </c>
      <c r="AB132" s="180"/>
      <c r="AC132" s="181"/>
    </row>
    <row r="133" spans="1:29" ht="13.8" x14ac:dyDescent="0.25">
      <c r="A133" s="35" t="str">
        <f>IFERROR(INDEX('G-8 Condition Look up'!$I$4:$I$131,MATCH(F133,'G-8 Condition Look up'!$A$4:$A$131,0)),"")</f>
        <v/>
      </c>
      <c r="C133" s="363" t="str">
        <f>IFERROR(INDEX('G-1 All Habitats'!$AG$3:$AG$15,MATCH(D133,'G-1 All Habitats'!$AF$3:$AF$15,0)),"")</f>
        <v/>
      </c>
      <c r="D133" s="186"/>
      <c r="E133" s="275"/>
      <c r="F133" s="362" t="str">
        <f>IFERROR(INDEX('G-1 All Habitats'!$B$3:$B$130,MATCH(E133,'G-1 All Habitats'!$A$3:$A$130,0)),"")</f>
        <v/>
      </c>
      <c r="G133" s="598"/>
      <c r="H133" s="239" t="str">
        <f>IF(F133="","",VLOOKUP(F133,'G-1 All Habitats'!$B$2:$M$130,10,FALSE))</f>
        <v/>
      </c>
      <c r="I133" s="176" t="str">
        <f>IFERROR(VLOOKUP(H133,'G-1 All Habitats'!$V$3:$W$7,2,FALSE),"")</f>
        <v/>
      </c>
      <c r="J133" s="270"/>
      <c r="K133" s="176" t="str">
        <f>IFERROR(INDEX('G-8 Condition Look up'!$A$3:$H$131,MATCH(F133,'G-8 Condition Look up'!$A$3:$A$131,0),MATCH(J133,'G-8 Condition Look up'!$A$3:$H$3,0)),"")</f>
        <v/>
      </c>
      <c r="L133" s="173"/>
      <c r="M133" s="269" t="str">
        <f>IF(L133="","",IF(VLOOKUP(L133,'G-3 Multipliers'!$L$3:$N$6,2,FALSE)=0,"Spatial Data Missing",VLOOKUP(L133,'G-3 Multipliers'!$L$3:$N$6,2,FALSE)))</f>
        <v/>
      </c>
      <c r="N133" s="172" t="str">
        <f>IF(L133="","",IF(VLOOKUP(L133,'G-3 Multipliers'!$L$3:$N$6,3,FALSE)=0,"Spatial Data Missing",VLOOKUP(L133,'G-3 Multipliers'!$L$3:$N$6,3,FALSE)))</f>
        <v/>
      </c>
      <c r="O133" s="171" t="str">
        <f t="shared" si="5"/>
        <v/>
      </c>
      <c r="P133" s="261"/>
      <c r="Q133" s="261"/>
      <c r="R133" s="343" t="str">
        <f t="shared" si="6"/>
        <v/>
      </c>
      <c r="S133" s="352" t="str">
        <f t="shared" si="7"/>
        <v/>
      </c>
      <c r="T133" s="593" t="str">
        <f>IFERROR(IF(S133="Check Data","Check Data",VLOOKUP(S133,'G-4 Temporal multipliers'!$A$4:$C$37,3,FALSE)),"")</f>
        <v/>
      </c>
      <c r="U133" s="592" t="str">
        <f>IF(F133="","",VLOOKUP(F133,'G-3 Multipliers'!$A$2:$E$130,2,FALSE))</f>
        <v/>
      </c>
      <c r="V133" s="343" t="str">
        <f t="shared" si="8"/>
        <v/>
      </c>
      <c r="W133" s="343" t="str">
        <f>IF(E133="","",IF(AND(V133="Standard difficulty applied",O133&gt;P133),U133,IF(AND(V133="Low Difficulty - only applicable if all habitat created before losses",P133&gt;=O133),"Low",VLOOKUP(F133,'G-3 Multipliers'!$A$2:$E$130,4,FALSE))))</f>
        <v/>
      </c>
      <c r="X133" s="345" t="str">
        <f>IFERROR(IF(E133="","",VLOOKUP(W133, 'G-3 Multipliers'!$P$2:$Q$6,2,FALSE)),””)</f>
        <v/>
      </c>
      <c r="Y133" s="266"/>
      <c r="Z133" s="172" t="str">
        <f>IF(Y133="","",IF(VLOOKUP(Y133,'G-3 Multipliers'!$S$3:$T$9,2,FALSE)=0,"Spatial Data Missing",VLOOKUP(Y133,'G-3 Multipliers'!$S$3:$T$9,2,FALSE)))</f>
        <v/>
      </c>
      <c r="AA133" s="265" t="str">
        <f t="shared" si="9"/>
        <v/>
      </c>
      <c r="AB133" s="180"/>
      <c r="AC133" s="181"/>
    </row>
    <row r="134" spans="1:29" ht="13.8" x14ac:dyDescent="0.25">
      <c r="A134" s="35" t="str">
        <f>IFERROR(INDEX('G-8 Condition Look up'!$I$4:$I$131,MATCH(F134,'G-8 Condition Look up'!$A$4:$A$131,0)),"")</f>
        <v/>
      </c>
      <c r="C134" s="363" t="str">
        <f>IFERROR(INDEX('G-1 All Habitats'!$AG$3:$AG$15,MATCH(D134,'G-1 All Habitats'!$AF$3:$AF$15,0)),"")</f>
        <v/>
      </c>
      <c r="D134" s="186"/>
      <c r="E134" s="275"/>
      <c r="F134" s="362" t="str">
        <f>IFERROR(INDEX('G-1 All Habitats'!$B$3:$B$130,MATCH(E134,'G-1 All Habitats'!$A$3:$A$130,0)),"")</f>
        <v/>
      </c>
      <c r="G134" s="598"/>
      <c r="H134" s="239" t="str">
        <f>IF(F134="","",VLOOKUP(F134,'G-1 All Habitats'!$B$2:$M$130,10,FALSE))</f>
        <v/>
      </c>
      <c r="I134" s="176" t="str">
        <f>IFERROR(VLOOKUP(H134,'G-1 All Habitats'!$V$3:$W$7,2,FALSE),"")</f>
        <v/>
      </c>
      <c r="J134" s="270"/>
      <c r="K134" s="176" t="str">
        <f>IFERROR(INDEX('G-8 Condition Look up'!$A$3:$H$131,MATCH(F134,'G-8 Condition Look up'!$A$3:$A$131,0),MATCH(J134,'G-8 Condition Look up'!$A$3:$H$3,0)),"")</f>
        <v/>
      </c>
      <c r="L134" s="173"/>
      <c r="M134" s="269" t="str">
        <f>IF(L134="","",IF(VLOOKUP(L134,'G-3 Multipliers'!$L$3:$N$6,2,FALSE)=0,"Spatial Data Missing",VLOOKUP(L134,'G-3 Multipliers'!$L$3:$N$6,2,FALSE)))</f>
        <v/>
      </c>
      <c r="N134" s="172" t="str">
        <f>IF(L134="","",IF(VLOOKUP(L134,'G-3 Multipliers'!$L$3:$N$6,3,FALSE)=0,"Spatial Data Missing",VLOOKUP(L134,'G-3 Multipliers'!$L$3:$N$6,3,FALSE)))</f>
        <v/>
      </c>
      <c r="O134" s="171" t="str">
        <f t="shared" si="5"/>
        <v/>
      </c>
      <c r="P134" s="261"/>
      <c r="Q134" s="261"/>
      <c r="R134" s="343" t="str">
        <f t="shared" si="6"/>
        <v/>
      </c>
      <c r="S134" s="352" t="str">
        <f t="shared" si="7"/>
        <v/>
      </c>
      <c r="T134" s="593" t="str">
        <f>IFERROR(IF(S134="Check Data","Check Data",VLOOKUP(S134,'G-4 Temporal multipliers'!$A$4:$C$37,3,FALSE)),"")</f>
        <v/>
      </c>
      <c r="U134" s="592" t="str">
        <f>IF(F134="","",VLOOKUP(F134,'G-3 Multipliers'!$A$2:$E$130,2,FALSE))</f>
        <v/>
      </c>
      <c r="V134" s="343" t="str">
        <f t="shared" si="8"/>
        <v/>
      </c>
      <c r="W134" s="343" t="str">
        <f>IF(E134="","",IF(AND(V134="Standard difficulty applied",O134&gt;P134),U134,IF(AND(V134="Low Difficulty - only applicable if all habitat created before losses",P134&gt;=O134),"Low",VLOOKUP(F134,'G-3 Multipliers'!$A$2:$E$130,4,FALSE))))</f>
        <v/>
      </c>
      <c r="X134" s="345" t="str">
        <f>IFERROR(IF(E134="","",VLOOKUP(W134, 'G-3 Multipliers'!$P$2:$Q$6,2,FALSE)),””)</f>
        <v/>
      </c>
      <c r="Y134" s="266"/>
      <c r="Z134" s="172" t="str">
        <f>IF(Y134="","",IF(VLOOKUP(Y134,'G-3 Multipliers'!$S$3:$T$9,2,FALSE)=0,"Spatial Data Missing",VLOOKUP(Y134,'G-3 Multipliers'!$S$3:$T$9,2,FALSE)))</f>
        <v/>
      </c>
      <c r="AA134" s="265" t="str">
        <f t="shared" si="9"/>
        <v/>
      </c>
      <c r="AB134" s="180"/>
      <c r="AC134" s="181"/>
    </row>
    <row r="135" spans="1:29" ht="13.8" x14ac:dyDescent="0.25">
      <c r="A135" s="35" t="str">
        <f>IFERROR(INDEX('G-8 Condition Look up'!$I$4:$I$131,MATCH(F135,'G-8 Condition Look up'!$A$4:$A$131,0)),"")</f>
        <v/>
      </c>
      <c r="C135" s="363" t="str">
        <f>IFERROR(INDEX('G-1 All Habitats'!$AG$3:$AG$15,MATCH(D135,'G-1 All Habitats'!$AF$3:$AF$15,0)),"")</f>
        <v/>
      </c>
      <c r="D135" s="186"/>
      <c r="E135" s="275"/>
      <c r="F135" s="362" t="str">
        <f>IFERROR(INDEX('G-1 All Habitats'!$B$3:$B$130,MATCH(E135,'G-1 All Habitats'!$A$3:$A$130,0)),"")</f>
        <v/>
      </c>
      <c r="G135" s="598"/>
      <c r="H135" s="239" t="str">
        <f>IF(F135="","",VLOOKUP(F135,'G-1 All Habitats'!$B$2:$M$130,10,FALSE))</f>
        <v/>
      </c>
      <c r="I135" s="176" t="str">
        <f>IFERROR(VLOOKUP(H135,'G-1 All Habitats'!$V$3:$W$7,2,FALSE),"")</f>
        <v/>
      </c>
      <c r="J135" s="270"/>
      <c r="K135" s="176" t="str">
        <f>IFERROR(INDEX('G-8 Condition Look up'!$A$3:$H$131,MATCH(F135,'G-8 Condition Look up'!$A$3:$A$131,0),MATCH(J135,'G-8 Condition Look up'!$A$3:$H$3,0)),"")</f>
        <v/>
      </c>
      <c r="L135" s="173"/>
      <c r="M135" s="269" t="str">
        <f>IF(L135="","",IF(VLOOKUP(L135,'G-3 Multipliers'!$L$3:$N$6,2,FALSE)=0,"Spatial Data Missing",VLOOKUP(L135,'G-3 Multipliers'!$L$3:$N$6,2,FALSE)))</f>
        <v/>
      </c>
      <c r="N135" s="172" t="str">
        <f>IF(L135="","",IF(VLOOKUP(L135,'G-3 Multipliers'!$L$3:$N$6,3,FALSE)=0,"Spatial Data Missing",VLOOKUP(L135,'G-3 Multipliers'!$L$3:$N$6,3,FALSE)))</f>
        <v/>
      </c>
      <c r="O135" s="171" t="str">
        <f t="shared" si="5"/>
        <v/>
      </c>
      <c r="P135" s="261"/>
      <c r="Q135" s="261"/>
      <c r="R135" s="343" t="str">
        <f t="shared" si="6"/>
        <v/>
      </c>
      <c r="S135" s="352" t="str">
        <f t="shared" si="7"/>
        <v/>
      </c>
      <c r="T135" s="593" t="str">
        <f>IFERROR(IF(S135="Check Data","Check Data",VLOOKUP(S135,'G-4 Temporal multipliers'!$A$4:$C$37,3,FALSE)),"")</f>
        <v/>
      </c>
      <c r="U135" s="592" t="str">
        <f>IF(F135="","",VLOOKUP(F135,'G-3 Multipliers'!$A$2:$E$130,2,FALSE))</f>
        <v/>
      </c>
      <c r="V135" s="343" t="str">
        <f t="shared" si="8"/>
        <v/>
      </c>
      <c r="W135" s="343" t="str">
        <f>IF(E135="","",IF(AND(V135="Standard difficulty applied",O135&gt;P135),U135,IF(AND(V135="Low Difficulty - only applicable if all habitat created before losses",P135&gt;=O135),"Low",VLOOKUP(F135,'G-3 Multipliers'!$A$2:$E$130,4,FALSE))))</f>
        <v/>
      </c>
      <c r="X135" s="345" t="str">
        <f>IFERROR(IF(E135="","",VLOOKUP(W135, 'G-3 Multipliers'!$P$2:$Q$6,2,FALSE)),””)</f>
        <v/>
      </c>
      <c r="Y135" s="266"/>
      <c r="Z135" s="172" t="str">
        <f>IF(Y135="","",IF(VLOOKUP(Y135,'G-3 Multipliers'!$S$3:$T$9,2,FALSE)=0,"Spatial Data Missing",VLOOKUP(Y135,'G-3 Multipliers'!$S$3:$T$9,2,FALSE)))</f>
        <v/>
      </c>
      <c r="AA135" s="265" t="str">
        <f t="shared" si="9"/>
        <v/>
      </c>
      <c r="AB135" s="180"/>
      <c r="AC135" s="181"/>
    </row>
    <row r="136" spans="1:29" ht="13.8" x14ac:dyDescent="0.25">
      <c r="A136" s="35" t="str">
        <f>IFERROR(INDEX('G-8 Condition Look up'!$I$4:$I$131,MATCH(F136,'G-8 Condition Look up'!$A$4:$A$131,0)),"")</f>
        <v/>
      </c>
      <c r="C136" s="363" t="str">
        <f>IFERROR(INDEX('G-1 All Habitats'!$AG$3:$AG$15,MATCH(D136,'G-1 All Habitats'!$AF$3:$AF$15,0)),"")</f>
        <v/>
      </c>
      <c r="D136" s="186"/>
      <c r="E136" s="275"/>
      <c r="F136" s="362" t="str">
        <f>IFERROR(INDEX('G-1 All Habitats'!$B$3:$B$130,MATCH(E136,'G-1 All Habitats'!$A$3:$A$130,0)),"")</f>
        <v/>
      </c>
      <c r="G136" s="598"/>
      <c r="H136" s="239" t="str">
        <f>IF(F136="","",VLOOKUP(F136,'G-1 All Habitats'!$B$2:$M$130,10,FALSE))</f>
        <v/>
      </c>
      <c r="I136" s="176" t="str">
        <f>IFERROR(VLOOKUP(H136,'G-1 All Habitats'!$V$3:$W$7,2,FALSE),"")</f>
        <v/>
      </c>
      <c r="J136" s="270"/>
      <c r="K136" s="176" t="str">
        <f>IFERROR(INDEX('G-8 Condition Look up'!$A$3:$H$131,MATCH(F136,'G-8 Condition Look up'!$A$3:$A$131,0),MATCH(J136,'G-8 Condition Look up'!$A$3:$H$3,0)),"")</f>
        <v/>
      </c>
      <c r="L136" s="173"/>
      <c r="M136" s="269" t="str">
        <f>IF(L136="","",IF(VLOOKUP(L136,'G-3 Multipliers'!$L$3:$N$6,2,FALSE)=0,"Spatial Data Missing",VLOOKUP(L136,'G-3 Multipliers'!$L$3:$N$6,2,FALSE)))</f>
        <v/>
      </c>
      <c r="N136" s="172" t="str">
        <f>IF(L136="","",IF(VLOOKUP(L136,'G-3 Multipliers'!$L$3:$N$6,3,FALSE)=0,"Spatial Data Missing",VLOOKUP(L136,'G-3 Multipliers'!$L$3:$N$6,3,FALSE)))</f>
        <v/>
      </c>
      <c r="O136" s="171" t="str">
        <f t="shared" si="5"/>
        <v/>
      </c>
      <c r="P136" s="261"/>
      <c r="Q136" s="261"/>
      <c r="R136" s="343" t="str">
        <f t="shared" si="6"/>
        <v/>
      </c>
      <c r="S136" s="352" t="str">
        <f t="shared" si="7"/>
        <v/>
      </c>
      <c r="T136" s="593" t="str">
        <f>IFERROR(IF(S136="Check Data","Check Data",VLOOKUP(S136,'G-4 Temporal multipliers'!$A$4:$C$37,3,FALSE)),"")</f>
        <v/>
      </c>
      <c r="U136" s="592" t="str">
        <f>IF(F136="","",VLOOKUP(F136,'G-3 Multipliers'!$A$2:$E$130,2,FALSE))</f>
        <v/>
      </c>
      <c r="V136" s="343" t="str">
        <f t="shared" si="8"/>
        <v/>
      </c>
      <c r="W136" s="343" t="str">
        <f>IF(E136="","",IF(AND(V136="Standard difficulty applied",O136&gt;P136),U136,IF(AND(V136="Low Difficulty - only applicable if all habitat created before losses",P136&gt;=O136),"Low",VLOOKUP(F136,'G-3 Multipliers'!$A$2:$E$130,4,FALSE))))</f>
        <v/>
      </c>
      <c r="X136" s="345" t="str">
        <f>IFERROR(IF(E136="","",VLOOKUP(W136, 'G-3 Multipliers'!$P$2:$Q$6,2,FALSE)),””)</f>
        <v/>
      </c>
      <c r="Y136" s="266"/>
      <c r="Z136" s="172" t="str">
        <f>IF(Y136="","",IF(VLOOKUP(Y136,'G-3 Multipliers'!$S$3:$T$9,2,FALSE)=0,"Spatial Data Missing",VLOOKUP(Y136,'G-3 Multipliers'!$S$3:$T$9,2,FALSE)))</f>
        <v/>
      </c>
      <c r="AA136" s="265" t="str">
        <f t="shared" si="9"/>
        <v/>
      </c>
      <c r="AB136" s="180"/>
      <c r="AC136" s="181"/>
    </row>
    <row r="137" spans="1:29" ht="13.8" x14ac:dyDescent="0.25">
      <c r="A137" s="35" t="str">
        <f>IFERROR(INDEX('G-8 Condition Look up'!$I$4:$I$131,MATCH(F137,'G-8 Condition Look up'!$A$4:$A$131,0)),"")</f>
        <v/>
      </c>
      <c r="C137" s="363" t="str">
        <f>IFERROR(INDEX('G-1 All Habitats'!$AG$3:$AG$15,MATCH(D137,'G-1 All Habitats'!$AF$3:$AF$15,0)),"")</f>
        <v/>
      </c>
      <c r="D137" s="186"/>
      <c r="E137" s="275"/>
      <c r="F137" s="362" t="str">
        <f>IFERROR(INDEX('G-1 All Habitats'!$B$3:$B$130,MATCH(E137,'G-1 All Habitats'!$A$3:$A$130,0)),"")</f>
        <v/>
      </c>
      <c r="G137" s="598"/>
      <c r="H137" s="239" t="str">
        <f>IF(F137="","",VLOOKUP(F137,'G-1 All Habitats'!$B$2:$M$130,10,FALSE))</f>
        <v/>
      </c>
      <c r="I137" s="176" t="str">
        <f>IFERROR(VLOOKUP(H137,'G-1 All Habitats'!$V$3:$W$7,2,FALSE),"")</f>
        <v/>
      </c>
      <c r="J137" s="270"/>
      <c r="K137" s="176" t="str">
        <f>IFERROR(INDEX('G-8 Condition Look up'!$A$3:$H$131,MATCH(F137,'G-8 Condition Look up'!$A$3:$A$131,0),MATCH(J137,'G-8 Condition Look up'!$A$3:$H$3,0)),"")</f>
        <v/>
      </c>
      <c r="L137" s="173"/>
      <c r="M137" s="269" t="str">
        <f>IF(L137="","",IF(VLOOKUP(L137,'G-3 Multipliers'!$L$3:$N$6,2,FALSE)=0,"Spatial Data Missing",VLOOKUP(L137,'G-3 Multipliers'!$L$3:$N$6,2,FALSE)))</f>
        <v/>
      </c>
      <c r="N137" s="172" t="str">
        <f>IF(L137="","",IF(VLOOKUP(L137,'G-3 Multipliers'!$L$3:$N$6,3,FALSE)=0,"Spatial Data Missing",VLOOKUP(L137,'G-3 Multipliers'!$L$3:$N$6,3,FALSE)))</f>
        <v/>
      </c>
      <c r="O137" s="171" t="str">
        <f t="shared" si="5"/>
        <v/>
      </c>
      <c r="P137" s="261"/>
      <c r="Q137" s="261"/>
      <c r="R137" s="343" t="str">
        <f t="shared" si="6"/>
        <v/>
      </c>
      <c r="S137" s="352" t="str">
        <f t="shared" si="7"/>
        <v/>
      </c>
      <c r="T137" s="593" t="str">
        <f>IFERROR(IF(S137="Check Data","Check Data",VLOOKUP(S137,'G-4 Temporal multipliers'!$A$4:$C$37,3,FALSE)),"")</f>
        <v/>
      </c>
      <c r="U137" s="592" t="str">
        <f>IF(F137="","",VLOOKUP(F137,'G-3 Multipliers'!$A$2:$E$130,2,FALSE))</f>
        <v/>
      </c>
      <c r="V137" s="343" t="str">
        <f t="shared" si="8"/>
        <v/>
      </c>
      <c r="W137" s="343" t="str">
        <f>IF(E137="","",IF(AND(V137="Standard difficulty applied",O137&gt;P137),U137,IF(AND(V137="Low Difficulty - only applicable if all habitat created before losses",P137&gt;=O137),"Low",VLOOKUP(F137,'G-3 Multipliers'!$A$2:$E$130,4,FALSE))))</f>
        <v/>
      </c>
      <c r="X137" s="345" t="str">
        <f>IFERROR(IF(E137="","",VLOOKUP(W137, 'G-3 Multipliers'!$P$2:$Q$6,2,FALSE)),””)</f>
        <v/>
      </c>
      <c r="Y137" s="266"/>
      <c r="Z137" s="172" t="str">
        <f>IF(Y137="","",IF(VLOOKUP(Y137,'G-3 Multipliers'!$S$3:$T$9,2,FALSE)=0,"Spatial Data Missing",VLOOKUP(Y137,'G-3 Multipliers'!$S$3:$T$9,2,FALSE)))</f>
        <v/>
      </c>
      <c r="AA137" s="265" t="str">
        <f t="shared" si="9"/>
        <v/>
      </c>
      <c r="AB137" s="180"/>
      <c r="AC137" s="181"/>
    </row>
    <row r="138" spans="1:29" ht="13.8" x14ac:dyDescent="0.25">
      <c r="A138" s="35" t="str">
        <f>IFERROR(INDEX('G-8 Condition Look up'!$I$4:$I$131,MATCH(F138,'G-8 Condition Look up'!$A$4:$A$131,0)),"")</f>
        <v/>
      </c>
      <c r="C138" s="363" t="str">
        <f>IFERROR(INDEX('G-1 All Habitats'!$AG$3:$AG$15,MATCH(D138,'G-1 All Habitats'!$AF$3:$AF$15,0)),"")</f>
        <v/>
      </c>
      <c r="D138" s="186"/>
      <c r="E138" s="275"/>
      <c r="F138" s="362" t="str">
        <f>IFERROR(INDEX('G-1 All Habitats'!$B$3:$B$130,MATCH(E138,'G-1 All Habitats'!$A$3:$A$130,0)),"")</f>
        <v/>
      </c>
      <c r="G138" s="598"/>
      <c r="H138" s="239" t="str">
        <f>IF(F138="","",VLOOKUP(F138,'G-1 All Habitats'!$B$2:$M$130,10,FALSE))</f>
        <v/>
      </c>
      <c r="I138" s="176" t="str">
        <f>IFERROR(VLOOKUP(H138,'G-1 All Habitats'!$V$3:$W$7,2,FALSE),"")</f>
        <v/>
      </c>
      <c r="J138" s="270"/>
      <c r="K138" s="176" t="str">
        <f>IFERROR(INDEX('G-8 Condition Look up'!$A$3:$H$131,MATCH(F138,'G-8 Condition Look up'!$A$3:$A$131,0),MATCH(J138,'G-8 Condition Look up'!$A$3:$H$3,0)),"")</f>
        <v/>
      </c>
      <c r="L138" s="173"/>
      <c r="M138" s="269" t="str">
        <f>IF(L138="","",IF(VLOOKUP(L138,'G-3 Multipliers'!$L$3:$N$6,2,FALSE)=0,"Spatial Data Missing",VLOOKUP(L138,'G-3 Multipliers'!$L$3:$N$6,2,FALSE)))</f>
        <v/>
      </c>
      <c r="N138" s="172" t="str">
        <f>IF(L138="","",IF(VLOOKUP(L138,'G-3 Multipliers'!$L$3:$N$6,3,FALSE)=0,"Spatial Data Missing",VLOOKUP(L138,'G-3 Multipliers'!$L$3:$N$6,3,FALSE)))</f>
        <v/>
      </c>
      <c r="O138" s="171" t="str">
        <f t="shared" si="5"/>
        <v/>
      </c>
      <c r="P138" s="261"/>
      <c r="Q138" s="261"/>
      <c r="R138" s="343" t="str">
        <f t="shared" si="6"/>
        <v/>
      </c>
      <c r="S138" s="352" t="str">
        <f t="shared" si="7"/>
        <v/>
      </c>
      <c r="T138" s="593" t="str">
        <f>IFERROR(IF(S138="Check Data","Check Data",VLOOKUP(S138,'G-4 Temporal multipliers'!$A$4:$C$37,3,FALSE)),"")</f>
        <v/>
      </c>
      <c r="U138" s="592" t="str">
        <f>IF(F138="","",VLOOKUP(F138,'G-3 Multipliers'!$A$2:$E$130,2,FALSE))</f>
        <v/>
      </c>
      <c r="V138" s="343" t="str">
        <f t="shared" si="8"/>
        <v/>
      </c>
      <c r="W138" s="343" t="str">
        <f>IF(E138="","",IF(AND(V138="Standard difficulty applied",O138&gt;P138),U138,IF(AND(V138="Low Difficulty - only applicable if all habitat created before losses",P138&gt;=O138),"Low",VLOOKUP(F138,'G-3 Multipliers'!$A$2:$E$130,4,FALSE))))</f>
        <v/>
      </c>
      <c r="X138" s="345" t="str">
        <f>IFERROR(IF(E138="","",VLOOKUP(W138, 'G-3 Multipliers'!$P$2:$Q$6,2,FALSE)),””)</f>
        <v/>
      </c>
      <c r="Y138" s="266"/>
      <c r="Z138" s="172" t="str">
        <f>IF(Y138="","",IF(VLOOKUP(Y138,'G-3 Multipliers'!$S$3:$T$9,2,FALSE)=0,"Spatial Data Missing",VLOOKUP(Y138,'G-3 Multipliers'!$S$3:$T$9,2,FALSE)))</f>
        <v/>
      </c>
      <c r="AA138" s="265" t="str">
        <f t="shared" si="9"/>
        <v/>
      </c>
      <c r="AB138" s="180"/>
      <c r="AC138" s="181"/>
    </row>
    <row r="139" spans="1:29" ht="13.8" x14ac:dyDescent="0.25">
      <c r="A139" s="35" t="str">
        <f>IFERROR(INDEX('G-8 Condition Look up'!$I$4:$I$131,MATCH(F139,'G-8 Condition Look up'!$A$4:$A$131,0)),"")</f>
        <v/>
      </c>
      <c r="C139" s="363" t="str">
        <f>IFERROR(INDEX('G-1 All Habitats'!$AG$3:$AG$15,MATCH(D139,'G-1 All Habitats'!$AF$3:$AF$15,0)),"")</f>
        <v/>
      </c>
      <c r="D139" s="186"/>
      <c r="E139" s="275"/>
      <c r="F139" s="362" t="str">
        <f>IFERROR(INDEX('G-1 All Habitats'!$B$3:$B$130,MATCH(E139,'G-1 All Habitats'!$A$3:$A$130,0)),"")</f>
        <v/>
      </c>
      <c r="G139" s="598"/>
      <c r="H139" s="239" t="str">
        <f>IF(F139="","",VLOOKUP(F139,'G-1 All Habitats'!$B$2:$M$130,10,FALSE))</f>
        <v/>
      </c>
      <c r="I139" s="176" t="str">
        <f>IFERROR(VLOOKUP(H139,'G-1 All Habitats'!$V$3:$W$7,2,FALSE),"")</f>
        <v/>
      </c>
      <c r="J139" s="270"/>
      <c r="K139" s="176" t="str">
        <f>IFERROR(INDEX('G-8 Condition Look up'!$A$3:$H$131,MATCH(F139,'G-8 Condition Look up'!$A$3:$A$131,0),MATCH(J139,'G-8 Condition Look up'!$A$3:$H$3,0)),"")</f>
        <v/>
      </c>
      <c r="L139" s="173"/>
      <c r="M139" s="269" t="str">
        <f>IF(L139="","",IF(VLOOKUP(L139,'G-3 Multipliers'!$L$3:$N$6,2,FALSE)=0,"Spatial Data Missing",VLOOKUP(L139,'G-3 Multipliers'!$L$3:$N$6,2,FALSE)))</f>
        <v/>
      </c>
      <c r="N139" s="172" t="str">
        <f>IF(L139="","",IF(VLOOKUP(L139,'G-3 Multipliers'!$L$3:$N$6,3,FALSE)=0,"Spatial Data Missing",VLOOKUP(L139,'G-3 Multipliers'!$L$3:$N$6,3,FALSE)))</f>
        <v/>
      </c>
      <c r="O139" s="171" t="str">
        <f t="shared" ref="O139:O202" si="10">IFERROR(INDEX(TemporalData,MATCH(F139,TemporalHabitats,0),MATCH(J139,TemporalConditions,0)),"")</f>
        <v/>
      </c>
      <c r="P139" s="261"/>
      <c r="Q139" s="261"/>
      <c r="R139" s="343" t="str">
        <f t="shared" si="6"/>
        <v/>
      </c>
      <c r="S139" s="352" t="str">
        <f t="shared" si="7"/>
        <v/>
      </c>
      <c r="T139" s="593" t="str">
        <f>IFERROR(IF(S139="Check Data","Check Data",VLOOKUP(S139,'G-4 Temporal multipliers'!$A$4:$C$37,3,FALSE)),"")</f>
        <v/>
      </c>
      <c r="U139" s="592" t="str">
        <f>IF(F139="","",VLOOKUP(F139,'G-3 Multipliers'!$A$2:$E$130,2,FALSE))</f>
        <v/>
      </c>
      <c r="V139" s="343" t="str">
        <f t="shared" si="8"/>
        <v/>
      </c>
      <c r="W139" s="343" t="str">
        <f>IF(E139="","",IF(AND(V139="Standard difficulty applied",O139&gt;P139),U139,IF(AND(V139="Low Difficulty - only applicable if all habitat created before losses",P139&gt;=O139),"Low",VLOOKUP(F139,'G-3 Multipliers'!$A$2:$E$130,4,FALSE))))</f>
        <v/>
      </c>
      <c r="X139" s="345" t="str">
        <f>IFERROR(IF(E139="","",VLOOKUP(W139, 'G-3 Multipliers'!$P$2:$Q$6,2,FALSE)),””)</f>
        <v/>
      </c>
      <c r="Y139" s="266"/>
      <c r="Z139" s="172" t="str">
        <f>IF(Y139="","",IF(VLOOKUP(Y139,'G-3 Multipliers'!$S$3:$T$9,2,FALSE)=0,"Spatial Data Missing",VLOOKUP(Y139,'G-3 Multipliers'!$S$3:$T$9,2,FALSE)))</f>
        <v/>
      </c>
      <c r="AA139" s="265" t="str">
        <f t="shared" si="9"/>
        <v/>
      </c>
      <c r="AB139" s="180"/>
      <c r="AC139" s="181"/>
    </row>
    <row r="140" spans="1:29" ht="13.8" x14ac:dyDescent="0.25">
      <c r="A140" s="35" t="str">
        <f>IFERROR(INDEX('G-8 Condition Look up'!$I$4:$I$131,MATCH(F140,'G-8 Condition Look up'!$A$4:$A$131,0)),"")</f>
        <v/>
      </c>
      <c r="C140" s="363" t="str">
        <f>IFERROR(INDEX('G-1 All Habitats'!$AG$3:$AG$15,MATCH(D140,'G-1 All Habitats'!$AF$3:$AF$15,0)),"")</f>
        <v/>
      </c>
      <c r="D140" s="186"/>
      <c r="E140" s="275"/>
      <c r="F140" s="362" t="str">
        <f>IFERROR(INDEX('G-1 All Habitats'!$B$3:$B$130,MATCH(E140,'G-1 All Habitats'!$A$3:$A$130,0)),"")</f>
        <v/>
      </c>
      <c r="G140" s="598"/>
      <c r="H140" s="239" t="str">
        <f>IF(F140="","",VLOOKUP(F140,'G-1 All Habitats'!$B$2:$M$130,10,FALSE))</f>
        <v/>
      </c>
      <c r="I140" s="176" t="str">
        <f>IFERROR(VLOOKUP(H140,'G-1 All Habitats'!$V$3:$W$7,2,FALSE),"")</f>
        <v/>
      </c>
      <c r="J140" s="270"/>
      <c r="K140" s="176" t="str">
        <f>IFERROR(INDEX('G-8 Condition Look up'!$A$3:$H$131,MATCH(F140,'G-8 Condition Look up'!$A$3:$A$131,0),MATCH(J140,'G-8 Condition Look up'!$A$3:$H$3,0)),"")</f>
        <v/>
      </c>
      <c r="L140" s="173"/>
      <c r="M140" s="269" t="str">
        <f>IF(L140="","",IF(VLOOKUP(L140,'G-3 Multipliers'!$L$3:$N$6,2,FALSE)=0,"Spatial Data Missing",VLOOKUP(L140,'G-3 Multipliers'!$L$3:$N$6,2,FALSE)))</f>
        <v/>
      </c>
      <c r="N140" s="172" t="str">
        <f>IF(L140="","",IF(VLOOKUP(L140,'G-3 Multipliers'!$L$3:$N$6,3,FALSE)=0,"Spatial Data Missing",VLOOKUP(L140,'G-3 Multipliers'!$L$3:$N$6,3,FALSE)))</f>
        <v/>
      </c>
      <c r="O140" s="171" t="str">
        <f t="shared" si="10"/>
        <v/>
      </c>
      <c r="P140" s="261"/>
      <c r="Q140" s="261"/>
      <c r="R140" s="343" t="str">
        <f t="shared" ref="R140:R203" si="11">IF(E140="","",IF(AND(P140&gt;0,Q140&gt;0),"Error -both advance and delayed habitat creation",IF(AND(OR(P140="Habitat already in target condition",O140&lt;=P140),Q140=0,I140&gt;0),"Check details - Is there evidence that habitat has reached target condition?",IF(O140="","",IF(AND(P140&gt;=AE140,P140&gt;0),"Check details - Is there evidence habitat creation started and the threshold for Poor condition reached?",IF(Q140&gt;0,"Check details- Delay in starting habitat in required condition?",IF(P140&gt;0,"Check details - Is there evidence habitat creation started/in place?","Standard time to target condition applied")))))))</f>
        <v/>
      </c>
      <c r="S140" s="352" t="str">
        <f t="shared" ref="S140:S203" si="12">IF(R140="Error -both advance and delayed habitat creation","Check Data",IF(O140="Not Possible","Check Data",IF(O140="","",IF(AND(O140="30+",P140=0),"30+",IF(AND(O140="30+",P140="30+"),0,IF(AND(O140="30+",P140&lt;32),30-P140,IF(O140="30+",30-P140,IF(P140&gt;O140,0,IF(Q140="30+","30+",IF(O140+Q140&gt;30,"30+",IF(O140+Q140&gt;30,"30+",IF(O140-P140&gt;30,"30+",IF(O140+Q140-P140&gt;0,O140+Q140-P140,IF(O140-P140&gt;0,O140-P140,O140+Q140-P140))))))))))))))</f>
        <v/>
      </c>
      <c r="T140" s="593" t="str">
        <f>IFERROR(IF(S140="Check Data","Check Data",VLOOKUP(S140,'G-4 Temporal multipliers'!$A$4:$C$37,3,FALSE)),"")</f>
        <v/>
      </c>
      <c r="U140" s="592" t="str">
        <f>IF(F140="","",VLOOKUP(F140,'G-3 Multipliers'!$A$2:$E$130,2,FALSE))</f>
        <v/>
      </c>
      <c r="V140" s="343" t="str">
        <f t="shared" ref="V140:V203" si="13">IF(F140="","",IF($R140="Check details - Is there evidence that habitat has reached target condition?","Low Difficulty - only applicable if all habitat created before losses",IF($R140="Check details - Is there evidence habitat creation started and the threshold for Poor condition reached?","Enhancement difficulty applied","Standard difficulty applied")))</f>
        <v/>
      </c>
      <c r="W140" s="343" t="str">
        <f>IF(E140="","",IF(AND(V140="Standard difficulty applied",O140&gt;P140),U140,IF(AND(V140="Low Difficulty - only applicable if all habitat created before losses",P140&gt;=O140),"Low",VLOOKUP(F140,'G-3 Multipliers'!$A$2:$E$130,4,FALSE))))</f>
        <v/>
      </c>
      <c r="X140" s="345" t="str">
        <f>IFERROR(IF(E140="","",VLOOKUP(W140, 'G-3 Multipliers'!$P$2:$Q$6,2,FALSE)),””)</f>
        <v/>
      </c>
      <c r="Y140" s="266"/>
      <c r="Z140" s="172" t="str">
        <f>IF(Y140="","",IF(VLOOKUP(Y140,'G-3 Multipliers'!$S$3:$T$9,2,FALSE)=0,"Spatial Data Missing",VLOOKUP(Y140,'G-3 Multipliers'!$S$3:$T$9,2,FALSE)))</f>
        <v/>
      </c>
      <c r="AA140" s="265" t="str">
        <f t="shared" ref="AA140:AA203" si="14">IFERROR(G140*I140*K140*N140*T140*X140*Z140,"")</f>
        <v/>
      </c>
      <c r="AB140" s="180"/>
      <c r="AC140" s="181"/>
    </row>
    <row r="141" spans="1:29" ht="13.8" x14ac:dyDescent="0.25">
      <c r="A141" s="35" t="str">
        <f>IFERROR(INDEX('G-8 Condition Look up'!$I$4:$I$131,MATCH(F141,'G-8 Condition Look up'!$A$4:$A$131,0)),"")</f>
        <v/>
      </c>
      <c r="C141" s="363" t="str">
        <f>IFERROR(INDEX('G-1 All Habitats'!$AG$3:$AG$15,MATCH(D141,'G-1 All Habitats'!$AF$3:$AF$15,0)),"")</f>
        <v/>
      </c>
      <c r="D141" s="186"/>
      <c r="E141" s="275"/>
      <c r="F141" s="362" t="str">
        <f>IFERROR(INDEX('G-1 All Habitats'!$B$3:$B$130,MATCH(E141,'G-1 All Habitats'!$A$3:$A$130,0)),"")</f>
        <v/>
      </c>
      <c r="G141" s="598"/>
      <c r="H141" s="239" t="str">
        <f>IF(F141="","",VLOOKUP(F141,'G-1 All Habitats'!$B$2:$M$130,10,FALSE))</f>
        <v/>
      </c>
      <c r="I141" s="176" t="str">
        <f>IFERROR(VLOOKUP(H141,'G-1 All Habitats'!$V$3:$W$7,2,FALSE),"")</f>
        <v/>
      </c>
      <c r="J141" s="270"/>
      <c r="K141" s="176" t="str">
        <f>IFERROR(INDEX('G-8 Condition Look up'!$A$3:$H$131,MATCH(F141,'G-8 Condition Look up'!$A$3:$A$131,0),MATCH(J141,'G-8 Condition Look up'!$A$3:$H$3,0)),"")</f>
        <v/>
      </c>
      <c r="L141" s="173"/>
      <c r="M141" s="269" t="str">
        <f>IF(L141="","",IF(VLOOKUP(L141,'G-3 Multipliers'!$L$3:$N$6,2,FALSE)=0,"Spatial Data Missing",VLOOKUP(L141,'G-3 Multipliers'!$L$3:$N$6,2,FALSE)))</f>
        <v/>
      </c>
      <c r="N141" s="172" t="str">
        <f>IF(L141="","",IF(VLOOKUP(L141,'G-3 Multipliers'!$L$3:$N$6,3,FALSE)=0,"Spatial Data Missing",VLOOKUP(L141,'G-3 Multipliers'!$L$3:$N$6,3,FALSE)))</f>
        <v/>
      </c>
      <c r="O141" s="171" t="str">
        <f t="shared" si="10"/>
        <v/>
      </c>
      <c r="P141" s="261"/>
      <c r="Q141" s="261"/>
      <c r="R141" s="343" t="str">
        <f t="shared" si="11"/>
        <v/>
      </c>
      <c r="S141" s="352" t="str">
        <f t="shared" si="12"/>
        <v/>
      </c>
      <c r="T141" s="593" t="str">
        <f>IFERROR(IF(S141="Check Data","Check Data",VLOOKUP(S141,'G-4 Temporal multipliers'!$A$4:$C$37,3,FALSE)),"")</f>
        <v/>
      </c>
      <c r="U141" s="592" t="str">
        <f>IF(F141="","",VLOOKUP(F141,'G-3 Multipliers'!$A$2:$E$130,2,FALSE))</f>
        <v/>
      </c>
      <c r="V141" s="343" t="str">
        <f t="shared" si="13"/>
        <v/>
      </c>
      <c r="W141" s="343" t="str">
        <f>IF(E141="","",IF(AND(V141="Standard difficulty applied",O141&gt;P141),U141,IF(AND(V141="Low Difficulty - only applicable if all habitat created before losses",P141&gt;=O141),"Low",VLOOKUP(F141,'G-3 Multipliers'!$A$2:$E$130,4,FALSE))))</f>
        <v/>
      </c>
      <c r="X141" s="345" t="str">
        <f>IFERROR(IF(E141="","",VLOOKUP(W141, 'G-3 Multipliers'!$P$2:$Q$6,2,FALSE)),””)</f>
        <v/>
      </c>
      <c r="Y141" s="266"/>
      <c r="Z141" s="172" t="str">
        <f>IF(Y141="","",IF(VLOOKUP(Y141,'G-3 Multipliers'!$S$3:$T$9,2,FALSE)=0,"Spatial Data Missing",VLOOKUP(Y141,'G-3 Multipliers'!$S$3:$T$9,2,FALSE)))</f>
        <v/>
      </c>
      <c r="AA141" s="265" t="str">
        <f t="shared" si="14"/>
        <v/>
      </c>
      <c r="AB141" s="180"/>
      <c r="AC141" s="181"/>
    </row>
    <row r="142" spans="1:29" ht="13.8" x14ac:dyDescent="0.25">
      <c r="A142" s="35" t="str">
        <f>IFERROR(INDEX('G-8 Condition Look up'!$I$4:$I$131,MATCH(F142,'G-8 Condition Look up'!$A$4:$A$131,0)),"")</f>
        <v/>
      </c>
      <c r="C142" s="363" t="str">
        <f>IFERROR(INDEX('G-1 All Habitats'!$AG$3:$AG$15,MATCH(D142,'G-1 All Habitats'!$AF$3:$AF$15,0)),"")</f>
        <v/>
      </c>
      <c r="D142" s="186"/>
      <c r="E142" s="275"/>
      <c r="F142" s="362" t="str">
        <f>IFERROR(INDEX('G-1 All Habitats'!$B$3:$B$130,MATCH(E142,'G-1 All Habitats'!$A$3:$A$130,0)),"")</f>
        <v/>
      </c>
      <c r="G142" s="598"/>
      <c r="H142" s="239" t="str">
        <f>IF(F142="","",VLOOKUP(F142,'G-1 All Habitats'!$B$2:$M$130,10,FALSE))</f>
        <v/>
      </c>
      <c r="I142" s="176" t="str">
        <f>IFERROR(VLOOKUP(H142,'G-1 All Habitats'!$V$3:$W$7,2,FALSE),"")</f>
        <v/>
      </c>
      <c r="J142" s="270"/>
      <c r="K142" s="176" t="str">
        <f>IFERROR(INDEX('G-8 Condition Look up'!$A$3:$H$131,MATCH(F142,'G-8 Condition Look up'!$A$3:$A$131,0),MATCH(J142,'G-8 Condition Look up'!$A$3:$H$3,0)),"")</f>
        <v/>
      </c>
      <c r="L142" s="173"/>
      <c r="M142" s="269" t="str">
        <f>IF(L142="","",IF(VLOOKUP(L142,'G-3 Multipliers'!$L$3:$N$6,2,FALSE)=0,"Spatial Data Missing",VLOOKUP(L142,'G-3 Multipliers'!$L$3:$N$6,2,FALSE)))</f>
        <v/>
      </c>
      <c r="N142" s="172" t="str">
        <f>IF(L142="","",IF(VLOOKUP(L142,'G-3 Multipliers'!$L$3:$N$6,3,FALSE)=0,"Spatial Data Missing",VLOOKUP(L142,'G-3 Multipliers'!$L$3:$N$6,3,FALSE)))</f>
        <v/>
      </c>
      <c r="O142" s="171" t="str">
        <f t="shared" si="10"/>
        <v/>
      </c>
      <c r="P142" s="261"/>
      <c r="Q142" s="261"/>
      <c r="R142" s="343" t="str">
        <f t="shared" si="11"/>
        <v/>
      </c>
      <c r="S142" s="352" t="str">
        <f t="shared" si="12"/>
        <v/>
      </c>
      <c r="T142" s="593" t="str">
        <f>IFERROR(IF(S142="Check Data","Check Data",VLOOKUP(S142,'G-4 Temporal multipliers'!$A$4:$C$37,3,FALSE)),"")</f>
        <v/>
      </c>
      <c r="U142" s="592" t="str">
        <f>IF(F142="","",VLOOKUP(F142,'G-3 Multipliers'!$A$2:$E$130,2,FALSE))</f>
        <v/>
      </c>
      <c r="V142" s="343" t="str">
        <f t="shared" si="13"/>
        <v/>
      </c>
      <c r="W142" s="343" t="str">
        <f>IF(E142="","",IF(AND(V142="Standard difficulty applied",O142&gt;P142),U142,IF(AND(V142="Low Difficulty - only applicable if all habitat created before losses",P142&gt;=O142),"Low",VLOOKUP(F142,'G-3 Multipliers'!$A$2:$E$130,4,FALSE))))</f>
        <v/>
      </c>
      <c r="X142" s="345" t="str">
        <f>IFERROR(IF(E142="","",VLOOKUP(W142, 'G-3 Multipliers'!$P$2:$Q$6,2,FALSE)),””)</f>
        <v/>
      </c>
      <c r="Y142" s="266"/>
      <c r="Z142" s="172" t="str">
        <f>IF(Y142="","",IF(VLOOKUP(Y142,'G-3 Multipliers'!$S$3:$T$9,2,FALSE)=0,"Spatial Data Missing",VLOOKUP(Y142,'G-3 Multipliers'!$S$3:$T$9,2,FALSE)))</f>
        <v/>
      </c>
      <c r="AA142" s="265" t="str">
        <f t="shared" si="14"/>
        <v/>
      </c>
      <c r="AB142" s="180"/>
      <c r="AC142" s="181"/>
    </row>
    <row r="143" spans="1:29" ht="13.8" x14ac:dyDescent="0.25">
      <c r="A143" s="35" t="str">
        <f>IFERROR(INDEX('G-8 Condition Look up'!$I$4:$I$131,MATCH(F143,'G-8 Condition Look up'!$A$4:$A$131,0)),"")</f>
        <v/>
      </c>
      <c r="C143" s="363" t="str">
        <f>IFERROR(INDEX('G-1 All Habitats'!$AG$3:$AG$15,MATCH(D143,'G-1 All Habitats'!$AF$3:$AF$15,0)),"")</f>
        <v/>
      </c>
      <c r="D143" s="186"/>
      <c r="E143" s="275"/>
      <c r="F143" s="362" t="str">
        <f>IFERROR(INDEX('G-1 All Habitats'!$B$3:$B$130,MATCH(E143,'G-1 All Habitats'!$A$3:$A$130,0)),"")</f>
        <v/>
      </c>
      <c r="G143" s="598"/>
      <c r="H143" s="239" t="str">
        <f>IF(F143="","",VLOOKUP(F143,'G-1 All Habitats'!$B$2:$M$130,10,FALSE))</f>
        <v/>
      </c>
      <c r="I143" s="176" t="str">
        <f>IFERROR(VLOOKUP(H143,'G-1 All Habitats'!$V$3:$W$7,2,FALSE),"")</f>
        <v/>
      </c>
      <c r="J143" s="270"/>
      <c r="K143" s="176" t="str">
        <f>IFERROR(INDEX('G-8 Condition Look up'!$A$3:$H$131,MATCH(F143,'G-8 Condition Look up'!$A$3:$A$131,0),MATCH(J143,'G-8 Condition Look up'!$A$3:$H$3,0)),"")</f>
        <v/>
      </c>
      <c r="L143" s="173"/>
      <c r="M143" s="269" t="str">
        <f>IF(L143="","",IF(VLOOKUP(L143,'G-3 Multipliers'!$L$3:$N$6,2,FALSE)=0,"Spatial Data Missing",VLOOKUP(L143,'G-3 Multipliers'!$L$3:$N$6,2,FALSE)))</f>
        <v/>
      </c>
      <c r="N143" s="172" t="str">
        <f>IF(L143="","",IF(VLOOKUP(L143,'G-3 Multipliers'!$L$3:$N$6,3,FALSE)=0,"Spatial Data Missing",VLOOKUP(L143,'G-3 Multipliers'!$L$3:$N$6,3,FALSE)))</f>
        <v/>
      </c>
      <c r="O143" s="171" t="str">
        <f t="shared" si="10"/>
        <v/>
      </c>
      <c r="P143" s="261"/>
      <c r="Q143" s="261"/>
      <c r="R143" s="343" t="str">
        <f t="shared" si="11"/>
        <v/>
      </c>
      <c r="S143" s="352" t="str">
        <f t="shared" si="12"/>
        <v/>
      </c>
      <c r="T143" s="593" t="str">
        <f>IFERROR(IF(S143="Check Data","Check Data",VLOOKUP(S143,'G-4 Temporal multipliers'!$A$4:$C$37,3,FALSE)),"")</f>
        <v/>
      </c>
      <c r="U143" s="592" t="str">
        <f>IF(F143="","",VLOOKUP(F143,'G-3 Multipliers'!$A$2:$E$130,2,FALSE))</f>
        <v/>
      </c>
      <c r="V143" s="343" t="str">
        <f t="shared" si="13"/>
        <v/>
      </c>
      <c r="W143" s="343" t="str">
        <f>IF(E143="","",IF(AND(V143="Standard difficulty applied",O143&gt;P143),U143,IF(AND(V143="Low Difficulty - only applicable if all habitat created before losses",P143&gt;=O143),"Low",VLOOKUP(F143,'G-3 Multipliers'!$A$2:$E$130,4,FALSE))))</f>
        <v/>
      </c>
      <c r="X143" s="345" t="str">
        <f>IFERROR(IF(E143="","",VLOOKUP(W143, 'G-3 Multipliers'!$P$2:$Q$6,2,FALSE)),””)</f>
        <v/>
      </c>
      <c r="Y143" s="266"/>
      <c r="Z143" s="172" t="str">
        <f>IF(Y143="","",IF(VLOOKUP(Y143,'G-3 Multipliers'!$S$3:$T$9,2,FALSE)=0,"Spatial Data Missing",VLOOKUP(Y143,'G-3 Multipliers'!$S$3:$T$9,2,FALSE)))</f>
        <v/>
      </c>
      <c r="AA143" s="265" t="str">
        <f t="shared" si="14"/>
        <v/>
      </c>
      <c r="AB143" s="180"/>
      <c r="AC143" s="181"/>
    </row>
    <row r="144" spans="1:29" ht="13.8" x14ac:dyDescent="0.25">
      <c r="A144" s="35" t="str">
        <f>IFERROR(INDEX('G-8 Condition Look up'!$I$4:$I$131,MATCH(F144,'G-8 Condition Look up'!$A$4:$A$131,0)),"")</f>
        <v/>
      </c>
      <c r="C144" s="363" t="str">
        <f>IFERROR(INDEX('G-1 All Habitats'!$AG$3:$AG$15,MATCH(D144,'G-1 All Habitats'!$AF$3:$AF$15,0)),"")</f>
        <v/>
      </c>
      <c r="D144" s="186"/>
      <c r="E144" s="275"/>
      <c r="F144" s="362" t="str">
        <f>IFERROR(INDEX('G-1 All Habitats'!$B$3:$B$130,MATCH(E144,'G-1 All Habitats'!$A$3:$A$130,0)),"")</f>
        <v/>
      </c>
      <c r="G144" s="598"/>
      <c r="H144" s="239" t="str">
        <f>IF(F144="","",VLOOKUP(F144,'G-1 All Habitats'!$B$2:$M$130,10,FALSE))</f>
        <v/>
      </c>
      <c r="I144" s="176" t="str">
        <f>IFERROR(VLOOKUP(H144,'G-1 All Habitats'!$V$3:$W$7,2,FALSE),"")</f>
        <v/>
      </c>
      <c r="J144" s="270"/>
      <c r="K144" s="176" t="str">
        <f>IFERROR(INDEX('G-8 Condition Look up'!$A$3:$H$131,MATCH(F144,'G-8 Condition Look up'!$A$3:$A$131,0),MATCH(J144,'G-8 Condition Look up'!$A$3:$H$3,0)),"")</f>
        <v/>
      </c>
      <c r="L144" s="173"/>
      <c r="M144" s="269" t="str">
        <f>IF(L144="","",IF(VLOOKUP(L144,'G-3 Multipliers'!$L$3:$N$6,2,FALSE)=0,"Spatial Data Missing",VLOOKUP(L144,'G-3 Multipliers'!$L$3:$N$6,2,FALSE)))</f>
        <v/>
      </c>
      <c r="N144" s="172" t="str">
        <f>IF(L144="","",IF(VLOOKUP(L144,'G-3 Multipliers'!$L$3:$N$6,3,FALSE)=0,"Spatial Data Missing",VLOOKUP(L144,'G-3 Multipliers'!$L$3:$N$6,3,FALSE)))</f>
        <v/>
      </c>
      <c r="O144" s="171" t="str">
        <f t="shared" si="10"/>
        <v/>
      </c>
      <c r="P144" s="261"/>
      <c r="Q144" s="261"/>
      <c r="R144" s="343" t="str">
        <f t="shared" si="11"/>
        <v/>
      </c>
      <c r="S144" s="352" t="str">
        <f t="shared" si="12"/>
        <v/>
      </c>
      <c r="T144" s="593" t="str">
        <f>IFERROR(IF(S144="Check Data","Check Data",VLOOKUP(S144,'G-4 Temporal multipliers'!$A$4:$C$37,3,FALSE)),"")</f>
        <v/>
      </c>
      <c r="U144" s="592" t="str">
        <f>IF(F144="","",VLOOKUP(F144,'G-3 Multipliers'!$A$2:$E$130,2,FALSE))</f>
        <v/>
      </c>
      <c r="V144" s="343" t="str">
        <f t="shared" si="13"/>
        <v/>
      </c>
      <c r="W144" s="343" t="str">
        <f>IF(E144="","",IF(AND(V144="Standard difficulty applied",O144&gt;P144),U144,IF(AND(V144="Low Difficulty - only applicable if all habitat created before losses",P144&gt;=O144),"Low",VLOOKUP(F144,'G-3 Multipliers'!$A$2:$E$130,4,FALSE))))</f>
        <v/>
      </c>
      <c r="X144" s="345" t="str">
        <f>IFERROR(IF(E144="","",VLOOKUP(W144, 'G-3 Multipliers'!$P$2:$Q$6,2,FALSE)),””)</f>
        <v/>
      </c>
      <c r="Y144" s="266"/>
      <c r="Z144" s="172" t="str">
        <f>IF(Y144="","",IF(VLOOKUP(Y144,'G-3 Multipliers'!$S$3:$T$9,2,FALSE)=0,"Spatial Data Missing",VLOOKUP(Y144,'G-3 Multipliers'!$S$3:$T$9,2,FALSE)))</f>
        <v/>
      </c>
      <c r="AA144" s="265" t="str">
        <f t="shared" si="14"/>
        <v/>
      </c>
      <c r="AB144" s="180"/>
      <c r="AC144" s="181"/>
    </row>
    <row r="145" spans="1:29" ht="13.8" x14ac:dyDescent="0.25">
      <c r="A145" s="35" t="str">
        <f>IFERROR(INDEX('G-8 Condition Look up'!$I$4:$I$131,MATCH(F145,'G-8 Condition Look up'!$A$4:$A$131,0)),"")</f>
        <v/>
      </c>
      <c r="C145" s="363" t="str">
        <f>IFERROR(INDEX('G-1 All Habitats'!$AG$3:$AG$15,MATCH(D145,'G-1 All Habitats'!$AF$3:$AF$15,0)),"")</f>
        <v/>
      </c>
      <c r="D145" s="186"/>
      <c r="E145" s="275"/>
      <c r="F145" s="362" t="str">
        <f>IFERROR(INDEX('G-1 All Habitats'!$B$3:$B$130,MATCH(E145,'G-1 All Habitats'!$A$3:$A$130,0)),"")</f>
        <v/>
      </c>
      <c r="G145" s="598"/>
      <c r="H145" s="239" t="str">
        <f>IF(F145="","",VLOOKUP(F145,'G-1 All Habitats'!$B$2:$M$130,10,FALSE))</f>
        <v/>
      </c>
      <c r="I145" s="176" t="str">
        <f>IFERROR(VLOOKUP(H145,'G-1 All Habitats'!$V$3:$W$7,2,FALSE),"")</f>
        <v/>
      </c>
      <c r="J145" s="270"/>
      <c r="K145" s="176" t="str">
        <f>IFERROR(INDEX('G-8 Condition Look up'!$A$3:$H$131,MATCH(F145,'G-8 Condition Look up'!$A$3:$A$131,0),MATCH(J145,'G-8 Condition Look up'!$A$3:$H$3,0)),"")</f>
        <v/>
      </c>
      <c r="L145" s="173"/>
      <c r="M145" s="269" t="str">
        <f>IF(L145="","",IF(VLOOKUP(L145,'G-3 Multipliers'!$L$3:$N$6,2,FALSE)=0,"Spatial Data Missing",VLOOKUP(L145,'G-3 Multipliers'!$L$3:$N$6,2,FALSE)))</f>
        <v/>
      </c>
      <c r="N145" s="172" t="str">
        <f>IF(L145="","",IF(VLOOKUP(L145,'G-3 Multipliers'!$L$3:$N$6,3,FALSE)=0,"Spatial Data Missing",VLOOKUP(L145,'G-3 Multipliers'!$L$3:$N$6,3,FALSE)))</f>
        <v/>
      </c>
      <c r="O145" s="171" t="str">
        <f t="shared" si="10"/>
        <v/>
      </c>
      <c r="P145" s="261"/>
      <c r="Q145" s="261"/>
      <c r="R145" s="343" t="str">
        <f t="shared" si="11"/>
        <v/>
      </c>
      <c r="S145" s="352" t="str">
        <f t="shared" si="12"/>
        <v/>
      </c>
      <c r="T145" s="593" t="str">
        <f>IFERROR(IF(S145="Check Data","Check Data",VLOOKUP(S145,'G-4 Temporal multipliers'!$A$4:$C$37,3,FALSE)),"")</f>
        <v/>
      </c>
      <c r="U145" s="592" t="str">
        <f>IF(F145="","",VLOOKUP(F145,'G-3 Multipliers'!$A$2:$E$130,2,FALSE))</f>
        <v/>
      </c>
      <c r="V145" s="343" t="str">
        <f t="shared" si="13"/>
        <v/>
      </c>
      <c r="W145" s="343" t="str">
        <f>IF(E145="","",IF(AND(V145="Standard difficulty applied",O145&gt;P145),U145,IF(AND(V145="Low Difficulty - only applicable if all habitat created before losses",P145&gt;=O145),"Low",VLOOKUP(F145,'G-3 Multipliers'!$A$2:$E$130,4,FALSE))))</f>
        <v/>
      </c>
      <c r="X145" s="345" t="str">
        <f>IFERROR(IF(E145="","",VLOOKUP(W145, 'G-3 Multipliers'!$P$2:$Q$6,2,FALSE)),””)</f>
        <v/>
      </c>
      <c r="Y145" s="266"/>
      <c r="Z145" s="172" t="str">
        <f>IF(Y145="","",IF(VLOOKUP(Y145,'G-3 Multipliers'!$S$3:$T$9,2,FALSE)=0,"Spatial Data Missing",VLOOKUP(Y145,'G-3 Multipliers'!$S$3:$T$9,2,FALSE)))</f>
        <v/>
      </c>
      <c r="AA145" s="265" t="str">
        <f t="shared" si="14"/>
        <v/>
      </c>
      <c r="AB145" s="180"/>
      <c r="AC145" s="181"/>
    </row>
    <row r="146" spans="1:29" ht="13.8" x14ac:dyDescent="0.25">
      <c r="A146" s="35" t="str">
        <f>IFERROR(INDEX('G-8 Condition Look up'!$I$4:$I$131,MATCH(F146,'G-8 Condition Look up'!$A$4:$A$131,0)),"")</f>
        <v/>
      </c>
      <c r="C146" s="363" t="str">
        <f>IFERROR(INDEX('G-1 All Habitats'!$AG$3:$AG$15,MATCH(D146,'G-1 All Habitats'!$AF$3:$AF$15,0)),"")</f>
        <v/>
      </c>
      <c r="D146" s="186"/>
      <c r="E146" s="275"/>
      <c r="F146" s="362" t="str">
        <f>IFERROR(INDEX('G-1 All Habitats'!$B$3:$B$130,MATCH(E146,'G-1 All Habitats'!$A$3:$A$130,0)),"")</f>
        <v/>
      </c>
      <c r="G146" s="598"/>
      <c r="H146" s="239" t="str">
        <f>IF(F146="","",VLOOKUP(F146,'G-1 All Habitats'!$B$2:$M$130,10,FALSE))</f>
        <v/>
      </c>
      <c r="I146" s="176" t="str">
        <f>IFERROR(VLOOKUP(H146,'G-1 All Habitats'!$V$3:$W$7,2,FALSE),"")</f>
        <v/>
      </c>
      <c r="J146" s="270"/>
      <c r="K146" s="176" t="str">
        <f>IFERROR(INDEX('G-8 Condition Look up'!$A$3:$H$131,MATCH(F146,'G-8 Condition Look up'!$A$3:$A$131,0),MATCH(J146,'G-8 Condition Look up'!$A$3:$H$3,0)),"")</f>
        <v/>
      </c>
      <c r="L146" s="173"/>
      <c r="M146" s="269" t="str">
        <f>IF(L146="","",IF(VLOOKUP(L146,'G-3 Multipliers'!$L$3:$N$6,2,FALSE)=0,"Spatial Data Missing",VLOOKUP(L146,'G-3 Multipliers'!$L$3:$N$6,2,FALSE)))</f>
        <v/>
      </c>
      <c r="N146" s="172" t="str">
        <f>IF(L146="","",IF(VLOOKUP(L146,'G-3 Multipliers'!$L$3:$N$6,3,FALSE)=0,"Spatial Data Missing",VLOOKUP(L146,'G-3 Multipliers'!$L$3:$N$6,3,FALSE)))</f>
        <v/>
      </c>
      <c r="O146" s="171" t="str">
        <f t="shared" si="10"/>
        <v/>
      </c>
      <c r="P146" s="261"/>
      <c r="Q146" s="261"/>
      <c r="R146" s="343" t="str">
        <f t="shared" si="11"/>
        <v/>
      </c>
      <c r="S146" s="352" t="str">
        <f t="shared" si="12"/>
        <v/>
      </c>
      <c r="T146" s="593" t="str">
        <f>IFERROR(IF(S146="Check Data","Check Data",VLOOKUP(S146,'G-4 Temporal multipliers'!$A$4:$C$37,3,FALSE)),"")</f>
        <v/>
      </c>
      <c r="U146" s="592" t="str">
        <f>IF(F146="","",VLOOKUP(F146,'G-3 Multipliers'!$A$2:$E$130,2,FALSE))</f>
        <v/>
      </c>
      <c r="V146" s="343" t="str">
        <f t="shared" si="13"/>
        <v/>
      </c>
      <c r="W146" s="343" t="str">
        <f>IF(E146="","",IF(AND(V146="Standard difficulty applied",O146&gt;P146),U146,IF(AND(V146="Low Difficulty - only applicable if all habitat created before losses",P146&gt;=O146),"Low",VLOOKUP(F146,'G-3 Multipliers'!$A$2:$E$130,4,FALSE))))</f>
        <v/>
      </c>
      <c r="X146" s="345" t="str">
        <f>IFERROR(IF(E146="","",VLOOKUP(W146, 'G-3 Multipliers'!$P$2:$Q$6,2,FALSE)),””)</f>
        <v/>
      </c>
      <c r="Y146" s="266"/>
      <c r="Z146" s="172" t="str">
        <f>IF(Y146="","",IF(VLOOKUP(Y146,'G-3 Multipliers'!$S$3:$T$9,2,FALSE)=0,"Spatial Data Missing",VLOOKUP(Y146,'G-3 Multipliers'!$S$3:$T$9,2,FALSE)))</f>
        <v/>
      </c>
      <c r="AA146" s="265" t="str">
        <f t="shared" si="14"/>
        <v/>
      </c>
      <c r="AB146" s="180"/>
      <c r="AC146" s="181"/>
    </row>
    <row r="147" spans="1:29" ht="13.8" x14ac:dyDescent="0.25">
      <c r="A147" s="35" t="str">
        <f>IFERROR(INDEX('G-8 Condition Look up'!$I$4:$I$131,MATCH(F147,'G-8 Condition Look up'!$A$4:$A$131,0)),"")</f>
        <v/>
      </c>
      <c r="C147" s="363" t="str">
        <f>IFERROR(INDEX('G-1 All Habitats'!$AG$3:$AG$15,MATCH(D147,'G-1 All Habitats'!$AF$3:$AF$15,0)),"")</f>
        <v/>
      </c>
      <c r="D147" s="186"/>
      <c r="E147" s="275"/>
      <c r="F147" s="362" t="str">
        <f>IFERROR(INDEX('G-1 All Habitats'!$B$3:$B$130,MATCH(E147,'G-1 All Habitats'!$A$3:$A$130,0)),"")</f>
        <v/>
      </c>
      <c r="G147" s="598"/>
      <c r="H147" s="239" t="str">
        <f>IF(F147="","",VLOOKUP(F147,'G-1 All Habitats'!$B$2:$M$130,10,FALSE))</f>
        <v/>
      </c>
      <c r="I147" s="176" t="str">
        <f>IFERROR(VLOOKUP(H147,'G-1 All Habitats'!$V$3:$W$7,2,FALSE),"")</f>
        <v/>
      </c>
      <c r="J147" s="270"/>
      <c r="K147" s="176" t="str">
        <f>IFERROR(INDEX('G-8 Condition Look up'!$A$3:$H$131,MATCH(F147,'G-8 Condition Look up'!$A$3:$A$131,0),MATCH(J147,'G-8 Condition Look up'!$A$3:$H$3,0)),"")</f>
        <v/>
      </c>
      <c r="L147" s="173"/>
      <c r="M147" s="269" t="str">
        <f>IF(L147="","",IF(VLOOKUP(L147,'G-3 Multipliers'!$L$3:$N$6,2,FALSE)=0,"Spatial Data Missing",VLOOKUP(L147,'G-3 Multipliers'!$L$3:$N$6,2,FALSE)))</f>
        <v/>
      </c>
      <c r="N147" s="172" t="str">
        <f>IF(L147="","",IF(VLOOKUP(L147,'G-3 Multipliers'!$L$3:$N$6,3,FALSE)=0,"Spatial Data Missing",VLOOKUP(L147,'G-3 Multipliers'!$L$3:$N$6,3,FALSE)))</f>
        <v/>
      </c>
      <c r="O147" s="171" t="str">
        <f t="shared" si="10"/>
        <v/>
      </c>
      <c r="P147" s="261"/>
      <c r="Q147" s="261"/>
      <c r="R147" s="343" t="str">
        <f t="shared" si="11"/>
        <v/>
      </c>
      <c r="S147" s="352" t="str">
        <f t="shared" si="12"/>
        <v/>
      </c>
      <c r="T147" s="593" t="str">
        <f>IFERROR(IF(S147="Check Data","Check Data",VLOOKUP(S147,'G-4 Temporal multipliers'!$A$4:$C$37,3,FALSE)),"")</f>
        <v/>
      </c>
      <c r="U147" s="592" t="str">
        <f>IF(F147="","",VLOOKUP(F147,'G-3 Multipliers'!$A$2:$E$130,2,FALSE))</f>
        <v/>
      </c>
      <c r="V147" s="343" t="str">
        <f t="shared" si="13"/>
        <v/>
      </c>
      <c r="W147" s="343" t="str">
        <f>IF(E147="","",IF(AND(V147="Standard difficulty applied",O147&gt;P147),U147,IF(AND(V147="Low Difficulty - only applicable if all habitat created before losses",P147&gt;=O147),"Low",VLOOKUP(F147,'G-3 Multipliers'!$A$2:$E$130,4,FALSE))))</f>
        <v/>
      </c>
      <c r="X147" s="345" t="str">
        <f>IFERROR(IF(E147="","",VLOOKUP(W147, 'G-3 Multipliers'!$P$2:$Q$6,2,FALSE)),””)</f>
        <v/>
      </c>
      <c r="Y147" s="266"/>
      <c r="Z147" s="172" t="str">
        <f>IF(Y147="","",IF(VLOOKUP(Y147,'G-3 Multipliers'!$S$3:$T$9,2,FALSE)=0,"Spatial Data Missing",VLOOKUP(Y147,'G-3 Multipliers'!$S$3:$T$9,2,FALSE)))</f>
        <v/>
      </c>
      <c r="AA147" s="265" t="str">
        <f t="shared" si="14"/>
        <v/>
      </c>
      <c r="AB147" s="180"/>
      <c r="AC147" s="181"/>
    </row>
    <row r="148" spans="1:29" ht="13.8" x14ac:dyDescent="0.25">
      <c r="A148" s="35" t="str">
        <f>IFERROR(INDEX('G-8 Condition Look up'!$I$4:$I$131,MATCH(F148,'G-8 Condition Look up'!$A$4:$A$131,0)),"")</f>
        <v/>
      </c>
      <c r="C148" s="363" t="str">
        <f>IFERROR(INDEX('G-1 All Habitats'!$AG$3:$AG$15,MATCH(D148,'G-1 All Habitats'!$AF$3:$AF$15,0)),"")</f>
        <v/>
      </c>
      <c r="D148" s="186"/>
      <c r="E148" s="275"/>
      <c r="F148" s="362" t="str">
        <f>IFERROR(INDEX('G-1 All Habitats'!$B$3:$B$130,MATCH(E148,'G-1 All Habitats'!$A$3:$A$130,0)),"")</f>
        <v/>
      </c>
      <c r="G148" s="598"/>
      <c r="H148" s="239" t="str">
        <f>IF(F148="","",VLOOKUP(F148,'G-1 All Habitats'!$B$2:$M$130,10,FALSE))</f>
        <v/>
      </c>
      <c r="I148" s="176" t="str">
        <f>IFERROR(VLOOKUP(H148,'G-1 All Habitats'!$V$3:$W$7,2,FALSE),"")</f>
        <v/>
      </c>
      <c r="J148" s="270"/>
      <c r="K148" s="176" t="str">
        <f>IFERROR(INDEX('G-8 Condition Look up'!$A$3:$H$131,MATCH(F148,'G-8 Condition Look up'!$A$3:$A$131,0),MATCH(J148,'G-8 Condition Look up'!$A$3:$H$3,0)),"")</f>
        <v/>
      </c>
      <c r="L148" s="173"/>
      <c r="M148" s="269" t="str">
        <f>IF(L148="","",IF(VLOOKUP(L148,'G-3 Multipliers'!$L$3:$N$6,2,FALSE)=0,"Spatial Data Missing",VLOOKUP(L148,'G-3 Multipliers'!$L$3:$N$6,2,FALSE)))</f>
        <v/>
      </c>
      <c r="N148" s="172" t="str">
        <f>IF(L148="","",IF(VLOOKUP(L148,'G-3 Multipliers'!$L$3:$N$6,3,FALSE)=0,"Spatial Data Missing",VLOOKUP(L148,'G-3 Multipliers'!$L$3:$N$6,3,FALSE)))</f>
        <v/>
      </c>
      <c r="O148" s="171" t="str">
        <f t="shared" si="10"/>
        <v/>
      </c>
      <c r="P148" s="261"/>
      <c r="Q148" s="261"/>
      <c r="R148" s="343" t="str">
        <f t="shared" si="11"/>
        <v/>
      </c>
      <c r="S148" s="352" t="str">
        <f t="shared" si="12"/>
        <v/>
      </c>
      <c r="T148" s="593" t="str">
        <f>IFERROR(IF(S148="Check Data","Check Data",VLOOKUP(S148,'G-4 Temporal multipliers'!$A$4:$C$37,3,FALSE)),"")</f>
        <v/>
      </c>
      <c r="U148" s="592" t="str">
        <f>IF(F148="","",VLOOKUP(F148,'G-3 Multipliers'!$A$2:$E$130,2,FALSE))</f>
        <v/>
      </c>
      <c r="V148" s="343" t="str">
        <f t="shared" si="13"/>
        <v/>
      </c>
      <c r="W148" s="343" t="str">
        <f>IF(E148="","",IF(AND(V148="Standard difficulty applied",O148&gt;P148),U148,IF(AND(V148="Low Difficulty - only applicable if all habitat created before losses",P148&gt;=O148),"Low",VLOOKUP(F148,'G-3 Multipliers'!$A$2:$E$130,4,FALSE))))</f>
        <v/>
      </c>
      <c r="X148" s="345" t="str">
        <f>IFERROR(IF(E148="","",VLOOKUP(W148, 'G-3 Multipliers'!$P$2:$Q$6,2,FALSE)),””)</f>
        <v/>
      </c>
      <c r="Y148" s="266"/>
      <c r="Z148" s="172" t="str">
        <f>IF(Y148="","",IF(VLOOKUP(Y148,'G-3 Multipliers'!$S$3:$T$9,2,FALSE)=0,"Spatial Data Missing",VLOOKUP(Y148,'G-3 Multipliers'!$S$3:$T$9,2,FALSE)))</f>
        <v/>
      </c>
      <c r="AA148" s="265" t="str">
        <f t="shared" si="14"/>
        <v/>
      </c>
      <c r="AB148" s="180"/>
      <c r="AC148" s="181"/>
    </row>
    <row r="149" spans="1:29" ht="13.8" x14ac:dyDescent="0.25">
      <c r="A149" s="35" t="str">
        <f>IFERROR(INDEX('G-8 Condition Look up'!$I$4:$I$131,MATCH(F149,'G-8 Condition Look up'!$A$4:$A$131,0)),"")</f>
        <v/>
      </c>
      <c r="C149" s="363" t="str">
        <f>IFERROR(INDEX('G-1 All Habitats'!$AG$3:$AG$15,MATCH(D149,'G-1 All Habitats'!$AF$3:$AF$15,0)),"")</f>
        <v/>
      </c>
      <c r="D149" s="186"/>
      <c r="E149" s="275"/>
      <c r="F149" s="362" t="str">
        <f>IFERROR(INDEX('G-1 All Habitats'!$B$3:$B$130,MATCH(E149,'G-1 All Habitats'!$A$3:$A$130,0)),"")</f>
        <v/>
      </c>
      <c r="G149" s="598"/>
      <c r="H149" s="239" t="str">
        <f>IF(F149="","",VLOOKUP(F149,'G-1 All Habitats'!$B$2:$M$130,10,FALSE))</f>
        <v/>
      </c>
      <c r="I149" s="176" t="str">
        <f>IFERROR(VLOOKUP(H149,'G-1 All Habitats'!$V$3:$W$7,2,FALSE),"")</f>
        <v/>
      </c>
      <c r="J149" s="270"/>
      <c r="K149" s="176" t="str">
        <f>IFERROR(INDEX('G-8 Condition Look up'!$A$3:$H$131,MATCH(F149,'G-8 Condition Look up'!$A$3:$A$131,0),MATCH(J149,'G-8 Condition Look up'!$A$3:$H$3,0)),"")</f>
        <v/>
      </c>
      <c r="L149" s="173"/>
      <c r="M149" s="269" t="str">
        <f>IF(L149="","",IF(VLOOKUP(L149,'G-3 Multipliers'!$L$3:$N$6,2,FALSE)=0,"Spatial Data Missing",VLOOKUP(L149,'G-3 Multipliers'!$L$3:$N$6,2,FALSE)))</f>
        <v/>
      </c>
      <c r="N149" s="172" t="str">
        <f>IF(L149="","",IF(VLOOKUP(L149,'G-3 Multipliers'!$L$3:$N$6,3,FALSE)=0,"Spatial Data Missing",VLOOKUP(L149,'G-3 Multipliers'!$L$3:$N$6,3,FALSE)))</f>
        <v/>
      </c>
      <c r="O149" s="171" t="str">
        <f t="shared" si="10"/>
        <v/>
      </c>
      <c r="P149" s="261"/>
      <c r="Q149" s="261"/>
      <c r="R149" s="343" t="str">
        <f t="shared" si="11"/>
        <v/>
      </c>
      <c r="S149" s="352" t="str">
        <f t="shared" si="12"/>
        <v/>
      </c>
      <c r="T149" s="593" t="str">
        <f>IFERROR(IF(S149="Check Data","Check Data",VLOOKUP(S149,'G-4 Temporal multipliers'!$A$4:$C$37,3,FALSE)),"")</f>
        <v/>
      </c>
      <c r="U149" s="592" t="str">
        <f>IF(F149="","",VLOOKUP(F149,'G-3 Multipliers'!$A$2:$E$130,2,FALSE))</f>
        <v/>
      </c>
      <c r="V149" s="343" t="str">
        <f t="shared" si="13"/>
        <v/>
      </c>
      <c r="W149" s="343" t="str">
        <f>IF(E149="","",IF(AND(V149="Standard difficulty applied",O149&gt;P149),U149,IF(AND(V149="Low Difficulty - only applicable if all habitat created before losses",P149&gt;=O149),"Low",VLOOKUP(F149,'G-3 Multipliers'!$A$2:$E$130,4,FALSE))))</f>
        <v/>
      </c>
      <c r="X149" s="345" t="str">
        <f>IFERROR(IF(E149="","",VLOOKUP(W149, 'G-3 Multipliers'!$P$2:$Q$6,2,FALSE)),””)</f>
        <v/>
      </c>
      <c r="Y149" s="266"/>
      <c r="Z149" s="172" t="str">
        <f>IF(Y149="","",IF(VLOOKUP(Y149,'G-3 Multipliers'!$S$3:$T$9,2,FALSE)=0,"Spatial Data Missing",VLOOKUP(Y149,'G-3 Multipliers'!$S$3:$T$9,2,FALSE)))</f>
        <v/>
      </c>
      <c r="AA149" s="265" t="str">
        <f t="shared" si="14"/>
        <v/>
      </c>
      <c r="AB149" s="180"/>
      <c r="AC149" s="181"/>
    </row>
    <row r="150" spans="1:29" ht="13.8" x14ac:dyDescent="0.25">
      <c r="A150" s="35" t="str">
        <f>IFERROR(INDEX('G-8 Condition Look up'!$I$4:$I$131,MATCH(F150,'G-8 Condition Look up'!$A$4:$A$131,0)),"")</f>
        <v/>
      </c>
      <c r="C150" s="363" t="str">
        <f>IFERROR(INDEX('G-1 All Habitats'!$AG$3:$AG$15,MATCH(D150,'G-1 All Habitats'!$AF$3:$AF$15,0)),"")</f>
        <v/>
      </c>
      <c r="D150" s="186"/>
      <c r="E150" s="275"/>
      <c r="F150" s="362" t="str">
        <f>IFERROR(INDEX('G-1 All Habitats'!$B$3:$B$130,MATCH(E150,'G-1 All Habitats'!$A$3:$A$130,0)),"")</f>
        <v/>
      </c>
      <c r="G150" s="598"/>
      <c r="H150" s="239" t="str">
        <f>IF(F150="","",VLOOKUP(F150,'G-1 All Habitats'!$B$2:$M$130,10,FALSE))</f>
        <v/>
      </c>
      <c r="I150" s="176" t="str">
        <f>IFERROR(VLOOKUP(H150,'G-1 All Habitats'!$V$3:$W$7,2,FALSE),"")</f>
        <v/>
      </c>
      <c r="J150" s="270"/>
      <c r="K150" s="176" t="str">
        <f>IFERROR(INDEX('G-8 Condition Look up'!$A$3:$H$131,MATCH(F150,'G-8 Condition Look up'!$A$3:$A$131,0),MATCH(J150,'G-8 Condition Look up'!$A$3:$H$3,0)),"")</f>
        <v/>
      </c>
      <c r="L150" s="173"/>
      <c r="M150" s="269" t="str">
        <f>IF(L150="","",IF(VLOOKUP(L150,'G-3 Multipliers'!$L$3:$N$6,2,FALSE)=0,"Spatial Data Missing",VLOOKUP(L150,'G-3 Multipliers'!$L$3:$N$6,2,FALSE)))</f>
        <v/>
      </c>
      <c r="N150" s="172" t="str">
        <f>IF(L150="","",IF(VLOOKUP(L150,'G-3 Multipliers'!$L$3:$N$6,3,FALSE)=0,"Spatial Data Missing",VLOOKUP(L150,'G-3 Multipliers'!$L$3:$N$6,3,FALSE)))</f>
        <v/>
      </c>
      <c r="O150" s="171" t="str">
        <f t="shared" si="10"/>
        <v/>
      </c>
      <c r="P150" s="261"/>
      <c r="Q150" s="261"/>
      <c r="R150" s="343" t="str">
        <f t="shared" si="11"/>
        <v/>
      </c>
      <c r="S150" s="352" t="str">
        <f t="shared" si="12"/>
        <v/>
      </c>
      <c r="T150" s="593" t="str">
        <f>IFERROR(IF(S150="Check Data","Check Data",VLOOKUP(S150,'G-4 Temporal multipliers'!$A$4:$C$37,3,FALSE)),"")</f>
        <v/>
      </c>
      <c r="U150" s="592" t="str">
        <f>IF(F150="","",VLOOKUP(F150,'G-3 Multipliers'!$A$2:$E$130,2,FALSE))</f>
        <v/>
      </c>
      <c r="V150" s="343" t="str">
        <f t="shared" si="13"/>
        <v/>
      </c>
      <c r="W150" s="343" t="str">
        <f>IF(E150="","",IF(AND(V150="Standard difficulty applied",O150&gt;P150),U150,IF(AND(V150="Low Difficulty - only applicable if all habitat created before losses",P150&gt;=O150),"Low",VLOOKUP(F150,'G-3 Multipliers'!$A$2:$E$130,4,FALSE))))</f>
        <v/>
      </c>
      <c r="X150" s="345" t="str">
        <f>IFERROR(IF(E150="","",VLOOKUP(W150, 'G-3 Multipliers'!$P$2:$Q$6,2,FALSE)),””)</f>
        <v/>
      </c>
      <c r="Y150" s="266"/>
      <c r="Z150" s="172" t="str">
        <f>IF(Y150="","",IF(VLOOKUP(Y150,'G-3 Multipliers'!$S$3:$T$9,2,FALSE)=0,"Spatial Data Missing",VLOOKUP(Y150,'G-3 Multipliers'!$S$3:$T$9,2,FALSE)))</f>
        <v/>
      </c>
      <c r="AA150" s="265" t="str">
        <f t="shared" si="14"/>
        <v/>
      </c>
      <c r="AB150" s="180"/>
      <c r="AC150" s="181"/>
    </row>
    <row r="151" spans="1:29" ht="13.8" x14ac:dyDescent="0.25">
      <c r="A151" s="35" t="str">
        <f>IFERROR(INDEX('G-8 Condition Look up'!$I$4:$I$131,MATCH(F151,'G-8 Condition Look up'!$A$4:$A$131,0)),"")</f>
        <v/>
      </c>
      <c r="C151" s="363" t="str">
        <f>IFERROR(INDEX('G-1 All Habitats'!$AG$3:$AG$15,MATCH(D151,'G-1 All Habitats'!$AF$3:$AF$15,0)),"")</f>
        <v/>
      </c>
      <c r="D151" s="186"/>
      <c r="E151" s="275"/>
      <c r="F151" s="362" t="str">
        <f>IFERROR(INDEX('G-1 All Habitats'!$B$3:$B$130,MATCH(E151,'G-1 All Habitats'!$A$3:$A$130,0)),"")</f>
        <v/>
      </c>
      <c r="G151" s="598"/>
      <c r="H151" s="239" t="str">
        <f>IF(F151="","",VLOOKUP(F151,'G-1 All Habitats'!$B$2:$M$130,10,FALSE))</f>
        <v/>
      </c>
      <c r="I151" s="176" t="str">
        <f>IFERROR(VLOOKUP(H151,'G-1 All Habitats'!$V$3:$W$7,2,FALSE),"")</f>
        <v/>
      </c>
      <c r="J151" s="270"/>
      <c r="K151" s="176" t="str">
        <f>IFERROR(INDEX('G-8 Condition Look up'!$A$3:$H$131,MATCH(F151,'G-8 Condition Look up'!$A$3:$A$131,0),MATCH(J151,'G-8 Condition Look up'!$A$3:$H$3,0)),"")</f>
        <v/>
      </c>
      <c r="L151" s="173"/>
      <c r="M151" s="269" t="str">
        <f>IF(L151="","",IF(VLOOKUP(L151,'G-3 Multipliers'!$L$3:$N$6,2,FALSE)=0,"Spatial Data Missing",VLOOKUP(L151,'G-3 Multipliers'!$L$3:$N$6,2,FALSE)))</f>
        <v/>
      </c>
      <c r="N151" s="172" t="str">
        <f>IF(L151="","",IF(VLOOKUP(L151,'G-3 Multipliers'!$L$3:$N$6,3,FALSE)=0,"Spatial Data Missing",VLOOKUP(L151,'G-3 Multipliers'!$L$3:$N$6,3,FALSE)))</f>
        <v/>
      </c>
      <c r="O151" s="171" t="str">
        <f t="shared" si="10"/>
        <v/>
      </c>
      <c r="P151" s="261"/>
      <c r="Q151" s="261"/>
      <c r="R151" s="343" t="str">
        <f t="shared" si="11"/>
        <v/>
      </c>
      <c r="S151" s="352" t="str">
        <f t="shared" si="12"/>
        <v/>
      </c>
      <c r="T151" s="593" t="str">
        <f>IFERROR(IF(S151="Check Data","Check Data",VLOOKUP(S151,'G-4 Temporal multipliers'!$A$4:$C$37,3,FALSE)),"")</f>
        <v/>
      </c>
      <c r="U151" s="592" t="str">
        <f>IF(F151="","",VLOOKUP(F151,'G-3 Multipliers'!$A$2:$E$130,2,FALSE))</f>
        <v/>
      </c>
      <c r="V151" s="343" t="str">
        <f t="shared" si="13"/>
        <v/>
      </c>
      <c r="W151" s="343" t="str">
        <f>IF(E151="","",IF(AND(V151="Standard difficulty applied",O151&gt;P151),U151,IF(AND(V151="Low Difficulty - only applicable if all habitat created before losses",P151&gt;=O151),"Low",VLOOKUP(F151,'G-3 Multipliers'!$A$2:$E$130,4,FALSE))))</f>
        <v/>
      </c>
      <c r="X151" s="345" t="str">
        <f>IFERROR(IF(E151="","",VLOOKUP(W151, 'G-3 Multipliers'!$P$2:$Q$6,2,FALSE)),””)</f>
        <v/>
      </c>
      <c r="Y151" s="266"/>
      <c r="Z151" s="172" t="str">
        <f>IF(Y151="","",IF(VLOOKUP(Y151,'G-3 Multipliers'!$S$3:$T$9,2,FALSE)=0,"Spatial Data Missing",VLOOKUP(Y151,'G-3 Multipliers'!$S$3:$T$9,2,FALSE)))</f>
        <v/>
      </c>
      <c r="AA151" s="265" t="str">
        <f t="shared" si="14"/>
        <v/>
      </c>
      <c r="AB151" s="180"/>
      <c r="AC151" s="181"/>
    </row>
    <row r="152" spans="1:29" ht="13.8" x14ac:dyDescent="0.25">
      <c r="A152" s="35" t="str">
        <f>IFERROR(INDEX('G-8 Condition Look up'!$I$4:$I$131,MATCH(F152,'G-8 Condition Look up'!$A$4:$A$131,0)),"")</f>
        <v/>
      </c>
      <c r="C152" s="363" t="str">
        <f>IFERROR(INDEX('G-1 All Habitats'!$AG$3:$AG$15,MATCH(D152,'G-1 All Habitats'!$AF$3:$AF$15,0)),"")</f>
        <v/>
      </c>
      <c r="D152" s="186"/>
      <c r="E152" s="275"/>
      <c r="F152" s="362" t="str">
        <f>IFERROR(INDEX('G-1 All Habitats'!$B$3:$B$130,MATCH(E152,'G-1 All Habitats'!$A$3:$A$130,0)),"")</f>
        <v/>
      </c>
      <c r="G152" s="598"/>
      <c r="H152" s="239" t="str">
        <f>IF(F152="","",VLOOKUP(F152,'G-1 All Habitats'!$B$2:$M$130,10,FALSE))</f>
        <v/>
      </c>
      <c r="I152" s="176" t="str">
        <f>IFERROR(VLOOKUP(H152,'G-1 All Habitats'!$V$3:$W$7,2,FALSE),"")</f>
        <v/>
      </c>
      <c r="J152" s="270"/>
      <c r="K152" s="176" t="str">
        <f>IFERROR(INDEX('G-8 Condition Look up'!$A$3:$H$131,MATCH(F152,'G-8 Condition Look up'!$A$3:$A$131,0),MATCH(J152,'G-8 Condition Look up'!$A$3:$H$3,0)),"")</f>
        <v/>
      </c>
      <c r="L152" s="173"/>
      <c r="M152" s="269" t="str">
        <f>IF(L152="","",IF(VLOOKUP(L152,'G-3 Multipliers'!$L$3:$N$6,2,FALSE)=0,"Spatial Data Missing",VLOOKUP(L152,'G-3 Multipliers'!$L$3:$N$6,2,FALSE)))</f>
        <v/>
      </c>
      <c r="N152" s="172" t="str">
        <f>IF(L152="","",IF(VLOOKUP(L152,'G-3 Multipliers'!$L$3:$N$6,3,FALSE)=0,"Spatial Data Missing",VLOOKUP(L152,'G-3 Multipliers'!$L$3:$N$6,3,FALSE)))</f>
        <v/>
      </c>
      <c r="O152" s="171" t="str">
        <f t="shared" si="10"/>
        <v/>
      </c>
      <c r="P152" s="261"/>
      <c r="Q152" s="261"/>
      <c r="R152" s="343" t="str">
        <f t="shared" si="11"/>
        <v/>
      </c>
      <c r="S152" s="352" t="str">
        <f t="shared" si="12"/>
        <v/>
      </c>
      <c r="T152" s="593" t="str">
        <f>IFERROR(IF(S152="Check Data","Check Data",VLOOKUP(S152,'G-4 Temporal multipliers'!$A$4:$C$37,3,FALSE)),"")</f>
        <v/>
      </c>
      <c r="U152" s="592" t="str">
        <f>IF(F152="","",VLOOKUP(F152,'G-3 Multipliers'!$A$2:$E$130,2,FALSE))</f>
        <v/>
      </c>
      <c r="V152" s="343" t="str">
        <f t="shared" si="13"/>
        <v/>
      </c>
      <c r="W152" s="343" t="str">
        <f>IF(E152="","",IF(AND(V152="Standard difficulty applied",O152&gt;P152),U152,IF(AND(V152="Low Difficulty - only applicable if all habitat created before losses",P152&gt;=O152),"Low",VLOOKUP(F152,'G-3 Multipliers'!$A$2:$E$130,4,FALSE))))</f>
        <v/>
      </c>
      <c r="X152" s="345" t="str">
        <f>IFERROR(IF(E152="","",VLOOKUP(W152, 'G-3 Multipliers'!$P$2:$Q$6,2,FALSE)),””)</f>
        <v/>
      </c>
      <c r="Y152" s="266"/>
      <c r="Z152" s="172" t="str">
        <f>IF(Y152="","",IF(VLOOKUP(Y152,'G-3 Multipliers'!$S$3:$T$9,2,FALSE)=0,"Spatial Data Missing",VLOOKUP(Y152,'G-3 Multipliers'!$S$3:$T$9,2,FALSE)))</f>
        <v/>
      </c>
      <c r="AA152" s="265" t="str">
        <f t="shared" si="14"/>
        <v/>
      </c>
      <c r="AB152" s="180"/>
      <c r="AC152" s="181"/>
    </row>
    <row r="153" spans="1:29" ht="13.8" x14ac:dyDescent="0.25">
      <c r="A153" s="35" t="str">
        <f>IFERROR(INDEX('G-8 Condition Look up'!$I$4:$I$131,MATCH(F153,'G-8 Condition Look up'!$A$4:$A$131,0)),"")</f>
        <v/>
      </c>
      <c r="C153" s="363" t="str">
        <f>IFERROR(INDEX('G-1 All Habitats'!$AG$3:$AG$15,MATCH(D153,'G-1 All Habitats'!$AF$3:$AF$15,0)),"")</f>
        <v/>
      </c>
      <c r="D153" s="186"/>
      <c r="E153" s="275"/>
      <c r="F153" s="362" t="str">
        <f>IFERROR(INDEX('G-1 All Habitats'!$B$3:$B$130,MATCH(E153,'G-1 All Habitats'!$A$3:$A$130,0)),"")</f>
        <v/>
      </c>
      <c r="G153" s="598"/>
      <c r="H153" s="239" t="str">
        <f>IF(F153="","",VLOOKUP(F153,'G-1 All Habitats'!$B$2:$M$130,10,FALSE))</f>
        <v/>
      </c>
      <c r="I153" s="176" t="str">
        <f>IFERROR(VLOOKUP(H153,'G-1 All Habitats'!$V$3:$W$7,2,FALSE),"")</f>
        <v/>
      </c>
      <c r="J153" s="270"/>
      <c r="K153" s="176" t="str">
        <f>IFERROR(INDEX('G-8 Condition Look up'!$A$3:$H$131,MATCH(F153,'G-8 Condition Look up'!$A$3:$A$131,0),MATCH(J153,'G-8 Condition Look up'!$A$3:$H$3,0)),"")</f>
        <v/>
      </c>
      <c r="L153" s="173"/>
      <c r="M153" s="269" t="str">
        <f>IF(L153="","",IF(VLOOKUP(L153,'G-3 Multipliers'!$L$3:$N$6,2,FALSE)=0,"Spatial Data Missing",VLOOKUP(L153,'G-3 Multipliers'!$L$3:$N$6,2,FALSE)))</f>
        <v/>
      </c>
      <c r="N153" s="172" t="str">
        <f>IF(L153="","",IF(VLOOKUP(L153,'G-3 Multipliers'!$L$3:$N$6,3,FALSE)=0,"Spatial Data Missing",VLOOKUP(L153,'G-3 Multipliers'!$L$3:$N$6,3,FALSE)))</f>
        <v/>
      </c>
      <c r="O153" s="171" t="str">
        <f t="shared" si="10"/>
        <v/>
      </c>
      <c r="P153" s="261"/>
      <c r="Q153" s="261"/>
      <c r="R153" s="343" t="str">
        <f t="shared" si="11"/>
        <v/>
      </c>
      <c r="S153" s="352" t="str">
        <f t="shared" si="12"/>
        <v/>
      </c>
      <c r="T153" s="593" t="str">
        <f>IFERROR(IF(S153="Check Data","Check Data",VLOOKUP(S153,'G-4 Temporal multipliers'!$A$4:$C$37,3,FALSE)),"")</f>
        <v/>
      </c>
      <c r="U153" s="592" t="str">
        <f>IF(F153="","",VLOOKUP(F153,'G-3 Multipliers'!$A$2:$E$130,2,FALSE))</f>
        <v/>
      </c>
      <c r="V153" s="343" t="str">
        <f t="shared" si="13"/>
        <v/>
      </c>
      <c r="W153" s="343" t="str">
        <f>IF(E153="","",IF(AND(V153="Standard difficulty applied",O153&gt;P153),U153,IF(AND(V153="Low Difficulty - only applicable if all habitat created before losses",P153&gt;=O153),"Low",VLOOKUP(F153,'G-3 Multipliers'!$A$2:$E$130,4,FALSE))))</f>
        <v/>
      </c>
      <c r="X153" s="345" t="str">
        <f>IFERROR(IF(E153="","",VLOOKUP(W153, 'G-3 Multipliers'!$P$2:$Q$6,2,FALSE)),””)</f>
        <v/>
      </c>
      <c r="Y153" s="266"/>
      <c r="Z153" s="172" t="str">
        <f>IF(Y153="","",IF(VLOOKUP(Y153,'G-3 Multipliers'!$S$3:$T$9,2,FALSE)=0,"Spatial Data Missing",VLOOKUP(Y153,'G-3 Multipliers'!$S$3:$T$9,2,FALSE)))</f>
        <v/>
      </c>
      <c r="AA153" s="265" t="str">
        <f t="shared" si="14"/>
        <v/>
      </c>
      <c r="AB153" s="180"/>
      <c r="AC153" s="181"/>
    </row>
    <row r="154" spans="1:29" ht="13.8" x14ac:dyDescent="0.25">
      <c r="A154" s="35" t="str">
        <f>IFERROR(INDEX('G-8 Condition Look up'!$I$4:$I$131,MATCH(F154,'G-8 Condition Look up'!$A$4:$A$131,0)),"")</f>
        <v/>
      </c>
      <c r="C154" s="363" t="str">
        <f>IFERROR(INDEX('G-1 All Habitats'!$AG$3:$AG$15,MATCH(D154,'G-1 All Habitats'!$AF$3:$AF$15,0)),"")</f>
        <v/>
      </c>
      <c r="D154" s="186"/>
      <c r="E154" s="275"/>
      <c r="F154" s="362" t="str">
        <f>IFERROR(INDEX('G-1 All Habitats'!$B$3:$B$130,MATCH(E154,'G-1 All Habitats'!$A$3:$A$130,0)),"")</f>
        <v/>
      </c>
      <c r="G154" s="598"/>
      <c r="H154" s="239" t="str">
        <f>IF(F154="","",VLOOKUP(F154,'G-1 All Habitats'!$B$2:$M$130,10,FALSE))</f>
        <v/>
      </c>
      <c r="I154" s="176" t="str">
        <f>IFERROR(VLOOKUP(H154,'G-1 All Habitats'!$V$3:$W$7,2,FALSE),"")</f>
        <v/>
      </c>
      <c r="J154" s="270"/>
      <c r="K154" s="176" t="str">
        <f>IFERROR(INDEX('G-8 Condition Look up'!$A$3:$H$131,MATCH(F154,'G-8 Condition Look up'!$A$3:$A$131,0),MATCH(J154,'G-8 Condition Look up'!$A$3:$H$3,0)),"")</f>
        <v/>
      </c>
      <c r="L154" s="173"/>
      <c r="M154" s="269" t="str">
        <f>IF(L154="","",IF(VLOOKUP(L154,'G-3 Multipliers'!$L$3:$N$6,2,FALSE)=0,"Spatial Data Missing",VLOOKUP(L154,'G-3 Multipliers'!$L$3:$N$6,2,FALSE)))</f>
        <v/>
      </c>
      <c r="N154" s="172" t="str">
        <f>IF(L154="","",IF(VLOOKUP(L154,'G-3 Multipliers'!$L$3:$N$6,3,FALSE)=0,"Spatial Data Missing",VLOOKUP(L154,'G-3 Multipliers'!$L$3:$N$6,3,FALSE)))</f>
        <v/>
      </c>
      <c r="O154" s="171" t="str">
        <f t="shared" si="10"/>
        <v/>
      </c>
      <c r="P154" s="261"/>
      <c r="Q154" s="261"/>
      <c r="R154" s="343" t="str">
        <f t="shared" si="11"/>
        <v/>
      </c>
      <c r="S154" s="352" t="str">
        <f t="shared" si="12"/>
        <v/>
      </c>
      <c r="T154" s="593" t="str">
        <f>IFERROR(IF(S154="Check Data","Check Data",VLOOKUP(S154,'G-4 Temporal multipliers'!$A$4:$C$37,3,FALSE)),"")</f>
        <v/>
      </c>
      <c r="U154" s="592" t="str">
        <f>IF(F154="","",VLOOKUP(F154,'G-3 Multipliers'!$A$2:$E$130,2,FALSE))</f>
        <v/>
      </c>
      <c r="V154" s="343" t="str">
        <f t="shared" si="13"/>
        <v/>
      </c>
      <c r="W154" s="343" t="str">
        <f>IF(E154="","",IF(AND(V154="Standard difficulty applied",O154&gt;P154),U154,IF(AND(V154="Low Difficulty - only applicable if all habitat created before losses",P154&gt;=O154),"Low",VLOOKUP(F154,'G-3 Multipliers'!$A$2:$E$130,4,FALSE))))</f>
        <v/>
      </c>
      <c r="X154" s="345" t="str">
        <f>IFERROR(IF(E154="","",VLOOKUP(W154, 'G-3 Multipliers'!$P$2:$Q$6,2,FALSE)),””)</f>
        <v/>
      </c>
      <c r="Y154" s="266"/>
      <c r="Z154" s="172" t="str">
        <f>IF(Y154="","",IF(VLOOKUP(Y154,'G-3 Multipliers'!$S$3:$T$9,2,FALSE)=0,"Spatial Data Missing",VLOOKUP(Y154,'G-3 Multipliers'!$S$3:$T$9,2,FALSE)))</f>
        <v/>
      </c>
      <c r="AA154" s="265" t="str">
        <f t="shared" si="14"/>
        <v/>
      </c>
      <c r="AB154" s="180"/>
      <c r="AC154" s="181"/>
    </row>
    <row r="155" spans="1:29" ht="13.8" x14ac:dyDescent="0.25">
      <c r="A155" s="35" t="str">
        <f>IFERROR(INDEX('G-8 Condition Look up'!$I$4:$I$131,MATCH(F155,'G-8 Condition Look up'!$A$4:$A$131,0)),"")</f>
        <v/>
      </c>
      <c r="C155" s="363" t="str">
        <f>IFERROR(INDEX('G-1 All Habitats'!$AG$3:$AG$15,MATCH(D155,'G-1 All Habitats'!$AF$3:$AF$15,0)),"")</f>
        <v/>
      </c>
      <c r="D155" s="186"/>
      <c r="E155" s="275"/>
      <c r="F155" s="362" t="str">
        <f>IFERROR(INDEX('G-1 All Habitats'!$B$3:$B$130,MATCH(E155,'G-1 All Habitats'!$A$3:$A$130,0)),"")</f>
        <v/>
      </c>
      <c r="G155" s="598"/>
      <c r="H155" s="239" t="str">
        <f>IF(F155="","",VLOOKUP(F155,'G-1 All Habitats'!$B$2:$M$130,10,FALSE))</f>
        <v/>
      </c>
      <c r="I155" s="176" t="str">
        <f>IFERROR(VLOOKUP(H155,'G-1 All Habitats'!$V$3:$W$7,2,FALSE),"")</f>
        <v/>
      </c>
      <c r="J155" s="270"/>
      <c r="K155" s="176" t="str">
        <f>IFERROR(INDEX('G-8 Condition Look up'!$A$3:$H$131,MATCH(F155,'G-8 Condition Look up'!$A$3:$A$131,0),MATCH(J155,'G-8 Condition Look up'!$A$3:$H$3,0)),"")</f>
        <v/>
      </c>
      <c r="L155" s="173"/>
      <c r="M155" s="269" t="str">
        <f>IF(L155="","",IF(VLOOKUP(L155,'G-3 Multipliers'!$L$3:$N$6,2,FALSE)=0,"Spatial Data Missing",VLOOKUP(L155,'G-3 Multipliers'!$L$3:$N$6,2,FALSE)))</f>
        <v/>
      </c>
      <c r="N155" s="172" t="str">
        <f>IF(L155="","",IF(VLOOKUP(L155,'G-3 Multipliers'!$L$3:$N$6,3,FALSE)=0,"Spatial Data Missing",VLOOKUP(L155,'G-3 Multipliers'!$L$3:$N$6,3,FALSE)))</f>
        <v/>
      </c>
      <c r="O155" s="171" t="str">
        <f t="shared" si="10"/>
        <v/>
      </c>
      <c r="P155" s="261"/>
      <c r="Q155" s="261"/>
      <c r="R155" s="343" t="str">
        <f t="shared" si="11"/>
        <v/>
      </c>
      <c r="S155" s="352" t="str">
        <f t="shared" si="12"/>
        <v/>
      </c>
      <c r="T155" s="593" t="str">
        <f>IFERROR(IF(S155="Check Data","Check Data",VLOOKUP(S155,'G-4 Temporal multipliers'!$A$4:$C$37,3,FALSE)),"")</f>
        <v/>
      </c>
      <c r="U155" s="592" t="str">
        <f>IF(F155="","",VLOOKUP(F155,'G-3 Multipliers'!$A$2:$E$130,2,FALSE))</f>
        <v/>
      </c>
      <c r="V155" s="343" t="str">
        <f t="shared" si="13"/>
        <v/>
      </c>
      <c r="W155" s="343" t="str">
        <f>IF(E155="","",IF(AND(V155="Standard difficulty applied",O155&gt;P155),U155,IF(AND(V155="Low Difficulty - only applicable if all habitat created before losses",P155&gt;=O155),"Low",VLOOKUP(F155,'G-3 Multipliers'!$A$2:$E$130,4,FALSE))))</f>
        <v/>
      </c>
      <c r="X155" s="345" t="str">
        <f>IFERROR(IF(E155="","",VLOOKUP(W155, 'G-3 Multipliers'!$P$2:$Q$6,2,FALSE)),””)</f>
        <v/>
      </c>
      <c r="Y155" s="266"/>
      <c r="Z155" s="172" t="str">
        <f>IF(Y155="","",IF(VLOOKUP(Y155,'G-3 Multipliers'!$S$3:$T$9,2,FALSE)=0,"Spatial Data Missing",VLOOKUP(Y155,'G-3 Multipliers'!$S$3:$T$9,2,FALSE)))</f>
        <v/>
      </c>
      <c r="AA155" s="265" t="str">
        <f t="shared" si="14"/>
        <v/>
      </c>
      <c r="AB155" s="180"/>
      <c r="AC155" s="181"/>
    </row>
    <row r="156" spans="1:29" ht="13.8" x14ac:dyDescent="0.25">
      <c r="A156" s="35" t="str">
        <f>IFERROR(INDEX('G-8 Condition Look up'!$I$4:$I$131,MATCH(F156,'G-8 Condition Look up'!$A$4:$A$131,0)),"")</f>
        <v/>
      </c>
      <c r="C156" s="363" t="str">
        <f>IFERROR(INDEX('G-1 All Habitats'!$AG$3:$AG$15,MATCH(D156,'G-1 All Habitats'!$AF$3:$AF$15,0)),"")</f>
        <v/>
      </c>
      <c r="D156" s="186"/>
      <c r="E156" s="275"/>
      <c r="F156" s="362" t="str">
        <f>IFERROR(INDEX('G-1 All Habitats'!$B$3:$B$130,MATCH(E156,'G-1 All Habitats'!$A$3:$A$130,0)),"")</f>
        <v/>
      </c>
      <c r="G156" s="598"/>
      <c r="H156" s="239" t="str">
        <f>IF(F156="","",VLOOKUP(F156,'G-1 All Habitats'!$B$2:$M$130,10,FALSE))</f>
        <v/>
      </c>
      <c r="I156" s="176" t="str">
        <f>IFERROR(VLOOKUP(H156,'G-1 All Habitats'!$V$3:$W$7,2,FALSE),"")</f>
        <v/>
      </c>
      <c r="J156" s="270"/>
      <c r="K156" s="176" t="str">
        <f>IFERROR(INDEX('G-8 Condition Look up'!$A$3:$H$131,MATCH(F156,'G-8 Condition Look up'!$A$3:$A$131,0),MATCH(J156,'G-8 Condition Look up'!$A$3:$H$3,0)),"")</f>
        <v/>
      </c>
      <c r="L156" s="173"/>
      <c r="M156" s="269" t="str">
        <f>IF(L156="","",IF(VLOOKUP(L156,'G-3 Multipliers'!$L$3:$N$6,2,FALSE)=0,"Spatial Data Missing",VLOOKUP(L156,'G-3 Multipliers'!$L$3:$N$6,2,FALSE)))</f>
        <v/>
      </c>
      <c r="N156" s="172" t="str">
        <f>IF(L156="","",IF(VLOOKUP(L156,'G-3 Multipliers'!$L$3:$N$6,3,FALSE)=0,"Spatial Data Missing",VLOOKUP(L156,'G-3 Multipliers'!$L$3:$N$6,3,FALSE)))</f>
        <v/>
      </c>
      <c r="O156" s="171" t="str">
        <f t="shared" si="10"/>
        <v/>
      </c>
      <c r="P156" s="261"/>
      <c r="Q156" s="261"/>
      <c r="R156" s="343" t="str">
        <f t="shared" si="11"/>
        <v/>
      </c>
      <c r="S156" s="352" t="str">
        <f t="shared" si="12"/>
        <v/>
      </c>
      <c r="T156" s="593" t="str">
        <f>IFERROR(IF(S156="Check Data","Check Data",VLOOKUP(S156,'G-4 Temporal multipliers'!$A$4:$C$37,3,FALSE)),"")</f>
        <v/>
      </c>
      <c r="U156" s="592" t="str">
        <f>IF(F156="","",VLOOKUP(F156,'G-3 Multipliers'!$A$2:$E$130,2,FALSE))</f>
        <v/>
      </c>
      <c r="V156" s="343" t="str">
        <f t="shared" si="13"/>
        <v/>
      </c>
      <c r="W156" s="343" t="str">
        <f>IF(E156="","",IF(AND(V156="Standard difficulty applied",O156&gt;P156),U156,IF(AND(V156="Low Difficulty - only applicable if all habitat created before losses",P156&gt;=O156),"Low",VLOOKUP(F156,'G-3 Multipliers'!$A$2:$E$130,4,FALSE))))</f>
        <v/>
      </c>
      <c r="X156" s="345" t="str">
        <f>IFERROR(IF(E156="","",VLOOKUP(W156, 'G-3 Multipliers'!$P$2:$Q$6,2,FALSE)),””)</f>
        <v/>
      </c>
      <c r="Y156" s="266"/>
      <c r="Z156" s="172" t="str">
        <f>IF(Y156="","",IF(VLOOKUP(Y156,'G-3 Multipliers'!$S$3:$T$9,2,FALSE)=0,"Spatial Data Missing",VLOOKUP(Y156,'G-3 Multipliers'!$S$3:$T$9,2,FALSE)))</f>
        <v/>
      </c>
      <c r="AA156" s="265" t="str">
        <f t="shared" si="14"/>
        <v/>
      </c>
      <c r="AB156" s="180"/>
      <c r="AC156" s="181"/>
    </row>
    <row r="157" spans="1:29" ht="13.8" x14ac:dyDescent="0.25">
      <c r="A157" s="35" t="str">
        <f>IFERROR(INDEX('G-8 Condition Look up'!$I$4:$I$131,MATCH(F157,'G-8 Condition Look up'!$A$4:$A$131,0)),"")</f>
        <v/>
      </c>
      <c r="C157" s="363" t="str">
        <f>IFERROR(INDEX('G-1 All Habitats'!$AG$3:$AG$15,MATCH(D157,'G-1 All Habitats'!$AF$3:$AF$15,0)),"")</f>
        <v/>
      </c>
      <c r="D157" s="186"/>
      <c r="E157" s="275"/>
      <c r="F157" s="362" t="str">
        <f>IFERROR(INDEX('G-1 All Habitats'!$B$3:$B$130,MATCH(E157,'G-1 All Habitats'!$A$3:$A$130,0)),"")</f>
        <v/>
      </c>
      <c r="G157" s="598"/>
      <c r="H157" s="239" t="str">
        <f>IF(F157="","",VLOOKUP(F157,'G-1 All Habitats'!$B$2:$M$130,10,FALSE))</f>
        <v/>
      </c>
      <c r="I157" s="176" t="str">
        <f>IFERROR(VLOOKUP(H157,'G-1 All Habitats'!$V$3:$W$7,2,FALSE),"")</f>
        <v/>
      </c>
      <c r="J157" s="270"/>
      <c r="K157" s="176" t="str">
        <f>IFERROR(INDEX('G-8 Condition Look up'!$A$3:$H$131,MATCH(F157,'G-8 Condition Look up'!$A$3:$A$131,0),MATCH(J157,'G-8 Condition Look up'!$A$3:$H$3,0)),"")</f>
        <v/>
      </c>
      <c r="L157" s="173"/>
      <c r="M157" s="269" t="str">
        <f>IF(L157="","",IF(VLOOKUP(L157,'G-3 Multipliers'!$L$3:$N$6,2,FALSE)=0,"Spatial Data Missing",VLOOKUP(L157,'G-3 Multipliers'!$L$3:$N$6,2,FALSE)))</f>
        <v/>
      </c>
      <c r="N157" s="172" t="str">
        <f>IF(L157="","",IF(VLOOKUP(L157,'G-3 Multipliers'!$L$3:$N$6,3,FALSE)=0,"Spatial Data Missing",VLOOKUP(L157,'G-3 Multipliers'!$L$3:$N$6,3,FALSE)))</f>
        <v/>
      </c>
      <c r="O157" s="171" t="str">
        <f t="shared" si="10"/>
        <v/>
      </c>
      <c r="P157" s="261"/>
      <c r="Q157" s="261"/>
      <c r="R157" s="343" t="str">
        <f t="shared" si="11"/>
        <v/>
      </c>
      <c r="S157" s="352" t="str">
        <f t="shared" si="12"/>
        <v/>
      </c>
      <c r="T157" s="593" t="str">
        <f>IFERROR(IF(S157="Check Data","Check Data",VLOOKUP(S157,'G-4 Temporal multipliers'!$A$4:$C$37,3,FALSE)),"")</f>
        <v/>
      </c>
      <c r="U157" s="592" t="str">
        <f>IF(F157="","",VLOOKUP(F157,'G-3 Multipliers'!$A$2:$E$130,2,FALSE))</f>
        <v/>
      </c>
      <c r="V157" s="343" t="str">
        <f t="shared" si="13"/>
        <v/>
      </c>
      <c r="W157" s="343" t="str">
        <f>IF(E157="","",IF(AND(V157="Standard difficulty applied",O157&gt;P157),U157,IF(AND(V157="Low Difficulty - only applicable if all habitat created before losses",P157&gt;=O157),"Low",VLOOKUP(F157,'G-3 Multipliers'!$A$2:$E$130,4,FALSE))))</f>
        <v/>
      </c>
      <c r="X157" s="345" t="str">
        <f>IFERROR(IF(E157="","",VLOOKUP(W157, 'G-3 Multipliers'!$P$2:$Q$6,2,FALSE)),””)</f>
        <v/>
      </c>
      <c r="Y157" s="266"/>
      <c r="Z157" s="172" t="str">
        <f>IF(Y157="","",IF(VLOOKUP(Y157,'G-3 Multipliers'!$S$3:$T$9,2,FALSE)=0,"Spatial Data Missing",VLOOKUP(Y157,'G-3 Multipliers'!$S$3:$T$9,2,FALSE)))</f>
        <v/>
      </c>
      <c r="AA157" s="265" t="str">
        <f t="shared" si="14"/>
        <v/>
      </c>
      <c r="AB157" s="180"/>
      <c r="AC157" s="181"/>
    </row>
    <row r="158" spans="1:29" ht="13.8" x14ac:dyDescent="0.25">
      <c r="A158" s="35" t="str">
        <f>IFERROR(INDEX('G-8 Condition Look up'!$I$4:$I$131,MATCH(F158,'G-8 Condition Look up'!$A$4:$A$131,0)),"")</f>
        <v/>
      </c>
      <c r="C158" s="363" t="str">
        <f>IFERROR(INDEX('G-1 All Habitats'!$AG$3:$AG$15,MATCH(D158,'G-1 All Habitats'!$AF$3:$AF$15,0)),"")</f>
        <v/>
      </c>
      <c r="D158" s="186"/>
      <c r="E158" s="275"/>
      <c r="F158" s="362" t="str">
        <f>IFERROR(INDEX('G-1 All Habitats'!$B$3:$B$130,MATCH(E158,'G-1 All Habitats'!$A$3:$A$130,0)),"")</f>
        <v/>
      </c>
      <c r="G158" s="598"/>
      <c r="H158" s="239" t="str">
        <f>IF(F158="","",VLOOKUP(F158,'G-1 All Habitats'!$B$2:$M$130,10,FALSE))</f>
        <v/>
      </c>
      <c r="I158" s="176" t="str">
        <f>IFERROR(VLOOKUP(H158,'G-1 All Habitats'!$V$3:$W$7,2,FALSE),"")</f>
        <v/>
      </c>
      <c r="J158" s="270"/>
      <c r="K158" s="176" t="str">
        <f>IFERROR(INDEX('G-8 Condition Look up'!$A$3:$H$131,MATCH(F158,'G-8 Condition Look up'!$A$3:$A$131,0),MATCH(J158,'G-8 Condition Look up'!$A$3:$H$3,0)),"")</f>
        <v/>
      </c>
      <c r="L158" s="173"/>
      <c r="M158" s="269" t="str">
        <f>IF(L158="","",IF(VLOOKUP(L158,'G-3 Multipliers'!$L$3:$N$6,2,FALSE)=0,"Spatial Data Missing",VLOOKUP(L158,'G-3 Multipliers'!$L$3:$N$6,2,FALSE)))</f>
        <v/>
      </c>
      <c r="N158" s="172" t="str">
        <f>IF(L158="","",IF(VLOOKUP(L158,'G-3 Multipliers'!$L$3:$N$6,3,FALSE)=0,"Spatial Data Missing",VLOOKUP(L158,'G-3 Multipliers'!$L$3:$N$6,3,FALSE)))</f>
        <v/>
      </c>
      <c r="O158" s="171" t="str">
        <f t="shared" si="10"/>
        <v/>
      </c>
      <c r="P158" s="261"/>
      <c r="Q158" s="261"/>
      <c r="R158" s="343" t="str">
        <f t="shared" si="11"/>
        <v/>
      </c>
      <c r="S158" s="352" t="str">
        <f t="shared" si="12"/>
        <v/>
      </c>
      <c r="T158" s="593" t="str">
        <f>IFERROR(IF(S158="Check Data","Check Data",VLOOKUP(S158,'G-4 Temporal multipliers'!$A$4:$C$37,3,FALSE)),"")</f>
        <v/>
      </c>
      <c r="U158" s="592" t="str">
        <f>IF(F158="","",VLOOKUP(F158,'G-3 Multipliers'!$A$2:$E$130,2,FALSE))</f>
        <v/>
      </c>
      <c r="V158" s="343" t="str">
        <f t="shared" si="13"/>
        <v/>
      </c>
      <c r="W158" s="343" t="str">
        <f>IF(E158="","",IF(AND(V158="Standard difficulty applied",O158&gt;P158),U158,IF(AND(V158="Low Difficulty - only applicable if all habitat created before losses",P158&gt;=O158),"Low",VLOOKUP(F158,'G-3 Multipliers'!$A$2:$E$130,4,FALSE))))</f>
        <v/>
      </c>
      <c r="X158" s="345" t="str">
        <f>IFERROR(IF(E158="","",VLOOKUP(W158, 'G-3 Multipliers'!$P$2:$Q$6,2,FALSE)),””)</f>
        <v/>
      </c>
      <c r="Y158" s="266"/>
      <c r="Z158" s="172" t="str">
        <f>IF(Y158="","",IF(VLOOKUP(Y158,'G-3 Multipliers'!$S$3:$T$9,2,FALSE)=0,"Spatial Data Missing",VLOOKUP(Y158,'G-3 Multipliers'!$S$3:$T$9,2,FALSE)))</f>
        <v/>
      </c>
      <c r="AA158" s="265" t="str">
        <f t="shared" si="14"/>
        <v/>
      </c>
      <c r="AB158" s="180"/>
      <c r="AC158" s="181"/>
    </row>
    <row r="159" spans="1:29" ht="13.8" x14ac:dyDescent="0.25">
      <c r="A159" s="35" t="str">
        <f>IFERROR(INDEX('G-8 Condition Look up'!$I$4:$I$131,MATCH(F159,'G-8 Condition Look up'!$A$4:$A$131,0)),"")</f>
        <v/>
      </c>
      <c r="C159" s="363" t="str">
        <f>IFERROR(INDEX('G-1 All Habitats'!$AG$3:$AG$15,MATCH(D159,'G-1 All Habitats'!$AF$3:$AF$15,0)),"")</f>
        <v/>
      </c>
      <c r="D159" s="186"/>
      <c r="E159" s="275"/>
      <c r="F159" s="362" t="str">
        <f>IFERROR(INDEX('G-1 All Habitats'!$B$3:$B$130,MATCH(E159,'G-1 All Habitats'!$A$3:$A$130,0)),"")</f>
        <v/>
      </c>
      <c r="G159" s="598"/>
      <c r="H159" s="239" t="str">
        <f>IF(F159="","",VLOOKUP(F159,'G-1 All Habitats'!$B$2:$M$130,10,FALSE))</f>
        <v/>
      </c>
      <c r="I159" s="176" t="str">
        <f>IFERROR(VLOOKUP(H159,'G-1 All Habitats'!$V$3:$W$7,2,FALSE),"")</f>
        <v/>
      </c>
      <c r="J159" s="270"/>
      <c r="K159" s="176" t="str">
        <f>IFERROR(INDEX('G-8 Condition Look up'!$A$3:$H$131,MATCH(F159,'G-8 Condition Look up'!$A$3:$A$131,0),MATCH(J159,'G-8 Condition Look up'!$A$3:$H$3,0)),"")</f>
        <v/>
      </c>
      <c r="L159" s="173"/>
      <c r="M159" s="269" t="str">
        <f>IF(L159="","",IF(VLOOKUP(L159,'G-3 Multipliers'!$L$3:$N$6,2,FALSE)=0,"Spatial Data Missing",VLOOKUP(L159,'G-3 Multipliers'!$L$3:$N$6,2,FALSE)))</f>
        <v/>
      </c>
      <c r="N159" s="172" t="str">
        <f>IF(L159="","",IF(VLOOKUP(L159,'G-3 Multipliers'!$L$3:$N$6,3,FALSE)=0,"Spatial Data Missing",VLOOKUP(L159,'G-3 Multipliers'!$L$3:$N$6,3,FALSE)))</f>
        <v/>
      </c>
      <c r="O159" s="171" t="str">
        <f t="shared" si="10"/>
        <v/>
      </c>
      <c r="P159" s="261"/>
      <c r="Q159" s="261"/>
      <c r="R159" s="343" t="str">
        <f t="shared" si="11"/>
        <v/>
      </c>
      <c r="S159" s="352" t="str">
        <f t="shared" si="12"/>
        <v/>
      </c>
      <c r="T159" s="593" t="str">
        <f>IFERROR(IF(S159="Check Data","Check Data",VLOOKUP(S159,'G-4 Temporal multipliers'!$A$4:$C$37,3,FALSE)),"")</f>
        <v/>
      </c>
      <c r="U159" s="592" t="str">
        <f>IF(F159="","",VLOOKUP(F159,'G-3 Multipliers'!$A$2:$E$130,2,FALSE))</f>
        <v/>
      </c>
      <c r="V159" s="343" t="str">
        <f t="shared" si="13"/>
        <v/>
      </c>
      <c r="W159" s="343" t="str">
        <f>IF(E159="","",IF(AND(V159="Standard difficulty applied",O159&gt;P159),U159,IF(AND(V159="Low Difficulty - only applicable if all habitat created before losses",P159&gt;=O159),"Low",VLOOKUP(F159,'G-3 Multipliers'!$A$2:$E$130,4,FALSE))))</f>
        <v/>
      </c>
      <c r="X159" s="345" t="str">
        <f>IFERROR(IF(E159="","",VLOOKUP(W159, 'G-3 Multipliers'!$P$2:$Q$6,2,FALSE)),””)</f>
        <v/>
      </c>
      <c r="Y159" s="266"/>
      <c r="Z159" s="172" t="str">
        <f>IF(Y159="","",IF(VLOOKUP(Y159,'G-3 Multipliers'!$S$3:$T$9,2,FALSE)=0,"Spatial Data Missing",VLOOKUP(Y159,'G-3 Multipliers'!$S$3:$T$9,2,FALSE)))</f>
        <v/>
      </c>
      <c r="AA159" s="265" t="str">
        <f t="shared" si="14"/>
        <v/>
      </c>
      <c r="AB159" s="180"/>
      <c r="AC159" s="181"/>
    </row>
    <row r="160" spans="1:29" ht="13.8" x14ac:dyDescent="0.25">
      <c r="A160" s="35" t="str">
        <f>IFERROR(INDEX('G-8 Condition Look up'!$I$4:$I$131,MATCH(F160,'G-8 Condition Look up'!$A$4:$A$131,0)),"")</f>
        <v/>
      </c>
      <c r="C160" s="363" t="str">
        <f>IFERROR(INDEX('G-1 All Habitats'!$AG$3:$AG$15,MATCH(D160,'G-1 All Habitats'!$AF$3:$AF$15,0)),"")</f>
        <v/>
      </c>
      <c r="D160" s="186"/>
      <c r="E160" s="275"/>
      <c r="F160" s="362" t="str">
        <f>IFERROR(INDEX('G-1 All Habitats'!$B$3:$B$130,MATCH(E160,'G-1 All Habitats'!$A$3:$A$130,0)),"")</f>
        <v/>
      </c>
      <c r="G160" s="598"/>
      <c r="H160" s="239" t="str">
        <f>IF(F160="","",VLOOKUP(F160,'G-1 All Habitats'!$B$2:$M$130,10,FALSE))</f>
        <v/>
      </c>
      <c r="I160" s="176" t="str">
        <f>IFERROR(VLOOKUP(H160,'G-1 All Habitats'!$V$3:$W$7,2,FALSE),"")</f>
        <v/>
      </c>
      <c r="J160" s="270"/>
      <c r="K160" s="176" t="str">
        <f>IFERROR(INDEX('G-8 Condition Look up'!$A$3:$H$131,MATCH(F160,'G-8 Condition Look up'!$A$3:$A$131,0),MATCH(J160,'G-8 Condition Look up'!$A$3:$H$3,0)),"")</f>
        <v/>
      </c>
      <c r="L160" s="173"/>
      <c r="M160" s="269" t="str">
        <f>IF(L160="","",IF(VLOOKUP(L160,'G-3 Multipliers'!$L$3:$N$6,2,FALSE)=0,"Spatial Data Missing",VLOOKUP(L160,'G-3 Multipliers'!$L$3:$N$6,2,FALSE)))</f>
        <v/>
      </c>
      <c r="N160" s="172" t="str">
        <f>IF(L160="","",IF(VLOOKUP(L160,'G-3 Multipliers'!$L$3:$N$6,3,FALSE)=0,"Spatial Data Missing",VLOOKUP(L160,'G-3 Multipliers'!$L$3:$N$6,3,FALSE)))</f>
        <v/>
      </c>
      <c r="O160" s="171" t="str">
        <f t="shared" si="10"/>
        <v/>
      </c>
      <c r="P160" s="261"/>
      <c r="Q160" s="261"/>
      <c r="R160" s="343" t="str">
        <f t="shared" si="11"/>
        <v/>
      </c>
      <c r="S160" s="352" t="str">
        <f t="shared" si="12"/>
        <v/>
      </c>
      <c r="T160" s="593" t="str">
        <f>IFERROR(IF(S160="Check Data","Check Data",VLOOKUP(S160,'G-4 Temporal multipliers'!$A$4:$C$37,3,FALSE)),"")</f>
        <v/>
      </c>
      <c r="U160" s="592" t="str">
        <f>IF(F160="","",VLOOKUP(F160,'G-3 Multipliers'!$A$2:$E$130,2,FALSE))</f>
        <v/>
      </c>
      <c r="V160" s="343" t="str">
        <f t="shared" si="13"/>
        <v/>
      </c>
      <c r="W160" s="343" t="str">
        <f>IF(E160="","",IF(AND(V160="Standard difficulty applied",O160&gt;P160),U160,IF(AND(V160="Low Difficulty - only applicable if all habitat created before losses",P160&gt;=O160),"Low",VLOOKUP(F160,'G-3 Multipliers'!$A$2:$E$130,4,FALSE))))</f>
        <v/>
      </c>
      <c r="X160" s="345" t="str">
        <f>IFERROR(IF(E160="","",VLOOKUP(W160, 'G-3 Multipliers'!$P$2:$Q$6,2,FALSE)),””)</f>
        <v/>
      </c>
      <c r="Y160" s="266"/>
      <c r="Z160" s="172" t="str">
        <f>IF(Y160="","",IF(VLOOKUP(Y160,'G-3 Multipliers'!$S$3:$T$9,2,FALSE)=0,"Spatial Data Missing",VLOOKUP(Y160,'G-3 Multipliers'!$S$3:$T$9,2,FALSE)))</f>
        <v/>
      </c>
      <c r="AA160" s="265" t="str">
        <f t="shared" si="14"/>
        <v/>
      </c>
      <c r="AB160" s="180"/>
      <c r="AC160" s="181"/>
    </row>
    <row r="161" spans="1:29" ht="13.8" x14ac:dyDescent="0.25">
      <c r="A161" s="35" t="str">
        <f>IFERROR(INDEX('G-8 Condition Look up'!$I$4:$I$131,MATCH(F161,'G-8 Condition Look up'!$A$4:$A$131,0)),"")</f>
        <v/>
      </c>
      <c r="C161" s="363" t="str">
        <f>IFERROR(INDEX('G-1 All Habitats'!$AG$3:$AG$15,MATCH(D161,'G-1 All Habitats'!$AF$3:$AF$15,0)),"")</f>
        <v/>
      </c>
      <c r="D161" s="186"/>
      <c r="E161" s="275"/>
      <c r="F161" s="362" t="str">
        <f>IFERROR(INDEX('G-1 All Habitats'!$B$3:$B$130,MATCH(E161,'G-1 All Habitats'!$A$3:$A$130,0)),"")</f>
        <v/>
      </c>
      <c r="G161" s="598"/>
      <c r="H161" s="239" t="str">
        <f>IF(F161="","",VLOOKUP(F161,'G-1 All Habitats'!$B$2:$M$130,10,FALSE))</f>
        <v/>
      </c>
      <c r="I161" s="176" t="str">
        <f>IFERROR(VLOOKUP(H161,'G-1 All Habitats'!$V$3:$W$7,2,FALSE),"")</f>
        <v/>
      </c>
      <c r="J161" s="270"/>
      <c r="K161" s="176" t="str">
        <f>IFERROR(INDEX('G-8 Condition Look up'!$A$3:$H$131,MATCH(F161,'G-8 Condition Look up'!$A$3:$A$131,0),MATCH(J161,'G-8 Condition Look up'!$A$3:$H$3,0)),"")</f>
        <v/>
      </c>
      <c r="L161" s="173"/>
      <c r="M161" s="269" t="str">
        <f>IF(L161="","",IF(VLOOKUP(L161,'G-3 Multipliers'!$L$3:$N$6,2,FALSE)=0,"Spatial Data Missing",VLOOKUP(L161,'G-3 Multipliers'!$L$3:$N$6,2,FALSE)))</f>
        <v/>
      </c>
      <c r="N161" s="172" t="str">
        <f>IF(L161="","",IF(VLOOKUP(L161,'G-3 Multipliers'!$L$3:$N$6,3,FALSE)=0,"Spatial Data Missing",VLOOKUP(L161,'G-3 Multipliers'!$L$3:$N$6,3,FALSE)))</f>
        <v/>
      </c>
      <c r="O161" s="171" t="str">
        <f t="shared" si="10"/>
        <v/>
      </c>
      <c r="P161" s="261"/>
      <c r="Q161" s="261"/>
      <c r="R161" s="343" t="str">
        <f t="shared" si="11"/>
        <v/>
      </c>
      <c r="S161" s="352" t="str">
        <f t="shared" si="12"/>
        <v/>
      </c>
      <c r="T161" s="593" t="str">
        <f>IFERROR(IF(S161="Check Data","Check Data",VLOOKUP(S161,'G-4 Temporal multipliers'!$A$4:$C$37,3,FALSE)),"")</f>
        <v/>
      </c>
      <c r="U161" s="592" t="str">
        <f>IF(F161="","",VLOOKUP(F161,'G-3 Multipliers'!$A$2:$E$130,2,FALSE))</f>
        <v/>
      </c>
      <c r="V161" s="343" t="str">
        <f t="shared" si="13"/>
        <v/>
      </c>
      <c r="W161" s="343" t="str">
        <f>IF(E161="","",IF(AND(V161="Standard difficulty applied",O161&gt;P161),U161,IF(AND(V161="Low Difficulty - only applicable if all habitat created before losses",P161&gt;=O161),"Low",VLOOKUP(F161,'G-3 Multipliers'!$A$2:$E$130,4,FALSE))))</f>
        <v/>
      </c>
      <c r="X161" s="345" t="str">
        <f>IFERROR(IF(E161="","",VLOOKUP(W161, 'G-3 Multipliers'!$P$2:$Q$6,2,FALSE)),””)</f>
        <v/>
      </c>
      <c r="Y161" s="266"/>
      <c r="Z161" s="172" t="str">
        <f>IF(Y161="","",IF(VLOOKUP(Y161,'G-3 Multipliers'!$S$3:$T$9,2,FALSE)=0,"Spatial Data Missing",VLOOKUP(Y161,'G-3 Multipliers'!$S$3:$T$9,2,FALSE)))</f>
        <v/>
      </c>
      <c r="AA161" s="265" t="str">
        <f t="shared" si="14"/>
        <v/>
      </c>
      <c r="AB161" s="180"/>
      <c r="AC161" s="181"/>
    </row>
    <row r="162" spans="1:29" ht="13.8" x14ac:dyDescent="0.25">
      <c r="A162" s="35" t="str">
        <f>IFERROR(INDEX('G-8 Condition Look up'!$I$4:$I$131,MATCH(F162,'G-8 Condition Look up'!$A$4:$A$131,0)),"")</f>
        <v/>
      </c>
      <c r="C162" s="363" t="str">
        <f>IFERROR(INDEX('G-1 All Habitats'!$AG$3:$AG$15,MATCH(D162,'G-1 All Habitats'!$AF$3:$AF$15,0)),"")</f>
        <v/>
      </c>
      <c r="D162" s="186"/>
      <c r="E162" s="275"/>
      <c r="F162" s="362" t="str">
        <f>IFERROR(INDEX('G-1 All Habitats'!$B$3:$B$130,MATCH(E162,'G-1 All Habitats'!$A$3:$A$130,0)),"")</f>
        <v/>
      </c>
      <c r="G162" s="598"/>
      <c r="H162" s="239" t="str">
        <f>IF(F162="","",VLOOKUP(F162,'G-1 All Habitats'!$B$2:$M$130,10,FALSE))</f>
        <v/>
      </c>
      <c r="I162" s="176" t="str">
        <f>IFERROR(VLOOKUP(H162,'G-1 All Habitats'!$V$3:$W$7,2,FALSE),"")</f>
        <v/>
      </c>
      <c r="J162" s="270"/>
      <c r="K162" s="176" t="str">
        <f>IFERROR(INDEX('G-8 Condition Look up'!$A$3:$H$131,MATCH(F162,'G-8 Condition Look up'!$A$3:$A$131,0),MATCH(J162,'G-8 Condition Look up'!$A$3:$H$3,0)),"")</f>
        <v/>
      </c>
      <c r="L162" s="173"/>
      <c r="M162" s="269" t="str">
        <f>IF(L162="","",IF(VLOOKUP(L162,'G-3 Multipliers'!$L$3:$N$6,2,FALSE)=0,"Spatial Data Missing",VLOOKUP(L162,'G-3 Multipliers'!$L$3:$N$6,2,FALSE)))</f>
        <v/>
      </c>
      <c r="N162" s="172" t="str">
        <f>IF(L162="","",IF(VLOOKUP(L162,'G-3 Multipliers'!$L$3:$N$6,3,FALSE)=0,"Spatial Data Missing",VLOOKUP(L162,'G-3 Multipliers'!$L$3:$N$6,3,FALSE)))</f>
        <v/>
      </c>
      <c r="O162" s="171" t="str">
        <f t="shared" si="10"/>
        <v/>
      </c>
      <c r="P162" s="261"/>
      <c r="Q162" s="261"/>
      <c r="R162" s="343" t="str">
        <f t="shared" si="11"/>
        <v/>
      </c>
      <c r="S162" s="352" t="str">
        <f t="shared" si="12"/>
        <v/>
      </c>
      <c r="T162" s="593" t="str">
        <f>IFERROR(IF(S162="Check Data","Check Data",VLOOKUP(S162,'G-4 Temporal multipliers'!$A$4:$C$37,3,FALSE)),"")</f>
        <v/>
      </c>
      <c r="U162" s="592" t="str">
        <f>IF(F162="","",VLOOKUP(F162,'G-3 Multipliers'!$A$2:$E$130,2,FALSE))</f>
        <v/>
      </c>
      <c r="V162" s="343" t="str">
        <f t="shared" si="13"/>
        <v/>
      </c>
      <c r="W162" s="343" t="str">
        <f>IF(E162="","",IF(AND(V162="Standard difficulty applied",O162&gt;P162),U162,IF(AND(V162="Low Difficulty - only applicable if all habitat created before losses",P162&gt;=O162),"Low",VLOOKUP(F162,'G-3 Multipliers'!$A$2:$E$130,4,FALSE))))</f>
        <v/>
      </c>
      <c r="X162" s="345" t="str">
        <f>IFERROR(IF(E162="","",VLOOKUP(W162, 'G-3 Multipliers'!$P$2:$Q$6,2,FALSE)),””)</f>
        <v/>
      </c>
      <c r="Y162" s="266"/>
      <c r="Z162" s="172" t="str">
        <f>IF(Y162="","",IF(VLOOKUP(Y162,'G-3 Multipliers'!$S$3:$T$9,2,FALSE)=0,"Spatial Data Missing",VLOOKUP(Y162,'G-3 Multipliers'!$S$3:$T$9,2,FALSE)))</f>
        <v/>
      </c>
      <c r="AA162" s="265" t="str">
        <f t="shared" si="14"/>
        <v/>
      </c>
      <c r="AB162" s="180"/>
      <c r="AC162" s="181"/>
    </row>
    <row r="163" spans="1:29" ht="13.8" x14ac:dyDescent="0.25">
      <c r="A163" s="35" t="str">
        <f>IFERROR(INDEX('G-8 Condition Look up'!$I$4:$I$131,MATCH(F163,'G-8 Condition Look up'!$A$4:$A$131,0)),"")</f>
        <v/>
      </c>
      <c r="C163" s="363" t="str">
        <f>IFERROR(INDEX('G-1 All Habitats'!$AG$3:$AG$15,MATCH(D163,'G-1 All Habitats'!$AF$3:$AF$15,0)),"")</f>
        <v/>
      </c>
      <c r="D163" s="186"/>
      <c r="E163" s="275"/>
      <c r="F163" s="362" t="str">
        <f>IFERROR(INDEX('G-1 All Habitats'!$B$3:$B$130,MATCH(E163,'G-1 All Habitats'!$A$3:$A$130,0)),"")</f>
        <v/>
      </c>
      <c r="G163" s="598"/>
      <c r="H163" s="239" t="str">
        <f>IF(F163="","",VLOOKUP(F163,'G-1 All Habitats'!$B$2:$M$130,10,FALSE))</f>
        <v/>
      </c>
      <c r="I163" s="176" t="str">
        <f>IFERROR(VLOOKUP(H163,'G-1 All Habitats'!$V$3:$W$7,2,FALSE),"")</f>
        <v/>
      </c>
      <c r="J163" s="270"/>
      <c r="K163" s="176" t="str">
        <f>IFERROR(INDEX('G-8 Condition Look up'!$A$3:$H$131,MATCH(F163,'G-8 Condition Look up'!$A$3:$A$131,0),MATCH(J163,'G-8 Condition Look up'!$A$3:$H$3,0)),"")</f>
        <v/>
      </c>
      <c r="L163" s="173"/>
      <c r="M163" s="269" t="str">
        <f>IF(L163="","",IF(VLOOKUP(L163,'G-3 Multipliers'!$L$3:$N$6,2,FALSE)=0,"Spatial Data Missing",VLOOKUP(L163,'G-3 Multipliers'!$L$3:$N$6,2,FALSE)))</f>
        <v/>
      </c>
      <c r="N163" s="172" t="str">
        <f>IF(L163="","",IF(VLOOKUP(L163,'G-3 Multipliers'!$L$3:$N$6,3,FALSE)=0,"Spatial Data Missing",VLOOKUP(L163,'G-3 Multipliers'!$L$3:$N$6,3,FALSE)))</f>
        <v/>
      </c>
      <c r="O163" s="171" t="str">
        <f t="shared" si="10"/>
        <v/>
      </c>
      <c r="P163" s="261"/>
      <c r="Q163" s="261"/>
      <c r="R163" s="343" t="str">
        <f t="shared" si="11"/>
        <v/>
      </c>
      <c r="S163" s="352" t="str">
        <f t="shared" si="12"/>
        <v/>
      </c>
      <c r="T163" s="593" t="str">
        <f>IFERROR(IF(S163="Check Data","Check Data",VLOOKUP(S163,'G-4 Temporal multipliers'!$A$4:$C$37,3,FALSE)),"")</f>
        <v/>
      </c>
      <c r="U163" s="592" t="str">
        <f>IF(F163="","",VLOOKUP(F163,'G-3 Multipliers'!$A$2:$E$130,2,FALSE))</f>
        <v/>
      </c>
      <c r="V163" s="343" t="str">
        <f t="shared" si="13"/>
        <v/>
      </c>
      <c r="W163" s="343" t="str">
        <f>IF(E163="","",IF(AND(V163="Standard difficulty applied",O163&gt;P163),U163,IF(AND(V163="Low Difficulty - only applicable if all habitat created before losses",P163&gt;=O163),"Low",VLOOKUP(F163,'G-3 Multipliers'!$A$2:$E$130,4,FALSE))))</f>
        <v/>
      </c>
      <c r="X163" s="345" t="str">
        <f>IFERROR(IF(E163="","",VLOOKUP(W163, 'G-3 Multipliers'!$P$2:$Q$6,2,FALSE)),””)</f>
        <v/>
      </c>
      <c r="Y163" s="266"/>
      <c r="Z163" s="172" t="str">
        <f>IF(Y163="","",IF(VLOOKUP(Y163,'G-3 Multipliers'!$S$3:$T$9,2,FALSE)=0,"Spatial Data Missing",VLOOKUP(Y163,'G-3 Multipliers'!$S$3:$T$9,2,FALSE)))</f>
        <v/>
      </c>
      <c r="AA163" s="265" t="str">
        <f t="shared" si="14"/>
        <v/>
      </c>
      <c r="AB163" s="180"/>
      <c r="AC163" s="181"/>
    </row>
    <row r="164" spans="1:29" ht="13.8" x14ac:dyDescent="0.25">
      <c r="A164" s="35" t="str">
        <f>IFERROR(INDEX('G-8 Condition Look up'!$I$4:$I$131,MATCH(F164,'G-8 Condition Look up'!$A$4:$A$131,0)),"")</f>
        <v/>
      </c>
      <c r="C164" s="363" t="str">
        <f>IFERROR(INDEX('G-1 All Habitats'!$AG$3:$AG$15,MATCH(D164,'G-1 All Habitats'!$AF$3:$AF$15,0)),"")</f>
        <v/>
      </c>
      <c r="D164" s="186"/>
      <c r="E164" s="275"/>
      <c r="F164" s="362" t="str">
        <f>IFERROR(INDEX('G-1 All Habitats'!$B$3:$B$130,MATCH(E164,'G-1 All Habitats'!$A$3:$A$130,0)),"")</f>
        <v/>
      </c>
      <c r="G164" s="598"/>
      <c r="H164" s="239" t="str">
        <f>IF(F164="","",VLOOKUP(F164,'G-1 All Habitats'!$B$2:$M$130,10,FALSE))</f>
        <v/>
      </c>
      <c r="I164" s="176" t="str">
        <f>IFERROR(VLOOKUP(H164,'G-1 All Habitats'!$V$3:$W$7,2,FALSE),"")</f>
        <v/>
      </c>
      <c r="J164" s="270"/>
      <c r="K164" s="176" t="str">
        <f>IFERROR(INDEX('G-8 Condition Look up'!$A$3:$H$131,MATCH(F164,'G-8 Condition Look up'!$A$3:$A$131,0),MATCH(J164,'G-8 Condition Look up'!$A$3:$H$3,0)),"")</f>
        <v/>
      </c>
      <c r="L164" s="173"/>
      <c r="M164" s="269" t="str">
        <f>IF(L164="","",IF(VLOOKUP(L164,'G-3 Multipliers'!$L$3:$N$6,2,FALSE)=0,"Spatial Data Missing",VLOOKUP(L164,'G-3 Multipliers'!$L$3:$N$6,2,FALSE)))</f>
        <v/>
      </c>
      <c r="N164" s="172" t="str">
        <f>IF(L164="","",IF(VLOOKUP(L164,'G-3 Multipliers'!$L$3:$N$6,3,FALSE)=0,"Spatial Data Missing",VLOOKUP(L164,'G-3 Multipliers'!$L$3:$N$6,3,FALSE)))</f>
        <v/>
      </c>
      <c r="O164" s="171" t="str">
        <f t="shared" si="10"/>
        <v/>
      </c>
      <c r="P164" s="261"/>
      <c r="Q164" s="261"/>
      <c r="R164" s="343" t="str">
        <f t="shared" si="11"/>
        <v/>
      </c>
      <c r="S164" s="352" t="str">
        <f t="shared" si="12"/>
        <v/>
      </c>
      <c r="T164" s="593" t="str">
        <f>IFERROR(IF(S164="Check Data","Check Data",VLOOKUP(S164,'G-4 Temporal multipliers'!$A$4:$C$37,3,FALSE)),"")</f>
        <v/>
      </c>
      <c r="U164" s="592" t="str">
        <f>IF(F164="","",VLOOKUP(F164,'G-3 Multipliers'!$A$2:$E$130,2,FALSE))</f>
        <v/>
      </c>
      <c r="V164" s="343" t="str">
        <f t="shared" si="13"/>
        <v/>
      </c>
      <c r="W164" s="343" t="str">
        <f>IF(E164="","",IF(AND(V164="Standard difficulty applied",O164&gt;P164),U164,IF(AND(V164="Low Difficulty - only applicable if all habitat created before losses",P164&gt;=O164),"Low",VLOOKUP(F164,'G-3 Multipliers'!$A$2:$E$130,4,FALSE))))</f>
        <v/>
      </c>
      <c r="X164" s="345" t="str">
        <f>IFERROR(IF(E164="","",VLOOKUP(W164, 'G-3 Multipliers'!$P$2:$Q$6,2,FALSE)),””)</f>
        <v/>
      </c>
      <c r="Y164" s="266"/>
      <c r="Z164" s="172" t="str">
        <f>IF(Y164="","",IF(VLOOKUP(Y164,'G-3 Multipliers'!$S$3:$T$9,2,FALSE)=0,"Spatial Data Missing",VLOOKUP(Y164,'G-3 Multipliers'!$S$3:$T$9,2,FALSE)))</f>
        <v/>
      </c>
      <c r="AA164" s="265" t="str">
        <f t="shared" si="14"/>
        <v/>
      </c>
      <c r="AB164" s="180"/>
      <c r="AC164" s="181"/>
    </row>
    <row r="165" spans="1:29" ht="13.8" x14ac:dyDescent="0.25">
      <c r="A165" s="35" t="str">
        <f>IFERROR(INDEX('G-8 Condition Look up'!$I$4:$I$131,MATCH(F165,'G-8 Condition Look up'!$A$4:$A$131,0)),"")</f>
        <v/>
      </c>
      <c r="C165" s="363" t="str">
        <f>IFERROR(INDEX('G-1 All Habitats'!$AG$3:$AG$15,MATCH(D165,'G-1 All Habitats'!$AF$3:$AF$15,0)),"")</f>
        <v/>
      </c>
      <c r="D165" s="186"/>
      <c r="E165" s="275"/>
      <c r="F165" s="362" t="str">
        <f>IFERROR(INDEX('G-1 All Habitats'!$B$3:$B$130,MATCH(E165,'G-1 All Habitats'!$A$3:$A$130,0)),"")</f>
        <v/>
      </c>
      <c r="G165" s="598"/>
      <c r="H165" s="239" t="str">
        <f>IF(F165="","",VLOOKUP(F165,'G-1 All Habitats'!$B$2:$M$130,10,FALSE))</f>
        <v/>
      </c>
      <c r="I165" s="176" t="str">
        <f>IFERROR(VLOOKUP(H165,'G-1 All Habitats'!$V$3:$W$7,2,FALSE),"")</f>
        <v/>
      </c>
      <c r="J165" s="270"/>
      <c r="K165" s="176" t="str">
        <f>IFERROR(INDEX('G-8 Condition Look up'!$A$3:$H$131,MATCH(F165,'G-8 Condition Look up'!$A$3:$A$131,0),MATCH(J165,'G-8 Condition Look up'!$A$3:$H$3,0)),"")</f>
        <v/>
      </c>
      <c r="L165" s="173"/>
      <c r="M165" s="269" t="str">
        <f>IF(L165="","",IF(VLOOKUP(L165,'G-3 Multipliers'!$L$3:$N$6,2,FALSE)=0,"Spatial Data Missing",VLOOKUP(L165,'G-3 Multipliers'!$L$3:$N$6,2,FALSE)))</f>
        <v/>
      </c>
      <c r="N165" s="172" t="str">
        <f>IF(L165="","",IF(VLOOKUP(L165,'G-3 Multipliers'!$L$3:$N$6,3,FALSE)=0,"Spatial Data Missing",VLOOKUP(L165,'G-3 Multipliers'!$L$3:$N$6,3,FALSE)))</f>
        <v/>
      </c>
      <c r="O165" s="171" t="str">
        <f t="shared" si="10"/>
        <v/>
      </c>
      <c r="P165" s="261"/>
      <c r="Q165" s="261"/>
      <c r="R165" s="343" t="str">
        <f t="shared" si="11"/>
        <v/>
      </c>
      <c r="S165" s="352" t="str">
        <f t="shared" si="12"/>
        <v/>
      </c>
      <c r="T165" s="593" t="str">
        <f>IFERROR(IF(S165="Check Data","Check Data",VLOOKUP(S165,'G-4 Temporal multipliers'!$A$4:$C$37,3,FALSE)),"")</f>
        <v/>
      </c>
      <c r="U165" s="592" t="str">
        <f>IF(F165="","",VLOOKUP(F165,'G-3 Multipliers'!$A$2:$E$130,2,FALSE))</f>
        <v/>
      </c>
      <c r="V165" s="343" t="str">
        <f t="shared" si="13"/>
        <v/>
      </c>
      <c r="W165" s="343" t="str">
        <f>IF(E165="","",IF(AND(V165="Standard difficulty applied",O165&gt;P165),U165,IF(AND(V165="Low Difficulty - only applicable if all habitat created before losses",P165&gt;=O165),"Low",VLOOKUP(F165,'G-3 Multipliers'!$A$2:$E$130,4,FALSE))))</f>
        <v/>
      </c>
      <c r="X165" s="345" t="str">
        <f>IFERROR(IF(E165="","",VLOOKUP(W165, 'G-3 Multipliers'!$P$2:$Q$6,2,FALSE)),””)</f>
        <v/>
      </c>
      <c r="Y165" s="266"/>
      <c r="Z165" s="172" t="str">
        <f>IF(Y165="","",IF(VLOOKUP(Y165,'G-3 Multipliers'!$S$3:$T$9,2,FALSE)=0,"Spatial Data Missing",VLOOKUP(Y165,'G-3 Multipliers'!$S$3:$T$9,2,FALSE)))</f>
        <v/>
      </c>
      <c r="AA165" s="265" t="str">
        <f t="shared" si="14"/>
        <v/>
      </c>
      <c r="AB165" s="180"/>
      <c r="AC165" s="181"/>
    </row>
    <row r="166" spans="1:29" ht="13.8" x14ac:dyDescent="0.25">
      <c r="A166" s="35" t="str">
        <f>IFERROR(INDEX('G-8 Condition Look up'!$I$4:$I$131,MATCH(F166,'G-8 Condition Look up'!$A$4:$A$131,0)),"")</f>
        <v/>
      </c>
      <c r="C166" s="363" t="str">
        <f>IFERROR(INDEX('G-1 All Habitats'!$AG$3:$AG$15,MATCH(D166,'G-1 All Habitats'!$AF$3:$AF$15,0)),"")</f>
        <v/>
      </c>
      <c r="D166" s="186"/>
      <c r="E166" s="275"/>
      <c r="F166" s="362" t="str">
        <f>IFERROR(INDEX('G-1 All Habitats'!$B$3:$B$130,MATCH(E166,'G-1 All Habitats'!$A$3:$A$130,0)),"")</f>
        <v/>
      </c>
      <c r="G166" s="598"/>
      <c r="H166" s="239" t="str">
        <f>IF(F166="","",VLOOKUP(F166,'G-1 All Habitats'!$B$2:$M$130,10,FALSE))</f>
        <v/>
      </c>
      <c r="I166" s="176" t="str">
        <f>IFERROR(VLOOKUP(H166,'G-1 All Habitats'!$V$3:$W$7,2,FALSE),"")</f>
        <v/>
      </c>
      <c r="J166" s="270"/>
      <c r="K166" s="176" t="str">
        <f>IFERROR(INDEX('G-8 Condition Look up'!$A$3:$H$131,MATCH(F166,'G-8 Condition Look up'!$A$3:$A$131,0),MATCH(J166,'G-8 Condition Look up'!$A$3:$H$3,0)),"")</f>
        <v/>
      </c>
      <c r="L166" s="173"/>
      <c r="M166" s="269" t="str">
        <f>IF(L166="","",IF(VLOOKUP(L166,'G-3 Multipliers'!$L$3:$N$6,2,FALSE)=0,"Spatial Data Missing",VLOOKUP(L166,'G-3 Multipliers'!$L$3:$N$6,2,FALSE)))</f>
        <v/>
      </c>
      <c r="N166" s="172" t="str">
        <f>IF(L166="","",IF(VLOOKUP(L166,'G-3 Multipliers'!$L$3:$N$6,3,FALSE)=0,"Spatial Data Missing",VLOOKUP(L166,'G-3 Multipliers'!$L$3:$N$6,3,FALSE)))</f>
        <v/>
      </c>
      <c r="O166" s="171" t="str">
        <f t="shared" si="10"/>
        <v/>
      </c>
      <c r="P166" s="261"/>
      <c r="Q166" s="261"/>
      <c r="R166" s="343" t="str">
        <f t="shared" si="11"/>
        <v/>
      </c>
      <c r="S166" s="352" t="str">
        <f t="shared" si="12"/>
        <v/>
      </c>
      <c r="T166" s="593" t="str">
        <f>IFERROR(IF(S166="Check Data","Check Data",VLOOKUP(S166,'G-4 Temporal multipliers'!$A$4:$C$37,3,FALSE)),"")</f>
        <v/>
      </c>
      <c r="U166" s="592" t="str">
        <f>IF(F166="","",VLOOKUP(F166,'G-3 Multipliers'!$A$2:$E$130,2,FALSE))</f>
        <v/>
      </c>
      <c r="V166" s="343" t="str">
        <f t="shared" si="13"/>
        <v/>
      </c>
      <c r="W166" s="343" t="str">
        <f>IF(E166="","",IF(AND(V166="Standard difficulty applied",O166&gt;P166),U166,IF(AND(V166="Low Difficulty - only applicable if all habitat created before losses",P166&gt;=O166),"Low",VLOOKUP(F166,'G-3 Multipliers'!$A$2:$E$130,4,FALSE))))</f>
        <v/>
      </c>
      <c r="X166" s="345" t="str">
        <f>IFERROR(IF(E166="","",VLOOKUP(W166, 'G-3 Multipliers'!$P$2:$Q$6,2,FALSE)),””)</f>
        <v/>
      </c>
      <c r="Y166" s="266"/>
      <c r="Z166" s="172" t="str">
        <f>IF(Y166="","",IF(VLOOKUP(Y166,'G-3 Multipliers'!$S$3:$T$9,2,FALSE)=0,"Spatial Data Missing",VLOOKUP(Y166,'G-3 Multipliers'!$S$3:$T$9,2,FALSE)))</f>
        <v/>
      </c>
      <c r="AA166" s="265" t="str">
        <f t="shared" si="14"/>
        <v/>
      </c>
      <c r="AB166" s="180"/>
      <c r="AC166" s="181"/>
    </row>
    <row r="167" spans="1:29" ht="13.8" x14ac:dyDescent="0.25">
      <c r="A167" s="35" t="str">
        <f>IFERROR(INDEX('G-8 Condition Look up'!$I$4:$I$131,MATCH(F167,'G-8 Condition Look up'!$A$4:$A$131,0)),"")</f>
        <v/>
      </c>
      <c r="C167" s="363" t="str">
        <f>IFERROR(INDEX('G-1 All Habitats'!$AG$3:$AG$15,MATCH(D167,'G-1 All Habitats'!$AF$3:$AF$15,0)),"")</f>
        <v/>
      </c>
      <c r="D167" s="186"/>
      <c r="E167" s="275"/>
      <c r="F167" s="362" t="str">
        <f>IFERROR(INDEX('G-1 All Habitats'!$B$3:$B$130,MATCH(E167,'G-1 All Habitats'!$A$3:$A$130,0)),"")</f>
        <v/>
      </c>
      <c r="G167" s="598"/>
      <c r="H167" s="239" t="str">
        <f>IF(F167="","",VLOOKUP(F167,'G-1 All Habitats'!$B$2:$M$130,10,FALSE))</f>
        <v/>
      </c>
      <c r="I167" s="176" t="str">
        <f>IFERROR(VLOOKUP(H167,'G-1 All Habitats'!$V$3:$W$7,2,FALSE),"")</f>
        <v/>
      </c>
      <c r="J167" s="270"/>
      <c r="K167" s="176" t="str">
        <f>IFERROR(INDEX('G-8 Condition Look up'!$A$3:$H$131,MATCH(F167,'G-8 Condition Look up'!$A$3:$A$131,0),MATCH(J167,'G-8 Condition Look up'!$A$3:$H$3,0)),"")</f>
        <v/>
      </c>
      <c r="L167" s="173"/>
      <c r="M167" s="269" t="str">
        <f>IF(L167="","",IF(VLOOKUP(L167,'G-3 Multipliers'!$L$3:$N$6,2,FALSE)=0,"Spatial Data Missing",VLOOKUP(L167,'G-3 Multipliers'!$L$3:$N$6,2,FALSE)))</f>
        <v/>
      </c>
      <c r="N167" s="172" t="str">
        <f>IF(L167="","",IF(VLOOKUP(L167,'G-3 Multipliers'!$L$3:$N$6,3,FALSE)=0,"Spatial Data Missing",VLOOKUP(L167,'G-3 Multipliers'!$L$3:$N$6,3,FALSE)))</f>
        <v/>
      </c>
      <c r="O167" s="171" t="str">
        <f t="shared" si="10"/>
        <v/>
      </c>
      <c r="P167" s="261"/>
      <c r="Q167" s="261"/>
      <c r="R167" s="343" t="str">
        <f t="shared" si="11"/>
        <v/>
      </c>
      <c r="S167" s="352" t="str">
        <f t="shared" si="12"/>
        <v/>
      </c>
      <c r="T167" s="593" t="str">
        <f>IFERROR(IF(S167="Check Data","Check Data",VLOOKUP(S167,'G-4 Temporal multipliers'!$A$4:$C$37,3,FALSE)),"")</f>
        <v/>
      </c>
      <c r="U167" s="592" t="str">
        <f>IF(F167="","",VLOOKUP(F167,'G-3 Multipliers'!$A$2:$E$130,2,FALSE))</f>
        <v/>
      </c>
      <c r="V167" s="343" t="str">
        <f t="shared" si="13"/>
        <v/>
      </c>
      <c r="W167" s="343" t="str">
        <f>IF(E167="","",IF(AND(V167="Standard difficulty applied",O167&gt;P167),U167,IF(AND(V167="Low Difficulty - only applicable if all habitat created before losses",P167&gt;=O167),"Low",VLOOKUP(F167,'G-3 Multipliers'!$A$2:$E$130,4,FALSE))))</f>
        <v/>
      </c>
      <c r="X167" s="345" t="str">
        <f>IFERROR(IF(E167="","",VLOOKUP(W167, 'G-3 Multipliers'!$P$2:$Q$6,2,FALSE)),””)</f>
        <v/>
      </c>
      <c r="Y167" s="266"/>
      <c r="Z167" s="172" t="str">
        <f>IF(Y167="","",IF(VLOOKUP(Y167,'G-3 Multipliers'!$S$3:$T$9,2,FALSE)=0,"Spatial Data Missing",VLOOKUP(Y167,'G-3 Multipliers'!$S$3:$T$9,2,FALSE)))</f>
        <v/>
      </c>
      <c r="AA167" s="265" t="str">
        <f t="shared" si="14"/>
        <v/>
      </c>
      <c r="AB167" s="180"/>
      <c r="AC167" s="181"/>
    </row>
    <row r="168" spans="1:29" ht="13.8" x14ac:dyDescent="0.25">
      <c r="A168" s="35" t="str">
        <f>IFERROR(INDEX('G-8 Condition Look up'!$I$4:$I$131,MATCH(F168,'G-8 Condition Look up'!$A$4:$A$131,0)),"")</f>
        <v/>
      </c>
      <c r="C168" s="363" t="str">
        <f>IFERROR(INDEX('G-1 All Habitats'!$AG$3:$AG$15,MATCH(D168,'G-1 All Habitats'!$AF$3:$AF$15,0)),"")</f>
        <v/>
      </c>
      <c r="D168" s="186"/>
      <c r="E168" s="275"/>
      <c r="F168" s="362" t="str">
        <f>IFERROR(INDEX('G-1 All Habitats'!$B$3:$B$130,MATCH(E168,'G-1 All Habitats'!$A$3:$A$130,0)),"")</f>
        <v/>
      </c>
      <c r="G168" s="598"/>
      <c r="H168" s="239" t="str">
        <f>IF(F168="","",VLOOKUP(F168,'G-1 All Habitats'!$B$2:$M$130,10,FALSE))</f>
        <v/>
      </c>
      <c r="I168" s="176" t="str">
        <f>IFERROR(VLOOKUP(H168,'G-1 All Habitats'!$V$3:$W$7,2,FALSE),"")</f>
        <v/>
      </c>
      <c r="J168" s="270"/>
      <c r="K168" s="176" t="str">
        <f>IFERROR(INDEX('G-8 Condition Look up'!$A$3:$H$131,MATCH(F168,'G-8 Condition Look up'!$A$3:$A$131,0),MATCH(J168,'G-8 Condition Look up'!$A$3:$H$3,0)),"")</f>
        <v/>
      </c>
      <c r="L168" s="173"/>
      <c r="M168" s="269" t="str">
        <f>IF(L168="","",IF(VLOOKUP(L168,'G-3 Multipliers'!$L$3:$N$6,2,FALSE)=0,"Spatial Data Missing",VLOOKUP(L168,'G-3 Multipliers'!$L$3:$N$6,2,FALSE)))</f>
        <v/>
      </c>
      <c r="N168" s="172" t="str">
        <f>IF(L168="","",IF(VLOOKUP(L168,'G-3 Multipliers'!$L$3:$N$6,3,FALSE)=0,"Spatial Data Missing",VLOOKUP(L168,'G-3 Multipliers'!$L$3:$N$6,3,FALSE)))</f>
        <v/>
      </c>
      <c r="O168" s="171" t="str">
        <f t="shared" si="10"/>
        <v/>
      </c>
      <c r="P168" s="261"/>
      <c r="Q168" s="261"/>
      <c r="R168" s="343" t="str">
        <f t="shared" si="11"/>
        <v/>
      </c>
      <c r="S168" s="352" t="str">
        <f t="shared" si="12"/>
        <v/>
      </c>
      <c r="T168" s="593" t="str">
        <f>IFERROR(IF(S168="Check Data","Check Data",VLOOKUP(S168,'G-4 Temporal multipliers'!$A$4:$C$37,3,FALSE)),"")</f>
        <v/>
      </c>
      <c r="U168" s="592" t="str">
        <f>IF(F168="","",VLOOKUP(F168,'G-3 Multipliers'!$A$2:$E$130,2,FALSE))</f>
        <v/>
      </c>
      <c r="V168" s="343" t="str">
        <f t="shared" si="13"/>
        <v/>
      </c>
      <c r="W168" s="343" t="str">
        <f>IF(E168="","",IF(AND(V168="Standard difficulty applied",O168&gt;P168),U168,IF(AND(V168="Low Difficulty - only applicable if all habitat created before losses",P168&gt;=O168),"Low",VLOOKUP(F168,'G-3 Multipliers'!$A$2:$E$130,4,FALSE))))</f>
        <v/>
      </c>
      <c r="X168" s="345" t="str">
        <f>IFERROR(IF(E168="","",VLOOKUP(W168, 'G-3 Multipliers'!$P$2:$Q$6,2,FALSE)),””)</f>
        <v/>
      </c>
      <c r="Y168" s="266"/>
      <c r="Z168" s="172" t="str">
        <f>IF(Y168="","",IF(VLOOKUP(Y168,'G-3 Multipliers'!$S$3:$T$9,2,FALSE)=0,"Spatial Data Missing",VLOOKUP(Y168,'G-3 Multipliers'!$S$3:$T$9,2,FALSE)))</f>
        <v/>
      </c>
      <c r="AA168" s="265" t="str">
        <f t="shared" si="14"/>
        <v/>
      </c>
      <c r="AB168" s="180"/>
      <c r="AC168" s="181"/>
    </row>
    <row r="169" spans="1:29" ht="13.8" x14ac:dyDescent="0.25">
      <c r="A169" s="35" t="str">
        <f>IFERROR(INDEX('G-8 Condition Look up'!$I$4:$I$131,MATCH(F169,'G-8 Condition Look up'!$A$4:$A$131,0)),"")</f>
        <v/>
      </c>
      <c r="C169" s="363" t="str">
        <f>IFERROR(INDEX('G-1 All Habitats'!$AG$3:$AG$15,MATCH(D169,'G-1 All Habitats'!$AF$3:$AF$15,0)),"")</f>
        <v/>
      </c>
      <c r="D169" s="186"/>
      <c r="E169" s="275"/>
      <c r="F169" s="362" t="str">
        <f>IFERROR(INDEX('G-1 All Habitats'!$B$3:$B$130,MATCH(E169,'G-1 All Habitats'!$A$3:$A$130,0)),"")</f>
        <v/>
      </c>
      <c r="G169" s="598"/>
      <c r="H169" s="239" t="str">
        <f>IF(F169="","",VLOOKUP(F169,'G-1 All Habitats'!$B$2:$M$130,10,FALSE))</f>
        <v/>
      </c>
      <c r="I169" s="176" t="str">
        <f>IFERROR(VLOOKUP(H169,'G-1 All Habitats'!$V$3:$W$7,2,FALSE),"")</f>
        <v/>
      </c>
      <c r="J169" s="270"/>
      <c r="K169" s="176" t="str">
        <f>IFERROR(INDEX('G-8 Condition Look up'!$A$3:$H$131,MATCH(F169,'G-8 Condition Look up'!$A$3:$A$131,0),MATCH(J169,'G-8 Condition Look up'!$A$3:$H$3,0)),"")</f>
        <v/>
      </c>
      <c r="L169" s="173"/>
      <c r="M169" s="269" t="str">
        <f>IF(L169="","",IF(VLOOKUP(L169,'G-3 Multipliers'!$L$3:$N$6,2,FALSE)=0,"Spatial Data Missing",VLOOKUP(L169,'G-3 Multipliers'!$L$3:$N$6,2,FALSE)))</f>
        <v/>
      </c>
      <c r="N169" s="172" t="str">
        <f>IF(L169="","",IF(VLOOKUP(L169,'G-3 Multipliers'!$L$3:$N$6,3,FALSE)=0,"Spatial Data Missing",VLOOKUP(L169,'G-3 Multipliers'!$L$3:$N$6,3,FALSE)))</f>
        <v/>
      </c>
      <c r="O169" s="171" t="str">
        <f t="shared" si="10"/>
        <v/>
      </c>
      <c r="P169" s="261"/>
      <c r="Q169" s="261"/>
      <c r="R169" s="343" t="str">
        <f t="shared" si="11"/>
        <v/>
      </c>
      <c r="S169" s="352" t="str">
        <f t="shared" si="12"/>
        <v/>
      </c>
      <c r="T169" s="593" t="str">
        <f>IFERROR(IF(S169="Check Data","Check Data",VLOOKUP(S169,'G-4 Temporal multipliers'!$A$4:$C$37,3,FALSE)),"")</f>
        <v/>
      </c>
      <c r="U169" s="592" t="str">
        <f>IF(F169="","",VLOOKUP(F169,'G-3 Multipliers'!$A$2:$E$130,2,FALSE))</f>
        <v/>
      </c>
      <c r="V169" s="343" t="str">
        <f t="shared" si="13"/>
        <v/>
      </c>
      <c r="W169" s="343" t="str">
        <f>IF(E169="","",IF(AND(V169="Standard difficulty applied",O169&gt;P169),U169,IF(AND(V169="Low Difficulty - only applicable if all habitat created before losses",P169&gt;=O169),"Low",VLOOKUP(F169,'G-3 Multipliers'!$A$2:$E$130,4,FALSE))))</f>
        <v/>
      </c>
      <c r="X169" s="345" t="str">
        <f>IFERROR(IF(E169="","",VLOOKUP(W169, 'G-3 Multipliers'!$P$2:$Q$6,2,FALSE)),””)</f>
        <v/>
      </c>
      <c r="Y169" s="266"/>
      <c r="Z169" s="172" t="str">
        <f>IF(Y169="","",IF(VLOOKUP(Y169,'G-3 Multipliers'!$S$3:$T$9,2,FALSE)=0,"Spatial Data Missing",VLOOKUP(Y169,'G-3 Multipliers'!$S$3:$T$9,2,FALSE)))</f>
        <v/>
      </c>
      <c r="AA169" s="265" t="str">
        <f t="shared" si="14"/>
        <v/>
      </c>
      <c r="AB169" s="180"/>
      <c r="AC169" s="181"/>
    </row>
    <row r="170" spans="1:29" ht="13.8" x14ac:dyDescent="0.25">
      <c r="A170" s="35" t="str">
        <f>IFERROR(INDEX('G-8 Condition Look up'!$I$4:$I$131,MATCH(F170,'G-8 Condition Look up'!$A$4:$A$131,0)),"")</f>
        <v/>
      </c>
      <c r="C170" s="363" t="str">
        <f>IFERROR(INDEX('G-1 All Habitats'!$AG$3:$AG$15,MATCH(D170,'G-1 All Habitats'!$AF$3:$AF$15,0)),"")</f>
        <v/>
      </c>
      <c r="D170" s="186"/>
      <c r="E170" s="275"/>
      <c r="F170" s="362" t="str">
        <f>IFERROR(INDEX('G-1 All Habitats'!$B$3:$B$130,MATCH(E170,'G-1 All Habitats'!$A$3:$A$130,0)),"")</f>
        <v/>
      </c>
      <c r="G170" s="598"/>
      <c r="H170" s="239" t="str">
        <f>IF(F170="","",VLOOKUP(F170,'G-1 All Habitats'!$B$2:$M$130,10,FALSE))</f>
        <v/>
      </c>
      <c r="I170" s="176" t="str">
        <f>IFERROR(VLOOKUP(H170,'G-1 All Habitats'!$V$3:$W$7,2,FALSE),"")</f>
        <v/>
      </c>
      <c r="J170" s="270"/>
      <c r="K170" s="176" t="str">
        <f>IFERROR(INDEX('G-8 Condition Look up'!$A$3:$H$131,MATCH(F170,'G-8 Condition Look up'!$A$3:$A$131,0),MATCH(J170,'G-8 Condition Look up'!$A$3:$H$3,0)),"")</f>
        <v/>
      </c>
      <c r="L170" s="173"/>
      <c r="M170" s="269" t="str">
        <f>IF(L170="","",IF(VLOOKUP(L170,'G-3 Multipliers'!$L$3:$N$6,2,FALSE)=0,"Spatial Data Missing",VLOOKUP(L170,'G-3 Multipliers'!$L$3:$N$6,2,FALSE)))</f>
        <v/>
      </c>
      <c r="N170" s="172" t="str">
        <f>IF(L170="","",IF(VLOOKUP(L170,'G-3 Multipliers'!$L$3:$N$6,3,FALSE)=0,"Spatial Data Missing",VLOOKUP(L170,'G-3 Multipliers'!$L$3:$N$6,3,FALSE)))</f>
        <v/>
      </c>
      <c r="O170" s="171" t="str">
        <f t="shared" si="10"/>
        <v/>
      </c>
      <c r="P170" s="261"/>
      <c r="Q170" s="261"/>
      <c r="R170" s="343" t="str">
        <f t="shared" si="11"/>
        <v/>
      </c>
      <c r="S170" s="352" t="str">
        <f t="shared" si="12"/>
        <v/>
      </c>
      <c r="T170" s="593" t="str">
        <f>IFERROR(IF(S170="Check Data","Check Data",VLOOKUP(S170,'G-4 Temporal multipliers'!$A$4:$C$37,3,FALSE)),"")</f>
        <v/>
      </c>
      <c r="U170" s="592" t="str">
        <f>IF(F170="","",VLOOKUP(F170,'G-3 Multipliers'!$A$2:$E$130,2,FALSE))</f>
        <v/>
      </c>
      <c r="V170" s="343" t="str">
        <f t="shared" si="13"/>
        <v/>
      </c>
      <c r="W170" s="343" t="str">
        <f>IF(E170="","",IF(AND(V170="Standard difficulty applied",O170&gt;P170),U170,IF(AND(V170="Low Difficulty - only applicable if all habitat created before losses",P170&gt;=O170),"Low",VLOOKUP(F170,'G-3 Multipliers'!$A$2:$E$130,4,FALSE))))</f>
        <v/>
      </c>
      <c r="X170" s="345" t="str">
        <f>IFERROR(IF(E170="","",VLOOKUP(W170, 'G-3 Multipliers'!$P$2:$Q$6,2,FALSE)),””)</f>
        <v/>
      </c>
      <c r="Y170" s="266"/>
      <c r="Z170" s="172" t="str">
        <f>IF(Y170="","",IF(VLOOKUP(Y170,'G-3 Multipliers'!$S$3:$T$9,2,FALSE)=0,"Spatial Data Missing",VLOOKUP(Y170,'G-3 Multipliers'!$S$3:$T$9,2,FALSE)))</f>
        <v/>
      </c>
      <c r="AA170" s="265" t="str">
        <f t="shared" si="14"/>
        <v/>
      </c>
      <c r="AB170" s="180"/>
      <c r="AC170" s="181"/>
    </row>
    <row r="171" spans="1:29" ht="13.8" x14ac:dyDescent="0.25">
      <c r="A171" s="35" t="str">
        <f>IFERROR(INDEX('G-8 Condition Look up'!$I$4:$I$131,MATCH(F171,'G-8 Condition Look up'!$A$4:$A$131,0)),"")</f>
        <v/>
      </c>
      <c r="C171" s="363" t="str">
        <f>IFERROR(INDEX('G-1 All Habitats'!$AG$3:$AG$15,MATCH(D171,'G-1 All Habitats'!$AF$3:$AF$15,0)),"")</f>
        <v/>
      </c>
      <c r="D171" s="186"/>
      <c r="E171" s="275"/>
      <c r="F171" s="362" t="str">
        <f>IFERROR(INDEX('G-1 All Habitats'!$B$3:$B$130,MATCH(E171,'G-1 All Habitats'!$A$3:$A$130,0)),"")</f>
        <v/>
      </c>
      <c r="G171" s="598"/>
      <c r="H171" s="239" t="str">
        <f>IF(F171="","",VLOOKUP(F171,'G-1 All Habitats'!$B$2:$M$130,10,FALSE))</f>
        <v/>
      </c>
      <c r="I171" s="176" t="str">
        <f>IFERROR(VLOOKUP(H171,'G-1 All Habitats'!$V$3:$W$7,2,FALSE),"")</f>
        <v/>
      </c>
      <c r="J171" s="270"/>
      <c r="K171" s="176" t="str">
        <f>IFERROR(INDEX('G-8 Condition Look up'!$A$3:$H$131,MATCH(F171,'G-8 Condition Look up'!$A$3:$A$131,0),MATCH(J171,'G-8 Condition Look up'!$A$3:$H$3,0)),"")</f>
        <v/>
      </c>
      <c r="L171" s="173"/>
      <c r="M171" s="269" t="str">
        <f>IF(L171="","",IF(VLOOKUP(L171,'G-3 Multipliers'!$L$3:$N$6,2,FALSE)=0,"Spatial Data Missing",VLOOKUP(L171,'G-3 Multipliers'!$L$3:$N$6,2,FALSE)))</f>
        <v/>
      </c>
      <c r="N171" s="172" t="str">
        <f>IF(L171="","",IF(VLOOKUP(L171,'G-3 Multipliers'!$L$3:$N$6,3,FALSE)=0,"Spatial Data Missing",VLOOKUP(L171,'G-3 Multipliers'!$L$3:$N$6,3,FALSE)))</f>
        <v/>
      </c>
      <c r="O171" s="171" t="str">
        <f t="shared" si="10"/>
        <v/>
      </c>
      <c r="P171" s="261"/>
      <c r="Q171" s="261"/>
      <c r="R171" s="343" t="str">
        <f t="shared" si="11"/>
        <v/>
      </c>
      <c r="S171" s="352" t="str">
        <f t="shared" si="12"/>
        <v/>
      </c>
      <c r="T171" s="593" t="str">
        <f>IFERROR(IF(S171="Check Data","Check Data",VLOOKUP(S171,'G-4 Temporal multipliers'!$A$4:$C$37,3,FALSE)),"")</f>
        <v/>
      </c>
      <c r="U171" s="592" t="str">
        <f>IF(F171="","",VLOOKUP(F171,'G-3 Multipliers'!$A$2:$E$130,2,FALSE))</f>
        <v/>
      </c>
      <c r="V171" s="343" t="str">
        <f t="shared" si="13"/>
        <v/>
      </c>
      <c r="W171" s="343" t="str">
        <f>IF(E171="","",IF(AND(V171="Standard difficulty applied",O171&gt;P171),U171,IF(AND(V171="Low Difficulty - only applicable if all habitat created before losses",P171&gt;=O171),"Low",VLOOKUP(F171,'G-3 Multipliers'!$A$2:$E$130,4,FALSE))))</f>
        <v/>
      </c>
      <c r="X171" s="345" t="str">
        <f>IFERROR(IF(E171="","",VLOOKUP(W171, 'G-3 Multipliers'!$P$2:$Q$6,2,FALSE)),””)</f>
        <v/>
      </c>
      <c r="Y171" s="266"/>
      <c r="Z171" s="172" t="str">
        <f>IF(Y171="","",IF(VLOOKUP(Y171,'G-3 Multipliers'!$S$3:$T$9,2,FALSE)=0,"Spatial Data Missing",VLOOKUP(Y171,'G-3 Multipliers'!$S$3:$T$9,2,FALSE)))</f>
        <v/>
      </c>
      <c r="AA171" s="265" t="str">
        <f t="shared" si="14"/>
        <v/>
      </c>
      <c r="AB171" s="180"/>
      <c r="AC171" s="181"/>
    </row>
    <row r="172" spans="1:29" ht="13.8" x14ac:dyDescent="0.25">
      <c r="A172" s="35" t="str">
        <f>IFERROR(INDEX('G-8 Condition Look up'!$I$4:$I$131,MATCH(F172,'G-8 Condition Look up'!$A$4:$A$131,0)),"")</f>
        <v/>
      </c>
      <c r="C172" s="363" t="str">
        <f>IFERROR(INDEX('G-1 All Habitats'!$AG$3:$AG$15,MATCH(D172,'G-1 All Habitats'!$AF$3:$AF$15,0)),"")</f>
        <v/>
      </c>
      <c r="D172" s="186"/>
      <c r="E172" s="275"/>
      <c r="F172" s="362" t="str">
        <f>IFERROR(INDEX('G-1 All Habitats'!$B$3:$B$130,MATCH(E172,'G-1 All Habitats'!$A$3:$A$130,0)),"")</f>
        <v/>
      </c>
      <c r="G172" s="598"/>
      <c r="H172" s="239" t="str">
        <f>IF(F172="","",VLOOKUP(F172,'G-1 All Habitats'!$B$2:$M$130,10,FALSE))</f>
        <v/>
      </c>
      <c r="I172" s="176" t="str">
        <f>IFERROR(VLOOKUP(H172,'G-1 All Habitats'!$V$3:$W$7,2,FALSE),"")</f>
        <v/>
      </c>
      <c r="J172" s="270"/>
      <c r="K172" s="176" t="str">
        <f>IFERROR(INDEX('G-8 Condition Look up'!$A$3:$H$131,MATCH(F172,'G-8 Condition Look up'!$A$3:$A$131,0),MATCH(J172,'G-8 Condition Look up'!$A$3:$H$3,0)),"")</f>
        <v/>
      </c>
      <c r="L172" s="173"/>
      <c r="M172" s="269" t="str">
        <f>IF(L172="","",IF(VLOOKUP(L172,'G-3 Multipliers'!$L$3:$N$6,2,FALSE)=0,"Spatial Data Missing",VLOOKUP(L172,'G-3 Multipliers'!$L$3:$N$6,2,FALSE)))</f>
        <v/>
      </c>
      <c r="N172" s="172" t="str">
        <f>IF(L172="","",IF(VLOOKUP(L172,'G-3 Multipliers'!$L$3:$N$6,3,FALSE)=0,"Spatial Data Missing",VLOOKUP(L172,'G-3 Multipliers'!$L$3:$N$6,3,FALSE)))</f>
        <v/>
      </c>
      <c r="O172" s="171" t="str">
        <f t="shared" si="10"/>
        <v/>
      </c>
      <c r="P172" s="261"/>
      <c r="Q172" s="261"/>
      <c r="R172" s="343" t="str">
        <f t="shared" si="11"/>
        <v/>
      </c>
      <c r="S172" s="352" t="str">
        <f t="shared" si="12"/>
        <v/>
      </c>
      <c r="T172" s="593" t="str">
        <f>IFERROR(IF(S172="Check Data","Check Data",VLOOKUP(S172,'G-4 Temporal multipliers'!$A$4:$C$37,3,FALSE)),"")</f>
        <v/>
      </c>
      <c r="U172" s="592" t="str">
        <f>IF(F172="","",VLOOKUP(F172,'G-3 Multipliers'!$A$2:$E$130,2,FALSE))</f>
        <v/>
      </c>
      <c r="V172" s="343" t="str">
        <f t="shared" si="13"/>
        <v/>
      </c>
      <c r="W172" s="343" t="str">
        <f>IF(E172="","",IF(AND(V172="Standard difficulty applied",O172&gt;P172),U172,IF(AND(V172="Low Difficulty - only applicable if all habitat created before losses",P172&gt;=O172),"Low",VLOOKUP(F172,'G-3 Multipliers'!$A$2:$E$130,4,FALSE))))</f>
        <v/>
      </c>
      <c r="X172" s="345" t="str">
        <f>IFERROR(IF(E172="","",VLOOKUP(W172, 'G-3 Multipliers'!$P$2:$Q$6,2,FALSE)),””)</f>
        <v/>
      </c>
      <c r="Y172" s="266"/>
      <c r="Z172" s="172" t="str">
        <f>IF(Y172="","",IF(VLOOKUP(Y172,'G-3 Multipliers'!$S$3:$T$9,2,FALSE)=0,"Spatial Data Missing",VLOOKUP(Y172,'G-3 Multipliers'!$S$3:$T$9,2,FALSE)))</f>
        <v/>
      </c>
      <c r="AA172" s="265" t="str">
        <f t="shared" si="14"/>
        <v/>
      </c>
      <c r="AB172" s="180"/>
      <c r="AC172" s="181"/>
    </row>
    <row r="173" spans="1:29" ht="13.8" x14ac:dyDescent="0.25">
      <c r="A173" s="35" t="str">
        <f>IFERROR(INDEX('G-8 Condition Look up'!$I$4:$I$131,MATCH(F173,'G-8 Condition Look up'!$A$4:$A$131,0)),"")</f>
        <v/>
      </c>
      <c r="C173" s="363" t="str">
        <f>IFERROR(INDEX('G-1 All Habitats'!$AG$3:$AG$15,MATCH(D173,'G-1 All Habitats'!$AF$3:$AF$15,0)),"")</f>
        <v/>
      </c>
      <c r="D173" s="186"/>
      <c r="E173" s="275"/>
      <c r="F173" s="362" t="str">
        <f>IFERROR(INDEX('G-1 All Habitats'!$B$3:$B$130,MATCH(E173,'G-1 All Habitats'!$A$3:$A$130,0)),"")</f>
        <v/>
      </c>
      <c r="G173" s="598"/>
      <c r="H173" s="239" t="str">
        <f>IF(F173="","",VLOOKUP(F173,'G-1 All Habitats'!$B$2:$M$130,10,FALSE))</f>
        <v/>
      </c>
      <c r="I173" s="176" t="str">
        <f>IFERROR(VLOOKUP(H173,'G-1 All Habitats'!$V$3:$W$7,2,FALSE),"")</f>
        <v/>
      </c>
      <c r="J173" s="270"/>
      <c r="K173" s="176" t="str">
        <f>IFERROR(INDEX('G-8 Condition Look up'!$A$3:$H$131,MATCH(F173,'G-8 Condition Look up'!$A$3:$A$131,0),MATCH(J173,'G-8 Condition Look up'!$A$3:$H$3,0)),"")</f>
        <v/>
      </c>
      <c r="L173" s="173"/>
      <c r="M173" s="269" t="str">
        <f>IF(L173="","",IF(VLOOKUP(L173,'G-3 Multipliers'!$L$3:$N$6,2,FALSE)=0,"Spatial Data Missing",VLOOKUP(L173,'G-3 Multipliers'!$L$3:$N$6,2,FALSE)))</f>
        <v/>
      </c>
      <c r="N173" s="172" t="str">
        <f>IF(L173="","",IF(VLOOKUP(L173,'G-3 Multipliers'!$L$3:$N$6,3,FALSE)=0,"Spatial Data Missing",VLOOKUP(L173,'G-3 Multipliers'!$L$3:$N$6,3,FALSE)))</f>
        <v/>
      </c>
      <c r="O173" s="171" t="str">
        <f t="shared" si="10"/>
        <v/>
      </c>
      <c r="P173" s="261"/>
      <c r="Q173" s="261"/>
      <c r="R173" s="343" t="str">
        <f t="shared" si="11"/>
        <v/>
      </c>
      <c r="S173" s="352" t="str">
        <f t="shared" si="12"/>
        <v/>
      </c>
      <c r="T173" s="593" t="str">
        <f>IFERROR(IF(S173="Check Data","Check Data",VLOOKUP(S173,'G-4 Temporal multipliers'!$A$4:$C$37,3,FALSE)),"")</f>
        <v/>
      </c>
      <c r="U173" s="592" t="str">
        <f>IF(F173="","",VLOOKUP(F173,'G-3 Multipliers'!$A$2:$E$130,2,FALSE))</f>
        <v/>
      </c>
      <c r="V173" s="343" t="str">
        <f t="shared" si="13"/>
        <v/>
      </c>
      <c r="W173" s="343" t="str">
        <f>IF(E173="","",IF(AND(V173="Standard difficulty applied",O173&gt;P173),U173,IF(AND(V173="Low Difficulty - only applicable if all habitat created before losses",P173&gt;=O173),"Low",VLOOKUP(F173,'G-3 Multipliers'!$A$2:$E$130,4,FALSE))))</f>
        <v/>
      </c>
      <c r="X173" s="345" t="str">
        <f>IFERROR(IF(E173="","",VLOOKUP(W173, 'G-3 Multipliers'!$P$2:$Q$6,2,FALSE)),””)</f>
        <v/>
      </c>
      <c r="Y173" s="266"/>
      <c r="Z173" s="172" t="str">
        <f>IF(Y173="","",IF(VLOOKUP(Y173,'G-3 Multipliers'!$S$3:$T$9,2,FALSE)=0,"Spatial Data Missing",VLOOKUP(Y173,'G-3 Multipliers'!$S$3:$T$9,2,FALSE)))</f>
        <v/>
      </c>
      <c r="AA173" s="265" t="str">
        <f t="shared" si="14"/>
        <v/>
      </c>
      <c r="AB173" s="180"/>
      <c r="AC173" s="181"/>
    </row>
    <row r="174" spans="1:29" ht="13.8" x14ac:dyDescent="0.25">
      <c r="A174" s="35" t="str">
        <f>IFERROR(INDEX('G-8 Condition Look up'!$I$4:$I$131,MATCH(F174,'G-8 Condition Look up'!$A$4:$A$131,0)),"")</f>
        <v/>
      </c>
      <c r="C174" s="363" t="str">
        <f>IFERROR(INDEX('G-1 All Habitats'!$AG$3:$AG$15,MATCH(D174,'G-1 All Habitats'!$AF$3:$AF$15,0)),"")</f>
        <v/>
      </c>
      <c r="D174" s="186"/>
      <c r="E174" s="275"/>
      <c r="F174" s="362" t="str">
        <f>IFERROR(INDEX('G-1 All Habitats'!$B$3:$B$130,MATCH(E174,'G-1 All Habitats'!$A$3:$A$130,0)),"")</f>
        <v/>
      </c>
      <c r="G174" s="598"/>
      <c r="H174" s="239" t="str">
        <f>IF(F174="","",VLOOKUP(F174,'G-1 All Habitats'!$B$2:$M$130,10,FALSE))</f>
        <v/>
      </c>
      <c r="I174" s="176" t="str">
        <f>IFERROR(VLOOKUP(H174,'G-1 All Habitats'!$V$3:$W$7,2,FALSE),"")</f>
        <v/>
      </c>
      <c r="J174" s="270"/>
      <c r="K174" s="176" t="str">
        <f>IFERROR(INDEX('G-8 Condition Look up'!$A$3:$H$131,MATCH(F174,'G-8 Condition Look up'!$A$3:$A$131,0),MATCH(J174,'G-8 Condition Look up'!$A$3:$H$3,0)),"")</f>
        <v/>
      </c>
      <c r="L174" s="173"/>
      <c r="M174" s="269" t="str">
        <f>IF(L174="","",IF(VLOOKUP(L174,'G-3 Multipliers'!$L$3:$N$6,2,FALSE)=0,"Spatial Data Missing",VLOOKUP(L174,'G-3 Multipliers'!$L$3:$N$6,2,FALSE)))</f>
        <v/>
      </c>
      <c r="N174" s="172" t="str">
        <f>IF(L174="","",IF(VLOOKUP(L174,'G-3 Multipliers'!$L$3:$N$6,3,FALSE)=0,"Spatial Data Missing",VLOOKUP(L174,'G-3 Multipliers'!$L$3:$N$6,3,FALSE)))</f>
        <v/>
      </c>
      <c r="O174" s="171" t="str">
        <f t="shared" si="10"/>
        <v/>
      </c>
      <c r="P174" s="261"/>
      <c r="Q174" s="261"/>
      <c r="R174" s="343" t="str">
        <f t="shared" si="11"/>
        <v/>
      </c>
      <c r="S174" s="352" t="str">
        <f t="shared" si="12"/>
        <v/>
      </c>
      <c r="T174" s="593" t="str">
        <f>IFERROR(IF(S174="Check Data","Check Data",VLOOKUP(S174,'G-4 Temporal multipliers'!$A$4:$C$37,3,FALSE)),"")</f>
        <v/>
      </c>
      <c r="U174" s="592" t="str">
        <f>IF(F174="","",VLOOKUP(F174,'G-3 Multipliers'!$A$2:$E$130,2,FALSE))</f>
        <v/>
      </c>
      <c r="V174" s="343" t="str">
        <f t="shared" si="13"/>
        <v/>
      </c>
      <c r="W174" s="343" t="str">
        <f>IF(E174="","",IF(AND(V174="Standard difficulty applied",O174&gt;P174),U174,IF(AND(V174="Low Difficulty - only applicable if all habitat created before losses",P174&gt;=O174),"Low",VLOOKUP(F174,'G-3 Multipliers'!$A$2:$E$130,4,FALSE))))</f>
        <v/>
      </c>
      <c r="X174" s="345" t="str">
        <f>IFERROR(IF(E174="","",VLOOKUP(W174, 'G-3 Multipliers'!$P$2:$Q$6,2,FALSE)),””)</f>
        <v/>
      </c>
      <c r="Y174" s="266"/>
      <c r="Z174" s="172" t="str">
        <f>IF(Y174="","",IF(VLOOKUP(Y174,'G-3 Multipliers'!$S$3:$T$9,2,FALSE)=0,"Spatial Data Missing",VLOOKUP(Y174,'G-3 Multipliers'!$S$3:$T$9,2,FALSE)))</f>
        <v/>
      </c>
      <c r="AA174" s="265" t="str">
        <f t="shared" si="14"/>
        <v/>
      </c>
      <c r="AB174" s="180"/>
      <c r="AC174" s="181"/>
    </row>
    <row r="175" spans="1:29" ht="13.8" x14ac:dyDescent="0.25">
      <c r="A175" s="35" t="str">
        <f>IFERROR(INDEX('G-8 Condition Look up'!$I$4:$I$131,MATCH(F175,'G-8 Condition Look up'!$A$4:$A$131,0)),"")</f>
        <v/>
      </c>
      <c r="C175" s="363" t="str">
        <f>IFERROR(INDEX('G-1 All Habitats'!$AG$3:$AG$15,MATCH(D175,'G-1 All Habitats'!$AF$3:$AF$15,0)),"")</f>
        <v/>
      </c>
      <c r="D175" s="186"/>
      <c r="E175" s="275"/>
      <c r="F175" s="362" t="str">
        <f>IFERROR(INDEX('G-1 All Habitats'!$B$3:$B$130,MATCH(E175,'G-1 All Habitats'!$A$3:$A$130,0)),"")</f>
        <v/>
      </c>
      <c r="G175" s="598"/>
      <c r="H175" s="239" t="str">
        <f>IF(F175="","",VLOOKUP(F175,'G-1 All Habitats'!$B$2:$M$130,10,FALSE))</f>
        <v/>
      </c>
      <c r="I175" s="176" t="str">
        <f>IFERROR(VLOOKUP(H175,'G-1 All Habitats'!$V$3:$W$7,2,FALSE),"")</f>
        <v/>
      </c>
      <c r="J175" s="270"/>
      <c r="K175" s="176" t="str">
        <f>IFERROR(INDEX('G-8 Condition Look up'!$A$3:$H$131,MATCH(F175,'G-8 Condition Look up'!$A$3:$A$131,0),MATCH(J175,'G-8 Condition Look up'!$A$3:$H$3,0)),"")</f>
        <v/>
      </c>
      <c r="L175" s="173"/>
      <c r="M175" s="269" t="str">
        <f>IF(L175="","",IF(VLOOKUP(L175,'G-3 Multipliers'!$L$3:$N$6,2,FALSE)=0,"Spatial Data Missing",VLOOKUP(L175,'G-3 Multipliers'!$L$3:$N$6,2,FALSE)))</f>
        <v/>
      </c>
      <c r="N175" s="172" t="str">
        <f>IF(L175="","",IF(VLOOKUP(L175,'G-3 Multipliers'!$L$3:$N$6,3,FALSE)=0,"Spatial Data Missing",VLOOKUP(L175,'G-3 Multipliers'!$L$3:$N$6,3,FALSE)))</f>
        <v/>
      </c>
      <c r="O175" s="171" t="str">
        <f t="shared" si="10"/>
        <v/>
      </c>
      <c r="P175" s="261"/>
      <c r="Q175" s="261"/>
      <c r="R175" s="343" t="str">
        <f t="shared" si="11"/>
        <v/>
      </c>
      <c r="S175" s="352" t="str">
        <f t="shared" si="12"/>
        <v/>
      </c>
      <c r="T175" s="593" t="str">
        <f>IFERROR(IF(S175="Check Data","Check Data",VLOOKUP(S175,'G-4 Temporal multipliers'!$A$4:$C$37,3,FALSE)),"")</f>
        <v/>
      </c>
      <c r="U175" s="592" t="str">
        <f>IF(F175="","",VLOOKUP(F175,'G-3 Multipliers'!$A$2:$E$130,2,FALSE))</f>
        <v/>
      </c>
      <c r="V175" s="343" t="str">
        <f t="shared" si="13"/>
        <v/>
      </c>
      <c r="W175" s="343" t="str">
        <f>IF(E175="","",IF(AND(V175="Standard difficulty applied",O175&gt;P175),U175,IF(AND(V175="Low Difficulty - only applicable if all habitat created before losses",P175&gt;=O175),"Low",VLOOKUP(F175,'G-3 Multipliers'!$A$2:$E$130,4,FALSE))))</f>
        <v/>
      </c>
      <c r="X175" s="345" t="str">
        <f>IFERROR(IF(E175="","",VLOOKUP(W175, 'G-3 Multipliers'!$P$2:$Q$6,2,FALSE)),””)</f>
        <v/>
      </c>
      <c r="Y175" s="266"/>
      <c r="Z175" s="172" t="str">
        <f>IF(Y175="","",IF(VLOOKUP(Y175,'G-3 Multipliers'!$S$3:$T$9,2,FALSE)=0,"Spatial Data Missing",VLOOKUP(Y175,'G-3 Multipliers'!$S$3:$T$9,2,FALSE)))</f>
        <v/>
      </c>
      <c r="AA175" s="265" t="str">
        <f t="shared" si="14"/>
        <v/>
      </c>
      <c r="AB175" s="180"/>
      <c r="AC175" s="181"/>
    </row>
    <row r="176" spans="1:29" ht="13.8" x14ac:dyDescent="0.25">
      <c r="A176" s="35" t="str">
        <f>IFERROR(INDEX('G-8 Condition Look up'!$I$4:$I$131,MATCH(F176,'G-8 Condition Look up'!$A$4:$A$131,0)),"")</f>
        <v/>
      </c>
      <c r="C176" s="363" t="str">
        <f>IFERROR(INDEX('G-1 All Habitats'!$AG$3:$AG$15,MATCH(D176,'G-1 All Habitats'!$AF$3:$AF$15,0)),"")</f>
        <v/>
      </c>
      <c r="D176" s="186"/>
      <c r="E176" s="275"/>
      <c r="F176" s="362" t="str">
        <f>IFERROR(INDEX('G-1 All Habitats'!$B$3:$B$130,MATCH(E176,'G-1 All Habitats'!$A$3:$A$130,0)),"")</f>
        <v/>
      </c>
      <c r="G176" s="598"/>
      <c r="H176" s="239" t="str">
        <f>IF(F176="","",VLOOKUP(F176,'G-1 All Habitats'!$B$2:$M$130,10,FALSE))</f>
        <v/>
      </c>
      <c r="I176" s="176" t="str">
        <f>IFERROR(VLOOKUP(H176,'G-1 All Habitats'!$V$3:$W$7,2,FALSE),"")</f>
        <v/>
      </c>
      <c r="J176" s="270"/>
      <c r="K176" s="176" t="str">
        <f>IFERROR(INDEX('G-8 Condition Look up'!$A$3:$H$131,MATCH(F176,'G-8 Condition Look up'!$A$3:$A$131,0),MATCH(J176,'G-8 Condition Look up'!$A$3:$H$3,0)),"")</f>
        <v/>
      </c>
      <c r="L176" s="173"/>
      <c r="M176" s="269" t="str">
        <f>IF(L176="","",IF(VLOOKUP(L176,'G-3 Multipliers'!$L$3:$N$6,2,FALSE)=0,"Spatial Data Missing",VLOOKUP(L176,'G-3 Multipliers'!$L$3:$N$6,2,FALSE)))</f>
        <v/>
      </c>
      <c r="N176" s="172" t="str">
        <f>IF(L176="","",IF(VLOOKUP(L176,'G-3 Multipliers'!$L$3:$N$6,3,FALSE)=0,"Spatial Data Missing",VLOOKUP(L176,'G-3 Multipliers'!$L$3:$N$6,3,FALSE)))</f>
        <v/>
      </c>
      <c r="O176" s="171" t="str">
        <f t="shared" si="10"/>
        <v/>
      </c>
      <c r="P176" s="261"/>
      <c r="Q176" s="261"/>
      <c r="R176" s="343" t="str">
        <f t="shared" si="11"/>
        <v/>
      </c>
      <c r="S176" s="352" t="str">
        <f t="shared" si="12"/>
        <v/>
      </c>
      <c r="T176" s="593" t="str">
        <f>IFERROR(IF(S176="Check Data","Check Data",VLOOKUP(S176,'G-4 Temporal multipliers'!$A$4:$C$37,3,FALSE)),"")</f>
        <v/>
      </c>
      <c r="U176" s="592" t="str">
        <f>IF(F176="","",VLOOKUP(F176,'G-3 Multipliers'!$A$2:$E$130,2,FALSE))</f>
        <v/>
      </c>
      <c r="V176" s="343" t="str">
        <f t="shared" si="13"/>
        <v/>
      </c>
      <c r="W176" s="343" t="str">
        <f>IF(E176="","",IF(AND(V176="Standard difficulty applied",O176&gt;P176),U176,IF(AND(V176="Low Difficulty - only applicable if all habitat created before losses",P176&gt;=O176),"Low",VLOOKUP(F176,'G-3 Multipliers'!$A$2:$E$130,4,FALSE))))</f>
        <v/>
      </c>
      <c r="X176" s="345" t="str">
        <f>IFERROR(IF(E176="","",VLOOKUP(W176, 'G-3 Multipliers'!$P$2:$Q$6,2,FALSE)),””)</f>
        <v/>
      </c>
      <c r="Y176" s="266"/>
      <c r="Z176" s="172" t="str">
        <f>IF(Y176="","",IF(VLOOKUP(Y176,'G-3 Multipliers'!$S$3:$T$9,2,FALSE)=0,"Spatial Data Missing",VLOOKUP(Y176,'G-3 Multipliers'!$S$3:$T$9,2,FALSE)))</f>
        <v/>
      </c>
      <c r="AA176" s="265" t="str">
        <f t="shared" si="14"/>
        <v/>
      </c>
      <c r="AB176" s="180"/>
      <c r="AC176" s="181"/>
    </row>
    <row r="177" spans="1:29" ht="13.8" x14ac:dyDescent="0.25">
      <c r="A177" s="35" t="str">
        <f>IFERROR(INDEX('G-8 Condition Look up'!$I$4:$I$131,MATCH(F177,'G-8 Condition Look up'!$A$4:$A$131,0)),"")</f>
        <v/>
      </c>
      <c r="C177" s="363" t="str">
        <f>IFERROR(INDEX('G-1 All Habitats'!$AG$3:$AG$15,MATCH(D177,'G-1 All Habitats'!$AF$3:$AF$15,0)),"")</f>
        <v/>
      </c>
      <c r="D177" s="186"/>
      <c r="E177" s="275"/>
      <c r="F177" s="362" t="str">
        <f>IFERROR(INDEX('G-1 All Habitats'!$B$3:$B$130,MATCH(E177,'G-1 All Habitats'!$A$3:$A$130,0)),"")</f>
        <v/>
      </c>
      <c r="G177" s="598"/>
      <c r="H177" s="239" t="str">
        <f>IF(F177="","",VLOOKUP(F177,'G-1 All Habitats'!$B$2:$M$130,10,FALSE))</f>
        <v/>
      </c>
      <c r="I177" s="176" t="str">
        <f>IFERROR(VLOOKUP(H177,'G-1 All Habitats'!$V$3:$W$7,2,FALSE),"")</f>
        <v/>
      </c>
      <c r="J177" s="270"/>
      <c r="K177" s="176" t="str">
        <f>IFERROR(INDEX('G-8 Condition Look up'!$A$3:$H$131,MATCH(F177,'G-8 Condition Look up'!$A$3:$A$131,0),MATCH(J177,'G-8 Condition Look up'!$A$3:$H$3,0)),"")</f>
        <v/>
      </c>
      <c r="L177" s="173"/>
      <c r="M177" s="269" t="str">
        <f>IF(L177="","",IF(VLOOKUP(L177,'G-3 Multipliers'!$L$3:$N$6,2,FALSE)=0,"Spatial Data Missing",VLOOKUP(L177,'G-3 Multipliers'!$L$3:$N$6,2,FALSE)))</f>
        <v/>
      </c>
      <c r="N177" s="172" t="str">
        <f>IF(L177="","",IF(VLOOKUP(L177,'G-3 Multipliers'!$L$3:$N$6,3,FALSE)=0,"Spatial Data Missing",VLOOKUP(L177,'G-3 Multipliers'!$L$3:$N$6,3,FALSE)))</f>
        <v/>
      </c>
      <c r="O177" s="171" t="str">
        <f t="shared" si="10"/>
        <v/>
      </c>
      <c r="P177" s="261"/>
      <c r="Q177" s="261"/>
      <c r="R177" s="343" t="str">
        <f t="shared" si="11"/>
        <v/>
      </c>
      <c r="S177" s="352" t="str">
        <f t="shared" si="12"/>
        <v/>
      </c>
      <c r="T177" s="593" t="str">
        <f>IFERROR(IF(S177="Check Data","Check Data",VLOOKUP(S177,'G-4 Temporal multipliers'!$A$4:$C$37,3,FALSE)),"")</f>
        <v/>
      </c>
      <c r="U177" s="592" t="str">
        <f>IF(F177="","",VLOOKUP(F177,'G-3 Multipliers'!$A$2:$E$130,2,FALSE))</f>
        <v/>
      </c>
      <c r="V177" s="343" t="str">
        <f t="shared" si="13"/>
        <v/>
      </c>
      <c r="W177" s="343" t="str">
        <f>IF(E177="","",IF(AND(V177="Standard difficulty applied",O177&gt;P177),U177,IF(AND(V177="Low Difficulty - only applicable if all habitat created before losses",P177&gt;=O177),"Low",VLOOKUP(F177,'G-3 Multipliers'!$A$2:$E$130,4,FALSE))))</f>
        <v/>
      </c>
      <c r="X177" s="345" t="str">
        <f>IFERROR(IF(E177="","",VLOOKUP(W177, 'G-3 Multipliers'!$P$2:$Q$6,2,FALSE)),””)</f>
        <v/>
      </c>
      <c r="Y177" s="266"/>
      <c r="Z177" s="172" t="str">
        <f>IF(Y177="","",IF(VLOOKUP(Y177,'G-3 Multipliers'!$S$3:$T$9,2,FALSE)=0,"Spatial Data Missing",VLOOKUP(Y177,'G-3 Multipliers'!$S$3:$T$9,2,FALSE)))</f>
        <v/>
      </c>
      <c r="AA177" s="265" t="str">
        <f t="shared" si="14"/>
        <v/>
      </c>
      <c r="AB177" s="180"/>
      <c r="AC177" s="181"/>
    </row>
    <row r="178" spans="1:29" ht="13.8" x14ac:dyDescent="0.25">
      <c r="A178" s="35" t="str">
        <f>IFERROR(INDEX('G-8 Condition Look up'!$I$4:$I$131,MATCH(F178,'G-8 Condition Look up'!$A$4:$A$131,0)),"")</f>
        <v/>
      </c>
      <c r="C178" s="363" t="str">
        <f>IFERROR(INDEX('G-1 All Habitats'!$AG$3:$AG$15,MATCH(D178,'G-1 All Habitats'!$AF$3:$AF$15,0)),"")</f>
        <v/>
      </c>
      <c r="D178" s="186"/>
      <c r="E178" s="275"/>
      <c r="F178" s="362" t="str">
        <f>IFERROR(INDEX('G-1 All Habitats'!$B$3:$B$130,MATCH(E178,'G-1 All Habitats'!$A$3:$A$130,0)),"")</f>
        <v/>
      </c>
      <c r="G178" s="598"/>
      <c r="H178" s="239" t="str">
        <f>IF(F178="","",VLOOKUP(F178,'G-1 All Habitats'!$B$2:$M$130,10,FALSE))</f>
        <v/>
      </c>
      <c r="I178" s="176" t="str">
        <f>IFERROR(VLOOKUP(H178,'G-1 All Habitats'!$V$3:$W$7,2,FALSE),"")</f>
        <v/>
      </c>
      <c r="J178" s="270"/>
      <c r="K178" s="176" t="str">
        <f>IFERROR(INDEX('G-8 Condition Look up'!$A$3:$H$131,MATCH(F178,'G-8 Condition Look up'!$A$3:$A$131,0),MATCH(J178,'G-8 Condition Look up'!$A$3:$H$3,0)),"")</f>
        <v/>
      </c>
      <c r="L178" s="173"/>
      <c r="M178" s="269" t="str">
        <f>IF(L178="","",IF(VLOOKUP(L178,'G-3 Multipliers'!$L$3:$N$6,2,FALSE)=0,"Spatial Data Missing",VLOOKUP(L178,'G-3 Multipliers'!$L$3:$N$6,2,FALSE)))</f>
        <v/>
      </c>
      <c r="N178" s="172" t="str">
        <f>IF(L178="","",IF(VLOOKUP(L178,'G-3 Multipliers'!$L$3:$N$6,3,FALSE)=0,"Spatial Data Missing",VLOOKUP(L178,'G-3 Multipliers'!$L$3:$N$6,3,FALSE)))</f>
        <v/>
      </c>
      <c r="O178" s="171" t="str">
        <f t="shared" si="10"/>
        <v/>
      </c>
      <c r="P178" s="261"/>
      <c r="Q178" s="261"/>
      <c r="R178" s="343" t="str">
        <f t="shared" si="11"/>
        <v/>
      </c>
      <c r="S178" s="352" t="str">
        <f t="shared" si="12"/>
        <v/>
      </c>
      <c r="T178" s="593" t="str">
        <f>IFERROR(IF(S178="Check Data","Check Data",VLOOKUP(S178,'G-4 Temporal multipliers'!$A$4:$C$37,3,FALSE)),"")</f>
        <v/>
      </c>
      <c r="U178" s="592" t="str">
        <f>IF(F178="","",VLOOKUP(F178,'G-3 Multipliers'!$A$2:$E$130,2,FALSE))</f>
        <v/>
      </c>
      <c r="V178" s="343" t="str">
        <f t="shared" si="13"/>
        <v/>
      </c>
      <c r="W178" s="343" t="str">
        <f>IF(E178="","",IF(AND(V178="Standard difficulty applied",O178&gt;P178),U178,IF(AND(V178="Low Difficulty - only applicable if all habitat created before losses",P178&gt;=O178),"Low",VLOOKUP(F178,'G-3 Multipliers'!$A$2:$E$130,4,FALSE))))</f>
        <v/>
      </c>
      <c r="X178" s="345" t="str">
        <f>IFERROR(IF(E178="","",VLOOKUP(W178, 'G-3 Multipliers'!$P$2:$Q$6,2,FALSE)),””)</f>
        <v/>
      </c>
      <c r="Y178" s="266"/>
      <c r="Z178" s="172" t="str">
        <f>IF(Y178="","",IF(VLOOKUP(Y178,'G-3 Multipliers'!$S$3:$T$9,2,FALSE)=0,"Spatial Data Missing",VLOOKUP(Y178,'G-3 Multipliers'!$S$3:$T$9,2,FALSE)))</f>
        <v/>
      </c>
      <c r="AA178" s="265" t="str">
        <f t="shared" si="14"/>
        <v/>
      </c>
      <c r="AB178" s="180"/>
      <c r="AC178" s="181"/>
    </row>
    <row r="179" spans="1:29" ht="13.8" x14ac:dyDescent="0.25">
      <c r="A179" s="35" t="str">
        <f>IFERROR(INDEX('G-8 Condition Look up'!$I$4:$I$131,MATCH(F179,'G-8 Condition Look up'!$A$4:$A$131,0)),"")</f>
        <v/>
      </c>
      <c r="C179" s="363" t="str">
        <f>IFERROR(INDEX('G-1 All Habitats'!$AG$3:$AG$15,MATCH(D179,'G-1 All Habitats'!$AF$3:$AF$15,0)),"")</f>
        <v/>
      </c>
      <c r="D179" s="186"/>
      <c r="E179" s="275"/>
      <c r="F179" s="362" t="str">
        <f>IFERROR(INDEX('G-1 All Habitats'!$B$3:$B$130,MATCH(E179,'G-1 All Habitats'!$A$3:$A$130,0)),"")</f>
        <v/>
      </c>
      <c r="G179" s="598"/>
      <c r="H179" s="239" t="str">
        <f>IF(F179="","",VLOOKUP(F179,'G-1 All Habitats'!$B$2:$M$130,10,FALSE))</f>
        <v/>
      </c>
      <c r="I179" s="176" t="str">
        <f>IFERROR(VLOOKUP(H179,'G-1 All Habitats'!$V$3:$W$7,2,FALSE),"")</f>
        <v/>
      </c>
      <c r="J179" s="270"/>
      <c r="K179" s="176" t="str">
        <f>IFERROR(INDEX('G-8 Condition Look up'!$A$3:$H$131,MATCH(F179,'G-8 Condition Look up'!$A$3:$A$131,0),MATCH(J179,'G-8 Condition Look up'!$A$3:$H$3,0)),"")</f>
        <v/>
      </c>
      <c r="L179" s="173"/>
      <c r="M179" s="269" t="str">
        <f>IF(L179="","",IF(VLOOKUP(L179,'G-3 Multipliers'!$L$3:$N$6,2,FALSE)=0,"Spatial Data Missing",VLOOKUP(L179,'G-3 Multipliers'!$L$3:$N$6,2,FALSE)))</f>
        <v/>
      </c>
      <c r="N179" s="172" t="str">
        <f>IF(L179="","",IF(VLOOKUP(L179,'G-3 Multipliers'!$L$3:$N$6,3,FALSE)=0,"Spatial Data Missing",VLOOKUP(L179,'G-3 Multipliers'!$L$3:$N$6,3,FALSE)))</f>
        <v/>
      </c>
      <c r="O179" s="171" t="str">
        <f t="shared" si="10"/>
        <v/>
      </c>
      <c r="P179" s="261"/>
      <c r="Q179" s="261"/>
      <c r="R179" s="343" t="str">
        <f t="shared" si="11"/>
        <v/>
      </c>
      <c r="S179" s="352" t="str">
        <f t="shared" si="12"/>
        <v/>
      </c>
      <c r="T179" s="593" t="str">
        <f>IFERROR(IF(S179="Check Data","Check Data",VLOOKUP(S179,'G-4 Temporal multipliers'!$A$4:$C$37,3,FALSE)),"")</f>
        <v/>
      </c>
      <c r="U179" s="592" t="str">
        <f>IF(F179="","",VLOOKUP(F179,'G-3 Multipliers'!$A$2:$E$130,2,FALSE))</f>
        <v/>
      </c>
      <c r="V179" s="343" t="str">
        <f t="shared" si="13"/>
        <v/>
      </c>
      <c r="W179" s="343" t="str">
        <f>IF(E179="","",IF(AND(V179="Standard difficulty applied",O179&gt;P179),U179,IF(AND(V179="Low Difficulty - only applicable if all habitat created before losses",P179&gt;=O179),"Low",VLOOKUP(F179,'G-3 Multipliers'!$A$2:$E$130,4,FALSE))))</f>
        <v/>
      </c>
      <c r="X179" s="345" t="str">
        <f>IFERROR(IF(E179="","",VLOOKUP(W179, 'G-3 Multipliers'!$P$2:$Q$6,2,FALSE)),””)</f>
        <v/>
      </c>
      <c r="Y179" s="266"/>
      <c r="Z179" s="172" t="str">
        <f>IF(Y179="","",IF(VLOOKUP(Y179,'G-3 Multipliers'!$S$3:$T$9,2,FALSE)=0,"Spatial Data Missing",VLOOKUP(Y179,'G-3 Multipliers'!$S$3:$T$9,2,FALSE)))</f>
        <v/>
      </c>
      <c r="AA179" s="265" t="str">
        <f t="shared" si="14"/>
        <v/>
      </c>
      <c r="AB179" s="180"/>
      <c r="AC179" s="181"/>
    </row>
    <row r="180" spans="1:29" ht="13.8" x14ac:dyDescent="0.25">
      <c r="A180" s="35" t="str">
        <f>IFERROR(INDEX('G-8 Condition Look up'!$I$4:$I$131,MATCH(F180,'G-8 Condition Look up'!$A$4:$A$131,0)),"")</f>
        <v/>
      </c>
      <c r="C180" s="363" t="str">
        <f>IFERROR(INDEX('G-1 All Habitats'!$AG$3:$AG$15,MATCH(D180,'G-1 All Habitats'!$AF$3:$AF$15,0)),"")</f>
        <v/>
      </c>
      <c r="D180" s="186"/>
      <c r="E180" s="275"/>
      <c r="F180" s="362" t="str">
        <f>IFERROR(INDEX('G-1 All Habitats'!$B$3:$B$130,MATCH(E180,'G-1 All Habitats'!$A$3:$A$130,0)),"")</f>
        <v/>
      </c>
      <c r="G180" s="598"/>
      <c r="H180" s="239" t="str">
        <f>IF(F180="","",VLOOKUP(F180,'G-1 All Habitats'!$B$2:$M$130,10,FALSE))</f>
        <v/>
      </c>
      <c r="I180" s="176" t="str">
        <f>IFERROR(VLOOKUP(H180,'G-1 All Habitats'!$V$3:$W$7,2,FALSE),"")</f>
        <v/>
      </c>
      <c r="J180" s="270"/>
      <c r="K180" s="176" t="str">
        <f>IFERROR(INDEX('G-8 Condition Look up'!$A$3:$H$131,MATCH(F180,'G-8 Condition Look up'!$A$3:$A$131,0),MATCH(J180,'G-8 Condition Look up'!$A$3:$H$3,0)),"")</f>
        <v/>
      </c>
      <c r="L180" s="173"/>
      <c r="M180" s="269" t="str">
        <f>IF(L180="","",IF(VLOOKUP(L180,'G-3 Multipliers'!$L$3:$N$6,2,FALSE)=0,"Spatial Data Missing",VLOOKUP(L180,'G-3 Multipliers'!$L$3:$N$6,2,FALSE)))</f>
        <v/>
      </c>
      <c r="N180" s="172" t="str">
        <f>IF(L180="","",IF(VLOOKUP(L180,'G-3 Multipliers'!$L$3:$N$6,3,FALSE)=0,"Spatial Data Missing",VLOOKUP(L180,'G-3 Multipliers'!$L$3:$N$6,3,FALSE)))</f>
        <v/>
      </c>
      <c r="O180" s="171" t="str">
        <f t="shared" si="10"/>
        <v/>
      </c>
      <c r="P180" s="261"/>
      <c r="Q180" s="261"/>
      <c r="R180" s="343" t="str">
        <f t="shared" si="11"/>
        <v/>
      </c>
      <c r="S180" s="352" t="str">
        <f t="shared" si="12"/>
        <v/>
      </c>
      <c r="T180" s="593" t="str">
        <f>IFERROR(IF(S180="Check Data","Check Data",VLOOKUP(S180,'G-4 Temporal multipliers'!$A$4:$C$37,3,FALSE)),"")</f>
        <v/>
      </c>
      <c r="U180" s="592" t="str">
        <f>IF(F180="","",VLOOKUP(F180,'G-3 Multipliers'!$A$2:$E$130,2,FALSE))</f>
        <v/>
      </c>
      <c r="V180" s="343" t="str">
        <f t="shared" si="13"/>
        <v/>
      </c>
      <c r="W180" s="343" t="str">
        <f>IF(E180="","",IF(AND(V180="Standard difficulty applied",O180&gt;P180),U180,IF(AND(V180="Low Difficulty - only applicable if all habitat created before losses",P180&gt;=O180),"Low",VLOOKUP(F180,'G-3 Multipliers'!$A$2:$E$130,4,FALSE))))</f>
        <v/>
      </c>
      <c r="X180" s="345" t="str">
        <f>IFERROR(IF(E180="","",VLOOKUP(W180, 'G-3 Multipliers'!$P$2:$Q$6,2,FALSE)),””)</f>
        <v/>
      </c>
      <c r="Y180" s="266"/>
      <c r="Z180" s="172" t="str">
        <f>IF(Y180="","",IF(VLOOKUP(Y180,'G-3 Multipliers'!$S$3:$T$9,2,FALSE)=0,"Spatial Data Missing",VLOOKUP(Y180,'G-3 Multipliers'!$S$3:$T$9,2,FALSE)))</f>
        <v/>
      </c>
      <c r="AA180" s="265" t="str">
        <f t="shared" si="14"/>
        <v/>
      </c>
      <c r="AB180" s="180"/>
      <c r="AC180" s="181"/>
    </row>
    <row r="181" spans="1:29" ht="13.8" x14ac:dyDescent="0.25">
      <c r="A181" s="35" t="str">
        <f>IFERROR(INDEX('G-8 Condition Look up'!$I$4:$I$131,MATCH(F181,'G-8 Condition Look up'!$A$4:$A$131,0)),"")</f>
        <v/>
      </c>
      <c r="C181" s="363" t="str">
        <f>IFERROR(INDEX('G-1 All Habitats'!$AG$3:$AG$15,MATCH(D181,'G-1 All Habitats'!$AF$3:$AF$15,0)),"")</f>
        <v/>
      </c>
      <c r="D181" s="186"/>
      <c r="E181" s="275"/>
      <c r="F181" s="362" t="str">
        <f>IFERROR(INDEX('G-1 All Habitats'!$B$3:$B$130,MATCH(E181,'G-1 All Habitats'!$A$3:$A$130,0)),"")</f>
        <v/>
      </c>
      <c r="G181" s="598"/>
      <c r="H181" s="239" t="str">
        <f>IF(F181="","",VLOOKUP(F181,'G-1 All Habitats'!$B$2:$M$130,10,FALSE))</f>
        <v/>
      </c>
      <c r="I181" s="176" t="str">
        <f>IFERROR(VLOOKUP(H181,'G-1 All Habitats'!$V$3:$W$7,2,FALSE),"")</f>
        <v/>
      </c>
      <c r="J181" s="270"/>
      <c r="K181" s="176" t="str">
        <f>IFERROR(INDEX('G-8 Condition Look up'!$A$3:$H$131,MATCH(F181,'G-8 Condition Look up'!$A$3:$A$131,0),MATCH(J181,'G-8 Condition Look up'!$A$3:$H$3,0)),"")</f>
        <v/>
      </c>
      <c r="L181" s="173"/>
      <c r="M181" s="269" t="str">
        <f>IF(L181="","",IF(VLOOKUP(L181,'G-3 Multipliers'!$L$3:$N$6,2,FALSE)=0,"Spatial Data Missing",VLOOKUP(L181,'G-3 Multipliers'!$L$3:$N$6,2,FALSE)))</f>
        <v/>
      </c>
      <c r="N181" s="172" t="str">
        <f>IF(L181="","",IF(VLOOKUP(L181,'G-3 Multipliers'!$L$3:$N$6,3,FALSE)=0,"Spatial Data Missing",VLOOKUP(L181,'G-3 Multipliers'!$L$3:$N$6,3,FALSE)))</f>
        <v/>
      </c>
      <c r="O181" s="171" t="str">
        <f t="shared" si="10"/>
        <v/>
      </c>
      <c r="P181" s="261"/>
      <c r="Q181" s="261"/>
      <c r="R181" s="343" t="str">
        <f t="shared" si="11"/>
        <v/>
      </c>
      <c r="S181" s="352" t="str">
        <f t="shared" si="12"/>
        <v/>
      </c>
      <c r="T181" s="593" t="str">
        <f>IFERROR(IF(S181="Check Data","Check Data",VLOOKUP(S181,'G-4 Temporal multipliers'!$A$4:$C$37,3,FALSE)),"")</f>
        <v/>
      </c>
      <c r="U181" s="592" t="str">
        <f>IF(F181="","",VLOOKUP(F181,'G-3 Multipliers'!$A$2:$E$130,2,FALSE))</f>
        <v/>
      </c>
      <c r="V181" s="343" t="str">
        <f t="shared" si="13"/>
        <v/>
      </c>
      <c r="W181" s="343" t="str">
        <f>IF(E181="","",IF(AND(V181="Standard difficulty applied",O181&gt;P181),U181,IF(AND(V181="Low Difficulty - only applicable if all habitat created before losses",P181&gt;=O181),"Low",VLOOKUP(F181,'G-3 Multipliers'!$A$2:$E$130,4,FALSE))))</f>
        <v/>
      </c>
      <c r="X181" s="345" t="str">
        <f>IFERROR(IF(E181="","",VLOOKUP(W181, 'G-3 Multipliers'!$P$2:$Q$6,2,FALSE)),””)</f>
        <v/>
      </c>
      <c r="Y181" s="266"/>
      <c r="Z181" s="172" t="str">
        <f>IF(Y181="","",IF(VLOOKUP(Y181,'G-3 Multipliers'!$S$3:$T$9,2,FALSE)=0,"Spatial Data Missing",VLOOKUP(Y181,'G-3 Multipliers'!$S$3:$T$9,2,FALSE)))</f>
        <v/>
      </c>
      <c r="AA181" s="265" t="str">
        <f t="shared" si="14"/>
        <v/>
      </c>
      <c r="AB181" s="180"/>
      <c r="AC181" s="181"/>
    </row>
    <row r="182" spans="1:29" ht="13.8" x14ac:dyDescent="0.25">
      <c r="A182" s="35" t="str">
        <f>IFERROR(INDEX('G-8 Condition Look up'!$I$4:$I$131,MATCH(F182,'G-8 Condition Look up'!$A$4:$A$131,0)),"")</f>
        <v/>
      </c>
      <c r="C182" s="363" t="str">
        <f>IFERROR(INDEX('G-1 All Habitats'!$AG$3:$AG$15,MATCH(D182,'G-1 All Habitats'!$AF$3:$AF$15,0)),"")</f>
        <v/>
      </c>
      <c r="D182" s="186"/>
      <c r="E182" s="275"/>
      <c r="F182" s="362" t="str">
        <f>IFERROR(INDEX('G-1 All Habitats'!$B$3:$B$130,MATCH(E182,'G-1 All Habitats'!$A$3:$A$130,0)),"")</f>
        <v/>
      </c>
      <c r="G182" s="598"/>
      <c r="H182" s="239" t="str">
        <f>IF(F182="","",VLOOKUP(F182,'G-1 All Habitats'!$B$2:$M$130,10,FALSE))</f>
        <v/>
      </c>
      <c r="I182" s="176" t="str">
        <f>IFERROR(VLOOKUP(H182,'G-1 All Habitats'!$V$3:$W$7,2,FALSE),"")</f>
        <v/>
      </c>
      <c r="J182" s="270"/>
      <c r="K182" s="176" t="str">
        <f>IFERROR(INDEX('G-8 Condition Look up'!$A$3:$H$131,MATCH(F182,'G-8 Condition Look up'!$A$3:$A$131,0),MATCH(J182,'G-8 Condition Look up'!$A$3:$H$3,0)),"")</f>
        <v/>
      </c>
      <c r="L182" s="173"/>
      <c r="M182" s="269" t="str">
        <f>IF(L182="","",IF(VLOOKUP(L182,'G-3 Multipliers'!$L$3:$N$6,2,FALSE)=0,"Spatial Data Missing",VLOOKUP(L182,'G-3 Multipliers'!$L$3:$N$6,2,FALSE)))</f>
        <v/>
      </c>
      <c r="N182" s="172" t="str">
        <f>IF(L182="","",IF(VLOOKUP(L182,'G-3 Multipliers'!$L$3:$N$6,3,FALSE)=0,"Spatial Data Missing",VLOOKUP(L182,'G-3 Multipliers'!$L$3:$N$6,3,FALSE)))</f>
        <v/>
      </c>
      <c r="O182" s="171" t="str">
        <f t="shared" si="10"/>
        <v/>
      </c>
      <c r="P182" s="261"/>
      <c r="Q182" s="261"/>
      <c r="R182" s="343" t="str">
        <f t="shared" si="11"/>
        <v/>
      </c>
      <c r="S182" s="352" t="str">
        <f t="shared" si="12"/>
        <v/>
      </c>
      <c r="T182" s="593" t="str">
        <f>IFERROR(IF(S182="Check Data","Check Data",VLOOKUP(S182,'G-4 Temporal multipliers'!$A$4:$C$37,3,FALSE)),"")</f>
        <v/>
      </c>
      <c r="U182" s="592" t="str">
        <f>IF(F182="","",VLOOKUP(F182,'G-3 Multipliers'!$A$2:$E$130,2,FALSE))</f>
        <v/>
      </c>
      <c r="V182" s="343" t="str">
        <f t="shared" si="13"/>
        <v/>
      </c>
      <c r="W182" s="343" t="str">
        <f>IF(E182="","",IF(AND(V182="Standard difficulty applied",O182&gt;P182),U182,IF(AND(V182="Low Difficulty - only applicable if all habitat created before losses",P182&gt;=O182),"Low",VLOOKUP(F182,'G-3 Multipliers'!$A$2:$E$130,4,FALSE))))</f>
        <v/>
      </c>
      <c r="X182" s="345" t="str">
        <f>IFERROR(IF(E182="","",VLOOKUP(W182, 'G-3 Multipliers'!$P$2:$Q$6,2,FALSE)),””)</f>
        <v/>
      </c>
      <c r="Y182" s="266"/>
      <c r="Z182" s="172" t="str">
        <f>IF(Y182="","",IF(VLOOKUP(Y182,'G-3 Multipliers'!$S$3:$T$9,2,FALSE)=0,"Spatial Data Missing",VLOOKUP(Y182,'G-3 Multipliers'!$S$3:$T$9,2,FALSE)))</f>
        <v/>
      </c>
      <c r="AA182" s="265" t="str">
        <f t="shared" si="14"/>
        <v/>
      </c>
      <c r="AB182" s="180"/>
      <c r="AC182" s="181"/>
    </row>
    <row r="183" spans="1:29" ht="13.8" x14ac:dyDescent="0.25">
      <c r="A183" s="35" t="str">
        <f>IFERROR(INDEX('G-8 Condition Look up'!$I$4:$I$131,MATCH(F183,'G-8 Condition Look up'!$A$4:$A$131,0)),"")</f>
        <v/>
      </c>
      <c r="C183" s="363" t="str">
        <f>IFERROR(INDEX('G-1 All Habitats'!$AG$3:$AG$15,MATCH(D183,'G-1 All Habitats'!$AF$3:$AF$15,0)),"")</f>
        <v/>
      </c>
      <c r="D183" s="186"/>
      <c r="E183" s="275"/>
      <c r="F183" s="362" t="str">
        <f>IFERROR(INDEX('G-1 All Habitats'!$B$3:$B$130,MATCH(E183,'G-1 All Habitats'!$A$3:$A$130,0)),"")</f>
        <v/>
      </c>
      <c r="G183" s="598"/>
      <c r="H183" s="239" t="str">
        <f>IF(F183="","",VLOOKUP(F183,'G-1 All Habitats'!$B$2:$M$130,10,FALSE))</f>
        <v/>
      </c>
      <c r="I183" s="176" t="str">
        <f>IFERROR(VLOOKUP(H183,'G-1 All Habitats'!$V$3:$W$7,2,FALSE),"")</f>
        <v/>
      </c>
      <c r="J183" s="270"/>
      <c r="K183" s="176" t="str">
        <f>IFERROR(INDEX('G-8 Condition Look up'!$A$3:$H$131,MATCH(F183,'G-8 Condition Look up'!$A$3:$A$131,0),MATCH(J183,'G-8 Condition Look up'!$A$3:$H$3,0)),"")</f>
        <v/>
      </c>
      <c r="L183" s="173"/>
      <c r="M183" s="269" t="str">
        <f>IF(L183="","",IF(VLOOKUP(L183,'G-3 Multipliers'!$L$3:$N$6,2,FALSE)=0,"Spatial Data Missing",VLOOKUP(L183,'G-3 Multipliers'!$L$3:$N$6,2,FALSE)))</f>
        <v/>
      </c>
      <c r="N183" s="172" t="str">
        <f>IF(L183="","",IF(VLOOKUP(L183,'G-3 Multipliers'!$L$3:$N$6,3,FALSE)=0,"Spatial Data Missing",VLOOKUP(L183,'G-3 Multipliers'!$L$3:$N$6,3,FALSE)))</f>
        <v/>
      </c>
      <c r="O183" s="171" t="str">
        <f t="shared" si="10"/>
        <v/>
      </c>
      <c r="P183" s="261"/>
      <c r="Q183" s="261"/>
      <c r="R183" s="343" t="str">
        <f t="shared" si="11"/>
        <v/>
      </c>
      <c r="S183" s="352" t="str">
        <f t="shared" si="12"/>
        <v/>
      </c>
      <c r="T183" s="593" t="str">
        <f>IFERROR(IF(S183="Check Data","Check Data",VLOOKUP(S183,'G-4 Temporal multipliers'!$A$4:$C$37,3,FALSE)),"")</f>
        <v/>
      </c>
      <c r="U183" s="592" t="str">
        <f>IF(F183="","",VLOOKUP(F183,'G-3 Multipliers'!$A$2:$E$130,2,FALSE))</f>
        <v/>
      </c>
      <c r="V183" s="343" t="str">
        <f t="shared" si="13"/>
        <v/>
      </c>
      <c r="W183" s="343" t="str">
        <f>IF(E183="","",IF(AND(V183="Standard difficulty applied",O183&gt;P183),U183,IF(AND(V183="Low Difficulty - only applicable if all habitat created before losses",P183&gt;=O183),"Low",VLOOKUP(F183,'G-3 Multipliers'!$A$2:$E$130,4,FALSE))))</f>
        <v/>
      </c>
      <c r="X183" s="345" t="str">
        <f>IFERROR(IF(E183="","",VLOOKUP(W183, 'G-3 Multipliers'!$P$2:$Q$6,2,FALSE)),””)</f>
        <v/>
      </c>
      <c r="Y183" s="266"/>
      <c r="Z183" s="172" t="str">
        <f>IF(Y183="","",IF(VLOOKUP(Y183,'G-3 Multipliers'!$S$3:$T$9,2,FALSE)=0,"Spatial Data Missing",VLOOKUP(Y183,'G-3 Multipliers'!$S$3:$T$9,2,FALSE)))</f>
        <v/>
      </c>
      <c r="AA183" s="265" t="str">
        <f t="shared" si="14"/>
        <v/>
      </c>
      <c r="AB183" s="180"/>
      <c r="AC183" s="181"/>
    </row>
    <row r="184" spans="1:29" ht="13.8" x14ac:dyDescent="0.25">
      <c r="A184" s="35" t="str">
        <f>IFERROR(INDEX('G-8 Condition Look up'!$I$4:$I$131,MATCH(F184,'G-8 Condition Look up'!$A$4:$A$131,0)),"")</f>
        <v/>
      </c>
      <c r="C184" s="363" t="str">
        <f>IFERROR(INDEX('G-1 All Habitats'!$AG$3:$AG$15,MATCH(D184,'G-1 All Habitats'!$AF$3:$AF$15,0)),"")</f>
        <v/>
      </c>
      <c r="D184" s="186"/>
      <c r="E184" s="275"/>
      <c r="F184" s="362" t="str">
        <f>IFERROR(INDEX('G-1 All Habitats'!$B$3:$B$130,MATCH(E184,'G-1 All Habitats'!$A$3:$A$130,0)),"")</f>
        <v/>
      </c>
      <c r="G184" s="598"/>
      <c r="H184" s="239" t="str">
        <f>IF(F184="","",VLOOKUP(F184,'G-1 All Habitats'!$B$2:$M$130,10,FALSE))</f>
        <v/>
      </c>
      <c r="I184" s="176" t="str">
        <f>IFERROR(VLOOKUP(H184,'G-1 All Habitats'!$V$3:$W$7,2,FALSE),"")</f>
        <v/>
      </c>
      <c r="J184" s="270"/>
      <c r="K184" s="176" t="str">
        <f>IFERROR(INDEX('G-8 Condition Look up'!$A$3:$H$131,MATCH(F184,'G-8 Condition Look up'!$A$3:$A$131,0),MATCH(J184,'G-8 Condition Look up'!$A$3:$H$3,0)),"")</f>
        <v/>
      </c>
      <c r="L184" s="173"/>
      <c r="M184" s="269" t="str">
        <f>IF(L184="","",IF(VLOOKUP(L184,'G-3 Multipliers'!$L$3:$N$6,2,FALSE)=0,"Spatial Data Missing",VLOOKUP(L184,'G-3 Multipliers'!$L$3:$N$6,2,FALSE)))</f>
        <v/>
      </c>
      <c r="N184" s="172" t="str">
        <f>IF(L184="","",IF(VLOOKUP(L184,'G-3 Multipliers'!$L$3:$N$6,3,FALSE)=0,"Spatial Data Missing",VLOOKUP(L184,'G-3 Multipliers'!$L$3:$N$6,3,FALSE)))</f>
        <v/>
      </c>
      <c r="O184" s="171" t="str">
        <f t="shared" si="10"/>
        <v/>
      </c>
      <c r="P184" s="261"/>
      <c r="Q184" s="261"/>
      <c r="R184" s="343" t="str">
        <f t="shared" si="11"/>
        <v/>
      </c>
      <c r="S184" s="352" t="str">
        <f t="shared" si="12"/>
        <v/>
      </c>
      <c r="T184" s="593" t="str">
        <f>IFERROR(IF(S184="Check Data","Check Data",VLOOKUP(S184,'G-4 Temporal multipliers'!$A$4:$C$37,3,FALSE)),"")</f>
        <v/>
      </c>
      <c r="U184" s="592" t="str">
        <f>IF(F184="","",VLOOKUP(F184,'G-3 Multipliers'!$A$2:$E$130,2,FALSE))</f>
        <v/>
      </c>
      <c r="V184" s="343" t="str">
        <f t="shared" si="13"/>
        <v/>
      </c>
      <c r="W184" s="343" t="str">
        <f>IF(E184="","",IF(AND(V184="Standard difficulty applied",O184&gt;P184),U184,IF(AND(V184="Low Difficulty - only applicable if all habitat created before losses",P184&gt;=O184),"Low",VLOOKUP(F184,'G-3 Multipliers'!$A$2:$E$130,4,FALSE))))</f>
        <v/>
      </c>
      <c r="X184" s="345" t="str">
        <f>IFERROR(IF(E184="","",VLOOKUP(W184, 'G-3 Multipliers'!$P$2:$Q$6,2,FALSE)),””)</f>
        <v/>
      </c>
      <c r="Y184" s="266"/>
      <c r="Z184" s="172" t="str">
        <f>IF(Y184="","",IF(VLOOKUP(Y184,'G-3 Multipliers'!$S$3:$T$9,2,FALSE)=0,"Spatial Data Missing",VLOOKUP(Y184,'G-3 Multipliers'!$S$3:$T$9,2,FALSE)))</f>
        <v/>
      </c>
      <c r="AA184" s="265" t="str">
        <f t="shared" si="14"/>
        <v/>
      </c>
      <c r="AB184" s="180"/>
      <c r="AC184" s="181"/>
    </row>
    <row r="185" spans="1:29" ht="13.8" x14ac:dyDescent="0.25">
      <c r="A185" s="35" t="str">
        <f>IFERROR(INDEX('G-8 Condition Look up'!$I$4:$I$131,MATCH(F185,'G-8 Condition Look up'!$A$4:$A$131,0)),"")</f>
        <v/>
      </c>
      <c r="C185" s="363" t="str">
        <f>IFERROR(INDEX('G-1 All Habitats'!$AG$3:$AG$15,MATCH(D185,'G-1 All Habitats'!$AF$3:$AF$15,0)),"")</f>
        <v/>
      </c>
      <c r="D185" s="186"/>
      <c r="E185" s="275"/>
      <c r="F185" s="362" t="str">
        <f>IFERROR(INDEX('G-1 All Habitats'!$B$3:$B$130,MATCH(E185,'G-1 All Habitats'!$A$3:$A$130,0)),"")</f>
        <v/>
      </c>
      <c r="G185" s="598"/>
      <c r="H185" s="239" t="str">
        <f>IF(F185="","",VLOOKUP(F185,'G-1 All Habitats'!$B$2:$M$130,10,FALSE))</f>
        <v/>
      </c>
      <c r="I185" s="176" t="str">
        <f>IFERROR(VLOOKUP(H185,'G-1 All Habitats'!$V$3:$W$7,2,FALSE),"")</f>
        <v/>
      </c>
      <c r="J185" s="270"/>
      <c r="K185" s="176" t="str">
        <f>IFERROR(INDEX('G-8 Condition Look up'!$A$3:$H$131,MATCH(F185,'G-8 Condition Look up'!$A$3:$A$131,0),MATCH(J185,'G-8 Condition Look up'!$A$3:$H$3,0)),"")</f>
        <v/>
      </c>
      <c r="L185" s="173"/>
      <c r="M185" s="269" t="str">
        <f>IF(L185="","",IF(VLOOKUP(L185,'G-3 Multipliers'!$L$3:$N$6,2,FALSE)=0,"Spatial Data Missing",VLOOKUP(L185,'G-3 Multipliers'!$L$3:$N$6,2,FALSE)))</f>
        <v/>
      </c>
      <c r="N185" s="172" t="str">
        <f>IF(L185="","",IF(VLOOKUP(L185,'G-3 Multipliers'!$L$3:$N$6,3,FALSE)=0,"Spatial Data Missing",VLOOKUP(L185,'G-3 Multipliers'!$L$3:$N$6,3,FALSE)))</f>
        <v/>
      </c>
      <c r="O185" s="171" t="str">
        <f t="shared" si="10"/>
        <v/>
      </c>
      <c r="P185" s="261"/>
      <c r="Q185" s="261"/>
      <c r="R185" s="343" t="str">
        <f t="shared" si="11"/>
        <v/>
      </c>
      <c r="S185" s="352" t="str">
        <f t="shared" si="12"/>
        <v/>
      </c>
      <c r="T185" s="593" t="str">
        <f>IFERROR(IF(S185="Check Data","Check Data",VLOOKUP(S185,'G-4 Temporal multipliers'!$A$4:$C$37,3,FALSE)),"")</f>
        <v/>
      </c>
      <c r="U185" s="592" t="str">
        <f>IF(F185="","",VLOOKUP(F185,'G-3 Multipliers'!$A$2:$E$130,2,FALSE))</f>
        <v/>
      </c>
      <c r="V185" s="343" t="str">
        <f t="shared" si="13"/>
        <v/>
      </c>
      <c r="W185" s="343" t="str">
        <f>IF(E185="","",IF(AND(V185="Standard difficulty applied",O185&gt;P185),U185,IF(AND(V185="Low Difficulty - only applicable if all habitat created before losses",P185&gt;=O185),"Low",VLOOKUP(F185,'G-3 Multipliers'!$A$2:$E$130,4,FALSE))))</f>
        <v/>
      </c>
      <c r="X185" s="345" t="str">
        <f>IFERROR(IF(E185="","",VLOOKUP(W185, 'G-3 Multipliers'!$P$2:$Q$6,2,FALSE)),””)</f>
        <v/>
      </c>
      <c r="Y185" s="266"/>
      <c r="Z185" s="172" t="str">
        <f>IF(Y185="","",IF(VLOOKUP(Y185,'G-3 Multipliers'!$S$3:$T$9,2,FALSE)=0,"Spatial Data Missing",VLOOKUP(Y185,'G-3 Multipliers'!$S$3:$T$9,2,FALSE)))</f>
        <v/>
      </c>
      <c r="AA185" s="265" t="str">
        <f t="shared" si="14"/>
        <v/>
      </c>
      <c r="AB185" s="180"/>
      <c r="AC185" s="181"/>
    </row>
    <row r="186" spans="1:29" ht="13.8" x14ac:dyDescent="0.25">
      <c r="A186" s="35" t="str">
        <f>IFERROR(INDEX('G-8 Condition Look up'!$I$4:$I$131,MATCH(F186,'G-8 Condition Look up'!$A$4:$A$131,0)),"")</f>
        <v/>
      </c>
      <c r="C186" s="363" t="str">
        <f>IFERROR(INDEX('G-1 All Habitats'!$AG$3:$AG$15,MATCH(D186,'G-1 All Habitats'!$AF$3:$AF$15,0)),"")</f>
        <v/>
      </c>
      <c r="D186" s="186"/>
      <c r="E186" s="275"/>
      <c r="F186" s="362" t="str">
        <f>IFERROR(INDEX('G-1 All Habitats'!$B$3:$B$130,MATCH(E186,'G-1 All Habitats'!$A$3:$A$130,0)),"")</f>
        <v/>
      </c>
      <c r="G186" s="598"/>
      <c r="H186" s="239" t="str">
        <f>IF(F186="","",VLOOKUP(F186,'G-1 All Habitats'!$B$2:$M$130,10,FALSE))</f>
        <v/>
      </c>
      <c r="I186" s="176" t="str">
        <f>IFERROR(VLOOKUP(H186,'G-1 All Habitats'!$V$3:$W$7,2,FALSE),"")</f>
        <v/>
      </c>
      <c r="J186" s="270"/>
      <c r="K186" s="176" t="str">
        <f>IFERROR(INDEX('G-8 Condition Look up'!$A$3:$H$131,MATCH(F186,'G-8 Condition Look up'!$A$3:$A$131,0),MATCH(J186,'G-8 Condition Look up'!$A$3:$H$3,0)),"")</f>
        <v/>
      </c>
      <c r="L186" s="173"/>
      <c r="M186" s="269" t="str">
        <f>IF(L186="","",IF(VLOOKUP(L186,'G-3 Multipliers'!$L$3:$N$6,2,FALSE)=0,"Spatial Data Missing",VLOOKUP(L186,'G-3 Multipliers'!$L$3:$N$6,2,FALSE)))</f>
        <v/>
      </c>
      <c r="N186" s="172" t="str">
        <f>IF(L186="","",IF(VLOOKUP(L186,'G-3 Multipliers'!$L$3:$N$6,3,FALSE)=0,"Spatial Data Missing",VLOOKUP(L186,'G-3 Multipliers'!$L$3:$N$6,3,FALSE)))</f>
        <v/>
      </c>
      <c r="O186" s="171" t="str">
        <f t="shared" si="10"/>
        <v/>
      </c>
      <c r="P186" s="261"/>
      <c r="Q186" s="261"/>
      <c r="R186" s="343" t="str">
        <f t="shared" si="11"/>
        <v/>
      </c>
      <c r="S186" s="352" t="str">
        <f t="shared" si="12"/>
        <v/>
      </c>
      <c r="T186" s="593" t="str">
        <f>IFERROR(IF(S186="Check Data","Check Data",VLOOKUP(S186,'G-4 Temporal multipliers'!$A$4:$C$37,3,FALSE)),"")</f>
        <v/>
      </c>
      <c r="U186" s="592" t="str">
        <f>IF(F186="","",VLOOKUP(F186,'G-3 Multipliers'!$A$2:$E$130,2,FALSE))</f>
        <v/>
      </c>
      <c r="V186" s="343" t="str">
        <f t="shared" si="13"/>
        <v/>
      </c>
      <c r="W186" s="343" t="str">
        <f>IF(E186="","",IF(AND(V186="Standard difficulty applied",O186&gt;P186),U186,IF(AND(V186="Low Difficulty - only applicable if all habitat created before losses",P186&gt;=O186),"Low",VLOOKUP(F186,'G-3 Multipliers'!$A$2:$E$130,4,FALSE))))</f>
        <v/>
      </c>
      <c r="X186" s="345" t="str">
        <f>IFERROR(IF(E186="","",VLOOKUP(W186, 'G-3 Multipliers'!$P$2:$Q$6,2,FALSE)),””)</f>
        <v/>
      </c>
      <c r="Y186" s="266"/>
      <c r="Z186" s="172" t="str">
        <f>IF(Y186="","",IF(VLOOKUP(Y186,'G-3 Multipliers'!$S$3:$T$9,2,FALSE)=0,"Spatial Data Missing",VLOOKUP(Y186,'G-3 Multipliers'!$S$3:$T$9,2,FALSE)))</f>
        <v/>
      </c>
      <c r="AA186" s="265" t="str">
        <f t="shared" si="14"/>
        <v/>
      </c>
      <c r="AB186" s="180"/>
      <c r="AC186" s="181"/>
    </row>
    <row r="187" spans="1:29" ht="13.8" x14ac:dyDescent="0.25">
      <c r="A187" s="35" t="str">
        <f>IFERROR(INDEX('G-8 Condition Look up'!$I$4:$I$131,MATCH(F187,'G-8 Condition Look up'!$A$4:$A$131,0)),"")</f>
        <v/>
      </c>
      <c r="C187" s="363" t="str">
        <f>IFERROR(INDEX('G-1 All Habitats'!$AG$3:$AG$15,MATCH(D187,'G-1 All Habitats'!$AF$3:$AF$15,0)),"")</f>
        <v/>
      </c>
      <c r="D187" s="186"/>
      <c r="E187" s="275"/>
      <c r="F187" s="362" t="str">
        <f>IFERROR(INDEX('G-1 All Habitats'!$B$3:$B$130,MATCH(E187,'G-1 All Habitats'!$A$3:$A$130,0)),"")</f>
        <v/>
      </c>
      <c r="G187" s="598"/>
      <c r="H187" s="239" t="str">
        <f>IF(F187="","",VLOOKUP(F187,'G-1 All Habitats'!$B$2:$M$130,10,FALSE))</f>
        <v/>
      </c>
      <c r="I187" s="176" t="str">
        <f>IFERROR(VLOOKUP(H187,'G-1 All Habitats'!$V$3:$W$7,2,FALSE),"")</f>
        <v/>
      </c>
      <c r="J187" s="270"/>
      <c r="K187" s="176" t="str">
        <f>IFERROR(INDEX('G-8 Condition Look up'!$A$3:$H$131,MATCH(F187,'G-8 Condition Look up'!$A$3:$A$131,0),MATCH(J187,'G-8 Condition Look up'!$A$3:$H$3,0)),"")</f>
        <v/>
      </c>
      <c r="L187" s="173"/>
      <c r="M187" s="269" t="str">
        <f>IF(L187="","",IF(VLOOKUP(L187,'G-3 Multipliers'!$L$3:$N$6,2,FALSE)=0,"Spatial Data Missing",VLOOKUP(L187,'G-3 Multipliers'!$L$3:$N$6,2,FALSE)))</f>
        <v/>
      </c>
      <c r="N187" s="172" t="str">
        <f>IF(L187="","",IF(VLOOKUP(L187,'G-3 Multipliers'!$L$3:$N$6,3,FALSE)=0,"Spatial Data Missing",VLOOKUP(L187,'G-3 Multipliers'!$L$3:$N$6,3,FALSE)))</f>
        <v/>
      </c>
      <c r="O187" s="171" t="str">
        <f t="shared" si="10"/>
        <v/>
      </c>
      <c r="P187" s="261"/>
      <c r="Q187" s="261"/>
      <c r="R187" s="343" t="str">
        <f t="shared" si="11"/>
        <v/>
      </c>
      <c r="S187" s="352" t="str">
        <f t="shared" si="12"/>
        <v/>
      </c>
      <c r="T187" s="593" t="str">
        <f>IFERROR(IF(S187="Check Data","Check Data",VLOOKUP(S187,'G-4 Temporal multipliers'!$A$4:$C$37,3,FALSE)),"")</f>
        <v/>
      </c>
      <c r="U187" s="592" t="str">
        <f>IF(F187="","",VLOOKUP(F187,'G-3 Multipliers'!$A$2:$E$130,2,FALSE))</f>
        <v/>
      </c>
      <c r="V187" s="343" t="str">
        <f t="shared" si="13"/>
        <v/>
      </c>
      <c r="W187" s="343" t="str">
        <f>IF(E187="","",IF(AND(V187="Standard difficulty applied",O187&gt;P187),U187,IF(AND(V187="Low Difficulty - only applicable if all habitat created before losses",P187&gt;=O187),"Low",VLOOKUP(F187,'G-3 Multipliers'!$A$2:$E$130,4,FALSE))))</f>
        <v/>
      </c>
      <c r="X187" s="345" t="str">
        <f>IFERROR(IF(E187="","",VLOOKUP(W187, 'G-3 Multipliers'!$P$2:$Q$6,2,FALSE)),””)</f>
        <v/>
      </c>
      <c r="Y187" s="266"/>
      <c r="Z187" s="172" t="str">
        <f>IF(Y187="","",IF(VLOOKUP(Y187,'G-3 Multipliers'!$S$3:$T$9,2,FALSE)=0,"Spatial Data Missing",VLOOKUP(Y187,'G-3 Multipliers'!$S$3:$T$9,2,FALSE)))</f>
        <v/>
      </c>
      <c r="AA187" s="265" t="str">
        <f t="shared" si="14"/>
        <v/>
      </c>
      <c r="AB187" s="180"/>
      <c r="AC187" s="181"/>
    </row>
    <row r="188" spans="1:29" ht="13.8" x14ac:dyDescent="0.25">
      <c r="A188" s="35" t="str">
        <f>IFERROR(INDEX('G-8 Condition Look up'!$I$4:$I$131,MATCH(F188,'G-8 Condition Look up'!$A$4:$A$131,0)),"")</f>
        <v/>
      </c>
      <c r="C188" s="363" t="str">
        <f>IFERROR(INDEX('G-1 All Habitats'!$AG$3:$AG$15,MATCH(D188,'G-1 All Habitats'!$AF$3:$AF$15,0)),"")</f>
        <v/>
      </c>
      <c r="D188" s="186"/>
      <c r="E188" s="275"/>
      <c r="F188" s="362" t="str">
        <f>IFERROR(INDEX('G-1 All Habitats'!$B$3:$B$130,MATCH(E188,'G-1 All Habitats'!$A$3:$A$130,0)),"")</f>
        <v/>
      </c>
      <c r="G188" s="598"/>
      <c r="H188" s="239" t="str">
        <f>IF(F188="","",VLOOKUP(F188,'G-1 All Habitats'!$B$2:$M$130,10,FALSE))</f>
        <v/>
      </c>
      <c r="I188" s="176" t="str">
        <f>IFERROR(VLOOKUP(H188,'G-1 All Habitats'!$V$3:$W$7,2,FALSE),"")</f>
        <v/>
      </c>
      <c r="J188" s="270"/>
      <c r="K188" s="176" t="str">
        <f>IFERROR(INDEX('G-8 Condition Look up'!$A$3:$H$131,MATCH(F188,'G-8 Condition Look up'!$A$3:$A$131,0),MATCH(J188,'G-8 Condition Look up'!$A$3:$H$3,0)),"")</f>
        <v/>
      </c>
      <c r="L188" s="173"/>
      <c r="M188" s="269" t="str">
        <f>IF(L188="","",IF(VLOOKUP(L188,'G-3 Multipliers'!$L$3:$N$6,2,FALSE)=0,"Spatial Data Missing",VLOOKUP(L188,'G-3 Multipliers'!$L$3:$N$6,2,FALSE)))</f>
        <v/>
      </c>
      <c r="N188" s="172" t="str">
        <f>IF(L188="","",IF(VLOOKUP(L188,'G-3 Multipliers'!$L$3:$N$6,3,FALSE)=0,"Spatial Data Missing",VLOOKUP(L188,'G-3 Multipliers'!$L$3:$N$6,3,FALSE)))</f>
        <v/>
      </c>
      <c r="O188" s="171" t="str">
        <f t="shared" si="10"/>
        <v/>
      </c>
      <c r="P188" s="261"/>
      <c r="Q188" s="261"/>
      <c r="R188" s="343" t="str">
        <f t="shared" si="11"/>
        <v/>
      </c>
      <c r="S188" s="352" t="str">
        <f t="shared" si="12"/>
        <v/>
      </c>
      <c r="T188" s="593" t="str">
        <f>IFERROR(IF(S188="Check Data","Check Data",VLOOKUP(S188,'G-4 Temporal multipliers'!$A$4:$C$37,3,FALSE)),"")</f>
        <v/>
      </c>
      <c r="U188" s="592" t="str">
        <f>IF(F188="","",VLOOKUP(F188,'G-3 Multipliers'!$A$2:$E$130,2,FALSE))</f>
        <v/>
      </c>
      <c r="V188" s="343" t="str">
        <f t="shared" si="13"/>
        <v/>
      </c>
      <c r="W188" s="343" t="str">
        <f>IF(E188="","",IF(AND(V188="Standard difficulty applied",O188&gt;P188),U188,IF(AND(V188="Low Difficulty - only applicable if all habitat created before losses",P188&gt;=O188),"Low",VLOOKUP(F188,'G-3 Multipliers'!$A$2:$E$130,4,FALSE))))</f>
        <v/>
      </c>
      <c r="X188" s="345" t="str">
        <f>IFERROR(IF(E188="","",VLOOKUP(W188, 'G-3 Multipliers'!$P$2:$Q$6,2,FALSE)),””)</f>
        <v/>
      </c>
      <c r="Y188" s="266"/>
      <c r="Z188" s="172" t="str">
        <f>IF(Y188="","",IF(VLOOKUP(Y188,'G-3 Multipliers'!$S$3:$T$9,2,FALSE)=0,"Spatial Data Missing",VLOOKUP(Y188,'G-3 Multipliers'!$S$3:$T$9,2,FALSE)))</f>
        <v/>
      </c>
      <c r="AA188" s="265" t="str">
        <f t="shared" si="14"/>
        <v/>
      </c>
      <c r="AB188" s="180"/>
      <c r="AC188" s="181"/>
    </row>
    <row r="189" spans="1:29" ht="13.8" x14ac:dyDescent="0.25">
      <c r="A189" s="35" t="str">
        <f>IFERROR(INDEX('G-8 Condition Look up'!$I$4:$I$131,MATCH(F189,'G-8 Condition Look up'!$A$4:$A$131,0)),"")</f>
        <v/>
      </c>
      <c r="C189" s="363" t="str">
        <f>IFERROR(INDEX('G-1 All Habitats'!$AG$3:$AG$15,MATCH(D189,'G-1 All Habitats'!$AF$3:$AF$15,0)),"")</f>
        <v/>
      </c>
      <c r="D189" s="186"/>
      <c r="E189" s="275"/>
      <c r="F189" s="362" t="str">
        <f>IFERROR(INDEX('G-1 All Habitats'!$B$3:$B$130,MATCH(E189,'G-1 All Habitats'!$A$3:$A$130,0)),"")</f>
        <v/>
      </c>
      <c r="G189" s="598"/>
      <c r="H189" s="239" t="str">
        <f>IF(F189="","",VLOOKUP(F189,'G-1 All Habitats'!$B$2:$M$130,10,FALSE))</f>
        <v/>
      </c>
      <c r="I189" s="176" t="str">
        <f>IFERROR(VLOOKUP(H189,'G-1 All Habitats'!$V$3:$W$7,2,FALSE),"")</f>
        <v/>
      </c>
      <c r="J189" s="270"/>
      <c r="K189" s="176" t="str">
        <f>IFERROR(INDEX('G-8 Condition Look up'!$A$3:$H$131,MATCH(F189,'G-8 Condition Look up'!$A$3:$A$131,0),MATCH(J189,'G-8 Condition Look up'!$A$3:$H$3,0)),"")</f>
        <v/>
      </c>
      <c r="L189" s="173"/>
      <c r="M189" s="269" t="str">
        <f>IF(L189="","",IF(VLOOKUP(L189,'G-3 Multipliers'!$L$3:$N$6,2,FALSE)=0,"Spatial Data Missing",VLOOKUP(L189,'G-3 Multipliers'!$L$3:$N$6,2,FALSE)))</f>
        <v/>
      </c>
      <c r="N189" s="172" t="str">
        <f>IF(L189="","",IF(VLOOKUP(L189,'G-3 Multipliers'!$L$3:$N$6,3,FALSE)=0,"Spatial Data Missing",VLOOKUP(L189,'G-3 Multipliers'!$L$3:$N$6,3,FALSE)))</f>
        <v/>
      </c>
      <c r="O189" s="171" t="str">
        <f t="shared" si="10"/>
        <v/>
      </c>
      <c r="P189" s="261"/>
      <c r="Q189" s="261"/>
      <c r="R189" s="343" t="str">
        <f t="shared" si="11"/>
        <v/>
      </c>
      <c r="S189" s="352" t="str">
        <f t="shared" si="12"/>
        <v/>
      </c>
      <c r="T189" s="593" t="str">
        <f>IFERROR(IF(S189="Check Data","Check Data",VLOOKUP(S189,'G-4 Temporal multipliers'!$A$4:$C$37,3,FALSE)),"")</f>
        <v/>
      </c>
      <c r="U189" s="592" t="str">
        <f>IF(F189="","",VLOOKUP(F189,'G-3 Multipliers'!$A$2:$E$130,2,FALSE))</f>
        <v/>
      </c>
      <c r="V189" s="343" t="str">
        <f t="shared" si="13"/>
        <v/>
      </c>
      <c r="W189" s="343" t="str">
        <f>IF(E189="","",IF(AND(V189="Standard difficulty applied",O189&gt;P189),U189,IF(AND(V189="Low Difficulty - only applicable if all habitat created before losses",P189&gt;=O189),"Low",VLOOKUP(F189,'G-3 Multipliers'!$A$2:$E$130,4,FALSE))))</f>
        <v/>
      </c>
      <c r="X189" s="345" t="str">
        <f>IFERROR(IF(E189="","",VLOOKUP(W189, 'G-3 Multipliers'!$P$2:$Q$6,2,FALSE)),””)</f>
        <v/>
      </c>
      <c r="Y189" s="266"/>
      <c r="Z189" s="172" t="str">
        <f>IF(Y189="","",IF(VLOOKUP(Y189,'G-3 Multipliers'!$S$3:$T$9,2,FALSE)=0,"Spatial Data Missing",VLOOKUP(Y189,'G-3 Multipliers'!$S$3:$T$9,2,FALSE)))</f>
        <v/>
      </c>
      <c r="AA189" s="265" t="str">
        <f t="shared" si="14"/>
        <v/>
      </c>
      <c r="AB189" s="180"/>
      <c r="AC189" s="181"/>
    </row>
    <row r="190" spans="1:29" ht="13.8" x14ac:dyDescent="0.25">
      <c r="A190" s="35" t="str">
        <f>IFERROR(INDEX('G-8 Condition Look up'!$I$4:$I$131,MATCH(F190,'G-8 Condition Look up'!$A$4:$A$131,0)),"")</f>
        <v/>
      </c>
      <c r="C190" s="363" t="str">
        <f>IFERROR(INDEX('G-1 All Habitats'!$AG$3:$AG$15,MATCH(D190,'G-1 All Habitats'!$AF$3:$AF$15,0)),"")</f>
        <v/>
      </c>
      <c r="D190" s="186"/>
      <c r="E190" s="275"/>
      <c r="F190" s="362" t="str">
        <f>IFERROR(INDEX('G-1 All Habitats'!$B$3:$B$130,MATCH(E190,'G-1 All Habitats'!$A$3:$A$130,0)),"")</f>
        <v/>
      </c>
      <c r="G190" s="598"/>
      <c r="H190" s="239" t="str">
        <f>IF(F190="","",VLOOKUP(F190,'G-1 All Habitats'!$B$2:$M$130,10,FALSE))</f>
        <v/>
      </c>
      <c r="I190" s="176" t="str">
        <f>IFERROR(VLOOKUP(H190,'G-1 All Habitats'!$V$3:$W$7,2,FALSE),"")</f>
        <v/>
      </c>
      <c r="J190" s="270"/>
      <c r="K190" s="176" t="str">
        <f>IFERROR(INDEX('G-8 Condition Look up'!$A$3:$H$131,MATCH(F190,'G-8 Condition Look up'!$A$3:$A$131,0),MATCH(J190,'G-8 Condition Look up'!$A$3:$H$3,0)),"")</f>
        <v/>
      </c>
      <c r="L190" s="173"/>
      <c r="M190" s="269" t="str">
        <f>IF(L190="","",IF(VLOOKUP(L190,'G-3 Multipliers'!$L$3:$N$6,2,FALSE)=0,"Spatial Data Missing",VLOOKUP(L190,'G-3 Multipliers'!$L$3:$N$6,2,FALSE)))</f>
        <v/>
      </c>
      <c r="N190" s="172" t="str">
        <f>IF(L190="","",IF(VLOOKUP(L190,'G-3 Multipliers'!$L$3:$N$6,3,FALSE)=0,"Spatial Data Missing",VLOOKUP(L190,'G-3 Multipliers'!$L$3:$N$6,3,FALSE)))</f>
        <v/>
      </c>
      <c r="O190" s="171" t="str">
        <f t="shared" si="10"/>
        <v/>
      </c>
      <c r="P190" s="261"/>
      <c r="Q190" s="261"/>
      <c r="R190" s="343" t="str">
        <f t="shared" si="11"/>
        <v/>
      </c>
      <c r="S190" s="352" t="str">
        <f t="shared" si="12"/>
        <v/>
      </c>
      <c r="T190" s="593" t="str">
        <f>IFERROR(IF(S190="Check Data","Check Data",VLOOKUP(S190,'G-4 Temporal multipliers'!$A$4:$C$37,3,FALSE)),"")</f>
        <v/>
      </c>
      <c r="U190" s="592" t="str">
        <f>IF(F190="","",VLOOKUP(F190,'G-3 Multipliers'!$A$2:$E$130,2,FALSE))</f>
        <v/>
      </c>
      <c r="V190" s="343" t="str">
        <f t="shared" si="13"/>
        <v/>
      </c>
      <c r="W190" s="343" t="str">
        <f>IF(E190="","",IF(AND(V190="Standard difficulty applied",O190&gt;P190),U190,IF(AND(V190="Low Difficulty - only applicable if all habitat created before losses",P190&gt;=O190),"Low",VLOOKUP(F190,'G-3 Multipliers'!$A$2:$E$130,4,FALSE))))</f>
        <v/>
      </c>
      <c r="X190" s="345" t="str">
        <f>IFERROR(IF(E190="","",VLOOKUP(W190, 'G-3 Multipliers'!$P$2:$Q$6,2,FALSE)),””)</f>
        <v/>
      </c>
      <c r="Y190" s="266"/>
      <c r="Z190" s="172" t="str">
        <f>IF(Y190="","",IF(VLOOKUP(Y190,'G-3 Multipliers'!$S$3:$T$9,2,FALSE)=0,"Spatial Data Missing",VLOOKUP(Y190,'G-3 Multipliers'!$S$3:$T$9,2,FALSE)))</f>
        <v/>
      </c>
      <c r="AA190" s="265" t="str">
        <f t="shared" si="14"/>
        <v/>
      </c>
      <c r="AB190" s="180"/>
      <c r="AC190" s="181"/>
    </row>
    <row r="191" spans="1:29" ht="13.8" x14ac:dyDescent="0.25">
      <c r="A191" s="35" t="str">
        <f>IFERROR(INDEX('G-8 Condition Look up'!$I$4:$I$131,MATCH(F191,'G-8 Condition Look up'!$A$4:$A$131,0)),"")</f>
        <v/>
      </c>
      <c r="C191" s="363" t="str">
        <f>IFERROR(INDEX('G-1 All Habitats'!$AG$3:$AG$15,MATCH(D191,'G-1 All Habitats'!$AF$3:$AF$15,0)),"")</f>
        <v/>
      </c>
      <c r="D191" s="186"/>
      <c r="E191" s="275"/>
      <c r="F191" s="362" t="str">
        <f>IFERROR(INDEX('G-1 All Habitats'!$B$3:$B$130,MATCH(E191,'G-1 All Habitats'!$A$3:$A$130,0)),"")</f>
        <v/>
      </c>
      <c r="G191" s="598"/>
      <c r="H191" s="239" t="str">
        <f>IF(F191="","",VLOOKUP(F191,'G-1 All Habitats'!$B$2:$M$130,10,FALSE))</f>
        <v/>
      </c>
      <c r="I191" s="176" t="str">
        <f>IFERROR(VLOOKUP(H191,'G-1 All Habitats'!$V$3:$W$7,2,FALSE),"")</f>
        <v/>
      </c>
      <c r="J191" s="270"/>
      <c r="K191" s="176" t="str">
        <f>IFERROR(INDEX('G-8 Condition Look up'!$A$3:$H$131,MATCH(F191,'G-8 Condition Look up'!$A$3:$A$131,0),MATCH(J191,'G-8 Condition Look up'!$A$3:$H$3,0)),"")</f>
        <v/>
      </c>
      <c r="L191" s="173"/>
      <c r="M191" s="269" t="str">
        <f>IF(L191="","",IF(VLOOKUP(L191,'G-3 Multipliers'!$L$3:$N$6,2,FALSE)=0,"Spatial Data Missing",VLOOKUP(L191,'G-3 Multipliers'!$L$3:$N$6,2,FALSE)))</f>
        <v/>
      </c>
      <c r="N191" s="172" t="str">
        <f>IF(L191="","",IF(VLOOKUP(L191,'G-3 Multipliers'!$L$3:$N$6,3,FALSE)=0,"Spatial Data Missing",VLOOKUP(L191,'G-3 Multipliers'!$L$3:$N$6,3,FALSE)))</f>
        <v/>
      </c>
      <c r="O191" s="171" t="str">
        <f t="shared" si="10"/>
        <v/>
      </c>
      <c r="P191" s="261"/>
      <c r="Q191" s="261"/>
      <c r="R191" s="343" t="str">
        <f t="shared" si="11"/>
        <v/>
      </c>
      <c r="S191" s="352" t="str">
        <f t="shared" si="12"/>
        <v/>
      </c>
      <c r="T191" s="593" t="str">
        <f>IFERROR(IF(S191="Check Data","Check Data",VLOOKUP(S191,'G-4 Temporal multipliers'!$A$4:$C$37,3,FALSE)),"")</f>
        <v/>
      </c>
      <c r="U191" s="592" t="str">
        <f>IF(F191="","",VLOOKUP(F191,'G-3 Multipliers'!$A$2:$E$130,2,FALSE))</f>
        <v/>
      </c>
      <c r="V191" s="343" t="str">
        <f t="shared" si="13"/>
        <v/>
      </c>
      <c r="W191" s="343" t="str">
        <f>IF(E191="","",IF(AND(V191="Standard difficulty applied",O191&gt;P191),U191,IF(AND(V191="Low Difficulty - only applicable if all habitat created before losses",P191&gt;=O191),"Low",VLOOKUP(F191,'G-3 Multipliers'!$A$2:$E$130,4,FALSE))))</f>
        <v/>
      </c>
      <c r="X191" s="345" t="str">
        <f>IFERROR(IF(E191="","",VLOOKUP(W191, 'G-3 Multipliers'!$P$2:$Q$6,2,FALSE)),””)</f>
        <v/>
      </c>
      <c r="Y191" s="266"/>
      <c r="Z191" s="172" t="str">
        <f>IF(Y191="","",IF(VLOOKUP(Y191,'G-3 Multipliers'!$S$3:$T$9,2,FALSE)=0,"Spatial Data Missing",VLOOKUP(Y191,'G-3 Multipliers'!$S$3:$T$9,2,FALSE)))</f>
        <v/>
      </c>
      <c r="AA191" s="265" t="str">
        <f t="shared" si="14"/>
        <v/>
      </c>
      <c r="AB191" s="180"/>
      <c r="AC191" s="181"/>
    </row>
    <row r="192" spans="1:29" ht="13.8" x14ac:dyDescent="0.25">
      <c r="A192" s="35" t="str">
        <f>IFERROR(INDEX('G-8 Condition Look up'!$I$4:$I$131,MATCH(F192,'G-8 Condition Look up'!$A$4:$A$131,0)),"")</f>
        <v/>
      </c>
      <c r="C192" s="363" t="str">
        <f>IFERROR(INDEX('G-1 All Habitats'!$AG$3:$AG$15,MATCH(D192,'G-1 All Habitats'!$AF$3:$AF$15,0)),"")</f>
        <v/>
      </c>
      <c r="D192" s="186"/>
      <c r="E192" s="275"/>
      <c r="F192" s="362" t="str">
        <f>IFERROR(INDEX('G-1 All Habitats'!$B$3:$B$130,MATCH(E192,'G-1 All Habitats'!$A$3:$A$130,0)),"")</f>
        <v/>
      </c>
      <c r="G192" s="598"/>
      <c r="H192" s="239" t="str">
        <f>IF(F192="","",VLOOKUP(F192,'G-1 All Habitats'!$B$2:$M$130,10,FALSE))</f>
        <v/>
      </c>
      <c r="I192" s="176" t="str">
        <f>IFERROR(VLOOKUP(H192,'G-1 All Habitats'!$V$3:$W$7,2,FALSE),"")</f>
        <v/>
      </c>
      <c r="J192" s="270"/>
      <c r="K192" s="176" t="str">
        <f>IFERROR(INDEX('G-8 Condition Look up'!$A$3:$H$131,MATCH(F192,'G-8 Condition Look up'!$A$3:$A$131,0),MATCH(J192,'G-8 Condition Look up'!$A$3:$H$3,0)),"")</f>
        <v/>
      </c>
      <c r="L192" s="173"/>
      <c r="M192" s="269" t="str">
        <f>IF(L192="","",IF(VLOOKUP(L192,'G-3 Multipliers'!$L$3:$N$6,2,FALSE)=0,"Spatial Data Missing",VLOOKUP(L192,'G-3 Multipliers'!$L$3:$N$6,2,FALSE)))</f>
        <v/>
      </c>
      <c r="N192" s="172" t="str">
        <f>IF(L192="","",IF(VLOOKUP(L192,'G-3 Multipliers'!$L$3:$N$6,3,FALSE)=0,"Spatial Data Missing",VLOOKUP(L192,'G-3 Multipliers'!$L$3:$N$6,3,FALSE)))</f>
        <v/>
      </c>
      <c r="O192" s="171" t="str">
        <f t="shared" si="10"/>
        <v/>
      </c>
      <c r="P192" s="261"/>
      <c r="Q192" s="261"/>
      <c r="R192" s="343" t="str">
        <f t="shared" si="11"/>
        <v/>
      </c>
      <c r="S192" s="352" t="str">
        <f t="shared" si="12"/>
        <v/>
      </c>
      <c r="T192" s="593" t="str">
        <f>IFERROR(IF(S192="Check Data","Check Data",VLOOKUP(S192,'G-4 Temporal multipliers'!$A$4:$C$37,3,FALSE)),"")</f>
        <v/>
      </c>
      <c r="U192" s="592" t="str">
        <f>IF(F192="","",VLOOKUP(F192,'G-3 Multipliers'!$A$2:$E$130,2,FALSE))</f>
        <v/>
      </c>
      <c r="V192" s="343" t="str">
        <f t="shared" si="13"/>
        <v/>
      </c>
      <c r="W192" s="343" t="str">
        <f>IF(E192="","",IF(AND(V192="Standard difficulty applied",O192&gt;P192),U192,IF(AND(V192="Low Difficulty - only applicable if all habitat created before losses",P192&gt;=O192),"Low",VLOOKUP(F192,'G-3 Multipliers'!$A$2:$E$130,4,FALSE))))</f>
        <v/>
      </c>
      <c r="X192" s="345" t="str">
        <f>IFERROR(IF(E192="","",VLOOKUP(W192, 'G-3 Multipliers'!$P$2:$Q$6,2,FALSE)),””)</f>
        <v/>
      </c>
      <c r="Y192" s="266"/>
      <c r="Z192" s="172" t="str">
        <f>IF(Y192="","",IF(VLOOKUP(Y192,'G-3 Multipliers'!$S$3:$T$9,2,FALSE)=0,"Spatial Data Missing",VLOOKUP(Y192,'G-3 Multipliers'!$S$3:$T$9,2,FALSE)))</f>
        <v/>
      </c>
      <c r="AA192" s="265" t="str">
        <f t="shared" si="14"/>
        <v/>
      </c>
      <c r="AB192" s="180"/>
      <c r="AC192" s="181"/>
    </row>
    <row r="193" spans="1:29" ht="13.8" x14ac:dyDescent="0.25">
      <c r="A193" s="35" t="str">
        <f>IFERROR(INDEX('G-8 Condition Look up'!$I$4:$I$131,MATCH(F193,'G-8 Condition Look up'!$A$4:$A$131,0)),"")</f>
        <v/>
      </c>
      <c r="C193" s="363" t="str">
        <f>IFERROR(INDEX('G-1 All Habitats'!$AG$3:$AG$15,MATCH(D193,'G-1 All Habitats'!$AF$3:$AF$15,0)),"")</f>
        <v/>
      </c>
      <c r="D193" s="186"/>
      <c r="E193" s="275"/>
      <c r="F193" s="362" t="str">
        <f>IFERROR(INDEX('G-1 All Habitats'!$B$3:$B$130,MATCH(E193,'G-1 All Habitats'!$A$3:$A$130,0)),"")</f>
        <v/>
      </c>
      <c r="G193" s="598"/>
      <c r="H193" s="239" t="str">
        <f>IF(F193="","",VLOOKUP(F193,'G-1 All Habitats'!$B$2:$M$130,10,FALSE))</f>
        <v/>
      </c>
      <c r="I193" s="176" t="str">
        <f>IFERROR(VLOOKUP(H193,'G-1 All Habitats'!$V$3:$W$7,2,FALSE),"")</f>
        <v/>
      </c>
      <c r="J193" s="270"/>
      <c r="K193" s="176" t="str">
        <f>IFERROR(INDEX('G-8 Condition Look up'!$A$3:$H$131,MATCH(F193,'G-8 Condition Look up'!$A$3:$A$131,0),MATCH(J193,'G-8 Condition Look up'!$A$3:$H$3,0)),"")</f>
        <v/>
      </c>
      <c r="L193" s="173"/>
      <c r="M193" s="269" t="str">
        <f>IF(L193="","",IF(VLOOKUP(L193,'G-3 Multipliers'!$L$3:$N$6,2,FALSE)=0,"Spatial Data Missing",VLOOKUP(L193,'G-3 Multipliers'!$L$3:$N$6,2,FALSE)))</f>
        <v/>
      </c>
      <c r="N193" s="172" t="str">
        <f>IF(L193="","",IF(VLOOKUP(L193,'G-3 Multipliers'!$L$3:$N$6,3,FALSE)=0,"Spatial Data Missing",VLOOKUP(L193,'G-3 Multipliers'!$L$3:$N$6,3,FALSE)))</f>
        <v/>
      </c>
      <c r="O193" s="171" t="str">
        <f t="shared" si="10"/>
        <v/>
      </c>
      <c r="P193" s="261"/>
      <c r="Q193" s="261"/>
      <c r="R193" s="343" t="str">
        <f t="shared" si="11"/>
        <v/>
      </c>
      <c r="S193" s="352" t="str">
        <f t="shared" si="12"/>
        <v/>
      </c>
      <c r="T193" s="593" t="str">
        <f>IFERROR(IF(S193="Check Data","Check Data",VLOOKUP(S193,'G-4 Temporal multipliers'!$A$4:$C$37,3,FALSE)),"")</f>
        <v/>
      </c>
      <c r="U193" s="592" t="str">
        <f>IF(F193="","",VLOOKUP(F193,'G-3 Multipliers'!$A$2:$E$130,2,FALSE))</f>
        <v/>
      </c>
      <c r="V193" s="343" t="str">
        <f t="shared" si="13"/>
        <v/>
      </c>
      <c r="W193" s="343" t="str">
        <f>IF(E193="","",IF(AND(V193="Standard difficulty applied",O193&gt;P193),U193,IF(AND(V193="Low Difficulty - only applicable if all habitat created before losses",P193&gt;=O193),"Low",VLOOKUP(F193,'G-3 Multipliers'!$A$2:$E$130,4,FALSE))))</f>
        <v/>
      </c>
      <c r="X193" s="345" t="str">
        <f>IFERROR(IF(E193="","",VLOOKUP(W193, 'G-3 Multipliers'!$P$2:$Q$6,2,FALSE)),””)</f>
        <v/>
      </c>
      <c r="Y193" s="266"/>
      <c r="Z193" s="172" t="str">
        <f>IF(Y193="","",IF(VLOOKUP(Y193,'G-3 Multipliers'!$S$3:$T$9,2,FALSE)=0,"Spatial Data Missing",VLOOKUP(Y193,'G-3 Multipliers'!$S$3:$T$9,2,FALSE)))</f>
        <v/>
      </c>
      <c r="AA193" s="265" t="str">
        <f t="shared" si="14"/>
        <v/>
      </c>
      <c r="AB193" s="180"/>
      <c r="AC193" s="181"/>
    </row>
    <row r="194" spans="1:29" ht="13.8" x14ac:dyDescent="0.25">
      <c r="A194" s="35" t="str">
        <f>IFERROR(INDEX('G-8 Condition Look up'!$I$4:$I$131,MATCH(F194,'G-8 Condition Look up'!$A$4:$A$131,0)),"")</f>
        <v/>
      </c>
      <c r="C194" s="363" t="str">
        <f>IFERROR(INDEX('G-1 All Habitats'!$AG$3:$AG$15,MATCH(D194,'G-1 All Habitats'!$AF$3:$AF$15,0)),"")</f>
        <v/>
      </c>
      <c r="D194" s="186"/>
      <c r="E194" s="275"/>
      <c r="F194" s="362" t="str">
        <f>IFERROR(INDEX('G-1 All Habitats'!$B$3:$B$130,MATCH(E194,'G-1 All Habitats'!$A$3:$A$130,0)),"")</f>
        <v/>
      </c>
      <c r="G194" s="598"/>
      <c r="H194" s="239" t="str">
        <f>IF(F194="","",VLOOKUP(F194,'G-1 All Habitats'!$B$2:$M$130,10,FALSE))</f>
        <v/>
      </c>
      <c r="I194" s="176" t="str">
        <f>IFERROR(VLOOKUP(H194,'G-1 All Habitats'!$V$3:$W$7,2,FALSE),"")</f>
        <v/>
      </c>
      <c r="J194" s="270"/>
      <c r="K194" s="176" t="str">
        <f>IFERROR(INDEX('G-8 Condition Look up'!$A$3:$H$131,MATCH(F194,'G-8 Condition Look up'!$A$3:$A$131,0),MATCH(J194,'G-8 Condition Look up'!$A$3:$H$3,0)),"")</f>
        <v/>
      </c>
      <c r="L194" s="173"/>
      <c r="M194" s="269" t="str">
        <f>IF(L194="","",IF(VLOOKUP(L194,'G-3 Multipliers'!$L$3:$N$6,2,FALSE)=0,"Spatial Data Missing",VLOOKUP(L194,'G-3 Multipliers'!$L$3:$N$6,2,FALSE)))</f>
        <v/>
      </c>
      <c r="N194" s="172" t="str">
        <f>IF(L194="","",IF(VLOOKUP(L194,'G-3 Multipliers'!$L$3:$N$6,3,FALSE)=0,"Spatial Data Missing",VLOOKUP(L194,'G-3 Multipliers'!$L$3:$N$6,3,FALSE)))</f>
        <v/>
      </c>
      <c r="O194" s="171" t="str">
        <f t="shared" si="10"/>
        <v/>
      </c>
      <c r="P194" s="261"/>
      <c r="Q194" s="261"/>
      <c r="R194" s="343" t="str">
        <f t="shared" si="11"/>
        <v/>
      </c>
      <c r="S194" s="352" t="str">
        <f t="shared" si="12"/>
        <v/>
      </c>
      <c r="T194" s="593" t="str">
        <f>IFERROR(IF(S194="Check Data","Check Data",VLOOKUP(S194,'G-4 Temporal multipliers'!$A$4:$C$37,3,FALSE)),"")</f>
        <v/>
      </c>
      <c r="U194" s="592" t="str">
        <f>IF(F194="","",VLOOKUP(F194,'G-3 Multipliers'!$A$2:$E$130,2,FALSE))</f>
        <v/>
      </c>
      <c r="V194" s="343" t="str">
        <f t="shared" si="13"/>
        <v/>
      </c>
      <c r="W194" s="343" t="str">
        <f>IF(E194="","",IF(AND(V194="Standard difficulty applied",O194&gt;P194),U194,IF(AND(V194="Low Difficulty - only applicable if all habitat created before losses",P194&gt;=O194),"Low",VLOOKUP(F194,'G-3 Multipliers'!$A$2:$E$130,4,FALSE))))</f>
        <v/>
      </c>
      <c r="X194" s="345" t="str">
        <f>IFERROR(IF(E194="","",VLOOKUP(W194, 'G-3 Multipliers'!$P$2:$Q$6,2,FALSE)),””)</f>
        <v/>
      </c>
      <c r="Y194" s="266"/>
      <c r="Z194" s="172" t="str">
        <f>IF(Y194="","",IF(VLOOKUP(Y194,'G-3 Multipliers'!$S$3:$T$9,2,FALSE)=0,"Spatial Data Missing",VLOOKUP(Y194,'G-3 Multipliers'!$S$3:$T$9,2,FALSE)))</f>
        <v/>
      </c>
      <c r="AA194" s="265" t="str">
        <f t="shared" si="14"/>
        <v/>
      </c>
      <c r="AB194" s="180"/>
      <c r="AC194" s="181"/>
    </row>
    <row r="195" spans="1:29" ht="13.8" x14ac:dyDescent="0.25">
      <c r="A195" s="35" t="str">
        <f>IFERROR(INDEX('G-8 Condition Look up'!$I$4:$I$131,MATCH(F195,'G-8 Condition Look up'!$A$4:$A$131,0)),"")</f>
        <v/>
      </c>
      <c r="C195" s="363" t="str">
        <f>IFERROR(INDEX('G-1 All Habitats'!$AG$3:$AG$15,MATCH(D195,'G-1 All Habitats'!$AF$3:$AF$15,0)),"")</f>
        <v/>
      </c>
      <c r="D195" s="186"/>
      <c r="E195" s="275"/>
      <c r="F195" s="362" t="str">
        <f>IFERROR(INDEX('G-1 All Habitats'!$B$3:$B$130,MATCH(E195,'G-1 All Habitats'!$A$3:$A$130,0)),"")</f>
        <v/>
      </c>
      <c r="G195" s="598"/>
      <c r="H195" s="239" t="str">
        <f>IF(F195="","",VLOOKUP(F195,'G-1 All Habitats'!$B$2:$M$130,10,FALSE))</f>
        <v/>
      </c>
      <c r="I195" s="176" t="str">
        <f>IFERROR(VLOOKUP(H195,'G-1 All Habitats'!$V$3:$W$7,2,FALSE),"")</f>
        <v/>
      </c>
      <c r="J195" s="270"/>
      <c r="K195" s="176" t="str">
        <f>IFERROR(INDEX('G-8 Condition Look up'!$A$3:$H$131,MATCH(F195,'G-8 Condition Look up'!$A$3:$A$131,0),MATCH(J195,'G-8 Condition Look up'!$A$3:$H$3,0)),"")</f>
        <v/>
      </c>
      <c r="L195" s="173"/>
      <c r="M195" s="269" t="str">
        <f>IF(L195="","",IF(VLOOKUP(L195,'G-3 Multipliers'!$L$3:$N$6,2,FALSE)=0,"Spatial Data Missing",VLOOKUP(L195,'G-3 Multipliers'!$L$3:$N$6,2,FALSE)))</f>
        <v/>
      </c>
      <c r="N195" s="172" t="str">
        <f>IF(L195="","",IF(VLOOKUP(L195,'G-3 Multipliers'!$L$3:$N$6,3,FALSE)=0,"Spatial Data Missing",VLOOKUP(L195,'G-3 Multipliers'!$L$3:$N$6,3,FALSE)))</f>
        <v/>
      </c>
      <c r="O195" s="171" t="str">
        <f t="shared" si="10"/>
        <v/>
      </c>
      <c r="P195" s="261"/>
      <c r="Q195" s="261"/>
      <c r="R195" s="343" t="str">
        <f t="shared" si="11"/>
        <v/>
      </c>
      <c r="S195" s="352" t="str">
        <f t="shared" si="12"/>
        <v/>
      </c>
      <c r="T195" s="593" t="str">
        <f>IFERROR(IF(S195="Check Data","Check Data",VLOOKUP(S195,'G-4 Temporal multipliers'!$A$4:$C$37,3,FALSE)),"")</f>
        <v/>
      </c>
      <c r="U195" s="592" t="str">
        <f>IF(F195="","",VLOOKUP(F195,'G-3 Multipliers'!$A$2:$E$130,2,FALSE))</f>
        <v/>
      </c>
      <c r="V195" s="343" t="str">
        <f t="shared" si="13"/>
        <v/>
      </c>
      <c r="W195" s="343" t="str">
        <f>IF(E195="","",IF(AND(V195="Standard difficulty applied",O195&gt;P195),U195,IF(AND(V195="Low Difficulty - only applicable if all habitat created before losses",P195&gt;=O195),"Low",VLOOKUP(F195,'G-3 Multipliers'!$A$2:$E$130,4,FALSE))))</f>
        <v/>
      </c>
      <c r="X195" s="345" t="str">
        <f>IFERROR(IF(E195="","",VLOOKUP(W195, 'G-3 Multipliers'!$P$2:$Q$6,2,FALSE)),””)</f>
        <v/>
      </c>
      <c r="Y195" s="266"/>
      <c r="Z195" s="172" t="str">
        <f>IF(Y195="","",IF(VLOOKUP(Y195,'G-3 Multipliers'!$S$3:$T$9,2,FALSE)=0,"Spatial Data Missing",VLOOKUP(Y195,'G-3 Multipliers'!$S$3:$T$9,2,FALSE)))</f>
        <v/>
      </c>
      <c r="AA195" s="265" t="str">
        <f t="shared" si="14"/>
        <v/>
      </c>
      <c r="AB195" s="180"/>
      <c r="AC195" s="181"/>
    </row>
    <row r="196" spans="1:29" ht="13.8" x14ac:dyDescent="0.25">
      <c r="A196" s="35" t="str">
        <f>IFERROR(INDEX('G-8 Condition Look up'!$I$4:$I$131,MATCH(F196,'G-8 Condition Look up'!$A$4:$A$131,0)),"")</f>
        <v/>
      </c>
      <c r="C196" s="363" t="str">
        <f>IFERROR(INDEX('G-1 All Habitats'!$AG$3:$AG$15,MATCH(D196,'G-1 All Habitats'!$AF$3:$AF$15,0)),"")</f>
        <v/>
      </c>
      <c r="D196" s="186"/>
      <c r="E196" s="275"/>
      <c r="F196" s="362" t="str">
        <f>IFERROR(INDEX('G-1 All Habitats'!$B$3:$B$130,MATCH(E196,'G-1 All Habitats'!$A$3:$A$130,0)),"")</f>
        <v/>
      </c>
      <c r="G196" s="598"/>
      <c r="H196" s="239" t="str">
        <f>IF(F196="","",VLOOKUP(F196,'G-1 All Habitats'!$B$2:$M$130,10,FALSE))</f>
        <v/>
      </c>
      <c r="I196" s="176" t="str">
        <f>IFERROR(VLOOKUP(H196,'G-1 All Habitats'!$V$3:$W$7,2,FALSE),"")</f>
        <v/>
      </c>
      <c r="J196" s="270"/>
      <c r="K196" s="176" t="str">
        <f>IFERROR(INDEX('G-8 Condition Look up'!$A$3:$H$131,MATCH(F196,'G-8 Condition Look up'!$A$3:$A$131,0),MATCH(J196,'G-8 Condition Look up'!$A$3:$H$3,0)),"")</f>
        <v/>
      </c>
      <c r="L196" s="173"/>
      <c r="M196" s="269" t="str">
        <f>IF(L196="","",IF(VLOOKUP(L196,'G-3 Multipliers'!$L$3:$N$6,2,FALSE)=0,"Spatial Data Missing",VLOOKUP(L196,'G-3 Multipliers'!$L$3:$N$6,2,FALSE)))</f>
        <v/>
      </c>
      <c r="N196" s="172" t="str">
        <f>IF(L196="","",IF(VLOOKUP(L196,'G-3 Multipliers'!$L$3:$N$6,3,FALSE)=0,"Spatial Data Missing",VLOOKUP(L196,'G-3 Multipliers'!$L$3:$N$6,3,FALSE)))</f>
        <v/>
      </c>
      <c r="O196" s="171" t="str">
        <f t="shared" si="10"/>
        <v/>
      </c>
      <c r="P196" s="261"/>
      <c r="Q196" s="261"/>
      <c r="R196" s="343" t="str">
        <f t="shared" si="11"/>
        <v/>
      </c>
      <c r="S196" s="352" t="str">
        <f t="shared" si="12"/>
        <v/>
      </c>
      <c r="T196" s="593" t="str">
        <f>IFERROR(IF(S196="Check Data","Check Data",VLOOKUP(S196,'G-4 Temporal multipliers'!$A$4:$C$37,3,FALSE)),"")</f>
        <v/>
      </c>
      <c r="U196" s="592" t="str">
        <f>IF(F196="","",VLOOKUP(F196,'G-3 Multipliers'!$A$2:$E$130,2,FALSE))</f>
        <v/>
      </c>
      <c r="V196" s="343" t="str">
        <f t="shared" si="13"/>
        <v/>
      </c>
      <c r="W196" s="343" t="str">
        <f>IF(E196="","",IF(AND(V196="Standard difficulty applied",O196&gt;P196),U196,IF(AND(V196="Low Difficulty - only applicable if all habitat created before losses",P196&gt;=O196),"Low",VLOOKUP(F196,'G-3 Multipliers'!$A$2:$E$130,4,FALSE))))</f>
        <v/>
      </c>
      <c r="X196" s="345" t="str">
        <f>IFERROR(IF(E196="","",VLOOKUP(W196, 'G-3 Multipliers'!$P$2:$Q$6,2,FALSE)),””)</f>
        <v/>
      </c>
      <c r="Y196" s="266"/>
      <c r="Z196" s="172" t="str">
        <f>IF(Y196="","",IF(VLOOKUP(Y196,'G-3 Multipliers'!$S$3:$T$9,2,FALSE)=0,"Spatial Data Missing",VLOOKUP(Y196,'G-3 Multipliers'!$S$3:$T$9,2,FALSE)))</f>
        <v/>
      </c>
      <c r="AA196" s="265" t="str">
        <f t="shared" si="14"/>
        <v/>
      </c>
      <c r="AB196" s="180"/>
      <c r="AC196" s="181"/>
    </row>
    <row r="197" spans="1:29" ht="13.8" x14ac:dyDescent="0.25">
      <c r="A197" s="35" t="str">
        <f>IFERROR(INDEX('G-8 Condition Look up'!$I$4:$I$131,MATCH(F197,'G-8 Condition Look up'!$A$4:$A$131,0)),"")</f>
        <v/>
      </c>
      <c r="C197" s="363" t="str">
        <f>IFERROR(INDEX('G-1 All Habitats'!$AG$3:$AG$15,MATCH(D197,'G-1 All Habitats'!$AF$3:$AF$15,0)),"")</f>
        <v/>
      </c>
      <c r="D197" s="186"/>
      <c r="E197" s="275"/>
      <c r="F197" s="362" t="str">
        <f>IFERROR(INDEX('G-1 All Habitats'!$B$3:$B$130,MATCH(E197,'G-1 All Habitats'!$A$3:$A$130,0)),"")</f>
        <v/>
      </c>
      <c r="G197" s="598"/>
      <c r="H197" s="239" t="str">
        <f>IF(F197="","",VLOOKUP(F197,'G-1 All Habitats'!$B$2:$M$130,10,FALSE))</f>
        <v/>
      </c>
      <c r="I197" s="176" t="str">
        <f>IFERROR(VLOOKUP(H197,'G-1 All Habitats'!$V$3:$W$7,2,FALSE),"")</f>
        <v/>
      </c>
      <c r="J197" s="270"/>
      <c r="K197" s="176" t="str">
        <f>IFERROR(INDEX('G-8 Condition Look up'!$A$3:$H$131,MATCH(F197,'G-8 Condition Look up'!$A$3:$A$131,0),MATCH(J197,'G-8 Condition Look up'!$A$3:$H$3,0)),"")</f>
        <v/>
      </c>
      <c r="L197" s="173"/>
      <c r="M197" s="269" t="str">
        <f>IF(L197="","",IF(VLOOKUP(L197,'G-3 Multipliers'!$L$3:$N$6,2,FALSE)=0,"Spatial Data Missing",VLOOKUP(L197,'G-3 Multipliers'!$L$3:$N$6,2,FALSE)))</f>
        <v/>
      </c>
      <c r="N197" s="172" t="str">
        <f>IF(L197="","",IF(VLOOKUP(L197,'G-3 Multipliers'!$L$3:$N$6,3,FALSE)=0,"Spatial Data Missing",VLOOKUP(L197,'G-3 Multipliers'!$L$3:$N$6,3,FALSE)))</f>
        <v/>
      </c>
      <c r="O197" s="171" t="str">
        <f t="shared" si="10"/>
        <v/>
      </c>
      <c r="P197" s="261"/>
      <c r="Q197" s="261"/>
      <c r="R197" s="343" t="str">
        <f t="shared" si="11"/>
        <v/>
      </c>
      <c r="S197" s="352" t="str">
        <f t="shared" si="12"/>
        <v/>
      </c>
      <c r="T197" s="593" t="str">
        <f>IFERROR(IF(S197="Check Data","Check Data",VLOOKUP(S197,'G-4 Temporal multipliers'!$A$4:$C$37,3,FALSE)),"")</f>
        <v/>
      </c>
      <c r="U197" s="592" t="str">
        <f>IF(F197="","",VLOOKUP(F197,'G-3 Multipliers'!$A$2:$E$130,2,FALSE))</f>
        <v/>
      </c>
      <c r="V197" s="343" t="str">
        <f t="shared" si="13"/>
        <v/>
      </c>
      <c r="W197" s="343" t="str">
        <f>IF(E197="","",IF(AND(V197="Standard difficulty applied",O197&gt;P197),U197,IF(AND(V197="Low Difficulty - only applicable if all habitat created before losses",P197&gt;=O197),"Low",VLOOKUP(F197,'G-3 Multipliers'!$A$2:$E$130,4,FALSE))))</f>
        <v/>
      </c>
      <c r="X197" s="345" t="str">
        <f>IFERROR(IF(E197="","",VLOOKUP(W197, 'G-3 Multipliers'!$P$2:$Q$6,2,FALSE)),””)</f>
        <v/>
      </c>
      <c r="Y197" s="266"/>
      <c r="Z197" s="172" t="str">
        <f>IF(Y197="","",IF(VLOOKUP(Y197,'G-3 Multipliers'!$S$3:$T$9,2,FALSE)=0,"Spatial Data Missing",VLOOKUP(Y197,'G-3 Multipliers'!$S$3:$T$9,2,FALSE)))</f>
        <v/>
      </c>
      <c r="AA197" s="265" t="str">
        <f t="shared" si="14"/>
        <v/>
      </c>
      <c r="AB197" s="180"/>
      <c r="AC197" s="181"/>
    </row>
    <row r="198" spans="1:29" ht="13.8" x14ac:dyDescent="0.25">
      <c r="A198" s="35" t="str">
        <f>IFERROR(INDEX('G-8 Condition Look up'!$I$4:$I$131,MATCH(F198,'G-8 Condition Look up'!$A$4:$A$131,0)),"")</f>
        <v/>
      </c>
      <c r="C198" s="363" t="str">
        <f>IFERROR(INDEX('G-1 All Habitats'!$AG$3:$AG$15,MATCH(D198,'G-1 All Habitats'!$AF$3:$AF$15,0)),"")</f>
        <v/>
      </c>
      <c r="D198" s="186"/>
      <c r="E198" s="275"/>
      <c r="F198" s="362" t="str">
        <f>IFERROR(INDEX('G-1 All Habitats'!$B$3:$B$130,MATCH(E198,'G-1 All Habitats'!$A$3:$A$130,0)),"")</f>
        <v/>
      </c>
      <c r="G198" s="598"/>
      <c r="H198" s="239" t="str">
        <f>IF(F198="","",VLOOKUP(F198,'G-1 All Habitats'!$B$2:$M$130,10,FALSE))</f>
        <v/>
      </c>
      <c r="I198" s="176" t="str">
        <f>IFERROR(VLOOKUP(H198,'G-1 All Habitats'!$V$3:$W$7,2,FALSE),"")</f>
        <v/>
      </c>
      <c r="J198" s="270"/>
      <c r="K198" s="176" t="str">
        <f>IFERROR(INDEX('G-8 Condition Look up'!$A$3:$H$131,MATCH(F198,'G-8 Condition Look up'!$A$3:$A$131,0),MATCH(J198,'G-8 Condition Look up'!$A$3:$H$3,0)),"")</f>
        <v/>
      </c>
      <c r="L198" s="173"/>
      <c r="M198" s="269" t="str">
        <f>IF(L198="","",IF(VLOOKUP(L198,'G-3 Multipliers'!$L$3:$N$6,2,FALSE)=0,"Spatial Data Missing",VLOOKUP(L198,'G-3 Multipliers'!$L$3:$N$6,2,FALSE)))</f>
        <v/>
      </c>
      <c r="N198" s="172" t="str">
        <f>IF(L198="","",IF(VLOOKUP(L198,'G-3 Multipliers'!$L$3:$N$6,3,FALSE)=0,"Spatial Data Missing",VLOOKUP(L198,'G-3 Multipliers'!$L$3:$N$6,3,FALSE)))</f>
        <v/>
      </c>
      <c r="O198" s="171" t="str">
        <f t="shared" si="10"/>
        <v/>
      </c>
      <c r="P198" s="261"/>
      <c r="Q198" s="261"/>
      <c r="R198" s="343" t="str">
        <f t="shared" si="11"/>
        <v/>
      </c>
      <c r="S198" s="352" t="str">
        <f t="shared" si="12"/>
        <v/>
      </c>
      <c r="T198" s="593" t="str">
        <f>IFERROR(IF(S198="Check Data","Check Data",VLOOKUP(S198,'G-4 Temporal multipliers'!$A$4:$C$37,3,FALSE)),"")</f>
        <v/>
      </c>
      <c r="U198" s="592" t="str">
        <f>IF(F198="","",VLOOKUP(F198,'G-3 Multipliers'!$A$2:$E$130,2,FALSE))</f>
        <v/>
      </c>
      <c r="V198" s="343" t="str">
        <f t="shared" si="13"/>
        <v/>
      </c>
      <c r="W198" s="343" t="str">
        <f>IF(E198="","",IF(AND(V198="Standard difficulty applied",O198&gt;P198),U198,IF(AND(V198="Low Difficulty - only applicable if all habitat created before losses",P198&gt;=O198),"Low",VLOOKUP(F198,'G-3 Multipliers'!$A$2:$E$130,4,FALSE))))</f>
        <v/>
      </c>
      <c r="X198" s="345" t="str">
        <f>IFERROR(IF(E198="","",VLOOKUP(W198, 'G-3 Multipliers'!$P$2:$Q$6,2,FALSE)),””)</f>
        <v/>
      </c>
      <c r="Y198" s="266"/>
      <c r="Z198" s="172" t="str">
        <f>IF(Y198="","",IF(VLOOKUP(Y198,'G-3 Multipliers'!$S$3:$T$9,2,FALSE)=0,"Spatial Data Missing",VLOOKUP(Y198,'G-3 Multipliers'!$S$3:$T$9,2,FALSE)))</f>
        <v/>
      </c>
      <c r="AA198" s="265" t="str">
        <f t="shared" si="14"/>
        <v/>
      </c>
      <c r="AB198" s="180"/>
      <c r="AC198" s="181"/>
    </row>
    <row r="199" spans="1:29" ht="13.8" x14ac:dyDescent="0.25">
      <c r="A199" s="35" t="str">
        <f>IFERROR(INDEX('G-8 Condition Look up'!$I$4:$I$131,MATCH(F199,'G-8 Condition Look up'!$A$4:$A$131,0)),"")</f>
        <v/>
      </c>
      <c r="C199" s="363" t="str">
        <f>IFERROR(INDEX('G-1 All Habitats'!$AG$3:$AG$15,MATCH(D199,'G-1 All Habitats'!$AF$3:$AF$15,0)),"")</f>
        <v/>
      </c>
      <c r="D199" s="186"/>
      <c r="E199" s="275"/>
      <c r="F199" s="362" t="str">
        <f>IFERROR(INDEX('G-1 All Habitats'!$B$3:$B$130,MATCH(E199,'G-1 All Habitats'!$A$3:$A$130,0)),"")</f>
        <v/>
      </c>
      <c r="G199" s="598"/>
      <c r="H199" s="239" t="str">
        <f>IF(F199="","",VLOOKUP(F199,'G-1 All Habitats'!$B$2:$M$130,10,FALSE))</f>
        <v/>
      </c>
      <c r="I199" s="176" t="str">
        <f>IFERROR(VLOOKUP(H199,'G-1 All Habitats'!$V$3:$W$7,2,FALSE),"")</f>
        <v/>
      </c>
      <c r="J199" s="270"/>
      <c r="K199" s="176" t="str">
        <f>IFERROR(INDEX('G-8 Condition Look up'!$A$3:$H$131,MATCH(F199,'G-8 Condition Look up'!$A$3:$A$131,0),MATCH(J199,'G-8 Condition Look up'!$A$3:$H$3,0)),"")</f>
        <v/>
      </c>
      <c r="L199" s="173"/>
      <c r="M199" s="269" t="str">
        <f>IF(L199="","",IF(VLOOKUP(L199,'G-3 Multipliers'!$L$3:$N$6,2,FALSE)=0,"Spatial Data Missing",VLOOKUP(L199,'G-3 Multipliers'!$L$3:$N$6,2,FALSE)))</f>
        <v/>
      </c>
      <c r="N199" s="172" t="str">
        <f>IF(L199="","",IF(VLOOKUP(L199,'G-3 Multipliers'!$L$3:$N$6,3,FALSE)=0,"Spatial Data Missing",VLOOKUP(L199,'G-3 Multipliers'!$L$3:$N$6,3,FALSE)))</f>
        <v/>
      </c>
      <c r="O199" s="171" t="str">
        <f t="shared" si="10"/>
        <v/>
      </c>
      <c r="P199" s="261"/>
      <c r="Q199" s="261"/>
      <c r="R199" s="343" t="str">
        <f t="shared" si="11"/>
        <v/>
      </c>
      <c r="S199" s="352" t="str">
        <f t="shared" si="12"/>
        <v/>
      </c>
      <c r="T199" s="593" t="str">
        <f>IFERROR(IF(S199="Check Data","Check Data",VLOOKUP(S199,'G-4 Temporal multipliers'!$A$4:$C$37,3,FALSE)),"")</f>
        <v/>
      </c>
      <c r="U199" s="592" t="str">
        <f>IF(F199="","",VLOOKUP(F199,'G-3 Multipliers'!$A$2:$E$130,2,FALSE))</f>
        <v/>
      </c>
      <c r="V199" s="343" t="str">
        <f t="shared" si="13"/>
        <v/>
      </c>
      <c r="W199" s="343" t="str">
        <f>IF(E199="","",IF(AND(V199="Standard difficulty applied",O199&gt;P199),U199,IF(AND(V199="Low Difficulty - only applicable if all habitat created before losses",P199&gt;=O199),"Low",VLOOKUP(F199,'G-3 Multipliers'!$A$2:$E$130,4,FALSE))))</f>
        <v/>
      </c>
      <c r="X199" s="345" t="str">
        <f>IFERROR(IF(E199="","",VLOOKUP(W199, 'G-3 Multipliers'!$P$2:$Q$6,2,FALSE)),””)</f>
        <v/>
      </c>
      <c r="Y199" s="266"/>
      <c r="Z199" s="172" t="str">
        <f>IF(Y199="","",IF(VLOOKUP(Y199,'G-3 Multipliers'!$S$3:$T$9,2,FALSE)=0,"Spatial Data Missing",VLOOKUP(Y199,'G-3 Multipliers'!$S$3:$T$9,2,FALSE)))</f>
        <v/>
      </c>
      <c r="AA199" s="265" t="str">
        <f t="shared" si="14"/>
        <v/>
      </c>
      <c r="AB199" s="180"/>
      <c r="AC199" s="181"/>
    </row>
    <row r="200" spans="1:29" ht="13.8" x14ac:dyDescent="0.25">
      <c r="A200" s="35" t="str">
        <f>IFERROR(INDEX('G-8 Condition Look up'!$I$4:$I$131,MATCH(F200,'G-8 Condition Look up'!$A$4:$A$131,0)),"")</f>
        <v/>
      </c>
      <c r="C200" s="363" t="str">
        <f>IFERROR(INDEX('G-1 All Habitats'!$AG$3:$AG$15,MATCH(D200,'G-1 All Habitats'!$AF$3:$AF$15,0)),"")</f>
        <v/>
      </c>
      <c r="D200" s="186"/>
      <c r="E200" s="275"/>
      <c r="F200" s="362" t="str">
        <f>IFERROR(INDEX('G-1 All Habitats'!$B$3:$B$130,MATCH(E200,'G-1 All Habitats'!$A$3:$A$130,0)),"")</f>
        <v/>
      </c>
      <c r="G200" s="598"/>
      <c r="H200" s="239" t="str">
        <f>IF(F200="","",VLOOKUP(F200,'G-1 All Habitats'!$B$2:$M$130,10,FALSE))</f>
        <v/>
      </c>
      <c r="I200" s="176" t="str">
        <f>IFERROR(VLOOKUP(H200,'G-1 All Habitats'!$V$3:$W$7,2,FALSE),"")</f>
        <v/>
      </c>
      <c r="J200" s="270"/>
      <c r="K200" s="176" t="str">
        <f>IFERROR(INDEX('G-8 Condition Look up'!$A$3:$H$131,MATCH(F200,'G-8 Condition Look up'!$A$3:$A$131,0),MATCH(J200,'G-8 Condition Look up'!$A$3:$H$3,0)),"")</f>
        <v/>
      </c>
      <c r="L200" s="173"/>
      <c r="M200" s="269" t="str">
        <f>IF(L200="","",IF(VLOOKUP(L200,'G-3 Multipliers'!$L$3:$N$6,2,FALSE)=0,"Spatial Data Missing",VLOOKUP(L200,'G-3 Multipliers'!$L$3:$N$6,2,FALSE)))</f>
        <v/>
      </c>
      <c r="N200" s="172" t="str">
        <f>IF(L200="","",IF(VLOOKUP(L200,'G-3 Multipliers'!$L$3:$N$6,3,FALSE)=0,"Spatial Data Missing",VLOOKUP(L200,'G-3 Multipliers'!$L$3:$N$6,3,FALSE)))</f>
        <v/>
      </c>
      <c r="O200" s="171" t="str">
        <f t="shared" si="10"/>
        <v/>
      </c>
      <c r="P200" s="261"/>
      <c r="Q200" s="261"/>
      <c r="R200" s="343" t="str">
        <f t="shared" si="11"/>
        <v/>
      </c>
      <c r="S200" s="352" t="str">
        <f t="shared" si="12"/>
        <v/>
      </c>
      <c r="T200" s="593" t="str">
        <f>IFERROR(IF(S200="Check Data","Check Data",VLOOKUP(S200,'G-4 Temporal multipliers'!$A$4:$C$37,3,FALSE)),"")</f>
        <v/>
      </c>
      <c r="U200" s="592" t="str">
        <f>IF(F200="","",VLOOKUP(F200,'G-3 Multipliers'!$A$2:$E$130,2,FALSE))</f>
        <v/>
      </c>
      <c r="V200" s="343" t="str">
        <f t="shared" si="13"/>
        <v/>
      </c>
      <c r="W200" s="343" t="str">
        <f>IF(E200="","",IF(AND(V200="Standard difficulty applied",O200&gt;P200),U200,IF(AND(V200="Low Difficulty - only applicable if all habitat created before losses",P200&gt;=O200),"Low",VLOOKUP(F200,'G-3 Multipliers'!$A$2:$E$130,4,FALSE))))</f>
        <v/>
      </c>
      <c r="X200" s="345" t="str">
        <f>IFERROR(IF(E200="","",VLOOKUP(W200, 'G-3 Multipliers'!$P$2:$Q$6,2,FALSE)),””)</f>
        <v/>
      </c>
      <c r="Y200" s="266"/>
      <c r="Z200" s="172" t="str">
        <f>IF(Y200="","",IF(VLOOKUP(Y200,'G-3 Multipliers'!$S$3:$T$9,2,FALSE)=0,"Spatial Data Missing",VLOOKUP(Y200,'G-3 Multipliers'!$S$3:$T$9,2,FALSE)))</f>
        <v/>
      </c>
      <c r="AA200" s="265" t="str">
        <f t="shared" si="14"/>
        <v/>
      </c>
      <c r="AB200" s="180"/>
      <c r="AC200" s="181"/>
    </row>
    <row r="201" spans="1:29" ht="13.8" x14ac:dyDescent="0.25">
      <c r="A201" s="35" t="str">
        <f>IFERROR(INDEX('G-8 Condition Look up'!$I$4:$I$131,MATCH(F201,'G-8 Condition Look up'!$A$4:$A$131,0)),"")</f>
        <v/>
      </c>
      <c r="C201" s="363" t="str">
        <f>IFERROR(INDEX('G-1 All Habitats'!$AG$3:$AG$15,MATCH(D201,'G-1 All Habitats'!$AF$3:$AF$15,0)),"")</f>
        <v/>
      </c>
      <c r="D201" s="186"/>
      <c r="E201" s="275"/>
      <c r="F201" s="362" t="str">
        <f>IFERROR(INDEX('G-1 All Habitats'!$B$3:$B$130,MATCH(E201,'G-1 All Habitats'!$A$3:$A$130,0)),"")</f>
        <v/>
      </c>
      <c r="G201" s="598"/>
      <c r="H201" s="239" t="str">
        <f>IF(F201="","",VLOOKUP(F201,'G-1 All Habitats'!$B$2:$M$130,10,FALSE))</f>
        <v/>
      </c>
      <c r="I201" s="176" t="str">
        <f>IFERROR(VLOOKUP(H201,'G-1 All Habitats'!$V$3:$W$7,2,FALSE),"")</f>
        <v/>
      </c>
      <c r="J201" s="270"/>
      <c r="K201" s="176" t="str">
        <f>IFERROR(INDEX('G-8 Condition Look up'!$A$3:$H$131,MATCH(F201,'G-8 Condition Look up'!$A$3:$A$131,0),MATCH(J201,'G-8 Condition Look up'!$A$3:$H$3,0)),"")</f>
        <v/>
      </c>
      <c r="L201" s="173"/>
      <c r="M201" s="269" t="str">
        <f>IF(L201="","",IF(VLOOKUP(L201,'G-3 Multipliers'!$L$3:$N$6,2,FALSE)=0,"Spatial Data Missing",VLOOKUP(L201,'G-3 Multipliers'!$L$3:$N$6,2,FALSE)))</f>
        <v/>
      </c>
      <c r="N201" s="172" t="str">
        <f>IF(L201="","",IF(VLOOKUP(L201,'G-3 Multipliers'!$L$3:$N$6,3,FALSE)=0,"Spatial Data Missing",VLOOKUP(L201,'G-3 Multipliers'!$L$3:$N$6,3,FALSE)))</f>
        <v/>
      </c>
      <c r="O201" s="171" t="str">
        <f t="shared" si="10"/>
        <v/>
      </c>
      <c r="P201" s="261"/>
      <c r="Q201" s="261"/>
      <c r="R201" s="343" t="str">
        <f t="shared" si="11"/>
        <v/>
      </c>
      <c r="S201" s="352" t="str">
        <f t="shared" si="12"/>
        <v/>
      </c>
      <c r="T201" s="593" t="str">
        <f>IFERROR(IF(S201="Check Data","Check Data",VLOOKUP(S201,'G-4 Temporal multipliers'!$A$4:$C$37,3,FALSE)),"")</f>
        <v/>
      </c>
      <c r="U201" s="592" t="str">
        <f>IF(F201="","",VLOOKUP(F201,'G-3 Multipliers'!$A$2:$E$130,2,FALSE))</f>
        <v/>
      </c>
      <c r="V201" s="343" t="str">
        <f t="shared" si="13"/>
        <v/>
      </c>
      <c r="W201" s="343" t="str">
        <f>IF(E201="","",IF(AND(V201="Standard difficulty applied",O201&gt;P201),U201,IF(AND(V201="Low Difficulty - only applicable if all habitat created before losses",P201&gt;=O201),"Low",VLOOKUP(F201,'G-3 Multipliers'!$A$2:$E$130,4,FALSE))))</f>
        <v/>
      </c>
      <c r="X201" s="345" t="str">
        <f>IFERROR(IF(E201="","",VLOOKUP(W201, 'G-3 Multipliers'!$P$2:$Q$6,2,FALSE)),””)</f>
        <v/>
      </c>
      <c r="Y201" s="266"/>
      <c r="Z201" s="172" t="str">
        <f>IF(Y201="","",IF(VLOOKUP(Y201,'G-3 Multipliers'!$S$3:$T$9,2,FALSE)=0,"Spatial Data Missing",VLOOKUP(Y201,'G-3 Multipliers'!$S$3:$T$9,2,FALSE)))</f>
        <v/>
      </c>
      <c r="AA201" s="265" t="str">
        <f t="shared" si="14"/>
        <v/>
      </c>
      <c r="AB201" s="180"/>
      <c r="AC201" s="181"/>
    </row>
    <row r="202" spans="1:29" ht="13.8" x14ac:dyDescent="0.25">
      <c r="A202" s="35" t="str">
        <f>IFERROR(INDEX('G-8 Condition Look up'!$I$4:$I$131,MATCH(F202,'G-8 Condition Look up'!$A$4:$A$131,0)),"")</f>
        <v/>
      </c>
      <c r="C202" s="363" t="str">
        <f>IFERROR(INDEX('G-1 All Habitats'!$AG$3:$AG$15,MATCH(D202,'G-1 All Habitats'!$AF$3:$AF$15,0)),"")</f>
        <v/>
      </c>
      <c r="D202" s="186"/>
      <c r="E202" s="275"/>
      <c r="F202" s="362" t="str">
        <f>IFERROR(INDEX('G-1 All Habitats'!$B$3:$B$130,MATCH(E202,'G-1 All Habitats'!$A$3:$A$130,0)),"")</f>
        <v/>
      </c>
      <c r="G202" s="598"/>
      <c r="H202" s="239" t="str">
        <f>IF(F202="","",VLOOKUP(F202,'G-1 All Habitats'!$B$2:$M$130,10,FALSE))</f>
        <v/>
      </c>
      <c r="I202" s="176" t="str">
        <f>IFERROR(VLOOKUP(H202,'G-1 All Habitats'!$V$3:$W$7,2,FALSE),"")</f>
        <v/>
      </c>
      <c r="J202" s="270"/>
      <c r="K202" s="176" t="str">
        <f>IFERROR(INDEX('G-8 Condition Look up'!$A$3:$H$131,MATCH(F202,'G-8 Condition Look up'!$A$3:$A$131,0),MATCH(J202,'G-8 Condition Look up'!$A$3:$H$3,0)),"")</f>
        <v/>
      </c>
      <c r="L202" s="173"/>
      <c r="M202" s="269" t="str">
        <f>IF(L202="","",IF(VLOOKUP(L202,'G-3 Multipliers'!$L$3:$N$6,2,FALSE)=0,"Spatial Data Missing",VLOOKUP(L202,'G-3 Multipliers'!$L$3:$N$6,2,FALSE)))</f>
        <v/>
      </c>
      <c r="N202" s="172" t="str">
        <f>IF(L202="","",IF(VLOOKUP(L202,'G-3 Multipliers'!$L$3:$N$6,3,FALSE)=0,"Spatial Data Missing",VLOOKUP(L202,'G-3 Multipliers'!$L$3:$N$6,3,FALSE)))</f>
        <v/>
      </c>
      <c r="O202" s="171" t="str">
        <f t="shared" si="10"/>
        <v/>
      </c>
      <c r="P202" s="261"/>
      <c r="Q202" s="261"/>
      <c r="R202" s="343" t="str">
        <f t="shared" si="11"/>
        <v/>
      </c>
      <c r="S202" s="352" t="str">
        <f t="shared" si="12"/>
        <v/>
      </c>
      <c r="T202" s="593" t="str">
        <f>IFERROR(IF(S202="Check Data","Check Data",VLOOKUP(S202,'G-4 Temporal multipliers'!$A$4:$C$37,3,FALSE)),"")</f>
        <v/>
      </c>
      <c r="U202" s="592" t="str">
        <f>IF(F202="","",VLOOKUP(F202,'G-3 Multipliers'!$A$2:$E$130,2,FALSE))</f>
        <v/>
      </c>
      <c r="V202" s="343" t="str">
        <f t="shared" si="13"/>
        <v/>
      </c>
      <c r="W202" s="343" t="str">
        <f>IF(E202="","",IF(AND(V202="Standard difficulty applied",O202&gt;P202),U202,IF(AND(V202="Low Difficulty - only applicable if all habitat created before losses",P202&gt;=O202),"Low",VLOOKUP(F202,'G-3 Multipliers'!$A$2:$E$130,4,FALSE))))</f>
        <v/>
      </c>
      <c r="X202" s="345" t="str">
        <f>IFERROR(IF(E202="","",VLOOKUP(W202, 'G-3 Multipliers'!$P$2:$Q$6,2,FALSE)),””)</f>
        <v/>
      </c>
      <c r="Y202" s="266"/>
      <c r="Z202" s="172" t="str">
        <f>IF(Y202="","",IF(VLOOKUP(Y202,'G-3 Multipliers'!$S$3:$T$9,2,FALSE)=0,"Spatial Data Missing",VLOOKUP(Y202,'G-3 Multipliers'!$S$3:$T$9,2,FALSE)))</f>
        <v/>
      </c>
      <c r="AA202" s="265" t="str">
        <f t="shared" si="14"/>
        <v/>
      </c>
      <c r="AB202" s="180"/>
      <c r="AC202" s="181"/>
    </row>
    <row r="203" spans="1:29" ht="13.8" x14ac:dyDescent="0.25">
      <c r="A203" s="35" t="str">
        <f>IFERROR(INDEX('G-8 Condition Look up'!$I$4:$I$131,MATCH(F203,'G-8 Condition Look up'!$A$4:$A$131,0)),"")</f>
        <v/>
      </c>
      <c r="C203" s="363" t="str">
        <f>IFERROR(INDEX('G-1 All Habitats'!$AG$3:$AG$15,MATCH(D203,'G-1 All Habitats'!$AF$3:$AF$15,0)),"")</f>
        <v/>
      </c>
      <c r="D203" s="186"/>
      <c r="E203" s="275"/>
      <c r="F203" s="362" t="str">
        <f>IFERROR(INDEX('G-1 All Habitats'!$B$3:$B$130,MATCH(E203,'G-1 All Habitats'!$A$3:$A$130,0)),"")</f>
        <v/>
      </c>
      <c r="G203" s="598"/>
      <c r="H203" s="239" t="str">
        <f>IF(F203="","",VLOOKUP(F203,'G-1 All Habitats'!$B$2:$M$130,10,FALSE))</f>
        <v/>
      </c>
      <c r="I203" s="176" t="str">
        <f>IFERROR(VLOOKUP(H203,'G-1 All Habitats'!$V$3:$W$7,2,FALSE),"")</f>
        <v/>
      </c>
      <c r="J203" s="270"/>
      <c r="K203" s="176" t="str">
        <f>IFERROR(INDEX('G-8 Condition Look up'!$A$3:$H$131,MATCH(F203,'G-8 Condition Look up'!$A$3:$A$131,0),MATCH(J203,'G-8 Condition Look up'!$A$3:$H$3,0)),"")</f>
        <v/>
      </c>
      <c r="L203" s="173"/>
      <c r="M203" s="269" t="str">
        <f>IF(L203="","",IF(VLOOKUP(L203,'G-3 Multipliers'!$L$3:$N$6,2,FALSE)=0,"Spatial Data Missing",VLOOKUP(L203,'G-3 Multipliers'!$L$3:$N$6,2,FALSE)))</f>
        <v/>
      </c>
      <c r="N203" s="172" t="str">
        <f>IF(L203="","",IF(VLOOKUP(L203,'G-3 Multipliers'!$L$3:$N$6,3,FALSE)=0,"Spatial Data Missing",VLOOKUP(L203,'G-3 Multipliers'!$L$3:$N$6,3,FALSE)))</f>
        <v/>
      </c>
      <c r="O203" s="171" t="str">
        <f t="shared" ref="O203:O256" si="15">IFERROR(INDEX(TemporalData,MATCH(F203,TemporalHabitats,0),MATCH(J203,TemporalConditions,0)),"")</f>
        <v/>
      </c>
      <c r="P203" s="261"/>
      <c r="Q203" s="261"/>
      <c r="R203" s="343" t="str">
        <f t="shared" si="11"/>
        <v/>
      </c>
      <c r="S203" s="352" t="str">
        <f t="shared" si="12"/>
        <v/>
      </c>
      <c r="T203" s="593" t="str">
        <f>IFERROR(IF(S203="Check Data","Check Data",VLOOKUP(S203,'G-4 Temporal multipliers'!$A$4:$C$37,3,FALSE)),"")</f>
        <v/>
      </c>
      <c r="U203" s="592" t="str">
        <f>IF(F203="","",VLOOKUP(F203,'G-3 Multipliers'!$A$2:$E$130,2,FALSE))</f>
        <v/>
      </c>
      <c r="V203" s="343" t="str">
        <f t="shared" si="13"/>
        <v/>
      </c>
      <c r="W203" s="343" t="str">
        <f>IF(E203="","",IF(AND(V203="Standard difficulty applied",O203&gt;P203),U203,IF(AND(V203="Low Difficulty - only applicable if all habitat created before losses",P203&gt;=O203),"Low",VLOOKUP(F203,'G-3 Multipliers'!$A$2:$E$130,4,FALSE))))</f>
        <v/>
      </c>
      <c r="X203" s="345" t="str">
        <f>IFERROR(IF(E203="","",VLOOKUP(W203, 'G-3 Multipliers'!$P$2:$Q$6,2,FALSE)),””)</f>
        <v/>
      </c>
      <c r="Y203" s="266"/>
      <c r="Z203" s="172" t="str">
        <f>IF(Y203="","",IF(VLOOKUP(Y203,'G-3 Multipliers'!$S$3:$T$9,2,FALSE)=0,"Spatial Data Missing",VLOOKUP(Y203,'G-3 Multipliers'!$S$3:$T$9,2,FALSE)))</f>
        <v/>
      </c>
      <c r="AA203" s="265" t="str">
        <f t="shared" si="14"/>
        <v/>
      </c>
      <c r="AB203" s="180"/>
      <c r="AC203" s="181"/>
    </row>
    <row r="204" spans="1:29" ht="13.8" x14ac:dyDescent="0.25">
      <c r="A204" s="35" t="str">
        <f>IFERROR(INDEX('G-8 Condition Look up'!$I$4:$I$131,MATCH(F204,'G-8 Condition Look up'!$A$4:$A$131,0)),"")</f>
        <v/>
      </c>
      <c r="C204" s="363" t="str">
        <f>IFERROR(INDEX('G-1 All Habitats'!$AG$3:$AG$15,MATCH(D204,'G-1 All Habitats'!$AF$3:$AF$15,0)),"")</f>
        <v/>
      </c>
      <c r="D204" s="186"/>
      <c r="E204" s="275"/>
      <c r="F204" s="362" t="str">
        <f>IFERROR(INDEX('G-1 All Habitats'!$B$3:$B$130,MATCH(E204,'G-1 All Habitats'!$A$3:$A$130,0)),"")</f>
        <v/>
      </c>
      <c r="G204" s="598"/>
      <c r="H204" s="239" t="str">
        <f>IF(F204="","",VLOOKUP(F204,'G-1 All Habitats'!$B$2:$M$130,10,FALSE))</f>
        <v/>
      </c>
      <c r="I204" s="176" t="str">
        <f>IFERROR(VLOOKUP(H204,'G-1 All Habitats'!$V$3:$W$7,2,FALSE),"")</f>
        <v/>
      </c>
      <c r="J204" s="270"/>
      <c r="K204" s="176" t="str">
        <f>IFERROR(INDEX('G-8 Condition Look up'!$A$3:$H$131,MATCH(F204,'G-8 Condition Look up'!$A$3:$A$131,0),MATCH(J204,'G-8 Condition Look up'!$A$3:$H$3,0)),"")</f>
        <v/>
      </c>
      <c r="L204" s="173"/>
      <c r="M204" s="269" t="str">
        <f>IF(L204="","",IF(VLOOKUP(L204,'G-3 Multipliers'!$L$3:$N$6,2,FALSE)=0,"Spatial Data Missing",VLOOKUP(L204,'G-3 Multipliers'!$L$3:$N$6,2,FALSE)))</f>
        <v/>
      </c>
      <c r="N204" s="172" t="str">
        <f>IF(L204="","",IF(VLOOKUP(L204,'G-3 Multipliers'!$L$3:$N$6,3,FALSE)=0,"Spatial Data Missing",VLOOKUP(L204,'G-3 Multipliers'!$L$3:$N$6,3,FALSE)))</f>
        <v/>
      </c>
      <c r="O204" s="171" t="str">
        <f t="shared" si="15"/>
        <v/>
      </c>
      <c r="P204" s="261"/>
      <c r="Q204" s="261"/>
      <c r="R204" s="343" t="str">
        <f t="shared" ref="R204:R256" si="16">IF(E204="","",IF(AND(P204&gt;0,Q204&gt;0),"Error -both advance and delayed habitat creation",IF(AND(OR(P204="Habitat already in target condition",O204&lt;=P204),Q204=0,I204&gt;0),"Check details - Is there evidence that habitat has reached target condition?",IF(O204="","",IF(AND(P204&gt;=AE204,P204&gt;0),"Check details - Is there evidence habitat creation started and the threshold for Poor condition reached?",IF(Q204&gt;0,"Check details- Delay in starting habitat in required condition?",IF(P204&gt;0,"Check details - Is there evidence habitat creation started/in place?","Standard time to target condition applied")))))))</f>
        <v/>
      </c>
      <c r="S204" s="352" t="str">
        <f t="shared" ref="S204:S256" si="17">IF(R204="Error -both advance and delayed habitat creation","Check Data",IF(O204="Not Possible","Check Data",IF(O204="","",IF(AND(O204="30+",P204=0),"30+",IF(AND(O204="30+",P204="30+"),0,IF(AND(O204="30+",P204&lt;32),30-P204,IF(O204="30+",30-P204,IF(P204&gt;O204,0,IF(Q204="30+","30+",IF(O204+Q204&gt;30,"30+",IF(O204+Q204&gt;30,"30+",IF(O204-P204&gt;30,"30+",IF(O204+Q204-P204&gt;0,O204+Q204-P204,IF(O204-P204&gt;0,O204-P204,O204+Q204-P204))))))))))))))</f>
        <v/>
      </c>
      <c r="T204" s="593" t="str">
        <f>IFERROR(IF(S204="Check Data","Check Data",VLOOKUP(S204,'G-4 Temporal multipliers'!$A$4:$C$37,3,FALSE)),"")</f>
        <v/>
      </c>
      <c r="U204" s="592" t="str">
        <f>IF(F204="","",VLOOKUP(F204,'G-3 Multipliers'!$A$2:$E$130,2,FALSE))</f>
        <v/>
      </c>
      <c r="V204" s="343" t="str">
        <f t="shared" ref="V204:V256" si="18">IF(F204="","",IF($R204="Check details - Is there evidence that habitat has reached target condition?","Low Difficulty - only applicable if all habitat created before losses",IF($R204="Check details - Is there evidence habitat creation started and the threshold for Poor condition reached?","Enhancement difficulty applied","Standard difficulty applied")))</f>
        <v/>
      </c>
      <c r="W204" s="343" t="str">
        <f>IF(E204="","",IF(AND(V204="Standard difficulty applied",O204&gt;P204),U204,IF(AND(V204="Low Difficulty - only applicable if all habitat created before losses",P204&gt;=O204),"Low",VLOOKUP(F204,'G-3 Multipliers'!$A$2:$E$130,4,FALSE))))</f>
        <v/>
      </c>
      <c r="X204" s="345" t="str">
        <f>IFERROR(IF(E204="","",VLOOKUP(W204, 'G-3 Multipliers'!$P$2:$Q$6,2,FALSE)),””)</f>
        <v/>
      </c>
      <c r="Y204" s="266"/>
      <c r="Z204" s="172" t="str">
        <f>IF(Y204="","",IF(VLOOKUP(Y204,'G-3 Multipliers'!$S$3:$T$9,2,FALSE)=0,"Spatial Data Missing",VLOOKUP(Y204,'G-3 Multipliers'!$S$3:$T$9,2,FALSE)))</f>
        <v/>
      </c>
      <c r="AA204" s="265" t="str">
        <f t="shared" ref="AA204:AA256" si="19">IFERROR(G204*I204*K204*N204*T204*X204*Z204,"")</f>
        <v/>
      </c>
      <c r="AB204" s="180"/>
      <c r="AC204" s="181"/>
    </row>
    <row r="205" spans="1:29" ht="13.8" x14ac:dyDescent="0.25">
      <c r="A205" s="35" t="str">
        <f>IFERROR(INDEX('G-8 Condition Look up'!$I$4:$I$131,MATCH(F205,'G-8 Condition Look up'!$A$4:$A$131,0)),"")</f>
        <v/>
      </c>
      <c r="C205" s="363" t="str">
        <f>IFERROR(INDEX('G-1 All Habitats'!$AG$3:$AG$15,MATCH(D205,'G-1 All Habitats'!$AF$3:$AF$15,0)),"")</f>
        <v/>
      </c>
      <c r="D205" s="186"/>
      <c r="E205" s="275"/>
      <c r="F205" s="362" t="str">
        <f>IFERROR(INDEX('G-1 All Habitats'!$B$3:$B$130,MATCH(E205,'G-1 All Habitats'!$A$3:$A$130,0)),"")</f>
        <v/>
      </c>
      <c r="G205" s="598"/>
      <c r="H205" s="239" t="str">
        <f>IF(F205="","",VLOOKUP(F205,'G-1 All Habitats'!$B$2:$M$130,10,FALSE))</f>
        <v/>
      </c>
      <c r="I205" s="176" t="str">
        <f>IFERROR(VLOOKUP(H205,'G-1 All Habitats'!$V$3:$W$7,2,FALSE),"")</f>
        <v/>
      </c>
      <c r="J205" s="270"/>
      <c r="K205" s="176" t="str">
        <f>IFERROR(INDEX('G-8 Condition Look up'!$A$3:$H$131,MATCH(F205,'G-8 Condition Look up'!$A$3:$A$131,0),MATCH(J205,'G-8 Condition Look up'!$A$3:$H$3,0)),"")</f>
        <v/>
      </c>
      <c r="L205" s="173"/>
      <c r="M205" s="269" t="str">
        <f>IF(L205="","",IF(VLOOKUP(L205,'G-3 Multipliers'!$L$3:$N$6,2,FALSE)=0,"Spatial Data Missing",VLOOKUP(L205,'G-3 Multipliers'!$L$3:$N$6,2,FALSE)))</f>
        <v/>
      </c>
      <c r="N205" s="172" t="str">
        <f>IF(L205="","",IF(VLOOKUP(L205,'G-3 Multipliers'!$L$3:$N$6,3,FALSE)=0,"Spatial Data Missing",VLOOKUP(L205,'G-3 Multipliers'!$L$3:$N$6,3,FALSE)))</f>
        <v/>
      </c>
      <c r="O205" s="171" t="str">
        <f t="shared" si="15"/>
        <v/>
      </c>
      <c r="P205" s="261"/>
      <c r="Q205" s="261"/>
      <c r="R205" s="343" t="str">
        <f t="shared" si="16"/>
        <v/>
      </c>
      <c r="S205" s="352" t="str">
        <f t="shared" si="17"/>
        <v/>
      </c>
      <c r="T205" s="593" t="str">
        <f>IFERROR(IF(S205="Check Data","Check Data",VLOOKUP(S205,'G-4 Temporal multipliers'!$A$4:$C$37,3,FALSE)),"")</f>
        <v/>
      </c>
      <c r="U205" s="592" t="str">
        <f>IF(F205="","",VLOOKUP(F205,'G-3 Multipliers'!$A$2:$E$130,2,FALSE))</f>
        <v/>
      </c>
      <c r="V205" s="343" t="str">
        <f t="shared" si="18"/>
        <v/>
      </c>
      <c r="W205" s="343" t="str">
        <f>IF(E205="","",IF(AND(V205="Standard difficulty applied",O205&gt;P205),U205,IF(AND(V205="Low Difficulty - only applicable if all habitat created before losses",P205&gt;=O205),"Low",VLOOKUP(F205,'G-3 Multipliers'!$A$2:$E$130,4,FALSE))))</f>
        <v/>
      </c>
      <c r="X205" s="345" t="str">
        <f>IFERROR(IF(E205="","",VLOOKUP(W205, 'G-3 Multipliers'!$P$2:$Q$6,2,FALSE)),””)</f>
        <v/>
      </c>
      <c r="Y205" s="266"/>
      <c r="Z205" s="172" t="str">
        <f>IF(Y205="","",IF(VLOOKUP(Y205,'G-3 Multipliers'!$S$3:$T$9,2,FALSE)=0,"Spatial Data Missing",VLOOKUP(Y205,'G-3 Multipliers'!$S$3:$T$9,2,FALSE)))</f>
        <v/>
      </c>
      <c r="AA205" s="265" t="str">
        <f t="shared" si="19"/>
        <v/>
      </c>
      <c r="AB205" s="180"/>
      <c r="AC205" s="181"/>
    </row>
    <row r="206" spans="1:29" ht="13.8" x14ac:dyDescent="0.25">
      <c r="A206" s="35" t="str">
        <f>IFERROR(INDEX('G-8 Condition Look up'!$I$4:$I$131,MATCH(F206,'G-8 Condition Look up'!$A$4:$A$131,0)),"")</f>
        <v/>
      </c>
      <c r="C206" s="363" t="str">
        <f>IFERROR(INDEX('G-1 All Habitats'!$AG$3:$AG$15,MATCH(D206,'G-1 All Habitats'!$AF$3:$AF$15,0)),"")</f>
        <v/>
      </c>
      <c r="D206" s="186"/>
      <c r="E206" s="275"/>
      <c r="F206" s="362" t="str">
        <f>IFERROR(INDEX('G-1 All Habitats'!$B$3:$B$130,MATCH(E206,'G-1 All Habitats'!$A$3:$A$130,0)),"")</f>
        <v/>
      </c>
      <c r="G206" s="598"/>
      <c r="H206" s="239" t="str">
        <f>IF(F206="","",VLOOKUP(F206,'G-1 All Habitats'!$B$2:$M$130,10,FALSE))</f>
        <v/>
      </c>
      <c r="I206" s="176" t="str">
        <f>IFERROR(VLOOKUP(H206,'G-1 All Habitats'!$V$3:$W$7,2,FALSE),"")</f>
        <v/>
      </c>
      <c r="J206" s="270"/>
      <c r="K206" s="176" t="str">
        <f>IFERROR(INDEX('G-8 Condition Look up'!$A$3:$H$131,MATCH(F206,'G-8 Condition Look up'!$A$3:$A$131,0),MATCH(J206,'G-8 Condition Look up'!$A$3:$H$3,0)),"")</f>
        <v/>
      </c>
      <c r="L206" s="173"/>
      <c r="M206" s="269" t="str">
        <f>IF(L206="","",IF(VLOOKUP(L206,'G-3 Multipliers'!$L$3:$N$6,2,FALSE)=0,"Spatial Data Missing",VLOOKUP(L206,'G-3 Multipliers'!$L$3:$N$6,2,FALSE)))</f>
        <v/>
      </c>
      <c r="N206" s="172" t="str">
        <f>IF(L206="","",IF(VLOOKUP(L206,'G-3 Multipliers'!$L$3:$N$6,3,FALSE)=0,"Spatial Data Missing",VLOOKUP(L206,'G-3 Multipliers'!$L$3:$N$6,3,FALSE)))</f>
        <v/>
      </c>
      <c r="O206" s="171" t="str">
        <f t="shared" si="15"/>
        <v/>
      </c>
      <c r="P206" s="261"/>
      <c r="Q206" s="261"/>
      <c r="R206" s="343" t="str">
        <f t="shared" si="16"/>
        <v/>
      </c>
      <c r="S206" s="352" t="str">
        <f t="shared" si="17"/>
        <v/>
      </c>
      <c r="T206" s="593" t="str">
        <f>IFERROR(IF(S206="Check Data","Check Data",VLOOKUP(S206,'G-4 Temporal multipliers'!$A$4:$C$37,3,FALSE)),"")</f>
        <v/>
      </c>
      <c r="U206" s="592" t="str">
        <f>IF(F206="","",VLOOKUP(F206,'G-3 Multipliers'!$A$2:$E$130,2,FALSE))</f>
        <v/>
      </c>
      <c r="V206" s="343" t="str">
        <f t="shared" si="18"/>
        <v/>
      </c>
      <c r="W206" s="343" t="str">
        <f>IF(E206="","",IF(AND(V206="Standard difficulty applied",O206&gt;P206),U206,IF(AND(V206="Low Difficulty - only applicable if all habitat created before losses",P206&gt;=O206),"Low",VLOOKUP(F206,'G-3 Multipliers'!$A$2:$E$130,4,FALSE))))</f>
        <v/>
      </c>
      <c r="X206" s="345" t="str">
        <f>IFERROR(IF(E206="","",VLOOKUP(W206, 'G-3 Multipliers'!$P$2:$Q$6,2,FALSE)),””)</f>
        <v/>
      </c>
      <c r="Y206" s="266"/>
      <c r="Z206" s="172" t="str">
        <f>IF(Y206="","",IF(VLOOKUP(Y206,'G-3 Multipliers'!$S$3:$T$9,2,FALSE)=0,"Spatial Data Missing",VLOOKUP(Y206,'G-3 Multipliers'!$S$3:$T$9,2,FALSE)))</f>
        <v/>
      </c>
      <c r="AA206" s="265" t="str">
        <f t="shared" si="19"/>
        <v/>
      </c>
      <c r="AB206" s="180"/>
      <c r="AC206" s="181"/>
    </row>
    <row r="207" spans="1:29" ht="13.8" x14ac:dyDescent="0.25">
      <c r="A207" s="35" t="str">
        <f>IFERROR(INDEX('G-8 Condition Look up'!$I$4:$I$131,MATCH(F207,'G-8 Condition Look up'!$A$4:$A$131,0)),"")</f>
        <v/>
      </c>
      <c r="C207" s="363" t="str">
        <f>IFERROR(INDEX('G-1 All Habitats'!$AG$3:$AG$15,MATCH(D207,'G-1 All Habitats'!$AF$3:$AF$15,0)),"")</f>
        <v/>
      </c>
      <c r="D207" s="186"/>
      <c r="E207" s="275"/>
      <c r="F207" s="362" t="str">
        <f>IFERROR(INDEX('G-1 All Habitats'!$B$3:$B$130,MATCH(E207,'G-1 All Habitats'!$A$3:$A$130,0)),"")</f>
        <v/>
      </c>
      <c r="G207" s="598"/>
      <c r="H207" s="239" t="str">
        <f>IF(F207="","",VLOOKUP(F207,'G-1 All Habitats'!$B$2:$M$130,10,FALSE))</f>
        <v/>
      </c>
      <c r="I207" s="176" t="str">
        <f>IFERROR(VLOOKUP(H207,'G-1 All Habitats'!$V$3:$W$7,2,FALSE),"")</f>
        <v/>
      </c>
      <c r="J207" s="270"/>
      <c r="K207" s="176" t="str">
        <f>IFERROR(INDEX('G-8 Condition Look up'!$A$3:$H$131,MATCH(F207,'G-8 Condition Look up'!$A$3:$A$131,0),MATCH(J207,'G-8 Condition Look up'!$A$3:$H$3,0)),"")</f>
        <v/>
      </c>
      <c r="L207" s="173"/>
      <c r="M207" s="269" t="str">
        <f>IF(L207="","",IF(VLOOKUP(L207,'G-3 Multipliers'!$L$3:$N$6,2,FALSE)=0,"Spatial Data Missing",VLOOKUP(L207,'G-3 Multipliers'!$L$3:$N$6,2,FALSE)))</f>
        <v/>
      </c>
      <c r="N207" s="172" t="str">
        <f>IF(L207="","",IF(VLOOKUP(L207,'G-3 Multipliers'!$L$3:$N$6,3,FALSE)=0,"Spatial Data Missing",VLOOKUP(L207,'G-3 Multipliers'!$L$3:$N$6,3,FALSE)))</f>
        <v/>
      </c>
      <c r="O207" s="171" t="str">
        <f t="shared" si="15"/>
        <v/>
      </c>
      <c r="P207" s="261"/>
      <c r="Q207" s="261"/>
      <c r="R207" s="343" t="str">
        <f t="shared" si="16"/>
        <v/>
      </c>
      <c r="S207" s="352" t="str">
        <f t="shared" si="17"/>
        <v/>
      </c>
      <c r="T207" s="593" t="str">
        <f>IFERROR(IF(S207="Check Data","Check Data",VLOOKUP(S207,'G-4 Temporal multipliers'!$A$4:$C$37,3,FALSE)),"")</f>
        <v/>
      </c>
      <c r="U207" s="592" t="str">
        <f>IF(F207="","",VLOOKUP(F207,'G-3 Multipliers'!$A$2:$E$130,2,FALSE))</f>
        <v/>
      </c>
      <c r="V207" s="343" t="str">
        <f t="shared" si="18"/>
        <v/>
      </c>
      <c r="W207" s="343" t="str">
        <f>IF(E207="","",IF(AND(V207="Standard difficulty applied",O207&gt;P207),U207,IF(AND(V207="Low Difficulty - only applicable if all habitat created before losses",P207&gt;=O207),"Low",VLOOKUP(F207,'G-3 Multipliers'!$A$2:$E$130,4,FALSE))))</f>
        <v/>
      </c>
      <c r="X207" s="345" t="str">
        <f>IFERROR(IF(E207="","",VLOOKUP(W207, 'G-3 Multipliers'!$P$2:$Q$6,2,FALSE)),””)</f>
        <v/>
      </c>
      <c r="Y207" s="266"/>
      <c r="Z207" s="172" t="str">
        <f>IF(Y207="","",IF(VLOOKUP(Y207,'G-3 Multipliers'!$S$3:$T$9,2,FALSE)=0,"Spatial Data Missing",VLOOKUP(Y207,'G-3 Multipliers'!$S$3:$T$9,2,FALSE)))</f>
        <v/>
      </c>
      <c r="AA207" s="265" t="str">
        <f t="shared" si="19"/>
        <v/>
      </c>
      <c r="AB207" s="180"/>
      <c r="AC207" s="181"/>
    </row>
    <row r="208" spans="1:29" ht="13.8" x14ac:dyDescent="0.25">
      <c r="A208" s="35" t="str">
        <f>IFERROR(INDEX('G-8 Condition Look up'!$I$4:$I$131,MATCH(F208,'G-8 Condition Look up'!$A$4:$A$131,0)),"")</f>
        <v/>
      </c>
      <c r="C208" s="363" t="str">
        <f>IFERROR(INDEX('G-1 All Habitats'!$AG$3:$AG$15,MATCH(D208,'G-1 All Habitats'!$AF$3:$AF$15,0)),"")</f>
        <v/>
      </c>
      <c r="D208" s="186"/>
      <c r="E208" s="275"/>
      <c r="F208" s="362" t="str">
        <f>IFERROR(INDEX('G-1 All Habitats'!$B$3:$B$130,MATCH(E208,'G-1 All Habitats'!$A$3:$A$130,0)),"")</f>
        <v/>
      </c>
      <c r="G208" s="598"/>
      <c r="H208" s="239" t="str">
        <f>IF(F208="","",VLOOKUP(F208,'G-1 All Habitats'!$B$2:$M$130,10,FALSE))</f>
        <v/>
      </c>
      <c r="I208" s="176" t="str">
        <f>IFERROR(VLOOKUP(H208,'G-1 All Habitats'!$V$3:$W$7,2,FALSE),"")</f>
        <v/>
      </c>
      <c r="J208" s="270"/>
      <c r="K208" s="176" t="str">
        <f>IFERROR(INDEX('G-8 Condition Look up'!$A$3:$H$131,MATCH(F208,'G-8 Condition Look up'!$A$3:$A$131,0),MATCH(J208,'G-8 Condition Look up'!$A$3:$H$3,0)),"")</f>
        <v/>
      </c>
      <c r="L208" s="173"/>
      <c r="M208" s="269" t="str">
        <f>IF(L208="","",IF(VLOOKUP(L208,'G-3 Multipliers'!$L$3:$N$6,2,FALSE)=0,"Spatial Data Missing",VLOOKUP(L208,'G-3 Multipliers'!$L$3:$N$6,2,FALSE)))</f>
        <v/>
      </c>
      <c r="N208" s="172" t="str">
        <f>IF(L208="","",IF(VLOOKUP(L208,'G-3 Multipliers'!$L$3:$N$6,3,FALSE)=0,"Spatial Data Missing",VLOOKUP(L208,'G-3 Multipliers'!$L$3:$N$6,3,FALSE)))</f>
        <v/>
      </c>
      <c r="O208" s="171" t="str">
        <f t="shared" si="15"/>
        <v/>
      </c>
      <c r="P208" s="261"/>
      <c r="Q208" s="261"/>
      <c r="R208" s="343" t="str">
        <f t="shared" si="16"/>
        <v/>
      </c>
      <c r="S208" s="352" t="str">
        <f t="shared" si="17"/>
        <v/>
      </c>
      <c r="T208" s="593" t="str">
        <f>IFERROR(IF(S208="Check Data","Check Data",VLOOKUP(S208,'G-4 Temporal multipliers'!$A$4:$C$37,3,FALSE)),"")</f>
        <v/>
      </c>
      <c r="U208" s="592" t="str">
        <f>IF(F208="","",VLOOKUP(F208,'G-3 Multipliers'!$A$2:$E$130,2,FALSE))</f>
        <v/>
      </c>
      <c r="V208" s="343" t="str">
        <f t="shared" si="18"/>
        <v/>
      </c>
      <c r="W208" s="343" t="str">
        <f>IF(E208="","",IF(AND(V208="Standard difficulty applied",O208&gt;P208),U208,IF(AND(V208="Low Difficulty - only applicable if all habitat created before losses",P208&gt;=O208),"Low",VLOOKUP(F208,'G-3 Multipliers'!$A$2:$E$130,4,FALSE))))</f>
        <v/>
      </c>
      <c r="X208" s="345" t="str">
        <f>IFERROR(IF(E208="","",VLOOKUP(W208, 'G-3 Multipliers'!$P$2:$Q$6,2,FALSE)),””)</f>
        <v/>
      </c>
      <c r="Y208" s="266"/>
      <c r="Z208" s="172" t="str">
        <f>IF(Y208="","",IF(VLOOKUP(Y208,'G-3 Multipliers'!$S$3:$T$9,2,FALSE)=0,"Spatial Data Missing",VLOOKUP(Y208,'G-3 Multipliers'!$S$3:$T$9,2,FALSE)))</f>
        <v/>
      </c>
      <c r="AA208" s="265" t="str">
        <f t="shared" si="19"/>
        <v/>
      </c>
      <c r="AB208" s="180"/>
      <c r="AC208" s="181"/>
    </row>
    <row r="209" spans="1:29" ht="13.8" x14ac:dyDescent="0.25">
      <c r="A209" s="35" t="str">
        <f>IFERROR(INDEX('G-8 Condition Look up'!$I$4:$I$131,MATCH(F209,'G-8 Condition Look up'!$A$4:$A$131,0)),"")</f>
        <v/>
      </c>
      <c r="C209" s="363" t="str">
        <f>IFERROR(INDEX('G-1 All Habitats'!$AG$3:$AG$15,MATCH(D209,'G-1 All Habitats'!$AF$3:$AF$15,0)),"")</f>
        <v/>
      </c>
      <c r="D209" s="186"/>
      <c r="E209" s="275"/>
      <c r="F209" s="362" t="str">
        <f>IFERROR(INDEX('G-1 All Habitats'!$B$3:$B$130,MATCH(E209,'G-1 All Habitats'!$A$3:$A$130,0)),"")</f>
        <v/>
      </c>
      <c r="G209" s="598"/>
      <c r="H209" s="239" t="str">
        <f>IF(F209="","",VLOOKUP(F209,'G-1 All Habitats'!$B$2:$M$130,10,FALSE))</f>
        <v/>
      </c>
      <c r="I209" s="176" t="str">
        <f>IFERROR(VLOOKUP(H209,'G-1 All Habitats'!$V$3:$W$7,2,FALSE),"")</f>
        <v/>
      </c>
      <c r="J209" s="270"/>
      <c r="K209" s="176" t="str">
        <f>IFERROR(INDEX('G-8 Condition Look up'!$A$3:$H$131,MATCH(F209,'G-8 Condition Look up'!$A$3:$A$131,0),MATCH(J209,'G-8 Condition Look up'!$A$3:$H$3,0)),"")</f>
        <v/>
      </c>
      <c r="L209" s="173"/>
      <c r="M209" s="269" t="str">
        <f>IF(L209="","",IF(VLOOKUP(L209,'G-3 Multipliers'!$L$3:$N$6,2,FALSE)=0,"Spatial Data Missing",VLOOKUP(L209,'G-3 Multipliers'!$L$3:$N$6,2,FALSE)))</f>
        <v/>
      </c>
      <c r="N209" s="172" t="str">
        <f>IF(L209="","",IF(VLOOKUP(L209,'G-3 Multipliers'!$L$3:$N$6,3,FALSE)=0,"Spatial Data Missing",VLOOKUP(L209,'G-3 Multipliers'!$L$3:$N$6,3,FALSE)))</f>
        <v/>
      </c>
      <c r="O209" s="171" t="str">
        <f t="shared" si="15"/>
        <v/>
      </c>
      <c r="P209" s="261"/>
      <c r="Q209" s="261"/>
      <c r="R209" s="343" t="str">
        <f t="shared" si="16"/>
        <v/>
      </c>
      <c r="S209" s="352" t="str">
        <f t="shared" si="17"/>
        <v/>
      </c>
      <c r="T209" s="593" t="str">
        <f>IFERROR(IF(S209="Check Data","Check Data",VLOOKUP(S209,'G-4 Temporal multipliers'!$A$4:$C$37,3,FALSE)),"")</f>
        <v/>
      </c>
      <c r="U209" s="592" t="str">
        <f>IF(F209="","",VLOOKUP(F209,'G-3 Multipliers'!$A$2:$E$130,2,FALSE))</f>
        <v/>
      </c>
      <c r="V209" s="343" t="str">
        <f t="shared" si="18"/>
        <v/>
      </c>
      <c r="W209" s="343" t="str">
        <f>IF(E209="","",IF(AND(V209="Standard difficulty applied",O209&gt;P209),U209,IF(AND(V209="Low Difficulty - only applicable if all habitat created before losses",P209&gt;=O209),"Low",VLOOKUP(F209,'G-3 Multipliers'!$A$2:$E$130,4,FALSE))))</f>
        <v/>
      </c>
      <c r="X209" s="345" t="str">
        <f>IFERROR(IF(E209="","",VLOOKUP(W209, 'G-3 Multipliers'!$P$2:$Q$6,2,FALSE)),””)</f>
        <v/>
      </c>
      <c r="Y209" s="266"/>
      <c r="Z209" s="172" t="str">
        <f>IF(Y209="","",IF(VLOOKUP(Y209,'G-3 Multipliers'!$S$3:$T$9,2,FALSE)=0,"Spatial Data Missing",VLOOKUP(Y209,'G-3 Multipliers'!$S$3:$T$9,2,FALSE)))</f>
        <v/>
      </c>
      <c r="AA209" s="265" t="str">
        <f t="shared" si="19"/>
        <v/>
      </c>
      <c r="AB209" s="180"/>
      <c r="AC209" s="181"/>
    </row>
    <row r="210" spans="1:29" ht="13.8" x14ac:dyDescent="0.25">
      <c r="A210" s="35" t="str">
        <f>IFERROR(INDEX('G-8 Condition Look up'!$I$4:$I$131,MATCH(F210,'G-8 Condition Look up'!$A$4:$A$131,0)),"")</f>
        <v/>
      </c>
      <c r="C210" s="363" t="str">
        <f>IFERROR(INDEX('G-1 All Habitats'!$AG$3:$AG$15,MATCH(D210,'G-1 All Habitats'!$AF$3:$AF$15,0)),"")</f>
        <v/>
      </c>
      <c r="D210" s="186"/>
      <c r="E210" s="275"/>
      <c r="F210" s="362" t="str">
        <f>IFERROR(INDEX('G-1 All Habitats'!$B$3:$B$130,MATCH(E210,'G-1 All Habitats'!$A$3:$A$130,0)),"")</f>
        <v/>
      </c>
      <c r="G210" s="598"/>
      <c r="H210" s="239" t="str">
        <f>IF(F210="","",VLOOKUP(F210,'G-1 All Habitats'!$B$2:$M$130,10,FALSE))</f>
        <v/>
      </c>
      <c r="I210" s="176" t="str">
        <f>IFERROR(VLOOKUP(H210,'G-1 All Habitats'!$V$3:$W$7,2,FALSE),"")</f>
        <v/>
      </c>
      <c r="J210" s="270"/>
      <c r="K210" s="176" t="str">
        <f>IFERROR(INDEX('G-8 Condition Look up'!$A$3:$H$131,MATCH(F210,'G-8 Condition Look up'!$A$3:$A$131,0),MATCH(J210,'G-8 Condition Look up'!$A$3:$H$3,0)),"")</f>
        <v/>
      </c>
      <c r="L210" s="173"/>
      <c r="M210" s="269" t="str">
        <f>IF(L210="","",IF(VLOOKUP(L210,'G-3 Multipliers'!$L$3:$N$6,2,FALSE)=0,"Spatial Data Missing",VLOOKUP(L210,'G-3 Multipliers'!$L$3:$N$6,2,FALSE)))</f>
        <v/>
      </c>
      <c r="N210" s="172" t="str">
        <f>IF(L210="","",IF(VLOOKUP(L210,'G-3 Multipliers'!$L$3:$N$6,3,FALSE)=0,"Spatial Data Missing",VLOOKUP(L210,'G-3 Multipliers'!$L$3:$N$6,3,FALSE)))</f>
        <v/>
      </c>
      <c r="O210" s="171" t="str">
        <f t="shared" si="15"/>
        <v/>
      </c>
      <c r="P210" s="261"/>
      <c r="Q210" s="261"/>
      <c r="R210" s="343" t="str">
        <f t="shared" si="16"/>
        <v/>
      </c>
      <c r="S210" s="352" t="str">
        <f t="shared" si="17"/>
        <v/>
      </c>
      <c r="T210" s="593" t="str">
        <f>IFERROR(IF(S210="Check Data","Check Data",VLOOKUP(S210,'G-4 Temporal multipliers'!$A$4:$C$37,3,FALSE)),"")</f>
        <v/>
      </c>
      <c r="U210" s="592" t="str">
        <f>IF(F210="","",VLOOKUP(F210,'G-3 Multipliers'!$A$2:$E$130,2,FALSE))</f>
        <v/>
      </c>
      <c r="V210" s="343" t="str">
        <f t="shared" si="18"/>
        <v/>
      </c>
      <c r="W210" s="343" t="str">
        <f>IF(E210="","",IF(AND(V210="Standard difficulty applied",O210&gt;P210),U210,IF(AND(V210="Low Difficulty - only applicable if all habitat created before losses",P210&gt;=O210),"Low",VLOOKUP(F210,'G-3 Multipliers'!$A$2:$E$130,4,FALSE))))</f>
        <v/>
      </c>
      <c r="X210" s="345" t="str">
        <f>IFERROR(IF(E210="","",VLOOKUP(W210, 'G-3 Multipliers'!$P$2:$Q$6,2,FALSE)),””)</f>
        <v/>
      </c>
      <c r="Y210" s="266"/>
      <c r="Z210" s="172" t="str">
        <f>IF(Y210="","",IF(VLOOKUP(Y210,'G-3 Multipliers'!$S$3:$T$9,2,FALSE)=0,"Spatial Data Missing",VLOOKUP(Y210,'G-3 Multipliers'!$S$3:$T$9,2,FALSE)))</f>
        <v/>
      </c>
      <c r="AA210" s="265" t="str">
        <f t="shared" si="19"/>
        <v/>
      </c>
      <c r="AB210" s="180"/>
      <c r="AC210" s="181"/>
    </row>
    <row r="211" spans="1:29" ht="13.8" x14ac:dyDescent="0.25">
      <c r="A211" s="35" t="str">
        <f>IFERROR(INDEX('G-8 Condition Look up'!$I$4:$I$131,MATCH(F211,'G-8 Condition Look up'!$A$4:$A$131,0)),"")</f>
        <v/>
      </c>
      <c r="C211" s="363" t="str">
        <f>IFERROR(INDEX('G-1 All Habitats'!$AG$3:$AG$15,MATCH(D211,'G-1 All Habitats'!$AF$3:$AF$15,0)),"")</f>
        <v/>
      </c>
      <c r="D211" s="186"/>
      <c r="E211" s="275"/>
      <c r="F211" s="362" t="str">
        <f>IFERROR(INDEX('G-1 All Habitats'!$B$3:$B$130,MATCH(E211,'G-1 All Habitats'!$A$3:$A$130,0)),"")</f>
        <v/>
      </c>
      <c r="G211" s="598"/>
      <c r="H211" s="239" t="str">
        <f>IF(F211="","",VLOOKUP(F211,'G-1 All Habitats'!$B$2:$M$130,10,FALSE))</f>
        <v/>
      </c>
      <c r="I211" s="176" t="str">
        <f>IFERROR(VLOOKUP(H211,'G-1 All Habitats'!$V$3:$W$7,2,FALSE),"")</f>
        <v/>
      </c>
      <c r="J211" s="270"/>
      <c r="K211" s="176" t="str">
        <f>IFERROR(INDEX('G-8 Condition Look up'!$A$3:$H$131,MATCH(F211,'G-8 Condition Look up'!$A$3:$A$131,0),MATCH(J211,'G-8 Condition Look up'!$A$3:$H$3,0)),"")</f>
        <v/>
      </c>
      <c r="L211" s="173"/>
      <c r="M211" s="269" t="str">
        <f>IF(L211="","",IF(VLOOKUP(L211,'G-3 Multipliers'!$L$3:$N$6,2,FALSE)=0,"Spatial Data Missing",VLOOKUP(L211,'G-3 Multipliers'!$L$3:$N$6,2,FALSE)))</f>
        <v/>
      </c>
      <c r="N211" s="172" t="str">
        <f>IF(L211="","",IF(VLOOKUP(L211,'G-3 Multipliers'!$L$3:$N$6,3,FALSE)=0,"Spatial Data Missing",VLOOKUP(L211,'G-3 Multipliers'!$L$3:$N$6,3,FALSE)))</f>
        <v/>
      </c>
      <c r="O211" s="171" t="str">
        <f t="shared" si="15"/>
        <v/>
      </c>
      <c r="P211" s="261"/>
      <c r="Q211" s="261"/>
      <c r="R211" s="343" t="str">
        <f t="shared" si="16"/>
        <v/>
      </c>
      <c r="S211" s="352" t="str">
        <f t="shared" si="17"/>
        <v/>
      </c>
      <c r="T211" s="593" t="str">
        <f>IFERROR(IF(S211="Check Data","Check Data",VLOOKUP(S211,'G-4 Temporal multipliers'!$A$4:$C$37,3,FALSE)),"")</f>
        <v/>
      </c>
      <c r="U211" s="592" t="str">
        <f>IF(F211="","",VLOOKUP(F211,'G-3 Multipliers'!$A$2:$E$130,2,FALSE))</f>
        <v/>
      </c>
      <c r="V211" s="343" t="str">
        <f t="shared" si="18"/>
        <v/>
      </c>
      <c r="W211" s="343" t="str">
        <f>IF(E211="","",IF(AND(V211="Standard difficulty applied",O211&gt;P211),U211,IF(AND(V211="Low Difficulty - only applicable if all habitat created before losses",P211&gt;=O211),"Low",VLOOKUP(F211,'G-3 Multipliers'!$A$2:$E$130,4,FALSE))))</f>
        <v/>
      </c>
      <c r="X211" s="345" t="str">
        <f>IFERROR(IF(E211="","",VLOOKUP(W211, 'G-3 Multipliers'!$P$2:$Q$6,2,FALSE)),””)</f>
        <v/>
      </c>
      <c r="Y211" s="266"/>
      <c r="Z211" s="172" t="str">
        <f>IF(Y211="","",IF(VLOOKUP(Y211,'G-3 Multipliers'!$S$3:$T$9,2,FALSE)=0,"Spatial Data Missing",VLOOKUP(Y211,'G-3 Multipliers'!$S$3:$T$9,2,FALSE)))</f>
        <v/>
      </c>
      <c r="AA211" s="265" t="str">
        <f t="shared" si="19"/>
        <v/>
      </c>
      <c r="AB211" s="180"/>
      <c r="AC211" s="181"/>
    </row>
    <row r="212" spans="1:29" ht="13.8" x14ac:dyDescent="0.25">
      <c r="A212" s="35" t="str">
        <f>IFERROR(INDEX('G-8 Condition Look up'!$I$4:$I$131,MATCH(F212,'G-8 Condition Look up'!$A$4:$A$131,0)),"")</f>
        <v/>
      </c>
      <c r="C212" s="363" t="str">
        <f>IFERROR(INDEX('G-1 All Habitats'!$AG$3:$AG$15,MATCH(D212,'G-1 All Habitats'!$AF$3:$AF$15,0)),"")</f>
        <v/>
      </c>
      <c r="D212" s="186"/>
      <c r="E212" s="275"/>
      <c r="F212" s="362" t="str">
        <f>IFERROR(INDEX('G-1 All Habitats'!$B$3:$B$130,MATCH(E212,'G-1 All Habitats'!$A$3:$A$130,0)),"")</f>
        <v/>
      </c>
      <c r="G212" s="598"/>
      <c r="H212" s="239" t="str">
        <f>IF(F212="","",VLOOKUP(F212,'G-1 All Habitats'!$B$2:$M$130,10,FALSE))</f>
        <v/>
      </c>
      <c r="I212" s="176" t="str">
        <f>IFERROR(VLOOKUP(H212,'G-1 All Habitats'!$V$3:$W$7,2,FALSE),"")</f>
        <v/>
      </c>
      <c r="J212" s="270"/>
      <c r="K212" s="176" t="str">
        <f>IFERROR(INDEX('G-8 Condition Look up'!$A$3:$H$131,MATCH(F212,'G-8 Condition Look up'!$A$3:$A$131,0),MATCH(J212,'G-8 Condition Look up'!$A$3:$H$3,0)),"")</f>
        <v/>
      </c>
      <c r="L212" s="173"/>
      <c r="M212" s="269" t="str">
        <f>IF(L212="","",IF(VLOOKUP(L212,'G-3 Multipliers'!$L$3:$N$6,2,FALSE)=0,"Spatial Data Missing",VLOOKUP(L212,'G-3 Multipliers'!$L$3:$N$6,2,FALSE)))</f>
        <v/>
      </c>
      <c r="N212" s="172" t="str">
        <f>IF(L212="","",IF(VLOOKUP(L212,'G-3 Multipliers'!$L$3:$N$6,3,FALSE)=0,"Spatial Data Missing",VLOOKUP(L212,'G-3 Multipliers'!$L$3:$N$6,3,FALSE)))</f>
        <v/>
      </c>
      <c r="O212" s="171" t="str">
        <f t="shared" si="15"/>
        <v/>
      </c>
      <c r="P212" s="261"/>
      <c r="Q212" s="261"/>
      <c r="R212" s="343" t="str">
        <f t="shared" si="16"/>
        <v/>
      </c>
      <c r="S212" s="352" t="str">
        <f t="shared" si="17"/>
        <v/>
      </c>
      <c r="T212" s="593" t="str">
        <f>IFERROR(IF(S212="Check Data","Check Data",VLOOKUP(S212,'G-4 Temporal multipliers'!$A$4:$C$37,3,FALSE)),"")</f>
        <v/>
      </c>
      <c r="U212" s="592" t="str">
        <f>IF(F212="","",VLOOKUP(F212,'G-3 Multipliers'!$A$2:$E$130,2,FALSE))</f>
        <v/>
      </c>
      <c r="V212" s="343" t="str">
        <f t="shared" si="18"/>
        <v/>
      </c>
      <c r="W212" s="343" t="str">
        <f>IF(E212="","",IF(AND(V212="Standard difficulty applied",O212&gt;P212),U212,IF(AND(V212="Low Difficulty - only applicable if all habitat created before losses",P212&gt;=O212),"Low",VLOOKUP(F212,'G-3 Multipliers'!$A$2:$E$130,4,FALSE))))</f>
        <v/>
      </c>
      <c r="X212" s="345" t="str">
        <f>IFERROR(IF(E212="","",VLOOKUP(W212, 'G-3 Multipliers'!$P$2:$Q$6,2,FALSE)),””)</f>
        <v/>
      </c>
      <c r="Y212" s="266"/>
      <c r="Z212" s="172" t="str">
        <f>IF(Y212="","",IF(VLOOKUP(Y212,'G-3 Multipliers'!$S$3:$T$9,2,FALSE)=0,"Spatial Data Missing",VLOOKUP(Y212,'G-3 Multipliers'!$S$3:$T$9,2,FALSE)))</f>
        <v/>
      </c>
      <c r="AA212" s="265" t="str">
        <f t="shared" si="19"/>
        <v/>
      </c>
      <c r="AB212" s="180"/>
      <c r="AC212" s="181"/>
    </row>
    <row r="213" spans="1:29" ht="13.8" x14ac:dyDescent="0.25">
      <c r="A213" s="35" t="str">
        <f>IFERROR(INDEX('G-8 Condition Look up'!$I$4:$I$131,MATCH(F213,'G-8 Condition Look up'!$A$4:$A$131,0)),"")</f>
        <v/>
      </c>
      <c r="C213" s="363" t="str">
        <f>IFERROR(INDEX('G-1 All Habitats'!$AG$3:$AG$15,MATCH(D213,'G-1 All Habitats'!$AF$3:$AF$15,0)),"")</f>
        <v/>
      </c>
      <c r="D213" s="186"/>
      <c r="E213" s="275"/>
      <c r="F213" s="362" t="str">
        <f>IFERROR(INDEX('G-1 All Habitats'!$B$3:$B$130,MATCH(E213,'G-1 All Habitats'!$A$3:$A$130,0)),"")</f>
        <v/>
      </c>
      <c r="G213" s="598"/>
      <c r="H213" s="239" t="str">
        <f>IF(F213="","",VLOOKUP(F213,'G-1 All Habitats'!$B$2:$M$130,10,FALSE))</f>
        <v/>
      </c>
      <c r="I213" s="176" t="str">
        <f>IFERROR(VLOOKUP(H213,'G-1 All Habitats'!$V$3:$W$7,2,FALSE),"")</f>
        <v/>
      </c>
      <c r="J213" s="270"/>
      <c r="K213" s="176" t="str">
        <f>IFERROR(INDEX('G-8 Condition Look up'!$A$3:$H$131,MATCH(F213,'G-8 Condition Look up'!$A$3:$A$131,0),MATCH(J213,'G-8 Condition Look up'!$A$3:$H$3,0)),"")</f>
        <v/>
      </c>
      <c r="L213" s="173"/>
      <c r="M213" s="269" t="str">
        <f>IF(L213="","",IF(VLOOKUP(L213,'G-3 Multipliers'!$L$3:$N$6,2,FALSE)=0,"Spatial Data Missing",VLOOKUP(L213,'G-3 Multipliers'!$L$3:$N$6,2,FALSE)))</f>
        <v/>
      </c>
      <c r="N213" s="172" t="str">
        <f>IF(L213="","",IF(VLOOKUP(L213,'G-3 Multipliers'!$L$3:$N$6,3,FALSE)=0,"Spatial Data Missing",VLOOKUP(L213,'G-3 Multipliers'!$L$3:$N$6,3,FALSE)))</f>
        <v/>
      </c>
      <c r="O213" s="171" t="str">
        <f t="shared" si="15"/>
        <v/>
      </c>
      <c r="P213" s="261"/>
      <c r="Q213" s="261"/>
      <c r="R213" s="343" t="str">
        <f t="shared" si="16"/>
        <v/>
      </c>
      <c r="S213" s="352" t="str">
        <f t="shared" si="17"/>
        <v/>
      </c>
      <c r="T213" s="593" t="str">
        <f>IFERROR(IF(S213="Check Data","Check Data",VLOOKUP(S213,'G-4 Temporal multipliers'!$A$4:$C$37,3,FALSE)),"")</f>
        <v/>
      </c>
      <c r="U213" s="592" t="str">
        <f>IF(F213="","",VLOOKUP(F213,'G-3 Multipliers'!$A$2:$E$130,2,FALSE))</f>
        <v/>
      </c>
      <c r="V213" s="343" t="str">
        <f t="shared" si="18"/>
        <v/>
      </c>
      <c r="W213" s="343" t="str">
        <f>IF(E213="","",IF(AND(V213="Standard difficulty applied",O213&gt;P213),U213,IF(AND(V213="Low Difficulty - only applicable if all habitat created before losses",P213&gt;=O213),"Low",VLOOKUP(F213,'G-3 Multipliers'!$A$2:$E$130,4,FALSE))))</f>
        <v/>
      </c>
      <c r="X213" s="345" t="str">
        <f>IFERROR(IF(E213="","",VLOOKUP(W213, 'G-3 Multipliers'!$P$2:$Q$6,2,FALSE)),””)</f>
        <v/>
      </c>
      <c r="Y213" s="266"/>
      <c r="Z213" s="172" t="str">
        <f>IF(Y213="","",IF(VLOOKUP(Y213,'G-3 Multipliers'!$S$3:$T$9,2,FALSE)=0,"Spatial Data Missing",VLOOKUP(Y213,'G-3 Multipliers'!$S$3:$T$9,2,FALSE)))</f>
        <v/>
      </c>
      <c r="AA213" s="265" t="str">
        <f t="shared" si="19"/>
        <v/>
      </c>
      <c r="AB213" s="180"/>
      <c r="AC213" s="181"/>
    </row>
    <row r="214" spans="1:29" ht="13.8" x14ac:dyDescent="0.25">
      <c r="A214" s="35" t="str">
        <f>IFERROR(INDEX('G-8 Condition Look up'!$I$4:$I$131,MATCH(F214,'G-8 Condition Look up'!$A$4:$A$131,0)),"")</f>
        <v/>
      </c>
      <c r="C214" s="363" t="str">
        <f>IFERROR(INDEX('G-1 All Habitats'!$AG$3:$AG$15,MATCH(D214,'G-1 All Habitats'!$AF$3:$AF$15,0)),"")</f>
        <v/>
      </c>
      <c r="D214" s="186"/>
      <c r="E214" s="275"/>
      <c r="F214" s="362" t="str">
        <f>IFERROR(INDEX('G-1 All Habitats'!$B$3:$B$130,MATCH(E214,'G-1 All Habitats'!$A$3:$A$130,0)),"")</f>
        <v/>
      </c>
      <c r="G214" s="598"/>
      <c r="H214" s="239" t="str">
        <f>IF(F214="","",VLOOKUP(F214,'G-1 All Habitats'!$B$2:$M$130,10,FALSE))</f>
        <v/>
      </c>
      <c r="I214" s="176" t="str">
        <f>IFERROR(VLOOKUP(H214,'G-1 All Habitats'!$V$3:$W$7,2,FALSE),"")</f>
        <v/>
      </c>
      <c r="J214" s="270"/>
      <c r="K214" s="176" t="str">
        <f>IFERROR(INDEX('G-8 Condition Look up'!$A$3:$H$131,MATCH(F214,'G-8 Condition Look up'!$A$3:$A$131,0),MATCH(J214,'G-8 Condition Look up'!$A$3:$H$3,0)),"")</f>
        <v/>
      </c>
      <c r="L214" s="173"/>
      <c r="M214" s="269" t="str">
        <f>IF(L214="","",IF(VLOOKUP(L214,'G-3 Multipliers'!$L$3:$N$6,2,FALSE)=0,"Spatial Data Missing",VLOOKUP(L214,'G-3 Multipliers'!$L$3:$N$6,2,FALSE)))</f>
        <v/>
      </c>
      <c r="N214" s="172" t="str">
        <f>IF(L214="","",IF(VLOOKUP(L214,'G-3 Multipliers'!$L$3:$N$6,3,FALSE)=0,"Spatial Data Missing",VLOOKUP(L214,'G-3 Multipliers'!$L$3:$N$6,3,FALSE)))</f>
        <v/>
      </c>
      <c r="O214" s="171" t="str">
        <f t="shared" si="15"/>
        <v/>
      </c>
      <c r="P214" s="261"/>
      <c r="Q214" s="261"/>
      <c r="R214" s="343" t="str">
        <f t="shared" si="16"/>
        <v/>
      </c>
      <c r="S214" s="352" t="str">
        <f t="shared" si="17"/>
        <v/>
      </c>
      <c r="T214" s="593" t="str">
        <f>IFERROR(IF(S214="Check Data","Check Data",VLOOKUP(S214,'G-4 Temporal multipliers'!$A$4:$C$37,3,FALSE)),"")</f>
        <v/>
      </c>
      <c r="U214" s="592" t="str">
        <f>IF(F214="","",VLOOKUP(F214,'G-3 Multipliers'!$A$2:$E$130,2,FALSE))</f>
        <v/>
      </c>
      <c r="V214" s="343" t="str">
        <f t="shared" si="18"/>
        <v/>
      </c>
      <c r="W214" s="343" t="str">
        <f>IF(E214="","",IF(AND(V214="Standard difficulty applied",O214&gt;P214),U214,IF(AND(V214="Low Difficulty - only applicable if all habitat created before losses",P214&gt;=O214),"Low",VLOOKUP(F214,'G-3 Multipliers'!$A$2:$E$130,4,FALSE))))</f>
        <v/>
      </c>
      <c r="X214" s="345" t="str">
        <f>IFERROR(IF(E214="","",VLOOKUP(W214, 'G-3 Multipliers'!$P$2:$Q$6,2,FALSE)),””)</f>
        <v/>
      </c>
      <c r="Y214" s="266"/>
      <c r="Z214" s="172" t="str">
        <f>IF(Y214="","",IF(VLOOKUP(Y214,'G-3 Multipliers'!$S$3:$T$9,2,FALSE)=0,"Spatial Data Missing",VLOOKUP(Y214,'G-3 Multipliers'!$S$3:$T$9,2,FALSE)))</f>
        <v/>
      </c>
      <c r="AA214" s="265" t="str">
        <f t="shared" si="19"/>
        <v/>
      </c>
      <c r="AB214" s="180"/>
      <c r="AC214" s="181"/>
    </row>
    <row r="215" spans="1:29" ht="13.8" x14ac:dyDescent="0.25">
      <c r="A215" s="35" t="str">
        <f>IFERROR(INDEX('G-8 Condition Look up'!$I$4:$I$131,MATCH(F215,'G-8 Condition Look up'!$A$4:$A$131,0)),"")</f>
        <v/>
      </c>
      <c r="C215" s="363" t="str">
        <f>IFERROR(INDEX('G-1 All Habitats'!$AG$3:$AG$15,MATCH(D215,'G-1 All Habitats'!$AF$3:$AF$15,0)),"")</f>
        <v/>
      </c>
      <c r="D215" s="186"/>
      <c r="E215" s="275"/>
      <c r="F215" s="362" t="str">
        <f>IFERROR(INDEX('G-1 All Habitats'!$B$3:$B$130,MATCH(E215,'G-1 All Habitats'!$A$3:$A$130,0)),"")</f>
        <v/>
      </c>
      <c r="G215" s="598"/>
      <c r="H215" s="239" t="str">
        <f>IF(F215="","",VLOOKUP(F215,'G-1 All Habitats'!$B$2:$M$130,10,FALSE))</f>
        <v/>
      </c>
      <c r="I215" s="176" t="str">
        <f>IFERROR(VLOOKUP(H215,'G-1 All Habitats'!$V$3:$W$7,2,FALSE),"")</f>
        <v/>
      </c>
      <c r="J215" s="270"/>
      <c r="K215" s="176" t="str">
        <f>IFERROR(INDEX('G-8 Condition Look up'!$A$3:$H$131,MATCH(F215,'G-8 Condition Look up'!$A$3:$A$131,0),MATCH(J215,'G-8 Condition Look up'!$A$3:$H$3,0)),"")</f>
        <v/>
      </c>
      <c r="L215" s="173"/>
      <c r="M215" s="269" t="str">
        <f>IF(L215="","",IF(VLOOKUP(L215,'G-3 Multipliers'!$L$3:$N$6,2,FALSE)=0,"Spatial Data Missing",VLOOKUP(L215,'G-3 Multipliers'!$L$3:$N$6,2,FALSE)))</f>
        <v/>
      </c>
      <c r="N215" s="172" t="str">
        <f>IF(L215="","",IF(VLOOKUP(L215,'G-3 Multipliers'!$L$3:$N$6,3,FALSE)=0,"Spatial Data Missing",VLOOKUP(L215,'G-3 Multipliers'!$L$3:$N$6,3,FALSE)))</f>
        <v/>
      </c>
      <c r="O215" s="171" t="str">
        <f t="shared" si="15"/>
        <v/>
      </c>
      <c r="P215" s="261"/>
      <c r="Q215" s="261"/>
      <c r="R215" s="343" t="str">
        <f t="shared" si="16"/>
        <v/>
      </c>
      <c r="S215" s="352" t="str">
        <f t="shared" si="17"/>
        <v/>
      </c>
      <c r="T215" s="593" t="str">
        <f>IFERROR(IF(S215="Check Data","Check Data",VLOOKUP(S215,'G-4 Temporal multipliers'!$A$4:$C$37,3,FALSE)),"")</f>
        <v/>
      </c>
      <c r="U215" s="592" t="str">
        <f>IF(F215="","",VLOOKUP(F215,'G-3 Multipliers'!$A$2:$E$130,2,FALSE))</f>
        <v/>
      </c>
      <c r="V215" s="343" t="str">
        <f t="shared" si="18"/>
        <v/>
      </c>
      <c r="W215" s="343" t="str">
        <f>IF(E215="","",IF(AND(V215="Standard difficulty applied",O215&gt;P215),U215,IF(AND(V215="Low Difficulty - only applicable if all habitat created before losses",P215&gt;=O215),"Low",VLOOKUP(F215,'G-3 Multipliers'!$A$2:$E$130,4,FALSE))))</f>
        <v/>
      </c>
      <c r="X215" s="345" t="str">
        <f>IFERROR(IF(E215="","",VLOOKUP(W215, 'G-3 Multipliers'!$P$2:$Q$6,2,FALSE)),””)</f>
        <v/>
      </c>
      <c r="Y215" s="266"/>
      <c r="Z215" s="172" t="str">
        <f>IF(Y215="","",IF(VLOOKUP(Y215,'G-3 Multipliers'!$S$3:$T$9,2,FALSE)=0,"Spatial Data Missing",VLOOKUP(Y215,'G-3 Multipliers'!$S$3:$T$9,2,FALSE)))</f>
        <v/>
      </c>
      <c r="AA215" s="265" t="str">
        <f t="shared" si="19"/>
        <v/>
      </c>
      <c r="AB215" s="180"/>
      <c r="AC215" s="181"/>
    </row>
    <row r="216" spans="1:29" ht="13.8" x14ac:dyDescent="0.25">
      <c r="A216" s="35" t="str">
        <f>IFERROR(INDEX('G-8 Condition Look up'!$I$4:$I$131,MATCH(F216,'G-8 Condition Look up'!$A$4:$A$131,0)),"")</f>
        <v/>
      </c>
      <c r="C216" s="363" t="str">
        <f>IFERROR(INDEX('G-1 All Habitats'!$AG$3:$AG$15,MATCH(D216,'G-1 All Habitats'!$AF$3:$AF$15,0)),"")</f>
        <v/>
      </c>
      <c r="D216" s="186"/>
      <c r="E216" s="275"/>
      <c r="F216" s="362" t="str">
        <f>IFERROR(INDEX('G-1 All Habitats'!$B$3:$B$130,MATCH(E216,'G-1 All Habitats'!$A$3:$A$130,0)),"")</f>
        <v/>
      </c>
      <c r="G216" s="598"/>
      <c r="H216" s="239" t="str">
        <f>IF(F216="","",VLOOKUP(F216,'G-1 All Habitats'!$B$2:$M$130,10,FALSE))</f>
        <v/>
      </c>
      <c r="I216" s="176" t="str">
        <f>IFERROR(VLOOKUP(H216,'G-1 All Habitats'!$V$3:$W$7,2,FALSE),"")</f>
        <v/>
      </c>
      <c r="J216" s="270"/>
      <c r="K216" s="176" t="str">
        <f>IFERROR(INDEX('G-8 Condition Look up'!$A$3:$H$131,MATCH(F216,'G-8 Condition Look up'!$A$3:$A$131,0),MATCH(J216,'G-8 Condition Look up'!$A$3:$H$3,0)),"")</f>
        <v/>
      </c>
      <c r="L216" s="173"/>
      <c r="M216" s="269" t="str">
        <f>IF(L216="","",IF(VLOOKUP(L216,'G-3 Multipliers'!$L$3:$N$6,2,FALSE)=0,"Spatial Data Missing",VLOOKUP(L216,'G-3 Multipliers'!$L$3:$N$6,2,FALSE)))</f>
        <v/>
      </c>
      <c r="N216" s="172" t="str">
        <f>IF(L216="","",IF(VLOOKUP(L216,'G-3 Multipliers'!$L$3:$N$6,3,FALSE)=0,"Spatial Data Missing",VLOOKUP(L216,'G-3 Multipliers'!$L$3:$N$6,3,FALSE)))</f>
        <v/>
      </c>
      <c r="O216" s="171" t="str">
        <f t="shared" si="15"/>
        <v/>
      </c>
      <c r="P216" s="261"/>
      <c r="Q216" s="261"/>
      <c r="R216" s="343" t="str">
        <f t="shared" si="16"/>
        <v/>
      </c>
      <c r="S216" s="352" t="str">
        <f t="shared" si="17"/>
        <v/>
      </c>
      <c r="T216" s="593" t="str">
        <f>IFERROR(IF(S216="Check Data","Check Data",VLOOKUP(S216,'G-4 Temporal multipliers'!$A$4:$C$37,3,FALSE)),"")</f>
        <v/>
      </c>
      <c r="U216" s="592" t="str">
        <f>IF(F216="","",VLOOKUP(F216,'G-3 Multipliers'!$A$2:$E$130,2,FALSE))</f>
        <v/>
      </c>
      <c r="V216" s="343" t="str">
        <f t="shared" si="18"/>
        <v/>
      </c>
      <c r="W216" s="343" t="str">
        <f>IF(E216="","",IF(AND(V216="Standard difficulty applied",O216&gt;P216),U216,IF(AND(V216="Low Difficulty - only applicable if all habitat created before losses",P216&gt;=O216),"Low",VLOOKUP(F216,'G-3 Multipliers'!$A$2:$E$130,4,FALSE))))</f>
        <v/>
      </c>
      <c r="X216" s="345" t="str">
        <f>IFERROR(IF(E216="","",VLOOKUP(W216, 'G-3 Multipliers'!$P$2:$Q$6,2,FALSE)),””)</f>
        <v/>
      </c>
      <c r="Y216" s="266"/>
      <c r="Z216" s="172" t="str">
        <f>IF(Y216="","",IF(VLOOKUP(Y216,'G-3 Multipliers'!$S$3:$T$9,2,FALSE)=0,"Spatial Data Missing",VLOOKUP(Y216,'G-3 Multipliers'!$S$3:$T$9,2,FALSE)))</f>
        <v/>
      </c>
      <c r="AA216" s="265" t="str">
        <f t="shared" si="19"/>
        <v/>
      </c>
      <c r="AB216" s="180"/>
      <c r="AC216" s="181"/>
    </row>
    <row r="217" spans="1:29" ht="13.8" x14ac:dyDescent="0.25">
      <c r="A217" s="35" t="str">
        <f>IFERROR(INDEX('G-8 Condition Look up'!$I$4:$I$131,MATCH(F217,'G-8 Condition Look up'!$A$4:$A$131,0)),"")</f>
        <v/>
      </c>
      <c r="C217" s="363" t="str">
        <f>IFERROR(INDEX('G-1 All Habitats'!$AG$3:$AG$15,MATCH(D217,'G-1 All Habitats'!$AF$3:$AF$15,0)),"")</f>
        <v/>
      </c>
      <c r="D217" s="186"/>
      <c r="E217" s="275"/>
      <c r="F217" s="362" t="str">
        <f>IFERROR(INDEX('G-1 All Habitats'!$B$3:$B$130,MATCH(E217,'G-1 All Habitats'!$A$3:$A$130,0)),"")</f>
        <v/>
      </c>
      <c r="G217" s="598"/>
      <c r="H217" s="239" t="str">
        <f>IF(F217="","",VLOOKUP(F217,'G-1 All Habitats'!$B$2:$M$130,10,FALSE))</f>
        <v/>
      </c>
      <c r="I217" s="176" t="str">
        <f>IFERROR(VLOOKUP(H217,'G-1 All Habitats'!$V$3:$W$7,2,FALSE),"")</f>
        <v/>
      </c>
      <c r="J217" s="270"/>
      <c r="K217" s="176" t="str">
        <f>IFERROR(INDEX('G-8 Condition Look up'!$A$3:$H$131,MATCH(F217,'G-8 Condition Look up'!$A$3:$A$131,0),MATCH(J217,'G-8 Condition Look up'!$A$3:$H$3,0)),"")</f>
        <v/>
      </c>
      <c r="L217" s="173"/>
      <c r="M217" s="269" t="str">
        <f>IF(L217="","",IF(VLOOKUP(L217,'G-3 Multipliers'!$L$3:$N$6,2,FALSE)=0,"Spatial Data Missing",VLOOKUP(L217,'G-3 Multipliers'!$L$3:$N$6,2,FALSE)))</f>
        <v/>
      </c>
      <c r="N217" s="172" t="str">
        <f>IF(L217="","",IF(VLOOKUP(L217,'G-3 Multipliers'!$L$3:$N$6,3,FALSE)=0,"Spatial Data Missing",VLOOKUP(L217,'G-3 Multipliers'!$L$3:$N$6,3,FALSE)))</f>
        <v/>
      </c>
      <c r="O217" s="171" t="str">
        <f t="shared" si="15"/>
        <v/>
      </c>
      <c r="P217" s="261"/>
      <c r="Q217" s="261"/>
      <c r="R217" s="343" t="str">
        <f t="shared" si="16"/>
        <v/>
      </c>
      <c r="S217" s="352" t="str">
        <f t="shared" si="17"/>
        <v/>
      </c>
      <c r="T217" s="593" t="str">
        <f>IFERROR(IF(S217="Check Data","Check Data",VLOOKUP(S217,'G-4 Temporal multipliers'!$A$4:$C$37,3,FALSE)),"")</f>
        <v/>
      </c>
      <c r="U217" s="592" t="str">
        <f>IF(F217="","",VLOOKUP(F217,'G-3 Multipliers'!$A$2:$E$130,2,FALSE))</f>
        <v/>
      </c>
      <c r="V217" s="343" t="str">
        <f t="shared" si="18"/>
        <v/>
      </c>
      <c r="W217" s="343" t="str">
        <f>IF(E217="","",IF(AND(V217="Standard difficulty applied",O217&gt;P217),U217,IF(AND(V217="Low Difficulty - only applicable if all habitat created before losses",P217&gt;=O217),"Low",VLOOKUP(F217,'G-3 Multipliers'!$A$2:$E$130,4,FALSE))))</f>
        <v/>
      </c>
      <c r="X217" s="345" t="str">
        <f>IFERROR(IF(E217="","",VLOOKUP(W217, 'G-3 Multipliers'!$P$2:$Q$6,2,FALSE)),””)</f>
        <v/>
      </c>
      <c r="Y217" s="266"/>
      <c r="Z217" s="172" t="str">
        <f>IF(Y217="","",IF(VLOOKUP(Y217,'G-3 Multipliers'!$S$3:$T$9,2,FALSE)=0,"Spatial Data Missing",VLOOKUP(Y217,'G-3 Multipliers'!$S$3:$T$9,2,FALSE)))</f>
        <v/>
      </c>
      <c r="AA217" s="265" t="str">
        <f t="shared" si="19"/>
        <v/>
      </c>
      <c r="AB217" s="180"/>
      <c r="AC217" s="181"/>
    </row>
    <row r="218" spans="1:29" ht="13.8" x14ac:dyDescent="0.25">
      <c r="A218" s="35" t="str">
        <f>IFERROR(INDEX('G-8 Condition Look up'!$I$4:$I$131,MATCH(F218,'G-8 Condition Look up'!$A$4:$A$131,0)),"")</f>
        <v/>
      </c>
      <c r="C218" s="363" t="str">
        <f>IFERROR(INDEX('G-1 All Habitats'!$AG$3:$AG$15,MATCH(D218,'G-1 All Habitats'!$AF$3:$AF$15,0)),"")</f>
        <v/>
      </c>
      <c r="D218" s="186"/>
      <c r="E218" s="275"/>
      <c r="F218" s="362" t="str">
        <f>IFERROR(INDEX('G-1 All Habitats'!$B$3:$B$130,MATCH(E218,'G-1 All Habitats'!$A$3:$A$130,0)),"")</f>
        <v/>
      </c>
      <c r="G218" s="598"/>
      <c r="H218" s="239" t="str">
        <f>IF(F218="","",VLOOKUP(F218,'G-1 All Habitats'!$B$2:$M$130,10,FALSE))</f>
        <v/>
      </c>
      <c r="I218" s="176" t="str">
        <f>IFERROR(VLOOKUP(H218,'G-1 All Habitats'!$V$3:$W$7,2,FALSE),"")</f>
        <v/>
      </c>
      <c r="J218" s="270"/>
      <c r="K218" s="176" t="str">
        <f>IFERROR(INDEX('G-8 Condition Look up'!$A$3:$H$131,MATCH(F218,'G-8 Condition Look up'!$A$3:$A$131,0),MATCH(J218,'G-8 Condition Look up'!$A$3:$H$3,0)),"")</f>
        <v/>
      </c>
      <c r="L218" s="173"/>
      <c r="M218" s="269" t="str">
        <f>IF(L218="","",IF(VLOOKUP(L218,'G-3 Multipliers'!$L$3:$N$6,2,FALSE)=0,"Spatial Data Missing",VLOOKUP(L218,'G-3 Multipliers'!$L$3:$N$6,2,FALSE)))</f>
        <v/>
      </c>
      <c r="N218" s="172" t="str">
        <f>IF(L218="","",IF(VLOOKUP(L218,'G-3 Multipliers'!$L$3:$N$6,3,FALSE)=0,"Spatial Data Missing",VLOOKUP(L218,'G-3 Multipliers'!$L$3:$N$6,3,FALSE)))</f>
        <v/>
      </c>
      <c r="O218" s="171" t="str">
        <f t="shared" si="15"/>
        <v/>
      </c>
      <c r="P218" s="261"/>
      <c r="Q218" s="261"/>
      <c r="R218" s="343" t="str">
        <f t="shared" si="16"/>
        <v/>
      </c>
      <c r="S218" s="352" t="str">
        <f t="shared" si="17"/>
        <v/>
      </c>
      <c r="T218" s="593" t="str">
        <f>IFERROR(IF(S218="Check Data","Check Data",VLOOKUP(S218,'G-4 Temporal multipliers'!$A$4:$C$37,3,FALSE)),"")</f>
        <v/>
      </c>
      <c r="U218" s="592" t="str">
        <f>IF(F218="","",VLOOKUP(F218,'G-3 Multipliers'!$A$2:$E$130,2,FALSE))</f>
        <v/>
      </c>
      <c r="V218" s="343" t="str">
        <f t="shared" si="18"/>
        <v/>
      </c>
      <c r="W218" s="343" t="str">
        <f>IF(E218="","",IF(AND(V218="Standard difficulty applied",O218&gt;P218),U218,IF(AND(V218="Low Difficulty - only applicable if all habitat created before losses",P218&gt;=O218),"Low",VLOOKUP(F218,'G-3 Multipliers'!$A$2:$E$130,4,FALSE))))</f>
        <v/>
      </c>
      <c r="X218" s="345" t="str">
        <f>IFERROR(IF(E218="","",VLOOKUP(W218, 'G-3 Multipliers'!$P$2:$Q$6,2,FALSE)),””)</f>
        <v/>
      </c>
      <c r="Y218" s="266"/>
      <c r="Z218" s="172" t="str">
        <f>IF(Y218="","",IF(VLOOKUP(Y218,'G-3 Multipliers'!$S$3:$T$9,2,FALSE)=0,"Spatial Data Missing",VLOOKUP(Y218,'G-3 Multipliers'!$S$3:$T$9,2,FALSE)))</f>
        <v/>
      </c>
      <c r="AA218" s="265" t="str">
        <f t="shared" si="19"/>
        <v/>
      </c>
      <c r="AB218" s="180"/>
      <c r="AC218" s="181"/>
    </row>
    <row r="219" spans="1:29" ht="13.8" x14ac:dyDescent="0.25">
      <c r="A219" s="35" t="str">
        <f>IFERROR(INDEX('G-8 Condition Look up'!$I$4:$I$131,MATCH(F219,'G-8 Condition Look up'!$A$4:$A$131,0)),"")</f>
        <v/>
      </c>
      <c r="C219" s="363" t="str">
        <f>IFERROR(INDEX('G-1 All Habitats'!$AG$3:$AG$15,MATCH(D219,'G-1 All Habitats'!$AF$3:$AF$15,0)),"")</f>
        <v/>
      </c>
      <c r="D219" s="186"/>
      <c r="E219" s="275"/>
      <c r="F219" s="362" t="str">
        <f>IFERROR(INDEX('G-1 All Habitats'!$B$3:$B$130,MATCH(E219,'G-1 All Habitats'!$A$3:$A$130,0)),"")</f>
        <v/>
      </c>
      <c r="G219" s="598"/>
      <c r="H219" s="239" t="str">
        <f>IF(F219="","",VLOOKUP(F219,'G-1 All Habitats'!$B$2:$M$130,10,FALSE))</f>
        <v/>
      </c>
      <c r="I219" s="176" t="str">
        <f>IFERROR(VLOOKUP(H219,'G-1 All Habitats'!$V$3:$W$7,2,FALSE),"")</f>
        <v/>
      </c>
      <c r="J219" s="270"/>
      <c r="K219" s="176" t="str">
        <f>IFERROR(INDEX('G-8 Condition Look up'!$A$3:$H$131,MATCH(F219,'G-8 Condition Look up'!$A$3:$A$131,0),MATCH(J219,'G-8 Condition Look up'!$A$3:$H$3,0)),"")</f>
        <v/>
      </c>
      <c r="L219" s="173"/>
      <c r="M219" s="269" t="str">
        <f>IF(L219="","",IF(VLOOKUP(L219,'G-3 Multipliers'!$L$3:$N$6,2,FALSE)=0,"Spatial Data Missing",VLOOKUP(L219,'G-3 Multipliers'!$L$3:$N$6,2,FALSE)))</f>
        <v/>
      </c>
      <c r="N219" s="172" t="str">
        <f>IF(L219="","",IF(VLOOKUP(L219,'G-3 Multipliers'!$L$3:$N$6,3,FALSE)=0,"Spatial Data Missing",VLOOKUP(L219,'G-3 Multipliers'!$L$3:$N$6,3,FALSE)))</f>
        <v/>
      </c>
      <c r="O219" s="171" t="str">
        <f t="shared" si="15"/>
        <v/>
      </c>
      <c r="P219" s="261"/>
      <c r="Q219" s="261"/>
      <c r="R219" s="343" t="str">
        <f t="shared" si="16"/>
        <v/>
      </c>
      <c r="S219" s="352" t="str">
        <f t="shared" si="17"/>
        <v/>
      </c>
      <c r="T219" s="593" t="str">
        <f>IFERROR(IF(S219="Check Data","Check Data",VLOOKUP(S219,'G-4 Temporal multipliers'!$A$4:$C$37,3,FALSE)),"")</f>
        <v/>
      </c>
      <c r="U219" s="592" t="str">
        <f>IF(F219="","",VLOOKUP(F219,'G-3 Multipliers'!$A$2:$E$130,2,FALSE))</f>
        <v/>
      </c>
      <c r="V219" s="343" t="str">
        <f t="shared" si="18"/>
        <v/>
      </c>
      <c r="W219" s="343" t="str">
        <f>IF(E219="","",IF(AND(V219="Standard difficulty applied",O219&gt;P219),U219,IF(AND(V219="Low Difficulty - only applicable if all habitat created before losses",P219&gt;=O219),"Low",VLOOKUP(F219,'G-3 Multipliers'!$A$2:$E$130,4,FALSE))))</f>
        <v/>
      </c>
      <c r="X219" s="345" t="str">
        <f>IFERROR(IF(E219="","",VLOOKUP(W219, 'G-3 Multipliers'!$P$2:$Q$6,2,FALSE)),””)</f>
        <v/>
      </c>
      <c r="Y219" s="266"/>
      <c r="Z219" s="172" t="str">
        <f>IF(Y219="","",IF(VLOOKUP(Y219,'G-3 Multipliers'!$S$3:$T$9,2,FALSE)=0,"Spatial Data Missing",VLOOKUP(Y219,'G-3 Multipliers'!$S$3:$T$9,2,FALSE)))</f>
        <v/>
      </c>
      <c r="AA219" s="265" t="str">
        <f t="shared" si="19"/>
        <v/>
      </c>
      <c r="AB219" s="180"/>
      <c r="AC219" s="181"/>
    </row>
    <row r="220" spans="1:29" ht="13.8" x14ac:dyDescent="0.25">
      <c r="A220" s="35" t="str">
        <f>IFERROR(INDEX('G-8 Condition Look up'!$I$4:$I$131,MATCH(F220,'G-8 Condition Look up'!$A$4:$A$131,0)),"")</f>
        <v/>
      </c>
      <c r="C220" s="363" t="str">
        <f>IFERROR(INDEX('G-1 All Habitats'!$AG$3:$AG$15,MATCH(D220,'G-1 All Habitats'!$AF$3:$AF$15,0)),"")</f>
        <v/>
      </c>
      <c r="D220" s="186"/>
      <c r="E220" s="275"/>
      <c r="F220" s="362" t="str">
        <f>IFERROR(INDEX('G-1 All Habitats'!$B$3:$B$130,MATCH(E220,'G-1 All Habitats'!$A$3:$A$130,0)),"")</f>
        <v/>
      </c>
      <c r="G220" s="598"/>
      <c r="H220" s="239" t="str">
        <f>IF(F220="","",VLOOKUP(F220,'G-1 All Habitats'!$B$2:$M$130,10,FALSE))</f>
        <v/>
      </c>
      <c r="I220" s="176" t="str">
        <f>IFERROR(VLOOKUP(H220,'G-1 All Habitats'!$V$3:$W$7,2,FALSE),"")</f>
        <v/>
      </c>
      <c r="J220" s="270"/>
      <c r="K220" s="176" t="str">
        <f>IFERROR(INDEX('G-8 Condition Look up'!$A$3:$H$131,MATCH(F220,'G-8 Condition Look up'!$A$3:$A$131,0),MATCH(J220,'G-8 Condition Look up'!$A$3:$H$3,0)),"")</f>
        <v/>
      </c>
      <c r="L220" s="173"/>
      <c r="M220" s="269" t="str">
        <f>IF(L220="","",IF(VLOOKUP(L220,'G-3 Multipliers'!$L$3:$N$6,2,FALSE)=0,"Spatial Data Missing",VLOOKUP(L220,'G-3 Multipliers'!$L$3:$N$6,2,FALSE)))</f>
        <v/>
      </c>
      <c r="N220" s="172" t="str">
        <f>IF(L220="","",IF(VLOOKUP(L220,'G-3 Multipliers'!$L$3:$N$6,3,FALSE)=0,"Spatial Data Missing",VLOOKUP(L220,'G-3 Multipliers'!$L$3:$N$6,3,FALSE)))</f>
        <v/>
      </c>
      <c r="O220" s="171" t="str">
        <f t="shared" si="15"/>
        <v/>
      </c>
      <c r="P220" s="261"/>
      <c r="Q220" s="261"/>
      <c r="R220" s="343" t="str">
        <f t="shared" si="16"/>
        <v/>
      </c>
      <c r="S220" s="352" t="str">
        <f t="shared" si="17"/>
        <v/>
      </c>
      <c r="T220" s="593" t="str">
        <f>IFERROR(IF(S220="Check Data","Check Data",VLOOKUP(S220,'G-4 Temporal multipliers'!$A$4:$C$37,3,FALSE)),"")</f>
        <v/>
      </c>
      <c r="U220" s="592" t="str">
        <f>IF(F220="","",VLOOKUP(F220,'G-3 Multipliers'!$A$2:$E$130,2,FALSE))</f>
        <v/>
      </c>
      <c r="V220" s="343" t="str">
        <f t="shared" si="18"/>
        <v/>
      </c>
      <c r="W220" s="343" t="str">
        <f>IF(E220="","",IF(AND(V220="Standard difficulty applied",O220&gt;P220),U220,IF(AND(V220="Low Difficulty - only applicable if all habitat created before losses",P220&gt;=O220),"Low",VLOOKUP(F220,'G-3 Multipliers'!$A$2:$E$130,4,FALSE))))</f>
        <v/>
      </c>
      <c r="X220" s="345" t="str">
        <f>IFERROR(IF(E220="","",VLOOKUP(W220, 'G-3 Multipliers'!$P$2:$Q$6,2,FALSE)),””)</f>
        <v/>
      </c>
      <c r="Y220" s="266"/>
      <c r="Z220" s="172" t="str">
        <f>IF(Y220="","",IF(VLOOKUP(Y220,'G-3 Multipliers'!$S$3:$T$9,2,FALSE)=0,"Spatial Data Missing",VLOOKUP(Y220,'G-3 Multipliers'!$S$3:$T$9,2,FALSE)))</f>
        <v/>
      </c>
      <c r="AA220" s="265" t="str">
        <f t="shared" si="19"/>
        <v/>
      </c>
      <c r="AB220" s="180"/>
      <c r="AC220" s="181"/>
    </row>
    <row r="221" spans="1:29" ht="13.8" x14ac:dyDescent="0.25">
      <c r="A221" s="35" t="str">
        <f>IFERROR(INDEX('G-8 Condition Look up'!$I$4:$I$131,MATCH(F221,'G-8 Condition Look up'!$A$4:$A$131,0)),"")</f>
        <v/>
      </c>
      <c r="C221" s="363" t="str">
        <f>IFERROR(INDEX('G-1 All Habitats'!$AG$3:$AG$15,MATCH(D221,'G-1 All Habitats'!$AF$3:$AF$15,0)),"")</f>
        <v/>
      </c>
      <c r="D221" s="186"/>
      <c r="E221" s="275"/>
      <c r="F221" s="362" t="str">
        <f>IFERROR(INDEX('G-1 All Habitats'!$B$3:$B$130,MATCH(E221,'G-1 All Habitats'!$A$3:$A$130,0)),"")</f>
        <v/>
      </c>
      <c r="G221" s="598"/>
      <c r="H221" s="239" t="str">
        <f>IF(F221="","",VLOOKUP(F221,'G-1 All Habitats'!$B$2:$M$130,10,FALSE))</f>
        <v/>
      </c>
      <c r="I221" s="176" t="str">
        <f>IFERROR(VLOOKUP(H221,'G-1 All Habitats'!$V$3:$W$7,2,FALSE),"")</f>
        <v/>
      </c>
      <c r="J221" s="270"/>
      <c r="K221" s="176" t="str">
        <f>IFERROR(INDEX('G-8 Condition Look up'!$A$3:$H$131,MATCH(F221,'G-8 Condition Look up'!$A$3:$A$131,0),MATCH(J221,'G-8 Condition Look up'!$A$3:$H$3,0)),"")</f>
        <v/>
      </c>
      <c r="L221" s="173"/>
      <c r="M221" s="269" t="str">
        <f>IF(L221="","",IF(VLOOKUP(L221,'G-3 Multipliers'!$L$3:$N$6,2,FALSE)=0,"Spatial Data Missing",VLOOKUP(L221,'G-3 Multipliers'!$L$3:$N$6,2,FALSE)))</f>
        <v/>
      </c>
      <c r="N221" s="172" t="str">
        <f>IF(L221="","",IF(VLOOKUP(L221,'G-3 Multipliers'!$L$3:$N$6,3,FALSE)=0,"Spatial Data Missing",VLOOKUP(L221,'G-3 Multipliers'!$L$3:$N$6,3,FALSE)))</f>
        <v/>
      </c>
      <c r="O221" s="171" t="str">
        <f t="shared" si="15"/>
        <v/>
      </c>
      <c r="P221" s="261"/>
      <c r="Q221" s="261"/>
      <c r="R221" s="343" t="str">
        <f t="shared" si="16"/>
        <v/>
      </c>
      <c r="S221" s="352" t="str">
        <f t="shared" si="17"/>
        <v/>
      </c>
      <c r="T221" s="593" t="str">
        <f>IFERROR(IF(S221="Check Data","Check Data",VLOOKUP(S221,'G-4 Temporal multipliers'!$A$4:$C$37,3,FALSE)),"")</f>
        <v/>
      </c>
      <c r="U221" s="592" t="str">
        <f>IF(F221="","",VLOOKUP(F221,'G-3 Multipliers'!$A$2:$E$130,2,FALSE))</f>
        <v/>
      </c>
      <c r="V221" s="343" t="str">
        <f t="shared" si="18"/>
        <v/>
      </c>
      <c r="W221" s="343" t="str">
        <f>IF(E221="","",IF(AND(V221="Standard difficulty applied",O221&gt;P221),U221,IF(AND(V221="Low Difficulty - only applicable if all habitat created before losses",P221&gt;=O221),"Low",VLOOKUP(F221,'G-3 Multipliers'!$A$2:$E$130,4,FALSE))))</f>
        <v/>
      </c>
      <c r="X221" s="345" t="str">
        <f>IFERROR(IF(E221="","",VLOOKUP(W221, 'G-3 Multipliers'!$P$2:$Q$6,2,FALSE)),””)</f>
        <v/>
      </c>
      <c r="Y221" s="266"/>
      <c r="Z221" s="172" t="str">
        <f>IF(Y221="","",IF(VLOOKUP(Y221,'G-3 Multipliers'!$S$3:$T$9,2,FALSE)=0,"Spatial Data Missing",VLOOKUP(Y221,'G-3 Multipliers'!$S$3:$T$9,2,FALSE)))</f>
        <v/>
      </c>
      <c r="AA221" s="265" t="str">
        <f t="shared" si="19"/>
        <v/>
      </c>
      <c r="AB221" s="180"/>
      <c r="AC221" s="181"/>
    </row>
    <row r="222" spans="1:29" ht="13.8" x14ac:dyDescent="0.25">
      <c r="A222" s="35" t="str">
        <f>IFERROR(INDEX('G-8 Condition Look up'!$I$4:$I$131,MATCH(F222,'G-8 Condition Look up'!$A$4:$A$131,0)),"")</f>
        <v/>
      </c>
      <c r="C222" s="363" t="str">
        <f>IFERROR(INDEX('G-1 All Habitats'!$AG$3:$AG$15,MATCH(D222,'G-1 All Habitats'!$AF$3:$AF$15,0)),"")</f>
        <v/>
      </c>
      <c r="D222" s="186"/>
      <c r="E222" s="275"/>
      <c r="F222" s="362" t="str">
        <f>IFERROR(INDEX('G-1 All Habitats'!$B$3:$B$130,MATCH(E222,'G-1 All Habitats'!$A$3:$A$130,0)),"")</f>
        <v/>
      </c>
      <c r="G222" s="598"/>
      <c r="H222" s="239" t="str">
        <f>IF(F222="","",VLOOKUP(F222,'G-1 All Habitats'!$B$2:$M$130,10,FALSE))</f>
        <v/>
      </c>
      <c r="I222" s="176" t="str">
        <f>IFERROR(VLOOKUP(H222,'G-1 All Habitats'!$V$3:$W$7,2,FALSE),"")</f>
        <v/>
      </c>
      <c r="J222" s="270"/>
      <c r="K222" s="176" t="str">
        <f>IFERROR(INDEX('G-8 Condition Look up'!$A$3:$H$131,MATCH(F222,'G-8 Condition Look up'!$A$3:$A$131,0),MATCH(J222,'G-8 Condition Look up'!$A$3:$H$3,0)),"")</f>
        <v/>
      </c>
      <c r="L222" s="173"/>
      <c r="M222" s="269" t="str">
        <f>IF(L222="","",IF(VLOOKUP(L222,'G-3 Multipliers'!$L$3:$N$6,2,FALSE)=0,"Spatial Data Missing",VLOOKUP(L222,'G-3 Multipliers'!$L$3:$N$6,2,FALSE)))</f>
        <v/>
      </c>
      <c r="N222" s="172" t="str">
        <f>IF(L222="","",IF(VLOOKUP(L222,'G-3 Multipliers'!$L$3:$N$6,3,FALSE)=0,"Spatial Data Missing",VLOOKUP(L222,'G-3 Multipliers'!$L$3:$N$6,3,FALSE)))</f>
        <v/>
      </c>
      <c r="O222" s="171" t="str">
        <f t="shared" si="15"/>
        <v/>
      </c>
      <c r="P222" s="261"/>
      <c r="Q222" s="261"/>
      <c r="R222" s="343" t="str">
        <f t="shared" si="16"/>
        <v/>
      </c>
      <c r="S222" s="352" t="str">
        <f t="shared" si="17"/>
        <v/>
      </c>
      <c r="T222" s="593" t="str">
        <f>IFERROR(IF(S222="Check Data","Check Data",VLOOKUP(S222,'G-4 Temporal multipliers'!$A$4:$C$37,3,FALSE)),"")</f>
        <v/>
      </c>
      <c r="U222" s="592" t="str">
        <f>IF(F222="","",VLOOKUP(F222,'G-3 Multipliers'!$A$2:$E$130,2,FALSE))</f>
        <v/>
      </c>
      <c r="V222" s="343" t="str">
        <f t="shared" si="18"/>
        <v/>
      </c>
      <c r="W222" s="343" t="str">
        <f>IF(E222="","",IF(AND(V222="Standard difficulty applied",O222&gt;P222),U222,IF(AND(V222="Low Difficulty - only applicable if all habitat created before losses",P222&gt;=O222),"Low",VLOOKUP(F222,'G-3 Multipliers'!$A$2:$E$130,4,FALSE))))</f>
        <v/>
      </c>
      <c r="X222" s="345" t="str">
        <f>IFERROR(IF(E222="","",VLOOKUP(W222, 'G-3 Multipliers'!$P$2:$Q$6,2,FALSE)),””)</f>
        <v/>
      </c>
      <c r="Y222" s="266"/>
      <c r="Z222" s="172" t="str">
        <f>IF(Y222="","",IF(VLOOKUP(Y222,'G-3 Multipliers'!$S$3:$T$9,2,FALSE)=0,"Spatial Data Missing",VLOOKUP(Y222,'G-3 Multipliers'!$S$3:$T$9,2,FALSE)))</f>
        <v/>
      </c>
      <c r="AA222" s="265" t="str">
        <f t="shared" si="19"/>
        <v/>
      </c>
      <c r="AB222" s="180"/>
      <c r="AC222" s="181"/>
    </row>
    <row r="223" spans="1:29" ht="13.8" x14ac:dyDescent="0.25">
      <c r="A223" s="35" t="str">
        <f>IFERROR(INDEX('G-8 Condition Look up'!$I$4:$I$131,MATCH(F223,'G-8 Condition Look up'!$A$4:$A$131,0)),"")</f>
        <v/>
      </c>
      <c r="C223" s="363" t="str">
        <f>IFERROR(INDEX('G-1 All Habitats'!$AG$3:$AG$15,MATCH(D223,'G-1 All Habitats'!$AF$3:$AF$15,0)),"")</f>
        <v/>
      </c>
      <c r="D223" s="186"/>
      <c r="E223" s="275"/>
      <c r="F223" s="362" t="str">
        <f>IFERROR(INDEX('G-1 All Habitats'!$B$3:$B$130,MATCH(E223,'G-1 All Habitats'!$A$3:$A$130,0)),"")</f>
        <v/>
      </c>
      <c r="G223" s="598"/>
      <c r="H223" s="239" t="str">
        <f>IF(F223="","",VLOOKUP(F223,'G-1 All Habitats'!$B$2:$M$130,10,FALSE))</f>
        <v/>
      </c>
      <c r="I223" s="176" t="str">
        <f>IFERROR(VLOOKUP(H223,'G-1 All Habitats'!$V$3:$W$7,2,FALSE),"")</f>
        <v/>
      </c>
      <c r="J223" s="270"/>
      <c r="K223" s="176" t="str">
        <f>IFERROR(INDEX('G-8 Condition Look up'!$A$3:$H$131,MATCH(F223,'G-8 Condition Look up'!$A$3:$A$131,0),MATCH(J223,'G-8 Condition Look up'!$A$3:$H$3,0)),"")</f>
        <v/>
      </c>
      <c r="L223" s="173"/>
      <c r="M223" s="269" t="str">
        <f>IF(L223="","",IF(VLOOKUP(L223,'G-3 Multipliers'!$L$3:$N$6,2,FALSE)=0,"Spatial Data Missing",VLOOKUP(L223,'G-3 Multipliers'!$L$3:$N$6,2,FALSE)))</f>
        <v/>
      </c>
      <c r="N223" s="172" t="str">
        <f>IF(L223="","",IF(VLOOKUP(L223,'G-3 Multipliers'!$L$3:$N$6,3,FALSE)=0,"Spatial Data Missing",VLOOKUP(L223,'G-3 Multipliers'!$L$3:$N$6,3,FALSE)))</f>
        <v/>
      </c>
      <c r="O223" s="171" t="str">
        <f t="shared" si="15"/>
        <v/>
      </c>
      <c r="P223" s="261"/>
      <c r="Q223" s="261"/>
      <c r="R223" s="343" t="str">
        <f t="shared" si="16"/>
        <v/>
      </c>
      <c r="S223" s="352" t="str">
        <f t="shared" si="17"/>
        <v/>
      </c>
      <c r="T223" s="593" t="str">
        <f>IFERROR(IF(S223="Check Data","Check Data",VLOOKUP(S223,'G-4 Temporal multipliers'!$A$4:$C$37,3,FALSE)),"")</f>
        <v/>
      </c>
      <c r="U223" s="592" t="str">
        <f>IF(F223="","",VLOOKUP(F223,'G-3 Multipliers'!$A$2:$E$130,2,FALSE))</f>
        <v/>
      </c>
      <c r="V223" s="343" t="str">
        <f t="shared" si="18"/>
        <v/>
      </c>
      <c r="W223" s="343" t="str">
        <f>IF(E223="","",IF(AND(V223="Standard difficulty applied",O223&gt;P223),U223,IF(AND(V223="Low Difficulty - only applicable if all habitat created before losses",P223&gt;=O223),"Low",VLOOKUP(F223,'G-3 Multipliers'!$A$2:$E$130,4,FALSE))))</f>
        <v/>
      </c>
      <c r="X223" s="345" t="str">
        <f>IFERROR(IF(E223="","",VLOOKUP(W223, 'G-3 Multipliers'!$P$2:$Q$6,2,FALSE)),””)</f>
        <v/>
      </c>
      <c r="Y223" s="266"/>
      <c r="Z223" s="172" t="str">
        <f>IF(Y223="","",IF(VLOOKUP(Y223,'G-3 Multipliers'!$S$3:$T$9,2,FALSE)=0,"Spatial Data Missing",VLOOKUP(Y223,'G-3 Multipliers'!$S$3:$T$9,2,FALSE)))</f>
        <v/>
      </c>
      <c r="AA223" s="265" t="str">
        <f t="shared" si="19"/>
        <v/>
      </c>
      <c r="AB223" s="180"/>
      <c r="AC223" s="181"/>
    </row>
    <row r="224" spans="1:29" ht="13.8" x14ac:dyDescent="0.25">
      <c r="A224" s="35" t="str">
        <f>IFERROR(INDEX('G-8 Condition Look up'!$I$4:$I$131,MATCH(F224,'G-8 Condition Look up'!$A$4:$A$131,0)),"")</f>
        <v/>
      </c>
      <c r="C224" s="363" t="str">
        <f>IFERROR(INDEX('G-1 All Habitats'!$AG$3:$AG$15,MATCH(D224,'G-1 All Habitats'!$AF$3:$AF$15,0)),"")</f>
        <v/>
      </c>
      <c r="D224" s="186"/>
      <c r="E224" s="275"/>
      <c r="F224" s="362" t="str">
        <f>IFERROR(INDEX('G-1 All Habitats'!$B$3:$B$130,MATCH(E224,'G-1 All Habitats'!$A$3:$A$130,0)),"")</f>
        <v/>
      </c>
      <c r="G224" s="598"/>
      <c r="H224" s="239" t="str">
        <f>IF(F224="","",VLOOKUP(F224,'G-1 All Habitats'!$B$2:$M$130,10,FALSE))</f>
        <v/>
      </c>
      <c r="I224" s="176" t="str">
        <f>IFERROR(VLOOKUP(H224,'G-1 All Habitats'!$V$3:$W$7,2,FALSE),"")</f>
        <v/>
      </c>
      <c r="J224" s="270"/>
      <c r="K224" s="176" t="str">
        <f>IFERROR(INDEX('G-8 Condition Look up'!$A$3:$H$131,MATCH(F224,'G-8 Condition Look up'!$A$3:$A$131,0),MATCH(J224,'G-8 Condition Look up'!$A$3:$H$3,0)),"")</f>
        <v/>
      </c>
      <c r="L224" s="173"/>
      <c r="M224" s="269" t="str">
        <f>IF(L224="","",IF(VLOOKUP(L224,'G-3 Multipliers'!$L$3:$N$6,2,FALSE)=0,"Spatial Data Missing",VLOOKUP(L224,'G-3 Multipliers'!$L$3:$N$6,2,FALSE)))</f>
        <v/>
      </c>
      <c r="N224" s="172" t="str">
        <f>IF(L224="","",IF(VLOOKUP(L224,'G-3 Multipliers'!$L$3:$N$6,3,FALSE)=0,"Spatial Data Missing",VLOOKUP(L224,'G-3 Multipliers'!$L$3:$N$6,3,FALSE)))</f>
        <v/>
      </c>
      <c r="O224" s="171" t="str">
        <f t="shared" si="15"/>
        <v/>
      </c>
      <c r="P224" s="261"/>
      <c r="Q224" s="261"/>
      <c r="R224" s="343" t="str">
        <f t="shared" si="16"/>
        <v/>
      </c>
      <c r="S224" s="352" t="str">
        <f t="shared" si="17"/>
        <v/>
      </c>
      <c r="T224" s="593" t="str">
        <f>IFERROR(IF(S224="Check Data","Check Data",VLOOKUP(S224,'G-4 Temporal multipliers'!$A$4:$C$37,3,FALSE)),"")</f>
        <v/>
      </c>
      <c r="U224" s="592" t="str">
        <f>IF(F224="","",VLOOKUP(F224,'G-3 Multipliers'!$A$2:$E$130,2,FALSE))</f>
        <v/>
      </c>
      <c r="V224" s="343" t="str">
        <f t="shared" si="18"/>
        <v/>
      </c>
      <c r="W224" s="343" t="str">
        <f>IF(E224="","",IF(AND(V224="Standard difficulty applied",O224&gt;P224),U224,IF(AND(V224="Low Difficulty - only applicable if all habitat created before losses",P224&gt;=O224),"Low",VLOOKUP(F224,'G-3 Multipliers'!$A$2:$E$130,4,FALSE))))</f>
        <v/>
      </c>
      <c r="X224" s="345" t="str">
        <f>IFERROR(IF(E224="","",VLOOKUP(W224, 'G-3 Multipliers'!$P$2:$Q$6,2,FALSE)),””)</f>
        <v/>
      </c>
      <c r="Y224" s="266"/>
      <c r="Z224" s="172" t="str">
        <f>IF(Y224="","",IF(VLOOKUP(Y224,'G-3 Multipliers'!$S$3:$T$9,2,FALSE)=0,"Spatial Data Missing",VLOOKUP(Y224,'G-3 Multipliers'!$S$3:$T$9,2,FALSE)))</f>
        <v/>
      </c>
      <c r="AA224" s="265" t="str">
        <f t="shared" si="19"/>
        <v/>
      </c>
      <c r="AB224" s="180"/>
      <c r="AC224" s="181"/>
    </row>
    <row r="225" spans="1:29" ht="13.8" x14ac:dyDescent="0.25">
      <c r="A225" s="35" t="str">
        <f>IFERROR(INDEX('G-8 Condition Look up'!$I$4:$I$131,MATCH(F225,'G-8 Condition Look up'!$A$4:$A$131,0)),"")</f>
        <v/>
      </c>
      <c r="C225" s="363" t="str">
        <f>IFERROR(INDEX('G-1 All Habitats'!$AG$3:$AG$15,MATCH(D225,'G-1 All Habitats'!$AF$3:$AF$15,0)),"")</f>
        <v/>
      </c>
      <c r="D225" s="186"/>
      <c r="E225" s="275"/>
      <c r="F225" s="362" t="str">
        <f>IFERROR(INDEX('G-1 All Habitats'!$B$3:$B$130,MATCH(E225,'G-1 All Habitats'!$A$3:$A$130,0)),"")</f>
        <v/>
      </c>
      <c r="G225" s="598"/>
      <c r="H225" s="239" t="str">
        <f>IF(F225="","",VLOOKUP(F225,'G-1 All Habitats'!$B$2:$M$130,10,FALSE))</f>
        <v/>
      </c>
      <c r="I225" s="176" t="str">
        <f>IFERROR(VLOOKUP(H225,'G-1 All Habitats'!$V$3:$W$7,2,FALSE),"")</f>
        <v/>
      </c>
      <c r="J225" s="270"/>
      <c r="K225" s="176" t="str">
        <f>IFERROR(INDEX('G-8 Condition Look up'!$A$3:$H$131,MATCH(F225,'G-8 Condition Look up'!$A$3:$A$131,0),MATCH(J225,'G-8 Condition Look up'!$A$3:$H$3,0)),"")</f>
        <v/>
      </c>
      <c r="L225" s="173"/>
      <c r="M225" s="269" t="str">
        <f>IF(L225="","",IF(VLOOKUP(L225,'G-3 Multipliers'!$L$3:$N$6,2,FALSE)=0,"Spatial Data Missing",VLOOKUP(L225,'G-3 Multipliers'!$L$3:$N$6,2,FALSE)))</f>
        <v/>
      </c>
      <c r="N225" s="172" t="str">
        <f>IF(L225="","",IF(VLOOKUP(L225,'G-3 Multipliers'!$L$3:$N$6,3,FALSE)=0,"Spatial Data Missing",VLOOKUP(L225,'G-3 Multipliers'!$L$3:$N$6,3,FALSE)))</f>
        <v/>
      </c>
      <c r="O225" s="171" t="str">
        <f t="shared" si="15"/>
        <v/>
      </c>
      <c r="P225" s="261"/>
      <c r="Q225" s="261"/>
      <c r="R225" s="343" t="str">
        <f t="shared" si="16"/>
        <v/>
      </c>
      <c r="S225" s="352" t="str">
        <f t="shared" si="17"/>
        <v/>
      </c>
      <c r="T225" s="593" t="str">
        <f>IFERROR(IF(S225="Check Data","Check Data",VLOOKUP(S225,'G-4 Temporal multipliers'!$A$4:$C$37,3,FALSE)),"")</f>
        <v/>
      </c>
      <c r="U225" s="592" t="str">
        <f>IF(F225="","",VLOOKUP(F225,'G-3 Multipliers'!$A$2:$E$130,2,FALSE))</f>
        <v/>
      </c>
      <c r="V225" s="343" t="str">
        <f t="shared" si="18"/>
        <v/>
      </c>
      <c r="W225" s="343" t="str">
        <f>IF(E225="","",IF(AND(V225="Standard difficulty applied",O225&gt;P225),U225,IF(AND(V225="Low Difficulty - only applicable if all habitat created before losses",P225&gt;=O225),"Low",VLOOKUP(F225,'G-3 Multipliers'!$A$2:$E$130,4,FALSE))))</f>
        <v/>
      </c>
      <c r="X225" s="345" t="str">
        <f>IFERROR(IF(E225="","",VLOOKUP(W225, 'G-3 Multipliers'!$P$2:$Q$6,2,FALSE)),””)</f>
        <v/>
      </c>
      <c r="Y225" s="266"/>
      <c r="Z225" s="172" t="str">
        <f>IF(Y225="","",IF(VLOOKUP(Y225,'G-3 Multipliers'!$S$3:$T$9,2,FALSE)=0,"Spatial Data Missing",VLOOKUP(Y225,'G-3 Multipliers'!$S$3:$T$9,2,FALSE)))</f>
        <v/>
      </c>
      <c r="AA225" s="265" t="str">
        <f t="shared" si="19"/>
        <v/>
      </c>
      <c r="AB225" s="180"/>
      <c r="AC225" s="181"/>
    </row>
    <row r="226" spans="1:29" ht="13.8" x14ac:dyDescent="0.25">
      <c r="A226" s="35" t="str">
        <f>IFERROR(INDEX('G-8 Condition Look up'!$I$4:$I$131,MATCH(F226,'G-8 Condition Look up'!$A$4:$A$131,0)),"")</f>
        <v/>
      </c>
      <c r="C226" s="363" t="str">
        <f>IFERROR(INDEX('G-1 All Habitats'!$AG$3:$AG$15,MATCH(D226,'G-1 All Habitats'!$AF$3:$AF$15,0)),"")</f>
        <v/>
      </c>
      <c r="D226" s="186"/>
      <c r="E226" s="275"/>
      <c r="F226" s="362" t="str">
        <f>IFERROR(INDEX('G-1 All Habitats'!$B$3:$B$130,MATCH(E226,'G-1 All Habitats'!$A$3:$A$130,0)),"")</f>
        <v/>
      </c>
      <c r="G226" s="598"/>
      <c r="H226" s="239" t="str">
        <f>IF(F226="","",VLOOKUP(F226,'G-1 All Habitats'!$B$2:$M$130,10,FALSE))</f>
        <v/>
      </c>
      <c r="I226" s="176" t="str">
        <f>IFERROR(VLOOKUP(H226,'G-1 All Habitats'!$V$3:$W$7,2,FALSE),"")</f>
        <v/>
      </c>
      <c r="J226" s="270"/>
      <c r="K226" s="176" t="str">
        <f>IFERROR(INDEX('G-8 Condition Look up'!$A$3:$H$131,MATCH(F226,'G-8 Condition Look up'!$A$3:$A$131,0),MATCH(J226,'G-8 Condition Look up'!$A$3:$H$3,0)),"")</f>
        <v/>
      </c>
      <c r="L226" s="173"/>
      <c r="M226" s="269" t="str">
        <f>IF(L226="","",IF(VLOOKUP(L226,'G-3 Multipliers'!$L$3:$N$6,2,FALSE)=0,"Spatial Data Missing",VLOOKUP(L226,'G-3 Multipliers'!$L$3:$N$6,2,FALSE)))</f>
        <v/>
      </c>
      <c r="N226" s="172" t="str">
        <f>IF(L226="","",IF(VLOOKUP(L226,'G-3 Multipliers'!$L$3:$N$6,3,FALSE)=0,"Spatial Data Missing",VLOOKUP(L226,'G-3 Multipliers'!$L$3:$N$6,3,FALSE)))</f>
        <v/>
      </c>
      <c r="O226" s="171" t="str">
        <f t="shared" si="15"/>
        <v/>
      </c>
      <c r="P226" s="261"/>
      <c r="Q226" s="261"/>
      <c r="R226" s="343" t="str">
        <f t="shared" si="16"/>
        <v/>
      </c>
      <c r="S226" s="352" t="str">
        <f t="shared" si="17"/>
        <v/>
      </c>
      <c r="T226" s="593" t="str">
        <f>IFERROR(IF(S226="Check Data","Check Data",VLOOKUP(S226,'G-4 Temporal multipliers'!$A$4:$C$37,3,FALSE)),"")</f>
        <v/>
      </c>
      <c r="U226" s="592" t="str">
        <f>IF(F226="","",VLOOKUP(F226,'G-3 Multipliers'!$A$2:$E$130,2,FALSE))</f>
        <v/>
      </c>
      <c r="V226" s="343" t="str">
        <f t="shared" si="18"/>
        <v/>
      </c>
      <c r="W226" s="343" t="str">
        <f>IF(E226="","",IF(AND(V226="Standard difficulty applied",O226&gt;P226),U226,IF(AND(V226="Low Difficulty - only applicable if all habitat created before losses",P226&gt;=O226),"Low",VLOOKUP(F226,'G-3 Multipliers'!$A$2:$E$130,4,FALSE))))</f>
        <v/>
      </c>
      <c r="X226" s="345" t="str">
        <f>IFERROR(IF(E226="","",VLOOKUP(W226, 'G-3 Multipliers'!$P$2:$Q$6,2,FALSE)),””)</f>
        <v/>
      </c>
      <c r="Y226" s="266"/>
      <c r="Z226" s="172" t="str">
        <f>IF(Y226="","",IF(VLOOKUP(Y226,'G-3 Multipliers'!$S$3:$T$9,2,FALSE)=0,"Spatial Data Missing",VLOOKUP(Y226,'G-3 Multipliers'!$S$3:$T$9,2,FALSE)))</f>
        <v/>
      </c>
      <c r="AA226" s="265" t="str">
        <f t="shared" si="19"/>
        <v/>
      </c>
      <c r="AB226" s="180"/>
      <c r="AC226" s="181"/>
    </row>
    <row r="227" spans="1:29" ht="13.8" x14ac:dyDescent="0.25">
      <c r="A227" s="35" t="str">
        <f>IFERROR(INDEX('G-8 Condition Look up'!$I$4:$I$131,MATCH(F227,'G-8 Condition Look up'!$A$4:$A$131,0)),"")</f>
        <v/>
      </c>
      <c r="C227" s="363" t="str">
        <f>IFERROR(INDEX('G-1 All Habitats'!$AG$3:$AG$15,MATCH(D227,'G-1 All Habitats'!$AF$3:$AF$15,0)),"")</f>
        <v/>
      </c>
      <c r="D227" s="186"/>
      <c r="E227" s="275"/>
      <c r="F227" s="362" t="str">
        <f>IFERROR(INDEX('G-1 All Habitats'!$B$3:$B$130,MATCH(E227,'G-1 All Habitats'!$A$3:$A$130,0)),"")</f>
        <v/>
      </c>
      <c r="G227" s="598"/>
      <c r="H227" s="239" t="str">
        <f>IF(F227="","",VLOOKUP(F227,'G-1 All Habitats'!$B$2:$M$130,10,FALSE))</f>
        <v/>
      </c>
      <c r="I227" s="176" t="str">
        <f>IFERROR(VLOOKUP(H227,'G-1 All Habitats'!$V$3:$W$7,2,FALSE),"")</f>
        <v/>
      </c>
      <c r="J227" s="270"/>
      <c r="K227" s="176" t="str">
        <f>IFERROR(INDEX('G-8 Condition Look up'!$A$3:$H$131,MATCH(F227,'G-8 Condition Look up'!$A$3:$A$131,0),MATCH(J227,'G-8 Condition Look up'!$A$3:$H$3,0)),"")</f>
        <v/>
      </c>
      <c r="L227" s="173"/>
      <c r="M227" s="269" t="str">
        <f>IF(L227="","",IF(VLOOKUP(L227,'G-3 Multipliers'!$L$3:$N$6,2,FALSE)=0,"Spatial Data Missing",VLOOKUP(L227,'G-3 Multipliers'!$L$3:$N$6,2,FALSE)))</f>
        <v/>
      </c>
      <c r="N227" s="172" t="str">
        <f>IF(L227="","",IF(VLOOKUP(L227,'G-3 Multipliers'!$L$3:$N$6,3,FALSE)=0,"Spatial Data Missing",VLOOKUP(L227,'G-3 Multipliers'!$L$3:$N$6,3,FALSE)))</f>
        <v/>
      </c>
      <c r="O227" s="171" t="str">
        <f t="shared" si="15"/>
        <v/>
      </c>
      <c r="P227" s="261"/>
      <c r="Q227" s="261"/>
      <c r="R227" s="343" t="str">
        <f t="shared" si="16"/>
        <v/>
      </c>
      <c r="S227" s="352" t="str">
        <f t="shared" si="17"/>
        <v/>
      </c>
      <c r="T227" s="593" t="str">
        <f>IFERROR(IF(S227="Check Data","Check Data",VLOOKUP(S227,'G-4 Temporal multipliers'!$A$4:$C$37,3,FALSE)),"")</f>
        <v/>
      </c>
      <c r="U227" s="592" t="str">
        <f>IF(F227="","",VLOOKUP(F227,'G-3 Multipliers'!$A$2:$E$130,2,FALSE))</f>
        <v/>
      </c>
      <c r="V227" s="343" t="str">
        <f t="shared" si="18"/>
        <v/>
      </c>
      <c r="W227" s="343" t="str">
        <f>IF(E227="","",IF(AND(V227="Standard difficulty applied",O227&gt;P227),U227,IF(AND(V227="Low Difficulty - only applicable if all habitat created before losses",P227&gt;=O227),"Low",VLOOKUP(F227,'G-3 Multipliers'!$A$2:$E$130,4,FALSE))))</f>
        <v/>
      </c>
      <c r="X227" s="345" t="str">
        <f>IFERROR(IF(E227="","",VLOOKUP(W227, 'G-3 Multipliers'!$P$2:$Q$6,2,FALSE)),””)</f>
        <v/>
      </c>
      <c r="Y227" s="266"/>
      <c r="Z227" s="172" t="str">
        <f>IF(Y227="","",IF(VLOOKUP(Y227,'G-3 Multipliers'!$S$3:$T$9,2,FALSE)=0,"Spatial Data Missing",VLOOKUP(Y227,'G-3 Multipliers'!$S$3:$T$9,2,FALSE)))</f>
        <v/>
      </c>
      <c r="AA227" s="265" t="str">
        <f t="shared" si="19"/>
        <v/>
      </c>
      <c r="AB227" s="180"/>
      <c r="AC227" s="181"/>
    </row>
    <row r="228" spans="1:29" ht="13.8" x14ac:dyDescent="0.25">
      <c r="A228" s="35" t="str">
        <f>IFERROR(INDEX('G-8 Condition Look up'!$I$4:$I$131,MATCH(F228,'G-8 Condition Look up'!$A$4:$A$131,0)),"")</f>
        <v/>
      </c>
      <c r="C228" s="363" t="str">
        <f>IFERROR(INDEX('G-1 All Habitats'!$AG$3:$AG$15,MATCH(D228,'G-1 All Habitats'!$AF$3:$AF$15,0)),"")</f>
        <v/>
      </c>
      <c r="D228" s="186"/>
      <c r="E228" s="275"/>
      <c r="F228" s="362" t="str">
        <f>IFERROR(INDEX('G-1 All Habitats'!$B$3:$B$130,MATCH(E228,'G-1 All Habitats'!$A$3:$A$130,0)),"")</f>
        <v/>
      </c>
      <c r="G228" s="598"/>
      <c r="H228" s="239" t="str">
        <f>IF(F228="","",VLOOKUP(F228,'G-1 All Habitats'!$B$2:$M$130,10,FALSE))</f>
        <v/>
      </c>
      <c r="I228" s="176" t="str">
        <f>IFERROR(VLOOKUP(H228,'G-1 All Habitats'!$V$3:$W$7,2,FALSE),"")</f>
        <v/>
      </c>
      <c r="J228" s="270"/>
      <c r="K228" s="176" t="str">
        <f>IFERROR(INDEX('G-8 Condition Look up'!$A$3:$H$131,MATCH(F228,'G-8 Condition Look up'!$A$3:$A$131,0),MATCH(J228,'G-8 Condition Look up'!$A$3:$H$3,0)),"")</f>
        <v/>
      </c>
      <c r="L228" s="173"/>
      <c r="M228" s="269" t="str">
        <f>IF(L228="","",IF(VLOOKUP(L228,'G-3 Multipliers'!$L$3:$N$6,2,FALSE)=0,"Spatial Data Missing",VLOOKUP(L228,'G-3 Multipliers'!$L$3:$N$6,2,FALSE)))</f>
        <v/>
      </c>
      <c r="N228" s="172" t="str">
        <f>IF(L228="","",IF(VLOOKUP(L228,'G-3 Multipliers'!$L$3:$N$6,3,FALSE)=0,"Spatial Data Missing",VLOOKUP(L228,'G-3 Multipliers'!$L$3:$N$6,3,FALSE)))</f>
        <v/>
      </c>
      <c r="O228" s="171" t="str">
        <f t="shared" si="15"/>
        <v/>
      </c>
      <c r="P228" s="261"/>
      <c r="Q228" s="261"/>
      <c r="R228" s="343" t="str">
        <f t="shared" si="16"/>
        <v/>
      </c>
      <c r="S228" s="352" t="str">
        <f t="shared" si="17"/>
        <v/>
      </c>
      <c r="T228" s="593" t="str">
        <f>IFERROR(IF(S228="Check Data","Check Data",VLOOKUP(S228,'G-4 Temporal multipliers'!$A$4:$C$37,3,FALSE)),"")</f>
        <v/>
      </c>
      <c r="U228" s="592" t="str">
        <f>IF(F228="","",VLOOKUP(F228,'G-3 Multipliers'!$A$2:$E$130,2,FALSE))</f>
        <v/>
      </c>
      <c r="V228" s="343" t="str">
        <f t="shared" si="18"/>
        <v/>
      </c>
      <c r="W228" s="343" t="str">
        <f>IF(E228="","",IF(AND(V228="Standard difficulty applied",O228&gt;P228),U228,IF(AND(V228="Low Difficulty - only applicable if all habitat created before losses",P228&gt;=O228),"Low",VLOOKUP(F228,'G-3 Multipliers'!$A$2:$E$130,4,FALSE))))</f>
        <v/>
      </c>
      <c r="X228" s="345" t="str">
        <f>IFERROR(IF(E228="","",VLOOKUP(W228, 'G-3 Multipliers'!$P$2:$Q$6,2,FALSE)),””)</f>
        <v/>
      </c>
      <c r="Y228" s="266"/>
      <c r="Z228" s="172" t="str">
        <f>IF(Y228="","",IF(VLOOKUP(Y228,'G-3 Multipliers'!$S$3:$T$9,2,FALSE)=0,"Spatial Data Missing",VLOOKUP(Y228,'G-3 Multipliers'!$S$3:$T$9,2,FALSE)))</f>
        <v/>
      </c>
      <c r="AA228" s="265" t="str">
        <f t="shared" si="19"/>
        <v/>
      </c>
      <c r="AB228" s="180"/>
      <c r="AC228" s="181"/>
    </row>
    <row r="229" spans="1:29" ht="13.8" x14ac:dyDescent="0.25">
      <c r="A229" s="35" t="str">
        <f>IFERROR(INDEX('G-8 Condition Look up'!$I$4:$I$131,MATCH(F229,'G-8 Condition Look up'!$A$4:$A$131,0)),"")</f>
        <v/>
      </c>
      <c r="C229" s="363" t="str">
        <f>IFERROR(INDEX('G-1 All Habitats'!$AG$3:$AG$15,MATCH(D229,'G-1 All Habitats'!$AF$3:$AF$15,0)),"")</f>
        <v/>
      </c>
      <c r="D229" s="186"/>
      <c r="E229" s="275"/>
      <c r="F229" s="362" t="str">
        <f>IFERROR(INDEX('G-1 All Habitats'!$B$3:$B$130,MATCH(E229,'G-1 All Habitats'!$A$3:$A$130,0)),"")</f>
        <v/>
      </c>
      <c r="G229" s="598"/>
      <c r="H229" s="239" t="str">
        <f>IF(F229="","",VLOOKUP(F229,'G-1 All Habitats'!$B$2:$M$130,10,FALSE))</f>
        <v/>
      </c>
      <c r="I229" s="176" t="str">
        <f>IFERROR(VLOOKUP(H229,'G-1 All Habitats'!$V$3:$W$7,2,FALSE),"")</f>
        <v/>
      </c>
      <c r="J229" s="270"/>
      <c r="K229" s="176" t="str">
        <f>IFERROR(INDEX('G-8 Condition Look up'!$A$3:$H$131,MATCH(F229,'G-8 Condition Look up'!$A$3:$A$131,0),MATCH(J229,'G-8 Condition Look up'!$A$3:$H$3,0)),"")</f>
        <v/>
      </c>
      <c r="L229" s="173"/>
      <c r="M229" s="269" t="str">
        <f>IF(L229="","",IF(VLOOKUP(L229,'G-3 Multipliers'!$L$3:$N$6,2,FALSE)=0,"Spatial Data Missing",VLOOKUP(L229,'G-3 Multipliers'!$L$3:$N$6,2,FALSE)))</f>
        <v/>
      </c>
      <c r="N229" s="172" t="str">
        <f>IF(L229="","",IF(VLOOKUP(L229,'G-3 Multipliers'!$L$3:$N$6,3,FALSE)=0,"Spatial Data Missing",VLOOKUP(L229,'G-3 Multipliers'!$L$3:$N$6,3,FALSE)))</f>
        <v/>
      </c>
      <c r="O229" s="171" t="str">
        <f t="shared" si="15"/>
        <v/>
      </c>
      <c r="P229" s="261"/>
      <c r="Q229" s="261"/>
      <c r="R229" s="343" t="str">
        <f t="shared" si="16"/>
        <v/>
      </c>
      <c r="S229" s="352" t="str">
        <f t="shared" si="17"/>
        <v/>
      </c>
      <c r="T229" s="593" t="str">
        <f>IFERROR(IF(S229="Check Data","Check Data",VLOOKUP(S229,'G-4 Temporal multipliers'!$A$4:$C$37,3,FALSE)),"")</f>
        <v/>
      </c>
      <c r="U229" s="592" t="str">
        <f>IF(F229="","",VLOOKUP(F229,'G-3 Multipliers'!$A$2:$E$130,2,FALSE))</f>
        <v/>
      </c>
      <c r="V229" s="343" t="str">
        <f t="shared" si="18"/>
        <v/>
      </c>
      <c r="W229" s="343" t="str">
        <f>IF(E229="","",IF(AND(V229="Standard difficulty applied",O229&gt;P229),U229,IF(AND(V229="Low Difficulty - only applicable if all habitat created before losses",P229&gt;=O229),"Low",VLOOKUP(F229,'G-3 Multipliers'!$A$2:$E$130,4,FALSE))))</f>
        <v/>
      </c>
      <c r="X229" s="345" t="str">
        <f>IFERROR(IF(E229="","",VLOOKUP(W229, 'G-3 Multipliers'!$P$2:$Q$6,2,FALSE)),””)</f>
        <v/>
      </c>
      <c r="Y229" s="266"/>
      <c r="Z229" s="172" t="str">
        <f>IF(Y229="","",IF(VLOOKUP(Y229,'G-3 Multipliers'!$S$3:$T$9,2,FALSE)=0,"Spatial Data Missing",VLOOKUP(Y229,'G-3 Multipliers'!$S$3:$T$9,2,FALSE)))</f>
        <v/>
      </c>
      <c r="AA229" s="265" t="str">
        <f t="shared" si="19"/>
        <v/>
      </c>
      <c r="AB229" s="180"/>
      <c r="AC229" s="181"/>
    </row>
    <row r="230" spans="1:29" ht="13.8" x14ac:dyDescent="0.25">
      <c r="A230" s="35" t="str">
        <f>IFERROR(INDEX('G-8 Condition Look up'!$I$4:$I$131,MATCH(F230,'G-8 Condition Look up'!$A$4:$A$131,0)),"")</f>
        <v/>
      </c>
      <c r="C230" s="363" t="str">
        <f>IFERROR(INDEX('G-1 All Habitats'!$AG$3:$AG$15,MATCH(D230,'G-1 All Habitats'!$AF$3:$AF$15,0)),"")</f>
        <v/>
      </c>
      <c r="D230" s="186"/>
      <c r="E230" s="275"/>
      <c r="F230" s="362" t="str">
        <f>IFERROR(INDEX('G-1 All Habitats'!$B$3:$B$130,MATCH(E230,'G-1 All Habitats'!$A$3:$A$130,0)),"")</f>
        <v/>
      </c>
      <c r="G230" s="598"/>
      <c r="H230" s="239" t="str">
        <f>IF(F230="","",VLOOKUP(F230,'G-1 All Habitats'!$B$2:$M$130,10,FALSE))</f>
        <v/>
      </c>
      <c r="I230" s="176" t="str">
        <f>IFERROR(VLOOKUP(H230,'G-1 All Habitats'!$V$3:$W$7,2,FALSE),"")</f>
        <v/>
      </c>
      <c r="J230" s="270"/>
      <c r="K230" s="176" t="str">
        <f>IFERROR(INDEX('G-8 Condition Look up'!$A$3:$H$131,MATCH(F230,'G-8 Condition Look up'!$A$3:$A$131,0),MATCH(J230,'G-8 Condition Look up'!$A$3:$H$3,0)),"")</f>
        <v/>
      </c>
      <c r="L230" s="173"/>
      <c r="M230" s="269" t="str">
        <f>IF(L230="","",IF(VLOOKUP(L230,'G-3 Multipliers'!$L$3:$N$6,2,FALSE)=0,"Spatial Data Missing",VLOOKUP(L230,'G-3 Multipliers'!$L$3:$N$6,2,FALSE)))</f>
        <v/>
      </c>
      <c r="N230" s="172" t="str">
        <f>IF(L230="","",IF(VLOOKUP(L230,'G-3 Multipliers'!$L$3:$N$6,3,FALSE)=0,"Spatial Data Missing",VLOOKUP(L230,'G-3 Multipliers'!$L$3:$N$6,3,FALSE)))</f>
        <v/>
      </c>
      <c r="O230" s="171" t="str">
        <f t="shared" si="15"/>
        <v/>
      </c>
      <c r="P230" s="261"/>
      <c r="Q230" s="261"/>
      <c r="R230" s="343" t="str">
        <f t="shared" si="16"/>
        <v/>
      </c>
      <c r="S230" s="352" t="str">
        <f t="shared" si="17"/>
        <v/>
      </c>
      <c r="T230" s="593" t="str">
        <f>IFERROR(IF(S230="Check Data","Check Data",VLOOKUP(S230,'G-4 Temporal multipliers'!$A$4:$C$37,3,FALSE)),"")</f>
        <v/>
      </c>
      <c r="U230" s="592" t="str">
        <f>IF(F230="","",VLOOKUP(F230,'G-3 Multipliers'!$A$2:$E$130,2,FALSE))</f>
        <v/>
      </c>
      <c r="V230" s="343" t="str">
        <f t="shared" si="18"/>
        <v/>
      </c>
      <c r="W230" s="343" t="str">
        <f>IF(E230="","",IF(AND(V230="Standard difficulty applied",O230&gt;P230),U230,IF(AND(V230="Low Difficulty - only applicable if all habitat created before losses",P230&gt;=O230),"Low",VLOOKUP(F230,'G-3 Multipliers'!$A$2:$E$130,4,FALSE))))</f>
        <v/>
      </c>
      <c r="X230" s="345" t="str">
        <f>IFERROR(IF(E230="","",VLOOKUP(W230, 'G-3 Multipliers'!$P$2:$Q$6,2,FALSE)),””)</f>
        <v/>
      </c>
      <c r="Y230" s="266"/>
      <c r="Z230" s="172" t="str">
        <f>IF(Y230="","",IF(VLOOKUP(Y230,'G-3 Multipliers'!$S$3:$T$9,2,FALSE)=0,"Spatial Data Missing",VLOOKUP(Y230,'G-3 Multipliers'!$S$3:$T$9,2,FALSE)))</f>
        <v/>
      </c>
      <c r="AA230" s="265" t="str">
        <f t="shared" si="19"/>
        <v/>
      </c>
      <c r="AB230" s="180"/>
      <c r="AC230" s="181"/>
    </row>
    <row r="231" spans="1:29" ht="13.8" x14ac:dyDescent="0.25">
      <c r="A231" s="35" t="str">
        <f>IFERROR(INDEX('G-8 Condition Look up'!$I$4:$I$131,MATCH(F231,'G-8 Condition Look up'!$A$4:$A$131,0)),"")</f>
        <v/>
      </c>
      <c r="C231" s="363" t="str">
        <f>IFERROR(INDEX('G-1 All Habitats'!$AG$3:$AG$15,MATCH(D231,'G-1 All Habitats'!$AF$3:$AF$15,0)),"")</f>
        <v/>
      </c>
      <c r="D231" s="186"/>
      <c r="E231" s="275"/>
      <c r="F231" s="362" t="str">
        <f>IFERROR(INDEX('G-1 All Habitats'!$B$3:$B$130,MATCH(E231,'G-1 All Habitats'!$A$3:$A$130,0)),"")</f>
        <v/>
      </c>
      <c r="G231" s="598"/>
      <c r="H231" s="239" t="str">
        <f>IF(F231="","",VLOOKUP(F231,'G-1 All Habitats'!$B$2:$M$130,10,FALSE))</f>
        <v/>
      </c>
      <c r="I231" s="176" t="str">
        <f>IFERROR(VLOOKUP(H231,'G-1 All Habitats'!$V$3:$W$7,2,FALSE),"")</f>
        <v/>
      </c>
      <c r="J231" s="270"/>
      <c r="K231" s="176" t="str">
        <f>IFERROR(INDEX('G-8 Condition Look up'!$A$3:$H$131,MATCH(F231,'G-8 Condition Look up'!$A$3:$A$131,0),MATCH(J231,'G-8 Condition Look up'!$A$3:$H$3,0)),"")</f>
        <v/>
      </c>
      <c r="L231" s="173"/>
      <c r="M231" s="269" t="str">
        <f>IF(L231="","",IF(VLOOKUP(L231,'G-3 Multipliers'!$L$3:$N$6,2,FALSE)=0,"Spatial Data Missing",VLOOKUP(L231,'G-3 Multipliers'!$L$3:$N$6,2,FALSE)))</f>
        <v/>
      </c>
      <c r="N231" s="172" t="str">
        <f>IF(L231="","",IF(VLOOKUP(L231,'G-3 Multipliers'!$L$3:$N$6,3,FALSE)=0,"Spatial Data Missing",VLOOKUP(L231,'G-3 Multipliers'!$L$3:$N$6,3,FALSE)))</f>
        <v/>
      </c>
      <c r="O231" s="171" t="str">
        <f t="shared" si="15"/>
        <v/>
      </c>
      <c r="P231" s="261"/>
      <c r="Q231" s="261"/>
      <c r="R231" s="343" t="str">
        <f t="shared" si="16"/>
        <v/>
      </c>
      <c r="S231" s="352" t="str">
        <f t="shared" si="17"/>
        <v/>
      </c>
      <c r="T231" s="593" t="str">
        <f>IFERROR(IF(S231="Check Data","Check Data",VLOOKUP(S231,'G-4 Temporal multipliers'!$A$4:$C$37,3,FALSE)),"")</f>
        <v/>
      </c>
      <c r="U231" s="592" t="str">
        <f>IF(F231="","",VLOOKUP(F231,'G-3 Multipliers'!$A$2:$E$130,2,FALSE))</f>
        <v/>
      </c>
      <c r="V231" s="343" t="str">
        <f t="shared" si="18"/>
        <v/>
      </c>
      <c r="W231" s="343" t="str">
        <f>IF(E231="","",IF(AND(V231="Standard difficulty applied",O231&gt;P231),U231,IF(AND(V231="Low Difficulty - only applicable if all habitat created before losses",P231&gt;=O231),"Low",VLOOKUP(F231,'G-3 Multipliers'!$A$2:$E$130,4,FALSE))))</f>
        <v/>
      </c>
      <c r="X231" s="345" t="str">
        <f>IFERROR(IF(E231="","",VLOOKUP(W231, 'G-3 Multipliers'!$P$2:$Q$6,2,FALSE)),””)</f>
        <v/>
      </c>
      <c r="Y231" s="266"/>
      <c r="Z231" s="172" t="str">
        <f>IF(Y231="","",IF(VLOOKUP(Y231,'G-3 Multipliers'!$S$3:$T$9,2,FALSE)=0,"Spatial Data Missing",VLOOKUP(Y231,'G-3 Multipliers'!$S$3:$T$9,2,FALSE)))</f>
        <v/>
      </c>
      <c r="AA231" s="265" t="str">
        <f t="shared" si="19"/>
        <v/>
      </c>
      <c r="AB231" s="180"/>
      <c r="AC231" s="181"/>
    </row>
    <row r="232" spans="1:29" ht="13.8" x14ac:dyDescent="0.25">
      <c r="A232" s="35" t="str">
        <f>IFERROR(INDEX('G-8 Condition Look up'!$I$4:$I$131,MATCH(F232,'G-8 Condition Look up'!$A$4:$A$131,0)),"")</f>
        <v/>
      </c>
      <c r="C232" s="363" t="str">
        <f>IFERROR(INDEX('G-1 All Habitats'!$AG$3:$AG$15,MATCH(D232,'G-1 All Habitats'!$AF$3:$AF$15,0)),"")</f>
        <v/>
      </c>
      <c r="D232" s="186"/>
      <c r="E232" s="275"/>
      <c r="F232" s="362" t="str">
        <f>IFERROR(INDEX('G-1 All Habitats'!$B$3:$B$130,MATCH(E232,'G-1 All Habitats'!$A$3:$A$130,0)),"")</f>
        <v/>
      </c>
      <c r="G232" s="598"/>
      <c r="H232" s="239" t="str">
        <f>IF(F232="","",VLOOKUP(F232,'G-1 All Habitats'!$B$2:$M$130,10,FALSE))</f>
        <v/>
      </c>
      <c r="I232" s="176" t="str">
        <f>IFERROR(VLOOKUP(H232,'G-1 All Habitats'!$V$3:$W$7,2,FALSE),"")</f>
        <v/>
      </c>
      <c r="J232" s="270"/>
      <c r="K232" s="176" t="str">
        <f>IFERROR(INDEX('G-8 Condition Look up'!$A$3:$H$131,MATCH(F232,'G-8 Condition Look up'!$A$3:$A$131,0),MATCH(J232,'G-8 Condition Look up'!$A$3:$H$3,0)),"")</f>
        <v/>
      </c>
      <c r="L232" s="173"/>
      <c r="M232" s="269" t="str">
        <f>IF(L232="","",IF(VLOOKUP(L232,'G-3 Multipliers'!$L$3:$N$6,2,FALSE)=0,"Spatial Data Missing",VLOOKUP(L232,'G-3 Multipliers'!$L$3:$N$6,2,FALSE)))</f>
        <v/>
      </c>
      <c r="N232" s="172" t="str">
        <f>IF(L232="","",IF(VLOOKUP(L232,'G-3 Multipliers'!$L$3:$N$6,3,FALSE)=0,"Spatial Data Missing",VLOOKUP(L232,'G-3 Multipliers'!$L$3:$N$6,3,FALSE)))</f>
        <v/>
      </c>
      <c r="O232" s="171" t="str">
        <f t="shared" si="15"/>
        <v/>
      </c>
      <c r="P232" s="261"/>
      <c r="Q232" s="261"/>
      <c r="R232" s="343" t="str">
        <f t="shared" si="16"/>
        <v/>
      </c>
      <c r="S232" s="352" t="str">
        <f t="shared" si="17"/>
        <v/>
      </c>
      <c r="T232" s="593" t="str">
        <f>IFERROR(IF(S232="Check Data","Check Data",VLOOKUP(S232,'G-4 Temporal multipliers'!$A$4:$C$37,3,FALSE)),"")</f>
        <v/>
      </c>
      <c r="U232" s="592" t="str">
        <f>IF(F232="","",VLOOKUP(F232,'G-3 Multipliers'!$A$2:$E$130,2,FALSE))</f>
        <v/>
      </c>
      <c r="V232" s="343" t="str">
        <f t="shared" si="18"/>
        <v/>
      </c>
      <c r="W232" s="343" t="str">
        <f>IF(E232="","",IF(AND(V232="Standard difficulty applied",O232&gt;P232),U232,IF(AND(V232="Low Difficulty - only applicable if all habitat created before losses",P232&gt;=O232),"Low",VLOOKUP(F232,'G-3 Multipliers'!$A$2:$E$130,4,FALSE))))</f>
        <v/>
      </c>
      <c r="X232" s="345" t="str">
        <f>IFERROR(IF(E232="","",VLOOKUP(W232, 'G-3 Multipliers'!$P$2:$Q$6,2,FALSE)),””)</f>
        <v/>
      </c>
      <c r="Y232" s="266"/>
      <c r="Z232" s="172" t="str">
        <f>IF(Y232="","",IF(VLOOKUP(Y232,'G-3 Multipliers'!$S$3:$T$9,2,FALSE)=0,"Spatial Data Missing",VLOOKUP(Y232,'G-3 Multipliers'!$S$3:$T$9,2,FALSE)))</f>
        <v/>
      </c>
      <c r="AA232" s="265" t="str">
        <f t="shared" si="19"/>
        <v/>
      </c>
      <c r="AB232" s="180"/>
      <c r="AC232" s="181"/>
    </row>
    <row r="233" spans="1:29" ht="13.8" x14ac:dyDescent="0.25">
      <c r="A233" s="35" t="str">
        <f>IFERROR(INDEX('G-8 Condition Look up'!$I$4:$I$131,MATCH(F233,'G-8 Condition Look up'!$A$4:$A$131,0)),"")</f>
        <v/>
      </c>
      <c r="C233" s="363" t="str">
        <f>IFERROR(INDEX('G-1 All Habitats'!$AG$3:$AG$15,MATCH(D233,'G-1 All Habitats'!$AF$3:$AF$15,0)),"")</f>
        <v/>
      </c>
      <c r="D233" s="186"/>
      <c r="E233" s="275"/>
      <c r="F233" s="362" t="str">
        <f>IFERROR(INDEX('G-1 All Habitats'!$B$3:$B$130,MATCH(E233,'G-1 All Habitats'!$A$3:$A$130,0)),"")</f>
        <v/>
      </c>
      <c r="G233" s="598"/>
      <c r="H233" s="239" t="str">
        <f>IF(F233="","",VLOOKUP(F233,'G-1 All Habitats'!$B$2:$M$130,10,FALSE))</f>
        <v/>
      </c>
      <c r="I233" s="176" t="str">
        <f>IFERROR(VLOOKUP(H233,'G-1 All Habitats'!$V$3:$W$7,2,FALSE),"")</f>
        <v/>
      </c>
      <c r="J233" s="270"/>
      <c r="K233" s="176" t="str">
        <f>IFERROR(INDEX('G-8 Condition Look up'!$A$3:$H$131,MATCH(F233,'G-8 Condition Look up'!$A$3:$A$131,0),MATCH(J233,'G-8 Condition Look up'!$A$3:$H$3,0)),"")</f>
        <v/>
      </c>
      <c r="L233" s="173"/>
      <c r="M233" s="269" t="str">
        <f>IF(L233="","",IF(VLOOKUP(L233,'G-3 Multipliers'!$L$3:$N$6,2,FALSE)=0,"Spatial Data Missing",VLOOKUP(L233,'G-3 Multipliers'!$L$3:$N$6,2,FALSE)))</f>
        <v/>
      </c>
      <c r="N233" s="172" t="str">
        <f>IF(L233="","",IF(VLOOKUP(L233,'G-3 Multipliers'!$L$3:$N$6,3,FALSE)=0,"Spatial Data Missing",VLOOKUP(L233,'G-3 Multipliers'!$L$3:$N$6,3,FALSE)))</f>
        <v/>
      </c>
      <c r="O233" s="171" t="str">
        <f t="shared" si="15"/>
        <v/>
      </c>
      <c r="P233" s="261"/>
      <c r="Q233" s="261"/>
      <c r="R233" s="343" t="str">
        <f t="shared" si="16"/>
        <v/>
      </c>
      <c r="S233" s="352" t="str">
        <f t="shared" si="17"/>
        <v/>
      </c>
      <c r="T233" s="593" t="str">
        <f>IFERROR(IF(S233="Check Data","Check Data",VLOOKUP(S233,'G-4 Temporal multipliers'!$A$4:$C$37,3,FALSE)),"")</f>
        <v/>
      </c>
      <c r="U233" s="592" t="str">
        <f>IF(F233="","",VLOOKUP(F233,'G-3 Multipliers'!$A$2:$E$130,2,FALSE))</f>
        <v/>
      </c>
      <c r="V233" s="343" t="str">
        <f t="shared" si="18"/>
        <v/>
      </c>
      <c r="W233" s="343" t="str">
        <f>IF(E233="","",IF(AND(V233="Standard difficulty applied",O233&gt;P233),U233,IF(AND(V233="Low Difficulty - only applicable if all habitat created before losses",P233&gt;=O233),"Low",VLOOKUP(F233,'G-3 Multipliers'!$A$2:$E$130,4,FALSE))))</f>
        <v/>
      </c>
      <c r="X233" s="345" t="str">
        <f>IFERROR(IF(E233="","",VLOOKUP(W233, 'G-3 Multipliers'!$P$2:$Q$6,2,FALSE)),””)</f>
        <v/>
      </c>
      <c r="Y233" s="266"/>
      <c r="Z233" s="172" t="str">
        <f>IF(Y233="","",IF(VLOOKUP(Y233,'G-3 Multipliers'!$S$3:$T$9,2,FALSE)=0,"Spatial Data Missing",VLOOKUP(Y233,'G-3 Multipliers'!$S$3:$T$9,2,FALSE)))</f>
        <v/>
      </c>
      <c r="AA233" s="265" t="str">
        <f t="shared" si="19"/>
        <v/>
      </c>
      <c r="AB233" s="180"/>
      <c r="AC233" s="181"/>
    </row>
    <row r="234" spans="1:29" ht="13.8" x14ac:dyDescent="0.25">
      <c r="A234" s="35" t="str">
        <f>IFERROR(INDEX('G-8 Condition Look up'!$I$4:$I$131,MATCH(F234,'G-8 Condition Look up'!$A$4:$A$131,0)),"")</f>
        <v/>
      </c>
      <c r="C234" s="363" t="str">
        <f>IFERROR(INDEX('G-1 All Habitats'!$AG$3:$AG$15,MATCH(D234,'G-1 All Habitats'!$AF$3:$AF$15,0)),"")</f>
        <v/>
      </c>
      <c r="D234" s="186"/>
      <c r="E234" s="275"/>
      <c r="F234" s="362" t="str">
        <f>IFERROR(INDEX('G-1 All Habitats'!$B$3:$B$130,MATCH(E234,'G-1 All Habitats'!$A$3:$A$130,0)),"")</f>
        <v/>
      </c>
      <c r="G234" s="598"/>
      <c r="H234" s="239" t="str">
        <f>IF(F234="","",VLOOKUP(F234,'G-1 All Habitats'!$B$2:$M$130,10,FALSE))</f>
        <v/>
      </c>
      <c r="I234" s="176" t="str">
        <f>IFERROR(VLOOKUP(H234,'G-1 All Habitats'!$V$3:$W$7,2,FALSE),"")</f>
        <v/>
      </c>
      <c r="J234" s="270"/>
      <c r="K234" s="176" t="str">
        <f>IFERROR(INDEX('G-8 Condition Look up'!$A$3:$H$131,MATCH(F234,'G-8 Condition Look up'!$A$3:$A$131,0),MATCH(J234,'G-8 Condition Look up'!$A$3:$H$3,0)),"")</f>
        <v/>
      </c>
      <c r="L234" s="173"/>
      <c r="M234" s="269" t="str">
        <f>IF(L234="","",IF(VLOOKUP(L234,'G-3 Multipliers'!$L$3:$N$6,2,FALSE)=0,"Spatial Data Missing",VLOOKUP(L234,'G-3 Multipliers'!$L$3:$N$6,2,FALSE)))</f>
        <v/>
      </c>
      <c r="N234" s="172" t="str">
        <f>IF(L234="","",IF(VLOOKUP(L234,'G-3 Multipliers'!$L$3:$N$6,3,FALSE)=0,"Spatial Data Missing",VLOOKUP(L234,'G-3 Multipliers'!$L$3:$N$6,3,FALSE)))</f>
        <v/>
      </c>
      <c r="O234" s="171" t="str">
        <f t="shared" si="15"/>
        <v/>
      </c>
      <c r="P234" s="261"/>
      <c r="Q234" s="261"/>
      <c r="R234" s="343" t="str">
        <f t="shared" si="16"/>
        <v/>
      </c>
      <c r="S234" s="352" t="str">
        <f t="shared" si="17"/>
        <v/>
      </c>
      <c r="T234" s="593" t="str">
        <f>IFERROR(IF(S234="Check Data","Check Data",VLOOKUP(S234,'G-4 Temporal multipliers'!$A$4:$C$37,3,FALSE)),"")</f>
        <v/>
      </c>
      <c r="U234" s="592" t="str">
        <f>IF(F234="","",VLOOKUP(F234,'G-3 Multipliers'!$A$2:$E$130,2,FALSE))</f>
        <v/>
      </c>
      <c r="V234" s="343" t="str">
        <f t="shared" si="18"/>
        <v/>
      </c>
      <c r="W234" s="343" t="str">
        <f>IF(E234="","",IF(AND(V234="Standard difficulty applied",O234&gt;P234),U234,IF(AND(V234="Low Difficulty - only applicable if all habitat created before losses",P234&gt;=O234),"Low",VLOOKUP(F234,'G-3 Multipliers'!$A$2:$E$130,4,FALSE))))</f>
        <v/>
      </c>
      <c r="X234" s="345" t="str">
        <f>IFERROR(IF(E234="","",VLOOKUP(W234, 'G-3 Multipliers'!$P$2:$Q$6,2,FALSE)),””)</f>
        <v/>
      </c>
      <c r="Y234" s="266"/>
      <c r="Z234" s="172" t="str">
        <f>IF(Y234="","",IF(VLOOKUP(Y234,'G-3 Multipliers'!$S$3:$T$9,2,FALSE)=0,"Spatial Data Missing",VLOOKUP(Y234,'G-3 Multipliers'!$S$3:$T$9,2,FALSE)))</f>
        <v/>
      </c>
      <c r="AA234" s="265" t="str">
        <f t="shared" si="19"/>
        <v/>
      </c>
      <c r="AB234" s="180"/>
      <c r="AC234" s="181"/>
    </row>
    <row r="235" spans="1:29" ht="13.8" x14ac:dyDescent="0.25">
      <c r="A235" s="35" t="str">
        <f>IFERROR(INDEX('G-8 Condition Look up'!$I$4:$I$131,MATCH(F235,'G-8 Condition Look up'!$A$4:$A$131,0)),"")</f>
        <v/>
      </c>
      <c r="C235" s="363" t="str">
        <f>IFERROR(INDEX('G-1 All Habitats'!$AG$3:$AG$15,MATCH(D235,'G-1 All Habitats'!$AF$3:$AF$15,0)),"")</f>
        <v/>
      </c>
      <c r="D235" s="186"/>
      <c r="E235" s="275"/>
      <c r="F235" s="362" t="str">
        <f>IFERROR(INDEX('G-1 All Habitats'!$B$3:$B$130,MATCH(E235,'G-1 All Habitats'!$A$3:$A$130,0)),"")</f>
        <v/>
      </c>
      <c r="G235" s="598"/>
      <c r="H235" s="239" t="str">
        <f>IF(F235="","",VLOOKUP(F235,'G-1 All Habitats'!$B$2:$M$130,10,FALSE))</f>
        <v/>
      </c>
      <c r="I235" s="176" t="str">
        <f>IFERROR(VLOOKUP(H235,'G-1 All Habitats'!$V$3:$W$7,2,FALSE),"")</f>
        <v/>
      </c>
      <c r="J235" s="270"/>
      <c r="K235" s="176" t="str">
        <f>IFERROR(INDEX('G-8 Condition Look up'!$A$3:$H$131,MATCH(F235,'G-8 Condition Look up'!$A$3:$A$131,0),MATCH(J235,'G-8 Condition Look up'!$A$3:$H$3,0)),"")</f>
        <v/>
      </c>
      <c r="L235" s="173"/>
      <c r="M235" s="269" t="str">
        <f>IF(L235="","",IF(VLOOKUP(L235,'G-3 Multipliers'!$L$3:$N$6,2,FALSE)=0,"Spatial Data Missing",VLOOKUP(L235,'G-3 Multipliers'!$L$3:$N$6,2,FALSE)))</f>
        <v/>
      </c>
      <c r="N235" s="172" t="str">
        <f>IF(L235="","",IF(VLOOKUP(L235,'G-3 Multipliers'!$L$3:$N$6,3,FALSE)=0,"Spatial Data Missing",VLOOKUP(L235,'G-3 Multipliers'!$L$3:$N$6,3,FALSE)))</f>
        <v/>
      </c>
      <c r="O235" s="171" t="str">
        <f t="shared" si="15"/>
        <v/>
      </c>
      <c r="P235" s="261"/>
      <c r="Q235" s="261"/>
      <c r="R235" s="343" t="str">
        <f t="shared" si="16"/>
        <v/>
      </c>
      <c r="S235" s="352" t="str">
        <f t="shared" si="17"/>
        <v/>
      </c>
      <c r="T235" s="593" t="str">
        <f>IFERROR(IF(S235="Check Data","Check Data",VLOOKUP(S235,'G-4 Temporal multipliers'!$A$4:$C$37,3,FALSE)),"")</f>
        <v/>
      </c>
      <c r="U235" s="592" t="str">
        <f>IF(F235="","",VLOOKUP(F235,'G-3 Multipliers'!$A$2:$E$130,2,FALSE))</f>
        <v/>
      </c>
      <c r="V235" s="343" t="str">
        <f t="shared" si="18"/>
        <v/>
      </c>
      <c r="W235" s="343" t="str">
        <f>IF(E235="","",IF(AND(V235="Standard difficulty applied",O235&gt;P235),U235,IF(AND(V235="Low Difficulty - only applicable if all habitat created before losses",P235&gt;=O235),"Low",VLOOKUP(F235,'G-3 Multipliers'!$A$2:$E$130,4,FALSE))))</f>
        <v/>
      </c>
      <c r="X235" s="345" t="str">
        <f>IFERROR(IF(E235="","",VLOOKUP(W235, 'G-3 Multipliers'!$P$2:$Q$6,2,FALSE)),””)</f>
        <v/>
      </c>
      <c r="Y235" s="266"/>
      <c r="Z235" s="172" t="str">
        <f>IF(Y235="","",IF(VLOOKUP(Y235,'G-3 Multipliers'!$S$3:$T$9,2,FALSE)=0,"Spatial Data Missing",VLOOKUP(Y235,'G-3 Multipliers'!$S$3:$T$9,2,FALSE)))</f>
        <v/>
      </c>
      <c r="AA235" s="265" t="str">
        <f t="shared" si="19"/>
        <v/>
      </c>
      <c r="AB235" s="180"/>
      <c r="AC235" s="181"/>
    </row>
    <row r="236" spans="1:29" ht="13.8" x14ac:dyDescent="0.25">
      <c r="A236" s="35" t="str">
        <f>IFERROR(INDEX('G-8 Condition Look up'!$I$4:$I$131,MATCH(F236,'G-8 Condition Look up'!$A$4:$A$131,0)),"")</f>
        <v/>
      </c>
      <c r="C236" s="363" t="str">
        <f>IFERROR(INDEX('G-1 All Habitats'!$AG$3:$AG$15,MATCH(D236,'G-1 All Habitats'!$AF$3:$AF$15,0)),"")</f>
        <v/>
      </c>
      <c r="D236" s="186"/>
      <c r="E236" s="275"/>
      <c r="F236" s="362" t="str">
        <f>IFERROR(INDEX('G-1 All Habitats'!$B$3:$B$130,MATCH(E236,'G-1 All Habitats'!$A$3:$A$130,0)),"")</f>
        <v/>
      </c>
      <c r="G236" s="598"/>
      <c r="H236" s="239" t="str">
        <f>IF(F236="","",VLOOKUP(F236,'G-1 All Habitats'!$B$2:$M$130,10,FALSE))</f>
        <v/>
      </c>
      <c r="I236" s="176" t="str">
        <f>IFERROR(VLOOKUP(H236,'G-1 All Habitats'!$V$3:$W$7,2,FALSE),"")</f>
        <v/>
      </c>
      <c r="J236" s="270"/>
      <c r="K236" s="176" t="str">
        <f>IFERROR(INDEX('G-8 Condition Look up'!$A$3:$H$131,MATCH(F236,'G-8 Condition Look up'!$A$3:$A$131,0),MATCH(J236,'G-8 Condition Look up'!$A$3:$H$3,0)),"")</f>
        <v/>
      </c>
      <c r="L236" s="173"/>
      <c r="M236" s="269" t="str">
        <f>IF(L236="","",IF(VLOOKUP(L236,'G-3 Multipliers'!$L$3:$N$6,2,FALSE)=0,"Spatial Data Missing",VLOOKUP(L236,'G-3 Multipliers'!$L$3:$N$6,2,FALSE)))</f>
        <v/>
      </c>
      <c r="N236" s="172" t="str">
        <f>IF(L236="","",IF(VLOOKUP(L236,'G-3 Multipliers'!$L$3:$N$6,3,FALSE)=0,"Spatial Data Missing",VLOOKUP(L236,'G-3 Multipliers'!$L$3:$N$6,3,FALSE)))</f>
        <v/>
      </c>
      <c r="O236" s="171" t="str">
        <f t="shared" si="15"/>
        <v/>
      </c>
      <c r="P236" s="261"/>
      <c r="Q236" s="261"/>
      <c r="R236" s="343" t="str">
        <f t="shared" si="16"/>
        <v/>
      </c>
      <c r="S236" s="352" t="str">
        <f t="shared" si="17"/>
        <v/>
      </c>
      <c r="T236" s="593" t="str">
        <f>IFERROR(IF(S236="Check Data","Check Data",VLOOKUP(S236,'G-4 Temporal multipliers'!$A$4:$C$37,3,FALSE)),"")</f>
        <v/>
      </c>
      <c r="U236" s="592" t="str">
        <f>IF(F236="","",VLOOKUP(F236,'G-3 Multipliers'!$A$2:$E$130,2,FALSE))</f>
        <v/>
      </c>
      <c r="V236" s="343" t="str">
        <f t="shared" si="18"/>
        <v/>
      </c>
      <c r="W236" s="343" t="str">
        <f>IF(E236="","",IF(AND(V236="Standard difficulty applied",O236&gt;P236),U236,IF(AND(V236="Low Difficulty - only applicable if all habitat created before losses",P236&gt;=O236),"Low",VLOOKUP(F236,'G-3 Multipliers'!$A$2:$E$130,4,FALSE))))</f>
        <v/>
      </c>
      <c r="X236" s="345" t="str">
        <f>IFERROR(IF(E236="","",VLOOKUP(W236, 'G-3 Multipliers'!$P$2:$Q$6,2,FALSE)),””)</f>
        <v/>
      </c>
      <c r="Y236" s="266"/>
      <c r="Z236" s="172" t="str">
        <f>IF(Y236="","",IF(VLOOKUP(Y236,'G-3 Multipliers'!$S$3:$T$9,2,FALSE)=0,"Spatial Data Missing",VLOOKUP(Y236,'G-3 Multipliers'!$S$3:$T$9,2,FALSE)))</f>
        <v/>
      </c>
      <c r="AA236" s="265" t="str">
        <f t="shared" si="19"/>
        <v/>
      </c>
      <c r="AB236" s="180"/>
      <c r="AC236" s="181"/>
    </row>
    <row r="237" spans="1:29" ht="13.8" x14ac:dyDescent="0.25">
      <c r="A237" s="35" t="str">
        <f>IFERROR(INDEX('G-8 Condition Look up'!$I$4:$I$131,MATCH(F237,'G-8 Condition Look up'!$A$4:$A$131,0)),"")</f>
        <v/>
      </c>
      <c r="C237" s="363" t="str">
        <f>IFERROR(INDEX('G-1 All Habitats'!$AG$3:$AG$15,MATCH(D237,'G-1 All Habitats'!$AF$3:$AF$15,0)),"")</f>
        <v/>
      </c>
      <c r="D237" s="186"/>
      <c r="E237" s="275"/>
      <c r="F237" s="362" t="str">
        <f>IFERROR(INDEX('G-1 All Habitats'!$B$3:$B$130,MATCH(E237,'G-1 All Habitats'!$A$3:$A$130,0)),"")</f>
        <v/>
      </c>
      <c r="G237" s="598"/>
      <c r="H237" s="239" t="str">
        <f>IF(F237="","",VLOOKUP(F237,'G-1 All Habitats'!$B$2:$M$130,10,FALSE))</f>
        <v/>
      </c>
      <c r="I237" s="176" t="str">
        <f>IFERROR(VLOOKUP(H237,'G-1 All Habitats'!$V$3:$W$7,2,FALSE),"")</f>
        <v/>
      </c>
      <c r="J237" s="270"/>
      <c r="K237" s="176" t="str">
        <f>IFERROR(INDEX('G-8 Condition Look up'!$A$3:$H$131,MATCH(F237,'G-8 Condition Look up'!$A$3:$A$131,0),MATCH(J237,'G-8 Condition Look up'!$A$3:$H$3,0)),"")</f>
        <v/>
      </c>
      <c r="L237" s="173"/>
      <c r="M237" s="269" t="str">
        <f>IF(L237="","",IF(VLOOKUP(L237,'G-3 Multipliers'!$L$3:$N$6,2,FALSE)=0,"Spatial Data Missing",VLOOKUP(L237,'G-3 Multipliers'!$L$3:$N$6,2,FALSE)))</f>
        <v/>
      </c>
      <c r="N237" s="172" t="str">
        <f>IF(L237="","",IF(VLOOKUP(L237,'G-3 Multipliers'!$L$3:$N$6,3,FALSE)=0,"Spatial Data Missing",VLOOKUP(L237,'G-3 Multipliers'!$L$3:$N$6,3,FALSE)))</f>
        <v/>
      </c>
      <c r="O237" s="171" t="str">
        <f t="shared" si="15"/>
        <v/>
      </c>
      <c r="P237" s="261"/>
      <c r="Q237" s="261"/>
      <c r="R237" s="343" t="str">
        <f t="shared" si="16"/>
        <v/>
      </c>
      <c r="S237" s="352" t="str">
        <f t="shared" si="17"/>
        <v/>
      </c>
      <c r="T237" s="593" t="str">
        <f>IFERROR(IF(S237="Check Data","Check Data",VLOOKUP(S237,'G-4 Temporal multipliers'!$A$4:$C$37,3,FALSE)),"")</f>
        <v/>
      </c>
      <c r="U237" s="592" t="str">
        <f>IF(F237="","",VLOOKUP(F237,'G-3 Multipliers'!$A$2:$E$130,2,FALSE))</f>
        <v/>
      </c>
      <c r="V237" s="343" t="str">
        <f t="shared" si="18"/>
        <v/>
      </c>
      <c r="W237" s="343" t="str">
        <f>IF(E237="","",IF(AND(V237="Standard difficulty applied",O237&gt;P237),U237,IF(AND(V237="Low Difficulty - only applicable if all habitat created before losses",P237&gt;=O237),"Low",VLOOKUP(F237,'G-3 Multipliers'!$A$2:$E$130,4,FALSE))))</f>
        <v/>
      </c>
      <c r="X237" s="345" t="str">
        <f>IFERROR(IF(E237="","",VLOOKUP(W237, 'G-3 Multipliers'!$P$2:$Q$6,2,FALSE)),””)</f>
        <v/>
      </c>
      <c r="Y237" s="266"/>
      <c r="Z237" s="172" t="str">
        <f>IF(Y237="","",IF(VLOOKUP(Y237,'G-3 Multipliers'!$S$3:$T$9,2,FALSE)=0,"Spatial Data Missing",VLOOKUP(Y237,'G-3 Multipliers'!$S$3:$T$9,2,FALSE)))</f>
        <v/>
      </c>
      <c r="AA237" s="265" t="str">
        <f t="shared" si="19"/>
        <v/>
      </c>
      <c r="AB237" s="180"/>
      <c r="AC237" s="181"/>
    </row>
    <row r="238" spans="1:29" ht="13.8" x14ac:dyDescent="0.25">
      <c r="A238" s="35" t="str">
        <f>IFERROR(INDEX('G-8 Condition Look up'!$I$4:$I$131,MATCH(F238,'G-8 Condition Look up'!$A$4:$A$131,0)),"")</f>
        <v/>
      </c>
      <c r="C238" s="363" t="str">
        <f>IFERROR(INDEX('G-1 All Habitats'!$AG$3:$AG$15,MATCH(D238,'G-1 All Habitats'!$AF$3:$AF$15,0)),"")</f>
        <v/>
      </c>
      <c r="D238" s="186"/>
      <c r="E238" s="275"/>
      <c r="F238" s="362" t="str">
        <f>IFERROR(INDEX('G-1 All Habitats'!$B$3:$B$130,MATCH(E238,'G-1 All Habitats'!$A$3:$A$130,0)),"")</f>
        <v/>
      </c>
      <c r="G238" s="598"/>
      <c r="H238" s="239" t="str">
        <f>IF(F238="","",VLOOKUP(F238,'G-1 All Habitats'!$B$2:$M$130,10,FALSE))</f>
        <v/>
      </c>
      <c r="I238" s="176" t="str">
        <f>IFERROR(VLOOKUP(H238,'G-1 All Habitats'!$V$3:$W$7,2,FALSE),"")</f>
        <v/>
      </c>
      <c r="J238" s="270"/>
      <c r="K238" s="176" t="str">
        <f>IFERROR(INDEX('G-8 Condition Look up'!$A$3:$H$131,MATCH(F238,'G-8 Condition Look up'!$A$3:$A$131,0),MATCH(J238,'G-8 Condition Look up'!$A$3:$H$3,0)),"")</f>
        <v/>
      </c>
      <c r="L238" s="173"/>
      <c r="M238" s="269" t="str">
        <f>IF(L238="","",IF(VLOOKUP(L238,'G-3 Multipliers'!$L$3:$N$6,2,FALSE)=0,"Spatial Data Missing",VLOOKUP(L238,'G-3 Multipliers'!$L$3:$N$6,2,FALSE)))</f>
        <v/>
      </c>
      <c r="N238" s="172" t="str">
        <f>IF(L238="","",IF(VLOOKUP(L238,'G-3 Multipliers'!$L$3:$N$6,3,FALSE)=0,"Spatial Data Missing",VLOOKUP(L238,'G-3 Multipliers'!$L$3:$N$6,3,FALSE)))</f>
        <v/>
      </c>
      <c r="O238" s="171" t="str">
        <f t="shared" si="15"/>
        <v/>
      </c>
      <c r="P238" s="261"/>
      <c r="Q238" s="261"/>
      <c r="R238" s="343" t="str">
        <f t="shared" si="16"/>
        <v/>
      </c>
      <c r="S238" s="352" t="str">
        <f t="shared" si="17"/>
        <v/>
      </c>
      <c r="T238" s="593" t="str">
        <f>IFERROR(IF(S238="Check Data","Check Data",VLOOKUP(S238,'G-4 Temporal multipliers'!$A$4:$C$37,3,FALSE)),"")</f>
        <v/>
      </c>
      <c r="U238" s="592" t="str">
        <f>IF(F238="","",VLOOKUP(F238,'G-3 Multipliers'!$A$2:$E$130,2,FALSE))</f>
        <v/>
      </c>
      <c r="V238" s="343" t="str">
        <f t="shared" si="18"/>
        <v/>
      </c>
      <c r="W238" s="343" t="str">
        <f>IF(E238="","",IF(AND(V238="Standard difficulty applied",O238&gt;P238),U238,IF(AND(V238="Low Difficulty - only applicable if all habitat created before losses",P238&gt;=O238),"Low",VLOOKUP(F238,'G-3 Multipliers'!$A$2:$E$130,4,FALSE))))</f>
        <v/>
      </c>
      <c r="X238" s="345" t="str">
        <f>IFERROR(IF(E238="","",VLOOKUP(W238, 'G-3 Multipliers'!$P$2:$Q$6,2,FALSE)),””)</f>
        <v/>
      </c>
      <c r="Y238" s="266"/>
      <c r="Z238" s="172" t="str">
        <f>IF(Y238="","",IF(VLOOKUP(Y238,'G-3 Multipliers'!$S$3:$T$9,2,FALSE)=0,"Spatial Data Missing",VLOOKUP(Y238,'G-3 Multipliers'!$S$3:$T$9,2,FALSE)))</f>
        <v/>
      </c>
      <c r="AA238" s="265" t="str">
        <f t="shared" si="19"/>
        <v/>
      </c>
      <c r="AB238" s="180"/>
      <c r="AC238" s="181"/>
    </row>
    <row r="239" spans="1:29" ht="13.8" x14ac:dyDescent="0.25">
      <c r="A239" s="35" t="str">
        <f>IFERROR(INDEX('G-8 Condition Look up'!$I$4:$I$131,MATCH(F239,'G-8 Condition Look up'!$A$4:$A$131,0)),"")</f>
        <v/>
      </c>
      <c r="C239" s="363" t="str">
        <f>IFERROR(INDEX('G-1 All Habitats'!$AG$3:$AG$15,MATCH(D239,'G-1 All Habitats'!$AF$3:$AF$15,0)),"")</f>
        <v/>
      </c>
      <c r="D239" s="186"/>
      <c r="E239" s="275"/>
      <c r="F239" s="362" t="str">
        <f>IFERROR(INDEX('G-1 All Habitats'!$B$3:$B$130,MATCH(E239,'G-1 All Habitats'!$A$3:$A$130,0)),"")</f>
        <v/>
      </c>
      <c r="G239" s="598"/>
      <c r="H239" s="239" t="str">
        <f>IF(F239="","",VLOOKUP(F239,'G-1 All Habitats'!$B$2:$M$130,10,FALSE))</f>
        <v/>
      </c>
      <c r="I239" s="176" t="str">
        <f>IFERROR(VLOOKUP(H239,'G-1 All Habitats'!$V$3:$W$7,2,FALSE),"")</f>
        <v/>
      </c>
      <c r="J239" s="270"/>
      <c r="K239" s="176" t="str">
        <f>IFERROR(INDEX('G-8 Condition Look up'!$A$3:$H$131,MATCH(F239,'G-8 Condition Look up'!$A$3:$A$131,0),MATCH(J239,'G-8 Condition Look up'!$A$3:$H$3,0)),"")</f>
        <v/>
      </c>
      <c r="L239" s="173"/>
      <c r="M239" s="269" t="str">
        <f>IF(L239="","",IF(VLOOKUP(L239,'G-3 Multipliers'!$L$3:$N$6,2,FALSE)=0,"Spatial Data Missing",VLOOKUP(L239,'G-3 Multipliers'!$L$3:$N$6,2,FALSE)))</f>
        <v/>
      </c>
      <c r="N239" s="172" t="str">
        <f>IF(L239="","",IF(VLOOKUP(L239,'G-3 Multipliers'!$L$3:$N$6,3,FALSE)=0,"Spatial Data Missing",VLOOKUP(L239,'G-3 Multipliers'!$L$3:$N$6,3,FALSE)))</f>
        <v/>
      </c>
      <c r="O239" s="171" t="str">
        <f t="shared" si="15"/>
        <v/>
      </c>
      <c r="P239" s="261"/>
      <c r="Q239" s="261"/>
      <c r="R239" s="343" t="str">
        <f t="shared" si="16"/>
        <v/>
      </c>
      <c r="S239" s="352" t="str">
        <f t="shared" si="17"/>
        <v/>
      </c>
      <c r="T239" s="593" t="str">
        <f>IFERROR(IF(S239="Check Data","Check Data",VLOOKUP(S239,'G-4 Temporal multipliers'!$A$4:$C$37,3,FALSE)),"")</f>
        <v/>
      </c>
      <c r="U239" s="592" t="str">
        <f>IF(F239="","",VLOOKUP(F239,'G-3 Multipliers'!$A$2:$E$130,2,FALSE))</f>
        <v/>
      </c>
      <c r="V239" s="343" t="str">
        <f t="shared" si="18"/>
        <v/>
      </c>
      <c r="W239" s="343" t="str">
        <f>IF(E239="","",IF(AND(V239="Standard difficulty applied",O239&gt;P239),U239,IF(AND(V239="Low Difficulty - only applicable if all habitat created before losses",P239&gt;=O239),"Low",VLOOKUP(F239,'G-3 Multipliers'!$A$2:$E$130,4,FALSE))))</f>
        <v/>
      </c>
      <c r="X239" s="345" t="str">
        <f>IFERROR(IF(E239="","",VLOOKUP(W239, 'G-3 Multipliers'!$P$2:$Q$6,2,FALSE)),””)</f>
        <v/>
      </c>
      <c r="Y239" s="266"/>
      <c r="Z239" s="172" t="str">
        <f>IF(Y239="","",IF(VLOOKUP(Y239,'G-3 Multipliers'!$S$3:$T$9,2,FALSE)=0,"Spatial Data Missing",VLOOKUP(Y239,'G-3 Multipliers'!$S$3:$T$9,2,FALSE)))</f>
        <v/>
      </c>
      <c r="AA239" s="265" t="str">
        <f t="shared" si="19"/>
        <v/>
      </c>
      <c r="AB239" s="180"/>
      <c r="AC239" s="181"/>
    </row>
    <row r="240" spans="1:29" ht="13.8" x14ac:dyDescent="0.25">
      <c r="A240" s="35" t="str">
        <f>IFERROR(INDEX('G-8 Condition Look up'!$I$4:$I$131,MATCH(F240,'G-8 Condition Look up'!$A$4:$A$131,0)),"")</f>
        <v/>
      </c>
      <c r="C240" s="363" t="str">
        <f>IFERROR(INDEX('G-1 All Habitats'!$AG$3:$AG$15,MATCH(D240,'G-1 All Habitats'!$AF$3:$AF$15,0)),"")</f>
        <v/>
      </c>
      <c r="D240" s="186"/>
      <c r="E240" s="275"/>
      <c r="F240" s="362" t="str">
        <f>IFERROR(INDEX('G-1 All Habitats'!$B$3:$B$130,MATCH(E240,'G-1 All Habitats'!$A$3:$A$130,0)),"")</f>
        <v/>
      </c>
      <c r="G240" s="598"/>
      <c r="H240" s="239" t="str">
        <f>IF(F240="","",VLOOKUP(F240,'G-1 All Habitats'!$B$2:$M$130,10,FALSE))</f>
        <v/>
      </c>
      <c r="I240" s="176" t="str">
        <f>IFERROR(VLOOKUP(H240,'G-1 All Habitats'!$V$3:$W$7,2,FALSE),"")</f>
        <v/>
      </c>
      <c r="J240" s="270"/>
      <c r="K240" s="176" t="str">
        <f>IFERROR(INDEX('G-8 Condition Look up'!$A$3:$H$131,MATCH(F240,'G-8 Condition Look up'!$A$3:$A$131,0),MATCH(J240,'G-8 Condition Look up'!$A$3:$H$3,0)),"")</f>
        <v/>
      </c>
      <c r="L240" s="173"/>
      <c r="M240" s="269" t="str">
        <f>IF(L240="","",IF(VLOOKUP(L240,'G-3 Multipliers'!$L$3:$N$6,2,FALSE)=0,"Spatial Data Missing",VLOOKUP(L240,'G-3 Multipliers'!$L$3:$N$6,2,FALSE)))</f>
        <v/>
      </c>
      <c r="N240" s="172" t="str">
        <f>IF(L240="","",IF(VLOOKUP(L240,'G-3 Multipliers'!$L$3:$N$6,3,FALSE)=0,"Spatial Data Missing",VLOOKUP(L240,'G-3 Multipliers'!$L$3:$N$6,3,FALSE)))</f>
        <v/>
      </c>
      <c r="O240" s="171" t="str">
        <f t="shared" si="15"/>
        <v/>
      </c>
      <c r="P240" s="261"/>
      <c r="Q240" s="261"/>
      <c r="R240" s="343" t="str">
        <f t="shared" si="16"/>
        <v/>
      </c>
      <c r="S240" s="352" t="str">
        <f t="shared" si="17"/>
        <v/>
      </c>
      <c r="T240" s="593" t="str">
        <f>IFERROR(IF(S240="Check Data","Check Data",VLOOKUP(S240,'G-4 Temporal multipliers'!$A$4:$C$37,3,FALSE)),"")</f>
        <v/>
      </c>
      <c r="U240" s="592" t="str">
        <f>IF(F240="","",VLOOKUP(F240,'G-3 Multipliers'!$A$2:$E$130,2,FALSE))</f>
        <v/>
      </c>
      <c r="V240" s="343" t="str">
        <f t="shared" si="18"/>
        <v/>
      </c>
      <c r="W240" s="343" t="str">
        <f>IF(E240="","",IF(AND(V240="Standard difficulty applied",O240&gt;P240),U240,IF(AND(V240="Low Difficulty - only applicable if all habitat created before losses",P240&gt;=O240),"Low",VLOOKUP(F240,'G-3 Multipliers'!$A$2:$E$130,4,FALSE))))</f>
        <v/>
      </c>
      <c r="X240" s="345" t="str">
        <f>IFERROR(IF(E240="","",VLOOKUP(W240, 'G-3 Multipliers'!$P$2:$Q$6,2,FALSE)),””)</f>
        <v/>
      </c>
      <c r="Y240" s="266"/>
      <c r="Z240" s="172" t="str">
        <f>IF(Y240="","",IF(VLOOKUP(Y240,'G-3 Multipliers'!$S$3:$T$9,2,FALSE)=0,"Spatial Data Missing",VLOOKUP(Y240,'G-3 Multipliers'!$S$3:$T$9,2,FALSE)))</f>
        <v/>
      </c>
      <c r="AA240" s="265" t="str">
        <f t="shared" si="19"/>
        <v/>
      </c>
      <c r="AB240" s="180"/>
      <c r="AC240" s="181"/>
    </row>
    <row r="241" spans="1:29" ht="13.8" x14ac:dyDescent="0.25">
      <c r="A241" s="35" t="str">
        <f>IFERROR(INDEX('G-8 Condition Look up'!$I$4:$I$131,MATCH(F241,'G-8 Condition Look up'!$A$4:$A$131,0)),"")</f>
        <v/>
      </c>
      <c r="C241" s="363" t="str">
        <f>IFERROR(INDEX('G-1 All Habitats'!$AG$3:$AG$15,MATCH(D241,'G-1 All Habitats'!$AF$3:$AF$15,0)),"")</f>
        <v/>
      </c>
      <c r="D241" s="186"/>
      <c r="E241" s="275"/>
      <c r="F241" s="362" t="str">
        <f>IFERROR(INDEX('G-1 All Habitats'!$B$3:$B$130,MATCH(E241,'G-1 All Habitats'!$A$3:$A$130,0)),"")</f>
        <v/>
      </c>
      <c r="G241" s="598"/>
      <c r="H241" s="239" t="str">
        <f>IF(F241="","",VLOOKUP(F241,'G-1 All Habitats'!$B$2:$M$130,10,FALSE))</f>
        <v/>
      </c>
      <c r="I241" s="176" t="str">
        <f>IFERROR(VLOOKUP(H241,'G-1 All Habitats'!$V$3:$W$7,2,FALSE),"")</f>
        <v/>
      </c>
      <c r="J241" s="270"/>
      <c r="K241" s="176" t="str">
        <f>IFERROR(INDEX('G-8 Condition Look up'!$A$3:$H$131,MATCH(F241,'G-8 Condition Look up'!$A$3:$A$131,0),MATCH(J241,'G-8 Condition Look up'!$A$3:$H$3,0)),"")</f>
        <v/>
      </c>
      <c r="L241" s="173"/>
      <c r="M241" s="269" t="str">
        <f>IF(L241="","",IF(VLOOKUP(L241,'G-3 Multipliers'!$L$3:$N$6,2,FALSE)=0,"Spatial Data Missing",VLOOKUP(L241,'G-3 Multipliers'!$L$3:$N$6,2,FALSE)))</f>
        <v/>
      </c>
      <c r="N241" s="172" t="str">
        <f>IF(L241="","",IF(VLOOKUP(L241,'G-3 Multipliers'!$L$3:$N$6,3,FALSE)=0,"Spatial Data Missing",VLOOKUP(L241,'G-3 Multipliers'!$L$3:$N$6,3,FALSE)))</f>
        <v/>
      </c>
      <c r="O241" s="171" t="str">
        <f t="shared" si="15"/>
        <v/>
      </c>
      <c r="P241" s="261"/>
      <c r="Q241" s="261"/>
      <c r="R241" s="343" t="str">
        <f t="shared" si="16"/>
        <v/>
      </c>
      <c r="S241" s="352" t="str">
        <f t="shared" si="17"/>
        <v/>
      </c>
      <c r="T241" s="593" t="str">
        <f>IFERROR(IF(S241="Check Data","Check Data",VLOOKUP(S241,'G-4 Temporal multipliers'!$A$4:$C$37,3,FALSE)),"")</f>
        <v/>
      </c>
      <c r="U241" s="592" t="str">
        <f>IF(F241="","",VLOOKUP(F241,'G-3 Multipliers'!$A$2:$E$130,2,FALSE))</f>
        <v/>
      </c>
      <c r="V241" s="343" t="str">
        <f t="shared" si="18"/>
        <v/>
      </c>
      <c r="W241" s="343" t="str">
        <f>IF(E241="","",IF(AND(V241="Standard difficulty applied",O241&gt;P241),U241,IF(AND(V241="Low Difficulty - only applicable if all habitat created before losses",P241&gt;=O241),"Low",VLOOKUP(F241,'G-3 Multipliers'!$A$2:$E$130,4,FALSE))))</f>
        <v/>
      </c>
      <c r="X241" s="345" t="str">
        <f>IFERROR(IF(E241="","",VLOOKUP(W241, 'G-3 Multipliers'!$P$2:$Q$6,2,FALSE)),””)</f>
        <v/>
      </c>
      <c r="Y241" s="266"/>
      <c r="Z241" s="172" t="str">
        <f>IF(Y241="","",IF(VLOOKUP(Y241,'G-3 Multipliers'!$S$3:$T$9,2,FALSE)=0,"Spatial Data Missing",VLOOKUP(Y241,'G-3 Multipliers'!$S$3:$T$9,2,FALSE)))</f>
        <v/>
      </c>
      <c r="AA241" s="265" t="str">
        <f t="shared" si="19"/>
        <v/>
      </c>
      <c r="AB241" s="180"/>
      <c r="AC241" s="181"/>
    </row>
    <row r="242" spans="1:29" ht="13.8" x14ac:dyDescent="0.25">
      <c r="A242" s="35" t="str">
        <f>IFERROR(INDEX('G-8 Condition Look up'!$I$4:$I$131,MATCH(F242,'G-8 Condition Look up'!$A$4:$A$131,0)),"")</f>
        <v/>
      </c>
      <c r="C242" s="363" t="str">
        <f>IFERROR(INDEX('G-1 All Habitats'!$AG$3:$AG$15,MATCH(D242,'G-1 All Habitats'!$AF$3:$AF$15,0)),"")</f>
        <v/>
      </c>
      <c r="D242" s="186"/>
      <c r="E242" s="275"/>
      <c r="F242" s="362" t="str">
        <f>IFERROR(INDEX('G-1 All Habitats'!$B$3:$B$130,MATCH(E242,'G-1 All Habitats'!$A$3:$A$130,0)),"")</f>
        <v/>
      </c>
      <c r="G242" s="598"/>
      <c r="H242" s="239" t="str">
        <f>IF(F242="","",VLOOKUP(F242,'G-1 All Habitats'!$B$2:$M$130,10,FALSE))</f>
        <v/>
      </c>
      <c r="I242" s="176" t="str">
        <f>IFERROR(VLOOKUP(H242,'G-1 All Habitats'!$V$3:$W$7,2,FALSE),"")</f>
        <v/>
      </c>
      <c r="J242" s="270"/>
      <c r="K242" s="176" t="str">
        <f>IFERROR(INDEX('G-8 Condition Look up'!$A$3:$H$131,MATCH(F242,'G-8 Condition Look up'!$A$3:$A$131,0),MATCH(J242,'G-8 Condition Look up'!$A$3:$H$3,0)),"")</f>
        <v/>
      </c>
      <c r="L242" s="173"/>
      <c r="M242" s="269" t="str">
        <f>IF(L242="","",IF(VLOOKUP(L242,'G-3 Multipliers'!$L$3:$N$6,2,FALSE)=0,"Spatial Data Missing",VLOOKUP(L242,'G-3 Multipliers'!$L$3:$N$6,2,FALSE)))</f>
        <v/>
      </c>
      <c r="N242" s="172" t="str">
        <f>IF(L242="","",IF(VLOOKUP(L242,'G-3 Multipliers'!$L$3:$N$6,3,FALSE)=0,"Spatial Data Missing",VLOOKUP(L242,'G-3 Multipliers'!$L$3:$N$6,3,FALSE)))</f>
        <v/>
      </c>
      <c r="O242" s="171" t="str">
        <f t="shared" si="15"/>
        <v/>
      </c>
      <c r="P242" s="261"/>
      <c r="Q242" s="261"/>
      <c r="R242" s="343" t="str">
        <f t="shared" si="16"/>
        <v/>
      </c>
      <c r="S242" s="352" t="str">
        <f t="shared" si="17"/>
        <v/>
      </c>
      <c r="T242" s="593" t="str">
        <f>IFERROR(IF(S242="Check Data","Check Data",VLOOKUP(S242,'G-4 Temporal multipliers'!$A$4:$C$37,3,FALSE)),"")</f>
        <v/>
      </c>
      <c r="U242" s="592" t="str">
        <f>IF(F242="","",VLOOKUP(F242,'G-3 Multipliers'!$A$2:$E$130,2,FALSE))</f>
        <v/>
      </c>
      <c r="V242" s="343" t="str">
        <f t="shared" si="18"/>
        <v/>
      </c>
      <c r="W242" s="343" t="str">
        <f>IF(E242="","",IF(AND(V242="Standard difficulty applied",O242&gt;P242),U242,IF(AND(V242="Low Difficulty - only applicable if all habitat created before losses",P242&gt;=O242),"Low",VLOOKUP(F242,'G-3 Multipliers'!$A$2:$E$130,4,FALSE))))</f>
        <v/>
      </c>
      <c r="X242" s="345" t="str">
        <f>IFERROR(IF(E242="","",VLOOKUP(W242, 'G-3 Multipliers'!$P$2:$Q$6,2,FALSE)),””)</f>
        <v/>
      </c>
      <c r="Y242" s="266"/>
      <c r="Z242" s="172" t="str">
        <f>IF(Y242="","",IF(VLOOKUP(Y242,'G-3 Multipliers'!$S$3:$T$9,2,FALSE)=0,"Spatial Data Missing",VLOOKUP(Y242,'G-3 Multipliers'!$S$3:$T$9,2,FALSE)))</f>
        <v/>
      </c>
      <c r="AA242" s="265" t="str">
        <f t="shared" si="19"/>
        <v/>
      </c>
      <c r="AB242" s="180"/>
      <c r="AC242" s="181"/>
    </row>
    <row r="243" spans="1:29" ht="13.8" x14ac:dyDescent="0.25">
      <c r="A243" s="35" t="str">
        <f>IFERROR(INDEX('G-8 Condition Look up'!$I$4:$I$131,MATCH(F243,'G-8 Condition Look up'!$A$4:$A$131,0)),"")</f>
        <v/>
      </c>
      <c r="C243" s="363" t="str">
        <f>IFERROR(INDEX('G-1 All Habitats'!$AG$3:$AG$15,MATCH(D243,'G-1 All Habitats'!$AF$3:$AF$15,0)),"")</f>
        <v/>
      </c>
      <c r="D243" s="186"/>
      <c r="E243" s="275"/>
      <c r="F243" s="362" t="str">
        <f>IFERROR(INDEX('G-1 All Habitats'!$B$3:$B$130,MATCH(E243,'G-1 All Habitats'!$A$3:$A$130,0)),"")</f>
        <v/>
      </c>
      <c r="G243" s="598"/>
      <c r="H243" s="239" t="str">
        <f>IF(F243="","",VLOOKUP(F243,'G-1 All Habitats'!$B$2:$M$130,10,FALSE))</f>
        <v/>
      </c>
      <c r="I243" s="176" t="str">
        <f>IFERROR(VLOOKUP(H243,'G-1 All Habitats'!$V$3:$W$7,2,FALSE),"")</f>
        <v/>
      </c>
      <c r="J243" s="270"/>
      <c r="K243" s="176" t="str">
        <f>IFERROR(INDEX('G-8 Condition Look up'!$A$3:$H$131,MATCH(F243,'G-8 Condition Look up'!$A$3:$A$131,0),MATCH(J243,'G-8 Condition Look up'!$A$3:$H$3,0)),"")</f>
        <v/>
      </c>
      <c r="L243" s="173"/>
      <c r="M243" s="269" t="str">
        <f>IF(L243="","",IF(VLOOKUP(L243,'G-3 Multipliers'!$L$3:$N$6,2,FALSE)=0,"Spatial Data Missing",VLOOKUP(L243,'G-3 Multipliers'!$L$3:$N$6,2,FALSE)))</f>
        <v/>
      </c>
      <c r="N243" s="172" t="str">
        <f>IF(L243="","",IF(VLOOKUP(L243,'G-3 Multipliers'!$L$3:$N$6,3,FALSE)=0,"Spatial Data Missing",VLOOKUP(L243,'G-3 Multipliers'!$L$3:$N$6,3,FALSE)))</f>
        <v/>
      </c>
      <c r="O243" s="171" t="str">
        <f t="shared" si="15"/>
        <v/>
      </c>
      <c r="P243" s="261"/>
      <c r="Q243" s="261"/>
      <c r="R243" s="343" t="str">
        <f t="shared" si="16"/>
        <v/>
      </c>
      <c r="S243" s="352" t="str">
        <f t="shared" si="17"/>
        <v/>
      </c>
      <c r="T243" s="593" t="str">
        <f>IFERROR(IF(S243="Check Data","Check Data",VLOOKUP(S243,'G-4 Temporal multipliers'!$A$4:$C$37,3,FALSE)),"")</f>
        <v/>
      </c>
      <c r="U243" s="592" t="str">
        <f>IF(F243="","",VLOOKUP(F243,'G-3 Multipliers'!$A$2:$E$130,2,FALSE))</f>
        <v/>
      </c>
      <c r="V243" s="343" t="str">
        <f t="shared" si="18"/>
        <v/>
      </c>
      <c r="W243" s="343" t="str">
        <f>IF(E243="","",IF(AND(V243="Standard difficulty applied",O243&gt;P243),U243,IF(AND(V243="Low Difficulty - only applicable if all habitat created before losses",P243&gt;=O243),"Low",VLOOKUP(F243,'G-3 Multipliers'!$A$2:$E$130,4,FALSE))))</f>
        <v/>
      </c>
      <c r="X243" s="345" t="str">
        <f>IFERROR(IF(E243="","",VLOOKUP(W243, 'G-3 Multipliers'!$P$2:$Q$6,2,FALSE)),””)</f>
        <v/>
      </c>
      <c r="Y243" s="266"/>
      <c r="Z243" s="172" t="str">
        <f>IF(Y243="","",IF(VLOOKUP(Y243,'G-3 Multipliers'!$S$3:$T$9,2,FALSE)=0,"Spatial Data Missing",VLOOKUP(Y243,'G-3 Multipliers'!$S$3:$T$9,2,FALSE)))</f>
        <v/>
      </c>
      <c r="AA243" s="265" t="str">
        <f t="shared" si="19"/>
        <v/>
      </c>
      <c r="AB243" s="180"/>
      <c r="AC243" s="181"/>
    </row>
    <row r="244" spans="1:29" ht="13.8" x14ac:dyDescent="0.25">
      <c r="A244" s="35" t="str">
        <f>IFERROR(INDEX('G-8 Condition Look up'!$I$4:$I$131,MATCH(F244,'G-8 Condition Look up'!$A$4:$A$131,0)),"")</f>
        <v/>
      </c>
      <c r="C244" s="363" t="str">
        <f>IFERROR(INDEX('G-1 All Habitats'!$AG$3:$AG$15,MATCH(D244,'G-1 All Habitats'!$AF$3:$AF$15,0)),"")</f>
        <v/>
      </c>
      <c r="D244" s="186"/>
      <c r="E244" s="275"/>
      <c r="F244" s="362" t="str">
        <f>IFERROR(INDEX('G-1 All Habitats'!$B$3:$B$130,MATCH(E244,'G-1 All Habitats'!$A$3:$A$130,0)),"")</f>
        <v/>
      </c>
      <c r="G244" s="598"/>
      <c r="H244" s="239" t="str">
        <f>IF(F244="","",VLOOKUP(F244,'G-1 All Habitats'!$B$2:$M$130,10,FALSE))</f>
        <v/>
      </c>
      <c r="I244" s="176" t="str">
        <f>IFERROR(VLOOKUP(H244,'G-1 All Habitats'!$V$3:$W$7,2,FALSE),"")</f>
        <v/>
      </c>
      <c r="J244" s="270"/>
      <c r="K244" s="176" t="str">
        <f>IFERROR(INDEX('G-8 Condition Look up'!$A$3:$H$131,MATCH(F244,'G-8 Condition Look up'!$A$3:$A$131,0),MATCH(J244,'G-8 Condition Look up'!$A$3:$H$3,0)),"")</f>
        <v/>
      </c>
      <c r="L244" s="173"/>
      <c r="M244" s="269" t="str">
        <f>IF(L244="","",IF(VLOOKUP(L244,'G-3 Multipliers'!$L$3:$N$6,2,FALSE)=0,"Spatial Data Missing",VLOOKUP(L244,'G-3 Multipliers'!$L$3:$N$6,2,FALSE)))</f>
        <v/>
      </c>
      <c r="N244" s="172" t="str">
        <f>IF(L244="","",IF(VLOOKUP(L244,'G-3 Multipliers'!$L$3:$N$6,3,FALSE)=0,"Spatial Data Missing",VLOOKUP(L244,'G-3 Multipliers'!$L$3:$N$6,3,FALSE)))</f>
        <v/>
      </c>
      <c r="O244" s="171" t="str">
        <f t="shared" si="15"/>
        <v/>
      </c>
      <c r="P244" s="261"/>
      <c r="Q244" s="261"/>
      <c r="R244" s="343" t="str">
        <f t="shared" si="16"/>
        <v/>
      </c>
      <c r="S244" s="352" t="str">
        <f t="shared" si="17"/>
        <v/>
      </c>
      <c r="T244" s="593" t="str">
        <f>IFERROR(IF(S244="Check Data","Check Data",VLOOKUP(S244,'G-4 Temporal multipliers'!$A$4:$C$37,3,FALSE)),"")</f>
        <v/>
      </c>
      <c r="U244" s="592" t="str">
        <f>IF(F244="","",VLOOKUP(F244,'G-3 Multipliers'!$A$2:$E$130,2,FALSE))</f>
        <v/>
      </c>
      <c r="V244" s="343" t="str">
        <f t="shared" si="18"/>
        <v/>
      </c>
      <c r="W244" s="343" t="str">
        <f>IF(E244="","",IF(AND(V244="Standard difficulty applied",O244&gt;P244),U244,IF(AND(V244="Low Difficulty - only applicable if all habitat created before losses",P244&gt;=O244),"Low",VLOOKUP(F244,'G-3 Multipliers'!$A$2:$E$130,4,FALSE))))</f>
        <v/>
      </c>
      <c r="X244" s="345" t="str">
        <f>IFERROR(IF(E244="","",VLOOKUP(W244, 'G-3 Multipliers'!$P$2:$Q$6,2,FALSE)),””)</f>
        <v/>
      </c>
      <c r="Y244" s="266"/>
      <c r="Z244" s="172" t="str">
        <f>IF(Y244="","",IF(VLOOKUP(Y244,'G-3 Multipliers'!$S$3:$T$9,2,FALSE)=0,"Spatial Data Missing",VLOOKUP(Y244,'G-3 Multipliers'!$S$3:$T$9,2,FALSE)))</f>
        <v/>
      </c>
      <c r="AA244" s="265" t="str">
        <f t="shared" si="19"/>
        <v/>
      </c>
      <c r="AB244" s="180"/>
      <c r="AC244" s="181"/>
    </row>
    <row r="245" spans="1:29" ht="13.8" x14ac:dyDescent="0.25">
      <c r="A245" s="35" t="str">
        <f>IFERROR(INDEX('G-8 Condition Look up'!$I$4:$I$131,MATCH(F245,'G-8 Condition Look up'!$A$4:$A$131,0)),"")</f>
        <v/>
      </c>
      <c r="C245" s="363" t="str">
        <f>IFERROR(INDEX('G-1 All Habitats'!$AG$3:$AG$15,MATCH(D245,'G-1 All Habitats'!$AF$3:$AF$15,0)),"")</f>
        <v/>
      </c>
      <c r="D245" s="186"/>
      <c r="E245" s="275"/>
      <c r="F245" s="362" t="str">
        <f>IFERROR(INDEX('G-1 All Habitats'!$B$3:$B$130,MATCH(E245,'G-1 All Habitats'!$A$3:$A$130,0)),"")</f>
        <v/>
      </c>
      <c r="G245" s="598"/>
      <c r="H245" s="239" t="str">
        <f>IF(F245="","",VLOOKUP(F245,'G-1 All Habitats'!$B$2:$M$130,10,FALSE))</f>
        <v/>
      </c>
      <c r="I245" s="176" t="str">
        <f>IFERROR(VLOOKUP(H245,'G-1 All Habitats'!$V$3:$W$7,2,FALSE),"")</f>
        <v/>
      </c>
      <c r="J245" s="270"/>
      <c r="K245" s="176" t="str">
        <f>IFERROR(INDEX('G-8 Condition Look up'!$A$3:$H$131,MATCH(F245,'G-8 Condition Look up'!$A$3:$A$131,0),MATCH(J245,'G-8 Condition Look up'!$A$3:$H$3,0)),"")</f>
        <v/>
      </c>
      <c r="L245" s="173"/>
      <c r="M245" s="269" t="str">
        <f>IF(L245="","",IF(VLOOKUP(L245,'G-3 Multipliers'!$L$3:$N$6,2,FALSE)=0,"Spatial Data Missing",VLOOKUP(L245,'G-3 Multipliers'!$L$3:$N$6,2,FALSE)))</f>
        <v/>
      </c>
      <c r="N245" s="172" t="str">
        <f>IF(L245="","",IF(VLOOKUP(L245,'G-3 Multipliers'!$L$3:$N$6,3,FALSE)=0,"Spatial Data Missing",VLOOKUP(L245,'G-3 Multipliers'!$L$3:$N$6,3,FALSE)))</f>
        <v/>
      </c>
      <c r="O245" s="171" t="str">
        <f t="shared" si="15"/>
        <v/>
      </c>
      <c r="P245" s="261"/>
      <c r="Q245" s="261"/>
      <c r="R245" s="343" t="str">
        <f t="shared" si="16"/>
        <v/>
      </c>
      <c r="S245" s="352" t="str">
        <f t="shared" si="17"/>
        <v/>
      </c>
      <c r="T245" s="593" t="str">
        <f>IFERROR(IF(S245="Check Data","Check Data",VLOOKUP(S245,'G-4 Temporal multipliers'!$A$4:$C$37,3,FALSE)),"")</f>
        <v/>
      </c>
      <c r="U245" s="592" t="str">
        <f>IF(F245="","",VLOOKUP(F245,'G-3 Multipliers'!$A$2:$E$130,2,FALSE))</f>
        <v/>
      </c>
      <c r="V245" s="343" t="str">
        <f t="shared" si="18"/>
        <v/>
      </c>
      <c r="W245" s="343" t="str">
        <f>IF(E245="","",IF(AND(V245="Standard difficulty applied",O245&gt;P245),U245,IF(AND(V245="Low Difficulty - only applicable if all habitat created before losses",P245&gt;=O245),"Low",VLOOKUP(F245,'G-3 Multipliers'!$A$2:$E$130,4,FALSE))))</f>
        <v/>
      </c>
      <c r="X245" s="345" t="str">
        <f>IFERROR(IF(E245="","",VLOOKUP(W245, 'G-3 Multipliers'!$P$2:$Q$6,2,FALSE)),””)</f>
        <v/>
      </c>
      <c r="Y245" s="266"/>
      <c r="Z245" s="172" t="str">
        <f>IF(Y245="","",IF(VLOOKUP(Y245,'G-3 Multipliers'!$S$3:$T$9,2,FALSE)=0,"Spatial Data Missing",VLOOKUP(Y245,'G-3 Multipliers'!$S$3:$T$9,2,FALSE)))</f>
        <v/>
      </c>
      <c r="AA245" s="265" t="str">
        <f t="shared" si="19"/>
        <v/>
      </c>
      <c r="AB245" s="180"/>
      <c r="AC245" s="181"/>
    </row>
    <row r="246" spans="1:29" ht="13.8" x14ac:dyDescent="0.25">
      <c r="A246" s="35" t="str">
        <f>IFERROR(INDEX('G-8 Condition Look up'!$I$4:$I$131,MATCH(F246,'G-8 Condition Look up'!$A$4:$A$131,0)),"")</f>
        <v/>
      </c>
      <c r="C246" s="363" t="str">
        <f>IFERROR(INDEX('G-1 All Habitats'!$AG$3:$AG$15,MATCH(D246,'G-1 All Habitats'!$AF$3:$AF$15,0)),"")</f>
        <v/>
      </c>
      <c r="D246" s="186"/>
      <c r="E246" s="275"/>
      <c r="F246" s="362" t="str">
        <f>IFERROR(INDEX('G-1 All Habitats'!$B$3:$B$130,MATCH(E246,'G-1 All Habitats'!$A$3:$A$130,0)),"")</f>
        <v/>
      </c>
      <c r="G246" s="598"/>
      <c r="H246" s="239" t="str">
        <f>IF(F246="","",VLOOKUP(F246,'G-1 All Habitats'!$B$2:$M$130,10,FALSE))</f>
        <v/>
      </c>
      <c r="I246" s="176" t="str">
        <f>IFERROR(VLOOKUP(H246,'G-1 All Habitats'!$V$3:$W$7,2,FALSE),"")</f>
        <v/>
      </c>
      <c r="J246" s="270"/>
      <c r="K246" s="176" t="str">
        <f>IFERROR(INDEX('G-8 Condition Look up'!$A$3:$H$131,MATCH(F246,'G-8 Condition Look up'!$A$3:$A$131,0),MATCH(J246,'G-8 Condition Look up'!$A$3:$H$3,0)),"")</f>
        <v/>
      </c>
      <c r="L246" s="173"/>
      <c r="M246" s="269" t="str">
        <f>IF(L246="","",IF(VLOOKUP(L246,'G-3 Multipliers'!$L$3:$N$6,2,FALSE)=0,"Spatial Data Missing",VLOOKUP(L246,'G-3 Multipliers'!$L$3:$N$6,2,FALSE)))</f>
        <v/>
      </c>
      <c r="N246" s="172" t="str">
        <f>IF(L246="","",IF(VLOOKUP(L246,'G-3 Multipliers'!$L$3:$N$6,3,FALSE)=0,"Spatial Data Missing",VLOOKUP(L246,'G-3 Multipliers'!$L$3:$N$6,3,FALSE)))</f>
        <v/>
      </c>
      <c r="O246" s="171" t="str">
        <f t="shared" si="15"/>
        <v/>
      </c>
      <c r="P246" s="261"/>
      <c r="Q246" s="261"/>
      <c r="R246" s="343" t="str">
        <f t="shared" si="16"/>
        <v/>
      </c>
      <c r="S246" s="352" t="str">
        <f t="shared" si="17"/>
        <v/>
      </c>
      <c r="T246" s="593" t="str">
        <f>IFERROR(IF(S246="Check Data","Check Data",VLOOKUP(S246,'G-4 Temporal multipliers'!$A$4:$C$37,3,FALSE)),"")</f>
        <v/>
      </c>
      <c r="U246" s="592" t="str">
        <f>IF(F246="","",VLOOKUP(F246,'G-3 Multipliers'!$A$2:$E$130,2,FALSE))</f>
        <v/>
      </c>
      <c r="V246" s="343" t="str">
        <f t="shared" si="18"/>
        <v/>
      </c>
      <c r="W246" s="343" t="str">
        <f>IF(E246="","",IF(AND(V246="Standard difficulty applied",O246&gt;P246),U246,IF(AND(V246="Low Difficulty - only applicable if all habitat created before losses",P246&gt;=O246),"Low",VLOOKUP(F246,'G-3 Multipliers'!$A$2:$E$130,4,FALSE))))</f>
        <v/>
      </c>
      <c r="X246" s="345" t="str">
        <f>IFERROR(IF(E246="","",VLOOKUP(W246, 'G-3 Multipliers'!$P$2:$Q$6,2,FALSE)),””)</f>
        <v/>
      </c>
      <c r="Y246" s="266"/>
      <c r="Z246" s="172" t="str">
        <f>IF(Y246="","",IF(VLOOKUP(Y246,'G-3 Multipliers'!$S$3:$T$9,2,FALSE)=0,"Spatial Data Missing",VLOOKUP(Y246,'G-3 Multipliers'!$S$3:$T$9,2,FALSE)))</f>
        <v/>
      </c>
      <c r="AA246" s="265" t="str">
        <f t="shared" si="19"/>
        <v/>
      </c>
      <c r="AB246" s="180"/>
      <c r="AC246" s="181"/>
    </row>
    <row r="247" spans="1:29" ht="13.8" x14ac:dyDescent="0.25">
      <c r="A247" s="35" t="str">
        <f>IFERROR(INDEX('G-8 Condition Look up'!$I$4:$I$131,MATCH(F247,'G-8 Condition Look up'!$A$4:$A$131,0)),"")</f>
        <v/>
      </c>
      <c r="C247" s="363" t="str">
        <f>IFERROR(INDEX('G-1 All Habitats'!$AG$3:$AG$15,MATCH(D247,'G-1 All Habitats'!$AF$3:$AF$15,0)),"")</f>
        <v/>
      </c>
      <c r="D247" s="186"/>
      <c r="E247" s="275"/>
      <c r="F247" s="362" t="str">
        <f>IFERROR(INDEX('G-1 All Habitats'!$B$3:$B$130,MATCH(E247,'G-1 All Habitats'!$A$3:$A$130,0)),"")</f>
        <v/>
      </c>
      <c r="G247" s="598"/>
      <c r="H247" s="239" t="str">
        <f>IF(F247="","",VLOOKUP(F247,'G-1 All Habitats'!$B$2:$M$130,10,FALSE))</f>
        <v/>
      </c>
      <c r="I247" s="176" t="str">
        <f>IFERROR(VLOOKUP(H247,'G-1 All Habitats'!$V$3:$W$7,2,FALSE),"")</f>
        <v/>
      </c>
      <c r="J247" s="270"/>
      <c r="K247" s="176" t="str">
        <f>IFERROR(INDEX('G-8 Condition Look up'!$A$3:$H$131,MATCH(F247,'G-8 Condition Look up'!$A$3:$A$131,0),MATCH(J247,'G-8 Condition Look up'!$A$3:$H$3,0)),"")</f>
        <v/>
      </c>
      <c r="L247" s="173"/>
      <c r="M247" s="269" t="str">
        <f>IF(L247="","",IF(VLOOKUP(L247,'G-3 Multipliers'!$L$3:$N$6,2,FALSE)=0,"Spatial Data Missing",VLOOKUP(L247,'G-3 Multipliers'!$L$3:$N$6,2,FALSE)))</f>
        <v/>
      </c>
      <c r="N247" s="172" t="str">
        <f>IF(L247="","",IF(VLOOKUP(L247,'G-3 Multipliers'!$L$3:$N$6,3,FALSE)=0,"Spatial Data Missing",VLOOKUP(L247,'G-3 Multipliers'!$L$3:$N$6,3,FALSE)))</f>
        <v/>
      </c>
      <c r="O247" s="171" t="str">
        <f t="shared" si="15"/>
        <v/>
      </c>
      <c r="P247" s="261"/>
      <c r="Q247" s="261"/>
      <c r="R247" s="343" t="str">
        <f t="shared" si="16"/>
        <v/>
      </c>
      <c r="S247" s="352" t="str">
        <f t="shared" si="17"/>
        <v/>
      </c>
      <c r="T247" s="593" t="str">
        <f>IFERROR(IF(S247="Check Data","Check Data",VLOOKUP(S247,'G-4 Temporal multipliers'!$A$4:$C$37,3,FALSE)),"")</f>
        <v/>
      </c>
      <c r="U247" s="592" t="str">
        <f>IF(F247="","",VLOOKUP(F247,'G-3 Multipliers'!$A$2:$E$130,2,FALSE))</f>
        <v/>
      </c>
      <c r="V247" s="343" t="str">
        <f t="shared" si="18"/>
        <v/>
      </c>
      <c r="W247" s="343" t="str">
        <f>IF(E247="","",IF(AND(V247="Standard difficulty applied",O247&gt;P247),U247,IF(AND(V247="Low Difficulty - only applicable if all habitat created before losses",P247&gt;=O247),"Low",VLOOKUP(F247,'G-3 Multipliers'!$A$2:$E$130,4,FALSE))))</f>
        <v/>
      </c>
      <c r="X247" s="345" t="str">
        <f>IFERROR(IF(E247="","",VLOOKUP(W247, 'G-3 Multipliers'!$P$2:$Q$6,2,FALSE)),””)</f>
        <v/>
      </c>
      <c r="Y247" s="266"/>
      <c r="Z247" s="172" t="str">
        <f>IF(Y247="","",IF(VLOOKUP(Y247,'G-3 Multipliers'!$S$3:$T$9,2,FALSE)=0,"Spatial Data Missing",VLOOKUP(Y247,'G-3 Multipliers'!$S$3:$T$9,2,FALSE)))</f>
        <v/>
      </c>
      <c r="AA247" s="265" t="str">
        <f t="shared" si="19"/>
        <v/>
      </c>
      <c r="AB247" s="180"/>
      <c r="AC247" s="181"/>
    </row>
    <row r="248" spans="1:29" ht="13.8" x14ac:dyDescent="0.25">
      <c r="A248" s="35" t="str">
        <f>IFERROR(INDEX('G-8 Condition Look up'!$I$4:$I$131,MATCH(F248,'G-8 Condition Look up'!$A$4:$A$131,0)),"")</f>
        <v/>
      </c>
      <c r="C248" s="363" t="str">
        <f>IFERROR(INDEX('G-1 All Habitats'!$AG$3:$AG$15,MATCH(D248,'G-1 All Habitats'!$AF$3:$AF$15,0)),"")</f>
        <v/>
      </c>
      <c r="D248" s="186"/>
      <c r="E248" s="275"/>
      <c r="F248" s="362" t="str">
        <f>IFERROR(INDEX('G-1 All Habitats'!$B$3:$B$130,MATCH(E248,'G-1 All Habitats'!$A$3:$A$130,0)),"")</f>
        <v/>
      </c>
      <c r="G248" s="598"/>
      <c r="H248" s="239" t="str">
        <f>IF(F248="","",VLOOKUP(F248,'G-1 All Habitats'!$B$2:$M$130,10,FALSE))</f>
        <v/>
      </c>
      <c r="I248" s="176" t="str">
        <f>IFERROR(VLOOKUP(H248,'G-1 All Habitats'!$V$3:$W$7,2,FALSE),"")</f>
        <v/>
      </c>
      <c r="J248" s="270"/>
      <c r="K248" s="176" t="str">
        <f>IFERROR(INDEX('G-8 Condition Look up'!$A$3:$H$131,MATCH(F248,'G-8 Condition Look up'!$A$3:$A$131,0),MATCH(J248,'G-8 Condition Look up'!$A$3:$H$3,0)),"")</f>
        <v/>
      </c>
      <c r="L248" s="173"/>
      <c r="M248" s="269" t="str">
        <f>IF(L248="","",IF(VLOOKUP(L248,'G-3 Multipliers'!$L$3:$N$6,2,FALSE)=0,"Spatial Data Missing",VLOOKUP(L248,'G-3 Multipliers'!$L$3:$N$6,2,FALSE)))</f>
        <v/>
      </c>
      <c r="N248" s="172" t="str">
        <f>IF(L248="","",IF(VLOOKUP(L248,'G-3 Multipliers'!$L$3:$N$6,3,FALSE)=0,"Spatial Data Missing",VLOOKUP(L248,'G-3 Multipliers'!$L$3:$N$6,3,FALSE)))</f>
        <v/>
      </c>
      <c r="O248" s="171" t="str">
        <f t="shared" si="15"/>
        <v/>
      </c>
      <c r="P248" s="261"/>
      <c r="Q248" s="261"/>
      <c r="R248" s="343" t="str">
        <f t="shared" si="16"/>
        <v/>
      </c>
      <c r="S248" s="352" t="str">
        <f t="shared" si="17"/>
        <v/>
      </c>
      <c r="T248" s="593" t="str">
        <f>IFERROR(IF(S248="Check Data","Check Data",VLOOKUP(S248,'G-4 Temporal multipliers'!$A$4:$C$37,3,FALSE)),"")</f>
        <v/>
      </c>
      <c r="U248" s="592" t="str">
        <f>IF(F248="","",VLOOKUP(F248,'G-3 Multipliers'!$A$2:$E$130,2,FALSE))</f>
        <v/>
      </c>
      <c r="V248" s="343" t="str">
        <f t="shared" si="18"/>
        <v/>
      </c>
      <c r="W248" s="343" t="str">
        <f>IF(E248="","",IF(AND(V248="Standard difficulty applied",O248&gt;P248),U248,IF(AND(V248="Low Difficulty - only applicable if all habitat created before losses",P248&gt;=O248),"Low",VLOOKUP(F248,'G-3 Multipliers'!$A$2:$E$130,4,FALSE))))</f>
        <v/>
      </c>
      <c r="X248" s="345" t="str">
        <f>IFERROR(IF(E248="","",VLOOKUP(W248, 'G-3 Multipliers'!$P$2:$Q$6,2,FALSE)),””)</f>
        <v/>
      </c>
      <c r="Y248" s="266"/>
      <c r="Z248" s="172" t="str">
        <f>IF(Y248="","",IF(VLOOKUP(Y248,'G-3 Multipliers'!$S$3:$T$9,2,FALSE)=0,"Spatial Data Missing",VLOOKUP(Y248,'G-3 Multipliers'!$S$3:$T$9,2,FALSE)))</f>
        <v/>
      </c>
      <c r="AA248" s="265" t="str">
        <f t="shared" si="19"/>
        <v/>
      </c>
      <c r="AB248" s="180"/>
      <c r="AC248" s="181"/>
    </row>
    <row r="249" spans="1:29" ht="13.8" x14ac:dyDescent="0.25">
      <c r="A249" s="35" t="str">
        <f>IFERROR(INDEX('G-8 Condition Look up'!$I$4:$I$131,MATCH(F249,'G-8 Condition Look up'!$A$4:$A$131,0)),"")</f>
        <v/>
      </c>
      <c r="C249" s="363" t="str">
        <f>IFERROR(INDEX('G-1 All Habitats'!$AG$3:$AG$15,MATCH(D249,'G-1 All Habitats'!$AF$3:$AF$15,0)),"")</f>
        <v/>
      </c>
      <c r="D249" s="186"/>
      <c r="E249" s="275"/>
      <c r="F249" s="362" t="str">
        <f>IFERROR(INDEX('G-1 All Habitats'!$B$3:$B$130,MATCH(E249,'G-1 All Habitats'!$A$3:$A$130,0)),"")</f>
        <v/>
      </c>
      <c r="G249" s="598"/>
      <c r="H249" s="239" t="str">
        <f>IF(F249="","",VLOOKUP(F249,'G-1 All Habitats'!$B$2:$M$130,10,FALSE))</f>
        <v/>
      </c>
      <c r="I249" s="176" t="str">
        <f>IFERROR(VLOOKUP(H249,'G-1 All Habitats'!$V$3:$W$7,2,FALSE),"")</f>
        <v/>
      </c>
      <c r="J249" s="270"/>
      <c r="K249" s="176" t="str">
        <f>IFERROR(INDEX('G-8 Condition Look up'!$A$3:$H$131,MATCH(F249,'G-8 Condition Look up'!$A$3:$A$131,0),MATCH(J249,'G-8 Condition Look up'!$A$3:$H$3,0)),"")</f>
        <v/>
      </c>
      <c r="L249" s="173"/>
      <c r="M249" s="269" t="str">
        <f>IF(L249="","",IF(VLOOKUP(L249,'G-3 Multipliers'!$L$3:$N$6,2,FALSE)=0,"Spatial Data Missing",VLOOKUP(L249,'G-3 Multipliers'!$L$3:$N$6,2,FALSE)))</f>
        <v/>
      </c>
      <c r="N249" s="172" t="str">
        <f>IF(L249="","",IF(VLOOKUP(L249,'G-3 Multipliers'!$L$3:$N$6,3,FALSE)=0,"Spatial Data Missing",VLOOKUP(L249,'G-3 Multipliers'!$L$3:$N$6,3,FALSE)))</f>
        <v/>
      </c>
      <c r="O249" s="171" t="str">
        <f t="shared" si="15"/>
        <v/>
      </c>
      <c r="P249" s="261"/>
      <c r="Q249" s="261"/>
      <c r="R249" s="343" t="str">
        <f t="shared" si="16"/>
        <v/>
      </c>
      <c r="S249" s="352" t="str">
        <f t="shared" si="17"/>
        <v/>
      </c>
      <c r="T249" s="593" t="str">
        <f>IFERROR(IF(S249="Check Data","Check Data",VLOOKUP(S249,'G-4 Temporal multipliers'!$A$4:$C$37,3,FALSE)),"")</f>
        <v/>
      </c>
      <c r="U249" s="592" t="str">
        <f>IF(F249="","",VLOOKUP(F249,'G-3 Multipliers'!$A$2:$E$130,2,FALSE))</f>
        <v/>
      </c>
      <c r="V249" s="343" t="str">
        <f t="shared" si="18"/>
        <v/>
      </c>
      <c r="W249" s="343" t="str">
        <f>IF(E249="","",IF(AND(V249="Standard difficulty applied",O249&gt;P249),U249,IF(AND(V249="Low Difficulty - only applicable if all habitat created before losses",P249&gt;=O249),"Low",VLOOKUP(F249,'G-3 Multipliers'!$A$2:$E$130,4,FALSE))))</f>
        <v/>
      </c>
      <c r="X249" s="345" t="str">
        <f>IFERROR(IF(E249="","",VLOOKUP(W249, 'G-3 Multipliers'!$P$2:$Q$6,2,FALSE)),””)</f>
        <v/>
      </c>
      <c r="Y249" s="266"/>
      <c r="Z249" s="172" t="str">
        <f>IF(Y249="","",IF(VLOOKUP(Y249,'G-3 Multipliers'!$S$3:$T$9,2,FALSE)=0,"Spatial Data Missing",VLOOKUP(Y249,'G-3 Multipliers'!$S$3:$T$9,2,FALSE)))</f>
        <v/>
      </c>
      <c r="AA249" s="265" t="str">
        <f t="shared" si="19"/>
        <v/>
      </c>
      <c r="AB249" s="180"/>
      <c r="AC249" s="181"/>
    </row>
    <row r="250" spans="1:29" ht="13.8" x14ac:dyDescent="0.25">
      <c r="A250" s="35" t="str">
        <f>IFERROR(INDEX('G-8 Condition Look up'!$I$4:$I$131,MATCH(F250,'G-8 Condition Look up'!$A$4:$A$131,0)),"")</f>
        <v/>
      </c>
      <c r="C250" s="363" t="str">
        <f>IFERROR(INDEX('G-1 All Habitats'!$AG$3:$AG$15,MATCH(D250,'G-1 All Habitats'!$AF$3:$AF$15,0)),"")</f>
        <v/>
      </c>
      <c r="D250" s="186"/>
      <c r="E250" s="275"/>
      <c r="F250" s="362" t="str">
        <f>IFERROR(INDEX('G-1 All Habitats'!$B$3:$B$130,MATCH(E250,'G-1 All Habitats'!$A$3:$A$130,0)),"")</f>
        <v/>
      </c>
      <c r="G250" s="598"/>
      <c r="H250" s="239" t="str">
        <f>IF(F250="","",VLOOKUP(F250,'G-1 All Habitats'!$B$2:$M$130,10,FALSE))</f>
        <v/>
      </c>
      <c r="I250" s="176" t="str">
        <f>IFERROR(VLOOKUP(H250,'G-1 All Habitats'!$V$3:$W$7,2,FALSE),"")</f>
        <v/>
      </c>
      <c r="J250" s="270"/>
      <c r="K250" s="176" t="str">
        <f>IFERROR(INDEX('G-8 Condition Look up'!$A$3:$H$131,MATCH(F250,'G-8 Condition Look up'!$A$3:$A$131,0),MATCH(J250,'G-8 Condition Look up'!$A$3:$H$3,0)),"")</f>
        <v/>
      </c>
      <c r="L250" s="173"/>
      <c r="M250" s="269" t="str">
        <f>IF(L250="","",IF(VLOOKUP(L250,'G-3 Multipliers'!$L$3:$N$6,2,FALSE)=0,"Spatial Data Missing",VLOOKUP(L250,'G-3 Multipliers'!$L$3:$N$6,2,FALSE)))</f>
        <v/>
      </c>
      <c r="N250" s="172" t="str">
        <f>IF(L250="","",IF(VLOOKUP(L250,'G-3 Multipliers'!$L$3:$N$6,3,FALSE)=0,"Spatial Data Missing",VLOOKUP(L250,'G-3 Multipliers'!$L$3:$N$6,3,FALSE)))</f>
        <v/>
      </c>
      <c r="O250" s="171" t="str">
        <f t="shared" si="15"/>
        <v/>
      </c>
      <c r="P250" s="261"/>
      <c r="Q250" s="261"/>
      <c r="R250" s="343" t="str">
        <f t="shared" si="16"/>
        <v/>
      </c>
      <c r="S250" s="352" t="str">
        <f t="shared" si="17"/>
        <v/>
      </c>
      <c r="T250" s="593" t="str">
        <f>IFERROR(IF(S250="Check Data","Check Data",VLOOKUP(S250,'G-4 Temporal multipliers'!$A$4:$C$37,3,FALSE)),"")</f>
        <v/>
      </c>
      <c r="U250" s="592" t="str">
        <f>IF(F250="","",VLOOKUP(F250,'G-3 Multipliers'!$A$2:$E$130,2,FALSE))</f>
        <v/>
      </c>
      <c r="V250" s="343" t="str">
        <f t="shared" si="18"/>
        <v/>
      </c>
      <c r="W250" s="343" t="str">
        <f>IF(E250="","",IF(AND(V250="Standard difficulty applied",O250&gt;P250),U250,IF(AND(V250="Low Difficulty - only applicable if all habitat created before losses",P250&gt;=O250),"Low",VLOOKUP(F250,'G-3 Multipliers'!$A$2:$E$130,4,FALSE))))</f>
        <v/>
      </c>
      <c r="X250" s="345" t="str">
        <f>IFERROR(IF(E250="","",VLOOKUP(W250, 'G-3 Multipliers'!$P$2:$Q$6,2,FALSE)),””)</f>
        <v/>
      </c>
      <c r="Y250" s="266"/>
      <c r="Z250" s="172" t="str">
        <f>IF(Y250="","",IF(VLOOKUP(Y250,'G-3 Multipliers'!$S$3:$T$9,2,FALSE)=0,"Spatial Data Missing",VLOOKUP(Y250,'G-3 Multipliers'!$S$3:$T$9,2,FALSE)))</f>
        <v/>
      </c>
      <c r="AA250" s="265" t="str">
        <f t="shared" si="19"/>
        <v/>
      </c>
      <c r="AB250" s="180"/>
      <c r="AC250" s="181"/>
    </row>
    <row r="251" spans="1:29" ht="13.8" x14ac:dyDescent="0.25">
      <c r="A251" s="35" t="str">
        <f>IFERROR(INDEX('G-8 Condition Look up'!$I$4:$I$131,MATCH(F251,'G-8 Condition Look up'!$A$4:$A$131,0)),"")</f>
        <v/>
      </c>
      <c r="C251" s="363" t="str">
        <f>IFERROR(INDEX('G-1 All Habitats'!$AG$3:$AG$15,MATCH(D251,'G-1 All Habitats'!$AF$3:$AF$15,0)),"")</f>
        <v/>
      </c>
      <c r="D251" s="186"/>
      <c r="E251" s="275"/>
      <c r="F251" s="362" t="str">
        <f>IFERROR(INDEX('G-1 All Habitats'!$B$3:$B$130,MATCH(E251,'G-1 All Habitats'!$A$3:$A$130,0)),"")</f>
        <v/>
      </c>
      <c r="G251" s="598"/>
      <c r="H251" s="239" t="str">
        <f>IF(F251="","",VLOOKUP(F251,'G-1 All Habitats'!$B$2:$M$130,10,FALSE))</f>
        <v/>
      </c>
      <c r="I251" s="176" t="str">
        <f>IFERROR(VLOOKUP(H251,'G-1 All Habitats'!$V$3:$W$7,2,FALSE),"")</f>
        <v/>
      </c>
      <c r="J251" s="270"/>
      <c r="K251" s="176" t="str">
        <f>IFERROR(INDEX('G-8 Condition Look up'!$A$3:$H$131,MATCH(F251,'G-8 Condition Look up'!$A$3:$A$131,0),MATCH(J251,'G-8 Condition Look up'!$A$3:$H$3,0)),"")</f>
        <v/>
      </c>
      <c r="L251" s="173"/>
      <c r="M251" s="269" t="str">
        <f>IF(L251="","",IF(VLOOKUP(L251,'G-3 Multipliers'!$L$3:$N$6,2,FALSE)=0,"Spatial Data Missing",VLOOKUP(L251,'G-3 Multipliers'!$L$3:$N$6,2,FALSE)))</f>
        <v/>
      </c>
      <c r="N251" s="172" t="str">
        <f>IF(L251="","",IF(VLOOKUP(L251,'G-3 Multipliers'!$L$3:$N$6,3,FALSE)=0,"Spatial Data Missing",VLOOKUP(L251,'G-3 Multipliers'!$L$3:$N$6,3,FALSE)))</f>
        <v/>
      </c>
      <c r="O251" s="171" t="str">
        <f t="shared" si="15"/>
        <v/>
      </c>
      <c r="P251" s="261"/>
      <c r="Q251" s="261"/>
      <c r="R251" s="343" t="str">
        <f t="shared" si="16"/>
        <v/>
      </c>
      <c r="S251" s="352" t="str">
        <f t="shared" si="17"/>
        <v/>
      </c>
      <c r="T251" s="593" t="str">
        <f>IFERROR(IF(S251="Check Data","Check Data",VLOOKUP(S251,'G-4 Temporal multipliers'!$A$4:$C$37,3,FALSE)),"")</f>
        <v/>
      </c>
      <c r="U251" s="592" t="str">
        <f>IF(F251="","",VLOOKUP(F251,'G-3 Multipliers'!$A$2:$E$130,2,FALSE))</f>
        <v/>
      </c>
      <c r="V251" s="343" t="str">
        <f t="shared" si="18"/>
        <v/>
      </c>
      <c r="W251" s="343" t="str">
        <f>IF(E251="","",IF(AND(V251="Standard difficulty applied",O251&gt;P251),U251,IF(AND(V251="Low Difficulty - only applicable if all habitat created before losses",P251&gt;=O251),"Low",VLOOKUP(F251,'G-3 Multipliers'!$A$2:$E$130,4,FALSE))))</f>
        <v/>
      </c>
      <c r="X251" s="345" t="str">
        <f>IFERROR(IF(E251="","",VLOOKUP(W251, 'G-3 Multipliers'!$P$2:$Q$6,2,FALSE)),””)</f>
        <v/>
      </c>
      <c r="Y251" s="266"/>
      <c r="Z251" s="172" t="str">
        <f>IF(Y251="","",IF(VLOOKUP(Y251,'G-3 Multipliers'!$S$3:$T$9,2,FALSE)=0,"Spatial Data Missing",VLOOKUP(Y251,'G-3 Multipliers'!$S$3:$T$9,2,FALSE)))</f>
        <v/>
      </c>
      <c r="AA251" s="265" t="str">
        <f t="shared" si="19"/>
        <v/>
      </c>
      <c r="AB251" s="180"/>
      <c r="AC251" s="181"/>
    </row>
    <row r="252" spans="1:29" ht="13.8" x14ac:dyDescent="0.25">
      <c r="A252" s="35" t="str">
        <f>IFERROR(INDEX('G-8 Condition Look up'!$I$4:$I$131,MATCH(F252,'G-8 Condition Look up'!$A$4:$A$131,0)),"")</f>
        <v/>
      </c>
      <c r="C252" s="363" t="str">
        <f>IFERROR(INDEX('G-1 All Habitats'!$AG$3:$AG$15,MATCH(D252,'G-1 All Habitats'!$AF$3:$AF$15,0)),"")</f>
        <v/>
      </c>
      <c r="D252" s="186"/>
      <c r="E252" s="275"/>
      <c r="F252" s="362" t="str">
        <f>IFERROR(INDEX('G-1 All Habitats'!$B$3:$B$130,MATCH(E252,'G-1 All Habitats'!$A$3:$A$130,0)),"")</f>
        <v/>
      </c>
      <c r="G252" s="598"/>
      <c r="H252" s="239" t="str">
        <f>IF(F252="","",VLOOKUP(F252,'G-1 All Habitats'!$B$2:$M$130,10,FALSE))</f>
        <v/>
      </c>
      <c r="I252" s="176" t="str">
        <f>IFERROR(VLOOKUP(H252,'G-1 All Habitats'!$V$3:$W$7,2,FALSE),"")</f>
        <v/>
      </c>
      <c r="J252" s="270"/>
      <c r="K252" s="176" t="str">
        <f>IFERROR(INDEX('G-8 Condition Look up'!$A$3:$H$131,MATCH(F252,'G-8 Condition Look up'!$A$3:$A$131,0),MATCH(J252,'G-8 Condition Look up'!$A$3:$H$3,0)),"")</f>
        <v/>
      </c>
      <c r="L252" s="173"/>
      <c r="M252" s="269" t="str">
        <f>IF(L252="","",IF(VLOOKUP(L252,'G-3 Multipliers'!$L$3:$N$6,2,FALSE)=0,"Spatial Data Missing",VLOOKUP(L252,'G-3 Multipliers'!$L$3:$N$6,2,FALSE)))</f>
        <v/>
      </c>
      <c r="N252" s="172" t="str">
        <f>IF(L252="","",IF(VLOOKUP(L252,'G-3 Multipliers'!$L$3:$N$6,3,FALSE)=0,"Spatial Data Missing",VLOOKUP(L252,'G-3 Multipliers'!$L$3:$N$6,3,FALSE)))</f>
        <v/>
      </c>
      <c r="O252" s="171" t="str">
        <f t="shared" si="15"/>
        <v/>
      </c>
      <c r="P252" s="261"/>
      <c r="Q252" s="261"/>
      <c r="R252" s="343" t="str">
        <f t="shared" si="16"/>
        <v/>
      </c>
      <c r="S252" s="352" t="str">
        <f t="shared" si="17"/>
        <v/>
      </c>
      <c r="T252" s="593" t="str">
        <f>IFERROR(IF(S252="Check Data","Check Data",VLOOKUP(S252,'G-4 Temporal multipliers'!$A$4:$C$37,3,FALSE)),"")</f>
        <v/>
      </c>
      <c r="U252" s="592" t="str">
        <f>IF(F252="","",VLOOKUP(F252,'G-3 Multipliers'!$A$2:$E$130,2,FALSE))</f>
        <v/>
      </c>
      <c r="V252" s="343" t="str">
        <f t="shared" si="18"/>
        <v/>
      </c>
      <c r="W252" s="343" t="str">
        <f>IF(E252="","",IF(AND(V252="Standard difficulty applied",O252&gt;P252),U252,IF(AND(V252="Low Difficulty - only applicable if all habitat created before losses",P252&gt;=O252),"Low",VLOOKUP(F252,'G-3 Multipliers'!$A$2:$E$130,4,FALSE))))</f>
        <v/>
      </c>
      <c r="X252" s="345" t="str">
        <f>IFERROR(IF(E252="","",VLOOKUP(W252, 'G-3 Multipliers'!$P$2:$Q$6,2,FALSE)),””)</f>
        <v/>
      </c>
      <c r="Y252" s="266"/>
      <c r="Z252" s="172" t="str">
        <f>IF(Y252="","",IF(VLOOKUP(Y252,'G-3 Multipliers'!$S$3:$T$9,2,FALSE)=0,"Spatial Data Missing",VLOOKUP(Y252,'G-3 Multipliers'!$S$3:$T$9,2,FALSE)))</f>
        <v/>
      </c>
      <c r="AA252" s="265" t="str">
        <f t="shared" si="19"/>
        <v/>
      </c>
      <c r="AB252" s="180"/>
      <c r="AC252" s="181"/>
    </row>
    <row r="253" spans="1:29" ht="13.8" x14ac:dyDescent="0.25">
      <c r="A253" s="35" t="str">
        <f>IFERROR(INDEX('G-8 Condition Look up'!$I$4:$I$131,MATCH(F253,'G-8 Condition Look up'!$A$4:$A$131,0)),"")</f>
        <v/>
      </c>
      <c r="C253" s="363" t="str">
        <f>IFERROR(INDEX('G-1 All Habitats'!$AG$3:$AG$15,MATCH(D253,'G-1 All Habitats'!$AF$3:$AF$15,0)),"")</f>
        <v/>
      </c>
      <c r="D253" s="186"/>
      <c r="E253" s="275"/>
      <c r="F253" s="362" t="str">
        <f>IFERROR(INDEX('G-1 All Habitats'!$B$3:$B$130,MATCH(E253,'G-1 All Habitats'!$A$3:$A$130,0)),"")</f>
        <v/>
      </c>
      <c r="G253" s="598"/>
      <c r="H253" s="239" t="str">
        <f>IF(F253="","",VLOOKUP(F253,'G-1 All Habitats'!$B$2:$M$130,10,FALSE))</f>
        <v/>
      </c>
      <c r="I253" s="176" t="str">
        <f>IFERROR(VLOOKUP(H253,'G-1 All Habitats'!$V$3:$W$7,2,FALSE),"")</f>
        <v/>
      </c>
      <c r="J253" s="270"/>
      <c r="K253" s="176" t="str">
        <f>IFERROR(INDEX('G-8 Condition Look up'!$A$3:$H$131,MATCH(F253,'G-8 Condition Look up'!$A$3:$A$131,0),MATCH(J253,'G-8 Condition Look up'!$A$3:$H$3,0)),"")</f>
        <v/>
      </c>
      <c r="L253" s="173"/>
      <c r="M253" s="269" t="str">
        <f>IF(L253="","",IF(VLOOKUP(L253,'G-3 Multipliers'!$L$3:$N$6,2,FALSE)=0,"Spatial Data Missing",VLOOKUP(L253,'G-3 Multipliers'!$L$3:$N$6,2,FALSE)))</f>
        <v/>
      </c>
      <c r="N253" s="172" t="str">
        <f>IF(L253="","",IF(VLOOKUP(L253,'G-3 Multipliers'!$L$3:$N$6,3,FALSE)=0,"Spatial Data Missing",VLOOKUP(L253,'G-3 Multipliers'!$L$3:$N$6,3,FALSE)))</f>
        <v/>
      </c>
      <c r="O253" s="171" t="str">
        <f t="shared" si="15"/>
        <v/>
      </c>
      <c r="P253" s="261"/>
      <c r="Q253" s="261"/>
      <c r="R253" s="343" t="str">
        <f t="shared" si="16"/>
        <v/>
      </c>
      <c r="S253" s="352" t="str">
        <f t="shared" si="17"/>
        <v/>
      </c>
      <c r="T253" s="593" t="str">
        <f>IFERROR(IF(S253="Check Data","Check Data",VLOOKUP(S253,'G-4 Temporal multipliers'!$A$4:$C$37,3,FALSE)),"")</f>
        <v/>
      </c>
      <c r="U253" s="592" t="str">
        <f>IF(F253="","",VLOOKUP(F253,'G-3 Multipliers'!$A$2:$E$130,2,FALSE))</f>
        <v/>
      </c>
      <c r="V253" s="343" t="str">
        <f t="shared" si="18"/>
        <v/>
      </c>
      <c r="W253" s="343" t="str">
        <f>IF(E253="","",IF(AND(V253="Standard difficulty applied",O253&gt;P253),U253,IF(AND(V253="Low Difficulty - only applicable if all habitat created before losses",P253&gt;=O253),"Low",VLOOKUP(F253,'G-3 Multipliers'!$A$2:$E$130,4,FALSE))))</f>
        <v/>
      </c>
      <c r="X253" s="345" t="str">
        <f>IFERROR(IF(E253="","",VLOOKUP(W253, 'G-3 Multipliers'!$P$2:$Q$6,2,FALSE)),””)</f>
        <v/>
      </c>
      <c r="Y253" s="266"/>
      <c r="Z253" s="172" t="str">
        <f>IF(Y253="","",IF(VLOOKUP(Y253,'G-3 Multipliers'!$S$3:$T$9,2,FALSE)=0,"Spatial Data Missing",VLOOKUP(Y253,'G-3 Multipliers'!$S$3:$T$9,2,FALSE)))</f>
        <v/>
      </c>
      <c r="AA253" s="265" t="str">
        <f t="shared" si="19"/>
        <v/>
      </c>
      <c r="AB253" s="180"/>
      <c r="AC253" s="181"/>
    </row>
    <row r="254" spans="1:29" ht="13.8" x14ac:dyDescent="0.25">
      <c r="A254" s="35" t="str">
        <f>IFERROR(INDEX('G-8 Condition Look up'!$I$4:$I$131,MATCH(F254,'G-8 Condition Look up'!$A$4:$A$131,0)),"")</f>
        <v/>
      </c>
      <c r="C254" s="363" t="str">
        <f>IFERROR(INDEX('G-1 All Habitats'!$AG$3:$AG$15,MATCH(D254,'G-1 All Habitats'!$AF$3:$AF$15,0)),"")</f>
        <v/>
      </c>
      <c r="D254" s="186"/>
      <c r="E254" s="275"/>
      <c r="F254" s="362" t="str">
        <f>IFERROR(INDEX('G-1 All Habitats'!$B$3:$B$130,MATCH(E254,'G-1 All Habitats'!$A$3:$A$130,0)),"")</f>
        <v/>
      </c>
      <c r="G254" s="598"/>
      <c r="H254" s="239" t="str">
        <f>IF(F254="","",VLOOKUP(F254,'G-1 All Habitats'!$B$2:$M$130,10,FALSE))</f>
        <v/>
      </c>
      <c r="I254" s="176" t="str">
        <f>IFERROR(VLOOKUP(H254,'G-1 All Habitats'!$V$3:$W$7,2,FALSE),"")</f>
        <v/>
      </c>
      <c r="J254" s="270"/>
      <c r="K254" s="176" t="str">
        <f>IFERROR(INDEX('G-8 Condition Look up'!$A$3:$H$131,MATCH(F254,'G-8 Condition Look up'!$A$3:$A$131,0),MATCH(J254,'G-8 Condition Look up'!$A$3:$H$3,0)),"")</f>
        <v/>
      </c>
      <c r="L254" s="173"/>
      <c r="M254" s="269" t="str">
        <f>IF(L254="","",IF(VLOOKUP(L254,'G-3 Multipliers'!$L$3:$N$6,2,FALSE)=0,"Spatial Data Missing",VLOOKUP(L254,'G-3 Multipliers'!$L$3:$N$6,2,FALSE)))</f>
        <v/>
      </c>
      <c r="N254" s="172" t="str">
        <f>IF(L254="","",IF(VLOOKUP(L254,'G-3 Multipliers'!$L$3:$N$6,3,FALSE)=0,"Spatial Data Missing",VLOOKUP(L254,'G-3 Multipliers'!$L$3:$N$6,3,FALSE)))</f>
        <v/>
      </c>
      <c r="O254" s="171" t="str">
        <f t="shared" si="15"/>
        <v/>
      </c>
      <c r="P254" s="261"/>
      <c r="Q254" s="261"/>
      <c r="R254" s="343" t="str">
        <f t="shared" si="16"/>
        <v/>
      </c>
      <c r="S254" s="352" t="str">
        <f t="shared" si="17"/>
        <v/>
      </c>
      <c r="T254" s="593" t="str">
        <f>IFERROR(IF(S254="Check Data","Check Data",VLOOKUP(S254,'G-4 Temporal multipliers'!$A$4:$C$37,3,FALSE)),"")</f>
        <v/>
      </c>
      <c r="U254" s="592" t="str">
        <f>IF(F254="","",VLOOKUP(F254,'G-3 Multipliers'!$A$2:$E$130,2,FALSE))</f>
        <v/>
      </c>
      <c r="V254" s="343" t="str">
        <f t="shared" si="18"/>
        <v/>
      </c>
      <c r="W254" s="343" t="str">
        <f>IF(E254="","",IF(AND(V254="Standard difficulty applied",O254&gt;P254),U254,IF(AND(V254="Low Difficulty - only applicable if all habitat created before losses",P254&gt;=O254),"Low",VLOOKUP(F254,'G-3 Multipliers'!$A$2:$E$130,4,FALSE))))</f>
        <v/>
      </c>
      <c r="X254" s="345" t="str">
        <f>IFERROR(IF(E254="","",VLOOKUP(W254, 'G-3 Multipliers'!$P$2:$Q$6,2,FALSE)),””)</f>
        <v/>
      </c>
      <c r="Y254" s="266"/>
      <c r="Z254" s="172" t="str">
        <f>IF(Y254="","",IF(VLOOKUP(Y254,'G-3 Multipliers'!$S$3:$T$9,2,FALSE)=0,"Spatial Data Missing",VLOOKUP(Y254,'G-3 Multipliers'!$S$3:$T$9,2,FALSE)))</f>
        <v/>
      </c>
      <c r="AA254" s="265" t="str">
        <f t="shared" si="19"/>
        <v/>
      </c>
      <c r="AB254" s="180"/>
      <c r="AC254" s="181"/>
    </row>
    <row r="255" spans="1:29" ht="13.8" x14ac:dyDescent="0.25">
      <c r="A255" s="35" t="str">
        <f>IFERROR(INDEX('G-8 Condition Look up'!$I$4:$I$131,MATCH(F255,'G-8 Condition Look up'!$A$4:$A$131,0)),"")</f>
        <v/>
      </c>
      <c r="C255" s="363" t="str">
        <f>IFERROR(INDEX('G-1 All Habitats'!$AG$3:$AG$15,MATCH(D255,'G-1 All Habitats'!$AF$3:$AF$15,0)),"")</f>
        <v/>
      </c>
      <c r="D255" s="186"/>
      <c r="E255" s="275"/>
      <c r="F255" s="362" t="str">
        <f>IFERROR(INDEX('G-1 All Habitats'!$B$3:$B$130,MATCH(E255,'G-1 All Habitats'!$A$3:$A$130,0)),"")</f>
        <v/>
      </c>
      <c r="G255" s="598"/>
      <c r="H255" s="239" t="str">
        <f>IF(F255="","",VLOOKUP(F255,'G-1 All Habitats'!$B$2:$M$130,10,FALSE))</f>
        <v/>
      </c>
      <c r="I255" s="176" t="str">
        <f>IFERROR(VLOOKUP(H255,'G-1 All Habitats'!$V$3:$W$7,2,FALSE),"")</f>
        <v/>
      </c>
      <c r="J255" s="270"/>
      <c r="K255" s="176" t="str">
        <f>IFERROR(INDEX('G-8 Condition Look up'!$A$3:$H$131,MATCH(F255,'G-8 Condition Look up'!$A$3:$A$131,0),MATCH(J255,'G-8 Condition Look up'!$A$3:$H$3,0)),"")</f>
        <v/>
      </c>
      <c r="L255" s="173"/>
      <c r="M255" s="269" t="str">
        <f>IF(L255="","",IF(VLOOKUP(L255,'G-3 Multipliers'!$L$3:$N$6,2,FALSE)=0,"Spatial Data Missing",VLOOKUP(L255,'G-3 Multipliers'!$L$3:$N$6,2,FALSE)))</f>
        <v/>
      </c>
      <c r="N255" s="172" t="str">
        <f>IF(L255="","",IF(VLOOKUP(L255,'G-3 Multipliers'!$L$3:$N$6,3,FALSE)=0,"Spatial Data Missing",VLOOKUP(L255,'G-3 Multipliers'!$L$3:$N$6,3,FALSE)))</f>
        <v/>
      </c>
      <c r="O255" s="171" t="str">
        <f t="shared" si="15"/>
        <v/>
      </c>
      <c r="P255" s="261"/>
      <c r="Q255" s="261"/>
      <c r="R255" s="343" t="str">
        <f t="shared" si="16"/>
        <v/>
      </c>
      <c r="S255" s="352" t="str">
        <f t="shared" si="17"/>
        <v/>
      </c>
      <c r="T255" s="593" t="str">
        <f>IFERROR(IF(S255="Check Data","Check Data",VLOOKUP(S255,'G-4 Temporal multipliers'!$A$4:$C$37,3,FALSE)),"")</f>
        <v/>
      </c>
      <c r="U255" s="592" t="str">
        <f>IF(F255="","",VLOOKUP(F255,'G-3 Multipliers'!$A$2:$E$130,2,FALSE))</f>
        <v/>
      </c>
      <c r="V255" s="343" t="str">
        <f t="shared" si="18"/>
        <v/>
      </c>
      <c r="W255" s="343" t="str">
        <f>IF(E255="","",IF(AND(V255="Standard difficulty applied",O255&gt;P255),U255,IF(AND(V255="Low Difficulty - only applicable if all habitat created before losses",P255&gt;=O255),"Low",VLOOKUP(F255,'G-3 Multipliers'!$A$2:$E$130,4,FALSE))))</f>
        <v/>
      </c>
      <c r="X255" s="345" t="str">
        <f>IFERROR(IF(E255="","",VLOOKUP(W255, 'G-3 Multipliers'!$P$2:$Q$6,2,FALSE)),””)</f>
        <v/>
      </c>
      <c r="Y255" s="266"/>
      <c r="Z255" s="172" t="str">
        <f>IF(Y255="","",IF(VLOOKUP(Y255,'G-3 Multipliers'!$S$3:$T$9,2,FALSE)=0,"Spatial Data Missing",VLOOKUP(Y255,'G-3 Multipliers'!$S$3:$T$9,2,FALSE)))</f>
        <v/>
      </c>
      <c r="AA255" s="265" t="str">
        <f t="shared" si="19"/>
        <v/>
      </c>
      <c r="AB255" s="180"/>
      <c r="AC255" s="181"/>
    </row>
    <row r="256" spans="1:29" ht="14.4" thickBot="1" x14ac:dyDescent="0.3">
      <c r="A256" s="35" t="str">
        <f>IFERROR(INDEX('G-8 Condition Look up'!$I$4:$I$131,MATCH(F256,'G-8 Condition Look up'!$A$4:$A$131,0)),"")</f>
        <v/>
      </c>
      <c r="C256" s="363" t="str">
        <f>IFERROR(INDEX('G-1 All Habitats'!$AG$3:$AG$15,MATCH(D256,'G-1 All Habitats'!$AF$3:$AF$15,0)),"")</f>
        <v/>
      </c>
      <c r="D256" s="193"/>
      <c r="E256" s="279"/>
      <c r="F256" s="493" t="str">
        <f>IFERROR(INDEX('G-1 All Habitats'!$B$3:$B$130,MATCH(E256,'G-1 All Habitats'!$A$3:$A$130,0)),"")</f>
        <v/>
      </c>
      <c r="G256" s="599"/>
      <c r="H256" s="248" t="str">
        <f>IF(F256="","",VLOOKUP(F256,'G-1 All Habitats'!$B$2:$M$130,10,FALSE))</f>
        <v/>
      </c>
      <c r="I256" s="195" t="str">
        <f>IFERROR(VLOOKUP(H256,'G-1 All Habitats'!$V$3:$W$7,2,FALSE),"")</f>
        <v/>
      </c>
      <c r="J256" s="396"/>
      <c r="K256" s="195" t="str">
        <f>IFERROR(INDEX('G-8 Condition Look up'!$A$3:$H$131,MATCH(F256,'G-8 Condition Look up'!$A$3:$A$131,0),MATCH(J256,'G-8 Condition Look up'!$A$3:$H$3,0)),"")</f>
        <v/>
      </c>
      <c r="L256" s="193"/>
      <c r="M256" s="401" t="str">
        <f>IF(L256="","",IF(VLOOKUP(L256,'G-3 Multipliers'!$L$3:$N$6,2,FALSE)=0,"Spatial Data Missing",VLOOKUP(L256,'G-3 Multipliers'!$L$3:$N$6,2,FALSE)))</f>
        <v/>
      </c>
      <c r="N256" s="195" t="str">
        <f>IF(L256="","",IF(VLOOKUP(L256,'G-3 Multipliers'!$L$3:$N$6,3,FALSE)=0,"Spatial Data Missing",VLOOKUP(L256,'G-3 Multipliers'!$L$3:$N$6,3,FALSE)))</f>
        <v/>
      </c>
      <c r="O256" s="248" t="str">
        <f t="shared" si="15"/>
        <v/>
      </c>
      <c r="P256" s="279"/>
      <c r="Q256" s="279"/>
      <c r="R256" s="357" t="str">
        <f t="shared" si="16"/>
        <v/>
      </c>
      <c r="S256" s="489" t="str">
        <f t="shared" si="17"/>
        <v/>
      </c>
      <c r="T256" s="495" t="str">
        <f>IFERROR(IF(S256="Check Data","Check Data",VLOOKUP(S256,'G-4 Temporal multipliers'!$A$4:$C$37,3,FALSE)),"")</f>
        <v/>
      </c>
      <c r="U256" s="594" t="str">
        <f>IF(F256="","",VLOOKUP(F256,'G-3 Multipliers'!$A$2:$E$130,2,FALSE))</f>
        <v/>
      </c>
      <c r="V256" s="357" t="str">
        <f t="shared" si="18"/>
        <v/>
      </c>
      <c r="W256" s="357" t="str">
        <f>IF(E256="","",IF(AND(V256="Standard difficulty applied",O256&gt;P256),U256,IF(AND(V256="Low Difficulty - only applicable if all habitat created before losses",P256&gt;=O256),"Low",VLOOKUP(F256,'G-3 Multipliers'!$A$2:$E$130,4,FALSE))))</f>
        <v/>
      </c>
      <c r="X256" s="359" t="str">
        <f>IFERROR(IF(E256="","",VLOOKUP(W256, 'G-3 Multipliers'!$P$2:$Q$6,2,FALSE)),””)</f>
        <v/>
      </c>
      <c r="Y256" s="397"/>
      <c r="Z256" s="195" t="str">
        <f>IF(Y256="","",IF(VLOOKUP(Y256,'G-3 Multipliers'!$S$3:$T$9,2,FALSE)=0,"Spatial Data Missing",VLOOKUP(Y256,'G-3 Multipliers'!$S$3:$T$9,2,FALSE)))</f>
        <v/>
      </c>
      <c r="AA256" s="402" t="str">
        <f t="shared" si="19"/>
        <v/>
      </c>
      <c r="AB256" s="197"/>
      <c r="AC256" s="198"/>
    </row>
    <row r="257" spans="5:27" ht="14.4" thickBot="1" x14ac:dyDescent="0.3">
      <c r="E257" s="564" t="s">
        <v>1485</v>
      </c>
      <c r="F257" s="492" t="s">
        <v>794</v>
      </c>
      <c r="G257" s="481">
        <f>IF('Detailed Results'!$K$40&gt;0,"Error",SUMIFS($G$11:$G$256,$F$11:$F$256,"&lt;&gt;"&amp;'G-1 All Habitats'!B74,$F$11:$F$256,"&lt;&gt;"&amp;'G-1 All Habitats'!B61,$F$11:$F$256,"&lt;&gt;"&amp;'G-1 All Habitats'!B65,$F$11:$F$256,"&lt;&gt;"&amp;'G-1 All Habitats'!B66,$F$11:$F$256,"&lt;&gt;"&amp;'G-1 All Habitats'!B67,$F$11:$F$256,"&lt;&gt;"&amp;'G-1 All Habitats'!B68,$F$11:$F$256,"&lt;&gt;"&amp;'G-1 All Habitats'!B69))</f>
        <v>0</v>
      </c>
      <c r="T257" s="201"/>
      <c r="U257" s="201"/>
      <c r="V257" s="201"/>
      <c r="W257" s="201"/>
      <c r="X257" s="201"/>
      <c r="Y257" s="201"/>
      <c r="Z257" s="564" t="s">
        <v>380</v>
      </c>
      <c r="AA257" s="215">
        <f>SUM(AA11:AA256)</f>
        <v>0</v>
      </c>
    </row>
    <row r="258" spans="5:27" ht="13.8" x14ac:dyDescent="0.25"/>
    <row r="259" spans="5:27" ht="13.8" hidden="1" x14ac:dyDescent="0.25">
      <c r="T259" s="35" t="s">
        <v>1064</v>
      </c>
      <c r="U259" s="35" t="s">
        <v>1064</v>
      </c>
      <c r="X259" s="35" t="s">
        <v>1064</v>
      </c>
      <c r="AA259" s="35" t="s">
        <v>1064</v>
      </c>
    </row>
    <row r="260" spans="5:27" ht="13.8" hidden="1" x14ac:dyDescent="0.25">
      <c r="T260" s="35" t="s">
        <v>1064</v>
      </c>
      <c r="U260" s="35" t="s">
        <v>1064</v>
      </c>
      <c r="X260" s="35" t="s">
        <v>1064</v>
      </c>
      <c r="AA260" s="35" t="s">
        <v>1064</v>
      </c>
    </row>
    <row r="261" spans="5:27" ht="13.8" hidden="1" x14ac:dyDescent="0.25"/>
    <row r="262" spans="5:27" ht="13.8" hidden="1" x14ac:dyDescent="0.25"/>
    <row r="263" spans="5:27" ht="13.8" hidden="1" x14ac:dyDescent="0.25"/>
    <row r="264" spans="5:27" ht="13.8" hidden="1" x14ac:dyDescent="0.25"/>
    <row r="265" spans="5:27" ht="13.8" hidden="1" x14ac:dyDescent="0.25"/>
  </sheetData>
  <sheetProtection algorithmName="SHA-512" hashValue="2iRaD53/kAIw5nHHBn28tnDOuvVfe1WpZMFAALPDsn1vj/twCz5epx56NrxgNP9wuWq3Js6mfs44q5G1AcTYZQ==" saltValue="SJN/hd4C7vVtZCkC4NkwhA==" spinCount="100000" sheet="1" objects="1" scenarios="1"/>
  <customSheetViews>
    <customSheetView guid="{8BDA793C-C9C5-4FC6-A0A5-F1109F6D4F22}" topLeftCell="B1">
      <pane ySplit="10" topLeftCell="A11" activePane="bottomLeft" state="frozen"/>
      <selection pane="bottomLeft"/>
    </customSheetView>
  </customSheetViews>
  <mergeCells count="19">
    <mergeCell ref="D9:D10"/>
    <mergeCell ref="E9:E10"/>
    <mergeCell ref="D8:X8"/>
    <mergeCell ref="D3:E4"/>
    <mergeCell ref="D2:E2"/>
    <mergeCell ref="H9:H10"/>
    <mergeCell ref="G9:G10"/>
    <mergeCell ref="F9:F10"/>
    <mergeCell ref="K9:K10"/>
    <mergeCell ref="J9:J10"/>
    <mergeCell ref="I9:I10"/>
    <mergeCell ref="O5:T6"/>
    <mergeCell ref="O2:T3"/>
    <mergeCell ref="AB9:AC9"/>
    <mergeCell ref="L9:N9"/>
    <mergeCell ref="O9:T9"/>
    <mergeCell ref="U9:X9"/>
    <mergeCell ref="Y9:Z9"/>
    <mergeCell ref="AA9:AA10"/>
  </mergeCells>
  <conditionalFormatting sqref="Y11 Y13 Y15 Y17 Y19 Y21 Y23">
    <cfRule type="containsText" dxfId="174" priority="30" operator="containsText" text="Existing Value Not Required">
      <formula>NOT(ISERROR(SEARCH("Existing Value Not Required",Y11)))</formula>
    </cfRule>
    <cfRule type="containsText" dxfId="173" priority="31" operator="containsText" text="Existing Value Required">
      <formula>NOT(ISERROR(SEARCH("Existing Value Required",Y11)))</formula>
    </cfRule>
  </conditionalFormatting>
  <conditionalFormatting sqref="K11">
    <cfRule type="containsText" dxfId="172" priority="29" operator="containsText" text="Not Possible">
      <formula>NOT(ISERROR(SEARCH("Not Possible",K11)))</formula>
    </cfRule>
  </conditionalFormatting>
  <conditionalFormatting sqref="Y12 Y24:Y256 Y14 Y16 Y18 Y20 Y22">
    <cfRule type="containsText" dxfId="171" priority="24" operator="containsText" text="Existing Value Not Required">
      <formula>NOT(ISERROR(SEARCH("Existing Value Not Required",Y12)))</formula>
    </cfRule>
    <cfRule type="containsText" dxfId="170" priority="25" operator="containsText" text="Existing Value Required">
      <formula>NOT(ISERROR(SEARCH("Existing Value Required",Y12)))</formula>
    </cfRule>
  </conditionalFormatting>
  <conditionalFormatting sqref="K12:K256">
    <cfRule type="containsText" dxfId="169" priority="22" operator="containsText" text="Not Possible">
      <formula>NOT(ISERROR(SEARCH("Not Possible",K12)))</formula>
    </cfRule>
  </conditionalFormatting>
  <conditionalFormatting sqref="AA11:AA257">
    <cfRule type="containsText" dxfId="168" priority="20" operator="containsText" text="Existing Value Not Required">
      <formula>NOT(ISERROR(SEARCH("Existing Value Not Required",AA11)))</formula>
    </cfRule>
    <cfRule type="containsText" dxfId="167" priority="21" operator="containsText" text="Existing Value Required">
      <formula>NOT(ISERROR(SEARCH("Existing Value Required",AA11)))</formula>
    </cfRule>
  </conditionalFormatting>
  <conditionalFormatting sqref="M11:N256">
    <cfRule type="containsText" dxfId="166" priority="17" operator="containsText" text="Spatial">
      <formula>NOT(ISERROR(SEARCH("Spatial",M11)))</formula>
    </cfRule>
  </conditionalFormatting>
  <conditionalFormatting sqref="O11:O256">
    <cfRule type="containsText" dxfId="165" priority="16" operator="containsText" text="30+">
      <formula>NOT(ISERROR(SEARCH("30+",O11)))</formula>
    </cfRule>
  </conditionalFormatting>
  <conditionalFormatting sqref="Y11:AA11 AA12:AA257 Y12:Z256">
    <cfRule type="containsText" dxfId="164" priority="13" operator="containsText" text="Check">
      <formula>NOT(ISERROR(SEARCH("Check",Y11)))</formula>
    </cfRule>
    <cfRule type="containsText" dxfId="163" priority="14" operator="containsText" text="Error">
      <formula>NOT(ISERROR(SEARCH("Error",Y11)))</formula>
    </cfRule>
  </conditionalFormatting>
  <conditionalFormatting sqref="Z11:Z256">
    <cfRule type="containsText" dxfId="162" priority="12" operator="containsText" text="Spatial">
      <formula>NOT(ISERROR(SEARCH("Spatial",Z11)))</formula>
    </cfRule>
  </conditionalFormatting>
  <conditionalFormatting sqref="O2 O5 S4">
    <cfRule type="beginsWith" dxfId="161" priority="10" operator="beginsWith" text="Note">
      <formula>LEFT(O2,LEN("Note"))="Note"</formula>
    </cfRule>
  </conditionalFormatting>
  <conditionalFormatting sqref="O5">
    <cfRule type="containsText" dxfId="160" priority="9" operator="containsText" text="Check">
      <formula>NOT(ISERROR(SEARCH("Check",O5)))</formula>
    </cfRule>
  </conditionalFormatting>
  <conditionalFormatting sqref="S11:S256">
    <cfRule type="containsText" dxfId="159" priority="8" operator="containsText" text="30+">
      <formula>NOT(ISERROR(SEARCH("30+",S11)))</formula>
    </cfRule>
  </conditionalFormatting>
  <conditionalFormatting sqref="V11:V256">
    <cfRule type="containsText" dxfId="158" priority="6" operator="containsText" text="No - Low Difficulty">
      <formula>NOT(ISERROR(SEARCH("No - Low Difficulty",V11)))</formula>
    </cfRule>
  </conditionalFormatting>
  <conditionalFormatting sqref="R11:X11 V12:W256 S12:S256">
    <cfRule type="containsText" dxfId="157" priority="5" operator="containsText" text="Error">
      <formula>NOT(ISERROR(SEARCH("Error",R11)))</formula>
    </cfRule>
    <cfRule type="containsText" dxfId="156" priority="7" operator="containsText" text="Check">
      <formula>NOT(ISERROR(SEARCH("Check",R11)))</formula>
    </cfRule>
  </conditionalFormatting>
  <conditionalFormatting sqref="R12:R256 X12:X256 T12:U256">
    <cfRule type="containsText" dxfId="155" priority="1" operator="containsText" text="Error">
      <formula>NOT(ISERROR(SEARCH("Error",R12)))</formula>
    </cfRule>
    <cfRule type="containsText" dxfId="154" priority="3" operator="containsText" text="Check">
      <formula>NOT(ISERROR(SEARCH("Check",R12)))</formula>
    </cfRule>
  </conditionalFormatting>
  <dataValidations count="3">
    <dataValidation type="list" allowBlank="1" showInputMessage="1" showErrorMessage="1" sqref="E11:E256" xr:uid="{00000000-0002-0000-0C00-000000000000}">
      <formula1>INDIRECT(C11)</formula1>
    </dataValidation>
    <dataValidation allowBlank="1" showErrorMessage="1" errorTitle="Invalid Habitat" error="Select from List" sqref="F11:F256" xr:uid="{00000000-0002-0000-0C00-000001000000}"/>
    <dataValidation type="list" allowBlank="1" showInputMessage="1" showErrorMessage="1" sqref="J11:J256" xr:uid="{00000000-0002-0000-0C00-000002000000}">
      <formula1>INDIRECT(A11)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C00-000003000000}">
          <x14:formula1>
            <xm:f>'G-3 Multipliers'!$L$4:$L$6</xm:f>
          </x14:formula1>
          <xm:sqref>L11:L256</xm:sqref>
        </x14:dataValidation>
        <x14:dataValidation type="list" allowBlank="1" showInputMessage="1" showErrorMessage="1" xr:uid="{00000000-0002-0000-0C00-000004000000}">
          <x14:formula1>
            <xm:f>'G-3 Multipliers'!$S$4:$S$9</xm:f>
          </x14:formula1>
          <xm:sqref>Y11:Y256</xm:sqref>
        </x14:dataValidation>
        <x14:dataValidation type="list" allowBlank="1" showInputMessage="1" showErrorMessage="1" xr:uid="{00000000-0002-0000-0C00-000005000000}">
          <x14:formula1>
            <xm:f>'G-1 All Habitats'!$AF$3:$AF$15</xm:f>
          </x14:formula1>
          <xm:sqref>D11:D256</xm:sqref>
        </x14:dataValidation>
        <x14:dataValidation type="list" allowBlank="1" showInputMessage="1" showErrorMessage="1" xr:uid="{00000000-0002-0000-0C00-000006000000}">
          <x14:formula1>
            <xm:f>'G-4 Temporal multipliers'!$A$41:$A$73</xm:f>
          </x14:formula1>
          <xm:sqref>Q11:Q256</xm:sqref>
        </x14:dataValidation>
        <x14:dataValidation type="list" allowBlank="1" showInputMessage="1" showErrorMessage="1" xr:uid="{9F42BFD8-BCC2-4474-AB7B-AD07B16F507A}">
          <x14:formula1>
            <xm:f>'G-4 Temporal multipliers'!$A$41:$A$72</xm:f>
          </x14:formula1>
          <xm:sqref>P11:P256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6">
    <tabColor rgb="FF92D050"/>
  </sheetPr>
  <dimension ref="A1:AV269"/>
  <sheetViews>
    <sheetView showGridLines="0" showRowColHeaders="0" topLeftCell="D1" zoomScaleNormal="100" workbookViewId="0">
      <pane ySplit="11" topLeftCell="A12" activePane="bottomLeft" state="frozen"/>
      <selection activeCell="B18" sqref="B18:I19"/>
      <selection pane="bottomLeft" activeCell="F11" sqref="F11"/>
    </sheetView>
  </sheetViews>
  <sheetFormatPr defaultColWidth="0" defaultRowHeight="13.8" zeroHeight="1" x14ac:dyDescent="0.25"/>
  <cols>
    <col min="1" max="1" width="19.33203125" style="35" hidden="1" customWidth="1"/>
    <col min="2" max="3" width="35" style="35" hidden="1" customWidth="1"/>
    <col min="4" max="4" width="2" style="35" customWidth="1"/>
    <col min="5" max="5" width="12.33203125" style="35" customWidth="1"/>
    <col min="6" max="6" width="73.44140625" style="35" customWidth="1"/>
    <col min="7" max="7" width="9.5546875" style="35" customWidth="1"/>
    <col min="8" max="8" width="18.33203125" style="35" customWidth="1"/>
    <col min="9" max="9" width="19.109375" style="35" customWidth="1"/>
    <col min="10" max="10" width="18.109375" style="35" customWidth="1"/>
    <col min="11" max="11" width="19.33203125" style="35" customWidth="1"/>
    <col min="12" max="12" width="22.33203125" style="35" customWidth="1"/>
    <col min="13" max="13" width="21.5546875" style="35" customWidth="1"/>
    <col min="14" max="14" width="19.33203125" style="35" customWidth="1"/>
    <col min="15" max="15" width="29.6640625" style="35" customWidth="1"/>
    <col min="16" max="16" width="29.6640625" style="35" hidden="1" customWidth="1"/>
    <col min="17" max="17" width="29.6640625" style="35" customWidth="1"/>
    <col min="18" max="18" width="71.33203125" style="35" customWidth="1"/>
    <col min="19" max="19" width="75.5546875" style="35" hidden="1" customWidth="1"/>
    <col min="20" max="21" width="34.33203125" style="35" customWidth="1"/>
    <col min="22" max="22" width="8.109375" style="35" customWidth="1"/>
    <col min="23" max="23" width="18.33203125" style="35" customWidth="1"/>
    <col min="24" max="24" width="13.109375" style="35" customWidth="1"/>
    <col min="25" max="25" width="12.5546875" style="35" bestFit="1" customWidth="1"/>
    <col min="26" max="26" width="12.5546875" style="35" customWidth="1"/>
    <col min="27" max="27" width="41.6640625" style="35" customWidth="1"/>
    <col min="28" max="28" width="20.109375" style="35" customWidth="1"/>
    <col min="29" max="29" width="12.33203125" style="35" customWidth="1"/>
    <col min="30" max="30" width="18.44140625" style="35" customWidth="1"/>
    <col min="31" max="31" width="21.33203125" style="35" customWidth="1"/>
    <col min="32" max="32" width="22.109375" style="35" customWidth="1"/>
    <col min="33" max="33" width="33" style="35" customWidth="1"/>
    <col min="34" max="35" width="18.44140625" style="35" customWidth="1"/>
    <col min="36" max="36" width="15.33203125" style="35" customWidth="1"/>
    <col min="37" max="37" width="28.33203125" style="35" customWidth="1"/>
    <col min="38" max="38" width="20.109375" style="35" customWidth="1"/>
    <col min="39" max="39" width="13.5546875" style="35" customWidth="1"/>
    <col min="40" max="40" width="91.44140625" style="35" customWidth="1"/>
    <col min="41" max="41" width="15.44140625" style="35" customWidth="1"/>
    <col min="42" max="42" width="13.33203125" style="35" customWidth="1"/>
    <col min="43" max="43" width="45.6640625" style="35" customWidth="1"/>
    <col min="44" max="44" width="50.44140625" style="35" customWidth="1"/>
    <col min="45" max="48" width="8.88671875" style="35" customWidth="1"/>
    <col min="49" max="16384" width="8.88671875" style="35" hidden="1"/>
  </cols>
  <sheetData>
    <row r="1" spans="1:44" ht="15.75" customHeight="1" thickBot="1" x14ac:dyDescent="0.3"/>
    <row r="2" spans="1:44" ht="19.95" customHeight="1" thickBot="1" x14ac:dyDescent="0.3">
      <c r="E2" s="785" t="str">
        <f>IF(Start!$F$12="","",Start!$F$12)</f>
        <v>7948: Anglia Square, Norwich</v>
      </c>
      <c r="F2" s="786"/>
      <c r="G2" s="787"/>
      <c r="AD2" s="959" t="str">
        <f>IF(OR(COUNTIF($AD$12:AD257,"*30+*")&gt;0,COUNTIF(AH12:AH257,"*30+*")&gt;0),"Note; Habitat selected has a time to target condition greater than 30 years. Non standard agreement may be required.","")</f>
        <v/>
      </c>
      <c r="AE2" s="959"/>
      <c r="AF2" s="959"/>
      <c r="AG2" s="959"/>
      <c r="AH2" s="959"/>
      <c r="AI2" s="959"/>
    </row>
    <row r="3" spans="1:44" ht="15.75" customHeight="1" thickBot="1" x14ac:dyDescent="0.3">
      <c r="E3" s="1016" t="str">
        <f ca="1">MID(CELL("filename",E1),FIND("]",CELL("filename",E1))+1,256)</f>
        <v>D-3 Off Site Habitat Enhancment</v>
      </c>
      <c r="F3" s="1017"/>
      <c r="G3" s="1018"/>
      <c r="AD3" s="959"/>
      <c r="AE3" s="959"/>
      <c r="AF3" s="959"/>
      <c r="AG3" s="959"/>
      <c r="AH3" s="959"/>
      <c r="AI3" s="959"/>
    </row>
    <row r="4" spans="1:44" ht="15.75" customHeight="1" thickBot="1" x14ac:dyDescent="0.35">
      <c r="E4" s="1016"/>
      <c r="F4" s="1017"/>
      <c r="G4" s="1018"/>
      <c r="AB4" s="37"/>
      <c r="AC4" s="257"/>
      <c r="AD4" s="705"/>
      <c r="AE4" s="705"/>
      <c r="AF4" s="705"/>
      <c r="AG4" s="705"/>
      <c r="AH4" s="257"/>
      <c r="AI4" s="257"/>
      <c r="AJ4" s="257"/>
      <c r="AK4" s="257"/>
      <c r="AL4" s="257"/>
      <c r="AM4" s="257"/>
      <c r="AN4" s="257"/>
    </row>
    <row r="5" spans="1:44" ht="15" customHeight="1" x14ac:dyDescent="0.25">
      <c r="AD5" s="974" t="str">
        <f>IF(Q12&lt;&gt;A12,"Change in broad habitat type detected. Check compliance with guidance.","")</f>
        <v/>
      </c>
      <c r="AE5" s="974"/>
      <c r="AF5" s="974"/>
      <c r="AG5" s="974"/>
      <c r="AH5" s="974"/>
      <c r="AI5" s="974"/>
    </row>
    <row r="6" spans="1:44" ht="15.75" customHeight="1" x14ac:dyDescent="0.25">
      <c r="AD6" s="974"/>
      <c r="AE6" s="974"/>
      <c r="AF6" s="974"/>
      <c r="AG6" s="974"/>
      <c r="AH6" s="974"/>
      <c r="AI6" s="974"/>
    </row>
    <row r="7" spans="1:44" x14ac:dyDescent="0.25">
      <c r="F7" s="159"/>
      <c r="G7" s="158"/>
    </row>
    <row r="8" spans="1:44" ht="14.4" thickBot="1" x14ac:dyDescent="0.3"/>
    <row r="9" spans="1:44" ht="14.4" thickBot="1" x14ac:dyDescent="0.3"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995" t="s">
        <v>990</v>
      </c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6"/>
      <c r="AO9" s="997"/>
    </row>
    <row r="10" spans="1:44" ht="30.6" customHeight="1" thickBot="1" x14ac:dyDescent="0.3">
      <c r="F10" s="995" t="s">
        <v>1003</v>
      </c>
      <c r="G10" s="996"/>
      <c r="H10" s="996"/>
      <c r="I10" s="996"/>
      <c r="J10" s="996"/>
      <c r="K10" s="996"/>
      <c r="L10" s="996"/>
      <c r="M10" s="996"/>
      <c r="N10" s="996"/>
      <c r="O10" s="997"/>
      <c r="P10" s="326"/>
      <c r="Q10" s="1002" t="s">
        <v>1312</v>
      </c>
      <c r="R10" s="1003"/>
      <c r="S10" s="612"/>
      <c r="T10" s="1002" t="s">
        <v>1065</v>
      </c>
      <c r="U10" s="1003"/>
      <c r="V10" s="1009" t="s">
        <v>139</v>
      </c>
      <c r="W10" s="1007" t="s">
        <v>127</v>
      </c>
      <c r="X10" s="1007" t="s">
        <v>140</v>
      </c>
      <c r="Y10" s="1007" t="s">
        <v>141</v>
      </c>
      <c r="Z10" s="1005" t="s">
        <v>140</v>
      </c>
      <c r="AA10" s="1002" t="s">
        <v>362</v>
      </c>
      <c r="AB10" s="1004"/>
      <c r="AC10" s="1004"/>
      <c r="AD10" s="1011" t="s">
        <v>988</v>
      </c>
      <c r="AE10" s="1012"/>
      <c r="AF10" s="1012"/>
      <c r="AG10" s="1012"/>
      <c r="AH10" s="1012"/>
      <c r="AI10" s="1013"/>
      <c r="AJ10" s="1011" t="s">
        <v>989</v>
      </c>
      <c r="AK10" s="1012"/>
      <c r="AL10" s="1012"/>
      <c r="AM10" s="1013"/>
      <c r="AN10" s="1002" t="s">
        <v>1027</v>
      </c>
      <c r="AO10" s="1003"/>
      <c r="AP10" s="1014" t="s">
        <v>993</v>
      </c>
      <c r="AQ10" s="1002" t="s">
        <v>145</v>
      </c>
      <c r="AR10" s="1003"/>
    </row>
    <row r="11" spans="1:44" ht="51.6" customHeight="1" thickBot="1" x14ac:dyDescent="0.3">
      <c r="A11" s="158" t="s">
        <v>372</v>
      </c>
      <c r="B11" s="158" t="s">
        <v>307</v>
      </c>
      <c r="C11" s="158" t="s">
        <v>1298</v>
      </c>
      <c r="E11" s="162" t="s">
        <v>840</v>
      </c>
      <c r="F11" s="163" t="s">
        <v>997</v>
      </c>
      <c r="G11" s="163" t="s">
        <v>998</v>
      </c>
      <c r="H11" s="163" t="s">
        <v>999</v>
      </c>
      <c r="I11" s="163" t="s">
        <v>1000</v>
      </c>
      <c r="J11" s="163" t="s">
        <v>1001</v>
      </c>
      <c r="K11" s="163" t="s">
        <v>1002</v>
      </c>
      <c r="L11" s="163" t="s">
        <v>1004</v>
      </c>
      <c r="M11" s="163" t="s">
        <v>1005</v>
      </c>
      <c r="N11" s="163" t="s">
        <v>1006</v>
      </c>
      <c r="O11" s="164" t="s">
        <v>1059</v>
      </c>
      <c r="P11" s="327" t="s">
        <v>1291</v>
      </c>
      <c r="Q11" s="561" t="s">
        <v>1313</v>
      </c>
      <c r="R11" s="273" t="s">
        <v>1311</v>
      </c>
      <c r="S11" s="611" t="s">
        <v>1214</v>
      </c>
      <c r="T11" s="561" t="s">
        <v>1045</v>
      </c>
      <c r="U11" s="273" t="s">
        <v>1046</v>
      </c>
      <c r="V11" s="1010"/>
      <c r="W11" s="1008"/>
      <c r="X11" s="1008"/>
      <c r="Y11" s="1008"/>
      <c r="Z11" s="1006"/>
      <c r="AA11" s="561" t="s">
        <v>362</v>
      </c>
      <c r="AB11" s="272" t="s">
        <v>362</v>
      </c>
      <c r="AC11" s="273" t="s">
        <v>983</v>
      </c>
      <c r="AD11" s="561" t="s">
        <v>1180</v>
      </c>
      <c r="AE11" s="272" t="s">
        <v>1202</v>
      </c>
      <c r="AF11" s="272" t="s">
        <v>1478</v>
      </c>
      <c r="AG11" s="272" t="s">
        <v>1179</v>
      </c>
      <c r="AH11" s="272" t="s">
        <v>1183</v>
      </c>
      <c r="AI11" s="273" t="s">
        <v>1181</v>
      </c>
      <c r="AJ11" s="561" t="s">
        <v>1008</v>
      </c>
      <c r="AK11" s="272" t="s">
        <v>1487</v>
      </c>
      <c r="AL11" s="272" t="s">
        <v>311</v>
      </c>
      <c r="AM11" s="273" t="s">
        <v>1182</v>
      </c>
      <c r="AN11" s="287" t="s">
        <v>1028</v>
      </c>
      <c r="AO11" s="328" t="s">
        <v>1027</v>
      </c>
      <c r="AP11" s="1015"/>
      <c r="AQ11" s="168" t="s">
        <v>991</v>
      </c>
      <c r="AR11" s="552" t="s">
        <v>992</v>
      </c>
    </row>
    <row r="12" spans="1:44" x14ac:dyDescent="0.25">
      <c r="A12" s="35" t="str">
        <f>IF(E12="","",IF(ISNA(VLOOKUP($E12,'D-1 Off Site Habitat Baseline'!$D$1:$O$258,2,FALSE)),"",(VLOOKUP($E12,'D-1 Off Site Habitat Baseline'!$D$1:$O$258,2,FALSE))))</f>
        <v/>
      </c>
      <c r="B12" s="35" t="str">
        <f>IF(E12="","",IF(ISNA(VLOOKUP($E12,'D-1 Off Site Habitat Baseline'!$D$1:$O$258,3,FALSE)),"",(VLOOKUP($E12,'D-1 Off Site Habitat Baseline'!$D$1:$O$258,3,FALSE))))</f>
        <v/>
      </c>
      <c r="C12" s="35" t="str">
        <f>IFERROR(INDEX('G-8 Condition Look up'!$I$4:$I$131,MATCH(S12,'G-8 Condition Look up'!$A$4:$A$131,0)),"")</f>
        <v/>
      </c>
      <c r="E12" s="329" t="str">
        <f>'D-1 Off Site Habitat Baseline'!AL11</f>
        <v/>
      </c>
      <c r="F12" s="175" t="str">
        <f>IF(E12="","",IF(ISNA(VLOOKUP($E12,'D-1 Off Site Habitat Baseline'!$D$1:$O$258,4,FALSE)),"",(VLOOKUP($E12,'D-1 Off Site Habitat Baseline'!$D$1:$O$258,4,FALSE))))</f>
        <v/>
      </c>
      <c r="G12" s="175" t="str">
        <f>IF(E12="","",IF(ISNA(VLOOKUP($E12,'D-1 Off Site Habitat Baseline'!$D$1:$O$258,5,FALSE)),"",(VLOOKUP($E12,'D-1 Off Site Habitat Baseline'!$D$1:$O$258,5,FALSE))))</f>
        <v/>
      </c>
      <c r="H12" s="175" t="str">
        <f>IF(E12="","",IF(ISNA(VLOOKUP($E12,'D-1 Off Site Habitat Baseline'!$D$1:$O$258,6,FALSE)),"",(VLOOKUP($E12,'D-1 Off Site Habitat Baseline'!$D$1:$O$258,6,FALSE))))</f>
        <v/>
      </c>
      <c r="I12" s="175" t="str">
        <f>IF(E12="","",IF(ISNA(VLOOKUP($E12,'D-1 Off Site Habitat Baseline'!$D$1:$O$258,7,FALSE)),"",(VLOOKUP($E12,'D-1 Off Site Habitat Baseline'!$D$1:$O$258,7,FALSE))))</f>
        <v/>
      </c>
      <c r="J12" s="175" t="str">
        <f>IF(E12="","",IF(ISNA(VLOOKUP($E12,'D-1 Off Site Habitat Baseline'!$D$1:$O$258,8,FALSE)),"",(VLOOKUP($E12,'D-1 Off Site Habitat Baseline'!$D$1:$O$258,8,FALSE))))</f>
        <v/>
      </c>
      <c r="K12" s="175" t="str">
        <f>IF(E12="","",IF(ISNA(VLOOKUP($E12,'D-1 Off Site Habitat Baseline'!$D$1:$O$258,9,FALSE)),"",(VLOOKUP($E12,'D-1 Off Site Habitat Baseline'!$D$1:$O$258,9,FALSE))))</f>
        <v/>
      </c>
      <c r="L12" s="175" t="str">
        <f>IF(E12="","",IF(ISNA(VLOOKUP($E12,'D-1 Off Site Habitat Baseline'!$D$1:$O$258,11,FALSE)),"",(VLOOKUP($E12,'D-1 Off Site Habitat Baseline'!$D$1:$O$258,11,FALSE))))</f>
        <v/>
      </c>
      <c r="M12" s="175" t="str">
        <f>IF(E12="","",IF(ISNA(VLOOKUP($E12,'D-1 Off Site Habitat Baseline'!$D$1:$O$258,12,FALSE)),"",(VLOOKUP($E12,'D-1 Off Site Habitat Baseline'!$D$1:$O$258,12,FALSE))))</f>
        <v/>
      </c>
      <c r="N12" s="175" t="str">
        <f>IF(E12="","",IF(ISNA(VLOOKUP($E12,'D-1 Off Site Habitat Baseline'!$D$1:$X$258,14,FALSE)),"",(VLOOKUP($E12,'D-1 Off Site Habitat Baseline'!$D$1:$X$258,14,FALSE))))</f>
        <v/>
      </c>
      <c r="O12" s="176" t="str">
        <f>IF(E12="","",IF(ISNA(VLOOKUP($E12,'D-1 Off Site Habitat Baseline'!$D$1:$X$258,13,FALSE)),"",(VLOOKUP($E12,'D-1 Off Site Habitat Baseline'!$D$1:$X$258,13,FALSE))))</f>
        <v/>
      </c>
      <c r="P12" s="330" t="str">
        <f>IFERROR(INDEX('G-1 All Habitats'!$AG$3:$AG$15,MATCH(Q12,'G-1 All Habitats'!$AF$3:$AF$15,0)),"")</f>
        <v/>
      </c>
      <c r="Q12" s="331" t="str">
        <f t="shared" ref="Q12" si="0">A12</f>
        <v/>
      </c>
      <c r="R12" s="332" t="str">
        <f t="shared" ref="R12" si="1">B12</f>
        <v/>
      </c>
      <c r="S12" s="333" t="str">
        <f>IFERROR(INDEX('G-1 All Habitats'!$B$3:$B$130,MATCH(R12,'G-1 All Habitats'!$A$3:$A$130,0)),"")</f>
        <v/>
      </c>
      <c r="T12" s="179" t="str">
        <f>IF(E12="","",IF(AND(LEFT(O12,6)="Same d",I12&gt;X12),"Error - Trading rules not satisfied",IF(AND(LEFT(O12,6)="Same b",AND(LEFT(F12,5)&lt;&gt;LEFT(S12,5),I12&gt;X12)),"Error - Trading rules not satisfied",IF(AND(LEFT(O12,6)="Same h",F12&lt;&gt;S12),"Error - Trading rules not satisfied",IF(AND(LEFT(O12,6)="Bespok",F12&lt;&gt;S12),"Error - Trading rules not satisfied",IF(X12&lt;I12,"Error Trading Down",H12&amp;" - "&amp;W12))))))</f>
        <v/>
      </c>
      <c r="U12" s="176" t="str">
        <f>IF(F12="","",IF(AND(LEFT(F12,55)&lt;&gt;LEFT(S12,55),T12= "High - High"),"Error - Not like for like",IF(AND(I12=X12,K12&gt;Z12),"Error - Can not reduce condition",IF(AND(I12=X12,K12=Z12),"Error - No enhancement",IF(X12&lt;I12,"Error Trading Down",IF(AND(F12&lt;&gt;S12,I12&lt;X12),"Lower Distinctiveness Habitat"&amp;" - "&amp;Y12,J12&amp;" - "&amp;Y12))))))</f>
        <v/>
      </c>
      <c r="V12" s="334" t="str">
        <f t="shared" ref="V12:V75" si="2">IF(S12="","",VLOOKUP(E12,BaselineHabOffsite,17,FALSE))</f>
        <v/>
      </c>
      <c r="W12" s="175" t="str">
        <f>IF(S12="","",VLOOKUP(S12,'G-1 All Habitats'!$B$2:$M$130,10,FALSE))</f>
        <v/>
      </c>
      <c r="X12" s="175" t="str">
        <f>IFERROR(VLOOKUP(W12,'G-1 All Habitats'!$V$3:$W$7,2,FALSE),"")</f>
        <v/>
      </c>
      <c r="Y12" s="275"/>
      <c r="Z12" s="176" t="str">
        <f>IFERROR(INDEX('G-8 Condition Look up'!$A$3:$H$131,MATCH(S12,'G-8 Condition Look up'!$A$3:$A$131,0),MATCH(Y12,'G-8 Condition Look up'!$A$3:$H$3,0)),"")</f>
        <v/>
      </c>
      <c r="AA12" s="173"/>
      <c r="AB12" s="269" t="str">
        <f>IF(AA12="","",IF(VLOOKUP(AA12,'G-3 Multipliers'!$L$3:$N$6,2,FALSE)=0,"Spatial Data Missing",VLOOKUP(AA12,'G-3 Multipliers'!$L$3:$N$6,2,FALSE)))</f>
        <v/>
      </c>
      <c r="AC12" s="176" t="str">
        <f>IF(AA12="","",IF(VLOOKUP(AA12,'G-3 Multipliers'!$L$3:$N$6,3,FALSE)=0,"Spatial Data Missing",VLOOKUP(AA12,'G-3 Multipliers'!$L$3:$N$6,3,FALSE)))</f>
        <v/>
      </c>
      <c r="AD12" s="239" t="str">
        <f t="shared" ref="AD12:AD75" si="3">IFERROR(IF(OR(LEFT(U12,5)="Error",LEFT(T12,5)="Error"),"Check Data",INDEX(EnhanceTemporal,MATCH(S12,EnhanceHabitat,0),MATCH(U12,EnhanceCondition,0))),"")</f>
        <v/>
      </c>
      <c r="AE12" s="275"/>
      <c r="AF12" s="275"/>
      <c r="AG12" s="175" t="str">
        <f>IF(AD12="","",IF(AD12="Check Data","Check Data",IF(R12="","",IF(AND(AE12&gt;0,AF12&gt;0),"Error -both advance and delayed habitat creation",IF(AND(OR(AE12="Habitat already in target condition",AD12&lt;=AE12),AF12=0),"Check details - Is there evidence that habitat has reached target condition?",IF(O11="","",IF(AE12&gt;0,"Check details - Is there evidence habitat creation started/in place?",IF(AF12&gt;0,"Check details- Delay in starting habitat in required condition?","Standard time to target condition applied"))))))))</f>
        <v/>
      </c>
      <c r="AH12" s="242" t="str">
        <f>IF(LEFT(AG12,5)="Error","Check Data",IF(AG12="Check Data","Check Data",IF(AD12="","",IF(AD12="Not Possible","CheckData",IF(AND(AD12="30+",AE12=0),"30+",IF(AND(AD12="30+",AE12="30+"),0,IF(AND(AD12="30+",AE12&lt;30),30-AE12,IF(AD12="30+",30-AE12,IF(AF12="30+","30+",IF(AE12&gt;AD12,0,IF(AD12+AF12&gt;30,"30+",IF(AD12+AF12&gt;30,"30+",IF(AD12-AE12&gt;30,"30+",IF(AD12+AF12-AE12&gt;0,AD12+AF12-AE12,IF(AD12-AE12&gt;0,AD12-AE12,AD12+AF12-AE12)))))))))))))))</f>
        <v/>
      </c>
      <c r="AI12" s="335" t="str">
        <f>IF(AH12="Check Data","Check Data",IFERROR(VLOOKUP(AH12,'G-4 Temporal multipliers'!$A$4:$C$36,3,FALSE),""))</f>
        <v/>
      </c>
      <c r="AJ12" s="239" t="str">
        <f>IF(S12="","",VLOOKUP(S12,'G-3 Multipliers'!$A$2:$E$130,4,FALSE))</f>
        <v/>
      </c>
      <c r="AK12" s="175" t="str">
        <f>IF(E12="","",IF(AG12="Check details - Is there evidence that habitat has reached target condition?","Low Difficulty - only applicable if all habitat created before losses","Standard difficulty applied"))</f>
        <v/>
      </c>
      <c r="AL12" s="175" t="str">
        <f>(IF(AND(AK12="Standard difficulty applied",AD12&gt;AE12),AJ12,IF(AND(AK12="Low Difficulty - only applicable if all habitat created before losses",AE12&gt;=AD12),"Low", AJ12)))</f>
        <v/>
      </c>
      <c r="AM12" s="176" t="str">
        <f>IFERROR(IF(F12="","",IF(AH12="Check Data","Check Data",VLOOKUP(AL12, 'G-3 Multipliers'!$P$2:$Q$6,2,FALSE))),””)</f>
        <v/>
      </c>
      <c r="AN12" s="266"/>
      <c r="AO12" s="269" t="str">
        <f>IF(AN12="","",IF(VLOOKUP(AN12,'G-3 Multipliers'!$S$3:$T$9,2,FALSE)=0,"Spatial Data Missing",VLOOKUP(AN12,'G-3 Multipliers'!$S$3:$T$9,2,FALSE)))</f>
        <v/>
      </c>
      <c r="AP12" s="207" t="str">
        <f>IFERROR(((((V12*X12*Z12)-(V12*I12*K12))*(AM12*AI12))+(V12*I12*K12))*(AC12)*AO12,"")</f>
        <v/>
      </c>
      <c r="AQ12" s="336"/>
      <c r="AR12" s="181"/>
    </row>
    <row r="13" spans="1:44" x14ac:dyDescent="0.25">
      <c r="A13" s="35" t="str">
        <f>IF(E13="","",IF(ISNA(VLOOKUP($E13,'D-1 Off Site Habitat Baseline'!$D$1:$O$258,2,FALSE)),"",(VLOOKUP($E13,'D-1 Off Site Habitat Baseline'!$D$1:$O$258,2,FALSE))))</f>
        <v/>
      </c>
      <c r="B13" s="35" t="str">
        <f>IF(E13="","",IF(ISNA(VLOOKUP($E13,'D-1 Off Site Habitat Baseline'!$D$1:$O$258,3,FALSE)),"",(VLOOKUP($E13,'D-1 Off Site Habitat Baseline'!$D$1:$O$258,3,FALSE))))</f>
        <v/>
      </c>
      <c r="C13" s="35" t="str">
        <f>IFERROR(INDEX('G-8 Condition Look up'!$I$4:$I$131,MATCH(S13,'G-8 Condition Look up'!$A$4:$A$131,0)),"")</f>
        <v/>
      </c>
      <c r="E13" s="329" t="str">
        <f>'D-1 Off Site Habitat Baseline'!AL12</f>
        <v/>
      </c>
      <c r="F13" s="175" t="str">
        <f>IF(E13="","",IF(ISNA(VLOOKUP($E13,'D-1 Off Site Habitat Baseline'!$D$1:$O$258,4,FALSE)),"",(VLOOKUP($E13,'D-1 Off Site Habitat Baseline'!$D$1:$O$258,4,FALSE))))</f>
        <v/>
      </c>
      <c r="G13" s="175" t="str">
        <f>IF(E13="","",IF(ISNA(VLOOKUP($E13,'D-1 Off Site Habitat Baseline'!$D$1:$O$258,5,FALSE)),"",(VLOOKUP($E13,'D-1 Off Site Habitat Baseline'!$D$1:$O$258,5,FALSE))))</f>
        <v/>
      </c>
      <c r="H13" s="175" t="str">
        <f>IF(E13="","",IF(ISNA(VLOOKUP($E13,'D-1 Off Site Habitat Baseline'!$D$1:$O$258,6,FALSE)),"",(VLOOKUP($E13,'D-1 Off Site Habitat Baseline'!$D$1:$O$258,6,FALSE))))</f>
        <v/>
      </c>
      <c r="I13" s="175" t="str">
        <f>IF(E13="","",IF(ISNA(VLOOKUP($E13,'D-1 Off Site Habitat Baseline'!$D$1:$O$258,7,FALSE)),"",(VLOOKUP($E13,'D-1 Off Site Habitat Baseline'!$D$1:$O$258,7,FALSE))))</f>
        <v/>
      </c>
      <c r="J13" s="175" t="str">
        <f>IF(E13="","",IF(ISNA(VLOOKUP($E13,'D-1 Off Site Habitat Baseline'!$D$1:$O$258,8,FALSE)),"",(VLOOKUP($E13,'D-1 Off Site Habitat Baseline'!$D$1:$O$258,8,FALSE))))</f>
        <v/>
      </c>
      <c r="K13" s="175" t="str">
        <f>IF(E13="","",IF(ISNA(VLOOKUP($E13,'D-1 Off Site Habitat Baseline'!$D$1:$O$258,9,FALSE)),"",(VLOOKUP($E13,'D-1 Off Site Habitat Baseline'!$D$1:$O$258,9,FALSE))))</f>
        <v/>
      </c>
      <c r="L13" s="175" t="str">
        <f>IF(E13="","",IF(ISNA(VLOOKUP($E13,'D-1 Off Site Habitat Baseline'!$D$1:$O$258,11,FALSE)),"",(VLOOKUP($E13,'D-1 Off Site Habitat Baseline'!$D$1:$O$258,11,FALSE))))</f>
        <v/>
      </c>
      <c r="M13" s="175" t="str">
        <f>IF(E13="","",IF(ISNA(VLOOKUP($E13,'D-1 Off Site Habitat Baseline'!$D$1:$O$258,12,FALSE)),"",(VLOOKUP($E13,'D-1 Off Site Habitat Baseline'!$D$1:$O$258,12,FALSE))))</f>
        <v/>
      </c>
      <c r="N13" s="175" t="str">
        <f>IF(E13="","",IF(ISNA(VLOOKUP($E13,'D-1 Off Site Habitat Baseline'!$D$1:$X$258,14,FALSE)),"",(VLOOKUP($E13,'D-1 Off Site Habitat Baseline'!$D$1:$X$258,14,FALSE))))</f>
        <v/>
      </c>
      <c r="O13" s="176" t="str">
        <f>IF(E13="","",IF(ISNA(VLOOKUP($E13,'D-1 Off Site Habitat Baseline'!$D$1:$X$258,13,FALSE)),"",(VLOOKUP($E13,'D-1 Off Site Habitat Baseline'!$D$1:$X$258,13,FALSE))))</f>
        <v/>
      </c>
      <c r="P13" s="337" t="str">
        <f>IFERROR(INDEX('G-1 All Habitats'!$AG$3:$AG$15,MATCH(Q13,'G-1 All Habitats'!$AF$3:$AF$15,0)),"")</f>
        <v/>
      </c>
      <c r="Q13" s="331" t="str">
        <f t="shared" ref="Q13:Q16" si="4">A13</f>
        <v/>
      </c>
      <c r="R13" s="332" t="str">
        <f t="shared" ref="R13:R16" si="5">B13</f>
        <v/>
      </c>
      <c r="S13" s="338" t="str">
        <f>IFERROR(INDEX('G-1 All Habitats'!$B$3:$B$130,MATCH(R13,'G-1 All Habitats'!$A$3:$A$130,0)),"")</f>
        <v/>
      </c>
      <c r="T13" s="179" t="str">
        <f t="shared" ref="T13:T76" si="6">IF(E13="","",IF(AND(LEFT(O13,6)="Same d",I13&gt;X13),"Error - Trading rules not satisfied",IF(AND(LEFT(O13,6)="Same b",AND(LEFT(F13,5)&lt;&gt;LEFT(S13,5),I13&gt;X13)),"Error - Trading rules not satisfied",IF(AND(LEFT(O13,6)="Same h",F13&lt;&gt;S13),"Error - Trading rules not satisfied",IF(AND(LEFT(O13,6)="Bespok",F13&lt;&gt;S13),"Error - Trading rules not satisfied",IF(X13&lt;I13,"Error Trading Down",H13&amp;" - "&amp;W13))))))</f>
        <v/>
      </c>
      <c r="U13" s="172" t="str">
        <f t="shared" ref="U13:U76" si="7">IF(F13="","",IF(AND(LEFT(F13,55)&lt;&gt;LEFT(S13,55),T13= "High - High"),"Error - Not like for like",IF(AND(I13=X13,K13&gt;Z13),"Error - Can not reduce condition",IF(AND(I13=X13,K13=Z13),"Error - No enhancement",IF(X13&lt;I13,"Error Trading Down",IF(AND(F13&lt;&gt;S13,I13&lt;X13),"Lower Distinctiveness Habitat"&amp;" - "&amp;Y13,J13&amp;" - "&amp;Y13))))))</f>
        <v/>
      </c>
      <c r="V13" s="334" t="str">
        <f t="shared" si="2"/>
        <v/>
      </c>
      <c r="W13" s="175" t="str">
        <f>IF(S13="","",VLOOKUP(S13,'G-1 All Habitats'!$B$2:$M$130,10,FALSE))</f>
        <v/>
      </c>
      <c r="X13" s="175" t="str">
        <f>IFERROR(VLOOKUP(W13,'G-1 All Habitats'!$V$3:$W$7,2,FALSE),"")</f>
        <v/>
      </c>
      <c r="Y13" s="275"/>
      <c r="Z13" s="176" t="str">
        <f>IFERROR(INDEX('G-8 Condition Look up'!$A$3:$H$131,MATCH(S13,'G-8 Condition Look up'!$A$3:$A$131,0),MATCH(Y13,'G-8 Condition Look up'!$A$3:$H$3,0)),"")</f>
        <v/>
      </c>
      <c r="AA13" s="173"/>
      <c r="AB13" s="269" t="str">
        <f>IF(AA13="","",IF(VLOOKUP(AA13,'G-3 Multipliers'!$L$3:$N$6,2,FALSE)=0,"Spatial Data Missing",VLOOKUP(AA13,'G-3 Multipliers'!$L$3:$N$6,2,FALSE)))</f>
        <v/>
      </c>
      <c r="AC13" s="176" t="str">
        <f>IF(AA13="","",IF(VLOOKUP(AA13,'G-3 Multipliers'!$L$3:$N$6,3,FALSE)=0,"Spatial Data Missing",VLOOKUP(AA13,'G-3 Multipliers'!$L$3:$N$6,3,FALSE)))</f>
        <v/>
      </c>
      <c r="AD13" s="239" t="str">
        <f t="shared" si="3"/>
        <v/>
      </c>
      <c r="AE13" s="275"/>
      <c r="AF13" s="275"/>
      <c r="AG13" s="175" t="str">
        <f t="shared" ref="AG13:AG76" si="8">IF(AD13="","",IF(AD13="Check Data","Check Data",IF(R13="","",IF(AND(AE13&gt;0,AF13&gt;0),"Error -both advance and delayed habitat creation",IF(AND(OR(AE13="Habitat already in target condition",AD13&lt;=AE13),AF13=0),"Check details - Is there evidence that habitat has reached target condition?",IF(O12="","",IF(AE13&gt;0,"Check details - Is there evidence habitat creation started/in place?",IF(AF13&gt;0,"Check details- Delay in starting habitat in required condition?","Standard time to target condition applied"))))))))</f>
        <v/>
      </c>
      <c r="AH13" s="242" t="str">
        <f t="shared" ref="AH13:AH76" si="9">IF(LEFT(AG13,5)="Error","Check Data",IF(AG13="Check Data","Check Data",IF(AD13="","",IF(AD13="Not Possible","CheckData",IF(AND(AD13="30+",AE13=0),"30+",IF(AND(AD13="30+",AE13="30+"),0,IF(AND(AD13="30+",AE13&lt;30),30-AE13,IF(AD13="30+",30-AE13,IF(AF13="30+","30+",IF(AE13&gt;AD13,0,IF(AD13+AF13&gt;30,"30+",IF(AD13+AF13&gt;30,"30+",IF(AD13-AE13&gt;30,"30+",IF(AD13+AF13-AE13&gt;0,AD13+AF13-AE13,IF(AD13-AE13&gt;0,AD13-AE13,AD13+AF13-AE13)))))))))))))))</f>
        <v/>
      </c>
      <c r="AI13" s="335" t="str">
        <f>IF(AH13="Check Data","Check Data",IFERROR(VLOOKUP(AH13,'G-4 Temporal multipliers'!$A$4:$C$36,3,FALSE),""))</f>
        <v/>
      </c>
      <c r="AJ13" s="239" t="str">
        <f>IF(S13="","",VLOOKUP(S13,'G-3 Multipliers'!$A$2:$E$130,4,FALSE))</f>
        <v/>
      </c>
      <c r="AK13" s="175" t="str">
        <f t="shared" ref="AK13:AK76" si="10">IF(E13="","",IF(AG13="Check details - Is there evidence that habitat has reached target condition?","Low Difficulty - only applicable if all habitat created before losses","Standard difficulty applied"))</f>
        <v/>
      </c>
      <c r="AL13" s="175" t="str">
        <f t="shared" ref="AL13:AL76" si="11">(IF(AND(AK13="Standard difficulty applied",AD13&gt;AE13),AJ13,IF(AND(AK13="Low Difficulty - only applicable if all habitat created before losses",AE13&gt;=AD13),"Low", AJ13)))</f>
        <v/>
      </c>
      <c r="AM13" s="176" t="str">
        <f>IFERROR(IF(F13="","",IF(AH13="Check Data","Check Data",VLOOKUP(AL13, 'G-3 Multipliers'!$P$2:$Q$6,2,FALSE))),””)</f>
        <v/>
      </c>
      <c r="AN13" s="266"/>
      <c r="AO13" s="269" t="str">
        <f>IF(AN13="","",IF(VLOOKUP(AN13,'G-3 Multipliers'!$S$3:$T$9,2,FALSE)=0,"Spatial Data Missing",VLOOKUP(AN13,'G-3 Multipliers'!$S$3:$T$9,2,FALSE)))</f>
        <v/>
      </c>
      <c r="AP13" s="207" t="str">
        <f t="shared" ref="AP13:AP76" si="12">IFERROR(((((V13*X13*Z13)-(V13*I13*K13))*(AM13*AI13))+(V13*I13*K13))*(AC13)*AO13,"")</f>
        <v/>
      </c>
      <c r="AQ13" s="336"/>
      <c r="AR13" s="181"/>
    </row>
    <row r="14" spans="1:44" x14ac:dyDescent="0.25">
      <c r="A14" s="35" t="str">
        <f>IF(E14="","",IF(ISNA(VLOOKUP($E14,'D-1 Off Site Habitat Baseline'!$D$1:$O$258,2,FALSE)),"",(VLOOKUP($E14,'D-1 Off Site Habitat Baseline'!$D$1:$O$258,2,FALSE))))</f>
        <v/>
      </c>
      <c r="B14" s="35" t="str">
        <f>IF(E14="","",IF(ISNA(VLOOKUP($E14,'D-1 Off Site Habitat Baseline'!$D$1:$O$258,3,FALSE)),"",(VLOOKUP($E14,'D-1 Off Site Habitat Baseline'!$D$1:$O$258,3,FALSE))))</f>
        <v/>
      </c>
      <c r="C14" s="35" t="str">
        <f>IFERROR(INDEX('G-8 Condition Look up'!$I$4:$I$131,MATCH(S14,'G-8 Condition Look up'!$A$4:$A$131,0)),"")</f>
        <v/>
      </c>
      <c r="E14" s="329" t="str">
        <f>'D-1 Off Site Habitat Baseline'!AL13</f>
        <v/>
      </c>
      <c r="F14" s="175" t="str">
        <f>IF(E14="","",IF(ISNA(VLOOKUP($E14,'D-1 Off Site Habitat Baseline'!$D$1:$O$258,4,FALSE)),"",(VLOOKUP($E14,'D-1 Off Site Habitat Baseline'!$D$1:$O$258,4,FALSE))))</f>
        <v/>
      </c>
      <c r="G14" s="175" t="str">
        <f>IF(E14="","",IF(ISNA(VLOOKUP($E14,'D-1 Off Site Habitat Baseline'!$D$1:$O$258,5,FALSE)),"",(VLOOKUP($E14,'D-1 Off Site Habitat Baseline'!$D$1:$O$258,5,FALSE))))</f>
        <v/>
      </c>
      <c r="H14" s="175" t="str">
        <f>IF(E14="","",IF(ISNA(VLOOKUP($E14,'D-1 Off Site Habitat Baseline'!$D$1:$O$258,6,FALSE)),"",(VLOOKUP($E14,'D-1 Off Site Habitat Baseline'!$D$1:$O$258,6,FALSE))))</f>
        <v/>
      </c>
      <c r="I14" s="175" t="str">
        <f>IF(E14="","",IF(ISNA(VLOOKUP($E14,'D-1 Off Site Habitat Baseline'!$D$1:$O$258,7,FALSE)),"",(VLOOKUP($E14,'D-1 Off Site Habitat Baseline'!$D$1:$O$258,7,FALSE))))</f>
        <v/>
      </c>
      <c r="J14" s="175" t="str">
        <f>IF(E14="","",IF(ISNA(VLOOKUP($E14,'D-1 Off Site Habitat Baseline'!$D$1:$O$258,8,FALSE)),"",(VLOOKUP($E14,'D-1 Off Site Habitat Baseline'!$D$1:$O$258,8,FALSE))))</f>
        <v/>
      </c>
      <c r="K14" s="175" t="str">
        <f>IF(E14="","",IF(ISNA(VLOOKUP($E14,'D-1 Off Site Habitat Baseline'!$D$1:$O$258,9,FALSE)),"",(VLOOKUP($E14,'D-1 Off Site Habitat Baseline'!$D$1:$O$258,9,FALSE))))</f>
        <v/>
      </c>
      <c r="L14" s="175" t="str">
        <f>IF(E14="","",IF(ISNA(VLOOKUP($E14,'D-1 Off Site Habitat Baseline'!$D$1:$O$258,11,FALSE)),"",(VLOOKUP($E14,'D-1 Off Site Habitat Baseline'!$D$1:$O$258,11,FALSE))))</f>
        <v/>
      </c>
      <c r="M14" s="175" t="str">
        <f>IF(E14="","",IF(ISNA(VLOOKUP($E14,'D-1 Off Site Habitat Baseline'!$D$1:$O$258,12,FALSE)),"",(VLOOKUP($E14,'D-1 Off Site Habitat Baseline'!$D$1:$O$258,12,FALSE))))</f>
        <v/>
      </c>
      <c r="N14" s="175" t="str">
        <f>IF(E14="","",IF(ISNA(VLOOKUP($E14,'D-1 Off Site Habitat Baseline'!$D$1:$X$258,14,FALSE)),"",(VLOOKUP($E14,'D-1 Off Site Habitat Baseline'!$D$1:$X$258,14,FALSE))))</f>
        <v/>
      </c>
      <c r="O14" s="176" t="str">
        <f>IF(E14="","",IF(ISNA(VLOOKUP($E14,'D-1 Off Site Habitat Baseline'!$D$1:$X$258,13,FALSE)),"",(VLOOKUP($E14,'D-1 Off Site Habitat Baseline'!$D$1:$X$258,13,FALSE))))</f>
        <v/>
      </c>
      <c r="P14" s="337" t="str">
        <f>IFERROR(INDEX('G-1 All Habitats'!$AG$3:$AG$15,MATCH(Q14,'G-1 All Habitats'!$AF$3:$AF$15,0)),"")</f>
        <v/>
      </c>
      <c r="Q14" s="331" t="str">
        <f t="shared" si="4"/>
        <v/>
      </c>
      <c r="R14" s="332" t="str">
        <f t="shared" si="5"/>
        <v/>
      </c>
      <c r="S14" s="338" t="str">
        <f>IFERROR(INDEX('G-1 All Habitats'!$B$3:$B$130,MATCH(R14,'G-1 All Habitats'!$A$3:$A$130,0)),"")</f>
        <v/>
      </c>
      <c r="T14" s="179" t="str">
        <f t="shared" si="6"/>
        <v/>
      </c>
      <c r="U14" s="172" t="str">
        <f t="shared" si="7"/>
        <v/>
      </c>
      <c r="V14" s="334" t="str">
        <f t="shared" si="2"/>
        <v/>
      </c>
      <c r="W14" s="175" t="str">
        <f>IF(S14="","",VLOOKUP(S14,'G-1 All Habitats'!$B$2:$M$130,10,FALSE))</f>
        <v/>
      </c>
      <c r="X14" s="175" t="str">
        <f>IFERROR(VLOOKUP(W14,'G-1 All Habitats'!$V$3:$W$7,2,FALSE),"")</f>
        <v/>
      </c>
      <c r="Y14" s="275"/>
      <c r="Z14" s="176" t="str">
        <f>IFERROR(INDEX('G-8 Condition Look up'!$A$3:$H$131,MATCH(S14,'G-8 Condition Look up'!$A$3:$A$131,0),MATCH(Y14,'G-8 Condition Look up'!$A$3:$H$3,0)),"")</f>
        <v/>
      </c>
      <c r="AA14" s="173"/>
      <c r="AB14" s="269" t="str">
        <f>IF(AA14="","",IF(VLOOKUP(AA14,'G-3 Multipliers'!$L$3:$N$6,2,FALSE)=0,"Spatial Data Missing",VLOOKUP(AA14,'G-3 Multipliers'!$L$3:$N$6,2,FALSE)))</f>
        <v/>
      </c>
      <c r="AC14" s="176" t="str">
        <f>IF(AA14="","",IF(VLOOKUP(AA14,'G-3 Multipliers'!$L$3:$N$6,3,FALSE)=0,"Spatial Data Missing",VLOOKUP(AA14,'G-3 Multipliers'!$L$3:$N$6,3,FALSE)))</f>
        <v/>
      </c>
      <c r="AD14" s="239" t="str">
        <f t="shared" si="3"/>
        <v/>
      </c>
      <c r="AE14" s="275"/>
      <c r="AF14" s="275"/>
      <c r="AG14" s="175" t="str">
        <f t="shared" si="8"/>
        <v/>
      </c>
      <c r="AH14" s="242" t="str">
        <f t="shared" si="9"/>
        <v/>
      </c>
      <c r="AI14" s="335" t="str">
        <f>IF(AH14="Check Data","Check Data",IFERROR(VLOOKUP(AH14,'G-4 Temporal multipliers'!$A$4:$C$36,3,FALSE),""))</f>
        <v/>
      </c>
      <c r="AJ14" s="239" t="str">
        <f>IF(S14="","",VLOOKUP(S14,'G-3 Multipliers'!$A$2:$E$130,4,FALSE))</f>
        <v/>
      </c>
      <c r="AK14" s="175" t="str">
        <f t="shared" si="10"/>
        <v/>
      </c>
      <c r="AL14" s="175" t="str">
        <f t="shared" si="11"/>
        <v/>
      </c>
      <c r="AM14" s="176" t="str">
        <f>IFERROR(IF(F14="","",IF(AH14="Check Data","Check Data",VLOOKUP(AL14, 'G-3 Multipliers'!$P$2:$Q$6,2,FALSE))),””)</f>
        <v/>
      </c>
      <c r="AN14" s="266"/>
      <c r="AO14" s="269" t="str">
        <f>IF(AN14="","",IF(VLOOKUP(AN14,'G-3 Multipliers'!$S$3:$T$9,2,FALSE)=0,"Spatial Data Missing",VLOOKUP(AN14,'G-3 Multipliers'!$S$3:$T$9,2,FALSE)))</f>
        <v/>
      </c>
      <c r="AP14" s="207" t="str">
        <f t="shared" si="12"/>
        <v/>
      </c>
      <c r="AQ14" s="336"/>
      <c r="AR14" s="181"/>
    </row>
    <row r="15" spans="1:44" x14ac:dyDescent="0.25">
      <c r="A15" s="35" t="str">
        <f>IF(E15="","",IF(ISNA(VLOOKUP($E15,'D-1 Off Site Habitat Baseline'!$D$1:$O$258,2,FALSE)),"",(VLOOKUP($E15,'D-1 Off Site Habitat Baseline'!$D$1:$O$258,2,FALSE))))</f>
        <v/>
      </c>
      <c r="B15" s="35" t="str">
        <f>IF(E15="","",IF(ISNA(VLOOKUP($E15,'D-1 Off Site Habitat Baseline'!$D$1:$O$258,3,FALSE)),"",(VLOOKUP($E15,'D-1 Off Site Habitat Baseline'!$D$1:$O$258,3,FALSE))))</f>
        <v/>
      </c>
      <c r="C15" s="35" t="str">
        <f>IFERROR(INDEX('G-8 Condition Look up'!$I$4:$I$131,MATCH(S15,'G-8 Condition Look up'!$A$4:$A$131,0)),"")</f>
        <v/>
      </c>
      <c r="E15" s="329" t="str">
        <f>'D-1 Off Site Habitat Baseline'!AL14</f>
        <v/>
      </c>
      <c r="F15" s="175" t="str">
        <f>IF(E15="","",IF(ISNA(VLOOKUP($E15,'D-1 Off Site Habitat Baseline'!$D$1:$O$258,4,FALSE)),"",(VLOOKUP($E15,'D-1 Off Site Habitat Baseline'!$D$1:$O$258,4,FALSE))))</f>
        <v/>
      </c>
      <c r="G15" s="175" t="str">
        <f>IF(E15="","",IF(ISNA(VLOOKUP($E15,'D-1 Off Site Habitat Baseline'!$D$1:$O$258,5,FALSE)),"",(VLOOKUP($E15,'D-1 Off Site Habitat Baseline'!$D$1:$O$258,5,FALSE))))</f>
        <v/>
      </c>
      <c r="H15" s="175" t="str">
        <f>IF(E15="","",IF(ISNA(VLOOKUP($E15,'D-1 Off Site Habitat Baseline'!$D$1:$O$258,6,FALSE)),"",(VLOOKUP($E15,'D-1 Off Site Habitat Baseline'!$D$1:$O$258,6,FALSE))))</f>
        <v/>
      </c>
      <c r="I15" s="175" t="str">
        <f>IF(E15="","",IF(ISNA(VLOOKUP($E15,'D-1 Off Site Habitat Baseline'!$D$1:$O$258,7,FALSE)),"",(VLOOKUP($E15,'D-1 Off Site Habitat Baseline'!$D$1:$O$258,7,FALSE))))</f>
        <v/>
      </c>
      <c r="J15" s="175" t="str">
        <f>IF(E15="","",IF(ISNA(VLOOKUP($E15,'D-1 Off Site Habitat Baseline'!$D$1:$O$258,8,FALSE)),"",(VLOOKUP($E15,'D-1 Off Site Habitat Baseline'!$D$1:$O$258,8,FALSE))))</f>
        <v/>
      </c>
      <c r="K15" s="175" t="str">
        <f>IF(E15="","",IF(ISNA(VLOOKUP($E15,'D-1 Off Site Habitat Baseline'!$D$1:$O$258,9,FALSE)),"",(VLOOKUP($E15,'D-1 Off Site Habitat Baseline'!$D$1:$O$258,9,FALSE))))</f>
        <v/>
      </c>
      <c r="L15" s="175" t="str">
        <f>IF(E15="","",IF(ISNA(VLOOKUP($E15,'D-1 Off Site Habitat Baseline'!$D$1:$O$258,11,FALSE)),"",(VLOOKUP($E15,'D-1 Off Site Habitat Baseline'!$D$1:$O$258,11,FALSE))))</f>
        <v/>
      </c>
      <c r="M15" s="175" t="str">
        <f>IF(E15="","",IF(ISNA(VLOOKUP($E15,'D-1 Off Site Habitat Baseline'!$D$1:$O$258,12,FALSE)),"",(VLOOKUP($E15,'D-1 Off Site Habitat Baseline'!$D$1:$O$258,12,FALSE))))</f>
        <v/>
      </c>
      <c r="N15" s="175" t="str">
        <f>IF(E15="","",IF(ISNA(VLOOKUP($E15,'D-1 Off Site Habitat Baseline'!$D$1:$X$258,14,FALSE)),"",(VLOOKUP($E15,'D-1 Off Site Habitat Baseline'!$D$1:$X$258,14,FALSE))))</f>
        <v/>
      </c>
      <c r="O15" s="176" t="str">
        <f>IF(E15="","",IF(ISNA(VLOOKUP($E15,'D-1 Off Site Habitat Baseline'!$D$1:$X$258,13,FALSE)),"",(VLOOKUP($E15,'D-1 Off Site Habitat Baseline'!$D$1:$X$258,13,FALSE))))</f>
        <v/>
      </c>
      <c r="P15" s="337" t="str">
        <f>IFERROR(INDEX('G-1 All Habitats'!$AG$3:$AG$15,MATCH(Q15,'G-1 All Habitats'!$AF$3:$AF$15,0)),"")</f>
        <v/>
      </c>
      <c r="Q15" s="331" t="str">
        <f t="shared" si="4"/>
        <v/>
      </c>
      <c r="R15" s="332" t="str">
        <f t="shared" si="5"/>
        <v/>
      </c>
      <c r="S15" s="338" t="str">
        <f>IFERROR(INDEX('G-1 All Habitats'!$B$3:$B$130,MATCH(R15,'G-1 All Habitats'!$A$3:$A$130,0)),"")</f>
        <v/>
      </c>
      <c r="T15" s="179" t="str">
        <f t="shared" si="6"/>
        <v/>
      </c>
      <c r="U15" s="172" t="str">
        <f t="shared" si="7"/>
        <v/>
      </c>
      <c r="V15" s="334" t="str">
        <f t="shared" si="2"/>
        <v/>
      </c>
      <c r="W15" s="175" t="str">
        <f>IF(S15="","",VLOOKUP(S15,'G-1 All Habitats'!$B$2:$M$130,10,FALSE))</f>
        <v/>
      </c>
      <c r="X15" s="175" t="str">
        <f>IFERROR(VLOOKUP(W15,'G-1 All Habitats'!$V$3:$W$7,2,FALSE),"")</f>
        <v/>
      </c>
      <c r="Y15" s="275"/>
      <c r="Z15" s="176" t="str">
        <f>IFERROR(INDEX('G-8 Condition Look up'!$A$3:$H$131,MATCH(S15,'G-8 Condition Look up'!$A$3:$A$131,0),MATCH(Y15,'G-8 Condition Look up'!$A$3:$H$3,0)),"")</f>
        <v/>
      </c>
      <c r="AA15" s="173"/>
      <c r="AB15" s="269" t="str">
        <f>IF(AA15="","",IF(VLOOKUP(AA15,'G-3 Multipliers'!$L$3:$N$6,2,FALSE)=0,"Spatial Data Missing",VLOOKUP(AA15,'G-3 Multipliers'!$L$3:$N$6,2,FALSE)))</f>
        <v/>
      </c>
      <c r="AC15" s="176" t="str">
        <f>IF(AA15="","",IF(VLOOKUP(AA15,'G-3 Multipliers'!$L$3:$N$6,3,FALSE)=0,"Spatial Data Missing",VLOOKUP(AA15,'G-3 Multipliers'!$L$3:$N$6,3,FALSE)))</f>
        <v/>
      </c>
      <c r="AD15" s="239" t="str">
        <f t="shared" si="3"/>
        <v/>
      </c>
      <c r="AE15" s="275"/>
      <c r="AF15" s="275"/>
      <c r="AG15" s="175" t="str">
        <f t="shared" si="8"/>
        <v/>
      </c>
      <c r="AH15" s="242" t="str">
        <f t="shared" si="9"/>
        <v/>
      </c>
      <c r="AI15" s="335" t="str">
        <f>IF(AH15="Check Data","Check Data",IFERROR(VLOOKUP(AH15,'G-4 Temporal multipliers'!$A$4:$C$36,3,FALSE),""))</f>
        <v/>
      </c>
      <c r="AJ15" s="239" t="str">
        <f>IF(S15="","",VLOOKUP(S15,'G-3 Multipliers'!$A$2:$E$130,4,FALSE))</f>
        <v/>
      </c>
      <c r="AK15" s="175" t="str">
        <f t="shared" si="10"/>
        <v/>
      </c>
      <c r="AL15" s="175" t="str">
        <f t="shared" si="11"/>
        <v/>
      </c>
      <c r="AM15" s="176" t="str">
        <f>IFERROR(IF(F15="","",IF(AH15="Check Data","Check Data",VLOOKUP(AL15, 'G-3 Multipliers'!$P$2:$Q$6,2,FALSE))),””)</f>
        <v/>
      </c>
      <c r="AN15" s="266"/>
      <c r="AO15" s="269" t="str">
        <f>IF(AN15="","",IF(VLOOKUP(AN15,'G-3 Multipliers'!$S$3:$T$9,2,FALSE)=0,"Spatial Data Missing",VLOOKUP(AN15,'G-3 Multipliers'!$S$3:$T$9,2,FALSE)))</f>
        <v/>
      </c>
      <c r="AP15" s="207" t="str">
        <f t="shared" si="12"/>
        <v/>
      </c>
      <c r="AQ15" s="336"/>
      <c r="AR15" s="181"/>
    </row>
    <row r="16" spans="1:44" x14ac:dyDescent="0.25">
      <c r="A16" s="35" t="str">
        <f>IF(E16="","",IF(ISNA(VLOOKUP($E16,'D-1 Off Site Habitat Baseline'!$D$1:$O$258,2,FALSE)),"",(VLOOKUP($E16,'D-1 Off Site Habitat Baseline'!$D$1:$O$258,2,FALSE))))</f>
        <v/>
      </c>
      <c r="B16" s="35" t="str">
        <f>IF(E16="","",IF(ISNA(VLOOKUP($E16,'D-1 Off Site Habitat Baseline'!$D$1:$O$258,3,FALSE)),"",(VLOOKUP($E16,'D-1 Off Site Habitat Baseline'!$D$1:$O$258,3,FALSE))))</f>
        <v/>
      </c>
      <c r="C16" s="35" t="str">
        <f>IFERROR(INDEX('G-8 Condition Look up'!$I$4:$I$131,MATCH(S16,'G-8 Condition Look up'!$A$4:$A$131,0)),"")</f>
        <v/>
      </c>
      <c r="E16" s="329" t="str">
        <f>'D-1 Off Site Habitat Baseline'!AL15</f>
        <v/>
      </c>
      <c r="F16" s="175" t="str">
        <f>IF(E16="","",IF(ISNA(VLOOKUP($E16,'D-1 Off Site Habitat Baseline'!$D$1:$O$258,4,FALSE)),"",(VLOOKUP($E16,'D-1 Off Site Habitat Baseline'!$D$1:$O$258,4,FALSE))))</f>
        <v/>
      </c>
      <c r="G16" s="175" t="str">
        <f>IF(E16="","",IF(ISNA(VLOOKUP($E16,'D-1 Off Site Habitat Baseline'!$D$1:$O$258,5,FALSE)),"",(VLOOKUP($E16,'D-1 Off Site Habitat Baseline'!$D$1:$O$258,5,FALSE))))</f>
        <v/>
      </c>
      <c r="H16" s="175" t="str">
        <f>IF(E16="","",IF(ISNA(VLOOKUP($E16,'D-1 Off Site Habitat Baseline'!$D$1:$O$258,6,FALSE)),"",(VLOOKUP($E16,'D-1 Off Site Habitat Baseline'!$D$1:$O$258,6,FALSE))))</f>
        <v/>
      </c>
      <c r="I16" s="175" t="str">
        <f>IF(E16="","",IF(ISNA(VLOOKUP($E16,'D-1 Off Site Habitat Baseline'!$D$1:$O$258,7,FALSE)),"",(VLOOKUP($E16,'D-1 Off Site Habitat Baseline'!$D$1:$O$258,7,FALSE))))</f>
        <v/>
      </c>
      <c r="J16" s="175" t="str">
        <f>IF(E16="","",IF(ISNA(VLOOKUP($E16,'D-1 Off Site Habitat Baseline'!$D$1:$O$258,8,FALSE)),"",(VLOOKUP($E16,'D-1 Off Site Habitat Baseline'!$D$1:$O$258,8,FALSE))))</f>
        <v/>
      </c>
      <c r="K16" s="175" t="str">
        <f>IF(E16="","",IF(ISNA(VLOOKUP($E16,'D-1 Off Site Habitat Baseline'!$D$1:$O$258,9,FALSE)),"",(VLOOKUP($E16,'D-1 Off Site Habitat Baseline'!$D$1:$O$258,9,FALSE))))</f>
        <v/>
      </c>
      <c r="L16" s="175" t="str">
        <f>IF(E16="","",IF(ISNA(VLOOKUP($E16,'D-1 Off Site Habitat Baseline'!$D$1:$O$258,11,FALSE)),"",(VLOOKUP($E16,'D-1 Off Site Habitat Baseline'!$D$1:$O$258,11,FALSE))))</f>
        <v/>
      </c>
      <c r="M16" s="175" t="str">
        <f>IF(E16="","",IF(ISNA(VLOOKUP($E16,'D-1 Off Site Habitat Baseline'!$D$1:$O$258,12,FALSE)),"",(VLOOKUP($E16,'D-1 Off Site Habitat Baseline'!$D$1:$O$258,12,FALSE))))</f>
        <v/>
      </c>
      <c r="N16" s="175" t="str">
        <f>IF(E16="","",IF(ISNA(VLOOKUP($E16,'D-1 Off Site Habitat Baseline'!$D$1:$X$258,14,FALSE)),"",(VLOOKUP($E16,'D-1 Off Site Habitat Baseline'!$D$1:$X$258,14,FALSE))))</f>
        <v/>
      </c>
      <c r="O16" s="176" t="str">
        <f>IF(E16="","",IF(ISNA(VLOOKUP($E16,'D-1 Off Site Habitat Baseline'!$D$1:$X$258,13,FALSE)),"",(VLOOKUP($E16,'D-1 Off Site Habitat Baseline'!$D$1:$X$258,13,FALSE))))</f>
        <v/>
      </c>
      <c r="P16" s="337" t="str">
        <f>IFERROR(INDEX('G-1 All Habitats'!$AG$3:$AG$15,MATCH(Q16,'G-1 All Habitats'!$AF$3:$AF$15,0)),"")</f>
        <v/>
      </c>
      <c r="Q16" s="331" t="str">
        <f t="shared" si="4"/>
        <v/>
      </c>
      <c r="R16" s="332" t="str">
        <f t="shared" si="5"/>
        <v/>
      </c>
      <c r="S16" s="338" t="str">
        <f>IFERROR(INDEX('G-1 All Habitats'!$B$3:$B$130,MATCH(R16,'G-1 All Habitats'!$A$3:$A$130,0)),"")</f>
        <v/>
      </c>
      <c r="T16" s="179" t="str">
        <f t="shared" si="6"/>
        <v/>
      </c>
      <c r="U16" s="172" t="str">
        <f t="shared" si="7"/>
        <v/>
      </c>
      <c r="V16" s="334" t="str">
        <f t="shared" si="2"/>
        <v/>
      </c>
      <c r="W16" s="175" t="str">
        <f>IF(S16="","",VLOOKUP(S16,'G-1 All Habitats'!$B$2:$M$130,10,FALSE))</f>
        <v/>
      </c>
      <c r="X16" s="175" t="str">
        <f>IFERROR(VLOOKUP(W16,'G-1 All Habitats'!$V$3:$W$7,2,FALSE),"")</f>
        <v/>
      </c>
      <c r="Y16" s="275"/>
      <c r="Z16" s="176" t="str">
        <f>IFERROR(INDEX('G-8 Condition Look up'!$A$3:$H$131,MATCH(S16,'G-8 Condition Look up'!$A$3:$A$131,0),MATCH(Y16,'G-8 Condition Look up'!$A$3:$H$3,0)),"")</f>
        <v/>
      </c>
      <c r="AA16" s="173"/>
      <c r="AB16" s="269" t="str">
        <f>IF(AA16="","",IF(VLOOKUP(AA16,'G-3 Multipliers'!$L$3:$N$6,2,FALSE)=0,"Spatial Data Missing",VLOOKUP(AA16,'G-3 Multipliers'!$L$3:$N$6,2,FALSE)))</f>
        <v/>
      </c>
      <c r="AC16" s="176" t="str">
        <f>IF(AA16="","",IF(VLOOKUP(AA16,'G-3 Multipliers'!$L$3:$N$6,3,FALSE)=0,"Spatial Data Missing",VLOOKUP(AA16,'G-3 Multipliers'!$L$3:$N$6,3,FALSE)))</f>
        <v/>
      </c>
      <c r="AD16" s="239" t="str">
        <f t="shared" si="3"/>
        <v/>
      </c>
      <c r="AE16" s="275"/>
      <c r="AF16" s="275"/>
      <c r="AG16" s="175" t="str">
        <f t="shared" si="8"/>
        <v/>
      </c>
      <c r="AH16" s="242" t="str">
        <f t="shared" si="9"/>
        <v/>
      </c>
      <c r="AI16" s="335" t="str">
        <f>IF(AH16="Check Data","Check Data",IFERROR(VLOOKUP(AH16,'G-4 Temporal multipliers'!$A$4:$C$36,3,FALSE),""))</f>
        <v/>
      </c>
      <c r="AJ16" s="239" t="str">
        <f>IF(S16="","",VLOOKUP(S16,'G-3 Multipliers'!$A$2:$E$130,4,FALSE))</f>
        <v/>
      </c>
      <c r="AK16" s="175" t="str">
        <f t="shared" si="10"/>
        <v/>
      </c>
      <c r="AL16" s="175" t="str">
        <f t="shared" si="11"/>
        <v/>
      </c>
      <c r="AM16" s="176" t="str">
        <f>IFERROR(IF(F16="","",IF(AH16="Check Data","Check Data",VLOOKUP(AL16, 'G-3 Multipliers'!$P$2:$Q$6,2,FALSE))),””)</f>
        <v/>
      </c>
      <c r="AN16" s="266"/>
      <c r="AO16" s="269" t="str">
        <f>IF(AN16="","",IF(VLOOKUP(AN16,'G-3 Multipliers'!$S$3:$T$9,2,FALSE)=0,"Spatial Data Missing",VLOOKUP(AN16,'G-3 Multipliers'!$S$3:$T$9,2,FALSE)))</f>
        <v/>
      </c>
      <c r="AP16" s="207" t="str">
        <f t="shared" si="12"/>
        <v/>
      </c>
      <c r="AQ16" s="336"/>
      <c r="AR16" s="181"/>
    </row>
    <row r="17" spans="1:44" x14ac:dyDescent="0.25">
      <c r="A17" s="35" t="str">
        <f>IF(E17="","",IF(ISNA(VLOOKUP($E17,'D-1 Off Site Habitat Baseline'!$D$1:$O$258,2,FALSE)),"",(VLOOKUP($E17,'D-1 Off Site Habitat Baseline'!$D$1:$O$258,2,FALSE))))</f>
        <v/>
      </c>
      <c r="B17" s="35" t="str">
        <f>IF(E17="","",IF(ISNA(VLOOKUP($E17,'D-1 Off Site Habitat Baseline'!$D$1:$O$258,3,FALSE)),"",(VLOOKUP($E17,'D-1 Off Site Habitat Baseline'!$D$1:$O$258,3,FALSE))))</f>
        <v/>
      </c>
      <c r="C17" s="35" t="str">
        <f>IFERROR(INDEX('G-8 Condition Look up'!$I$4:$I$131,MATCH(S17,'G-8 Condition Look up'!$A$4:$A$131,0)),"")</f>
        <v/>
      </c>
      <c r="E17" s="329" t="str">
        <f>'D-1 Off Site Habitat Baseline'!AL16</f>
        <v/>
      </c>
      <c r="F17" s="175" t="str">
        <f>IF(E17="","",IF(ISNA(VLOOKUP($E17,'D-1 Off Site Habitat Baseline'!$D$1:$O$258,4,FALSE)),"",(VLOOKUP($E17,'D-1 Off Site Habitat Baseline'!$D$1:$O$258,4,FALSE))))</f>
        <v/>
      </c>
      <c r="G17" s="175" t="str">
        <f>IF(E17="","",IF(ISNA(VLOOKUP($E17,'D-1 Off Site Habitat Baseline'!$D$1:$O$258,5,FALSE)),"",(VLOOKUP($E17,'D-1 Off Site Habitat Baseline'!$D$1:$O$258,5,FALSE))))</f>
        <v/>
      </c>
      <c r="H17" s="175" t="str">
        <f>IF(E17="","",IF(ISNA(VLOOKUP($E17,'D-1 Off Site Habitat Baseline'!$D$1:$O$258,6,FALSE)),"",(VLOOKUP($E17,'D-1 Off Site Habitat Baseline'!$D$1:$O$258,6,FALSE))))</f>
        <v/>
      </c>
      <c r="I17" s="175" t="str">
        <f>IF(E17="","",IF(ISNA(VLOOKUP($E17,'D-1 Off Site Habitat Baseline'!$D$1:$O$258,7,FALSE)),"",(VLOOKUP($E17,'D-1 Off Site Habitat Baseline'!$D$1:$O$258,7,FALSE))))</f>
        <v/>
      </c>
      <c r="J17" s="175" t="str">
        <f>IF(E17="","",IF(ISNA(VLOOKUP($E17,'D-1 Off Site Habitat Baseline'!$D$1:$O$258,8,FALSE)),"",(VLOOKUP($E17,'D-1 Off Site Habitat Baseline'!$D$1:$O$258,8,FALSE))))</f>
        <v/>
      </c>
      <c r="K17" s="175" t="str">
        <f>IF(E17="","",IF(ISNA(VLOOKUP($E17,'D-1 Off Site Habitat Baseline'!$D$1:$O$258,9,FALSE)),"",(VLOOKUP($E17,'D-1 Off Site Habitat Baseline'!$D$1:$O$258,9,FALSE))))</f>
        <v/>
      </c>
      <c r="L17" s="175" t="str">
        <f>IF(E17="","",IF(ISNA(VLOOKUP($E17,'D-1 Off Site Habitat Baseline'!$D$1:$O$258,11,FALSE)),"",(VLOOKUP($E17,'D-1 Off Site Habitat Baseline'!$D$1:$O$258,11,FALSE))))</f>
        <v/>
      </c>
      <c r="M17" s="175" t="str">
        <f>IF(E17="","",IF(ISNA(VLOOKUP($E17,'D-1 Off Site Habitat Baseline'!$D$1:$O$258,12,FALSE)),"",(VLOOKUP($E17,'D-1 Off Site Habitat Baseline'!$D$1:$O$258,12,FALSE))))</f>
        <v/>
      </c>
      <c r="N17" s="175" t="str">
        <f>IF(E17="","",IF(ISNA(VLOOKUP($E17,'D-1 Off Site Habitat Baseline'!$D$1:$X$258,14,FALSE)),"",(VLOOKUP($E17,'D-1 Off Site Habitat Baseline'!$D$1:$X$258,14,FALSE))))</f>
        <v/>
      </c>
      <c r="O17" s="176" t="str">
        <f>IF(E17="","",IF(ISNA(VLOOKUP($E17,'D-1 Off Site Habitat Baseline'!$D$1:$X$258,13,FALSE)),"",(VLOOKUP($E17,'D-1 Off Site Habitat Baseline'!$D$1:$X$258,13,FALSE))))</f>
        <v/>
      </c>
      <c r="P17" s="337" t="str">
        <f>IFERROR(INDEX('G-1 All Habitats'!$AG$3:$AG$15,MATCH(Q17,'G-1 All Habitats'!$AF$3:$AF$15,0)),"")</f>
        <v/>
      </c>
      <c r="Q17" s="331" t="str">
        <f t="shared" ref="Q17:Q78" si="13">A17</f>
        <v/>
      </c>
      <c r="R17" s="332" t="str">
        <f t="shared" ref="R17:R78" si="14">B17</f>
        <v/>
      </c>
      <c r="S17" s="338" t="str">
        <f>IFERROR(INDEX('G-1 All Habitats'!$B$3:$B$130,MATCH(R17,'G-1 All Habitats'!$A$3:$A$130,0)),"")</f>
        <v/>
      </c>
      <c r="T17" s="179" t="str">
        <f t="shared" si="6"/>
        <v/>
      </c>
      <c r="U17" s="172" t="str">
        <f t="shared" si="7"/>
        <v/>
      </c>
      <c r="V17" s="334" t="str">
        <f t="shared" si="2"/>
        <v/>
      </c>
      <c r="W17" s="175" t="str">
        <f>IF(S17="","",VLOOKUP(S17,'G-1 All Habitats'!$B$2:$M$130,10,FALSE))</f>
        <v/>
      </c>
      <c r="X17" s="175" t="str">
        <f>IFERROR(VLOOKUP(W17,'G-1 All Habitats'!$V$3:$W$7,2,FALSE),"")</f>
        <v/>
      </c>
      <c r="Y17" s="275"/>
      <c r="Z17" s="176" t="str">
        <f>IFERROR(INDEX('G-8 Condition Look up'!$A$3:$H$131,MATCH(S17,'G-8 Condition Look up'!$A$3:$A$131,0),MATCH(Y17,'G-8 Condition Look up'!$A$3:$H$3,0)),"")</f>
        <v/>
      </c>
      <c r="AA17" s="173"/>
      <c r="AB17" s="269" t="str">
        <f>IF(AA17="","",IF(VLOOKUP(AA17,'G-3 Multipliers'!$L$3:$N$6,2,FALSE)=0,"Spatial Data Missing",VLOOKUP(AA17,'G-3 Multipliers'!$L$3:$N$6,2,FALSE)))</f>
        <v/>
      </c>
      <c r="AC17" s="176" t="str">
        <f>IF(AA17="","",IF(VLOOKUP(AA17,'G-3 Multipliers'!$L$3:$N$6,3,FALSE)=0,"Spatial Data Missing",VLOOKUP(AA17,'G-3 Multipliers'!$L$3:$N$6,3,FALSE)))</f>
        <v/>
      </c>
      <c r="AD17" s="239" t="str">
        <f t="shared" si="3"/>
        <v/>
      </c>
      <c r="AE17" s="275"/>
      <c r="AF17" s="275"/>
      <c r="AG17" s="175" t="str">
        <f t="shared" si="8"/>
        <v/>
      </c>
      <c r="AH17" s="242" t="str">
        <f t="shared" si="9"/>
        <v/>
      </c>
      <c r="AI17" s="335" t="str">
        <f>IF(AH17="Check Data","Check Data",IFERROR(VLOOKUP(AH17,'G-4 Temporal multipliers'!$A$4:$C$36,3,FALSE),""))</f>
        <v/>
      </c>
      <c r="AJ17" s="239" t="str">
        <f>IF(S17="","",VLOOKUP(S17,'G-3 Multipliers'!$A$2:$E$130,4,FALSE))</f>
        <v/>
      </c>
      <c r="AK17" s="175" t="str">
        <f t="shared" si="10"/>
        <v/>
      </c>
      <c r="AL17" s="175" t="str">
        <f t="shared" si="11"/>
        <v/>
      </c>
      <c r="AM17" s="176" t="str">
        <f>IFERROR(IF(F17="","",IF(AH17="Check Data","Check Data",VLOOKUP(AL17, 'G-3 Multipliers'!$P$2:$Q$6,2,FALSE))),””)</f>
        <v/>
      </c>
      <c r="AN17" s="266"/>
      <c r="AO17" s="269" t="str">
        <f>IF(AN17="","",IF(VLOOKUP(AN17,'G-3 Multipliers'!$S$3:$T$9,2,FALSE)=0,"Spatial Data Missing",VLOOKUP(AN17,'G-3 Multipliers'!$S$3:$T$9,2,FALSE)))</f>
        <v/>
      </c>
      <c r="AP17" s="207" t="str">
        <f t="shared" si="12"/>
        <v/>
      </c>
      <c r="AQ17" s="336"/>
      <c r="AR17" s="181"/>
    </row>
    <row r="18" spans="1:44" x14ac:dyDescent="0.25">
      <c r="A18" s="35" t="str">
        <f>IF(E18="","",IF(ISNA(VLOOKUP($E18,'D-1 Off Site Habitat Baseline'!$D$1:$O$258,2,FALSE)),"",(VLOOKUP($E18,'D-1 Off Site Habitat Baseline'!$D$1:$O$258,2,FALSE))))</f>
        <v/>
      </c>
      <c r="B18" s="35" t="str">
        <f>IF(E18="","",IF(ISNA(VLOOKUP($E18,'D-1 Off Site Habitat Baseline'!$D$1:$O$258,3,FALSE)),"",(VLOOKUP($E18,'D-1 Off Site Habitat Baseline'!$D$1:$O$258,3,FALSE))))</f>
        <v/>
      </c>
      <c r="C18" s="35" t="str">
        <f>IFERROR(INDEX('G-8 Condition Look up'!$I$4:$I$131,MATCH(S18,'G-8 Condition Look up'!$A$4:$A$131,0)),"")</f>
        <v/>
      </c>
      <c r="E18" s="329" t="str">
        <f>'D-1 Off Site Habitat Baseline'!AL17</f>
        <v/>
      </c>
      <c r="F18" s="175" t="str">
        <f>IF(E18="","",IF(ISNA(VLOOKUP($E18,'D-1 Off Site Habitat Baseline'!$D$1:$O$258,4,FALSE)),"",(VLOOKUP($E18,'D-1 Off Site Habitat Baseline'!$D$1:$O$258,4,FALSE))))</f>
        <v/>
      </c>
      <c r="G18" s="175" t="str">
        <f>IF(E18="","",IF(ISNA(VLOOKUP($E18,'D-1 Off Site Habitat Baseline'!$D$1:$O$258,5,FALSE)),"",(VLOOKUP($E18,'D-1 Off Site Habitat Baseline'!$D$1:$O$258,5,FALSE))))</f>
        <v/>
      </c>
      <c r="H18" s="175" t="str">
        <f>IF(E18="","",IF(ISNA(VLOOKUP($E18,'D-1 Off Site Habitat Baseline'!$D$1:$O$258,6,FALSE)),"",(VLOOKUP($E18,'D-1 Off Site Habitat Baseline'!$D$1:$O$258,6,FALSE))))</f>
        <v/>
      </c>
      <c r="I18" s="175" t="str">
        <f>IF(E18="","",IF(ISNA(VLOOKUP($E18,'D-1 Off Site Habitat Baseline'!$D$1:$O$258,7,FALSE)),"",(VLOOKUP($E18,'D-1 Off Site Habitat Baseline'!$D$1:$O$258,7,FALSE))))</f>
        <v/>
      </c>
      <c r="J18" s="175" t="str">
        <f>IF(E18="","",IF(ISNA(VLOOKUP($E18,'D-1 Off Site Habitat Baseline'!$D$1:$O$258,8,FALSE)),"",(VLOOKUP($E18,'D-1 Off Site Habitat Baseline'!$D$1:$O$258,8,FALSE))))</f>
        <v/>
      </c>
      <c r="K18" s="175" t="str">
        <f>IF(E18="","",IF(ISNA(VLOOKUP($E18,'D-1 Off Site Habitat Baseline'!$D$1:$O$258,9,FALSE)),"",(VLOOKUP($E18,'D-1 Off Site Habitat Baseline'!$D$1:$O$258,9,FALSE))))</f>
        <v/>
      </c>
      <c r="L18" s="175" t="str">
        <f>IF(E18="","",IF(ISNA(VLOOKUP($E18,'D-1 Off Site Habitat Baseline'!$D$1:$O$258,11,FALSE)),"",(VLOOKUP($E18,'D-1 Off Site Habitat Baseline'!$D$1:$O$258,11,FALSE))))</f>
        <v/>
      </c>
      <c r="M18" s="175" t="str">
        <f>IF(E18="","",IF(ISNA(VLOOKUP($E18,'D-1 Off Site Habitat Baseline'!$D$1:$O$258,12,FALSE)),"",(VLOOKUP($E18,'D-1 Off Site Habitat Baseline'!$D$1:$O$258,12,FALSE))))</f>
        <v/>
      </c>
      <c r="N18" s="175" t="str">
        <f>IF(E18="","",IF(ISNA(VLOOKUP($E18,'D-1 Off Site Habitat Baseline'!$D$1:$X$258,14,FALSE)),"",(VLOOKUP($E18,'D-1 Off Site Habitat Baseline'!$D$1:$X$258,14,FALSE))))</f>
        <v/>
      </c>
      <c r="O18" s="176" t="str">
        <f>IF(E18="","",IF(ISNA(VLOOKUP($E18,'D-1 Off Site Habitat Baseline'!$D$1:$X$258,13,FALSE)),"",(VLOOKUP($E18,'D-1 Off Site Habitat Baseline'!$D$1:$X$258,13,FALSE))))</f>
        <v/>
      </c>
      <c r="P18" s="337" t="str">
        <f>IFERROR(INDEX('G-1 All Habitats'!$AG$3:$AG$15,MATCH(Q18,'G-1 All Habitats'!$AF$3:$AF$15,0)),"")</f>
        <v/>
      </c>
      <c r="Q18" s="331" t="str">
        <f t="shared" si="13"/>
        <v/>
      </c>
      <c r="R18" s="332" t="str">
        <f t="shared" si="14"/>
        <v/>
      </c>
      <c r="S18" s="338" t="str">
        <f>IFERROR(INDEX('G-1 All Habitats'!$B$3:$B$130,MATCH(R18,'G-1 All Habitats'!$A$3:$A$130,0)),"")</f>
        <v/>
      </c>
      <c r="T18" s="179" t="str">
        <f t="shared" si="6"/>
        <v/>
      </c>
      <c r="U18" s="172" t="str">
        <f t="shared" si="7"/>
        <v/>
      </c>
      <c r="V18" s="334" t="str">
        <f t="shared" si="2"/>
        <v/>
      </c>
      <c r="W18" s="175" t="str">
        <f>IF(S18="","",VLOOKUP(S18,'G-1 All Habitats'!$B$2:$M$130,10,FALSE))</f>
        <v/>
      </c>
      <c r="X18" s="175" t="str">
        <f>IFERROR(VLOOKUP(W18,'G-1 All Habitats'!$V$3:$W$7,2,FALSE),"")</f>
        <v/>
      </c>
      <c r="Y18" s="275"/>
      <c r="Z18" s="176" t="str">
        <f>IFERROR(INDEX('G-8 Condition Look up'!$A$3:$H$131,MATCH(S18,'G-8 Condition Look up'!$A$3:$A$131,0),MATCH(Y18,'G-8 Condition Look up'!$A$3:$H$3,0)),"")</f>
        <v/>
      </c>
      <c r="AA18" s="173"/>
      <c r="AB18" s="269" t="str">
        <f>IF(AA18="","",IF(VLOOKUP(AA18,'G-3 Multipliers'!$L$3:$N$6,2,FALSE)=0,"Spatial Data Missing",VLOOKUP(AA18,'G-3 Multipliers'!$L$3:$N$6,2,FALSE)))</f>
        <v/>
      </c>
      <c r="AC18" s="176" t="str">
        <f>IF(AA18="","",IF(VLOOKUP(AA18,'G-3 Multipliers'!$L$3:$N$6,3,FALSE)=0,"Spatial Data Missing",VLOOKUP(AA18,'G-3 Multipliers'!$L$3:$N$6,3,FALSE)))</f>
        <v/>
      </c>
      <c r="AD18" s="239" t="str">
        <f t="shared" si="3"/>
        <v/>
      </c>
      <c r="AE18" s="275"/>
      <c r="AF18" s="275"/>
      <c r="AG18" s="175" t="str">
        <f t="shared" si="8"/>
        <v/>
      </c>
      <c r="AH18" s="242" t="str">
        <f t="shared" si="9"/>
        <v/>
      </c>
      <c r="AI18" s="335" t="str">
        <f>IF(AH18="Check Data","Check Data",IFERROR(VLOOKUP(AH18,'G-4 Temporal multipliers'!$A$4:$C$36,3,FALSE),""))</f>
        <v/>
      </c>
      <c r="AJ18" s="239" t="str">
        <f>IF(S18="","",VLOOKUP(S18,'G-3 Multipliers'!$A$2:$E$130,4,FALSE))</f>
        <v/>
      </c>
      <c r="AK18" s="175" t="str">
        <f t="shared" si="10"/>
        <v/>
      </c>
      <c r="AL18" s="175" t="str">
        <f t="shared" si="11"/>
        <v/>
      </c>
      <c r="AM18" s="176" t="str">
        <f>IFERROR(IF(F18="","",IF(AH18="Check Data","Check Data",VLOOKUP(AL18, 'G-3 Multipliers'!$P$2:$Q$6,2,FALSE))),””)</f>
        <v/>
      </c>
      <c r="AN18" s="266"/>
      <c r="AO18" s="269" t="str">
        <f>IF(AN18="","",IF(VLOOKUP(AN18,'G-3 Multipliers'!$S$3:$T$9,2,FALSE)=0,"Spatial Data Missing",VLOOKUP(AN18,'G-3 Multipliers'!$S$3:$T$9,2,FALSE)))</f>
        <v/>
      </c>
      <c r="AP18" s="207" t="str">
        <f t="shared" si="12"/>
        <v/>
      </c>
      <c r="AQ18" s="336"/>
      <c r="AR18" s="181"/>
    </row>
    <row r="19" spans="1:44" x14ac:dyDescent="0.25">
      <c r="A19" s="35" t="str">
        <f>IF(E19="","",IF(ISNA(VLOOKUP($E19,'D-1 Off Site Habitat Baseline'!$D$1:$O$258,2,FALSE)),"",(VLOOKUP($E19,'D-1 Off Site Habitat Baseline'!$D$1:$O$258,2,FALSE))))</f>
        <v/>
      </c>
      <c r="B19" s="35" t="str">
        <f>IF(E19="","",IF(ISNA(VLOOKUP($E19,'D-1 Off Site Habitat Baseline'!$D$1:$O$258,3,FALSE)),"",(VLOOKUP($E19,'D-1 Off Site Habitat Baseline'!$D$1:$O$258,3,FALSE))))</f>
        <v/>
      </c>
      <c r="C19" s="35" t="str">
        <f>IFERROR(INDEX('G-8 Condition Look up'!$I$4:$I$131,MATCH(S19,'G-8 Condition Look up'!$A$4:$A$131,0)),"")</f>
        <v/>
      </c>
      <c r="E19" s="329" t="str">
        <f>'D-1 Off Site Habitat Baseline'!AL18</f>
        <v/>
      </c>
      <c r="F19" s="175" t="str">
        <f>IF(E19="","",IF(ISNA(VLOOKUP($E19,'D-1 Off Site Habitat Baseline'!$D$1:$O$258,4,FALSE)),"",(VLOOKUP($E19,'D-1 Off Site Habitat Baseline'!$D$1:$O$258,4,FALSE))))</f>
        <v/>
      </c>
      <c r="G19" s="175" t="str">
        <f>IF(E19="","",IF(ISNA(VLOOKUP($E19,'D-1 Off Site Habitat Baseline'!$D$1:$O$258,5,FALSE)),"",(VLOOKUP($E19,'D-1 Off Site Habitat Baseline'!$D$1:$O$258,5,FALSE))))</f>
        <v/>
      </c>
      <c r="H19" s="175" t="str">
        <f>IF(E19="","",IF(ISNA(VLOOKUP($E19,'D-1 Off Site Habitat Baseline'!$D$1:$O$258,6,FALSE)),"",(VLOOKUP($E19,'D-1 Off Site Habitat Baseline'!$D$1:$O$258,6,FALSE))))</f>
        <v/>
      </c>
      <c r="I19" s="175" t="str">
        <f>IF(E19="","",IF(ISNA(VLOOKUP($E19,'D-1 Off Site Habitat Baseline'!$D$1:$O$258,7,FALSE)),"",(VLOOKUP($E19,'D-1 Off Site Habitat Baseline'!$D$1:$O$258,7,FALSE))))</f>
        <v/>
      </c>
      <c r="J19" s="175" t="str">
        <f>IF(E19="","",IF(ISNA(VLOOKUP($E19,'D-1 Off Site Habitat Baseline'!$D$1:$O$258,8,FALSE)),"",(VLOOKUP($E19,'D-1 Off Site Habitat Baseline'!$D$1:$O$258,8,FALSE))))</f>
        <v/>
      </c>
      <c r="K19" s="175" t="str">
        <f>IF(E19="","",IF(ISNA(VLOOKUP($E19,'D-1 Off Site Habitat Baseline'!$D$1:$O$258,9,FALSE)),"",(VLOOKUP($E19,'D-1 Off Site Habitat Baseline'!$D$1:$O$258,9,FALSE))))</f>
        <v/>
      </c>
      <c r="L19" s="175" t="str">
        <f>IF(E19="","",IF(ISNA(VLOOKUP($E19,'D-1 Off Site Habitat Baseline'!$D$1:$O$258,11,FALSE)),"",(VLOOKUP($E19,'D-1 Off Site Habitat Baseline'!$D$1:$O$258,11,FALSE))))</f>
        <v/>
      </c>
      <c r="M19" s="175" t="str">
        <f>IF(E19="","",IF(ISNA(VLOOKUP($E19,'D-1 Off Site Habitat Baseline'!$D$1:$O$258,12,FALSE)),"",(VLOOKUP($E19,'D-1 Off Site Habitat Baseline'!$D$1:$O$258,12,FALSE))))</f>
        <v/>
      </c>
      <c r="N19" s="175" t="str">
        <f>IF(E19="","",IF(ISNA(VLOOKUP($E19,'D-1 Off Site Habitat Baseline'!$D$1:$X$258,14,FALSE)),"",(VLOOKUP($E19,'D-1 Off Site Habitat Baseline'!$D$1:$X$258,14,FALSE))))</f>
        <v/>
      </c>
      <c r="O19" s="176" t="str">
        <f>IF(E19="","",IF(ISNA(VLOOKUP($E19,'D-1 Off Site Habitat Baseline'!$D$1:$X$258,13,FALSE)),"",(VLOOKUP($E19,'D-1 Off Site Habitat Baseline'!$D$1:$X$258,13,FALSE))))</f>
        <v/>
      </c>
      <c r="P19" s="337" t="str">
        <f>IFERROR(INDEX('G-1 All Habitats'!$AG$3:$AG$15,MATCH(Q19,'G-1 All Habitats'!$AF$3:$AF$15,0)),"")</f>
        <v/>
      </c>
      <c r="Q19" s="331" t="str">
        <f t="shared" si="13"/>
        <v/>
      </c>
      <c r="R19" s="332" t="str">
        <f t="shared" si="14"/>
        <v/>
      </c>
      <c r="S19" s="338" t="str">
        <f>IFERROR(INDEX('G-1 All Habitats'!$B$3:$B$130,MATCH(R19,'G-1 All Habitats'!$A$3:$A$130,0)),"")</f>
        <v/>
      </c>
      <c r="T19" s="179" t="str">
        <f t="shared" si="6"/>
        <v/>
      </c>
      <c r="U19" s="172" t="str">
        <f t="shared" si="7"/>
        <v/>
      </c>
      <c r="V19" s="334" t="str">
        <f t="shared" si="2"/>
        <v/>
      </c>
      <c r="W19" s="175" t="str">
        <f>IF(S19="","",VLOOKUP(S19,'G-1 All Habitats'!$B$2:$M$130,10,FALSE))</f>
        <v/>
      </c>
      <c r="X19" s="175" t="str">
        <f>IFERROR(VLOOKUP(W19,'G-1 All Habitats'!$V$3:$W$7,2,FALSE),"")</f>
        <v/>
      </c>
      <c r="Y19" s="275"/>
      <c r="Z19" s="176" t="str">
        <f>IFERROR(INDEX('G-8 Condition Look up'!$A$3:$H$131,MATCH(S19,'G-8 Condition Look up'!$A$3:$A$131,0),MATCH(Y19,'G-8 Condition Look up'!$A$3:$H$3,0)),"")</f>
        <v/>
      </c>
      <c r="AA19" s="173"/>
      <c r="AB19" s="269" t="str">
        <f>IF(AA19="","",IF(VLOOKUP(AA19,'G-3 Multipliers'!$L$3:$N$6,2,FALSE)=0,"Spatial Data Missing",VLOOKUP(AA19,'G-3 Multipliers'!$L$3:$N$6,2,FALSE)))</f>
        <v/>
      </c>
      <c r="AC19" s="176" t="str">
        <f>IF(AA19="","",IF(VLOOKUP(AA19,'G-3 Multipliers'!$L$3:$N$6,3,FALSE)=0,"Spatial Data Missing",VLOOKUP(AA19,'G-3 Multipliers'!$L$3:$N$6,3,FALSE)))</f>
        <v/>
      </c>
      <c r="AD19" s="239" t="str">
        <f t="shared" si="3"/>
        <v/>
      </c>
      <c r="AE19" s="275"/>
      <c r="AF19" s="275"/>
      <c r="AG19" s="175" t="str">
        <f t="shared" si="8"/>
        <v/>
      </c>
      <c r="AH19" s="242" t="str">
        <f t="shared" si="9"/>
        <v/>
      </c>
      <c r="AI19" s="335" t="str">
        <f>IF(AH19="Check Data","Check Data",IFERROR(VLOOKUP(AH19,'G-4 Temporal multipliers'!$A$4:$C$36,3,FALSE),""))</f>
        <v/>
      </c>
      <c r="AJ19" s="239" t="str">
        <f>IF(S19="","",VLOOKUP(S19,'G-3 Multipliers'!$A$2:$E$130,4,FALSE))</f>
        <v/>
      </c>
      <c r="AK19" s="175" t="str">
        <f t="shared" si="10"/>
        <v/>
      </c>
      <c r="AL19" s="175" t="str">
        <f t="shared" si="11"/>
        <v/>
      </c>
      <c r="AM19" s="176" t="str">
        <f>IFERROR(IF(F19="","",IF(AH19="Check Data","Check Data",VLOOKUP(AL19, 'G-3 Multipliers'!$P$2:$Q$6,2,FALSE))),””)</f>
        <v/>
      </c>
      <c r="AN19" s="266"/>
      <c r="AO19" s="269" t="str">
        <f>IF(AN19="","",IF(VLOOKUP(AN19,'G-3 Multipliers'!$S$3:$T$9,2,FALSE)=0,"Spatial Data Missing",VLOOKUP(AN19,'G-3 Multipliers'!$S$3:$T$9,2,FALSE)))</f>
        <v/>
      </c>
      <c r="AP19" s="207" t="str">
        <f t="shared" si="12"/>
        <v/>
      </c>
      <c r="AQ19" s="336"/>
      <c r="AR19" s="181"/>
    </row>
    <row r="20" spans="1:44" x14ac:dyDescent="0.25">
      <c r="A20" s="35" t="str">
        <f>IF(E20="","",IF(ISNA(VLOOKUP($E20,'D-1 Off Site Habitat Baseline'!$D$1:$O$258,2,FALSE)),"",(VLOOKUP($E20,'D-1 Off Site Habitat Baseline'!$D$1:$O$258,2,FALSE))))</f>
        <v/>
      </c>
      <c r="B20" s="35" t="str">
        <f>IF(E20="","",IF(ISNA(VLOOKUP($E20,'D-1 Off Site Habitat Baseline'!$D$1:$O$258,3,FALSE)),"",(VLOOKUP($E20,'D-1 Off Site Habitat Baseline'!$D$1:$O$258,3,FALSE))))</f>
        <v/>
      </c>
      <c r="C20" s="35" t="str">
        <f>IFERROR(INDEX('G-8 Condition Look up'!$I$4:$I$131,MATCH(S20,'G-8 Condition Look up'!$A$4:$A$131,0)),"")</f>
        <v/>
      </c>
      <c r="E20" s="329" t="str">
        <f>'D-1 Off Site Habitat Baseline'!AL19</f>
        <v/>
      </c>
      <c r="F20" s="175" t="str">
        <f>IF(E20="","",IF(ISNA(VLOOKUP($E20,'D-1 Off Site Habitat Baseline'!$D$1:$O$258,4,FALSE)),"",(VLOOKUP($E20,'D-1 Off Site Habitat Baseline'!$D$1:$O$258,4,FALSE))))</f>
        <v/>
      </c>
      <c r="G20" s="175" t="str">
        <f>IF(E20="","",IF(ISNA(VLOOKUP($E20,'D-1 Off Site Habitat Baseline'!$D$1:$O$258,5,FALSE)),"",(VLOOKUP($E20,'D-1 Off Site Habitat Baseline'!$D$1:$O$258,5,FALSE))))</f>
        <v/>
      </c>
      <c r="H20" s="175" t="str">
        <f>IF(E20="","",IF(ISNA(VLOOKUP($E20,'D-1 Off Site Habitat Baseline'!$D$1:$O$258,6,FALSE)),"",(VLOOKUP($E20,'D-1 Off Site Habitat Baseline'!$D$1:$O$258,6,FALSE))))</f>
        <v/>
      </c>
      <c r="I20" s="175" t="str">
        <f>IF(E20="","",IF(ISNA(VLOOKUP($E20,'D-1 Off Site Habitat Baseline'!$D$1:$O$258,7,FALSE)),"",(VLOOKUP($E20,'D-1 Off Site Habitat Baseline'!$D$1:$O$258,7,FALSE))))</f>
        <v/>
      </c>
      <c r="J20" s="175" t="str">
        <f>IF(E20="","",IF(ISNA(VLOOKUP($E20,'D-1 Off Site Habitat Baseline'!$D$1:$O$258,8,FALSE)),"",(VLOOKUP($E20,'D-1 Off Site Habitat Baseline'!$D$1:$O$258,8,FALSE))))</f>
        <v/>
      </c>
      <c r="K20" s="175" t="str">
        <f>IF(E20="","",IF(ISNA(VLOOKUP($E20,'D-1 Off Site Habitat Baseline'!$D$1:$O$258,9,FALSE)),"",(VLOOKUP($E20,'D-1 Off Site Habitat Baseline'!$D$1:$O$258,9,FALSE))))</f>
        <v/>
      </c>
      <c r="L20" s="175" t="str">
        <f>IF(E20="","",IF(ISNA(VLOOKUP($E20,'D-1 Off Site Habitat Baseline'!$D$1:$O$258,11,FALSE)),"",(VLOOKUP($E20,'D-1 Off Site Habitat Baseline'!$D$1:$O$258,11,FALSE))))</f>
        <v/>
      </c>
      <c r="M20" s="175" t="str">
        <f>IF(E20="","",IF(ISNA(VLOOKUP($E20,'D-1 Off Site Habitat Baseline'!$D$1:$O$258,12,FALSE)),"",(VLOOKUP($E20,'D-1 Off Site Habitat Baseline'!$D$1:$O$258,12,FALSE))))</f>
        <v/>
      </c>
      <c r="N20" s="175" t="str">
        <f>IF(E20="","",IF(ISNA(VLOOKUP($E20,'D-1 Off Site Habitat Baseline'!$D$1:$X$258,14,FALSE)),"",(VLOOKUP($E20,'D-1 Off Site Habitat Baseline'!$D$1:$X$258,14,FALSE))))</f>
        <v/>
      </c>
      <c r="O20" s="176" t="str">
        <f>IF(E20="","",IF(ISNA(VLOOKUP($E20,'D-1 Off Site Habitat Baseline'!$D$1:$X$258,13,FALSE)),"",(VLOOKUP($E20,'D-1 Off Site Habitat Baseline'!$D$1:$X$258,13,FALSE))))</f>
        <v/>
      </c>
      <c r="P20" s="337" t="str">
        <f>IFERROR(INDEX('G-1 All Habitats'!$AG$3:$AG$15,MATCH(Q20,'G-1 All Habitats'!$AF$3:$AF$15,0)),"")</f>
        <v/>
      </c>
      <c r="Q20" s="331" t="str">
        <f t="shared" si="13"/>
        <v/>
      </c>
      <c r="R20" s="332" t="str">
        <f t="shared" si="14"/>
        <v/>
      </c>
      <c r="S20" s="338" t="str">
        <f>IFERROR(INDEX('G-1 All Habitats'!$B$3:$B$130,MATCH(R20,'G-1 All Habitats'!$A$3:$A$130,0)),"")</f>
        <v/>
      </c>
      <c r="T20" s="179" t="str">
        <f t="shared" si="6"/>
        <v/>
      </c>
      <c r="U20" s="172" t="str">
        <f t="shared" si="7"/>
        <v/>
      </c>
      <c r="V20" s="334" t="str">
        <f t="shared" si="2"/>
        <v/>
      </c>
      <c r="W20" s="175" t="str">
        <f>IF(S20="","",VLOOKUP(S20,'G-1 All Habitats'!$B$2:$M$130,10,FALSE))</f>
        <v/>
      </c>
      <c r="X20" s="175" t="str">
        <f>IFERROR(VLOOKUP(W20,'G-1 All Habitats'!$V$3:$W$7,2,FALSE),"")</f>
        <v/>
      </c>
      <c r="Y20" s="275"/>
      <c r="Z20" s="176" t="str">
        <f>IFERROR(INDEX('G-8 Condition Look up'!$A$3:$H$131,MATCH(S20,'G-8 Condition Look up'!$A$3:$A$131,0),MATCH(Y20,'G-8 Condition Look up'!$A$3:$H$3,0)),"")</f>
        <v/>
      </c>
      <c r="AA20" s="173"/>
      <c r="AB20" s="269" t="str">
        <f>IF(AA20="","",IF(VLOOKUP(AA20,'G-3 Multipliers'!$L$3:$N$6,2,FALSE)=0,"Spatial Data Missing",VLOOKUP(AA20,'G-3 Multipliers'!$L$3:$N$6,2,FALSE)))</f>
        <v/>
      </c>
      <c r="AC20" s="176" t="str">
        <f>IF(AA20="","",IF(VLOOKUP(AA20,'G-3 Multipliers'!$L$3:$N$6,3,FALSE)=0,"Spatial Data Missing",VLOOKUP(AA20,'G-3 Multipliers'!$L$3:$N$6,3,FALSE)))</f>
        <v/>
      </c>
      <c r="AD20" s="239" t="str">
        <f t="shared" si="3"/>
        <v/>
      </c>
      <c r="AE20" s="275"/>
      <c r="AF20" s="275"/>
      <c r="AG20" s="175" t="str">
        <f t="shared" si="8"/>
        <v/>
      </c>
      <c r="AH20" s="242" t="str">
        <f t="shared" si="9"/>
        <v/>
      </c>
      <c r="AI20" s="335" t="str">
        <f>IF(AH20="Check Data","Check Data",IFERROR(VLOOKUP(AH20,'G-4 Temporal multipliers'!$A$4:$C$36,3,FALSE),""))</f>
        <v/>
      </c>
      <c r="AJ20" s="239" t="str">
        <f>IF(S20="","",VLOOKUP(S20,'G-3 Multipliers'!$A$2:$E$130,4,FALSE))</f>
        <v/>
      </c>
      <c r="AK20" s="175" t="str">
        <f t="shared" si="10"/>
        <v/>
      </c>
      <c r="AL20" s="175" t="str">
        <f t="shared" si="11"/>
        <v/>
      </c>
      <c r="AM20" s="176" t="str">
        <f>IFERROR(IF(F20="","",IF(AH20="Check Data","Check Data",VLOOKUP(AL20, 'G-3 Multipliers'!$P$2:$Q$6,2,FALSE))),””)</f>
        <v/>
      </c>
      <c r="AN20" s="266"/>
      <c r="AO20" s="269" t="str">
        <f>IF(AN20="","",IF(VLOOKUP(AN20,'G-3 Multipliers'!$S$3:$T$9,2,FALSE)=0,"Spatial Data Missing",VLOOKUP(AN20,'G-3 Multipliers'!$S$3:$T$9,2,FALSE)))</f>
        <v/>
      </c>
      <c r="AP20" s="207" t="str">
        <f t="shared" si="12"/>
        <v/>
      </c>
      <c r="AQ20" s="336"/>
      <c r="AR20" s="181"/>
    </row>
    <row r="21" spans="1:44" x14ac:dyDescent="0.25">
      <c r="A21" s="35" t="str">
        <f>IF(E21="","",IF(ISNA(VLOOKUP($E21,'D-1 Off Site Habitat Baseline'!$D$1:$O$258,2,FALSE)),"",(VLOOKUP($E21,'D-1 Off Site Habitat Baseline'!$D$1:$O$258,2,FALSE))))</f>
        <v/>
      </c>
      <c r="B21" s="35" t="str">
        <f>IF(E21="","",IF(ISNA(VLOOKUP($E21,'D-1 Off Site Habitat Baseline'!$D$1:$O$258,3,FALSE)),"",(VLOOKUP($E21,'D-1 Off Site Habitat Baseline'!$D$1:$O$258,3,FALSE))))</f>
        <v/>
      </c>
      <c r="C21" s="35" t="str">
        <f>IFERROR(INDEX('G-8 Condition Look up'!$I$4:$I$131,MATCH(S21,'G-8 Condition Look up'!$A$4:$A$131,0)),"")</f>
        <v/>
      </c>
      <c r="E21" s="329" t="str">
        <f>'D-1 Off Site Habitat Baseline'!AL20</f>
        <v/>
      </c>
      <c r="F21" s="175" t="str">
        <f>IF(E21="","",IF(ISNA(VLOOKUP($E21,'D-1 Off Site Habitat Baseline'!$D$1:$O$258,4,FALSE)),"",(VLOOKUP($E21,'D-1 Off Site Habitat Baseline'!$D$1:$O$258,4,FALSE))))</f>
        <v/>
      </c>
      <c r="G21" s="175" t="str">
        <f>IF(E21="","",IF(ISNA(VLOOKUP($E21,'D-1 Off Site Habitat Baseline'!$D$1:$O$258,5,FALSE)),"",(VLOOKUP($E21,'D-1 Off Site Habitat Baseline'!$D$1:$O$258,5,FALSE))))</f>
        <v/>
      </c>
      <c r="H21" s="175" t="str">
        <f>IF(E21="","",IF(ISNA(VLOOKUP($E21,'D-1 Off Site Habitat Baseline'!$D$1:$O$258,6,FALSE)),"",(VLOOKUP($E21,'D-1 Off Site Habitat Baseline'!$D$1:$O$258,6,FALSE))))</f>
        <v/>
      </c>
      <c r="I21" s="175" t="str">
        <f>IF(E21="","",IF(ISNA(VLOOKUP($E21,'D-1 Off Site Habitat Baseline'!$D$1:$O$258,7,FALSE)),"",(VLOOKUP($E21,'D-1 Off Site Habitat Baseline'!$D$1:$O$258,7,FALSE))))</f>
        <v/>
      </c>
      <c r="J21" s="175" t="str">
        <f>IF(E21="","",IF(ISNA(VLOOKUP($E21,'D-1 Off Site Habitat Baseline'!$D$1:$O$258,8,FALSE)),"",(VLOOKUP($E21,'D-1 Off Site Habitat Baseline'!$D$1:$O$258,8,FALSE))))</f>
        <v/>
      </c>
      <c r="K21" s="175" t="str">
        <f>IF(E21="","",IF(ISNA(VLOOKUP($E21,'D-1 Off Site Habitat Baseline'!$D$1:$O$258,9,FALSE)),"",(VLOOKUP($E21,'D-1 Off Site Habitat Baseline'!$D$1:$O$258,9,FALSE))))</f>
        <v/>
      </c>
      <c r="L21" s="175" t="str">
        <f>IF(E21="","",IF(ISNA(VLOOKUP($E21,'D-1 Off Site Habitat Baseline'!$D$1:$O$258,11,FALSE)),"",(VLOOKUP($E21,'D-1 Off Site Habitat Baseline'!$D$1:$O$258,11,FALSE))))</f>
        <v/>
      </c>
      <c r="M21" s="175" t="str">
        <f>IF(E21="","",IF(ISNA(VLOOKUP($E21,'D-1 Off Site Habitat Baseline'!$D$1:$O$258,12,FALSE)),"",(VLOOKUP($E21,'D-1 Off Site Habitat Baseline'!$D$1:$O$258,12,FALSE))))</f>
        <v/>
      </c>
      <c r="N21" s="175" t="str">
        <f>IF(E21="","",IF(ISNA(VLOOKUP($E21,'D-1 Off Site Habitat Baseline'!$D$1:$X$258,14,FALSE)),"",(VLOOKUP($E21,'D-1 Off Site Habitat Baseline'!$D$1:$X$258,14,FALSE))))</f>
        <v/>
      </c>
      <c r="O21" s="176" t="str">
        <f>IF(E21="","",IF(ISNA(VLOOKUP($E21,'D-1 Off Site Habitat Baseline'!$D$1:$X$258,13,FALSE)),"",(VLOOKUP($E21,'D-1 Off Site Habitat Baseline'!$D$1:$X$258,13,FALSE))))</f>
        <v/>
      </c>
      <c r="P21" s="337" t="str">
        <f>IFERROR(INDEX('G-1 All Habitats'!$AG$3:$AG$15,MATCH(Q21,'G-1 All Habitats'!$AF$3:$AF$15,0)),"")</f>
        <v/>
      </c>
      <c r="Q21" s="331" t="str">
        <f t="shared" si="13"/>
        <v/>
      </c>
      <c r="R21" s="332" t="str">
        <f t="shared" si="14"/>
        <v/>
      </c>
      <c r="S21" s="338" t="str">
        <f>IFERROR(INDEX('G-1 All Habitats'!$B$3:$B$130,MATCH(R21,'G-1 All Habitats'!$A$3:$A$130,0)),"")</f>
        <v/>
      </c>
      <c r="T21" s="179" t="str">
        <f t="shared" si="6"/>
        <v/>
      </c>
      <c r="U21" s="172" t="str">
        <f t="shared" si="7"/>
        <v/>
      </c>
      <c r="V21" s="334" t="str">
        <f t="shared" si="2"/>
        <v/>
      </c>
      <c r="W21" s="175" t="str">
        <f>IF(S21="","",VLOOKUP(S21,'G-1 All Habitats'!$B$2:$M$130,10,FALSE))</f>
        <v/>
      </c>
      <c r="X21" s="175" t="str">
        <f>IFERROR(VLOOKUP(W21,'G-1 All Habitats'!$V$3:$W$7,2,FALSE),"")</f>
        <v/>
      </c>
      <c r="Y21" s="275"/>
      <c r="Z21" s="176" t="str">
        <f>IFERROR(INDEX('G-8 Condition Look up'!$A$3:$H$131,MATCH(S21,'G-8 Condition Look up'!$A$3:$A$131,0),MATCH(Y21,'G-8 Condition Look up'!$A$3:$H$3,0)),"")</f>
        <v/>
      </c>
      <c r="AA21" s="173"/>
      <c r="AB21" s="269" t="str">
        <f>IF(AA21="","",IF(VLOOKUP(AA21,'G-3 Multipliers'!$L$3:$N$6,2,FALSE)=0,"Spatial Data Missing",VLOOKUP(AA21,'G-3 Multipliers'!$L$3:$N$6,2,FALSE)))</f>
        <v/>
      </c>
      <c r="AC21" s="176" t="str">
        <f>IF(AA21="","",IF(VLOOKUP(AA21,'G-3 Multipliers'!$L$3:$N$6,3,FALSE)=0,"Spatial Data Missing",VLOOKUP(AA21,'G-3 Multipliers'!$L$3:$N$6,3,FALSE)))</f>
        <v/>
      </c>
      <c r="AD21" s="239" t="str">
        <f t="shared" si="3"/>
        <v/>
      </c>
      <c r="AE21" s="275"/>
      <c r="AF21" s="275"/>
      <c r="AG21" s="175" t="str">
        <f t="shared" si="8"/>
        <v/>
      </c>
      <c r="AH21" s="242" t="str">
        <f t="shared" si="9"/>
        <v/>
      </c>
      <c r="AI21" s="335" t="str">
        <f>IF(AH21="Check Data","Check Data",IFERROR(VLOOKUP(AH21,'G-4 Temporal multipliers'!$A$4:$C$36,3,FALSE),""))</f>
        <v/>
      </c>
      <c r="AJ21" s="239" t="str">
        <f>IF(S21="","",VLOOKUP(S21,'G-3 Multipliers'!$A$2:$E$130,4,FALSE))</f>
        <v/>
      </c>
      <c r="AK21" s="175" t="str">
        <f t="shared" si="10"/>
        <v/>
      </c>
      <c r="AL21" s="175" t="str">
        <f t="shared" si="11"/>
        <v/>
      </c>
      <c r="AM21" s="176" t="str">
        <f>IFERROR(IF(F21="","",IF(AH21="Check Data","Check Data",VLOOKUP(AL21, 'G-3 Multipliers'!$P$2:$Q$6,2,FALSE))),””)</f>
        <v/>
      </c>
      <c r="AN21" s="266"/>
      <c r="AO21" s="269" t="str">
        <f>IF(AN21="","",IF(VLOOKUP(AN21,'G-3 Multipliers'!$S$3:$T$9,2,FALSE)=0,"Spatial Data Missing",VLOOKUP(AN21,'G-3 Multipliers'!$S$3:$T$9,2,FALSE)))</f>
        <v/>
      </c>
      <c r="AP21" s="207" t="str">
        <f t="shared" si="12"/>
        <v/>
      </c>
      <c r="AQ21" s="336"/>
      <c r="AR21" s="181"/>
    </row>
    <row r="22" spans="1:44" x14ac:dyDescent="0.25">
      <c r="A22" s="35" t="str">
        <f>IF(E22="","",IF(ISNA(VLOOKUP($E22,'D-1 Off Site Habitat Baseline'!$D$1:$O$258,2,FALSE)),"",(VLOOKUP($E22,'D-1 Off Site Habitat Baseline'!$D$1:$O$258,2,FALSE))))</f>
        <v/>
      </c>
      <c r="B22" s="35" t="str">
        <f>IF(E22="","",IF(ISNA(VLOOKUP($E22,'D-1 Off Site Habitat Baseline'!$D$1:$O$258,3,FALSE)),"",(VLOOKUP($E22,'D-1 Off Site Habitat Baseline'!$D$1:$O$258,3,FALSE))))</f>
        <v/>
      </c>
      <c r="C22" s="35" t="str">
        <f>IFERROR(INDEX('G-8 Condition Look up'!$I$4:$I$131,MATCH(S22,'G-8 Condition Look up'!$A$4:$A$131,0)),"")</f>
        <v/>
      </c>
      <c r="E22" s="329" t="str">
        <f>'D-1 Off Site Habitat Baseline'!AL21</f>
        <v/>
      </c>
      <c r="F22" s="175" t="str">
        <f>IF(E22="","",IF(ISNA(VLOOKUP($E22,'D-1 Off Site Habitat Baseline'!$D$1:$O$258,4,FALSE)),"",(VLOOKUP($E22,'D-1 Off Site Habitat Baseline'!$D$1:$O$258,4,FALSE))))</f>
        <v/>
      </c>
      <c r="G22" s="175" t="str">
        <f>IF(E22="","",IF(ISNA(VLOOKUP($E22,'D-1 Off Site Habitat Baseline'!$D$1:$O$258,5,FALSE)),"",(VLOOKUP($E22,'D-1 Off Site Habitat Baseline'!$D$1:$O$258,5,FALSE))))</f>
        <v/>
      </c>
      <c r="H22" s="175" t="str">
        <f>IF(E22="","",IF(ISNA(VLOOKUP($E22,'D-1 Off Site Habitat Baseline'!$D$1:$O$258,6,FALSE)),"",(VLOOKUP($E22,'D-1 Off Site Habitat Baseline'!$D$1:$O$258,6,FALSE))))</f>
        <v/>
      </c>
      <c r="I22" s="175" t="str">
        <f>IF(E22="","",IF(ISNA(VLOOKUP($E22,'D-1 Off Site Habitat Baseline'!$D$1:$O$258,7,FALSE)),"",(VLOOKUP($E22,'D-1 Off Site Habitat Baseline'!$D$1:$O$258,7,FALSE))))</f>
        <v/>
      </c>
      <c r="J22" s="175" t="str">
        <f>IF(E22="","",IF(ISNA(VLOOKUP($E22,'D-1 Off Site Habitat Baseline'!$D$1:$O$258,8,FALSE)),"",(VLOOKUP($E22,'D-1 Off Site Habitat Baseline'!$D$1:$O$258,8,FALSE))))</f>
        <v/>
      </c>
      <c r="K22" s="175" t="str">
        <f>IF(E22="","",IF(ISNA(VLOOKUP($E22,'D-1 Off Site Habitat Baseline'!$D$1:$O$258,9,FALSE)),"",(VLOOKUP($E22,'D-1 Off Site Habitat Baseline'!$D$1:$O$258,9,FALSE))))</f>
        <v/>
      </c>
      <c r="L22" s="175" t="str">
        <f>IF(E22="","",IF(ISNA(VLOOKUP($E22,'D-1 Off Site Habitat Baseline'!$D$1:$O$258,11,FALSE)),"",(VLOOKUP($E22,'D-1 Off Site Habitat Baseline'!$D$1:$O$258,11,FALSE))))</f>
        <v/>
      </c>
      <c r="M22" s="175" t="str">
        <f>IF(E22="","",IF(ISNA(VLOOKUP($E22,'D-1 Off Site Habitat Baseline'!$D$1:$O$258,12,FALSE)),"",(VLOOKUP($E22,'D-1 Off Site Habitat Baseline'!$D$1:$O$258,12,FALSE))))</f>
        <v/>
      </c>
      <c r="N22" s="175" t="str">
        <f>IF(E22="","",IF(ISNA(VLOOKUP($E22,'D-1 Off Site Habitat Baseline'!$D$1:$X$258,14,FALSE)),"",(VLOOKUP($E22,'D-1 Off Site Habitat Baseline'!$D$1:$X$258,14,FALSE))))</f>
        <v/>
      </c>
      <c r="O22" s="176" t="str">
        <f>IF(E22="","",IF(ISNA(VLOOKUP($E22,'D-1 Off Site Habitat Baseline'!$D$1:$X$258,13,FALSE)),"",(VLOOKUP($E22,'D-1 Off Site Habitat Baseline'!$D$1:$X$258,13,FALSE))))</f>
        <v/>
      </c>
      <c r="P22" s="337" t="str">
        <f>IFERROR(INDEX('G-1 All Habitats'!$AG$3:$AG$15,MATCH(Q22,'G-1 All Habitats'!$AF$3:$AF$15,0)),"")</f>
        <v/>
      </c>
      <c r="Q22" s="331" t="str">
        <f t="shared" si="13"/>
        <v/>
      </c>
      <c r="R22" s="332" t="str">
        <f t="shared" si="14"/>
        <v/>
      </c>
      <c r="S22" s="338" t="str">
        <f>IFERROR(INDEX('G-1 All Habitats'!$B$3:$B$130,MATCH(R22,'G-1 All Habitats'!$A$3:$A$130,0)),"")</f>
        <v/>
      </c>
      <c r="T22" s="179" t="str">
        <f t="shared" si="6"/>
        <v/>
      </c>
      <c r="U22" s="172" t="str">
        <f t="shared" si="7"/>
        <v/>
      </c>
      <c r="V22" s="334" t="str">
        <f t="shared" si="2"/>
        <v/>
      </c>
      <c r="W22" s="175" t="str">
        <f>IF(S22="","",VLOOKUP(S22,'G-1 All Habitats'!$B$2:$M$130,10,FALSE))</f>
        <v/>
      </c>
      <c r="X22" s="175" t="str">
        <f>IFERROR(VLOOKUP(W22,'G-1 All Habitats'!$V$3:$W$7,2,FALSE),"")</f>
        <v/>
      </c>
      <c r="Y22" s="275"/>
      <c r="Z22" s="176" t="str">
        <f>IFERROR(INDEX('G-8 Condition Look up'!$A$3:$H$131,MATCH(S22,'G-8 Condition Look up'!$A$3:$A$131,0),MATCH(Y22,'G-8 Condition Look up'!$A$3:$H$3,0)),"")</f>
        <v/>
      </c>
      <c r="AA22" s="173"/>
      <c r="AB22" s="269" t="str">
        <f>IF(AA22="","",IF(VLOOKUP(AA22,'G-3 Multipliers'!$L$3:$N$6,2,FALSE)=0,"Spatial Data Missing",VLOOKUP(AA22,'G-3 Multipliers'!$L$3:$N$6,2,FALSE)))</f>
        <v/>
      </c>
      <c r="AC22" s="176" t="str">
        <f>IF(AA22="","",IF(VLOOKUP(AA22,'G-3 Multipliers'!$L$3:$N$6,3,FALSE)=0,"Spatial Data Missing",VLOOKUP(AA22,'G-3 Multipliers'!$L$3:$N$6,3,FALSE)))</f>
        <v/>
      </c>
      <c r="AD22" s="239" t="str">
        <f t="shared" si="3"/>
        <v/>
      </c>
      <c r="AE22" s="275"/>
      <c r="AF22" s="275"/>
      <c r="AG22" s="175" t="str">
        <f t="shared" si="8"/>
        <v/>
      </c>
      <c r="AH22" s="242" t="str">
        <f t="shared" si="9"/>
        <v/>
      </c>
      <c r="AI22" s="335" t="str">
        <f>IF(AH22="Check Data","Check Data",IFERROR(VLOOKUP(AH22,'G-4 Temporal multipliers'!$A$4:$C$36,3,FALSE),""))</f>
        <v/>
      </c>
      <c r="AJ22" s="239" t="str">
        <f>IF(S22="","",VLOOKUP(S22,'G-3 Multipliers'!$A$2:$E$130,4,FALSE))</f>
        <v/>
      </c>
      <c r="AK22" s="175" t="str">
        <f t="shared" si="10"/>
        <v/>
      </c>
      <c r="AL22" s="175" t="str">
        <f t="shared" si="11"/>
        <v/>
      </c>
      <c r="AM22" s="176" t="str">
        <f>IFERROR(IF(F22="","",IF(AH22="Check Data","Check Data",VLOOKUP(AL22, 'G-3 Multipliers'!$P$2:$Q$6,2,FALSE))),””)</f>
        <v/>
      </c>
      <c r="AN22" s="266"/>
      <c r="AO22" s="269" t="str">
        <f>IF(AN22="","",IF(VLOOKUP(AN22,'G-3 Multipliers'!$S$3:$T$9,2,FALSE)=0,"Spatial Data Missing",VLOOKUP(AN22,'G-3 Multipliers'!$S$3:$T$9,2,FALSE)))</f>
        <v/>
      </c>
      <c r="AP22" s="207" t="str">
        <f t="shared" si="12"/>
        <v/>
      </c>
      <c r="AQ22" s="336"/>
      <c r="AR22" s="181"/>
    </row>
    <row r="23" spans="1:44" x14ac:dyDescent="0.25">
      <c r="A23" s="35" t="str">
        <f>IF(E23="","",IF(ISNA(VLOOKUP($E23,'D-1 Off Site Habitat Baseline'!$D$1:$O$258,2,FALSE)),"",(VLOOKUP($E23,'D-1 Off Site Habitat Baseline'!$D$1:$O$258,2,FALSE))))</f>
        <v/>
      </c>
      <c r="B23" s="35" t="str">
        <f>IF(E23="","",IF(ISNA(VLOOKUP($E23,'D-1 Off Site Habitat Baseline'!$D$1:$O$258,3,FALSE)),"",(VLOOKUP($E23,'D-1 Off Site Habitat Baseline'!$D$1:$O$258,3,FALSE))))</f>
        <v/>
      </c>
      <c r="C23" s="35" t="str">
        <f>IFERROR(INDEX('G-8 Condition Look up'!$I$4:$I$131,MATCH(S23,'G-8 Condition Look up'!$A$4:$A$131,0)),"")</f>
        <v/>
      </c>
      <c r="E23" s="329" t="str">
        <f>'D-1 Off Site Habitat Baseline'!AL22</f>
        <v/>
      </c>
      <c r="F23" s="175" t="str">
        <f>IF(E23="","",IF(ISNA(VLOOKUP($E23,'D-1 Off Site Habitat Baseline'!$D$1:$O$258,4,FALSE)),"",(VLOOKUP($E23,'D-1 Off Site Habitat Baseline'!$D$1:$O$258,4,FALSE))))</f>
        <v/>
      </c>
      <c r="G23" s="175" t="str">
        <f>IF(E23="","",IF(ISNA(VLOOKUP($E23,'D-1 Off Site Habitat Baseline'!$D$1:$O$258,5,FALSE)),"",(VLOOKUP($E23,'D-1 Off Site Habitat Baseline'!$D$1:$O$258,5,FALSE))))</f>
        <v/>
      </c>
      <c r="H23" s="175" t="str">
        <f>IF(E23="","",IF(ISNA(VLOOKUP($E23,'D-1 Off Site Habitat Baseline'!$D$1:$O$258,6,FALSE)),"",(VLOOKUP($E23,'D-1 Off Site Habitat Baseline'!$D$1:$O$258,6,FALSE))))</f>
        <v/>
      </c>
      <c r="I23" s="175" t="str">
        <f>IF(E23="","",IF(ISNA(VLOOKUP($E23,'D-1 Off Site Habitat Baseline'!$D$1:$O$258,7,FALSE)),"",(VLOOKUP($E23,'D-1 Off Site Habitat Baseline'!$D$1:$O$258,7,FALSE))))</f>
        <v/>
      </c>
      <c r="J23" s="175" t="str">
        <f>IF(E23="","",IF(ISNA(VLOOKUP($E23,'D-1 Off Site Habitat Baseline'!$D$1:$O$258,8,FALSE)),"",(VLOOKUP($E23,'D-1 Off Site Habitat Baseline'!$D$1:$O$258,8,FALSE))))</f>
        <v/>
      </c>
      <c r="K23" s="175" t="str">
        <f>IF(E23="","",IF(ISNA(VLOOKUP($E23,'D-1 Off Site Habitat Baseline'!$D$1:$O$258,9,FALSE)),"",(VLOOKUP($E23,'D-1 Off Site Habitat Baseline'!$D$1:$O$258,9,FALSE))))</f>
        <v/>
      </c>
      <c r="L23" s="175" t="str">
        <f>IF(E23="","",IF(ISNA(VLOOKUP($E23,'D-1 Off Site Habitat Baseline'!$D$1:$O$258,11,FALSE)),"",(VLOOKUP($E23,'D-1 Off Site Habitat Baseline'!$D$1:$O$258,11,FALSE))))</f>
        <v/>
      </c>
      <c r="M23" s="175" t="str">
        <f>IF(E23="","",IF(ISNA(VLOOKUP($E23,'D-1 Off Site Habitat Baseline'!$D$1:$O$258,12,FALSE)),"",(VLOOKUP($E23,'D-1 Off Site Habitat Baseline'!$D$1:$O$258,12,FALSE))))</f>
        <v/>
      </c>
      <c r="N23" s="175" t="str">
        <f>IF(E23="","",IF(ISNA(VLOOKUP($E23,'D-1 Off Site Habitat Baseline'!$D$1:$X$258,14,FALSE)),"",(VLOOKUP($E23,'D-1 Off Site Habitat Baseline'!$D$1:$X$258,14,FALSE))))</f>
        <v/>
      </c>
      <c r="O23" s="176" t="str">
        <f>IF(E23="","",IF(ISNA(VLOOKUP($E23,'D-1 Off Site Habitat Baseline'!$D$1:$X$258,13,FALSE)),"",(VLOOKUP($E23,'D-1 Off Site Habitat Baseline'!$D$1:$X$258,13,FALSE))))</f>
        <v/>
      </c>
      <c r="P23" s="337" t="str">
        <f>IFERROR(INDEX('G-1 All Habitats'!$AG$3:$AG$15,MATCH(Q23,'G-1 All Habitats'!$AF$3:$AF$15,0)),"")</f>
        <v/>
      </c>
      <c r="Q23" s="331" t="str">
        <f t="shared" si="13"/>
        <v/>
      </c>
      <c r="R23" s="332" t="str">
        <f t="shared" si="14"/>
        <v/>
      </c>
      <c r="S23" s="338" t="str">
        <f>IFERROR(INDEX('G-1 All Habitats'!$B$3:$B$130,MATCH(R23,'G-1 All Habitats'!$A$3:$A$130,0)),"")</f>
        <v/>
      </c>
      <c r="T23" s="179" t="str">
        <f t="shared" si="6"/>
        <v/>
      </c>
      <c r="U23" s="172" t="str">
        <f t="shared" si="7"/>
        <v/>
      </c>
      <c r="V23" s="334" t="str">
        <f t="shared" si="2"/>
        <v/>
      </c>
      <c r="W23" s="175" t="str">
        <f>IF(S23="","",VLOOKUP(S23,'G-1 All Habitats'!$B$2:$M$130,10,FALSE))</f>
        <v/>
      </c>
      <c r="X23" s="175" t="str">
        <f>IFERROR(VLOOKUP(W23,'G-1 All Habitats'!$V$3:$W$7,2,FALSE),"")</f>
        <v/>
      </c>
      <c r="Y23" s="275"/>
      <c r="Z23" s="176" t="str">
        <f>IFERROR(INDEX('G-8 Condition Look up'!$A$3:$H$131,MATCH(S23,'G-8 Condition Look up'!$A$3:$A$131,0),MATCH(Y23,'G-8 Condition Look up'!$A$3:$H$3,0)),"")</f>
        <v/>
      </c>
      <c r="AA23" s="173"/>
      <c r="AB23" s="269" t="str">
        <f>IF(AA23="","",IF(VLOOKUP(AA23,'G-3 Multipliers'!$L$3:$N$6,2,FALSE)=0,"Spatial Data Missing",VLOOKUP(AA23,'G-3 Multipliers'!$L$3:$N$6,2,FALSE)))</f>
        <v/>
      </c>
      <c r="AC23" s="176" t="str">
        <f>IF(AA23="","",IF(VLOOKUP(AA23,'G-3 Multipliers'!$L$3:$N$6,3,FALSE)=0,"Spatial Data Missing",VLOOKUP(AA23,'G-3 Multipliers'!$L$3:$N$6,3,FALSE)))</f>
        <v/>
      </c>
      <c r="AD23" s="239" t="str">
        <f t="shared" si="3"/>
        <v/>
      </c>
      <c r="AE23" s="275"/>
      <c r="AF23" s="275"/>
      <c r="AG23" s="175" t="str">
        <f t="shared" si="8"/>
        <v/>
      </c>
      <c r="AH23" s="242" t="str">
        <f t="shared" si="9"/>
        <v/>
      </c>
      <c r="AI23" s="335" t="str">
        <f>IF(AH23="Check Data","Check Data",IFERROR(VLOOKUP(AH23,'G-4 Temporal multipliers'!$A$4:$C$36,3,FALSE),""))</f>
        <v/>
      </c>
      <c r="AJ23" s="239" t="str">
        <f>IF(S23="","",VLOOKUP(S23,'G-3 Multipliers'!$A$2:$E$130,4,FALSE))</f>
        <v/>
      </c>
      <c r="AK23" s="175" t="str">
        <f t="shared" si="10"/>
        <v/>
      </c>
      <c r="AL23" s="175" t="str">
        <f t="shared" si="11"/>
        <v/>
      </c>
      <c r="AM23" s="176" t="str">
        <f>IFERROR(IF(F23="","",IF(AH23="Check Data","Check Data",VLOOKUP(AL23, 'G-3 Multipliers'!$P$2:$Q$6,2,FALSE))),””)</f>
        <v/>
      </c>
      <c r="AN23" s="266"/>
      <c r="AO23" s="269" t="str">
        <f>IF(AN23="","",IF(VLOOKUP(AN23,'G-3 Multipliers'!$S$3:$T$9,2,FALSE)=0,"Spatial Data Missing",VLOOKUP(AN23,'G-3 Multipliers'!$S$3:$T$9,2,FALSE)))</f>
        <v/>
      </c>
      <c r="AP23" s="207" t="str">
        <f t="shared" si="12"/>
        <v/>
      </c>
      <c r="AQ23" s="336"/>
      <c r="AR23" s="181"/>
    </row>
    <row r="24" spans="1:44" x14ac:dyDescent="0.25">
      <c r="A24" s="35" t="str">
        <f>IF(E24="","",IF(ISNA(VLOOKUP($E24,'D-1 Off Site Habitat Baseline'!$D$1:$O$258,2,FALSE)),"",(VLOOKUP($E24,'D-1 Off Site Habitat Baseline'!$D$1:$O$258,2,FALSE))))</f>
        <v/>
      </c>
      <c r="B24" s="35" t="str">
        <f>IF(E24="","",IF(ISNA(VLOOKUP($E24,'D-1 Off Site Habitat Baseline'!$D$1:$O$258,3,FALSE)),"",(VLOOKUP($E24,'D-1 Off Site Habitat Baseline'!$D$1:$O$258,3,FALSE))))</f>
        <v/>
      </c>
      <c r="C24" s="35" t="str">
        <f>IFERROR(INDEX('G-8 Condition Look up'!$I$4:$I$131,MATCH(S24,'G-8 Condition Look up'!$A$4:$A$131,0)),"")</f>
        <v/>
      </c>
      <c r="E24" s="329" t="str">
        <f>'D-1 Off Site Habitat Baseline'!AL23</f>
        <v/>
      </c>
      <c r="F24" s="175" t="str">
        <f>IF(E24="","",IF(ISNA(VLOOKUP($E24,'D-1 Off Site Habitat Baseline'!$D$1:$O$258,4,FALSE)),"",(VLOOKUP($E24,'D-1 Off Site Habitat Baseline'!$D$1:$O$258,4,FALSE))))</f>
        <v/>
      </c>
      <c r="G24" s="175" t="str">
        <f>IF(E24="","",IF(ISNA(VLOOKUP($E24,'D-1 Off Site Habitat Baseline'!$D$1:$O$258,5,FALSE)),"",(VLOOKUP($E24,'D-1 Off Site Habitat Baseline'!$D$1:$O$258,5,FALSE))))</f>
        <v/>
      </c>
      <c r="H24" s="175" t="str">
        <f>IF(E24="","",IF(ISNA(VLOOKUP($E24,'D-1 Off Site Habitat Baseline'!$D$1:$O$258,6,FALSE)),"",(VLOOKUP($E24,'D-1 Off Site Habitat Baseline'!$D$1:$O$258,6,FALSE))))</f>
        <v/>
      </c>
      <c r="I24" s="175" t="str">
        <f>IF(E24="","",IF(ISNA(VLOOKUP($E24,'D-1 Off Site Habitat Baseline'!$D$1:$O$258,7,FALSE)),"",(VLOOKUP($E24,'D-1 Off Site Habitat Baseline'!$D$1:$O$258,7,FALSE))))</f>
        <v/>
      </c>
      <c r="J24" s="175" t="str">
        <f>IF(E24="","",IF(ISNA(VLOOKUP($E24,'D-1 Off Site Habitat Baseline'!$D$1:$O$258,8,FALSE)),"",(VLOOKUP($E24,'D-1 Off Site Habitat Baseline'!$D$1:$O$258,8,FALSE))))</f>
        <v/>
      </c>
      <c r="K24" s="175" t="str">
        <f>IF(E24="","",IF(ISNA(VLOOKUP($E24,'D-1 Off Site Habitat Baseline'!$D$1:$O$258,9,FALSE)),"",(VLOOKUP($E24,'D-1 Off Site Habitat Baseline'!$D$1:$O$258,9,FALSE))))</f>
        <v/>
      </c>
      <c r="L24" s="175" t="str">
        <f>IF(E24="","",IF(ISNA(VLOOKUP($E24,'D-1 Off Site Habitat Baseline'!$D$1:$O$258,11,FALSE)),"",(VLOOKUP($E24,'D-1 Off Site Habitat Baseline'!$D$1:$O$258,11,FALSE))))</f>
        <v/>
      </c>
      <c r="M24" s="175" t="str">
        <f>IF(E24="","",IF(ISNA(VLOOKUP($E24,'D-1 Off Site Habitat Baseline'!$D$1:$O$258,12,FALSE)),"",(VLOOKUP($E24,'D-1 Off Site Habitat Baseline'!$D$1:$O$258,12,FALSE))))</f>
        <v/>
      </c>
      <c r="N24" s="175" t="str">
        <f>IF(E24="","",IF(ISNA(VLOOKUP($E24,'D-1 Off Site Habitat Baseline'!$D$1:$X$258,14,FALSE)),"",(VLOOKUP($E24,'D-1 Off Site Habitat Baseline'!$D$1:$X$258,14,FALSE))))</f>
        <v/>
      </c>
      <c r="O24" s="176" t="str">
        <f>IF(E24="","",IF(ISNA(VLOOKUP($E24,'D-1 Off Site Habitat Baseline'!$D$1:$X$258,13,FALSE)),"",(VLOOKUP($E24,'D-1 Off Site Habitat Baseline'!$D$1:$X$258,13,FALSE))))</f>
        <v/>
      </c>
      <c r="P24" s="337" t="str">
        <f>IFERROR(INDEX('G-1 All Habitats'!$AG$3:$AG$15,MATCH(Q24,'G-1 All Habitats'!$AF$3:$AF$15,0)),"")</f>
        <v/>
      </c>
      <c r="Q24" s="331" t="str">
        <f t="shared" si="13"/>
        <v/>
      </c>
      <c r="R24" s="332" t="str">
        <f t="shared" si="14"/>
        <v/>
      </c>
      <c r="S24" s="338" t="str">
        <f>IFERROR(INDEX('G-1 All Habitats'!$B$3:$B$130,MATCH(R24,'G-1 All Habitats'!$A$3:$A$130,0)),"")</f>
        <v/>
      </c>
      <c r="T24" s="179" t="str">
        <f t="shared" si="6"/>
        <v/>
      </c>
      <c r="U24" s="172" t="str">
        <f t="shared" si="7"/>
        <v/>
      </c>
      <c r="V24" s="334" t="str">
        <f t="shared" si="2"/>
        <v/>
      </c>
      <c r="W24" s="175" t="str">
        <f>IF(S24="","",VLOOKUP(S24,'G-1 All Habitats'!$B$2:$M$130,10,FALSE))</f>
        <v/>
      </c>
      <c r="X24" s="175" t="str">
        <f>IFERROR(VLOOKUP(W24,'G-1 All Habitats'!$V$3:$W$7,2,FALSE),"")</f>
        <v/>
      </c>
      <c r="Y24" s="275"/>
      <c r="Z24" s="176" t="str">
        <f>IFERROR(INDEX('G-8 Condition Look up'!$A$3:$H$131,MATCH(S24,'G-8 Condition Look up'!$A$3:$A$131,0),MATCH(Y24,'G-8 Condition Look up'!$A$3:$H$3,0)),"")</f>
        <v/>
      </c>
      <c r="AA24" s="173"/>
      <c r="AB24" s="269" t="str">
        <f>IF(AA24="","",IF(VLOOKUP(AA24,'G-3 Multipliers'!$L$3:$N$6,2,FALSE)=0,"Spatial Data Missing",VLOOKUP(AA24,'G-3 Multipliers'!$L$3:$N$6,2,FALSE)))</f>
        <v/>
      </c>
      <c r="AC24" s="176" t="str">
        <f>IF(AA24="","",IF(VLOOKUP(AA24,'G-3 Multipliers'!$L$3:$N$6,3,FALSE)=0,"Spatial Data Missing",VLOOKUP(AA24,'G-3 Multipliers'!$L$3:$N$6,3,FALSE)))</f>
        <v/>
      </c>
      <c r="AD24" s="239" t="str">
        <f t="shared" si="3"/>
        <v/>
      </c>
      <c r="AE24" s="275"/>
      <c r="AF24" s="275"/>
      <c r="AG24" s="175" t="str">
        <f t="shared" si="8"/>
        <v/>
      </c>
      <c r="AH24" s="242" t="str">
        <f t="shared" si="9"/>
        <v/>
      </c>
      <c r="AI24" s="335" t="str">
        <f>IF(AH24="Check Data","Check Data",IFERROR(VLOOKUP(AH24,'G-4 Temporal multipliers'!$A$4:$C$36,3,FALSE),""))</f>
        <v/>
      </c>
      <c r="AJ24" s="239" t="str">
        <f>IF(S24="","",VLOOKUP(S24,'G-3 Multipliers'!$A$2:$E$130,4,FALSE))</f>
        <v/>
      </c>
      <c r="AK24" s="175" t="str">
        <f t="shared" si="10"/>
        <v/>
      </c>
      <c r="AL24" s="175" t="str">
        <f t="shared" si="11"/>
        <v/>
      </c>
      <c r="AM24" s="176" t="str">
        <f>IFERROR(IF(F24="","",IF(AH24="Check Data","Check Data",VLOOKUP(AL24, 'G-3 Multipliers'!$P$2:$Q$6,2,FALSE))),””)</f>
        <v/>
      </c>
      <c r="AN24" s="266"/>
      <c r="AO24" s="269" t="str">
        <f>IF(AN24="","",IF(VLOOKUP(AN24,'G-3 Multipliers'!$S$3:$T$9,2,FALSE)=0,"Spatial Data Missing",VLOOKUP(AN24,'G-3 Multipliers'!$S$3:$T$9,2,FALSE)))</f>
        <v/>
      </c>
      <c r="AP24" s="207" t="str">
        <f t="shared" si="12"/>
        <v/>
      </c>
      <c r="AQ24" s="336"/>
      <c r="AR24" s="181"/>
    </row>
    <row r="25" spans="1:44" x14ac:dyDescent="0.25">
      <c r="A25" s="35" t="str">
        <f>IF(E25="","",IF(ISNA(VLOOKUP($E25,'D-1 Off Site Habitat Baseline'!$D$1:$O$258,2,FALSE)),"",(VLOOKUP($E25,'D-1 Off Site Habitat Baseline'!$D$1:$O$258,2,FALSE))))</f>
        <v/>
      </c>
      <c r="B25" s="35" t="str">
        <f>IF(E25="","",IF(ISNA(VLOOKUP($E25,'D-1 Off Site Habitat Baseline'!$D$1:$O$258,3,FALSE)),"",(VLOOKUP($E25,'D-1 Off Site Habitat Baseline'!$D$1:$O$258,3,FALSE))))</f>
        <v/>
      </c>
      <c r="C25" s="35" t="str">
        <f>IFERROR(INDEX('G-8 Condition Look up'!$I$4:$I$131,MATCH(S25,'G-8 Condition Look up'!$A$4:$A$131,0)),"")</f>
        <v/>
      </c>
      <c r="E25" s="329" t="str">
        <f>'D-1 Off Site Habitat Baseline'!AL24</f>
        <v/>
      </c>
      <c r="F25" s="175" t="str">
        <f>IF(E25="","",IF(ISNA(VLOOKUP($E25,'D-1 Off Site Habitat Baseline'!$D$1:$O$258,4,FALSE)),"",(VLOOKUP($E25,'D-1 Off Site Habitat Baseline'!$D$1:$O$258,4,FALSE))))</f>
        <v/>
      </c>
      <c r="G25" s="175" t="str">
        <f>IF(E25="","",IF(ISNA(VLOOKUP($E25,'D-1 Off Site Habitat Baseline'!$D$1:$O$258,5,FALSE)),"",(VLOOKUP($E25,'D-1 Off Site Habitat Baseline'!$D$1:$O$258,5,FALSE))))</f>
        <v/>
      </c>
      <c r="H25" s="175" t="str">
        <f>IF(E25="","",IF(ISNA(VLOOKUP($E25,'D-1 Off Site Habitat Baseline'!$D$1:$O$258,6,FALSE)),"",(VLOOKUP($E25,'D-1 Off Site Habitat Baseline'!$D$1:$O$258,6,FALSE))))</f>
        <v/>
      </c>
      <c r="I25" s="175" t="str">
        <f>IF(E25="","",IF(ISNA(VLOOKUP($E25,'D-1 Off Site Habitat Baseline'!$D$1:$O$258,7,FALSE)),"",(VLOOKUP($E25,'D-1 Off Site Habitat Baseline'!$D$1:$O$258,7,FALSE))))</f>
        <v/>
      </c>
      <c r="J25" s="175" t="str">
        <f>IF(E25="","",IF(ISNA(VLOOKUP($E25,'D-1 Off Site Habitat Baseline'!$D$1:$O$258,8,FALSE)),"",(VLOOKUP($E25,'D-1 Off Site Habitat Baseline'!$D$1:$O$258,8,FALSE))))</f>
        <v/>
      </c>
      <c r="K25" s="175" t="str">
        <f>IF(E25="","",IF(ISNA(VLOOKUP($E25,'D-1 Off Site Habitat Baseline'!$D$1:$O$258,9,FALSE)),"",(VLOOKUP($E25,'D-1 Off Site Habitat Baseline'!$D$1:$O$258,9,FALSE))))</f>
        <v/>
      </c>
      <c r="L25" s="175" t="str">
        <f>IF(E25="","",IF(ISNA(VLOOKUP($E25,'D-1 Off Site Habitat Baseline'!$D$1:$O$258,11,FALSE)),"",(VLOOKUP($E25,'D-1 Off Site Habitat Baseline'!$D$1:$O$258,11,FALSE))))</f>
        <v/>
      </c>
      <c r="M25" s="175" t="str">
        <f>IF(E25="","",IF(ISNA(VLOOKUP($E25,'D-1 Off Site Habitat Baseline'!$D$1:$O$258,12,FALSE)),"",(VLOOKUP($E25,'D-1 Off Site Habitat Baseline'!$D$1:$O$258,12,FALSE))))</f>
        <v/>
      </c>
      <c r="N25" s="175" t="str">
        <f>IF(E25="","",IF(ISNA(VLOOKUP($E25,'D-1 Off Site Habitat Baseline'!$D$1:$X$258,14,FALSE)),"",(VLOOKUP($E25,'D-1 Off Site Habitat Baseline'!$D$1:$X$258,14,FALSE))))</f>
        <v/>
      </c>
      <c r="O25" s="176" t="str">
        <f>IF(E25="","",IF(ISNA(VLOOKUP($E25,'D-1 Off Site Habitat Baseline'!$D$1:$X$258,13,FALSE)),"",(VLOOKUP($E25,'D-1 Off Site Habitat Baseline'!$D$1:$X$258,13,FALSE))))</f>
        <v/>
      </c>
      <c r="P25" s="337" t="str">
        <f>IFERROR(INDEX('G-1 All Habitats'!$AG$3:$AG$15,MATCH(Q25,'G-1 All Habitats'!$AF$3:$AF$15,0)),"")</f>
        <v/>
      </c>
      <c r="Q25" s="331" t="str">
        <f t="shared" si="13"/>
        <v/>
      </c>
      <c r="R25" s="332" t="str">
        <f t="shared" si="14"/>
        <v/>
      </c>
      <c r="S25" s="338" t="str">
        <f>IFERROR(INDEX('G-1 All Habitats'!$B$3:$B$130,MATCH(R25,'G-1 All Habitats'!$A$3:$A$130,0)),"")</f>
        <v/>
      </c>
      <c r="T25" s="179" t="str">
        <f t="shared" si="6"/>
        <v/>
      </c>
      <c r="U25" s="172" t="str">
        <f t="shared" si="7"/>
        <v/>
      </c>
      <c r="V25" s="334" t="str">
        <f t="shared" si="2"/>
        <v/>
      </c>
      <c r="W25" s="175" t="str">
        <f>IF(S25="","",VLOOKUP(S25,'G-1 All Habitats'!$B$2:$M$130,10,FALSE))</f>
        <v/>
      </c>
      <c r="X25" s="175" t="str">
        <f>IFERROR(VLOOKUP(W25,'G-1 All Habitats'!$V$3:$W$7,2,FALSE),"")</f>
        <v/>
      </c>
      <c r="Y25" s="275"/>
      <c r="Z25" s="176" t="str">
        <f>IFERROR(INDEX('G-8 Condition Look up'!$A$3:$H$131,MATCH(S25,'G-8 Condition Look up'!$A$3:$A$131,0),MATCH(Y25,'G-8 Condition Look up'!$A$3:$H$3,0)),"")</f>
        <v/>
      </c>
      <c r="AA25" s="173"/>
      <c r="AB25" s="269" t="str">
        <f>IF(AA25="","",IF(VLOOKUP(AA25,'G-3 Multipliers'!$L$3:$N$6,2,FALSE)=0,"Spatial Data Missing",VLOOKUP(AA25,'G-3 Multipliers'!$L$3:$N$6,2,FALSE)))</f>
        <v/>
      </c>
      <c r="AC25" s="176" t="str">
        <f>IF(AA25="","",IF(VLOOKUP(AA25,'G-3 Multipliers'!$L$3:$N$6,3,FALSE)=0,"Spatial Data Missing",VLOOKUP(AA25,'G-3 Multipliers'!$L$3:$N$6,3,FALSE)))</f>
        <v/>
      </c>
      <c r="AD25" s="239" t="str">
        <f t="shared" si="3"/>
        <v/>
      </c>
      <c r="AE25" s="275"/>
      <c r="AF25" s="275"/>
      <c r="AG25" s="175" t="str">
        <f t="shared" si="8"/>
        <v/>
      </c>
      <c r="AH25" s="242" t="str">
        <f t="shared" si="9"/>
        <v/>
      </c>
      <c r="AI25" s="335" t="str">
        <f>IF(AH25="Check Data","Check Data",IFERROR(VLOOKUP(AH25,'G-4 Temporal multipliers'!$A$4:$C$36,3,FALSE),""))</f>
        <v/>
      </c>
      <c r="AJ25" s="239" t="str">
        <f>IF(S25="","",VLOOKUP(S25,'G-3 Multipliers'!$A$2:$E$130,4,FALSE))</f>
        <v/>
      </c>
      <c r="AK25" s="175" t="str">
        <f t="shared" si="10"/>
        <v/>
      </c>
      <c r="AL25" s="175" t="str">
        <f t="shared" si="11"/>
        <v/>
      </c>
      <c r="AM25" s="176" t="str">
        <f>IFERROR(IF(F25="","",IF(AH25="Check Data","Check Data",VLOOKUP(AL25, 'G-3 Multipliers'!$P$2:$Q$6,2,FALSE))),””)</f>
        <v/>
      </c>
      <c r="AN25" s="266"/>
      <c r="AO25" s="269" t="str">
        <f>IF(AN25="","",IF(VLOOKUP(AN25,'G-3 Multipliers'!$S$3:$T$9,2,FALSE)=0,"Spatial Data Missing",VLOOKUP(AN25,'G-3 Multipliers'!$S$3:$T$9,2,FALSE)))</f>
        <v/>
      </c>
      <c r="AP25" s="207" t="str">
        <f t="shared" si="12"/>
        <v/>
      </c>
      <c r="AQ25" s="336"/>
      <c r="AR25" s="181"/>
    </row>
    <row r="26" spans="1:44" x14ac:dyDescent="0.25">
      <c r="A26" s="35" t="str">
        <f>IF(E26="","",IF(ISNA(VLOOKUP($E26,'D-1 Off Site Habitat Baseline'!$D$1:$O$258,2,FALSE)),"",(VLOOKUP($E26,'D-1 Off Site Habitat Baseline'!$D$1:$O$258,2,FALSE))))</f>
        <v/>
      </c>
      <c r="B26" s="35" t="str">
        <f>IF(E26="","",IF(ISNA(VLOOKUP($E26,'D-1 Off Site Habitat Baseline'!$D$1:$O$258,3,FALSE)),"",(VLOOKUP($E26,'D-1 Off Site Habitat Baseline'!$D$1:$O$258,3,FALSE))))</f>
        <v/>
      </c>
      <c r="C26" s="35" t="str">
        <f>IFERROR(INDEX('G-8 Condition Look up'!$I$4:$I$131,MATCH(S26,'G-8 Condition Look up'!$A$4:$A$131,0)),"")</f>
        <v/>
      </c>
      <c r="E26" s="329" t="str">
        <f>'D-1 Off Site Habitat Baseline'!AL25</f>
        <v/>
      </c>
      <c r="F26" s="175" t="str">
        <f>IF(E26="","",IF(ISNA(VLOOKUP($E26,'D-1 Off Site Habitat Baseline'!$D$1:$O$258,4,FALSE)),"",(VLOOKUP($E26,'D-1 Off Site Habitat Baseline'!$D$1:$O$258,4,FALSE))))</f>
        <v/>
      </c>
      <c r="G26" s="175" t="str">
        <f>IF(E26="","",IF(ISNA(VLOOKUP($E26,'D-1 Off Site Habitat Baseline'!$D$1:$O$258,5,FALSE)),"",(VLOOKUP($E26,'D-1 Off Site Habitat Baseline'!$D$1:$O$258,5,FALSE))))</f>
        <v/>
      </c>
      <c r="H26" s="175" t="str">
        <f>IF(E26="","",IF(ISNA(VLOOKUP($E26,'D-1 Off Site Habitat Baseline'!$D$1:$O$258,6,FALSE)),"",(VLOOKUP($E26,'D-1 Off Site Habitat Baseline'!$D$1:$O$258,6,FALSE))))</f>
        <v/>
      </c>
      <c r="I26" s="175" t="str">
        <f>IF(E26="","",IF(ISNA(VLOOKUP($E26,'D-1 Off Site Habitat Baseline'!$D$1:$O$258,7,FALSE)),"",(VLOOKUP($E26,'D-1 Off Site Habitat Baseline'!$D$1:$O$258,7,FALSE))))</f>
        <v/>
      </c>
      <c r="J26" s="175" t="str">
        <f>IF(E26="","",IF(ISNA(VLOOKUP($E26,'D-1 Off Site Habitat Baseline'!$D$1:$O$258,8,FALSE)),"",(VLOOKUP($E26,'D-1 Off Site Habitat Baseline'!$D$1:$O$258,8,FALSE))))</f>
        <v/>
      </c>
      <c r="K26" s="175" t="str">
        <f>IF(E26="","",IF(ISNA(VLOOKUP($E26,'D-1 Off Site Habitat Baseline'!$D$1:$O$258,9,FALSE)),"",(VLOOKUP($E26,'D-1 Off Site Habitat Baseline'!$D$1:$O$258,9,FALSE))))</f>
        <v/>
      </c>
      <c r="L26" s="175" t="str">
        <f>IF(E26="","",IF(ISNA(VLOOKUP($E26,'D-1 Off Site Habitat Baseline'!$D$1:$O$258,11,FALSE)),"",(VLOOKUP($E26,'D-1 Off Site Habitat Baseline'!$D$1:$O$258,11,FALSE))))</f>
        <v/>
      </c>
      <c r="M26" s="175" t="str">
        <f>IF(E26="","",IF(ISNA(VLOOKUP($E26,'D-1 Off Site Habitat Baseline'!$D$1:$O$258,12,FALSE)),"",(VLOOKUP($E26,'D-1 Off Site Habitat Baseline'!$D$1:$O$258,12,FALSE))))</f>
        <v/>
      </c>
      <c r="N26" s="175" t="str">
        <f>IF(E26="","",IF(ISNA(VLOOKUP($E26,'D-1 Off Site Habitat Baseline'!$D$1:$X$258,14,FALSE)),"",(VLOOKUP($E26,'D-1 Off Site Habitat Baseline'!$D$1:$X$258,14,FALSE))))</f>
        <v/>
      </c>
      <c r="O26" s="176" t="str">
        <f>IF(E26="","",IF(ISNA(VLOOKUP($E26,'D-1 Off Site Habitat Baseline'!$D$1:$X$258,13,FALSE)),"",(VLOOKUP($E26,'D-1 Off Site Habitat Baseline'!$D$1:$X$258,13,FALSE))))</f>
        <v/>
      </c>
      <c r="P26" s="337" t="str">
        <f>IFERROR(INDEX('G-1 All Habitats'!$AG$3:$AG$15,MATCH(Q26,'G-1 All Habitats'!$AF$3:$AF$15,0)),"")</f>
        <v/>
      </c>
      <c r="Q26" s="331" t="str">
        <f t="shared" si="13"/>
        <v/>
      </c>
      <c r="R26" s="332" t="str">
        <f t="shared" si="14"/>
        <v/>
      </c>
      <c r="S26" s="338" t="str">
        <f>IFERROR(INDEX('G-1 All Habitats'!$B$3:$B$130,MATCH(R26,'G-1 All Habitats'!$A$3:$A$130,0)),"")</f>
        <v/>
      </c>
      <c r="T26" s="179" t="str">
        <f t="shared" si="6"/>
        <v/>
      </c>
      <c r="U26" s="172" t="str">
        <f t="shared" si="7"/>
        <v/>
      </c>
      <c r="V26" s="334" t="str">
        <f t="shared" si="2"/>
        <v/>
      </c>
      <c r="W26" s="175" t="str">
        <f>IF(S26="","",VLOOKUP(S26,'G-1 All Habitats'!$B$2:$M$130,10,FALSE))</f>
        <v/>
      </c>
      <c r="X26" s="175" t="str">
        <f>IFERROR(VLOOKUP(W26,'G-1 All Habitats'!$V$3:$W$7,2,FALSE),"")</f>
        <v/>
      </c>
      <c r="Y26" s="275"/>
      <c r="Z26" s="176" t="str">
        <f>IFERROR(INDEX('G-8 Condition Look up'!$A$3:$H$131,MATCH(S26,'G-8 Condition Look up'!$A$3:$A$131,0),MATCH(Y26,'G-8 Condition Look up'!$A$3:$H$3,0)),"")</f>
        <v/>
      </c>
      <c r="AA26" s="173"/>
      <c r="AB26" s="269" t="str">
        <f>IF(AA26="","",IF(VLOOKUP(AA26,'G-3 Multipliers'!$L$3:$N$6,2,FALSE)=0,"Spatial Data Missing",VLOOKUP(AA26,'G-3 Multipliers'!$L$3:$N$6,2,FALSE)))</f>
        <v/>
      </c>
      <c r="AC26" s="176" t="str">
        <f>IF(AA26="","",IF(VLOOKUP(AA26,'G-3 Multipliers'!$L$3:$N$6,3,FALSE)=0,"Spatial Data Missing",VLOOKUP(AA26,'G-3 Multipliers'!$L$3:$N$6,3,FALSE)))</f>
        <v/>
      </c>
      <c r="AD26" s="239" t="str">
        <f t="shared" si="3"/>
        <v/>
      </c>
      <c r="AE26" s="275"/>
      <c r="AF26" s="275"/>
      <c r="AG26" s="175" t="str">
        <f t="shared" si="8"/>
        <v/>
      </c>
      <c r="AH26" s="242" t="str">
        <f t="shared" si="9"/>
        <v/>
      </c>
      <c r="AI26" s="335" t="str">
        <f>IF(AH26="Check Data","Check Data",IFERROR(VLOOKUP(AH26,'G-4 Temporal multipliers'!$A$4:$C$36,3,FALSE),""))</f>
        <v/>
      </c>
      <c r="AJ26" s="239" t="str">
        <f>IF(S26="","",VLOOKUP(S26,'G-3 Multipliers'!$A$2:$E$130,4,FALSE))</f>
        <v/>
      </c>
      <c r="AK26" s="175" t="str">
        <f t="shared" si="10"/>
        <v/>
      </c>
      <c r="AL26" s="175" t="str">
        <f t="shared" si="11"/>
        <v/>
      </c>
      <c r="AM26" s="176" t="str">
        <f>IFERROR(IF(F26="","",IF(AH26="Check Data","Check Data",VLOOKUP(AL26, 'G-3 Multipliers'!$P$2:$Q$6,2,FALSE))),””)</f>
        <v/>
      </c>
      <c r="AN26" s="266"/>
      <c r="AO26" s="269" t="str">
        <f>IF(AN26="","",IF(VLOOKUP(AN26,'G-3 Multipliers'!$S$3:$T$9,2,FALSE)=0,"Spatial Data Missing",VLOOKUP(AN26,'G-3 Multipliers'!$S$3:$T$9,2,FALSE)))</f>
        <v/>
      </c>
      <c r="AP26" s="207" t="str">
        <f t="shared" si="12"/>
        <v/>
      </c>
      <c r="AQ26" s="336"/>
      <c r="AR26" s="181"/>
    </row>
    <row r="27" spans="1:44" x14ac:dyDescent="0.25">
      <c r="A27" s="35" t="str">
        <f>IF(E27="","",IF(ISNA(VLOOKUP($E27,'D-1 Off Site Habitat Baseline'!$D$1:$O$258,2,FALSE)),"",(VLOOKUP($E27,'D-1 Off Site Habitat Baseline'!$D$1:$O$258,2,FALSE))))</f>
        <v/>
      </c>
      <c r="B27" s="35" t="str">
        <f>IF(E27="","",IF(ISNA(VLOOKUP($E27,'D-1 Off Site Habitat Baseline'!$D$1:$O$258,3,FALSE)),"",(VLOOKUP($E27,'D-1 Off Site Habitat Baseline'!$D$1:$O$258,3,FALSE))))</f>
        <v/>
      </c>
      <c r="C27" s="35" t="str">
        <f>IFERROR(INDEX('G-8 Condition Look up'!$I$4:$I$131,MATCH(S27,'G-8 Condition Look up'!$A$4:$A$131,0)),"")</f>
        <v/>
      </c>
      <c r="E27" s="329" t="str">
        <f>'D-1 Off Site Habitat Baseline'!AL26</f>
        <v/>
      </c>
      <c r="F27" s="175" t="str">
        <f>IF(E27="","",IF(ISNA(VLOOKUP($E27,'D-1 Off Site Habitat Baseline'!$D$1:$O$258,4,FALSE)),"",(VLOOKUP($E27,'D-1 Off Site Habitat Baseline'!$D$1:$O$258,4,FALSE))))</f>
        <v/>
      </c>
      <c r="G27" s="175" t="str">
        <f>IF(E27="","",IF(ISNA(VLOOKUP($E27,'D-1 Off Site Habitat Baseline'!$D$1:$O$258,5,FALSE)),"",(VLOOKUP($E27,'D-1 Off Site Habitat Baseline'!$D$1:$O$258,5,FALSE))))</f>
        <v/>
      </c>
      <c r="H27" s="175" t="str">
        <f>IF(E27="","",IF(ISNA(VLOOKUP($E27,'D-1 Off Site Habitat Baseline'!$D$1:$O$258,6,FALSE)),"",(VLOOKUP($E27,'D-1 Off Site Habitat Baseline'!$D$1:$O$258,6,FALSE))))</f>
        <v/>
      </c>
      <c r="I27" s="175" t="str">
        <f>IF(E27="","",IF(ISNA(VLOOKUP($E27,'D-1 Off Site Habitat Baseline'!$D$1:$O$258,7,FALSE)),"",(VLOOKUP($E27,'D-1 Off Site Habitat Baseline'!$D$1:$O$258,7,FALSE))))</f>
        <v/>
      </c>
      <c r="J27" s="175" t="str">
        <f>IF(E27="","",IF(ISNA(VLOOKUP($E27,'D-1 Off Site Habitat Baseline'!$D$1:$O$258,8,FALSE)),"",(VLOOKUP($E27,'D-1 Off Site Habitat Baseline'!$D$1:$O$258,8,FALSE))))</f>
        <v/>
      </c>
      <c r="K27" s="175" t="str">
        <f>IF(E27="","",IF(ISNA(VLOOKUP($E27,'D-1 Off Site Habitat Baseline'!$D$1:$O$258,9,FALSE)),"",(VLOOKUP($E27,'D-1 Off Site Habitat Baseline'!$D$1:$O$258,9,FALSE))))</f>
        <v/>
      </c>
      <c r="L27" s="175" t="str">
        <f>IF(E27="","",IF(ISNA(VLOOKUP($E27,'D-1 Off Site Habitat Baseline'!$D$1:$O$258,11,FALSE)),"",(VLOOKUP($E27,'D-1 Off Site Habitat Baseline'!$D$1:$O$258,11,FALSE))))</f>
        <v/>
      </c>
      <c r="M27" s="175" t="str">
        <f>IF(E27="","",IF(ISNA(VLOOKUP($E27,'D-1 Off Site Habitat Baseline'!$D$1:$O$258,12,FALSE)),"",(VLOOKUP($E27,'D-1 Off Site Habitat Baseline'!$D$1:$O$258,12,FALSE))))</f>
        <v/>
      </c>
      <c r="N27" s="175" t="str">
        <f>IF(E27="","",IF(ISNA(VLOOKUP($E27,'D-1 Off Site Habitat Baseline'!$D$1:$X$258,14,FALSE)),"",(VLOOKUP($E27,'D-1 Off Site Habitat Baseline'!$D$1:$X$258,14,FALSE))))</f>
        <v/>
      </c>
      <c r="O27" s="176" t="str">
        <f>IF(E27="","",IF(ISNA(VLOOKUP($E27,'D-1 Off Site Habitat Baseline'!$D$1:$X$258,13,FALSE)),"",(VLOOKUP($E27,'D-1 Off Site Habitat Baseline'!$D$1:$X$258,13,FALSE))))</f>
        <v/>
      </c>
      <c r="P27" s="337" t="str">
        <f>IFERROR(INDEX('G-1 All Habitats'!$AG$3:$AG$15,MATCH(Q27,'G-1 All Habitats'!$AF$3:$AF$15,0)),"")</f>
        <v/>
      </c>
      <c r="Q27" s="331" t="str">
        <f t="shared" si="13"/>
        <v/>
      </c>
      <c r="R27" s="332" t="str">
        <f t="shared" si="14"/>
        <v/>
      </c>
      <c r="S27" s="338" t="str">
        <f>IFERROR(INDEX('G-1 All Habitats'!$B$3:$B$130,MATCH(R27,'G-1 All Habitats'!$A$3:$A$130,0)),"")</f>
        <v/>
      </c>
      <c r="T27" s="179" t="str">
        <f t="shared" si="6"/>
        <v/>
      </c>
      <c r="U27" s="172" t="str">
        <f t="shared" si="7"/>
        <v/>
      </c>
      <c r="V27" s="334" t="str">
        <f t="shared" si="2"/>
        <v/>
      </c>
      <c r="W27" s="175" t="str">
        <f>IF(S27="","",VLOOKUP(S27,'G-1 All Habitats'!$B$2:$M$130,10,FALSE))</f>
        <v/>
      </c>
      <c r="X27" s="175" t="str">
        <f>IFERROR(VLOOKUP(W27,'G-1 All Habitats'!$V$3:$W$7,2,FALSE),"")</f>
        <v/>
      </c>
      <c r="Y27" s="275"/>
      <c r="Z27" s="176" t="str">
        <f>IFERROR(INDEX('G-8 Condition Look up'!$A$3:$H$131,MATCH(S27,'G-8 Condition Look up'!$A$3:$A$131,0),MATCH(Y27,'G-8 Condition Look up'!$A$3:$H$3,0)),"")</f>
        <v/>
      </c>
      <c r="AA27" s="173"/>
      <c r="AB27" s="269" t="str">
        <f>IF(AA27="","",IF(VLOOKUP(AA27,'G-3 Multipliers'!$L$3:$N$6,2,FALSE)=0,"Spatial Data Missing",VLOOKUP(AA27,'G-3 Multipliers'!$L$3:$N$6,2,FALSE)))</f>
        <v/>
      </c>
      <c r="AC27" s="176" t="str">
        <f>IF(AA27="","",IF(VLOOKUP(AA27,'G-3 Multipliers'!$L$3:$N$6,3,FALSE)=0,"Spatial Data Missing",VLOOKUP(AA27,'G-3 Multipliers'!$L$3:$N$6,3,FALSE)))</f>
        <v/>
      </c>
      <c r="AD27" s="239" t="str">
        <f t="shared" si="3"/>
        <v/>
      </c>
      <c r="AE27" s="275"/>
      <c r="AF27" s="275"/>
      <c r="AG27" s="175" t="str">
        <f t="shared" si="8"/>
        <v/>
      </c>
      <c r="AH27" s="242" t="str">
        <f t="shared" si="9"/>
        <v/>
      </c>
      <c r="AI27" s="335" t="str">
        <f>IF(AH27="Check Data","Check Data",IFERROR(VLOOKUP(AH27,'G-4 Temporal multipliers'!$A$4:$C$36,3,FALSE),""))</f>
        <v/>
      </c>
      <c r="AJ27" s="239" t="str">
        <f>IF(S27="","",VLOOKUP(S27,'G-3 Multipliers'!$A$2:$E$130,4,FALSE))</f>
        <v/>
      </c>
      <c r="AK27" s="175" t="str">
        <f t="shared" si="10"/>
        <v/>
      </c>
      <c r="AL27" s="175" t="str">
        <f t="shared" si="11"/>
        <v/>
      </c>
      <c r="AM27" s="176" t="str">
        <f>IFERROR(IF(F27="","",IF(AH27="Check Data","Check Data",VLOOKUP(AL27, 'G-3 Multipliers'!$P$2:$Q$6,2,FALSE))),””)</f>
        <v/>
      </c>
      <c r="AN27" s="266"/>
      <c r="AO27" s="269" t="str">
        <f>IF(AN27="","",IF(VLOOKUP(AN27,'G-3 Multipliers'!$S$3:$T$9,2,FALSE)=0,"Spatial Data Missing",VLOOKUP(AN27,'G-3 Multipliers'!$S$3:$T$9,2,FALSE)))</f>
        <v/>
      </c>
      <c r="AP27" s="207" t="str">
        <f t="shared" si="12"/>
        <v/>
      </c>
      <c r="AQ27" s="336"/>
      <c r="AR27" s="181"/>
    </row>
    <row r="28" spans="1:44" x14ac:dyDescent="0.25">
      <c r="A28" s="35" t="str">
        <f>IF(E28="","",IF(ISNA(VLOOKUP($E28,'D-1 Off Site Habitat Baseline'!$D$1:$O$258,2,FALSE)),"",(VLOOKUP($E28,'D-1 Off Site Habitat Baseline'!$D$1:$O$258,2,FALSE))))</f>
        <v/>
      </c>
      <c r="B28" s="35" t="str">
        <f>IF(E28="","",IF(ISNA(VLOOKUP($E28,'D-1 Off Site Habitat Baseline'!$D$1:$O$258,3,FALSE)),"",(VLOOKUP($E28,'D-1 Off Site Habitat Baseline'!$D$1:$O$258,3,FALSE))))</f>
        <v/>
      </c>
      <c r="C28" s="35" t="str">
        <f>IFERROR(INDEX('G-8 Condition Look up'!$I$4:$I$131,MATCH(S28,'G-8 Condition Look up'!$A$4:$A$131,0)),"")</f>
        <v/>
      </c>
      <c r="E28" s="329" t="str">
        <f>'D-1 Off Site Habitat Baseline'!AL27</f>
        <v/>
      </c>
      <c r="F28" s="175" t="str">
        <f>IF(E28="","",IF(ISNA(VLOOKUP($E28,'D-1 Off Site Habitat Baseline'!$D$1:$O$258,4,FALSE)),"",(VLOOKUP($E28,'D-1 Off Site Habitat Baseline'!$D$1:$O$258,4,FALSE))))</f>
        <v/>
      </c>
      <c r="G28" s="175" t="str">
        <f>IF(E28="","",IF(ISNA(VLOOKUP($E28,'D-1 Off Site Habitat Baseline'!$D$1:$O$258,5,FALSE)),"",(VLOOKUP($E28,'D-1 Off Site Habitat Baseline'!$D$1:$O$258,5,FALSE))))</f>
        <v/>
      </c>
      <c r="H28" s="175" t="str">
        <f>IF(E28="","",IF(ISNA(VLOOKUP($E28,'D-1 Off Site Habitat Baseline'!$D$1:$O$258,6,FALSE)),"",(VLOOKUP($E28,'D-1 Off Site Habitat Baseline'!$D$1:$O$258,6,FALSE))))</f>
        <v/>
      </c>
      <c r="I28" s="175" t="str">
        <f>IF(E28="","",IF(ISNA(VLOOKUP($E28,'D-1 Off Site Habitat Baseline'!$D$1:$O$258,7,FALSE)),"",(VLOOKUP($E28,'D-1 Off Site Habitat Baseline'!$D$1:$O$258,7,FALSE))))</f>
        <v/>
      </c>
      <c r="J28" s="175" t="str">
        <f>IF(E28="","",IF(ISNA(VLOOKUP($E28,'D-1 Off Site Habitat Baseline'!$D$1:$O$258,8,FALSE)),"",(VLOOKUP($E28,'D-1 Off Site Habitat Baseline'!$D$1:$O$258,8,FALSE))))</f>
        <v/>
      </c>
      <c r="K28" s="175" t="str">
        <f>IF(E28="","",IF(ISNA(VLOOKUP($E28,'D-1 Off Site Habitat Baseline'!$D$1:$O$258,9,FALSE)),"",(VLOOKUP($E28,'D-1 Off Site Habitat Baseline'!$D$1:$O$258,9,FALSE))))</f>
        <v/>
      </c>
      <c r="L28" s="175" t="str">
        <f>IF(E28="","",IF(ISNA(VLOOKUP($E28,'D-1 Off Site Habitat Baseline'!$D$1:$O$258,11,FALSE)),"",(VLOOKUP($E28,'D-1 Off Site Habitat Baseline'!$D$1:$O$258,11,FALSE))))</f>
        <v/>
      </c>
      <c r="M28" s="175" t="str">
        <f>IF(E28="","",IF(ISNA(VLOOKUP($E28,'D-1 Off Site Habitat Baseline'!$D$1:$O$258,12,FALSE)),"",(VLOOKUP($E28,'D-1 Off Site Habitat Baseline'!$D$1:$O$258,12,FALSE))))</f>
        <v/>
      </c>
      <c r="N28" s="175" t="str">
        <f>IF(E28="","",IF(ISNA(VLOOKUP($E28,'D-1 Off Site Habitat Baseline'!$D$1:$X$258,14,FALSE)),"",(VLOOKUP($E28,'D-1 Off Site Habitat Baseline'!$D$1:$X$258,14,FALSE))))</f>
        <v/>
      </c>
      <c r="O28" s="176" t="str">
        <f>IF(E28="","",IF(ISNA(VLOOKUP($E28,'D-1 Off Site Habitat Baseline'!$D$1:$X$258,13,FALSE)),"",(VLOOKUP($E28,'D-1 Off Site Habitat Baseline'!$D$1:$X$258,13,FALSE))))</f>
        <v/>
      </c>
      <c r="P28" s="337" t="str">
        <f>IFERROR(INDEX('G-1 All Habitats'!$AG$3:$AG$15,MATCH(Q28,'G-1 All Habitats'!$AF$3:$AF$15,0)),"")</f>
        <v/>
      </c>
      <c r="Q28" s="331" t="str">
        <f t="shared" si="13"/>
        <v/>
      </c>
      <c r="R28" s="332" t="str">
        <f t="shared" si="14"/>
        <v/>
      </c>
      <c r="S28" s="338" t="str">
        <f>IFERROR(INDEX('G-1 All Habitats'!$B$3:$B$130,MATCH(R28,'G-1 All Habitats'!$A$3:$A$130,0)),"")</f>
        <v/>
      </c>
      <c r="T28" s="179" t="str">
        <f t="shared" si="6"/>
        <v/>
      </c>
      <c r="U28" s="172" t="str">
        <f t="shared" si="7"/>
        <v/>
      </c>
      <c r="V28" s="334" t="str">
        <f t="shared" si="2"/>
        <v/>
      </c>
      <c r="W28" s="175" t="str">
        <f>IF(S28="","",VLOOKUP(S28,'G-1 All Habitats'!$B$2:$M$130,10,FALSE))</f>
        <v/>
      </c>
      <c r="X28" s="175" t="str">
        <f>IFERROR(VLOOKUP(W28,'G-1 All Habitats'!$V$3:$W$7,2,FALSE),"")</f>
        <v/>
      </c>
      <c r="Y28" s="275"/>
      <c r="Z28" s="176" t="str">
        <f>IFERROR(INDEX('G-8 Condition Look up'!$A$3:$H$131,MATCH(S28,'G-8 Condition Look up'!$A$3:$A$131,0),MATCH(Y28,'G-8 Condition Look up'!$A$3:$H$3,0)),"")</f>
        <v/>
      </c>
      <c r="AA28" s="173"/>
      <c r="AB28" s="269" t="str">
        <f>IF(AA28="","",IF(VLOOKUP(AA28,'G-3 Multipliers'!$L$3:$N$6,2,FALSE)=0,"Spatial Data Missing",VLOOKUP(AA28,'G-3 Multipliers'!$L$3:$N$6,2,FALSE)))</f>
        <v/>
      </c>
      <c r="AC28" s="176" t="str">
        <f>IF(AA28="","",IF(VLOOKUP(AA28,'G-3 Multipliers'!$L$3:$N$6,3,FALSE)=0,"Spatial Data Missing",VLOOKUP(AA28,'G-3 Multipliers'!$L$3:$N$6,3,FALSE)))</f>
        <v/>
      </c>
      <c r="AD28" s="239" t="str">
        <f t="shared" si="3"/>
        <v/>
      </c>
      <c r="AE28" s="275"/>
      <c r="AF28" s="275"/>
      <c r="AG28" s="175" t="str">
        <f t="shared" si="8"/>
        <v/>
      </c>
      <c r="AH28" s="242" t="str">
        <f t="shared" si="9"/>
        <v/>
      </c>
      <c r="AI28" s="335" t="str">
        <f>IF(AH28="Check Data","Check Data",IFERROR(VLOOKUP(AH28,'G-4 Temporal multipliers'!$A$4:$C$36,3,FALSE),""))</f>
        <v/>
      </c>
      <c r="AJ28" s="239" t="str">
        <f>IF(S28="","",VLOOKUP(S28,'G-3 Multipliers'!$A$2:$E$130,4,FALSE))</f>
        <v/>
      </c>
      <c r="AK28" s="175" t="str">
        <f t="shared" si="10"/>
        <v/>
      </c>
      <c r="AL28" s="175" t="str">
        <f t="shared" si="11"/>
        <v/>
      </c>
      <c r="AM28" s="176" t="str">
        <f>IFERROR(IF(F28="","",IF(AH28="Check Data","Check Data",VLOOKUP(AL28, 'G-3 Multipliers'!$P$2:$Q$6,2,FALSE))),””)</f>
        <v/>
      </c>
      <c r="AN28" s="266"/>
      <c r="AO28" s="269" t="str">
        <f>IF(AN28="","",IF(VLOOKUP(AN28,'G-3 Multipliers'!$S$3:$T$9,2,FALSE)=0,"Spatial Data Missing",VLOOKUP(AN28,'G-3 Multipliers'!$S$3:$T$9,2,FALSE)))</f>
        <v/>
      </c>
      <c r="AP28" s="207" t="str">
        <f t="shared" si="12"/>
        <v/>
      </c>
      <c r="AQ28" s="336"/>
      <c r="AR28" s="181"/>
    </row>
    <row r="29" spans="1:44" x14ac:dyDescent="0.25">
      <c r="A29" s="35" t="str">
        <f>IF(E29="","",IF(ISNA(VLOOKUP($E29,'D-1 Off Site Habitat Baseline'!$D$1:$O$258,2,FALSE)),"",(VLOOKUP($E29,'D-1 Off Site Habitat Baseline'!$D$1:$O$258,2,FALSE))))</f>
        <v/>
      </c>
      <c r="B29" s="35" t="str">
        <f>IF(E29="","",IF(ISNA(VLOOKUP($E29,'D-1 Off Site Habitat Baseline'!$D$1:$O$258,3,FALSE)),"",(VLOOKUP($E29,'D-1 Off Site Habitat Baseline'!$D$1:$O$258,3,FALSE))))</f>
        <v/>
      </c>
      <c r="C29" s="35" t="str">
        <f>IFERROR(INDEX('G-8 Condition Look up'!$I$4:$I$131,MATCH(S29,'G-8 Condition Look up'!$A$4:$A$131,0)),"")</f>
        <v/>
      </c>
      <c r="E29" s="329" t="str">
        <f>'D-1 Off Site Habitat Baseline'!AL28</f>
        <v/>
      </c>
      <c r="F29" s="175" t="str">
        <f>IF(E29="","",IF(ISNA(VLOOKUP($E29,'D-1 Off Site Habitat Baseline'!$D$1:$O$258,4,FALSE)),"",(VLOOKUP($E29,'D-1 Off Site Habitat Baseline'!$D$1:$O$258,4,FALSE))))</f>
        <v/>
      </c>
      <c r="G29" s="175" t="str">
        <f>IF(E29="","",IF(ISNA(VLOOKUP($E29,'D-1 Off Site Habitat Baseline'!$D$1:$O$258,5,FALSE)),"",(VLOOKUP($E29,'D-1 Off Site Habitat Baseline'!$D$1:$O$258,5,FALSE))))</f>
        <v/>
      </c>
      <c r="H29" s="175" t="str">
        <f>IF(E29="","",IF(ISNA(VLOOKUP($E29,'D-1 Off Site Habitat Baseline'!$D$1:$O$258,6,FALSE)),"",(VLOOKUP($E29,'D-1 Off Site Habitat Baseline'!$D$1:$O$258,6,FALSE))))</f>
        <v/>
      </c>
      <c r="I29" s="175" t="str">
        <f>IF(E29="","",IF(ISNA(VLOOKUP($E29,'D-1 Off Site Habitat Baseline'!$D$1:$O$258,7,FALSE)),"",(VLOOKUP($E29,'D-1 Off Site Habitat Baseline'!$D$1:$O$258,7,FALSE))))</f>
        <v/>
      </c>
      <c r="J29" s="175" t="str">
        <f>IF(E29="","",IF(ISNA(VLOOKUP($E29,'D-1 Off Site Habitat Baseline'!$D$1:$O$258,8,FALSE)),"",(VLOOKUP($E29,'D-1 Off Site Habitat Baseline'!$D$1:$O$258,8,FALSE))))</f>
        <v/>
      </c>
      <c r="K29" s="175" t="str">
        <f>IF(E29="","",IF(ISNA(VLOOKUP($E29,'D-1 Off Site Habitat Baseline'!$D$1:$O$258,9,FALSE)),"",(VLOOKUP($E29,'D-1 Off Site Habitat Baseline'!$D$1:$O$258,9,FALSE))))</f>
        <v/>
      </c>
      <c r="L29" s="175" t="str">
        <f>IF(E29="","",IF(ISNA(VLOOKUP($E29,'D-1 Off Site Habitat Baseline'!$D$1:$O$258,11,FALSE)),"",(VLOOKUP($E29,'D-1 Off Site Habitat Baseline'!$D$1:$O$258,11,FALSE))))</f>
        <v/>
      </c>
      <c r="M29" s="175" t="str">
        <f>IF(E29="","",IF(ISNA(VLOOKUP($E29,'D-1 Off Site Habitat Baseline'!$D$1:$O$258,12,FALSE)),"",(VLOOKUP($E29,'D-1 Off Site Habitat Baseline'!$D$1:$O$258,12,FALSE))))</f>
        <v/>
      </c>
      <c r="N29" s="175" t="str">
        <f>IF(E29="","",IF(ISNA(VLOOKUP($E29,'D-1 Off Site Habitat Baseline'!$D$1:$X$258,14,FALSE)),"",(VLOOKUP($E29,'D-1 Off Site Habitat Baseline'!$D$1:$X$258,14,FALSE))))</f>
        <v/>
      </c>
      <c r="O29" s="176" t="str">
        <f>IF(E29="","",IF(ISNA(VLOOKUP($E29,'D-1 Off Site Habitat Baseline'!$D$1:$X$258,13,FALSE)),"",(VLOOKUP($E29,'D-1 Off Site Habitat Baseline'!$D$1:$X$258,13,FALSE))))</f>
        <v/>
      </c>
      <c r="P29" s="337" t="str">
        <f>IFERROR(INDEX('G-1 All Habitats'!$AG$3:$AG$15,MATCH(Q29,'G-1 All Habitats'!$AF$3:$AF$15,0)),"")</f>
        <v/>
      </c>
      <c r="Q29" s="331" t="str">
        <f t="shared" si="13"/>
        <v/>
      </c>
      <c r="R29" s="332" t="str">
        <f t="shared" si="14"/>
        <v/>
      </c>
      <c r="S29" s="338" t="str">
        <f>IFERROR(INDEX('G-1 All Habitats'!$B$3:$B$130,MATCH(R29,'G-1 All Habitats'!$A$3:$A$130,0)),"")</f>
        <v/>
      </c>
      <c r="T29" s="179" t="str">
        <f t="shared" si="6"/>
        <v/>
      </c>
      <c r="U29" s="172" t="str">
        <f t="shared" si="7"/>
        <v/>
      </c>
      <c r="V29" s="334" t="str">
        <f t="shared" si="2"/>
        <v/>
      </c>
      <c r="W29" s="175" t="str">
        <f>IF(S29="","",VLOOKUP(S29,'G-1 All Habitats'!$B$2:$M$130,10,FALSE))</f>
        <v/>
      </c>
      <c r="X29" s="175" t="str">
        <f>IFERROR(VLOOKUP(W29,'G-1 All Habitats'!$V$3:$W$7,2,FALSE),"")</f>
        <v/>
      </c>
      <c r="Y29" s="275"/>
      <c r="Z29" s="176" t="str">
        <f>IFERROR(INDEX('G-8 Condition Look up'!$A$3:$H$131,MATCH(S29,'G-8 Condition Look up'!$A$3:$A$131,0),MATCH(Y29,'G-8 Condition Look up'!$A$3:$H$3,0)),"")</f>
        <v/>
      </c>
      <c r="AA29" s="173"/>
      <c r="AB29" s="269" t="str">
        <f>IF(AA29="","",IF(VLOOKUP(AA29,'G-3 Multipliers'!$L$3:$N$6,2,FALSE)=0,"Spatial Data Missing",VLOOKUP(AA29,'G-3 Multipliers'!$L$3:$N$6,2,FALSE)))</f>
        <v/>
      </c>
      <c r="AC29" s="176" t="str">
        <f>IF(AA29="","",IF(VLOOKUP(AA29,'G-3 Multipliers'!$L$3:$N$6,3,FALSE)=0,"Spatial Data Missing",VLOOKUP(AA29,'G-3 Multipliers'!$L$3:$N$6,3,FALSE)))</f>
        <v/>
      </c>
      <c r="AD29" s="239" t="str">
        <f t="shared" si="3"/>
        <v/>
      </c>
      <c r="AE29" s="275"/>
      <c r="AF29" s="275"/>
      <c r="AG29" s="175" t="str">
        <f t="shared" si="8"/>
        <v/>
      </c>
      <c r="AH29" s="242" t="str">
        <f t="shared" si="9"/>
        <v/>
      </c>
      <c r="AI29" s="335" t="str">
        <f>IF(AH29="Check Data","Check Data",IFERROR(VLOOKUP(AH29,'G-4 Temporal multipliers'!$A$4:$C$36,3,FALSE),""))</f>
        <v/>
      </c>
      <c r="AJ29" s="239" t="str">
        <f>IF(S29="","",VLOOKUP(S29,'G-3 Multipliers'!$A$2:$E$130,4,FALSE))</f>
        <v/>
      </c>
      <c r="AK29" s="175" t="str">
        <f t="shared" si="10"/>
        <v/>
      </c>
      <c r="AL29" s="175" t="str">
        <f t="shared" si="11"/>
        <v/>
      </c>
      <c r="AM29" s="176" t="str">
        <f>IFERROR(IF(F29="","",IF(AH29="Check Data","Check Data",VLOOKUP(AL29, 'G-3 Multipliers'!$P$2:$Q$6,2,FALSE))),””)</f>
        <v/>
      </c>
      <c r="AN29" s="266"/>
      <c r="AO29" s="269" t="str">
        <f>IF(AN29="","",IF(VLOOKUP(AN29,'G-3 Multipliers'!$S$3:$T$9,2,FALSE)=0,"Spatial Data Missing",VLOOKUP(AN29,'G-3 Multipliers'!$S$3:$T$9,2,FALSE)))</f>
        <v/>
      </c>
      <c r="AP29" s="207" t="str">
        <f t="shared" si="12"/>
        <v/>
      </c>
      <c r="AQ29" s="336"/>
      <c r="AR29" s="181"/>
    </row>
    <row r="30" spans="1:44" x14ac:dyDescent="0.25">
      <c r="A30" s="35" t="str">
        <f>IF(E30="","",IF(ISNA(VLOOKUP($E30,'D-1 Off Site Habitat Baseline'!$D$1:$O$258,2,FALSE)),"",(VLOOKUP($E30,'D-1 Off Site Habitat Baseline'!$D$1:$O$258,2,FALSE))))</f>
        <v/>
      </c>
      <c r="B30" s="35" t="str">
        <f>IF(E30="","",IF(ISNA(VLOOKUP($E30,'D-1 Off Site Habitat Baseline'!$D$1:$O$258,3,FALSE)),"",(VLOOKUP($E30,'D-1 Off Site Habitat Baseline'!$D$1:$O$258,3,FALSE))))</f>
        <v/>
      </c>
      <c r="C30" s="35" t="str">
        <f>IFERROR(INDEX('G-8 Condition Look up'!$I$4:$I$131,MATCH(S30,'G-8 Condition Look up'!$A$4:$A$131,0)),"")</f>
        <v/>
      </c>
      <c r="E30" s="329" t="str">
        <f>'D-1 Off Site Habitat Baseline'!AL29</f>
        <v/>
      </c>
      <c r="F30" s="175" t="str">
        <f>IF(E30="","",IF(ISNA(VLOOKUP($E30,'D-1 Off Site Habitat Baseline'!$D$1:$O$258,4,FALSE)),"",(VLOOKUP($E30,'D-1 Off Site Habitat Baseline'!$D$1:$O$258,4,FALSE))))</f>
        <v/>
      </c>
      <c r="G30" s="175" t="str">
        <f>IF(E30="","",IF(ISNA(VLOOKUP($E30,'D-1 Off Site Habitat Baseline'!$D$1:$O$258,5,FALSE)),"",(VLOOKUP($E30,'D-1 Off Site Habitat Baseline'!$D$1:$O$258,5,FALSE))))</f>
        <v/>
      </c>
      <c r="H30" s="175" t="str">
        <f>IF(E30="","",IF(ISNA(VLOOKUP($E30,'D-1 Off Site Habitat Baseline'!$D$1:$O$258,6,FALSE)),"",(VLOOKUP($E30,'D-1 Off Site Habitat Baseline'!$D$1:$O$258,6,FALSE))))</f>
        <v/>
      </c>
      <c r="I30" s="175" t="str">
        <f>IF(E30="","",IF(ISNA(VLOOKUP($E30,'D-1 Off Site Habitat Baseline'!$D$1:$O$258,7,FALSE)),"",(VLOOKUP($E30,'D-1 Off Site Habitat Baseline'!$D$1:$O$258,7,FALSE))))</f>
        <v/>
      </c>
      <c r="J30" s="175" t="str">
        <f>IF(E30="","",IF(ISNA(VLOOKUP($E30,'D-1 Off Site Habitat Baseline'!$D$1:$O$258,8,FALSE)),"",(VLOOKUP($E30,'D-1 Off Site Habitat Baseline'!$D$1:$O$258,8,FALSE))))</f>
        <v/>
      </c>
      <c r="K30" s="175" t="str">
        <f>IF(E30="","",IF(ISNA(VLOOKUP($E30,'D-1 Off Site Habitat Baseline'!$D$1:$O$258,9,FALSE)),"",(VLOOKUP($E30,'D-1 Off Site Habitat Baseline'!$D$1:$O$258,9,FALSE))))</f>
        <v/>
      </c>
      <c r="L30" s="175" t="str">
        <f>IF(E30="","",IF(ISNA(VLOOKUP($E30,'D-1 Off Site Habitat Baseline'!$D$1:$O$258,11,FALSE)),"",(VLOOKUP($E30,'D-1 Off Site Habitat Baseline'!$D$1:$O$258,11,FALSE))))</f>
        <v/>
      </c>
      <c r="M30" s="175" t="str">
        <f>IF(E30="","",IF(ISNA(VLOOKUP($E30,'D-1 Off Site Habitat Baseline'!$D$1:$O$258,12,FALSE)),"",(VLOOKUP($E30,'D-1 Off Site Habitat Baseline'!$D$1:$O$258,12,FALSE))))</f>
        <v/>
      </c>
      <c r="N30" s="175" t="str">
        <f>IF(E30="","",IF(ISNA(VLOOKUP($E30,'D-1 Off Site Habitat Baseline'!$D$1:$X$258,14,FALSE)),"",(VLOOKUP($E30,'D-1 Off Site Habitat Baseline'!$D$1:$X$258,14,FALSE))))</f>
        <v/>
      </c>
      <c r="O30" s="176" t="str">
        <f>IF(E30="","",IF(ISNA(VLOOKUP($E30,'D-1 Off Site Habitat Baseline'!$D$1:$X$258,13,FALSE)),"",(VLOOKUP($E30,'D-1 Off Site Habitat Baseline'!$D$1:$X$258,13,FALSE))))</f>
        <v/>
      </c>
      <c r="P30" s="337" t="str">
        <f>IFERROR(INDEX('G-1 All Habitats'!$AG$3:$AG$15,MATCH(Q30,'G-1 All Habitats'!$AF$3:$AF$15,0)),"")</f>
        <v/>
      </c>
      <c r="Q30" s="331" t="str">
        <f t="shared" si="13"/>
        <v/>
      </c>
      <c r="R30" s="332" t="str">
        <f t="shared" si="14"/>
        <v/>
      </c>
      <c r="S30" s="338" t="str">
        <f>IFERROR(INDEX('G-1 All Habitats'!$B$3:$B$130,MATCH(R30,'G-1 All Habitats'!$A$3:$A$130,0)),"")</f>
        <v/>
      </c>
      <c r="T30" s="179" t="str">
        <f t="shared" si="6"/>
        <v/>
      </c>
      <c r="U30" s="172" t="str">
        <f t="shared" si="7"/>
        <v/>
      </c>
      <c r="V30" s="334" t="str">
        <f t="shared" si="2"/>
        <v/>
      </c>
      <c r="W30" s="175" t="str">
        <f>IF(S30="","",VLOOKUP(S30,'G-1 All Habitats'!$B$2:$M$130,10,FALSE))</f>
        <v/>
      </c>
      <c r="X30" s="175" t="str">
        <f>IFERROR(VLOOKUP(W30,'G-1 All Habitats'!$V$3:$W$7,2,FALSE),"")</f>
        <v/>
      </c>
      <c r="Y30" s="275"/>
      <c r="Z30" s="176" t="str">
        <f>IFERROR(INDEX('G-8 Condition Look up'!$A$3:$H$131,MATCH(S30,'G-8 Condition Look up'!$A$3:$A$131,0),MATCH(Y30,'G-8 Condition Look up'!$A$3:$H$3,0)),"")</f>
        <v/>
      </c>
      <c r="AA30" s="173"/>
      <c r="AB30" s="269" t="str">
        <f>IF(AA30="","",IF(VLOOKUP(AA30,'G-3 Multipliers'!$L$3:$N$6,2,FALSE)=0,"Spatial Data Missing",VLOOKUP(AA30,'G-3 Multipliers'!$L$3:$N$6,2,FALSE)))</f>
        <v/>
      </c>
      <c r="AC30" s="176" t="str">
        <f>IF(AA30="","",IF(VLOOKUP(AA30,'G-3 Multipliers'!$L$3:$N$6,3,FALSE)=0,"Spatial Data Missing",VLOOKUP(AA30,'G-3 Multipliers'!$L$3:$N$6,3,FALSE)))</f>
        <v/>
      </c>
      <c r="AD30" s="239" t="str">
        <f t="shared" si="3"/>
        <v/>
      </c>
      <c r="AE30" s="275"/>
      <c r="AF30" s="275"/>
      <c r="AG30" s="175" t="str">
        <f t="shared" si="8"/>
        <v/>
      </c>
      <c r="AH30" s="242" t="str">
        <f t="shared" si="9"/>
        <v/>
      </c>
      <c r="AI30" s="335" t="str">
        <f>IF(AH30="Check Data","Check Data",IFERROR(VLOOKUP(AH30,'G-4 Temporal multipliers'!$A$4:$C$36,3,FALSE),""))</f>
        <v/>
      </c>
      <c r="AJ30" s="239" t="str">
        <f>IF(S30="","",VLOOKUP(S30,'G-3 Multipliers'!$A$2:$E$130,4,FALSE))</f>
        <v/>
      </c>
      <c r="AK30" s="175" t="str">
        <f t="shared" si="10"/>
        <v/>
      </c>
      <c r="AL30" s="175" t="str">
        <f t="shared" si="11"/>
        <v/>
      </c>
      <c r="AM30" s="176" t="str">
        <f>IFERROR(IF(F30="","",IF(AH30="Check Data","Check Data",VLOOKUP(AL30, 'G-3 Multipliers'!$P$2:$Q$6,2,FALSE))),””)</f>
        <v/>
      </c>
      <c r="AN30" s="266"/>
      <c r="AO30" s="269" t="str">
        <f>IF(AN30="","",IF(VLOOKUP(AN30,'G-3 Multipliers'!$S$3:$T$9,2,FALSE)=0,"Spatial Data Missing",VLOOKUP(AN30,'G-3 Multipliers'!$S$3:$T$9,2,FALSE)))</f>
        <v/>
      </c>
      <c r="AP30" s="207" t="str">
        <f t="shared" si="12"/>
        <v/>
      </c>
      <c r="AQ30" s="336"/>
      <c r="AR30" s="181"/>
    </row>
    <row r="31" spans="1:44" x14ac:dyDescent="0.25">
      <c r="A31" s="35" t="str">
        <f>IF(E31="","",IF(ISNA(VLOOKUP($E31,'D-1 Off Site Habitat Baseline'!$D$1:$O$258,2,FALSE)),"",(VLOOKUP($E31,'D-1 Off Site Habitat Baseline'!$D$1:$O$258,2,FALSE))))</f>
        <v/>
      </c>
      <c r="B31" s="35" t="str">
        <f>IF(E31="","",IF(ISNA(VLOOKUP($E31,'D-1 Off Site Habitat Baseline'!$D$1:$O$258,3,FALSE)),"",(VLOOKUP($E31,'D-1 Off Site Habitat Baseline'!$D$1:$O$258,3,FALSE))))</f>
        <v/>
      </c>
      <c r="C31" s="35" t="str">
        <f>IFERROR(INDEX('G-8 Condition Look up'!$I$4:$I$131,MATCH(S31,'G-8 Condition Look up'!$A$4:$A$131,0)),"")</f>
        <v/>
      </c>
      <c r="E31" s="329" t="str">
        <f>'D-1 Off Site Habitat Baseline'!AL30</f>
        <v/>
      </c>
      <c r="F31" s="175" t="str">
        <f>IF(E31="","",IF(ISNA(VLOOKUP($E31,'D-1 Off Site Habitat Baseline'!$D$1:$O$258,4,FALSE)),"",(VLOOKUP($E31,'D-1 Off Site Habitat Baseline'!$D$1:$O$258,4,FALSE))))</f>
        <v/>
      </c>
      <c r="G31" s="175" t="str">
        <f>IF(E31="","",IF(ISNA(VLOOKUP($E31,'D-1 Off Site Habitat Baseline'!$D$1:$O$258,5,FALSE)),"",(VLOOKUP($E31,'D-1 Off Site Habitat Baseline'!$D$1:$O$258,5,FALSE))))</f>
        <v/>
      </c>
      <c r="H31" s="175" t="str">
        <f>IF(E31="","",IF(ISNA(VLOOKUP($E31,'D-1 Off Site Habitat Baseline'!$D$1:$O$258,6,FALSE)),"",(VLOOKUP($E31,'D-1 Off Site Habitat Baseline'!$D$1:$O$258,6,FALSE))))</f>
        <v/>
      </c>
      <c r="I31" s="175" t="str">
        <f>IF(E31="","",IF(ISNA(VLOOKUP($E31,'D-1 Off Site Habitat Baseline'!$D$1:$O$258,7,FALSE)),"",(VLOOKUP($E31,'D-1 Off Site Habitat Baseline'!$D$1:$O$258,7,FALSE))))</f>
        <v/>
      </c>
      <c r="J31" s="175" t="str">
        <f>IF(E31="","",IF(ISNA(VLOOKUP($E31,'D-1 Off Site Habitat Baseline'!$D$1:$O$258,8,FALSE)),"",(VLOOKUP($E31,'D-1 Off Site Habitat Baseline'!$D$1:$O$258,8,FALSE))))</f>
        <v/>
      </c>
      <c r="K31" s="175" t="str">
        <f>IF(E31="","",IF(ISNA(VLOOKUP($E31,'D-1 Off Site Habitat Baseline'!$D$1:$O$258,9,FALSE)),"",(VLOOKUP($E31,'D-1 Off Site Habitat Baseline'!$D$1:$O$258,9,FALSE))))</f>
        <v/>
      </c>
      <c r="L31" s="175" t="str">
        <f>IF(E31="","",IF(ISNA(VLOOKUP($E31,'D-1 Off Site Habitat Baseline'!$D$1:$O$258,11,FALSE)),"",(VLOOKUP($E31,'D-1 Off Site Habitat Baseline'!$D$1:$O$258,11,FALSE))))</f>
        <v/>
      </c>
      <c r="M31" s="175" t="str">
        <f>IF(E31="","",IF(ISNA(VLOOKUP($E31,'D-1 Off Site Habitat Baseline'!$D$1:$O$258,12,FALSE)),"",(VLOOKUP($E31,'D-1 Off Site Habitat Baseline'!$D$1:$O$258,12,FALSE))))</f>
        <v/>
      </c>
      <c r="N31" s="175" t="str">
        <f>IF(E31="","",IF(ISNA(VLOOKUP($E31,'D-1 Off Site Habitat Baseline'!$D$1:$X$258,14,FALSE)),"",(VLOOKUP($E31,'D-1 Off Site Habitat Baseline'!$D$1:$X$258,14,FALSE))))</f>
        <v/>
      </c>
      <c r="O31" s="176" t="str">
        <f>IF(E31="","",IF(ISNA(VLOOKUP($E31,'D-1 Off Site Habitat Baseline'!$D$1:$X$258,13,FALSE)),"",(VLOOKUP($E31,'D-1 Off Site Habitat Baseline'!$D$1:$X$258,13,FALSE))))</f>
        <v/>
      </c>
      <c r="P31" s="337" t="str">
        <f>IFERROR(INDEX('G-1 All Habitats'!$AG$3:$AG$15,MATCH(Q31,'G-1 All Habitats'!$AF$3:$AF$15,0)),"")</f>
        <v/>
      </c>
      <c r="Q31" s="331" t="str">
        <f t="shared" si="13"/>
        <v/>
      </c>
      <c r="R31" s="332" t="str">
        <f t="shared" si="14"/>
        <v/>
      </c>
      <c r="S31" s="338" t="str">
        <f>IFERROR(INDEX('G-1 All Habitats'!$B$3:$B$130,MATCH(R31,'G-1 All Habitats'!$A$3:$A$130,0)),"")</f>
        <v/>
      </c>
      <c r="T31" s="179" t="str">
        <f t="shared" si="6"/>
        <v/>
      </c>
      <c r="U31" s="172" t="str">
        <f t="shared" si="7"/>
        <v/>
      </c>
      <c r="V31" s="334" t="str">
        <f t="shared" si="2"/>
        <v/>
      </c>
      <c r="W31" s="175" t="str">
        <f>IF(S31="","",VLOOKUP(S31,'G-1 All Habitats'!$B$2:$M$130,10,FALSE))</f>
        <v/>
      </c>
      <c r="X31" s="175" t="str">
        <f>IFERROR(VLOOKUP(W31,'G-1 All Habitats'!$V$3:$W$7,2,FALSE),"")</f>
        <v/>
      </c>
      <c r="Y31" s="275"/>
      <c r="Z31" s="176" t="str">
        <f>IFERROR(INDEX('G-8 Condition Look up'!$A$3:$H$131,MATCH(S31,'G-8 Condition Look up'!$A$3:$A$131,0),MATCH(Y31,'G-8 Condition Look up'!$A$3:$H$3,0)),"")</f>
        <v/>
      </c>
      <c r="AA31" s="173"/>
      <c r="AB31" s="269" t="str">
        <f>IF(AA31="","",IF(VLOOKUP(AA31,'G-3 Multipliers'!$L$3:$N$6,2,FALSE)=0,"Spatial Data Missing",VLOOKUP(AA31,'G-3 Multipliers'!$L$3:$N$6,2,FALSE)))</f>
        <v/>
      </c>
      <c r="AC31" s="176" t="str">
        <f>IF(AA31="","",IF(VLOOKUP(AA31,'G-3 Multipliers'!$L$3:$N$6,3,FALSE)=0,"Spatial Data Missing",VLOOKUP(AA31,'G-3 Multipliers'!$L$3:$N$6,3,FALSE)))</f>
        <v/>
      </c>
      <c r="AD31" s="239" t="str">
        <f t="shared" si="3"/>
        <v/>
      </c>
      <c r="AE31" s="275"/>
      <c r="AF31" s="275"/>
      <c r="AG31" s="175" t="str">
        <f t="shared" si="8"/>
        <v/>
      </c>
      <c r="AH31" s="242" t="str">
        <f t="shared" si="9"/>
        <v/>
      </c>
      <c r="AI31" s="335" t="str">
        <f>IF(AH31="Check Data","Check Data",IFERROR(VLOOKUP(AH31,'G-4 Temporal multipliers'!$A$4:$C$36,3,FALSE),""))</f>
        <v/>
      </c>
      <c r="AJ31" s="239" t="str">
        <f>IF(S31="","",VLOOKUP(S31,'G-3 Multipliers'!$A$2:$E$130,4,FALSE))</f>
        <v/>
      </c>
      <c r="AK31" s="175" t="str">
        <f t="shared" si="10"/>
        <v/>
      </c>
      <c r="AL31" s="175" t="str">
        <f t="shared" si="11"/>
        <v/>
      </c>
      <c r="AM31" s="176" t="str">
        <f>IFERROR(IF(F31="","",IF(AH31="Check Data","Check Data",VLOOKUP(AL31, 'G-3 Multipliers'!$P$2:$Q$6,2,FALSE))),””)</f>
        <v/>
      </c>
      <c r="AN31" s="266"/>
      <c r="AO31" s="269" t="str">
        <f>IF(AN31="","",IF(VLOOKUP(AN31,'G-3 Multipliers'!$S$3:$T$9,2,FALSE)=0,"Spatial Data Missing",VLOOKUP(AN31,'G-3 Multipliers'!$S$3:$T$9,2,FALSE)))</f>
        <v/>
      </c>
      <c r="AP31" s="207" t="str">
        <f t="shared" si="12"/>
        <v/>
      </c>
      <c r="AQ31" s="336"/>
      <c r="AR31" s="181"/>
    </row>
    <row r="32" spans="1:44" x14ac:dyDescent="0.25">
      <c r="A32" s="35" t="str">
        <f>IF(E32="","",IF(ISNA(VLOOKUP($E32,'D-1 Off Site Habitat Baseline'!$D$1:$O$258,2,FALSE)),"",(VLOOKUP($E32,'D-1 Off Site Habitat Baseline'!$D$1:$O$258,2,FALSE))))</f>
        <v/>
      </c>
      <c r="B32" s="35" t="str">
        <f>IF(E32="","",IF(ISNA(VLOOKUP($E32,'D-1 Off Site Habitat Baseline'!$D$1:$O$258,3,FALSE)),"",(VLOOKUP($E32,'D-1 Off Site Habitat Baseline'!$D$1:$O$258,3,FALSE))))</f>
        <v/>
      </c>
      <c r="C32" s="35" t="str">
        <f>IFERROR(INDEX('G-8 Condition Look up'!$I$4:$I$131,MATCH(S32,'G-8 Condition Look up'!$A$4:$A$131,0)),"")</f>
        <v/>
      </c>
      <c r="E32" s="329" t="str">
        <f>'D-1 Off Site Habitat Baseline'!AL31</f>
        <v/>
      </c>
      <c r="F32" s="175" t="str">
        <f>IF(E32="","",IF(ISNA(VLOOKUP($E32,'D-1 Off Site Habitat Baseline'!$D$1:$O$258,4,FALSE)),"",(VLOOKUP($E32,'D-1 Off Site Habitat Baseline'!$D$1:$O$258,4,FALSE))))</f>
        <v/>
      </c>
      <c r="G32" s="175" t="str">
        <f>IF(E32="","",IF(ISNA(VLOOKUP($E32,'D-1 Off Site Habitat Baseline'!$D$1:$O$258,5,FALSE)),"",(VLOOKUP($E32,'D-1 Off Site Habitat Baseline'!$D$1:$O$258,5,FALSE))))</f>
        <v/>
      </c>
      <c r="H32" s="175" t="str">
        <f>IF(E32="","",IF(ISNA(VLOOKUP($E32,'D-1 Off Site Habitat Baseline'!$D$1:$O$258,6,FALSE)),"",(VLOOKUP($E32,'D-1 Off Site Habitat Baseline'!$D$1:$O$258,6,FALSE))))</f>
        <v/>
      </c>
      <c r="I32" s="175" t="str">
        <f>IF(E32="","",IF(ISNA(VLOOKUP($E32,'D-1 Off Site Habitat Baseline'!$D$1:$O$258,7,FALSE)),"",(VLOOKUP($E32,'D-1 Off Site Habitat Baseline'!$D$1:$O$258,7,FALSE))))</f>
        <v/>
      </c>
      <c r="J32" s="175" t="str">
        <f>IF(E32="","",IF(ISNA(VLOOKUP($E32,'D-1 Off Site Habitat Baseline'!$D$1:$O$258,8,FALSE)),"",(VLOOKUP($E32,'D-1 Off Site Habitat Baseline'!$D$1:$O$258,8,FALSE))))</f>
        <v/>
      </c>
      <c r="K32" s="175" t="str">
        <f>IF(E32="","",IF(ISNA(VLOOKUP($E32,'D-1 Off Site Habitat Baseline'!$D$1:$O$258,9,FALSE)),"",(VLOOKUP($E32,'D-1 Off Site Habitat Baseline'!$D$1:$O$258,9,FALSE))))</f>
        <v/>
      </c>
      <c r="L32" s="175" t="str">
        <f>IF(E32="","",IF(ISNA(VLOOKUP($E32,'D-1 Off Site Habitat Baseline'!$D$1:$O$258,11,FALSE)),"",(VLOOKUP($E32,'D-1 Off Site Habitat Baseline'!$D$1:$O$258,11,FALSE))))</f>
        <v/>
      </c>
      <c r="M32" s="175" t="str">
        <f>IF(E32="","",IF(ISNA(VLOOKUP($E32,'D-1 Off Site Habitat Baseline'!$D$1:$O$258,12,FALSE)),"",(VLOOKUP($E32,'D-1 Off Site Habitat Baseline'!$D$1:$O$258,12,FALSE))))</f>
        <v/>
      </c>
      <c r="N32" s="175" t="str">
        <f>IF(E32="","",IF(ISNA(VLOOKUP($E32,'D-1 Off Site Habitat Baseline'!$D$1:$X$258,14,FALSE)),"",(VLOOKUP($E32,'D-1 Off Site Habitat Baseline'!$D$1:$X$258,14,FALSE))))</f>
        <v/>
      </c>
      <c r="O32" s="176" t="str">
        <f>IF(E32="","",IF(ISNA(VLOOKUP($E32,'D-1 Off Site Habitat Baseline'!$D$1:$X$258,13,FALSE)),"",(VLOOKUP($E32,'D-1 Off Site Habitat Baseline'!$D$1:$X$258,13,FALSE))))</f>
        <v/>
      </c>
      <c r="P32" s="337" t="str">
        <f>IFERROR(INDEX('G-1 All Habitats'!$AG$3:$AG$15,MATCH(Q32,'G-1 All Habitats'!$AF$3:$AF$15,0)),"")</f>
        <v/>
      </c>
      <c r="Q32" s="331" t="str">
        <f t="shared" si="13"/>
        <v/>
      </c>
      <c r="R32" s="332" t="str">
        <f t="shared" si="14"/>
        <v/>
      </c>
      <c r="S32" s="338" t="str">
        <f>IFERROR(INDEX('G-1 All Habitats'!$B$3:$B$130,MATCH(R32,'G-1 All Habitats'!$A$3:$A$130,0)),"")</f>
        <v/>
      </c>
      <c r="T32" s="179" t="str">
        <f t="shared" si="6"/>
        <v/>
      </c>
      <c r="U32" s="172" t="str">
        <f t="shared" si="7"/>
        <v/>
      </c>
      <c r="V32" s="334" t="str">
        <f t="shared" si="2"/>
        <v/>
      </c>
      <c r="W32" s="175" t="str">
        <f>IF(S32="","",VLOOKUP(S32,'G-1 All Habitats'!$B$2:$M$130,10,FALSE))</f>
        <v/>
      </c>
      <c r="X32" s="175" t="str">
        <f>IFERROR(VLOOKUP(W32,'G-1 All Habitats'!$V$3:$W$7,2,FALSE),"")</f>
        <v/>
      </c>
      <c r="Y32" s="275"/>
      <c r="Z32" s="176" t="str">
        <f>IFERROR(INDEX('G-8 Condition Look up'!$A$3:$H$131,MATCH(S32,'G-8 Condition Look up'!$A$3:$A$131,0),MATCH(Y32,'G-8 Condition Look up'!$A$3:$H$3,0)),"")</f>
        <v/>
      </c>
      <c r="AA32" s="173"/>
      <c r="AB32" s="269" t="str">
        <f>IF(AA32="","",IF(VLOOKUP(AA32,'G-3 Multipliers'!$L$3:$N$6,2,FALSE)=0,"Spatial Data Missing",VLOOKUP(AA32,'G-3 Multipliers'!$L$3:$N$6,2,FALSE)))</f>
        <v/>
      </c>
      <c r="AC32" s="176" t="str">
        <f>IF(AA32="","",IF(VLOOKUP(AA32,'G-3 Multipliers'!$L$3:$N$6,3,FALSE)=0,"Spatial Data Missing",VLOOKUP(AA32,'G-3 Multipliers'!$L$3:$N$6,3,FALSE)))</f>
        <v/>
      </c>
      <c r="AD32" s="239" t="str">
        <f t="shared" si="3"/>
        <v/>
      </c>
      <c r="AE32" s="275"/>
      <c r="AF32" s="275"/>
      <c r="AG32" s="175" t="str">
        <f t="shared" si="8"/>
        <v/>
      </c>
      <c r="AH32" s="242" t="str">
        <f t="shared" si="9"/>
        <v/>
      </c>
      <c r="AI32" s="335" t="str">
        <f>IF(AH32="Check Data","Check Data",IFERROR(VLOOKUP(AH32,'G-4 Temporal multipliers'!$A$4:$C$36,3,FALSE),""))</f>
        <v/>
      </c>
      <c r="AJ32" s="239" t="str">
        <f>IF(S32="","",VLOOKUP(S32,'G-3 Multipliers'!$A$2:$E$130,4,FALSE))</f>
        <v/>
      </c>
      <c r="AK32" s="175" t="str">
        <f t="shared" si="10"/>
        <v/>
      </c>
      <c r="AL32" s="175" t="str">
        <f t="shared" si="11"/>
        <v/>
      </c>
      <c r="AM32" s="176" t="str">
        <f>IFERROR(IF(F32="","",IF(AH32="Check Data","Check Data",VLOOKUP(AL32, 'G-3 Multipliers'!$P$2:$Q$6,2,FALSE))),””)</f>
        <v/>
      </c>
      <c r="AN32" s="266"/>
      <c r="AO32" s="269" t="str">
        <f>IF(AN32="","",IF(VLOOKUP(AN32,'G-3 Multipliers'!$S$3:$T$9,2,FALSE)=0,"Spatial Data Missing",VLOOKUP(AN32,'G-3 Multipliers'!$S$3:$T$9,2,FALSE)))</f>
        <v/>
      </c>
      <c r="AP32" s="207" t="str">
        <f t="shared" si="12"/>
        <v/>
      </c>
      <c r="AQ32" s="336"/>
      <c r="AR32" s="181"/>
    </row>
    <row r="33" spans="1:44" x14ac:dyDescent="0.25">
      <c r="A33" s="35" t="str">
        <f>IF(E33="","",IF(ISNA(VLOOKUP($E33,'D-1 Off Site Habitat Baseline'!$D$1:$O$258,2,FALSE)),"",(VLOOKUP($E33,'D-1 Off Site Habitat Baseline'!$D$1:$O$258,2,FALSE))))</f>
        <v/>
      </c>
      <c r="B33" s="35" t="str">
        <f>IF(E33="","",IF(ISNA(VLOOKUP($E33,'D-1 Off Site Habitat Baseline'!$D$1:$O$258,3,FALSE)),"",(VLOOKUP($E33,'D-1 Off Site Habitat Baseline'!$D$1:$O$258,3,FALSE))))</f>
        <v/>
      </c>
      <c r="C33" s="35" t="str">
        <f>IFERROR(INDEX('G-8 Condition Look up'!$I$4:$I$131,MATCH(S33,'G-8 Condition Look up'!$A$4:$A$131,0)),"")</f>
        <v/>
      </c>
      <c r="E33" s="329" t="str">
        <f>'D-1 Off Site Habitat Baseline'!AL32</f>
        <v/>
      </c>
      <c r="F33" s="175" t="str">
        <f>IF(E33="","",IF(ISNA(VLOOKUP($E33,'D-1 Off Site Habitat Baseline'!$D$1:$O$258,4,FALSE)),"",(VLOOKUP($E33,'D-1 Off Site Habitat Baseline'!$D$1:$O$258,4,FALSE))))</f>
        <v/>
      </c>
      <c r="G33" s="175" t="str">
        <f>IF(E33="","",IF(ISNA(VLOOKUP($E33,'D-1 Off Site Habitat Baseline'!$D$1:$O$258,5,FALSE)),"",(VLOOKUP($E33,'D-1 Off Site Habitat Baseline'!$D$1:$O$258,5,FALSE))))</f>
        <v/>
      </c>
      <c r="H33" s="175" t="str">
        <f>IF(E33="","",IF(ISNA(VLOOKUP($E33,'D-1 Off Site Habitat Baseline'!$D$1:$O$258,6,FALSE)),"",(VLOOKUP($E33,'D-1 Off Site Habitat Baseline'!$D$1:$O$258,6,FALSE))))</f>
        <v/>
      </c>
      <c r="I33" s="175" t="str">
        <f>IF(E33="","",IF(ISNA(VLOOKUP($E33,'D-1 Off Site Habitat Baseline'!$D$1:$O$258,7,FALSE)),"",(VLOOKUP($E33,'D-1 Off Site Habitat Baseline'!$D$1:$O$258,7,FALSE))))</f>
        <v/>
      </c>
      <c r="J33" s="175" t="str">
        <f>IF(E33="","",IF(ISNA(VLOOKUP($E33,'D-1 Off Site Habitat Baseline'!$D$1:$O$258,8,FALSE)),"",(VLOOKUP($E33,'D-1 Off Site Habitat Baseline'!$D$1:$O$258,8,FALSE))))</f>
        <v/>
      </c>
      <c r="K33" s="175" t="str">
        <f>IF(E33="","",IF(ISNA(VLOOKUP($E33,'D-1 Off Site Habitat Baseline'!$D$1:$O$258,9,FALSE)),"",(VLOOKUP($E33,'D-1 Off Site Habitat Baseline'!$D$1:$O$258,9,FALSE))))</f>
        <v/>
      </c>
      <c r="L33" s="175" t="str">
        <f>IF(E33="","",IF(ISNA(VLOOKUP($E33,'D-1 Off Site Habitat Baseline'!$D$1:$O$258,11,FALSE)),"",(VLOOKUP($E33,'D-1 Off Site Habitat Baseline'!$D$1:$O$258,11,FALSE))))</f>
        <v/>
      </c>
      <c r="M33" s="175" t="str">
        <f>IF(E33="","",IF(ISNA(VLOOKUP($E33,'D-1 Off Site Habitat Baseline'!$D$1:$O$258,12,FALSE)),"",(VLOOKUP($E33,'D-1 Off Site Habitat Baseline'!$D$1:$O$258,12,FALSE))))</f>
        <v/>
      </c>
      <c r="N33" s="175" t="str">
        <f>IF(E33="","",IF(ISNA(VLOOKUP($E33,'D-1 Off Site Habitat Baseline'!$D$1:$X$258,14,FALSE)),"",(VLOOKUP($E33,'D-1 Off Site Habitat Baseline'!$D$1:$X$258,14,FALSE))))</f>
        <v/>
      </c>
      <c r="O33" s="176" t="str">
        <f>IF(E33="","",IF(ISNA(VLOOKUP($E33,'D-1 Off Site Habitat Baseline'!$D$1:$X$258,13,FALSE)),"",(VLOOKUP($E33,'D-1 Off Site Habitat Baseline'!$D$1:$X$258,13,FALSE))))</f>
        <v/>
      </c>
      <c r="P33" s="337" t="str">
        <f>IFERROR(INDEX('G-1 All Habitats'!$AG$3:$AG$15,MATCH(Q33,'G-1 All Habitats'!$AF$3:$AF$15,0)),"")</f>
        <v/>
      </c>
      <c r="Q33" s="331" t="str">
        <f t="shared" si="13"/>
        <v/>
      </c>
      <c r="R33" s="332" t="str">
        <f t="shared" si="14"/>
        <v/>
      </c>
      <c r="S33" s="338" t="str">
        <f>IFERROR(INDEX('G-1 All Habitats'!$B$3:$B$130,MATCH(R33,'G-1 All Habitats'!$A$3:$A$130,0)),"")</f>
        <v/>
      </c>
      <c r="T33" s="179" t="str">
        <f t="shared" si="6"/>
        <v/>
      </c>
      <c r="U33" s="172" t="str">
        <f t="shared" si="7"/>
        <v/>
      </c>
      <c r="V33" s="334" t="str">
        <f t="shared" si="2"/>
        <v/>
      </c>
      <c r="W33" s="175" t="str">
        <f>IF(S33="","",VLOOKUP(S33,'G-1 All Habitats'!$B$2:$M$130,10,FALSE))</f>
        <v/>
      </c>
      <c r="X33" s="175" t="str">
        <f>IFERROR(VLOOKUP(W33,'G-1 All Habitats'!$V$3:$W$7,2,FALSE),"")</f>
        <v/>
      </c>
      <c r="Y33" s="275"/>
      <c r="Z33" s="176" t="str">
        <f>IFERROR(INDEX('G-8 Condition Look up'!$A$3:$H$131,MATCH(S33,'G-8 Condition Look up'!$A$3:$A$131,0),MATCH(Y33,'G-8 Condition Look up'!$A$3:$H$3,0)),"")</f>
        <v/>
      </c>
      <c r="AA33" s="173"/>
      <c r="AB33" s="269" t="str">
        <f>IF(AA33="","",IF(VLOOKUP(AA33,'G-3 Multipliers'!$L$3:$N$6,2,FALSE)=0,"Spatial Data Missing",VLOOKUP(AA33,'G-3 Multipliers'!$L$3:$N$6,2,FALSE)))</f>
        <v/>
      </c>
      <c r="AC33" s="176" t="str">
        <f>IF(AA33="","",IF(VLOOKUP(AA33,'G-3 Multipliers'!$L$3:$N$6,3,FALSE)=0,"Spatial Data Missing",VLOOKUP(AA33,'G-3 Multipliers'!$L$3:$N$6,3,FALSE)))</f>
        <v/>
      </c>
      <c r="AD33" s="239" t="str">
        <f t="shared" si="3"/>
        <v/>
      </c>
      <c r="AE33" s="275"/>
      <c r="AF33" s="275"/>
      <c r="AG33" s="175" t="str">
        <f t="shared" si="8"/>
        <v/>
      </c>
      <c r="AH33" s="242" t="str">
        <f t="shared" si="9"/>
        <v/>
      </c>
      <c r="AI33" s="335" t="str">
        <f>IF(AH33="Check Data","Check Data",IFERROR(VLOOKUP(AH33,'G-4 Temporal multipliers'!$A$4:$C$36,3,FALSE),""))</f>
        <v/>
      </c>
      <c r="AJ33" s="239" t="str">
        <f>IF(S33="","",VLOOKUP(S33,'G-3 Multipliers'!$A$2:$E$130,4,FALSE))</f>
        <v/>
      </c>
      <c r="AK33" s="175" t="str">
        <f t="shared" si="10"/>
        <v/>
      </c>
      <c r="AL33" s="175" t="str">
        <f t="shared" si="11"/>
        <v/>
      </c>
      <c r="AM33" s="176" t="str">
        <f>IFERROR(IF(F33="","",IF(AH33="Check Data","Check Data",VLOOKUP(AL33, 'G-3 Multipliers'!$P$2:$Q$6,2,FALSE))),””)</f>
        <v/>
      </c>
      <c r="AN33" s="266"/>
      <c r="AO33" s="269" t="str">
        <f>IF(AN33="","",IF(VLOOKUP(AN33,'G-3 Multipliers'!$S$3:$T$9,2,FALSE)=0,"Spatial Data Missing",VLOOKUP(AN33,'G-3 Multipliers'!$S$3:$T$9,2,FALSE)))</f>
        <v/>
      </c>
      <c r="AP33" s="207" t="str">
        <f t="shared" si="12"/>
        <v/>
      </c>
      <c r="AQ33" s="336"/>
      <c r="AR33" s="181"/>
    </row>
    <row r="34" spans="1:44" x14ac:dyDescent="0.25">
      <c r="A34" s="35" t="str">
        <f>IF(E34="","",IF(ISNA(VLOOKUP($E34,'D-1 Off Site Habitat Baseline'!$D$1:$O$258,2,FALSE)),"",(VLOOKUP($E34,'D-1 Off Site Habitat Baseline'!$D$1:$O$258,2,FALSE))))</f>
        <v/>
      </c>
      <c r="B34" s="35" t="str">
        <f>IF(E34="","",IF(ISNA(VLOOKUP($E34,'D-1 Off Site Habitat Baseline'!$D$1:$O$258,3,FALSE)),"",(VLOOKUP($E34,'D-1 Off Site Habitat Baseline'!$D$1:$O$258,3,FALSE))))</f>
        <v/>
      </c>
      <c r="C34" s="35" t="str">
        <f>IFERROR(INDEX('G-8 Condition Look up'!$I$4:$I$131,MATCH(S34,'G-8 Condition Look up'!$A$4:$A$131,0)),"")</f>
        <v/>
      </c>
      <c r="E34" s="329" t="str">
        <f>'D-1 Off Site Habitat Baseline'!AL33</f>
        <v/>
      </c>
      <c r="F34" s="175" t="str">
        <f>IF(E34="","",IF(ISNA(VLOOKUP($E34,'D-1 Off Site Habitat Baseline'!$D$1:$O$258,4,FALSE)),"",(VLOOKUP($E34,'D-1 Off Site Habitat Baseline'!$D$1:$O$258,4,FALSE))))</f>
        <v/>
      </c>
      <c r="G34" s="175" t="str">
        <f>IF(E34="","",IF(ISNA(VLOOKUP($E34,'D-1 Off Site Habitat Baseline'!$D$1:$O$258,5,FALSE)),"",(VLOOKUP($E34,'D-1 Off Site Habitat Baseline'!$D$1:$O$258,5,FALSE))))</f>
        <v/>
      </c>
      <c r="H34" s="175" t="str">
        <f>IF(E34="","",IF(ISNA(VLOOKUP($E34,'D-1 Off Site Habitat Baseline'!$D$1:$O$258,6,FALSE)),"",(VLOOKUP($E34,'D-1 Off Site Habitat Baseline'!$D$1:$O$258,6,FALSE))))</f>
        <v/>
      </c>
      <c r="I34" s="175" t="str">
        <f>IF(E34="","",IF(ISNA(VLOOKUP($E34,'D-1 Off Site Habitat Baseline'!$D$1:$O$258,7,FALSE)),"",(VLOOKUP($E34,'D-1 Off Site Habitat Baseline'!$D$1:$O$258,7,FALSE))))</f>
        <v/>
      </c>
      <c r="J34" s="175" t="str">
        <f>IF(E34="","",IF(ISNA(VLOOKUP($E34,'D-1 Off Site Habitat Baseline'!$D$1:$O$258,8,FALSE)),"",(VLOOKUP($E34,'D-1 Off Site Habitat Baseline'!$D$1:$O$258,8,FALSE))))</f>
        <v/>
      </c>
      <c r="K34" s="175" t="str">
        <f>IF(E34="","",IF(ISNA(VLOOKUP($E34,'D-1 Off Site Habitat Baseline'!$D$1:$O$258,9,FALSE)),"",(VLOOKUP($E34,'D-1 Off Site Habitat Baseline'!$D$1:$O$258,9,FALSE))))</f>
        <v/>
      </c>
      <c r="L34" s="175" t="str">
        <f>IF(E34="","",IF(ISNA(VLOOKUP($E34,'D-1 Off Site Habitat Baseline'!$D$1:$O$258,11,FALSE)),"",(VLOOKUP($E34,'D-1 Off Site Habitat Baseline'!$D$1:$O$258,11,FALSE))))</f>
        <v/>
      </c>
      <c r="M34" s="175" t="str">
        <f>IF(E34="","",IF(ISNA(VLOOKUP($E34,'D-1 Off Site Habitat Baseline'!$D$1:$O$258,12,FALSE)),"",(VLOOKUP($E34,'D-1 Off Site Habitat Baseline'!$D$1:$O$258,12,FALSE))))</f>
        <v/>
      </c>
      <c r="N34" s="175" t="str">
        <f>IF(E34="","",IF(ISNA(VLOOKUP($E34,'D-1 Off Site Habitat Baseline'!$D$1:$X$258,14,FALSE)),"",(VLOOKUP($E34,'D-1 Off Site Habitat Baseline'!$D$1:$X$258,14,FALSE))))</f>
        <v/>
      </c>
      <c r="O34" s="176" t="str">
        <f>IF(E34="","",IF(ISNA(VLOOKUP($E34,'D-1 Off Site Habitat Baseline'!$D$1:$X$258,13,FALSE)),"",(VLOOKUP($E34,'D-1 Off Site Habitat Baseline'!$D$1:$X$258,13,FALSE))))</f>
        <v/>
      </c>
      <c r="P34" s="337" t="str">
        <f>IFERROR(INDEX('G-1 All Habitats'!$AG$3:$AG$15,MATCH(Q34,'G-1 All Habitats'!$AF$3:$AF$15,0)),"")</f>
        <v/>
      </c>
      <c r="Q34" s="331" t="str">
        <f t="shared" si="13"/>
        <v/>
      </c>
      <c r="R34" s="332" t="str">
        <f t="shared" si="14"/>
        <v/>
      </c>
      <c r="S34" s="338" t="str">
        <f>IFERROR(INDEX('G-1 All Habitats'!$B$3:$B$130,MATCH(R34,'G-1 All Habitats'!$A$3:$A$130,0)),"")</f>
        <v/>
      </c>
      <c r="T34" s="179" t="str">
        <f t="shared" si="6"/>
        <v/>
      </c>
      <c r="U34" s="172" t="str">
        <f t="shared" si="7"/>
        <v/>
      </c>
      <c r="V34" s="334" t="str">
        <f t="shared" si="2"/>
        <v/>
      </c>
      <c r="W34" s="175" t="str">
        <f>IF(S34="","",VLOOKUP(S34,'G-1 All Habitats'!$B$2:$M$130,10,FALSE))</f>
        <v/>
      </c>
      <c r="X34" s="175" t="str">
        <f>IFERROR(VLOOKUP(W34,'G-1 All Habitats'!$V$3:$W$7,2,FALSE),"")</f>
        <v/>
      </c>
      <c r="Y34" s="275"/>
      <c r="Z34" s="176" t="str">
        <f>IFERROR(INDEX('G-8 Condition Look up'!$A$3:$H$131,MATCH(S34,'G-8 Condition Look up'!$A$3:$A$131,0),MATCH(Y34,'G-8 Condition Look up'!$A$3:$H$3,0)),"")</f>
        <v/>
      </c>
      <c r="AA34" s="173"/>
      <c r="AB34" s="269" t="str">
        <f>IF(AA34="","",IF(VLOOKUP(AA34,'G-3 Multipliers'!$L$3:$N$6,2,FALSE)=0,"Spatial Data Missing",VLOOKUP(AA34,'G-3 Multipliers'!$L$3:$N$6,2,FALSE)))</f>
        <v/>
      </c>
      <c r="AC34" s="176" t="str">
        <f>IF(AA34="","",IF(VLOOKUP(AA34,'G-3 Multipliers'!$L$3:$N$6,3,FALSE)=0,"Spatial Data Missing",VLOOKUP(AA34,'G-3 Multipliers'!$L$3:$N$6,3,FALSE)))</f>
        <v/>
      </c>
      <c r="AD34" s="239" t="str">
        <f t="shared" si="3"/>
        <v/>
      </c>
      <c r="AE34" s="275"/>
      <c r="AF34" s="275"/>
      <c r="AG34" s="175" t="str">
        <f t="shared" si="8"/>
        <v/>
      </c>
      <c r="AH34" s="242" t="str">
        <f t="shared" si="9"/>
        <v/>
      </c>
      <c r="AI34" s="335" t="str">
        <f>IF(AH34="Check Data","Check Data",IFERROR(VLOOKUP(AH34,'G-4 Temporal multipliers'!$A$4:$C$36,3,FALSE),""))</f>
        <v/>
      </c>
      <c r="AJ34" s="239" t="str">
        <f>IF(S34="","",VLOOKUP(S34,'G-3 Multipliers'!$A$2:$E$130,4,FALSE))</f>
        <v/>
      </c>
      <c r="AK34" s="175" t="str">
        <f t="shared" si="10"/>
        <v/>
      </c>
      <c r="AL34" s="175" t="str">
        <f t="shared" si="11"/>
        <v/>
      </c>
      <c r="AM34" s="176" t="str">
        <f>IFERROR(IF(F34="","",IF(AH34="Check Data","Check Data",VLOOKUP(AL34, 'G-3 Multipliers'!$P$2:$Q$6,2,FALSE))),””)</f>
        <v/>
      </c>
      <c r="AN34" s="266"/>
      <c r="AO34" s="269" t="str">
        <f>IF(AN34="","",IF(VLOOKUP(AN34,'G-3 Multipliers'!$S$3:$T$9,2,FALSE)=0,"Spatial Data Missing",VLOOKUP(AN34,'G-3 Multipliers'!$S$3:$T$9,2,FALSE)))</f>
        <v/>
      </c>
      <c r="AP34" s="207" t="str">
        <f t="shared" si="12"/>
        <v/>
      </c>
      <c r="AQ34" s="336"/>
      <c r="AR34" s="181"/>
    </row>
    <row r="35" spans="1:44" x14ac:dyDescent="0.25">
      <c r="A35" s="35" t="str">
        <f>IF(E35="","",IF(ISNA(VLOOKUP($E35,'D-1 Off Site Habitat Baseline'!$D$1:$O$258,2,FALSE)),"",(VLOOKUP($E35,'D-1 Off Site Habitat Baseline'!$D$1:$O$258,2,FALSE))))</f>
        <v/>
      </c>
      <c r="B35" s="35" t="str">
        <f>IF(E35="","",IF(ISNA(VLOOKUP($E35,'D-1 Off Site Habitat Baseline'!$D$1:$O$258,3,FALSE)),"",(VLOOKUP($E35,'D-1 Off Site Habitat Baseline'!$D$1:$O$258,3,FALSE))))</f>
        <v/>
      </c>
      <c r="C35" s="35" t="str">
        <f>IFERROR(INDEX('G-8 Condition Look up'!$I$4:$I$131,MATCH(S35,'G-8 Condition Look up'!$A$4:$A$131,0)),"")</f>
        <v/>
      </c>
      <c r="E35" s="329" t="str">
        <f>'D-1 Off Site Habitat Baseline'!AL34</f>
        <v/>
      </c>
      <c r="F35" s="175" t="str">
        <f>IF(E35="","",IF(ISNA(VLOOKUP($E35,'D-1 Off Site Habitat Baseline'!$D$1:$O$258,4,FALSE)),"",(VLOOKUP($E35,'D-1 Off Site Habitat Baseline'!$D$1:$O$258,4,FALSE))))</f>
        <v/>
      </c>
      <c r="G35" s="175" t="str">
        <f>IF(E35="","",IF(ISNA(VLOOKUP($E35,'D-1 Off Site Habitat Baseline'!$D$1:$O$258,5,FALSE)),"",(VLOOKUP($E35,'D-1 Off Site Habitat Baseline'!$D$1:$O$258,5,FALSE))))</f>
        <v/>
      </c>
      <c r="H35" s="175" t="str">
        <f>IF(E35="","",IF(ISNA(VLOOKUP($E35,'D-1 Off Site Habitat Baseline'!$D$1:$O$258,6,FALSE)),"",(VLOOKUP($E35,'D-1 Off Site Habitat Baseline'!$D$1:$O$258,6,FALSE))))</f>
        <v/>
      </c>
      <c r="I35" s="175" t="str">
        <f>IF(E35="","",IF(ISNA(VLOOKUP($E35,'D-1 Off Site Habitat Baseline'!$D$1:$O$258,7,FALSE)),"",(VLOOKUP($E35,'D-1 Off Site Habitat Baseline'!$D$1:$O$258,7,FALSE))))</f>
        <v/>
      </c>
      <c r="J35" s="175" t="str">
        <f>IF(E35="","",IF(ISNA(VLOOKUP($E35,'D-1 Off Site Habitat Baseline'!$D$1:$O$258,8,FALSE)),"",(VLOOKUP($E35,'D-1 Off Site Habitat Baseline'!$D$1:$O$258,8,FALSE))))</f>
        <v/>
      </c>
      <c r="K35" s="175" t="str">
        <f>IF(E35="","",IF(ISNA(VLOOKUP($E35,'D-1 Off Site Habitat Baseline'!$D$1:$O$258,9,FALSE)),"",(VLOOKUP($E35,'D-1 Off Site Habitat Baseline'!$D$1:$O$258,9,FALSE))))</f>
        <v/>
      </c>
      <c r="L35" s="175" t="str">
        <f>IF(E35="","",IF(ISNA(VLOOKUP($E35,'D-1 Off Site Habitat Baseline'!$D$1:$O$258,11,FALSE)),"",(VLOOKUP($E35,'D-1 Off Site Habitat Baseline'!$D$1:$O$258,11,FALSE))))</f>
        <v/>
      </c>
      <c r="M35" s="175" t="str">
        <f>IF(E35="","",IF(ISNA(VLOOKUP($E35,'D-1 Off Site Habitat Baseline'!$D$1:$O$258,12,FALSE)),"",(VLOOKUP($E35,'D-1 Off Site Habitat Baseline'!$D$1:$O$258,12,FALSE))))</f>
        <v/>
      </c>
      <c r="N35" s="175" t="str">
        <f>IF(E35="","",IF(ISNA(VLOOKUP($E35,'D-1 Off Site Habitat Baseline'!$D$1:$X$258,14,FALSE)),"",(VLOOKUP($E35,'D-1 Off Site Habitat Baseline'!$D$1:$X$258,14,FALSE))))</f>
        <v/>
      </c>
      <c r="O35" s="176" t="str">
        <f>IF(E35="","",IF(ISNA(VLOOKUP($E35,'D-1 Off Site Habitat Baseline'!$D$1:$X$258,13,FALSE)),"",(VLOOKUP($E35,'D-1 Off Site Habitat Baseline'!$D$1:$X$258,13,FALSE))))</f>
        <v/>
      </c>
      <c r="P35" s="337" t="str">
        <f>IFERROR(INDEX('G-1 All Habitats'!$AG$3:$AG$15,MATCH(Q35,'G-1 All Habitats'!$AF$3:$AF$15,0)),"")</f>
        <v/>
      </c>
      <c r="Q35" s="331" t="str">
        <f t="shared" si="13"/>
        <v/>
      </c>
      <c r="R35" s="332" t="str">
        <f t="shared" si="14"/>
        <v/>
      </c>
      <c r="S35" s="338" t="str">
        <f>IFERROR(INDEX('G-1 All Habitats'!$B$3:$B$130,MATCH(R35,'G-1 All Habitats'!$A$3:$A$130,0)),"")</f>
        <v/>
      </c>
      <c r="T35" s="179" t="str">
        <f t="shared" si="6"/>
        <v/>
      </c>
      <c r="U35" s="172" t="str">
        <f t="shared" si="7"/>
        <v/>
      </c>
      <c r="V35" s="334" t="str">
        <f t="shared" si="2"/>
        <v/>
      </c>
      <c r="W35" s="175" t="str">
        <f>IF(S35="","",VLOOKUP(S35,'G-1 All Habitats'!$B$2:$M$130,10,FALSE))</f>
        <v/>
      </c>
      <c r="X35" s="175" t="str">
        <f>IFERROR(VLOOKUP(W35,'G-1 All Habitats'!$V$3:$W$7,2,FALSE),"")</f>
        <v/>
      </c>
      <c r="Y35" s="275"/>
      <c r="Z35" s="176" t="str">
        <f>IFERROR(INDEX('G-8 Condition Look up'!$A$3:$H$131,MATCH(S35,'G-8 Condition Look up'!$A$3:$A$131,0),MATCH(Y35,'G-8 Condition Look up'!$A$3:$H$3,0)),"")</f>
        <v/>
      </c>
      <c r="AA35" s="173"/>
      <c r="AB35" s="269" t="str">
        <f>IF(AA35="","",IF(VLOOKUP(AA35,'G-3 Multipliers'!$L$3:$N$6,2,FALSE)=0,"Spatial Data Missing",VLOOKUP(AA35,'G-3 Multipliers'!$L$3:$N$6,2,FALSE)))</f>
        <v/>
      </c>
      <c r="AC35" s="176" t="str">
        <f>IF(AA35="","",IF(VLOOKUP(AA35,'G-3 Multipliers'!$L$3:$N$6,3,FALSE)=0,"Spatial Data Missing",VLOOKUP(AA35,'G-3 Multipliers'!$L$3:$N$6,3,FALSE)))</f>
        <v/>
      </c>
      <c r="AD35" s="239" t="str">
        <f t="shared" si="3"/>
        <v/>
      </c>
      <c r="AE35" s="275"/>
      <c r="AF35" s="275"/>
      <c r="AG35" s="175" t="str">
        <f t="shared" si="8"/>
        <v/>
      </c>
      <c r="AH35" s="242" t="str">
        <f t="shared" si="9"/>
        <v/>
      </c>
      <c r="AI35" s="335" t="str">
        <f>IF(AH35="Check Data","Check Data",IFERROR(VLOOKUP(AH35,'G-4 Temporal multipliers'!$A$4:$C$36,3,FALSE),""))</f>
        <v/>
      </c>
      <c r="AJ35" s="239" t="str">
        <f>IF(S35="","",VLOOKUP(S35,'G-3 Multipliers'!$A$2:$E$130,4,FALSE))</f>
        <v/>
      </c>
      <c r="AK35" s="175" t="str">
        <f t="shared" si="10"/>
        <v/>
      </c>
      <c r="AL35" s="175" t="str">
        <f t="shared" si="11"/>
        <v/>
      </c>
      <c r="AM35" s="176" t="str">
        <f>IFERROR(IF(F35="","",IF(AH35="Check Data","Check Data",VLOOKUP(AL35, 'G-3 Multipliers'!$P$2:$Q$6,2,FALSE))),””)</f>
        <v/>
      </c>
      <c r="AN35" s="266"/>
      <c r="AO35" s="269" t="str">
        <f>IF(AN35="","",IF(VLOOKUP(AN35,'G-3 Multipliers'!$S$3:$T$9,2,FALSE)=0,"Spatial Data Missing",VLOOKUP(AN35,'G-3 Multipliers'!$S$3:$T$9,2,FALSE)))</f>
        <v/>
      </c>
      <c r="AP35" s="207" t="str">
        <f t="shared" si="12"/>
        <v/>
      </c>
      <c r="AQ35" s="336"/>
      <c r="AR35" s="181"/>
    </row>
    <row r="36" spans="1:44" x14ac:dyDescent="0.25">
      <c r="A36" s="35" t="str">
        <f>IF(E36="","",IF(ISNA(VLOOKUP($E36,'D-1 Off Site Habitat Baseline'!$D$1:$O$258,2,FALSE)),"",(VLOOKUP($E36,'D-1 Off Site Habitat Baseline'!$D$1:$O$258,2,FALSE))))</f>
        <v/>
      </c>
      <c r="B36" s="35" t="str">
        <f>IF(E36="","",IF(ISNA(VLOOKUP($E36,'D-1 Off Site Habitat Baseline'!$D$1:$O$258,3,FALSE)),"",(VLOOKUP($E36,'D-1 Off Site Habitat Baseline'!$D$1:$O$258,3,FALSE))))</f>
        <v/>
      </c>
      <c r="C36" s="35" t="str">
        <f>IFERROR(INDEX('G-8 Condition Look up'!$I$4:$I$131,MATCH(S36,'G-8 Condition Look up'!$A$4:$A$131,0)),"")</f>
        <v/>
      </c>
      <c r="E36" s="329" t="str">
        <f>'D-1 Off Site Habitat Baseline'!AL35</f>
        <v/>
      </c>
      <c r="F36" s="175" t="str">
        <f>IF(E36="","",IF(ISNA(VLOOKUP($E36,'D-1 Off Site Habitat Baseline'!$D$1:$O$258,4,FALSE)),"",(VLOOKUP($E36,'D-1 Off Site Habitat Baseline'!$D$1:$O$258,4,FALSE))))</f>
        <v/>
      </c>
      <c r="G36" s="175" t="str">
        <f>IF(E36="","",IF(ISNA(VLOOKUP($E36,'D-1 Off Site Habitat Baseline'!$D$1:$O$258,5,FALSE)),"",(VLOOKUP($E36,'D-1 Off Site Habitat Baseline'!$D$1:$O$258,5,FALSE))))</f>
        <v/>
      </c>
      <c r="H36" s="175" t="str">
        <f>IF(E36="","",IF(ISNA(VLOOKUP($E36,'D-1 Off Site Habitat Baseline'!$D$1:$O$258,6,FALSE)),"",(VLOOKUP($E36,'D-1 Off Site Habitat Baseline'!$D$1:$O$258,6,FALSE))))</f>
        <v/>
      </c>
      <c r="I36" s="175" t="str">
        <f>IF(E36="","",IF(ISNA(VLOOKUP($E36,'D-1 Off Site Habitat Baseline'!$D$1:$O$258,7,FALSE)),"",(VLOOKUP($E36,'D-1 Off Site Habitat Baseline'!$D$1:$O$258,7,FALSE))))</f>
        <v/>
      </c>
      <c r="J36" s="175" t="str">
        <f>IF(E36="","",IF(ISNA(VLOOKUP($E36,'D-1 Off Site Habitat Baseline'!$D$1:$O$258,8,FALSE)),"",(VLOOKUP($E36,'D-1 Off Site Habitat Baseline'!$D$1:$O$258,8,FALSE))))</f>
        <v/>
      </c>
      <c r="K36" s="175" t="str">
        <f>IF(E36="","",IF(ISNA(VLOOKUP($E36,'D-1 Off Site Habitat Baseline'!$D$1:$O$258,9,FALSE)),"",(VLOOKUP($E36,'D-1 Off Site Habitat Baseline'!$D$1:$O$258,9,FALSE))))</f>
        <v/>
      </c>
      <c r="L36" s="175" t="str">
        <f>IF(E36="","",IF(ISNA(VLOOKUP($E36,'D-1 Off Site Habitat Baseline'!$D$1:$O$258,11,FALSE)),"",(VLOOKUP($E36,'D-1 Off Site Habitat Baseline'!$D$1:$O$258,11,FALSE))))</f>
        <v/>
      </c>
      <c r="M36" s="175" t="str">
        <f>IF(E36="","",IF(ISNA(VLOOKUP($E36,'D-1 Off Site Habitat Baseline'!$D$1:$O$258,12,FALSE)),"",(VLOOKUP($E36,'D-1 Off Site Habitat Baseline'!$D$1:$O$258,12,FALSE))))</f>
        <v/>
      </c>
      <c r="N36" s="175" t="str">
        <f>IF(E36="","",IF(ISNA(VLOOKUP($E36,'D-1 Off Site Habitat Baseline'!$D$1:$X$258,14,FALSE)),"",(VLOOKUP($E36,'D-1 Off Site Habitat Baseline'!$D$1:$X$258,14,FALSE))))</f>
        <v/>
      </c>
      <c r="O36" s="176" t="str">
        <f>IF(E36="","",IF(ISNA(VLOOKUP($E36,'D-1 Off Site Habitat Baseline'!$D$1:$X$258,13,FALSE)),"",(VLOOKUP($E36,'D-1 Off Site Habitat Baseline'!$D$1:$X$258,13,FALSE))))</f>
        <v/>
      </c>
      <c r="P36" s="337" t="str">
        <f>IFERROR(INDEX('G-1 All Habitats'!$AG$3:$AG$15,MATCH(Q36,'G-1 All Habitats'!$AF$3:$AF$15,0)),"")</f>
        <v/>
      </c>
      <c r="Q36" s="331" t="str">
        <f t="shared" si="13"/>
        <v/>
      </c>
      <c r="R36" s="332" t="str">
        <f t="shared" si="14"/>
        <v/>
      </c>
      <c r="S36" s="338" t="str">
        <f>IFERROR(INDEX('G-1 All Habitats'!$B$3:$B$130,MATCH(R36,'G-1 All Habitats'!$A$3:$A$130,0)),"")</f>
        <v/>
      </c>
      <c r="T36" s="179" t="str">
        <f t="shared" si="6"/>
        <v/>
      </c>
      <c r="U36" s="172" t="str">
        <f t="shared" si="7"/>
        <v/>
      </c>
      <c r="V36" s="334" t="str">
        <f t="shared" si="2"/>
        <v/>
      </c>
      <c r="W36" s="175" t="str">
        <f>IF(S36="","",VLOOKUP(S36,'G-1 All Habitats'!$B$2:$M$130,10,FALSE))</f>
        <v/>
      </c>
      <c r="X36" s="175" t="str">
        <f>IFERROR(VLOOKUP(W36,'G-1 All Habitats'!$V$3:$W$7,2,FALSE),"")</f>
        <v/>
      </c>
      <c r="Y36" s="275"/>
      <c r="Z36" s="176" t="str">
        <f>IFERROR(INDEX('G-8 Condition Look up'!$A$3:$H$131,MATCH(S36,'G-8 Condition Look up'!$A$3:$A$131,0),MATCH(Y36,'G-8 Condition Look up'!$A$3:$H$3,0)),"")</f>
        <v/>
      </c>
      <c r="AA36" s="173"/>
      <c r="AB36" s="269" t="str">
        <f>IF(AA36="","",IF(VLOOKUP(AA36,'G-3 Multipliers'!$L$3:$N$6,2,FALSE)=0,"Spatial Data Missing",VLOOKUP(AA36,'G-3 Multipliers'!$L$3:$N$6,2,FALSE)))</f>
        <v/>
      </c>
      <c r="AC36" s="176" t="str">
        <f>IF(AA36="","",IF(VLOOKUP(AA36,'G-3 Multipliers'!$L$3:$N$6,3,FALSE)=0,"Spatial Data Missing",VLOOKUP(AA36,'G-3 Multipliers'!$L$3:$N$6,3,FALSE)))</f>
        <v/>
      </c>
      <c r="AD36" s="239" t="str">
        <f t="shared" si="3"/>
        <v/>
      </c>
      <c r="AE36" s="275"/>
      <c r="AF36" s="275"/>
      <c r="AG36" s="175" t="str">
        <f t="shared" si="8"/>
        <v/>
      </c>
      <c r="AH36" s="242" t="str">
        <f t="shared" si="9"/>
        <v/>
      </c>
      <c r="AI36" s="335" t="str">
        <f>IF(AH36="Check Data","Check Data",IFERROR(VLOOKUP(AH36,'G-4 Temporal multipliers'!$A$4:$C$36,3,FALSE),""))</f>
        <v/>
      </c>
      <c r="AJ36" s="239" t="str">
        <f>IF(S36="","",VLOOKUP(S36,'G-3 Multipliers'!$A$2:$E$130,4,FALSE))</f>
        <v/>
      </c>
      <c r="AK36" s="175" t="str">
        <f t="shared" si="10"/>
        <v/>
      </c>
      <c r="AL36" s="175" t="str">
        <f t="shared" si="11"/>
        <v/>
      </c>
      <c r="AM36" s="176" t="str">
        <f>IFERROR(IF(F36="","",IF(AH36="Check Data","Check Data",VLOOKUP(AL36, 'G-3 Multipliers'!$P$2:$Q$6,2,FALSE))),””)</f>
        <v/>
      </c>
      <c r="AN36" s="266"/>
      <c r="AO36" s="269" t="str">
        <f>IF(AN36="","",IF(VLOOKUP(AN36,'G-3 Multipliers'!$S$3:$T$9,2,FALSE)=0,"Spatial Data Missing",VLOOKUP(AN36,'G-3 Multipliers'!$S$3:$T$9,2,FALSE)))</f>
        <v/>
      </c>
      <c r="AP36" s="207" t="str">
        <f t="shared" si="12"/>
        <v/>
      </c>
      <c r="AQ36" s="336"/>
      <c r="AR36" s="181"/>
    </row>
    <row r="37" spans="1:44" x14ac:dyDescent="0.25">
      <c r="A37" s="35" t="str">
        <f>IF(E37="","",IF(ISNA(VLOOKUP($E37,'D-1 Off Site Habitat Baseline'!$D$1:$O$258,2,FALSE)),"",(VLOOKUP($E37,'D-1 Off Site Habitat Baseline'!$D$1:$O$258,2,FALSE))))</f>
        <v/>
      </c>
      <c r="B37" s="35" t="str">
        <f>IF(E37="","",IF(ISNA(VLOOKUP($E37,'D-1 Off Site Habitat Baseline'!$D$1:$O$258,3,FALSE)),"",(VLOOKUP($E37,'D-1 Off Site Habitat Baseline'!$D$1:$O$258,3,FALSE))))</f>
        <v/>
      </c>
      <c r="C37" s="35" t="str">
        <f>IFERROR(INDEX('G-8 Condition Look up'!$I$4:$I$131,MATCH(S37,'G-8 Condition Look up'!$A$4:$A$131,0)),"")</f>
        <v/>
      </c>
      <c r="E37" s="329" t="str">
        <f>'D-1 Off Site Habitat Baseline'!AL36</f>
        <v/>
      </c>
      <c r="F37" s="175" t="str">
        <f>IF(E37="","",IF(ISNA(VLOOKUP($E37,'D-1 Off Site Habitat Baseline'!$D$1:$O$258,4,FALSE)),"",(VLOOKUP($E37,'D-1 Off Site Habitat Baseline'!$D$1:$O$258,4,FALSE))))</f>
        <v/>
      </c>
      <c r="G37" s="175" t="str">
        <f>IF(E37="","",IF(ISNA(VLOOKUP($E37,'D-1 Off Site Habitat Baseline'!$D$1:$O$258,5,FALSE)),"",(VLOOKUP($E37,'D-1 Off Site Habitat Baseline'!$D$1:$O$258,5,FALSE))))</f>
        <v/>
      </c>
      <c r="H37" s="175" t="str">
        <f>IF(E37="","",IF(ISNA(VLOOKUP($E37,'D-1 Off Site Habitat Baseline'!$D$1:$O$258,6,FALSE)),"",(VLOOKUP($E37,'D-1 Off Site Habitat Baseline'!$D$1:$O$258,6,FALSE))))</f>
        <v/>
      </c>
      <c r="I37" s="175" t="str">
        <f>IF(E37="","",IF(ISNA(VLOOKUP($E37,'D-1 Off Site Habitat Baseline'!$D$1:$O$258,7,FALSE)),"",(VLOOKUP($E37,'D-1 Off Site Habitat Baseline'!$D$1:$O$258,7,FALSE))))</f>
        <v/>
      </c>
      <c r="J37" s="175" t="str">
        <f>IF(E37="","",IF(ISNA(VLOOKUP($E37,'D-1 Off Site Habitat Baseline'!$D$1:$O$258,8,FALSE)),"",(VLOOKUP($E37,'D-1 Off Site Habitat Baseline'!$D$1:$O$258,8,FALSE))))</f>
        <v/>
      </c>
      <c r="K37" s="175" t="str">
        <f>IF(E37="","",IF(ISNA(VLOOKUP($E37,'D-1 Off Site Habitat Baseline'!$D$1:$O$258,9,FALSE)),"",(VLOOKUP($E37,'D-1 Off Site Habitat Baseline'!$D$1:$O$258,9,FALSE))))</f>
        <v/>
      </c>
      <c r="L37" s="175" t="str">
        <f>IF(E37="","",IF(ISNA(VLOOKUP($E37,'D-1 Off Site Habitat Baseline'!$D$1:$O$258,11,FALSE)),"",(VLOOKUP($E37,'D-1 Off Site Habitat Baseline'!$D$1:$O$258,11,FALSE))))</f>
        <v/>
      </c>
      <c r="M37" s="175" t="str">
        <f>IF(E37="","",IF(ISNA(VLOOKUP($E37,'D-1 Off Site Habitat Baseline'!$D$1:$O$258,12,FALSE)),"",(VLOOKUP($E37,'D-1 Off Site Habitat Baseline'!$D$1:$O$258,12,FALSE))))</f>
        <v/>
      </c>
      <c r="N37" s="175" t="str">
        <f>IF(E37="","",IF(ISNA(VLOOKUP($E37,'D-1 Off Site Habitat Baseline'!$D$1:$X$258,14,FALSE)),"",(VLOOKUP($E37,'D-1 Off Site Habitat Baseline'!$D$1:$X$258,14,FALSE))))</f>
        <v/>
      </c>
      <c r="O37" s="176" t="str">
        <f>IF(E37="","",IF(ISNA(VLOOKUP($E37,'D-1 Off Site Habitat Baseline'!$D$1:$X$258,13,FALSE)),"",(VLOOKUP($E37,'D-1 Off Site Habitat Baseline'!$D$1:$X$258,13,FALSE))))</f>
        <v/>
      </c>
      <c r="P37" s="337" t="str">
        <f>IFERROR(INDEX('G-1 All Habitats'!$AG$3:$AG$15,MATCH(Q37,'G-1 All Habitats'!$AF$3:$AF$15,0)),"")</f>
        <v/>
      </c>
      <c r="Q37" s="331" t="str">
        <f t="shared" si="13"/>
        <v/>
      </c>
      <c r="R37" s="332" t="str">
        <f t="shared" si="14"/>
        <v/>
      </c>
      <c r="S37" s="338" t="str">
        <f>IFERROR(INDEX('G-1 All Habitats'!$B$3:$B$130,MATCH(R37,'G-1 All Habitats'!$A$3:$A$130,0)),"")</f>
        <v/>
      </c>
      <c r="T37" s="179" t="str">
        <f t="shared" si="6"/>
        <v/>
      </c>
      <c r="U37" s="172" t="str">
        <f t="shared" si="7"/>
        <v/>
      </c>
      <c r="V37" s="334" t="str">
        <f t="shared" si="2"/>
        <v/>
      </c>
      <c r="W37" s="175" t="str">
        <f>IF(S37="","",VLOOKUP(S37,'G-1 All Habitats'!$B$2:$M$130,10,FALSE))</f>
        <v/>
      </c>
      <c r="X37" s="175" t="str">
        <f>IFERROR(VLOOKUP(W37,'G-1 All Habitats'!$V$3:$W$7,2,FALSE),"")</f>
        <v/>
      </c>
      <c r="Y37" s="275"/>
      <c r="Z37" s="176" t="str">
        <f>IFERROR(INDEX('G-8 Condition Look up'!$A$3:$H$131,MATCH(S37,'G-8 Condition Look up'!$A$3:$A$131,0),MATCH(Y37,'G-8 Condition Look up'!$A$3:$H$3,0)),"")</f>
        <v/>
      </c>
      <c r="AA37" s="173"/>
      <c r="AB37" s="269" t="str">
        <f>IF(AA37="","",IF(VLOOKUP(AA37,'G-3 Multipliers'!$L$3:$N$6,2,FALSE)=0,"Spatial Data Missing",VLOOKUP(AA37,'G-3 Multipliers'!$L$3:$N$6,2,FALSE)))</f>
        <v/>
      </c>
      <c r="AC37" s="176" t="str">
        <f>IF(AA37="","",IF(VLOOKUP(AA37,'G-3 Multipliers'!$L$3:$N$6,3,FALSE)=0,"Spatial Data Missing",VLOOKUP(AA37,'G-3 Multipliers'!$L$3:$N$6,3,FALSE)))</f>
        <v/>
      </c>
      <c r="AD37" s="239" t="str">
        <f t="shared" si="3"/>
        <v/>
      </c>
      <c r="AE37" s="275"/>
      <c r="AF37" s="275"/>
      <c r="AG37" s="175" t="str">
        <f t="shared" si="8"/>
        <v/>
      </c>
      <c r="AH37" s="242" t="str">
        <f t="shared" si="9"/>
        <v/>
      </c>
      <c r="AI37" s="335" t="str">
        <f>IF(AH37="Check Data","Check Data",IFERROR(VLOOKUP(AH37,'G-4 Temporal multipliers'!$A$4:$C$36,3,FALSE),""))</f>
        <v/>
      </c>
      <c r="AJ37" s="239" t="str">
        <f>IF(S37="","",VLOOKUP(S37,'G-3 Multipliers'!$A$2:$E$130,4,FALSE))</f>
        <v/>
      </c>
      <c r="AK37" s="175" t="str">
        <f t="shared" si="10"/>
        <v/>
      </c>
      <c r="AL37" s="175" t="str">
        <f t="shared" si="11"/>
        <v/>
      </c>
      <c r="AM37" s="176" t="str">
        <f>IFERROR(IF(F37="","",IF(AH37="Check Data","Check Data",VLOOKUP(AL37, 'G-3 Multipliers'!$P$2:$Q$6,2,FALSE))),””)</f>
        <v/>
      </c>
      <c r="AN37" s="266"/>
      <c r="AO37" s="269" t="str">
        <f>IF(AN37="","",IF(VLOOKUP(AN37,'G-3 Multipliers'!$S$3:$T$9,2,FALSE)=0,"Spatial Data Missing",VLOOKUP(AN37,'G-3 Multipliers'!$S$3:$T$9,2,FALSE)))</f>
        <v/>
      </c>
      <c r="AP37" s="207" t="str">
        <f t="shared" si="12"/>
        <v/>
      </c>
      <c r="AQ37" s="336"/>
      <c r="AR37" s="181"/>
    </row>
    <row r="38" spans="1:44" x14ac:dyDescent="0.25">
      <c r="A38" s="35" t="str">
        <f>IF(E38="","",IF(ISNA(VLOOKUP($E38,'D-1 Off Site Habitat Baseline'!$D$1:$O$258,2,FALSE)),"",(VLOOKUP($E38,'D-1 Off Site Habitat Baseline'!$D$1:$O$258,2,FALSE))))</f>
        <v/>
      </c>
      <c r="B38" s="35" t="str">
        <f>IF(E38="","",IF(ISNA(VLOOKUP($E38,'D-1 Off Site Habitat Baseline'!$D$1:$O$258,3,FALSE)),"",(VLOOKUP($E38,'D-1 Off Site Habitat Baseline'!$D$1:$O$258,3,FALSE))))</f>
        <v/>
      </c>
      <c r="C38" s="35" t="str">
        <f>IFERROR(INDEX('G-8 Condition Look up'!$I$4:$I$131,MATCH(S38,'G-8 Condition Look up'!$A$4:$A$131,0)),"")</f>
        <v/>
      </c>
      <c r="E38" s="329" t="str">
        <f>'D-1 Off Site Habitat Baseline'!AL37</f>
        <v/>
      </c>
      <c r="F38" s="175" t="str">
        <f>IF(E38="","",IF(ISNA(VLOOKUP($E38,'D-1 Off Site Habitat Baseline'!$D$1:$O$258,4,FALSE)),"",(VLOOKUP($E38,'D-1 Off Site Habitat Baseline'!$D$1:$O$258,4,FALSE))))</f>
        <v/>
      </c>
      <c r="G38" s="175" t="str">
        <f>IF(E38="","",IF(ISNA(VLOOKUP($E38,'D-1 Off Site Habitat Baseline'!$D$1:$O$258,5,FALSE)),"",(VLOOKUP($E38,'D-1 Off Site Habitat Baseline'!$D$1:$O$258,5,FALSE))))</f>
        <v/>
      </c>
      <c r="H38" s="175" t="str">
        <f>IF(E38="","",IF(ISNA(VLOOKUP($E38,'D-1 Off Site Habitat Baseline'!$D$1:$O$258,6,FALSE)),"",(VLOOKUP($E38,'D-1 Off Site Habitat Baseline'!$D$1:$O$258,6,FALSE))))</f>
        <v/>
      </c>
      <c r="I38" s="175" t="str">
        <f>IF(E38="","",IF(ISNA(VLOOKUP($E38,'D-1 Off Site Habitat Baseline'!$D$1:$O$258,7,FALSE)),"",(VLOOKUP($E38,'D-1 Off Site Habitat Baseline'!$D$1:$O$258,7,FALSE))))</f>
        <v/>
      </c>
      <c r="J38" s="175" t="str">
        <f>IF(E38="","",IF(ISNA(VLOOKUP($E38,'D-1 Off Site Habitat Baseline'!$D$1:$O$258,8,FALSE)),"",(VLOOKUP($E38,'D-1 Off Site Habitat Baseline'!$D$1:$O$258,8,FALSE))))</f>
        <v/>
      </c>
      <c r="K38" s="175" t="str">
        <f>IF(E38="","",IF(ISNA(VLOOKUP($E38,'D-1 Off Site Habitat Baseline'!$D$1:$O$258,9,FALSE)),"",(VLOOKUP($E38,'D-1 Off Site Habitat Baseline'!$D$1:$O$258,9,FALSE))))</f>
        <v/>
      </c>
      <c r="L38" s="175" t="str">
        <f>IF(E38="","",IF(ISNA(VLOOKUP($E38,'D-1 Off Site Habitat Baseline'!$D$1:$O$258,11,FALSE)),"",(VLOOKUP($E38,'D-1 Off Site Habitat Baseline'!$D$1:$O$258,11,FALSE))))</f>
        <v/>
      </c>
      <c r="M38" s="175" t="str">
        <f>IF(E38="","",IF(ISNA(VLOOKUP($E38,'D-1 Off Site Habitat Baseline'!$D$1:$O$258,12,FALSE)),"",(VLOOKUP($E38,'D-1 Off Site Habitat Baseline'!$D$1:$O$258,12,FALSE))))</f>
        <v/>
      </c>
      <c r="N38" s="175" t="str">
        <f>IF(E38="","",IF(ISNA(VLOOKUP($E38,'D-1 Off Site Habitat Baseline'!$D$1:$X$258,14,FALSE)),"",(VLOOKUP($E38,'D-1 Off Site Habitat Baseline'!$D$1:$X$258,14,FALSE))))</f>
        <v/>
      </c>
      <c r="O38" s="176" t="str">
        <f>IF(E38="","",IF(ISNA(VLOOKUP($E38,'D-1 Off Site Habitat Baseline'!$D$1:$X$258,13,FALSE)),"",(VLOOKUP($E38,'D-1 Off Site Habitat Baseline'!$D$1:$X$258,13,FALSE))))</f>
        <v/>
      </c>
      <c r="P38" s="337" t="str">
        <f>IFERROR(INDEX('G-1 All Habitats'!$AG$3:$AG$15,MATCH(Q38,'G-1 All Habitats'!$AF$3:$AF$15,0)),"")</f>
        <v/>
      </c>
      <c r="Q38" s="331" t="str">
        <f t="shared" si="13"/>
        <v/>
      </c>
      <c r="R38" s="332" t="str">
        <f t="shared" si="14"/>
        <v/>
      </c>
      <c r="S38" s="338" t="str">
        <f>IFERROR(INDEX('G-1 All Habitats'!$B$3:$B$130,MATCH(R38,'G-1 All Habitats'!$A$3:$A$130,0)),"")</f>
        <v/>
      </c>
      <c r="T38" s="179" t="str">
        <f t="shared" si="6"/>
        <v/>
      </c>
      <c r="U38" s="172" t="str">
        <f t="shared" si="7"/>
        <v/>
      </c>
      <c r="V38" s="334" t="str">
        <f t="shared" si="2"/>
        <v/>
      </c>
      <c r="W38" s="175" t="str">
        <f>IF(S38="","",VLOOKUP(S38,'G-1 All Habitats'!$B$2:$M$130,10,FALSE))</f>
        <v/>
      </c>
      <c r="X38" s="175" t="str">
        <f>IFERROR(VLOOKUP(W38,'G-1 All Habitats'!$V$3:$W$7,2,FALSE),"")</f>
        <v/>
      </c>
      <c r="Y38" s="275"/>
      <c r="Z38" s="176" t="str">
        <f>IFERROR(INDEX('G-8 Condition Look up'!$A$3:$H$131,MATCH(S38,'G-8 Condition Look up'!$A$3:$A$131,0),MATCH(Y38,'G-8 Condition Look up'!$A$3:$H$3,0)),"")</f>
        <v/>
      </c>
      <c r="AA38" s="173"/>
      <c r="AB38" s="269" t="str">
        <f>IF(AA38="","",IF(VLOOKUP(AA38,'G-3 Multipliers'!$L$3:$N$6,2,FALSE)=0,"Spatial Data Missing",VLOOKUP(AA38,'G-3 Multipliers'!$L$3:$N$6,2,FALSE)))</f>
        <v/>
      </c>
      <c r="AC38" s="176" t="str">
        <f>IF(AA38="","",IF(VLOOKUP(AA38,'G-3 Multipliers'!$L$3:$N$6,3,FALSE)=0,"Spatial Data Missing",VLOOKUP(AA38,'G-3 Multipliers'!$L$3:$N$6,3,FALSE)))</f>
        <v/>
      </c>
      <c r="AD38" s="239" t="str">
        <f t="shared" si="3"/>
        <v/>
      </c>
      <c r="AE38" s="275"/>
      <c r="AF38" s="275"/>
      <c r="AG38" s="175" t="str">
        <f t="shared" si="8"/>
        <v/>
      </c>
      <c r="AH38" s="242" t="str">
        <f t="shared" si="9"/>
        <v/>
      </c>
      <c r="AI38" s="335" t="str">
        <f>IF(AH38="Check Data","Check Data",IFERROR(VLOOKUP(AH38,'G-4 Temporal multipliers'!$A$4:$C$36,3,FALSE),""))</f>
        <v/>
      </c>
      <c r="AJ38" s="239" t="str">
        <f>IF(S38="","",VLOOKUP(S38,'G-3 Multipliers'!$A$2:$E$130,4,FALSE))</f>
        <v/>
      </c>
      <c r="AK38" s="175" t="str">
        <f t="shared" si="10"/>
        <v/>
      </c>
      <c r="AL38" s="175" t="str">
        <f t="shared" si="11"/>
        <v/>
      </c>
      <c r="AM38" s="176" t="str">
        <f>IFERROR(IF(F38="","",IF(AH38="Check Data","Check Data",VLOOKUP(AL38, 'G-3 Multipliers'!$P$2:$Q$6,2,FALSE))),””)</f>
        <v/>
      </c>
      <c r="AN38" s="266"/>
      <c r="AO38" s="269" t="str">
        <f>IF(AN38="","",IF(VLOOKUP(AN38,'G-3 Multipliers'!$S$3:$T$9,2,FALSE)=0,"Spatial Data Missing",VLOOKUP(AN38,'G-3 Multipliers'!$S$3:$T$9,2,FALSE)))</f>
        <v/>
      </c>
      <c r="AP38" s="207" t="str">
        <f t="shared" si="12"/>
        <v/>
      </c>
      <c r="AQ38" s="336"/>
      <c r="AR38" s="181"/>
    </row>
    <row r="39" spans="1:44" x14ac:dyDescent="0.25">
      <c r="A39" s="35" t="str">
        <f>IF(E39="","",IF(ISNA(VLOOKUP($E39,'D-1 Off Site Habitat Baseline'!$D$1:$O$258,2,FALSE)),"",(VLOOKUP($E39,'D-1 Off Site Habitat Baseline'!$D$1:$O$258,2,FALSE))))</f>
        <v/>
      </c>
      <c r="B39" s="35" t="str">
        <f>IF(E39="","",IF(ISNA(VLOOKUP($E39,'D-1 Off Site Habitat Baseline'!$D$1:$O$258,3,FALSE)),"",(VLOOKUP($E39,'D-1 Off Site Habitat Baseline'!$D$1:$O$258,3,FALSE))))</f>
        <v/>
      </c>
      <c r="C39" s="35" t="str">
        <f>IFERROR(INDEX('G-8 Condition Look up'!$I$4:$I$131,MATCH(S39,'G-8 Condition Look up'!$A$4:$A$131,0)),"")</f>
        <v/>
      </c>
      <c r="E39" s="329" t="str">
        <f>'D-1 Off Site Habitat Baseline'!AL38</f>
        <v/>
      </c>
      <c r="F39" s="175" t="str">
        <f>IF(E39="","",IF(ISNA(VLOOKUP($E39,'D-1 Off Site Habitat Baseline'!$D$1:$O$258,4,FALSE)),"",(VLOOKUP($E39,'D-1 Off Site Habitat Baseline'!$D$1:$O$258,4,FALSE))))</f>
        <v/>
      </c>
      <c r="G39" s="175" t="str">
        <f>IF(E39="","",IF(ISNA(VLOOKUP($E39,'D-1 Off Site Habitat Baseline'!$D$1:$O$258,5,FALSE)),"",(VLOOKUP($E39,'D-1 Off Site Habitat Baseline'!$D$1:$O$258,5,FALSE))))</f>
        <v/>
      </c>
      <c r="H39" s="175" t="str">
        <f>IF(E39="","",IF(ISNA(VLOOKUP($E39,'D-1 Off Site Habitat Baseline'!$D$1:$O$258,6,FALSE)),"",(VLOOKUP($E39,'D-1 Off Site Habitat Baseline'!$D$1:$O$258,6,FALSE))))</f>
        <v/>
      </c>
      <c r="I39" s="175" t="str">
        <f>IF(E39="","",IF(ISNA(VLOOKUP($E39,'D-1 Off Site Habitat Baseline'!$D$1:$O$258,7,FALSE)),"",(VLOOKUP($E39,'D-1 Off Site Habitat Baseline'!$D$1:$O$258,7,FALSE))))</f>
        <v/>
      </c>
      <c r="J39" s="175" t="str">
        <f>IF(E39="","",IF(ISNA(VLOOKUP($E39,'D-1 Off Site Habitat Baseline'!$D$1:$O$258,8,FALSE)),"",(VLOOKUP($E39,'D-1 Off Site Habitat Baseline'!$D$1:$O$258,8,FALSE))))</f>
        <v/>
      </c>
      <c r="K39" s="175" t="str">
        <f>IF(E39="","",IF(ISNA(VLOOKUP($E39,'D-1 Off Site Habitat Baseline'!$D$1:$O$258,9,FALSE)),"",(VLOOKUP($E39,'D-1 Off Site Habitat Baseline'!$D$1:$O$258,9,FALSE))))</f>
        <v/>
      </c>
      <c r="L39" s="175" t="str">
        <f>IF(E39="","",IF(ISNA(VLOOKUP($E39,'D-1 Off Site Habitat Baseline'!$D$1:$O$258,11,FALSE)),"",(VLOOKUP($E39,'D-1 Off Site Habitat Baseline'!$D$1:$O$258,11,FALSE))))</f>
        <v/>
      </c>
      <c r="M39" s="175" t="str">
        <f>IF(E39="","",IF(ISNA(VLOOKUP($E39,'D-1 Off Site Habitat Baseline'!$D$1:$O$258,12,FALSE)),"",(VLOOKUP($E39,'D-1 Off Site Habitat Baseline'!$D$1:$O$258,12,FALSE))))</f>
        <v/>
      </c>
      <c r="N39" s="175" t="str">
        <f>IF(E39="","",IF(ISNA(VLOOKUP($E39,'D-1 Off Site Habitat Baseline'!$D$1:$X$258,14,FALSE)),"",(VLOOKUP($E39,'D-1 Off Site Habitat Baseline'!$D$1:$X$258,14,FALSE))))</f>
        <v/>
      </c>
      <c r="O39" s="176" t="str">
        <f>IF(E39="","",IF(ISNA(VLOOKUP($E39,'D-1 Off Site Habitat Baseline'!$D$1:$X$258,13,FALSE)),"",(VLOOKUP($E39,'D-1 Off Site Habitat Baseline'!$D$1:$X$258,13,FALSE))))</f>
        <v/>
      </c>
      <c r="P39" s="337" t="str">
        <f>IFERROR(INDEX('G-1 All Habitats'!$AG$3:$AG$15,MATCH(Q39,'G-1 All Habitats'!$AF$3:$AF$15,0)),"")</f>
        <v/>
      </c>
      <c r="Q39" s="331" t="str">
        <f t="shared" si="13"/>
        <v/>
      </c>
      <c r="R39" s="332" t="str">
        <f t="shared" si="14"/>
        <v/>
      </c>
      <c r="S39" s="338" t="str">
        <f>IFERROR(INDEX('G-1 All Habitats'!$B$3:$B$130,MATCH(R39,'G-1 All Habitats'!$A$3:$A$130,0)),"")</f>
        <v/>
      </c>
      <c r="T39" s="179" t="str">
        <f t="shared" si="6"/>
        <v/>
      </c>
      <c r="U39" s="172" t="str">
        <f t="shared" si="7"/>
        <v/>
      </c>
      <c r="V39" s="334" t="str">
        <f t="shared" si="2"/>
        <v/>
      </c>
      <c r="W39" s="175" t="str">
        <f>IF(S39="","",VLOOKUP(S39,'G-1 All Habitats'!$B$2:$M$130,10,FALSE))</f>
        <v/>
      </c>
      <c r="X39" s="175" t="str">
        <f>IFERROR(VLOOKUP(W39,'G-1 All Habitats'!$V$3:$W$7,2,FALSE),"")</f>
        <v/>
      </c>
      <c r="Y39" s="275"/>
      <c r="Z39" s="176" t="str">
        <f>IFERROR(INDEX('G-8 Condition Look up'!$A$3:$H$131,MATCH(S39,'G-8 Condition Look up'!$A$3:$A$131,0),MATCH(Y39,'G-8 Condition Look up'!$A$3:$H$3,0)),"")</f>
        <v/>
      </c>
      <c r="AA39" s="173"/>
      <c r="AB39" s="269" t="str">
        <f>IF(AA39="","",IF(VLOOKUP(AA39,'G-3 Multipliers'!$L$3:$N$6,2,FALSE)=0,"Spatial Data Missing",VLOOKUP(AA39,'G-3 Multipliers'!$L$3:$N$6,2,FALSE)))</f>
        <v/>
      </c>
      <c r="AC39" s="176" t="str">
        <f>IF(AA39="","",IF(VLOOKUP(AA39,'G-3 Multipliers'!$L$3:$N$6,3,FALSE)=0,"Spatial Data Missing",VLOOKUP(AA39,'G-3 Multipliers'!$L$3:$N$6,3,FALSE)))</f>
        <v/>
      </c>
      <c r="AD39" s="239" t="str">
        <f t="shared" si="3"/>
        <v/>
      </c>
      <c r="AE39" s="275"/>
      <c r="AF39" s="275"/>
      <c r="AG39" s="175" t="str">
        <f t="shared" si="8"/>
        <v/>
      </c>
      <c r="AH39" s="242" t="str">
        <f t="shared" si="9"/>
        <v/>
      </c>
      <c r="AI39" s="335" t="str">
        <f>IF(AH39="Check Data","Check Data",IFERROR(VLOOKUP(AH39,'G-4 Temporal multipliers'!$A$4:$C$36,3,FALSE),""))</f>
        <v/>
      </c>
      <c r="AJ39" s="239" t="str">
        <f>IF(S39="","",VLOOKUP(S39,'G-3 Multipliers'!$A$2:$E$130,4,FALSE))</f>
        <v/>
      </c>
      <c r="AK39" s="175" t="str">
        <f t="shared" si="10"/>
        <v/>
      </c>
      <c r="AL39" s="175" t="str">
        <f t="shared" si="11"/>
        <v/>
      </c>
      <c r="AM39" s="176" t="str">
        <f>IFERROR(IF(F39="","",IF(AH39="Check Data","Check Data",VLOOKUP(AL39, 'G-3 Multipliers'!$P$2:$Q$6,2,FALSE))),””)</f>
        <v/>
      </c>
      <c r="AN39" s="266"/>
      <c r="AO39" s="269" t="str">
        <f>IF(AN39="","",IF(VLOOKUP(AN39,'G-3 Multipliers'!$S$3:$T$9,2,FALSE)=0,"Spatial Data Missing",VLOOKUP(AN39,'G-3 Multipliers'!$S$3:$T$9,2,FALSE)))</f>
        <v/>
      </c>
      <c r="AP39" s="207" t="str">
        <f t="shared" si="12"/>
        <v/>
      </c>
      <c r="AQ39" s="336"/>
      <c r="AR39" s="181"/>
    </row>
    <row r="40" spans="1:44" x14ac:dyDescent="0.25">
      <c r="A40" s="35" t="str">
        <f>IF(E40="","",IF(ISNA(VLOOKUP($E40,'D-1 Off Site Habitat Baseline'!$D$1:$O$258,2,FALSE)),"",(VLOOKUP($E40,'D-1 Off Site Habitat Baseline'!$D$1:$O$258,2,FALSE))))</f>
        <v/>
      </c>
      <c r="B40" s="35" t="str">
        <f>IF(E40="","",IF(ISNA(VLOOKUP($E40,'D-1 Off Site Habitat Baseline'!$D$1:$O$258,3,FALSE)),"",(VLOOKUP($E40,'D-1 Off Site Habitat Baseline'!$D$1:$O$258,3,FALSE))))</f>
        <v/>
      </c>
      <c r="C40" s="35" t="str">
        <f>IFERROR(INDEX('G-8 Condition Look up'!$I$4:$I$131,MATCH(S40,'G-8 Condition Look up'!$A$4:$A$131,0)),"")</f>
        <v/>
      </c>
      <c r="E40" s="329" t="str">
        <f>'D-1 Off Site Habitat Baseline'!AL39</f>
        <v/>
      </c>
      <c r="F40" s="175" t="str">
        <f>IF(E40="","",IF(ISNA(VLOOKUP($E40,'D-1 Off Site Habitat Baseline'!$D$1:$O$258,4,FALSE)),"",(VLOOKUP($E40,'D-1 Off Site Habitat Baseline'!$D$1:$O$258,4,FALSE))))</f>
        <v/>
      </c>
      <c r="G40" s="175" t="str">
        <f>IF(E40="","",IF(ISNA(VLOOKUP($E40,'D-1 Off Site Habitat Baseline'!$D$1:$O$258,5,FALSE)),"",(VLOOKUP($E40,'D-1 Off Site Habitat Baseline'!$D$1:$O$258,5,FALSE))))</f>
        <v/>
      </c>
      <c r="H40" s="175" t="str">
        <f>IF(E40="","",IF(ISNA(VLOOKUP($E40,'D-1 Off Site Habitat Baseline'!$D$1:$O$258,6,FALSE)),"",(VLOOKUP($E40,'D-1 Off Site Habitat Baseline'!$D$1:$O$258,6,FALSE))))</f>
        <v/>
      </c>
      <c r="I40" s="175" t="str">
        <f>IF(E40="","",IF(ISNA(VLOOKUP($E40,'D-1 Off Site Habitat Baseline'!$D$1:$O$258,7,FALSE)),"",(VLOOKUP($E40,'D-1 Off Site Habitat Baseline'!$D$1:$O$258,7,FALSE))))</f>
        <v/>
      </c>
      <c r="J40" s="175" t="str">
        <f>IF(E40="","",IF(ISNA(VLOOKUP($E40,'D-1 Off Site Habitat Baseline'!$D$1:$O$258,8,FALSE)),"",(VLOOKUP($E40,'D-1 Off Site Habitat Baseline'!$D$1:$O$258,8,FALSE))))</f>
        <v/>
      </c>
      <c r="K40" s="175" t="str">
        <f>IF(E40="","",IF(ISNA(VLOOKUP($E40,'D-1 Off Site Habitat Baseline'!$D$1:$O$258,9,FALSE)),"",(VLOOKUP($E40,'D-1 Off Site Habitat Baseline'!$D$1:$O$258,9,FALSE))))</f>
        <v/>
      </c>
      <c r="L40" s="175" t="str">
        <f>IF(E40="","",IF(ISNA(VLOOKUP($E40,'D-1 Off Site Habitat Baseline'!$D$1:$O$258,11,FALSE)),"",(VLOOKUP($E40,'D-1 Off Site Habitat Baseline'!$D$1:$O$258,11,FALSE))))</f>
        <v/>
      </c>
      <c r="M40" s="175" t="str">
        <f>IF(E40="","",IF(ISNA(VLOOKUP($E40,'D-1 Off Site Habitat Baseline'!$D$1:$O$258,12,FALSE)),"",(VLOOKUP($E40,'D-1 Off Site Habitat Baseline'!$D$1:$O$258,12,FALSE))))</f>
        <v/>
      </c>
      <c r="N40" s="175" t="str">
        <f>IF(E40="","",IF(ISNA(VLOOKUP($E40,'D-1 Off Site Habitat Baseline'!$D$1:$X$258,14,FALSE)),"",(VLOOKUP($E40,'D-1 Off Site Habitat Baseline'!$D$1:$X$258,14,FALSE))))</f>
        <v/>
      </c>
      <c r="O40" s="176" t="str">
        <f>IF(E40="","",IF(ISNA(VLOOKUP($E40,'D-1 Off Site Habitat Baseline'!$D$1:$X$258,13,FALSE)),"",(VLOOKUP($E40,'D-1 Off Site Habitat Baseline'!$D$1:$X$258,13,FALSE))))</f>
        <v/>
      </c>
      <c r="P40" s="337" t="str">
        <f>IFERROR(INDEX('G-1 All Habitats'!$AG$3:$AG$15,MATCH(Q40,'G-1 All Habitats'!$AF$3:$AF$15,0)),"")</f>
        <v/>
      </c>
      <c r="Q40" s="331" t="str">
        <f t="shared" si="13"/>
        <v/>
      </c>
      <c r="R40" s="332" t="str">
        <f t="shared" si="14"/>
        <v/>
      </c>
      <c r="S40" s="338" t="str">
        <f>IFERROR(INDEX('G-1 All Habitats'!$B$3:$B$130,MATCH(R40,'G-1 All Habitats'!$A$3:$A$130,0)),"")</f>
        <v/>
      </c>
      <c r="T40" s="179" t="str">
        <f t="shared" si="6"/>
        <v/>
      </c>
      <c r="U40" s="172" t="str">
        <f t="shared" si="7"/>
        <v/>
      </c>
      <c r="V40" s="334" t="str">
        <f t="shared" si="2"/>
        <v/>
      </c>
      <c r="W40" s="175" t="str">
        <f>IF(S40="","",VLOOKUP(S40,'G-1 All Habitats'!$B$2:$M$130,10,FALSE))</f>
        <v/>
      </c>
      <c r="X40" s="175" t="str">
        <f>IFERROR(VLOOKUP(W40,'G-1 All Habitats'!$V$3:$W$7,2,FALSE),"")</f>
        <v/>
      </c>
      <c r="Y40" s="275"/>
      <c r="Z40" s="176" t="str">
        <f>IFERROR(INDEX('G-8 Condition Look up'!$A$3:$H$131,MATCH(S40,'G-8 Condition Look up'!$A$3:$A$131,0),MATCH(Y40,'G-8 Condition Look up'!$A$3:$H$3,0)),"")</f>
        <v/>
      </c>
      <c r="AA40" s="173"/>
      <c r="AB40" s="269" t="str">
        <f>IF(AA40="","",IF(VLOOKUP(AA40,'G-3 Multipliers'!$L$3:$N$6,2,FALSE)=0,"Spatial Data Missing",VLOOKUP(AA40,'G-3 Multipliers'!$L$3:$N$6,2,FALSE)))</f>
        <v/>
      </c>
      <c r="AC40" s="176" t="str">
        <f>IF(AA40="","",IF(VLOOKUP(AA40,'G-3 Multipliers'!$L$3:$N$6,3,FALSE)=0,"Spatial Data Missing",VLOOKUP(AA40,'G-3 Multipliers'!$L$3:$N$6,3,FALSE)))</f>
        <v/>
      </c>
      <c r="AD40" s="239" t="str">
        <f t="shared" si="3"/>
        <v/>
      </c>
      <c r="AE40" s="275"/>
      <c r="AF40" s="275"/>
      <c r="AG40" s="175" t="str">
        <f t="shared" si="8"/>
        <v/>
      </c>
      <c r="AH40" s="242" t="str">
        <f t="shared" si="9"/>
        <v/>
      </c>
      <c r="AI40" s="335" t="str">
        <f>IF(AH40="Check Data","Check Data",IFERROR(VLOOKUP(AH40,'G-4 Temporal multipliers'!$A$4:$C$36,3,FALSE),""))</f>
        <v/>
      </c>
      <c r="AJ40" s="239" t="str">
        <f>IF(S40="","",VLOOKUP(S40,'G-3 Multipliers'!$A$2:$E$130,4,FALSE))</f>
        <v/>
      </c>
      <c r="AK40" s="175" t="str">
        <f t="shared" si="10"/>
        <v/>
      </c>
      <c r="AL40" s="175" t="str">
        <f t="shared" si="11"/>
        <v/>
      </c>
      <c r="AM40" s="176" t="str">
        <f>IFERROR(IF(F40="","",IF(AH40="Check Data","Check Data",VLOOKUP(AL40, 'G-3 Multipliers'!$P$2:$Q$6,2,FALSE))),””)</f>
        <v/>
      </c>
      <c r="AN40" s="266"/>
      <c r="AO40" s="269" t="str">
        <f>IF(AN40="","",IF(VLOOKUP(AN40,'G-3 Multipliers'!$S$3:$T$9,2,FALSE)=0,"Spatial Data Missing",VLOOKUP(AN40,'G-3 Multipliers'!$S$3:$T$9,2,FALSE)))</f>
        <v/>
      </c>
      <c r="AP40" s="207" t="str">
        <f t="shared" si="12"/>
        <v/>
      </c>
      <c r="AQ40" s="336"/>
      <c r="AR40" s="181"/>
    </row>
    <row r="41" spans="1:44" x14ac:dyDescent="0.25">
      <c r="A41" s="35" t="str">
        <f>IF(E41="","",IF(ISNA(VLOOKUP($E41,'D-1 Off Site Habitat Baseline'!$D$1:$O$258,2,FALSE)),"",(VLOOKUP($E41,'D-1 Off Site Habitat Baseline'!$D$1:$O$258,2,FALSE))))</f>
        <v/>
      </c>
      <c r="B41" s="35" t="str">
        <f>IF(E41="","",IF(ISNA(VLOOKUP($E41,'D-1 Off Site Habitat Baseline'!$D$1:$O$258,3,FALSE)),"",(VLOOKUP($E41,'D-1 Off Site Habitat Baseline'!$D$1:$O$258,3,FALSE))))</f>
        <v/>
      </c>
      <c r="C41" s="35" t="str">
        <f>IFERROR(INDEX('G-8 Condition Look up'!$I$4:$I$131,MATCH(S41,'G-8 Condition Look up'!$A$4:$A$131,0)),"")</f>
        <v/>
      </c>
      <c r="E41" s="329" t="str">
        <f>'D-1 Off Site Habitat Baseline'!AL40</f>
        <v/>
      </c>
      <c r="F41" s="175" t="str">
        <f>IF(E41="","",IF(ISNA(VLOOKUP($E41,'D-1 Off Site Habitat Baseline'!$D$1:$O$258,4,FALSE)),"",(VLOOKUP($E41,'D-1 Off Site Habitat Baseline'!$D$1:$O$258,4,FALSE))))</f>
        <v/>
      </c>
      <c r="G41" s="175" t="str">
        <f>IF(E41="","",IF(ISNA(VLOOKUP($E41,'D-1 Off Site Habitat Baseline'!$D$1:$O$258,5,FALSE)),"",(VLOOKUP($E41,'D-1 Off Site Habitat Baseline'!$D$1:$O$258,5,FALSE))))</f>
        <v/>
      </c>
      <c r="H41" s="175" t="str">
        <f>IF(E41="","",IF(ISNA(VLOOKUP($E41,'D-1 Off Site Habitat Baseline'!$D$1:$O$258,6,FALSE)),"",(VLOOKUP($E41,'D-1 Off Site Habitat Baseline'!$D$1:$O$258,6,FALSE))))</f>
        <v/>
      </c>
      <c r="I41" s="175" t="str">
        <f>IF(E41="","",IF(ISNA(VLOOKUP($E41,'D-1 Off Site Habitat Baseline'!$D$1:$O$258,7,FALSE)),"",(VLOOKUP($E41,'D-1 Off Site Habitat Baseline'!$D$1:$O$258,7,FALSE))))</f>
        <v/>
      </c>
      <c r="J41" s="175" t="str">
        <f>IF(E41="","",IF(ISNA(VLOOKUP($E41,'D-1 Off Site Habitat Baseline'!$D$1:$O$258,8,FALSE)),"",(VLOOKUP($E41,'D-1 Off Site Habitat Baseline'!$D$1:$O$258,8,FALSE))))</f>
        <v/>
      </c>
      <c r="K41" s="175" t="str">
        <f>IF(E41="","",IF(ISNA(VLOOKUP($E41,'D-1 Off Site Habitat Baseline'!$D$1:$O$258,9,FALSE)),"",(VLOOKUP($E41,'D-1 Off Site Habitat Baseline'!$D$1:$O$258,9,FALSE))))</f>
        <v/>
      </c>
      <c r="L41" s="175" t="str">
        <f>IF(E41="","",IF(ISNA(VLOOKUP($E41,'D-1 Off Site Habitat Baseline'!$D$1:$O$258,11,FALSE)),"",(VLOOKUP($E41,'D-1 Off Site Habitat Baseline'!$D$1:$O$258,11,FALSE))))</f>
        <v/>
      </c>
      <c r="M41" s="175" t="str">
        <f>IF(E41="","",IF(ISNA(VLOOKUP($E41,'D-1 Off Site Habitat Baseline'!$D$1:$O$258,12,FALSE)),"",(VLOOKUP($E41,'D-1 Off Site Habitat Baseline'!$D$1:$O$258,12,FALSE))))</f>
        <v/>
      </c>
      <c r="N41" s="175" t="str">
        <f>IF(E41="","",IF(ISNA(VLOOKUP($E41,'D-1 Off Site Habitat Baseline'!$D$1:$X$258,14,FALSE)),"",(VLOOKUP($E41,'D-1 Off Site Habitat Baseline'!$D$1:$X$258,14,FALSE))))</f>
        <v/>
      </c>
      <c r="O41" s="176" t="str">
        <f>IF(E41="","",IF(ISNA(VLOOKUP($E41,'D-1 Off Site Habitat Baseline'!$D$1:$X$258,13,FALSE)),"",(VLOOKUP($E41,'D-1 Off Site Habitat Baseline'!$D$1:$X$258,13,FALSE))))</f>
        <v/>
      </c>
      <c r="P41" s="337" t="str">
        <f>IFERROR(INDEX('G-1 All Habitats'!$AG$3:$AG$15,MATCH(Q41,'G-1 All Habitats'!$AF$3:$AF$15,0)),"")</f>
        <v/>
      </c>
      <c r="Q41" s="331" t="str">
        <f t="shared" si="13"/>
        <v/>
      </c>
      <c r="R41" s="332" t="str">
        <f t="shared" si="14"/>
        <v/>
      </c>
      <c r="S41" s="338" t="str">
        <f>IFERROR(INDEX('G-1 All Habitats'!$B$3:$B$130,MATCH(R41,'G-1 All Habitats'!$A$3:$A$130,0)),"")</f>
        <v/>
      </c>
      <c r="T41" s="179" t="str">
        <f t="shared" si="6"/>
        <v/>
      </c>
      <c r="U41" s="172" t="str">
        <f t="shared" si="7"/>
        <v/>
      </c>
      <c r="V41" s="334" t="str">
        <f t="shared" si="2"/>
        <v/>
      </c>
      <c r="W41" s="175" t="str">
        <f>IF(S41="","",VLOOKUP(S41,'G-1 All Habitats'!$B$2:$M$130,10,FALSE))</f>
        <v/>
      </c>
      <c r="X41" s="175" t="str">
        <f>IFERROR(VLOOKUP(W41,'G-1 All Habitats'!$V$3:$W$7,2,FALSE),"")</f>
        <v/>
      </c>
      <c r="Y41" s="275"/>
      <c r="Z41" s="176" t="str">
        <f>IFERROR(INDEX('G-8 Condition Look up'!$A$3:$H$131,MATCH(S41,'G-8 Condition Look up'!$A$3:$A$131,0),MATCH(Y41,'G-8 Condition Look up'!$A$3:$H$3,0)),"")</f>
        <v/>
      </c>
      <c r="AA41" s="173"/>
      <c r="AB41" s="269" t="str">
        <f>IF(AA41="","",IF(VLOOKUP(AA41,'G-3 Multipliers'!$L$3:$N$6,2,FALSE)=0,"Spatial Data Missing",VLOOKUP(AA41,'G-3 Multipliers'!$L$3:$N$6,2,FALSE)))</f>
        <v/>
      </c>
      <c r="AC41" s="176" t="str">
        <f>IF(AA41="","",IF(VLOOKUP(AA41,'G-3 Multipliers'!$L$3:$N$6,3,FALSE)=0,"Spatial Data Missing",VLOOKUP(AA41,'G-3 Multipliers'!$L$3:$N$6,3,FALSE)))</f>
        <v/>
      </c>
      <c r="AD41" s="239" t="str">
        <f t="shared" si="3"/>
        <v/>
      </c>
      <c r="AE41" s="275"/>
      <c r="AF41" s="275"/>
      <c r="AG41" s="175" t="str">
        <f t="shared" si="8"/>
        <v/>
      </c>
      <c r="AH41" s="242" t="str">
        <f t="shared" si="9"/>
        <v/>
      </c>
      <c r="AI41" s="335" t="str">
        <f>IF(AH41="Check Data","Check Data",IFERROR(VLOOKUP(AH41,'G-4 Temporal multipliers'!$A$4:$C$36,3,FALSE),""))</f>
        <v/>
      </c>
      <c r="AJ41" s="239" t="str">
        <f>IF(S41="","",VLOOKUP(S41,'G-3 Multipliers'!$A$2:$E$130,4,FALSE))</f>
        <v/>
      </c>
      <c r="AK41" s="175" t="str">
        <f t="shared" si="10"/>
        <v/>
      </c>
      <c r="AL41" s="175" t="str">
        <f t="shared" si="11"/>
        <v/>
      </c>
      <c r="AM41" s="176" t="str">
        <f>IFERROR(IF(F41="","",IF(AH41="Check Data","Check Data",VLOOKUP(AL41, 'G-3 Multipliers'!$P$2:$Q$6,2,FALSE))),””)</f>
        <v/>
      </c>
      <c r="AN41" s="266"/>
      <c r="AO41" s="269" t="str">
        <f>IF(AN41="","",IF(VLOOKUP(AN41,'G-3 Multipliers'!$S$3:$T$9,2,FALSE)=0,"Spatial Data Missing",VLOOKUP(AN41,'G-3 Multipliers'!$S$3:$T$9,2,FALSE)))</f>
        <v/>
      </c>
      <c r="AP41" s="207" t="str">
        <f t="shared" si="12"/>
        <v/>
      </c>
      <c r="AQ41" s="336"/>
      <c r="AR41" s="181"/>
    </row>
    <row r="42" spans="1:44" x14ac:dyDescent="0.25">
      <c r="A42" s="35" t="str">
        <f>IF(E42="","",IF(ISNA(VLOOKUP($E42,'D-1 Off Site Habitat Baseline'!$D$1:$O$258,2,FALSE)),"",(VLOOKUP($E42,'D-1 Off Site Habitat Baseline'!$D$1:$O$258,2,FALSE))))</f>
        <v/>
      </c>
      <c r="B42" s="35" t="str">
        <f>IF(E42="","",IF(ISNA(VLOOKUP($E42,'D-1 Off Site Habitat Baseline'!$D$1:$O$258,3,FALSE)),"",(VLOOKUP($E42,'D-1 Off Site Habitat Baseline'!$D$1:$O$258,3,FALSE))))</f>
        <v/>
      </c>
      <c r="C42" s="35" t="str">
        <f>IFERROR(INDEX('G-8 Condition Look up'!$I$4:$I$131,MATCH(S42,'G-8 Condition Look up'!$A$4:$A$131,0)),"")</f>
        <v/>
      </c>
      <c r="E42" s="329" t="str">
        <f>'D-1 Off Site Habitat Baseline'!AL41</f>
        <v/>
      </c>
      <c r="F42" s="175" t="str">
        <f>IF(E42="","",IF(ISNA(VLOOKUP($E42,'D-1 Off Site Habitat Baseline'!$D$1:$O$258,4,FALSE)),"",(VLOOKUP($E42,'D-1 Off Site Habitat Baseline'!$D$1:$O$258,4,FALSE))))</f>
        <v/>
      </c>
      <c r="G42" s="175" t="str">
        <f>IF(E42="","",IF(ISNA(VLOOKUP($E42,'D-1 Off Site Habitat Baseline'!$D$1:$O$258,5,FALSE)),"",(VLOOKUP($E42,'D-1 Off Site Habitat Baseline'!$D$1:$O$258,5,FALSE))))</f>
        <v/>
      </c>
      <c r="H42" s="175" t="str">
        <f>IF(E42="","",IF(ISNA(VLOOKUP($E42,'D-1 Off Site Habitat Baseline'!$D$1:$O$258,6,FALSE)),"",(VLOOKUP($E42,'D-1 Off Site Habitat Baseline'!$D$1:$O$258,6,FALSE))))</f>
        <v/>
      </c>
      <c r="I42" s="175" t="str">
        <f>IF(E42="","",IF(ISNA(VLOOKUP($E42,'D-1 Off Site Habitat Baseline'!$D$1:$O$258,7,FALSE)),"",(VLOOKUP($E42,'D-1 Off Site Habitat Baseline'!$D$1:$O$258,7,FALSE))))</f>
        <v/>
      </c>
      <c r="J42" s="175" t="str">
        <f>IF(E42="","",IF(ISNA(VLOOKUP($E42,'D-1 Off Site Habitat Baseline'!$D$1:$O$258,8,FALSE)),"",(VLOOKUP($E42,'D-1 Off Site Habitat Baseline'!$D$1:$O$258,8,FALSE))))</f>
        <v/>
      </c>
      <c r="K42" s="175" t="str">
        <f>IF(E42="","",IF(ISNA(VLOOKUP($E42,'D-1 Off Site Habitat Baseline'!$D$1:$O$258,9,FALSE)),"",(VLOOKUP($E42,'D-1 Off Site Habitat Baseline'!$D$1:$O$258,9,FALSE))))</f>
        <v/>
      </c>
      <c r="L42" s="175" t="str">
        <f>IF(E42="","",IF(ISNA(VLOOKUP($E42,'D-1 Off Site Habitat Baseline'!$D$1:$O$258,11,FALSE)),"",(VLOOKUP($E42,'D-1 Off Site Habitat Baseline'!$D$1:$O$258,11,FALSE))))</f>
        <v/>
      </c>
      <c r="M42" s="175" t="str">
        <f>IF(E42="","",IF(ISNA(VLOOKUP($E42,'D-1 Off Site Habitat Baseline'!$D$1:$O$258,12,FALSE)),"",(VLOOKUP($E42,'D-1 Off Site Habitat Baseline'!$D$1:$O$258,12,FALSE))))</f>
        <v/>
      </c>
      <c r="N42" s="175" t="str">
        <f>IF(E42="","",IF(ISNA(VLOOKUP($E42,'D-1 Off Site Habitat Baseline'!$D$1:$X$258,14,FALSE)),"",(VLOOKUP($E42,'D-1 Off Site Habitat Baseline'!$D$1:$X$258,14,FALSE))))</f>
        <v/>
      </c>
      <c r="O42" s="176" t="str">
        <f>IF(E42="","",IF(ISNA(VLOOKUP($E42,'D-1 Off Site Habitat Baseline'!$D$1:$X$258,13,FALSE)),"",(VLOOKUP($E42,'D-1 Off Site Habitat Baseline'!$D$1:$X$258,13,FALSE))))</f>
        <v/>
      </c>
      <c r="P42" s="337" t="str">
        <f>IFERROR(INDEX('G-1 All Habitats'!$AG$3:$AG$15,MATCH(Q42,'G-1 All Habitats'!$AF$3:$AF$15,0)),"")</f>
        <v/>
      </c>
      <c r="Q42" s="331" t="str">
        <f t="shared" si="13"/>
        <v/>
      </c>
      <c r="R42" s="332" t="str">
        <f t="shared" si="14"/>
        <v/>
      </c>
      <c r="S42" s="338" t="str">
        <f>IFERROR(INDEX('G-1 All Habitats'!$B$3:$B$130,MATCH(R42,'G-1 All Habitats'!$A$3:$A$130,0)),"")</f>
        <v/>
      </c>
      <c r="T42" s="179" t="str">
        <f t="shared" si="6"/>
        <v/>
      </c>
      <c r="U42" s="172" t="str">
        <f t="shared" si="7"/>
        <v/>
      </c>
      <c r="V42" s="334" t="str">
        <f t="shared" si="2"/>
        <v/>
      </c>
      <c r="W42" s="175" t="str">
        <f>IF(S42="","",VLOOKUP(S42,'G-1 All Habitats'!$B$2:$M$130,10,FALSE))</f>
        <v/>
      </c>
      <c r="X42" s="175" t="str">
        <f>IFERROR(VLOOKUP(W42,'G-1 All Habitats'!$V$3:$W$7,2,FALSE),"")</f>
        <v/>
      </c>
      <c r="Y42" s="275"/>
      <c r="Z42" s="176" t="str">
        <f>IFERROR(INDEX('G-8 Condition Look up'!$A$3:$H$131,MATCH(S42,'G-8 Condition Look up'!$A$3:$A$131,0),MATCH(Y42,'G-8 Condition Look up'!$A$3:$H$3,0)),"")</f>
        <v/>
      </c>
      <c r="AA42" s="173"/>
      <c r="AB42" s="269" t="str">
        <f>IF(AA42="","",IF(VLOOKUP(AA42,'G-3 Multipliers'!$L$3:$N$6,2,FALSE)=0,"Spatial Data Missing",VLOOKUP(AA42,'G-3 Multipliers'!$L$3:$N$6,2,FALSE)))</f>
        <v/>
      </c>
      <c r="AC42" s="176" t="str">
        <f>IF(AA42="","",IF(VLOOKUP(AA42,'G-3 Multipliers'!$L$3:$N$6,3,FALSE)=0,"Spatial Data Missing",VLOOKUP(AA42,'G-3 Multipliers'!$L$3:$N$6,3,FALSE)))</f>
        <v/>
      </c>
      <c r="AD42" s="239" t="str">
        <f t="shared" si="3"/>
        <v/>
      </c>
      <c r="AE42" s="275"/>
      <c r="AF42" s="275"/>
      <c r="AG42" s="175" t="str">
        <f t="shared" si="8"/>
        <v/>
      </c>
      <c r="AH42" s="242" t="str">
        <f t="shared" si="9"/>
        <v/>
      </c>
      <c r="AI42" s="335" t="str">
        <f>IF(AH42="Check Data","Check Data",IFERROR(VLOOKUP(AH42,'G-4 Temporal multipliers'!$A$4:$C$36,3,FALSE),""))</f>
        <v/>
      </c>
      <c r="AJ42" s="239" t="str">
        <f>IF(S42="","",VLOOKUP(S42,'G-3 Multipliers'!$A$2:$E$130,4,FALSE))</f>
        <v/>
      </c>
      <c r="AK42" s="175" t="str">
        <f t="shared" si="10"/>
        <v/>
      </c>
      <c r="AL42" s="175" t="str">
        <f t="shared" si="11"/>
        <v/>
      </c>
      <c r="AM42" s="176" t="str">
        <f>IFERROR(IF(F42="","",IF(AH42="Check Data","Check Data",VLOOKUP(AL42, 'G-3 Multipliers'!$P$2:$Q$6,2,FALSE))),””)</f>
        <v/>
      </c>
      <c r="AN42" s="266"/>
      <c r="AO42" s="269" t="str">
        <f>IF(AN42="","",IF(VLOOKUP(AN42,'G-3 Multipliers'!$S$3:$T$9,2,FALSE)=0,"Spatial Data Missing",VLOOKUP(AN42,'G-3 Multipliers'!$S$3:$T$9,2,FALSE)))</f>
        <v/>
      </c>
      <c r="AP42" s="207" t="str">
        <f t="shared" si="12"/>
        <v/>
      </c>
      <c r="AQ42" s="336"/>
      <c r="AR42" s="181"/>
    </row>
    <row r="43" spans="1:44" x14ac:dyDescent="0.25">
      <c r="A43" s="35" t="str">
        <f>IF(E43="","",IF(ISNA(VLOOKUP($E43,'D-1 Off Site Habitat Baseline'!$D$1:$O$258,2,FALSE)),"",(VLOOKUP($E43,'D-1 Off Site Habitat Baseline'!$D$1:$O$258,2,FALSE))))</f>
        <v/>
      </c>
      <c r="B43" s="35" t="str">
        <f>IF(E43="","",IF(ISNA(VLOOKUP($E43,'D-1 Off Site Habitat Baseline'!$D$1:$O$258,3,FALSE)),"",(VLOOKUP($E43,'D-1 Off Site Habitat Baseline'!$D$1:$O$258,3,FALSE))))</f>
        <v/>
      </c>
      <c r="C43" s="35" t="str">
        <f>IFERROR(INDEX('G-8 Condition Look up'!$I$4:$I$131,MATCH(S43,'G-8 Condition Look up'!$A$4:$A$131,0)),"")</f>
        <v/>
      </c>
      <c r="E43" s="329" t="str">
        <f>'D-1 Off Site Habitat Baseline'!AL42</f>
        <v/>
      </c>
      <c r="F43" s="175" t="str">
        <f>IF(E43="","",IF(ISNA(VLOOKUP($E43,'D-1 Off Site Habitat Baseline'!$D$1:$O$258,4,FALSE)),"",(VLOOKUP($E43,'D-1 Off Site Habitat Baseline'!$D$1:$O$258,4,FALSE))))</f>
        <v/>
      </c>
      <c r="G43" s="175" t="str">
        <f>IF(E43="","",IF(ISNA(VLOOKUP($E43,'D-1 Off Site Habitat Baseline'!$D$1:$O$258,5,FALSE)),"",(VLOOKUP($E43,'D-1 Off Site Habitat Baseline'!$D$1:$O$258,5,FALSE))))</f>
        <v/>
      </c>
      <c r="H43" s="175" t="str">
        <f>IF(E43="","",IF(ISNA(VLOOKUP($E43,'D-1 Off Site Habitat Baseline'!$D$1:$O$258,6,FALSE)),"",(VLOOKUP($E43,'D-1 Off Site Habitat Baseline'!$D$1:$O$258,6,FALSE))))</f>
        <v/>
      </c>
      <c r="I43" s="175" t="str">
        <f>IF(E43="","",IF(ISNA(VLOOKUP($E43,'D-1 Off Site Habitat Baseline'!$D$1:$O$258,7,FALSE)),"",(VLOOKUP($E43,'D-1 Off Site Habitat Baseline'!$D$1:$O$258,7,FALSE))))</f>
        <v/>
      </c>
      <c r="J43" s="175" t="str">
        <f>IF(E43="","",IF(ISNA(VLOOKUP($E43,'D-1 Off Site Habitat Baseline'!$D$1:$O$258,8,FALSE)),"",(VLOOKUP($E43,'D-1 Off Site Habitat Baseline'!$D$1:$O$258,8,FALSE))))</f>
        <v/>
      </c>
      <c r="K43" s="175" t="str">
        <f>IF(E43="","",IF(ISNA(VLOOKUP($E43,'D-1 Off Site Habitat Baseline'!$D$1:$O$258,9,FALSE)),"",(VLOOKUP($E43,'D-1 Off Site Habitat Baseline'!$D$1:$O$258,9,FALSE))))</f>
        <v/>
      </c>
      <c r="L43" s="175" t="str">
        <f>IF(E43="","",IF(ISNA(VLOOKUP($E43,'D-1 Off Site Habitat Baseline'!$D$1:$O$258,11,FALSE)),"",(VLOOKUP($E43,'D-1 Off Site Habitat Baseline'!$D$1:$O$258,11,FALSE))))</f>
        <v/>
      </c>
      <c r="M43" s="175" t="str">
        <f>IF(E43="","",IF(ISNA(VLOOKUP($E43,'D-1 Off Site Habitat Baseline'!$D$1:$O$258,12,FALSE)),"",(VLOOKUP($E43,'D-1 Off Site Habitat Baseline'!$D$1:$O$258,12,FALSE))))</f>
        <v/>
      </c>
      <c r="N43" s="175" t="str">
        <f>IF(E43="","",IF(ISNA(VLOOKUP($E43,'D-1 Off Site Habitat Baseline'!$D$1:$X$258,14,FALSE)),"",(VLOOKUP($E43,'D-1 Off Site Habitat Baseline'!$D$1:$X$258,14,FALSE))))</f>
        <v/>
      </c>
      <c r="O43" s="176" t="str">
        <f>IF(E43="","",IF(ISNA(VLOOKUP($E43,'D-1 Off Site Habitat Baseline'!$D$1:$X$258,13,FALSE)),"",(VLOOKUP($E43,'D-1 Off Site Habitat Baseline'!$D$1:$X$258,13,FALSE))))</f>
        <v/>
      </c>
      <c r="P43" s="337" t="str">
        <f>IFERROR(INDEX('G-1 All Habitats'!$AG$3:$AG$15,MATCH(Q43,'G-1 All Habitats'!$AF$3:$AF$15,0)),"")</f>
        <v/>
      </c>
      <c r="Q43" s="331" t="str">
        <f t="shared" si="13"/>
        <v/>
      </c>
      <c r="R43" s="332" t="str">
        <f t="shared" si="14"/>
        <v/>
      </c>
      <c r="S43" s="338" t="str">
        <f>IFERROR(INDEX('G-1 All Habitats'!$B$3:$B$130,MATCH(R43,'G-1 All Habitats'!$A$3:$A$130,0)),"")</f>
        <v/>
      </c>
      <c r="T43" s="179" t="str">
        <f t="shared" si="6"/>
        <v/>
      </c>
      <c r="U43" s="172" t="str">
        <f t="shared" si="7"/>
        <v/>
      </c>
      <c r="V43" s="334" t="str">
        <f t="shared" si="2"/>
        <v/>
      </c>
      <c r="W43" s="175" t="str">
        <f>IF(S43="","",VLOOKUP(S43,'G-1 All Habitats'!$B$2:$M$130,10,FALSE))</f>
        <v/>
      </c>
      <c r="X43" s="175" t="str">
        <f>IFERROR(VLOOKUP(W43,'G-1 All Habitats'!$V$3:$W$7,2,FALSE),"")</f>
        <v/>
      </c>
      <c r="Y43" s="275"/>
      <c r="Z43" s="176" t="str">
        <f>IFERROR(INDEX('G-8 Condition Look up'!$A$3:$H$131,MATCH(S43,'G-8 Condition Look up'!$A$3:$A$131,0),MATCH(Y43,'G-8 Condition Look up'!$A$3:$H$3,0)),"")</f>
        <v/>
      </c>
      <c r="AA43" s="173"/>
      <c r="AB43" s="269" t="str">
        <f>IF(AA43="","",IF(VLOOKUP(AA43,'G-3 Multipliers'!$L$3:$N$6,2,FALSE)=0,"Spatial Data Missing",VLOOKUP(AA43,'G-3 Multipliers'!$L$3:$N$6,2,FALSE)))</f>
        <v/>
      </c>
      <c r="AC43" s="176" t="str">
        <f>IF(AA43="","",IF(VLOOKUP(AA43,'G-3 Multipliers'!$L$3:$N$6,3,FALSE)=0,"Spatial Data Missing",VLOOKUP(AA43,'G-3 Multipliers'!$L$3:$N$6,3,FALSE)))</f>
        <v/>
      </c>
      <c r="AD43" s="239" t="str">
        <f t="shared" si="3"/>
        <v/>
      </c>
      <c r="AE43" s="275"/>
      <c r="AF43" s="275"/>
      <c r="AG43" s="175" t="str">
        <f t="shared" si="8"/>
        <v/>
      </c>
      <c r="AH43" s="242" t="str">
        <f t="shared" si="9"/>
        <v/>
      </c>
      <c r="AI43" s="335" t="str">
        <f>IF(AH43="Check Data","Check Data",IFERROR(VLOOKUP(AH43,'G-4 Temporal multipliers'!$A$4:$C$36,3,FALSE),""))</f>
        <v/>
      </c>
      <c r="AJ43" s="239" t="str">
        <f>IF(S43="","",VLOOKUP(S43,'G-3 Multipliers'!$A$2:$E$130,4,FALSE))</f>
        <v/>
      </c>
      <c r="AK43" s="175" t="str">
        <f t="shared" si="10"/>
        <v/>
      </c>
      <c r="AL43" s="175" t="str">
        <f t="shared" si="11"/>
        <v/>
      </c>
      <c r="AM43" s="176" t="str">
        <f>IFERROR(IF(F43="","",IF(AH43="Check Data","Check Data",VLOOKUP(AL43, 'G-3 Multipliers'!$P$2:$Q$6,2,FALSE))),””)</f>
        <v/>
      </c>
      <c r="AN43" s="266"/>
      <c r="AO43" s="269" t="str">
        <f>IF(AN43="","",IF(VLOOKUP(AN43,'G-3 Multipliers'!$S$3:$T$9,2,FALSE)=0,"Spatial Data Missing",VLOOKUP(AN43,'G-3 Multipliers'!$S$3:$T$9,2,FALSE)))</f>
        <v/>
      </c>
      <c r="AP43" s="207" t="str">
        <f t="shared" si="12"/>
        <v/>
      </c>
      <c r="AQ43" s="336"/>
      <c r="AR43" s="181"/>
    </row>
    <row r="44" spans="1:44" x14ac:dyDescent="0.25">
      <c r="A44" s="35" t="str">
        <f>IF(E44="","",IF(ISNA(VLOOKUP($E44,'D-1 Off Site Habitat Baseline'!$D$1:$O$258,2,FALSE)),"",(VLOOKUP($E44,'D-1 Off Site Habitat Baseline'!$D$1:$O$258,2,FALSE))))</f>
        <v/>
      </c>
      <c r="B44" s="35" t="str">
        <f>IF(E44="","",IF(ISNA(VLOOKUP($E44,'D-1 Off Site Habitat Baseline'!$D$1:$O$258,3,FALSE)),"",(VLOOKUP($E44,'D-1 Off Site Habitat Baseline'!$D$1:$O$258,3,FALSE))))</f>
        <v/>
      </c>
      <c r="C44" s="35" t="str">
        <f>IFERROR(INDEX('G-8 Condition Look up'!$I$4:$I$131,MATCH(S44,'G-8 Condition Look up'!$A$4:$A$131,0)),"")</f>
        <v/>
      </c>
      <c r="E44" s="329" t="str">
        <f>'D-1 Off Site Habitat Baseline'!AL43</f>
        <v/>
      </c>
      <c r="F44" s="175" t="str">
        <f>IF(E44="","",IF(ISNA(VLOOKUP($E44,'D-1 Off Site Habitat Baseline'!$D$1:$O$258,4,FALSE)),"",(VLOOKUP($E44,'D-1 Off Site Habitat Baseline'!$D$1:$O$258,4,FALSE))))</f>
        <v/>
      </c>
      <c r="G44" s="175" t="str">
        <f>IF(E44="","",IF(ISNA(VLOOKUP($E44,'D-1 Off Site Habitat Baseline'!$D$1:$O$258,5,FALSE)),"",(VLOOKUP($E44,'D-1 Off Site Habitat Baseline'!$D$1:$O$258,5,FALSE))))</f>
        <v/>
      </c>
      <c r="H44" s="175" t="str">
        <f>IF(E44="","",IF(ISNA(VLOOKUP($E44,'D-1 Off Site Habitat Baseline'!$D$1:$O$258,6,FALSE)),"",(VLOOKUP($E44,'D-1 Off Site Habitat Baseline'!$D$1:$O$258,6,FALSE))))</f>
        <v/>
      </c>
      <c r="I44" s="175" t="str">
        <f>IF(E44="","",IF(ISNA(VLOOKUP($E44,'D-1 Off Site Habitat Baseline'!$D$1:$O$258,7,FALSE)),"",(VLOOKUP($E44,'D-1 Off Site Habitat Baseline'!$D$1:$O$258,7,FALSE))))</f>
        <v/>
      </c>
      <c r="J44" s="175" t="str">
        <f>IF(E44="","",IF(ISNA(VLOOKUP($E44,'D-1 Off Site Habitat Baseline'!$D$1:$O$258,8,FALSE)),"",(VLOOKUP($E44,'D-1 Off Site Habitat Baseline'!$D$1:$O$258,8,FALSE))))</f>
        <v/>
      </c>
      <c r="K44" s="175" t="str">
        <f>IF(E44="","",IF(ISNA(VLOOKUP($E44,'D-1 Off Site Habitat Baseline'!$D$1:$O$258,9,FALSE)),"",(VLOOKUP($E44,'D-1 Off Site Habitat Baseline'!$D$1:$O$258,9,FALSE))))</f>
        <v/>
      </c>
      <c r="L44" s="175" t="str">
        <f>IF(E44="","",IF(ISNA(VLOOKUP($E44,'D-1 Off Site Habitat Baseline'!$D$1:$O$258,11,FALSE)),"",(VLOOKUP($E44,'D-1 Off Site Habitat Baseline'!$D$1:$O$258,11,FALSE))))</f>
        <v/>
      </c>
      <c r="M44" s="175" t="str">
        <f>IF(E44="","",IF(ISNA(VLOOKUP($E44,'D-1 Off Site Habitat Baseline'!$D$1:$O$258,12,FALSE)),"",(VLOOKUP($E44,'D-1 Off Site Habitat Baseline'!$D$1:$O$258,12,FALSE))))</f>
        <v/>
      </c>
      <c r="N44" s="175" t="str">
        <f>IF(E44="","",IF(ISNA(VLOOKUP($E44,'D-1 Off Site Habitat Baseline'!$D$1:$X$258,14,FALSE)),"",(VLOOKUP($E44,'D-1 Off Site Habitat Baseline'!$D$1:$X$258,14,FALSE))))</f>
        <v/>
      </c>
      <c r="O44" s="176" t="str">
        <f>IF(E44="","",IF(ISNA(VLOOKUP($E44,'D-1 Off Site Habitat Baseline'!$D$1:$X$258,13,FALSE)),"",(VLOOKUP($E44,'D-1 Off Site Habitat Baseline'!$D$1:$X$258,13,FALSE))))</f>
        <v/>
      </c>
      <c r="P44" s="337" t="str">
        <f>IFERROR(INDEX('G-1 All Habitats'!$AG$3:$AG$15,MATCH(Q44,'G-1 All Habitats'!$AF$3:$AF$15,0)),"")</f>
        <v/>
      </c>
      <c r="Q44" s="331" t="str">
        <f t="shared" si="13"/>
        <v/>
      </c>
      <c r="R44" s="332" t="str">
        <f t="shared" si="14"/>
        <v/>
      </c>
      <c r="S44" s="338" t="str">
        <f>IFERROR(INDEX('G-1 All Habitats'!$B$3:$B$130,MATCH(R44,'G-1 All Habitats'!$A$3:$A$130,0)),"")</f>
        <v/>
      </c>
      <c r="T44" s="179" t="str">
        <f t="shared" si="6"/>
        <v/>
      </c>
      <c r="U44" s="172" t="str">
        <f t="shared" si="7"/>
        <v/>
      </c>
      <c r="V44" s="334" t="str">
        <f t="shared" si="2"/>
        <v/>
      </c>
      <c r="W44" s="175" t="str">
        <f>IF(S44="","",VLOOKUP(S44,'G-1 All Habitats'!$B$2:$M$130,10,FALSE))</f>
        <v/>
      </c>
      <c r="X44" s="175" t="str">
        <f>IFERROR(VLOOKUP(W44,'G-1 All Habitats'!$V$3:$W$7,2,FALSE),"")</f>
        <v/>
      </c>
      <c r="Y44" s="275"/>
      <c r="Z44" s="176" t="str">
        <f>IFERROR(INDEX('G-8 Condition Look up'!$A$3:$H$131,MATCH(S44,'G-8 Condition Look up'!$A$3:$A$131,0),MATCH(Y44,'G-8 Condition Look up'!$A$3:$H$3,0)),"")</f>
        <v/>
      </c>
      <c r="AA44" s="173"/>
      <c r="AB44" s="269" t="str">
        <f>IF(AA44="","",IF(VLOOKUP(AA44,'G-3 Multipliers'!$L$3:$N$6,2,FALSE)=0,"Spatial Data Missing",VLOOKUP(AA44,'G-3 Multipliers'!$L$3:$N$6,2,FALSE)))</f>
        <v/>
      </c>
      <c r="AC44" s="176" t="str">
        <f>IF(AA44="","",IF(VLOOKUP(AA44,'G-3 Multipliers'!$L$3:$N$6,3,FALSE)=0,"Spatial Data Missing",VLOOKUP(AA44,'G-3 Multipliers'!$L$3:$N$6,3,FALSE)))</f>
        <v/>
      </c>
      <c r="AD44" s="239" t="str">
        <f t="shared" si="3"/>
        <v/>
      </c>
      <c r="AE44" s="275"/>
      <c r="AF44" s="275"/>
      <c r="AG44" s="175" t="str">
        <f t="shared" si="8"/>
        <v/>
      </c>
      <c r="AH44" s="242" t="str">
        <f t="shared" si="9"/>
        <v/>
      </c>
      <c r="AI44" s="335" t="str">
        <f>IF(AH44="Check Data","Check Data",IFERROR(VLOOKUP(AH44,'G-4 Temporal multipliers'!$A$4:$C$36,3,FALSE),""))</f>
        <v/>
      </c>
      <c r="AJ44" s="239" t="str">
        <f>IF(S44="","",VLOOKUP(S44,'G-3 Multipliers'!$A$2:$E$130,4,FALSE))</f>
        <v/>
      </c>
      <c r="AK44" s="175" t="str">
        <f t="shared" si="10"/>
        <v/>
      </c>
      <c r="AL44" s="175" t="str">
        <f t="shared" si="11"/>
        <v/>
      </c>
      <c r="AM44" s="176" t="str">
        <f>IFERROR(IF(F44="","",IF(AH44="Check Data","Check Data",VLOOKUP(AL44, 'G-3 Multipliers'!$P$2:$Q$6,2,FALSE))),””)</f>
        <v/>
      </c>
      <c r="AN44" s="266"/>
      <c r="AO44" s="269" t="str">
        <f>IF(AN44="","",IF(VLOOKUP(AN44,'G-3 Multipliers'!$S$3:$T$9,2,FALSE)=0,"Spatial Data Missing",VLOOKUP(AN44,'G-3 Multipliers'!$S$3:$T$9,2,FALSE)))</f>
        <v/>
      </c>
      <c r="AP44" s="207" t="str">
        <f t="shared" si="12"/>
        <v/>
      </c>
      <c r="AQ44" s="336"/>
      <c r="AR44" s="181"/>
    </row>
    <row r="45" spans="1:44" x14ac:dyDescent="0.25">
      <c r="A45" s="35" t="str">
        <f>IF(E45="","",IF(ISNA(VLOOKUP($E45,'D-1 Off Site Habitat Baseline'!$D$1:$O$258,2,FALSE)),"",(VLOOKUP($E45,'D-1 Off Site Habitat Baseline'!$D$1:$O$258,2,FALSE))))</f>
        <v/>
      </c>
      <c r="B45" s="35" t="str">
        <f>IF(E45="","",IF(ISNA(VLOOKUP($E45,'D-1 Off Site Habitat Baseline'!$D$1:$O$258,3,FALSE)),"",(VLOOKUP($E45,'D-1 Off Site Habitat Baseline'!$D$1:$O$258,3,FALSE))))</f>
        <v/>
      </c>
      <c r="C45" s="35" t="str">
        <f>IFERROR(INDEX('G-8 Condition Look up'!$I$4:$I$131,MATCH(S45,'G-8 Condition Look up'!$A$4:$A$131,0)),"")</f>
        <v/>
      </c>
      <c r="E45" s="329" t="str">
        <f>'D-1 Off Site Habitat Baseline'!AL44</f>
        <v/>
      </c>
      <c r="F45" s="175" t="str">
        <f>IF(E45="","",IF(ISNA(VLOOKUP($E45,'D-1 Off Site Habitat Baseline'!$D$1:$O$258,4,FALSE)),"",(VLOOKUP($E45,'D-1 Off Site Habitat Baseline'!$D$1:$O$258,4,FALSE))))</f>
        <v/>
      </c>
      <c r="G45" s="175" t="str">
        <f>IF(E45="","",IF(ISNA(VLOOKUP($E45,'D-1 Off Site Habitat Baseline'!$D$1:$O$258,5,FALSE)),"",(VLOOKUP($E45,'D-1 Off Site Habitat Baseline'!$D$1:$O$258,5,FALSE))))</f>
        <v/>
      </c>
      <c r="H45" s="175" t="str">
        <f>IF(E45="","",IF(ISNA(VLOOKUP($E45,'D-1 Off Site Habitat Baseline'!$D$1:$O$258,6,FALSE)),"",(VLOOKUP($E45,'D-1 Off Site Habitat Baseline'!$D$1:$O$258,6,FALSE))))</f>
        <v/>
      </c>
      <c r="I45" s="175" t="str">
        <f>IF(E45="","",IF(ISNA(VLOOKUP($E45,'D-1 Off Site Habitat Baseline'!$D$1:$O$258,7,FALSE)),"",(VLOOKUP($E45,'D-1 Off Site Habitat Baseline'!$D$1:$O$258,7,FALSE))))</f>
        <v/>
      </c>
      <c r="J45" s="175" t="str">
        <f>IF(E45="","",IF(ISNA(VLOOKUP($E45,'D-1 Off Site Habitat Baseline'!$D$1:$O$258,8,FALSE)),"",(VLOOKUP($E45,'D-1 Off Site Habitat Baseline'!$D$1:$O$258,8,FALSE))))</f>
        <v/>
      </c>
      <c r="K45" s="175" t="str">
        <f>IF(E45="","",IF(ISNA(VLOOKUP($E45,'D-1 Off Site Habitat Baseline'!$D$1:$O$258,9,FALSE)),"",(VLOOKUP($E45,'D-1 Off Site Habitat Baseline'!$D$1:$O$258,9,FALSE))))</f>
        <v/>
      </c>
      <c r="L45" s="175" t="str">
        <f>IF(E45="","",IF(ISNA(VLOOKUP($E45,'D-1 Off Site Habitat Baseline'!$D$1:$O$258,11,FALSE)),"",(VLOOKUP($E45,'D-1 Off Site Habitat Baseline'!$D$1:$O$258,11,FALSE))))</f>
        <v/>
      </c>
      <c r="M45" s="175" t="str">
        <f>IF(E45="","",IF(ISNA(VLOOKUP($E45,'D-1 Off Site Habitat Baseline'!$D$1:$O$258,12,FALSE)),"",(VLOOKUP($E45,'D-1 Off Site Habitat Baseline'!$D$1:$O$258,12,FALSE))))</f>
        <v/>
      </c>
      <c r="N45" s="175" t="str">
        <f>IF(E45="","",IF(ISNA(VLOOKUP($E45,'D-1 Off Site Habitat Baseline'!$D$1:$X$258,14,FALSE)),"",(VLOOKUP($E45,'D-1 Off Site Habitat Baseline'!$D$1:$X$258,14,FALSE))))</f>
        <v/>
      </c>
      <c r="O45" s="176" t="str">
        <f>IF(E45="","",IF(ISNA(VLOOKUP($E45,'D-1 Off Site Habitat Baseline'!$D$1:$X$258,13,FALSE)),"",(VLOOKUP($E45,'D-1 Off Site Habitat Baseline'!$D$1:$X$258,13,FALSE))))</f>
        <v/>
      </c>
      <c r="P45" s="337" t="str">
        <f>IFERROR(INDEX('G-1 All Habitats'!$AG$3:$AG$15,MATCH(Q45,'G-1 All Habitats'!$AF$3:$AF$15,0)),"")</f>
        <v/>
      </c>
      <c r="Q45" s="331" t="str">
        <f t="shared" si="13"/>
        <v/>
      </c>
      <c r="R45" s="332" t="str">
        <f t="shared" si="14"/>
        <v/>
      </c>
      <c r="S45" s="338" t="str">
        <f>IFERROR(INDEX('G-1 All Habitats'!$B$3:$B$130,MATCH(R45,'G-1 All Habitats'!$A$3:$A$130,0)),"")</f>
        <v/>
      </c>
      <c r="T45" s="179" t="str">
        <f t="shared" si="6"/>
        <v/>
      </c>
      <c r="U45" s="172" t="str">
        <f t="shared" si="7"/>
        <v/>
      </c>
      <c r="V45" s="334" t="str">
        <f t="shared" si="2"/>
        <v/>
      </c>
      <c r="W45" s="175" t="str">
        <f>IF(S45="","",VLOOKUP(S45,'G-1 All Habitats'!$B$2:$M$130,10,FALSE))</f>
        <v/>
      </c>
      <c r="X45" s="175" t="str">
        <f>IFERROR(VLOOKUP(W45,'G-1 All Habitats'!$V$3:$W$7,2,FALSE),"")</f>
        <v/>
      </c>
      <c r="Y45" s="275"/>
      <c r="Z45" s="176" t="str">
        <f>IFERROR(INDEX('G-8 Condition Look up'!$A$3:$H$131,MATCH(S45,'G-8 Condition Look up'!$A$3:$A$131,0),MATCH(Y45,'G-8 Condition Look up'!$A$3:$H$3,0)),"")</f>
        <v/>
      </c>
      <c r="AA45" s="173"/>
      <c r="AB45" s="269" t="str">
        <f>IF(AA45="","",IF(VLOOKUP(AA45,'G-3 Multipliers'!$L$3:$N$6,2,FALSE)=0,"Spatial Data Missing",VLOOKUP(AA45,'G-3 Multipliers'!$L$3:$N$6,2,FALSE)))</f>
        <v/>
      </c>
      <c r="AC45" s="176" t="str">
        <f>IF(AA45="","",IF(VLOOKUP(AA45,'G-3 Multipliers'!$L$3:$N$6,3,FALSE)=0,"Spatial Data Missing",VLOOKUP(AA45,'G-3 Multipliers'!$L$3:$N$6,3,FALSE)))</f>
        <v/>
      </c>
      <c r="AD45" s="239" t="str">
        <f t="shared" si="3"/>
        <v/>
      </c>
      <c r="AE45" s="275"/>
      <c r="AF45" s="275"/>
      <c r="AG45" s="175" t="str">
        <f t="shared" si="8"/>
        <v/>
      </c>
      <c r="AH45" s="242" t="str">
        <f t="shared" si="9"/>
        <v/>
      </c>
      <c r="AI45" s="335" t="str">
        <f>IF(AH45="Check Data","Check Data",IFERROR(VLOOKUP(AH45,'G-4 Temporal multipliers'!$A$4:$C$36,3,FALSE),""))</f>
        <v/>
      </c>
      <c r="AJ45" s="239" t="str">
        <f>IF(S45="","",VLOOKUP(S45,'G-3 Multipliers'!$A$2:$E$130,4,FALSE))</f>
        <v/>
      </c>
      <c r="AK45" s="175" t="str">
        <f t="shared" si="10"/>
        <v/>
      </c>
      <c r="AL45" s="175" t="str">
        <f t="shared" si="11"/>
        <v/>
      </c>
      <c r="AM45" s="176" t="str">
        <f>IFERROR(IF(F45="","",IF(AH45="Check Data","Check Data",VLOOKUP(AL45, 'G-3 Multipliers'!$P$2:$Q$6,2,FALSE))),””)</f>
        <v/>
      </c>
      <c r="AN45" s="266"/>
      <c r="AO45" s="269" t="str">
        <f>IF(AN45="","",IF(VLOOKUP(AN45,'G-3 Multipliers'!$S$3:$T$9,2,FALSE)=0,"Spatial Data Missing",VLOOKUP(AN45,'G-3 Multipliers'!$S$3:$T$9,2,FALSE)))</f>
        <v/>
      </c>
      <c r="AP45" s="207" t="str">
        <f t="shared" si="12"/>
        <v/>
      </c>
      <c r="AQ45" s="336"/>
      <c r="AR45" s="181"/>
    </row>
    <row r="46" spans="1:44" x14ac:dyDescent="0.25">
      <c r="A46" s="35" t="str">
        <f>IF(E46="","",IF(ISNA(VLOOKUP($E46,'D-1 Off Site Habitat Baseline'!$D$1:$O$258,2,FALSE)),"",(VLOOKUP($E46,'D-1 Off Site Habitat Baseline'!$D$1:$O$258,2,FALSE))))</f>
        <v/>
      </c>
      <c r="B46" s="35" t="str">
        <f>IF(E46="","",IF(ISNA(VLOOKUP($E46,'D-1 Off Site Habitat Baseline'!$D$1:$O$258,3,FALSE)),"",(VLOOKUP($E46,'D-1 Off Site Habitat Baseline'!$D$1:$O$258,3,FALSE))))</f>
        <v/>
      </c>
      <c r="C46" s="35" t="str">
        <f>IFERROR(INDEX('G-8 Condition Look up'!$I$4:$I$131,MATCH(S46,'G-8 Condition Look up'!$A$4:$A$131,0)),"")</f>
        <v/>
      </c>
      <c r="E46" s="329" t="str">
        <f>'D-1 Off Site Habitat Baseline'!AL45</f>
        <v/>
      </c>
      <c r="F46" s="175" t="str">
        <f>IF(E46="","",IF(ISNA(VLOOKUP($E46,'D-1 Off Site Habitat Baseline'!$D$1:$O$258,4,FALSE)),"",(VLOOKUP($E46,'D-1 Off Site Habitat Baseline'!$D$1:$O$258,4,FALSE))))</f>
        <v/>
      </c>
      <c r="G46" s="175" t="str">
        <f>IF(E46="","",IF(ISNA(VLOOKUP($E46,'D-1 Off Site Habitat Baseline'!$D$1:$O$258,5,FALSE)),"",(VLOOKUP($E46,'D-1 Off Site Habitat Baseline'!$D$1:$O$258,5,FALSE))))</f>
        <v/>
      </c>
      <c r="H46" s="175" t="str">
        <f>IF(E46="","",IF(ISNA(VLOOKUP($E46,'D-1 Off Site Habitat Baseline'!$D$1:$O$258,6,FALSE)),"",(VLOOKUP($E46,'D-1 Off Site Habitat Baseline'!$D$1:$O$258,6,FALSE))))</f>
        <v/>
      </c>
      <c r="I46" s="175" t="str">
        <f>IF(E46="","",IF(ISNA(VLOOKUP($E46,'D-1 Off Site Habitat Baseline'!$D$1:$O$258,7,FALSE)),"",(VLOOKUP($E46,'D-1 Off Site Habitat Baseline'!$D$1:$O$258,7,FALSE))))</f>
        <v/>
      </c>
      <c r="J46" s="175" t="str">
        <f>IF(E46="","",IF(ISNA(VLOOKUP($E46,'D-1 Off Site Habitat Baseline'!$D$1:$O$258,8,FALSE)),"",(VLOOKUP($E46,'D-1 Off Site Habitat Baseline'!$D$1:$O$258,8,FALSE))))</f>
        <v/>
      </c>
      <c r="K46" s="175" t="str">
        <f>IF(E46="","",IF(ISNA(VLOOKUP($E46,'D-1 Off Site Habitat Baseline'!$D$1:$O$258,9,FALSE)),"",(VLOOKUP($E46,'D-1 Off Site Habitat Baseline'!$D$1:$O$258,9,FALSE))))</f>
        <v/>
      </c>
      <c r="L46" s="175" t="str">
        <f>IF(E46="","",IF(ISNA(VLOOKUP($E46,'D-1 Off Site Habitat Baseline'!$D$1:$O$258,11,FALSE)),"",(VLOOKUP($E46,'D-1 Off Site Habitat Baseline'!$D$1:$O$258,11,FALSE))))</f>
        <v/>
      </c>
      <c r="M46" s="175" t="str">
        <f>IF(E46="","",IF(ISNA(VLOOKUP($E46,'D-1 Off Site Habitat Baseline'!$D$1:$O$258,12,FALSE)),"",(VLOOKUP($E46,'D-1 Off Site Habitat Baseline'!$D$1:$O$258,12,FALSE))))</f>
        <v/>
      </c>
      <c r="N46" s="175" t="str">
        <f>IF(E46="","",IF(ISNA(VLOOKUP($E46,'D-1 Off Site Habitat Baseline'!$D$1:$X$258,14,FALSE)),"",(VLOOKUP($E46,'D-1 Off Site Habitat Baseline'!$D$1:$X$258,14,FALSE))))</f>
        <v/>
      </c>
      <c r="O46" s="176" t="str">
        <f>IF(E46="","",IF(ISNA(VLOOKUP($E46,'D-1 Off Site Habitat Baseline'!$D$1:$X$258,13,FALSE)),"",(VLOOKUP($E46,'D-1 Off Site Habitat Baseline'!$D$1:$X$258,13,FALSE))))</f>
        <v/>
      </c>
      <c r="P46" s="337" t="str">
        <f>IFERROR(INDEX('G-1 All Habitats'!$AG$3:$AG$15,MATCH(Q46,'G-1 All Habitats'!$AF$3:$AF$15,0)),"")</f>
        <v/>
      </c>
      <c r="Q46" s="331" t="str">
        <f t="shared" si="13"/>
        <v/>
      </c>
      <c r="R46" s="332" t="str">
        <f t="shared" si="14"/>
        <v/>
      </c>
      <c r="S46" s="338" t="str">
        <f>IFERROR(INDEX('G-1 All Habitats'!$B$3:$B$130,MATCH(R46,'G-1 All Habitats'!$A$3:$A$130,0)),"")</f>
        <v/>
      </c>
      <c r="T46" s="179" t="str">
        <f t="shared" si="6"/>
        <v/>
      </c>
      <c r="U46" s="172" t="str">
        <f t="shared" si="7"/>
        <v/>
      </c>
      <c r="V46" s="334" t="str">
        <f t="shared" si="2"/>
        <v/>
      </c>
      <c r="W46" s="175" t="str">
        <f>IF(S46="","",VLOOKUP(S46,'G-1 All Habitats'!$B$2:$M$130,10,FALSE))</f>
        <v/>
      </c>
      <c r="X46" s="175" t="str">
        <f>IFERROR(VLOOKUP(W46,'G-1 All Habitats'!$V$3:$W$7,2,FALSE),"")</f>
        <v/>
      </c>
      <c r="Y46" s="275"/>
      <c r="Z46" s="176" t="str">
        <f>IFERROR(INDEX('G-8 Condition Look up'!$A$3:$H$131,MATCH(S46,'G-8 Condition Look up'!$A$3:$A$131,0),MATCH(Y46,'G-8 Condition Look up'!$A$3:$H$3,0)),"")</f>
        <v/>
      </c>
      <c r="AA46" s="173"/>
      <c r="AB46" s="269" t="str">
        <f>IF(AA46="","",IF(VLOOKUP(AA46,'G-3 Multipliers'!$L$3:$N$6,2,FALSE)=0,"Spatial Data Missing",VLOOKUP(AA46,'G-3 Multipliers'!$L$3:$N$6,2,FALSE)))</f>
        <v/>
      </c>
      <c r="AC46" s="176" t="str">
        <f>IF(AA46="","",IF(VLOOKUP(AA46,'G-3 Multipliers'!$L$3:$N$6,3,FALSE)=0,"Spatial Data Missing",VLOOKUP(AA46,'G-3 Multipliers'!$L$3:$N$6,3,FALSE)))</f>
        <v/>
      </c>
      <c r="AD46" s="239" t="str">
        <f t="shared" si="3"/>
        <v/>
      </c>
      <c r="AE46" s="275"/>
      <c r="AF46" s="275"/>
      <c r="AG46" s="175" t="str">
        <f t="shared" si="8"/>
        <v/>
      </c>
      <c r="AH46" s="242" t="str">
        <f t="shared" si="9"/>
        <v/>
      </c>
      <c r="AI46" s="335" t="str">
        <f>IF(AH46="Check Data","Check Data",IFERROR(VLOOKUP(AH46,'G-4 Temporal multipliers'!$A$4:$C$36,3,FALSE),""))</f>
        <v/>
      </c>
      <c r="AJ46" s="239" t="str">
        <f>IF(S46="","",VLOOKUP(S46,'G-3 Multipliers'!$A$2:$E$130,4,FALSE))</f>
        <v/>
      </c>
      <c r="AK46" s="175" t="str">
        <f t="shared" si="10"/>
        <v/>
      </c>
      <c r="AL46" s="175" t="str">
        <f t="shared" si="11"/>
        <v/>
      </c>
      <c r="AM46" s="176" t="str">
        <f>IFERROR(IF(F46="","",IF(AH46="Check Data","Check Data",VLOOKUP(AL46, 'G-3 Multipliers'!$P$2:$Q$6,2,FALSE))),””)</f>
        <v/>
      </c>
      <c r="AN46" s="266"/>
      <c r="AO46" s="269" t="str">
        <f>IF(AN46="","",IF(VLOOKUP(AN46,'G-3 Multipliers'!$S$3:$T$9,2,FALSE)=0,"Spatial Data Missing",VLOOKUP(AN46,'G-3 Multipliers'!$S$3:$T$9,2,FALSE)))</f>
        <v/>
      </c>
      <c r="AP46" s="207" t="str">
        <f t="shared" si="12"/>
        <v/>
      </c>
      <c r="AQ46" s="336"/>
      <c r="AR46" s="181"/>
    </row>
    <row r="47" spans="1:44" x14ac:dyDescent="0.25">
      <c r="A47" s="35" t="str">
        <f>IF(E47="","",IF(ISNA(VLOOKUP($E47,'D-1 Off Site Habitat Baseline'!$D$1:$O$258,2,FALSE)),"",(VLOOKUP($E47,'D-1 Off Site Habitat Baseline'!$D$1:$O$258,2,FALSE))))</f>
        <v/>
      </c>
      <c r="B47" s="35" t="str">
        <f>IF(E47="","",IF(ISNA(VLOOKUP($E47,'D-1 Off Site Habitat Baseline'!$D$1:$O$258,3,FALSE)),"",(VLOOKUP($E47,'D-1 Off Site Habitat Baseline'!$D$1:$O$258,3,FALSE))))</f>
        <v/>
      </c>
      <c r="C47" s="35" t="str">
        <f>IFERROR(INDEX('G-8 Condition Look up'!$I$4:$I$131,MATCH(S47,'G-8 Condition Look up'!$A$4:$A$131,0)),"")</f>
        <v/>
      </c>
      <c r="E47" s="329" t="str">
        <f>'D-1 Off Site Habitat Baseline'!AL46</f>
        <v/>
      </c>
      <c r="F47" s="175" t="str">
        <f>IF(E47="","",IF(ISNA(VLOOKUP($E47,'D-1 Off Site Habitat Baseline'!$D$1:$O$258,4,FALSE)),"",(VLOOKUP($E47,'D-1 Off Site Habitat Baseline'!$D$1:$O$258,4,FALSE))))</f>
        <v/>
      </c>
      <c r="G47" s="175" t="str">
        <f>IF(E47="","",IF(ISNA(VLOOKUP($E47,'D-1 Off Site Habitat Baseline'!$D$1:$O$258,5,FALSE)),"",(VLOOKUP($E47,'D-1 Off Site Habitat Baseline'!$D$1:$O$258,5,FALSE))))</f>
        <v/>
      </c>
      <c r="H47" s="175" t="str">
        <f>IF(E47="","",IF(ISNA(VLOOKUP($E47,'D-1 Off Site Habitat Baseline'!$D$1:$O$258,6,FALSE)),"",(VLOOKUP($E47,'D-1 Off Site Habitat Baseline'!$D$1:$O$258,6,FALSE))))</f>
        <v/>
      </c>
      <c r="I47" s="175" t="str">
        <f>IF(E47="","",IF(ISNA(VLOOKUP($E47,'D-1 Off Site Habitat Baseline'!$D$1:$O$258,7,FALSE)),"",(VLOOKUP($E47,'D-1 Off Site Habitat Baseline'!$D$1:$O$258,7,FALSE))))</f>
        <v/>
      </c>
      <c r="J47" s="175" t="str">
        <f>IF(E47="","",IF(ISNA(VLOOKUP($E47,'D-1 Off Site Habitat Baseline'!$D$1:$O$258,8,FALSE)),"",(VLOOKUP($E47,'D-1 Off Site Habitat Baseline'!$D$1:$O$258,8,FALSE))))</f>
        <v/>
      </c>
      <c r="K47" s="175" t="str">
        <f>IF(E47="","",IF(ISNA(VLOOKUP($E47,'D-1 Off Site Habitat Baseline'!$D$1:$O$258,9,FALSE)),"",(VLOOKUP($E47,'D-1 Off Site Habitat Baseline'!$D$1:$O$258,9,FALSE))))</f>
        <v/>
      </c>
      <c r="L47" s="175" t="str">
        <f>IF(E47="","",IF(ISNA(VLOOKUP($E47,'D-1 Off Site Habitat Baseline'!$D$1:$O$258,11,FALSE)),"",(VLOOKUP($E47,'D-1 Off Site Habitat Baseline'!$D$1:$O$258,11,FALSE))))</f>
        <v/>
      </c>
      <c r="M47" s="175" t="str">
        <f>IF(E47="","",IF(ISNA(VLOOKUP($E47,'D-1 Off Site Habitat Baseline'!$D$1:$O$258,12,FALSE)),"",(VLOOKUP($E47,'D-1 Off Site Habitat Baseline'!$D$1:$O$258,12,FALSE))))</f>
        <v/>
      </c>
      <c r="N47" s="175" t="str">
        <f>IF(E47="","",IF(ISNA(VLOOKUP($E47,'D-1 Off Site Habitat Baseline'!$D$1:$X$258,14,FALSE)),"",(VLOOKUP($E47,'D-1 Off Site Habitat Baseline'!$D$1:$X$258,14,FALSE))))</f>
        <v/>
      </c>
      <c r="O47" s="176" t="str">
        <f>IF(E47="","",IF(ISNA(VLOOKUP($E47,'D-1 Off Site Habitat Baseline'!$D$1:$X$258,13,FALSE)),"",(VLOOKUP($E47,'D-1 Off Site Habitat Baseline'!$D$1:$X$258,13,FALSE))))</f>
        <v/>
      </c>
      <c r="P47" s="337" t="str">
        <f>IFERROR(INDEX('G-1 All Habitats'!$AG$3:$AG$15,MATCH(Q47,'G-1 All Habitats'!$AF$3:$AF$15,0)),"")</f>
        <v/>
      </c>
      <c r="Q47" s="331" t="str">
        <f t="shared" si="13"/>
        <v/>
      </c>
      <c r="R47" s="332" t="str">
        <f t="shared" si="14"/>
        <v/>
      </c>
      <c r="S47" s="338" t="str">
        <f>IFERROR(INDEX('G-1 All Habitats'!$B$3:$B$130,MATCH(R47,'G-1 All Habitats'!$A$3:$A$130,0)),"")</f>
        <v/>
      </c>
      <c r="T47" s="179" t="str">
        <f t="shared" si="6"/>
        <v/>
      </c>
      <c r="U47" s="172" t="str">
        <f t="shared" si="7"/>
        <v/>
      </c>
      <c r="V47" s="334" t="str">
        <f t="shared" si="2"/>
        <v/>
      </c>
      <c r="W47" s="175" t="str">
        <f>IF(S47="","",VLOOKUP(S47,'G-1 All Habitats'!$B$2:$M$130,10,FALSE))</f>
        <v/>
      </c>
      <c r="X47" s="175" t="str">
        <f>IFERROR(VLOOKUP(W47,'G-1 All Habitats'!$V$3:$W$7,2,FALSE),"")</f>
        <v/>
      </c>
      <c r="Y47" s="275"/>
      <c r="Z47" s="176" t="str">
        <f>IFERROR(INDEX('G-8 Condition Look up'!$A$3:$H$131,MATCH(S47,'G-8 Condition Look up'!$A$3:$A$131,0),MATCH(Y47,'G-8 Condition Look up'!$A$3:$H$3,0)),"")</f>
        <v/>
      </c>
      <c r="AA47" s="173"/>
      <c r="AB47" s="269" t="str">
        <f>IF(AA47="","",IF(VLOOKUP(AA47,'G-3 Multipliers'!$L$3:$N$6,2,FALSE)=0,"Spatial Data Missing",VLOOKUP(AA47,'G-3 Multipliers'!$L$3:$N$6,2,FALSE)))</f>
        <v/>
      </c>
      <c r="AC47" s="176" t="str">
        <f>IF(AA47="","",IF(VLOOKUP(AA47,'G-3 Multipliers'!$L$3:$N$6,3,FALSE)=0,"Spatial Data Missing",VLOOKUP(AA47,'G-3 Multipliers'!$L$3:$N$6,3,FALSE)))</f>
        <v/>
      </c>
      <c r="AD47" s="239" t="str">
        <f t="shared" si="3"/>
        <v/>
      </c>
      <c r="AE47" s="275"/>
      <c r="AF47" s="275"/>
      <c r="AG47" s="175" t="str">
        <f t="shared" si="8"/>
        <v/>
      </c>
      <c r="AH47" s="242" t="str">
        <f t="shared" si="9"/>
        <v/>
      </c>
      <c r="AI47" s="335" t="str">
        <f>IF(AH47="Check Data","Check Data",IFERROR(VLOOKUP(AH47,'G-4 Temporal multipliers'!$A$4:$C$36,3,FALSE),""))</f>
        <v/>
      </c>
      <c r="AJ47" s="239" t="str">
        <f>IF(S47="","",VLOOKUP(S47,'G-3 Multipliers'!$A$2:$E$130,4,FALSE))</f>
        <v/>
      </c>
      <c r="AK47" s="175" t="str">
        <f t="shared" si="10"/>
        <v/>
      </c>
      <c r="AL47" s="175" t="str">
        <f t="shared" si="11"/>
        <v/>
      </c>
      <c r="AM47" s="176" t="str">
        <f>IFERROR(IF(F47="","",IF(AH47="Check Data","Check Data",VLOOKUP(AL47, 'G-3 Multipliers'!$P$2:$Q$6,2,FALSE))),””)</f>
        <v/>
      </c>
      <c r="AN47" s="266"/>
      <c r="AO47" s="269" t="str">
        <f>IF(AN47="","",IF(VLOOKUP(AN47,'G-3 Multipliers'!$S$3:$T$9,2,FALSE)=0,"Spatial Data Missing",VLOOKUP(AN47,'G-3 Multipliers'!$S$3:$T$9,2,FALSE)))</f>
        <v/>
      </c>
      <c r="AP47" s="207" t="str">
        <f t="shared" si="12"/>
        <v/>
      </c>
      <c r="AQ47" s="336"/>
      <c r="AR47" s="181"/>
    </row>
    <row r="48" spans="1:44" x14ac:dyDescent="0.25">
      <c r="A48" s="35" t="str">
        <f>IF(E48="","",IF(ISNA(VLOOKUP($E48,'D-1 Off Site Habitat Baseline'!$D$1:$O$258,2,FALSE)),"",(VLOOKUP($E48,'D-1 Off Site Habitat Baseline'!$D$1:$O$258,2,FALSE))))</f>
        <v/>
      </c>
      <c r="B48" s="35" t="str">
        <f>IF(E48="","",IF(ISNA(VLOOKUP($E48,'D-1 Off Site Habitat Baseline'!$D$1:$O$258,3,FALSE)),"",(VLOOKUP($E48,'D-1 Off Site Habitat Baseline'!$D$1:$O$258,3,FALSE))))</f>
        <v/>
      </c>
      <c r="C48" s="35" t="str">
        <f>IFERROR(INDEX('G-8 Condition Look up'!$I$4:$I$131,MATCH(S48,'G-8 Condition Look up'!$A$4:$A$131,0)),"")</f>
        <v/>
      </c>
      <c r="E48" s="329" t="str">
        <f>'D-1 Off Site Habitat Baseline'!AL47</f>
        <v/>
      </c>
      <c r="F48" s="175" t="str">
        <f>IF(E48="","",IF(ISNA(VLOOKUP($E48,'D-1 Off Site Habitat Baseline'!$D$1:$O$258,4,FALSE)),"",(VLOOKUP($E48,'D-1 Off Site Habitat Baseline'!$D$1:$O$258,4,FALSE))))</f>
        <v/>
      </c>
      <c r="G48" s="175" t="str">
        <f>IF(E48="","",IF(ISNA(VLOOKUP($E48,'D-1 Off Site Habitat Baseline'!$D$1:$O$258,5,FALSE)),"",(VLOOKUP($E48,'D-1 Off Site Habitat Baseline'!$D$1:$O$258,5,FALSE))))</f>
        <v/>
      </c>
      <c r="H48" s="175" t="str">
        <f>IF(E48="","",IF(ISNA(VLOOKUP($E48,'D-1 Off Site Habitat Baseline'!$D$1:$O$258,6,FALSE)),"",(VLOOKUP($E48,'D-1 Off Site Habitat Baseline'!$D$1:$O$258,6,FALSE))))</f>
        <v/>
      </c>
      <c r="I48" s="175" t="str">
        <f>IF(E48="","",IF(ISNA(VLOOKUP($E48,'D-1 Off Site Habitat Baseline'!$D$1:$O$258,7,FALSE)),"",(VLOOKUP($E48,'D-1 Off Site Habitat Baseline'!$D$1:$O$258,7,FALSE))))</f>
        <v/>
      </c>
      <c r="J48" s="175" t="str">
        <f>IF(E48="","",IF(ISNA(VLOOKUP($E48,'D-1 Off Site Habitat Baseline'!$D$1:$O$258,8,FALSE)),"",(VLOOKUP($E48,'D-1 Off Site Habitat Baseline'!$D$1:$O$258,8,FALSE))))</f>
        <v/>
      </c>
      <c r="K48" s="175" t="str">
        <f>IF(E48="","",IF(ISNA(VLOOKUP($E48,'D-1 Off Site Habitat Baseline'!$D$1:$O$258,9,FALSE)),"",(VLOOKUP($E48,'D-1 Off Site Habitat Baseline'!$D$1:$O$258,9,FALSE))))</f>
        <v/>
      </c>
      <c r="L48" s="175" t="str">
        <f>IF(E48="","",IF(ISNA(VLOOKUP($E48,'D-1 Off Site Habitat Baseline'!$D$1:$O$258,11,FALSE)),"",(VLOOKUP($E48,'D-1 Off Site Habitat Baseline'!$D$1:$O$258,11,FALSE))))</f>
        <v/>
      </c>
      <c r="M48" s="175" t="str">
        <f>IF(E48="","",IF(ISNA(VLOOKUP($E48,'D-1 Off Site Habitat Baseline'!$D$1:$O$258,12,FALSE)),"",(VLOOKUP($E48,'D-1 Off Site Habitat Baseline'!$D$1:$O$258,12,FALSE))))</f>
        <v/>
      </c>
      <c r="N48" s="175" t="str">
        <f>IF(E48="","",IF(ISNA(VLOOKUP($E48,'D-1 Off Site Habitat Baseline'!$D$1:$X$258,14,FALSE)),"",(VLOOKUP($E48,'D-1 Off Site Habitat Baseline'!$D$1:$X$258,14,FALSE))))</f>
        <v/>
      </c>
      <c r="O48" s="176" t="str">
        <f>IF(E48="","",IF(ISNA(VLOOKUP($E48,'D-1 Off Site Habitat Baseline'!$D$1:$X$258,13,FALSE)),"",(VLOOKUP($E48,'D-1 Off Site Habitat Baseline'!$D$1:$X$258,13,FALSE))))</f>
        <v/>
      </c>
      <c r="P48" s="337" t="str">
        <f>IFERROR(INDEX('G-1 All Habitats'!$AG$3:$AG$15,MATCH(Q48,'G-1 All Habitats'!$AF$3:$AF$15,0)),"")</f>
        <v/>
      </c>
      <c r="Q48" s="331" t="str">
        <f t="shared" si="13"/>
        <v/>
      </c>
      <c r="R48" s="332" t="str">
        <f t="shared" si="14"/>
        <v/>
      </c>
      <c r="S48" s="338" t="str">
        <f>IFERROR(INDEX('G-1 All Habitats'!$B$3:$B$130,MATCH(R48,'G-1 All Habitats'!$A$3:$A$130,0)),"")</f>
        <v/>
      </c>
      <c r="T48" s="179" t="str">
        <f t="shared" si="6"/>
        <v/>
      </c>
      <c r="U48" s="172" t="str">
        <f t="shared" si="7"/>
        <v/>
      </c>
      <c r="V48" s="334" t="str">
        <f t="shared" si="2"/>
        <v/>
      </c>
      <c r="W48" s="175" t="str">
        <f>IF(S48="","",VLOOKUP(S48,'G-1 All Habitats'!$B$2:$M$130,10,FALSE))</f>
        <v/>
      </c>
      <c r="X48" s="175" t="str">
        <f>IFERROR(VLOOKUP(W48,'G-1 All Habitats'!$V$3:$W$7,2,FALSE),"")</f>
        <v/>
      </c>
      <c r="Y48" s="275"/>
      <c r="Z48" s="176" t="str">
        <f>IFERROR(INDEX('G-8 Condition Look up'!$A$3:$H$131,MATCH(S48,'G-8 Condition Look up'!$A$3:$A$131,0),MATCH(Y48,'G-8 Condition Look up'!$A$3:$H$3,0)),"")</f>
        <v/>
      </c>
      <c r="AA48" s="173"/>
      <c r="AB48" s="269" t="str">
        <f>IF(AA48="","",IF(VLOOKUP(AA48,'G-3 Multipliers'!$L$3:$N$6,2,FALSE)=0,"Spatial Data Missing",VLOOKUP(AA48,'G-3 Multipliers'!$L$3:$N$6,2,FALSE)))</f>
        <v/>
      </c>
      <c r="AC48" s="176" t="str">
        <f>IF(AA48="","",IF(VLOOKUP(AA48,'G-3 Multipliers'!$L$3:$N$6,3,FALSE)=0,"Spatial Data Missing",VLOOKUP(AA48,'G-3 Multipliers'!$L$3:$N$6,3,FALSE)))</f>
        <v/>
      </c>
      <c r="AD48" s="239" t="str">
        <f t="shared" si="3"/>
        <v/>
      </c>
      <c r="AE48" s="275"/>
      <c r="AF48" s="275"/>
      <c r="AG48" s="175" t="str">
        <f t="shared" si="8"/>
        <v/>
      </c>
      <c r="AH48" s="242" t="str">
        <f t="shared" si="9"/>
        <v/>
      </c>
      <c r="AI48" s="335" t="str">
        <f>IF(AH48="Check Data","Check Data",IFERROR(VLOOKUP(AH48,'G-4 Temporal multipliers'!$A$4:$C$36,3,FALSE),""))</f>
        <v/>
      </c>
      <c r="AJ48" s="239" t="str">
        <f>IF(S48="","",VLOOKUP(S48,'G-3 Multipliers'!$A$2:$E$130,4,FALSE))</f>
        <v/>
      </c>
      <c r="AK48" s="175" t="str">
        <f t="shared" si="10"/>
        <v/>
      </c>
      <c r="AL48" s="175" t="str">
        <f t="shared" si="11"/>
        <v/>
      </c>
      <c r="AM48" s="176" t="str">
        <f>IFERROR(IF(F48="","",IF(AH48="Check Data","Check Data",VLOOKUP(AL48, 'G-3 Multipliers'!$P$2:$Q$6,2,FALSE))),””)</f>
        <v/>
      </c>
      <c r="AN48" s="266"/>
      <c r="AO48" s="269" t="str">
        <f>IF(AN48="","",IF(VLOOKUP(AN48,'G-3 Multipliers'!$S$3:$T$9,2,FALSE)=0,"Spatial Data Missing",VLOOKUP(AN48,'G-3 Multipliers'!$S$3:$T$9,2,FALSE)))</f>
        <v/>
      </c>
      <c r="AP48" s="207" t="str">
        <f t="shared" si="12"/>
        <v/>
      </c>
      <c r="AQ48" s="336"/>
      <c r="AR48" s="181"/>
    </row>
    <row r="49" spans="1:44" x14ac:dyDescent="0.25">
      <c r="A49" s="35" t="str">
        <f>IF(E49="","",IF(ISNA(VLOOKUP($E49,'D-1 Off Site Habitat Baseline'!$D$1:$O$258,2,FALSE)),"",(VLOOKUP($E49,'D-1 Off Site Habitat Baseline'!$D$1:$O$258,2,FALSE))))</f>
        <v/>
      </c>
      <c r="B49" s="35" t="str">
        <f>IF(E49="","",IF(ISNA(VLOOKUP($E49,'D-1 Off Site Habitat Baseline'!$D$1:$O$258,3,FALSE)),"",(VLOOKUP($E49,'D-1 Off Site Habitat Baseline'!$D$1:$O$258,3,FALSE))))</f>
        <v/>
      </c>
      <c r="C49" s="35" t="str">
        <f>IFERROR(INDEX('G-8 Condition Look up'!$I$4:$I$131,MATCH(S49,'G-8 Condition Look up'!$A$4:$A$131,0)),"")</f>
        <v/>
      </c>
      <c r="E49" s="329" t="str">
        <f>'D-1 Off Site Habitat Baseline'!AL48</f>
        <v/>
      </c>
      <c r="F49" s="175" t="str">
        <f>IF(E49="","",IF(ISNA(VLOOKUP($E49,'D-1 Off Site Habitat Baseline'!$D$1:$O$258,4,FALSE)),"",(VLOOKUP($E49,'D-1 Off Site Habitat Baseline'!$D$1:$O$258,4,FALSE))))</f>
        <v/>
      </c>
      <c r="G49" s="175" t="str">
        <f>IF(E49="","",IF(ISNA(VLOOKUP($E49,'D-1 Off Site Habitat Baseline'!$D$1:$O$258,5,FALSE)),"",(VLOOKUP($E49,'D-1 Off Site Habitat Baseline'!$D$1:$O$258,5,FALSE))))</f>
        <v/>
      </c>
      <c r="H49" s="175" t="str">
        <f>IF(E49="","",IF(ISNA(VLOOKUP($E49,'D-1 Off Site Habitat Baseline'!$D$1:$O$258,6,FALSE)),"",(VLOOKUP($E49,'D-1 Off Site Habitat Baseline'!$D$1:$O$258,6,FALSE))))</f>
        <v/>
      </c>
      <c r="I49" s="175" t="str">
        <f>IF(E49="","",IF(ISNA(VLOOKUP($E49,'D-1 Off Site Habitat Baseline'!$D$1:$O$258,7,FALSE)),"",(VLOOKUP($E49,'D-1 Off Site Habitat Baseline'!$D$1:$O$258,7,FALSE))))</f>
        <v/>
      </c>
      <c r="J49" s="175" t="str">
        <f>IF(E49="","",IF(ISNA(VLOOKUP($E49,'D-1 Off Site Habitat Baseline'!$D$1:$O$258,8,FALSE)),"",(VLOOKUP($E49,'D-1 Off Site Habitat Baseline'!$D$1:$O$258,8,FALSE))))</f>
        <v/>
      </c>
      <c r="K49" s="175" t="str">
        <f>IF(E49="","",IF(ISNA(VLOOKUP($E49,'D-1 Off Site Habitat Baseline'!$D$1:$O$258,9,FALSE)),"",(VLOOKUP($E49,'D-1 Off Site Habitat Baseline'!$D$1:$O$258,9,FALSE))))</f>
        <v/>
      </c>
      <c r="L49" s="175" t="str">
        <f>IF(E49="","",IF(ISNA(VLOOKUP($E49,'D-1 Off Site Habitat Baseline'!$D$1:$O$258,11,FALSE)),"",(VLOOKUP($E49,'D-1 Off Site Habitat Baseline'!$D$1:$O$258,11,FALSE))))</f>
        <v/>
      </c>
      <c r="M49" s="175" t="str">
        <f>IF(E49="","",IF(ISNA(VLOOKUP($E49,'D-1 Off Site Habitat Baseline'!$D$1:$O$258,12,FALSE)),"",(VLOOKUP($E49,'D-1 Off Site Habitat Baseline'!$D$1:$O$258,12,FALSE))))</f>
        <v/>
      </c>
      <c r="N49" s="175" t="str">
        <f>IF(E49="","",IF(ISNA(VLOOKUP($E49,'D-1 Off Site Habitat Baseline'!$D$1:$X$258,14,FALSE)),"",(VLOOKUP($E49,'D-1 Off Site Habitat Baseline'!$D$1:$X$258,14,FALSE))))</f>
        <v/>
      </c>
      <c r="O49" s="176" t="str">
        <f>IF(E49="","",IF(ISNA(VLOOKUP($E49,'D-1 Off Site Habitat Baseline'!$D$1:$X$258,13,FALSE)),"",(VLOOKUP($E49,'D-1 Off Site Habitat Baseline'!$D$1:$X$258,13,FALSE))))</f>
        <v/>
      </c>
      <c r="P49" s="337" t="str">
        <f>IFERROR(INDEX('G-1 All Habitats'!$AG$3:$AG$15,MATCH(Q49,'G-1 All Habitats'!$AF$3:$AF$15,0)),"")</f>
        <v/>
      </c>
      <c r="Q49" s="331" t="str">
        <f t="shared" si="13"/>
        <v/>
      </c>
      <c r="R49" s="332" t="str">
        <f t="shared" si="14"/>
        <v/>
      </c>
      <c r="S49" s="338" t="str">
        <f>IFERROR(INDEX('G-1 All Habitats'!$B$3:$B$130,MATCH(R49,'G-1 All Habitats'!$A$3:$A$130,0)),"")</f>
        <v/>
      </c>
      <c r="T49" s="179" t="str">
        <f t="shared" si="6"/>
        <v/>
      </c>
      <c r="U49" s="172" t="str">
        <f t="shared" si="7"/>
        <v/>
      </c>
      <c r="V49" s="334" t="str">
        <f t="shared" si="2"/>
        <v/>
      </c>
      <c r="W49" s="175" t="str">
        <f>IF(S49="","",VLOOKUP(S49,'G-1 All Habitats'!$B$2:$M$130,10,FALSE))</f>
        <v/>
      </c>
      <c r="X49" s="175" t="str">
        <f>IFERROR(VLOOKUP(W49,'G-1 All Habitats'!$V$3:$W$7,2,FALSE),"")</f>
        <v/>
      </c>
      <c r="Y49" s="275"/>
      <c r="Z49" s="176" t="str">
        <f>IFERROR(INDEX('G-8 Condition Look up'!$A$3:$H$131,MATCH(S49,'G-8 Condition Look up'!$A$3:$A$131,0),MATCH(Y49,'G-8 Condition Look up'!$A$3:$H$3,0)),"")</f>
        <v/>
      </c>
      <c r="AA49" s="173"/>
      <c r="AB49" s="269" t="str">
        <f>IF(AA49="","",IF(VLOOKUP(AA49,'G-3 Multipliers'!$L$3:$N$6,2,FALSE)=0,"Spatial Data Missing",VLOOKUP(AA49,'G-3 Multipliers'!$L$3:$N$6,2,FALSE)))</f>
        <v/>
      </c>
      <c r="AC49" s="176" t="str">
        <f>IF(AA49="","",IF(VLOOKUP(AA49,'G-3 Multipliers'!$L$3:$N$6,3,FALSE)=0,"Spatial Data Missing",VLOOKUP(AA49,'G-3 Multipliers'!$L$3:$N$6,3,FALSE)))</f>
        <v/>
      </c>
      <c r="AD49" s="239" t="str">
        <f t="shared" si="3"/>
        <v/>
      </c>
      <c r="AE49" s="275"/>
      <c r="AF49" s="275"/>
      <c r="AG49" s="175" t="str">
        <f t="shared" si="8"/>
        <v/>
      </c>
      <c r="AH49" s="242" t="str">
        <f t="shared" si="9"/>
        <v/>
      </c>
      <c r="AI49" s="335" t="str">
        <f>IF(AH49="Check Data","Check Data",IFERROR(VLOOKUP(AH49,'G-4 Temporal multipliers'!$A$4:$C$36,3,FALSE),""))</f>
        <v/>
      </c>
      <c r="AJ49" s="239" t="str">
        <f>IF(S49="","",VLOOKUP(S49,'G-3 Multipliers'!$A$2:$E$130,4,FALSE))</f>
        <v/>
      </c>
      <c r="AK49" s="175" t="str">
        <f t="shared" si="10"/>
        <v/>
      </c>
      <c r="AL49" s="175" t="str">
        <f t="shared" si="11"/>
        <v/>
      </c>
      <c r="AM49" s="176" t="str">
        <f>IFERROR(IF(F49="","",IF(AH49="Check Data","Check Data",VLOOKUP(AL49, 'G-3 Multipliers'!$P$2:$Q$6,2,FALSE))),””)</f>
        <v/>
      </c>
      <c r="AN49" s="266"/>
      <c r="AO49" s="269" t="str">
        <f>IF(AN49="","",IF(VLOOKUP(AN49,'G-3 Multipliers'!$S$3:$T$9,2,FALSE)=0,"Spatial Data Missing",VLOOKUP(AN49,'G-3 Multipliers'!$S$3:$T$9,2,FALSE)))</f>
        <v/>
      </c>
      <c r="AP49" s="207" t="str">
        <f t="shared" si="12"/>
        <v/>
      </c>
      <c r="AQ49" s="336"/>
      <c r="AR49" s="181"/>
    </row>
    <row r="50" spans="1:44" x14ac:dyDescent="0.25">
      <c r="A50" s="35" t="str">
        <f>IF(E50="","",IF(ISNA(VLOOKUP($E50,'D-1 Off Site Habitat Baseline'!$D$1:$O$258,2,FALSE)),"",(VLOOKUP($E50,'D-1 Off Site Habitat Baseline'!$D$1:$O$258,2,FALSE))))</f>
        <v/>
      </c>
      <c r="B50" s="35" t="str">
        <f>IF(E50="","",IF(ISNA(VLOOKUP($E50,'D-1 Off Site Habitat Baseline'!$D$1:$O$258,3,FALSE)),"",(VLOOKUP($E50,'D-1 Off Site Habitat Baseline'!$D$1:$O$258,3,FALSE))))</f>
        <v/>
      </c>
      <c r="C50" s="35" t="str">
        <f>IFERROR(INDEX('G-8 Condition Look up'!$I$4:$I$131,MATCH(S50,'G-8 Condition Look up'!$A$4:$A$131,0)),"")</f>
        <v/>
      </c>
      <c r="E50" s="329" t="str">
        <f>'D-1 Off Site Habitat Baseline'!AL49</f>
        <v/>
      </c>
      <c r="F50" s="175" t="str">
        <f>IF(E50="","",IF(ISNA(VLOOKUP($E50,'D-1 Off Site Habitat Baseline'!$D$1:$O$258,4,FALSE)),"",(VLOOKUP($E50,'D-1 Off Site Habitat Baseline'!$D$1:$O$258,4,FALSE))))</f>
        <v/>
      </c>
      <c r="G50" s="175" t="str">
        <f>IF(E50="","",IF(ISNA(VLOOKUP($E50,'D-1 Off Site Habitat Baseline'!$D$1:$O$258,5,FALSE)),"",(VLOOKUP($E50,'D-1 Off Site Habitat Baseline'!$D$1:$O$258,5,FALSE))))</f>
        <v/>
      </c>
      <c r="H50" s="175" t="str">
        <f>IF(E50="","",IF(ISNA(VLOOKUP($E50,'D-1 Off Site Habitat Baseline'!$D$1:$O$258,6,FALSE)),"",(VLOOKUP($E50,'D-1 Off Site Habitat Baseline'!$D$1:$O$258,6,FALSE))))</f>
        <v/>
      </c>
      <c r="I50" s="175" t="str">
        <f>IF(E50="","",IF(ISNA(VLOOKUP($E50,'D-1 Off Site Habitat Baseline'!$D$1:$O$258,7,FALSE)),"",(VLOOKUP($E50,'D-1 Off Site Habitat Baseline'!$D$1:$O$258,7,FALSE))))</f>
        <v/>
      </c>
      <c r="J50" s="175" t="str">
        <f>IF(E50="","",IF(ISNA(VLOOKUP($E50,'D-1 Off Site Habitat Baseline'!$D$1:$O$258,8,FALSE)),"",(VLOOKUP($E50,'D-1 Off Site Habitat Baseline'!$D$1:$O$258,8,FALSE))))</f>
        <v/>
      </c>
      <c r="K50" s="175" t="str">
        <f>IF(E50="","",IF(ISNA(VLOOKUP($E50,'D-1 Off Site Habitat Baseline'!$D$1:$O$258,9,FALSE)),"",(VLOOKUP($E50,'D-1 Off Site Habitat Baseline'!$D$1:$O$258,9,FALSE))))</f>
        <v/>
      </c>
      <c r="L50" s="175" t="str">
        <f>IF(E50="","",IF(ISNA(VLOOKUP($E50,'D-1 Off Site Habitat Baseline'!$D$1:$O$258,11,FALSE)),"",(VLOOKUP($E50,'D-1 Off Site Habitat Baseline'!$D$1:$O$258,11,FALSE))))</f>
        <v/>
      </c>
      <c r="M50" s="175" t="str">
        <f>IF(E50="","",IF(ISNA(VLOOKUP($E50,'D-1 Off Site Habitat Baseline'!$D$1:$O$258,12,FALSE)),"",(VLOOKUP($E50,'D-1 Off Site Habitat Baseline'!$D$1:$O$258,12,FALSE))))</f>
        <v/>
      </c>
      <c r="N50" s="175" t="str">
        <f>IF(E50="","",IF(ISNA(VLOOKUP($E50,'D-1 Off Site Habitat Baseline'!$D$1:$X$258,14,FALSE)),"",(VLOOKUP($E50,'D-1 Off Site Habitat Baseline'!$D$1:$X$258,14,FALSE))))</f>
        <v/>
      </c>
      <c r="O50" s="176" t="str">
        <f>IF(E50="","",IF(ISNA(VLOOKUP($E50,'D-1 Off Site Habitat Baseline'!$D$1:$X$258,13,FALSE)),"",(VLOOKUP($E50,'D-1 Off Site Habitat Baseline'!$D$1:$X$258,13,FALSE))))</f>
        <v/>
      </c>
      <c r="P50" s="337" t="str">
        <f>IFERROR(INDEX('G-1 All Habitats'!$AG$3:$AG$15,MATCH(Q50,'G-1 All Habitats'!$AF$3:$AF$15,0)),"")</f>
        <v/>
      </c>
      <c r="Q50" s="331" t="str">
        <f t="shared" si="13"/>
        <v/>
      </c>
      <c r="R50" s="332" t="str">
        <f t="shared" si="14"/>
        <v/>
      </c>
      <c r="S50" s="338" t="str">
        <f>IFERROR(INDEX('G-1 All Habitats'!$B$3:$B$130,MATCH(R50,'G-1 All Habitats'!$A$3:$A$130,0)),"")</f>
        <v/>
      </c>
      <c r="T50" s="179" t="str">
        <f t="shared" si="6"/>
        <v/>
      </c>
      <c r="U50" s="172" t="str">
        <f t="shared" si="7"/>
        <v/>
      </c>
      <c r="V50" s="334" t="str">
        <f t="shared" si="2"/>
        <v/>
      </c>
      <c r="W50" s="175" t="str">
        <f>IF(S50="","",VLOOKUP(S50,'G-1 All Habitats'!$B$2:$M$130,10,FALSE))</f>
        <v/>
      </c>
      <c r="X50" s="175" t="str">
        <f>IFERROR(VLOOKUP(W50,'G-1 All Habitats'!$V$3:$W$7,2,FALSE),"")</f>
        <v/>
      </c>
      <c r="Y50" s="275"/>
      <c r="Z50" s="176" t="str">
        <f>IFERROR(INDEX('G-8 Condition Look up'!$A$3:$H$131,MATCH(S50,'G-8 Condition Look up'!$A$3:$A$131,0),MATCH(Y50,'G-8 Condition Look up'!$A$3:$H$3,0)),"")</f>
        <v/>
      </c>
      <c r="AA50" s="173"/>
      <c r="AB50" s="269" t="str">
        <f>IF(AA50="","",IF(VLOOKUP(AA50,'G-3 Multipliers'!$L$3:$N$6,2,FALSE)=0,"Spatial Data Missing",VLOOKUP(AA50,'G-3 Multipliers'!$L$3:$N$6,2,FALSE)))</f>
        <v/>
      </c>
      <c r="AC50" s="176" t="str">
        <f>IF(AA50="","",IF(VLOOKUP(AA50,'G-3 Multipliers'!$L$3:$N$6,3,FALSE)=0,"Spatial Data Missing",VLOOKUP(AA50,'G-3 Multipliers'!$L$3:$N$6,3,FALSE)))</f>
        <v/>
      </c>
      <c r="AD50" s="239" t="str">
        <f t="shared" si="3"/>
        <v/>
      </c>
      <c r="AE50" s="275"/>
      <c r="AF50" s="275"/>
      <c r="AG50" s="175" t="str">
        <f t="shared" si="8"/>
        <v/>
      </c>
      <c r="AH50" s="242" t="str">
        <f t="shared" si="9"/>
        <v/>
      </c>
      <c r="AI50" s="335" t="str">
        <f>IF(AH50="Check Data","Check Data",IFERROR(VLOOKUP(AH50,'G-4 Temporal multipliers'!$A$4:$C$36,3,FALSE),""))</f>
        <v/>
      </c>
      <c r="AJ50" s="239" t="str">
        <f>IF(S50="","",VLOOKUP(S50,'G-3 Multipliers'!$A$2:$E$130,4,FALSE))</f>
        <v/>
      </c>
      <c r="AK50" s="175" t="str">
        <f t="shared" si="10"/>
        <v/>
      </c>
      <c r="AL50" s="175" t="str">
        <f t="shared" si="11"/>
        <v/>
      </c>
      <c r="AM50" s="176" t="str">
        <f>IFERROR(IF(F50="","",IF(AH50="Check Data","Check Data",VLOOKUP(AL50, 'G-3 Multipliers'!$P$2:$Q$6,2,FALSE))),””)</f>
        <v/>
      </c>
      <c r="AN50" s="266"/>
      <c r="AO50" s="269" t="str">
        <f>IF(AN50="","",IF(VLOOKUP(AN50,'G-3 Multipliers'!$S$3:$T$9,2,FALSE)=0,"Spatial Data Missing",VLOOKUP(AN50,'G-3 Multipliers'!$S$3:$T$9,2,FALSE)))</f>
        <v/>
      </c>
      <c r="AP50" s="207" t="str">
        <f t="shared" si="12"/>
        <v/>
      </c>
      <c r="AQ50" s="336"/>
      <c r="AR50" s="181"/>
    </row>
    <row r="51" spans="1:44" x14ac:dyDescent="0.25">
      <c r="A51" s="35" t="str">
        <f>IF(E51="","",IF(ISNA(VLOOKUP($E51,'D-1 Off Site Habitat Baseline'!$D$1:$O$258,2,FALSE)),"",(VLOOKUP($E51,'D-1 Off Site Habitat Baseline'!$D$1:$O$258,2,FALSE))))</f>
        <v/>
      </c>
      <c r="B51" s="35" t="str">
        <f>IF(E51="","",IF(ISNA(VLOOKUP($E51,'D-1 Off Site Habitat Baseline'!$D$1:$O$258,3,FALSE)),"",(VLOOKUP($E51,'D-1 Off Site Habitat Baseline'!$D$1:$O$258,3,FALSE))))</f>
        <v/>
      </c>
      <c r="C51" s="35" t="str">
        <f>IFERROR(INDEX('G-8 Condition Look up'!$I$4:$I$131,MATCH(S51,'G-8 Condition Look up'!$A$4:$A$131,0)),"")</f>
        <v/>
      </c>
      <c r="E51" s="329" t="str">
        <f>'D-1 Off Site Habitat Baseline'!AL50</f>
        <v/>
      </c>
      <c r="F51" s="175" t="str">
        <f>IF(E51="","",IF(ISNA(VLOOKUP($E51,'D-1 Off Site Habitat Baseline'!$D$1:$O$258,4,FALSE)),"",(VLOOKUP($E51,'D-1 Off Site Habitat Baseline'!$D$1:$O$258,4,FALSE))))</f>
        <v/>
      </c>
      <c r="G51" s="175" t="str">
        <f>IF(E51="","",IF(ISNA(VLOOKUP($E51,'D-1 Off Site Habitat Baseline'!$D$1:$O$258,5,FALSE)),"",(VLOOKUP($E51,'D-1 Off Site Habitat Baseline'!$D$1:$O$258,5,FALSE))))</f>
        <v/>
      </c>
      <c r="H51" s="175" t="str">
        <f>IF(E51="","",IF(ISNA(VLOOKUP($E51,'D-1 Off Site Habitat Baseline'!$D$1:$O$258,6,FALSE)),"",(VLOOKUP($E51,'D-1 Off Site Habitat Baseline'!$D$1:$O$258,6,FALSE))))</f>
        <v/>
      </c>
      <c r="I51" s="175" t="str">
        <f>IF(E51="","",IF(ISNA(VLOOKUP($E51,'D-1 Off Site Habitat Baseline'!$D$1:$O$258,7,FALSE)),"",(VLOOKUP($E51,'D-1 Off Site Habitat Baseline'!$D$1:$O$258,7,FALSE))))</f>
        <v/>
      </c>
      <c r="J51" s="175" t="str">
        <f>IF(E51="","",IF(ISNA(VLOOKUP($E51,'D-1 Off Site Habitat Baseline'!$D$1:$O$258,8,FALSE)),"",(VLOOKUP($E51,'D-1 Off Site Habitat Baseline'!$D$1:$O$258,8,FALSE))))</f>
        <v/>
      </c>
      <c r="K51" s="175" t="str">
        <f>IF(E51="","",IF(ISNA(VLOOKUP($E51,'D-1 Off Site Habitat Baseline'!$D$1:$O$258,9,FALSE)),"",(VLOOKUP($E51,'D-1 Off Site Habitat Baseline'!$D$1:$O$258,9,FALSE))))</f>
        <v/>
      </c>
      <c r="L51" s="175" t="str">
        <f>IF(E51="","",IF(ISNA(VLOOKUP($E51,'D-1 Off Site Habitat Baseline'!$D$1:$O$258,11,FALSE)),"",(VLOOKUP($E51,'D-1 Off Site Habitat Baseline'!$D$1:$O$258,11,FALSE))))</f>
        <v/>
      </c>
      <c r="M51" s="175" t="str">
        <f>IF(E51="","",IF(ISNA(VLOOKUP($E51,'D-1 Off Site Habitat Baseline'!$D$1:$O$258,12,FALSE)),"",(VLOOKUP($E51,'D-1 Off Site Habitat Baseline'!$D$1:$O$258,12,FALSE))))</f>
        <v/>
      </c>
      <c r="N51" s="175" t="str">
        <f>IF(E51="","",IF(ISNA(VLOOKUP($E51,'D-1 Off Site Habitat Baseline'!$D$1:$X$258,14,FALSE)),"",(VLOOKUP($E51,'D-1 Off Site Habitat Baseline'!$D$1:$X$258,14,FALSE))))</f>
        <v/>
      </c>
      <c r="O51" s="176" t="str">
        <f>IF(E51="","",IF(ISNA(VLOOKUP($E51,'D-1 Off Site Habitat Baseline'!$D$1:$X$258,13,FALSE)),"",(VLOOKUP($E51,'D-1 Off Site Habitat Baseline'!$D$1:$X$258,13,FALSE))))</f>
        <v/>
      </c>
      <c r="P51" s="337" t="str">
        <f>IFERROR(INDEX('G-1 All Habitats'!$AG$3:$AG$15,MATCH(Q51,'G-1 All Habitats'!$AF$3:$AF$15,0)),"")</f>
        <v/>
      </c>
      <c r="Q51" s="331" t="str">
        <f t="shared" si="13"/>
        <v/>
      </c>
      <c r="R51" s="332" t="str">
        <f t="shared" si="14"/>
        <v/>
      </c>
      <c r="S51" s="338" t="str">
        <f>IFERROR(INDEX('G-1 All Habitats'!$B$3:$B$130,MATCH(R51,'G-1 All Habitats'!$A$3:$A$130,0)),"")</f>
        <v/>
      </c>
      <c r="T51" s="179" t="str">
        <f t="shared" si="6"/>
        <v/>
      </c>
      <c r="U51" s="172" t="str">
        <f t="shared" si="7"/>
        <v/>
      </c>
      <c r="V51" s="334" t="str">
        <f t="shared" si="2"/>
        <v/>
      </c>
      <c r="W51" s="175" t="str">
        <f>IF(S51="","",VLOOKUP(S51,'G-1 All Habitats'!$B$2:$M$130,10,FALSE))</f>
        <v/>
      </c>
      <c r="X51" s="175" t="str">
        <f>IFERROR(VLOOKUP(W51,'G-1 All Habitats'!$V$3:$W$7,2,FALSE),"")</f>
        <v/>
      </c>
      <c r="Y51" s="275"/>
      <c r="Z51" s="176" t="str">
        <f>IFERROR(INDEX('G-8 Condition Look up'!$A$3:$H$131,MATCH(S51,'G-8 Condition Look up'!$A$3:$A$131,0),MATCH(Y51,'G-8 Condition Look up'!$A$3:$H$3,0)),"")</f>
        <v/>
      </c>
      <c r="AA51" s="173"/>
      <c r="AB51" s="269" t="str">
        <f>IF(AA51="","",IF(VLOOKUP(AA51,'G-3 Multipliers'!$L$3:$N$6,2,FALSE)=0,"Spatial Data Missing",VLOOKUP(AA51,'G-3 Multipliers'!$L$3:$N$6,2,FALSE)))</f>
        <v/>
      </c>
      <c r="AC51" s="176" t="str">
        <f>IF(AA51="","",IF(VLOOKUP(AA51,'G-3 Multipliers'!$L$3:$N$6,3,FALSE)=0,"Spatial Data Missing",VLOOKUP(AA51,'G-3 Multipliers'!$L$3:$N$6,3,FALSE)))</f>
        <v/>
      </c>
      <c r="AD51" s="239" t="str">
        <f t="shared" si="3"/>
        <v/>
      </c>
      <c r="AE51" s="275"/>
      <c r="AF51" s="275"/>
      <c r="AG51" s="175" t="str">
        <f t="shared" si="8"/>
        <v/>
      </c>
      <c r="AH51" s="242" t="str">
        <f t="shared" si="9"/>
        <v/>
      </c>
      <c r="AI51" s="335" t="str">
        <f>IF(AH51="Check Data","Check Data",IFERROR(VLOOKUP(AH51,'G-4 Temporal multipliers'!$A$4:$C$36,3,FALSE),""))</f>
        <v/>
      </c>
      <c r="AJ51" s="239" t="str">
        <f>IF(S51="","",VLOOKUP(S51,'G-3 Multipliers'!$A$2:$E$130,4,FALSE))</f>
        <v/>
      </c>
      <c r="AK51" s="175" t="str">
        <f t="shared" si="10"/>
        <v/>
      </c>
      <c r="AL51" s="175" t="str">
        <f t="shared" si="11"/>
        <v/>
      </c>
      <c r="AM51" s="176" t="str">
        <f>IFERROR(IF(F51="","",IF(AH51="Check Data","Check Data",VLOOKUP(AL51, 'G-3 Multipliers'!$P$2:$Q$6,2,FALSE))),””)</f>
        <v/>
      </c>
      <c r="AN51" s="266"/>
      <c r="AO51" s="269" t="str">
        <f>IF(AN51="","",IF(VLOOKUP(AN51,'G-3 Multipliers'!$S$3:$T$9,2,FALSE)=0,"Spatial Data Missing",VLOOKUP(AN51,'G-3 Multipliers'!$S$3:$T$9,2,FALSE)))</f>
        <v/>
      </c>
      <c r="AP51" s="207" t="str">
        <f t="shared" si="12"/>
        <v/>
      </c>
      <c r="AQ51" s="336"/>
      <c r="AR51" s="181"/>
    </row>
    <row r="52" spans="1:44" x14ac:dyDescent="0.25">
      <c r="A52" s="35" t="str">
        <f>IF(E52="","",IF(ISNA(VLOOKUP($E52,'D-1 Off Site Habitat Baseline'!$D$1:$O$258,2,FALSE)),"",(VLOOKUP($E52,'D-1 Off Site Habitat Baseline'!$D$1:$O$258,2,FALSE))))</f>
        <v/>
      </c>
      <c r="B52" s="35" t="str">
        <f>IF(E52="","",IF(ISNA(VLOOKUP($E52,'D-1 Off Site Habitat Baseline'!$D$1:$O$258,3,FALSE)),"",(VLOOKUP($E52,'D-1 Off Site Habitat Baseline'!$D$1:$O$258,3,FALSE))))</f>
        <v/>
      </c>
      <c r="C52" s="35" t="str">
        <f>IFERROR(INDEX('G-8 Condition Look up'!$I$4:$I$131,MATCH(S52,'G-8 Condition Look up'!$A$4:$A$131,0)),"")</f>
        <v/>
      </c>
      <c r="E52" s="329" t="str">
        <f>'D-1 Off Site Habitat Baseline'!AL51</f>
        <v/>
      </c>
      <c r="F52" s="175" t="str">
        <f>IF(E52="","",IF(ISNA(VLOOKUP($E52,'D-1 Off Site Habitat Baseline'!$D$1:$O$258,4,FALSE)),"",(VLOOKUP($E52,'D-1 Off Site Habitat Baseline'!$D$1:$O$258,4,FALSE))))</f>
        <v/>
      </c>
      <c r="G52" s="175" t="str">
        <f>IF(E52="","",IF(ISNA(VLOOKUP($E52,'D-1 Off Site Habitat Baseline'!$D$1:$O$258,5,FALSE)),"",(VLOOKUP($E52,'D-1 Off Site Habitat Baseline'!$D$1:$O$258,5,FALSE))))</f>
        <v/>
      </c>
      <c r="H52" s="175" t="str">
        <f>IF(E52="","",IF(ISNA(VLOOKUP($E52,'D-1 Off Site Habitat Baseline'!$D$1:$O$258,6,FALSE)),"",(VLOOKUP($E52,'D-1 Off Site Habitat Baseline'!$D$1:$O$258,6,FALSE))))</f>
        <v/>
      </c>
      <c r="I52" s="175" t="str">
        <f>IF(E52="","",IF(ISNA(VLOOKUP($E52,'D-1 Off Site Habitat Baseline'!$D$1:$O$258,7,FALSE)),"",(VLOOKUP($E52,'D-1 Off Site Habitat Baseline'!$D$1:$O$258,7,FALSE))))</f>
        <v/>
      </c>
      <c r="J52" s="175" t="str">
        <f>IF(E52="","",IF(ISNA(VLOOKUP($E52,'D-1 Off Site Habitat Baseline'!$D$1:$O$258,8,FALSE)),"",(VLOOKUP($E52,'D-1 Off Site Habitat Baseline'!$D$1:$O$258,8,FALSE))))</f>
        <v/>
      </c>
      <c r="K52" s="175" t="str">
        <f>IF(E52="","",IF(ISNA(VLOOKUP($E52,'D-1 Off Site Habitat Baseline'!$D$1:$O$258,9,FALSE)),"",(VLOOKUP($E52,'D-1 Off Site Habitat Baseline'!$D$1:$O$258,9,FALSE))))</f>
        <v/>
      </c>
      <c r="L52" s="175" t="str">
        <f>IF(E52="","",IF(ISNA(VLOOKUP($E52,'D-1 Off Site Habitat Baseline'!$D$1:$O$258,11,FALSE)),"",(VLOOKUP($E52,'D-1 Off Site Habitat Baseline'!$D$1:$O$258,11,FALSE))))</f>
        <v/>
      </c>
      <c r="M52" s="175" t="str">
        <f>IF(E52="","",IF(ISNA(VLOOKUP($E52,'D-1 Off Site Habitat Baseline'!$D$1:$O$258,12,FALSE)),"",(VLOOKUP($E52,'D-1 Off Site Habitat Baseline'!$D$1:$O$258,12,FALSE))))</f>
        <v/>
      </c>
      <c r="N52" s="175" t="str">
        <f>IF(E52="","",IF(ISNA(VLOOKUP($E52,'D-1 Off Site Habitat Baseline'!$D$1:$X$258,14,FALSE)),"",(VLOOKUP($E52,'D-1 Off Site Habitat Baseline'!$D$1:$X$258,14,FALSE))))</f>
        <v/>
      </c>
      <c r="O52" s="176" t="str">
        <f>IF(E52="","",IF(ISNA(VLOOKUP($E52,'D-1 Off Site Habitat Baseline'!$D$1:$X$258,13,FALSE)),"",(VLOOKUP($E52,'D-1 Off Site Habitat Baseline'!$D$1:$X$258,13,FALSE))))</f>
        <v/>
      </c>
      <c r="P52" s="337" t="str">
        <f>IFERROR(INDEX('G-1 All Habitats'!$AG$3:$AG$15,MATCH(Q52,'G-1 All Habitats'!$AF$3:$AF$15,0)),"")</f>
        <v/>
      </c>
      <c r="Q52" s="331" t="str">
        <f t="shared" si="13"/>
        <v/>
      </c>
      <c r="R52" s="332" t="str">
        <f t="shared" si="14"/>
        <v/>
      </c>
      <c r="S52" s="338" t="str">
        <f>IFERROR(INDEX('G-1 All Habitats'!$B$3:$B$130,MATCH(R52,'G-1 All Habitats'!$A$3:$A$130,0)),"")</f>
        <v/>
      </c>
      <c r="T52" s="179" t="str">
        <f t="shared" si="6"/>
        <v/>
      </c>
      <c r="U52" s="172" t="str">
        <f t="shared" si="7"/>
        <v/>
      </c>
      <c r="V52" s="334" t="str">
        <f t="shared" si="2"/>
        <v/>
      </c>
      <c r="W52" s="175" t="str">
        <f>IF(S52="","",VLOOKUP(S52,'G-1 All Habitats'!$B$2:$M$130,10,FALSE))</f>
        <v/>
      </c>
      <c r="X52" s="175" t="str">
        <f>IFERROR(VLOOKUP(W52,'G-1 All Habitats'!$V$3:$W$7,2,FALSE),"")</f>
        <v/>
      </c>
      <c r="Y52" s="275"/>
      <c r="Z52" s="176" t="str">
        <f>IFERROR(INDEX('G-8 Condition Look up'!$A$3:$H$131,MATCH(S52,'G-8 Condition Look up'!$A$3:$A$131,0),MATCH(Y52,'G-8 Condition Look up'!$A$3:$H$3,0)),"")</f>
        <v/>
      </c>
      <c r="AA52" s="173"/>
      <c r="AB52" s="269" t="str">
        <f>IF(AA52="","",IF(VLOOKUP(AA52,'G-3 Multipliers'!$L$3:$N$6,2,FALSE)=0,"Spatial Data Missing",VLOOKUP(AA52,'G-3 Multipliers'!$L$3:$N$6,2,FALSE)))</f>
        <v/>
      </c>
      <c r="AC52" s="176" t="str">
        <f>IF(AA52="","",IF(VLOOKUP(AA52,'G-3 Multipliers'!$L$3:$N$6,3,FALSE)=0,"Spatial Data Missing",VLOOKUP(AA52,'G-3 Multipliers'!$L$3:$N$6,3,FALSE)))</f>
        <v/>
      </c>
      <c r="AD52" s="239" t="str">
        <f t="shared" si="3"/>
        <v/>
      </c>
      <c r="AE52" s="275"/>
      <c r="AF52" s="275"/>
      <c r="AG52" s="175" t="str">
        <f t="shared" si="8"/>
        <v/>
      </c>
      <c r="AH52" s="242" t="str">
        <f t="shared" si="9"/>
        <v/>
      </c>
      <c r="AI52" s="335" t="str">
        <f>IF(AH52="Check Data","Check Data",IFERROR(VLOOKUP(AH52,'G-4 Temporal multipliers'!$A$4:$C$36,3,FALSE),""))</f>
        <v/>
      </c>
      <c r="AJ52" s="239" t="str">
        <f>IF(S52="","",VLOOKUP(S52,'G-3 Multipliers'!$A$2:$E$130,4,FALSE))</f>
        <v/>
      </c>
      <c r="AK52" s="175" t="str">
        <f t="shared" si="10"/>
        <v/>
      </c>
      <c r="AL52" s="175" t="str">
        <f t="shared" si="11"/>
        <v/>
      </c>
      <c r="AM52" s="176" t="str">
        <f>IFERROR(IF(F52="","",IF(AH52="Check Data","Check Data",VLOOKUP(AL52, 'G-3 Multipliers'!$P$2:$Q$6,2,FALSE))),””)</f>
        <v/>
      </c>
      <c r="AN52" s="266"/>
      <c r="AO52" s="269" t="str">
        <f>IF(AN52="","",IF(VLOOKUP(AN52,'G-3 Multipliers'!$S$3:$T$9,2,FALSE)=0,"Spatial Data Missing",VLOOKUP(AN52,'G-3 Multipliers'!$S$3:$T$9,2,FALSE)))</f>
        <v/>
      </c>
      <c r="AP52" s="207" t="str">
        <f t="shared" si="12"/>
        <v/>
      </c>
      <c r="AQ52" s="336"/>
      <c r="AR52" s="181"/>
    </row>
    <row r="53" spans="1:44" x14ac:dyDescent="0.25">
      <c r="A53" s="35" t="str">
        <f>IF(E53="","",IF(ISNA(VLOOKUP($E53,'D-1 Off Site Habitat Baseline'!$D$1:$O$258,2,FALSE)),"",(VLOOKUP($E53,'D-1 Off Site Habitat Baseline'!$D$1:$O$258,2,FALSE))))</f>
        <v/>
      </c>
      <c r="B53" s="35" t="str">
        <f>IF(E53="","",IF(ISNA(VLOOKUP($E53,'D-1 Off Site Habitat Baseline'!$D$1:$O$258,3,FALSE)),"",(VLOOKUP($E53,'D-1 Off Site Habitat Baseline'!$D$1:$O$258,3,FALSE))))</f>
        <v/>
      </c>
      <c r="C53" s="35" t="str">
        <f>IFERROR(INDEX('G-8 Condition Look up'!$I$4:$I$131,MATCH(S53,'G-8 Condition Look up'!$A$4:$A$131,0)),"")</f>
        <v/>
      </c>
      <c r="E53" s="329" t="str">
        <f>'D-1 Off Site Habitat Baseline'!AL52</f>
        <v/>
      </c>
      <c r="F53" s="175" t="str">
        <f>IF(E53="","",IF(ISNA(VLOOKUP($E53,'D-1 Off Site Habitat Baseline'!$D$1:$O$258,4,FALSE)),"",(VLOOKUP($E53,'D-1 Off Site Habitat Baseline'!$D$1:$O$258,4,FALSE))))</f>
        <v/>
      </c>
      <c r="G53" s="175" t="str">
        <f>IF(E53="","",IF(ISNA(VLOOKUP($E53,'D-1 Off Site Habitat Baseline'!$D$1:$O$258,5,FALSE)),"",(VLOOKUP($E53,'D-1 Off Site Habitat Baseline'!$D$1:$O$258,5,FALSE))))</f>
        <v/>
      </c>
      <c r="H53" s="175" t="str">
        <f>IF(E53="","",IF(ISNA(VLOOKUP($E53,'D-1 Off Site Habitat Baseline'!$D$1:$O$258,6,FALSE)),"",(VLOOKUP($E53,'D-1 Off Site Habitat Baseline'!$D$1:$O$258,6,FALSE))))</f>
        <v/>
      </c>
      <c r="I53" s="175" t="str">
        <f>IF(E53="","",IF(ISNA(VLOOKUP($E53,'D-1 Off Site Habitat Baseline'!$D$1:$O$258,7,FALSE)),"",(VLOOKUP($E53,'D-1 Off Site Habitat Baseline'!$D$1:$O$258,7,FALSE))))</f>
        <v/>
      </c>
      <c r="J53" s="175" t="str">
        <f>IF(E53="","",IF(ISNA(VLOOKUP($E53,'D-1 Off Site Habitat Baseline'!$D$1:$O$258,8,FALSE)),"",(VLOOKUP($E53,'D-1 Off Site Habitat Baseline'!$D$1:$O$258,8,FALSE))))</f>
        <v/>
      </c>
      <c r="K53" s="175" t="str">
        <f>IF(E53="","",IF(ISNA(VLOOKUP($E53,'D-1 Off Site Habitat Baseline'!$D$1:$O$258,9,FALSE)),"",(VLOOKUP($E53,'D-1 Off Site Habitat Baseline'!$D$1:$O$258,9,FALSE))))</f>
        <v/>
      </c>
      <c r="L53" s="175" t="str">
        <f>IF(E53="","",IF(ISNA(VLOOKUP($E53,'D-1 Off Site Habitat Baseline'!$D$1:$O$258,11,FALSE)),"",(VLOOKUP($E53,'D-1 Off Site Habitat Baseline'!$D$1:$O$258,11,FALSE))))</f>
        <v/>
      </c>
      <c r="M53" s="175" t="str">
        <f>IF(E53="","",IF(ISNA(VLOOKUP($E53,'D-1 Off Site Habitat Baseline'!$D$1:$O$258,12,FALSE)),"",(VLOOKUP($E53,'D-1 Off Site Habitat Baseline'!$D$1:$O$258,12,FALSE))))</f>
        <v/>
      </c>
      <c r="N53" s="175" t="str">
        <f>IF(E53="","",IF(ISNA(VLOOKUP($E53,'D-1 Off Site Habitat Baseline'!$D$1:$X$258,14,FALSE)),"",(VLOOKUP($E53,'D-1 Off Site Habitat Baseline'!$D$1:$X$258,14,FALSE))))</f>
        <v/>
      </c>
      <c r="O53" s="176" t="str">
        <f>IF(E53="","",IF(ISNA(VLOOKUP($E53,'D-1 Off Site Habitat Baseline'!$D$1:$X$258,13,FALSE)),"",(VLOOKUP($E53,'D-1 Off Site Habitat Baseline'!$D$1:$X$258,13,FALSE))))</f>
        <v/>
      </c>
      <c r="P53" s="337" t="str">
        <f>IFERROR(INDEX('G-1 All Habitats'!$AG$3:$AG$15,MATCH(Q53,'G-1 All Habitats'!$AF$3:$AF$15,0)),"")</f>
        <v/>
      </c>
      <c r="Q53" s="331" t="str">
        <f t="shared" si="13"/>
        <v/>
      </c>
      <c r="R53" s="332" t="str">
        <f t="shared" si="14"/>
        <v/>
      </c>
      <c r="S53" s="338" t="str">
        <f>IFERROR(INDEX('G-1 All Habitats'!$B$3:$B$130,MATCH(R53,'G-1 All Habitats'!$A$3:$A$130,0)),"")</f>
        <v/>
      </c>
      <c r="T53" s="179" t="str">
        <f t="shared" si="6"/>
        <v/>
      </c>
      <c r="U53" s="172" t="str">
        <f t="shared" si="7"/>
        <v/>
      </c>
      <c r="V53" s="334" t="str">
        <f t="shared" si="2"/>
        <v/>
      </c>
      <c r="W53" s="175" t="str">
        <f>IF(S53="","",VLOOKUP(S53,'G-1 All Habitats'!$B$2:$M$130,10,FALSE))</f>
        <v/>
      </c>
      <c r="X53" s="175" t="str">
        <f>IFERROR(VLOOKUP(W53,'G-1 All Habitats'!$V$3:$W$7,2,FALSE),"")</f>
        <v/>
      </c>
      <c r="Y53" s="275"/>
      <c r="Z53" s="176" t="str">
        <f>IFERROR(INDEX('G-8 Condition Look up'!$A$3:$H$131,MATCH(S53,'G-8 Condition Look up'!$A$3:$A$131,0),MATCH(Y53,'G-8 Condition Look up'!$A$3:$H$3,0)),"")</f>
        <v/>
      </c>
      <c r="AA53" s="173"/>
      <c r="AB53" s="269" t="str">
        <f>IF(AA53="","",IF(VLOOKUP(AA53,'G-3 Multipliers'!$L$3:$N$6,2,FALSE)=0,"Spatial Data Missing",VLOOKUP(AA53,'G-3 Multipliers'!$L$3:$N$6,2,FALSE)))</f>
        <v/>
      </c>
      <c r="AC53" s="176" t="str">
        <f>IF(AA53="","",IF(VLOOKUP(AA53,'G-3 Multipliers'!$L$3:$N$6,3,FALSE)=0,"Spatial Data Missing",VLOOKUP(AA53,'G-3 Multipliers'!$L$3:$N$6,3,FALSE)))</f>
        <v/>
      </c>
      <c r="AD53" s="239" t="str">
        <f t="shared" si="3"/>
        <v/>
      </c>
      <c r="AE53" s="275"/>
      <c r="AF53" s="275"/>
      <c r="AG53" s="175" t="str">
        <f t="shared" si="8"/>
        <v/>
      </c>
      <c r="AH53" s="242" t="str">
        <f t="shared" si="9"/>
        <v/>
      </c>
      <c r="AI53" s="335" t="str">
        <f>IF(AH53="Check Data","Check Data",IFERROR(VLOOKUP(AH53,'G-4 Temporal multipliers'!$A$4:$C$36,3,FALSE),""))</f>
        <v/>
      </c>
      <c r="AJ53" s="239" t="str">
        <f>IF(S53="","",VLOOKUP(S53,'G-3 Multipliers'!$A$2:$E$130,4,FALSE))</f>
        <v/>
      </c>
      <c r="AK53" s="175" t="str">
        <f t="shared" si="10"/>
        <v/>
      </c>
      <c r="AL53" s="175" t="str">
        <f t="shared" si="11"/>
        <v/>
      </c>
      <c r="AM53" s="176" t="str">
        <f>IFERROR(IF(F53="","",IF(AH53="Check Data","Check Data",VLOOKUP(AL53, 'G-3 Multipliers'!$P$2:$Q$6,2,FALSE))),””)</f>
        <v/>
      </c>
      <c r="AN53" s="266"/>
      <c r="AO53" s="269" t="str">
        <f>IF(AN53="","",IF(VLOOKUP(AN53,'G-3 Multipliers'!$S$3:$T$9,2,FALSE)=0,"Spatial Data Missing",VLOOKUP(AN53,'G-3 Multipliers'!$S$3:$T$9,2,FALSE)))</f>
        <v/>
      </c>
      <c r="AP53" s="207" t="str">
        <f t="shared" si="12"/>
        <v/>
      </c>
      <c r="AQ53" s="336"/>
      <c r="AR53" s="181"/>
    </row>
    <row r="54" spans="1:44" x14ac:dyDescent="0.25">
      <c r="A54" s="35" t="str">
        <f>IF(E54="","",IF(ISNA(VLOOKUP($E54,'D-1 Off Site Habitat Baseline'!$D$1:$O$258,2,FALSE)),"",(VLOOKUP($E54,'D-1 Off Site Habitat Baseline'!$D$1:$O$258,2,FALSE))))</f>
        <v/>
      </c>
      <c r="B54" s="35" t="str">
        <f>IF(E54="","",IF(ISNA(VLOOKUP($E54,'D-1 Off Site Habitat Baseline'!$D$1:$O$258,3,FALSE)),"",(VLOOKUP($E54,'D-1 Off Site Habitat Baseline'!$D$1:$O$258,3,FALSE))))</f>
        <v/>
      </c>
      <c r="C54" s="35" t="str">
        <f>IFERROR(INDEX('G-8 Condition Look up'!$I$4:$I$131,MATCH(S54,'G-8 Condition Look up'!$A$4:$A$131,0)),"")</f>
        <v/>
      </c>
      <c r="E54" s="329" t="str">
        <f>'D-1 Off Site Habitat Baseline'!AL53</f>
        <v/>
      </c>
      <c r="F54" s="175" t="str">
        <f>IF(E54="","",IF(ISNA(VLOOKUP($E54,'D-1 Off Site Habitat Baseline'!$D$1:$O$258,4,FALSE)),"",(VLOOKUP($E54,'D-1 Off Site Habitat Baseline'!$D$1:$O$258,4,FALSE))))</f>
        <v/>
      </c>
      <c r="G54" s="175" t="str">
        <f>IF(E54="","",IF(ISNA(VLOOKUP($E54,'D-1 Off Site Habitat Baseline'!$D$1:$O$258,5,FALSE)),"",(VLOOKUP($E54,'D-1 Off Site Habitat Baseline'!$D$1:$O$258,5,FALSE))))</f>
        <v/>
      </c>
      <c r="H54" s="175" t="str">
        <f>IF(E54="","",IF(ISNA(VLOOKUP($E54,'D-1 Off Site Habitat Baseline'!$D$1:$O$258,6,FALSE)),"",(VLOOKUP($E54,'D-1 Off Site Habitat Baseline'!$D$1:$O$258,6,FALSE))))</f>
        <v/>
      </c>
      <c r="I54" s="175" t="str">
        <f>IF(E54="","",IF(ISNA(VLOOKUP($E54,'D-1 Off Site Habitat Baseline'!$D$1:$O$258,7,FALSE)),"",(VLOOKUP($E54,'D-1 Off Site Habitat Baseline'!$D$1:$O$258,7,FALSE))))</f>
        <v/>
      </c>
      <c r="J54" s="175" t="str">
        <f>IF(E54="","",IF(ISNA(VLOOKUP($E54,'D-1 Off Site Habitat Baseline'!$D$1:$O$258,8,FALSE)),"",(VLOOKUP($E54,'D-1 Off Site Habitat Baseline'!$D$1:$O$258,8,FALSE))))</f>
        <v/>
      </c>
      <c r="K54" s="175" t="str">
        <f>IF(E54="","",IF(ISNA(VLOOKUP($E54,'D-1 Off Site Habitat Baseline'!$D$1:$O$258,9,FALSE)),"",(VLOOKUP($E54,'D-1 Off Site Habitat Baseline'!$D$1:$O$258,9,FALSE))))</f>
        <v/>
      </c>
      <c r="L54" s="175" t="str">
        <f>IF(E54="","",IF(ISNA(VLOOKUP($E54,'D-1 Off Site Habitat Baseline'!$D$1:$O$258,11,FALSE)),"",(VLOOKUP($E54,'D-1 Off Site Habitat Baseline'!$D$1:$O$258,11,FALSE))))</f>
        <v/>
      </c>
      <c r="M54" s="175" t="str">
        <f>IF(E54="","",IF(ISNA(VLOOKUP($E54,'D-1 Off Site Habitat Baseline'!$D$1:$O$258,12,FALSE)),"",(VLOOKUP($E54,'D-1 Off Site Habitat Baseline'!$D$1:$O$258,12,FALSE))))</f>
        <v/>
      </c>
      <c r="N54" s="175" t="str">
        <f>IF(E54="","",IF(ISNA(VLOOKUP($E54,'D-1 Off Site Habitat Baseline'!$D$1:$X$258,14,FALSE)),"",(VLOOKUP($E54,'D-1 Off Site Habitat Baseline'!$D$1:$X$258,14,FALSE))))</f>
        <v/>
      </c>
      <c r="O54" s="176" t="str">
        <f>IF(E54="","",IF(ISNA(VLOOKUP($E54,'D-1 Off Site Habitat Baseline'!$D$1:$X$258,13,FALSE)),"",(VLOOKUP($E54,'D-1 Off Site Habitat Baseline'!$D$1:$X$258,13,FALSE))))</f>
        <v/>
      </c>
      <c r="P54" s="337" t="str">
        <f>IFERROR(INDEX('G-1 All Habitats'!$AG$3:$AG$15,MATCH(Q54,'G-1 All Habitats'!$AF$3:$AF$15,0)),"")</f>
        <v/>
      </c>
      <c r="Q54" s="331" t="str">
        <f t="shared" si="13"/>
        <v/>
      </c>
      <c r="R54" s="332" t="str">
        <f t="shared" si="14"/>
        <v/>
      </c>
      <c r="S54" s="338" t="str">
        <f>IFERROR(INDEX('G-1 All Habitats'!$B$3:$B$130,MATCH(R54,'G-1 All Habitats'!$A$3:$A$130,0)),"")</f>
        <v/>
      </c>
      <c r="T54" s="179" t="str">
        <f t="shared" si="6"/>
        <v/>
      </c>
      <c r="U54" s="172" t="str">
        <f t="shared" si="7"/>
        <v/>
      </c>
      <c r="V54" s="334" t="str">
        <f t="shared" si="2"/>
        <v/>
      </c>
      <c r="W54" s="175" t="str">
        <f>IF(S54="","",VLOOKUP(S54,'G-1 All Habitats'!$B$2:$M$130,10,FALSE))</f>
        <v/>
      </c>
      <c r="X54" s="175" t="str">
        <f>IFERROR(VLOOKUP(W54,'G-1 All Habitats'!$V$3:$W$7,2,FALSE),"")</f>
        <v/>
      </c>
      <c r="Y54" s="275"/>
      <c r="Z54" s="176" t="str">
        <f>IFERROR(INDEX('G-8 Condition Look up'!$A$3:$H$131,MATCH(S54,'G-8 Condition Look up'!$A$3:$A$131,0),MATCH(Y54,'G-8 Condition Look up'!$A$3:$H$3,0)),"")</f>
        <v/>
      </c>
      <c r="AA54" s="173"/>
      <c r="AB54" s="269" t="str">
        <f>IF(AA54="","",IF(VLOOKUP(AA54,'G-3 Multipliers'!$L$3:$N$6,2,FALSE)=0,"Spatial Data Missing",VLOOKUP(AA54,'G-3 Multipliers'!$L$3:$N$6,2,FALSE)))</f>
        <v/>
      </c>
      <c r="AC54" s="176" t="str">
        <f>IF(AA54="","",IF(VLOOKUP(AA54,'G-3 Multipliers'!$L$3:$N$6,3,FALSE)=0,"Spatial Data Missing",VLOOKUP(AA54,'G-3 Multipliers'!$L$3:$N$6,3,FALSE)))</f>
        <v/>
      </c>
      <c r="AD54" s="239" t="str">
        <f t="shared" si="3"/>
        <v/>
      </c>
      <c r="AE54" s="275"/>
      <c r="AF54" s="275"/>
      <c r="AG54" s="175" t="str">
        <f t="shared" si="8"/>
        <v/>
      </c>
      <c r="AH54" s="242" t="str">
        <f t="shared" si="9"/>
        <v/>
      </c>
      <c r="AI54" s="335" t="str">
        <f>IF(AH54="Check Data","Check Data",IFERROR(VLOOKUP(AH54,'G-4 Temporal multipliers'!$A$4:$C$36,3,FALSE),""))</f>
        <v/>
      </c>
      <c r="AJ54" s="239" t="str">
        <f>IF(S54="","",VLOOKUP(S54,'G-3 Multipliers'!$A$2:$E$130,4,FALSE))</f>
        <v/>
      </c>
      <c r="AK54" s="175" t="str">
        <f t="shared" si="10"/>
        <v/>
      </c>
      <c r="AL54" s="175" t="str">
        <f t="shared" si="11"/>
        <v/>
      </c>
      <c r="AM54" s="176" t="str">
        <f>IFERROR(IF(F54="","",IF(AH54="Check Data","Check Data",VLOOKUP(AL54, 'G-3 Multipliers'!$P$2:$Q$6,2,FALSE))),””)</f>
        <v/>
      </c>
      <c r="AN54" s="266"/>
      <c r="AO54" s="269" t="str">
        <f>IF(AN54="","",IF(VLOOKUP(AN54,'G-3 Multipliers'!$S$3:$T$9,2,FALSE)=0,"Spatial Data Missing",VLOOKUP(AN54,'G-3 Multipliers'!$S$3:$T$9,2,FALSE)))</f>
        <v/>
      </c>
      <c r="AP54" s="207" t="str">
        <f t="shared" si="12"/>
        <v/>
      </c>
      <c r="AQ54" s="336"/>
      <c r="AR54" s="181"/>
    </row>
    <row r="55" spans="1:44" x14ac:dyDescent="0.25">
      <c r="A55" s="35" t="str">
        <f>IF(E55="","",IF(ISNA(VLOOKUP($E55,'D-1 Off Site Habitat Baseline'!$D$1:$O$258,2,FALSE)),"",(VLOOKUP($E55,'D-1 Off Site Habitat Baseline'!$D$1:$O$258,2,FALSE))))</f>
        <v/>
      </c>
      <c r="B55" s="35" t="str">
        <f>IF(E55="","",IF(ISNA(VLOOKUP($E55,'D-1 Off Site Habitat Baseline'!$D$1:$O$258,3,FALSE)),"",(VLOOKUP($E55,'D-1 Off Site Habitat Baseline'!$D$1:$O$258,3,FALSE))))</f>
        <v/>
      </c>
      <c r="C55" s="35" t="str">
        <f>IFERROR(INDEX('G-8 Condition Look up'!$I$4:$I$131,MATCH(S55,'G-8 Condition Look up'!$A$4:$A$131,0)),"")</f>
        <v/>
      </c>
      <c r="E55" s="329" t="str">
        <f>'D-1 Off Site Habitat Baseline'!AL54</f>
        <v/>
      </c>
      <c r="F55" s="175" t="str">
        <f>IF(E55="","",IF(ISNA(VLOOKUP($E55,'D-1 Off Site Habitat Baseline'!$D$1:$O$258,4,FALSE)),"",(VLOOKUP($E55,'D-1 Off Site Habitat Baseline'!$D$1:$O$258,4,FALSE))))</f>
        <v/>
      </c>
      <c r="G55" s="175" t="str">
        <f>IF(E55="","",IF(ISNA(VLOOKUP($E55,'D-1 Off Site Habitat Baseline'!$D$1:$O$258,5,FALSE)),"",(VLOOKUP($E55,'D-1 Off Site Habitat Baseline'!$D$1:$O$258,5,FALSE))))</f>
        <v/>
      </c>
      <c r="H55" s="175" t="str">
        <f>IF(E55="","",IF(ISNA(VLOOKUP($E55,'D-1 Off Site Habitat Baseline'!$D$1:$O$258,6,FALSE)),"",(VLOOKUP($E55,'D-1 Off Site Habitat Baseline'!$D$1:$O$258,6,FALSE))))</f>
        <v/>
      </c>
      <c r="I55" s="175" t="str">
        <f>IF(E55="","",IF(ISNA(VLOOKUP($E55,'D-1 Off Site Habitat Baseline'!$D$1:$O$258,7,FALSE)),"",(VLOOKUP($E55,'D-1 Off Site Habitat Baseline'!$D$1:$O$258,7,FALSE))))</f>
        <v/>
      </c>
      <c r="J55" s="175" t="str">
        <f>IF(E55="","",IF(ISNA(VLOOKUP($E55,'D-1 Off Site Habitat Baseline'!$D$1:$O$258,8,FALSE)),"",(VLOOKUP($E55,'D-1 Off Site Habitat Baseline'!$D$1:$O$258,8,FALSE))))</f>
        <v/>
      </c>
      <c r="K55" s="175" t="str">
        <f>IF(E55="","",IF(ISNA(VLOOKUP($E55,'D-1 Off Site Habitat Baseline'!$D$1:$O$258,9,FALSE)),"",(VLOOKUP($E55,'D-1 Off Site Habitat Baseline'!$D$1:$O$258,9,FALSE))))</f>
        <v/>
      </c>
      <c r="L55" s="175" t="str">
        <f>IF(E55="","",IF(ISNA(VLOOKUP($E55,'D-1 Off Site Habitat Baseline'!$D$1:$O$258,11,FALSE)),"",(VLOOKUP($E55,'D-1 Off Site Habitat Baseline'!$D$1:$O$258,11,FALSE))))</f>
        <v/>
      </c>
      <c r="M55" s="175" t="str">
        <f>IF(E55="","",IF(ISNA(VLOOKUP($E55,'D-1 Off Site Habitat Baseline'!$D$1:$O$258,12,FALSE)),"",(VLOOKUP($E55,'D-1 Off Site Habitat Baseline'!$D$1:$O$258,12,FALSE))))</f>
        <v/>
      </c>
      <c r="N55" s="175" t="str">
        <f>IF(E55="","",IF(ISNA(VLOOKUP($E55,'D-1 Off Site Habitat Baseline'!$D$1:$X$258,14,FALSE)),"",(VLOOKUP($E55,'D-1 Off Site Habitat Baseline'!$D$1:$X$258,14,FALSE))))</f>
        <v/>
      </c>
      <c r="O55" s="176" t="str">
        <f>IF(E55="","",IF(ISNA(VLOOKUP($E55,'D-1 Off Site Habitat Baseline'!$D$1:$X$258,13,FALSE)),"",(VLOOKUP($E55,'D-1 Off Site Habitat Baseline'!$D$1:$X$258,13,FALSE))))</f>
        <v/>
      </c>
      <c r="P55" s="337" t="str">
        <f>IFERROR(INDEX('G-1 All Habitats'!$AG$3:$AG$15,MATCH(Q55,'G-1 All Habitats'!$AF$3:$AF$15,0)),"")</f>
        <v/>
      </c>
      <c r="Q55" s="331" t="str">
        <f t="shared" si="13"/>
        <v/>
      </c>
      <c r="R55" s="332" t="str">
        <f t="shared" si="14"/>
        <v/>
      </c>
      <c r="S55" s="338" t="str">
        <f>IFERROR(INDEX('G-1 All Habitats'!$B$3:$B$130,MATCH(R55,'G-1 All Habitats'!$A$3:$A$130,0)),"")</f>
        <v/>
      </c>
      <c r="T55" s="179" t="str">
        <f t="shared" si="6"/>
        <v/>
      </c>
      <c r="U55" s="172" t="str">
        <f t="shared" si="7"/>
        <v/>
      </c>
      <c r="V55" s="334" t="str">
        <f t="shared" si="2"/>
        <v/>
      </c>
      <c r="W55" s="175" t="str">
        <f>IF(S55="","",VLOOKUP(S55,'G-1 All Habitats'!$B$2:$M$130,10,FALSE))</f>
        <v/>
      </c>
      <c r="X55" s="175" t="str">
        <f>IFERROR(VLOOKUP(W55,'G-1 All Habitats'!$V$3:$W$7,2,FALSE),"")</f>
        <v/>
      </c>
      <c r="Y55" s="275"/>
      <c r="Z55" s="176" t="str">
        <f>IFERROR(INDEX('G-8 Condition Look up'!$A$3:$H$131,MATCH(S55,'G-8 Condition Look up'!$A$3:$A$131,0),MATCH(Y55,'G-8 Condition Look up'!$A$3:$H$3,0)),"")</f>
        <v/>
      </c>
      <c r="AA55" s="173"/>
      <c r="AB55" s="269" t="str">
        <f>IF(AA55="","",IF(VLOOKUP(AA55,'G-3 Multipliers'!$L$3:$N$6,2,FALSE)=0,"Spatial Data Missing",VLOOKUP(AA55,'G-3 Multipliers'!$L$3:$N$6,2,FALSE)))</f>
        <v/>
      </c>
      <c r="AC55" s="176" t="str">
        <f>IF(AA55="","",IF(VLOOKUP(AA55,'G-3 Multipliers'!$L$3:$N$6,3,FALSE)=0,"Spatial Data Missing",VLOOKUP(AA55,'G-3 Multipliers'!$L$3:$N$6,3,FALSE)))</f>
        <v/>
      </c>
      <c r="AD55" s="239" t="str">
        <f t="shared" si="3"/>
        <v/>
      </c>
      <c r="AE55" s="275"/>
      <c r="AF55" s="275"/>
      <c r="AG55" s="175" t="str">
        <f t="shared" si="8"/>
        <v/>
      </c>
      <c r="AH55" s="242" t="str">
        <f t="shared" si="9"/>
        <v/>
      </c>
      <c r="AI55" s="335" t="str">
        <f>IF(AH55="Check Data","Check Data",IFERROR(VLOOKUP(AH55,'G-4 Temporal multipliers'!$A$4:$C$36,3,FALSE),""))</f>
        <v/>
      </c>
      <c r="AJ55" s="239" t="str">
        <f>IF(S55="","",VLOOKUP(S55,'G-3 Multipliers'!$A$2:$E$130,4,FALSE))</f>
        <v/>
      </c>
      <c r="AK55" s="175" t="str">
        <f t="shared" si="10"/>
        <v/>
      </c>
      <c r="AL55" s="175" t="str">
        <f t="shared" si="11"/>
        <v/>
      </c>
      <c r="AM55" s="176" t="str">
        <f>IFERROR(IF(F55="","",IF(AH55="Check Data","Check Data",VLOOKUP(AL55, 'G-3 Multipliers'!$P$2:$Q$6,2,FALSE))),””)</f>
        <v/>
      </c>
      <c r="AN55" s="266"/>
      <c r="AO55" s="269" t="str">
        <f>IF(AN55="","",IF(VLOOKUP(AN55,'G-3 Multipliers'!$S$3:$T$9,2,FALSE)=0,"Spatial Data Missing",VLOOKUP(AN55,'G-3 Multipliers'!$S$3:$T$9,2,FALSE)))</f>
        <v/>
      </c>
      <c r="AP55" s="207" t="str">
        <f t="shared" si="12"/>
        <v/>
      </c>
      <c r="AQ55" s="336"/>
      <c r="AR55" s="181"/>
    </row>
    <row r="56" spans="1:44" x14ac:dyDescent="0.25">
      <c r="A56" s="35" t="str">
        <f>IF(E56="","",IF(ISNA(VLOOKUP($E56,'D-1 Off Site Habitat Baseline'!$D$1:$O$258,2,FALSE)),"",(VLOOKUP($E56,'D-1 Off Site Habitat Baseline'!$D$1:$O$258,2,FALSE))))</f>
        <v/>
      </c>
      <c r="B56" s="35" t="str">
        <f>IF(E56="","",IF(ISNA(VLOOKUP($E56,'D-1 Off Site Habitat Baseline'!$D$1:$O$258,3,FALSE)),"",(VLOOKUP($E56,'D-1 Off Site Habitat Baseline'!$D$1:$O$258,3,FALSE))))</f>
        <v/>
      </c>
      <c r="C56" s="35" t="str">
        <f>IFERROR(INDEX('G-8 Condition Look up'!$I$4:$I$131,MATCH(S56,'G-8 Condition Look up'!$A$4:$A$131,0)),"")</f>
        <v/>
      </c>
      <c r="E56" s="329" t="str">
        <f>'D-1 Off Site Habitat Baseline'!AL55</f>
        <v/>
      </c>
      <c r="F56" s="175" t="str">
        <f>IF(E56="","",IF(ISNA(VLOOKUP($E56,'D-1 Off Site Habitat Baseline'!$D$1:$O$258,4,FALSE)),"",(VLOOKUP($E56,'D-1 Off Site Habitat Baseline'!$D$1:$O$258,4,FALSE))))</f>
        <v/>
      </c>
      <c r="G56" s="175" t="str">
        <f>IF(E56="","",IF(ISNA(VLOOKUP($E56,'D-1 Off Site Habitat Baseline'!$D$1:$O$258,5,FALSE)),"",(VLOOKUP($E56,'D-1 Off Site Habitat Baseline'!$D$1:$O$258,5,FALSE))))</f>
        <v/>
      </c>
      <c r="H56" s="175" t="str">
        <f>IF(E56="","",IF(ISNA(VLOOKUP($E56,'D-1 Off Site Habitat Baseline'!$D$1:$O$258,6,FALSE)),"",(VLOOKUP($E56,'D-1 Off Site Habitat Baseline'!$D$1:$O$258,6,FALSE))))</f>
        <v/>
      </c>
      <c r="I56" s="175" t="str">
        <f>IF(E56="","",IF(ISNA(VLOOKUP($E56,'D-1 Off Site Habitat Baseline'!$D$1:$O$258,7,FALSE)),"",(VLOOKUP($E56,'D-1 Off Site Habitat Baseline'!$D$1:$O$258,7,FALSE))))</f>
        <v/>
      </c>
      <c r="J56" s="175" t="str">
        <f>IF(E56="","",IF(ISNA(VLOOKUP($E56,'D-1 Off Site Habitat Baseline'!$D$1:$O$258,8,FALSE)),"",(VLOOKUP($E56,'D-1 Off Site Habitat Baseline'!$D$1:$O$258,8,FALSE))))</f>
        <v/>
      </c>
      <c r="K56" s="175" t="str">
        <f>IF(E56="","",IF(ISNA(VLOOKUP($E56,'D-1 Off Site Habitat Baseline'!$D$1:$O$258,9,FALSE)),"",(VLOOKUP($E56,'D-1 Off Site Habitat Baseline'!$D$1:$O$258,9,FALSE))))</f>
        <v/>
      </c>
      <c r="L56" s="175" t="str">
        <f>IF(E56="","",IF(ISNA(VLOOKUP($E56,'D-1 Off Site Habitat Baseline'!$D$1:$O$258,11,FALSE)),"",(VLOOKUP($E56,'D-1 Off Site Habitat Baseline'!$D$1:$O$258,11,FALSE))))</f>
        <v/>
      </c>
      <c r="M56" s="175" t="str">
        <f>IF(E56="","",IF(ISNA(VLOOKUP($E56,'D-1 Off Site Habitat Baseline'!$D$1:$O$258,12,FALSE)),"",(VLOOKUP($E56,'D-1 Off Site Habitat Baseline'!$D$1:$O$258,12,FALSE))))</f>
        <v/>
      </c>
      <c r="N56" s="175" t="str">
        <f>IF(E56="","",IF(ISNA(VLOOKUP($E56,'D-1 Off Site Habitat Baseline'!$D$1:$X$258,14,FALSE)),"",(VLOOKUP($E56,'D-1 Off Site Habitat Baseline'!$D$1:$X$258,14,FALSE))))</f>
        <v/>
      </c>
      <c r="O56" s="176" t="str">
        <f>IF(E56="","",IF(ISNA(VLOOKUP($E56,'D-1 Off Site Habitat Baseline'!$D$1:$X$258,13,FALSE)),"",(VLOOKUP($E56,'D-1 Off Site Habitat Baseline'!$D$1:$X$258,13,FALSE))))</f>
        <v/>
      </c>
      <c r="P56" s="337" t="str">
        <f>IFERROR(INDEX('G-1 All Habitats'!$AG$3:$AG$15,MATCH(Q56,'G-1 All Habitats'!$AF$3:$AF$15,0)),"")</f>
        <v/>
      </c>
      <c r="Q56" s="331" t="str">
        <f t="shared" si="13"/>
        <v/>
      </c>
      <c r="R56" s="332" t="str">
        <f t="shared" si="14"/>
        <v/>
      </c>
      <c r="S56" s="338" t="str">
        <f>IFERROR(INDEX('G-1 All Habitats'!$B$3:$B$130,MATCH(R56,'G-1 All Habitats'!$A$3:$A$130,0)),"")</f>
        <v/>
      </c>
      <c r="T56" s="179" t="str">
        <f t="shared" si="6"/>
        <v/>
      </c>
      <c r="U56" s="172" t="str">
        <f t="shared" si="7"/>
        <v/>
      </c>
      <c r="V56" s="334" t="str">
        <f t="shared" si="2"/>
        <v/>
      </c>
      <c r="W56" s="175" t="str">
        <f>IF(S56="","",VLOOKUP(S56,'G-1 All Habitats'!$B$2:$M$130,10,FALSE))</f>
        <v/>
      </c>
      <c r="X56" s="175" t="str">
        <f>IFERROR(VLOOKUP(W56,'G-1 All Habitats'!$V$3:$W$7,2,FALSE),"")</f>
        <v/>
      </c>
      <c r="Y56" s="275"/>
      <c r="Z56" s="176" t="str">
        <f>IFERROR(INDEX('G-8 Condition Look up'!$A$3:$H$131,MATCH(S56,'G-8 Condition Look up'!$A$3:$A$131,0),MATCH(Y56,'G-8 Condition Look up'!$A$3:$H$3,0)),"")</f>
        <v/>
      </c>
      <c r="AA56" s="173"/>
      <c r="AB56" s="269" t="str">
        <f>IF(AA56="","",IF(VLOOKUP(AA56,'G-3 Multipliers'!$L$3:$N$6,2,FALSE)=0,"Spatial Data Missing",VLOOKUP(AA56,'G-3 Multipliers'!$L$3:$N$6,2,FALSE)))</f>
        <v/>
      </c>
      <c r="AC56" s="176" t="str">
        <f>IF(AA56="","",IF(VLOOKUP(AA56,'G-3 Multipliers'!$L$3:$N$6,3,FALSE)=0,"Spatial Data Missing",VLOOKUP(AA56,'G-3 Multipliers'!$L$3:$N$6,3,FALSE)))</f>
        <v/>
      </c>
      <c r="AD56" s="239" t="str">
        <f t="shared" si="3"/>
        <v/>
      </c>
      <c r="AE56" s="275"/>
      <c r="AF56" s="275"/>
      <c r="AG56" s="175" t="str">
        <f t="shared" si="8"/>
        <v/>
      </c>
      <c r="AH56" s="242" t="str">
        <f t="shared" si="9"/>
        <v/>
      </c>
      <c r="AI56" s="335" t="str">
        <f>IF(AH56="Check Data","Check Data",IFERROR(VLOOKUP(AH56,'G-4 Temporal multipliers'!$A$4:$C$36,3,FALSE),""))</f>
        <v/>
      </c>
      <c r="AJ56" s="239" t="str">
        <f>IF(S56="","",VLOOKUP(S56,'G-3 Multipliers'!$A$2:$E$130,4,FALSE))</f>
        <v/>
      </c>
      <c r="AK56" s="175" t="str">
        <f t="shared" si="10"/>
        <v/>
      </c>
      <c r="AL56" s="175" t="str">
        <f t="shared" si="11"/>
        <v/>
      </c>
      <c r="AM56" s="176" t="str">
        <f>IFERROR(IF(F56="","",IF(AH56="Check Data","Check Data",VLOOKUP(AL56, 'G-3 Multipliers'!$P$2:$Q$6,2,FALSE))),””)</f>
        <v/>
      </c>
      <c r="AN56" s="266"/>
      <c r="AO56" s="269" t="str">
        <f>IF(AN56="","",IF(VLOOKUP(AN56,'G-3 Multipliers'!$S$3:$T$9,2,FALSE)=0,"Spatial Data Missing",VLOOKUP(AN56,'G-3 Multipliers'!$S$3:$T$9,2,FALSE)))</f>
        <v/>
      </c>
      <c r="AP56" s="207" t="str">
        <f t="shared" si="12"/>
        <v/>
      </c>
      <c r="AQ56" s="336"/>
      <c r="AR56" s="181"/>
    </row>
    <row r="57" spans="1:44" x14ac:dyDescent="0.25">
      <c r="A57" s="35" t="str">
        <f>IF(E57="","",IF(ISNA(VLOOKUP($E57,'D-1 Off Site Habitat Baseline'!$D$1:$O$258,2,FALSE)),"",(VLOOKUP($E57,'D-1 Off Site Habitat Baseline'!$D$1:$O$258,2,FALSE))))</f>
        <v/>
      </c>
      <c r="B57" s="35" t="str">
        <f>IF(E57="","",IF(ISNA(VLOOKUP($E57,'D-1 Off Site Habitat Baseline'!$D$1:$O$258,3,FALSE)),"",(VLOOKUP($E57,'D-1 Off Site Habitat Baseline'!$D$1:$O$258,3,FALSE))))</f>
        <v/>
      </c>
      <c r="C57" s="35" t="str">
        <f>IFERROR(INDEX('G-8 Condition Look up'!$I$4:$I$131,MATCH(S57,'G-8 Condition Look up'!$A$4:$A$131,0)),"")</f>
        <v/>
      </c>
      <c r="E57" s="329" t="str">
        <f>'D-1 Off Site Habitat Baseline'!AL56</f>
        <v/>
      </c>
      <c r="F57" s="175" t="str">
        <f>IF(E57="","",IF(ISNA(VLOOKUP($E57,'D-1 Off Site Habitat Baseline'!$D$1:$O$258,4,FALSE)),"",(VLOOKUP($E57,'D-1 Off Site Habitat Baseline'!$D$1:$O$258,4,FALSE))))</f>
        <v/>
      </c>
      <c r="G57" s="175" t="str">
        <f>IF(E57="","",IF(ISNA(VLOOKUP($E57,'D-1 Off Site Habitat Baseline'!$D$1:$O$258,5,FALSE)),"",(VLOOKUP($E57,'D-1 Off Site Habitat Baseline'!$D$1:$O$258,5,FALSE))))</f>
        <v/>
      </c>
      <c r="H57" s="175" t="str">
        <f>IF(E57="","",IF(ISNA(VLOOKUP($E57,'D-1 Off Site Habitat Baseline'!$D$1:$O$258,6,FALSE)),"",(VLOOKUP($E57,'D-1 Off Site Habitat Baseline'!$D$1:$O$258,6,FALSE))))</f>
        <v/>
      </c>
      <c r="I57" s="175" t="str">
        <f>IF(E57="","",IF(ISNA(VLOOKUP($E57,'D-1 Off Site Habitat Baseline'!$D$1:$O$258,7,FALSE)),"",(VLOOKUP($E57,'D-1 Off Site Habitat Baseline'!$D$1:$O$258,7,FALSE))))</f>
        <v/>
      </c>
      <c r="J57" s="175" t="str">
        <f>IF(E57="","",IF(ISNA(VLOOKUP($E57,'D-1 Off Site Habitat Baseline'!$D$1:$O$258,8,FALSE)),"",(VLOOKUP($E57,'D-1 Off Site Habitat Baseline'!$D$1:$O$258,8,FALSE))))</f>
        <v/>
      </c>
      <c r="K57" s="175" t="str">
        <f>IF(E57="","",IF(ISNA(VLOOKUP($E57,'D-1 Off Site Habitat Baseline'!$D$1:$O$258,9,FALSE)),"",(VLOOKUP($E57,'D-1 Off Site Habitat Baseline'!$D$1:$O$258,9,FALSE))))</f>
        <v/>
      </c>
      <c r="L57" s="175" t="str">
        <f>IF(E57="","",IF(ISNA(VLOOKUP($E57,'D-1 Off Site Habitat Baseline'!$D$1:$O$258,11,FALSE)),"",(VLOOKUP($E57,'D-1 Off Site Habitat Baseline'!$D$1:$O$258,11,FALSE))))</f>
        <v/>
      </c>
      <c r="M57" s="175" t="str">
        <f>IF(E57="","",IF(ISNA(VLOOKUP($E57,'D-1 Off Site Habitat Baseline'!$D$1:$O$258,12,FALSE)),"",(VLOOKUP($E57,'D-1 Off Site Habitat Baseline'!$D$1:$O$258,12,FALSE))))</f>
        <v/>
      </c>
      <c r="N57" s="175" t="str">
        <f>IF(E57="","",IF(ISNA(VLOOKUP($E57,'D-1 Off Site Habitat Baseline'!$D$1:$X$258,14,FALSE)),"",(VLOOKUP($E57,'D-1 Off Site Habitat Baseline'!$D$1:$X$258,14,FALSE))))</f>
        <v/>
      </c>
      <c r="O57" s="176" t="str">
        <f>IF(E57="","",IF(ISNA(VLOOKUP($E57,'D-1 Off Site Habitat Baseline'!$D$1:$X$258,13,FALSE)),"",(VLOOKUP($E57,'D-1 Off Site Habitat Baseline'!$D$1:$X$258,13,FALSE))))</f>
        <v/>
      </c>
      <c r="P57" s="337" t="str">
        <f>IFERROR(INDEX('G-1 All Habitats'!$AG$3:$AG$15,MATCH(Q57,'G-1 All Habitats'!$AF$3:$AF$15,0)),"")</f>
        <v/>
      </c>
      <c r="Q57" s="331" t="str">
        <f t="shared" si="13"/>
        <v/>
      </c>
      <c r="R57" s="332" t="str">
        <f t="shared" si="14"/>
        <v/>
      </c>
      <c r="S57" s="338" t="str">
        <f>IFERROR(INDEX('G-1 All Habitats'!$B$3:$B$130,MATCH(R57,'G-1 All Habitats'!$A$3:$A$130,0)),"")</f>
        <v/>
      </c>
      <c r="T57" s="179" t="str">
        <f t="shared" si="6"/>
        <v/>
      </c>
      <c r="U57" s="172" t="str">
        <f t="shared" si="7"/>
        <v/>
      </c>
      <c r="V57" s="334" t="str">
        <f t="shared" si="2"/>
        <v/>
      </c>
      <c r="W57" s="175" t="str">
        <f>IF(S57="","",VLOOKUP(S57,'G-1 All Habitats'!$B$2:$M$130,10,FALSE))</f>
        <v/>
      </c>
      <c r="X57" s="175" t="str">
        <f>IFERROR(VLOOKUP(W57,'G-1 All Habitats'!$V$3:$W$7,2,FALSE),"")</f>
        <v/>
      </c>
      <c r="Y57" s="275"/>
      <c r="Z57" s="176" t="str">
        <f>IFERROR(INDEX('G-8 Condition Look up'!$A$3:$H$131,MATCH(S57,'G-8 Condition Look up'!$A$3:$A$131,0),MATCH(Y57,'G-8 Condition Look up'!$A$3:$H$3,0)),"")</f>
        <v/>
      </c>
      <c r="AA57" s="173"/>
      <c r="AB57" s="269" t="str">
        <f>IF(AA57="","",IF(VLOOKUP(AA57,'G-3 Multipliers'!$L$3:$N$6,2,FALSE)=0,"Spatial Data Missing",VLOOKUP(AA57,'G-3 Multipliers'!$L$3:$N$6,2,FALSE)))</f>
        <v/>
      </c>
      <c r="AC57" s="176" t="str">
        <f>IF(AA57="","",IF(VLOOKUP(AA57,'G-3 Multipliers'!$L$3:$N$6,3,FALSE)=0,"Spatial Data Missing",VLOOKUP(AA57,'G-3 Multipliers'!$L$3:$N$6,3,FALSE)))</f>
        <v/>
      </c>
      <c r="AD57" s="239" t="str">
        <f t="shared" si="3"/>
        <v/>
      </c>
      <c r="AE57" s="275"/>
      <c r="AF57" s="275"/>
      <c r="AG57" s="175" t="str">
        <f t="shared" si="8"/>
        <v/>
      </c>
      <c r="AH57" s="242" t="str">
        <f t="shared" si="9"/>
        <v/>
      </c>
      <c r="AI57" s="335" t="str">
        <f>IF(AH57="Check Data","Check Data",IFERROR(VLOOKUP(AH57,'G-4 Temporal multipliers'!$A$4:$C$36,3,FALSE),""))</f>
        <v/>
      </c>
      <c r="AJ57" s="239" t="str">
        <f>IF(S57="","",VLOOKUP(S57,'G-3 Multipliers'!$A$2:$E$130,4,FALSE))</f>
        <v/>
      </c>
      <c r="AK57" s="175" t="str">
        <f t="shared" si="10"/>
        <v/>
      </c>
      <c r="AL57" s="175" t="str">
        <f t="shared" si="11"/>
        <v/>
      </c>
      <c r="AM57" s="176" t="str">
        <f>IFERROR(IF(F57="","",IF(AH57="Check Data","Check Data",VLOOKUP(AL57, 'G-3 Multipliers'!$P$2:$Q$6,2,FALSE))),””)</f>
        <v/>
      </c>
      <c r="AN57" s="266"/>
      <c r="AO57" s="269" t="str">
        <f>IF(AN57="","",IF(VLOOKUP(AN57,'G-3 Multipliers'!$S$3:$T$9,2,FALSE)=0,"Spatial Data Missing",VLOOKUP(AN57,'G-3 Multipliers'!$S$3:$T$9,2,FALSE)))</f>
        <v/>
      </c>
      <c r="AP57" s="207" t="str">
        <f t="shared" si="12"/>
        <v/>
      </c>
      <c r="AQ57" s="336"/>
      <c r="AR57" s="181"/>
    </row>
    <row r="58" spans="1:44" x14ac:dyDescent="0.25">
      <c r="A58" s="35" t="str">
        <f>IF(E58="","",IF(ISNA(VLOOKUP($E58,'D-1 Off Site Habitat Baseline'!$D$1:$O$258,2,FALSE)),"",(VLOOKUP($E58,'D-1 Off Site Habitat Baseline'!$D$1:$O$258,2,FALSE))))</f>
        <v/>
      </c>
      <c r="B58" s="35" t="str">
        <f>IF(E58="","",IF(ISNA(VLOOKUP($E58,'D-1 Off Site Habitat Baseline'!$D$1:$O$258,3,FALSE)),"",(VLOOKUP($E58,'D-1 Off Site Habitat Baseline'!$D$1:$O$258,3,FALSE))))</f>
        <v/>
      </c>
      <c r="C58" s="35" t="str">
        <f>IFERROR(INDEX('G-8 Condition Look up'!$I$4:$I$131,MATCH(S58,'G-8 Condition Look up'!$A$4:$A$131,0)),"")</f>
        <v/>
      </c>
      <c r="E58" s="329" t="str">
        <f>'D-1 Off Site Habitat Baseline'!AL57</f>
        <v/>
      </c>
      <c r="F58" s="175" t="str">
        <f>IF(E58="","",IF(ISNA(VLOOKUP($E58,'D-1 Off Site Habitat Baseline'!$D$1:$O$258,4,FALSE)),"",(VLOOKUP($E58,'D-1 Off Site Habitat Baseline'!$D$1:$O$258,4,FALSE))))</f>
        <v/>
      </c>
      <c r="G58" s="175" t="str">
        <f>IF(E58="","",IF(ISNA(VLOOKUP($E58,'D-1 Off Site Habitat Baseline'!$D$1:$O$258,5,FALSE)),"",(VLOOKUP($E58,'D-1 Off Site Habitat Baseline'!$D$1:$O$258,5,FALSE))))</f>
        <v/>
      </c>
      <c r="H58" s="175" t="str">
        <f>IF(E58="","",IF(ISNA(VLOOKUP($E58,'D-1 Off Site Habitat Baseline'!$D$1:$O$258,6,FALSE)),"",(VLOOKUP($E58,'D-1 Off Site Habitat Baseline'!$D$1:$O$258,6,FALSE))))</f>
        <v/>
      </c>
      <c r="I58" s="175" t="str">
        <f>IF(E58="","",IF(ISNA(VLOOKUP($E58,'D-1 Off Site Habitat Baseline'!$D$1:$O$258,7,FALSE)),"",(VLOOKUP($E58,'D-1 Off Site Habitat Baseline'!$D$1:$O$258,7,FALSE))))</f>
        <v/>
      </c>
      <c r="J58" s="175" t="str">
        <f>IF(E58="","",IF(ISNA(VLOOKUP($E58,'D-1 Off Site Habitat Baseline'!$D$1:$O$258,8,FALSE)),"",(VLOOKUP($E58,'D-1 Off Site Habitat Baseline'!$D$1:$O$258,8,FALSE))))</f>
        <v/>
      </c>
      <c r="K58" s="175" t="str">
        <f>IF(E58="","",IF(ISNA(VLOOKUP($E58,'D-1 Off Site Habitat Baseline'!$D$1:$O$258,9,FALSE)),"",(VLOOKUP($E58,'D-1 Off Site Habitat Baseline'!$D$1:$O$258,9,FALSE))))</f>
        <v/>
      </c>
      <c r="L58" s="175" t="str">
        <f>IF(E58="","",IF(ISNA(VLOOKUP($E58,'D-1 Off Site Habitat Baseline'!$D$1:$O$258,11,FALSE)),"",(VLOOKUP($E58,'D-1 Off Site Habitat Baseline'!$D$1:$O$258,11,FALSE))))</f>
        <v/>
      </c>
      <c r="M58" s="175" t="str">
        <f>IF(E58="","",IF(ISNA(VLOOKUP($E58,'D-1 Off Site Habitat Baseline'!$D$1:$O$258,12,FALSE)),"",(VLOOKUP($E58,'D-1 Off Site Habitat Baseline'!$D$1:$O$258,12,FALSE))))</f>
        <v/>
      </c>
      <c r="N58" s="175" t="str">
        <f>IF(E58="","",IF(ISNA(VLOOKUP($E58,'D-1 Off Site Habitat Baseline'!$D$1:$X$258,14,FALSE)),"",(VLOOKUP($E58,'D-1 Off Site Habitat Baseline'!$D$1:$X$258,14,FALSE))))</f>
        <v/>
      </c>
      <c r="O58" s="176" t="str">
        <f>IF(E58="","",IF(ISNA(VLOOKUP($E58,'D-1 Off Site Habitat Baseline'!$D$1:$X$258,13,FALSE)),"",(VLOOKUP($E58,'D-1 Off Site Habitat Baseline'!$D$1:$X$258,13,FALSE))))</f>
        <v/>
      </c>
      <c r="P58" s="337" t="str">
        <f>IFERROR(INDEX('G-1 All Habitats'!$AG$3:$AG$15,MATCH(Q58,'G-1 All Habitats'!$AF$3:$AF$15,0)),"")</f>
        <v/>
      </c>
      <c r="Q58" s="331" t="str">
        <f t="shared" si="13"/>
        <v/>
      </c>
      <c r="R58" s="332" t="str">
        <f t="shared" si="14"/>
        <v/>
      </c>
      <c r="S58" s="338" t="str">
        <f>IFERROR(INDEX('G-1 All Habitats'!$B$3:$B$130,MATCH(R58,'G-1 All Habitats'!$A$3:$A$130,0)),"")</f>
        <v/>
      </c>
      <c r="T58" s="179" t="str">
        <f t="shared" si="6"/>
        <v/>
      </c>
      <c r="U58" s="172" t="str">
        <f t="shared" si="7"/>
        <v/>
      </c>
      <c r="V58" s="334" t="str">
        <f t="shared" si="2"/>
        <v/>
      </c>
      <c r="W58" s="175" t="str">
        <f>IF(S58="","",VLOOKUP(S58,'G-1 All Habitats'!$B$2:$M$130,10,FALSE))</f>
        <v/>
      </c>
      <c r="X58" s="175" t="str">
        <f>IFERROR(VLOOKUP(W58,'G-1 All Habitats'!$V$3:$W$7,2,FALSE),"")</f>
        <v/>
      </c>
      <c r="Y58" s="275"/>
      <c r="Z58" s="176" t="str">
        <f>IFERROR(INDEX('G-8 Condition Look up'!$A$3:$H$131,MATCH(S58,'G-8 Condition Look up'!$A$3:$A$131,0),MATCH(Y58,'G-8 Condition Look up'!$A$3:$H$3,0)),"")</f>
        <v/>
      </c>
      <c r="AA58" s="173"/>
      <c r="AB58" s="269" t="str">
        <f>IF(AA58="","",IF(VLOOKUP(AA58,'G-3 Multipliers'!$L$3:$N$6,2,FALSE)=0,"Spatial Data Missing",VLOOKUP(AA58,'G-3 Multipliers'!$L$3:$N$6,2,FALSE)))</f>
        <v/>
      </c>
      <c r="AC58" s="176" t="str">
        <f>IF(AA58="","",IF(VLOOKUP(AA58,'G-3 Multipliers'!$L$3:$N$6,3,FALSE)=0,"Spatial Data Missing",VLOOKUP(AA58,'G-3 Multipliers'!$L$3:$N$6,3,FALSE)))</f>
        <v/>
      </c>
      <c r="AD58" s="239" t="str">
        <f t="shared" si="3"/>
        <v/>
      </c>
      <c r="AE58" s="275"/>
      <c r="AF58" s="275"/>
      <c r="AG58" s="175" t="str">
        <f t="shared" si="8"/>
        <v/>
      </c>
      <c r="AH58" s="242" t="str">
        <f t="shared" si="9"/>
        <v/>
      </c>
      <c r="AI58" s="335" t="str">
        <f>IF(AH58="Check Data","Check Data",IFERROR(VLOOKUP(AH58,'G-4 Temporal multipliers'!$A$4:$C$36,3,FALSE),""))</f>
        <v/>
      </c>
      <c r="AJ58" s="239" t="str">
        <f>IF(S58="","",VLOOKUP(S58,'G-3 Multipliers'!$A$2:$E$130,4,FALSE))</f>
        <v/>
      </c>
      <c r="AK58" s="175" t="str">
        <f t="shared" si="10"/>
        <v/>
      </c>
      <c r="AL58" s="175" t="str">
        <f t="shared" si="11"/>
        <v/>
      </c>
      <c r="AM58" s="176" t="str">
        <f>IFERROR(IF(F58="","",IF(AH58="Check Data","Check Data",VLOOKUP(AL58, 'G-3 Multipliers'!$P$2:$Q$6,2,FALSE))),””)</f>
        <v/>
      </c>
      <c r="AN58" s="266"/>
      <c r="AO58" s="269" t="str">
        <f>IF(AN58="","",IF(VLOOKUP(AN58,'G-3 Multipliers'!$S$3:$T$9,2,FALSE)=0,"Spatial Data Missing",VLOOKUP(AN58,'G-3 Multipliers'!$S$3:$T$9,2,FALSE)))</f>
        <v/>
      </c>
      <c r="AP58" s="207" t="str">
        <f t="shared" si="12"/>
        <v/>
      </c>
      <c r="AQ58" s="336"/>
      <c r="AR58" s="181"/>
    </row>
    <row r="59" spans="1:44" x14ac:dyDescent="0.25">
      <c r="A59" s="35" t="str">
        <f>IF(E59="","",IF(ISNA(VLOOKUP($E59,'D-1 Off Site Habitat Baseline'!$D$1:$O$258,2,FALSE)),"",(VLOOKUP($E59,'D-1 Off Site Habitat Baseline'!$D$1:$O$258,2,FALSE))))</f>
        <v/>
      </c>
      <c r="B59" s="35" t="str">
        <f>IF(E59="","",IF(ISNA(VLOOKUP($E59,'D-1 Off Site Habitat Baseline'!$D$1:$O$258,3,FALSE)),"",(VLOOKUP($E59,'D-1 Off Site Habitat Baseline'!$D$1:$O$258,3,FALSE))))</f>
        <v/>
      </c>
      <c r="C59" s="35" t="str">
        <f>IFERROR(INDEX('G-8 Condition Look up'!$I$4:$I$131,MATCH(S59,'G-8 Condition Look up'!$A$4:$A$131,0)),"")</f>
        <v/>
      </c>
      <c r="E59" s="329" t="str">
        <f>'D-1 Off Site Habitat Baseline'!AL58</f>
        <v/>
      </c>
      <c r="F59" s="175" t="str">
        <f>IF(E59="","",IF(ISNA(VLOOKUP($E59,'D-1 Off Site Habitat Baseline'!$D$1:$O$258,4,FALSE)),"",(VLOOKUP($E59,'D-1 Off Site Habitat Baseline'!$D$1:$O$258,4,FALSE))))</f>
        <v/>
      </c>
      <c r="G59" s="175" t="str">
        <f>IF(E59="","",IF(ISNA(VLOOKUP($E59,'D-1 Off Site Habitat Baseline'!$D$1:$O$258,5,FALSE)),"",(VLOOKUP($E59,'D-1 Off Site Habitat Baseline'!$D$1:$O$258,5,FALSE))))</f>
        <v/>
      </c>
      <c r="H59" s="175" t="str">
        <f>IF(E59="","",IF(ISNA(VLOOKUP($E59,'D-1 Off Site Habitat Baseline'!$D$1:$O$258,6,FALSE)),"",(VLOOKUP($E59,'D-1 Off Site Habitat Baseline'!$D$1:$O$258,6,FALSE))))</f>
        <v/>
      </c>
      <c r="I59" s="175" t="str">
        <f>IF(E59="","",IF(ISNA(VLOOKUP($E59,'D-1 Off Site Habitat Baseline'!$D$1:$O$258,7,FALSE)),"",(VLOOKUP($E59,'D-1 Off Site Habitat Baseline'!$D$1:$O$258,7,FALSE))))</f>
        <v/>
      </c>
      <c r="J59" s="175" t="str">
        <f>IF(E59="","",IF(ISNA(VLOOKUP($E59,'D-1 Off Site Habitat Baseline'!$D$1:$O$258,8,FALSE)),"",(VLOOKUP($E59,'D-1 Off Site Habitat Baseline'!$D$1:$O$258,8,FALSE))))</f>
        <v/>
      </c>
      <c r="K59" s="175" t="str">
        <f>IF(E59="","",IF(ISNA(VLOOKUP($E59,'D-1 Off Site Habitat Baseline'!$D$1:$O$258,9,FALSE)),"",(VLOOKUP($E59,'D-1 Off Site Habitat Baseline'!$D$1:$O$258,9,FALSE))))</f>
        <v/>
      </c>
      <c r="L59" s="175" t="str">
        <f>IF(E59="","",IF(ISNA(VLOOKUP($E59,'D-1 Off Site Habitat Baseline'!$D$1:$O$258,11,FALSE)),"",(VLOOKUP($E59,'D-1 Off Site Habitat Baseline'!$D$1:$O$258,11,FALSE))))</f>
        <v/>
      </c>
      <c r="M59" s="175" t="str">
        <f>IF(E59="","",IF(ISNA(VLOOKUP($E59,'D-1 Off Site Habitat Baseline'!$D$1:$O$258,12,FALSE)),"",(VLOOKUP($E59,'D-1 Off Site Habitat Baseline'!$D$1:$O$258,12,FALSE))))</f>
        <v/>
      </c>
      <c r="N59" s="175" t="str">
        <f>IF(E59="","",IF(ISNA(VLOOKUP($E59,'D-1 Off Site Habitat Baseline'!$D$1:$X$258,14,FALSE)),"",(VLOOKUP($E59,'D-1 Off Site Habitat Baseline'!$D$1:$X$258,14,FALSE))))</f>
        <v/>
      </c>
      <c r="O59" s="176" t="str">
        <f>IF(E59="","",IF(ISNA(VLOOKUP($E59,'D-1 Off Site Habitat Baseline'!$D$1:$X$258,13,FALSE)),"",(VLOOKUP($E59,'D-1 Off Site Habitat Baseline'!$D$1:$X$258,13,FALSE))))</f>
        <v/>
      </c>
      <c r="P59" s="337" t="str">
        <f>IFERROR(INDEX('G-1 All Habitats'!$AG$3:$AG$15,MATCH(Q59,'G-1 All Habitats'!$AF$3:$AF$15,0)),"")</f>
        <v/>
      </c>
      <c r="Q59" s="331" t="str">
        <f t="shared" si="13"/>
        <v/>
      </c>
      <c r="R59" s="332" t="str">
        <f t="shared" si="14"/>
        <v/>
      </c>
      <c r="S59" s="338" t="str">
        <f>IFERROR(INDEX('G-1 All Habitats'!$B$3:$B$130,MATCH(R59,'G-1 All Habitats'!$A$3:$A$130,0)),"")</f>
        <v/>
      </c>
      <c r="T59" s="179" t="str">
        <f t="shared" si="6"/>
        <v/>
      </c>
      <c r="U59" s="172" t="str">
        <f t="shared" si="7"/>
        <v/>
      </c>
      <c r="V59" s="334" t="str">
        <f t="shared" si="2"/>
        <v/>
      </c>
      <c r="W59" s="175" t="str">
        <f>IF(S59="","",VLOOKUP(S59,'G-1 All Habitats'!$B$2:$M$130,10,FALSE))</f>
        <v/>
      </c>
      <c r="X59" s="175" t="str">
        <f>IFERROR(VLOOKUP(W59,'G-1 All Habitats'!$V$3:$W$7,2,FALSE),"")</f>
        <v/>
      </c>
      <c r="Y59" s="275"/>
      <c r="Z59" s="176" t="str">
        <f>IFERROR(INDEX('G-8 Condition Look up'!$A$3:$H$131,MATCH(S59,'G-8 Condition Look up'!$A$3:$A$131,0),MATCH(Y59,'G-8 Condition Look up'!$A$3:$H$3,0)),"")</f>
        <v/>
      </c>
      <c r="AA59" s="173"/>
      <c r="AB59" s="269" t="str">
        <f>IF(AA59="","",IF(VLOOKUP(AA59,'G-3 Multipliers'!$L$3:$N$6,2,FALSE)=0,"Spatial Data Missing",VLOOKUP(AA59,'G-3 Multipliers'!$L$3:$N$6,2,FALSE)))</f>
        <v/>
      </c>
      <c r="AC59" s="176" t="str">
        <f>IF(AA59="","",IF(VLOOKUP(AA59,'G-3 Multipliers'!$L$3:$N$6,3,FALSE)=0,"Spatial Data Missing",VLOOKUP(AA59,'G-3 Multipliers'!$L$3:$N$6,3,FALSE)))</f>
        <v/>
      </c>
      <c r="AD59" s="239" t="str">
        <f t="shared" si="3"/>
        <v/>
      </c>
      <c r="AE59" s="275"/>
      <c r="AF59" s="275"/>
      <c r="AG59" s="175" t="str">
        <f t="shared" si="8"/>
        <v/>
      </c>
      <c r="AH59" s="242" t="str">
        <f t="shared" si="9"/>
        <v/>
      </c>
      <c r="AI59" s="335" t="str">
        <f>IF(AH59="Check Data","Check Data",IFERROR(VLOOKUP(AH59,'G-4 Temporal multipliers'!$A$4:$C$36,3,FALSE),""))</f>
        <v/>
      </c>
      <c r="AJ59" s="239" t="str">
        <f>IF(S59="","",VLOOKUP(S59,'G-3 Multipliers'!$A$2:$E$130,4,FALSE))</f>
        <v/>
      </c>
      <c r="AK59" s="175" t="str">
        <f t="shared" si="10"/>
        <v/>
      </c>
      <c r="AL59" s="175" t="str">
        <f t="shared" si="11"/>
        <v/>
      </c>
      <c r="AM59" s="176" t="str">
        <f>IFERROR(IF(F59="","",IF(AH59="Check Data","Check Data",VLOOKUP(AL59, 'G-3 Multipliers'!$P$2:$Q$6,2,FALSE))),””)</f>
        <v/>
      </c>
      <c r="AN59" s="266"/>
      <c r="AO59" s="269" t="str">
        <f>IF(AN59="","",IF(VLOOKUP(AN59,'G-3 Multipliers'!$S$3:$T$9,2,FALSE)=0,"Spatial Data Missing",VLOOKUP(AN59,'G-3 Multipliers'!$S$3:$T$9,2,FALSE)))</f>
        <v/>
      </c>
      <c r="AP59" s="207" t="str">
        <f t="shared" si="12"/>
        <v/>
      </c>
      <c r="AQ59" s="336"/>
      <c r="AR59" s="181"/>
    </row>
    <row r="60" spans="1:44" x14ac:dyDescent="0.25">
      <c r="A60" s="35" t="str">
        <f>IF(E60="","",IF(ISNA(VLOOKUP($E60,'D-1 Off Site Habitat Baseline'!$D$1:$O$258,2,FALSE)),"",(VLOOKUP($E60,'D-1 Off Site Habitat Baseline'!$D$1:$O$258,2,FALSE))))</f>
        <v/>
      </c>
      <c r="B60" s="35" t="str">
        <f>IF(E60="","",IF(ISNA(VLOOKUP($E60,'D-1 Off Site Habitat Baseline'!$D$1:$O$258,3,FALSE)),"",(VLOOKUP($E60,'D-1 Off Site Habitat Baseline'!$D$1:$O$258,3,FALSE))))</f>
        <v/>
      </c>
      <c r="C60" s="35" t="str">
        <f>IFERROR(INDEX('G-8 Condition Look up'!$I$4:$I$131,MATCH(S60,'G-8 Condition Look up'!$A$4:$A$131,0)),"")</f>
        <v/>
      </c>
      <c r="E60" s="329" t="str">
        <f>'D-1 Off Site Habitat Baseline'!AL59</f>
        <v/>
      </c>
      <c r="F60" s="175" t="str">
        <f>IF(E60="","",IF(ISNA(VLOOKUP($E60,'D-1 Off Site Habitat Baseline'!$D$1:$O$258,4,FALSE)),"",(VLOOKUP($E60,'D-1 Off Site Habitat Baseline'!$D$1:$O$258,4,FALSE))))</f>
        <v/>
      </c>
      <c r="G60" s="175" t="str">
        <f>IF(E60="","",IF(ISNA(VLOOKUP($E60,'D-1 Off Site Habitat Baseline'!$D$1:$O$258,5,FALSE)),"",(VLOOKUP($E60,'D-1 Off Site Habitat Baseline'!$D$1:$O$258,5,FALSE))))</f>
        <v/>
      </c>
      <c r="H60" s="175" t="str">
        <f>IF(E60="","",IF(ISNA(VLOOKUP($E60,'D-1 Off Site Habitat Baseline'!$D$1:$O$258,6,FALSE)),"",(VLOOKUP($E60,'D-1 Off Site Habitat Baseline'!$D$1:$O$258,6,FALSE))))</f>
        <v/>
      </c>
      <c r="I60" s="175" t="str">
        <f>IF(E60="","",IF(ISNA(VLOOKUP($E60,'D-1 Off Site Habitat Baseline'!$D$1:$O$258,7,FALSE)),"",(VLOOKUP($E60,'D-1 Off Site Habitat Baseline'!$D$1:$O$258,7,FALSE))))</f>
        <v/>
      </c>
      <c r="J60" s="175" t="str">
        <f>IF(E60="","",IF(ISNA(VLOOKUP($E60,'D-1 Off Site Habitat Baseline'!$D$1:$O$258,8,FALSE)),"",(VLOOKUP($E60,'D-1 Off Site Habitat Baseline'!$D$1:$O$258,8,FALSE))))</f>
        <v/>
      </c>
      <c r="K60" s="175" t="str">
        <f>IF(E60="","",IF(ISNA(VLOOKUP($E60,'D-1 Off Site Habitat Baseline'!$D$1:$O$258,9,FALSE)),"",(VLOOKUP($E60,'D-1 Off Site Habitat Baseline'!$D$1:$O$258,9,FALSE))))</f>
        <v/>
      </c>
      <c r="L60" s="175" t="str">
        <f>IF(E60="","",IF(ISNA(VLOOKUP($E60,'D-1 Off Site Habitat Baseline'!$D$1:$O$258,11,FALSE)),"",(VLOOKUP($E60,'D-1 Off Site Habitat Baseline'!$D$1:$O$258,11,FALSE))))</f>
        <v/>
      </c>
      <c r="M60" s="175" t="str">
        <f>IF(E60="","",IF(ISNA(VLOOKUP($E60,'D-1 Off Site Habitat Baseline'!$D$1:$O$258,12,FALSE)),"",(VLOOKUP($E60,'D-1 Off Site Habitat Baseline'!$D$1:$O$258,12,FALSE))))</f>
        <v/>
      </c>
      <c r="N60" s="175" t="str">
        <f>IF(E60="","",IF(ISNA(VLOOKUP($E60,'D-1 Off Site Habitat Baseline'!$D$1:$X$258,14,FALSE)),"",(VLOOKUP($E60,'D-1 Off Site Habitat Baseline'!$D$1:$X$258,14,FALSE))))</f>
        <v/>
      </c>
      <c r="O60" s="176" t="str">
        <f>IF(E60="","",IF(ISNA(VLOOKUP($E60,'D-1 Off Site Habitat Baseline'!$D$1:$X$258,13,FALSE)),"",(VLOOKUP($E60,'D-1 Off Site Habitat Baseline'!$D$1:$X$258,13,FALSE))))</f>
        <v/>
      </c>
      <c r="P60" s="337" t="str">
        <f>IFERROR(INDEX('G-1 All Habitats'!$AG$3:$AG$15,MATCH(Q60,'G-1 All Habitats'!$AF$3:$AF$15,0)),"")</f>
        <v/>
      </c>
      <c r="Q60" s="331" t="str">
        <f t="shared" si="13"/>
        <v/>
      </c>
      <c r="R60" s="332" t="str">
        <f t="shared" si="14"/>
        <v/>
      </c>
      <c r="S60" s="338" t="str">
        <f>IFERROR(INDEX('G-1 All Habitats'!$B$3:$B$130,MATCH(R60,'G-1 All Habitats'!$A$3:$A$130,0)),"")</f>
        <v/>
      </c>
      <c r="T60" s="179" t="str">
        <f t="shared" si="6"/>
        <v/>
      </c>
      <c r="U60" s="172" t="str">
        <f t="shared" si="7"/>
        <v/>
      </c>
      <c r="V60" s="334" t="str">
        <f t="shared" si="2"/>
        <v/>
      </c>
      <c r="W60" s="175" t="str">
        <f>IF(S60="","",VLOOKUP(S60,'G-1 All Habitats'!$B$2:$M$130,10,FALSE))</f>
        <v/>
      </c>
      <c r="X60" s="175" t="str">
        <f>IFERROR(VLOOKUP(W60,'G-1 All Habitats'!$V$3:$W$7,2,FALSE),"")</f>
        <v/>
      </c>
      <c r="Y60" s="275"/>
      <c r="Z60" s="176" t="str">
        <f>IFERROR(INDEX('G-8 Condition Look up'!$A$3:$H$131,MATCH(S60,'G-8 Condition Look up'!$A$3:$A$131,0),MATCH(Y60,'G-8 Condition Look up'!$A$3:$H$3,0)),"")</f>
        <v/>
      </c>
      <c r="AA60" s="173"/>
      <c r="AB60" s="269" t="str">
        <f>IF(AA60="","",IF(VLOOKUP(AA60,'G-3 Multipliers'!$L$3:$N$6,2,FALSE)=0,"Spatial Data Missing",VLOOKUP(AA60,'G-3 Multipliers'!$L$3:$N$6,2,FALSE)))</f>
        <v/>
      </c>
      <c r="AC60" s="176" t="str">
        <f>IF(AA60="","",IF(VLOOKUP(AA60,'G-3 Multipliers'!$L$3:$N$6,3,FALSE)=0,"Spatial Data Missing",VLOOKUP(AA60,'G-3 Multipliers'!$L$3:$N$6,3,FALSE)))</f>
        <v/>
      </c>
      <c r="AD60" s="239" t="str">
        <f t="shared" si="3"/>
        <v/>
      </c>
      <c r="AE60" s="275"/>
      <c r="AF60" s="275"/>
      <c r="AG60" s="175" t="str">
        <f t="shared" si="8"/>
        <v/>
      </c>
      <c r="AH60" s="242" t="str">
        <f t="shared" si="9"/>
        <v/>
      </c>
      <c r="AI60" s="335" t="str">
        <f>IF(AH60="Check Data","Check Data",IFERROR(VLOOKUP(AH60,'G-4 Temporal multipliers'!$A$4:$C$36,3,FALSE),""))</f>
        <v/>
      </c>
      <c r="AJ60" s="239" t="str">
        <f>IF(S60="","",VLOOKUP(S60,'G-3 Multipliers'!$A$2:$E$130,4,FALSE))</f>
        <v/>
      </c>
      <c r="AK60" s="175" t="str">
        <f t="shared" si="10"/>
        <v/>
      </c>
      <c r="AL60" s="175" t="str">
        <f t="shared" si="11"/>
        <v/>
      </c>
      <c r="AM60" s="176" t="str">
        <f>IFERROR(IF(F60="","",IF(AH60="Check Data","Check Data",VLOOKUP(AL60, 'G-3 Multipliers'!$P$2:$Q$6,2,FALSE))),””)</f>
        <v/>
      </c>
      <c r="AN60" s="266"/>
      <c r="AO60" s="269" t="str">
        <f>IF(AN60="","",IF(VLOOKUP(AN60,'G-3 Multipliers'!$S$3:$T$9,2,FALSE)=0,"Spatial Data Missing",VLOOKUP(AN60,'G-3 Multipliers'!$S$3:$T$9,2,FALSE)))</f>
        <v/>
      </c>
      <c r="AP60" s="207" t="str">
        <f t="shared" si="12"/>
        <v/>
      </c>
      <c r="AQ60" s="336"/>
      <c r="AR60" s="181"/>
    </row>
    <row r="61" spans="1:44" x14ac:dyDescent="0.25">
      <c r="A61" s="35" t="str">
        <f>IF(E61="","",IF(ISNA(VLOOKUP($E61,'D-1 Off Site Habitat Baseline'!$D$1:$O$258,2,FALSE)),"",(VLOOKUP($E61,'D-1 Off Site Habitat Baseline'!$D$1:$O$258,2,FALSE))))</f>
        <v/>
      </c>
      <c r="B61" s="35" t="str">
        <f>IF(E61="","",IF(ISNA(VLOOKUP($E61,'D-1 Off Site Habitat Baseline'!$D$1:$O$258,3,FALSE)),"",(VLOOKUP($E61,'D-1 Off Site Habitat Baseline'!$D$1:$O$258,3,FALSE))))</f>
        <v/>
      </c>
      <c r="C61" s="35" t="str">
        <f>IFERROR(INDEX('G-8 Condition Look up'!$I$4:$I$131,MATCH(S61,'G-8 Condition Look up'!$A$4:$A$131,0)),"")</f>
        <v/>
      </c>
      <c r="E61" s="329" t="str">
        <f>'D-1 Off Site Habitat Baseline'!AL60</f>
        <v/>
      </c>
      <c r="F61" s="175" t="str">
        <f>IF(E61="","",IF(ISNA(VLOOKUP($E61,'D-1 Off Site Habitat Baseline'!$D$1:$O$258,4,FALSE)),"",(VLOOKUP($E61,'D-1 Off Site Habitat Baseline'!$D$1:$O$258,4,FALSE))))</f>
        <v/>
      </c>
      <c r="G61" s="175" t="str">
        <f>IF(E61="","",IF(ISNA(VLOOKUP($E61,'D-1 Off Site Habitat Baseline'!$D$1:$O$258,5,FALSE)),"",(VLOOKUP($E61,'D-1 Off Site Habitat Baseline'!$D$1:$O$258,5,FALSE))))</f>
        <v/>
      </c>
      <c r="H61" s="175" t="str">
        <f>IF(E61="","",IF(ISNA(VLOOKUP($E61,'D-1 Off Site Habitat Baseline'!$D$1:$O$258,6,FALSE)),"",(VLOOKUP($E61,'D-1 Off Site Habitat Baseline'!$D$1:$O$258,6,FALSE))))</f>
        <v/>
      </c>
      <c r="I61" s="175" t="str">
        <f>IF(E61="","",IF(ISNA(VLOOKUP($E61,'D-1 Off Site Habitat Baseline'!$D$1:$O$258,7,FALSE)),"",(VLOOKUP($E61,'D-1 Off Site Habitat Baseline'!$D$1:$O$258,7,FALSE))))</f>
        <v/>
      </c>
      <c r="J61" s="175" t="str">
        <f>IF(E61="","",IF(ISNA(VLOOKUP($E61,'D-1 Off Site Habitat Baseline'!$D$1:$O$258,8,FALSE)),"",(VLOOKUP($E61,'D-1 Off Site Habitat Baseline'!$D$1:$O$258,8,FALSE))))</f>
        <v/>
      </c>
      <c r="K61" s="175" t="str">
        <f>IF(E61="","",IF(ISNA(VLOOKUP($E61,'D-1 Off Site Habitat Baseline'!$D$1:$O$258,9,FALSE)),"",(VLOOKUP($E61,'D-1 Off Site Habitat Baseline'!$D$1:$O$258,9,FALSE))))</f>
        <v/>
      </c>
      <c r="L61" s="175" t="str">
        <f>IF(E61="","",IF(ISNA(VLOOKUP($E61,'D-1 Off Site Habitat Baseline'!$D$1:$O$258,11,FALSE)),"",(VLOOKUP($E61,'D-1 Off Site Habitat Baseline'!$D$1:$O$258,11,FALSE))))</f>
        <v/>
      </c>
      <c r="M61" s="175" t="str">
        <f>IF(E61="","",IF(ISNA(VLOOKUP($E61,'D-1 Off Site Habitat Baseline'!$D$1:$O$258,12,FALSE)),"",(VLOOKUP($E61,'D-1 Off Site Habitat Baseline'!$D$1:$O$258,12,FALSE))))</f>
        <v/>
      </c>
      <c r="N61" s="175" t="str">
        <f>IF(E61="","",IF(ISNA(VLOOKUP($E61,'D-1 Off Site Habitat Baseline'!$D$1:$X$258,14,FALSE)),"",(VLOOKUP($E61,'D-1 Off Site Habitat Baseline'!$D$1:$X$258,14,FALSE))))</f>
        <v/>
      </c>
      <c r="O61" s="176" t="str">
        <f>IF(E61="","",IF(ISNA(VLOOKUP($E61,'D-1 Off Site Habitat Baseline'!$D$1:$X$258,13,FALSE)),"",(VLOOKUP($E61,'D-1 Off Site Habitat Baseline'!$D$1:$X$258,13,FALSE))))</f>
        <v/>
      </c>
      <c r="P61" s="337" t="str">
        <f>IFERROR(INDEX('G-1 All Habitats'!$AG$3:$AG$15,MATCH(Q61,'G-1 All Habitats'!$AF$3:$AF$15,0)),"")</f>
        <v/>
      </c>
      <c r="Q61" s="331" t="str">
        <f t="shared" si="13"/>
        <v/>
      </c>
      <c r="R61" s="332" t="str">
        <f t="shared" si="14"/>
        <v/>
      </c>
      <c r="S61" s="338" t="str">
        <f>IFERROR(INDEX('G-1 All Habitats'!$B$3:$B$130,MATCH(R61,'G-1 All Habitats'!$A$3:$A$130,0)),"")</f>
        <v/>
      </c>
      <c r="T61" s="179" t="str">
        <f t="shared" si="6"/>
        <v/>
      </c>
      <c r="U61" s="172" t="str">
        <f t="shared" si="7"/>
        <v/>
      </c>
      <c r="V61" s="334" t="str">
        <f t="shared" si="2"/>
        <v/>
      </c>
      <c r="W61" s="175" t="str">
        <f>IF(S61="","",VLOOKUP(S61,'G-1 All Habitats'!$B$2:$M$130,10,FALSE))</f>
        <v/>
      </c>
      <c r="X61" s="175" t="str">
        <f>IFERROR(VLOOKUP(W61,'G-1 All Habitats'!$V$3:$W$7,2,FALSE),"")</f>
        <v/>
      </c>
      <c r="Y61" s="275"/>
      <c r="Z61" s="176" t="str">
        <f>IFERROR(INDEX('G-8 Condition Look up'!$A$3:$H$131,MATCH(S61,'G-8 Condition Look up'!$A$3:$A$131,0),MATCH(Y61,'G-8 Condition Look up'!$A$3:$H$3,0)),"")</f>
        <v/>
      </c>
      <c r="AA61" s="173"/>
      <c r="AB61" s="269" t="str">
        <f>IF(AA61="","",IF(VLOOKUP(AA61,'G-3 Multipliers'!$L$3:$N$6,2,FALSE)=0,"Spatial Data Missing",VLOOKUP(AA61,'G-3 Multipliers'!$L$3:$N$6,2,FALSE)))</f>
        <v/>
      </c>
      <c r="AC61" s="176" t="str">
        <f>IF(AA61="","",IF(VLOOKUP(AA61,'G-3 Multipliers'!$L$3:$N$6,3,FALSE)=0,"Spatial Data Missing",VLOOKUP(AA61,'G-3 Multipliers'!$L$3:$N$6,3,FALSE)))</f>
        <v/>
      </c>
      <c r="AD61" s="239" t="str">
        <f t="shared" si="3"/>
        <v/>
      </c>
      <c r="AE61" s="275"/>
      <c r="AF61" s="275"/>
      <c r="AG61" s="175" t="str">
        <f t="shared" si="8"/>
        <v/>
      </c>
      <c r="AH61" s="242" t="str">
        <f t="shared" si="9"/>
        <v/>
      </c>
      <c r="AI61" s="335" t="str">
        <f>IF(AH61="Check Data","Check Data",IFERROR(VLOOKUP(AH61,'G-4 Temporal multipliers'!$A$4:$C$36,3,FALSE),""))</f>
        <v/>
      </c>
      <c r="AJ61" s="239" t="str">
        <f>IF(S61="","",VLOOKUP(S61,'G-3 Multipliers'!$A$2:$E$130,4,FALSE))</f>
        <v/>
      </c>
      <c r="AK61" s="175" t="str">
        <f t="shared" si="10"/>
        <v/>
      </c>
      <c r="AL61" s="175" t="str">
        <f t="shared" si="11"/>
        <v/>
      </c>
      <c r="AM61" s="176" t="str">
        <f>IFERROR(IF(F61="","",IF(AH61="Check Data","Check Data",VLOOKUP(AL61, 'G-3 Multipliers'!$P$2:$Q$6,2,FALSE))),””)</f>
        <v/>
      </c>
      <c r="AN61" s="266"/>
      <c r="AO61" s="269" t="str">
        <f>IF(AN61="","",IF(VLOOKUP(AN61,'G-3 Multipliers'!$S$3:$T$9,2,FALSE)=0,"Spatial Data Missing",VLOOKUP(AN61,'G-3 Multipliers'!$S$3:$T$9,2,FALSE)))</f>
        <v/>
      </c>
      <c r="AP61" s="207" t="str">
        <f t="shared" si="12"/>
        <v/>
      </c>
      <c r="AQ61" s="336"/>
      <c r="AR61" s="181"/>
    </row>
    <row r="62" spans="1:44" x14ac:dyDescent="0.25">
      <c r="A62" s="35" t="str">
        <f>IF(E62="","",IF(ISNA(VLOOKUP($E62,'D-1 Off Site Habitat Baseline'!$D$1:$O$258,2,FALSE)),"",(VLOOKUP($E62,'D-1 Off Site Habitat Baseline'!$D$1:$O$258,2,FALSE))))</f>
        <v/>
      </c>
      <c r="B62" s="35" t="str">
        <f>IF(E62="","",IF(ISNA(VLOOKUP($E62,'D-1 Off Site Habitat Baseline'!$D$1:$O$258,3,FALSE)),"",(VLOOKUP($E62,'D-1 Off Site Habitat Baseline'!$D$1:$O$258,3,FALSE))))</f>
        <v/>
      </c>
      <c r="C62" s="35" t="str">
        <f>IFERROR(INDEX('G-8 Condition Look up'!$I$4:$I$131,MATCH(S62,'G-8 Condition Look up'!$A$4:$A$131,0)),"")</f>
        <v/>
      </c>
      <c r="E62" s="329" t="str">
        <f>'D-1 Off Site Habitat Baseline'!AL61</f>
        <v/>
      </c>
      <c r="F62" s="175" t="str">
        <f>IF(E62="","",IF(ISNA(VLOOKUP($E62,'D-1 Off Site Habitat Baseline'!$D$1:$O$258,4,FALSE)),"",(VLOOKUP($E62,'D-1 Off Site Habitat Baseline'!$D$1:$O$258,4,FALSE))))</f>
        <v/>
      </c>
      <c r="G62" s="175" t="str">
        <f>IF(E62="","",IF(ISNA(VLOOKUP($E62,'D-1 Off Site Habitat Baseline'!$D$1:$O$258,5,FALSE)),"",(VLOOKUP($E62,'D-1 Off Site Habitat Baseline'!$D$1:$O$258,5,FALSE))))</f>
        <v/>
      </c>
      <c r="H62" s="175" t="str">
        <f>IF(E62="","",IF(ISNA(VLOOKUP($E62,'D-1 Off Site Habitat Baseline'!$D$1:$O$258,6,FALSE)),"",(VLOOKUP($E62,'D-1 Off Site Habitat Baseline'!$D$1:$O$258,6,FALSE))))</f>
        <v/>
      </c>
      <c r="I62" s="175" t="str">
        <f>IF(E62="","",IF(ISNA(VLOOKUP($E62,'D-1 Off Site Habitat Baseline'!$D$1:$O$258,7,FALSE)),"",(VLOOKUP($E62,'D-1 Off Site Habitat Baseline'!$D$1:$O$258,7,FALSE))))</f>
        <v/>
      </c>
      <c r="J62" s="175" t="str">
        <f>IF(E62="","",IF(ISNA(VLOOKUP($E62,'D-1 Off Site Habitat Baseline'!$D$1:$O$258,8,FALSE)),"",(VLOOKUP($E62,'D-1 Off Site Habitat Baseline'!$D$1:$O$258,8,FALSE))))</f>
        <v/>
      </c>
      <c r="K62" s="175" t="str">
        <f>IF(E62="","",IF(ISNA(VLOOKUP($E62,'D-1 Off Site Habitat Baseline'!$D$1:$O$258,9,FALSE)),"",(VLOOKUP($E62,'D-1 Off Site Habitat Baseline'!$D$1:$O$258,9,FALSE))))</f>
        <v/>
      </c>
      <c r="L62" s="175" t="str">
        <f>IF(E62="","",IF(ISNA(VLOOKUP($E62,'D-1 Off Site Habitat Baseline'!$D$1:$O$258,11,FALSE)),"",(VLOOKUP($E62,'D-1 Off Site Habitat Baseline'!$D$1:$O$258,11,FALSE))))</f>
        <v/>
      </c>
      <c r="M62" s="175" t="str">
        <f>IF(E62="","",IF(ISNA(VLOOKUP($E62,'D-1 Off Site Habitat Baseline'!$D$1:$O$258,12,FALSE)),"",(VLOOKUP($E62,'D-1 Off Site Habitat Baseline'!$D$1:$O$258,12,FALSE))))</f>
        <v/>
      </c>
      <c r="N62" s="175" t="str">
        <f>IF(E62="","",IF(ISNA(VLOOKUP($E62,'D-1 Off Site Habitat Baseline'!$D$1:$X$258,14,FALSE)),"",(VLOOKUP($E62,'D-1 Off Site Habitat Baseline'!$D$1:$X$258,14,FALSE))))</f>
        <v/>
      </c>
      <c r="O62" s="176" t="str">
        <f>IF(E62="","",IF(ISNA(VLOOKUP($E62,'D-1 Off Site Habitat Baseline'!$D$1:$X$258,13,FALSE)),"",(VLOOKUP($E62,'D-1 Off Site Habitat Baseline'!$D$1:$X$258,13,FALSE))))</f>
        <v/>
      </c>
      <c r="P62" s="337" t="str">
        <f>IFERROR(INDEX('G-1 All Habitats'!$AG$3:$AG$15,MATCH(Q62,'G-1 All Habitats'!$AF$3:$AF$15,0)),"")</f>
        <v/>
      </c>
      <c r="Q62" s="331" t="str">
        <f t="shared" si="13"/>
        <v/>
      </c>
      <c r="R62" s="332" t="str">
        <f t="shared" si="14"/>
        <v/>
      </c>
      <c r="S62" s="338" t="str">
        <f>IFERROR(INDEX('G-1 All Habitats'!$B$3:$B$130,MATCH(R62,'G-1 All Habitats'!$A$3:$A$130,0)),"")</f>
        <v/>
      </c>
      <c r="T62" s="179" t="str">
        <f t="shared" si="6"/>
        <v/>
      </c>
      <c r="U62" s="172" t="str">
        <f t="shared" si="7"/>
        <v/>
      </c>
      <c r="V62" s="334" t="str">
        <f t="shared" si="2"/>
        <v/>
      </c>
      <c r="W62" s="175" t="str">
        <f>IF(S62="","",VLOOKUP(S62,'G-1 All Habitats'!$B$2:$M$130,10,FALSE))</f>
        <v/>
      </c>
      <c r="X62" s="175" t="str">
        <f>IFERROR(VLOOKUP(W62,'G-1 All Habitats'!$V$3:$W$7,2,FALSE),"")</f>
        <v/>
      </c>
      <c r="Y62" s="275"/>
      <c r="Z62" s="176" t="str">
        <f>IFERROR(INDEX('G-8 Condition Look up'!$A$3:$H$131,MATCH(S62,'G-8 Condition Look up'!$A$3:$A$131,0),MATCH(Y62,'G-8 Condition Look up'!$A$3:$H$3,0)),"")</f>
        <v/>
      </c>
      <c r="AA62" s="173"/>
      <c r="AB62" s="269" t="str">
        <f>IF(AA62="","",IF(VLOOKUP(AA62,'G-3 Multipliers'!$L$3:$N$6,2,FALSE)=0,"Spatial Data Missing",VLOOKUP(AA62,'G-3 Multipliers'!$L$3:$N$6,2,FALSE)))</f>
        <v/>
      </c>
      <c r="AC62" s="176" t="str">
        <f>IF(AA62="","",IF(VLOOKUP(AA62,'G-3 Multipliers'!$L$3:$N$6,3,FALSE)=0,"Spatial Data Missing",VLOOKUP(AA62,'G-3 Multipliers'!$L$3:$N$6,3,FALSE)))</f>
        <v/>
      </c>
      <c r="AD62" s="239" t="str">
        <f t="shared" si="3"/>
        <v/>
      </c>
      <c r="AE62" s="275"/>
      <c r="AF62" s="275"/>
      <c r="AG62" s="175" t="str">
        <f t="shared" si="8"/>
        <v/>
      </c>
      <c r="AH62" s="242" t="str">
        <f t="shared" si="9"/>
        <v/>
      </c>
      <c r="AI62" s="335" t="str">
        <f>IF(AH62="Check Data","Check Data",IFERROR(VLOOKUP(AH62,'G-4 Temporal multipliers'!$A$4:$C$36,3,FALSE),""))</f>
        <v/>
      </c>
      <c r="AJ62" s="239" t="str">
        <f>IF(S62="","",VLOOKUP(S62,'G-3 Multipliers'!$A$2:$E$130,4,FALSE))</f>
        <v/>
      </c>
      <c r="AK62" s="175" t="str">
        <f t="shared" si="10"/>
        <v/>
      </c>
      <c r="AL62" s="175" t="str">
        <f t="shared" si="11"/>
        <v/>
      </c>
      <c r="AM62" s="176" t="str">
        <f>IFERROR(IF(F62="","",IF(AH62="Check Data","Check Data",VLOOKUP(AL62, 'G-3 Multipliers'!$P$2:$Q$6,2,FALSE))),””)</f>
        <v/>
      </c>
      <c r="AN62" s="266"/>
      <c r="AO62" s="269" t="str">
        <f>IF(AN62="","",IF(VLOOKUP(AN62,'G-3 Multipliers'!$S$3:$T$9,2,FALSE)=0,"Spatial Data Missing",VLOOKUP(AN62,'G-3 Multipliers'!$S$3:$T$9,2,FALSE)))</f>
        <v/>
      </c>
      <c r="AP62" s="207" t="str">
        <f t="shared" si="12"/>
        <v/>
      </c>
      <c r="AQ62" s="336"/>
      <c r="AR62" s="181"/>
    </row>
    <row r="63" spans="1:44" x14ac:dyDescent="0.25">
      <c r="A63" s="35" t="str">
        <f>IF(E63="","",IF(ISNA(VLOOKUP($E63,'D-1 Off Site Habitat Baseline'!$D$1:$O$258,2,FALSE)),"",(VLOOKUP($E63,'D-1 Off Site Habitat Baseline'!$D$1:$O$258,2,FALSE))))</f>
        <v/>
      </c>
      <c r="B63" s="35" t="str">
        <f>IF(E63="","",IF(ISNA(VLOOKUP($E63,'D-1 Off Site Habitat Baseline'!$D$1:$O$258,3,FALSE)),"",(VLOOKUP($E63,'D-1 Off Site Habitat Baseline'!$D$1:$O$258,3,FALSE))))</f>
        <v/>
      </c>
      <c r="C63" s="35" t="str">
        <f>IFERROR(INDEX('G-8 Condition Look up'!$I$4:$I$131,MATCH(S63,'G-8 Condition Look up'!$A$4:$A$131,0)),"")</f>
        <v/>
      </c>
      <c r="E63" s="329" t="str">
        <f>'D-1 Off Site Habitat Baseline'!AL62</f>
        <v/>
      </c>
      <c r="F63" s="175" t="str">
        <f>IF(E63="","",IF(ISNA(VLOOKUP($E63,'D-1 Off Site Habitat Baseline'!$D$1:$O$258,4,FALSE)),"",(VLOOKUP($E63,'D-1 Off Site Habitat Baseline'!$D$1:$O$258,4,FALSE))))</f>
        <v/>
      </c>
      <c r="G63" s="175" t="str">
        <f>IF(E63="","",IF(ISNA(VLOOKUP($E63,'D-1 Off Site Habitat Baseline'!$D$1:$O$258,5,FALSE)),"",(VLOOKUP($E63,'D-1 Off Site Habitat Baseline'!$D$1:$O$258,5,FALSE))))</f>
        <v/>
      </c>
      <c r="H63" s="175" t="str">
        <f>IF(E63="","",IF(ISNA(VLOOKUP($E63,'D-1 Off Site Habitat Baseline'!$D$1:$O$258,6,FALSE)),"",(VLOOKUP($E63,'D-1 Off Site Habitat Baseline'!$D$1:$O$258,6,FALSE))))</f>
        <v/>
      </c>
      <c r="I63" s="175" t="str">
        <f>IF(E63="","",IF(ISNA(VLOOKUP($E63,'D-1 Off Site Habitat Baseline'!$D$1:$O$258,7,FALSE)),"",(VLOOKUP($E63,'D-1 Off Site Habitat Baseline'!$D$1:$O$258,7,FALSE))))</f>
        <v/>
      </c>
      <c r="J63" s="175" t="str">
        <f>IF(E63="","",IF(ISNA(VLOOKUP($E63,'D-1 Off Site Habitat Baseline'!$D$1:$O$258,8,FALSE)),"",(VLOOKUP($E63,'D-1 Off Site Habitat Baseline'!$D$1:$O$258,8,FALSE))))</f>
        <v/>
      </c>
      <c r="K63" s="175" t="str">
        <f>IF(E63="","",IF(ISNA(VLOOKUP($E63,'D-1 Off Site Habitat Baseline'!$D$1:$O$258,9,FALSE)),"",(VLOOKUP($E63,'D-1 Off Site Habitat Baseline'!$D$1:$O$258,9,FALSE))))</f>
        <v/>
      </c>
      <c r="L63" s="175" t="str">
        <f>IF(E63="","",IF(ISNA(VLOOKUP($E63,'D-1 Off Site Habitat Baseline'!$D$1:$O$258,11,FALSE)),"",(VLOOKUP($E63,'D-1 Off Site Habitat Baseline'!$D$1:$O$258,11,FALSE))))</f>
        <v/>
      </c>
      <c r="M63" s="175" t="str">
        <f>IF(E63="","",IF(ISNA(VLOOKUP($E63,'D-1 Off Site Habitat Baseline'!$D$1:$O$258,12,FALSE)),"",(VLOOKUP($E63,'D-1 Off Site Habitat Baseline'!$D$1:$O$258,12,FALSE))))</f>
        <v/>
      </c>
      <c r="N63" s="175" t="str">
        <f>IF(E63="","",IF(ISNA(VLOOKUP($E63,'D-1 Off Site Habitat Baseline'!$D$1:$X$258,14,FALSE)),"",(VLOOKUP($E63,'D-1 Off Site Habitat Baseline'!$D$1:$X$258,14,FALSE))))</f>
        <v/>
      </c>
      <c r="O63" s="176" t="str">
        <f>IF(E63="","",IF(ISNA(VLOOKUP($E63,'D-1 Off Site Habitat Baseline'!$D$1:$X$258,13,FALSE)),"",(VLOOKUP($E63,'D-1 Off Site Habitat Baseline'!$D$1:$X$258,13,FALSE))))</f>
        <v/>
      </c>
      <c r="P63" s="337" t="str">
        <f>IFERROR(INDEX('G-1 All Habitats'!$AG$3:$AG$15,MATCH(Q63,'G-1 All Habitats'!$AF$3:$AF$15,0)),"")</f>
        <v/>
      </c>
      <c r="Q63" s="331" t="str">
        <f t="shared" si="13"/>
        <v/>
      </c>
      <c r="R63" s="332" t="str">
        <f t="shared" si="14"/>
        <v/>
      </c>
      <c r="S63" s="338" t="str">
        <f>IFERROR(INDEX('G-1 All Habitats'!$B$3:$B$130,MATCH(R63,'G-1 All Habitats'!$A$3:$A$130,0)),"")</f>
        <v/>
      </c>
      <c r="T63" s="179" t="str">
        <f t="shared" si="6"/>
        <v/>
      </c>
      <c r="U63" s="172" t="str">
        <f t="shared" si="7"/>
        <v/>
      </c>
      <c r="V63" s="334" t="str">
        <f t="shared" si="2"/>
        <v/>
      </c>
      <c r="W63" s="175" t="str">
        <f>IF(S63="","",VLOOKUP(S63,'G-1 All Habitats'!$B$2:$M$130,10,FALSE))</f>
        <v/>
      </c>
      <c r="X63" s="175" t="str">
        <f>IFERROR(VLOOKUP(W63,'G-1 All Habitats'!$V$3:$W$7,2,FALSE),"")</f>
        <v/>
      </c>
      <c r="Y63" s="275"/>
      <c r="Z63" s="176" t="str">
        <f>IFERROR(INDEX('G-8 Condition Look up'!$A$3:$H$131,MATCH(S63,'G-8 Condition Look up'!$A$3:$A$131,0),MATCH(Y63,'G-8 Condition Look up'!$A$3:$H$3,0)),"")</f>
        <v/>
      </c>
      <c r="AA63" s="173"/>
      <c r="AB63" s="269" t="str">
        <f>IF(AA63="","",IF(VLOOKUP(AA63,'G-3 Multipliers'!$L$3:$N$6,2,FALSE)=0,"Spatial Data Missing",VLOOKUP(AA63,'G-3 Multipliers'!$L$3:$N$6,2,FALSE)))</f>
        <v/>
      </c>
      <c r="AC63" s="176" t="str">
        <f>IF(AA63="","",IF(VLOOKUP(AA63,'G-3 Multipliers'!$L$3:$N$6,3,FALSE)=0,"Spatial Data Missing",VLOOKUP(AA63,'G-3 Multipliers'!$L$3:$N$6,3,FALSE)))</f>
        <v/>
      </c>
      <c r="AD63" s="239" t="str">
        <f t="shared" si="3"/>
        <v/>
      </c>
      <c r="AE63" s="275"/>
      <c r="AF63" s="275"/>
      <c r="AG63" s="175" t="str">
        <f t="shared" si="8"/>
        <v/>
      </c>
      <c r="AH63" s="242" t="str">
        <f t="shared" si="9"/>
        <v/>
      </c>
      <c r="AI63" s="335" t="str">
        <f>IF(AH63="Check Data","Check Data",IFERROR(VLOOKUP(AH63,'G-4 Temporal multipliers'!$A$4:$C$36,3,FALSE),""))</f>
        <v/>
      </c>
      <c r="AJ63" s="239" t="str">
        <f>IF(S63="","",VLOOKUP(S63,'G-3 Multipliers'!$A$2:$E$130,4,FALSE))</f>
        <v/>
      </c>
      <c r="AK63" s="175" t="str">
        <f t="shared" si="10"/>
        <v/>
      </c>
      <c r="AL63" s="175" t="str">
        <f t="shared" si="11"/>
        <v/>
      </c>
      <c r="AM63" s="176" t="str">
        <f>IFERROR(IF(F63="","",IF(AH63="Check Data","Check Data",VLOOKUP(AL63, 'G-3 Multipliers'!$P$2:$Q$6,2,FALSE))),””)</f>
        <v/>
      </c>
      <c r="AN63" s="266"/>
      <c r="AO63" s="269" t="str">
        <f>IF(AN63="","",IF(VLOOKUP(AN63,'G-3 Multipliers'!$S$3:$T$9,2,FALSE)=0,"Spatial Data Missing",VLOOKUP(AN63,'G-3 Multipliers'!$S$3:$T$9,2,FALSE)))</f>
        <v/>
      </c>
      <c r="AP63" s="207" t="str">
        <f t="shared" si="12"/>
        <v/>
      </c>
      <c r="AQ63" s="336"/>
      <c r="AR63" s="181"/>
    </row>
    <row r="64" spans="1:44" x14ac:dyDescent="0.25">
      <c r="A64" s="35" t="str">
        <f>IF(E64="","",IF(ISNA(VLOOKUP($E64,'D-1 Off Site Habitat Baseline'!$D$1:$O$258,2,FALSE)),"",(VLOOKUP($E64,'D-1 Off Site Habitat Baseline'!$D$1:$O$258,2,FALSE))))</f>
        <v/>
      </c>
      <c r="B64" s="35" t="str">
        <f>IF(E64="","",IF(ISNA(VLOOKUP($E64,'D-1 Off Site Habitat Baseline'!$D$1:$O$258,3,FALSE)),"",(VLOOKUP($E64,'D-1 Off Site Habitat Baseline'!$D$1:$O$258,3,FALSE))))</f>
        <v/>
      </c>
      <c r="C64" s="35" t="str">
        <f>IFERROR(INDEX('G-8 Condition Look up'!$I$4:$I$131,MATCH(S64,'G-8 Condition Look up'!$A$4:$A$131,0)),"")</f>
        <v/>
      </c>
      <c r="E64" s="329" t="str">
        <f>'D-1 Off Site Habitat Baseline'!AL63</f>
        <v/>
      </c>
      <c r="F64" s="175" t="str">
        <f>IF(E64="","",IF(ISNA(VLOOKUP($E64,'D-1 Off Site Habitat Baseline'!$D$1:$O$258,4,FALSE)),"",(VLOOKUP($E64,'D-1 Off Site Habitat Baseline'!$D$1:$O$258,4,FALSE))))</f>
        <v/>
      </c>
      <c r="G64" s="175" t="str">
        <f>IF(E64="","",IF(ISNA(VLOOKUP($E64,'D-1 Off Site Habitat Baseline'!$D$1:$O$258,5,FALSE)),"",(VLOOKUP($E64,'D-1 Off Site Habitat Baseline'!$D$1:$O$258,5,FALSE))))</f>
        <v/>
      </c>
      <c r="H64" s="175" t="str">
        <f>IF(E64="","",IF(ISNA(VLOOKUP($E64,'D-1 Off Site Habitat Baseline'!$D$1:$O$258,6,FALSE)),"",(VLOOKUP($E64,'D-1 Off Site Habitat Baseline'!$D$1:$O$258,6,FALSE))))</f>
        <v/>
      </c>
      <c r="I64" s="175" t="str">
        <f>IF(E64="","",IF(ISNA(VLOOKUP($E64,'D-1 Off Site Habitat Baseline'!$D$1:$O$258,7,FALSE)),"",(VLOOKUP($E64,'D-1 Off Site Habitat Baseline'!$D$1:$O$258,7,FALSE))))</f>
        <v/>
      </c>
      <c r="J64" s="175" t="str">
        <f>IF(E64="","",IF(ISNA(VLOOKUP($E64,'D-1 Off Site Habitat Baseline'!$D$1:$O$258,8,FALSE)),"",(VLOOKUP($E64,'D-1 Off Site Habitat Baseline'!$D$1:$O$258,8,FALSE))))</f>
        <v/>
      </c>
      <c r="K64" s="175" t="str">
        <f>IF(E64="","",IF(ISNA(VLOOKUP($E64,'D-1 Off Site Habitat Baseline'!$D$1:$O$258,9,FALSE)),"",(VLOOKUP($E64,'D-1 Off Site Habitat Baseline'!$D$1:$O$258,9,FALSE))))</f>
        <v/>
      </c>
      <c r="L64" s="175" t="str">
        <f>IF(E64="","",IF(ISNA(VLOOKUP($E64,'D-1 Off Site Habitat Baseline'!$D$1:$O$258,11,FALSE)),"",(VLOOKUP($E64,'D-1 Off Site Habitat Baseline'!$D$1:$O$258,11,FALSE))))</f>
        <v/>
      </c>
      <c r="M64" s="175" t="str">
        <f>IF(E64="","",IF(ISNA(VLOOKUP($E64,'D-1 Off Site Habitat Baseline'!$D$1:$O$258,12,FALSE)),"",(VLOOKUP($E64,'D-1 Off Site Habitat Baseline'!$D$1:$O$258,12,FALSE))))</f>
        <v/>
      </c>
      <c r="N64" s="175" t="str">
        <f>IF(E64="","",IF(ISNA(VLOOKUP($E64,'D-1 Off Site Habitat Baseline'!$D$1:$X$258,14,FALSE)),"",(VLOOKUP($E64,'D-1 Off Site Habitat Baseline'!$D$1:$X$258,14,FALSE))))</f>
        <v/>
      </c>
      <c r="O64" s="176" t="str">
        <f>IF(E64="","",IF(ISNA(VLOOKUP($E64,'D-1 Off Site Habitat Baseline'!$D$1:$X$258,13,FALSE)),"",(VLOOKUP($E64,'D-1 Off Site Habitat Baseline'!$D$1:$X$258,13,FALSE))))</f>
        <v/>
      </c>
      <c r="P64" s="337" t="str">
        <f>IFERROR(INDEX('G-1 All Habitats'!$AG$3:$AG$15,MATCH(Q64,'G-1 All Habitats'!$AF$3:$AF$15,0)),"")</f>
        <v/>
      </c>
      <c r="Q64" s="331" t="str">
        <f t="shared" si="13"/>
        <v/>
      </c>
      <c r="R64" s="332" t="str">
        <f t="shared" si="14"/>
        <v/>
      </c>
      <c r="S64" s="338" t="str">
        <f>IFERROR(INDEX('G-1 All Habitats'!$B$3:$B$130,MATCH(R64,'G-1 All Habitats'!$A$3:$A$130,0)),"")</f>
        <v/>
      </c>
      <c r="T64" s="179" t="str">
        <f t="shared" si="6"/>
        <v/>
      </c>
      <c r="U64" s="172" t="str">
        <f t="shared" si="7"/>
        <v/>
      </c>
      <c r="V64" s="334" t="str">
        <f t="shared" si="2"/>
        <v/>
      </c>
      <c r="W64" s="175" t="str">
        <f>IF(S64="","",VLOOKUP(S64,'G-1 All Habitats'!$B$2:$M$130,10,FALSE))</f>
        <v/>
      </c>
      <c r="X64" s="175" t="str">
        <f>IFERROR(VLOOKUP(W64,'G-1 All Habitats'!$V$3:$W$7,2,FALSE),"")</f>
        <v/>
      </c>
      <c r="Y64" s="275"/>
      <c r="Z64" s="176" t="str">
        <f>IFERROR(INDEX('G-8 Condition Look up'!$A$3:$H$131,MATCH(S64,'G-8 Condition Look up'!$A$3:$A$131,0),MATCH(Y64,'G-8 Condition Look up'!$A$3:$H$3,0)),"")</f>
        <v/>
      </c>
      <c r="AA64" s="173"/>
      <c r="AB64" s="269" t="str">
        <f>IF(AA64="","",IF(VLOOKUP(AA64,'G-3 Multipliers'!$L$3:$N$6,2,FALSE)=0,"Spatial Data Missing",VLOOKUP(AA64,'G-3 Multipliers'!$L$3:$N$6,2,FALSE)))</f>
        <v/>
      </c>
      <c r="AC64" s="176" t="str">
        <f>IF(AA64="","",IF(VLOOKUP(AA64,'G-3 Multipliers'!$L$3:$N$6,3,FALSE)=0,"Spatial Data Missing",VLOOKUP(AA64,'G-3 Multipliers'!$L$3:$N$6,3,FALSE)))</f>
        <v/>
      </c>
      <c r="AD64" s="239" t="str">
        <f t="shared" si="3"/>
        <v/>
      </c>
      <c r="AE64" s="275"/>
      <c r="AF64" s="275"/>
      <c r="AG64" s="175" t="str">
        <f t="shared" si="8"/>
        <v/>
      </c>
      <c r="AH64" s="242" t="str">
        <f t="shared" si="9"/>
        <v/>
      </c>
      <c r="AI64" s="335" t="str">
        <f>IF(AH64="Check Data","Check Data",IFERROR(VLOOKUP(AH64,'G-4 Temporal multipliers'!$A$4:$C$36,3,FALSE),""))</f>
        <v/>
      </c>
      <c r="AJ64" s="239" t="str">
        <f>IF(S64="","",VLOOKUP(S64,'G-3 Multipliers'!$A$2:$E$130,4,FALSE))</f>
        <v/>
      </c>
      <c r="AK64" s="175" t="str">
        <f t="shared" si="10"/>
        <v/>
      </c>
      <c r="AL64" s="175" t="str">
        <f t="shared" si="11"/>
        <v/>
      </c>
      <c r="AM64" s="176" t="str">
        <f>IFERROR(IF(F64="","",IF(AH64="Check Data","Check Data",VLOOKUP(AL64, 'G-3 Multipliers'!$P$2:$Q$6,2,FALSE))),””)</f>
        <v/>
      </c>
      <c r="AN64" s="266"/>
      <c r="AO64" s="269" t="str">
        <f>IF(AN64="","",IF(VLOOKUP(AN64,'G-3 Multipliers'!$S$3:$T$9,2,FALSE)=0,"Spatial Data Missing",VLOOKUP(AN64,'G-3 Multipliers'!$S$3:$T$9,2,FALSE)))</f>
        <v/>
      </c>
      <c r="AP64" s="207" t="str">
        <f t="shared" si="12"/>
        <v/>
      </c>
      <c r="AQ64" s="336"/>
      <c r="AR64" s="181"/>
    </row>
    <row r="65" spans="1:44" x14ac:dyDescent="0.25">
      <c r="A65" s="35" t="str">
        <f>IF(E65="","",IF(ISNA(VLOOKUP($E65,'D-1 Off Site Habitat Baseline'!$D$1:$O$258,2,FALSE)),"",(VLOOKUP($E65,'D-1 Off Site Habitat Baseline'!$D$1:$O$258,2,FALSE))))</f>
        <v/>
      </c>
      <c r="B65" s="35" t="str">
        <f>IF(E65="","",IF(ISNA(VLOOKUP($E65,'D-1 Off Site Habitat Baseline'!$D$1:$O$258,3,FALSE)),"",(VLOOKUP($E65,'D-1 Off Site Habitat Baseline'!$D$1:$O$258,3,FALSE))))</f>
        <v/>
      </c>
      <c r="C65" s="35" t="str">
        <f>IFERROR(INDEX('G-8 Condition Look up'!$I$4:$I$131,MATCH(S65,'G-8 Condition Look up'!$A$4:$A$131,0)),"")</f>
        <v/>
      </c>
      <c r="E65" s="329" t="str">
        <f>'D-1 Off Site Habitat Baseline'!AL64</f>
        <v/>
      </c>
      <c r="F65" s="175" t="str">
        <f>IF(E65="","",IF(ISNA(VLOOKUP($E65,'D-1 Off Site Habitat Baseline'!$D$1:$O$258,4,FALSE)),"",(VLOOKUP($E65,'D-1 Off Site Habitat Baseline'!$D$1:$O$258,4,FALSE))))</f>
        <v/>
      </c>
      <c r="G65" s="175" t="str">
        <f>IF(E65="","",IF(ISNA(VLOOKUP($E65,'D-1 Off Site Habitat Baseline'!$D$1:$O$258,5,FALSE)),"",(VLOOKUP($E65,'D-1 Off Site Habitat Baseline'!$D$1:$O$258,5,FALSE))))</f>
        <v/>
      </c>
      <c r="H65" s="175" t="str">
        <f>IF(E65="","",IF(ISNA(VLOOKUP($E65,'D-1 Off Site Habitat Baseline'!$D$1:$O$258,6,FALSE)),"",(VLOOKUP($E65,'D-1 Off Site Habitat Baseline'!$D$1:$O$258,6,FALSE))))</f>
        <v/>
      </c>
      <c r="I65" s="175" t="str">
        <f>IF(E65="","",IF(ISNA(VLOOKUP($E65,'D-1 Off Site Habitat Baseline'!$D$1:$O$258,7,FALSE)),"",(VLOOKUP($E65,'D-1 Off Site Habitat Baseline'!$D$1:$O$258,7,FALSE))))</f>
        <v/>
      </c>
      <c r="J65" s="175" t="str">
        <f>IF(E65="","",IF(ISNA(VLOOKUP($E65,'D-1 Off Site Habitat Baseline'!$D$1:$O$258,8,FALSE)),"",(VLOOKUP($E65,'D-1 Off Site Habitat Baseline'!$D$1:$O$258,8,FALSE))))</f>
        <v/>
      </c>
      <c r="K65" s="175" t="str">
        <f>IF(E65="","",IF(ISNA(VLOOKUP($E65,'D-1 Off Site Habitat Baseline'!$D$1:$O$258,9,FALSE)),"",(VLOOKUP($E65,'D-1 Off Site Habitat Baseline'!$D$1:$O$258,9,FALSE))))</f>
        <v/>
      </c>
      <c r="L65" s="175" t="str">
        <f>IF(E65="","",IF(ISNA(VLOOKUP($E65,'D-1 Off Site Habitat Baseline'!$D$1:$O$258,11,FALSE)),"",(VLOOKUP($E65,'D-1 Off Site Habitat Baseline'!$D$1:$O$258,11,FALSE))))</f>
        <v/>
      </c>
      <c r="M65" s="175" t="str">
        <f>IF(E65="","",IF(ISNA(VLOOKUP($E65,'D-1 Off Site Habitat Baseline'!$D$1:$O$258,12,FALSE)),"",(VLOOKUP($E65,'D-1 Off Site Habitat Baseline'!$D$1:$O$258,12,FALSE))))</f>
        <v/>
      </c>
      <c r="N65" s="175" t="str">
        <f>IF(E65="","",IF(ISNA(VLOOKUP($E65,'D-1 Off Site Habitat Baseline'!$D$1:$X$258,14,FALSE)),"",(VLOOKUP($E65,'D-1 Off Site Habitat Baseline'!$D$1:$X$258,14,FALSE))))</f>
        <v/>
      </c>
      <c r="O65" s="176" t="str">
        <f>IF(E65="","",IF(ISNA(VLOOKUP($E65,'D-1 Off Site Habitat Baseline'!$D$1:$X$258,13,FALSE)),"",(VLOOKUP($E65,'D-1 Off Site Habitat Baseline'!$D$1:$X$258,13,FALSE))))</f>
        <v/>
      </c>
      <c r="P65" s="337" t="str">
        <f>IFERROR(INDEX('G-1 All Habitats'!$AG$3:$AG$15,MATCH(Q65,'G-1 All Habitats'!$AF$3:$AF$15,0)),"")</f>
        <v/>
      </c>
      <c r="Q65" s="331" t="str">
        <f t="shared" si="13"/>
        <v/>
      </c>
      <c r="R65" s="332" t="str">
        <f t="shared" si="14"/>
        <v/>
      </c>
      <c r="S65" s="338" t="str">
        <f>IFERROR(INDEX('G-1 All Habitats'!$B$3:$B$130,MATCH(R65,'G-1 All Habitats'!$A$3:$A$130,0)),"")</f>
        <v/>
      </c>
      <c r="T65" s="179" t="str">
        <f t="shared" si="6"/>
        <v/>
      </c>
      <c r="U65" s="172" t="str">
        <f t="shared" si="7"/>
        <v/>
      </c>
      <c r="V65" s="334" t="str">
        <f t="shared" si="2"/>
        <v/>
      </c>
      <c r="W65" s="175" t="str">
        <f>IF(S65="","",VLOOKUP(S65,'G-1 All Habitats'!$B$2:$M$130,10,FALSE))</f>
        <v/>
      </c>
      <c r="X65" s="175" t="str">
        <f>IFERROR(VLOOKUP(W65,'G-1 All Habitats'!$V$3:$W$7,2,FALSE),"")</f>
        <v/>
      </c>
      <c r="Y65" s="275"/>
      <c r="Z65" s="176" t="str">
        <f>IFERROR(INDEX('G-8 Condition Look up'!$A$3:$H$131,MATCH(S65,'G-8 Condition Look up'!$A$3:$A$131,0),MATCH(Y65,'G-8 Condition Look up'!$A$3:$H$3,0)),"")</f>
        <v/>
      </c>
      <c r="AA65" s="173"/>
      <c r="AB65" s="269" t="str">
        <f>IF(AA65="","",IF(VLOOKUP(AA65,'G-3 Multipliers'!$L$3:$N$6,2,FALSE)=0,"Spatial Data Missing",VLOOKUP(AA65,'G-3 Multipliers'!$L$3:$N$6,2,FALSE)))</f>
        <v/>
      </c>
      <c r="AC65" s="176" t="str">
        <f>IF(AA65="","",IF(VLOOKUP(AA65,'G-3 Multipliers'!$L$3:$N$6,3,FALSE)=0,"Spatial Data Missing",VLOOKUP(AA65,'G-3 Multipliers'!$L$3:$N$6,3,FALSE)))</f>
        <v/>
      </c>
      <c r="AD65" s="239" t="str">
        <f t="shared" si="3"/>
        <v/>
      </c>
      <c r="AE65" s="275"/>
      <c r="AF65" s="275"/>
      <c r="AG65" s="175" t="str">
        <f t="shared" si="8"/>
        <v/>
      </c>
      <c r="AH65" s="242" t="str">
        <f t="shared" si="9"/>
        <v/>
      </c>
      <c r="AI65" s="335" t="str">
        <f>IF(AH65="Check Data","Check Data",IFERROR(VLOOKUP(AH65,'G-4 Temporal multipliers'!$A$4:$C$36,3,FALSE),""))</f>
        <v/>
      </c>
      <c r="AJ65" s="239" t="str">
        <f>IF(S65="","",VLOOKUP(S65,'G-3 Multipliers'!$A$2:$E$130,4,FALSE))</f>
        <v/>
      </c>
      <c r="AK65" s="175" t="str">
        <f t="shared" si="10"/>
        <v/>
      </c>
      <c r="AL65" s="175" t="str">
        <f t="shared" si="11"/>
        <v/>
      </c>
      <c r="AM65" s="176" t="str">
        <f>IFERROR(IF(F65="","",IF(AH65="Check Data","Check Data",VLOOKUP(AL65, 'G-3 Multipliers'!$P$2:$Q$6,2,FALSE))),””)</f>
        <v/>
      </c>
      <c r="AN65" s="266"/>
      <c r="AO65" s="269" t="str">
        <f>IF(AN65="","",IF(VLOOKUP(AN65,'G-3 Multipliers'!$S$3:$T$9,2,FALSE)=0,"Spatial Data Missing",VLOOKUP(AN65,'G-3 Multipliers'!$S$3:$T$9,2,FALSE)))</f>
        <v/>
      </c>
      <c r="AP65" s="207" t="str">
        <f t="shared" si="12"/>
        <v/>
      </c>
      <c r="AQ65" s="336"/>
      <c r="AR65" s="181"/>
    </row>
    <row r="66" spans="1:44" x14ac:dyDescent="0.25">
      <c r="A66" s="35" t="str">
        <f>IF(E66="","",IF(ISNA(VLOOKUP($E66,'D-1 Off Site Habitat Baseline'!$D$1:$O$258,2,FALSE)),"",(VLOOKUP($E66,'D-1 Off Site Habitat Baseline'!$D$1:$O$258,2,FALSE))))</f>
        <v/>
      </c>
      <c r="B66" s="35" t="str">
        <f>IF(E66="","",IF(ISNA(VLOOKUP($E66,'D-1 Off Site Habitat Baseline'!$D$1:$O$258,3,FALSE)),"",(VLOOKUP($E66,'D-1 Off Site Habitat Baseline'!$D$1:$O$258,3,FALSE))))</f>
        <v/>
      </c>
      <c r="C66" s="35" t="str">
        <f>IFERROR(INDEX('G-8 Condition Look up'!$I$4:$I$131,MATCH(S66,'G-8 Condition Look up'!$A$4:$A$131,0)),"")</f>
        <v/>
      </c>
      <c r="E66" s="329" t="str">
        <f>'D-1 Off Site Habitat Baseline'!AL65</f>
        <v/>
      </c>
      <c r="F66" s="175" t="str">
        <f>IF(E66="","",IF(ISNA(VLOOKUP($E66,'D-1 Off Site Habitat Baseline'!$D$1:$O$258,4,FALSE)),"",(VLOOKUP($E66,'D-1 Off Site Habitat Baseline'!$D$1:$O$258,4,FALSE))))</f>
        <v/>
      </c>
      <c r="G66" s="175" t="str">
        <f>IF(E66="","",IF(ISNA(VLOOKUP($E66,'D-1 Off Site Habitat Baseline'!$D$1:$O$258,5,FALSE)),"",(VLOOKUP($E66,'D-1 Off Site Habitat Baseline'!$D$1:$O$258,5,FALSE))))</f>
        <v/>
      </c>
      <c r="H66" s="175" t="str">
        <f>IF(E66="","",IF(ISNA(VLOOKUP($E66,'D-1 Off Site Habitat Baseline'!$D$1:$O$258,6,FALSE)),"",(VLOOKUP($E66,'D-1 Off Site Habitat Baseline'!$D$1:$O$258,6,FALSE))))</f>
        <v/>
      </c>
      <c r="I66" s="175" t="str">
        <f>IF(E66="","",IF(ISNA(VLOOKUP($E66,'D-1 Off Site Habitat Baseline'!$D$1:$O$258,7,FALSE)),"",(VLOOKUP($E66,'D-1 Off Site Habitat Baseline'!$D$1:$O$258,7,FALSE))))</f>
        <v/>
      </c>
      <c r="J66" s="175" t="str">
        <f>IF(E66="","",IF(ISNA(VLOOKUP($E66,'D-1 Off Site Habitat Baseline'!$D$1:$O$258,8,FALSE)),"",(VLOOKUP($E66,'D-1 Off Site Habitat Baseline'!$D$1:$O$258,8,FALSE))))</f>
        <v/>
      </c>
      <c r="K66" s="175" t="str">
        <f>IF(E66="","",IF(ISNA(VLOOKUP($E66,'D-1 Off Site Habitat Baseline'!$D$1:$O$258,9,FALSE)),"",(VLOOKUP($E66,'D-1 Off Site Habitat Baseline'!$D$1:$O$258,9,FALSE))))</f>
        <v/>
      </c>
      <c r="L66" s="175" t="str">
        <f>IF(E66="","",IF(ISNA(VLOOKUP($E66,'D-1 Off Site Habitat Baseline'!$D$1:$O$258,11,FALSE)),"",(VLOOKUP($E66,'D-1 Off Site Habitat Baseline'!$D$1:$O$258,11,FALSE))))</f>
        <v/>
      </c>
      <c r="M66" s="175" t="str">
        <f>IF(E66="","",IF(ISNA(VLOOKUP($E66,'D-1 Off Site Habitat Baseline'!$D$1:$O$258,12,FALSE)),"",(VLOOKUP($E66,'D-1 Off Site Habitat Baseline'!$D$1:$O$258,12,FALSE))))</f>
        <v/>
      </c>
      <c r="N66" s="175" t="str">
        <f>IF(E66="","",IF(ISNA(VLOOKUP($E66,'D-1 Off Site Habitat Baseline'!$D$1:$X$258,14,FALSE)),"",(VLOOKUP($E66,'D-1 Off Site Habitat Baseline'!$D$1:$X$258,14,FALSE))))</f>
        <v/>
      </c>
      <c r="O66" s="176" t="str">
        <f>IF(E66="","",IF(ISNA(VLOOKUP($E66,'D-1 Off Site Habitat Baseline'!$D$1:$X$258,13,FALSE)),"",(VLOOKUP($E66,'D-1 Off Site Habitat Baseline'!$D$1:$X$258,13,FALSE))))</f>
        <v/>
      </c>
      <c r="P66" s="337" t="str">
        <f>IFERROR(INDEX('G-1 All Habitats'!$AG$3:$AG$15,MATCH(Q66,'G-1 All Habitats'!$AF$3:$AF$15,0)),"")</f>
        <v/>
      </c>
      <c r="Q66" s="331" t="str">
        <f t="shared" si="13"/>
        <v/>
      </c>
      <c r="R66" s="332" t="str">
        <f t="shared" si="14"/>
        <v/>
      </c>
      <c r="S66" s="338" t="str">
        <f>IFERROR(INDEX('G-1 All Habitats'!$B$3:$B$130,MATCH(R66,'G-1 All Habitats'!$A$3:$A$130,0)),"")</f>
        <v/>
      </c>
      <c r="T66" s="179" t="str">
        <f t="shared" si="6"/>
        <v/>
      </c>
      <c r="U66" s="172" t="str">
        <f t="shared" si="7"/>
        <v/>
      </c>
      <c r="V66" s="334" t="str">
        <f t="shared" si="2"/>
        <v/>
      </c>
      <c r="W66" s="175" t="str">
        <f>IF(S66="","",VLOOKUP(S66,'G-1 All Habitats'!$B$2:$M$130,10,FALSE))</f>
        <v/>
      </c>
      <c r="X66" s="175" t="str">
        <f>IFERROR(VLOOKUP(W66,'G-1 All Habitats'!$V$3:$W$7,2,FALSE),"")</f>
        <v/>
      </c>
      <c r="Y66" s="275"/>
      <c r="Z66" s="176" t="str">
        <f>IFERROR(INDEX('G-8 Condition Look up'!$A$3:$H$131,MATCH(S66,'G-8 Condition Look up'!$A$3:$A$131,0),MATCH(Y66,'G-8 Condition Look up'!$A$3:$H$3,0)),"")</f>
        <v/>
      </c>
      <c r="AA66" s="173"/>
      <c r="AB66" s="269" t="str">
        <f>IF(AA66="","",IF(VLOOKUP(AA66,'G-3 Multipliers'!$L$3:$N$6,2,FALSE)=0,"Spatial Data Missing",VLOOKUP(AA66,'G-3 Multipliers'!$L$3:$N$6,2,FALSE)))</f>
        <v/>
      </c>
      <c r="AC66" s="176" t="str">
        <f>IF(AA66="","",IF(VLOOKUP(AA66,'G-3 Multipliers'!$L$3:$N$6,3,FALSE)=0,"Spatial Data Missing",VLOOKUP(AA66,'G-3 Multipliers'!$L$3:$N$6,3,FALSE)))</f>
        <v/>
      </c>
      <c r="AD66" s="239" t="str">
        <f t="shared" si="3"/>
        <v/>
      </c>
      <c r="AE66" s="275"/>
      <c r="AF66" s="275"/>
      <c r="AG66" s="175" t="str">
        <f t="shared" si="8"/>
        <v/>
      </c>
      <c r="AH66" s="242" t="str">
        <f t="shared" si="9"/>
        <v/>
      </c>
      <c r="AI66" s="335" t="str">
        <f>IF(AH66="Check Data","Check Data",IFERROR(VLOOKUP(AH66,'G-4 Temporal multipliers'!$A$4:$C$36,3,FALSE),""))</f>
        <v/>
      </c>
      <c r="AJ66" s="239" t="str">
        <f>IF(S66="","",VLOOKUP(S66,'G-3 Multipliers'!$A$2:$E$130,4,FALSE))</f>
        <v/>
      </c>
      <c r="AK66" s="175" t="str">
        <f t="shared" si="10"/>
        <v/>
      </c>
      <c r="AL66" s="175" t="str">
        <f t="shared" si="11"/>
        <v/>
      </c>
      <c r="AM66" s="176" t="str">
        <f>IFERROR(IF(F66="","",IF(AH66="Check Data","Check Data",VLOOKUP(AL66, 'G-3 Multipliers'!$P$2:$Q$6,2,FALSE))),””)</f>
        <v/>
      </c>
      <c r="AN66" s="266"/>
      <c r="AO66" s="269" t="str">
        <f>IF(AN66="","",IF(VLOOKUP(AN66,'G-3 Multipliers'!$S$3:$T$9,2,FALSE)=0,"Spatial Data Missing",VLOOKUP(AN66,'G-3 Multipliers'!$S$3:$T$9,2,FALSE)))</f>
        <v/>
      </c>
      <c r="AP66" s="207" t="str">
        <f t="shared" si="12"/>
        <v/>
      </c>
      <c r="AQ66" s="336"/>
      <c r="AR66" s="181"/>
    </row>
    <row r="67" spans="1:44" x14ac:dyDescent="0.25">
      <c r="A67" s="35" t="str">
        <f>IF(E67="","",IF(ISNA(VLOOKUP($E67,'D-1 Off Site Habitat Baseline'!$D$1:$O$258,2,FALSE)),"",(VLOOKUP($E67,'D-1 Off Site Habitat Baseline'!$D$1:$O$258,2,FALSE))))</f>
        <v/>
      </c>
      <c r="B67" s="35" t="str">
        <f>IF(E67="","",IF(ISNA(VLOOKUP($E67,'D-1 Off Site Habitat Baseline'!$D$1:$O$258,3,FALSE)),"",(VLOOKUP($E67,'D-1 Off Site Habitat Baseline'!$D$1:$O$258,3,FALSE))))</f>
        <v/>
      </c>
      <c r="C67" s="35" t="str">
        <f>IFERROR(INDEX('G-8 Condition Look up'!$I$4:$I$131,MATCH(S67,'G-8 Condition Look up'!$A$4:$A$131,0)),"")</f>
        <v/>
      </c>
      <c r="E67" s="329" t="str">
        <f>'D-1 Off Site Habitat Baseline'!AL66</f>
        <v/>
      </c>
      <c r="F67" s="175" t="str">
        <f>IF(E67="","",IF(ISNA(VLOOKUP($E67,'D-1 Off Site Habitat Baseline'!$D$1:$O$258,4,FALSE)),"",(VLOOKUP($E67,'D-1 Off Site Habitat Baseline'!$D$1:$O$258,4,FALSE))))</f>
        <v/>
      </c>
      <c r="G67" s="175" t="str">
        <f>IF(E67="","",IF(ISNA(VLOOKUP($E67,'D-1 Off Site Habitat Baseline'!$D$1:$O$258,5,FALSE)),"",(VLOOKUP($E67,'D-1 Off Site Habitat Baseline'!$D$1:$O$258,5,FALSE))))</f>
        <v/>
      </c>
      <c r="H67" s="175" t="str">
        <f>IF(E67="","",IF(ISNA(VLOOKUP($E67,'D-1 Off Site Habitat Baseline'!$D$1:$O$258,6,FALSE)),"",(VLOOKUP($E67,'D-1 Off Site Habitat Baseline'!$D$1:$O$258,6,FALSE))))</f>
        <v/>
      </c>
      <c r="I67" s="175" t="str">
        <f>IF(E67="","",IF(ISNA(VLOOKUP($E67,'D-1 Off Site Habitat Baseline'!$D$1:$O$258,7,FALSE)),"",(VLOOKUP($E67,'D-1 Off Site Habitat Baseline'!$D$1:$O$258,7,FALSE))))</f>
        <v/>
      </c>
      <c r="J67" s="175" t="str">
        <f>IF(E67="","",IF(ISNA(VLOOKUP($E67,'D-1 Off Site Habitat Baseline'!$D$1:$O$258,8,FALSE)),"",(VLOOKUP($E67,'D-1 Off Site Habitat Baseline'!$D$1:$O$258,8,FALSE))))</f>
        <v/>
      </c>
      <c r="K67" s="175" t="str">
        <f>IF(E67="","",IF(ISNA(VLOOKUP($E67,'D-1 Off Site Habitat Baseline'!$D$1:$O$258,9,FALSE)),"",(VLOOKUP($E67,'D-1 Off Site Habitat Baseline'!$D$1:$O$258,9,FALSE))))</f>
        <v/>
      </c>
      <c r="L67" s="175" t="str">
        <f>IF(E67="","",IF(ISNA(VLOOKUP($E67,'D-1 Off Site Habitat Baseline'!$D$1:$O$258,11,FALSE)),"",(VLOOKUP($E67,'D-1 Off Site Habitat Baseline'!$D$1:$O$258,11,FALSE))))</f>
        <v/>
      </c>
      <c r="M67" s="175" t="str">
        <f>IF(E67="","",IF(ISNA(VLOOKUP($E67,'D-1 Off Site Habitat Baseline'!$D$1:$O$258,12,FALSE)),"",(VLOOKUP($E67,'D-1 Off Site Habitat Baseline'!$D$1:$O$258,12,FALSE))))</f>
        <v/>
      </c>
      <c r="N67" s="175" t="str">
        <f>IF(E67="","",IF(ISNA(VLOOKUP($E67,'D-1 Off Site Habitat Baseline'!$D$1:$X$258,14,FALSE)),"",(VLOOKUP($E67,'D-1 Off Site Habitat Baseline'!$D$1:$X$258,14,FALSE))))</f>
        <v/>
      </c>
      <c r="O67" s="176" t="str">
        <f>IF(E67="","",IF(ISNA(VLOOKUP($E67,'D-1 Off Site Habitat Baseline'!$D$1:$X$258,13,FALSE)),"",(VLOOKUP($E67,'D-1 Off Site Habitat Baseline'!$D$1:$X$258,13,FALSE))))</f>
        <v/>
      </c>
      <c r="P67" s="337" t="str">
        <f>IFERROR(INDEX('G-1 All Habitats'!$AG$3:$AG$15,MATCH(Q67,'G-1 All Habitats'!$AF$3:$AF$15,0)),"")</f>
        <v/>
      </c>
      <c r="Q67" s="331" t="str">
        <f t="shared" si="13"/>
        <v/>
      </c>
      <c r="R67" s="332" t="str">
        <f t="shared" si="14"/>
        <v/>
      </c>
      <c r="S67" s="338" t="str">
        <f>IFERROR(INDEX('G-1 All Habitats'!$B$3:$B$130,MATCH(R67,'G-1 All Habitats'!$A$3:$A$130,0)),"")</f>
        <v/>
      </c>
      <c r="T67" s="179" t="str">
        <f t="shared" si="6"/>
        <v/>
      </c>
      <c r="U67" s="172" t="str">
        <f t="shared" si="7"/>
        <v/>
      </c>
      <c r="V67" s="334" t="str">
        <f t="shared" si="2"/>
        <v/>
      </c>
      <c r="W67" s="175" t="str">
        <f>IF(S67="","",VLOOKUP(S67,'G-1 All Habitats'!$B$2:$M$130,10,FALSE))</f>
        <v/>
      </c>
      <c r="X67" s="175" t="str">
        <f>IFERROR(VLOOKUP(W67,'G-1 All Habitats'!$V$3:$W$7,2,FALSE),"")</f>
        <v/>
      </c>
      <c r="Y67" s="275"/>
      <c r="Z67" s="176" t="str">
        <f>IFERROR(INDEX('G-8 Condition Look up'!$A$3:$H$131,MATCH(S67,'G-8 Condition Look up'!$A$3:$A$131,0),MATCH(Y67,'G-8 Condition Look up'!$A$3:$H$3,0)),"")</f>
        <v/>
      </c>
      <c r="AA67" s="173"/>
      <c r="AB67" s="269" t="str">
        <f>IF(AA67="","",IF(VLOOKUP(AA67,'G-3 Multipliers'!$L$3:$N$6,2,FALSE)=0,"Spatial Data Missing",VLOOKUP(AA67,'G-3 Multipliers'!$L$3:$N$6,2,FALSE)))</f>
        <v/>
      </c>
      <c r="AC67" s="176" t="str">
        <f>IF(AA67="","",IF(VLOOKUP(AA67,'G-3 Multipliers'!$L$3:$N$6,3,FALSE)=0,"Spatial Data Missing",VLOOKUP(AA67,'G-3 Multipliers'!$L$3:$N$6,3,FALSE)))</f>
        <v/>
      </c>
      <c r="AD67" s="239" t="str">
        <f t="shared" si="3"/>
        <v/>
      </c>
      <c r="AE67" s="275"/>
      <c r="AF67" s="275"/>
      <c r="AG67" s="175" t="str">
        <f t="shared" si="8"/>
        <v/>
      </c>
      <c r="AH67" s="242" t="str">
        <f t="shared" si="9"/>
        <v/>
      </c>
      <c r="AI67" s="335" t="str">
        <f>IF(AH67="Check Data","Check Data",IFERROR(VLOOKUP(AH67,'G-4 Temporal multipliers'!$A$4:$C$36,3,FALSE),""))</f>
        <v/>
      </c>
      <c r="AJ67" s="239" t="str">
        <f>IF(S67="","",VLOOKUP(S67,'G-3 Multipliers'!$A$2:$E$130,4,FALSE))</f>
        <v/>
      </c>
      <c r="AK67" s="175" t="str">
        <f t="shared" si="10"/>
        <v/>
      </c>
      <c r="AL67" s="175" t="str">
        <f t="shared" si="11"/>
        <v/>
      </c>
      <c r="AM67" s="176" t="str">
        <f>IFERROR(IF(F67="","",IF(AH67="Check Data","Check Data",VLOOKUP(AL67, 'G-3 Multipliers'!$P$2:$Q$6,2,FALSE))),””)</f>
        <v/>
      </c>
      <c r="AN67" s="266"/>
      <c r="AO67" s="269" t="str">
        <f>IF(AN67="","",IF(VLOOKUP(AN67,'G-3 Multipliers'!$S$3:$T$9,2,FALSE)=0,"Spatial Data Missing",VLOOKUP(AN67,'G-3 Multipliers'!$S$3:$T$9,2,FALSE)))</f>
        <v/>
      </c>
      <c r="AP67" s="207" t="str">
        <f t="shared" si="12"/>
        <v/>
      </c>
      <c r="AQ67" s="336"/>
      <c r="AR67" s="181"/>
    </row>
    <row r="68" spans="1:44" x14ac:dyDescent="0.25">
      <c r="A68" s="35" t="str">
        <f>IF(E68="","",IF(ISNA(VLOOKUP($E68,'D-1 Off Site Habitat Baseline'!$D$1:$O$258,2,FALSE)),"",(VLOOKUP($E68,'D-1 Off Site Habitat Baseline'!$D$1:$O$258,2,FALSE))))</f>
        <v/>
      </c>
      <c r="B68" s="35" t="str">
        <f>IF(E68="","",IF(ISNA(VLOOKUP($E68,'D-1 Off Site Habitat Baseline'!$D$1:$O$258,3,FALSE)),"",(VLOOKUP($E68,'D-1 Off Site Habitat Baseline'!$D$1:$O$258,3,FALSE))))</f>
        <v/>
      </c>
      <c r="C68" s="35" t="str">
        <f>IFERROR(INDEX('G-8 Condition Look up'!$I$4:$I$131,MATCH(S68,'G-8 Condition Look up'!$A$4:$A$131,0)),"")</f>
        <v/>
      </c>
      <c r="E68" s="329" t="str">
        <f>'D-1 Off Site Habitat Baseline'!AL67</f>
        <v/>
      </c>
      <c r="F68" s="175" t="str">
        <f>IF(E68="","",IF(ISNA(VLOOKUP($E68,'D-1 Off Site Habitat Baseline'!$D$1:$O$258,4,FALSE)),"",(VLOOKUP($E68,'D-1 Off Site Habitat Baseline'!$D$1:$O$258,4,FALSE))))</f>
        <v/>
      </c>
      <c r="G68" s="175" t="str">
        <f>IF(E68="","",IF(ISNA(VLOOKUP($E68,'D-1 Off Site Habitat Baseline'!$D$1:$O$258,5,FALSE)),"",(VLOOKUP($E68,'D-1 Off Site Habitat Baseline'!$D$1:$O$258,5,FALSE))))</f>
        <v/>
      </c>
      <c r="H68" s="175" t="str">
        <f>IF(E68="","",IF(ISNA(VLOOKUP($E68,'D-1 Off Site Habitat Baseline'!$D$1:$O$258,6,FALSE)),"",(VLOOKUP($E68,'D-1 Off Site Habitat Baseline'!$D$1:$O$258,6,FALSE))))</f>
        <v/>
      </c>
      <c r="I68" s="175" t="str">
        <f>IF(E68="","",IF(ISNA(VLOOKUP($E68,'D-1 Off Site Habitat Baseline'!$D$1:$O$258,7,FALSE)),"",(VLOOKUP($E68,'D-1 Off Site Habitat Baseline'!$D$1:$O$258,7,FALSE))))</f>
        <v/>
      </c>
      <c r="J68" s="175" t="str">
        <f>IF(E68="","",IF(ISNA(VLOOKUP($E68,'D-1 Off Site Habitat Baseline'!$D$1:$O$258,8,FALSE)),"",(VLOOKUP($E68,'D-1 Off Site Habitat Baseline'!$D$1:$O$258,8,FALSE))))</f>
        <v/>
      </c>
      <c r="K68" s="175" t="str">
        <f>IF(E68="","",IF(ISNA(VLOOKUP($E68,'D-1 Off Site Habitat Baseline'!$D$1:$O$258,9,FALSE)),"",(VLOOKUP($E68,'D-1 Off Site Habitat Baseline'!$D$1:$O$258,9,FALSE))))</f>
        <v/>
      </c>
      <c r="L68" s="175" t="str">
        <f>IF(E68="","",IF(ISNA(VLOOKUP($E68,'D-1 Off Site Habitat Baseline'!$D$1:$O$258,11,FALSE)),"",(VLOOKUP($E68,'D-1 Off Site Habitat Baseline'!$D$1:$O$258,11,FALSE))))</f>
        <v/>
      </c>
      <c r="M68" s="175" t="str">
        <f>IF(E68="","",IF(ISNA(VLOOKUP($E68,'D-1 Off Site Habitat Baseline'!$D$1:$O$258,12,FALSE)),"",(VLOOKUP($E68,'D-1 Off Site Habitat Baseline'!$D$1:$O$258,12,FALSE))))</f>
        <v/>
      </c>
      <c r="N68" s="175" t="str">
        <f>IF(E68="","",IF(ISNA(VLOOKUP($E68,'D-1 Off Site Habitat Baseline'!$D$1:$X$258,14,FALSE)),"",(VLOOKUP($E68,'D-1 Off Site Habitat Baseline'!$D$1:$X$258,14,FALSE))))</f>
        <v/>
      </c>
      <c r="O68" s="176" t="str">
        <f>IF(E68="","",IF(ISNA(VLOOKUP($E68,'D-1 Off Site Habitat Baseline'!$D$1:$X$258,13,FALSE)),"",(VLOOKUP($E68,'D-1 Off Site Habitat Baseline'!$D$1:$X$258,13,FALSE))))</f>
        <v/>
      </c>
      <c r="P68" s="337" t="str">
        <f>IFERROR(INDEX('G-1 All Habitats'!$AG$3:$AG$15,MATCH(Q68,'G-1 All Habitats'!$AF$3:$AF$15,0)),"")</f>
        <v/>
      </c>
      <c r="Q68" s="331" t="str">
        <f t="shared" si="13"/>
        <v/>
      </c>
      <c r="R68" s="332" t="str">
        <f t="shared" si="14"/>
        <v/>
      </c>
      <c r="S68" s="338" t="str">
        <f>IFERROR(INDEX('G-1 All Habitats'!$B$3:$B$130,MATCH(R68,'G-1 All Habitats'!$A$3:$A$130,0)),"")</f>
        <v/>
      </c>
      <c r="T68" s="179" t="str">
        <f t="shared" si="6"/>
        <v/>
      </c>
      <c r="U68" s="172" t="str">
        <f t="shared" si="7"/>
        <v/>
      </c>
      <c r="V68" s="334" t="str">
        <f t="shared" si="2"/>
        <v/>
      </c>
      <c r="W68" s="175" t="str">
        <f>IF(S68="","",VLOOKUP(S68,'G-1 All Habitats'!$B$2:$M$130,10,FALSE))</f>
        <v/>
      </c>
      <c r="X68" s="175" t="str">
        <f>IFERROR(VLOOKUP(W68,'G-1 All Habitats'!$V$3:$W$7,2,FALSE),"")</f>
        <v/>
      </c>
      <c r="Y68" s="275"/>
      <c r="Z68" s="176" t="str">
        <f>IFERROR(INDEX('G-8 Condition Look up'!$A$3:$H$131,MATCH(S68,'G-8 Condition Look up'!$A$3:$A$131,0),MATCH(Y68,'G-8 Condition Look up'!$A$3:$H$3,0)),"")</f>
        <v/>
      </c>
      <c r="AA68" s="173"/>
      <c r="AB68" s="269" t="str">
        <f>IF(AA68="","",IF(VLOOKUP(AA68,'G-3 Multipliers'!$L$3:$N$6,2,FALSE)=0,"Spatial Data Missing",VLOOKUP(AA68,'G-3 Multipliers'!$L$3:$N$6,2,FALSE)))</f>
        <v/>
      </c>
      <c r="AC68" s="176" t="str">
        <f>IF(AA68="","",IF(VLOOKUP(AA68,'G-3 Multipliers'!$L$3:$N$6,3,FALSE)=0,"Spatial Data Missing",VLOOKUP(AA68,'G-3 Multipliers'!$L$3:$N$6,3,FALSE)))</f>
        <v/>
      </c>
      <c r="AD68" s="239" t="str">
        <f t="shared" si="3"/>
        <v/>
      </c>
      <c r="AE68" s="275"/>
      <c r="AF68" s="275"/>
      <c r="AG68" s="175" t="str">
        <f t="shared" si="8"/>
        <v/>
      </c>
      <c r="AH68" s="242" t="str">
        <f t="shared" si="9"/>
        <v/>
      </c>
      <c r="AI68" s="335" t="str">
        <f>IF(AH68="Check Data","Check Data",IFERROR(VLOOKUP(AH68,'G-4 Temporal multipliers'!$A$4:$C$36,3,FALSE),""))</f>
        <v/>
      </c>
      <c r="AJ68" s="239" t="str">
        <f>IF(S68="","",VLOOKUP(S68,'G-3 Multipliers'!$A$2:$E$130,4,FALSE))</f>
        <v/>
      </c>
      <c r="AK68" s="175" t="str">
        <f t="shared" si="10"/>
        <v/>
      </c>
      <c r="AL68" s="175" t="str">
        <f t="shared" si="11"/>
        <v/>
      </c>
      <c r="AM68" s="176" t="str">
        <f>IFERROR(IF(F68="","",IF(AH68="Check Data","Check Data",VLOOKUP(AL68, 'G-3 Multipliers'!$P$2:$Q$6,2,FALSE))),””)</f>
        <v/>
      </c>
      <c r="AN68" s="266"/>
      <c r="AO68" s="269" t="str">
        <f>IF(AN68="","",IF(VLOOKUP(AN68,'G-3 Multipliers'!$S$3:$T$9,2,FALSE)=0,"Spatial Data Missing",VLOOKUP(AN68,'G-3 Multipliers'!$S$3:$T$9,2,FALSE)))</f>
        <v/>
      </c>
      <c r="AP68" s="207" t="str">
        <f t="shared" si="12"/>
        <v/>
      </c>
      <c r="AQ68" s="336"/>
      <c r="AR68" s="181"/>
    </row>
    <row r="69" spans="1:44" x14ac:dyDescent="0.25">
      <c r="A69" s="35" t="str">
        <f>IF(E69="","",IF(ISNA(VLOOKUP($E69,'D-1 Off Site Habitat Baseline'!$D$1:$O$258,2,FALSE)),"",(VLOOKUP($E69,'D-1 Off Site Habitat Baseline'!$D$1:$O$258,2,FALSE))))</f>
        <v/>
      </c>
      <c r="B69" s="35" t="str">
        <f>IF(E69="","",IF(ISNA(VLOOKUP($E69,'D-1 Off Site Habitat Baseline'!$D$1:$O$258,3,FALSE)),"",(VLOOKUP($E69,'D-1 Off Site Habitat Baseline'!$D$1:$O$258,3,FALSE))))</f>
        <v/>
      </c>
      <c r="C69" s="35" t="str">
        <f>IFERROR(INDEX('G-8 Condition Look up'!$I$4:$I$131,MATCH(S69,'G-8 Condition Look up'!$A$4:$A$131,0)),"")</f>
        <v/>
      </c>
      <c r="E69" s="329" t="str">
        <f>'D-1 Off Site Habitat Baseline'!AL68</f>
        <v/>
      </c>
      <c r="F69" s="175" t="str">
        <f>IF(E69="","",IF(ISNA(VLOOKUP($E69,'D-1 Off Site Habitat Baseline'!$D$1:$O$258,4,FALSE)),"",(VLOOKUP($E69,'D-1 Off Site Habitat Baseline'!$D$1:$O$258,4,FALSE))))</f>
        <v/>
      </c>
      <c r="G69" s="175" t="str">
        <f>IF(E69="","",IF(ISNA(VLOOKUP($E69,'D-1 Off Site Habitat Baseline'!$D$1:$O$258,5,FALSE)),"",(VLOOKUP($E69,'D-1 Off Site Habitat Baseline'!$D$1:$O$258,5,FALSE))))</f>
        <v/>
      </c>
      <c r="H69" s="175" t="str">
        <f>IF(E69="","",IF(ISNA(VLOOKUP($E69,'D-1 Off Site Habitat Baseline'!$D$1:$O$258,6,FALSE)),"",(VLOOKUP($E69,'D-1 Off Site Habitat Baseline'!$D$1:$O$258,6,FALSE))))</f>
        <v/>
      </c>
      <c r="I69" s="175" t="str">
        <f>IF(E69="","",IF(ISNA(VLOOKUP($E69,'D-1 Off Site Habitat Baseline'!$D$1:$O$258,7,FALSE)),"",(VLOOKUP($E69,'D-1 Off Site Habitat Baseline'!$D$1:$O$258,7,FALSE))))</f>
        <v/>
      </c>
      <c r="J69" s="175" t="str">
        <f>IF(E69="","",IF(ISNA(VLOOKUP($E69,'D-1 Off Site Habitat Baseline'!$D$1:$O$258,8,FALSE)),"",(VLOOKUP($E69,'D-1 Off Site Habitat Baseline'!$D$1:$O$258,8,FALSE))))</f>
        <v/>
      </c>
      <c r="K69" s="175" t="str">
        <f>IF(E69="","",IF(ISNA(VLOOKUP($E69,'D-1 Off Site Habitat Baseline'!$D$1:$O$258,9,FALSE)),"",(VLOOKUP($E69,'D-1 Off Site Habitat Baseline'!$D$1:$O$258,9,FALSE))))</f>
        <v/>
      </c>
      <c r="L69" s="175" t="str">
        <f>IF(E69="","",IF(ISNA(VLOOKUP($E69,'D-1 Off Site Habitat Baseline'!$D$1:$O$258,11,FALSE)),"",(VLOOKUP($E69,'D-1 Off Site Habitat Baseline'!$D$1:$O$258,11,FALSE))))</f>
        <v/>
      </c>
      <c r="M69" s="175" t="str">
        <f>IF(E69="","",IF(ISNA(VLOOKUP($E69,'D-1 Off Site Habitat Baseline'!$D$1:$O$258,12,FALSE)),"",(VLOOKUP($E69,'D-1 Off Site Habitat Baseline'!$D$1:$O$258,12,FALSE))))</f>
        <v/>
      </c>
      <c r="N69" s="175" t="str">
        <f>IF(E69="","",IF(ISNA(VLOOKUP($E69,'D-1 Off Site Habitat Baseline'!$D$1:$X$258,14,FALSE)),"",(VLOOKUP($E69,'D-1 Off Site Habitat Baseline'!$D$1:$X$258,14,FALSE))))</f>
        <v/>
      </c>
      <c r="O69" s="176" t="str">
        <f>IF(E69="","",IF(ISNA(VLOOKUP($E69,'D-1 Off Site Habitat Baseline'!$D$1:$X$258,13,FALSE)),"",(VLOOKUP($E69,'D-1 Off Site Habitat Baseline'!$D$1:$X$258,13,FALSE))))</f>
        <v/>
      </c>
      <c r="P69" s="337" t="str">
        <f>IFERROR(INDEX('G-1 All Habitats'!$AG$3:$AG$15,MATCH(Q69,'G-1 All Habitats'!$AF$3:$AF$15,0)),"")</f>
        <v/>
      </c>
      <c r="Q69" s="331" t="str">
        <f t="shared" si="13"/>
        <v/>
      </c>
      <c r="R69" s="332" t="str">
        <f t="shared" si="14"/>
        <v/>
      </c>
      <c r="S69" s="338" t="str">
        <f>IFERROR(INDEX('G-1 All Habitats'!$B$3:$B$130,MATCH(R69,'G-1 All Habitats'!$A$3:$A$130,0)),"")</f>
        <v/>
      </c>
      <c r="T69" s="179" t="str">
        <f t="shared" si="6"/>
        <v/>
      </c>
      <c r="U69" s="172" t="str">
        <f t="shared" si="7"/>
        <v/>
      </c>
      <c r="V69" s="334" t="str">
        <f t="shared" si="2"/>
        <v/>
      </c>
      <c r="W69" s="175" t="str">
        <f>IF(S69="","",VLOOKUP(S69,'G-1 All Habitats'!$B$2:$M$130,10,FALSE))</f>
        <v/>
      </c>
      <c r="X69" s="175" t="str">
        <f>IFERROR(VLOOKUP(W69,'G-1 All Habitats'!$V$3:$W$7,2,FALSE),"")</f>
        <v/>
      </c>
      <c r="Y69" s="275"/>
      <c r="Z69" s="176" t="str">
        <f>IFERROR(INDEX('G-8 Condition Look up'!$A$3:$H$131,MATCH(S69,'G-8 Condition Look up'!$A$3:$A$131,0),MATCH(Y69,'G-8 Condition Look up'!$A$3:$H$3,0)),"")</f>
        <v/>
      </c>
      <c r="AA69" s="173"/>
      <c r="AB69" s="269" t="str">
        <f>IF(AA69="","",IF(VLOOKUP(AA69,'G-3 Multipliers'!$L$3:$N$6,2,FALSE)=0,"Spatial Data Missing",VLOOKUP(AA69,'G-3 Multipliers'!$L$3:$N$6,2,FALSE)))</f>
        <v/>
      </c>
      <c r="AC69" s="176" t="str">
        <f>IF(AA69="","",IF(VLOOKUP(AA69,'G-3 Multipliers'!$L$3:$N$6,3,FALSE)=0,"Spatial Data Missing",VLOOKUP(AA69,'G-3 Multipliers'!$L$3:$N$6,3,FALSE)))</f>
        <v/>
      </c>
      <c r="AD69" s="239" t="str">
        <f t="shared" si="3"/>
        <v/>
      </c>
      <c r="AE69" s="275"/>
      <c r="AF69" s="275"/>
      <c r="AG69" s="175" t="str">
        <f t="shared" si="8"/>
        <v/>
      </c>
      <c r="AH69" s="242" t="str">
        <f t="shared" si="9"/>
        <v/>
      </c>
      <c r="AI69" s="335" t="str">
        <f>IF(AH69="Check Data","Check Data",IFERROR(VLOOKUP(AH69,'G-4 Temporal multipliers'!$A$4:$C$36,3,FALSE),""))</f>
        <v/>
      </c>
      <c r="AJ69" s="239" t="str">
        <f>IF(S69="","",VLOOKUP(S69,'G-3 Multipliers'!$A$2:$E$130,4,FALSE))</f>
        <v/>
      </c>
      <c r="AK69" s="175" t="str">
        <f t="shared" si="10"/>
        <v/>
      </c>
      <c r="AL69" s="175" t="str">
        <f t="shared" si="11"/>
        <v/>
      </c>
      <c r="AM69" s="176" t="str">
        <f>IFERROR(IF(F69="","",IF(AH69="Check Data","Check Data",VLOOKUP(AL69, 'G-3 Multipliers'!$P$2:$Q$6,2,FALSE))),””)</f>
        <v/>
      </c>
      <c r="AN69" s="266"/>
      <c r="AO69" s="269" t="str">
        <f>IF(AN69="","",IF(VLOOKUP(AN69,'G-3 Multipliers'!$S$3:$T$9,2,FALSE)=0,"Spatial Data Missing",VLOOKUP(AN69,'G-3 Multipliers'!$S$3:$T$9,2,FALSE)))</f>
        <v/>
      </c>
      <c r="AP69" s="207" t="str">
        <f t="shared" si="12"/>
        <v/>
      </c>
      <c r="AQ69" s="336"/>
      <c r="AR69" s="181"/>
    </row>
    <row r="70" spans="1:44" x14ac:dyDescent="0.25">
      <c r="A70" s="35" t="str">
        <f>IF(E70="","",IF(ISNA(VLOOKUP($E70,'D-1 Off Site Habitat Baseline'!$D$1:$O$258,2,FALSE)),"",(VLOOKUP($E70,'D-1 Off Site Habitat Baseline'!$D$1:$O$258,2,FALSE))))</f>
        <v/>
      </c>
      <c r="B70" s="35" t="str">
        <f>IF(E70="","",IF(ISNA(VLOOKUP($E70,'D-1 Off Site Habitat Baseline'!$D$1:$O$258,3,FALSE)),"",(VLOOKUP($E70,'D-1 Off Site Habitat Baseline'!$D$1:$O$258,3,FALSE))))</f>
        <v/>
      </c>
      <c r="C70" s="35" t="str">
        <f>IFERROR(INDEX('G-8 Condition Look up'!$I$4:$I$131,MATCH(S70,'G-8 Condition Look up'!$A$4:$A$131,0)),"")</f>
        <v/>
      </c>
      <c r="E70" s="329" t="str">
        <f>'D-1 Off Site Habitat Baseline'!AL69</f>
        <v/>
      </c>
      <c r="F70" s="175" t="str">
        <f>IF(E70="","",IF(ISNA(VLOOKUP($E70,'D-1 Off Site Habitat Baseline'!$D$1:$O$258,4,FALSE)),"",(VLOOKUP($E70,'D-1 Off Site Habitat Baseline'!$D$1:$O$258,4,FALSE))))</f>
        <v/>
      </c>
      <c r="G70" s="175" t="str">
        <f>IF(E70="","",IF(ISNA(VLOOKUP($E70,'D-1 Off Site Habitat Baseline'!$D$1:$O$258,5,FALSE)),"",(VLOOKUP($E70,'D-1 Off Site Habitat Baseline'!$D$1:$O$258,5,FALSE))))</f>
        <v/>
      </c>
      <c r="H70" s="175" t="str">
        <f>IF(E70="","",IF(ISNA(VLOOKUP($E70,'D-1 Off Site Habitat Baseline'!$D$1:$O$258,6,FALSE)),"",(VLOOKUP($E70,'D-1 Off Site Habitat Baseline'!$D$1:$O$258,6,FALSE))))</f>
        <v/>
      </c>
      <c r="I70" s="175" t="str">
        <f>IF(E70="","",IF(ISNA(VLOOKUP($E70,'D-1 Off Site Habitat Baseline'!$D$1:$O$258,7,FALSE)),"",(VLOOKUP($E70,'D-1 Off Site Habitat Baseline'!$D$1:$O$258,7,FALSE))))</f>
        <v/>
      </c>
      <c r="J70" s="175" t="str">
        <f>IF(E70="","",IF(ISNA(VLOOKUP($E70,'D-1 Off Site Habitat Baseline'!$D$1:$O$258,8,FALSE)),"",(VLOOKUP($E70,'D-1 Off Site Habitat Baseline'!$D$1:$O$258,8,FALSE))))</f>
        <v/>
      </c>
      <c r="K70" s="175" t="str">
        <f>IF(E70="","",IF(ISNA(VLOOKUP($E70,'D-1 Off Site Habitat Baseline'!$D$1:$O$258,9,FALSE)),"",(VLOOKUP($E70,'D-1 Off Site Habitat Baseline'!$D$1:$O$258,9,FALSE))))</f>
        <v/>
      </c>
      <c r="L70" s="175" t="str">
        <f>IF(E70="","",IF(ISNA(VLOOKUP($E70,'D-1 Off Site Habitat Baseline'!$D$1:$O$258,11,FALSE)),"",(VLOOKUP($E70,'D-1 Off Site Habitat Baseline'!$D$1:$O$258,11,FALSE))))</f>
        <v/>
      </c>
      <c r="M70" s="175" t="str">
        <f>IF(E70="","",IF(ISNA(VLOOKUP($E70,'D-1 Off Site Habitat Baseline'!$D$1:$O$258,12,FALSE)),"",(VLOOKUP($E70,'D-1 Off Site Habitat Baseline'!$D$1:$O$258,12,FALSE))))</f>
        <v/>
      </c>
      <c r="N70" s="175" t="str">
        <f>IF(E70="","",IF(ISNA(VLOOKUP($E70,'D-1 Off Site Habitat Baseline'!$D$1:$X$258,14,FALSE)),"",(VLOOKUP($E70,'D-1 Off Site Habitat Baseline'!$D$1:$X$258,14,FALSE))))</f>
        <v/>
      </c>
      <c r="O70" s="176" t="str">
        <f>IF(E70="","",IF(ISNA(VLOOKUP($E70,'D-1 Off Site Habitat Baseline'!$D$1:$X$258,13,FALSE)),"",(VLOOKUP($E70,'D-1 Off Site Habitat Baseline'!$D$1:$X$258,13,FALSE))))</f>
        <v/>
      </c>
      <c r="P70" s="337" t="str">
        <f>IFERROR(INDEX('G-1 All Habitats'!$AG$3:$AG$15,MATCH(Q70,'G-1 All Habitats'!$AF$3:$AF$15,0)),"")</f>
        <v/>
      </c>
      <c r="Q70" s="331" t="str">
        <f t="shared" si="13"/>
        <v/>
      </c>
      <c r="R70" s="332" t="str">
        <f t="shared" si="14"/>
        <v/>
      </c>
      <c r="S70" s="338" t="str">
        <f>IFERROR(INDEX('G-1 All Habitats'!$B$3:$B$130,MATCH(R70,'G-1 All Habitats'!$A$3:$A$130,0)),"")</f>
        <v/>
      </c>
      <c r="T70" s="179" t="str">
        <f t="shared" si="6"/>
        <v/>
      </c>
      <c r="U70" s="172" t="str">
        <f t="shared" si="7"/>
        <v/>
      </c>
      <c r="V70" s="334" t="str">
        <f t="shared" si="2"/>
        <v/>
      </c>
      <c r="W70" s="175" t="str">
        <f>IF(S70="","",VLOOKUP(S70,'G-1 All Habitats'!$B$2:$M$130,10,FALSE))</f>
        <v/>
      </c>
      <c r="X70" s="175" t="str">
        <f>IFERROR(VLOOKUP(W70,'G-1 All Habitats'!$V$3:$W$7,2,FALSE),"")</f>
        <v/>
      </c>
      <c r="Y70" s="275"/>
      <c r="Z70" s="176" t="str">
        <f>IFERROR(INDEX('G-8 Condition Look up'!$A$3:$H$131,MATCH(S70,'G-8 Condition Look up'!$A$3:$A$131,0),MATCH(Y70,'G-8 Condition Look up'!$A$3:$H$3,0)),"")</f>
        <v/>
      </c>
      <c r="AA70" s="173"/>
      <c r="AB70" s="269" t="str">
        <f>IF(AA70="","",IF(VLOOKUP(AA70,'G-3 Multipliers'!$L$3:$N$6,2,FALSE)=0,"Spatial Data Missing",VLOOKUP(AA70,'G-3 Multipliers'!$L$3:$N$6,2,FALSE)))</f>
        <v/>
      </c>
      <c r="AC70" s="176" t="str">
        <f>IF(AA70="","",IF(VLOOKUP(AA70,'G-3 Multipliers'!$L$3:$N$6,3,FALSE)=0,"Spatial Data Missing",VLOOKUP(AA70,'G-3 Multipliers'!$L$3:$N$6,3,FALSE)))</f>
        <v/>
      </c>
      <c r="AD70" s="239" t="str">
        <f t="shared" si="3"/>
        <v/>
      </c>
      <c r="AE70" s="275"/>
      <c r="AF70" s="275"/>
      <c r="AG70" s="175" t="str">
        <f t="shared" si="8"/>
        <v/>
      </c>
      <c r="AH70" s="242" t="str">
        <f t="shared" si="9"/>
        <v/>
      </c>
      <c r="AI70" s="335" t="str">
        <f>IF(AH70="Check Data","Check Data",IFERROR(VLOOKUP(AH70,'G-4 Temporal multipliers'!$A$4:$C$36,3,FALSE),""))</f>
        <v/>
      </c>
      <c r="AJ70" s="239" t="str">
        <f>IF(S70="","",VLOOKUP(S70,'G-3 Multipliers'!$A$2:$E$130,4,FALSE))</f>
        <v/>
      </c>
      <c r="AK70" s="175" t="str">
        <f t="shared" si="10"/>
        <v/>
      </c>
      <c r="AL70" s="175" t="str">
        <f t="shared" si="11"/>
        <v/>
      </c>
      <c r="AM70" s="176" t="str">
        <f>IFERROR(IF(F70="","",IF(AH70="Check Data","Check Data",VLOOKUP(AL70, 'G-3 Multipliers'!$P$2:$Q$6,2,FALSE))),””)</f>
        <v/>
      </c>
      <c r="AN70" s="266"/>
      <c r="AO70" s="269" t="str">
        <f>IF(AN70="","",IF(VLOOKUP(AN70,'G-3 Multipliers'!$S$3:$T$9,2,FALSE)=0,"Spatial Data Missing",VLOOKUP(AN70,'G-3 Multipliers'!$S$3:$T$9,2,FALSE)))</f>
        <v/>
      </c>
      <c r="AP70" s="207" t="str">
        <f t="shared" si="12"/>
        <v/>
      </c>
      <c r="AQ70" s="336"/>
      <c r="AR70" s="181"/>
    </row>
    <row r="71" spans="1:44" x14ac:dyDescent="0.25">
      <c r="A71" s="35" t="str">
        <f>IF(E71="","",IF(ISNA(VLOOKUP($E71,'D-1 Off Site Habitat Baseline'!$D$1:$O$258,2,FALSE)),"",(VLOOKUP($E71,'D-1 Off Site Habitat Baseline'!$D$1:$O$258,2,FALSE))))</f>
        <v/>
      </c>
      <c r="B71" s="35" t="str">
        <f>IF(E71="","",IF(ISNA(VLOOKUP($E71,'D-1 Off Site Habitat Baseline'!$D$1:$O$258,3,FALSE)),"",(VLOOKUP($E71,'D-1 Off Site Habitat Baseline'!$D$1:$O$258,3,FALSE))))</f>
        <v/>
      </c>
      <c r="C71" s="35" t="str">
        <f>IFERROR(INDEX('G-8 Condition Look up'!$I$4:$I$131,MATCH(S71,'G-8 Condition Look up'!$A$4:$A$131,0)),"")</f>
        <v/>
      </c>
      <c r="E71" s="329" t="str">
        <f>'D-1 Off Site Habitat Baseline'!AL70</f>
        <v/>
      </c>
      <c r="F71" s="175" t="str">
        <f>IF(E71="","",IF(ISNA(VLOOKUP($E71,'D-1 Off Site Habitat Baseline'!$D$1:$O$258,4,FALSE)),"",(VLOOKUP($E71,'D-1 Off Site Habitat Baseline'!$D$1:$O$258,4,FALSE))))</f>
        <v/>
      </c>
      <c r="G71" s="175" t="str">
        <f>IF(E71="","",IF(ISNA(VLOOKUP($E71,'D-1 Off Site Habitat Baseline'!$D$1:$O$258,5,FALSE)),"",(VLOOKUP($E71,'D-1 Off Site Habitat Baseline'!$D$1:$O$258,5,FALSE))))</f>
        <v/>
      </c>
      <c r="H71" s="175" t="str">
        <f>IF(E71="","",IF(ISNA(VLOOKUP($E71,'D-1 Off Site Habitat Baseline'!$D$1:$O$258,6,FALSE)),"",(VLOOKUP($E71,'D-1 Off Site Habitat Baseline'!$D$1:$O$258,6,FALSE))))</f>
        <v/>
      </c>
      <c r="I71" s="175" t="str">
        <f>IF(E71="","",IF(ISNA(VLOOKUP($E71,'D-1 Off Site Habitat Baseline'!$D$1:$O$258,7,FALSE)),"",(VLOOKUP($E71,'D-1 Off Site Habitat Baseline'!$D$1:$O$258,7,FALSE))))</f>
        <v/>
      </c>
      <c r="J71" s="175" t="str">
        <f>IF(E71="","",IF(ISNA(VLOOKUP($E71,'D-1 Off Site Habitat Baseline'!$D$1:$O$258,8,FALSE)),"",(VLOOKUP($E71,'D-1 Off Site Habitat Baseline'!$D$1:$O$258,8,FALSE))))</f>
        <v/>
      </c>
      <c r="K71" s="175" t="str">
        <f>IF(E71="","",IF(ISNA(VLOOKUP($E71,'D-1 Off Site Habitat Baseline'!$D$1:$O$258,9,FALSE)),"",(VLOOKUP($E71,'D-1 Off Site Habitat Baseline'!$D$1:$O$258,9,FALSE))))</f>
        <v/>
      </c>
      <c r="L71" s="175" t="str">
        <f>IF(E71="","",IF(ISNA(VLOOKUP($E71,'D-1 Off Site Habitat Baseline'!$D$1:$O$258,11,FALSE)),"",(VLOOKUP($E71,'D-1 Off Site Habitat Baseline'!$D$1:$O$258,11,FALSE))))</f>
        <v/>
      </c>
      <c r="M71" s="175" t="str">
        <f>IF(E71="","",IF(ISNA(VLOOKUP($E71,'D-1 Off Site Habitat Baseline'!$D$1:$O$258,12,FALSE)),"",(VLOOKUP($E71,'D-1 Off Site Habitat Baseline'!$D$1:$O$258,12,FALSE))))</f>
        <v/>
      </c>
      <c r="N71" s="175" t="str">
        <f>IF(E71="","",IF(ISNA(VLOOKUP($E71,'D-1 Off Site Habitat Baseline'!$D$1:$X$258,14,FALSE)),"",(VLOOKUP($E71,'D-1 Off Site Habitat Baseline'!$D$1:$X$258,14,FALSE))))</f>
        <v/>
      </c>
      <c r="O71" s="176" t="str">
        <f>IF(E71="","",IF(ISNA(VLOOKUP($E71,'D-1 Off Site Habitat Baseline'!$D$1:$X$258,13,FALSE)),"",(VLOOKUP($E71,'D-1 Off Site Habitat Baseline'!$D$1:$X$258,13,FALSE))))</f>
        <v/>
      </c>
      <c r="P71" s="337" t="str">
        <f>IFERROR(INDEX('G-1 All Habitats'!$AG$3:$AG$15,MATCH(Q71,'G-1 All Habitats'!$AF$3:$AF$15,0)),"")</f>
        <v/>
      </c>
      <c r="Q71" s="331" t="str">
        <f t="shared" si="13"/>
        <v/>
      </c>
      <c r="R71" s="332" t="str">
        <f t="shared" si="14"/>
        <v/>
      </c>
      <c r="S71" s="338" t="str">
        <f>IFERROR(INDEX('G-1 All Habitats'!$B$3:$B$130,MATCH(R71,'G-1 All Habitats'!$A$3:$A$130,0)),"")</f>
        <v/>
      </c>
      <c r="T71" s="179" t="str">
        <f t="shared" si="6"/>
        <v/>
      </c>
      <c r="U71" s="172" t="str">
        <f t="shared" si="7"/>
        <v/>
      </c>
      <c r="V71" s="334" t="str">
        <f t="shared" si="2"/>
        <v/>
      </c>
      <c r="W71" s="175" t="str">
        <f>IF(S71="","",VLOOKUP(S71,'G-1 All Habitats'!$B$2:$M$130,10,FALSE))</f>
        <v/>
      </c>
      <c r="X71" s="175" t="str">
        <f>IFERROR(VLOOKUP(W71,'G-1 All Habitats'!$V$3:$W$7,2,FALSE),"")</f>
        <v/>
      </c>
      <c r="Y71" s="275"/>
      <c r="Z71" s="176" t="str">
        <f>IFERROR(INDEX('G-8 Condition Look up'!$A$3:$H$131,MATCH(S71,'G-8 Condition Look up'!$A$3:$A$131,0),MATCH(Y71,'G-8 Condition Look up'!$A$3:$H$3,0)),"")</f>
        <v/>
      </c>
      <c r="AA71" s="173"/>
      <c r="AB71" s="269" t="str">
        <f>IF(AA71="","",IF(VLOOKUP(AA71,'G-3 Multipliers'!$L$3:$N$6,2,FALSE)=0,"Spatial Data Missing",VLOOKUP(AA71,'G-3 Multipliers'!$L$3:$N$6,2,FALSE)))</f>
        <v/>
      </c>
      <c r="AC71" s="176" t="str">
        <f>IF(AA71="","",IF(VLOOKUP(AA71,'G-3 Multipliers'!$L$3:$N$6,3,FALSE)=0,"Spatial Data Missing",VLOOKUP(AA71,'G-3 Multipliers'!$L$3:$N$6,3,FALSE)))</f>
        <v/>
      </c>
      <c r="AD71" s="239" t="str">
        <f t="shared" si="3"/>
        <v/>
      </c>
      <c r="AE71" s="275"/>
      <c r="AF71" s="275"/>
      <c r="AG71" s="175" t="str">
        <f t="shared" si="8"/>
        <v/>
      </c>
      <c r="AH71" s="242" t="str">
        <f t="shared" si="9"/>
        <v/>
      </c>
      <c r="AI71" s="335" t="str">
        <f>IF(AH71="Check Data","Check Data",IFERROR(VLOOKUP(AH71,'G-4 Temporal multipliers'!$A$4:$C$36,3,FALSE),""))</f>
        <v/>
      </c>
      <c r="AJ71" s="239" t="str">
        <f>IF(S71="","",VLOOKUP(S71,'G-3 Multipliers'!$A$2:$E$130,4,FALSE))</f>
        <v/>
      </c>
      <c r="AK71" s="175" t="str">
        <f t="shared" si="10"/>
        <v/>
      </c>
      <c r="AL71" s="175" t="str">
        <f t="shared" si="11"/>
        <v/>
      </c>
      <c r="AM71" s="176" t="str">
        <f>IFERROR(IF(F71="","",IF(AH71="Check Data","Check Data",VLOOKUP(AL71, 'G-3 Multipliers'!$P$2:$Q$6,2,FALSE))),””)</f>
        <v/>
      </c>
      <c r="AN71" s="266"/>
      <c r="AO71" s="269" t="str">
        <f>IF(AN71="","",IF(VLOOKUP(AN71,'G-3 Multipliers'!$S$3:$T$9,2,FALSE)=0,"Spatial Data Missing",VLOOKUP(AN71,'G-3 Multipliers'!$S$3:$T$9,2,FALSE)))</f>
        <v/>
      </c>
      <c r="AP71" s="207" t="str">
        <f t="shared" si="12"/>
        <v/>
      </c>
      <c r="AQ71" s="336"/>
      <c r="AR71" s="181"/>
    </row>
    <row r="72" spans="1:44" x14ac:dyDescent="0.25">
      <c r="A72" s="35" t="str">
        <f>IF(E72="","",IF(ISNA(VLOOKUP($E72,'D-1 Off Site Habitat Baseline'!$D$1:$O$258,2,FALSE)),"",(VLOOKUP($E72,'D-1 Off Site Habitat Baseline'!$D$1:$O$258,2,FALSE))))</f>
        <v/>
      </c>
      <c r="B72" s="35" t="str">
        <f>IF(E72="","",IF(ISNA(VLOOKUP($E72,'D-1 Off Site Habitat Baseline'!$D$1:$O$258,3,FALSE)),"",(VLOOKUP($E72,'D-1 Off Site Habitat Baseline'!$D$1:$O$258,3,FALSE))))</f>
        <v/>
      </c>
      <c r="C72" s="35" t="str">
        <f>IFERROR(INDEX('G-8 Condition Look up'!$I$4:$I$131,MATCH(S72,'G-8 Condition Look up'!$A$4:$A$131,0)),"")</f>
        <v/>
      </c>
      <c r="E72" s="329" t="str">
        <f>'D-1 Off Site Habitat Baseline'!AL71</f>
        <v/>
      </c>
      <c r="F72" s="175" t="str">
        <f>IF(E72="","",IF(ISNA(VLOOKUP($E72,'D-1 Off Site Habitat Baseline'!$D$1:$O$258,4,FALSE)),"",(VLOOKUP($E72,'D-1 Off Site Habitat Baseline'!$D$1:$O$258,4,FALSE))))</f>
        <v/>
      </c>
      <c r="G72" s="175" t="str">
        <f>IF(E72="","",IF(ISNA(VLOOKUP($E72,'D-1 Off Site Habitat Baseline'!$D$1:$O$258,5,FALSE)),"",(VLOOKUP($E72,'D-1 Off Site Habitat Baseline'!$D$1:$O$258,5,FALSE))))</f>
        <v/>
      </c>
      <c r="H72" s="175" t="str">
        <f>IF(E72="","",IF(ISNA(VLOOKUP($E72,'D-1 Off Site Habitat Baseline'!$D$1:$O$258,6,FALSE)),"",(VLOOKUP($E72,'D-1 Off Site Habitat Baseline'!$D$1:$O$258,6,FALSE))))</f>
        <v/>
      </c>
      <c r="I72" s="175" t="str">
        <f>IF(E72="","",IF(ISNA(VLOOKUP($E72,'D-1 Off Site Habitat Baseline'!$D$1:$O$258,7,FALSE)),"",(VLOOKUP($E72,'D-1 Off Site Habitat Baseline'!$D$1:$O$258,7,FALSE))))</f>
        <v/>
      </c>
      <c r="J72" s="175" t="str">
        <f>IF(E72="","",IF(ISNA(VLOOKUP($E72,'D-1 Off Site Habitat Baseline'!$D$1:$O$258,8,FALSE)),"",(VLOOKUP($E72,'D-1 Off Site Habitat Baseline'!$D$1:$O$258,8,FALSE))))</f>
        <v/>
      </c>
      <c r="K72" s="175" t="str">
        <f>IF(E72="","",IF(ISNA(VLOOKUP($E72,'D-1 Off Site Habitat Baseline'!$D$1:$O$258,9,FALSE)),"",(VLOOKUP($E72,'D-1 Off Site Habitat Baseline'!$D$1:$O$258,9,FALSE))))</f>
        <v/>
      </c>
      <c r="L72" s="175" t="str">
        <f>IF(E72="","",IF(ISNA(VLOOKUP($E72,'D-1 Off Site Habitat Baseline'!$D$1:$O$258,11,FALSE)),"",(VLOOKUP($E72,'D-1 Off Site Habitat Baseline'!$D$1:$O$258,11,FALSE))))</f>
        <v/>
      </c>
      <c r="M72" s="175" t="str">
        <f>IF(E72="","",IF(ISNA(VLOOKUP($E72,'D-1 Off Site Habitat Baseline'!$D$1:$O$258,12,FALSE)),"",(VLOOKUP($E72,'D-1 Off Site Habitat Baseline'!$D$1:$O$258,12,FALSE))))</f>
        <v/>
      </c>
      <c r="N72" s="175" t="str">
        <f>IF(E72="","",IF(ISNA(VLOOKUP($E72,'D-1 Off Site Habitat Baseline'!$D$1:$X$258,14,FALSE)),"",(VLOOKUP($E72,'D-1 Off Site Habitat Baseline'!$D$1:$X$258,14,FALSE))))</f>
        <v/>
      </c>
      <c r="O72" s="176" t="str">
        <f>IF(E72="","",IF(ISNA(VLOOKUP($E72,'D-1 Off Site Habitat Baseline'!$D$1:$X$258,13,FALSE)),"",(VLOOKUP($E72,'D-1 Off Site Habitat Baseline'!$D$1:$X$258,13,FALSE))))</f>
        <v/>
      </c>
      <c r="P72" s="337" t="str">
        <f>IFERROR(INDEX('G-1 All Habitats'!$AG$3:$AG$15,MATCH(Q72,'G-1 All Habitats'!$AF$3:$AF$15,0)),"")</f>
        <v/>
      </c>
      <c r="Q72" s="331" t="str">
        <f t="shared" si="13"/>
        <v/>
      </c>
      <c r="R72" s="332" t="str">
        <f t="shared" si="14"/>
        <v/>
      </c>
      <c r="S72" s="338" t="str">
        <f>IFERROR(INDEX('G-1 All Habitats'!$B$3:$B$130,MATCH(R72,'G-1 All Habitats'!$A$3:$A$130,0)),"")</f>
        <v/>
      </c>
      <c r="T72" s="179" t="str">
        <f t="shared" si="6"/>
        <v/>
      </c>
      <c r="U72" s="172" t="str">
        <f t="shared" si="7"/>
        <v/>
      </c>
      <c r="V72" s="334" t="str">
        <f t="shared" si="2"/>
        <v/>
      </c>
      <c r="W72" s="175" t="str">
        <f>IF(S72="","",VLOOKUP(S72,'G-1 All Habitats'!$B$2:$M$130,10,FALSE))</f>
        <v/>
      </c>
      <c r="X72" s="175" t="str">
        <f>IFERROR(VLOOKUP(W72,'G-1 All Habitats'!$V$3:$W$7,2,FALSE),"")</f>
        <v/>
      </c>
      <c r="Y72" s="275"/>
      <c r="Z72" s="176" t="str">
        <f>IFERROR(INDEX('G-8 Condition Look up'!$A$3:$H$131,MATCH(S72,'G-8 Condition Look up'!$A$3:$A$131,0),MATCH(Y72,'G-8 Condition Look up'!$A$3:$H$3,0)),"")</f>
        <v/>
      </c>
      <c r="AA72" s="173"/>
      <c r="AB72" s="269" t="str">
        <f>IF(AA72="","",IF(VLOOKUP(AA72,'G-3 Multipliers'!$L$3:$N$6,2,FALSE)=0,"Spatial Data Missing",VLOOKUP(AA72,'G-3 Multipliers'!$L$3:$N$6,2,FALSE)))</f>
        <v/>
      </c>
      <c r="AC72" s="176" t="str">
        <f>IF(AA72="","",IF(VLOOKUP(AA72,'G-3 Multipliers'!$L$3:$N$6,3,FALSE)=0,"Spatial Data Missing",VLOOKUP(AA72,'G-3 Multipliers'!$L$3:$N$6,3,FALSE)))</f>
        <v/>
      </c>
      <c r="AD72" s="239" t="str">
        <f t="shared" si="3"/>
        <v/>
      </c>
      <c r="AE72" s="275"/>
      <c r="AF72" s="275"/>
      <c r="AG72" s="175" t="str">
        <f t="shared" si="8"/>
        <v/>
      </c>
      <c r="AH72" s="242" t="str">
        <f t="shared" si="9"/>
        <v/>
      </c>
      <c r="AI72" s="335" t="str">
        <f>IF(AH72="Check Data","Check Data",IFERROR(VLOOKUP(AH72,'G-4 Temporal multipliers'!$A$4:$C$36,3,FALSE),""))</f>
        <v/>
      </c>
      <c r="AJ72" s="239" t="str">
        <f>IF(S72="","",VLOOKUP(S72,'G-3 Multipliers'!$A$2:$E$130,4,FALSE))</f>
        <v/>
      </c>
      <c r="AK72" s="175" t="str">
        <f t="shared" si="10"/>
        <v/>
      </c>
      <c r="AL72" s="175" t="str">
        <f t="shared" si="11"/>
        <v/>
      </c>
      <c r="AM72" s="176" t="str">
        <f>IFERROR(IF(F72="","",IF(AH72="Check Data","Check Data",VLOOKUP(AL72, 'G-3 Multipliers'!$P$2:$Q$6,2,FALSE))),””)</f>
        <v/>
      </c>
      <c r="AN72" s="266"/>
      <c r="AO72" s="269" t="str">
        <f>IF(AN72="","",IF(VLOOKUP(AN72,'G-3 Multipliers'!$S$3:$T$9,2,FALSE)=0,"Spatial Data Missing",VLOOKUP(AN72,'G-3 Multipliers'!$S$3:$T$9,2,FALSE)))</f>
        <v/>
      </c>
      <c r="AP72" s="207" t="str">
        <f t="shared" si="12"/>
        <v/>
      </c>
      <c r="AQ72" s="336"/>
      <c r="AR72" s="181"/>
    </row>
    <row r="73" spans="1:44" x14ac:dyDescent="0.25">
      <c r="A73" s="35" t="str">
        <f>IF(E73="","",IF(ISNA(VLOOKUP($E73,'D-1 Off Site Habitat Baseline'!$D$1:$O$258,2,FALSE)),"",(VLOOKUP($E73,'D-1 Off Site Habitat Baseline'!$D$1:$O$258,2,FALSE))))</f>
        <v/>
      </c>
      <c r="B73" s="35" t="str">
        <f>IF(E73="","",IF(ISNA(VLOOKUP($E73,'D-1 Off Site Habitat Baseline'!$D$1:$O$258,3,FALSE)),"",(VLOOKUP($E73,'D-1 Off Site Habitat Baseline'!$D$1:$O$258,3,FALSE))))</f>
        <v/>
      </c>
      <c r="C73" s="35" t="str">
        <f>IFERROR(INDEX('G-8 Condition Look up'!$I$4:$I$131,MATCH(S73,'G-8 Condition Look up'!$A$4:$A$131,0)),"")</f>
        <v/>
      </c>
      <c r="E73" s="329" t="str">
        <f>'D-1 Off Site Habitat Baseline'!AL72</f>
        <v/>
      </c>
      <c r="F73" s="175" t="str">
        <f>IF(E73="","",IF(ISNA(VLOOKUP($E73,'D-1 Off Site Habitat Baseline'!$D$1:$O$258,4,FALSE)),"",(VLOOKUP($E73,'D-1 Off Site Habitat Baseline'!$D$1:$O$258,4,FALSE))))</f>
        <v/>
      </c>
      <c r="G73" s="175" t="str">
        <f>IF(E73="","",IF(ISNA(VLOOKUP($E73,'D-1 Off Site Habitat Baseline'!$D$1:$O$258,5,FALSE)),"",(VLOOKUP($E73,'D-1 Off Site Habitat Baseline'!$D$1:$O$258,5,FALSE))))</f>
        <v/>
      </c>
      <c r="H73" s="175" t="str">
        <f>IF(E73="","",IF(ISNA(VLOOKUP($E73,'D-1 Off Site Habitat Baseline'!$D$1:$O$258,6,FALSE)),"",(VLOOKUP($E73,'D-1 Off Site Habitat Baseline'!$D$1:$O$258,6,FALSE))))</f>
        <v/>
      </c>
      <c r="I73" s="175" t="str">
        <f>IF(E73="","",IF(ISNA(VLOOKUP($E73,'D-1 Off Site Habitat Baseline'!$D$1:$O$258,7,FALSE)),"",(VLOOKUP($E73,'D-1 Off Site Habitat Baseline'!$D$1:$O$258,7,FALSE))))</f>
        <v/>
      </c>
      <c r="J73" s="175" t="str">
        <f>IF(E73="","",IF(ISNA(VLOOKUP($E73,'D-1 Off Site Habitat Baseline'!$D$1:$O$258,8,FALSE)),"",(VLOOKUP($E73,'D-1 Off Site Habitat Baseline'!$D$1:$O$258,8,FALSE))))</f>
        <v/>
      </c>
      <c r="K73" s="175" t="str">
        <f>IF(E73="","",IF(ISNA(VLOOKUP($E73,'D-1 Off Site Habitat Baseline'!$D$1:$O$258,9,FALSE)),"",(VLOOKUP($E73,'D-1 Off Site Habitat Baseline'!$D$1:$O$258,9,FALSE))))</f>
        <v/>
      </c>
      <c r="L73" s="175" t="str">
        <f>IF(E73="","",IF(ISNA(VLOOKUP($E73,'D-1 Off Site Habitat Baseline'!$D$1:$O$258,11,FALSE)),"",(VLOOKUP($E73,'D-1 Off Site Habitat Baseline'!$D$1:$O$258,11,FALSE))))</f>
        <v/>
      </c>
      <c r="M73" s="175" t="str">
        <f>IF(E73="","",IF(ISNA(VLOOKUP($E73,'D-1 Off Site Habitat Baseline'!$D$1:$O$258,12,FALSE)),"",(VLOOKUP($E73,'D-1 Off Site Habitat Baseline'!$D$1:$O$258,12,FALSE))))</f>
        <v/>
      </c>
      <c r="N73" s="175" t="str">
        <f>IF(E73="","",IF(ISNA(VLOOKUP($E73,'D-1 Off Site Habitat Baseline'!$D$1:$X$258,14,FALSE)),"",(VLOOKUP($E73,'D-1 Off Site Habitat Baseline'!$D$1:$X$258,14,FALSE))))</f>
        <v/>
      </c>
      <c r="O73" s="176" t="str">
        <f>IF(E73="","",IF(ISNA(VLOOKUP($E73,'D-1 Off Site Habitat Baseline'!$D$1:$X$258,13,FALSE)),"",(VLOOKUP($E73,'D-1 Off Site Habitat Baseline'!$D$1:$X$258,13,FALSE))))</f>
        <v/>
      </c>
      <c r="P73" s="337" t="str">
        <f>IFERROR(INDEX('G-1 All Habitats'!$AG$3:$AG$15,MATCH(Q73,'G-1 All Habitats'!$AF$3:$AF$15,0)),"")</f>
        <v/>
      </c>
      <c r="Q73" s="331" t="str">
        <f t="shared" si="13"/>
        <v/>
      </c>
      <c r="R73" s="332" t="str">
        <f t="shared" si="14"/>
        <v/>
      </c>
      <c r="S73" s="338" t="str">
        <f>IFERROR(INDEX('G-1 All Habitats'!$B$3:$B$130,MATCH(R73,'G-1 All Habitats'!$A$3:$A$130,0)),"")</f>
        <v/>
      </c>
      <c r="T73" s="179" t="str">
        <f t="shared" si="6"/>
        <v/>
      </c>
      <c r="U73" s="172" t="str">
        <f t="shared" si="7"/>
        <v/>
      </c>
      <c r="V73" s="334" t="str">
        <f t="shared" si="2"/>
        <v/>
      </c>
      <c r="W73" s="175" t="str">
        <f>IF(S73="","",VLOOKUP(S73,'G-1 All Habitats'!$B$2:$M$130,10,FALSE))</f>
        <v/>
      </c>
      <c r="X73" s="175" t="str">
        <f>IFERROR(VLOOKUP(W73,'G-1 All Habitats'!$V$3:$W$7,2,FALSE),"")</f>
        <v/>
      </c>
      <c r="Y73" s="275"/>
      <c r="Z73" s="176" t="str">
        <f>IFERROR(INDEX('G-8 Condition Look up'!$A$3:$H$131,MATCH(S73,'G-8 Condition Look up'!$A$3:$A$131,0),MATCH(Y73,'G-8 Condition Look up'!$A$3:$H$3,0)),"")</f>
        <v/>
      </c>
      <c r="AA73" s="173"/>
      <c r="AB73" s="269" t="str">
        <f>IF(AA73="","",IF(VLOOKUP(AA73,'G-3 Multipliers'!$L$3:$N$6,2,FALSE)=0,"Spatial Data Missing",VLOOKUP(AA73,'G-3 Multipliers'!$L$3:$N$6,2,FALSE)))</f>
        <v/>
      </c>
      <c r="AC73" s="176" t="str">
        <f>IF(AA73="","",IF(VLOOKUP(AA73,'G-3 Multipliers'!$L$3:$N$6,3,FALSE)=0,"Spatial Data Missing",VLOOKUP(AA73,'G-3 Multipliers'!$L$3:$N$6,3,FALSE)))</f>
        <v/>
      </c>
      <c r="AD73" s="239" t="str">
        <f t="shared" si="3"/>
        <v/>
      </c>
      <c r="AE73" s="275"/>
      <c r="AF73" s="275"/>
      <c r="AG73" s="175" t="str">
        <f t="shared" si="8"/>
        <v/>
      </c>
      <c r="AH73" s="242" t="str">
        <f t="shared" si="9"/>
        <v/>
      </c>
      <c r="AI73" s="335" t="str">
        <f>IF(AH73="Check Data","Check Data",IFERROR(VLOOKUP(AH73,'G-4 Temporal multipliers'!$A$4:$C$36,3,FALSE),""))</f>
        <v/>
      </c>
      <c r="AJ73" s="239" t="str">
        <f>IF(S73="","",VLOOKUP(S73,'G-3 Multipliers'!$A$2:$E$130,4,FALSE))</f>
        <v/>
      </c>
      <c r="AK73" s="175" t="str">
        <f t="shared" si="10"/>
        <v/>
      </c>
      <c r="AL73" s="175" t="str">
        <f t="shared" si="11"/>
        <v/>
      </c>
      <c r="AM73" s="176" t="str">
        <f>IFERROR(IF(F73="","",IF(AH73="Check Data","Check Data",VLOOKUP(AL73, 'G-3 Multipliers'!$P$2:$Q$6,2,FALSE))),””)</f>
        <v/>
      </c>
      <c r="AN73" s="266"/>
      <c r="AO73" s="269" t="str">
        <f>IF(AN73="","",IF(VLOOKUP(AN73,'G-3 Multipliers'!$S$3:$T$9,2,FALSE)=0,"Spatial Data Missing",VLOOKUP(AN73,'G-3 Multipliers'!$S$3:$T$9,2,FALSE)))</f>
        <v/>
      </c>
      <c r="AP73" s="207" t="str">
        <f t="shared" si="12"/>
        <v/>
      </c>
      <c r="AQ73" s="336"/>
      <c r="AR73" s="181"/>
    </row>
    <row r="74" spans="1:44" x14ac:dyDescent="0.25">
      <c r="A74" s="35" t="str">
        <f>IF(E74="","",IF(ISNA(VLOOKUP($E74,'D-1 Off Site Habitat Baseline'!$D$1:$O$258,2,FALSE)),"",(VLOOKUP($E74,'D-1 Off Site Habitat Baseline'!$D$1:$O$258,2,FALSE))))</f>
        <v/>
      </c>
      <c r="B74" s="35" t="str">
        <f>IF(E74="","",IF(ISNA(VLOOKUP($E74,'D-1 Off Site Habitat Baseline'!$D$1:$O$258,3,FALSE)),"",(VLOOKUP($E74,'D-1 Off Site Habitat Baseline'!$D$1:$O$258,3,FALSE))))</f>
        <v/>
      </c>
      <c r="C74" s="35" t="str">
        <f>IFERROR(INDEX('G-8 Condition Look up'!$I$4:$I$131,MATCH(S74,'G-8 Condition Look up'!$A$4:$A$131,0)),"")</f>
        <v/>
      </c>
      <c r="E74" s="329" t="str">
        <f>'D-1 Off Site Habitat Baseline'!AL73</f>
        <v/>
      </c>
      <c r="F74" s="175" t="str">
        <f>IF(E74="","",IF(ISNA(VLOOKUP($E74,'D-1 Off Site Habitat Baseline'!$D$1:$O$258,4,FALSE)),"",(VLOOKUP($E74,'D-1 Off Site Habitat Baseline'!$D$1:$O$258,4,FALSE))))</f>
        <v/>
      </c>
      <c r="G74" s="175" t="str">
        <f>IF(E74="","",IF(ISNA(VLOOKUP($E74,'D-1 Off Site Habitat Baseline'!$D$1:$O$258,5,FALSE)),"",(VLOOKUP($E74,'D-1 Off Site Habitat Baseline'!$D$1:$O$258,5,FALSE))))</f>
        <v/>
      </c>
      <c r="H74" s="175" t="str">
        <f>IF(E74="","",IF(ISNA(VLOOKUP($E74,'D-1 Off Site Habitat Baseline'!$D$1:$O$258,6,FALSE)),"",(VLOOKUP($E74,'D-1 Off Site Habitat Baseline'!$D$1:$O$258,6,FALSE))))</f>
        <v/>
      </c>
      <c r="I74" s="175" t="str">
        <f>IF(E74="","",IF(ISNA(VLOOKUP($E74,'D-1 Off Site Habitat Baseline'!$D$1:$O$258,7,FALSE)),"",(VLOOKUP($E74,'D-1 Off Site Habitat Baseline'!$D$1:$O$258,7,FALSE))))</f>
        <v/>
      </c>
      <c r="J74" s="175" t="str">
        <f>IF(E74="","",IF(ISNA(VLOOKUP($E74,'D-1 Off Site Habitat Baseline'!$D$1:$O$258,8,FALSE)),"",(VLOOKUP($E74,'D-1 Off Site Habitat Baseline'!$D$1:$O$258,8,FALSE))))</f>
        <v/>
      </c>
      <c r="K74" s="175" t="str">
        <f>IF(E74="","",IF(ISNA(VLOOKUP($E74,'D-1 Off Site Habitat Baseline'!$D$1:$O$258,9,FALSE)),"",(VLOOKUP($E74,'D-1 Off Site Habitat Baseline'!$D$1:$O$258,9,FALSE))))</f>
        <v/>
      </c>
      <c r="L74" s="175" t="str">
        <f>IF(E74="","",IF(ISNA(VLOOKUP($E74,'D-1 Off Site Habitat Baseline'!$D$1:$O$258,11,FALSE)),"",(VLOOKUP($E74,'D-1 Off Site Habitat Baseline'!$D$1:$O$258,11,FALSE))))</f>
        <v/>
      </c>
      <c r="M74" s="175" t="str">
        <f>IF(E74="","",IF(ISNA(VLOOKUP($E74,'D-1 Off Site Habitat Baseline'!$D$1:$O$258,12,FALSE)),"",(VLOOKUP($E74,'D-1 Off Site Habitat Baseline'!$D$1:$O$258,12,FALSE))))</f>
        <v/>
      </c>
      <c r="N74" s="175" t="str">
        <f>IF(E74="","",IF(ISNA(VLOOKUP($E74,'D-1 Off Site Habitat Baseline'!$D$1:$X$258,14,FALSE)),"",(VLOOKUP($E74,'D-1 Off Site Habitat Baseline'!$D$1:$X$258,14,FALSE))))</f>
        <v/>
      </c>
      <c r="O74" s="176" t="str">
        <f>IF(E74="","",IF(ISNA(VLOOKUP($E74,'D-1 Off Site Habitat Baseline'!$D$1:$X$258,13,FALSE)),"",(VLOOKUP($E74,'D-1 Off Site Habitat Baseline'!$D$1:$X$258,13,FALSE))))</f>
        <v/>
      </c>
      <c r="P74" s="337" t="str">
        <f>IFERROR(INDEX('G-1 All Habitats'!$AG$3:$AG$15,MATCH(Q74,'G-1 All Habitats'!$AF$3:$AF$15,0)),"")</f>
        <v/>
      </c>
      <c r="Q74" s="331" t="str">
        <f t="shared" si="13"/>
        <v/>
      </c>
      <c r="R74" s="332" t="str">
        <f t="shared" si="14"/>
        <v/>
      </c>
      <c r="S74" s="338" t="str">
        <f>IFERROR(INDEX('G-1 All Habitats'!$B$3:$B$130,MATCH(R74,'G-1 All Habitats'!$A$3:$A$130,0)),"")</f>
        <v/>
      </c>
      <c r="T74" s="179" t="str">
        <f t="shared" si="6"/>
        <v/>
      </c>
      <c r="U74" s="172" t="str">
        <f t="shared" si="7"/>
        <v/>
      </c>
      <c r="V74" s="334" t="str">
        <f t="shared" si="2"/>
        <v/>
      </c>
      <c r="W74" s="175" t="str">
        <f>IF(S74="","",VLOOKUP(S74,'G-1 All Habitats'!$B$2:$M$130,10,FALSE))</f>
        <v/>
      </c>
      <c r="X74" s="175" t="str">
        <f>IFERROR(VLOOKUP(W74,'G-1 All Habitats'!$V$3:$W$7,2,FALSE),"")</f>
        <v/>
      </c>
      <c r="Y74" s="275"/>
      <c r="Z74" s="176" t="str">
        <f>IFERROR(INDEX('G-8 Condition Look up'!$A$3:$H$131,MATCH(S74,'G-8 Condition Look up'!$A$3:$A$131,0),MATCH(Y74,'G-8 Condition Look up'!$A$3:$H$3,0)),"")</f>
        <v/>
      </c>
      <c r="AA74" s="173"/>
      <c r="AB74" s="269" t="str">
        <f>IF(AA74="","",IF(VLOOKUP(AA74,'G-3 Multipliers'!$L$3:$N$6,2,FALSE)=0,"Spatial Data Missing",VLOOKUP(AA74,'G-3 Multipliers'!$L$3:$N$6,2,FALSE)))</f>
        <v/>
      </c>
      <c r="AC74" s="176" t="str">
        <f>IF(AA74="","",IF(VLOOKUP(AA74,'G-3 Multipliers'!$L$3:$N$6,3,FALSE)=0,"Spatial Data Missing",VLOOKUP(AA74,'G-3 Multipliers'!$L$3:$N$6,3,FALSE)))</f>
        <v/>
      </c>
      <c r="AD74" s="239" t="str">
        <f t="shared" si="3"/>
        <v/>
      </c>
      <c r="AE74" s="275"/>
      <c r="AF74" s="275"/>
      <c r="AG74" s="175" t="str">
        <f t="shared" si="8"/>
        <v/>
      </c>
      <c r="AH74" s="242" t="str">
        <f t="shared" si="9"/>
        <v/>
      </c>
      <c r="AI74" s="335" t="str">
        <f>IF(AH74="Check Data","Check Data",IFERROR(VLOOKUP(AH74,'G-4 Temporal multipliers'!$A$4:$C$36,3,FALSE),""))</f>
        <v/>
      </c>
      <c r="AJ74" s="239" t="str">
        <f>IF(S74="","",VLOOKUP(S74,'G-3 Multipliers'!$A$2:$E$130,4,FALSE))</f>
        <v/>
      </c>
      <c r="AK74" s="175" t="str">
        <f t="shared" si="10"/>
        <v/>
      </c>
      <c r="AL74" s="175" t="str">
        <f t="shared" si="11"/>
        <v/>
      </c>
      <c r="AM74" s="176" t="str">
        <f>IFERROR(IF(F74="","",IF(AH74="Check Data","Check Data",VLOOKUP(AL74, 'G-3 Multipliers'!$P$2:$Q$6,2,FALSE))),””)</f>
        <v/>
      </c>
      <c r="AN74" s="266"/>
      <c r="AO74" s="269" t="str">
        <f>IF(AN74="","",IF(VLOOKUP(AN74,'G-3 Multipliers'!$S$3:$T$9,2,FALSE)=0,"Spatial Data Missing",VLOOKUP(AN74,'G-3 Multipliers'!$S$3:$T$9,2,FALSE)))</f>
        <v/>
      </c>
      <c r="AP74" s="207" t="str">
        <f t="shared" si="12"/>
        <v/>
      </c>
      <c r="AQ74" s="336"/>
      <c r="AR74" s="181"/>
    </row>
    <row r="75" spans="1:44" x14ac:dyDescent="0.25">
      <c r="A75" s="35" t="str">
        <f>IF(E75="","",IF(ISNA(VLOOKUP($E75,'D-1 Off Site Habitat Baseline'!$D$1:$O$258,2,FALSE)),"",(VLOOKUP($E75,'D-1 Off Site Habitat Baseline'!$D$1:$O$258,2,FALSE))))</f>
        <v/>
      </c>
      <c r="B75" s="35" t="str">
        <f>IF(E75="","",IF(ISNA(VLOOKUP($E75,'D-1 Off Site Habitat Baseline'!$D$1:$O$258,3,FALSE)),"",(VLOOKUP($E75,'D-1 Off Site Habitat Baseline'!$D$1:$O$258,3,FALSE))))</f>
        <v/>
      </c>
      <c r="C75" s="35" t="str">
        <f>IFERROR(INDEX('G-8 Condition Look up'!$I$4:$I$131,MATCH(S75,'G-8 Condition Look up'!$A$4:$A$131,0)),"")</f>
        <v/>
      </c>
      <c r="E75" s="329" t="str">
        <f>'D-1 Off Site Habitat Baseline'!AL74</f>
        <v/>
      </c>
      <c r="F75" s="175" t="str">
        <f>IF(E75="","",IF(ISNA(VLOOKUP($E75,'D-1 Off Site Habitat Baseline'!$D$1:$O$258,4,FALSE)),"",(VLOOKUP($E75,'D-1 Off Site Habitat Baseline'!$D$1:$O$258,4,FALSE))))</f>
        <v/>
      </c>
      <c r="G75" s="175" t="str">
        <f>IF(E75="","",IF(ISNA(VLOOKUP($E75,'D-1 Off Site Habitat Baseline'!$D$1:$O$258,5,FALSE)),"",(VLOOKUP($E75,'D-1 Off Site Habitat Baseline'!$D$1:$O$258,5,FALSE))))</f>
        <v/>
      </c>
      <c r="H75" s="175" t="str">
        <f>IF(E75="","",IF(ISNA(VLOOKUP($E75,'D-1 Off Site Habitat Baseline'!$D$1:$O$258,6,FALSE)),"",(VLOOKUP($E75,'D-1 Off Site Habitat Baseline'!$D$1:$O$258,6,FALSE))))</f>
        <v/>
      </c>
      <c r="I75" s="175" t="str">
        <f>IF(E75="","",IF(ISNA(VLOOKUP($E75,'D-1 Off Site Habitat Baseline'!$D$1:$O$258,7,FALSE)),"",(VLOOKUP($E75,'D-1 Off Site Habitat Baseline'!$D$1:$O$258,7,FALSE))))</f>
        <v/>
      </c>
      <c r="J75" s="175" t="str">
        <f>IF(E75="","",IF(ISNA(VLOOKUP($E75,'D-1 Off Site Habitat Baseline'!$D$1:$O$258,8,FALSE)),"",(VLOOKUP($E75,'D-1 Off Site Habitat Baseline'!$D$1:$O$258,8,FALSE))))</f>
        <v/>
      </c>
      <c r="K75" s="175" t="str">
        <f>IF(E75="","",IF(ISNA(VLOOKUP($E75,'D-1 Off Site Habitat Baseline'!$D$1:$O$258,9,FALSE)),"",(VLOOKUP($E75,'D-1 Off Site Habitat Baseline'!$D$1:$O$258,9,FALSE))))</f>
        <v/>
      </c>
      <c r="L75" s="175" t="str">
        <f>IF(E75="","",IF(ISNA(VLOOKUP($E75,'D-1 Off Site Habitat Baseline'!$D$1:$O$258,11,FALSE)),"",(VLOOKUP($E75,'D-1 Off Site Habitat Baseline'!$D$1:$O$258,11,FALSE))))</f>
        <v/>
      </c>
      <c r="M75" s="175" t="str">
        <f>IF(E75="","",IF(ISNA(VLOOKUP($E75,'D-1 Off Site Habitat Baseline'!$D$1:$O$258,12,FALSE)),"",(VLOOKUP($E75,'D-1 Off Site Habitat Baseline'!$D$1:$O$258,12,FALSE))))</f>
        <v/>
      </c>
      <c r="N75" s="175" t="str">
        <f>IF(E75="","",IF(ISNA(VLOOKUP($E75,'D-1 Off Site Habitat Baseline'!$D$1:$X$258,14,FALSE)),"",(VLOOKUP($E75,'D-1 Off Site Habitat Baseline'!$D$1:$X$258,14,FALSE))))</f>
        <v/>
      </c>
      <c r="O75" s="176" t="str">
        <f>IF(E75="","",IF(ISNA(VLOOKUP($E75,'D-1 Off Site Habitat Baseline'!$D$1:$X$258,13,FALSE)),"",(VLOOKUP($E75,'D-1 Off Site Habitat Baseline'!$D$1:$X$258,13,FALSE))))</f>
        <v/>
      </c>
      <c r="P75" s="337" t="str">
        <f>IFERROR(INDEX('G-1 All Habitats'!$AG$3:$AG$15,MATCH(Q75,'G-1 All Habitats'!$AF$3:$AF$15,0)),"")</f>
        <v/>
      </c>
      <c r="Q75" s="331" t="str">
        <f t="shared" si="13"/>
        <v/>
      </c>
      <c r="R75" s="332" t="str">
        <f t="shared" si="14"/>
        <v/>
      </c>
      <c r="S75" s="338" t="str">
        <f>IFERROR(INDEX('G-1 All Habitats'!$B$3:$B$130,MATCH(R75,'G-1 All Habitats'!$A$3:$A$130,0)),"")</f>
        <v/>
      </c>
      <c r="T75" s="179" t="str">
        <f t="shared" si="6"/>
        <v/>
      </c>
      <c r="U75" s="172" t="str">
        <f t="shared" si="7"/>
        <v/>
      </c>
      <c r="V75" s="334" t="str">
        <f t="shared" si="2"/>
        <v/>
      </c>
      <c r="W75" s="175" t="str">
        <f>IF(S75="","",VLOOKUP(S75,'G-1 All Habitats'!$B$2:$M$130,10,FALSE))</f>
        <v/>
      </c>
      <c r="X75" s="175" t="str">
        <f>IFERROR(VLOOKUP(W75,'G-1 All Habitats'!$V$3:$W$7,2,FALSE),"")</f>
        <v/>
      </c>
      <c r="Y75" s="275"/>
      <c r="Z75" s="176" t="str">
        <f>IFERROR(INDEX('G-8 Condition Look up'!$A$3:$H$131,MATCH(S75,'G-8 Condition Look up'!$A$3:$A$131,0),MATCH(Y75,'G-8 Condition Look up'!$A$3:$H$3,0)),"")</f>
        <v/>
      </c>
      <c r="AA75" s="173"/>
      <c r="AB75" s="269" t="str">
        <f>IF(AA75="","",IF(VLOOKUP(AA75,'G-3 Multipliers'!$L$3:$N$6,2,FALSE)=0,"Spatial Data Missing",VLOOKUP(AA75,'G-3 Multipliers'!$L$3:$N$6,2,FALSE)))</f>
        <v/>
      </c>
      <c r="AC75" s="176" t="str">
        <f>IF(AA75="","",IF(VLOOKUP(AA75,'G-3 Multipliers'!$L$3:$N$6,3,FALSE)=0,"Spatial Data Missing",VLOOKUP(AA75,'G-3 Multipliers'!$L$3:$N$6,3,FALSE)))</f>
        <v/>
      </c>
      <c r="AD75" s="239" t="str">
        <f t="shared" si="3"/>
        <v/>
      </c>
      <c r="AE75" s="275"/>
      <c r="AF75" s="275"/>
      <c r="AG75" s="175" t="str">
        <f t="shared" si="8"/>
        <v/>
      </c>
      <c r="AH75" s="242" t="str">
        <f t="shared" si="9"/>
        <v/>
      </c>
      <c r="AI75" s="335" t="str">
        <f>IF(AH75="Check Data","Check Data",IFERROR(VLOOKUP(AH75,'G-4 Temporal multipliers'!$A$4:$C$36,3,FALSE),""))</f>
        <v/>
      </c>
      <c r="AJ75" s="239" t="str">
        <f>IF(S75="","",VLOOKUP(S75,'G-3 Multipliers'!$A$2:$E$130,4,FALSE))</f>
        <v/>
      </c>
      <c r="AK75" s="175" t="str">
        <f t="shared" si="10"/>
        <v/>
      </c>
      <c r="AL75" s="175" t="str">
        <f t="shared" si="11"/>
        <v/>
      </c>
      <c r="AM75" s="176" t="str">
        <f>IFERROR(IF(F75="","",IF(AH75="Check Data","Check Data",VLOOKUP(AL75, 'G-3 Multipliers'!$P$2:$Q$6,2,FALSE))),””)</f>
        <v/>
      </c>
      <c r="AN75" s="266"/>
      <c r="AO75" s="269" t="str">
        <f>IF(AN75="","",IF(VLOOKUP(AN75,'G-3 Multipliers'!$S$3:$T$9,2,FALSE)=0,"Spatial Data Missing",VLOOKUP(AN75,'G-3 Multipliers'!$S$3:$T$9,2,FALSE)))</f>
        <v/>
      </c>
      <c r="AP75" s="207" t="str">
        <f t="shared" si="12"/>
        <v/>
      </c>
      <c r="AQ75" s="336"/>
      <c r="AR75" s="181"/>
    </row>
    <row r="76" spans="1:44" x14ac:dyDescent="0.25">
      <c r="A76" s="35" t="str">
        <f>IF(E76="","",IF(ISNA(VLOOKUP($E76,'D-1 Off Site Habitat Baseline'!$D$1:$O$258,2,FALSE)),"",(VLOOKUP($E76,'D-1 Off Site Habitat Baseline'!$D$1:$O$258,2,FALSE))))</f>
        <v/>
      </c>
      <c r="B76" s="35" t="str">
        <f>IF(E76="","",IF(ISNA(VLOOKUP($E76,'D-1 Off Site Habitat Baseline'!$D$1:$O$258,3,FALSE)),"",(VLOOKUP($E76,'D-1 Off Site Habitat Baseline'!$D$1:$O$258,3,FALSE))))</f>
        <v/>
      </c>
      <c r="C76" s="35" t="str">
        <f>IFERROR(INDEX('G-8 Condition Look up'!$I$4:$I$131,MATCH(S76,'G-8 Condition Look up'!$A$4:$A$131,0)),"")</f>
        <v/>
      </c>
      <c r="E76" s="329" t="str">
        <f>'D-1 Off Site Habitat Baseline'!AL75</f>
        <v/>
      </c>
      <c r="F76" s="175" t="str">
        <f>IF(E76="","",IF(ISNA(VLOOKUP($E76,'D-1 Off Site Habitat Baseline'!$D$1:$O$258,4,FALSE)),"",(VLOOKUP($E76,'D-1 Off Site Habitat Baseline'!$D$1:$O$258,4,FALSE))))</f>
        <v/>
      </c>
      <c r="G76" s="175" t="str">
        <f>IF(E76="","",IF(ISNA(VLOOKUP($E76,'D-1 Off Site Habitat Baseline'!$D$1:$O$258,5,FALSE)),"",(VLOOKUP($E76,'D-1 Off Site Habitat Baseline'!$D$1:$O$258,5,FALSE))))</f>
        <v/>
      </c>
      <c r="H76" s="175" t="str">
        <f>IF(E76="","",IF(ISNA(VLOOKUP($E76,'D-1 Off Site Habitat Baseline'!$D$1:$O$258,6,FALSE)),"",(VLOOKUP($E76,'D-1 Off Site Habitat Baseline'!$D$1:$O$258,6,FALSE))))</f>
        <v/>
      </c>
      <c r="I76" s="175" t="str">
        <f>IF(E76="","",IF(ISNA(VLOOKUP($E76,'D-1 Off Site Habitat Baseline'!$D$1:$O$258,7,FALSE)),"",(VLOOKUP($E76,'D-1 Off Site Habitat Baseline'!$D$1:$O$258,7,FALSE))))</f>
        <v/>
      </c>
      <c r="J76" s="175" t="str">
        <f>IF(E76="","",IF(ISNA(VLOOKUP($E76,'D-1 Off Site Habitat Baseline'!$D$1:$O$258,8,FALSE)),"",(VLOOKUP($E76,'D-1 Off Site Habitat Baseline'!$D$1:$O$258,8,FALSE))))</f>
        <v/>
      </c>
      <c r="K76" s="175" t="str">
        <f>IF(E76="","",IF(ISNA(VLOOKUP($E76,'D-1 Off Site Habitat Baseline'!$D$1:$O$258,9,FALSE)),"",(VLOOKUP($E76,'D-1 Off Site Habitat Baseline'!$D$1:$O$258,9,FALSE))))</f>
        <v/>
      </c>
      <c r="L76" s="175" t="str">
        <f>IF(E76="","",IF(ISNA(VLOOKUP($E76,'D-1 Off Site Habitat Baseline'!$D$1:$O$258,11,FALSE)),"",(VLOOKUP($E76,'D-1 Off Site Habitat Baseline'!$D$1:$O$258,11,FALSE))))</f>
        <v/>
      </c>
      <c r="M76" s="175" t="str">
        <f>IF(E76="","",IF(ISNA(VLOOKUP($E76,'D-1 Off Site Habitat Baseline'!$D$1:$O$258,12,FALSE)),"",(VLOOKUP($E76,'D-1 Off Site Habitat Baseline'!$D$1:$O$258,12,FALSE))))</f>
        <v/>
      </c>
      <c r="N76" s="175" t="str">
        <f>IF(E76="","",IF(ISNA(VLOOKUP($E76,'D-1 Off Site Habitat Baseline'!$D$1:$X$258,14,FALSE)),"",(VLOOKUP($E76,'D-1 Off Site Habitat Baseline'!$D$1:$X$258,14,FALSE))))</f>
        <v/>
      </c>
      <c r="O76" s="176" t="str">
        <f>IF(E76="","",IF(ISNA(VLOOKUP($E76,'D-1 Off Site Habitat Baseline'!$D$1:$X$258,13,FALSE)),"",(VLOOKUP($E76,'D-1 Off Site Habitat Baseline'!$D$1:$X$258,13,FALSE))))</f>
        <v/>
      </c>
      <c r="P76" s="337" t="str">
        <f>IFERROR(INDEX('G-1 All Habitats'!$AG$3:$AG$15,MATCH(Q76,'G-1 All Habitats'!$AF$3:$AF$15,0)),"")</f>
        <v/>
      </c>
      <c r="Q76" s="331" t="str">
        <f t="shared" si="13"/>
        <v/>
      </c>
      <c r="R76" s="332" t="str">
        <f t="shared" si="14"/>
        <v/>
      </c>
      <c r="S76" s="338" t="str">
        <f>IFERROR(INDEX('G-1 All Habitats'!$B$3:$B$130,MATCH(R76,'G-1 All Habitats'!$A$3:$A$130,0)),"")</f>
        <v/>
      </c>
      <c r="T76" s="179" t="str">
        <f t="shared" si="6"/>
        <v/>
      </c>
      <c r="U76" s="172" t="str">
        <f t="shared" si="7"/>
        <v/>
      </c>
      <c r="V76" s="334" t="str">
        <f t="shared" ref="V76:V139" si="15">IF(S76="","",VLOOKUP(E76,BaselineHabOffsite,17,FALSE))</f>
        <v/>
      </c>
      <c r="W76" s="175" t="str">
        <f>IF(S76="","",VLOOKUP(S76,'G-1 All Habitats'!$B$2:$M$130,10,FALSE))</f>
        <v/>
      </c>
      <c r="X76" s="175" t="str">
        <f>IFERROR(VLOOKUP(W76,'G-1 All Habitats'!$V$3:$W$7,2,FALSE),"")</f>
        <v/>
      </c>
      <c r="Y76" s="275"/>
      <c r="Z76" s="176" t="str">
        <f>IFERROR(INDEX('G-8 Condition Look up'!$A$3:$H$131,MATCH(S76,'G-8 Condition Look up'!$A$3:$A$131,0),MATCH(Y76,'G-8 Condition Look up'!$A$3:$H$3,0)),"")</f>
        <v/>
      </c>
      <c r="AA76" s="173"/>
      <c r="AB76" s="269" t="str">
        <f>IF(AA76="","",IF(VLOOKUP(AA76,'G-3 Multipliers'!$L$3:$N$6,2,FALSE)=0,"Spatial Data Missing",VLOOKUP(AA76,'G-3 Multipliers'!$L$3:$N$6,2,FALSE)))</f>
        <v/>
      </c>
      <c r="AC76" s="176" t="str">
        <f>IF(AA76="","",IF(VLOOKUP(AA76,'G-3 Multipliers'!$L$3:$N$6,3,FALSE)=0,"Spatial Data Missing",VLOOKUP(AA76,'G-3 Multipliers'!$L$3:$N$6,3,FALSE)))</f>
        <v/>
      </c>
      <c r="AD76" s="239" t="str">
        <f t="shared" ref="AD76:AD139" si="16">IFERROR(IF(OR(LEFT(U76,5)="Error",LEFT(T76,5)="Error"),"Check Data",INDEX(EnhanceTemporal,MATCH(S76,EnhanceHabitat,0),MATCH(U76,EnhanceCondition,0))),"")</f>
        <v/>
      </c>
      <c r="AE76" s="275"/>
      <c r="AF76" s="275"/>
      <c r="AG76" s="175" t="str">
        <f t="shared" si="8"/>
        <v/>
      </c>
      <c r="AH76" s="242" t="str">
        <f t="shared" si="9"/>
        <v/>
      </c>
      <c r="AI76" s="335" t="str">
        <f>IF(AH76="Check Data","Check Data",IFERROR(VLOOKUP(AH76,'G-4 Temporal multipliers'!$A$4:$C$36,3,FALSE),""))</f>
        <v/>
      </c>
      <c r="AJ76" s="239" t="str">
        <f>IF(S76="","",VLOOKUP(S76,'G-3 Multipliers'!$A$2:$E$130,4,FALSE))</f>
        <v/>
      </c>
      <c r="AK76" s="175" t="str">
        <f t="shared" si="10"/>
        <v/>
      </c>
      <c r="AL76" s="175" t="str">
        <f t="shared" si="11"/>
        <v/>
      </c>
      <c r="AM76" s="176" t="str">
        <f>IFERROR(IF(F76="","",IF(AH76="Check Data","Check Data",VLOOKUP(AL76, 'G-3 Multipliers'!$P$2:$Q$6,2,FALSE))),””)</f>
        <v/>
      </c>
      <c r="AN76" s="266"/>
      <c r="AO76" s="269" t="str">
        <f>IF(AN76="","",IF(VLOOKUP(AN76,'G-3 Multipliers'!$S$3:$T$9,2,FALSE)=0,"Spatial Data Missing",VLOOKUP(AN76,'G-3 Multipliers'!$S$3:$T$9,2,FALSE)))</f>
        <v/>
      </c>
      <c r="AP76" s="207" t="str">
        <f t="shared" si="12"/>
        <v/>
      </c>
      <c r="AQ76" s="336"/>
      <c r="AR76" s="181"/>
    </row>
    <row r="77" spans="1:44" x14ac:dyDescent="0.25">
      <c r="A77" s="35" t="str">
        <f>IF(E77="","",IF(ISNA(VLOOKUP($E77,'D-1 Off Site Habitat Baseline'!$D$1:$O$258,2,FALSE)),"",(VLOOKUP($E77,'D-1 Off Site Habitat Baseline'!$D$1:$O$258,2,FALSE))))</f>
        <v/>
      </c>
      <c r="B77" s="35" t="str">
        <f>IF(E77="","",IF(ISNA(VLOOKUP($E77,'D-1 Off Site Habitat Baseline'!$D$1:$O$258,3,FALSE)),"",(VLOOKUP($E77,'D-1 Off Site Habitat Baseline'!$D$1:$O$258,3,FALSE))))</f>
        <v/>
      </c>
      <c r="C77" s="35" t="str">
        <f>IFERROR(INDEX('G-8 Condition Look up'!$I$4:$I$131,MATCH(S77,'G-8 Condition Look up'!$A$4:$A$131,0)),"")</f>
        <v/>
      </c>
      <c r="E77" s="329" t="str">
        <f>'D-1 Off Site Habitat Baseline'!AL76</f>
        <v/>
      </c>
      <c r="F77" s="175" t="str">
        <f>IF(E77="","",IF(ISNA(VLOOKUP($E77,'D-1 Off Site Habitat Baseline'!$D$1:$O$258,4,FALSE)),"",(VLOOKUP($E77,'D-1 Off Site Habitat Baseline'!$D$1:$O$258,4,FALSE))))</f>
        <v/>
      </c>
      <c r="G77" s="175" t="str">
        <f>IF(E77="","",IF(ISNA(VLOOKUP($E77,'D-1 Off Site Habitat Baseline'!$D$1:$O$258,5,FALSE)),"",(VLOOKUP($E77,'D-1 Off Site Habitat Baseline'!$D$1:$O$258,5,FALSE))))</f>
        <v/>
      </c>
      <c r="H77" s="175" t="str">
        <f>IF(E77="","",IF(ISNA(VLOOKUP($E77,'D-1 Off Site Habitat Baseline'!$D$1:$O$258,6,FALSE)),"",(VLOOKUP($E77,'D-1 Off Site Habitat Baseline'!$D$1:$O$258,6,FALSE))))</f>
        <v/>
      </c>
      <c r="I77" s="175" t="str">
        <f>IF(E77="","",IF(ISNA(VLOOKUP($E77,'D-1 Off Site Habitat Baseline'!$D$1:$O$258,7,FALSE)),"",(VLOOKUP($E77,'D-1 Off Site Habitat Baseline'!$D$1:$O$258,7,FALSE))))</f>
        <v/>
      </c>
      <c r="J77" s="175" t="str">
        <f>IF(E77="","",IF(ISNA(VLOOKUP($E77,'D-1 Off Site Habitat Baseline'!$D$1:$O$258,8,FALSE)),"",(VLOOKUP($E77,'D-1 Off Site Habitat Baseline'!$D$1:$O$258,8,FALSE))))</f>
        <v/>
      </c>
      <c r="K77" s="175" t="str">
        <f>IF(E77="","",IF(ISNA(VLOOKUP($E77,'D-1 Off Site Habitat Baseline'!$D$1:$O$258,9,FALSE)),"",(VLOOKUP($E77,'D-1 Off Site Habitat Baseline'!$D$1:$O$258,9,FALSE))))</f>
        <v/>
      </c>
      <c r="L77" s="175" t="str">
        <f>IF(E77="","",IF(ISNA(VLOOKUP($E77,'D-1 Off Site Habitat Baseline'!$D$1:$O$258,11,FALSE)),"",(VLOOKUP($E77,'D-1 Off Site Habitat Baseline'!$D$1:$O$258,11,FALSE))))</f>
        <v/>
      </c>
      <c r="M77" s="175" t="str">
        <f>IF(E77="","",IF(ISNA(VLOOKUP($E77,'D-1 Off Site Habitat Baseline'!$D$1:$O$258,12,FALSE)),"",(VLOOKUP($E77,'D-1 Off Site Habitat Baseline'!$D$1:$O$258,12,FALSE))))</f>
        <v/>
      </c>
      <c r="N77" s="175" t="str">
        <f>IF(E77="","",IF(ISNA(VLOOKUP($E77,'D-1 Off Site Habitat Baseline'!$D$1:$X$258,14,FALSE)),"",(VLOOKUP($E77,'D-1 Off Site Habitat Baseline'!$D$1:$X$258,14,FALSE))))</f>
        <v/>
      </c>
      <c r="O77" s="176" t="str">
        <f>IF(E77="","",IF(ISNA(VLOOKUP($E77,'D-1 Off Site Habitat Baseline'!$D$1:$X$258,13,FALSE)),"",(VLOOKUP($E77,'D-1 Off Site Habitat Baseline'!$D$1:$X$258,13,FALSE))))</f>
        <v/>
      </c>
      <c r="P77" s="337" t="str">
        <f>IFERROR(INDEX('G-1 All Habitats'!$AG$3:$AG$15,MATCH(Q77,'G-1 All Habitats'!$AF$3:$AF$15,0)),"")</f>
        <v/>
      </c>
      <c r="Q77" s="331" t="str">
        <f t="shared" si="13"/>
        <v/>
      </c>
      <c r="R77" s="332" t="str">
        <f t="shared" si="14"/>
        <v/>
      </c>
      <c r="S77" s="338" t="str">
        <f>IFERROR(INDEX('G-1 All Habitats'!$B$3:$B$130,MATCH(R77,'G-1 All Habitats'!$A$3:$A$130,0)),"")</f>
        <v/>
      </c>
      <c r="T77" s="179" t="str">
        <f t="shared" ref="T77:T140" si="17">IF(E77="","",IF(AND(LEFT(O77,6)="Same d",I77&gt;X77),"Error - Trading rules not satisfied",IF(AND(LEFT(O77,6)="Same b",AND(LEFT(F77,5)&lt;&gt;LEFT(S77,5),I77&gt;X77)),"Error - Trading rules not satisfied",IF(AND(LEFT(O77,6)="Same h",F77&lt;&gt;S77),"Error - Trading rules not satisfied",IF(AND(LEFT(O77,6)="Bespok",F77&lt;&gt;S77),"Error - Trading rules not satisfied",IF(X77&lt;I77,"Error Trading Down",H77&amp;" - "&amp;W77))))))</f>
        <v/>
      </c>
      <c r="U77" s="172" t="str">
        <f t="shared" ref="U77:U140" si="18">IF(F77="","",IF(AND(LEFT(F77,55)&lt;&gt;LEFT(S77,55),T77= "High - High"),"Error - Not like for like",IF(AND(I77=X77,K77&gt;Z77),"Error - Can not reduce condition",IF(AND(I77=X77,K77=Z77),"Error - No enhancement",IF(X77&lt;I77,"Error Trading Down",IF(AND(F77&lt;&gt;S77,I77&lt;X77),"Lower Distinctiveness Habitat"&amp;" - "&amp;Y77,J77&amp;" - "&amp;Y77))))))</f>
        <v/>
      </c>
      <c r="V77" s="334" t="str">
        <f t="shared" si="15"/>
        <v/>
      </c>
      <c r="W77" s="175" t="str">
        <f>IF(S77="","",VLOOKUP(S77,'G-1 All Habitats'!$B$2:$M$130,10,FALSE))</f>
        <v/>
      </c>
      <c r="X77" s="175" t="str">
        <f>IFERROR(VLOOKUP(W77,'G-1 All Habitats'!$V$3:$W$7,2,FALSE),"")</f>
        <v/>
      </c>
      <c r="Y77" s="275"/>
      <c r="Z77" s="176" t="str">
        <f>IFERROR(INDEX('G-8 Condition Look up'!$A$3:$H$131,MATCH(S77,'G-8 Condition Look up'!$A$3:$A$131,0),MATCH(Y77,'G-8 Condition Look up'!$A$3:$H$3,0)),"")</f>
        <v/>
      </c>
      <c r="AA77" s="173"/>
      <c r="AB77" s="269" t="str">
        <f>IF(AA77="","",IF(VLOOKUP(AA77,'G-3 Multipliers'!$L$3:$N$6,2,FALSE)=0,"Spatial Data Missing",VLOOKUP(AA77,'G-3 Multipliers'!$L$3:$N$6,2,FALSE)))</f>
        <v/>
      </c>
      <c r="AC77" s="176" t="str">
        <f>IF(AA77="","",IF(VLOOKUP(AA77,'G-3 Multipliers'!$L$3:$N$6,3,FALSE)=0,"Spatial Data Missing",VLOOKUP(AA77,'G-3 Multipliers'!$L$3:$N$6,3,FALSE)))</f>
        <v/>
      </c>
      <c r="AD77" s="239" t="str">
        <f t="shared" si="16"/>
        <v/>
      </c>
      <c r="AE77" s="275"/>
      <c r="AF77" s="275"/>
      <c r="AG77" s="175" t="str">
        <f t="shared" ref="AG77:AG140" si="19">IF(AD77="","",IF(AD77="Check Data","Check Data",IF(R77="","",IF(AND(AE77&gt;0,AF77&gt;0),"Error -both advance and delayed habitat creation",IF(AND(OR(AE77="Habitat already in target condition",AD77&lt;=AE77),AF77=0),"Check details - Is there evidence that habitat has reached target condition?",IF(O76="","",IF(AE77&gt;0,"Check details - Is there evidence habitat creation started/in place?",IF(AF77&gt;0,"Check details- Delay in starting habitat in required condition?","Standard time to target condition applied"))))))))</f>
        <v/>
      </c>
      <c r="AH77" s="242" t="str">
        <f t="shared" ref="AH77:AH140" si="20">IF(LEFT(AG77,5)="Error","Check Data",IF(AG77="Check Data","Check Data",IF(AD77="","",IF(AD77="Not Possible","CheckData",IF(AND(AD77="30+",AE77=0),"30+",IF(AND(AD77="30+",AE77="30+"),0,IF(AND(AD77="30+",AE77&lt;30),30-AE77,IF(AD77="30+",30-AE77,IF(AF77="30+","30+",IF(AE77&gt;AD77,0,IF(AD77+AF77&gt;30,"30+",IF(AD77+AF77&gt;30,"30+",IF(AD77-AE77&gt;30,"30+",IF(AD77+AF77-AE77&gt;0,AD77+AF77-AE77,IF(AD77-AE77&gt;0,AD77-AE77,AD77+AF77-AE77)))))))))))))))</f>
        <v/>
      </c>
      <c r="AI77" s="335" t="str">
        <f>IF(AH77="Check Data","Check Data",IFERROR(VLOOKUP(AH77,'G-4 Temporal multipliers'!$A$4:$C$36,3,FALSE),""))</f>
        <v/>
      </c>
      <c r="AJ77" s="239" t="str">
        <f>IF(S77="","",VLOOKUP(S77,'G-3 Multipliers'!$A$2:$E$130,4,FALSE))</f>
        <v/>
      </c>
      <c r="AK77" s="175" t="str">
        <f t="shared" ref="AK77:AK140" si="21">IF(E77="","",IF(AG77="Check details - Is there evidence that habitat has reached target condition?","Low Difficulty - only applicable if all habitat created before losses","Standard difficulty applied"))</f>
        <v/>
      </c>
      <c r="AL77" s="175" t="str">
        <f t="shared" ref="AL77:AL140" si="22">(IF(AND(AK77="Standard difficulty applied",AD77&gt;AE77),AJ77,IF(AND(AK77="Low Difficulty - only applicable if all habitat created before losses",AE77&gt;=AD77),"Low", AJ77)))</f>
        <v/>
      </c>
      <c r="AM77" s="176" t="str">
        <f>IFERROR(IF(F77="","",IF(AH77="Check Data","Check Data",VLOOKUP(AL77, 'G-3 Multipliers'!$P$2:$Q$6,2,FALSE))),””)</f>
        <v/>
      </c>
      <c r="AN77" s="266"/>
      <c r="AO77" s="269" t="str">
        <f>IF(AN77="","",IF(VLOOKUP(AN77,'G-3 Multipliers'!$S$3:$T$9,2,FALSE)=0,"Spatial Data Missing",VLOOKUP(AN77,'G-3 Multipliers'!$S$3:$T$9,2,FALSE)))</f>
        <v/>
      </c>
      <c r="AP77" s="207" t="str">
        <f t="shared" ref="AP77:AP140" si="23">IFERROR(((((V77*X77*Z77)-(V77*I77*K77))*(AM77*AI77))+(V77*I77*K77))*(AC77)*AO77,"")</f>
        <v/>
      </c>
      <c r="AQ77" s="336"/>
      <c r="AR77" s="181"/>
    </row>
    <row r="78" spans="1:44" x14ac:dyDescent="0.25">
      <c r="A78" s="35" t="str">
        <f>IF(E78="","",IF(ISNA(VLOOKUP($E78,'D-1 Off Site Habitat Baseline'!$D$1:$O$258,2,FALSE)),"",(VLOOKUP($E78,'D-1 Off Site Habitat Baseline'!$D$1:$O$258,2,FALSE))))</f>
        <v/>
      </c>
      <c r="B78" s="35" t="str">
        <f>IF(E78="","",IF(ISNA(VLOOKUP($E78,'D-1 Off Site Habitat Baseline'!$D$1:$O$258,3,FALSE)),"",(VLOOKUP($E78,'D-1 Off Site Habitat Baseline'!$D$1:$O$258,3,FALSE))))</f>
        <v/>
      </c>
      <c r="C78" s="35" t="str">
        <f>IFERROR(INDEX('G-8 Condition Look up'!$I$4:$I$131,MATCH(S78,'G-8 Condition Look up'!$A$4:$A$131,0)),"")</f>
        <v/>
      </c>
      <c r="E78" s="329" t="str">
        <f>'D-1 Off Site Habitat Baseline'!AL77</f>
        <v/>
      </c>
      <c r="F78" s="175" t="str">
        <f>IF(E78="","",IF(ISNA(VLOOKUP($E78,'D-1 Off Site Habitat Baseline'!$D$1:$O$258,4,FALSE)),"",(VLOOKUP($E78,'D-1 Off Site Habitat Baseline'!$D$1:$O$258,4,FALSE))))</f>
        <v/>
      </c>
      <c r="G78" s="175" t="str">
        <f>IF(E78="","",IF(ISNA(VLOOKUP($E78,'D-1 Off Site Habitat Baseline'!$D$1:$O$258,5,FALSE)),"",(VLOOKUP($E78,'D-1 Off Site Habitat Baseline'!$D$1:$O$258,5,FALSE))))</f>
        <v/>
      </c>
      <c r="H78" s="175" t="str">
        <f>IF(E78="","",IF(ISNA(VLOOKUP($E78,'D-1 Off Site Habitat Baseline'!$D$1:$O$258,6,FALSE)),"",(VLOOKUP($E78,'D-1 Off Site Habitat Baseline'!$D$1:$O$258,6,FALSE))))</f>
        <v/>
      </c>
      <c r="I78" s="175" t="str">
        <f>IF(E78="","",IF(ISNA(VLOOKUP($E78,'D-1 Off Site Habitat Baseline'!$D$1:$O$258,7,FALSE)),"",(VLOOKUP($E78,'D-1 Off Site Habitat Baseline'!$D$1:$O$258,7,FALSE))))</f>
        <v/>
      </c>
      <c r="J78" s="175" t="str">
        <f>IF(E78="","",IF(ISNA(VLOOKUP($E78,'D-1 Off Site Habitat Baseline'!$D$1:$O$258,8,FALSE)),"",(VLOOKUP($E78,'D-1 Off Site Habitat Baseline'!$D$1:$O$258,8,FALSE))))</f>
        <v/>
      </c>
      <c r="K78" s="175" t="str">
        <f>IF(E78="","",IF(ISNA(VLOOKUP($E78,'D-1 Off Site Habitat Baseline'!$D$1:$O$258,9,FALSE)),"",(VLOOKUP($E78,'D-1 Off Site Habitat Baseline'!$D$1:$O$258,9,FALSE))))</f>
        <v/>
      </c>
      <c r="L78" s="175" t="str">
        <f>IF(E78="","",IF(ISNA(VLOOKUP($E78,'D-1 Off Site Habitat Baseline'!$D$1:$O$258,11,FALSE)),"",(VLOOKUP($E78,'D-1 Off Site Habitat Baseline'!$D$1:$O$258,11,FALSE))))</f>
        <v/>
      </c>
      <c r="M78" s="175" t="str">
        <f>IF(E78="","",IF(ISNA(VLOOKUP($E78,'D-1 Off Site Habitat Baseline'!$D$1:$O$258,12,FALSE)),"",(VLOOKUP($E78,'D-1 Off Site Habitat Baseline'!$D$1:$O$258,12,FALSE))))</f>
        <v/>
      </c>
      <c r="N78" s="175" t="str">
        <f>IF(E78="","",IF(ISNA(VLOOKUP($E78,'D-1 Off Site Habitat Baseline'!$D$1:$X$258,14,FALSE)),"",(VLOOKUP($E78,'D-1 Off Site Habitat Baseline'!$D$1:$X$258,14,FALSE))))</f>
        <v/>
      </c>
      <c r="O78" s="176" t="str">
        <f>IF(E78="","",IF(ISNA(VLOOKUP($E78,'D-1 Off Site Habitat Baseline'!$D$1:$X$258,13,FALSE)),"",(VLOOKUP($E78,'D-1 Off Site Habitat Baseline'!$D$1:$X$258,13,FALSE))))</f>
        <v/>
      </c>
      <c r="P78" s="337" t="str">
        <f>IFERROR(INDEX('G-1 All Habitats'!$AG$3:$AG$15,MATCH(Q78,'G-1 All Habitats'!$AF$3:$AF$15,0)),"")</f>
        <v/>
      </c>
      <c r="Q78" s="331" t="str">
        <f t="shared" si="13"/>
        <v/>
      </c>
      <c r="R78" s="332" t="str">
        <f t="shared" si="14"/>
        <v/>
      </c>
      <c r="S78" s="338" t="str">
        <f>IFERROR(INDEX('G-1 All Habitats'!$B$3:$B$130,MATCH(R78,'G-1 All Habitats'!$A$3:$A$130,0)),"")</f>
        <v/>
      </c>
      <c r="T78" s="179" t="str">
        <f t="shared" si="17"/>
        <v/>
      </c>
      <c r="U78" s="172" t="str">
        <f t="shared" si="18"/>
        <v/>
      </c>
      <c r="V78" s="334" t="str">
        <f t="shared" si="15"/>
        <v/>
      </c>
      <c r="W78" s="175" t="str">
        <f>IF(S78="","",VLOOKUP(S78,'G-1 All Habitats'!$B$2:$M$130,10,FALSE))</f>
        <v/>
      </c>
      <c r="X78" s="175" t="str">
        <f>IFERROR(VLOOKUP(W78,'G-1 All Habitats'!$V$3:$W$7,2,FALSE),"")</f>
        <v/>
      </c>
      <c r="Y78" s="275"/>
      <c r="Z78" s="176" t="str">
        <f>IFERROR(INDEX('G-8 Condition Look up'!$A$3:$H$131,MATCH(S78,'G-8 Condition Look up'!$A$3:$A$131,0),MATCH(Y78,'G-8 Condition Look up'!$A$3:$H$3,0)),"")</f>
        <v/>
      </c>
      <c r="AA78" s="173"/>
      <c r="AB78" s="269" t="str">
        <f>IF(AA78="","",IF(VLOOKUP(AA78,'G-3 Multipliers'!$L$3:$N$6,2,FALSE)=0,"Spatial Data Missing",VLOOKUP(AA78,'G-3 Multipliers'!$L$3:$N$6,2,FALSE)))</f>
        <v/>
      </c>
      <c r="AC78" s="176" t="str">
        <f>IF(AA78="","",IF(VLOOKUP(AA78,'G-3 Multipliers'!$L$3:$N$6,3,FALSE)=0,"Spatial Data Missing",VLOOKUP(AA78,'G-3 Multipliers'!$L$3:$N$6,3,FALSE)))</f>
        <v/>
      </c>
      <c r="AD78" s="239" t="str">
        <f t="shared" si="16"/>
        <v/>
      </c>
      <c r="AE78" s="275"/>
      <c r="AF78" s="275"/>
      <c r="AG78" s="175" t="str">
        <f t="shared" si="19"/>
        <v/>
      </c>
      <c r="AH78" s="242" t="str">
        <f t="shared" si="20"/>
        <v/>
      </c>
      <c r="AI78" s="335" t="str">
        <f>IF(AH78="Check Data","Check Data",IFERROR(VLOOKUP(AH78,'G-4 Temporal multipliers'!$A$4:$C$36,3,FALSE),""))</f>
        <v/>
      </c>
      <c r="AJ78" s="239" t="str">
        <f>IF(S78="","",VLOOKUP(S78,'G-3 Multipliers'!$A$2:$E$130,4,FALSE))</f>
        <v/>
      </c>
      <c r="AK78" s="175" t="str">
        <f t="shared" si="21"/>
        <v/>
      </c>
      <c r="AL78" s="175" t="str">
        <f t="shared" si="22"/>
        <v/>
      </c>
      <c r="AM78" s="176" t="str">
        <f>IFERROR(IF(F78="","",IF(AH78="Check Data","Check Data",VLOOKUP(AL78, 'G-3 Multipliers'!$P$2:$Q$6,2,FALSE))),””)</f>
        <v/>
      </c>
      <c r="AN78" s="266"/>
      <c r="AO78" s="269" t="str">
        <f>IF(AN78="","",IF(VLOOKUP(AN78,'G-3 Multipliers'!$S$3:$T$9,2,FALSE)=0,"Spatial Data Missing",VLOOKUP(AN78,'G-3 Multipliers'!$S$3:$T$9,2,FALSE)))</f>
        <v/>
      </c>
      <c r="AP78" s="207" t="str">
        <f t="shared" si="23"/>
        <v/>
      </c>
      <c r="AQ78" s="336"/>
      <c r="AR78" s="181"/>
    </row>
    <row r="79" spans="1:44" x14ac:dyDescent="0.25">
      <c r="A79" s="35" t="str">
        <f>IF(E79="","",IF(ISNA(VLOOKUP($E79,'D-1 Off Site Habitat Baseline'!$D$1:$O$258,2,FALSE)),"",(VLOOKUP($E79,'D-1 Off Site Habitat Baseline'!$D$1:$O$258,2,FALSE))))</f>
        <v/>
      </c>
      <c r="B79" s="35" t="str">
        <f>IF(E79="","",IF(ISNA(VLOOKUP($E79,'D-1 Off Site Habitat Baseline'!$D$1:$O$258,3,FALSE)),"",(VLOOKUP($E79,'D-1 Off Site Habitat Baseline'!$D$1:$O$258,3,FALSE))))</f>
        <v/>
      </c>
      <c r="C79" s="35" t="str">
        <f>IFERROR(INDEX('G-8 Condition Look up'!$I$4:$I$131,MATCH(S79,'G-8 Condition Look up'!$A$4:$A$131,0)),"")</f>
        <v/>
      </c>
      <c r="E79" s="329" t="str">
        <f>'D-1 Off Site Habitat Baseline'!AL78</f>
        <v/>
      </c>
      <c r="F79" s="175" t="str">
        <f>IF(E79="","",IF(ISNA(VLOOKUP($E79,'D-1 Off Site Habitat Baseline'!$D$1:$O$258,4,FALSE)),"",(VLOOKUP($E79,'D-1 Off Site Habitat Baseline'!$D$1:$O$258,4,FALSE))))</f>
        <v/>
      </c>
      <c r="G79" s="175" t="str">
        <f>IF(E79="","",IF(ISNA(VLOOKUP($E79,'D-1 Off Site Habitat Baseline'!$D$1:$O$258,5,FALSE)),"",(VLOOKUP($E79,'D-1 Off Site Habitat Baseline'!$D$1:$O$258,5,FALSE))))</f>
        <v/>
      </c>
      <c r="H79" s="175" t="str">
        <f>IF(E79="","",IF(ISNA(VLOOKUP($E79,'D-1 Off Site Habitat Baseline'!$D$1:$O$258,6,FALSE)),"",(VLOOKUP($E79,'D-1 Off Site Habitat Baseline'!$D$1:$O$258,6,FALSE))))</f>
        <v/>
      </c>
      <c r="I79" s="175" t="str">
        <f>IF(E79="","",IF(ISNA(VLOOKUP($E79,'D-1 Off Site Habitat Baseline'!$D$1:$O$258,7,FALSE)),"",(VLOOKUP($E79,'D-1 Off Site Habitat Baseline'!$D$1:$O$258,7,FALSE))))</f>
        <v/>
      </c>
      <c r="J79" s="175" t="str">
        <f>IF(E79="","",IF(ISNA(VLOOKUP($E79,'D-1 Off Site Habitat Baseline'!$D$1:$O$258,8,FALSE)),"",(VLOOKUP($E79,'D-1 Off Site Habitat Baseline'!$D$1:$O$258,8,FALSE))))</f>
        <v/>
      </c>
      <c r="K79" s="175" t="str">
        <f>IF(E79="","",IF(ISNA(VLOOKUP($E79,'D-1 Off Site Habitat Baseline'!$D$1:$O$258,9,FALSE)),"",(VLOOKUP($E79,'D-1 Off Site Habitat Baseline'!$D$1:$O$258,9,FALSE))))</f>
        <v/>
      </c>
      <c r="L79" s="175" t="str">
        <f>IF(E79="","",IF(ISNA(VLOOKUP($E79,'D-1 Off Site Habitat Baseline'!$D$1:$O$258,11,FALSE)),"",(VLOOKUP($E79,'D-1 Off Site Habitat Baseline'!$D$1:$O$258,11,FALSE))))</f>
        <v/>
      </c>
      <c r="M79" s="175" t="str">
        <f>IF(E79="","",IF(ISNA(VLOOKUP($E79,'D-1 Off Site Habitat Baseline'!$D$1:$O$258,12,FALSE)),"",(VLOOKUP($E79,'D-1 Off Site Habitat Baseline'!$D$1:$O$258,12,FALSE))))</f>
        <v/>
      </c>
      <c r="N79" s="175" t="str">
        <f>IF(E79="","",IF(ISNA(VLOOKUP($E79,'D-1 Off Site Habitat Baseline'!$D$1:$X$258,14,FALSE)),"",(VLOOKUP($E79,'D-1 Off Site Habitat Baseline'!$D$1:$X$258,14,FALSE))))</f>
        <v/>
      </c>
      <c r="O79" s="176" t="str">
        <f>IF(E79="","",IF(ISNA(VLOOKUP($E79,'D-1 Off Site Habitat Baseline'!$D$1:$X$258,13,FALSE)),"",(VLOOKUP($E79,'D-1 Off Site Habitat Baseline'!$D$1:$X$258,13,FALSE))))</f>
        <v/>
      </c>
      <c r="P79" s="337" t="str">
        <f>IFERROR(INDEX('G-1 All Habitats'!$AG$3:$AG$15,MATCH(Q79,'G-1 All Habitats'!$AF$3:$AF$15,0)),"")</f>
        <v/>
      </c>
      <c r="Q79" s="331" t="str">
        <f t="shared" ref="Q79:Q142" si="24">A79</f>
        <v/>
      </c>
      <c r="R79" s="332" t="str">
        <f t="shared" ref="R79:R142" si="25">B79</f>
        <v/>
      </c>
      <c r="S79" s="338" t="str">
        <f>IFERROR(INDEX('G-1 All Habitats'!$B$3:$B$130,MATCH(R79,'G-1 All Habitats'!$A$3:$A$130,0)),"")</f>
        <v/>
      </c>
      <c r="T79" s="179" t="str">
        <f t="shared" si="17"/>
        <v/>
      </c>
      <c r="U79" s="172" t="str">
        <f t="shared" si="18"/>
        <v/>
      </c>
      <c r="V79" s="334" t="str">
        <f t="shared" si="15"/>
        <v/>
      </c>
      <c r="W79" s="175" t="str">
        <f>IF(S79="","",VLOOKUP(S79,'G-1 All Habitats'!$B$2:$M$130,10,FALSE))</f>
        <v/>
      </c>
      <c r="X79" s="175" t="str">
        <f>IFERROR(VLOOKUP(W79,'G-1 All Habitats'!$V$3:$W$7,2,FALSE),"")</f>
        <v/>
      </c>
      <c r="Y79" s="275"/>
      <c r="Z79" s="176" t="str">
        <f>IFERROR(INDEX('G-8 Condition Look up'!$A$3:$H$131,MATCH(S79,'G-8 Condition Look up'!$A$3:$A$131,0),MATCH(Y79,'G-8 Condition Look up'!$A$3:$H$3,0)),"")</f>
        <v/>
      </c>
      <c r="AA79" s="173"/>
      <c r="AB79" s="269" t="str">
        <f>IF(AA79="","",IF(VLOOKUP(AA79,'G-3 Multipliers'!$L$3:$N$6,2,FALSE)=0,"Spatial Data Missing",VLOOKUP(AA79,'G-3 Multipliers'!$L$3:$N$6,2,FALSE)))</f>
        <v/>
      </c>
      <c r="AC79" s="176" t="str">
        <f>IF(AA79="","",IF(VLOOKUP(AA79,'G-3 Multipliers'!$L$3:$N$6,3,FALSE)=0,"Spatial Data Missing",VLOOKUP(AA79,'G-3 Multipliers'!$L$3:$N$6,3,FALSE)))</f>
        <v/>
      </c>
      <c r="AD79" s="239" t="str">
        <f t="shared" si="16"/>
        <v/>
      </c>
      <c r="AE79" s="275"/>
      <c r="AF79" s="275"/>
      <c r="AG79" s="175" t="str">
        <f t="shared" si="19"/>
        <v/>
      </c>
      <c r="AH79" s="242" t="str">
        <f t="shared" si="20"/>
        <v/>
      </c>
      <c r="AI79" s="335" t="str">
        <f>IF(AH79="Check Data","Check Data",IFERROR(VLOOKUP(AH79,'G-4 Temporal multipliers'!$A$4:$C$36,3,FALSE),""))</f>
        <v/>
      </c>
      <c r="AJ79" s="239" t="str">
        <f>IF(S79="","",VLOOKUP(S79,'G-3 Multipliers'!$A$2:$E$130,4,FALSE))</f>
        <v/>
      </c>
      <c r="AK79" s="175" t="str">
        <f t="shared" si="21"/>
        <v/>
      </c>
      <c r="AL79" s="175" t="str">
        <f t="shared" si="22"/>
        <v/>
      </c>
      <c r="AM79" s="176" t="str">
        <f>IFERROR(IF(F79="","",IF(AH79="Check Data","Check Data",VLOOKUP(AL79, 'G-3 Multipliers'!$P$2:$Q$6,2,FALSE))),””)</f>
        <v/>
      </c>
      <c r="AN79" s="266"/>
      <c r="AO79" s="269" t="str">
        <f>IF(AN79="","",IF(VLOOKUP(AN79,'G-3 Multipliers'!$S$3:$T$9,2,FALSE)=0,"Spatial Data Missing",VLOOKUP(AN79,'G-3 Multipliers'!$S$3:$T$9,2,FALSE)))</f>
        <v/>
      </c>
      <c r="AP79" s="207" t="str">
        <f t="shared" si="23"/>
        <v/>
      </c>
      <c r="AQ79" s="336"/>
      <c r="AR79" s="181"/>
    </row>
    <row r="80" spans="1:44" x14ac:dyDescent="0.25">
      <c r="A80" s="35" t="str">
        <f>IF(E80="","",IF(ISNA(VLOOKUP($E80,'D-1 Off Site Habitat Baseline'!$D$1:$O$258,2,FALSE)),"",(VLOOKUP($E80,'D-1 Off Site Habitat Baseline'!$D$1:$O$258,2,FALSE))))</f>
        <v/>
      </c>
      <c r="B80" s="35" t="str">
        <f>IF(E80="","",IF(ISNA(VLOOKUP($E80,'D-1 Off Site Habitat Baseline'!$D$1:$O$258,3,FALSE)),"",(VLOOKUP($E80,'D-1 Off Site Habitat Baseline'!$D$1:$O$258,3,FALSE))))</f>
        <v/>
      </c>
      <c r="C80" s="35" t="str">
        <f>IFERROR(INDEX('G-8 Condition Look up'!$I$4:$I$131,MATCH(S80,'G-8 Condition Look up'!$A$4:$A$131,0)),"")</f>
        <v/>
      </c>
      <c r="E80" s="329" t="str">
        <f>'D-1 Off Site Habitat Baseline'!AL79</f>
        <v/>
      </c>
      <c r="F80" s="175" t="str">
        <f>IF(E80="","",IF(ISNA(VLOOKUP($E80,'D-1 Off Site Habitat Baseline'!$D$1:$O$258,4,FALSE)),"",(VLOOKUP($E80,'D-1 Off Site Habitat Baseline'!$D$1:$O$258,4,FALSE))))</f>
        <v/>
      </c>
      <c r="G80" s="175" t="str">
        <f>IF(E80="","",IF(ISNA(VLOOKUP($E80,'D-1 Off Site Habitat Baseline'!$D$1:$O$258,5,FALSE)),"",(VLOOKUP($E80,'D-1 Off Site Habitat Baseline'!$D$1:$O$258,5,FALSE))))</f>
        <v/>
      </c>
      <c r="H80" s="175" t="str">
        <f>IF(E80="","",IF(ISNA(VLOOKUP($E80,'D-1 Off Site Habitat Baseline'!$D$1:$O$258,6,FALSE)),"",(VLOOKUP($E80,'D-1 Off Site Habitat Baseline'!$D$1:$O$258,6,FALSE))))</f>
        <v/>
      </c>
      <c r="I80" s="175" t="str">
        <f>IF(E80="","",IF(ISNA(VLOOKUP($E80,'D-1 Off Site Habitat Baseline'!$D$1:$O$258,7,FALSE)),"",(VLOOKUP($E80,'D-1 Off Site Habitat Baseline'!$D$1:$O$258,7,FALSE))))</f>
        <v/>
      </c>
      <c r="J80" s="175" t="str">
        <f>IF(E80="","",IF(ISNA(VLOOKUP($E80,'D-1 Off Site Habitat Baseline'!$D$1:$O$258,8,FALSE)),"",(VLOOKUP($E80,'D-1 Off Site Habitat Baseline'!$D$1:$O$258,8,FALSE))))</f>
        <v/>
      </c>
      <c r="K80" s="175" t="str">
        <f>IF(E80="","",IF(ISNA(VLOOKUP($E80,'D-1 Off Site Habitat Baseline'!$D$1:$O$258,9,FALSE)),"",(VLOOKUP($E80,'D-1 Off Site Habitat Baseline'!$D$1:$O$258,9,FALSE))))</f>
        <v/>
      </c>
      <c r="L80" s="175" t="str">
        <f>IF(E80="","",IF(ISNA(VLOOKUP($E80,'D-1 Off Site Habitat Baseline'!$D$1:$O$258,11,FALSE)),"",(VLOOKUP($E80,'D-1 Off Site Habitat Baseline'!$D$1:$O$258,11,FALSE))))</f>
        <v/>
      </c>
      <c r="M80" s="175" t="str">
        <f>IF(E80="","",IF(ISNA(VLOOKUP($E80,'D-1 Off Site Habitat Baseline'!$D$1:$O$258,12,FALSE)),"",(VLOOKUP($E80,'D-1 Off Site Habitat Baseline'!$D$1:$O$258,12,FALSE))))</f>
        <v/>
      </c>
      <c r="N80" s="175" t="str">
        <f>IF(E80="","",IF(ISNA(VLOOKUP($E80,'D-1 Off Site Habitat Baseline'!$D$1:$X$258,14,FALSE)),"",(VLOOKUP($E80,'D-1 Off Site Habitat Baseline'!$D$1:$X$258,14,FALSE))))</f>
        <v/>
      </c>
      <c r="O80" s="176" t="str">
        <f>IF(E80="","",IF(ISNA(VLOOKUP($E80,'D-1 Off Site Habitat Baseline'!$D$1:$X$258,13,FALSE)),"",(VLOOKUP($E80,'D-1 Off Site Habitat Baseline'!$D$1:$X$258,13,FALSE))))</f>
        <v/>
      </c>
      <c r="P80" s="337" t="str">
        <f>IFERROR(INDEX('G-1 All Habitats'!$AG$3:$AG$15,MATCH(Q80,'G-1 All Habitats'!$AF$3:$AF$15,0)),"")</f>
        <v/>
      </c>
      <c r="Q80" s="331" t="str">
        <f t="shared" si="24"/>
        <v/>
      </c>
      <c r="R80" s="332" t="str">
        <f t="shared" si="25"/>
        <v/>
      </c>
      <c r="S80" s="338" t="str">
        <f>IFERROR(INDEX('G-1 All Habitats'!$B$3:$B$130,MATCH(R80,'G-1 All Habitats'!$A$3:$A$130,0)),"")</f>
        <v/>
      </c>
      <c r="T80" s="179" t="str">
        <f t="shared" si="17"/>
        <v/>
      </c>
      <c r="U80" s="172" t="str">
        <f t="shared" si="18"/>
        <v/>
      </c>
      <c r="V80" s="334" t="str">
        <f t="shared" si="15"/>
        <v/>
      </c>
      <c r="W80" s="175" t="str">
        <f>IF(S80="","",VLOOKUP(S80,'G-1 All Habitats'!$B$2:$M$130,10,FALSE))</f>
        <v/>
      </c>
      <c r="X80" s="175" t="str">
        <f>IFERROR(VLOOKUP(W80,'G-1 All Habitats'!$V$3:$W$7,2,FALSE),"")</f>
        <v/>
      </c>
      <c r="Y80" s="275"/>
      <c r="Z80" s="176" t="str">
        <f>IFERROR(INDEX('G-8 Condition Look up'!$A$3:$H$131,MATCH(S80,'G-8 Condition Look up'!$A$3:$A$131,0),MATCH(Y80,'G-8 Condition Look up'!$A$3:$H$3,0)),"")</f>
        <v/>
      </c>
      <c r="AA80" s="173"/>
      <c r="AB80" s="269" t="str">
        <f>IF(AA80="","",IF(VLOOKUP(AA80,'G-3 Multipliers'!$L$3:$N$6,2,FALSE)=0,"Spatial Data Missing",VLOOKUP(AA80,'G-3 Multipliers'!$L$3:$N$6,2,FALSE)))</f>
        <v/>
      </c>
      <c r="AC80" s="176" t="str">
        <f>IF(AA80="","",IF(VLOOKUP(AA80,'G-3 Multipliers'!$L$3:$N$6,3,FALSE)=0,"Spatial Data Missing",VLOOKUP(AA80,'G-3 Multipliers'!$L$3:$N$6,3,FALSE)))</f>
        <v/>
      </c>
      <c r="AD80" s="239" t="str">
        <f t="shared" si="16"/>
        <v/>
      </c>
      <c r="AE80" s="275"/>
      <c r="AF80" s="275"/>
      <c r="AG80" s="175" t="str">
        <f t="shared" si="19"/>
        <v/>
      </c>
      <c r="AH80" s="242" t="str">
        <f t="shared" si="20"/>
        <v/>
      </c>
      <c r="AI80" s="335" t="str">
        <f>IF(AH80="Check Data","Check Data",IFERROR(VLOOKUP(AH80,'G-4 Temporal multipliers'!$A$4:$C$36,3,FALSE),""))</f>
        <v/>
      </c>
      <c r="AJ80" s="239" t="str">
        <f>IF(S80="","",VLOOKUP(S80,'G-3 Multipliers'!$A$2:$E$130,4,FALSE))</f>
        <v/>
      </c>
      <c r="AK80" s="175" t="str">
        <f t="shared" si="21"/>
        <v/>
      </c>
      <c r="AL80" s="175" t="str">
        <f t="shared" si="22"/>
        <v/>
      </c>
      <c r="AM80" s="176" t="str">
        <f>IFERROR(IF(F80="","",IF(AH80="Check Data","Check Data",VLOOKUP(AL80, 'G-3 Multipliers'!$P$2:$Q$6,2,FALSE))),””)</f>
        <v/>
      </c>
      <c r="AN80" s="266"/>
      <c r="AO80" s="269" t="str">
        <f>IF(AN80="","",IF(VLOOKUP(AN80,'G-3 Multipliers'!$S$3:$T$9,2,FALSE)=0,"Spatial Data Missing",VLOOKUP(AN80,'G-3 Multipliers'!$S$3:$T$9,2,FALSE)))</f>
        <v/>
      </c>
      <c r="AP80" s="207" t="str">
        <f t="shared" si="23"/>
        <v/>
      </c>
      <c r="AQ80" s="336"/>
      <c r="AR80" s="181"/>
    </row>
    <row r="81" spans="1:44" x14ac:dyDescent="0.25">
      <c r="A81" s="35" t="str">
        <f>IF(E81="","",IF(ISNA(VLOOKUP($E81,'D-1 Off Site Habitat Baseline'!$D$1:$O$258,2,FALSE)),"",(VLOOKUP($E81,'D-1 Off Site Habitat Baseline'!$D$1:$O$258,2,FALSE))))</f>
        <v/>
      </c>
      <c r="B81" s="35" t="str">
        <f>IF(E81="","",IF(ISNA(VLOOKUP($E81,'D-1 Off Site Habitat Baseline'!$D$1:$O$258,3,FALSE)),"",(VLOOKUP($E81,'D-1 Off Site Habitat Baseline'!$D$1:$O$258,3,FALSE))))</f>
        <v/>
      </c>
      <c r="C81" s="35" t="str">
        <f>IFERROR(INDEX('G-8 Condition Look up'!$I$4:$I$131,MATCH(S81,'G-8 Condition Look up'!$A$4:$A$131,0)),"")</f>
        <v/>
      </c>
      <c r="E81" s="329" t="str">
        <f>'D-1 Off Site Habitat Baseline'!AL80</f>
        <v/>
      </c>
      <c r="F81" s="175" t="str">
        <f>IF(E81="","",IF(ISNA(VLOOKUP($E81,'D-1 Off Site Habitat Baseline'!$D$1:$O$258,4,FALSE)),"",(VLOOKUP($E81,'D-1 Off Site Habitat Baseline'!$D$1:$O$258,4,FALSE))))</f>
        <v/>
      </c>
      <c r="G81" s="175" t="str">
        <f>IF(E81="","",IF(ISNA(VLOOKUP($E81,'D-1 Off Site Habitat Baseline'!$D$1:$O$258,5,FALSE)),"",(VLOOKUP($E81,'D-1 Off Site Habitat Baseline'!$D$1:$O$258,5,FALSE))))</f>
        <v/>
      </c>
      <c r="H81" s="175" t="str">
        <f>IF(E81="","",IF(ISNA(VLOOKUP($E81,'D-1 Off Site Habitat Baseline'!$D$1:$O$258,6,FALSE)),"",(VLOOKUP($E81,'D-1 Off Site Habitat Baseline'!$D$1:$O$258,6,FALSE))))</f>
        <v/>
      </c>
      <c r="I81" s="175" t="str">
        <f>IF(E81="","",IF(ISNA(VLOOKUP($E81,'D-1 Off Site Habitat Baseline'!$D$1:$O$258,7,FALSE)),"",(VLOOKUP($E81,'D-1 Off Site Habitat Baseline'!$D$1:$O$258,7,FALSE))))</f>
        <v/>
      </c>
      <c r="J81" s="175" t="str">
        <f>IF(E81="","",IF(ISNA(VLOOKUP($E81,'D-1 Off Site Habitat Baseline'!$D$1:$O$258,8,FALSE)),"",(VLOOKUP($E81,'D-1 Off Site Habitat Baseline'!$D$1:$O$258,8,FALSE))))</f>
        <v/>
      </c>
      <c r="K81" s="175" t="str">
        <f>IF(E81="","",IF(ISNA(VLOOKUP($E81,'D-1 Off Site Habitat Baseline'!$D$1:$O$258,9,FALSE)),"",(VLOOKUP($E81,'D-1 Off Site Habitat Baseline'!$D$1:$O$258,9,FALSE))))</f>
        <v/>
      </c>
      <c r="L81" s="175" t="str">
        <f>IF(E81="","",IF(ISNA(VLOOKUP($E81,'D-1 Off Site Habitat Baseline'!$D$1:$O$258,11,FALSE)),"",(VLOOKUP($E81,'D-1 Off Site Habitat Baseline'!$D$1:$O$258,11,FALSE))))</f>
        <v/>
      </c>
      <c r="M81" s="175" t="str">
        <f>IF(E81="","",IF(ISNA(VLOOKUP($E81,'D-1 Off Site Habitat Baseline'!$D$1:$O$258,12,FALSE)),"",(VLOOKUP($E81,'D-1 Off Site Habitat Baseline'!$D$1:$O$258,12,FALSE))))</f>
        <v/>
      </c>
      <c r="N81" s="175" t="str">
        <f>IF(E81="","",IF(ISNA(VLOOKUP($E81,'D-1 Off Site Habitat Baseline'!$D$1:$X$258,14,FALSE)),"",(VLOOKUP($E81,'D-1 Off Site Habitat Baseline'!$D$1:$X$258,14,FALSE))))</f>
        <v/>
      </c>
      <c r="O81" s="176" t="str">
        <f>IF(E81="","",IF(ISNA(VLOOKUP($E81,'D-1 Off Site Habitat Baseline'!$D$1:$X$258,13,FALSE)),"",(VLOOKUP($E81,'D-1 Off Site Habitat Baseline'!$D$1:$X$258,13,FALSE))))</f>
        <v/>
      </c>
      <c r="P81" s="337" t="str">
        <f>IFERROR(INDEX('G-1 All Habitats'!$AG$3:$AG$15,MATCH(Q81,'G-1 All Habitats'!$AF$3:$AF$15,0)),"")</f>
        <v/>
      </c>
      <c r="Q81" s="331" t="str">
        <f t="shared" si="24"/>
        <v/>
      </c>
      <c r="R81" s="332" t="str">
        <f t="shared" si="25"/>
        <v/>
      </c>
      <c r="S81" s="338" t="str">
        <f>IFERROR(INDEX('G-1 All Habitats'!$B$3:$B$130,MATCH(R81,'G-1 All Habitats'!$A$3:$A$130,0)),"")</f>
        <v/>
      </c>
      <c r="T81" s="179" t="str">
        <f t="shared" si="17"/>
        <v/>
      </c>
      <c r="U81" s="172" t="str">
        <f t="shared" si="18"/>
        <v/>
      </c>
      <c r="V81" s="334" t="str">
        <f t="shared" si="15"/>
        <v/>
      </c>
      <c r="W81" s="175" t="str">
        <f>IF(S81="","",VLOOKUP(S81,'G-1 All Habitats'!$B$2:$M$130,10,FALSE))</f>
        <v/>
      </c>
      <c r="X81" s="175" t="str">
        <f>IFERROR(VLOOKUP(W81,'G-1 All Habitats'!$V$3:$W$7,2,FALSE),"")</f>
        <v/>
      </c>
      <c r="Y81" s="275"/>
      <c r="Z81" s="176" t="str">
        <f>IFERROR(INDEX('G-8 Condition Look up'!$A$3:$H$131,MATCH(S81,'G-8 Condition Look up'!$A$3:$A$131,0),MATCH(Y81,'G-8 Condition Look up'!$A$3:$H$3,0)),"")</f>
        <v/>
      </c>
      <c r="AA81" s="173"/>
      <c r="AB81" s="269" t="str">
        <f>IF(AA81="","",IF(VLOOKUP(AA81,'G-3 Multipliers'!$L$3:$N$6,2,FALSE)=0,"Spatial Data Missing",VLOOKUP(AA81,'G-3 Multipliers'!$L$3:$N$6,2,FALSE)))</f>
        <v/>
      </c>
      <c r="AC81" s="176" t="str">
        <f>IF(AA81="","",IF(VLOOKUP(AA81,'G-3 Multipliers'!$L$3:$N$6,3,FALSE)=0,"Spatial Data Missing",VLOOKUP(AA81,'G-3 Multipliers'!$L$3:$N$6,3,FALSE)))</f>
        <v/>
      </c>
      <c r="AD81" s="239" t="str">
        <f t="shared" si="16"/>
        <v/>
      </c>
      <c r="AE81" s="275"/>
      <c r="AF81" s="275"/>
      <c r="AG81" s="175" t="str">
        <f t="shared" si="19"/>
        <v/>
      </c>
      <c r="AH81" s="242" t="str">
        <f t="shared" si="20"/>
        <v/>
      </c>
      <c r="AI81" s="335" t="str">
        <f>IF(AH81="Check Data","Check Data",IFERROR(VLOOKUP(AH81,'G-4 Temporal multipliers'!$A$4:$C$36,3,FALSE),""))</f>
        <v/>
      </c>
      <c r="AJ81" s="239" t="str">
        <f>IF(S81="","",VLOOKUP(S81,'G-3 Multipliers'!$A$2:$E$130,4,FALSE))</f>
        <v/>
      </c>
      <c r="AK81" s="175" t="str">
        <f t="shared" si="21"/>
        <v/>
      </c>
      <c r="AL81" s="175" t="str">
        <f t="shared" si="22"/>
        <v/>
      </c>
      <c r="AM81" s="176" t="str">
        <f>IFERROR(IF(F81="","",IF(AH81="Check Data","Check Data",VLOOKUP(AL81, 'G-3 Multipliers'!$P$2:$Q$6,2,FALSE))),””)</f>
        <v/>
      </c>
      <c r="AN81" s="266"/>
      <c r="AO81" s="269" t="str">
        <f>IF(AN81="","",IF(VLOOKUP(AN81,'G-3 Multipliers'!$S$3:$T$9,2,FALSE)=0,"Spatial Data Missing",VLOOKUP(AN81,'G-3 Multipliers'!$S$3:$T$9,2,FALSE)))</f>
        <v/>
      </c>
      <c r="AP81" s="207" t="str">
        <f t="shared" si="23"/>
        <v/>
      </c>
      <c r="AQ81" s="336"/>
      <c r="AR81" s="181"/>
    </row>
    <row r="82" spans="1:44" x14ac:dyDescent="0.25">
      <c r="A82" s="35" t="str">
        <f>IF(E82="","",IF(ISNA(VLOOKUP($E82,'D-1 Off Site Habitat Baseline'!$D$1:$O$258,2,FALSE)),"",(VLOOKUP($E82,'D-1 Off Site Habitat Baseline'!$D$1:$O$258,2,FALSE))))</f>
        <v/>
      </c>
      <c r="B82" s="35" t="str">
        <f>IF(E82="","",IF(ISNA(VLOOKUP($E82,'D-1 Off Site Habitat Baseline'!$D$1:$O$258,3,FALSE)),"",(VLOOKUP($E82,'D-1 Off Site Habitat Baseline'!$D$1:$O$258,3,FALSE))))</f>
        <v/>
      </c>
      <c r="C82" s="35" t="str">
        <f>IFERROR(INDEX('G-8 Condition Look up'!$I$4:$I$131,MATCH(S82,'G-8 Condition Look up'!$A$4:$A$131,0)),"")</f>
        <v/>
      </c>
      <c r="E82" s="329" t="str">
        <f>'D-1 Off Site Habitat Baseline'!AL81</f>
        <v/>
      </c>
      <c r="F82" s="175" t="str">
        <f>IF(E82="","",IF(ISNA(VLOOKUP($E82,'D-1 Off Site Habitat Baseline'!$D$1:$O$258,4,FALSE)),"",(VLOOKUP($E82,'D-1 Off Site Habitat Baseline'!$D$1:$O$258,4,FALSE))))</f>
        <v/>
      </c>
      <c r="G82" s="175" t="str">
        <f>IF(E82="","",IF(ISNA(VLOOKUP($E82,'D-1 Off Site Habitat Baseline'!$D$1:$O$258,5,FALSE)),"",(VLOOKUP($E82,'D-1 Off Site Habitat Baseline'!$D$1:$O$258,5,FALSE))))</f>
        <v/>
      </c>
      <c r="H82" s="175" t="str">
        <f>IF(E82="","",IF(ISNA(VLOOKUP($E82,'D-1 Off Site Habitat Baseline'!$D$1:$O$258,6,FALSE)),"",(VLOOKUP($E82,'D-1 Off Site Habitat Baseline'!$D$1:$O$258,6,FALSE))))</f>
        <v/>
      </c>
      <c r="I82" s="175" t="str">
        <f>IF(E82="","",IF(ISNA(VLOOKUP($E82,'D-1 Off Site Habitat Baseline'!$D$1:$O$258,7,FALSE)),"",(VLOOKUP($E82,'D-1 Off Site Habitat Baseline'!$D$1:$O$258,7,FALSE))))</f>
        <v/>
      </c>
      <c r="J82" s="175" t="str">
        <f>IF(E82="","",IF(ISNA(VLOOKUP($E82,'D-1 Off Site Habitat Baseline'!$D$1:$O$258,8,FALSE)),"",(VLOOKUP($E82,'D-1 Off Site Habitat Baseline'!$D$1:$O$258,8,FALSE))))</f>
        <v/>
      </c>
      <c r="K82" s="175" t="str">
        <f>IF(E82="","",IF(ISNA(VLOOKUP($E82,'D-1 Off Site Habitat Baseline'!$D$1:$O$258,9,FALSE)),"",(VLOOKUP($E82,'D-1 Off Site Habitat Baseline'!$D$1:$O$258,9,FALSE))))</f>
        <v/>
      </c>
      <c r="L82" s="175" t="str">
        <f>IF(E82="","",IF(ISNA(VLOOKUP($E82,'D-1 Off Site Habitat Baseline'!$D$1:$O$258,11,FALSE)),"",(VLOOKUP($E82,'D-1 Off Site Habitat Baseline'!$D$1:$O$258,11,FALSE))))</f>
        <v/>
      </c>
      <c r="M82" s="175" t="str">
        <f>IF(E82="","",IF(ISNA(VLOOKUP($E82,'D-1 Off Site Habitat Baseline'!$D$1:$O$258,12,FALSE)),"",(VLOOKUP($E82,'D-1 Off Site Habitat Baseline'!$D$1:$O$258,12,FALSE))))</f>
        <v/>
      </c>
      <c r="N82" s="175" t="str">
        <f>IF(E82="","",IF(ISNA(VLOOKUP($E82,'D-1 Off Site Habitat Baseline'!$D$1:$X$258,14,FALSE)),"",(VLOOKUP($E82,'D-1 Off Site Habitat Baseline'!$D$1:$X$258,14,FALSE))))</f>
        <v/>
      </c>
      <c r="O82" s="176" t="str">
        <f>IF(E82="","",IF(ISNA(VLOOKUP($E82,'D-1 Off Site Habitat Baseline'!$D$1:$X$258,13,FALSE)),"",(VLOOKUP($E82,'D-1 Off Site Habitat Baseline'!$D$1:$X$258,13,FALSE))))</f>
        <v/>
      </c>
      <c r="P82" s="337" t="str">
        <f>IFERROR(INDEX('G-1 All Habitats'!$AG$3:$AG$15,MATCH(Q82,'G-1 All Habitats'!$AF$3:$AF$15,0)),"")</f>
        <v/>
      </c>
      <c r="Q82" s="331" t="str">
        <f t="shared" si="24"/>
        <v/>
      </c>
      <c r="R82" s="332" t="str">
        <f t="shared" si="25"/>
        <v/>
      </c>
      <c r="S82" s="338" t="str">
        <f>IFERROR(INDEX('G-1 All Habitats'!$B$3:$B$130,MATCH(R82,'G-1 All Habitats'!$A$3:$A$130,0)),"")</f>
        <v/>
      </c>
      <c r="T82" s="179" t="str">
        <f t="shared" si="17"/>
        <v/>
      </c>
      <c r="U82" s="172" t="str">
        <f t="shared" si="18"/>
        <v/>
      </c>
      <c r="V82" s="334" t="str">
        <f t="shared" si="15"/>
        <v/>
      </c>
      <c r="W82" s="175" t="str">
        <f>IF(S82="","",VLOOKUP(S82,'G-1 All Habitats'!$B$2:$M$130,10,FALSE))</f>
        <v/>
      </c>
      <c r="X82" s="175" t="str">
        <f>IFERROR(VLOOKUP(W82,'G-1 All Habitats'!$V$3:$W$7,2,FALSE),"")</f>
        <v/>
      </c>
      <c r="Y82" s="275"/>
      <c r="Z82" s="176" t="str">
        <f>IFERROR(INDEX('G-8 Condition Look up'!$A$3:$H$131,MATCH(S82,'G-8 Condition Look up'!$A$3:$A$131,0),MATCH(Y82,'G-8 Condition Look up'!$A$3:$H$3,0)),"")</f>
        <v/>
      </c>
      <c r="AA82" s="173"/>
      <c r="AB82" s="269" t="str">
        <f>IF(AA82="","",IF(VLOOKUP(AA82,'G-3 Multipliers'!$L$3:$N$6,2,FALSE)=0,"Spatial Data Missing",VLOOKUP(AA82,'G-3 Multipliers'!$L$3:$N$6,2,FALSE)))</f>
        <v/>
      </c>
      <c r="AC82" s="176" t="str">
        <f>IF(AA82="","",IF(VLOOKUP(AA82,'G-3 Multipliers'!$L$3:$N$6,3,FALSE)=0,"Spatial Data Missing",VLOOKUP(AA82,'G-3 Multipliers'!$L$3:$N$6,3,FALSE)))</f>
        <v/>
      </c>
      <c r="AD82" s="239" t="str">
        <f t="shared" si="16"/>
        <v/>
      </c>
      <c r="AE82" s="275"/>
      <c r="AF82" s="275"/>
      <c r="AG82" s="175" t="str">
        <f t="shared" si="19"/>
        <v/>
      </c>
      <c r="AH82" s="242" t="str">
        <f t="shared" si="20"/>
        <v/>
      </c>
      <c r="AI82" s="335" t="str">
        <f>IF(AH82="Check Data","Check Data",IFERROR(VLOOKUP(AH82,'G-4 Temporal multipliers'!$A$4:$C$36,3,FALSE),""))</f>
        <v/>
      </c>
      <c r="AJ82" s="239" t="str">
        <f>IF(S82="","",VLOOKUP(S82,'G-3 Multipliers'!$A$2:$E$130,4,FALSE))</f>
        <v/>
      </c>
      <c r="AK82" s="175" t="str">
        <f t="shared" si="21"/>
        <v/>
      </c>
      <c r="AL82" s="175" t="str">
        <f t="shared" si="22"/>
        <v/>
      </c>
      <c r="AM82" s="176" t="str">
        <f>IFERROR(IF(F82="","",IF(AH82="Check Data","Check Data",VLOOKUP(AL82, 'G-3 Multipliers'!$P$2:$Q$6,2,FALSE))),””)</f>
        <v/>
      </c>
      <c r="AN82" s="266"/>
      <c r="AO82" s="269" t="str">
        <f>IF(AN82="","",IF(VLOOKUP(AN82,'G-3 Multipliers'!$S$3:$T$9,2,FALSE)=0,"Spatial Data Missing",VLOOKUP(AN82,'G-3 Multipliers'!$S$3:$T$9,2,FALSE)))</f>
        <v/>
      </c>
      <c r="AP82" s="207" t="str">
        <f t="shared" si="23"/>
        <v/>
      </c>
      <c r="AQ82" s="336"/>
      <c r="AR82" s="181"/>
    </row>
    <row r="83" spans="1:44" x14ac:dyDescent="0.25">
      <c r="A83" s="35" t="str">
        <f>IF(E83="","",IF(ISNA(VLOOKUP($E83,'D-1 Off Site Habitat Baseline'!$D$1:$O$258,2,FALSE)),"",(VLOOKUP($E83,'D-1 Off Site Habitat Baseline'!$D$1:$O$258,2,FALSE))))</f>
        <v/>
      </c>
      <c r="B83" s="35" t="str">
        <f>IF(E83="","",IF(ISNA(VLOOKUP($E83,'D-1 Off Site Habitat Baseline'!$D$1:$O$258,3,FALSE)),"",(VLOOKUP($E83,'D-1 Off Site Habitat Baseline'!$D$1:$O$258,3,FALSE))))</f>
        <v/>
      </c>
      <c r="C83" s="35" t="str">
        <f>IFERROR(INDEX('G-8 Condition Look up'!$I$4:$I$131,MATCH(S83,'G-8 Condition Look up'!$A$4:$A$131,0)),"")</f>
        <v/>
      </c>
      <c r="E83" s="329" t="str">
        <f>'D-1 Off Site Habitat Baseline'!AL82</f>
        <v/>
      </c>
      <c r="F83" s="175" t="str">
        <f>IF(E83="","",IF(ISNA(VLOOKUP($E83,'D-1 Off Site Habitat Baseline'!$D$1:$O$258,4,FALSE)),"",(VLOOKUP($E83,'D-1 Off Site Habitat Baseline'!$D$1:$O$258,4,FALSE))))</f>
        <v/>
      </c>
      <c r="G83" s="175" t="str">
        <f>IF(E83="","",IF(ISNA(VLOOKUP($E83,'D-1 Off Site Habitat Baseline'!$D$1:$O$258,5,FALSE)),"",(VLOOKUP($E83,'D-1 Off Site Habitat Baseline'!$D$1:$O$258,5,FALSE))))</f>
        <v/>
      </c>
      <c r="H83" s="175" t="str">
        <f>IF(E83="","",IF(ISNA(VLOOKUP($E83,'D-1 Off Site Habitat Baseline'!$D$1:$O$258,6,FALSE)),"",(VLOOKUP($E83,'D-1 Off Site Habitat Baseline'!$D$1:$O$258,6,FALSE))))</f>
        <v/>
      </c>
      <c r="I83" s="175" t="str">
        <f>IF(E83="","",IF(ISNA(VLOOKUP($E83,'D-1 Off Site Habitat Baseline'!$D$1:$O$258,7,FALSE)),"",(VLOOKUP($E83,'D-1 Off Site Habitat Baseline'!$D$1:$O$258,7,FALSE))))</f>
        <v/>
      </c>
      <c r="J83" s="175" t="str">
        <f>IF(E83="","",IF(ISNA(VLOOKUP($E83,'D-1 Off Site Habitat Baseline'!$D$1:$O$258,8,FALSE)),"",(VLOOKUP($E83,'D-1 Off Site Habitat Baseline'!$D$1:$O$258,8,FALSE))))</f>
        <v/>
      </c>
      <c r="K83" s="175" t="str">
        <f>IF(E83="","",IF(ISNA(VLOOKUP($E83,'D-1 Off Site Habitat Baseline'!$D$1:$O$258,9,FALSE)),"",(VLOOKUP($E83,'D-1 Off Site Habitat Baseline'!$D$1:$O$258,9,FALSE))))</f>
        <v/>
      </c>
      <c r="L83" s="175" t="str">
        <f>IF(E83="","",IF(ISNA(VLOOKUP($E83,'D-1 Off Site Habitat Baseline'!$D$1:$O$258,11,FALSE)),"",(VLOOKUP($E83,'D-1 Off Site Habitat Baseline'!$D$1:$O$258,11,FALSE))))</f>
        <v/>
      </c>
      <c r="M83" s="175" t="str">
        <f>IF(E83="","",IF(ISNA(VLOOKUP($E83,'D-1 Off Site Habitat Baseline'!$D$1:$O$258,12,FALSE)),"",(VLOOKUP($E83,'D-1 Off Site Habitat Baseline'!$D$1:$O$258,12,FALSE))))</f>
        <v/>
      </c>
      <c r="N83" s="175" t="str">
        <f>IF(E83="","",IF(ISNA(VLOOKUP($E83,'D-1 Off Site Habitat Baseline'!$D$1:$X$258,14,FALSE)),"",(VLOOKUP($E83,'D-1 Off Site Habitat Baseline'!$D$1:$X$258,14,FALSE))))</f>
        <v/>
      </c>
      <c r="O83" s="176" t="str">
        <f>IF(E83="","",IF(ISNA(VLOOKUP($E83,'D-1 Off Site Habitat Baseline'!$D$1:$X$258,13,FALSE)),"",(VLOOKUP($E83,'D-1 Off Site Habitat Baseline'!$D$1:$X$258,13,FALSE))))</f>
        <v/>
      </c>
      <c r="P83" s="337" t="str">
        <f>IFERROR(INDEX('G-1 All Habitats'!$AG$3:$AG$15,MATCH(Q83,'G-1 All Habitats'!$AF$3:$AF$15,0)),"")</f>
        <v/>
      </c>
      <c r="Q83" s="331" t="str">
        <f t="shared" si="24"/>
        <v/>
      </c>
      <c r="R83" s="332" t="str">
        <f t="shared" si="25"/>
        <v/>
      </c>
      <c r="S83" s="338" t="str">
        <f>IFERROR(INDEX('G-1 All Habitats'!$B$3:$B$130,MATCH(R83,'G-1 All Habitats'!$A$3:$A$130,0)),"")</f>
        <v/>
      </c>
      <c r="T83" s="179" t="str">
        <f t="shared" si="17"/>
        <v/>
      </c>
      <c r="U83" s="172" t="str">
        <f t="shared" si="18"/>
        <v/>
      </c>
      <c r="V83" s="334" t="str">
        <f t="shared" si="15"/>
        <v/>
      </c>
      <c r="W83" s="175" t="str">
        <f>IF(S83="","",VLOOKUP(S83,'G-1 All Habitats'!$B$2:$M$130,10,FALSE))</f>
        <v/>
      </c>
      <c r="X83" s="175" t="str">
        <f>IFERROR(VLOOKUP(W83,'G-1 All Habitats'!$V$3:$W$7,2,FALSE),"")</f>
        <v/>
      </c>
      <c r="Y83" s="275"/>
      <c r="Z83" s="176" t="str">
        <f>IFERROR(INDEX('G-8 Condition Look up'!$A$3:$H$131,MATCH(S83,'G-8 Condition Look up'!$A$3:$A$131,0),MATCH(Y83,'G-8 Condition Look up'!$A$3:$H$3,0)),"")</f>
        <v/>
      </c>
      <c r="AA83" s="173"/>
      <c r="AB83" s="269" t="str">
        <f>IF(AA83="","",IF(VLOOKUP(AA83,'G-3 Multipliers'!$L$3:$N$6,2,FALSE)=0,"Spatial Data Missing",VLOOKUP(AA83,'G-3 Multipliers'!$L$3:$N$6,2,FALSE)))</f>
        <v/>
      </c>
      <c r="AC83" s="176" t="str">
        <f>IF(AA83="","",IF(VLOOKUP(AA83,'G-3 Multipliers'!$L$3:$N$6,3,FALSE)=0,"Spatial Data Missing",VLOOKUP(AA83,'G-3 Multipliers'!$L$3:$N$6,3,FALSE)))</f>
        <v/>
      </c>
      <c r="AD83" s="239" t="str">
        <f t="shared" si="16"/>
        <v/>
      </c>
      <c r="AE83" s="275"/>
      <c r="AF83" s="275"/>
      <c r="AG83" s="175" t="str">
        <f t="shared" si="19"/>
        <v/>
      </c>
      <c r="AH83" s="242" t="str">
        <f t="shared" si="20"/>
        <v/>
      </c>
      <c r="AI83" s="335" t="str">
        <f>IF(AH83="Check Data","Check Data",IFERROR(VLOOKUP(AH83,'G-4 Temporal multipliers'!$A$4:$C$36,3,FALSE),""))</f>
        <v/>
      </c>
      <c r="AJ83" s="239" t="str">
        <f>IF(S83="","",VLOOKUP(S83,'G-3 Multipliers'!$A$2:$E$130,4,FALSE))</f>
        <v/>
      </c>
      <c r="AK83" s="175" t="str">
        <f t="shared" si="21"/>
        <v/>
      </c>
      <c r="AL83" s="175" t="str">
        <f t="shared" si="22"/>
        <v/>
      </c>
      <c r="AM83" s="176" t="str">
        <f>IFERROR(IF(F83="","",IF(AH83="Check Data","Check Data",VLOOKUP(AL83, 'G-3 Multipliers'!$P$2:$Q$6,2,FALSE))),””)</f>
        <v/>
      </c>
      <c r="AN83" s="266"/>
      <c r="AO83" s="269" t="str">
        <f>IF(AN83="","",IF(VLOOKUP(AN83,'G-3 Multipliers'!$S$3:$T$9,2,FALSE)=0,"Spatial Data Missing",VLOOKUP(AN83,'G-3 Multipliers'!$S$3:$T$9,2,FALSE)))</f>
        <v/>
      </c>
      <c r="AP83" s="207" t="str">
        <f t="shared" si="23"/>
        <v/>
      </c>
      <c r="AQ83" s="336"/>
      <c r="AR83" s="181"/>
    </row>
    <row r="84" spans="1:44" x14ac:dyDescent="0.25">
      <c r="A84" s="35" t="str">
        <f>IF(E84="","",IF(ISNA(VLOOKUP($E84,'D-1 Off Site Habitat Baseline'!$D$1:$O$258,2,FALSE)),"",(VLOOKUP($E84,'D-1 Off Site Habitat Baseline'!$D$1:$O$258,2,FALSE))))</f>
        <v/>
      </c>
      <c r="B84" s="35" t="str">
        <f>IF(E84="","",IF(ISNA(VLOOKUP($E84,'D-1 Off Site Habitat Baseline'!$D$1:$O$258,3,FALSE)),"",(VLOOKUP($E84,'D-1 Off Site Habitat Baseline'!$D$1:$O$258,3,FALSE))))</f>
        <v/>
      </c>
      <c r="C84" s="35" t="str">
        <f>IFERROR(INDEX('G-8 Condition Look up'!$I$4:$I$131,MATCH(S84,'G-8 Condition Look up'!$A$4:$A$131,0)),"")</f>
        <v/>
      </c>
      <c r="E84" s="329" t="str">
        <f>'D-1 Off Site Habitat Baseline'!AL83</f>
        <v/>
      </c>
      <c r="F84" s="175" t="str">
        <f>IF(E84="","",IF(ISNA(VLOOKUP($E84,'D-1 Off Site Habitat Baseline'!$D$1:$O$258,4,FALSE)),"",(VLOOKUP($E84,'D-1 Off Site Habitat Baseline'!$D$1:$O$258,4,FALSE))))</f>
        <v/>
      </c>
      <c r="G84" s="175" t="str">
        <f>IF(E84="","",IF(ISNA(VLOOKUP($E84,'D-1 Off Site Habitat Baseline'!$D$1:$O$258,5,FALSE)),"",(VLOOKUP($E84,'D-1 Off Site Habitat Baseline'!$D$1:$O$258,5,FALSE))))</f>
        <v/>
      </c>
      <c r="H84" s="175" t="str">
        <f>IF(E84="","",IF(ISNA(VLOOKUP($E84,'D-1 Off Site Habitat Baseline'!$D$1:$O$258,6,FALSE)),"",(VLOOKUP($E84,'D-1 Off Site Habitat Baseline'!$D$1:$O$258,6,FALSE))))</f>
        <v/>
      </c>
      <c r="I84" s="175" t="str">
        <f>IF(E84="","",IF(ISNA(VLOOKUP($E84,'D-1 Off Site Habitat Baseline'!$D$1:$O$258,7,FALSE)),"",(VLOOKUP($E84,'D-1 Off Site Habitat Baseline'!$D$1:$O$258,7,FALSE))))</f>
        <v/>
      </c>
      <c r="J84" s="175" t="str">
        <f>IF(E84="","",IF(ISNA(VLOOKUP($E84,'D-1 Off Site Habitat Baseline'!$D$1:$O$258,8,FALSE)),"",(VLOOKUP($E84,'D-1 Off Site Habitat Baseline'!$D$1:$O$258,8,FALSE))))</f>
        <v/>
      </c>
      <c r="K84" s="175" t="str">
        <f>IF(E84="","",IF(ISNA(VLOOKUP($E84,'D-1 Off Site Habitat Baseline'!$D$1:$O$258,9,FALSE)),"",(VLOOKUP($E84,'D-1 Off Site Habitat Baseline'!$D$1:$O$258,9,FALSE))))</f>
        <v/>
      </c>
      <c r="L84" s="175" t="str">
        <f>IF(E84="","",IF(ISNA(VLOOKUP($E84,'D-1 Off Site Habitat Baseline'!$D$1:$O$258,11,FALSE)),"",(VLOOKUP($E84,'D-1 Off Site Habitat Baseline'!$D$1:$O$258,11,FALSE))))</f>
        <v/>
      </c>
      <c r="M84" s="175" t="str">
        <f>IF(E84="","",IF(ISNA(VLOOKUP($E84,'D-1 Off Site Habitat Baseline'!$D$1:$O$258,12,FALSE)),"",(VLOOKUP($E84,'D-1 Off Site Habitat Baseline'!$D$1:$O$258,12,FALSE))))</f>
        <v/>
      </c>
      <c r="N84" s="175" t="str">
        <f>IF(E84="","",IF(ISNA(VLOOKUP($E84,'D-1 Off Site Habitat Baseline'!$D$1:$X$258,14,FALSE)),"",(VLOOKUP($E84,'D-1 Off Site Habitat Baseline'!$D$1:$X$258,14,FALSE))))</f>
        <v/>
      </c>
      <c r="O84" s="176" t="str">
        <f>IF(E84="","",IF(ISNA(VLOOKUP($E84,'D-1 Off Site Habitat Baseline'!$D$1:$X$258,13,FALSE)),"",(VLOOKUP($E84,'D-1 Off Site Habitat Baseline'!$D$1:$X$258,13,FALSE))))</f>
        <v/>
      </c>
      <c r="P84" s="337" t="str">
        <f>IFERROR(INDEX('G-1 All Habitats'!$AG$3:$AG$15,MATCH(Q84,'G-1 All Habitats'!$AF$3:$AF$15,0)),"")</f>
        <v/>
      </c>
      <c r="Q84" s="331" t="str">
        <f t="shared" si="24"/>
        <v/>
      </c>
      <c r="R84" s="332" t="str">
        <f t="shared" si="25"/>
        <v/>
      </c>
      <c r="S84" s="338" t="str">
        <f>IFERROR(INDEX('G-1 All Habitats'!$B$3:$B$130,MATCH(R84,'G-1 All Habitats'!$A$3:$A$130,0)),"")</f>
        <v/>
      </c>
      <c r="T84" s="179" t="str">
        <f t="shared" si="17"/>
        <v/>
      </c>
      <c r="U84" s="172" t="str">
        <f t="shared" si="18"/>
        <v/>
      </c>
      <c r="V84" s="334" t="str">
        <f t="shared" si="15"/>
        <v/>
      </c>
      <c r="W84" s="175" t="str">
        <f>IF(S84="","",VLOOKUP(S84,'G-1 All Habitats'!$B$2:$M$130,10,FALSE))</f>
        <v/>
      </c>
      <c r="X84" s="175" t="str">
        <f>IFERROR(VLOOKUP(W84,'G-1 All Habitats'!$V$3:$W$7,2,FALSE),"")</f>
        <v/>
      </c>
      <c r="Y84" s="275"/>
      <c r="Z84" s="176" t="str">
        <f>IFERROR(INDEX('G-8 Condition Look up'!$A$3:$H$131,MATCH(S84,'G-8 Condition Look up'!$A$3:$A$131,0),MATCH(Y84,'G-8 Condition Look up'!$A$3:$H$3,0)),"")</f>
        <v/>
      </c>
      <c r="AA84" s="173"/>
      <c r="AB84" s="269" t="str">
        <f>IF(AA84="","",IF(VLOOKUP(AA84,'G-3 Multipliers'!$L$3:$N$6,2,FALSE)=0,"Spatial Data Missing",VLOOKUP(AA84,'G-3 Multipliers'!$L$3:$N$6,2,FALSE)))</f>
        <v/>
      </c>
      <c r="AC84" s="176" t="str">
        <f>IF(AA84="","",IF(VLOOKUP(AA84,'G-3 Multipliers'!$L$3:$N$6,3,FALSE)=0,"Spatial Data Missing",VLOOKUP(AA84,'G-3 Multipliers'!$L$3:$N$6,3,FALSE)))</f>
        <v/>
      </c>
      <c r="AD84" s="239" t="str">
        <f t="shared" si="16"/>
        <v/>
      </c>
      <c r="AE84" s="275"/>
      <c r="AF84" s="275"/>
      <c r="AG84" s="175" t="str">
        <f t="shared" si="19"/>
        <v/>
      </c>
      <c r="AH84" s="242" t="str">
        <f t="shared" si="20"/>
        <v/>
      </c>
      <c r="AI84" s="335" t="str">
        <f>IF(AH84="Check Data","Check Data",IFERROR(VLOOKUP(AH84,'G-4 Temporal multipliers'!$A$4:$C$36,3,FALSE),""))</f>
        <v/>
      </c>
      <c r="AJ84" s="239" t="str">
        <f>IF(S84="","",VLOOKUP(S84,'G-3 Multipliers'!$A$2:$E$130,4,FALSE))</f>
        <v/>
      </c>
      <c r="AK84" s="175" t="str">
        <f t="shared" si="21"/>
        <v/>
      </c>
      <c r="AL84" s="175" t="str">
        <f t="shared" si="22"/>
        <v/>
      </c>
      <c r="AM84" s="176" t="str">
        <f>IFERROR(IF(F84="","",IF(AH84="Check Data","Check Data",VLOOKUP(AL84, 'G-3 Multipliers'!$P$2:$Q$6,2,FALSE))),””)</f>
        <v/>
      </c>
      <c r="AN84" s="266"/>
      <c r="AO84" s="269" t="str">
        <f>IF(AN84="","",IF(VLOOKUP(AN84,'G-3 Multipliers'!$S$3:$T$9,2,FALSE)=0,"Spatial Data Missing",VLOOKUP(AN84,'G-3 Multipliers'!$S$3:$T$9,2,FALSE)))</f>
        <v/>
      </c>
      <c r="AP84" s="207" t="str">
        <f t="shared" si="23"/>
        <v/>
      </c>
      <c r="AQ84" s="336"/>
      <c r="AR84" s="181"/>
    </row>
    <row r="85" spans="1:44" x14ac:dyDescent="0.25">
      <c r="A85" s="35" t="str">
        <f>IF(E85="","",IF(ISNA(VLOOKUP($E85,'D-1 Off Site Habitat Baseline'!$D$1:$O$258,2,FALSE)),"",(VLOOKUP($E85,'D-1 Off Site Habitat Baseline'!$D$1:$O$258,2,FALSE))))</f>
        <v/>
      </c>
      <c r="B85" s="35" t="str">
        <f>IF(E85="","",IF(ISNA(VLOOKUP($E85,'D-1 Off Site Habitat Baseline'!$D$1:$O$258,3,FALSE)),"",(VLOOKUP($E85,'D-1 Off Site Habitat Baseline'!$D$1:$O$258,3,FALSE))))</f>
        <v/>
      </c>
      <c r="C85" s="35" t="str">
        <f>IFERROR(INDEX('G-8 Condition Look up'!$I$4:$I$131,MATCH(S85,'G-8 Condition Look up'!$A$4:$A$131,0)),"")</f>
        <v/>
      </c>
      <c r="E85" s="329" t="str">
        <f>'D-1 Off Site Habitat Baseline'!AL84</f>
        <v/>
      </c>
      <c r="F85" s="175" t="str">
        <f>IF(E85="","",IF(ISNA(VLOOKUP($E85,'D-1 Off Site Habitat Baseline'!$D$1:$O$258,4,FALSE)),"",(VLOOKUP($E85,'D-1 Off Site Habitat Baseline'!$D$1:$O$258,4,FALSE))))</f>
        <v/>
      </c>
      <c r="G85" s="175" t="str">
        <f>IF(E85="","",IF(ISNA(VLOOKUP($E85,'D-1 Off Site Habitat Baseline'!$D$1:$O$258,5,FALSE)),"",(VLOOKUP($E85,'D-1 Off Site Habitat Baseline'!$D$1:$O$258,5,FALSE))))</f>
        <v/>
      </c>
      <c r="H85" s="175" t="str">
        <f>IF(E85="","",IF(ISNA(VLOOKUP($E85,'D-1 Off Site Habitat Baseline'!$D$1:$O$258,6,FALSE)),"",(VLOOKUP($E85,'D-1 Off Site Habitat Baseline'!$D$1:$O$258,6,FALSE))))</f>
        <v/>
      </c>
      <c r="I85" s="175" t="str">
        <f>IF(E85="","",IF(ISNA(VLOOKUP($E85,'D-1 Off Site Habitat Baseline'!$D$1:$O$258,7,FALSE)),"",(VLOOKUP($E85,'D-1 Off Site Habitat Baseline'!$D$1:$O$258,7,FALSE))))</f>
        <v/>
      </c>
      <c r="J85" s="175" t="str">
        <f>IF(E85="","",IF(ISNA(VLOOKUP($E85,'D-1 Off Site Habitat Baseline'!$D$1:$O$258,8,FALSE)),"",(VLOOKUP($E85,'D-1 Off Site Habitat Baseline'!$D$1:$O$258,8,FALSE))))</f>
        <v/>
      </c>
      <c r="K85" s="175" t="str">
        <f>IF(E85="","",IF(ISNA(VLOOKUP($E85,'D-1 Off Site Habitat Baseline'!$D$1:$O$258,9,FALSE)),"",(VLOOKUP($E85,'D-1 Off Site Habitat Baseline'!$D$1:$O$258,9,FALSE))))</f>
        <v/>
      </c>
      <c r="L85" s="175" t="str">
        <f>IF(E85="","",IF(ISNA(VLOOKUP($E85,'D-1 Off Site Habitat Baseline'!$D$1:$O$258,11,FALSE)),"",(VLOOKUP($E85,'D-1 Off Site Habitat Baseline'!$D$1:$O$258,11,FALSE))))</f>
        <v/>
      </c>
      <c r="M85" s="175" t="str">
        <f>IF(E85="","",IF(ISNA(VLOOKUP($E85,'D-1 Off Site Habitat Baseline'!$D$1:$O$258,12,FALSE)),"",(VLOOKUP($E85,'D-1 Off Site Habitat Baseline'!$D$1:$O$258,12,FALSE))))</f>
        <v/>
      </c>
      <c r="N85" s="175" t="str">
        <f>IF(E85="","",IF(ISNA(VLOOKUP($E85,'D-1 Off Site Habitat Baseline'!$D$1:$X$258,14,FALSE)),"",(VLOOKUP($E85,'D-1 Off Site Habitat Baseline'!$D$1:$X$258,14,FALSE))))</f>
        <v/>
      </c>
      <c r="O85" s="176" t="str">
        <f>IF(E85="","",IF(ISNA(VLOOKUP($E85,'D-1 Off Site Habitat Baseline'!$D$1:$X$258,13,FALSE)),"",(VLOOKUP($E85,'D-1 Off Site Habitat Baseline'!$D$1:$X$258,13,FALSE))))</f>
        <v/>
      </c>
      <c r="P85" s="337" t="str">
        <f>IFERROR(INDEX('G-1 All Habitats'!$AG$3:$AG$15,MATCH(Q85,'G-1 All Habitats'!$AF$3:$AF$15,0)),"")</f>
        <v/>
      </c>
      <c r="Q85" s="331" t="str">
        <f t="shared" si="24"/>
        <v/>
      </c>
      <c r="R85" s="332" t="str">
        <f t="shared" si="25"/>
        <v/>
      </c>
      <c r="S85" s="338" t="str">
        <f>IFERROR(INDEX('G-1 All Habitats'!$B$3:$B$130,MATCH(R85,'G-1 All Habitats'!$A$3:$A$130,0)),"")</f>
        <v/>
      </c>
      <c r="T85" s="179" t="str">
        <f t="shared" si="17"/>
        <v/>
      </c>
      <c r="U85" s="172" t="str">
        <f t="shared" si="18"/>
        <v/>
      </c>
      <c r="V85" s="334" t="str">
        <f t="shared" si="15"/>
        <v/>
      </c>
      <c r="W85" s="175" t="str">
        <f>IF(S85="","",VLOOKUP(S85,'G-1 All Habitats'!$B$2:$M$130,10,FALSE))</f>
        <v/>
      </c>
      <c r="X85" s="175" t="str">
        <f>IFERROR(VLOOKUP(W85,'G-1 All Habitats'!$V$3:$W$7,2,FALSE),"")</f>
        <v/>
      </c>
      <c r="Y85" s="275"/>
      <c r="Z85" s="176" t="str">
        <f>IFERROR(INDEX('G-8 Condition Look up'!$A$3:$H$131,MATCH(S85,'G-8 Condition Look up'!$A$3:$A$131,0),MATCH(Y85,'G-8 Condition Look up'!$A$3:$H$3,0)),"")</f>
        <v/>
      </c>
      <c r="AA85" s="173"/>
      <c r="AB85" s="269" t="str">
        <f>IF(AA85="","",IF(VLOOKUP(AA85,'G-3 Multipliers'!$L$3:$N$6,2,FALSE)=0,"Spatial Data Missing",VLOOKUP(AA85,'G-3 Multipliers'!$L$3:$N$6,2,FALSE)))</f>
        <v/>
      </c>
      <c r="AC85" s="176" t="str">
        <f>IF(AA85="","",IF(VLOOKUP(AA85,'G-3 Multipliers'!$L$3:$N$6,3,FALSE)=0,"Spatial Data Missing",VLOOKUP(AA85,'G-3 Multipliers'!$L$3:$N$6,3,FALSE)))</f>
        <v/>
      </c>
      <c r="AD85" s="239" t="str">
        <f t="shared" si="16"/>
        <v/>
      </c>
      <c r="AE85" s="275"/>
      <c r="AF85" s="275"/>
      <c r="AG85" s="175" t="str">
        <f t="shared" si="19"/>
        <v/>
      </c>
      <c r="AH85" s="242" t="str">
        <f t="shared" si="20"/>
        <v/>
      </c>
      <c r="AI85" s="335" t="str">
        <f>IF(AH85="Check Data","Check Data",IFERROR(VLOOKUP(AH85,'G-4 Temporal multipliers'!$A$4:$C$36,3,FALSE),""))</f>
        <v/>
      </c>
      <c r="AJ85" s="239" t="str">
        <f>IF(S85="","",VLOOKUP(S85,'G-3 Multipliers'!$A$2:$E$130,4,FALSE))</f>
        <v/>
      </c>
      <c r="AK85" s="175" t="str">
        <f t="shared" si="21"/>
        <v/>
      </c>
      <c r="AL85" s="175" t="str">
        <f t="shared" si="22"/>
        <v/>
      </c>
      <c r="AM85" s="176" t="str">
        <f>IFERROR(IF(F85="","",IF(AH85="Check Data","Check Data",VLOOKUP(AL85, 'G-3 Multipliers'!$P$2:$Q$6,2,FALSE))),””)</f>
        <v/>
      </c>
      <c r="AN85" s="266"/>
      <c r="AO85" s="269" t="str">
        <f>IF(AN85="","",IF(VLOOKUP(AN85,'G-3 Multipliers'!$S$3:$T$9,2,FALSE)=0,"Spatial Data Missing",VLOOKUP(AN85,'G-3 Multipliers'!$S$3:$T$9,2,FALSE)))</f>
        <v/>
      </c>
      <c r="AP85" s="207" t="str">
        <f t="shared" si="23"/>
        <v/>
      </c>
      <c r="AQ85" s="336"/>
      <c r="AR85" s="181"/>
    </row>
    <row r="86" spans="1:44" x14ac:dyDescent="0.25">
      <c r="A86" s="35" t="str">
        <f>IF(E86="","",IF(ISNA(VLOOKUP($E86,'D-1 Off Site Habitat Baseline'!$D$1:$O$258,2,FALSE)),"",(VLOOKUP($E86,'D-1 Off Site Habitat Baseline'!$D$1:$O$258,2,FALSE))))</f>
        <v/>
      </c>
      <c r="B86" s="35" t="str">
        <f>IF(E86="","",IF(ISNA(VLOOKUP($E86,'D-1 Off Site Habitat Baseline'!$D$1:$O$258,3,FALSE)),"",(VLOOKUP($E86,'D-1 Off Site Habitat Baseline'!$D$1:$O$258,3,FALSE))))</f>
        <v/>
      </c>
      <c r="C86" s="35" t="str">
        <f>IFERROR(INDEX('G-8 Condition Look up'!$I$4:$I$131,MATCH(S86,'G-8 Condition Look up'!$A$4:$A$131,0)),"")</f>
        <v/>
      </c>
      <c r="E86" s="329" t="str">
        <f>'D-1 Off Site Habitat Baseline'!AL85</f>
        <v/>
      </c>
      <c r="F86" s="175" t="str">
        <f>IF(E86="","",IF(ISNA(VLOOKUP($E86,'D-1 Off Site Habitat Baseline'!$D$1:$O$258,4,FALSE)),"",(VLOOKUP($E86,'D-1 Off Site Habitat Baseline'!$D$1:$O$258,4,FALSE))))</f>
        <v/>
      </c>
      <c r="G86" s="175" t="str">
        <f>IF(E86="","",IF(ISNA(VLOOKUP($E86,'D-1 Off Site Habitat Baseline'!$D$1:$O$258,5,FALSE)),"",(VLOOKUP($E86,'D-1 Off Site Habitat Baseline'!$D$1:$O$258,5,FALSE))))</f>
        <v/>
      </c>
      <c r="H86" s="175" t="str">
        <f>IF(E86="","",IF(ISNA(VLOOKUP($E86,'D-1 Off Site Habitat Baseline'!$D$1:$O$258,6,FALSE)),"",(VLOOKUP($E86,'D-1 Off Site Habitat Baseline'!$D$1:$O$258,6,FALSE))))</f>
        <v/>
      </c>
      <c r="I86" s="175" t="str">
        <f>IF(E86="","",IF(ISNA(VLOOKUP($E86,'D-1 Off Site Habitat Baseline'!$D$1:$O$258,7,FALSE)),"",(VLOOKUP($E86,'D-1 Off Site Habitat Baseline'!$D$1:$O$258,7,FALSE))))</f>
        <v/>
      </c>
      <c r="J86" s="175" t="str">
        <f>IF(E86="","",IF(ISNA(VLOOKUP($E86,'D-1 Off Site Habitat Baseline'!$D$1:$O$258,8,FALSE)),"",(VLOOKUP($E86,'D-1 Off Site Habitat Baseline'!$D$1:$O$258,8,FALSE))))</f>
        <v/>
      </c>
      <c r="K86" s="175" t="str">
        <f>IF(E86="","",IF(ISNA(VLOOKUP($E86,'D-1 Off Site Habitat Baseline'!$D$1:$O$258,9,FALSE)),"",(VLOOKUP($E86,'D-1 Off Site Habitat Baseline'!$D$1:$O$258,9,FALSE))))</f>
        <v/>
      </c>
      <c r="L86" s="175" t="str">
        <f>IF(E86="","",IF(ISNA(VLOOKUP($E86,'D-1 Off Site Habitat Baseline'!$D$1:$O$258,11,FALSE)),"",(VLOOKUP($E86,'D-1 Off Site Habitat Baseline'!$D$1:$O$258,11,FALSE))))</f>
        <v/>
      </c>
      <c r="M86" s="175" t="str">
        <f>IF(E86="","",IF(ISNA(VLOOKUP($E86,'D-1 Off Site Habitat Baseline'!$D$1:$O$258,12,FALSE)),"",(VLOOKUP($E86,'D-1 Off Site Habitat Baseline'!$D$1:$O$258,12,FALSE))))</f>
        <v/>
      </c>
      <c r="N86" s="175" t="str">
        <f>IF(E86="","",IF(ISNA(VLOOKUP($E86,'D-1 Off Site Habitat Baseline'!$D$1:$X$258,14,FALSE)),"",(VLOOKUP($E86,'D-1 Off Site Habitat Baseline'!$D$1:$X$258,14,FALSE))))</f>
        <v/>
      </c>
      <c r="O86" s="176" t="str">
        <f>IF(E86="","",IF(ISNA(VLOOKUP($E86,'D-1 Off Site Habitat Baseline'!$D$1:$X$258,13,FALSE)),"",(VLOOKUP($E86,'D-1 Off Site Habitat Baseline'!$D$1:$X$258,13,FALSE))))</f>
        <v/>
      </c>
      <c r="P86" s="337" t="str">
        <f>IFERROR(INDEX('G-1 All Habitats'!$AG$3:$AG$15,MATCH(Q86,'G-1 All Habitats'!$AF$3:$AF$15,0)),"")</f>
        <v/>
      </c>
      <c r="Q86" s="331" t="str">
        <f t="shared" si="24"/>
        <v/>
      </c>
      <c r="R86" s="332" t="str">
        <f t="shared" si="25"/>
        <v/>
      </c>
      <c r="S86" s="338" t="str">
        <f>IFERROR(INDEX('G-1 All Habitats'!$B$3:$B$130,MATCH(R86,'G-1 All Habitats'!$A$3:$A$130,0)),"")</f>
        <v/>
      </c>
      <c r="T86" s="179" t="str">
        <f t="shared" si="17"/>
        <v/>
      </c>
      <c r="U86" s="172" t="str">
        <f t="shared" si="18"/>
        <v/>
      </c>
      <c r="V86" s="334" t="str">
        <f t="shared" si="15"/>
        <v/>
      </c>
      <c r="W86" s="175" t="str">
        <f>IF(S86="","",VLOOKUP(S86,'G-1 All Habitats'!$B$2:$M$130,10,FALSE))</f>
        <v/>
      </c>
      <c r="X86" s="175" t="str">
        <f>IFERROR(VLOOKUP(W86,'G-1 All Habitats'!$V$3:$W$7,2,FALSE),"")</f>
        <v/>
      </c>
      <c r="Y86" s="275"/>
      <c r="Z86" s="176" t="str">
        <f>IFERROR(INDEX('G-8 Condition Look up'!$A$3:$H$131,MATCH(S86,'G-8 Condition Look up'!$A$3:$A$131,0),MATCH(Y86,'G-8 Condition Look up'!$A$3:$H$3,0)),"")</f>
        <v/>
      </c>
      <c r="AA86" s="173"/>
      <c r="AB86" s="269" t="str">
        <f>IF(AA86="","",IF(VLOOKUP(AA86,'G-3 Multipliers'!$L$3:$N$6,2,FALSE)=0,"Spatial Data Missing",VLOOKUP(AA86,'G-3 Multipliers'!$L$3:$N$6,2,FALSE)))</f>
        <v/>
      </c>
      <c r="AC86" s="176" t="str">
        <f>IF(AA86="","",IF(VLOOKUP(AA86,'G-3 Multipliers'!$L$3:$N$6,3,FALSE)=0,"Spatial Data Missing",VLOOKUP(AA86,'G-3 Multipliers'!$L$3:$N$6,3,FALSE)))</f>
        <v/>
      </c>
      <c r="AD86" s="239" t="str">
        <f t="shared" si="16"/>
        <v/>
      </c>
      <c r="AE86" s="275"/>
      <c r="AF86" s="275"/>
      <c r="AG86" s="175" t="str">
        <f t="shared" si="19"/>
        <v/>
      </c>
      <c r="AH86" s="242" t="str">
        <f t="shared" si="20"/>
        <v/>
      </c>
      <c r="AI86" s="335" t="str">
        <f>IF(AH86="Check Data","Check Data",IFERROR(VLOOKUP(AH86,'G-4 Temporal multipliers'!$A$4:$C$36,3,FALSE),""))</f>
        <v/>
      </c>
      <c r="AJ86" s="239" t="str">
        <f>IF(S86="","",VLOOKUP(S86,'G-3 Multipliers'!$A$2:$E$130,4,FALSE))</f>
        <v/>
      </c>
      <c r="AK86" s="175" t="str">
        <f t="shared" si="21"/>
        <v/>
      </c>
      <c r="AL86" s="175" t="str">
        <f t="shared" si="22"/>
        <v/>
      </c>
      <c r="AM86" s="176" t="str">
        <f>IFERROR(IF(F86="","",IF(AH86="Check Data","Check Data",VLOOKUP(AL86, 'G-3 Multipliers'!$P$2:$Q$6,2,FALSE))),””)</f>
        <v/>
      </c>
      <c r="AN86" s="266"/>
      <c r="AO86" s="269" t="str">
        <f>IF(AN86="","",IF(VLOOKUP(AN86,'G-3 Multipliers'!$S$3:$T$9,2,FALSE)=0,"Spatial Data Missing",VLOOKUP(AN86,'G-3 Multipliers'!$S$3:$T$9,2,FALSE)))</f>
        <v/>
      </c>
      <c r="AP86" s="207" t="str">
        <f t="shared" si="23"/>
        <v/>
      </c>
      <c r="AQ86" s="336"/>
      <c r="AR86" s="181"/>
    </row>
    <row r="87" spans="1:44" x14ac:dyDescent="0.25">
      <c r="A87" s="35" t="str">
        <f>IF(E87="","",IF(ISNA(VLOOKUP($E87,'D-1 Off Site Habitat Baseline'!$D$1:$O$258,2,FALSE)),"",(VLOOKUP($E87,'D-1 Off Site Habitat Baseline'!$D$1:$O$258,2,FALSE))))</f>
        <v/>
      </c>
      <c r="B87" s="35" t="str">
        <f>IF(E87="","",IF(ISNA(VLOOKUP($E87,'D-1 Off Site Habitat Baseline'!$D$1:$O$258,3,FALSE)),"",(VLOOKUP($E87,'D-1 Off Site Habitat Baseline'!$D$1:$O$258,3,FALSE))))</f>
        <v/>
      </c>
      <c r="C87" s="35" t="str">
        <f>IFERROR(INDEX('G-8 Condition Look up'!$I$4:$I$131,MATCH(S87,'G-8 Condition Look up'!$A$4:$A$131,0)),"")</f>
        <v/>
      </c>
      <c r="E87" s="329" t="str">
        <f>'D-1 Off Site Habitat Baseline'!AL86</f>
        <v/>
      </c>
      <c r="F87" s="175" t="str">
        <f>IF(E87="","",IF(ISNA(VLOOKUP($E87,'D-1 Off Site Habitat Baseline'!$D$1:$O$258,4,FALSE)),"",(VLOOKUP($E87,'D-1 Off Site Habitat Baseline'!$D$1:$O$258,4,FALSE))))</f>
        <v/>
      </c>
      <c r="G87" s="175" t="str">
        <f>IF(E87="","",IF(ISNA(VLOOKUP($E87,'D-1 Off Site Habitat Baseline'!$D$1:$O$258,5,FALSE)),"",(VLOOKUP($E87,'D-1 Off Site Habitat Baseline'!$D$1:$O$258,5,FALSE))))</f>
        <v/>
      </c>
      <c r="H87" s="175" t="str">
        <f>IF(E87="","",IF(ISNA(VLOOKUP($E87,'D-1 Off Site Habitat Baseline'!$D$1:$O$258,6,FALSE)),"",(VLOOKUP($E87,'D-1 Off Site Habitat Baseline'!$D$1:$O$258,6,FALSE))))</f>
        <v/>
      </c>
      <c r="I87" s="175" t="str">
        <f>IF(E87="","",IF(ISNA(VLOOKUP($E87,'D-1 Off Site Habitat Baseline'!$D$1:$O$258,7,FALSE)),"",(VLOOKUP($E87,'D-1 Off Site Habitat Baseline'!$D$1:$O$258,7,FALSE))))</f>
        <v/>
      </c>
      <c r="J87" s="175" t="str">
        <f>IF(E87="","",IF(ISNA(VLOOKUP($E87,'D-1 Off Site Habitat Baseline'!$D$1:$O$258,8,FALSE)),"",(VLOOKUP($E87,'D-1 Off Site Habitat Baseline'!$D$1:$O$258,8,FALSE))))</f>
        <v/>
      </c>
      <c r="K87" s="175" t="str">
        <f>IF(E87="","",IF(ISNA(VLOOKUP($E87,'D-1 Off Site Habitat Baseline'!$D$1:$O$258,9,FALSE)),"",(VLOOKUP($E87,'D-1 Off Site Habitat Baseline'!$D$1:$O$258,9,FALSE))))</f>
        <v/>
      </c>
      <c r="L87" s="175" t="str">
        <f>IF(E87="","",IF(ISNA(VLOOKUP($E87,'D-1 Off Site Habitat Baseline'!$D$1:$O$258,11,FALSE)),"",(VLOOKUP($E87,'D-1 Off Site Habitat Baseline'!$D$1:$O$258,11,FALSE))))</f>
        <v/>
      </c>
      <c r="M87" s="175" t="str">
        <f>IF(E87="","",IF(ISNA(VLOOKUP($E87,'D-1 Off Site Habitat Baseline'!$D$1:$O$258,12,FALSE)),"",(VLOOKUP($E87,'D-1 Off Site Habitat Baseline'!$D$1:$O$258,12,FALSE))))</f>
        <v/>
      </c>
      <c r="N87" s="175" t="str">
        <f>IF(E87="","",IF(ISNA(VLOOKUP($E87,'D-1 Off Site Habitat Baseline'!$D$1:$X$258,14,FALSE)),"",(VLOOKUP($E87,'D-1 Off Site Habitat Baseline'!$D$1:$X$258,14,FALSE))))</f>
        <v/>
      </c>
      <c r="O87" s="176" t="str">
        <f>IF(E87="","",IF(ISNA(VLOOKUP($E87,'D-1 Off Site Habitat Baseline'!$D$1:$X$258,13,FALSE)),"",(VLOOKUP($E87,'D-1 Off Site Habitat Baseline'!$D$1:$X$258,13,FALSE))))</f>
        <v/>
      </c>
      <c r="P87" s="337" t="str">
        <f>IFERROR(INDEX('G-1 All Habitats'!$AG$3:$AG$15,MATCH(Q87,'G-1 All Habitats'!$AF$3:$AF$15,0)),"")</f>
        <v/>
      </c>
      <c r="Q87" s="331" t="str">
        <f t="shared" si="24"/>
        <v/>
      </c>
      <c r="R87" s="332" t="str">
        <f t="shared" si="25"/>
        <v/>
      </c>
      <c r="S87" s="338" t="str">
        <f>IFERROR(INDEX('G-1 All Habitats'!$B$3:$B$130,MATCH(R87,'G-1 All Habitats'!$A$3:$A$130,0)),"")</f>
        <v/>
      </c>
      <c r="T87" s="179" t="str">
        <f t="shared" si="17"/>
        <v/>
      </c>
      <c r="U87" s="172" t="str">
        <f t="shared" si="18"/>
        <v/>
      </c>
      <c r="V87" s="334" t="str">
        <f t="shared" si="15"/>
        <v/>
      </c>
      <c r="W87" s="175" t="str">
        <f>IF(S87="","",VLOOKUP(S87,'G-1 All Habitats'!$B$2:$M$130,10,FALSE))</f>
        <v/>
      </c>
      <c r="X87" s="175" t="str">
        <f>IFERROR(VLOOKUP(W87,'G-1 All Habitats'!$V$3:$W$7,2,FALSE),"")</f>
        <v/>
      </c>
      <c r="Y87" s="275"/>
      <c r="Z87" s="176" t="str">
        <f>IFERROR(INDEX('G-8 Condition Look up'!$A$3:$H$131,MATCH(S87,'G-8 Condition Look up'!$A$3:$A$131,0),MATCH(Y87,'G-8 Condition Look up'!$A$3:$H$3,0)),"")</f>
        <v/>
      </c>
      <c r="AA87" s="173"/>
      <c r="AB87" s="269" t="str">
        <f>IF(AA87="","",IF(VLOOKUP(AA87,'G-3 Multipliers'!$L$3:$N$6,2,FALSE)=0,"Spatial Data Missing",VLOOKUP(AA87,'G-3 Multipliers'!$L$3:$N$6,2,FALSE)))</f>
        <v/>
      </c>
      <c r="AC87" s="176" t="str">
        <f>IF(AA87="","",IF(VLOOKUP(AA87,'G-3 Multipliers'!$L$3:$N$6,3,FALSE)=0,"Spatial Data Missing",VLOOKUP(AA87,'G-3 Multipliers'!$L$3:$N$6,3,FALSE)))</f>
        <v/>
      </c>
      <c r="AD87" s="239" t="str">
        <f t="shared" si="16"/>
        <v/>
      </c>
      <c r="AE87" s="275"/>
      <c r="AF87" s="275"/>
      <c r="AG87" s="175" t="str">
        <f t="shared" si="19"/>
        <v/>
      </c>
      <c r="AH87" s="242" t="str">
        <f t="shared" si="20"/>
        <v/>
      </c>
      <c r="AI87" s="335" t="str">
        <f>IF(AH87="Check Data","Check Data",IFERROR(VLOOKUP(AH87,'G-4 Temporal multipliers'!$A$4:$C$36,3,FALSE),""))</f>
        <v/>
      </c>
      <c r="AJ87" s="239" t="str">
        <f>IF(S87="","",VLOOKUP(S87,'G-3 Multipliers'!$A$2:$E$130,4,FALSE))</f>
        <v/>
      </c>
      <c r="AK87" s="175" t="str">
        <f t="shared" si="21"/>
        <v/>
      </c>
      <c r="AL87" s="175" t="str">
        <f t="shared" si="22"/>
        <v/>
      </c>
      <c r="AM87" s="176" t="str">
        <f>IFERROR(IF(F87="","",IF(AH87="Check Data","Check Data",VLOOKUP(AL87, 'G-3 Multipliers'!$P$2:$Q$6,2,FALSE))),””)</f>
        <v/>
      </c>
      <c r="AN87" s="266"/>
      <c r="AO87" s="269" t="str">
        <f>IF(AN87="","",IF(VLOOKUP(AN87,'G-3 Multipliers'!$S$3:$T$9,2,FALSE)=0,"Spatial Data Missing",VLOOKUP(AN87,'G-3 Multipliers'!$S$3:$T$9,2,FALSE)))</f>
        <v/>
      </c>
      <c r="AP87" s="207" t="str">
        <f t="shared" si="23"/>
        <v/>
      </c>
      <c r="AQ87" s="336"/>
      <c r="AR87" s="181"/>
    </row>
    <row r="88" spans="1:44" x14ac:dyDescent="0.25">
      <c r="A88" s="35" t="str">
        <f>IF(E88="","",IF(ISNA(VLOOKUP($E88,'D-1 Off Site Habitat Baseline'!$D$1:$O$258,2,FALSE)),"",(VLOOKUP($E88,'D-1 Off Site Habitat Baseline'!$D$1:$O$258,2,FALSE))))</f>
        <v/>
      </c>
      <c r="B88" s="35" t="str">
        <f>IF(E88="","",IF(ISNA(VLOOKUP($E88,'D-1 Off Site Habitat Baseline'!$D$1:$O$258,3,FALSE)),"",(VLOOKUP($E88,'D-1 Off Site Habitat Baseline'!$D$1:$O$258,3,FALSE))))</f>
        <v/>
      </c>
      <c r="C88" s="35" t="str">
        <f>IFERROR(INDEX('G-8 Condition Look up'!$I$4:$I$131,MATCH(S88,'G-8 Condition Look up'!$A$4:$A$131,0)),"")</f>
        <v/>
      </c>
      <c r="E88" s="329" t="str">
        <f>'D-1 Off Site Habitat Baseline'!AL87</f>
        <v/>
      </c>
      <c r="F88" s="175" t="str">
        <f>IF(E88="","",IF(ISNA(VLOOKUP($E88,'D-1 Off Site Habitat Baseline'!$D$1:$O$258,4,FALSE)),"",(VLOOKUP($E88,'D-1 Off Site Habitat Baseline'!$D$1:$O$258,4,FALSE))))</f>
        <v/>
      </c>
      <c r="G88" s="175" t="str">
        <f>IF(E88="","",IF(ISNA(VLOOKUP($E88,'D-1 Off Site Habitat Baseline'!$D$1:$O$258,5,FALSE)),"",(VLOOKUP($E88,'D-1 Off Site Habitat Baseline'!$D$1:$O$258,5,FALSE))))</f>
        <v/>
      </c>
      <c r="H88" s="175" t="str">
        <f>IF(E88="","",IF(ISNA(VLOOKUP($E88,'D-1 Off Site Habitat Baseline'!$D$1:$O$258,6,FALSE)),"",(VLOOKUP($E88,'D-1 Off Site Habitat Baseline'!$D$1:$O$258,6,FALSE))))</f>
        <v/>
      </c>
      <c r="I88" s="175" t="str">
        <f>IF(E88="","",IF(ISNA(VLOOKUP($E88,'D-1 Off Site Habitat Baseline'!$D$1:$O$258,7,FALSE)),"",(VLOOKUP($E88,'D-1 Off Site Habitat Baseline'!$D$1:$O$258,7,FALSE))))</f>
        <v/>
      </c>
      <c r="J88" s="175" t="str">
        <f>IF(E88="","",IF(ISNA(VLOOKUP($E88,'D-1 Off Site Habitat Baseline'!$D$1:$O$258,8,FALSE)),"",(VLOOKUP($E88,'D-1 Off Site Habitat Baseline'!$D$1:$O$258,8,FALSE))))</f>
        <v/>
      </c>
      <c r="K88" s="175" t="str">
        <f>IF(E88="","",IF(ISNA(VLOOKUP($E88,'D-1 Off Site Habitat Baseline'!$D$1:$O$258,9,FALSE)),"",(VLOOKUP($E88,'D-1 Off Site Habitat Baseline'!$D$1:$O$258,9,FALSE))))</f>
        <v/>
      </c>
      <c r="L88" s="175" t="str">
        <f>IF(E88="","",IF(ISNA(VLOOKUP($E88,'D-1 Off Site Habitat Baseline'!$D$1:$O$258,11,FALSE)),"",(VLOOKUP($E88,'D-1 Off Site Habitat Baseline'!$D$1:$O$258,11,FALSE))))</f>
        <v/>
      </c>
      <c r="M88" s="175" t="str">
        <f>IF(E88="","",IF(ISNA(VLOOKUP($E88,'D-1 Off Site Habitat Baseline'!$D$1:$O$258,12,FALSE)),"",(VLOOKUP($E88,'D-1 Off Site Habitat Baseline'!$D$1:$O$258,12,FALSE))))</f>
        <v/>
      </c>
      <c r="N88" s="175" t="str">
        <f>IF(E88="","",IF(ISNA(VLOOKUP($E88,'D-1 Off Site Habitat Baseline'!$D$1:$X$258,14,FALSE)),"",(VLOOKUP($E88,'D-1 Off Site Habitat Baseline'!$D$1:$X$258,14,FALSE))))</f>
        <v/>
      </c>
      <c r="O88" s="176" t="str">
        <f>IF(E88="","",IF(ISNA(VLOOKUP($E88,'D-1 Off Site Habitat Baseline'!$D$1:$X$258,13,FALSE)),"",(VLOOKUP($E88,'D-1 Off Site Habitat Baseline'!$D$1:$X$258,13,FALSE))))</f>
        <v/>
      </c>
      <c r="P88" s="337" t="str">
        <f>IFERROR(INDEX('G-1 All Habitats'!$AG$3:$AG$15,MATCH(Q88,'G-1 All Habitats'!$AF$3:$AF$15,0)),"")</f>
        <v/>
      </c>
      <c r="Q88" s="331" t="str">
        <f t="shared" si="24"/>
        <v/>
      </c>
      <c r="R88" s="332" t="str">
        <f t="shared" si="25"/>
        <v/>
      </c>
      <c r="S88" s="338" t="str">
        <f>IFERROR(INDEX('G-1 All Habitats'!$B$3:$B$130,MATCH(R88,'G-1 All Habitats'!$A$3:$A$130,0)),"")</f>
        <v/>
      </c>
      <c r="T88" s="179" t="str">
        <f t="shared" si="17"/>
        <v/>
      </c>
      <c r="U88" s="172" t="str">
        <f t="shared" si="18"/>
        <v/>
      </c>
      <c r="V88" s="334" t="str">
        <f t="shared" si="15"/>
        <v/>
      </c>
      <c r="W88" s="175" t="str">
        <f>IF(S88="","",VLOOKUP(S88,'G-1 All Habitats'!$B$2:$M$130,10,FALSE))</f>
        <v/>
      </c>
      <c r="X88" s="175" t="str">
        <f>IFERROR(VLOOKUP(W88,'G-1 All Habitats'!$V$3:$W$7,2,FALSE),"")</f>
        <v/>
      </c>
      <c r="Y88" s="275"/>
      <c r="Z88" s="176" t="str">
        <f>IFERROR(INDEX('G-8 Condition Look up'!$A$3:$H$131,MATCH(S88,'G-8 Condition Look up'!$A$3:$A$131,0),MATCH(Y88,'G-8 Condition Look up'!$A$3:$H$3,0)),"")</f>
        <v/>
      </c>
      <c r="AA88" s="173"/>
      <c r="AB88" s="269" t="str">
        <f>IF(AA88="","",IF(VLOOKUP(AA88,'G-3 Multipliers'!$L$3:$N$6,2,FALSE)=0,"Spatial Data Missing",VLOOKUP(AA88,'G-3 Multipliers'!$L$3:$N$6,2,FALSE)))</f>
        <v/>
      </c>
      <c r="AC88" s="176" t="str">
        <f>IF(AA88="","",IF(VLOOKUP(AA88,'G-3 Multipliers'!$L$3:$N$6,3,FALSE)=0,"Spatial Data Missing",VLOOKUP(AA88,'G-3 Multipliers'!$L$3:$N$6,3,FALSE)))</f>
        <v/>
      </c>
      <c r="AD88" s="239" t="str">
        <f t="shared" si="16"/>
        <v/>
      </c>
      <c r="AE88" s="275"/>
      <c r="AF88" s="275"/>
      <c r="AG88" s="175" t="str">
        <f t="shared" si="19"/>
        <v/>
      </c>
      <c r="AH88" s="242" t="str">
        <f t="shared" si="20"/>
        <v/>
      </c>
      <c r="AI88" s="335" t="str">
        <f>IF(AH88="Check Data","Check Data",IFERROR(VLOOKUP(AH88,'G-4 Temporal multipliers'!$A$4:$C$36,3,FALSE),""))</f>
        <v/>
      </c>
      <c r="AJ88" s="239" t="str">
        <f>IF(S88="","",VLOOKUP(S88,'G-3 Multipliers'!$A$2:$E$130,4,FALSE))</f>
        <v/>
      </c>
      <c r="AK88" s="175" t="str">
        <f t="shared" si="21"/>
        <v/>
      </c>
      <c r="AL88" s="175" t="str">
        <f t="shared" si="22"/>
        <v/>
      </c>
      <c r="AM88" s="176" t="str">
        <f>IFERROR(IF(F88="","",IF(AH88="Check Data","Check Data",VLOOKUP(AL88, 'G-3 Multipliers'!$P$2:$Q$6,2,FALSE))),””)</f>
        <v/>
      </c>
      <c r="AN88" s="266"/>
      <c r="AO88" s="269" t="str">
        <f>IF(AN88="","",IF(VLOOKUP(AN88,'G-3 Multipliers'!$S$3:$T$9,2,FALSE)=0,"Spatial Data Missing",VLOOKUP(AN88,'G-3 Multipliers'!$S$3:$T$9,2,FALSE)))</f>
        <v/>
      </c>
      <c r="AP88" s="207" t="str">
        <f t="shared" si="23"/>
        <v/>
      </c>
      <c r="AQ88" s="336"/>
      <c r="AR88" s="181"/>
    </row>
    <row r="89" spans="1:44" x14ac:dyDescent="0.25">
      <c r="A89" s="35" t="str">
        <f>IF(E89="","",IF(ISNA(VLOOKUP($E89,'D-1 Off Site Habitat Baseline'!$D$1:$O$258,2,FALSE)),"",(VLOOKUP($E89,'D-1 Off Site Habitat Baseline'!$D$1:$O$258,2,FALSE))))</f>
        <v/>
      </c>
      <c r="B89" s="35" t="str">
        <f>IF(E89="","",IF(ISNA(VLOOKUP($E89,'D-1 Off Site Habitat Baseline'!$D$1:$O$258,3,FALSE)),"",(VLOOKUP($E89,'D-1 Off Site Habitat Baseline'!$D$1:$O$258,3,FALSE))))</f>
        <v/>
      </c>
      <c r="C89" s="35" t="str">
        <f>IFERROR(INDEX('G-8 Condition Look up'!$I$4:$I$131,MATCH(S89,'G-8 Condition Look up'!$A$4:$A$131,0)),"")</f>
        <v/>
      </c>
      <c r="E89" s="329" t="str">
        <f>'D-1 Off Site Habitat Baseline'!AL88</f>
        <v/>
      </c>
      <c r="F89" s="175" t="str">
        <f>IF(E89="","",IF(ISNA(VLOOKUP($E89,'D-1 Off Site Habitat Baseline'!$D$1:$O$258,4,FALSE)),"",(VLOOKUP($E89,'D-1 Off Site Habitat Baseline'!$D$1:$O$258,4,FALSE))))</f>
        <v/>
      </c>
      <c r="G89" s="175" t="str">
        <f>IF(E89="","",IF(ISNA(VLOOKUP($E89,'D-1 Off Site Habitat Baseline'!$D$1:$O$258,5,FALSE)),"",(VLOOKUP($E89,'D-1 Off Site Habitat Baseline'!$D$1:$O$258,5,FALSE))))</f>
        <v/>
      </c>
      <c r="H89" s="175" t="str">
        <f>IF(E89="","",IF(ISNA(VLOOKUP($E89,'D-1 Off Site Habitat Baseline'!$D$1:$O$258,6,FALSE)),"",(VLOOKUP($E89,'D-1 Off Site Habitat Baseline'!$D$1:$O$258,6,FALSE))))</f>
        <v/>
      </c>
      <c r="I89" s="175" t="str">
        <f>IF(E89="","",IF(ISNA(VLOOKUP($E89,'D-1 Off Site Habitat Baseline'!$D$1:$O$258,7,FALSE)),"",(VLOOKUP($E89,'D-1 Off Site Habitat Baseline'!$D$1:$O$258,7,FALSE))))</f>
        <v/>
      </c>
      <c r="J89" s="175" t="str">
        <f>IF(E89="","",IF(ISNA(VLOOKUP($E89,'D-1 Off Site Habitat Baseline'!$D$1:$O$258,8,FALSE)),"",(VLOOKUP($E89,'D-1 Off Site Habitat Baseline'!$D$1:$O$258,8,FALSE))))</f>
        <v/>
      </c>
      <c r="K89" s="175" t="str">
        <f>IF(E89="","",IF(ISNA(VLOOKUP($E89,'D-1 Off Site Habitat Baseline'!$D$1:$O$258,9,FALSE)),"",(VLOOKUP($E89,'D-1 Off Site Habitat Baseline'!$D$1:$O$258,9,FALSE))))</f>
        <v/>
      </c>
      <c r="L89" s="175" t="str">
        <f>IF(E89="","",IF(ISNA(VLOOKUP($E89,'D-1 Off Site Habitat Baseline'!$D$1:$O$258,11,FALSE)),"",(VLOOKUP($E89,'D-1 Off Site Habitat Baseline'!$D$1:$O$258,11,FALSE))))</f>
        <v/>
      </c>
      <c r="M89" s="175" t="str">
        <f>IF(E89="","",IF(ISNA(VLOOKUP($E89,'D-1 Off Site Habitat Baseline'!$D$1:$O$258,12,FALSE)),"",(VLOOKUP($E89,'D-1 Off Site Habitat Baseline'!$D$1:$O$258,12,FALSE))))</f>
        <v/>
      </c>
      <c r="N89" s="175" t="str">
        <f>IF(E89="","",IF(ISNA(VLOOKUP($E89,'D-1 Off Site Habitat Baseline'!$D$1:$X$258,14,FALSE)),"",(VLOOKUP($E89,'D-1 Off Site Habitat Baseline'!$D$1:$X$258,14,FALSE))))</f>
        <v/>
      </c>
      <c r="O89" s="176" t="str">
        <f>IF(E89="","",IF(ISNA(VLOOKUP($E89,'D-1 Off Site Habitat Baseline'!$D$1:$X$258,13,FALSE)),"",(VLOOKUP($E89,'D-1 Off Site Habitat Baseline'!$D$1:$X$258,13,FALSE))))</f>
        <v/>
      </c>
      <c r="P89" s="337" t="str">
        <f>IFERROR(INDEX('G-1 All Habitats'!$AG$3:$AG$15,MATCH(Q89,'G-1 All Habitats'!$AF$3:$AF$15,0)),"")</f>
        <v/>
      </c>
      <c r="Q89" s="331" t="str">
        <f t="shared" si="24"/>
        <v/>
      </c>
      <c r="R89" s="332" t="str">
        <f t="shared" si="25"/>
        <v/>
      </c>
      <c r="S89" s="338" t="str">
        <f>IFERROR(INDEX('G-1 All Habitats'!$B$3:$B$130,MATCH(R89,'G-1 All Habitats'!$A$3:$A$130,0)),"")</f>
        <v/>
      </c>
      <c r="T89" s="179" t="str">
        <f t="shared" si="17"/>
        <v/>
      </c>
      <c r="U89" s="172" t="str">
        <f t="shared" si="18"/>
        <v/>
      </c>
      <c r="V89" s="334" t="str">
        <f t="shared" si="15"/>
        <v/>
      </c>
      <c r="W89" s="175" t="str">
        <f>IF(S89="","",VLOOKUP(S89,'G-1 All Habitats'!$B$2:$M$130,10,FALSE))</f>
        <v/>
      </c>
      <c r="X89" s="175" t="str">
        <f>IFERROR(VLOOKUP(W89,'G-1 All Habitats'!$V$3:$W$7,2,FALSE),"")</f>
        <v/>
      </c>
      <c r="Y89" s="275"/>
      <c r="Z89" s="176" t="str">
        <f>IFERROR(INDEX('G-8 Condition Look up'!$A$3:$H$131,MATCH(S89,'G-8 Condition Look up'!$A$3:$A$131,0),MATCH(Y89,'G-8 Condition Look up'!$A$3:$H$3,0)),"")</f>
        <v/>
      </c>
      <c r="AA89" s="173"/>
      <c r="AB89" s="269" t="str">
        <f>IF(AA89="","",IF(VLOOKUP(AA89,'G-3 Multipliers'!$L$3:$N$6,2,FALSE)=0,"Spatial Data Missing",VLOOKUP(AA89,'G-3 Multipliers'!$L$3:$N$6,2,FALSE)))</f>
        <v/>
      </c>
      <c r="AC89" s="176" t="str">
        <f>IF(AA89="","",IF(VLOOKUP(AA89,'G-3 Multipliers'!$L$3:$N$6,3,FALSE)=0,"Spatial Data Missing",VLOOKUP(AA89,'G-3 Multipliers'!$L$3:$N$6,3,FALSE)))</f>
        <v/>
      </c>
      <c r="AD89" s="239" t="str">
        <f t="shared" si="16"/>
        <v/>
      </c>
      <c r="AE89" s="275"/>
      <c r="AF89" s="275"/>
      <c r="AG89" s="175" t="str">
        <f t="shared" si="19"/>
        <v/>
      </c>
      <c r="AH89" s="242" t="str">
        <f t="shared" si="20"/>
        <v/>
      </c>
      <c r="AI89" s="335" t="str">
        <f>IF(AH89="Check Data","Check Data",IFERROR(VLOOKUP(AH89,'G-4 Temporal multipliers'!$A$4:$C$36,3,FALSE),""))</f>
        <v/>
      </c>
      <c r="AJ89" s="239" t="str">
        <f>IF(S89="","",VLOOKUP(S89,'G-3 Multipliers'!$A$2:$E$130,4,FALSE))</f>
        <v/>
      </c>
      <c r="AK89" s="175" t="str">
        <f t="shared" si="21"/>
        <v/>
      </c>
      <c r="AL89" s="175" t="str">
        <f t="shared" si="22"/>
        <v/>
      </c>
      <c r="AM89" s="176" t="str">
        <f>IFERROR(IF(F89="","",IF(AH89="Check Data","Check Data",VLOOKUP(AL89, 'G-3 Multipliers'!$P$2:$Q$6,2,FALSE))),””)</f>
        <v/>
      </c>
      <c r="AN89" s="266"/>
      <c r="AO89" s="269" t="str">
        <f>IF(AN89="","",IF(VLOOKUP(AN89,'G-3 Multipliers'!$S$3:$T$9,2,FALSE)=0,"Spatial Data Missing",VLOOKUP(AN89,'G-3 Multipliers'!$S$3:$T$9,2,FALSE)))</f>
        <v/>
      </c>
      <c r="AP89" s="207" t="str">
        <f t="shared" si="23"/>
        <v/>
      </c>
      <c r="AQ89" s="336"/>
      <c r="AR89" s="181"/>
    </row>
    <row r="90" spans="1:44" x14ac:dyDescent="0.25">
      <c r="A90" s="35" t="str">
        <f>IF(E90="","",IF(ISNA(VLOOKUP($E90,'D-1 Off Site Habitat Baseline'!$D$1:$O$258,2,FALSE)),"",(VLOOKUP($E90,'D-1 Off Site Habitat Baseline'!$D$1:$O$258,2,FALSE))))</f>
        <v/>
      </c>
      <c r="B90" s="35" t="str">
        <f>IF(E90="","",IF(ISNA(VLOOKUP($E90,'D-1 Off Site Habitat Baseline'!$D$1:$O$258,3,FALSE)),"",(VLOOKUP($E90,'D-1 Off Site Habitat Baseline'!$D$1:$O$258,3,FALSE))))</f>
        <v/>
      </c>
      <c r="C90" s="35" t="str">
        <f>IFERROR(INDEX('G-8 Condition Look up'!$I$4:$I$131,MATCH(S90,'G-8 Condition Look up'!$A$4:$A$131,0)),"")</f>
        <v/>
      </c>
      <c r="E90" s="329" t="str">
        <f>'D-1 Off Site Habitat Baseline'!AL89</f>
        <v/>
      </c>
      <c r="F90" s="175" t="str">
        <f>IF(E90="","",IF(ISNA(VLOOKUP($E90,'D-1 Off Site Habitat Baseline'!$D$1:$O$258,4,FALSE)),"",(VLOOKUP($E90,'D-1 Off Site Habitat Baseline'!$D$1:$O$258,4,FALSE))))</f>
        <v/>
      </c>
      <c r="G90" s="175" t="str">
        <f>IF(E90="","",IF(ISNA(VLOOKUP($E90,'D-1 Off Site Habitat Baseline'!$D$1:$O$258,5,FALSE)),"",(VLOOKUP($E90,'D-1 Off Site Habitat Baseline'!$D$1:$O$258,5,FALSE))))</f>
        <v/>
      </c>
      <c r="H90" s="175" t="str">
        <f>IF(E90="","",IF(ISNA(VLOOKUP($E90,'D-1 Off Site Habitat Baseline'!$D$1:$O$258,6,FALSE)),"",(VLOOKUP($E90,'D-1 Off Site Habitat Baseline'!$D$1:$O$258,6,FALSE))))</f>
        <v/>
      </c>
      <c r="I90" s="175" t="str">
        <f>IF(E90="","",IF(ISNA(VLOOKUP($E90,'D-1 Off Site Habitat Baseline'!$D$1:$O$258,7,FALSE)),"",(VLOOKUP($E90,'D-1 Off Site Habitat Baseline'!$D$1:$O$258,7,FALSE))))</f>
        <v/>
      </c>
      <c r="J90" s="175" t="str">
        <f>IF(E90="","",IF(ISNA(VLOOKUP($E90,'D-1 Off Site Habitat Baseline'!$D$1:$O$258,8,FALSE)),"",(VLOOKUP($E90,'D-1 Off Site Habitat Baseline'!$D$1:$O$258,8,FALSE))))</f>
        <v/>
      </c>
      <c r="K90" s="175" t="str">
        <f>IF(E90="","",IF(ISNA(VLOOKUP($E90,'D-1 Off Site Habitat Baseline'!$D$1:$O$258,9,FALSE)),"",(VLOOKUP($E90,'D-1 Off Site Habitat Baseline'!$D$1:$O$258,9,FALSE))))</f>
        <v/>
      </c>
      <c r="L90" s="175" t="str">
        <f>IF(E90="","",IF(ISNA(VLOOKUP($E90,'D-1 Off Site Habitat Baseline'!$D$1:$O$258,11,FALSE)),"",(VLOOKUP($E90,'D-1 Off Site Habitat Baseline'!$D$1:$O$258,11,FALSE))))</f>
        <v/>
      </c>
      <c r="M90" s="175" t="str">
        <f>IF(E90="","",IF(ISNA(VLOOKUP($E90,'D-1 Off Site Habitat Baseline'!$D$1:$O$258,12,FALSE)),"",(VLOOKUP($E90,'D-1 Off Site Habitat Baseline'!$D$1:$O$258,12,FALSE))))</f>
        <v/>
      </c>
      <c r="N90" s="175" t="str">
        <f>IF(E90="","",IF(ISNA(VLOOKUP($E90,'D-1 Off Site Habitat Baseline'!$D$1:$X$258,14,FALSE)),"",(VLOOKUP($E90,'D-1 Off Site Habitat Baseline'!$D$1:$X$258,14,FALSE))))</f>
        <v/>
      </c>
      <c r="O90" s="176" t="str">
        <f>IF(E90="","",IF(ISNA(VLOOKUP($E90,'D-1 Off Site Habitat Baseline'!$D$1:$X$258,13,FALSE)),"",(VLOOKUP($E90,'D-1 Off Site Habitat Baseline'!$D$1:$X$258,13,FALSE))))</f>
        <v/>
      </c>
      <c r="P90" s="337" t="str">
        <f>IFERROR(INDEX('G-1 All Habitats'!$AG$3:$AG$15,MATCH(Q90,'G-1 All Habitats'!$AF$3:$AF$15,0)),"")</f>
        <v/>
      </c>
      <c r="Q90" s="331" t="str">
        <f t="shared" si="24"/>
        <v/>
      </c>
      <c r="R90" s="332" t="str">
        <f t="shared" si="25"/>
        <v/>
      </c>
      <c r="S90" s="338" t="str">
        <f>IFERROR(INDEX('G-1 All Habitats'!$B$3:$B$130,MATCH(R90,'G-1 All Habitats'!$A$3:$A$130,0)),"")</f>
        <v/>
      </c>
      <c r="T90" s="179" t="str">
        <f t="shared" si="17"/>
        <v/>
      </c>
      <c r="U90" s="172" t="str">
        <f t="shared" si="18"/>
        <v/>
      </c>
      <c r="V90" s="334" t="str">
        <f t="shared" si="15"/>
        <v/>
      </c>
      <c r="W90" s="175" t="str">
        <f>IF(S90="","",VLOOKUP(S90,'G-1 All Habitats'!$B$2:$M$130,10,FALSE))</f>
        <v/>
      </c>
      <c r="X90" s="175" t="str">
        <f>IFERROR(VLOOKUP(W90,'G-1 All Habitats'!$V$3:$W$7,2,FALSE),"")</f>
        <v/>
      </c>
      <c r="Y90" s="275"/>
      <c r="Z90" s="176" t="str">
        <f>IFERROR(INDEX('G-8 Condition Look up'!$A$3:$H$131,MATCH(S90,'G-8 Condition Look up'!$A$3:$A$131,0),MATCH(Y90,'G-8 Condition Look up'!$A$3:$H$3,0)),"")</f>
        <v/>
      </c>
      <c r="AA90" s="173"/>
      <c r="AB90" s="269" t="str">
        <f>IF(AA90="","",IF(VLOOKUP(AA90,'G-3 Multipliers'!$L$3:$N$6,2,FALSE)=0,"Spatial Data Missing",VLOOKUP(AA90,'G-3 Multipliers'!$L$3:$N$6,2,FALSE)))</f>
        <v/>
      </c>
      <c r="AC90" s="176" t="str">
        <f>IF(AA90="","",IF(VLOOKUP(AA90,'G-3 Multipliers'!$L$3:$N$6,3,FALSE)=0,"Spatial Data Missing",VLOOKUP(AA90,'G-3 Multipliers'!$L$3:$N$6,3,FALSE)))</f>
        <v/>
      </c>
      <c r="AD90" s="239" t="str">
        <f t="shared" si="16"/>
        <v/>
      </c>
      <c r="AE90" s="275"/>
      <c r="AF90" s="275"/>
      <c r="AG90" s="175" t="str">
        <f t="shared" si="19"/>
        <v/>
      </c>
      <c r="AH90" s="242" t="str">
        <f t="shared" si="20"/>
        <v/>
      </c>
      <c r="AI90" s="335" t="str">
        <f>IF(AH90="Check Data","Check Data",IFERROR(VLOOKUP(AH90,'G-4 Temporal multipliers'!$A$4:$C$36,3,FALSE),""))</f>
        <v/>
      </c>
      <c r="AJ90" s="239" t="str">
        <f>IF(S90="","",VLOOKUP(S90,'G-3 Multipliers'!$A$2:$E$130,4,FALSE))</f>
        <v/>
      </c>
      <c r="AK90" s="175" t="str">
        <f t="shared" si="21"/>
        <v/>
      </c>
      <c r="AL90" s="175" t="str">
        <f t="shared" si="22"/>
        <v/>
      </c>
      <c r="AM90" s="176" t="str">
        <f>IFERROR(IF(F90="","",IF(AH90="Check Data","Check Data",VLOOKUP(AL90, 'G-3 Multipliers'!$P$2:$Q$6,2,FALSE))),””)</f>
        <v/>
      </c>
      <c r="AN90" s="266"/>
      <c r="AO90" s="269" t="str">
        <f>IF(AN90="","",IF(VLOOKUP(AN90,'G-3 Multipliers'!$S$3:$T$9,2,FALSE)=0,"Spatial Data Missing",VLOOKUP(AN90,'G-3 Multipliers'!$S$3:$T$9,2,FALSE)))</f>
        <v/>
      </c>
      <c r="AP90" s="207" t="str">
        <f t="shared" si="23"/>
        <v/>
      </c>
      <c r="AQ90" s="336"/>
      <c r="AR90" s="181"/>
    </row>
    <row r="91" spans="1:44" x14ac:dyDescent="0.25">
      <c r="A91" s="35" t="str">
        <f>IF(E91="","",IF(ISNA(VLOOKUP($E91,'D-1 Off Site Habitat Baseline'!$D$1:$O$258,2,FALSE)),"",(VLOOKUP($E91,'D-1 Off Site Habitat Baseline'!$D$1:$O$258,2,FALSE))))</f>
        <v/>
      </c>
      <c r="B91" s="35" t="str">
        <f>IF(E91="","",IF(ISNA(VLOOKUP($E91,'D-1 Off Site Habitat Baseline'!$D$1:$O$258,3,FALSE)),"",(VLOOKUP($E91,'D-1 Off Site Habitat Baseline'!$D$1:$O$258,3,FALSE))))</f>
        <v/>
      </c>
      <c r="C91" s="35" t="str">
        <f>IFERROR(INDEX('G-8 Condition Look up'!$I$4:$I$131,MATCH(S91,'G-8 Condition Look up'!$A$4:$A$131,0)),"")</f>
        <v/>
      </c>
      <c r="E91" s="329" t="str">
        <f>'D-1 Off Site Habitat Baseline'!AL90</f>
        <v/>
      </c>
      <c r="F91" s="175" t="str">
        <f>IF(E91="","",IF(ISNA(VLOOKUP($E91,'D-1 Off Site Habitat Baseline'!$D$1:$O$258,4,FALSE)),"",(VLOOKUP($E91,'D-1 Off Site Habitat Baseline'!$D$1:$O$258,4,FALSE))))</f>
        <v/>
      </c>
      <c r="G91" s="175" t="str">
        <f>IF(E91="","",IF(ISNA(VLOOKUP($E91,'D-1 Off Site Habitat Baseline'!$D$1:$O$258,5,FALSE)),"",(VLOOKUP($E91,'D-1 Off Site Habitat Baseline'!$D$1:$O$258,5,FALSE))))</f>
        <v/>
      </c>
      <c r="H91" s="175" t="str">
        <f>IF(E91="","",IF(ISNA(VLOOKUP($E91,'D-1 Off Site Habitat Baseline'!$D$1:$O$258,6,FALSE)),"",(VLOOKUP($E91,'D-1 Off Site Habitat Baseline'!$D$1:$O$258,6,FALSE))))</f>
        <v/>
      </c>
      <c r="I91" s="175" t="str">
        <f>IF(E91="","",IF(ISNA(VLOOKUP($E91,'D-1 Off Site Habitat Baseline'!$D$1:$O$258,7,FALSE)),"",(VLOOKUP($E91,'D-1 Off Site Habitat Baseline'!$D$1:$O$258,7,FALSE))))</f>
        <v/>
      </c>
      <c r="J91" s="175" t="str">
        <f>IF(E91="","",IF(ISNA(VLOOKUP($E91,'D-1 Off Site Habitat Baseline'!$D$1:$O$258,8,FALSE)),"",(VLOOKUP($E91,'D-1 Off Site Habitat Baseline'!$D$1:$O$258,8,FALSE))))</f>
        <v/>
      </c>
      <c r="K91" s="175" t="str">
        <f>IF(E91="","",IF(ISNA(VLOOKUP($E91,'D-1 Off Site Habitat Baseline'!$D$1:$O$258,9,FALSE)),"",(VLOOKUP($E91,'D-1 Off Site Habitat Baseline'!$D$1:$O$258,9,FALSE))))</f>
        <v/>
      </c>
      <c r="L91" s="175" t="str">
        <f>IF(E91="","",IF(ISNA(VLOOKUP($E91,'D-1 Off Site Habitat Baseline'!$D$1:$O$258,11,FALSE)),"",(VLOOKUP($E91,'D-1 Off Site Habitat Baseline'!$D$1:$O$258,11,FALSE))))</f>
        <v/>
      </c>
      <c r="M91" s="175" t="str">
        <f>IF(E91="","",IF(ISNA(VLOOKUP($E91,'D-1 Off Site Habitat Baseline'!$D$1:$O$258,12,FALSE)),"",(VLOOKUP($E91,'D-1 Off Site Habitat Baseline'!$D$1:$O$258,12,FALSE))))</f>
        <v/>
      </c>
      <c r="N91" s="175" t="str">
        <f>IF(E91="","",IF(ISNA(VLOOKUP($E91,'D-1 Off Site Habitat Baseline'!$D$1:$X$258,14,FALSE)),"",(VLOOKUP($E91,'D-1 Off Site Habitat Baseline'!$D$1:$X$258,14,FALSE))))</f>
        <v/>
      </c>
      <c r="O91" s="176" t="str">
        <f>IF(E91="","",IF(ISNA(VLOOKUP($E91,'D-1 Off Site Habitat Baseline'!$D$1:$X$258,13,FALSE)),"",(VLOOKUP($E91,'D-1 Off Site Habitat Baseline'!$D$1:$X$258,13,FALSE))))</f>
        <v/>
      </c>
      <c r="P91" s="337" t="str">
        <f>IFERROR(INDEX('G-1 All Habitats'!$AG$3:$AG$15,MATCH(Q91,'G-1 All Habitats'!$AF$3:$AF$15,0)),"")</f>
        <v/>
      </c>
      <c r="Q91" s="331" t="str">
        <f t="shared" si="24"/>
        <v/>
      </c>
      <c r="R91" s="332" t="str">
        <f t="shared" si="25"/>
        <v/>
      </c>
      <c r="S91" s="338" t="str">
        <f>IFERROR(INDEX('G-1 All Habitats'!$B$3:$B$130,MATCH(R91,'G-1 All Habitats'!$A$3:$A$130,0)),"")</f>
        <v/>
      </c>
      <c r="T91" s="179" t="str">
        <f t="shared" si="17"/>
        <v/>
      </c>
      <c r="U91" s="172" t="str">
        <f t="shared" si="18"/>
        <v/>
      </c>
      <c r="V91" s="334" t="str">
        <f t="shared" si="15"/>
        <v/>
      </c>
      <c r="W91" s="175" t="str">
        <f>IF(S91="","",VLOOKUP(S91,'G-1 All Habitats'!$B$2:$M$130,10,FALSE))</f>
        <v/>
      </c>
      <c r="X91" s="175" t="str">
        <f>IFERROR(VLOOKUP(W91,'G-1 All Habitats'!$V$3:$W$7,2,FALSE),"")</f>
        <v/>
      </c>
      <c r="Y91" s="275"/>
      <c r="Z91" s="176" t="str">
        <f>IFERROR(INDEX('G-8 Condition Look up'!$A$3:$H$131,MATCH(S91,'G-8 Condition Look up'!$A$3:$A$131,0),MATCH(Y91,'G-8 Condition Look up'!$A$3:$H$3,0)),"")</f>
        <v/>
      </c>
      <c r="AA91" s="173"/>
      <c r="AB91" s="269" t="str">
        <f>IF(AA91="","",IF(VLOOKUP(AA91,'G-3 Multipliers'!$L$3:$N$6,2,FALSE)=0,"Spatial Data Missing",VLOOKUP(AA91,'G-3 Multipliers'!$L$3:$N$6,2,FALSE)))</f>
        <v/>
      </c>
      <c r="AC91" s="176" t="str">
        <f>IF(AA91="","",IF(VLOOKUP(AA91,'G-3 Multipliers'!$L$3:$N$6,3,FALSE)=0,"Spatial Data Missing",VLOOKUP(AA91,'G-3 Multipliers'!$L$3:$N$6,3,FALSE)))</f>
        <v/>
      </c>
      <c r="AD91" s="239" t="str">
        <f t="shared" si="16"/>
        <v/>
      </c>
      <c r="AE91" s="275"/>
      <c r="AF91" s="275"/>
      <c r="AG91" s="175" t="str">
        <f t="shared" si="19"/>
        <v/>
      </c>
      <c r="AH91" s="242" t="str">
        <f t="shared" si="20"/>
        <v/>
      </c>
      <c r="AI91" s="335" t="str">
        <f>IF(AH91="Check Data","Check Data",IFERROR(VLOOKUP(AH91,'G-4 Temporal multipliers'!$A$4:$C$36,3,FALSE),""))</f>
        <v/>
      </c>
      <c r="AJ91" s="239" t="str">
        <f>IF(S91="","",VLOOKUP(S91,'G-3 Multipliers'!$A$2:$E$130,4,FALSE))</f>
        <v/>
      </c>
      <c r="AK91" s="175" t="str">
        <f t="shared" si="21"/>
        <v/>
      </c>
      <c r="AL91" s="175" t="str">
        <f t="shared" si="22"/>
        <v/>
      </c>
      <c r="AM91" s="176" t="str">
        <f>IFERROR(IF(F91="","",IF(AH91="Check Data","Check Data",VLOOKUP(AL91, 'G-3 Multipliers'!$P$2:$Q$6,2,FALSE))),””)</f>
        <v/>
      </c>
      <c r="AN91" s="266"/>
      <c r="AO91" s="269" t="str">
        <f>IF(AN91="","",IF(VLOOKUP(AN91,'G-3 Multipliers'!$S$3:$T$9,2,FALSE)=0,"Spatial Data Missing",VLOOKUP(AN91,'G-3 Multipliers'!$S$3:$T$9,2,FALSE)))</f>
        <v/>
      </c>
      <c r="AP91" s="207" t="str">
        <f t="shared" si="23"/>
        <v/>
      </c>
      <c r="AQ91" s="336"/>
      <c r="AR91" s="181"/>
    </row>
    <row r="92" spans="1:44" x14ac:dyDescent="0.25">
      <c r="A92" s="35" t="str">
        <f>IF(E92="","",IF(ISNA(VLOOKUP($E92,'D-1 Off Site Habitat Baseline'!$D$1:$O$258,2,FALSE)),"",(VLOOKUP($E92,'D-1 Off Site Habitat Baseline'!$D$1:$O$258,2,FALSE))))</f>
        <v/>
      </c>
      <c r="B92" s="35" t="str">
        <f>IF(E92="","",IF(ISNA(VLOOKUP($E92,'D-1 Off Site Habitat Baseline'!$D$1:$O$258,3,FALSE)),"",(VLOOKUP($E92,'D-1 Off Site Habitat Baseline'!$D$1:$O$258,3,FALSE))))</f>
        <v/>
      </c>
      <c r="C92" s="35" t="str">
        <f>IFERROR(INDEX('G-8 Condition Look up'!$I$4:$I$131,MATCH(S92,'G-8 Condition Look up'!$A$4:$A$131,0)),"")</f>
        <v/>
      </c>
      <c r="E92" s="329" t="str">
        <f>'D-1 Off Site Habitat Baseline'!AL91</f>
        <v/>
      </c>
      <c r="F92" s="175" t="str">
        <f>IF(E92="","",IF(ISNA(VLOOKUP($E92,'D-1 Off Site Habitat Baseline'!$D$1:$O$258,4,FALSE)),"",(VLOOKUP($E92,'D-1 Off Site Habitat Baseline'!$D$1:$O$258,4,FALSE))))</f>
        <v/>
      </c>
      <c r="G92" s="175" t="str">
        <f>IF(E92="","",IF(ISNA(VLOOKUP($E92,'D-1 Off Site Habitat Baseline'!$D$1:$O$258,5,FALSE)),"",(VLOOKUP($E92,'D-1 Off Site Habitat Baseline'!$D$1:$O$258,5,FALSE))))</f>
        <v/>
      </c>
      <c r="H92" s="175" t="str">
        <f>IF(E92="","",IF(ISNA(VLOOKUP($E92,'D-1 Off Site Habitat Baseline'!$D$1:$O$258,6,FALSE)),"",(VLOOKUP($E92,'D-1 Off Site Habitat Baseline'!$D$1:$O$258,6,FALSE))))</f>
        <v/>
      </c>
      <c r="I92" s="175" t="str">
        <f>IF(E92="","",IF(ISNA(VLOOKUP($E92,'D-1 Off Site Habitat Baseline'!$D$1:$O$258,7,FALSE)),"",(VLOOKUP($E92,'D-1 Off Site Habitat Baseline'!$D$1:$O$258,7,FALSE))))</f>
        <v/>
      </c>
      <c r="J92" s="175" t="str">
        <f>IF(E92="","",IF(ISNA(VLOOKUP($E92,'D-1 Off Site Habitat Baseline'!$D$1:$O$258,8,FALSE)),"",(VLOOKUP($E92,'D-1 Off Site Habitat Baseline'!$D$1:$O$258,8,FALSE))))</f>
        <v/>
      </c>
      <c r="K92" s="175" t="str">
        <f>IF(E92="","",IF(ISNA(VLOOKUP($E92,'D-1 Off Site Habitat Baseline'!$D$1:$O$258,9,FALSE)),"",(VLOOKUP($E92,'D-1 Off Site Habitat Baseline'!$D$1:$O$258,9,FALSE))))</f>
        <v/>
      </c>
      <c r="L92" s="175" t="str">
        <f>IF(E92="","",IF(ISNA(VLOOKUP($E92,'D-1 Off Site Habitat Baseline'!$D$1:$O$258,11,FALSE)),"",(VLOOKUP($E92,'D-1 Off Site Habitat Baseline'!$D$1:$O$258,11,FALSE))))</f>
        <v/>
      </c>
      <c r="M92" s="175" t="str">
        <f>IF(E92="","",IF(ISNA(VLOOKUP($E92,'D-1 Off Site Habitat Baseline'!$D$1:$O$258,12,FALSE)),"",(VLOOKUP($E92,'D-1 Off Site Habitat Baseline'!$D$1:$O$258,12,FALSE))))</f>
        <v/>
      </c>
      <c r="N92" s="175" t="str">
        <f>IF(E92="","",IF(ISNA(VLOOKUP($E92,'D-1 Off Site Habitat Baseline'!$D$1:$X$258,14,FALSE)),"",(VLOOKUP($E92,'D-1 Off Site Habitat Baseline'!$D$1:$X$258,14,FALSE))))</f>
        <v/>
      </c>
      <c r="O92" s="176" t="str">
        <f>IF(E92="","",IF(ISNA(VLOOKUP($E92,'D-1 Off Site Habitat Baseline'!$D$1:$X$258,13,FALSE)),"",(VLOOKUP($E92,'D-1 Off Site Habitat Baseline'!$D$1:$X$258,13,FALSE))))</f>
        <v/>
      </c>
      <c r="P92" s="337" t="str">
        <f>IFERROR(INDEX('G-1 All Habitats'!$AG$3:$AG$15,MATCH(Q92,'G-1 All Habitats'!$AF$3:$AF$15,0)),"")</f>
        <v/>
      </c>
      <c r="Q92" s="331" t="str">
        <f t="shared" si="24"/>
        <v/>
      </c>
      <c r="R92" s="332" t="str">
        <f t="shared" si="25"/>
        <v/>
      </c>
      <c r="S92" s="338" t="str">
        <f>IFERROR(INDEX('G-1 All Habitats'!$B$3:$B$130,MATCH(R92,'G-1 All Habitats'!$A$3:$A$130,0)),"")</f>
        <v/>
      </c>
      <c r="T92" s="179" t="str">
        <f t="shared" si="17"/>
        <v/>
      </c>
      <c r="U92" s="172" t="str">
        <f t="shared" si="18"/>
        <v/>
      </c>
      <c r="V92" s="334" t="str">
        <f t="shared" si="15"/>
        <v/>
      </c>
      <c r="W92" s="175" t="str">
        <f>IF(S92="","",VLOOKUP(S92,'G-1 All Habitats'!$B$2:$M$130,10,FALSE))</f>
        <v/>
      </c>
      <c r="X92" s="175" t="str">
        <f>IFERROR(VLOOKUP(W92,'G-1 All Habitats'!$V$3:$W$7,2,FALSE),"")</f>
        <v/>
      </c>
      <c r="Y92" s="275"/>
      <c r="Z92" s="176" t="str">
        <f>IFERROR(INDEX('G-8 Condition Look up'!$A$3:$H$131,MATCH(S92,'G-8 Condition Look up'!$A$3:$A$131,0),MATCH(Y92,'G-8 Condition Look up'!$A$3:$H$3,0)),"")</f>
        <v/>
      </c>
      <c r="AA92" s="173"/>
      <c r="AB92" s="269" t="str">
        <f>IF(AA92="","",IF(VLOOKUP(AA92,'G-3 Multipliers'!$L$3:$N$6,2,FALSE)=0,"Spatial Data Missing",VLOOKUP(AA92,'G-3 Multipliers'!$L$3:$N$6,2,FALSE)))</f>
        <v/>
      </c>
      <c r="AC92" s="176" t="str">
        <f>IF(AA92="","",IF(VLOOKUP(AA92,'G-3 Multipliers'!$L$3:$N$6,3,FALSE)=0,"Spatial Data Missing",VLOOKUP(AA92,'G-3 Multipliers'!$L$3:$N$6,3,FALSE)))</f>
        <v/>
      </c>
      <c r="AD92" s="239" t="str">
        <f t="shared" si="16"/>
        <v/>
      </c>
      <c r="AE92" s="275"/>
      <c r="AF92" s="275"/>
      <c r="AG92" s="175" t="str">
        <f t="shared" si="19"/>
        <v/>
      </c>
      <c r="AH92" s="242" t="str">
        <f t="shared" si="20"/>
        <v/>
      </c>
      <c r="AI92" s="335" t="str">
        <f>IF(AH92="Check Data","Check Data",IFERROR(VLOOKUP(AH92,'G-4 Temporal multipliers'!$A$4:$C$36,3,FALSE),""))</f>
        <v/>
      </c>
      <c r="AJ92" s="239" t="str">
        <f>IF(S92="","",VLOOKUP(S92,'G-3 Multipliers'!$A$2:$E$130,4,FALSE))</f>
        <v/>
      </c>
      <c r="AK92" s="175" t="str">
        <f t="shared" si="21"/>
        <v/>
      </c>
      <c r="AL92" s="175" t="str">
        <f t="shared" si="22"/>
        <v/>
      </c>
      <c r="AM92" s="176" t="str">
        <f>IFERROR(IF(F92="","",IF(AH92="Check Data","Check Data",VLOOKUP(AL92, 'G-3 Multipliers'!$P$2:$Q$6,2,FALSE))),””)</f>
        <v/>
      </c>
      <c r="AN92" s="266"/>
      <c r="AO92" s="269" t="str">
        <f>IF(AN92="","",IF(VLOOKUP(AN92,'G-3 Multipliers'!$S$3:$T$9,2,FALSE)=0,"Spatial Data Missing",VLOOKUP(AN92,'G-3 Multipliers'!$S$3:$T$9,2,FALSE)))</f>
        <v/>
      </c>
      <c r="AP92" s="207" t="str">
        <f t="shared" si="23"/>
        <v/>
      </c>
      <c r="AQ92" s="336"/>
      <c r="AR92" s="181"/>
    </row>
    <row r="93" spans="1:44" x14ac:dyDescent="0.25">
      <c r="A93" s="35" t="str">
        <f>IF(E93="","",IF(ISNA(VLOOKUP($E93,'D-1 Off Site Habitat Baseline'!$D$1:$O$258,2,FALSE)),"",(VLOOKUP($E93,'D-1 Off Site Habitat Baseline'!$D$1:$O$258,2,FALSE))))</f>
        <v/>
      </c>
      <c r="B93" s="35" t="str">
        <f>IF(E93="","",IF(ISNA(VLOOKUP($E93,'D-1 Off Site Habitat Baseline'!$D$1:$O$258,3,FALSE)),"",(VLOOKUP($E93,'D-1 Off Site Habitat Baseline'!$D$1:$O$258,3,FALSE))))</f>
        <v/>
      </c>
      <c r="C93" s="35" t="str">
        <f>IFERROR(INDEX('G-8 Condition Look up'!$I$4:$I$131,MATCH(S93,'G-8 Condition Look up'!$A$4:$A$131,0)),"")</f>
        <v/>
      </c>
      <c r="E93" s="329" t="str">
        <f>'D-1 Off Site Habitat Baseline'!AL92</f>
        <v/>
      </c>
      <c r="F93" s="175" t="str">
        <f>IF(E93="","",IF(ISNA(VLOOKUP($E93,'D-1 Off Site Habitat Baseline'!$D$1:$O$258,4,FALSE)),"",(VLOOKUP($E93,'D-1 Off Site Habitat Baseline'!$D$1:$O$258,4,FALSE))))</f>
        <v/>
      </c>
      <c r="G93" s="175" t="str">
        <f>IF(E93="","",IF(ISNA(VLOOKUP($E93,'D-1 Off Site Habitat Baseline'!$D$1:$O$258,5,FALSE)),"",(VLOOKUP($E93,'D-1 Off Site Habitat Baseline'!$D$1:$O$258,5,FALSE))))</f>
        <v/>
      </c>
      <c r="H93" s="175" t="str">
        <f>IF(E93="","",IF(ISNA(VLOOKUP($E93,'D-1 Off Site Habitat Baseline'!$D$1:$O$258,6,FALSE)),"",(VLOOKUP($E93,'D-1 Off Site Habitat Baseline'!$D$1:$O$258,6,FALSE))))</f>
        <v/>
      </c>
      <c r="I93" s="175" t="str">
        <f>IF(E93="","",IF(ISNA(VLOOKUP($E93,'D-1 Off Site Habitat Baseline'!$D$1:$O$258,7,FALSE)),"",(VLOOKUP($E93,'D-1 Off Site Habitat Baseline'!$D$1:$O$258,7,FALSE))))</f>
        <v/>
      </c>
      <c r="J93" s="175" t="str">
        <f>IF(E93="","",IF(ISNA(VLOOKUP($E93,'D-1 Off Site Habitat Baseline'!$D$1:$O$258,8,FALSE)),"",(VLOOKUP($E93,'D-1 Off Site Habitat Baseline'!$D$1:$O$258,8,FALSE))))</f>
        <v/>
      </c>
      <c r="K93" s="175" t="str">
        <f>IF(E93="","",IF(ISNA(VLOOKUP($E93,'D-1 Off Site Habitat Baseline'!$D$1:$O$258,9,FALSE)),"",(VLOOKUP($E93,'D-1 Off Site Habitat Baseline'!$D$1:$O$258,9,FALSE))))</f>
        <v/>
      </c>
      <c r="L93" s="175" t="str">
        <f>IF(E93="","",IF(ISNA(VLOOKUP($E93,'D-1 Off Site Habitat Baseline'!$D$1:$O$258,11,FALSE)),"",(VLOOKUP($E93,'D-1 Off Site Habitat Baseline'!$D$1:$O$258,11,FALSE))))</f>
        <v/>
      </c>
      <c r="M93" s="175" t="str">
        <f>IF(E93="","",IF(ISNA(VLOOKUP($E93,'D-1 Off Site Habitat Baseline'!$D$1:$O$258,12,FALSE)),"",(VLOOKUP($E93,'D-1 Off Site Habitat Baseline'!$D$1:$O$258,12,FALSE))))</f>
        <v/>
      </c>
      <c r="N93" s="175" t="str">
        <f>IF(E93="","",IF(ISNA(VLOOKUP($E93,'D-1 Off Site Habitat Baseline'!$D$1:$X$258,14,FALSE)),"",(VLOOKUP($E93,'D-1 Off Site Habitat Baseline'!$D$1:$X$258,14,FALSE))))</f>
        <v/>
      </c>
      <c r="O93" s="176" t="str">
        <f>IF(E93="","",IF(ISNA(VLOOKUP($E93,'D-1 Off Site Habitat Baseline'!$D$1:$X$258,13,FALSE)),"",(VLOOKUP($E93,'D-1 Off Site Habitat Baseline'!$D$1:$X$258,13,FALSE))))</f>
        <v/>
      </c>
      <c r="P93" s="337" t="str">
        <f>IFERROR(INDEX('G-1 All Habitats'!$AG$3:$AG$15,MATCH(Q93,'G-1 All Habitats'!$AF$3:$AF$15,0)),"")</f>
        <v/>
      </c>
      <c r="Q93" s="331" t="str">
        <f t="shared" si="24"/>
        <v/>
      </c>
      <c r="R93" s="332" t="str">
        <f t="shared" si="25"/>
        <v/>
      </c>
      <c r="S93" s="338" t="str">
        <f>IFERROR(INDEX('G-1 All Habitats'!$B$3:$B$130,MATCH(R93,'G-1 All Habitats'!$A$3:$A$130,0)),"")</f>
        <v/>
      </c>
      <c r="T93" s="179" t="str">
        <f t="shared" si="17"/>
        <v/>
      </c>
      <c r="U93" s="172" t="str">
        <f t="shared" si="18"/>
        <v/>
      </c>
      <c r="V93" s="334" t="str">
        <f t="shared" si="15"/>
        <v/>
      </c>
      <c r="W93" s="175" t="str">
        <f>IF(S93="","",VLOOKUP(S93,'G-1 All Habitats'!$B$2:$M$130,10,FALSE))</f>
        <v/>
      </c>
      <c r="X93" s="175" t="str">
        <f>IFERROR(VLOOKUP(W93,'G-1 All Habitats'!$V$3:$W$7,2,FALSE),"")</f>
        <v/>
      </c>
      <c r="Y93" s="275"/>
      <c r="Z93" s="176" t="str">
        <f>IFERROR(INDEX('G-8 Condition Look up'!$A$3:$H$131,MATCH(S93,'G-8 Condition Look up'!$A$3:$A$131,0),MATCH(Y93,'G-8 Condition Look up'!$A$3:$H$3,0)),"")</f>
        <v/>
      </c>
      <c r="AA93" s="173"/>
      <c r="AB93" s="269" t="str">
        <f>IF(AA93="","",IF(VLOOKUP(AA93,'G-3 Multipliers'!$L$3:$N$6,2,FALSE)=0,"Spatial Data Missing",VLOOKUP(AA93,'G-3 Multipliers'!$L$3:$N$6,2,FALSE)))</f>
        <v/>
      </c>
      <c r="AC93" s="176" t="str">
        <f>IF(AA93="","",IF(VLOOKUP(AA93,'G-3 Multipliers'!$L$3:$N$6,3,FALSE)=0,"Spatial Data Missing",VLOOKUP(AA93,'G-3 Multipliers'!$L$3:$N$6,3,FALSE)))</f>
        <v/>
      </c>
      <c r="AD93" s="239" t="str">
        <f t="shared" si="16"/>
        <v/>
      </c>
      <c r="AE93" s="275"/>
      <c r="AF93" s="275"/>
      <c r="AG93" s="175" t="str">
        <f t="shared" si="19"/>
        <v/>
      </c>
      <c r="AH93" s="242" t="str">
        <f t="shared" si="20"/>
        <v/>
      </c>
      <c r="AI93" s="335" t="str">
        <f>IF(AH93="Check Data","Check Data",IFERROR(VLOOKUP(AH93,'G-4 Temporal multipliers'!$A$4:$C$36,3,FALSE),""))</f>
        <v/>
      </c>
      <c r="AJ93" s="239" t="str">
        <f>IF(S93="","",VLOOKUP(S93,'G-3 Multipliers'!$A$2:$E$130,4,FALSE))</f>
        <v/>
      </c>
      <c r="AK93" s="175" t="str">
        <f t="shared" si="21"/>
        <v/>
      </c>
      <c r="AL93" s="175" t="str">
        <f t="shared" si="22"/>
        <v/>
      </c>
      <c r="AM93" s="176" t="str">
        <f>IFERROR(IF(F93="","",IF(AH93="Check Data","Check Data",VLOOKUP(AL93, 'G-3 Multipliers'!$P$2:$Q$6,2,FALSE))),””)</f>
        <v/>
      </c>
      <c r="AN93" s="266"/>
      <c r="AO93" s="269" t="str">
        <f>IF(AN93="","",IF(VLOOKUP(AN93,'G-3 Multipliers'!$S$3:$T$9,2,FALSE)=0,"Spatial Data Missing",VLOOKUP(AN93,'G-3 Multipliers'!$S$3:$T$9,2,FALSE)))</f>
        <v/>
      </c>
      <c r="AP93" s="207" t="str">
        <f t="shared" si="23"/>
        <v/>
      </c>
      <c r="AQ93" s="336"/>
      <c r="AR93" s="181"/>
    </row>
    <row r="94" spans="1:44" x14ac:dyDescent="0.25">
      <c r="A94" s="35" t="str">
        <f>IF(E94="","",IF(ISNA(VLOOKUP($E94,'D-1 Off Site Habitat Baseline'!$D$1:$O$258,2,FALSE)),"",(VLOOKUP($E94,'D-1 Off Site Habitat Baseline'!$D$1:$O$258,2,FALSE))))</f>
        <v/>
      </c>
      <c r="B94" s="35" t="str">
        <f>IF(E94="","",IF(ISNA(VLOOKUP($E94,'D-1 Off Site Habitat Baseline'!$D$1:$O$258,3,FALSE)),"",(VLOOKUP($E94,'D-1 Off Site Habitat Baseline'!$D$1:$O$258,3,FALSE))))</f>
        <v/>
      </c>
      <c r="C94" s="35" t="str">
        <f>IFERROR(INDEX('G-8 Condition Look up'!$I$4:$I$131,MATCH(S94,'G-8 Condition Look up'!$A$4:$A$131,0)),"")</f>
        <v/>
      </c>
      <c r="E94" s="329" t="str">
        <f>'D-1 Off Site Habitat Baseline'!AL93</f>
        <v/>
      </c>
      <c r="F94" s="175" t="str">
        <f>IF(E94="","",IF(ISNA(VLOOKUP($E94,'D-1 Off Site Habitat Baseline'!$D$1:$O$258,4,FALSE)),"",(VLOOKUP($E94,'D-1 Off Site Habitat Baseline'!$D$1:$O$258,4,FALSE))))</f>
        <v/>
      </c>
      <c r="G94" s="175" t="str">
        <f>IF(E94="","",IF(ISNA(VLOOKUP($E94,'D-1 Off Site Habitat Baseline'!$D$1:$O$258,5,FALSE)),"",(VLOOKUP($E94,'D-1 Off Site Habitat Baseline'!$D$1:$O$258,5,FALSE))))</f>
        <v/>
      </c>
      <c r="H94" s="175" t="str">
        <f>IF(E94="","",IF(ISNA(VLOOKUP($E94,'D-1 Off Site Habitat Baseline'!$D$1:$O$258,6,FALSE)),"",(VLOOKUP($E94,'D-1 Off Site Habitat Baseline'!$D$1:$O$258,6,FALSE))))</f>
        <v/>
      </c>
      <c r="I94" s="175" t="str">
        <f>IF(E94="","",IF(ISNA(VLOOKUP($E94,'D-1 Off Site Habitat Baseline'!$D$1:$O$258,7,FALSE)),"",(VLOOKUP($E94,'D-1 Off Site Habitat Baseline'!$D$1:$O$258,7,FALSE))))</f>
        <v/>
      </c>
      <c r="J94" s="175" t="str">
        <f>IF(E94="","",IF(ISNA(VLOOKUP($E94,'D-1 Off Site Habitat Baseline'!$D$1:$O$258,8,FALSE)),"",(VLOOKUP($E94,'D-1 Off Site Habitat Baseline'!$D$1:$O$258,8,FALSE))))</f>
        <v/>
      </c>
      <c r="K94" s="175" t="str">
        <f>IF(E94="","",IF(ISNA(VLOOKUP($E94,'D-1 Off Site Habitat Baseline'!$D$1:$O$258,9,FALSE)),"",(VLOOKUP($E94,'D-1 Off Site Habitat Baseline'!$D$1:$O$258,9,FALSE))))</f>
        <v/>
      </c>
      <c r="L94" s="175" t="str">
        <f>IF(E94="","",IF(ISNA(VLOOKUP($E94,'D-1 Off Site Habitat Baseline'!$D$1:$O$258,11,FALSE)),"",(VLOOKUP($E94,'D-1 Off Site Habitat Baseline'!$D$1:$O$258,11,FALSE))))</f>
        <v/>
      </c>
      <c r="M94" s="175" t="str">
        <f>IF(E94="","",IF(ISNA(VLOOKUP($E94,'D-1 Off Site Habitat Baseline'!$D$1:$O$258,12,FALSE)),"",(VLOOKUP($E94,'D-1 Off Site Habitat Baseline'!$D$1:$O$258,12,FALSE))))</f>
        <v/>
      </c>
      <c r="N94" s="175" t="str">
        <f>IF(E94="","",IF(ISNA(VLOOKUP($E94,'D-1 Off Site Habitat Baseline'!$D$1:$X$258,14,FALSE)),"",(VLOOKUP($E94,'D-1 Off Site Habitat Baseline'!$D$1:$X$258,14,FALSE))))</f>
        <v/>
      </c>
      <c r="O94" s="176" t="str">
        <f>IF(E94="","",IF(ISNA(VLOOKUP($E94,'D-1 Off Site Habitat Baseline'!$D$1:$X$258,13,FALSE)),"",(VLOOKUP($E94,'D-1 Off Site Habitat Baseline'!$D$1:$X$258,13,FALSE))))</f>
        <v/>
      </c>
      <c r="P94" s="337" t="str">
        <f>IFERROR(INDEX('G-1 All Habitats'!$AG$3:$AG$15,MATCH(Q94,'G-1 All Habitats'!$AF$3:$AF$15,0)),"")</f>
        <v/>
      </c>
      <c r="Q94" s="331" t="str">
        <f t="shared" si="24"/>
        <v/>
      </c>
      <c r="R94" s="332" t="str">
        <f t="shared" si="25"/>
        <v/>
      </c>
      <c r="S94" s="338" t="str">
        <f>IFERROR(INDEX('G-1 All Habitats'!$B$3:$B$130,MATCH(R94,'G-1 All Habitats'!$A$3:$A$130,0)),"")</f>
        <v/>
      </c>
      <c r="T94" s="179" t="str">
        <f t="shared" si="17"/>
        <v/>
      </c>
      <c r="U94" s="172" t="str">
        <f t="shared" si="18"/>
        <v/>
      </c>
      <c r="V94" s="334" t="str">
        <f t="shared" si="15"/>
        <v/>
      </c>
      <c r="W94" s="175" t="str">
        <f>IF(S94="","",VLOOKUP(S94,'G-1 All Habitats'!$B$2:$M$130,10,FALSE))</f>
        <v/>
      </c>
      <c r="X94" s="175" t="str">
        <f>IFERROR(VLOOKUP(W94,'G-1 All Habitats'!$V$3:$W$7,2,FALSE),"")</f>
        <v/>
      </c>
      <c r="Y94" s="275"/>
      <c r="Z94" s="176" t="str">
        <f>IFERROR(INDEX('G-8 Condition Look up'!$A$3:$H$131,MATCH(S94,'G-8 Condition Look up'!$A$3:$A$131,0),MATCH(Y94,'G-8 Condition Look up'!$A$3:$H$3,0)),"")</f>
        <v/>
      </c>
      <c r="AA94" s="173"/>
      <c r="AB94" s="269" t="str">
        <f>IF(AA94="","",IF(VLOOKUP(AA94,'G-3 Multipliers'!$L$3:$N$6,2,FALSE)=0,"Spatial Data Missing",VLOOKUP(AA94,'G-3 Multipliers'!$L$3:$N$6,2,FALSE)))</f>
        <v/>
      </c>
      <c r="AC94" s="176" t="str">
        <f>IF(AA94="","",IF(VLOOKUP(AA94,'G-3 Multipliers'!$L$3:$N$6,3,FALSE)=0,"Spatial Data Missing",VLOOKUP(AA94,'G-3 Multipliers'!$L$3:$N$6,3,FALSE)))</f>
        <v/>
      </c>
      <c r="AD94" s="239" t="str">
        <f t="shared" si="16"/>
        <v/>
      </c>
      <c r="AE94" s="275"/>
      <c r="AF94" s="275"/>
      <c r="AG94" s="175" t="str">
        <f t="shared" si="19"/>
        <v/>
      </c>
      <c r="AH94" s="242" t="str">
        <f t="shared" si="20"/>
        <v/>
      </c>
      <c r="AI94" s="335" t="str">
        <f>IF(AH94="Check Data","Check Data",IFERROR(VLOOKUP(AH94,'G-4 Temporal multipliers'!$A$4:$C$36,3,FALSE),""))</f>
        <v/>
      </c>
      <c r="AJ94" s="239" t="str">
        <f>IF(S94="","",VLOOKUP(S94,'G-3 Multipliers'!$A$2:$E$130,4,FALSE))</f>
        <v/>
      </c>
      <c r="AK94" s="175" t="str">
        <f t="shared" si="21"/>
        <v/>
      </c>
      <c r="AL94" s="175" t="str">
        <f t="shared" si="22"/>
        <v/>
      </c>
      <c r="AM94" s="176" t="str">
        <f>IFERROR(IF(F94="","",IF(AH94="Check Data","Check Data",VLOOKUP(AL94, 'G-3 Multipliers'!$P$2:$Q$6,2,FALSE))),””)</f>
        <v/>
      </c>
      <c r="AN94" s="266"/>
      <c r="AO94" s="269" t="str">
        <f>IF(AN94="","",IF(VLOOKUP(AN94,'G-3 Multipliers'!$S$3:$T$9,2,FALSE)=0,"Spatial Data Missing",VLOOKUP(AN94,'G-3 Multipliers'!$S$3:$T$9,2,FALSE)))</f>
        <v/>
      </c>
      <c r="AP94" s="207" t="str">
        <f t="shared" si="23"/>
        <v/>
      </c>
      <c r="AQ94" s="336"/>
      <c r="AR94" s="181"/>
    </row>
    <row r="95" spans="1:44" x14ac:dyDescent="0.25">
      <c r="A95" s="35" t="str">
        <f>IF(E95="","",IF(ISNA(VLOOKUP($E95,'D-1 Off Site Habitat Baseline'!$D$1:$O$258,2,FALSE)),"",(VLOOKUP($E95,'D-1 Off Site Habitat Baseline'!$D$1:$O$258,2,FALSE))))</f>
        <v/>
      </c>
      <c r="B95" s="35" t="str">
        <f>IF(E95="","",IF(ISNA(VLOOKUP($E95,'D-1 Off Site Habitat Baseline'!$D$1:$O$258,3,FALSE)),"",(VLOOKUP($E95,'D-1 Off Site Habitat Baseline'!$D$1:$O$258,3,FALSE))))</f>
        <v/>
      </c>
      <c r="C95" s="35" t="str">
        <f>IFERROR(INDEX('G-8 Condition Look up'!$I$4:$I$131,MATCH(S95,'G-8 Condition Look up'!$A$4:$A$131,0)),"")</f>
        <v/>
      </c>
      <c r="E95" s="329" t="str">
        <f>'D-1 Off Site Habitat Baseline'!AL94</f>
        <v/>
      </c>
      <c r="F95" s="175" t="str">
        <f>IF(E95="","",IF(ISNA(VLOOKUP($E95,'D-1 Off Site Habitat Baseline'!$D$1:$O$258,4,FALSE)),"",(VLOOKUP($E95,'D-1 Off Site Habitat Baseline'!$D$1:$O$258,4,FALSE))))</f>
        <v/>
      </c>
      <c r="G95" s="175" t="str">
        <f>IF(E95="","",IF(ISNA(VLOOKUP($E95,'D-1 Off Site Habitat Baseline'!$D$1:$O$258,5,FALSE)),"",(VLOOKUP($E95,'D-1 Off Site Habitat Baseline'!$D$1:$O$258,5,FALSE))))</f>
        <v/>
      </c>
      <c r="H95" s="175" t="str">
        <f>IF(E95="","",IF(ISNA(VLOOKUP($E95,'D-1 Off Site Habitat Baseline'!$D$1:$O$258,6,FALSE)),"",(VLOOKUP($E95,'D-1 Off Site Habitat Baseline'!$D$1:$O$258,6,FALSE))))</f>
        <v/>
      </c>
      <c r="I95" s="175" t="str">
        <f>IF(E95="","",IF(ISNA(VLOOKUP($E95,'D-1 Off Site Habitat Baseline'!$D$1:$O$258,7,FALSE)),"",(VLOOKUP($E95,'D-1 Off Site Habitat Baseline'!$D$1:$O$258,7,FALSE))))</f>
        <v/>
      </c>
      <c r="J95" s="175" t="str">
        <f>IF(E95="","",IF(ISNA(VLOOKUP($E95,'D-1 Off Site Habitat Baseline'!$D$1:$O$258,8,FALSE)),"",(VLOOKUP($E95,'D-1 Off Site Habitat Baseline'!$D$1:$O$258,8,FALSE))))</f>
        <v/>
      </c>
      <c r="K95" s="175" t="str">
        <f>IF(E95="","",IF(ISNA(VLOOKUP($E95,'D-1 Off Site Habitat Baseline'!$D$1:$O$258,9,FALSE)),"",(VLOOKUP($E95,'D-1 Off Site Habitat Baseline'!$D$1:$O$258,9,FALSE))))</f>
        <v/>
      </c>
      <c r="L95" s="175" t="str">
        <f>IF(E95="","",IF(ISNA(VLOOKUP($E95,'D-1 Off Site Habitat Baseline'!$D$1:$O$258,11,FALSE)),"",(VLOOKUP($E95,'D-1 Off Site Habitat Baseline'!$D$1:$O$258,11,FALSE))))</f>
        <v/>
      </c>
      <c r="M95" s="175" t="str">
        <f>IF(E95="","",IF(ISNA(VLOOKUP($E95,'D-1 Off Site Habitat Baseline'!$D$1:$O$258,12,FALSE)),"",(VLOOKUP($E95,'D-1 Off Site Habitat Baseline'!$D$1:$O$258,12,FALSE))))</f>
        <v/>
      </c>
      <c r="N95" s="175" t="str">
        <f>IF(E95="","",IF(ISNA(VLOOKUP($E95,'D-1 Off Site Habitat Baseline'!$D$1:$X$258,14,FALSE)),"",(VLOOKUP($E95,'D-1 Off Site Habitat Baseline'!$D$1:$X$258,14,FALSE))))</f>
        <v/>
      </c>
      <c r="O95" s="176" t="str">
        <f>IF(E95="","",IF(ISNA(VLOOKUP($E95,'D-1 Off Site Habitat Baseline'!$D$1:$X$258,13,FALSE)),"",(VLOOKUP($E95,'D-1 Off Site Habitat Baseline'!$D$1:$X$258,13,FALSE))))</f>
        <v/>
      </c>
      <c r="P95" s="337" t="str">
        <f>IFERROR(INDEX('G-1 All Habitats'!$AG$3:$AG$15,MATCH(Q95,'G-1 All Habitats'!$AF$3:$AF$15,0)),"")</f>
        <v/>
      </c>
      <c r="Q95" s="331" t="str">
        <f t="shared" si="24"/>
        <v/>
      </c>
      <c r="R95" s="332" t="str">
        <f t="shared" si="25"/>
        <v/>
      </c>
      <c r="S95" s="338" t="str">
        <f>IFERROR(INDEX('G-1 All Habitats'!$B$3:$B$130,MATCH(R95,'G-1 All Habitats'!$A$3:$A$130,0)),"")</f>
        <v/>
      </c>
      <c r="T95" s="179" t="str">
        <f t="shared" si="17"/>
        <v/>
      </c>
      <c r="U95" s="172" t="str">
        <f t="shared" si="18"/>
        <v/>
      </c>
      <c r="V95" s="334" t="str">
        <f t="shared" si="15"/>
        <v/>
      </c>
      <c r="W95" s="175" t="str">
        <f>IF(S95="","",VLOOKUP(S95,'G-1 All Habitats'!$B$2:$M$130,10,FALSE))</f>
        <v/>
      </c>
      <c r="X95" s="175" t="str">
        <f>IFERROR(VLOOKUP(W95,'G-1 All Habitats'!$V$3:$W$7,2,FALSE),"")</f>
        <v/>
      </c>
      <c r="Y95" s="275"/>
      <c r="Z95" s="176" t="str">
        <f>IFERROR(INDEX('G-8 Condition Look up'!$A$3:$H$131,MATCH(S95,'G-8 Condition Look up'!$A$3:$A$131,0),MATCH(Y95,'G-8 Condition Look up'!$A$3:$H$3,0)),"")</f>
        <v/>
      </c>
      <c r="AA95" s="173"/>
      <c r="AB95" s="269" t="str">
        <f>IF(AA95="","",IF(VLOOKUP(AA95,'G-3 Multipliers'!$L$3:$N$6,2,FALSE)=0,"Spatial Data Missing",VLOOKUP(AA95,'G-3 Multipliers'!$L$3:$N$6,2,FALSE)))</f>
        <v/>
      </c>
      <c r="AC95" s="176" t="str">
        <f>IF(AA95="","",IF(VLOOKUP(AA95,'G-3 Multipliers'!$L$3:$N$6,3,FALSE)=0,"Spatial Data Missing",VLOOKUP(AA95,'G-3 Multipliers'!$L$3:$N$6,3,FALSE)))</f>
        <v/>
      </c>
      <c r="AD95" s="239" t="str">
        <f t="shared" si="16"/>
        <v/>
      </c>
      <c r="AE95" s="275"/>
      <c r="AF95" s="275"/>
      <c r="AG95" s="175" t="str">
        <f t="shared" si="19"/>
        <v/>
      </c>
      <c r="AH95" s="242" t="str">
        <f t="shared" si="20"/>
        <v/>
      </c>
      <c r="AI95" s="335" t="str">
        <f>IF(AH95="Check Data","Check Data",IFERROR(VLOOKUP(AH95,'G-4 Temporal multipliers'!$A$4:$C$36,3,FALSE),""))</f>
        <v/>
      </c>
      <c r="AJ95" s="239" t="str">
        <f>IF(S95="","",VLOOKUP(S95,'G-3 Multipliers'!$A$2:$E$130,4,FALSE))</f>
        <v/>
      </c>
      <c r="AK95" s="175" t="str">
        <f t="shared" si="21"/>
        <v/>
      </c>
      <c r="AL95" s="175" t="str">
        <f t="shared" si="22"/>
        <v/>
      </c>
      <c r="AM95" s="176" t="str">
        <f>IFERROR(IF(F95="","",IF(AH95="Check Data","Check Data",VLOOKUP(AL95, 'G-3 Multipliers'!$P$2:$Q$6,2,FALSE))),””)</f>
        <v/>
      </c>
      <c r="AN95" s="266"/>
      <c r="AO95" s="269" t="str">
        <f>IF(AN95="","",IF(VLOOKUP(AN95,'G-3 Multipliers'!$S$3:$T$9,2,FALSE)=0,"Spatial Data Missing",VLOOKUP(AN95,'G-3 Multipliers'!$S$3:$T$9,2,FALSE)))</f>
        <v/>
      </c>
      <c r="AP95" s="207" t="str">
        <f t="shared" si="23"/>
        <v/>
      </c>
      <c r="AQ95" s="336"/>
      <c r="AR95" s="181"/>
    </row>
    <row r="96" spans="1:44" x14ac:dyDescent="0.25">
      <c r="A96" s="35" t="str">
        <f>IF(E96="","",IF(ISNA(VLOOKUP($E96,'D-1 Off Site Habitat Baseline'!$D$1:$O$258,2,FALSE)),"",(VLOOKUP($E96,'D-1 Off Site Habitat Baseline'!$D$1:$O$258,2,FALSE))))</f>
        <v/>
      </c>
      <c r="B96" s="35" t="str">
        <f>IF(E96="","",IF(ISNA(VLOOKUP($E96,'D-1 Off Site Habitat Baseline'!$D$1:$O$258,3,FALSE)),"",(VLOOKUP($E96,'D-1 Off Site Habitat Baseline'!$D$1:$O$258,3,FALSE))))</f>
        <v/>
      </c>
      <c r="C96" s="35" t="str">
        <f>IFERROR(INDEX('G-8 Condition Look up'!$I$4:$I$131,MATCH(S96,'G-8 Condition Look up'!$A$4:$A$131,0)),"")</f>
        <v/>
      </c>
      <c r="E96" s="329" t="str">
        <f>'D-1 Off Site Habitat Baseline'!AL95</f>
        <v/>
      </c>
      <c r="F96" s="175" t="str">
        <f>IF(E96="","",IF(ISNA(VLOOKUP($E96,'D-1 Off Site Habitat Baseline'!$D$1:$O$258,4,FALSE)),"",(VLOOKUP($E96,'D-1 Off Site Habitat Baseline'!$D$1:$O$258,4,FALSE))))</f>
        <v/>
      </c>
      <c r="G96" s="175" t="str">
        <f>IF(E96="","",IF(ISNA(VLOOKUP($E96,'D-1 Off Site Habitat Baseline'!$D$1:$O$258,5,FALSE)),"",(VLOOKUP($E96,'D-1 Off Site Habitat Baseline'!$D$1:$O$258,5,FALSE))))</f>
        <v/>
      </c>
      <c r="H96" s="175" t="str">
        <f>IF(E96="","",IF(ISNA(VLOOKUP($E96,'D-1 Off Site Habitat Baseline'!$D$1:$O$258,6,FALSE)),"",(VLOOKUP($E96,'D-1 Off Site Habitat Baseline'!$D$1:$O$258,6,FALSE))))</f>
        <v/>
      </c>
      <c r="I96" s="175" t="str">
        <f>IF(E96="","",IF(ISNA(VLOOKUP($E96,'D-1 Off Site Habitat Baseline'!$D$1:$O$258,7,FALSE)),"",(VLOOKUP($E96,'D-1 Off Site Habitat Baseline'!$D$1:$O$258,7,FALSE))))</f>
        <v/>
      </c>
      <c r="J96" s="175" t="str">
        <f>IF(E96="","",IF(ISNA(VLOOKUP($E96,'D-1 Off Site Habitat Baseline'!$D$1:$O$258,8,FALSE)),"",(VLOOKUP($E96,'D-1 Off Site Habitat Baseline'!$D$1:$O$258,8,FALSE))))</f>
        <v/>
      </c>
      <c r="K96" s="175" t="str">
        <f>IF(E96="","",IF(ISNA(VLOOKUP($E96,'D-1 Off Site Habitat Baseline'!$D$1:$O$258,9,FALSE)),"",(VLOOKUP($E96,'D-1 Off Site Habitat Baseline'!$D$1:$O$258,9,FALSE))))</f>
        <v/>
      </c>
      <c r="L96" s="175" t="str">
        <f>IF(E96="","",IF(ISNA(VLOOKUP($E96,'D-1 Off Site Habitat Baseline'!$D$1:$O$258,11,FALSE)),"",(VLOOKUP($E96,'D-1 Off Site Habitat Baseline'!$D$1:$O$258,11,FALSE))))</f>
        <v/>
      </c>
      <c r="M96" s="175" t="str">
        <f>IF(E96="","",IF(ISNA(VLOOKUP($E96,'D-1 Off Site Habitat Baseline'!$D$1:$O$258,12,FALSE)),"",(VLOOKUP($E96,'D-1 Off Site Habitat Baseline'!$D$1:$O$258,12,FALSE))))</f>
        <v/>
      </c>
      <c r="N96" s="175" t="str">
        <f>IF(E96="","",IF(ISNA(VLOOKUP($E96,'D-1 Off Site Habitat Baseline'!$D$1:$X$258,14,FALSE)),"",(VLOOKUP($E96,'D-1 Off Site Habitat Baseline'!$D$1:$X$258,14,FALSE))))</f>
        <v/>
      </c>
      <c r="O96" s="176" t="str">
        <f>IF(E96="","",IF(ISNA(VLOOKUP($E96,'D-1 Off Site Habitat Baseline'!$D$1:$X$258,13,FALSE)),"",(VLOOKUP($E96,'D-1 Off Site Habitat Baseline'!$D$1:$X$258,13,FALSE))))</f>
        <v/>
      </c>
      <c r="P96" s="337" t="str">
        <f>IFERROR(INDEX('G-1 All Habitats'!$AG$3:$AG$15,MATCH(Q96,'G-1 All Habitats'!$AF$3:$AF$15,0)),"")</f>
        <v/>
      </c>
      <c r="Q96" s="331" t="str">
        <f t="shared" si="24"/>
        <v/>
      </c>
      <c r="R96" s="332" t="str">
        <f t="shared" si="25"/>
        <v/>
      </c>
      <c r="S96" s="338" t="str">
        <f>IFERROR(INDEX('G-1 All Habitats'!$B$3:$B$130,MATCH(R96,'G-1 All Habitats'!$A$3:$A$130,0)),"")</f>
        <v/>
      </c>
      <c r="T96" s="179" t="str">
        <f t="shared" si="17"/>
        <v/>
      </c>
      <c r="U96" s="172" t="str">
        <f t="shared" si="18"/>
        <v/>
      </c>
      <c r="V96" s="334" t="str">
        <f t="shared" si="15"/>
        <v/>
      </c>
      <c r="W96" s="175" t="str">
        <f>IF(S96="","",VLOOKUP(S96,'G-1 All Habitats'!$B$2:$M$130,10,FALSE))</f>
        <v/>
      </c>
      <c r="X96" s="175" t="str">
        <f>IFERROR(VLOOKUP(W96,'G-1 All Habitats'!$V$3:$W$7,2,FALSE),"")</f>
        <v/>
      </c>
      <c r="Y96" s="275"/>
      <c r="Z96" s="176" t="str">
        <f>IFERROR(INDEX('G-8 Condition Look up'!$A$3:$H$131,MATCH(S96,'G-8 Condition Look up'!$A$3:$A$131,0),MATCH(Y96,'G-8 Condition Look up'!$A$3:$H$3,0)),"")</f>
        <v/>
      </c>
      <c r="AA96" s="173"/>
      <c r="AB96" s="269" t="str">
        <f>IF(AA96="","",IF(VLOOKUP(AA96,'G-3 Multipliers'!$L$3:$N$6,2,FALSE)=0,"Spatial Data Missing",VLOOKUP(AA96,'G-3 Multipliers'!$L$3:$N$6,2,FALSE)))</f>
        <v/>
      </c>
      <c r="AC96" s="176" t="str">
        <f>IF(AA96="","",IF(VLOOKUP(AA96,'G-3 Multipliers'!$L$3:$N$6,3,FALSE)=0,"Spatial Data Missing",VLOOKUP(AA96,'G-3 Multipliers'!$L$3:$N$6,3,FALSE)))</f>
        <v/>
      </c>
      <c r="AD96" s="239" t="str">
        <f t="shared" si="16"/>
        <v/>
      </c>
      <c r="AE96" s="275"/>
      <c r="AF96" s="275"/>
      <c r="AG96" s="175" t="str">
        <f t="shared" si="19"/>
        <v/>
      </c>
      <c r="AH96" s="242" t="str">
        <f t="shared" si="20"/>
        <v/>
      </c>
      <c r="AI96" s="335" t="str">
        <f>IF(AH96="Check Data","Check Data",IFERROR(VLOOKUP(AH96,'G-4 Temporal multipliers'!$A$4:$C$36,3,FALSE),""))</f>
        <v/>
      </c>
      <c r="AJ96" s="239" t="str">
        <f>IF(S96="","",VLOOKUP(S96,'G-3 Multipliers'!$A$2:$E$130,4,FALSE))</f>
        <v/>
      </c>
      <c r="AK96" s="175" t="str">
        <f t="shared" si="21"/>
        <v/>
      </c>
      <c r="AL96" s="175" t="str">
        <f t="shared" si="22"/>
        <v/>
      </c>
      <c r="AM96" s="176" t="str">
        <f>IFERROR(IF(F96="","",IF(AH96="Check Data","Check Data",VLOOKUP(AL96, 'G-3 Multipliers'!$P$2:$Q$6,2,FALSE))),””)</f>
        <v/>
      </c>
      <c r="AN96" s="266"/>
      <c r="AO96" s="269" t="str">
        <f>IF(AN96="","",IF(VLOOKUP(AN96,'G-3 Multipliers'!$S$3:$T$9,2,FALSE)=0,"Spatial Data Missing",VLOOKUP(AN96,'G-3 Multipliers'!$S$3:$T$9,2,FALSE)))</f>
        <v/>
      </c>
      <c r="AP96" s="207" t="str">
        <f t="shared" si="23"/>
        <v/>
      </c>
      <c r="AQ96" s="336"/>
      <c r="AR96" s="181"/>
    </row>
    <row r="97" spans="1:44" x14ac:dyDescent="0.25">
      <c r="A97" s="35" t="str">
        <f>IF(E97="","",IF(ISNA(VLOOKUP($E97,'D-1 Off Site Habitat Baseline'!$D$1:$O$258,2,FALSE)),"",(VLOOKUP($E97,'D-1 Off Site Habitat Baseline'!$D$1:$O$258,2,FALSE))))</f>
        <v/>
      </c>
      <c r="B97" s="35" t="str">
        <f>IF(E97="","",IF(ISNA(VLOOKUP($E97,'D-1 Off Site Habitat Baseline'!$D$1:$O$258,3,FALSE)),"",(VLOOKUP($E97,'D-1 Off Site Habitat Baseline'!$D$1:$O$258,3,FALSE))))</f>
        <v/>
      </c>
      <c r="C97" s="35" t="str">
        <f>IFERROR(INDEX('G-8 Condition Look up'!$I$4:$I$131,MATCH(S97,'G-8 Condition Look up'!$A$4:$A$131,0)),"")</f>
        <v/>
      </c>
      <c r="E97" s="329" t="str">
        <f>'D-1 Off Site Habitat Baseline'!AL96</f>
        <v/>
      </c>
      <c r="F97" s="175" t="str">
        <f>IF(E97="","",IF(ISNA(VLOOKUP($E97,'D-1 Off Site Habitat Baseline'!$D$1:$O$258,4,FALSE)),"",(VLOOKUP($E97,'D-1 Off Site Habitat Baseline'!$D$1:$O$258,4,FALSE))))</f>
        <v/>
      </c>
      <c r="G97" s="175" t="str">
        <f>IF(E97="","",IF(ISNA(VLOOKUP($E97,'D-1 Off Site Habitat Baseline'!$D$1:$O$258,5,FALSE)),"",(VLOOKUP($E97,'D-1 Off Site Habitat Baseline'!$D$1:$O$258,5,FALSE))))</f>
        <v/>
      </c>
      <c r="H97" s="175" t="str">
        <f>IF(E97="","",IF(ISNA(VLOOKUP($E97,'D-1 Off Site Habitat Baseline'!$D$1:$O$258,6,FALSE)),"",(VLOOKUP($E97,'D-1 Off Site Habitat Baseline'!$D$1:$O$258,6,FALSE))))</f>
        <v/>
      </c>
      <c r="I97" s="175" t="str">
        <f>IF(E97="","",IF(ISNA(VLOOKUP($E97,'D-1 Off Site Habitat Baseline'!$D$1:$O$258,7,FALSE)),"",(VLOOKUP($E97,'D-1 Off Site Habitat Baseline'!$D$1:$O$258,7,FALSE))))</f>
        <v/>
      </c>
      <c r="J97" s="175" t="str">
        <f>IF(E97="","",IF(ISNA(VLOOKUP($E97,'D-1 Off Site Habitat Baseline'!$D$1:$O$258,8,FALSE)),"",(VLOOKUP($E97,'D-1 Off Site Habitat Baseline'!$D$1:$O$258,8,FALSE))))</f>
        <v/>
      </c>
      <c r="K97" s="175" t="str">
        <f>IF(E97="","",IF(ISNA(VLOOKUP($E97,'D-1 Off Site Habitat Baseline'!$D$1:$O$258,9,FALSE)),"",(VLOOKUP($E97,'D-1 Off Site Habitat Baseline'!$D$1:$O$258,9,FALSE))))</f>
        <v/>
      </c>
      <c r="L97" s="175" t="str">
        <f>IF(E97="","",IF(ISNA(VLOOKUP($E97,'D-1 Off Site Habitat Baseline'!$D$1:$O$258,11,FALSE)),"",(VLOOKUP($E97,'D-1 Off Site Habitat Baseline'!$D$1:$O$258,11,FALSE))))</f>
        <v/>
      </c>
      <c r="M97" s="175" t="str">
        <f>IF(E97="","",IF(ISNA(VLOOKUP($E97,'D-1 Off Site Habitat Baseline'!$D$1:$O$258,12,FALSE)),"",(VLOOKUP($E97,'D-1 Off Site Habitat Baseline'!$D$1:$O$258,12,FALSE))))</f>
        <v/>
      </c>
      <c r="N97" s="175" t="str">
        <f>IF(E97="","",IF(ISNA(VLOOKUP($E97,'D-1 Off Site Habitat Baseline'!$D$1:$X$258,14,FALSE)),"",(VLOOKUP($E97,'D-1 Off Site Habitat Baseline'!$D$1:$X$258,14,FALSE))))</f>
        <v/>
      </c>
      <c r="O97" s="176" t="str">
        <f>IF(E97="","",IF(ISNA(VLOOKUP($E97,'D-1 Off Site Habitat Baseline'!$D$1:$X$258,13,FALSE)),"",(VLOOKUP($E97,'D-1 Off Site Habitat Baseline'!$D$1:$X$258,13,FALSE))))</f>
        <v/>
      </c>
      <c r="P97" s="337" t="str">
        <f>IFERROR(INDEX('G-1 All Habitats'!$AG$3:$AG$15,MATCH(Q97,'G-1 All Habitats'!$AF$3:$AF$15,0)),"")</f>
        <v/>
      </c>
      <c r="Q97" s="331" t="str">
        <f t="shared" si="24"/>
        <v/>
      </c>
      <c r="R97" s="332" t="str">
        <f t="shared" si="25"/>
        <v/>
      </c>
      <c r="S97" s="338" t="str">
        <f>IFERROR(INDEX('G-1 All Habitats'!$B$3:$B$130,MATCH(R97,'G-1 All Habitats'!$A$3:$A$130,0)),"")</f>
        <v/>
      </c>
      <c r="T97" s="179" t="str">
        <f t="shared" si="17"/>
        <v/>
      </c>
      <c r="U97" s="172" t="str">
        <f t="shared" si="18"/>
        <v/>
      </c>
      <c r="V97" s="334" t="str">
        <f t="shared" si="15"/>
        <v/>
      </c>
      <c r="W97" s="175" t="str">
        <f>IF(S97="","",VLOOKUP(S97,'G-1 All Habitats'!$B$2:$M$130,10,FALSE))</f>
        <v/>
      </c>
      <c r="X97" s="175" t="str">
        <f>IFERROR(VLOOKUP(W97,'G-1 All Habitats'!$V$3:$W$7,2,FALSE),"")</f>
        <v/>
      </c>
      <c r="Y97" s="275"/>
      <c r="Z97" s="176" t="str">
        <f>IFERROR(INDEX('G-8 Condition Look up'!$A$3:$H$131,MATCH(S97,'G-8 Condition Look up'!$A$3:$A$131,0),MATCH(Y97,'G-8 Condition Look up'!$A$3:$H$3,0)),"")</f>
        <v/>
      </c>
      <c r="AA97" s="173"/>
      <c r="AB97" s="269" t="str">
        <f>IF(AA97="","",IF(VLOOKUP(AA97,'G-3 Multipliers'!$L$3:$N$6,2,FALSE)=0,"Spatial Data Missing",VLOOKUP(AA97,'G-3 Multipliers'!$L$3:$N$6,2,FALSE)))</f>
        <v/>
      </c>
      <c r="AC97" s="176" t="str">
        <f>IF(AA97="","",IF(VLOOKUP(AA97,'G-3 Multipliers'!$L$3:$N$6,3,FALSE)=0,"Spatial Data Missing",VLOOKUP(AA97,'G-3 Multipliers'!$L$3:$N$6,3,FALSE)))</f>
        <v/>
      </c>
      <c r="AD97" s="239" t="str">
        <f t="shared" si="16"/>
        <v/>
      </c>
      <c r="AE97" s="275"/>
      <c r="AF97" s="275"/>
      <c r="AG97" s="175" t="str">
        <f t="shared" si="19"/>
        <v/>
      </c>
      <c r="AH97" s="242" t="str">
        <f t="shared" si="20"/>
        <v/>
      </c>
      <c r="AI97" s="335" t="str">
        <f>IF(AH97="Check Data","Check Data",IFERROR(VLOOKUP(AH97,'G-4 Temporal multipliers'!$A$4:$C$36,3,FALSE),""))</f>
        <v/>
      </c>
      <c r="AJ97" s="239" t="str">
        <f>IF(S97="","",VLOOKUP(S97,'G-3 Multipliers'!$A$2:$E$130,4,FALSE))</f>
        <v/>
      </c>
      <c r="AK97" s="175" t="str">
        <f t="shared" si="21"/>
        <v/>
      </c>
      <c r="AL97" s="175" t="str">
        <f t="shared" si="22"/>
        <v/>
      </c>
      <c r="AM97" s="176" t="str">
        <f>IFERROR(IF(F97="","",IF(AH97="Check Data","Check Data",VLOOKUP(AL97, 'G-3 Multipliers'!$P$2:$Q$6,2,FALSE))),””)</f>
        <v/>
      </c>
      <c r="AN97" s="266"/>
      <c r="AO97" s="269" t="str">
        <f>IF(AN97="","",IF(VLOOKUP(AN97,'G-3 Multipliers'!$S$3:$T$9,2,FALSE)=0,"Spatial Data Missing",VLOOKUP(AN97,'G-3 Multipliers'!$S$3:$T$9,2,FALSE)))</f>
        <v/>
      </c>
      <c r="AP97" s="207" t="str">
        <f t="shared" si="23"/>
        <v/>
      </c>
      <c r="AQ97" s="336"/>
      <c r="AR97" s="181"/>
    </row>
    <row r="98" spans="1:44" x14ac:dyDescent="0.25">
      <c r="A98" s="35" t="str">
        <f>IF(E98="","",IF(ISNA(VLOOKUP($E98,'D-1 Off Site Habitat Baseline'!$D$1:$O$258,2,FALSE)),"",(VLOOKUP($E98,'D-1 Off Site Habitat Baseline'!$D$1:$O$258,2,FALSE))))</f>
        <v/>
      </c>
      <c r="B98" s="35" t="str">
        <f>IF(E98="","",IF(ISNA(VLOOKUP($E98,'D-1 Off Site Habitat Baseline'!$D$1:$O$258,3,FALSE)),"",(VLOOKUP($E98,'D-1 Off Site Habitat Baseline'!$D$1:$O$258,3,FALSE))))</f>
        <v/>
      </c>
      <c r="C98" s="35" t="str">
        <f>IFERROR(INDEX('G-8 Condition Look up'!$I$4:$I$131,MATCH(S98,'G-8 Condition Look up'!$A$4:$A$131,0)),"")</f>
        <v/>
      </c>
      <c r="E98" s="329" t="str">
        <f>'D-1 Off Site Habitat Baseline'!AL97</f>
        <v/>
      </c>
      <c r="F98" s="175" t="str">
        <f>IF(E98="","",IF(ISNA(VLOOKUP($E98,'D-1 Off Site Habitat Baseline'!$D$1:$O$258,4,FALSE)),"",(VLOOKUP($E98,'D-1 Off Site Habitat Baseline'!$D$1:$O$258,4,FALSE))))</f>
        <v/>
      </c>
      <c r="G98" s="175" t="str">
        <f>IF(E98="","",IF(ISNA(VLOOKUP($E98,'D-1 Off Site Habitat Baseline'!$D$1:$O$258,5,FALSE)),"",(VLOOKUP($E98,'D-1 Off Site Habitat Baseline'!$D$1:$O$258,5,FALSE))))</f>
        <v/>
      </c>
      <c r="H98" s="175" t="str">
        <f>IF(E98="","",IF(ISNA(VLOOKUP($E98,'D-1 Off Site Habitat Baseline'!$D$1:$O$258,6,FALSE)),"",(VLOOKUP($E98,'D-1 Off Site Habitat Baseline'!$D$1:$O$258,6,FALSE))))</f>
        <v/>
      </c>
      <c r="I98" s="175" t="str">
        <f>IF(E98="","",IF(ISNA(VLOOKUP($E98,'D-1 Off Site Habitat Baseline'!$D$1:$O$258,7,FALSE)),"",(VLOOKUP($E98,'D-1 Off Site Habitat Baseline'!$D$1:$O$258,7,FALSE))))</f>
        <v/>
      </c>
      <c r="J98" s="175" t="str">
        <f>IF(E98="","",IF(ISNA(VLOOKUP($E98,'D-1 Off Site Habitat Baseline'!$D$1:$O$258,8,FALSE)),"",(VLOOKUP($E98,'D-1 Off Site Habitat Baseline'!$D$1:$O$258,8,FALSE))))</f>
        <v/>
      </c>
      <c r="K98" s="175" t="str">
        <f>IF(E98="","",IF(ISNA(VLOOKUP($E98,'D-1 Off Site Habitat Baseline'!$D$1:$O$258,9,FALSE)),"",(VLOOKUP($E98,'D-1 Off Site Habitat Baseline'!$D$1:$O$258,9,FALSE))))</f>
        <v/>
      </c>
      <c r="L98" s="175" t="str">
        <f>IF(E98="","",IF(ISNA(VLOOKUP($E98,'D-1 Off Site Habitat Baseline'!$D$1:$O$258,11,FALSE)),"",(VLOOKUP($E98,'D-1 Off Site Habitat Baseline'!$D$1:$O$258,11,FALSE))))</f>
        <v/>
      </c>
      <c r="M98" s="175" t="str">
        <f>IF(E98="","",IF(ISNA(VLOOKUP($E98,'D-1 Off Site Habitat Baseline'!$D$1:$O$258,12,FALSE)),"",(VLOOKUP($E98,'D-1 Off Site Habitat Baseline'!$D$1:$O$258,12,FALSE))))</f>
        <v/>
      </c>
      <c r="N98" s="175" t="str">
        <f>IF(E98="","",IF(ISNA(VLOOKUP($E98,'D-1 Off Site Habitat Baseline'!$D$1:$X$258,14,FALSE)),"",(VLOOKUP($E98,'D-1 Off Site Habitat Baseline'!$D$1:$X$258,14,FALSE))))</f>
        <v/>
      </c>
      <c r="O98" s="176" t="str">
        <f>IF(E98="","",IF(ISNA(VLOOKUP($E98,'D-1 Off Site Habitat Baseline'!$D$1:$X$258,13,FALSE)),"",(VLOOKUP($E98,'D-1 Off Site Habitat Baseline'!$D$1:$X$258,13,FALSE))))</f>
        <v/>
      </c>
      <c r="P98" s="337" t="str">
        <f>IFERROR(INDEX('G-1 All Habitats'!$AG$3:$AG$15,MATCH(Q98,'G-1 All Habitats'!$AF$3:$AF$15,0)),"")</f>
        <v/>
      </c>
      <c r="Q98" s="331" t="str">
        <f t="shared" si="24"/>
        <v/>
      </c>
      <c r="R98" s="332" t="str">
        <f t="shared" si="25"/>
        <v/>
      </c>
      <c r="S98" s="338" t="str">
        <f>IFERROR(INDEX('G-1 All Habitats'!$B$3:$B$130,MATCH(R98,'G-1 All Habitats'!$A$3:$A$130,0)),"")</f>
        <v/>
      </c>
      <c r="T98" s="179" t="str">
        <f t="shared" si="17"/>
        <v/>
      </c>
      <c r="U98" s="172" t="str">
        <f t="shared" si="18"/>
        <v/>
      </c>
      <c r="V98" s="334" t="str">
        <f t="shared" si="15"/>
        <v/>
      </c>
      <c r="W98" s="175" t="str">
        <f>IF(S98="","",VLOOKUP(S98,'G-1 All Habitats'!$B$2:$M$130,10,FALSE))</f>
        <v/>
      </c>
      <c r="X98" s="175" t="str">
        <f>IFERROR(VLOOKUP(W98,'G-1 All Habitats'!$V$3:$W$7,2,FALSE),"")</f>
        <v/>
      </c>
      <c r="Y98" s="275"/>
      <c r="Z98" s="176" t="str">
        <f>IFERROR(INDEX('G-8 Condition Look up'!$A$3:$H$131,MATCH(S98,'G-8 Condition Look up'!$A$3:$A$131,0),MATCH(Y98,'G-8 Condition Look up'!$A$3:$H$3,0)),"")</f>
        <v/>
      </c>
      <c r="AA98" s="173"/>
      <c r="AB98" s="269" t="str">
        <f>IF(AA98="","",IF(VLOOKUP(AA98,'G-3 Multipliers'!$L$3:$N$6,2,FALSE)=0,"Spatial Data Missing",VLOOKUP(AA98,'G-3 Multipliers'!$L$3:$N$6,2,FALSE)))</f>
        <v/>
      </c>
      <c r="AC98" s="176" t="str">
        <f>IF(AA98="","",IF(VLOOKUP(AA98,'G-3 Multipliers'!$L$3:$N$6,3,FALSE)=0,"Spatial Data Missing",VLOOKUP(AA98,'G-3 Multipliers'!$L$3:$N$6,3,FALSE)))</f>
        <v/>
      </c>
      <c r="AD98" s="239" t="str">
        <f t="shared" si="16"/>
        <v/>
      </c>
      <c r="AE98" s="275"/>
      <c r="AF98" s="275"/>
      <c r="AG98" s="175" t="str">
        <f t="shared" si="19"/>
        <v/>
      </c>
      <c r="AH98" s="242" t="str">
        <f t="shared" si="20"/>
        <v/>
      </c>
      <c r="AI98" s="335" t="str">
        <f>IF(AH98="Check Data","Check Data",IFERROR(VLOOKUP(AH98,'G-4 Temporal multipliers'!$A$4:$C$36,3,FALSE),""))</f>
        <v/>
      </c>
      <c r="AJ98" s="239" t="str">
        <f>IF(S98="","",VLOOKUP(S98,'G-3 Multipliers'!$A$2:$E$130,4,FALSE))</f>
        <v/>
      </c>
      <c r="AK98" s="175" t="str">
        <f t="shared" si="21"/>
        <v/>
      </c>
      <c r="AL98" s="175" t="str">
        <f t="shared" si="22"/>
        <v/>
      </c>
      <c r="AM98" s="176" t="str">
        <f>IFERROR(IF(F98="","",IF(AH98="Check Data","Check Data",VLOOKUP(AL98, 'G-3 Multipliers'!$P$2:$Q$6,2,FALSE))),””)</f>
        <v/>
      </c>
      <c r="AN98" s="266"/>
      <c r="AO98" s="269" t="str">
        <f>IF(AN98="","",IF(VLOOKUP(AN98,'G-3 Multipliers'!$S$3:$T$9,2,FALSE)=0,"Spatial Data Missing",VLOOKUP(AN98,'G-3 Multipliers'!$S$3:$T$9,2,FALSE)))</f>
        <v/>
      </c>
      <c r="AP98" s="207" t="str">
        <f t="shared" si="23"/>
        <v/>
      </c>
      <c r="AQ98" s="336"/>
      <c r="AR98" s="181"/>
    </row>
    <row r="99" spans="1:44" x14ac:dyDescent="0.25">
      <c r="A99" s="35" t="str">
        <f>IF(E99="","",IF(ISNA(VLOOKUP($E99,'D-1 Off Site Habitat Baseline'!$D$1:$O$258,2,FALSE)),"",(VLOOKUP($E99,'D-1 Off Site Habitat Baseline'!$D$1:$O$258,2,FALSE))))</f>
        <v/>
      </c>
      <c r="B99" s="35" t="str">
        <f>IF(E99="","",IF(ISNA(VLOOKUP($E99,'D-1 Off Site Habitat Baseline'!$D$1:$O$258,3,FALSE)),"",(VLOOKUP($E99,'D-1 Off Site Habitat Baseline'!$D$1:$O$258,3,FALSE))))</f>
        <v/>
      </c>
      <c r="C99" s="35" t="str">
        <f>IFERROR(INDEX('G-8 Condition Look up'!$I$4:$I$131,MATCH(S99,'G-8 Condition Look up'!$A$4:$A$131,0)),"")</f>
        <v/>
      </c>
      <c r="E99" s="329" t="str">
        <f>'D-1 Off Site Habitat Baseline'!AL98</f>
        <v/>
      </c>
      <c r="F99" s="175" t="str">
        <f>IF(E99="","",IF(ISNA(VLOOKUP($E99,'D-1 Off Site Habitat Baseline'!$D$1:$O$258,4,FALSE)),"",(VLOOKUP($E99,'D-1 Off Site Habitat Baseline'!$D$1:$O$258,4,FALSE))))</f>
        <v/>
      </c>
      <c r="G99" s="175" t="str">
        <f>IF(E99="","",IF(ISNA(VLOOKUP($E99,'D-1 Off Site Habitat Baseline'!$D$1:$O$258,5,FALSE)),"",(VLOOKUP($E99,'D-1 Off Site Habitat Baseline'!$D$1:$O$258,5,FALSE))))</f>
        <v/>
      </c>
      <c r="H99" s="175" t="str">
        <f>IF(E99="","",IF(ISNA(VLOOKUP($E99,'D-1 Off Site Habitat Baseline'!$D$1:$O$258,6,FALSE)),"",(VLOOKUP($E99,'D-1 Off Site Habitat Baseline'!$D$1:$O$258,6,FALSE))))</f>
        <v/>
      </c>
      <c r="I99" s="175" t="str">
        <f>IF(E99="","",IF(ISNA(VLOOKUP($E99,'D-1 Off Site Habitat Baseline'!$D$1:$O$258,7,FALSE)),"",(VLOOKUP($E99,'D-1 Off Site Habitat Baseline'!$D$1:$O$258,7,FALSE))))</f>
        <v/>
      </c>
      <c r="J99" s="175" t="str">
        <f>IF(E99="","",IF(ISNA(VLOOKUP($E99,'D-1 Off Site Habitat Baseline'!$D$1:$O$258,8,FALSE)),"",(VLOOKUP($E99,'D-1 Off Site Habitat Baseline'!$D$1:$O$258,8,FALSE))))</f>
        <v/>
      </c>
      <c r="K99" s="175" t="str">
        <f>IF(E99="","",IF(ISNA(VLOOKUP($E99,'D-1 Off Site Habitat Baseline'!$D$1:$O$258,9,FALSE)),"",(VLOOKUP($E99,'D-1 Off Site Habitat Baseline'!$D$1:$O$258,9,FALSE))))</f>
        <v/>
      </c>
      <c r="L99" s="175" t="str">
        <f>IF(E99="","",IF(ISNA(VLOOKUP($E99,'D-1 Off Site Habitat Baseline'!$D$1:$O$258,11,FALSE)),"",(VLOOKUP($E99,'D-1 Off Site Habitat Baseline'!$D$1:$O$258,11,FALSE))))</f>
        <v/>
      </c>
      <c r="M99" s="175" t="str">
        <f>IF(E99="","",IF(ISNA(VLOOKUP($E99,'D-1 Off Site Habitat Baseline'!$D$1:$O$258,12,FALSE)),"",(VLOOKUP($E99,'D-1 Off Site Habitat Baseline'!$D$1:$O$258,12,FALSE))))</f>
        <v/>
      </c>
      <c r="N99" s="175" t="str">
        <f>IF(E99="","",IF(ISNA(VLOOKUP($E99,'D-1 Off Site Habitat Baseline'!$D$1:$X$258,14,FALSE)),"",(VLOOKUP($E99,'D-1 Off Site Habitat Baseline'!$D$1:$X$258,14,FALSE))))</f>
        <v/>
      </c>
      <c r="O99" s="176" t="str">
        <f>IF(E99="","",IF(ISNA(VLOOKUP($E99,'D-1 Off Site Habitat Baseline'!$D$1:$X$258,13,FALSE)),"",(VLOOKUP($E99,'D-1 Off Site Habitat Baseline'!$D$1:$X$258,13,FALSE))))</f>
        <v/>
      </c>
      <c r="P99" s="337" t="str">
        <f>IFERROR(INDEX('G-1 All Habitats'!$AG$3:$AG$15,MATCH(Q99,'G-1 All Habitats'!$AF$3:$AF$15,0)),"")</f>
        <v/>
      </c>
      <c r="Q99" s="331" t="str">
        <f t="shared" si="24"/>
        <v/>
      </c>
      <c r="R99" s="332" t="str">
        <f t="shared" si="25"/>
        <v/>
      </c>
      <c r="S99" s="338" t="str">
        <f>IFERROR(INDEX('G-1 All Habitats'!$B$3:$B$130,MATCH(R99,'G-1 All Habitats'!$A$3:$A$130,0)),"")</f>
        <v/>
      </c>
      <c r="T99" s="179" t="str">
        <f t="shared" si="17"/>
        <v/>
      </c>
      <c r="U99" s="172" t="str">
        <f t="shared" si="18"/>
        <v/>
      </c>
      <c r="V99" s="334" t="str">
        <f t="shared" si="15"/>
        <v/>
      </c>
      <c r="W99" s="175" t="str">
        <f>IF(S99="","",VLOOKUP(S99,'G-1 All Habitats'!$B$2:$M$130,10,FALSE))</f>
        <v/>
      </c>
      <c r="X99" s="175" t="str">
        <f>IFERROR(VLOOKUP(W99,'G-1 All Habitats'!$V$3:$W$7,2,FALSE),"")</f>
        <v/>
      </c>
      <c r="Y99" s="275"/>
      <c r="Z99" s="176" t="str">
        <f>IFERROR(INDEX('G-8 Condition Look up'!$A$3:$H$131,MATCH(S99,'G-8 Condition Look up'!$A$3:$A$131,0),MATCH(Y99,'G-8 Condition Look up'!$A$3:$H$3,0)),"")</f>
        <v/>
      </c>
      <c r="AA99" s="173"/>
      <c r="AB99" s="269" t="str">
        <f>IF(AA99="","",IF(VLOOKUP(AA99,'G-3 Multipliers'!$L$3:$N$6,2,FALSE)=0,"Spatial Data Missing",VLOOKUP(AA99,'G-3 Multipliers'!$L$3:$N$6,2,FALSE)))</f>
        <v/>
      </c>
      <c r="AC99" s="176" t="str">
        <f>IF(AA99="","",IF(VLOOKUP(AA99,'G-3 Multipliers'!$L$3:$N$6,3,FALSE)=0,"Spatial Data Missing",VLOOKUP(AA99,'G-3 Multipliers'!$L$3:$N$6,3,FALSE)))</f>
        <v/>
      </c>
      <c r="AD99" s="239" t="str">
        <f t="shared" si="16"/>
        <v/>
      </c>
      <c r="AE99" s="275"/>
      <c r="AF99" s="275"/>
      <c r="AG99" s="175" t="str">
        <f t="shared" si="19"/>
        <v/>
      </c>
      <c r="AH99" s="242" t="str">
        <f t="shared" si="20"/>
        <v/>
      </c>
      <c r="AI99" s="335" t="str">
        <f>IF(AH99="Check Data","Check Data",IFERROR(VLOOKUP(AH99,'G-4 Temporal multipliers'!$A$4:$C$36,3,FALSE),""))</f>
        <v/>
      </c>
      <c r="AJ99" s="239" t="str">
        <f>IF(S99="","",VLOOKUP(S99,'G-3 Multipliers'!$A$2:$E$130,4,FALSE))</f>
        <v/>
      </c>
      <c r="AK99" s="175" t="str">
        <f t="shared" si="21"/>
        <v/>
      </c>
      <c r="AL99" s="175" t="str">
        <f t="shared" si="22"/>
        <v/>
      </c>
      <c r="AM99" s="176" t="str">
        <f>IFERROR(IF(F99="","",IF(AH99="Check Data","Check Data",VLOOKUP(AL99, 'G-3 Multipliers'!$P$2:$Q$6,2,FALSE))),””)</f>
        <v/>
      </c>
      <c r="AN99" s="266"/>
      <c r="AO99" s="269" t="str">
        <f>IF(AN99="","",IF(VLOOKUP(AN99,'G-3 Multipliers'!$S$3:$T$9,2,FALSE)=0,"Spatial Data Missing",VLOOKUP(AN99,'G-3 Multipliers'!$S$3:$T$9,2,FALSE)))</f>
        <v/>
      </c>
      <c r="AP99" s="207" t="str">
        <f t="shared" si="23"/>
        <v/>
      </c>
      <c r="AQ99" s="336"/>
      <c r="AR99" s="181"/>
    </row>
    <row r="100" spans="1:44" x14ac:dyDescent="0.25">
      <c r="A100" s="35" t="str">
        <f>IF(E100="","",IF(ISNA(VLOOKUP($E100,'D-1 Off Site Habitat Baseline'!$D$1:$O$258,2,FALSE)),"",(VLOOKUP($E100,'D-1 Off Site Habitat Baseline'!$D$1:$O$258,2,FALSE))))</f>
        <v/>
      </c>
      <c r="B100" s="35" t="str">
        <f>IF(E100="","",IF(ISNA(VLOOKUP($E100,'D-1 Off Site Habitat Baseline'!$D$1:$O$258,3,FALSE)),"",(VLOOKUP($E100,'D-1 Off Site Habitat Baseline'!$D$1:$O$258,3,FALSE))))</f>
        <v/>
      </c>
      <c r="C100" s="35" t="str">
        <f>IFERROR(INDEX('G-8 Condition Look up'!$I$4:$I$131,MATCH(S100,'G-8 Condition Look up'!$A$4:$A$131,0)),"")</f>
        <v/>
      </c>
      <c r="E100" s="329" t="str">
        <f>'D-1 Off Site Habitat Baseline'!AL99</f>
        <v/>
      </c>
      <c r="F100" s="175" t="str">
        <f>IF(E100="","",IF(ISNA(VLOOKUP($E100,'D-1 Off Site Habitat Baseline'!$D$1:$O$258,4,FALSE)),"",(VLOOKUP($E100,'D-1 Off Site Habitat Baseline'!$D$1:$O$258,4,FALSE))))</f>
        <v/>
      </c>
      <c r="G100" s="175" t="str">
        <f>IF(E100="","",IF(ISNA(VLOOKUP($E100,'D-1 Off Site Habitat Baseline'!$D$1:$O$258,5,FALSE)),"",(VLOOKUP($E100,'D-1 Off Site Habitat Baseline'!$D$1:$O$258,5,FALSE))))</f>
        <v/>
      </c>
      <c r="H100" s="175" t="str">
        <f>IF(E100="","",IF(ISNA(VLOOKUP($E100,'D-1 Off Site Habitat Baseline'!$D$1:$O$258,6,FALSE)),"",(VLOOKUP($E100,'D-1 Off Site Habitat Baseline'!$D$1:$O$258,6,FALSE))))</f>
        <v/>
      </c>
      <c r="I100" s="175" t="str">
        <f>IF(E100="","",IF(ISNA(VLOOKUP($E100,'D-1 Off Site Habitat Baseline'!$D$1:$O$258,7,FALSE)),"",(VLOOKUP($E100,'D-1 Off Site Habitat Baseline'!$D$1:$O$258,7,FALSE))))</f>
        <v/>
      </c>
      <c r="J100" s="175" t="str">
        <f>IF(E100="","",IF(ISNA(VLOOKUP($E100,'D-1 Off Site Habitat Baseline'!$D$1:$O$258,8,FALSE)),"",(VLOOKUP($E100,'D-1 Off Site Habitat Baseline'!$D$1:$O$258,8,FALSE))))</f>
        <v/>
      </c>
      <c r="K100" s="175" t="str">
        <f>IF(E100="","",IF(ISNA(VLOOKUP($E100,'D-1 Off Site Habitat Baseline'!$D$1:$O$258,9,FALSE)),"",(VLOOKUP($E100,'D-1 Off Site Habitat Baseline'!$D$1:$O$258,9,FALSE))))</f>
        <v/>
      </c>
      <c r="L100" s="175" t="str">
        <f>IF(E100="","",IF(ISNA(VLOOKUP($E100,'D-1 Off Site Habitat Baseline'!$D$1:$O$258,11,FALSE)),"",(VLOOKUP($E100,'D-1 Off Site Habitat Baseline'!$D$1:$O$258,11,FALSE))))</f>
        <v/>
      </c>
      <c r="M100" s="175" t="str">
        <f>IF(E100="","",IF(ISNA(VLOOKUP($E100,'D-1 Off Site Habitat Baseline'!$D$1:$O$258,12,FALSE)),"",(VLOOKUP($E100,'D-1 Off Site Habitat Baseline'!$D$1:$O$258,12,FALSE))))</f>
        <v/>
      </c>
      <c r="N100" s="175" t="str">
        <f>IF(E100="","",IF(ISNA(VLOOKUP($E100,'D-1 Off Site Habitat Baseline'!$D$1:$X$258,14,FALSE)),"",(VLOOKUP($E100,'D-1 Off Site Habitat Baseline'!$D$1:$X$258,14,FALSE))))</f>
        <v/>
      </c>
      <c r="O100" s="176" t="str">
        <f>IF(E100="","",IF(ISNA(VLOOKUP($E100,'D-1 Off Site Habitat Baseline'!$D$1:$X$258,13,FALSE)),"",(VLOOKUP($E100,'D-1 Off Site Habitat Baseline'!$D$1:$X$258,13,FALSE))))</f>
        <v/>
      </c>
      <c r="P100" s="337" t="str">
        <f>IFERROR(INDEX('G-1 All Habitats'!$AG$3:$AG$15,MATCH(Q100,'G-1 All Habitats'!$AF$3:$AF$15,0)),"")</f>
        <v/>
      </c>
      <c r="Q100" s="331" t="str">
        <f t="shared" si="24"/>
        <v/>
      </c>
      <c r="R100" s="332" t="str">
        <f t="shared" si="25"/>
        <v/>
      </c>
      <c r="S100" s="338" t="str">
        <f>IFERROR(INDEX('G-1 All Habitats'!$B$3:$B$130,MATCH(R100,'G-1 All Habitats'!$A$3:$A$130,0)),"")</f>
        <v/>
      </c>
      <c r="T100" s="179" t="str">
        <f t="shared" si="17"/>
        <v/>
      </c>
      <c r="U100" s="172" t="str">
        <f t="shared" si="18"/>
        <v/>
      </c>
      <c r="V100" s="334" t="str">
        <f t="shared" si="15"/>
        <v/>
      </c>
      <c r="W100" s="175" t="str">
        <f>IF(S100="","",VLOOKUP(S100,'G-1 All Habitats'!$B$2:$M$130,10,FALSE))</f>
        <v/>
      </c>
      <c r="X100" s="175" t="str">
        <f>IFERROR(VLOOKUP(W100,'G-1 All Habitats'!$V$3:$W$7,2,FALSE),"")</f>
        <v/>
      </c>
      <c r="Y100" s="275"/>
      <c r="Z100" s="176" t="str">
        <f>IFERROR(INDEX('G-8 Condition Look up'!$A$3:$H$131,MATCH(S100,'G-8 Condition Look up'!$A$3:$A$131,0),MATCH(Y100,'G-8 Condition Look up'!$A$3:$H$3,0)),"")</f>
        <v/>
      </c>
      <c r="AA100" s="173"/>
      <c r="AB100" s="269" t="str">
        <f>IF(AA100="","",IF(VLOOKUP(AA100,'G-3 Multipliers'!$L$3:$N$6,2,FALSE)=0,"Spatial Data Missing",VLOOKUP(AA100,'G-3 Multipliers'!$L$3:$N$6,2,FALSE)))</f>
        <v/>
      </c>
      <c r="AC100" s="176" t="str">
        <f>IF(AA100="","",IF(VLOOKUP(AA100,'G-3 Multipliers'!$L$3:$N$6,3,FALSE)=0,"Spatial Data Missing",VLOOKUP(AA100,'G-3 Multipliers'!$L$3:$N$6,3,FALSE)))</f>
        <v/>
      </c>
      <c r="AD100" s="239" t="str">
        <f t="shared" si="16"/>
        <v/>
      </c>
      <c r="AE100" s="275"/>
      <c r="AF100" s="275"/>
      <c r="AG100" s="175" t="str">
        <f t="shared" si="19"/>
        <v/>
      </c>
      <c r="AH100" s="242" t="str">
        <f t="shared" si="20"/>
        <v/>
      </c>
      <c r="AI100" s="335" t="str">
        <f>IF(AH100="Check Data","Check Data",IFERROR(VLOOKUP(AH100,'G-4 Temporal multipliers'!$A$4:$C$36,3,FALSE),""))</f>
        <v/>
      </c>
      <c r="AJ100" s="239" t="str">
        <f>IF(S100="","",VLOOKUP(S100,'G-3 Multipliers'!$A$2:$E$130,4,FALSE))</f>
        <v/>
      </c>
      <c r="AK100" s="175" t="str">
        <f t="shared" si="21"/>
        <v/>
      </c>
      <c r="AL100" s="175" t="str">
        <f t="shared" si="22"/>
        <v/>
      </c>
      <c r="AM100" s="176" t="str">
        <f>IFERROR(IF(F100="","",IF(AH100="Check Data","Check Data",VLOOKUP(AL100, 'G-3 Multipliers'!$P$2:$Q$6,2,FALSE))),””)</f>
        <v/>
      </c>
      <c r="AN100" s="266"/>
      <c r="AO100" s="269" t="str">
        <f>IF(AN100="","",IF(VLOOKUP(AN100,'G-3 Multipliers'!$S$3:$T$9,2,FALSE)=0,"Spatial Data Missing",VLOOKUP(AN100,'G-3 Multipliers'!$S$3:$T$9,2,FALSE)))</f>
        <v/>
      </c>
      <c r="AP100" s="207" t="str">
        <f t="shared" si="23"/>
        <v/>
      </c>
      <c r="AQ100" s="336"/>
      <c r="AR100" s="181"/>
    </row>
    <row r="101" spans="1:44" x14ac:dyDescent="0.25">
      <c r="A101" s="35" t="str">
        <f>IF(E101="","",IF(ISNA(VLOOKUP($E101,'D-1 Off Site Habitat Baseline'!$D$1:$O$258,2,FALSE)),"",(VLOOKUP($E101,'D-1 Off Site Habitat Baseline'!$D$1:$O$258,2,FALSE))))</f>
        <v/>
      </c>
      <c r="B101" s="35" t="str">
        <f>IF(E101="","",IF(ISNA(VLOOKUP($E101,'D-1 Off Site Habitat Baseline'!$D$1:$O$258,3,FALSE)),"",(VLOOKUP($E101,'D-1 Off Site Habitat Baseline'!$D$1:$O$258,3,FALSE))))</f>
        <v/>
      </c>
      <c r="C101" s="35" t="str">
        <f>IFERROR(INDEX('G-8 Condition Look up'!$I$4:$I$131,MATCH(S101,'G-8 Condition Look up'!$A$4:$A$131,0)),"")</f>
        <v/>
      </c>
      <c r="E101" s="329" t="str">
        <f>'D-1 Off Site Habitat Baseline'!AL100</f>
        <v/>
      </c>
      <c r="F101" s="175" t="str">
        <f>IF(E101="","",IF(ISNA(VLOOKUP($E101,'D-1 Off Site Habitat Baseline'!$D$1:$O$258,4,FALSE)),"",(VLOOKUP($E101,'D-1 Off Site Habitat Baseline'!$D$1:$O$258,4,FALSE))))</f>
        <v/>
      </c>
      <c r="G101" s="175" t="str">
        <f>IF(E101="","",IF(ISNA(VLOOKUP($E101,'D-1 Off Site Habitat Baseline'!$D$1:$O$258,5,FALSE)),"",(VLOOKUP($E101,'D-1 Off Site Habitat Baseline'!$D$1:$O$258,5,FALSE))))</f>
        <v/>
      </c>
      <c r="H101" s="175" t="str">
        <f>IF(E101="","",IF(ISNA(VLOOKUP($E101,'D-1 Off Site Habitat Baseline'!$D$1:$O$258,6,FALSE)),"",(VLOOKUP($E101,'D-1 Off Site Habitat Baseline'!$D$1:$O$258,6,FALSE))))</f>
        <v/>
      </c>
      <c r="I101" s="175" t="str">
        <f>IF(E101="","",IF(ISNA(VLOOKUP($E101,'D-1 Off Site Habitat Baseline'!$D$1:$O$258,7,FALSE)),"",(VLOOKUP($E101,'D-1 Off Site Habitat Baseline'!$D$1:$O$258,7,FALSE))))</f>
        <v/>
      </c>
      <c r="J101" s="175" t="str">
        <f>IF(E101="","",IF(ISNA(VLOOKUP($E101,'D-1 Off Site Habitat Baseline'!$D$1:$O$258,8,FALSE)),"",(VLOOKUP($E101,'D-1 Off Site Habitat Baseline'!$D$1:$O$258,8,FALSE))))</f>
        <v/>
      </c>
      <c r="K101" s="175" t="str">
        <f>IF(E101="","",IF(ISNA(VLOOKUP($E101,'D-1 Off Site Habitat Baseline'!$D$1:$O$258,9,FALSE)),"",(VLOOKUP($E101,'D-1 Off Site Habitat Baseline'!$D$1:$O$258,9,FALSE))))</f>
        <v/>
      </c>
      <c r="L101" s="175" t="str">
        <f>IF(E101="","",IF(ISNA(VLOOKUP($E101,'D-1 Off Site Habitat Baseline'!$D$1:$O$258,11,FALSE)),"",(VLOOKUP($E101,'D-1 Off Site Habitat Baseline'!$D$1:$O$258,11,FALSE))))</f>
        <v/>
      </c>
      <c r="M101" s="175" t="str">
        <f>IF(E101="","",IF(ISNA(VLOOKUP($E101,'D-1 Off Site Habitat Baseline'!$D$1:$O$258,12,FALSE)),"",(VLOOKUP($E101,'D-1 Off Site Habitat Baseline'!$D$1:$O$258,12,FALSE))))</f>
        <v/>
      </c>
      <c r="N101" s="175" t="str">
        <f>IF(E101="","",IF(ISNA(VLOOKUP($E101,'D-1 Off Site Habitat Baseline'!$D$1:$X$258,14,FALSE)),"",(VLOOKUP($E101,'D-1 Off Site Habitat Baseline'!$D$1:$X$258,14,FALSE))))</f>
        <v/>
      </c>
      <c r="O101" s="176" t="str">
        <f>IF(E101="","",IF(ISNA(VLOOKUP($E101,'D-1 Off Site Habitat Baseline'!$D$1:$X$258,13,FALSE)),"",(VLOOKUP($E101,'D-1 Off Site Habitat Baseline'!$D$1:$X$258,13,FALSE))))</f>
        <v/>
      </c>
      <c r="P101" s="337" t="str">
        <f>IFERROR(INDEX('G-1 All Habitats'!$AG$3:$AG$15,MATCH(Q101,'G-1 All Habitats'!$AF$3:$AF$15,0)),"")</f>
        <v/>
      </c>
      <c r="Q101" s="331" t="str">
        <f t="shared" si="24"/>
        <v/>
      </c>
      <c r="R101" s="332" t="str">
        <f t="shared" si="25"/>
        <v/>
      </c>
      <c r="S101" s="338" t="str">
        <f>IFERROR(INDEX('G-1 All Habitats'!$B$3:$B$130,MATCH(R101,'G-1 All Habitats'!$A$3:$A$130,0)),"")</f>
        <v/>
      </c>
      <c r="T101" s="179" t="str">
        <f t="shared" si="17"/>
        <v/>
      </c>
      <c r="U101" s="172" t="str">
        <f t="shared" si="18"/>
        <v/>
      </c>
      <c r="V101" s="334" t="str">
        <f t="shared" si="15"/>
        <v/>
      </c>
      <c r="W101" s="175" t="str">
        <f>IF(S101="","",VLOOKUP(S101,'G-1 All Habitats'!$B$2:$M$130,10,FALSE))</f>
        <v/>
      </c>
      <c r="X101" s="175" t="str">
        <f>IFERROR(VLOOKUP(W101,'G-1 All Habitats'!$V$3:$W$7,2,FALSE),"")</f>
        <v/>
      </c>
      <c r="Y101" s="275"/>
      <c r="Z101" s="176" t="str">
        <f>IFERROR(INDEX('G-8 Condition Look up'!$A$3:$H$131,MATCH(S101,'G-8 Condition Look up'!$A$3:$A$131,0),MATCH(Y101,'G-8 Condition Look up'!$A$3:$H$3,0)),"")</f>
        <v/>
      </c>
      <c r="AA101" s="173"/>
      <c r="AB101" s="269" t="str">
        <f>IF(AA101="","",IF(VLOOKUP(AA101,'G-3 Multipliers'!$L$3:$N$6,2,FALSE)=0,"Spatial Data Missing",VLOOKUP(AA101,'G-3 Multipliers'!$L$3:$N$6,2,FALSE)))</f>
        <v/>
      </c>
      <c r="AC101" s="176" t="str">
        <f>IF(AA101="","",IF(VLOOKUP(AA101,'G-3 Multipliers'!$L$3:$N$6,3,FALSE)=0,"Spatial Data Missing",VLOOKUP(AA101,'G-3 Multipliers'!$L$3:$N$6,3,FALSE)))</f>
        <v/>
      </c>
      <c r="AD101" s="239" t="str">
        <f t="shared" si="16"/>
        <v/>
      </c>
      <c r="AE101" s="275"/>
      <c r="AF101" s="275"/>
      <c r="AG101" s="175" t="str">
        <f t="shared" si="19"/>
        <v/>
      </c>
      <c r="AH101" s="242" t="str">
        <f t="shared" si="20"/>
        <v/>
      </c>
      <c r="AI101" s="335" t="str">
        <f>IF(AH101="Check Data","Check Data",IFERROR(VLOOKUP(AH101,'G-4 Temporal multipliers'!$A$4:$C$36,3,FALSE),""))</f>
        <v/>
      </c>
      <c r="AJ101" s="239" t="str">
        <f>IF(S101="","",VLOOKUP(S101,'G-3 Multipliers'!$A$2:$E$130,4,FALSE))</f>
        <v/>
      </c>
      <c r="AK101" s="175" t="str">
        <f t="shared" si="21"/>
        <v/>
      </c>
      <c r="AL101" s="175" t="str">
        <f t="shared" si="22"/>
        <v/>
      </c>
      <c r="AM101" s="176" t="str">
        <f>IFERROR(IF(F101="","",IF(AH101="Check Data","Check Data",VLOOKUP(AL101, 'G-3 Multipliers'!$P$2:$Q$6,2,FALSE))),””)</f>
        <v/>
      </c>
      <c r="AN101" s="266"/>
      <c r="AO101" s="269" t="str">
        <f>IF(AN101="","",IF(VLOOKUP(AN101,'G-3 Multipliers'!$S$3:$T$9,2,FALSE)=0,"Spatial Data Missing",VLOOKUP(AN101,'G-3 Multipliers'!$S$3:$T$9,2,FALSE)))</f>
        <v/>
      </c>
      <c r="AP101" s="207" t="str">
        <f t="shared" si="23"/>
        <v/>
      </c>
      <c r="AQ101" s="336"/>
      <c r="AR101" s="181"/>
    </row>
    <row r="102" spans="1:44" x14ac:dyDescent="0.25">
      <c r="A102" s="35" t="str">
        <f>IF(E102="","",IF(ISNA(VLOOKUP($E102,'D-1 Off Site Habitat Baseline'!$D$1:$O$258,2,FALSE)),"",(VLOOKUP($E102,'D-1 Off Site Habitat Baseline'!$D$1:$O$258,2,FALSE))))</f>
        <v/>
      </c>
      <c r="B102" s="35" t="str">
        <f>IF(E102="","",IF(ISNA(VLOOKUP($E102,'D-1 Off Site Habitat Baseline'!$D$1:$O$258,3,FALSE)),"",(VLOOKUP($E102,'D-1 Off Site Habitat Baseline'!$D$1:$O$258,3,FALSE))))</f>
        <v/>
      </c>
      <c r="C102" s="35" t="str">
        <f>IFERROR(INDEX('G-8 Condition Look up'!$I$4:$I$131,MATCH(S102,'G-8 Condition Look up'!$A$4:$A$131,0)),"")</f>
        <v/>
      </c>
      <c r="E102" s="329" t="str">
        <f>'D-1 Off Site Habitat Baseline'!AL101</f>
        <v/>
      </c>
      <c r="F102" s="175" t="str">
        <f>IF(E102="","",IF(ISNA(VLOOKUP($E102,'D-1 Off Site Habitat Baseline'!$D$1:$O$258,4,FALSE)),"",(VLOOKUP($E102,'D-1 Off Site Habitat Baseline'!$D$1:$O$258,4,FALSE))))</f>
        <v/>
      </c>
      <c r="G102" s="175" t="str">
        <f>IF(E102="","",IF(ISNA(VLOOKUP($E102,'D-1 Off Site Habitat Baseline'!$D$1:$O$258,5,FALSE)),"",(VLOOKUP($E102,'D-1 Off Site Habitat Baseline'!$D$1:$O$258,5,FALSE))))</f>
        <v/>
      </c>
      <c r="H102" s="175" t="str">
        <f>IF(E102="","",IF(ISNA(VLOOKUP($E102,'D-1 Off Site Habitat Baseline'!$D$1:$O$258,6,FALSE)),"",(VLOOKUP($E102,'D-1 Off Site Habitat Baseline'!$D$1:$O$258,6,FALSE))))</f>
        <v/>
      </c>
      <c r="I102" s="175" t="str">
        <f>IF(E102="","",IF(ISNA(VLOOKUP($E102,'D-1 Off Site Habitat Baseline'!$D$1:$O$258,7,FALSE)),"",(VLOOKUP($E102,'D-1 Off Site Habitat Baseline'!$D$1:$O$258,7,FALSE))))</f>
        <v/>
      </c>
      <c r="J102" s="175" t="str">
        <f>IF(E102="","",IF(ISNA(VLOOKUP($E102,'D-1 Off Site Habitat Baseline'!$D$1:$O$258,8,FALSE)),"",(VLOOKUP($E102,'D-1 Off Site Habitat Baseline'!$D$1:$O$258,8,FALSE))))</f>
        <v/>
      </c>
      <c r="K102" s="175" t="str">
        <f>IF(E102="","",IF(ISNA(VLOOKUP($E102,'D-1 Off Site Habitat Baseline'!$D$1:$O$258,9,FALSE)),"",(VLOOKUP($E102,'D-1 Off Site Habitat Baseline'!$D$1:$O$258,9,FALSE))))</f>
        <v/>
      </c>
      <c r="L102" s="175" t="str">
        <f>IF(E102="","",IF(ISNA(VLOOKUP($E102,'D-1 Off Site Habitat Baseline'!$D$1:$O$258,11,FALSE)),"",(VLOOKUP($E102,'D-1 Off Site Habitat Baseline'!$D$1:$O$258,11,FALSE))))</f>
        <v/>
      </c>
      <c r="M102" s="175" t="str">
        <f>IF(E102="","",IF(ISNA(VLOOKUP($E102,'D-1 Off Site Habitat Baseline'!$D$1:$O$258,12,FALSE)),"",(VLOOKUP($E102,'D-1 Off Site Habitat Baseline'!$D$1:$O$258,12,FALSE))))</f>
        <v/>
      </c>
      <c r="N102" s="175" t="str">
        <f>IF(E102="","",IF(ISNA(VLOOKUP($E102,'D-1 Off Site Habitat Baseline'!$D$1:$X$258,14,FALSE)),"",(VLOOKUP($E102,'D-1 Off Site Habitat Baseline'!$D$1:$X$258,14,FALSE))))</f>
        <v/>
      </c>
      <c r="O102" s="176" t="str">
        <f>IF(E102="","",IF(ISNA(VLOOKUP($E102,'D-1 Off Site Habitat Baseline'!$D$1:$X$258,13,FALSE)),"",(VLOOKUP($E102,'D-1 Off Site Habitat Baseline'!$D$1:$X$258,13,FALSE))))</f>
        <v/>
      </c>
      <c r="P102" s="337" t="str">
        <f>IFERROR(INDEX('G-1 All Habitats'!$AG$3:$AG$15,MATCH(Q102,'G-1 All Habitats'!$AF$3:$AF$15,0)),"")</f>
        <v/>
      </c>
      <c r="Q102" s="331" t="str">
        <f t="shared" si="24"/>
        <v/>
      </c>
      <c r="R102" s="332" t="str">
        <f t="shared" si="25"/>
        <v/>
      </c>
      <c r="S102" s="338" t="str">
        <f>IFERROR(INDEX('G-1 All Habitats'!$B$3:$B$130,MATCH(R102,'G-1 All Habitats'!$A$3:$A$130,0)),"")</f>
        <v/>
      </c>
      <c r="T102" s="179" t="str">
        <f t="shared" si="17"/>
        <v/>
      </c>
      <c r="U102" s="172" t="str">
        <f t="shared" si="18"/>
        <v/>
      </c>
      <c r="V102" s="334" t="str">
        <f t="shared" si="15"/>
        <v/>
      </c>
      <c r="W102" s="175" t="str">
        <f>IF(S102="","",VLOOKUP(S102,'G-1 All Habitats'!$B$2:$M$130,10,FALSE))</f>
        <v/>
      </c>
      <c r="X102" s="175" t="str">
        <f>IFERROR(VLOOKUP(W102,'G-1 All Habitats'!$V$3:$W$7,2,FALSE),"")</f>
        <v/>
      </c>
      <c r="Y102" s="275"/>
      <c r="Z102" s="176" t="str">
        <f>IFERROR(INDEX('G-8 Condition Look up'!$A$3:$H$131,MATCH(S102,'G-8 Condition Look up'!$A$3:$A$131,0),MATCH(Y102,'G-8 Condition Look up'!$A$3:$H$3,0)),"")</f>
        <v/>
      </c>
      <c r="AA102" s="173"/>
      <c r="AB102" s="269" t="str">
        <f>IF(AA102="","",IF(VLOOKUP(AA102,'G-3 Multipliers'!$L$3:$N$6,2,FALSE)=0,"Spatial Data Missing",VLOOKUP(AA102,'G-3 Multipliers'!$L$3:$N$6,2,FALSE)))</f>
        <v/>
      </c>
      <c r="AC102" s="176" t="str">
        <f>IF(AA102="","",IF(VLOOKUP(AA102,'G-3 Multipliers'!$L$3:$N$6,3,FALSE)=0,"Spatial Data Missing",VLOOKUP(AA102,'G-3 Multipliers'!$L$3:$N$6,3,FALSE)))</f>
        <v/>
      </c>
      <c r="AD102" s="239" t="str">
        <f t="shared" si="16"/>
        <v/>
      </c>
      <c r="AE102" s="275"/>
      <c r="AF102" s="275"/>
      <c r="AG102" s="175" t="str">
        <f t="shared" si="19"/>
        <v/>
      </c>
      <c r="AH102" s="242" t="str">
        <f t="shared" si="20"/>
        <v/>
      </c>
      <c r="AI102" s="335" t="str">
        <f>IF(AH102="Check Data","Check Data",IFERROR(VLOOKUP(AH102,'G-4 Temporal multipliers'!$A$4:$C$36,3,FALSE),""))</f>
        <v/>
      </c>
      <c r="AJ102" s="239" t="str">
        <f>IF(S102="","",VLOOKUP(S102,'G-3 Multipliers'!$A$2:$E$130,4,FALSE))</f>
        <v/>
      </c>
      <c r="AK102" s="175" t="str">
        <f t="shared" si="21"/>
        <v/>
      </c>
      <c r="AL102" s="175" t="str">
        <f t="shared" si="22"/>
        <v/>
      </c>
      <c r="AM102" s="176" t="str">
        <f>IFERROR(IF(F102="","",IF(AH102="Check Data","Check Data",VLOOKUP(AL102, 'G-3 Multipliers'!$P$2:$Q$6,2,FALSE))),””)</f>
        <v/>
      </c>
      <c r="AN102" s="266"/>
      <c r="AO102" s="269" t="str">
        <f>IF(AN102="","",IF(VLOOKUP(AN102,'G-3 Multipliers'!$S$3:$T$9,2,FALSE)=0,"Spatial Data Missing",VLOOKUP(AN102,'G-3 Multipliers'!$S$3:$T$9,2,FALSE)))</f>
        <v/>
      </c>
      <c r="AP102" s="207" t="str">
        <f t="shared" si="23"/>
        <v/>
      </c>
      <c r="AQ102" s="336"/>
      <c r="AR102" s="181"/>
    </row>
    <row r="103" spans="1:44" x14ac:dyDescent="0.25">
      <c r="A103" s="35" t="str">
        <f>IF(E103="","",IF(ISNA(VLOOKUP($E103,'D-1 Off Site Habitat Baseline'!$D$1:$O$258,2,FALSE)),"",(VLOOKUP($E103,'D-1 Off Site Habitat Baseline'!$D$1:$O$258,2,FALSE))))</f>
        <v/>
      </c>
      <c r="B103" s="35" t="str">
        <f>IF(E103="","",IF(ISNA(VLOOKUP($E103,'D-1 Off Site Habitat Baseline'!$D$1:$O$258,3,FALSE)),"",(VLOOKUP($E103,'D-1 Off Site Habitat Baseline'!$D$1:$O$258,3,FALSE))))</f>
        <v/>
      </c>
      <c r="C103" s="35" t="str">
        <f>IFERROR(INDEX('G-8 Condition Look up'!$I$4:$I$131,MATCH(S103,'G-8 Condition Look up'!$A$4:$A$131,0)),"")</f>
        <v/>
      </c>
      <c r="E103" s="329" t="str">
        <f>'D-1 Off Site Habitat Baseline'!AL102</f>
        <v/>
      </c>
      <c r="F103" s="175" t="str">
        <f>IF(E103="","",IF(ISNA(VLOOKUP($E103,'D-1 Off Site Habitat Baseline'!$D$1:$O$258,4,FALSE)),"",(VLOOKUP($E103,'D-1 Off Site Habitat Baseline'!$D$1:$O$258,4,FALSE))))</f>
        <v/>
      </c>
      <c r="G103" s="175" t="str">
        <f>IF(E103="","",IF(ISNA(VLOOKUP($E103,'D-1 Off Site Habitat Baseline'!$D$1:$O$258,5,FALSE)),"",(VLOOKUP($E103,'D-1 Off Site Habitat Baseline'!$D$1:$O$258,5,FALSE))))</f>
        <v/>
      </c>
      <c r="H103" s="175" t="str">
        <f>IF(E103="","",IF(ISNA(VLOOKUP($E103,'D-1 Off Site Habitat Baseline'!$D$1:$O$258,6,FALSE)),"",(VLOOKUP($E103,'D-1 Off Site Habitat Baseline'!$D$1:$O$258,6,FALSE))))</f>
        <v/>
      </c>
      <c r="I103" s="175" t="str">
        <f>IF(E103="","",IF(ISNA(VLOOKUP($E103,'D-1 Off Site Habitat Baseline'!$D$1:$O$258,7,FALSE)),"",(VLOOKUP($E103,'D-1 Off Site Habitat Baseline'!$D$1:$O$258,7,FALSE))))</f>
        <v/>
      </c>
      <c r="J103" s="175" t="str">
        <f>IF(E103="","",IF(ISNA(VLOOKUP($E103,'D-1 Off Site Habitat Baseline'!$D$1:$O$258,8,FALSE)),"",(VLOOKUP($E103,'D-1 Off Site Habitat Baseline'!$D$1:$O$258,8,FALSE))))</f>
        <v/>
      </c>
      <c r="K103" s="175" t="str">
        <f>IF(E103="","",IF(ISNA(VLOOKUP($E103,'D-1 Off Site Habitat Baseline'!$D$1:$O$258,9,FALSE)),"",(VLOOKUP($E103,'D-1 Off Site Habitat Baseline'!$D$1:$O$258,9,FALSE))))</f>
        <v/>
      </c>
      <c r="L103" s="175" t="str">
        <f>IF(E103="","",IF(ISNA(VLOOKUP($E103,'D-1 Off Site Habitat Baseline'!$D$1:$O$258,11,FALSE)),"",(VLOOKUP($E103,'D-1 Off Site Habitat Baseline'!$D$1:$O$258,11,FALSE))))</f>
        <v/>
      </c>
      <c r="M103" s="175" t="str">
        <f>IF(E103="","",IF(ISNA(VLOOKUP($E103,'D-1 Off Site Habitat Baseline'!$D$1:$O$258,12,FALSE)),"",(VLOOKUP($E103,'D-1 Off Site Habitat Baseline'!$D$1:$O$258,12,FALSE))))</f>
        <v/>
      </c>
      <c r="N103" s="175" t="str">
        <f>IF(E103="","",IF(ISNA(VLOOKUP($E103,'D-1 Off Site Habitat Baseline'!$D$1:$X$258,14,FALSE)),"",(VLOOKUP($E103,'D-1 Off Site Habitat Baseline'!$D$1:$X$258,14,FALSE))))</f>
        <v/>
      </c>
      <c r="O103" s="176" t="str">
        <f>IF(E103="","",IF(ISNA(VLOOKUP($E103,'D-1 Off Site Habitat Baseline'!$D$1:$X$258,13,FALSE)),"",(VLOOKUP($E103,'D-1 Off Site Habitat Baseline'!$D$1:$X$258,13,FALSE))))</f>
        <v/>
      </c>
      <c r="P103" s="337" t="str">
        <f>IFERROR(INDEX('G-1 All Habitats'!$AG$3:$AG$15,MATCH(Q103,'G-1 All Habitats'!$AF$3:$AF$15,0)),"")</f>
        <v/>
      </c>
      <c r="Q103" s="331" t="str">
        <f t="shared" si="24"/>
        <v/>
      </c>
      <c r="R103" s="332" t="str">
        <f t="shared" si="25"/>
        <v/>
      </c>
      <c r="S103" s="338" t="str">
        <f>IFERROR(INDEX('G-1 All Habitats'!$B$3:$B$130,MATCH(R103,'G-1 All Habitats'!$A$3:$A$130,0)),"")</f>
        <v/>
      </c>
      <c r="T103" s="179" t="str">
        <f t="shared" si="17"/>
        <v/>
      </c>
      <c r="U103" s="172" t="str">
        <f t="shared" si="18"/>
        <v/>
      </c>
      <c r="V103" s="334" t="str">
        <f t="shared" si="15"/>
        <v/>
      </c>
      <c r="W103" s="175" t="str">
        <f>IF(S103="","",VLOOKUP(S103,'G-1 All Habitats'!$B$2:$M$130,10,FALSE))</f>
        <v/>
      </c>
      <c r="X103" s="175" t="str">
        <f>IFERROR(VLOOKUP(W103,'G-1 All Habitats'!$V$3:$W$7,2,FALSE),"")</f>
        <v/>
      </c>
      <c r="Y103" s="275"/>
      <c r="Z103" s="176" t="str">
        <f>IFERROR(INDEX('G-8 Condition Look up'!$A$3:$H$131,MATCH(S103,'G-8 Condition Look up'!$A$3:$A$131,0),MATCH(Y103,'G-8 Condition Look up'!$A$3:$H$3,0)),"")</f>
        <v/>
      </c>
      <c r="AA103" s="173"/>
      <c r="AB103" s="269" t="str">
        <f>IF(AA103="","",IF(VLOOKUP(AA103,'G-3 Multipliers'!$L$3:$N$6,2,FALSE)=0,"Spatial Data Missing",VLOOKUP(AA103,'G-3 Multipliers'!$L$3:$N$6,2,FALSE)))</f>
        <v/>
      </c>
      <c r="AC103" s="176" t="str">
        <f>IF(AA103="","",IF(VLOOKUP(AA103,'G-3 Multipliers'!$L$3:$N$6,3,FALSE)=0,"Spatial Data Missing",VLOOKUP(AA103,'G-3 Multipliers'!$L$3:$N$6,3,FALSE)))</f>
        <v/>
      </c>
      <c r="AD103" s="239" t="str">
        <f t="shared" si="16"/>
        <v/>
      </c>
      <c r="AE103" s="275"/>
      <c r="AF103" s="275"/>
      <c r="AG103" s="175" t="str">
        <f t="shared" si="19"/>
        <v/>
      </c>
      <c r="AH103" s="242" t="str">
        <f t="shared" si="20"/>
        <v/>
      </c>
      <c r="AI103" s="335" t="str">
        <f>IF(AH103="Check Data","Check Data",IFERROR(VLOOKUP(AH103,'G-4 Temporal multipliers'!$A$4:$C$36,3,FALSE),""))</f>
        <v/>
      </c>
      <c r="AJ103" s="239" t="str">
        <f>IF(S103="","",VLOOKUP(S103,'G-3 Multipliers'!$A$2:$E$130,4,FALSE))</f>
        <v/>
      </c>
      <c r="AK103" s="175" t="str">
        <f t="shared" si="21"/>
        <v/>
      </c>
      <c r="AL103" s="175" t="str">
        <f t="shared" si="22"/>
        <v/>
      </c>
      <c r="AM103" s="176" t="str">
        <f>IFERROR(IF(F103="","",IF(AH103="Check Data","Check Data",VLOOKUP(AL103, 'G-3 Multipliers'!$P$2:$Q$6,2,FALSE))),””)</f>
        <v/>
      </c>
      <c r="AN103" s="266"/>
      <c r="AO103" s="269" t="str">
        <f>IF(AN103="","",IF(VLOOKUP(AN103,'G-3 Multipliers'!$S$3:$T$9,2,FALSE)=0,"Spatial Data Missing",VLOOKUP(AN103,'G-3 Multipliers'!$S$3:$T$9,2,FALSE)))</f>
        <v/>
      </c>
      <c r="AP103" s="207" t="str">
        <f t="shared" si="23"/>
        <v/>
      </c>
      <c r="AQ103" s="336"/>
      <c r="AR103" s="181"/>
    </row>
    <row r="104" spans="1:44" x14ac:dyDescent="0.25">
      <c r="A104" s="35" t="str">
        <f>IF(E104="","",IF(ISNA(VLOOKUP($E104,'D-1 Off Site Habitat Baseline'!$D$1:$O$258,2,FALSE)),"",(VLOOKUP($E104,'D-1 Off Site Habitat Baseline'!$D$1:$O$258,2,FALSE))))</f>
        <v/>
      </c>
      <c r="B104" s="35" t="str">
        <f>IF(E104="","",IF(ISNA(VLOOKUP($E104,'D-1 Off Site Habitat Baseline'!$D$1:$O$258,3,FALSE)),"",(VLOOKUP($E104,'D-1 Off Site Habitat Baseline'!$D$1:$O$258,3,FALSE))))</f>
        <v/>
      </c>
      <c r="C104" s="35" t="str">
        <f>IFERROR(INDEX('G-8 Condition Look up'!$I$4:$I$131,MATCH(S104,'G-8 Condition Look up'!$A$4:$A$131,0)),"")</f>
        <v/>
      </c>
      <c r="E104" s="329" t="str">
        <f>'D-1 Off Site Habitat Baseline'!AL103</f>
        <v/>
      </c>
      <c r="F104" s="175" t="str">
        <f>IF(E104="","",IF(ISNA(VLOOKUP($E104,'D-1 Off Site Habitat Baseline'!$D$1:$O$258,4,FALSE)),"",(VLOOKUP($E104,'D-1 Off Site Habitat Baseline'!$D$1:$O$258,4,FALSE))))</f>
        <v/>
      </c>
      <c r="G104" s="175" t="str">
        <f>IF(E104="","",IF(ISNA(VLOOKUP($E104,'D-1 Off Site Habitat Baseline'!$D$1:$O$258,5,FALSE)),"",(VLOOKUP($E104,'D-1 Off Site Habitat Baseline'!$D$1:$O$258,5,FALSE))))</f>
        <v/>
      </c>
      <c r="H104" s="175" t="str">
        <f>IF(E104="","",IF(ISNA(VLOOKUP($E104,'D-1 Off Site Habitat Baseline'!$D$1:$O$258,6,FALSE)),"",(VLOOKUP($E104,'D-1 Off Site Habitat Baseline'!$D$1:$O$258,6,FALSE))))</f>
        <v/>
      </c>
      <c r="I104" s="175" t="str">
        <f>IF(E104="","",IF(ISNA(VLOOKUP($E104,'D-1 Off Site Habitat Baseline'!$D$1:$O$258,7,FALSE)),"",(VLOOKUP($E104,'D-1 Off Site Habitat Baseline'!$D$1:$O$258,7,FALSE))))</f>
        <v/>
      </c>
      <c r="J104" s="175" t="str">
        <f>IF(E104="","",IF(ISNA(VLOOKUP($E104,'D-1 Off Site Habitat Baseline'!$D$1:$O$258,8,FALSE)),"",(VLOOKUP($E104,'D-1 Off Site Habitat Baseline'!$D$1:$O$258,8,FALSE))))</f>
        <v/>
      </c>
      <c r="K104" s="175" t="str">
        <f>IF(E104="","",IF(ISNA(VLOOKUP($E104,'D-1 Off Site Habitat Baseline'!$D$1:$O$258,9,FALSE)),"",(VLOOKUP($E104,'D-1 Off Site Habitat Baseline'!$D$1:$O$258,9,FALSE))))</f>
        <v/>
      </c>
      <c r="L104" s="175" t="str">
        <f>IF(E104="","",IF(ISNA(VLOOKUP($E104,'D-1 Off Site Habitat Baseline'!$D$1:$O$258,11,FALSE)),"",(VLOOKUP($E104,'D-1 Off Site Habitat Baseline'!$D$1:$O$258,11,FALSE))))</f>
        <v/>
      </c>
      <c r="M104" s="175" t="str">
        <f>IF(E104="","",IF(ISNA(VLOOKUP($E104,'D-1 Off Site Habitat Baseline'!$D$1:$O$258,12,FALSE)),"",(VLOOKUP($E104,'D-1 Off Site Habitat Baseline'!$D$1:$O$258,12,FALSE))))</f>
        <v/>
      </c>
      <c r="N104" s="175" t="str">
        <f>IF(E104="","",IF(ISNA(VLOOKUP($E104,'D-1 Off Site Habitat Baseline'!$D$1:$X$258,14,FALSE)),"",(VLOOKUP($E104,'D-1 Off Site Habitat Baseline'!$D$1:$X$258,14,FALSE))))</f>
        <v/>
      </c>
      <c r="O104" s="176" t="str">
        <f>IF(E104="","",IF(ISNA(VLOOKUP($E104,'D-1 Off Site Habitat Baseline'!$D$1:$X$258,13,FALSE)),"",(VLOOKUP($E104,'D-1 Off Site Habitat Baseline'!$D$1:$X$258,13,FALSE))))</f>
        <v/>
      </c>
      <c r="P104" s="337" t="str">
        <f>IFERROR(INDEX('G-1 All Habitats'!$AG$3:$AG$15,MATCH(Q104,'G-1 All Habitats'!$AF$3:$AF$15,0)),"")</f>
        <v/>
      </c>
      <c r="Q104" s="331" t="str">
        <f t="shared" si="24"/>
        <v/>
      </c>
      <c r="R104" s="332" t="str">
        <f t="shared" si="25"/>
        <v/>
      </c>
      <c r="S104" s="338" t="str">
        <f>IFERROR(INDEX('G-1 All Habitats'!$B$3:$B$130,MATCH(R104,'G-1 All Habitats'!$A$3:$A$130,0)),"")</f>
        <v/>
      </c>
      <c r="T104" s="179" t="str">
        <f t="shared" si="17"/>
        <v/>
      </c>
      <c r="U104" s="172" t="str">
        <f t="shared" si="18"/>
        <v/>
      </c>
      <c r="V104" s="334" t="str">
        <f t="shared" si="15"/>
        <v/>
      </c>
      <c r="W104" s="175" t="str">
        <f>IF(S104="","",VLOOKUP(S104,'G-1 All Habitats'!$B$2:$M$130,10,FALSE))</f>
        <v/>
      </c>
      <c r="X104" s="175" t="str">
        <f>IFERROR(VLOOKUP(W104,'G-1 All Habitats'!$V$3:$W$7,2,FALSE),"")</f>
        <v/>
      </c>
      <c r="Y104" s="275"/>
      <c r="Z104" s="176" t="str">
        <f>IFERROR(INDEX('G-8 Condition Look up'!$A$3:$H$131,MATCH(S104,'G-8 Condition Look up'!$A$3:$A$131,0),MATCH(Y104,'G-8 Condition Look up'!$A$3:$H$3,0)),"")</f>
        <v/>
      </c>
      <c r="AA104" s="173"/>
      <c r="AB104" s="269" t="str">
        <f>IF(AA104="","",IF(VLOOKUP(AA104,'G-3 Multipliers'!$L$3:$N$6,2,FALSE)=0,"Spatial Data Missing",VLOOKUP(AA104,'G-3 Multipliers'!$L$3:$N$6,2,FALSE)))</f>
        <v/>
      </c>
      <c r="AC104" s="176" t="str">
        <f>IF(AA104="","",IF(VLOOKUP(AA104,'G-3 Multipliers'!$L$3:$N$6,3,FALSE)=0,"Spatial Data Missing",VLOOKUP(AA104,'G-3 Multipliers'!$L$3:$N$6,3,FALSE)))</f>
        <v/>
      </c>
      <c r="AD104" s="239" t="str">
        <f t="shared" si="16"/>
        <v/>
      </c>
      <c r="AE104" s="275"/>
      <c r="AF104" s="275"/>
      <c r="AG104" s="175" t="str">
        <f t="shared" si="19"/>
        <v/>
      </c>
      <c r="AH104" s="242" t="str">
        <f t="shared" si="20"/>
        <v/>
      </c>
      <c r="AI104" s="335" t="str">
        <f>IF(AH104="Check Data","Check Data",IFERROR(VLOOKUP(AH104,'G-4 Temporal multipliers'!$A$4:$C$36,3,FALSE),""))</f>
        <v/>
      </c>
      <c r="AJ104" s="239" t="str">
        <f>IF(S104="","",VLOOKUP(S104,'G-3 Multipliers'!$A$2:$E$130,4,FALSE))</f>
        <v/>
      </c>
      <c r="AK104" s="175" t="str">
        <f t="shared" si="21"/>
        <v/>
      </c>
      <c r="AL104" s="175" t="str">
        <f t="shared" si="22"/>
        <v/>
      </c>
      <c r="AM104" s="176" t="str">
        <f>IFERROR(IF(F104="","",IF(AH104="Check Data","Check Data",VLOOKUP(AL104, 'G-3 Multipliers'!$P$2:$Q$6,2,FALSE))),””)</f>
        <v/>
      </c>
      <c r="AN104" s="266"/>
      <c r="AO104" s="269" t="str">
        <f>IF(AN104="","",IF(VLOOKUP(AN104,'G-3 Multipliers'!$S$3:$T$9,2,FALSE)=0,"Spatial Data Missing",VLOOKUP(AN104,'G-3 Multipliers'!$S$3:$T$9,2,FALSE)))</f>
        <v/>
      </c>
      <c r="AP104" s="207" t="str">
        <f t="shared" si="23"/>
        <v/>
      </c>
      <c r="AQ104" s="336"/>
      <c r="AR104" s="181"/>
    </row>
    <row r="105" spans="1:44" x14ac:dyDescent="0.25">
      <c r="A105" s="35" t="str">
        <f>IF(E105="","",IF(ISNA(VLOOKUP($E105,'D-1 Off Site Habitat Baseline'!$D$1:$O$258,2,FALSE)),"",(VLOOKUP($E105,'D-1 Off Site Habitat Baseline'!$D$1:$O$258,2,FALSE))))</f>
        <v/>
      </c>
      <c r="B105" s="35" t="str">
        <f>IF(E105="","",IF(ISNA(VLOOKUP($E105,'D-1 Off Site Habitat Baseline'!$D$1:$O$258,3,FALSE)),"",(VLOOKUP($E105,'D-1 Off Site Habitat Baseline'!$D$1:$O$258,3,FALSE))))</f>
        <v/>
      </c>
      <c r="C105" s="35" t="str">
        <f>IFERROR(INDEX('G-8 Condition Look up'!$I$4:$I$131,MATCH(S105,'G-8 Condition Look up'!$A$4:$A$131,0)),"")</f>
        <v/>
      </c>
      <c r="E105" s="329" t="str">
        <f>'D-1 Off Site Habitat Baseline'!AL104</f>
        <v/>
      </c>
      <c r="F105" s="175" t="str">
        <f>IF(E105="","",IF(ISNA(VLOOKUP($E105,'D-1 Off Site Habitat Baseline'!$D$1:$O$258,4,FALSE)),"",(VLOOKUP($E105,'D-1 Off Site Habitat Baseline'!$D$1:$O$258,4,FALSE))))</f>
        <v/>
      </c>
      <c r="G105" s="175" t="str">
        <f>IF(E105="","",IF(ISNA(VLOOKUP($E105,'D-1 Off Site Habitat Baseline'!$D$1:$O$258,5,FALSE)),"",(VLOOKUP($E105,'D-1 Off Site Habitat Baseline'!$D$1:$O$258,5,FALSE))))</f>
        <v/>
      </c>
      <c r="H105" s="175" t="str">
        <f>IF(E105="","",IF(ISNA(VLOOKUP($E105,'D-1 Off Site Habitat Baseline'!$D$1:$O$258,6,FALSE)),"",(VLOOKUP($E105,'D-1 Off Site Habitat Baseline'!$D$1:$O$258,6,FALSE))))</f>
        <v/>
      </c>
      <c r="I105" s="175" t="str">
        <f>IF(E105="","",IF(ISNA(VLOOKUP($E105,'D-1 Off Site Habitat Baseline'!$D$1:$O$258,7,FALSE)),"",(VLOOKUP($E105,'D-1 Off Site Habitat Baseline'!$D$1:$O$258,7,FALSE))))</f>
        <v/>
      </c>
      <c r="J105" s="175" t="str">
        <f>IF(E105="","",IF(ISNA(VLOOKUP($E105,'D-1 Off Site Habitat Baseline'!$D$1:$O$258,8,FALSE)),"",(VLOOKUP($E105,'D-1 Off Site Habitat Baseline'!$D$1:$O$258,8,FALSE))))</f>
        <v/>
      </c>
      <c r="K105" s="175" t="str">
        <f>IF(E105="","",IF(ISNA(VLOOKUP($E105,'D-1 Off Site Habitat Baseline'!$D$1:$O$258,9,FALSE)),"",(VLOOKUP($E105,'D-1 Off Site Habitat Baseline'!$D$1:$O$258,9,FALSE))))</f>
        <v/>
      </c>
      <c r="L105" s="175" t="str">
        <f>IF(E105="","",IF(ISNA(VLOOKUP($E105,'D-1 Off Site Habitat Baseline'!$D$1:$O$258,11,FALSE)),"",(VLOOKUP($E105,'D-1 Off Site Habitat Baseline'!$D$1:$O$258,11,FALSE))))</f>
        <v/>
      </c>
      <c r="M105" s="175" t="str">
        <f>IF(E105="","",IF(ISNA(VLOOKUP($E105,'D-1 Off Site Habitat Baseline'!$D$1:$O$258,12,FALSE)),"",(VLOOKUP($E105,'D-1 Off Site Habitat Baseline'!$D$1:$O$258,12,FALSE))))</f>
        <v/>
      </c>
      <c r="N105" s="175" t="str">
        <f>IF(E105="","",IF(ISNA(VLOOKUP($E105,'D-1 Off Site Habitat Baseline'!$D$1:$X$258,14,FALSE)),"",(VLOOKUP($E105,'D-1 Off Site Habitat Baseline'!$D$1:$X$258,14,FALSE))))</f>
        <v/>
      </c>
      <c r="O105" s="176" t="str">
        <f>IF(E105="","",IF(ISNA(VLOOKUP($E105,'D-1 Off Site Habitat Baseline'!$D$1:$X$258,13,FALSE)),"",(VLOOKUP($E105,'D-1 Off Site Habitat Baseline'!$D$1:$X$258,13,FALSE))))</f>
        <v/>
      </c>
      <c r="P105" s="337" t="str">
        <f>IFERROR(INDEX('G-1 All Habitats'!$AG$3:$AG$15,MATCH(Q105,'G-1 All Habitats'!$AF$3:$AF$15,0)),"")</f>
        <v/>
      </c>
      <c r="Q105" s="331" t="str">
        <f t="shared" si="24"/>
        <v/>
      </c>
      <c r="R105" s="332" t="str">
        <f t="shared" si="25"/>
        <v/>
      </c>
      <c r="S105" s="338" t="str">
        <f>IFERROR(INDEX('G-1 All Habitats'!$B$3:$B$130,MATCH(R105,'G-1 All Habitats'!$A$3:$A$130,0)),"")</f>
        <v/>
      </c>
      <c r="T105" s="179" t="str">
        <f t="shared" si="17"/>
        <v/>
      </c>
      <c r="U105" s="172" t="str">
        <f t="shared" si="18"/>
        <v/>
      </c>
      <c r="V105" s="334" t="str">
        <f t="shared" si="15"/>
        <v/>
      </c>
      <c r="W105" s="175" t="str">
        <f>IF(S105="","",VLOOKUP(S105,'G-1 All Habitats'!$B$2:$M$130,10,FALSE))</f>
        <v/>
      </c>
      <c r="X105" s="175" t="str">
        <f>IFERROR(VLOOKUP(W105,'G-1 All Habitats'!$V$3:$W$7,2,FALSE),"")</f>
        <v/>
      </c>
      <c r="Y105" s="275"/>
      <c r="Z105" s="176" t="str">
        <f>IFERROR(INDEX('G-8 Condition Look up'!$A$3:$H$131,MATCH(S105,'G-8 Condition Look up'!$A$3:$A$131,0),MATCH(Y105,'G-8 Condition Look up'!$A$3:$H$3,0)),"")</f>
        <v/>
      </c>
      <c r="AA105" s="173"/>
      <c r="AB105" s="269" t="str">
        <f>IF(AA105="","",IF(VLOOKUP(AA105,'G-3 Multipliers'!$L$3:$N$6,2,FALSE)=0,"Spatial Data Missing",VLOOKUP(AA105,'G-3 Multipliers'!$L$3:$N$6,2,FALSE)))</f>
        <v/>
      </c>
      <c r="AC105" s="176" t="str">
        <f>IF(AA105="","",IF(VLOOKUP(AA105,'G-3 Multipliers'!$L$3:$N$6,3,FALSE)=0,"Spatial Data Missing",VLOOKUP(AA105,'G-3 Multipliers'!$L$3:$N$6,3,FALSE)))</f>
        <v/>
      </c>
      <c r="AD105" s="239" t="str">
        <f t="shared" si="16"/>
        <v/>
      </c>
      <c r="AE105" s="275"/>
      <c r="AF105" s="275"/>
      <c r="AG105" s="175" t="str">
        <f t="shared" si="19"/>
        <v/>
      </c>
      <c r="AH105" s="242" t="str">
        <f t="shared" si="20"/>
        <v/>
      </c>
      <c r="AI105" s="335" t="str">
        <f>IF(AH105="Check Data","Check Data",IFERROR(VLOOKUP(AH105,'G-4 Temporal multipliers'!$A$4:$C$36,3,FALSE),""))</f>
        <v/>
      </c>
      <c r="AJ105" s="239" t="str">
        <f>IF(S105="","",VLOOKUP(S105,'G-3 Multipliers'!$A$2:$E$130,4,FALSE))</f>
        <v/>
      </c>
      <c r="AK105" s="175" t="str">
        <f t="shared" si="21"/>
        <v/>
      </c>
      <c r="AL105" s="175" t="str">
        <f t="shared" si="22"/>
        <v/>
      </c>
      <c r="AM105" s="176" t="str">
        <f>IFERROR(IF(F105="","",IF(AH105="Check Data","Check Data",VLOOKUP(AL105, 'G-3 Multipliers'!$P$2:$Q$6,2,FALSE))),””)</f>
        <v/>
      </c>
      <c r="AN105" s="266"/>
      <c r="AO105" s="269" t="str">
        <f>IF(AN105="","",IF(VLOOKUP(AN105,'G-3 Multipliers'!$S$3:$T$9,2,FALSE)=0,"Spatial Data Missing",VLOOKUP(AN105,'G-3 Multipliers'!$S$3:$T$9,2,FALSE)))</f>
        <v/>
      </c>
      <c r="AP105" s="207" t="str">
        <f t="shared" si="23"/>
        <v/>
      </c>
      <c r="AQ105" s="336"/>
      <c r="AR105" s="181"/>
    </row>
    <row r="106" spans="1:44" x14ac:dyDescent="0.25">
      <c r="A106" s="35" t="str">
        <f>IF(E106="","",IF(ISNA(VLOOKUP($E106,'D-1 Off Site Habitat Baseline'!$D$1:$O$258,2,FALSE)),"",(VLOOKUP($E106,'D-1 Off Site Habitat Baseline'!$D$1:$O$258,2,FALSE))))</f>
        <v/>
      </c>
      <c r="B106" s="35" t="str">
        <f>IF(E106="","",IF(ISNA(VLOOKUP($E106,'D-1 Off Site Habitat Baseline'!$D$1:$O$258,3,FALSE)),"",(VLOOKUP($E106,'D-1 Off Site Habitat Baseline'!$D$1:$O$258,3,FALSE))))</f>
        <v/>
      </c>
      <c r="C106" s="35" t="str">
        <f>IFERROR(INDEX('G-8 Condition Look up'!$I$4:$I$131,MATCH(S106,'G-8 Condition Look up'!$A$4:$A$131,0)),"")</f>
        <v/>
      </c>
      <c r="E106" s="329" t="str">
        <f>'D-1 Off Site Habitat Baseline'!AL105</f>
        <v/>
      </c>
      <c r="F106" s="175" t="str">
        <f>IF(E106="","",IF(ISNA(VLOOKUP($E106,'D-1 Off Site Habitat Baseline'!$D$1:$O$258,4,FALSE)),"",(VLOOKUP($E106,'D-1 Off Site Habitat Baseline'!$D$1:$O$258,4,FALSE))))</f>
        <v/>
      </c>
      <c r="G106" s="175" t="str">
        <f>IF(E106="","",IF(ISNA(VLOOKUP($E106,'D-1 Off Site Habitat Baseline'!$D$1:$O$258,5,FALSE)),"",(VLOOKUP($E106,'D-1 Off Site Habitat Baseline'!$D$1:$O$258,5,FALSE))))</f>
        <v/>
      </c>
      <c r="H106" s="175" t="str">
        <f>IF(E106="","",IF(ISNA(VLOOKUP($E106,'D-1 Off Site Habitat Baseline'!$D$1:$O$258,6,FALSE)),"",(VLOOKUP($E106,'D-1 Off Site Habitat Baseline'!$D$1:$O$258,6,FALSE))))</f>
        <v/>
      </c>
      <c r="I106" s="175" t="str">
        <f>IF(E106="","",IF(ISNA(VLOOKUP($E106,'D-1 Off Site Habitat Baseline'!$D$1:$O$258,7,FALSE)),"",(VLOOKUP($E106,'D-1 Off Site Habitat Baseline'!$D$1:$O$258,7,FALSE))))</f>
        <v/>
      </c>
      <c r="J106" s="175" t="str">
        <f>IF(E106="","",IF(ISNA(VLOOKUP($E106,'D-1 Off Site Habitat Baseline'!$D$1:$O$258,8,FALSE)),"",(VLOOKUP($E106,'D-1 Off Site Habitat Baseline'!$D$1:$O$258,8,FALSE))))</f>
        <v/>
      </c>
      <c r="K106" s="175" t="str">
        <f>IF(E106="","",IF(ISNA(VLOOKUP($E106,'D-1 Off Site Habitat Baseline'!$D$1:$O$258,9,FALSE)),"",(VLOOKUP($E106,'D-1 Off Site Habitat Baseline'!$D$1:$O$258,9,FALSE))))</f>
        <v/>
      </c>
      <c r="L106" s="175" t="str">
        <f>IF(E106="","",IF(ISNA(VLOOKUP($E106,'D-1 Off Site Habitat Baseline'!$D$1:$O$258,11,FALSE)),"",(VLOOKUP($E106,'D-1 Off Site Habitat Baseline'!$D$1:$O$258,11,FALSE))))</f>
        <v/>
      </c>
      <c r="M106" s="175" t="str">
        <f>IF(E106="","",IF(ISNA(VLOOKUP($E106,'D-1 Off Site Habitat Baseline'!$D$1:$O$258,12,FALSE)),"",(VLOOKUP($E106,'D-1 Off Site Habitat Baseline'!$D$1:$O$258,12,FALSE))))</f>
        <v/>
      </c>
      <c r="N106" s="175" t="str">
        <f>IF(E106="","",IF(ISNA(VLOOKUP($E106,'D-1 Off Site Habitat Baseline'!$D$1:$X$258,14,FALSE)),"",(VLOOKUP($E106,'D-1 Off Site Habitat Baseline'!$D$1:$X$258,14,FALSE))))</f>
        <v/>
      </c>
      <c r="O106" s="176" t="str">
        <f>IF(E106="","",IF(ISNA(VLOOKUP($E106,'D-1 Off Site Habitat Baseline'!$D$1:$X$258,13,FALSE)),"",(VLOOKUP($E106,'D-1 Off Site Habitat Baseline'!$D$1:$X$258,13,FALSE))))</f>
        <v/>
      </c>
      <c r="P106" s="337" t="str">
        <f>IFERROR(INDEX('G-1 All Habitats'!$AG$3:$AG$15,MATCH(Q106,'G-1 All Habitats'!$AF$3:$AF$15,0)),"")</f>
        <v/>
      </c>
      <c r="Q106" s="331" t="str">
        <f t="shared" si="24"/>
        <v/>
      </c>
      <c r="R106" s="332" t="str">
        <f t="shared" si="25"/>
        <v/>
      </c>
      <c r="S106" s="338" t="str">
        <f>IFERROR(INDEX('G-1 All Habitats'!$B$3:$B$130,MATCH(R106,'G-1 All Habitats'!$A$3:$A$130,0)),"")</f>
        <v/>
      </c>
      <c r="T106" s="179" t="str">
        <f t="shared" si="17"/>
        <v/>
      </c>
      <c r="U106" s="172" t="str">
        <f t="shared" si="18"/>
        <v/>
      </c>
      <c r="V106" s="334" t="str">
        <f t="shared" si="15"/>
        <v/>
      </c>
      <c r="W106" s="175" t="str">
        <f>IF(S106="","",VLOOKUP(S106,'G-1 All Habitats'!$B$2:$M$130,10,FALSE))</f>
        <v/>
      </c>
      <c r="X106" s="175" t="str">
        <f>IFERROR(VLOOKUP(W106,'G-1 All Habitats'!$V$3:$W$7,2,FALSE),"")</f>
        <v/>
      </c>
      <c r="Y106" s="275"/>
      <c r="Z106" s="176" t="str">
        <f>IFERROR(INDEX('G-8 Condition Look up'!$A$3:$H$131,MATCH(S106,'G-8 Condition Look up'!$A$3:$A$131,0),MATCH(Y106,'G-8 Condition Look up'!$A$3:$H$3,0)),"")</f>
        <v/>
      </c>
      <c r="AA106" s="173"/>
      <c r="AB106" s="269" t="str">
        <f>IF(AA106="","",IF(VLOOKUP(AA106,'G-3 Multipliers'!$L$3:$N$6,2,FALSE)=0,"Spatial Data Missing",VLOOKUP(AA106,'G-3 Multipliers'!$L$3:$N$6,2,FALSE)))</f>
        <v/>
      </c>
      <c r="AC106" s="176" t="str">
        <f>IF(AA106="","",IF(VLOOKUP(AA106,'G-3 Multipliers'!$L$3:$N$6,3,FALSE)=0,"Spatial Data Missing",VLOOKUP(AA106,'G-3 Multipliers'!$L$3:$N$6,3,FALSE)))</f>
        <v/>
      </c>
      <c r="AD106" s="239" t="str">
        <f t="shared" si="16"/>
        <v/>
      </c>
      <c r="AE106" s="275"/>
      <c r="AF106" s="275"/>
      <c r="AG106" s="175" t="str">
        <f t="shared" si="19"/>
        <v/>
      </c>
      <c r="AH106" s="242" t="str">
        <f t="shared" si="20"/>
        <v/>
      </c>
      <c r="AI106" s="335" t="str">
        <f>IF(AH106="Check Data","Check Data",IFERROR(VLOOKUP(AH106,'G-4 Temporal multipliers'!$A$4:$C$36,3,FALSE),""))</f>
        <v/>
      </c>
      <c r="AJ106" s="239" t="str">
        <f>IF(S106="","",VLOOKUP(S106,'G-3 Multipliers'!$A$2:$E$130,4,FALSE))</f>
        <v/>
      </c>
      <c r="AK106" s="175" t="str">
        <f t="shared" si="21"/>
        <v/>
      </c>
      <c r="AL106" s="175" t="str">
        <f t="shared" si="22"/>
        <v/>
      </c>
      <c r="AM106" s="176" t="str">
        <f>IFERROR(IF(F106="","",IF(AH106="Check Data","Check Data",VLOOKUP(AL106, 'G-3 Multipliers'!$P$2:$Q$6,2,FALSE))),””)</f>
        <v/>
      </c>
      <c r="AN106" s="266"/>
      <c r="AO106" s="269" t="str">
        <f>IF(AN106="","",IF(VLOOKUP(AN106,'G-3 Multipliers'!$S$3:$T$9,2,FALSE)=0,"Spatial Data Missing",VLOOKUP(AN106,'G-3 Multipliers'!$S$3:$T$9,2,FALSE)))</f>
        <v/>
      </c>
      <c r="AP106" s="207" t="str">
        <f t="shared" si="23"/>
        <v/>
      </c>
      <c r="AQ106" s="336"/>
      <c r="AR106" s="181"/>
    </row>
    <row r="107" spans="1:44" x14ac:dyDescent="0.25">
      <c r="A107" s="35" t="str">
        <f>IF(E107="","",IF(ISNA(VLOOKUP($E107,'D-1 Off Site Habitat Baseline'!$D$1:$O$258,2,FALSE)),"",(VLOOKUP($E107,'D-1 Off Site Habitat Baseline'!$D$1:$O$258,2,FALSE))))</f>
        <v/>
      </c>
      <c r="B107" s="35" t="str">
        <f>IF(E107="","",IF(ISNA(VLOOKUP($E107,'D-1 Off Site Habitat Baseline'!$D$1:$O$258,3,FALSE)),"",(VLOOKUP($E107,'D-1 Off Site Habitat Baseline'!$D$1:$O$258,3,FALSE))))</f>
        <v/>
      </c>
      <c r="C107" s="35" t="str">
        <f>IFERROR(INDEX('G-8 Condition Look up'!$I$4:$I$131,MATCH(S107,'G-8 Condition Look up'!$A$4:$A$131,0)),"")</f>
        <v/>
      </c>
      <c r="E107" s="329" t="str">
        <f>'D-1 Off Site Habitat Baseline'!AL106</f>
        <v/>
      </c>
      <c r="F107" s="175" t="str">
        <f>IF(E107="","",IF(ISNA(VLOOKUP($E107,'D-1 Off Site Habitat Baseline'!$D$1:$O$258,4,FALSE)),"",(VLOOKUP($E107,'D-1 Off Site Habitat Baseline'!$D$1:$O$258,4,FALSE))))</f>
        <v/>
      </c>
      <c r="G107" s="175" t="str">
        <f>IF(E107="","",IF(ISNA(VLOOKUP($E107,'D-1 Off Site Habitat Baseline'!$D$1:$O$258,5,FALSE)),"",(VLOOKUP($E107,'D-1 Off Site Habitat Baseline'!$D$1:$O$258,5,FALSE))))</f>
        <v/>
      </c>
      <c r="H107" s="175" t="str">
        <f>IF(E107="","",IF(ISNA(VLOOKUP($E107,'D-1 Off Site Habitat Baseline'!$D$1:$O$258,6,FALSE)),"",(VLOOKUP($E107,'D-1 Off Site Habitat Baseline'!$D$1:$O$258,6,FALSE))))</f>
        <v/>
      </c>
      <c r="I107" s="175" t="str">
        <f>IF(E107="","",IF(ISNA(VLOOKUP($E107,'D-1 Off Site Habitat Baseline'!$D$1:$O$258,7,FALSE)),"",(VLOOKUP($E107,'D-1 Off Site Habitat Baseline'!$D$1:$O$258,7,FALSE))))</f>
        <v/>
      </c>
      <c r="J107" s="175" t="str">
        <f>IF(E107="","",IF(ISNA(VLOOKUP($E107,'D-1 Off Site Habitat Baseline'!$D$1:$O$258,8,FALSE)),"",(VLOOKUP($E107,'D-1 Off Site Habitat Baseline'!$D$1:$O$258,8,FALSE))))</f>
        <v/>
      </c>
      <c r="K107" s="175" t="str">
        <f>IF(E107="","",IF(ISNA(VLOOKUP($E107,'D-1 Off Site Habitat Baseline'!$D$1:$O$258,9,FALSE)),"",(VLOOKUP($E107,'D-1 Off Site Habitat Baseline'!$D$1:$O$258,9,FALSE))))</f>
        <v/>
      </c>
      <c r="L107" s="175" t="str">
        <f>IF(E107="","",IF(ISNA(VLOOKUP($E107,'D-1 Off Site Habitat Baseline'!$D$1:$O$258,11,FALSE)),"",(VLOOKUP($E107,'D-1 Off Site Habitat Baseline'!$D$1:$O$258,11,FALSE))))</f>
        <v/>
      </c>
      <c r="M107" s="175" t="str">
        <f>IF(E107="","",IF(ISNA(VLOOKUP($E107,'D-1 Off Site Habitat Baseline'!$D$1:$O$258,12,FALSE)),"",(VLOOKUP($E107,'D-1 Off Site Habitat Baseline'!$D$1:$O$258,12,FALSE))))</f>
        <v/>
      </c>
      <c r="N107" s="175" t="str">
        <f>IF(E107="","",IF(ISNA(VLOOKUP($E107,'D-1 Off Site Habitat Baseline'!$D$1:$X$258,14,FALSE)),"",(VLOOKUP($E107,'D-1 Off Site Habitat Baseline'!$D$1:$X$258,14,FALSE))))</f>
        <v/>
      </c>
      <c r="O107" s="176" t="str">
        <f>IF(E107="","",IF(ISNA(VLOOKUP($E107,'D-1 Off Site Habitat Baseline'!$D$1:$X$258,13,FALSE)),"",(VLOOKUP($E107,'D-1 Off Site Habitat Baseline'!$D$1:$X$258,13,FALSE))))</f>
        <v/>
      </c>
      <c r="P107" s="337" t="str">
        <f>IFERROR(INDEX('G-1 All Habitats'!$AG$3:$AG$15,MATCH(Q107,'G-1 All Habitats'!$AF$3:$AF$15,0)),"")</f>
        <v/>
      </c>
      <c r="Q107" s="331" t="str">
        <f t="shared" si="24"/>
        <v/>
      </c>
      <c r="R107" s="332" t="str">
        <f t="shared" si="25"/>
        <v/>
      </c>
      <c r="S107" s="338" t="str">
        <f>IFERROR(INDEX('G-1 All Habitats'!$B$3:$B$130,MATCH(R107,'G-1 All Habitats'!$A$3:$A$130,0)),"")</f>
        <v/>
      </c>
      <c r="T107" s="179" t="str">
        <f t="shared" si="17"/>
        <v/>
      </c>
      <c r="U107" s="172" t="str">
        <f t="shared" si="18"/>
        <v/>
      </c>
      <c r="V107" s="334" t="str">
        <f t="shared" si="15"/>
        <v/>
      </c>
      <c r="W107" s="175" t="str">
        <f>IF(S107="","",VLOOKUP(S107,'G-1 All Habitats'!$B$2:$M$130,10,FALSE))</f>
        <v/>
      </c>
      <c r="X107" s="175" t="str">
        <f>IFERROR(VLOOKUP(W107,'G-1 All Habitats'!$V$3:$W$7,2,FALSE),"")</f>
        <v/>
      </c>
      <c r="Y107" s="275"/>
      <c r="Z107" s="176" t="str">
        <f>IFERROR(INDEX('G-8 Condition Look up'!$A$3:$H$131,MATCH(S107,'G-8 Condition Look up'!$A$3:$A$131,0),MATCH(Y107,'G-8 Condition Look up'!$A$3:$H$3,0)),"")</f>
        <v/>
      </c>
      <c r="AA107" s="173"/>
      <c r="AB107" s="269" t="str">
        <f>IF(AA107="","",IF(VLOOKUP(AA107,'G-3 Multipliers'!$L$3:$N$6,2,FALSE)=0,"Spatial Data Missing",VLOOKUP(AA107,'G-3 Multipliers'!$L$3:$N$6,2,FALSE)))</f>
        <v/>
      </c>
      <c r="AC107" s="176" t="str">
        <f>IF(AA107="","",IF(VLOOKUP(AA107,'G-3 Multipliers'!$L$3:$N$6,3,FALSE)=0,"Spatial Data Missing",VLOOKUP(AA107,'G-3 Multipliers'!$L$3:$N$6,3,FALSE)))</f>
        <v/>
      </c>
      <c r="AD107" s="239" t="str">
        <f t="shared" si="16"/>
        <v/>
      </c>
      <c r="AE107" s="275"/>
      <c r="AF107" s="275"/>
      <c r="AG107" s="175" t="str">
        <f t="shared" si="19"/>
        <v/>
      </c>
      <c r="AH107" s="242" t="str">
        <f t="shared" si="20"/>
        <v/>
      </c>
      <c r="AI107" s="335" t="str">
        <f>IF(AH107="Check Data","Check Data",IFERROR(VLOOKUP(AH107,'G-4 Temporal multipliers'!$A$4:$C$36,3,FALSE),""))</f>
        <v/>
      </c>
      <c r="AJ107" s="239" t="str">
        <f>IF(S107="","",VLOOKUP(S107,'G-3 Multipliers'!$A$2:$E$130,4,FALSE))</f>
        <v/>
      </c>
      <c r="AK107" s="175" t="str">
        <f t="shared" si="21"/>
        <v/>
      </c>
      <c r="AL107" s="175" t="str">
        <f t="shared" si="22"/>
        <v/>
      </c>
      <c r="AM107" s="176" t="str">
        <f>IFERROR(IF(F107="","",IF(AH107="Check Data","Check Data",VLOOKUP(AL107, 'G-3 Multipliers'!$P$2:$Q$6,2,FALSE))),””)</f>
        <v/>
      </c>
      <c r="AN107" s="266"/>
      <c r="AO107" s="269" t="str">
        <f>IF(AN107="","",IF(VLOOKUP(AN107,'G-3 Multipliers'!$S$3:$T$9,2,FALSE)=0,"Spatial Data Missing",VLOOKUP(AN107,'G-3 Multipliers'!$S$3:$T$9,2,FALSE)))</f>
        <v/>
      </c>
      <c r="AP107" s="207" t="str">
        <f t="shared" si="23"/>
        <v/>
      </c>
      <c r="AQ107" s="336"/>
      <c r="AR107" s="181"/>
    </row>
    <row r="108" spans="1:44" x14ac:dyDescent="0.25">
      <c r="A108" s="35" t="str">
        <f>IF(E108="","",IF(ISNA(VLOOKUP($E108,'D-1 Off Site Habitat Baseline'!$D$1:$O$258,2,FALSE)),"",(VLOOKUP($E108,'D-1 Off Site Habitat Baseline'!$D$1:$O$258,2,FALSE))))</f>
        <v/>
      </c>
      <c r="B108" s="35" t="str">
        <f>IF(E108="","",IF(ISNA(VLOOKUP($E108,'D-1 Off Site Habitat Baseline'!$D$1:$O$258,3,FALSE)),"",(VLOOKUP($E108,'D-1 Off Site Habitat Baseline'!$D$1:$O$258,3,FALSE))))</f>
        <v/>
      </c>
      <c r="C108" s="35" t="str">
        <f>IFERROR(INDEX('G-8 Condition Look up'!$I$4:$I$131,MATCH(S108,'G-8 Condition Look up'!$A$4:$A$131,0)),"")</f>
        <v/>
      </c>
      <c r="E108" s="329" t="str">
        <f>'D-1 Off Site Habitat Baseline'!AL107</f>
        <v/>
      </c>
      <c r="F108" s="175" t="str">
        <f>IF(E108="","",IF(ISNA(VLOOKUP($E108,'D-1 Off Site Habitat Baseline'!$D$1:$O$258,4,FALSE)),"",(VLOOKUP($E108,'D-1 Off Site Habitat Baseline'!$D$1:$O$258,4,FALSE))))</f>
        <v/>
      </c>
      <c r="G108" s="175" t="str">
        <f>IF(E108="","",IF(ISNA(VLOOKUP($E108,'D-1 Off Site Habitat Baseline'!$D$1:$O$258,5,FALSE)),"",(VLOOKUP($E108,'D-1 Off Site Habitat Baseline'!$D$1:$O$258,5,FALSE))))</f>
        <v/>
      </c>
      <c r="H108" s="175" t="str">
        <f>IF(E108="","",IF(ISNA(VLOOKUP($E108,'D-1 Off Site Habitat Baseline'!$D$1:$O$258,6,FALSE)),"",(VLOOKUP($E108,'D-1 Off Site Habitat Baseline'!$D$1:$O$258,6,FALSE))))</f>
        <v/>
      </c>
      <c r="I108" s="175" t="str">
        <f>IF(E108="","",IF(ISNA(VLOOKUP($E108,'D-1 Off Site Habitat Baseline'!$D$1:$O$258,7,FALSE)),"",(VLOOKUP($E108,'D-1 Off Site Habitat Baseline'!$D$1:$O$258,7,FALSE))))</f>
        <v/>
      </c>
      <c r="J108" s="175" t="str">
        <f>IF(E108="","",IF(ISNA(VLOOKUP($E108,'D-1 Off Site Habitat Baseline'!$D$1:$O$258,8,FALSE)),"",(VLOOKUP($E108,'D-1 Off Site Habitat Baseline'!$D$1:$O$258,8,FALSE))))</f>
        <v/>
      </c>
      <c r="K108" s="175" t="str">
        <f>IF(E108="","",IF(ISNA(VLOOKUP($E108,'D-1 Off Site Habitat Baseline'!$D$1:$O$258,9,FALSE)),"",(VLOOKUP($E108,'D-1 Off Site Habitat Baseline'!$D$1:$O$258,9,FALSE))))</f>
        <v/>
      </c>
      <c r="L108" s="175" t="str">
        <f>IF(E108="","",IF(ISNA(VLOOKUP($E108,'D-1 Off Site Habitat Baseline'!$D$1:$O$258,11,FALSE)),"",(VLOOKUP($E108,'D-1 Off Site Habitat Baseline'!$D$1:$O$258,11,FALSE))))</f>
        <v/>
      </c>
      <c r="M108" s="175" t="str">
        <f>IF(E108="","",IF(ISNA(VLOOKUP($E108,'D-1 Off Site Habitat Baseline'!$D$1:$O$258,12,FALSE)),"",(VLOOKUP($E108,'D-1 Off Site Habitat Baseline'!$D$1:$O$258,12,FALSE))))</f>
        <v/>
      </c>
      <c r="N108" s="175" t="str">
        <f>IF(E108="","",IF(ISNA(VLOOKUP($E108,'D-1 Off Site Habitat Baseline'!$D$1:$X$258,14,FALSE)),"",(VLOOKUP($E108,'D-1 Off Site Habitat Baseline'!$D$1:$X$258,14,FALSE))))</f>
        <v/>
      </c>
      <c r="O108" s="176" t="str">
        <f>IF(E108="","",IF(ISNA(VLOOKUP($E108,'D-1 Off Site Habitat Baseline'!$D$1:$X$258,13,FALSE)),"",(VLOOKUP($E108,'D-1 Off Site Habitat Baseline'!$D$1:$X$258,13,FALSE))))</f>
        <v/>
      </c>
      <c r="P108" s="337" t="str">
        <f>IFERROR(INDEX('G-1 All Habitats'!$AG$3:$AG$15,MATCH(Q108,'G-1 All Habitats'!$AF$3:$AF$15,0)),"")</f>
        <v/>
      </c>
      <c r="Q108" s="331" t="str">
        <f t="shared" si="24"/>
        <v/>
      </c>
      <c r="R108" s="332" t="str">
        <f t="shared" si="25"/>
        <v/>
      </c>
      <c r="S108" s="338" t="str">
        <f>IFERROR(INDEX('G-1 All Habitats'!$B$3:$B$130,MATCH(R108,'G-1 All Habitats'!$A$3:$A$130,0)),"")</f>
        <v/>
      </c>
      <c r="T108" s="179" t="str">
        <f t="shared" si="17"/>
        <v/>
      </c>
      <c r="U108" s="172" t="str">
        <f t="shared" si="18"/>
        <v/>
      </c>
      <c r="V108" s="334" t="str">
        <f t="shared" si="15"/>
        <v/>
      </c>
      <c r="W108" s="175" t="str">
        <f>IF(S108="","",VLOOKUP(S108,'G-1 All Habitats'!$B$2:$M$130,10,FALSE))</f>
        <v/>
      </c>
      <c r="X108" s="175" t="str">
        <f>IFERROR(VLOOKUP(W108,'G-1 All Habitats'!$V$3:$W$7,2,FALSE),"")</f>
        <v/>
      </c>
      <c r="Y108" s="275"/>
      <c r="Z108" s="176" t="str">
        <f>IFERROR(INDEX('G-8 Condition Look up'!$A$3:$H$131,MATCH(S108,'G-8 Condition Look up'!$A$3:$A$131,0),MATCH(Y108,'G-8 Condition Look up'!$A$3:$H$3,0)),"")</f>
        <v/>
      </c>
      <c r="AA108" s="173"/>
      <c r="AB108" s="269" t="str">
        <f>IF(AA108="","",IF(VLOOKUP(AA108,'G-3 Multipliers'!$L$3:$N$6,2,FALSE)=0,"Spatial Data Missing",VLOOKUP(AA108,'G-3 Multipliers'!$L$3:$N$6,2,FALSE)))</f>
        <v/>
      </c>
      <c r="AC108" s="176" t="str">
        <f>IF(AA108="","",IF(VLOOKUP(AA108,'G-3 Multipliers'!$L$3:$N$6,3,FALSE)=0,"Spatial Data Missing",VLOOKUP(AA108,'G-3 Multipliers'!$L$3:$N$6,3,FALSE)))</f>
        <v/>
      </c>
      <c r="AD108" s="239" t="str">
        <f t="shared" si="16"/>
        <v/>
      </c>
      <c r="AE108" s="275"/>
      <c r="AF108" s="275"/>
      <c r="AG108" s="175" t="str">
        <f t="shared" si="19"/>
        <v/>
      </c>
      <c r="AH108" s="242" t="str">
        <f t="shared" si="20"/>
        <v/>
      </c>
      <c r="AI108" s="335" t="str">
        <f>IF(AH108="Check Data","Check Data",IFERROR(VLOOKUP(AH108,'G-4 Temporal multipliers'!$A$4:$C$36,3,FALSE),""))</f>
        <v/>
      </c>
      <c r="AJ108" s="239" t="str">
        <f>IF(S108="","",VLOOKUP(S108,'G-3 Multipliers'!$A$2:$E$130,4,FALSE))</f>
        <v/>
      </c>
      <c r="AK108" s="175" t="str">
        <f t="shared" si="21"/>
        <v/>
      </c>
      <c r="AL108" s="175" t="str">
        <f t="shared" si="22"/>
        <v/>
      </c>
      <c r="AM108" s="176" t="str">
        <f>IFERROR(IF(F108="","",IF(AH108="Check Data","Check Data",VLOOKUP(AL108, 'G-3 Multipliers'!$P$2:$Q$6,2,FALSE))),””)</f>
        <v/>
      </c>
      <c r="AN108" s="266"/>
      <c r="AO108" s="269" t="str">
        <f>IF(AN108="","",IF(VLOOKUP(AN108,'G-3 Multipliers'!$S$3:$T$9,2,FALSE)=0,"Spatial Data Missing",VLOOKUP(AN108,'G-3 Multipliers'!$S$3:$T$9,2,FALSE)))</f>
        <v/>
      </c>
      <c r="AP108" s="207" t="str">
        <f t="shared" si="23"/>
        <v/>
      </c>
      <c r="AQ108" s="336"/>
      <c r="AR108" s="181"/>
    </row>
    <row r="109" spans="1:44" x14ac:dyDescent="0.25">
      <c r="A109" s="35" t="str">
        <f>IF(E109="","",IF(ISNA(VLOOKUP($E109,'D-1 Off Site Habitat Baseline'!$D$1:$O$258,2,FALSE)),"",(VLOOKUP($E109,'D-1 Off Site Habitat Baseline'!$D$1:$O$258,2,FALSE))))</f>
        <v/>
      </c>
      <c r="B109" s="35" t="str">
        <f>IF(E109="","",IF(ISNA(VLOOKUP($E109,'D-1 Off Site Habitat Baseline'!$D$1:$O$258,3,FALSE)),"",(VLOOKUP($E109,'D-1 Off Site Habitat Baseline'!$D$1:$O$258,3,FALSE))))</f>
        <v/>
      </c>
      <c r="C109" s="35" t="str">
        <f>IFERROR(INDEX('G-8 Condition Look up'!$I$4:$I$131,MATCH(S109,'G-8 Condition Look up'!$A$4:$A$131,0)),"")</f>
        <v/>
      </c>
      <c r="E109" s="329" t="str">
        <f>'D-1 Off Site Habitat Baseline'!AL108</f>
        <v/>
      </c>
      <c r="F109" s="175" t="str">
        <f>IF(E109="","",IF(ISNA(VLOOKUP($E109,'D-1 Off Site Habitat Baseline'!$D$1:$O$258,4,FALSE)),"",(VLOOKUP($E109,'D-1 Off Site Habitat Baseline'!$D$1:$O$258,4,FALSE))))</f>
        <v/>
      </c>
      <c r="G109" s="175" t="str">
        <f>IF(E109="","",IF(ISNA(VLOOKUP($E109,'D-1 Off Site Habitat Baseline'!$D$1:$O$258,5,FALSE)),"",(VLOOKUP($E109,'D-1 Off Site Habitat Baseline'!$D$1:$O$258,5,FALSE))))</f>
        <v/>
      </c>
      <c r="H109" s="175" t="str">
        <f>IF(E109="","",IF(ISNA(VLOOKUP($E109,'D-1 Off Site Habitat Baseline'!$D$1:$O$258,6,FALSE)),"",(VLOOKUP($E109,'D-1 Off Site Habitat Baseline'!$D$1:$O$258,6,FALSE))))</f>
        <v/>
      </c>
      <c r="I109" s="175" t="str">
        <f>IF(E109="","",IF(ISNA(VLOOKUP($E109,'D-1 Off Site Habitat Baseline'!$D$1:$O$258,7,FALSE)),"",(VLOOKUP($E109,'D-1 Off Site Habitat Baseline'!$D$1:$O$258,7,FALSE))))</f>
        <v/>
      </c>
      <c r="J109" s="175" t="str">
        <f>IF(E109="","",IF(ISNA(VLOOKUP($E109,'D-1 Off Site Habitat Baseline'!$D$1:$O$258,8,FALSE)),"",(VLOOKUP($E109,'D-1 Off Site Habitat Baseline'!$D$1:$O$258,8,FALSE))))</f>
        <v/>
      </c>
      <c r="K109" s="175" t="str">
        <f>IF(E109="","",IF(ISNA(VLOOKUP($E109,'D-1 Off Site Habitat Baseline'!$D$1:$O$258,9,FALSE)),"",(VLOOKUP($E109,'D-1 Off Site Habitat Baseline'!$D$1:$O$258,9,FALSE))))</f>
        <v/>
      </c>
      <c r="L109" s="175" t="str">
        <f>IF(E109="","",IF(ISNA(VLOOKUP($E109,'D-1 Off Site Habitat Baseline'!$D$1:$O$258,11,FALSE)),"",(VLOOKUP($E109,'D-1 Off Site Habitat Baseline'!$D$1:$O$258,11,FALSE))))</f>
        <v/>
      </c>
      <c r="M109" s="175" t="str">
        <f>IF(E109="","",IF(ISNA(VLOOKUP($E109,'D-1 Off Site Habitat Baseline'!$D$1:$O$258,12,FALSE)),"",(VLOOKUP($E109,'D-1 Off Site Habitat Baseline'!$D$1:$O$258,12,FALSE))))</f>
        <v/>
      </c>
      <c r="N109" s="175" t="str">
        <f>IF(E109="","",IF(ISNA(VLOOKUP($E109,'D-1 Off Site Habitat Baseline'!$D$1:$X$258,14,FALSE)),"",(VLOOKUP($E109,'D-1 Off Site Habitat Baseline'!$D$1:$X$258,14,FALSE))))</f>
        <v/>
      </c>
      <c r="O109" s="176" t="str">
        <f>IF(E109="","",IF(ISNA(VLOOKUP($E109,'D-1 Off Site Habitat Baseline'!$D$1:$X$258,13,FALSE)),"",(VLOOKUP($E109,'D-1 Off Site Habitat Baseline'!$D$1:$X$258,13,FALSE))))</f>
        <v/>
      </c>
      <c r="P109" s="337" t="str">
        <f>IFERROR(INDEX('G-1 All Habitats'!$AG$3:$AG$15,MATCH(Q109,'G-1 All Habitats'!$AF$3:$AF$15,0)),"")</f>
        <v/>
      </c>
      <c r="Q109" s="331" t="str">
        <f t="shared" si="24"/>
        <v/>
      </c>
      <c r="R109" s="332" t="str">
        <f t="shared" si="25"/>
        <v/>
      </c>
      <c r="S109" s="338" t="str">
        <f>IFERROR(INDEX('G-1 All Habitats'!$B$3:$B$130,MATCH(R109,'G-1 All Habitats'!$A$3:$A$130,0)),"")</f>
        <v/>
      </c>
      <c r="T109" s="179" t="str">
        <f t="shared" si="17"/>
        <v/>
      </c>
      <c r="U109" s="172" t="str">
        <f t="shared" si="18"/>
        <v/>
      </c>
      <c r="V109" s="334" t="str">
        <f t="shared" si="15"/>
        <v/>
      </c>
      <c r="W109" s="175" t="str">
        <f>IF(S109="","",VLOOKUP(S109,'G-1 All Habitats'!$B$2:$M$130,10,FALSE))</f>
        <v/>
      </c>
      <c r="X109" s="175" t="str">
        <f>IFERROR(VLOOKUP(W109,'G-1 All Habitats'!$V$3:$W$7,2,FALSE),"")</f>
        <v/>
      </c>
      <c r="Y109" s="275"/>
      <c r="Z109" s="176" t="str">
        <f>IFERROR(INDEX('G-8 Condition Look up'!$A$3:$H$131,MATCH(S109,'G-8 Condition Look up'!$A$3:$A$131,0),MATCH(Y109,'G-8 Condition Look up'!$A$3:$H$3,0)),"")</f>
        <v/>
      </c>
      <c r="AA109" s="173"/>
      <c r="AB109" s="269" t="str">
        <f>IF(AA109="","",IF(VLOOKUP(AA109,'G-3 Multipliers'!$L$3:$N$6,2,FALSE)=0,"Spatial Data Missing",VLOOKUP(AA109,'G-3 Multipliers'!$L$3:$N$6,2,FALSE)))</f>
        <v/>
      </c>
      <c r="AC109" s="176" t="str">
        <f>IF(AA109="","",IF(VLOOKUP(AA109,'G-3 Multipliers'!$L$3:$N$6,3,FALSE)=0,"Spatial Data Missing",VLOOKUP(AA109,'G-3 Multipliers'!$L$3:$N$6,3,FALSE)))</f>
        <v/>
      </c>
      <c r="AD109" s="239" t="str">
        <f t="shared" si="16"/>
        <v/>
      </c>
      <c r="AE109" s="275"/>
      <c r="AF109" s="275"/>
      <c r="AG109" s="175" t="str">
        <f t="shared" si="19"/>
        <v/>
      </c>
      <c r="AH109" s="242" t="str">
        <f t="shared" si="20"/>
        <v/>
      </c>
      <c r="AI109" s="335" t="str">
        <f>IF(AH109="Check Data","Check Data",IFERROR(VLOOKUP(AH109,'G-4 Temporal multipliers'!$A$4:$C$36,3,FALSE),""))</f>
        <v/>
      </c>
      <c r="AJ109" s="239" t="str">
        <f>IF(S109="","",VLOOKUP(S109,'G-3 Multipliers'!$A$2:$E$130,4,FALSE))</f>
        <v/>
      </c>
      <c r="AK109" s="175" t="str">
        <f t="shared" si="21"/>
        <v/>
      </c>
      <c r="AL109" s="175" t="str">
        <f t="shared" si="22"/>
        <v/>
      </c>
      <c r="AM109" s="176" t="str">
        <f>IFERROR(IF(F109="","",IF(AH109="Check Data","Check Data",VLOOKUP(AL109, 'G-3 Multipliers'!$P$2:$Q$6,2,FALSE))),””)</f>
        <v/>
      </c>
      <c r="AN109" s="266"/>
      <c r="AO109" s="269" t="str">
        <f>IF(AN109="","",IF(VLOOKUP(AN109,'G-3 Multipliers'!$S$3:$T$9,2,FALSE)=0,"Spatial Data Missing",VLOOKUP(AN109,'G-3 Multipliers'!$S$3:$T$9,2,FALSE)))</f>
        <v/>
      </c>
      <c r="AP109" s="207" t="str">
        <f t="shared" si="23"/>
        <v/>
      </c>
      <c r="AQ109" s="336"/>
      <c r="AR109" s="181"/>
    </row>
    <row r="110" spans="1:44" x14ac:dyDescent="0.25">
      <c r="A110" s="35" t="str">
        <f>IF(E110="","",IF(ISNA(VLOOKUP($E110,'D-1 Off Site Habitat Baseline'!$D$1:$O$258,2,FALSE)),"",(VLOOKUP($E110,'D-1 Off Site Habitat Baseline'!$D$1:$O$258,2,FALSE))))</f>
        <v/>
      </c>
      <c r="B110" s="35" t="str">
        <f>IF(E110="","",IF(ISNA(VLOOKUP($E110,'D-1 Off Site Habitat Baseline'!$D$1:$O$258,3,FALSE)),"",(VLOOKUP($E110,'D-1 Off Site Habitat Baseline'!$D$1:$O$258,3,FALSE))))</f>
        <v/>
      </c>
      <c r="C110" s="35" t="str">
        <f>IFERROR(INDEX('G-8 Condition Look up'!$I$4:$I$131,MATCH(S110,'G-8 Condition Look up'!$A$4:$A$131,0)),"")</f>
        <v/>
      </c>
      <c r="E110" s="329" t="str">
        <f>'D-1 Off Site Habitat Baseline'!AL109</f>
        <v/>
      </c>
      <c r="F110" s="175" t="str">
        <f>IF(E110="","",IF(ISNA(VLOOKUP($E110,'D-1 Off Site Habitat Baseline'!$D$1:$O$258,4,FALSE)),"",(VLOOKUP($E110,'D-1 Off Site Habitat Baseline'!$D$1:$O$258,4,FALSE))))</f>
        <v/>
      </c>
      <c r="G110" s="175" t="str">
        <f>IF(E110="","",IF(ISNA(VLOOKUP($E110,'D-1 Off Site Habitat Baseline'!$D$1:$O$258,5,FALSE)),"",(VLOOKUP($E110,'D-1 Off Site Habitat Baseline'!$D$1:$O$258,5,FALSE))))</f>
        <v/>
      </c>
      <c r="H110" s="175" t="str">
        <f>IF(E110="","",IF(ISNA(VLOOKUP($E110,'D-1 Off Site Habitat Baseline'!$D$1:$O$258,6,FALSE)),"",(VLOOKUP($E110,'D-1 Off Site Habitat Baseline'!$D$1:$O$258,6,FALSE))))</f>
        <v/>
      </c>
      <c r="I110" s="175" t="str">
        <f>IF(E110="","",IF(ISNA(VLOOKUP($E110,'D-1 Off Site Habitat Baseline'!$D$1:$O$258,7,FALSE)),"",(VLOOKUP($E110,'D-1 Off Site Habitat Baseline'!$D$1:$O$258,7,FALSE))))</f>
        <v/>
      </c>
      <c r="J110" s="175" t="str">
        <f>IF(E110="","",IF(ISNA(VLOOKUP($E110,'D-1 Off Site Habitat Baseline'!$D$1:$O$258,8,FALSE)),"",(VLOOKUP($E110,'D-1 Off Site Habitat Baseline'!$D$1:$O$258,8,FALSE))))</f>
        <v/>
      </c>
      <c r="K110" s="175" t="str">
        <f>IF(E110="","",IF(ISNA(VLOOKUP($E110,'D-1 Off Site Habitat Baseline'!$D$1:$O$258,9,FALSE)),"",(VLOOKUP($E110,'D-1 Off Site Habitat Baseline'!$D$1:$O$258,9,FALSE))))</f>
        <v/>
      </c>
      <c r="L110" s="175" t="str">
        <f>IF(E110="","",IF(ISNA(VLOOKUP($E110,'D-1 Off Site Habitat Baseline'!$D$1:$O$258,11,FALSE)),"",(VLOOKUP($E110,'D-1 Off Site Habitat Baseline'!$D$1:$O$258,11,FALSE))))</f>
        <v/>
      </c>
      <c r="M110" s="175" t="str">
        <f>IF(E110="","",IF(ISNA(VLOOKUP($E110,'D-1 Off Site Habitat Baseline'!$D$1:$O$258,12,FALSE)),"",(VLOOKUP($E110,'D-1 Off Site Habitat Baseline'!$D$1:$O$258,12,FALSE))))</f>
        <v/>
      </c>
      <c r="N110" s="175" t="str">
        <f>IF(E110="","",IF(ISNA(VLOOKUP($E110,'D-1 Off Site Habitat Baseline'!$D$1:$X$258,14,FALSE)),"",(VLOOKUP($E110,'D-1 Off Site Habitat Baseline'!$D$1:$X$258,14,FALSE))))</f>
        <v/>
      </c>
      <c r="O110" s="176" t="str">
        <f>IF(E110="","",IF(ISNA(VLOOKUP($E110,'D-1 Off Site Habitat Baseline'!$D$1:$X$258,13,FALSE)),"",(VLOOKUP($E110,'D-1 Off Site Habitat Baseline'!$D$1:$X$258,13,FALSE))))</f>
        <v/>
      </c>
      <c r="P110" s="337" t="str">
        <f>IFERROR(INDEX('G-1 All Habitats'!$AG$3:$AG$15,MATCH(Q110,'G-1 All Habitats'!$AF$3:$AF$15,0)),"")</f>
        <v/>
      </c>
      <c r="Q110" s="331" t="str">
        <f t="shared" si="24"/>
        <v/>
      </c>
      <c r="R110" s="332" t="str">
        <f t="shared" si="25"/>
        <v/>
      </c>
      <c r="S110" s="338" t="str">
        <f>IFERROR(INDEX('G-1 All Habitats'!$B$3:$B$130,MATCH(R110,'G-1 All Habitats'!$A$3:$A$130,0)),"")</f>
        <v/>
      </c>
      <c r="T110" s="179" t="str">
        <f t="shared" si="17"/>
        <v/>
      </c>
      <c r="U110" s="172" t="str">
        <f t="shared" si="18"/>
        <v/>
      </c>
      <c r="V110" s="334" t="str">
        <f t="shared" si="15"/>
        <v/>
      </c>
      <c r="W110" s="175" t="str">
        <f>IF(S110="","",VLOOKUP(S110,'G-1 All Habitats'!$B$2:$M$130,10,FALSE))</f>
        <v/>
      </c>
      <c r="X110" s="175" t="str">
        <f>IFERROR(VLOOKUP(W110,'G-1 All Habitats'!$V$3:$W$7,2,FALSE),"")</f>
        <v/>
      </c>
      <c r="Y110" s="275"/>
      <c r="Z110" s="176" t="str">
        <f>IFERROR(INDEX('G-8 Condition Look up'!$A$3:$H$131,MATCH(S110,'G-8 Condition Look up'!$A$3:$A$131,0),MATCH(Y110,'G-8 Condition Look up'!$A$3:$H$3,0)),"")</f>
        <v/>
      </c>
      <c r="AA110" s="173"/>
      <c r="AB110" s="269" t="str">
        <f>IF(AA110="","",IF(VLOOKUP(AA110,'G-3 Multipliers'!$L$3:$N$6,2,FALSE)=0,"Spatial Data Missing",VLOOKUP(AA110,'G-3 Multipliers'!$L$3:$N$6,2,FALSE)))</f>
        <v/>
      </c>
      <c r="AC110" s="176" t="str">
        <f>IF(AA110="","",IF(VLOOKUP(AA110,'G-3 Multipliers'!$L$3:$N$6,3,FALSE)=0,"Spatial Data Missing",VLOOKUP(AA110,'G-3 Multipliers'!$L$3:$N$6,3,FALSE)))</f>
        <v/>
      </c>
      <c r="AD110" s="239" t="str">
        <f t="shared" si="16"/>
        <v/>
      </c>
      <c r="AE110" s="275"/>
      <c r="AF110" s="275"/>
      <c r="AG110" s="175" t="str">
        <f t="shared" si="19"/>
        <v/>
      </c>
      <c r="AH110" s="242" t="str">
        <f t="shared" si="20"/>
        <v/>
      </c>
      <c r="AI110" s="335" t="str">
        <f>IF(AH110="Check Data","Check Data",IFERROR(VLOOKUP(AH110,'G-4 Temporal multipliers'!$A$4:$C$36,3,FALSE),""))</f>
        <v/>
      </c>
      <c r="AJ110" s="239" t="str">
        <f>IF(S110="","",VLOOKUP(S110,'G-3 Multipliers'!$A$2:$E$130,4,FALSE))</f>
        <v/>
      </c>
      <c r="AK110" s="175" t="str">
        <f t="shared" si="21"/>
        <v/>
      </c>
      <c r="AL110" s="175" t="str">
        <f t="shared" si="22"/>
        <v/>
      </c>
      <c r="AM110" s="176" t="str">
        <f>IFERROR(IF(F110="","",IF(AH110="Check Data","Check Data",VLOOKUP(AL110, 'G-3 Multipliers'!$P$2:$Q$6,2,FALSE))),””)</f>
        <v/>
      </c>
      <c r="AN110" s="266"/>
      <c r="AO110" s="269" t="str">
        <f>IF(AN110="","",IF(VLOOKUP(AN110,'G-3 Multipliers'!$S$3:$T$9,2,FALSE)=0,"Spatial Data Missing",VLOOKUP(AN110,'G-3 Multipliers'!$S$3:$T$9,2,FALSE)))</f>
        <v/>
      </c>
      <c r="AP110" s="207" t="str">
        <f t="shared" si="23"/>
        <v/>
      </c>
      <c r="AQ110" s="336"/>
      <c r="AR110" s="181"/>
    </row>
    <row r="111" spans="1:44" x14ac:dyDescent="0.25">
      <c r="A111" s="35" t="str">
        <f>IF(E111="","",IF(ISNA(VLOOKUP($E111,'D-1 Off Site Habitat Baseline'!$D$1:$O$258,2,FALSE)),"",(VLOOKUP($E111,'D-1 Off Site Habitat Baseline'!$D$1:$O$258,2,FALSE))))</f>
        <v/>
      </c>
      <c r="B111" s="35" t="str">
        <f>IF(E111="","",IF(ISNA(VLOOKUP($E111,'D-1 Off Site Habitat Baseline'!$D$1:$O$258,3,FALSE)),"",(VLOOKUP($E111,'D-1 Off Site Habitat Baseline'!$D$1:$O$258,3,FALSE))))</f>
        <v/>
      </c>
      <c r="C111" s="35" t="str">
        <f>IFERROR(INDEX('G-8 Condition Look up'!$I$4:$I$131,MATCH(S111,'G-8 Condition Look up'!$A$4:$A$131,0)),"")</f>
        <v/>
      </c>
      <c r="E111" s="329" t="str">
        <f>'D-1 Off Site Habitat Baseline'!AL110</f>
        <v/>
      </c>
      <c r="F111" s="175" t="str">
        <f>IF(E111="","",IF(ISNA(VLOOKUP($E111,'D-1 Off Site Habitat Baseline'!$D$1:$O$258,4,FALSE)),"",(VLOOKUP($E111,'D-1 Off Site Habitat Baseline'!$D$1:$O$258,4,FALSE))))</f>
        <v/>
      </c>
      <c r="G111" s="175" t="str">
        <f>IF(E111="","",IF(ISNA(VLOOKUP($E111,'D-1 Off Site Habitat Baseline'!$D$1:$O$258,5,FALSE)),"",(VLOOKUP($E111,'D-1 Off Site Habitat Baseline'!$D$1:$O$258,5,FALSE))))</f>
        <v/>
      </c>
      <c r="H111" s="175" t="str">
        <f>IF(E111="","",IF(ISNA(VLOOKUP($E111,'D-1 Off Site Habitat Baseline'!$D$1:$O$258,6,FALSE)),"",(VLOOKUP($E111,'D-1 Off Site Habitat Baseline'!$D$1:$O$258,6,FALSE))))</f>
        <v/>
      </c>
      <c r="I111" s="175" t="str">
        <f>IF(E111="","",IF(ISNA(VLOOKUP($E111,'D-1 Off Site Habitat Baseline'!$D$1:$O$258,7,FALSE)),"",(VLOOKUP($E111,'D-1 Off Site Habitat Baseline'!$D$1:$O$258,7,FALSE))))</f>
        <v/>
      </c>
      <c r="J111" s="175" t="str">
        <f>IF(E111="","",IF(ISNA(VLOOKUP($E111,'D-1 Off Site Habitat Baseline'!$D$1:$O$258,8,FALSE)),"",(VLOOKUP($E111,'D-1 Off Site Habitat Baseline'!$D$1:$O$258,8,FALSE))))</f>
        <v/>
      </c>
      <c r="K111" s="175" t="str">
        <f>IF(E111="","",IF(ISNA(VLOOKUP($E111,'D-1 Off Site Habitat Baseline'!$D$1:$O$258,9,FALSE)),"",(VLOOKUP($E111,'D-1 Off Site Habitat Baseline'!$D$1:$O$258,9,FALSE))))</f>
        <v/>
      </c>
      <c r="L111" s="175" t="str">
        <f>IF(E111="","",IF(ISNA(VLOOKUP($E111,'D-1 Off Site Habitat Baseline'!$D$1:$O$258,11,FALSE)),"",(VLOOKUP($E111,'D-1 Off Site Habitat Baseline'!$D$1:$O$258,11,FALSE))))</f>
        <v/>
      </c>
      <c r="M111" s="175" t="str">
        <f>IF(E111="","",IF(ISNA(VLOOKUP($E111,'D-1 Off Site Habitat Baseline'!$D$1:$O$258,12,FALSE)),"",(VLOOKUP($E111,'D-1 Off Site Habitat Baseline'!$D$1:$O$258,12,FALSE))))</f>
        <v/>
      </c>
      <c r="N111" s="175" t="str">
        <f>IF(E111="","",IF(ISNA(VLOOKUP($E111,'D-1 Off Site Habitat Baseline'!$D$1:$X$258,14,FALSE)),"",(VLOOKUP($E111,'D-1 Off Site Habitat Baseline'!$D$1:$X$258,14,FALSE))))</f>
        <v/>
      </c>
      <c r="O111" s="176" t="str">
        <f>IF(E111="","",IF(ISNA(VLOOKUP($E111,'D-1 Off Site Habitat Baseline'!$D$1:$X$258,13,FALSE)),"",(VLOOKUP($E111,'D-1 Off Site Habitat Baseline'!$D$1:$X$258,13,FALSE))))</f>
        <v/>
      </c>
      <c r="P111" s="337" t="str">
        <f>IFERROR(INDEX('G-1 All Habitats'!$AG$3:$AG$15,MATCH(Q111,'G-1 All Habitats'!$AF$3:$AF$15,0)),"")</f>
        <v/>
      </c>
      <c r="Q111" s="331" t="str">
        <f t="shared" si="24"/>
        <v/>
      </c>
      <c r="R111" s="332" t="str">
        <f t="shared" si="25"/>
        <v/>
      </c>
      <c r="S111" s="338" t="str">
        <f>IFERROR(INDEX('G-1 All Habitats'!$B$3:$B$130,MATCH(R111,'G-1 All Habitats'!$A$3:$A$130,0)),"")</f>
        <v/>
      </c>
      <c r="T111" s="179" t="str">
        <f t="shared" si="17"/>
        <v/>
      </c>
      <c r="U111" s="172" t="str">
        <f t="shared" si="18"/>
        <v/>
      </c>
      <c r="V111" s="334" t="str">
        <f t="shared" si="15"/>
        <v/>
      </c>
      <c r="W111" s="175" t="str">
        <f>IF(S111="","",VLOOKUP(S111,'G-1 All Habitats'!$B$2:$M$130,10,FALSE))</f>
        <v/>
      </c>
      <c r="X111" s="175" t="str">
        <f>IFERROR(VLOOKUP(W111,'G-1 All Habitats'!$V$3:$W$7,2,FALSE),"")</f>
        <v/>
      </c>
      <c r="Y111" s="275"/>
      <c r="Z111" s="176" t="str">
        <f>IFERROR(INDEX('G-8 Condition Look up'!$A$3:$H$131,MATCH(S111,'G-8 Condition Look up'!$A$3:$A$131,0),MATCH(Y111,'G-8 Condition Look up'!$A$3:$H$3,0)),"")</f>
        <v/>
      </c>
      <c r="AA111" s="173"/>
      <c r="AB111" s="269" t="str">
        <f>IF(AA111="","",IF(VLOOKUP(AA111,'G-3 Multipliers'!$L$3:$N$6,2,FALSE)=0,"Spatial Data Missing",VLOOKUP(AA111,'G-3 Multipliers'!$L$3:$N$6,2,FALSE)))</f>
        <v/>
      </c>
      <c r="AC111" s="176" t="str">
        <f>IF(AA111="","",IF(VLOOKUP(AA111,'G-3 Multipliers'!$L$3:$N$6,3,FALSE)=0,"Spatial Data Missing",VLOOKUP(AA111,'G-3 Multipliers'!$L$3:$N$6,3,FALSE)))</f>
        <v/>
      </c>
      <c r="AD111" s="239" t="str">
        <f t="shared" si="16"/>
        <v/>
      </c>
      <c r="AE111" s="275"/>
      <c r="AF111" s="275"/>
      <c r="AG111" s="175" t="str">
        <f t="shared" si="19"/>
        <v/>
      </c>
      <c r="AH111" s="242" t="str">
        <f t="shared" si="20"/>
        <v/>
      </c>
      <c r="AI111" s="335" t="str">
        <f>IF(AH111="Check Data","Check Data",IFERROR(VLOOKUP(AH111,'G-4 Temporal multipliers'!$A$4:$C$36,3,FALSE),""))</f>
        <v/>
      </c>
      <c r="AJ111" s="239" t="str">
        <f>IF(S111="","",VLOOKUP(S111,'G-3 Multipliers'!$A$2:$E$130,4,FALSE))</f>
        <v/>
      </c>
      <c r="AK111" s="175" t="str">
        <f t="shared" si="21"/>
        <v/>
      </c>
      <c r="AL111" s="175" t="str">
        <f t="shared" si="22"/>
        <v/>
      </c>
      <c r="AM111" s="176" t="str">
        <f>IFERROR(IF(F111="","",IF(AH111="Check Data","Check Data",VLOOKUP(AL111, 'G-3 Multipliers'!$P$2:$Q$6,2,FALSE))),””)</f>
        <v/>
      </c>
      <c r="AN111" s="266"/>
      <c r="AO111" s="269" t="str">
        <f>IF(AN111="","",IF(VLOOKUP(AN111,'G-3 Multipliers'!$S$3:$T$9,2,FALSE)=0,"Spatial Data Missing",VLOOKUP(AN111,'G-3 Multipliers'!$S$3:$T$9,2,FALSE)))</f>
        <v/>
      </c>
      <c r="AP111" s="207" t="str">
        <f t="shared" si="23"/>
        <v/>
      </c>
      <c r="AQ111" s="336"/>
      <c r="AR111" s="181"/>
    </row>
    <row r="112" spans="1:44" x14ac:dyDescent="0.25">
      <c r="A112" s="35" t="str">
        <f>IF(E112="","",IF(ISNA(VLOOKUP($E112,'D-1 Off Site Habitat Baseline'!$D$1:$O$258,2,FALSE)),"",(VLOOKUP($E112,'D-1 Off Site Habitat Baseline'!$D$1:$O$258,2,FALSE))))</f>
        <v/>
      </c>
      <c r="B112" s="35" t="str">
        <f>IF(E112="","",IF(ISNA(VLOOKUP($E112,'D-1 Off Site Habitat Baseline'!$D$1:$O$258,3,FALSE)),"",(VLOOKUP($E112,'D-1 Off Site Habitat Baseline'!$D$1:$O$258,3,FALSE))))</f>
        <v/>
      </c>
      <c r="C112" s="35" t="str">
        <f>IFERROR(INDEX('G-8 Condition Look up'!$I$4:$I$131,MATCH(S112,'G-8 Condition Look up'!$A$4:$A$131,0)),"")</f>
        <v/>
      </c>
      <c r="E112" s="329" t="str">
        <f>'D-1 Off Site Habitat Baseline'!AL111</f>
        <v/>
      </c>
      <c r="F112" s="175" t="str">
        <f>IF(E112="","",IF(ISNA(VLOOKUP($E112,'D-1 Off Site Habitat Baseline'!$D$1:$O$258,4,FALSE)),"",(VLOOKUP($E112,'D-1 Off Site Habitat Baseline'!$D$1:$O$258,4,FALSE))))</f>
        <v/>
      </c>
      <c r="G112" s="175" t="str">
        <f>IF(E112="","",IF(ISNA(VLOOKUP($E112,'D-1 Off Site Habitat Baseline'!$D$1:$O$258,5,FALSE)),"",(VLOOKUP($E112,'D-1 Off Site Habitat Baseline'!$D$1:$O$258,5,FALSE))))</f>
        <v/>
      </c>
      <c r="H112" s="175" t="str">
        <f>IF(E112="","",IF(ISNA(VLOOKUP($E112,'D-1 Off Site Habitat Baseline'!$D$1:$O$258,6,FALSE)),"",(VLOOKUP($E112,'D-1 Off Site Habitat Baseline'!$D$1:$O$258,6,FALSE))))</f>
        <v/>
      </c>
      <c r="I112" s="175" t="str">
        <f>IF(E112="","",IF(ISNA(VLOOKUP($E112,'D-1 Off Site Habitat Baseline'!$D$1:$O$258,7,FALSE)),"",(VLOOKUP($E112,'D-1 Off Site Habitat Baseline'!$D$1:$O$258,7,FALSE))))</f>
        <v/>
      </c>
      <c r="J112" s="175" t="str">
        <f>IF(E112="","",IF(ISNA(VLOOKUP($E112,'D-1 Off Site Habitat Baseline'!$D$1:$O$258,8,FALSE)),"",(VLOOKUP($E112,'D-1 Off Site Habitat Baseline'!$D$1:$O$258,8,FALSE))))</f>
        <v/>
      </c>
      <c r="K112" s="175" t="str">
        <f>IF(E112="","",IF(ISNA(VLOOKUP($E112,'D-1 Off Site Habitat Baseline'!$D$1:$O$258,9,FALSE)),"",(VLOOKUP($E112,'D-1 Off Site Habitat Baseline'!$D$1:$O$258,9,FALSE))))</f>
        <v/>
      </c>
      <c r="L112" s="175" t="str">
        <f>IF(E112="","",IF(ISNA(VLOOKUP($E112,'D-1 Off Site Habitat Baseline'!$D$1:$O$258,11,FALSE)),"",(VLOOKUP($E112,'D-1 Off Site Habitat Baseline'!$D$1:$O$258,11,FALSE))))</f>
        <v/>
      </c>
      <c r="M112" s="175" t="str">
        <f>IF(E112="","",IF(ISNA(VLOOKUP($E112,'D-1 Off Site Habitat Baseline'!$D$1:$O$258,12,FALSE)),"",(VLOOKUP($E112,'D-1 Off Site Habitat Baseline'!$D$1:$O$258,12,FALSE))))</f>
        <v/>
      </c>
      <c r="N112" s="175" t="str">
        <f>IF(E112="","",IF(ISNA(VLOOKUP($E112,'D-1 Off Site Habitat Baseline'!$D$1:$X$258,14,FALSE)),"",(VLOOKUP($E112,'D-1 Off Site Habitat Baseline'!$D$1:$X$258,14,FALSE))))</f>
        <v/>
      </c>
      <c r="O112" s="176" t="str">
        <f>IF(E112="","",IF(ISNA(VLOOKUP($E112,'D-1 Off Site Habitat Baseline'!$D$1:$X$258,13,FALSE)),"",(VLOOKUP($E112,'D-1 Off Site Habitat Baseline'!$D$1:$X$258,13,FALSE))))</f>
        <v/>
      </c>
      <c r="P112" s="337" t="str">
        <f>IFERROR(INDEX('G-1 All Habitats'!$AG$3:$AG$15,MATCH(Q112,'G-1 All Habitats'!$AF$3:$AF$15,0)),"")</f>
        <v/>
      </c>
      <c r="Q112" s="331" t="str">
        <f t="shared" si="24"/>
        <v/>
      </c>
      <c r="R112" s="332" t="str">
        <f t="shared" si="25"/>
        <v/>
      </c>
      <c r="S112" s="338" t="str">
        <f>IFERROR(INDEX('G-1 All Habitats'!$B$3:$B$130,MATCH(R112,'G-1 All Habitats'!$A$3:$A$130,0)),"")</f>
        <v/>
      </c>
      <c r="T112" s="179" t="str">
        <f t="shared" si="17"/>
        <v/>
      </c>
      <c r="U112" s="172" t="str">
        <f t="shared" si="18"/>
        <v/>
      </c>
      <c r="V112" s="334" t="str">
        <f t="shared" si="15"/>
        <v/>
      </c>
      <c r="W112" s="175" t="str">
        <f>IF(S112="","",VLOOKUP(S112,'G-1 All Habitats'!$B$2:$M$130,10,FALSE))</f>
        <v/>
      </c>
      <c r="X112" s="175" t="str">
        <f>IFERROR(VLOOKUP(W112,'G-1 All Habitats'!$V$3:$W$7,2,FALSE),"")</f>
        <v/>
      </c>
      <c r="Y112" s="275"/>
      <c r="Z112" s="176" t="str">
        <f>IFERROR(INDEX('G-8 Condition Look up'!$A$3:$H$131,MATCH(S112,'G-8 Condition Look up'!$A$3:$A$131,0),MATCH(Y112,'G-8 Condition Look up'!$A$3:$H$3,0)),"")</f>
        <v/>
      </c>
      <c r="AA112" s="173"/>
      <c r="AB112" s="269" t="str">
        <f>IF(AA112="","",IF(VLOOKUP(AA112,'G-3 Multipliers'!$L$3:$N$6,2,FALSE)=0,"Spatial Data Missing",VLOOKUP(AA112,'G-3 Multipliers'!$L$3:$N$6,2,FALSE)))</f>
        <v/>
      </c>
      <c r="AC112" s="176" t="str">
        <f>IF(AA112="","",IF(VLOOKUP(AA112,'G-3 Multipliers'!$L$3:$N$6,3,FALSE)=0,"Spatial Data Missing",VLOOKUP(AA112,'G-3 Multipliers'!$L$3:$N$6,3,FALSE)))</f>
        <v/>
      </c>
      <c r="AD112" s="239" t="str">
        <f t="shared" si="16"/>
        <v/>
      </c>
      <c r="AE112" s="275"/>
      <c r="AF112" s="275"/>
      <c r="AG112" s="175" t="str">
        <f t="shared" si="19"/>
        <v/>
      </c>
      <c r="AH112" s="242" t="str">
        <f t="shared" si="20"/>
        <v/>
      </c>
      <c r="AI112" s="335" t="str">
        <f>IF(AH112="Check Data","Check Data",IFERROR(VLOOKUP(AH112,'G-4 Temporal multipliers'!$A$4:$C$36,3,FALSE),""))</f>
        <v/>
      </c>
      <c r="AJ112" s="239" t="str">
        <f>IF(S112="","",VLOOKUP(S112,'G-3 Multipliers'!$A$2:$E$130,4,FALSE))</f>
        <v/>
      </c>
      <c r="AK112" s="175" t="str">
        <f t="shared" si="21"/>
        <v/>
      </c>
      <c r="AL112" s="175" t="str">
        <f t="shared" si="22"/>
        <v/>
      </c>
      <c r="AM112" s="176" t="str">
        <f>IFERROR(IF(F112="","",IF(AH112="Check Data","Check Data",VLOOKUP(AL112, 'G-3 Multipliers'!$P$2:$Q$6,2,FALSE))),””)</f>
        <v/>
      </c>
      <c r="AN112" s="266"/>
      <c r="AO112" s="269" t="str">
        <f>IF(AN112="","",IF(VLOOKUP(AN112,'G-3 Multipliers'!$S$3:$T$9,2,FALSE)=0,"Spatial Data Missing",VLOOKUP(AN112,'G-3 Multipliers'!$S$3:$T$9,2,FALSE)))</f>
        <v/>
      </c>
      <c r="AP112" s="207" t="str">
        <f t="shared" si="23"/>
        <v/>
      </c>
      <c r="AQ112" s="336"/>
      <c r="AR112" s="181"/>
    </row>
    <row r="113" spans="1:44" x14ac:dyDescent="0.25">
      <c r="A113" s="35" t="str">
        <f>IF(E113="","",IF(ISNA(VLOOKUP($E113,'D-1 Off Site Habitat Baseline'!$D$1:$O$258,2,FALSE)),"",(VLOOKUP($E113,'D-1 Off Site Habitat Baseline'!$D$1:$O$258,2,FALSE))))</f>
        <v/>
      </c>
      <c r="B113" s="35" t="str">
        <f>IF(E113="","",IF(ISNA(VLOOKUP($E113,'D-1 Off Site Habitat Baseline'!$D$1:$O$258,3,FALSE)),"",(VLOOKUP($E113,'D-1 Off Site Habitat Baseline'!$D$1:$O$258,3,FALSE))))</f>
        <v/>
      </c>
      <c r="C113" s="35" t="str">
        <f>IFERROR(INDEX('G-8 Condition Look up'!$I$4:$I$131,MATCH(S113,'G-8 Condition Look up'!$A$4:$A$131,0)),"")</f>
        <v/>
      </c>
      <c r="E113" s="329" t="str">
        <f>'D-1 Off Site Habitat Baseline'!AL112</f>
        <v/>
      </c>
      <c r="F113" s="175" t="str">
        <f>IF(E113="","",IF(ISNA(VLOOKUP($E113,'D-1 Off Site Habitat Baseline'!$D$1:$O$258,4,FALSE)),"",(VLOOKUP($E113,'D-1 Off Site Habitat Baseline'!$D$1:$O$258,4,FALSE))))</f>
        <v/>
      </c>
      <c r="G113" s="175" t="str">
        <f>IF(E113="","",IF(ISNA(VLOOKUP($E113,'D-1 Off Site Habitat Baseline'!$D$1:$O$258,5,FALSE)),"",(VLOOKUP($E113,'D-1 Off Site Habitat Baseline'!$D$1:$O$258,5,FALSE))))</f>
        <v/>
      </c>
      <c r="H113" s="175" t="str">
        <f>IF(E113="","",IF(ISNA(VLOOKUP($E113,'D-1 Off Site Habitat Baseline'!$D$1:$O$258,6,FALSE)),"",(VLOOKUP($E113,'D-1 Off Site Habitat Baseline'!$D$1:$O$258,6,FALSE))))</f>
        <v/>
      </c>
      <c r="I113" s="175" t="str">
        <f>IF(E113="","",IF(ISNA(VLOOKUP($E113,'D-1 Off Site Habitat Baseline'!$D$1:$O$258,7,FALSE)),"",(VLOOKUP($E113,'D-1 Off Site Habitat Baseline'!$D$1:$O$258,7,FALSE))))</f>
        <v/>
      </c>
      <c r="J113" s="175" t="str">
        <f>IF(E113="","",IF(ISNA(VLOOKUP($E113,'D-1 Off Site Habitat Baseline'!$D$1:$O$258,8,FALSE)),"",(VLOOKUP($E113,'D-1 Off Site Habitat Baseline'!$D$1:$O$258,8,FALSE))))</f>
        <v/>
      </c>
      <c r="K113" s="175" t="str">
        <f>IF(E113="","",IF(ISNA(VLOOKUP($E113,'D-1 Off Site Habitat Baseline'!$D$1:$O$258,9,FALSE)),"",(VLOOKUP($E113,'D-1 Off Site Habitat Baseline'!$D$1:$O$258,9,FALSE))))</f>
        <v/>
      </c>
      <c r="L113" s="175" t="str">
        <f>IF(E113="","",IF(ISNA(VLOOKUP($E113,'D-1 Off Site Habitat Baseline'!$D$1:$O$258,11,FALSE)),"",(VLOOKUP($E113,'D-1 Off Site Habitat Baseline'!$D$1:$O$258,11,FALSE))))</f>
        <v/>
      </c>
      <c r="M113" s="175" t="str">
        <f>IF(E113="","",IF(ISNA(VLOOKUP($E113,'D-1 Off Site Habitat Baseline'!$D$1:$O$258,12,FALSE)),"",(VLOOKUP($E113,'D-1 Off Site Habitat Baseline'!$D$1:$O$258,12,FALSE))))</f>
        <v/>
      </c>
      <c r="N113" s="175" t="str">
        <f>IF(E113="","",IF(ISNA(VLOOKUP($E113,'D-1 Off Site Habitat Baseline'!$D$1:$X$258,14,FALSE)),"",(VLOOKUP($E113,'D-1 Off Site Habitat Baseline'!$D$1:$X$258,14,FALSE))))</f>
        <v/>
      </c>
      <c r="O113" s="176" t="str">
        <f>IF(E113="","",IF(ISNA(VLOOKUP($E113,'D-1 Off Site Habitat Baseline'!$D$1:$X$258,13,FALSE)),"",(VLOOKUP($E113,'D-1 Off Site Habitat Baseline'!$D$1:$X$258,13,FALSE))))</f>
        <v/>
      </c>
      <c r="P113" s="337" t="str">
        <f>IFERROR(INDEX('G-1 All Habitats'!$AG$3:$AG$15,MATCH(Q113,'G-1 All Habitats'!$AF$3:$AF$15,0)),"")</f>
        <v/>
      </c>
      <c r="Q113" s="331" t="str">
        <f t="shared" si="24"/>
        <v/>
      </c>
      <c r="R113" s="332" t="str">
        <f t="shared" si="25"/>
        <v/>
      </c>
      <c r="S113" s="338" t="str">
        <f>IFERROR(INDEX('G-1 All Habitats'!$B$3:$B$130,MATCH(R113,'G-1 All Habitats'!$A$3:$A$130,0)),"")</f>
        <v/>
      </c>
      <c r="T113" s="179" t="str">
        <f t="shared" si="17"/>
        <v/>
      </c>
      <c r="U113" s="172" t="str">
        <f t="shared" si="18"/>
        <v/>
      </c>
      <c r="V113" s="334" t="str">
        <f t="shared" si="15"/>
        <v/>
      </c>
      <c r="W113" s="175" t="str">
        <f>IF(S113="","",VLOOKUP(S113,'G-1 All Habitats'!$B$2:$M$130,10,FALSE))</f>
        <v/>
      </c>
      <c r="X113" s="175" t="str">
        <f>IFERROR(VLOOKUP(W113,'G-1 All Habitats'!$V$3:$W$7,2,FALSE),"")</f>
        <v/>
      </c>
      <c r="Y113" s="275"/>
      <c r="Z113" s="176" t="str">
        <f>IFERROR(INDEX('G-8 Condition Look up'!$A$3:$H$131,MATCH(S113,'G-8 Condition Look up'!$A$3:$A$131,0),MATCH(Y113,'G-8 Condition Look up'!$A$3:$H$3,0)),"")</f>
        <v/>
      </c>
      <c r="AA113" s="173"/>
      <c r="AB113" s="269" t="str">
        <f>IF(AA113="","",IF(VLOOKUP(AA113,'G-3 Multipliers'!$L$3:$N$6,2,FALSE)=0,"Spatial Data Missing",VLOOKUP(AA113,'G-3 Multipliers'!$L$3:$N$6,2,FALSE)))</f>
        <v/>
      </c>
      <c r="AC113" s="176" t="str">
        <f>IF(AA113="","",IF(VLOOKUP(AA113,'G-3 Multipliers'!$L$3:$N$6,3,FALSE)=0,"Spatial Data Missing",VLOOKUP(AA113,'G-3 Multipliers'!$L$3:$N$6,3,FALSE)))</f>
        <v/>
      </c>
      <c r="AD113" s="239" t="str">
        <f t="shared" si="16"/>
        <v/>
      </c>
      <c r="AE113" s="275"/>
      <c r="AF113" s="275"/>
      <c r="AG113" s="175" t="str">
        <f t="shared" si="19"/>
        <v/>
      </c>
      <c r="AH113" s="242" t="str">
        <f t="shared" si="20"/>
        <v/>
      </c>
      <c r="AI113" s="335" t="str">
        <f>IF(AH113="Check Data","Check Data",IFERROR(VLOOKUP(AH113,'G-4 Temporal multipliers'!$A$4:$C$36,3,FALSE),""))</f>
        <v/>
      </c>
      <c r="AJ113" s="239" t="str">
        <f>IF(S113="","",VLOOKUP(S113,'G-3 Multipliers'!$A$2:$E$130,4,FALSE))</f>
        <v/>
      </c>
      <c r="AK113" s="175" t="str">
        <f t="shared" si="21"/>
        <v/>
      </c>
      <c r="AL113" s="175" t="str">
        <f t="shared" si="22"/>
        <v/>
      </c>
      <c r="AM113" s="176" t="str">
        <f>IFERROR(IF(F113="","",IF(AH113="Check Data","Check Data",VLOOKUP(AL113, 'G-3 Multipliers'!$P$2:$Q$6,2,FALSE))),””)</f>
        <v/>
      </c>
      <c r="AN113" s="266"/>
      <c r="AO113" s="269" t="str">
        <f>IF(AN113="","",IF(VLOOKUP(AN113,'G-3 Multipliers'!$S$3:$T$9,2,FALSE)=0,"Spatial Data Missing",VLOOKUP(AN113,'G-3 Multipliers'!$S$3:$T$9,2,FALSE)))</f>
        <v/>
      </c>
      <c r="AP113" s="207" t="str">
        <f t="shared" si="23"/>
        <v/>
      </c>
      <c r="AQ113" s="336"/>
      <c r="AR113" s="181"/>
    </row>
    <row r="114" spans="1:44" x14ac:dyDescent="0.25">
      <c r="A114" s="35" t="str">
        <f>IF(E114="","",IF(ISNA(VLOOKUP($E114,'D-1 Off Site Habitat Baseline'!$D$1:$O$258,2,FALSE)),"",(VLOOKUP($E114,'D-1 Off Site Habitat Baseline'!$D$1:$O$258,2,FALSE))))</f>
        <v/>
      </c>
      <c r="B114" s="35" t="str">
        <f>IF(E114="","",IF(ISNA(VLOOKUP($E114,'D-1 Off Site Habitat Baseline'!$D$1:$O$258,3,FALSE)),"",(VLOOKUP($E114,'D-1 Off Site Habitat Baseline'!$D$1:$O$258,3,FALSE))))</f>
        <v/>
      </c>
      <c r="C114" s="35" t="str">
        <f>IFERROR(INDEX('G-8 Condition Look up'!$I$4:$I$131,MATCH(S114,'G-8 Condition Look up'!$A$4:$A$131,0)),"")</f>
        <v/>
      </c>
      <c r="E114" s="329" t="str">
        <f>'D-1 Off Site Habitat Baseline'!AL113</f>
        <v/>
      </c>
      <c r="F114" s="175" t="str">
        <f>IF(E114="","",IF(ISNA(VLOOKUP($E114,'D-1 Off Site Habitat Baseline'!$D$1:$O$258,4,FALSE)),"",(VLOOKUP($E114,'D-1 Off Site Habitat Baseline'!$D$1:$O$258,4,FALSE))))</f>
        <v/>
      </c>
      <c r="G114" s="175" t="str">
        <f>IF(E114="","",IF(ISNA(VLOOKUP($E114,'D-1 Off Site Habitat Baseline'!$D$1:$O$258,5,FALSE)),"",(VLOOKUP($E114,'D-1 Off Site Habitat Baseline'!$D$1:$O$258,5,FALSE))))</f>
        <v/>
      </c>
      <c r="H114" s="175" t="str">
        <f>IF(E114="","",IF(ISNA(VLOOKUP($E114,'D-1 Off Site Habitat Baseline'!$D$1:$O$258,6,FALSE)),"",(VLOOKUP($E114,'D-1 Off Site Habitat Baseline'!$D$1:$O$258,6,FALSE))))</f>
        <v/>
      </c>
      <c r="I114" s="175" t="str">
        <f>IF(E114="","",IF(ISNA(VLOOKUP($E114,'D-1 Off Site Habitat Baseline'!$D$1:$O$258,7,FALSE)),"",(VLOOKUP($E114,'D-1 Off Site Habitat Baseline'!$D$1:$O$258,7,FALSE))))</f>
        <v/>
      </c>
      <c r="J114" s="175" t="str">
        <f>IF(E114="","",IF(ISNA(VLOOKUP($E114,'D-1 Off Site Habitat Baseline'!$D$1:$O$258,8,FALSE)),"",(VLOOKUP($E114,'D-1 Off Site Habitat Baseline'!$D$1:$O$258,8,FALSE))))</f>
        <v/>
      </c>
      <c r="K114" s="175" t="str">
        <f>IF(E114="","",IF(ISNA(VLOOKUP($E114,'D-1 Off Site Habitat Baseline'!$D$1:$O$258,9,FALSE)),"",(VLOOKUP($E114,'D-1 Off Site Habitat Baseline'!$D$1:$O$258,9,FALSE))))</f>
        <v/>
      </c>
      <c r="L114" s="175" t="str">
        <f>IF(E114="","",IF(ISNA(VLOOKUP($E114,'D-1 Off Site Habitat Baseline'!$D$1:$O$258,11,FALSE)),"",(VLOOKUP($E114,'D-1 Off Site Habitat Baseline'!$D$1:$O$258,11,FALSE))))</f>
        <v/>
      </c>
      <c r="M114" s="175" t="str">
        <f>IF(E114="","",IF(ISNA(VLOOKUP($E114,'D-1 Off Site Habitat Baseline'!$D$1:$O$258,12,FALSE)),"",(VLOOKUP($E114,'D-1 Off Site Habitat Baseline'!$D$1:$O$258,12,FALSE))))</f>
        <v/>
      </c>
      <c r="N114" s="175" t="str">
        <f>IF(E114="","",IF(ISNA(VLOOKUP($E114,'D-1 Off Site Habitat Baseline'!$D$1:$X$258,14,FALSE)),"",(VLOOKUP($E114,'D-1 Off Site Habitat Baseline'!$D$1:$X$258,14,FALSE))))</f>
        <v/>
      </c>
      <c r="O114" s="176" t="str">
        <f>IF(E114="","",IF(ISNA(VLOOKUP($E114,'D-1 Off Site Habitat Baseline'!$D$1:$X$258,13,FALSE)),"",(VLOOKUP($E114,'D-1 Off Site Habitat Baseline'!$D$1:$X$258,13,FALSE))))</f>
        <v/>
      </c>
      <c r="P114" s="337" t="str">
        <f>IFERROR(INDEX('G-1 All Habitats'!$AG$3:$AG$15,MATCH(Q114,'G-1 All Habitats'!$AF$3:$AF$15,0)),"")</f>
        <v/>
      </c>
      <c r="Q114" s="331" t="str">
        <f t="shared" si="24"/>
        <v/>
      </c>
      <c r="R114" s="332" t="str">
        <f t="shared" si="25"/>
        <v/>
      </c>
      <c r="S114" s="338" t="str">
        <f>IFERROR(INDEX('G-1 All Habitats'!$B$3:$B$130,MATCH(R114,'G-1 All Habitats'!$A$3:$A$130,0)),"")</f>
        <v/>
      </c>
      <c r="T114" s="179" t="str">
        <f t="shared" si="17"/>
        <v/>
      </c>
      <c r="U114" s="172" t="str">
        <f t="shared" si="18"/>
        <v/>
      </c>
      <c r="V114" s="334" t="str">
        <f t="shared" si="15"/>
        <v/>
      </c>
      <c r="W114" s="175" t="str">
        <f>IF(S114="","",VLOOKUP(S114,'G-1 All Habitats'!$B$2:$M$130,10,FALSE))</f>
        <v/>
      </c>
      <c r="X114" s="175" t="str">
        <f>IFERROR(VLOOKUP(W114,'G-1 All Habitats'!$V$3:$W$7,2,FALSE),"")</f>
        <v/>
      </c>
      <c r="Y114" s="275"/>
      <c r="Z114" s="176" t="str">
        <f>IFERROR(INDEX('G-8 Condition Look up'!$A$3:$H$131,MATCH(S114,'G-8 Condition Look up'!$A$3:$A$131,0),MATCH(Y114,'G-8 Condition Look up'!$A$3:$H$3,0)),"")</f>
        <v/>
      </c>
      <c r="AA114" s="173"/>
      <c r="AB114" s="269" t="str">
        <f>IF(AA114="","",IF(VLOOKUP(AA114,'G-3 Multipliers'!$L$3:$N$6,2,FALSE)=0,"Spatial Data Missing",VLOOKUP(AA114,'G-3 Multipliers'!$L$3:$N$6,2,FALSE)))</f>
        <v/>
      </c>
      <c r="AC114" s="176" t="str">
        <f>IF(AA114="","",IF(VLOOKUP(AA114,'G-3 Multipliers'!$L$3:$N$6,3,FALSE)=0,"Spatial Data Missing",VLOOKUP(AA114,'G-3 Multipliers'!$L$3:$N$6,3,FALSE)))</f>
        <v/>
      </c>
      <c r="AD114" s="239" t="str">
        <f t="shared" si="16"/>
        <v/>
      </c>
      <c r="AE114" s="275"/>
      <c r="AF114" s="275"/>
      <c r="AG114" s="175" t="str">
        <f t="shared" si="19"/>
        <v/>
      </c>
      <c r="AH114" s="242" t="str">
        <f t="shared" si="20"/>
        <v/>
      </c>
      <c r="AI114" s="335" t="str">
        <f>IF(AH114="Check Data","Check Data",IFERROR(VLOOKUP(AH114,'G-4 Temporal multipliers'!$A$4:$C$36,3,FALSE),""))</f>
        <v/>
      </c>
      <c r="AJ114" s="239" t="str">
        <f>IF(S114="","",VLOOKUP(S114,'G-3 Multipliers'!$A$2:$E$130,4,FALSE))</f>
        <v/>
      </c>
      <c r="AK114" s="175" t="str">
        <f t="shared" si="21"/>
        <v/>
      </c>
      <c r="AL114" s="175" t="str">
        <f t="shared" si="22"/>
        <v/>
      </c>
      <c r="AM114" s="176" t="str">
        <f>IFERROR(IF(F114="","",IF(AH114="Check Data","Check Data",VLOOKUP(AL114, 'G-3 Multipliers'!$P$2:$Q$6,2,FALSE))),””)</f>
        <v/>
      </c>
      <c r="AN114" s="266"/>
      <c r="AO114" s="269" t="str">
        <f>IF(AN114="","",IF(VLOOKUP(AN114,'G-3 Multipliers'!$S$3:$T$9,2,FALSE)=0,"Spatial Data Missing",VLOOKUP(AN114,'G-3 Multipliers'!$S$3:$T$9,2,FALSE)))</f>
        <v/>
      </c>
      <c r="AP114" s="207" t="str">
        <f t="shared" si="23"/>
        <v/>
      </c>
      <c r="AQ114" s="336"/>
      <c r="AR114" s="181"/>
    </row>
    <row r="115" spans="1:44" x14ac:dyDescent="0.25">
      <c r="A115" s="35" t="str">
        <f>IF(E115="","",IF(ISNA(VLOOKUP($E115,'D-1 Off Site Habitat Baseline'!$D$1:$O$258,2,FALSE)),"",(VLOOKUP($E115,'D-1 Off Site Habitat Baseline'!$D$1:$O$258,2,FALSE))))</f>
        <v/>
      </c>
      <c r="B115" s="35" t="str">
        <f>IF(E115="","",IF(ISNA(VLOOKUP($E115,'D-1 Off Site Habitat Baseline'!$D$1:$O$258,3,FALSE)),"",(VLOOKUP($E115,'D-1 Off Site Habitat Baseline'!$D$1:$O$258,3,FALSE))))</f>
        <v/>
      </c>
      <c r="C115" s="35" t="str">
        <f>IFERROR(INDEX('G-8 Condition Look up'!$I$4:$I$131,MATCH(S115,'G-8 Condition Look up'!$A$4:$A$131,0)),"")</f>
        <v/>
      </c>
      <c r="E115" s="329" t="str">
        <f>'D-1 Off Site Habitat Baseline'!AL114</f>
        <v/>
      </c>
      <c r="F115" s="175" t="str">
        <f>IF(E115="","",IF(ISNA(VLOOKUP($E115,'D-1 Off Site Habitat Baseline'!$D$1:$O$258,4,FALSE)),"",(VLOOKUP($E115,'D-1 Off Site Habitat Baseline'!$D$1:$O$258,4,FALSE))))</f>
        <v/>
      </c>
      <c r="G115" s="175" t="str">
        <f>IF(E115="","",IF(ISNA(VLOOKUP($E115,'D-1 Off Site Habitat Baseline'!$D$1:$O$258,5,FALSE)),"",(VLOOKUP($E115,'D-1 Off Site Habitat Baseline'!$D$1:$O$258,5,FALSE))))</f>
        <v/>
      </c>
      <c r="H115" s="175" t="str">
        <f>IF(E115="","",IF(ISNA(VLOOKUP($E115,'D-1 Off Site Habitat Baseline'!$D$1:$O$258,6,FALSE)),"",(VLOOKUP($E115,'D-1 Off Site Habitat Baseline'!$D$1:$O$258,6,FALSE))))</f>
        <v/>
      </c>
      <c r="I115" s="175" t="str">
        <f>IF(E115="","",IF(ISNA(VLOOKUP($E115,'D-1 Off Site Habitat Baseline'!$D$1:$O$258,7,FALSE)),"",(VLOOKUP($E115,'D-1 Off Site Habitat Baseline'!$D$1:$O$258,7,FALSE))))</f>
        <v/>
      </c>
      <c r="J115" s="175" t="str">
        <f>IF(E115="","",IF(ISNA(VLOOKUP($E115,'D-1 Off Site Habitat Baseline'!$D$1:$O$258,8,FALSE)),"",(VLOOKUP($E115,'D-1 Off Site Habitat Baseline'!$D$1:$O$258,8,FALSE))))</f>
        <v/>
      </c>
      <c r="K115" s="175" t="str">
        <f>IF(E115="","",IF(ISNA(VLOOKUP($E115,'D-1 Off Site Habitat Baseline'!$D$1:$O$258,9,FALSE)),"",(VLOOKUP($E115,'D-1 Off Site Habitat Baseline'!$D$1:$O$258,9,FALSE))))</f>
        <v/>
      </c>
      <c r="L115" s="175" t="str">
        <f>IF(E115="","",IF(ISNA(VLOOKUP($E115,'D-1 Off Site Habitat Baseline'!$D$1:$O$258,11,FALSE)),"",(VLOOKUP($E115,'D-1 Off Site Habitat Baseline'!$D$1:$O$258,11,FALSE))))</f>
        <v/>
      </c>
      <c r="M115" s="175" t="str">
        <f>IF(E115="","",IF(ISNA(VLOOKUP($E115,'D-1 Off Site Habitat Baseline'!$D$1:$O$258,12,FALSE)),"",(VLOOKUP($E115,'D-1 Off Site Habitat Baseline'!$D$1:$O$258,12,FALSE))))</f>
        <v/>
      </c>
      <c r="N115" s="175" t="str">
        <f>IF(E115="","",IF(ISNA(VLOOKUP($E115,'D-1 Off Site Habitat Baseline'!$D$1:$X$258,14,FALSE)),"",(VLOOKUP($E115,'D-1 Off Site Habitat Baseline'!$D$1:$X$258,14,FALSE))))</f>
        <v/>
      </c>
      <c r="O115" s="176" t="str">
        <f>IF(E115="","",IF(ISNA(VLOOKUP($E115,'D-1 Off Site Habitat Baseline'!$D$1:$X$258,13,FALSE)),"",(VLOOKUP($E115,'D-1 Off Site Habitat Baseline'!$D$1:$X$258,13,FALSE))))</f>
        <v/>
      </c>
      <c r="P115" s="337" t="str">
        <f>IFERROR(INDEX('G-1 All Habitats'!$AG$3:$AG$15,MATCH(Q115,'G-1 All Habitats'!$AF$3:$AF$15,0)),"")</f>
        <v/>
      </c>
      <c r="Q115" s="331" t="str">
        <f t="shared" si="24"/>
        <v/>
      </c>
      <c r="R115" s="332" t="str">
        <f t="shared" si="25"/>
        <v/>
      </c>
      <c r="S115" s="338" t="str">
        <f>IFERROR(INDEX('G-1 All Habitats'!$B$3:$B$130,MATCH(R115,'G-1 All Habitats'!$A$3:$A$130,0)),"")</f>
        <v/>
      </c>
      <c r="T115" s="179" t="str">
        <f t="shared" si="17"/>
        <v/>
      </c>
      <c r="U115" s="172" t="str">
        <f t="shared" si="18"/>
        <v/>
      </c>
      <c r="V115" s="334" t="str">
        <f t="shared" si="15"/>
        <v/>
      </c>
      <c r="W115" s="175" t="str">
        <f>IF(S115="","",VLOOKUP(S115,'G-1 All Habitats'!$B$2:$M$130,10,FALSE))</f>
        <v/>
      </c>
      <c r="X115" s="175" t="str">
        <f>IFERROR(VLOOKUP(W115,'G-1 All Habitats'!$V$3:$W$7,2,FALSE),"")</f>
        <v/>
      </c>
      <c r="Y115" s="275"/>
      <c r="Z115" s="176" t="str">
        <f>IFERROR(INDEX('G-8 Condition Look up'!$A$3:$H$131,MATCH(S115,'G-8 Condition Look up'!$A$3:$A$131,0),MATCH(Y115,'G-8 Condition Look up'!$A$3:$H$3,0)),"")</f>
        <v/>
      </c>
      <c r="AA115" s="173"/>
      <c r="AB115" s="269" t="str">
        <f>IF(AA115="","",IF(VLOOKUP(AA115,'G-3 Multipliers'!$L$3:$N$6,2,FALSE)=0,"Spatial Data Missing",VLOOKUP(AA115,'G-3 Multipliers'!$L$3:$N$6,2,FALSE)))</f>
        <v/>
      </c>
      <c r="AC115" s="176" t="str">
        <f>IF(AA115="","",IF(VLOOKUP(AA115,'G-3 Multipliers'!$L$3:$N$6,3,FALSE)=0,"Spatial Data Missing",VLOOKUP(AA115,'G-3 Multipliers'!$L$3:$N$6,3,FALSE)))</f>
        <v/>
      </c>
      <c r="AD115" s="239" t="str">
        <f t="shared" si="16"/>
        <v/>
      </c>
      <c r="AE115" s="275"/>
      <c r="AF115" s="275"/>
      <c r="AG115" s="175" t="str">
        <f t="shared" si="19"/>
        <v/>
      </c>
      <c r="AH115" s="242" t="str">
        <f t="shared" si="20"/>
        <v/>
      </c>
      <c r="AI115" s="335" t="str">
        <f>IF(AH115="Check Data","Check Data",IFERROR(VLOOKUP(AH115,'G-4 Temporal multipliers'!$A$4:$C$36,3,FALSE),""))</f>
        <v/>
      </c>
      <c r="AJ115" s="239" t="str">
        <f>IF(S115="","",VLOOKUP(S115,'G-3 Multipliers'!$A$2:$E$130,4,FALSE))</f>
        <v/>
      </c>
      <c r="AK115" s="175" t="str">
        <f t="shared" si="21"/>
        <v/>
      </c>
      <c r="AL115" s="175" t="str">
        <f t="shared" si="22"/>
        <v/>
      </c>
      <c r="AM115" s="176" t="str">
        <f>IFERROR(IF(F115="","",IF(AH115="Check Data","Check Data",VLOOKUP(AL115, 'G-3 Multipliers'!$P$2:$Q$6,2,FALSE))),””)</f>
        <v/>
      </c>
      <c r="AN115" s="266"/>
      <c r="AO115" s="269" t="str">
        <f>IF(AN115="","",IF(VLOOKUP(AN115,'G-3 Multipliers'!$S$3:$T$9,2,FALSE)=0,"Spatial Data Missing",VLOOKUP(AN115,'G-3 Multipliers'!$S$3:$T$9,2,FALSE)))</f>
        <v/>
      </c>
      <c r="AP115" s="207" t="str">
        <f t="shared" si="23"/>
        <v/>
      </c>
      <c r="AQ115" s="336"/>
      <c r="AR115" s="181"/>
    </row>
    <row r="116" spans="1:44" x14ac:dyDescent="0.25">
      <c r="A116" s="35" t="str">
        <f>IF(E116="","",IF(ISNA(VLOOKUP($E116,'D-1 Off Site Habitat Baseline'!$D$1:$O$258,2,FALSE)),"",(VLOOKUP($E116,'D-1 Off Site Habitat Baseline'!$D$1:$O$258,2,FALSE))))</f>
        <v/>
      </c>
      <c r="B116" s="35" t="str">
        <f>IF(E116="","",IF(ISNA(VLOOKUP($E116,'D-1 Off Site Habitat Baseline'!$D$1:$O$258,3,FALSE)),"",(VLOOKUP($E116,'D-1 Off Site Habitat Baseline'!$D$1:$O$258,3,FALSE))))</f>
        <v/>
      </c>
      <c r="C116" s="35" t="str">
        <f>IFERROR(INDEX('G-8 Condition Look up'!$I$4:$I$131,MATCH(S116,'G-8 Condition Look up'!$A$4:$A$131,0)),"")</f>
        <v/>
      </c>
      <c r="E116" s="329" t="str">
        <f>'D-1 Off Site Habitat Baseline'!AL115</f>
        <v/>
      </c>
      <c r="F116" s="175" t="str">
        <f>IF(E116="","",IF(ISNA(VLOOKUP($E116,'D-1 Off Site Habitat Baseline'!$D$1:$O$258,4,FALSE)),"",(VLOOKUP($E116,'D-1 Off Site Habitat Baseline'!$D$1:$O$258,4,FALSE))))</f>
        <v/>
      </c>
      <c r="G116" s="175" t="str">
        <f>IF(E116="","",IF(ISNA(VLOOKUP($E116,'D-1 Off Site Habitat Baseline'!$D$1:$O$258,5,FALSE)),"",(VLOOKUP($E116,'D-1 Off Site Habitat Baseline'!$D$1:$O$258,5,FALSE))))</f>
        <v/>
      </c>
      <c r="H116" s="175" t="str">
        <f>IF(E116="","",IF(ISNA(VLOOKUP($E116,'D-1 Off Site Habitat Baseline'!$D$1:$O$258,6,FALSE)),"",(VLOOKUP($E116,'D-1 Off Site Habitat Baseline'!$D$1:$O$258,6,FALSE))))</f>
        <v/>
      </c>
      <c r="I116" s="175" t="str">
        <f>IF(E116="","",IF(ISNA(VLOOKUP($E116,'D-1 Off Site Habitat Baseline'!$D$1:$O$258,7,FALSE)),"",(VLOOKUP($E116,'D-1 Off Site Habitat Baseline'!$D$1:$O$258,7,FALSE))))</f>
        <v/>
      </c>
      <c r="J116" s="175" t="str">
        <f>IF(E116="","",IF(ISNA(VLOOKUP($E116,'D-1 Off Site Habitat Baseline'!$D$1:$O$258,8,FALSE)),"",(VLOOKUP($E116,'D-1 Off Site Habitat Baseline'!$D$1:$O$258,8,FALSE))))</f>
        <v/>
      </c>
      <c r="K116" s="175" t="str">
        <f>IF(E116="","",IF(ISNA(VLOOKUP($E116,'D-1 Off Site Habitat Baseline'!$D$1:$O$258,9,FALSE)),"",(VLOOKUP($E116,'D-1 Off Site Habitat Baseline'!$D$1:$O$258,9,FALSE))))</f>
        <v/>
      </c>
      <c r="L116" s="175" t="str">
        <f>IF(E116="","",IF(ISNA(VLOOKUP($E116,'D-1 Off Site Habitat Baseline'!$D$1:$O$258,11,FALSE)),"",(VLOOKUP($E116,'D-1 Off Site Habitat Baseline'!$D$1:$O$258,11,FALSE))))</f>
        <v/>
      </c>
      <c r="M116" s="175" t="str">
        <f>IF(E116="","",IF(ISNA(VLOOKUP($E116,'D-1 Off Site Habitat Baseline'!$D$1:$O$258,12,FALSE)),"",(VLOOKUP($E116,'D-1 Off Site Habitat Baseline'!$D$1:$O$258,12,FALSE))))</f>
        <v/>
      </c>
      <c r="N116" s="175" t="str">
        <f>IF(E116="","",IF(ISNA(VLOOKUP($E116,'D-1 Off Site Habitat Baseline'!$D$1:$X$258,14,FALSE)),"",(VLOOKUP($E116,'D-1 Off Site Habitat Baseline'!$D$1:$X$258,14,FALSE))))</f>
        <v/>
      </c>
      <c r="O116" s="176" t="str">
        <f>IF(E116="","",IF(ISNA(VLOOKUP($E116,'D-1 Off Site Habitat Baseline'!$D$1:$X$258,13,FALSE)),"",(VLOOKUP($E116,'D-1 Off Site Habitat Baseline'!$D$1:$X$258,13,FALSE))))</f>
        <v/>
      </c>
      <c r="P116" s="337" t="str">
        <f>IFERROR(INDEX('G-1 All Habitats'!$AG$3:$AG$15,MATCH(Q116,'G-1 All Habitats'!$AF$3:$AF$15,0)),"")</f>
        <v/>
      </c>
      <c r="Q116" s="331" t="str">
        <f t="shared" si="24"/>
        <v/>
      </c>
      <c r="R116" s="332" t="str">
        <f t="shared" si="25"/>
        <v/>
      </c>
      <c r="S116" s="338" t="str">
        <f>IFERROR(INDEX('G-1 All Habitats'!$B$3:$B$130,MATCH(R116,'G-1 All Habitats'!$A$3:$A$130,0)),"")</f>
        <v/>
      </c>
      <c r="T116" s="179" t="str">
        <f t="shared" si="17"/>
        <v/>
      </c>
      <c r="U116" s="172" t="str">
        <f t="shared" si="18"/>
        <v/>
      </c>
      <c r="V116" s="334" t="str">
        <f t="shared" si="15"/>
        <v/>
      </c>
      <c r="W116" s="175" t="str">
        <f>IF(S116="","",VLOOKUP(S116,'G-1 All Habitats'!$B$2:$M$130,10,FALSE))</f>
        <v/>
      </c>
      <c r="X116" s="175" t="str">
        <f>IFERROR(VLOOKUP(W116,'G-1 All Habitats'!$V$3:$W$7,2,FALSE),"")</f>
        <v/>
      </c>
      <c r="Y116" s="275"/>
      <c r="Z116" s="176" t="str">
        <f>IFERROR(INDEX('G-8 Condition Look up'!$A$3:$H$131,MATCH(S116,'G-8 Condition Look up'!$A$3:$A$131,0),MATCH(Y116,'G-8 Condition Look up'!$A$3:$H$3,0)),"")</f>
        <v/>
      </c>
      <c r="AA116" s="173"/>
      <c r="AB116" s="269" t="str">
        <f>IF(AA116="","",IF(VLOOKUP(AA116,'G-3 Multipliers'!$L$3:$N$6,2,FALSE)=0,"Spatial Data Missing",VLOOKUP(AA116,'G-3 Multipliers'!$L$3:$N$6,2,FALSE)))</f>
        <v/>
      </c>
      <c r="AC116" s="176" t="str">
        <f>IF(AA116="","",IF(VLOOKUP(AA116,'G-3 Multipliers'!$L$3:$N$6,3,FALSE)=0,"Spatial Data Missing",VLOOKUP(AA116,'G-3 Multipliers'!$L$3:$N$6,3,FALSE)))</f>
        <v/>
      </c>
      <c r="AD116" s="239" t="str">
        <f t="shared" si="16"/>
        <v/>
      </c>
      <c r="AE116" s="275"/>
      <c r="AF116" s="275"/>
      <c r="AG116" s="175" t="str">
        <f t="shared" si="19"/>
        <v/>
      </c>
      <c r="AH116" s="242" t="str">
        <f t="shared" si="20"/>
        <v/>
      </c>
      <c r="AI116" s="335" t="str">
        <f>IF(AH116="Check Data","Check Data",IFERROR(VLOOKUP(AH116,'G-4 Temporal multipliers'!$A$4:$C$36,3,FALSE),""))</f>
        <v/>
      </c>
      <c r="AJ116" s="239" t="str">
        <f>IF(S116="","",VLOOKUP(S116,'G-3 Multipliers'!$A$2:$E$130,4,FALSE))</f>
        <v/>
      </c>
      <c r="AK116" s="175" t="str">
        <f t="shared" si="21"/>
        <v/>
      </c>
      <c r="AL116" s="175" t="str">
        <f t="shared" si="22"/>
        <v/>
      </c>
      <c r="AM116" s="176" t="str">
        <f>IFERROR(IF(F116="","",IF(AH116="Check Data","Check Data",VLOOKUP(AL116, 'G-3 Multipliers'!$P$2:$Q$6,2,FALSE))),””)</f>
        <v/>
      </c>
      <c r="AN116" s="266"/>
      <c r="AO116" s="269" t="str">
        <f>IF(AN116="","",IF(VLOOKUP(AN116,'G-3 Multipliers'!$S$3:$T$9,2,FALSE)=0,"Spatial Data Missing",VLOOKUP(AN116,'G-3 Multipliers'!$S$3:$T$9,2,FALSE)))</f>
        <v/>
      </c>
      <c r="AP116" s="207" t="str">
        <f t="shared" si="23"/>
        <v/>
      </c>
      <c r="AQ116" s="336"/>
      <c r="AR116" s="181"/>
    </row>
    <row r="117" spans="1:44" x14ac:dyDescent="0.25">
      <c r="A117" s="35" t="str">
        <f>IF(E117="","",IF(ISNA(VLOOKUP($E117,'D-1 Off Site Habitat Baseline'!$D$1:$O$258,2,FALSE)),"",(VLOOKUP($E117,'D-1 Off Site Habitat Baseline'!$D$1:$O$258,2,FALSE))))</f>
        <v/>
      </c>
      <c r="B117" s="35" t="str">
        <f>IF(E117="","",IF(ISNA(VLOOKUP($E117,'D-1 Off Site Habitat Baseline'!$D$1:$O$258,3,FALSE)),"",(VLOOKUP($E117,'D-1 Off Site Habitat Baseline'!$D$1:$O$258,3,FALSE))))</f>
        <v/>
      </c>
      <c r="C117" s="35" t="str">
        <f>IFERROR(INDEX('G-8 Condition Look up'!$I$4:$I$131,MATCH(S117,'G-8 Condition Look up'!$A$4:$A$131,0)),"")</f>
        <v/>
      </c>
      <c r="E117" s="329" t="str">
        <f>'D-1 Off Site Habitat Baseline'!AL116</f>
        <v/>
      </c>
      <c r="F117" s="175" t="str">
        <f>IF(E117="","",IF(ISNA(VLOOKUP($E117,'D-1 Off Site Habitat Baseline'!$D$1:$O$258,4,FALSE)),"",(VLOOKUP($E117,'D-1 Off Site Habitat Baseline'!$D$1:$O$258,4,FALSE))))</f>
        <v/>
      </c>
      <c r="G117" s="175" t="str">
        <f>IF(E117="","",IF(ISNA(VLOOKUP($E117,'D-1 Off Site Habitat Baseline'!$D$1:$O$258,5,FALSE)),"",(VLOOKUP($E117,'D-1 Off Site Habitat Baseline'!$D$1:$O$258,5,FALSE))))</f>
        <v/>
      </c>
      <c r="H117" s="175" t="str">
        <f>IF(E117="","",IF(ISNA(VLOOKUP($E117,'D-1 Off Site Habitat Baseline'!$D$1:$O$258,6,FALSE)),"",(VLOOKUP($E117,'D-1 Off Site Habitat Baseline'!$D$1:$O$258,6,FALSE))))</f>
        <v/>
      </c>
      <c r="I117" s="175" t="str">
        <f>IF(E117="","",IF(ISNA(VLOOKUP($E117,'D-1 Off Site Habitat Baseline'!$D$1:$O$258,7,FALSE)),"",(VLOOKUP($E117,'D-1 Off Site Habitat Baseline'!$D$1:$O$258,7,FALSE))))</f>
        <v/>
      </c>
      <c r="J117" s="175" t="str">
        <f>IF(E117="","",IF(ISNA(VLOOKUP($E117,'D-1 Off Site Habitat Baseline'!$D$1:$O$258,8,FALSE)),"",(VLOOKUP($E117,'D-1 Off Site Habitat Baseline'!$D$1:$O$258,8,FALSE))))</f>
        <v/>
      </c>
      <c r="K117" s="175" t="str">
        <f>IF(E117="","",IF(ISNA(VLOOKUP($E117,'D-1 Off Site Habitat Baseline'!$D$1:$O$258,9,FALSE)),"",(VLOOKUP($E117,'D-1 Off Site Habitat Baseline'!$D$1:$O$258,9,FALSE))))</f>
        <v/>
      </c>
      <c r="L117" s="175" t="str">
        <f>IF(E117="","",IF(ISNA(VLOOKUP($E117,'D-1 Off Site Habitat Baseline'!$D$1:$O$258,11,FALSE)),"",(VLOOKUP($E117,'D-1 Off Site Habitat Baseline'!$D$1:$O$258,11,FALSE))))</f>
        <v/>
      </c>
      <c r="M117" s="175" t="str">
        <f>IF(E117="","",IF(ISNA(VLOOKUP($E117,'D-1 Off Site Habitat Baseline'!$D$1:$O$258,12,FALSE)),"",(VLOOKUP($E117,'D-1 Off Site Habitat Baseline'!$D$1:$O$258,12,FALSE))))</f>
        <v/>
      </c>
      <c r="N117" s="175" t="str">
        <f>IF(E117="","",IF(ISNA(VLOOKUP($E117,'D-1 Off Site Habitat Baseline'!$D$1:$X$258,14,FALSE)),"",(VLOOKUP($E117,'D-1 Off Site Habitat Baseline'!$D$1:$X$258,14,FALSE))))</f>
        <v/>
      </c>
      <c r="O117" s="176" t="str">
        <f>IF(E117="","",IF(ISNA(VLOOKUP($E117,'D-1 Off Site Habitat Baseline'!$D$1:$X$258,13,FALSE)),"",(VLOOKUP($E117,'D-1 Off Site Habitat Baseline'!$D$1:$X$258,13,FALSE))))</f>
        <v/>
      </c>
      <c r="P117" s="337" t="str">
        <f>IFERROR(INDEX('G-1 All Habitats'!$AG$3:$AG$15,MATCH(Q117,'G-1 All Habitats'!$AF$3:$AF$15,0)),"")</f>
        <v/>
      </c>
      <c r="Q117" s="331" t="str">
        <f t="shared" si="24"/>
        <v/>
      </c>
      <c r="R117" s="332" t="str">
        <f t="shared" si="25"/>
        <v/>
      </c>
      <c r="S117" s="338" t="str">
        <f>IFERROR(INDEX('G-1 All Habitats'!$B$3:$B$130,MATCH(R117,'G-1 All Habitats'!$A$3:$A$130,0)),"")</f>
        <v/>
      </c>
      <c r="T117" s="179" t="str">
        <f t="shared" si="17"/>
        <v/>
      </c>
      <c r="U117" s="172" t="str">
        <f t="shared" si="18"/>
        <v/>
      </c>
      <c r="V117" s="334" t="str">
        <f t="shared" si="15"/>
        <v/>
      </c>
      <c r="W117" s="175" t="str">
        <f>IF(S117="","",VLOOKUP(S117,'G-1 All Habitats'!$B$2:$M$130,10,FALSE))</f>
        <v/>
      </c>
      <c r="X117" s="175" t="str">
        <f>IFERROR(VLOOKUP(W117,'G-1 All Habitats'!$V$3:$W$7,2,FALSE),"")</f>
        <v/>
      </c>
      <c r="Y117" s="275"/>
      <c r="Z117" s="176" t="str">
        <f>IFERROR(INDEX('G-8 Condition Look up'!$A$3:$H$131,MATCH(S117,'G-8 Condition Look up'!$A$3:$A$131,0),MATCH(Y117,'G-8 Condition Look up'!$A$3:$H$3,0)),"")</f>
        <v/>
      </c>
      <c r="AA117" s="173"/>
      <c r="AB117" s="269" t="str">
        <f>IF(AA117="","",IF(VLOOKUP(AA117,'G-3 Multipliers'!$L$3:$N$6,2,FALSE)=0,"Spatial Data Missing",VLOOKUP(AA117,'G-3 Multipliers'!$L$3:$N$6,2,FALSE)))</f>
        <v/>
      </c>
      <c r="AC117" s="176" t="str">
        <f>IF(AA117="","",IF(VLOOKUP(AA117,'G-3 Multipliers'!$L$3:$N$6,3,FALSE)=0,"Spatial Data Missing",VLOOKUP(AA117,'G-3 Multipliers'!$L$3:$N$6,3,FALSE)))</f>
        <v/>
      </c>
      <c r="AD117" s="239" t="str">
        <f t="shared" si="16"/>
        <v/>
      </c>
      <c r="AE117" s="275"/>
      <c r="AF117" s="275"/>
      <c r="AG117" s="175" t="str">
        <f t="shared" si="19"/>
        <v/>
      </c>
      <c r="AH117" s="242" t="str">
        <f t="shared" si="20"/>
        <v/>
      </c>
      <c r="AI117" s="335" t="str">
        <f>IF(AH117="Check Data","Check Data",IFERROR(VLOOKUP(AH117,'G-4 Temporal multipliers'!$A$4:$C$36,3,FALSE),""))</f>
        <v/>
      </c>
      <c r="AJ117" s="239" t="str">
        <f>IF(S117="","",VLOOKUP(S117,'G-3 Multipliers'!$A$2:$E$130,4,FALSE))</f>
        <v/>
      </c>
      <c r="AK117" s="175" t="str">
        <f t="shared" si="21"/>
        <v/>
      </c>
      <c r="AL117" s="175" t="str">
        <f t="shared" si="22"/>
        <v/>
      </c>
      <c r="AM117" s="176" t="str">
        <f>IFERROR(IF(F117="","",IF(AH117="Check Data","Check Data",VLOOKUP(AL117, 'G-3 Multipliers'!$P$2:$Q$6,2,FALSE))),””)</f>
        <v/>
      </c>
      <c r="AN117" s="266"/>
      <c r="AO117" s="269" t="str">
        <f>IF(AN117="","",IF(VLOOKUP(AN117,'G-3 Multipliers'!$S$3:$T$9,2,FALSE)=0,"Spatial Data Missing",VLOOKUP(AN117,'G-3 Multipliers'!$S$3:$T$9,2,FALSE)))</f>
        <v/>
      </c>
      <c r="AP117" s="207" t="str">
        <f t="shared" si="23"/>
        <v/>
      </c>
      <c r="AQ117" s="336"/>
      <c r="AR117" s="181"/>
    </row>
    <row r="118" spans="1:44" x14ac:dyDescent="0.25">
      <c r="A118" s="35" t="str">
        <f>IF(E118="","",IF(ISNA(VLOOKUP($E118,'D-1 Off Site Habitat Baseline'!$D$1:$O$258,2,FALSE)),"",(VLOOKUP($E118,'D-1 Off Site Habitat Baseline'!$D$1:$O$258,2,FALSE))))</f>
        <v/>
      </c>
      <c r="B118" s="35" t="str">
        <f>IF(E118="","",IF(ISNA(VLOOKUP($E118,'D-1 Off Site Habitat Baseline'!$D$1:$O$258,3,FALSE)),"",(VLOOKUP($E118,'D-1 Off Site Habitat Baseline'!$D$1:$O$258,3,FALSE))))</f>
        <v/>
      </c>
      <c r="C118" s="35" t="str">
        <f>IFERROR(INDEX('G-8 Condition Look up'!$I$4:$I$131,MATCH(S118,'G-8 Condition Look up'!$A$4:$A$131,0)),"")</f>
        <v/>
      </c>
      <c r="E118" s="329" t="str">
        <f>'D-1 Off Site Habitat Baseline'!AL117</f>
        <v/>
      </c>
      <c r="F118" s="175" t="str">
        <f>IF(E118="","",IF(ISNA(VLOOKUP($E118,'D-1 Off Site Habitat Baseline'!$D$1:$O$258,4,FALSE)),"",(VLOOKUP($E118,'D-1 Off Site Habitat Baseline'!$D$1:$O$258,4,FALSE))))</f>
        <v/>
      </c>
      <c r="G118" s="175" t="str">
        <f>IF(E118="","",IF(ISNA(VLOOKUP($E118,'D-1 Off Site Habitat Baseline'!$D$1:$O$258,5,FALSE)),"",(VLOOKUP($E118,'D-1 Off Site Habitat Baseline'!$D$1:$O$258,5,FALSE))))</f>
        <v/>
      </c>
      <c r="H118" s="175" t="str">
        <f>IF(E118="","",IF(ISNA(VLOOKUP($E118,'D-1 Off Site Habitat Baseline'!$D$1:$O$258,6,FALSE)),"",(VLOOKUP($E118,'D-1 Off Site Habitat Baseline'!$D$1:$O$258,6,FALSE))))</f>
        <v/>
      </c>
      <c r="I118" s="175" t="str">
        <f>IF(E118="","",IF(ISNA(VLOOKUP($E118,'D-1 Off Site Habitat Baseline'!$D$1:$O$258,7,FALSE)),"",(VLOOKUP($E118,'D-1 Off Site Habitat Baseline'!$D$1:$O$258,7,FALSE))))</f>
        <v/>
      </c>
      <c r="J118" s="175" t="str">
        <f>IF(E118="","",IF(ISNA(VLOOKUP($E118,'D-1 Off Site Habitat Baseline'!$D$1:$O$258,8,FALSE)),"",(VLOOKUP($E118,'D-1 Off Site Habitat Baseline'!$D$1:$O$258,8,FALSE))))</f>
        <v/>
      </c>
      <c r="K118" s="175" t="str">
        <f>IF(E118="","",IF(ISNA(VLOOKUP($E118,'D-1 Off Site Habitat Baseline'!$D$1:$O$258,9,FALSE)),"",(VLOOKUP($E118,'D-1 Off Site Habitat Baseline'!$D$1:$O$258,9,FALSE))))</f>
        <v/>
      </c>
      <c r="L118" s="175" t="str">
        <f>IF(E118="","",IF(ISNA(VLOOKUP($E118,'D-1 Off Site Habitat Baseline'!$D$1:$O$258,11,FALSE)),"",(VLOOKUP($E118,'D-1 Off Site Habitat Baseline'!$D$1:$O$258,11,FALSE))))</f>
        <v/>
      </c>
      <c r="M118" s="175" t="str">
        <f>IF(E118="","",IF(ISNA(VLOOKUP($E118,'D-1 Off Site Habitat Baseline'!$D$1:$O$258,12,FALSE)),"",(VLOOKUP($E118,'D-1 Off Site Habitat Baseline'!$D$1:$O$258,12,FALSE))))</f>
        <v/>
      </c>
      <c r="N118" s="175" t="str">
        <f>IF(E118="","",IF(ISNA(VLOOKUP($E118,'D-1 Off Site Habitat Baseline'!$D$1:$X$258,14,FALSE)),"",(VLOOKUP($E118,'D-1 Off Site Habitat Baseline'!$D$1:$X$258,14,FALSE))))</f>
        <v/>
      </c>
      <c r="O118" s="176" t="str">
        <f>IF(E118="","",IF(ISNA(VLOOKUP($E118,'D-1 Off Site Habitat Baseline'!$D$1:$X$258,13,FALSE)),"",(VLOOKUP($E118,'D-1 Off Site Habitat Baseline'!$D$1:$X$258,13,FALSE))))</f>
        <v/>
      </c>
      <c r="P118" s="337" t="str">
        <f>IFERROR(INDEX('G-1 All Habitats'!$AG$3:$AG$15,MATCH(Q118,'G-1 All Habitats'!$AF$3:$AF$15,0)),"")</f>
        <v/>
      </c>
      <c r="Q118" s="331" t="str">
        <f t="shared" si="24"/>
        <v/>
      </c>
      <c r="R118" s="332" t="str">
        <f t="shared" si="25"/>
        <v/>
      </c>
      <c r="S118" s="338" t="str">
        <f>IFERROR(INDEX('G-1 All Habitats'!$B$3:$B$130,MATCH(R118,'G-1 All Habitats'!$A$3:$A$130,0)),"")</f>
        <v/>
      </c>
      <c r="T118" s="179" t="str">
        <f t="shared" si="17"/>
        <v/>
      </c>
      <c r="U118" s="172" t="str">
        <f t="shared" si="18"/>
        <v/>
      </c>
      <c r="V118" s="334" t="str">
        <f t="shared" si="15"/>
        <v/>
      </c>
      <c r="W118" s="175" t="str">
        <f>IF(S118="","",VLOOKUP(S118,'G-1 All Habitats'!$B$2:$M$130,10,FALSE))</f>
        <v/>
      </c>
      <c r="X118" s="175" t="str">
        <f>IFERROR(VLOOKUP(W118,'G-1 All Habitats'!$V$3:$W$7,2,FALSE),"")</f>
        <v/>
      </c>
      <c r="Y118" s="275"/>
      <c r="Z118" s="176" t="str">
        <f>IFERROR(INDEX('G-8 Condition Look up'!$A$3:$H$131,MATCH(S118,'G-8 Condition Look up'!$A$3:$A$131,0),MATCH(Y118,'G-8 Condition Look up'!$A$3:$H$3,0)),"")</f>
        <v/>
      </c>
      <c r="AA118" s="173"/>
      <c r="AB118" s="269" t="str">
        <f>IF(AA118="","",IF(VLOOKUP(AA118,'G-3 Multipliers'!$L$3:$N$6,2,FALSE)=0,"Spatial Data Missing",VLOOKUP(AA118,'G-3 Multipliers'!$L$3:$N$6,2,FALSE)))</f>
        <v/>
      </c>
      <c r="AC118" s="176" t="str">
        <f>IF(AA118="","",IF(VLOOKUP(AA118,'G-3 Multipliers'!$L$3:$N$6,3,FALSE)=0,"Spatial Data Missing",VLOOKUP(AA118,'G-3 Multipliers'!$L$3:$N$6,3,FALSE)))</f>
        <v/>
      </c>
      <c r="AD118" s="239" t="str">
        <f t="shared" si="16"/>
        <v/>
      </c>
      <c r="AE118" s="275"/>
      <c r="AF118" s="275"/>
      <c r="AG118" s="175" t="str">
        <f t="shared" si="19"/>
        <v/>
      </c>
      <c r="AH118" s="242" t="str">
        <f t="shared" si="20"/>
        <v/>
      </c>
      <c r="AI118" s="335" t="str">
        <f>IF(AH118="Check Data","Check Data",IFERROR(VLOOKUP(AH118,'G-4 Temporal multipliers'!$A$4:$C$36,3,FALSE),""))</f>
        <v/>
      </c>
      <c r="AJ118" s="239" t="str">
        <f>IF(S118="","",VLOOKUP(S118,'G-3 Multipliers'!$A$2:$E$130,4,FALSE))</f>
        <v/>
      </c>
      <c r="AK118" s="175" t="str">
        <f t="shared" si="21"/>
        <v/>
      </c>
      <c r="AL118" s="175" t="str">
        <f t="shared" si="22"/>
        <v/>
      </c>
      <c r="AM118" s="176" t="str">
        <f>IFERROR(IF(F118="","",IF(AH118="Check Data","Check Data",VLOOKUP(AL118, 'G-3 Multipliers'!$P$2:$Q$6,2,FALSE))),””)</f>
        <v/>
      </c>
      <c r="AN118" s="266"/>
      <c r="AO118" s="269" t="str">
        <f>IF(AN118="","",IF(VLOOKUP(AN118,'G-3 Multipliers'!$S$3:$T$9,2,FALSE)=0,"Spatial Data Missing",VLOOKUP(AN118,'G-3 Multipliers'!$S$3:$T$9,2,FALSE)))</f>
        <v/>
      </c>
      <c r="AP118" s="207" t="str">
        <f t="shared" si="23"/>
        <v/>
      </c>
      <c r="AQ118" s="336"/>
      <c r="AR118" s="181"/>
    </row>
    <row r="119" spans="1:44" x14ac:dyDescent="0.25">
      <c r="A119" s="35" t="str">
        <f>IF(E119="","",IF(ISNA(VLOOKUP($E119,'D-1 Off Site Habitat Baseline'!$D$1:$O$258,2,FALSE)),"",(VLOOKUP($E119,'D-1 Off Site Habitat Baseline'!$D$1:$O$258,2,FALSE))))</f>
        <v/>
      </c>
      <c r="B119" s="35" t="str">
        <f>IF(E119="","",IF(ISNA(VLOOKUP($E119,'D-1 Off Site Habitat Baseline'!$D$1:$O$258,3,FALSE)),"",(VLOOKUP($E119,'D-1 Off Site Habitat Baseline'!$D$1:$O$258,3,FALSE))))</f>
        <v/>
      </c>
      <c r="C119" s="35" t="str">
        <f>IFERROR(INDEX('G-8 Condition Look up'!$I$4:$I$131,MATCH(S119,'G-8 Condition Look up'!$A$4:$A$131,0)),"")</f>
        <v/>
      </c>
      <c r="E119" s="329" t="str">
        <f>'D-1 Off Site Habitat Baseline'!AL118</f>
        <v/>
      </c>
      <c r="F119" s="175" t="str">
        <f>IF(E119="","",IF(ISNA(VLOOKUP($E119,'D-1 Off Site Habitat Baseline'!$D$1:$O$258,4,FALSE)),"",(VLOOKUP($E119,'D-1 Off Site Habitat Baseline'!$D$1:$O$258,4,FALSE))))</f>
        <v/>
      </c>
      <c r="G119" s="175" t="str">
        <f>IF(E119="","",IF(ISNA(VLOOKUP($E119,'D-1 Off Site Habitat Baseline'!$D$1:$O$258,5,FALSE)),"",(VLOOKUP($E119,'D-1 Off Site Habitat Baseline'!$D$1:$O$258,5,FALSE))))</f>
        <v/>
      </c>
      <c r="H119" s="175" t="str">
        <f>IF(E119="","",IF(ISNA(VLOOKUP($E119,'D-1 Off Site Habitat Baseline'!$D$1:$O$258,6,FALSE)),"",(VLOOKUP($E119,'D-1 Off Site Habitat Baseline'!$D$1:$O$258,6,FALSE))))</f>
        <v/>
      </c>
      <c r="I119" s="175" t="str">
        <f>IF(E119="","",IF(ISNA(VLOOKUP($E119,'D-1 Off Site Habitat Baseline'!$D$1:$O$258,7,FALSE)),"",(VLOOKUP($E119,'D-1 Off Site Habitat Baseline'!$D$1:$O$258,7,FALSE))))</f>
        <v/>
      </c>
      <c r="J119" s="175" t="str">
        <f>IF(E119="","",IF(ISNA(VLOOKUP($E119,'D-1 Off Site Habitat Baseline'!$D$1:$O$258,8,FALSE)),"",(VLOOKUP($E119,'D-1 Off Site Habitat Baseline'!$D$1:$O$258,8,FALSE))))</f>
        <v/>
      </c>
      <c r="K119" s="175" t="str">
        <f>IF(E119="","",IF(ISNA(VLOOKUP($E119,'D-1 Off Site Habitat Baseline'!$D$1:$O$258,9,FALSE)),"",(VLOOKUP($E119,'D-1 Off Site Habitat Baseline'!$D$1:$O$258,9,FALSE))))</f>
        <v/>
      </c>
      <c r="L119" s="175" t="str">
        <f>IF(E119="","",IF(ISNA(VLOOKUP($E119,'D-1 Off Site Habitat Baseline'!$D$1:$O$258,11,FALSE)),"",(VLOOKUP($E119,'D-1 Off Site Habitat Baseline'!$D$1:$O$258,11,FALSE))))</f>
        <v/>
      </c>
      <c r="M119" s="175" t="str">
        <f>IF(E119="","",IF(ISNA(VLOOKUP($E119,'D-1 Off Site Habitat Baseline'!$D$1:$O$258,12,FALSE)),"",(VLOOKUP($E119,'D-1 Off Site Habitat Baseline'!$D$1:$O$258,12,FALSE))))</f>
        <v/>
      </c>
      <c r="N119" s="175" t="str">
        <f>IF(E119="","",IF(ISNA(VLOOKUP($E119,'D-1 Off Site Habitat Baseline'!$D$1:$X$258,14,FALSE)),"",(VLOOKUP($E119,'D-1 Off Site Habitat Baseline'!$D$1:$X$258,14,FALSE))))</f>
        <v/>
      </c>
      <c r="O119" s="176" t="str">
        <f>IF(E119="","",IF(ISNA(VLOOKUP($E119,'D-1 Off Site Habitat Baseline'!$D$1:$X$258,13,FALSE)),"",(VLOOKUP($E119,'D-1 Off Site Habitat Baseline'!$D$1:$X$258,13,FALSE))))</f>
        <v/>
      </c>
      <c r="P119" s="337" t="str">
        <f>IFERROR(INDEX('G-1 All Habitats'!$AG$3:$AG$15,MATCH(Q119,'G-1 All Habitats'!$AF$3:$AF$15,0)),"")</f>
        <v/>
      </c>
      <c r="Q119" s="331" t="str">
        <f t="shared" si="24"/>
        <v/>
      </c>
      <c r="R119" s="332" t="str">
        <f t="shared" si="25"/>
        <v/>
      </c>
      <c r="S119" s="338" t="str">
        <f>IFERROR(INDEX('G-1 All Habitats'!$B$3:$B$130,MATCH(R119,'G-1 All Habitats'!$A$3:$A$130,0)),"")</f>
        <v/>
      </c>
      <c r="T119" s="179" t="str">
        <f t="shared" si="17"/>
        <v/>
      </c>
      <c r="U119" s="172" t="str">
        <f t="shared" si="18"/>
        <v/>
      </c>
      <c r="V119" s="334" t="str">
        <f t="shared" si="15"/>
        <v/>
      </c>
      <c r="W119" s="175" t="str">
        <f>IF(S119="","",VLOOKUP(S119,'G-1 All Habitats'!$B$2:$M$130,10,FALSE))</f>
        <v/>
      </c>
      <c r="X119" s="175" t="str">
        <f>IFERROR(VLOOKUP(W119,'G-1 All Habitats'!$V$3:$W$7,2,FALSE),"")</f>
        <v/>
      </c>
      <c r="Y119" s="275"/>
      <c r="Z119" s="176" t="str">
        <f>IFERROR(INDEX('G-8 Condition Look up'!$A$3:$H$131,MATCH(S119,'G-8 Condition Look up'!$A$3:$A$131,0),MATCH(Y119,'G-8 Condition Look up'!$A$3:$H$3,0)),"")</f>
        <v/>
      </c>
      <c r="AA119" s="173"/>
      <c r="AB119" s="269" t="str">
        <f>IF(AA119="","",IF(VLOOKUP(AA119,'G-3 Multipliers'!$L$3:$N$6,2,FALSE)=0,"Spatial Data Missing",VLOOKUP(AA119,'G-3 Multipliers'!$L$3:$N$6,2,FALSE)))</f>
        <v/>
      </c>
      <c r="AC119" s="176" t="str">
        <f>IF(AA119="","",IF(VLOOKUP(AA119,'G-3 Multipliers'!$L$3:$N$6,3,FALSE)=0,"Spatial Data Missing",VLOOKUP(AA119,'G-3 Multipliers'!$L$3:$N$6,3,FALSE)))</f>
        <v/>
      </c>
      <c r="AD119" s="239" t="str">
        <f t="shared" si="16"/>
        <v/>
      </c>
      <c r="AE119" s="275"/>
      <c r="AF119" s="275"/>
      <c r="AG119" s="175" t="str">
        <f t="shared" si="19"/>
        <v/>
      </c>
      <c r="AH119" s="242" t="str">
        <f t="shared" si="20"/>
        <v/>
      </c>
      <c r="AI119" s="335" t="str">
        <f>IF(AH119="Check Data","Check Data",IFERROR(VLOOKUP(AH119,'G-4 Temporal multipliers'!$A$4:$C$36,3,FALSE),""))</f>
        <v/>
      </c>
      <c r="AJ119" s="239" t="str">
        <f>IF(S119="","",VLOOKUP(S119,'G-3 Multipliers'!$A$2:$E$130,4,FALSE))</f>
        <v/>
      </c>
      <c r="AK119" s="175" t="str">
        <f t="shared" si="21"/>
        <v/>
      </c>
      <c r="AL119" s="175" t="str">
        <f t="shared" si="22"/>
        <v/>
      </c>
      <c r="AM119" s="176" t="str">
        <f>IFERROR(IF(F119="","",IF(AH119="Check Data","Check Data",VLOOKUP(AL119, 'G-3 Multipliers'!$P$2:$Q$6,2,FALSE))),””)</f>
        <v/>
      </c>
      <c r="AN119" s="266"/>
      <c r="AO119" s="269" t="str">
        <f>IF(AN119="","",IF(VLOOKUP(AN119,'G-3 Multipliers'!$S$3:$T$9,2,FALSE)=0,"Spatial Data Missing",VLOOKUP(AN119,'G-3 Multipliers'!$S$3:$T$9,2,FALSE)))</f>
        <v/>
      </c>
      <c r="AP119" s="207" t="str">
        <f t="shared" si="23"/>
        <v/>
      </c>
      <c r="AQ119" s="336"/>
      <c r="AR119" s="181"/>
    </row>
    <row r="120" spans="1:44" x14ac:dyDescent="0.25">
      <c r="A120" s="35" t="str">
        <f>IF(E120="","",IF(ISNA(VLOOKUP($E120,'D-1 Off Site Habitat Baseline'!$D$1:$O$258,2,FALSE)),"",(VLOOKUP($E120,'D-1 Off Site Habitat Baseline'!$D$1:$O$258,2,FALSE))))</f>
        <v/>
      </c>
      <c r="B120" s="35" t="str">
        <f>IF(E120="","",IF(ISNA(VLOOKUP($E120,'D-1 Off Site Habitat Baseline'!$D$1:$O$258,3,FALSE)),"",(VLOOKUP($E120,'D-1 Off Site Habitat Baseline'!$D$1:$O$258,3,FALSE))))</f>
        <v/>
      </c>
      <c r="C120" s="35" t="str">
        <f>IFERROR(INDEX('G-8 Condition Look up'!$I$4:$I$131,MATCH(S120,'G-8 Condition Look up'!$A$4:$A$131,0)),"")</f>
        <v/>
      </c>
      <c r="E120" s="329" t="str">
        <f>'D-1 Off Site Habitat Baseline'!AL119</f>
        <v/>
      </c>
      <c r="F120" s="175" t="str">
        <f>IF(E120="","",IF(ISNA(VLOOKUP($E120,'D-1 Off Site Habitat Baseline'!$D$1:$O$258,4,FALSE)),"",(VLOOKUP($E120,'D-1 Off Site Habitat Baseline'!$D$1:$O$258,4,FALSE))))</f>
        <v/>
      </c>
      <c r="G120" s="175" t="str">
        <f>IF(E120="","",IF(ISNA(VLOOKUP($E120,'D-1 Off Site Habitat Baseline'!$D$1:$O$258,5,FALSE)),"",(VLOOKUP($E120,'D-1 Off Site Habitat Baseline'!$D$1:$O$258,5,FALSE))))</f>
        <v/>
      </c>
      <c r="H120" s="175" t="str">
        <f>IF(E120="","",IF(ISNA(VLOOKUP($E120,'D-1 Off Site Habitat Baseline'!$D$1:$O$258,6,FALSE)),"",(VLOOKUP($E120,'D-1 Off Site Habitat Baseline'!$D$1:$O$258,6,FALSE))))</f>
        <v/>
      </c>
      <c r="I120" s="175" t="str">
        <f>IF(E120="","",IF(ISNA(VLOOKUP($E120,'D-1 Off Site Habitat Baseline'!$D$1:$O$258,7,FALSE)),"",(VLOOKUP($E120,'D-1 Off Site Habitat Baseline'!$D$1:$O$258,7,FALSE))))</f>
        <v/>
      </c>
      <c r="J120" s="175" t="str">
        <f>IF(E120="","",IF(ISNA(VLOOKUP($E120,'D-1 Off Site Habitat Baseline'!$D$1:$O$258,8,FALSE)),"",(VLOOKUP($E120,'D-1 Off Site Habitat Baseline'!$D$1:$O$258,8,FALSE))))</f>
        <v/>
      </c>
      <c r="K120" s="175" t="str">
        <f>IF(E120="","",IF(ISNA(VLOOKUP($E120,'D-1 Off Site Habitat Baseline'!$D$1:$O$258,9,FALSE)),"",(VLOOKUP($E120,'D-1 Off Site Habitat Baseline'!$D$1:$O$258,9,FALSE))))</f>
        <v/>
      </c>
      <c r="L120" s="175" t="str">
        <f>IF(E120="","",IF(ISNA(VLOOKUP($E120,'D-1 Off Site Habitat Baseline'!$D$1:$O$258,11,FALSE)),"",(VLOOKUP($E120,'D-1 Off Site Habitat Baseline'!$D$1:$O$258,11,FALSE))))</f>
        <v/>
      </c>
      <c r="M120" s="175" t="str">
        <f>IF(E120="","",IF(ISNA(VLOOKUP($E120,'D-1 Off Site Habitat Baseline'!$D$1:$O$258,12,FALSE)),"",(VLOOKUP($E120,'D-1 Off Site Habitat Baseline'!$D$1:$O$258,12,FALSE))))</f>
        <v/>
      </c>
      <c r="N120" s="175" t="str">
        <f>IF(E120="","",IF(ISNA(VLOOKUP($E120,'D-1 Off Site Habitat Baseline'!$D$1:$X$258,14,FALSE)),"",(VLOOKUP($E120,'D-1 Off Site Habitat Baseline'!$D$1:$X$258,14,FALSE))))</f>
        <v/>
      </c>
      <c r="O120" s="176" t="str">
        <f>IF(E120="","",IF(ISNA(VLOOKUP($E120,'D-1 Off Site Habitat Baseline'!$D$1:$X$258,13,FALSE)),"",(VLOOKUP($E120,'D-1 Off Site Habitat Baseline'!$D$1:$X$258,13,FALSE))))</f>
        <v/>
      </c>
      <c r="P120" s="337" t="str">
        <f>IFERROR(INDEX('G-1 All Habitats'!$AG$3:$AG$15,MATCH(Q120,'G-1 All Habitats'!$AF$3:$AF$15,0)),"")</f>
        <v/>
      </c>
      <c r="Q120" s="331" t="str">
        <f t="shared" si="24"/>
        <v/>
      </c>
      <c r="R120" s="332" t="str">
        <f t="shared" si="25"/>
        <v/>
      </c>
      <c r="S120" s="338" t="str">
        <f>IFERROR(INDEX('G-1 All Habitats'!$B$3:$B$130,MATCH(R120,'G-1 All Habitats'!$A$3:$A$130,0)),"")</f>
        <v/>
      </c>
      <c r="T120" s="179" t="str">
        <f t="shared" si="17"/>
        <v/>
      </c>
      <c r="U120" s="172" t="str">
        <f t="shared" si="18"/>
        <v/>
      </c>
      <c r="V120" s="334" t="str">
        <f t="shared" si="15"/>
        <v/>
      </c>
      <c r="W120" s="175" t="str">
        <f>IF(S120="","",VLOOKUP(S120,'G-1 All Habitats'!$B$2:$M$130,10,FALSE))</f>
        <v/>
      </c>
      <c r="X120" s="175" t="str">
        <f>IFERROR(VLOOKUP(W120,'G-1 All Habitats'!$V$3:$W$7,2,FALSE),"")</f>
        <v/>
      </c>
      <c r="Y120" s="275"/>
      <c r="Z120" s="176" t="str">
        <f>IFERROR(INDEX('G-8 Condition Look up'!$A$3:$H$131,MATCH(S120,'G-8 Condition Look up'!$A$3:$A$131,0),MATCH(Y120,'G-8 Condition Look up'!$A$3:$H$3,0)),"")</f>
        <v/>
      </c>
      <c r="AA120" s="173"/>
      <c r="AB120" s="269" t="str">
        <f>IF(AA120="","",IF(VLOOKUP(AA120,'G-3 Multipliers'!$L$3:$N$6,2,FALSE)=0,"Spatial Data Missing",VLOOKUP(AA120,'G-3 Multipliers'!$L$3:$N$6,2,FALSE)))</f>
        <v/>
      </c>
      <c r="AC120" s="176" t="str">
        <f>IF(AA120="","",IF(VLOOKUP(AA120,'G-3 Multipliers'!$L$3:$N$6,3,FALSE)=0,"Spatial Data Missing",VLOOKUP(AA120,'G-3 Multipliers'!$L$3:$N$6,3,FALSE)))</f>
        <v/>
      </c>
      <c r="AD120" s="239" t="str">
        <f t="shared" si="16"/>
        <v/>
      </c>
      <c r="AE120" s="275"/>
      <c r="AF120" s="275"/>
      <c r="AG120" s="175" t="str">
        <f t="shared" si="19"/>
        <v/>
      </c>
      <c r="AH120" s="242" t="str">
        <f t="shared" si="20"/>
        <v/>
      </c>
      <c r="AI120" s="335" t="str">
        <f>IF(AH120="Check Data","Check Data",IFERROR(VLOOKUP(AH120,'G-4 Temporal multipliers'!$A$4:$C$36,3,FALSE),""))</f>
        <v/>
      </c>
      <c r="AJ120" s="239" t="str">
        <f>IF(S120="","",VLOOKUP(S120,'G-3 Multipliers'!$A$2:$E$130,4,FALSE))</f>
        <v/>
      </c>
      <c r="AK120" s="175" t="str">
        <f t="shared" si="21"/>
        <v/>
      </c>
      <c r="AL120" s="175" t="str">
        <f t="shared" si="22"/>
        <v/>
      </c>
      <c r="AM120" s="176" t="str">
        <f>IFERROR(IF(F120="","",IF(AH120="Check Data","Check Data",VLOOKUP(AL120, 'G-3 Multipliers'!$P$2:$Q$6,2,FALSE))),””)</f>
        <v/>
      </c>
      <c r="AN120" s="266"/>
      <c r="AO120" s="269" t="str">
        <f>IF(AN120="","",IF(VLOOKUP(AN120,'G-3 Multipliers'!$S$3:$T$9,2,FALSE)=0,"Spatial Data Missing",VLOOKUP(AN120,'G-3 Multipliers'!$S$3:$T$9,2,FALSE)))</f>
        <v/>
      </c>
      <c r="AP120" s="207" t="str">
        <f t="shared" si="23"/>
        <v/>
      </c>
      <c r="AQ120" s="336"/>
      <c r="AR120" s="181"/>
    </row>
    <row r="121" spans="1:44" x14ac:dyDescent="0.25">
      <c r="A121" s="35" t="str">
        <f>IF(E121="","",IF(ISNA(VLOOKUP($E121,'D-1 Off Site Habitat Baseline'!$D$1:$O$258,2,FALSE)),"",(VLOOKUP($E121,'D-1 Off Site Habitat Baseline'!$D$1:$O$258,2,FALSE))))</f>
        <v/>
      </c>
      <c r="B121" s="35" t="str">
        <f>IF(E121="","",IF(ISNA(VLOOKUP($E121,'D-1 Off Site Habitat Baseline'!$D$1:$O$258,3,FALSE)),"",(VLOOKUP($E121,'D-1 Off Site Habitat Baseline'!$D$1:$O$258,3,FALSE))))</f>
        <v/>
      </c>
      <c r="C121" s="35" t="str">
        <f>IFERROR(INDEX('G-8 Condition Look up'!$I$4:$I$131,MATCH(S121,'G-8 Condition Look up'!$A$4:$A$131,0)),"")</f>
        <v/>
      </c>
      <c r="E121" s="329" t="str">
        <f>'D-1 Off Site Habitat Baseline'!AL120</f>
        <v/>
      </c>
      <c r="F121" s="175" t="str">
        <f>IF(E121="","",IF(ISNA(VLOOKUP($E121,'D-1 Off Site Habitat Baseline'!$D$1:$O$258,4,FALSE)),"",(VLOOKUP($E121,'D-1 Off Site Habitat Baseline'!$D$1:$O$258,4,FALSE))))</f>
        <v/>
      </c>
      <c r="G121" s="175" t="str">
        <f>IF(E121="","",IF(ISNA(VLOOKUP($E121,'D-1 Off Site Habitat Baseline'!$D$1:$O$258,5,FALSE)),"",(VLOOKUP($E121,'D-1 Off Site Habitat Baseline'!$D$1:$O$258,5,FALSE))))</f>
        <v/>
      </c>
      <c r="H121" s="175" t="str">
        <f>IF(E121="","",IF(ISNA(VLOOKUP($E121,'D-1 Off Site Habitat Baseline'!$D$1:$O$258,6,FALSE)),"",(VLOOKUP($E121,'D-1 Off Site Habitat Baseline'!$D$1:$O$258,6,FALSE))))</f>
        <v/>
      </c>
      <c r="I121" s="175" t="str">
        <f>IF(E121="","",IF(ISNA(VLOOKUP($E121,'D-1 Off Site Habitat Baseline'!$D$1:$O$258,7,FALSE)),"",(VLOOKUP($E121,'D-1 Off Site Habitat Baseline'!$D$1:$O$258,7,FALSE))))</f>
        <v/>
      </c>
      <c r="J121" s="175" t="str">
        <f>IF(E121="","",IF(ISNA(VLOOKUP($E121,'D-1 Off Site Habitat Baseline'!$D$1:$O$258,8,FALSE)),"",(VLOOKUP($E121,'D-1 Off Site Habitat Baseline'!$D$1:$O$258,8,FALSE))))</f>
        <v/>
      </c>
      <c r="K121" s="175" t="str">
        <f>IF(E121="","",IF(ISNA(VLOOKUP($E121,'D-1 Off Site Habitat Baseline'!$D$1:$O$258,9,FALSE)),"",(VLOOKUP($E121,'D-1 Off Site Habitat Baseline'!$D$1:$O$258,9,FALSE))))</f>
        <v/>
      </c>
      <c r="L121" s="175" t="str">
        <f>IF(E121="","",IF(ISNA(VLOOKUP($E121,'D-1 Off Site Habitat Baseline'!$D$1:$O$258,11,FALSE)),"",(VLOOKUP($E121,'D-1 Off Site Habitat Baseline'!$D$1:$O$258,11,FALSE))))</f>
        <v/>
      </c>
      <c r="M121" s="175" t="str">
        <f>IF(E121="","",IF(ISNA(VLOOKUP($E121,'D-1 Off Site Habitat Baseline'!$D$1:$O$258,12,FALSE)),"",(VLOOKUP($E121,'D-1 Off Site Habitat Baseline'!$D$1:$O$258,12,FALSE))))</f>
        <v/>
      </c>
      <c r="N121" s="175" t="str">
        <f>IF(E121="","",IF(ISNA(VLOOKUP($E121,'D-1 Off Site Habitat Baseline'!$D$1:$X$258,14,FALSE)),"",(VLOOKUP($E121,'D-1 Off Site Habitat Baseline'!$D$1:$X$258,14,FALSE))))</f>
        <v/>
      </c>
      <c r="O121" s="176" t="str">
        <f>IF(E121="","",IF(ISNA(VLOOKUP($E121,'D-1 Off Site Habitat Baseline'!$D$1:$X$258,13,FALSE)),"",(VLOOKUP($E121,'D-1 Off Site Habitat Baseline'!$D$1:$X$258,13,FALSE))))</f>
        <v/>
      </c>
      <c r="P121" s="337" t="str">
        <f>IFERROR(INDEX('G-1 All Habitats'!$AG$3:$AG$15,MATCH(Q121,'G-1 All Habitats'!$AF$3:$AF$15,0)),"")</f>
        <v/>
      </c>
      <c r="Q121" s="331" t="str">
        <f t="shared" si="24"/>
        <v/>
      </c>
      <c r="R121" s="332" t="str">
        <f t="shared" si="25"/>
        <v/>
      </c>
      <c r="S121" s="338" t="str">
        <f>IFERROR(INDEX('G-1 All Habitats'!$B$3:$B$130,MATCH(R121,'G-1 All Habitats'!$A$3:$A$130,0)),"")</f>
        <v/>
      </c>
      <c r="T121" s="179" t="str">
        <f t="shared" si="17"/>
        <v/>
      </c>
      <c r="U121" s="172" t="str">
        <f t="shared" si="18"/>
        <v/>
      </c>
      <c r="V121" s="334" t="str">
        <f t="shared" si="15"/>
        <v/>
      </c>
      <c r="W121" s="175" t="str">
        <f>IF(S121="","",VLOOKUP(S121,'G-1 All Habitats'!$B$2:$M$130,10,FALSE))</f>
        <v/>
      </c>
      <c r="X121" s="175" t="str">
        <f>IFERROR(VLOOKUP(W121,'G-1 All Habitats'!$V$3:$W$7,2,FALSE),"")</f>
        <v/>
      </c>
      <c r="Y121" s="275"/>
      <c r="Z121" s="176" t="str">
        <f>IFERROR(INDEX('G-8 Condition Look up'!$A$3:$H$131,MATCH(S121,'G-8 Condition Look up'!$A$3:$A$131,0),MATCH(Y121,'G-8 Condition Look up'!$A$3:$H$3,0)),"")</f>
        <v/>
      </c>
      <c r="AA121" s="173"/>
      <c r="AB121" s="269" t="str">
        <f>IF(AA121="","",IF(VLOOKUP(AA121,'G-3 Multipliers'!$L$3:$N$6,2,FALSE)=0,"Spatial Data Missing",VLOOKUP(AA121,'G-3 Multipliers'!$L$3:$N$6,2,FALSE)))</f>
        <v/>
      </c>
      <c r="AC121" s="176" t="str">
        <f>IF(AA121="","",IF(VLOOKUP(AA121,'G-3 Multipliers'!$L$3:$N$6,3,FALSE)=0,"Spatial Data Missing",VLOOKUP(AA121,'G-3 Multipliers'!$L$3:$N$6,3,FALSE)))</f>
        <v/>
      </c>
      <c r="AD121" s="239" t="str">
        <f t="shared" si="16"/>
        <v/>
      </c>
      <c r="AE121" s="275"/>
      <c r="AF121" s="275"/>
      <c r="AG121" s="175" t="str">
        <f t="shared" si="19"/>
        <v/>
      </c>
      <c r="AH121" s="242" t="str">
        <f t="shared" si="20"/>
        <v/>
      </c>
      <c r="AI121" s="335" t="str">
        <f>IF(AH121="Check Data","Check Data",IFERROR(VLOOKUP(AH121,'G-4 Temporal multipliers'!$A$4:$C$36,3,FALSE),""))</f>
        <v/>
      </c>
      <c r="AJ121" s="239" t="str">
        <f>IF(S121="","",VLOOKUP(S121,'G-3 Multipliers'!$A$2:$E$130,4,FALSE))</f>
        <v/>
      </c>
      <c r="AK121" s="175" t="str">
        <f t="shared" si="21"/>
        <v/>
      </c>
      <c r="AL121" s="175" t="str">
        <f t="shared" si="22"/>
        <v/>
      </c>
      <c r="AM121" s="176" t="str">
        <f>IFERROR(IF(F121="","",IF(AH121="Check Data","Check Data",VLOOKUP(AL121, 'G-3 Multipliers'!$P$2:$Q$6,2,FALSE))),””)</f>
        <v/>
      </c>
      <c r="AN121" s="266"/>
      <c r="AO121" s="269" t="str">
        <f>IF(AN121="","",IF(VLOOKUP(AN121,'G-3 Multipliers'!$S$3:$T$9,2,FALSE)=0,"Spatial Data Missing",VLOOKUP(AN121,'G-3 Multipliers'!$S$3:$T$9,2,FALSE)))</f>
        <v/>
      </c>
      <c r="AP121" s="207" t="str">
        <f t="shared" si="23"/>
        <v/>
      </c>
      <c r="AQ121" s="336"/>
      <c r="AR121" s="181"/>
    </row>
    <row r="122" spans="1:44" x14ac:dyDescent="0.25">
      <c r="A122" s="35" t="str">
        <f>IF(E122="","",IF(ISNA(VLOOKUP($E122,'D-1 Off Site Habitat Baseline'!$D$1:$O$258,2,FALSE)),"",(VLOOKUP($E122,'D-1 Off Site Habitat Baseline'!$D$1:$O$258,2,FALSE))))</f>
        <v/>
      </c>
      <c r="B122" s="35" t="str">
        <f>IF(E122="","",IF(ISNA(VLOOKUP($E122,'D-1 Off Site Habitat Baseline'!$D$1:$O$258,3,FALSE)),"",(VLOOKUP($E122,'D-1 Off Site Habitat Baseline'!$D$1:$O$258,3,FALSE))))</f>
        <v/>
      </c>
      <c r="C122" s="35" t="str">
        <f>IFERROR(INDEX('G-8 Condition Look up'!$I$4:$I$131,MATCH(S122,'G-8 Condition Look up'!$A$4:$A$131,0)),"")</f>
        <v/>
      </c>
      <c r="E122" s="329" t="str">
        <f>'D-1 Off Site Habitat Baseline'!AL121</f>
        <v/>
      </c>
      <c r="F122" s="175" t="str">
        <f>IF(E122="","",IF(ISNA(VLOOKUP($E122,'D-1 Off Site Habitat Baseline'!$D$1:$O$258,4,FALSE)),"",(VLOOKUP($E122,'D-1 Off Site Habitat Baseline'!$D$1:$O$258,4,FALSE))))</f>
        <v/>
      </c>
      <c r="G122" s="175" t="str">
        <f>IF(E122="","",IF(ISNA(VLOOKUP($E122,'D-1 Off Site Habitat Baseline'!$D$1:$O$258,5,FALSE)),"",(VLOOKUP($E122,'D-1 Off Site Habitat Baseline'!$D$1:$O$258,5,FALSE))))</f>
        <v/>
      </c>
      <c r="H122" s="175" t="str">
        <f>IF(E122="","",IF(ISNA(VLOOKUP($E122,'D-1 Off Site Habitat Baseline'!$D$1:$O$258,6,FALSE)),"",(VLOOKUP($E122,'D-1 Off Site Habitat Baseline'!$D$1:$O$258,6,FALSE))))</f>
        <v/>
      </c>
      <c r="I122" s="175" t="str">
        <f>IF(E122="","",IF(ISNA(VLOOKUP($E122,'D-1 Off Site Habitat Baseline'!$D$1:$O$258,7,FALSE)),"",(VLOOKUP($E122,'D-1 Off Site Habitat Baseline'!$D$1:$O$258,7,FALSE))))</f>
        <v/>
      </c>
      <c r="J122" s="175" t="str">
        <f>IF(E122="","",IF(ISNA(VLOOKUP($E122,'D-1 Off Site Habitat Baseline'!$D$1:$O$258,8,FALSE)),"",(VLOOKUP($E122,'D-1 Off Site Habitat Baseline'!$D$1:$O$258,8,FALSE))))</f>
        <v/>
      </c>
      <c r="K122" s="175" t="str">
        <f>IF(E122="","",IF(ISNA(VLOOKUP($E122,'D-1 Off Site Habitat Baseline'!$D$1:$O$258,9,FALSE)),"",(VLOOKUP($E122,'D-1 Off Site Habitat Baseline'!$D$1:$O$258,9,FALSE))))</f>
        <v/>
      </c>
      <c r="L122" s="175" t="str">
        <f>IF(E122="","",IF(ISNA(VLOOKUP($E122,'D-1 Off Site Habitat Baseline'!$D$1:$O$258,11,FALSE)),"",(VLOOKUP($E122,'D-1 Off Site Habitat Baseline'!$D$1:$O$258,11,FALSE))))</f>
        <v/>
      </c>
      <c r="M122" s="175" t="str">
        <f>IF(E122="","",IF(ISNA(VLOOKUP($E122,'D-1 Off Site Habitat Baseline'!$D$1:$O$258,12,FALSE)),"",(VLOOKUP($E122,'D-1 Off Site Habitat Baseline'!$D$1:$O$258,12,FALSE))))</f>
        <v/>
      </c>
      <c r="N122" s="175" t="str">
        <f>IF(E122="","",IF(ISNA(VLOOKUP($E122,'D-1 Off Site Habitat Baseline'!$D$1:$X$258,14,FALSE)),"",(VLOOKUP($E122,'D-1 Off Site Habitat Baseline'!$D$1:$X$258,14,FALSE))))</f>
        <v/>
      </c>
      <c r="O122" s="176" t="str">
        <f>IF(E122="","",IF(ISNA(VLOOKUP($E122,'D-1 Off Site Habitat Baseline'!$D$1:$X$258,13,FALSE)),"",(VLOOKUP($E122,'D-1 Off Site Habitat Baseline'!$D$1:$X$258,13,FALSE))))</f>
        <v/>
      </c>
      <c r="P122" s="337" t="str">
        <f>IFERROR(INDEX('G-1 All Habitats'!$AG$3:$AG$15,MATCH(Q122,'G-1 All Habitats'!$AF$3:$AF$15,0)),"")</f>
        <v/>
      </c>
      <c r="Q122" s="331" t="str">
        <f t="shared" si="24"/>
        <v/>
      </c>
      <c r="R122" s="332" t="str">
        <f t="shared" si="25"/>
        <v/>
      </c>
      <c r="S122" s="338" t="str">
        <f>IFERROR(INDEX('G-1 All Habitats'!$B$3:$B$130,MATCH(R122,'G-1 All Habitats'!$A$3:$A$130,0)),"")</f>
        <v/>
      </c>
      <c r="T122" s="179" t="str">
        <f t="shared" si="17"/>
        <v/>
      </c>
      <c r="U122" s="172" t="str">
        <f t="shared" si="18"/>
        <v/>
      </c>
      <c r="V122" s="334" t="str">
        <f t="shared" si="15"/>
        <v/>
      </c>
      <c r="W122" s="175" t="str">
        <f>IF(S122="","",VLOOKUP(S122,'G-1 All Habitats'!$B$2:$M$130,10,FALSE))</f>
        <v/>
      </c>
      <c r="X122" s="175" t="str">
        <f>IFERROR(VLOOKUP(W122,'G-1 All Habitats'!$V$3:$W$7,2,FALSE),"")</f>
        <v/>
      </c>
      <c r="Y122" s="275"/>
      <c r="Z122" s="176" t="str">
        <f>IFERROR(INDEX('G-8 Condition Look up'!$A$3:$H$131,MATCH(S122,'G-8 Condition Look up'!$A$3:$A$131,0),MATCH(Y122,'G-8 Condition Look up'!$A$3:$H$3,0)),"")</f>
        <v/>
      </c>
      <c r="AA122" s="173"/>
      <c r="AB122" s="269" t="str">
        <f>IF(AA122="","",IF(VLOOKUP(AA122,'G-3 Multipliers'!$L$3:$N$6,2,FALSE)=0,"Spatial Data Missing",VLOOKUP(AA122,'G-3 Multipliers'!$L$3:$N$6,2,FALSE)))</f>
        <v/>
      </c>
      <c r="AC122" s="176" t="str">
        <f>IF(AA122="","",IF(VLOOKUP(AA122,'G-3 Multipliers'!$L$3:$N$6,3,FALSE)=0,"Spatial Data Missing",VLOOKUP(AA122,'G-3 Multipliers'!$L$3:$N$6,3,FALSE)))</f>
        <v/>
      </c>
      <c r="AD122" s="239" t="str">
        <f t="shared" si="16"/>
        <v/>
      </c>
      <c r="AE122" s="275"/>
      <c r="AF122" s="275"/>
      <c r="AG122" s="175" t="str">
        <f t="shared" si="19"/>
        <v/>
      </c>
      <c r="AH122" s="242" t="str">
        <f t="shared" si="20"/>
        <v/>
      </c>
      <c r="AI122" s="335" t="str">
        <f>IF(AH122="Check Data","Check Data",IFERROR(VLOOKUP(AH122,'G-4 Temporal multipliers'!$A$4:$C$36,3,FALSE),""))</f>
        <v/>
      </c>
      <c r="AJ122" s="239" t="str">
        <f>IF(S122="","",VLOOKUP(S122,'G-3 Multipliers'!$A$2:$E$130,4,FALSE))</f>
        <v/>
      </c>
      <c r="AK122" s="175" t="str">
        <f t="shared" si="21"/>
        <v/>
      </c>
      <c r="AL122" s="175" t="str">
        <f t="shared" si="22"/>
        <v/>
      </c>
      <c r="AM122" s="176" t="str">
        <f>IFERROR(IF(F122="","",IF(AH122="Check Data","Check Data",VLOOKUP(AL122, 'G-3 Multipliers'!$P$2:$Q$6,2,FALSE))),””)</f>
        <v/>
      </c>
      <c r="AN122" s="266"/>
      <c r="AO122" s="269" t="str">
        <f>IF(AN122="","",IF(VLOOKUP(AN122,'G-3 Multipliers'!$S$3:$T$9,2,FALSE)=0,"Spatial Data Missing",VLOOKUP(AN122,'G-3 Multipliers'!$S$3:$T$9,2,FALSE)))</f>
        <v/>
      </c>
      <c r="AP122" s="207" t="str">
        <f t="shared" si="23"/>
        <v/>
      </c>
      <c r="AQ122" s="336"/>
      <c r="AR122" s="181"/>
    </row>
    <row r="123" spans="1:44" x14ac:dyDescent="0.25">
      <c r="A123" s="35" t="str">
        <f>IF(E123="","",IF(ISNA(VLOOKUP($E123,'D-1 Off Site Habitat Baseline'!$D$1:$O$258,2,FALSE)),"",(VLOOKUP($E123,'D-1 Off Site Habitat Baseline'!$D$1:$O$258,2,FALSE))))</f>
        <v/>
      </c>
      <c r="B123" s="35" t="str">
        <f>IF(E123="","",IF(ISNA(VLOOKUP($E123,'D-1 Off Site Habitat Baseline'!$D$1:$O$258,3,FALSE)),"",(VLOOKUP($E123,'D-1 Off Site Habitat Baseline'!$D$1:$O$258,3,FALSE))))</f>
        <v/>
      </c>
      <c r="C123" s="35" t="str">
        <f>IFERROR(INDEX('G-8 Condition Look up'!$I$4:$I$131,MATCH(S123,'G-8 Condition Look up'!$A$4:$A$131,0)),"")</f>
        <v/>
      </c>
      <c r="E123" s="329" t="str">
        <f>'D-1 Off Site Habitat Baseline'!AL122</f>
        <v/>
      </c>
      <c r="F123" s="175" t="str">
        <f>IF(E123="","",IF(ISNA(VLOOKUP($E123,'D-1 Off Site Habitat Baseline'!$D$1:$O$258,4,FALSE)),"",(VLOOKUP($E123,'D-1 Off Site Habitat Baseline'!$D$1:$O$258,4,FALSE))))</f>
        <v/>
      </c>
      <c r="G123" s="175" t="str">
        <f>IF(E123="","",IF(ISNA(VLOOKUP($E123,'D-1 Off Site Habitat Baseline'!$D$1:$O$258,5,FALSE)),"",(VLOOKUP($E123,'D-1 Off Site Habitat Baseline'!$D$1:$O$258,5,FALSE))))</f>
        <v/>
      </c>
      <c r="H123" s="175" t="str">
        <f>IF(E123="","",IF(ISNA(VLOOKUP($E123,'D-1 Off Site Habitat Baseline'!$D$1:$O$258,6,FALSE)),"",(VLOOKUP($E123,'D-1 Off Site Habitat Baseline'!$D$1:$O$258,6,FALSE))))</f>
        <v/>
      </c>
      <c r="I123" s="175" t="str">
        <f>IF(E123="","",IF(ISNA(VLOOKUP($E123,'D-1 Off Site Habitat Baseline'!$D$1:$O$258,7,FALSE)),"",(VLOOKUP($E123,'D-1 Off Site Habitat Baseline'!$D$1:$O$258,7,FALSE))))</f>
        <v/>
      </c>
      <c r="J123" s="175" t="str">
        <f>IF(E123="","",IF(ISNA(VLOOKUP($E123,'D-1 Off Site Habitat Baseline'!$D$1:$O$258,8,FALSE)),"",(VLOOKUP($E123,'D-1 Off Site Habitat Baseline'!$D$1:$O$258,8,FALSE))))</f>
        <v/>
      </c>
      <c r="K123" s="175" t="str">
        <f>IF(E123="","",IF(ISNA(VLOOKUP($E123,'D-1 Off Site Habitat Baseline'!$D$1:$O$258,9,FALSE)),"",(VLOOKUP($E123,'D-1 Off Site Habitat Baseline'!$D$1:$O$258,9,FALSE))))</f>
        <v/>
      </c>
      <c r="L123" s="175" t="str">
        <f>IF(E123="","",IF(ISNA(VLOOKUP($E123,'D-1 Off Site Habitat Baseline'!$D$1:$O$258,11,FALSE)),"",(VLOOKUP($E123,'D-1 Off Site Habitat Baseline'!$D$1:$O$258,11,FALSE))))</f>
        <v/>
      </c>
      <c r="M123" s="175" t="str">
        <f>IF(E123="","",IF(ISNA(VLOOKUP($E123,'D-1 Off Site Habitat Baseline'!$D$1:$O$258,12,FALSE)),"",(VLOOKUP($E123,'D-1 Off Site Habitat Baseline'!$D$1:$O$258,12,FALSE))))</f>
        <v/>
      </c>
      <c r="N123" s="175" t="str">
        <f>IF(E123="","",IF(ISNA(VLOOKUP($E123,'D-1 Off Site Habitat Baseline'!$D$1:$X$258,14,FALSE)),"",(VLOOKUP($E123,'D-1 Off Site Habitat Baseline'!$D$1:$X$258,14,FALSE))))</f>
        <v/>
      </c>
      <c r="O123" s="176" t="str">
        <f>IF(E123="","",IF(ISNA(VLOOKUP($E123,'D-1 Off Site Habitat Baseline'!$D$1:$X$258,13,FALSE)),"",(VLOOKUP($E123,'D-1 Off Site Habitat Baseline'!$D$1:$X$258,13,FALSE))))</f>
        <v/>
      </c>
      <c r="P123" s="337" t="str">
        <f>IFERROR(INDEX('G-1 All Habitats'!$AG$3:$AG$15,MATCH(Q123,'G-1 All Habitats'!$AF$3:$AF$15,0)),"")</f>
        <v/>
      </c>
      <c r="Q123" s="331" t="str">
        <f t="shared" si="24"/>
        <v/>
      </c>
      <c r="R123" s="332" t="str">
        <f t="shared" si="25"/>
        <v/>
      </c>
      <c r="S123" s="338" t="str">
        <f>IFERROR(INDEX('G-1 All Habitats'!$B$3:$B$130,MATCH(R123,'G-1 All Habitats'!$A$3:$A$130,0)),"")</f>
        <v/>
      </c>
      <c r="T123" s="179" t="str">
        <f t="shared" si="17"/>
        <v/>
      </c>
      <c r="U123" s="172" t="str">
        <f t="shared" si="18"/>
        <v/>
      </c>
      <c r="V123" s="334" t="str">
        <f t="shared" si="15"/>
        <v/>
      </c>
      <c r="W123" s="175" t="str">
        <f>IF(S123="","",VLOOKUP(S123,'G-1 All Habitats'!$B$2:$M$130,10,FALSE))</f>
        <v/>
      </c>
      <c r="X123" s="175" t="str">
        <f>IFERROR(VLOOKUP(W123,'G-1 All Habitats'!$V$3:$W$7,2,FALSE),"")</f>
        <v/>
      </c>
      <c r="Y123" s="275"/>
      <c r="Z123" s="176" t="str">
        <f>IFERROR(INDEX('G-8 Condition Look up'!$A$3:$H$131,MATCH(S123,'G-8 Condition Look up'!$A$3:$A$131,0),MATCH(Y123,'G-8 Condition Look up'!$A$3:$H$3,0)),"")</f>
        <v/>
      </c>
      <c r="AA123" s="173"/>
      <c r="AB123" s="269" t="str">
        <f>IF(AA123="","",IF(VLOOKUP(AA123,'G-3 Multipliers'!$L$3:$N$6,2,FALSE)=0,"Spatial Data Missing",VLOOKUP(AA123,'G-3 Multipliers'!$L$3:$N$6,2,FALSE)))</f>
        <v/>
      </c>
      <c r="AC123" s="176" t="str">
        <f>IF(AA123="","",IF(VLOOKUP(AA123,'G-3 Multipliers'!$L$3:$N$6,3,FALSE)=0,"Spatial Data Missing",VLOOKUP(AA123,'G-3 Multipliers'!$L$3:$N$6,3,FALSE)))</f>
        <v/>
      </c>
      <c r="AD123" s="239" t="str">
        <f t="shared" si="16"/>
        <v/>
      </c>
      <c r="AE123" s="275"/>
      <c r="AF123" s="275"/>
      <c r="AG123" s="175" t="str">
        <f t="shared" si="19"/>
        <v/>
      </c>
      <c r="AH123" s="242" t="str">
        <f t="shared" si="20"/>
        <v/>
      </c>
      <c r="AI123" s="335" t="str">
        <f>IF(AH123="Check Data","Check Data",IFERROR(VLOOKUP(AH123,'G-4 Temporal multipliers'!$A$4:$C$36,3,FALSE),""))</f>
        <v/>
      </c>
      <c r="AJ123" s="239" t="str">
        <f>IF(S123="","",VLOOKUP(S123,'G-3 Multipliers'!$A$2:$E$130,4,FALSE))</f>
        <v/>
      </c>
      <c r="AK123" s="175" t="str">
        <f t="shared" si="21"/>
        <v/>
      </c>
      <c r="AL123" s="175" t="str">
        <f t="shared" si="22"/>
        <v/>
      </c>
      <c r="AM123" s="176" t="str">
        <f>IFERROR(IF(F123="","",IF(AH123="Check Data","Check Data",VLOOKUP(AL123, 'G-3 Multipliers'!$P$2:$Q$6,2,FALSE))),””)</f>
        <v/>
      </c>
      <c r="AN123" s="266"/>
      <c r="AO123" s="269" t="str">
        <f>IF(AN123="","",IF(VLOOKUP(AN123,'G-3 Multipliers'!$S$3:$T$9,2,FALSE)=0,"Spatial Data Missing",VLOOKUP(AN123,'G-3 Multipliers'!$S$3:$T$9,2,FALSE)))</f>
        <v/>
      </c>
      <c r="AP123" s="207" t="str">
        <f t="shared" si="23"/>
        <v/>
      </c>
      <c r="AQ123" s="336"/>
      <c r="AR123" s="181"/>
    </row>
    <row r="124" spans="1:44" x14ac:dyDescent="0.25">
      <c r="A124" s="35" t="str">
        <f>IF(E124="","",IF(ISNA(VLOOKUP($E124,'D-1 Off Site Habitat Baseline'!$D$1:$O$258,2,FALSE)),"",(VLOOKUP($E124,'D-1 Off Site Habitat Baseline'!$D$1:$O$258,2,FALSE))))</f>
        <v/>
      </c>
      <c r="B124" s="35" t="str">
        <f>IF(E124="","",IF(ISNA(VLOOKUP($E124,'D-1 Off Site Habitat Baseline'!$D$1:$O$258,3,FALSE)),"",(VLOOKUP($E124,'D-1 Off Site Habitat Baseline'!$D$1:$O$258,3,FALSE))))</f>
        <v/>
      </c>
      <c r="C124" s="35" t="str">
        <f>IFERROR(INDEX('G-8 Condition Look up'!$I$4:$I$131,MATCH(S124,'G-8 Condition Look up'!$A$4:$A$131,0)),"")</f>
        <v/>
      </c>
      <c r="E124" s="329" t="str">
        <f>'D-1 Off Site Habitat Baseline'!AL123</f>
        <v/>
      </c>
      <c r="F124" s="175" t="str">
        <f>IF(E124="","",IF(ISNA(VLOOKUP($E124,'D-1 Off Site Habitat Baseline'!$D$1:$O$258,4,FALSE)),"",(VLOOKUP($E124,'D-1 Off Site Habitat Baseline'!$D$1:$O$258,4,FALSE))))</f>
        <v/>
      </c>
      <c r="G124" s="175" t="str">
        <f>IF(E124="","",IF(ISNA(VLOOKUP($E124,'D-1 Off Site Habitat Baseline'!$D$1:$O$258,5,FALSE)),"",(VLOOKUP($E124,'D-1 Off Site Habitat Baseline'!$D$1:$O$258,5,FALSE))))</f>
        <v/>
      </c>
      <c r="H124" s="175" t="str">
        <f>IF(E124="","",IF(ISNA(VLOOKUP($E124,'D-1 Off Site Habitat Baseline'!$D$1:$O$258,6,FALSE)),"",(VLOOKUP($E124,'D-1 Off Site Habitat Baseline'!$D$1:$O$258,6,FALSE))))</f>
        <v/>
      </c>
      <c r="I124" s="175" t="str">
        <f>IF(E124="","",IF(ISNA(VLOOKUP($E124,'D-1 Off Site Habitat Baseline'!$D$1:$O$258,7,FALSE)),"",(VLOOKUP($E124,'D-1 Off Site Habitat Baseline'!$D$1:$O$258,7,FALSE))))</f>
        <v/>
      </c>
      <c r="J124" s="175" t="str">
        <f>IF(E124="","",IF(ISNA(VLOOKUP($E124,'D-1 Off Site Habitat Baseline'!$D$1:$O$258,8,FALSE)),"",(VLOOKUP($E124,'D-1 Off Site Habitat Baseline'!$D$1:$O$258,8,FALSE))))</f>
        <v/>
      </c>
      <c r="K124" s="175" t="str">
        <f>IF(E124="","",IF(ISNA(VLOOKUP($E124,'D-1 Off Site Habitat Baseline'!$D$1:$O$258,9,FALSE)),"",(VLOOKUP($E124,'D-1 Off Site Habitat Baseline'!$D$1:$O$258,9,FALSE))))</f>
        <v/>
      </c>
      <c r="L124" s="175" t="str">
        <f>IF(E124="","",IF(ISNA(VLOOKUP($E124,'D-1 Off Site Habitat Baseline'!$D$1:$O$258,11,FALSE)),"",(VLOOKUP($E124,'D-1 Off Site Habitat Baseline'!$D$1:$O$258,11,FALSE))))</f>
        <v/>
      </c>
      <c r="M124" s="175" t="str">
        <f>IF(E124="","",IF(ISNA(VLOOKUP($E124,'D-1 Off Site Habitat Baseline'!$D$1:$O$258,12,FALSE)),"",(VLOOKUP($E124,'D-1 Off Site Habitat Baseline'!$D$1:$O$258,12,FALSE))))</f>
        <v/>
      </c>
      <c r="N124" s="175" t="str">
        <f>IF(E124="","",IF(ISNA(VLOOKUP($E124,'D-1 Off Site Habitat Baseline'!$D$1:$X$258,14,FALSE)),"",(VLOOKUP($E124,'D-1 Off Site Habitat Baseline'!$D$1:$X$258,14,FALSE))))</f>
        <v/>
      </c>
      <c r="O124" s="176" t="str">
        <f>IF(E124="","",IF(ISNA(VLOOKUP($E124,'D-1 Off Site Habitat Baseline'!$D$1:$X$258,13,FALSE)),"",(VLOOKUP($E124,'D-1 Off Site Habitat Baseline'!$D$1:$X$258,13,FALSE))))</f>
        <v/>
      </c>
      <c r="P124" s="337" t="str">
        <f>IFERROR(INDEX('G-1 All Habitats'!$AG$3:$AG$15,MATCH(Q124,'G-1 All Habitats'!$AF$3:$AF$15,0)),"")</f>
        <v/>
      </c>
      <c r="Q124" s="331" t="str">
        <f t="shared" si="24"/>
        <v/>
      </c>
      <c r="R124" s="332" t="str">
        <f t="shared" si="25"/>
        <v/>
      </c>
      <c r="S124" s="338" t="str">
        <f>IFERROR(INDEX('G-1 All Habitats'!$B$3:$B$130,MATCH(R124,'G-1 All Habitats'!$A$3:$A$130,0)),"")</f>
        <v/>
      </c>
      <c r="T124" s="179" t="str">
        <f t="shared" si="17"/>
        <v/>
      </c>
      <c r="U124" s="172" t="str">
        <f t="shared" si="18"/>
        <v/>
      </c>
      <c r="V124" s="334" t="str">
        <f t="shared" si="15"/>
        <v/>
      </c>
      <c r="W124" s="175" t="str">
        <f>IF(S124="","",VLOOKUP(S124,'G-1 All Habitats'!$B$2:$M$130,10,FALSE))</f>
        <v/>
      </c>
      <c r="X124" s="175" t="str">
        <f>IFERROR(VLOOKUP(W124,'G-1 All Habitats'!$V$3:$W$7,2,FALSE),"")</f>
        <v/>
      </c>
      <c r="Y124" s="275"/>
      <c r="Z124" s="176" t="str">
        <f>IFERROR(INDEX('G-8 Condition Look up'!$A$3:$H$131,MATCH(S124,'G-8 Condition Look up'!$A$3:$A$131,0),MATCH(Y124,'G-8 Condition Look up'!$A$3:$H$3,0)),"")</f>
        <v/>
      </c>
      <c r="AA124" s="173"/>
      <c r="AB124" s="269" t="str">
        <f>IF(AA124="","",IF(VLOOKUP(AA124,'G-3 Multipliers'!$L$3:$N$6,2,FALSE)=0,"Spatial Data Missing",VLOOKUP(AA124,'G-3 Multipliers'!$L$3:$N$6,2,FALSE)))</f>
        <v/>
      </c>
      <c r="AC124" s="176" t="str">
        <f>IF(AA124="","",IF(VLOOKUP(AA124,'G-3 Multipliers'!$L$3:$N$6,3,FALSE)=0,"Spatial Data Missing",VLOOKUP(AA124,'G-3 Multipliers'!$L$3:$N$6,3,FALSE)))</f>
        <v/>
      </c>
      <c r="AD124" s="239" t="str">
        <f t="shared" si="16"/>
        <v/>
      </c>
      <c r="AE124" s="275"/>
      <c r="AF124" s="275"/>
      <c r="AG124" s="175" t="str">
        <f t="shared" si="19"/>
        <v/>
      </c>
      <c r="AH124" s="242" t="str">
        <f t="shared" si="20"/>
        <v/>
      </c>
      <c r="AI124" s="335" t="str">
        <f>IF(AH124="Check Data","Check Data",IFERROR(VLOOKUP(AH124,'G-4 Temporal multipliers'!$A$4:$C$36,3,FALSE),""))</f>
        <v/>
      </c>
      <c r="AJ124" s="239" t="str">
        <f>IF(S124="","",VLOOKUP(S124,'G-3 Multipliers'!$A$2:$E$130,4,FALSE))</f>
        <v/>
      </c>
      <c r="AK124" s="175" t="str">
        <f t="shared" si="21"/>
        <v/>
      </c>
      <c r="AL124" s="175" t="str">
        <f t="shared" si="22"/>
        <v/>
      </c>
      <c r="AM124" s="176" t="str">
        <f>IFERROR(IF(F124="","",IF(AH124="Check Data","Check Data",VLOOKUP(AL124, 'G-3 Multipliers'!$P$2:$Q$6,2,FALSE))),””)</f>
        <v/>
      </c>
      <c r="AN124" s="266"/>
      <c r="AO124" s="269" t="str">
        <f>IF(AN124="","",IF(VLOOKUP(AN124,'G-3 Multipliers'!$S$3:$T$9,2,FALSE)=0,"Spatial Data Missing",VLOOKUP(AN124,'G-3 Multipliers'!$S$3:$T$9,2,FALSE)))</f>
        <v/>
      </c>
      <c r="AP124" s="207" t="str">
        <f t="shared" si="23"/>
        <v/>
      </c>
      <c r="AQ124" s="336"/>
      <c r="AR124" s="181"/>
    </row>
    <row r="125" spans="1:44" x14ac:dyDescent="0.25">
      <c r="A125" s="35" t="str">
        <f>IF(E125="","",IF(ISNA(VLOOKUP($E125,'D-1 Off Site Habitat Baseline'!$D$1:$O$258,2,FALSE)),"",(VLOOKUP($E125,'D-1 Off Site Habitat Baseline'!$D$1:$O$258,2,FALSE))))</f>
        <v/>
      </c>
      <c r="B125" s="35" t="str">
        <f>IF(E125="","",IF(ISNA(VLOOKUP($E125,'D-1 Off Site Habitat Baseline'!$D$1:$O$258,3,FALSE)),"",(VLOOKUP($E125,'D-1 Off Site Habitat Baseline'!$D$1:$O$258,3,FALSE))))</f>
        <v/>
      </c>
      <c r="C125" s="35" t="str">
        <f>IFERROR(INDEX('G-8 Condition Look up'!$I$4:$I$131,MATCH(S125,'G-8 Condition Look up'!$A$4:$A$131,0)),"")</f>
        <v/>
      </c>
      <c r="E125" s="329" t="str">
        <f>'D-1 Off Site Habitat Baseline'!AL124</f>
        <v/>
      </c>
      <c r="F125" s="175" t="str">
        <f>IF(E125="","",IF(ISNA(VLOOKUP($E125,'D-1 Off Site Habitat Baseline'!$D$1:$O$258,4,FALSE)),"",(VLOOKUP($E125,'D-1 Off Site Habitat Baseline'!$D$1:$O$258,4,FALSE))))</f>
        <v/>
      </c>
      <c r="G125" s="175" t="str">
        <f>IF(E125="","",IF(ISNA(VLOOKUP($E125,'D-1 Off Site Habitat Baseline'!$D$1:$O$258,5,FALSE)),"",(VLOOKUP($E125,'D-1 Off Site Habitat Baseline'!$D$1:$O$258,5,FALSE))))</f>
        <v/>
      </c>
      <c r="H125" s="175" t="str">
        <f>IF(E125="","",IF(ISNA(VLOOKUP($E125,'D-1 Off Site Habitat Baseline'!$D$1:$O$258,6,FALSE)),"",(VLOOKUP($E125,'D-1 Off Site Habitat Baseline'!$D$1:$O$258,6,FALSE))))</f>
        <v/>
      </c>
      <c r="I125" s="175" t="str">
        <f>IF(E125="","",IF(ISNA(VLOOKUP($E125,'D-1 Off Site Habitat Baseline'!$D$1:$O$258,7,FALSE)),"",(VLOOKUP($E125,'D-1 Off Site Habitat Baseline'!$D$1:$O$258,7,FALSE))))</f>
        <v/>
      </c>
      <c r="J125" s="175" t="str">
        <f>IF(E125="","",IF(ISNA(VLOOKUP($E125,'D-1 Off Site Habitat Baseline'!$D$1:$O$258,8,FALSE)),"",(VLOOKUP($E125,'D-1 Off Site Habitat Baseline'!$D$1:$O$258,8,FALSE))))</f>
        <v/>
      </c>
      <c r="K125" s="175" t="str">
        <f>IF(E125="","",IF(ISNA(VLOOKUP($E125,'D-1 Off Site Habitat Baseline'!$D$1:$O$258,9,FALSE)),"",(VLOOKUP($E125,'D-1 Off Site Habitat Baseline'!$D$1:$O$258,9,FALSE))))</f>
        <v/>
      </c>
      <c r="L125" s="175" t="str">
        <f>IF(E125="","",IF(ISNA(VLOOKUP($E125,'D-1 Off Site Habitat Baseline'!$D$1:$O$258,11,FALSE)),"",(VLOOKUP($E125,'D-1 Off Site Habitat Baseline'!$D$1:$O$258,11,FALSE))))</f>
        <v/>
      </c>
      <c r="M125" s="175" t="str">
        <f>IF(E125="","",IF(ISNA(VLOOKUP($E125,'D-1 Off Site Habitat Baseline'!$D$1:$O$258,12,FALSE)),"",(VLOOKUP($E125,'D-1 Off Site Habitat Baseline'!$D$1:$O$258,12,FALSE))))</f>
        <v/>
      </c>
      <c r="N125" s="175" t="str">
        <f>IF(E125="","",IF(ISNA(VLOOKUP($E125,'D-1 Off Site Habitat Baseline'!$D$1:$X$258,14,FALSE)),"",(VLOOKUP($E125,'D-1 Off Site Habitat Baseline'!$D$1:$X$258,14,FALSE))))</f>
        <v/>
      </c>
      <c r="O125" s="176" t="str">
        <f>IF(E125="","",IF(ISNA(VLOOKUP($E125,'D-1 Off Site Habitat Baseline'!$D$1:$X$258,13,FALSE)),"",(VLOOKUP($E125,'D-1 Off Site Habitat Baseline'!$D$1:$X$258,13,FALSE))))</f>
        <v/>
      </c>
      <c r="P125" s="337" t="str">
        <f>IFERROR(INDEX('G-1 All Habitats'!$AG$3:$AG$15,MATCH(Q125,'G-1 All Habitats'!$AF$3:$AF$15,0)),"")</f>
        <v/>
      </c>
      <c r="Q125" s="331" t="str">
        <f t="shared" si="24"/>
        <v/>
      </c>
      <c r="R125" s="332" t="str">
        <f t="shared" si="25"/>
        <v/>
      </c>
      <c r="S125" s="338" t="str">
        <f>IFERROR(INDEX('G-1 All Habitats'!$B$3:$B$130,MATCH(R125,'G-1 All Habitats'!$A$3:$A$130,0)),"")</f>
        <v/>
      </c>
      <c r="T125" s="179" t="str">
        <f t="shared" si="17"/>
        <v/>
      </c>
      <c r="U125" s="172" t="str">
        <f t="shared" si="18"/>
        <v/>
      </c>
      <c r="V125" s="334" t="str">
        <f t="shared" si="15"/>
        <v/>
      </c>
      <c r="W125" s="175" t="str">
        <f>IF(S125="","",VLOOKUP(S125,'G-1 All Habitats'!$B$2:$M$130,10,FALSE))</f>
        <v/>
      </c>
      <c r="X125" s="175" t="str">
        <f>IFERROR(VLOOKUP(W125,'G-1 All Habitats'!$V$3:$W$7,2,FALSE),"")</f>
        <v/>
      </c>
      <c r="Y125" s="275"/>
      <c r="Z125" s="176" t="str">
        <f>IFERROR(INDEX('G-8 Condition Look up'!$A$3:$H$131,MATCH(S125,'G-8 Condition Look up'!$A$3:$A$131,0),MATCH(Y125,'G-8 Condition Look up'!$A$3:$H$3,0)),"")</f>
        <v/>
      </c>
      <c r="AA125" s="173"/>
      <c r="AB125" s="269" t="str">
        <f>IF(AA125="","",IF(VLOOKUP(AA125,'G-3 Multipliers'!$L$3:$N$6,2,FALSE)=0,"Spatial Data Missing",VLOOKUP(AA125,'G-3 Multipliers'!$L$3:$N$6,2,FALSE)))</f>
        <v/>
      </c>
      <c r="AC125" s="176" t="str">
        <f>IF(AA125="","",IF(VLOOKUP(AA125,'G-3 Multipliers'!$L$3:$N$6,3,FALSE)=0,"Spatial Data Missing",VLOOKUP(AA125,'G-3 Multipliers'!$L$3:$N$6,3,FALSE)))</f>
        <v/>
      </c>
      <c r="AD125" s="239" t="str">
        <f t="shared" si="16"/>
        <v/>
      </c>
      <c r="AE125" s="275"/>
      <c r="AF125" s="275"/>
      <c r="AG125" s="175" t="str">
        <f t="shared" si="19"/>
        <v/>
      </c>
      <c r="AH125" s="242" t="str">
        <f t="shared" si="20"/>
        <v/>
      </c>
      <c r="AI125" s="335" t="str">
        <f>IF(AH125="Check Data","Check Data",IFERROR(VLOOKUP(AH125,'G-4 Temporal multipliers'!$A$4:$C$36,3,FALSE),""))</f>
        <v/>
      </c>
      <c r="AJ125" s="239" t="str">
        <f>IF(S125="","",VLOOKUP(S125,'G-3 Multipliers'!$A$2:$E$130,4,FALSE))</f>
        <v/>
      </c>
      <c r="AK125" s="175" t="str">
        <f t="shared" si="21"/>
        <v/>
      </c>
      <c r="AL125" s="175" t="str">
        <f t="shared" si="22"/>
        <v/>
      </c>
      <c r="AM125" s="176" t="str">
        <f>IFERROR(IF(F125="","",IF(AH125="Check Data","Check Data",VLOOKUP(AL125, 'G-3 Multipliers'!$P$2:$Q$6,2,FALSE))),””)</f>
        <v/>
      </c>
      <c r="AN125" s="266"/>
      <c r="AO125" s="269" t="str">
        <f>IF(AN125="","",IF(VLOOKUP(AN125,'G-3 Multipliers'!$S$3:$T$9,2,FALSE)=0,"Spatial Data Missing",VLOOKUP(AN125,'G-3 Multipliers'!$S$3:$T$9,2,FALSE)))</f>
        <v/>
      </c>
      <c r="AP125" s="207" t="str">
        <f t="shared" si="23"/>
        <v/>
      </c>
      <c r="AQ125" s="336"/>
      <c r="AR125" s="181"/>
    </row>
    <row r="126" spans="1:44" x14ac:dyDescent="0.25">
      <c r="A126" s="35" t="str">
        <f>IF(E126="","",IF(ISNA(VLOOKUP($E126,'D-1 Off Site Habitat Baseline'!$D$1:$O$258,2,FALSE)),"",(VLOOKUP($E126,'D-1 Off Site Habitat Baseline'!$D$1:$O$258,2,FALSE))))</f>
        <v/>
      </c>
      <c r="B126" s="35" t="str">
        <f>IF(E126="","",IF(ISNA(VLOOKUP($E126,'D-1 Off Site Habitat Baseline'!$D$1:$O$258,3,FALSE)),"",(VLOOKUP($E126,'D-1 Off Site Habitat Baseline'!$D$1:$O$258,3,FALSE))))</f>
        <v/>
      </c>
      <c r="C126" s="35" t="str">
        <f>IFERROR(INDEX('G-8 Condition Look up'!$I$4:$I$131,MATCH(S126,'G-8 Condition Look up'!$A$4:$A$131,0)),"")</f>
        <v/>
      </c>
      <c r="E126" s="329" t="str">
        <f>'D-1 Off Site Habitat Baseline'!AL125</f>
        <v/>
      </c>
      <c r="F126" s="175" t="str">
        <f>IF(E126="","",IF(ISNA(VLOOKUP($E126,'D-1 Off Site Habitat Baseline'!$D$1:$O$258,4,FALSE)),"",(VLOOKUP($E126,'D-1 Off Site Habitat Baseline'!$D$1:$O$258,4,FALSE))))</f>
        <v/>
      </c>
      <c r="G126" s="175" t="str">
        <f>IF(E126="","",IF(ISNA(VLOOKUP($E126,'D-1 Off Site Habitat Baseline'!$D$1:$O$258,5,FALSE)),"",(VLOOKUP($E126,'D-1 Off Site Habitat Baseline'!$D$1:$O$258,5,FALSE))))</f>
        <v/>
      </c>
      <c r="H126" s="175" t="str">
        <f>IF(E126="","",IF(ISNA(VLOOKUP($E126,'D-1 Off Site Habitat Baseline'!$D$1:$O$258,6,FALSE)),"",(VLOOKUP($E126,'D-1 Off Site Habitat Baseline'!$D$1:$O$258,6,FALSE))))</f>
        <v/>
      </c>
      <c r="I126" s="175" t="str">
        <f>IF(E126="","",IF(ISNA(VLOOKUP($E126,'D-1 Off Site Habitat Baseline'!$D$1:$O$258,7,FALSE)),"",(VLOOKUP($E126,'D-1 Off Site Habitat Baseline'!$D$1:$O$258,7,FALSE))))</f>
        <v/>
      </c>
      <c r="J126" s="175" t="str">
        <f>IF(E126="","",IF(ISNA(VLOOKUP($E126,'D-1 Off Site Habitat Baseline'!$D$1:$O$258,8,FALSE)),"",(VLOOKUP($E126,'D-1 Off Site Habitat Baseline'!$D$1:$O$258,8,FALSE))))</f>
        <v/>
      </c>
      <c r="K126" s="175" t="str">
        <f>IF(E126="","",IF(ISNA(VLOOKUP($E126,'D-1 Off Site Habitat Baseline'!$D$1:$O$258,9,FALSE)),"",(VLOOKUP($E126,'D-1 Off Site Habitat Baseline'!$D$1:$O$258,9,FALSE))))</f>
        <v/>
      </c>
      <c r="L126" s="175" t="str">
        <f>IF(E126="","",IF(ISNA(VLOOKUP($E126,'D-1 Off Site Habitat Baseline'!$D$1:$O$258,11,FALSE)),"",(VLOOKUP($E126,'D-1 Off Site Habitat Baseline'!$D$1:$O$258,11,FALSE))))</f>
        <v/>
      </c>
      <c r="M126" s="175" t="str">
        <f>IF(E126="","",IF(ISNA(VLOOKUP($E126,'D-1 Off Site Habitat Baseline'!$D$1:$O$258,12,FALSE)),"",(VLOOKUP($E126,'D-1 Off Site Habitat Baseline'!$D$1:$O$258,12,FALSE))))</f>
        <v/>
      </c>
      <c r="N126" s="175" t="str">
        <f>IF(E126="","",IF(ISNA(VLOOKUP($E126,'D-1 Off Site Habitat Baseline'!$D$1:$X$258,14,FALSE)),"",(VLOOKUP($E126,'D-1 Off Site Habitat Baseline'!$D$1:$X$258,14,FALSE))))</f>
        <v/>
      </c>
      <c r="O126" s="176" t="str">
        <f>IF(E126="","",IF(ISNA(VLOOKUP($E126,'D-1 Off Site Habitat Baseline'!$D$1:$X$258,13,FALSE)),"",(VLOOKUP($E126,'D-1 Off Site Habitat Baseline'!$D$1:$X$258,13,FALSE))))</f>
        <v/>
      </c>
      <c r="P126" s="337" t="str">
        <f>IFERROR(INDEX('G-1 All Habitats'!$AG$3:$AG$15,MATCH(Q126,'G-1 All Habitats'!$AF$3:$AF$15,0)),"")</f>
        <v/>
      </c>
      <c r="Q126" s="331" t="str">
        <f t="shared" si="24"/>
        <v/>
      </c>
      <c r="R126" s="332" t="str">
        <f t="shared" si="25"/>
        <v/>
      </c>
      <c r="S126" s="338" t="str">
        <f>IFERROR(INDEX('G-1 All Habitats'!$B$3:$B$130,MATCH(R126,'G-1 All Habitats'!$A$3:$A$130,0)),"")</f>
        <v/>
      </c>
      <c r="T126" s="179" t="str">
        <f t="shared" si="17"/>
        <v/>
      </c>
      <c r="U126" s="172" t="str">
        <f t="shared" si="18"/>
        <v/>
      </c>
      <c r="V126" s="334" t="str">
        <f t="shared" si="15"/>
        <v/>
      </c>
      <c r="W126" s="175" t="str">
        <f>IF(S126="","",VLOOKUP(S126,'G-1 All Habitats'!$B$2:$M$130,10,FALSE))</f>
        <v/>
      </c>
      <c r="X126" s="175" t="str">
        <f>IFERROR(VLOOKUP(W126,'G-1 All Habitats'!$V$3:$W$7,2,FALSE),"")</f>
        <v/>
      </c>
      <c r="Y126" s="275"/>
      <c r="Z126" s="176" t="str">
        <f>IFERROR(INDEX('G-8 Condition Look up'!$A$3:$H$131,MATCH(S126,'G-8 Condition Look up'!$A$3:$A$131,0),MATCH(Y126,'G-8 Condition Look up'!$A$3:$H$3,0)),"")</f>
        <v/>
      </c>
      <c r="AA126" s="173"/>
      <c r="AB126" s="269" t="str">
        <f>IF(AA126="","",IF(VLOOKUP(AA126,'G-3 Multipliers'!$L$3:$N$6,2,FALSE)=0,"Spatial Data Missing",VLOOKUP(AA126,'G-3 Multipliers'!$L$3:$N$6,2,FALSE)))</f>
        <v/>
      </c>
      <c r="AC126" s="176" t="str">
        <f>IF(AA126="","",IF(VLOOKUP(AA126,'G-3 Multipliers'!$L$3:$N$6,3,FALSE)=0,"Spatial Data Missing",VLOOKUP(AA126,'G-3 Multipliers'!$L$3:$N$6,3,FALSE)))</f>
        <v/>
      </c>
      <c r="AD126" s="239" t="str">
        <f t="shared" si="16"/>
        <v/>
      </c>
      <c r="AE126" s="275"/>
      <c r="AF126" s="275"/>
      <c r="AG126" s="175" t="str">
        <f t="shared" si="19"/>
        <v/>
      </c>
      <c r="AH126" s="242" t="str">
        <f t="shared" si="20"/>
        <v/>
      </c>
      <c r="AI126" s="335" t="str">
        <f>IF(AH126="Check Data","Check Data",IFERROR(VLOOKUP(AH126,'G-4 Temporal multipliers'!$A$4:$C$36,3,FALSE),""))</f>
        <v/>
      </c>
      <c r="AJ126" s="239" t="str">
        <f>IF(S126="","",VLOOKUP(S126,'G-3 Multipliers'!$A$2:$E$130,4,FALSE))</f>
        <v/>
      </c>
      <c r="AK126" s="175" t="str">
        <f t="shared" si="21"/>
        <v/>
      </c>
      <c r="AL126" s="175" t="str">
        <f t="shared" si="22"/>
        <v/>
      </c>
      <c r="AM126" s="176" t="str">
        <f>IFERROR(IF(F126="","",IF(AH126="Check Data","Check Data",VLOOKUP(AL126, 'G-3 Multipliers'!$P$2:$Q$6,2,FALSE))),””)</f>
        <v/>
      </c>
      <c r="AN126" s="266"/>
      <c r="AO126" s="269" t="str">
        <f>IF(AN126="","",IF(VLOOKUP(AN126,'G-3 Multipliers'!$S$3:$T$9,2,FALSE)=0,"Spatial Data Missing",VLOOKUP(AN126,'G-3 Multipliers'!$S$3:$T$9,2,FALSE)))</f>
        <v/>
      </c>
      <c r="AP126" s="207" t="str">
        <f t="shared" si="23"/>
        <v/>
      </c>
      <c r="AQ126" s="336"/>
      <c r="AR126" s="181"/>
    </row>
    <row r="127" spans="1:44" x14ac:dyDescent="0.25">
      <c r="A127" s="35" t="str">
        <f>IF(E127="","",IF(ISNA(VLOOKUP($E127,'D-1 Off Site Habitat Baseline'!$D$1:$O$258,2,FALSE)),"",(VLOOKUP($E127,'D-1 Off Site Habitat Baseline'!$D$1:$O$258,2,FALSE))))</f>
        <v/>
      </c>
      <c r="B127" s="35" t="str">
        <f>IF(E127="","",IF(ISNA(VLOOKUP($E127,'D-1 Off Site Habitat Baseline'!$D$1:$O$258,3,FALSE)),"",(VLOOKUP($E127,'D-1 Off Site Habitat Baseline'!$D$1:$O$258,3,FALSE))))</f>
        <v/>
      </c>
      <c r="C127" s="35" t="str">
        <f>IFERROR(INDEX('G-8 Condition Look up'!$I$4:$I$131,MATCH(S127,'G-8 Condition Look up'!$A$4:$A$131,0)),"")</f>
        <v/>
      </c>
      <c r="E127" s="329" t="str">
        <f>'D-1 Off Site Habitat Baseline'!AL126</f>
        <v/>
      </c>
      <c r="F127" s="175" t="str">
        <f>IF(E127="","",IF(ISNA(VLOOKUP($E127,'D-1 Off Site Habitat Baseline'!$D$1:$O$258,4,FALSE)),"",(VLOOKUP($E127,'D-1 Off Site Habitat Baseline'!$D$1:$O$258,4,FALSE))))</f>
        <v/>
      </c>
      <c r="G127" s="175" t="str">
        <f>IF(E127="","",IF(ISNA(VLOOKUP($E127,'D-1 Off Site Habitat Baseline'!$D$1:$O$258,5,FALSE)),"",(VLOOKUP($E127,'D-1 Off Site Habitat Baseline'!$D$1:$O$258,5,FALSE))))</f>
        <v/>
      </c>
      <c r="H127" s="175" t="str">
        <f>IF(E127="","",IF(ISNA(VLOOKUP($E127,'D-1 Off Site Habitat Baseline'!$D$1:$O$258,6,FALSE)),"",(VLOOKUP($E127,'D-1 Off Site Habitat Baseline'!$D$1:$O$258,6,FALSE))))</f>
        <v/>
      </c>
      <c r="I127" s="175" t="str">
        <f>IF(E127="","",IF(ISNA(VLOOKUP($E127,'D-1 Off Site Habitat Baseline'!$D$1:$O$258,7,FALSE)),"",(VLOOKUP($E127,'D-1 Off Site Habitat Baseline'!$D$1:$O$258,7,FALSE))))</f>
        <v/>
      </c>
      <c r="J127" s="175" t="str">
        <f>IF(E127="","",IF(ISNA(VLOOKUP($E127,'D-1 Off Site Habitat Baseline'!$D$1:$O$258,8,FALSE)),"",(VLOOKUP($E127,'D-1 Off Site Habitat Baseline'!$D$1:$O$258,8,FALSE))))</f>
        <v/>
      </c>
      <c r="K127" s="175" t="str">
        <f>IF(E127="","",IF(ISNA(VLOOKUP($E127,'D-1 Off Site Habitat Baseline'!$D$1:$O$258,9,FALSE)),"",(VLOOKUP($E127,'D-1 Off Site Habitat Baseline'!$D$1:$O$258,9,FALSE))))</f>
        <v/>
      </c>
      <c r="L127" s="175" t="str">
        <f>IF(E127="","",IF(ISNA(VLOOKUP($E127,'D-1 Off Site Habitat Baseline'!$D$1:$O$258,11,FALSE)),"",(VLOOKUP($E127,'D-1 Off Site Habitat Baseline'!$D$1:$O$258,11,FALSE))))</f>
        <v/>
      </c>
      <c r="M127" s="175" t="str">
        <f>IF(E127="","",IF(ISNA(VLOOKUP($E127,'D-1 Off Site Habitat Baseline'!$D$1:$O$258,12,FALSE)),"",(VLOOKUP($E127,'D-1 Off Site Habitat Baseline'!$D$1:$O$258,12,FALSE))))</f>
        <v/>
      </c>
      <c r="N127" s="175" t="str">
        <f>IF(E127="","",IF(ISNA(VLOOKUP($E127,'D-1 Off Site Habitat Baseline'!$D$1:$X$258,14,FALSE)),"",(VLOOKUP($E127,'D-1 Off Site Habitat Baseline'!$D$1:$X$258,14,FALSE))))</f>
        <v/>
      </c>
      <c r="O127" s="176" t="str">
        <f>IF(E127="","",IF(ISNA(VLOOKUP($E127,'D-1 Off Site Habitat Baseline'!$D$1:$X$258,13,FALSE)),"",(VLOOKUP($E127,'D-1 Off Site Habitat Baseline'!$D$1:$X$258,13,FALSE))))</f>
        <v/>
      </c>
      <c r="P127" s="337" t="str">
        <f>IFERROR(INDEX('G-1 All Habitats'!$AG$3:$AG$15,MATCH(Q127,'G-1 All Habitats'!$AF$3:$AF$15,0)),"")</f>
        <v/>
      </c>
      <c r="Q127" s="331" t="str">
        <f t="shared" si="24"/>
        <v/>
      </c>
      <c r="R127" s="332" t="str">
        <f t="shared" si="25"/>
        <v/>
      </c>
      <c r="S127" s="338" t="str">
        <f>IFERROR(INDEX('G-1 All Habitats'!$B$3:$B$130,MATCH(R127,'G-1 All Habitats'!$A$3:$A$130,0)),"")</f>
        <v/>
      </c>
      <c r="T127" s="179" t="str">
        <f t="shared" si="17"/>
        <v/>
      </c>
      <c r="U127" s="172" t="str">
        <f t="shared" si="18"/>
        <v/>
      </c>
      <c r="V127" s="334" t="str">
        <f t="shared" si="15"/>
        <v/>
      </c>
      <c r="W127" s="175" t="str">
        <f>IF(S127="","",VLOOKUP(S127,'G-1 All Habitats'!$B$2:$M$130,10,FALSE))</f>
        <v/>
      </c>
      <c r="X127" s="175" t="str">
        <f>IFERROR(VLOOKUP(W127,'G-1 All Habitats'!$V$3:$W$7,2,FALSE),"")</f>
        <v/>
      </c>
      <c r="Y127" s="275"/>
      <c r="Z127" s="176" t="str">
        <f>IFERROR(INDEX('G-8 Condition Look up'!$A$3:$H$131,MATCH(S127,'G-8 Condition Look up'!$A$3:$A$131,0),MATCH(Y127,'G-8 Condition Look up'!$A$3:$H$3,0)),"")</f>
        <v/>
      </c>
      <c r="AA127" s="173"/>
      <c r="AB127" s="269" t="str">
        <f>IF(AA127="","",IF(VLOOKUP(AA127,'G-3 Multipliers'!$L$3:$N$6,2,FALSE)=0,"Spatial Data Missing",VLOOKUP(AA127,'G-3 Multipliers'!$L$3:$N$6,2,FALSE)))</f>
        <v/>
      </c>
      <c r="AC127" s="176" t="str">
        <f>IF(AA127="","",IF(VLOOKUP(AA127,'G-3 Multipliers'!$L$3:$N$6,3,FALSE)=0,"Spatial Data Missing",VLOOKUP(AA127,'G-3 Multipliers'!$L$3:$N$6,3,FALSE)))</f>
        <v/>
      </c>
      <c r="AD127" s="239" t="str">
        <f t="shared" si="16"/>
        <v/>
      </c>
      <c r="AE127" s="275"/>
      <c r="AF127" s="275"/>
      <c r="AG127" s="175" t="str">
        <f t="shared" si="19"/>
        <v/>
      </c>
      <c r="AH127" s="242" t="str">
        <f t="shared" si="20"/>
        <v/>
      </c>
      <c r="AI127" s="335" t="str">
        <f>IF(AH127="Check Data","Check Data",IFERROR(VLOOKUP(AH127,'G-4 Temporal multipliers'!$A$4:$C$36,3,FALSE),""))</f>
        <v/>
      </c>
      <c r="AJ127" s="239" t="str">
        <f>IF(S127="","",VLOOKUP(S127,'G-3 Multipliers'!$A$2:$E$130,4,FALSE))</f>
        <v/>
      </c>
      <c r="AK127" s="175" t="str">
        <f t="shared" si="21"/>
        <v/>
      </c>
      <c r="AL127" s="175" t="str">
        <f t="shared" si="22"/>
        <v/>
      </c>
      <c r="AM127" s="176" t="str">
        <f>IFERROR(IF(F127="","",IF(AH127="Check Data","Check Data",VLOOKUP(AL127, 'G-3 Multipliers'!$P$2:$Q$6,2,FALSE))),””)</f>
        <v/>
      </c>
      <c r="AN127" s="266"/>
      <c r="AO127" s="269" t="str">
        <f>IF(AN127="","",IF(VLOOKUP(AN127,'G-3 Multipliers'!$S$3:$T$9,2,FALSE)=0,"Spatial Data Missing",VLOOKUP(AN127,'G-3 Multipliers'!$S$3:$T$9,2,FALSE)))</f>
        <v/>
      </c>
      <c r="AP127" s="207" t="str">
        <f t="shared" si="23"/>
        <v/>
      </c>
      <c r="AQ127" s="336"/>
      <c r="AR127" s="181"/>
    </row>
    <row r="128" spans="1:44" x14ac:dyDescent="0.25">
      <c r="A128" s="35" t="str">
        <f>IF(E128="","",IF(ISNA(VLOOKUP($E128,'D-1 Off Site Habitat Baseline'!$D$1:$O$258,2,FALSE)),"",(VLOOKUP($E128,'D-1 Off Site Habitat Baseline'!$D$1:$O$258,2,FALSE))))</f>
        <v/>
      </c>
      <c r="B128" s="35" t="str">
        <f>IF(E128="","",IF(ISNA(VLOOKUP($E128,'D-1 Off Site Habitat Baseline'!$D$1:$O$258,3,FALSE)),"",(VLOOKUP($E128,'D-1 Off Site Habitat Baseline'!$D$1:$O$258,3,FALSE))))</f>
        <v/>
      </c>
      <c r="C128" s="35" t="str">
        <f>IFERROR(INDEX('G-8 Condition Look up'!$I$4:$I$131,MATCH(S128,'G-8 Condition Look up'!$A$4:$A$131,0)),"")</f>
        <v/>
      </c>
      <c r="E128" s="329" t="str">
        <f>'D-1 Off Site Habitat Baseline'!AL127</f>
        <v/>
      </c>
      <c r="F128" s="175" t="str">
        <f>IF(E128="","",IF(ISNA(VLOOKUP($E128,'D-1 Off Site Habitat Baseline'!$D$1:$O$258,4,FALSE)),"",(VLOOKUP($E128,'D-1 Off Site Habitat Baseline'!$D$1:$O$258,4,FALSE))))</f>
        <v/>
      </c>
      <c r="G128" s="175" t="str">
        <f>IF(E128="","",IF(ISNA(VLOOKUP($E128,'D-1 Off Site Habitat Baseline'!$D$1:$O$258,5,FALSE)),"",(VLOOKUP($E128,'D-1 Off Site Habitat Baseline'!$D$1:$O$258,5,FALSE))))</f>
        <v/>
      </c>
      <c r="H128" s="175" t="str">
        <f>IF(E128="","",IF(ISNA(VLOOKUP($E128,'D-1 Off Site Habitat Baseline'!$D$1:$O$258,6,FALSE)),"",(VLOOKUP($E128,'D-1 Off Site Habitat Baseline'!$D$1:$O$258,6,FALSE))))</f>
        <v/>
      </c>
      <c r="I128" s="175" t="str">
        <f>IF(E128="","",IF(ISNA(VLOOKUP($E128,'D-1 Off Site Habitat Baseline'!$D$1:$O$258,7,FALSE)),"",(VLOOKUP($E128,'D-1 Off Site Habitat Baseline'!$D$1:$O$258,7,FALSE))))</f>
        <v/>
      </c>
      <c r="J128" s="175" t="str">
        <f>IF(E128="","",IF(ISNA(VLOOKUP($E128,'D-1 Off Site Habitat Baseline'!$D$1:$O$258,8,FALSE)),"",(VLOOKUP($E128,'D-1 Off Site Habitat Baseline'!$D$1:$O$258,8,FALSE))))</f>
        <v/>
      </c>
      <c r="K128" s="175" t="str">
        <f>IF(E128="","",IF(ISNA(VLOOKUP($E128,'D-1 Off Site Habitat Baseline'!$D$1:$O$258,9,FALSE)),"",(VLOOKUP($E128,'D-1 Off Site Habitat Baseline'!$D$1:$O$258,9,FALSE))))</f>
        <v/>
      </c>
      <c r="L128" s="175" t="str">
        <f>IF(E128="","",IF(ISNA(VLOOKUP($E128,'D-1 Off Site Habitat Baseline'!$D$1:$O$258,11,FALSE)),"",(VLOOKUP($E128,'D-1 Off Site Habitat Baseline'!$D$1:$O$258,11,FALSE))))</f>
        <v/>
      </c>
      <c r="M128" s="175" t="str">
        <f>IF(E128="","",IF(ISNA(VLOOKUP($E128,'D-1 Off Site Habitat Baseline'!$D$1:$O$258,12,FALSE)),"",(VLOOKUP($E128,'D-1 Off Site Habitat Baseline'!$D$1:$O$258,12,FALSE))))</f>
        <v/>
      </c>
      <c r="N128" s="175" t="str">
        <f>IF(E128="","",IF(ISNA(VLOOKUP($E128,'D-1 Off Site Habitat Baseline'!$D$1:$X$258,14,FALSE)),"",(VLOOKUP($E128,'D-1 Off Site Habitat Baseline'!$D$1:$X$258,14,FALSE))))</f>
        <v/>
      </c>
      <c r="O128" s="176" t="str">
        <f>IF(E128="","",IF(ISNA(VLOOKUP($E128,'D-1 Off Site Habitat Baseline'!$D$1:$X$258,13,FALSE)),"",(VLOOKUP($E128,'D-1 Off Site Habitat Baseline'!$D$1:$X$258,13,FALSE))))</f>
        <v/>
      </c>
      <c r="P128" s="337" t="str">
        <f>IFERROR(INDEX('G-1 All Habitats'!$AG$3:$AG$15,MATCH(Q128,'G-1 All Habitats'!$AF$3:$AF$15,0)),"")</f>
        <v/>
      </c>
      <c r="Q128" s="331" t="str">
        <f t="shared" si="24"/>
        <v/>
      </c>
      <c r="R128" s="332" t="str">
        <f t="shared" si="25"/>
        <v/>
      </c>
      <c r="S128" s="338" t="str">
        <f>IFERROR(INDEX('G-1 All Habitats'!$B$3:$B$130,MATCH(R128,'G-1 All Habitats'!$A$3:$A$130,0)),"")</f>
        <v/>
      </c>
      <c r="T128" s="179" t="str">
        <f t="shared" si="17"/>
        <v/>
      </c>
      <c r="U128" s="172" t="str">
        <f t="shared" si="18"/>
        <v/>
      </c>
      <c r="V128" s="334" t="str">
        <f t="shared" si="15"/>
        <v/>
      </c>
      <c r="W128" s="175" t="str">
        <f>IF(S128="","",VLOOKUP(S128,'G-1 All Habitats'!$B$2:$M$130,10,FALSE))</f>
        <v/>
      </c>
      <c r="X128" s="175" t="str">
        <f>IFERROR(VLOOKUP(W128,'G-1 All Habitats'!$V$3:$W$7,2,FALSE),"")</f>
        <v/>
      </c>
      <c r="Y128" s="275"/>
      <c r="Z128" s="176" t="str">
        <f>IFERROR(INDEX('G-8 Condition Look up'!$A$3:$H$131,MATCH(S128,'G-8 Condition Look up'!$A$3:$A$131,0),MATCH(Y128,'G-8 Condition Look up'!$A$3:$H$3,0)),"")</f>
        <v/>
      </c>
      <c r="AA128" s="173"/>
      <c r="AB128" s="269" t="str">
        <f>IF(AA128="","",IF(VLOOKUP(AA128,'G-3 Multipliers'!$L$3:$N$6,2,FALSE)=0,"Spatial Data Missing",VLOOKUP(AA128,'G-3 Multipliers'!$L$3:$N$6,2,FALSE)))</f>
        <v/>
      </c>
      <c r="AC128" s="176" t="str">
        <f>IF(AA128="","",IF(VLOOKUP(AA128,'G-3 Multipliers'!$L$3:$N$6,3,FALSE)=0,"Spatial Data Missing",VLOOKUP(AA128,'G-3 Multipliers'!$L$3:$N$6,3,FALSE)))</f>
        <v/>
      </c>
      <c r="AD128" s="239" t="str">
        <f t="shared" si="16"/>
        <v/>
      </c>
      <c r="AE128" s="275"/>
      <c r="AF128" s="275"/>
      <c r="AG128" s="175" t="str">
        <f t="shared" si="19"/>
        <v/>
      </c>
      <c r="AH128" s="242" t="str">
        <f t="shared" si="20"/>
        <v/>
      </c>
      <c r="AI128" s="335" t="str">
        <f>IF(AH128="Check Data","Check Data",IFERROR(VLOOKUP(AH128,'G-4 Temporal multipliers'!$A$4:$C$36,3,FALSE),""))</f>
        <v/>
      </c>
      <c r="AJ128" s="239" t="str">
        <f>IF(S128="","",VLOOKUP(S128,'G-3 Multipliers'!$A$2:$E$130,4,FALSE))</f>
        <v/>
      </c>
      <c r="AK128" s="175" t="str">
        <f t="shared" si="21"/>
        <v/>
      </c>
      <c r="AL128" s="175" t="str">
        <f t="shared" si="22"/>
        <v/>
      </c>
      <c r="AM128" s="176" t="str">
        <f>IFERROR(IF(F128="","",IF(AH128="Check Data","Check Data",VLOOKUP(AL128, 'G-3 Multipliers'!$P$2:$Q$6,2,FALSE))),””)</f>
        <v/>
      </c>
      <c r="AN128" s="266"/>
      <c r="AO128" s="269" t="str">
        <f>IF(AN128="","",IF(VLOOKUP(AN128,'G-3 Multipliers'!$S$3:$T$9,2,FALSE)=0,"Spatial Data Missing",VLOOKUP(AN128,'G-3 Multipliers'!$S$3:$T$9,2,FALSE)))</f>
        <v/>
      </c>
      <c r="AP128" s="207" t="str">
        <f t="shared" si="23"/>
        <v/>
      </c>
      <c r="AQ128" s="336"/>
      <c r="AR128" s="181"/>
    </row>
    <row r="129" spans="1:44" x14ac:dyDescent="0.25">
      <c r="A129" s="35" t="str">
        <f>IF(E129="","",IF(ISNA(VLOOKUP($E129,'D-1 Off Site Habitat Baseline'!$D$1:$O$258,2,FALSE)),"",(VLOOKUP($E129,'D-1 Off Site Habitat Baseline'!$D$1:$O$258,2,FALSE))))</f>
        <v/>
      </c>
      <c r="B129" s="35" t="str">
        <f>IF(E129="","",IF(ISNA(VLOOKUP($E129,'D-1 Off Site Habitat Baseline'!$D$1:$O$258,3,FALSE)),"",(VLOOKUP($E129,'D-1 Off Site Habitat Baseline'!$D$1:$O$258,3,FALSE))))</f>
        <v/>
      </c>
      <c r="C129" s="35" t="str">
        <f>IFERROR(INDEX('G-8 Condition Look up'!$I$4:$I$131,MATCH(S129,'G-8 Condition Look up'!$A$4:$A$131,0)),"")</f>
        <v/>
      </c>
      <c r="E129" s="329" t="str">
        <f>'D-1 Off Site Habitat Baseline'!AL128</f>
        <v/>
      </c>
      <c r="F129" s="175" t="str">
        <f>IF(E129="","",IF(ISNA(VLOOKUP($E129,'D-1 Off Site Habitat Baseline'!$D$1:$O$258,4,FALSE)),"",(VLOOKUP($E129,'D-1 Off Site Habitat Baseline'!$D$1:$O$258,4,FALSE))))</f>
        <v/>
      </c>
      <c r="G129" s="175" t="str">
        <f>IF(E129="","",IF(ISNA(VLOOKUP($E129,'D-1 Off Site Habitat Baseline'!$D$1:$O$258,5,FALSE)),"",(VLOOKUP($E129,'D-1 Off Site Habitat Baseline'!$D$1:$O$258,5,FALSE))))</f>
        <v/>
      </c>
      <c r="H129" s="175" t="str">
        <f>IF(E129="","",IF(ISNA(VLOOKUP($E129,'D-1 Off Site Habitat Baseline'!$D$1:$O$258,6,FALSE)),"",(VLOOKUP($E129,'D-1 Off Site Habitat Baseline'!$D$1:$O$258,6,FALSE))))</f>
        <v/>
      </c>
      <c r="I129" s="175" t="str">
        <f>IF(E129="","",IF(ISNA(VLOOKUP($E129,'D-1 Off Site Habitat Baseline'!$D$1:$O$258,7,FALSE)),"",(VLOOKUP($E129,'D-1 Off Site Habitat Baseline'!$D$1:$O$258,7,FALSE))))</f>
        <v/>
      </c>
      <c r="J129" s="175" t="str">
        <f>IF(E129="","",IF(ISNA(VLOOKUP($E129,'D-1 Off Site Habitat Baseline'!$D$1:$O$258,8,FALSE)),"",(VLOOKUP($E129,'D-1 Off Site Habitat Baseline'!$D$1:$O$258,8,FALSE))))</f>
        <v/>
      </c>
      <c r="K129" s="175" t="str">
        <f>IF(E129="","",IF(ISNA(VLOOKUP($E129,'D-1 Off Site Habitat Baseline'!$D$1:$O$258,9,FALSE)),"",(VLOOKUP($E129,'D-1 Off Site Habitat Baseline'!$D$1:$O$258,9,FALSE))))</f>
        <v/>
      </c>
      <c r="L129" s="175" t="str">
        <f>IF(E129="","",IF(ISNA(VLOOKUP($E129,'D-1 Off Site Habitat Baseline'!$D$1:$O$258,11,FALSE)),"",(VLOOKUP($E129,'D-1 Off Site Habitat Baseline'!$D$1:$O$258,11,FALSE))))</f>
        <v/>
      </c>
      <c r="M129" s="175" t="str">
        <f>IF(E129="","",IF(ISNA(VLOOKUP($E129,'D-1 Off Site Habitat Baseline'!$D$1:$O$258,12,FALSE)),"",(VLOOKUP($E129,'D-1 Off Site Habitat Baseline'!$D$1:$O$258,12,FALSE))))</f>
        <v/>
      </c>
      <c r="N129" s="175" t="str">
        <f>IF(E129="","",IF(ISNA(VLOOKUP($E129,'D-1 Off Site Habitat Baseline'!$D$1:$X$258,14,FALSE)),"",(VLOOKUP($E129,'D-1 Off Site Habitat Baseline'!$D$1:$X$258,14,FALSE))))</f>
        <v/>
      </c>
      <c r="O129" s="176" t="str">
        <f>IF(E129="","",IF(ISNA(VLOOKUP($E129,'D-1 Off Site Habitat Baseline'!$D$1:$X$258,13,FALSE)),"",(VLOOKUP($E129,'D-1 Off Site Habitat Baseline'!$D$1:$X$258,13,FALSE))))</f>
        <v/>
      </c>
      <c r="P129" s="337" t="str">
        <f>IFERROR(INDEX('G-1 All Habitats'!$AG$3:$AG$15,MATCH(Q129,'G-1 All Habitats'!$AF$3:$AF$15,0)),"")</f>
        <v/>
      </c>
      <c r="Q129" s="331" t="str">
        <f t="shared" si="24"/>
        <v/>
      </c>
      <c r="R129" s="332" t="str">
        <f t="shared" si="25"/>
        <v/>
      </c>
      <c r="S129" s="338" t="str">
        <f>IFERROR(INDEX('G-1 All Habitats'!$B$3:$B$130,MATCH(R129,'G-1 All Habitats'!$A$3:$A$130,0)),"")</f>
        <v/>
      </c>
      <c r="T129" s="179" t="str">
        <f t="shared" si="17"/>
        <v/>
      </c>
      <c r="U129" s="172" t="str">
        <f t="shared" si="18"/>
        <v/>
      </c>
      <c r="V129" s="334" t="str">
        <f t="shared" si="15"/>
        <v/>
      </c>
      <c r="W129" s="175" t="str">
        <f>IF(S129="","",VLOOKUP(S129,'G-1 All Habitats'!$B$2:$M$130,10,FALSE))</f>
        <v/>
      </c>
      <c r="X129" s="175" t="str">
        <f>IFERROR(VLOOKUP(W129,'G-1 All Habitats'!$V$3:$W$7,2,FALSE),"")</f>
        <v/>
      </c>
      <c r="Y129" s="275"/>
      <c r="Z129" s="176" t="str">
        <f>IFERROR(INDEX('G-8 Condition Look up'!$A$3:$H$131,MATCH(S129,'G-8 Condition Look up'!$A$3:$A$131,0),MATCH(Y129,'G-8 Condition Look up'!$A$3:$H$3,0)),"")</f>
        <v/>
      </c>
      <c r="AA129" s="173"/>
      <c r="AB129" s="269" t="str">
        <f>IF(AA129="","",IF(VLOOKUP(AA129,'G-3 Multipliers'!$L$3:$N$6,2,FALSE)=0,"Spatial Data Missing",VLOOKUP(AA129,'G-3 Multipliers'!$L$3:$N$6,2,FALSE)))</f>
        <v/>
      </c>
      <c r="AC129" s="176" t="str">
        <f>IF(AA129="","",IF(VLOOKUP(AA129,'G-3 Multipliers'!$L$3:$N$6,3,FALSE)=0,"Spatial Data Missing",VLOOKUP(AA129,'G-3 Multipliers'!$L$3:$N$6,3,FALSE)))</f>
        <v/>
      </c>
      <c r="AD129" s="239" t="str">
        <f t="shared" si="16"/>
        <v/>
      </c>
      <c r="AE129" s="275"/>
      <c r="AF129" s="275"/>
      <c r="AG129" s="175" t="str">
        <f t="shared" si="19"/>
        <v/>
      </c>
      <c r="AH129" s="242" t="str">
        <f t="shared" si="20"/>
        <v/>
      </c>
      <c r="AI129" s="335" t="str">
        <f>IF(AH129="Check Data","Check Data",IFERROR(VLOOKUP(AH129,'G-4 Temporal multipliers'!$A$4:$C$36,3,FALSE),""))</f>
        <v/>
      </c>
      <c r="AJ129" s="239" t="str">
        <f>IF(S129="","",VLOOKUP(S129,'G-3 Multipliers'!$A$2:$E$130,4,FALSE))</f>
        <v/>
      </c>
      <c r="AK129" s="175" t="str">
        <f t="shared" si="21"/>
        <v/>
      </c>
      <c r="AL129" s="175" t="str">
        <f t="shared" si="22"/>
        <v/>
      </c>
      <c r="AM129" s="176" t="str">
        <f>IFERROR(IF(F129="","",IF(AH129="Check Data","Check Data",VLOOKUP(AL129, 'G-3 Multipliers'!$P$2:$Q$6,2,FALSE))),””)</f>
        <v/>
      </c>
      <c r="AN129" s="266"/>
      <c r="AO129" s="269" t="str">
        <f>IF(AN129="","",IF(VLOOKUP(AN129,'G-3 Multipliers'!$S$3:$T$9,2,FALSE)=0,"Spatial Data Missing",VLOOKUP(AN129,'G-3 Multipliers'!$S$3:$T$9,2,FALSE)))</f>
        <v/>
      </c>
      <c r="AP129" s="207" t="str">
        <f t="shared" si="23"/>
        <v/>
      </c>
      <c r="AQ129" s="336"/>
      <c r="AR129" s="181"/>
    </row>
    <row r="130" spans="1:44" x14ac:dyDescent="0.25">
      <c r="A130" s="35" t="str">
        <f>IF(E130="","",IF(ISNA(VLOOKUP($E130,'D-1 Off Site Habitat Baseline'!$D$1:$O$258,2,FALSE)),"",(VLOOKUP($E130,'D-1 Off Site Habitat Baseline'!$D$1:$O$258,2,FALSE))))</f>
        <v/>
      </c>
      <c r="B130" s="35" t="str">
        <f>IF(E130="","",IF(ISNA(VLOOKUP($E130,'D-1 Off Site Habitat Baseline'!$D$1:$O$258,3,FALSE)),"",(VLOOKUP($E130,'D-1 Off Site Habitat Baseline'!$D$1:$O$258,3,FALSE))))</f>
        <v/>
      </c>
      <c r="C130" s="35" t="str">
        <f>IFERROR(INDEX('G-8 Condition Look up'!$I$4:$I$131,MATCH(S130,'G-8 Condition Look up'!$A$4:$A$131,0)),"")</f>
        <v/>
      </c>
      <c r="E130" s="329" t="str">
        <f>'D-1 Off Site Habitat Baseline'!AL129</f>
        <v/>
      </c>
      <c r="F130" s="175" t="str">
        <f>IF(E130="","",IF(ISNA(VLOOKUP($E130,'D-1 Off Site Habitat Baseline'!$D$1:$O$258,4,FALSE)),"",(VLOOKUP($E130,'D-1 Off Site Habitat Baseline'!$D$1:$O$258,4,FALSE))))</f>
        <v/>
      </c>
      <c r="G130" s="175" t="str">
        <f>IF(E130="","",IF(ISNA(VLOOKUP($E130,'D-1 Off Site Habitat Baseline'!$D$1:$O$258,5,FALSE)),"",(VLOOKUP($E130,'D-1 Off Site Habitat Baseline'!$D$1:$O$258,5,FALSE))))</f>
        <v/>
      </c>
      <c r="H130" s="175" t="str">
        <f>IF(E130="","",IF(ISNA(VLOOKUP($E130,'D-1 Off Site Habitat Baseline'!$D$1:$O$258,6,FALSE)),"",(VLOOKUP($E130,'D-1 Off Site Habitat Baseline'!$D$1:$O$258,6,FALSE))))</f>
        <v/>
      </c>
      <c r="I130" s="175" t="str">
        <f>IF(E130="","",IF(ISNA(VLOOKUP($E130,'D-1 Off Site Habitat Baseline'!$D$1:$O$258,7,FALSE)),"",(VLOOKUP($E130,'D-1 Off Site Habitat Baseline'!$D$1:$O$258,7,FALSE))))</f>
        <v/>
      </c>
      <c r="J130" s="175" t="str">
        <f>IF(E130="","",IF(ISNA(VLOOKUP($E130,'D-1 Off Site Habitat Baseline'!$D$1:$O$258,8,FALSE)),"",(VLOOKUP($E130,'D-1 Off Site Habitat Baseline'!$D$1:$O$258,8,FALSE))))</f>
        <v/>
      </c>
      <c r="K130" s="175" t="str">
        <f>IF(E130="","",IF(ISNA(VLOOKUP($E130,'D-1 Off Site Habitat Baseline'!$D$1:$O$258,9,FALSE)),"",(VLOOKUP($E130,'D-1 Off Site Habitat Baseline'!$D$1:$O$258,9,FALSE))))</f>
        <v/>
      </c>
      <c r="L130" s="175" t="str">
        <f>IF(E130="","",IF(ISNA(VLOOKUP($E130,'D-1 Off Site Habitat Baseline'!$D$1:$O$258,11,FALSE)),"",(VLOOKUP($E130,'D-1 Off Site Habitat Baseline'!$D$1:$O$258,11,FALSE))))</f>
        <v/>
      </c>
      <c r="M130" s="175" t="str">
        <f>IF(E130="","",IF(ISNA(VLOOKUP($E130,'D-1 Off Site Habitat Baseline'!$D$1:$O$258,12,FALSE)),"",(VLOOKUP($E130,'D-1 Off Site Habitat Baseline'!$D$1:$O$258,12,FALSE))))</f>
        <v/>
      </c>
      <c r="N130" s="175" t="str">
        <f>IF(E130="","",IF(ISNA(VLOOKUP($E130,'D-1 Off Site Habitat Baseline'!$D$1:$X$258,14,FALSE)),"",(VLOOKUP($E130,'D-1 Off Site Habitat Baseline'!$D$1:$X$258,14,FALSE))))</f>
        <v/>
      </c>
      <c r="O130" s="176" t="str">
        <f>IF(E130="","",IF(ISNA(VLOOKUP($E130,'D-1 Off Site Habitat Baseline'!$D$1:$X$258,13,FALSE)),"",(VLOOKUP($E130,'D-1 Off Site Habitat Baseline'!$D$1:$X$258,13,FALSE))))</f>
        <v/>
      </c>
      <c r="P130" s="337" t="str">
        <f>IFERROR(INDEX('G-1 All Habitats'!$AG$3:$AG$15,MATCH(Q130,'G-1 All Habitats'!$AF$3:$AF$15,0)),"")</f>
        <v/>
      </c>
      <c r="Q130" s="331" t="str">
        <f t="shared" si="24"/>
        <v/>
      </c>
      <c r="R130" s="332" t="str">
        <f t="shared" si="25"/>
        <v/>
      </c>
      <c r="S130" s="338" t="str">
        <f>IFERROR(INDEX('G-1 All Habitats'!$B$3:$B$130,MATCH(R130,'G-1 All Habitats'!$A$3:$A$130,0)),"")</f>
        <v/>
      </c>
      <c r="T130" s="179" t="str">
        <f t="shared" si="17"/>
        <v/>
      </c>
      <c r="U130" s="172" t="str">
        <f t="shared" si="18"/>
        <v/>
      </c>
      <c r="V130" s="334" t="str">
        <f t="shared" si="15"/>
        <v/>
      </c>
      <c r="W130" s="175" t="str">
        <f>IF(S130="","",VLOOKUP(S130,'G-1 All Habitats'!$B$2:$M$130,10,FALSE))</f>
        <v/>
      </c>
      <c r="X130" s="175" t="str">
        <f>IFERROR(VLOOKUP(W130,'G-1 All Habitats'!$V$3:$W$7,2,FALSE),"")</f>
        <v/>
      </c>
      <c r="Y130" s="275"/>
      <c r="Z130" s="176" t="str">
        <f>IFERROR(INDEX('G-8 Condition Look up'!$A$3:$H$131,MATCH(S130,'G-8 Condition Look up'!$A$3:$A$131,0),MATCH(Y130,'G-8 Condition Look up'!$A$3:$H$3,0)),"")</f>
        <v/>
      </c>
      <c r="AA130" s="173"/>
      <c r="AB130" s="269" t="str">
        <f>IF(AA130="","",IF(VLOOKUP(AA130,'G-3 Multipliers'!$L$3:$N$6,2,FALSE)=0,"Spatial Data Missing",VLOOKUP(AA130,'G-3 Multipliers'!$L$3:$N$6,2,FALSE)))</f>
        <v/>
      </c>
      <c r="AC130" s="176" t="str">
        <f>IF(AA130="","",IF(VLOOKUP(AA130,'G-3 Multipliers'!$L$3:$N$6,3,FALSE)=0,"Spatial Data Missing",VLOOKUP(AA130,'G-3 Multipliers'!$L$3:$N$6,3,FALSE)))</f>
        <v/>
      </c>
      <c r="AD130" s="239" t="str">
        <f t="shared" si="16"/>
        <v/>
      </c>
      <c r="AE130" s="275"/>
      <c r="AF130" s="275"/>
      <c r="AG130" s="175" t="str">
        <f t="shared" si="19"/>
        <v/>
      </c>
      <c r="AH130" s="242" t="str">
        <f t="shared" si="20"/>
        <v/>
      </c>
      <c r="AI130" s="335" t="str">
        <f>IF(AH130="Check Data","Check Data",IFERROR(VLOOKUP(AH130,'G-4 Temporal multipliers'!$A$4:$C$36,3,FALSE),""))</f>
        <v/>
      </c>
      <c r="AJ130" s="239" t="str">
        <f>IF(S130="","",VLOOKUP(S130,'G-3 Multipliers'!$A$2:$E$130,4,FALSE))</f>
        <v/>
      </c>
      <c r="AK130" s="175" t="str">
        <f t="shared" si="21"/>
        <v/>
      </c>
      <c r="AL130" s="175" t="str">
        <f t="shared" si="22"/>
        <v/>
      </c>
      <c r="AM130" s="176" t="str">
        <f>IFERROR(IF(F130="","",IF(AH130="Check Data","Check Data",VLOOKUP(AL130, 'G-3 Multipliers'!$P$2:$Q$6,2,FALSE))),””)</f>
        <v/>
      </c>
      <c r="AN130" s="266"/>
      <c r="AO130" s="269" t="str">
        <f>IF(AN130="","",IF(VLOOKUP(AN130,'G-3 Multipliers'!$S$3:$T$9,2,FALSE)=0,"Spatial Data Missing",VLOOKUP(AN130,'G-3 Multipliers'!$S$3:$T$9,2,FALSE)))</f>
        <v/>
      </c>
      <c r="AP130" s="207" t="str">
        <f t="shared" si="23"/>
        <v/>
      </c>
      <c r="AQ130" s="336"/>
      <c r="AR130" s="181"/>
    </row>
    <row r="131" spans="1:44" x14ac:dyDescent="0.25">
      <c r="A131" s="35" t="str">
        <f>IF(E131="","",IF(ISNA(VLOOKUP($E131,'D-1 Off Site Habitat Baseline'!$D$1:$O$258,2,FALSE)),"",(VLOOKUP($E131,'D-1 Off Site Habitat Baseline'!$D$1:$O$258,2,FALSE))))</f>
        <v/>
      </c>
      <c r="B131" s="35" t="str">
        <f>IF(E131="","",IF(ISNA(VLOOKUP($E131,'D-1 Off Site Habitat Baseline'!$D$1:$O$258,3,FALSE)),"",(VLOOKUP($E131,'D-1 Off Site Habitat Baseline'!$D$1:$O$258,3,FALSE))))</f>
        <v/>
      </c>
      <c r="C131" s="35" t="str">
        <f>IFERROR(INDEX('G-8 Condition Look up'!$I$4:$I$131,MATCH(S131,'G-8 Condition Look up'!$A$4:$A$131,0)),"")</f>
        <v/>
      </c>
      <c r="E131" s="329" t="str">
        <f>'D-1 Off Site Habitat Baseline'!AL130</f>
        <v/>
      </c>
      <c r="F131" s="175" t="str">
        <f>IF(E131="","",IF(ISNA(VLOOKUP($E131,'D-1 Off Site Habitat Baseline'!$D$1:$O$258,4,FALSE)),"",(VLOOKUP($E131,'D-1 Off Site Habitat Baseline'!$D$1:$O$258,4,FALSE))))</f>
        <v/>
      </c>
      <c r="G131" s="175" t="str">
        <f>IF(E131="","",IF(ISNA(VLOOKUP($E131,'D-1 Off Site Habitat Baseline'!$D$1:$O$258,5,FALSE)),"",(VLOOKUP($E131,'D-1 Off Site Habitat Baseline'!$D$1:$O$258,5,FALSE))))</f>
        <v/>
      </c>
      <c r="H131" s="175" t="str">
        <f>IF(E131="","",IF(ISNA(VLOOKUP($E131,'D-1 Off Site Habitat Baseline'!$D$1:$O$258,6,FALSE)),"",(VLOOKUP($E131,'D-1 Off Site Habitat Baseline'!$D$1:$O$258,6,FALSE))))</f>
        <v/>
      </c>
      <c r="I131" s="175" t="str">
        <f>IF(E131="","",IF(ISNA(VLOOKUP($E131,'D-1 Off Site Habitat Baseline'!$D$1:$O$258,7,FALSE)),"",(VLOOKUP($E131,'D-1 Off Site Habitat Baseline'!$D$1:$O$258,7,FALSE))))</f>
        <v/>
      </c>
      <c r="J131" s="175" t="str">
        <f>IF(E131="","",IF(ISNA(VLOOKUP($E131,'D-1 Off Site Habitat Baseline'!$D$1:$O$258,8,FALSE)),"",(VLOOKUP($E131,'D-1 Off Site Habitat Baseline'!$D$1:$O$258,8,FALSE))))</f>
        <v/>
      </c>
      <c r="K131" s="175" t="str">
        <f>IF(E131="","",IF(ISNA(VLOOKUP($E131,'D-1 Off Site Habitat Baseline'!$D$1:$O$258,9,FALSE)),"",(VLOOKUP($E131,'D-1 Off Site Habitat Baseline'!$D$1:$O$258,9,FALSE))))</f>
        <v/>
      </c>
      <c r="L131" s="175" t="str">
        <f>IF(E131="","",IF(ISNA(VLOOKUP($E131,'D-1 Off Site Habitat Baseline'!$D$1:$O$258,11,FALSE)),"",(VLOOKUP($E131,'D-1 Off Site Habitat Baseline'!$D$1:$O$258,11,FALSE))))</f>
        <v/>
      </c>
      <c r="M131" s="175" t="str">
        <f>IF(E131="","",IF(ISNA(VLOOKUP($E131,'D-1 Off Site Habitat Baseline'!$D$1:$O$258,12,FALSE)),"",(VLOOKUP($E131,'D-1 Off Site Habitat Baseline'!$D$1:$O$258,12,FALSE))))</f>
        <v/>
      </c>
      <c r="N131" s="175" t="str">
        <f>IF(E131="","",IF(ISNA(VLOOKUP($E131,'D-1 Off Site Habitat Baseline'!$D$1:$X$258,14,FALSE)),"",(VLOOKUP($E131,'D-1 Off Site Habitat Baseline'!$D$1:$X$258,14,FALSE))))</f>
        <v/>
      </c>
      <c r="O131" s="176" t="str">
        <f>IF(E131="","",IF(ISNA(VLOOKUP($E131,'D-1 Off Site Habitat Baseline'!$D$1:$X$258,13,FALSE)),"",(VLOOKUP($E131,'D-1 Off Site Habitat Baseline'!$D$1:$X$258,13,FALSE))))</f>
        <v/>
      </c>
      <c r="P131" s="337" t="str">
        <f>IFERROR(INDEX('G-1 All Habitats'!$AG$3:$AG$15,MATCH(Q131,'G-1 All Habitats'!$AF$3:$AF$15,0)),"")</f>
        <v/>
      </c>
      <c r="Q131" s="331" t="str">
        <f t="shared" si="24"/>
        <v/>
      </c>
      <c r="R131" s="332" t="str">
        <f t="shared" si="25"/>
        <v/>
      </c>
      <c r="S131" s="338" t="str">
        <f>IFERROR(INDEX('G-1 All Habitats'!$B$3:$B$130,MATCH(R131,'G-1 All Habitats'!$A$3:$A$130,0)),"")</f>
        <v/>
      </c>
      <c r="T131" s="179" t="str">
        <f t="shared" si="17"/>
        <v/>
      </c>
      <c r="U131" s="172" t="str">
        <f t="shared" si="18"/>
        <v/>
      </c>
      <c r="V131" s="334" t="str">
        <f t="shared" si="15"/>
        <v/>
      </c>
      <c r="W131" s="175" t="str">
        <f>IF(S131="","",VLOOKUP(S131,'G-1 All Habitats'!$B$2:$M$130,10,FALSE))</f>
        <v/>
      </c>
      <c r="X131" s="175" t="str">
        <f>IFERROR(VLOOKUP(W131,'G-1 All Habitats'!$V$3:$W$7,2,FALSE),"")</f>
        <v/>
      </c>
      <c r="Y131" s="275"/>
      <c r="Z131" s="176" t="str">
        <f>IFERROR(INDEX('G-8 Condition Look up'!$A$3:$H$131,MATCH(S131,'G-8 Condition Look up'!$A$3:$A$131,0),MATCH(Y131,'G-8 Condition Look up'!$A$3:$H$3,0)),"")</f>
        <v/>
      </c>
      <c r="AA131" s="173"/>
      <c r="AB131" s="269" t="str">
        <f>IF(AA131="","",IF(VLOOKUP(AA131,'G-3 Multipliers'!$L$3:$N$6,2,FALSE)=0,"Spatial Data Missing",VLOOKUP(AA131,'G-3 Multipliers'!$L$3:$N$6,2,FALSE)))</f>
        <v/>
      </c>
      <c r="AC131" s="176" t="str">
        <f>IF(AA131="","",IF(VLOOKUP(AA131,'G-3 Multipliers'!$L$3:$N$6,3,FALSE)=0,"Spatial Data Missing",VLOOKUP(AA131,'G-3 Multipliers'!$L$3:$N$6,3,FALSE)))</f>
        <v/>
      </c>
      <c r="AD131" s="239" t="str">
        <f t="shared" si="16"/>
        <v/>
      </c>
      <c r="AE131" s="275"/>
      <c r="AF131" s="275"/>
      <c r="AG131" s="175" t="str">
        <f t="shared" si="19"/>
        <v/>
      </c>
      <c r="AH131" s="242" t="str">
        <f t="shared" si="20"/>
        <v/>
      </c>
      <c r="AI131" s="335" t="str">
        <f>IF(AH131="Check Data","Check Data",IFERROR(VLOOKUP(AH131,'G-4 Temporal multipliers'!$A$4:$C$36,3,FALSE),""))</f>
        <v/>
      </c>
      <c r="AJ131" s="239" t="str">
        <f>IF(S131="","",VLOOKUP(S131,'G-3 Multipliers'!$A$2:$E$130,4,FALSE))</f>
        <v/>
      </c>
      <c r="AK131" s="175" t="str">
        <f t="shared" si="21"/>
        <v/>
      </c>
      <c r="AL131" s="175" t="str">
        <f t="shared" si="22"/>
        <v/>
      </c>
      <c r="AM131" s="176" t="str">
        <f>IFERROR(IF(F131="","",IF(AH131="Check Data","Check Data",VLOOKUP(AL131, 'G-3 Multipliers'!$P$2:$Q$6,2,FALSE))),””)</f>
        <v/>
      </c>
      <c r="AN131" s="266"/>
      <c r="AO131" s="269" t="str">
        <f>IF(AN131="","",IF(VLOOKUP(AN131,'G-3 Multipliers'!$S$3:$T$9,2,FALSE)=0,"Spatial Data Missing",VLOOKUP(AN131,'G-3 Multipliers'!$S$3:$T$9,2,FALSE)))</f>
        <v/>
      </c>
      <c r="AP131" s="207" t="str">
        <f t="shared" si="23"/>
        <v/>
      </c>
      <c r="AQ131" s="336"/>
      <c r="AR131" s="181"/>
    </row>
    <row r="132" spans="1:44" x14ac:dyDescent="0.25">
      <c r="A132" s="35" t="str">
        <f>IF(E132="","",IF(ISNA(VLOOKUP($E132,'D-1 Off Site Habitat Baseline'!$D$1:$O$258,2,FALSE)),"",(VLOOKUP($E132,'D-1 Off Site Habitat Baseline'!$D$1:$O$258,2,FALSE))))</f>
        <v/>
      </c>
      <c r="B132" s="35" t="str">
        <f>IF(E132="","",IF(ISNA(VLOOKUP($E132,'D-1 Off Site Habitat Baseline'!$D$1:$O$258,3,FALSE)),"",(VLOOKUP($E132,'D-1 Off Site Habitat Baseline'!$D$1:$O$258,3,FALSE))))</f>
        <v/>
      </c>
      <c r="C132" s="35" t="str">
        <f>IFERROR(INDEX('G-8 Condition Look up'!$I$4:$I$131,MATCH(S132,'G-8 Condition Look up'!$A$4:$A$131,0)),"")</f>
        <v/>
      </c>
      <c r="E132" s="329" t="str">
        <f>'D-1 Off Site Habitat Baseline'!AL131</f>
        <v/>
      </c>
      <c r="F132" s="175" t="str">
        <f>IF(E132="","",IF(ISNA(VLOOKUP($E132,'D-1 Off Site Habitat Baseline'!$D$1:$O$258,4,FALSE)),"",(VLOOKUP($E132,'D-1 Off Site Habitat Baseline'!$D$1:$O$258,4,FALSE))))</f>
        <v/>
      </c>
      <c r="G132" s="175" t="str">
        <f>IF(E132="","",IF(ISNA(VLOOKUP($E132,'D-1 Off Site Habitat Baseline'!$D$1:$O$258,5,FALSE)),"",(VLOOKUP($E132,'D-1 Off Site Habitat Baseline'!$D$1:$O$258,5,FALSE))))</f>
        <v/>
      </c>
      <c r="H132" s="175" t="str">
        <f>IF(E132="","",IF(ISNA(VLOOKUP($E132,'D-1 Off Site Habitat Baseline'!$D$1:$O$258,6,FALSE)),"",(VLOOKUP($E132,'D-1 Off Site Habitat Baseline'!$D$1:$O$258,6,FALSE))))</f>
        <v/>
      </c>
      <c r="I132" s="175" t="str">
        <f>IF(E132="","",IF(ISNA(VLOOKUP($E132,'D-1 Off Site Habitat Baseline'!$D$1:$O$258,7,FALSE)),"",(VLOOKUP($E132,'D-1 Off Site Habitat Baseline'!$D$1:$O$258,7,FALSE))))</f>
        <v/>
      </c>
      <c r="J132" s="175" t="str">
        <f>IF(E132="","",IF(ISNA(VLOOKUP($E132,'D-1 Off Site Habitat Baseline'!$D$1:$O$258,8,FALSE)),"",(VLOOKUP($E132,'D-1 Off Site Habitat Baseline'!$D$1:$O$258,8,FALSE))))</f>
        <v/>
      </c>
      <c r="K132" s="175" t="str">
        <f>IF(E132="","",IF(ISNA(VLOOKUP($E132,'D-1 Off Site Habitat Baseline'!$D$1:$O$258,9,FALSE)),"",(VLOOKUP($E132,'D-1 Off Site Habitat Baseline'!$D$1:$O$258,9,FALSE))))</f>
        <v/>
      </c>
      <c r="L132" s="175" t="str">
        <f>IF(E132="","",IF(ISNA(VLOOKUP($E132,'D-1 Off Site Habitat Baseline'!$D$1:$O$258,11,FALSE)),"",(VLOOKUP($E132,'D-1 Off Site Habitat Baseline'!$D$1:$O$258,11,FALSE))))</f>
        <v/>
      </c>
      <c r="M132" s="175" t="str">
        <f>IF(E132="","",IF(ISNA(VLOOKUP($E132,'D-1 Off Site Habitat Baseline'!$D$1:$O$258,12,FALSE)),"",(VLOOKUP($E132,'D-1 Off Site Habitat Baseline'!$D$1:$O$258,12,FALSE))))</f>
        <v/>
      </c>
      <c r="N132" s="175" t="str">
        <f>IF(E132="","",IF(ISNA(VLOOKUP($E132,'D-1 Off Site Habitat Baseline'!$D$1:$X$258,14,FALSE)),"",(VLOOKUP($E132,'D-1 Off Site Habitat Baseline'!$D$1:$X$258,14,FALSE))))</f>
        <v/>
      </c>
      <c r="O132" s="176" t="str">
        <f>IF(E132="","",IF(ISNA(VLOOKUP($E132,'D-1 Off Site Habitat Baseline'!$D$1:$X$258,13,FALSE)),"",(VLOOKUP($E132,'D-1 Off Site Habitat Baseline'!$D$1:$X$258,13,FALSE))))</f>
        <v/>
      </c>
      <c r="P132" s="337" t="str">
        <f>IFERROR(INDEX('G-1 All Habitats'!$AG$3:$AG$15,MATCH(Q132,'G-1 All Habitats'!$AF$3:$AF$15,0)),"")</f>
        <v/>
      </c>
      <c r="Q132" s="331" t="str">
        <f t="shared" si="24"/>
        <v/>
      </c>
      <c r="R132" s="332" t="str">
        <f t="shared" si="25"/>
        <v/>
      </c>
      <c r="S132" s="338" t="str">
        <f>IFERROR(INDEX('G-1 All Habitats'!$B$3:$B$130,MATCH(R132,'G-1 All Habitats'!$A$3:$A$130,0)),"")</f>
        <v/>
      </c>
      <c r="T132" s="179" t="str">
        <f t="shared" si="17"/>
        <v/>
      </c>
      <c r="U132" s="172" t="str">
        <f t="shared" si="18"/>
        <v/>
      </c>
      <c r="V132" s="334" t="str">
        <f t="shared" si="15"/>
        <v/>
      </c>
      <c r="W132" s="175" t="str">
        <f>IF(S132="","",VLOOKUP(S132,'G-1 All Habitats'!$B$2:$M$130,10,FALSE))</f>
        <v/>
      </c>
      <c r="X132" s="175" t="str">
        <f>IFERROR(VLOOKUP(W132,'G-1 All Habitats'!$V$3:$W$7,2,FALSE),"")</f>
        <v/>
      </c>
      <c r="Y132" s="275"/>
      <c r="Z132" s="176" t="str">
        <f>IFERROR(INDEX('G-8 Condition Look up'!$A$3:$H$131,MATCH(S132,'G-8 Condition Look up'!$A$3:$A$131,0),MATCH(Y132,'G-8 Condition Look up'!$A$3:$H$3,0)),"")</f>
        <v/>
      </c>
      <c r="AA132" s="173"/>
      <c r="AB132" s="269" t="str">
        <f>IF(AA132="","",IF(VLOOKUP(AA132,'G-3 Multipliers'!$L$3:$N$6,2,FALSE)=0,"Spatial Data Missing",VLOOKUP(AA132,'G-3 Multipliers'!$L$3:$N$6,2,FALSE)))</f>
        <v/>
      </c>
      <c r="AC132" s="176" t="str">
        <f>IF(AA132="","",IF(VLOOKUP(AA132,'G-3 Multipliers'!$L$3:$N$6,3,FALSE)=0,"Spatial Data Missing",VLOOKUP(AA132,'G-3 Multipliers'!$L$3:$N$6,3,FALSE)))</f>
        <v/>
      </c>
      <c r="AD132" s="239" t="str">
        <f t="shared" si="16"/>
        <v/>
      </c>
      <c r="AE132" s="275"/>
      <c r="AF132" s="275"/>
      <c r="AG132" s="175" t="str">
        <f t="shared" si="19"/>
        <v/>
      </c>
      <c r="AH132" s="242" t="str">
        <f t="shared" si="20"/>
        <v/>
      </c>
      <c r="AI132" s="335" t="str">
        <f>IF(AH132="Check Data","Check Data",IFERROR(VLOOKUP(AH132,'G-4 Temporal multipliers'!$A$4:$C$36,3,FALSE),""))</f>
        <v/>
      </c>
      <c r="AJ132" s="239" t="str">
        <f>IF(S132="","",VLOOKUP(S132,'G-3 Multipliers'!$A$2:$E$130,4,FALSE))</f>
        <v/>
      </c>
      <c r="AK132" s="175" t="str">
        <f t="shared" si="21"/>
        <v/>
      </c>
      <c r="AL132" s="175" t="str">
        <f t="shared" si="22"/>
        <v/>
      </c>
      <c r="AM132" s="176" t="str">
        <f>IFERROR(IF(F132="","",IF(AH132="Check Data","Check Data",VLOOKUP(AL132, 'G-3 Multipliers'!$P$2:$Q$6,2,FALSE))),””)</f>
        <v/>
      </c>
      <c r="AN132" s="266"/>
      <c r="AO132" s="269" t="str">
        <f>IF(AN132="","",IF(VLOOKUP(AN132,'G-3 Multipliers'!$S$3:$T$9,2,FALSE)=0,"Spatial Data Missing",VLOOKUP(AN132,'G-3 Multipliers'!$S$3:$T$9,2,FALSE)))</f>
        <v/>
      </c>
      <c r="AP132" s="207" t="str">
        <f t="shared" si="23"/>
        <v/>
      </c>
      <c r="AQ132" s="336"/>
      <c r="AR132" s="181"/>
    </row>
    <row r="133" spans="1:44" x14ac:dyDescent="0.25">
      <c r="A133" s="35" t="str">
        <f>IF(E133="","",IF(ISNA(VLOOKUP($E133,'D-1 Off Site Habitat Baseline'!$D$1:$O$258,2,FALSE)),"",(VLOOKUP($E133,'D-1 Off Site Habitat Baseline'!$D$1:$O$258,2,FALSE))))</f>
        <v/>
      </c>
      <c r="B133" s="35" t="str">
        <f>IF(E133="","",IF(ISNA(VLOOKUP($E133,'D-1 Off Site Habitat Baseline'!$D$1:$O$258,3,FALSE)),"",(VLOOKUP($E133,'D-1 Off Site Habitat Baseline'!$D$1:$O$258,3,FALSE))))</f>
        <v/>
      </c>
      <c r="C133" s="35" t="str">
        <f>IFERROR(INDEX('G-8 Condition Look up'!$I$4:$I$131,MATCH(S133,'G-8 Condition Look up'!$A$4:$A$131,0)),"")</f>
        <v/>
      </c>
      <c r="E133" s="329" t="str">
        <f>'D-1 Off Site Habitat Baseline'!AL132</f>
        <v/>
      </c>
      <c r="F133" s="175" t="str">
        <f>IF(E133="","",IF(ISNA(VLOOKUP($E133,'D-1 Off Site Habitat Baseline'!$D$1:$O$258,4,FALSE)),"",(VLOOKUP($E133,'D-1 Off Site Habitat Baseline'!$D$1:$O$258,4,FALSE))))</f>
        <v/>
      </c>
      <c r="G133" s="175" t="str">
        <f>IF(E133="","",IF(ISNA(VLOOKUP($E133,'D-1 Off Site Habitat Baseline'!$D$1:$O$258,5,FALSE)),"",(VLOOKUP($E133,'D-1 Off Site Habitat Baseline'!$D$1:$O$258,5,FALSE))))</f>
        <v/>
      </c>
      <c r="H133" s="175" t="str">
        <f>IF(E133="","",IF(ISNA(VLOOKUP($E133,'D-1 Off Site Habitat Baseline'!$D$1:$O$258,6,FALSE)),"",(VLOOKUP($E133,'D-1 Off Site Habitat Baseline'!$D$1:$O$258,6,FALSE))))</f>
        <v/>
      </c>
      <c r="I133" s="175" t="str">
        <f>IF(E133="","",IF(ISNA(VLOOKUP($E133,'D-1 Off Site Habitat Baseline'!$D$1:$O$258,7,FALSE)),"",(VLOOKUP($E133,'D-1 Off Site Habitat Baseline'!$D$1:$O$258,7,FALSE))))</f>
        <v/>
      </c>
      <c r="J133" s="175" t="str">
        <f>IF(E133="","",IF(ISNA(VLOOKUP($E133,'D-1 Off Site Habitat Baseline'!$D$1:$O$258,8,FALSE)),"",(VLOOKUP($E133,'D-1 Off Site Habitat Baseline'!$D$1:$O$258,8,FALSE))))</f>
        <v/>
      </c>
      <c r="K133" s="175" t="str">
        <f>IF(E133="","",IF(ISNA(VLOOKUP($E133,'D-1 Off Site Habitat Baseline'!$D$1:$O$258,9,FALSE)),"",(VLOOKUP($E133,'D-1 Off Site Habitat Baseline'!$D$1:$O$258,9,FALSE))))</f>
        <v/>
      </c>
      <c r="L133" s="175" t="str">
        <f>IF(E133="","",IF(ISNA(VLOOKUP($E133,'D-1 Off Site Habitat Baseline'!$D$1:$O$258,11,FALSE)),"",(VLOOKUP($E133,'D-1 Off Site Habitat Baseline'!$D$1:$O$258,11,FALSE))))</f>
        <v/>
      </c>
      <c r="M133" s="175" t="str">
        <f>IF(E133="","",IF(ISNA(VLOOKUP($E133,'D-1 Off Site Habitat Baseline'!$D$1:$O$258,12,FALSE)),"",(VLOOKUP($E133,'D-1 Off Site Habitat Baseline'!$D$1:$O$258,12,FALSE))))</f>
        <v/>
      </c>
      <c r="N133" s="175" t="str">
        <f>IF(E133="","",IF(ISNA(VLOOKUP($E133,'D-1 Off Site Habitat Baseline'!$D$1:$X$258,14,FALSE)),"",(VLOOKUP($E133,'D-1 Off Site Habitat Baseline'!$D$1:$X$258,14,FALSE))))</f>
        <v/>
      </c>
      <c r="O133" s="176" t="str">
        <f>IF(E133="","",IF(ISNA(VLOOKUP($E133,'D-1 Off Site Habitat Baseline'!$D$1:$X$258,13,FALSE)),"",(VLOOKUP($E133,'D-1 Off Site Habitat Baseline'!$D$1:$X$258,13,FALSE))))</f>
        <v/>
      </c>
      <c r="P133" s="337" t="str">
        <f>IFERROR(INDEX('G-1 All Habitats'!$AG$3:$AG$15,MATCH(Q133,'G-1 All Habitats'!$AF$3:$AF$15,0)),"")</f>
        <v/>
      </c>
      <c r="Q133" s="331" t="str">
        <f t="shared" si="24"/>
        <v/>
      </c>
      <c r="R133" s="332" t="str">
        <f t="shared" si="25"/>
        <v/>
      </c>
      <c r="S133" s="338" t="str">
        <f>IFERROR(INDEX('G-1 All Habitats'!$B$3:$B$130,MATCH(R133,'G-1 All Habitats'!$A$3:$A$130,0)),"")</f>
        <v/>
      </c>
      <c r="T133" s="179" t="str">
        <f t="shared" si="17"/>
        <v/>
      </c>
      <c r="U133" s="172" t="str">
        <f t="shared" si="18"/>
        <v/>
      </c>
      <c r="V133" s="334" t="str">
        <f t="shared" si="15"/>
        <v/>
      </c>
      <c r="W133" s="175" t="str">
        <f>IF(S133="","",VLOOKUP(S133,'G-1 All Habitats'!$B$2:$M$130,10,FALSE))</f>
        <v/>
      </c>
      <c r="X133" s="175" t="str">
        <f>IFERROR(VLOOKUP(W133,'G-1 All Habitats'!$V$3:$W$7,2,FALSE),"")</f>
        <v/>
      </c>
      <c r="Y133" s="275"/>
      <c r="Z133" s="176" t="str">
        <f>IFERROR(INDEX('G-8 Condition Look up'!$A$3:$H$131,MATCH(S133,'G-8 Condition Look up'!$A$3:$A$131,0),MATCH(Y133,'G-8 Condition Look up'!$A$3:$H$3,0)),"")</f>
        <v/>
      </c>
      <c r="AA133" s="173"/>
      <c r="AB133" s="269" t="str">
        <f>IF(AA133="","",IF(VLOOKUP(AA133,'G-3 Multipliers'!$L$3:$N$6,2,FALSE)=0,"Spatial Data Missing",VLOOKUP(AA133,'G-3 Multipliers'!$L$3:$N$6,2,FALSE)))</f>
        <v/>
      </c>
      <c r="AC133" s="176" t="str">
        <f>IF(AA133="","",IF(VLOOKUP(AA133,'G-3 Multipliers'!$L$3:$N$6,3,FALSE)=0,"Spatial Data Missing",VLOOKUP(AA133,'G-3 Multipliers'!$L$3:$N$6,3,FALSE)))</f>
        <v/>
      </c>
      <c r="AD133" s="239" t="str">
        <f t="shared" si="16"/>
        <v/>
      </c>
      <c r="AE133" s="275"/>
      <c r="AF133" s="275"/>
      <c r="AG133" s="175" t="str">
        <f t="shared" si="19"/>
        <v/>
      </c>
      <c r="AH133" s="242" t="str">
        <f t="shared" si="20"/>
        <v/>
      </c>
      <c r="AI133" s="335" t="str">
        <f>IF(AH133="Check Data","Check Data",IFERROR(VLOOKUP(AH133,'G-4 Temporal multipliers'!$A$4:$C$36,3,FALSE),""))</f>
        <v/>
      </c>
      <c r="AJ133" s="239" t="str">
        <f>IF(S133="","",VLOOKUP(S133,'G-3 Multipliers'!$A$2:$E$130,4,FALSE))</f>
        <v/>
      </c>
      <c r="AK133" s="175" t="str">
        <f t="shared" si="21"/>
        <v/>
      </c>
      <c r="AL133" s="175" t="str">
        <f t="shared" si="22"/>
        <v/>
      </c>
      <c r="AM133" s="176" t="str">
        <f>IFERROR(IF(F133="","",IF(AH133="Check Data","Check Data",VLOOKUP(AL133, 'G-3 Multipliers'!$P$2:$Q$6,2,FALSE))),””)</f>
        <v/>
      </c>
      <c r="AN133" s="266"/>
      <c r="AO133" s="269" t="str">
        <f>IF(AN133="","",IF(VLOOKUP(AN133,'G-3 Multipliers'!$S$3:$T$9,2,FALSE)=0,"Spatial Data Missing",VLOOKUP(AN133,'G-3 Multipliers'!$S$3:$T$9,2,FALSE)))</f>
        <v/>
      </c>
      <c r="AP133" s="207" t="str">
        <f t="shared" si="23"/>
        <v/>
      </c>
      <c r="AQ133" s="336"/>
      <c r="AR133" s="181"/>
    </row>
    <row r="134" spans="1:44" x14ac:dyDescent="0.25">
      <c r="A134" s="35" t="str">
        <f>IF(E134="","",IF(ISNA(VLOOKUP($E134,'D-1 Off Site Habitat Baseline'!$D$1:$O$258,2,FALSE)),"",(VLOOKUP($E134,'D-1 Off Site Habitat Baseline'!$D$1:$O$258,2,FALSE))))</f>
        <v/>
      </c>
      <c r="B134" s="35" t="str">
        <f>IF(E134="","",IF(ISNA(VLOOKUP($E134,'D-1 Off Site Habitat Baseline'!$D$1:$O$258,3,FALSE)),"",(VLOOKUP($E134,'D-1 Off Site Habitat Baseline'!$D$1:$O$258,3,FALSE))))</f>
        <v/>
      </c>
      <c r="C134" s="35" t="str">
        <f>IFERROR(INDEX('G-8 Condition Look up'!$I$4:$I$131,MATCH(S134,'G-8 Condition Look up'!$A$4:$A$131,0)),"")</f>
        <v/>
      </c>
      <c r="E134" s="329" t="str">
        <f>'D-1 Off Site Habitat Baseline'!AL133</f>
        <v/>
      </c>
      <c r="F134" s="175" t="str">
        <f>IF(E134="","",IF(ISNA(VLOOKUP($E134,'D-1 Off Site Habitat Baseline'!$D$1:$O$258,4,FALSE)),"",(VLOOKUP($E134,'D-1 Off Site Habitat Baseline'!$D$1:$O$258,4,FALSE))))</f>
        <v/>
      </c>
      <c r="G134" s="175" t="str">
        <f>IF(E134="","",IF(ISNA(VLOOKUP($E134,'D-1 Off Site Habitat Baseline'!$D$1:$O$258,5,FALSE)),"",(VLOOKUP($E134,'D-1 Off Site Habitat Baseline'!$D$1:$O$258,5,FALSE))))</f>
        <v/>
      </c>
      <c r="H134" s="175" t="str">
        <f>IF(E134="","",IF(ISNA(VLOOKUP($E134,'D-1 Off Site Habitat Baseline'!$D$1:$O$258,6,FALSE)),"",(VLOOKUP($E134,'D-1 Off Site Habitat Baseline'!$D$1:$O$258,6,FALSE))))</f>
        <v/>
      </c>
      <c r="I134" s="175" t="str">
        <f>IF(E134="","",IF(ISNA(VLOOKUP($E134,'D-1 Off Site Habitat Baseline'!$D$1:$O$258,7,FALSE)),"",(VLOOKUP($E134,'D-1 Off Site Habitat Baseline'!$D$1:$O$258,7,FALSE))))</f>
        <v/>
      </c>
      <c r="J134" s="175" t="str">
        <f>IF(E134="","",IF(ISNA(VLOOKUP($E134,'D-1 Off Site Habitat Baseline'!$D$1:$O$258,8,FALSE)),"",(VLOOKUP($E134,'D-1 Off Site Habitat Baseline'!$D$1:$O$258,8,FALSE))))</f>
        <v/>
      </c>
      <c r="K134" s="175" t="str">
        <f>IF(E134="","",IF(ISNA(VLOOKUP($E134,'D-1 Off Site Habitat Baseline'!$D$1:$O$258,9,FALSE)),"",(VLOOKUP($E134,'D-1 Off Site Habitat Baseline'!$D$1:$O$258,9,FALSE))))</f>
        <v/>
      </c>
      <c r="L134" s="175" t="str">
        <f>IF(E134="","",IF(ISNA(VLOOKUP($E134,'D-1 Off Site Habitat Baseline'!$D$1:$O$258,11,FALSE)),"",(VLOOKUP($E134,'D-1 Off Site Habitat Baseline'!$D$1:$O$258,11,FALSE))))</f>
        <v/>
      </c>
      <c r="M134" s="175" t="str">
        <f>IF(E134="","",IF(ISNA(VLOOKUP($E134,'D-1 Off Site Habitat Baseline'!$D$1:$O$258,12,FALSE)),"",(VLOOKUP($E134,'D-1 Off Site Habitat Baseline'!$D$1:$O$258,12,FALSE))))</f>
        <v/>
      </c>
      <c r="N134" s="175" t="str">
        <f>IF(E134="","",IF(ISNA(VLOOKUP($E134,'D-1 Off Site Habitat Baseline'!$D$1:$X$258,14,FALSE)),"",(VLOOKUP($E134,'D-1 Off Site Habitat Baseline'!$D$1:$X$258,14,FALSE))))</f>
        <v/>
      </c>
      <c r="O134" s="176" t="str">
        <f>IF(E134="","",IF(ISNA(VLOOKUP($E134,'D-1 Off Site Habitat Baseline'!$D$1:$X$258,13,FALSE)),"",(VLOOKUP($E134,'D-1 Off Site Habitat Baseline'!$D$1:$X$258,13,FALSE))))</f>
        <v/>
      </c>
      <c r="P134" s="337" t="str">
        <f>IFERROR(INDEX('G-1 All Habitats'!$AG$3:$AG$15,MATCH(Q134,'G-1 All Habitats'!$AF$3:$AF$15,0)),"")</f>
        <v/>
      </c>
      <c r="Q134" s="331" t="str">
        <f t="shared" si="24"/>
        <v/>
      </c>
      <c r="R134" s="332" t="str">
        <f t="shared" si="25"/>
        <v/>
      </c>
      <c r="S134" s="338" t="str">
        <f>IFERROR(INDEX('G-1 All Habitats'!$B$3:$B$130,MATCH(R134,'G-1 All Habitats'!$A$3:$A$130,0)),"")</f>
        <v/>
      </c>
      <c r="T134" s="179" t="str">
        <f t="shared" si="17"/>
        <v/>
      </c>
      <c r="U134" s="172" t="str">
        <f t="shared" si="18"/>
        <v/>
      </c>
      <c r="V134" s="334" t="str">
        <f t="shared" si="15"/>
        <v/>
      </c>
      <c r="W134" s="175" t="str">
        <f>IF(S134="","",VLOOKUP(S134,'G-1 All Habitats'!$B$2:$M$130,10,FALSE))</f>
        <v/>
      </c>
      <c r="X134" s="175" t="str">
        <f>IFERROR(VLOOKUP(W134,'G-1 All Habitats'!$V$3:$W$7,2,FALSE),"")</f>
        <v/>
      </c>
      <c r="Y134" s="275"/>
      <c r="Z134" s="176" t="str">
        <f>IFERROR(INDEX('G-8 Condition Look up'!$A$3:$H$131,MATCH(S134,'G-8 Condition Look up'!$A$3:$A$131,0),MATCH(Y134,'G-8 Condition Look up'!$A$3:$H$3,0)),"")</f>
        <v/>
      </c>
      <c r="AA134" s="173"/>
      <c r="AB134" s="269" t="str">
        <f>IF(AA134="","",IF(VLOOKUP(AA134,'G-3 Multipliers'!$L$3:$N$6,2,FALSE)=0,"Spatial Data Missing",VLOOKUP(AA134,'G-3 Multipliers'!$L$3:$N$6,2,FALSE)))</f>
        <v/>
      </c>
      <c r="AC134" s="176" t="str">
        <f>IF(AA134="","",IF(VLOOKUP(AA134,'G-3 Multipliers'!$L$3:$N$6,3,FALSE)=0,"Spatial Data Missing",VLOOKUP(AA134,'G-3 Multipliers'!$L$3:$N$6,3,FALSE)))</f>
        <v/>
      </c>
      <c r="AD134" s="239" t="str">
        <f t="shared" si="16"/>
        <v/>
      </c>
      <c r="AE134" s="275"/>
      <c r="AF134" s="275"/>
      <c r="AG134" s="175" t="str">
        <f t="shared" si="19"/>
        <v/>
      </c>
      <c r="AH134" s="242" t="str">
        <f t="shared" si="20"/>
        <v/>
      </c>
      <c r="AI134" s="335" t="str">
        <f>IF(AH134="Check Data","Check Data",IFERROR(VLOOKUP(AH134,'G-4 Temporal multipliers'!$A$4:$C$36,3,FALSE),""))</f>
        <v/>
      </c>
      <c r="AJ134" s="239" t="str">
        <f>IF(S134="","",VLOOKUP(S134,'G-3 Multipliers'!$A$2:$E$130,4,FALSE))</f>
        <v/>
      </c>
      <c r="AK134" s="175" t="str">
        <f t="shared" si="21"/>
        <v/>
      </c>
      <c r="AL134" s="175" t="str">
        <f t="shared" si="22"/>
        <v/>
      </c>
      <c r="AM134" s="176" t="str">
        <f>IFERROR(IF(F134="","",IF(AH134="Check Data","Check Data",VLOOKUP(AL134, 'G-3 Multipliers'!$P$2:$Q$6,2,FALSE))),””)</f>
        <v/>
      </c>
      <c r="AN134" s="266"/>
      <c r="AO134" s="269" t="str">
        <f>IF(AN134="","",IF(VLOOKUP(AN134,'G-3 Multipliers'!$S$3:$T$9,2,FALSE)=0,"Spatial Data Missing",VLOOKUP(AN134,'G-3 Multipliers'!$S$3:$T$9,2,FALSE)))</f>
        <v/>
      </c>
      <c r="AP134" s="207" t="str">
        <f t="shared" si="23"/>
        <v/>
      </c>
      <c r="AQ134" s="336"/>
      <c r="AR134" s="181"/>
    </row>
    <row r="135" spans="1:44" x14ac:dyDescent="0.25">
      <c r="A135" s="35" t="str">
        <f>IF(E135="","",IF(ISNA(VLOOKUP($E135,'D-1 Off Site Habitat Baseline'!$D$1:$O$258,2,FALSE)),"",(VLOOKUP($E135,'D-1 Off Site Habitat Baseline'!$D$1:$O$258,2,FALSE))))</f>
        <v/>
      </c>
      <c r="B135" s="35" t="str">
        <f>IF(E135="","",IF(ISNA(VLOOKUP($E135,'D-1 Off Site Habitat Baseline'!$D$1:$O$258,3,FALSE)),"",(VLOOKUP($E135,'D-1 Off Site Habitat Baseline'!$D$1:$O$258,3,FALSE))))</f>
        <v/>
      </c>
      <c r="C135" s="35" t="str">
        <f>IFERROR(INDEX('G-8 Condition Look up'!$I$4:$I$131,MATCH(S135,'G-8 Condition Look up'!$A$4:$A$131,0)),"")</f>
        <v/>
      </c>
      <c r="E135" s="329" t="str">
        <f>'D-1 Off Site Habitat Baseline'!AL134</f>
        <v/>
      </c>
      <c r="F135" s="175" t="str">
        <f>IF(E135="","",IF(ISNA(VLOOKUP($E135,'D-1 Off Site Habitat Baseline'!$D$1:$O$258,4,FALSE)),"",(VLOOKUP($E135,'D-1 Off Site Habitat Baseline'!$D$1:$O$258,4,FALSE))))</f>
        <v/>
      </c>
      <c r="G135" s="175" t="str">
        <f>IF(E135="","",IF(ISNA(VLOOKUP($E135,'D-1 Off Site Habitat Baseline'!$D$1:$O$258,5,FALSE)),"",(VLOOKUP($E135,'D-1 Off Site Habitat Baseline'!$D$1:$O$258,5,FALSE))))</f>
        <v/>
      </c>
      <c r="H135" s="175" t="str">
        <f>IF(E135="","",IF(ISNA(VLOOKUP($E135,'D-1 Off Site Habitat Baseline'!$D$1:$O$258,6,FALSE)),"",(VLOOKUP($E135,'D-1 Off Site Habitat Baseline'!$D$1:$O$258,6,FALSE))))</f>
        <v/>
      </c>
      <c r="I135" s="175" t="str">
        <f>IF(E135="","",IF(ISNA(VLOOKUP($E135,'D-1 Off Site Habitat Baseline'!$D$1:$O$258,7,FALSE)),"",(VLOOKUP($E135,'D-1 Off Site Habitat Baseline'!$D$1:$O$258,7,FALSE))))</f>
        <v/>
      </c>
      <c r="J135" s="175" t="str">
        <f>IF(E135="","",IF(ISNA(VLOOKUP($E135,'D-1 Off Site Habitat Baseline'!$D$1:$O$258,8,FALSE)),"",(VLOOKUP($E135,'D-1 Off Site Habitat Baseline'!$D$1:$O$258,8,FALSE))))</f>
        <v/>
      </c>
      <c r="K135" s="175" t="str">
        <f>IF(E135="","",IF(ISNA(VLOOKUP($E135,'D-1 Off Site Habitat Baseline'!$D$1:$O$258,9,FALSE)),"",(VLOOKUP($E135,'D-1 Off Site Habitat Baseline'!$D$1:$O$258,9,FALSE))))</f>
        <v/>
      </c>
      <c r="L135" s="175" t="str">
        <f>IF(E135="","",IF(ISNA(VLOOKUP($E135,'D-1 Off Site Habitat Baseline'!$D$1:$O$258,11,FALSE)),"",(VLOOKUP($E135,'D-1 Off Site Habitat Baseline'!$D$1:$O$258,11,FALSE))))</f>
        <v/>
      </c>
      <c r="M135" s="175" t="str">
        <f>IF(E135="","",IF(ISNA(VLOOKUP($E135,'D-1 Off Site Habitat Baseline'!$D$1:$O$258,12,FALSE)),"",(VLOOKUP($E135,'D-1 Off Site Habitat Baseline'!$D$1:$O$258,12,FALSE))))</f>
        <v/>
      </c>
      <c r="N135" s="175" t="str">
        <f>IF(E135="","",IF(ISNA(VLOOKUP($E135,'D-1 Off Site Habitat Baseline'!$D$1:$X$258,14,FALSE)),"",(VLOOKUP($E135,'D-1 Off Site Habitat Baseline'!$D$1:$X$258,14,FALSE))))</f>
        <v/>
      </c>
      <c r="O135" s="176" t="str">
        <f>IF(E135="","",IF(ISNA(VLOOKUP($E135,'D-1 Off Site Habitat Baseline'!$D$1:$X$258,13,FALSE)),"",(VLOOKUP($E135,'D-1 Off Site Habitat Baseline'!$D$1:$X$258,13,FALSE))))</f>
        <v/>
      </c>
      <c r="P135" s="337" t="str">
        <f>IFERROR(INDEX('G-1 All Habitats'!$AG$3:$AG$15,MATCH(Q135,'G-1 All Habitats'!$AF$3:$AF$15,0)),"")</f>
        <v/>
      </c>
      <c r="Q135" s="331" t="str">
        <f t="shared" si="24"/>
        <v/>
      </c>
      <c r="R135" s="332" t="str">
        <f t="shared" si="25"/>
        <v/>
      </c>
      <c r="S135" s="338" t="str">
        <f>IFERROR(INDEX('G-1 All Habitats'!$B$3:$B$130,MATCH(R135,'G-1 All Habitats'!$A$3:$A$130,0)),"")</f>
        <v/>
      </c>
      <c r="T135" s="179" t="str">
        <f t="shared" si="17"/>
        <v/>
      </c>
      <c r="U135" s="172" t="str">
        <f t="shared" si="18"/>
        <v/>
      </c>
      <c r="V135" s="334" t="str">
        <f t="shared" si="15"/>
        <v/>
      </c>
      <c r="W135" s="175" t="str">
        <f>IF(S135="","",VLOOKUP(S135,'G-1 All Habitats'!$B$2:$M$130,10,FALSE))</f>
        <v/>
      </c>
      <c r="X135" s="175" t="str">
        <f>IFERROR(VLOOKUP(W135,'G-1 All Habitats'!$V$3:$W$7,2,FALSE),"")</f>
        <v/>
      </c>
      <c r="Y135" s="275"/>
      <c r="Z135" s="176" t="str">
        <f>IFERROR(INDEX('G-8 Condition Look up'!$A$3:$H$131,MATCH(S135,'G-8 Condition Look up'!$A$3:$A$131,0),MATCH(Y135,'G-8 Condition Look up'!$A$3:$H$3,0)),"")</f>
        <v/>
      </c>
      <c r="AA135" s="173"/>
      <c r="AB135" s="269" t="str">
        <f>IF(AA135="","",IF(VLOOKUP(AA135,'G-3 Multipliers'!$L$3:$N$6,2,FALSE)=0,"Spatial Data Missing",VLOOKUP(AA135,'G-3 Multipliers'!$L$3:$N$6,2,FALSE)))</f>
        <v/>
      </c>
      <c r="AC135" s="176" t="str">
        <f>IF(AA135="","",IF(VLOOKUP(AA135,'G-3 Multipliers'!$L$3:$N$6,3,FALSE)=0,"Spatial Data Missing",VLOOKUP(AA135,'G-3 Multipliers'!$L$3:$N$6,3,FALSE)))</f>
        <v/>
      </c>
      <c r="AD135" s="239" t="str">
        <f t="shared" si="16"/>
        <v/>
      </c>
      <c r="AE135" s="275"/>
      <c r="AF135" s="275"/>
      <c r="AG135" s="175" t="str">
        <f t="shared" si="19"/>
        <v/>
      </c>
      <c r="AH135" s="242" t="str">
        <f t="shared" si="20"/>
        <v/>
      </c>
      <c r="AI135" s="335" t="str">
        <f>IF(AH135="Check Data","Check Data",IFERROR(VLOOKUP(AH135,'G-4 Temporal multipliers'!$A$4:$C$36,3,FALSE),""))</f>
        <v/>
      </c>
      <c r="AJ135" s="239" t="str">
        <f>IF(S135="","",VLOOKUP(S135,'G-3 Multipliers'!$A$2:$E$130,4,FALSE))</f>
        <v/>
      </c>
      <c r="AK135" s="175" t="str">
        <f t="shared" si="21"/>
        <v/>
      </c>
      <c r="AL135" s="175" t="str">
        <f t="shared" si="22"/>
        <v/>
      </c>
      <c r="AM135" s="176" t="str">
        <f>IFERROR(IF(F135="","",IF(AH135="Check Data","Check Data",VLOOKUP(AL135, 'G-3 Multipliers'!$P$2:$Q$6,2,FALSE))),””)</f>
        <v/>
      </c>
      <c r="AN135" s="266"/>
      <c r="AO135" s="269" t="str">
        <f>IF(AN135="","",IF(VLOOKUP(AN135,'G-3 Multipliers'!$S$3:$T$9,2,FALSE)=0,"Spatial Data Missing",VLOOKUP(AN135,'G-3 Multipliers'!$S$3:$T$9,2,FALSE)))</f>
        <v/>
      </c>
      <c r="AP135" s="207" t="str">
        <f t="shared" si="23"/>
        <v/>
      </c>
      <c r="AQ135" s="336"/>
      <c r="AR135" s="181"/>
    </row>
    <row r="136" spans="1:44" x14ac:dyDescent="0.25">
      <c r="A136" s="35" t="str">
        <f>IF(E136="","",IF(ISNA(VLOOKUP($E136,'D-1 Off Site Habitat Baseline'!$D$1:$O$258,2,FALSE)),"",(VLOOKUP($E136,'D-1 Off Site Habitat Baseline'!$D$1:$O$258,2,FALSE))))</f>
        <v/>
      </c>
      <c r="B136" s="35" t="str">
        <f>IF(E136="","",IF(ISNA(VLOOKUP($E136,'D-1 Off Site Habitat Baseline'!$D$1:$O$258,3,FALSE)),"",(VLOOKUP($E136,'D-1 Off Site Habitat Baseline'!$D$1:$O$258,3,FALSE))))</f>
        <v/>
      </c>
      <c r="C136" s="35" t="str">
        <f>IFERROR(INDEX('G-8 Condition Look up'!$I$4:$I$131,MATCH(S136,'G-8 Condition Look up'!$A$4:$A$131,0)),"")</f>
        <v/>
      </c>
      <c r="E136" s="329" t="str">
        <f>'D-1 Off Site Habitat Baseline'!AL135</f>
        <v/>
      </c>
      <c r="F136" s="175" t="str">
        <f>IF(E136="","",IF(ISNA(VLOOKUP($E136,'D-1 Off Site Habitat Baseline'!$D$1:$O$258,4,FALSE)),"",(VLOOKUP($E136,'D-1 Off Site Habitat Baseline'!$D$1:$O$258,4,FALSE))))</f>
        <v/>
      </c>
      <c r="G136" s="175" t="str">
        <f>IF(E136="","",IF(ISNA(VLOOKUP($E136,'D-1 Off Site Habitat Baseline'!$D$1:$O$258,5,FALSE)),"",(VLOOKUP($E136,'D-1 Off Site Habitat Baseline'!$D$1:$O$258,5,FALSE))))</f>
        <v/>
      </c>
      <c r="H136" s="175" t="str">
        <f>IF(E136="","",IF(ISNA(VLOOKUP($E136,'D-1 Off Site Habitat Baseline'!$D$1:$O$258,6,FALSE)),"",(VLOOKUP($E136,'D-1 Off Site Habitat Baseline'!$D$1:$O$258,6,FALSE))))</f>
        <v/>
      </c>
      <c r="I136" s="175" t="str">
        <f>IF(E136="","",IF(ISNA(VLOOKUP($E136,'D-1 Off Site Habitat Baseline'!$D$1:$O$258,7,FALSE)),"",(VLOOKUP($E136,'D-1 Off Site Habitat Baseline'!$D$1:$O$258,7,FALSE))))</f>
        <v/>
      </c>
      <c r="J136" s="175" t="str">
        <f>IF(E136="","",IF(ISNA(VLOOKUP($E136,'D-1 Off Site Habitat Baseline'!$D$1:$O$258,8,FALSE)),"",(VLOOKUP($E136,'D-1 Off Site Habitat Baseline'!$D$1:$O$258,8,FALSE))))</f>
        <v/>
      </c>
      <c r="K136" s="175" t="str">
        <f>IF(E136="","",IF(ISNA(VLOOKUP($E136,'D-1 Off Site Habitat Baseline'!$D$1:$O$258,9,FALSE)),"",(VLOOKUP($E136,'D-1 Off Site Habitat Baseline'!$D$1:$O$258,9,FALSE))))</f>
        <v/>
      </c>
      <c r="L136" s="175" t="str">
        <f>IF(E136="","",IF(ISNA(VLOOKUP($E136,'D-1 Off Site Habitat Baseline'!$D$1:$O$258,11,FALSE)),"",(VLOOKUP($E136,'D-1 Off Site Habitat Baseline'!$D$1:$O$258,11,FALSE))))</f>
        <v/>
      </c>
      <c r="M136" s="175" t="str">
        <f>IF(E136="","",IF(ISNA(VLOOKUP($E136,'D-1 Off Site Habitat Baseline'!$D$1:$O$258,12,FALSE)),"",(VLOOKUP($E136,'D-1 Off Site Habitat Baseline'!$D$1:$O$258,12,FALSE))))</f>
        <v/>
      </c>
      <c r="N136" s="175" t="str">
        <f>IF(E136="","",IF(ISNA(VLOOKUP($E136,'D-1 Off Site Habitat Baseline'!$D$1:$X$258,14,FALSE)),"",(VLOOKUP($E136,'D-1 Off Site Habitat Baseline'!$D$1:$X$258,14,FALSE))))</f>
        <v/>
      </c>
      <c r="O136" s="176" t="str">
        <f>IF(E136="","",IF(ISNA(VLOOKUP($E136,'D-1 Off Site Habitat Baseline'!$D$1:$X$258,13,FALSE)),"",(VLOOKUP($E136,'D-1 Off Site Habitat Baseline'!$D$1:$X$258,13,FALSE))))</f>
        <v/>
      </c>
      <c r="P136" s="337" t="str">
        <f>IFERROR(INDEX('G-1 All Habitats'!$AG$3:$AG$15,MATCH(Q136,'G-1 All Habitats'!$AF$3:$AF$15,0)),"")</f>
        <v/>
      </c>
      <c r="Q136" s="331" t="str">
        <f t="shared" si="24"/>
        <v/>
      </c>
      <c r="R136" s="332" t="str">
        <f t="shared" si="25"/>
        <v/>
      </c>
      <c r="S136" s="338" t="str">
        <f>IFERROR(INDEX('G-1 All Habitats'!$B$3:$B$130,MATCH(R136,'G-1 All Habitats'!$A$3:$A$130,0)),"")</f>
        <v/>
      </c>
      <c r="T136" s="179" t="str">
        <f t="shared" si="17"/>
        <v/>
      </c>
      <c r="U136" s="172" t="str">
        <f t="shared" si="18"/>
        <v/>
      </c>
      <c r="V136" s="334" t="str">
        <f t="shared" si="15"/>
        <v/>
      </c>
      <c r="W136" s="175" t="str">
        <f>IF(S136="","",VLOOKUP(S136,'G-1 All Habitats'!$B$2:$M$130,10,FALSE))</f>
        <v/>
      </c>
      <c r="X136" s="175" t="str">
        <f>IFERROR(VLOOKUP(W136,'G-1 All Habitats'!$V$3:$W$7,2,FALSE),"")</f>
        <v/>
      </c>
      <c r="Y136" s="275"/>
      <c r="Z136" s="176" t="str">
        <f>IFERROR(INDEX('G-8 Condition Look up'!$A$3:$H$131,MATCH(S136,'G-8 Condition Look up'!$A$3:$A$131,0),MATCH(Y136,'G-8 Condition Look up'!$A$3:$H$3,0)),"")</f>
        <v/>
      </c>
      <c r="AA136" s="173"/>
      <c r="AB136" s="269" t="str">
        <f>IF(AA136="","",IF(VLOOKUP(AA136,'G-3 Multipliers'!$L$3:$N$6,2,FALSE)=0,"Spatial Data Missing",VLOOKUP(AA136,'G-3 Multipliers'!$L$3:$N$6,2,FALSE)))</f>
        <v/>
      </c>
      <c r="AC136" s="176" t="str">
        <f>IF(AA136="","",IF(VLOOKUP(AA136,'G-3 Multipliers'!$L$3:$N$6,3,FALSE)=0,"Spatial Data Missing",VLOOKUP(AA136,'G-3 Multipliers'!$L$3:$N$6,3,FALSE)))</f>
        <v/>
      </c>
      <c r="AD136" s="239" t="str">
        <f t="shared" si="16"/>
        <v/>
      </c>
      <c r="AE136" s="275"/>
      <c r="AF136" s="275"/>
      <c r="AG136" s="175" t="str">
        <f t="shared" si="19"/>
        <v/>
      </c>
      <c r="AH136" s="242" t="str">
        <f t="shared" si="20"/>
        <v/>
      </c>
      <c r="AI136" s="335" t="str">
        <f>IF(AH136="Check Data","Check Data",IFERROR(VLOOKUP(AH136,'G-4 Temporal multipliers'!$A$4:$C$36,3,FALSE),""))</f>
        <v/>
      </c>
      <c r="AJ136" s="239" t="str">
        <f>IF(S136="","",VLOOKUP(S136,'G-3 Multipliers'!$A$2:$E$130,4,FALSE))</f>
        <v/>
      </c>
      <c r="AK136" s="175" t="str">
        <f t="shared" si="21"/>
        <v/>
      </c>
      <c r="AL136" s="175" t="str">
        <f t="shared" si="22"/>
        <v/>
      </c>
      <c r="AM136" s="176" t="str">
        <f>IFERROR(IF(F136="","",IF(AH136="Check Data","Check Data",VLOOKUP(AL136, 'G-3 Multipliers'!$P$2:$Q$6,2,FALSE))),””)</f>
        <v/>
      </c>
      <c r="AN136" s="266"/>
      <c r="AO136" s="269" t="str">
        <f>IF(AN136="","",IF(VLOOKUP(AN136,'G-3 Multipliers'!$S$3:$T$9,2,FALSE)=0,"Spatial Data Missing",VLOOKUP(AN136,'G-3 Multipliers'!$S$3:$T$9,2,FALSE)))</f>
        <v/>
      </c>
      <c r="AP136" s="207" t="str">
        <f t="shared" si="23"/>
        <v/>
      </c>
      <c r="AQ136" s="336"/>
      <c r="AR136" s="181"/>
    </row>
    <row r="137" spans="1:44" x14ac:dyDescent="0.25">
      <c r="A137" s="35" t="str">
        <f>IF(E137="","",IF(ISNA(VLOOKUP($E137,'D-1 Off Site Habitat Baseline'!$D$1:$O$258,2,FALSE)),"",(VLOOKUP($E137,'D-1 Off Site Habitat Baseline'!$D$1:$O$258,2,FALSE))))</f>
        <v/>
      </c>
      <c r="B137" s="35" t="str">
        <f>IF(E137="","",IF(ISNA(VLOOKUP($E137,'D-1 Off Site Habitat Baseline'!$D$1:$O$258,3,FALSE)),"",(VLOOKUP($E137,'D-1 Off Site Habitat Baseline'!$D$1:$O$258,3,FALSE))))</f>
        <v/>
      </c>
      <c r="C137" s="35" t="str">
        <f>IFERROR(INDEX('G-8 Condition Look up'!$I$4:$I$131,MATCH(S137,'G-8 Condition Look up'!$A$4:$A$131,0)),"")</f>
        <v/>
      </c>
      <c r="E137" s="329" t="str">
        <f>'D-1 Off Site Habitat Baseline'!AL136</f>
        <v/>
      </c>
      <c r="F137" s="175" t="str">
        <f>IF(E137="","",IF(ISNA(VLOOKUP($E137,'D-1 Off Site Habitat Baseline'!$D$1:$O$258,4,FALSE)),"",(VLOOKUP($E137,'D-1 Off Site Habitat Baseline'!$D$1:$O$258,4,FALSE))))</f>
        <v/>
      </c>
      <c r="G137" s="175" t="str">
        <f>IF(E137="","",IF(ISNA(VLOOKUP($E137,'D-1 Off Site Habitat Baseline'!$D$1:$O$258,5,FALSE)),"",(VLOOKUP($E137,'D-1 Off Site Habitat Baseline'!$D$1:$O$258,5,FALSE))))</f>
        <v/>
      </c>
      <c r="H137" s="175" t="str">
        <f>IF(E137="","",IF(ISNA(VLOOKUP($E137,'D-1 Off Site Habitat Baseline'!$D$1:$O$258,6,FALSE)),"",(VLOOKUP($E137,'D-1 Off Site Habitat Baseline'!$D$1:$O$258,6,FALSE))))</f>
        <v/>
      </c>
      <c r="I137" s="175" t="str">
        <f>IF(E137="","",IF(ISNA(VLOOKUP($E137,'D-1 Off Site Habitat Baseline'!$D$1:$O$258,7,FALSE)),"",(VLOOKUP($E137,'D-1 Off Site Habitat Baseline'!$D$1:$O$258,7,FALSE))))</f>
        <v/>
      </c>
      <c r="J137" s="175" t="str">
        <f>IF(E137="","",IF(ISNA(VLOOKUP($E137,'D-1 Off Site Habitat Baseline'!$D$1:$O$258,8,FALSE)),"",(VLOOKUP($E137,'D-1 Off Site Habitat Baseline'!$D$1:$O$258,8,FALSE))))</f>
        <v/>
      </c>
      <c r="K137" s="175" t="str">
        <f>IF(E137="","",IF(ISNA(VLOOKUP($E137,'D-1 Off Site Habitat Baseline'!$D$1:$O$258,9,FALSE)),"",(VLOOKUP($E137,'D-1 Off Site Habitat Baseline'!$D$1:$O$258,9,FALSE))))</f>
        <v/>
      </c>
      <c r="L137" s="175" t="str">
        <f>IF(E137="","",IF(ISNA(VLOOKUP($E137,'D-1 Off Site Habitat Baseline'!$D$1:$O$258,11,FALSE)),"",(VLOOKUP($E137,'D-1 Off Site Habitat Baseline'!$D$1:$O$258,11,FALSE))))</f>
        <v/>
      </c>
      <c r="M137" s="175" t="str">
        <f>IF(E137="","",IF(ISNA(VLOOKUP($E137,'D-1 Off Site Habitat Baseline'!$D$1:$O$258,12,FALSE)),"",(VLOOKUP($E137,'D-1 Off Site Habitat Baseline'!$D$1:$O$258,12,FALSE))))</f>
        <v/>
      </c>
      <c r="N137" s="175" t="str">
        <f>IF(E137="","",IF(ISNA(VLOOKUP($E137,'D-1 Off Site Habitat Baseline'!$D$1:$X$258,14,FALSE)),"",(VLOOKUP($E137,'D-1 Off Site Habitat Baseline'!$D$1:$X$258,14,FALSE))))</f>
        <v/>
      </c>
      <c r="O137" s="176" t="str">
        <f>IF(E137="","",IF(ISNA(VLOOKUP($E137,'D-1 Off Site Habitat Baseline'!$D$1:$X$258,13,FALSE)),"",(VLOOKUP($E137,'D-1 Off Site Habitat Baseline'!$D$1:$X$258,13,FALSE))))</f>
        <v/>
      </c>
      <c r="P137" s="337" t="str">
        <f>IFERROR(INDEX('G-1 All Habitats'!$AG$3:$AG$15,MATCH(Q137,'G-1 All Habitats'!$AF$3:$AF$15,0)),"")</f>
        <v/>
      </c>
      <c r="Q137" s="331" t="str">
        <f t="shared" si="24"/>
        <v/>
      </c>
      <c r="R137" s="332" t="str">
        <f t="shared" si="25"/>
        <v/>
      </c>
      <c r="S137" s="338" t="str">
        <f>IFERROR(INDEX('G-1 All Habitats'!$B$3:$B$130,MATCH(R137,'G-1 All Habitats'!$A$3:$A$130,0)),"")</f>
        <v/>
      </c>
      <c r="T137" s="179" t="str">
        <f t="shared" si="17"/>
        <v/>
      </c>
      <c r="U137" s="172" t="str">
        <f t="shared" si="18"/>
        <v/>
      </c>
      <c r="V137" s="334" t="str">
        <f t="shared" si="15"/>
        <v/>
      </c>
      <c r="W137" s="175" t="str">
        <f>IF(S137="","",VLOOKUP(S137,'G-1 All Habitats'!$B$2:$M$130,10,FALSE))</f>
        <v/>
      </c>
      <c r="X137" s="175" t="str">
        <f>IFERROR(VLOOKUP(W137,'G-1 All Habitats'!$V$3:$W$7,2,FALSE),"")</f>
        <v/>
      </c>
      <c r="Y137" s="275"/>
      <c r="Z137" s="176" t="str">
        <f>IFERROR(INDEX('G-8 Condition Look up'!$A$3:$H$131,MATCH(S137,'G-8 Condition Look up'!$A$3:$A$131,0),MATCH(Y137,'G-8 Condition Look up'!$A$3:$H$3,0)),"")</f>
        <v/>
      </c>
      <c r="AA137" s="173"/>
      <c r="AB137" s="269" t="str">
        <f>IF(AA137="","",IF(VLOOKUP(AA137,'G-3 Multipliers'!$L$3:$N$6,2,FALSE)=0,"Spatial Data Missing",VLOOKUP(AA137,'G-3 Multipliers'!$L$3:$N$6,2,FALSE)))</f>
        <v/>
      </c>
      <c r="AC137" s="176" t="str">
        <f>IF(AA137="","",IF(VLOOKUP(AA137,'G-3 Multipliers'!$L$3:$N$6,3,FALSE)=0,"Spatial Data Missing",VLOOKUP(AA137,'G-3 Multipliers'!$L$3:$N$6,3,FALSE)))</f>
        <v/>
      </c>
      <c r="AD137" s="239" t="str">
        <f t="shared" si="16"/>
        <v/>
      </c>
      <c r="AE137" s="275"/>
      <c r="AF137" s="275"/>
      <c r="AG137" s="175" t="str">
        <f t="shared" si="19"/>
        <v/>
      </c>
      <c r="AH137" s="242" t="str">
        <f t="shared" si="20"/>
        <v/>
      </c>
      <c r="AI137" s="335" t="str">
        <f>IF(AH137="Check Data","Check Data",IFERROR(VLOOKUP(AH137,'G-4 Temporal multipliers'!$A$4:$C$36,3,FALSE),""))</f>
        <v/>
      </c>
      <c r="AJ137" s="239" t="str">
        <f>IF(S137="","",VLOOKUP(S137,'G-3 Multipliers'!$A$2:$E$130,4,FALSE))</f>
        <v/>
      </c>
      <c r="AK137" s="175" t="str">
        <f t="shared" si="21"/>
        <v/>
      </c>
      <c r="AL137" s="175" t="str">
        <f t="shared" si="22"/>
        <v/>
      </c>
      <c r="AM137" s="176" t="str">
        <f>IFERROR(IF(F137="","",IF(AH137="Check Data","Check Data",VLOOKUP(AL137, 'G-3 Multipliers'!$P$2:$Q$6,2,FALSE))),””)</f>
        <v/>
      </c>
      <c r="AN137" s="266"/>
      <c r="AO137" s="269" t="str">
        <f>IF(AN137="","",IF(VLOOKUP(AN137,'G-3 Multipliers'!$S$3:$T$9,2,FALSE)=0,"Spatial Data Missing",VLOOKUP(AN137,'G-3 Multipliers'!$S$3:$T$9,2,FALSE)))</f>
        <v/>
      </c>
      <c r="AP137" s="207" t="str">
        <f t="shared" si="23"/>
        <v/>
      </c>
      <c r="AQ137" s="336"/>
      <c r="AR137" s="181"/>
    </row>
    <row r="138" spans="1:44" x14ac:dyDescent="0.25">
      <c r="A138" s="35" t="str">
        <f>IF(E138="","",IF(ISNA(VLOOKUP($E138,'D-1 Off Site Habitat Baseline'!$D$1:$O$258,2,FALSE)),"",(VLOOKUP($E138,'D-1 Off Site Habitat Baseline'!$D$1:$O$258,2,FALSE))))</f>
        <v/>
      </c>
      <c r="B138" s="35" t="str">
        <f>IF(E138="","",IF(ISNA(VLOOKUP($E138,'D-1 Off Site Habitat Baseline'!$D$1:$O$258,3,FALSE)),"",(VLOOKUP($E138,'D-1 Off Site Habitat Baseline'!$D$1:$O$258,3,FALSE))))</f>
        <v/>
      </c>
      <c r="C138" s="35" t="str">
        <f>IFERROR(INDEX('G-8 Condition Look up'!$I$4:$I$131,MATCH(S138,'G-8 Condition Look up'!$A$4:$A$131,0)),"")</f>
        <v/>
      </c>
      <c r="E138" s="329" t="str">
        <f>'D-1 Off Site Habitat Baseline'!AL137</f>
        <v/>
      </c>
      <c r="F138" s="175" t="str">
        <f>IF(E138="","",IF(ISNA(VLOOKUP($E138,'D-1 Off Site Habitat Baseline'!$D$1:$O$258,4,FALSE)),"",(VLOOKUP($E138,'D-1 Off Site Habitat Baseline'!$D$1:$O$258,4,FALSE))))</f>
        <v/>
      </c>
      <c r="G138" s="175" t="str">
        <f>IF(E138="","",IF(ISNA(VLOOKUP($E138,'D-1 Off Site Habitat Baseline'!$D$1:$O$258,5,FALSE)),"",(VLOOKUP($E138,'D-1 Off Site Habitat Baseline'!$D$1:$O$258,5,FALSE))))</f>
        <v/>
      </c>
      <c r="H138" s="175" t="str">
        <f>IF(E138="","",IF(ISNA(VLOOKUP($E138,'D-1 Off Site Habitat Baseline'!$D$1:$O$258,6,FALSE)),"",(VLOOKUP($E138,'D-1 Off Site Habitat Baseline'!$D$1:$O$258,6,FALSE))))</f>
        <v/>
      </c>
      <c r="I138" s="175" t="str">
        <f>IF(E138="","",IF(ISNA(VLOOKUP($E138,'D-1 Off Site Habitat Baseline'!$D$1:$O$258,7,FALSE)),"",(VLOOKUP($E138,'D-1 Off Site Habitat Baseline'!$D$1:$O$258,7,FALSE))))</f>
        <v/>
      </c>
      <c r="J138" s="175" t="str">
        <f>IF(E138="","",IF(ISNA(VLOOKUP($E138,'D-1 Off Site Habitat Baseline'!$D$1:$O$258,8,FALSE)),"",(VLOOKUP($E138,'D-1 Off Site Habitat Baseline'!$D$1:$O$258,8,FALSE))))</f>
        <v/>
      </c>
      <c r="K138" s="175" t="str">
        <f>IF(E138="","",IF(ISNA(VLOOKUP($E138,'D-1 Off Site Habitat Baseline'!$D$1:$O$258,9,FALSE)),"",(VLOOKUP($E138,'D-1 Off Site Habitat Baseline'!$D$1:$O$258,9,FALSE))))</f>
        <v/>
      </c>
      <c r="L138" s="175" t="str">
        <f>IF(E138="","",IF(ISNA(VLOOKUP($E138,'D-1 Off Site Habitat Baseline'!$D$1:$O$258,11,FALSE)),"",(VLOOKUP($E138,'D-1 Off Site Habitat Baseline'!$D$1:$O$258,11,FALSE))))</f>
        <v/>
      </c>
      <c r="M138" s="175" t="str">
        <f>IF(E138="","",IF(ISNA(VLOOKUP($E138,'D-1 Off Site Habitat Baseline'!$D$1:$O$258,12,FALSE)),"",(VLOOKUP($E138,'D-1 Off Site Habitat Baseline'!$D$1:$O$258,12,FALSE))))</f>
        <v/>
      </c>
      <c r="N138" s="175" t="str">
        <f>IF(E138="","",IF(ISNA(VLOOKUP($E138,'D-1 Off Site Habitat Baseline'!$D$1:$X$258,14,FALSE)),"",(VLOOKUP($E138,'D-1 Off Site Habitat Baseline'!$D$1:$X$258,14,FALSE))))</f>
        <v/>
      </c>
      <c r="O138" s="176" t="str">
        <f>IF(E138="","",IF(ISNA(VLOOKUP($E138,'D-1 Off Site Habitat Baseline'!$D$1:$X$258,13,FALSE)),"",(VLOOKUP($E138,'D-1 Off Site Habitat Baseline'!$D$1:$X$258,13,FALSE))))</f>
        <v/>
      </c>
      <c r="P138" s="337" t="str">
        <f>IFERROR(INDEX('G-1 All Habitats'!$AG$3:$AG$15,MATCH(Q138,'G-1 All Habitats'!$AF$3:$AF$15,0)),"")</f>
        <v/>
      </c>
      <c r="Q138" s="331" t="str">
        <f t="shared" si="24"/>
        <v/>
      </c>
      <c r="R138" s="332" t="str">
        <f t="shared" si="25"/>
        <v/>
      </c>
      <c r="S138" s="338" t="str">
        <f>IFERROR(INDEX('G-1 All Habitats'!$B$3:$B$130,MATCH(R138,'G-1 All Habitats'!$A$3:$A$130,0)),"")</f>
        <v/>
      </c>
      <c r="T138" s="179" t="str">
        <f t="shared" si="17"/>
        <v/>
      </c>
      <c r="U138" s="172" t="str">
        <f t="shared" si="18"/>
        <v/>
      </c>
      <c r="V138" s="334" t="str">
        <f t="shared" si="15"/>
        <v/>
      </c>
      <c r="W138" s="175" t="str">
        <f>IF(S138="","",VLOOKUP(S138,'G-1 All Habitats'!$B$2:$M$130,10,FALSE))</f>
        <v/>
      </c>
      <c r="X138" s="175" t="str">
        <f>IFERROR(VLOOKUP(W138,'G-1 All Habitats'!$V$3:$W$7,2,FALSE),"")</f>
        <v/>
      </c>
      <c r="Y138" s="275"/>
      <c r="Z138" s="176" t="str">
        <f>IFERROR(INDEX('G-8 Condition Look up'!$A$3:$H$131,MATCH(S138,'G-8 Condition Look up'!$A$3:$A$131,0),MATCH(Y138,'G-8 Condition Look up'!$A$3:$H$3,0)),"")</f>
        <v/>
      </c>
      <c r="AA138" s="173"/>
      <c r="AB138" s="269" t="str">
        <f>IF(AA138="","",IF(VLOOKUP(AA138,'G-3 Multipliers'!$L$3:$N$6,2,FALSE)=0,"Spatial Data Missing",VLOOKUP(AA138,'G-3 Multipliers'!$L$3:$N$6,2,FALSE)))</f>
        <v/>
      </c>
      <c r="AC138" s="176" t="str">
        <f>IF(AA138="","",IF(VLOOKUP(AA138,'G-3 Multipliers'!$L$3:$N$6,3,FALSE)=0,"Spatial Data Missing",VLOOKUP(AA138,'G-3 Multipliers'!$L$3:$N$6,3,FALSE)))</f>
        <v/>
      </c>
      <c r="AD138" s="239" t="str">
        <f t="shared" si="16"/>
        <v/>
      </c>
      <c r="AE138" s="275"/>
      <c r="AF138" s="275"/>
      <c r="AG138" s="175" t="str">
        <f t="shared" si="19"/>
        <v/>
      </c>
      <c r="AH138" s="242" t="str">
        <f t="shared" si="20"/>
        <v/>
      </c>
      <c r="AI138" s="335" t="str">
        <f>IF(AH138="Check Data","Check Data",IFERROR(VLOOKUP(AH138,'G-4 Temporal multipliers'!$A$4:$C$36,3,FALSE),""))</f>
        <v/>
      </c>
      <c r="AJ138" s="239" t="str">
        <f>IF(S138="","",VLOOKUP(S138,'G-3 Multipliers'!$A$2:$E$130,4,FALSE))</f>
        <v/>
      </c>
      <c r="AK138" s="175" t="str">
        <f t="shared" si="21"/>
        <v/>
      </c>
      <c r="AL138" s="175" t="str">
        <f t="shared" si="22"/>
        <v/>
      </c>
      <c r="AM138" s="176" t="str">
        <f>IFERROR(IF(F138="","",IF(AH138="Check Data","Check Data",VLOOKUP(AL138, 'G-3 Multipliers'!$P$2:$Q$6,2,FALSE))),””)</f>
        <v/>
      </c>
      <c r="AN138" s="266"/>
      <c r="AO138" s="269" t="str">
        <f>IF(AN138="","",IF(VLOOKUP(AN138,'G-3 Multipliers'!$S$3:$T$9,2,FALSE)=0,"Spatial Data Missing",VLOOKUP(AN138,'G-3 Multipliers'!$S$3:$T$9,2,FALSE)))</f>
        <v/>
      </c>
      <c r="AP138" s="207" t="str">
        <f t="shared" si="23"/>
        <v/>
      </c>
      <c r="AQ138" s="336"/>
      <c r="AR138" s="181"/>
    </row>
    <row r="139" spans="1:44" x14ac:dyDescent="0.25">
      <c r="A139" s="35" t="str">
        <f>IF(E139="","",IF(ISNA(VLOOKUP($E139,'D-1 Off Site Habitat Baseline'!$D$1:$O$258,2,FALSE)),"",(VLOOKUP($E139,'D-1 Off Site Habitat Baseline'!$D$1:$O$258,2,FALSE))))</f>
        <v/>
      </c>
      <c r="B139" s="35" t="str">
        <f>IF(E139="","",IF(ISNA(VLOOKUP($E139,'D-1 Off Site Habitat Baseline'!$D$1:$O$258,3,FALSE)),"",(VLOOKUP($E139,'D-1 Off Site Habitat Baseline'!$D$1:$O$258,3,FALSE))))</f>
        <v/>
      </c>
      <c r="C139" s="35" t="str">
        <f>IFERROR(INDEX('G-8 Condition Look up'!$I$4:$I$131,MATCH(S139,'G-8 Condition Look up'!$A$4:$A$131,0)),"")</f>
        <v/>
      </c>
      <c r="E139" s="329" t="str">
        <f>'D-1 Off Site Habitat Baseline'!AL138</f>
        <v/>
      </c>
      <c r="F139" s="175" t="str">
        <f>IF(E139="","",IF(ISNA(VLOOKUP($E139,'D-1 Off Site Habitat Baseline'!$D$1:$O$258,4,FALSE)),"",(VLOOKUP($E139,'D-1 Off Site Habitat Baseline'!$D$1:$O$258,4,FALSE))))</f>
        <v/>
      </c>
      <c r="G139" s="175" t="str">
        <f>IF(E139="","",IF(ISNA(VLOOKUP($E139,'D-1 Off Site Habitat Baseline'!$D$1:$O$258,5,FALSE)),"",(VLOOKUP($E139,'D-1 Off Site Habitat Baseline'!$D$1:$O$258,5,FALSE))))</f>
        <v/>
      </c>
      <c r="H139" s="175" t="str">
        <f>IF(E139="","",IF(ISNA(VLOOKUP($E139,'D-1 Off Site Habitat Baseline'!$D$1:$O$258,6,FALSE)),"",(VLOOKUP($E139,'D-1 Off Site Habitat Baseline'!$D$1:$O$258,6,FALSE))))</f>
        <v/>
      </c>
      <c r="I139" s="175" t="str">
        <f>IF(E139="","",IF(ISNA(VLOOKUP($E139,'D-1 Off Site Habitat Baseline'!$D$1:$O$258,7,FALSE)),"",(VLOOKUP($E139,'D-1 Off Site Habitat Baseline'!$D$1:$O$258,7,FALSE))))</f>
        <v/>
      </c>
      <c r="J139" s="175" t="str">
        <f>IF(E139="","",IF(ISNA(VLOOKUP($E139,'D-1 Off Site Habitat Baseline'!$D$1:$O$258,8,FALSE)),"",(VLOOKUP($E139,'D-1 Off Site Habitat Baseline'!$D$1:$O$258,8,FALSE))))</f>
        <v/>
      </c>
      <c r="K139" s="175" t="str">
        <f>IF(E139="","",IF(ISNA(VLOOKUP($E139,'D-1 Off Site Habitat Baseline'!$D$1:$O$258,9,FALSE)),"",(VLOOKUP($E139,'D-1 Off Site Habitat Baseline'!$D$1:$O$258,9,FALSE))))</f>
        <v/>
      </c>
      <c r="L139" s="175" t="str">
        <f>IF(E139="","",IF(ISNA(VLOOKUP($E139,'D-1 Off Site Habitat Baseline'!$D$1:$O$258,11,FALSE)),"",(VLOOKUP($E139,'D-1 Off Site Habitat Baseline'!$D$1:$O$258,11,FALSE))))</f>
        <v/>
      </c>
      <c r="M139" s="175" t="str">
        <f>IF(E139="","",IF(ISNA(VLOOKUP($E139,'D-1 Off Site Habitat Baseline'!$D$1:$O$258,12,FALSE)),"",(VLOOKUP($E139,'D-1 Off Site Habitat Baseline'!$D$1:$O$258,12,FALSE))))</f>
        <v/>
      </c>
      <c r="N139" s="175" t="str">
        <f>IF(E139="","",IF(ISNA(VLOOKUP($E139,'D-1 Off Site Habitat Baseline'!$D$1:$X$258,14,FALSE)),"",(VLOOKUP($E139,'D-1 Off Site Habitat Baseline'!$D$1:$X$258,14,FALSE))))</f>
        <v/>
      </c>
      <c r="O139" s="176" t="str">
        <f>IF(E139="","",IF(ISNA(VLOOKUP($E139,'D-1 Off Site Habitat Baseline'!$D$1:$X$258,13,FALSE)),"",(VLOOKUP($E139,'D-1 Off Site Habitat Baseline'!$D$1:$X$258,13,FALSE))))</f>
        <v/>
      </c>
      <c r="P139" s="337" t="str">
        <f>IFERROR(INDEX('G-1 All Habitats'!$AG$3:$AG$15,MATCH(Q139,'G-1 All Habitats'!$AF$3:$AF$15,0)),"")</f>
        <v/>
      </c>
      <c r="Q139" s="331" t="str">
        <f t="shared" si="24"/>
        <v/>
      </c>
      <c r="R139" s="332" t="str">
        <f t="shared" si="25"/>
        <v/>
      </c>
      <c r="S139" s="338" t="str">
        <f>IFERROR(INDEX('G-1 All Habitats'!$B$3:$B$130,MATCH(R139,'G-1 All Habitats'!$A$3:$A$130,0)),"")</f>
        <v/>
      </c>
      <c r="T139" s="179" t="str">
        <f t="shared" si="17"/>
        <v/>
      </c>
      <c r="U139" s="172" t="str">
        <f t="shared" si="18"/>
        <v/>
      </c>
      <c r="V139" s="334" t="str">
        <f t="shared" si="15"/>
        <v/>
      </c>
      <c r="W139" s="175" t="str">
        <f>IF(S139="","",VLOOKUP(S139,'G-1 All Habitats'!$B$2:$M$130,10,FALSE))</f>
        <v/>
      </c>
      <c r="X139" s="175" t="str">
        <f>IFERROR(VLOOKUP(W139,'G-1 All Habitats'!$V$3:$W$7,2,FALSE),"")</f>
        <v/>
      </c>
      <c r="Y139" s="275"/>
      <c r="Z139" s="176" t="str">
        <f>IFERROR(INDEX('G-8 Condition Look up'!$A$3:$H$131,MATCH(S139,'G-8 Condition Look up'!$A$3:$A$131,0),MATCH(Y139,'G-8 Condition Look up'!$A$3:$H$3,0)),"")</f>
        <v/>
      </c>
      <c r="AA139" s="173"/>
      <c r="AB139" s="269" t="str">
        <f>IF(AA139="","",IF(VLOOKUP(AA139,'G-3 Multipliers'!$L$3:$N$6,2,FALSE)=0,"Spatial Data Missing",VLOOKUP(AA139,'G-3 Multipliers'!$L$3:$N$6,2,FALSE)))</f>
        <v/>
      </c>
      <c r="AC139" s="176" t="str">
        <f>IF(AA139="","",IF(VLOOKUP(AA139,'G-3 Multipliers'!$L$3:$N$6,3,FALSE)=0,"Spatial Data Missing",VLOOKUP(AA139,'G-3 Multipliers'!$L$3:$N$6,3,FALSE)))</f>
        <v/>
      </c>
      <c r="AD139" s="239" t="str">
        <f t="shared" si="16"/>
        <v/>
      </c>
      <c r="AE139" s="275"/>
      <c r="AF139" s="275"/>
      <c r="AG139" s="175" t="str">
        <f t="shared" si="19"/>
        <v/>
      </c>
      <c r="AH139" s="242" t="str">
        <f t="shared" si="20"/>
        <v/>
      </c>
      <c r="AI139" s="335" t="str">
        <f>IF(AH139="Check Data","Check Data",IFERROR(VLOOKUP(AH139,'G-4 Temporal multipliers'!$A$4:$C$36,3,FALSE),""))</f>
        <v/>
      </c>
      <c r="AJ139" s="239" t="str">
        <f>IF(S139="","",VLOOKUP(S139,'G-3 Multipliers'!$A$2:$E$130,4,FALSE))</f>
        <v/>
      </c>
      <c r="AK139" s="175" t="str">
        <f t="shared" si="21"/>
        <v/>
      </c>
      <c r="AL139" s="175" t="str">
        <f t="shared" si="22"/>
        <v/>
      </c>
      <c r="AM139" s="176" t="str">
        <f>IFERROR(IF(F139="","",IF(AH139="Check Data","Check Data",VLOOKUP(AL139, 'G-3 Multipliers'!$P$2:$Q$6,2,FALSE))),””)</f>
        <v/>
      </c>
      <c r="AN139" s="266"/>
      <c r="AO139" s="269" t="str">
        <f>IF(AN139="","",IF(VLOOKUP(AN139,'G-3 Multipliers'!$S$3:$T$9,2,FALSE)=0,"Spatial Data Missing",VLOOKUP(AN139,'G-3 Multipliers'!$S$3:$T$9,2,FALSE)))</f>
        <v/>
      </c>
      <c r="AP139" s="207" t="str">
        <f t="shared" si="23"/>
        <v/>
      </c>
      <c r="AQ139" s="336"/>
      <c r="AR139" s="181"/>
    </row>
    <row r="140" spans="1:44" x14ac:dyDescent="0.25">
      <c r="A140" s="35" t="str">
        <f>IF(E140="","",IF(ISNA(VLOOKUP($E140,'D-1 Off Site Habitat Baseline'!$D$1:$O$258,2,FALSE)),"",(VLOOKUP($E140,'D-1 Off Site Habitat Baseline'!$D$1:$O$258,2,FALSE))))</f>
        <v/>
      </c>
      <c r="B140" s="35" t="str">
        <f>IF(E140="","",IF(ISNA(VLOOKUP($E140,'D-1 Off Site Habitat Baseline'!$D$1:$O$258,3,FALSE)),"",(VLOOKUP($E140,'D-1 Off Site Habitat Baseline'!$D$1:$O$258,3,FALSE))))</f>
        <v/>
      </c>
      <c r="C140" s="35" t="str">
        <f>IFERROR(INDEX('G-8 Condition Look up'!$I$4:$I$131,MATCH(S140,'G-8 Condition Look up'!$A$4:$A$131,0)),"")</f>
        <v/>
      </c>
      <c r="E140" s="329" t="str">
        <f>'D-1 Off Site Habitat Baseline'!AL139</f>
        <v/>
      </c>
      <c r="F140" s="175" t="str">
        <f>IF(E140="","",IF(ISNA(VLOOKUP($E140,'D-1 Off Site Habitat Baseline'!$D$1:$O$258,4,FALSE)),"",(VLOOKUP($E140,'D-1 Off Site Habitat Baseline'!$D$1:$O$258,4,FALSE))))</f>
        <v/>
      </c>
      <c r="G140" s="175" t="str">
        <f>IF(E140="","",IF(ISNA(VLOOKUP($E140,'D-1 Off Site Habitat Baseline'!$D$1:$O$258,5,FALSE)),"",(VLOOKUP($E140,'D-1 Off Site Habitat Baseline'!$D$1:$O$258,5,FALSE))))</f>
        <v/>
      </c>
      <c r="H140" s="175" t="str">
        <f>IF(E140="","",IF(ISNA(VLOOKUP($E140,'D-1 Off Site Habitat Baseline'!$D$1:$O$258,6,FALSE)),"",(VLOOKUP($E140,'D-1 Off Site Habitat Baseline'!$D$1:$O$258,6,FALSE))))</f>
        <v/>
      </c>
      <c r="I140" s="175" t="str">
        <f>IF(E140="","",IF(ISNA(VLOOKUP($E140,'D-1 Off Site Habitat Baseline'!$D$1:$O$258,7,FALSE)),"",(VLOOKUP($E140,'D-1 Off Site Habitat Baseline'!$D$1:$O$258,7,FALSE))))</f>
        <v/>
      </c>
      <c r="J140" s="175" t="str">
        <f>IF(E140="","",IF(ISNA(VLOOKUP($E140,'D-1 Off Site Habitat Baseline'!$D$1:$O$258,8,FALSE)),"",(VLOOKUP($E140,'D-1 Off Site Habitat Baseline'!$D$1:$O$258,8,FALSE))))</f>
        <v/>
      </c>
      <c r="K140" s="175" t="str">
        <f>IF(E140="","",IF(ISNA(VLOOKUP($E140,'D-1 Off Site Habitat Baseline'!$D$1:$O$258,9,FALSE)),"",(VLOOKUP($E140,'D-1 Off Site Habitat Baseline'!$D$1:$O$258,9,FALSE))))</f>
        <v/>
      </c>
      <c r="L140" s="175" t="str">
        <f>IF(E140="","",IF(ISNA(VLOOKUP($E140,'D-1 Off Site Habitat Baseline'!$D$1:$O$258,11,FALSE)),"",(VLOOKUP($E140,'D-1 Off Site Habitat Baseline'!$D$1:$O$258,11,FALSE))))</f>
        <v/>
      </c>
      <c r="M140" s="175" t="str">
        <f>IF(E140="","",IF(ISNA(VLOOKUP($E140,'D-1 Off Site Habitat Baseline'!$D$1:$O$258,12,FALSE)),"",(VLOOKUP($E140,'D-1 Off Site Habitat Baseline'!$D$1:$O$258,12,FALSE))))</f>
        <v/>
      </c>
      <c r="N140" s="175" t="str">
        <f>IF(E140="","",IF(ISNA(VLOOKUP($E140,'D-1 Off Site Habitat Baseline'!$D$1:$X$258,14,FALSE)),"",(VLOOKUP($E140,'D-1 Off Site Habitat Baseline'!$D$1:$X$258,14,FALSE))))</f>
        <v/>
      </c>
      <c r="O140" s="176" t="str">
        <f>IF(E140="","",IF(ISNA(VLOOKUP($E140,'D-1 Off Site Habitat Baseline'!$D$1:$X$258,13,FALSE)),"",(VLOOKUP($E140,'D-1 Off Site Habitat Baseline'!$D$1:$X$258,13,FALSE))))</f>
        <v/>
      </c>
      <c r="P140" s="337" t="str">
        <f>IFERROR(INDEX('G-1 All Habitats'!$AG$3:$AG$15,MATCH(Q140,'G-1 All Habitats'!$AF$3:$AF$15,0)),"")</f>
        <v/>
      </c>
      <c r="Q140" s="331" t="str">
        <f t="shared" si="24"/>
        <v/>
      </c>
      <c r="R140" s="332" t="str">
        <f t="shared" si="25"/>
        <v/>
      </c>
      <c r="S140" s="338" t="str">
        <f>IFERROR(INDEX('G-1 All Habitats'!$B$3:$B$130,MATCH(R140,'G-1 All Habitats'!$A$3:$A$130,0)),"")</f>
        <v/>
      </c>
      <c r="T140" s="179" t="str">
        <f t="shared" si="17"/>
        <v/>
      </c>
      <c r="U140" s="172" t="str">
        <f t="shared" si="18"/>
        <v/>
      </c>
      <c r="V140" s="334" t="str">
        <f t="shared" ref="V140:V203" si="26">IF(S140="","",VLOOKUP(E140,BaselineHabOffsite,17,FALSE))</f>
        <v/>
      </c>
      <c r="W140" s="175" t="str">
        <f>IF(S140="","",VLOOKUP(S140,'G-1 All Habitats'!$B$2:$M$130,10,FALSE))</f>
        <v/>
      </c>
      <c r="X140" s="175" t="str">
        <f>IFERROR(VLOOKUP(W140,'G-1 All Habitats'!$V$3:$W$7,2,FALSE),"")</f>
        <v/>
      </c>
      <c r="Y140" s="275"/>
      <c r="Z140" s="176" t="str">
        <f>IFERROR(INDEX('G-8 Condition Look up'!$A$3:$H$131,MATCH(S140,'G-8 Condition Look up'!$A$3:$A$131,0),MATCH(Y140,'G-8 Condition Look up'!$A$3:$H$3,0)),"")</f>
        <v/>
      </c>
      <c r="AA140" s="173"/>
      <c r="AB140" s="269" t="str">
        <f>IF(AA140="","",IF(VLOOKUP(AA140,'G-3 Multipliers'!$L$3:$N$6,2,FALSE)=0,"Spatial Data Missing",VLOOKUP(AA140,'G-3 Multipliers'!$L$3:$N$6,2,FALSE)))</f>
        <v/>
      </c>
      <c r="AC140" s="176" t="str">
        <f>IF(AA140="","",IF(VLOOKUP(AA140,'G-3 Multipliers'!$L$3:$N$6,3,FALSE)=0,"Spatial Data Missing",VLOOKUP(AA140,'G-3 Multipliers'!$L$3:$N$6,3,FALSE)))</f>
        <v/>
      </c>
      <c r="AD140" s="239" t="str">
        <f t="shared" ref="AD140:AD203" si="27">IFERROR(IF(OR(LEFT(U140,5)="Error",LEFT(T140,5)="Error"),"Check Data",INDEX(EnhanceTemporal,MATCH(S140,EnhanceHabitat,0),MATCH(U140,EnhanceCondition,0))),"")</f>
        <v/>
      </c>
      <c r="AE140" s="275"/>
      <c r="AF140" s="275"/>
      <c r="AG140" s="175" t="str">
        <f t="shared" si="19"/>
        <v/>
      </c>
      <c r="AH140" s="242" t="str">
        <f t="shared" si="20"/>
        <v/>
      </c>
      <c r="AI140" s="335" t="str">
        <f>IF(AH140="Check Data","Check Data",IFERROR(VLOOKUP(AH140,'G-4 Temporal multipliers'!$A$4:$C$36,3,FALSE),""))</f>
        <v/>
      </c>
      <c r="AJ140" s="239" t="str">
        <f>IF(S140="","",VLOOKUP(S140,'G-3 Multipliers'!$A$2:$E$130,4,FALSE))</f>
        <v/>
      </c>
      <c r="AK140" s="175" t="str">
        <f t="shared" si="21"/>
        <v/>
      </c>
      <c r="AL140" s="175" t="str">
        <f t="shared" si="22"/>
        <v/>
      </c>
      <c r="AM140" s="176" t="str">
        <f>IFERROR(IF(F140="","",IF(AH140="Check Data","Check Data",VLOOKUP(AL140, 'G-3 Multipliers'!$P$2:$Q$6,2,FALSE))),””)</f>
        <v/>
      </c>
      <c r="AN140" s="266"/>
      <c r="AO140" s="269" t="str">
        <f>IF(AN140="","",IF(VLOOKUP(AN140,'G-3 Multipliers'!$S$3:$T$9,2,FALSE)=0,"Spatial Data Missing",VLOOKUP(AN140,'G-3 Multipliers'!$S$3:$T$9,2,FALSE)))</f>
        <v/>
      </c>
      <c r="AP140" s="207" t="str">
        <f t="shared" si="23"/>
        <v/>
      </c>
      <c r="AQ140" s="336"/>
      <c r="AR140" s="181"/>
    </row>
    <row r="141" spans="1:44" x14ac:dyDescent="0.25">
      <c r="A141" s="35" t="str">
        <f>IF(E141="","",IF(ISNA(VLOOKUP($E141,'D-1 Off Site Habitat Baseline'!$D$1:$O$258,2,FALSE)),"",(VLOOKUP($E141,'D-1 Off Site Habitat Baseline'!$D$1:$O$258,2,FALSE))))</f>
        <v/>
      </c>
      <c r="B141" s="35" t="str">
        <f>IF(E141="","",IF(ISNA(VLOOKUP($E141,'D-1 Off Site Habitat Baseline'!$D$1:$O$258,3,FALSE)),"",(VLOOKUP($E141,'D-1 Off Site Habitat Baseline'!$D$1:$O$258,3,FALSE))))</f>
        <v/>
      </c>
      <c r="C141" s="35" t="str">
        <f>IFERROR(INDEX('G-8 Condition Look up'!$I$4:$I$131,MATCH(S141,'G-8 Condition Look up'!$A$4:$A$131,0)),"")</f>
        <v/>
      </c>
      <c r="E141" s="329" t="str">
        <f>'D-1 Off Site Habitat Baseline'!AL140</f>
        <v/>
      </c>
      <c r="F141" s="175" t="str">
        <f>IF(E141="","",IF(ISNA(VLOOKUP($E141,'D-1 Off Site Habitat Baseline'!$D$1:$O$258,4,FALSE)),"",(VLOOKUP($E141,'D-1 Off Site Habitat Baseline'!$D$1:$O$258,4,FALSE))))</f>
        <v/>
      </c>
      <c r="G141" s="175" t="str">
        <f>IF(E141="","",IF(ISNA(VLOOKUP($E141,'D-1 Off Site Habitat Baseline'!$D$1:$O$258,5,FALSE)),"",(VLOOKUP($E141,'D-1 Off Site Habitat Baseline'!$D$1:$O$258,5,FALSE))))</f>
        <v/>
      </c>
      <c r="H141" s="175" t="str">
        <f>IF(E141="","",IF(ISNA(VLOOKUP($E141,'D-1 Off Site Habitat Baseline'!$D$1:$O$258,6,FALSE)),"",(VLOOKUP($E141,'D-1 Off Site Habitat Baseline'!$D$1:$O$258,6,FALSE))))</f>
        <v/>
      </c>
      <c r="I141" s="175" t="str">
        <f>IF(E141="","",IF(ISNA(VLOOKUP($E141,'D-1 Off Site Habitat Baseline'!$D$1:$O$258,7,FALSE)),"",(VLOOKUP($E141,'D-1 Off Site Habitat Baseline'!$D$1:$O$258,7,FALSE))))</f>
        <v/>
      </c>
      <c r="J141" s="175" t="str">
        <f>IF(E141="","",IF(ISNA(VLOOKUP($E141,'D-1 Off Site Habitat Baseline'!$D$1:$O$258,8,FALSE)),"",(VLOOKUP($E141,'D-1 Off Site Habitat Baseline'!$D$1:$O$258,8,FALSE))))</f>
        <v/>
      </c>
      <c r="K141" s="175" t="str">
        <f>IF(E141="","",IF(ISNA(VLOOKUP($E141,'D-1 Off Site Habitat Baseline'!$D$1:$O$258,9,FALSE)),"",(VLOOKUP($E141,'D-1 Off Site Habitat Baseline'!$D$1:$O$258,9,FALSE))))</f>
        <v/>
      </c>
      <c r="L141" s="175" t="str">
        <f>IF(E141="","",IF(ISNA(VLOOKUP($E141,'D-1 Off Site Habitat Baseline'!$D$1:$O$258,11,FALSE)),"",(VLOOKUP($E141,'D-1 Off Site Habitat Baseline'!$D$1:$O$258,11,FALSE))))</f>
        <v/>
      </c>
      <c r="M141" s="175" t="str">
        <f>IF(E141="","",IF(ISNA(VLOOKUP($E141,'D-1 Off Site Habitat Baseline'!$D$1:$O$258,12,FALSE)),"",(VLOOKUP($E141,'D-1 Off Site Habitat Baseline'!$D$1:$O$258,12,FALSE))))</f>
        <v/>
      </c>
      <c r="N141" s="175" t="str">
        <f>IF(E141="","",IF(ISNA(VLOOKUP($E141,'D-1 Off Site Habitat Baseline'!$D$1:$X$258,14,FALSE)),"",(VLOOKUP($E141,'D-1 Off Site Habitat Baseline'!$D$1:$X$258,14,FALSE))))</f>
        <v/>
      </c>
      <c r="O141" s="176" t="str">
        <f>IF(E141="","",IF(ISNA(VLOOKUP($E141,'D-1 Off Site Habitat Baseline'!$D$1:$X$258,13,FALSE)),"",(VLOOKUP($E141,'D-1 Off Site Habitat Baseline'!$D$1:$X$258,13,FALSE))))</f>
        <v/>
      </c>
      <c r="P141" s="337" t="str">
        <f>IFERROR(INDEX('G-1 All Habitats'!$AG$3:$AG$15,MATCH(Q141,'G-1 All Habitats'!$AF$3:$AF$15,0)),"")</f>
        <v/>
      </c>
      <c r="Q141" s="331" t="str">
        <f t="shared" si="24"/>
        <v/>
      </c>
      <c r="R141" s="332" t="str">
        <f t="shared" si="25"/>
        <v/>
      </c>
      <c r="S141" s="338" t="str">
        <f>IFERROR(INDEX('G-1 All Habitats'!$B$3:$B$130,MATCH(R141,'G-1 All Habitats'!$A$3:$A$130,0)),"")</f>
        <v/>
      </c>
      <c r="T141" s="179" t="str">
        <f t="shared" ref="T141:T204" si="28">IF(E141="","",IF(AND(LEFT(O141,6)="Same d",I141&gt;X141),"Error - Trading rules not satisfied",IF(AND(LEFT(O141,6)="Same b",AND(LEFT(F141,5)&lt;&gt;LEFT(S141,5),I141&gt;X141)),"Error - Trading rules not satisfied",IF(AND(LEFT(O141,6)="Same h",F141&lt;&gt;S141),"Error - Trading rules not satisfied",IF(AND(LEFT(O141,6)="Bespok",F141&lt;&gt;S141),"Error - Trading rules not satisfied",IF(X141&lt;I141,"Error Trading Down",H141&amp;" - "&amp;W141))))))</f>
        <v/>
      </c>
      <c r="U141" s="172" t="str">
        <f t="shared" ref="U141:U204" si="29">IF(F141="","",IF(AND(LEFT(F141,55)&lt;&gt;LEFT(S141,55),T141= "High - High"),"Error - Not like for like",IF(AND(I141=X141,K141&gt;Z141),"Error - Can not reduce condition",IF(AND(I141=X141,K141=Z141),"Error - No enhancement",IF(X141&lt;I141,"Error Trading Down",IF(AND(F141&lt;&gt;S141,I141&lt;X141),"Lower Distinctiveness Habitat"&amp;" - "&amp;Y141,J141&amp;" - "&amp;Y141))))))</f>
        <v/>
      </c>
      <c r="V141" s="334" t="str">
        <f t="shared" si="26"/>
        <v/>
      </c>
      <c r="W141" s="175" t="str">
        <f>IF(S141="","",VLOOKUP(S141,'G-1 All Habitats'!$B$2:$M$130,10,FALSE))</f>
        <v/>
      </c>
      <c r="X141" s="175" t="str">
        <f>IFERROR(VLOOKUP(W141,'G-1 All Habitats'!$V$3:$W$7,2,FALSE),"")</f>
        <v/>
      </c>
      <c r="Y141" s="275"/>
      <c r="Z141" s="176" t="str">
        <f>IFERROR(INDEX('G-8 Condition Look up'!$A$3:$H$131,MATCH(S141,'G-8 Condition Look up'!$A$3:$A$131,0),MATCH(Y141,'G-8 Condition Look up'!$A$3:$H$3,0)),"")</f>
        <v/>
      </c>
      <c r="AA141" s="173"/>
      <c r="AB141" s="269" t="str">
        <f>IF(AA141="","",IF(VLOOKUP(AA141,'G-3 Multipliers'!$L$3:$N$6,2,FALSE)=0,"Spatial Data Missing",VLOOKUP(AA141,'G-3 Multipliers'!$L$3:$N$6,2,FALSE)))</f>
        <v/>
      </c>
      <c r="AC141" s="176" t="str">
        <f>IF(AA141="","",IF(VLOOKUP(AA141,'G-3 Multipliers'!$L$3:$N$6,3,FALSE)=0,"Spatial Data Missing",VLOOKUP(AA141,'G-3 Multipliers'!$L$3:$N$6,3,FALSE)))</f>
        <v/>
      </c>
      <c r="AD141" s="239" t="str">
        <f t="shared" si="27"/>
        <v/>
      </c>
      <c r="AE141" s="275"/>
      <c r="AF141" s="275"/>
      <c r="AG141" s="175" t="str">
        <f t="shared" ref="AG141:AG204" si="30">IF(AD141="","",IF(AD141="Check Data","Check Data",IF(R141="","",IF(AND(AE141&gt;0,AF141&gt;0),"Error -both advance and delayed habitat creation",IF(AND(OR(AE141="Habitat already in target condition",AD141&lt;=AE141),AF141=0),"Check details - Is there evidence that habitat has reached target condition?",IF(O140="","",IF(AE141&gt;0,"Check details - Is there evidence habitat creation started/in place?",IF(AF141&gt;0,"Check details- Delay in starting habitat in required condition?","Standard time to target condition applied"))))))))</f>
        <v/>
      </c>
      <c r="AH141" s="242" t="str">
        <f t="shared" ref="AH141:AH204" si="31">IF(LEFT(AG141,5)="Error","Check Data",IF(AG141="Check Data","Check Data",IF(AD141="","",IF(AD141="Not Possible","CheckData",IF(AND(AD141="30+",AE141=0),"30+",IF(AND(AD141="30+",AE141="30+"),0,IF(AND(AD141="30+",AE141&lt;30),30-AE141,IF(AD141="30+",30-AE141,IF(AF141="30+","30+",IF(AE141&gt;AD141,0,IF(AD141+AF141&gt;30,"30+",IF(AD141+AF141&gt;30,"30+",IF(AD141-AE141&gt;30,"30+",IF(AD141+AF141-AE141&gt;0,AD141+AF141-AE141,IF(AD141-AE141&gt;0,AD141-AE141,AD141+AF141-AE141)))))))))))))))</f>
        <v/>
      </c>
      <c r="AI141" s="335" t="str">
        <f>IF(AH141="Check Data","Check Data",IFERROR(VLOOKUP(AH141,'G-4 Temporal multipliers'!$A$4:$C$36,3,FALSE),""))</f>
        <v/>
      </c>
      <c r="AJ141" s="239" t="str">
        <f>IF(S141="","",VLOOKUP(S141,'G-3 Multipliers'!$A$2:$E$130,4,FALSE))</f>
        <v/>
      </c>
      <c r="AK141" s="175" t="str">
        <f t="shared" ref="AK141:AK204" si="32">IF(E141="","",IF(AG141="Check details - Is there evidence that habitat has reached target condition?","Low Difficulty - only applicable if all habitat created before losses","Standard difficulty applied"))</f>
        <v/>
      </c>
      <c r="AL141" s="175" t="str">
        <f t="shared" ref="AL141:AL204" si="33">(IF(AND(AK141="Standard difficulty applied",AD141&gt;AE141),AJ141,IF(AND(AK141="Low Difficulty - only applicable if all habitat created before losses",AE141&gt;=AD141),"Low", AJ141)))</f>
        <v/>
      </c>
      <c r="AM141" s="176" t="str">
        <f>IFERROR(IF(F141="","",IF(AH141="Check Data","Check Data",VLOOKUP(AL141, 'G-3 Multipliers'!$P$2:$Q$6,2,FALSE))),””)</f>
        <v/>
      </c>
      <c r="AN141" s="266"/>
      <c r="AO141" s="269" t="str">
        <f>IF(AN141="","",IF(VLOOKUP(AN141,'G-3 Multipliers'!$S$3:$T$9,2,FALSE)=0,"Spatial Data Missing",VLOOKUP(AN141,'G-3 Multipliers'!$S$3:$T$9,2,FALSE)))</f>
        <v/>
      </c>
      <c r="AP141" s="207" t="str">
        <f t="shared" ref="AP141:AP204" si="34">IFERROR(((((V141*X141*Z141)-(V141*I141*K141))*(AM141*AI141))+(V141*I141*K141))*(AC141)*AO141,"")</f>
        <v/>
      </c>
      <c r="AQ141" s="336"/>
      <c r="AR141" s="181"/>
    </row>
    <row r="142" spans="1:44" x14ac:dyDescent="0.25">
      <c r="A142" s="35" t="str">
        <f>IF(E142="","",IF(ISNA(VLOOKUP($E142,'D-1 Off Site Habitat Baseline'!$D$1:$O$258,2,FALSE)),"",(VLOOKUP($E142,'D-1 Off Site Habitat Baseline'!$D$1:$O$258,2,FALSE))))</f>
        <v/>
      </c>
      <c r="B142" s="35" t="str">
        <f>IF(E142="","",IF(ISNA(VLOOKUP($E142,'D-1 Off Site Habitat Baseline'!$D$1:$O$258,3,FALSE)),"",(VLOOKUP($E142,'D-1 Off Site Habitat Baseline'!$D$1:$O$258,3,FALSE))))</f>
        <v/>
      </c>
      <c r="C142" s="35" t="str">
        <f>IFERROR(INDEX('G-8 Condition Look up'!$I$4:$I$131,MATCH(S142,'G-8 Condition Look up'!$A$4:$A$131,0)),"")</f>
        <v/>
      </c>
      <c r="E142" s="329" t="str">
        <f>'D-1 Off Site Habitat Baseline'!AL141</f>
        <v/>
      </c>
      <c r="F142" s="175" t="str">
        <f>IF(E142="","",IF(ISNA(VLOOKUP($E142,'D-1 Off Site Habitat Baseline'!$D$1:$O$258,4,FALSE)),"",(VLOOKUP($E142,'D-1 Off Site Habitat Baseline'!$D$1:$O$258,4,FALSE))))</f>
        <v/>
      </c>
      <c r="G142" s="175" t="str">
        <f>IF(E142="","",IF(ISNA(VLOOKUP($E142,'D-1 Off Site Habitat Baseline'!$D$1:$O$258,5,FALSE)),"",(VLOOKUP($E142,'D-1 Off Site Habitat Baseline'!$D$1:$O$258,5,FALSE))))</f>
        <v/>
      </c>
      <c r="H142" s="175" t="str">
        <f>IF(E142="","",IF(ISNA(VLOOKUP($E142,'D-1 Off Site Habitat Baseline'!$D$1:$O$258,6,FALSE)),"",(VLOOKUP($E142,'D-1 Off Site Habitat Baseline'!$D$1:$O$258,6,FALSE))))</f>
        <v/>
      </c>
      <c r="I142" s="175" t="str">
        <f>IF(E142="","",IF(ISNA(VLOOKUP($E142,'D-1 Off Site Habitat Baseline'!$D$1:$O$258,7,FALSE)),"",(VLOOKUP($E142,'D-1 Off Site Habitat Baseline'!$D$1:$O$258,7,FALSE))))</f>
        <v/>
      </c>
      <c r="J142" s="175" t="str">
        <f>IF(E142="","",IF(ISNA(VLOOKUP($E142,'D-1 Off Site Habitat Baseline'!$D$1:$O$258,8,FALSE)),"",(VLOOKUP($E142,'D-1 Off Site Habitat Baseline'!$D$1:$O$258,8,FALSE))))</f>
        <v/>
      </c>
      <c r="K142" s="175" t="str">
        <f>IF(E142="","",IF(ISNA(VLOOKUP($E142,'D-1 Off Site Habitat Baseline'!$D$1:$O$258,9,FALSE)),"",(VLOOKUP($E142,'D-1 Off Site Habitat Baseline'!$D$1:$O$258,9,FALSE))))</f>
        <v/>
      </c>
      <c r="L142" s="175" t="str">
        <f>IF(E142="","",IF(ISNA(VLOOKUP($E142,'D-1 Off Site Habitat Baseline'!$D$1:$O$258,11,FALSE)),"",(VLOOKUP($E142,'D-1 Off Site Habitat Baseline'!$D$1:$O$258,11,FALSE))))</f>
        <v/>
      </c>
      <c r="M142" s="175" t="str">
        <f>IF(E142="","",IF(ISNA(VLOOKUP($E142,'D-1 Off Site Habitat Baseline'!$D$1:$O$258,12,FALSE)),"",(VLOOKUP($E142,'D-1 Off Site Habitat Baseline'!$D$1:$O$258,12,FALSE))))</f>
        <v/>
      </c>
      <c r="N142" s="175" t="str">
        <f>IF(E142="","",IF(ISNA(VLOOKUP($E142,'D-1 Off Site Habitat Baseline'!$D$1:$X$258,14,FALSE)),"",(VLOOKUP($E142,'D-1 Off Site Habitat Baseline'!$D$1:$X$258,14,FALSE))))</f>
        <v/>
      </c>
      <c r="O142" s="176" t="str">
        <f>IF(E142="","",IF(ISNA(VLOOKUP($E142,'D-1 Off Site Habitat Baseline'!$D$1:$X$258,13,FALSE)),"",(VLOOKUP($E142,'D-1 Off Site Habitat Baseline'!$D$1:$X$258,13,FALSE))))</f>
        <v/>
      </c>
      <c r="P142" s="337" t="str">
        <f>IFERROR(INDEX('G-1 All Habitats'!$AG$3:$AG$15,MATCH(Q142,'G-1 All Habitats'!$AF$3:$AF$15,0)),"")</f>
        <v/>
      </c>
      <c r="Q142" s="331" t="str">
        <f t="shared" si="24"/>
        <v/>
      </c>
      <c r="R142" s="332" t="str">
        <f t="shared" si="25"/>
        <v/>
      </c>
      <c r="S142" s="338" t="str">
        <f>IFERROR(INDEX('G-1 All Habitats'!$B$3:$B$130,MATCH(R142,'G-1 All Habitats'!$A$3:$A$130,0)),"")</f>
        <v/>
      </c>
      <c r="T142" s="179" t="str">
        <f t="shared" si="28"/>
        <v/>
      </c>
      <c r="U142" s="172" t="str">
        <f t="shared" si="29"/>
        <v/>
      </c>
      <c r="V142" s="334" t="str">
        <f t="shared" si="26"/>
        <v/>
      </c>
      <c r="W142" s="175" t="str">
        <f>IF(S142="","",VLOOKUP(S142,'G-1 All Habitats'!$B$2:$M$130,10,FALSE))</f>
        <v/>
      </c>
      <c r="X142" s="175" t="str">
        <f>IFERROR(VLOOKUP(W142,'G-1 All Habitats'!$V$3:$W$7,2,FALSE),"")</f>
        <v/>
      </c>
      <c r="Y142" s="275"/>
      <c r="Z142" s="176" t="str">
        <f>IFERROR(INDEX('G-8 Condition Look up'!$A$3:$H$131,MATCH(S142,'G-8 Condition Look up'!$A$3:$A$131,0),MATCH(Y142,'G-8 Condition Look up'!$A$3:$H$3,0)),"")</f>
        <v/>
      </c>
      <c r="AA142" s="173"/>
      <c r="AB142" s="269" t="str">
        <f>IF(AA142="","",IF(VLOOKUP(AA142,'G-3 Multipliers'!$L$3:$N$6,2,FALSE)=0,"Spatial Data Missing",VLOOKUP(AA142,'G-3 Multipliers'!$L$3:$N$6,2,FALSE)))</f>
        <v/>
      </c>
      <c r="AC142" s="176" t="str">
        <f>IF(AA142="","",IF(VLOOKUP(AA142,'G-3 Multipliers'!$L$3:$N$6,3,FALSE)=0,"Spatial Data Missing",VLOOKUP(AA142,'G-3 Multipliers'!$L$3:$N$6,3,FALSE)))</f>
        <v/>
      </c>
      <c r="AD142" s="239" t="str">
        <f t="shared" si="27"/>
        <v/>
      </c>
      <c r="AE142" s="275"/>
      <c r="AF142" s="275"/>
      <c r="AG142" s="175" t="str">
        <f t="shared" si="30"/>
        <v/>
      </c>
      <c r="AH142" s="242" t="str">
        <f t="shared" si="31"/>
        <v/>
      </c>
      <c r="AI142" s="335" t="str">
        <f>IF(AH142="Check Data","Check Data",IFERROR(VLOOKUP(AH142,'G-4 Temporal multipliers'!$A$4:$C$36,3,FALSE),""))</f>
        <v/>
      </c>
      <c r="AJ142" s="239" t="str">
        <f>IF(S142="","",VLOOKUP(S142,'G-3 Multipliers'!$A$2:$E$130,4,FALSE))</f>
        <v/>
      </c>
      <c r="AK142" s="175" t="str">
        <f t="shared" si="32"/>
        <v/>
      </c>
      <c r="AL142" s="175" t="str">
        <f t="shared" si="33"/>
        <v/>
      </c>
      <c r="AM142" s="176" t="str">
        <f>IFERROR(IF(F142="","",IF(AH142="Check Data","Check Data",VLOOKUP(AL142, 'G-3 Multipliers'!$P$2:$Q$6,2,FALSE))),””)</f>
        <v/>
      </c>
      <c r="AN142" s="266"/>
      <c r="AO142" s="269" t="str">
        <f>IF(AN142="","",IF(VLOOKUP(AN142,'G-3 Multipliers'!$S$3:$T$9,2,FALSE)=0,"Spatial Data Missing",VLOOKUP(AN142,'G-3 Multipliers'!$S$3:$T$9,2,FALSE)))</f>
        <v/>
      </c>
      <c r="AP142" s="207" t="str">
        <f t="shared" si="34"/>
        <v/>
      </c>
      <c r="AQ142" s="336"/>
      <c r="AR142" s="181"/>
    </row>
    <row r="143" spans="1:44" x14ac:dyDescent="0.25">
      <c r="A143" s="35" t="str">
        <f>IF(E143="","",IF(ISNA(VLOOKUP($E143,'D-1 Off Site Habitat Baseline'!$D$1:$O$258,2,FALSE)),"",(VLOOKUP($E143,'D-1 Off Site Habitat Baseline'!$D$1:$O$258,2,FALSE))))</f>
        <v/>
      </c>
      <c r="B143" s="35" t="str">
        <f>IF(E143="","",IF(ISNA(VLOOKUP($E143,'D-1 Off Site Habitat Baseline'!$D$1:$O$258,3,FALSE)),"",(VLOOKUP($E143,'D-1 Off Site Habitat Baseline'!$D$1:$O$258,3,FALSE))))</f>
        <v/>
      </c>
      <c r="C143" s="35" t="str">
        <f>IFERROR(INDEX('G-8 Condition Look up'!$I$4:$I$131,MATCH(S143,'G-8 Condition Look up'!$A$4:$A$131,0)),"")</f>
        <v/>
      </c>
      <c r="E143" s="329" t="str">
        <f>'D-1 Off Site Habitat Baseline'!AL142</f>
        <v/>
      </c>
      <c r="F143" s="175" t="str">
        <f>IF(E143="","",IF(ISNA(VLOOKUP($E143,'D-1 Off Site Habitat Baseline'!$D$1:$O$258,4,FALSE)),"",(VLOOKUP($E143,'D-1 Off Site Habitat Baseline'!$D$1:$O$258,4,FALSE))))</f>
        <v/>
      </c>
      <c r="G143" s="175" t="str">
        <f>IF(E143="","",IF(ISNA(VLOOKUP($E143,'D-1 Off Site Habitat Baseline'!$D$1:$O$258,5,FALSE)),"",(VLOOKUP($E143,'D-1 Off Site Habitat Baseline'!$D$1:$O$258,5,FALSE))))</f>
        <v/>
      </c>
      <c r="H143" s="175" t="str">
        <f>IF(E143="","",IF(ISNA(VLOOKUP($E143,'D-1 Off Site Habitat Baseline'!$D$1:$O$258,6,FALSE)),"",(VLOOKUP($E143,'D-1 Off Site Habitat Baseline'!$D$1:$O$258,6,FALSE))))</f>
        <v/>
      </c>
      <c r="I143" s="175" t="str">
        <f>IF(E143="","",IF(ISNA(VLOOKUP($E143,'D-1 Off Site Habitat Baseline'!$D$1:$O$258,7,FALSE)),"",(VLOOKUP($E143,'D-1 Off Site Habitat Baseline'!$D$1:$O$258,7,FALSE))))</f>
        <v/>
      </c>
      <c r="J143" s="175" t="str">
        <f>IF(E143="","",IF(ISNA(VLOOKUP($E143,'D-1 Off Site Habitat Baseline'!$D$1:$O$258,8,FALSE)),"",(VLOOKUP($E143,'D-1 Off Site Habitat Baseline'!$D$1:$O$258,8,FALSE))))</f>
        <v/>
      </c>
      <c r="K143" s="175" t="str">
        <f>IF(E143="","",IF(ISNA(VLOOKUP($E143,'D-1 Off Site Habitat Baseline'!$D$1:$O$258,9,FALSE)),"",(VLOOKUP($E143,'D-1 Off Site Habitat Baseline'!$D$1:$O$258,9,FALSE))))</f>
        <v/>
      </c>
      <c r="L143" s="175" t="str">
        <f>IF(E143="","",IF(ISNA(VLOOKUP($E143,'D-1 Off Site Habitat Baseline'!$D$1:$O$258,11,FALSE)),"",(VLOOKUP($E143,'D-1 Off Site Habitat Baseline'!$D$1:$O$258,11,FALSE))))</f>
        <v/>
      </c>
      <c r="M143" s="175" t="str">
        <f>IF(E143="","",IF(ISNA(VLOOKUP($E143,'D-1 Off Site Habitat Baseline'!$D$1:$O$258,12,FALSE)),"",(VLOOKUP($E143,'D-1 Off Site Habitat Baseline'!$D$1:$O$258,12,FALSE))))</f>
        <v/>
      </c>
      <c r="N143" s="175" t="str">
        <f>IF(E143="","",IF(ISNA(VLOOKUP($E143,'D-1 Off Site Habitat Baseline'!$D$1:$X$258,14,FALSE)),"",(VLOOKUP($E143,'D-1 Off Site Habitat Baseline'!$D$1:$X$258,14,FALSE))))</f>
        <v/>
      </c>
      <c r="O143" s="176" t="str">
        <f>IF(E143="","",IF(ISNA(VLOOKUP($E143,'D-1 Off Site Habitat Baseline'!$D$1:$X$258,13,FALSE)),"",(VLOOKUP($E143,'D-1 Off Site Habitat Baseline'!$D$1:$X$258,13,FALSE))))</f>
        <v/>
      </c>
      <c r="P143" s="337" t="str">
        <f>IFERROR(INDEX('G-1 All Habitats'!$AG$3:$AG$15,MATCH(Q143,'G-1 All Habitats'!$AF$3:$AF$15,0)),"")</f>
        <v/>
      </c>
      <c r="Q143" s="331" t="str">
        <f t="shared" ref="Q143:Q206" si="35">A143</f>
        <v/>
      </c>
      <c r="R143" s="332" t="str">
        <f t="shared" ref="R143:R206" si="36">B143</f>
        <v/>
      </c>
      <c r="S143" s="338" t="str">
        <f>IFERROR(INDEX('G-1 All Habitats'!$B$3:$B$130,MATCH(R143,'G-1 All Habitats'!$A$3:$A$130,0)),"")</f>
        <v/>
      </c>
      <c r="T143" s="179" t="str">
        <f t="shared" si="28"/>
        <v/>
      </c>
      <c r="U143" s="172" t="str">
        <f t="shared" si="29"/>
        <v/>
      </c>
      <c r="V143" s="334" t="str">
        <f t="shared" si="26"/>
        <v/>
      </c>
      <c r="W143" s="175" t="str">
        <f>IF(S143="","",VLOOKUP(S143,'G-1 All Habitats'!$B$2:$M$130,10,FALSE))</f>
        <v/>
      </c>
      <c r="X143" s="175" t="str">
        <f>IFERROR(VLOOKUP(W143,'G-1 All Habitats'!$V$3:$W$7,2,FALSE),"")</f>
        <v/>
      </c>
      <c r="Y143" s="275"/>
      <c r="Z143" s="176" t="str">
        <f>IFERROR(INDEX('G-8 Condition Look up'!$A$3:$H$131,MATCH(S143,'G-8 Condition Look up'!$A$3:$A$131,0),MATCH(Y143,'G-8 Condition Look up'!$A$3:$H$3,0)),"")</f>
        <v/>
      </c>
      <c r="AA143" s="173"/>
      <c r="AB143" s="269" t="str">
        <f>IF(AA143="","",IF(VLOOKUP(AA143,'G-3 Multipliers'!$L$3:$N$6,2,FALSE)=0,"Spatial Data Missing",VLOOKUP(AA143,'G-3 Multipliers'!$L$3:$N$6,2,FALSE)))</f>
        <v/>
      </c>
      <c r="AC143" s="176" t="str">
        <f>IF(AA143="","",IF(VLOOKUP(AA143,'G-3 Multipliers'!$L$3:$N$6,3,FALSE)=0,"Spatial Data Missing",VLOOKUP(AA143,'G-3 Multipliers'!$L$3:$N$6,3,FALSE)))</f>
        <v/>
      </c>
      <c r="AD143" s="239" t="str">
        <f t="shared" si="27"/>
        <v/>
      </c>
      <c r="AE143" s="275"/>
      <c r="AF143" s="275"/>
      <c r="AG143" s="175" t="str">
        <f t="shared" si="30"/>
        <v/>
      </c>
      <c r="AH143" s="242" t="str">
        <f t="shared" si="31"/>
        <v/>
      </c>
      <c r="AI143" s="335" t="str">
        <f>IF(AH143="Check Data","Check Data",IFERROR(VLOOKUP(AH143,'G-4 Temporal multipliers'!$A$4:$C$36,3,FALSE),""))</f>
        <v/>
      </c>
      <c r="AJ143" s="239" t="str">
        <f>IF(S143="","",VLOOKUP(S143,'G-3 Multipliers'!$A$2:$E$130,4,FALSE))</f>
        <v/>
      </c>
      <c r="AK143" s="175" t="str">
        <f t="shared" si="32"/>
        <v/>
      </c>
      <c r="AL143" s="175" t="str">
        <f t="shared" si="33"/>
        <v/>
      </c>
      <c r="AM143" s="176" t="str">
        <f>IFERROR(IF(F143="","",IF(AH143="Check Data","Check Data",VLOOKUP(AL143, 'G-3 Multipliers'!$P$2:$Q$6,2,FALSE))),””)</f>
        <v/>
      </c>
      <c r="AN143" s="266"/>
      <c r="AO143" s="269" t="str">
        <f>IF(AN143="","",IF(VLOOKUP(AN143,'G-3 Multipliers'!$S$3:$T$9,2,FALSE)=0,"Spatial Data Missing",VLOOKUP(AN143,'G-3 Multipliers'!$S$3:$T$9,2,FALSE)))</f>
        <v/>
      </c>
      <c r="AP143" s="207" t="str">
        <f t="shared" si="34"/>
        <v/>
      </c>
      <c r="AQ143" s="336"/>
      <c r="AR143" s="181"/>
    </row>
    <row r="144" spans="1:44" x14ac:dyDescent="0.25">
      <c r="A144" s="35" t="str">
        <f>IF(E144="","",IF(ISNA(VLOOKUP($E144,'D-1 Off Site Habitat Baseline'!$D$1:$O$258,2,FALSE)),"",(VLOOKUP($E144,'D-1 Off Site Habitat Baseline'!$D$1:$O$258,2,FALSE))))</f>
        <v/>
      </c>
      <c r="B144" s="35" t="str">
        <f>IF(E144="","",IF(ISNA(VLOOKUP($E144,'D-1 Off Site Habitat Baseline'!$D$1:$O$258,3,FALSE)),"",(VLOOKUP($E144,'D-1 Off Site Habitat Baseline'!$D$1:$O$258,3,FALSE))))</f>
        <v/>
      </c>
      <c r="C144" s="35" t="str">
        <f>IFERROR(INDEX('G-8 Condition Look up'!$I$4:$I$131,MATCH(S144,'G-8 Condition Look up'!$A$4:$A$131,0)),"")</f>
        <v/>
      </c>
      <c r="E144" s="329" t="str">
        <f>'D-1 Off Site Habitat Baseline'!AL143</f>
        <v/>
      </c>
      <c r="F144" s="175" t="str">
        <f>IF(E144="","",IF(ISNA(VLOOKUP($E144,'D-1 Off Site Habitat Baseline'!$D$1:$O$258,4,FALSE)),"",(VLOOKUP($E144,'D-1 Off Site Habitat Baseline'!$D$1:$O$258,4,FALSE))))</f>
        <v/>
      </c>
      <c r="G144" s="175" t="str">
        <f>IF(E144="","",IF(ISNA(VLOOKUP($E144,'D-1 Off Site Habitat Baseline'!$D$1:$O$258,5,FALSE)),"",(VLOOKUP($E144,'D-1 Off Site Habitat Baseline'!$D$1:$O$258,5,FALSE))))</f>
        <v/>
      </c>
      <c r="H144" s="175" t="str">
        <f>IF(E144="","",IF(ISNA(VLOOKUP($E144,'D-1 Off Site Habitat Baseline'!$D$1:$O$258,6,FALSE)),"",(VLOOKUP($E144,'D-1 Off Site Habitat Baseline'!$D$1:$O$258,6,FALSE))))</f>
        <v/>
      </c>
      <c r="I144" s="175" t="str">
        <f>IF(E144="","",IF(ISNA(VLOOKUP($E144,'D-1 Off Site Habitat Baseline'!$D$1:$O$258,7,FALSE)),"",(VLOOKUP($E144,'D-1 Off Site Habitat Baseline'!$D$1:$O$258,7,FALSE))))</f>
        <v/>
      </c>
      <c r="J144" s="175" t="str">
        <f>IF(E144="","",IF(ISNA(VLOOKUP($E144,'D-1 Off Site Habitat Baseline'!$D$1:$O$258,8,FALSE)),"",(VLOOKUP($E144,'D-1 Off Site Habitat Baseline'!$D$1:$O$258,8,FALSE))))</f>
        <v/>
      </c>
      <c r="K144" s="175" t="str">
        <f>IF(E144="","",IF(ISNA(VLOOKUP($E144,'D-1 Off Site Habitat Baseline'!$D$1:$O$258,9,FALSE)),"",(VLOOKUP($E144,'D-1 Off Site Habitat Baseline'!$D$1:$O$258,9,FALSE))))</f>
        <v/>
      </c>
      <c r="L144" s="175" t="str">
        <f>IF(E144="","",IF(ISNA(VLOOKUP($E144,'D-1 Off Site Habitat Baseline'!$D$1:$O$258,11,FALSE)),"",(VLOOKUP($E144,'D-1 Off Site Habitat Baseline'!$D$1:$O$258,11,FALSE))))</f>
        <v/>
      </c>
      <c r="M144" s="175" t="str">
        <f>IF(E144="","",IF(ISNA(VLOOKUP($E144,'D-1 Off Site Habitat Baseline'!$D$1:$O$258,12,FALSE)),"",(VLOOKUP($E144,'D-1 Off Site Habitat Baseline'!$D$1:$O$258,12,FALSE))))</f>
        <v/>
      </c>
      <c r="N144" s="175" t="str">
        <f>IF(E144="","",IF(ISNA(VLOOKUP($E144,'D-1 Off Site Habitat Baseline'!$D$1:$X$258,14,FALSE)),"",(VLOOKUP($E144,'D-1 Off Site Habitat Baseline'!$D$1:$X$258,14,FALSE))))</f>
        <v/>
      </c>
      <c r="O144" s="176" t="str">
        <f>IF(E144="","",IF(ISNA(VLOOKUP($E144,'D-1 Off Site Habitat Baseline'!$D$1:$X$258,13,FALSE)),"",(VLOOKUP($E144,'D-1 Off Site Habitat Baseline'!$D$1:$X$258,13,FALSE))))</f>
        <v/>
      </c>
      <c r="P144" s="337" t="str">
        <f>IFERROR(INDEX('G-1 All Habitats'!$AG$3:$AG$15,MATCH(Q144,'G-1 All Habitats'!$AF$3:$AF$15,0)),"")</f>
        <v/>
      </c>
      <c r="Q144" s="331" t="str">
        <f t="shared" si="35"/>
        <v/>
      </c>
      <c r="R144" s="332" t="str">
        <f t="shared" si="36"/>
        <v/>
      </c>
      <c r="S144" s="338" t="str">
        <f>IFERROR(INDEX('G-1 All Habitats'!$B$3:$B$130,MATCH(R144,'G-1 All Habitats'!$A$3:$A$130,0)),"")</f>
        <v/>
      </c>
      <c r="T144" s="179" t="str">
        <f t="shared" si="28"/>
        <v/>
      </c>
      <c r="U144" s="172" t="str">
        <f t="shared" si="29"/>
        <v/>
      </c>
      <c r="V144" s="334" t="str">
        <f t="shared" si="26"/>
        <v/>
      </c>
      <c r="W144" s="175" t="str">
        <f>IF(S144="","",VLOOKUP(S144,'G-1 All Habitats'!$B$2:$M$130,10,FALSE))</f>
        <v/>
      </c>
      <c r="X144" s="175" t="str">
        <f>IFERROR(VLOOKUP(W144,'G-1 All Habitats'!$V$3:$W$7,2,FALSE),"")</f>
        <v/>
      </c>
      <c r="Y144" s="275"/>
      <c r="Z144" s="176" t="str">
        <f>IFERROR(INDEX('G-8 Condition Look up'!$A$3:$H$131,MATCH(S144,'G-8 Condition Look up'!$A$3:$A$131,0),MATCH(Y144,'G-8 Condition Look up'!$A$3:$H$3,0)),"")</f>
        <v/>
      </c>
      <c r="AA144" s="173"/>
      <c r="AB144" s="269" t="str">
        <f>IF(AA144="","",IF(VLOOKUP(AA144,'G-3 Multipliers'!$L$3:$N$6,2,FALSE)=0,"Spatial Data Missing",VLOOKUP(AA144,'G-3 Multipliers'!$L$3:$N$6,2,FALSE)))</f>
        <v/>
      </c>
      <c r="AC144" s="176" t="str">
        <f>IF(AA144="","",IF(VLOOKUP(AA144,'G-3 Multipliers'!$L$3:$N$6,3,FALSE)=0,"Spatial Data Missing",VLOOKUP(AA144,'G-3 Multipliers'!$L$3:$N$6,3,FALSE)))</f>
        <v/>
      </c>
      <c r="AD144" s="239" t="str">
        <f t="shared" si="27"/>
        <v/>
      </c>
      <c r="AE144" s="275"/>
      <c r="AF144" s="275"/>
      <c r="AG144" s="175" t="str">
        <f t="shared" si="30"/>
        <v/>
      </c>
      <c r="AH144" s="242" t="str">
        <f t="shared" si="31"/>
        <v/>
      </c>
      <c r="AI144" s="335" t="str">
        <f>IF(AH144="Check Data","Check Data",IFERROR(VLOOKUP(AH144,'G-4 Temporal multipliers'!$A$4:$C$36,3,FALSE),""))</f>
        <v/>
      </c>
      <c r="AJ144" s="239" t="str">
        <f>IF(S144="","",VLOOKUP(S144,'G-3 Multipliers'!$A$2:$E$130,4,FALSE))</f>
        <v/>
      </c>
      <c r="AK144" s="175" t="str">
        <f t="shared" si="32"/>
        <v/>
      </c>
      <c r="AL144" s="175" t="str">
        <f t="shared" si="33"/>
        <v/>
      </c>
      <c r="AM144" s="176" t="str">
        <f>IFERROR(IF(F144="","",IF(AH144="Check Data","Check Data",VLOOKUP(AL144, 'G-3 Multipliers'!$P$2:$Q$6,2,FALSE))),””)</f>
        <v/>
      </c>
      <c r="AN144" s="266"/>
      <c r="AO144" s="269" t="str">
        <f>IF(AN144="","",IF(VLOOKUP(AN144,'G-3 Multipliers'!$S$3:$T$9,2,FALSE)=0,"Spatial Data Missing",VLOOKUP(AN144,'G-3 Multipliers'!$S$3:$T$9,2,FALSE)))</f>
        <v/>
      </c>
      <c r="AP144" s="207" t="str">
        <f t="shared" si="34"/>
        <v/>
      </c>
      <c r="AQ144" s="336"/>
      <c r="AR144" s="181"/>
    </row>
    <row r="145" spans="1:44" x14ac:dyDescent="0.25">
      <c r="A145" s="35" t="str">
        <f>IF(E145="","",IF(ISNA(VLOOKUP($E145,'D-1 Off Site Habitat Baseline'!$D$1:$O$258,2,FALSE)),"",(VLOOKUP($E145,'D-1 Off Site Habitat Baseline'!$D$1:$O$258,2,FALSE))))</f>
        <v/>
      </c>
      <c r="B145" s="35" t="str">
        <f>IF(E145="","",IF(ISNA(VLOOKUP($E145,'D-1 Off Site Habitat Baseline'!$D$1:$O$258,3,FALSE)),"",(VLOOKUP($E145,'D-1 Off Site Habitat Baseline'!$D$1:$O$258,3,FALSE))))</f>
        <v/>
      </c>
      <c r="C145" s="35" t="str">
        <f>IFERROR(INDEX('G-8 Condition Look up'!$I$4:$I$131,MATCH(S145,'G-8 Condition Look up'!$A$4:$A$131,0)),"")</f>
        <v/>
      </c>
      <c r="E145" s="329" t="str">
        <f>'D-1 Off Site Habitat Baseline'!AL144</f>
        <v/>
      </c>
      <c r="F145" s="175" t="str">
        <f>IF(E145="","",IF(ISNA(VLOOKUP($E145,'D-1 Off Site Habitat Baseline'!$D$1:$O$258,4,FALSE)),"",(VLOOKUP($E145,'D-1 Off Site Habitat Baseline'!$D$1:$O$258,4,FALSE))))</f>
        <v/>
      </c>
      <c r="G145" s="175" t="str">
        <f>IF(E145="","",IF(ISNA(VLOOKUP($E145,'D-1 Off Site Habitat Baseline'!$D$1:$O$258,5,FALSE)),"",(VLOOKUP($E145,'D-1 Off Site Habitat Baseline'!$D$1:$O$258,5,FALSE))))</f>
        <v/>
      </c>
      <c r="H145" s="175" t="str">
        <f>IF(E145="","",IF(ISNA(VLOOKUP($E145,'D-1 Off Site Habitat Baseline'!$D$1:$O$258,6,FALSE)),"",(VLOOKUP($E145,'D-1 Off Site Habitat Baseline'!$D$1:$O$258,6,FALSE))))</f>
        <v/>
      </c>
      <c r="I145" s="175" t="str">
        <f>IF(E145="","",IF(ISNA(VLOOKUP($E145,'D-1 Off Site Habitat Baseline'!$D$1:$O$258,7,FALSE)),"",(VLOOKUP($E145,'D-1 Off Site Habitat Baseline'!$D$1:$O$258,7,FALSE))))</f>
        <v/>
      </c>
      <c r="J145" s="175" t="str">
        <f>IF(E145="","",IF(ISNA(VLOOKUP($E145,'D-1 Off Site Habitat Baseline'!$D$1:$O$258,8,FALSE)),"",(VLOOKUP($E145,'D-1 Off Site Habitat Baseline'!$D$1:$O$258,8,FALSE))))</f>
        <v/>
      </c>
      <c r="K145" s="175" t="str">
        <f>IF(E145="","",IF(ISNA(VLOOKUP($E145,'D-1 Off Site Habitat Baseline'!$D$1:$O$258,9,FALSE)),"",(VLOOKUP($E145,'D-1 Off Site Habitat Baseline'!$D$1:$O$258,9,FALSE))))</f>
        <v/>
      </c>
      <c r="L145" s="175" t="str">
        <f>IF(E145="","",IF(ISNA(VLOOKUP($E145,'D-1 Off Site Habitat Baseline'!$D$1:$O$258,11,FALSE)),"",(VLOOKUP($E145,'D-1 Off Site Habitat Baseline'!$D$1:$O$258,11,FALSE))))</f>
        <v/>
      </c>
      <c r="M145" s="175" t="str">
        <f>IF(E145="","",IF(ISNA(VLOOKUP($E145,'D-1 Off Site Habitat Baseline'!$D$1:$O$258,12,FALSE)),"",(VLOOKUP($E145,'D-1 Off Site Habitat Baseline'!$D$1:$O$258,12,FALSE))))</f>
        <v/>
      </c>
      <c r="N145" s="175" t="str">
        <f>IF(E145="","",IF(ISNA(VLOOKUP($E145,'D-1 Off Site Habitat Baseline'!$D$1:$X$258,14,FALSE)),"",(VLOOKUP($E145,'D-1 Off Site Habitat Baseline'!$D$1:$X$258,14,FALSE))))</f>
        <v/>
      </c>
      <c r="O145" s="176" t="str">
        <f>IF(E145="","",IF(ISNA(VLOOKUP($E145,'D-1 Off Site Habitat Baseline'!$D$1:$X$258,13,FALSE)),"",(VLOOKUP($E145,'D-1 Off Site Habitat Baseline'!$D$1:$X$258,13,FALSE))))</f>
        <v/>
      </c>
      <c r="P145" s="337" t="str">
        <f>IFERROR(INDEX('G-1 All Habitats'!$AG$3:$AG$15,MATCH(Q145,'G-1 All Habitats'!$AF$3:$AF$15,0)),"")</f>
        <v/>
      </c>
      <c r="Q145" s="331" t="str">
        <f t="shared" si="35"/>
        <v/>
      </c>
      <c r="R145" s="332" t="str">
        <f t="shared" si="36"/>
        <v/>
      </c>
      <c r="S145" s="338" t="str">
        <f>IFERROR(INDEX('G-1 All Habitats'!$B$3:$B$130,MATCH(R145,'G-1 All Habitats'!$A$3:$A$130,0)),"")</f>
        <v/>
      </c>
      <c r="T145" s="179" t="str">
        <f t="shared" si="28"/>
        <v/>
      </c>
      <c r="U145" s="172" t="str">
        <f t="shared" si="29"/>
        <v/>
      </c>
      <c r="V145" s="334" t="str">
        <f t="shared" si="26"/>
        <v/>
      </c>
      <c r="W145" s="175" t="str">
        <f>IF(S145="","",VLOOKUP(S145,'G-1 All Habitats'!$B$2:$M$130,10,FALSE))</f>
        <v/>
      </c>
      <c r="X145" s="175" t="str">
        <f>IFERROR(VLOOKUP(W145,'G-1 All Habitats'!$V$3:$W$7,2,FALSE),"")</f>
        <v/>
      </c>
      <c r="Y145" s="275"/>
      <c r="Z145" s="176" t="str">
        <f>IFERROR(INDEX('G-8 Condition Look up'!$A$3:$H$131,MATCH(S145,'G-8 Condition Look up'!$A$3:$A$131,0),MATCH(Y145,'G-8 Condition Look up'!$A$3:$H$3,0)),"")</f>
        <v/>
      </c>
      <c r="AA145" s="173"/>
      <c r="AB145" s="269" t="str">
        <f>IF(AA145="","",IF(VLOOKUP(AA145,'G-3 Multipliers'!$L$3:$N$6,2,FALSE)=0,"Spatial Data Missing",VLOOKUP(AA145,'G-3 Multipliers'!$L$3:$N$6,2,FALSE)))</f>
        <v/>
      </c>
      <c r="AC145" s="176" t="str">
        <f>IF(AA145="","",IF(VLOOKUP(AA145,'G-3 Multipliers'!$L$3:$N$6,3,FALSE)=0,"Spatial Data Missing",VLOOKUP(AA145,'G-3 Multipliers'!$L$3:$N$6,3,FALSE)))</f>
        <v/>
      </c>
      <c r="AD145" s="239" t="str">
        <f t="shared" si="27"/>
        <v/>
      </c>
      <c r="AE145" s="275"/>
      <c r="AF145" s="275"/>
      <c r="AG145" s="175" t="str">
        <f t="shared" si="30"/>
        <v/>
      </c>
      <c r="AH145" s="242" t="str">
        <f t="shared" si="31"/>
        <v/>
      </c>
      <c r="AI145" s="335" t="str">
        <f>IF(AH145="Check Data","Check Data",IFERROR(VLOOKUP(AH145,'G-4 Temporal multipliers'!$A$4:$C$36,3,FALSE),""))</f>
        <v/>
      </c>
      <c r="AJ145" s="239" t="str">
        <f>IF(S145="","",VLOOKUP(S145,'G-3 Multipliers'!$A$2:$E$130,4,FALSE))</f>
        <v/>
      </c>
      <c r="AK145" s="175" t="str">
        <f t="shared" si="32"/>
        <v/>
      </c>
      <c r="AL145" s="175" t="str">
        <f t="shared" si="33"/>
        <v/>
      </c>
      <c r="AM145" s="176" t="str">
        <f>IFERROR(IF(F145="","",IF(AH145="Check Data","Check Data",VLOOKUP(AL145, 'G-3 Multipliers'!$P$2:$Q$6,2,FALSE))),””)</f>
        <v/>
      </c>
      <c r="AN145" s="266"/>
      <c r="AO145" s="269" t="str">
        <f>IF(AN145="","",IF(VLOOKUP(AN145,'G-3 Multipliers'!$S$3:$T$9,2,FALSE)=0,"Spatial Data Missing",VLOOKUP(AN145,'G-3 Multipliers'!$S$3:$T$9,2,FALSE)))</f>
        <v/>
      </c>
      <c r="AP145" s="207" t="str">
        <f t="shared" si="34"/>
        <v/>
      </c>
      <c r="AQ145" s="336"/>
      <c r="AR145" s="181"/>
    </row>
    <row r="146" spans="1:44" x14ac:dyDescent="0.25">
      <c r="A146" s="35" t="str">
        <f>IF(E146="","",IF(ISNA(VLOOKUP($E146,'D-1 Off Site Habitat Baseline'!$D$1:$O$258,2,FALSE)),"",(VLOOKUP($E146,'D-1 Off Site Habitat Baseline'!$D$1:$O$258,2,FALSE))))</f>
        <v/>
      </c>
      <c r="B146" s="35" t="str">
        <f>IF(E146="","",IF(ISNA(VLOOKUP($E146,'D-1 Off Site Habitat Baseline'!$D$1:$O$258,3,FALSE)),"",(VLOOKUP($E146,'D-1 Off Site Habitat Baseline'!$D$1:$O$258,3,FALSE))))</f>
        <v/>
      </c>
      <c r="C146" s="35" t="str">
        <f>IFERROR(INDEX('G-8 Condition Look up'!$I$4:$I$131,MATCH(S146,'G-8 Condition Look up'!$A$4:$A$131,0)),"")</f>
        <v/>
      </c>
      <c r="E146" s="329" t="str">
        <f>'D-1 Off Site Habitat Baseline'!AL145</f>
        <v/>
      </c>
      <c r="F146" s="175" t="str">
        <f>IF(E146="","",IF(ISNA(VLOOKUP($E146,'D-1 Off Site Habitat Baseline'!$D$1:$O$258,4,FALSE)),"",(VLOOKUP($E146,'D-1 Off Site Habitat Baseline'!$D$1:$O$258,4,FALSE))))</f>
        <v/>
      </c>
      <c r="G146" s="175" t="str">
        <f>IF(E146="","",IF(ISNA(VLOOKUP($E146,'D-1 Off Site Habitat Baseline'!$D$1:$O$258,5,FALSE)),"",(VLOOKUP($E146,'D-1 Off Site Habitat Baseline'!$D$1:$O$258,5,FALSE))))</f>
        <v/>
      </c>
      <c r="H146" s="175" t="str">
        <f>IF(E146="","",IF(ISNA(VLOOKUP($E146,'D-1 Off Site Habitat Baseline'!$D$1:$O$258,6,FALSE)),"",(VLOOKUP($E146,'D-1 Off Site Habitat Baseline'!$D$1:$O$258,6,FALSE))))</f>
        <v/>
      </c>
      <c r="I146" s="175" t="str">
        <f>IF(E146="","",IF(ISNA(VLOOKUP($E146,'D-1 Off Site Habitat Baseline'!$D$1:$O$258,7,FALSE)),"",(VLOOKUP($E146,'D-1 Off Site Habitat Baseline'!$D$1:$O$258,7,FALSE))))</f>
        <v/>
      </c>
      <c r="J146" s="175" t="str">
        <f>IF(E146="","",IF(ISNA(VLOOKUP($E146,'D-1 Off Site Habitat Baseline'!$D$1:$O$258,8,FALSE)),"",(VLOOKUP($E146,'D-1 Off Site Habitat Baseline'!$D$1:$O$258,8,FALSE))))</f>
        <v/>
      </c>
      <c r="K146" s="175" t="str">
        <f>IF(E146="","",IF(ISNA(VLOOKUP($E146,'D-1 Off Site Habitat Baseline'!$D$1:$O$258,9,FALSE)),"",(VLOOKUP($E146,'D-1 Off Site Habitat Baseline'!$D$1:$O$258,9,FALSE))))</f>
        <v/>
      </c>
      <c r="L146" s="175" t="str">
        <f>IF(E146="","",IF(ISNA(VLOOKUP($E146,'D-1 Off Site Habitat Baseline'!$D$1:$O$258,11,FALSE)),"",(VLOOKUP($E146,'D-1 Off Site Habitat Baseline'!$D$1:$O$258,11,FALSE))))</f>
        <v/>
      </c>
      <c r="M146" s="175" t="str">
        <f>IF(E146="","",IF(ISNA(VLOOKUP($E146,'D-1 Off Site Habitat Baseline'!$D$1:$O$258,12,FALSE)),"",(VLOOKUP($E146,'D-1 Off Site Habitat Baseline'!$D$1:$O$258,12,FALSE))))</f>
        <v/>
      </c>
      <c r="N146" s="175" t="str">
        <f>IF(E146="","",IF(ISNA(VLOOKUP($E146,'D-1 Off Site Habitat Baseline'!$D$1:$X$258,14,FALSE)),"",(VLOOKUP($E146,'D-1 Off Site Habitat Baseline'!$D$1:$X$258,14,FALSE))))</f>
        <v/>
      </c>
      <c r="O146" s="176" t="str">
        <f>IF(E146="","",IF(ISNA(VLOOKUP($E146,'D-1 Off Site Habitat Baseline'!$D$1:$X$258,13,FALSE)),"",(VLOOKUP($E146,'D-1 Off Site Habitat Baseline'!$D$1:$X$258,13,FALSE))))</f>
        <v/>
      </c>
      <c r="P146" s="337" t="str">
        <f>IFERROR(INDEX('G-1 All Habitats'!$AG$3:$AG$15,MATCH(Q146,'G-1 All Habitats'!$AF$3:$AF$15,0)),"")</f>
        <v/>
      </c>
      <c r="Q146" s="331" t="str">
        <f t="shared" si="35"/>
        <v/>
      </c>
      <c r="R146" s="332" t="str">
        <f t="shared" si="36"/>
        <v/>
      </c>
      <c r="S146" s="338" t="str">
        <f>IFERROR(INDEX('G-1 All Habitats'!$B$3:$B$130,MATCH(R146,'G-1 All Habitats'!$A$3:$A$130,0)),"")</f>
        <v/>
      </c>
      <c r="T146" s="179" t="str">
        <f t="shared" si="28"/>
        <v/>
      </c>
      <c r="U146" s="172" t="str">
        <f t="shared" si="29"/>
        <v/>
      </c>
      <c r="V146" s="334" t="str">
        <f t="shared" si="26"/>
        <v/>
      </c>
      <c r="W146" s="175" t="str">
        <f>IF(S146="","",VLOOKUP(S146,'G-1 All Habitats'!$B$2:$M$130,10,FALSE))</f>
        <v/>
      </c>
      <c r="X146" s="175" t="str">
        <f>IFERROR(VLOOKUP(W146,'G-1 All Habitats'!$V$3:$W$7,2,FALSE),"")</f>
        <v/>
      </c>
      <c r="Y146" s="275"/>
      <c r="Z146" s="176" t="str">
        <f>IFERROR(INDEX('G-8 Condition Look up'!$A$3:$H$131,MATCH(S146,'G-8 Condition Look up'!$A$3:$A$131,0),MATCH(Y146,'G-8 Condition Look up'!$A$3:$H$3,0)),"")</f>
        <v/>
      </c>
      <c r="AA146" s="173"/>
      <c r="AB146" s="269" t="str">
        <f>IF(AA146="","",IF(VLOOKUP(AA146,'G-3 Multipliers'!$L$3:$N$6,2,FALSE)=0,"Spatial Data Missing",VLOOKUP(AA146,'G-3 Multipliers'!$L$3:$N$6,2,FALSE)))</f>
        <v/>
      </c>
      <c r="AC146" s="176" t="str">
        <f>IF(AA146="","",IF(VLOOKUP(AA146,'G-3 Multipliers'!$L$3:$N$6,3,FALSE)=0,"Spatial Data Missing",VLOOKUP(AA146,'G-3 Multipliers'!$L$3:$N$6,3,FALSE)))</f>
        <v/>
      </c>
      <c r="AD146" s="239" t="str">
        <f t="shared" si="27"/>
        <v/>
      </c>
      <c r="AE146" s="275"/>
      <c r="AF146" s="275"/>
      <c r="AG146" s="175" t="str">
        <f t="shared" si="30"/>
        <v/>
      </c>
      <c r="AH146" s="242" t="str">
        <f t="shared" si="31"/>
        <v/>
      </c>
      <c r="AI146" s="335" t="str">
        <f>IF(AH146="Check Data","Check Data",IFERROR(VLOOKUP(AH146,'G-4 Temporal multipliers'!$A$4:$C$36,3,FALSE),""))</f>
        <v/>
      </c>
      <c r="AJ146" s="239" t="str">
        <f>IF(S146="","",VLOOKUP(S146,'G-3 Multipliers'!$A$2:$E$130,4,FALSE))</f>
        <v/>
      </c>
      <c r="AK146" s="175" t="str">
        <f t="shared" si="32"/>
        <v/>
      </c>
      <c r="AL146" s="175" t="str">
        <f t="shared" si="33"/>
        <v/>
      </c>
      <c r="AM146" s="176" t="str">
        <f>IFERROR(IF(F146="","",IF(AH146="Check Data","Check Data",VLOOKUP(AL146, 'G-3 Multipliers'!$P$2:$Q$6,2,FALSE))),””)</f>
        <v/>
      </c>
      <c r="AN146" s="266"/>
      <c r="AO146" s="269" t="str">
        <f>IF(AN146="","",IF(VLOOKUP(AN146,'G-3 Multipliers'!$S$3:$T$9,2,FALSE)=0,"Spatial Data Missing",VLOOKUP(AN146,'G-3 Multipliers'!$S$3:$T$9,2,FALSE)))</f>
        <v/>
      </c>
      <c r="AP146" s="207" t="str">
        <f t="shared" si="34"/>
        <v/>
      </c>
      <c r="AQ146" s="336"/>
      <c r="AR146" s="181"/>
    </row>
    <row r="147" spans="1:44" x14ac:dyDescent="0.25">
      <c r="A147" s="35" t="str">
        <f>IF(E147="","",IF(ISNA(VLOOKUP($E147,'D-1 Off Site Habitat Baseline'!$D$1:$O$258,2,FALSE)),"",(VLOOKUP($E147,'D-1 Off Site Habitat Baseline'!$D$1:$O$258,2,FALSE))))</f>
        <v/>
      </c>
      <c r="B147" s="35" t="str">
        <f>IF(E147="","",IF(ISNA(VLOOKUP($E147,'D-1 Off Site Habitat Baseline'!$D$1:$O$258,3,FALSE)),"",(VLOOKUP($E147,'D-1 Off Site Habitat Baseline'!$D$1:$O$258,3,FALSE))))</f>
        <v/>
      </c>
      <c r="C147" s="35" t="str">
        <f>IFERROR(INDEX('G-8 Condition Look up'!$I$4:$I$131,MATCH(S147,'G-8 Condition Look up'!$A$4:$A$131,0)),"")</f>
        <v/>
      </c>
      <c r="E147" s="329" t="str">
        <f>'D-1 Off Site Habitat Baseline'!AL146</f>
        <v/>
      </c>
      <c r="F147" s="175" t="str">
        <f>IF(E147="","",IF(ISNA(VLOOKUP($E147,'D-1 Off Site Habitat Baseline'!$D$1:$O$258,4,FALSE)),"",(VLOOKUP($E147,'D-1 Off Site Habitat Baseline'!$D$1:$O$258,4,FALSE))))</f>
        <v/>
      </c>
      <c r="G147" s="175" t="str">
        <f>IF(E147="","",IF(ISNA(VLOOKUP($E147,'D-1 Off Site Habitat Baseline'!$D$1:$O$258,5,FALSE)),"",(VLOOKUP($E147,'D-1 Off Site Habitat Baseline'!$D$1:$O$258,5,FALSE))))</f>
        <v/>
      </c>
      <c r="H147" s="175" t="str">
        <f>IF(E147="","",IF(ISNA(VLOOKUP($E147,'D-1 Off Site Habitat Baseline'!$D$1:$O$258,6,FALSE)),"",(VLOOKUP($E147,'D-1 Off Site Habitat Baseline'!$D$1:$O$258,6,FALSE))))</f>
        <v/>
      </c>
      <c r="I147" s="175" t="str">
        <f>IF(E147="","",IF(ISNA(VLOOKUP($E147,'D-1 Off Site Habitat Baseline'!$D$1:$O$258,7,FALSE)),"",(VLOOKUP($E147,'D-1 Off Site Habitat Baseline'!$D$1:$O$258,7,FALSE))))</f>
        <v/>
      </c>
      <c r="J147" s="175" t="str">
        <f>IF(E147="","",IF(ISNA(VLOOKUP($E147,'D-1 Off Site Habitat Baseline'!$D$1:$O$258,8,FALSE)),"",(VLOOKUP($E147,'D-1 Off Site Habitat Baseline'!$D$1:$O$258,8,FALSE))))</f>
        <v/>
      </c>
      <c r="K147" s="175" t="str">
        <f>IF(E147="","",IF(ISNA(VLOOKUP($E147,'D-1 Off Site Habitat Baseline'!$D$1:$O$258,9,FALSE)),"",(VLOOKUP($E147,'D-1 Off Site Habitat Baseline'!$D$1:$O$258,9,FALSE))))</f>
        <v/>
      </c>
      <c r="L147" s="175" t="str">
        <f>IF(E147="","",IF(ISNA(VLOOKUP($E147,'D-1 Off Site Habitat Baseline'!$D$1:$O$258,11,FALSE)),"",(VLOOKUP($E147,'D-1 Off Site Habitat Baseline'!$D$1:$O$258,11,FALSE))))</f>
        <v/>
      </c>
      <c r="M147" s="175" t="str">
        <f>IF(E147="","",IF(ISNA(VLOOKUP($E147,'D-1 Off Site Habitat Baseline'!$D$1:$O$258,12,FALSE)),"",(VLOOKUP($E147,'D-1 Off Site Habitat Baseline'!$D$1:$O$258,12,FALSE))))</f>
        <v/>
      </c>
      <c r="N147" s="175" t="str">
        <f>IF(E147="","",IF(ISNA(VLOOKUP($E147,'D-1 Off Site Habitat Baseline'!$D$1:$X$258,14,FALSE)),"",(VLOOKUP($E147,'D-1 Off Site Habitat Baseline'!$D$1:$X$258,14,FALSE))))</f>
        <v/>
      </c>
      <c r="O147" s="176" t="str">
        <f>IF(E147="","",IF(ISNA(VLOOKUP($E147,'D-1 Off Site Habitat Baseline'!$D$1:$X$258,13,FALSE)),"",(VLOOKUP($E147,'D-1 Off Site Habitat Baseline'!$D$1:$X$258,13,FALSE))))</f>
        <v/>
      </c>
      <c r="P147" s="337" t="str">
        <f>IFERROR(INDEX('G-1 All Habitats'!$AG$3:$AG$15,MATCH(Q147,'G-1 All Habitats'!$AF$3:$AF$15,0)),"")</f>
        <v/>
      </c>
      <c r="Q147" s="331" t="str">
        <f t="shared" si="35"/>
        <v/>
      </c>
      <c r="R147" s="332" t="str">
        <f t="shared" si="36"/>
        <v/>
      </c>
      <c r="S147" s="338" t="str">
        <f>IFERROR(INDEX('G-1 All Habitats'!$B$3:$B$130,MATCH(R147,'G-1 All Habitats'!$A$3:$A$130,0)),"")</f>
        <v/>
      </c>
      <c r="T147" s="179" t="str">
        <f t="shared" si="28"/>
        <v/>
      </c>
      <c r="U147" s="172" t="str">
        <f t="shared" si="29"/>
        <v/>
      </c>
      <c r="V147" s="334" t="str">
        <f t="shared" si="26"/>
        <v/>
      </c>
      <c r="W147" s="175" t="str">
        <f>IF(S147="","",VLOOKUP(S147,'G-1 All Habitats'!$B$2:$M$130,10,FALSE))</f>
        <v/>
      </c>
      <c r="X147" s="175" t="str">
        <f>IFERROR(VLOOKUP(W147,'G-1 All Habitats'!$V$3:$W$7,2,FALSE),"")</f>
        <v/>
      </c>
      <c r="Y147" s="275"/>
      <c r="Z147" s="176" t="str">
        <f>IFERROR(INDEX('G-8 Condition Look up'!$A$3:$H$131,MATCH(S147,'G-8 Condition Look up'!$A$3:$A$131,0),MATCH(Y147,'G-8 Condition Look up'!$A$3:$H$3,0)),"")</f>
        <v/>
      </c>
      <c r="AA147" s="173"/>
      <c r="AB147" s="269" t="str">
        <f>IF(AA147="","",IF(VLOOKUP(AA147,'G-3 Multipliers'!$L$3:$N$6,2,FALSE)=0,"Spatial Data Missing",VLOOKUP(AA147,'G-3 Multipliers'!$L$3:$N$6,2,FALSE)))</f>
        <v/>
      </c>
      <c r="AC147" s="176" t="str">
        <f>IF(AA147="","",IF(VLOOKUP(AA147,'G-3 Multipliers'!$L$3:$N$6,3,FALSE)=0,"Spatial Data Missing",VLOOKUP(AA147,'G-3 Multipliers'!$L$3:$N$6,3,FALSE)))</f>
        <v/>
      </c>
      <c r="AD147" s="239" t="str">
        <f t="shared" si="27"/>
        <v/>
      </c>
      <c r="AE147" s="275"/>
      <c r="AF147" s="275"/>
      <c r="AG147" s="175" t="str">
        <f t="shared" si="30"/>
        <v/>
      </c>
      <c r="AH147" s="242" t="str">
        <f t="shared" si="31"/>
        <v/>
      </c>
      <c r="AI147" s="335" t="str">
        <f>IF(AH147="Check Data","Check Data",IFERROR(VLOOKUP(AH147,'G-4 Temporal multipliers'!$A$4:$C$36,3,FALSE),""))</f>
        <v/>
      </c>
      <c r="AJ147" s="239" t="str">
        <f>IF(S147="","",VLOOKUP(S147,'G-3 Multipliers'!$A$2:$E$130,4,FALSE))</f>
        <v/>
      </c>
      <c r="AK147" s="175" t="str">
        <f t="shared" si="32"/>
        <v/>
      </c>
      <c r="AL147" s="175" t="str">
        <f t="shared" si="33"/>
        <v/>
      </c>
      <c r="AM147" s="176" t="str">
        <f>IFERROR(IF(F147="","",IF(AH147="Check Data","Check Data",VLOOKUP(AL147, 'G-3 Multipliers'!$P$2:$Q$6,2,FALSE))),””)</f>
        <v/>
      </c>
      <c r="AN147" s="266"/>
      <c r="AO147" s="269" t="str">
        <f>IF(AN147="","",IF(VLOOKUP(AN147,'G-3 Multipliers'!$S$3:$T$9,2,FALSE)=0,"Spatial Data Missing",VLOOKUP(AN147,'G-3 Multipliers'!$S$3:$T$9,2,FALSE)))</f>
        <v/>
      </c>
      <c r="AP147" s="207" t="str">
        <f t="shared" si="34"/>
        <v/>
      </c>
      <c r="AQ147" s="336"/>
      <c r="AR147" s="181"/>
    </row>
    <row r="148" spans="1:44" x14ac:dyDescent="0.25">
      <c r="A148" s="35" t="str">
        <f>IF(E148="","",IF(ISNA(VLOOKUP($E148,'D-1 Off Site Habitat Baseline'!$D$1:$O$258,2,FALSE)),"",(VLOOKUP($E148,'D-1 Off Site Habitat Baseline'!$D$1:$O$258,2,FALSE))))</f>
        <v/>
      </c>
      <c r="B148" s="35" t="str">
        <f>IF(E148="","",IF(ISNA(VLOOKUP($E148,'D-1 Off Site Habitat Baseline'!$D$1:$O$258,3,FALSE)),"",(VLOOKUP($E148,'D-1 Off Site Habitat Baseline'!$D$1:$O$258,3,FALSE))))</f>
        <v/>
      </c>
      <c r="C148" s="35" t="str">
        <f>IFERROR(INDEX('G-8 Condition Look up'!$I$4:$I$131,MATCH(S148,'G-8 Condition Look up'!$A$4:$A$131,0)),"")</f>
        <v/>
      </c>
      <c r="E148" s="329" t="str">
        <f>'D-1 Off Site Habitat Baseline'!AL147</f>
        <v/>
      </c>
      <c r="F148" s="175" t="str">
        <f>IF(E148="","",IF(ISNA(VLOOKUP($E148,'D-1 Off Site Habitat Baseline'!$D$1:$O$258,4,FALSE)),"",(VLOOKUP($E148,'D-1 Off Site Habitat Baseline'!$D$1:$O$258,4,FALSE))))</f>
        <v/>
      </c>
      <c r="G148" s="175" t="str">
        <f>IF(E148="","",IF(ISNA(VLOOKUP($E148,'D-1 Off Site Habitat Baseline'!$D$1:$O$258,5,FALSE)),"",(VLOOKUP($E148,'D-1 Off Site Habitat Baseline'!$D$1:$O$258,5,FALSE))))</f>
        <v/>
      </c>
      <c r="H148" s="175" t="str">
        <f>IF(E148="","",IF(ISNA(VLOOKUP($E148,'D-1 Off Site Habitat Baseline'!$D$1:$O$258,6,FALSE)),"",(VLOOKUP($E148,'D-1 Off Site Habitat Baseline'!$D$1:$O$258,6,FALSE))))</f>
        <v/>
      </c>
      <c r="I148" s="175" t="str">
        <f>IF(E148="","",IF(ISNA(VLOOKUP($E148,'D-1 Off Site Habitat Baseline'!$D$1:$O$258,7,FALSE)),"",(VLOOKUP($E148,'D-1 Off Site Habitat Baseline'!$D$1:$O$258,7,FALSE))))</f>
        <v/>
      </c>
      <c r="J148" s="175" t="str">
        <f>IF(E148="","",IF(ISNA(VLOOKUP($E148,'D-1 Off Site Habitat Baseline'!$D$1:$O$258,8,FALSE)),"",(VLOOKUP($E148,'D-1 Off Site Habitat Baseline'!$D$1:$O$258,8,FALSE))))</f>
        <v/>
      </c>
      <c r="K148" s="175" t="str">
        <f>IF(E148="","",IF(ISNA(VLOOKUP($E148,'D-1 Off Site Habitat Baseline'!$D$1:$O$258,9,FALSE)),"",(VLOOKUP($E148,'D-1 Off Site Habitat Baseline'!$D$1:$O$258,9,FALSE))))</f>
        <v/>
      </c>
      <c r="L148" s="175" t="str">
        <f>IF(E148="","",IF(ISNA(VLOOKUP($E148,'D-1 Off Site Habitat Baseline'!$D$1:$O$258,11,FALSE)),"",(VLOOKUP($E148,'D-1 Off Site Habitat Baseline'!$D$1:$O$258,11,FALSE))))</f>
        <v/>
      </c>
      <c r="M148" s="175" t="str">
        <f>IF(E148="","",IF(ISNA(VLOOKUP($E148,'D-1 Off Site Habitat Baseline'!$D$1:$O$258,12,FALSE)),"",(VLOOKUP($E148,'D-1 Off Site Habitat Baseline'!$D$1:$O$258,12,FALSE))))</f>
        <v/>
      </c>
      <c r="N148" s="175" t="str">
        <f>IF(E148="","",IF(ISNA(VLOOKUP($E148,'D-1 Off Site Habitat Baseline'!$D$1:$X$258,14,FALSE)),"",(VLOOKUP($E148,'D-1 Off Site Habitat Baseline'!$D$1:$X$258,14,FALSE))))</f>
        <v/>
      </c>
      <c r="O148" s="176" t="str">
        <f>IF(E148="","",IF(ISNA(VLOOKUP($E148,'D-1 Off Site Habitat Baseline'!$D$1:$X$258,13,FALSE)),"",(VLOOKUP($E148,'D-1 Off Site Habitat Baseline'!$D$1:$X$258,13,FALSE))))</f>
        <v/>
      </c>
      <c r="P148" s="337" t="str">
        <f>IFERROR(INDEX('G-1 All Habitats'!$AG$3:$AG$15,MATCH(Q148,'G-1 All Habitats'!$AF$3:$AF$15,0)),"")</f>
        <v/>
      </c>
      <c r="Q148" s="331" t="str">
        <f t="shared" si="35"/>
        <v/>
      </c>
      <c r="R148" s="332" t="str">
        <f t="shared" si="36"/>
        <v/>
      </c>
      <c r="S148" s="338" t="str">
        <f>IFERROR(INDEX('G-1 All Habitats'!$B$3:$B$130,MATCH(R148,'G-1 All Habitats'!$A$3:$A$130,0)),"")</f>
        <v/>
      </c>
      <c r="T148" s="179" t="str">
        <f t="shared" si="28"/>
        <v/>
      </c>
      <c r="U148" s="172" t="str">
        <f t="shared" si="29"/>
        <v/>
      </c>
      <c r="V148" s="334" t="str">
        <f t="shared" si="26"/>
        <v/>
      </c>
      <c r="W148" s="175" t="str">
        <f>IF(S148="","",VLOOKUP(S148,'G-1 All Habitats'!$B$2:$M$130,10,FALSE))</f>
        <v/>
      </c>
      <c r="X148" s="175" t="str">
        <f>IFERROR(VLOOKUP(W148,'G-1 All Habitats'!$V$3:$W$7,2,FALSE),"")</f>
        <v/>
      </c>
      <c r="Y148" s="275"/>
      <c r="Z148" s="176" t="str">
        <f>IFERROR(INDEX('G-8 Condition Look up'!$A$3:$H$131,MATCH(S148,'G-8 Condition Look up'!$A$3:$A$131,0),MATCH(Y148,'G-8 Condition Look up'!$A$3:$H$3,0)),"")</f>
        <v/>
      </c>
      <c r="AA148" s="173"/>
      <c r="AB148" s="269" t="str">
        <f>IF(AA148="","",IF(VLOOKUP(AA148,'G-3 Multipliers'!$L$3:$N$6,2,FALSE)=0,"Spatial Data Missing",VLOOKUP(AA148,'G-3 Multipliers'!$L$3:$N$6,2,FALSE)))</f>
        <v/>
      </c>
      <c r="AC148" s="176" t="str">
        <f>IF(AA148="","",IF(VLOOKUP(AA148,'G-3 Multipliers'!$L$3:$N$6,3,FALSE)=0,"Spatial Data Missing",VLOOKUP(AA148,'G-3 Multipliers'!$L$3:$N$6,3,FALSE)))</f>
        <v/>
      </c>
      <c r="AD148" s="239" t="str">
        <f t="shared" si="27"/>
        <v/>
      </c>
      <c r="AE148" s="275"/>
      <c r="AF148" s="275"/>
      <c r="AG148" s="175" t="str">
        <f t="shared" si="30"/>
        <v/>
      </c>
      <c r="AH148" s="242" t="str">
        <f t="shared" si="31"/>
        <v/>
      </c>
      <c r="AI148" s="335" t="str">
        <f>IF(AH148="Check Data","Check Data",IFERROR(VLOOKUP(AH148,'G-4 Temporal multipliers'!$A$4:$C$36,3,FALSE),""))</f>
        <v/>
      </c>
      <c r="AJ148" s="239" t="str">
        <f>IF(S148="","",VLOOKUP(S148,'G-3 Multipliers'!$A$2:$E$130,4,FALSE))</f>
        <v/>
      </c>
      <c r="AK148" s="175" t="str">
        <f t="shared" si="32"/>
        <v/>
      </c>
      <c r="AL148" s="175" t="str">
        <f t="shared" si="33"/>
        <v/>
      </c>
      <c r="AM148" s="176" t="str">
        <f>IFERROR(IF(F148="","",IF(AH148="Check Data","Check Data",VLOOKUP(AL148, 'G-3 Multipliers'!$P$2:$Q$6,2,FALSE))),””)</f>
        <v/>
      </c>
      <c r="AN148" s="266"/>
      <c r="AO148" s="269" t="str">
        <f>IF(AN148="","",IF(VLOOKUP(AN148,'G-3 Multipliers'!$S$3:$T$9,2,FALSE)=0,"Spatial Data Missing",VLOOKUP(AN148,'G-3 Multipliers'!$S$3:$T$9,2,FALSE)))</f>
        <v/>
      </c>
      <c r="AP148" s="207" t="str">
        <f t="shared" si="34"/>
        <v/>
      </c>
      <c r="AQ148" s="336"/>
      <c r="AR148" s="181"/>
    </row>
    <row r="149" spans="1:44" x14ac:dyDescent="0.25">
      <c r="A149" s="35" t="str">
        <f>IF(E149="","",IF(ISNA(VLOOKUP($E149,'D-1 Off Site Habitat Baseline'!$D$1:$O$258,2,FALSE)),"",(VLOOKUP($E149,'D-1 Off Site Habitat Baseline'!$D$1:$O$258,2,FALSE))))</f>
        <v/>
      </c>
      <c r="B149" s="35" t="str">
        <f>IF(E149="","",IF(ISNA(VLOOKUP($E149,'D-1 Off Site Habitat Baseline'!$D$1:$O$258,3,FALSE)),"",(VLOOKUP($E149,'D-1 Off Site Habitat Baseline'!$D$1:$O$258,3,FALSE))))</f>
        <v/>
      </c>
      <c r="C149" s="35" t="str">
        <f>IFERROR(INDEX('G-8 Condition Look up'!$I$4:$I$131,MATCH(S149,'G-8 Condition Look up'!$A$4:$A$131,0)),"")</f>
        <v/>
      </c>
      <c r="E149" s="329" t="str">
        <f>'D-1 Off Site Habitat Baseline'!AL148</f>
        <v/>
      </c>
      <c r="F149" s="175" t="str">
        <f>IF(E149="","",IF(ISNA(VLOOKUP($E149,'D-1 Off Site Habitat Baseline'!$D$1:$O$258,4,FALSE)),"",(VLOOKUP($E149,'D-1 Off Site Habitat Baseline'!$D$1:$O$258,4,FALSE))))</f>
        <v/>
      </c>
      <c r="G149" s="175" t="str">
        <f>IF(E149="","",IF(ISNA(VLOOKUP($E149,'D-1 Off Site Habitat Baseline'!$D$1:$O$258,5,FALSE)),"",(VLOOKUP($E149,'D-1 Off Site Habitat Baseline'!$D$1:$O$258,5,FALSE))))</f>
        <v/>
      </c>
      <c r="H149" s="175" t="str">
        <f>IF(E149="","",IF(ISNA(VLOOKUP($E149,'D-1 Off Site Habitat Baseline'!$D$1:$O$258,6,FALSE)),"",(VLOOKUP($E149,'D-1 Off Site Habitat Baseline'!$D$1:$O$258,6,FALSE))))</f>
        <v/>
      </c>
      <c r="I149" s="175" t="str">
        <f>IF(E149="","",IF(ISNA(VLOOKUP($E149,'D-1 Off Site Habitat Baseline'!$D$1:$O$258,7,FALSE)),"",(VLOOKUP($E149,'D-1 Off Site Habitat Baseline'!$D$1:$O$258,7,FALSE))))</f>
        <v/>
      </c>
      <c r="J149" s="175" t="str">
        <f>IF(E149="","",IF(ISNA(VLOOKUP($E149,'D-1 Off Site Habitat Baseline'!$D$1:$O$258,8,FALSE)),"",(VLOOKUP($E149,'D-1 Off Site Habitat Baseline'!$D$1:$O$258,8,FALSE))))</f>
        <v/>
      </c>
      <c r="K149" s="175" t="str">
        <f>IF(E149="","",IF(ISNA(VLOOKUP($E149,'D-1 Off Site Habitat Baseline'!$D$1:$O$258,9,FALSE)),"",(VLOOKUP($E149,'D-1 Off Site Habitat Baseline'!$D$1:$O$258,9,FALSE))))</f>
        <v/>
      </c>
      <c r="L149" s="175" t="str">
        <f>IF(E149="","",IF(ISNA(VLOOKUP($E149,'D-1 Off Site Habitat Baseline'!$D$1:$O$258,11,FALSE)),"",(VLOOKUP($E149,'D-1 Off Site Habitat Baseline'!$D$1:$O$258,11,FALSE))))</f>
        <v/>
      </c>
      <c r="M149" s="175" t="str">
        <f>IF(E149="","",IF(ISNA(VLOOKUP($E149,'D-1 Off Site Habitat Baseline'!$D$1:$O$258,12,FALSE)),"",(VLOOKUP($E149,'D-1 Off Site Habitat Baseline'!$D$1:$O$258,12,FALSE))))</f>
        <v/>
      </c>
      <c r="N149" s="175" t="str">
        <f>IF(E149="","",IF(ISNA(VLOOKUP($E149,'D-1 Off Site Habitat Baseline'!$D$1:$X$258,14,FALSE)),"",(VLOOKUP($E149,'D-1 Off Site Habitat Baseline'!$D$1:$X$258,14,FALSE))))</f>
        <v/>
      </c>
      <c r="O149" s="176" t="str">
        <f>IF(E149="","",IF(ISNA(VLOOKUP($E149,'D-1 Off Site Habitat Baseline'!$D$1:$X$258,13,FALSE)),"",(VLOOKUP($E149,'D-1 Off Site Habitat Baseline'!$D$1:$X$258,13,FALSE))))</f>
        <v/>
      </c>
      <c r="P149" s="337" t="str">
        <f>IFERROR(INDEX('G-1 All Habitats'!$AG$3:$AG$15,MATCH(Q149,'G-1 All Habitats'!$AF$3:$AF$15,0)),"")</f>
        <v/>
      </c>
      <c r="Q149" s="331" t="str">
        <f t="shared" si="35"/>
        <v/>
      </c>
      <c r="R149" s="332" t="str">
        <f t="shared" si="36"/>
        <v/>
      </c>
      <c r="S149" s="338" t="str">
        <f>IFERROR(INDEX('G-1 All Habitats'!$B$3:$B$130,MATCH(R149,'G-1 All Habitats'!$A$3:$A$130,0)),"")</f>
        <v/>
      </c>
      <c r="T149" s="179" t="str">
        <f t="shared" si="28"/>
        <v/>
      </c>
      <c r="U149" s="172" t="str">
        <f t="shared" si="29"/>
        <v/>
      </c>
      <c r="V149" s="334" t="str">
        <f t="shared" si="26"/>
        <v/>
      </c>
      <c r="W149" s="175" t="str">
        <f>IF(S149="","",VLOOKUP(S149,'G-1 All Habitats'!$B$2:$M$130,10,FALSE))</f>
        <v/>
      </c>
      <c r="X149" s="175" t="str">
        <f>IFERROR(VLOOKUP(W149,'G-1 All Habitats'!$V$3:$W$7,2,FALSE),"")</f>
        <v/>
      </c>
      <c r="Y149" s="275"/>
      <c r="Z149" s="176" t="str">
        <f>IFERROR(INDEX('G-8 Condition Look up'!$A$3:$H$131,MATCH(S149,'G-8 Condition Look up'!$A$3:$A$131,0),MATCH(Y149,'G-8 Condition Look up'!$A$3:$H$3,0)),"")</f>
        <v/>
      </c>
      <c r="AA149" s="173"/>
      <c r="AB149" s="269" t="str">
        <f>IF(AA149="","",IF(VLOOKUP(AA149,'G-3 Multipliers'!$L$3:$N$6,2,FALSE)=0,"Spatial Data Missing",VLOOKUP(AA149,'G-3 Multipliers'!$L$3:$N$6,2,FALSE)))</f>
        <v/>
      </c>
      <c r="AC149" s="176" t="str">
        <f>IF(AA149="","",IF(VLOOKUP(AA149,'G-3 Multipliers'!$L$3:$N$6,3,FALSE)=0,"Spatial Data Missing",VLOOKUP(AA149,'G-3 Multipliers'!$L$3:$N$6,3,FALSE)))</f>
        <v/>
      </c>
      <c r="AD149" s="239" t="str">
        <f t="shared" si="27"/>
        <v/>
      </c>
      <c r="AE149" s="275"/>
      <c r="AF149" s="275"/>
      <c r="AG149" s="175" t="str">
        <f t="shared" si="30"/>
        <v/>
      </c>
      <c r="AH149" s="242" t="str">
        <f t="shared" si="31"/>
        <v/>
      </c>
      <c r="AI149" s="335" t="str">
        <f>IF(AH149="Check Data","Check Data",IFERROR(VLOOKUP(AH149,'G-4 Temporal multipliers'!$A$4:$C$36,3,FALSE),""))</f>
        <v/>
      </c>
      <c r="AJ149" s="239" t="str">
        <f>IF(S149="","",VLOOKUP(S149,'G-3 Multipliers'!$A$2:$E$130,4,FALSE))</f>
        <v/>
      </c>
      <c r="AK149" s="175" t="str">
        <f t="shared" si="32"/>
        <v/>
      </c>
      <c r="AL149" s="175" t="str">
        <f t="shared" si="33"/>
        <v/>
      </c>
      <c r="AM149" s="176" t="str">
        <f>IFERROR(IF(F149="","",IF(AH149="Check Data","Check Data",VLOOKUP(AL149, 'G-3 Multipliers'!$P$2:$Q$6,2,FALSE))),””)</f>
        <v/>
      </c>
      <c r="AN149" s="266"/>
      <c r="AO149" s="269" t="str">
        <f>IF(AN149="","",IF(VLOOKUP(AN149,'G-3 Multipliers'!$S$3:$T$9,2,FALSE)=0,"Spatial Data Missing",VLOOKUP(AN149,'G-3 Multipliers'!$S$3:$T$9,2,FALSE)))</f>
        <v/>
      </c>
      <c r="AP149" s="207" t="str">
        <f t="shared" si="34"/>
        <v/>
      </c>
      <c r="AQ149" s="336"/>
      <c r="AR149" s="181"/>
    </row>
    <row r="150" spans="1:44" x14ac:dyDescent="0.25">
      <c r="A150" s="35" t="str">
        <f>IF(E150="","",IF(ISNA(VLOOKUP($E150,'D-1 Off Site Habitat Baseline'!$D$1:$O$258,2,FALSE)),"",(VLOOKUP($E150,'D-1 Off Site Habitat Baseline'!$D$1:$O$258,2,FALSE))))</f>
        <v/>
      </c>
      <c r="B150" s="35" t="str">
        <f>IF(E150="","",IF(ISNA(VLOOKUP($E150,'D-1 Off Site Habitat Baseline'!$D$1:$O$258,3,FALSE)),"",(VLOOKUP($E150,'D-1 Off Site Habitat Baseline'!$D$1:$O$258,3,FALSE))))</f>
        <v/>
      </c>
      <c r="C150" s="35" t="str">
        <f>IFERROR(INDEX('G-8 Condition Look up'!$I$4:$I$131,MATCH(S150,'G-8 Condition Look up'!$A$4:$A$131,0)),"")</f>
        <v/>
      </c>
      <c r="E150" s="329" t="str">
        <f>'D-1 Off Site Habitat Baseline'!AL149</f>
        <v/>
      </c>
      <c r="F150" s="175" t="str">
        <f>IF(E150="","",IF(ISNA(VLOOKUP($E150,'D-1 Off Site Habitat Baseline'!$D$1:$O$258,4,FALSE)),"",(VLOOKUP($E150,'D-1 Off Site Habitat Baseline'!$D$1:$O$258,4,FALSE))))</f>
        <v/>
      </c>
      <c r="G150" s="175" t="str">
        <f>IF(E150="","",IF(ISNA(VLOOKUP($E150,'D-1 Off Site Habitat Baseline'!$D$1:$O$258,5,FALSE)),"",(VLOOKUP($E150,'D-1 Off Site Habitat Baseline'!$D$1:$O$258,5,FALSE))))</f>
        <v/>
      </c>
      <c r="H150" s="175" t="str">
        <f>IF(E150="","",IF(ISNA(VLOOKUP($E150,'D-1 Off Site Habitat Baseline'!$D$1:$O$258,6,FALSE)),"",(VLOOKUP($E150,'D-1 Off Site Habitat Baseline'!$D$1:$O$258,6,FALSE))))</f>
        <v/>
      </c>
      <c r="I150" s="175" t="str">
        <f>IF(E150="","",IF(ISNA(VLOOKUP($E150,'D-1 Off Site Habitat Baseline'!$D$1:$O$258,7,FALSE)),"",(VLOOKUP($E150,'D-1 Off Site Habitat Baseline'!$D$1:$O$258,7,FALSE))))</f>
        <v/>
      </c>
      <c r="J150" s="175" t="str">
        <f>IF(E150="","",IF(ISNA(VLOOKUP($E150,'D-1 Off Site Habitat Baseline'!$D$1:$O$258,8,FALSE)),"",(VLOOKUP($E150,'D-1 Off Site Habitat Baseline'!$D$1:$O$258,8,FALSE))))</f>
        <v/>
      </c>
      <c r="K150" s="175" t="str">
        <f>IF(E150="","",IF(ISNA(VLOOKUP($E150,'D-1 Off Site Habitat Baseline'!$D$1:$O$258,9,FALSE)),"",(VLOOKUP($E150,'D-1 Off Site Habitat Baseline'!$D$1:$O$258,9,FALSE))))</f>
        <v/>
      </c>
      <c r="L150" s="175" t="str">
        <f>IF(E150="","",IF(ISNA(VLOOKUP($E150,'D-1 Off Site Habitat Baseline'!$D$1:$O$258,11,FALSE)),"",(VLOOKUP($E150,'D-1 Off Site Habitat Baseline'!$D$1:$O$258,11,FALSE))))</f>
        <v/>
      </c>
      <c r="M150" s="175" t="str">
        <f>IF(E150="","",IF(ISNA(VLOOKUP($E150,'D-1 Off Site Habitat Baseline'!$D$1:$O$258,12,FALSE)),"",(VLOOKUP($E150,'D-1 Off Site Habitat Baseline'!$D$1:$O$258,12,FALSE))))</f>
        <v/>
      </c>
      <c r="N150" s="175" t="str">
        <f>IF(E150="","",IF(ISNA(VLOOKUP($E150,'D-1 Off Site Habitat Baseline'!$D$1:$X$258,14,FALSE)),"",(VLOOKUP($E150,'D-1 Off Site Habitat Baseline'!$D$1:$X$258,14,FALSE))))</f>
        <v/>
      </c>
      <c r="O150" s="176" t="str">
        <f>IF(E150="","",IF(ISNA(VLOOKUP($E150,'D-1 Off Site Habitat Baseline'!$D$1:$X$258,13,FALSE)),"",(VLOOKUP($E150,'D-1 Off Site Habitat Baseline'!$D$1:$X$258,13,FALSE))))</f>
        <v/>
      </c>
      <c r="P150" s="337" t="str">
        <f>IFERROR(INDEX('G-1 All Habitats'!$AG$3:$AG$15,MATCH(Q150,'G-1 All Habitats'!$AF$3:$AF$15,0)),"")</f>
        <v/>
      </c>
      <c r="Q150" s="331" t="str">
        <f t="shared" si="35"/>
        <v/>
      </c>
      <c r="R150" s="332" t="str">
        <f t="shared" si="36"/>
        <v/>
      </c>
      <c r="S150" s="338" t="str">
        <f>IFERROR(INDEX('G-1 All Habitats'!$B$3:$B$130,MATCH(R150,'G-1 All Habitats'!$A$3:$A$130,0)),"")</f>
        <v/>
      </c>
      <c r="T150" s="179" t="str">
        <f t="shared" si="28"/>
        <v/>
      </c>
      <c r="U150" s="172" t="str">
        <f t="shared" si="29"/>
        <v/>
      </c>
      <c r="V150" s="334" t="str">
        <f t="shared" si="26"/>
        <v/>
      </c>
      <c r="W150" s="175" t="str">
        <f>IF(S150="","",VLOOKUP(S150,'G-1 All Habitats'!$B$2:$M$130,10,FALSE))</f>
        <v/>
      </c>
      <c r="X150" s="175" t="str">
        <f>IFERROR(VLOOKUP(W150,'G-1 All Habitats'!$V$3:$W$7,2,FALSE),"")</f>
        <v/>
      </c>
      <c r="Y150" s="275"/>
      <c r="Z150" s="176" t="str">
        <f>IFERROR(INDEX('G-8 Condition Look up'!$A$3:$H$131,MATCH(S150,'G-8 Condition Look up'!$A$3:$A$131,0),MATCH(Y150,'G-8 Condition Look up'!$A$3:$H$3,0)),"")</f>
        <v/>
      </c>
      <c r="AA150" s="173"/>
      <c r="AB150" s="269" t="str">
        <f>IF(AA150="","",IF(VLOOKUP(AA150,'G-3 Multipliers'!$L$3:$N$6,2,FALSE)=0,"Spatial Data Missing",VLOOKUP(AA150,'G-3 Multipliers'!$L$3:$N$6,2,FALSE)))</f>
        <v/>
      </c>
      <c r="AC150" s="176" t="str">
        <f>IF(AA150="","",IF(VLOOKUP(AA150,'G-3 Multipliers'!$L$3:$N$6,3,FALSE)=0,"Spatial Data Missing",VLOOKUP(AA150,'G-3 Multipliers'!$L$3:$N$6,3,FALSE)))</f>
        <v/>
      </c>
      <c r="AD150" s="239" t="str">
        <f t="shared" si="27"/>
        <v/>
      </c>
      <c r="AE150" s="275"/>
      <c r="AF150" s="275"/>
      <c r="AG150" s="175" t="str">
        <f t="shared" si="30"/>
        <v/>
      </c>
      <c r="AH150" s="242" t="str">
        <f t="shared" si="31"/>
        <v/>
      </c>
      <c r="AI150" s="335" t="str">
        <f>IF(AH150="Check Data","Check Data",IFERROR(VLOOKUP(AH150,'G-4 Temporal multipliers'!$A$4:$C$36,3,FALSE),""))</f>
        <v/>
      </c>
      <c r="AJ150" s="239" t="str">
        <f>IF(S150="","",VLOOKUP(S150,'G-3 Multipliers'!$A$2:$E$130,4,FALSE))</f>
        <v/>
      </c>
      <c r="AK150" s="175" t="str">
        <f t="shared" si="32"/>
        <v/>
      </c>
      <c r="AL150" s="175" t="str">
        <f t="shared" si="33"/>
        <v/>
      </c>
      <c r="AM150" s="176" t="str">
        <f>IFERROR(IF(F150="","",IF(AH150="Check Data","Check Data",VLOOKUP(AL150, 'G-3 Multipliers'!$P$2:$Q$6,2,FALSE))),””)</f>
        <v/>
      </c>
      <c r="AN150" s="266"/>
      <c r="AO150" s="269" t="str">
        <f>IF(AN150="","",IF(VLOOKUP(AN150,'G-3 Multipliers'!$S$3:$T$9,2,FALSE)=0,"Spatial Data Missing",VLOOKUP(AN150,'G-3 Multipliers'!$S$3:$T$9,2,FALSE)))</f>
        <v/>
      </c>
      <c r="AP150" s="207" t="str">
        <f t="shared" si="34"/>
        <v/>
      </c>
      <c r="AQ150" s="336"/>
      <c r="AR150" s="181"/>
    </row>
    <row r="151" spans="1:44" x14ac:dyDescent="0.25">
      <c r="A151" s="35" t="str">
        <f>IF(E151="","",IF(ISNA(VLOOKUP($E151,'D-1 Off Site Habitat Baseline'!$D$1:$O$258,2,FALSE)),"",(VLOOKUP($E151,'D-1 Off Site Habitat Baseline'!$D$1:$O$258,2,FALSE))))</f>
        <v/>
      </c>
      <c r="B151" s="35" t="str">
        <f>IF(E151="","",IF(ISNA(VLOOKUP($E151,'D-1 Off Site Habitat Baseline'!$D$1:$O$258,3,FALSE)),"",(VLOOKUP($E151,'D-1 Off Site Habitat Baseline'!$D$1:$O$258,3,FALSE))))</f>
        <v/>
      </c>
      <c r="C151" s="35" t="str">
        <f>IFERROR(INDEX('G-8 Condition Look up'!$I$4:$I$131,MATCH(S151,'G-8 Condition Look up'!$A$4:$A$131,0)),"")</f>
        <v/>
      </c>
      <c r="E151" s="329" t="str">
        <f>'D-1 Off Site Habitat Baseline'!AL150</f>
        <v/>
      </c>
      <c r="F151" s="175" t="str">
        <f>IF(E151="","",IF(ISNA(VLOOKUP($E151,'D-1 Off Site Habitat Baseline'!$D$1:$O$258,4,FALSE)),"",(VLOOKUP($E151,'D-1 Off Site Habitat Baseline'!$D$1:$O$258,4,FALSE))))</f>
        <v/>
      </c>
      <c r="G151" s="175" t="str">
        <f>IF(E151="","",IF(ISNA(VLOOKUP($E151,'D-1 Off Site Habitat Baseline'!$D$1:$O$258,5,FALSE)),"",(VLOOKUP($E151,'D-1 Off Site Habitat Baseline'!$D$1:$O$258,5,FALSE))))</f>
        <v/>
      </c>
      <c r="H151" s="175" t="str">
        <f>IF(E151="","",IF(ISNA(VLOOKUP($E151,'D-1 Off Site Habitat Baseline'!$D$1:$O$258,6,FALSE)),"",(VLOOKUP($E151,'D-1 Off Site Habitat Baseline'!$D$1:$O$258,6,FALSE))))</f>
        <v/>
      </c>
      <c r="I151" s="175" t="str">
        <f>IF(E151="","",IF(ISNA(VLOOKUP($E151,'D-1 Off Site Habitat Baseline'!$D$1:$O$258,7,FALSE)),"",(VLOOKUP($E151,'D-1 Off Site Habitat Baseline'!$D$1:$O$258,7,FALSE))))</f>
        <v/>
      </c>
      <c r="J151" s="175" t="str">
        <f>IF(E151="","",IF(ISNA(VLOOKUP($E151,'D-1 Off Site Habitat Baseline'!$D$1:$O$258,8,FALSE)),"",(VLOOKUP($E151,'D-1 Off Site Habitat Baseline'!$D$1:$O$258,8,FALSE))))</f>
        <v/>
      </c>
      <c r="K151" s="175" t="str">
        <f>IF(E151="","",IF(ISNA(VLOOKUP($E151,'D-1 Off Site Habitat Baseline'!$D$1:$O$258,9,FALSE)),"",(VLOOKUP($E151,'D-1 Off Site Habitat Baseline'!$D$1:$O$258,9,FALSE))))</f>
        <v/>
      </c>
      <c r="L151" s="175" t="str">
        <f>IF(E151="","",IF(ISNA(VLOOKUP($E151,'D-1 Off Site Habitat Baseline'!$D$1:$O$258,11,FALSE)),"",(VLOOKUP($E151,'D-1 Off Site Habitat Baseline'!$D$1:$O$258,11,FALSE))))</f>
        <v/>
      </c>
      <c r="M151" s="175" t="str">
        <f>IF(E151="","",IF(ISNA(VLOOKUP($E151,'D-1 Off Site Habitat Baseline'!$D$1:$O$258,12,FALSE)),"",(VLOOKUP($E151,'D-1 Off Site Habitat Baseline'!$D$1:$O$258,12,FALSE))))</f>
        <v/>
      </c>
      <c r="N151" s="175" t="str">
        <f>IF(E151="","",IF(ISNA(VLOOKUP($E151,'D-1 Off Site Habitat Baseline'!$D$1:$X$258,14,FALSE)),"",(VLOOKUP($E151,'D-1 Off Site Habitat Baseline'!$D$1:$X$258,14,FALSE))))</f>
        <v/>
      </c>
      <c r="O151" s="176" t="str">
        <f>IF(E151="","",IF(ISNA(VLOOKUP($E151,'D-1 Off Site Habitat Baseline'!$D$1:$X$258,13,FALSE)),"",(VLOOKUP($E151,'D-1 Off Site Habitat Baseline'!$D$1:$X$258,13,FALSE))))</f>
        <v/>
      </c>
      <c r="P151" s="337" t="str">
        <f>IFERROR(INDEX('G-1 All Habitats'!$AG$3:$AG$15,MATCH(Q151,'G-1 All Habitats'!$AF$3:$AF$15,0)),"")</f>
        <v/>
      </c>
      <c r="Q151" s="331" t="str">
        <f t="shared" si="35"/>
        <v/>
      </c>
      <c r="R151" s="332" t="str">
        <f t="shared" si="36"/>
        <v/>
      </c>
      <c r="S151" s="338" t="str">
        <f>IFERROR(INDEX('G-1 All Habitats'!$B$3:$B$130,MATCH(R151,'G-1 All Habitats'!$A$3:$A$130,0)),"")</f>
        <v/>
      </c>
      <c r="T151" s="179" t="str">
        <f t="shared" si="28"/>
        <v/>
      </c>
      <c r="U151" s="172" t="str">
        <f t="shared" si="29"/>
        <v/>
      </c>
      <c r="V151" s="334" t="str">
        <f t="shared" si="26"/>
        <v/>
      </c>
      <c r="W151" s="175" t="str">
        <f>IF(S151="","",VLOOKUP(S151,'G-1 All Habitats'!$B$2:$M$130,10,FALSE))</f>
        <v/>
      </c>
      <c r="X151" s="175" t="str">
        <f>IFERROR(VLOOKUP(W151,'G-1 All Habitats'!$V$3:$W$7,2,FALSE),"")</f>
        <v/>
      </c>
      <c r="Y151" s="275"/>
      <c r="Z151" s="176" t="str">
        <f>IFERROR(INDEX('G-8 Condition Look up'!$A$3:$H$131,MATCH(S151,'G-8 Condition Look up'!$A$3:$A$131,0),MATCH(Y151,'G-8 Condition Look up'!$A$3:$H$3,0)),"")</f>
        <v/>
      </c>
      <c r="AA151" s="173"/>
      <c r="AB151" s="269" t="str">
        <f>IF(AA151="","",IF(VLOOKUP(AA151,'G-3 Multipliers'!$L$3:$N$6,2,FALSE)=0,"Spatial Data Missing",VLOOKUP(AA151,'G-3 Multipliers'!$L$3:$N$6,2,FALSE)))</f>
        <v/>
      </c>
      <c r="AC151" s="176" t="str">
        <f>IF(AA151="","",IF(VLOOKUP(AA151,'G-3 Multipliers'!$L$3:$N$6,3,FALSE)=0,"Spatial Data Missing",VLOOKUP(AA151,'G-3 Multipliers'!$L$3:$N$6,3,FALSE)))</f>
        <v/>
      </c>
      <c r="AD151" s="239" t="str">
        <f t="shared" si="27"/>
        <v/>
      </c>
      <c r="AE151" s="275"/>
      <c r="AF151" s="275"/>
      <c r="AG151" s="175" t="str">
        <f t="shared" si="30"/>
        <v/>
      </c>
      <c r="AH151" s="242" t="str">
        <f t="shared" si="31"/>
        <v/>
      </c>
      <c r="AI151" s="335" t="str">
        <f>IF(AH151="Check Data","Check Data",IFERROR(VLOOKUP(AH151,'G-4 Temporal multipliers'!$A$4:$C$36,3,FALSE),""))</f>
        <v/>
      </c>
      <c r="AJ151" s="239" t="str">
        <f>IF(S151="","",VLOOKUP(S151,'G-3 Multipliers'!$A$2:$E$130,4,FALSE))</f>
        <v/>
      </c>
      <c r="AK151" s="175" t="str">
        <f t="shared" si="32"/>
        <v/>
      </c>
      <c r="AL151" s="175" t="str">
        <f t="shared" si="33"/>
        <v/>
      </c>
      <c r="AM151" s="176" t="str">
        <f>IFERROR(IF(F151="","",IF(AH151="Check Data","Check Data",VLOOKUP(AL151, 'G-3 Multipliers'!$P$2:$Q$6,2,FALSE))),””)</f>
        <v/>
      </c>
      <c r="AN151" s="266"/>
      <c r="AO151" s="269" t="str">
        <f>IF(AN151="","",IF(VLOOKUP(AN151,'G-3 Multipliers'!$S$3:$T$9,2,FALSE)=0,"Spatial Data Missing",VLOOKUP(AN151,'G-3 Multipliers'!$S$3:$T$9,2,FALSE)))</f>
        <v/>
      </c>
      <c r="AP151" s="207" t="str">
        <f t="shared" si="34"/>
        <v/>
      </c>
      <c r="AQ151" s="336"/>
      <c r="AR151" s="181"/>
    </row>
    <row r="152" spans="1:44" x14ac:dyDescent="0.25">
      <c r="A152" s="35" t="str">
        <f>IF(E152="","",IF(ISNA(VLOOKUP($E152,'D-1 Off Site Habitat Baseline'!$D$1:$O$258,2,FALSE)),"",(VLOOKUP($E152,'D-1 Off Site Habitat Baseline'!$D$1:$O$258,2,FALSE))))</f>
        <v/>
      </c>
      <c r="B152" s="35" t="str">
        <f>IF(E152="","",IF(ISNA(VLOOKUP($E152,'D-1 Off Site Habitat Baseline'!$D$1:$O$258,3,FALSE)),"",(VLOOKUP($E152,'D-1 Off Site Habitat Baseline'!$D$1:$O$258,3,FALSE))))</f>
        <v/>
      </c>
      <c r="C152" s="35" t="str">
        <f>IFERROR(INDEX('G-8 Condition Look up'!$I$4:$I$131,MATCH(S152,'G-8 Condition Look up'!$A$4:$A$131,0)),"")</f>
        <v/>
      </c>
      <c r="E152" s="329" t="str">
        <f>'D-1 Off Site Habitat Baseline'!AL151</f>
        <v/>
      </c>
      <c r="F152" s="175" t="str">
        <f>IF(E152="","",IF(ISNA(VLOOKUP($E152,'D-1 Off Site Habitat Baseline'!$D$1:$O$258,4,FALSE)),"",(VLOOKUP($E152,'D-1 Off Site Habitat Baseline'!$D$1:$O$258,4,FALSE))))</f>
        <v/>
      </c>
      <c r="G152" s="175" t="str">
        <f>IF(E152="","",IF(ISNA(VLOOKUP($E152,'D-1 Off Site Habitat Baseline'!$D$1:$O$258,5,FALSE)),"",(VLOOKUP($E152,'D-1 Off Site Habitat Baseline'!$D$1:$O$258,5,FALSE))))</f>
        <v/>
      </c>
      <c r="H152" s="175" t="str">
        <f>IF(E152="","",IF(ISNA(VLOOKUP($E152,'D-1 Off Site Habitat Baseline'!$D$1:$O$258,6,FALSE)),"",(VLOOKUP($E152,'D-1 Off Site Habitat Baseline'!$D$1:$O$258,6,FALSE))))</f>
        <v/>
      </c>
      <c r="I152" s="175" t="str">
        <f>IF(E152="","",IF(ISNA(VLOOKUP($E152,'D-1 Off Site Habitat Baseline'!$D$1:$O$258,7,FALSE)),"",(VLOOKUP($E152,'D-1 Off Site Habitat Baseline'!$D$1:$O$258,7,FALSE))))</f>
        <v/>
      </c>
      <c r="J152" s="175" t="str">
        <f>IF(E152="","",IF(ISNA(VLOOKUP($E152,'D-1 Off Site Habitat Baseline'!$D$1:$O$258,8,FALSE)),"",(VLOOKUP($E152,'D-1 Off Site Habitat Baseline'!$D$1:$O$258,8,FALSE))))</f>
        <v/>
      </c>
      <c r="K152" s="175" t="str">
        <f>IF(E152="","",IF(ISNA(VLOOKUP($E152,'D-1 Off Site Habitat Baseline'!$D$1:$O$258,9,FALSE)),"",(VLOOKUP($E152,'D-1 Off Site Habitat Baseline'!$D$1:$O$258,9,FALSE))))</f>
        <v/>
      </c>
      <c r="L152" s="175" t="str">
        <f>IF(E152="","",IF(ISNA(VLOOKUP($E152,'D-1 Off Site Habitat Baseline'!$D$1:$O$258,11,FALSE)),"",(VLOOKUP($E152,'D-1 Off Site Habitat Baseline'!$D$1:$O$258,11,FALSE))))</f>
        <v/>
      </c>
      <c r="M152" s="175" t="str">
        <f>IF(E152="","",IF(ISNA(VLOOKUP($E152,'D-1 Off Site Habitat Baseline'!$D$1:$O$258,12,FALSE)),"",(VLOOKUP($E152,'D-1 Off Site Habitat Baseline'!$D$1:$O$258,12,FALSE))))</f>
        <v/>
      </c>
      <c r="N152" s="175" t="str">
        <f>IF(E152="","",IF(ISNA(VLOOKUP($E152,'D-1 Off Site Habitat Baseline'!$D$1:$X$258,14,FALSE)),"",(VLOOKUP($E152,'D-1 Off Site Habitat Baseline'!$D$1:$X$258,14,FALSE))))</f>
        <v/>
      </c>
      <c r="O152" s="176" t="str">
        <f>IF(E152="","",IF(ISNA(VLOOKUP($E152,'D-1 Off Site Habitat Baseline'!$D$1:$X$258,13,FALSE)),"",(VLOOKUP($E152,'D-1 Off Site Habitat Baseline'!$D$1:$X$258,13,FALSE))))</f>
        <v/>
      </c>
      <c r="P152" s="337" t="str">
        <f>IFERROR(INDEX('G-1 All Habitats'!$AG$3:$AG$15,MATCH(Q152,'G-1 All Habitats'!$AF$3:$AF$15,0)),"")</f>
        <v/>
      </c>
      <c r="Q152" s="331" t="str">
        <f t="shared" si="35"/>
        <v/>
      </c>
      <c r="R152" s="332" t="str">
        <f t="shared" si="36"/>
        <v/>
      </c>
      <c r="S152" s="338" t="str">
        <f>IFERROR(INDEX('G-1 All Habitats'!$B$3:$B$130,MATCH(R152,'G-1 All Habitats'!$A$3:$A$130,0)),"")</f>
        <v/>
      </c>
      <c r="T152" s="179" t="str">
        <f t="shared" si="28"/>
        <v/>
      </c>
      <c r="U152" s="172" t="str">
        <f t="shared" si="29"/>
        <v/>
      </c>
      <c r="V152" s="334" t="str">
        <f t="shared" si="26"/>
        <v/>
      </c>
      <c r="W152" s="175" t="str">
        <f>IF(S152="","",VLOOKUP(S152,'G-1 All Habitats'!$B$2:$M$130,10,FALSE))</f>
        <v/>
      </c>
      <c r="X152" s="175" t="str">
        <f>IFERROR(VLOOKUP(W152,'G-1 All Habitats'!$V$3:$W$7,2,FALSE),"")</f>
        <v/>
      </c>
      <c r="Y152" s="275"/>
      <c r="Z152" s="176" t="str">
        <f>IFERROR(INDEX('G-8 Condition Look up'!$A$3:$H$131,MATCH(S152,'G-8 Condition Look up'!$A$3:$A$131,0),MATCH(Y152,'G-8 Condition Look up'!$A$3:$H$3,0)),"")</f>
        <v/>
      </c>
      <c r="AA152" s="173"/>
      <c r="AB152" s="269" t="str">
        <f>IF(AA152="","",IF(VLOOKUP(AA152,'G-3 Multipliers'!$L$3:$N$6,2,FALSE)=0,"Spatial Data Missing",VLOOKUP(AA152,'G-3 Multipliers'!$L$3:$N$6,2,FALSE)))</f>
        <v/>
      </c>
      <c r="AC152" s="176" t="str">
        <f>IF(AA152="","",IF(VLOOKUP(AA152,'G-3 Multipliers'!$L$3:$N$6,3,FALSE)=0,"Spatial Data Missing",VLOOKUP(AA152,'G-3 Multipliers'!$L$3:$N$6,3,FALSE)))</f>
        <v/>
      </c>
      <c r="AD152" s="239" t="str">
        <f t="shared" si="27"/>
        <v/>
      </c>
      <c r="AE152" s="275"/>
      <c r="AF152" s="275"/>
      <c r="AG152" s="175" t="str">
        <f t="shared" si="30"/>
        <v/>
      </c>
      <c r="AH152" s="242" t="str">
        <f t="shared" si="31"/>
        <v/>
      </c>
      <c r="AI152" s="335" t="str">
        <f>IF(AH152="Check Data","Check Data",IFERROR(VLOOKUP(AH152,'G-4 Temporal multipliers'!$A$4:$C$36,3,FALSE),""))</f>
        <v/>
      </c>
      <c r="AJ152" s="239" t="str">
        <f>IF(S152="","",VLOOKUP(S152,'G-3 Multipliers'!$A$2:$E$130,4,FALSE))</f>
        <v/>
      </c>
      <c r="AK152" s="175" t="str">
        <f t="shared" si="32"/>
        <v/>
      </c>
      <c r="AL152" s="175" t="str">
        <f t="shared" si="33"/>
        <v/>
      </c>
      <c r="AM152" s="176" t="str">
        <f>IFERROR(IF(F152="","",IF(AH152="Check Data","Check Data",VLOOKUP(AL152, 'G-3 Multipliers'!$P$2:$Q$6,2,FALSE))),””)</f>
        <v/>
      </c>
      <c r="AN152" s="266"/>
      <c r="AO152" s="269" t="str">
        <f>IF(AN152="","",IF(VLOOKUP(AN152,'G-3 Multipliers'!$S$3:$T$9,2,FALSE)=0,"Spatial Data Missing",VLOOKUP(AN152,'G-3 Multipliers'!$S$3:$T$9,2,FALSE)))</f>
        <v/>
      </c>
      <c r="AP152" s="207" t="str">
        <f t="shared" si="34"/>
        <v/>
      </c>
      <c r="AQ152" s="336"/>
      <c r="AR152" s="181"/>
    </row>
    <row r="153" spans="1:44" x14ac:dyDescent="0.25">
      <c r="A153" s="35" t="str">
        <f>IF(E153="","",IF(ISNA(VLOOKUP($E153,'D-1 Off Site Habitat Baseline'!$D$1:$O$258,2,FALSE)),"",(VLOOKUP($E153,'D-1 Off Site Habitat Baseline'!$D$1:$O$258,2,FALSE))))</f>
        <v/>
      </c>
      <c r="B153" s="35" t="str">
        <f>IF(E153="","",IF(ISNA(VLOOKUP($E153,'D-1 Off Site Habitat Baseline'!$D$1:$O$258,3,FALSE)),"",(VLOOKUP($E153,'D-1 Off Site Habitat Baseline'!$D$1:$O$258,3,FALSE))))</f>
        <v/>
      </c>
      <c r="C153" s="35" t="str">
        <f>IFERROR(INDEX('G-8 Condition Look up'!$I$4:$I$131,MATCH(S153,'G-8 Condition Look up'!$A$4:$A$131,0)),"")</f>
        <v/>
      </c>
      <c r="E153" s="329" t="str">
        <f>'D-1 Off Site Habitat Baseline'!AL152</f>
        <v/>
      </c>
      <c r="F153" s="175" t="str">
        <f>IF(E153="","",IF(ISNA(VLOOKUP($E153,'D-1 Off Site Habitat Baseline'!$D$1:$O$258,4,FALSE)),"",(VLOOKUP($E153,'D-1 Off Site Habitat Baseline'!$D$1:$O$258,4,FALSE))))</f>
        <v/>
      </c>
      <c r="G153" s="175" t="str">
        <f>IF(E153="","",IF(ISNA(VLOOKUP($E153,'D-1 Off Site Habitat Baseline'!$D$1:$O$258,5,FALSE)),"",(VLOOKUP($E153,'D-1 Off Site Habitat Baseline'!$D$1:$O$258,5,FALSE))))</f>
        <v/>
      </c>
      <c r="H153" s="175" t="str">
        <f>IF(E153="","",IF(ISNA(VLOOKUP($E153,'D-1 Off Site Habitat Baseline'!$D$1:$O$258,6,FALSE)),"",(VLOOKUP($E153,'D-1 Off Site Habitat Baseline'!$D$1:$O$258,6,FALSE))))</f>
        <v/>
      </c>
      <c r="I153" s="175" t="str">
        <f>IF(E153="","",IF(ISNA(VLOOKUP($E153,'D-1 Off Site Habitat Baseline'!$D$1:$O$258,7,FALSE)),"",(VLOOKUP($E153,'D-1 Off Site Habitat Baseline'!$D$1:$O$258,7,FALSE))))</f>
        <v/>
      </c>
      <c r="J153" s="175" t="str">
        <f>IF(E153="","",IF(ISNA(VLOOKUP($E153,'D-1 Off Site Habitat Baseline'!$D$1:$O$258,8,FALSE)),"",(VLOOKUP($E153,'D-1 Off Site Habitat Baseline'!$D$1:$O$258,8,FALSE))))</f>
        <v/>
      </c>
      <c r="K153" s="175" t="str">
        <f>IF(E153="","",IF(ISNA(VLOOKUP($E153,'D-1 Off Site Habitat Baseline'!$D$1:$O$258,9,FALSE)),"",(VLOOKUP($E153,'D-1 Off Site Habitat Baseline'!$D$1:$O$258,9,FALSE))))</f>
        <v/>
      </c>
      <c r="L153" s="175" t="str">
        <f>IF(E153="","",IF(ISNA(VLOOKUP($E153,'D-1 Off Site Habitat Baseline'!$D$1:$O$258,11,FALSE)),"",(VLOOKUP($E153,'D-1 Off Site Habitat Baseline'!$D$1:$O$258,11,FALSE))))</f>
        <v/>
      </c>
      <c r="M153" s="175" t="str">
        <f>IF(E153="","",IF(ISNA(VLOOKUP($E153,'D-1 Off Site Habitat Baseline'!$D$1:$O$258,12,FALSE)),"",(VLOOKUP($E153,'D-1 Off Site Habitat Baseline'!$D$1:$O$258,12,FALSE))))</f>
        <v/>
      </c>
      <c r="N153" s="175" t="str">
        <f>IF(E153="","",IF(ISNA(VLOOKUP($E153,'D-1 Off Site Habitat Baseline'!$D$1:$X$258,14,FALSE)),"",(VLOOKUP($E153,'D-1 Off Site Habitat Baseline'!$D$1:$X$258,14,FALSE))))</f>
        <v/>
      </c>
      <c r="O153" s="176" t="str">
        <f>IF(E153="","",IF(ISNA(VLOOKUP($E153,'D-1 Off Site Habitat Baseline'!$D$1:$X$258,13,FALSE)),"",(VLOOKUP($E153,'D-1 Off Site Habitat Baseline'!$D$1:$X$258,13,FALSE))))</f>
        <v/>
      </c>
      <c r="P153" s="337" t="str">
        <f>IFERROR(INDEX('G-1 All Habitats'!$AG$3:$AG$15,MATCH(Q153,'G-1 All Habitats'!$AF$3:$AF$15,0)),"")</f>
        <v/>
      </c>
      <c r="Q153" s="331" t="str">
        <f t="shared" si="35"/>
        <v/>
      </c>
      <c r="R153" s="332" t="str">
        <f t="shared" si="36"/>
        <v/>
      </c>
      <c r="S153" s="338" t="str">
        <f>IFERROR(INDEX('G-1 All Habitats'!$B$3:$B$130,MATCH(R153,'G-1 All Habitats'!$A$3:$A$130,0)),"")</f>
        <v/>
      </c>
      <c r="T153" s="179" t="str">
        <f t="shared" si="28"/>
        <v/>
      </c>
      <c r="U153" s="172" t="str">
        <f t="shared" si="29"/>
        <v/>
      </c>
      <c r="V153" s="334" t="str">
        <f t="shared" si="26"/>
        <v/>
      </c>
      <c r="W153" s="175" t="str">
        <f>IF(S153="","",VLOOKUP(S153,'G-1 All Habitats'!$B$2:$M$130,10,FALSE))</f>
        <v/>
      </c>
      <c r="X153" s="175" t="str">
        <f>IFERROR(VLOOKUP(W153,'G-1 All Habitats'!$V$3:$W$7,2,FALSE),"")</f>
        <v/>
      </c>
      <c r="Y153" s="275"/>
      <c r="Z153" s="176" t="str">
        <f>IFERROR(INDEX('G-8 Condition Look up'!$A$3:$H$131,MATCH(S153,'G-8 Condition Look up'!$A$3:$A$131,0),MATCH(Y153,'G-8 Condition Look up'!$A$3:$H$3,0)),"")</f>
        <v/>
      </c>
      <c r="AA153" s="173"/>
      <c r="AB153" s="269" t="str">
        <f>IF(AA153="","",IF(VLOOKUP(AA153,'G-3 Multipliers'!$L$3:$N$6,2,FALSE)=0,"Spatial Data Missing",VLOOKUP(AA153,'G-3 Multipliers'!$L$3:$N$6,2,FALSE)))</f>
        <v/>
      </c>
      <c r="AC153" s="176" t="str">
        <f>IF(AA153="","",IF(VLOOKUP(AA153,'G-3 Multipliers'!$L$3:$N$6,3,FALSE)=0,"Spatial Data Missing",VLOOKUP(AA153,'G-3 Multipliers'!$L$3:$N$6,3,FALSE)))</f>
        <v/>
      </c>
      <c r="AD153" s="239" t="str">
        <f t="shared" si="27"/>
        <v/>
      </c>
      <c r="AE153" s="275"/>
      <c r="AF153" s="275"/>
      <c r="AG153" s="175" t="str">
        <f t="shared" si="30"/>
        <v/>
      </c>
      <c r="AH153" s="242" t="str">
        <f t="shared" si="31"/>
        <v/>
      </c>
      <c r="AI153" s="335" t="str">
        <f>IF(AH153="Check Data","Check Data",IFERROR(VLOOKUP(AH153,'G-4 Temporal multipliers'!$A$4:$C$36,3,FALSE),""))</f>
        <v/>
      </c>
      <c r="AJ153" s="239" t="str">
        <f>IF(S153="","",VLOOKUP(S153,'G-3 Multipliers'!$A$2:$E$130,4,FALSE))</f>
        <v/>
      </c>
      <c r="AK153" s="175" t="str">
        <f t="shared" si="32"/>
        <v/>
      </c>
      <c r="AL153" s="175" t="str">
        <f t="shared" si="33"/>
        <v/>
      </c>
      <c r="AM153" s="176" t="str">
        <f>IFERROR(IF(F153="","",IF(AH153="Check Data","Check Data",VLOOKUP(AL153, 'G-3 Multipliers'!$P$2:$Q$6,2,FALSE))),””)</f>
        <v/>
      </c>
      <c r="AN153" s="266"/>
      <c r="AO153" s="269" t="str">
        <f>IF(AN153="","",IF(VLOOKUP(AN153,'G-3 Multipliers'!$S$3:$T$9,2,FALSE)=0,"Spatial Data Missing",VLOOKUP(AN153,'G-3 Multipliers'!$S$3:$T$9,2,FALSE)))</f>
        <v/>
      </c>
      <c r="AP153" s="207" t="str">
        <f t="shared" si="34"/>
        <v/>
      </c>
      <c r="AQ153" s="336"/>
      <c r="AR153" s="181"/>
    </row>
    <row r="154" spans="1:44" x14ac:dyDescent="0.25">
      <c r="A154" s="35" t="str">
        <f>IF(E154="","",IF(ISNA(VLOOKUP($E154,'D-1 Off Site Habitat Baseline'!$D$1:$O$258,2,FALSE)),"",(VLOOKUP($E154,'D-1 Off Site Habitat Baseline'!$D$1:$O$258,2,FALSE))))</f>
        <v/>
      </c>
      <c r="B154" s="35" t="str">
        <f>IF(E154="","",IF(ISNA(VLOOKUP($E154,'D-1 Off Site Habitat Baseline'!$D$1:$O$258,3,FALSE)),"",(VLOOKUP($E154,'D-1 Off Site Habitat Baseline'!$D$1:$O$258,3,FALSE))))</f>
        <v/>
      </c>
      <c r="C154" s="35" t="str">
        <f>IFERROR(INDEX('G-8 Condition Look up'!$I$4:$I$131,MATCH(S154,'G-8 Condition Look up'!$A$4:$A$131,0)),"")</f>
        <v/>
      </c>
      <c r="E154" s="329" t="str">
        <f>'D-1 Off Site Habitat Baseline'!AL153</f>
        <v/>
      </c>
      <c r="F154" s="175" t="str">
        <f>IF(E154="","",IF(ISNA(VLOOKUP($E154,'D-1 Off Site Habitat Baseline'!$D$1:$O$258,4,FALSE)),"",(VLOOKUP($E154,'D-1 Off Site Habitat Baseline'!$D$1:$O$258,4,FALSE))))</f>
        <v/>
      </c>
      <c r="G154" s="175" t="str">
        <f>IF(E154="","",IF(ISNA(VLOOKUP($E154,'D-1 Off Site Habitat Baseline'!$D$1:$O$258,5,FALSE)),"",(VLOOKUP($E154,'D-1 Off Site Habitat Baseline'!$D$1:$O$258,5,FALSE))))</f>
        <v/>
      </c>
      <c r="H154" s="175" t="str">
        <f>IF(E154="","",IF(ISNA(VLOOKUP($E154,'D-1 Off Site Habitat Baseline'!$D$1:$O$258,6,FALSE)),"",(VLOOKUP($E154,'D-1 Off Site Habitat Baseline'!$D$1:$O$258,6,FALSE))))</f>
        <v/>
      </c>
      <c r="I154" s="175" t="str">
        <f>IF(E154="","",IF(ISNA(VLOOKUP($E154,'D-1 Off Site Habitat Baseline'!$D$1:$O$258,7,FALSE)),"",(VLOOKUP($E154,'D-1 Off Site Habitat Baseline'!$D$1:$O$258,7,FALSE))))</f>
        <v/>
      </c>
      <c r="J154" s="175" t="str">
        <f>IF(E154="","",IF(ISNA(VLOOKUP($E154,'D-1 Off Site Habitat Baseline'!$D$1:$O$258,8,FALSE)),"",(VLOOKUP($E154,'D-1 Off Site Habitat Baseline'!$D$1:$O$258,8,FALSE))))</f>
        <v/>
      </c>
      <c r="K154" s="175" t="str">
        <f>IF(E154="","",IF(ISNA(VLOOKUP($E154,'D-1 Off Site Habitat Baseline'!$D$1:$O$258,9,FALSE)),"",(VLOOKUP($E154,'D-1 Off Site Habitat Baseline'!$D$1:$O$258,9,FALSE))))</f>
        <v/>
      </c>
      <c r="L154" s="175" t="str">
        <f>IF(E154="","",IF(ISNA(VLOOKUP($E154,'D-1 Off Site Habitat Baseline'!$D$1:$O$258,11,FALSE)),"",(VLOOKUP($E154,'D-1 Off Site Habitat Baseline'!$D$1:$O$258,11,FALSE))))</f>
        <v/>
      </c>
      <c r="M154" s="175" t="str">
        <f>IF(E154="","",IF(ISNA(VLOOKUP($E154,'D-1 Off Site Habitat Baseline'!$D$1:$O$258,12,FALSE)),"",(VLOOKUP($E154,'D-1 Off Site Habitat Baseline'!$D$1:$O$258,12,FALSE))))</f>
        <v/>
      </c>
      <c r="N154" s="175" t="str">
        <f>IF(E154="","",IF(ISNA(VLOOKUP($E154,'D-1 Off Site Habitat Baseline'!$D$1:$X$258,14,FALSE)),"",(VLOOKUP($E154,'D-1 Off Site Habitat Baseline'!$D$1:$X$258,14,FALSE))))</f>
        <v/>
      </c>
      <c r="O154" s="176" t="str">
        <f>IF(E154="","",IF(ISNA(VLOOKUP($E154,'D-1 Off Site Habitat Baseline'!$D$1:$X$258,13,FALSE)),"",(VLOOKUP($E154,'D-1 Off Site Habitat Baseline'!$D$1:$X$258,13,FALSE))))</f>
        <v/>
      </c>
      <c r="P154" s="337" t="str">
        <f>IFERROR(INDEX('G-1 All Habitats'!$AG$3:$AG$15,MATCH(Q154,'G-1 All Habitats'!$AF$3:$AF$15,0)),"")</f>
        <v/>
      </c>
      <c r="Q154" s="331" t="str">
        <f t="shared" si="35"/>
        <v/>
      </c>
      <c r="R154" s="332" t="str">
        <f t="shared" si="36"/>
        <v/>
      </c>
      <c r="S154" s="338" t="str">
        <f>IFERROR(INDEX('G-1 All Habitats'!$B$3:$B$130,MATCH(R154,'G-1 All Habitats'!$A$3:$A$130,0)),"")</f>
        <v/>
      </c>
      <c r="T154" s="179" t="str">
        <f t="shared" si="28"/>
        <v/>
      </c>
      <c r="U154" s="172" t="str">
        <f t="shared" si="29"/>
        <v/>
      </c>
      <c r="V154" s="334" t="str">
        <f t="shared" si="26"/>
        <v/>
      </c>
      <c r="W154" s="175" t="str">
        <f>IF(S154="","",VLOOKUP(S154,'G-1 All Habitats'!$B$2:$M$130,10,FALSE))</f>
        <v/>
      </c>
      <c r="X154" s="175" t="str">
        <f>IFERROR(VLOOKUP(W154,'G-1 All Habitats'!$V$3:$W$7,2,FALSE),"")</f>
        <v/>
      </c>
      <c r="Y154" s="275"/>
      <c r="Z154" s="176" t="str">
        <f>IFERROR(INDEX('G-8 Condition Look up'!$A$3:$H$131,MATCH(S154,'G-8 Condition Look up'!$A$3:$A$131,0),MATCH(Y154,'G-8 Condition Look up'!$A$3:$H$3,0)),"")</f>
        <v/>
      </c>
      <c r="AA154" s="173"/>
      <c r="AB154" s="269" t="str">
        <f>IF(AA154="","",IF(VLOOKUP(AA154,'G-3 Multipliers'!$L$3:$N$6,2,FALSE)=0,"Spatial Data Missing",VLOOKUP(AA154,'G-3 Multipliers'!$L$3:$N$6,2,FALSE)))</f>
        <v/>
      </c>
      <c r="AC154" s="176" t="str">
        <f>IF(AA154="","",IF(VLOOKUP(AA154,'G-3 Multipliers'!$L$3:$N$6,3,FALSE)=0,"Spatial Data Missing",VLOOKUP(AA154,'G-3 Multipliers'!$L$3:$N$6,3,FALSE)))</f>
        <v/>
      </c>
      <c r="AD154" s="239" t="str">
        <f t="shared" si="27"/>
        <v/>
      </c>
      <c r="AE154" s="275"/>
      <c r="AF154" s="275"/>
      <c r="AG154" s="175" t="str">
        <f t="shared" si="30"/>
        <v/>
      </c>
      <c r="AH154" s="242" t="str">
        <f t="shared" si="31"/>
        <v/>
      </c>
      <c r="AI154" s="335" t="str">
        <f>IF(AH154="Check Data","Check Data",IFERROR(VLOOKUP(AH154,'G-4 Temporal multipliers'!$A$4:$C$36,3,FALSE),""))</f>
        <v/>
      </c>
      <c r="AJ154" s="239" t="str">
        <f>IF(S154="","",VLOOKUP(S154,'G-3 Multipliers'!$A$2:$E$130,4,FALSE))</f>
        <v/>
      </c>
      <c r="AK154" s="175" t="str">
        <f t="shared" si="32"/>
        <v/>
      </c>
      <c r="AL154" s="175" t="str">
        <f t="shared" si="33"/>
        <v/>
      </c>
      <c r="AM154" s="176" t="str">
        <f>IFERROR(IF(F154="","",IF(AH154="Check Data","Check Data",VLOOKUP(AL154, 'G-3 Multipliers'!$P$2:$Q$6,2,FALSE))),””)</f>
        <v/>
      </c>
      <c r="AN154" s="266"/>
      <c r="AO154" s="269" t="str">
        <f>IF(AN154="","",IF(VLOOKUP(AN154,'G-3 Multipliers'!$S$3:$T$9,2,FALSE)=0,"Spatial Data Missing",VLOOKUP(AN154,'G-3 Multipliers'!$S$3:$T$9,2,FALSE)))</f>
        <v/>
      </c>
      <c r="AP154" s="207" t="str">
        <f t="shared" si="34"/>
        <v/>
      </c>
      <c r="AQ154" s="336"/>
      <c r="AR154" s="181"/>
    </row>
    <row r="155" spans="1:44" x14ac:dyDescent="0.25">
      <c r="A155" s="35" t="str">
        <f>IF(E155="","",IF(ISNA(VLOOKUP($E155,'D-1 Off Site Habitat Baseline'!$D$1:$O$258,2,FALSE)),"",(VLOOKUP($E155,'D-1 Off Site Habitat Baseline'!$D$1:$O$258,2,FALSE))))</f>
        <v/>
      </c>
      <c r="B155" s="35" t="str">
        <f>IF(E155="","",IF(ISNA(VLOOKUP($E155,'D-1 Off Site Habitat Baseline'!$D$1:$O$258,3,FALSE)),"",(VLOOKUP($E155,'D-1 Off Site Habitat Baseline'!$D$1:$O$258,3,FALSE))))</f>
        <v/>
      </c>
      <c r="C155" s="35" t="str">
        <f>IFERROR(INDEX('G-8 Condition Look up'!$I$4:$I$131,MATCH(S155,'G-8 Condition Look up'!$A$4:$A$131,0)),"")</f>
        <v/>
      </c>
      <c r="E155" s="329" t="str">
        <f>'D-1 Off Site Habitat Baseline'!AL154</f>
        <v/>
      </c>
      <c r="F155" s="175" t="str">
        <f>IF(E155="","",IF(ISNA(VLOOKUP($E155,'D-1 Off Site Habitat Baseline'!$D$1:$O$258,4,FALSE)),"",(VLOOKUP($E155,'D-1 Off Site Habitat Baseline'!$D$1:$O$258,4,FALSE))))</f>
        <v/>
      </c>
      <c r="G155" s="175" t="str">
        <f>IF(E155="","",IF(ISNA(VLOOKUP($E155,'D-1 Off Site Habitat Baseline'!$D$1:$O$258,5,FALSE)),"",(VLOOKUP($E155,'D-1 Off Site Habitat Baseline'!$D$1:$O$258,5,FALSE))))</f>
        <v/>
      </c>
      <c r="H155" s="175" t="str">
        <f>IF(E155="","",IF(ISNA(VLOOKUP($E155,'D-1 Off Site Habitat Baseline'!$D$1:$O$258,6,FALSE)),"",(VLOOKUP($E155,'D-1 Off Site Habitat Baseline'!$D$1:$O$258,6,FALSE))))</f>
        <v/>
      </c>
      <c r="I155" s="175" t="str">
        <f>IF(E155="","",IF(ISNA(VLOOKUP($E155,'D-1 Off Site Habitat Baseline'!$D$1:$O$258,7,FALSE)),"",(VLOOKUP($E155,'D-1 Off Site Habitat Baseline'!$D$1:$O$258,7,FALSE))))</f>
        <v/>
      </c>
      <c r="J155" s="175" t="str">
        <f>IF(E155="","",IF(ISNA(VLOOKUP($E155,'D-1 Off Site Habitat Baseline'!$D$1:$O$258,8,FALSE)),"",(VLOOKUP($E155,'D-1 Off Site Habitat Baseline'!$D$1:$O$258,8,FALSE))))</f>
        <v/>
      </c>
      <c r="K155" s="175" t="str">
        <f>IF(E155="","",IF(ISNA(VLOOKUP($E155,'D-1 Off Site Habitat Baseline'!$D$1:$O$258,9,FALSE)),"",(VLOOKUP($E155,'D-1 Off Site Habitat Baseline'!$D$1:$O$258,9,FALSE))))</f>
        <v/>
      </c>
      <c r="L155" s="175" t="str">
        <f>IF(E155="","",IF(ISNA(VLOOKUP($E155,'D-1 Off Site Habitat Baseline'!$D$1:$O$258,11,FALSE)),"",(VLOOKUP($E155,'D-1 Off Site Habitat Baseline'!$D$1:$O$258,11,FALSE))))</f>
        <v/>
      </c>
      <c r="M155" s="175" t="str">
        <f>IF(E155="","",IF(ISNA(VLOOKUP($E155,'D-1 Off Site Habitat Baseline'!$D$1:$O$258,12,FALSE)),"",(VLOOKUP($E155,'D-1 Off Site Habitat Baseline'!$D$1:$O$258,12,FALSE))))</f>
        <v/>
      </c>
      <c r="N155" s="175" t="str">
        <f>IF(E155="","",IF(ISNA(VLOOKUP($E155,'D-1 Off Site Habitat Baseline'!$D$1:$X$258,14,FALSE)),"",(VLOOKUP($E155,'D-1 Off Site Habitat Baseline'!$D$1:$X$258,14,FALSE))))</f>
        <v/>
      </c>
      <c r="O155" s="176" t="str">
        <f>IF(E155="","",IF(ISNA(VLOOKUP($E155,'D-1 Off Site Habitat Baseline'!$D$1:$X$258,13,FALSE)),"",(VLOOKUP($E155,'D-1 Off Site Habitat Baseline'!$D$1:$X$258,13,FALSE))))</f>
        <v/>
      </c>
      <c r="P155" s="337" t="str">
        <f>IFERROR(INDEX('G-1 All Habitats'!$AG$3:$AG$15,MATCH(Q155,'G-1 All Habitats'!$AF$3:$AF$15,0)),"")</f>
        <v/>
      </c>
      <c r="Q155" s="331" t="str">
        <f t="shared" si="35"/>
        <v/>
      </c>
      <c r="R155" s="332" t="str">
        <f t="shared" si="36"/>
        <v/>
      </c>
      <c r="S155" s="338" t="str">
        <f>IFERROR(INDEX('G-1 All Habitats'!$B$3:$B$130,MATCH(R155,'G-1 All Habitats'!$A$3:$A$130,0)),"")</f>
        <v/>
      </c>
      <c r="T155" s="179" t="str">
        <f t="shared" si="28"/>
        <v/>
      </c>
      <c r="U155" s="172" t="str">
        <f t="shared" si="29"/>
        <v/>
      </c>
      <c r="V155" s="334" t="str">
        <f t="shared" si="26"/>
        <v/>
      </c>
      <c r="W155" s="175" t="str">
        <f>IF(S155="","",VLOOKUP(S155,'G-1 All Habitats'!$B$2:$M$130,10,FALSE))</f>
        <v/>
      </c>
      <c r="X155" s="175" t="str">
        <f>IFERROR(VLOOKUP(W155,'G-1 All Habitats'!$V$3:$W$7,2,FALSE),"")</f>
        <v/>
      </c>
      <c r="Y155" s="275"/>
      <c r="Z155" s="176" t="str">
        <f>IFERROR(INDEX('G-8 Condition Look up'!$A$3:$H$131,MATCH(S155,'G-8 Condition Look up'!$A$3:$A$131,0),MATCH(Y155,'G-8 Condition Look up'!$A$3:$H$3,0)),"")</f>
        <v/>
      </c>
      <c r="AA155" s="173"/>
      <c r="AB155" s="269" t="str">
        <f>IF(AA155="","",IF(VLOOKUP(AA155,'G-3 Multipliers'!$L$3:$N$6,2,FALSE)=0,"Spatial Data Missing",VLOOKUP(AA155,'G-3 Multipliers'!$L$3:$N$6,2,FALSE)))</f>
        <v/>
      </c>
      <c r="AC155" s="176" t="str">
        <f>IF(AA155="","",IF(VLOOKUP(AA155,'G-3 Multipliers'!$L$3:$N$6,3,FALSE)=0,"Spatial Data Missing",VLOOKUP(AA155,'G-3 Multipliers'!$L$3:$N$6,3,FALSE)))</f>
        <v/>
      </c>
      <c r="AD155" s="239" t="str">
        <f t="shared" si="27"/>
        <v/>
      </c>
      <c r="AE155" s="275"/>
      <c r="AF155" s="275"/>
      <c r="AG155" s="175" t="str">
        <f t="shared" si="30"/>
        <v/>
      </c>
      <c r="AH155" s="242" t="str">
        <f t="shared" si="31"/>
        <v/>
      </c>
      <c r="AI155" s="335" t="str">
        <f>IF(AH155="Check Data","Check Data",IFERROR(VLOOKUP(AH155,'G-4 Temporal multipliers'!$A$4:$C$36,3,FALSE),""))</f>
        <v/>
      </c>
      <c r="AJ155" s="239" t="str">
        <f>IF(S155="","",VLOOKUP(S155,'G-3 Multipliers'!$A$2:$E$130,4,FALSE))</f>
        <v/>
      </c>
      <c r="AK155" s="175" t="str">
        <f t="shared" si="32"/>
        <v/>
      </c>
      <c r="AL155" s="175" t="str">
        <f t="shared" si="33"/>
        <v/>
      </c>
      <c r="AM155" s="176" t="str">
        <f>IFERROR(IF(F155="","",IF(AH155="Check Data","Check Data",VLOOKUP(AL155, 'G-3 Multipliers'!$P$2:$Q$6,2,FALSE))),””)</f>
        <v/>
      </c>
      <c r="AN155" s="266"/>
      <c r="AO155" s="269" t="str">
        <f>IF(AN155="","",IF(VLOOKUP(AN155,'G-3 Multipliers'!$S$3:$T$9,2,FALSE)=0,"Spatial Data Missing",VLOOKUP(AN155,'G-3 Multipliers'!$S$3:$T$9,2,FALSE)))</f>
        <v/>
      </c>
      <c r="AP155" s="207" t="str">
        <f t="shared" si="34"/>
        <v/>
      </c>
      <c r="AQ155" s="336"/>
      <c r="AR155" s="181"/>
    </row>
    <row r="156" spans="1:44" x14ac:dyDescent="0.25">
      <c r="A156" s="35" t="str">
        <f>IF(E156="","",IF(ISNA(VLOOKUP($E156,'D-1 Off Site Habitat Baseline'!$D$1:$O$258,2,FALSE)),"",(VLOOKUP($E156,'D-1 Off Site Habitat Baseline'!$D$1:$O$258,2,FALSE))))</f>
        <v/>
      </c>
      <c r="B156" s="35" t="str">
        <f>IF(E156="","",IF(ISNA(VLOOKUP($E156,'D-1 Off Site Habitat Baseline'!$D$1:$O$258,3,FALSE)),"",(VLOOKUP($E156,'D-1 Off Site Habitat Baseline'!$D$1:$O$258,3,FALSE))))</f>
        <v/>
      </c>
      <c r="C156" s="35" t="str">
        <f>IFERROR(INDEX('G-8 Condition Look up'!$I$4:$I$131,MATCH(S156,'G-8 Condition Look up'!$A$4:$A$131,0)),"")</f>
        <v/>
      </c>
      <c r="E156" s="329" t="str">
        <f>'D-1 Off Site Habitat Baseline'!AL155</f>
        <v/>
      </c>
      <c r="F156" s="175" t="str">
        <f>IF(E156="","",IF(ISNA(VLOOKUP($E156,'D-1 Off Site Habitat Baseline'!$D$1:$O$258,4,FALSE)),"",(VLOOKUP($E156,'D-1 Off Site Habitat Baseline'!$D$1:$O$258,4,FALSE))))</f>
        <v/>
      </c>
      <c r="G156" s="175" t="str">
        <f>IF(E156="","",IF(ISNA(VLOOKUP($E156,'D-1 Off Site Habitat Baseline'!$D$1:$O$258,5,FALSE)),"",(VLOOKUP($E156,'D-1 Off Site Habitat Baseline'!$D$1:$O$258,5,FALSE))))</f>
        <v/>
      </c>
      <c r="H156" s="175" t="str">
        <f>IF(E156="","",IF(ISNA(VLOOKUP($E156,'D-1 Off Site Habitat Baseline'!$D$1:$O$258,6,FALSE)),"",(VLOOKUP($E156,'D-1 Off Site Habitat Baseline'!$D$1:$O$258,6,FALSE))))</f>
        <v/>
      </c>
      <c r="I156" s="175" t="str">
        <f>IF(E156="","",IF(ISNA(VLOOKUP($E156,'D-1 Off Site Habitat Baseline'!$D$1:$O$258,7,FALSE)),"",(VLOOKUP($E156,'D-1 Off Site Habitat Baseline'!$D$1:$O$258,7,FALSE))))</f>
        <v/>
      </c>
      <c r="J156" s="175" t="str">
        <f>IF(E156="","",IF(ISNA(VLOOKUP($E156,'D-1 Off Site Habitat Baseline'!$D$1:$O$258,8,FALSE)),"",(VLOOKUP($E156,'D-1 Off Site Habitat Baseline'!$D$1:$O$258,8,FALSE))))</f>
        <v/>
      </c>
      <c r="K156" s="175" t="str">
        <f>IF(E156="","",IF(ISNA(VLOOKUP($E156,'D-1 Off Site Habitat Baseline'!$D$1:$O$258,9,FALSE)),"",(VLOOKUP($E156,'D-1 Off Site Habitat Baseline'!$D$1:$O$258,9,FALSE))))</f>
        <v/>
      </c>
      <c r="L156" s="175" t="str">
        <f>IF(E156="","",IF(ISNA(VLOOKUP($E156,'D-1 Off Site Habitat Baseline'!$D$1:$O$258,11,FALSE)),"",(VLOOKUP($E156,'D-1 Off Site Habitat Baseline'!$D$1:$O$258,11,FALSE))))</f>
        <v/>
      </c>
      <c r="M156" s="175" t="str">
        <f>IF(E156="","",IF(ISNA(VLOOKUP($E156,'D-1 Off Site Habitat Baseline'!$D$1:$O$258,12,FALSE)),"",(VLOOKUP($E156,'D-1 Off Site Habitat Baseline'!$D$1:$O$258,12,FALSE))))</f>
        <v/>
      </c>
      <c r="N156" s="175" t="str">
        <f>IF(E156="","",IF(ISNA(VLOOKUP($E156,'D-1 Off Site Habitat Baseline'!$D$1:$X$258,14,FALSE)),"",(VLOOKUP($E156,'D-1 Off Site Habitat Baseline'!$D$1:$X$258,14,FALSE))))</f>
        <v/>
      </c>
      <c r="O156" s="176" t="str">
        <f>IF(E156="","",IF(ISNA(VLOOKUP($E156,'D-1 Off Site Habitat Baseline'!$D$1:$X$258,13,FALSE)),"",(VLOOKUP($E156,'D-1 Off Site Habitat Baseline'!$D$1:$X$258,13,FALSE))))</f>
        <v/>
      </c>
      <c r="P156" s="337" t="str">
        <f>IFERROR(INDEX('G-1 All Habitats'!$AG$3:$AG$15,MATCH(Q156,'G-1 All Habitats'!$AF$3:$AF$15,0)),"")</f>
        <v/>
      </c>
      <c r="Q156" s="331" t="str">
        <f t="shared" si="35"/>
        <v/>
      </c>
      <c r="R156" s="332" t="str">
        <f t="shared" si="36"/>
        <v/>
      </c>
      <c r="S156" s="338" t="str">
        <f>IFERROR(INDEX('G-1 All Habitats'!$B$3:$B$130,MATCH(R156,'G-1 All Habitats'!$A$3:$A$130,0)),"")</f>
        <v/>
      </c>
      <c r="T156" s="179" t="str">
        <f t="shared" si="28"/>
        <v/>
      </c>
      <c r="U156" s="172" t="str">
        <f t="shared" si="29"/>
        <v/>
      </c>
      <c r="V156" s="334" t="str">
        <f t="shared" si="26"/>
        <v/>
      </c>
      <c r="W156" s="175" t="str">
        <f>IF(S156="","",VLOOKUP(S156,'G-1 All Habitats'!$B$2:$M$130,10,FALSE))</f>
        <v/>
      </c>
      <c r="X156" s="175" t="str">
        <f>IFERROR(VLOOKUP(W156,'G-1 All Habitats'!$V$3:$W$7,2,FALSE),"")</f>
        <v/>
      </c>
      <c r="Y156" s="275"/>
      <c r="Z156" s="176" t="str">
        <f>IFERROR(INDEX('G-8 Condition Look up'!$A$3:$H$131,MATCH(S156,'G-8 Condition Look up'!$A$3:$A$131,0),MATCH(Y156,'G-8 Condition Look up'!$A$3:$H$3,0)),"")</f>
        <v/>
      </c>
      <c r="AA156" s="173"/>
      <c r="AB156" s="269" t="str">
        <f>IF(AA156="","",IF(VLOOKUP(AA156,'G-3 Multipliers'!$L$3:$N$6,2,FALSE)=0,"Spatial Data Missing",VLOOKUP(AA156,'G-3 Multipliers'!$L$3:$N$6,2,FALSE)))</f>
        <v/>
      </c>
      <c r="AC156" s="176" t="str">
        <f>IF(AA156="","",IF(VLOOKUP(AA156,'G-3 Multipliers'!$L$3:$N$6,3,FALSE)=0,"Spatial Data Missing",VLOOKUP(AA156,'G-3 Multipliers'!$L$3:$N$6,3,FALSE)))</f>
        <v/>
      </c>
      <c r="AD156" s="239" t="str">
        <f t="shared" si="27"/>
        <v/>
      </c>
      <c r="AE156" s="275"/>
      <c r="AF156" s="275"/>
      <c r="AG156" s="175" t="str">
        <f t="shared" si="30"/>
        <v/>
      </c>
      <c r="AH156" s="242" t="str">
        <f t="shared" si="31"/>
        <v/>
      </c>
      <c r="AI156" s="335" t="str">
        <f>IF(AH156="Check Data","Check Data",IFERROR(VLOOKUP(AH156,'G-4 Temporal multipliers'!$A$4:$C$36,3,FALSE),""))</f>
        <v/>
      </c>
      <c r="AJ156" s="239" t="str">
        <f>IF(S156="","",VLOOKUP(S156,'G-3 Multipliers'!$A$2:$E$130,4,FALSE))</f>
        <v/>
      </c>
      <c r="AK156" s="175" t="str">
        <f t="shared" si="32"/>
        <v/>
      </c>
      <c r="AL156" s="175" t="str">
        <f t="shared" si="33"/>
        <v/>
      </c>
      <c r="AM156" s="176" t="str">
        <f>IFERROR(IF(F156="","",IF(AH156="Check Data","Check Data",VLOOKUP(AL156, 'G-3 Multipliers'!$P$2:$Q$6,2,FALSE))),””)</f>
        <v/>
      </c>
      <c r="AN156" s="266"/>
      <c r="AO156" s="269" t="str">
        <f>IF(AN156="","",IF(VLOOKUP(AN156,'G-3 Multipliers'!$S$3:$T$9,2,FALSE)=0,"Spatial Data Missing",VLOOKUP(AN156,'G-3 Multipliers'!$S$3:$T$9,2,FALSE)))</f>
        <v/>
      </c>
      <c r="AP156" s="207" t="str">
        <f t="shared" si="34"/>
        <v/>
      </c>
      <c r="AQ156" s="336"/>
      <c r="AR156" s="181"/>
    </row>
    <row r="157" spans="1:44" x14ac:dyDescent="0.25">
      <c r="A157" s="35" t="str">
        <f>IF(E157="","",IF(ISNA(VLOOKUP($E157,'D-1 Off Site Habitat Baseline'!$D$1:$O$258,2,FALSE)),"",(VLOOKUP($E157,'D-1 Off Site Habitat Baseline'!$D$1:$O$258,2,FALSE))))</f>
        <v/>
      </c>
      <c r="B157" s="35" t="str">
        <f>IF(E157="","",IF(ISNA(VLOOKUP($E157,'D-1 Off Site Habitat Baseline'!$D$1:$O$258,3,FALSE)),"",(VLOOKUP($E157,'D-1 Off Site Habitat Baseline'!$D$1:$O$258,3,FALSE))))</f>
        <v/>
      </c>
      <c r="C157" s="35" t="str">
        <f>IFERROR(INDEX('G-8 Condition Look up'!$I$4:$I$131,MATCH(S157,'G-8 Condition Look up'!$A$4:$A$131,0)),"")</f>
        <v/>
      </c>
      <c r="E157" s="329" t="str">
        <f>'D-1 Off Site Habitat Baseline'!AL156</f>
        <v/>
      </c>
      <c r="F157" s="175" t="str">
        <f>IF(E157="","",IF(ISNA(VLOOKUP($E157,'D-1 Off Site Habitat Baseline'!$D$1:$O$258,4,FALSE)),"",(VLOOKUP($E157,'D-1 Off Site Habitat Baseline'!$D$1:$O$258,4,FALSE))))</f>
        <v/>
      </c>
      <c r="G157" s="175" t="str">
        <f>IF(E157="","",IF(ISNA(VLOOKUP($E157,'D-1 Off Site Habitat Baseline'!$D$1:$O$258,5,FALSE)),"",(VLOOKUP($E157,'D-1 Off Site Habitat Baseline'!$D$1:$O$258,5,FALSE))))</f>
        <v/>
      </c>
      <c r="H157" s="175" t="str">
        <f>IF(E157="","",IF(ISNA(VLOOKUP($E157,'D-1 Off Site Habitat Baseline'!$D$1:$O$258,6,FALSE)),"",(VLOOKUP($E157,'D-1 Off Site Habitat Baseline'!$D$1:$O$258,6,FALSE))))</f>
        <v/>
      </c>
      <c r="I157" s="175" t="str">
        <f>IF(E157="","",IF(ISNA(VLOOKUP($E157,'D-1 Off Site Habitat Baseline'!$D$1:$O$258,7,FALSE)),"",(VLOOKUP($E157,'D-1 Off Site Habitat Baseline'!$D$1:$O$258,7,FALSE))))</f>
        <v/>
      </c>
      <c r="J157" s="175" t="str">
        <f>IF(E157="","",IF(ISNA(VLOOKUP($E157,'D-1 Off Site Habitat Baseline'!$D$1:$O$258,8,FALSE)),"",(VLOOKUP($E157,'D-1 Off Site Habitat Baseline'!$D$1:$O$258,8,FALSE))))</f>
        <v/>
      </c>
      <c r="K157" s="175" t="str">
        <f>IF(E157="","",IF(ISNA(VLOOKUP($E157,'D-1 Off Site Habitat Baseline'!$D$1:$O$258,9,FALSE)),"",(VLOOKUP($E157,'D-1 Off Site Habitat Baseline'!$D$1:$O$258,9,FALSE))))</f>
        <v/>
      </c>
      <c r="L157" s="175" t="str">
        <f>IF(E157="","",IF(ISNA(VLOOKUP($E157,'D-1 Off Site Habitat Baseline'!$D$1:$O$258,11,FALSE)),"",(VLOOKUP($E157,'D-1 Off Site Habitat Baseline'!$D$1:$O$258,11,FALSE))))</f>
        <v/>
      </c>
      <c r="M157" s="175" t="str">
        <f>IF(E157="","",IF(ISNA(VLOOKUP($E157,'D-1 Off Site Habitat Baseline'!$D$1:$O$258,12,FALSE)),"",(VLOOKUP($E157,'D-1 Off Site Habitat Baseline'!$D$1:$O$258,12,FALSE))))</f>
        <v/>
      </c>
      <c r="N157" s="175" t="str">
        <f>IF(E157="","",IF(ISNA(VLOOKUP($E157,'D-1 Off Site Habitat Baseline'!$D$1:$X$258,14,FALSE)),"",(VLOOKUP($E157,'D-1 Off Site Habitat Baseline'!$D$1:$X$258,14,FALSE))))</f>
        <v/>
      </c>
      <c r="O157" s="176" t="str">
        <f>IF(E157="","",IF(ISNA(VLOOKUP($E157,'D-1 Off Site Habitat Baseline'!$D$1:$X$258,13,FALSE)),"",(VLOOKUP($E157,'D-1 Off Site Habitat Baseline'!$D$1:$X$258,13,FALSE))))</f>
        <v/>
      </c>
      <c r="P157" s="337" t="str">
        <f>IFERROR(INDEX('G-1 All Habitats'!$AG$3:$AG$15,MATCH(Q157,'G-1 All Habitats'!$AF$3:$AF$15,0)),"")</f>
        <v/>
      </c>
      <c r="Q157" s="331" t="str">
        <f t="shared" si="35"/>
        <v/>
      </c>
      <c r="R157" s="332" t="str">
        <f t="shared" si="36"/>
        <v/>
      </c>
      <c r="S157" s="338" t="str">
        <f>IFERROR(INDEX('G-1 All Habitats'!$B$3:$B$130,MATCH(R157,'G-1 All Habitats'!$A$3:$A$130,0)),"")</f>
        <v/>
      </c>
      <c r="T157" s="179" t="str">
        <f t="shared" si="28"/>
        <v/>
      </c>
      <c r="U157" s="172" t="str">
        <f t="shared" si="29"/>
        <v/>
      </c>
      <c r="V157" s="334" t="str">
        <f t="shared" si="26"/>
        <v/>
      </c>
      <c r="W157" s="175" t="str">
        <f>IF(S157="","",VLOOKUP(S157,'G-1 All Habitats'!$B$2:$M$130,10,FALSE))</f>
        <v/>
      </c>
      <c r="X157" s="175" t="str">
        <f>IFERROR(VLOOKUP(W157,'G-1 All Habitats'!$V$3:$W$7,2,FALSE),"")</f>
        <v/>
      </c>
      <c r="Y157" s="275"/>
      <c r="Z157" s="176" t="str">
        <f>IFERROR(INDEX('G-8 Condition Look up'!$A$3:$H$131,MATCH(S157,'G-8 Condition Look up'!$A$3:$A$131,0),MATCH(Y157,'G-8 Condition Look up'!$A$3:$H$3,0)),"")</f>
        <v/>
      </c>
      <c r="AA157" s="173"/>
      <c r="AB157" s="269" t="str">
        <f>IF(AA157="","",IF(VLOOKUP(AA157,'G-3 Multipliers'!$L$3:$N$6,2,FALSE)=0,"Spatial Data Missing",VLOOKUP(AA157,'G-3 Multipliers'!$L$3:$N$6,2,FALSE)))</f>
        <v/>
      </c>
      <c r="AC157" s="176" t="str">
        <f>IF(AA157="","",IF(VLOOKUP(AA157,'G-3 Multipliers'!$L$3:$N$6,3,FALSE)=0,"Spatial Data Missing",VLOOKUP(AA157,'G-3 Multipliers'!$L$3:$N$6,3,FALSE)))</f>
        <v/>
      </c>
      <c r="AD157" s="239" t="str">
        <f t="shared" si="27"/>
        <v/>
      </c>
      <c r="AE157" s="275"/>
      <c r="AF157" s="275"/>
      <c r="AG157" s="175" t="str">
        <f t="shared" si="30"/>
        <v/>
      </c>
      <c r="AH157" s="242" t="str">
        <f t="shared" si="31"/>
        <v/>
      </c>
      <c r="AI157" s="335" t="str">
        <f>IF(AH157="Check Data","Check Data",IFERROR(VLOOKUP(AH157,'G-4 Temporal multipliers'!$A$4:$C$36,3,FALSE),""))</f>
        <v/>
      </c>
      <c r="AJ157" s="239" t="str">
        <f>IF(S157="","",VLOOKUP(S157,'G-3 Multipliers'!$A$2:$E$130,4,FALSE))</f>
        <v/>
      </c>
      <c r="AK157" s="175" t="str">
        <f t="shared" si="32"/>
        <v/>
      </c>
      <c r="AL157" s="175" t="str">
        <f t="shared" si="33"/>
        <v/>
      </c>
      <c r="AM157" s="176" t="str">
        <f>IFERROR(IF(F157="","",IF(AH157="Check Data","Check Data",VLOOKUP(AL157, 'G-3 Multipliers'!$P$2:$Q$6,2,FALSE))),””)</f>
        <v/>
      </c>
      <c r="AN157" s="266"/>
      <c r="AO157" s="269" t="str">
        <f>IF(AN157="","",IF(VLOOKUP(AN157,'G-3 Multipliers'!$S$3:$T$9,2,FALSE)=0,"Spatial Data Missing",VLOOKUP(AN157,'G-3 Multipliers'!$S$3:$T$9,2,FALSE)))</f>
        <v/>
      </c>
      <c r="AP157" s="207" t="str">
        <f t="shared" si="34"/>
        <v/>
      </c>
      <c r="AQ157" s="336"/>
      <c r="AR157" s="181"/>
    </row>
    <row r="158" spans="1:44" x14ac:dyDescent="0.25">
      <c r="A158" s="35" t="str">
        <f>IF(E158="","",IF(ISNA(VLOOKUP($E158,'D-1 Off Site Habitat Baseline'!$D$1:$O$258,2,FALSE)),"",(VLOOKUP($E158,'D-1 Off Site Habitat Baseline'!$D$1:$O$258,2,FALSE))))</f>
        <v/>
      </c>
      <c r="B158" s="35" t="str">
        <f>IF(E158="","",IF(ISNA(VLOOKUP($E158,'D-1 Off Site Habitat Baseline'!$D$1:$O$258,3,FALSE)),"",(VLOOKUP($E158,'D-1 Off Site Habitat Baseline'!$D$1:$O$258,3,FALSE))))</f>
        <v/>
      </c>
      <c r="C158" s="35" t="str">
        <f>IFERROR(INDEX('G-8 Condition Look up'!$I$4:$I$131,MATCH(S158,'G-8 Condition Look up'!$A$4:$A$131,0)),"")</f>
        <v/>
      </c>
      <c r="E158" s="329" t="str">
        <f>'D-1 Off Site Habitat Baseline'!AL157</f>
        <v/>
      </c>
      <c r="F158" s="175" t="str">
        <f>IF(E158="","",IF(ISNA(VLOOKUP($E158,'D-1 Off Site Habitat Baseline'!$D$1:$O$258,4,FALSE)),"",(VLOOKUP($E158,'D-1 Off Site Habitat Baseline'!$D$1:$O$258,4,FALSE))))</f>
        <v/>
      </c>
      <c r="G158" s="175" t="str">
        <f>IF(E158="","",IF(ISNA(VLOOKUP($E158,'D-1 Off Site Habitat Baseline'!$D$1:$O$258,5,FALSE)),"",(VLOOKUP($E158,'D-1 Off Site Habitat Baseline'!$D$1:$O$258,5,FALSE))))</f>
        <v/>
      </c>
      <c r="H158" s="175" t="str">
        <f>IF(E158="","",IF(ISNA(VLOOKUP($E158,'D-1 Off Site Habitat Baseline'!$D$1:$O$258,6,FALSE)),"",(VLOOKUP($E158,'D-1 Off Site Habitat Baseline'!$D$1:$O$258,6,FALSE))))</f>
        <v/>
      </c>
      <c r="I158" s="175" t="str">
        <f>IF(E158="","",IF(ISNA(VLOOKUP($E158,'D-1 Off Site Habitat Baseline'!$D$1:$O$258,7,FALSE)),"",(VLOOKUP($E158,'D-1 Off Site Habitat Baseline'!$D$1:$O$258,7,FALSE))))</f>
        <v/>
      </c>
      <c r="J158" s="175" t="str">
        <f>IF(E158="","",IF(ISNA(VLOOKUP($E158,'D-1 Off Site Habitat Baseline'!$D$1:$O$258,8,FALSE)),"",(VLOOKUP($E158,'D-1 Off Site Habitat Baseline'!$D$1:$O$258,8,FALSE))))</f>
        <v/>
      </c>
      <c r="K158" s="175" t="str">
        <f>IF(E158="","",IF(ISNA(VLOOKUP($E158,'D-1 Off Site Habitat Baseline'!$D$1:$O$258,9,FALSE)),"",(VLOOKUP($E158,'D-1 Off Site Habitat Baseline'!$D$1:$O$258,9,FALSE))))</f>
        <v/>
      </c>
      <c r="L158" s="175" t="str">
        <f>IF(E158="","",IF(ISNA(VLOOKUP($E158,'D-1 Off Site Habitat Baseline'!$D$1:$O$258,11,FALSE)),"",(VLOOKUP($E158,'D-1 Off Site Habitat Baseline'!$D$1:$O$258,11,FALSE))))</f>
        <v/>
      </c>
      <c r="M158" s="175" t="str">
        <f>IF(E158="","",IF(ISNA(VLOOKUP($E158,'D-1 Off Site Habitat Baseline'!$D$1:$O$258,12,FALSE)),"",(VLOOKUP($E158,'D-1 Off Site Habitat Baseline'!$D$1:$O$258,12,FALSE))))</f>
        <v/>
      </c>
      <c r="N158" s="175" t="str">
        <f>IF(E158="","",IF(ISNA(VLOOKUP($E158,'D-1 Off Site Habitat Baseline'!$D$1:$X$258,14,FALSE)),"",(VLOOKUP($E158,'D-1 Off Site Habitat Baseline'!$D$1:$X$258,14,FALSE))))</f>
        <v/>
      </c>
      <c r="O158" s="176" t="str">
        <f>IF(E158="","",IF(ISNA(VLOOKUP($E158,'D-1 Off Site Habitat Baseline'!$D$1:$X$258,13,FALSE)),"",(VLOOKUP($E158,'D-1 Off Site Habitat Baseline'!$D$1:$X$258,13,FALSE))))</f>
        <v/>
      </c>
      <c r="P158" s="337" t="str">
        <f>IFERROR(INDEX('G-1 All Habitats'!$AG$3:$AG$15,MATCH(Q158,'G-1 All Habitats'!$AF$3:$AF$15,0)),"")</f>
        <v/>
      </c>
      <c r="Q158" s="331" t="str">
        <f t="shared" si="35"/>
        <v/>
      </c>
      <c r="R158" s="332" t="str">
        <f t="shared" si="36"/>
        <v/>
      </c>
      <c r="S158" s="338" t="str">
        <f>IFERROR(INDEX('G-1 All Habitats'!$B$3:$B$130,MATCH(R158,'G-1 All Habitats'!$A$3:$A$130,0)),"")</f>
        <v/>
      </c>
      <c r="T158" s="179" t="str">
        <f t="shared" si="28"/>
        <v/>
      </c>
      <c r="U158" s="172" t="str">
        <f t="shared" si="29"/>
        <v/>
      </c>
      <c r="V158" s="334" t="str">
        <f t="shared" si="26"/>
        <v/>
      </c>
      <c r="W158" s="175" t="str">
        <f>IF(S158="","",VLOOKUP(S158,'G-1 All Habitats'!$B$2:$M$130,10,FALSE))</f>
        <v/>
      </c>
      <c r="X158" s="175" t="str">
        <f>IFERROR(VLOOKUP(W158,'G-1 All Habitats'!$V$3:$W$7,2,FALSE),"")</f>
        <v/>
      </c>
      <c r="Y158" s="275"/>
      <c r="Z158" s="176" t="str">
        <f>IFERROR(INDEX('G-8 Condition Look up'!$A$3:$H$131,MATCH(S158,'G-8 Condition Look up'!$A$3:$A$131,0),MATCH(Y158,'G-8 Condition Look up'!$A$3:$H$3,0)),"")</f>
        <v/>
      </c>
      <c r="AA158" s="173"/>
      <c r="AB158" s="269" t="str">
        <f>IF(AA158="","",IF(VLOOKUP(AA158,'G-3 Multipliers'!$L$3:$N$6,2,FALSE)=0,"Spatial Data Missing",VLOOKUP(AA158,'G-3 Multipliers'!$L$3:$N$6,2,FALSE)))</f>
        <v/>
      </c>
      <c r="AC158" s="176" t="str">
        <f>IF(AA158="","",IF(VLOOKUP(AA158,'G-3 Multipliers'!$L$3:$N$6,3,FALSE)=0,"Spatial Data Missing",VLOOKUP(AA158,'G-3 Multipliers'!$L$3:$N$6,3,FALSE)))</f>
        <v/>
      </c>
      <c r="AD158" s="239" t="str">
        <f t="shared" si="27"/>
        <v/>
      </c>
      <c r="AE158" s="275"/>
      <c r="AF158" s="275"/>
      <c r="AG158" s="175" t="str">
        <f t="shared" si="30"/>
        <v/>
      </c>
      <c r="AH158" s="242" t="str">
        <f t="shared" si="31"/>
        <v/>
      </c>
      <c r="AI158" s="335" t="str">
        <f>IF(AH158="Check Data","Check Data",IFERROR(VLOOKUP(AH158,'G-4 Temporal multipliers'!$A$4:$C$36,3,FALSE),""))</f>
        <v/>
      </c>
      <c r="AJ158" s="239" t="str">
        <f>IF(S158="","",VLOOKUP(S158,'G-3 Multipliers'!$A$2:$E$130,4,FALSE))</f>
        <v/>
      </c>
      <c r="AK158" s="175" t="str">
        <f t="shared" si="32"/>
        <v/>
      </c>
      <c r="AL158" s="175" t="str">
        <f t="shared" si="33"/>
        <v/>
      </c>
      <c r="AM158" s="176" t="str">
        <f>IFERROR(IF(F158="","",IF(AH158="Check Data","Check Data",VLOOKUP(AL158, 'G-3 Multipliers'!$P$2:$Q$6,2,FALSE))),””)</f>
        <v/>
      </c>
      <c r="AN158" s="266"/>
      <c r="AO158" s="269" t="str">
        <f>IF(AN158="","",IF(VLOOKUP(AN158,'G-3 Multipliers'!$S$3:$T$9,2,FALSE)=0,"Spatial Data Missing",VLOOKUP(AN158,'G-3 Multipliers'!$S$3:$T$9,2,FALSE)))</f>
        <v/>
      </c>
      <c r="AP158" s="207" t="str">
        <f t="shared" si="34"/>
        <v/>
      </c>
      <c r="AQ158" s="336"/>
      <c r="AR158" s="181"/>
    </row>
    <row r="159" spans="1:44" x14ac:dyDescent="0.25">
      <c r="A159" s="35" t="str">
        <f>IF(E159="","",IF(ISNA(VLOOKUP($E159,'D-1 Off Site Habitat Baseline'!$D$1:$O$258,2,FALSE)),"",(VLOOKUP($E159,'D-1 Off Site Habitat Baseline'!$D$1:$O$258,2,FALSE))))</f>
        <v/>
      </c>
      <c r="B159" s="35" t="str">
        <f>IF(E159="","",IF(ISNA(VLOOKUP($E159,'D-1 Off Site Habitat Baseline'!$D$1:$O$258,3,FALSE)),"",(VLOOKUP($E159,'D-1 Off Site Habitat Baseline'!$D$1:$O$258,3,FALSE))))</f>
        <v/>
      </c>
      <c r="C159" s="35" t="str">
        <f>IFERROR(INDEX('G-8 Condition Look up'!$I$4:$I$131,MATCH(S159,'G-8 Condition Look up'!$A$4:$A$131,0)),"")</f>
        <v/>
      </c>
      <c r="E159" s="329" t="str">
        <f>'D-1 Off Site Habitat Baseline'!AL158</f>
        <v/>
      </c>
      <c r="F159" s="175" t="str">
        <f>IF(E159="","",IF(ISNA(VLOOKUP($E159,'D-1 Off Site Habitat Baseline'!$D$1:$O$258,4,FALSE)),"",(VLOOKUP($E159,'D-1 Off Site Habitat Baseline'!$D$1:$O$258,4,FALSE))))</f>
        <v/>
      </c>
      <c r="G159" s="175" t="str">
        <f>IF(E159="","",IF(ISNA(VLOOKUP($E159,'D-1 Off Site Habitat Baseline'!$D$1:$O$258,5,FALSE)),"",(VLOOKUP($E159,'D-1 Off Site Habitat Baseline'!$D$1:$O$258,5,FALSE))))</f>
        <v/>
      </c>
      <c r="H159" s="175" t="str">
        <f>IF(E159="","",IF(ISNA(VLOOKUP($E159,'D-1 Off Site Habitat Baseline'!$D$1:$O$258,6,FALSE)),"",(VLOOKUP($E159,'D-1 Off Site Habitat Baseline'!$D$1:$O$258,6,FALSE))))</f>
        <v/>
      </c>
      <c r="I159" s="175" t="str">
        <f>IF(E159="","",IF(ISNA(VLOOKUP($E159,'D-1 Off Site Habitat Baseline'!$D$1:$O$258,7,FALSE)),"",(VLOOKUP($E159,'D-1 Off Site Habitat Baseline'!$D$1:$O$258,7,FALSE))))</f>
        <v/>
      </c>
      <c r="J159" s="175" t="str">
        <f>IF(E159="","",IF(ISNA(VLOOKUP($E159,'D-1 Off Site Habitat Baseline'!$D$1:$O$258,8,FALSE)),"",(VLOOKUP($E159,'D-1 Off Site Habitat Baseline'!$D$1:$O$258,8,FALSE))))</f>
        <v/>
      </c>
      <c r="K159" s="175" t="str">
        <f>IF(E159="","",IF(ISNA(VLOOKUP($E159,'D-1 Off Site Habitat Baseline'!$D$1:$O$258,9,FALSE)),"",(VLOOKUP($E159,'D-1 Off Site Habitat Baseline'!$D$1:$O$258,9,FALSE))))</f>
        <v/>
      </c>
      <c r="L159" s="175" t="str">
        <f>IF(E159="","",IF(ISNA(VLOOKUP($E159,'D-1 Off Site Habitat Baseline'!$D$1:$O$258,11,FALSE)),"",(VLOOKUP($E159,'D-1 Off Site Habitat Baseline'!$D$1:$O$258,11,FALSE))))</f>
        <v/>
      </c>
      <c r="M159" s="175" t="str">
        <f>IF(E159="","",IF(ISNA(VLOOKUP($E159,'D-1 Off Site Habitat Baseline'!$D$1:$O$258,12,FALSE)),"",(VLOOKUP($E159,'D-1 Off Site Habitat Baseline'!$D$1:$O$258,12,FALSE))))</f>
        <v/>
      </c>
      <c r="N159" s="175" t="str">
        <f>IF(E159="","",IF(ISNA(VLOOKUP($E159,'D-1 Off Site Habitat Baseline'!$D$1:$X$258,14,FALSE)),"",(VLOOKUP($E159,'D-1 Off Site Habitat Baseline'!$D$1:$X$258,14,FALSE))))</f>
        <v/>
      </c>
      <c r="O159" s="176" t="str">
        <f>IF(E159="","",IF(ISNA(VLOOKUP($E159,'D-1 Off Site Habitat Baseline'!$D$1:$X$258,13,FALSE)),"",(VLOOKUP($E159,'D-1 Off Site Habitat Baseline'!$D$1:$X$258,13,FALSE))))</f>
        <v/>
      </c>
      <c r="P159" s="337" t="str">
        <f>IFERROR(INDEX('G-1 All Habitats'!$AG$3:$AG$15,MATCH(Q159,'G-1 All Habitats'!$AF$3:$AF$15,0)),"")</f>
        <v/>
      </c>
      <c r="Q159" s="331" t="str">
        <f t="shared" si="35"/>
        <v/>
      </c>
      <c r="R159" s="332" t="str">
        <f t="shared" si="36"/>
        <v/>
      </c>
      <c r="S159" s="338" t="str">
        <f>IFERROR(INDEX('G-1 All Habitats'!$B$3:$B$130,MATCH(R159,'G-1 All Habitats'!$A$3:$A$130,0)),"")</f>
        <v/>
      </c>
      <c r="T159" s="179" t="str">
        <f t="shared" si="28"/>
        <v/>
      </c>
      <c r="U159" s="172" t="str">
        <f t="shared" si="29"/>
        <v/>
      </c>
      <c r="V159" s="334" t="str">
        <f t="shared" si="26"/>
        <v/>
      </c>
      <c r="W159" s="175" t="str">
        <f>IF(S159="","",VLOOKUP(S159,'G-1 All Habitats'!$B$2:$M$130,10,FALSE))</f>
        <v/>
      </c>
      <c r="X159" s="175" t="str">
        <f>IFERROR(VLOOKUP(W159,'G-1 All Habitats'!$V$3:$W$7,2,FALSE),"")</f>
        <v/>
      </c>
      <c r="Y159" s="275"/>
      <c r="Z159" s="176" t="str">
        <f>IFERROR(INDEX('G-8 Condition Look up'!$A$3:$H$131,MATCH(S159,'G-8 Condition Look up'!$A$3:$A$131,0),MATCH(Y159,'G-8 Condition Look up'!$A$3:$H$3,0)),"")</f>
        <v/>
      </c>
      <c r="AA159" s="173"/>
      <c r="AB159" s="269" t="str">
        <f>IF(AA159="","",IF(VLOOKUP(AA159,'G-3 Multipliers'!$L$3:$N$6,2,FALSE)=0,"Spatial Data Missing",VLOOKUP(AA159,'G-3 Multipliers'!$L$3:$N$6,2,FALSE)))</f>
        <v/>
      </c>
      <c r="AC159" s="176" t="str">
        <f>IF(AA159="","",IF(VLOOKUP(AA159,'G-3 Multipliers'!$L$3:$N$6,3,FALSE)=0,"Spatial Data Missing",VLOOKUP(AA159,'G-3 Multipliers'!$L$3:$N$6,3,FALSE)))</f>
        <v/>
      </c>
      <c r="AD159" s="239" t="str">
        <f t="shared" si="27"/>
        <v/>
      </c>
      <c r="AE159" s="275"/>
      <c r="AF159" s="275"/>
      <c r="AG159" s="175" t="str">
        <f t="shared" si="30"/>
        <v/>
      </c>
      <c r="AH159" s="242" t="str">
        <f t="shared" si="31"/>
        <v/>
      </c>
      <c r="AI159" s="335" t="str">
        <f>IF(AH159="Check Data","Check Data",IFERROR(VLOOKUP(AH159,'G-4 Temporal multipliers'!$A$4:$C$36,3,FALSE),""))</f>
        <v/>
      </c>
      <c r="AJ159" s="239" t="str">
        <f>IF(S159="","",VLOOKUP(S159,'G-3 Multipliers'!$A$2:$E$130,4,FALSE))</f>
        <v/>
      </c>
      <c r="AK159" s="175" t="str">
        <f t="shared" si="32"/>
        <v/>
      </c>
      <c r="AL159" s="175" t="str">
        <f t="shared" si="33"/>
        <v/>
      </c>
      <c r="AM159" s="176" t="str">
        <f>IFERROR(IF(F159="","",IF(AH159="Check Data","Check Data",VLOOKUP(AL159, 'G-3 Multipliers'!$P$2:$Q$6,2,FALSE))),””)</f>
        <v/>
      </c>
      <c r="AN159" s="266"/>
      <c r="AO159" s="269" t="str">
        <f>IF(AN159="","",IF(VLOOKUP(AN159,'G-3 Multipliers'!$S$3:$T$9,2,FALSE)=0,"Spatial Data Missing",VLOOKUP(AN159,'G-3 Multipliers'!$S$3:$T$9,2,FALSE)))</f>
        <v/>
      </c>
      <c r="AP159" s="207" t="str">
        <f t="shared" si="34"/>
        <v/>
      </c>
      <c r="AQ159" s="336"/>
      <c r="AR159" s="181"/>
    </row>
    <row r="160" spans="1:44" x14ac:dyDescent="0.25">
      <c r="A160" s="35" t="str">
        <f>IF(E160="","",IF(ISNA(VLOOKUP($E160,'D-1 Off Site Habitat Baseline'!$D$1:$O$258,2,FALSE)),"",(VLOOKUP($E160,'D-1 Off Site Habitat Baseline'!$D$1:$O$258,2,FALSE))))</f>
        <v/>
      </c>
      <c r="B160" s="35" t="str">
        <f>IF(E160="","",IF(ISNA(VLOOKUP($E160,'D-1 Off Site Habitat Baseline'!$D$1:$O$258,3,FALSE)),"",(VLOOKUP($E160,'D-1 Off Site Habitat Baseline'!$D$1:$O$258,3,FALSE))))</f>
        <v/>
      </c>
      <c r="C160" s="35" t="str">
        <f>IFERROR(INDEX('G-8 Condition Look up'!$I$4:$I$131,MATCH(S160,'G-8 Condition Look up'!$A$4:$A$131,0)),"")</f>
        <v/>
      </c>
      <c r="E160" s="329" t="str">
        <f>'D-1 Off Site Habitat Baseline'!AL159</f>
        <v/>
      </c>
      <c r="F160" s="175" t="str">
        <f>IF(E160="","",IF(ISNA(VLOOKUP($E160,'D-1 Off Site Habitat Baseline'!$D$1:$O$258,4,FALSE)),"",(VLOOKUP($E160,'D-1 Off Site Habitat Baseline'!$D$1:$O$258,4,FALSE))))</f>
        <v/>
      </c>
      <c r="G160" s="175" t="str">
        <f>IF(E160="","",IF(ISNA(VLOOKUP($E160,'D-1 Off Site Habitat Baseline'!$D$1:$O$258,5,FALSE)),"",(VLOOKUP($E160,'D-1 Off Site Habitat Baseline'!$D$1:$O$258,5,FALSE))))</f>
        <v/>
      </c>
      <c r="H160" s="175" t="str">
        <f>IF(E160="","",IF(ISNA(VLOOKUP($E160,'D-1 Off Site Habitat Baseline'!$D$1:$O$258,6,FALSE)),"",(VLOOKUP($E160,'D-1 Off Site Habitat Baseline'!$D$1:$O$258,6,FALSE))))</f>
        <v/>
      </c>
      <c r="I160" s="175" t="str">
        <f>IF(E160="","",IF(ISNA(VLOOKUP($E160,'D-1 Off Site Habitat Baseline'!$D$1:$O$258,7,FALSE)),"",(VLOOKUP($E160,'D-1 Off Site Habitat Baseline'!$D$1:$O$258,7,FALSE))))</f>
        <v/>
      </c>
      <c r="J160" s="175" t="str">
        <f>IF(E160="","",IF(ISNA(VLOOKUP($E160,'D-1 Off Site Habitat Baseline'!$D$1:$O$258,8,FALSE)),"",(VLOOKUP($E160,'D-1 Off Site Habitat Baseline'!$D$1:$O$258,8,FALSE))))</f>
        <v/>
      </c>
      <c r="K160" s="175" t="str">
        <f>IF(E160="","",IF(ISNA(VLOOKUP($E160,'D-1 Off Site Habitat Baseline'!$D$1:$O$258,9,FALSE)),"",(VLOOKUP($E160,'D-1 Off Site Habitat Baseline'!$D$1:$O$258,9,FALSE))))</f>
        <v/>
      </c>
      <c r="L160" s="175" t="str">
        <f>IF(E160="","",IF(ISNA(VLOOKUP($E160,'D-1 Off Site Habitat Baseline'!$D$1:$O$258,11,FALSE)),"",(VLOOKUP($E160,'D-1 Off Site Habitat Baseline'!$D$1:$O$258,11,FALSE))))</f>
        <v/>
      </c>
      <c r="M160" s="175" t="str">
        <f>IF(E160="","",IF(ISNA(VLOOKUP($E160,'D-1 Off Site Habitat Baseline'!$D$1:$O$258,12,FALSE)),"",(VLOOKUP($E160,'D-1 Off Site Habitat Baseline'!$D$1:$O$258,12,FALSE))))</f>
        <v/>
      </c>
      <c r="N160" s="175" t="str">
        <f>IF(E160="","",IF(ISNA(VLOOKUP($E160,'D-1 Off Site Habitat Baseline'!$D$1:$X$258,14,FALSE)),"",(VLOOKUP($E160,'D-1 Off Site Habitat Baseline'!$D$1:$X$258,14,FALSE))))</f>
        <v/>
      </c>
      <c r="O160" s="176" t="str">
        <f>IF(E160="","",IF(ISNA(VLOOKUP($E160,'D-1 Off Site Habitat Baseline'!$D$1:$X$258,13,FALSE)),"",(VLOOKUP($E160,'D-1 Off Site Habitat Baseline'!$D$1:$X$258,13,FALSE))))</f>
        <v/>
      </c>
      <c r="P160" s="337" t="str">
        <f>IFERROR(INDEX('G-1 All Habitats'!$AG$3:$AG$15,MATCH(Q160,'G-1 All Habitats'!$AF$3:$AF$15,0)),"")</f>
        <v/>
      </c>
      <c r="Q160" s="331" t="str">
        <f t="shared" si="35"/>
        <v/>
      </c>
      <c r="R160" s="332" t="str">
        <f t="shared" si="36"/>
        <v/>
      </c>
      <c r="S160" s="338" t="str">
        <f>IFERROR(INDEX('G-1 All Habitats'!$B$3:$B$130,MATCH(R160,'G-1 All Habitats'!$A$3:$A$130,0)),"")</f>
        <v/>
      </c>
      <c r="T160" s="179" t="str">
        <f t="shared" si="28"/>
        <v/>
      </c>
      <c r="U160" s="172" t="str">
        <f t="shared" si="29"/>
        <v/>
      </c>
      <c r="V160" s="334" t="str">
        <f t="shared" si="26"/>
        <v/>
      </c>
      <c r="W160" s="175" t="str">
        <f>IF(S160="","",VLOOKUP(S160,'G-1 All Habitats'!$B$2:$M$130,10,FALSE))</f>
        <v/>
      </c>
      <c r="X160" s="175" t="str">
        <f>IFERROR(VLOOKUP(W160,'G-1 All Habitats'!$V$3:$W$7,2,FALSE),"")</f>
        <v/>
      </c>
      <c r="Y160" s="275"/>
      <c r="Z160" s="176" t="str">
        <f>IFERROR(INDEX('G-8 Condition Look up'!$A$3:$H$131,MATCH(S160,'G-8 Condition Look up'!$A$3:$A$131,0),MATCH(Y160,'G-8 Condition Look up'!$A$3:$H$3,0)),"")</f>
        <v/>
      </c>
      <c r="AA160" s="173"/>
      <c r="AB160" s="269" t="str">
        <f>IF(AA160="","",IF(VLOOKUP(AA160,'G-3 Multipliers'!$L$3:$N$6,2,FALSE)=0,"Spatial Data Missing",VLOOKUP(AA160,'G-3 Multipliers'!$L$3:$N$6,2,FALSE)))</f>
        <v/>
      </c>
      <c r="AC160" s="176" t="str">
        <f>IF(AA160="","",IF(VLOOKUP(AA160,'G-3 Multipliers'!$L$3:$N$6,3,FALSE)=0,"Spatial Data Missing",VLOOKUP(AA160,'G-3 Multipliers'!$L$3:$N$6,3,FALSE)))</f>
        <v/>
      </c>
      <c r="AD160" s="239" t="str">
        <f t="shared" si="27"/>
        <v/>
      </c>
      <c r="AE160" s="275"/>
      <c r="AF160" s="275"/>
      <c r="AG160" s="175" t="str">
        <f t="shared" si="30"/>
        <v/>
      </c>
      <c r="AH160" s="242" t="str">
        <f t="shared" si="31"/>
        <v/>
      </c>
      <c r="AI160" s="335" t="str">
        <f>IF(AH160="Check Data","Check Data",IFERROR(VLOOKUP(AH160,'G-4 Temporal multipliers'!$A$4:$C$36,3,FALSE),""))</f>
        <v/>
      </c>
      <c r="AJ160" s="239" t="str">
        <f>IF(S160="","",VLOOKUP(S160,'G-3 Multipliers'!$A$2:$E$130,4,FALSE))</f>
        <v/>
      </c>
      <c r="AK160" s="175" t="str">
        <f t="shared" si="32"/>
        <v/>
      </c>
      <c r="AL160" s="175" t="str">
        <f t="shared" si="33"/>
        <v/>
      </c>
      <c r="AM160" s="176" t="str">
        <f>IFERROR(IF(F160="","",IF(AH160="Check Data","Check Data",VLOOKUP(AL160, 'G-3 Multipliers'!$P$2:$Q$6,2,FALSE))),””)</f>
        <v/>
      </c>
      <c r="AN160" s="266"/>
      <c r="AO160" s="269" t="str">
        <f>IF(AN160="","",IF(VLOOKUP(AN160,'G-3 Multipliers'!$S$3:$T$9,2,FALSE)=0,"Spatial Data Missing",VLOOKUP(AN160,'G-3 Multipliers'!$S$3:$T$9,2,FALSE)))</f>
        <v/>
      </c>
      <c r="AP160" s="207" t="str">
        <f t="shared" si="34"/>
        <v/>
      </c>
      <c r="AQ160" s="336"/>
      <c r="AR160" s="181"/>
    </row>
    <row r="161" spans="1:44" x14ac:dyDescent="0.25">
      <c r="A161" s="35" t="str">
        <f>IF(E161="","",IF(ISNA(VLOOKUP($E161,'D-1 Off Site Habitat Baseline'!$D$1:$O$258,2,FALSE)),"",(VLOOKUP($E161,'D-1 Off Site Habitat Baseline'!$D$1:$O$258,2,FALSE))))</f>
        <v/>
      </c>
      <c r="B161" s="35" t="str">
        <f>IF(E161="","",IF(ISNA(VLOOKUP($E161,'D-1 Off Site Habitat Baseline'!$D$1:$O$258,3,FALSE)),"",(VLOOKUP($E161,'D-1 Off Site Habitat Baseline'!$D$1:$O$258,3,FALSE))))</f>
        <v/>
      </c>
      <c r="C161" s="35" t="str">
        <f>IFERROR(INDEX('G-8 Condition Look up'!$I$4:$I$131,MATCH(S161,'G-8 Condition Look up'!$A$4:$A$131,0)),"")</f>
        <v/>
      </c>
      <c r="E161" s="329" t="str">
        <f>'D-1 Off Site Habitat Baseline'!AL160</f>
        <v/>
      </c>
      <c r="F161" s="175" t="str">
        <f>IF(E161="","",IF(ISNA(VLOOKUP($E161,'D-1 Off Site Habitat Baseline'!$D$1:$O$258,4,FALSE)),"",(VLOOKUP($E161,'D-1 Off Site Habitat Baseline'!$D$1:$O$258,4,FALSE))))</f>
        <v/>
      </c>
      <c r="G161" s="175" t="str">
        <f>IF(E161="","",IF(ISNA(VLOOKUP($E161,'D-1 Off Site Habitat Baseline'!$D$1:$O$258,5,FALSE)),"",(VLOOKUP($E161,'D-1 Off Site Habitat Baseline'!$D$1:$O$258,5,FALSE))))</f>
        <v/>
      </c>
      <c r="H161" s="175" t="str">
        <f>IF(E161="","",IF(ISNA(VLOOKUP($E161,'D-1 Off Site Habitat Baseline'!$D$1:$O$258,6,FALSE)),"",(VLOOKUP($E161,'D-1 Off Site Habitat Baseline'!$D$1:$O$258,6,FALSE))))</f>
        <v/>
      </c>
      <c r="I161" s="175" t="str">
        <f>IF(E161="","",IF(ISNA(VLOOKUP($E161,'D-1 Off Site Habitat Baseline'!$D$1:$O$258,7,FALSE)),"",(VLOOKUP($E161,'D-1 Off Site Habitat Baseline'!$D$1:$O$258,7,FALSE))))</f>
        <v/>
      </c>
      <c r="J161" s="175" t="str">
        <f>IF(E161="","",IF(ISNA(VLOOKUP($E161,'D-1 Off Site Habitat Baseline'!$D$1:$O$258,8,FALSE)),"",(VLOOKUP($E161,'D-1 Off Site Habitat Baseline'!$D$1:$O$258,8,FALSE))))</f>
        <v/>
      </c>
      <c r="K161" s="175" t="str">
        <f>IF(E161="","",IF(ISNA(VLOOKUP($E161,'D-1 Off Site Habitat Baseline'!$D$1:$O$258,9,FALSE)),"",(VLOOKUP($E161,'D-1 Off Site Habitat Baseline'!$D$1:$O$258,9,FALSE))))</f>
        <v/>
      </c>
      <c r="L161" s="175" t="str">
        <f>IF(E161="","",IF(ISNA(VLOOKUP($E161,'D-1 Off Site Habitat Baseline'!$D$1:$O$258,11,FALSE)),"",(VLOOKUP($E161,'D-1 Off Site Habitat Baseline'!$D$1:$O$258,11,FALSE))))</f>
        <v/>
      </c>
      <c r="M161" s="175" t="str">
        <f>IF(E161="","",IF(ISNA(VLOOKUP($E161,'D-1 Off Site Habitat Baseline'!$D$1:$O$258,12,FALSE)),"",(VLOOKUP($E161,'D-1 Off Site Habitat Baseline'!$D$1:$O$258,12,FALSE))))</f>
        <v/>
      </c>
      <c r="N161" s="175" t="str">
        <f>IF(E161="","",IF(ISNA(VLOOKUP($E161,'D-1 Off Site Habitat Baseline'!$D$1:$X$258,14,FALSE)),"",(VLOOKUP($E161,'D-1 Off Site Habitat Baseline'!$D$1:$X$258,14,FALSE))))</f>
        <v/>
      </c>
      <c r="O161" s="176" t="str">
        <f>IF(E161="","",IF(ISNA(VLOOKUP($E161,'D-1 Off Site Habitat Baseline'!$D$1:$X$258,13,FALSE)),"",(VLOOKUP($E161,'D-1 Off Site Habitat Baseline'!$D$1:$X$258,13,FALSE))))</f>
        <v/>
      </c>
      <c r="P161" s="337" t="str">
        <f>IFERROR(INDEX('G-1 All Habitats'!$AG$3:$AG$15,MATCH(Q161,'G-1 All Habitats'!$AF$3:$AF$15,0)),"")</f>
        <v/>
      </c>
      <c r="Q161" s="331" t="str">
        <f t="shared" si="35"/>
        <v/>
      </c>
      <c r="R161" s="332" t="str">
        <f t="shared" si="36"/>
        <v/>
      </c>
      <c r="S161" s="338" t="str">
        <f>IFERROR(INDEX('G-1 All Habitats'!$B$3:$B$130,MATCH(R161,'G-1 All Habitats'!$A$3:$A$130,0)),"")</f>
        <v/>
      </c>
      <c r="T161" s="179" t="str">
        <f t="shared" si="28"/>
        <v/>
      </c>
      <c r="U161" s="172" t="str">
        <f t="shared" si="29"/>
        <v/>
      </c>
      <c r="V161" s="334" t="str">
        <f t="shared" si="26"/>
        <v/>
      </c>
      <c r="W161" s="175" t="str">
        <f>IF(S161="","",VLOOKUP(S161,'G-1 All Habitats'!$B$2:$M$130,10,FALSE))</f>
        <v/>
      </c>
      <c r="X161" s="175" t="str">
        <f>IFERROR(VLOOKUP(W161,'G-1 All Habitats'!$V$3:$W$7,2,FALSE),"")</f>
        <v/>
      </c>
      <c r="Y161" s="275"/>
      <c r="Z161" s="176" t="str">
        <f>IFERROR(INDEX('G-8 Condition Look up'!$A$3:$H$131,MATCH(S161,'G-8 Condition Look up'!$A$3:$A$131,0),MATCH(Y161,'G-8 Condition Look up'!$A$3:$H$3,0)),"")</f>
        <v/>
      </c>
      <c r="AA161" s="173"/>
      <c r="AB161" s="269" t="str">
        <f>IF(AA161="","",IF(VLOOKUP(AA161,'G-3 Multipliers'!$L$3:$N$6,2,FALSE)=0,"Spatial Data Missing",VLOOKUP(AA161,'G-3 Multipliers'!$L$3:$N$6,2,FALSE)))</f>
        <v/>
      </c>
      <c r="AC161" s="176" t="str">
        <f>IF(AA161="","",IF(VLOOKUP(AA161,'G-3 Multipliers'!$L$3:$N$6,3,FALSE)=0,"Spatial Data Missing",VLOOKUP(AA161,'G-3 Multipliers'!$L$3:$N$6,3,FALSE)))</f>
        <v/>
      </c>
      <c r="AD161" s="239" t="str">
        <f t="shared" si="27"/>
        <v/>
      </c>
      <c r="AE161" s="275"/>
      <c r="AF161" s="275"/>
      <c r="AG161" s="175" t="str">
        <f t="shared" si="30"/>
        <v/>
      </c>
      <c r="AH161" s="242" t="str">
        <f t="shared" si="31"/>
        <v/>
      </c>
      <c r="AI161" s="335" t="str">
        <f>IF(AH161="Check Data","Check Data",IFERROR(VLOOKUP(AH161,'G-4 Temporal multipliers'!$A$4:$C$36,3,FALSE),""))</f>
        <v/>
      </c>
      <c r="AJ161" s="239" t="str">
        <f>IF(S161="","",VLOOKUP(S161,'G-3 Multipliers'!$A$2:$E$130,4,FALSE))</f>
        <v/>
      </c>
      <c r="AK161" s="175" t="str">
        <f t="shared" si="32"/>
        <v/>
      </c>
      <c r="AL161" s="175" t="str">
        <f t="shared" si="33"/>
        <v/>
      </c>
      <c r="AM161" s="176" t="str">
        <f>IFERROR(IF(F161="","",IF(AH161="Check Data","Check Data",VLOOKUP(AL161, 'G-3 Multipliers'!$P$2:$Q$6,2,FALSE))),””)</f>
        <v/>
      </c>
      <c r="AN161" s="266"/>
      <c r="AO161" s="269" t="str">
        <f>IF(AN161="","",IF(VLOOKUP(AN161,'G-3 Multipliers'!$S$3:$T$9,2,FALSE)=0,"Spatial Data Missing",VLOOKUP(AN161,'G-3 Multipliers'!$S$3:$T$9,2,FALSE)))</f>
        <v/>
      </c>
      <c r="AP161" s="207" t="str">
        <f t="shared" si="34"/>
        <v/>
      </c>
      <c r="AQ161" s="336"/>
      <c r="AR161" s="181"/>
    </row>
    <row r="162" spans="1:44" x14ac:dyDescent="0.25">
      <c r="A162" s="35" t="str">
        <f>IF(E162="","",IF(ISNA(VLOOKUP($E162,'D-1 Off Site Habitat Baseline'!$D$1:$O$258,2,FALSE)),"",(VLOOKUP($E162,'D-1 Off Site Habitat Baseline'!$D$1:$O$258,2,FALSE))))</f>
        <v/>
      </c>
      <c r="B162" s="35" t="str">
        <f>IF(E162="","",IF(ISNA(VLOOKUP($E162,'D-1 Off Site Habitat Baseline'!$D$1:$O$258,3,FALSE)),"",(VLOOKUP($E162,'D-1 Off Site Habitat Baseline'!$D$1:$O$258,3,FALSE))))</f>
        <v/>
      </c>
      <c r="C162" s="35" t="str">
        <f>IFERROR(INDEX('G-8 Condition Look up'!$I$4:$I$131,MATCH(S162,'G-8 Condition Look up'!$A$4:$A$131,0)),"")</f>
        <v/>
      </c>
      <c r="E162" s="329" t="str">
        <f>'D-1 Off Site Habitat Baseline'!AL161</f>
        <v/>
      </c>
      <c r="F162" s="175" t="str">
        <f>IF(E162="","",IF(ISNA(VLOOKUP($E162,'D-1 Off Site Habitat Baseline'!$D$1:$O$258,4,FALSE)),"",(VLOOKUP($E162,'D-1 Off Site Habitat Baseline'!$D$1:$O$258,4,FALSE))))</f>
        <v/>
      </c>
      <c r="G162" s="175" t="str">
        <f>IF(E162="","",IF(ISNA(VLOOKUP($E162,'D-1 Off Site Habitat Baseline'!$D$1:$O$258,5,FALSE)),"",(VLOOKUP($E162,'D-1 Off Site Habitat Baseline'!$D$1:$O$258,5,FALSE))))</f>
        <v/>
      </c>
      <c r="H162" s="175" t="str">
        <f>IF(E162="","",IF(ISNA(VLOOKUP($E162,'D-1 Off Site Habitat Baseline'!$D$1:$O$258,6,FALSE)),"",(VLOOKUP($E162,'D-1 Off Site Habitat Baseline'!$D$1:$O$258,6,FALSE))))</f>
        <v/>
      </c>
      <c r="I162" s="175" t="str">
        <f>IF(E162="","",IF(ISNA(VLOOKUP($E162,'D-1 Off Site Habitat Baseline'!$D$1:$O$258,7,FALSE)),"",(VLOOKUP($E162,'D-1 Off Site Habitat Baseline'!$D$1:$O$258,7,FALSE))))</f>
        <v/>
      </c>
      <c r="J162" s="175" t="str">
        <f>IF(E162="","",IF(ISNA(VLOOKUP($E162,'D-1 Off Site Habitat Baseline'!$D$1:$O$258,8,FALSE)),"",(VLOOKUP($E162,'D-1 Off Site Habitat Baseline'!$D$1:$O$258,8,FALSE))))</f>
        <v/>
      </c>
      <c r="K162" s="175" t="str">
        <f>IF(E162="","",IF(ISNA(VLOOKUP($E162,'D-1 Off Site Habitat Baseline'!$D$1:$O$258,9,FALSE)),"",(VLOOKUP($E162,'D-1 Off Site Habitat Baseline'!$D$1:$O$258,9,FALSE))))</f>
        <v/>
      </c>
      <c r="L162" s="175" t="str">
        <f>IF(E162="","",IF(ISNA(VLOOKUP($E162,'D-1 Off Site Habitat Baseline'!$D$1:$O$258,11,FALSE)),"",(VLOOKUP($E162,'D-1 Off Site Habitat Baseline'!$D$1:$O$258,11,FALSE))))</f>
        <v/>
      </c>
      <c r="M162" s="175" t="str">
        <f>IF(E162="","",IF(ISNA(VLOOKUP($E162,'D-1 Off Site Habitat Baseline'!$D$1:$O$258,12,FALSE)),"",(VLOOKUP($E162,'D-1 Off Site Habitat Baseline'!$D$1:$O$258,12,FALSE))))</f>
        <v/>
      </c>
      <c r="N162" s="175" t="str">
        <f>IF(E162="","",IF(ISNA(VLOOKUP($E162,'D-1 Off Site Habitat Baseline'!$D$1:$X$258,14,FALSE)),"",(VLOOKUP($E162,'D-1 Off Site Habitat Baseline'!$D$1:$X$258,14,FALSE))))</f>
        <v/>
      </c>
      <c r="O162" s="176" t="str">
        <f>IF(E162="","",IF(ISNA(VLOOKUP($E162,'D-1 Off Site Habitat Baseline'!$D$1:$X$258,13,FALSE)),"",(VLOOKUP($E162,'D-1 Off Site Habitat Baseline'!$D$1:$X$258,13,FALSE))))</f>
        <v/>
      </c>
      <c r="P162" s="337" t="str">
        <f>IFERROR(INDEX('G-1 All Habitats'!$AG$3:$AG$15,MATCH(Q162,'G-1 All Habitats'!$AF$3:$AF$15,0)),"")</f>
        <v/>
      </c>
      <c r="Q162" s="331" t="str">
        <f t="shared" si="35"/>
        <v/>
      </c>
      <c r="R162" s="332" t="str">
        <f t="shared" si="36"/>
        <v/>
      </c>
      <c r="S162" s="338" t="str">
        <f>IFERROR(INDEX('G-1 All Habitats'!$B$3:$B$130,MATCH(R162,'G-1 All Habitats'!$A$3:$A$130,0)),"")</f>
        <v/>
      </c>
      <c r="T162" s="179" t="str">
        <f t="shared" si="28"/>
        <v/>
      </c>
      <c r="U162" s="172" t="str">
        <f t="shared" si="29"/>
        <v/>
      </c>
      <c r="V162" s="334" t="str">
        <f t="shared" si="26"/>
        <v/>
      </c>
      <c r="W162" s="175" t="str">
        <f>IF(S162="","",VLOOKUP(S162,'G-1 All Habitats'!$B$2:$M$130,10,FALSE))</f>
        <v/>
      </c>
      <c r="X162" s="175" t="str">
        <f>IFERROR(VLOOKUP(W162,'G-1 All Habitats'!$V$3:$W$7,2,FALSE),"")</f>
        <v/>
      </c>
      <c r="Y162" s="275"/>
      <c r="Z162" s="176" t="str">
        <f>IFERROR(INDEX('G-8 Condition Look up'!$A$3:$H$131,MATCH(S162,'G-8 Condition Look up'!$A$3:$A$131,0),MATCH(Y162,'G-8 Condition Look up'!$A$3:$H$3,0)),"")</f>
        <v/>
      </c>
      <c r="AA162" s="173"/>
      <c r="AB162" s="269" t="str">
        <f>IF(AA162="","",IF(VLOOKUP(AA162,'G-3 Multipliers'!$L$3:$N$6,2,FALSE)=0,"Spatial Data Missing",VLOOKUP(AA162,'G-3 Multipliers'!$L$3:$N$6,2,FALSE)))</f>
        <v/>
      </c>
      <c r="AC162" s="176" t="str">
        <f>IF(AA162="","",IF(VLOOKUP(AA162,'G-3 Multipliers'!$L$3:$N$6,3,FALSE)=0,"Spatial Data Missing",VLOOKUP(AA162,'G-3 Multipliers'!$L$3:$N$6,3,FALSE)))</f>
        <v/>
      </c>
      <c r="AD162" s="239" t="str">
        <f t="shared" si="27"/>
        <v/>
      </c>
      <c r="AE162" s="275"/>
      <c r="AF162" s="275"/>
      <c r="AG162" s="175" t="str">
        <f t="shared" si="30"/>
        <v/>
      </c>
      <c r="AH162" s="242" t="str">
        <f t="shared" si="31"/>
        <v/>
      </c>
      <c r="AI162" s="335" t="str">
        <f>IF(AH162="Check Data","Check Data",IFERROR(VLOOKUP(AH162,'G-4 Temporal multipliers'!$A$4:$C$36,3,FALSE),""))</f>
        <v/>
      </c>
      <c r="AJ162" s="239" t="str">
        <f>IF(S162="","",VLOOKUP(S162,'G-3 Multipliers'!$A$2:$E$130,4,FALSE))</f>
        <v/>
      </c>
      <c r="AK162" s="175" t="str">
        <f t="shared" si="32"/>
        <v/>
      </c>
      <c r="AL162" s="175" t="str">
        <f t="shared" si="33"/>
        <v/>
      </c>
      <c r="AM162" s="176" t="str">
        <f>IFERROR(IF(F162="","",IF(AH162="Check Data","Check Data",VLOOKUP(AL162, 'G-3 Multipliers'!$P$2:$Q$6,2,FALSE))),””)</f>
        <v/>
      </c>
      <c r="AN162" s="266"/>
      <c r="AO162" s="269" t="str">
        <f>IF(AN162="","",IF(VLOOKUP(AN162,'G-3 Multipliers'!$S$3:$T$9,2,FALSE)=0,"Spatial Data Missing",VLOOKUP(AN162,'G-3 Multipliers'!$S$3:$T$9,2,FALSE)))</f>
        <v/>
      </c>
      <c r="AP162" s="207" t="str">
        <f t="shared" si="34"/>
        <v/>
      </c>
      <c r="AQ162" s="336"/>
      <c r="AR162" s="181"/>
    </row>
    <row r="163" spans="1:44" x14ac:dyDescent="0.25">
      <c r="A163" s="35" t="str">
        <f>IF(E163="","",IF(ISNA(VLOOKUP($E163,'D-1 Off Site Habitat Baseline'!$D$1:$O$258,2,FALSE)),"",(VLOOKUP($E163,'D-1 Off Site Habitat Baseline'!$D$1:$O$258,2,FALSE))))</f>
        <v/>
      </c>
      <c r="B163" s="35" t="str">
        <f>IF(E163="","",IF(ISNA(VLOOKUP($E163,'D-1 Off Site Habitat Baseline'!$D$1:$O$258,3,FALSE)),"",(VLOOKUP($E163,'D-1 Off Site Habitat Baseline'!$D$1:$O$258,3,FALSE))))</f>
        <v/>
      </c>
      <c r="C163" s="35" t="str">
        <f>IFERROR(INDEX('G-8 Condition Look up'!$I$4:$I$131,MATCH(S163,'G-8 Condition Look up'!$A$4:$A$131,0)),"")</f>
        <v/>
      </c>
      <c r="E163" s="329" t="str">
        <f>'D-1 Off Site Habitat Baseline'!AL162</f>
        <v/>
      </c>
      <c r="F163" s="175" t="str">
        <f>IF(E163="","",IF(ISNA(VLOOKUP($E163,'D-1 Off Site Habitat Baseline'!$D$1:$O$258,4,FALSE)),"",(VLOOKUP($E163,'D-1 Off Site Habitat Baseline'!$D$1:$O$258,4,FALSE))))</f>
        <v/>
      </c>
      <c r="G163" s="175" t="str">
        <f>IF(E163="","",IF(ISNA(VLOOKUP($E163,'D-1 Off Site Habitat Baseline'!$D$1:$O$258,5,FALSE)),"",(VLOOKUP($E163,'D-1 Off Site Habitat Baseline'!$D$1:$O$258,5,FALSE))))</f>
        <v/>
      </c>
      <c r="H163" s="175" t="str">
        <f>IF(E163="","",IF(ISNA(VLOOKUP($E163,'D-1 Off Site Habitat Baseline'!$D$1:$O$258,6,FALSE)),"",(VLOOKUP($E163,'D-1 Off Site Habitat Baseline'!$D$1:$O$258,6,FALSE))))</f>
        <v/>
      </c>
      <c r="I163" s="175" t="str">
        <f>IF(E163="","",IF(ISNA(VLOOKUP($E163,'D-1 Off Site Habitat Baseline'!$D$1:$O$258,7,FALSE)),"",(VLOOKUP($E163,'D-1 Off Site Habitat Baseline'!$D$1:$O$258,7,FALSE))))</f>
        <v/>
      </c>
      <c r="J163" s="175" t="str">
        <f>IF(E163="","",IF(ISNA(VLOOKUP($E163,'D-1 Off Site Habitat Baseline'!$D$1:$O$258,8,FALSE)),"",(VLOOKUP($E163,'D-1 Off Site Habitat Baseline'!$D$1:$O$258,8,FALSE))))</f>
        <v/>
      </c>
      <c r="K163" s="175" t="str">
        <f>IF(E163="","",IF(ISNA(VLOOKUP($E163,'D-1 Off Site Habitat Baseline'!$D$1:$O$258,9,FALSE)),"",(VLOOKUP($E163,'D-1 Off Site Habitat Baseline'!$D$1:$O$258,9,FALSE))))</f>
        <v/>
      </c>
      <c r="L163" s="175" t="str">
        <f>IF(E163="","",IF(ISNA(VLOOKUP($E163,'D-1 Off Site Habitat Baseline'!$D$1:$O$258,11,FALSE)),"",(VLOOKUP($E163,'D-1 Off Site Habitat Baseline'!$D$1:$O$258,11,FALSE))))</f>
        <v/>
      </c>
      <c r="M163" s="175" t="str">
        <f>IF(E163="","",IF(ISNA(VLOOKUP($E163,'D-1 Off Site Habitat Baseline'!$D$1:$O$258,12,FALSE)),"",(VLOOKUP($E163,'D-1 Off Site Habitat Baseline'!$D$1:$O$258,12,FALSE))))</f>
        <v/>
      </c>
      <c r="N163" s="175" t="str">
        <f>IF(E163="","",IF(ISNA(VLOOKUP($E163,'D-1 Off Site Habitat Baseline'!$D$1:$X$258,14,FALSE)),"",(VLOOKUP($E163,'D-1 Off Site Habitat Baseline'!$D$1:$X$258,14,FALSE))))</f>
        <v/>
      </c>
      <c r="O163" s="176" t="str">
        <f>IF(E163="","",IF(ISNA(VLOOKUP($E163,'D-1 Off Site Habitat Baseline'!$D$1:$X$258,13,FALSE)),"",(VLOOKUP($E163,'D-1 Off Site Habitat Baseline'!$D$1:$X$258,13,FALSE))))</f>
        <v/>
      </c>
      <c r="P163" s="337" t="str">
        <f>IFERROR(INDEX('G-1 All Habitats'!$AG$3:$AG$15,MATCH(Q163,'G-1 All Habitats'!$AF$3:$AF$15,0)),"")</f>
        <v/>
      </c>
      <c r="Q163" s="331" t="str">
        <f t="shared" si="35"/>
        <v/>
      </c>
      <c r="R163" s="332" t="str">
        <f t="shared" si="36"/>
        <v/>
      </c>
      <c r="S163" s="338" t="str">
        <f>IFERROR(INDEX('G-1 All Habitats'!$B$3:$B$130,MATCH(R163,'G-1 All Habitats'!$A$3:$A$130,0)),"")</f>
        <v/>
      </c>
      <c r="T163" s="179" t="str">
        <f t="shared" si="28"/>
        <v/>
      </c>
      <c r="U163" s="172" t="str">
        <f t="shared" si="29"/>
        <v/>
      </c>
      <c r="V163" s="334" t="str">
        <f t="shared" si="26"/>
        <v/>
      </c>
      <c r="W163" s="175" t="str">
        <f>IF(S163="","",VLOOKUP(S163,'G-1 All Habitats'!$B$2:$M$130,10,FALSE))</f>
        <v/>
      </c>
      <c r="X163" s="175" t="str">
        <f>IFERROR(VLOOKUP(W163,'G-1 All Habitats'!$V$3:$W$7,2,FALSE),"")</f>
        <v/>
      </c>
      <c r="Y163" s="275"/>
      <c r="Z163" s="176" t="str">
        <f>IFERROR(INDEX('G-8 Condition Look up'!$A$3:$H$131,MATCH(S163,'G-8 Condition Look up'!$A$3:$A$131,0),MATCH(Y163,'G-8 Condition Look up'!$A$3:$H$3,0)),"")</f>
        <v/>
      </c>
      <c r="AA163" s="173"/>
      <c r="AB163" s="269" t="str">
        <f>IF(AA163="","",IF(VLOOKUP(AA163,'G-3 Multipliers'!$L$3:$N$6,2,FALSE)=0,"Spatial Data Missing",VLOOKUP(AA163,'G-3 Multipliers'!$L$3:$N$6,2,FALSE)))</f>
        <v/>
      </c>
      <c r="AC163" s="176" t="str">
        <f>IF(AA163="","",IF(VLOOKUP(AA163,'G-3 Multipliers'!$L$3:$N$6,3,FALSE)=0,"Spatial Data Missing",VLOOKUP(AA163,'G-3 Multipliers'!$L$3:$N$6,3,FALSE)))</f>
        <v/>
      </c>
      <c r="AD163" s="239" t="str">
        <f t="shared" si="27"/>
        <v/>
      </c>
      <c r="AE163" s="275"/>
      <c r="AF163" s="275"/>
      <c r="AG163" s="175" t="str">
        <f t="shared" si="30"/>
        <v/>
      </c>
      <c r="AH163" s="242" t="str">
        <f t="shared" si="31"/>
        <v/>
      </c>
      <c r="AI163" s="335" t="str">
        <f>IF(AH163="Check Data","Check Data",IFERROR(VLOOKUP(AH163,'G-4 Temporal multipliers'!$A$4:$C$36,3,FALSE),""))</f>
        <v/>
      </c>
      <c r="AJ163" s="239" t="str">
        <f>IF(S163="","",VLOOKUP(S163,'G-3 Multipliers'!$A$2:$E$130,4,FALSE))</f>
        <v/>
      </c>
      <c r="AK163" s="175" t="str">
        <f t="shared" si="32"/>
        <v/>
      </c>
      <c r="AL163" s="175" t="str">
        <f t="shared" si="33"/>
        <v/>
      </c>
      <c r="AM163" s="176" t="str">
        <f>IFERROR(IF(F163="","",IF(AH163="Check Data","Check Data",VLOOKUP(AL163, 'G-3 Multipliers'!$P$2:$Q$6,2,FALSE))),””)</f>
        <v/>
      </c>
      <c r="AN163" s="266"/>
      <c r="AO163" s="269" t="str">
        <f>IF(AN163="","",IF(VLOOKUP(AN163,'G-3 Multipliers'!$S$3:$T$9,2,FALSE)=0,"Spatial Data Missing",VLOOKUP(AN163,'G-3 Multipliers'!$S$3:$T$9,2,FALSE)))</f>
        <v/>
      </c>
      <c r="AP163" s="207" t="str">
        <f t="shared" si="34"/>
        <v/>
      </c>
      <c r="AQ163" s="336"/>
      <c r="AR163" s="181"/>
    </row>
    <row r="164" spans="1:44" x14ac:dyDescent="0.25">
      <c r="A164" s="35" t="str">
        <f>IF(E164="","",IF(ISNA(VLOOKUP($E164,'D-1 Off Site Habitat Baseline'!$D$1:$O$258,2,FALSE)),"",(VLOOKUP($E164,'D-1 Off Site Habitat Baseline'!$D$1:$O$258,2,FALSE))))</f>
        <v/>
      </c>
      <c r="B164" s="35" t="str">
        <f>IF(E164="","",IF(ISNA(VLOOKUP($E164,'D-1 Off Site Habitat Baseline'!$D$1:$O$258,3,FALSE)),"",(VLOOKUP($E164,'D-1 Off Site Habitat Baseline'!$D$1:$O$258,3,FALSE))))</f>
        <v/>
      </c>
      <c r="C164" s="35" t="str">
        <f>IFERROR(INDEX('G-8 Condition Look up'!$I$4:$I$131,MATCH(S164,'G-8 Condition Look up'!$A$4:$A$131,0)),"")</f>
        <v/>
      </c>
      <c r="E164" s="329" t="str">
        <f>'D-1 Off Site Habitat Baseline'!AL163</f>
        <v/>
      </c>
      <c r="F164" s="175" t="str">
        <f>IF(E164="","",IF(ISNA(VLOOKUP($E164,'D-1 Off Site Habitat Baseline'!$D$1:$O$258,4,FALSE)),"",(VLOOKUP($E164,'D-1 Off Site Habitat Baseline'!$D$1:$O$258,4,FALSE))))</f>
        <v/>
      </c>
      <c r="G164" s="175" t="str">
        <f>IF(E164="","",IF(ISNA(VLOOKUP($E164,'D-1 Off Site Habitat Baseline'!$D$1:$O$258,5,FALSE)),"",(VLOOKUP($E164,'D-1 Off Site Habitat Baseline'!$D$1:$O$258,5,FALSE))))</f>
        <v/>
      </c>
      <c r="H164" s="175" t="str">
        <f>IF(E164="","",IF(ISNA(VLOOKUP($E164,'D-1 Off Site Habitat Baseline'!$D$1:$O$258,6,FALSE)),"",(VLOOKUP($E164,'D-1 Off Site Habitat Baseline'!$D$1:$O$258,6,FALSE))))</f>
        <v/>
      </c>
      <c r="I164" s="175" t="str">
        <f>IF(E164="","",IF(ISNA(VLOOKUP($E164,'D-1 Off Site Habitat Baseline'!$D$1:$O$258,7,FALSE)),"",(VLOOKUP($E164,'D-1 Off Site Habitat Baseline'!$D$1:$O$258,7,FALSE))))</f>
        <v/>
      </c>
      <c r="J164" s="175" t="str">
        <f>IF(E164="","",IF(ISNA(VLOOKUP($E164,'D-1 Off Site Habitat Baseline'!$D$1:$O$258,8,FALSE)),"",(VLOOKUP($E164,'D-1 Off Site Habitat Baseline'!$D$1:$O$258,8,FALSE))))</f>
        <v/>
      </c>
      <c r="K164" s="175" t="str">
        <f>IF(E164="","",IF(ISNA(VLOOKUP($E164,'D-1 Off Site Habitat Baseline'!$D$1:$O$258,9,FALSE)),"",(VLOOKUP($E164,'D-1 Off Site Habitat Baseline'!$D$1:$O$258,9,FALSE))))</f>
        <v/>
      </c>
      <c r="L164" s="175" t="str">
        <f>IF(E164="","",IF(ISNA(VLOOKUP($E164,'D-1 Off Site Habitat Baseline'!$D$1:$O$258,11,FALSE)),"",(VLOOKUP($E164,'D-1 Off Site Habitat Baseline'!$D$1:$O$258,11,FALSE))))</f>
        <v/>
      </c>
      <c r="M164" s="175" t="str">
        <f>IF(E164="","",IF(ISNA(VLOOKUP($E164,'D-1 Off Site Habitat Baseline'!$D$1:$O$258,12,FALSE)),"",(VLOOKUP($E164,'D-1 Off Site Habitat Baseline'!$D$1:$O$258,12,FALSE))))</f>
        <v/>
      </c>
      <c r="N164" s="175" t="str">
        <f>IF(E164="","",IF(ISNA(VLOOKUP($E164,'D-1 Off Site Habitat Baseline'!$D$1:$X$258,14,FALSE)),"",(VLOOKUP($E164,'D-1 Off Site Habitat Baseline'!$D$1:$X$258,14,FALSE))))</f>
        <v/>
      </c>
      <c r="O164" s="176" t="str">
        <f>IF(E164="","",IF(ISNA(VLOOKUP($E164,'D-1 Off Site Habitat Baseline'!$D$1:$X$258,13,FALSE)),"",(VLOOKUP($E164,'D-1 Off Site Habitat Baseline'!$D$1:$X$258,13,FALSE))))</f>
        <v/>
      </c>
      <c r="P164" s="337" t="str">
        <f>IFERROR(INDEX('G-1 All Habitats'!$AG$3:$AG$15,MATCH(Q164,'G-1 All Habitats'!$AF$3:$AF$15,0)),"")</f>
        <v/>
      </c>
      <c r="Q164" s="331" t="str">
        <f t="shared" si="35"/>
        <v/>
      </c>
      <c r="R164" s="332" t="str">
        <f t="shared" si="36"/>
        <v/>
      </c>
      <c r="S164" s="338" t="str">
        <f>IFERROR(INDEX('G-1 All Habitats'!$B$3:$B$130,MATCH(R164,'G-1 All Habitats'!$A$3:$A$130,0)),"")</f>
        <v/>
      </c>
      <c r="T164" s="179" t="str">
        <f t="shared" si="28"/>
        <v/>
      </c>
      <c r="U164" s="172" t="str">
        <f t="shared" si="29"/>
        <v/>
      </c>
      <c r="V164" s="334" t="str">
        <f t="shared" si="26"/>
        <v/>
      </c>
      <c r="W164" s="175" t="str">
        <f>IF(S164="","",VLOOKUP(S164,'G-1 All Habitats'!$B$2:$M$130,10,FALSE))</f>
        <v/>
      </c>
      <c r="X164" s="175" t="str">
        <f>IFERROR(VLOOKUP(W164,'G-1 All Habitats'!$V$3:$W$7,2,FALSE),"")</f>
        <v/>
      </c>
      <c r="Y164" s="275"/>
      <c r="Z164" s="176" t="str">
        <f>IFERROR(INDEX('G-8 Condition Look up'!$A$3:$H$131,MATCH(S164,'G-8 Condition Look up'!$A$3:$A$131,0),MATCH(Y164,'G-8 Condition Look up'!$A$3:$H$3,0)),"")</f>
        <v/>
      </c>
      <c r="AA164" s="173"/>
      <c r="AB164" s="269" t="str">
        <f>IF(AA164="","",IF(VLOOKUP(AA164,'G-3 Multipliers'!$L$3:$N$6,2,FALSE)=0,"Spatial Data Missing",VLOOKUP(AA164,'G-3 Multipliers'!$L$3:$N$6,2,FALSE)))</f>
        <v/>
      </c>
      <c r="AC164" s="176" t="str">
        <f>IF(AA164="","",IF(VLOOKUP(AA164,'G-3 Multipliers'!$L$3:$N$6,3,FALSE)=0,"Spatial Data Missing",VLOOKUP(AA164,'G-3 Multipliers'!$L$3:$N$6,3,FALSE)))</f>
        <v/>
      </c>
      <c r="AD164" s="239" t="str">
        <f t="shared" si="27"/>
        <v/>
      </c>
      <c r="AE164" s="275"/>
      <c r="AF164" s="275"/>
      <c r="AG164" s="175" t="str">
        <f t="shared" si="30"/>
        <v/>
      </c>
      <c r="AH164" s="242" t="str">
        <f t="shared" si="31"/>
        <v/>
      </c>
      <c r="AI164" s="335" t="str">
        <f>IF(AH164="Check Data","Check Data",IFERROR(VLOOKUP(AH164,'G-4 Temporal multipliers'!$A$4:$C$36,3,FALSE),""))</f>
        <v/>
      </c>
      <c r="AJ164" s="239" t="str">
        <f>IF(S164="","",VLOOKUP(S164,'G-3 Multipliers'!$A$2:$E$130,4,FALSE))</f>
        <v/>
      </c>
      <c r="AK164" s="175" t="str">
        <f t="shared" si="32"/>
        <v/>
      </c>
      <c r="AL164" s="175" t="str">
        <f t="shared" si="33"/>
        <v/>
      </c>
      <c r="AM164" s="176" t="str">
        <f>IFERROR(IF(F164="","",IF(AH164="Check Data","Check Data",VLOOKUP(AL164, 'G-3 Multipliers'!$P$2:$Q$6,2,FALSE))),””)</f>
        <v/>
      </c>
      <c r="AN164" s="266"/>
      <c r="AO164" s="269" t="str">
        <f>IF(AN164="","",IF(VLOOKUP(AN164,'G-3 Multipliers'!$S$3:$T$9,2,FALSE)=0,"Spatial Data Missing",VLOOKUP(AN164,'G-3 Multipliers'!$S$3:$T$9,2,FALSE)))</f>
        <v/>
      </c>
      <c r="AP164" s="207" t="str">
        <f t="shared" si="34"/>
        <v/>
      </c>
      <c r="AQ164" s="336"/>
      <c r="AR164" s="181"/>
    </row>
    <row r="165" spans="1:44" x14ac:dyDescent="0.25">
      <c r="A165" s="35" t="str">
        <f>IF(E165="","",IF(ISNA(VLOOKUP($E165,'D-1 Off Site Habitat Baseline'!$D$1:$O$258,2,FALSE)),"",(VLOOKUP($E165,'D-1 Off Site Habitat Baseline'!$D$1:$O$258,2,FALSE))))</f>
        <v/>
      </c>
      <c r="B165" s="35" t="str">
        <f>IF(E165="","",IF(ISNA(VLOOKUP($E165,'D-1 Off Site Habitat Baseline'!$D$1:$O$258,3,FALSE)),"",(VLOOKUP($E165,'D-1 Off Site Habitat Baseline'!$D$1:$O$258,3,FALSE))))</f>
        <v/>
      </c>
      <c r="C165" s="35" t="str">
        <f>IFERROR(INDEX('G-8 Condition Look up'!$I$4:$I$131,MATCH(S165,'G-8 Condition Look up'!$A$4:$A$131,0)),"")</f>
        <v/>
      </c>
      <c r="E165" s="329" t="str">
        <f>'D-1 Off Site Habitat Baseline'!AL164</f>
        <v/>
      </c>
      <c r="F165" s="175" t="str">
        <f>IF(E165="","",IF(ISNA(VLOOKUP($E165,'D-1 Off Site Habitat Baseline'!$D$1:$O$258,4,FALSE)),"",(VLOOKUP($E165,'D-1 Off Site Habitat Baseline'!$D$1:$O$258,4,FALSE))))</f>
        <v/>
      </c>
      <c r="G165" s="175" t="str">
        <f>IF(E165="","",IF(ISNA(VLOOKUP($E165,'D-1 Off Site Habitat Baseline'!$D$1:$O$258,5,FALSE)),"",(VLOOKUP($E165,'D-1 Off Site Habitat Baseline'!$D$1:$O$258,5,FALSE))))</f>
        <v/>
      </c>
      <c r="H165" s="175" t="str">
        <f>IF(E165="","",IF(ISNA(VLOOKUP($E165,'D-1 Off Site Habitat Baseline'!$D$1:$O$258,6,FALSE)),"",(VLOOKUP($E165,'D-1 Off Site Habitat Baseline'!$D$1:$O$258,6,FALSE))))</f>
        <v/>
      </c>
      <c r="I165" s="175" t="str">
        <f>IF(E165="","",IF(ISNA(VLOOKUP($E165,'D-1 Off Site Habitat Baseline'!$D$1:$O$258,7,FALSE)),"",(VLOOKUP($E165,'D-1 Off Site Habitat Baseline'!$D$1:$O$258,7,FALSE))))</f>
        <v/>
      </c>
      <c r="J165" s="175" t="str">
        <f>IF(E165="","",IF(ISNA(VLOOKUP($E165,'D-1 Off Site Habitat Baseline'!$D$1:$O$258,8,FALSE)),"",(VLOOKUP($E165,'D-1 Off Site Habitat Baseline'!$D$1:$O$258,8,FALSE))))</f>
        <v/>
      </c>
      <c r="K165" s="175" t="str">
        <f>IF(E165="","",IF(ISNA(VLOOKUP($E165,'D-1 Off Site Habitat Baseline'!$D$1:$O$258,9,FALSE)),"",(VLOOKUP($E165,'D-1 Off Site Habitat Baseline'!$D$1:$O$258,9,FALSE))))</f>
        <v/>
      </c>
      <c r="L165" s="175" t="str">
        <f>IF(E165="","",IF(ISNA(VLOOKUP($E165,'D-1 Off Site Habitat Baseline'!$D$1:$O$258,11,FALSE)),"",(VLOOKUP($E165,'D-1 Off Site Habitat Baseline'!$D$1:$O$258,11,FALSE))))</f>
        <v/>
      </c>
      <c r="M165" s="175" t="str">
        <f>IF(E165="","",IF(ISNA(VLOOKUP($E165,'D-1 Off Site Habitat Baseline'!$D$1:$O$258,12,FALSE)),"",(VLOOKUP($E165,'D-1 Off Site Habitat Baseline'!$D$1:$O$258,12,FALSE))))</f>
        <v/>
      </c>
      <c r="N165" s="175" t="str">
        <f>IF(E165="","",IF(ISNA(VLOOKUP($E165,'D-1 Off Site Habitat Baseline'!$D$1:$X$258,14,FALSE)),"",(VLOOKUP($E165,'D-1 Off Site Habitat Baseline'!$D$1:$X$258,14,FALSE))))</f>
        <v/>
      </c>
      <c r="O165" s="176" t="str">
        <f>IF(E165="","",IF(ISNA(VLOOKUP($E165,'D-1 Off Site Habitat Baseline'!$D$1:$X$258,13,FALSE)),"",(VLOOKUP($E165,'D-1 Off Site Habitat Baseline'!$D$1:$X$258,13,FALSE))))</f>
        <v/>
      </c>
      <c r="P165" s="337" t="str">
        <f>IFERROR(INDEX('G-1 All Habitats'!$AG$3:$AG$15,MATCH(Q165,'G-1 All Habitats'!$AF$3:$AF$15,0)),"")</f>
        <v/>
      </c>
      <c r="Q165" s="331" t="str">
        <f t="shared" si="35"/>
        <v/>
      </c>
      <c r="R165" s="332" t="str">
        <f t="shared" si="36"/>
        <v/>
      </c>
      <c r="S165" s="338" t="str">
        <f>IFERROR(INDEX('G-1 All Habitats'!$B$3:$B$130,MATCH(R165,'G-1 All Habitats'!$A$3:$A$130,0)),"")</f>
        <v/>
      </c>
      <c r="T165" s="179" t="str">
        <f t="shared" si="28"/>
        <v/>
      </c>
      <c r="U165" s="172" t="str">
        <f t="shared" si="29"/>
        <v/>
      </c>
      <c r="V165" s="334" t="str">
        <f t="shared" si="26"/>
        <v/>
      </c>
      <c r="W165" s="175" t="str">
        <f>IF(S165="","",VLOOKUP(S165,'G-1 All Habitats'!$B$2:$M$130,10,FALSE))</f>
        <v/>
      </c>
      <c r="X165" s="175" t="str">
        <f>IFERROR(VLOOKUP(W165,'G-1 All Habitats'!$V$3:$W$7,2,FALSE),"")</f>
        <v/>
      </c>
      <c r="Y165" s="275"/>
      <c r="Z165" s="176" t="str">
        <f>IFERROR(INDEX('G-8 Condition Look up'!$A$3:$H$131,MATCH(S165,'G-8 Condition Look up'!$A$3:$A$131,0),MATCH(Y165,'G-8 Condition Look up'!$A$3:$H$3,0)),"")</f>
        <v/>
      </c>
      <c r="AA165" s="173"/>
      <c r="AB165" s="269" t="str">
        <f>IF(AA165="","",IF(VLOOKUP(AA165,'G-3 Multipliers'!$L$3:$N$6,2,FALSE)=0,"Spatial Data Missing",VLOOKUP(AA165,'G-3 Multipliers'!$L$3:$N$6,2,FALSE)))</f>
        <v/>
      </c>
      <c r="AC165" s="176" t="str">
        <f>IF(AA165="","",IF(VLOOKUP(AA165,'G-3 Multipliers'!$L$3:$N$6,3,FALSE)=0,"Spatial Data Missing",VLOOKUP(AA165,'G-3 Multipliers'!$L$3:$N$6,3,FALSE)))</f>
        <v/>
      </c>
      <c r="AD165" s="239" t="str">
        <f t="shared" si="27"/>
        <v/>
      </c>
      <c r="AE165" s="275"/>
      <c r="AF165" s="275"/>
      <c r="AG165" s="175" t="str">
        <f t="shared" si="30"/>
        <v/>
      </c>
      <c r="AH165" s="242" t="str">
        <f t="shared" si="31"/>
        <v/>
      </c>
      <c r="AI165" s="335" t="str">
        <f>IF(AH165="Check Data","Check Data",IFERROR(VLOOKUP(AH165,'G-4 Temporal multipliers'!$A$4:$C$36,3,FALSE),""))</f>
        <v/>
      </c>
      <c r="AJ165" s="239" t="str">
        <f>IF(S165="","",VLOOKUP(S165,'G-3 Multipliers'!$A$2:$E$130,4,FALSE))</f>
        <v/>
      </c>
      <c r="AK165" s="175" t="str">
        <f t="shared" si="32"/>
        <v/>
      </c>
      <c r="AL165" s="175" t="str">
        <f t="shared" si="33"/>
        <v/>
      </c>
      <c r="AM165" s="176" t="str">
        <f>IFERROR(IF(F165="","",IF(AH165="Check Data","Check Data",VLOOKUP(AL165, 'G-3 Multipliers'!$P$2:$Q$6,2,FALSE))),””)</f>
        <v/>
      </c>
      <c r="AN165" s="266"/>
      <c r="AO165" s="269" t="str">
        <f>IF(AN165="","",IF(VLOOKUP(AN165,'G-3 Multipliers'!$S$3:$T$9,2,FALSE)=0,"Spatial Data Missing",VLOOKUP(AN165,'G-3 Multipliers'!$S$3:$T$9,2,FALSE)))</f>
        <v/>
      </c>
      <c r="AP165" s="207" t="str">
        <f t="shared" si="34"/>
        <v/>
      </c>
      <c r="AQ165" s="336"/>
      <c r="AR165" s="181"/>
    </row>
    <row r="166" spans="1:44" x14ac:dyDescent="0.25">
      <c r="A166" s="35" t="str">
        <f>IF(E166="","",IF(ISNA(VLOOKUP($E166,'D-1 Off Site Habitat Baseline'!$D$1:$O$258,2,FALSE)),"",(VLOOKUP($E166,'D-1 Off Site Habitat Baseline'!$D$1:$O$258,2,FALSE))))</f>
        <v/>
      </c>
      <c r="B166" s="35" t="str">
        <f>IF(E166="","",IF(ISNA(VLOOKUP($E166,'D-1 Off Site Habitat Baseline'!$D$1:$O$258,3,FALSE)),"",(VLOOKUP($E166,'D-1 Off Site Habitat Baseline'!$D$1:$O$258,3,FALSE))))</f>
        <v/>
      </c>
      <c r="C166" s="35" t="str">
        <f>IFERROR(INDEX('G-8 Condition Look up'!$I$4:$I$131,MATCH(S166,'G-8 Condition Look up'!$A$4:$A$131,0)),"")</f>
        <v/>
      </c>
      <c r="E166" s="329" t="str">
        <f>'D-1 Off Site Habitat Baseline'!AL165</f>
        <v/>
      </c>
      <c r="F166" s="175" t="str">
        <f>IF(E166="","",IF(ISNA(VLOOKUP($E166,'D-1 Off Site Habitat Baseline'!$D$1:$O$258,4,FALSE)),"",(VLOOKUP($E166,'D-1 Off Site Habitat Baseline'!$D$1:$O$258,4,FALSE))))</f>
        <v/>
      </c>
      <c r="G166" s="175" t="str">
        <f>IF(E166="","",IF(ISNA(VLOOKUP($E166,'D-1 Off Site Habitat Baseline'!$D$1:$O$258,5,FALSE)),"",(VLOOKUP($E166,'D-1 Off Site Habitat Baseline'!$D$1:$O$258,5,FALSE))))</f>
        <v/>
      </c>
      <c r="H166" s="175" t="str">
        <f>IF(E166="","",IF(ISNA(VLOOKUP($E166,'D-1 Off Site Habitat Baseline'!$D$1:$O$258,6,FALSE)),"",(VLOOKUP($E166,'D-1 Off Site Habitat Baseline'!$D$1:$O$258,6,FALSE))))</f>
        <v/>
      </c>
      <c r="I166" s="175" t="str">
        <f>IF(E166="","",IF(ISNA(VLOOKUP($E166,'D-1 Off Site Habitat Baseline'!$D$1:$O$258,7,FALSE)),"",(VLOOKUP($E166,'D-1 Off Site Habitat Baseline'!$D$1:$O$258,7,FALSE))))</f>
        <v/>
      </c>
      <c r="J166" s="175" t="str">
        <f>IF(E166="","",IF(ISNA(VLOOKUP($E166,'D-1 Off Site Habitat Baseline'!$D$1:$O$258,8,FALSE)),"",(VLOOKUP($E166,'D-1 Off Site Habitat Baseline'!$D$1:$O$258,8,FALSE))))</f>
        <v/>
      </c>
      <c r="K166" s="175" t="str">
        <f>IF(E166="","",IF(ISNA(VLOOKUP($E166,'D-1 Off Site Habitat Baseline'!$D$1:$O$258,9,FALSE)),"",(VLOOKUP($E166,'D-1 Off Site Habitat Baseline'!$D$1:$O$258,9,FALSE))))</f>
        <v/>
      </c>
      <c r="L166" s="175" t="str">
        <f>IF(E166="","",IF(ISNA(VLOOKUP($E166,'D-1 Off Site Habitat Baseline'!$D$1:$O$258,11,FALSE)),"",(VLOOKUP($E166,'D-1 Off Site Habitat Baseline'!$D$1:$O$258,11,FALSE))))</f>
        <v/>
      </c>
      <c r="M166" s="175" t="str">
        <f>IF(E166="","",IF(ISNA(VLOOKUP($E166,'D-1 Off Site Habitat Baseline'!$D$1:$O$258,12,FALSE)),"",(VLOOKUP($E166,'D-1 Off Site Habitat Baseline'!$D$1:$O$258,12,FALSE))))</f>
        <v/>
      </c>
      <c r="N166" s="175" t="str">
        <f>IF(E166="","",IF(ISNA(VLOOKUP($E166,'D-1 Off Site Habitat Baseline'!$D$1:$X$258,14,FALSE)),"",(VLOOKUP($E166,'D-1 Off Site Habitat Baseline'!$D$1:$X$258,14,FALSE))))</f>
        <v/>
      </c>
      <c r="O166" s="176" t="str">
        <f>IF(E166="","",IF(ISNA(VLOOKUP($E166,'D-1 Off Site Habitat Baseline'!$D$1:$X$258,13,FALSE)),"",(VLOOKUP($E166,'D-1 Off Site Habitat Baseline'!$D$1:$X$258,13,FALSE))))</f>
        <v/>
      </c>
      <c r="P166" s="337" t="str">
        <f>IFERROR(INDEX('G-1 All Habitats'!$AG$3:$AG$15,MATCH(Q166,'G-1 All Habitats'!$AF$3:$AF$15,0)),"")</f>
        <v/>
      </c>
      <c r="Q166" s="331" t="str">
        <f t="shared" si="35"/>
        <v/>
      </c>
      <c r="R166" s="332" t="str">
        <f t="shared" si="36"/>
        <v/>
      </c>
      <c r="S166" s="338" t="str">
        <f>IFERROR(INDEX('G-1 All Habitats'!$B$3:$B$130,MATCH(R166,'G-1 All Habitats'!$A$3:$A$130,0)),"")</f>
        <v/>
      </c>
      <c r="T166" s="179" t="str">
        <f t="shared" si="28"/>
        <v/>
      </c>
      <c r="U166" s="172" t="str">
        <f t="shared" si="29"/>
        <v/>
      </c>
      <c r="V166" s="334" t="str">
        <f t="shared" si="26"/>
        <v/>
      </c>
      <c r="W166" s="175" t="str">
        <f>IF(S166="","",VLOOKUP(S166,'G-1 All Habitats'!$B$2:$M$130,10,FALSE))</f>
        <v/>
      </c>
      <c r="X166" s="175" t="str">
        <f>IFERROR(VLOOKUP(W166,'G-1 All Habitats'!$V$3:$W$7,2,FALSE),"")</f>
        <v/>
      </c>
      <c r="Y166" s="275"/>
      <c r="Z166" s="176" t="str">
        <f>IFERROR(INDEX('G-8 Condition Look up'!$A$3:$H$131,MATCH(S166,'G-8 Condition Look up'!$A$3:$A$131,0),MATCH(Y166,'G-8 Condition Look up'!$A$3:$H$3,0)),"")</f>
        <v/>
      </c>
      <c r="AA166" s="173"/>
      <c r="AB166" s="269" t="str">
        <f>IF(AA166="","",IF(VLOOKUP(AA166,'G-3 Multipliers'!$L$3:$N$6,2,FALSE)=0,"Spatial Data Missing",VLOOKUP(AA166,'G-3 Multipliers'!$L$3:$N$6,2,FALSE)))</f>
        <v/>
      </c>
      <c r="AC166" s="176" t="str">
        <f>IF(AA166="","",IF(VLOOKUP(AA166,'G-3 Multipliers'!$L$3:$N$6,3,FALSE)=0,"Spatial Data Missing",VLOOKUP(AA166,'G-3 Multipliers'!$L$3:$N$6,3,FALSE)))</f>
        <v/>
      </c>
      <c r="AD166" s="239" t="str">
        <f t="shared" si="27"/>
        <v/>
      </c>
      <c r="AE166" s="275"/>
      <c r="AF166" s="275"/>
      <c r="AG166" s="175" t="str">
        <f t="shared" si="30"/>
        <v/>
      </c>
      <c r="AH166" s="242" t="str">
        <f t="shared" si="31"/>
        <v/>
      </c>
      <c r="AI166" s="335" t="str">
        <f>IF(AH166="Check Data","Check Data",IFERROR(VLOOKUP(AH166,'G-4 Temporal multipliers'!$A$4:$C$36,3,FALSE),""))</f>
        <v/>
      </c>
      <c r="AJ166" s="239" t="str">
        <f>IF(S166="","",VLOOKUP(S166,'G-3 Multipliers'!$A$2:$E$130,4,FALSE))</f>
        <v/>
      </c>
      <c r="AK166" s="175" t="str">
        <f t="shared" si="32"/>
        <v/>
      </c>
      <c r="AL166" s="175" t="str">
        <f t="shared" si="33"/>
        <v/>
      </c>
      <c r="AM166" s="176" t="str">
        <f>IFERROR(IF(F166="","",IF(AH166="Check Data","Check Data",VLOOKUP(AL166, 'G-3 Multipliers'!$P$2:$Q$6,2,FALSE))),””)</f>
        <v/>
      </c>
      <c r="AN166" s="266"/>
      <c r="AO166" s="269" t="str">
        <f>IF(AN166="","",IF(VLOOKUP(AN166,'G-3 Multipliers'!$S$3:$T$9,2,FALSE)=0,"Spatial Data Missing",VLOOKUP(AN166,'G-3 Multipliers'!$S$3:$T$9,2,FALSE)))</f>
        <v/>
      </c>
      <c r="AP166" s="207" t="str">
        <f t="shared" si="34"/>
        <v/>
      </c>
      <c r="AQ166" s="336"/>
      <c r="AR166" s="181"/>
    </row>
    <row r="167" spans="1:44" x14ac:dyDescent="0.25">
      <c r="A167" s="35" t="str">
        <f>IF(E167="","",IF(ISNA(VLOOKUP($E167,'D-1 Off Site Habitat Baseline'!$D$1:$O$258,2,FALSE)),"",(VLOOKUP($E167,'D-1 Off Site Habitat Baseline'!$D$1:$O$258,2,FALSE))))</f>
        <v/>
      </c>
      <c r="B167" s="35" t="str">
        <f>IF(E167="","",IF(ISNA(VLOOKUP($E167,'D-1 Off Site Habitat Baseline'!$D$1:$O$258,3,FALSE)),"",(VLOOKUP($E167,'D-1 Off Site Habitat Baseline'!$D$1:$O$258,3,FALSE))))</f>
        <v/>
      </c>
      <c r="C167" s="35" t="str">
        <f>IFERROR(INDEX('G-8 Condition Look up'!$I$4:$I$131,MATCH(S167,'G-8 Condition Look up'!$A$4:$A$131,0)),"")</f>
        <v/>
      </c>
      <c r="E167" s="329" t="str">
        <f>'D-1 Off Site Habitat Baseline'!AL166</f>
        <v/>
      </c>
      <c r="F167" s="175" t="str">
        <f>IF(E167="","",IF(ISNA(VLOOKUP($E167,'D-1 Off Site Habitat Baseline'!$D$1:$O$258,4,FALSE)),"",(VLOOKUP($E167,'D-1 Off Site Habitat Baseline'!$D$1:$O$258,4,FALSE))))</f>
        <v/>
      </c>
      <c r="G167" s="175" t="str">
        <f>IF(E167="","",IF(ISNA(VLOOKUP($E167,'D-1 Off Site Habitat Baseline'!$D$1:$O$258,5,FALSE)),"",(VLOOKUP($E167,'D-1 Off Site Habitat Baseline'!$D$1:$O$258,5,FALSE))))</f>
        <v/>
      </c>
      <c r="H167" s="175" t="str">
        <f>IF(E167="","",IF(ISNA(VLOOKUP($E167,'D-1 Off Site Habitat Baseline'!$D$1:$O$258,6,FALSE)),"",(VLOOKUP($E167,'D-1 Off Site Habitat Baseline'!$D$1:$O$258,6,FALSE))))</f>
        <v/>
      </c>
      <c r="I167" s="175" t="str">
        <f>IF(E167="","",IF(ISNA(VLOOKUP($E167,'D-1 Off Site Habitat Baseline'!$D$1:$O$258,7,FALSE)),"",(VLOOKUP($E167,'D-1 Off Site Habitat Baseline'!$D$1:$O$258,7,FALSE))))</f>
        <v/>
      </c>
      <c r="J167" s="175" t="str">
        <f>IF(E167="","",IF(ISNA(VLOOKUP($E167,'D-1 Off Site Habitat Baseline'!$D$1:$O$258,8,FALSE)),"",(VLOOKUP($E167,'D-1 Off Site Habitat Baseline'!$D$1:$O$258,8,FALSE))))</f>
        <v/>
      </c>
      <c r="K167" s="175" t="str">
        <f>IF(E167="","",IF(ISNA(VLOOKUP($E167,'D-1 Off Site Habitat Baseline'!$D$1:$O$258,9,FALSE)),"",(VLOOKUP($E167,'D-1 Off Site Habitat Baseline'!$D$1:$O$258,9,FALSE))))</f>
        <v/>
      </c>
      <c r="L167" s="175" t="str">
        <f>IF(E167="","",IF(ISNA(VLOOKUP($E167,'D-1 Off Site Habitat Baseline'!$D$1:$O$258,11,FALSE)),"",(VLOOKUP($E167,'D-1 Off Site Habitat Baseline'!$D$1:$O$258,11,FALSE))))</f>
        <v/>
      </c>
      <c r="M167" s="175" t="str">
        <f>IF(E167="","",IF(ISNA(VLOOKUP($E167,'D-1 Off Site Habitat Baseline'!$D$1:$O$258,12,FALSE)),"",(VLOOKUP($E167,'D-1 Off Site Habitat Baseline'!$D$1:$O$258,12,FALSE))))</f>
        <v/>
      </c>
      <c r="N167" s="175" t="str">
        <f>IF(E167="","",IF(ISNA(VLOOKUP($E167,'D-1 Off Site Habitat Baseline'!$D$1:$X$258,14,FALSE)),"",(VLOOKUP($E167,'D-1 Off Site Habitat Baseline'!$D$1:$X$258,14,FALSE))))</f>
        <v/>
      </c>
      <c r="O167" s="176" t="str">
        <f>IF(E167="","",IF(ISNA(VLOOKUP($E167,'D-1 Off Site Habitat Baseline'!$D$1:$X$258,13,FALSE)),"",(VLOOKUP($E167,'D-1 Off Site Habitat Baseline'!$D$1:$X$258,13,FALSE))))</f>
        <v/>
      </c>
      <c r="P167" s="337" t="str">
        <f>IFERROR(INDEX('G-1 All Habitats'!$AG$3:$AG$15,MATCH(Q167,'G-1 All Habitats'!$AF$3:$AF$15,0)),"")</f>
        <v/>
      </c>
      <c r="Q167" s="331" t="str">
        <f t="shared" si="35"/>
        <v/>
      </c>
      <c r="R167" s="332" t="str">
        <f t="shared" si="36"/>
        <v/>
      </c>
      <c r="S167" s="338" t="str">
        <f>IFERROR(INDEX('G-1 All Habitats'!$B$3:$B$130,MATCH(R167,'G-1 All Habitats'!$A$3:$A$130,0)),"")</f>
        <v/>
      </c>
      <c r="T167" s="179" t="str">
        <f t="shared" si="28"/>
        <v/>
      </c>
      <c r="U167" s="172" t="str">
        <f t="shared" si="29"/>
        <v/>
      </c>
      <c r="V167" s="334" t="str">
        <f t="shared" si="26"/>
        <v/>
      </c>
      <c r="W167" s="175" t="str">
        <f>IF(S167="","",VLOOKUP(S167,'G-1 All Habitats'!$B$2:$M$130,10,FALSE))</f>
        <v/>
      </c>
      <c r="X167" s="175" t="str">
        <f>IFERROR(VLOOKUP(W167,'G-1 All Habitats'!$V$3:$W$7,2,FALSE),"")</f>
        <v/>
      </c>
      <c r="Y167" s="275"/>
      <c r="Z167" s="176" t="str">
        <f>IFERROR(INDEX('G-8 Condition Look up'!$A$3:$H$131,MATCH(S167,'G-8 Condition Look up'!$A$3:$A$131,0),MATCH(Y167,'G-8 Condition Look up'!$A$3:$H$3,0)),"")</f>
        <v/>
      </c>
      <c r="AA167" s="173"/>
      <c r="AB167" s="269" t="str">
        <f>IF(AA167="","",IF(VLOOKUP(AA167,'G-3 Multipliers'!$L$3:$N$6,2,FALSE)=0,"Spatial Data Missing",VLOOKUP(AA167,'G-3 Multipliers'!$L$3:$N$6,2,FALSE)))</f>
        <v/>
      </c>
      <c r="AC167" s="176" t="str">
        <f>IF(AA167="","",IF(VLOOKUP(AA167,'G-3 Multipliers'!$L$3:$N$6,3,FALSE)=0,"Spatial Data Missing",VLOOKUP(AA167,'G-3 Multipliers'!$L$3:$N$6,3,FALSE)))</f>
        <v/>
      </c>
      <c r="AD167" s="239" t="str">
        <f t="shared" si="27"/>
        <v/>
      </c>
      <c r="AE167" s="275"/>
      <c r="AF167" s="275"/>
      <c r="AG167" s="175" t="str">
        <f t="shared" si="30"/>
        <v/>
      </c>
      <c r="AH167" s="242" t="str">
        <f t="shared" si="31"/>
        <v/>
      </c>
      <c r="AI167" s="335" t="str">
        <f>IF(AH167="Check Data","Check Data",IFERROR(VLOOKUP(AH167,'G-4 Temporal multipliers'!$A$4:$C$36,3,FALSE),""))</f>
        <v/>
      </c>
      <c r="AJ167" s="239" t="str">
        <f>IF(S167="","",VLOOKUP(S167,'G-3 Multipliers'!$A$2:$E$130,4,FALSE))</f>
        <v/>
      </c>
      <c r="AK167" s="175" t="str">
        <f t="shared" si="32"/>
        <v/>
      </c>
      <c r="AL167" s="175" t="str">
        <f t="shared" si="33"/>
        <v/>
      </c>
      <c r="AM167" s="176" t="str">
        <f>IFERROR(IF(F167="","",IF(AH167="Check Data","Check Data",VLOOKUP(AL167, 'G-3 Multipliers'!$P$2:$Q$6,2,FALSE))),””)</f>
        <v/>
      </c>
      <c r="AN167" s="266"/>
      <c r="AO167" s="269" t="str">
        <f>IF(AN167="","",IF(VLOOKUP(AN167,'G-3 Multipliers'!$S$3:$T$9,2,FALSE)=0,"Spatial Data Missing",VLOOKUP(AN167,'G-3 Multipliers'!$S$3:$T$9,2,FALSE)))</f>
        <v/>
      </c>
      <c r="AP167" s="207" t="str">
        <f t="shared" si="34"/>
        <v/>
      </c>
      <c r="AQ167" s="336"/>
      <c r="AR167" s="181"/>
    </row>
    <row r="168" spans="1:44" x14ac:dyDescent="0.25">
      <c r="A168" s="35" t="str">
        <f>IF(E168="","",IF(ISNA(VLOOKUP($E168,'D-1 Off Site Habitat Baseline'!$D$1:$O$258,2,FALSE)),"",(VLOOKUP($E168,'D-1 Off Site Habitat Baseline'!$D$1:$O$258,2,FALSE))))</f>
        <v/>
      </c>
      <c r="B168" s="35" t="str">
        <f>IF(E168="","",IF(ISNA(VLOOKUP($E168,'D-1 Off Site Habitat Baseline'!$D$1:$O$258,3,FALSE)),"",(VLOOKUP($E168,'D-1 Off Site Habitat Baseline'!$D$1:$O$258,3,FALSE))))</f>
        <v/>
      </c>
      <c r="C168" s="35" t="str">
        <f>IFERROR(INDEX('G-8 Condition Look up'!$I$4:$I$131,MATCH(S168,'G-8 Condition Look up'!$A$4:$A$131,0)),"")</f>
        <v/>
      </c>
      <c r="E168" s="329" t="str">
        <f>'D-1 Off Site Habitat Baseline'!AL167</f>
        <v/>
      </c>
      <c r="F168" s="175" t="str">
        <f>IF(E168="","",IF(ISNA(VLOOKUP($E168,'D-1 Off Site Habitat Baseline'!$D$1:$O$258,4,FALSE)),"",(VLOOKUP($E168,'D-1 Off Site Habitat Baseline'!$D$1:$O$258,4,FALSE))))</f>
        <v/>
      </c>
      <c r="G168" s="175" t="str">
        <f>IF(E168="","",IF(ISNA(VLOOKUP($E168,'D-1 Off Site Habitat Baseline'!$D$1:$O$258,5,FALSE)),"",(VLOOKUP($E168,'D-1 Off Site Habitat Baseline'!$D$1:$O$258,5,FALSE))))</f>
        <v/>
      </c>
      <c r="H168" s="175" t="str">
        <f>IF(E168="","",IF(ISNA(VLOOKUP($E168,'D-1 Off Site Habitat Baseline'!$D$1:$O$258,6,FALSE)),"",(VLOOKUP($E168,'D-1 Off Site Habitat Baseline'!$D$1:$O$258,6,FALSE))))</f>
        <v/>
      </c>
      <c r="I168" s="175" t="str">
        <f>IF(E168="","",IF(ISNA(VLOOKUP($E168,'D-1 Off Site Habitat Baseline'!$D$1:$O$258,7,FALSE)),"",(VLOOKUP($E168,'D-1 Off Site Habitat Baseline'!$D$1:$O$258,7,FALSE))))</f>
        <v/>
      </c>
      <c r="J168" s="175" t="str">
        <f>IF(E168="","",IF(ISNA(VLOOKUP($E168,'D-1 Off Site Habitat Baseline'!$D$1:$O$258,8,FALSE)),"",(VLOOKUP($E168,'D-1 Off Site Habitat Baseline'!$D$1:$O$258,8,FALSE))))</f>
        <v/>
      </c>
      <c r="K168" s="175" t="str">
        <f>IF(E168="","",IF(ISNA(VLOOKUP($E168,'D-1 Off Site Habitat Baseline'!$D$1:$O$258,9,FALSE)),"",(VLOOKUP($E168,'D-1 Off Site Habitat Baseline'!$D$1:$O$258,9,FALSE))))</f>
        <v/>
      </c>
      <c r="L168" s="175" t="str">
        <f>IF(E168="","",IF(ISNA(VLOOKUP($E168,'D-1 Off Site Habitat Baseline'!$D$1:$O$258,11,FALSE)),"",(VLOOKUP($E168,'D-1 Off Site Habitat Baseline'!$D$1:$O$258,11,FALSE))))</f>
        <v/>
      </c>
      <c r="M168" s="175" t="str">
        <f>IF(E168="","",IF(ISNA(VLOOKUP($E168,'D-1 Off Site Habitat Baseline'!$D$1:$O$258,12,FALSE)),"",(VLOOKUP($E168,'D-1 Off Site Habitat Baseline'!$D$1:$O$258,12,FALSE))))</f>
        <v/>
      </c>
      <c r="N168" s="175" t="str">
        <f>IF(E168="","",IF(ISNA(VLOOKUP($E168,'D-1 Off Site Habitat Baseline'!$D$1:$X$258,14,FALSE)),"",(VLOOKUP($E168,'D-1 Off Site Habitat Baseline'!$D$1:$X$258,14,FALSE))))</f>
        <v/>
      </c>
      <c r="O168" s="176" t="str">
        <f>IF(E168="","",IF(ISNA(VLOOKUP($E168,'D-1 Off Site Habitat Baseline'!$D$1:$X$258,13,FALSE)),"",(VLOOKUP($E168,'D-1 Off Site Habitat Baseline'!$D$1:$X$258,13,FALSE))))</f>
        <v/>
      </c>
      <c r="P168" s="337" t="str">
        <f>IFERROR(INDEX('G-1 All Habitats'!$AG$3:$AG$15,MATCH(Q168,'G-1 All Habitats'!$AF$3:$AF$15,0)),"")</f>
        <v/>
      </c>
      <c r="Q168" s="331" t="str">
        <f t="shared" si="35"/>
        <v/>
      </c>
      <c r="R168" s="332" t="str">
        <f t="shared" si="36"/>
        <v/>
      </c>
      <c r="S168" s="338" t="str">
        <f>IFERROR(INDEX('G-1 All Habitats'!$B$3:$B$130,MATCH(R168,'G-1 All Habitats'!$A$3:$A$130,0)),"")</f>
        <v/>
      </c>
      <c r="T168" s="179" t="str">
        <f t="shared" si="28"/>
        <v/>
      </c>
      <c r="U168" s="172" t="str">
        <f t="shared" si="29"/>
        <v/>
      </c>
      <c r="V168" s="334" t="str">
        <f t="shared" si="26"/>
        <v/>
      </c>
      <c r="W168" s="175" t="str">
        <f>IF(S168="","",VLOOKUP(S168,'G-1 All Habitats'!$B$2:$M$130,10,FALSE))</f>
        <v/>
      </c>
      <c r="X168" s="175" t="str">
        <f>IFERROR(VLOOKUP(W168,'G-1 All Habitats'!$V$3:$W$7,2,FALSE),"")</f>
        <v/>
      </c>
      <c r="Y168" s="275"/>
      <c r="Z168" s="176" t="str">
        <f>IFERROR(INDEX('G-8 Condition Look up'!$A$3:$H$131,MATCH(S168,'G-8 Condition Look up'!$A$3:$A$131,0),MATCH(Y168,'G-8 Condition Look up'!$A$3:$H$3,0)),"")</f>
        <v/>
      </c>
      <c r="AA168" s="173"/>
      <c r="AB168" s="269" t="str">
        <f>IF(AA168="","",IF(VLOOKUP(AA168,'G-3 Multipliers'!$L$3:$N$6,2,FALSE)=0,"Spatial Data Missing",VLOOKUP(AA168,'G-3 Multipliers'!$L$3:$N$6,2,FALSE)))</f>
        <v/>
      </c>
      <c r="AC168" s="176" t="str">
        <f>IF(AA168="","",IF(VLOOKUP(AA168,'G-3 Multipliers'!$L$3:$N$6,3,FALSE)=0,"Spatial Data Missing",VLOOKUP(AA168,'G-3 Multipliers'!$L$3:$N$6,3,FALSE)))</f>
        <v/>
      </c>
      <c r="AD168" s="239" t="str">
        <f t="shared" si="27"/>
        <v/>
      </c>
      <c r="AE168" s="275"/>
      <c r="AF168" s="275"/>
      <c r="AG168" s="175" t="str">
        <f t="shared" si="30"/>
        <v/>
      </c>
      <c r="AH168" s="242" t="str">
        <f t="shared" si="31"/>
        <v/>
      </c>
      <c r="AI168" s="335" t="str">
        <f>IF(AH168="Check Data","Check Data",IFERROR(VLOOKUP(AH168,'G-4 Temporal multipliers'!$A$4:$C$36,3,FALSE),""))</f>
        <v/>
      </c>
      <c r="AJ168" s="239" t="str">
        <f>IF(S168="","",VLOOKUP(S168,'G-3 Multipliers'!$A$2:$E$130,4,FALSE))</f>
        <v/>
      </c>
      <c r="AK168" s="175" t="str">
        <f t="shared" si="32"/>
        <v/>
      </c>
      <c r="AL168" s="175" t="str">
        <f t="shared" si="33"/>
        <v/>
      </c>
      <c r="AM168" s="176" t="str">
        <f>IFERROR(IF(F168="","",IF(AH168="Check Data","Check Data",VLOOKUP(AL168, 'G-3 Multipliers'!$P$2:$Q$6,2,FALSE))),””)</f>
        <v/>
      </c>
      <c r="AN168" s="266"/>
      <c r="AO168" s="269" t="str">
        <f>IF(AN168="","",IF(VLOOKUP(AN168,'G-3 Multipliers'!$S$3:$T$9,2,FALSE)=0,"Spatial Data Missing",VLOOKUP(AN168,'G-3 Multipliers'!$S$3:$T$9,2,FALSE)))</f>
        <v/>
      </c>
      <c r="AP168" s="207" t="str">
        <f t="shared" si="34"/>
        <v/>
      </c>
      <c r="AQ168" s="336"/>
      <c r="AR168" s="181"/>
    </row>
    <row r="169" spans="1:44" x14ac:dyDescent="0.25">
      <c r="A169" s="35" t="str">
        <f>IF(E169="","",IF(ISNA(VLOOKUP($E169,'D-1 Off Site Habitat Baseline'!$D$1:$O$258,2,FALSE)),"",(VLOOKUP($E169,'D-1 Off Site Habitat Baseline'!$D$1:$O$258,2,FALSE))))</f>
        <v/>
      </c>
      <c r="B169" s="35" t="str">
        <f>IF(E169="","",IF(ISNA(VLOOKUP($E169,'D-1 Off Site Habitat Baseline'!$D$1:$O$258,3,FALSE)),"",(VLOOKUP($E169,'D-1 Off Site Habitat Baseline'!$D$1:$O$258,3,FALSE))))</f>
        <v/>
      </c>
      <c r="C169" s="35" t="str">
        <f>IFERROR(INDEX('G-8 Condition Look up'!$I$4:$I$131,MATCH(S169,'G-8 Condition Look up'!$A$4:$A$131,0)),"")</f>
        <v/>
      </c>
      <c r="E169" s="329" t="str">
        <f>'D-1 Off Site Habitat Baseline'!AL168</f>
        <v/>
      </c>
      <c r="F169" s="175" t="str">
        <f>IF(E169="","",IF(ISNA(VLOOKUP($E169,'D-1 Off Site Habitat Baseline'!$D$1:$O$258,4,FALSE)),"",(VLOOKUP($E169,'D-1 Off Site Habitat Baseline'!$D$1:$O$258,4,FALSE))))</f>
        <v/>
      </c>
      <c r="G169" s="175" t="str">
        <f>IF(E169="","",IF(ISNA(VLOOKUP($E169,'D-1 Off Site Habitat Baseline'!$D$1:$O$258,5,FALSE)),"",(VLOOKUP($E169,'D-1 Off Site Habitat Baseline'!$D$1:$O$258,5,FALSE))))</f>
        <v/>
      </c>
      <c r="H169" s="175" t="str">
        <f>IF(E169="","",IF(ISNA(VLOOKUP($E169,'D-1 Off Site Habitat Baseline'!$D$1:$O$258,6,FALSE)),"",(VLOOKUP($E169,'D-1 Off Site Habitat Baseline'!$D$1:$O$258,6,FALSE))))</f>
        <v/>
      </c>
      <c r="I169" s="175" t="str">
        <f>IF(E169="","",IF(ISNA(VLOOKUP($E169,'D-1 Off Site Habitat Baseline'!$D$1:$O$258,7,FALSE)),"",(VLOOKUP($E169,'D-1 Off Site Habitat Baseline'!$D$1:$O$258,7,FALSE))))</f>
        <v/>
      </c>
      <c r="J169" s="175" t="str">
        <f>IF(E169="","",IF(ISNA(VLOOKUP($E169,'D-1 Off Site Habitat Baseline'!$D$1:$O$258,8,FALSE)),"",(VLOOKUP($E169,'D-1 Off Site Habitat Baseline'!$D$1:$O$258,8,FALSE))))</f>
        <v/>
      </c>
      <c r="K169" s="175" t="str">
        <f>IF(E169="","",IF(ISNA(VLOOKUP($E169,'D-1 Off Site Habitat Baseline'!$D$1:$O$258,9,FALSE)),"",(VLOOKUP($E169,'D-1 Off Site Habitat Baseline'!$D$1:$O$258,9,FALSE))))</f>
        <v/>
      </c>
      <c r="L169" s="175" t="str">
        <f>IF(E169="","",IF(ISNA(VLOOKUP($E169,'D-1 Off Site Habitat Baseline'!$D$1:$O$258,11,FALSE)),"",(VLOOKUP($E169,'D-1 Off Site Habitat Baseline'!$D$1:$O$258,11,FALSE))))</f>
        <v/>
      </c>
      <c r="M169" s="175" t="str">
        <f>IF(E169="","",IF(ISNA(VLOOKUP($E169,'D-1 Off Site Habitat Baseline'!$D$1:$O$258,12,FALSE)),"",(VLOOKUP($E169,'D-1 Off Site Habitat Baseline'!$D$1:$O$258,12,FALSE))))</f>
        <v/>
      </c>
      <c r="N169" s="175" t="str">
        <f>IF(E169="","",IF(ISNA(VLOOKUP($E169,'D-1 Off Site Habitat Baseline'!$D$1:$X$258,14,FALSE)),"",(VLOOKUP($E169,'D-1 Off Site Habitat Baseline'!$D$1:$X$258,14,FALSE))))</f>
        <v/>
      </c>
      <c r="O169" s="176" t="str">
        <f>IF(E169="","",IF(ISNA(VLOOKUP($E169,'D-1 Off Site Habitat Baseline'!$D$1:$X$258,13,FALSE)),"",(VLOOKUP($E169,'D-1 Off Site Habitat Baseline'!$D$1:$X$258,13,FALSE))))</f>
        <v/>
      </c>
      <c r="P169" s="337" t="str">
        <f>IFERROR(INDEX('G-1 All Habitats'!$AG$3:$AG$15,MATCH(Q169,'G-1 All Habitats'!$AF$3:$AF$15,0)),"")</f>
        <v/>
      </c>
      <c r="Q169" s="331" t="str">
        <f t="shared" si="35"/>
        <v/>
      </c>
      <c r="R169" s="332" t="str">
        <f t="shared" si="36"/>
        <v/>
      </c>
      <c r="S169" s="338" t="str">
        <f>IFERROR(INDEX('G-1 All Habitats'!$B$3:$B$130,MATCH(R169,'G-1 All Habitats'!$A$3:$A$130,0)),"")</f>
        <v/>
      </c>
      <c r="T169" s="179" t="str">
        <f t="shared" si="28"/>
        <v/>
      </c>
      <c r="U169" s="172" t="str">
        <f t="shared" si="29"/>
        <v/>
      </c>
      <c r="V169" s="334" t="str">
        <f t="shared" si="26"/>
        <v/>
      </c>
      <c r="W169" s="175" t="str">
        <f>IF(S169="","",VLOOKUP(S169,'G-1 All Habitats'!$B$2:$M$130,10,FALSE))</f>
        <v/>
      </c>
      <c r="X169" s="175" t="str">
        <f>IFERROR(VLOOKUP(W169,'G-1 All Habitats'!$V$3:$W$7,2,FALSE),"")</f>
        <v/>
      </c>
      <c r="Y169" s="275"/>
      <c r="Z169" s="176" t="str">
        <f>IFERROR(INDEX('G-8 Condition Look up'!$A$3:$H$131,MATCH(S169,'G-8 Condition Look up'!$A$3:$A$131,0),MATCH(Y169,'G-8 Condition Look up'!$A$3:$H$3,0)),"")</f>
        <v/>
      </c>
      <c r="AA169" s="173"/>
      <c r="AB169" s="269" t="str">
        <f>IF(AA169="","",IF(VLOOKUP(AA169,'G-3 Multipliers'!$L$3:$N$6,2,FALSE)=0,"Spatial Data Missing",VLOOKUP(AA169,'G-3 Multipliers'!$L$3:$N$6,2,FALSE)))</f>
        <v/>
      </c>
      <c r="AC169" s="176" t="str">
        <f>IF(AA169="","",IF(VLOOKUP(AA169,'G-3 Multipliers'!$L$3:$N$6,3,FALSE)=0,"Spatial Data Missing",VLOOKUP(AA169,'G-3 Multipliers'!$L$3:$N$6,3,FALSE)))</f>
        <v/>
      </c>
      <c r="AD169" s="239" t="str">
        <f t="shared" si="27"/>
        <v/>
      </c>
      <c r="AE169" s="275"/>
      <c r="AF169" s="275"/>
      <c r="AG169" s="175" t="str">
        <f t="shared" si="30"/>
        <v/>
      </c>
      <c r="AH169" s="242" t="str">
        <f t="shared" si="31"/>
        <v/>
      </c>
      <c r="AI169" s="335" t="str">
        <f>IF(AH169="Check Data","Check Data",IFERROR(VLOOKUP(AH169,'G-4 Temporal multipliers'!$A$4:$C$36,3,FALSE),""))</f>
        <v/>
      </c>
      <c r="AJ169" s="239" t="str">
        <f>IF(S169="","",VLOOKUP(S169,'G-3 Multipliers'!$A$2:$E$130,4,FALSE))</f>
        <v/>
      </c>
      <c r="AK169" s="175" t="str">
        <f t="shared" si="32"/>
        <v/>
      </c>
      <c r="AL169" s="175" t="str">
        <f t="shared" si="33"/>
        <v/>
      </c>
      <c r="AM169" s="176" t="str">
        <f>IFERROR(IF(F169="","",IF(AH169="Check Data","Check Data",VLOOKUP(AL169, 'G-3 Multipliers'!$P$2:$Q$6,2,FALSE))),””)</f>
        <v/>
      </c>
      <c r="AN169" s="266"/>
      <c r="AO169" s="269" t="str">
        <f>IF(AN169="","",IF(VLOOKUP(AN169,'G-3 Multipliers'!$S$3:$T$9,2,FALSE)=0,"Spatial Data Missing",VLOOKUP(AN169,'G-3 Multipliers'!$S$3:$T$9,2,FALSE)))</f>
        <v/>
      </c>
      <c r="AP169" s="207" t="str">
        <f t="shared" si="34"/>
        <v/>
      </c>
      <c r="AQ169" s="336"/>
      <c r="AR169" s="181"/>
    </row>
    <row r="170" spans="1:44" x14ac:dyDescent="0.25">
      <c r="A170" s="35" t="str">
        <f>IF(E170="","",IF(ISNA(VLOOKUP($E170,'D-1 Off Site Habitat Baseline'!$D$1:$O$258,2,FALSE)),"",(VLOOKUP($E170,'D-1 Off Site Habitat Baseline'!$D$1:$O$258,2,FALSE))))</f>
        <v/>
      </c>
      <c r="B170" s="35" t="str">
        <f>IF(E170="","",IF(ISNA(VLOOKUP($E170,'D-1 Off Site Habitat Baseline'!$D$1:$O$258,3,FALSE)),"",(VLOOKUP($E170,'D-1 Off Site Habitat Baseline'!$D$1:$O$258,3,FALSE))))</f>
        <v/>
      </c>
      <c r="C170" s="35" t="str">
        <f>IFERROR(INDEX('G-8 Condition Look up'!$I$4:$I$131,MATCH(S170,'G-8 Condition Look up'!$A$4:$A$131,0)),"")</f>
        <v/>
      </c>
      <c r="E170" s="329" t="str">
        <f>'D-1 Off Site Habitat Baseline'!AL169</f>
        <v/>
      </c>
      <c r="F170" s="175" t="str">
        <f>IF(E170="","",IF(ISNA(VLOOKUP($E170,'D-1 Off Site Habitat Baseline'!$D$1:$O$258,4,FALSE)),"",(VLOOKUP($E170,'D-1 Off Site Habitat Baseline'!$D$1:$O$258,4,FALSE))))</f>
        <v/>
      </c>
      <c r="G170" s="175" t="str">
        <f>IF(E170="","",IF(ISNA(VLOOKUP($E170,'D-1 Off Site Habitat Baseline'!$D$1:$O$258,5,FALSE)),"",(VLOOKUP($E170,'D-1 Off Site Habitat Baseline'!$D$1:$O$258,5,FALSE))))</f>
        <v/>
      </c>
      <c r="H170" s="175" t="str">
        <f>IF(E170="","",IF(ISNA(VLOOKUP($E170,'D-1 Off Site Habitat Baseline'!$D$1:$O$258,6,FALSE)),"",(VLOOKUP($E170,'D-1 Off Site Habitat Baseline'!$D$1:$O$258,6,FALSE))))</f>
        <v/>
      </c>
      <c r="I170" s="175" t="str">
        <f>IF(E170="","",IF(ISNA(VLOOKUP($E170,'D-1 Off Site Habitat Baseline'!$D$1:$O$258,7,FALSE)),"",(VLOOKUP($E170,'D-1 Off Site Habitat Baseline'!$D$1:$O$258,7,FALSE))))</f>
        <v/>
      </c>
      <c r="J170" s="175" t="str">
        <f>IF(E170="","",IF(ISNA(VLOOKUP($E170,'D-1 Off Site Habitat Baseline'!$D$1:$O$258,8,FALSE)),"",(VLOOKUP($E170,'D-1 Off Site Habitat Baseline'!$D$1:$O$258,8,FALSE))))</f>
        <v/>
      </c>
      <c r="K170" s="175" t="str">
        <f>IF(E170="","",IF(ISNA(VLOOKUP($E170,'D-1 Off Site Habitat Baseline'!$D$1:$O$258,9,FALSE)),"",(VLOOKUP($E170,'D-1 Off Site Habitat Baseline'!$D$1:$O$258,9,FALSE))))</f>
        <v/>
      </c>
      <c r="L170" s="175" t="str">
        <f>IF(E170="","",IF(ISNA(VLOOKUP($E170,'D-1 Off Site Habitat Baseline'!$D$1:$O$258,11,FALSE)),"",(VLOOKUP($E170,'D-1 Off Site Habitat Baseline'!$D$1:$O$258,11,FALSE))))</f>
        <v/>
      </c>
      <c r="M170" s="175" t="str">
        <f>IF(E170="","",IF(ISNA(VLOOKUP($E170,'D-1 Off Site Habitat Baseline'!$D$1:$O$258,12,FALSE)),"",(VLOOKUP($E170,'D-1 Off Site Habitat Baseline'!$D$1:$O$258,12,FALSE))))</f>
        <v/>
      </c>
      <c r="N170" s="175" t="str">
        <f>IF(E170="","",IF(ISNA(VLOOKUP($E170,'D-1 Off Site Habitat Baseline'!$D$1:$X$258,14,FALSE)),"",(VLOOKUP($E170,'D-1 Off Site Habitat Baseline'!$D$1:$X$258,14,FALSE))))</f>
        <v/>
      </c>
      <c r="O170" s="176" t="str">
        <f>IF(E170="","",IF(ISNA(VLOOKUP($E170,'D-1 Off Site Habitat Baseline'!$D$1:$X$258,13,FALSE)),"",(VLOOKUP($E170,'D-1 Off Site Habitat Baseline'!$D$1:$X$258,13,FALSE))))</f>
        <v/>
      </c>
      <c r="P170" s="337" t="str">
        <f>IFERROR(INDEX('G-1 All Habitats'!$AG$3:$AG$15,MATCH(Q170,'G-1 All Habitats'!$AF$3:$AF$15,0)),"")</f>
        <v/>
      </c>
      <c r="Q170" s="331" t="str">
        <f t="shared" si="35"/>
        <v/>
      </c>
      <c r="R170" s="332" t="str">
        <f t="shared" si="36"/>
        <v/>
      </c>
      <c r="S170" s="338" t="str">
        <f>IFERROR(INDEX('G-1 All Habitats'!$B$3:$B$130,MATCH(R170,'G-1 All Habitats'!$A$3:$A$130,0)),"")</f>
        <v/>
      </c>
      <c r="T170" s="179" t="str">
        <f t="shared" si="28"/>
        <v/>
      </c>
      <c r="U170" s="172" t="str">
        <f t="shared" si="29"/>
        <v/>
      </c>
      <c r="V170" s="334" t="str">
        <f t="shared" si="26"/>
        <v/>
      </c>
      <c r="W170" s="175" t="str">
        <f>IF(S170="","",VLOOKUP(S170,'G-1 All Habitats'!$B$2:$M$130,10,FALSE))</f>
        <v/>
      </c>
      <c r="X170" s="175" t="str">
        <f>IFERROR(VLOOKUP(W170,'G-1 All Habitats'!$V$3:$W$7,2,FALSE),"")</f>
        <v/>
      </c>
      <c r="Y170" s="275"/>
      <c r="Z170" s="176" t="str">
        <f>IFERROR(INDEX('G-8 Condition Look up'!$A$3:$H$131,MATCH(S170,'G-8 Condition Look up'!$A$3:$A$131,0),MATCH(Y170,'G-8 Condition Look up'!$A$3:$H$3,0)),"")</f>
        <v/>
      </c>
      <c r="AA170" s="173"/>
      <c r="AB170" s="269" t="str">
        <f>IF(AA170="","",IF(VLOOKUP(AA170,'G-3 Multipliers'!$L$3:$N$6,2,FALSE)=0,"Spatial Data Missing",VLOOKUP(AA170,'G-3 Multipliers'!$L$3:$N$6,2,FALSE)))</f>
        <v/>
      </c>
      <c r="AC170" s="176" t="str">
        <f>IF(AA170="","",IF(VLOOKUP(AA170,'G-3 Multipliers'!$L$3:$N$6,3,FALSE)=0,"Spatial Data Missing",VLOOKUP(AA170,'G-3 Multipliers'!$L$3:$N$6,3,FALSE)))</f>
        <v/>
      </c>
      <c r="AD170" s="239" t="str">
        <f t="shared" si="27"/>
        <v/>
      </c>
      <c r="AE170" s="275"/>
      <c r="AF170" s="275"/>
      <c r="AG170" s="175" t="str">
        <f t="shared" si="30"/>
        <v/>
      </c>
      <c r="AH170" s="242" t="str">
        <f t="shared" si="31"/>
        <v/>
      </c>
      <c r="AI170" s="335" t="str">
        <f>IF(AH170="Check Data","Check Data",IFERROR(VLOOKUP(AH170,'G-4 Temporal multipliers'!$A$4:$C$36,3,FALSE),""))</f>
        <v/>
      </c>
      <c r="AJ170" s="239" t="str">
        <f>IF(S170="","",VLOOKUP(S170,'G-3 Multipliers'!$A$2:$E$130,4,FALSE))</f>
        <v/>
      </c>
      <c r="AK170" s="175" t="str">
        <f t="shared" si="32"/>
        <v/>
      </c>
      <c r="AL170" s="175" t="str">
        <f t="shared" si="33"/>
        <v/>
      </c>
      <c r="AM170" s="176" t="str">
        <f>IFERROR(IF(F170="","",IF(AH170="Check Data","Check Data",VLOOKUP(AL170, 'G-3 Multipliers'!$P$2:$Q$6,2,FALSE))),””)</f>
        <v/>
      </c>
      <c r="AN170" s="266"/>
      <c r="AO170" s="269" t="str">
        <f>IF(AN170="","",IF(VLOOKUP(AN170,'G-3 Multipliers'!$S$3:$T$9,2,FALSE)=0,"Spatial Data Missing",VLOOKUP(AN170,'G-3 Multipliers'!$S$3:$T$9,2,FALSE)))</f>
        <v/>
      </c>
      <c r="AP170" s="207" t="str">
        <f t="shared" si="34"/>
        <v/>
      </c>
      <c r="AQ170" s="336"/>
      <c r="AR170" s="181"/>
    </row>
    <row r="171" spans="1:44" x14ac:dyDescent="0.25">
      <c r="A171" s="35" t="str">
        <f>IF(E171="","",IF(ISNA(VLOOKUP($E171,'D-1 Off Site Habitat Baseline'!$D$1:$O$258,2,FALSE)),"",(VLOOKUP($E171,'D-1 Off Site Habitat Baseline'!$D$1:$O$258,2,FALSE))))</f>
        <v/>
      </c>
      <c r="B171" s="35" t="str">
        <f>IF(E171="","",IF(ISNA(VLOOKUP($E171,'D-1 Off Site Habitat Baseline'!$D$1:$O$258,3,FALSE)),"",(VLOOKUP($E171,'D-1 Off Site Habitat Baseline'!$D$1:$O$258,3,FALSE))))</f>
        <v/>
      </c>
      <c r="C171" s="35" t="str">
        <f>IFERROR(INDEX('G-8 Condition Look up'!$I$4:$I$131,MATCH(S171,'G-8 Condition Look up'!$A$4:$A$131,0)),"")</f>
        <v/>
      </c>
      <c r="E171" s="329" t="str">
        <f>'D-1 Off Site Habitat Baseline'!AL170</f>
        <v/>
      </c>
      <c r="F171" s="175" t="str">
        <f>IF(E171="","",IF(ISNA(VLOOKUP($E171,'D-1 Off Site Habitat Baseline'!$D$1:$O$258,4,FALSE)),"",(VLOOKUP($E171,'D-1 Off Site Habitat Baseline'!$D$1:$O$258,4,FALSE))))</f>
        <v/>
      </c>
      <c r="G171" s="175" t="str">
        <f>IF(E171="","",IF(ISNA(VLOOKUP($E171,'D-1 Off Site Habitat Baseline'!$D$1:$O$258,5,FALSE)),"",(VLOOKUP($E171,'D-1 Off Site Habitat Baseline'!$D$1:$O$258,5,FALSE))))</f>
        <v/>
      </c>
      <c r="H171" s="175" t="str">
        <f>IF(E171="","",IF(ISNA(VLOOKUP($E171,'D-1 Off Site Habitat Baseline'!$D$1:$O$258,6,FALSE)),"",(VLOOKUP($E171,'D-1 Off Site Habitat Baseline'!$D$1:$O$258,6,FALSE))))</f>
        <v/>
      </c>
      <c r="I171" s="175" t="str">
        <f>IF(E171="","",IF(ISNA(VLOOKUP($E171,'D-1 Off Site Habitat Baseline'!$D$1:$O$258,7,FALSE)),"",(VLOOKUP($E171,'D-1 Off Site Habitat Baseline'!$D$1:$O$258,7,FALSE))))</f>
        <v/>
      </c>
      <c r="J171" s="175" t="str">
        <f>IF(E171="","",IF(ISNA(VLOOKUP($E171,'D-1 Off Site Habitat Baseline'!$D$1:$O$258,8,FALSE)),"",(VLOOKUP($E171,'D-1 Off Site Habitat Baseline'!$D$1:$O$258,8,FALSE))))</f>
        <v/>
      </c>
      <c r="K171" s="175" t="str">
        <f>IF(E171="","",IF(ISNA(VLOOKUP($E171,'D-1 Off Site Habitat Baseline'!$D$1:$O$258,9,FALSE)),"",(VLOOKUP($E171,'D-1 Off Site Habitat Baseline'!$D$1:$O$258,9,FALSE))))</f>
        <v/>
      </c>
      <c r="L171" s="175" t="str">
        <f>IF(E171="","",IF(ISNA(VLOOKUP($E171,'D-1 Off Site Habitat Baseline'!$D$1:$O$258,11,FALSE)),"",(VLOOKUP($E171,'D-1 Off Site Habitat Baseline'!$D$1:$O$258,11,FALSE))))</f>
        <v/>
      </c>
      <c r="M171" s="175" t="str">
        <f>IF(E171="","",IF(ISNA(VLOOKUP($E171,'D-1 Off Site Habitat Baseline'!$D$1:$O$258,12,FALSE)),"",(VLOOKUP($E171,'D-1 Off Site Habitat Baseline'!$D$1:$O$258,12,FALSE))))</f>
        <v/>
      </c>
      <c r="N171" s="175" t="str">
        <f>IF(E171="","",IF(ISNA(VLOOKUP($E171,'D-1 Off Site Habitat Baseline'!$D$1:$X$258,14,FALSE)),"",(VLOOKUP($E171,'D-1 Off Site Habitat Baseline'!$D$1:$X$258,14,FALSE))))</f>
        <v/>
      </c>
      <c r="O171" s="176" t="str">
        <f>IF(E171="","",IF(ISNA(VLOOKUP($E171,'D-1 Off Site Habitat Baseline'!$D$1:$X$258,13,FALSE)),"",(VLOOKUP($E171,'D-1 Off Site Habitat Baseline'!$D$1:$X$258,13,FALSE))))</f>
        <v/>
      </c>
      <c r="P171" s="337" t="str">
        <f>IFERROR(INDEX('G-1 All Habitats'!$AG$3:$AG$15,MATCH(Q171,'G-1 All Habitats'!$AF$3:$AF$15,0)),"")</f>
        <v/>
      </c>
      <c r="Q171" s="331" t="str">
        <f t="shared" si="35"/>
        <v/>
      </c>
      <c r="R171" s="332" t="str">
        <f t="shared" si="36"/>
        <v/>
      </c>
      <c r="S171" s="338" t="str">
        <f>IFERROR(INDEX('G-1 All Habitats'!$B$3:$B$130,MATCH(R171,'G-1 All Habitats'!$A$3:$A$130,0)),"")</f>
        <v/>
      </c>
      <c r="T171" s="179" t="str">
        <f t="shared" si="28"/>
        <v/>
      </c>
      <c r="U171" s="172" t="str">
        <f t="shared" si="29"/>
        <v/>
      </c>
      <c r="V171" s="334" t="str">
        <f t="shared" si="26"/>
        <v/>
      </c>
      <c r="W171" s="175" t="str">
        <f>IF(S171="","",VLOOKUP(S171,'G-1 All Habitats'!$B$2:$M$130,10,FALSE))</f>
        <v/>
      </c>
      <c r="X171" s="175" t="str">
        <f>IFERROR(VLOOKUP(W171,'G-1 All Habitats'!$V$3:$W$7,2,FALSE),"")</f>
        <v/>
      </c>
      <c r="Y171" s="275"/>
      <c r="Z171" s="176" t="str">
        <f>IFERROR(INDEX('G-8 Condition Look up'!$A$3:$H$131,MATCH(S171,'G-8 Condition Look up'!$A$3:$A$131,0),MATCH(Y171,'G-8 Condition Look up'!$A$3:$H$3,0)),"")</f>
        <v/>
      </c>
      <c r="AA171" s="173"/>
      <c r="AB171" s="269" t="str">
        <f>IF(AA171="","",IF(VLOOKUP(AA171,'G-3 Multipliers'!$L$3:$N$6,2,FALSE)=0,"Spatial Data Missing",VLOOKUP(AA171,'G-3 Multipliers'!$L$3:$N$6,2,FALSE)))</f>
        <v/>
      </c>
      <c r="AC171" s="176" t="str">
        <f>IF(AA171="","",IF(VLOOKUP(AA171,'G-3 Multipliers'!$L$3:$N$6,3,FALSE)=0,"Spatial Data Missing",VLOOKUP(AA171,'G-3 Multipliers'!$L$3:$N$6,3,FALSE)))</f>
        <v/>
      </c>
      <c r="AD171" s="239" t="str">
        <f t="shared" si="27"/>
        <v/>
      </c>
      <c r="AE171" s="275"/>
      <c r="AF171" s="275"/>
      <c r="AG171" s="175" t="str">
        <f t="shared" si="30"/>
        <v/>
      </c>
      <c r="AH171" s="242" t="str">
        <f t="shared" si="31"/>
        <v/>
      </c>
      <c r="AI171" s="335" t="str">
        <f>IF(AH171="Check Data","Check Data",IFERROR(VLOOKUP(AH171,'G-4 Temporal multipliers'!$A$4:$C$36,3,FALSE),""))</f>
        <v/>
      </c>
      <c r="AJ171" s="239" t="str">
        <f>IF(S171="","",VLOOKUP(S171,'G-3 Multipliers'!$A$2:$E$130,4,FALSE))</f>
        <v/>
      </c>
      <c r="AK171" s="175" t="str">
        <f t="shared" si="32"/>
        <v/>
      </c>
      <c r="AL171" s="175" t="str">
        <f t="shared" si="33"/>
        <v/>
      </c>
      <c r="AM171" s="176" t="str">
        <f>IFERROR(IF(F171="","",IF(AH171="Check Data","Check Data",VLOOKUP(AL171, 'G-3 Multipliers'!$P$2:$Q$6,2,FALSE))),””)</f>
        <v/>
      </c>
      <c r="AN171" s="266"/>
      <c r="AO171" s="269" t="str">
        <f>IF(AN171="","",IF(VLOOKUP(AN171,'G-3 Multipliers'!$S$3:$T$9,2,FALSE)=0,"Spatial Data Missing",VLOOKUP(AN171,'G-3 Multipliers'!$S$3:$T$9,2,FALSE)))</f>
        <v/>
      </c>
      <c r="AP171" s="207" t="str">
        <f t="shared" si="34"/>
        <v/>
      </c>
      <c r="AQ171" s="336"/>
      <c r="AR171" s="181"/>
    </row>
    <row r="172" spans="1:44" x14ac:dyDescent="0.25">
      <c r="A172" s="35" t="str">
        <f>IF(E172="","",IF(ISNA(VLOOKUP($E172,'D-1 Off Site Habitat Baseline'!$D$1:$O$258,2,FALSE)),"",(VLOOKUP($E172,'D-1 Off Site Habitat Baseline'!$D$1:$O$258,2,FALSE))))</f>
        <v/>
      </c>
      <c r="B172" s="35" t="str">
        <f>IF(E172="","",IF(ISNA(VLOOKUP($E172,'D-1 Off Site Habitat Baseline'!$D$1:$O$258,3,FALSE)),"",(VLOOKUP($E172,'D-1 Off Site Habitat Baseline'!$D$1:$O$258,3,FALSE))))</f>
        <v/>
      </c>
      <c r="C172" s="35" t="str">
        <f>IFERROR(INDEX('G-8 Condition Look up'!$I$4:$I$131,MATCH(S172,'G-8 Condition Look up'!$A$4:$A$131,0)),"")</f>
        <v/>
      </c>
      <c r="E172" s="329" t="str">
        <f>'D-1 Off Site Habitat Baseline'!AL171</f>
        <v/>
      </c>
      <c r="F172" s="175" t="str">
        <f>IF(E172="","",IF(ISNA(VLOOKUP($E172,'D-1 Off Site Habitat Baseline'!$D$1:$O$258,4,FALSE)),"",(VLOOKUP($E172,'D-1 Off Site Habitat Baseline'!$D$1:$O$258,4,FALSE))))</f>
        <v/>
      </c>
      <c r="G172" s="175" t="str">
        <f>IF(E172="","",IF(ISNA(VLOOKUP($E172,'D-1 Off Site Habitat Baseline'!$D$1:$O$258,5,FALSE)),"",(VLOOKUP($E172,'D-1 Off Site Habitat Baseline'!$D$1:$O$258,5,FALSE))))</f>
        <v/>
      </c>
      <c r="H172" s="175" t="str">
        <f>IF(E172="","",IF(ISNA(VLOOKUP($E172,'D-1 Off Site Habitat Baseline'!$D$1:$O$258,6,FALSE)),"",(VLOOKUP($E172,'D-1 Off Site Habitat Baseline'!$D$1:$O$258,6,FALSE))))</f>
        <v/>
      </c>
      <c r="I172" s="175" t="str">
        <f>IF(E172="","",IF(ISNA(VLOOKUP($E172,'D-1 Off Site Habitat Baseline'!$D$1:$O$258,7,FALSE)),"",(VLOOKUP($E172,'D-1 Off Site Habitat Baseline'!$D$1:$O$258,7,FALSE))))</f>
        <v/>
      </c>
      <c r="J172" s="175" t="str">
        <f>IF(E172="","",IF(ISNA(VLOOKUP($E172,'D-1 Off Site Habitat Baseline'!$D$1:$O$258,8,FALSE)),"",(VLOOKUP($E172,'D-1 Off Site Habitat Baseline'!$D$1:$O$258,8,FALSE))))</f>
        <v/>
      </c>
      <c r="K172" s="175" t="str">
        <f>IF(E172="","",IF(ISNA(VLOOKUP($E172,'D-1 Off Site Habitat Baseline'!$D$1:$O$258,9,FALSE)),"",(VLOOKUP($E172,'D-1 Off Site Habitat Baseline'!$D$1:$O$258,9,FALSE))))</f>
        <v/>
      </c>
      <c r="L172" s="175" t="str">
        <f>IF(E172="","",IF(ISNA(VLOOKUP($E172,'D-1 Off Site Habitat Baseline'!$D$1:$O$258,11,FALSE)),"",(VLOOKUP($E172,'D-1 Off Site Habitat Baseline'!$D$1:$O$258,11,FALSE))))</f>
        <v/>
      </c>
      <c r="M172" s="175" t="str">
        <f>IF(E172="","",IF(ISNA(VLOOKUP($E172,'D-1 Off Site Habitat Baseline'!$D$1:$O$258,12,FALSE)),"",(VLOOKUP($E172,'D-1 Off Site Habitat Baseline'!$D$1:$O$258,12,FALSE))))</f>
        <v/>
      </c>
      <c r="N172" s="175" t="str">
        <f>IF(E172="","",IF(ISNA(VLOOKUP($E172,'D-1 Off Site Habitat Baseline'!$D$1:$X$258,14,FALSE)),"",(VLOOKUP($E172,'D-1 Off Site Habitat Baseline'!$D$1:$X$258,14,FALSE))))</f>
        <v/>
      </c>
      <c r="O172" s="176" t="str">
        <f>IF(E172="","",IF(ISNA(VLOOKUP($E172,'D-1 Off Site Habitat Baseline'!$D$1:$X$258,13,FALSE)),"",(VLOOKUP($E172,'D-1 Off Site Habitat Baseline'!$D$1:$X$258,13,FALSE))))</f>
        <v/>
      </c>
      <c r="P172" s="337" t="str">
        <f>IFERROR(INDEX('G-1 All Habitats'!$AG$3:$AG$15,MATCH(Q172,'G-1 All Habitats'!$AF$3:$AF$15,0)),"")</f>
        <v/>
      </c>
      <c r="Q172" s="331" t="str">
        <f t="shared" si="35"/>
        <v/>
      </c>
      <c r="R172" s="332" t="str">
        <f t="shared" si="36"/>
        <v/>
      </c>
      <c r="S172" s="338" t="str">
        <f>IFERROR(INDEX('G-1 All Habitats'!$B$3:$B$130,MATCH(R172,'G-1 All Habitats'!$A$3:$A$130,0)),"")</f>
        <v/>
      </c>
      <c r="T172" s="179" t="str">
        <f t="shared" si="28"/>
        <v/>
      </c>
      <c r="U172" s="172" t="str">
        <f t="shared" si="29"/>
        <v/>
      </c>
      <c r="V172" s="334" t="str">
        <f t="shared" si="26"/>
        <v/>
      </c>
      <c r="W172" s="175" t="str">
        <f>IF(S172="","",VLOOKUP(S172,'G-1 All Habitats'!$B$2:$M$130,10,FALSE))</f>
        <v/>
      </c>
      <c r="X172" s="175" t="str">
        <f>IFERROR(VLOOKUP(W172,'G-1 All Habitats'!$V$3:$W$7,2,FALSE),"")</f>
        <v/>
      </c>
      <c r="Y172" s="275"/>
      <c r="Z172" s="176" t="str">
        <f>IFERROR(INDEX('G-8 Condition Look up'!$A$3:$H$131,MATCH(S172,'G-8 Condition Look up'!$A$3:$A$131,0),MATCH(Y172,'G-8 Condition Look up'!$A$3:$H$3,0)),"")</f>
        <v/>
      </c>
      <c r="AA172" s="173"/>
      <c r="AB172" s="269" t="str">
        <f>IF(AA172="","",IF(VLOOKUP(AA172,'G-3 Multipliers'!$L$3:$N$6,2,FALSE)=0,"Spatial Data Missing",VLOOKUP(AA172,'G-3 Multipliers'!$L$3:$N$6,2,FALSE)))</f>
        <v/>
      </c>
      <c r="AC172" s="176" t="str">
        <f>IF(AA172="","",IF(VLOOKUP(AA172,'G-3 Multipliers'!$L$3:$N$6,3,FALSE)=0,"Spatial Data Missing",VLOOKUP(AA172,'G-3 Multipliers'!$L$3:$N$6,3,FALSE)))</f>
        <v/>
      </c>
      <c r="AD172" s="239" t="str">
        <f t="shared" si="27"/>
        <v/>
      </c>
      <c r="AE172" s="275"/>
      <c r="AF172" s="275"/>
      <c r="AG172" s="175" t="str">
        <f t="shared" si="30"/>
        <v/>
      </c>
      <c r="AH172" s="242" t="str">
        <f t="shared" si="31"/>
        <v/>
      </c>
      <c r="AI172" s="335" t="str">
        <f>IF(AH172="Check Data","Check Data",IFERROR(VLOOKUP(AH172,'G-4 Temporal multipliers'!$A$4:$C$36,3,FALSE),""))</f>
        <v/>
      </c>
      <c r="AJ172" s="239" t="str">
        <f>IF(S172="","",VLOOKUP(S172,'G-3 Multipliers'!$A$2:$E$130,4,FALSE))</f>
        <v/>
      </c>
      <c r="AK172" s="175" t="str">
        <f t="shared" si="32"/>
        <v/>
      </c>
      <c r="AL172" s="175" t="str">
        <f t="shared" si="33"/>
        <v/>
      </c>
      <c r="AM172" s="176" t="str">
        <f>IFERROR(IF(F172="","",IF(AH172="Check Data","Check Data",VLOOKUP(AL172, 'G-3 Multipliers'!$P$2:$Q$6,2,FALSE))),””)</f>
        <v/>
      </c>
      <c r="AN172" s="266"/>
      <c r="AO172" s="269" t="str">
        <f>IF(AN172="","",IF(VLOOKUP(AN172,'G-3 Multipliers'!$S$3:$T$9,2,FALSE)=0,"Spatial Data Missing",VLOOKUP(AN172,'G-3 Multipliers'!$S$3:$T$9,2,FALSE)))</f>
        <v/>
      </c>
      <c r="AP172" s="207" t="str">
        <f t="shared" si="34"/>
        <v/>
      </c>
      <c r="AQ172" s="336"/>
      <c r="AR172" s="181"/>
    </row>
    <row r="173" spans="1:44" x14ac:dyDescent="0.25">
      <c r="A173" s="35" t="str">
        <f>IF(E173="","",IF(ISNA(VLOOKUP($E173,'D-1 Off Site Habitat Baseline'!$D$1:$O$258,2,FALSE)),"",(VLOOKUP($E173,'D-1 Off Site Habitat Baseline'!$D$1:$O$258,2,FALSE))))</f>
        <v/>
      </c>
      <c r="B173" s="35" t="str">
        <f>IF(E173="","",IF(ISNA(VLOOKUP($E173,'D-1 Off Site Habitat Baseline'!$D$1:$O$258,3,FALSE)),"",(VLOOKUP($E173,'D-1 Off Site Habitat Baseline'!$D$1:$O$258,3,FALSE))))</f>
        <v/>
      </c>
      <c r="C173" s="35" t="str">
        <f>IFERROR(INDEX('G-8 Condition Look up'!$I$4:$I$131,MATCH(S173,'G-8 Condition Look up'!$A$4:$A$131,0)),"")</f>
        <v/>
      </c>
      <c r="E173" s="329" t="str">
        <f>'D-1 Off Site Habitat Baseline'!AL172</f>
        <v/>
      </c>
      <c r="F173" s="175" t="str">
        <f>IF(E173="","",IF(ISNA(VLOOKUP($E173,'D-1 Off Site Habitat Baseline'!$D$1:$O$258,4,FALSE)),"",(VLOOKUP($E173,'D-1 Off Site Habitat Baseline'!$D$1:$O$258,4,FALSE))))</f>
        <v/>
      </c>
      <c r="G173" s="175" t="str">
        <f>IF(E173="","",IF(ISNA(VLOOKUP($E173,'D-1 Off Site Habitat Baseline'!$D$1:$O$258,5,FALSE)),"",(VLOOKUP($E173,'D-1 Off Site Habitat Baseline'!$D$1:$O$258,5,FALSE))))</f>
        <v/>
      </c>
      <c r="H173" s="175" t="str">
        <f>IF(E173="","",IF(ISNA(VLOOKUP($E173,'D-1 Off Site Habitat Baseline'!$D$1:$O$258,6,FALSE)),"",(VLOOKUP($E173,'D-1 Off Site Habitat Baseline'!$D$1:$O$258,6,FALSE))))</f>
        <v/>
      </c>
      <c r="I173" s="175" t="str">
        <f>IF(E173="","",IF(ISNA(VLOOKUP($E173,'D-1 Off Site Habitat Baseline'!$D$1:$O$258,7,FALSE)),"",(VLOOKUP($E173,'D-1 Off Site Habitat Baseline'!$D$1:$O$258,7,FALSE))))</f>
        <v/>
      </c>
      <c r="J173" s="175" t="str">
        <f>IF(E173="","",IF(ISNA(VLOOKUP($E173,'D-1 Off Site Habitat Baseline'!$D$1:$O$258,8,FALSE)),"",(VLOOKUP($E173,'D-1 Off Site Habitat Baseline'!$D$1:$O$258,8,FALSE))))</f>
        <v/>
      </c>
      <c r="K173" s="175" t="str">
        <f>IF(E173="","",IF(ISNA(VLOOKUP($E173,'D-1 Off Site Habitat Baseline'!$D$1:$O$258,9,FALSE)),"",(VLOOKUP($E173,'D-1 Off Site Habitat Baseline'!$D$1:$O$258,9,FALSE))))</f>
        <v/>
      </c>
      <c r="L173" s="175" t="str">
        <f>IF(E173="","",IF(ISNA(VLOOKUP($E173,'D-1 Off Site Habitat Baseline'!$D$1:$O$258,11,FALSE)),"",(VLOOKUP($E173,'D-1 Off Site Habitat Baseline'!$D$1:$O$258,11,FALSE))))</f>
        <v/>
      </c>
      <c r="M173" s="175" t="str">
        <f>IF(E173="","",IF(ISNA(VLOOKUP($E173,'D-1 Off Site Habitat Baseline'!$D$1:$O$258,12,FALSE)),"",(VLOOKUP($E173,'D-1 Off Site Habitat Baseline'!$D$1:$O$258,12,FALSE))))</f>
        <v/>
      </c>
      <c r="N173" s="175" t="str">
        <f>IF(E173="","",IF(ISNA(VLOOKUP($E173,'D-1 Off Site Habitat Baseline'!$D$1:$X$258,14,FALSE)),"",(VLOOKUP($E173,'D-1 Off Site Habitat Baseline'!$D$1:$X$258,14,FALSE))))</f>
        <v/>
      </c>
      <c r="O173" s="176" t="str">
        <f>IF(E173="","",IF(ISNA(VLOOKUP($E173,'D-1 Off Site Habitat Baseline'!$D$1:$X$258,13,FALSE)),"",(VLOOKUP($E173,'D-1 Off Site Habitat Baseline'!$D$1:$X$258,13,FALSE))))</f>
        <v/>
      </c>
      <c r="P173" s="337" t="str">
        <f>IFERROR(INDEX('G-1 All Habitats'!$AG$3:$AG$15,MATCH(Q173,'G-1 All Habitats'!$AF$3:$AF$15,0)),"")</f>
        <v/>
      </c>
      <c r="Q173" s="331" t="str">
        <f t="shared" si="35"/>
        <v/>
      </c>
      <c r="R173" s="332" t="str">
        <f t="shared" si="36"/>
        <v/>
      </c>
      <c r="S173" s="338" t="str">
        <f>IFERROR(INDEX('G-1 All Habitats'!$B$3:$B$130,MATCH(R173,'G-1 All Habitats'!$A$3:$A$130,0)),"")</f>
        <v/>
      </c>
      <c r="T173" s="179" t="str">
        <f t="shared" si="28"/>
        <v/>
      </c>
      <c r="U173" s="172" t="str">
        <f t="shared" si="29"/>
        <v/>
      </c>
      <c r="V173" s="334" t="str">
        <f t="shared" si="26"/>
        <v/>
      </c>
      <c r="W173" s="175" t="str">
        <f>IF(S173="","",VLOOKUP(S173,'G-1 All Habitats'!$B$2:$M$130,10,FALSE))</f>
        <v/>
      </c>
      <c r="X173" s="175" t="str">
        <f>IFERROR(VLOOKUP(W173,'G-1 All Habitats'!$V$3:$W$7,2,FALSE),"")</f>
        <v/>
      </c>
      <c r="Y173" s="275"/>
      <c r="Z173" s="176" t="str">
        <f>IFERROR(INDEX('G-8 Condition Look up'!$A$3:$H$131,MATCH(S173,'G-8 Condition Look up'!$A$3:$A$131,0),MATCH(Y173,'G-8 Condition Look up'!$A$3:$H$3,0)),"")</f>
        <v/>
      </c>
      <c r="AA173" s="173"/>
      <c r="AB173" s="269" t="str">
        <f>IF(AA173="","",IF(VLOOKUP(AA173,'G-3 Multipliers'!$L$3:$N$6,2,FALSE)=0,"Spatial Data Missing",VLOOKUP(AA173,'G-3 Multipliers'!$L$3:$N$6,2,FALSE)))</f>
        <v/>
      </c>
      <c r="AC173" s="176" t="str">
        <f>IF(AA173="","",IF(VLOOKUP(AA173,'G-3 Multipliers'!$L$3:$N$6,3,FALSE)=0,"Spatial Data Missing",VLOOKUP(AA173,'G-3 Multipliers'!$L$3:$N$6,3,FALSE)))</f>
        <v/>
      </c>
      <c r="AD173" s="239" t="str">
        <f t="shared" si="27"/>
        <v/>
      </c>
      <c r="AE173" s="275"/>
      <c r="AF173" s="275"/>
      <c r="AG173" s="175" t="str">
        <f t="shared" si="30"/>
        <v/>
      </c>
      <c r="AH173" s="242" t="str">
        <f t="shared" si="31"/>
        <v/>
      </c>
      <c r="AI173" s="335" t="str">
        <f>IF(AH173="Check Data","Check Data",IFERROR(VLOOKUP(AH173,'G-4 Temporal multipliers'!$A$4:$C$36,3,FALSE),""))</f>
        <v/>
      </c>
      <c r="AJ173" s="239" t="str">
        <f>IF(S173="","",VLOOKUP(S173,'G-3 Multipliers'!$A$2:$E$130,4,FALSE))</f>
        <v/>
      </c>
      <c r="AK173" s="175" t="str">
        <f t="shared" si="32"/>
        <v/>
      </c>
      <c r="AL173" s="175" t="str">
        <f t="shared" si="33"/>
        <v/>
      </c>
      <c r="AM173" s="176" t="str">
        <f>IFERROR(IF(F173="","",IF(AH173="Check Data","Check Data",VLOOKUP(AL173, 'G-3 Multipliers'!$P$2:$Q$6,2,FALSE))),””)</f>
        <v/>
      </c>
      <c r="AN173" s="266"/>
      <c r="AO173" s="269" t="str">
        <f>IF(AN173="","",IF(VLOOKUP(AN173,'G-3 Multipliers'!$S$3:$T$9,2,FALSE)=0,"Spatial Data Missing",VLOOKUP(AN173,'G-3 Multipliers'!$S$3:$T$9,2,FALSE)))</f>
        <v/>
      </c>
      <c r="AP173" s="207" t="str">
        <f t="shared" si="34"/>
        <v/>
      </c>
      <c r="AQ173" s="336"/>
      <c r="AR173" s="181"/>
    </row>
    <row r="174" spans="1:44" x14ac:dyDescent="0.25">
      <c r="A174" s="35" t="str">
        <f>IF(E174="","",IF(ISNA(VLOOKUP($E174,'D-1 Off Site Habitat Baseline'!$D$1:$O$258,2,FALSE)),"",(VLOOKUP($E174,'D-1 Off Site Habitat Baseline'!$D$1:$O$258,2,FALSE))))</f>
        <v/>
      </c>
      <c r="B174" s="35" t="str">
        <f>IF(E174="","",IF(ISNA(VLOOKUP($E174,'D-1 Off Site Habitat Baseline'!$D$1:$O$258,3,FALSE)),"",(VLOOKUP($E174,'D-1 Off Site Habitat Baseline'!$D$1:$O$258,3,FALSE))))</f>
        <v/>
      </c>
      <c r="C174" s="35" t="str">
        <f>IFERROR(INDEX('G-8 Condition Look up'!$I$4:$I$131,MATCH(S174,'G-8 Condition Look up'!$A$4:$A$131,0)),"")</f>
        <v/>
      </c>
      <c r="E174" s="329" t="str">
        <f>'D-1 Off Site Habitat Baseline'!AL173</f>
        <v/>
      </c>
      <c r="F174" s="175" t="str">
        <f>IF(E174="","",IF(ISNA(VLOOKUP($E174,'D-1 Off Site Habitat Baseline'!$D$1:$O$258,4,FALSE)),"",(VLOOKUP($E174,'D-1 Off Site Habitat Baseline'!$D$1:$O$258,4,FALSE))))</f>
        <v/>
      </c>
      <c r="G174" s="175" t="str">
        <f>IF(E174="","",IF(ISNA(VLOOKUP($E174,'D-1 Off Site Habitat Baseline'!$D$1:$O$258,5,FALSE)),"",(VLOOKUP($E174,'D-1 Off Site Habitat Baseline'!$D$1:$O$258,5,FALSE))))</f>
        <v/>
      </c>
      <c r="H174" s="175" t="str">
        <f>IF(E174="","",IF(ISNA(VLOOKUP($E174,'D-1 Off Site Habitat Baseline'!$D$1:$O$258,6,FALSE)),"",(VLOOKUP($E174,'D-1 Off Site Habitat Baseline'!$D$1:$O$258,6,FALSE))))</f>
        <v/>
      </c>
      <c r="I174" s="175" t="str">
        <f>IF(E174="","",IF(ISNA(VLOOKUP($E174,'D-1 Off Site Habitat Baseline'!$D$1:$O$258,7,FALSE)),"",(VLOOKUP($E174,'D-1 Off Site Habitat Baseline'!$D$1:$O$258,7,FALSE))))</f>
        <v/>
      </c>
      <c r="J174" s="175" t="str">
        <f>IF(E174="","",IF(ISNA(VLOOKUP($E174,'D-1 Off Site Habitat Baseline'!$D$1:$O$258,8,FALSE)),"",(VLOOKUP($E174,'D-1 Off Site Habitat Baseline'!$D$1:$O$258,8,FALSE))))</f>
        <v/>
      </c>
      <c r="K174" s="175" t="str">
        <f>IF(E174="","",IF(ISNA(VLOOKUP($E174,'D-1 Off Site Habitat Baseline'!$D$1:$O$258,9,FALSE)),"",(VLOOKUP($E174,'D-1 Off Site Habitat Baseline'!$D$1:$O$258,9,FALSE))))</f>
        <v/>
      </c>
      <c r="L174" s="175" t="str">
        <f>IF(E174="","",IF(ISNA(VLOOKUP($E174,'D-1 Off Site Habitat Baseline'!$D$1:$O$258,11,FALSE)),"",(VLOOKUP($E174,'D-1 Off Site Habitat Baseline'!$D$1:$O$258,11,FALSE))))</f>
        <v/>
      </c>
      <c r="M174" s="175" t="str">
        <f>IF(E174="","",IF(ISNA(VLOOKUP($E174,'D-1 Off Site Habitat Baseline'!$D$1:$O$258,12,FALSE)),"",(VLOOKUP($E174,'D-1 Off Site Habitat Baseline'!$D$1:$O$258,12,FALSE))))</f>
        <v/>
      </c>
      <c r="N174" s="175" t="str">
        <f>IF(E174="","",IF(ISNA(VLOOKUP($E174,'D-1 Off Site Habitat Baseline'!$D$1:$X$258,14,FALSE)),"",(VLOOKUP($E174,'D-1 Off Site Habitat Baseline'!$D$1:$X$258,14,FALSE))))</f>
        <v/>
      </c>
      <c r="O174" s="176" t="str">
        <f>IF(E174="","",IF(ISNA(VLOOKUP($E174,'D-1 Off Site Habitat Baseline'!$D$1:$X$258,13,FALSE)),"",(VLOOKUP($E174,'D-1 Off Site Habitat Baseline'!$D$1:$X$258,13,FALSE))))</f>
        <v/>
      </c>
      <c r="P174" s="337" t="str">
        <f>IFERROR(INDEX('G-1 All Habitats'!$AG$3:$AG$15,MATCH(Q174,'G-1 All Habitats'!$AF$3:$AF$15,0)),"")</f>
        <v/>
      </c>
      <c r="Q174" s="331" t="str">
        <f t="shared" si="35"/>
        <v/>
      </c>
      <c r="R174" s="332" t="str">
        <f t="shared" si="36"/>
        <v/>
      </c>
      <c r="S174" s="338" t="str">
        <f>IFERROR(INDEX('G-1 All Habitats'!$B$3:$B$130,MATCH(R174,'G-1 All Habitats'!$A$3:$A$130,0)),"")</f>
        <v/>
      </c>
      <c r="T174" s="179" t="str">
        <f t="shared" si="28"/>
        <v/>
      </c>
      <c r="U174" s="172" t="str">
        <f t="shared" si="29"/>
        <v/>
      </c>
      <c r="V174" s="334" t="str">
        <f t="shared" si="26"/>
        <v/>
      </c>
      <c r="W174" s="175" t="str">
        <f>IF(S174="","",VLOOKUP(S174,'G-1 All Habitats'!$B$2:$M$130,10,FALSE))</f>
        <v/>
      </c>
      <c r="X174" s="175" t="str">
        <f>IFERROR(VLOOKUP(W174,'G-1 All Habitats'!$V$3:$W$7,2,FALSE),"")</f>
        <v/>
      </c>
      <c r="Y174" s="275"/>
      <c r="Z174" s="176" t="str">
        <f>IFERROR(INDEX('G-8 Condition Look up'!$A$3:$H$131,MATCH(S174,'G-8 Condition Look up'!$A$3:$A$131,0),MATCH(Y174,'G-8 Condition Look up'!$A$3:$H$3,0)),"")</f>
        <v/>
      </c>
      <c r="AA174" s="173"/>
      <c r="AB174" s="269" t="str">
        <f>IF(AA174="","",IF(VLOOKUP(AA174,'G-3 Multipliers'!$L$3:$N$6,2,FALSE)=0,"Spatial Data Missing",VLOOKUP(AA174,'G-3 Multipliers'!$L$3:$N$6,2,FALSE)))</f>
        <v/>
      </c>
      <c r="AC174" s="176" t="str">
        <f>IF(AA174="","",IF(VLOOKUP(AA174,'G-3 Multipliers'!$L$3:$N$6,3,FALSE)=0,"Spatial Data Missing",VLOOKUP(AA174,'G-3 Multipliers'!$L$3:$N$6,3,FALSE)))</f>
        <v/>
      </c>
      <c r="AD174" s="239" t="str">
        <f t="shared" si="27"/>
        <v/>
      </c>
      <c r="AE174" s="275"/>
      <c r="AF174" s="275"/>
      <c r="AG174" s="175" t="str">
        <f t="shared" si="30"/>
        <v/>
      </c>
      <c r="AH174" s="242" t="str">
        <f t="shared" si="31"/>
        <v/>
      </c>
      <c r="AI174" s="335" t="str">
        <f>IF(AH174="Check Data","Check Data",IFERROR(VLOOKUP(AH174,'G-4 Temporal multipliers'!$A$4:$C$36,3,FALSE),""))</f>
        <v/>
      </c>
      <c r="AJ174" s="239" t="str">
        <f>IF(S174="","",VLOOKUP(S174,'G-3 Multipliers'!$A$2:$E$130,4,FALSE))</f>
        <v/>
      </c>
      <c r="AK174" s="175" t="str">
        <f t="shared" si="32"/>
        <v/>
      </c>
      <c r="AL174" s="175" t="str">
        <f t="shared" si="33"/>
        <v/>
      </c>
      <c r="AM174" s="176" t="str">
        <f>IFERROR(IF(F174="","",IF(AH174="Check Data","Check Data",VLOOKUP(AL174, 'G-3 Multipliers'!$P$2:$Q$6,2,FALSE))),””)</f>
        <v/>
      </c>
      <c r="AN174" s="266"/>
      <c r="AO174" s="269" t="str">
        <f>IF(AN174="","",IF(VLOOKUP(AN174,'G-3 Multipliers'!$S$3:$T$9,2,FALSE)=0,"Spatial Data Missing",VLOOKUP(AN174,'G-3 Multipliers'!$S$3:$T$9,2,FALSE)))</f>
        <v/>
      </c>
      <c r="AP174" s="207" t="str">
        <f t="shared" si="34"/>
        <v/>
      </c>
      <c r="AQ174" s="336"/>
      <c r="AR174" s="181"/>
    </row>
    <row r="175" spans="1:44" x14ac:dyDescent="0.25">
      <c r="A175" s="35" t="str">
        <f>IF(E175="","",IF(ISNA(VLOOKUP($E175,'D-1 Off Site Habitat Baseline'!$D$1:$O$258,2,FALSE)),"",(VLOOKUP($E175,'D-1 Off Site Habitat Baseline'!$D$1:$O$258,2,FALSE))))</f>
        <v/>
      </c>
      <c r="B175" s="35" t="str">
        <f>IF(E175="","",IF(ISNA(VLOOKUP($E175,'D-1 Off Site Habitat Baseline'!$D$1:$O$258,3,FALSE)),"",(VLOOKUP($E175,'D-1 Off Site Habitat Baseline'!$D$1:$O$258,3,FALSE))))</f>
        <v/>
      </c>
      <c r="C175" s="35" t="str">
        <f>IFERROR(INDEX('G-8 Condition Look up'!$I$4:$I$131,MATCH(S175,'G-8 Condition Look up'!$A$4:$A$131,0)),"")</f>
        <v/>
      </c>
      <c r="E175" s="329" t="str">
        <f>'D-1 Off Site Habitat Baseline'!AL174</f>
        <v/>
      </c>
      <c r="F175" s="175" t="str">
        <f>IF(E175="","",IF(ISNA(VLOOKUP($E175,'D-1 Off Site Habitat Baseline'!$D$1:$O$258,4,FALSE)),"",(VLOOKUP($E175,'D-1 Off Site Habitat Baseline'!$D$1:$O$258,4,FALSE))))</f>
        <v/>
      </c>
      <c r="G175" s="175" t="str">
        <f>IF(E175="","",IF(ISNA(VLOOKUP($E175,'D-1 Off Site Habitat Baseline'!$D$1:$O$258,5,FALSE)),"",(VLOOKUP($E175,'D-1 Off Site Habitat Baseline'!$D$1:$O$258,5,FALSE))))</f>
        <v/>
      </c>
      <c r="H175" s="175" t="str">
        <f>IF(E175="","",IF(ISNA(VLOOKUP($E175,'D-1 Off Site Habitat Baseline'!$D$1:$O$258,6,FALSE)),"",(VLOOKUP($E175,'D-1 Off Site Habitat Baseline'!$D$1:$O$258,6,FALSE))))</f>
        <v/>
      </c>
      <c r="I175" s="175" t="str">
        <f>IF(E175="","",IF(ISNA(VLOOKUP($E175,'D-1 Off Site Habitat Baseline'!$D$1:$O$258,7,FALSE)),"",(VLOOKUP($E175,'D-1 Off Site Habitat Baseline'!$D$1:$O$258,7,FALSE))))</f>
        <v/>
      </c>
      <c r="J175" s="175" t="str">
        <f>IF(E175="","",IF(ISNA(VLOOKUP($E175,'D-1 Off Site Habitat Baseline'!$D$1:$O$258,8,FALSE)),"",(VLOOKUP($E175,'D-1 Off Site Habitat Baseline'!$D$1:$O$258,8,FALSE))))</f>
        <v/>
      </c>
      <c r="K175" s="175" t="str">
        <f>IF(E175="","",IF(ISNA(VLOOKUP($E175,'D-1 Off Site Habitat Baseline'!$D$1:$O$258,9,FALSE)),"",(VLOOKUP($E175,'D-1 Off Site Habitat Baseline'!$D$1:$O$258,9,FALSE))))</f>
        <v/>
      </c>
      <c r="L175" s="175" t="str">
        <f>IF(E175="","",IF(ISNA(VLOOKUP($E175,'D-1 Off Site Habitat Baseline'!$D$1:$O$258,11,FALSE)),"",(VLOOKUP($E175,'D-1 Off Site Habitat Baseline'!$D$1:$O$258,11,FALSE))))</f>
        <v/>
      </c>
      <c r="M175" s="175" t="str">
        <f>IF(E175="","",IF(ISNA(VLOOKUP($E175,'D-1 Off Site Habitat Baseline'!$D$1:$O$258,12,FALSE)),"",(VLOOKUP($E175,'D-1 Off Site Habitat Baseline'!$D$1:$O$258,12,FALSE))))</f>
        <v/>
      </c>
      <c r="N175" s="175" t="str">
        <f>IF(E175="","",IF(ISNA(VLOOKUP($E175,'D-1 Off Site Habitat Baseline'!$D$1:$X$258,14,FALSE)),"",(VLOOKUP($E175,'D-1 Off Site Habitat Baseline'!$D$1:$X$258,14,FALSE))))</f>
        <v/>
      </c>
      <c r="O175" s="176" t="str">
        <f>IF(E175="","",IF(ISNA(VLOOKUP($E175,'D-1 Off Site Habitat Baseline'!$D$1:$X$258,13,FALSE)),"",(VLOOKUP($E175,'D-1 Off Site Habitat Baseline'!$D$1:$X$258,13,FALSE))))</f>
        <v/>
      </c>
      <c r="P175" s="337" t="str">
        <f>IFERROR(INDEX('G-1 All Habitats'!$AG$3:$AG$15,MATCH(Q175,'G-1 All Habitats'!$AF$3:$AF$15,0)),"")</f>
        <v/>
      </c>
      <c r="Q175" s="331" t="str">
        <f t="shared" si="35"/>
        <v/>
      </c>
      <c r="R175" s="332" t="str">
        <f t="shared" si="36"/>
        <v/>
      </c>
      <c r="S175" s="338" t="str">
        <f>IFERROR(INDEX('G-1 All Habitats'!$B$3:$B$130,MATCH(R175,'G-1 All Habitats'!$A$3:$A$130,0)),"")</f>
        <v/>
      </c>
      <c r="T175" s="179" t="str">
        <f t="shared" si="28"/>
        <v/>
      </c>
      <c r="U175" s="172" t="str">
        <f t="shared" si="29"/>
        <v/>
      </c>
      <c r="V175" s="334" t="str">
        <f t="shared" si="26"/>
        <v/>
      </c>
      <c r="W175" s="175" t="str">
        <f>IF(S175="","",VLOOKUP(S175,'G-1 All Habitats'!$B$2:$M$130,10,FALSE))</f>
        <v/>
      </c>
      <c r="X175" s="175" t="str">
        <f>IFERROR(VLOOKUP(W175,'G-1 All Habitats'!$V$3:$W$7,2,FALSE),"")</f>
        <v/>
      </c>
      <c r="Y175" s="275"/>
      <c r="Z175" s="176" t="str">
        <f>IFERROR(INDEX('G-8 Condition Look up'!$A$3:$H$131,MATCH(S175,'G-8 Condition Look up'!$A$3:$A$131,0),MATCH(Y175,'G-8 Condition Look up'!$A$3:$H$3,0)),"")</f>
        <v/>
      </c>
      <c r="AA175" s="173"/>
      <c r="AB175" s="269" t="str">
        <f>IF(AA175="","",IF(VLOOKUP(AA175,'G-3 Multipliers'!$L$3:$N$6,2,FALSE)=0,"Spatial Data Missing",VLOOKUP(AA175,'G-3 Multipliers'!$L$3:$N$6,2,FALSE)))</f>
        <v/>
      </c>
      <c r="AC175" s="176" t="str">
        <f>IF(AA175="","",IF(VLOOKUP(AA175,'G-3 Multipliers'!$L$3:$N$6,3,FALSE)=0,"Spatial Data Missing",VLOOKUP(AA175,'G-3 Multipliers'!$L$3:$N$6,3,FALSE)))</f>
        <v/>
      </c>
      <c r="AD175" s="239" t="str">
        <f t="shared" si="27"/>
        <v/>
      </c>
      <c r="AE175" s="275"/>
      <c r="AF175" s="275"/>
      <c r="AG175" s="175" t="str">
        <f t="shared" si="30"/>
        <v/>
      </c>
      <c r="AH175" s="242" t="str">
        <f t="shared" si="31"/>
        <v/>
      </c>
      <c r="AI175" s="335" t="str">
        <f>IF(AH175="Check Data","Check Data",IFERROR(VLOOKUP(AH175,'G-4 Temporal multipliers'!$A$4:$C$36,3,FALSE),""))</f>
        <v/>
      </c>
      <c r="AJ175" s="239" t="str">
        <f>IF(S175="","",VLOOKUP(S175,'G-3 Multipliers'!$A$2:$E$130,4,FALSE))</f>
        <v/>
      </c>
      <c r="AK175" s="175" t="str">
        <f t="shared" si="32"/>
        <v/>
      </c>
      <c r="AL175" s="175" t="str">
        <f t="shared" si="33"/>
        <v/>
      </c>
      <c r="AM175" s="176" t="str">
        <f>IFERROR(IF(F175="","",IF(AH175="Check Data","Check Data",VLOOKUP(AL175, 'G-3 Multipliers'!$P$2:$Q$6,2,FALSE))),””)</f>
        <v/>
      </c>
      <c r="AN175" s="266"/>
      <c r="AO175" s="269" t="str">
        <f>IF(AN175="","",IF(VLOOKUP(AN175,'G-3 Multipliers'!$S$3:$T$9,2,FALSE)=0,"Spatial Data Missing",VLOOKUP(AN175,'G-3 Multipliers'!$S$3:$T$9,2,FALSE)))</f>
        <v/>
      </c>
      <c r="AP175" s="207" t="str">
        <f t="shared" si="34"/>
        <v/>
      </c>
      <c r="AQ175" s="336"/>
      <c r="AR175" s="181"/>
    </row>
    <row r="176" spans="1:44" x14ac:dyDescent="0.25">
      <c r="A176" s="35" t="str">
        <f>IF(E176="","",IF(ISNA(VLOOKUP($E176,'D-1 Off Site Habitat Baseline'!$D$1:$O$258,2,FALSE)),"",(VLOOKUP($E176,'D-1 Off Site Habitat Baseline'!$D$1:$O$258,2,FALSE))))</f>
        <v/>
      </c>
      <c r="B176" s="35" t="str">
        <f>IF(E176="","",IF(ISNA(VLOOKUP($E176,'D-1 Off Site Habitat Baseline'!$D$1:$O$258,3,FALSE)),"",(VLOOKUP($E176,'D-1 Off Site Habitat Baseline'!$D$1:$O$258,3,FALSE))))</f>
        <v/>
      </c>
      <c r="C176" s="35" t="str">
        <f>IFERROR(INDEX('G-8 Condition Look up'!$I$4:$I$131,MATCH(S176,'G-8 Condition Look up'!$A$4:$A$131,0)),"")</f>
        <v/>
      </c>
      <c r="E176" s="329" t="str">
        <f>'D-1 Off Site Habitat Baseline'!AL175</f>
        <v/>
      </c>
      <c r="F176" s="175" t="str">
        <f>IF(E176="","",IF(ISNA(VLOOKUP($E176,'D-1 Off Site Habitat Baseline'!$D$1:$O$258,4,FALSE)),"",(VLOOKUP($E176,'D-1 Off Site Habitat Baseline'!$D$1:$O$258,4,FALSE))))</f>
        <v/>
      </c>
      <c r="G176" s="175" t="str">
        <f>IF(E176="","",IF(ISNA(VLOOKUP($E176,'D-1 Off Site Habitat Baseline'!$D$1:$O$258,5,FALSE)),"",(VLOOKUP($E176,'D-1 Off Site Habitat Baseline'!$D$1:$O$258,5,FALSE))))</f>
        <v/>
      </c>
      <c r="H176" s="175" t="str">
        <f>IF(E176="","",IF(ISNA(VLOOKUP($E176,'D-1 Off Site Habitat Baseline'!$D$1:$O$258,6,FALSE)),"",(VLOOKUP($E176,'D-1 Off Site Habitat Baseline'!$D$1:$O$258,6,FALSE))))</f>
        <v/>
      </c>
      <c r="I176" s="175" t="str">
        <f>IF(E176="","",IF(ISNA(VLOOKUP($E176,'D-1 Off Site Habitat Baseline'!$D$1:$O$258,7,FALSE)),"",(VLOOKUP($E176,'D-1 Off Site Habitat Baseline'!$D$1:$O$258,7,FALSE))))</f>
        <v/>
      </c>
      <c r="J176" s="175" t="str">
        <f>IF(E176="","",IF(ISNA(VLOOKUP($E176,'D-1 Off Site Habitat Baseline'!$D$1:$O$258,8,FALSE)),"",(VLOOKUP($E176,'D-1 Off Site Habitat Baseline'!$D$1:$O$258,8,FALSE))))</f>
        <v/>
      </c>
      <c r="K176" s="175" t="str">
        <f>IF(E176="","",IF(ISNA(VLOOKUP($E176,'D-1 Off Site Habitat Baseline'!$D$1:$O$258,9,FALSE)),"",(VLOOKUP($E176,'D-1 Off Site Habitat Baseline'!$D$1:$O$258,9,FALSE))))</f>
        <v/>
      </c>
      <c r="L176" s="175" t="str">
        <f>IF(E176="","",IF(ISNA(VLOOKUP($E176,'D-1 Off Site Habitat Baseline'!$D$1:$O$258,11,FALSE)),"",(VLOOKUP($E176,'D-1 Off Site Habitat Baseline'!$D$1:$O$258,11,FALSE))))</f>
        <v/>
      </c>
      <c r="M176" s="175" t="str">
        <f>IF(E176="","",IF(ISNA(VLOOKUP($E176,'D-1 Off Site Habitat Baseline'!$D$1:$O$258,12,FALSE)),"",(VLOOKUP($E176,'D-1 Off Site Habitat Baseline'!$D$1:$O$258,12,FALSE))))</f>
        <v/>
      </c>
      <c r="N176" s="175" t="str">
        <f>IF(E176="","",IF(ISNA(VLOOKUP($E176,'D-1 Off Site Habitat Baseline'!$D$1:$X$258,14,FALSE)),"",(VLOOKUP($E176,'D-1 Off Site Habitat Baseline'!$D$1:$X$258,14,FALSE))))</f>
        <v/>
      </c>
      <c r="O176" s="176" t="str">
        <f>IF(E176="","",IF(ISNA(VLOOKUP($E176,'D-1 Off Site Habitat Baseline'!$D$1:$X$258,13,FALSE)),"",(VLOOKUP($E176,'D-1 Off Site Habitat Baseline'!$D$1:$X$258,13,FALSE))))</f>
        <v/>
      </c>
      <c r="P176" s="337" t="str">
        <f>IFERROR(INDEX('G-1 All Habitats'!$AG$3:$AG$15,MATCH(Q176,'G-1 All Habitats'!$AF$3:$AF$15,0)),"")</f>
        <v/>
      </c>
      <c r="Q176" s="331" t="str">
        <f t="shared" si="35"/>
        <v/>
      </c>
      <c r="R176" s="332" t="str">
        <f t="shared" si="36"/>
        <v/>
      </c>
      <c r="S176" s="338" t="str">
        <f>IFERROR(INDEX('G-1 All Habitats'!$B$3:$B$130,MATCH(R176,'G-1 All Habitats'!$A$3:$A$130,0)),"")</f>
        <v/>
      </c>
      <c r="T176" s="179" t="str">
        <f t="shared" si="28"/>
        <v/>
      </c>
      <c r="U176" s="172" t="str">
        <f t="shared" si="29"/>
        <v/>
      </c>
      <c r="V176" s="334" t="str">
        <f t="shared" si="26"/>
        <v/>
      </c>
      <c r="W176" s="175" t="str">
        <f>IF(S176="","",VLOOKUP(S176,'G-1 All Habitats'!$B$2:$M$130,10,FALSE))</f>
        <v/>
      </c>
      <c r="X176" s="175" t="str">
        <f>IFERROR(VLOOKUP(W176,'G-1 All Habitats'!$V$3:$W$7,2,FALSE),"")</f>
        <v/>
      </c>
      <c r="Y176" s="275"/>
      <c r="Z176" s="176" t="str">
        <f>IFERROR(INDEX('G-8 Condition Look up'!$A$3:$H$131,MATCH(S176,'G-8 Condition Look up'!$A$3:$A$131,0),MATCH(Y176,'G-8 Condition Look up'!$A$3:$H$3,0)),"")</f>
        <v/>
      </c>
      <c r="AA176" s="173"/>
      <c r="AB176" s="269" t="str">
        <f>IF(AA176="","",IF(VLOOKUP(AA176,'G-3 Multipliers'!$L$3:$N$6,2,FALSE)=0,"Spatial Data Missing",VLOOKUP(AA176,'G-3 Multipliers'!$L$3:$N$6,2,FALSE)))</f>
        <v/>
      </c>
      <c r="AC176" s="176" t="str">
        <f>IF(AA176="","",IF(VLOOKUP(AA176,'G-3 Multipliers'!$L$3:$N$6,3,FALSE)=0,"Spatial Data Missing",VLOOKUP(AA176,'G-3 Multipliers'!$L$3:$N$6,3,FALSE)))</f>
        <v/>
      </c>
      <c r="AD176" s="239" t="str">
        <f t="shared" si="27"/>
        <v/>
      </c>
      <c r="AE176" s="275"/>
      <c r="AF176" s="275"/>
      <c r="AG176" s="175" t="str">
        <f t="shared" si="30"/>
        <v/>
      </c>
      <c r="AH176" s="242" t="str">
        <f t="shared" si="31"/>
        <v/>
      </c>
      <c r="AI176" s="335" t="str">
        <f>IF(AH176="Check Data","Check Data",IFERROR(VLOOKUP(AH176,'G-4 Temporal multipliers'!$A$4:$C$36,3,FALSE),""))</f>
        <v/>
      </c>
      <c r="AJ176" s="239" t="str">
        <f>IF(S176="","",VLOOKUP(S176,'G-3 Multipliers'!$A$2:$E$130,4,FALSE))</f>
        <v/>
      </c>
      <c r="AK176" s="175" t="str">
        <f t="shared" si="32"/>
        <v/>
      </c>
      <c r="AL176" s="175" t="str">
        <f t="shared" si="33"/>
        <v/>
      </c>
      <c r="AM176" s="176" t="str">
        <f>IFERROR(IF(F176="","",IF(AH176="Check Data","Check Data",VLOOKUP(AL176, 'G-3 Multipliers'!$P$2:$Q$6,2,FALSE))),””)</f>
        <v/>
      </c>
      <c r="AN176" s="266"/>
      <c r="AO176" s="269" t="str">
        <f>IF(AN176="","",IF(VLOOKUP(AN176,'G-3 Multipliers'!$S$3:$T$9,2,FALSE)=0,"Spatial Data Missing",VLOOKUP(AN176,'G-3 Multipliers'!$S$3:$T$9,2,FALSE)))</f>
        <v/>
      </c>
      <c r="AP176" s="207" t="str">
        <f t="shared" si="34"/>
        <v/>
      </c>
      <c r="AQ176" s="336"/>
      <c r="AR176" s="181"/>
    </row>
    <row r="177" spans="1:44" x14ac:dyDescent="0.25">
      <c r="A177" s="35" t="str">
        <f>IF(E177="","",IF(ISNA(VLOOKUP($E177,'D-1 Off Site Habitat Baseline'!$D$1:$O$258,2,FALSE)),"",(VLOOKUP($E177,'D-1 Off Site Habitat Baseline'!$D$1:$O$258,2,FALSE))))</f>
        <v/>
      </c>
      <c r="B177" s="35" t="str">
        <f>IF(E177="","",IF(ISNA(VLOOKUP($E177,'D-1 Off Site Habitat Baseline'!$D$1:$O$258,3,FALSE)),"",(VLOOKUP($E177,'D-1 Off Site Habitat Baseline'!$D$1:$O$258,3,FALSE))))</f>
        <v/>
      </c>
      <c r="C177" s="35" t="str">
        <f>IFERROR(INDEX('G-8 Condition Look up'!$I$4:$I$131,MATCH(S177,'G-8 Condition Look up'!$A$4:$A$131,0)),"")</f>
        <v/>
      </c>
      <c r="E177" s="329" t="str">
        <f>'D-1 Off Site Habitat Baseline'!AL176</f>
        <v/>
      </c>
      <c r="F177" s="175" t="str">
        <f>IF(E177="","",IF(ISNA(VLOOKUP($E177,'D-1 Off Site Habitat Baseline'!$D$1:$O$258,4,FALSE)),"",(VLOOKUP($E177,'D-1 Off Site Habitat Baseline'!$D$1:$O$258,4,FALSE))))</f>
        <v/>
      </c>
      <c r="G177" s="175" t="str">
        <f>IF(E177="","",IF(ISNA(VLOOKUP($E177,'D-1 Off Site Habitat Baseline'!$D$1:$O$258,5,FALSE)),"",(VLOOKUP($E177,'D-1 Off Site Habitat Baseline'!$D$1:$O$258,5,FALSE))))</f>
        <v/>
      </c>
      <c r="H177" s="175" t="str">
        <f>IF(E177="","",IF(ISNA(VLOOKUP($E177,'D-1 Off Site Habitat Baseline'!$D$1:$O$258,6,FALSE)),"",(VLOOKUP($E177,'D-1 Off Site Habitat Baseline'!$D$1:$O$258,6,FALSE))))</f>
        <v/>
      </c>
      <c r="I177" s="175" t="str">
        <f>IF(E177="","",IF(ISNA(VLOOKUP($E177,'D-1 Off Site Habitat Baseline'!$D$1:$O$258,7,FALSE)),"",(VLOOKUP($E177,'D-1 Off Site Habitat Baseline'!$D$1:$O$258,7,FALSE))))</f>
        <v/>
      </c>
      <c r="J177" s="175" t="str">
        <f>IF(E177="","",IF(ISNA(VLOOKUP($E177,'D-1 Off Site Habitat Baseline'!$D$1:$O$258,8,FALSE)),"",(VLOOKUP($E177,'D-1 Off Site Habitat Baseline'!$D$1:$O$258,8,FALSE))))</f>
        <v/>
      </c>
      <c r="K177" s="175" t="str">
        <f>IF(E177="","",IF(ISNA(VLOOKUP($E177,'D-1 Off Site Habitat Baseline'!$D$1:$O$258,9,FALSE)),"",(VLOOKUP($E177,'D-1 Off Site Habitat Baseline'!$D$1:$O$258,9,FALSE))))</f>
        <v/>
      </c>
      <c r="L177" s="175" t="str">
        <f>IF(E177="","",IF(ISNA(VLOOKUP($E177,'D-1 Off Site Habitat Baseline'!$D$1:$O$258,11,FALSE)),"",(VLOOKUP($E177,'D-1 Off Site Habitat Baseline'!$D$1:$O$258,11,FALSE))))</f>
        <v/>
      </c>
      <c r="M177" s="175" t="str">
        <f>IF(E177="","",IF(ISNA(VLOOKUP($E177,'D-1 Off Site Habitat Baseline'!$D$1:$O$258,12,FALSE)),"",(VLOOKUP($E177,'D-1 Off Site Habitat Baseline'!$D$1:$O$258,12,FALSE))))</f>
        <v/>
      </c>
      <c r="N177" s="175" t="str">
        <f>IF(E177="","",IF(ISNA(VLOOKUP($E177,'D-1 Off Site Habitat Baseline'!$D$1:$X$258,14,FALSE)),"",(VLOOKUP($E177,'D-1 Off Site Habitat Baseline'!$D$1:$X$258,14,FALSE))))</f>
        <v/>
      </c>
      <c r="O177" s="176" t="str">
        <f>IF(E177="","",IF(ISNA(VLOOKUP($E177,'D-1 Off Site Habitat Baseline'!$D$1:$X$258,13,FALSE)),"",(VLOOKUP($E177,'D-1 Off Site Habitat Baseline'!$D$1:$X$258,13,FALSE))))</f>
        <v/>
      </c>
      <c r="P177" s="337" t="str">
        <f>IFERROR(INDEX('G-1 All Habitats'!$AG$3:$AG$15,MATCH(Q177,'G-1 All Habitats'!$AF$3:$AF$15,0)),"")</f>
        <v/>
      </c>
      <c r="Q177" s="331" t="str">
        <f t="shared" si="35"/>
        <v/>
      </c>
      <c r="R177" s="332" t="str">
        <f t="shared" si="36"/>
        <v/>
      </c>
      <c r="S177" s="338" t="str">
        <f>IFERROR(INDEX('G-1 All Habitats'!$B$3:$B$130,MATCH(R177,'G-1 All Habitats'!$A$3:$A$130,0)),"")</f>
        <v/>
      </c>
      <c r="T177" s="179" t="str">
        <f t="shared" si="28"/>
        <v/>
      </c>
      <c r="U177" s="172" t="str">
        <f t="shared" si="29"/>
        <v/>
      </c>
      <c r="V177" s="334" t="str">
        <f t="shared" si="26"/>
        <v/>
      </c>
      <c r="W177" s="175" t="str">
        <f>IF(S177="","",VLOOKUP(S177,'G-1 All Habitats'!$B$2:$M$130,10,FALSE))</f>
        <v/>
      </c>
      <c r="X177" s="175" t="str">
        <f>IFERROR(VLOOKUP(W177,'G-1 All Habitats'!$V$3:$W$7,2,FALSE),"")</f>
        <v/>
      </c>
      <c r="Y177" s="275"/>
      <c r="Z177" s="176" t="str">
        <f>IFERROR(INDEX('G-8 Condition Look up'!$A$3:$H$131,MATCH(S177,'G-8 Condition Look up'!$A$3:$A$131,0),MATCH(Y177,'G-8 Condition Look up'!$A$3:$H$3,0)),"")</f>
        <v/>
      </c>
      <c r="AA177" s="173"/>
      <c r="AB177" s="269" t="str">
        <f>IF(AA177="","",IF(VLOOKUP(AA177,'G-3 Multipliers'!$L$3:$N$6,2,FALSE)=0,"Spatial Data Missing",VLOOKUP(AA177,'G-3 Multipliers'!$L$3:$N$6,2,FALSE)))</f>
        <v/>
      </c>
      <c r="AC177" s="176" t="str">
        <f>IF(AA177="","",IF(VLOOKUP(AA177,'G-3 Multipliers'!$L$3:$N$6,3,FALSE)=0,"Spatial Data Missing",VLOOKUP(AA177,'G-3 Multipliers'!$L$3:$N$6,3,FALSE)))</f>
        <v/>
      </c>
      <c r="AD177" s="239" t="str">
        <f t="shared" si="27"/>
        <v/>
      </c>
      <c r="AE177" s="275"/>
      <c r="AF177" s="275"/>
      <c r="AG177" s="175" t="str">
        <f t="shared" si="30"/>
        <v/>
      </c>
      <c r="AH177" s="242" t="str">
        <f t="shared" si="31"/>
        <v/>
      </c>
      <c r="AI177" s="335" t="str">
        <f>IF(AH177="Check Data","Check Data",IFERROR(VLOOKUP(AH177,'G-4 Temporal multipliers'!$A$4:$C$36,3,FALSE),""))</f>
        <v/>
      </c>
      <c r="AJ177" s="239" t="str">
        <f>IF(S177="","",VLOOKUP(S177,'G-3 Multipliers'!$A$2:$E$130,4,FALSE))</f>
        <v/>
      </c>
      <c r="AK177" s="175" t="str">
        <f t="shared" si="32"/>
        <v/>
      </c>
      <c r="AL177" s="175" t="str">
        <f t="shared" si="33"/>
        <v/>
      </c>
      <c r="AM177" s="176" t="str">
        <f>IFERROR(IF(F177="","",IF(AH177="Check Data","Check Data",VLOOKUP(AL177, 'G-3 Multipliers'!$P$2:$Q$6,2,FALSE))),””)</f>
        <v/>
      </c>
      <c r="AN177" s="266"/>
      <c r="AO177" s="269" t="str">
        <f>IF(AN177="","",IF(VLOOKUP(AN177,'G-3 Multipliers'!$S$3:$T$9,2,FALSE)=0,"Spatial Data Missing",VLOOKUP(AN177,'G-3 Multipliers'!$S$3:$T$9,2,FALSE)))</f>
        <v/>
      </c>
      <c r="AP177" s="207" t="str">
        <f t="shared" si="34"/>
        <v/>
      </c>
      <c r="AQ177" s="336"/>
      <c r="AR177" s="181"/>
    </row>
    <row r="178" spans="1:44" x14ac:dyDescent="0.25">
      <c r="A178" s="35" t="str">
        <f>IF(E178="","",IF(ISNA(VLOOKUP($E178,'D-1 Off Site Habitat Baseline'!$D$1:$O$258,2,FALSE)),"",(VLOOKUP($E178,'D-1 Off Site Habitat Baseline'!$D$1:$O$258,2,FALSE))))</f>
        <v/>
      </c>
      <c r="B178" s="35" t="str">
        <f>IF(E178="","",IF(ISNA(VLOOKUP($E178,'D-1 Off Site Habitat Baseline'!$D$1:$O$258,3,FALSE)),"",(VLOOKUP($E178,'D-1 Off Site Habitat Baseline'!$D$1:$O$258,3,FALSE))))</f>
        <v/>
      </c>
      <c r="C178" s="35" t="str">
        <f>IFERROR(INDEX('G-8 Condition Look up'!$I$4:$I$131,MATCH(S178,'G-8 Condition Look up'!$A$4:$A$131,0)),"")</f>
        <v/>
      </c>
      <c r="E178" s="329" t="str">
        <f>'D-1 Off Site Habitat Baseline'!AL177</f>
        <v/>
      </c>
      <c r="F178" s="175" t="str">
        <f>IF(E178="","",IF(ISNA(VLOOKUP($E178,'D-1 Off Site Habitat Baseline'!$D$1:$O$258,4,FALSE)),"",(VLOOKUP($E178,'D-1 Off Site Habitat Baseline'!$D$1:$O$258,4,FALSE))))</f>
        <v/>
      </c>
      <c r="G178" s="175" t="str">
        <f>IF(E178="","",IF(ISNA(VLOOKUP($E178,'D-1 Off Site Habitat Baseline'!$D$1:$O$258,5,FALSE)),"",(VLOOKUP($E178,'D-1 Off Site Habitat Baseline'!$D$1:$O$258,5,FALSE))))</f>
        <v/>
      </c>
      <c r="H178" s="175" t="str">
        <f>IF(E178="","",IF(ISNA(VLOOKUP($E178,'D-1 Off Site Habitat Baseline'!$D$1:$O$258,6,FALSE)),"",(VLOOKUP($E178,'D-1 Off Site Habitat Baseline'!$D$1:$O$258,6,FALSE))))</f>
        <v/>
      </c>
      <c r="I178" s="175" t="str">
        <f>IF(E178="","",IF(ISNA(VLOOKUP($E178,'D-1 Off Site Habitat Baseline'!$D$1:$O$258,7,FALSE)),"",(VLOOKUP($E178,'D-1 Off Site Habitat Baseline'!$D$1:$O$258,7,FALSE))))</f>
        <v/>
      </c>
      <c r="J178" s="175" t="str">
        <f>IF(E178="","",IF(ISNA(VLOOKUP($E178,'D-1 Off Site Habitat Baseline'!$D$1:$O$258,8,FALSE)),"",(VLOOKUP($E178,'D-1 Off Site Habitat Baseline'!$D$1:$O$258,8,FALSE))))</f>
        <v/>
      </c>
      <c r="K178" s="175" t="str">
        <f>IF(E178="","",IF(ISNA(VLOOKUP($E178,'D-1 Off Site Habitat Baseline'!$D$1:$O$258,9,FALSE)),"",(VLOOKUP($E178,'D-1 Off Site Habitat Baseline'!$D$1:$O$258,9,FALSE))))</f>
        <v/>
      </c>
      <c r="L178" s="175" t="str">
        <f>IF(E178="","",IF(ISNA(VLOOKUP($E178,'D-1 Off Site Habitat Baseline'!$D$1:$O$258,11,FALSE)),"",(VLOOKUP($E178,'D-1 Off Site Habitat Baseline'!$D$1:$O$258,11,FALSE))))</f>
        <v/>
      </c>
      <c r="M178" s="175" t="str">
        <f>IF(E178="","",IF(ISNA(VLOOKUP($E178,'D-1 Off Site Habitat Baseline'!$D$1:$O$258,12,FALSE)),"",(VLOOKUP($E178,'D-1 Off Site Habitat Baseline'!$D$1:$O$258,12,FALSE))))</f>
        <v/>
      </c>
      <c r="N178" s="175" t="str">
        <f>IF(E178="","",IF(ISNA(VLOOKUP($E178,'D-1 Off Site Habitat Baseline'!$D$1:$X$258,14,FALSE)),"",(VLOOKUP($E178,'D-1 Off Site Habitat Baseline'!$D$1:$X$258,14,FALSE))))</f>
        <v/>
      </c>
      <c r="O178" s="176" t="str">
        <f>IF(E178="","",IF(ISNA(VLOOKUP($E178,'D-1 Off Site Habitat Baseline'!$D$1:$X$258,13,FALSE)),"",(VLOOKUP($E178,'D-1 Off Site Habitat Baseline'!$D$1:$X$258,13,FALSE))))</f>
        <v/>
      </c>
      <c r="P178" s="337" t="str">
        <f>IFERROR(INDEX('G-1 All Habitats'!$AG$3:$AG$15,MATCH(Q178,'G-1 All Habitats'!$AF$3:$AF$15,0)),"")</f>
        <v/>
      </c>
      <c r="Q178" s="331" t="str">
        <f t="shared" si="35"/>
        <v/>
      </c>
      <c r="R178" s="332" t="str">
        <f t="shared" si="36"/>
        <v/>
      </c>
      <c r="S178" s="338" t="str">
        <f>IFERROR(INDEX('G-1 All Habitats'!$B$3:$B$130,MATCH(R178,'G-1 All Habitats'!$A$3:$A$130,0)),"")</f>
        <v/>
      </c>
      <c r="T178" s="179" t="str">
        <f t="shared" si="28"/>
        <v/>
      </c>
      <c r="U178" s="172" t="str">
        <f t="shared" si="29"/>
        <v/>
      </c>
      <c r="V178" s="334" t="str">
        <f t="shared" si="26"/>
        <v/>
      </c>
      <c r="W178" s="175" t="str">
        <f>IF(S178="","",VLOOKUP(S178,'G-1 All Habitats'!$B$2:$M$130,10,FALSE))</f>
        <v/>
      </c>
      <c r="X178" s="175" t="str">
        <f>IFERROR(VLOOKUP(W178,'G-1 All Habitats'!$V$3:$W$7,2,FALSE),"")</f>
        <v/>
      </c>
      <c r="Y178" s="275"/>
      <c r="Z178" s="176" t="str">
        <f>IFERROR(INDEX('G-8 Condition Look up'!$A$3:$H$131,MATCH(S178,'G-8 Condition Look up'!$A$3:$A$131,0),MATCH(Y178,'G-8 Condition Look up'!$A$3:$H$3,0)),"")</f>
        <v/>
      </c>
      <c r="AA178" s="173"/>
      <c r="AB178" s="269" t="str">
        <f>IF(AA178="","",IF(VLOOKUP(AA178,'G-3 Multipliers'!$L$3:$N$6,2,FALSE)=0,"Spatial Data Missing",VLOOKUP(AA178,'G-3 Multipliers'!$L$3:$N$6,2,FALSE)))</f>
        <v/>
      </c>
      <c r="AC178" s="176" t="str">
        <f>IF(AA178="","",IF(VLOOKUP(AA178,'G-3 Multipliers'!$L$3:$N$6,3,FALSE)=0,"Spatial Data Missing",VLOOKUP(AA178,'G-3 Multipliers'!$L$3:$N$6,3,FALSE)))</f>
        <v/>
      </c>
      <c r="AD178" s="239" t="str">
        <f t="shared" si="27"/>
        <v/>
      </c>
      <c r="AE178" s="275"/>
      <c r="AF178" s="275"/>
      <c r="AG178" s="175" t="str">
        <f t="shared" si="30"/>
        <v/>
      </c>
      <c r="AH178" s="242" t="str">
        <f t="shared" si="31"/>
        <v/>
      </c>
      <c r="AI178" s="335" t="str">
        <f>IF(AH178="Check Data","Check Data",IFERROR(VLOOKUP(AH178,'G-4 Temporal multipliers'!$A$4:$C$36,3,FALSE),""))</f>
        <v/>
      </c>
      <c r="AJ178" s="239" t="str">
        <f>IF(S178="","",VLOOKUP(S178,'G-3 Multipliers'!$A$2:$E$130,4,FALSE))</f>
        <v/>
      </c>
      <c r="AK178" s="175" t="str">
        <f t="shared" si="32"/>
        <v/>
      </c>
      <c r="AL178" s="175" t="str">
        <f t="shared" si="33"/>
        <v/>
      </c>
      <c r="AM178" s="176" t="str">
        <f>IFERROR(IF(F178="","",IF(AH178="Check Data","Check Data",VLOOKUP(AL178, 'G-3 Multipliers'!$P$2:$Q$6,2,FALSE))),””)</f>
        <v/>
      </c>
      <c r="AN178" s="266"/>
      <c r="AO178" s="269" t="str">
        <f>IF(AN178="","",IF(VLOOKUP(AN178,'G-3 Multipliers'!$S$3:$T$9,2,FALSE)=0,"Spatial Data Missing",VLOOKUP(AN178,'G-3 Multipliers'!$S$3:$T$9,2,FALSE)))</f>
        <v/>
      </c>
      <c r="AP178" s="207" t="str">
        <f t="shared" si="34"/>
        <v/>
      </c>
      <c r="AQ178" s="336"/>
      <c r="AR178" s="181"/>
    </row>
    <row r="179" spans="1:44" x14ac:dyDescent="0.25">
      <c r="A179" s="35" t="str">
        <f>IF(E179="","",IF(ISNA(VLOOKUP($E179,'D-1 Off Site Habitat Baseline'!$D$1:$O$258,2,FALSE)),"",(VLOOKUP($E179,'D-1 Off Site Habitat Baseline'!$D$1:$O$258,2,FALSE))))</f>
        <v/>
      </c>
      <c r="B179" s="35" t="str">
        <f>IF(E179="","",IF(ISNA(VLOOKUP($E179,'D-1 Off Site Habitat Baseline'!$D$1:$O$258,3,FALSE)),"",(VLOOKUP($E179,'D-1 Off Site Habitat Baseline'!$D$1:$O$258,3,FALSE))))</f>
        <v/>
      </c>
      <c r="C179" s="35" t="str">
        <f>IFERROR(INDEX('G-8 Condition Look up'!$I$4:$I$131,MATCH(S179,'G-8 Condition Look up'!$A$4:$A$131,0)),"")</f>
        <v/>
      </c>
      <c r="E179" s="329" t="str">
        <f>'D-1 Off Site Habitat Baseline'!AL178</f>
        <v/>
      </c>
      <c r="F179" s="175" t="str">
        <f>IF(E179="","",IF(ISNA(VLOOKUP($E179,'D-1 Off Site Habitat Baseline'!$D$1:$O$258,4,FALSE)),"",(VLOOKUP($E179,'D-1 Off Site Habitat Baseline'!$D$1:$O$258,4,FALSE))))</f>
        <v/>
      </c>
      <c r="G179" s="175" t="str">
        <f>IF(E179="","",IF(ISNA(VLOOKUP($E179,'D-1 Off Site Habitat Baseline'!$D$1:$O$258,5,FALSE)),"",(VLOOKUP($E179,'D-1 Off Site Habitat Baseline'!$D$1:$O$258,5,FALSE))))</f>
        <v/>
      </c>
      <c r="H179" s="175" t="str">
        <f>IF(E179="","",IF(ISNA(VLOOKUP($E179,'D-1 Off Site Habitat Baseline'!$D$1:$O$258,6,FALSE)),"",(VLOOKUP($E179,'D-1 Off Site Habitat Baseline'!$D$1:$O$258,6,FALSE))))</f>
        <v/>
      </c>
      <c r="I179" s="175" t="str">
        <f>IF(E179="","",IF(ISNA(VLOOKUP($E179,'D-1 Off Site Habitat Baseline'!$D$1:$O$258,7,FALSE)),"",(VLOOKUP($E179,'D-1 Off Site Habitat Baseline'!$D$1:$O$258,7,FALSE))))</f>
        <v/>
      </c>
      <c r="J179" s="175" t="str">
        <f>IF(E179="","",IF(ISNA(VLOOKUP($E179,'D-1 Off Site Habitat Baseline'!$D$1:$O$258,8,FALSE)),"",(VLOOKUP($E179,'D-1 Off Site Habitat Baseline'!$D$1:$O$258,8,FALSE))))</f>
        <v/>
      </c>
      <c r="K179" s="175" t="str">
        <f>IF(E179="","",IF(ISNA(VLOOKUP($E179,'D-1 Off Site Habitat Baseline'!$D$1:$O$258,9,FALSE)),"",(VLOOKUP($E179,'D-1 Off Site Habitat Baseline'!$D$1:$O$258,9,FALSE))))</f>
        <v/>
      </c>
      <c r="L179" s="175" t="str">
        <f>IF(E179="","",IF(ISNA(VLOOKUP($E179,'D-1 Off Site Habitat Baseline'!$D$1:$O$258,11,FALSE)),"",(VLOOKUP($E179,'D-1 Off Site Habitat Baseline'!$D$1:$O$258,11,FALSE))))</f>
        <v/>
      </c>
      <c r="M179" s="175" t="str">
        <f>IF(E179="","",IF(ISNA(VLOOKUP($E179,'D-1 Off Site Habitat Baseline'!$D$1:$O$258,12,FALSE)),"",(VLOOKUP($E179,'D-1 Off Site Habitat Baseline'!$D$1:$O$258,12,FALSE))))</f>
        <v/>
      </c>
      <c r="N179" s="175" t="str">
        <f>IF(E179="","",IF(ISNA(VLOOKUP($E179,'D-1 Off Site Habitat Baseline'!$D$1:$X$258,14,FALSE)),"",(VLOOKUP($E179,'D-1 Off Site Habitat Baseline'!$D$1:$X$258,14,FALSE))))</f>
        <v/>
      </c>
      <c r="O179" s="176" t="str">
        <f>IF(E179="","",IF(ISNA(VLOOKUP($E179,'D-1 Off Site Habitat Baseline'!$D$1:$X$258,13,FALSE)),"",(VLOOKUP($E179,'D-1 Off Site Habitat Baseline'!$D$1:$X$258,13,FALSE))))</f>
        <v/>
      </c>
      <c r="P179" s="337" t="str">
        <f>IFERROR(INDEX('G-1 All Habitats'!$AG$3:$AG$15,MATCH(Q179,'G-1 All Habitats'!$AF$3:$AF$15,0)),"")</f>
        <v/>
      </c>
      <c r="Q179" s="331" t="str">
        <f t="shared" si="35"/>
        <v/>
      </c>
      <c r="R179" s="332" t="str">
        <f t="shared" si="36"/>
        <v/>
      </c>
      <c r="S179" s="338" t="str">
        <f>IFERROR(INDEX('G-1 All Habitats'!$B$3:$B$130,MATCH(R179,'G-1 All Habitats'!$A$3:$A$130,0)),"")</f>
        <v/>
      </c>
      <c r="T179" s="179" t="str">
        <f t="shared" si="28"/>
        <v/>
      </c>
      <c r="U179" s="172" t="str">
        <f t="shared" si="29"/>
        <v/>
      </c>
      <c r="V179" s="334" t="str">
        <f t="shared" si="26"/>
        <v/>
      </c>
      <c r="W179" s="175" t="str">
        <f>IF(S179="","",VLOOKUP(S179,'G-1 All Habitats'!$B$2:$M$130,10,FALSE))</f>
        <v/>
      </c>
      <c r="X179" s="175" t="str">
        <f>IFERROR(VLOOKUP(W179,'G-1 All Habitats'!$V$3:$W$7,2,FALSE),"")</f>
        <v/>
      </c>
      <c r="Y179" s="275"/>
      <c r="Z179" s="176" t="str">
        <f>IFERROR(INDEX('G-8 Condition Look up'!$A$3:$H$131,MATCH(S179,'G-8 Condition Look up'!$A$3:$A$131,0),MATCH(Y179,'G-8 Condition Look up'!$A$3:$H$3,0)),"")</f>
        <v/>
      </c>
      <c r="AA179" s="173"/>
      <c r="AB179" s="269" t="str">
        <f>IF(AA179="","",IF(VLOOKUP(AA179,'G-3 Multipliers'!$L$3:$N$6,2,FALSE)=0,"Spatial Data Missing",VLOOKUP(AA179,'G-3 Multipliers'!$L$3:$N$6,2,FALSE)))</f>
        <v/>
      </c>
      <c r="AC179" s="176" t="str">
        <f>IF(AA179="","",IF(VLOOKUP(AA179,'G-3 Multipliers'!$L$3:$N$6,3,FALSE)=0,"Spatial Data Missing",VLOOKUP(AA179,'G-3 Multipliers'!$L$3:$N$6,3,FALSE)))</f>
        <v/>
      </c>
      <c r="AD179" s="239" t="str">
        <f t="shared" si="27"/>
        <v/>
      </c>
      <c r="AE179" s="275"/>
      <c r="AF179" s="275"/>
      <c r="AG179" s="175" t="str">
        <f t="shared" si="30"/>
        <v/>
      </c>
      <c r="AH179" s="242" t="str">
        <f t="shared" si="31"/>
        <v/>
      </c>
      <c r="AI179" s="335" t="str">
        <f>IF(AH179="Check Data","Check Data",IFERROR(VLOOKUP(AH179,'G-4 Temporal multipliers'!$A$4:$C$36,3,FALSE),""))</f>
        <v/>
      </c>
      <c r="AJ179" s="239" t="str">
        <f>IF(S179="","",VLOOKUP(S179,'G-3 Multipliers'!$A$2:$E$130,4,FALSE))</f>
        <v/>
      </c>
      <c r="AK179" s="175" t="str">
        <f t="shared" si="32"/>
        <v/>
      </c>
      <c r="AL179" s="175" t="str">
        <f t="shared" si="33"/>
        <v/>
      </c>
      <c r="AM179" s="176" t="str">
        <f>IFERROR(IF(F179="","",IF(AH179="Check Data","Check Data",VLOOKUP(AL179, 'G-3 Multipliers'!$P$2:$Q$6,2,FALSE))),””)</f>
        <v/>
      </c>
      <c r="AN179" s="266"/>
      <c r="AO179" s="269" t="str">
        <f>IF(AN179="","",IF(VLOOKUP(AN179,'G-3 Multipliers'!$S$3:$T$9,2,FALSE)=0,"Spatial Data Missing",VLOOKUP(AN179,'G-3 Multipliers'!$S$3:$T$9,2,FALSE)))</f>
        <v/>
      </c>
      <c r="AP179" s="207" t="str">
        <f t="shared" si="34"/>
        <v/>
      </c>
      <c r="AQ179" s="336"/>
      <c r="AR179" s="181"/>
    </row>
    <row r="180" spans="1:44" x14ac:dyDescent="0.25">
      <c r="A180" s="35" t="str">
        <f>IF(E180="","",IF(ISNA(VLOOKUP($E180,'D-1 Off Site Habitat Baseline'!$D$1:$O$258,2,FALSE)),"",(VLOOKUP($E180,'D-1 Off Site Habitat Baseline'!$D$1:$O$258,2,FALSE))))</f>
        <v/>
      </c>
      <c r="B180" s="35" t="str">
        <f>IF(E180="","",IF(ISNA(VLOOKUP($E180,'D-1 Off Site Habitat Baseline'!$D$1:$O$258,3,FALSE)),"",(VLOOKUP($E180,'D-1 Off Site Habitat Baseline'!$D$1:$O$258,3,FALSE))))</f>
        <v/>
      </c>
      <c r="C180" s="35" t="str">
        <f>IFERROR(INDEX('G-8 Condition Look up'!$I$4:$I$131,MATCH(S180,'G-8 Condition Look up'!$A$4:$A$131,0)),"")</f>
        <v/>
      </c>
      <c r="E180" s="329" t="str">
        <f>'D-1 Off Site Habitat Baseline'!AL179</f>
        <v/>
      </c>
      <c r="F180" s="175" t="str">
        <f>IF(E180="","",IF(ISNA(VLOOKUP($E180,'D-1 Off Site Habitat Baseline'!$D$1:$O$258,4,FALSE)),"",(VLOOKUP($E180,'D-1 Off Site Habitat Baseline'!$D$1:$O$258,4,FALSE))))</f>
        <v/>
      </c>
      <c r="G180" s="175" t="str">
        <f>IF(E180="","",IF(ISNA(VLOOKUP($E180,'D-1 Off Site Habitat Baseline'!$D$1:$O$258,5,FALSE)),"",(VLOOKUP($E180,'D-1 Off Site Habitat Baseline'!$D$1:$O$258,5,FALSE))))</f>
        <v/>
      </c>
      <c r="H180" s="175" t="str">
        <f>IF(E180="","",IF(ISNA(VLOOKUP($E180,'D-1 Off Site Habitat Baseline'!$D$1:$O$258,6,FALSE)),"",(VLOOKUP($E180,'D-1 Off Site Habitat Baseline'!$D$1:$O$258,6,FALSE))))</f>
        <v/>
      </c>
      <c r="I180" s="175" t="str">
        <f>IF(E180="","",IF(ISNA(VLOOKUP($E180,'D-1 Off Site Habitat Baseline'!$D$1:$O$258,7,FALSE)),"",(VLOOKUP($E180,'D-1 Off Site Habitat Baseline'!$D$1:$O$258,7,FALSE))))</f>
        <v/>
      </c>
      <c r="J180" s="175" t="str">
        <f>IF(E180="","",IF(ISNA(VLOOKUP($E180,'D-1 Off Site Habitat Baseline'!$D$1:$O$258,8,FALSE)),"",(VLOOKUP($E180,'D-1 Off Site Habitat Baseline'!$D$1:$O$258,8,FALSE))))</f>
        <v/>
      </c>
      <c r="K180" s="175" t="str">
        <f>IF(E180="","",IF(ISNA(VLOOKUP($E180,'D-1 Off Site Habitat Baseline'!$D$1:$O$258,9,FALSE)),"",(VLOOKUP($E180,'D-1 Off Site Habitat Baseline'!$D$1:$O$258,9,FALSE))))</f>
        <v/>
      </c>
      <c r="L180" s="175" t="str">
        <f>IF(E180="","",IF(ISNA(VLOOKUP($E180,'D-1 Off Site Habitat Baseline'!$D$1:$O$258,11,FALSE)),"",(VLOOKUP($E180,'D-1 Off Site Habitat Baseline'!$D$1:$O$258,11,FALSE))))</f>
        <v/>
      </c>
      <c r="M180" s="175" t="str">
        <f>IF(E180="","",IF(ISNA(VLOOKUP($E180,'D-1 Off Site Habitat Baseline'!$D$1:$O$258,12,FALSE)),"",(VLOOKUP($E180,'D-1 Off Site Habitat Baseline'!$D$1:$O$258,12,FALSE))))</f>
        <v/>
      </c>
      <c r="N180" s="175" t="str">
        <f>IF(E180="","",IF(ISNA(VLOOKUP($E180,'D-1 Off Site Habitat Baseline'!$D$1:$X$258,14,FALSE)),"",(VLOOKUP($E180,'D-1 Off Site Habitat Baseline'!$D$1:$X$258,14,FALSE))))</f>
        <v/>
      </c>
      <c r="O180" s="176" t="str">
        <f>IF(E180="","",IF(ISNA(VLOOKUP($E180,'D-1 Off Site Habitat Baseline'!$D$1:$X$258,13,FALSE)),"",(VLOOKUP($E180,'D-1 Off Site Habitat Baseline'!$D$1:$X$258,13,FALSE))))</f>
        <v/>
      </c>
      <c r="P180" s="337" t="str">
        <f>IFERROR(INDEX('G-1 All Habitats'!$AG$3:$AG$15,MATCH(Q180,'G-1 All Habitats'!$AF$3:$AF$15,0)),"")</f>
        <v/>
      </c>
      <c r="Q180" s="331" t="str">
        <f t="shared" si="35"/>
        <v/>
      </c>
      <c r="R180" s="332" t="str">
        <f t="shared" si="36"/>
        <v/>
      </c>
      <c r="S180" s="338" t="str">
        <f>IFERROR(INDEX('G-1 All Habitats'!$B$3:$B$130,MATCH(R180,'G-1 All Habitats'!$A$3:$A$130,0)),"")</f>
        <v/>
      </c>
      <c r="T180" s="179" t="str">
        <f t="shared" si="28"/>
        <v/>
      </c>
      <c r="U180" s="172" t="str">
        <f t="shared" si="29"/>
        <v/>
      </c>
      <c r="V180" s="334" t="str">
        <f t="shared" si="26"/>
        <v/>
      </c>
      <c r="W180" s="175" t="str">
        <f>IF(S180="","",VLOOKUP(S180,'G-1 All Habitats'!$B$2:$M$130,10,FALSE))</f>
        <v/>
      </c>
      <c r="X180" s="175" t="str">
        <f>IFERROR(VLOOKUP(W180,'G-1 All Habitats'!$V$3:$W$7,2,FALSE),"")</f>
        <v/>
      </c>
      <c r="Y180" s="275"/>
      <c r="Z180" s="176" t="str">
        <f>IFERROR(INDEX('G-8 Condition Look up'!$A$3:$H$131,MATCH(S180,'G-8 Condition Look up'!$A$3:$A$131,0),MATCH(Y180,'G-8 Condition Look up'!$A$3:$H$3,0)),"")</f>
        <v/>
      </c>
      <c r="AA180" s="173"/>
      <c r="AB180" s="269" t="str">
        <f>IF(AA180="","",IF(VLOOKUP(AA180,'G-3 Multipliers'!$L$3:$N$6,2,FALSE)=0,"Spatial Data Missing",VLOOKUP(AA180,'G-3 Multipliers'!$L$3:$N$6,2,FALSE)))</f>
        <v/>
      </c>
      <c r="AC180" s="176" t="str">
        <f>IF(AA180="","",IF(VLOOKUP(AA180,'G-3 Multipliers'!$L$3:$N$6,3,FALSE)=0,"Spatial Data Missing",VLOOKUP(AA180,'G-3 Multipliers'!$L$3:$N$6,3,FALSE)))</f>
        <v/>
      </c>
      <c r="AD180" s="239" t="str">
        <f t="shared" si="27"/>
        <v/>
      </c>
      <c r="AE180" s="275"/>
      <c r="AF180" s="275"/>
      <c r="AG180" s="175" t="str">
        <f t="shared" si="30"/>
        <v/>
      </c>
      <c r="AH180" s="242" t="str">
        <f t="shared" si="31"/>
        <v/>
      </c>
      <c r="AI180" s="335" t="str">
        <f>IF(AH180="Check Data","Check Data",IFERROR(VLOOKUP(AH180,'G-4 Temporal multipliers'!$A$4:$C$36,3,FALSE),""))</f>
        <v/>
      </c>
      <c r="AJ180" s="239" t="str">
        <f>IF(S180="","",VLOOKUP(S180,'G-3 Multipliers'!$A$2:$E$130,4,FALSE))</f>
        <v/>
      </c>
      <c r="AK180" s="175" t="str">
        <f t="shared" si="32"/>
        <v/>
      </c>
      <c r="AL180" s="175" t="str">
        <f t="shared" si="33"/>
        <v/>
      </c>
      <c r="AM180" s="176" t="str">
        <f>IFERROR(IF(F180="","",IF(AH180="Check Data","Check Data",VLOOKUP(AL180, 'G-3 Multipliers'!$P$2:$Q$6,2,FALSE))),””)</f>
        <v/>
      </c>
      <c r="AN180" s="266"/>
      <c r="AO180" s="269" t="str">
        <f>IF(AN180="","",IF(VLOOKUP(AN180,'G-3 Multipliers'!$S$3:$T$9,2,FALSE)=0,"Spatial Data Missing",VLOOKUP(AN180,'G-3 Multipliers'!$S$3:$T$9,2,FALSE)))</f>
        <v/>
      </c>
      <c r="AP180" s="207" t="str">
        <f t="shared" si="34"/>
        <v/>
      </c>
      <c r="AQ180" s="336"/>
      <c r="AR180" s="181"/>
    </row>
    <row r="181" spans="1:44" x14ac:dyDescent="0.25">
      <c r="A181" s="35" t="str">
        <f>IF(E181="","",IF(ISNA(VLOOKUP($E181,'D-1 Off Site Habitat Baseline'!$D$1:$O$258,2,FALSE)),"",(VLOOKUP($E181,'D-1 Off Site Habitat Baseline'!$D$1:$O$258,2,FALSE))))</f>
        <v/>
      </c>
      <c r="B181" s="35" t="str">
        <f>IF(E181="","",IF(ISNA(VLOOKUP($E181,'D-1 Off Site Habitat Baseline'!$D$1:$O$258,3,FALSE)),"",(VLOOKUP($E181,'D-1 Off Site Habitat Baseline'!$D$1:$O$258,3,FALSE))))</f>
        <v/>
      </c>
      <c r="C181" s="35" t="str">
        <f>IFERROR(INDEX('G-8 Condition Look up'!$I$4:$I$131,MATCH(S181,'G-8 Condition Look up'!$A$4:$A$131,0)),"")</f>
        <v/>
      </c>
      <c r="E181" s="329" t="str">
        <f>'D-1 Off Site Habitat Baseline'!AL180</f>
        <v/>
      </c>
      <c r="F181" s="175" t="str">
        <f>IF(E181="","",IF(ISNA(VLOOKUP($E181,'D-1 Off Site Habitat Baseline'!$D$1:$O$258,4,FALSE)),"",(VLOOKUP($E181,'D-1 Off Site Habitat Baseline'!$D$1:$O$258,4,FALSE))))</f>
        <v/>
      </c>
      <c r="G181" s="175" t="str">
        <f>IF(E181="","",IF(ISNA(VLOOKUP($E181,'D-1 Off Site Habitat Baseline'!$D$1:$O$258,5,FALSE)),"",(VLOOKUP($E181,'D-1 Off Site Habitat Baseline'!$D$1:$O$258,5,FALSE))))</f>
        <v/>
      </c>
      <c r="H181" s="175" t="str">
        <f>IF(E181="","",IF(ISNA(VLOOKUP($E181,'D-1 Off Site Habitat Baseline'!$D$1:$O$258,6,FALSE)),"",(VLOOKUP($E181,'D-1 Off Site Habitat Baseline'!$D$1:$O$258,6,FALSE))))</f>
        <v/>
      </c>
      <c r="I181" s="175" t="str">
        <f>IF(E181="","",IF(ISNA(VLOOKUP($E181,'D-1 Off Site Habitat Baseline'!$D$1:$O$258,7,FALSE)),"",(VLOOKUP($E181,'D-1 Off Site Habitat Baseline'!$D$1:$O$258,7,FALSE))))</f>
        <v/>
      </c>
      <c r="J181" s="175" t="str">
        <f>IF(E181="","",IF(ISNA(VLOOKUP($E181,'D-1 Off Site Habitat Baseline'!$D$1:$O$258,8,FALSE)),"",(VLOOKUP($E181,'D-1 Off Site Habitat Baseline'!$D$1:$O$258,8,FALSE))))</f>
        <v/>
      </c>
      <c r="K181" s="175" t="str">
        <f>IF(E181="","",IF(ISNA(VLOOKUP($E181,'D-1 Off Site Habitat Baseline'!$D$1:$O$258,9,FALSE)),"",(VLOOKUP($E181,'D-1 Off Site Habitat Baseline'!$D$1:$O$258,9,FALSE))))</f>
        <v/>
      </c>
      <c r="L181" s="175" t="str">
        <f>IF(E181="","",IF(ISNA(VLOOKUP($E181,'D-1 Off Site Habitat Baseline'!$D$1:$O$258,11,FALSE)),"",(VLOOKUP($E181,'D-1 Off Site Habitat Baseline'!$D$1:$O$258,11,FALSE))))</f>
        <v/>
      </c>
      <c r="M181" s="175" t="str">
        <f>IF(E181="","",IF(ISNA(VLOOKUP($E181,'D-1 Off Site Habitat Baseline'!$D$1:$O$258,12,FALSE)),"",(VLOOKUP($E181,'D-1 Off Site Habitat Baseline'!$D$1:$O$258,12,FALSE))))</f>
        <v/>
      </c>
      <c r="N181" s="175" t="str">
        <f>IF(E181="","",IF(ISNA(VLOOKUP($E181,'D-1 Off Site Habitat Baseline'!$D$1:$X$258,14,FALSE)),"",(VLOOKUP($E181,'D-1 Off Site Habitat Baseline'!$D$1:$X$258,14,FALSE))))</f>
        <v/>
      </c>
      <c r="O181" s="176" t="str">
        <f>IF(E181="","",IF(ISNA(VLOOKUP($E181,'D-1 Off Site Habitat Baseline'!$D$1:$X$258,13,FALSE)),"",(VLOOKUP($E181,'D-1 Off Site Habitat Baseline'!$D$1:$X$258,13,FALSE))))</f>
        <v/>
      </c>
      <c r="P181" s="337" t="str">
        <f>IFERROR(INDEX('G-1 All Habitats'!$AG$3:$AG$15,MATCH(Q181,'G-1 All Habitats'!$AF$3:$AF$15,0)),"")</f>
        <v/>
      </c>
      <c r="Q181" s="331" t="str">
        <f t="shared" si="35"/>
        <v/>
      </c>
      <c r="R181" s="332" t="str">
        <f t="shared" si="36"/>
        <v/>
      </c>
      <c r="S181" s="338" t="str">
        <f>IFERROR(INDEX('G-1 All Habitats'!$B$3:$B$130,MATCH(R181,'G-1 All Habitats'!$A$3:$A$130,0)),"")</f>
        <v/>
      </c>
      <c r="T181" s="179" t="str">
        <f t="shared" si="28"/>
        <v/>
      </c>
      <c r="U181" s="172" t="str">
        <f t="shared" si="29"/>
        <v/>
      </c>
      <c r="V181" s="334" t="str">
        <f t="shared" si="26"/>
        <v/>
      </c>
      <c r="W181" s="175" t="str">
        <f>IF(S181="","",VLOOKUP(S181,'G-1 All Habitats'!$B$2:$M$130,10,FALSE))</f>
        <v/>
      </c>
      <c r="X181" s="175" t="str">
        <f>IFERROR(VLOOKUP(W181,'G-1 All Habitats'!$V$3:$W$7,2,FALSE),"")</f>
        <v/>
      </c>
      <c r="Y181" s="275"/>
      <c r="Z181" s="176" t="str">
        <f>IFERROR(INDEX('G-8 Condition Look up'!$A$3:$H$131,MATCH(S181,'G-8 Condition Look up'!$A$3:$A$131,0),MATCH(Y181,'G-8 Condition Look up'!$A$3:$H$3,0)),"")</f>
        <v/>
      </c>
      <c r="AA181" s="173"/>
      <c r="AB181" s="269" t="str">
        <f>IF(AA181="","",IF(VLOOKUP(AA181,'G-3 Multipliers'!$L$3:$N$6,2,FALSE)=0,"Spatial Data Missing",VLOOKUP(AA181,'G-3 Multipliers'!$L$3:$N$6,2,FALSE)))</f>
        <v/>
      </c>
      <c r="AC181" s="176" t="str">
        <f>IF(AA181="","",IF(VLOOKUP(AA181,'G-3 Multipliers'!$L$3:$N$6,3,FALSE)=0,"Spatial Data Missing",VLOOKUP(AA181,'G-3 Multipliers'!$L$3:$N$6,3,FALSE)))</f>
        <v/>
      </c>
      <c r="AD181" s="239" t="str">
        <f t="shared" si="27"/>
        <v/>
      </c>
      <c r="AE181" s="275"/>
      <c r="AF181" s="275"/>
      <c r="AG181" s="175" t="str">
        <f t="shared" si="30"/>
        <v/>
      </c>
      <c r="AH181" s="242" t="str">
        <f t="shared" si="31"/>
        <v/>
      </c>
      <c r="AI181" s="335" t="str">
        <f>IF(AH181="Check Data","Check Data",IFERROR(VLOOKUP(AH181,'G-4 Temporal multipliers'!$A$4:$C$36,3,FALSE),""))</f>
        <v/>
      </c>
      <c r="AJ181" s="239" t="str">
        <f>IF(S181="","",VLOOKUP(S181,'G-3 Multipliers'!$A$2:$E$130,4,FALSE))</f>
        <v/>
      </c>
      <c r="AK181" s="175" t="str">
        <f t="shared" si="32"/>
        <v/>
      </c>
      <c r="AL181" s="175" t="str">
        <f t="shared" si="33"/>
        <v/>
      </c>
      <c r="AM181" s="176" t="str">
        <f>IFERROR(IF(F181="","",IF(AH181="Check Data","Check Data",VLOOKUP(AL181, 'G-3 Multipliers'!$P$2:$Q$6,2,FALSE))),””)</f>
        <v/>
      </c>
      <c r="AN181" s="266"/>
      <c r="AO181" s="269" t="str">
        <f>IF(AN181="","",IF(VLOOKUP(AN181,'G-3 Multipliers'!$S$3:$T$9,2,FALSE)=0,"Spatial Data Missing",VLOOKUP(AN181,'G-3 Multipliers'!$S$3:$T$9,2,FALSE)))</f>
        <v/>
      </c>
      <c r="AP181" s="207" t="str">
        <f t="shared" si="34"/>
        <v/>
      </c>
      <c r="AQ181" s="336"/>
      <c r="AR181" s="181"/>
    </row>
    <row r="182" spans="1:44" x14ac:dyDescent="0.25">
      <c r="A182" s="35" t="str">
        <f>IF(E182="","",IF(ISNA(VLOOKUP($E182,'D-1 Off Site Habitat Baseline'!$D$1:$O$258,2,FALSE)),"",(VLOOKUP($E182,'D-1 Off Site Habitat Baseline'!$D$1:$O$258,2,FALSE))))</f>
        <v/>
      </c>
      <c r="B182" s="35" t="str">
        <f>IF(E182="","",IF(ISNA(VLOOKUP($E182,'D-1 Off Site Habitat Baseline'!$D$1:$O$258,3,FALSE)),"",(VLOOKUP($E182,'D-1 Off Site Habitat Baseline'!$D$1:$O$258,3,FALSE))))</f>
        <v/>
      </c>
      <c r="C182" s="35" t="str">
        <f>IFERROR(INDEX('G-8 Condition Look up'!$I$4:$I$131,MATCH(S182,'G-8 Condition Look up'!$A$4:$A$131,0)),"")</f>
        <v/>
      </c>
      <c r="E182" s="329" t="str">
        <f>'D-1 Off Site Habitat Baseline'!AL181</f>
        <v/>
      </c>
      <c r="F182" s="175" t="str">
        <f>IF(E182="","",IF(ISNA(VLOOKUP($E182,'D-1 Off Site Habitat Baseline'!$D$1:$O$258,4,FALSE)),"",(VLOOKUP($E182,'D-1 Off Site Habitat Baseline'!$D$1:$O$258,4,FALSE))))</f>
        <v/>
      </c>
      <c r="G182" s="175" t="str">
        <f>IF(E182="","",IF(ISNA(VLOOKUP($E182,'D-1 Off Site Habitat Baseline'!$D$1:$O$258,5,FALSE)),"",(VLOOKUP($E182,'D-1 Off Site Habitat Baseline'!$D$1:$O$258,5,FALSE))))</f>
        <v/>
      </c>
      <c r="H182" s="175" t="str">
        <f>IF(E182="","",IF(ISNA(VLOOKUP($E182,'D-1 Off Site Habitat Baseline'!$D$1:$O$258,6,FALSE)),"",(VLOOKUP($E182,'D-1 Off Site Habitat Baseline'!$D$1:$O$258,6,FALSE))))</f>
        <v/>
      </c>
      <c r="I182" s="175" t="str">
        <f>IF(E182="","",IF(ISNA(VLOOKUP($E182,'D-1 Off Site Habitat Baseline'!$D$1:$O$258,7,FALSE)),"",(VLOOKUP($E182,'D-1 Off Site Habitat Baseline'!$D$1:$O$258,7,FALSE))))</f>
        <v/>
      </c>
      <c r="J182" s="175" t="str">
        <f>IF(E182="","",IF(ISNA(VLOOKUP($E182,'D-1 Off Site Habitat Baseline'!$D$1:$O$258,8,FALSE)),"",(VLOOKUP($E182,'D-1 Off Site Habitat Baseline'!$D$1:$O$258,8,FALSE))))</f>
        <v/>
      </c>
      <c r="K182" s="175" t="str">
        <f>IF(E182="","",IF(ISNA(VLOOKUP($E182,'D-1 Off Site Habitat Baseline'!$D$1:$O$258,9,FALSE)),"",(VLOOKUP($E182,'D-1 Off Site Habitat Baseline'!$D$1:$O$258,9,FALSE))))</f>
        <v/>
      </c>
      <c r="L182" s="175" t="str">
        <f>IF(E182="","",IF(ISNA(VLOOKUP($E182,'D-1 Off Site Habitat Baseline'!$D$1:$O$258,11,FALSE)),"",(VLOOKUP($E182,'D-1 Off Site Habitat Baseline'!$D$1:$O$258,11,FALSE))))</f>
        <v/>
      </c>
      <c r="M182" s="175" t="str">
        <f>IF(E182="","",IF(ISNA(VLOOKUP($E182,'D-1 Off Site Habitat Baseline'!$D$1:$O$258,12,FALSE)),"",(VLOOKUP($E182,'D-1 Off Site Habitat Baseline'!$D$1:$O$258,12,FALSE))))</f>
        <v/>
      </c>
      <c r="N182" s="175" t="str">
        <f>IF(E182="","",IF(ISNA(VLOOKUP($E182,'D-1 Off Site Habitat Baseline'!$D$1:$X$258,14,FALSE)),"",(VLOOKUP($E182,'D-1 Off Site Habitat Baseline'!$D$1:$X$258,14,FALSE))))</f>
        <v/>
      </c>
      <c r="O182" s="176" t="str">
        <f>IF(E182="","",IF(ISNA(VLOOKUP($E182,'D-1 Off Site Habitat Baseline'!$D$1:$X$258,13,FALSE)),"",(VLOOKUP($E182,'D-1 Off Site Habitat Baseline'!$D$1:$X$258,13,FALSE))))</f>
        <v/>
      </c>
      <c r="P182" s="337" t="str">
        <f>IFERROR(INDEX('G-1 All Habitats'!$AG$3:$AG$15,MATCH(Q182,'G-1 All Habitats'!$AF$3:$AF$15,0)),"")</f>
        <v/>
      </c>
      <c r="Q182" s="331" t="str">
        <f t="shared" si="35"/>
        <v/>
      </c>
      <c r="R182" s="332" t="str">
        <f t="shared" si="36"/>
        <v/>
      </c>
      <c r="S182" s="338" t="str">
        <f>IFERROR(INDEX('G-1 All Habitats'!$B$3:$B$130,MATCH(R182,'G-1 All Habitats'!$A$3:$A$130,0)),"")</f>
        <v/>
      </c>
      <c r="T182" s="179" t="str">
        <f t="shared" si="28"/>
        <v/>
      </c>
      <c r="U182" s="172" t="str">
        <f t="shared" si="29"/>
        <v/>
      </c>
      <c r="V182" s="334" t="str">
        <f t="shared" si="26"/>
        <v/>
      </c>
      <c r="W182" s="175" t="str">
        <f>IF(S182="","",VLOOKUP(S182,'G-1 All Habitats'!$B$2:$M$130,10,FALSE))</f>
        <v/>
      </c>
      <c r="X182" s="175" t="str">
        <f>IFERROR(VLOOKUP(W182,'G-1 All Habitats'!$V$3:$W$7,2,FALSE),"")</f>
        <v/>
      </c>
      <c r="Y182" s="275"/>
      <c r="Z182" s="176" t="str">
        <f>IFERROR(INDEX('G-8 Condition Look up'!$A$3:$H$131,MATCH(S182,'G-8 Condition Look up'!$A$3:$A$131,0),MATCH(Y182,'G-8 Condition Look up'!$A$3:$H$3,0)),"")</f>
        <v/>
      </c>
      <c r="AA182" s="173"/>
      <c r="AB182" s="269" t="str">
        <f>IF(AA182="","",IF(VLOOKUP(AA182,'G-3 Multipliers'!$L$3:$N$6,2,FALSE)=0,"Spatial Data Missing",VLOOKUP(AA182,'G-3 Multipliers'!$L$3:$N$6,2,FALSE)))</f>
        <v/>
      </c>
      <c r="AC182" s="176" t="str">
        <f>IF(AA182="","",IF(VLOOKUP(AA182,'G-3 Multipliers'!$L$3:$N$6,3,FALSE)=0,"Spatial Data Missing",VLOOKUP(AA182,'G-3 Multipliers'!$L$3:$N$6,3,FALSE)))</f>
        <v/>
      </c>
      <c r="AD182" s="239" t="str">
        <f t="shared" si="27"/>
        <v/>
      </c>
      <c r="AE182" s="275"/>
      <c r="AF182" s="275"/>
      <c r="AG182" s="175" t="str">
        <f t="shared" si="30"/>
        <v/>
      </c>
      <c r="AH182" s="242" t="str">
        <f t="shared" si="31"/>
        <v/>
      </c>
      <c r="AI182" s="335" t="str">
        <f>IF(AH182="Check Data","Check Data",IFERROR(VLOOKUP(AH182,'G-4 Temporal multipliers'!$A$4:$C$36,3,FALSE),""))</f>
        <v/>
      </c>
      <c r="AJ182" s="239" t="str">
        <f>IF(S182="","",VLOOKUP(S182,'G-3 Multipliers'!$A$2:$E$130,4,FALSE))</f>
        <v/>
      </c>
      <c r="AK182" s="175" t="str">
        <f t="shared" si="32"/>
        <v/>
      </c>
      <c r="AL182" s="175" t="str">
        <f t="shared" si="33"/>
        <v/>
      </c>
      <c r="AM182" s="176" t="str">
        <f>IFERROR(IF(F182="","",IF(AH182="Check Data","Check Data",VLOOKUP(AL182, 'G-3 Multipliers'!$P$2:$Q$6,2,FALSE))),””)</f>
        <v/>
      </c>
      <c r="AN182" s="266"/>
      <c r="AO182" s="269" t="str">
        <f>IF(AN182="","",IF(VLOOKUP(AN182,'G-3 Multipliers'!$S$3:$T$9,2,FALSE)=0,"Spatial Data Missing",VLOOKUP(AN182,'G-3 Multipliers'!$S$3:$T$9,2,FALSE)))</f>
        <v/>
      </c>
      <c r="AP182" s="207" t="str">
        <f t="shared" si="34"/>
        <v/>
      </c>
      <c r="AQ182" s="336"/>
      <c r="AR182" s="181"/>
    </row>
    <row r="183" spans="1:44" x14ac:dyDescent="0.25">
      <c r="A183" s="35" t="str">
        <f>IF(E183="","",IF(ISNA(VLOOKUP($E183,'D-1 Off Site Habitat Baseline'!$D$1:$O$258,2,FALSE)),"",(VLOOKUP($E183,'D-1 Off Site Habitat Baseline'!$D$1:$O$258,2,FALSE))))</f>
        <v/>
      </c>
      <c r="B183" s="35" t="str">
        <f>IF(E183="","",IF(ISNA(VLOOKUP($E183,'D-1 Off Site Habitat Baseline'!$D$1:$O$258,3,FALSE)),"",(VLOOKUP($E183,'D-1 Off Site Habitat Baseline'!$D$1:$O$258,3,FALSE))))</f>
        <v/>
      </c>
      <c r="C183" s="35" t="str">
        <f>IFERROR(INDEX('G-8 Condition Look up'!$I$4:$I$131,MATCH(S183,'G-8 Condition Look up'!$A$4:$A$131,0)),"")</f>
        <v/>
      </c>
      <c r="E183" s="329" t="str">
        <f>'D-1 Off Site Habitat Baseline'!AL182</f>
        <v/>
      </c>
      <c r="F183" s="175" t="str">
        <f>IF(E183="","",IF(ISNA(VLOOKUP($E183,'D-1 Off Site Habitat Baseline'!$D$1:$O$258,4,FALSE)),"",(VLOOKUP($E183,'D-1 Off Site Habitat Baseline'!$D$1:$O$258,4,FALSE))))</f>
        <v/>
      </c>
      <c r="G183" s="175" t="str">
        <f>IF(E183="","",IF(ISNA(VLOOKUP($E183,'D-1 Off Site Habitat Baseline'!$D$1:$O$258,5,FALSE)),"",(VLOOKUP($E183,'D-1 Off Site Habitat Baseline'!$D$1:$O$258,5,FALSE))))</f>
        <v/>
      </c>
      <c r="H183" s="175" t="str">
        <f>IF(E183="","",IF(ISNA(VLOOKUP($E183,'D-1 Off Site Habitat Baseline'!$D$1:$O$258,6,FALSE)),"",(VLOOKUP($E183,'D-1 Off Site Habitat Baseline'!$D$1:$O$258,6,FALSE))))</f>
        <v/>
      </c>
      <c r="I183" s="175" t="str">
        <f>IF(E183="","",IF(ISNA(VLOOKUP($E183,'D-1 Off Site Habitat Baseline'!$D$1:$O$258,7,FALSE)),"",(VLOOKUP($E183,'D-1 Off Site Habitat Baseline'!$D$1:$O$258,7,FALSE))))</f>
        <v/>
      </c>
      <c r="J183" s="175" t="str">
        <f>IF(E183="","",IF(ISNA(VLOOKUP($E183,'D-1 Off Site Habitat Baseline'!$D$1:$O$258,8,FALSE)),"",(VLOOKUP($E183,'D-1 Off Site Habitat Baseline'!$D$1:$O$258,8,FALSE))))</f>
        <v/>
      </c>
      <c r="K183" s="175" t="str">
        <f>IF(E183="","",IF(ISNA(VLOOKUP($E183,'D-1 Off Site Habitat Baseline'!$D$1:$O$258,9,FALSE)),"",(VLOOKUP($E183,'D-1 Off Site Habitat Baseline'!$D$1:$O$258,9,FALSE))))</f>
        <v/>
      </c>
      <c r="L183" s="175" t="str">
        <f>IF(E183="","",IF(ISNA(VLOOKUP($E183,'D-1 Off Site Habitat Baseline'!$D$1:$O$258,11,FALSE)),"",(VLOOKUP($E183,'D-1 Off Site Habitat Baseline'!$D$1:$O$258,11,FALSE))))</f>
        <v/>
      </c>
      <c r="M183" s="175" t="str">
        <f>IF(E183="","",IF(ISNA(VLOOKUP($E183,'D-1 Off Site Habitat Baseline'!$D$1:$O$258,12,FALSE)),"",(VLOOKUP($E183,'D-1 Off Site Habitat Baseline'!$D$1:$O$258,12,FALSE))))</f>
        <v/>
      </c>
      <c r="N183" s="175" t="str">
        <f>IF(E183="","",IF(ISNA(VLOOKUP($E183,'D-1 Off Site Habitat Baseline'!$D$1:$X$258,14,FALSE)),"",(VLOOKUP($E183,'D-1 Off Site Habitat Baseline'!$D$1:$X$258,14,FALSE))))</f>
        <v/>
      </c>
      <c r="O183" s="176" t="str">
        <f>IF(E183="","",IF(ISNA(VLOOKUP($E183,'D-1 Off Site Habitat Baseline'!$D$1:$X$258,13,FALSE)),"",(VLOOKUP($E183,'D-1 Off Site Habitat Baseline'!$D$1:$X$258,13,FALSE))))</f>
        <v/>
      </c>
      <c r="P183" s="337" t="str">
        <f>IFERROR(INDEX('G-1 All Habitats'!$AG$3:$AG$15,MATCH(Q183,'G-1 All Habitats'!$AF$3:$AF$15,0)),"")</f>
        <v/>
      </c>
      <c r="Q183" s="331" t="str">
        <f t="shared" si="35"/>
        <v/>
      </c>
      <c r="R183" s="332" t="str">
        <f t="shared" si="36"/>
        <v/>
      </c>
      <c r="S183" s="338" t="str">
        <f>IFERROR(INDEX('G-1 All Habitats'!$B$3:$B$130,MATCH(R183,'G-1 All Habitats'!$A$3:$A$130,0)),"")</f>
        <v/>
      </c>
      <c r="T183" s="179" t="str">
        <f t="shared" si="28"/>
        <v/>
      </c>
      <c r="U183" s="172" t="str">
        <f t="shared" si="29"/>
        <v/>
      </c>
      <c r="V183" s="334" t="str">
        <f t="shared" si="26"/>
        <v/>
      </c>
      <c r="W183" s="175" t="str">
        <f>IF(S183="","",VLOOKUP(S183,'G-1 All Habitats'!$B$2:$M$130,10,FALSE))</f>
        <v/>
      </c>
      <c r="X183" s="175" t="str">
        <f>IFERROR(VLOOKUP(W183,'G-1 All Habitats'!$V$3:$W$7,2,FALSE),"")</f>
        <v/>
      </c>
      <c r="Y183" s="275"/>
      <c r="Z183" s="176" t="str">
        <f>IFERROR(INDEX('G-8 Condition Look up'!$A$3:$H$131,MATCH(S183,'G-8 Condition Look up'!$A$3:$A$131,0),MATCH(Y183,'G-8 Condition Look up'!$A$3:$H$3,0)),"")</f>
        <v/>
      </c>
      <c r="AA183" s="173"/>
      <c r="AB183" s="269" t="str">
        <f>IF(AA183="","",IF(VLOOKUP(AA183,'G-3 Multipliers'!$L$3:$N$6,2,FALSE)=0,"Spatial Data Missing",VLOOKUP(AA183,'G-3 Multipliers'!$L$3:$N$6,2,FALSE)))</f>
        <v/>
      </c>
      <c r="AC183" s="176" t="str">
        <f>IF(AA183="","",IF(VLOOKUP(AA183,'G-3 Multipliers'!$L$3:$N$6,3,FALSE)=0,"Spatial Data Missing",VLOOKUP(AA183,'G-3 Multipliers'!$L$3:$N$6,3,FALSE)))</f>
        <v/>
      </c>
      <c r="AD183" s="239" t="str">
        <f t="shared" si="27"/>
        <v/>
      </c>
      <c r="AE183" s="275"/>
      <c r="AF183" s="275"/>
      <c r="AG183" s="175" t="str">
        <f t="shared" si="30"/>
        <v/>
      </c>
      <c r="AH183" s="242" t="str">
        <f t="shared" si="31"/>
        <v/>
      </c>
      <c r="AI183" s="335" t="str">
        <f>IF(AH183="Check Data","Check Data",IFERROR(VLOOKUP(AH183,'G-4 Temporal multipliers'!$A$4:$C$36,3,FALSE),""))</f>
        <v/>
      </c>
      <c r="AJ183" s="239" t="str">
        <f>IF(S183="","",VLOOKUP(S183,'G-3 Multipliers'!$A$2:$E$130,4,FALSE))</f>
        <v/>
      </c>
      <c r="AK183" s="175" t="str">
        <f t="shared" si="32"/>
        <v/>
      </c>
      <c r="AL183" s="175" t="str">
        <f t="shared" si="33"/>
        <v/>
      </c>
      <c r="AM183" s="176" t="str">
        <f>IFERROR(IF(F183="","",IF(AH183="Check Data","Check Data",VLOOKUP(AL183, 'G-3 Multipliers'!$P$2:$Q$6,2,FALSE))),””)</f>
        <v/>
      </c>
      <c r="AN183" s="266"/>
      <c r="AO183" s="269" t="str">
        <f>IF(AN183="","",IF(VLOOKUP(AN183,'G-3 Multipliers'!$S$3:$T$9,2,FALSE)=0,"Spatial Data Missing",VLOOKUP(AN183,'G-3 Multipliers'!$S$3:$T$9,2,FALSE)))</f>
        <v/>
      </c>
      <c r="AP183" s="207" t="str">
        <f t="shared" si="34"/>
        <v/>
      </c>
      <c r="AQ183" s="336"/>
      <c r="AR183" s="181"/>
    </row>
    <row r="184" spans="1:44" x14ac:dyDescent="0.25">
      <c r="A184" s="35" t="str">
        <f>IF(E184="","",IF(ISNA(VLOOKUP($E184,'D-1 Off Site Habitat Baseline'!$D$1:$O$258,2,FALSE)),"",(VLOOKUP($E184,'D-1 Off Site Habitat Baseline'!$D$1:$O$258,2,FALSE))))</f>
        <v/>
      </c>
      <c r="B184" s="35" t="str">
        <f>IF(E184="","",IF(ISNA(VLOOKUP($E184,'D-1 Off Site Habitat Baseline'!$D$1:$O$258,3,FALSE)),"",(VLOOKUP($E184,'D-1 Off Site Habitat Baseline'!$D$1:$O$258,3,FALSE))))</f>
        <v/>
      </c>
      <c r="C184" s="35" t="str">
        <f>IFERROR(INDEX('G-8 Condition Look up'!$I$4:$I$131,MATCH(S184,'G-8 Condition Look up'!$A$4:$A$131,0)),"")</f>
        <v/>
      </c>
      <c r="E184" s="329" t="str">
        <f>'D-1 Off Site Habitat Baseline'!AL183</f>
        <v/>
      </c>
      <c r="F184" s="175" t="str">
        <f>IF(E184="","",IF(ISNA(VLOOKUP($E184,'D-1 Off Site Habitat Baseline'!$D$1:$O$258,4,FALSE)),"",(VLOOKUP($E184,'D-1 Off Site Habitat Baseline'!$D$1:$O$258,4,FALSE))))</f>
        <v/>
      </c>
      <c r="G184" s="175" t="str">
        <f>IF(E184="","",IF(ISNA(VLOOKUP($E184,'D-1 Off Site Habitat Baseline'!$D$1:$O$258,5,FALSE)),"",(VLOOKUP($E184,'D-1 Off Site Habitat Baseline'!$D$1:$O$258,5,FALSE))))</f>
        <v/>
      </c>
      <c r="H184" s="175" t="str">
        <f>IF(E184="","",IF(ISNA(VLOOKUP($E184,'D-1 Off Site Habitat Baseline'!$D$1:$O$258,6,FALSE)),"",(VLOOKUP($E184,'D-1 Off Site Habitat Baseline'!$D$1:$O$258,6,FALSE))))</f>
        <v/>
      </c>
      <c r="I184" s="175" t="str">
        <f>IF(E184="","",IF(ISNA(VLOOKUP($E184,'D-1 Off Site Habitat Baseline'!$D$1:$O$258,7,FALSE)),"",(VLOOKUP($E184,'D-1 Off Site Habitat Baseline'!$D$1:$O$258,7,FALSE))))</f>
        <v/>
      </c>
      <c r="J184" s="175" t="str">
        <f>IF(E184="","",IF(ISNA(VLOOKUP($E184,'D-1 Off Site Habitat Baseline'!$D$1:$O$258,8,FALSE)),"",(VLOOKUP($E184,'D-1 Off Site Habitat Baseline'!$D$1:$O$258,8,FALSE))))</f>
        <v/>
      </c>
      <c r="K184" s="175" t="str">
        <f>IF(E184="","",IF(ISNA(VLOOKUP($E184,'D-1 Off Site Habitat Baseline'!$D$1:$O$258,9,FALSE)),"",(VLOOKUP($E184,'D-1 Off Site Habitat Baseline'!$D$1:$O$258,9,FALSE))))</f>
        <v/>
      </c>
      <c r="L184" s="175" t="str">
        <f>IF(E184="","",IF(ISNA(VLOOKUP($E184,'D-1 Off Site Habitat Baseline'!$D$1:$O$258,11,FALSE)),"",(VLOOKUP($E184,'D-1 Off Site Habitat Baseline'!$D$1:$O$258,11,FALSE))))</f>
        <v/>
      </c>
      <c r="M184" s="175" t="str">
        <f>IF(E184="","",IF(ISNA(VLOOKUP($E184,'D-1 Off Site Habitat Baseline'!$D$1:$O$258,12,FALSE)),"",(VLOOKUP($E184,'D-1 Off Site Habitat Baseline'!$D$1:$O$258,12,FALSE))))</f>
        <v/>
      </c>
      <c r="N184" s="175" t="str">
        <f>IF(E184="","",IF(ISNA(VLOOKUP($E184,'D-1 Off Site Habitat Baseline'!$D$1:$X$258,14,FALSE)),"",(VLOOKUP($E184,'D-1 Off Site Habitat Baseline'!$D$1:$X$258,14,FALSE))))</f>
        <v/>
      </c>
      <c r="O184" s="176" t="str">
        <f>IF(E184="","",IF(ISNA(VLOOKUP($E184,'D-1 Off Site Habitat Baseline'!$D$1:$X$258,13,FALSE)),"",(VLOOKUP($E184,'D-1 Off Site Habitat Baseline'!$D$1:$X$258,13,FALSE))))</f>
        <v/>
      </c>
      <c r="P184" s="337" t="str">
        <f>IFERROR(INDEX('G-1 All Habitats'!$AG$3:$AG$15,MATCH(Q184,'G-1 All Habitats'!$AF$3:$AF$15,0)),"")</f>
        <v/>
      </c>
      <c r="Q184" s="331" t="str">
        <f t="shared" si="35"/>
        <v/>
      </c>
      <c r="R184" s="332" t="str">
        <f t="shared" si="36"/>
        <v/>
      </c>
      <c r="S184" s="338" t="str">
        <f>IFERROR(INDEX('G-1 All Habitats'!$B$3:$B$130,MATCH(R184,'G-1 All Habitats'!$A$3:$A$130,0)),"")</f>
        <v/>
      </c>
      <c r="T184" s="179" t="str">
        <f t="shared" si="28"/>
        <v/>
      </c>
      <c r="U184" s="172" t="str">
        <f t="shared" si="29"/>
        <v/>
      </c>
      <c r="V184" s="334" t="str">
        <f t="shared" si="26"/>
        <v/>
      </c>
      <c r="W184" s="175" t="str">
        <f>IF(S184="","",VLOOKUP(S184,'G-1 All Habitats'!$B$2:$M$130,10,FALSE))</f>
        <v/>
      </c>
      <c r="X184" s="175" t="str">
        <f>IFERROR(VLOOKUP(W184,'G-1 All Habitats'!$V$3:$W$7,2,FALSE),"")</f>
        <v/>
      </c>
      <c r="Y184" s="275"/>
      <c r="Z184" s="176" t="str">
        <f>IFERROR(INDEX('G-8 Condition Look up'!$A$3:$H$131,MATCH(S184,'G-8 Condition Look up'!$A$3:$A$131,0),MATCH(Y184,'G-8 Condition Look up'!$A$3:$H$3,0)),"")</f>
        <v/>
      </c>
      <c r="AA184" s="173"/>
      <c r="AB184" s="269" t="str">
        <f>IF(AA184="","",IF(VLOOKUP(AA184,'G-3 Multipliers'!$L$3:$N$6,2,FALSE)=0,"Spatial Data Missing",VLOOKUP(AA184,'G-3 Multipliers'!$L$3:$N$6,2,FALSE)))</f>
        <v/>
      </c>
      <c r="AC184" s="176" t="str">
        <f>IF(AA184="","",IF(VLOOKUP(AA184,'G-3 Multipliers'!$L$3:$N$6,3,FALSE)=0,"Spatial Data Missing",VLOOKUP(AA184,'G-3 Multipliers'!$L$3:$N$6,3,FALSE)))</f>
        <v/>
      </c>
      <c r="AD184" s="239" t="str">
        <f t="shared" si="27"/>
        <v/>
      </c>
      <c r="AE184" s="275"/>
      <c r="AF184" s="275"/>
      <c r="AG184" s="175" t="str">
        <f t="shared" si="30"/>
        <v/>
      </c>
      <c r="AH184" s="242" t="str">
        <f t="shared" si="31"/>
        <v/>
      </c>
      <c r="AI184" s="335" t="str">
        <f>IF(AH184="Check Data","Check Data",IFERROR(VLOOKUP(AH184,'G-4 Temporal multipliers'!$A$4:$C$36,3,FALSE),""))</f>
        <v/>
      </c>
      <c r="AJ184" s="239" t="str">
        <f>IF(S184="","",VLOOKUP(S184,'G-3 Multipliers'!$A$2:$E$130,4,FALSE))</f>
        <v/>
      </c>
      <c r="AK184" s="175" t="str">
        <f t="shared" si="32"/>
        <v/>
      </c>
      <c r="AL184" s="175" t="str">
        <f t="shared" si="33"/>
        <v/>
      </c>
      <c r="AM184" s="176" t="str">
        <f>IFERROR(IF(F184="","",IF(AH184="Check Data","Check Data",VLOOKUP(AL184, 'G-3 Multipliers'!$P$2:$Q$6,2,FALSE))),””)</f>
        <v/>
      </c>
      <c r="AN184" s="266"/>
      <c r="AO184" s="269" t="str">
        <f>IF(AN184="","",IF(VLOOKUP(AN184,'G-3 Multipliers'!$S$3:$T$9,2,FALSE)=0,"Spatial Data Missing",VLOOKUP(AN184,'G-3 Multipliers'!$S$3:$T$9,2,FALSE)))</f>
        <v/>
      </c>
      <c r="AP184" s="207" t="str">
        <f t="shared" si="34"/>
        <v/>
      </c>
      <c r="AQ184" s="336"/>
      <c r="AR184" s="181"/>
    </row>
    <row r="185" spans="1:44" x14ac:dyDescent="0.25">
      <c r="A185" s="35" t="str">
        <f>IF(E185="","",IF(ISNA(VLOOKUP($E185,'D-1 Off Site Habitat Baseline'!$D$1:$O$258,2,FALSE)),"",(VLOOKUP($E185,'D-1 Off Site Habitat Baseline'!$D$1:$O$258,2,FALSE))))</f>
        <v/>
      </c>
      <c r="B185" s="35" t="str">
        <f>IF(E185="","",IF(ISNA(VLOOKUP($E185,'D-1 Off Site Habitat Baseline'!$D$1:$O$258,3,FALSE)),"",(VLOOKUP($E185,'D-1 Off Site Habitat Baseline'!$D$1:$O$258,3,FALSE))))</f>
        <v/>
      </c>
      <c r="C185" s="35" t="str">
        <f>IFERROR(INDEX('G-8 Condition Look up'!$I$4:$I$131,MATCH(S185,'G-8 Condition Look up'!$A$4:$A$131,0)),"")</f>
        <v/>
      </c>
      <c r="E185" s="329" t="str">
        <f>'D-1 Off Site Habitat Baseline'!AL184</f>
        <v/>
      </c>
      <c r="F185" s="175" t="str">
        <f>IF(E185="","",IF(ISNA(VLOOKUP($E185,'D-1 Off Site Habitat Baseline'!$D$1:$O$258,4,FALSE)),"",(VLOOKUP($E185,'D-1 Off Site Habitat Baseline'!$D$1:$O$258,4,FALSE))))</f>
        <v/>
      </c>
      <c r="G185" s="175" t="str">
        <f>IF(E185="","",IF(ISNA(VLOOKUP($E185,'D-1 Off Site Habitat Baseline'!$D$1:$O$258,5,FALSE)),"",(VLOOKUP($E185,'D-1 Off Site Habitat Baseline'!$D$1:$O$258,5,FALSE))))</f>
        <v/>
      </c>
      <c r="H185" s="175" t="str">
        <f>IF(E185="","",IF(ISNA(VLOOKUP($E185,'D-1 Off Site Habitat Baseline'!$D$1:$O$258,6,FALSE)),"",(VLOOKUP($E185,'D-1 Off Site Habitat Baseline'!$D$1:$O$258,6,FALSE))))</f>
        <v/>
      </c>
      <c r="I185" s="175" t="str">
        <f>IF(E185="","",IF(ISNA(VLOOKUP($E185,'D-1 Off Site Habitat Baseline'!$D$1:$O$258,7,FALSE)),"",(VLOOKUP($E185,'D-1 Off Site Habitat Baseline'!$D$1:$O$258,7,FALSE))))</f>
        <v/>
      </c>
      <c r="J185" s="175" t="str">
        <f>IF(E185="","",IF(ISNA(VLOOKUP($E185,'D-1 Off Site Habitat Baseline'!$D$1:$O$258,8,FALSE)),"",(VLOOKUP($E185,'D-1 Off Site Habitat Baseline'!$D$1:$O$258,8,FALSE))))</f>
        <v/>
      </c>
      <c r="K185" s="175" t="str">
        <f>IF(E185="","",IF(ISNA(VLOOKUP($E185,'D-1 Off Site Habitat Baseline'!$D$1:$O$258,9,FALSE)),"",(VLOOKUP($E185,'D-1 Off Site Habitat Baseline'!$D$1:$O$258,9,FALSE))))</f>
        <v/>
      </c>
      <c r="L185" s="175" t="str">
        <f>IF(E185="","",IF(ISNA(VLOOKUP($E185,'D-1 Off Site Habitat Baseline'!$D$1:$O$258,11,FALSE)),"",(VLOOKUP($E185,'D-1 Off Site Habitat Baseline'!$D$1:$O$258,11,FALSE))))</f>
        <v/>
      </c>
      <c r="M185" s="175" t="str">
        <f>IF(E185="","",IF(ISNA(VLOOKUP($E185,'D-1 Off Site Habitat Baseline'!$D$1:$O$258,12,FALSE)),"",(VLOOKUP($E185,'D-1 Off Site Habitat Baseline'!$D$1:$O$258,12,FALSE))))</f>
        <v/>
      </c>
      <c r="N185" s="175" t="str">
        <f>IF(E185="","",IF(ISNA(VLOOKUP($E185,'D-1 Off Site Habitat Baseline'!$D$1:$X$258,14,FALSE)),"",(VLOOKUP($E185,'D-1 Off Site Habitat Baseline'!$D$1:$X$258,14,FALSE))))</f>
        <v/>
      </c>
      <c r="O185" s="176" t="str">
        <f>IF(E185="","",IF(ISNA(VLOOKUP($E185,'D-1 Off Site Habitat Baseline'!$D$1:$X$258,13,FALSE)),"",(VLOOKUP($E185,'D-1 Off Site Habitat Baseline'!$D$1:$X$258,13,FALSE))))</f>
        <v/>
      </c>
      <c r="P185" s="337" t="str">
        <f>IFERROR(INDEX('G-1 All Habitats'!$AG$3:$AG$15,MATCH(Q185,'G-1 All Habitats'!$AF$3:$AF$15,0)),"")</f>
        <v/>
      </c>
      <c r="Q185" s="331" t="str">
        <f t="shared" si="35"/>
        <v/>
      </c>
      <c r="R185" s="332" t="str">
        <f t="shared" si="36"/>
        <v/>
      </c>
      <c r="S185" s="338" t="str">
        <f>IFERROR(INDEX('G-1 All Habitats'!$B$3:$B$130,MATCH(R185,'G-1 All Habitats'!$A$3:$A$130,0)),"")</f>
        <v/>
      </c>
      <c r="T185" s="179" t="str">
        <f t="shared" si="28"/>
        <v/>
      </c>
      <c r="U185" s="172" t="str">
        <f t="shared" si="29"/>
        <v/>
      </c>
      <c r="V185" s="334" t="str">
        <f t="shared" si="26"/>
        <v/>
      </c>
      <c r="W185" s="175" t="str">
        <f>IF(S185="","",VLOOKUP(S185,'G-1 All Habitats'!$B$2:$M$130,10,FALSE))</f>
        <v/>
      </c>
      <c r="X185" s="175" t="str">
        <f>IFERROR(VLOOKUP(W185,'G-1 All Habitats'!$V$3:$W$7,2,FALSE),"")</f>
        <v/>
      </c>
      <c r="Y185" s="275"/>
      <c r="Z185" s="176" t="str">
        <f>IFERROR(INDEX('G-8 Condition Look up'!$A$3:$H$131,MATCH(S185,'G-8 Condition Look up'!$A$3:$A$131,0),MATCH(Y185,'G-8 Condition Look up'!$A$3:$H$3,0)),"")</f>
        <v/>
      </c>
      <c r="AA185" s="173"/>
      <c r="AB185" s="269" t="str">
        <f>IF(AA185="","",IF(VLOOKUP(AA185,'G-3 Multipliers'!$L$3:$N$6,2,FALSE)=0,"Spatial Data Missing",VLOOKUP(AA185,'G-3 Multipliers'!$L$3:$N$6,2,FALSE)))</f>
        <v/>
      </c>
      <c r="AC185" s="176" t="str">
        <f>IF(AA185="","",IF(VLOOKUP(AA185,'G-3 Multipliers'!$L$3:$N$6,3,FALSE)=0,"Spatial Data Missing",VLOOKUP(AA185,'G-3 Multipliers'!$L$3:$N$6,3,FALSE)))</f>
        <v/>
      </c>
      <c r="AD185" s="239" t="str">
        <f t="shared" si="27"/>
        <v/>
      </c>
      <c r="AE185" s="275"/>
      <c r="AF185" s="275"/>
      <c r="AG185" s="175" t="str">
        <f t="shared" si="30"/>
        <v/>
      </c>
      <c r="AH185" s="242" t="str">
        <f t="shared" si="31"/>
        <v/>
      </c>
      <c r="AI185" s="335" t="str">
        <f>IF(AH185="Check Data","Check Data",IFERROR(VLOOKUP(AH185,'G-4 Temporal multipliers'!$A$4:$C$36,3,FALSE),""))</f>
        <v/>
      </c>
      <c r="AJ185" s="239" t="str">
        <f>IF(S185="","",VLOOKUP(S185,'G-3 Multipliers'!$A$2:$E$130,4,FALSE))</f>
        <v/>
      </c>
      <c r="AK185" s="175" t="str">
        <f t="shared" si="32"/>
        <v/>
      </c>
      <c r="AL185" s="175" t="str">
        <f t="shared" si="33"/>
        <v/>
      </c>
      <c r="AM185" s="176" t="str">
        <f>IFERROR(IF(F185="","",IF(AH185="Check Data","Check Data",VLOOKUP(AL185, 'G-3 Multipliers'!$P$2:$Q$6,2,FALSE))),””)</f>
        <v/>
      </c>
      <c r="AN185" s="266"/>
      <c r="AO185" s="269" t="str">
        <f>IF(AN185="","",IF(VLOOKUP(AN185,'G-3 Multipliers'!$S$3:$T$9,2,FALSE)=0,"Spatial Data Missing",VLOOKUP(AN185,'G-3 Multipliers'!$S$3:$T$9,2,FALSE)))</f>
        <v/>
      </c>
      <c r="AP185" s="207" t="str">
        <f t="shared" si="34"/>
        <v/>
      </c>
      <c r="AQ185" s="336"/>
      <c r="AR185" s="181"/>
    </row>
    <row r="186" spans="1:44" x14ac:dyDescent="0.25">
      <c r="A186" s="35" t="str">
        <f>IF(E186="","",IF(ISNA(VLOOKUP($E186,'D-1 Off Site Habitat Baseline'!$D$1:$O$258,2,FALSE)),"",(VLOOKUP($E186,'D-1 Off Site Habitat Baseline'!$D$1:$O$258,2,FALSE))))</f>
        <v/>
      </c>
      <c r="B186" s="35" t="str">
        <f>IF(E186="","",IF(ISNA(VLOOKUP($E186,'D-1 Off Site Habitat Baseline'!$D$1:$O$258,3,FALSE)),"",(VLOOKUP($E186,'D-1 Off Site Habitat Baseline'!$D$1:$O$258,3,FALSE))))</f>
        <v/>
      </c>
      <c r="C186" s="35" t="str">
        <f>IFERROR(INDEX('G-8 Condition Look up'!$I$4:$I$131,MATCH(S186,'G-8 Condition Look up'!$A$4:$A$131,0)),"")</f>
        <v/>
      </c>
      <c r="E186" s="329" t="str">
        <f>'D-1 Off Site Habitat Baseline'!AL185</f>
        <v/>
      </c>
      <c r="F186" s="175" t="str">
        <f>IF(E186="","",IF(ISNA(VLOOKUP($E186,'D-1 Off Site Habitat Baseline'!$D$1:$O$258,4,FALSE)),"",(VLOOKUP($E186,'D-1 Off Site Habitat Baseline'!$D$1:$O$258,4,FALSE))))</f>
        <v/>
      </c>
      <c r="G186" s="175" t="str">
        <f>IF(E186="","",IF(ISNA(VLOOKUP($E186,'D-1 Off Site Habitat Baseline'!$D$1:$O$258,5,FALSE)),"",(VLOOKUP($E186,'D-1 Off Site Habitat Baseline'!$D$1:$O$258,5,FALSE))))</f>
        <v/>
      </c>
      <c r="H186" s="175" t="str">
        <f>IF(E186="","",IF(ISNA(VLOOKUP($E186,'D-1 Off Site Habitat Baseline'!$D$1:$O$258,6,FALSE)),"",(VLOOKUP($E186,'D-1 Off Site Habitat Baseline'!$D$1:$O$258,6,FALSE))))</f>
        <v/>
      </c>
      <c r="I186" s="175" t="str">
        <f>IF(E186="","",IF(ISNA(VLOOKUP($E186,'D-1 Off Site Habitat Baseline'!$D$1:$O$258,7,FALSE)),"",(VLOOKUP($E186,'D-1 Off Site Habitat Baseline'!$D$1:$O$258,7,FALSE))))</f>
        <v/>
      </c>
      <c r="J186" s="175" t="str">
        <f>IF(E186="","",IF(ISNA(VLOOKUP($E186,'D-1 Off Site Habitat Baseline'!$D$1:$O$258,8,FALSE)),"",(VLOOKUP($E186,'D-1 Off Site Habitat Baseline'!$D$1:$O$258,8,FALSE))))</f>
        <v/>
      </c>
      <c r="K186" s="175" t="str">
        <f>IF(E186="","",IF(ISNA(VLOOKUP($E186,'D-1 Off Site Habitat Baseline'!$D$1:$O$258,9,FALSE)),"",(VLOOKUP($E186,'D-1 Off Site Habitat Baseline'!$D$1:$O$258,9,FALSE))))</f>
        <v/>
      </c>
      <c r="L186" s="175" t="str">
        <f>IF(E186="","",IF(ISNA(VLOOKUP($E186,'D-1 Off Site Habitat Baseline'!$D$1:$O$258,11,FALSE)),"",(VLOOKUP($E186,'D-1 Off Site Habitat Baseline'!$D$1:$O$258,11,FALSE))))</f>
        <v/>
      </c>
      <c r="M186" s="175" t="str">
        <f>IF(E186="","",IF(ISNA(VLOOKUP($E186,'D-1 Off Site Habitat Baseline'!$D$1:$O$258,12,FALSE)),"",(VLOOKUP($E186,'D-1 Off Site Habitat Baseline'!$D$1:$O$258,12,FALSE))))</f>
        <v/>
      </c>
      <c r="N186" s="175" t="str">
        <f>IF(E186="","",IF(ISNA(VLOOKUP($E186,'D-1 Off Site Habitat Baseline'!$D$1:$X$258,14,FALSE)),"",(VLOOKUP($E186,'D-1 Off Site Habitat Baseline'!$D$1:$X$258,14,FALSE))))</f>
        <v/>
      </c>
      <c r="O186" s="176" t="str">
        <f>IF(E186="","",IF(ISNA(VLOOKUP($E186,'D-1 Off Site Habitat Baseline'!$D$1:$X$258,13,FALSE)),"",(VLOOKUP($E186,'D-1 Off Site Habitat Baseline'!$D$1:$X$258,13,FALSE))))</f>
        <v/>
      </c>
      <c r="P186" s="337" t="str">
        <f>IFERROR(INDEX('G-1 All Habitats'!$AG$3:$AG$15,MATCH(Q186,'G-1 All Habitats'!$AF$3:$AF$15,0)),"")</f>
        <v/>
      </c>
      <c r="Q186" s="331" t="str">
        <f t="shared" si="35"/>
        <v/>
      </c>
      <c r="R186" s="332" t="str">
        <f t="shared" si="36"/>
        <v/>
      </c>
      <c r="S186" s="338" t="str">
        <f>IFERROR(INDEX('G-1 All Habitats'!$B$3:$B$130,MATCH(R186,'G-1 All Habitats'!$A$3:$A$130,0)),"")</f>
        <v/>
      </c>
      <c r="T186" s="179" t="str">
        <f t="shared" si="28"/>
        <v/>
      </c>
      <c r="U186" s="172" t="str">
        <f t="shared" si="29"/>
        <v/>
      </c>
      <c r="V186" s="334" t="str">
        <f t="shared" si="26"/>
        <v/>
      </c>
      <c r="W186" s="175" t="str">
        <f>IF(S186="","",VLOOKUP(S186,'G-1 All Habitats'!$B$2:$M$130,10,FALSE))</f>
        <v/>
      </c>
      <c r="X186" s="175" t="str">
        <f>IFERROR(VLOOKUP(W186,'G-1 All Habitats'!$V$3:$W$7,2,FALSE),"")</f>
        <v/>
      </c>
      <c r="Y186" s="275"/>
      <c r="Z186" s="176" t="str">
        <f>IFERROR(INDEX('G-8 Condition Look up'!$A$3:$H$131,MATCH(S186,'G-8 Condition Look up'!$A$3:$A$131,0),MATCH(Y186,'G-8 Condition Look up'!$A$3:$H$3,0)),"")</f>
        <v/>
      </c>
      <c r="AA186" s="173"/>
      <c r="AB186" s="269" t="str">
        <f>IF(AA186="","",IF(VLOOKUP(AA186,'G-3 Multipliers'!$L$3:$N$6,2,FALSE)=0,"Spatial Data Missing",VLOOKUP(AA186,'G-3 Multipliers'!$L$3:$N$6,2,FALSE)))</f>
        <v/>
      </c>
      <c r="AC186" s="176" t="str">
        <f>IF(AA186="","",IF(VLOOKUP(AA186,'G-3 Multipliers'!$L$3:$N$6,3,FALSE)=0,"Spatial Data Missing",VLOOKUP(AA186,'G-3 Multipliers'!$L$3:$N$6,3,FALSE)))</f>
        <v/>
      </c>
      <c r="AD186" s="239" t="str">
        <f t="shared" si="27"/>
        <v/>
      </c>
      <c r="AE186" s="275"/>
      <c r="AF186" s="275"/>
      <c r="AG186" s="175" t="str">
        <f t="shared" si="30"/>
        <v/>
      </c>
      <c r="AH186" s="242" t="str">
        <f t="shared" si="31"/>
        <v/>
      </c>
      <c r="AI186" s="335" t="str">
        <f>IF(AH186="Check Data","Check Data",IFERROR(VLOOKUP(AH186,'G-4 Temporal multipliers'!$A$4:$C$36,3,FALSE),""))</f>
        <v/>
      </c>
      <c r="AJ186" s="239" t="str">
        <f>IF(S186="","",VLOOKUP(S186,'G-3 Multipliers'!$A$2:$E$130,4,FALSE))</f>
        <v/>
      </c>
      <c r="AK186" s="175" t="str">
        <f t="shared" si="32"/>
        <v/>
      </c>
      <c r="AL186" s="175" t="str">
        <f t="shared" si="33"/>
        <v/>
      </c>
      <c r="AM186" s="176" t="str">
        <f>IFERROR(IF(F186="","",IF(AH186="Check Data","Check Data",VLOOKUP(AL186, 'G-3 Multipliers'!$P$2:$Q$6,2,FALSE))),””)</f>
        <v/>
      </c>
      <c r="AN186" s="266"/>
      <c r="AO186" s="269" t="str">
        <f>IF(AN186="","",IF(VLOOKUP(AN186,'G-3 Multipliers'!$S$3:$T$9,2,FALSE)=0,"Spatial Data Missing",VLOOKUP(AN186,'G-3 Multipliers'!$S$3:$T$9,2,FALSE)))</f>
        <v/>
      </c>
      <c r="AP186" s="207" t="str">
        <f t="shared" si="34"/>
        <v/>
      </c>
      <c r="AQ186" s="336"/>
      <c r="AR186" s="181"/>
    </row>
    <row r="187" spans="1:44" x14ac:dyDescent="0.25">
      <c r="A187" s="35" t="str">
        <f>IF(E187="","",IF(ISNA(VLOOKUP($E187,'D-1 Off Site Habitat Baseline'!$D$1:$O$258,2,FALSE)),"",(VLOOKUP($E187,'D-1 Off Site Habitat Baseline'!$D$1:$O$258,2,FALSE))))</f>
        <v/>
      </c>
      <c r="B187" s="35" t="str">
        <f>IF(E187="","",IF(ISNA(VLOOKUP($E187,'D-1 Off Site Habitat Baseline'!$D$1:$O$258,3,FALSE)),"",(VLOOKUP($E187,'D-1 Off Site Habitat Baseline'!$D$1:$O$258,3,FALSE))))</f>
        <v/>
      </c>
      <c r="C187" s="35" t="str">
        <f>IFERROR(INDEX('G-8 Condition Look up'!$I$4:$I$131,MATCH(S187,'G-8 Condition Look up'!$A$4:$A$131,0)),"")</f>
        <v/>
      </c>
      <c r="E187" s="329" t="str">
        <f>'D-1 Off Site Habitat Baseline'!AL186</f>
        <v/>
      </c>
      <c r="F187" s="175" t="str">
        <f>IF(E187="","",IF(ISNA(VLOOKUP($E187,'D-1 Off Site Habitat Baseline'!$D$1:$O$258,4,FALSE)),"",(VLOOKUP($E187,'D-1 Off Site Habitat Baseline'!$D$1:$O$258,4,FALSE))))</f>
        <v/>
      </c>
      <c r="G187" s="175" t="str">
        <f>IF(E187="","",IF(ISNA(VLOOKUP($E187,'D-1 Off Site Habitat Baseline'!$D$1:$O$258,5,FALSE)),"",(VLOOKUP($E187,'D-1 Off Site Habitat Baseline'!$D$1:$O$258,5,FALSE))))</f>
        <v/>
      </c>
      <c r="H187" s="175" t="str">
        <f>IF(E187="","",IF(ISNA(VLOOKUP($E187,'D-1 Off Site Habitat Baseline'!$D$1:$O$258,6,FALSE)),"",(VLOOKUP($E187,'D-1 Off Site Habitat Baseline'!$D$1:$O$258,6,FALSE))))</f>
        <v/>
      </c>
      <c r="I187" s="175" t="str">
        <f>IF(E187="","",IF(ISNA(VLOOKUP($E187,'D-1 Off Site Habitat Baseline'!$D$1:$O$258,7,FALSE)),"",(VLOOKUP($E187,'D-1 Off Site Habitat Baseline'!$D$1:$O$258,7,FALSE))))</f>
        <v/>
      </c>
      <c r="J187" s="175" t="str">
        <f>IF(E187="","",IF(ISNA(VLOOKUP($E187,'D-1 Off Site Habitat Baseline'!$D$1:$O$258,8,FALSE)),"",(VLOOKUP($E187,'D-1 Off Site Habitat Baseline'!$D$1:$O$258,8,FALSE))))</f>
        <v/>
      </c>
      <c r="K187" s="175" t="str">
        <f>IF(E187="","",IF(ISNA(VLOOKUP($E187,'D-1 Off Site Habitat Baseline'!$D$1:$O$258,9,FALSE)),"",(VLOOKUP($E187,'D-1 Off Site Habitat Baseline'!$D$1:$O$258,9,FALSE))))</f>
        <v/>
      </c>
      <c r="L187" s="175" t="str">
        <f>IF(E187="","",IF(ISNA(VLOOKUP($E187,'D-1 Off Site Habitat Baseline'!$D$1:$O$258,11,FALSE)),"",(VLOOKUP($E187,'D-1 Off Site Habitat Baseline'!$D$1:$O$258,11,FALSE))))</f>
        <v/>
      </c>
      <c r="M187" s="175" t="str">
        <f>IF(E187="","",IF(ISNA(VLOOKUP($E187,'D-1 Off Site Habitat Baseline'!$D$1:$O$258,12,FALSE)),"",(VLOOKUP($E187,'D-1 Off Site Habitat Baseline'!$D$1:$O$258,12,FALSE))))</f>
        <v/>
      </c>
      <c r="N187" s="175" t="str">
        <f>IF(E187="","",IF(ISNA(VLOOKUP($E187,'D-1 Off Site Habitat Baseline'!$D$1:$X$258,14,FALSE)),"",(VLOOKUP($E187,'D-1 Off Site Habitat Baseline'!$D$1:$X$258,14,FALSE))))</f>
        <v/>
      </c>
      <c r="O187" s="176" t="str">
        <f>IF(E187="","",IF(ISNA(VLOOKUP($E187,'D-1 Off Site Habitat Baseline'!$D$1:$X$258,13,FALSE)),"",(VLOOKUP($E187,'D-1 Off Site Habitat Baseline'!$D$1:$X$258,13,FALSE))))</f>
        <v/>
      </c>
      <c r="P187" s="337" t="str">
        <f>IFERROR(INDEX('G-1 All Habitats'!$AG$3:$AG$15,MATCH(Q187,'G-1 All Habitats'!$AF$3:$AF$15,0)),"")</f>
        <v/>
      </c>
      <c r="Q187" s="331" t="str">
        <f t="shared" si="35"/>
        <v/>
      </c>
      <c r="R187" s="332" t="str">
        <f t="shared" si="36"/>
        <v/>
      </c>
      <c r="S187" s="338" t="str">
        <f>IFERROR(INDEX('G-1 All Habitats'!$B$3:$B$130,MATCH(R187,'G-1 All Habitats'!$A$3:$A$130,0)),"")</f>
        <v/>
      </c>
      <c r="T187" s="179" t="str">
        <f t="shared" si="28"/>
        <v/>
      </c>
      <c r="U187" s="172" t="str">
        <f t="shared" si="29"/>
        <v/>
      </c>
      <c r="V187" s="334" t="str">
        <f t="shared" si="26"/>
        <v/>
      </c>
      <c r="W187" s="175" t="str">
        <f>IF(S187="","",VLOOKUP(S187,'G-1 All Habitats'!$B$2:$M$130,10,FALSE))</f>
        <v/>
      </c>
      <c r="X187" s="175" t="str">
        <f>IFERROR(VLOOKUP(W187,'G-1 All Habitats'!$V$3:$W$7,2,FALSE),"")</f>
        <v/>
      </c>
      <c r="Y187" s="275"/>
      <c r="Z187" s="176" t="str">
        <f>IFERROR(INDEX('G-8 Condition Look up'!$A$3:$H$131,MATCH(S187,'G-8 Condition Look up'!$A$3:$A$131,0),MATCH(Y187,'G-8 Condition Look up'!$A$3:$H$3,0)),"")</f>
        <v/>
      </c>
      <c r="AA187" s="173"/>
      <c r="AB187" s="269" t="str">
        <f>IF(AA187="","",IF(VLOOKUP(AA187,'G-3 Multipliers'!$L$3:$N$6,2,FALSE)=0,"Spatial Data Missing",VLOOKUP(AA187,'G-3 Multipliers'!$L$3:$N$6,2,FALSE)))</f>
        <v/>
      </c>
      <c r="AC187" s="176" t="str">
        <f>IF(AA187="","",IF(VLOOKUP(AA187,'G-3 Multipliers'!$L$3:$N$6,3,FALSE)=0,"Spatial Data Missing",VLOOKUP(AA187,'G-3 Multipliers'!$L$3:$N$6,3,FALSE)))</f>
        <v/>
      </c>
      <c r="AD187" s="239" t="str">
        <f t="shared" si="27"/>
        <v/>
      </c>
      <c r="AE187" s="275"/>
      <c r="AF187" s="275"/>
      <c r="AG187" s="175" t="str">
        <f t="shared" si="30"/>
        <v/>
      </c>
      <c r="AH187" s="242" t="str">
        <f t="shared" si="31"/>
        <v/>
      </c>
      <c r="AI187" s="335" t="str">
        <f>IF(AH187="Check Data","Check Data",IFERROR(VLOOKUP(AH187,'G-4 Temporal multipliers'!$A$4:$C$36,3,FALSE),""))</f>
        <v/>
      </c>
      <c r="AJ187" s="239" t="str">
        <f>IF(S187="","",VLOOKUP(S187,'G-3 Multipliers'!$A$2:$E$130,4,FALSE))</f>
        <v/>
      </c>
      <c r="AK187" s="175" t="str">
        <f t="shared" si="32"/>
        <v/>
      </c>
      <c r="AL187" s="175" t="str">
        <f t="shared" si="33"/>
        <v/>
      </c>
      <c r="AM187" s="176" t="str">
        <f>IFERROR(IF(F187="","",IF(AH187="Check Data","Check Data",VLOOKUP(AL187, 'G-3 Multipliers'!$P$2:$Q$6,2,FALSE))),””)</f>
        <v/>
      </c>
      <c r="AN187" s="266"/>
      <c r="AO187" s="269" t="str">
        <f>IF(AN187="","",IF(VLOOKUP(AN187,'G-3 Multipliers'!$S$3:$T$9,2,FALSE)=0,"Spatial Data Missing",VLOOKUP(AN187,'G-3 Multipliers'!$S$3:$T$9,2,FALSE)))</f>
        <v/>
      </c>
      <c r="AP187" s="207" t="str">
        <f t="shared" si="34"/>
        <v/>
      </c>
      <c r="AQ187" s="336"/>
      <c r="AR187" s="181"/>
    </row>
    <row r="188" spans="1:44" x14ac:dyDescent="0.25">
      <c r="A188" s="35" t="str">
        <f>IF(E188="","",IF(ISNA(VLOOKUP($E188,'D-1 Off Site Habitat Baseline'!$D$1:$O$258,2,FALSE)),"",(VLOOKUP($E188,'D-1 Off Site Habitat Baseline'!$D$1:$O$258,2,FALSE))))</f>
        <v/>
      </c>
      <c r="B188" s="35" t="str">
        <f>IF(E188="","",IF(ISNA(VLOOKUP($E188,'D-1 Off Site Habitat Baseline'!$D$1:$O$258,3,FALSE)),"",(VLOOKUP($E188,'D-1 Off Site Habitat Baseline'!$D$1:$O$258,3,FALSE))))</f>
        <v/>
      </c>
      <c r="C188" s="35" t="str">
        <f>IFERROR(INDEX('G-8 Condition Look up'!$I$4:$I$131,MATCH(S188,'G-8 Condition Look up'!$A$4:$A$131,0)),"")</f>
        <v/>
      </c>
      <c r="E188" s="329" t="str">
        <f>'D-1 Off Site Habitat Baseline'!AL187</f>
        <v/>
      </c>
      <c r="F188" s="175" t="str">
        <f>IF(E188="","",IF(ISNA(VLOOKUP($E188,'D-1 Off Site Habitat Baseline'!$D$1:$O$258,4,FALSE)),"",(VLOOKUP($E188,'D-1 Off Site Habitat Baseline'!$D$1:$O$258,4,FALSE))))</f>
        <v/>
      </c>
      <c r="G188" s="175" t="str">
        <f>IF(E188="","",IF(ISNA(VLOOKUP($E188,'D-1 Off Site Habitat Baseline'!$D$1:$O$258,5,FALSE)),"",(VLOOKUP($E188,'D-1 Off Site Habitat Baseline'!$D$1:$O$258,5,FALSE))))</f>
        <v/>
      </c>
      <c r="H188" s="175" t="str">
        <f>IF(E188="","",IF(ISNA(VLOOKUP($E188,'D-1 Off Site Habitat Baseline'!$D$1:$O$258,6,FALSE)),"",(VLOOKUP($E188,'D-1 Off Site Habitat Baseline'!$D$1:$O$258,6,FALSE))))</f>
        <v/>
      </c>
      <c r="I188" s="175" t="str">
        <f>IF(E188="","",IF(ISNA(VLOOKUP($E188,'D-1 Off Site Habitat Baseline'!$D$1:$O$258,7,FALSE)),"",(VLOOKUP($E188,'D-1 Off Site Habitat Baseline'!$D$1:$O$258,7,FALSE))))</f>
        <v/>
      </c>
      <c r="J188" s="175" t="str">
        <f>IF(E188="","",IF(ISNA(VLOOKUP($E188,'D-1 Off Site Habitat Baseline'!$D$1:$O$258,8,FALSE)),"",(VLOOKUP($E188,'D-1 Off Site Habitat Baseline'!$D$1:$O$258,8,FALSE))))</f>
        <v/>
      </c>
      <c r="K188" s="175" t="str">
        <f>IF(E188="","",IF(ISNA(VLOOKUP($E188,'D-1 Off Site Habitat Baseline'!$D$1:$O$258,9,FALSE)),"",(VLOOKUP($E188,'D-1 Off Site Habitat Baseline'!$D$1:$O$258,9,FALSE))))</f>
        <v/>
      </c>
      <c r="L188" s="175" t="str">
        <f>IF(E188="","",IF(ISNA(VLOOKUP($E188,'D-1 Off Site Habitat Baseline'!$D$1:$O$258,11,FALSE)),"",(VLOOKUP($E188,'D-1 Off Site Habitat Baseline'!$D$1:$O$258,11,FALSE))))</f>
        <v/>
      </c>
      <c r="M188" s="175" t="str">
        <f>IF(E188="","",IF(ISNA(VLOOKUP($E188,'D-1 Off Site Habitat Baseline'!$D$1:$O$258,12,FALSE)),"",(VLOOKUP($E188,'D-1 Off Site Habitat Baseline'!$D$1:$O$258,12,FALSE))))</f>
        <v/>
      </c>
      <c r="N188" s="175" t="str">
        <f>IF(E188="","",IF(ISNA(VLOOKUP($E188,'D-1 Off Site Habitat Baseline'!$D$1:$X$258,14,FALSE)),"",(VLOOKUP($E188,'D-1 Off Site Habitat Baseline'!$D$1:$X$258,14,FALSE))))</f>
        <v/>
      </c>
      <c r="O188" s="176" t="str">
        <f>IF(E188="","",IF(ISNA(VLOOKUP($E188,'D-1 Off Site Habitat Baseline'!$D$1:$X$258,13,FALSE)),"",(VLOOKUP($E188,'D-1 Off Site Habitat Baseline'!$D$1:$X$258,13,FALSE))))</f>
        <v/>
      </c>
      <c r="P188" s="337" t="str">
        <f>IFERROR(INDEX('G-1 All Habitats'!$AG$3:$AG$15,MATCH(Q188,'G-1 All Habitats'!$AF$3:$AF$15,0)),"")</f>
        <v/>
      </c>
      <c r="Q188" s="331" t="str">
        <f t="shared" si="35"/>
        <v/>
      </c>
      <c r="R188" s="332" t="str">
        <f t="shared" si="36"/>
        <v/>
      </c>
      <c r="S188" s="338" t="str">
        <f>IFERROR(INDEX('G-1 All Habitats'!$B$3:$B$130,MATCH(R188,'G-1 All Habitats'!$A$3:$A$130,0)),"")</f>
        <v/>
      </c>
      <c r="T188" s="179" t="str">
        <f t="shared" si="28"/>
        <v/>
      </c>
      <c r="U188" s="172" t="str">
        <f t="shared" si="29"/>
        <v/>
      </c>
      <c r="V188" s="334" t="str">
        <f t="shared" si="26"/>
        <v/>
      </c>
      <c r="W188" s="175" t="str">
        <f>IF(S188="","",VLOOKUP(S188,'G-1 All Habitats'!$B$2:$M$130,10,FALSE))</f>
        <v/>
      </c>
      <c r="X188" s="175" t="str">
        <f>IFERROR(VLOOKUP(W188,'G-1 All Habitats'!$V$3:$W$7,2,FALSE),"")</f>
        <v/>
      </c>
      <c r="Y188" s="275"/>
      <c r="Z188" s="176" t="str">
        <f>IFERROR(INDEX('G-8 Condition Look up'!$A$3:$H$131,MATCH(S188,'G-8 Condition Look up'!$A$3:$A$131,0),MATCH(Y188,'G-8 Condition Look up'!$A$3:$H$3,0)),"")</f>
        <v/>
      </c>
      <c r="AA188" s="173"/>
      <c r="AB188" s="269" t="str">
        <f>IF(AA188="","",IF(VLOOKUP(AA188,'G-3 Multipliers'!$L$3:$N$6,2,FALSE)=0,"Spatial Data Missing",VLOOKUP(AA188,'G-3 Multipliers'!$L$3:$N$6,2,FALSE)))</f>
        <v/>
      </c>
      <c r="AC188" s="176" t="str">
        <f>IF(AA188="","",IF(VLOOKUP(AA188,'G-3 Multipliers'!$L$3:$N$6,3,FALSE)=0,"Spatial Data Missing",VLOOKUP(AA188,'G-3 Multipliers'!$L$3:$N$6,3,FALSE)))</f>
        <v/>
      </c>
      <c r="AD188" s="239" t="str">
        <f t="shared" si="27"/>
        <v/>
      </c>
      <c r="AE188" s="275"/>
      <c r="AF188" s="275"/>
      <c r="AG188" s="175" t="str">
        <f t="shared" si="30"/>
        <v/>
      </c>
      <c r="AH188" s="242" t="str">
        <f t="shared" si="31"/>
        <v/>
      </c>
      <c r="AI188" s="335" t="str">
        <f>IF(AH188="Check Data","Check Data",IFERROR(VLOOKUP(AH188,'G-4 Temporal multipliers'!$A$4:$C$36,3,FALSE),""))</f>
        <v/>
      </c>
      <c r="AJ188" s="239" t="str">
        <f>IF(S188="","",VLOOKUP(S188,'G-3 Multipliers'!$A$2:$E$130,4,FALSE))</f>
        <v/>
      </c>
      <c r="AK188" s="175" t="str">
        <f t="shared" si="32"/>
        <v/>
      </c>
      <c r="AL188" s="175" t="str">
        <f t="shared" si="33"/>
        <v/>
      </c>
      <c r="AM188" s="176" t="str">
        <f>IFERROR(IF(F188="","",IF(AH188="Check Data","Check Data",VLOOKUP(AL188, 'G-3 Multipliers'!$P$2:$Q$6,2,FALSE))),””)</f>
        <v/>
      </c>
      <c r="AN188" s="266"/>
      <c r="AO188" s="269" t="str">
        <f>IF(AN188="","",IF(VLOOKUP(AN188,'G-3 Multipliers'!$S$3:$T$9,2,FALSE)=0,"Spatial Data Missing",VLOOKUP(AN188,'G-3 Multipliers'!$S$3:$T$9,2,FALSE)))</f>
        <v/>
      </c>
      <c r="AP188" s="207" t="str">
        <f t="shared" si="34"/>
        <v/>
      </c>
      <c r="AQ188" s="336"/>
      <c r="AR188" s="181"/>
    </row>
    <row r="189" spans="1:44" x14ac:dyDescent="0.25">
      <c r="A189" s="35" t="str">
        <f>IF(E189="","",IF(ISNA(VLOOKUP($E189,'D-1 Off Site Habitat Baseline'!$D$1:$O$258,2,FALSE)),"",(VLOOKUP($E189,'D-1 Off Site Habitat Baseline'!$D$1:$O$258,2,FALSE))))</f>
        <v/>
      </c>
      <c r="B189" s="35" t="str">
        <f>IF(E189="","",IF(ISNA(VLOOKUP($E189,'D-1 Off Site Habitat Baseline'!$D$1:$O$258,3,FALSE)),"",(VLOOKUP($E189,'D-1 Off Site Habitat Baseline'!$D$1:$O$258,3,FALSE))))</f>
        <v/>
      </c>
      <c r="C189" s="35" t="str">
        <f>IFERROR(INDEX('G-8 Condition Look up'!$I$4:$I$131,MATCH(S189,'G-8 Condition Look up'!$A$4:$A$131,0)),"")</f>
        <v/>
      </c>
      <c r="E189" s="329" t="str">
        <f>'D-1 Off Site Habitat Baseline'!AL188</f>
        <v/>
      </c>
      <c r="F189" s="175" t="str">
        <f>IF(E189="","",IF(ISNA(VLOOKUP($E189,'D-1 Off Site Habitat Baseline'!$D$1:$O$258,4,FALSE)),"",(VLOOKUP($E189,'D-1 Off Site Habitat Baseline'!$D$1:$O$258,4,FALSE))))</f>
        <v/>
      </c>
      <c r="G189" s="175" t="str">
        <f>IF(E189="","",IF(ISNA(VLOOKUP($E189,'D-1 Off Site Habitat Baseline'!$D$1:$O$258,5,FALSE)),"",(VLOOKUP($E189,'D-1 Off Site Habitat Baseline'!$D$1:$O$258,5,FALSE))))</f>
        <v/>
      </c>
      <c r="H189" s="175" t="str">
        <f>IF(E189="","",IF(ISNA(VLOOKUP($E189,'D-1 Off Site Habitat Baseline'!$D$1:$O$258,6,FALSE)),"",(VLOOKUP($E189,'D-1 Off Site Habitat Baseline'!$D$1:$O$258,6,FALSE))))</f>
        <v/>
      </c>
      <c r="I189" s="175" t="str">
        <f>IF(E189="","",IF(ISNA(VLOOKUP($E189,'D-1 Off Site Habitat Baseline'!$D$1:$O$258,7,FALSE)),"",(VLOOKUP($E189,'D-1 Off Site Habitat Baseline'!$D$1:$O$258,7,FALSE))))</f>
        <v/>
      </c>
      <c r="J189" s="175" t="str">
        <f>IF(E189="","",IF(ISNA(VLOOKUP($E189,'D-1 Off Site Habitat Baseline'!$D$1:$O$258,8,FALSE)),"",(VLOOKUP($E189,'D-1 Off Site Habitat Baseline'!$D$1:$O$258,8,FALSE))))</f>
        <v/>
      </c>
      <c r="K189" s="175" t="str">
        <f>IF(E189="","",IF(ISNA(VLOOKUP($E189,'D-1 Off Site Habitat Baseline'!$D$1:$O$258,9,FALSE)),"",(VLOOKUP($E189,'D-1 Off Site Habitat Baseline'!$D$1:$O$258,9,FALSE))))</f>
        <v/>
      </c>
      <c r="L189" s="175" t="str">
        <f>IF(E189="","",IF(ISNA(VLOOKUP($E189,'D-1 Off Site Habitat Baseline'!$D$1:$O$258,11,FALSE)),"",(VLOOKUP($E189,'D-1 Off Site Habitat Baseline'!$D$1:$O$258,11,FALSE))))</f>
        <v/>
      </c>
      <c r="M189" s="175" t="str">
        <f>IF(E189="","",IF(ISNA(VLOOKUP($E189,'D-1 Off Site Habitat Baseline'!$D$1:$O$258,12,FALSE)),"",(VLOOKUP($E189,'D-1 Off Site Habitat Baseline'!$D$1:$O$258,12,FALSE))))</f>
        <v/>
      </c>
      <c r="N189" s="175" t="str">
        <f>IF(E189="","",IF(ISNA(VLOOKUP($E189,'D-1 Off Site Habitat Baseline'!$D$1:$X$258,14,FALSE)),"",(VLOOKUP($E189,'D-1 Off Site Habitat Baseline'!$D$1:$X$258,14,FALSE))))</f>
        <v/>
      </c>
      <c r="O189" s="176" t="str">
        <f>IF(E189="","",IF(ISNA(VLOOKUP($E189,'D-1 Off Site Habitat Baseline'!$D$1:$X$258,13,FALSE)),"",(VLOOKUP($E189,'D-1 Off Site Habitat Baseline'!$D$1:$X$258,13,FALSE))))</f>
        <v/>
      </c>
      <c r="P189" s="337" t="str">
        <f>IFERROR(INDEX('G-1 All Habitats'!$AG$3:$AG$15,MATCH(Q189,'G-1 All Habitats'!$AF$3:$AF$15,0)),"")</f>
        <v/>
      </c>
      <c r="Q189" s="331" t="str">
        <f t="shared" si="35"/>
        <v/>
      </c>
      <c r="R189" s="332" t="str">
        <f t="shared" si="36"/>
        <v/>
      </c>
      <c r="S189" s="338" t="str">
        <f>IFERROR(INDEX('G-1 All Habitats'!$B$3:$B$130,MATCH(R189,'G-1 All Habitats'!$A$3:$A$130,0)),"")</f>
        <v/>
      </c>
      <c r="T189" s="179" t="str">
        <f t="shared" si="28"/>
        <v/>
      </c>
      <c r="U189" s="172" t="str">
        <f t="shared" si="29"/>
        <v/>
      </c>
      <c r="V189" s="334" t="str">
        <f t="shared" si="26"/>
        <v/>
      </c>
      <c r="W189" s="175" t="str">
        <f>IF(S189="","",VLOOKUP(S189,'G-1 All Habitats'!$B$2:$M$130,10,FALSE))</f>
        <v/>
      </c>
      <c r="X189" s="175" t="str">
        <f>IFERROR(VLOOKUP(W189,'G-1 All Habitats'!$V$3:$W$7,2,FALSE),"")</f>
        <v/>
      </c>
      <c r="Y189" s="275"/>
      <c r="Z189" s="176" t="str">
        <f>IFERROR(INDEX('G-8 Condition Look up'!$A$3:$H$131,MATCH(S189,'G-8 Condition Look up'!$A$3:$A$131,0),MATCH(Y189,'G-8 Condition Look up'!$A$3:$H$3,0)),"")</f>
        <v/>
      </c>
      <c r="AA189" s="173"/>
      <c r="AB189" s="269" t="str">
        <f>IF(AA189="","",IF(VLOOKUP(AA189,'G-3 Multipliers'!$L$3:$N$6,2,FALSE)=0,"Spatial Data Missing",VLOOKUP(AA189,'G-3 Multipliers'!$L$3:$N$6,2,FALSE)))</f>
        <v/>
      </c>
      <c r="AC189" s="176" t="str">
        <f>IF(AA189="","",IF(VLOOKUP(AA189,'G-3 Multipliers'!$L$3:$N$6,3,FALSE)=0,"Spatial Data Missing",VLOOKUP(AA189,'G-3 Multipliers'!$L$3:$N$6,3,FALSE)))</f>
        <v/>
      </c>
      <c r="AD189" s="239" t="str">
        <f t="shared" si="27"/>
        <v/>
      </c>
      <c r="AE189" s="275"/>
      <c r="AF189" s="275"/>
      <c r="AG189" s="175" t="str">
        <f t="shared" si="30"/>
        <v/>
      </c>
      <c r="AH189" s="242" t="str">
        <f t="shared" si="31"/>
        <v/>
      </c>
      <c r="AI189" s="335" t="str">
        <f>IF(AH189="Check Data","Check Data",IFERROR(VLOOKUP(AH189,'G-4 Temporal multipliers'!$A$4:$C$36,3,FALSE),""))</f>
        <v/>
      </c>
      <c r="AJ189" s="239" t="str">
        <f>IF(S189="","",VLOOKUP(S189,'G-3 Multipliers'!$A$2:$E$130,4,FALSE))</f>
        <v/>
      </c>
      <c r="AK189" s="175" t="str">
        <f t="shared" si="32"/>
        <v/>
      </c>
      <c r="AL189" s="175" t="str">
        <f t="shared" si="33"/>
        <v/>
      </c>
      <c r="AM189" s="176" t="str">
        <f>IFERROR(IF(F189="","",IF(AH189="Check Data","Check Data",VLOOKUP(AL189, 'G-3 Multipliers'!$P$2:$Q$6,2,FALSE))),””)</f>
        <v/>
      </c>
      <c r="AN189" s="266"/>
      <c r="AO189" s="269" t="str">
        <f>IF(AN189="","",IF(VLOOKUP(AN189,'G-3 Multipliers'!$S$3:$T$9,2,FALSE)=0,"Spatial Data Missing",VLOOKUP(AN189,'G-3 Multipliers'!$S$3:$T$9,2,FALSE)))</f>
        <v/>
      </c>
      <c r="AP189" s="207" t="str">
        <f t="shared" si="34"/>
        <v/>
      </c>
      <c r="AQ189" s="336"/>
      <c r="AR189" s="181"/>
    </row>
    <row r="190" spans="1:44" x14ac:dyDescent="0.25">
      <c r="A190" s="35" t="str">
        <f>IF(E190="","",IF(ISNA(VLOOKUP($E190,'D-1 Off Site Habitat Baseline'!$D$1:$O$258,2,FALSE)),"",(VLOOKUP($E190,'D-1 Off Site Habitat Baseline'!$D$1:$O$258,2,FALSE))))</f>
        <v/>
      </c>
      <c r="B190" s="35" t="str">
        <f>IF(E190="","",IF(ISNA(VLOOKUP($E190,'D-1 Off Site Habitat Baseline'!$D$1:$O$258,3,FALSE)),"",(VLOOKUP($E190,'D-1 Off Site Habitat Baseline'!$D$1:$O$258,3,FALSE))))</f>
        <v/>
      </c>
      <c r="C190" s="35" t="str">
        <f>IFERROR(INDEX('G-8 Condition Look up'!$I$4:$I$131,MATCH(S190,'G-8 Condition Look up'!$A$4:$A$131,0)),"")</f>
        <v/>
      </c>
      <c r="E190" s="329" t="str">
        <f>'D-1 Off Site Habitat Baseline'!AL189</f>
        <v/>
      </c>
      <c r="F190" s="175" t="str">
        <f>IF(E190="","",IF(ISNA(VLOOKUP($E190,'D-1 Off Site Habitat Baseline'!$D$1:$O$258,4,FALSE)),"",(VLOOKUP($E190,'D-1 Off Site Habitat Baseline'!$D$1:$O$258,4,FALSE))))</f>
        <v/>
      </c>
      <c r="G190" s="175" t="str">
        <f>IF(E190="","",IF(ISNA(VLOOKUP($E190,'D-1 Off Site Habitat Baseline'!$D$1:$O$258,5,FALSE)),"",(VLOOKUP($E190,'D-1 Off Site Habitat Baseline'!$D$1:$O$258,5,FALSE))))</f>
        <v/>
      </c>
      <c r="H190" s="175" t="str">
        <f>IF(E190="","",IF(ISNA(VLOOKUP($E190,'D-1 Off Site Habitat Baseline'!$D$1:$O$258,6,FALSE)),"",(VLOOKUP($E190,'D-1 Off Site Habitat Baseline'!$D$1:$O$258,6,FALSE))))</f>
        <v/>
      </c>
      <c r="I190" s="175" t="str">
        <f>IF(E190="","",IF(ISNA(VLOOKUP($E190,'D-1 Off Site Habitat Baseline'!$D$1:$O$258,7,FALSE)),"",(VLOOKUP($E190,'D-1 Off Site Habitat Baseline'!$D$1:$O$258,7,FALSE))))</f>
        <v/>
      </c>
      <c r="J190" s="175" t="str">
        <f>IF(E190="","",IF(ISNA(VLOOKUP($E190,'D-1 Off Site Habitat Baseline'!$D$1:$O$258,8,FALSE)),"",(VLOOKUP($E190,'D-1 Off Site Habitat Baseline'!$D$1:$O$258,8,FALSE))))</f>
        <v/>
      </c>
      <c r="K190" s="175" t="str">
        <f>IF(E190="","",IF(ISNA(VLOOKUP($E190,'D-1 Off Site Habitat Baseline'!$D$1:$O$258,9,FALSE)),"",(VLOOKUP($E190,'D-1 Off Site Habitat Baseline'!$D$1:$O$258,9,FALSE))))</f>
        <v/>
      </c>
      <c r="L190" s="175" t="str">
        <f>IF(E190="","",IF(ISNA(VLOOKUP($E190,'D-1 Off Site Habitat Baseline'!$D$1:$O$258,11,FALSE)),"",(VLOOKUP($E190,'D-1 Off Site Habitat Baseline'!$D$1:$O$258,11,FALSE))))</f>
        <v/>
      </c>
      <c r="M190" s="175" t="str">
        <f>IF(E190="","",IF(ISNA(VLOOKUP($E190,'D-1 Off Site Habitat Baseline'!$D$1:$O$258,12,FALSE)),"",(VLOOKUP($E190,'D-1 Off Site Habitat Baseline'!$D$1:$O$258,12,FALSE))))</f>
        <v/>
      </c>
      <c r="N190" s="175" t="str">
        <f>IF(E190="","",IF(ISNA(VLOOKUP($E190,'D-1 Off Site Habitat Baseline'!$D$1:$X$258,14,FALSE)),"",(VLOOKUP($E190,'D-1 Off Site Habitat Baseline'!$D$1:$X$258,14,FALSE))))</f>
        <v/>
      </c>
      <c r="O190" s="176" t="str">
        <f>IF(E190="","",IF(ISNA(VLOOKUP($E190,'D-1 Off Site Habitat Baseline'!$D$1:$X$258,13,FALSE)),"",(VLOOKUP($E190,'D-1 Off Site Habitat Baseline'!$D$1:$X$258,13,FALSE))))</f>
        <v/>
      </c>
      <c r="P190" s="337" t="str">
        <f>IFERROR(INDEX('G-1 All Habitats'!$AG$3:$AG$15,MATCH(Q190,'G-1 All Habitats'!$AF$3:$AF$15,0)),"")</f>
        <v/>
      </c>
      <c r="Q190" s="331" t="str">
        <f t="shared" si="35"/>
        <v/>
      </c>
      <c r="R190" s="332" t="str">
        <f t="shared" si="36"/>
        <v/>
      </c>
      <c r="S190" s="338" t="str">
        <f>IFERROR(INDEX('G-1 All Habitats'!$B$3:$B$130,MATCH(R190,'G-1 All Habitats'!$A$3:$A$130,0)),"")</f>
        <v/>
      </c>
      <c r="T190" s="179" t="str">
        <f t="shared" si="28"/>
        <v/>
      </c>
      <c r="U190" s="172" t="str">
        <f t="shared" si="29"/>
        <v/>
      </c>
      <c r="V190" s="334" t="str">
        <f t="shared" si="26"/>
        <v/>
      </c>
      <c r="W190" s="175" t="str">
        <f>IF(S190="","",VLOOKUP(S190,'G-1 All Habitats'!$B$2:$M$130,10,FALSE))</f>
        <v/>
      </c>
      <c r="X190" s="175" t="str">
        <f>IFERROR(VLOOKUP(W190,'G-1 All Habitats'!$V$3:$W$7,2,FALSE),"")</f>
        <v/>
      </c>
      <c r="Y190" s="275"/>
      <c r="Z190" s="176" t="str">
        <f>IFERROR(INDEX('G-8 Condition Look up'!$A$3:$H$131,MATCH(S190,'G-8 Condition Look up'!$A$3:$A$131,0),MATCH(Y190,'G-8 Condition Look up'!$A$3:$H$3,0)),"")</f>
        <v/>
      </c>
      <c r="AA190" s="173"/>
      <c r="AB190" s="269" t="str">
        <f>IF(AA190="","",IF(VLOOKUP(AA190,'G-3 Multipliers'!$L$3:$N$6,2,FALSE)=0,"Spatial Data Missing",VLOOKUP(AA190,'G-3 Multipliers'!$L$3:$N$6,2,FALSE)))</f>
        <v/>
      </c>
      <c r="AC190" s="176" t="str">
        <f>IF(AA190="","",IF(VLOOKUP(AA190,'G-3 Multipliers'!$L$3:$N$6,3,FALSE)=0,"Spatial Data Missing",VLOOKUP(AA190,'G-3 Multipliers'!$L$3:$N$6,3,FALSE)))</f>
        <v/>
      </c>
      <c r="AD190" s="239" t="str">
        <f t="shared" si="27"/>
        <v/>
      </c>
      <c r="AE190" s="275"/>
      <c r="AF190" s="275"/>
      <c r="AG190" s="175" t="str">
        <f t="shared" si="30"/>
        <v/>
      </c>
      <c r="AH190" s="242" t="str">
        <f t="shared" si="31"/>
        <v/>
      </c>
      <c r="AI190" s="335" t="str">
        <f>IF(AH190="Check Data","Check Data",IFERROR(VLOOKUP(AH190,'G-4 Temporal multipliers'!$A$4:$C$36,3,FALSE),""))</f>
        <v/>
      </c>
      <c r="AJ190" s="239" t="str">
        <f>IF(S190="","",VLOOKUP(S190,'G-3 Multipliers'!$A$2:$E$130,4,FALSE))</f>
        <v/>
      </c>
      <c r="AK190" s="175" t="str">
        <f t="shared" si="32"/>
        <v/>
      </c>
      <c r="AL190" s="175" t="str">
        <f t="shared" si="33"/>
        <v/>
      </c>
      <c r="AM190" s="176" t="str">
        <f>IFERROR(IF(F190="","",IF(AH190="Check Data","Check Data",VLOOKUP(AL190, 'G-3 Multipliers'!$P$2:$Q$6,2,FALSE))),””)</f>
        <v/>
      </c>
      <c r="AN190" s="266"/>
      <c r="AO190" s="269" t="str">
        <f>IF(AN190="","",IF(VLOOKUP(AN190,'G-3 Multipliers'!$S$3:$T$9,2,FALSE)=0,"Spatial Data Missing",VLOOKUP(AN190,'G-3 Multipliers'!$S$3:$T$9,2,FALSE)))</f>
        <v/>
      </c>
      <c r="AP190" s="207" t="str">
        <f t="shared" si="34"/>
        <v/>
      </c>
      <c r="AQ190" s="336"/>
      <c r="AR190" s="181"/>
    </row>
    <row r="191" spans="1:44" x14ac:dyDescent="0.25">
      <c r="A191" s="35" t="str">
        <f>IF(E191="","",IF(ISNA(VLOOKUP($E191,'D-1 Off Site Habitat Baseline'!$D$1:$O$258,2,FALSE)),"",(VLOOKUP($E191,'D-1 Off Site Habitat Baseline'!$D$1:$O$258,2,FALSE))))</f>
        <v/>
      </c>
      <c r="B191" s="35" t="str">
        <f>IF(E191="","",IF(ISNA(VLOOKUP($E191,'D-1 Off Site Habitat Baseline'!$D$1:$O$258,3,FALSE)),"",(VLOOKUP($E191,'D-1 Off Site Habitat Baseline'!$D$1:$O$258,3,FALSE))))</f>
        <v/>
      </c>
      <c r="C191" s="35" t="str">
        <f>IFERROR(INDEX('G-8 Condition Look up'!$I$4:$I$131,MATCH(S191,'G-8 Condition Look up'!$A$4:$A$131,0)),"")</f>
        <v/>
      </c>
      <c r="E191" s="329" t="str">
        <f>'D-1 Off Site Habitat Baseline'!AL190</f>
        <v/>
      </c>
      <c r="F191" s="175" t="str">
        <f>IF(E191="","",IF(ISNA(VLOOKUP($E191,'D-1 Off Site Habitat Baseline'!$D$1:$O$258,4,FALSE)),"",(VLOOKUP($E191,'D-1 Off Site Habitat Baseline'!$D$1:$O$258,4,FALSE))))</f>
        <v/>
      </c>
      <c r="G191" s="175" t="str">
        <f>IF(E191="","",IF(ISNA(VLOOKUP($E191,'D-1 Off Site Habitat Baseline'!$D$1:$O$258,5,FALSE)),"",(VLOOKUP($E191,'D-1 Off Site Habitat Baseline'!$D$1:$O$258,5,FALSE))))</f>
        <v/>
      </c>
      <c r="H191" s="175" t="str">
        <f>IF(E191="","",IF(ISNA(VLOOKUP($E191,'D-1 Off Site Habitat Baseline'!$D$1:$O$258,6,FALSE)),"",(VLOOKUP($E191,'D-1 Off Site Habitat Baseline'!$D$1:$O$258,6,FALSE))))</f>
        <v/>
      </c>
      <c r="I191" s="175" t="str">
        <f>IF(E191="","",IF(ISNA(VLOOKUP($E191,'D-1 Off Site Habitat Baseline'!$D$1:$O$258,7,FALSE)),"",(VLOOKUP($E191,'D-1 Off Site Habitat Baseline'!$D$1:$O$258,7,FALSE))))</f>
        <v/>
      </c>
      <c r="J191" s="175" t="str">
        <f>IF(E191="","",IF(ISNA(VLOOKUP($E191,'D-1 Off Site Habitat Baseline'!$D$1:$O$258,8,FALSE)),"",(VLOOKUP($E191,'D-1 Off Site Habitat Baseline'!$D$1:$O$258,8,FALSE))))</f>
        <v/>
      </c>
      <c r="K191" s="175" t="str">
        <f>IF(E191="","",IF(ISNA(VLOOKUP($E191,'D-1 Off Site Habitat Baseline'!$D$1:$O$258,9,FALSE)),"",(VLOOKUP($E191,'D-1 Off Site Habitat Baseline'!$D$1:$O$258,9,FALSE))))</f>
        <v/>
      </c>
      <c r="L191" s="175" t="str">
        <f>IF(E191="","",IF(ISNA(VLOOKUP($E191,'D-1 Off Site Habitat Baseline'!$D$1:$O$258,11,FALSE)),"",(VLOOKUP($E191,'D-1 Off Site Habitat Baseline'!$D$1:$O$258,11,FALSE))))</f>
        <v/>
      </c>
      <c r="M191" s="175" t="str">
        <f>IF(E191="","",IF(ISNA(VLOOKUP($E191,'D-1 Off Site Habitat Baseline'!$D$1:$O$258,12,FALSE)),"",(VLOOKUP($E191,'D-1 Off Site Habitat Baseline'!$D$1:$O$258,12,FALSE))))</f>
        <v/>
      </c>
      <c r="N191" s="175" t="str">
        <f>IF(E191="","",IF(ISNA(VLOOKUP($E191,'D-1 Off Site Habitat Baseline'!$D$1:$X$258,14,FALSE)),"",(VLOOKUP($E191,'D-1 Off Site Habitat Baseline'!$D$1:$X$258,14,FALSE))))</f>
        <v/>
      </c>
      <c r="O191" s="176" t="str">
        <f>IF(E191="","",IF(ISNA(VLOOKUP($E191,'D-1 Off Site Habitat Baseline'!$D$1:$X$258,13,FALSE)),"",(VLOOKUP($E191,'D-1 Off Site Habitat Baseline'!$D$1:$X$258,13,FALSE))))</f>
        <v/>
      </c>
      <c r="P191" s="337" t="str">
        <f>IFERROR(INDEX('G-1 All Habitats'!$AG$3:$AG$15,MATCH(Q191,'G-1 All Habitats'!$AF$3:$AF$15,0)),"")</f>
        <v/>
      </c>
      <c r="Q191" s="331" t="str">
        <f t="shared" si="35"/>
        <v/>
      </c>
      <c r="R191" s="332" t="str">
        <f t="shared" si="36"/>
        <v/>
      </c>
      <c r="S191" s="338" t="str">
        <f>IFERROR(INDEX('G-1 All Habitats'!$B$3:$B$130,MATCH(R191,'G-1 All Habitats'!$A$3:$A$130,0)),"")</f>
        <v/>
      </c>
      <c r="T191" s="179" t="str">
        <f t="shared" si="28"/>
        <v/>
      </c>
      <c r="U191" s="172" t="str">
        <f t="shared" si="29"/>
        <v/>
      </c>
      <c r="V191" s="334" t="str">
        <f t="shared" si="26"/>
        <v/>
      </c>
      <c r="W191" s="175" t="str">
        <f>IF(S191="","",VLOOKUP(S191,'G-1 All Habitats'!$B$2:$M$130,10,FALSE))</f>
        <v/>
      </c>
      <c r="X191" s="175" t="str">
        <f>IFERROR(VLOOKUP(W191,'G-1 All Habitats'!$V$3:$W$7,2,FALSE),"")</f>
        <v/>
      </c>
      <c r="Y191" s="275"/>
      <c r="Z191" s="176" t="str">
        <f>IFERROR(INDEX('G-8 Condition Look up'!$A$3:$H$131,MATCH(S191,'G-8 Condition Look up'!$A$3:$A$131,0),MATCH(Y191,'G-8 Condition Look up'!$A$3:$H$3,0)),"")</f>
        <v/>
      </c>
      <c r="AA191" s="173"/>
      <c r="AB191" s="269" t="str">
        <f>IF(AA191="","",IF(VLOOKUP(AA191,'G-3 Multipliers'!$L$3:$N$6,2,FALSE)=0,"Spatial Data Missing",VLOOKUP(AA191,'G-3 Multipliers'!$L$3:$N$6,2,FALSE)))</f>
        <v/>
      </c>
      <c r="AC191" s="176" t="str">
        <f>IF(AA191="","",IF(VLOOKUP(AA191,'G-3 Multipliers'!$L$3:$N$6,3,FALSE)=0,"Spatial Data Missing",VLOOKUP(AA191,'G-3 Multipliers'!$L$3:$N$6,3,FALSE)))</f>
        <v/>
      </c>
      <c r="AD191" s="239" t="str">
        <f t="shared" si="27"/>
        <v/>
      </c>
      <c r="AE191" s="275"/>
      <c r="AF191" s="275"/>
      <c r="AG191" s="175" t="str">
        <f t="shared" si="30"/>
        <v/>
      </c>
      <c r="AH191" s="242" t="str">
        <f t="shared" si="31"/>
        <v/>
      </c>
      <c r="AI191" s="335" t="str">
        <f>IF(AH191="Check Data","Check Data",IFERROR(VLOOKUP(AH191,'G-4 Temporal multipliers'!$A$4:$C$36,3,FALSE),""))</f>
        <v/>
      </c>
      <c r="AJ191" s="239" t="str">
        <f>IF(S191="","",VLOOKUP(S191,'G-3 Multipliers'!$A$2:$E$130,4,FALSE))</f>
        <v/>
      </c>
      <c r="AK191" s="175" t="str">
        <f t="shared" si="32"/>
        <v/>
      </c>
      <c r="AL191" s="175" t="str">
        <f t="shared" si="33"/>
        <v/>
      </c>
      <c r="AM191" s="176" t="str">
        <f>IFERROR(IF(F191="","",IF(AH191="Check Data","Check Data",VLOOKUP(AL191, 'G-3 Multipliers'!$P$2:$Q$6,2,FALSE))),””)</f>
        <v/>
      </c>
      <c r="AN191" s="266"/>
      <c r="AO191" s="269" t="str">
        <f>IF(AN191="","",IF(VLOOKUP(AN191,'G-3 Multipliers'!$S$3:$T$9,2,FALSE)=0,"Spatial Data Missing",VLOOKUP(AN191,'G-3 Multipliers'!$S$3:$T$9,2,FALSE)))</f>
        <v/>
      </c>
      <c r="AP191" s="207" t="str">
        <f t="shared" si="34"/>
        <v/>
      </c>
      <c r="AQ191" s="336"/>
      <c r="AR191" s="181"/>
    </row>
    <row r="192" spans="1:44" x14ac:dyDescent="0.25">
      <c r="A192" s="35" t="str">
        <f>IF(E192="","",IF(ISNA(VLOOKUP($E192,'D-1 Off Site Habitat Baseline'!$D$1:$O$258,2,FALSE)),"",(VLOOKUP($E192,'D-1 Off Site Habitat Baseline'!$D$1:$O$258,2,FALSE))))</f>
        <v/>
      </c>
      <c r="B192" s="35" t="str">
        <f>IF(E192="","",IF(ISNA(VLOOKUP($E192,'D-1 Off Site Habitat Baseline'!$D$1:$O$258,3,FALSE)),"",(VLOOKUP($E192,'D-1 Off Site Habitat Baseline'!$D$1:$O$258,3,FALSE))))</f>
        <v/>
      </c>
      <c r="C192" s="35" t="str">
        <f>IFERROR(INDEX('G-8 Condition Look up'!$I$4:$I$131,MATCH(S192,'G-8 Condition Look up'!$A$4:$A$131,0)),"")</f>
        <v/>
      </c>
      <c r="E192" s="329" t="str">
        <f>'D-1 Off Site Habitat Baseline'!AL191</f>
        <v/>
      </c>
      <c r="F192" s="175" t="str">
        <f>IF(E192="","",IF(ISNA(VLOOKUP($E192,'D-1 Off Site Habitat Baseline'!$D$1:$O$258,4,FALSE)),"",(VLOOKUP($E192,'D-1 Off Site Habitat Baseline'!$D$1:$O$258,4,FALSE))))</f>
        <v/>
      </c>
      <c r="G192" s="175" t="str">
        <f>IF(E192="","",IF(ISNA(VLOOKUP($E192,'D-1 Off Site Habitat Baseline'!$D$1:$O$258,5,FALSE)),"",(VLOOKUP($E192,'D-1 Off Site Habitat Baseline'!$D$1:$O$258,5,FALSE))))</f>
        <v/>
      </c>
      <c r="H192" s="175" t="str">
        <f>IF(E192="","",IF(ISNA(VLOOKUP($E192,'D-1 Off Site Habitat Baseline'!$D$1:$O$258,6,FALSE)),"",(VLOOKUP($E192,'D-1 Off Site Habitat Baseline'!$D$1:$O$258,6,FALSE))))</f>
        <v/>
      </c>
      <c r="I192" s="175" t="str">
        <f>IF(E192="","",IF(ISNA(VLOOKUP($E192,'D-1 Off Site Habitat Baseline'!$D$1:$O$258,7,FALSE)),"",(VLOOKUP($E192,'D-1 Off Site Habitat Baseline'!$D$1:$O$258,7,FALSE))))</f>
        <v/>
      </c>
      <c r="J192" s="175" t="str">
        <f>IF(E192="","",IF(ISNA(VLOOKUP($E192,'D-1 Off Site Habitat Baseline'!$D$1:$O$258,8,FALSE)),"",(VLOOKUP($E192,'D-1 Off Site Habitat Baseline'!$D$1:$O$258,8,FALSE))))</f>
        <v/>
      </c>
      <c r="K192" s="175" t="str">
        <f>IF(E192="","",IF(ISNA(VLOOKUP($E192,'D-1 Off Site Habitat Baseline'!$D$1:$O$258,9,FALSE)),"",(VLOOKUP($E192,'D-1 Off Site Habitat Baseline'!$D$1:$O$258,9,FALSE))))</f>
        <v/>
      </c>
      <c r="L192" s="175" t="str">
        <f>IF(E192="","",IF(ISNA(VLOOKUP($E192,'D-1 Off Site Habitat Baseline'!$D$1:$O$258,11,FALSE)),"",(VLOOKUP($E192,'D-1 Off Site Habitat Baseline'!$D$1:$O$258,11,FALSE))))</f>
        <v/>
      </c>
      <c r="M192" s="175" t="str">
        <f>IF(E192="","",IF(ISNA(VLOOKUP($E192,'D-1 Off Site Habitat Baseline'!$D$1:$O$258,12,FALSE)),"",(VLOOKUP($E192,'D-1 Off Site Habitat Baseline'!$D$1:$O$258,12,FALSE))))</f>
        <v/>
      </c>
      <c r="N192" s="175" t="str">
        <f>IF(E192="","",IF(ISNA(VLOOKUP($E192,'D-1 Off Site Habitat Baseline'!$D$1:$X$258,14,FALSE)),"",(VLOOKUP($E192,'D-1 Off Site Habitat Baseline'!$D$1:$X$258,14,FALSE))))</f>
        <v/>
      </c>
      <c r="O192" s="176" t="str">
        <f>IF(E192="","",IF(ISNA(VLOOKUP($E192,'D-1 Off Site Habitat Baseline'!$D$1:$X$258,13,FALSE)),"",(VLOOKUP($E192,'D-1 Off Site Habitat Baseline'!$D$1:$X$258,13,FALSE))))</f>
        <v/>
      </c>
      <c r="P192" s="337" t="str">
        <f>IFERROR(INDEX('G-1 All Habitats'!$AG$3:$AG$15,MATCH(Q192,'G-1 All Habitats'!$AF$3:$AF$15,0)),"")</f>
        <v/>
      </c>
      <c r="Q192" s="331" t="str">
        <f t="shared" si="35"/>
        <v/>
      </c>
      <c r="R192" s="332" t="str">
        <f t="shared" si="36"/>
        <v/>
      </c>
      <c r="S192" s="338" t="str">
        <f>IFERROR(INDEX('G-1 All Habitats'!$B$3:$B$130,MATCH(R192,'G-1 All Habitats'!$A$3:$A$130,0)),"")</f>
        <v/>
      </c>
      <c r="T192" s="179" t="str">
        <f t="shared" si="28"/>
        <v/>
      </c>
      <c r="U192" s="172" t="str">
        <f t="shared" si="29"/>
        <v/>
      </c>
      <c r="V192" s="334" t="str">
        <f t="shared" si="26"/>
        <v/>
      </c>
      <c r="W192" s="175" t="str">
        <f>IF(S192="","",VLOOKUP(S192,'G-1 All Habitats'!$B$2:$M$130,10,FALSE))</f>
        <v/>
      </c>
      <c r="X192" s="175" t="str">
        <f>IFERROR(VLOOKUP(W192,'G-1 All Habitats'!$V$3:$W$7,2,FALSE),"")</f>
        <v/>
      </c>
      <c r="Y192" s="275"/>
      <c r="Z192" s="176" t="str">
        <f>IFERROR(INDEX('G-8 Condition Look up'!$A$3:$H$131,MATCH(S192,'G-8 Condition Look up'!$A$3:$A$131,0),MATCH(Y192,'G-8 Condition Look up'!$A$3:$H$3,0)),"")</f>
        <v/>
      </c>
      <c r="AA192" s="173"/>
      <c r="AB192" s="269" t="str">
        <f>IF(AA192="","",IF(VLOOKUP(AA192,'G-3 Multipliers'!$L$3:$N$6,2,FALSE)=0,"Spatial Data Missing",VLOOKUP(AA192,'G-3 Multipliers'!$L$3:$N$6,2,FALSE)))</f>
        <v/>
      </c>
      <c r="AC192" s="176" t="str">
        <f>IF(AA192="","",IF(VLOOKUP(AA192,'G-3 Multipliers'!$L$3:$N$6,3,FALSE)=0,"Spatial Data Missing",VLOOKUP(AA192,'G-3 Multipliers'!$L$3:$N$6,3,FALSE)))</f>
        <v/>
      </c>
      <c r="AD192" s="239" t="str">
        <f t="shared" si="27"/>
        <v/>
      </c>
      <c r="AE192" s="275"/>
      <c r="AF192" s="275"/>
      <c r="AG192" s="175" t="str">
        <f t="shared" si="30"/>
        <v/>
      </c>
      <c r="AH192" s="242" t="str">
        <f t="shared" si="31"/>
        <v/>
      </c>
      <c r="AI192" s="335" t="str">
        <f>IF(AH192="Check Data","Check Data",IFERROR(VLOOKUP(AH192,'G-4 Temporal multipliers'!$A$4:$C$36,3,FALSE),""))</f>
        <v/>
      </c>
      <c r="AJ192" s="239" t="str">
        <f>IF(S192="","",VLOOKUP(S192,'G-3 Multipliers'!$A$2:$E$130,4,FALSE))</f>
        <v/>
      </c>
      <c r="AK192" s="175" t="str">
        <f t="shared" si="32"/>
        <v/>
      </c>
      <c r="AL192" s="175" t="str">
        <f t="shared" si="33"/>
        <v/>
      </c>
      <c r="AM192" s="176" t="str">
        <f>IFERROR(IF(F192="","",IF(AH192="Check Data","Check Data",VLOOKUP(AL192, 'G-3 Multipliers'!$P$2:$Q$6,2,FALSE))),””)</f>
        <v/>
      </c>
      <c r="AN192" s="266"/>
      <c r="AO192" s="269" t="str">
        <f>IF(AN192="","",IF(VLOOKUP(AN192,'G-3 Multipliers'!$S$3:$T$9,2,FALSE)=0,"Spatial Data Missing",VLOOKUP(AN192,'G-3 Multipliers'!$S$3:$T$9,2,FALSE)))</f>
        <v/>
      </c>
      <c r="AP192" s="207" t="str">
        <f t="shared" si="34"/>
        <v/>
      </c>
      <c r="AQ192" s="336"/>
      <c r="AR192" s="181"/>
    </row>
    <row r="193" spans="1:44" x14ac:dyDescent="0.25">
      <c r="A193" s="35" t="str">
        <f>IF(E193="","",IF(ISNA(VLOOKUP($E193,'D-1 Off Site Habitat Baseline'!$D$1:$O$258,2,FALSE)),"",(VLOOKUP($E193,'D-1 Off Site Habitat Baseline'!$D$1:$O$258,2,FALSE))))</f>
        <v/>
      </c>
      <c r="B193" s="35" t="str">
        <f>IF(E193="","",IF(ISNA(VLOOKUP($E193,'D-1 Off Site Habitat Baseline'!$D$1:$O$258,3,FALSE)),"",(VLOOKUP($E193,'D-1 Off Site Habitat Baseline'!$D$1:$O$258,3,FALSE))))</f>
        <v/>
      </c>
      <c r="C193" s="35" t="str">
        <f>IFERROR(INDEX('G-8 Condition Look up'!$I$4:$I$131,MATCH(S193,'G-8 Condition Look up'!$A$4:$A$131,0)),"")</f>
        <v/>
      </c>
      <c r="E193" s="329" t="str">
        <f>'D-1 Off Site Habitat Baseline'!AL192</f>
        <v/>
      </c>
      <c r="F193" s="175" t="str">
        <f>IF(E193="","",IF(ISNA(VLOOKUP($E193,'D-1 Off Site Habitat Baseline'!$D$1:$O$258,4,FALSE)),"",(VLOOKUP($E193,'D-1 Off Site Habitat Baseline'!$D$1:$O$258,4,FALSE))))</f>
        <v/>
      </c>
      <c r="G193" s="175" t="str">
        <f>IF(E193="","",IF(ISNA(VLOOKUP($E193,'D-1 Off Site Habitat Baseline'!$D$1:$O$258,5,FALSE)),"",(VLOOKUP($E193,'D-1 Off Site Habitat Baseline'!$D$1:$O$258,5,FALSE))))</f>
        <v/>
      </c>
      <c r="H193" s="175" t="str">
        <f>IF(E193="","",IF(ISNA(VLOOKUP($E193,'D-1 Off Site Habitat Baseline'!$D$1:$O$258,6,FALSE)),"",(VLOOKUP($E193,'D-1 Off Site Habitat Baseline'!$D$1:$O$258,6,FALSE))))</f>
        <v/>
      </c>
      <c r="I193" s="175" t="str">
        <f>IF(E193="","",IF(ISNA(VLOOKUP($E193,'D-1 Off Site Habitat Baseline'!$D$1:$O$258,7,FALSE)),"",(VLOOKUP($E193,'D-1 Off Site Habitat Baseline'!$D$1:$O$258,7,FALSE))))</f>
        <v/>
      </c>
      <c r="J193" s="175" t="str">
        <f>IF(E193="","",IF(ISNA(VLOOKUP($E193,'D-1 Off Site Habitat Baseline'!$D$1:$O$258,8,FALSE)),"",(VLOOKUP($E193,'D-1 Off Site Habitat Baseline'!$D$1:$O$258,8,FALSE))))</f>
        <v/>
      </c>
      <c r="K193" s="175" t="str">
        <f>IF(E193="","",IF(ISNA(VLOOKUP($E193,'D-1 Off Site Habitat Baseline'!$D$1:$O$258,9,FALSE)),"",(VLOOKUP($E193,'D-1 Off Site Habitat Baseline'!$D$1:$O$258,9,FALSE))))</f>
        <v/>
      </c>
      <c r="L193" s="175" t="str">
        <f>IF(E193="","",IF(ISNA(VLOOKUP($E193,'D-1 Off Site Habitat Baseline'!$D$1:$O$258,11,FALSE)),"",(VLOOKUP($E193,'D-1 Off Site Habitat Baseline'!$D$1:$O$258,11,FALSE))))</f>
        <v/>
      </c>
      <c r="M193" s="175" t="str">
        <f>IF(E193="","",IF(ISNA(VLOOKUP($E193,'D-1 Off Site Habitat Baseline'!$D$1:$O$258,12,FALSE)),"",(VLOOKUP($E193,'D-1 Off Site Habitat Baseline'!$D$1:$O$258,12,FALSE))))</f>
        <v/>
      </c>
      <c r="N193" s="175" t="str">
        <f>IF(E193="","",IF(ISNA(VLOOKUP($E193,'D-1 Off Site Habitat Baseline'!$D$1:$X$258,14,FALSE)),"",(VLOOKUP($E193,'D-1 Off Site Habitat Baseline'!$D$1:$X$258,14,FALSE))))</f>
        <v/>
      </c>
      <c r="O193" s="176" t="str">
        <f>IF(E193="","",IF(ISNA(VLOOKUP($E193,'D-1 Off Site Habitat Baseline'!$D$1:$X$258,13,FALSE)),"",(VLOOKUP($E193,'D-1 Off Site Habitat Baseline'!$D$1:$X$258,13,FALSE))))</f>
        <v/>
      </c>
      <c r="P193" s="337" t="str">
        <f>IFERROR(INDEX('G-1 All Habitats'!$AG$3:$AG$15,MATCH(Q193,'G-1 All Habitats'!$AF$3:$AF$15,0)),"")</f>
        <v/>
      </c>
      <c r="Q193" s="331" t="str">
        <f t="shared" si="35"/>
        <v/>
      </c>
      <c r="R193" s="332" t="str">
        <f t="shared" si="36"/>
        <v/>
      </c>
      <c r="S193" s="338" t="str">
        <f>IFERROR(INDEX('G-1 All Habitats'!$B$3:$B$130,MATCH(R193,'G-1 All Habitats'!$A$3:$A$130,0)),"")</f>
        <v/>
      </c>
      <c r="T193" s="179" t="str">
        <f t="shared" si="28"/>
        <v/>
      </c>
      <c r="U193" s="172" t="str">
        <f t="shared" si="29"/>
        <v/>
      </c>
      <c r="V193" s="334" t="str">
        <f t="shared" si="26"/>
        <v/>
      </c>
      <c r="W193" s="175" t="str">
        <f>IF(S193="","",VLOOKUP(S193,'G-1 All Habitats'!$B$2:$M$130,10,FALSE))</f>
        <v/>
      </c>
      <c r="X193" s="175" t="str">
        <f>IFERROR(VLOOKUP(W193,'G-1 All Habitats'!$V$3:$W$7,2,FALSE),"")</f>
        <v/>
      </c>
      <c r="Y193" s="275"/>
      <c r="Z193" s="176" t="str">
        <f>IFERROR(INDEX('G-8 Condition Look up'!$A$3:$H$131,MATCH(S193,'G-8 Condition Look up'!$A$3:$A$131,0),MATCH(Y193,'G-8 Condition Look up'!$A$3:$H$3,0)),"")</f>
        <v/>
      </c>
      <c r="AA193" s="173"/>
      <c r="AB193" s="269" t="str">
        <f>IF(AA193="","",IF(VLOOKUP(AA193,'G-3 Multipliers'!$L$3:$N$6,2,FALSE)=0,"Spatial Data Missing",VLOOKUP(AA193,'G-3 Multipliers'!$L$3:$N$6,2,FALSE)))</f>
        <v/>
      </c>
      <c r="AC193" s="176" t="str">
        <f>IF(AA193="","",IF(VLOOKUP(AA193,'G-3 Multipliers'!$L$3:$N$6,3,FALSE)=0,"Spatial Data Missing",VLOOKUP(AA193,'G-3 Multipliers'!$L$3:$N$6,3,FALSE)))</f>
        <v/>
      </c>
      <c r="AD193" s="239" t="str">
        <f t="shared" si="27"/>
        <v/>
      </c>
      <c r="AE193" s="275"/>
      <c r="AF193" s="275"/>
      <c r="AG193" s="175" t="str">
        <f t="shared" si="30"/>
        <v/>
      </c>
      <c r="AH193" s="242" t="str">
        <f t="shared" si="31"/>
        <v/>
      </c>
      <c r="AI193" s="335" t="str">
        <f>IF(AH193="Check Data","Check Data",IFERROR(VLOOKUP(AH193,'G-4 Temporal multipliers'!$A$4:$C$36,3,FALSE),""))</f>
        <v/>
      </c>
      <c r="AJ193" s="239" t="str">
        <f>IF(S193="","",VLOOKUP(S193,'G-3 Multipliers'!$A$2:$E$130,4,FALSE))</f>
        <v/>
      </c>
      <c r="AK193" s="175" t="str">
        <f t="shared" si="32"/>
        <v/>
      </c>
      <c r="AL193" s="175" t="str">
        <f t="shared" si="33"/>
        <v/>
      </c>
      <c r="AM193" s="176" t="str">
        <f>IFERROR(IF(F193="","",IF(AH193="Check Data","Check Data",VLOOKUP(AL193, 'G-3 Multipliers'!$P$2:$Q$6,2,FALSE))),””)</f>
        <v/>
      </c>
      <c r="AN193" s="266"/>
      <c r="AO193" s="269" t="str">
        <f>IF(AN193="","",IF(VLOOKUP(AN193,'G-3 Multipliers'!$S$3:$T$9,2,FALSE)=0,"Spatial Data Missing",VLOOKUP(AN193,'G-3 Multipliers'!$S$3:$T$9,2,FALSE)))</f>
        <v/>
      </c>
      <c r="AP193" s="207" t="str">
        <f t="shared" si="34"/>
        <v/>
      </c>
      <c r="AQ193" s="336"/>
      <c r="AR193" s="181"/>
    </row>
    <row r="194" spans="1:44" x14ac:dyDescent="0.25">
      <c r="A194" s="35" t="str">
        <f>IF(E194="","",IF(ISNA(VLOOKUP($E194,'D-1 Off Site Habitat Baseline'!$D$1:$O$258,2,FALSE)),"",(VLOOKUP($E194,'D-1 Off Site Habitat Baseline'!$D$1:$O$258,2,FALSE))))</f>
        <v/>
      </c>
      <c r="B194" s="35" t="str">
        <f>IF(E194="","",IF(ISNA(VLOOKUP($E194,'D-1 Off Site Habitat Baseline'!$D$1:$O$258,3,FALSE)),"",(VLOOKUP($E194,'D-1 Off Site Habitat Baseline'!$D$1:$O$258,3,FALSE))))</f>
        <v/>
      </c>
      <c r="C194" s="35" t="str">
        <f>IFERROR(INDEX('G-8 Condition Look up'!$I$4:$I$131,MATCH(S194,'G-8 Condition Look up'!$A$4:$A$131,0)),"")</f>
        <v/>
      </c>
      <c r="E194" s="329" t="str">
        <f>'D-1 Off Site Habitat Baseline'!AL193</f>
        <v/>
      </c>
      <c r="F194" s="175" t="str">
        <f>IF(E194="","",IF(ISNA(VLOOKUP($E194,'D-1 Off Site Habitat Baseline'!$D$1:$O$258,4,FALSE)),"",(VLOOKUP($E194,'D-1 Off Site Habitat Baseline'!$D$1:$O$258,4,FALSE))))</f>
        <v/>
      </c>
      <c r="G194" s="175" t="str">
        <f>IF(E194="","",IF(ISNA(VLOOKUP($E194,'D-1 Off Site Habitat Baseline'!$D$1:$O$258,5,FALSE)),"",(VLOOKUP($E194,'D-1 Off Site Habitat Baseline'!$D$1:$O$258,5,FALSE))))</f>
        <v/>
      </c>
      <c r="H194" s="175" t="str">
        <f>IF(E194="","",IF(ISNA(VLOOKUP($E194,'D-1 Off Site Habitat Baseline'!$D$1:$O$258,6,FALSE)),"",(VLOOKUP($E194,'D-1 Off Site Habitat Baseline'!$D$1:$O$258,6,FALSE))))</f>
        <v/>
      </c>
      <c r="I194" s="175" t="str">
        <f>IF(E194="","",IF(ISNA(VLOOKUP($E194,'D-1 Off Site Habitat Baseline'!$D$1:$O$258,7,FALSE)),"",(VLOOKUP($E194,'D-1 Off Site Habitat Baseline'!$D$1:$O$258,7,FALSE))))</f>
        <v/>
      </c>
      <c r="J194" s="175" t="str">
        <f>IF(E194="","",IF(ISNA(VLOOKUP($E194,'D-1 Off Site Habitat Baseline'!$D$1:$O$258,8,FALSE)),"",(VLOOKUP($E194,'D-1 Off Site Habitat Baseline'!$D$1:$O$258,8,FALSE))))</f>
        <v/>
      </c>
      <c r="K194" s="175" t="str">
        <f>IF(E194="","",IF(ISNA(VLOOKUP($E194,'D-1 Off Site Habitat Baseline'!$D$1:$O$258,9,FALSE)),"",(VLOOKUP($E194,'D-1 Off Site Habitat Baseline'!$D$1:$O$258,9,FALSE))))</f>
        <v/>
      </c>
      <c r="L194" s="175" t="str">
        <f>IF(E194="","",IF(ISNA(VLOOKUP($E194,'D-1 Off Site Habitat Baseline'!$D$1:$O$258,11,FALSE)),"",(VLOOKUP($E194,'D-1 Off Site Habitat Baseline'!$D$1:$O$258,11,FALSE))))</f>
        <v/>
      </c>
      <c r="M194" s="175" t="str">
        <f>IF(E194="","",IF(ISNA(VLOOKUP($E194,'D-1 Off Site Habitat Baseline'!$D$1:$O$258,12,FALSE)),"",(VLOOKUP($E194,'D-1 Off Site Habitat Baseline'!$D$1:$O$258,12,FALSE))))</f>
        <v/>
      </c>
      <c r="N194" s="175" t="str">
        <f>IF(E194="","",IF(ISNA(VLOOKUP($E194,'D-1 Off Site Habitat Baseline'!$D$1:$X$258,14,FALSE)),"",(VLOOKUP($E194,'D-1 Off Site Habitat Baseline'!$D$1:$X$258,14,FALSE))))</f>
        <v/>
      </c>
      <c r="O194" s="176" t="str">
        <f>IF(E194="","",IF(ISNA(VLOOKUP($E194,'D-1 Off Site Habitat Baseline'!$D$1:$X$258,13,FALSE)),"",(VLOOKUP($E194,'D-1 Off Site Habitat Baseline'!$D$1:$X$258,13,FALSE))))</f>
        <v/>
      </c>
      <c r="P194" s="337" t="str">
        <f>IFERROR(INDEX('G-1 All Habitats'!$AG$3:$AG$15,MATCH(Q194,'G-1 All Habitats'!$AF$3:$AF$15,0)),"")</f>
        <v/>
      </c>
      <c r="Q194" s="331" t="str">
        <f t="shared" si="35"/>
        <v/>
      </c>
      <c r="R194" s="332" t="str">
        <f t="shared" si="36"/>
        <v/>
      </c>
      <c r="S194" s="338" t="str">
        <f>IFERROR(INDEX('G-1 All Habitats'!$B$3:$B$130,MATCH(R194,'G-1 All Habitats'!$A$3:$A$130,0)),"")</f>
        <v/>
      </c>
      <c r="T194" s="179" t="str">
        <f t="shared" si="28"/>
        <v/>
      </c>
      <c r="U194" s="172" t="str">
        <f t="shared" si="29"/>
        <v/>
      </c>
      <c r="V194" s="334" t="str">
        <f t="shared" si="26"/>
        <v/>
      </c>
      <c r="W194" s="175" t="str">
        <f>IF(S194="","",VLOOKUP(S194,'G-1 All Habitats'!$B$2:$M$130,10,FALSE))</f>
        <v/>
      </c>
      <c r="X194" s="175" t="str">
        <f>IFERROR(VLOOKUP(W194,'G-1 All Habitats'!$V$3:$W$7,2,FALSE),"")</f>
        <v/>
      </c>
      <c r="Y194" s="275"/>
      <c r="Z194" s="176" t="str">
        <f>IFERROR(INDEX('G-8 Condition Look up'!$A$3:$H$131,MATCH(S194,'G-8 Condition Look up'!$A$3:$A$131,0),MATCH(Y194,'G-8 Condition Look up'!$A$3:$H$3,0)),"")</f>
        <v/>
      </c>
      <c r="AA194" s="173"/>
      <c r="AB194" s="269" t="str">
        <f>IF(AA194="","",IF(VLOOKUP(AA194,'G-3 Multipliers'!$L$3:$N$6,2,FALSE)=0,"Spatial Data Missing",VLOOKUP(AA194,'G-3 Multipliers'!$L$3:$N$6,2,FALSE)))</f>
        <v/>
      </c>
      <c r="AC194" s="176" t="str">
        <f>IF(AA194="","",IF(VLOOKUP(AA194,'G-3 Multipliers'!$L$3:$N$6,3,FALSE)=0,"Spatial Data Missing",VLOOKUP(AA194,'G-3 Multipliers'!$L$3:$N$6,3,FALSE)))</f>
        <v/>
      </c>
      <c r="AD194" s="239" t="str">
        <f t="shared" si="27"/>
        <v/>
      </c>
      <c r="AE194" s="275"/>
      <c r="AF194" s="275"/>
      <c r="AG194" s="175" t="str">
        <f t="shared" si="30"/>
        <v/>
      </c>
      <c r="AH194" s="242" t="str">
        <f t="shared" si="31"/>
        <v/>
      </c>
      <c r="AI194" s="335" t="str">
        <f>IF(AH194="Check Data","Check Data",IFERROR(VLOOKUP(AH194,'G-4 Temporal multipliers'!$A$4:$C$36,3,FALSE),""))</f>
        <v/>
      </c>
      <c r="AJ194" s="239" t="str">
        <f>IF(S194="","",VLOOKUP(S194,'G-3 Multipliers'!$A$2:$E$130,4,FALSE))</f>
        <v/>
      </c>
      <c r="AK194" s="175" t="str">
        <f t="shared" si="32"/>
        <v/>
      </c>
      <c r="AL194" s="175" t="str">
        <f t="shared" si="33"/>
        <v/>
      </c>
      <c r="AM194" s="176" t="str">
        <f>IFERROR(IF(F194="","",IF(AH194="Check Data","Check Data",VLOOKUP(AL194, 'G-3 Multipliers'!$P$2:$Q$6,2,FALSE))),””)</f>
        <v/>
      </c>
      <c r="AN194" s="266"/>
      <c r="AO194" s="269" t="str">
        <f>IF(AN194="","",IF(VLOOKUP(AN194,'G-3 Multipliers'!$S$3:$T$9,2,FALSE)=0,"Spatial Data Missing",VLOOKUP(AN194,'G-3 Multipliers'!$S$3:$T$9,2,FALSE)))</f>
        <v/>
      </c>
      <c r="AP194" s="207" t="str">
        <f t="shared" si="34"/>
        <v/>
      </c>
      <c r="AQ194" s="336"/>
      <c r="AR194" s="181"/>
    </row>
    <row r="195" spans="1:44" x14ac:dyDescent="0.25">
      <c r="A195" s="35" t="str">
        <f>IF(E195="","",IF(ISNA(VLOOKUP($E195,'D-1 Off Site Habitat Baseline'!$D$1:$O$258,2,FALSE)),"",(VLOOKUP($E195,'D-1 Off Site Habitat Baseline'!$D$1:$O$258,2,FALSE))))</f>
        <v/>
      </c>
      <c r="B195" s="35" t="str">
        <f>IF(E195="","",IF(ISNA(VLOOKUP($E195,'D-1 Off Site Habitat Baseline'!$D$1:$O$258,3,FALSE)),"",(VLOOKUP($E195,'D-1 Off Site Habitat Baseline'!$D$1:$O$258,3,FALSE))))</f>
        <v/>
      </c>
      <c r="C195" s="35" t="str">
        <f>IFERROR(INDEX('G-8 Condition Look up'!$I$4:$I$131,MATCH(S195,'G-8 Condition Look up'!$A$4:$A$131,0)),"")</f>
        <v/>
      </c>
      <c r="E195" s="329" t="str">
        <f>'D-1 Off Site Habitat Baseline'!AL194</f>
        <v/>
      </c>
      <c r="F195" s="175" t="str">
        <f>IF(E195="","",IF(ISNA(VLOOKUP($E195,'D-1 Off Site Habitat Baseline'!$D$1:$O$258,4,FALSE)),"",(VLOOKUP($E195,'D-1 Off Site Habitat Baseline'!$D$1:$O$258,4,FALSE))))</f>
        <v/>
      </c>
      <c r="G195" s="175" t="str">
        <f>IF(E195="","",IF(ISNA(VLOOKUP($E195,'D-1 Off Site Habitat Baseline'!$D$1:$O$258,5,FALSE)),"",(VLOOKUP($E195,'D-1 Off Site Habitat Baseline'!$D$1:$O$258,5,FALSE))))</f>
        <v/>
      </c>
      <c r="H195" s="175" t="str">
        <f>IF(E195="","",IF(ISNA(VLOOKUP($E195,'D-1 Off Site Habitat Baseline'!$D$1:$O$258,6,FALSE)),"",(VLOOKUP($E195,'D-1 Off Site Habitat Baseline'!$D$1:$O$258,6,FALSE))))</f>
        <v/>
      </c>
      <c r="I195" s="175" t="str">
        <f>IF(E195="","",IF(ISNA(VLOOKUP($E195,'D-1 Off Site Habitat Baseline'!$D$1:$O$258,7,FALSE)),"",(VLOOKUP($E195,'D-1 Off Site Habitat Baseline'!$D$1:$O$258,7,FALSE))))</f>
        <v/>
      </c>
      <c r="J195" s="175" t="str">
        <f>IF(E195="","",IF(ISNA(VLOOKUP($E195,'D-1 Off Site Habitat Baseline'!$D$1:$O$258,8,FALSE)),"",(VLOOKUP($E195,'D-1 Off Site Habitat Baseline'!$D$1:$O$258,8,FALSE))))</f>
        <v/>
      </c>
      <c r="K195" s="175" t="str">
        <f>IF(E195="","",IF(ISNA(VLOOKUP($E195,'D-1 Off Site Habitat Baseline'!$D$1:$O$258,9,FALSE)),"",(VLOOKUP($E195,'D-1 Off Site Habitat Baseline'!$D$1:$O$258,9,FALSE))))</f>
        <v/>
      </c>
      <c r="L195" s="175" t="str">
        <f>IF(E195="","",IF(ISNA(VLOOKUP($E195,'D-1 Off Site Habitat Baseline'!$D$1:$O$258,11,FALSE)),"",(VLOOKUP($E195,'D-1 Off Site Habitat Baseline'!$D$1:$O$258,11,FALSE))))</f>
        <v/>
      </c>
      <c r="M195" s="175" t="str">
        <f>IF(E195="","",IF(ISNA(VLOOKUP($E195,'D-1 Off Site Habitat Baseline'!$D$1:$O$258,12,FALSE)),"",(VLOOKUP($E195,'D-1 Off Site Habitat Baseline'!$D$1:$O$258,12,FALSE))))</f>
        <v/>
      </c>
      <c r="N195" s="175" t="str">
        <f>IF(E195="","",IF(ISNA(VLOOKUP($E195,'D-1 Off Site Habitat Baseline'!$D$1:$X$258,14,FALSE)),"",(VLOOKUP($E195,'D-1 Off Site Habitat Baseline'!$D$1:$X$258,14,FALSE))))</f>
        <v/>
      </c>
      <c r="O195" s="176" t="str">
        <f>IF(E195="","",IF(ISNA(VLOOKUP($E195,'D-1 Off Site Habitat Baseline'!$D$1:$X$258,13,FALSE)),"",(VLOOKUP($E195,'D-1 Off Site Habitat Baseline'!$D$1:$X$258,13,FALSE))))</f>
        <v/>
      </c>
      <c r="P195" s="337" t="str">
        <f>IFERROR(INDEX('G-1 All Habitats'!$AG$3:$AG$15,MATCH(Q195,'G-1 All Habitats'!$AF$3:$AF$15,0)),"")</f>
        <v/>
      </c>
      <c r="Q195" s="331" t="str">
        <f t="shared" si="35"/>
        <v/>
      </c>
      <c r="R195" s="332" t="str">
        <f t="shared" si="36"/>
        <v/>
      </c>
      <c r="S195" s="338" t="str">
        <f>IFERROR(INDEX('G-1 All Habitats'!$B$3:$B$130,MATCH(R195,'G-1 All Habitats'!$A$3:$A$130,0)),"")</f>
        <v/>
      </c>
      <c r="T195" s="179" t="str">
        <f t="shared" si="28"/>
        <v/>
      </c>
      <c r="U195" s="172" t="str">
        <f t="shared" si="29"/>
        <v/>
      </c>
      <c r="V195" s="334" t="str">
        <f t="shared" si="26"/>
        <v/>
      </c>
      <c r="W195" s="175" t="str">
        <f>IF(S195="","",VLOOKUP(S195,'G-1 All Habitats'!$B$2:$M$130,10,FALSE))</f>
        <v/>
      </c>
      <c r="X195" s="175" t="str">
        <f>IFERROR(VLOOKUP(W195,'G-1 All Habitats'!$V$3:$W$7,2,FALSE),"")</f>
        <v/>
      </c>
      <c r="Y195" s="275"/>
      <c r="Z195" s="176" t="str">
        <f>IFERROR(INDEX('G-8 Condition Look up'!$A$3:$H$131,MATCH(S195,'G-8 Condition Look up'!$A$3:$A$131,0),MATCH(Y195,'G-8 Condition Look up'!$A$3:$H$3,0)),"")</f>
        <v/>
      </c>
      <c r="AA195" s="173"/>
      <c r="AB195" s="269" t="str">
        <f>IF(AA195="","",IF(VLOOKUP(AA195,'G-3 Multipliers'!$L$3:$N$6,2,FALSE)=0,"Spatial Data Missing",VLOOKUP(AA195,'G-3 Multipliers'!$L$3:$N$6,2,FALSE)))</f>
        <v/>
      </c>
      <c r="AC195" s="176" t="str">
        <f>IF(AA195="","",IF(VLOOKUP(AA195,'G-3 Multipliers'!$L$3:$N$6,3,FALSE)=0,"Spatial Data Missing",VLOOKUP(AA195,'G-3 Multipliers'!$L$3:$N$6,3,FALSE)))</f>
        <v/>
      </c>
      <c r="AD195" s="239" t="str">
        <f t="shared" si="27"/>
        <v/>
      </c>
      <c r="AE195" s="275"/>
      <c r="AF195" s="275"/>
      <c r="AG195" s="175" t="str">
        <f t="shared" si="30"/>
        <v/>
      </c>
      <c r="AH195" s="242" t="str">
        <f t="shared" si="31"/>
        <v/>
      </c>
      <c r="AI195" s="335" t="str">
        <f>IF(AH195="Check Data","Check Data",IFERROR(VLOOKUP(AH195,'G-4 Temporal multipliers'!$A$4:$C$36,3,FALSE),""))</f>
        <v/>
      </c>
      <c r="AJ195" s="239" t="str">
        <f>IF(S195="","",VLOOKUP(S195,'G-3 Multipliers'!$A$2:$E$130,4,FALSE))</f>
        <v/>
      </c>
      <c r="AK195" s="175" t="str">
        <f t="shared" si="32"/>
        <v/>
      </c>
      <c r="AL195" s="175" t="str">
        <f t="shared" si="33"/>
        <v/>
      </c>
      <c r="AM195" s="176" t="str">
        <f>IFERROR(IF(F195="","",IF(AH195="Check Data","Check Data",VLOOKUP(AL195, 'G-3 Multipliers'!$P$2:$Q$6,2,FALSE))),””)</f>
        <v/>
      </c>
      <c r="AN195" s="266"/>
      <c r="AO195" s="269" t="str">
        <f>IF(AN195="","",IF(VLOOKUP(AN195,'G-3 Multipliers'!$S$3:$T$9,2,FALSE)=0,"Spatial Data Missing",VLOOKUP(AN195,'G-3 Multipliers'!$S$3:$T$9,2,FALSE)))</f>
        <v/>
      </c>
      <c r="AP195" s="207" t="str">
        <f t="shared" si="34"/>
        <v/>
      </c>
      <c r="AQ195" s="336"/>
      <c r="AR195" s="181"/>
    </row>
    <row r="196" spans="1:44" x14ac:dyDescent="0.25">
      <c r="A196" s="35" t="str">
        <f>IF(E196="","",IF(ISNA(VLOOKUP($E196,'D-1 Off Site Habitat Baseline'!$D$1:$O$258,2,FALSE)),"",(VLOOKUP($E196,'D-1 Off Site Habitat Baseline'!$D$1:$O$258,2,FALSE))))</f>
        <v/>
      </c>
      <c r="B196" s="35" t="str">
        <f>IF(E196="","",IF(ISNA(VLOOKUP($E196,'D-1 Off Site Habitat Baseline'!$D$1:$O$258,3,FALSE)),"",(VLOOKUP($E196,'D-1 Off Site Habitat Baseline'!$D$1:$O$258,3,FALSE))))</f>
        <v/>
      </c>
      <c r="C196" s="35" t="str">
        <f>IFERROR(INDEX('G-8 Condition Look up'!$I$4:$I$131,MATCH(S196,'G-8 Condition Look up'!$A$4:$A$131,0)),"")</f>
        <v/>
      </c>
      <c r="E196" s="329" t="str">
        <f>'D-1 Off Site Habitat Baseline'!AL195</f>
        <v/>
      </c>
      <c r="F196" s="175" t="str">
        <f>IF(E196="","",IF(ISNA(VLOOKUP($E196,'D-1 Off Site Habitat Baseline'!$D$1:$O$258,4,FALSE)),"",(VLOOKUP($E196,'D-1 Off Site Habitat Baseline'!$D$1:$O$258,4,FALSE))))</f>
        <v/>
      </c>
      <c r="G196" s="175" t="str">
        <f>IF(E196="","",IF(ISNA(VLOOKUP($E196,'D-1 Off Site Habitat Baseline'!$D$1:$O$258,5,FALSE)),"",(VLOOKUP($E196,'D-1 Off Site Habitat Baseline'!$D$1:$O$258,5,FALSE))))</f>
        <v/>
      </c>
      <c r="H196" s="175" t="str">
        <f>IF(E196="","",IF(ISNA(VLOOKUP($E196,'D-1 Off Site Habitat Baseline'!$D$1:$O$258,6,FALSE)),"",(VLOOKUP($E196,'D-1 Off Site Habitat Baseline'!$D$1:$O$258,6,FALSE))))</f>
        <v/>
      </c>
      <c r="I196" s="175" t="str">
        <f>IF(E196="","",IF(ISNA(VLOOKUP($E196,'D-1 Off Site Habitat Baseline'!$D$1:$O$258,7,FALSE)),"",(VLOOKUP($E196,'D-1 Off Site Habitat Baseline'!$D$1:$O$258,7,FALSE))))</f>
        <v/>
      </c>
      <c r="J196" s="175" t="str">
        <f>IF(E196="","",IF(ISNA(VLOOKUP($E196,'D-1 Off Site Habitat Baseline'!$D$1:$O$258,8,FALSE)),"",(VLOOKUP($E196,'D-1 Off Site Habitat Baseline'!$D$1:$O$258,8,FALSE))))</f>
        <v/>
      </c>
      <c r="K196" s="175" t="str">
        <f>IF(E196="","",IF(ISNA(VLOOKUP($E196,'D-1 Off Site Habitat Baseline'!$D$1:$O$258,9,FALSE)),"",(VLOOKUP($E196,'D-1 Off Site Habitat Baseline'!$D$1:$O$258,9,FALSE))))</f>
        <v/>
      </c>
      <c r="L196" s="175" t="str">
        <f>IF(E196="","",IF(ISNA(VLOOKUP($E196,'D-1 Off Site Habitat Baseline'!$D$1:$O$258,11,FALSE)),"",(VLOOKUP($E196,'D-1 Off Site Habitat Baseline'!$D$1:$O$258,11,FALSE))))</f>
        <v/>
      </c>
      <c r="M196" s="175" t="str">
        <f>IF(E196="","",IF(ISNA(VLOOKUP($E196,'D-1 Off Site Habitat Baseline'!$D$1:$O$258,12,FALSE)),"",(VLOOKUP($E196,'D-1 Off Site Habitat Baseline'!$D$1:$O$258,12,FALSE))))</f>
        <v/>
      </c>
      <c r="N196" s="175" t="str">
        <f>IF(E196="","",IF(ISNA(VLOOKUP($E196,'D-1 Off Site Habitat Baseline'!$D$1:$X$258,14,FALSE)),"",(VLOOKUP($E196,'D-1 Off Site Habitat Baseline'!$D$1:$X$258,14,FALSE))))</f>
        <v/>
      </c>
      <c r="O196" s="176" t="str">
        <f>IF(E196="","",IF(ISNA(VLOOKUP($E196,'D-1 Off Site Habitat Baseline'!$D$1:$X$258,13,FALSE)),"",(VLOOKUP($E196,'D-1 Off Site Habitat Baseline'!$D$1:$X$258,13,FALSE))))</f>
        <v/>
      </c>
      <c r="P196" s="337" t="str">
        <f>IFERROR(INDEX('G-1 All Habitats'!$AG$3:$AG$15,MATCH(Q196,'G-1 All Habitats'!$AF$3:$AF$15,0)),"")</f>
        <v/>
      </c>
      <c r="Q196" s="331" t="str">
        <f t="shared" si="35"/>
        <v/>
      </c>
      <c r="R196" s="332" t="str">
        <f t="shared" si="36"/>
        <v/>
      </c>
      <c r="S196" s="338" t="str">
        <f>IFERROR(INDEX('G-1 All Habitats'!$B$3:$B$130,MATCH(R196,'G-1 All Habitats'!$A$3:$A$130,0)),"")</f>
        <v/>
      </c>
      <c r="T196" s="179" t="str">
        <f t="shared" si="28"/>
        <v/>
      </c>
      <c r="U196" s="172" t="str">
        <f t="shared" si="29"/>
        <v/>
      </c>
      <c r="V196" s="334" t="str">
        <f t="shared" si="26"/>
        <v/>
      </c>
      <c r="W196" s="175" t="str">
        <f>IF(S196="","",VLOOKUP(S196,'G-1 All Habitats'!$B$2:$M$130,10,FALSE))</f>
        <v/>
      </c>
      <c r="X196" s="175" t="str">
        <f>IFERROR(VLOOKUP(W196,'G-1 All Habitats'!$V$3:$W$7,2,FALSE),"")</f>
        <v/>
      </c>
      <c r="Y196" s="275"/>
      <c r="Z196" s="176" t="str">
        <f>IFERROR(INDEX('G-8 Condition Look up'!$A$3:$H$131,MATCH(S196,'G-8 Condition Look up'!$A$3:$A$131,0),MATCH(Y196,'G-8 Condition Look up'!$A$3:$H$3,0)),"")</f>
        <v/>
      </c>
      <c r="AA196" s="173"/>
      <c r="AB196" s="269" t="str">
        <f>IF(AA196="","",IF(VLOOKUP(AA196,'G-3 Multipliers'!$L$3:$N$6,2,FALSE)=0,"Spatial Data Missing",VLOOKUP(AA196,'G-3 Multipliers'!$L$3:$N$6,2,FALSE)))</f>
        <v/>
      </c>
      <c r="AC196" s="176" t="str">
        <f>IF(AA196="","",IF(VLOOKUP(AA196,'G-3 Multipliers'!$L$3:$N$6,3,FALSE)=0,"Spatial Data Missing",VLOOKUP(AA196,'G-3 Multipliers'!$L$3:$N$6,3,FALSE)))</f>
        <v/>
      </c>
      <c r="AD196" s="239" t="str">
        <f t="shared" si="27"/>
        <v/>
      </c>
      <c r="AE196" s="275"/>
      <c r="AF196" s="275"/>
      <c r="AG196" s="175" t="str">
        <f t="shared" si="30"/>
        <v/>
      </c>
      <c r="AH196" s="242" t="str">
        <f t="shared" si="31"/>
        <v/>
      </c>
      <c r="AI196" s="335" t="str">
        <f>IF(AH196="Check Data","Check Data",IFERROR(VLOOKUP(AH196,'G-4 Temporal multipliers'!$A$4:$C$36,3,FALSE),""))</f>
        <v/>
      </c>
      <c r="AJ196" s="239" t="str">
        <f>IF(S196="","",VLOOKUP(S196,'G-3 Multipliers'!$A$2:$E$130,4,FALSE))</f>
        <v/>
      </c>
      <c r="AK196" s="175" t="str">
        <f t="shared" si="32"/>
        <v/>
      </c>
      <c r="AL196" s="175" t="str">
        <f t="shared" si="33"/>
        <v/>
      </c>
      <c r="AM196" s="176" t="str">
        <f>IFERROR(IF(F196="","",IF(AH196="Check Data","Check Data",VLOOKUP(AL196, 'G-3 Multipliers'!$P$2:$Q$6,2,FALSE))),””)</f>
        <v/>
      </c>
      <c r="AN196" s="266"/>
      <c r="AO196" s="269" t="str">
        <f>IF(AN196="","",IF(VLOOKUP(AN196,'G-3 Multipliers'!$S$3:$T$9,2,FALSE)=0,"Spatial Data Missing",VLOOKUP(AN196,'G-3 Multipliers'!$S$3:$T$9,2,FALSE)))</f>
        <v/>
      </c>
      <c r="AP196" s="207" t="str">
        <f t="shared" si="34"/>
        <v/>
      </c>
      <c r="AQ196" s="336"/>
      <c r="AR196" s="181"/>
    </row>
    <row r="197" spans="1:44" x14ac:dyDescent="0.25">
      <c r="A197" s="35" t="str">
        <f>IF(E197="","",IF(ISNA(VLOOKUP($E197,'D-1 Off Site Habitat Baseline'!$D$1:$O$258,2,FALSE)),"",(VLOOKUP($E197,'D-1 Off Site Habitat Baseline'!$D$1:$O$258,2,FALSE))))</f>
        <v/>
      </c>
      <c r="B197" s="35" t="str">
        <f>IF(E197="","",IF(ISNA(VLOOKUP($E197,'D-1 Off Site Habitat Baseline'!$D$1:$O$258,3,FALSE)),"",(VLOOKUP($E197,'D-1 Off Site Habitat Baseline'!$D$1:$O$258,3,FALSE))))</f>
        <v/>
      </c>
      <c r="C197" s="35" t="str">
        <f>IFERROR(INDEX('G-8 Condition Look up'!$I$4:$I$131,MATCH(S197,'G-8 Condition Look up'!$A$4:$A$131,0)),"")</f>
        <v/>
      </c>
      <c r="E197" s="329" t="str">
        <f>'D-1 Off Site Habitat Baseline'!AL196</f>
        <v/>
      </c>
      <c r="F197" s="175" t="str">
        <f>IF(E197="","",IF(ISNA(VLOOKUP($E197,'D-1 Off Site Habitat Baseline'!$D$1:$O$258,4,FALSE)),"",(VLOOKUP($E197,'D-1 Off Site Habitat Baseline'!$D$1:$O$258,4,FALSE))))</f>
        <v/>
      </c>
      <c r="G197" s="175" t="str">
        <f>IF(E197="","",IF(ISNA(VLOOKUP($E197,'D-1 Off Site Habitat Baseline'!$D$1:$O$258,5,FALSE)),"",(VLOOKUP($E197,'D-1 Off Site Habitat Baseline'!$D$1:$O$258,5,FALSE))))</f>
        <v/>
      </c>
      <c r="H197" s="175" t="str">
        <f>IF(E197="","",IF(ISNA(VLOOKUP($E197,'D-1 Off Site Habitat Baseline'!$D$1:$O$258,6,FALSE)),"",(VLOOKUP($E197,'D-1 Off Site Habitat Baseline'!$D$1:$O$258,6,FALSE))))</f>
        <v/>
      </c>
      <c r="I197" s="175" t="str">
        <f>IF(E197="","",IF(ISNA(VLOOKUP($E197,'D-1 Off Site Habitat Baseline'!$D$1:$O$258,7,FALSE)),"",(VLOOKUP($E197,'D-1 Off Site Habitat Baseline'!$D$1:$O$258,7,FALSE))))</f>
        <v/>
      </c>
      <c r="J197" s="175" t="str">
        <f>IF(E197="","",IF(ISNA(VLOOKUP($E197,'D-1 Off Site Habitat Baseline'!$D$1:$O$258,8,FALSE)),"",(VLOOKUP($E197,'D-1 Off Site Habitat Baseline'!$D$1:$O$258,8,FALSE))))</f>
        <v/>
      </c>
      <c r="K197" s="175" t="str">
        <f>IF(E197="","",IF(ISNA(VLOOKUP($E197,'D-1 Off Site Habitat Baseline'!$D$1:$O$258,9,FALSE)),"",(VLOOKUP($E197,'D-1 Off Site Habitat Baseline'!$D$1:$O$258,9,FALSE))))</f>
        <v/>
      </c>
      <c r="L197" s="175" t="str">
        <f>IF(E197="","",IF(ISNA(VLOOKUP($E197,'D-1 Off Site Habitat Baseline'!$D$1:$O$258,11,FALSE)),"",(VLOOKUP($E197,'D-1 Off Site Habitat Baseline'!$D$1:$O$258,11,FALSE))))</f>
        <v/>
      </c>
      <c r="M197" s="175" t="str">
        <f>IF(E197="","",IF(ISNA(VLOOKUP($E197,'D-1 Off Site Habitat Baseline'!$D$1:$O$258,12,FALSE)),"",(VLOOKUP($E197,'D-1 Off Site Habitat Baseline'!$D$1:$O$258,12,FALSE))))</f>
        <v/>
      </c>
      <c r="N197" s="175" t="str">
        <f>IF(E197="","",IF(ISNA(VLOOKUP($E197,'D-1 Off Site Habitat Baseline'!$D$1:$X$258,14,FALSE)),"",(VLOOKUP($E197,'D-1 Off Site Habitat Baseline'!$D$1:$X$258,14,FALSE))))</f>
        <v/>
      </c>
      <c r="O197" s="176" t="str">
        <f>IF(E197="","",IF(ISNA(VLOOKUP($E197,'D-1 Off Site Habitat Baseline'!$D$1:$X$258,13,FALSE)),"",(VLOOKUP($E197,'D-1 Off Site Habitat Baseline'!$D$1:$X$258,13,FALSE))))</f>
        <v/>
      </c>
      <c r="P197" s="337" t="str">
        <f>IFERROR(INDEX('G-1 All Habitats'!$AG$3:$AG$15,MATCH(Q197,'G-1 All Habitats'!$AF$3:$AF$15,0)),"")</f>
        <v/>
      </c>
      <c r="Q197" s="331" t="str">
        <f t="shared" si="35"/>
        <v/>
      </c>
      <c r="R197" s="332" t="str">
        <f t="shared" si="36"/>
        <v/>
      </c>
      <c r="S197" s="338" t="str">
        <f>IFERROR(INDEX('G-1 All Habitats'!$B$3:$B$130,MATCH(R197,'G-1 All Habitats'!$A$3:$A$130,0)),"")</f>
        <v/>
      </c>
      <c r="T197" s="179" t="str">
        <f t="shared" si="28"/>
        <v/>
      </c>
      <c r="U197" s="172" t="str">
        <f t="shared" si="29"/>
        <v/>
      </c>
      <c r="V197" s="334" t="str">
        <f t="shared" si="26"/>
        <v/>
      </c>
      <c r="W197" s="175" t="str">
        <f>IF(S197="","",VLOOKUP(S197,'G-1 All Habitats'!$B$2:$M$130,10,FALSE))</f>
        <v/>
      </c>
      <c r="X197" s="175" t="str">
        <f>IFERROR(VLOOKUP(W197,'G-1 All Habitats'!$V$3:$W$7,2,FALSE),"")</f>
        <v/>
      </c>
      <c r="Y197" s="275"/>
      <c r="Z197" s="176" t="str">
        <f>IFERROR(INDEX('G-8 Condition Look up'!$A$3:$H$131,MATCH(S197,'G-8 Condition Look up'!$A$3:$A$131,0),MATCH(Y197,'G-8 Condition Look up'!$A$3:$H$3,0)),"")</f>
        <v/>
      </c>
      <c r="AA197" s="173"/>
      <c r="AB197" s="269" t="str">
        <f>IF(AA197="","",IF(VLOOKUP(AA197,'G-3 Multipliers'!$L$3:$N$6,2,FALSE)=0,"Spatial Data Missing",VLOOKUP(AA197,'G-3 Multipliers'!$L$3:$N$6,2,FALSE)))</f>
        <v/>
      </c>
      <c r="AC197" s="176" t="str">
        <f>IF(AA197="","",IF(VLOOKUP(AA197,'G-3 Multipliers'!$L$3:$N$6,3,FALSE)=0,"Spatial Data Missing",VLOOKUP(AA197,'G-3 Multipliers'!$L$3:$N$6,3,FALSE)))</f>
        <v/>
      </c>
      <c r="AD197" s="239" t="str">
        <f t="shared" si="27"/>
        <v/>
      </c>
      <c r="AE197" s="275"/>
      <c r="AF197" s="275"/>
      <c r="AG197" s="175" t="str">
        <f t="shared" si="30"/>
        <v/>
      </c>
      <c r="AH197" s="242" t="str">
        <f t="shared" si="31"/>
        <v/>
      </c>
      <c r="AI197" s="335" t="str">
        <f>IF(AH197="Check Data","Check Data",IFERROR(VLOOKUP(AH197,'G-4 Temporal multipliers'!$A$4:$C$36,3,FALSE),""))</f>
        <v/>
      </c>
      <c r="AJ197" s="239" t="str">
        <f>IF(S197="","",VLOOKUP(S197,'G-3 Multipliers'!$A$2:$E$130,4,FALSE))</f>
        <v/>
      </c>
      <c r="AK197" s="175" t="str">
        <f t="shared" si="32"/>
        <v/>
      </c>
      <c r="AL197" s="175" t="str">
        <f t="shared" si="33"/>
        <v/>
      </c>
      <c r="AM197" s="176" t="str">
        <f>IFERROR(IF(F197="","",IF(AH197="Check Data","Check Data",VLOOKUP(AL197, 'G-3 Multipliers'!$P$2:$Q$6,2,FALSE))),””)</f>
        <v/>
      </c>
      <c r="AN197" s="266"/>
      <c r="AO197" s="269" t="str">
        <f>IF(AN197="","",IF(VLOOKUP(AN197,'G-3 Multipliers'!$S$3:$T$9,2,FALSE)=0,"Spatial Data Missing",VLOOKUP(AN197,'G-3 Multipliers'!$S$3:$T$9,2,FALSE)))</f>
        <v/>
      </c>
      <c r="AP197" s="207" t="str">
        <f t="shared" si="34"/>
        <v/>
      </c>
      <c r="AQ197" s="336"/>
      <c r="AR197" s="181"/>
    </row>
    <row r="198" spans="1:44" x14ac:dyDescent="0.25">
      <c r="A198" s="35" t="str">
        <f>IF(E198="","",IF(ISNA(VLOOKUP($E198,'D-1 Off Site Habitat Baseline'!$D$1:$O$258,2,FALSE)),"",(VLOOKUP($E198,'D-1 Off Site Habitat Baseline'!$D$1:$O$258,2,FALSE))))</f>
        <v/>
      </c>
      <c r="B198" s="35" t="str">
        <f>IF(E198="","",IF(ISNA(VLOOKUP($E198,'D-1 Off Site Habitat Baseline'!$D$1:$O$258,3,FALSE)),"",(VLOOKUP($E198,'D-1 Off Site Habitat Baseline'!$D$1:$O$258,3,FALSE))))</f>
        <v/>
      </c>
      <c r="C198" s="35" t="str">
        <f>IFERROR(INDEX('G-8 Condition Look up'!$I$4:$I$131,MATCH(S198,'G-8 Condition Look up'!$A$4:$A$131,0)),"")</f>
        <v/>
      </c>
      <c r="E198" s="329" t="str">
        <f>'D-1 Off Site Habitat Baseline'!AL197</f>
        <v/>
      </c>
      <c r="F198" s="175" t="str">
        <f>IF(E198="","",IF(ISNA(VLOOKUP($E198,'D-1 Off Site Habitat Baseline'!$D$1:$O$258,4,FALSE)),"",(VLOOKUP($E198,'D-1 Off Site Habitat Baseline'!$D$1:$O$258,4,FALSE))))</f>
        <v/>
      </c>
      <c r="G198" s="175" t="str">
        <f>IF(E198="","",IF(ISNA(VLOOKUP($E198,'D-1 Off Site Habitat Baseline'!$D$1:$O$258,5,FALSE)),"",(VLOOKUP($E198,'D-1 Off Site Habitat Baseline'!$D$1:$O$258,5,FALSE))))</f>
        <v/>
      </c>
      <c r="H198" s="175" t="str">
        <f>IF(E198="","",IF(ISNA(VLOOKUP($E198,'D-1 Off Site Habitat Baseline'!$D$1:$O$258,6,FALSE)),"",(VLOOKUP($E198,'D-1 Off Site Habitat Baseline'!$D$1:$O$258,6,FALSE))))</f>
        <v/>
      </c>
      <c r="I198" s="175" t="str">
        <f>IF(E198="","",IF(ISNA(VLOOKUP($E198,'D-1 Off Site Habitat Baseline'!$D$1:$O$258,7,FALSE)),"",(VLOOKUP($E198,'D-1 Off Site Habitat Baseline'!$D$1:$O$258,7,FALSE))))</f>
        <v/>
      </c>
      <c r="J198" s="175" t="str">
        <f>IF(E198="","",IF(ISNA(VLOOKUP($E198,'D-1 Off Site Habitat Baseline'!$D$1:$O$258,8,FALSE)),"",(VLOOKUP($E198,'D-1 Off Site Habitat Baseline'!$D$1:$O$258,8,FALSE))))</f>
        <v/>
      </c>
      <c r="K198" s="175" t="str">
        <f>IF(E198="","",IF(ISNA(VLOOKUP($E198,'D-1 Off Site Habitat Baseline'!$D$1:$O$258,9,FALSE)),"",(VLOOKUP($E198,'D-1 Off Site Habitat Baseline'!$D$1:$O$258,9,FALSE))))</f>
        <v/>
      </c>
      <c r="L198" s="175" t="str">
        <f>IF(E198="","",IF(ISNA(VLOOKUP($E198,'D-1 Off Site Habitat Baseline'!$D$1:$O$258,11,FALSE)),"",(VLOOKUP($E198,'D-1 Off Site Habitat Baseline'!$D$1:$O$258,11,FALSE))))</f>
        <v/>
      </c>
      <c r="M198" s="175" t="str">
        <f>IF(E198="","",IF(ISNA(VLOOKUP($E198,'D-1 Off Site Habitat Baseline'!$D$1:$O$258,12,FALSE)),"",(VLOOKUP($E198,'D-1 Off Site Habitat Baseline'!$D$1:$O$258,12,FALSE))))</f>
        <v/>
      </c>
      <c r="N198" s="175" t="str">
        <f>IF(E198="","",IF(ISNA(VLOOKUP($E198,'D-1 Off Site Habitat Baseline'!$D$1:$X$258,14,FALSE)),"",(VLOOKUP($E198,'D-1 Off Site Habitat Baseline'!$D$1:$X$258,14,FALSE))))</f>
        <v/>
      </c>
      <c r="O198" s="176" t="str">
        <f>IF(E198="","",IF(ISNA(VLOOKUP($E198,'D-1 Off Site Habitat Baseline'!$D$1:$X$258,13,FALSE)),"",(VLOOKUP($E198,'D-1 Off Site Habitat Baseline'!$D$1:$X$258,13,FALSE))))</f>
        <v/>
      </c>
      <c r="P198" s="337" t="str">
        <f>IFERROR(INDEX('G-1 All Habitats'!$AG$3:$AG$15,MATCH(Q198,'G-1 All Habitats'!$AF$3:$AF$15,0)),"")</f>
        <v/>
      </c>
      <c r="Q198" s="331" t="str">
        <f t="shared" si="35"/>
        <v/>
      </c>
      <c r="R198" s="332" t="str">
        <f t="shared" si="36"/>
        <v/>
      </c>
      <c r="S198" s="338" t="str">
        <f>IFERROR(INDEX('G-1 All Habitats'!$B$3:$B$130,MATCH(R198,'G-1 All Habitats'!$A$3:$A$130,0)),"")</f>
        <v/>
      </c>
      <c r="T198" s="179" t="str">
        <f t="shared" si="28"/>
        <v/>
      </c>
      <c r="U198" s="172" t="str">
        <f t="shared" si="29"/>
        <v/>
      </c>
      <c r="V198" s="334" t="str">
        <f t="shared" si="26"/>
        <v/>
      </c>
      <c r="W198" s="175" t="str">
        <f>IF(S198="","",VLOOKUP(S198,'G-1 All Habitats'!$B$2:$M$130,10,FALSE))</f>
        <v/>
      </c>
      <c r="X198" s="175" t="str">
        <f>IFERROR(VLOOKUP(W198,'G-1 All Habitats'!$V$3:$W$7,2,FALSE),"")</f>
        <v/>
      </c>
      <c r="Y198" s="275"/>
      <c r="Z198" s="176" t="str">
        <f>IFERROR(INDEX('G-8 Condition Look up'!$A$3:$H$131,MATCH(S198,'G-8 Condition Look up'!$A$3:$A$131,0),MATCH(Y198,'G-8 Condition Look up'!$A$3:$H$3,0)),"")</f>
        <v/>
      </c>
      <c r="AA198" s="173"/>
      <c r="AB198" s="269" t="str">
        <f>IF(AA198="","",IF(VLOOKUP(AA198,'G-3 Multipliers'!$L$3:$N$6,2,FALSE)=0,"Spatial Data Missing",VLOOKUP(AA198,'G-3 Multipliers'!$L$3:$N$6,2,FALSE)))</f>
        <v/>
      </c>
      <c r="AC198" s="176" t="str">
        <f>IF(AA198="","",IF(VLOOKUP(AA198,'G-3 Multipliers'!$L$3:$N$6,3,FALSE)=0,"Spatial Data Missing",VLOOKUP(AA198,'G-3 Multipliers'!$L$3:$N$6,3,FALSE)))</f>
        <v/>
      </c>
      <c r="AD198" s="239" t="str">
        <f t="shared" si="27"/>
        <v/>
      </c>
      <c r="AE198" s="275"/>
      <c r="AF198" s="275"/>
      <c r="AG198" s="175" t="str">
        <f t="shared" si="30"/>
        <v/>
      </c>
      <c r="AH198" s="242" t="str">
        <f t="shared" si="31"/>
        <v/>
      </c>
      <c r="AI198" s="335" t="str">
        <f>IF(AH198="Check Data","Check Data",IFERROR(VLOOKUP(AH198,'G-4 Temporal multipliers'!$A$4:$C$36,3,FALSE),""))</f>
        <v/>
      </c>
      <c r="AJ198" s="239" t="str">
        <f>IF(S198="","",VLOOKUP(S198,'G-3 Multipliers'!$A$2:$E$130,4,FALSE))</f>
        <v/>
      </c>
      <c r="AK198" s="175" t="str">
        <f t="shared" si="32"/>
        <v/>
      </c>
      <c r="AL198" s="175" t="str">
        <f t="shared" si="33"/>
        <v/>
      </c>
      <c r="AM198" s="176" t="str">
        <f>IFERROR(IF(F198="","",IF(AH198="Check Data","Check Data",VLOOKUP(AL198, 'G-3 Multipliers'!$P$2:$Q$6,2,FALSE))),””)</f>
        <v/>
      </c>
      <c r="AN198" s="266"/>
      <c r="AO198" s="269" t="str">
        <f>IF(AN198="","",IF(VLOOKUP(AN198,'G-3 Multipliers'!$S$3:$T$9,2,FALSE)=0,"Spatial Data Missing",VLOOKUP(AN198,'G-3 Multipliers'!$S$3:$T$9,2,FALSE)))</f>
        <v/>
      </c>
      <c r="AP198" s="207" t="str">
        <f t="shared" si="34"/>
        <v/>
      </c>
      <c r="AQ198" s="336"/>
      <c r="AR198" s="181"/>
    </row>
    <row r="199" spans="1:44" x14ac:dyDescent="0.25">
      <c r="A199" s="35" t="str">
        <f>IF(E199="","",IF(ISNA(VLOOKUP($E199,'D-1 Off Site Habitat Baseline'!$D$1:$O$258,2,FALSE)),"",(VLOOKUP($E199,'D-1 Off Site Habitat Baseline'!$D$1:$O$258,2,FALSE))))</f>
        <v/>
      </c>
      <c r="B199" s="35" t="str">
        <f>IF(E199="","",IF(ISNA(VLOOKUP($E199,'D-1 Off Site Habitat Baseline'!$D$1:$O$258,3,FALSE)),"",(VLOOKUP($E199,'D-1 Off Site Habitat Baseline'!$D$1:$O$258,3,FALSE))))</f>
        <v/>
      </c>
      <c r="C199" s="35" t="str">
        <f>IFERROR(INDEX('G-8 Condition Look up'!$I$4:$I$131,MATCH(S199,'G-8 Condition Look up'!$A$4:$A$131,0)),"")</f>
        <v/>
      </c>
      <c r="E199" s="329" t="str">
        <f>'D-1 Off Site Habitat Baseline'!AL198</f>
        <v/>
      </c>
      <c r="F199" s="175" t="str">
        <f>IF(E199="","",IF(ISNA(VLOOKUP($E199,'D-1 Off Site Habitat Baseline'!$D$1:$O$258,4,FALSE)),"",(VLOOKUP($E199,'D-1 Off Site Habitat Baseline'!$D$1:$O$258,4,FALSE))))</f>
        <v/>
      </c>
      <c r="G199" s="175" t="str">
        <f>IF(E199="","",IF(ISNA(VLOOKUP($E199,'D-1 Off Site Habitat Baseline'!$D$1:$O$258,5,FALSE)),"",(VLOOKUP($E199,'D-1 Off Site Habitat Baseline'!$D$1:$O$258,5,FALSE))))</f>
        <v/>
      </c>
      <c r="H199" s="175" t="str">
        <f>IF(E199="","",IF(ISNA(VLOOKUP($E199,'D-1 Off Site Habitat Baseline'!$D$1:$O$258,6,FALSE)),"",(VLOOKUP($E199,'D-1 Off Site Habitat Baseline'!$D$1:$O$258,6,FALSE))))</f>
        <v/>
      </c>
      <c r="I199" s="175" t="str">
        <f>IF(E199="","",IF(ISNA(VLOOKUP($E199,'D-1 Off Site Habitat Baseline'!$D$1:$O$258,7,FALSE)),"",(VLOOKUP($E199,'D-1 Off Site Habitat Baseline'!$D$1:$O$258,7,FALSE))))</f>
        <v/>
      </c>
      <c r="J199" s="175" t="str">
        <f>IF(E199="","",IF(ISNA(VLOOKUP($E199,'D-1 Off Site Habitat Baseline'!$D$1:$O$258,8,FALSE)),"",(VLOOKUP($E199,'D-1 Off Site Habitat Baseline'!$D$1:$O$258,8,FALSE))))</f>
        <v/>
      </c>
      <c r="K199" s="175" t="str">
        <f>IF(E199="","",IF(ISNA(VLOOKUP($E199,'D-1 Off Site Habitat Baseline'!$D$1:$O$258,9,FALSE)),"",(VLOOKUP($E199,'D-1 Off Site Habitat Baseline'!$D$1:$O$258,9,FALSE))))</f>
        <v/>
      </c>
      <c r="L199" s="175" t="str">
        <f>IF(E199="","",IF(ISNA(VLOOKUP($E199,'D-1 Off Site Habitat Baseline'!$D$1:$O$258,11,FALSE)),"",(VLOOKUP($E199,'D-1 Off Site Habitat Baseline'!$D$1:$O$258,11,FALSE))))</f>
        <v/>
      </c>
      <c r="M199" s="175" t="str">
        <f>IF(E199="","",IF(ISNA(VLOOKUP($E199,'D-1 Off Site Habitat Baseline'!$D$1:$O$258,12,FALSE)),"",(VLOOKUP($E199,'D-1 Off Site Habitat Baseline'!$D$1:$O$258,12,FALSE))))</f>
        <v/>
      </c>
      <c r="N199" s="175" t="str">
        <f>IF(E199="","",IF(ISNA(VLOOKUP($E199,'D-1 Off Site Habitat Baseline'!$D$1:$X$258,14,FALSE)),"",(VLOOKUP($E199,'D-1 Off Site Habitat Baseline'!$D$1:$X$258,14,FALSE))))</f>
        <v/>
      </c>
      <c r="O199" s="176" t="str">
        <f>IF(E199="","",IF(ISNA(VLOOKUP($E199,'D-1 Off Site Habitat Baseline'!$D$1:$X$258,13,FALSE)),"",(VLOOKUP($E199,'D-1 Off Site Habitat Baseline'!$D$1:$X$258,13,FALSE))))</f>
        <v/>
      </c>
      <c r="P199" s="337" t="str">
        <f>IFERROR(INDEX('G-1 All Habitats'!$AG$3:$AG$15,MATCH(Q199,'G-1 All Habitats'!$AF$3:$AF$15,0)),"")</f>
        <v/>
      </c>
      <c r="Q199" s="331" t="str">
        <f t="shared" si="35"/>
        <v/>
      </c>
      <c r="R199" s="332" t="str">
        <f t="shared" si="36"/>
        <v/>
      </c>
      <c r="S199" s="338" t="str">
        <f>IFERROR(INDEX('G-1 All Habitats'!$B$3:$B$130,MATCH(R199,'G-1 All Habitats'!$A$3:$A$130,0)),"")</f>
        <v/>
      </c>
      <c r="T199" s="179" t="str">
        <f t="shared" si="28"/>
        <v/>
      </c>
      <c r="U199" s="172" t="str">
        <f t="shared" si="29"/>
        <v/>
      </c>
      <c r="V199" s="334" t="str">
        <f t="shared" si="26"/>
        <v/>
      </c>
      <c r="W199" s="175" t="str">
        <f>IF(S199="","",VLOOKUP(S199,'G-1 All Habitats'!$B$2:$M$130,10,FALSE))</f>
        <v/>
      </c>
      <c r="X199" s="175" t="str">
        <f>IFERROR(VLOOKUP(W199,'G-1 All Habitats'!$V$3:$W$7,2,FALSE),"")</f>
        <v/>
      </c>
      <c r="Y199" s="275"/>
      <c r="Z199" s="176" t="str">
        <f>IFERROR(INDEX('G-8 Condition Look up'!$A$3:$H$131,MATCH(S199,'G-8 Condition Look up'!$A$3:$A$131,0),MATCH(Y199,'G-8 Condition Look up'!$A$3:$H$3,0)),"")</f>
        <v/>
      </c>
      <c r="AA199" s="173"/>
      <c r="AB199" s="269" t="str">
        <f>IF(AA199="","",IF(VLOOKUP(AA199,'G-3 Multipliers'!$L$3:$N$6,2,FALSE)=0,"Spatial Data Missing",VLOOKUP(AA199,'G-3 Multipliers'!$L$3:$N$6,2,FALSE)))</f>
        <v/>
      </c>
      <c r="AC199" s="176" t="str">
        <f>IF(AA199="","",IF(VLOOKUP(AA199,'G-3 Multipliers'!$L$3:$N$6,3,FALSE)=0,"Spatial Data Missing",VLOOKUP(AA199,'G-3 Multipliers'!$L$3:$N$6,3,FALSE)))</f>
        <v/>
      </c>
      <c r="AD199" s="239" t="str">
        <f t="shared" si="27"/>
        <v/>
      </c>
      <c r="AE199" s="275"/>
      <c r="AF199" s="275"/>
      <c r="AG199" s="175" t="str">
        <f t="shared" si="30"/>
        <v/>
      </c>
      <c r="AH199" s="242" t="str">
        <f t="shared" si="31"/>
        <v/>
      </c>
      <c r="AI199" s="335" t="str">
        <f>IF(AH199="Check Data","Check Data",IFERROR(VLOOKUP(AH199,'G-4 Temporal multipliers'!$A$4:$C$36,3,FALSE),""))</f>
        <v/>
      </c>
      <c r="AJ199" s="239" t="str">
        <f>IF(S199="","",VLOOKUP(S199,'G-3 Multipliers'!$A$2:$E$130,4,FALSE))</f>
        <v/>
      </c>
      <c r="AK199" s="175" t="str">
        <f t="shared" si="32"/>
        <v/>
      </c>
      <c r="AL199" s="175" t="str">
        <f t="shared" si="33"/>
        <v/>
      </c>
      <c r="AM199" s="176" t="str">
        <f>IFERROR(IF(F199="","",IF(AH199="Check Data","Check Data",VLOOKUP(AL199, 'G-3 Multipliers'!$P$2:$Q$6,2,FALSE))),””)</f>
        <v/>
      </c>
      <c r="AN199" s="266"/>
      <c r="AO199" s="269" t="str">
        <f>IF(AN199="","",IF(VLOOKUP(AN199,'G-3 Multipliers'!$S$3:$T$9,2,FALSE)=0,"Spatial Data Missing",VLOOKUP(AN199,'G-3 Multipliers'!$S$3:$T$9,2,FALSE)))</f>
        <v/>
      </c>
      <c r="AP199" s="207" t="str">
        <f t="shared" si="34"/>
        <v/>
      </c>
      <c r="AQ199" s="336"/>
      <c r="AR199" s="181"/>
    </row>
    <row r="200" spans="1:44" x14ac:dyDescent="0.25">
      <c r="A200" s="35" t="str">
        <f>IF(E200="","",IF(ISNA(VLOOKUP($E200,'D-1 Off Site Habitat Baseline'!$D$1:$O$258,2,FALSE)),"",(VLOOKUP($E200,'D-1 Off Site Habitat Baseline'!$D$1:$O$258,2,FALSE))))</f>
        <v/>
      </c>
      <c r="B200" s="35" t="str">
        <f>IF(E200="","",IF(ISNA(VLOOKUP($E200,'D-1 Off Site Habitat Baseline'!$D$1:$O$258,3,FALSE)),"",(VLOOKUP($E200,'D-1 Off Site Habitat Baseline'!$D$1:$O$258,3,FALSE))))</f>
        <v/>
      </c>
      <c r="C200" s="35" t="str">
        <f>IFERROR(INDEX('G-8 Condition Look up'!$I$4:$I$131,MATCH(S200,'G-8 Condition Look up'!$A$4:$A$131,0)),"")</f>
        <v/>
      </c>
      <c r="E200" s="329" t="str">
        <f>'D-1 Off Site Habitat Baseline'!AL199</f>
        <v/>
      </c>
      <c r="F200" s="175" t="str">
        <f>IF(E200="","",IF(ISNA(VLOOKUP($E200,'D-1 Off Site Habitat Baseline'!$D$1:$O$258,4,FALSE)),"",(VLOOKUP($E200,'D-1 Off Site Habitat Baseline'!$D$1:$O$258,4,FALSE))))</f>
        <v/>
      </c>
      <c r="G200" s="175" t="str">
        <f>IF(E200="","",IF(ISNA(VLOOKUP($E200,'D-1 Off Site Habitat Baseline'!$D$1:$O$258,5,FALSE)),"",(VLOOKUP($E200,'D-1 Off Site Habitat Baseline'!$D$1:$O$258,5,FALSE))))</f>
        <v/>
      </c>
      <c r="H200" s="175" t="str">
        <f>IF(E200="","",IF(ISNA(VLOOKUP($E200,'D-1 Off Site Habitat Baseline'!$D$1:$O$258,6,FALSE)),"",(VLOOKUP($E200,'D-1 Off Site Habitat Baseline'!$D$1:$O$258,6,FALSE))))</f>
        <v/>
      </c>
      <c r="I200" s="175" t="str">
        <f>IF(E200="","",IF(ISNA(VLOOKUP($E200,'D-1 Off Site Habitat Baseline'!$D$1:$O$258,7,FALSE)),"",(VLOOKUP($E200,'D-1 Off Site Habitat Baseline'!$D$1:$O$258,7,FALSE))))</f>
        <v/>
      </c>
      <c r="J200" s="175" t="str">
        <f>IF(E200="","",IF(ISNA(VLOOKUP($E200,'D-1 Off Site Habitat Baseline'!$D$1:$O$258,8,FALSE)),"",(VLOOKUP($E200,'D-1 Off Site Habitat Baseline'!$D$1:$O$258,8,FALSE))))</f>
        <v/>
      </c>
      <c r="K200" s="175" t="str">
        <f>IF(E200="","",IF(ISNA(VLOOKUP($E200,'D-1 Off Site Habitat Baseline'!$D$1:$O$258,9,FALSE)),"",(VLOOKUP($E200,'D-1 Off Site Habitat Baseline'!$D$1:$O$258,9,FALSE))))</f>
        <v/>
      </c>
      <c r="L200" s="175" t="str">
        <f>IF(E200="","",IF(ISNA(VLOOKUP($E200,'D-1 Off Site Habitat Baseline'!$D$1:$O$258,11,FALSE)),"",(VLOOKUP($E200,'D-1 Off Site Habitat Baseline'!$D$1:$O$258,11,FALSE))))</f>
        <v/>
      </c>
      <c r="M200" s="175" t="str">
        <f>IF(E200="","",IF(ISNA(VLOOKUP($E200,'D-1 Off Site Habitat Baseline'!$D$1:$O$258,12,FALSE)),"",(VLOOKUP($E200,'D-1 Off Site Habitat Baseline'!$D$1:$O$258,12,FALSE))))</f>
        <v/>
      </c>
      <c r="N200" s="175" t="str">
        <f>IF(E200="","",IF(ISNA(VLOOKUP($E200,'D-1 Off Site Habitat Baseline'!$D$1:$X$258,14,FALSE)),"",(VLOOKUP($E200,'D-1 Off Site Habitat Baseline'!$D$1:$X$258,14,FALSE))))</f>
        <v/>
      </c>
      <c r="O200" s="176" t="str">
        <f>IF(E200="","",IF(ISNA(VLOOKUP($E200,'D-1 Off Site Habitat Baseline'!$D$1:$X$258,13,FALSE)),"",(VLOOKUP($E200,'D-1 Off Site Habitat Baseline'!$D$1:$X$258,13,FALSE))))</f>
        <v/>
      </c>
      <c r="P200" s="337" t="str">
        <f>IFERROR(INDEX('G-1 All Habitats'!$AG$3:$AG$15,MATCH(Q200,'G-1 All Habitats'!$AF$3:$AF$15,0)),"")</f>
        <v/>
      </c>
      <c r="Q200" s="331" t="str">
        <f t="shared" si="35"/>
        <v/>
      </c>
      <c r="R200" s="332" t="str">
        <f t="shared" si="36"/>
        <v/>
      </c>
      <c r="S200" s="338" t="str">
        <f>IFERROR(INDEX('G-1 All Habitats'!$B$3:$B$130,MATCH(R200,'G-1 All Habitats'!$A$3:$A$130,0)),"")</f>
        <v/>
      </c>
      <c r="T200" s="179" t="str">
        <f t="shared" si="28"/>
        <v/>
      </c>
      <c r="U200" s="172" t="str">
        <f t="shared" si="29"/>
        <v/>
      </c>
      <c r="V200" s="334" t="str">
        <f t="shared" si="26"/>
        <v/>
      </c>
      <c r="W200" s="175" t="str">
        <f>IF(S200="","",VLOOKUP(S200,'G-1 All Habitats'!$B$2:$M$130,10,FALSE))</f>
        <v/>
      </c>
      <c r="X200" s="175" t="str">
        <f>IFERROR(VLOOKUP(W200,'G-1 All Habitats'!$V$3:$W$7,2,FALSE),"")</f>
        <v/>
      </c>
      <c r="Y200" s="275"/>
      <c r="Z200" s="176" t="str">
        <f>IFERROR(INDEX('G-8 Condition Look up'!$A$3:$H$131,MATCH(S200,'G-8 Condition Look up'!$A$3:$A$131,0),MATCH(Y200,'G-8 Condition Look up'!$A$3:$H$3,0)),"")</f>
        <v/>
      </c>
      <c r="AA200" s="173"/>
      <c r="AB200" s="269" t="str">
        <f>IF(AA200="","",IF(VLOOKUP(AA200,'G-3 Multipliers'!$L$3:$N$6,2,FALSE)=0,"Spatial Data Missing",VLOOKUP(AA200,'G-3 Multipliers'!$L$3:$N$6,2,FALSE)))</f>
        <v/>
      </c>
      <c r="AC200" s="176" t="str">
        <f>IF(AA200="","",IF(VLOOKUP(AA200,'G-3 Multipliers'!$L$3:$N$6,3,FALSE)=0,"Spatial Data Missing",VLOOKUP(AA200,'G-3 Multipliers'!$L$3:$N$6,3,FALSE)))</f>
        <v/>
      </c>
      <c r="AD200" s="239" t="str">
        <f t="shared" si="27"/>
        <v/>
      </c>
      <c r="AE200" s="275"/>
      <c r="AF200" s="275"/>
      <c r="AG200" s="175" t="str">
        <f t="shared" si="30"/>
        <v/>
      </c>
      <c r="AH200" s="242" t="str">
        <f t="shared" si="31"/>
        <v/>
      </c>
      <c r="AI200" s="335" t="str">
        <f>IF(AH200="Check Data","Check Data",IFERROR(VLOOKUP(AH200,'G-4 Temporal multipliers'!$A$4:$C$36,3,FALSE),""))</f>
        <v/>
      </c>
      <c r="AJ200" s="239" t="str">
        <f>IF(S200="","",VLOOKUP(S200,'G-3 Multipliers'!$A$2:$E$130,4,FALSE))</f>
        <v/>
      </c>
      <c r="AK200" s="175" t="str">
        <f t="shared" si="32"/>
        <v/>
      </c>
      <c r="AL200" s="175" t="str">
        <f t="shared" si="33"/>
        <v/>
      </c>
      <c r="AM200" s="176" t="str">
        <f>IFERROR(IF(F200="","",IF(AH200="Check Data","Check Data",VLOOKUP(AL200, 'G-3 Multipliers'!$P$2:$Q$6,2,FALSE))),””)</f>
        <v/>
      </c>
      <c r="AN200" s="266"/>
      <c r="AO200" s="269" t="str">
        <f>IF(AN200="","",IF(VLOOKUP(AN200,'G-3 Multipliers'!$S$3:$T$9,2,FALSE)=0,"Spatial Data Missing",VLOOKUP(AN200,'G-3 Multipliers'!$S$3:$T$9,2,FALSE)))</f>
        <v/>
      </c>
      <c r="AP200" s="207" t="str">
        <f t="shared" si="34"/>
        <v/>
      </c>
      <c r="AQ200" s="336"/>
      <c r="AR200" s="181"/>
    </row>
    <row r="201" spans="1:44" x14ac:dyDescent="0.25">
      <c r="A201" s="35" t="str">
        <f>IF(E201="","",IF(ISNA(VLOOKUP($E201,'D-1 Off Site Habitat Baseline'!$D$1:$O$258,2,FALSE)),"",(VLOOKUP($E201,'D-1 Off Site Habitat Baseline'!$D$1:$O$258,2,FALSE))))</f>
        <v/>
      </c>
      <c r="B201" s="35" t="str">
        <f>IF(E201="","",IF(ISNA(VLOOKUP($E201,'D-1 Off Site Habitat Baseline'!$D$1:$O$258,3,FALSE)),"",(VLOOKUP($E201,'D-1 Off Site Habitat Baseline'!$D$1:$O$258,3,FALSE))))</f>
        <v/>
      </c>
      <c r="C201" s="35" t="str">
        <f>IFERROR(INDEX('G-8 Condition Look up'!$I$4:$I$131,MATCH(S201,'G-8 Condition Look up'!$A$4:$A$131,0)),"")</f>
        <v/>
      </c>
      <c r="E201" s="329" t="str">
        <f>'D-1 Off Site Habitat Baseline'!AL200</f>
        <v/>
      </c>
      <c r="F201" s="175" t="str">
        <f>IF(E201="","",IF(ISNA(VLOOKUP($E201,'D-1 Off Site Habitat Baseline'!$D$1:$O$258,4,FALSE)),"",(VLOOKUP($E201,'D-1 Off Site Habitat Baseline'!$D$1:$O$258,4,FALSE))))</f>
        <v/>
      </c>
      <c r="G201" s="175" t="str">
        <f>IF(E201="","",IF(ISNA(VLOOKUP($E201,'D-1 Off Site Habitat Baseline'!$D$1:$O$258,5,FALSE)),"",(VLOOKUP($E201,'D-1 Off Site Habitat Baseline'!$D$1:$O$258,5,FALSE))))</f>
        <v/>
      </c>
      <c r="H201" s="175" t="str">
        <f>IF(E201="","",IF(ISNA(VLOOKUP($E201,'D-1 Off Site Habitat Baseline'!$D$1:$O$258,6,FALSE)),"",(VLOOKUP($E201,'D-1 Off Site Habitat Baseline'!$D$1:$O$258,6,FALSE))))</f>
        <v/>
      </c>
      <c r="I201" s="175" t="str">
        <f>IF(E201="","",IF(ISNA(VLOOKUP($E201,'D-1 Off Site Habitat Baseline'!$D$1:$O$258,7,FALSE)),"",(VLOOKUP($E201,'D-1 Off Site Habitat Baseline'!$D$1:$O$258,7,FALSE))))</f>
        <v/>
      </c>
      <c r="J201" s="175" t="str">
        <f>IF(E201="","",IF(ISNA(VLOOKUP($E201,'D-1 Off Site Habitat Baseline'!$D$1:$O$258,8,FALSE)),"",(VLOOKUP($E201,'D-1 Off Site Habitat Baseline'!$D$1:$O$258,8,FALSE))))</f>
        <v/>
      </c>
      <c r="K201" s="175" t="str">
        <f>IF(E201="","",IF(ISNA(VLOOKUP($E201,'D-1 Off Site Habitat Baseline'!$D$1:$O$258,9,FALSE)),"",(VLOOKUP($E201,'D-1 Off Site Habitat Baseline'!$D$1:$O$258,9,FALSE))))</f>
        <v/>
      </c>
      <c r="L201" s="175" t="str">
        <f>IF(E201="","",IF(ISNA(VLOOKUP($E201,'D-1 Off Site Habitat Baseline'!$D$1:$O$258,11,FALSE)),"",(VLOOKUP($E201,'D-1 Off Site Habitat Baseline'!$D$1:$O$258,11,FALSE))))</f>
        <v/>
      </c>
      <c r="M201" s="175" t="str">
        <f>IF(E201="","",IF(ISNA(VLOOKUP($E201,'D-1 Off Site Habitat Baseline'!$D$1:$O$258,12,FALSE)),"",(VLOOKUP($E201,'D-1 Off Site Habitat Baseline'!$D$1:$O$258,12,FALSE))))</f>
        <v/>
      </c>
      <c r="N201" s="175" t="str">
        <f>IF(E201="","",IF(ISNA(VLOOKUP($E201,'D-1 Off Site Habitat Baseline'!$D$1:$X$258,14,FALSE)),"",(VLOOKUP($E201,'D-1 Off Site Habitat Baseline'!$D$1:$X$258,14,FALSE))))</f>
        <v/>
      </c>
      <c r="O201" s="176" t="str">
        <f>IF(E201="","",IF(ISNA(VLOOKUP($E201,'D-1 Off Site Habitat Baseline'!$D$1:$X$258,13,FALSE)),"",(VLOOKUP($E201,'D-1 Off Site Habitat Baseline'!$D$1:$X$258,13,FALSE))))</f>
        <v/>
      </c>
      <c r="P201" s="337" t="str">
        <f>IFERROR(INDEX('G-1 All Habitats'!$AG$3:$AG$15,MATCH(Q201,'G-1 All Habitats'!$AF$3:$AF$15,0)),"")</f>
        <v/>
      </c>
      <c r="Q201" s="331" t="str">
        <f t="shared" si="35"/>
        <v/>
      </c>
      <c r="R201" s="332" t="str">
        <f t="shared" si="36"/>
        <v/>
      </c>
      <c r="S201" s="338" t="str">
        <f>IFERROR(INDEX('G-1 All Habitats'!$B$3:$B$130,MATCH(R201,'G-1 All Habitats'!$A$3:$A$130,0)),"")</f>
        <v/>
      </c>
      <c r="T201" s="179" t="str">
        <f t="shared" si="28"/>
        <v/>
      </c>
      <c r="U201" s="172" t="str">
        <f t="shared" si="29"/>
        <v/>
      </c>
      <c r="V201" s="334" t="str">
        <f t="shared" si="26"/>
        <v/>
      </c>
      <c r="W201" s="175" t="str">
        <f>IF(S201="","",VLOOKUP(S201,'G-1 All Habitats'!$B$2:$M$130,10,FALSE))</f>
        <v/>
      </c>
      <c r="X201" s="175" t="str">
        <f>IFERROR(VLOOKUP(W201,'G-1 All Habitats'!$V$3:$W$7,2,FALSE),"")</f>
        <v/>
      </c>
      <c r="Y201" s="275"/>
      <c r="Z201" s="176" t="str">
        <f>IFERROR(INDEX('G-8 Condition Look up'!$A$3:$H$131,MATCH(S201,'G-8 Condition Look up'!$A$3:$A$131,0),MATCH(Y201,'G-8 Condition Look up'!$A$3:$H$3,0)),"")</f>
        <v/>
      </c>
      <c r="AA201" s="173"/>
      <c r="AB201" s="269" t="str">
        <f>IF(AA201="","",IF(VLOOKUP(AA201,'G-3 Multipliers'!$L$3:$N$6,2,FALSE)=0,"Spatial Data Missing",VLOOKUP(AA201,'G-3 Multipliers'!$L$3:$N$6,2,FALSE)))</f>
        <v/>
      </c>
      <c r="AC201" s="176" t="str">
        <f>IF(AA201="","",IF(VLOOKUP(AA201,'G-3 Multipliers'!$L$3:$N$6,3,FALSE)=0,"Spatial Data Missing",VLOOKUP(AA201,'G-3 Multipliers'!$L$3:$N$6,3,FALSE)))</f>
        <v/>
      </c>
      <c r="AD201" s="239" t="str">
        <f t="shared" si="27"/>
        <v/>
      </c>
      <c r="AE201" s="275"/>
      <c r="AF201" s="275"/>
      <c r="AG201" s="175" t="str">
        <f t="shared" si="30"/>
        <v/>
      </c>
      <c r="AH201" s="242" t="str">
        <f t="shared" si="31"/>
        <v/>
      </c>
      <c r="AI201" s="335" t="str">
        <f>IF(AH201="Check Data","Check Data",IFERROR(VLOOKUP(AH201,'G-4 Temporal multipliers'!$A$4:$C$36,3,FALSE),""))</f>
        <v/>
      </c>
      <c r="AJ201" s="239" t="str">
        <f>IF(S201="","",VLOOKUP(S201,'G-3 Multipliers'!$A$2:$E$130,4,FALSE))</f>
        <v/>
      </c>
      <c r="AK201" s="175" t="str">
        <f t="shared" si="32"/>
        <v/>
      </c>
      <c r="AL201" s="175" t="str">
        <f t="shared" si="33"/>
        <v/>
      </c>
      <c r="AM201" s="176" t="str">
        <f>IFERROR(IF(F201="","",IF(AH201="Check Data","Check Data",VLOOKUP(AL201, 'G-3 Multipliers'!$P$2:$Q$6,2,FALSE))),””)</f>
        <v/>
      </c>
      <c r="AN201" s="266"/>
      <c r="AO201" s="269" t="str">
        <f>IF(AN201="","",IF(VLOOKUP(AN201,'G-3 Multipliers'!$S$3:$T$9,2,FALSE)=0,"Spatial Data Missing",VLOOKUP(AN201,'G-3 Multipliers'!$S$3:$T$9,2,FALSE)))</f>
        <v/>
      </c>
      <c r="AP201" s="207" t="str">
        <f t="shared" si="34"/>
        <v/>
      </c>
      <c r="AQ201" s="336"/>
      <c r="AR201" s="181"/>
    </row>
    <row r="202" spans="1:44" x14ac:dyDescent="0.25">
      <c r="A202" s="35" t="str">
        <f>IF(E202="","",IF(ISNA(VLOOKUP($E202,'D-1 Off Site Habitat Baseline'!$D$1:$O$258,2,FALSE)),"",(VLOOKUP($E202,'D-1 Off Site Habitat Baseline'!$D$1:$O$258,2,FALSE))))</f>
        <v/>
      </c>
      <c r="B202" s="35" t="str">
        <f>IF(E202="","",IF(ISNA(VLOOKUP($E202,'D-1 Off Site Habitat Baseline'!$D$1:$O$258,3,FALSE)),"",(VLOOKUP($E202,'D-1 Off Site Habitat Baseline'!$D$1:$O$258,3,FALSE))))</f>
        <v/>
      </c>
      <c r="C202" s="35" t="str">
        <f>IFERROR(INDEX('G-8 Condition Look up'!$I$4:$I$131,MATCH(S202,'G-8 Condition Look up'!$A$4:$A$131,0)),"")</f>
        <v/>
      </c>
      <c r="E202" s="329" t="str">
        <f>'D-1 Off Site Habitat Baseline'!AL201</f>
        <v/>
      </c>
      <c r="F202" s="175" t="str">
        <f>IF(E202="","",IF(ISNA(VLOOKUP($E202,'D-1 Off Site Habitat Baseline'!$D$1:$O$258,4,FALSE)),"",(VLOOKUP($E202,'D-1 Off Site Habitat Baseline'!$D$1:$O$258,4,FALSE))))</f>
        <v/>
      </c>
      <c r="G202" s="175" t="str">
        <f>IF(E202="","",IF(ISNA(VLOOKUP($E202,'D-1 Off Site Habitat Baseline'!$D$1:$O$258,5,FALSE)),"",(VLOOKUP($E202,'D-1 Off Site Habitat Baseline'!$D$1:$O$258,5,FALSE))))</f>
        <v/>
      </c>
      <c r="H202" s="175" t="str">
        <f>IF(E202="","",IF(ISNA(VLOOKUP($E202,'D-1 Off Site Habitat Baseline'!$D$1:$O$258,6,FALSE)),"",(VLOOKUP($E202,'D-1 Off Site Habitat Baseline'!$D$1:$O$258,6,FALSE))))</f>
        <v/>
      </c>
      <c r="I202" s="175" t="str">
        <f>IF(E202="","",IF(ISNA(VLOOKUP($E202,'D-1 Off Site Habitat Baseline'!$D$1:$O$258,7,FALSE)),"",(VLOOKUP($E202,'D-1 Off Site Habitat Baseline'!$D$1:$O$258,7,FALSE))))</f>
        <v/>
      </c>
      <c r="J202" s="175" t="str">
        <f>IF(E202="","",IF(ISNA(VLOOKUP($E202,'D-1 Off Site Habitat Baseline'!$D$1:$O$258,8,FALSE)),"",(VLOOKUP($E202,'D-1 Off Site Habitat Baseline'!$D$1:$O$258,8,FALSE))))</f>
        <v/>
      </c>
      <c r="K202" s="175" t="str">
        <f>IF(E202="","",IF(ISNA(VLOOKUP($E202,'D-1 Off Site Habitat Baseline'!$D$1:$O$258,9,FALSE)),"",(VLOOKUP($E202,'D-1 Off Site Habitat Baseline'!$D$1:$O$258,9,FALSE))))</f>
        <v/>
      </c>
      <c r="L202" s="175" t="str">
        <f>IF(E202="","",IF(ISNA(VLOOKUP($E202,'D-1 Off Site Habitat Baseline'!$D$1:$O$258,11,FALSE)),"",(VLOOKUP($E202,'D-1 Off Site Habitat Baseline'!$D$1:$O$258,11,FALSE))))</f>
        <v/>
      </c>
      <c r="M202" s="175" t="str">
        <f>IF(E202="","",IF(ISNA(VLOOKUP($E202,'D-1 Off Site Habitat Baseline'!$D$1:$O$258,12,FALSE)),"",(VLOOKUP($E202,'D-1 Off Site Habitat Baseline'!$D$1:$O$258,12,FALSE))))</f>
        <v/>
      </c>
      <c r="N202" s="175" t="str">
        <f>IF(E202="","",IF(ISNA(VLOOKUP($E202,'D-1 Off Site Habitat Baseline'!$D$1:$X$258,14,FALSE)),"",(VLOOKUP($E202,'D-1 Off Site Habitat Baseline'!$D$1:$X$258,14,FALSE))))</f>
        <v/>
      </c>
      <c r="O202" s="176" t="str">
        <f>IF(E202="","",IF(ISNA(VLOOKUP($E202,'D-1 Off Site Habitat Baseline'!$D$1:$X$258,13,FALSE)),"",(VLOOKUP($E202,'D-1 Off Site Habitat Baseline'!$D$1:$X$258,13,FALSE))))</f>
        <v/>
      </c>
      <c r="P202" s="337" t="str">
        <f>IFERROR(INDEX('G-1 All Habitats'!$AG$3:$AG$15,MATCH(Q202,'G-1 All Habitats'!$AF$3:$AF$15,0)),"")</f>
        <v/>
      </c>
      <c r="Q202" s="331" t="str">
        <f t="shared" si="35"/>
        <v/>
      </c>
      <c r="R202" s="332" t="str">
        <f t="shared" si="36"/>
        <v/>
      </c>
      <c r="S202" s="338" t="str">
        <f>IFERROR(INDEX('G-1 All Habitats'!$B$3:$B$130,MATCH(R202,'G-1 All Habitats'!$A$3:$A$130,0)),"")</f>
        <v/>
      </c>
      <c r="T202" s="179" t="str">
        <f t="shared" si="28"/>
        <v/>
      </c>
      <c r="U202" s="172" t="str">
        <f t="shared" si="29"/>
        <v/>
      </c>
      <c r="V202" s="334" t="str">
        <f t="shared" si="26"/>
        <v/>
      </c>
      <c r="W202" s="175" t="str">
        <f>IF(S202="","",VLOOKUP(S202,'G-1 All Habitats'!$B$2:$M$130,10,FALSE))</f>
        <v/>
      </c>
      <c r="X202" s="175" t="str">
        <f>IFERROR(VLOOKUP(W202,'G-1 All Habitats'!$V$3:$W$7,2,FALSE),"")</f>
        <v/>
      </c>
      <c r="Y202" s="275"/>
      <c r="Z202" s="176" t="str">
        <f>IFERROR(INDEX('G-8 Condition Look up'!$A$3:$H$131,MATCH(S202,'G-8 Condition Look up'!$A$3:$A$131,0),MATCH(Y202,'G-8 Condition Look up'!$A$3:$H$3,0)),"")</f>
        <v/>
      </c>
      <c r="AA202" s="173"/>
      <c r="AB202" s="269" t="str">
        <f>IF(AA202="","",IF(VLOOKUP(AA202,'G-3 Multipliers'!$L$3:$N$6,2,FALSE)=0,"Spatial Data Missing",VLOOKUP(AA202,'G-3 Multipliers'!$L$3:$N$6,2,FALSE)))</f>
        <v/>
      </c>
      <c r="AC202" s="176" t="str">
        <f>IF(AA202="","",IF(VLOOKUP(AA202,'G-3 Multipliers'!$L$3:$N$6,3,FALSE)=0,"Spatial Data Missing",VLOOKUP(AA202,'G-3 Multipliers'!$L$3:$N$6,3,FALSE)))</f>
        <v/>
      </c>
      <c r="AD202" s="239" t="str">
        <f t="shared" si="27"/>
        <v/>
      </c>
      <c r="AE202" s="275"/>
      <c r="AF202" s="275"/>
      <c r="AG202" s="175" t="str">
        <f t="shared" si="30"/>
        <v/>
      </c>
      <c r="AH202" s="242" t="str">
        <f t="shared" si="31"/>
        <v/>
      </c>
      <c r="AI202" s="335" t="str">
        <f>IF(AH202="Check Data","Check Data",IFERROR(VLOOKUP(AH202,'G-4 Temporal multipliers'!$A$4:$C$36,3,FALSE),""))</f>
        <v/>
      </c>
      <c r="AJ202" s="239" t="str">
        <f>IF(S202="","",VLOOKUP(S202,'G-3 Multipliers'!$A$2:$E$130,4,FALSE))</f>
        <v/>
      </c>
      <c r="AK202" s="175" t="str">
        <f t="shared" si="32"/>
        <v/>
      </c>
      <c r="AL202" s="175" t="str">
        <f t="shared" si="33"/>
        <v/>
      </c>
      <c r="AM202" s="176" t="str">
        <f>IFERROR(IF(F202="","",IF(AH202="Check Data","Check Data",VLOOKUP(AL202, 'G-3 Multipliers'!$P$2:$Q$6,2,FALSE))),””)</f>
        <v/>
      </c>
      <c r="AN202" s="266"/>
      <c r="AO202" s="269" t="str">
        <f>IF(AN202="","",IF(VLOOKUP(AN202,'G-3 Multipliers'!$S$3:$T$9,2,FALSE)=0,"Spatial Data Missing",VLOOKUP(AN202,'G-3 Multipliers'!$S$3:$T$9,2,FALSE)))</f>
        <v/>
      </c>
      <c r="AP202" s="207" t="str">
        <f t="shared" si="34"/>
        <v/>
      </c>
      <c r="AQ202" s="336"/>
      <c r="AR202" s="181"/>
    </row>
    <row r="203" spans="1:44" x14ac:dyDescent="0.25">
      <c r="A203" s="35" t="str">
        <f>IF(E203="","",IF(ISNA(VLOOKUP($E203,'D-1 Off Site Habitat Baseline'!$D$1:$O$258,2,FALSE)),"",(VLOOKUP($E203,'D-1 Off Site Habitat Baseline'!$D$1:$O$258,2,FALSE))))</f>
        <v/>
      </c>
      <c r="B203" s="35" t="str">
        <f>IF(E203="","",IF(ISNA(VLOOKUP($E203,'D-1 Off Site Habitat Baseline'!$D$1:$O$258,3,FALSE)),"",(VLOOKUP($E203,'D-1 Off Site Habitat Baseline'!$D$1:$O$258,3,FALSE))))</f>
        <v/>
      </c>
      <c r="C203" s="35" t="str">
        <f>IFERROR(INDEX('G-8 Condition Look up'!$I$4:$I$131,MATCH(S203,'G-8 Condition Look up'!$A$4:$A$131,0)),"")</f>
        <v/>
      </c>
      <c r="E203" s="329" t="str">
        <f>'D-1 Off Site Habitat Baseline'!AL202</f>
        <v/>
      </c>
      <c r="F203" s="175" t="str">
        <f>IF(E203="","",IF(ISNA(VLOOKUP($E203,'D-1 Off Site Habitat Baseline'!$D$1:$O$258,4,FALSE)),"",(VLOOKUP($E203,'D-1 Off Site Habitat Baseline'!$D$1:$O$258,4,FALSE))))</f>
        <v/>
      </c>
      <c r="G203" s="175" t="str">
        <f>IF(E203="","",IF(ISNA(VLOOKUP($E203,'D-1 Off Site Habitat Baseline'!$D$1:$O$258,5,FALSE)),"",(VLOOKUP($E203,'D-1 Off Site Habitat Baseline'!$D$1:$O$258,5,FALSE))))</f>
        <v/>
      </c>
      <c r="H203" s="175" t="str">
        <f>IF(E203="","",IF(ISNA(VLOOKUP($E203,'D-1 Off Site Habitat Baseline'!$D$1:$O$258,6,FALSE)),"",(VLOOKUP($E203,'D-1 Off Site Habitat Baseline'!$D$1:$O$258,6,FALSE))))</f>
        <v/>
      </c>
      <c r="I203" s="175" t="str">
        <f>IF(E203="","",IF(ISNA(VLOOKUP($E203,'D-1 Off Site Habitat Baseline'!$D$1:$O$258,7,FALSE)),"",(VLOOKUP($E203,'D-1 Off Site Habitat Baseline'!$D$1:$O$258,7,FALSE))))</f>
        <v/>
      </c>
      <c r="J203" s="175" t="str">
        <f>IF(E203="","",IF(ISNA(VLOOKUP($E203,'D-1 Off Site Habitat Baseline'!$D$1:$O$258,8,FALSE)),"",(VLOOKUP($E203,'D-1 Off Site Habitat Baseline'!$D$1:$O$258,8,FALSE))))</f>
        <v/>
      </c>
      <c r="K203" s="175" t="str">
        <f>IF(E203="","",IF(ISNA(VLOOKUP($E203,'D-1 Off Site Habitat Baseline'!$D$1:$O$258,9,FALSE)),"",(VLOOKUP($E203,'D-1 Off Site Habitat Baseline'!$D$1:$O$258,9,FALSE))))</f>
        <v/>
      </c>
      <c r="L203" s="175" t="str">
        <f>IF(E203="","",IF(ISNA(VLOOKUP($E203,'D-1 Off Site Habitat Baseline'!$D$1:$O$258,11,FALSE)),"",(VLOOKUP($E203,'D-1 Off Site Habitat Baseline'!$D$1:$O$258,11,FALSE))))</f>
        <v/>
      </c>
      <c r="M203" s="175" t="str">
        <f>IF(E203="","",IF(ISNA(VLOOKUP($E203,'D-1 Off Site Habitat Baseline'!$D$1:$O$258,12,FALSE)),"",(VLOOKUP($E203,'D-1 Off Site Habitat Baseline'!$D$1:$O$258,12,FALSE))))</f>
        <v/>
      </c>
      <c r="N203" s="175" t="str">
        <f>IF(E203="","",IF(ISNA(VLOOKUP($E203,'D-1 Off Site Habitat Baseline'!$D$1:$X$258,14,FALSE)),"",(VLOOKUP($E203,'D-1 Off Site Habitat Baseline'!$D$1:$X$258,14,FALSE))))</f>
        <v/>
      </c>
      <c r="O203" s="176" t="str">
        <f>IF(E203="","",IF(ISNA(VLOOKUP($E203,'D-1 Off Site Habitat Baseline'!$D$1:$X$258,13,FALSE)),"",(VLOOKUP($E203,'D-1 Off Site Habitat Baseline'!$D$1:$X$258,13,FALSE))))</f>
        <v/>
      </c>
      <c r="P203" s="337" t="str">
        <f>IFERROR(INDEX('G-1 All Habitats'!$AG$3:$AG$15,MATCH(Q203,'G-1 All Habitats'!$AF$3:$AF$15,0)),"")</f>
        <v/>
      </c>
      <c r="Q203" s="331" t="str">
        <f t="shared" si="35"/>
        <v/>
      </c>
      <c r="R203" s="332" t="str">
        <f t="shared" si="36"/>
        <v/>
      </c>
      <c r="S203" s="338" t="str">
        <f>IFERROR(INDEX('G-1 All Habitats'!$B$3:$B$130,MATCH(R203,'G-1 All Habitats'!$A$3:$A$130,0)),"")</f>
        <v/>
      </c>
      <c r="T203" s="179" t="str">
        <f t="shared" si="28"/>
        <v/>
      </c>
      <c r="U203" s="172" t="str">
        <f t="shared" si="29"/>
        <v/>
      </c>
      <c r="V203" s="334" t="str">
        <f t="shared" si="26"/>
        <v/>
      </c>
      <c r="W203" s="175" t="str">
        <f>IF(S203="","",VLOOKUP(S203,'G-1 All Habitats'!$B$2:$M$130,10,FALSE))</f>
        <v/>
      </c>
      <c r="X203" s="175" t="str">
        <f>IFERROR(VLOOKUP(W203,'G-1 All Habitats'!$V$3:$W$7,2,FALSE),"")</f>
        <v/>
      </c>
      <c r="Y203" s="275"/>
      <c r="Z203" s="176" t="str">
        <f>IFERROR(INDEX('G-8 Condition Look up'!$A$3:$H$131,MATCH(S203,'G-8 Condition Look up'!$A$3:$A$131,0),MATCH(Y203,'G-8 Condition Look up'!$A$3:$H$3,0)),"")</f>
        <v/>
      </c>
      <c r="AA203" s="173"/>
      <c r="AB203" s="269" t="str">
        <f>IF(AA203="","",IF(VLOOKUP(AA203,'G-3 Multipliers'!$L$3:$N$6,2,FALSE)=0,"Spatial Data Missing",VLOOKUP(AA203,'G-3 Multipliers'!$L$3:$N$6,2,FALSE)))</f>
        <v/>
      </c>
      <c r="AC203" s="176" t="str">
        <f>IF(AA203="","",IF(VLOOKUP(AA203,'G-3 Multipliers'!$L$3:$N$6,3,FALSE)=0,"Spatial Data Missing",VLOOKUP(AA203,'G-3 Multipliers'!$L$3:$N$6,3,FALSE)))</f>
        <v/>
      </c>
      <c r="AD203" s="239" t="str">
        <f t="shared" si="27"/>
        <v/>
      </c>
      <c r="AE203" s="275"/>
      <c r="AF203" s="275"/>
      <c r="AG203" s="175" t="str">
        <f t="shared" si="30"/>
        <v/>
      </c>
      <c r="AH203" s="242" t="str">
        <f t="shared" si="31"/>
        <v/>
      </c>
      <c r="AI203" s="335" t="str">
        <f>IF(AH203="Check Data","Check Data",IFERROR(VLOOKUP(AH203,'G-4 Temporal multipliers'!$A$4:$C$36,3,FALSE),""))</f>
        <v/>
      </c>
      <c r="AJ203" s="239" t="str">
        <f>IF(S203="","",VLOOKUP(S203,'G-3 Multipliers'!$A$2:$E$130,4,FALSE))</f>
        <v/>
      </c>
      <c r="AK203" s="175" t="str">
        <f t="shared" si="32"/>
        <v/>
      </c>
      <c r="AL203" s="175" t="str">
        <f t="shared" si="33"/>
        <v/>
      </c>
      <c r="AM203" s="176" t="str">
        <f>IFERROR(IF(F203="","",IF(AH203="Check Data","Check Data",VLOOKUP(AL203, 'G-3 Multipliers'!$P$2:$Q$6,2,FALSE))),””)</f>
        <v/>
      </c>
      <c r="AN203" s="266"/>
      <c r="AO203" s="269" t="str">
        <f>IF(AN203="","",IF(VLOOKUP(AN203,'G-3 Multipliers'!$S$3:$T$9,2,FALSE)=0,"Spatial Data Missing",VLOOKUP(AN203,'G-3 Multipliers'!$S$3:$T$9,2,FALSE)))</f>
        <v/>
      </c>
      <c r="AP203" s="207" t="str">
        <f t="shared" si="34"/>
        <v/>
      </c>
      <c r="AQ203" s="336"/>
      <c r="AR203" s="181"/>
    </row>
    <row r="204" spans="1:44" x14ac:dyDescent="0.25">
      <c r="A204" s="35" t="str">
        <f>IF(E204="","",IF(ISNA(VLOOKUP($E204,'D-1 Off Site Habitat Baseline'!$D$1:$O$258,2,FALSE)),"",(VLOOKUP($E204,'D-1 Off Site Habitat Baseline'!$D$1:$O$258,2,FALSE))))</f>
        <v/>
      </c>
      <c r="B204" s="35" t="str">
        <f>IF(E204="","",IF(ISNA(VLOOKUP($E204,'D-1 Off Site Habitat Baseline'!$D$1:$O$258,3,FALSE)),"",(VLOOKUP($E204,'D-1 Off Site Habitat Baseline'!$D$1:$O$258,3,FALSE))))</f>
        <v/>
      </c>
      <c r="C204" s="35" t="str">
        <f>IFERROR(INDEX('G-8 Condition Look up'!$I$4:$I$131,MATCH(S204,'G-8 Condition Look up'!$A$4:$A$131,0)),"")</f>
        <v/>
      </c>
      <c r="E204" s="329" t="str">
        <f>'D-1 Off Site Habitat Baseline'!AL203</f>
        <v/>
      </c>
      <c r="F204" s="175" t="str">
        <f>IF(E204="","",IF(ISNA(VLOOKUP($E204,'D-1 Off Site Habitat Baseline'!$D$1:$O$258,4,FALSE)),"",(VLOOKUP($E204,'D-1 Off Site Habitat Baseline'!$D$1:$O$258,4,FALSE))))</f>
        <v/>
      </c>
      <c r="G204" s="175" t="str">
        <f>IF(E204="","",IF(ISNA(VLOOKUP($E204,'D-1 Off Site Habitat Baseline'!$D$1:$O$258,5,FALSE)),"",(VLOOKUP($E204,'D-1 Off Site Habitat Baseline'!$D$1:$O$258,5,FALSE))))</f>
        <v/>
      </c>
      <c r="H204" s="175" t="str">
        <f>IF(E204="","",IF(ISNA(VLOOKUP($E204,'D-1 Off Site Habitat Baseline'!$D$1:$O$258,6,FALSE)),"",(VLOOKUP($E204,'D-1 Off Site Habitat Baseline'!$D$1:$O$258,6,FALSE))))</f>
        <v/>
      </c>
      <c r="I204" s="175" t="str">
        <f>IF(E204="","",IF(ISNA(VLOOKUP($E204,'D-1 Off Site Habitat Baseline'!$D$1:$O$258,7,FALSE)),"",(VLOOKUP($E204,'D-1 Off Site Habitat Baseline'!$D$1:$O$258,7,FALSE))))</f>
        <v/>
      </c>
      <c r="J204" s="175" t="str">
        <f>IF(E204="","",IF(ISNA(VLOOKUP($E204,'D-1 Off Site Habitat Baseline'!$D$1:$O$258,8,FALSE)),"",(VLOOKUP($E204,'D-1 Off Site Habitat Baseline'!$D$1:$O$258,8,FALSE))))</f>
        <v/>
      </c>
      <c r="K204" s="175" t="str">
        <f>IF(E204="","",IF(ISNA(VLOOKUP($E204,'D-1 Off Site Habitat Baseline'!$D$1:$O$258,9,FALSE)),"",(VLOOKUP($E204,'D-1 Off Site Habitat Baseline'!$D$1:$O$258,9,FALSE))))</f>
        <v/>
      </c>
      <c r="L204" s="175" t="str">
        <f>IF(E204="","",IF(ISNA(VLOOKUP($E204,'D-1 Off Site Habitat Baseline'!$D$1:$O$258,11,FALSE)),"",(VLOOKUP($E204,'D-1 Off Site Habitat Baseline'!$D$1:$O$258,11,FALSE))))</f>
        <v/>
      </c>
      <c r="M204" s="175" t="str">
        <f>IF(E204="","",IF(ISNA(VLOOKUP($E204,'D-1 Off Site Habitat Baseline'!$D$1:$O$258,12,FALSE)),"",(VLOOKUP($E204,'D-1 Off Site Habitat Baseline'!$D$1:$O$258,12,FALSE))))</f>
        <v/>
      </c>
      <c r="N204" s="175" t="str">
        <f>IF(E204="","",IF(ISNA(VLOOKUP($E204,'D-1 Off Site Habitat Baseline'!$D$1:$X$258,14,FALSE)),"",(VLOOKUP($E204,'D-1 Off Site Habitat Baseline'!$D$1:$X$258,14,FALSE))))</f>
        <v/>
      </c>
      <c r="O204" s="176" t="str">
        <f>IF(E204="","",IF(ISNA(VLOOKUP($E204,'D-1 Off Site Habitat Baseline'!$D$1:$X$258,13,FALSE)),"",(VLOOKUP($E204,'D-1 Off Site Habitat Baseline'!$D$1:$X$258,13,FALSE))))</f>
        <v/>
      </c>
      <c r="P204" s="337" t="str">
        <f>IFERROR(INDEX('G-1 All Habitats'!$AG$3:$AG$15,MATCH(Q204,'G-1 All Habitats'!$AF$3:$AF$15,0)),"")</f>
        <v/>
      </c>
      <c r="Q204" s="331" t="str">
        <f t="shared" si="35"/>
        <v/>
      </c>
      <c r="R204" s="332" t="str">
        <f t="shared" si="36"/>
        <v/>
      </c>
      <c r="S204" s="338" t="str">
        <f>IFERROR(INDEX('G-1 All Habitats'!$B$3:$B$130,MATCH(R204,'G-1 All Habitats'!$A$3:$A$130,0)),"")</f>
        <v/>
      </c>
      <c r="T204" s="179" t="str">
        <f t="shared" si="28"/>
        <v/>
      </c>
      <c r="U204" s="172" t="str">
        <f t="shared" si="29"/>
        <v/>
      </c>
      <c r="V204" s="334" t="str">
        <f t="shared" ref="V204:V258" si="37">IF(S204="","",VLOOKUP(E204,BaselineHabOffsite,17,FALSE))</f>
        <v/>
      </c>
      <c r="W204" s="175" t="str">
        <f>IF(S204="","",VLOOKUP(S204,'G-1 All Habitats'!$B$2:$M$130,10,FALSE))</f>
        <v/>
      </c>
      <c r="X204" s="175" t="str">
        <f>IFERROR(VLOOKUP(W204,'G-1 All Habitats'!$V$3:$W$7,2,FALSE),"")</f>
        <v/>
      </c>
      <c r="Y204" s="275"/>
      <c r="Z204" s="176" t="str">
        <f>IFERROR(INDEX('G-8 Condition Look up'!$A$3:$H$131,MATCH(S204,'G-8 Condition Look up'!$A$3:$A$131,0),MATCH(Y204,'G-8 Condition Look up'!$A$3:$H$3,0)),"")</f>
        <v/>
      </c>
      <c r="AA204" s="173"/>
      <c r="AB204" s="269" t="str">
        <f>IF(AA204="","",IF(VLOOKUP(AA204,'G-3 Multipliers'!$L$3:$N$6,2,FALSE)=0,"Spatial Data Missing",VLOOKUP(AA204,'G-3 Multipliers'!$L$3:$N$6,2,FALSE)))</f>
        <v/>
      </c>
      <c r="AC204" s="176" t="str">
        <f>IF(AA204="","",IF(VLOOKUP(AA204,'G-3 Multipliers'!$L$3:$N$6,3,FALSE)=0,"Spatial Data Missing",VLOOKUP(AA204,'G-3 Multipliers'!$L$3:$N$6,3,FALSE)))</f>
        <v/>
      </c>
      <c r="AD204" s="239" t="str">
        <f t="shared" ref="AD204:AD258" si="38">IFERROR(IF(OR(LEFT(U204,5)="Error",LEFT(T204,5)="Error"),"Check Data",INDEX(EnhanceTemporal,MATCH(S204,EnhanceHabitat,0),MATCH(U204,EnhanceCondition,0))),"")</f>
        <v/>
      </c>
      <c r="AE204" s="275"/>
      <c r="AF204" s="275"/>
      <c r="AG204" s="175" t="str">
        <f t="shared" si="30"/>
        <v/>
      </c>
      <c r="AH204" s="242" t="str">
        <f t="shared" si="31"/>
        <v/>
      </c>
      <c r="AI204" s="335" t="str">
        <f>IF(AH204="Check Data","Check Data",IFERROR(VLOOKUP(AH204,'G-4 Temporal multipliers'!$A$4:$C$36,3,FALSE),""))</f>
        <v/>
      </c>
      <c r="AJ204" s="239" t="str">
        <f>IF(S204="","",VLOOKUP(S204,'G-3 Multipliers'!$A$2:$E$130,4,FALSE))</f>
        <v/>
      </c>
      <c r="AK204" s="175" t="str">
        <f t="shared" si="32"/>
        <v/>
      </c>
      <c r="AL204" s="175" t="str">
        <f t="shared" si="33"/>
        <v/>
      </c>
      <c r="AM204" s="176" t="str">
        <f>IFERROR(IF(F204="","",IF(AH204="Check Data","Check Data",VLOOKUP(AL204, 'G-3 Multipliers'!$P$2:$Q$6,2,FALSE))),””)</f>
        <v/>
      </c>
      <c r="AN204" s="266"/>
      <c r="AO204" s="269" t="str">
        <f>IF(AN204="","",IF(VLOOKUP(AN204,'G-3 Multipliers'!$S$3:$T$9,2,FALSE)=0,"Spatial Data Missing",VLOOKUP(AN204,'G-3 Multipliers'!$S$3:$T$9,2,FALSE)))</f>
        <v/>
      </c>
      <c r="AP204" s="207" t="str">
        <f t="shared" si="34"/>
        <v/>
      </c>
      <c r="AQ204" s="336"/>
      <c r="AR204" s="181"/>
    </row>
    <row r="205" spans="1:44" x14ac:dyDescent="0.25">
      <c r="A205" s="35" t="str">
        <f>IF(E205="","",IF(ISNA(VLOOKUP($E205,'D-1 Off Site Habitat Baseline'!$D$1:$O$258,2,FALSE)),"",(VLOOKUP($E205,'D-1 Off Site Habitat Baseline'!$D$1:$O$258,2,FALSE))))</f>
        <v/>
      </c>
      <c r="B205" s="35" t="str">
        <f>IF(E205="","",IF(ISNA(VLOOKUP($E205,'D-1 Off Site Habitat Baseline'!$D$1:$O$258,3,FALSE)),"",(VLOOKUP($E205,'D-1 Off Site Habitat Baseline'!$D$1:$O$258,3,FALSE))))</f>
        <v/>
      </c>
      <c r="C205" s="35" t="str">
        <f>IFERROR(INDEX('G-8 Condition Look up'!$I$4:$I$131,MATCH(S205,'G-8 Condition Look up'!$A$4:$A$131,0)),"")</f>
        <v/>
      </c>
      <c r="E205" s="329" t="str">
        <f>'D-1 Off Site Habitat Baseline'!AL204</f>
        <v/>
      </c>
      <c r="F205" s="175" t="str">
        <f>IF(E205="","",IF(ISNA(VLOOKUP($E205,'D-1 Off Site Habitat Baseline'!$D$1:$O$258,4,FALSE)),"",(VLOOKUP($E205,'D-1 Off Site Habitat Baseline'!$D$1:$O$258,4,FALSE))))</f>
        <v/>
      </c>
      <c r="G205" s="175" t="str">
        <f>IF(E205="","",IF(ISNA(VLOOKUP($E205,'D-1 Off Site Habitat Baseline'!$D$1:$O$258,5,FALSE)),"",(VLOOKUP($E205,'D-1 Off Site Habitat Baseline'!$D$1:$O$258,5,FALSE))))</f>
        <v/>
      </c>
      <c r="H205" s="175" t="str">
        <f>IF(E205="","",IF(ISNA(VLOOKUP($E205,'D-1 Off Site Habitat Baseline'!$D$1:$O$258,6,FALSE)),"",(VLOOKUP($E205,'D-1 Off Site Habitat Baseline'!$D$1:$O$258,6,FALSE))))</f>
        <v/>
      </c>
      <c r="I205" s="175" t="str">
        <f>IF(E205="","",IF(ISNA(VLOOKUP($E205,'D-1 Off Site Habitat Baseline'!$D$1:$O$258,7,FALSE)),"",(VLOOKUP($E205,'D-1 Off Site Habitat Baseline'!$D$1:$O$258,7,FALSE))))</f>
        <v/>
      </c>
      <c r="J205" s="175" t="str">
        <f>IF(E205="","",IF(ISNA(VLOOKUP($E205,'D-1 Off Site Habitat Baseline'!$D$1:$O$258,8,FALSE)),"",(VLOOKUP($E205,'D-1 Off Site Habitat Baseline'!$D$1:$O$258,8,FALSE))))</f>
        <v/>
      </c>
      <c r="K205" s="175" t="str">
        <f>IF(E205="","",IF(ISNA(VLOOKUP($E205,'D-1 Off Site Habitat Baseline'!$D$1:$O$258,9,FALSE)),"",(VLOOKUP($E205,'D-1 Off Site Habitat Baseline'!$D$1:$O$258,9,FALSE))))</f>
        <v/>
      </c>
      <c r="L205" s="175" t="str">
        <f>IF(E205="","",IF(ISNA(VLOOKUP($E205,'D-1 Off Site Habitat Baseline'!$D$1:$O$258,11,FALSE)),"",(VLOOKUP($E205,'D-1 Off Site Habitat Baseline'!$D$1:$O$258,11,FALSE))))</f>
        <v/>
      </c>
      <c r="M205" s="175" t="str">
        <f>IF(E205="","",IF(ISNA(VLOOKUP($E205,'D-1 Off Site Habitat Baseline'!$D$1:$O$258,12,FALSE)),"",(VLOOKUP($E205,'D-1 Off Site Habitat Baseline'!$D$1:$O$258,12,FALSE))))</f>
        <v/>
      </c>
      <c r="N205" s="175" t="str">
        <f>IF(E205="","",IF(ISNA(VLOOKUP($E205,'D-1 Off Site Habitat Baseline'!$D$1:$X$258,14,FALSE)),"",(VLOOKUP($E205,'D-1 Off Site Habitat Baseline'!$D$1:$X$258,14,FALSE))))</f>
        <v/>
      </c>
      <c r="O205" s="176" t="str">
        <f>IF(E205="","",IF(ISNA(VLOOKUP($E205,'D-1 Off Site Habitat Baseline'!$D$1:$X$258,13,FALSE)),"",(VLOOKUP($E205,'D-1 Off Site Habitat Baseline'!$D$1:$X$258,13,FALSE))))</f>
        <v/>
      </c>
      <c r="P205" s="337" t="str">
        <f>IFERROR(INDEX('G-1 All Habitats'!$AG$3:$AG$15,MATCH(Q205,'G-1 All Habitats'!$AF$3:$AF$15,0)),"")</f>
        <v/>
      </c>
      <c r="Q205" s="331" t="str">
        <f t="shared" si="35"/>
        <v/>
      </c>
      <c r="R205" s="332" t="str">
        <f t="shared" si="36"/>
        <v/>
      </c>
      <c r="S205" s="338" t="str">
        <f>IFERROR(INDEX('G-1 All Habitats'!$B$3:$B$130,MATCH(R205,'G-1 All Habitats'!$A$3:$A$130,0)),"")</f>
        <v/>
      </c>
      <c r="T205" s="179" t="str">
        <f t="shared" ref="T205:T258" si="39">IF(E205="","",IF(AND(LEFT(O205,6)="Same d",I205&gt;X205),"Error - Trading rules not satisfied",IF(AND(LEFT(O205,6)="Same b",AND(LEFT(F205,5)&lt;&gt;LEFT(S205,5),I205&gt;X205)),"Error - Trading rules not satisfied",IF(AND(LEFT(O205,6)="Same h",F205&lt;&gt;S205),"Error - Trading rules not satisfied",IF(AND(LEFT(O205,6)="Bespok",F205&lt;&gt;S205),"Error - Trading rules not satisfied",IF(X205&lt;I205,"Error Trading Down",H205&amp;" - "&amp;W205))))))</f>
        <v/>
      </c>
      <c r="U205" s="172" t="str">
        <f t="shared" ref="U205:U258" si="40">IF(F205="","",IF(AND(LEFT(F205,55)&lt;&gt;LEFT(S205,55),T205= "High - High"),"Error - Not like for like",IF(AND(I205=X205,K205&gt;Z205),"Error - Can not reduce condition",IF(AND(I205=X205,K205=Z205),"Error - No enhancement",IF(X205&lt;I205,"Error Trading Down",IF(AND(F205&lt;&gt;S205,I205&lt;X205),"Lower Distinctiveness Habitat"&amp;" - "&amp;Y205,J205&amp;" - "&amp;Y205))))))</f>
        <v/>
      </c>
      <c r="V205" s="334" t="str">
        <f t="shared" si="37"/>
        <v/>
      </c>
      <c r="W205" s="175" t="str">
        <f>IF(S205="","",VLOOKUP(S205,'G-1 All Habitats'!$B$2:$M$130,10,FALSE))</f>
        <v/>
      </c>
      <c r="X205" s="175" t="str">
        <f>IFERROR(VLOOKUP(W205,'G-1 All Habitats'!$V$3:$W$7,2,FALSE),"")</f>
        <v/>
      </c>
      <c r="Y205" s="275"/>
      <c r="Z205" s="176" t="str">
        <f>IFERROR(INDEX('G-8 Condition Look up'!$A$3:$H$131,MATCH(S205,'G-8 Condition Look up'!$A$3:$A$131,0),MATCH(Y205,'G-8 Condition Look up'!$A$3:$H$3,0)),"")</f>
        <v/>
      </c>
      <c r="AA205" s="173"/>
      <c r="AB205" s="269" t="str">
        <f>IF(AA205="","",IF(VLOOKUP(AA205,'G-3 Multipliers'!$L$3:$N$6,2,FALSE)=0,"Spatial Data Missing",VLOOKUP(AA205,'G-3 Multipliers'!$L$3:$N$6,2,FALSE)))</f>
        <v/>
      </c>
      <c r="AC205" s="176" t="str">
        <f>IF(AA205="","",IF(VLOOKUP(AA205,'G-3 Multipliers'!$L$3:$N$6,3,FALSE)=0,"Spatial Data Missing",VLOOKUP(AA205,'G-3 Multipliers'!$L$3:$N$6,3,FALSE)))</f>
        <v/>
      </c>
      <c r="AD205" s="239" t="str">
        <f t="shared" si="38"/>
        <v/>
      </c>
      <c r="AE205" s="275"/>
      <c r="AF205" s="275"/>
      <c r="AG205" s="175" t="str">
        <f t="shared" ref="AG205:AG258" si="41">IF(AD205="","",IF(AD205="Check Data","Check Data",IF(R205="","",IF(AND(AE205&gt;0,AF205&gt;0),"Error -both advance and delayed habitat creation",IF(AND(OR(AE205="Habitat already in target condition",AD205&lt;=AE205),AF205=0),"Check details - Is there evidence that habitat has reached target condition?",IF(O204="","",IF(AE205&gt;0,"Check details - Is there evidence habitat creation started/in place?",IF(AF205&gt;0,"Check details- Delay in starting habitat in required condition?","Standard time to target condition applied"))))))))</f>
        <v/>
      </c>
      <c r="AH205" s="242" t="str">
        <f t="shared" ref="AH205:AH258" si="42">IF(LEFT(AG205,5)="Error","Check Data",IF(AG205="Check Data","Check Data",IF(AD205="","",IF(AD205="Not Possible","CheckData",IF(AND(AD205="30+",AE205=0),"30+",IF(AND(AD205="30+",AE205="30+"),0,IF(AND(AD205="30+",AE205&lt;30),30-AE205,IF(AD205="30+",30-AE205,IF(AF205="30+","30+",IF(AE205&gt;AD205,0,IF(AD205+AF205&gt;30,"30+",IF(AD205+AF205&gt;30,"30+",IF(AD205-AE205&gt;30,"30+",IF(AD205+AF205-AE205&gt;0,AD205+AF205-AE205,IF(AD205-AE205&gt;0,AD205-AE205,AD205+AF205-AE205)))))))))))))))</f>
        <v/>
      </c>
      <c r="AI205" s="335" t="str">
        <f>IF(AH205="Check Data","Check Data",IFERROR(VLOOKUP(AH205,'G-4 Temporal multipliers'!$A$4:$C$36,3,FALSE),""))</f>
        <v/>
      </c>
      <c r="AJ205" s="239" t="str">
        <f>IF(S205="","",VLOOKUP(S205,'G-3 Multipliers'!$A$2:$E$130,4,FALSE))</f>
        <v/>
      </c>
      <c r="AK205" s="175" t="str">
        <f t="shared" ref="AK205:AK258" si="43">IF(E205="","",IF(AG205="Check details - Is there evidence that habitat has reached target condition?","Low Difficulty - only applicable if all habitat created before losses","Standard difficulty applied"))</f>
        <v/>
      </c>
      <c r="AL205" s="175" t="str">
        <f t="shared" ref="AL205:AL258" si="44">(IF(AND(AK205="Standard difficulty applied",AD205&gt;AE205),AJ205,IF(AND(AK205="Low Difficulty - only applicable if all habitat created before losses",AE205&gt;=AD205),"Low", AJ205)))</f>
        <v/>
      </c>
      <c r="AM205" s="176" t="str">
        <f>IFERROR(IF(F205="","",IF(AH205="Check Data","Check Data",VLOOKUP(AL205, 'G-3 Multipliers'!$P$2:$Q$6,2,FALSE))),””)</f>
        <v/>
      </c>
      <c r="AN205" s="266"/>
      <c r="AO205" s="269" t="str">
        <f>IF(AN205="","",IF(VLOOKUP(AN205,'G-3 Multipliers'!$S$3:$T$9,2,FALSE)=0,"Spatial Data Missing",VLOOKUP(AN205,'G-3 Multipliers'!$S$3:$T$9,2,FALSE)))</f>
        <v/>
      </c>
      <c r="AP205" s="207" t="str">
        <f t="shared" ref="AP205:AP258" si="45">IFERROR(((((V205*X205*Z205)-(V205*I205*K205))*(AM205*AI205))+(V205*I205*K205))*(AC205)*AO205,"")</f>
        <v/>
      </c>
      <c r="AQ205" s="336"/>
      <c r="AR205" s="181"/>
    </row>
    <row r="206" spans="1:44" x14ac:dyDescent="0.25">
      <c r="A206" s="35" t="str">
        <f>IF(E206="","",IF(ISNA(VLOOKUP($E206,'D-1 Off Site Habitat Baseline'!$D$1:$O$258,2,FALSE)),"",(VLOOKUP($E206,'D-1 Off Site Habitat Baseline'!$D$1:$O$258,2,FALSE))))</f>
        <v/>
      </c>
      <c r="B206" s="35" t="str">
        <f>IF(E206="","",IF(ISNA(VLOOKUP($E206,'D-1 Off Site Habitat Baseline'!$D$1:$O$258,3,FALSE)),"",(VLOOKUP($E206,'D-1 Off Site Habitat Baseline'!$D$1:$O$258,3,FALSE))))</f>
        <v/>
      </c>
      <c r="C206" s="35" t="str">
        <f>IFERROR(INDEX('G-8 Condition Look up'!$I$4:$I$131,MATCH(S206,'G-8 Condition Look up'!$A$4:$A$131,0)),"")</f>
        <v/>
      </c>
      <c r="E206" s="329" t="str">
        <f>'D-1 Off Site Habitat Baseline'!AL205</f>
        <v/>
      </c>
      <c r="F206" s="175" t="str">
        <f>IF(E206="","",IF(ISNA(VLOOKUP($E206,'D-1 Off Site Habitat Baseline'!$D$1:$O$258,4,FALSE)),"",(VLOOKUP($E206,'D-1 Off Site Habitat Baseline'!$D$1:$O$258,4,FALSE))))</f>
        <v/>
      </c>
      <c r="G206" s="175" t="str">
        <f>IF(E206="","",IF(ISNA(VLOOKUP($E206,'D-1 Off Site Habitat Baseline'!$D$1:$O$258,5,FALSE)),"",(VLOOKUP($E206,'D-1 Off Site Habitat Baseline'!$D$1:$O$258,5,FALSE))))</f>
        <v/>
      </c>
      <c r="H206" s="175" t="str">
        <f>IF(E206="","",IF(ISNA(VLOOKUP($E206,'D-1 Off Site Habitat Baseline'!$D$1:$O$258,6,FALSE)),"",(VLOOKUP($E206,'D-1 Off Site Habitat Baseline'!$D$1:$O$258,6,FALSE))))</f>
        <v/>
      </c>
      <c r="I206" s="175" t="str">
        <f>IF(E206="","",IF(ISNA(VLOOKUP($E206,'D-1 Off Site Habitat Baseline'!$D$1:$O$258,7,FALSE)),"",(VLOOKUP($E206,'D-1 Off Site Habitat Baseline'!$D$1:$O$258,7,FALSE))))</f>
        <v/>
      </c>
      <c r="J206" s="175" t="str">
        <f>IF(E206="","",IF(ISNA(VLOOKUP($E206,'D-1 Off Site Habitat Baseline'!$D$1:$O$258,8,FALSE)),"",(VLOOKUP($E206,'D-1 Off Site Habitat Baseline'!$D$1:$O$258,8,FALSE))))</f>
        <v/>
      </c>
      <c r="K206" s="175" t="str">
        <f>IF(E206="","",IF(ISNA(VLOOKUP($E206,'D-1 Off Site Habitat Baseline'!$D$1:$O$258,9,FALSE)),"",(VLOOKUP($E206,'D-1 Off Site Habitat Baseline'!$D$1:$O$258,9,FALSE))))</f>
        <v/>
      </c>
      <c r="L206" s="175" t="str">
        <f>IF(E206="","",IF(ISNA(VLOOKUP($E206,'D-1 Off Site Habitat Baseline'!$D$1:$O$258,11,FALSE)),"",(VLOOKUP($E206,'D-1 Off Site Habitat Baseline'!$D$1:$O$258,11,FALSE))))</f>
        <v/>
      </c>
      <c r="M206" s="175" t="str">
        <f>IF(E206="","",IF(ISNA(VLOOKUP($E206,'D-1 Off Site Habitat Baseline'!$D$1:$O$258,12,FALSE)),"",(VLOOKUP($E206,'D-1 Off Site Habitat Baseline'!$D$1:$O$258,12,FALSE))))</f>
        <v/>
      </c>
      <c r="N206" s="175" t="str">
        <f>IF(E206="","",IF(ISNA(VLOOKUP($E206,'D-1 Off Site Habitat Baseline'!$D$1:$X$258,14,FALSE)),"",(VLOOKUP($E206,'D-1 Off Site Habitat Baseline'!$D$1:$X$258,14,FALSE))))</f>
        <v/>
      </c>
      <c r="O206" s="176" t="str">
        <f>IF(E206="","",IF(ISNA(VLOOKUP($E206,'D-1 Off Site Habitat Baseline'!$D$1:$X$258,13,FALSE)),"",(VLOOKUP($E206,'D-1 Off Site Habitat Baseline'!$D$1:$X$258,13,FALSE))))</f>
        <v/>
      </c>
      <c r="P206" s="337" t="str">
        <f>IFERROR(INDEX('G-1 All Habitats'!$AG$3:$AG$15,MATCH(Q206,'G-1 All Habitats'!$AF$3:$AF$15,0)),"")</f>
        <v/>
      </c>
      <c r="Q206" s="331" t="str">
        <f t="shared" si="35"/>
        <v/>
      </c>
      <c r="R206" s="332" t="str">
        <f t="shared" si="36"/>
        <v/>
      </c>
      <c r="S206" s="338" t="str">
        <f>IFERROR(INDEX('G-1 All Habitats'!$B$3:$B$130,MATCH(R206,'G-1 All Habitats'!$A$3:$A$130,0)),"")</f>
        <v/>
      </c>
      <c r="T206" s="179" t="str">
        <f t="shared" si="39"/>
        <v/>
      </c>
      <c r="U206" s="172" t="str">
        <f t="shared" si="40"/>
        <v/>
      </c>
      <c r="V206" s="334" t="str">
        <f t="shared" si="37"/>
        <v/>
      </c>
      <c r="W206" s="175" t="str">
        <f>IF(S206="","",VLOOKUP(S206,'G-1 All Habitats'!$B$2:$M$130,10,FALSE))</f>
        <v/>
      </c>
      <c r="X206" s="175" t="str">
        <f>IFERROR(VLOOKUP(W206,'G-1 All Habitats'!$V$3:$W$7,2,FALSE),"")</f>
        <v/>
      </c>
      <c r="Y206" s="275"/>
      <c r="Z206" s="176" t="str">
        <f>IFERROR(INDEX('G-8 Condition Look up'!$A$3:$H$131,MATCH(S206,'G-8 Condition Look up'!$A$3:$A$131,0),MATCH(Y206,'G-8 Condition Look up'!$A$3:$H$3,0)),"")</f>
        <v/>
      </c>
      <c r="AA206" s="173"/>
      <c r="AB206" s="269" t="str">
        <f>IF(AA206="","",IF(VLOOKUP(AA206,'G-3 Multipliers'!$L$3:$N$6,2,FALSE)=0,"Spatial Data Missing",VLOOKUP(AA206,'G-3 Multipliers'!$L$3:$N$6,2,FALSE)))</f>
        <v/>
      </c>
      <c r="AC206" s="176" t="str">
        <f>IF(AA206="","",IF(VLOOKUP(AA206,'G-3 Multipliers'!$L$3:$N$6,3,FALSE)=0,"Spatial Data Missing",VLOOKUP(AA206,'G-3 Multipliers'!$L$3:$N$6,3,FALSE)))</f>
        <v/>
      </c>
      <c r="AD206" s="239" t="str">
        <f t="shared" si="38"/>
        <v/>
      </c>
      <c r="AE206" s="275"/>
      <c r="AF206" s="275"/>
      <c r="AG206" s="175" t="str">
        <f t="shared" si="41"/>
        <v/>
      </c>
      <c r="AH206" s="242" t="str">
        <f t="shared" si="42"/>
        <v/>
      </c>
      <c r="AI206" s="335" t="str">
        <f>IF(AH206="Check Data","Check Data",IFERROR(VLOOKUP(AH206,'G-4 Temporal multipliers'!$A$4:$C$36,3,FALSE),""))</f>
        <v/>
      </c>
      <c r="AJ206" s="239" t="str">
        <f>IF(S206="","",VLOOKUP(S206,'G-3 Multipliers'!$A$2:$E$130,4,FALSE))</f>
        <v/>
      </c>
      <c r="AK206" s="175" t="str">
        <f t="shared" si="43"/>
        <v/>
      </c>
      <c r="AL206" s="175" t="str">
        <f t="shared" si="44"/>
        <v/>
      </c>
      <c r="AM206" s="176" t="str">
        <f>IFERROR(IF(F206="","",IF(AH206="Check Data","Check Data",VLOOKUP(AL206, 'G-3 Multipliers'!$P$2:$Q$6,2,FALSE))),””)</f>
        <v/>
      </c>
      <c r="AN206" s="266"/>
      <c r="AO206" s="269" t="str">
        <f>IF(AN206="","",IF(VLOOKUP(AN206,'G-3 Multipliers'!$S$3:$T$9,2,FALSE)=0,"Spatial Data Missing",VLOOKUP(AN206,'G-3 Multipliers'!$S$3:$T$9,2,FALSE)))</f>
        <v/>
      </c>
      <c r="AP206" s="207" t="str">
        <f t="shared" si="45"/>
        <v/>
      </c>
      <c r="AQ206" s="336"/>
      <c r="AR206" s="181"/>
    </row>
    <row r="207" spans="1:44" x14ac:dyDescent="0.25">
      <c r="A207" s="35" t="str">
        <f>IF(E207="","",IF(ISNA(VLOOKUP($E207,'D-1 Off Site Habitat Baseline'!$D$1:$O$258,2,FALSE)),"",(VLOOKUP($E207,'D-1 Off Site Habitat Baseline'!$D$1:$O$258,2,FALSE))))</f>
        <v/>
      </c>
      <c r="B207" s="35" t="str">
        <f>IF(E207="","",IF(ISNA(VLOOKUP($E207,'D-1 Off Site Habitat Baseline'!$D$1:$O$258,3,FALSE)),"",(VLOOKUP($E207,'D-1 Off Site Habitat Baseline'!$D$1:$O$258,3,FALSE))))</f>
        <v/>
      </c>
      <c r="C207" s="35" t="str">
        <f>IFERROR(INDEX('G-8 Condition Look up'!$I$4:$I$131,MATCH(S207,'G-8 Condition Look up'!$A$4:$A$131,0)),"")</f>
        <v/>
      </c>
      <c r="E207" s="329" t="str">
        <f>'D-1 Off Site Habitat Baseline'!AL206</f>
        <v/>
      </c>
      <c r="F207" s="175" t="str">
        <f>IF(E207="","",IF(ISNA(VLOOKUP($E207,'D-1 Off Site Habitat Baseline'!$D$1:$O$258,4,FALSE)),"",(VLOOKUP($E207,'D-1 Off Site Habitat Baseline'!$D$1:$O$258,4,FALSE))))</f>
        <v/>
      </c>
      <c r="G207" s="175" t="str">
        <f>IF(E207="","",IF(ISNA(VLOOKUP($E207,'D-1 Off Site Habitat Baseline'!$D$1:$O$258,5,FALSE)),"",(VLOOKUP($E207,'D-1 Off Site Habitat Baseline'!$D$1:$O$258,5,FALSE))))</f>
        <v/>
      </c>
      <c r="H207" s="175" t="str">
        <f>IF(E207="","",IF(ISNA(VLOOKUP($E207,'D-1 Off Site Habitat Baseline'!$D$1:$O$258,6,FALSE)),"",(VLOOKUP($E207,'D-1 Off Site Habitat Baseline'!$D$1:$O$258,6,FALSE))))</f>
        <v/>
      </c>
      <c r="I207" s="175" t="str">
        <f>IF(E207="","",IF(ISNA(VLOOKUP($E207,'D-1 Off Site Habitat Baseline'!$D$1:$O$258,7,FALSE)),"",(VLOOKUP($E207,'D-1 Off Site Habitat Baseline'!$D$1:$O$258,7,FALSE))))</f>
        <v/>
      </c>
      <c r="J207" s="175" t="str">
        <f>IF(E207="","",IF(ISNA(VLOOKUP($E207,'D-1 Off Site Habitat Baseline'!$D$1:$O$258,8,FALSE)),"",(VLOOKUP($E207,'D-1 Off Site Habitat Baseline'!$D$1:$O$258,8,FALSE))))</f>
        <v/>
      </c>
      <c r="K207" s="175" t="str">
        <f>IF(E207="","",IF(ISNA(VLOOKUP($E207,'D-1 Off Site Habitat Baseline'!$D$1:$O$258,9,FALSE)),"",(VLOOKUP($E207,'D-1 Off Site Habitat Baseline'!$D$1:$O$258,9,FALSE))))</f>
        <v/>
      </c>
      <c r="L207" s="175" t="str">
        <f>IF(E207="","",IF(ISNA(VLOOKUP($E207,'D-1 Off Site Habitat Baseline'!$D$1:$O$258,11,FALSE)),"",(VLOOKUP($E207,'D-1 Off Site Habitat Baseline'!$D$1:$O$258,11,FALSE))))</f>
        <v/>
      </c>
      <c r="M207" s="175" t="str">
        <f>IF(E207="","",IF(ISNA(VLOOKUP($E207,'D-1 Off Site Habitat Baseline'!$D$1:$O$258,12,FALSE)),"",(VLOOKUP($E207,'D-1 Off Site Habitat Baseline'!$D$1:$O$258,12,FALSE))))</f>
        <v/>
      </c>
      <c r="N207" s="175" t="str">
        <f>IF(E207="","",IF(ISNA(VLOOKUP($E207,'D-1 Off Site Habitat Baseline'!$D$1:$X$258,14,FALSE)),"",(VLOOKUP($E207,'D-1 Off Site Habitat Baseline'!$D$1:$X$258,14,FALSE))))</f>
        <v/>
      </c>
      <c r="O207" s="176" t="str">
        <f>IF(E207="","",IF(ISNA(VLOOKUP($E207,'D-1 Off Site Habitat Baseline'!$D$1:$X$258,13,FALSE)),"",(VLOOKUP($E207,'D-1 Off Site Habitat Baseline'!$D$1:$X$258,13,FALSE))))</f>
        <v/>
      </c>
      <c r="P207" s="337" t="str">
        <f>IFERROR(INDEX('G-1 All Habitats'!$AG$3:$AG$15,MATCH(Q207,'G-1 All Habitats'!$AF$3:$AF$15,0)),"")</f>
        <v/>
      </c>
      <c r="Q207" s="331" t="str">
        <f t="shared" ref="Q207:Q258" si="46">A207</f>
        <v/>
      </c>
      <c r="R207" s="332" t="str">
        <f t="shared" ref="R207:R258" si="47">B207</f>
        <v/>
      </c>
      <c r="S207" s="338" t="str">
        <f>IFERROR(INDEX('G-1 All Habitats'!$B$3:$B$130,MATCH(R207,'G-1 All Habitats'!$A$3:$A$130,0)),"")</f>
        <v/>
      </c>
      <c r="T207" s="179" t="str">
        <f t="shared" si="39"/>
        <v/>
      </c>
      <c r="U207" s="172" t="str">
        <f t="shared" si="40"/>
        <v/>
      </c>
      <c r="V207" s="334" t="str">
        <f t="shared" si="37"/>
        <v/>
      </c>
      <c r="W207" s="175" t="str">
        <f>IF(S207="","",VLOOKUP(S207,'G-1 All Habitats'!$B$2:$M$130,10,FALSE))</f>
        <v/>
      </c>
      <c r="X207" s="175" t="str">
        <f>IFERROR(VLOOKUP(W207,'G-1 All Habitats'!$V$3:$W$7,2,FALSE),"")</f>
        <v/>
      </c>
      <c r="Y207" s="275"/>
      <c r="Z207" s="176" t="str">
        <f>IFERROR(INDEX('G-8 Condition Look up'!$A$3:$H$131,MATCH(S207,'G-8 Condition Look up'!$A$3:$A$131,0),MATCH(Y207,'G-8 Condition Look up'!$A$3:$H$3,0)),"")</f>
        <v/>
      </c>
      <c r="AA207" s="173"/>
      <c r="AB207" s="269" t="str">
        <f>IF(AA207="","",IF(VLOOKUP(AA207,'G-3 Multipliers'!$L$3:$N$6,2,FALSE)=0,"Spatial Data Missing",VLOOKUP(AA207,'G-3 Multipliers'!$L$3:$N$6,2,FALSE)))</f>
        <v/>
      </c>
      <c r="AC207" s="176" t="str">
        <f>IF(AA207="","",IF(VLOOKUP(AA207,'G-3 Multipliers'!$L$3:$N$6,3,FALSE)=0,"Spatial Data Missing",VLOOKUP(AA207,'G-3 Multipliers'!$L$3:$N$6,3,FALSE)))</f>
        <v/>
      </c>
      <c r="AD207" s="239" t="str">
        <f t="shared" si="38"/>
        <v/>
      </c>
      <c r="AE207" s="275"/>
      <c r="AF207" s="275"/>
      <c r="AG207" s="175" t="str">
        <f t="shared" si="41"/>
        <v/>
      </c>
      <c r="AH207" s="242" t="str">
        <f t="shared" si="42"/>
        <v/>
      </c>
      <c r="AI207" s="335" t="str">
        <f>IF(AH207="Check Data","Check Data",IFERROR(VLOOKUP(AH207,'G-4 Temporal multipliers'!$A$4:$C$36,3,FALSE),""))</f>
        <v/>
      </c>
      <c r="AJ207" s="239" t="str">
        <f>IF(S207="","",VLOOKUP(S207,'G-3 Multipliers'!$A$2:$E$130,4,FALSE))</f>
        <v/>
      </c>
      <c r="AK207" s="175" t="str">
        <f t="shared" si="43"/>
        <v/>
      </c>
      <c r="AL207" s="175" t="str">
        <f t="shared" si="44"/>
        <v/>
      </c>
      <c r="AM207" s="176" t="str">
        <f>IFERROR(IF(F207="","",IF(AH207="Check Data","Check Data",VLOOKUP(AL207, 'G-3 Multipliers'!$P$2:$Q$6,2,FALSE))),””)</f>
        <v/>
      </c>
      <c r="AN207" s="266"/>
      <c r="AO207" s="269" t="str">
        <f>IF(AN207="","",IF(VLOOKUP(AN207,'G-3 Multipliers'!$S$3:$T$9,2,FALSE)=0,"Spatial Data Missing",VLOOKUP(AN207,'G-3 Multipliers'!$S$3:$T$9,2,FALSE)))</f>
        <v/>
      </c>
      <c r="AP207" s="207" t="str">
        <f t="shared" si="45"/>
        <v/>
      </c>
      <c r="AQ207" s="336"/>
      <c r="AR207" s="181"/>
    </row>
    <row r="208" spans="1:44" x14ac:dyDescent="0.25">
      <c r="A208" s="35" t="str">
        <f>IF(E208="","",IF(ISNA(VLOOKUP($E208,'D-1 Off Site Habitat Baseline'!$D$1:$O$258,2,FALSE)),"",(VLOOKUP($E208,'D-1 Off Site Habitat Baseline'!$D$1:$O$258,2,FALSE))))</f>
        <v/>
      </c>
      <c r="B208" s="35" t="str">
        <f>IF(E208="","",IF(ISNA(VLOOKUP($E208,'D-1 Off Site Habitat Baseline'!$D$1:$O$258,3,FALSE)),"",(VLOOKUP($E208,'D-1 Off Site Habitat Baseline'!$D$1:$O$258,3,FALSE))))</f>
        <v/>
      </c>
      <c r="C208" s="35" t="str">
        <f>IFERROR(INDEX('G-8 Condition Look up'!$I$4:$I$131,MATCH(S208,'G-8 Condition Look up'!$A$4:$A$131,0)),"")</f>
        <v/>
      </c>
      <c r="E208" s="329" t="str">
        <f>'D-1 Off Site Habitat Baseline'!AL207</f>
        <v/>
      </c>
      <c r="F208" s="175" t="str">
        <f>IF(E208="","",IF(ISNA(VLOOKUP($E208,'D-1 Off Site Habitat Baseline'!$D$1:$O$258,4,FALSE)),"",(VLOOKUP($E208,'D-1 Off Site Habitat Baseline'!$D$1:$O$258,4,FALSE))))</f>
        <v/>
      </c>
      <c r="G208" s="175" t="str">
        <f>IF(E208="","",IF(ISNA(VLOOKUP($E208,'D-1 Off Site Habitat Baseline'!$D$1:$O$258,5,FALSE)),"",(VLOOKUP($E208,'D-1 Off Site Habitat Baseline'!$D$1:$O$258,5,FALSE))))</f>
        <v/>
      </c>
      <c r="H208" s="175" t="str">
        <f>IF(E208="","",IF(ISNA(VLOOKUP($E208,'D-1 Off Site Habitat Baseline'!$D$1:$O$258,6,FALSE)),"",(VLOOKUP($E208,'D-1 Off Site Habitat Baseline'!$D$1:$O$258,6,FALSE))))</f>
        <v/>
      </c>
      <c r="I208" s="175" t="str">
        <f>IF(E208="","",IF(ISNA(VLOOKUP($E208,'D-1 Off Site Habitat Baseline'!$D$1:$O$258,7,FALSE)),"",(VLOOKUP($E208,'D-1 Off Site Habitat Baseline'!$D$1:$O$258,7,FALSE))))</f>
        <v/>
      </c>
      <c r="J208" s="175" t="str">
        <f>IF(E208="","",IF(ISNA(VLOOKUP($E208,'D-1 Off Site Habitat Baseline'!$D$1:$O$258,8,FALSE)),"",(VLOOKUP($E208,'D-1 Off Site Habitat Baseline'!$D$1:$O$258,8,FALSE))))</f>
        <v/>
      </c>
      <c r="K208" s="175" t="str">
        <f>IF(E208="","",IF(ISNA(VLOOKUP($E208,'D-1 Off Site Habitat Baseline'!$D$1:$O$258,9,FALSE)),"",(VLOOKUP($E208,'D-1 Off Site Habitat Baseline'!$D$1:$O$258,9,FALSE))))</f>
        <v/>
      </c>
      <c r="L208" s="175" t="str">
        <f>IF(E208="","",IF(ISNA(VLOOKUP($E208,'D-1 Off Site Habitat Baseline'!$D$1:$O$258,11,FALSE)),"",(VLOOKUP($E208,'D-1 Off Site Habitat Baseline'!$D$1:$O$258,11,FALSE))))</f>
        <v/>
      </c>
      <c r="M208" s="175" t="str">
        <f>IF(E208="","",IF(ISNA(VLOOKUP($E208,'D-1 Off Site Habitat Baseline'!$D$1:$O$258,12,FALSE)),"",(VLOOKUP($E208,'D-1 Off Site Habitat Baseline'!$D$1:$O$258,12,FALSE))))</f>
        <v/>
      </c>
      <c r="N208" s="175" t="str">
        <f>IF(E208="","",IF(ISNA(VLOOKUP($E208,'D-1 Off Site Habitat Baseline'!$D$1:$X$258,14,FALSE)),"",(VLOOKUP($E208,'D-1 Off Site Habitat Baseline'!$D$1:$X$258,14,FALSE))))</f>
        <v/>
      </c>
      <c r="O208" s="176" t="str">
        <f>IF(E208="","",IF(ISNA(VLOOKUP($E208,'D-1 Off Site Habitat Baseline'!$D$1:$X$258,13,FALSE)),"",(VLOOKUP($E208,'D-1 Off Site Habitat Baseline'!$D$1:$X$258,13,FALSE))))</f>
        <v/>
      </c>
      <c r="P208" s="337" t="str">
        <f>IFERROR(INDEX('G-1 All Habitats'!$AG$3:$AG$15,MATCH(Q208,'G-1 All Habitats'!$AF$3:$AF$15,0)),"")</f>
        <v/>
      </c>
      <c r="Q208" s="331" t="str">
        <f t="shared" si="46"/>
        <v/>
      </c>
      <c r="R208" s="332" t="str">
        <f t="shared" si="47"/>
        <v/>
      </c>
      <c r="S208" s="338" t="str">
        <f>IFERROR(INDEX('G-1 All Habitats'!$B$3:$B$130,MATCH(R208,'G-1 All Habitats'!$A$3:$A$130,0)),"")</f>
        <v/>
      </c>
      <c r="T208" s="179" t="str">
        <f t="shared" si="39"/>
        <v/>
      </c>
      <c r="U208" s="172" t="str">
        <f t="shared" si="40"/>
        <v/>
      </c>
      <c r="V208" s="334" t="str">
        <f t="shared" si="37"/>
        <v/>
      </c>
      <c r="W208" s="175" t="str">
        <f>IF(S208="","",VLOOKUP(S208,'G-1 All Habitats'!$B$2:$M$130,10,FALSE))</f>
        <v/>
      </c>
      <c r="X208" s="175" t="str">
        <f>IFERROR(VLOOKUP(W208,'G-1 All Habitats'!$V$3:$W$7,2,FALSE),"")</f>
        <v/>
      </c>
      <c r="Y208" s="275"/>
      <c r="Z208" s="176" t="str">
        <f>IFERROR(INDEX('G-8 Condition Look up'!$A$3:$H$131,MATCH(S208,'G-8 Condition Look up'!$A$3:$A$131,0),MATCH(Y208,'G-8 Condition Look up'!$A$3:$H$3,0)),"")</f>
        <v/>
      </c>
      <c r="AA208" s="173"/>
      <c r="AB208" s="269" t="str">
        <f>IF(AA208="","",IF(VLOOKUP(AA208,'G-3 Multipliers'!$L$3:$N$6,2,FALSE)=0,"Spatial Data Missing",VLOOKUP(AA208,'G-3 Multipliers'!$L$3:$N$6,2,FALSE)))</f>
        <v/>
      </c>
      <c r="AC208" s="176" t="str">
        <f>IF(AA208="","",IF(VLOOKUP(AA208,'G-3 Multipliers'!$L$3:$N$6,3,FALSE)=0,"Spatial Data Missing",VLOOKUP(AA208,'G-3 Multipliers'!$L$3:$N$6,3,FALSE)))</f>
        <v/>
      </c>
      <c r="AD208" s="239" t="str">
        <f t="shared" si="38"/>
        <v/>
      </c>
      <c r="AE208" s="275"/>
      <c r="AF208" s="275"/>
      <c r="AG208" s="175" t="str">
        <f t="shared" si="41"/>
        <v/>
      </c>
      <c r="AH208" s="242" t="str">
        <f t="shared" si="42"/>
        <v/>
      </c>
      <c r="AI208" s="335" t="str">
        <f>IF(AH208="Check Data","Check Data",IFERROR(VLOOKUP(AH208,'G-4 Temporal multipliers'!$A$4:$C$36,3,FALSE),""))</f>
        <v/>
      </c>
      <c r="AJ208" s="239" t="str">
        <f>IF(S208="","",VLOOKUP(S208,'G-3 Multipliers'!$A$2:$E$130,4,FALSE))</f>
        <v/>
      </c>
      <c r="AK208" s="175" t="str">
        <f t="shared" si="43"/>
        <v/>
      </c>
      <c r="AL208" s="175" t="str">
        <f t="shared" si="44"/>
        <v/>
      </c>
      <c r="AM208" s="176" t="str">
        <f>IFERROR(IF(F208="","",IF(AH208="Check Data","Check Data",VLOOKUP(AL208, 'G-3 Multipliers'!$P$2:$Q$6,2,FALSE))),””)</f>
        <v/>
      </c>
      <c r="AN208" s="266"/>
      <c r="AO208" s="269" t="str">
        <f>IF(AN208="","",IF(VLOOKUP(AN208,'G-3 Multipliers'!$S$3:$T$9,2,FALSE)=0,"Spatial Data Missing",VLOOKUP(AN208,'G-3 Multipliers'!$S$3:$T$9,2,FALSE)))</f>
        <v/>
      </c>
      <c r="AP208" s="207" t="str">
        <f t="shared" si="45"/>
        <v/>
      </c>
      <c r="AQ208" s="336"/>
      <c r="AR208" s="181"/>
    </row>
    <row r="209" spans="1:44" x14ac:dyDescent="0.25">
      <c r="A209" s="35" t="str">
        <f>IF(E209="","",IF(ISNA(VLOOKUP($E209,'D-1 Off Site Habitat Baseline'!$D$1:$O$258,2,FALSE)),"",(VLOOKUP($E209,'D-1 Off Site Habitat Baseline'!$D$1:$O$258,2,FALSE))))</f>
        <v/>
      </c>
      <c r="B209" s="35" t="str">
        <f>IF(E209="","",IF(ISNA(VLOOKUP($E209,'D-1 Off Site Habitat Baseline'!$D$1:$O$258,3,FALSE)),"",(VLOOKUP($E209,'D-1 Off Site Habitat Baseline'!$D$1:$O$258,3,FALSE))))</f>
        <v/>
      </c>
      <c r="C209" s="35" t="str">
        <f>IFERROR(INDEX('G-8 Condition Look up'!$I$4:$I$131,MATCH(S209,'G-8 Condition Look up'!$A$4:$A$131,0)),"")</f>
        <v/>
      </c>
      <c r="E209" s="329" t="str">
        <f>'D-1 Off Site Habitat Baseline'!AL208</f>
        <v/>
      </c>
      <c r="F209" s="175" t="str">
        <f>IF(E209="","",IF(ISNA(VLOOKUP($E209,'D-1 Off Site Habitat Baseline'!$D$1:$O$258,4,FALSE)),"",(VLOOKUP($E209,'D-1 Off Site Habitat Baseline'!$D$1:$O$258,4,FALSE))))</f>
        <v/>
      </c>
      <c r="G209" s="175" t="str">
        <f>IF(E209="","",IF(ISNA(VLOOKUP($E209,'D-1 Off Site Habitat Baseline'!$D$1:$O$258,5,FALSE)),"",(VLOOKUP($E209,'D-1 Off Site Habitat Baseline'!$D$1:$O$258,5,FALSE))))</f>
        <v/>
      </c>
      <c r="H209" s="175" t="str">
        <f>IF(E209="","",IF(ISNA(VLOOKUP($E209,'D-1 Off Site Habitat Baseline'!$D$1:$O$258,6,FALSE)),"",(VLOOKUP($E209,'D-1 Off Site Habitat Baseline'!$D$1:$O$258,6,FALSE))))</f>
        <v/>
      </c>
      <c r="I209" s="175" t="str">
        <f>IF(E209="","",IF(ISNA(VLOOKUP($E209,'D-1 Off Site Habitat Baseline'!$D$1:$O$258,7,FALSE)),"",(VLOOKUP($E209,'D-1 Off Site Habitat Baseline'!$D$1:$O$258,7,FALSE))))</f>
        <v/>
      </c>
      <c r="J209" s="175" t="str">
        <f>IF(E209="","",IF(ISNA(VLOOKUP($E209,'D-1 Off Site Habitat Baseline'!$D$1:$O$258,8,FALSE)),"",(VLOOKUP($E209,'D-1 Off Site Habitat Baseline'!$D$1:$O$258,8,FALSE))))</f>
        <v/>
      </c>
      <c r="K209" s="175" t="str">
        <f>IF(E209="","",IF(ISNA(VLOOKUP($E209,'D-1 Off Site Habitat Baseline'!$D$1:$O$258,9,FALSE)),"",(VLOOKUP($E209,'D-1 Off Site Habitat Baseline'!$D$1:$O$258,9,FALSE))))</f>
        <v/>
      </c>
      <c r="L209" s="175" t="str">
        <f>IF(E209="","",IF(ISNA(VLOOKUP($E209,'D-1 Off Site Habitat Baseline'!$D$1:$O$258,11,FALSE)),"",(VLOOKUP($E209,'D-1 Off Site Habitat Baseline'!$D$1:$O$258,11,FALSE))))</f>
        <v/>
      </c>
      <c r="M209" s="175" t="str">
        <f>IF(E209="","",IF(ISNA(VLOOKUP($E209,'D-1 Off Site Habitat Baseline'!$D$1:$O$258,12,FALSE)),"",(VLOOKUP($E209,'D-1 Off Site Habitat Baseline'!$D$1:$O$258,12,FALSE))))</f>
        <v/>
      </c>
      <c r="N209" s="175" t="str">
        <f>IF(E209="","",IF(ISNA(VLOOKUP($E209,'D-1 Off Site Habitat Baseline'!$D$1:$X$258,14,FALSE)),"",(VLOOKUP($E209,'D-1 Off Site Habitat Baseline'!$D$1:$X$258,14,FALSE))))</f>
        <v/>
      </c>
      <c r="O209" s="176" t="str">
        <f>IF(E209="","",IF(ISNA(VLOOKUP($E209,'D-1 Off Site Habitat Baseline'!$D$1:$X$258,13,FALSE)),"",(VLOOKUP($E209,'D-1 Off Site Habitat Baseline'!$D$1:$X$258,13,FALSE))))</f>
        <v/>
      </c>
      <c r="P209" s="337" t="str">
        <f>IFERROR(INDEX('G-1 All Habitats'!$AG$3:$AG$15,MATCH(Q209,'G-1 All Habitats'!$AF$3:$AF$15,0)),"")</f>
        <v/>
      </c>
      <c r="Q209" s="331" t="str">
        <f t="shared" si="46"/>
        <v/>
      </c>
      <c r="R209" s="332" t="str">
        <f t="shared" si="47"/>
        <v/>
      </c>
      <c r="S209" s="338" t="str">
        <f>IFERROR(INDEX('G-1 All Habitats'!$B$3:$B$130,MATCH(R209,'G-1 All Habitats'!$A$3:$A$130,0)),"")</f>
        <v/>
      </c>
      <c r="T209" s="179" t="str">
        <f t="shared" si="39"/>
        <v/>
      </c>
      <c r="U209" s="172" t="str">
        <f t="shared" si="40"/>
        <v/>
      </c>
      <c r="V209" s="334" t="str">
        <f t="shared" si="37"/>
        <v/>
      </c>
      <c r="W209" s="175" t="str">
        <f>IF(S209="","",VLOOKUP(S209,'G-1 All Habitats'!$B$2:$M$130,10,FALSE))</f>
        <v/>
      </c>
      <c r="X209" s="175" t="str">
        <f>IFERROR(VLOOKUP(W209,'G-1 All Habitats'!$V$3:$W$7,2,FALSE),"")</f>
        <v/>
      </c>
      <c r="Y209" s="275"/>
      <c r="Z209" s="176" t="str">
        <f>IFERROR(INDEX('G-8 Condition Look up'!$A$3:$H$131,MATCH(S209,'G-8 Condition Look up'!$A$3:$A$131,0),MATCH(Y209,'G-8 Condition Look up'!$A$3:$H$3,0)),"")</f>
        <v/>
      </c>
      <c r="AA209" s="173"/>
      <c r="AB209" s="269" t="str">
        <f>IF(AA209="","",IF(VLOOKUP(AA209,'G-3 Multipliers'!$L$3:$N$6,2,FALSE)=0,"Spatial Data Missing",VLOOKUP(AA209,'G-3 Multipliers'!$L$3:$N$6,2,FALSE)))</f>
        <v/>
      </c>
      <c r="AC209" s="176" t="str">
        <f>IF(AA209="","",IF(VLOOKUP(AA209,'G-3 Multipliers'!$L$3:$N$6,3,FALSE)=0,"Spatial Data Missing",VLOOKUP(AA209,'G-3 Multipliers'!$L$3:$N$6,3,FALSE)))</f>
        <v/>
      </c>
      <c r="AD209" s="239" t="str">
        <f t="shared" si="38"/>
        <v/>
      </c>
      <c r="AE209" s="275"/>
      <c r="AF209" s="275"/>
      <c r="AG209" s="175" t="str">
        <f t="shared" si="41"/>
        <v/>
      </c>
      <c r="AH209" s="242" t="str">
        <f t="shared" si="42"/>
        <v/>
      </c>
      <c r="AI209" s="335" t="str">
        <f>IF(AH209="Check Data","Check Data",IFERROR(VLOOKUP(AH209,'G-4 Temporal multipliers'!$A$4:$C$36,3,FALSE),""))</f>
        <v/>
      </c>
      <c r="AJ209" s="239" t="str">
        <f>IF(S209="","",VLOOKUP(S209,'G-3 Multipliers'!$A$2:$E$130,4,FALSE))</f>
        <v/>
      </c>
      <c r="AK209" s="175" t="str">
        <f t="shared" si="43"/>
        <v/>
      </c>
      <c r="AL209" s="175" t="str">
        <f t="shared" si="44"/>
        <v/>
      </c>
      <c r="AM209" s="176" t="str">
        <f>IFERROR(IF(F209="","",IF(AH209="Check Data","Check Data",VLOOKUP(AL209, 'G-3 Multipliers'!$P$2:$Q$6,2,FALSE))),””)</f>
        <v/>
      </c>
      <c r="AN209" s="266"/>
      <c r="AO209" s="269" t="str">
        <f>IF(AN209="","",IF(VLOOKUP(AN209,'G-3 Multipliers'!$S$3:$T$9,2,FALSE)=0,"Spatial Data Missing",VLOOKUP(AN209,'G-3 Multipliers'!$S$3:$T$9,2,FALSE)))</f>
        <v/>
      </c>
      <c r="AP209" s="207" t="str">
        <f t="shared" si="45"/>
        <v/>
      </c>
      <c r="AQ209" s="336"/>
      <c r="AR209" s="181"/>
    </row>
    <row r="210" spans="1:44" x14ac:dyDescent="0.25">
      <c r="A210" s="35" t="str">
        <f>IF(E210="","",IF(ISNA(VLOOKUP($E210,'D-1 Off Site Habitat Baseline'!$D$1:$O$258,2,FALSE)),"",(VLOOKUP($E210,'D-1 Off Site Habitat Baseline'!$D$1:$O$258,2,FALSE))))</f>
        <v/>
      </c>
      <c r="B210" s="35" t="str">
        <f>IF(E210="","",IF(ISNA(VLOOKUP($E210,'D-1 Off Site Habitat Baseline'!$D$1:$O$258,3,FALSE)),"",(VLOOKUP($E210,'D-1 Off Site Habitat Baseline'!$D$1:$O$258,3,FALSE))))</f>
        <v/>
      </c>
      <c r="C210" s="35" t="str">
        <f>IFERROR(INDEX('G-8 Condition Look up'!$I$4:$I$131,MATCH(S210,'G-8 Condition Look up'!$A$4:$A$131,0)),"")</f>
        <v/>
      </c>
      <c r="E210" s="329" t="str">
        <f>'D-1 Off Site Habitat Baseline'!AL209</f>
        <v/>
      </c>
      <c r="F210" s="175" t="str">
        <f>IF(E210="","",IF(ISNA(VLOOKUP($E210,'D-1 Off Site Habitat Baseline'!$D$1:$O$258,4,FALSE)),"",(VLOOKUP($E210,'D-1 Off Site Habitat Baseline'!$D$1:$O$258,4,FALSE))))</f>
        <v/>
      </c>
      <c r="G210" s="175" t="str">
        <f>IF(E210="","",IF(ISNA(VLOOKUP($E210,'D-1 Off Site Habitat Baseline'!$D$1:$O$258,5,FALSE)),"",(VLOOKUP($E210,'D-1 Off Site Habitat Baseline'!$D$1:$O$258,5,FALSE))))</f>
        <v/>
      </c>
      <c r="H210" s="175" t="str">
        <f>IF(E210="","",IF(ISNA(VLOOKUP($E210,'D-1 Off Site Habitat Baseline'!$D$1:$O$258,6,FALSE)),"",(VLOOKUP($E210,'D-1 Off Site Habitat Baseline'!$D$1:$O$258,6,FALSE))))</f>
        <v/>
      </c>
      <c r="I210" s="175" t="str">
        <f>IF(E210="","",IF(ISNA(VLOOKUP($E210,'D-1 Off Site Habitat Baseline'!$D$1:$O$258,7,FALSE)),"",(VLOOKUP($E210,'D-1 Off Site Habitat Baseline'!$D$1:$O$258,7,FALSE))))</f>
        <v/>
      </c>
      <c r="J210" s="175" t="str">
        <f>IF(E210="","",IF(ISNA(VLOOKUP($E210,'D-1 Off Site Habitat Baseline'!$D$1:$O$258,8,FALSE)),"",(VLOOKUP($E210,'D-1 Off Site Habitat Baseline'!$D$1:$O$258,8,FALSE))))</f>
        <v/>
      </c>
      <c r="K210" s="175" t="str">
        <f>IF(E210="","",IF(ISNA(VLOOKUP($E210,'D-1 Off Site Habitat Baseline'!$D$1:$O$258,9,FALSE)),"",(VLOOKUP($E210,'D-1 Off Site Habitat Baseline'!$D$1:$O$258,9,FALSE))))</f>
        <v/>
      </c>
      <c r="L210" s="175" t="str">
        <f>IF(E210="","",IF(ISNA(VLOOKUP($E210,'D-1 Off Site Habitat Baseline'!$D$1:$O$258,11,FALSE)),"",(VLOOKUP($E210,'D-1 Off Site Habitat Baseline'!$D$1:$O$258,11,FALSE))))</f>
        <v/>
      </c>
      <c r="M210" s="175" t="str">
        <f>IF(E210="","",IF(ISNA(VLOOKUP($E210,'D-1 Off Site Habitat Baseline'!$D$1:$O$258,12,FALSE)),"",(VLOOKUP($E210,'D-1 Off Site Habitat Baseline'!$D$1:$O$258,12,FALSE))))</f>
        <v/>
      </c>
      <c r="N210" s="175" t="str">
        <f>IF(E210="","",IF(ISNA(VLOOKUP($E210,'D-1 Off Site Habitat Baseline'!$D$1:$X$258,14,FALSE)),"",(VLOOKUP($E210,'D-1 Off Site Habitat Baseline'!$D$1:$X$258,14,FALSE))))</f>
        <v/>
      </c>
      <c r="O210" s="176" t="str">
        <f>IF(E210="","",IF(ISNA(VLOOKUP($E210,'D-1 Off Site Habitat Baseline'!$D$1:$X$258,13,FALSE)),"",(VLOOKUP($E210,'D-1 Off Site Habitat Baseline'!$D$1:$X$258,13,FALSE))))</f>
        <v/>
      </c>
      <c r="P210" s="337" t="str">
        <f>IFERROR(INDEX('G-1 All Habitats'!$AG$3:$AG$15,MATCH(Q210,'G-1 All Habitats'!$AF$3:$AF$15,0)),"")</f>
        <v/>
      </c>
      <c r="Q210" s="331" t="str">
        <f t="shared" si="46"/>
        <v/>
      </c>
      <c r="R210" s="332" t="str">
        <f t="shared" si="47"/>
        <v/>
      </c>
      <c r="S210" s="338" t="str">
        <f>IFERROR(INDEX('G-1 All Habitats'!$B$3:$B$130,MATCH(R210,'G-1 All Habitats'!$A$3:$A$130,0)),"")</f>
        <v/>
      </c>
      <c r="T210" s="179" t="str">
        <f t="shared" si="39"/>
        <v/>
      </c>
      <c r="U210" s="172" t="str">
        <f t="shared" si="40"/>
        <v/>
      </c>
      <c r="V210" s="334" t="str">
        <f t="shared" si="37"/>
        <v/>
      </c>
      <c r="W210" s="175" t="str">
        <f>IF(S210="","",VLOOKUP(S210,'G-1 All Habitats'!$B$2:$M$130,10,FALSE))</f>
        <v/>
      </c>
      <c r="X210" s="175" t="str">
        <f>IFERROR(VLOOKUP(W210,'G-1 All Habitats'!$V$3:$W$7,2,FALSE),"")</f>
        <v/>
      </c>
      <c r="Y210" s="275"/>
      <c r="Z210" s="176" t="str">
        <f>IFERROR(INDEX('G-8 Condition Look up'!$A$3:$H$131,MATCH(S210,'G-8 Condition Look up'!$A$3:$A$131,0),MATCH(Y210,'G-8 Condition Look up'!$A$3:$H$3,0)),"")</f>
        <v/>
      </c>
      <c r="AA210" s="173"/>
      <c r="AB210" s="269" t="str">
        <f>IF(AA210="","",IF(VLOOKUP(AA210,'G-3 Multipliers'!$L$3:$N$6,2,FALSE)=0,"Spatial Data Missing",VLOOKUP(AA210,'G-3 Multipliers'!$L$3:$N$6,2,FALSE)))</f>
        <v/>
      </c>
      <c r="AC210" s="176" t="str">
        <f>IF(AA210="","",IF(VLOOKUP(AA210,'G-3 Multipliers'!$L$3:$N$6,3,FALSE)=0,"Spatial Data Missing",VLOOKUP(AA210,'G-3 Multipliers'!$L$3:$N$6,3,FALSE)))</f>
        <v/>
      </c>
      <c r="AD210" s="239" t="str">
        <f t="shared" si="38"/>
        <v/>
      </c>
      <c r="AE210" s="275"/>
      <c r="AF210" s="275"/>
      <c r="AG210" s="175" t="str">
        <f t="shared" si="41"/>
        <v/>
      </c>
      <c r="AH210" s="242" t="str">
        <f t="shared" si="42"/>
        <v/>
      </c>
      <c r="AI210" s="335" t="str">
        <f>IF(AH210="Check Data","Check Data",IFERROR(VLOOKUP(AH210,'G-4 Temporal multipliers'!$A$4:$C$36,3,FALSE),""))</f>
        <v/>
      </c>
      <c r="AJ210" s="239" t="str">
        <f>IF(S210="","",VLOOKUP(S210,'G-3 Multipliers'!$A$2:$E$130,4,FALSE))</f>
        <v/>
      </c>
      <c r="AK210" s="175" t="str">
        <f t="shared" si="43"/>
        <v/>
      </c>
      <c r="AL210" s="175" t="str">
        <f t="shared" si="44"/>
        <v/>
      </c>
      <c r="AM210" s="176" t="str">
        <f>IFERROR(IF(F210="","",IF(AH210="Check Data","Check Data",VLOOKUP(AL210, 'G-3 Multipliers'!$P$2:$Q$6,2,FALSE))),””)</f>
        <v/>
      </c>
      <c r="AN210" s="266"/>
      <c r="AO210" s="269" t="str">
        <f>IF(AN210="","",IF(VLOOKUP(AN210,'G-3 Multipliers'!$S$3:$T$9,2,FALSE)=0,"Spatial Data Missing",VLOOKUP(AN210,'G-3 Multipliers'!$S$3:$T$9,2,FALSE)))</f>
        <v/>
      </c>
      <c r="AP210" s="207" t="str">
        <f t="shared" si="45"/>
        <v/>
      </c>
      <c r="AQ210" s="336"/>
      <c r="AR210" s="181"/>
    </row>
    <row r="211" spans="1:44" x14ac:dyDescent="0.25">
      <c r="A211" s="35" t="str">
        <f>IF(E211="","",IF(ISNA(VLOOKUP($E211,'D-1 Off Site Habitat Baseline'!$D$1:$O$258,2,FALSE)),"",(VLOOKUP($E211,'D-1 Off Site Habitat Baseline'!$D$1:$O$258,2,FALSE))))</f>
        <v/>
      </c>
      <c r="B211" s="35" t="str">
        <f>IF(E211="","",IF(ISNA(VLOOKUP($E211,'D-1 Off Site Habitat Baseline'!$D$1:$O$258,3,FALSE)),"",(VLOOKUP($E211,'D-1 Off Site Habitat Baseline'!$D$1:$O$258,3,FALSE))))</f>
        <v/>
      </c>
      <c r="C211" s="35" t="str">
        <f>IFERROR(INDEX('G-8 Condition Look up'!$I$4:$I$131,MATCH(S211,'G-8 Condition Look up'!$A$4:$A$131,0)),"")</f>
        <v/>
      </c>
      <c r="E211" s="329" t="str">
        <f>'D-1 Off Site Habitat Baseline'!AL210</f>
        <v/>
      </c>
      <c r="F211" s="175" t="str">
        <f>IF(E211="","",IF(ISNA(VLOOKUP($E211,'D-1 Off Site Habitat Baseline'!$D$1:$O$258,4,FALSE)),"",(VLOOKUP($E211,'D-1 Off Site Habitat Baseline'!$D$1:$O$258,4,FALSE))))</f>
        <v/>
      </c>
      <c r="G211" s="175" t="str">
        <f>IF(E211="","",IF(ISNA(VLOOKUP($E211,'D-1 Off Site Habitat Baseline'!$D$1:$O$258,5,FALSE)),"",(VLOOKUP($E211,'D-1 Off Site Habitat Baseline'!$D$1:$O$258,5,FALSE))))</f>
        <v/>
      </c>
      <c r="H211" s="175" t="str">
        <f>IF(E211="","",IF(ISNA(VLOOKUP($E211,'D-1 Off Site Habitat Baseline'!$D$1:$O$258,6,FALSE)),"",(VLOOKUP($E211,'D-1 Off Site Habitat Baseline'!$D$1:$O$258,6,FALSE))))</f>
        <v/>
      </c>
      <c r="I211" s="175" t="str">
        <f>IF(E211="","",IF(ISNA(VLOOKUP($E211,'D-1 Off Site Habitat Baseline'!$D$1:$O$258,7,FALSE)),"",(VLOOKUP($E211,'D-1 Off Site Habitat Baseline'!$D$1:$O$258,7,FALSE))))</f>
        <v/>
      </c>
      <c r="J211" s="175" t="str">
        <f>IF(E211="","",IF(ISNA(VLOOKUP($E211,'D-1 Off Site Habitat Baseline'!$D$1:$O$258,8,FALSE)),"",(VLOOKUP($E211,'D-1 Off Site Habitat Baseline'!$D$1:$O$258,8,FALSE))))</f>
        <v/>
      </c>
      <c r="K211" s="175" t="str">
        <f>IF(E211="","",IF(ISNA(VLOOKUP($E211,'D-1 Off Site Habitat Baseline'!$D$1:$O$258,9,FALSE)),"",(VLOOKUP($E211,'D-1 Off Site Habitat Baseline'!$D$1:$O$258,9,FALSE))))</f>
        <v/>
      </c>
      <c r="L211" s="175" t="str">
        <f>IF(E211="","",IF(ISNA(VLOOKUP($E211,'D-1 Off Site Habitat Baseline'!$D$1:$O$258,11,FALSE)),"",(VLOOKUP($E211,'D-1 Off Site Habitat Baseline'!$D$1:$O$258,11,FALSE))))</f>
        <v/>
      </c>
      <c r="M211" s="175" t="str">
        <f>IF(E211="","",IF(ISNA(VLOOKUP($E211,'D-1 Off Site Habitat Baseline'!$D$1:$O$258,12,FALSE)),"",(VLOOKUP($E211,'D-1 Off Site Habitat Baseline'!$D$1:$O$258,12,FALSE))))</f>
        <v/>
      </c>
      <c r="N211" s="175" t="str">
        <f>IF(E211="","",IF(ISNA(VLOOKUP($E211,'D-1 Off Site Habitat Baseline'!$D$1:$X$258,14,FALSE)),"",(VLOOKUP($E211,'D-1 Off Site Habitat Baseline'!$D$1:$X$258,14,FALSE))))</f>
        <v/>
      </c>
      <c r="O211" s="176" t="str">
        <f>IF(E211="","",IF(ISNA(VLOOKUP($E211,'D-1 Off Site Habitat Baseline'!$D$1:$X$258,13,FALSE)),"",(VLOOKUP($E211,'D-1 Off Site Habitat Baseline'!$D$1:$X$258,13,FALSE))))</f>
        <v/>
      </c>
      <c r="P211" s="337" t="str">
        <f>IFERROR(INDEX('G-1 All Habitats'!$AG$3:$AG$15,MATCH(Q211,'G-1 All Habitats'!$AF$3:$AF$15,0)),"")</f>
        <v/>
      </c>
      <c r="Q211" s="331" t="str">
        <f t="shared" si="46"/>
        <v/>
      </c>
      <c r="R211" s="332" t="str">
        <f t="shared" si="47"/>
        <v/>
      </c>
      <c r="S211" s="338" t="str">
        <f>IFERROR(INDEX('G-1 All Habitats'!$B$3:$B$130,MATCH(R211,'G-1 All Habitats'!$A$3:$A$130,0)),"")</f>
        <v/>
      </c>
      <c r="T211" s="179" t="str">
        <f t="shared" si="39"/>
        <v/>
      </c>
      <c r="U211" s="172" t="str">
        <f t="shared" si="40"/>
        <v/>
      </c>
      <c r="V211" s="334" t="str">
        <f t="shared" si="37"/>
        <v/>
      </c>
      <c r="W211" s="175" t="str">
        <f>IF(S211="","",VLOOKUP(S211,'G-1 All Habitats'!$B$2:$M$130,10,FALSE))</f>
        <v/>
      </c>
      <c r="X211" s="175" t="str">
        <f>IFERROR(VLOOKUP(W211,'G-1 All Habitats'!$V$3:$W$7,2,FALSE),"")</f>
        <v/>
      </c>
      <c r="Y211" s="275"/>
      <c r="Z211" s="176" t="str">
        <f>IFERROR(INDEX('G-8 Condition Look up'!$A$3:$H$131,MATCH(S211,'G-8 Condition Look up'!$A$3:$A$131,0),MATCH(Y211,'G-8 Condition Look up'!$A$3:$H$3,0)),"")</f>
        <v/>
      </c>
      <c r="AA211" s="173"/>
      <c r="AB211" s="269" t="str">
        <f>IF(AA211="","",IF(VLOOKUP(AA211,'G-3 Multipliers'!$L$3:$N$6,2,FALSE)=0,"Spatial Data Missing",VLOOKUP(AA211,'G-3 Multipliers'!$L$3:$N$6,2,FALSE)))</f>
        <v/>
      </c>
      <c r="AC211" s="176" t="str">
        <f>IF(AA211="","",IF(VLOOKUP(AA211,'G-3 Multipliers'!$L$3:$N$6,3,FALSE)=0,"Spatial Data Missing",VLOOKUP(AA211,'G-3 Multipliers'!$L$3:$N$6,3,FALSE)))</f>
        <v/>
      </c>
      <c r="AD211" s="239" t="str">
        <f t="shared" si="38"/>
        <v/>
      </c>
      <c r="AE211" s="275"/>
      <c r="AF211" s="275"/>
      <c r="AG211" s="175" t="str">
        <f t="shared" si="41"/>
        <v/>
      </c>
      <c r="AH211" s="242" t="str">
        <f t="shared" si="42"/>
        <v/>
      </c>
      <c r="AI211" s="335" t="str">
        <f>IF(AH211="Check Data","Check Data",IFERROR(VLOOKUP(AH211,'G-4 Temporal multipliers'!$A$4:$C$36,3,FALSE),""))</f>
        <v/>
      </c>
      <c r="AJ211" s="239" t="str">
        <f>IF(S211="","",VLOOKUP(S211,'G-3 Multipliers'!$A$2:$E$130,4,FALSE))</f>
        <v/>
      </c>
      <c r="AK211" s="175" t="str">
        <f t="shared" si="43"/>
        <v/>
      </c>
      <c r="AL211" s="175" t="str">
        <f t="shared" si="44"/>
        <v/>
      </c>
      <c r="AM211" s="176" t="str">
        <f>IFERROR(IF(F211="","",IF(AH211="Check Data","Check Data",VLOOKUP(AL211, 'G-3 Multipliers'!$P$2:$Q$6,2,FALSE))),””)</f>
        <v/>
      </c>
      <c r="AN211" s="266"/>
      <c r="AO211" s="269" t="str">
        <f>IF(AN211="","",IF(VLOOKUP(AN211,'G-3 Multipliers'!$S$3:$T$9,2,FALSE)=0,"Spatial Data Missing",VLOOKUP(AN211,'G-3 Multipliers'!$S$3:$T$9,2,FALSE)))</f>
        <v/>
      </c>
      <c r="AP211" s="207" t="str">
        <f t="shared" si="45"/>
        <v/>
      </c>
      <c r="AQ211" s="336"/>
      <c r="AR211" s="181"/>
    </row>
    <row r="212" spans="1:44" x14ac:dyDescent="0.25">
      <c r="A212" s="35" t="str">
        <f>IF(E212="","",IF(ISNA(VLOOKUP($E212,'D-1 Off Site Habitat Baseline'!$D$1:$O$258,2,FALSE)),"",(VLOOKUP($E212,'D-1 Off Site Habitat Baseline'!$D$1:$O$258,2,FALSE))))</f>
        <v/>
      </c>
      <c r="B212" s="35" t="str">
        <f>IF(E212="","",IF(ISNA(VLOOKUP($E212,'D-1 Off Site Habitat Baseline'!$D$1:$O$258,3,FALSE)),"",(VLOOKUP($E212,'D-1 Off Site Habitat Baseline'!$D$1:$O$258,3,FALSE))))</f>
        <v/>
      </c>
      <c r="C212" s="35" t="str">
        <f>IFERROR(INDEX('G-8 Condition Look up'!$I$4:$I$131,MATCH(S212,'G-8 Condition Look up'!$A$4:$A$131,0)),"")</f>
        <v/>
      </c>
      <c r="E212" s="329" t="str">
        <f>'D-1 Off Site Habitat Baseline'!AL211</f>
        <v/>
      </c>
      <c r="F212" s="175" t="str">
        <f>IF(E212="","",IF(ISNA(VLOOKUP($E212,'D-1 Off Site Habitat Baseline'!$D$1:$O$258,4,FALSE)),"",(VLOOKUP($E212,'D-1 Off Site Habitat Baseline'!$D$1:$O$258,4,FALSE))))</f>
        <v/>
      </c>
      <c r="G212" s="175" t="str">
        <f>IF(E212="","",IF(ISNA(VLOOKUP($E212,'D-1 Off Site Habitat Baseline'!$D$1:$O$258,5,FALSE)),"",(VLOOKUP($E212,'D-1 Off Site Habitat Baseline'!$D$1:$O$258,5,FALSE))))</f>
        <v/>
      </c>
      <c r="H212" s="175" t="str">
        <f>IF(E212="","",IF(ISNA(VLOOKUP($E212,'D-1 Off Site Habitat Baseline'!$D$1:$O$258,6,FALSE)),"",(VLOOKUP($E212,'D-1 Off Site Habitat Baseline'!$D$1:$O$258,6,FALSE))))</f>
        <v/>
      </c>
      <c r="I212" s="175" t="str">
        <f>IF(E212="","",IF(ISNA(VLOOKUP($E212,'D-1 Off Site Habitat Baseline'!$D$1:$O$258,7,FALSE)),"",(VLOOKUP($E212,'D-1 Off Site Habitat Baseline'!$D$1:$O$258,7,FALSE))))</f>
        <v/>
      </c>
      <c r="J212" s="175" t="str">
        <f>IF(E212="","",IF(ISNA(VLOOKUP($E212,'D-1 Off Site Habitat Baseline'!$D$1:$O$258,8,FALSE)),"",(VLOOKUP($E212,'D-1 Off Site Habitat Baseline'!$D$1:$O$258,8,FALSE))))</f>
        <v/>
      </c>
      <c r="K212" s="175" t="str">
        <f>IF(E212="","",IF(ISNA(VLOOKUP($E212,'D-1 Off Site Habitat Baseline'!$D$1:$O$258,9,FALSE)),"",(VLOOKUP($E212,'D-1 Off Site Habitat Baseline'!$D$1:$O$258,9,FALSE))))</f>
        <v/>
      </c>
      <c r="L212" s="175" t="str">
        <f>IF(E212="","",IF(ISNA(VLOOKUP($E212,'D-1 Off Site Habitat Baseline'!$D$1:$O$258,11,FALSE)),"",(VLOOKUP($E212,'D-1 Off Site Habitat Baseline'!$D$1:$O$258,11,FALSE))))</f>
        <v/>
      </c>
      <c r="M212" s="175" t="str">
        <f>IF(E212="","",IF(ISNA(VLOOKUP($E212,'D-1 Off Site Habitat Baseline'!$D$1:$O$258,12,FALSE)),"",(VLOOKUP($E212,'D-1 Off Site Habitat Baseline'!$D$1:$O$258,12,FALSE))))</f>
        <v/>
      </c>
      <c r="N212" s="175" t="str">
        <f>IF(E212="","",IF(ISNA(VLOOKUP($E212,'D-1 Off Site Habitat Baseline'!$D$1:$X$258,14,FALSE)),"",(VLOOKUP($E212,'D-1 Off Site Habitat Baseline'!$D$1:$X$258,14,FALSE))))</f>
        <v/>
      </c>
      <c r="O212" s="176" t="str">
        <f>IF(E212="","",IF(ISNA(VLOOKUP($E212,'D-1 Off Site Habitat Baseline'!$D$1:$X$258,13,FALSE)),"",(VLOOKUP($E212,'D-1 Off Site Habitat Baseline'!$D$1:$X$258,13,FALSE))))</f>
        <v/>
      </c>
      <c r="P212" s="337" t="str">
        <f>IFERROR(INDEX('G-1 All Habitats'!$AG$3:$AG$15,MATCH(Q212,'G-1 All Habitats'!$AF$3:$AF$15,0)),"")</f>
        <v/>
      </c>
      <c r="Q212" s="331" t="str">
        <f t="shared" si="46"/>
        <v/>
      </c>
      <c r="R212" s="332" t="str">
        <f t="shared" si="47"/>
        <v/>
      </c>
      <c r="S212" s="338" t="str">
        <f>IFERROR(INDEX('G-1 All Habitats'!$B$3:$B$130,MATCH(R212,'G-1 All Habitats'!$A$3:$A$130,0)),"")</f>
        <v/>
      </c>
      <c r="T212" s="179" t="str">
        <f t="shared" si="39"/>
        <v/>
      </c>
      <c r="U212" s="172" t="str">
        <f t="shared" si="40"/>
        <v/>
      </c>
      <c r="V212" s="334" t="str">
        <f t="shared" si="37"/>
        <v/>
      </c>
      <c r="W212" s="175" t="str">
        <f>IF(S212="","",VLOOKUP(S212,'G-1 All Habitats'!$B$2:$M$130,10,FALSE))</f>
        <v/>
      </c>
      <c r="X212" s="175" t="str">
        <f>IFERROR(VLOOKUP(W212,'G-1 All Habitats'!$V$3:$W$7,2,FALSE),"")</f>
        <v/>
      </c>
      <c r="Y212" s="275"/>
      <c r="Z212" s="176" t="str">
        <f>IFERROR(INDEX('G-8 Condition Look up'!$A$3:$H$131,MATCH(S212,'G-8 Condition Look up'!$A$3:$A$131,0),MATCH(Y212,'G-8 Condition Look up'!$A$3:$H$3,0)),"")</f>
        <v/>
      </c>
      <c r="AA212" s="173"/>
      <c r="AB212" s="269" t="str">
        <f>IF(AA212="","",IF(VLOOKUP(AA212,'G-3 Multipliers'!$L$3:$N$6,2,FALSE)=0,"Spatial Data Missing",VLOOKUP(AA212,'G-3 Multipliers'!$L$3:$N$6,2,FALSE)))</f>
        <v/>
      </c>
      <c r="AC212" s="176" t="str">
        <f>IF(AA212="","",IF(VLOOKUP(AA212,'G-3 Multipliers'!$L$3:$N$6,3,FALSE)=0,"Spatial Data Missing",VLOOKUP(AA212,'G-3 Multipliers'!$L$3:$N$6,3,FALSE)))</f>
        <v/>
      </c>
      <c r="AD212" s="239" t="str">
        <f t="shared" si="38"/>
        <v/>
      </c>
      <c r="AE212" s="275"/>
      <c r="AF212" s="275"/>
      <c r="AG212" s="175" t="str">
        <f t="shared" si="41"/>
        <v/>
      </c>
      <c r="AH212" s="242" t="str">
        <f t="shared" si="42"/>
        <v/>
      </c>
      <c r="AI212" s="335" t="str">
        <f>IF(AH212="Check Data","Check Data",IFERROR(VLOOKUP(AH212,'G-4 Temporal multipliers'!$A$4:$C$36,3,FALSE),""))</f>
        <v/>
      </c>
      <c r="AJ212" s="239" t="str">
        <f>IF(S212="","",VLOOKUP(S212,'G-3 Multipliers'!$A$2:$E$130,4,FALSE))</f>
        <v/>
      </c>
      <c r="AK212" s="175" t="str">
        <f t="shared" si="43"/>
        <v/>
      </c>
      <c r="AL212" s="175" t="str">
        <f t="shared" si="44"/>
        <v/>
      </c>
      <c r="AM212" s="176" t="str">
        <f>IFERROR(IF(F212="","",IF(AH212="Check Data","Check Data",VLOOKUP(AL212, 'G-3 Multipliers'!$P$2:$Q$6,2,FALSE))),””)</f>
        <v/>
      </c>
      <c r="AN212" s="266"/>
      <c r="AO212" s="269" t="str">
        <f>IF(AN212="","",IF(VLOOKUP(AN212,'G-3 Multipliers'!$S$3:$T$9,2,FALSE)=0,"Spatial Data Missing",VLOOKUP(AN212,'G-3 Multipliers'!$S$3:$T$9,2,FALSE)))</f>
        <v/>
      </c>
      <c r="AP212" s="207" t="str">
        <f t="shared" si="45"/>
        <v/>
      </c>
      <c r="AQ212" s="336"/>
      <c r="AR212" s="181"/>
    </row>
    <row r="213" spans="1:44" x14ac:dyDescent="0.25">
      <c r="A213" s="35" t="str">
        <f>IF(E213="","",IF(ISNA(VLOOKUP($E213,'D-1 Off Site Habitat Baseline'!$D$1:$O$258,2,FALSE)),"",(VLOOKUP($E213,'D-1 Off Site Habitat Baseline'!$D$1:$O$258,2,FALSE))))</f>
        <v/>
      </c>
      <c r="B213" s="35" t="str">
        <f>IF(E213="","",IF(ISNA(VLOOKUP($E213,'D-1 Off Site Habitat Baseline'!$D$1:$O$258,3,FALSE)),"",(VLOOKUP($E213,'D-1 Off Site Habitat Baseline'!$D$1:$O$258,3,FALSE))))</f>
        <v/>
      </c>
      <c r="C213" s="35" t="str">
        <f>IFERROR(INDEX('G-8 Condition Look up'!$I$4:$I$131,MATCH(S213,'G-8 Condition Look up'!$A$4:$A$131,0)),"")</f>
        <v/>
      </c>
      <c r="E213" s="329" t="str">
        <f>'D-1 Off Site Habitat Baseline'!AL212</f>
        <v/>
      </c>
      <c r="F213" s="175" t="str">
        <f>IF(E213="","",IF(ISNA(VLOOKUP($E213,'D-1 Off Site Habitat Baseline'!$D$1:$O$258,4,FALSE)),"",(VLOOKUP($E213,'D-1 Off Site Habitat Baseline'!$D$1:$O$258,4,FALSE))))</f>
        <v/>
      </c>
      <c r="G213" s="175" t="str">
        <f>IF(E213="","",IF(ISNA(VLOOKUP($E213,'D-1 Off Site Habitat Baseline'!$D$1:$O$258,5,FALSE)),"",(VLOOKUP($E213,'D-1 Off Site Habitat Baseline'!$D$1:$O$258,5,FALSE))))</f>
        <v/>
      </c>
      <c r="H213" s="175" t="str">
        <f>IF(E213="","",IF(ISNA(VLOOKUP($E213,'D-1 Off Site Habitat Baseline'!$D$1:$O$258,6,FALSE)),"",(VLOOKUP($E213,'D-1 Off Site Habitat Baseline'!$D$1:$O$258,6,FALSE))))</f>
        <v/>
      </c>
      <c r="I213" s="175" t="str">
        <f>IF(E213="","",IF(ISNA(VLOOKUP($E213,'D-1 Off Site Habitat Baseline'!$D$1:$O$258,7,FALSE)),"",(VLOOKUP($E213,'D-1 Off Site Habitat Baseline'!$D$1:$O$258,7,FALSE))))</f>
        <v/>
      </c>
      <c r="J213" s="175" t="str">
        <f>IF(E213="","",IF(ISNA(VLOOKUP($E213,'D-1 Off Site Habitat Baseline'!$D$1:$O$258,8,FALSE)),"",(VLOOKUP($E213,'D-1 Off Site Habitat Baseline'!$D$1:$O$258,8,FALSE))))</f>
        <v/>
      </c>
      <c r="K213" s="175" t="str">
        <f>IF(E213="","",IF(ISNA(VLOOKUP($E213,'D-1 Off Site Habitat Baseline'!$D$1:$O$258,9,FALSE)),"",(VLOOKUP($E213,'D-1 Off Site Habitat Baseline'!$D$1:$O$258,9,FALSE))))</f>
        <v/>
      </c>
      <c r="L213" s="175" t="str">
        <f>IF(E213="","",IF(ISNA(VLOOKUP($E213,'D-1 Off Site Habitat Baseline'!$D$1:$O$258,11,FALSE)),"",(VLOOKUP($E213,'D-1 Off Site Habitat Baseline'!$D$1:$O$258,11,FALSE))))</f>
        <v/>
      </c>
      <c r="M213" s="175" t="str">
        <f>IF(E213="","",IF(ISNA(VLOOKUP($E213,'D-1 Off Site Habitat Baseline'!$D$1:$O$258,12,FALSE)),"",(VLOOKUP($E213,'D-1 Off Site Habitat Baseline'!$D$1:$O$258,12,FALSE))))</f>
        <v/>
      </c>
      <c r="N213" s="175" t="str">
        <f>IF(E213="","",IF(ISNA(VLOOKUP($E213,'D-1 Off Site Habitat Baseline'!$D$1:$X$258,14,FALSE)),"",(VLOOKUP($E213,'D-1 Off Site Habitat Baseline'!$D$1:$X$258,14,FALSE))))</f>
        <v/>
      </c>
      <c r="O213" s="176" t="str">
        <f>IF(E213="","",IF(ISNA(VLOOKUP($E213,'D-1 Off Site Habitat Baseline'!$D$1:$X$258,13,FALSE)),"",(VLOOKUP($E213,'D-1 Off Site Habitat Baseline'!$D$1:$X$258,13,FALSE))))</f>
        <v/>
      </c>
      <c r="P213" s="337" t="str">
        <f>IFERROR(INDEX('G-1 All Habitats'!$AG$3:$AG$15,MATCH(Q213,'G-1 All Habitats'!$AF$3:$AF$15,0)),"")</f>
        <v/>
      </c>
      <c r="Q213" s="331" t="str">
        <f t="shared" si="46"/>
        <v/>
      </c>
      <c r="R213" s="332" t="str">
        <f t="shared" si="47"/>
        <v/>
      </c>
      <c r="S213" s="338" t="str">
        <f>IFERROR(INDEX('G-1 All Habitats'!$B$3:$B$130,MATCH(R213,'G-1 All Habitats'!$A$3:$A$130,0)),"")</f>
        <v/>
      </c>
      <c r="T213" s="179" t="str">
        <f t="shared" si="39"/>
        <v/>
      </c>
      <c r="U213" s="172" t="str">
        <f t="shared" si="40"/>
        <v/>
      </c>
      <c r="V213" s="334" t="str">
        <f t="shared" si="37"/>
        <v/>
      </c>
      <c r="W213" s="175" t="str">
        <f>IF(S213="","",VLOOKUP(S213,'G-1 All Habitats'!$B$2:$M$130,10,FALSE))</f>
        <v/>
      </c>
      <c r="X213" s="175" t="str">
        <f>IFERROR(VLOOKUP(W213,'G-1 All Habitats'!$V$3:$W$7,2,FALSE),"")</f>
        <v/>
      </c>
      <c r="Y213" s="275"/>
      <c r="Z213" s="176" t="str">
        <f>IFERROR(INDEX('G-8 Condition Look up'!$A$3:$H$131,MATCH(S213,'G-8 Condition Look up'!$A$3:$A$131,0),MATCH(Y213,'G-8 Condition Look up'!$A$3:$H$3,0)),"")</f>
        <v/>
      </c>
      <c r="AA213" s="173"/>
      <c r="AB213" s="269" t="str">
        <f>IF(AA213="","",IF(VLOOKUP(AA213,'G-3 Multipliers'!$L$3:$N$6,2,FALSE)=0,"Spatial Data Missing",VLOOKUP(AA213,'G-3 Multipliers'!$L$3:$N$6,2,FALSE)))</f>
        <v/>
      </c>
      <c r="AC213" s="176" t="str">
        <f>IF(AA213="","",IF(VLOOKUP(AA213,'G-3 Multipliers'!$L$3:$N$6,3,FALSE)=0,"Spatial Data Missing",VLOOKUP(AA213,'G-3 Multipliers'!$L$3:$N$6,3,FALSE)))</f>
        <v/>
      </c>
      <c r="AD213" s="239" t="str">
        <f t="shared" si="38"/>
        <v/>
      </c>
      <c r="AE213" s="275"/>
      <c r="AF213" s="275"/>
      <c r="AG213" s="175" t="str">
        <f t="shared" si="41"/>
        <v/>
      </c>
      <c r="AH213" s="242" t="str">
        <f t="shared" si="42"/>
        <v/>
      </c>
      <c r="AI213" s="335" t="str">
        <f>IF(AH213="Check Data","Check Data",IFERROR(VLOOKUP(AH213,'G-4 Temporal multipliers'!$A$4:$C$36,3,FALSE),""))</f>
        <v/>
      </c>
      <c r="AJ213" s="239" t="str">
        <f>IF(S213="","",VLOOKUP(S213,'G-3 Multipliers'!$A$2:$E$130,4,FALSE))</f>
        <v/>
      </c>
      <c r="AK213" s="175" t="str">
        <f t="shared" si="43"/>
        <v/>
      </c>
      <c r="AL213" s="175" t="str">
        <f t="shared" si="44"/>
        <v/>
      </c>
      <c r="AM213" s="176" t="str">
        <f>IFERROR(IF(F213="","",IF(AH213="Check Data","Check Data",VLOOKUP(AL213, 'G-3 Multipliers'!$P$2:$Q$6,2,FALSE))),””)</f>
        <v/>
      </c>
      <c r="AN213" s="266"/>
      <c r="AO213" s="269" t="str">
        <f>IF(AN213="","",IF(VLOOKUP(AN213,'G-3 Multipliers'!$S$3:$T$9,2,FALSE)=0,"Spatial Data Missing",VLOOKUP(AN213,'G-3 Multipliers'!$S$3:$T$9,2,FALSE)))</f>
        <v/>
      </c>
      <c r="AP213" s="207" t="str">
        <f t="shared" si="45"/>
        <v/>
      </c>
      <c r="AQ213" s="336"/>
      <c r="AR213" s="181"/>
    </row>
    <row r="214" spans="1:44" x14ac:dyDescent="0.25">
      <c r="A214" s="35" t="str">
        <f>IF(E214="","",IF(ISNA(VLOOKUP($E214,'D-1 Off Site Habitat Baseline'!$D$1:$O$258,2,FALSE)),"",(VLOOKUP($E214,'D-1 Off Site Habitat Baseline'!$D$1:$O$258,2,FALSE))))</f>
        <v/>
      </c>
      <c r="B214" s="35" t="str">
        <f>IF(E214="","",IF(ISNA(VLOOKUP($E214,'D-1 Off Site Habitat Baseline'!$D$1:$O$258,3,FALSE)),"",(VLOOKUP($E214,'D-1 Off Site Habitat Baseline'!$D$1:$O$258,3,FALSE))))</f>
        <v/>
      </c>
      <c r="C214" s="35" t="str">
        <f>IFERROR(INDEX('G-8 Condition Look up'!$I$4:$I$131,MATCH(S214,'G-8 Condition Look up'!$A$4:$A$131,0)),"")</f>
        <v/>
      </c>
      <c r="E214" s="329" t="str">
        <f>'D-1 Off Site Habitat Baseline'!AL213</f>
        <v/>
      </c>
      <c r="F214" s="175" t="str">
        <f>IF(E214="","",IF(ISNA(VLOOKUP($E214,'D-1 Off Site Habitat Baseline'!$D$1:$O$258,4,FALSE)),"",(VLOOKUP($E214,'D-1 Off Site Habitat Baseline'!$D$1:$O$258,4,FALSE))))</f>
        <v/>
      </c>
      <c r="G214" s="175" t="str">
        <f>IF(E214="","",IF(ISNA(VLOOKUP($E214,'D-1 Off Site Habitat Baseline'!$D$1:$O$258,5,FALSE)),"",(VLOOKUP($E214,'D-1 Off Site Habitat Baseline'!$D$1:$O$258,5,FALSE))))</f>
        <v/>
      </c>
      <c r="H214" s="175" t="str">
        <f>IF(E214="","",IF(ISNA(VLOOKUP($E214,'D-1 Off Site Habitat Baseline'!$D$1:$O$258,6,FALSE)),"",(VLOOKUP($E214,'D-1 Off Site Habitat Baseline'!$D$1:$O$258,6,FALSE))))</f>
        <v/>
      </c>
      <c r="I214" s="175" t="str">
        <f>IF(E214="","",IF(ISNA(VLOOKUP($E214,'D-1 Off Site Habitat Baseline'!$D$1:$O$258,7,FALSE)),"",(VLOOKUP($E214,'D-1 Off Site Habitat Baseline'!$D$1:$O$258,7,FALSE))))</f>
        <v/>
      </c>
      <c r="J214" s="175" t="str">
        <f>IF(E214="","",IF(ISNA(VLOOKUP($E214,'D-1 Off Site Habitat Baseline'!$D$1:$O$258,8,FALSE)),"",(VLOOKUP($E214,'D-1 Off Site Habitat Baseline'!$D$1:$O$258,8,FALSE))))</f>
        <v/>
      </c>
      <c r="K214" s="175" t="str">
        <f>IF(E214="","",IF(ISNA(VLOOKUP($E214,'D-1 Off Site Habitat Baseline'!$D$1:$O$258,9,FALSE)),"",(VLOOKUP($E214,'D-1 Off Site Habitat Baseline'!$D$1:$O$258,9,FALSE))))</f>
        <v/>
      </c>
      <c r="L214" s="175" t="str">
        <f>IF(E214="","",IF(ISNA(VLOOKUP($E214,'D-1 Off Site Habitat Baseline'!$D$1:$O$258,11,FALSE)),"",(VLOOKUP($E214,'D-1 Off Site Habitat Baseline'!$D$1:$O$258,11,FALSE))))</f>
        <v/>
      </c>
      <c r="M214" s="175" t="str">
        <f>IF(E214="","",IF(ISNA(VLOOKUP($E214,'D-1 Off Site Habitat Baseline'!$D$1:$O$258,12,FALSE)),"",(VLOOKUP($E214,'D-1 Off Site Habitat Baseline'!$D$1:$O$258,12,FALSE))))</f>
        <v/>
      </c>
      <c r="N214" s="175" t="str">
        <f>IF(E214="","",IF(ISNA(VLOOKUP($E214,'D-1 Off Site Habitat Baseline'!$D$1:$X$258,14,FALSE)),"",(VLOOKUP($E214,'D-1 Off Site Habitat Baseline'!$D$1:$X$258,14,FALSE))))</f>
        <v/>
      </c>
      <c r="O214" s="176" t="str">
        <f>IF(E214="","",IF(ISNA(VLOOKUP($E214,'D-1 Off Site Habitat Baseline'!$D$1:$X$258,13,FALSE)),"",(VLOOKUP($E214,'D-1 Off Site Habitat Baseline'!$D$1:$X$258,13,FALSE))))</f>
        <v/>
      </c>
      <c r="P214" s="337" t="str">
        <f>IFERROR(INDEX('G-1 All Habitats'!$AG$3:$AG$15,MATCH(Q214,'G-1 All Habitats'!$AF$3:$AF$15,0)),"")</f>
        <v/>
      </c>
      <c r="Q214" s="331" t="str">
        <f t="shared" si="46"/>
        <v/>
      </c>
      <c r="R214" s="332" t="str">
        <f t="shared" si="47"/>
        <v/>
      </c>
      <c r="S214" s="338" t="str">
        <f>IFERROR(INDEX('G-1 All Habitats'!$B$3:$B$130,MATCH(R214,'G-1 All Habitats'!$A$3:$A$130,0)),"")</f>
        <v/>
      </c>
      <c r="T214" s="179" t="str">
        <f t="shared" si="39"/>
        <v/>
      </c>
      <c r="U214" s="172" t="str">
        <f t="shared" si="40"/>
        <v/>
      </c>
      <c r="V214" s="334" t="str">
        <f t="shared" si="37"/>
        <v/>
      </c>
      <c r="W214" s="175" t="str">
        <f>IF(S214="","",VLOOKUP(S214,'G-1 All Habitats'!$B$2:$M$130,10,FALSE))</f>
        <v/>
      </c>
      <c r="X214" s="175" t="str">
        <f>IFERROR(VLOOKUP(W214,'G-1 All Habitats'!$V$3:$W$7,2,FALSE),"")</f>
        <v/>
      </c>
      <c r="Y214" s="275"/>
      <c r="Z214" s="176" t="str">
        <f>IFERROR(INDEX('G-8 Condition Look up'!$A$3:$H$131,MATCH(S214,'G-8 Condition Look up'!$A$3:$A$131,0),MATCH(Y214,'G-8 Condition Look up'!$A$3:$H$3,0)),"")</f>
        <v/>
      </c>
      <c r="AA214" s="173"/>
      <c r="AB214" s="269" t="str">
        <f>IF(AA214="","",IF(VLOOKUP(AA214,'G-3 Multipliers'!$L$3:$N$6,2,FALSE)=0,"Spatial Data Missing",VLOOKUP(AA214,'G-3 Multipliers'!$L$3:$N$6,2,FALSE)))</f>
        <v/>
      </c>
      <c r="AC214" s="176" t="str">
        <f>IF(AA214="","",IF(VLOOKUP(AA214,'G-3 Multipliers'!$L$3:$N$6,3,FALSE)=0,"Spatial Data Missing",VLOOKUP(AA214,'G-3 Multipliers'!$L$3:$N$6,3,FALSE)))</f>
        <v/>
      </c>
      <c r="AD214" s="239" t="str">
        <f t="shared" si="38"/>
        <v/>
      </c>
      <c r="AE214" s="275"/>
      <c r="AF214" s="275"/>
      <c r="AG214" s="175" t="str">
        <f t="shared" si="41"/>
        <v/>
      </c>
      <c r="AH214" s="242" t="str">
        <f t="shared" si="42"/>
        <v/>
      </c>
      <c r="AI214" s="335" t="str">
        <f>IF(AH214="Check Data","Check Data",IFERROR(VLOOKUP(AH214,'G-4 Temporal multipliers'!$A$4:$C$36,3,FALSE),""))</f>
        <v/>
      </c>
      <c r="AJ214" s="239" t="str">
        <f>IF(S214="","",VLOOKUP(S214,'G-3 Multipliers'!$A$2:$E$130,4,FALSE))</f>
        <v/>
      </c>
      <c r="AK214" s="175" t="str">
        <f t="shared" si="43"/>
        <v/>
      </c>
      <c r="AL214" s="175" t="str">
        <f t="shared" si="44"/>
        <v/>
      </c>
      <c r="AM214" s="176" t="str">
        <f>IFERROR(IF(F214="","",IF(AH214="Check Data","Check Data",VLOOKUP(AL214, 'G-3 Multipliers'!$P$2:$Q$6,2,FALSE))),””)</f>
        <v/>
      </c>
      <c r="AN214" s="266"/>
      <c r="AO214" s="269" t="str">
        <f>IF(AN214="","",IF(VLOOKUP(AN214,'G-3 Multipliers'!$S$3:$T$9,2,FALSE)=0,"Spatial Data Missing",VLOOKUP(AN214,'G-3 Multipliers'!$S$3:$T$9,2,FALSE)))</f>
        <v/>
      </c>
      <c r="AP214" s="207" t="str">
        <f t="shared" si="45"/>
        <v/>
      </c>
      <c r="AQ214" s="336"/>
      <c r="AR214" s="181"/>
    </row>
    <row r="215" spans="1:44" x14ac:dyDescent="0.25">
      <c r="A215" s="35" t="str">
        <f>IF(E215="","",IF(ISNA(VLOOKUP($E215,'D-1 Off Site Habitat Baseline'!$D$1:$O$258,2,FALSE)),"",(VLOOKUP($E215,'D-1 Off Site Habitat Baseline'!$D$1:$O$258,2,FALSE))))</f>
        <v/>
      </c>
      <c r="B215" s="35" t="str">
        <f>IF(E215="","",IF(ISNA(VLOOKUP($E215,'D-1 Off Site Habitat Baseline'!$D$1:$O$258,3,FALSE)),"",(VLOOKUP($E215,'D-1 Off Site Habitat Baseline'!$D$1:$O$258,3,FALSE))))</f>
        <v/>
      </c>
      <c r="C215" s="35" t="str">
        <f>IFERROR(INDEX('G-8 Condition Look up'!$I$4:$I$131,MATCH(S215,'G-8 Condition Look up'!$A$4:$A$131,0)),"")</f>
        <v/>
      </c>
      <c r="E215" s="329" t="str">
        <f>'D-1 Off Site Habitat Baseline'!AL214</f>
        <v/>
      </c>
      <c r="F215" s="175" t="str">
        <f>IF(E215="","",IF(ISNA(VLOOKUP($E215,'D-1 Off Site Habitat Baseline'!$D$1:$O$258,4,FALSE)),"",(VLOOKUP($E215,'D-1 Off Site Habitat Baseline'!$D$1:$O$258,4,FALSE))))</f>
        <v/>
      </c>
      <c r="G215" s="175" t="str">
        <f>IF(E215="","",IF(ISNA(VLOOKUP($E215,'D-1 Off Site Habitat Baseline'!$D$1:$O$258,5,FALSE)),"",(VLOOKUP($E215,'D-1 Off Site Habitat Baseline'!$D$1:$O$258,5,FALSE))))</f>
        <v/>
      </c>
      <c r="H215" s="175" t="str">
        <f>IF(E215="","",IF(ISNA(VLOOKUP($E215,'D-1 Off Site Habitat Baseline'!$D$1:$O$258,6,FALSE)),"",(VLOOKUP($E215,'D-1 Off Site Habitat Baseline'!$D$1:$O$258,6,FALSE))))</f>
        <v/>
      </c>
      <c r="I215" s="175" t="str">
        <f>IF(E215="","",IF(ISNA(VLOOKUP($E215,'D-1 Off Site Habitat Baseline'!$D$1:$O$258,7,FALSE)),"",(VLOOKUP($E215,'D-1 Off Site Habitat Baseline'!$D$1:$O$258,7,FALSE))))</f>
        <v/>
      </c>
      <c r="J215" s="175" t="str">
        <f>IF(E215="","",IF(ISNA(VLOOKUP($E215,'D-1 Off Site Habitat Baseline'!$D$1:$O$258,8,FALSE)),"",(VLOOKUP($E215,'D-1 Off Site Habitat Baseline'!$D$1:$O$258,8,FALSE))))</f>
        <v/>
      </c>
      <c r="K215" s="175" t="str">
        <f>IF(E215="","",IF(ISNA(VLOOKUP($E215,'D-1 Off Site Habitat Baseline'!$D$1:$O$258,9,FALSE)),"",(VLOOKUP($E215,'D-1 Off Site Habitat Baseline'!$D$1:$O$258,9,FALSE))))</f>
        <v/>
      </c>
      <c r="L215" s="175" t="str">
        <f>IF(E215="","",IF(ISNA(VLOOKUP($E215,'D-1 Off Site Habitat Baseline'!$D$1:$O$258,11,FALSE)),"",(VLOOKUP($E215,'D-1 Off Site Habitat Baseline'!$D$1:$O$258,11,FALSE))))</f>
        <v/>
      </c>
      <c r="M215" s="175" t="str">
        <f>IF(E215="","",IF(ISNA(VLOOKUP($E215,'D-1 Off Site Habitat Baseline'!$D$1:$O$258,12,FALSE)),"",(VLOOKUP($E215,'D-1 Off Site Habitat Baseline'!$D$1:$O$258,12,FALSE))))</f>
        <v/>
      </c>
      <c r="N215" s="175" t="str">
        <f>IF(E215="","",IF(ISNA(VLOOKUP($E215,'D-1 Off Site Habitat Baseline'!$D$1:$X$258,14,FALSE)),"",(VLOOKUP($E215,'D-1 Off Site Habitat Baseline'!$D$1:$X$258,14,FALSE))))</f>
        <v/>
      </c>
      <c r="O215" s="176" t="str">
        <f>IF(E215="","",IF(ISNA(VLOOKUP($E215,'D-1 Off Site Habitat Baseline'!$D$1:$X$258,13,FALSE)),"",(VLOOKUP($E215,'D-1 Off Site Habitat Baseline'!$D$1:$X$258,13,FALSE))))</f>
        <v/>
      </c>
      <c r="P215" s="337" t="str">
        <f>IFERROR(INDEX('G-1 All Habitats'!$AG$3:$AG$15,MATCH(Q215,'G-1 All Habitats'!$AF$3:$AF$15,0)),"")</f>
        <v/>
      </c>
      <c r="Q215" s="331" t="str">
        <f t="shared" si="46"/>
        <v/>
      </c>
      <c r="R215" s="332" t="str">
        <f t="shared" si="47"/>
        <v/>
      </c>
      <c r="S215" s="338" t="str">
        <f>IFERROR(INDEX('G-1 All Habitats'!$B$3:$B$130,MATCH(R215,'G-1 All Habitats'!$A$3:$A$130,0)),"")</f>
        <v/>
      </c>
      <c r="T215" s="179" t="str">
        <f t="shared" si="39"/>
        <v/>
      </c>
      <c r="U215" s="172" t="str">
        <f t="shared" si="40"/>
        <v/>
      </c>
      <c r="V215" s="334" t="str">
        <f t="shared" si="37"/>
        <v/>
      </c>
      <c r="W215" s="175" t="str">
        <f>IF(S215="","",VLOOKUP(S215,'G-1 All Habitats'!$B$2:$M$130,10,FALSE))</f>
        <v/>
      </c>
      <c r="X215" s="175" t="str">
        <f>IFERROR(VLOOKUP(W215,'G-1 All Habitats'!$V$3:$W$7,2,FALSE),"")</f>
        <v/>
      </c>
      <c r="Y215" s="275"/>
      <c r="Z215" s="176" t="str">
        <f>IFERROR(INDEX('G-8 Condition Look up'!$A$3:$H$131,MATCH(S215,'G-8 Condition Look up'!$A$3:$A$131,0),MATCH(Y215,'G-8 Condition Look up'!$A$3:$H$3,0)),"")</f>
        <v/>
      </c>
      <c r="AA215" s="173"/>
      <c r="AB215" s="269" t="str">
        <f>IF(AA215="","",IF(VLOOKUP(AA215,'G-3 Multipliers'!$L$3:$N$6,2,FALSE)=0,"Spatial Data Missing",VLOOKUP(AA215,'G-3 Multipliers'!$L$3:$N$6,2,FALSE)))</f>
        <v/>
      </c>
      <c r="AC215" s="176" t="str">
        <f>IF(AA215="","",IF(VLOOKUP(AA215,'G-3 Multipliers'!$L$3:$N$6,3,FALSE)=0,"Spatial Data Missing",VLOOKUP(AA215,'G-3 Multipliers'!$L$3:$N$6,3,FALSE)))</f>
        <v/>
      </c>
      <c r="AD215" s="239" t="str">
        <f t="shared" si="38"/>
        <v/>
      </c>
      <c r="AE215" s="275"/>
      <c r="AF215" s="275"/>
      <c r="AG215" s="175" t="str">
        <f t="shared" si="41"/>
        <v/>
      </c>
      <c r="AH215" s="242" t="str">
        <f t="shared" si="42"/>
        <v/>
      </c>
      <c r="AI215" s="335" t="str">
        <f>IF(AH215="Check Data","Check Data",IFERROR(VLOOKUP(AH215,'G-4 Temporal multipliers'!$A$4:$C$36,3,FALSE),""))</f>
        <v/>
      </c>
      <c r="AJ215" s="239" t="str">
        <f>IF(S215="","",VLOOKUP(S215,'G-3 Multipliers'!$A$2:$E$130,4,FALSE))</f>
        <v/>
      </c>
      <c r="AK215" s="175" t="str">
        <f t="shared" si="43"/>
        <v/>
      </c>
      <c r="AL215" s="175" t="str">
        <f t="shared" si="44"/>
        <v/>
      </c>
      <c r="AM215" s="176" t="str">
        <f>IFERROR(IF(F215="","",IF(AH215="Check Data","Check Data",VLOOKUP(AL215, 'G-3 Multipliers'!$P$2:$Q$6,2,FALSE))),””)</f>
        <v/>
      </c>
      <c r="AN215" s="266"/>
      <c r="AO215" s="269" t="str">
        <f>IF(AN215="","",IF(VLOOKUP(AN215,'G-3 Multipliers'!$S$3:$T$9,2,FALSE)=0,"Spatial Data Missing",VLOOKUP(AN215,'G-3 Multipliers'!$S$3:$T$9,2,FALSE)))</f>
        <v/>
      </c>
      <c r="AP215" s="207" t="str">
        <f t="shared" si="45"/>
        <v/>
      </c>
      <c r="AQ215" s="336"/>
      <c r="AR215" s="181"/>
    </row>
    <row r="216" spans="1:44" x14ac:dyDescent="0.25">
      <c r="A216" s="35" t="str">
        <f>IF(E216="","",IF(ISNA(VLOOKUP($E216,'D-1 Off Site Habitat Baseline'!$D$1:$O$258,2,FALSE)),"",(VLOOKUP($E216,'D-1 Off Site Habitat Baseline'!$D$1:$O$258,2,FALSE))))</f>
        <v/>
      </c>
      <c r="B216" s="35" t="str">
        <f>IF(E216="","",IF(ISNA(VLOOKUP($E216,'D-1 Off Site Habitat Baseline'!$D$1:$O$258,3,FALSE)),"",(VLOOKUP($E216,'D-1 Off Site Habitat Baseline'!$D$1:$O$258,3,FALSE))))</f>
        <v/>
      </c>
      <c r="C216" s="35" t="str">
        <f>IFERROR(INDEX('G-8 Condition Look up'!$I$4:$I$131,MATCH(S216,'G-8 Condition Look up'!$A$4:$A$131,0)),"")</f>
        <v/>
      </c>
      <c r="E216" s="329" t="str">
        <f>'D-1 Off Site Habitat Baseline'!AL215</f>
        <v/>
      </c>
      <c r="F216" s="175" t="str">
        <f>IF(E216="","",IF(ISNA(VLOOKUP($E216,'D-1 Off Site Habitat Baseline'!$D$1:$O$258,4,FALSE)),"",(VLOOKUP($E216,'D-1 Off Site Habitat Baseline'!$D$1:$O$258,4,FALSE))))</f>
        <v/>
      </c>
      <c r="G216" s="175" t="str">
        <f>IF(E216="","",IF(ISNA(VLOOKUP($E216,'D-1 Off Site Habitat Baseline'!$D$1:$O$258,5,FALSE)),"",(VLOOKUP($E216,'D-1 Off Site Habitat Baseline'!$D$1:$O$258,5,FALSE))))</f>
        <v/>
      </c>
      <c r="H216" s="175" t="str">
        <f>IF(E216="","",IF(ISNA(VLOOKUP($E216,'D-1 Off Site Habitat Baseline'!$D$1:$O$258,6,FALSE)),"",(VLOOKUP($E216,'D-1 Off Site Habitat Baseline'!$D$1:$O$258,6,FALSE))))</f>
        <v/>
      </c>
      <c r="I216" s="175" t="str">
        <f>IF(E216="","",IF(ISNA(VLOOKUP($E216,'D-1 Off Site Habitat Baseline'!$D$1:$O$258,7,FALSE)),"",(VLOOKUP($E216,'D-1 Off Site Habitat Baseline'!$D$1:$O$258,7,FALSE))))</f>
        <v/>
      </c>
      <c r="J216" s="175" t="str">
        <f>IF(E216="","",IF(ISNA(VLOOKUP($E216,'D-1 Off Site Habitat Baseline'!$D$1:$O$258,8,FALSE)),"",(VLOOKUP($E216,'D-1 Off Site Habitat Baseline'!$D$1:$O$258,8,FALSE))))</f>
        <v/>
      </c>
      <c r="K216" s="175" t="str">
        <f>IF(E216="","",IF(ISNA(VLOOKUP($E216,'D-1 Off Site Habitat Baseline'!$D$1:$O$258,9,FALSE)),"",(VLOOKUP($E216,'D-1 Off Site Habitat Baseline'!$D$1:$O$258,9,FALSE))))</f>
        <v/>
      </c>
      <c r="L216" s="175" t="str">
        <f>IF(E216="","",IF(ISNA(VLOOKUP($E216,'D-1 Off Site Habitat Baseline'!$D$1:$O$258,11,FALSE)),"",(VLOOKUP($E216,'D-1 Off Site Habitat Baseline'!$D$1:$O$258,11,FALSE))))</f>
        <v/>
      </c>
      <c r="M216" s="175" t="str">
        <f>IF(E216="","",IF(ISNA(VLOOKUP($E216,'D-1 Off Site Habitat Baseline'!$D$1:$O$258,12,FALSE)),"",(VLOOKUP($E216,'D-1 Off Site Habitat Baseline'!$D$1:$O$258,12,FALSE))))</f>
        <v/>
      </c>
      <c r="N216" s="175" t="str">
        <f>IF(E216="","",IF(ISNA(VLOOKUP($E216,'D-1 Off Site Habitat Baseline'!$D$1:$X$258,14,FALSE)),"",(VLOOKUP($E216,'D-1 Off Site Habitat Baseline'!$D$1:$X$258,14,FALSE))))</f>
        <v/>
      </c>
      <c r="O216" s="176" t="str">
        <f>IF(E216="","",IF(ISNA(VLOOKUP($E216,'D-1 Off Site Habitat Baseline'!$D$1:$X$258,13,FALSE)),"",(VLOOKUP($E216,'D-1 Off Site Habitat Baseline'!$D$1:$X$258,13,FALSE))))</f>
        <v/>
      </c>
      <c r="P216" s="337" t="str">
        <f>IFERROR(INDEX('G-1 All Habitats'!$AG$3:$AG$15,MATCH(Q216,'G-1 All Habitats'!$AF$3:$AF$15,0)),"")</f>
        <v/>
      </c>
      <c r="Q216" s="331" t="str">
        <f t="shared" si="46"/>
        <v/>
      </c>
      <c r="R216" s="332" t="str">
        <f t="shared" si="47"/>
        <v/>
      </c>
      <c r="S216" s="338" t="str">
        <f>IFERROR(INDEX('G-1 All Habitats'!$B$3:$B$130,MATCH(R216,'G-1 All Habitats'!$A$3:$A$130,0)),"")</f>
        <v/>
      </c>
      <c r="T216" s="179" t="str">
        <f t="shared" si="39"/>
        <v/>
      </c>
      <c r="U216" s="172" t="str">
        <f t="shared" si="40"/>
        <v/>
      </c>
      <c r="V216" s="334" t="str">
        <f t="shared" si="37"/>
        <v/>
      </c>
      <c r="W216" s="175" t="str">
        <f>IF(S216="","",VLOOKUP(S216,'G-1 All Habitats'!$B$2:$M$130,10,FALSE))</f>
        <v/>
      </c>
      <c r="X216" s="175" t="str">
        <f>IFERROR(VLOOKUP(W216,'G-1 All Habitats'!$V$3:$W$7,2,FALSE),"")</f>
        <v/>
      </c>
      <c r="Y216" s="275"/>
      <c r="Z216" s="176" t="str">
        <f>IFERROR(INDEX('G-8 Condition Look up'!$A$3:$H$131,MATCH(S216,'G-8 Condition Look up'!$A$3:$A$131,0),MATCH(Y216,'G-8 Condition Look up'!$A$3:$H$3,0)),"")</f>
        <v/>
      </c>
      <c r="AA216" s="173"/>
      <c r="AB216" s="269" t="str">
        <f>IF(AA216="","",IF(VLOOKUP(AA216,'G-3 Multipliers'!$L$3:$N$6,2,FALSE)=0,"Spatial Data Missing",VLOOKUP(AA216,'G-3 Multipliers'!$L$3:$N$6,2,FALSE)))</f>
        <v/>
      </c>
      <c r="AC216" s="176" t="str">
        <f>IF(AA216="","",IF(VLOOKUP(AA216,'G-3 Multipliers'!$L$3:$N$6,3,FALSE)=0,"Spatial Data Missing",VLOOKUP(AA216,'G-3 Multipliers'!$L$3:$N$6,3,FALSE)))</f>
        <v/>
      </c>
      <c r="AD216" s="239" t="str">
        <f t="shared" si="38"/>
        <v/>
      </c>
      <c r="AE216" s="275"/>
      <c r="AF216" s="275"/>
      <c r="AG216" s="175" t="str">
        <f t="shared" si="41"/>
        <v/>
      </c>
      <c r="AH216" s="242" t="str">
        <f t="shared" si="42"/>
        <v/>
      </c>
      <c r="AI216" s="335" t="str">
        <f>IF(AH216="Check Data","Check Data",IFERROR(VLOOKUP(AH216,'G-4 Temporal multipliers'!$A$4:$C$36,3,FALSE),""))</f>
        <v/>
      </c>
      <c r="AJ216" s="239" t="str">
        <f>IF(S216="","",VLOOKUP(S216,'G-3 Multipliers'!$A$2:$E$130,4,FALSE))</f>
        <v/>
      </c>
      <c r="AK216" s="175" t="str">
        <f t="shared" si="43"/>
        <v/>
      </c>
      <c r="AL216" s="175" t="str">
        <f t="shared" si="44"/>
        <v/>
      </c>
      <c r="AM216" s="176" t="str">
        <f>IFERROR(IF(F216="","",IF(AH216="Check Data","Check Data",VLOOKUP(AL216, 'G-3 Multipliers'!$P$2:$Q$6,2,FALSE))),””)</f>
        <v/>
      </c>
      <c r="AN216" s="266"/>
      <c r="AO216" s="269" t="str">
        <f>IF(AN216="","",IF(VLOOKUP(AN216,'G-3 Multipliers'!$S$3:$T$9,2,FALSE)=0,"Spatial Data Missing",VLOOKUP(AN216,'G-3 Multipliers'!$S$3:$T$9,2,FALSE)))</f>
        <v/>
      </c>
      <c r="AP216" s="207" t="str">
        <f t="shared" si="45"/>
        <v/>
      </c>
      <c r="AQ216" s="336"/>
      <c r="AR216" s="181"/>
    </row>
    <row r="217" spans="1:44" x14ac:dyDescent="0.25">
      <c r="A217" s="35" t="str">
        <f>IF(E217="","",IF(ISNA(VLOOKUP($E217,'D-1 Off Site Habitat Baseline'!$D$1:$O$258,2,FALSE)),"",(VLOOKUP($E217,'D-1 Off Site Habitat Baseline'!$D$1:$O$258,2,FALSE))))</f>
        <v/>
      </c>
      <c r="B217" s="35" t="str">
        <f>IF(E217="","",IF(ISNA(VLOOKUP($E217,'D-1 Off Site Habitat Baseline'!$D$1:$O$258,3,FALSE)),"",(VLOOKUP($E217,'D-1 Off Site Habitat Baseline'!$D$1:$O$258,3,FALSE))))</f>
        <v/>
      </c>
      <c r="C217" s="35" t="str">
        <f>IFERROR(INDEX('G-8 Condition Look up'!$I$4:$I$131,MATCH(S217,'G-8 Condition Look up'!$A$4:$A$131,0)),"")</f>
        <v/>
      </c>
      <c r="E217" s="329" t="str">
        <f>'D-1 Off Site Habitat Baseline'!AL216</f>
        <v/>
      </c>
      <c r="F217" s="175" t="str">
        <f>IF(E217="","",IF(ISNA(VLOOKUP($E217,'D-1 Off Site Habitat Baseline'!$D$1:$O$258,4,FALSE)),"",(VLOOKUP($E217,'D-1 Off Site Habitat Baseline'!$D$1:$O$258,4,FALSE))))</f>
        <v/>
      </c>
      <c r="G217" s="175" t="str">
        <f>IF(E217="","",IF(ISNA(VLOOKUP($E217,'D-1 Off Site Habitat Baseline'!$D$1:$O$258,5,FALSE)),"",(VLOOKUP($E217,'D-1 Off Site Habitat Baseline'!$D$1:$O$258,5,FALSE))))</f>
        <v/>
      </c>
      <c r="H217" s="175" t="str">
        <f>IF(E217="","",IF(ISNA(VLOOKUP($E217,'D-1 Off Site Habitat Baseline'!$D$1:$O$258,6,FALSE)),"",(VLOOKUP($E217,'D-1 Off Site Habitat Baseline'!$D$1:$O$258,6,FALSE))))</f>
        <v/>
      </c>
      <c r="I217" s="175" t="str">
        <f>IF(E217="","",IF(ISNA(VLOOKUP($E217,'D-1 Off Site Habitat Baseline'!$D$1:$O$258,7,FALSE)),"",(VLOOKUP($E217,'D-1 Off Site Habitat Baseline'!$D$1:$O$258,7,FALSE))))</f>
        <v/>
      </c>
      <c r="J217" s="175" t="str">
        <f>IF(E217="","",IF(ISNA(VLOOKUP($E217,'D-1 Off Site Habitat Baseline'!$D$1:$O$258,8,FALSE)),"",(VLOOKUP($E217,'D-1 Off Site Habitat Baseline'!$D$1:$O$258,8,FALSE))))</f>
        <v/>
      </c>
      <c r="K217" s="175" t="str">
        <f>IF(E217="","",IF(ISNA(VLOOKUP($E217,'D-1 Off Site Habitat Baseline'!$D$1:$O$258,9,FALSE)),"",(VLOOKUP($E217,'D-1 Off Site Habitat Baseline'!$D$1:$O$258,9,FALSE))))</f>
        <v/>
      </c>
      <c r="L217" s="175" t="str">
        <f>IF(E217="","",IF(ISNA(VLOOKUP($E217,'D-1 Off Site Habitat Baseline'!$D$1:$O$258,11,FALSE)),"",(VLOOKUP($E217,'D-1 Off Site Habitat Baseline'!$D$1:$O$258,11,FALSE))))</f>
        <v/>
      </c>
      <c r="M217" s="175" t="str">
        <f>IF(E217="","",IF(ISNA(VLOOKUP($E217,'D-1 Off Site Habitat Baseline'!$D$1:$O$258,12,FALSE)),"",(VLOOKUP($E217,'D-1 Off Site Habitat Baseline'!$D$1:$O$258,12,FALSE))))</f>
        <v/>
      </c>
      <c r="N217" s="175" t="str">
        <f>IF(E217="","",IF(ISNA(VLOOKUP($E217,'D-1 Off Site Habitat Baseline'!$D$1:$X$258,14,FALSE)),"",(VLOOKUP($E217,'D-1 Off Site Habitat Baseline'!$D$1:$X$258,14,FALSE))))</f>
        <v/>
      </c>
      <c r="O217" s="176" t="str">
        <f>IF(E217="","",IF(ISNA(VLOOKUP($E217,'D-1 Off Site Habitat Baseline'!$D$1:$X$258,13,FALSE)),"",(VLOOKUP($E217,'D-1 Off Site Habitat Baseline'!$D$1:$X$258,13,FALSE))))</f>
        <v/>
      </c>
      <c r="P217" s="337" t="str">
        <f>IFERROR(INDEX('G-1 All Habitats'!$AG$3:$AG$15,MATCH(Q217,'G-1 All Habitats'!$AF$3:$AF$15,0)),"")</f>
        <v/>
      </c>
      <c r="Q217" s="331" t="str">
        <f t="shared" si="46"/>
        <v/>
      </c>
      <c r="R217" s="332" t="str">
        <f t="shared" si="47"/>
        <v/>
      </c>
      <c r="S217" s="338" t="str">
        <f>IFERROR(INDEX('G-1 All Habitats'!$B$3:$B$130,MATCH(R217,'G-1 All Habitats'!$A$3:$A$130,0)),"")</f>
        <v/>
      </c>
      <c r="T217" s="179" t="str">
        <f t="shared" si="39"/>
        <v/>
      </c>
      <c r="U217" s="172" t="str">
        <f t="shared" si="40"/>
        <v/>
      </c>
      <c r="V217" s="334" t="str">
        <f t="shared" si="37"/>
        <v/>
      </c>
      <c r="W217" s="175" t="str">
        <f>IF(S217="","",VLOOKUP(S217,'G-1 All Habitats'!$B$2:$M$130,10,FALSE))</f>
        <v/>
      </c>
      <c r="X217" s="175" t="str">
        <f>IFERROR(VLOOKUP(W217,'G-1 All Habitats'!$V$3:$W$7,2,FALSE),"")</f>
        <v/>
      </c>
      <c r="Y217" s="275"/>
      <c r="Z217" s="176" t="str">
        <f>IFERROR(INDEX('G-8 Condition Look up'!$A$3:$H$131,MATCH(S217,'G-8 Condition Look up'!$A$3:$A$131,0),MATCH(Y217,'G-8 Condition Look up'!$A$3:$H$3,0)),"")</f>
        <v/>
      </c>
      <c r="AA217" s="173"/>
      <c r="AB217" s="269" t="str">
        <f>IF(AA217="","",IF(VLOOKUP(AA217,'G-3 Multipliers'!$L$3:$N$6,2,FALSE)=0,"Spatial Data Missing",VLOOKUP(AA217,'G-3 Multipliers'!$L$3:$N$6,2,FALSE)))</f>
        <v/>
      </c>
      <c r="AC217" s="176" t="str">
        <f>IF(AA217="","",IF(VLOOKUP(AA217,'G-3 Multipliers'!$L$3:$N$6,3,FALSE)=0,"Spatial Data Missing",VLOOKUP(AA217,'G-3 Multipliers'!$L$3:$N$6,3,FALSE)))</f>
        <v/>
      </c>
      <c r="AD217" s="239" t="str">
        <f t="shared" si="38"/>
        <v/>
      </c>
      <c r="AE217" s="275"/>
      <c r="AF217" s="275"/>
      <c r="AG217" s="175" t="str">
        <f t="shared" si="41"/>
        <v/>
      </c>
      <c r="AH217" s="242" t="str">
        <f t="shared" si="42"/>
        <v/>
      </c>
      <c r="AI217" s="335" t="str">
        <f>IF(AH217="Check Data","Check Data",IFERROR(VLOOKUP(AH217,'G-4 Temporal multipliers'!$A$4:$C$36,3,FALSE),""))</f>
        <v/>
      </c>
      <c r="AJ217" s="239" t="str">
        <f>IF(S217="","",VLOOKUP(S217,'G-3 Multipliers'!$A$2:$E$130,4,FALSE))</f>
        <v/>
      </c>
      <c r="AK217" s="175" t="str">
        <f t="shared" si="43"/>
        <v/>
      </c>
      <c r="AL217" s="175" t="str">
        <f t="shared" si="44"/>
        <v/>
      </c>
      <c r="AM217" s="176" t="str">
        <f>IFERROR(IF(F217="","",IF(AH217="Check Data","Check Data",VLOOKUP(AL217, 'G-3 Multipliers'!$P$2:$Q$6,2,FALSE))),””)</f>
        <v/>
      </c>
      <c r="AN217" s="266"/>
      <c r="AO217" s="269" t="str">
        <f>IF(AN217="","",IF(VLOOKUP(AN217,'G-3 Multipliers'!$S$3:$T$9,2,FALSE)=0,"Spatial Data Missing",VLOOKUP(AN217,'G-3 Multipliers'!$S$3:$T$9,2,FALSE)))</f>
        <v/>
      </c>
      <c r="AP217" s="207" t="str">
        <f t="shared" si="45"/>
        <v/>
      </c>
      <c r="AQ217" s="336"/>
      <c r="AR217" s="181"/>
    </row>
    <row r="218" spans="1:44" x14ac:dyDescent="0.25">
      <c r="A218" s="35" t="str">
        <f>IF(E218="","",IF(ISNA(VLOOKUP($E218,'D-1 Off Site Habitat Baseline'!$D$1:$O$258,2,FALSE)),"",(VLOOKUP($E218,'D-1 Off Site Habitat Baseline'!$D$1:$O$258,2,FALSE))))</f>
        <v/>
      </c>
      <c r="B218" s="35" t="str">
        <f>IF(E218="","",IF(ISNA(VLOOKUP($E218,'D-1 Off Site Habitat Baseline'!$D$1:$O$258,3,FALSE)),"",(VLOOKUP($E218,'D-1 Off Site Habitat Baseline'!$D$1:$O$258,3,FALSE))))</f>
        <v/>
      </c>
      <c r="C218" s="35" t="str">
        <f>IFERROR(INDEX('G-8 Condition Look up'!$I$4:$I$131,MATCH(S218,'G-8 Condition Look up'!$A$4:$A$131,0)),"")</f>
        <v/>
      </c>
      <c r="E218" s="329" t="str">
        <f>'D-1 Off Site Habitat Baseline'!AL217</f>
        <v/>
      </c>
      <c r="F218" s="175" t="str">
        <f>IF(E218="","",IF(ISNA(VLOOKUP($E218,'D-1 Off Site Habitat Baseline'!$D$1:$O$258,4,FALSE)),"",(VLOOKUP($E218,'D-1 Off Site Habitat Baseline'!$D$1:$O$258,4,FALSE))))</f>
        <v/>
      </c>
      <c r="G218" s="175" t="str">
        <f>IF(E218="","",IF(ISNA(VLOOKUP($E218,'D-1 Off Site Habitat Baseline'!$D$1:$O$258,5,FALSE)),"",(VLOOKUP($E218,'D-1 Off Site Habitat Baseline'!$D$1:$O$258,5,FALSE))))</f>
        <v/>
      </c>
      <c r="H218" s="175" t="str">
        <f>IF(E218="","",IF(ISNA(VLOOKUP($E218,'D-1 Off Site Habitat Baseline'!$D$1:$O$258,6,FALSE)),"",(VLOOKUP($E218,'D-1 Off Site Habitat Baseline'!$D$1:$O$258,6,FALSE))))</f>
        <v/>
      </c>
      <c r="I218" s="175" t="str">
        <f>IF(E218="","",IF(ISNA(VLOOKUP($E218,'D-1 Off Site Habitat Baseline'!$D$1:$O$258,7,FALSE)),"",(VLOOKUP($E218,'D-1 Off Site Habitat Baseline'!$D$1:$O$258,7,FALSE))))</f>
        <v/>
      </c>
      <c r="J218" s="175" t="str">
        <f>IF(E218="","",IF(ISNA(VLOOKUP($E218,'D-1 Off Site Habitat Baseline'!$D$1:$O$258,8,FALSE)),"",(VLOOKUP($E218,'D-1 Off Site Habitat Baseline'!$D$1:$O$258,8,FALSE))))</f>
        <v/>
      </c>
      <c r="K218" s="175" t="str">
        <f>IF(E218="","",IF(ISNA(VLOOKUP($E218,'D-1 Off Site Habitat Baseline'!$D$1:$O$258,9,FALSE)),"",(VLOOKUP($E218,'D-1 Off Site Habitat Baseline'!$D$1:$O$258,9,FALSE))))</f>
        <v/>
      </c>
      <c r="L218" s="175" t="str">
        <f>IF(E218="","",IF(ISNA(VLOOKUP($E218,'D-1 Off Site Habitat Baseline'!$D$1:$O$258,11,FALSE)),"",(VLOOKUP($E218,'D-1 Off Site Habitat Baseline'!$D$1:$O$258,11,FALSE))))</f>
        <v/>
      </c>
      <c r="M218" s="175" t="str">
        <f>IF(E218="","",IF(ISNA(VLOOKUP($E218,'D-1 Off Site Habitat Baseline'!$D$1:$O$258,12,FALSE)),"",(VLOOKUP($E218,'D-1 Off Site Habitat Baseline'!$D$1:$O$258,12,FALSE))))</f>
        <v/>
      </c>
      <c r="N218" s="175" t="str">
        <f>IF(E218="","",IF(ISNA(VLOOKUP($E218,'D-1 Off Site Habitat Baseline'!$D$1:$X$258,14,FALSE)),"",(VLOOKUP($E218,'D-1 Off Site Habitat Baseline'!$D$1:$X$258,14,FALSE))))</f>
        <v/>
      </c>
      <c r="O218" s="176" t="str">
        <f>IF(E218="","",IF(ISNA(VLOOKUP($E218,'D-1 Off Site Habitat Baseline'!$D$1:$X$258,13,FALSE)),"",(VLOOKUP($E218,'D-1 Off Site Habitat Baseline'!$D$1:$X$258,13,FALSE))))</f>
        <v/>
      </c>
      <c r="P218" s="337" t="str">
        <f>IFERROR(INDEX('G-1 All Habitats'!$AG$3:$AG$15,MATCH(Q218,'G-1 All Habitats'!$AF$3:$AF$15,0)),"")</f>
        <v/>
      </c>
      <c r="Q218" s="331" t="str">
        <f t="shared" si="46"/>
        <v/>
      </c>
      <c r="R218" s="332" t="str">
        <f t="shared" si="47"/>
        <v/>
      </c>
      <c r="S218" s="338" t="str">
        <f>IFERROR(INDEX('G-1 All Habitats'!$B$3:$B$130,MATCH(R218,'G-1 All Habitats'!$A$3:$A$130,0)),"")</f>
        <v/>
      </c>
      <c r="T218" s="179" t="str">
        <f t="shared" si="39"/>
        <v/>
      </c>
      <c r="U218" s="172" t="str">
        <f t="shared" si="40"/>
        <v/>
      </c>
      <c r="V218" s="334" t="str">
        <f t="shared" si="37"/>
        <v/>
      </c>
      <c r="W218" s="175" t="str">
        <f>IF(S218="","",VLOOKUP(S218,'G-1 All Habitats'!$B$2:$M$130,10,FALSE))</f>
        <v/>
      </c>
      <c r="X218" s="175" t="str">
        <f>IFERROR(VLOOKUP(W218,'G-1 All Habitats'!$V$3:$W$7,2,FALSE),"")</f>
        <v/>
      </c>
      <c r="Y218" s="275"/>
      <c r="Z218" s="176" t="str">
        <f>IFERROR(INDEX('G-8 Condition Look up'!$A$3:$H$131,MATCH(S218,'G-8 Condition Look up'!$A$3:$A$131,0),MATCH(Y218,'G-8 Condition Look up'!$A$3:$H$3,0)),"")</f>
        <v/>
      </c>
      <c r="AA218" s="173"/>
      <c r="AB218" s="269" t="str">
        <f>IF(AA218="","",IF(VLOOKUP(AA218,'G-3 Multipliers'!$L$3:$N$6,2,FALSE)=0,"Spatial Data Missing",VLOOKUP(AA218,'G-3 Multipliers'!$L$3:$N$6,2,FALSE)))</f>
        <v/>
      </c>
      <c r="AC218" s="176" t="str">
        <f>IF(AA218="","",IF(VLOOKUP(AA218,'G-3 Multipliers'!$L$3:$N$6,3,FALSE)=0,"Spatial Data Missing",VLOOKUP(AA218,'G-3 Multipliers'!$L$3:$N$6,3,FALSE)))</f>
        <v/>
      </c>
      <c r="AD218" s="239" t="str">
        <f t="shared" si="38"/>
        <v/>
      </c>
      <c r="AE218" s="275"/>
      <c r="AF218" s="275"/>
      <c r="AG218" s="175" t="str">
        <f t="shared" si="41"/>
        <v/>
      </c>
      <c r="AH218" s="242" t="str">
        <f t="shared" si="42"/>
        <v/>
      </c>
      <c r="AI218" s="335" t="str">
        <f>IF(AH218="Check Data","Check Data",IFERROR(VLOOKUP(AH218,'G-4 Temporal multipliers'!$A$4:$C$36,3,FALSE),""))</f>
        <v/>
      </c>
      <c r="AJ218" s="239" t="str">
        <f>IF(S218="","",VLOOKUP(S218,'G-3 Multipliers'!$A$2:$E$130,4,FALSE))</f>
        <v/>
      </c>
      <c r="AK218" s="175" t="str">
        <f t="shared" si="43"/>
        <v/>
      </c>
      <c r="AL218" s="175" t="str">
        <f t="shared" si="44"/>
        <v/>
      </c>
      <c r="AM218" s="176" t="str">
        <f>IFERROR(IF(F218="","",IF(AH218="Check Data","Check Data",VLOOKUP(AL218, 'G-3 Multipliers'!$P$2:$Q$6,2,FALSE))),””)</f>
        <v/>
      </c>
      <c r="AN218" s="266"/>
      <c r="AO218" s="269" t="str">
        <f>IF(AN218="","",IF(VLOOKUP(AN218,'G-3 Multipliers'!$S$3:$T$9,2,FALSE)=0,"Spatial Data Missing",VLOOKUP(AN218,'G-3 Multipliers'!$S$3:$T$9,2,FALSE)))</f>
        <v/>
      </c>
      <c r="AP218" s="207" t="str">
        <f t="shared" si="45"/>
        <v/>
      </c>
      <c r="AQ218" s="336"/>
      <c r="AR218" s="181"/>
    </row>
    <row r="219" spans="1:44" x14ac:dyDescent="0.25">
      <c r="A219" s="35" t="str">
        <f>IF(E219="","",IF(ISNA(VLOOKUP($E219,'D-1 Off Site Habitat Baseline'!$D$1:$O$258,2,FALSE)),"",(VLOOKUP($E219,'D-1 Off Site Habitat Baseline'!$D$1:$O$258,2,FALSE))))</f>
        <v/>
      </c>
      <c r="B219" s="35" t="str">
        <f>IF(E219="","",IF(ISNA(VLOOKUP($E219,'D-1 Off Site Habitat Baseline'!$D$1:$O$258,3,FALSE)),"",(VLOOKUP($E219,'D-1 Off Site Habitat Baseline'!$D$1:$O$258,3,FALSE))))</f>
        <v/>
      </c>
      <c r="C219" s="35" t="str">
        <f>IFERROR(INDEX('G-8 Condition Look up'!$I$4:$I$131,MATCH(S219,'G-8 Condition Look up'!$A$4:$A$131,0)),"")</f>
        <v/>
      </c>
      <c r="E219" s="329" t="str">
        <f>'D-1 Off Site Habitat Baseline'!AL218</f>
        <v/>
      </c>
      <c r="F219" s="175" t="str">
        <f>IF(E219="","",IF(ISNA(VLOOKUP($E219,'D-1 Off Site Habitat Baseline'!$D$1:$O$258,4,FALSE)),"",(VLOOKUP($E219,'D-1 Off Site Habitat Baseline'!$D$1:$O$258,4,FALSE))))</f>
        <v/>
      </c>
      <c r="G219" s="175" t="str">
        <f>IF(E219="","",IF(ISNA(VLOOKUP($E219,'D-1 Off Site Habitat Baseline'!$D$1:$O$258,5,FALSE)),"",(VLOOKUP($E219,'D-1 Off Site Habitat Baseline'!$D$1:$O$258,5,FALSE))))</f>
        <v/>
      </c>
      <c r="H219" s="175" t="str">
        <f>IF(E219="","",IF(ISNA(VLOOKUP($E219,'D-1 Off Site Habitat Baseline'!$D$1:$O$258,6,FALSE)),"",(VLOOKUP($E219,'D-1 Off Site Habitat Baseline'!$D$1:$O$258,6,FALSE))))</f>
        <v/>
      </c>
      <c r="I219" s="175" t="str">
        <f>IF(E219="","",IF(ISNA(VLOOKUP($E219,'D-1 Off Site Habitat Baseline'!$D$1:$O$258,7,FALSE)),"",(VLOOKUP($E219,'D-1 Off Site Habitat Baseline'!$D$1:$O$258,7,FALSE))))</f>
        <v/>
      </c>
      <c r="J219" s="175" t="str">
        <f>IF(E219="","",IF(ISNA(VLOOKUP($E219,'D-1 Off Site Habitat Baseline'!$D$1:$O$258,8,FALSE)),"",(VLOOKUP($E219,'D-1 Off Site Habitat Baseline'!$D$1:$O$258,8,FALSE))))</f>
        <v/>
      </c>
      <c r="K219" s="175" t="str">
        <f>IF(E219="","",IF(ISNA(VLOOKUP($E219,'D-1 Off Site Habitat Baseline'!$D$1:$O$258,9,FALSE)),"",(VLOOKUP($E219,'D-1 Off Site Habitat Baseline'!$D$1:$O$258,9,FALSE))))</f>
        <v/>
      </c>
      <c r="L219" s="175" t="str">
        <f>IF(E219="","",IF(ISNA(VLOOKUP($E219,'D-1 Off Site Habitat Baseline'!$D$1:$O$258,11,FALSE)),"",(VLOOKUP($E219,'D-1 Off Site Habitat Baseline'!$D$1:$O$258,11,FALSE))))</f>
        <v/>
      </c>
      <c r="M219" s="175" t="str">
        <f>IF(E219="","",IF(ISNA(VLOOKUP($E219,'D-1 Off Site Habitat Baseline'!$D$1:$O$258,12,FALSE)),"",(VLOOKUP($E219,'D-1 Off Site Habitat Baseline'!$D$1:$O$258,12,FALSE))))</f>
        <v/>
      </c>
      <c r="N219" s="175" t="str">
        <f>IF(E219="","",IF(ISNA(VLOOKUP($E219,'D-1 Off Site Habitat Baseline'!$D$1:$X$258,14,FALSE)),"",(VLOOKUP($E219,'D-1 Off Site Habitat Baseline'!$D$1:$X$258,14,FALSE))))</f>
        <v/>
      </c>
      <c r="O219" s="176" t="str">
        <f>IF(E219="","",IF(ISNA(VLOOKUP($E219,'D-1 Off Site Habitat Baseline'!$D$1:$X$258,13,FALSE)),"",(VLOOKUP($E219,'D-1 Off Site Habitat Baseline'!$D$1:$X$258,13,FALSE))))</f>
        <v/>
      </c>
      <c r="P219" s="337" t="str">
        <f>IFERROR(INDEX('G-1 All Habitats'!$AG$3:$AG$15,MATCH(Q219,'G-1 All Habitats'!$AF$3:$AF$15,0)),"")</f>
        <v/>
      </c>
      <c r="Q219" s="331" t="str">
        <f t="shared" si="46"/>
        <v/>
      </c>
      <c r="R219" s="332" t="str">
        <f t="shared" si="47"/>
        <v/>
      </c>
      <c r="S219" s="338" t="str">
        <f>IFERROR(INDEX('G-1 All Habitats'!$B$3:$B$130,MATCH(R219,'G-1 All Habitats'!$A$3:$A$130,0)),"")</f>
        <v/>
      </c>
      <c r="T219" s="179" t="str">
        <f t="shared" si="39"/>
        <v/>
      </c>
      <c r="U219" s="172" t="str">
        <f t="shared" si="40"/>
        <v/>
      </c>
      <c r="V219" s="334" t="str">
        <f t="shared" si="37"/>
        <v/>
      </c>
      <c r="W219" s="175" t="str">
        <f>IF(S219="","",VLOOKUP(S219,'G-1 All Habitats'!$B$2:$M$130,10,FALSE))</f>
        <v/>
      </c>
      <c r="X219" s="175" t="str">
        <f>IFERROR(VLOOKUP(W219,'G-1 All Habitats'!$V$3:$W$7,2,FALSE),"")</f>
        <v/>
      </c>
      <c r="Y219" s="275"/>
      <c r="Z219" s="176" t="str">
        <f>IFERROR(INDEX('G-8 Condition Look up'!$A$3:$H$131,MATCH(S219,'G-8 Condition Look up'!$A$3:$A$131,0),MATCH(Y219,'G-8 Condition Look up'!$A$3:$H$3,0)),"")</f>
        <v/>
      </c>
      <c r="AA219" s="173"/>
      <c r="AB219" s="269" t="str">
        <f>IF(AA219="","",IF(VLOOKUP(AA219,'G-3 Multipliers'!$L$3:$N$6,2,FALSE)=0,"Spatial Data Missing",VLOOKUP(AA219,'G-3 Multipliers'!$L$3:$N$6,2,FALSE)))</f>
        <v/>
      </c>
      <c r="AC219" s="176" t="str">
        <f>IF(AA219="","",IF(VLOOKUP(AA219,'G-3 Multipliers'!$L$3:$N$6,3,FALSE)=0,"Spatial Data Missing",VLOOKUP(AA219,'G-3 Multipliers'!$L$3:$N$6,3,FALSE)))</f>
        <v/>
      </c>
      <c r="AD219" s="239" t="str">
        <f t="shared" si="38"/>
        <v/>
      </c>
      <c r="AE219" s="275"/>
      <c r="AF219" s="275"/>
      <c r="AG219" s="175" t="str">
        <f t="shared" si="41"/>
        <v/>
      </c>
      <c r="AH219" s="242" t="str">
        <f t="shared" si="42"/>
        <v/>
      </c>
      <c r="AI219" s="335" t="str">
        <f>IF(AH219="Check Data","Check Data",IFERROR(VLOOKUP(AH219,'G-4 Temporal multipliers'!$A$4:$C$36,3,FALSE),""))</f>
        <v/>
      </c>
      <c r="AJ219" s="239" t="str">
        <f>IF(S219="","",VLOOKUP(S219,'G-3 Multipliers'!$A$2:$E$130,4,FALSE))</f>
        <v/>
      </c>
      <c r="AK219" s="175" t="str">
        <f t="shared" si="43"/>
        <v/>
      </c>
      <c r="AL219" s="175" t="str">
        <f t="shared" si="44"/>
        <v/>
      </c>
      <c r="AM219" s="176" t="str">
        <f>IFERROR(IF(F219="","",IF(AH219="Check Data","Check Data",VLOOKUP(AL219, 'G-3 Multipliers'!$P$2:$Q$6,2,FALSE))),””)</f>
        <v/>
      </c>
      <c r="AN219" s="266"/>
      <c r="AO219" s="269" t="str">
        <f>IF(AN219="","",IF(VLOOKUP(AN219,'G-3 Multipliers'!$S$3:$T$9,2,FALSE)=0,"Spatial Data Missing",VLOOKUP(AN219,'G-3 Multipliers'!$S$3:$T$9,2,FALSE)))</f>
        <v/>
      </c>
      <c r="AP219" s="207" t="str">
        <f t="shared" si="45"/>
        <v/>
      </c>
      <c r="AQ219" s="336"/>
      <c r="AR219" s="181"/>
    </row>
    <row r="220" spans="1:44" x14ac:dyDescent="0.25">
      <c r="A220" s="35" t="str">
        <f>IF(E220="","",IF(ISNA(VLOOKUP($E220,'D-1 Off Site Habitat Baseline'!$D$1:$O$258,2,FALSE)),"",(VLOOKUP($E220,'D-1 Off Site Habitat Baseline'!$D$1:$O$258,2,FALSE))))</f>
        <v/>
      </c>
      <c r="B220" s="35" t="str">
        <f>IF(E220="","",IF(ISNA(VLOOKUP($E220,'D-1 Off Site Habitat Baseline'!$D$1:$O$258,3,FALSE)),"",(VLOOKUP($E220,'D-1 Off Site Habitat Baseline'!$D$1:$O$258,3,FALSE))))</f>
        <v/>
      </c>
      <c r="C220" s="35" t="str">
        <f>IFERROR(INDEX('G-8 Condition Look up'!$I$4:$I$131,MATCH(S220,'G-8 Condition Look up'!$A$4:$A$131,0)),"")</f>
        <v/>
      </c>
      <c r="E220" s="329" t="str">
        <f>'D-1 Off Site Habitat Baseline'!AL219</f>
        <v/>
      </c>
      <c r="F220" s="175" t="str">
        <f>IF(E220="","",IF(ISNA(VLOOKUP($E220,'D-1 Off Site Habitat Baseline'!$D$1:$O$258,4,FALSE)),"",(VLOOKUP($E220,'D-1 Off Site Habitat Baseline'!$D$1:$O$258,4,FALSE))))</f>
        <v/>
      </c>
      <c r="G220" s="175" t="str">
        <f>IF(E220="","",IF(ISNA(VLOOKUP($E220,'D-1 Off Site Habitat Baseline'!$D$1:$O$258,5,FALSE)),"",(VLOOKUP($E220,'D-1 Off Site Habitat Baseline'!$D$1:$O$258,5,FALSE))))</f>
        <v/>
      </c>
      <c r="H220" s="175" t="str">
        <f>IF(E220="","",IF(ISNA(VLOOKUP($E220,'D-1 Off Site Habitat Baseline'!$D$1:$O$258,6,FALSE)),"",(VLOOKUP($E220,'D-1 Off Site Habitat Baseline'!$D$1:$O$258,6,FALSE))))</f>
        <v/>
      </c>
      <c r="I220" s="175" t="str">
        <f>IF(E220="","",IF(ISNA(VLOOKUP($E220,'D-1 Off Site Habitat Baseline'!$D$1:$O$258,7,FALSE)),"",(VLOOKUP($E220,'D-1 Off Site Habitat Baseline'!$D$1:$O$258,7,FALSE))))</f>
        <v/>
      </c>
      <c r="J220" s="175" t="str">
        <f>IF(E220="","",IF(ISNA(VLOOKUP($E220,'D-1 Off Site Habitat Baseline'!$D$1:$O$258,8,FALSE)),"",(VLOOKUP($E220,'D-1 Off Site Habitat Baseline'!$D$1:$O$258,8,FALSE))))</f>
        <v/>
      </c>
      <c r="K220" s="175" t="str">
        <f>IF(E220="","",IF(ISNA(VLOOKUP($E220,'D-1 Off Site Habitat Baseline'!$D$1:$O$258,9,FALSE)),"",(VLOOKUP($E220,'D-1 Off Site Habitat Baseline'!$D$1:$O$258,9,FALSE))))</f>
        <v/>
      </c>
      <c r="L220" s="175" t="str">
        <f>IF(E220="","",IF(ISNA(VLOOKUP($E220,'D-1 Off Site Habitat Baseline'!$D$1:$O$258,11,FALSE)),"",(VLOOKUP($E220,'D-1 Off Site Habitat Baseline'!$D$1:$O$258,11,FALSE))))</f>
        <v/>
      </c>
      <c r="M220" s="175" t="str">
        <f>IF(E220="","",IF(ISNA(VLOOKUP($E220,'D-1 Off Site Habitat Baseline'!$D$1:$O$258,12,FALSE)),"",(VLOOKUP($E220,'D-1 Off Site Habitat Baseline'!$D$1:$O$258,12,FALSE))))</f>
        <v/>
      </c>
      <c r="N220" s="175" t="str">
        <f>IF(E220="","",IF(ISNA(VLOOKUP($E220,'D-1 Off Site Habitat Baseline'!$D$1:$X$258,14,FALSE)),"",(VLOOKUP($E220,'D-1 Off Site Habitat Baseline'!$D$1:$X$258,14,FALSE))))</f>
        <v/>
      </c>
      <c r="O220" s="176" t="str">
        <f>IF(E220="","",IF(ISNA(VLOOKUP($E220,'D-1 Off Site Habitat Baseline'!$D$1:$X$258,13,FALSE)),"",(VLOOKUP($E220,'D-1 Off Site Habitat Baseline'!$D$1:$X$258,13,FALSE))))</f>
        <v/>
      </c>
      <c r="P220" s="337" t="str">
        <f>IFERROR(INDEX('G-1 All Habitats'!$AG$3:$AG$15,MATCH(Q220,'G-1 All Habitats'!$AF$3:$AF$15,0)),"")</f>
        <v/>
      </c>
      <c r="Q220" s="331" t="str">
        <f t="shared" si="46"/>
        <v/>
      </c>
      <c r="R220" s="332" t="str">
        <f t="shared" si="47"/>
        <v/>
      </c>
      <c r="S220" s="338" t="str">
        <f>IFERROR(INDEX('G-1 All Habitats'!$B$3:$B$130,MATCH(R220,'G-1 All Habitats'!$A$3:$A$130,0)),"")</f>
        <v/>
      </c>
      <c r="T220" s="179" t="str">
        <f t="shared" si="39"/>
        <v/>
      </c>
      <c r="U220" s="172" t="str">
        <f t="shared" si="40"/>
        <v/>
      </c>
      <c r="V220" s="334" t="str">
        <f t="shared" si="37"/>
        <v/>
      </c>
      <c r="W220" s="175" t="str">
        <f>IF(S220="","",VLOOKUP(S220,'G-1 All Habitats'!$B$2:$M$130,10,FALSE))</f>
        <v/>
      </c>
      <c r="X220" s="175" t="str">
        <f>IFERROR(VLOOKUP(W220,'G-1 All Habitats'!$V$3:$W$7,2,FALSE),"")</f>
        <v/>
      </c>
      <c r="Y220" s="275"/>
      <c r="Z220" s="176" t="str">
        <f>IFERROR(INDEX('G-8 Condition Look up'!$A$3:$H$131,MATCH(S220,'G-8 Condition Look up'!$A$3:$A$131,0),MATCH(Y220,'G-8 Condition Look up'!$A$3:$H$3,0)),"")</f>
        <v/>
      </c>
      <c r="AA220" s="173"/>
      <c r="AB220" s="269" t="str">
        <f>IF(AA220="","",IF(VLOOKUP(AA220,'G-3 Multipliers'!$L$3:$N$6,2,FALSE)=0,"Spatial Data Missing",VLOOKUP(AA220,'G-3 Multipliers'!$L$3:$N$6,2,FALSE)))</f>
        <v/>
      </c>
      <c r="AC220" s="176" t="str">
        <f>IF(AA220="","",IF(VLOOKUP(AA220,'G-3 Multipliers'!$L$3:$N$6,3,FALSE)=0,"Spatial Data Missing",VLOOKUP(AA220,'G-3 Multipliers'!$L$3:$N$6,3,FALSE)))</f>
        <v/>
      </c>
      <c r="AD220" s="239" t="str">
        <f t="shared" si="38"/>
        <v/>
      </c>
      <c r="AE220" s="275"/>
      <c r="AF220" s="275"/>
      <c r="AG220" s="175" t="str">
        <f t="shared" si="41"/>
        <v/>
      </c>
      <c r="AH220" s="242" t="str">
        <f t="shared" si="42"/>
        <v/>
      </c>
      <c r="AI220" s="335" t="str">
        <f>IF(AH220="Check Data","Check Data",IFERROR(VLOOKUP(AH220,'G-4 Temporal multipliers'!$A$4:$C$36,3,FALSE),""))</f>
        <v/>
      </c>
      <c r="AJ220" s="239" t="str">
        <f>IF(S220="","",VLOOKUP(S220,'G-3 Multipliers'!$A$2:$E$130,4,FALSE))</f>
        <v/>
      </c>
      <c r="AK220" s="175" t="str">
        <f t="shared" si="43"/>
        <v/>
      </c>
      <c r="AL220" s="175" t="str">
        <f t="shared" si="44"/>
        <v/>
      </c>
      <c r="AM220" s="176" t="str">
        <f>IFERROR(IF(F220="","",IF(AH220="Check Data","Check Data",VLOOKUP(AL220, 'G-3 Multipliers'!$P$2:$Q$6,2,FALSE))),””)</f>
        <v/>
      </c>
      <c r="AN220" s="266"/>
      <c r="AO220" s="269" t="str">
        <f>IF(AN220="","",IF(VLOOKUP(AN220,'G-3 Multipliers'!$S$3:$T$9,2,FALSE)=0,"Spatial Data Missing",VLOOKUP(AN220,'G-3 Multipliers'!$S$3:$T$9,2,FALSE)))</f>
        <v/>
      </c>
      <c r="AP220" s="207" t="str">
        <f t="shared" si="45"/>
        <v/>
      </c>
      <c r="AQ220" s="336"/>
      <c r="AR220" s="181"/>
    </row>
    <row r="221" spans="1:44" x14ac:dyDescent="0.25">
      <c r="A221" s="35" t="str">
        <f>IF(E221="","",IF(ISNA(VLOOKUP($E221,'D-1 Off Site Habitat Baseline'!$D$1:$O$258,2,FALSE)),"",(VLOOKUP($E221,'D-1 Off Site Habitat Baseline'!$D$1:$O$258,2,FALSE))))</f>
        <v/>
      </c>
      <c r="B221" s="35" t="str">
        <f>IF(E221="","",IF(ISNA(VLOOKUP($E221,'D-1 Off Site Habitat Baseline'!$D$1:$O$258,3,FALSE)),"",(VLOOKUP($E221,'D-1 Off Site Habitat Baseline'!$D$1:$O$258,3,FALSE))))</f>
        <v/>
      </c>
      <c r="C221" s="35" t="str">
        <f>IFERROR(INDEX('G-8 Condition Look up'!$I$4:$I$131,MATCH(S221,'G-8 Condition Look up'!$A$4:$A$131,0)),"")</f>
        <v/>
      </c>
      <c r="E221" s="329" t="str">
        <f>'D-1 Off Site Habitat Baseline'!AL220</f>
        <v/>
      </c>
      <c r="F221" s="175" t="str">
        <f>IF(E221="","",IF(ISNA(VLOOKUP($E221,'D-1 Off Site Habitat Baseline'!$D$1:$O$258,4,FALSE)),"",(VLOOKUP($E221,'D-1 Off Site Habitat Baseline'!$D$1:$O$258,4,FALSE))))</f>
        <v/>
      </c>
      <c r="G221" s="175" t="str">
        <f>IF(E221="","",IF(ISNA(VLOOKUP($E221,'D-1 Off Site Habitat Baseline'!$D$1:$O$258,5,FALSE)),"",(VLOOKUP($E221,'D-1 Off Site Habitat Baseline'!$D$1:$O$258,5,FALSE))))</f>
        <v/>
      </c>
      <c r="H221" s="175" t="str">
        <f>IF(E221="","",IF(ISNA(VLOOKUP($E221,'D-1 Off Site Habitat Baseline'!$D$1:$O$258,6,FALSE)),"",(VLOOKUP($E221,'D-1 Off Site Habitat Baseline'!$D$1:$O$258,6,FALSE))))</f>
        <v/>
      </c>
      <c r="I221" s="175" t="str">
        <f>IF(E221="","",IF(ISNA(VLOOKUP($E221,'D-1 Off Site Habitat Baseline'!$D$1:$O$258,7,FALSE)),"",(VLOOKUP($E221,'D-1 Off Site Habitat Baseline'!$D$1:$O$258,7,FALSE))))</f>
        <v/>
      </c>
      <c r="J221" s="175" t="str">
        <f>IF(E221="","",IF(ISNA(VLOOKUP($E221,'D-1 Off Site Habitat Baseline'!$D$1:$O$258,8,FALSE)),"",(VLOOKUP($E221,'D-1 Off Site Habitat Baseline'!$D$1:$O$258,8,FALSE))))</f>
        <v/>
      </c>
      <c r="K221" s="175" t="str">
        <f>IF(E221="","",IF(ISNA(VLOOKUP($E221,'D-1 Off Site Habitat Baseline'!$D$1:$O$258,9,FALSE)),"",(VLOOKUP($E221,'D-1 Off Site Habitat Baseline'!$D$1:$O$258,9,FALSE))))</f>
        <v/>
      </c>
      <c r="L221" s="175" t="str">
        <f>IF(E221="","",IF(ISNA(VLOOKUP($E221,'D-1 Off Site Habitat Baseline'!$D$1:$O$258,11,FALSE)),"",(VLOOKUP($E221,'D-1 Off Site Habitat Baseline'!$D$1:$O$258,11,FALSE))))</f>
        <v/>
      </c>
      <c r="M221" s="175" t="str">
        <f>IF(E221="","",IF(ISNA(VLOOKUP($E221,'D-1 Off Site Habitat Baseline'!$D$1:$O$258,12,FALSE)),"",(VLOOKUP($E221,'D-1 Off Site Habitat Baseline'!$D$1:$O$258,12,FALSE))))</f>
        <v/>
      </c>
      <c r="N221" s="175" t="str">
        <f>IF(E221="","",IF(ISNA(VLOOKUP($E221,'D-1 Off Site Habitat Baseline'!$D$1:$X$258,14,FALSE)),"",(VLOOKUP($E221,'D-1 Off Site Habitat Baseline'!$D$1:$X$258,14,FALSE))))</f>
        <v/>
      </c>
      <c r="O221" s="176" t="str">
        <f>IF(E221="","",IF(ISNA(VLOOKUP($E221,'D-1 Off Site Habitat Baseline'!$D$1:$X$258,13,FALSE)),"",(VLOOKUP($E221,'D-1 Off Site Habitat Baseline'!$D$1:$X$258,13,FALSE))))</f>
        <v/>
      </c>
      <c r="P221" s="337" t="str">
        <f>IFERROR(INDEX('G-1 All Habitats'!$AG$3:$AG$15,MATCH(Q221,'G-1 All Habitats'!$AF$3:$AF$15,0)),"")</f>
        <v/>
      </c>
      <c r="Q221" s="331" t="str">
        <f t="shared" si="46"/>
        <v/>
      </c>
      <c r="R221" s="332" t="str">
        <f t="shared" si="47"/>
        <v/>
      </c>
      <c r="S221" s="338" t="str">
        <f>IFERROR(INDEX('G-1 All Habitats'!$B$3:$B$130,MATCH(R221,'G-1 All Habitats'!$A$3:$A$130,0)),"")</f>
        <v/>
      </c>
      <c r="T221" s="179" t="str">
        <f t="shared" si="39"/>
        <v/>
      </c>
      <c r="U221" s="172" t="str">
        <f t="shared" si="40"/>
        <v/>
      </c>
      <c r="V221" s="334" t="str">
        <f t="shared" si="37"/>
        <v/>
      </c>
      <c r="W221" s="175" t="str">
        <f>IF(S221="","",VLOOKUP(S221,'G-1 All Habitats'!$B$2:$M$130,10,FALSE))</f>
        <v/>
      </c>
      <c r="X221" s="175" t="str">
        <f>IFERROR(VLOOKUP(W221,'G-1 All Habitats'!$V$3:$W$7,2,FALSE),"")</f>
        <v/>
      </c>
      <c r="Y221" s="275"/>
      <c r="Z221" s="176" t="str">
        <f>IFERROR(INDEX('G-8 Condition Look up'!$A$3:$H$131,MATCH(S221,'G-8 Condition Look up'!$A$3:$A$131,0),MATCH(Y221,'G-8 Condition Look up'!$A$3:$H$3,0)),"")</f>
        <v/>
      </c>
      <c r="AA221" s="173"/>
      <c r="AB221" s="269" t="str">
        <f>IF(AA221="","",IF(VLOOKUP(AA221,'G-3 Multipliers'!$L$3:$N$6,2,FALSE)=0,"Spatial Data Missing",VLOOKUP(AA221,'G-3 Multipliers'!$L$3:$N$6,2,FALSE)))</f>
        <v/>
      </c>
      <c r="AC221" s="176" t="str">
        <f>IF(AA221="","",IF(VLOOKUP(AA221,'G-3 Multipliers'!$L$3:$N$6,3,FALSE)=0,"Spatial Data Missing",VLOOKUP(AA221,'G-3 Multipliers'!$L$3:$N$6,3,FALSE)))</f>
        <v/>
      </c>
      <c r="AD221" s="239" t="str">
        <f t="shared" si="38"/>
        <v/>
      </c>
      <c r="AE221" s="275"/>
      <c r="AF221" s="275"/>
      <c r="AG221" s="175" t="str">
        <f t="shared" si="41"/>
        <v/>
      </c>
      <c r="AH221" s="242" t="str">
        <f t="shared" si="42"/>
        <v/>
      </c>
      <c r="AI221" s="335" t="str">
        <f>IF(AH221="Check Data","Check Data",IFERROR(VLOOKUP(AH221,'G-4 Temporal multipliers'!$A$4:$C$36,3,FALSE),""))</f>
        <v/>
      </c>
      <c r="AJ221" s="239" t="str">
        <f>IF(S221="","",VLOOKUP(S221,'G-3 Multipliers'!$A$2:$E$130,4,FALSE))</f>
        <v/>
      </c>
      <c r="AK221" s="175" t="str">
        <f t="shared" si="43"/>
        <v/>
      </c>
      <c r="AL221" s="175" t="str">
        <f t="shared" si="44"/>
        <v/>
      </c>
      <c r="AM221" s="176" t="str">
        <f>IFERROR(IF(F221="","",IF(AH221="Check Data","Check Data",VLOOKUP(AL221, 'G-3 Multipliers'!$P$2:$Q$6,2,FALSE))),””)</f>
        <v/>
      </c>
      <c r="AN221" s="266"/>
      <c r="AO221" s="269" t="str">
        <f>IF(AN221="","",IF(VLOOKUP(AN221,'G-3 Multipliers'!$S$3:$T$9,2,FALSE)=0,"Spatial Data Missing",VLOOKUP(AN221,'G-3 Multipliers'!$S$3:$T$9,2,FALSE)))</f>
        <v/>
      </c>
      <c r="AP221" s="207" t="str">
        <f t="shared" si="45"/>
        <v/>
      </c>
      <c r="AQ221" s="336"/>
      <c r="AR221" s="181"/>
    </row>
    <row r="222" spans="1:44" x14ac:dyDescent="0.25">
      <c r="A222" s="35" t="str">
        <f>IF(E222="","",IF(ISNA(VLOOKUP($E222,'D-1 Off Site Habitat Baseline'!$D$1:$O$258,2,FALSE)),"",(VLOOKUP($E222,'D-1 Off Site Habitat Baseline'!$D$1:$O$258,2,FALSE))))</f>
        <v/>
      </c>
      <c r="B222" s="35" t="str">
        <f>IF(E222="","",IF(ISNA(VLOOKUP($E222,'D-1 Off Site Habitat Baseline'!$D$1:$O$258,3,FALSE)),"",(VLOOKUP($E222,'D-1 Off Site Habitat Baseline'!$D$1:$O$258,3,FALSE))))</f>
        <v/>
      </c>
      <c r="C222" s="35" t="str">
        <f>IFERROR(INDEX('G-8 Condition Look up'!$I$4:$I$131,MATCH(S222,'G-8 Condition Look up'!$A$4:$A$131,0)),"")</f>
        <v/>
      </c>
      <c r="E222" s="329" t="str">
        <f>'D-1 Off Site Habitat Baseline'!AL221</f>
        <v/>
      </c>
      <c r="F222" s="175" t="str">
        <f>IF(E222="","",IF(ISNA(VLOOKUP($E222,'D-1 Off Site Habitat Baseline'!$D$1:$O$258,4,FALSE)),"",(VLOOKUP($E222,'D-1 Off Site Habitat Baseline'!$D$1:$O$258,4,FALSE))))</f>
        <v/>
      </c>
      <c r="G222" s="175" t="str">
        <f>IF(E222="","",IF(ISNA(VLOOKUP($E222,'D-1 Off Site Habitat Baseline'!$D$1:$O$258,5,FALSE)),"",(VLOOKUP($E222,'D-1 Off Site Habitat Baseline'!$D$1:$O$258,5,FALSE))))</f>
        <v/>
      </c>
      <c r="H222" s="175" t="str">
        <f>IF(E222="","",IF(ISNA(VLOOKUP($E222,'D-1 Off Site Habitat Baseline'!$D$1:$O$258,6,FALSE)),"",(VLOOKUP($E222,'D-1 Off Site Habitat Baseline'!$D$1:$O$258,6,FALSE))))</f>
        <v/>
      </c>
      <c r="I222" s="175" t="str">
        <f>IF(E222="","",IF(ISNA(VLOOKUP($E222,'D-1 Off Site Habitat Baseline'!$D$1:$O$258,7,FALSE)),"",(VLOOKUP($E222,'D-1 Off Site Habitat Baseline'!$D$1:$O$258,7,FALSE))))</f>
        <v/>
      </c>
      <c r="J222" s="175" t="str">
        <f>IF(E222="","",IF(ISNA(VLOOKUP($E222,'D-1 Off Site Habitat Baseline'!$D$1:$O$258,8,FALSE)),"",(VLOOKUP($E222,'D-1 Off Site Habitat Baseline'!$D$1:$O$258,8,FALSE))))</f>
        <v/>
      </c>
      <c r="K222" s="175" t="str">
        <f>IF(E222="","",IF(ISNA(VLOOKUP($E222,'D-1 Off Site Habitat Baseline'!$D$1:$O$258,9,FALSE)),"",(VLOOKUP($E222,'D-1 Off Site Habitat Baseline'!$D$1:$O$258,9,FALSE))))</f>
        <v/>
      </c>
      <c r="L222" s="175" t="str">
        <f>IF(E222="","",IF(ISNA(VLOOKUP($E222,'D-1 Off Site Habitat Baseline'!$D$1:$O$258,11,FALSE)),"",(VLOOKUP($E222,'D-1 Off Site Habitat Baseline'!$D$1:$O$258,11,FALSE))))</f>
        <v/>
      </c>
      <c r="M222" s="175" t="str">
        <f>IF(E222="","",IF(ISNA(VLOOKUP($E222,'D-1 Off Site Habitat Baseline'!$D$1:$O$258,12,FALSE)),"",(VLOOKUP($E222,'D-1 Off Site Habitat Baseline'!$D$1:$O$258,12,FALSE))))</f>
        <v/>
      </c>
      <c r="N222" s="175" t="str">
        <f>IF(E222="","",IF(ISNA(VLOOKUP($E222,'D-1 Off Site Habitat Baseline'!$D$1:$X$258,14,FALSE)),"",(VLOOKUP($E222,'D-1 Off Site Habitat Baseline'!$D$1:$X$258,14,FALSE))))</f>
        <v/>
      </c>
      <c r="O222" s="176" t="str">
        <f>IF(E222="","",IF(ISNA(VLOOKUP($E222,'D-1 Off Site Habitat Baseline'!$D$1:$X$258,13,FALSE)),"",(VLOOKUP($E222,'D-1 Off Site Habitat Baseline'!$D$1:$X$258,13,FALSE))))</f>
        <v/>
      </c>
      <c r="P222" s="337" t="str">
        <f>IFERROR(INDEX('G-1 All Habitats'!$AG$3:$AG$15,MATCH(Q222,'G-1 All Habitats'!$AF$3:$AF$15,0)),"")</f>
        <v/>
      </c>
      <c r="Q222" s="331" t="str">
        <f t="shared" si="46"/>
        <v/>
      </c>
      <c r="R222" s="332" t="str">
        <f t="shared" si="47"/>
        <v/>
      </c>
      <c r="S222" s="338" t="str">
        <f>IFERROR(INDEX('G-1 All Habitats'!$B$3:$B$130,MATCH(R222,'G-1 All Habitats'!$A$3:$A$130,0)),"")</f>
        <v/>
      </c>
      <c r="T222" s="179" t="str">
        <f t="shared" si="39"/>
        <v/>
      </c>
      <c r="U222" s="172" t="str">
        <f t="shared" si="40"/>
        <v/>
      </c>
      <c r="V222" s="334" t="str">
        <f t="shared" si="37"/>
        <v/>
      </c>
      <c r="W222" s="175" t="str">
        <f>IF(S222="","",VLOOKUP(S222,'G-1 All Habitats'!$B$2:$M$130,10,FALSE))</f>
        <v/>
      </c>
      <c r="X222" s="175" t="str">
        <f>IFERROR(VLOOKUP(W222,'G-1 All Habitats'!$V$3:$W$7,2,FALSE),"")</f>
        <v/>
      </c>
      <c r="Y222" s="275"/>
      <c r="Z222" s="176" t="str">
        <f>IFERROR(INDEX('G-8 Condition Look up'!$A$3:$H$131,MATCH(S222,'G-8 Condition Look up'!$A$3:$A$131,0),MATCH(Y222,'G-8 Condition Look up'!$A$3:$H$3,0)),"")</f>
        <v/>
      </c>
      <c r="AA222" s="173"/>
      <c r="AB222" s="269" t="str">
        <f>IF(AA222="","",IF(VLOOKUP(AA222,'G-3 Multipliers'!$L$3:$N$6,2,FALSE)=0,"Spatial Data Missing",VLOOKUP(AA222,'G-3 Multipliers'!$L$3:$N$6,2,FALSE)))</f>
        <v/>
      </c>
      <c r="AC222" s="176" t="str">
        <f>IF(AA222="","",IF(VLOOKUP(AA222,'G-3 Multipliers'!$L$3:$N$6,3,FALSE)=0,"Spatial Data Missing",VLOOKUP(AA222,'G-3 Multipliers'!$L$3:$N$6,3,FALSE)))</f>
        <v/>
      </c>
      <c r="AD222" s="239" t="str">
        <f t="shared" si="38"/>
        <v/>
      </c>
      <c r="AE222" s="275"/>
      <c r="AF222" s="275"/>
      <c r="AG222" s="175" t="str">
        <f t="shared" si="41"/>
        <v/>
      </c>
      <c r="AH222" s="242" t="str">
        <f t="shared" si="42"/>
        <v/>
      </c>
      <c r="AI222" s="335" t="str">
        <f>IF(AH222="Check Data","Check Data",IFERROR(VLOOKUP(AH222,'G-4 Temporal multipliers'!$A$4:$C$36,3,FALSE),""))</f>
        <v/>
      </c>
      <c r="AJ222" s="239" t="str">
        <f>IF(S222="","",VLOOKUP(S222,'G-3 Multipliers'!$A$2:$E$130,4,FALSE))</f>
        <v/>
      </c>
      <c r="AK222" s="175" t="str">
        <f t="shared" si="43"/>
        <v/>
      </c>
      <c r="AL222" s="175" t="str">
        <f t="shared" si="44"/>
        <v/>
      </c>
      <c r="AM222" s="176" t="str">
        <f>IFERROR(IF(F222="","",IF(AH222="Check Data","Check Data",VLOOKUP(AL222, 'G-3 Multipliers'!$P$2:$Q$6,2,FALSE))),””)</f>
        <v/>
      </c>
      <c r="AN222" s="266"/>
      <c r="AO222" s="269" t="str">
        <f>IF(AN222="","",IF(VLOOKUP(AN222,'G-3 Multipliers'!$S$3:$T$9,2,FALSE)=0,"Spatial Data Missing",VLOOKUP(AN222,'G-3 Multipliers'!$S$3:$T$9,2,FALSE)))</f>
        <v/>
      </c>
      <c r="AP222" s="207" t="str">
        <f t="shared" si="45"/>
        <v/>
      </c>
      <c r="AQ222" s="336"/>
      <c r="AR222" s="181"/>
    </row>
    <row r="223" spans="1:44" x14ac:dyDescent="0.25">
      <c r="A223" s="35" t="str">
        <f>IF(E223="","",IF(ISNA(VLOOKUP($E223,'D-1 Off Site Habitat Baseline'!$D$1:$O$258,2,FALSE)),"",(VLOOKUP($E223,'D-1 Off Site Habitat Baseline'!$D$1:$O$258,2,FALSE))))</f>
        <v/>
      </c>
      <c r="B223" s="35" t="str">
        <f>IF(E223="","",IF(ISNA(VLOOKUP($E223,'D-1 Off Site Habitat Baseline'!$D$1:$O$258,3,FALSE)),"",(VLOOKUP($E223,'D-1 Off Site Habitat Baseline'!$D$1:$O$258,3,FALSE))))</f>
        <v/>
      </c>
      <c r="C223" s="35" t="str">
        <f>IFERROR(INDEX('G-8 Condition Look up'!$I$4:$I$131,MATCH(S223,'G-8 Condition Look up'!$A$4:$A$131,0)),"")</f>
        <v/>
      </c>
      <c r="E223" s="329" t="str">
        <f>'D-1 Off Site Habitat Baseline'!AL222</f>
        <v/>
      </c>
      <c r="F223" s="175" t="str">
        <f>IF(E223="","",IF(ISNA(VLOOKUP($E223,'D-1 Off Site Habitat Baseline'!$D$1:$O$258,4,FALSE)),"",(VLOOKUP($E223,'D-1 Off Site Habitat Baseline'!$D$1:$O$258,4,FALSE))))</f>
        <v/>
      </c>
      <c r="G223" s="175" t="str">
        <f>IF(E223="","",IF(ISNA(VLOOKUP($E223,'D-1 Off Site Habitat Baseline'!$D$1:$O$258,5,FALSE)),"",(VLOOKUP($E223,'D-1 Off Site Habitat Baseline'!$D$1:$O$258,5,FALSE))))</f>
        <v/>
      </c>
      <c r="H223" s="175" t="str">
        <f>IF(E223="","",IF(ISNA(VLOOKUP($E223,'D-1 Off Site Habitat Baseline'!$D$1:$O$258,6,FALSE)),"",(VLOOKUP($E223,'D-1 Off Site Habitat Baseline'!$D$1:$O$258,6,FALSE))))</f>
        <v/>
      </c>
      <c r="I223" s="175" t="str">
        <f>IF(E223="","",IF(ISNA(VLOOKUP($E223,'D-1 Off Site Habitat Baseline'!$D$1:$O$258,7,FALSE)),"",(VLOOKUP($E223,'D-1 Off Site Habitat Baseline'!$D$1:$O$258,7,FALSE))))</f>
        <v/>
      </c>
      <c r="J223" s="175" t="str">
        <f>IF(E223="","",IF(ISNA(VLOOKUP($E223,'D-1 Off Site Habitat Baseline'!$D$1:$O$258,8,FALSE)),"",(VLOOKUP($E223,'D-1 Off Site Habitat Baseline'!$D$1:$O$258,8,FALSE))))</f>
        <v/>
      </c>
      <c r="K223" s="175" t="str">
        <f>IF(E223="","",IF(ISNA(VLOOKUP($E223,'D-1 Off Site Habitat Baseline'!$D$1:$O$258,9,FALSE)),"",(VLOOKUP($E223,'D-1 Off Site Habitat Baseline'!$D$1:$O$258,9,FALSE))))</f>
        <v/>
      </c>
      <c r="L223" s="175" t="str">
        <f>IF(E223="","",IF(ISNA(VLOOKUP($E223,'D-1 Off Site Habitat Baseline'!$D$1:$O$258,11,FALSE)),"",(VLOOKUP($E223,'D-1 Off Site Habitat Baseline'!$D$1:$O$258,11,FALSE))))</f>
        <v/>
      </c>
      <c r="M223" s="175" t="str">
        <f>IF(E223="","",IF(ISNA(VLOOKUP($E223,'D-1 Off Site Habitat Baseline'!$D$1:$O$258,12,FALSE)),"",(VLOOKUP($E223,'D-1 Off Site Habitat Baseline'!$D$1:$O$258,12,FALSE))))</f>
        <v/>
      </c>
      <c r="N223" s="175" t="str">
        <f>IF(E223="","",IF(ISNA(VLOOKUP($E223,'D-1 Off Site Habitat Baseline'!$D$1:$X$258,14,FALSE)),"",(VLOOKUP($E223,'D-1 Off Site Habitat Baseline'!$D$1:$X$258,14,FALSE))))</f>
        <v/>
      </c>
      <c r="O223" s="176" t="str">
        <f>IF(E223="","",IF(ISNA(VLOOKUP($E223,'D-1 Off Site Habitat Baseline'!$D$1:$X$258,13,FALSE)),"",(VLOOKUP($E223,'D-1 Off Site Habitat Baseline'!$D$1:$X$258,13,FALSE))))</f>
        <v/>
      </c>
      <c r="P223" s="337" t="str">
        <f>IFERROR(INDEX('G-1 All Habitats'!$AG$3:$AG$15,MATCH(Q223,'G-1 All Habitats'!$AF$3:$AF$15,0)),"")</f>
        <v/>
      </c>
      <c r="Q223" s="331" t="str">
        <f t="shared" si="46"/>
        <v/>
      </c>
      <c r="R223" s="332" t="str">
        <f t="shared" si="47"/>
        <v/>
      </c>
      <c r="S223" s="338" t="str">
        <f>IFERROR(INDEX('G-1 All Habitats'!$B$3:$B$130,MATCH(R223,'G-1 All Habitats'!$A$3:$A$130,0)),"")</f>
        <v/>
      </c>
      <c r="T223" s="179" t="str">
        <f t="shared" si="39"/>
        <v/>
      </c>
      <c r="U223" s="172" t="str">
        <f t="shared" si="40"/>
        <v/>
      </c>
      <c r="V223" s="334" t="str">
        <f t="shared" si="37"/>
        <v/>
      </c>
      <c r="W223" s="175" t="str">
        <f>IF(S223="","",VLOOKUP(S223,'G-1 All Habitats'!$B$2:$M$130,10,FALSE))</f>
        <v/>
      </c>
      <c r="X223" s="175" t="str">
        <f>IFERROR(VLOOKUP(W223,'G-1 All Habitats'!$V$3:$W$7,2,FALSE),"")</f>
        <v/>
      </c>
      <c r="Y223" s="275"/>
      <c r="Z223" s="176" t="str">
        <f>IFERROR(INDEX('G-8 Condition Look up'!$A$3:$H$131,MATCH(S223,'G-8 Condition Look up'!$A$3:$A$131,0),MATCH(Y223,'G-8 Condition Look up'!$A$3:$H$3,0)),"")</f>
        <v/>
      </c>
      <c r="AA223" s="173"/>
      <c r="AB223" s="269" t="str">
        <f>IF(AA223="","",IF(VLOOKUP(AA223,'G-3 Multipliers'!$L$3:$N$6,2,FALSE)=0,"Spatial Data Missing",VLOOKUP(AA223,'G-3 Multipliers'!$L$3:$N$6,2,FALSE)))</f>
        <v/>
      </c>
      <c r="AC223" s="176" t="str">
        <f>IF(AA223="","",IF(VLOOKUP(AA223,'G-3 Multipliers'!$L$3:$N$6,3,FALSE)=0,"Spatial Data Missing",VLOOKUP(AA223,'G-3 Multipliers'!$L$3:$N$6,3,FALSE)))</f>
        <v/>
      </c>
      <c r="AD223" s="239" t="str">
        <f t="shared" si="38"/>
        <v/>
      </c>
      <c r="AE223" s="275"/>
      <c r="AF223" s="275"/>
      <c r="AG223" s="175" t="str">
        <f t="shared" si="41"/>
        <v/>
      </c>
      <c r="AH223" s="242" t="str">
        <f t="shared" si="42"/>
        <v/>
      </c>
      <c r="AI223" s="335" t="str">
        <f>IF(AH223="Check Data","Check Data",IFERROR(VLOOKUP(AH223,'G-4 Temporal multipliers'!$A$4:$C$36,3,FALSE),""))</f>
        <v/>
      </c>
      <c r="AJ223" s="239" t="str">
        <f>IF(S223="","",VLOOKUP(S223,'G-3 Multipliers'!$A$2:$E$130,4,FALSE))</f>
        <v/>
      </c>
      <c r="AK223" s="175" t="str">
        <f t="shared" si="43"/>
        <v/>
      </c>
      <c r="AL223" s="175" t="str">
        <f t="shared" si="44"/>
        <v/>
      </c>
      <c r="AM223" s="176" t="str">
        <f>IFERROR(IF(F223="","",IF(AH223="Check Data","Check Data",VLOOKUP(AL223, 'G-3 Multipliers'!$P$2:$Q$6,2,FALSE))),””)</f>
        <v/>
      </c>
      <c r="AN223" s="266"/>
      <c r="AO223" s="269" t="str">
        <f>IF(AN223="","",IF(VLOOKUP(AN223,'G-3 Multipliers'!$S$3:$T$9,2,FALSE)=0,"Spatial Data Missing",VLOOKUP(AN223,'G-3 Multipliers'!$S$3:$T$9,2,FALSE)))</f>
        <v/>
      </c>
      <c r="AP223" s="207" t="str">
        <f t="shared" si="45"/>
        <v/>
      </c>
      <c r="AQ223" s="336"/>
      <c r="AR223" s="181"/>
    </row>
    <row r="224" spans="1:44" x14ac:dyDescent="0.25">
      <c r="A224" s="35" t="str">
        <f>IF(E224="","",IF(ISNA(VLOOKUP($E224,'D-1 Off Site Habitat Baseline'!$D$1:$O$258,2,FALSE)),"",(VLOOKUP($E224,'D-1 Off Site Habitat Baseline'!$D$1:$O$258,2,FALSE))))</f>
        <v/>
      </c>
      <c r="B224" s="35" t="str">
        <f>IF(E224="","",IF(ISNA(VLOOKUP($E224,'D-1 Off Site Habitat Baseline'!$D$1:$O$258,3,FALSE)),"",(VLOOKUP($E224,'D-1 Off Site Habitat Baseline'!$D$1:$O$258,3,FALSE))))</f>
        <v/>
      </c>
      <c r="C224" s="35" t="str">
        <f>IFERROR(INDEX('G-8 Condition Look up'!$I$4:$I$131,MATCH(S224,'G-8 Condition Look up'!$A$4:$A$131,0)),"")</f>
        <v/>
      </c>
      <c r="E224" s="329" t="str">
        <f>'D-1 Off Site Habitat Baseline'!AL223</f>
        <v/>
      </c>
      <c r="F224" s="175" t="str">
        <f>IF(E224="","",IF(ISNA(VLOOKUP($E224,'D-1 Off Site Habitat Baseline'!$D$1:$O$258,4,FALSE)),"",(VLOOKUP($E224,'D-1 Off Site Habitat Baseline'!$D$1:$O$258,4,FALSE))))</f>
        <v/>
      </c>
      <c r="G224" s="175" t="str">
        <f>IF(E224="","",IF(ISNA(VLOOKUP($E224,'D-1 Off Site Habitat Baseline'!$D$1:$O$258,5,FALSE)),"",(VLOOKUP($E224,'D-1 Off Site Habitat Baseline'!$D$1:$O$258,5,FALSE))))</f>
        <v/>
      </c>
      <c r="H224" s="175" t="str">
        <f>IF(E224="","",IF(ISNA(VLOOKUP($E224,'D-1 Off Site Habitat Baseline'!$D$1:$O$258,6,FALSE)),"",(VLOOKUP($E224,'D-1 Off Site Habitat Baseline'!$D$1:$O$258,6,FALSE))))</f>
        <v/>
      </c>
      <c r="I224" s="175" t="str">
        <f>IF(E224="","",IF(ISNA(VLOOKUP($E224,'D-1 Off Site Habitat Baseline'!$D$1:$O$258,7,FALSE)),"",(VLOOKUP($E224,'D-1 Off Site Habitat Baseline'!$D$1:$O$258,7,FALSE))))</f>
        <v/>
      </c>
      <c r="J224" s="175" t="str">
        <f>IF(E224="","",IF(ISNA(VLOOKUP($E224,'D-1 Off Site Habitat Baseline'!$D$1:$O$258,8,FALSE)),"",(VLOOKUP($E224,'D-1 Off Site Habitat Baseline'!$D$1:$O$258,8,FALSE))))</f>
        <v/>
      </c>
      <c r="K224" s="175" t="str">
        <f>IF(E224="","",IF(ISNA(VLOOKUP($E224,'D-1 Off Site Habitat Baseline'!$D$1:$O$258,9,FALSE)),"",(VLOOKUP($E224,'D-1 Off Site Habitat Baseline'!$D$1:$O$258,9,FALSE))))</f>
        <v/>
      </c>
      <c r="L224" s="175" t="str">
        <f>IF(E224="","",IF(ISNA(VLOOKUP($E224,'D-1 Off Site Habitat Baseline'!$D$1:$O$258,11,FALSE)),"",(VLOOKUP($E224,'D-1 Off Site Habitat Baseline'!$D$1:$O$258,11,FALSE))))</f>
        <v/>
      </c>
      <c r="M224" s="175" t="str">
        <f>IF(E224="","",IF(ISNA(VLOOKUP($E224,'D-1 Off Site Habitat Baseline'!$D$1:$O$258,12,FALSE)),"",(VLOOKUP($E224,'D-1 Off Site Habitat Baseline'!$D$1:$O$258,12,FALSE))))</f>
        <v/>
      </c>
      <c r="N224" s="175" t="str">
        <f>IF(E224="","",IF(ISNA(VLOOKUP($E224,'D-1 Off Site Habitat Baseline'!$D$1:$X$258,14,FALSE)),"",(VLOOKUP($E224,'D-1 Off Site Habitat Baseline'!$D$1:$X$258,14,FALSE))))</f>
        <v/>
      </c>
      <c r="O224" s="176" t="str">
        <f>IF(E224="","",IF(ISNA(VLOOKUP($E224,'D-1 Off Site Habitat Baseline'!$D$1:$X$258,13,FALSE)),"",(VLOOKUP($E224,'D-1 Off Site Habitat Baseline'!$D$1:$X$258,13,FALSE))))</f>
        <v/>
      </c>
      <c r="P224" s="337" t="str">
        <f>IFERROR(INDEX('G-1 All Habitats'!$AG$3:$AG$15,MATCH(Q224,'G-1 All Habitats'!$AF$3:$AF$15,0)),"")</f>
        <v/>
      </c>
      <c r="Q224" s="331" t="str">
        <f t="shared" si="46"/>
        <v/>
      </c>
      <c r="R224" s="332" t="str">
        <f t="shared" si="47"/>
        <v/>
      </c>
      <c r="S224" s="338" t="str">
        <f>IFERROR(INDEX('G-1 All Habitats'!$B$3:$B$130,MATCH(R224,'G-1 All Habitats'!$A$3:$A$130,0)),"")</f>
        <v/>
      </c>
      <c r="T224" s="179" t="str">
        <f t="shared" si="39"/>
        <v/>
      </c>
      <c r="U224" s="172" t="str">
        <f t="shared" si="40"/>
        <v/>
      </c>
      <c r="V224" s="334" t="str">
        <f t="shared" si="37"/>
        <v/>
      </c>
      <c r="W224" s="175" t="str">
        <f>IF(S224="","",VLOOKUP(S224,'G-1 All Habitats'!$B$2:$M$130,10,FALSE))</f>
        <v/>
      </c>
      <c r="X224" s="175" t="str">
        <f>IFERROR(VLOOKUP(W224,'G-1 All Habitats'!$V$3:$W$7,2,FALSE),"")</f>
        <v/>
      </c>
      <c r="Y224" s="275"/>
      <c r="Z224" s="176" t="str">
        <f>IFERROR(INDEX('G-8 Condition Look up'!$A$3:$H$131,MATCH(S224,'G-8 Condition Look up'!$A$3:$A$131,0),MATCH(Y224,'G-8 Condition Look up'!$A$3:$H$3,0)),"")</f>
        <v/>
      </c>
      <c r="AA224" s="173"/>
      <c r="AB224" s="269" t="str">
        <f>IF(AA224="","",IF(VLOOKUP(AA224,'G-3 Multipliers'!$L$3:$N$6,2,FALSE)=0,"Spatial Data Missing",VLOOKUP(AA224,'G-3 Multipliers'!$L$3:$N$6,2,FALSE)))</f>
        <v/>
      </c>
      <c r="AC224" s="176" t="str">
        <f>IF(AA224="","",IF(VLOOKUP(AA224,'G-3 Multipliers'!$L$3:$N$6,3,FALSE)=0,"Spatial Data Missing",VLOOKUP(AA224,'G-3 Multipliers'!$L$3:$N$6,3,FALSE)))</f>
        <v/>
      </c>
      <c r="AD224" s="239" t="str">
        <f t="shared" si="38"/>
        <v/>
      </c>
      <c r="AE224" s="275"/>
      <c r="AF224" s="275"/>
      <c r="AG224" s="175" t="str">
        <f t="shared" si="41"/>
        <v/>
      </c>
      <c r="AH224" s="242" t="str">
        <f t="shared" si="42"/>
        <v/>
      </c>
      <c r="AI224" s="335" t="str">
        <f>IF(AH224="Check Data","Check Data",IFERROR(VLOOKUP(AH224,'G-4 Temporal multipliers'!$A$4:$C$36,3,FALSE),""))</f>
        <v/>
      </c>
      <c r="AJ224" s="239" t="str">
        <f>IF(S224="","",VLOOKUP(S224,'G-3 Multipliers'!$A$2:$E$130,4,FALSE))</f>
        <v/>
      </c>
      <c r="AK224" s="175" t="str">
        <f t="shared" si="43"/>
        <v/>
      </c>
      <c r="AL224" s="175" t="str">
        <f t="shared" si="44"/>
        <v/>
      </c>
      <c r="AM224" s="176" t="str">
        <f>IFERROR(IF(F224="","",IF(AH224="Check Data","Check Data",VLOOKUP(AL224, 'G-3 Multipliers'!$P$2:$Q$6,2,FALSE))),””)</f>
        <v/>
      </c>
      <c r="AN224" s="266"/>
      <c r="AO224" s="269" t="str">
        <f>IF(AN224="","",IF(VLOOKUP(AN224,'G-3 Multipliers'!$S$3:$T$9,2,FALSE)=0,"Spatial Data Missing",VLOOKUP(AN224,'G-3 Multipliers'!$S$3:$T$9,2,FALSE)))</f>
        <v/>
      </c>
      <c r="AP224" s="207" t="str">
        <f t="shared" si="45"/>
        <v/>
      </c>
      <c r="AQ224" s="336"/>
      <c r="AR224" s="181"/>
    </row>
    <row r="225" spans="1:44" x14ac:dyDescent="0.25">
      <c r="A225" s="35" t="str">
        <f>IF(E225="","",IF(ISNA(VLOOKUP($E225,'D-1 Off Site Habitat Baseline'!$D$1:$O$258,2,FALSE)),"",(VLOOKUP($E225,'D-1 Off Site Habitat Baseline'!$D$1:$O$258,2,FALSE))))</f>
        <v/>
      </c>
      <c r="B225" s="35" t="str">
        <f>IF(E225="","",IF(ISNA(VLOOKUP($E225,'D-1 Off Site Habitat Baseline'!$D$1:$O$258,3,FALSE)),"",(VLOOKUP($E225,'D-1 Off Site Habitat Baseline'!$D$1:$O$258,3,FALSE))))</f>
        <v/>
      </c>
      <c r="C225" s="35" t="str">
        <f>IFERROR(INDEX('G-8 Condition Look up'!$I$4:$I$131,MATCH(S225,'G-8 Condition Look up'!$A$4:$A$131,0)),"")</f>
        <v/>
      </c>
      <c r="E225" s="329" t="str">
        <f>'D-1 Off Site Habitat Baseline'!AL224</f>
        <v/>
      </c>
      <c r="F225" s="175" t="str">
        <f>IF(E225="","",IF(ISNA(VLOOKUP($E225,'D-1 Off Site Habitat Baseline'!$D$1:$O$258,4,FALSE)),"",(VLOOKUP($E225,'D-1 Off Site Habitat Baseline'!$D$1:$O$258,4,FALSE))))</f>
        <v/>
      </c>
      <c r="G225" s="175" t="str">
        <f>IF(E225="","",IF(ISNA(VLOOKUP($E225,'D-1 Off Site Habitat Baseline'!$D$1:$O$258,5,FALSE)),"",(VLOOKUP($E225,'D-1 Off Site Habitat Baseline'!$D$1:$O$258,5,FALSE))))</f>
        <v/>
      </c>
      <c r="H225" s="175" t="str">
        <f>IF(E225="","",IF(ISNA(VLOOKUP($E225,'D-1 Off Site Habitat Baseline'!$D$1:$O$258,6,FALSE)),"",(VLOOKUP($E225,'D-1 Off Site Habitat Baseline'!$D$1:$O$258,6,FALSE))))</f>
        <v/>
      </c>
      <c r="I225" s="175" t="str">
        <f>IF(E225="","",IF(ISNA(VLOOKUP($E225,'D-1 Off Site Habitat Baseline'!$D$1:$O$258,7,FALSE)),"",(VLOOKUP($E225,'D-1 Off Site Habitat Baseline'!$D$1:$O$258,7,FALSE))))</f>
        <v/>
      </c>
      <c r="J225" s="175" t="str">
        <f>IF(E225="","",IF(ISNA(VLOOKUP($E225,'D-1 Off Site Habitat Baseline'!$D$1:$O$258,8,FALSE)),"",(VLOOKUP($E225,'D-1 Off Site Habitat Baseline'!$D$1:$O$258,8,FALSE))))</f>
        <v/>
      </c>
      <c r="K225" s="175" t="str">
        <f>IF(E225="","",IF(ISNA(VLOOKUP($E225,'D-1 Off Site Habitat Baseline'!$D$1:$O$258,9,FALSE)),"",(VLOOKUP($E225,'D-1 Off Site Habitat Baseline'!$D$1:$O$258,9,FALSE))))</f>
        <v/>
      </c>
      <c r="L225" s="175" t="str">
        <f>IF(E225="","",IF(ISNA(VLOOKUP($E225,'D-1 Off Site Habitat Baseline'!$D$1:$O$258,11,FALSE)),"",(VLOOKUP($E225,'D-1 Off Site Habitat Baseline'!$D$1:$O$258,11,FALSE))))</f>
        <v/>
      </c>
      <c r="M225" s="175" t="str">
        <f>IF(E225="","",IF(ISNA(VLOOKUP($E225,'D-1 Off Site Habitat Baseline'!$D$1:$O$258,12,FALSE)),"",(VLOOKUP($E225,'D-1 Off Site Habitat Baseline'!$D$1:$O$258,12,FALSE))))</f>
        <v/>
      </c>
      <c r="N225" s="175" t="str">
        <f>IF(E225="","",IF(ISNA(VLOOKUP($E225,'D-1 Off Site Habitat Baseline'!$D$1:$X$258,14,FALSE)),"",(VLOOKUP($E225,'D-1 Off Site Habitat Baseline'!$D$1:$X$258,14,FALSE))))</f>
        <v/>
      </c>
      <c r="O225" s="176" t="str">
        <f>IF(E225="","",IF(ISNA(VLOOKUP($E225,'D-1 Off Site Habitat Baseline'!$D$1:$X$258,13,FALSE)),"",(VLOOKUP($E225,'D-1 Off Site Habitat Baseline'!$D$1:$X$258,13,FALSE))))</f>
        <v/>
      </c>
      <c r="P225" s="337" t="str">
        <f>IFERROR(INDEX('G-1 All Habitats'!$AG$3:$AG$15,MATCH(Q225,'G-1 All Habitats'!$AF$3:$AF$15,0)),"")</f>
        <v/>
      </c>
      <c r="Q225" s="331" t="str">
        <f t="shared" si="46"/>
        <v/>
      </c>
      <c r="R225" s="332" t="str">
        <f t="shared" si="47"/>
        <v/>
      </c>
      <c r="S225" s="338" t="str">
        <f>IFERROR(INDEX('G-1 All Habitats'!$B$3:$B$130,MATCH(R225,'G-1 All Habitats'!$A$3:$A$130,0)),"")</f>
        <v/>
      </c>
      <c r="T225" s="179" t="str">
        <f t="shared" si="39"/>
        <v/>
      </c>
      <c r="U225" s="172" t="str">
        <f t="shared" si="40"/>
        <v/>
      </c>
      <c r="V225" s="334" t="str">
        <f t="shared" si="37"/>
        <v/>
      </c>
      <c r="W225" s="175" t="str">
        <f>IF(S225="","",VLOOKUP(S225,'G-1 All Habitats'!$B$2:$M$130,10,FALSE))</f>
        <v/>
      </c>
      <c r="X225" s="175" t="str">
        <f>IFERROR(VLOOKUP(W225,'G-1 All Habitats'!$V$3:$W$7,2,FALSE),"")</f>
        <v/>
      </c>
      <c r="Y225" s="275"/>
      <c r="Z225" s="176" t="str">
        <f>IFERROR(INDEX('G-8 Condition Look up'!$A$3:$H$131,MATCH(S225,'G-8 Condition Look up'!$A$3:$A$131,0),MATCH(Y225,'G-8 Condition Look up'!$A$3:$H$3,0)),"")</f>
        <v/>
      </c>
      <c r="AA225" s="173"/>
      <c r="AB225" s="269" t="str">
        <f>IF(AA225="","",IF(VLOOKUP(AA225,'G-3 Multipliers'!$L$3:$N$6,2,FALSE)=0,"Spatial Data Missing",VLOOKUP(AA225,'G-3 Multipliers'!$L$3:$N$6,2,FALSE)))</f>
        <v/>
      </c>
      <c r="AC225" s="176" t="str">
        <f>IF(AA225="","",IF(VLOOKUP(AA225,'G-3 Multipliers'!$L$3:$N$6,3,FALSE)=0,"Spatial Data Missing",VLOOKUP(AA225,'G-3 Multipliers'!$L$3:$N$6,3,FALSE)))</f>
        <v/>
      </c>
      <c r="AD225" s="239" t="str">
        <f t="shared" si="38"/>
        <v/>
      </c>
      <c r="AE225" s="275"/>
      <c r="AF225" s="275"/>
      <c r="AG225" s="175" t="str">
        <f t="shared" si="41"/>
        <v/>
      </c>
      <c r="AH225" s="242" t="str">
        <f t="shared" si="42"/>
        <v/>
      </c>
      <c r="AI225" s="335" t="str">
        <f>IF(AH225="Check Data","Check Data",IFERROR(VLOOKUP(AH225,'G-4 Temporal multipliers'!$A$4:$C$36,3,FALSE),""))</f>
        <v/>
      </c>
      <c r="AJ225" s="239" t="str">
        <f>IF(S225="","",VLOOKUP(S225,'G-3 Multipliers'!$A$2:$E$130,4,FALSE))</f>
        <v/>
      </c>
      <c r="AK225" s="175" t="str">
        <f t="shared" si="43"/>
        <v/>
      </c>
      <c r="AL225" s="175" t="str">
        <f t="shared" si="44"/>
        <v/>
      </c>
      <c r="AM225" s="176" t="str">
        <f>IFERROR(IF(F225="","",IF(AH225="Check Data","Check Data",VLOOKUP(AL225, 'G-3 Multipliers'!$P$2:$Q$6,2,FALSE))),””)</f>
        <v/>
      </c>
      <c r="AN225" s="266"/>
      <c r="AO225" s="269" t="str">
        <f>IF(AN225="","",IF(VLOOKUP(AN225,'G-3 Multipliers'!$S$3:$T$9,2,FALSE)=0,"Spatial Data Missing",VLOOKUP(AN225,'G-3 Multipliers'!$S$3:$T$9,2,FALSE)))</f>
        <v/>
      </c>
      <c r="AP225" s="207" t="str">
        <f t="shared" si="45"/>
        <v/>
      </c>
      <c r="AQ225" s="336"/>
      <c r="AR225" s="181"/>
    </row>
    <row r="226" spans="1:44" x14ac:dyDescent="0.25">
      <c r="A226" s="35" t="str">
        <f>IF(E226="","",IF(ISNA(VLOOKUP($E226,'D-1 Off Site Habitat Baseline'!$D$1:$O$258,2,FALSE)),"",(VLOOKUP($E226,'D-1 Off Site Habitat Baseline'!$D$1:$O$258,2,FALSE))))</f>
        <v/>
      </c>
      <c r="B226" s="35" t="str">
        <f>IF(E226="","",IF(ISNA(VLOOKUP($E226,'D-1 Off Site Habitat Baseline'!$D$1:$O$258,3,FALSE)),"",(VLOOKUP($E226,'D-1 Off Site Habitat Baseline'!$D$1:$O$258,3,FALSE))))</f>
        <v/>
      </c>
      <c r="C226" s="35" t="str">
        <f>IFERROR(INDEX('G-8 Condition Look up'!$I$4:$I$131,MATCH(S226,'G-8 Condition Look up'!$A$4:$A$131,0)),"")</f>
        <v/>
      </c>
      <c r="E226" s="329" t="str">
        <f>'D-1 Off Site Habitat Baseline'!AL225</f>
        <v/>
      </c>
      <c r="F226" s="175" t="str">
        <f>IF(E226="","",IF(ISNA(VLOOKUP($E226,'D-1 Off Site Habitat Baseline'!$D$1:$O$258,4,FALSE)),"",(VLOOKUP($E226,'D-1 Off Site Habitat Baseline'!$D$1:$O$258,4,FALSE))))</f>
        <v/>
      </c>
      <c r="G226" s="175" t="str">
        <f>IF(E226="","",IF(ISNA(VLOOKUP($E226,'D-1 Off Site Habitat Baseline'!$D$1:$O$258,5,FALSE)),"",(VLOOKUP($E226,'D-1 Off Site Habitat Baseline'!$D$1:$O$258,5,FALSE))))</f>
        <v/>
      </c>
      <c r="H226" s="175" t="str">
        <f>IF(E226="","",IF(ISNA(VLOOKUP($E226,'D-1 Off Site Habitat Baseline'!$D$1:$O$258,6,FALSE)),"",(VLOOKUP($E226,'D-1 Off Site Habitat Baseline'!$D$1:$O$258,6,FALSE))))</f>
        <v/>
      </c>
      <c r="I226" s="175" t="str">
        <f>IF(E226="","",IF(ISNA(VLOOKUP($E226,'D-1 Off Site Habitat Baseline'!$D$1:$O$258,7,FALSE)),"",(VLOOKUP($E226,'D-1 Off Site Habitat Baseline'!$D$1:$O$258,7,FALSE))))</f>
        <v/>
      </c>
      <c r="J226" s="175" t="str">
        <f>IF(E226="","",IF(ISNA(VLOOKUP($E226,'D-1 Off Site Habitat Baseline'!$D$1:$O$258,8,FALSE)),"",(VLOOKUP($E226,'D-1 Off Site Habitat Baseline'!$D$1:$O$258,8,FALSE))))</f>
        <v/>
      </c>
      <c r="K226" s="175" t="str">
        <f>IF(E226="","",IF(ISNA(VLOOKUP($E226,'D-1 Off Site Habitat Baseline'!$D$1:$O$258,9,FALSE)),"",(VLOOKUP($E226,'D-1 Off Site Habitat Baseline'!$D$1:$O$258,9,FALSE))))</f>
        <v/>
      </c>
      <c r="L226" s="175" t="str">
        <f>IF(E226="","",IF(ISNA(VLOOKUP($E226,'D-1 Off Site Habitat Baseline'!$D$1:$O$258,11,FALSE)),"",(VLOOKUP($E226,'D-1 Off Site Habitat Baseline'!$D$1:$O$258,11,FALSE))))</f>
        <v/>
      </c>
      <c r="M226" s="175" t="str">
        <f>IF(E226="","",IF(ISNA(VLOOKUP($E226,'D-1 Off Site Habitat Baseline'!$D$1:$O$258,12,FALSE)),"",(VLOOKUP($E226,'D-1 Off Site Habitat Baseline'!$D$1:$O$258,12,FALSE))))</f>
        <v/>
      </c>
      <c r="N226" s="175" t="str">
        <f>IF(E226="","",IF(ISNA(VLOOKUP($E226,'D-1 Off Site Habitat Baseline'!$D$1:$X$258,14,FALSE)),"",(VLOOKUP($E226,'D-1 Off Site Habitat Baseline'!$D$1:$X$258,14,FALSE))))</f>
        <v/>
      </c>
      <c r="O226" s="176" t="str">
        <f>IF(E226="","",IF(ISNA(VLOOKUP($E226,'D-1 Off Site Habitat Baseline'!$D$1:$X$258,13,FALSE)),"",(VLOOKUP($E226,'D-1 Off Site Habitat Baseline'!$D$1:$X$258,13,FALSE))))</f>
        <v/>
      </c>
      <c r="P226" s="337" t="str">
        <f>IFERROR(INDEX('G-1 All Habitats'!$AG$3:$AG$15,MATCH(Q226,'G-1 All Habitats'!$AF$3:$AF$15,0)),"")</f>
        <v/>
      </c>
      <c r="Q226" s="331" t="str">
        <f t="shared" si="46"/>
        <v/>
      </c>
      <c r="R226" s="332" t="str">
        <f t="shared" si="47"/>
        <v/>
      </c>
      <c r="S226" s="338" t="str">
        <f>IFERROR(INDEX('G-1 All Habitats'!$B$3:$B$130,MATCH(R226,'G-1 All Habitats'!$A$3:$A$130,0)),"")</f>
        <v/>
      </c>
      <c r="T226" s="179" t="str">
        <f t="shared" si="39"/>
        <v/>
      </c>
      <c r="U226" s="172" t="str">
        <f t="shared" si="40"/>
        <v/>
      </c>
      <c r="V226" s="334" t="str">
        <f t="shared" si="37"/>
        <v/>
      </c>
      <c r="W226" s="175" t="str">
        <f>IF(S226="","",VLOOKUP(S226,'G-1 All Habitats'!$B$2:$M$130,10,FALSE))</f>
        <v/>
      </c>
      <c r="X226" s="175" t="str">
        <f>IFERROR(VLOOKUP(W226,'G-1 All Habitats'!$V$3:$W$7,2,FALSE),"")</f>
        <v/>
      </c>
      <c r="Y226" s="275"/>
      <c r="Z226" s="176" t="str">
        <f>IFERROR(INDEX('G-8 Condition Look up'!$A$3:$H$131,MATCH(S226,'G-8 Condition Look up'!$A$3:$A$131,0),MATCH(Y226,'G-8 Condition Look up'!$A$3:$H$3,0)),"")</f>
        <v/>
      </c>
      <c r="AA226" s="173"/>
      <c r="AB226" s="269" t="str">
        <f>IF(AA226="","",IF(VLOOKUP(AA226,'G-3 Multipliers'!$L$3:$N$6,2,FALSE)=0,"Spatial Data Missing",VLOOKUP(AA226,'G-3 Multipliers'!$L$3:$N$6,2,FALSE)))</f>
        <v/>
      </c>
      <c r="AC226" s="176" t="str">
        <f>IF(AA226="","",IF(VLOOKUP(AA226,'G-3 Multipliers'!$L$3:$N$6,3,FALSE)=0,"Spatial Data Missing",VLOOKUP(AA226,'G-3 Multipliers'!$L$3:$N$6,3,FALSE)))</f>
        <v/>
      </c>
      <c r="AD226" s="239" t="str">
        <f t="shared" si="38"/>
        <v/>
      </c>
      <c r="AE226" s="275"/>
      <c r="AF226" s="275"/>
      <c r="AG226" s="175" t="str">
        <f t="shared" si="41"/>
        <v/>
      </c>
      <c r="AH226" s="242" t="str">
        <f t="shared" si="42"/>
        <v/>
      </c>
      <c r="AI226" s="335" t="str">
        <f>IF(AH226="Check Data","Check Data",IFERROR(VLOOKUP(AH226,'G-4 Temporal multipliers'!$A$4:$C$36,3,FALSE),""))</f>
        <v/>
      </c>
      <c r="AJ226" s="239" t="str">
        <f>IF(S226="","",VLOOKUP(S226,'G-3 Multipliers'!$A$2:$E$130,4,FALSE))</f>
        <v/>
      </c>
      <c r="AK226" s="175" t="str">
        <f t="shared" si="43"/>
        <v/>
      </c>
      <c r="AL226" s="175" t="str">
        <f t="shared" si="44"/>
        <v/>
      </c>
      <c r="AM226" s="176" t="str">
        <f>IFERROR(IF(F226="","",IF(AH226="Check Data","Check Data",VLOOKUP(AL226, 'G-3 Multipliers'!$P$2:$Q$6,2,FALSE))),””)</f>
        <v/>
      </c>
      <c r="AN226" s="266"/>
      <c r="AO226" s="269" t="str">
        <f>IF(AN226="","",IF(VLOOKUP(AN226,'G-3 Multipliers'!$S$3:$T$9,2,FALSE)=0,"Spatial Data Missing",VLOOKUP(AN226,'G-3 Multipliers'!$S$3:$T$9,2,FALSE)))</f>
        <v/>
      </c>
      <c r="AP226" s="207" t="str">
        <f t="shared" si="45"/>
        <v/>
      </c>
      <c r="AQ226" s="336"/>
      <c r="AR226" s="181"/>
    </row>
    <row r="227" spans="1:44" x14ac:dyDescent="0.25">
      <c r="A227" s="35" t="str">
        <f>IF(E227="","",IF(ISNA(VLOOKUP($E227,'D-1 Off Site Habitat Baseline'!$D$1:$O$258,2,FALSE)),"",(VLOOKUP($E227,'D-1 Off Site Habitat Baseline'!$D$1:$O$258,2,FALSE))))</f>
        <v/>
      </c>
      <c r="B227" s="35" t="str">
        <f>IF(E227="","",IF(ISNA(VLOOKUP($E227,'D-1 Off Site Habitat Baseline'!$D$1:$O$258,3,FALSE)),"",(VLOOKUP($E227,'D-1 Off Site Habitat Baseline'!$D$1:$O$258,3,FALSE))))</f>
        <v/>
      </c>
      <c r="C227" s="35" t="str">
        <f>IFERROR(INDEX('G-8 Condition Look up'!$I$4:$I$131,MATCH(S227,'G-8 Condition Look up'!$A$4:$A$131,0)),"")</f>
        <v/>
      </c>
      <c r="E227" s="329" t="str">
        <f>'D-1 Off Site Habitat Baseline'!AL226</f>
        <v/>
      </c>
      <c r="F227" s="175" t="str">
        <f>IF(E227="","",IF(ISNA(VLOOKUP($E227,'D-1 Off Site Habitat Baseline'!$D$1:$O$258,4,FALSE)),"",(VLOOKUP($E227,'D-1 Off Site Habitat Baseline'!$D$1:$O$258,4,FALSE))))</f>
        <v/>
      </c>
      <c r="G227" s="175" t="str">
        <f>IF(E227="","",IF(ISNA(VLOOKUP($E227,'D-1 Off Site Habitat Baseline'!$D$1:$O$258,5,FALSE)),"",(VLOOKUP($E227,'D-1 Off Site Habitat Baseline'!$D$1:$O$258,5,FALSE))))</f>
        <v/>
      </c>
      <c r="H227" s="175" t="str">
        <f>IF(E227="","",IF(ISNA(VLOOKUP($E227,'D-1 Off Site Habitat Baseline'!$D$1:$O$258,6,FALSE)),"",(VLOOKUP($E227,'D-1 Off Site Habitat Baseline'!$D$1:$O$258,6,FALSE))))</f>
        <v/>
      </c>
      <c r="I227" s="175" t="str">
        <f>IF(E227="","",IF(ISNA(VLOOKUP($E227,'D-1 Off Site Habitat Baseline'!$D$1:$O$258,7,FALSE)),"",(VLOOKUP($E227,'D-1 Off Site Habitat Baseline'!$D$1:$O$258,7,FALSE))))</f>
        <v/>
      </c>
      <c r="J227" s="175" t="str">
        <f>IF(E227="","",IF(ISNA(VLOOKUP($E227,'D-1 Off Site Habitat Baseline'!$D$1:$O$258,8,FALSE)),"",(VLOOKUP($E227,'D-1 Off Site Habitat Baseline'!$D$1:$O$258,8,FALSE))))</f>
        <v/>
      </c>
      <c r="K227" s="175" t="str">
        <f>IF(E227="","",IF(ISNA(VLOOKUP($E227,'D-1 Off Site Habitat Baseline'!$D$1:$O$258,9,FALSE)),"",(VLOOKUP($E227,'D-1 Off Site Habitat Baseline'!$D$1:$O$258,9,FALSE))))</f>
        <v/>
      </c>
      <c r="L227" s="175" t="str">
        <f>IF(E227="","",IF(ISNA(VLOOKUP($E227,'D-1 Off Site Habitat Baseline'!$D$1:$O$258,11,FALSE)),"",(VLOOKUP($E227,'D-1 Off Site Habitat Baseline'!$D$1:$O$258,11,FALSE))))</f>
        <v/>
      </c>
      <c r="M227" s="175" t="str">
        <f>IF(E227="","",IF(ISNA(VLOOKUP($E227,'D-1 Off Site Habitat Baseline'!$D$1:$O$258,12,FALSE)),"",(VLOOKUP($E227,'D-1 Off Site Habitat Baseline'!$D$1:$O$258,12,FALSE))))</f>
        <v/>
      </c>
      <c r="N227" s="175" t="str">
        <f>IF(E227="","",IF(ISNA(VLOOKUP($E227,'D-1 Off Site Habitat Baseline'!$D$1:$X$258,14,FALSE)),"",(VLOOKUP($E227,'D-1 Off Site Habitat Baseline'!$D$1:$X$258,14,FALSE))))</f>
        <v/>
      </c>
      <c r="O227" s="176" t="str">
        <f>IF(E227="","",IF(ISNA(VLOOKUP($E227,'D-1 Off Site Habitat Baseline'!$D$1:$X$258,13,FALSE)),"",(VLOOKUP($E227,'D-1 Off Site Habitat Baseline'!$D$1:$X$258,13,FALSE))))</f>
        <v/>
      </c>
      <c r="P227" s="337" t="str">
        <f>IFERROR(INDEX('G-1 All Habitats'!$AG$3:$AG$15,MATCH(Q227,'G-1 All Habitats'!$AF$3:$AF$15,0)),"")</f>
        <v/>
      </c>
      <c r="Q227" s="331" t="str">
        <f t="shared" si="46"/>
        <v/>
      </c>
      <c r="R227" s="332" t="str">
        <f t="shared" si="47"/>
        <v/>
      </c>
      <c r="S227" s="338" t="str">
        <f>IFERROR(INDEX('G-1 All Habitats'!$B$3:$B$130,MATCH(R227,'G-1 All Habitats'!$A$3:$A$130,0)),"")</f>
        <v/>
      </c>
      <c r="T227" s="179" t="str">
        <f t="shared" si="39"/>
        <v/>
      </c>
      <c r="U227" s="172" t="str">
        <f t="shared" si="40"/>
        <v/>
      </c>
      <c r="V227" s="334" t="str">
        <f t="shared" si="37"/>
        <v/>
      </c>
      <c r="W227" s="175" t="str">
        <f>IF(S227="","",VLOOKUP(S227,'G-1 All Habitats'!$B$2:$M$130,10,FALSE))</f>
        <v/>
      </c>
      <c r="X227" s="175" t="str">
        <f>IFERROR(VLOOKUP(W227,'G-1 All Habitats'!$V$3:$W$7,2,FALSE),"")</f>
        <v/>
      </c>
      <c r="Y227" s="275"/>
      <c r="Z227" s="176" t="str">
        <f>IFERROR(INDEX('G-8 Condition Look up'!$A$3:$H$131,MATCH(S227,'G-8 Condition Look up'!$A$3:$A$131,0),MATCH(Y227,'G-8 Condition Look up'!$A$3:$H$3,0)),"")</f>
        <v/>
      </c>
      <c r="AA227" s="173"/>
      <c r="AB227" s="269" t="str">
        <f>IF(AA227="","",IF(VLOOKUP(AA227,'G-3 Multipliers'!$L$3:$N$6,2,FALSE)=0,"Spatial Data Missing",VLOOKUP(AA227,'G-3 Multipliers'!$L$3:$N$6,2,FALSE)))</f>
        <v/>
      </c>
      <c r="AC227" s="176" t="str">
        <f>IF(AA227="","",IF(VLOOKUP(AA227,'G-3 Multipliers'!$L$3:$N$6,3,FALSE)=0,"Spatial Data Missing",VLOOKUP(AA227,'G-3 Multipliers'!$L$3:$N$6,3,FALSE)))</f>
        <v/>
      </c>
      <c r="AD227" s="239" t="str">
        <f t="shared" si="38"/>
        <v/>
      </c>
      <c r="AE227" s="275"/>
      <c r="AF227" s="275"/>
      <c r="AG227" s="175" t="str">
        <f t="shared" si="41"/>
        <v/>
      </c>
      <c r="AH227" s="242" t="str">
        <f t="shared" si="42"/>
        <v/>
      </c>
      <c r="AI227" s="335" t="str">
        <f>IF(AH227="Check Data","Check Data",IFERROR(VLOOKUP(AH227,'G-4 Temporal multipliers'!$A$4:$C$36,3,FALSE),""))</f>
        <v/>
      </c>
      <c r="AJ227" s="239" t="str">
        <f>IF(S227="","",VLOOKUP(S227,'G-3 Multipliers'!$A$2:$E$130,4,FALSE))</f>
        <v/>
      </c>
      <c r="AK227" s="175" t="str">
        <f t="shared" si="43"/>
        <v/>
      </c>
      <c r="AL227" s="175" t="str">
        <f t="shared" si="44"/>
        <v/>
      </c>
      <c r="AM227" s="176" t="str">
        <f>IFERROR(IF(F227="","",IF(AH227="Check Data","Check Data",VLOOKUP(AL227, 'G-3 Multipliers'!$P$2:$Q$6,2,FALSE))),””)</f>
        <v/>
      </c>
      <c r="AN227" s="266"/>
      <c r="AO227" s="269" t="str">
        <f>IF(AN227="","",IF(VLOOKUP(AN227,'G-3 Multipliers'!$S$3:$T$9,2,FALSE)=0,"Spatial Data Missing",VLOOKUP(AN227,'G-3 Multipliers'!$S$3:$T$9,2,FALSE)))</f>
        <v/>
      </c>
      <c r="AP227" s="207" t="str">
        <f t="shared" si="45"/>
        <v/>
      </c>
      <c r="AQ227" s="336"/>
      <c r="AR227" s="181"/>
    </row>
    <row r="228" spans="1:44" x14ac:dyDescent="0.25">
      <c r="A228" s="35" t="str">
        <f>IF(E228="","",IF(ISNA(VLOOKUP($E228,'D-1 Off Site Habitat Baseline'!$D$1:$O$258,2,FALSE)),"",(VLOOKUP($E228,'D-1 Off Site Habitat Baseline'!$D$1:$O$258,2,FALSE))))</f>
        <v/>
      </c>
      <c r="B228" s="35" t="str">
        <f>IF(E228="","",IF(ISNA(VLOOKUP($E228,'D-1 Off Site Habitat Baseline'!$D$1:$O$258,3,FALSE)),"",(VLOOKUP($E228,'D-1 Off Site Habitat Baseline'!$D$1:$O$258,3,FALSE))))</f>
        <v/>
      </c>
      <c r="C228" s="35" t="str">
        <f>IFERROR(INDEX('G-8 Condition Look up'!$I$4:$I$131,MATCH(S228,'G-8 Condition Look up'!$A$4:$A$131,0)),"")</f>
        <v/>
      </c>
      <c r="E228" s="329" t="str">
        <f>'D-1 Off Site Habitat Baseline'!AL227</f>
        <v/>
      </c>
      <c r="F228" s="175" t="str">
        <f>IF(E228="","",IF(ISNA(VLOOKUP($E228,'D-1 Off Site Habitat Baseline'!$D$1:$O$258,4,FALSE)),"",(VLOOKUP($E228,'D-1 Off Site Habitat Baseline'!$D$1:$O$258,4,FALSE))))</f>
        <v/>
      </c>
      <c r="G228" s="175" t="str">
        <f>IF(E228="","",IF(ISNA(VLOOKUP($E228,'D-1 Off Site Habitat Baseline'!$D$1:$O$258,5,FALSE)),"",(VLOOKUP($E228,'D-1 Off Site Habitat Baseline'!$D$1:$O$258,5,FALSE))))</f>
        <v/>
      </c>
      <c r="H228" s="175" t="str">
        <f>IF(E228="","",IF(ISNA(VLOOKUP($E228,'D-1 Off Site Habitat Baseline'!$D$1:$O$258,6,FALSE)),"",(VLOOKUP($E228,'D-1 Off Site Habitat Baseline'!$D$1:$O$258,6,FALSE))))</f>
        <v/>
      </c>
      <c r="I228" s="175" t="str">
        <f>IF(E228="","",IF(ISNA(VLOOKUP($E228,'D-1 Off Site Habitat Baseline'!$D$1:$O$258,7,FALSE)),"",(VLOOKUP($E228,'D-1 Off Site Habitat Baseline'!$D$1:$O$258,7,FALSE))))</f>
        <v/>
      </c>
      <c r="J228" s="175" t="str">
        <f>IF(E228="","",IF(ISNA(VLOOKUP($E228,'D-1 Off Site Habitat Baseline'!$D$1:$O$258,8,FALSE)),"",(VLOOKUP($E228,'D-1 Off Site Habitat Baseline'!$D$1:$O$258,8,FALSE))))</f>
        <v/>
      </c>
      <c r="K228" s="175" t="str">
        <f>IF(E228="","",IF(ISNA(VLOOKUP($E228,'D-1 Off Site Habitat Baseline'!$D$1:$O$258,9,FALSE)),"",(VLOOKUP($E228,'D-1 Off Site Habitat Baseline'!$D$1:$O$258,9,FALSE))))</f>
        <v/>
      </c>
      <c r="L228" s="175" t="str">
        <f>IF(E228="","",IF(ISNA(VLOOKUP($E228,'D-1 Off Site Habitat Baseline'!$D$1:$O$258,11,FALSE)),"",(VLOOKUP($E228,'D-1 Off Site Habitat Baseline'!$D$1:$O$258,11,FALSE))))</f>
        <v/>
      </c>
      <c r="M228" s="175" t="str">
        <f>IF(E228="","",IF(ISNA(VLOOKUP($E228,'D-1 Off Site Habitat Baseline'!$D$1:$O$258,12,FALSE)),"",(VLOOKUP($E228,'D-1 Off Site Habitat Baseline'!$D$1:$O$258,12,FALSE))))</f>
        <v/>
      </c>
      <c r="N228" s="175" t="str">
        <f>IF(E228="","",IF(ISNA(VLOOKUP($E228,'D-1 Off Site Habitat Baseline'!$D$1:$X$258,14,FALSE)),"",(VLOOKUP($E228,'D-1 Off Site Habitat Baseline'!$D$1:$X$258,14,FALSE))))</f>
        <v/>
      </c>
      <c r="O228" s="176" t="str">
        <f>IF(E228="","",IF(ISNA(VLOOKUP($E228,'D-1 Off Site Habitat Baseline'!$D$1:$X$258,13,FALSE)),"",(VLOOKUP($E228,'D-1 Off Site Habitat Baseline'!$D$1:$X$258,13,FALSE))))</f>
        <v/>
      </c>
      <c r="P228" s="337" t="str">
        <f>IFERROR(INDEX('G-1 All Habitats'!$AG$3:$AG$15,MATCH(Q228,'G-1 All Habitats'!$AF$3:$AF$15,0)),"")</f>
        <v/>
      </c>
      <c r="Q228" s="331" t="str">
        <f t="shared" si="46"/>
        <v/>
      </c>
      <c r="R228" s="332" t="str">
        <f t="shared" si="47"/>
        <v/>
      </c>
      <c r="S228" s="338" t="str">
        <f>IFERROR(INDEX('G-1 All Habitats'!$B$3:$B$130,MATCH(R228,'G-1 All Habitats'!$A$3:$A$130,0)),"")</f>
        <v/>
      </c>
      <c r="T228" s="179" t="str">
        <f t="shared" si="39"/>
        <v/>
      </c>
      <c r="U228" s="172" t="str">
        <f t="shared" si="40"/>
        <v/>
      </c>
      <c r="V228" s="334" t="str">
        <f t="shared" si="37"/>
        <v/>
      </c>
      <c r="W228" s="175" t="str">
        <f>IF(S228="","",VLOOKUP(S228,'G-1 All Habitats'!$B$2:$M$130,10,FALSE))</f>
        <v/>
      </c>
      <c r="X228" s="175" t="str">
        <f>IFERROR(VLOOKUP(W228,'G-1 All Habitats'!$V$3:$W$7,2,FALSE),"")</f>
        <v/>
      </c>
      <c r="Y228" s="275"/>
      <c r="Z228" s="176" t="str">
        <f>IFERROR(INDEX('G-8 Condition Look up'!$A$3:$H$131,MATCH(S228,'G-8 Condition Look up'!$A$3:$A$131,0),MATCH(Y228,'G-8 Condition Look up'!$A$3:$H$3,0)),"")</f>
        <v/>
      </c>
      <c r="AA228" s="173"/>
      <c r="AB228" s="269" t="str">
        <f>IF(AA228="","",IF(VLOOKUP(AA228,'G-3 Multipliers'!$L$3:$N$6,2,FALSE)=0,"Spatial Data Missing",VLOOKUP(AA228,'G-3 Multipliers'!$L$3:$N$6,2,FALSE)))</f>
        <v/>
      </c>
      <c r="AC228" s="176" t="str">
        <f>IF(AA228="","",IF(VLOOKUP(AA228,'G-3 Multipliers'!$L$3:$N$6,3,FALSE)=0,"Spatial Data Missing",VLOOKUP(AA228,'G-3 Multipliers'!$L$3:$N$6,3,FALSE)))</f>
        <v/>
      </c>
      <c r="AD228" s="239" t="str">
        <f t="shared" si="38"/>
        <v/>
      </c>
      <c r="AE228" s="275"/>
      <c r="AF228" s="275"/>
      <c r="AG228" s="175" t="str">
        <f t="shared" si="41"/>
        <v/>
      </c>
      <c r="AH228" s="242" t="str">
        <f t="shared" si="42"/>
        <v/>
      </c>
      <c r="AI228" s="335" t="str">
        <f>IF(AH228="Check Data","Check Data",IFERROR(VLOOKUP(AH228,'G-4 Temporal multipliers'!$A$4:$C$36,3,FALSE),""))</f>
        <v/>
      </c>
      <c r="AJ228" s="239" t="str">
        <f>IF(S228="","",VLOOKUP(S228,'G-3 Multipliers'!$A$2:$E$130,4,FALSE))</f>
        <v/>
      </c>
      <c r="AK228" s="175" t="str">
        <f t="shared" si="43"/>
        <v/>
      </c>
      <c r="AL228" s="175" t="str">
        <f t="shared" si="44"/>
        <v/>
      </c>
      <c r="AM228" s="176" t="str">
        <f>IFERROR(IF(F228="","",IF(AH228="Check Data","Check Data",VLOOKUP(AL228, 'G-3 Multipliers'!$P$2:$Q$6,2,FALSE))),””)</f>
        <v/>
      </c>
      <c r="AN228" s="266"/>
      <c r="AO228" s="269" t="str">
        <f>IF(AN228="","",IF(VLOOKUP(AN228,'G-3 Multipliers'!$S$3:$T$9,2,FALSE)=0,"Spatial Data Missing",VLOOKUP(AN228,'G-3 Multipliers'!$S$3:$T$9,2,FALSE)))</f>
        <v/>
      </c>
      <c r="AP228" s="207" t="str">
        <f t="shared" si="45"/>
        <v/>
      </c>
      <c r="AQ228" s="336"/>
      <c r="AR228" s="181"/>
    </row>
    <row r="229" spans="1:44" x14ac:dyDescent="0.25">
      <c r="A229" s="35" t="str">
        <f>IF(E229="","",IF(ISNA(VLOOKUP($E229,'D-1 Off Site Habitat Baseline'!$D$1:$O$258,2,FALSE)),"",(VLOOKUP($E229,'D-1 Off Site Habitat Baseline'!$D$1:$O$258,2,FALSE))))</f>
        <v/>
      </c>
      <c r="B229" s="35" t="str">
        <f>IF(E229="","",IF(ISNA(VLOOKUP($E229,'D-1 Off Site Habitat Baseline'!$D$1:$O$258,3,FALSE)),"",(VLOOKUP($E229,'D-1 Off Site Habitat Baseline'!$D$1:$O$258,3,FALSE))))</f>
        <v/>
      </c>
      <c r="C229" s="35" t="str">
        <f>IFERROR(INDEX('G-8 Condition Look up'!$I$4:$I$131,MATCH(S229,'G-8 Condition Look up'!$A$4:$A$131,0)),"")</f>
        <v/>
      </c>
      <c r="E229" s="329" t="str">
        <f>'D-1 Off Site Habitat Baseline'!AL228</f>
        <v/>
      </c>
      <c r="F229" s="175" t="str">
        <f>IF(E229="","",IF(ISNA(VLOOKUP($E229,'D-1 Off Site Habitat Baseline'!$D$1:$O$258,4,FALSE)),"",(VLOOKUP($E229,'D-1 Off Site Habitat Baseline'!$D$1:$O$258,4,FALSE))))</f>
        <v/>
      </c>
      <c r="G229" s="175" t="str">
        <f>IF(E229="","",IF(ISNA(VLOOKUP($E229,'D-1 Off Site Habitat Baseline'!$D$1:$O$258,5,FALSE)),"",(VLOOKUP($E229,'D-1 Off Site Habitat Baseline'!$D$1:$O$258,5,FALSE))))</f>
        <v/>
      </c>
      <c r="H229" s="175" t="str">
        <f>IF(E229="","",IF(ISNA(VLOOKUP($E229,'D-1 Off Site Habitat Baseline'!$D$1:$O$258,6,FALSE)),"",(VLOOKUP($E229,'D-1 Off Site Habitat Baseline'!$D$1:$O$258,6,FALSE))))</f>
        <v/>
      </c>
      <c r="I229" s="175" t="str">
        <f>IF(E229="","",IF(ISNA(VLOOKUP($E229,'D-1 Off Site Habitat Baseline'!$D$1:$O$258,7,FALSE)),"",(VLOOKUP($E229,'D-1 Off Site Habitat Baseline'!$D$1:$O$258,7,FALSE))))</f>
        <v/>
      </c>
      <c r="J229" s="175" t="str">
        <f>IF(E229="","",IF(ISNA(VLOOKUP($E229,'D-1 Off Site Habitat Baseline'!$D$1:$O$258,8,FALSE)),"",(VLOOKUP($E229,'D-1 Off Site Habitat Baseline'!$D$1:$O$258,8,FALSE))))</f>
        <v/>
      </c>
      <c r="K229" s="175" t="str">
        <f>IF(E229="","",IF(ISNA(VLOOKUP($E229,'D-1 Off Site Habitat Baseline'!$D$1:$O$258,9,FALSE)),"",(VLOOKUP($E229,'D-1 Off Site Habitat Baseline'!$D$1:$O$258,9,FALSE))))</f>
        <v/>
      </c>
      <c r="L229" s="175" t="str">
        <f>IF(E229="","",IF(ISNA(VLOOKUP($E229,'D-1 Off Site Habitat Baseline'!$D$1:$O$258,11,FALSE)),"",(VLOOKUP($E229,'D-1 Off Site Habitat Baseline'!$D$1:$O$258,11,FALSE))))</f>
        <v/>
      </c>
      <c r="M229" s="175" t="str">
        <f>IF(E229="","",IF(ISNA(VLOOKUP($E229,'D-1 Off Site Habitat Baseline'!$D$1:$O$258,12,FALSE)),"",(VLOOKUP($E229,'D-1 Off Site Habitat Baseline'!$D$1:$O$258,12,FALSE))))</f>
        <v/>
      </c>
      <c r="N229" s="175" t="str">
        <f>IF(E229="","",IF(ISNA(VLOOKUP($E229,'D-1 Off Site Habitat Baseline'!$D$1:$X$258,14,FALSE)),"",(VLOOKUP($E229,'D-1 Off Site Habitat Baseline'!$D$1:$X$258,14,FALSE))))</f>
        <v/>
      </c>
      <c r="O229" s="176" t="str">
        <f>IF(E229="","",IF(ISNA(VLOOKUP($E229,'D-1 Off Site Habitat Baseline'!$D$1:$X$258,13,FALSE)),"",(VLOOKUP($E229,'D-1 Off Site Habitat Baseline'!$D$1:$X$258,13,FALSE))))</f>
        <v/>
      </c>
      <c r="P229" s="337" t="str">
        <f>IFERROR(INDEX('G-1 All Habitats'!$AG$3:$AG$15,MATCH(Q229,'G-1 All Habitats'!$AF$3:$AF$15,0)),"")</f>
        <v/>
      </c>
      <c r="Q229" s="331" t="str">
        <f t="shared" si="46"/>
        <v/>
      </c>
      <c r="R229" s="332" t="str">
        <f t="shared" si="47"/>
        <v/>
      </c>
      <c r="S229" s="338" t="str">
        <f>IFERROR(INDEX('G-1 All Habitats'!$B$3:$B$130,MATCH(R229,'G-1 All Habitats'!$A$3:$A$130,0)),"")</f>
        <v/>
      </c>
      <c r="T229" s="179" t="str">
        <f t="shared" si="39"/>
        <v/>
      </c>
      <c r="U229" s="172" t="str">
        <f t="shared" si="40"/>
        <v/>
      </c>
      <c r="V229" s="334" t="str">
        <f t="shared" si="37"/>
        <v/>
      </c>
      <c r="W229" s="175" t="str">
        <f>IF(S229="","",VLOOKUP(S229,'G-1 All Habitats'!$B$2:$M$130,10,FALSE))</f>
        <v/>
      </c>
      <c r="X229" s="175" t="str">
        <f>IFERROR(VLOOKUP(W229,'G-1 All Habitats'!$V$3:$W$7,2,FALSE),"")</f>
        <v/>
      </c>
      <c r="Y229" s="275"/>
      <c r="Z229" s="176" t="str">
        <f>IFERROR(INDEX('G-8 Condition Look up'!$A$3:$H$131,MATCH(S229,'G-8 Condition Look up'!$A$3:$A$131,0),MATCH(Y229,'G-8 Condition Look up'!$A$3:$H$3,0)),"")</f>
        <v/>
      </c>
      <c r="AA229" s="173"/>
      <c r="AB229" s="269" t="str">
        <f>IF(AA229="","",IF(VLOOKUP(AA229,'G-3 Multipliers'!$L$3:$N$6,2,FALSE)=0,"Spatial Data Missing",VLOOKUP(AA229,'G-3 Multipliers'!$L$3:$N$6,2,FALSE)))</f>
        <v/>
      </c>
      <c r="AC229" s="176" t="str">
        <f>IF(AA229="","",IF(VLOOKUP(AA229,'G-3 Multipliers'!$L$3:$N$6,3,FALSE)=0,"Spatial Data Missing",VLOOKUP(AA229,'G-3 Multipliers'!$L$3:$N$6,3,FALSE)))</f>
        <v/>
      </c>
      <c r="AD229" s="239" t="str">
        <f t="shared" si="38"/>
        <v/>
      </c>
      <c r="AE229" s="275"/>
      <c r="AF229" s="275"/>
      <c r="AG229" s="175" t="str">
        <f t="shared" si="41"/>
        <v/>
      </c>
      <c r="AH229" s="242" t="str">
        <f t="shared" si="42"/>
        <v/>
      </c>
      <c r="AI229" s="335" t="str">
        <f>IF(AH229="Check Data","Check Data",IFERROR(VLOOKUP(AH229,'G-4 Temporal multipliers'!$A$4:$C$36,3,FALSE),""))</f>
        <v/>
      </c>
      <c r="AJ229" s="239" t="str">
        <f>IF(S229="","",VLOOKUP(S229,'G-3 Multipliers'!$A$2:$E$130,4,FALSE))</f>
        <v/>
      </c>
      <c r="AK229" s="175" t="str">
        <f t="shared" si="43"/>
        <v/>
      </c>
      <c r="AL229" s="175" t="str">
        <f t="shared" si="44"/>
        <v/>
      </c>
      <c r="AM229" s="176" t="str">
        <f>IFERROR(IF(F229="","",IF(AH229="Check Data","Check Data",VLOOKUP(AL229, 'G-3 Multipliers'!$P$2:$Q$6,2,FALSE))),””)</f>
        <v/>
      </c>
      <c r="AN229" s="266"/>
      <c r="AO229" s="269" t="str">
        <f>IF(AN229="","",IF(VLOOKUP(AN229,'G-3 Multipliers'!$S$3:$T$9,2,FALSE)=0,"Spatial Data Missing",VLOOKUP(AN229,'G-3 Multipliers'!$S$3:$T$9,2,FALSE)))</f>
        <v/>
      </c>
      <c r="AP229" s="207" t="str">
        <f t="shared" si="45"/>
        <v/>
      </c>
      <c r="AQ229" s="336"/>
      <c r="AR229" s="181"/>
    </row>
    <row r="230" spans="1:44" x14ac:dyDescent="0.25">
      <c r="A230" s="35" t="str">
        <f>IF(E230="","",IF(ISNA(VLOOKUP($E230,'D-1 Off Site Habitat Baseline'!$D$1:$O$258,2,FALSE)),"",(VLOOKUP($E230,'D-1 Off Site Habitat Baseline'!$D$1:$O$258,2,FALSE))))</f>
        <v/>
      </c>
      <c r="B230" s="35" t="str">
        <f>IF(E230="","",IF(ISNA(VLOOKUP($E230,'D-1 Off Site Habitat Baseline'!$D$1:$O$258,3,FALSE)),"",(VLOOKUP($E230,'D-1 Off Site Habitat Baseline'!$D$1:$O$258,3,FALSE))))</f>
        <v/>
      </c>
      <c r="C230" s="35" t="str">
        <f>IFERROR(INDEX('G-8 Condition Look up'!$I$4:$I$131,MATCH(S230,'G-8 Condition Look up'!$A$4:$A$131,0)),"")</f>
        <v/>
      </c>
      <c r="E230" s="329" t="str">
        <f>'D-1 Off Site Habitat Baseline'!AL229</f>
        <v/>
      </c>
      <c r="F230" s="175" t="str">
        <f>IF(E230="","",IF(ISNA(VLOOKUP($E230,'D-1 Off Site Habitat Baseline'!$D$1:$O$258,4,FALSE)),"",(VLOOKUP($E230,'D-1 Off Site Habitat Baseline'!$D$1:$O$258,4,FALSE))))</f>
        <v/>
      </c>
      <c r="G230" s="175" t="str">
        <f>IF(E230="","",IF(ISNA(VLOOKUP($E230,'D-1 Off Site Habitat Baseline'!$D$1:$O$258,5,FALSE)),"",(VLOOKUP($E230,'D-1 Off Site Habitat Baseline'!$D$1:$O$258,5,FALSE))))</f>
        <v/>
      </c>
      <c r="H230" s="175" t="str">
        <f>IF(E230="","",IF(ISNA(VLOOKUP($E230,'D-1 Off Site Habitat Baseline'!$D$1:$O$258,6,FALSE)),"",(VLOOKUP($E230,'D-1 Off Site Habitat Baseline'!$D$1:$O$258,6,FALSE))))</f>
        <v/>
      </c>
      <c r="I230" s="175" t="str">
        <f>IF(E230="","",IF(ISNA(VLOOKUP($E230,'D-1 Off Site Habitat Baseline'!$D$1:$O$258,7,FALSE)),"",(VLOOKUP($E230,'D-1 Off Site Habitat Baseline'!$D$1:$O$258,7,FALSE))))</f>
        <v/>
      </c>
      <c r="J230" s="175" t="str">
        <f>IF(E230="","",IF(ISNA(VLOOKUP($E230,'D-1 Off Site Habitat Baseline'!$D$1:$O$258,8,FALSE)),"",(VLOOKUP($E230,'D-1 Off Site Habitat Baseline'!$D$1:$O$258,8,FALSE))))</f>
        <v/>
      </c>
      <c r="K230" s="175" t="str">
        <f>IF(E230="","",IF(ISNA(VLOOKUP($E230,'D-1 Off Site Habitat Baseline'!$D$1:$O$258,9,FALSE)),"",(VLOOKUP($E230,'D-1 Off Site Habitat Baseline'!$D$1:$O$258,9,FALSE))))</f>
        <v/>
      </c>
      <c r="L230" s="175" t="str">
        <f>IF(E230="","",IF(ISNA(VLOOKUP($E230,'D-1 Off Site Habitat Baseline'!$D$1:$O$258,11,FALSE)),"",(VLOOKUP($E230,'D-1 Off Site Habitat Baseline'!$D$1:$O$258,11,FALSE))))</f>
        <v/>
      </c>
      <c r="M230" s="175" t="str">
        <f>IF(E230="","",IF(ISNA(VLOOKUP($E230,'D-1 Off Site Habitat Baseline'!$D$1:$O$258,12,FALSE)),"",(VLOOKUP($E230,'D-1 Off Site Habitat Baseline'!$D$1:$O$258,12,FALSE))))</f>
        <v/>
      </c>
      <c r="N230" s="175" t="str">
        <f>IF(E230="","",IF(ISNA(VLOOKUP($E230,'D-1 Off Site Habitat Baseline'!$D$1:$X$258,14,FALSE)),"",(VLOOKUP($E230,'D-1 Off Site Habitat Baseline'!$D$1:$X$258,14,FALSE))))</f>
        <v/>
      </c>
      <c r="O230" s="176" t="str">
        <f>IF(E230="","",IF(ISNA(VLOOKUP($E230,'D-1 Off Site Habitat Baseline'!$D$1:$X$258,13,FALSE)),"",(VLOOKUP($E230,'D-1 Off Site Habitat Baseline'!$D$1:$X$258,13,FALSE))))</f>
        <v/>
      </c>
      <c r="P230" s="337" t="str">
        <f>IFERROR(INDEX('G-1 All Habitats'!$AG$3:$AG$15,MATCH(Q230,'G-1 All Habitats'!$AF$3:$AF$15,0)),"")</f>
        <v/>
      </c>
      <c r="Q230" s="331" t="str">
        <f t="shared" si="46"/>
        <v/>
      </c>
      <c r="R230" s="332" t="str">
        <f t="shared" si="47"/>
        <v/>
      </c>
      <c r="S230" s="338" t="str">
        <f>IFERROR(INDEX('G-1 All Habitats'!$B$3:$B$130,MATCH(R230,'G-1 All Habitats'!$A$3:$A$130,0)),"")</f>
        <v/>
      </c>
      <c r="T230" s="179" t="str">
        <f t="shared" si="39"/>
        <v/>
      </c>
      <c r="U230" s="172" t="str">
        <f t="shared" si="40"/>
        <v/>
      </c>
      <c r="V230" s="334" t="str">
        <f t="shared" si="37"/>
        <v/>
      </c>
      <c r="W230" s="175" t="str">
        <f>IF(S230="","",VLOOKUP(S230,'G-1 All Habitats'!$B$2:$M$130,10,FALSE))</f>
        <v/>
      </c>
      <c r="X230" s="175" t="str">
        <f>IFERROR(VLOOKUP(W230,'G-1 All Habitats'!$V$3:$W$7,2,FALSE),"")</f>
        <v/>
      </c>
      <c r="Y230" s="275"/>
      <c r="Z230" s="176" t="str">
        <f>IFERROR(INDEX('G-8 Condition Look up'!$A$3:$H$131,MATCH(S230,'G-8 Condition Look up'!$A$3:$A$131,0),MATCH(Y230,'G-8 Condition Look up'!$A$3:$H$3,0)),"")</f>
        <v/>
      </c>
      <c r="AA230" s="173"/>
      <c r="AB230" s="269" t="str">
        <f>IF(AA230="","",IF(VLOOKUP(AA230,'G-3 Multipliers'!$L$3:$N$6,2,FALSE)=0,"Spatial Data Missing",VLOOKUP(AA230,'G-3 Multipliers'!$L$3:$N$6,2,FALSE)))</f>
        <v/>
      </c>
      <c r="AC230" s="176" t="str">
        <f>IF(AA230="","",IF(VLOOKUP(AA230,'G-3 Multipliers'!$L$3:$N$6,3,FALSE)=0,"Spatial Data Missing",VLOOKUP(AA230,'G-3 Multipliers'!$L$3:$N$6,3,FALSE)))</f>
        <v/>
      </c>
      <c r="AD230" s="239" t="str">
        <f t="shared" si="38"/>
        <v/>
      </c>
      <c r="AE230" s="275"/>
      <c r="AF230" s="275"/>
      <c r="AG230" s="175" t="str">
        <f t="shared" si="41"/>
        <v/>
      </c>
      <c r="AH230" s="242" t="str">
        <f t="shared" si="42"/>
        <v/>
      </c>
      <c r="AI230" s="335" t="str">
        <f>IF(AH230="Check Data","Check Data",IFERROR(VLOOKUP(AH230,'G-4 Temporal multipliers'!$A$4:$C$36,3,FALSE),""))</f>
        <v/>
      </c>
      <c r="AJ230" s="239" t="str">
        <f>IF(S230="","",VLOOKUP(S230,'G-3 Multipliers'!$A$2:$E$130,4,FALSE))</f>
        <v/>
      </c>
      <c r="AK230" s="175" t="str">
        <f t="shared" si="43"/>
        <v/>
      </c>
      <c r="AL230" s="175" t="str">
        <f t="shared" si="44"/>
        <v/>
      </c>
      <c r="AM230" s="176" t="str">
        <f>IFERROR(IF(F230="","",IF(AH230="Check Data","Check Data",VLOOKUP(AL230, 'G-3 Multipliers'!$P$2:$Q$6,2,FALSE))),””)</f>
        <v/>
      </c>
      <c r="AN230" s="266"/>
      <c r="AO230" s="269" t="str">
        <f>IF(AN230="","",IF(VLOOKUP(AN230,'G-3 Multipliers'!$S$3:$T$9,2,FALSE)=0,"Spatial Data Missing",VLOOKUP(AN230,'G-3 Multipliers'!$S$3:$T$9,2,FALSE)))</f>
        <v/>
      </c>
      <c r="AP230" s="207" t="str">
        <f t="shared" si="45"/>
        <v/>
      </c>
      <c r="AQ230" s="336"/>
      <c r="AR230" s="181"/>
    </row>
    <row r="231" spans="1:44" x14ac:dyDescent="0.25">
      <c r="A231" s="35" t="str">
        <f>IF(E231="","",IF(ISNA(VLOOKUP($E231,'D-1 Off Site Habitat Baseline'!$D$1:$O$258,2,FALSE)),"",(VLOOKUP($E231,'D-1 Off Site Habitat Baseline'!$D$1:$O$258,2,FALSE))))</f>
        <v/>
      </c>
      <c r="B231" s="35" t="str">
        <f>IF(E231="","",IF(ISNA(VLOOKUP($E231,'D-1 Off Site Habitat Baseline'!$D$1:$O$258,3,FALSE)),"",(VLOOKUP($E231,'D-1 Off Site Habitat Baseline'!$D$1:$O$258,3,FALSE))))</f>
        <v/>
      </c>
      <c r="C231" s="35" t="str">
        <f>IFERROR(INDEX('G-8 Condition Look up'!$I$4:$I$131,MATCH(S231,'G-8 Condition Look up'!$A$4:$A$131,0)),"")</f>
        <v/>
      </c>
      <c r="E231" s="329" t="str">
        <f>'D-1 Off Site Habitat Baseline'!AL230</f>
        <v/>
      </c>
      <c r="F231" s="175" t="str">
        <f>IF(E231="","",IF(ISNA(VLOOKUP($E231,'D-1 Off Site Habitat Baseline'!$D$1:$O$258,4,FALSE)),"",(VLOOKUP($E231,'D-1 Off Site Habitat Baseline'!$D$1:$O$258,4,FALSE))))</f>
        <v/>
      </c>
      <c r="G231" s="175" t="str">
        <f>IF(E231="","",IF(ISNA(VLOOKUP($E231,'D-1 Off Site Habitat Baseline'!$D$1:$O$258,5,FALSE)),"",(VLOOKUP($E231,'D-1 Off Site Habitat Baseline'!$D$1:$O$258,5,FALSE))))</f>
        <v/>
      </c>
      <c r="H231" s="175" t="str">
        <f>IF(E231="","",IF(ISNA(VLOOKUP($E231,'D-1 Off Site Habitat Baseline'!$D$1:$O$258,6,FALSE)),"",(VLOOKUP($E231,'D-1 Off Site Habitat Baseline'!$D$1:$O$258,6,FALSE))))</f>
        <v/>
      </c>
      <c r="I231" s="175" t="str">
        <f>IF(E231="","",IF(ISNA(VLOOKUP($E231,'D-1 Off Site Habitat Baseline'!$D$1:$O$258,7,FALSE)),"",(VLOOKUP($E231,'D-1 Off Site Habitat Baseline'!$D$1:$O$258,7,FALSE))))</f>
        <v/>
      </c>
      <c r="J231" s="175" t="str">
        <f>IF(E231="","",IF(ISNA(VLOOKUP($E231,'D-1 Off Site Habitat Baseline'!$D$1:$O$258,8,FALSE)),"",(VLOOKUP($E231,'D-1 Off Site Habitat Baseline'!$D$1:$O$258,8,FALSE))))</f>
        <v/>
      </c>
      <c r="K231" s="175" t="str">
        <f>IF(E231="","",IF(ISNA(VLOOKUP($E231,'D-1 Off Site Habitat Baseline'!$D$1:$O$258,9,FALSE)),"",(VLOOKUP($E231,'D-1 Off Site Habitat Baseline'!$D$1:$O$258,9,FALSE))))</f>
        <v/>
      </c>
      <c r="L231" s="175" t="str">
        <f>IF(E231="","",IF(ISNA(VLOOKUP($E231,'D-1 Off Site Habitat Baseline'!$D$1:$O$258,11,FALSE)),"",(VLOOKUP($E231,'D-1 Off Site Habitat Baseline'!$D$1:$O$258,11,FALSE))))</f>
        <v/>
      </c>
      <c r="M231" s="175" t="str">
        <f>IF(E231="","",IF(ISNA(VLOOKUP($E231,'D-1 Off Site Habitat Baseline'!$D$1:$O$258,12,FALSE)),"",(VLOOKUP($E231,'D-1 Off Site Habitat Baseline'!$D$1:$O$258,12,FALSE))))</f>
        <v/>
      </c>
      <c r="N231" s="175" t="str">
        <f>IF(E231="","",IF(ISNA(VLOOKUP($E231,'D-1 Off Site Habitat Baseline'!$D$1:$X$258,14,FALSE)),"",(VLOOKUP($E231,'D-1 Off Site Habitat Baseline'!$D$1:$X$258,14,FALSE))))</f>
        <v/>
      </c>
      <c r="O231" s="176" t="str">
        <f>IF(E231="","",IF(ISNA(VLOOKUP($E231,'D-1 Off Site Habitat Baseline'!$D$1:$X$258,13,FALSE)),"",(VLOOKUP($E231,'D-1 Off Site Habitat Baseline'!$D$1:$X$258,13,FALSE))))</f>
        <v/>
      </c>
      <c r="P231" s="337" t="str">
        <f>IFERROR(INDEX('G-1 All Habitats'!$AG$3:$AG$15,MATCH(Q231,'G-1 All Habitats'!$AF$3:$AF$15,0)),"")</f>
        <v/>
      </c>
      <c r="Q231" s="331" t="str">
        <f t="shared" si="46"/>
        <v/>
      </c>
      <c r="R231" s="332" t="str">
        <f t="shared" si="47"/>
        <v/>
      </c>
      <c r="S231" s="338" t="str">
        <f>IFERROR(INDEX('G-1 All Habitats'!$B$3:$B$130,MATCH(R231,'G-1 All Habitats'!$A$3:$A$130,0)),"")</f>
        <v/>
      </c>
      <c r="T231" s="179" t="str">
        <f t="shared" si="39"/>
        <v/>
      </c>
      <c r="U231" s="172" t="str">
        <f t="shared" si="40"/>
        <v/>
      </c>
      <c r="V231" s="334" t="str">
        <f t="shared" si="37"/>
        <v/>
      </c>
      <c r="W231" s="175" t="str">
        <f>IF(S231="","",VLOOKUP(S231,'G-1 All Habitats'!$B$2:$M$130,10,FALSE))</f>
        <v/>
      </c>
      <c r="X231" s="175" t="str">
        <f>IFERROR(VLOOKUP(W231,'G-1 All Habitats'!$V$3:$W$7,2,FALSE),"")</f>
        <v/>
      </c>
      <c r="Y231" s="275"/>
      <c r="Z231" s="176" t="str">
        <f>IFERROR(INDEX('G-8 Condition Look up'!$A$3:$H$131,MATCH(S231,'G-8 Condition Look up'!$A$3:$A$131,0),MATCH(Y231,'G-8 Condition Look up'!$A$3:$H$3,0)),"")</f>
        <v/>
      </c>
      <c r="AA231" s="173"/>
      <c r="AB231" s="269" t="str">
        <f>IF(AA231="","",IF(VLOOKUP(AA231,'G-3 Multipliers'!$L$3:$N$6,2,FALSE)=0,"Spatial Data Missing",VLOOKUP(AA231,'G-3 Multipliers'!$L$3:$N$6,2,FALSE)))</f>
        <v/>
      </c>
      <c r="AC231" s="176" t="str">
        <f>IF(AA231="","",IF(VLOOKUP(AA231,'G-3 Multipliers'!$L$3:$N$6,3,FALSE)=0,"Spatial Data Missing",VLOOKUP(AA231,'G-3 Multipliers'!$L$3:$N$6,3,FALSE)))</f>
        <v/>
      </c>
      <c r="AD231" s="239" t="str">
        <f t="shared" si="38"/>
        <v/>
      </c>
      <c r="AE231" s="275"/>
      <c r="AF231" s="275"/>
      <c r="AG231" s="175" t="str">
        <f t="shared" si="41"/>
        <v/>
      </c>
      <c r="AH231" s="242" t="str">
        <f t="shared" si="42"/>
        <v/>
      </c>
      <c r="AI231" s="335" t="str">
        <f>IF(AH231="Check Data","Check Data",IFERROR(VLOOKUP(AH231,'G-4 Temporal multipliers'!$A$4:$C$36,3,FALSE),""))</f>
        <v/>
      </c>
      <c r="AJ231" s="239" t="str">
        <f>IF(S231="","",VLOOKUP(S231,'G-3 Multipliers'!$A$2:$E$130,4,FALSE))</f>
        <v/>
      </c>
      <c r="AK231" s="175" t="str">
        <f t="shared" si="43"/>
        <v/>
      </c>
      <c r="AL231" s="175" t="str">
        <f t="shared" si="44"/>
        <v/>
      </c>
      <c r="AM231" s="176" t="str">
        <f>IFERROR(IF(F231="","",IF(AH231="Check Data","Check Data",VLOOKUP(AL231, 'G-3 Multipliers'!$P$2:$Q$6,2,FALSE))),””)</f>
        <v/>
      </c>
      <c r="AN231" s="266"/>
      <c r="AO231" s="269" t="str">
        <f>IF(AN231="","",IF(VLOOKUP(AN231,'G-3 Multipliers'!$S$3:$T$9,2,FALSE)=0,"Spatial Data Missing",VLOOKUP(AN231,'G-3 Multipliers'!$S$3:$T$9,2,FALSE)))</f>
        <v/>
      </c>
      <c r="AP231" s="207" t="str">
        <f t="shared" si="45"/>
        <v/>
      </c>
      <c r="AQ231" s="336"/>
      <c r="AR231" s="181"/>
    </row>
    <row r="232" spans="1:44" x14ac:dyDescent="0.25">
      <c r="A232" s="35" t="str">
        <f>IF(E232="","",IF(ISNA(VLOOKUP($E232,'D-1 Off Site Habitat Baseline'!$D$1:$O$258,2,FALSE)),"",(VLOOKUP($E232,'D-1 Off Site Habitat Baseline'!$D$1:$O$258,2,FALSE))))</f>
        <v/>
      </c>
      <c r="B232" s="35" t="str">
        <f>IF(E232="","",IF(ISNA(VLOOKUP($E232,'D-1 Off Site Habitat Baseline'!$D$1:$O$258,3,FALSE)),"",(VLOOKUP($E232,'D-1 Off Site Habitat Baseline'!$D$1:$O$258,3,FALSE))))</f>
        <v/>
      </c>
      <c r="C232" s="35" t="str">
        <f>IFERROR(INDEX('G-8 Condition Look up'!$I$4:$I$131,MATCH(S232,'G-8 Condition Look up'!$A$4:$A$131,0)),"")</f>
        <v/>
      </c>
      <c r="E232" s="329" t="str">
        <f>'D-1 Off Site Habitat Baseline'!AL231</f>
        <v/>
      </c>
      <c r="F232" s="175" t="str">
        <f>IF(E232="","",IF(ISNA(VLOOKUP($E232,'D-1 Off Site Habitat Baseline'!$D$1:$O$258,4,FALSE)),"",(VLOOKUP($E232,'D-1 Off Site Habitat Baseline'!$D$1:$O$258,4,FALSE))))</f>
        <v/>
      </c>
      <c r="G232" s="175" t="str">
        <f>IF(E232="","",IF(ISNA(VLOOKUP($E232,'D-1 Off Site Habitat Baseline'!$D$1:$O$258,5,FALSE)),"",(VLOOKUP($E232,'D-1 Off Site Habitat Baseline'!$D$1:$O$258,5,FALSE))))</f>
        <v/>
      </c>
      <c r="H232" s="175" t="str">
        <f>IF(E232="","",IF(ISNA(VLOOKUP($E232,'D-1 Off Site Habitat Baseline'!$D$1:$O$258,6,FALSE)),"",(VLOOKUP($E232,'D-1 Off Site Habitat Baseline'!$D$1:$O$258,6,FALSE))))</f>
        <v/>
      </c>
      <c r="I232" s="175" t="str">
        <f>IF(E232="","",IF(ISNA(VLOOKUP($E232,'D-1 Off Site Habitat Baseline'!$D$1:$O$258,7,FALSE)),"",(VLOOKUP($E232,'D-1 Off Site Habitat Baseline'!$D$1:$O$258,7,FALSE))))</f>
        <v/>
      </c>
      <c r="J232" s="175" t="str">
        <f>IF(E232="","",IF(ISNA(VLOOKUP($E232,'D-1 Off Site Habitat Baseline'!$D$1:$O$258,8,FALSE)),"",(VLOOKUP($E232,'D-1 Off Site Habitat Baseline'!$D$1:$O$258,8,FALSE))))</f>
        <v/>
      </c>
      <c r="K232" s="175" t="str">
        <f>IF(E232="","",IF(ISNA(VLOOKUP($E232,'D-1 Off Site Habitat Baseline'!$D$1:$O$258,9,FALSE)),"",(VLOOKUP($E232,'D-1 Off Site Habitat Baseline'!$D$1:$O$258,9,FALSE))))</f>
        <v/>
      </c>
      <c r="L232" s="175" t="str">
        <f>IF(E232="","",IF(ISNA(VLOOKUP($E232,'D-1 Off Site Habitat Baseline'!$D$1:$O$258,11,FALSE)),"",(VLOOKUP($E232,'D-1 Off Site Habitat Baseline'!$D$1:$O$258,11,FALSE))))</f>
        <v/>
      </c>
      <c r="M232" s="175" t="str">
        <f>IF(E232="","",IF(ISNA(VLOOKUP($E232,'D-1 Off Site Habitat Baseline'!$D$1:$O$258,12,FALSE)),"",(VLOOKUP($E232,'D-1 Off Site Habitat Baseline'!$D$1:$O$258,12,FALSE))))</f>
        <v/>
      </c>
      <c r="N232" s="175" t="str">
        <f>IF(E232="","",IF(ISNA(VLOOKUP($E232,'D-1 Off Site Habitat Baseline'!$D$1:$X$258,14,FALSE)),"",(VLOOKUP($E232,'D-1 Off Site Habitat Baseline'!$D$1:$X$258,14,FALSE))))</f>
        <v/>
      </c>
      <c r="O232" s="176" t="str">
        <f>IF(E232="","",IF(ISNA(VLOOKUP($E232,'D-1 Off Site Habitat Baseline'!$D$1:$X$258,13,FALSE)),"",(VLOOKUP($E232,'D-1 Off Site Habitat Baseline'!$D$1:$X$258,13,FALSE))))</f>
        <v/>
      </c>
      <c r="P232" s="337" t="str">
        <f>IFERROR(INDEX('G-1 All Habitats'!$AG$3:$AG$15,MATCH(Q232,'G-1 All Habitats'!$AF$3:$AF$15,0)),"")</f>
        <v/>
      </c>
      <c r="Q232" s="331" t="str">
        <f t="shared" si="46"/>
        <v/>
      </c>
      <c r="R232" s="332" t="str">
        <f t="shared" si="47"/>
        <v/>
      </c>
      <c r="S232" s="338" t="str">
        <f>IFERROR(INDEX('G-1 All Habitats'!$B$3:$B$130,MATCH(R232,'G-1 All Habitats'!$A$3:$A$130,0)),"")</f>
        <v/>
      </c>
      <c r="T232" s="179" t="str">
        <f t="shared" si="39"/>
        <v/>
      </c>
      <c r="U232" s="172" t="str">
        <f t="shared" si="40"/>
        <v/>
      </c>
      <c r="V232" s="334" t="str">
        <f t="shared" si="37"/>
        <v/>
      </c>
      <c r="W232" s="175" t="str">
        <f>IF(S232="","",VLOOKUP(S232,'G-1 All Habitats'!$B$2:$M$130,10,FALSE))</f>
        <v/>
      </c>
      <c r="X232" s="175" t="str">
        <f>IFERROR(VLOOKUP(W232,'G-1 All Habitats'!$V$3:$W$7,2,FALSE),"")</f>
        <v/>
      </c>
      <c r="Y232" s="275"/>
      <c r="Z232" s="176" t="str">
        <f>IFERROR(INDEX('G-8 Condition Look up'!$A$3:$H$131,MATCH(S232,'G-8 Condition Look up'!$A$3:$A$131,0),MATCH(Y232,'G-8 Condition Look up'!$A$3:$H$3,0)),"")</f>
        <v/>
      </c>
      <c r="AA232" s="173"/>
      <c r="AB232" s="269" t="str">
        <f>IF(AA232="","",IF(VLOOKUP(AA232,'G-3 Multipliers'!$L$3:$N$6,2,FALSE)=0,"Spatial Data Missing",VLOOKUP(AA232,'G-3 Multipliers'!$L$3:$N$6,2,FALSE)))</f>
        <v/>
      </c>
      <c r="AC232" s="176" t="str">
        <f>IF(AA232="","",IF(VLOOKUP(AA232,'G-3 Multipliers'!$L$3:$N$6,3,FALSE)=0,"Spatial Data Missing",VLOOKUP(AA232,'G-3 Multipliers'!$L$3:$N$6,3,FALSE)))</f>
        <v/>
      </c>
      <c r="AD232" s="239" t="str">
        <f t="shared" si="38"/>
        <v/>
      </c>
      <c r="AE232" s="275"/>
      <c r="AF232" s="275"/>
      <c r="AG232" s="175" t="str">
        <f t="shared" si="41"/>
        <v/>
      </c>
      <c r="AH232" s="242" t="str">
        <f t="shared" si="42"/>
        <v/>
      </c>
      <c r="AI232" s="335" t="str">
        <f>IF(AH232="Check Data","Check Data",IFERROR(VLOOKUP(AH232,'G-4 Temporal multipliers'!$A$4:$C$36,3,FALSE),""))</f>
        <v/>
      </c>
      <c r="AJ232" s="239" t="str">
        <f>IF(S232="","",VLOOKUP(S232,'G-3 Multipliers'!$A$2:$E$130,4,FALSE))</f>
        <v/>
      </c>
      <c r="AK232" s="175" t="str">
        <f t="shared" si="43"/>
        <v/>
      </c>
      <c r="AL232" s="175" t="str">
        <f t="shared" si="44"/>
        <v/>
      </c>
      <c r="AM232" s="176" t="str">
        <f>IFERROR(IF(F232="","",IF(AH232="Check Data","Check Data",VLOOKUP(AL232, 'G-3 Multipliers'!$P$2:$Q$6,2,FALSE))),””)</f>
        <v/>
      </c>
      <c r="AN232" s="266"/>
      <c r="AO232" s="269" t="str">
        <f>IF(AN232="","",IF(VLOOKUP(AN232,'G-3 Multipliers'!$S$3:$T$9,2,FALSE)=0,"Spatial Data Missing",VLOOKUP(AN232,'G-3 Multipliers'!$S$3:$T$9,2,FALSE)))</f>
        <v/>
      </c>
      <c r="AP232" s="207" t="str">
        <f t="shared" si="45"/>
        <v/>
      </c>
      <c r="AQ232" s="336"/>
      <c r="AR232" s="181"/>
    </row>
    <row r="233" spans="1:44" x14ac:dyDescent="0.25">
      <c r="A233" s="35" t="str">
        <f>IF(E233="","",IF(ISNA(VLOOKUP($E233,'D-1 Off Site Habitat Baseline'!$D$1:$O$258,2,FALSE)),"",(VLOOKUP($E233,'D-1 Off Site Habitat Baseline'!$D$1:$O$258,2,FALSE))))</f>
        <v/>
      </c>
      <c r="B233" s="35" t="str">
        <f>IF(E233="","",IF(ISNA(VLOOKUP($E233,'D-1 Off Site Habitat Baseline'!$D$1:$O$258,3,FALSE)),"",(VLOOKUP($E233,'D-1 Off Site Habitat Baseline'!$D$1:$O$258,3,FALSE))))</f>
        <v/>
      </c>
      <c r="C233" s="35" t="str">
        <f>IFERROR(INDEX('G-8 Condition Look up'!$I$4:$I$131,MATCH(S233,'G-8 Condition Look up'!$A$4:$A$131,0)),"")</f>
        <v/>
      </c>
      <c r="E233" s="329" t="str">
        <f>'D-1 Off Site Habitat Baseline'!AL232</f>
        <v/>
      </c>
      <c r="F233" s="175" t="str">
        <f>IF(E233="","",IF(ISNA(VLOOKUP($E233,'D-1 Off Site Habitat Baseline'!$D$1:$O$258,4,FALSE)),"",(VLOOKUP($E233,'D-1 Off Site Habitat Baseline'!$D$1:$O$258,4,FALSE))))</f>
        <v/>
      </c>
      <c r="G233" s="175" t="str">
        <f>IF(E233="","",IF(ISNA(VLOOKUP($E233,'D-1 Off Site Habitat Baseline'!$D$1:$O$258,5,FALSE)),"",(VLOOKUP($E233,'D-1 Off Site Habitat Baseline'!$D$1:$O$258,5,FALSE))))</f>
        <v/>
      </c>
      <c r="H233" s="175" t="str">
        <f>IF(E233="","",IF(ISNA(VLOOKUP($E233,'D-1 Off Site Habitat Baseline'!$D$1:$O$258,6,FALSE)),"",(VLOOKUP($E233,'D-1 Off Site Habitat Baseline'!$D$1:$O$258,6,FALSE))))</f>
        <v/>
      </c>
      <c r="I233" s="175" t="str">
        <f>IF(E233="","",IF(ISNA(VLOOKUP($E233,'D-1 Off Site Habitat Baseline'!$D$1:$O$258,7,FALSE)),"",(VLOOKUP($E233,'D-1 Off Site Habitat Baseline'!$D$1:$O$258,7,FALSE))))</f>
        <v/>
      </c>
      <c r="J233" s="175" t="str">
        <f>IF(E233="","",IF(ISNA(VLOOKUP($E233,'D-1 Off Site Habitat Baseline'!$D$1:$O$258,8,FALSE)),"",(VLOOKUP($E233,'D-1 Off Site Habitat Baseline'!$D$1:$O$258,8,FALSE))))</f>
        <v/>
      </c>
      <c r="K233" s="175" t="str">
        <f>IF(E233="","",IF(ISNA(VLOOKUP($E233,'D-1 Off Site Habitat Baseline'!$D$1:$O$258,9,FALSE)),"",(VLOOKUP($E233,'D-1 Off Site Habitat Baseline'!$D$1:$O$258,9,FALSE))))</f>
        <v/>
      </c>
      <c r="L233" s="175" t="str">
        <f>IF(E233="","",IF(ISNA(VLOOKUP($E233,'D-1 Off Site Habitat Baseline'!$D$1:$O$258,11,FALSE)),"",(VLOOKUP($E233,'D-1 Off Site Habitat Baseline'!$D$1:$O$258,11,FALSE))))</f>
        <v/>
      </c>
      <c r="M233" s="175" t="str">
        <f>IF(E233="","",IF(ISNA(VLOOKUP($E233,'D-1 Off Site Habitat Baseline'!$D$1:$O$258,12,FALSE)),"",(VLOOKUP($E233,'D-1 Off Site Habitat Baseline'!$D$1:$O$258,12,FALSE))))</f>
        <v/>
      </c>
      <c r="N233" s="175" t="str">
        <f>IF(E233="","",IF(ISNA(VLOOKUP($E233,'D-1 Off Site Habitat Baseline'!$D$1:$X$258,14,FALSE)),"",(VLOOKUP($E233,'D-1 Off Site Habitat Baseline'!$D$1:$X$258,14,FALSE))))</f>
        <v/>
      </c>
      <c r="O233" s="176" t="str">
        <f>IF(E233="","",IF(ISNA(VLOOKUP($E233,'D-1 Off Site Habitat Baseline'!$D$1:$X$258,13,FALSE)),"",(VLOOKUP($E233,'D-1 Off Site Habitat Baseline'!$D$1:$X$258,13,FALSE))))</f>
        <v/>
      </c>
      <c r="P233" s="337" t="str">
        <f>IFERROR(INDEX('G-1 All Habitats'!$AG$3:$AG$15,MATCH(Q233,'G-1 All Habitats'!$AF$3:$AF$15,0)),"")</f>
        <v/>
      </c>
      <c r="Q233" s="331" t="str">
        <f t="shared" si="46"/>
        <v/>
      </c>
      <c r="R233" s="332" t="str">
        <f t="shared" si="47"/>
        <v/>
      </c>
      <c r="S233" s="338" t="str">
        <f>IFERROR(INDEX('G-1 All Habitats'!$B$3:$B$130,MATCH(R233,'G-1 All Habitats'!$A$3:$A$130,0)),"")</f>
        <v/>
      </c>
      <c r="T233" s="179" t="str">
        <f t="shared" si="39"/>
        <v/>
      </c>
      <c r="U233" s="172" t="str">
        <f t="shared" si="40"/>
        <v/>
      </c>
      <c r="V233" s="334" t="str">
        <f t="shared" si="37"/>
        <v/>
      </c>
      <c r="W233" s="175" t="str">
        <f>IF(S233="","",VLOOKUP(S233,'G-1 All Habitats'!$B$2:$M$130,10,FALSE))</f>
        <v/>
      </c>
      <c r="X233" s="175" t="str">
        <f>IFERROR(VLOOKUP(W233,'G-1 All Habitats'!$V$3:$W$7,2,FALSE),"")</f>
        <v/>
      </c>
      <c r="Y233" s="275"/>
      <c r="Z233" s="176" t="str">
        <f>IFERROR(INDEX('G-8 Condition Look up'!$A$3:$H$131,MATCH(S233,'G-8 Condition Look up'!$A$3:$A$131,0),MATCH(Y233,'G-8 Condition Look up'!$A$3:$H$3,0)),"")</f>
        <v/>
      </c>
      <c r="AA233" s="173"/>
      <c r="AB233" s="269" t="str">
        <f>IF(AA233="","",IF(VLOOKUP(AA233,'G-3 Multipliers'!$L$3:$N$6,2,FALSE)=0,"Spatial Data Missing",VLOOKUP(AA233,'G-3 Multipliers'!$L$3:$N$6,2,FALSE)))</f>
        <v/>
      </c>
      <c r="AC233" s="176" t="str">
        <f>IF(AA233="","",IF(VLOOKUP(AA233,'G-3 Multipliers'!$L$3:$N$6,3,FALSE)=0,"Spatial Data Missing",VLOOKUP(AA233,'G-3 Multipliers'!$L$3:$N$6,3,FALSE)))</f>
        <v/>
      </c>
      <c r="AD233" s="239" t="str">
        <f t="shared" si="38"/>
        <v/>
      </c>
      <c r="AE233" s="275"/>
      <c r="AF233" s="275"/>
      <c r="AG233" s="175" t="str">
        <f t="shared" si="41"/>
        <v/>
      </c>
      <c r="AH233" s="242" t="str">
        <f t="shared" si="42"/>
        <v/>
      </c>
      <c r="AI233" s="335" t="str">
        <f>IF(AH233="Check Data","Check Data",IFERROR(VLOOKUP(AH233,'G-4 Temporal multipliers'!$A$4:$C$36,3,FALSE),""))</f>
        <v/>
      </c>
      <c r="AJ233" s="239" t="str">
        <f>IF(S233="","",VLOOKUP(S233,'G-3 Multipliers'!$A$2:$E$130,4,FALSE))</f>
        <v/>
      </c>
      <c r="AK233" s="175" t="str">
        <f t="shared" si="43"/>
        <v/>
      </c>
      <c r="AL233" s="175" t="str">
        <f t="shared" si="44"/>
        <v/>
      </c>
      <c r="AM233" s="176" t="str">
        <f>IFERROR(IF(F233="","",IF(AH233="Check Data","Check Data",VLOOKUP(AL233, 'G-3 Multipliers'!$P$2:$Q$6,2,FALSE))),””)</f>
        <v/>
      </c>
      <c r="AN233" s="266"/>
      <c r="AO233" s="269" t="str">
        <f>IF(AN233="","",IF(VLOOKUP(AN233,'G-3 Multipliers'!$S$3:$T$9,2,FALSE)=0,"Spatial Data Missing",VLOOKUP(AN233,'G-3 Multipliers'!$S$3:$T$9,2,FALSE)))</f>
        <v/>
      </c>
      <c r="AP233" s="207" t="str">
        <f t="shared" si="45"/>
        <v/>
      </c>
      <c r="AQ233" s="336"/>
      <c r="AR233" s="181"/>
    </row>
    <row r="234" spans="1:44" x14ac:dyDescent="0.25">
      <c r="A234" s="35" t="str">
        <f>IF(E234="","",IF(ISNA(VLOOKUP($E234,'D-1 Off Site Habitat Baseline'!$D$1:$O$258,2,FALSE)),"",(VLOOKUP($E234,'D-1 Off Site Habitat Baseline'!$D$1:$O$258,2,FALSE))))</f>
        <v/>
      </c>
      <c r="B234" s="35" t="str">
        <f>IF(E234="","",IF(ISNA(VLOOKUP($E234,'D-1 Off Site Habitat Baseline'!$D$1:$O$258,3,FALSE)),"",(VLOOKUP($E234,'D-1 Off Site Habitat Baseline'!$D$1:$O$258,3,FALSE))))</f>
        <v/>
      </c>
      <c r="C234" s="35" t="str">
        <f>IFERROR(INDEX('G-8 Condition Look up'!$I$4:$I$131,MATCH(S234,'G-8 Condition Look up'!$A$4:$A$131,0)),"")</f>
        <v/>
      </c>
      <c r="E234" s="329" t="str">
        <f>'D-1 Off Site Habitat Baseline'!AL233</f>
        <v/>
      </c>
      <c r="F234" s="175" t="str">
        <f>IF(E234="","",IF(ISNA(VLOOKUP($E234,'D-1 Off Site Habitat Baseline'!$D$1:$O$258,4,FALSE)),"",(VLOOKUP($E234,'D-1 Off Site Habitat Baseline'!$D$1:$O$258,4,FALSE))))</f>
        <v/>
      </c>
      <c r="G234" s="175" t="str">
        <f>IF(E234="","",IF(ISNA(VLOOKUP($E234,'D-1 Off Site Habitat Baseline'!$D$1:$O$258,5,FALSE)),"",(VLOOKUP($E234,'D-1 Off Site Habitat Baseline'!$D$1:$O$258,5,FALSE))))</f>
        <v/>
      </c>
      <c r="H234" s="175" t="str">
        <f>IF(E234="","",IF(ISNA(VLOOKUP($E234,'D-1 Off Site Habitat Baseline'!$D$1:$O$258,6,FALSE)),"",(VLOOKUP($E234,'D-1 Off Site Habitat Baseline'!$D$1:$O$258,6,FALSE))))</f>
        <v/>
      </c>
      <c r="I234" s="175" t="str">
        <f>IF(E234="","",IF(ISNA(VLOOKUP($E234,'D-1 Off Site Habitat Baseline'!$D$1:$O$258,7,FALSE)),"",(VLOOKUP($E234,'D-1 Off Site Habitat Baseline'!$D$1:$O$258,7,FALSE))))</f>
        <v/>
      </c>
      <c r="J234" s="175" t="str">
        <f>IF(E234="","",IF(ISNA(VLOOKUP($E234,'D-1 Off Site Habitat Baseline'!$D$1:$O$258,8,FALSE)),"",(VLOOKUP($E234,'D-1 Off Site Habitat Baseline'!$D$1:$O$258,8,FALSE))))</f>
        <v/>
      </c>
      <c r="K234" s="175" t="str">
        <f>IF(E234="","",IF(ISNA(VLOOKUP($E234,'D-1 Off Site Habitat Baseline'!$D$1:$O$258,9,FALSE)),"",(VLOOKUP($E234,'D-1 Off Site Habitat Baseline'!$D$1:$O$258,9,FALSE))))</f>
        <v/>
      </c>
      <c r="L234" s="175" t="str">
        <f>IF(E234="","",IF(ISNA(VLOOKUP($E234,'D-1 Off Site Habitat Baseline'!$D$1:$O$258,11,FALSE)),"",(VLOOKUP($E234,'D-1 Off Site Habitat Baseline'!$D$1:$O$258,11,FALSE))))</f>
        <v/>
      </c>
      <c r="M234" s="175" t="str">
        <f>IF(E234="","",IF(ISNA(VLOOKUP($E234,'D-1 Off Site Habitat Baseline'!$D$1:$O$258,12,FALSE)),"",(VLOOKUP($E234,'D-1 Off Site Habitat Baseline'!$D$1:$O$258,12,FALSE))))</f>
        <v/>
      </c>
      <c r="N234" s="175" t="str">
        <f>IF(E234="","",IF(ISNA(VLOOKUP($E234,'D-1 Off Site Habitat Baseline'!$D$1:$X$258,14,FALSE)),"",(VLOOKUP($E234,'D-1 Off Site Habitat Baseline'!$D$1:$X$258,14,FALSE))))</f>
        <v/>
      </c>
      <c r="O234" s="176" t="str">
        <f>IF(E234="","",IF(ISNA(VLOOKUP($E234,'D-1 Off Site Habitat Baseline'!$D$1:$X$258,13,FALSE)),"",(VLOOKUP($E234,'D-1 Off Site Habitat Baseline'!$D$1:$X$258,13,FALSE))))</f>
        <v/>
      </c>
      <c r="P234" s="337" t="str">
        <f>IFERROR(INDEX('G-1 All Habitats'!$AG$3:$AG$15,MATCH(Q234,'G-1 All Habitats'!$AF$3:$AF$15,0)),"")</f>
        <v/>
      </c>
      <c r="Q234" s="331" t="str">
        <f t="shared" si="46"/>
        <v/>
      </c>
      <c r="R234" s="332" t="str">
        <f t="shared" si="47"/>
        <v/>
      </c>
      <c r="S234" s="338" t="str">
        <f>IFERROR(INDEX('G-1 All Habitats'!$B$3:$B$130,MATCH(R234,'G-1 All Habitats'!$A$3:$A$130,0)),"")</f>
        <v/>
      </c>
      <c r="T234" s="179" t="str">
        <f t="shared" si="39"/>
        <v/>
      </c>
      <c r="U234" s="172" t="str">
        <f t="shared" si="40"/>
        <v/>
      </c>
      <c r="V234" s="334" t="str">
        <f t="shared" si="37"/>
        <v/>
      </c>
      <c r="W234" s="175" t="str">
        <f>IF(S234="","",VLOOKUP(S234,'G-1 All Habitats'!$B$2:$M$130,10,FALSE))</f>
        <v/>
      </c>
      <c r="X234" s="175" t="str">
        <f>IFERROR(VLOOKUP(W234,'G-1 All Habitats'!$V$3:$W$7,2,FALSE),"")</f>
        <v/>
      </c>
      <c r="Y234" s="275"/>
      <c r="Z234" s="176" t="str">
        <f>IFERROR(INDEX('G-8 Condition Look up'!$A$3:$H$131,MATCH(S234,'G-8 Condition Look up'!$A$3:$A$131,0),MATCH(Y234,'G-8 Condition Look up'!$A$3:$H$3,0)),"")</f>
        <v/>
      </c>
      <c r="AA234" s="173"/>
      <c r="AB234" s="269" t="str">
        <f>IF(AA234="","",IF(VLOOKUP(AA234,'G-3 Multipliers'!$L$3:$N$6,2,FALSE)=0,"Spatial Data Missing",VLOOKUP(AA234,'G-3 Multipliers'!$L$3:$N$6,2,FALSE)))</f>
        <v/>
      </c>
      <c r="AC234" s="176" t="str">
        <f>IF(AA234="","",IF(VLOOKUP(AA234,'G-3 Multipliers'!$L$3:$N$6,3,FALSE)=0,"Spatial Data Missing",VLOOKUP(AA234,'G-3 Multipliers'!$L$3:$N$6,3,FALSE)))</f>
        <v/>
      </c>
      <c r="AD234" s="239" t="str">
        <f t="shared" si="38"/>
        <v/>
      </c>
      <c r="AE234" s="275"/>
      <c r="AF234" s="275"/>
      <c r="AG234" s="175" t="str">
        <f t="shared" si="41"/>
        <v/>
      </c>
      <c r="AH234" s="242" t="str">
        <f t="shared" si="42"/>
        <v/>
      </c>
      <c r="AI234" s="335" t="str">
        <f>IF(AH234="Check Data","Check Data",IFERROR(VLOOKUP(AH234,'G-4 Temporal multipliers'!$A$4:$C$36,3,FALSE),""))</f>
        <v/>
      </c>
      <c r="AJ234" s="239" t="str">
        <f>IF(S234="","",VLOOKUP(S234,'G-3 Multipliers'!$A$2:$E$130,4,FALSE))</f>
        <v/>
      </c>
      <c r="AK234" s="175" t="str">
        <f t="shared" si="43"/>
        <v/>
      </c>
      <c r="AL234" s="175" t="str">
        <f t="shared" si="44"/>
        <v/>
      </c>
      <c r="AM234" s="176" t="str">
        <f>IFERROR(IF(F234="","",IF(AH234="Check Data","Check Data",VLOOKUP(AL234, 'G-3 Multipliers'!$P$2:$Q$6,2,FALSE))),””)</f>
        <v/>
      </c>
      <c r="AN234" s="266"/>
      <c r="AO234" s="269" t="str">
        <f>IF(AN234="","",IF(VLOOKUP(AN234,'G-3 Multipliers'!$S$3:$T$9,2,FALSE)=0,"Spatial Data Missing",VLOOKUP(AN234,'G-3 Multipliers'!$S$3:$T$9,2,FALSE)))</f>
        <v/>
      </c>
      <c r="AP234" s="207" t="str">
        <f t="shared" si="45"/>
        <v/>
      </c>
      <c r="AQ234" s="336"/>
      <c r="AR234" s="181"/>
    </row>
    <row r="235" spans="1:44" x14ac:dyDescent="0.25">
      <c r="A235" s="35" t="str">
        <f>IF(E235="","",IF(ISNA(VLOOKUP($E235,'D-1 Off Site Habitat Baseline'!$D$1:$O$258,2,FALSE)),"",(VLOOKUP($E235,'D-1 Off Site Habitat Baseline'!$D$1:$O$258,2,FALSE))))</f>
        <v/>
      </c>
      <c r="B235" s="35" t="str">
        <f>IF(E235="","",IF(ISNA(VLOOKUP($E235,'D-1 Off Site Habitat Baseline'!$D$1:$O$258,3,FALSE)),"",(VLOOKUP($E235,'D-1 Off Site Habitat Baseline'!$D$1:$O$258,3,FALSE))))</f>
        <v/>
      </c>
      <c r="C235" s="35" t="str">
        <f>IFERROR(INDEX('G-8 Condition Look up'!$I$4:$I$131,MATCH(S235,'G-8 Condition Look up'!$A$4:$A$131,0)),"")</f>
        <v/>
      </c>
      <c r="E235" s="329" t="str">
        <f>'D-1 Off Site Habitat Baseline'!AL234</f>
        <v/>
      </c>
      <c r="F235" s="175" t="str">
        <f>IF(E235="","",IF(ISNA(VLOOKUP($E235,'D-1 Off Site Habitat Baseline'!$D$1:$O$258,4,FALSE)),"",(VLOOKUP($E235,'D-1 Off Site Habitat Baseline'!$D$1:$O$258,4,FALSE))))</f>
        <v/>
      </c>
      <c r="G235" s="175" t="str">
        <f>IF(E235="","",IF(ISNA(VLOOKUP($E235,'D-1 Off Site Habitat Baseline'!$D$1:$O$258,5,FALSE)),"",(VLOOKUP($E235,'D-1 Off Site Habitat Baseline'!$D$1:$O$258,5,FALSE))))</f>
        <v/>
      </c>
      <c r="H235" s="175" t="str">
        <f>IF(E235="","",IF(ISNA(VLOOKUP($E235,'D-1 Off Site Habitat Baseline'!$D$1:$O$258,6,FALSE)),"",(VLOOKUP($E235,'D-1 Off Site Habitat Baseline'!$D$1:$O$258,6,FALSE))))</f>
        <v/>
      </c>
      <c r="I235" s="175" t="str">
        <f>IF(E235="","",IF(ISNA(VLOOKUP($E235,'D-1 Off Site Habitat Baseline'!$D$1:$O$258,7,FALSE)),"",(VLOOKUP($E235,'D-1 Off Site Habitat Baseline'!$D$1:$O$258,7,FALSE))))</f>
        <v/>
      </c>
      <c r="J235" s="175" t="str">
        <f>IF(E235="","",IF(ISNA(VLOOKUP($E235,'D-1 Off Site Habitat Baseline'!$D$1:$O$258,8,FALSE)),"",(VLOOKUP($E235,'D-1 Off Site Habitat Baseline'!$D$1:$O$258,8,FALSE))))</f>
        <v/>
      </c>
      <c r="K235" s="175" t="str">
        <f>IF(E235="","",IF(ISNA(VLOOKUP($E235,'D-1 Off Site Habitat Baseline'!$D$1:$O$258,9,FALSE)),"",(VLOOKUP($E235,'D-1 Off Site Habitat Baseline'!$D$1:$O$258,9,FALSE))))</f>
        <v/>
      </c>
      <c r="L235" s="175" t="str">
        <f>IF(E235="","",IF(ISNA(VLOOKUP($E235,'D-1 Off Site Habitat Baseline'!$D$1:$O$258,11,FALSE)),"",(VLOOKUP($E235,'D-1 Off Site Habitat Baseline'!$D$1:$O$258,11,FALSE))))</f>
        <v/>
      </c>
      <c r="M235" s="175" t="str">
        <f>IF(E235="","",IF(ISNA(VLOOKUP($E235,'D-1 Off Site Habitat Baseline'!$D$1:$O$258,12,FALSE)),"",(VLOOKUP($E235,'D-1 Off Site Habitat Baseline'!$D$1:$O$258,12,FALSE))))</f>
        <v/>
      </c>
      <c r="N235" s="175" t="str">
        <f>IF(E235="","",IF(ISNA(VLOOKUP($E235,'D-1 Off Site Habitat Baseline'!$D$1:$X$258,14,FALSE)),"",(VLOOKUP($E235,'D-1 Off Site Habitat Baseline'!$D$1:$X$258,14,FALSE))))</f>
        <v/>
      </c>
      <c r="O235" s="176" t="str">
        <f>IF(E235="","",IF(ISNA(VLOOKUP($E235,'D-1 Off Site Habitat Baseline'!$D$1:$X$258,13,FALSE)),"",(VLOOKUP($E235,'D-1 Off Site Habitat Baseline'!$D$1:$X$258,13,FALSE))))</f>
        <v/>
      </c>
      <c r="P235" s="337" t="str">
        <f>IFERROR(INDEX('G-1 All Habitats'!$AG$3:$AG$15,MATCH(Q235,'G-1 All Habitats'!$AF$3:$AF$15,0)),"")</f>
        <v/>
      </c>
      <c r="Q235" s="331" t="str">
        <f t="shared" si="46"/>
        <v/>
      </c>
      <c r="R235" s="332" t="str">
        <f t="shared" si="47"/>
        <v/>
      </c>
      <c r="S235" s="338" t="str">
        <f>IFERROR(INDEX('G-1 All Habitats'!$B$3:$B$130,MATCH(R235,'G-1 All Habitats'!$A$3:$A$130,0)),"")</f>
        <v/>
      </c>
      <c r="T235" s="179" t="str">
        <f t="shared" si="39"/>
        <v/>
      </c>
      <c r="U235" s="172" t="str">
        <f t="shared" si="40"/>
        <v/>
      </c>
      <c r="V235" s="334" t="str">
        <f t="shared" si="37"/>
        <v/>
      </c>
      <c r="W235" s="175" t="str">
        <f>IF(S235="","",VLOOKUP(S235,'G-1 All Habitats'!$B$2:$M$130,10,FALSE))</f>
        <v/>
      </c>
      <c r="X235" s="175" t="str">
        <f>IFERROR(VLOOKUP(W235,'G-1 All Habitats'!$V$3:$W$7,2,FALSE),"")</f>
        <v/>
      </c>
      <c r="Y235" s="275"/>
      <c r="Z235" s="176" t="str">
        <f>IFERROR(INDEX('G-8 Condition Look up'!$A$3:$H$131,MATCH(S235,'G-8 Condition Look up'!$A$3:$A$131,0),MATCH(Y235,'G-8 Condition Look up'!$A$3:$H$3,0)),"")</f>
        <v/>
      </c>
      <c r="AA235" s="173"/>
      <c r="AB235" s="269" t="str">
        <f>IF(AA235="","",IF(VLOOKUP(AA235,'G-3 Multipliers'!$L$3:$N$6,2,FALSE)=0,"Spatial Data Missing",VLOOKUP(AA235,'G-3 Multipliers'!$L$3:$N$6,2,FALSE)))</f>
        <v/>
      </c>
      <c r="AC235" s="176" t="str">
        <f>IF(AA235="","",IF(VLOOKUP(AA235,'G-3 Multipliers'!$L$3:$N$6,3,FALSE)=0,"Spatial Data Missing",VLOOKUP(AA235,'G-3 Multipliers'!$L$3:$N$6,3,FALSE)))</f>
        <v/>
      </c>
      <c r="AD235" s="239" t="str">
        <f t="shared" si="38"/>
        <v/>
      </c>
      <c r="AE235" s="275"/>
      <c r="AF235" s="275"/>
      <c r="AG235" s="175" t="str">
        <f t="shared" si="41"/>
        <v/>
      </c>
      <c r="AH235" s="242" t="str">
        <f t="shared" si="42"/>
        <v/>
      </c>
      <c r="AI235" s="335" t="str">
        <f>IF(AH235="Check Data","Check Data",IFERROR(VLOOKUP(AH235,'G-4 Temporal multipliers'!$A$4:$C$36,3,FALSE),""))</f>
        <v/>
      </c>
      <c r="AJ235" s="239" t="str">
        <f>IF(S235="","",VLOOKUP(S235,'G-3 Multipliers'!$A$2:$E$130,4,FALSE))</f>
        <v/>
      </c>
      <c r="AK235" s="175" t="str">
        <f t="shared" si="43"/>
        <v/>
      </c>
      <c r="AL235" s="175" t="str">
        <f t="shared" si="44"/>
        <v/>
      </c>
      <c r="AM235" s="176" t="str">
        <f>IFERROR(IF(F235="","",IF(AH235="Check Data","Check Data",VLOOKUP(AL235, 'G-3 Multipliers'!$P$2:$Q$6,2,FALSE))),””)</f>
        <v/>
      </c>
      <c r="AN235" s="266"/>
      <c r="AO235" s="269" t="str">
        <f>IF(AN235="","",IF(VLOOKUP(AN235,'G-3 Multipliers'!$S$3:$T$9,2,FALSE)=0,"Spatial Data Missing",VLOOKUP(AN235,'G-3 Multipliers'!$S$3:$T$9,2,FALSE)))</f>
        <v/>
      </c>
      <c r="AP235" s="207" t="str">
        <f t="shared" si="45"/>
        <v/>
      </c>
      <c r="AQ235" s="336"/>
      <c r="AR235" s="181"/>
    </row>
    <row r="236" spans="1:44" x14ac:dyDescent="0.25">
      <c r="A236" s="35" t="str">
        <f>IF(E236="","",IF(ISNA(VLOOKUP($E236,'D-1 Off Site Habitat Baseline'!$D$1:$O$258,2,FALSE)),"",(VLOOKUP($E236,'D-1 Off Site Habitat Baseline'!$D$1:$O$258,2,FALSE))))</f>
        <v/>
      </c>
      <c r="B236" s="35" t="str">
        <f>IF(E236="","",IF(ISNA(VLOOKUP($E236,'D-1 Off Site Habitat Baseline'!$D$1:$O$258,3,FALSE)),"",(VLOOKUP($E236,'D-1 Off Site Habitat Baseline'!$D$1:$O$258,3,FALSE))))</f>
        <v/>
      </c>
      <c r="C236" s="35" t="str">
        <f>IFERROR(INDEX('G-8 Condition Look up'!$I$4:$I$131,MATCH(S236,'G-8 Condition Look up'!$A$4:$A$131,0)),"")</f>
        <v/>
      </c>
      <c r="E236" s="329" t="str">
        <f>'D-1 Off Site Habitat Baseline'!AL235</f>
        <v/>
      </c>
      <c r="F236" s="175" t="str">
        <f>IF(E236="","",IF(ISNA(VLOOKUP($E236,'D-1 Off Site Habitat Baseline'!$D$1:$O$258,4,FALSE)),"",(VLOOKUP($E236,'D-1 Off Site Habitat Baseline'!$D$1:$O$258,4,FALSE))))</f>
        <v/>
      </c>
      <c r="G236" s="175" t="str">
        <f>IF(E236="","",IF(ISNA(VLOOKUP($E236,'D-1 Off Site Habitat Baseline'!$D$1:$O$258,5,FALSE)),"",(VLOOKUP($E236,'D-1 Off Site Habitat Baseline'!$D$1:$O$258,5,FALSE))))</f>
        <v/>
      </c>
      <c r="H236" s="175" t="str">
        <f>IF(E236="","",IF(ISNA(VLOOKUP($E236,'D-1 Off Site Habitat Baseline'!$D$1:$O$258,6,FALSE)),"",(VLOOKUP($E236,'D-1 Off Site Habitat Baseline'!$D$1:$O$258,6,FALSE))))</f>
        <v/>
      </c>
      <c r="I236" s="175" t="str">
        <f>IF(E236="","",IF(ISNA(VLOOKUP($E236,'D-1 Off Site Habitat Baseline'!$D$1:$O$258,7,FALSE)),"",(VLOOKUP($E236,'D-1 Off Site Habitat Baseline'!$D$1:$O$258,7,FALSE))))</f>
        <v/>
      </c>
      <c r="J236" s="175" t="str">
        <f>IF(E236="","",IF(ISNA(VLOOKUP($E236,'D-1 Off Site Habitat Baseline'!$D$1:$O$258,8,FALSE)),"",(VLOOKUP($E236,'D-1 Off Site Habitat Baseline'!$D$1:$O$258,8,FALSE))))</f>
        <v/>
      </c>
      <c r="K236" s="175" t="str">
        <f>IF(E236="","",IF(ISNA(VLOOKUP($E236,'D-1 Off Site Habitat Baseline'!$D$1:$O$258,9,FALSE)),"",(VLOOKUP($E236,'D-1 Off Site Habitat Baseline'!$D$1:$O$258,9,FALSE))))</f>
        <v/>
      </c>
      <c r="L236" s="175" t="str">
        <f>IF(E236="","",IF(ISNA(VLOOKUP($E236,'D-1 Off Site Habitat Baseline'!$D$1:$O$258,11,FALSE)),"",(VLOOKUP($E236,'D-1 Off Site Habitat Baseline'!$D$1:$O$258,11,FALSE))))</f>
        <v/>
      </c>
      <c r="M236" s="175" t="str">
        <f>IF(E236="","",IF(ISNA(VLOOKUP($E236,'D-1 Off Site Habitat Baseline'!$D$1:$O$258,12,FALSE)),"",(VLOOKUP($E236,'D-1 Off Site Habitat Baseline'!$D$1:$O$258,12,FALSE))))</f>
        <v/>
      </c>
      <c r="N236" s="175" t="str">
        <f>IF(E236="","",IF(ISNA(VLOOKUP($E236,'D-1 Off Site Habitat Baseline'!$D$1:$X$258,14,FALSE)),"",(VLOOKUP($E236,'D-1 Off Site Habitat Baseline'!$D$1:$X$258,14,FALSE))))</f>
        <v/>
      </c>
      <c r="O236" s="176" t="str">
        <f>IF(E236="","",IF(ISNA(VLOOKUP($E236,'D-1 Off Site Habitat Baseline'!$D$1:$X$258,13,FALSE)),"",(VLOOKUP($E236,'D-1 Off Site Habitat Baseline'!$D$1:$X$258,13,FALSE))))</f>
        <v/>
      </c>
      <c r="P236" s="337" t="str">
        <f>IFERROR(INDEX('G-1 All Habitats'!$AG$3:$AG$15,MATCH(Q236,'G-1 All Habitats'!$AF$3:$AF$15,0)),"")</f>
        <v/>
      </c>
      <c r="Q236" s="331" t="str">
        <f t="shared" si="46"/>
        <v/>
      </c>
      <c r="R236" s="332" t="str">
        <f t="shared" si="47"/>
        <v/>
      </c>
      <c r="S236" s="338" t="str">
        <f>IFERROR(INDEX('G-1 All Habitats'!$B$3:$B$130,MATCH(R236,'G-1 All Habitats'!$A$3:$A$130,0)),"")</f>
        <v/>
      </c>
      <c r="T236" s="179" t="str">
        <f t="shared" si="39"/>
        <v/>
      </c>
      <c r="U236" s="172" t="str">
        <f t="shared" si="40"/>
        <v/>
      </c>
      <c r="V236" s="334" t="str">
        <f t="shared" si="37"/>
        <v/>
      </c>
      <c r="W236" s="175" t="str">
        <f>IF(S236="","",VLOOKUP(S236,'G-1 All Habitats'!$B$2:$M$130,10,FALSE))</f>
        <v/>
      </c>
      <c r="X236" s="175" t="str">
        <f>IFERROR(VLOOKUP(W236,'G-1 All Habitats'!$V$3:$W$7,2,FALSE),"")</f>
        <v/>
      </c>
      <c r="Y236" s="275"/>
      <c r="Z236" s="176" t="str">
        <f>IFERROR(INDEX('G-8 Condition Look up'!$A$3:$H$131,MATCH(S236,'G-8 Condition Look up'!$A$3:$A$131,0),MATCH(Y236,'G-8 Condition Look up'!$A$3:$H$3,0)),"")</f>
        <v/>
      </c>
      <c r="AA236" s="173"/>
      <c r="AB236" s="269" t="str">
        <f>IF(AA236="","",IF(VLOOKUP(AA236,'G-3 Multipliers'!$L$3:$N$6,2,FALSE)=0,"Spatial Data Missing",VLOOKUP(AA236,'G-3 Multipliers'!$L$3:$N$6,2,FALSE)))</f>
        <v/>
      </c>
      <c r="AC236" s="176" t="str">
        <f>IF(AA236="","",IF(VLOOKUP(AA236,'G-3 Multipliers'!$L$3:$N$6,3,FALSE)=0,"Spatial Data Missing",VLOOKUP(AA236,'G-3 Multipliers'!$L$3:$N$6,3,FALSE)))</f>
        <v/>
      </c>
      <c r="AD236" s="239" t="str">
        <f t="shared" si="38"/>
        <v/>
      </c>
      <c r="AE236" s="275"/>
      <c r="AF236" s="275"/>
      <c r="AG236" s="175" t="str">
        <f t="shared" si="41"/>
        <v/>
      </c>
      <c r="AH236" s="242" t="str">
        <f t="shared" si="42"/>
        <v/>
      </c>
      <c r="AI236" s="335" t="str">
        <f>IF(AH236="Check Data","Check Data",IFERROR(VLOOKUP(AH236,'G-4 Temporal multipliers'!$A$4:$C$36,3,FALSE),""))</f>
        <v/>
      </c>
      <c r="AJ236" s="239" t="str">
        <f>IF(S236="","",VLOOKUP(S236,'G-3 Multipliers'!$A$2:$E$130,4,FALSE))</f>
        <v/>
      </c>
      <c r="AK236" s="175" t="str">
        <f t="shared" si="43"/>
        <v/>
      </c>
      <c r="AL236" s="175" t="str">
        <f t="shared" si="44"/>
        <v/>
      </c>
      <c r="AM236" s="176" t="str">
        <f>IFERROR(IF(F236="","",IF(AH236="Check Data","Check Data",VLOOKUP(AL236, 'G-3 Multipliers'!$P$2:$Q$6,2,FALSE))),””)</f>
        <v/>
      </c>
      <c r="AN236" s="266"/>
      <c r="AO236" s="269" t="str">
        <f>IF(AN236="","",IF(VLOOKUP(AN236,'G-3 Multipliers'!$S$3:$T$9,2,FALSE)=0,"Spatial Data Missing",VLOOKUP(AN236,'G-3 Multipliers'!$S$3:$T$9,2,FALSE)))</f>
        <v/>
      </c>
      <c r="AP236" s="207" t="str">
        <f t="shared" si="45"/>
        <v/>
      </c>
      <c r="AQ236" s="336"/>
      <c r="AR236" s="181"/>
    </row>
    <row r="237" spans="1:44" x14ac:dyDescent="0.25">
      <c r="A237" s="35" t="str">
        <f>IF(E237="","",IF(ISNA(VLOOKUP($E237,'D-1 Off Site Habitat Baseline'!$D$1:$O$258,2,FALSE)),"",(VLOOKUP($E237,'D-1 Off Site Habitat Baseline'!$D$1:$O$258,2,FALSE))))</f>
        <v/>
      </c>
      <c r="B237" s="35" t="str">
        <f>IF(E237="","",IF(ISNA(VLOOKUP($E237,'D-1 Off Site Habitat Baseline'!$D$1:$O$258,3,FALSE)),"",(VLOOKUP($E237,'D-1 Off Site Habitat Baseline'!$D$1:$O$258,3,FALSE))))</f>
        <v/>
      </c>
      <c r="C237" s="35" t="str">
        <f>IFERROR(INDEX('G-8 Condition Look up'!$I$4:$I$131,MATCH(S237,'G-8 Condition Look up'!$A$4:$A$131,0)),"")</f>
        <v/>
      </c>
      <c r="E237" s="329" t="str">
        <f>'D-1 Off Site Habitat Baseline'!AL236</f>
        <v/>
      </c>
      <c r="F237" s="175" t="str">
        <f>IF(E237="","",IF(ISNA(VLOOKUP($E237,'D-1 Off Site Habitat Baseline'!$D$1:$O$258,4,FALSE)),"",(VLOOKUP($E237,'D-1 Off Site Habitat Baseline'!$D$1:$O$258,4,FALSE))))</f>
        <v/>
      </c>
      <c r="G237" s="175" t="str">
        <f>IF(E237="","",IF(ISNA(VLOOKUP($E237,'D-1 Off Site Habitat Baseline'!$D$1:$O$258,5,FALSE)),"",(VLOOKUP($E237,'D-1 Off Site Habitat Baseline'!$D$1:$O$258,5,FALSE))))</f>
        <v/>
      </c>
      <c r="H237" s="175" t="str">
        <f>IF(E237="","",IF(ISNA(VLOOKUP($E237,'D-1 Off Site Habitat Baseline'!$D$1:$O$258,6,FALSE)),"",(VLOOKUP($E237,'D-1 Off Site Habitat Baseline'!$D$1:$O$258,6,FALSE))))</f>
        <v/>
      </c>
      <c r="I237" s="175" t="str">
        <f>IF(E237="","",IF(ISNA(VLOOKUP($E237,'D-1 Off Site Habitat Baseline'!$D$1:$O$258,7,FALSE)),"",(VLOOKUP($E237,'D-1 Off Site Habitat Baseline'!$D$1:$O$258,7,FALSE))))</f>
        <v/>
      </c>
      <c r="J237" s="175" t="str">
        <f>IF(E237="","",IF(ISNA(VLOOKUP($E237,'D-1 Off Site Habitat Baseline'!$D$1:$O$258,8,FALSE)),"",(VLOOKUP($E237,'D-1 Off Site Habitat Baseline'!$D$1:$O$258,8,FALSE))))</f>
        <v/>
      </c>
      <c r="K237" s="175" t="str">
        <f>IF(E237="","",IF(ISNA(VLOOKUP($E237,'D-1 Off Site Habitat Baseline'!$D$1:$O$258,9,FALSE)),"",(VLOOKUP($E237,'D-1 Off Site Habitat Baseline'!$D$1:$O$258,9,FALSE))))</f>
        <v/>
      </c>
      <c r="L237" s="175" t="str">
        <f>IF(E237="","",IF(ISNA(VLOOKUP($E237,'D-1 Off Site Habitat Baseline'!$D$1:$O$258,11,FALSE)),"",(VLOOKUP($E237,'D-1 Off Site Habitat Baseline'!$D$1:$O$258,11,FALSE))))</f>
        <v/>
      </c>
      <c r="M237" s="175" t="str">
        <f>IF(E237="","",IF(ISNA(VLOOKUP($E237,'D-1 Off Site Habitat Baseline'!$D$1:$O$258,12,FALSE)),"",(VLOOKUP($E237,'D-1 Off Site Habitat Baseline'!$D$1:$O$258,12,FALSE))))</f>
        <v/>
      </c>
      <c r="N237" s="175" t="str">
        <f>IF(E237="","",IF(ISNA(VLOOKUP($E237,'D-1 Off Site Habitat Baseline'!$D$1:$X$258,14,FALSE)),"",(VLOOKUP($E237,'D-1 Off Site Habitat Baseline'!$D$1:$X$258,14,FALSE))))</f>
        <v/>
      </c>
      <c r="O237" s="176" t="str">
        <f>IF(E237="","",IF(ISNA(VLOOKUP($E237,'D-1 Off Site Habitat Baseline'!$D$1:$X$258,13,FALSE)),"",(VLOOKUP($E237,'D-1 Off Site Habitat Baseline'!$D$1:$X$258,13,FALSE))))</f>
        <v/>
      </c>
      <c r="P237" s="337" t="str">
        <f>IFERROR(INDEX('G-1 All Habitats'!$AG$3:$AG$15,MATCH(Q237,'G-1 All Habitats'!$AF$3:$AF$15,0)),"")</f>
        <v/>
      </c>
      <c r="Q237" s="331" t="str">
        <f t="shared" si="46"/>
        <v/>
      </c>
      <c r="R237" s="332" t="str">
        <f t="shared" si="47"/>
        <v/>
      </c>
      <c r="S237" s="338" t="str">
        <f>IFERROR(INDEX('G-1 All Habitats'!$B$3:$B$130,MATCH(R237,'G-1 All Habitats'!$A$3:$A$130,0)),"")</f>
        <v/>
      </c>
      <c r="T237" s="179" t="str">
        <f t="shared" si="39"/>
        <v/>
      </c>
      <c r="U237" s="172" t="str">
        <f t="shared" si="40"/>
        <v/>
      </c>
      <c r="V237" s="334" t="str">
        <f t="shared" si="37"/>
        <v/>
      </c>
      <c r="W237" s="175" t="str">
        <f>IF(S237="","",VLOOKUP(S237,'G-1 All Habitats'!$B$2:$M$130,10,FALSE))</f>
        <v/>
      </c>
      <c r="X237" s="175" t="str">
        <f>IFERROR(VLOOKUP(W237,'G-1 All Habitats'!$V$3:$W$7,2,FALSE),"")</f>
        <v/>
      </c>
      <c r="Y237" s="275"/>
      <c r="Z237" s="176" t="str">
        <f>IFERROR(INDEX('G-8 Condition Look up'!$A$3:$H$131,MATCH(S237,'G-8 Condition Look up'!$A$3:$A$131,0),MATCH(Y237,'G-8 Condition Look up'!$A$3:$H$3,0)),"")</f>
        <v/>
      </c>
      <c r="AA237" s="173"/>
      <c r="AB237" s="269" t="str">
        <f>IF(AA237="","",IF(VLOOKUP(AA237,'G-3 Multipliers'!$L$3:$N$6,2,FALSE)=0,"Spatial Data Missing",VLOOKUP(AA237,'G-3 Multipliers'!$L$3:$N$6,2,FALSE)))</f>
        <v/>
      </c>
      <c r="AC237" s="176" t="str">
        <f>IF(AA237="","",IF(VLOOKUP(AA237,'G-3 Multipliers'!$L$3:$N$6,3,FALSE)=0,"Spatial Data Missing",VLOOKUP(AA237,'G-3 Multipliers'!$L$3:$N$6,3,FALSE)))</f>
        <v/>
      </c>
      <c r="AD237" s="239" t="str">
        <f t="shared" si="38"/>
        <v/>
      </c>
      <c r="AE237" s="275"/>
      <c r="AF237" s="275"/>
      <c r="AG237" s="175" t="str">
        <f t="shared" si="41"/>
        <v/>
      </c>
      <c r="AH237" s="242" t="str">
        <f t="shared" si="42"/>
        <v/>
      </c>
      <c r="AI237" s="335" t="str">
        <f>IF(AH237="Check Data","Check Data",IFERROR(VLOOKUP(AH237,'G-4 Temporal multipliers'!$A$4:$C$36,3,FALSE),""))</f>
        <v/>
      </c>
      <c r="AJ237" s="239" t="str">
        <f>IF(S237="","",VLOOKUP(S237,'G-3 Multipliers'!$A$2:$E$130,4,FALSE))</f>
        <v/>
      </c>
      <c r="AK237" s="175" t="str">
        <f t="shared" si="43"/>
        <v/>
      </c>
      <c r="AL237" s="175" t="str">
        <f t="shared" si="44"/>
        <v/>
      </c>
      <c r="AM237" s="176" t="str">
        <f>IFERROR(IF(F237="","",IF(AH237="Check Data","Check Data",VLOOKUP(AL237, 'G-3 Multipliers'!$P$2:$Q$6,2,FALSE))),””)</f>
        <v/>
      </c>
      <c r="AN237" s="266"/>
      <c r="AO237" s="269" t="str">
        <f>IF(AN237="","",IF(VLOOKUP(AN237,'G-3 Multipliers'!$S$3:$T$9,2,FALSE)=0,"Spatial Data Missing",VLOOKUP(AN237,'G-3 Multipliers'!$S$3:$T$9,2,FALSE)))</f>
        <v/>
      </c>
      <c r="AP237" s="207" t="str">
        <f t="shared" si="45"/>
        <v/>
      </c>
      <c r="AQ237" s="336"/>
      <c r="AR237" s="181"/>
    </row>
    <row r="238" spans="1:44" x14ac:dyDescent="0.25">
      <c r="A238" s="35" t="str">
        <f>IF(E238="","",IF(ISNA(VLOOKUP($E238,'D-1 Off Site Habitat Baseline'!$D$1:$O$258,2,FALSE)),"",(VLOOKUP($E238,'D-1 Off Site Habitat Baseline'!$D$1:$O$258,2,FALSE))))</f>
        <v/>
      </c>
      <c r="B238" s="35" t="str">
        <f>IF(E238="","",IF(ISNA(VLOOKUP($E238,'D-1 Off Site Habitat Baseline'!$D$1:$O$258,3,FALSE)),"",(VLOOKUP($E238,'D-1 Off Site Habitat Baseline'!$D$1:$O$258,3,FALSE))))</f>
        <v/>
      </c>
      <c r="C238" s="35" t="str">
        <f>IFERROR(INDEX('G-8 Condition Look up'!$I$4:$I$131,MATCH(S238,'G-8 Condition Look up'!$A$4:$A$131,0)),"")</f>
        <v/>
      </c>
      <c r="E238" s="329" t="str">
        <f>'D-1 Off Site Habitat Baseline'!AL237</f>
        <v/>
      </c>
      <c r="F238" s="175" t="str">
        <f>IF(E238="","",IF(ISNA(VLOOKUP($E238,'D-1 Off Site Habitat Baseline'!$D$1:$O$258,4,FALSE)),"",(VLOOKUP($E238,'D-1 Off Site Habitat Baseline'!$D$1:$O$258,4,FALSE))))</f>
        <v/>
      </c>
      <c r="G238" s="175" t="str">
        <f>IF(E238="","",IF(ISNA(VLOOKUP($E238,'D-1 Off Site Habitat Baseline'!$D$1:$O$258,5,FALSE)),"",(VLOOKUP($E238,'D-1 Off Site Habitat Baseline'!$D$1:$O$258,5,FALSE))))</f>
        <v/>
      </c>
      <c r="H238" s="175" t="str">
        <f>IF(E238="","",IF(ISNA(VLOOKUP($E238,'D-1 Off Site Habitat Baseline'!$D$1:$O$258,6,FALSE)),"",(VLOOKUP($E238,'D-1 Off Site Habitat Baseline'!$D$1:$O$258,6,FALSE))))</f>
        <v/>
      </c>
      <c r="I238" s="175" t="str">
        <f>IF(E238="","",IF(ISNA(VLOOKUP($E238,'D-1 Off Site Habitat Baseline'!$D$1:$O$258,7,FALSE)),"",(VLOOKUP($E238,'D-1 Off Site Habitat Baseline'!$D$1:$O$258,7,FALSE))))</f>
        <v/>
      </c>
      <c r="J238" s="175" t="str">
        <f>IF(E238="","",IF(ISNA(VLOOKUP($E238,'D-1 Off Site Habitat Baseline'!$D$1:$O$258,8,FALSE)),"",(VLOOKUP($E238,'D-1 Off Site Habitat Baseline'!$D$1:$O$258,8,FALSE))))</f>
        <v/>
      </c>
      <c r="K238" s="175" t="str">
        <f>IF(E238="","",IF(ISNA(VLOOKUP($E238,'D-1 Off Site Habitat Baseline'!$D$1:$O$258,9,FALSE)),"",(VLOOKUP($E238,'D-1 Off Site Habitat Baseline'!$D$1:$O$258,9,FALSE))))</f>
        <v/>
      </c>
      <c r="L238" s="175" t="str">
        <f>IF(E238="","",IF(ISNA(VLOOKUP($E238,'D-1 Off Site Habitat Baseline'!$D$1:$O$258,11,FALSE)),"",(VLOOKUP($E238,'D-1 Off Site Habitat Baseline'!$D$1:$O$258,11,FALSE))))</f>
        <v/>
      </c>
      <c r="M238" s="175" t="str">
        <f>IF(E238="","",IF(ISNA(VLOOKUP($E238,'D-1 Off Site Habitat Baseline'!$D$1:$O$258,12,FALSE)),"",(VLOOKUP($E238,'D-1 Off Site Habitat Baseline'!$D$1:$O$258,12,FALSE))))</f>
        <v/>
      </c>
      <c r="N238" s="175" t="str">
        <f>IF(E238="","",IF(ISNA(VLOOKUP($E238,'D-1 Off Site Habitat Baseline'!$D$1:$X$258,14,FALSE)),"",(VLOOKUP($E238,'D-1 Off Site Habitat Baseline'!$D$1:$X$258,14,FALSE))))</f>
        <v/>
      </c>
      <c r="O238" s="176" t="str">
        <f>IF(E238="","",IF(ISNA(VLOOKUP($E238,'D-1 Off Site Habitat Baseline'!$D$1:$X$258,13,FALSE)),"",(VLOOKUP($E238,'D-1 Off Site Habitat Baseline'!$D$1:$X$258,13,FALSE))))</f>
        <v/>
      </c>
      <c r="P238" s="337" t="str">
        <f>IFERROR(INDEX('G-1 All Habitats'!$AG$3:$AG$15,MATCH(Q238,'G-1 All Habitats'!$AF$3:$AF$15,0)),"")</f>
        <v/>
      </c>
      <c r="Q238" s="331" t="str">
        <f t="shared" si="46"/>
        <v/>
      </c>
      <c r="R238" s="332" t="str">
        <f t="shared" si="47"/>
        <v/>
      </c>
      <c r="S238" s="338" t="str">
        <f>IFERROR(INDEX('G-1 All Habitats'!$B$3:$B$130,MATCH(R238,'G-1 All Habitats'!$A$3:$A$130,0)),"")</f>
        <v/>
      </c>
      <c r="T238" s="179" t="str">
        <f t="shared" si="39"/>
        <v/>
      </c>
      <c r="U238" s="172" t="str">
        <f t="shared" si="40"/>
        <v/>
      </c>
      <c r="V238" s="334" t="str">
        <f t="shared" si="37"/>
        <v/>
      </c>
      <c r="W238" s="175" t="str">
        <f>IF(S238="","",VLOOKUP(S238,'G-1 All Habitats'!$B$2:$M$130,10,FALSE))</f>
        <v/>
      </c>
      <c r="X238" s="175" t="str">
        <f>IFERROR(VLOOKUP(W238,'G-1 All Habitats'!$V$3:$W$7,2,FALSE),"")</f>
        <v/>
      </c>
      <c r="Y238" s="275"/>
      <c r="Z238" s="176" t="str">
        <f>IFERROR(INDEX('G-8 Condition Look up'!$A$3:$H$131,MATCH(S238,'G-8 Condition Look up'!$A$3:$A$131,0),MATCH(Y238,'G-8 Condition Look up'!$A$3:$H$3,0)),"")</f>
        <v/>
      </c>
      <c r="AA238" s="173"/>
      <c r="AB238" s="269" t="str">
        <f>IF(AA238="","",IF(VLOOKUP(AA238,'G-3 Multipliers'!$L$3:$N$6,2,FALSE)=0,"Spatial Data Missing",VLOOKUP(AA238,'G-3 Multipliers'!$L$3:$N$6,2,FALSE)))</f>
        <v/>
      </c>
      <c r="AC238" s="176" t="str">
        <f>IF(AA238="","",IF(VLOOKUP(AA238,'G-3 Multipliers'!$L$3:$N$6,3,FALSE)=0,"Spatial Data Missing",VLOOKUP(AA238,'G-3 Multipliers'!$L$3:$N$6,3,FALSE)))</f>
        <v/>
      </c>
      <c r="AD238" s="239" t="str">
        <f t="shared" si="38"/>
        <v/>
      </c>
      <c r="AE238" s="275"/>
      <c r="AF238" s="275"/>
      <c r="AG238" s="175" t="str">
        <f t="shared" si="41"/>
        <v/>
      </c>
      <c r="AH238" s="242" t="str">
        <f t="shared" si="42"/>
        <v/>
      </c>
      <c r="AI238" s="335" t="str">
        <f>IF(AH238="Check Data","Check Data",IFERROR(VLOOKUP(AH238,'G-4 Temporal multipliers'!$A$4:$C$36,3,FALSE),""))</f>
        <v/>
      </c>
      <c r="AJ238" s="239" t="str">
        <f>IF(S238="","",VLOOKUP(S238,'G-3 Multipliers'!$A$2:$E$130,4,FALSE))</f>
        <v/>
      </c>
      <c r="AK238" s="175" t="str">
        <f t="shared" si="43"/>
        <v/>
      </c>
      <c r="AL238" s="175" t="str">
        <f t="shared" si="44"/>
        <v/>
      </c>
      <c r="AM238" s="176" t="str">
        <f>IFERROR(IF(F238="","",IF(AH238="Check Data","Check Data",VLOOKUP(AL238, 'G-3 Multipliers'!$P$2:$Q$6,2,FALSE))),””)</f>
        <v/>
      </c>
      <c r="AN238" s="266"/>
      <c r="AO238" s="269" t="str">
        <f>IF(AN238="","",IF(VLOOKUP(AN238,'G-3 Multipliers'!$S$3:$T$9,2,FALSE)=0,"Spatial Data Missing",VLOOKUP(AN238,'G-3 Multipliers'!$S$3:$T$9,2,FALSE)))</f>
        <v/>
      </c>
      <c r="AP238" s="207" t="str">
        <f t="shared" si="45"/>
        <v/>
      </c>
      <c r="AQ238" s="336"/>
      <c r="AR238" s="181"/>
    </row>
    <row r="239" spans="1:44" x14ac:dyDescent="0.25">
      <c r="A239" s="35" t="str">
        <f>IF(E239="","",IF(ISNA(VLOOKUP($E239,'D-1 Off Site Habitat Baseline'!$D$1:$O$258,2,FALSE)),"",(VLOOKUP($E239,'D-1 Off Site Habitat Baseline'!$D$1:$O$258,2,FALSE))))</f>
        <v/>
      </c>
      <c r="B239" s="35" t="str">
        <f>IF(E239="","",IF(ISNA(VLOOKUP($E239,'D-1 Off Site Habitat Baseline'!$D$1:$O$258,3,FALSE)),"",(VLOOKUP($E239,'D-1 Off Site Habitat Baseline'!$D$1:$O$258,3,FALSE))))</f>
        <v/>
      </c>
      <c r="C239" s="35" t="str">
        <f>IFERROR(INDEX('G-8 Condition Look up'!$I$4:$I$131,MATCH(S239,'G-8 Condition Look up'!$A$4:$A$131,0)),"")</f>
        <v/>
      </c>
      <c r="E239" s="329" t="str">
        <f>'D-1 Off Site Habitat Baseline'!AL238</f>
        <v/>
      </c>
      <c r="F239" s="175" t="str">
        <f>IF(E239="","",IF(ISNA(VLOOKUP($E239,'D-1 Off Site Habitat Baseline'!$D$1:$O$258,4,FALSE)),"",(VLOOKUP($E239,'D-1 Off Site Habitat Baseline'!$D$1:$O$258,4,FALSE))))</f>
        <v/>
      </c>
      <c r="G239" s="175" t="str">
        <f>IF(E239="","",IF(ISNA(VLOOKUP($E239,'D-1 Off Site Habitat Baseline'!$D$1:$O$258,5,FALSE)),"",(VLOOKUP($E239,'D-1 Off Site Habitat Baseline'!$D$1:$O$258,5,FALSE))))</f>
        <v/>
      </c>
      <c r="H239" s="175" t="str">
        <f>IF(E239="","",IF(ISNA(VLOOKUP($E239,'D-1 Off Site Habitat Baseline'!$D$1:$O$258,6,FALSE)),"",(VLOOKUP($E239,'D-1 Off Site Habitat Baseline'!$D$1:$O$258,6,FALSE))))</f>
        <v/>
      </c>
      <c r="I239" s="175" t="str">
        <f>IF(E239="","",IF(ISNA(VLOOKUP($E239,'D-1 Off Site Habitat Baseline'!$D$1:$O$258,7,FALSE)),"",(VLOOKUP($E239,'D-1 Off Site Habitat Baseline'!$D$1:$O$258,7,FALSE))))</f>
        <v/>
      </c>
      <c r="J239" s="175" t="str">
        <f>IF(E239="","",IF(ISNA(VLOOKUP($E239,'D-1 Off Site Habitat Baseline'!$D$1:$O$258,8,FALSE)),"",(VLOOKUP($E239,'D-1 Off Site Habitat Baseline'!$D$1:$O$258,8,FALSE))))</f>
        <v/>
      </c>
      <c r="K239" s="175" t="str">
        <f>IF(E239="","",IF(ISNA(VLOOKUP($E239,'D-1 Off Site Habitat Baseline'!$D$1:$O$258,9,FALSE)),"",(VLOOKUP($E239,'D-1 Off Site Habitat Baseline'!$D$1:$O$258,9,FALSE))))</f>
        <v/>
      </c>
      <c r="L239" s="175" t="str">
        <f>IF(E239="","",IF(ISNA(VLOOKUP($E239,'D-1 Off Site Habitat Baseline'!$D$1:$O$258,11,FALSE)),"",(VLOOKUP($E239,'D-1 Off Site Habitat Baseline'!$D$1:$O$258,11,FALSE))))</f>
        <v/>
      </c>
      <c r="M239" s="175" t="str">
        <f>IF(E239="","",IF(ISNA(VLOOKUP($E239,'D-1 Off Site Habitat Baseline'!$D$1:$O$258,12,FALSE)),"",(VLOOKUP($E239,'D-1 Off Site Habitat Baseline'!$D$1:$O$258,12,FALSE))))</f>
        <v/>
      </c>
      <c r="N239" s="175" t="str">
        <f>IF(E239="","",IF(ISNA(VLOOKUP($E239,'D-1 Off Site Habitat Baseline'!$D$1:$X$258,14,FALSE)),"",(VLOOKUP($E239,'D-1 Off Site Habitat Baseline'!$D$1:$X$258,14,FALSE))))</f>
        <v/>
      </c>
      <c r="O239" s="176" t="str">
        <f>IF(E239="","",IF(ISNA(VLOOKUP($E239,'D-1 Off Site Habitat Baseline'!$D$1:$X$258,13,FALSE)),"",(VLOOKUP($E239,'D-1 Off Site Habitat Baseline'!$D$1:$X$258,13,FALSE))))</f>
        <v/>
      </c>
      <c r="P239" s="337" t="str">
        <f>IFERROR(INDEX('G-1 All Habitats'!$AG$3:$AG$15,MATCH(Q239,'G-1 All Habitats'!$AF$3:$AF$15,0)),"")</f>
        <v/>
      </c>
      <c r="Q239" s="331" t="str">
        <f t="shared" si="46"/>
        <v/>
      </c>
      <c r="R239" s="332" t="str">
        <f t="shared" si="47"/>
        <v/>
      </c>
      <c r="S239" s="338" t="str">
        <f>IFERROR(INDEX('G-1 All Habitats'!$B$3:$B$130,MATCH(R239,'G-1 All Habitats'!$A$3:$A$130,0)),"")</f>
        <v/>
      </c>
      <c r="T239" s="179" t="str">
        <f t="shared" si="39"/>
        <v/>
      </c>
      <c r="U239" s="172" t="str">
        <f t="shared" si="40"/>
        <v/>
      </c>
      <c r="V239" s="334" t="str">
        <f t="shared" si="37"/>
        <v/>
      </c>
      <c r="W239" s="175" t="str">
        <f>IF(S239="","",VLOOKUP(S239,'G-1 All Habitats'!$B$2:$M$130,10,FALSE))</f>
        <v/>
      </c>
      <c r="X239" s="175" t="str">
        <f>IFERROR(VLOOKUP(W239,'G-1 All Habitats'!$V$3:$W$7,2,FALSE),"")</f>
        <v/>
      </c>
      <c r="Y239" s="275"/>
      <c r="Z239" s="176" t="str">
        <f>IFERROR(INDEX('G-8 Condition Look up'!$A$3:$H$131,MATCH(S239,'G-8 Condition Look up'!$A$3:$A$131,0),MATCH(Y239,'G-8 Condition Look up'!$A$3:$H$3,0)),"")</f>
        <v/>
      </c>
      <c r="AA239" s="173"/>
      <c r="AB239" s="269" t="str">
        <f>IF(AA239="","",IF(VLOOKUP(AA239,'G-3 Multipliers'!$L$3:$N$6,2,FALSE)=0,"Spatial Data Missing",VLOOKUP(AA239,'G-3 Multipliers'!$L$3:$N$6,2,FALSE)))</f>
        <v/>
      </c>
      <c r="AC239" s="176" t="str">
        <f>IF(AA239="","",IF(VLOOKUP(AA239,'G-3 Multipliers'!$L$3:$N$6,3,FALSE)=0,"Spatial Data Missing",VLOOKUP(AA239,'G-3 Multipliers'!$L$3:$N$6,3,FALSE)))</f>
        <v/>
      </c>
      <c r="AD239" s="239" t="str">
        <f t="shared" si="38"/>
        <v/>
      </c>
      <c r="AE239" s="275"/>
      <c r="AF239" s="275"/>
      <c r="AG239" s="175" t="str">
        <f t="shared" si="41"/>
        <v/>
      </c>
      <c r="AH239" s="242" t="str">
        <f t="shared" si="42"/>
        <v/>
      </c>
      <c r="AI239" s="335" t="str">
        <f>IF(AH239="Check Data","Check Data",IFERROR(VLOOKUP(AH239,'G-4 Temporal multipliers'!$A$4:$C$36,3,FALSE),""))</f>
        <v/>
      </c>
      <c r="AJ239" s="239" t="str">
        <f>IF(S239="","",VLOOKUP(S239,'G-3 Multipliers'!$A$2:$E$130,4,FALSE))</f>
        <v/>
      </c>
      <c r="AK239" s="175" t="str">
        <f t="shared" si="43"/>
        <v/>
      </c>
      <c r="AL239" s="175" t="str">
        <f t="shared" si="44"/>
        <v/>
      </c>
      <c r="AM239" s="176" t="str">
        <f>IFERROR(IF(F239="","",IF(AH239="Check Data","Check Data",VLOOKUP(AL239, 'G-3 Multipliers'!$P$2:$Q$6,2,FALSE))),””)</f>
        <v/>
      </c>
      <c r="AN239" s="266"/>
      <c r="AO239" s="269" t="str">
        <f>IF(AN239="","",IF(VLOOKUP(AN239,'G-3 Multipliers'!$S$3:$T$9,2,FALSE)=0,"Spatial Data Missing",VLOOKUP(AN239,'G-3 Multipliers'!$S$3:$T$9,2,FALSE)))</f>
        <v/>
      </c>
      <c r="AP239" s="207" t="str">
        <f t="shared" si="45"/>
        <v/>
      </c>
      <c r="AQ239" s="336"/>
      <c r="AR239" s="181"/>
    </row>
    <row r="240" spans="1:44" x14ac:dyDescent="0.25">
      <c r="A240" s="35" t="str">
        <f>IF(E240="","",IF(ISNA(VLOOKUP($E240,'D-1 Off Site Habitat Baseline'!$D$1:$O$258,2,FALSE)),"",(VLOOKUP($E240,'D-1 Off Site Habitat Baseline'!$D$1:$O$258,2,FALSE))))</f>
        <v/>
      </c>
      <c r="B240" s="35" t="str">
        <f>IF(E240="","",IF(ISNA(VLOOKUP($E240,'D-1 Off Site Habitat Baseline'!$D$1:$O$258,3,FALSE)),"",(VLOOKUP($E240,'D-1 Off Site Habitat Baseline'!$D$1:$O$258,3,FALSE))))</f>
        <v/>
      </c>
      <c r="C240" s="35" t="str">
        <f>IFERROR(INDEX('G-8 Condition Look up'!$I$4:$I$131,MATCH(S240,'G-8 Condition Look up'!$A$4:$A$131,0)),"")</f>
        <v/>
      </c>
      <c r="E240" s="329" t="str">
        <f>'D-1 Off Site Habitat Baseline'!AL239</f>
        <v/>
      </c>
      <c r="F240" s="175" t="str">
        <f>IF(E240="","",IF(ISNA(VLOOKUP($E240,'D-1 Off Site Habitat Baseline'!$D$1:$O$258,4,FALSE)),"",(VLOOKUP($E240,'D-1 Off Site Habitat Baseline'!$D$1:$O$258,4,FALSE))))</f>
        <v/>
      </c>
      <c r="G240" s="175" t="str">
        <f>IF(E240="","",IF(ISNA(VLOOKUP($E240,'D-1 Off Site Habitat Baseline'!$D$1:$O$258,5,FALSE)),"",(VLOOKUP($E240,'D-1 Off Site Habitat Baseline'!$D$1:$O$258,5,FALSE))))</f>
        <v/>
      </c>
      <c r="H240" s="175" t="str">
        <f>IF(E240="","",IF(ISNA(VLOOKUP($E240,'D-1 Off Site Habitat Baseline'!$D$1:$O$258,6,FALSE)),"",(VLOOKUP($E240,'D-1 Off Site Habitat Baseline'!$D$1:$O$258,6,FALSE))))</f>
        <v/>
      </c>
      <c r="I240" s="175" t="str">
        <f>IF(E240="","",IF(ISNA(VLOOKUP($E240,'D-1 Off Site Habitat Baseline'!$D$1:$O$258,7,FALSE)),"",(VLOOKUP($E240,'D-1 Off Site Habitat Baseline'!$D$1:$O$258,7,FALSE))))</f>
        <v/>
      </c>
      <c r="J240" s="175" t="str">
        <f>IF(E240="","",IF(ISNA(VLOOKUP($E240,'D-1 Off Site Habitat Baseline'!$D$1:$O$258,8,FALSE)),"",(VLOOKUP($E240,'D-1 Off Site Habitat Baseline'!$D$1:$O$258,8,FALSE))))</f>
        <v/>
      </c>
      <c r="K240" s="175" t="str">
        <f>IF(E240="","",IF(ISNA(VLOOKUP($E240,'D-1 Off Site Habitat Baseline'!$D$1:$O$258,9,FALSE)),"",(VLOOKUP($E240,'D-1 Off Site Habitat Baseline'!$D$1:$O$258,9,FALSE))))</f>
        <v/>
      </c>
      <c r="L240" s="175" t="str">
        <f>IF(E240="","",IF(ISNA(VLOOKUP($E240,'D-1 Off Site Habitat Baseline'!$D$1:$O$258,11,FALSE)),"",(VLOOKUP($E240,'D-1 Off Site Habitat Baseline'!$D$1:$O$258,11,FALSE))))</f>
        <v/>
      </c>
      <c r="M240" s="175" t="str">
        <f>IF(E240="","",IF(ISNA(VLOOKUP($E240,'D-1 Off Site Habitat Baseline'!$D$1:$O$258,12,FALSE)),"",(VLOOKUP($E240,'D-1 Off Site Habitat Baseline'!$D$1:$O$258,12,FALSE))))</f>
        <v/>
      </c>
      <c r="N240" s="175" t="str">
        <f>IF(E240="","",IF(ISNA(VLOOKUP($E240,'D-1 Off Site Habitat Baseline'!$D$1:$X$258,14,FALSE)),"",(VLOOKUP($E240,'D-1 Off Site Habitat Baseline'!$D$1:$X$258,14,FALSE))))</f>
        <v/>
      </c>
      <c r="O240" s="176" t="str">
        <f>IF(E240="","",IF(ISNA(VLOOKUP($E240,'D-1 Off Site Habitat Baseline'!$D$1:$X$258,13,FALSE)),"",(VLOOKUP($E240,'D-1 Off Site Habitat Baseline'!$D$1:$X$258,13,FALSE))))</f>
        <v/>
      </c>
      <c r="P240" s="337" t="str">
        <f>IFERROR(INDEX('G-1 All Habitats'!$AG$3:$AG$15,MATCH(Q240,'G-1 All Habitats'!$AF$3:$AF$15,0)),"")</f>
        <v/>
      </c>
      <c r="Q240" s="331" t="str">
        <f t="shared" si="46"/>
        <v/>
      </c>
      <c r="R240" s="332" t="str">
        <f t="shared" si="47"/>
        <v/>
      </c>
      <c r="S240" s="338" t="str">
        <f>IFERROR(INDEX('G-1 All Habitats'!$B$3:$B$130,MATCH(R240,'G-1 All Habitats'!$A$3:$A$130,0)),"")</f>
        <v/>
      </c>
      <c r="T240" s="179" t="str">
        <f t="shared" si="39"/>
        <v/>
      </c>
      <c r="U240" s="172" t="str">
        <f t="shared" si="40"/>
        <v/>
      </c>
      <c r="V240" s="334" t="str">
        <f t="shared" si="37"/>
        <v/>
      </c>
      <c r="W240" s="175" t="str">
        <f>IF(S240="","",VLOOKUP(S240,'G-1 All Habitats'!$B$2:$M$130,10,FALSE))</f>
        <v/>
      </c>
      <c r="X240" s="175" t="str">
        <f>IFERROR(VLOOKUP(W240,'G-1 All Habitats'!$V$3:$W$7,2,FALSE),"")</f>
        <v/>
      </c>
      <c r="Y240" s="275"/>
      <c r="Z240" s="176" t="str">
        <f>IFERROR(INDEX('G-8 Condition Look up'!$A$3:$H$131,MATCH(S240,'G-8 Condition Look up'!$A$3:$A$131,0),MATCH(Y240,'G-8 Condition Look up'!$A$3:$H$3,0)),"")</f>
        <v/>
      </c>
      <c r="AA240" s="173"/>
      <c r="AB240" s="269" t="str">
        <f>IF(AA240="","",IF(VLOOKUP(AA240,'G-3 Multipliers'!$L$3:$N$6,2,FALSE)=0,"Spatial Data Missing",VLOOKUP(AA240,'G-3 Multipliers'!$L$3:$N$6,2,FALSE)))</f>
        <v/>
      </c>
      <c r="AC240" s="176" t="str">
        <f>IF(AA240="","",IF(VLOOKUP(AA240,'G-3 Multipliers'!$L$3:$N$6,3,FALSE)=0,"Spatial Data Missing",VLOOKUP(AA240,'G-3 Multipliers'!$L$3:$N$6,3,FALSE)))</f>
        <v/>
      </c>
      <c r="AD240" s="239" t="str">
        <f t="shared" si="38"/>
        <v/>
      </c>
      <c r="AE240" s="275"/>
      <c r="AF240" s="275"/>
      <c r="AG240" s="175" t="str">
        <f t="shared" si="41"/>
        <v/>
      </c>
      <c r="AH240" s="242" t="str">
        <f t="shared" si="42"/>
        <v/>
      </c>
      <c r="AI240" s="335" t="str">
        <f>IF(AH240="Check Data","Check Data",IFERROR(VLOOKUP(AH240,'G-4 Temporal multipliers'!$A$4:$C$36,3,FALSE),""))</f>
        <v/>
      </c>
      <c r="AJ240" s="239" t="str">
        <f>IF(S240="","",VLOOKUP(S240,'G-3 Multipliers'!$A$2:$E$130,4,FALSE))</f>
        <v/>
      </c>
      <c r="AK240" s="175" t="str">
        <f t="shared" si="43"/>
        <v/>
      </c>
      <c r="AL240" s="175" t="str">
        <f t="shared" si="44"/>
        <v/>
      </c>
      <c r="AM240" s="176" t="str">
        <f>IFERROR(IF(F240="","",IF(AH240="Check Data","Check Data",VLOOKUP(AL240, 'G-3 Multipliers'!$P$2:$Q$6,2,FALSE))),””)</f>
        <v/>
      </c>
      <c r="AN240" s="266"/>
      <c r="AO240" s="269" t="str">
        <f>IF(AN240="","",IF(VLOOKUP(AN240,'G-3 Multipliers'!$S$3:$T$9,2,FALSE)=0,"Spatial Data Missing",VLOOKUP(AN240,'G-3 Multipliers'!$S$3:$T$9,2,FALSE)))</f>
        <v/>
      </c>
      <c r="AP240" s="207" t="str">
        <f t="shared" si="45"/>
        <v/>
      </c>
      <c r="AQ240" s="336"/>
      <c r="AR240" s="181"/>
    </row>
    <row r="241" spans="1:44" x14ac:dyDescent="0.25">
      <c r="A241" s="35" t="str">
        <f>IF(E241="","",IF(ISNA(VLOOKUP($E241,'D-1 Off Site Habitat Baseline'!$D$1:$O$258,2,FALSE)),"",(VLOOKUP($E241,'D-1 Off Site Habitat Baseline'!$D$1:$O$258,2,FALSE))))</f>
        <v/>
      </c>
      <c r="B241" s="35" t="str">
        <f>IF(E241="","",IF(ISNA(VLOOKUP($E241,'D-1 Off Site Habitat Baseline'!$D$1:$O$258,3,FALSE)),"",(VLOOKUP($E241,'D-1 Off Site Habitat Baseline'!$D$1:$O$258,3,FALSE))))</f>
        <v/>
      </c>
      <c r="C241" s="35" t="str">
        <f>IFERROR(INDEX('G-8 Condition Look up'!$I$4:$I$131,MATCH(S241,'G-8 Condition Look up'!$A$4:$A$131,0)),"")</f>
        <v/>
      </c>
      <c r="E241" s="329" t="str">
        <f>'D-1 Off Site Habitat Baseline'!AL240</f>
        <v/>
      </c>
      <c r="F241" s="175" t="str">
        <f>IF(E241="","",IF(ISNA(VLOOKUP($E241,'D-1 Off Site Habitat Baseline'!$D$1:$O$258,4,FALSE)),"",(VLOOKUP($E241,'D-1 Off Site Habitat Baseline'!$D$1:$O$258,4,FALSE))))</f>
        <v/>
      </c>
      <c r="G241" s="175" t="str">
        <f>IF(E241="","",IF(ISNA(VLOOKUP($E241,'D-1 Off Site Habitat Baseline'!$D$1:$O$258,5,FALSE)),"",(VLOOKUP($E241,'D-1 Off Site Habitat Baseline'!$D$1:$O$258,5,FALSE))))</f>
        <v/>
      </c>
      <c r="H241" s="175" t="str">
        <f>IF(E241="","",IF(ISNA(VLOOKUP($E241,'D-1 Off Site Habitat Baseline'!$D$1:$O$258,6,FALSE)),"",(VLOOKUP($E241,'D-1 Off Site Habitat Baseline'!$D$1:$O$258,6,FALSE))))</f>
        <v/>
      </c>
      <c r="I241" s="175" t="str">
        <f>IF(E241="","",IF(ISNA(VLOOKUP($E241,'D-1 Off Site Habitat Baseline'!$D$1:$O$258,7,FALSE)),"",(VLOOKUP($E241,'D-1 Off Site Habitat Baseline'!$D$1:$O$258,7,FALSE))))</f>
        <v/>
      </c>
      <c r="J241" s="175" t="str">
        <f>IF(E241="","",IF(ISNA(VLOOKUP($E241,'D-1 Off Site Habitat Baseline'!$D$1:$O$258,8,FALSE)),"",(VLOOKUP($E241,'D-1 Off Site Habitat Baseline'!$D$1:$O$258,8,FALSE))))</f>
        <v/>
      </c>
      <c r="K241" s="175" t="str">
        <f>IF(E241="","",IF(ISNA(VLOOKUP($E241,'D-1 Off Site Habitat Baseline'!$D$1:$O$258,9,FALSE)),"",(VLOOKUP($E241,'D-1 Off Site Habitat Baseline'!$D$1:$O$258,9,FALSE))))</f>
        <v/>
      </c>
      <c r="L241" s="175" t="str">
        <f>IF(E241="","",IF(ISNA(VLOOKUP($E241,'D-1 Off Site Habitat Baseline'!$D$1:$O$258,11,FALSE)),"",(VLOOKUP($E241,'D-1 Off Site Habitat Baseline'!$D$1:$O$258,11,FALSE))))</f>
        <v/>
      </c>
      <c r="M241" s="175" t="str">
        <f>IF(E241="","",IF(ISNA(VLOOKUP($E241,'D-1 Off Site Habitat Baseline'!$D$1:$O$258,12,FALSE)),"",(VLOOKUP($E241,'D-1 Off Site Habitat Baseline'!$D$1:$O$258,12,FALSE))))</f>
        <v/>
      </c>
      <c r="N241" s="175" t="str">
        <f>IF(E241="","",IF(ISNA(VLOOKUP($E241,'D-1 Off Site Habitat Baseline'!$D$1:$X$258,14,FALSE)),"",(VLOOKUP($E241,'D-1 Off Site Habitat Baseline'!$D$1:$X$258,14,FALSE))))</f>
        <v/>
      </c>
      <c r="O241" s="176" t="str">
        <f>IF(E241="","",IF(ISNA(VLOOKUP($E241,'D-1 Off Site Habitat Baseline'!$D$1:$X$258,13,FALSE)),"",(VLOOKUP($E241,'D-1 Off Site Habitat Baseline'!$D$1:$X$258,13,FALSE))))</f>
        <v/>
      </c>
      <c r="P241" s="337" t="str">
        <f>IFERROR(INDEX('G-1 All Habitats'!$AG$3:$AG$15,MATCH(Q241,'G-1 All Habitats'!$AF$3:$AF$15,0)),"")</f>
        <v/>
      </c>
      <c r="Q241" s="331" t="str">
        <f t="shared" si="46"/>
        <v/>
      </c>
      <c r="R241" s="332" t="str">
        <f t="shared" si="47"/>
        <v/>
      </c>
      <c r="S241" s="338" t="str">
        <f>IFERROR(INDEX('G-1 All Habitats'!$B$3:$B$130,MATCH(R241,'G-1 All Habitats'!$A$3:$A$130,0)),"")</f>
        <v/>
      </c>
      <c r="T241" s="179" t="str">
        <f t="shared" si="39"/>
        <v/>
      </c>
      <c r="U241" s="172" t="str">
        <f t="shared" si="40"/>
        <v/>
      </c>
      <c r="V241" s="334" t="str">
        <f t="shared" si="37"/>
        <v/>
      </c>
      <c r="W241" s="175" t="str">
        <f>IF(S241="","",VLOOKUP(S241,'G-1 All Habitats'!$B$2:$M$130,10,FALSE))</f>
        <v/>
      </c>
      <c r="X241" s="175" t="str">
        <f>IFERROR(VLOOKUP(W241,'G-1 All Habitats'!$V$3:$W$7,2,FALSE),"")</f>
        <v/>
      </c>
      <c r="Y241" s="275"/>
      <c r="Z241" s="176" t="str">
        <f>IFERROR(INDEX('G-8 Condition Look up'!$A$3:$H$131,MATCH(S241,'G-8 Condition Look up'!$A$3:$A$131,0),MATCH(Y241,'G-8 Condition Look up'!$A$3:$H$3,0)),"")</f>
        <v/>
      </c>
      <c r="AA241" s="173"/>
      <c r="AB241" s="269" t="str">
        <f>IF(AA241="","",IF(VLOOKUP(AA241,'G-3 Multipliers'!$L$3:$N$6,2,FALSE)=0,"Spatial Data Missing",VLOOKUP(AA241,'G-3 Multipliers'!$L$3:$N$6,2,FALSE)))</f>
        <v/>
      </c>
      <c r="AC241" s="176" t="str">
        <f>IF(AA241="","",IF(VLOOKUP(AA241,'G-3 Multipliers'!$L$3:$N$6,3,FALSE)=0,"Spatial Data Missing",VLOOKUP(AA241,'G-3 Multipliers'!$L$3:$N$6,3,FALSE)))</f>
        <v/>
      </c>
      <c r="AD241" s="239" t="str">
        <f t="shared" si="38"/>
        <v/>
      </c>
      <c r="AE241" s="275"/>
      <c r="AF241" s="275"/>
      <c r="AG241" s="175" t="str">
        <f t="shared" si="41"/>
        <v/>
      </c>
      <c r="AH241" s="242" t="str">
        <f t="shared" si="42"/>
        <v/>
      </c>
      <c r="AI241" s="335" t="str">
        <f>IF(AH241="Check Data","Check Data",IFERROR(VLOOKUP(AH241,'G-4 Temporal multipliers'!$A$4:$C$36,3,FALSE),""))</f>
        <v/>
      </c>
      <c r="AJ241" s="239" t="str">
        <f>IF(S241="","",VLOOKUP(S241,'G-3 Multipliers'!$A$2:$E$130,4,FALSE))</f>
        <v/>
      </c>
      <c r="AK241" s="175" t="str">
        <f t="shared" si="43"/>
        <v/>
      </c>
      <c r="AL241" s="175" t="str">
        <f t="shared" si="44"/>
        <v/>
      </c>
      <c r="AM241" s="176" t="str">
        <f>IFERROR(IF(F241="","",IF(AH241="Check Data","Check Data",VLOOKUP(AL241, 'G-3 Multipliers'!$P$2:$Q$6,2,FALSE))),””)</f>
        <v/>
      </c>
      <c r="AN241" s="266"/>
      <c r="AO241" s="269" t="str">
        <f>IF(AN241="","",IF(VLOOKUP(AN241,'G-3 Multipliers'!$S$3:$T$9,2,FALSE)=0,"Spatial Data Missing",VLOOKUP(AN241,'G-3 Multipliers'!$S$3:$T$9,2,FALSE)))</f>
        <v/>
      </c>
      <c r="AP241" s="207" t="str">
        <f t="shared" si="45"/>
        <v/>
      </c>
      <c r="AQ241" s="336"/>
      <c r="AR241" s="181"/>
    </row>
    <row r="242" spans="1:44" x14ac:dyDescent="0.25">
      <c r="A242" s="35" t="str">
        <f>IF(E242="","",IF(ISNA(VLOOKUP($E242,'D-1 Off Site Habitat Baseline'!$D$1:$O$258,2,FALSE)),"",(VLOOKUP($E242,'D-1 Off Site Habitat Baseline'!$D$1:$O$258,2,FALSE))))</f>
        <v/>
      </c>
      <c r="B242" s="35" t="str">
        <f>IF(E242="","",IF(ISNA(VLOOKUP($E242,'D-1 Off Site Habitat Baseline'!$D$1:$O$258,3,FALSE)),"",(VLOOKUP($E242,'D-1 Off Site Habitat Baseline'!$D$1:$O$258,3,FALSE))))</f>
        <v/>
      </c>
      <c r="C242" s="35" t="str">
        <f>IFERROR(INDEX('G-8 Condition Look up'!$I$4:$I$131,MATCH(S242,'G-8 Condition Look up'!$A$4:$A$131,0)),"")</f>
        <v/>
      </c>
      <c r="E242" s="329" t="str">
        <f>'D-1 Off Site Habitat Baseline'!AL241</f>
        <v/>
      </c>
      <c r="F242" s="175" t="str">
        <f>IF(E242="","",IF(ISNA(VLOOKUP($E242,'D-1 Off Site Habitat Baseline'!$D$1:$O$258,4,FALSE)),"",(VLOOKUP($E242,'D-1 Off Site Habitat Baseline'!$D$1:$O$258,4,FALSE))))</f>
        <v/>
      </c>
      <c r="G242" s="175" t="str">
        <f>IF(E242="","",IF(ISNA(VLOOKUP($E242,'D-1 Off Site Habitat Baseline'!$D$1:$O$258,5,FALSE)),"",(VLOOKUP($E242,'D-1 Off Site Habitat Baseline'!$D$1:$O$258,5,FALSE))))</f>
        <v/>
      </c>
      <c r="H242" s="175" t="str">
        <f>IF(E242="","",IF(ISNA(VLOOKUP($E242,'D-1 Off Site Habitat Baseline'!$D$1:$O$258,6,FALSE)),"",(VLOOKUP($E242,'D-1 Off Site Habitat Baseline'!$D$1:$O$258,6,FALSE))))</f>
        <v/>
      </c>
      <c r="I242" s="175" t="str">
        <f>IF(E242="","",IF(ISNA(VLOOKUP($E242,'D-1 Off Site Habitat Baseline'!$D$1:$O$258,7,FALSE)),"",(VLOOKUP($E242,'D-1 Off Site Habitat Baseline'!$D$1:$O$258,7,FALSE))))</f>
        <v/>
      </c>
      <c r="J242" s="175" t="str">
        <f>IF(E242="","",IF(ISNA(VLOOKUP($E242,'D-1 Off Site Habitat Baseline'!$D$1:$O$258,8,FALSE)),"",(VLOOKUP($E242,'D-1 Off Site Habitat Baseline'!$D$1:$O$258,8,FALSE))))</f>
        <v/>
      </c>
      <c r="K242" s="175" t="str">
        <f>IF(E242="","",IF(ISNA(VLOOKUP($E242,'D-1 Off Site Habitat Baseline'!$D$1:$O$258,9,FALSE)),"",(VLOOKUP($E242,'D-1 Off Site Habitat Baseline'!$D$1:$O$258,9,FALSE))))</f>
        <v/>
      </c>
      <c r="L242" s="175" t="str">
        <f>IF(E242="","",IF(ISNA(VLOOKUP($E242,'D-1 Off Site Habitat Baseline'!$D$1:$O$258,11,FALSE)),"",(VLOOKUP($E242,'D-1 Off Site Habitat Baseline'!$D$1:$O$258,11,FALSE))))</f>
        <v/>
      </c>
      <c r="M242" s="175" t="str">
        <f>IF(E242="","",IF(ISNA(VLOOKUP($E242,'D-1 Off Site Habitat Baseline'!$D$1:$O$258,12,FALSE)),"",(VLOOKUP($E242,'D-1 Off Site Habitat Baseline'!$D$1:$O$258,12,FALSE))))</f>
        <v/>
      </c>
      <c r="N242" s="175" t="str">
        <f>IF(E242="","",IF(ISNA(VLOOKUP($E242,'D-1 Off Site Habitat Baseline'!$D$1:$X$258,14,FALSE)),"",(VLOOKUP($E242,'D-1 Off Site Habitat Baseline'!$D$1:$X$258,14,FALSE))))</f>
        <v/>
      </c>
      <c r="O242" s="176" t="str">
        <f>IF(E242="","",IF(ISNA(VLOOKUP($E242,'D-1 Off Site Habitat Baseline'!$D$1:$X$258,13,FALSE)),"",(VLOOKUP($E242,'D-1 Off Site Habitat Baseline'!$D$1:$X$258,13,FALSE))))</f>
        <v/>
      </c>
      <c r="P242" s="337" t="str">
        <f>IFERROR(INDEX('G-1 All Habitats'!$AG$3:$AG$15,MATCH(Q242,'G-1 All Habitats'!$AF$3:$AF$15,0)),"")</f>
        <v/>
      </c>
      <c r="Q242" s="331" t="str">
        <f t="shared" si="46"/>
        <v/>
      </c>
      <c r="R242" s="332" t="str">
        <f t="shared" si="47"/>
        <v/>
      </c>
      <c r="S242" s="338" t="str">
        <f>IFERROR(INDEX('G-1 All Habitats'!$B$3:$B$130,MATCH(R242,'G-1 All Habitats'!$A$3:$A$130,0)),"")</f>
        <v/>
      </c>
      <c r="T242" s="179" t="str">
        <f t="shared" si="39"/>
        <v/>
      </c>
      <c r="U242" s="172" t="str">
        <f t="shared" si="40"/>
        <v/>
      </c>
      <c r="V242" s="334" t="str">
        <f t="shared" si="37"/>
        <v/>
      </c>
      <c r="W242" s="175" t="str">
        <f>IF(S242="","",VLOOKUP(S242,'G-1 All Habitats'!$B$2:$M$130,10,FALSE))</f>
        <v/>
      </c>
      <c r="X242" s="175" t="str">
        <f>IFERROR(VLOOKUP(W242,'G-1 All Habitats'!$V$3:$W$7,2,FALSE),"")</f>
        <v/>
      </c>
      <c r="Y242" s="275"/>
      <c r="Z242" s="176" t="str">
        <f>IFERROR(INDEX('G-8 Condition Look up'!$A$3:$H$131,MATCH(S242,'G-8 Condition Look up'!$A$3:$A$131,0),MATCH(Y242,'G-8 Condition Look up'!$A$3:$H$3,0)),"")</f>
        <v/>
      </c>
      <c r="AA242" s="173"/>
      <c r="AB242" s="269" t="str">
        <f>IF(AA242="","",IF(VLOOKUP(AA242,'G-3 Multipliers'!$L$3:$N$6,2,FALSE)=0,"Spatial Data Missing",VLOOKUP(AA242,'G-3 Multipliers'!$L$3:$N$6,2,FALSE)))</f>
        <v/>
      </c>
      <c r="AC242" s="176" t="str">
        <f>IF(AA242="","",IF(VLOOKUP(AA242,'G-3 Multipliers'!$L$3:$N$6,3,FALSE)=0,"Spatial Data Missing",VLOOKUP(AA242,'G-3 Multipliers'!$L$3:$N$6,3,FALSE)))</f>
        <v/>
      </c>
      <c r="AD242" s="239" t="str">
        <f t="shared" si="38"/>
        <v/>
      </c>
      <c r="AE242" s="275"/>
      <c r="AF242" s="275"/>
      <c r="AG242" s="175" t="str">
        <f t="shared" si="41"/>
        <v/>
      </c>
      <c r="AH242" s="242" t="str">
        <f t="shared" si="42"/>
        <v/>
      </c>
      <c r="AI242" s="335" t="str">
        <f>IF(AH242="Check Data","Check Data",IFERROR(VLOOKUP(AH242,'G-4 Temporal multipliers'!$A$4:$C$36,3,FALSE),""))</f>
        <v/>
      </c>
      <c r="AJ242" s="239" t="str">
        <f>IF(S242="","",VLOOKUP(S242,'G-3 Multipliers'!$A$2:$E$130,4,FALSE))</f>
        <v/>
      </c>
      <c r="AK242" s="175" t="str">
        <f t="shared" si="43"/>
        <v/>
      </c>
      <c r="AL242" s="175" t="str">
        <f t="shared" si="44"/>
        <v/>
      </c>
      <c r="AM242" s="176" t="str">
        <f>IFERROR(IF(F242="","",IF(AH242="Check Data","Check Data",VLOOKUP(AL242, 'G-3 Multipliers'!$P$2:$Q$6,2,FALSE))),””)</f>
        <v/>
      </c>
      <c r="AN242" s="266"/>
      <c r="AO242" s="269" t="str">
        <f>IF(AN242="","",IF(VLOOKUP(AN242,'G-3 Multipliers'!$S$3:$T$9,2,FALSE)=0,"Spatial Data Missing",VLOOKUP(AN242,'G-3 Multipliers'!$S$3:$T$9,2,FALSE)))</f>
        <v/>
      </c>
      <c r="AP242" s="207" t="str">
        <f t="shared" si="45"/>
        <v/>
      </c>
      <c r="AQ242" s="336"/>
      <c r="AR242" s="181"/>
    </row>
    <row r="243" spans="1:44" x14ac:dyDescent="0.25">
      <c r="A243" s="35" t="str">
        <f>IF(E243="","",IF(ISNA(VLOOKUP($E243,'D-1 Off Site Habitat Baseline'!$D$1:$O$258,2,FALSE)),"",(VLOOKUP($E243,'D-1 Off Site Habitat Baseline'!$D$1:$O$258,2,FALSE))))</f>
        <v/>
      </c>
      <c r="B243" s="35" t="str">
        <f>IF(E243="","",IF(ISNA(VLOOKUP($E243,'D-1 Off Site Habitat Baseline'!$D$1:$O$258,3,FALSE)),"",(VLOOKUP($E243,'D-1 Off Site Habitat Baseline'!$D$1:$O$258,3,FALSE))))</f>
        <v/>
      </c>
      <c r="C243" s="35" t="str">
        <f>IFERROR(INDEX('G-8 Condition Look up'!$I$4:$I$131,MATCH(S243,'G-8 Condition Look up'!$A$4:$A$131,0)),"")</f>
        <v/>
      </c>
      <c r="E243" s="329" t="str">
        <f>'D-1 Off Site Habitat Baseline'!AL242</f>
        <v/>
      </c>
      <c r="F243" s="175" t="str">
        <f>IF(E243="","",IF(ISNA(VLOOKUP($E243,'D-1 Off Site Habitat Baseline'!$D$1:$O$258,4,FALSE)),"",(VLOOKUP($E243,'D-1 Off Site Habitat Baseline'!$D$1:$O$258,4,FALSE))))</f>
        <v/>
      </c>
      <c r="G243" s="175" t="str">
        <f>IF(E243="","",IF(ISNA(VLOOKUP($E243,'D-1 Off Site Habitat Baseline'!$D$1:$O$258,5,FALSE)),"",(VLOOKUP($E243,'D-1 Off Site Habitat Baseline'!$D$1:$O$258,5,FALSE))))</f>
        <v/>
      </c>
      <c r="H243" s="175" t="str">
        <f>IF(E243="","",IF(ISNA(VLOOKUP($E243,'D-1 Off Site Habitat Baseline'!$D$1:$O$258,6,FALSE)),"",(VLOOKUP($E243,'D-1 Off Site Habitat Baseline'!$D$1:$O$258,6,FALSE))))</f>
        <v/>
      </c>
      <c r="I243" s="175" t="str">
        <f>IF(E243="","",IF(ISNA(VLOOKUP($E243,'D-1 Off Site Habitat Baseline'!$D$1:$O$258,7,FALSE)),"",(VLOOKUP($E243,'D-1 Off Site Habitat Baseline'!$D$1:$O$258,7,FALSE))))</f>
        <v/>
      </c>
      <c r="J243" s="175" t="str">
        <f>IF(E243="","",IF(ISNA(VLOOKUP($E243,'D-1 Off Site Habitat Baseline'!$D$1:$O$258,8,FALSE)),"",(VLOOKUP($E243,'D-1 Off Site Habitat Baseline'!$D$1:$O$258,8,FALSE))))</f>
        <v/>
      </c>
      <c r="K243" s="175" t="str">
        <f>IF(E243="","",IF(ISNA(VLOOKUP($E243,'D-1 Off Site Habitat Baseline'!$D$1:$O$258,9,FALSE)),"",(VLOOKUP($E243,'D-1 Off Site Habitat Baseline'!$D$1:$O$258,9,FALSE))))</f>
        <v/>
      </c>
      <c r="L243" s="175" t="str">
        <f>IF(E243="","",IF(ISNA(VLOOKUP($E243,'D-1 Off Site Habitat Baseline'!$D$1:$O$258,11,FALSE)),"",(VLOOKUP($E243,'D-1 Off Site Habitat Baseline'!$D$1:$O$258,11,FALSE))))</f>
        <v/>
      </c>
      <c r="M243" s="175" t="str">
        <f>IF(E243="","",IF(ISNA(VLOOKUP($E243,'D-1 Off Site Habitat Baseline'!$D$1:$O$258,12,FALSE)),"",(VLOOKUP($E243,'D-1 Off Site Habitat Baseline'!$D$1:$O$258,12,FALSE))))</f>
        <v/>
      </c>
      <c r="N243" s="175" t="str">
        <f>IF(E243="","",IF(ISNA(VLOOKUP($E243,'D-1 Off Site Habitat Baseline'!$D$1:$X$258,14,FALSE)),"",(VLOOKUP($E243,'D-1 Off Site Habitat Baseline'!$D$1:$X$258,14,FALSE))))</f>
        <v/>
      </c>
      <c r="O243" s="176" t="str">
        <f>IF(E243="","",IF(ISNA(VLOOKUP($E243,'D-1 Off Site Habitat Baseline'!$D$1:$X$258,13,FALSE)),"",(VLOOKUP($E243,'D-1 Off Site Habitat Baseline'!$D$1:$X$258,13,FALSE))))</f>
        <v/>
      </c>
      <c r="P243" s="337" t="str">
        <f>IFERROR(INDEX('G-1 All Habitats'!$AG$3:$AG$15,MATCH(Q243,'G-1 All Habitats'!$AF$3:$AF$15,0)),"")</f>
        <v/>
      </c>
      <c r="Q243" s="331" t="str">
        <f t="shared" si="46"/>
        <v/>
      </c>
      <c r="R243" s="332" t="str">
        <f t="shared" si="47"/>
        <v/>
      </c>
      <c r="S243" s="338" t="str">
        <f>IFERROR(INDEX('G-1 All Habitats'!$B$3:$B$130,MATCH(R243,'G-1 All Habitats'!$A$3:$A$130,0)),"")</f>
        <v/>
      </c>
      <c r="T243" s="179" t="str">
        <f t="shared" si="39"/>
        <v/>
      </c>
      <c r="U243" s="172" t="str">
        <f t="shared" si="40"/>
        <v/>
      </c>
      <c r="V243" s="334" t="str">
        <f t="shared" si="37"/>
        <v/>
      </c>
      <c r="W243" s="175" t="str">
        <f>IF(S243="","",VLOOKUP(S243,'G-1 All Habitats'!$B$2:$M$130,10,FALSE))</f>
        <v/>
      </c>
      <c r="X243" s="175" t="str">
        <f>IFERROR(VLOOKUP(W243,'G-1 All Habitats'!$V$3:$W$7,2,FALSE),"")</f>
        <v/>
      </c>
      <c r="Y243" s="275"/>
      <c r="Z243" s="176" t="str">
        <f>IFERROR(INDEX('G-8 Condition Look up'!$A$3:$H$131,MATCH(S243,'G-8 Condition Look up'!$A$3:$A$131,0),MATCH(Y243,'G-8 Condition Look up'!$A$3:$H$3,0)),"")</f>
        <v/>
      </c>
      <c r="AA243" s="173"/>
      <c r="AB243" s="269" t="str">
        <f>IF(AA243="","",IF(VLOOKUP(AA243,'G-3 Multipliers'!$L$3:$N$6,2,FALSE)=0,"Spatial Data Missing",VLOOKUP(AA243,'G-3 Multipliers'!$L$3:$N$6,2,FALSE)))</f>
        <v/>
      </c>
      <c r="AC243" s="176" t="str">
        <f>IF(AA243="","",IF(VLOOKUP(AA243,'G-3 Multipliers'!$L$3:$N$6,3,FALSE)=0,"Spatial Data Missing",VLOOKUP(AA243,'G-3 Multipliers'!$L$3:$N$6,3,FALSE)))</f>
        <v/>
      </c>
      <c r="AD243" s="239" t="str">
        <f t="shared" si="38"/>
        <v/>
      </c>
      <c r="AE243" s="275"/>
      <c r="AF243" s="275"/>
      <c r="AG243" s="175" t="str">
        <f t="shared" si="41"/>
        <v/>
      </c>
      <c r="AH243" s="242" t="str">
        <f t="shared" si="42"/>
        <v/>
      </c>
      <c r="AI243" s="335" t="str">
        <f>IF(AH243="Check Data","Check Data",IFERROR(VLOOKUP(AH243,'G-4 Temporal multipliers'!$A$4:$C$36,3,FALSE),""))</f>
        <v/>
      </c>
      <c r="AJ243" s="239" t="str">
        <f>IF(S243="","",VLOOKUP(S243,'G-3 Multipliers'!$A$2:$E$130,4,FALSE))</f>
        <v/>
      </c>
      <c r="AK243" s="175" t="str">
        <f t="shared" si="43"/>
        <v/>
      </c>
      <c r="AL243" s="175" t="str">
        <f t="shared" si="44"/>
        <v/>
      </c>
      <c r="AM243" s="176" t="str">
        <f>IFERROR(IF(F243="","",IF(AH243="Check Data","Check Data",VLOOKUP(AL243, 'G-3 Multipliers'!$P$2:$Q$6,2,FALSE))),””)</f>
        <v/>
      </c>
      <c r="AN243" s="266"/>
      <c r="AO243" s="269" t="str">
        <f>IF(AN243="","",IF(VLOOKUP(AN243,'G-3 Multipliers'!$S$3:$T$9,2,FALSE)=0,"Spatial Data Missing",VLOOKUP(AN243,'G-3 Multipliers'!$S$3:$T$9,2,FALSE)))</f>
        <v/>
      </c>
      <c r="AP243" s="207" t="str">
        <f t="shared" si="45"/>
        <v/>
      </c>
      <c r="AQ243" s="336"/>
      <c r="AR243" s="181"/>
    </row>
    <row r="244" spans="1:44" x14ac:dyDescent="0.25">
      <c r="A244" s="35" t="str">
        <f>IF(E244="","",IF(ISNA(VLOOKUP($E244,'D-1 Off Site Habitat Baseline'!$D$1:$O$258,2,FALSE)),"",(VLOOKUP($E244,'D-1 Off Site Habitat Baseline'!$D$1:$O$258,2,FALSE))))</f>
        <v/>
      </c>
      <c r="B244" s="35" t="str">
        <f>IF(E244="","",IF(ISNA(VLOOKUP($E244,'D-1 Off Site Habitat Baseline'!$D$1:$O$258,3,FALSE)),"",(VLOOKUP($E244,'D-1 Off Site Habitat Baseline'!$D$1:$O$258,3,FALSE))))</f>
        <v/>
      </c>
      <c r="C244" s="35" t="str">
        <f>IFERROR(INDEX('G-8 Condition Look up'!$I$4:$I$131,MATCH(S244,'G-8 Condition Look up'!$A$4:$A$131,0)),"")</f>
        <v/>
      </c>
      <c r="E244" s="329" t="str">
        <f>'D-1 Off Site Habitat Baseline'!AL243</f>
        <v/>
      </c>
      <c r="F244" s="175" t="str">
        <f>IF(E244="","",IF(ISNA(VLOOKUP($E244,'D-1 Off Site Habitat Baseline'!$D$1:$O$258,4,FALSE)),"",(VLOOKUP($E244,'D-1 Off Site Habitat Baseline'!$D$1:$O$258,4,FALSE))))</f>
        <v/>
      </c>
      <c r="G244" s="175" t="str">
        <f>IF(E244="","",IF(ISNA(VLOOKUP($E244,'D-1 Off Site Habitat Baseline'!$D$1:$O$258,5,FALSE)),"",(VLOOKUP($E244,'D-1 Off Site Habitat Baseline'!$D$1:$O$258,5,FALSE))))</f>
        <v/>
      </c>
      <c r="H244" s="175" t="str">
        <f>IF(E244="","",IF(ISNA(VLOOKUP($E244,'D-1 Off Site Habitat Baseline'!$D$1:$O$258,6,FALSE)),"",(VLOOKUP($E244,'D-1 Off Site Habitat Baseline'!$D$1:$O$258,6,FALSE))))</f>
        <v/>
      </c>
      <c r="I244" s="175" t="str">
        <f>IF(E244="","",IF(ISNA(VLOOKUP($E244,'D-1 Off Site Habitat Baseline'!$D$1:$O$258,7,FALSE)),"",(VLOOKUP($E244,'D-1 Off Site Habitat Baseline'!$D$1:$O$258,7,FALSE))))</f>
        <v/>
      </c>
      <c r="J244" s="175" t="str">
        <f>IF(E244="","",IF(ISNA(VLOOKUP($E244,'D-1 Off Site Habitat Baseline'!$D$1:$O$258,8,FALSE)),"",(VLOOKUP($E244,'D-1 Off Site Habitat Baseline'!$D$1:$O$258,8,FALSE))))</f>
        <v/>
      </c>
      <c r="K244" s="175" t="str">
        <f>IF(E244="","",IF(ISNA(VLOOKUP($E244,'D-1 Off Site Habitat Baseline'!$D$1:$O$258,9,FALSE)),"",(VLOOKUP($E244,'D-1 Off Site Habitat Baseline'!$D$1:$O$258,9,FALSE))))</f>
        <v/>
      </c>
      <c r="L244" s="175" t="str">
        <f>IF(E244="","",IF(ISNA(VLOOKUP($E244,'D-1 Off Site Habitat Baseline'!$D$1:$O$258,11,FALSE)),"",(VLOOKUP($E244,'D-1 Off Site Habitat Baseline'!$D$1:$O$258,11,FALSE))))</f>
        <v/>
      </c>
      <c r="M244" s="175" t="str">
        <f>IF(E244="","",IF(ISNA(VLOOKUP($E244,'D-1 Off Site Habitat Baseline'!$D$1:$O$258,12,FALSE)),"",(VLOOKUP($E244,'D-1 Off Site Habitat Baseline'!$D$1:$O$258,12,FALSE))))</f>
        <v/>
      </c>
      <c r="N244" s="175" t="str">
        <f>IF(E244="","",IF(ISNA(VLOOKUP($E244,'D-1 Off Site Habitat Baseline'!$D$1:$X$258,14,FALSE)),"",(VLOOKUP($E244,'D-1 Off Site Habitat Baseline'!$D$1:$X$258,14,FALSE))))</f>
        <v/>
      </c>
      <c r="O244" s="176" t="str">
        <f>IF(E244="","",IF(ISNA(VLOOKUP($E244,'D-1 Off Site Habitat Baseline'!$D$1:$X$258,13,FALSE)),"",(VLOOKUP($E244,'D-1 Off Site Habitat Baseline'!$D$1:$X$258,13,FALSE))))</f>
        <v/>
      </c>
      <c r="P244" s="337" t="str">
        <f>IFERROR(INDEX('G-1 All Habitats'!$AG$3:$AG$15,MATCH(Q244,'G-1 All Habitats'!$AF$3:$AF$15,0)),"")</f>
        <v/>
      </c>
      <c r="Q244" s="331" t="str">
        <f t="shared" si="46"/>
        <v/>
      </c>
      <c r="R244" s="332" t="str">
        <f t="shared" si="47"/>
        <v/>
      </c>
      <c r="S244" s="338" t="str">
        <f>IFERROR(INDEX('G-1 All Habitats'!$B$3:$B$130,MATCH(R244,'G-1 All Habitats'!$A$3:$A$130,0)),"")</f>
        <v/>
      </c>
      <c r="T244" s="179" t="str">
        <f t="shared" si="39"/>
        <v/>
      </c>
      <c r="U244" s="172" t="str">
        <f t="shared" si="40"/>
        <v/>
      </c>
      <c r="V244" s="334" t="str">
        <f t="shared" si="37"/>
        <v/>
      </c>
      <c r="W244" s="175" t="str">
        <f>IF(S244="","",VLOOKUP(S244,'G-1 All Habitats'!$B$2:$M$130,10,FALSE))</f>
        <v/>
      </c>
      <c r="X244" s="175" t="str">
        <f>IFERROR(VLOOKUP(W244,'G-1 All Habitats'!$V$3:$W$7,2,FALSE),"")</f>
        <v/>
      </c>
      <c r="Y244" s="275"/>
      <c r="Z244" s="176" t="str">
        <f>IFERROR(INDEX('G-8 Condition Look up'!$A$3:$H$131,MATCH(S244,'G-8 Condition Look up'!$A$3:$A$131,0),MATCH(Y244,'G-8 Condition Look up'!$A$3:$H$3,0)),"")</f>
        <v/>
      </c>
      <c r="AA244" s="173"/>
      <c r="AB244" s="269" t="str">
        <f>IF(AA244="","",IF(VLOOKUP(AA244,'G-3 Multipliers'!$L$3:$N$6,2,FALSE)=0,"Spatial Data Missing",VLOOKUP(AA244,'G-3 Multipliers'!$L$3:$N$6,2,FALSE)))</f>
        <v/>
      </c>
      <c r="AC244" s="176" t="str">
        <f>IF(AA244="","",IF(VLOOKUP(AA244,'G-3 Multipliers'!$L$3:$N$6,3,FALSE)=0,"Spatial Data Missing",VLOOKUP(AA244,'G-3 Multipliers'!$L$3:$N$6,3,FALSE)))</f>
        <v/>
      </c>
      <c r="AD244" s="239" t="str">
        <f t="shared" si="38"/>
        <v/>
      </c>
      <c r="AE244" s="275"/>
      <c r="AF244" s="275"/>
      <c r="AG244" s="175" t="str">
        <f t="shared" si="41"/>
        <v/>
      </c>
      <c r="AH244" s="242" t="str">
        <f t="shared" si="42"/>
        <v/>
      </c>
      <c r="AI244" s="335" t="str">
        <f>IF(AH244="Check Data","Check Data",IFERROR(VLOOKUP(AH244,'G-4 Temporal multipliers'!$A$4:$C$36,3,FALSE),""))</f>
        <v/>
      </c>
      <c r="AJ244" s="239" t="str">
        <f>IF(S244="","",VLOOKUP(S244,'G-3 Multipliers'!$A$2:$E$130,4,FALSE))</f>
        <v/>
      </c>
      <c r="AK244" s="175" t="str">
        <f t="shared" si="43"/>
        <v/>
      </c>
      <c r="AL244" s="175" t="str">
        <f t="shared" si="44"/>
        <v/>
      </c>
      <c r="AM244" s="176" t="str">
        <f>IFERROR(IF(F244="","",IF(AH244="Check Data","Check Data",VLOOKUP(AL244, 'G-3 Multipliers'!$P$2:$Q$6,2,FALSE))),””)</f>
        <v/>
      </c>
      <c r="AN244" s="266"/>
      <c r="AO244" s="269" t="str">
        <f>IF(AN244="","",IF(VLOOKUP(AN244,'G-3 Multipliers'!$S$3:$T$9,2,FALSE)=0,"Spatial Data Missing",VLOOKUP(AN244,'G-3 Multipliers'!$S$3:$T$9,2,FALSE)))</f>
        <v/>
      </c>
      <c r="AP244" s="207" t="str">
        <f t="shared" si="45"/>
        <v/>
      </c>
      <c r="AQ244" s="336"/>
      <c r="AR244" s="181"/>
    </row>
    <row r="245" spans="1:44" x14ac:dyDescent="0.25">
      <c r="A245" s="35" t="str">
        <f>IF(E245="","",IF(ISNA(VLOOKUP($E245,'D-1 Off Site Habitat Baseline'!$D$1:$O$258,2,FALSE)),"",(VLOOKUP($E245,'D-1 Off Site Habitat Baseline'!$D$1:$O$258,2,FALSE))))</f>
        <v/>
      </c>
      <c r="B245" s="35" t="str">
        <f>IF(E245="","",IF(ISNA(VLOOKUP($E245,'D-1 Off Site Habitat Baseline'!$D$1:$O$258,3,FALSE)),"",(VLOOKUP($E245,'D-1 Off Site Habitat Baseline'!$D$1:$O$258,3,FALSE))))</f>
        <v/>
      </c>
      <c r="C245" s="35" t="str">
        <f>IFERROR(INDEX('G-8 Condition Look up'!$I$4:$I$131,MATCH(S245,'G-8 Condition Look up'!$A$4:$A$131,0)),"")</f>
        <v/>
      </c>
      <c r="E245" s="329" t="str">
        <f>'D-1 Off Site Habitat Baseline'!AL244</f>
        <v/>
      </c>
      <c r="F245" s="175" t="str">
        <f>IF(E245="","",IF(ISNA(VLOOKUP($E245,'D-1 Off Site Habitat Baseline'!$D$1:$O$258,4,FALSE)),"",(VLOOKUP($E245,'D-1 Off Site Habitat Baseline'!$D$1:$O$258,4,FALSE))))</f>
        <v/>
      </c>
      <c r="G245" s="175" t="str">
        <f>IF(E245="","",IF(ISNA(VLOOKUP($E245,'D-1 Off Site Habitat Baseline'!$D$1:$O$258,5,FALSE)),"",(VLOOKUP($E245,'D-1 Off Site Habitat Baseline'!$D$1:$O$258,5,FALSE))))</f>
        <v/>
      </c>
      <c r="H245" s="175" t="str">
        <f>IF(E245="","",IF(ISNA(VLOOKUP($E245,'D-1 Off Site Habitat Baseline'!$D$1:$O$258,6,FALSE)),"",(VLOOKUP($E245,'D-1 Off Site Habitat Baseline'!$D$1:$O$258,6,FALSE))))</f>
        <v/>
      </c>
      <c r="I245" s="175" t="str">
        <f>IF(E245="","",IF(ISNA(VLOOKUP($E245,'D-1 Off Site Habitat Baseline'!$D$1:$O$258,7,FALSE)),"",(VLOOKUP($E245,'D-1 Off Site Habitat Baseline'!$D$1:$O$258,7,FALSE))))</f>
        <v/>
      </c>
      <c r="J245" s="175" t="str">
        <f>IF(E245="","",IF(ISNA(VLOOKUP($E245,'D-1 Off Site Habitat Baseline'!$D$1:$O$258,8,FALSE)),"",(VLOOKUP($E245,'D-1 Off Site Habitat Baseline'!$D$1:$O$258,8,FALSE))))</f>
        <v/>
      </c>
      <c r="K245" s="175" t="str">
        <f>IF(E245="","",IF(ISNA(VLOOKUP($E245,'D-1 Off Site Habitat Baseline'!$D$1:$O$258,9,FALSE)),"",(VLOOKUP($E245,'D-1 Off Site Habitat Baseline'!$D$1:$O$258,9,FALSE))))</f>
        <v/>
      </c>
      <c r="L245" s="175" t="str">
        <f>IF(E245="","",IF(ISNA(VLOOKUP($E245,'D-1 Off Site Habitat Baseline'!$D$1:$O$258,11,FALSE)),"",(VLOOKUP($E245,'D-1 Off Site Habitat Baseline'!$D$1:$O$258,11,FALSE))))</f>
        <v/>
      </c>
      <c r="M245" s="175" t="str">
        <f>IF(E245="","",IF(ISNA(VLOOKUP($E245,'D-1 Off Site Habitat Baseline'!$D$1:$O$258,12,FALSE)),"",(VLOOKUP($E245,'D-1 Off Site Habitat Baseline'!$D$1:$O$258,12,FALSE))))</f>
        <v/>
      </c>
      <c r="N245" s="175" t="str">
        <f>IF(E245="","",IF(ISNA(VLOOKUP($E245,'D-1 Off Site Habitat Baseline'!$D$1:$X$258,14,FALSE)),"",(VLOOKUP($E245,'D-1 Off Site Habitat Baseline'!$D$1:$X$258,14,FALSE))))</f>
        <v/>
      </c>
      <c r="O245" s="176" t="str">
        <f>IF(E245="","",IF(ISNA(VLOOKUP($E245,'D-1 Off Site Habitat Baseline'!$D$1:$X$258,13,FALSE)),"",(VLOOKUP($E245,'D-1 Off Site Habitat Baseline'!$D$1:$X$258,13,FALSE))))</f>
        <v/>
      </c>
      <c r="P245" s="337" t="str">
        <f>IFERROR(INDEX('G-1 All Habitats'!$AG$3:$AG$15,MATCH(Q245,'G-1 All Habitats'!$AF$3:$AF$15,0)),"")</f>
        <v/>
      </c>
      <c r="Q245" s="331" t="str">
        <f t="shared" si="46"/>
        <v/>
      </c>
      <c r="R245" s="332" t="str">
        <f t="shared" si="47"/>
        <v/>
      </c>
      <c r="S245" s="338" t="str">
        <f>IFERROR(INDEX('G-1 All Habitats'!$B$3:$B$130,MATCH(R245,'G-1 All Habitats'!$A$3:$A$130,0)),"")</f>
        <v/>
      </c>
      <c r="T245" s="179" t="str">
        <f t="shared" si="39"/>
        <v/>
      </c>
      <c r="U245" s="172" t="str">
        <f t="shared" si="40"/>
        <v/>
      </c>
      <c r="V245" s="334" t="str">
        <f t="shared" si="37"/>
        <v/>
      </c>
      <c r="W245" s="175" t="str">
        <f>IF(S245="","",VLOOKUP(S245,'G-1 All Habitats'!$B$2:$M$130,10,FALSE))</f>
        <v/>
      </c>
      <c r="X245" s="175" t="str">
        <f>IFERROR(VLOOKUP(W245,'G-1 All Habitats'!$V$3:$W$7,2,FALSE),"")</f>
        <v/>
      </c>
      <c r="Y245" s="275"/>
      <c r="Z245" s="176" t="str">
        <f>IFERROR(INDEX('G-8 Condition Look up'!$A$3:$H$131,MATCH(S245,'G-8 Condition Look up'!$A$3:$A$131,0),MATCH(Y245,'G-8 Condition Look up'!$A$3:$H$3,0)),"")</f>
        <v/>
      </c>
      <c r="AA245" s="173"/>
      <c r="AB245" s="269" t="str">
        <f>IF(AA245="","",IF(VLOOKUP(AA245,'G-3 Multipliers'!$L$3:$N$6,2,FALSE)=0,"Spatial Data Missing",VLOOKUP(AA245,'G-3 Multipliers'!$L$3:$N$6,2,FALSE)))</f>
        <v/>
      </c>
      <c r="AC245" s="176" t="str">
        <f>IF(AA245="","",IF(VLOOKUP(AA245,'G-3 Multipliers'!$L$3:$N$6,3,FALSE)=0,"Spatial Data Missing",VLOOKUP(AA245,'G-3 Multipliers'!$L$3:$N$6,3,FALSE)))</f>
        <v/>
      </c>
      <c r="AD245" s="239" t="str">
        <f t="shared" si="38"/>
        <v/>
      </c>
      <c r="AE245" s="275"/>
      <c r="AF245" s="275"/>
      <c r="AG245" s="175" t="str">
        <f t="shared" si="41"/>
        <v/>
      </c>
      <c r="AH245" s="242" t="str">
        <f t="shared" si="42"/>
        <v/>
      </c>
      <c r="AI245" s="335" t="str">
        <f>IF(AH245="Check Data","Check Data",IFERROR(VLOOKUP(AH245,'G-4 Temporal multipliers'!$A$4:$C$36,3,FALSE),""))</f>
        <v/>
      </c>
      <c r="AJ245" s="239" t="str">
        <f>IF(S245="","",VLOOKUP(S245,'G-3 Multipliers'!$A$2:$E$130,4,FALSE))</f>
        <v/>
      </c>
      <c r="AK245" s="175" t="str">
        <f t="shared" si="43"/>
        <v/>
      </c>
      <c r="AL245" s="175" t="str">
        <f t="shared" si="44"/>
        <v/>
      </c>
      <c r="AM245" s="176" t="str">
        <f>IFERROR(IF(F245="","",IF(AH245="Check Data","Check Data",VLOOKUP(AL245, 'G-3 Multipliers'!$P$2:$Q$6,2,FALSE))),””)</f>
        <v/>
      </c>
      <c r="AN245" s="266"/>
      <c r="AO245" s="269" t="str">
        <f>IF(AN245="","",IF(VLOOKUP(AN245,'G-3 Multipliers'!$S$3:$T$9,2,FALSE)=0,"Spatial Data Missing",VLOOKUP(AN245,'G-3 Multipliers'!$S$3:$T$9,2,FALSE)))</f>
        <v/>
      </c>
      <c r="AP245" s="207" t="str">
        <f t="shared" si="45"/>
        <v/>
      </c>
      <c r="AQ245" s="336"/>
      <c r="AR245" s="181"/>
    </row>
    <row r="246" spans="1:44" x14ac:dyDescent="0.25">
      <c r="A246" s="35" t="str">
        <f>IF(E246="","",IF(ISNA(VLOOKUP($E246,'D-1 Off Site Habitat Baseline'!$D$1:$O$258,2,FALSE)),"",(VLOOKUP($E246,'D-1 Off Site Habitat Baseline'!$D$1:$O$258,2,FALSE))))</f>
        <v/>
      </c>
      <c r="B246" s="35" t="str">
        <f>IF(E246="","",IF(ISNA(VLOOKUP($E246,'D-1 Off Site Habitat Baseline'!$D$1:$O$258,3,FALSE)),"",(VLOOKUP($E246,'D-1 Off Site Habitat Baseline'!$D$1:$O$258,3,FALSE))))</f>
        <v/>
      </c>
      <c r="C246" s="35" t="str">
        <f>IFERROR(INDEX('G-8 Condition Look up'!$I$4:$I$131,MATCH(S246,'G-8 Condition Look up'!$A$4:$A$131,0)),"")</f>
        <v/>
      </c>
      <c r="E246" s="329" t="str">
        <f>'D-1 Off Site Habitat Baseline'!AL245</f>
        <v/>
      </c>
      <c r="F246" s="175" t="str">
        <f>IF(E246="","",IF(ISNA(VLOOKUP($E246,'D-1 Off Site Habitat Baseline'!$D$1:$O$258,4,FALSE)),"",(VLOOKUP($E246,'D-1 Off Site Habitat Baseline'!$D$1:$O$258,4,FALSE))))</f>
        <v/>
      </c>
      <c r="G246" s="175" t="str">
        <f>IF(E246="","",IF(ISNA(VLOOKUP($E246,'D-1 Off Site Habitat Baseline'!$D$1:$O$258,5,FALSE)),"",(VLOOKUP($E246,'D-1 Off Site Habitat Baseline'!$D$1:$O$258,5,FALSE))))</f>
        <v/>
      </c>
      <c r="H246" s="175" t="str">
        <f>IF(E246="","",IF(ISNA(VLOOKUP($E246,'D-1 Off Site Habitat Baseline'!$D$1:$O$258,6,FALSE)),"",(VLOOKUP($E246,'D-1 Off Site Habitat Baseline'!$D$1:$O$258,6,FALSE))))</f>
        <v/>
      </c>
      <c r="I246" s="175" t="str">
        <f>IF(E246="","",IF(ISNA(VLOOKUP($E246,'D-1 Off Site Habitat Baseline'!$D$1:$O$258,7,FALSE)),"",(VLOOKUP($E246,'D-1 Off Site Habitat Baseline'!$D$1:$O$258,7,FALSE))))</f>
        <v/>
      </c>
      <c r="J246" s="175" t="str">
        <f>IF(E246="","",IF(ISNA(VLOOKUP($E246,'D-1 Off Site Habitat Baseline'!$D$1:$O$258,8,FALSE)),"",(VLOOKUP($E246,'D-1 Off Site Habitat Baseline'!$D$1:$O$258,8,FALSE))))</f>
        <v/>
      </c>
      <c r="K246" s="175" t="str">
        <f>IF(E246="","",IF(ISNA(VLOOKUP($E246,'D-1 Off Site Habitat Baseline'!$D$1:$O$258,9,FALSE)),"",(VLOOKUP($E246,'D-1 Off Site Habitat Baseline'!$D$1:$O$258,9,FALSE))))</f>
        <v/>
      </c>
      <c r="L246" s="175" t="str">
        <f>IF(E246="","",IF(ISNA(VLOOKUP($E246,'D-1 Off Site Habitat Baseline'!$D$1:$O$258,11,FALSE)),"",(VLOOKUP($E246,'D-1 Off Site Habitat Baseline'!$D$1:$O$258,11,FALSE))))</f>
        <v/>
      </c>
      <c r="M246" s="175" t="str">
        <f>IF(E246="","",IF(ISNA(VLOOKUP($E246,'D-1 Off Site Habitat Baseline'!$D$1:$O$258,12,FALSE)),"",(VLOOKUP($E246,'D-1 Off Site Habitat Baseline'!$D$1:$O$258,12,FALSE))))</f>
        <v/>
      </c>
      <c r="N246" s="175" t="str">
        <f>IF(E246="","",IF(ISNA(VLOOKUP($E246,'D-1 Off Site Habitat Baseline'!$D$1:$X$258,14,FALSE)),"",(VLOOKUP($E246,'D-1 Off Site Habitat Baseline'!$D$1:$X$258,14,FALSE))))</f>
        <v/>
      </c>
      <c r="O246" s="176" t="str">
        <f>IF(E246="","",IF(ISNA(VLOOKUP($E246,'D-1 Off Site Habitat Baseline'!$D$1:$X$258,13,FALSE)),"",(VLOOKUP($E246,'D-1 Off Site Habitat Baseline'!$D$1:$X$258,13,FALSE))))</f>
        <v/>
      </c>
      <c r="P246" s="337" t="str">
        <f>IFERROR(INDEX('G-1 All Habitats'!$AG$3:$AG$15,MATCH(Q246,'G-1 All Habitats'!$AF$3:$AF$15,0)),"")</f>
        <v/>
      </c>
      <c r="Q246" s="331" t="str">
        <f t="shared" si="46"/>
        <v/>
      </c>
      <c r="R246" s="332" t="str">
        <f t="shared" si="47"/>
        <v/>
      </c>
      <c r="S246" s="338" t="str">
        <f>IFERROR(INDEX('G-1 All Habitats'!$B$3:$B$130,MATCH(R246,'G-1 All Habitats'!$A$3:$A$130,0)),"")</f>
        <v/>
      </c>
      <c r="T246" s="179" t="str">
        <f t="shared" si="39"/>
        <v/>
      </c>
      <c r="U246" s="172" t="str">
        <f t="shared" si="40"/>
        <v/>
      </c>
      <c r="V246" s="334" t="str">
        <f t="shared" si="37"/>
        <v/>
      </c>
      <c r="W246" s="175" t="str">
        <f>IF(S246="","",VLOOKUP(S246,'G-1 All Habitats'!$B$2:$M$130,10,FALSE))</f>
        <v/>
      </c>
      <c r="X246" s="175" t="str">
        <f>IFERROR(VLOOKUP(W246,'G-1 All Habitats'!$V$3:$W$7,2,FALSE),"")</f>
        <v/>
      </c>
      <c r="Y246" s="275"/>
      <c r="Z246" s="176" t="str">
        <f>IFERROR(INDEX('G-8 Condition Look up'!$A$3:$H$131,MATCH(S246,'G-8 Condition Look up'!$A$3:$A$131,0),MATCH(Y246,'G-8 Condition Look up'!$A$3:$H$3,0)),"")</f>
        <v/>
      </c>
      <c r="AA246" s="173"/>
      <c r="AB246" s="269" t="str">
        <f>IF(AA246="","",IF(VLOOKUP(AA246,'G-3 Multipliers'!$L$3:$N$6,2,FALSE)=0,"Spatial Data Missing",VLOOKUP(AA246,'G-3 Multipliers'!$L$3:$N$6,2,FALSE)))</f>
        <v/>
      </c>
      <c r="AC246" s="176" t="str">
        <f>IF(AA246="","",IF(VLOOKUP(AA246,'G-3 Multipliers'!$L$3:$N$6,3,FALSE)=0,"Spatial Data Missing",VLOOKUP(AA246,'G-3 Multipliers'!$L$3:$N$6,3,FALSE)))</f>
        <v/>
      </c>
      <c r="AD246" s="239" t="str">
        <f t="shared" si="38"/>
        <v/>
      </c>
      <c r="AE246" s="275"/>
      <c r="AF246" s="275"/>
      <c r="AG246" s="175" t="str">
        <f t="shared" si="41"/>
        <v/>
      </c>
      <c r="AH246" s="242" t="str">
        <f t="shared" si="42"/>
        <v/>
      </c>
      <c r="AI246" s="335" t="str">
        <f>IF(AH246="Check Data","Check Data",IFERROR(VLOOKUP(AH246,'G-4 Temporal multipliers'!$A$4:$C$36,3,FALSE),""))</f>
        <v/>
      </c>
      <c r="AJ246" s="239" t="str">
        <f>IF(S246="","",VLOOKUP(S246,'G-3 Multipliers'!$A$2:$E$130,4,FALSE))</f>
        <v/>
      </c>
      <c r="AK246" s="175" t="str">
        <f t="shared" si="43"/>
        <v/>
      </c>
      <c r="AL246" s="175" t="str">
        <f t="shared" si="44"/>
        <v/>
      </c>
      <c r="AM246" s="176" t="str">
        <f>IFERROR(IF(F246="","",IF(AH246="Check Data","Check Data",VLOOKUP(AL246, 'G-3 Multipliers'!$P$2:$Q$6,2,FALSE))),””)</f>
        <v/>
      </c>
      <c r="AN246" s="266"/>
      <c r="AO246" s="269" t="str">
        <f>IF(AN246="","",IF(VLOOKUP(AN246,'G-3 Multipliers'!$S$3:$T$9,2,FALSE)=0,"Spatial Data Missing",VLOOKUP(AN246,'G-3 Multipliers'!$S$3:$T$9,2,FALSE)))</f>
        <v/>
      </c>
      <c r="AP246" s="207" t="str">
        <f t="shared" si="45"/>
        <v/>
      </c>
      <c r="AQ246" s="336"/>
      <c r="AR246" s="181"/>
    </row>
    <row r="247" spans="1:44" x14ac:dyDescent="0.25">
      <c r="A247" s="35" t="str">
        <f>IF(E247="","",IF(ISNA(VLOOKUP($E247,'D-1 Off Site Habitat Baseline'!$D$1:$O$258,2,FALSE)),"",(VLOOKUP($E247,'D-1 Off Site Habitat Baseline'!$D$1:$O$258,2,FALSE))))</f>
        <v/>
      </c>
      <c r="B247" s="35" t="str">
        <f>IF(E247="","",IF(ISNA(VLOOKUP($E247,'D-1 Off Site Habitat Baseline'!$D$1:$O$258,3,FALSE)),"",(VLOOKUP($E247,'D-1 Off Site Habitat Baseline'!$D$1:$O$258,3,FALSE))))</f>
        <v/>
      </c>
      <c r="C247" s="35" t="str">
        <f>IFERROR(INDEX('G-8 Condition Look up'!$I$4:$I$131,MATCH(S247,'G-8 Condition Look up'!$A$4:$A$131,0)),"")</f>
        <v/>
      </c>
      <c r="E247" s="329" t="str">
        <f>'D-1 Off Site Habitat Baseline'!AL246</f>
        <v/>
      </c>
      <c r="F247" s="175" t="str">
        <f>IF(E247="","",IF(ISNA(VLOOKUP($E247,'D-1 Off Site Habitat Baseline'!$D$1:$O$258,4,FALSE)),"",(VLOOKUP($E247,'D-1 Off Site Habitat Baseline'!$D$1:$O$258,4,FALSE))))</f>
        <v/>
      </c>
      <c r="G247" s="175" t="str">
        <f>IF(E247="","",IF(ISNA(VLOOKUP($E247,'D-1 Off Site Habitat Baseline'!$D$1:$O$258,5,FALSE)),"",(VLOOKUP($E247,'D-1 Off Site Habitat Baseline'!$D$1:$O$258,5,FALSE))))</f>
        <v/>
      </c>
      <c r="H247" s="175" t="str">
        <f>IF(E247="","",IF(ISNA(VLOOKUP($E247,'D-1 Off Site Habitat Baseline'!$D$1:$O$258,6,FALSE)),"",(VLOOKUP($E247,'D-1 Off Site Habitat Baseline'!$D$1:$O$258,6,FALSE))))</f>
        <v/>
      </c>
      <c r="I247" s="175" t="str">
        <f>IF(E247="","",IF(ISNA(VLOOKUP($E247,'D-1 Off Site Habitat Baseline'!$D$1:$O$258,7,FALSE)),"",(VLOOKUP($E247,'D-1 Off Site Habitat Baseline'!$D$1:$O$258,7,FALSE))))</f>
        <v/>
      </c>
      <c r="J247" s="175" t="str">
        <f>IF(E247="","",IF(ISNA(VLOOKUP($E247,'D-1 Off Site Habitat Baseline'!$D$1:$O$258,8,FALSE)),"",(VLOOKUP($E247,'D-1 Off Site Habitat Baseline'!$D$1:$O$258,8,FALSE))))</f>
        <v/>
      </c>
      <c r="K247" s="175" t="str">
        <f>IF(E247="","",IF(ISNA(VLOOKUP($E247,'D-1 Off Site Habitat Baseline'!$D$1:$O$258,9,FALSE)),"",(VLOOKUP($E247,'D-1 Off Site Habitat Baseline'!$D$1:$O$258,9,FALSE))))</f>
        <v/>
      </c>
      <c r="L247" s="175" t="str">
        <f>IF(E247="","",IF(ISNA(VLOOKUP($E247,'D-1 Off Site Habitat Baseline'!$D$1:$O$258,11,FALSE)),"",(VLOOKUP($E247,'D-1 Off Site Habitat Baseline'!$D$1:$O$258,11,FALSE))))</f>
        <v/>
      </c>
      <c r="M247" s="175" t="str">
        <f>IF(E247="","",IF(ISNA(VLOOKUP($E247,'D-1 Off Site Habitat Baseline'!$D$1:$O$258,12,FALSE)),"",(VLOOKUP($E247,'D-1 Off Site Habitat Baseline'!$D$1:$O$258,12,FALSE))))</f>
        <v/>
      </c>
      <c r="N247" s="175" t="str">
        <f>IF(E247="","",IF(ISNA(VLOOKUP($E247,'D-1 Off Site Habitat Baseline'!$D$1:$X$258,14,FALSE)),"",(VLOOKUP($E247,'D-1 Off Site Habitat Baseline'!$D$1:$X$258,14,FALSE))))</f>
        <v/>
      </c>
      <c r="O247" s="176" t="str">
        <f>IF(E247="","",IF(ISNA(VLOOKUP($E247,'D-1 Off Site Habitat Baseline'!$D$1:$X$258,13,FALSE)),"",(VLOOKUP($E247,'D-1 Off Site Habitat Baseline'!$D$1:$X$258,13,FALSE))))</f>
        <v/>
      </c>
      <c r="P247" s="337" t="str">
        <f>IFERROR(INDEX('G-1 All Habitats'!$AG$3:$AG$15,MATCH(Q247,'G-1 All Habitats'!$AF$3:$AF$15,0)),"")</f>
        <v/>
      </c>
      <c r="Q247" s="331" t="str">
        <f t="shared" si="46"/>
        <v/>
      </c>
      <c r="R247" s="332" t="str">
        <f t="shared" si="47"/>
        <v/>
      </c>
      <c r="S247" s="338" t="str">
        <f>IFERROR(INDEX('G-1 All Habitats'!$B$3:$B$130,MATCH(R247,'G-1 All Habitats'!$A$3:$A$130,0)),"")</f>
        <v/>
      </c>
      <c r="T247" s="179" t="str">
        <f t="shared" si="39"/>
        <v/>
      </c>
      <c r="U247" s="172" t="str">
        <f t="shared" si="40"/>
        <v/>
      </c>
      <c r="V247" s="334" t="str">
        <f t="shared" si="37"/>
        <v/>
      </c>
      <c r="W247" s="175" t="str">
        <f>IF(S247="","",VLOOKUP(S247,'G-1 All Habitats'!$B$2:$M$130,10,FALSE))</f>
        <v/>
      </c>
      <c r="X247" s="175" t="str">
        <f>IFERROR(VLOOKUP(W247,'G-1 All Habitats'!$V$3:$W$7,2,FALSE),"")</f>
        <v/>
      </c>
      <c r="Y247" s="275"/>
      <c r="Z247" s="176" t="str">
        <f>IFERROR(INDEX('G-8 Condition Look up'!$A$3:$H$131,MATCH(S247,'G-8 Condition Look up'!$A$3:$A$131,0),MATCH(Y247,'G-8 Condition Look up'!$A$3:$H$3,0)),"")</f>
        <v/>
      </c>
      <c r="AA247" s="173"/>
      <c r="AB247" s="269" t="str">
        <f>IF(AA247="","",IF(VLOOKUP(AA247,'G-3 Multipliers'!$L$3:$N$6,2,FALSE)=0,"Spatial Data Missing",VLOOKUP(AA247,'G-3 Multipliers'!$L$3:$N$6,2,FALSE)))</f>
        <v/>
      </c>
      <c r="AC247" s="176" t="str">
        <f>IF(AA247="","",IF(VLOOKUP(AA247,'G-3 Multipliers'!$L$3:$N$6,3,FALSE)=0,"Spatial Data Missing",VLOOKUP(AA247,'G-3 Multipliers'!$L$3:$N$6,3,FALSE)))</f>
        <v/>
      </c>
      <c r="AD247" s="239" t="str">
        <f t="shared" si="38"/>
        <v/>
      </c>
      <c r="AE247" s="275"/>
      <c r="AF247" s="275"/>
      <c r="AG247" s="175" t="str">
        <f t="shared" si="41"/>
        <v/>
      </c>
      <c r="AH247" s="242" t="str">
        <f t="shared" si="42"/>
        <v/>
      </c>
      <c r="AI247" s="335" t="str">
        <f>IF(AH247="Check Data","Check Data",IFERROR(VLOOKUP(AH247,'G-4 Temporal multipliers'!$A$4:$C$36,3,FALSE),""))</f>
        <v/>
      </c>
      <c r="AJ247" s="239" t="str">
        <f>IF(S247="","",VLOOKUP(S247,'G-3 Multipliers'!$A$2:$E$130,4,FALSE))</f>
        <v/>
      </c>
      <c r="AK247" s="175" t="str">
        <f t="shared" si="43"/>
        <v/>
      </c>
      <c r="AL247" s="175" t="str">
        <f t="shared" si="44"/>
        <v/>
      </c>
      <c r="AM247" s="176" t="str">
        <f>IFERROR(IF(F247="","",IF(AH247="Check Data","Check Data",VLOOKUP(AL247, 'G-3 Multipliers'!$P$2:$Q$6,2,FALSE))),””)</f>
        <v/>
      </c>
      <c r="AN247" s="266"/>
      <c r="AO247" s="269" t="str">
        <f>IF(AN247="","",IF(VLOOKUP(AN247,'G-3 Multipliers'!$S$3:$T$9,2,FALSE)=0,"Spatial Data Missing",VLOOKUP(AN247,'G-3 Multipliers'!$S$3:$T$9,2,FALSE)))</f>
        <v/>
      </c>
      <c r="AP247" s="207" t="str">
        <f t="shared" si="45"/>
        <v/>
      </c>
      <c r="AQ247" s="336"/>
      <c r="AR247" s="181"/>
    </row>
    <row r="248" spans="1:44" x14ac:dyDescent="0.25">
      <c r="A248" s="35" t="str">
        <f>IF(E248="","",IF(ISNA(VLOOKUP($E248,'D-1 Off Site Habitat Baseline'!$D$1:$O$258,2,FALSE)),"",(VLOOKUP($E248,'D-1 Off Site Habitat Baseline'!$D$1:$O$258,2,FALSE))))</f>
        <v/>
      </c>
      <c r="B248" s="35" t="str">
        <f>IF(E248="","",IF(ISNA(VLOOKUP($E248,'D-1 Off Site Habitat Baseline'!$D$1:$O$258,3,FALSE)),"",(VLOOKUP($E248,'D-1 Off Site Habitat Baseline'!$D$1:$O$258,3,FALSE))))</f>
        <v/>
      </c>
      <c r="C248" s="35" t="str">
        <f>IFERROR(INDEX('G-8 Condition Look up'!$I$4:$I$131,MATCH(S248,'G-8 Condition Look up'!$A$4:$A$131,0)),"")</f>
        <v/>
      </c>
      <c r="E248" s="329" t="str">
        <f>'D-1 Off Site Habitat Baseline'!AL247</f>
        <v/>
      </c>
      <c r="F248" s="175" t="str">
        <f>IF(E248="","",IF(ISNA(VLOOKUP($E248,'D-1 Off Site Habitat Baseline'!$D$1:$O$258,4,FALSE)),"",(VLOOKUP($E248,'D-1 Off Site Habitat Baseline'!$D$1:$O$258,4,FALSE))))</f>
        <v/>
      </c>
      <c r="G248" s="175" t="str">
        <f>IF(E248="","",IF(ISNA(VLOOKUP($E248,'D-1 Off Site Habitat Baseline'!$D$1:$O$258,5,FALSE)),"",(VLOOKUP($E248,'D-1 Off Site Habitat Baseline'!$D$1:$O$258,5,FALSE))))</f>
        <v/>
      </c>
      <c r="H248" s="175" t="str">
        <f>IF(E248="","",IF(ISNA(VLOOKUP($E248,'D-1 Off Site Habitat Baseline'!$D$1:$O$258,6,FALSE)),"",(VLOOKUP($E248,'D-1 Off Site Habitat Baseline'!$D$1:$O$258,6,FALSE))))</f>
        <v/>
      </c>
      <c r="I248" s="175" t="str">
        <f>IF(E248="","",IF(ISNA(VLOOKUP($E248,'D-1 Off Site Habitat Baseline'!$D$1:$O$258,7,FALSE)),"",(VLOOKUP($E248,'D-1 Off Site Habitat Baseline'!$D$1:$O$258,7,FALSE))))</f>
        <v/>
      </c>
      <c r="J248" s="175" t="str">
        <f>IF(E248="","",IF(ISNA(VLOOKUP($E248,'D-1 Off Site Habitat Baseline'!$D$1:$O$258,8,FALSE)),"",(VLOOKUP($E248,'D-1 Off Site Habitat Baseline'!$D$1:$O$258,8,FALSE))))</f>
        <v/>
      </c>
      <c r="K248" s="175" t="str">
        <f>IF(E248="","",IF(ISNA(VLOOKUP($E248,'D-1 Off Site Habitat Baseline'!$D$1:$O$258,9,FALSE)),"",(VLOOKUP($E248,'D-1 Off Site Habitat Baseline'!$D$1:$O$258,9,FALSE))))</f>
        <v/>
      </c>
      <c r="L248" s="175" t="str">
        <f>IF(E248="","",IF(ISNA(VLOOKUP($E248,'D-1 Off Site Habitat Baseline'!$D$1:$O$258,11,FALSE)),"",(VLOOKUP($E248,'D-1 Off Site Habitat Baseline'!$D$1:$O$258,11,FALSE))))</f>
        <v/>
      </c>
      <c r="M248" s="175" t="str">
        <f>IF(E248="","",IF(ISNA(VLOOKUP($E248,'D-1 Off Site Habitat Baseline'!$D$1:$O$258,12,FALSE)),"",(VLOOKUP($E248,'D-1 Off Site Habitat Baseline'!$D$1:$O$258,12,FALSE))))</f>
        <v/>
      </c>
      <c r="N248" s="175" t="str">
        <f>IF(E248="","",IF(ISNA(VLOOKUP($E248,'D-1 Off Site Habitat Baseline'!$D$1:$X$258,14,FALSE)),"",(VLOOKUP($E248,'D-1 Off Site Habitat Baseline'!$D$1:$X$258,14,FALSE))))</f>
        <v/>
      </c>
      <c r="O248" s="176" t="str">
        <f>IF(E248="","",IF(ISNA(VLOOKUP($E248,'D-1 Off Site Habitat Baseline'!$D$1:$X$258,13,FALSE)),"",(VLOOKUP($E248,'D-1 Off Site Habitat Baseline'!$D$1:$X$258,13,FALSE))))</f>
        <v/>
      </c>
      <c r="P248" s="337" t="str">
        <f>IFERROR(INDEX('G-1 All Habitats'!$AG$3:$AG$15,MATCH(Q248,'G-1 All Habitats'!$AF$3:$AF$15,0)),"")</f>
        <v/>
      </c>
      <c r="Q248" s="331" t="str">
        <f t="shared" si="46"/>
        <v/>
      </c>
      <c r="R248" s="332" t="str">
        <f t="shared" si="47"/>
        <v/>
      </c>
      <c r="S248" s="338" t="str">
        <f>IFERROR(INDEX('G-1 All Habitats'!$B$3:$B$130,MATCH(R248,'G-1 All Habitats'!$A$3:$A$130,0)),"")</f>
        <v/>
      </c>
      <c r="T248" s="179" t="str">
        <f t="shared" si="39"/>
        <v/>
      </c>
      <c r="U248" s="172" t="str">
        <f t="shared" si="40"/>
        <v/>
      </c>
      <c r="V248" s="334" t="str">
        <f t="shared" si="37"/>
        <v/>
      </c>
      <c r="W248" s="175" t="str">
        <f>IF(S248="","",VLOOKUP(S248,'G-1 All Habitats'!$B$2:$M$130,10,FALSE))</f>
        <v/>
      </c>
      <c r="X248" s="175" t="str">
        <f>IFERROR(VLOOKUP(W248,'G-1 All Habitats'!$V$3:$W$7,2,FALSE),"")</f>
        <v/>
      </c>
      <c r="Y248" s="275"/>
      <c r="Z248" s="176" t="str">
        <f>IFERROR(INDEX('G-8 Condition Look up'!$A$3:$H$131,MATCH(S248,'G-8 Condition Look up'!$A$3:$A$131,0),MATCH(Y248,'G-8 Condition Look up'!$A$3:$H$3,0)),"")</f>
        <v/>
      </c>
      <c r="AA248" s="173"/>
      <c r="AB248" s="269" t="str">
        <f>IF(AA248="","",IF(VLOOKUP(AA248,'G-3 Multipliers'!$L$3:$N$6,2,FALSE)=0,"Spatial Data Missing",VLOOKUP(AA248,'G-3 Multipliers'!$L$3:$N$6,2,FALSE)))</f>
        <v/>
      </c>
      <c r="AC248" s="176" t="str">
        <f>IF(AA248="","",IF(VLOOKUP(AA248,'G-3 Multipliers'!$L$3:$N$6,3,FALSE)=0,"Spatial Data Missing",VLOOKUP(AA248,'G-3 Multipliers'!$L$3:$N$6,3,FALSE)))</f>
        <v/>
      </c>
      <c r="AD248" s="239" t="str">
        <f t="shared" si="38"/>
        <v/>
      </c>
      <c r="AE248" s="275"/>
      <c r="AF248" s="275"/>
      <c r="AG248" s="175" t="str">
        <f t="shared" si="41"/>
        <v/>
      </c>
      <c r="AH248" s="242" t="str">
        <f t="shared" si="42"/>
        <v/>
      </c>
      <c r="AI248" s="335" t="str">
        <f>IF(AH248="Check Data","Check Data",IFERROR(VLOOKUP(AH248,'G-4 Temporal multipliers'!$A$4:$C$36,3,FALSE),""))</f>
        <v/>
      </c>
      <c r="AJ248" s="239" t="str">
        <f>IF(S248="","",VLOOKUP(S248,'G-3 Multipliers'!$A$2:$E$130,4,FALSE))</f>
        <v/>
      </c>
      <c r="AK248" s="175" t="str">
        <f t="shared" si="43"/>
        <v/>
      </c>
      <c r="AL248" s="175" t="str">
        <f t="shared" si="44"/>
        <v/>
      </c>
      <c r="AM248" s="176" t="str">
        <f>IFERROR(IF(F248="","",IF(AH248="Check Data","Check Data",VLOOKUP(AL248, 'G-3 Multipliers'!$P$2:$Q$6,2,FALSE))),””)</f>
        <v/>
      </c>
      <c r="AN248" s="266"/>
      <c r="AO248" s="269" t="str">
        <f>IF(AN248="","",IF(VLOOKUP(AN248,'G-3 Multipliers'!$S$3:$T$9,2,FALSE)=0,"Spatial Data Missing",VLOOKUP(AN248,'G-3 Multipliers'!$S$3:$T$9,2,FALSE)))</f>
        <v/>
      </c>
      <c r="AP248" s="207" t="str">
        <f t="shared" si="45"/>
        <v/>
      </c>
      <c r="AQ248" s="336"/>
      <c r="AR248" s="181"/>
    </row>
    <row r="249" spans="1:44" x14ac:dyDescent="0.25">
      <c r="A249" s="35" t="str">
        <f>IF(E249="","",IF(ISNA(VLOOKUP($E249,'D-1 Off Site Habitat Baseline'!$D$1:$O$258,2,FALSE)),"",(VLOOKUP($E249,'D-1 Off Site Habitat Baseline'!$D$1:$O$258,2,FALSE))))</f>
        <v/>
      </c>
      <c r="B249" s="35" t="str">
        <f>IF(E249="","",IF(ISNA(VLOOKUP($E249,'D-1 Off Site Habitat Baseline'!$D$1:$O$258,3,FALSE)),"",(VLOOKUP($E249,'D-1 Off Site Habitat Baseline'!$D$1:$O$258,3,FALSE))))</f>
        <v/>
      </c>
      <c r="C249" s="35" t="str">
        <f>IFERROR(INDEX('G-8 Condition Look up'!$I$4:$I$131,MATCH(S249,'G-8 Condition Look up'!$A$4:$A$131,0)),"")</f>
        <v/>
      </c>
      <c r="E249" s="329" t="str">
        <f>'D-1 Off Site Habitat Baseline'!AL248</f>
        <v/>
      </c>
      <c r="F249" s="175" t="str">
        <f>IF(E249="","",IF(ISNA(VLOOKUP($E249,'D-1 Off Site Habitat Baseline'!$D$1:$O$258,4,FALSE)),"",(VLOOKUP($E249,'D-1 Off Site Habitat Baseline'!$D$1:$O$258,4,FALSE))))</f>
        <v/>
      </c>
      <c r="G249" s="175" t="str">
        <f>IF(E249="","",IF(ISNA(VLOOKUP($E249,'D-1 Off Site Habitat Baseline'!$D$1:$O$258,5,FALSE)),"",(VLOOKUP($E249,'D-1 Off Site Habitat Baseline'!$D$1:$O$258,5,FALSE))))</f>
        <v/>
      </c>
      <c r="H249" s="175" t="str">
        <f>IF(E249="","",IF(ISNA(VLOOKUP($E249,'D-1 Off Site Habitat Baseline'!$D$1:$O$258,6,FALSE)),"",(VLOOKUP($E249,'D-1 Off Site Habitat Baseline'!$D$1:$O$258,6,FALSE))))</f>
        <v/>
      </c>
      <c r="I249" s="175" t="str">
        <f>IF(E249="","",IF(ISNA(VLOOKUP($E249,'D-1 Off Site Habitat Baseline'!$D$1:$O$258,7,FALSE)),"",(VLOOKUP($E249,'D-1 Off Site Habitat Baseline'!$D$1:$O$258,7,FALSE))))</f>
        <v/>
      </c>
      <c r="J249" s="175" t="str">
        <f>IF(E249="","",IF(ISNA(VLOOKUP($E249,'D-1 Off Site Habitat Baseline'!$D$1:$O$258,8,FALSE)),"",(VLOOKUP($E249,'D-1 Off Site Habitat Baseline'!$D$1:$O$258,8,FALSE))))</f>
        <v/>
      </c>
      <c r="K249" s="175" t="str">
        <f>IF(E249="","",IF(ISNA(VLOOKUP($E249,'D-1 Off Site Habitat Baseline'!$D$1:$O$258,9,FALSE)),"",(VLOOKUP($E249,'D-1 Off Site Habitat Baseline'!$D$1:$O$258,9,FALSE))))</f>
        <v/>
      </c>
      <c r="L249" s="175" t="str">
        <f>IF(E249="","",IF(ISNA(VLOOKUP($E249,'D-1 Off Site Habitat Baseline'!$D$1:$O$258,11,FALSE)),"",(VLOOKUP($E249,'D-1 Off Site Habitat Baseline'!$D$1:$O$258,11,FALSE))))</f>
        <v/>
      </c>
      <c r="M249" s="175" t="str">
        <f>IF(E249="","",IF(ISNA(VLOOKUP($E249,'D-1 Off Site Habitat Baseline'!$D$1:$O$258,12,FALSE)),"",(VLOOKUP($E249,'D-1 Off Site Habitat Baseline'!$D$1:$O$258,12,FALSE))))</f>
        <v/>
      </c>
      <c r="N249" s="175" t="str">
        <f>IF(E249="","",IF(ISNA(VLOOKUP($E249,'D-1 Off Site Habitat Baseline'!$D$1:$X$258,14,FALSE)),"",(VLOOKUP($E249,'D-1 Off Site Habitat Baseline'!$D$1:$X$258,14,FALSE))))</f>
        <v/>
      </c>
      <c r="O249" s="176" t="str">
        <f>IF(E249="","",IF(ISNA(VLOOKUP($E249,'D-1 Off Site Habitat Baseline'!$D$1:$X$258,13,FALSE)),"",(VLOOKUP($E249,'D-1 Off Site Habitat Baseline'!$D$1:$X$258,13,FALSE))))</f>
        <v/>
      </c>
      <c r="P249" s="337" t="str">
        <f>IFERROR(INDEX('G-1 All Habitats'!$AG$3:$AG$15,MATCH(Q249,'G-1 All Habitats'!$AF$3:$AF$15,0)),"")</f>
        <v/>
      </c>
      <c r="Q249" s="331" t="str">
        <f t="shared" si="46"/>
        <v/>
      </c>
      <c r="R249" s="332" t="str">
        <f t="shared" si="47"/>
        <v/>
      </c>
      <c r="S249" s="338" t="str">
        <f>IFERROR(INDEX('G-1 All Habitats'!$B$3:$B$130,MATCH(R249,'G-1 All Habitats'!$A$3:$A$130,0)),"")</f>
        <v/>
      </c>
      <c r="T249" s="179" t="str">
        <f t="shared" si="39"/>
        <v/>
      </c>
      <c r="U249" s="172" t="str">
        <f t="shared" si="40"/>
        <v/>
      </c>
      <c r="V249" s="334" t="str">
        <f t="shared" si="37"/>
        <v/>
      </c>
      <c r="W249" s="175" t="str">
        <f>IF(S249="","",VLOOKUP(S249,'G-1 All Habitats'!$B$2:$M$130,10,FALSE))</f>
        <v/>
      </c>
      <c r="X249" s="175" t="str">
        <f>IFERROR(VLOOKUP(W249,'G-1 All Habitats'!$V$3:$W$7,2,FALSE),"")</f>
        <v/>
      </c>
      <c r="Y249" s="275"/>
      <c r="Z249" s="176" t="str">
        <f>IFERROR(INDEX('G-8 Condition Look up'!$A$3:$H$131,MATCH(S249,'G-8 Condition Look up'!$A$3:$A$131,0),MATCH(Y249,'G-8 Condition Look up'!$A$3:$H$3,0)),"")</f>
        <v/>
      </c>
      <c r="AA249" s="173"/>
      <c r="AB249" s="269" t="str">
        <f>IF(AA249="","",IF(VLOOKUP(AA249,'G-3 Multipliers'!$L$3:$N$6,2,FALSE)=0,"Spatial Data Missing",VLOOKUP(AA249,'G-3 Multipliers'!$L$3:$N$6,2,FALSE)))</f>
        <v/>
      </c>
      <c r="AC249" s="176" t="str">
        <f>IF(AA249="","",IF(VLOOKUP(AA249,'G-3 Multipliers'!$L$3:$N$6,3,FALSE)=0,"Spatial Data Missing",VLOOKUP(AA249,'G-3 Multipliers'!$L$3:$N$6,3,FALSE)))</f>
        <v/>
      </c>
      <c r="AD249" s="239" t="str">
        <f t="shared" si="38"/>
        <v/>
      </c>
      <c r="AE249" s="275"/>
      <c r="AF249" s="275"/>
      <c r="AG249" s="175" t="str">
        <f t="shared" si="41"/>
        <v/>
      </c>
      <c r="AH249" s="242" t="str">
        <f t="shared" si="42"/>
        <v/>
      </c>
      <c r="AI249" s="335" t="str">
        <f>IF(AH249="Check Data","Check Data",IFERROR(VLOOKUP(AH249,'G-4 Temporal multipliers'!$A$4:$C$36,3,FALSE),""))</f>
        <v/>
      </c>
      <c r="AJ249" s="239" t="str">
        <f>IF(S249="","",VLOOKUP(S249,'G-3 Multipliers'!$A$2:$E$130,4,FALSE))</f>
        <v/>
      </c>
      <c r="AK249" s="175" t="str">
        <f t="shared" si="43"/>
        <v/>
      </c>
      <c r="AL249" s="175" t="str">
        <f t="shared" si="44"/>
        <v/>
      </c>
      <c r="AM249" s="176" t="str">
        <f>IFERROR(IF(F249="","",IF(AH249="Check Data","Check Data",VLOOKUP(AL249, 'G-3 Multipliers'!$P$2:$Q$6,2,FALSE))),””)</f>
        <v/>
      </c>
      <c r="AN249" s="266"/>
      <c r="AO249" s="269" t="str">
        <f>IF(AN249="","",IF(VLOOKUP(AN249,'G-3 Multipliers'!$S$3:$T$9,2,FALSE)=0,"Spatial Data Missing",VLOOKUP(AN249,'G-3 Multipliers'!$S$3:$T$9,2,FALSE)))</f>
        <v/>
      </c>
      <c r="AP249" s="207" t="str">
        <f t="shared" si="45"/>
        <v/>
      </c>
      <c r="AQ249" s="336"/>
      <c r="AR249" s="181"/>
    </row>
    <row r="250" spans="1:44" x14ac:dyDescent="0.25">
      <c r="A250" s="35" t="str">
        <f>IF(E250="","",IF(ISNA(VLOOKUP($E250,'D-1 Off Site Habitat Baseline'!$D$1:$O$258,2,FALSE)),"",(VLOOKUP($E250,'D-1 Off Site Habitat Baseline'!$D$1:$O$258,2,FALSE))))</f>
        <v/>
      </c>
      <c r="B250" s="35" t="str">
        <f>IF(E250="","",IF(ISNA(VLOOKUP($E250,'D-1 Off Site Habitat Baseline'!$D$1:$O$258,3,FALSE)),"",(VLOOKUP($E250,'D-1 Off Site Habitat Baseline'!$D$1:$O$258,3,FALSE))))</f>
        <v/>
      </c>
      <c r="C250" s="35" t="str">
        <f>IFERROR(INDEX('G-8 Condition Look up'!$I$4:$I$131,MATCH(S250,'G-8 Condition Look up'!$A$4:$A$131,0)),"")</f>
        <v/>
      </c>
      <c r="E250" s="329" t="str">
        <f>'D-1 Off Site Habitat Baseline'!AL249</f>
        <v/>
      </c>
      <c r="F250" s="175" t="str">
        <f>IF(E250="","",IF(ISNA(VLOOKUP($E250,'D-1 Off Site Habitat Baseline'!$D$1:$O$258,4,FALSE)),"",(VLOOKUP($E250,'D-1 Off Site Habitat Baseline'!$D$1:$O$258,4,FALSE))))</f>
        <v/>
      </c>
      <c r="G250" s="175" t="str">
        <f>IF(E250="","",IF(ISNA(VLOOKUP($E250,'D-1 Off Site Habitat Baseline'!$D$1:$O$258,5,FALSE)),"",(VLOOKUP($E250,'D-1 Off Site Habitat Baseline'!$D$1:$O$258,5,FALSE))))</f>
        <v/>
      </c>
      <c r="H250" s="175" t="str">
        <f>IF(E250="","",IF(ISNA(VLOOKUP($E250,'D-1 Off Site Habitat Baseline'!$D$1:$O$258,6,FALSE)),"",(VLOOKUP($E250,'D-1 Off Site Habitat Baseline'!$D$1:$O$258,6,FALSE))))</f>
        <v/>
      </c>
      <c r="I250" s="175" t="str">
        <f>IF(E250="","",IF(ISNA(VLOOKUP($E250,'D-1 Off Site Habitat Baseline'!$D$1:$O$258,7,FALSE)),"",(VLOOKUP($E250,'D-1 Off Site Habitat Baseline'!$D$1:$O$258,7,FALSE))))</f>
        <v/>
      </c>
      <c r="J250" s="175" t="str">
        <f>IF(E250="","",IF(ISNA(VLOOKUP($E250,'D-1 Off Site Habitat Baseline'!$D$1:$O$258,8,FALSE)),"",(VLOOKUP($E250,'D-1 Off Site Habitat Baseline'!$D$1:$O$258,8,FALSE))))</f>
        <v/>
      </c>
      <c r="K250" s="175" t="str">
        <f>IF(E250="","",IF(ISNA(VLOOKUP($E250,'D-1 Off Site Habitat Baseline'!$D$1:$O$258,9,FALSE)),"",(VLOOKUP($E250,'D-1 Off Site Habitat Baseline'!$D$1:$O$258,9,FALSE))))</f>
        <v/>
      </c>
      <c r="L250" s="175" t="str">
        <f>IF(E250="","",IF(ISNA(VLOOKUP($E250,'D-1 Off Site Habitat Baseline'!$D$1:$O$258,11,FALSE)),"",(VLOOKUP($E250,'D-1 Off Site Habitat Baseline'!$D$1:$O$258,11,FALSE))))</f>
        <v/>
      </c>
      <c r="M250" s="175" t="str">
        <f>IF(E250="","",IF(ISNA(VLOOKUP($E250,'D-1 Off Site Habitat Baseline'!$D$1:$O$258,12,FALSE)),"",(VLOOKUP($E250,'D-1 Off Site Habitat Baseline'!$D$1:$O$258,12,FALSE))))</f>
        <v/>
      </c>
      <c r="N250" s="175" t="str">
        <f>IF(E250="","",IF(ISNA(VLOOKUP($E250,'D-1 Off Site Habitat Baseline'!$D$1:$X$258,14,FALSE)),"",(VLOOKUP($E250,'D-1 Off Site Habitat Baseline'!$D$1:$X$258,14,FALSE))))</f>
        <v/>
      </c>
      <c r="O250" s="176" t="str">
        <f>IF(E250="","",IF(ISNA(VLOOKUP($E250,'D-1 Off Site Habitat Baseline'!$D$1:$X$258,13,FALSE)),"",(VLOOKUP($E250,'D-1 Off Site Habitat Baseline'!$D$1:$X$258,13,FALSE))))</f>
        <v/>
      </c>
      <c r="P250" s="337" t="str">
        <f>IFERROR(INDEX('G-1 All Habitats'!$AG$3:$AG$15,MATCH(Q250,'G-1 All Habitats'!$AF$3:$AF$15,0)),"")</f>
        <v/>
      </c>
      <c r="Q250" s="331" t="str">
        <f t="shared" si="46"/>
        <v/>
      </c>
      <c r="R250" s="332" t="str">
        <f t="shared" si="47"/>
        <v/>
      </c>
      <c r="S250" s="338" t="str">
        <f>IFERROR(INDEX('G-1 All Habitats'!$B$3:$B$130,MATCH(R250,'G-1 All Habitats'!$A$3:$A$130,0)),"")</f>
        <v/>
      </c>
      <c r="T250" s="179" t="str">
        <f t="shared" si="39"/>
        <v/>
      </c>
      <c r="U250" s="172" t="str">
        <f t="shared" si="40"/>
        <v/>
      </c>
      <c r="V250" s="334" t="str">
        <f t="shared" si="37"/>
        <v/>
      </c>
      <c r="W250" s="175" t="str">
        <f>IF(S250="","",VLOOKUP(S250,'G-1 All Habitats'!$B$2:$M$130,10,FALSE))</f>
        <v/>
      </c>
      <c r="X250" s="175" t="str">
        <f>IFERROR(VLOOKUP(W250,'G-1 All Habitats'!$V$3:$W$7,2,FALSE),"")</f>
        <v/>
      </c>
      <c r="Y250" s="275"/>
      <c r="Z250" s="176" t="str">
        <f>IFERROR(INDEX('G-8 Condition Look up'!$A$3:$H$131,MATCH(S250,'G-8 Condition Look up'!$A$3:$A$131,0),MATCH(Y250,'G-8 Condition Look up'!$A$3:$H$3,0)),"")</f>
        <v/>
      </c>
      <c r="AA250" s="173"/>
      <c r="AB250" s="269" t="str">
        <f>IF(AA250="","",IF(VLOOKUP(AA250,'G-3 Multipliers'!$L$3:$N$6,2,FALSE)=0,"Spatial Data Missing",VLOOKUP(AA250,'G-3 Multipliers'!$L$3:$N$6,2,FALSE)))</f>
        <v/>
      </c>
      <c r="AC250" s="176" t="str">
        <f>IF(AA250="","",IF(VLOOKUP(AA250,'G-3 Multipliers'!$L$3:$N$6,3,FALSE)=0,"Spatial Data Missing",VLOOKUP(AA250,'G-3 Multipliers'!$L$3:$N$6,3,FALSE)))</f>
        <v/>
      </c>
      <c r="AD250" s="239" t="str">
        <f t="shared" si="38"/>
        <v/>
      </c>
      <c r="AE250" s="275"/>
      <c r="AF250" s="275"/>
      <c r="AG250" s="175" t="str">
        <f t="shared" si="41"/>
        <v/>
      </c>
      <c r="AH250" s="242" t="str">
        <f t="shared" si="42"/>
        <v/>
      </c>
      <c r="AI250" s="335" t="str">
        <f>IF(AH250="Check Data","Check Data",IFERROR(VLOOKUP(AH250,'G-4 Temporal multipliers'!$A$4:$C$36,3,FALSE),""))</f>
        <v/>
      </c>
      <c r="AJ250" s="239" t="str">
        <f>IF(S250="","",VLOOKUP(S250,'G-3 Multipliers'!$A$2:$E$130,4,FALSE))</f>
        <v/>
      </c>
      <c r="AK250" s="175" t="str">
        <f t="shared" si="43"/>
        <v/>
      </c>
      <c r="AL250" s="175" t="str">
        <f t="shared" si="44"/>
        <v/>
      </c>
      <c r="AM250" s="176" t="str">
        <f>IFERROR(IF(F250="","",IF(AH250="Check Data","Check Data",VLOOKUP(AL250, 'G-3 Multipliers'!$P$2:$Q$6,2,FALSE))),””)</f>
        <v/>
      </c>
      <c r="AN250" s="266"/>
      <c r="AO250" s="269" t="str">
        <f>IF(AN250="","",IF(VLOOKUP(AN250,'G-3 Multipliers'!$S$3:$T$9,2,FALSE)=0,"Spatial Data Missing",VLOOKUP(AN250,'G-3 Multipliers'!$S$3:$T$9,2,FALSE)))</f>
        <v/>
      </c>
      <c r="AP250" s="207" t="str">
        <f t="shared" si="45"/>
        <v/>
      </c>
      <c r="AQ250" s="336"/>
      <c r="AR250" s="181"/>
    </row>
    <row r="251" spans="1:44" x14ac:dyDescent="0.25">
      <c r="A251" s="35" t="str">
        <f>IF(E251="","",IF(ISNA(VLOOKUP($E251,'D-1 Off Site Habitat Baseline'!$D$1:$O$258,2,FALSE)),"",(VLOOKUP($E251,'D-1 Off Site Habitat Baseline'!$D$1:$O$258,2,FALSE))))</f>
        <v/>
      </c>
      <c r="B251" s="35" t="str">
        <f>IF(E251="","",IF(ISNA(VLOOKUP($E251,'D-1 Off Site Habitat Baseline'!$D$1:$O$258,3,FALSE)),"",(VLOOKUP($E251,'D-1 Off Site Habitat Baseline'!$D$1:$O$258,3,FALSE))))</f>
        <v/>
      </c>
      <c r="C251" s="35" t="str">
        <f>IFERROR(INDEX('G-8 Condition Look up'!$I$4:$I$131,MATCH(S251,'G-8 Condition Look up'!$A$4:$A$131,0)),"")</f>
        <v/>
      </c>
      <c r="E251" s="329" t="str">
        <f>'D-1 Off Site Habitat Baseline'!AL250</f>
        <v/>
      </c>
      <c r="F251" s="175" t="str">
        <f>IF(E251="","",IF(ISNA(VLOOKUP($E251,'D-1 Off Site Habitat Baseline'!$D$1:$O$258,4,FALSE)),"",(VLOOKUP($E251,'D-1 Off Site Habitat Baseline'!$D$1:$O$258,4,FALSE))))</f>
        <v/>
      </c>
      <c r="G251" s="175" t="str">
        <f>IF(E251="","",IF(ISNA(VLOOKUP($E251,'D-1 Off Site Habitat Baseline'!$D$1:$O$258,5,FALSE)),"",(VLOOKUP($E251,'D-1 Off Site Habitat Baseline'!$D$1:$O$258,5,FALSE))))</f>
        <v/>
      </c>
      <c r="H251" s="175" t="str">
        <f>IF(E251="","",IF(ISNA(VLOOKUP($E251,'D-1 Off Site Habitat Baseline'!$D$1:$O$258,6,FALSE)),"",(VLOOKUP($E251,'D-1 Off Site Habitat Baseline'!$D$1:$O$258,6,FALSE))))</f>
        <v/>
      </c>
      <c r="I251" s="175" t="str">
        <f>IF(E251="","",IF(ISNA(VLOOKUP($E251,'D-1 Off Site Habitat Baseline'!$D$1:$O$258,7,FALSE)),"",(VLOOKUP($E251,'D-1 Off Site Habitat Baseline'!$D$1:$O$258,7,FALSE))))</f>
        <v/>
      </c>
      <c r="J251" s="175" t="str">
        <f>IF(E251="","",IF(ISNA(VLOOKUP($E251,'D-1 Off Site Habitat Baseline'!$D$1:$O$258,8,FALSE)),"",(VLOOKUP($E251,'D-1 Off Site Habitat Baseline'!$D$1:$O$258,8,FALSE))))</f>
        <v/>
      </c>
      <c r="K251" s="175" t="str">
        <f>IF(E251="","",IF(ISNA(VLOOKUP($E251,'D-1 Off Site Habitat Baseline'!$D$1:$O$258,9,FALSE)),"",(VLOOKUP($E251,'D-1 Off Site Habitat Baseline'!$D$1:$O$258,9,FALSE))))</f>
        <v/>
      </c>
      <c r="L251" s="175" t="str">
        <f>IF(E251="","",IF(ISNA(VLOOKUP($E251,'D-1 Off Site Habitat Baseline'!$D$1:$O$258,11,FALSE)),"",(VLOOKUP($E251,'D-1 Off Site Habitat Baseline'!$D$1:$O$258,11,FALSE))))</f>
        <v/>
      </c>
      <c r="M251" s="175" t="str">
        <f>IF(E251="","",IF(ISNA(VLOOKUP($E251,'D-1 Off Site Habitat Baseline'!$D$1:$O$258,12,FALSE)),"",(VLOOKUP($E251,'D-1 Off Site Habitat Baseline'!$D$1:$O$258,12,FALSE))))</f>
        <v/>
      </c>
      <c r="N251" s="175" t="str">
        <f>IF(E251="","",IF(ISNA(VLOOKUP($E251,'D-1 Off Site Habitat Baseline'!$D$1:$X$258,14,FALSE)),"",(VLOOKUP($E251,'D-1 Off Site Habitat Baseline'!$D$1:$X$258,14,FALSE))))</f>
        <v/>
      </c>
      <c r="O251" s="176" t="str">
        <f>IF(E251="","",IF(ISNA(VLOOKUP($E251,'D-1 Off Site Habitat Baseline'!$D$1:$X$258,13,FALSE)),"",(VLOOKUP($E251,'D-1 Off Site Habitat Baseline'!$D$1:$X$258,13,FALSE))))</f>
        <v/>
      </c>
      <c r="P251" s="337" t="str">
        <f>IFERROR(INDEX('G-1 All Habitats'!$AG$3:$AG$15,MATCH(Q251,'G-1 All Habitats'!$AF$3:$AF$15,0)),"")</f>
        <v/>
      </c>
      <c r="Q251" s="331" t="str">
        <f t="shared" si="46"/>
        <v/>
      </c>
      <c r="R251" s="332" t="str">
        <f t="shared" si="47"/>
        <v/>
      </c>
      <c r="S251" s="338" t="str">
        <f>IFERROR(INDEX('G-1 All Habitats'!$B$3:$B$130,MATCH(R251,'G-1 All Habitats'!$A$3:$A$130,0)),"")</f>
        <v/>
      </c>
      <c r="T251" s="179" t="str">
        <f t="shared" si="39"/>
        <v/>
      </c>
      <c r="U251" s="172" t="str">
        <f t="shared" si="40"/>
        <v/>
      </c>
      <c r="V251" s="334" t="str">
        <f t="shared" si="37"/>
        <v/>
      </c>
      <c r="W251" s="175" t="str">
        <f>IF(S251="","",VLOOKUP(S251,'G-1 All Habitats'!$B$2:$M$130,10,FALSE))</f>
        <v/>
      </c>
      <c r="X251" s="175" t="str">
        <f>IFERROR(VLOOKUP(W251,'G-1 All Habitats'!$V$3:$W$7,2,FALSE),"")</f>
        <v/>
      </c>
      <c r="Y251" s="275"/>
      <c r="Z251" s="176" t="str">
        <f>IFERROR(INDEX('G-8 Condition Look up'!$A$3:$H$131,MATCH(S251,'G-8 Condition Look up'!$A$3:$A$131,0),MATCH(Y251,'G-8 Condition Look up'!$A$3:$H$3,0)),"")</f>
        <v/>
      </c>
      <c r="AA251" s="173"/>
      <c r="AB251" s="269" t="str">
        <f>IF(AA251="","",IF(VLOOKUP(AA251,'G-3 Multipliers'!$L$3:$N$6,2,FALSE)=0,"Spatial Data Missing",VLOOKUP(AA251,'G-3 Multipliers'!$L$3:$N$6,2,FALSE)))</f>
        <v/>
      </c>
      <c r="AC251" s="176" t="str">
        <f>IF(AA251="","",IF(VLOOKUP(AA251,'G-3 Multipliers'!$L$3:$N$6,3,FALSE)=0,"Spatial Data Missing",VLOOKUP(AA251,'G-3 Multipliers'!$L$3:$N$6,3,FALSE)))</f>
        <v/>
      </c>
      <c r="AD251" s="239" t="str">
        <f t="shared" si="38"/>
        <v/>
      </c>
      <c r="AE251" s="275"/>
      <c r="AF251" s="275"/>
      <c r="AG251" s="175" t="str">
        <f t="shared" si="41"/>
        <v/>
      </c>
      <c r="AH251" s="242" t="str">
        <f t="shared" si="42"/>
        <v/>
      </c>
      <c r="AI251" s="335" t="str">
        <f>IF(AH251="Check Data","Check Data",IFERROR(VLOOKUP(AH251,'G-4 Temporal multipliers'!$A$4:$C$36,3,FALSE),""))</f>
        <v/>
      </c>
      <c r="AJ251" s="239" t="str">
        <f>IF(S251="","",VLOOKUP(S251,'G-3 Multipliers'!$A$2:$E$130,4,FALSE))</f>
        <v/>
      </c>
      <c r="AK251" s="175" t="str">
        <f t="shared" si="43"/>
        <v/>
      </c>
      <c r="AL251" s="175" t="str">
        <f t="shared" si="44"/>
        <v/>
      </c>
      <c r="AM251" s="176" t="str">
        <f>IFERROR(IF(F251="","",IF(AH251="Check Data","Check Data",VLOOKUP(AL251, 'G-3 Multipliers'!$P$2:$Q$6,2,FALSE))),””)</f>
        <v/>
      </c>
      <c r="AN251" s="266"/>
      <c r="AO251" s="269" t="str">
        <f>IF(AN251="","",IF(VLOOKUP(AN251,'G-3 Multipliers'!$S$3:$T$9,2,FALSE)=0,"Spatial Data Missing",VLOOKUP(AN251,'G-3 Multipliers'!$S$3:$T$9,2,FALSE)))</f>
        <v/>
      </c>
      <c r="AP251" s="207" t="str">
        <f t="shared" si="45"/>
        <v/>
      </c>
      <c r="AQ251" s="336"/>
      <c r="AR251" s="181"/>
    </row>
    <row r="252" spans="1:44" x14ac:dyDescent="0.25">
      <c r="A252" s="35" t="str">
        <f>IF(E252="","",IF(ISNA(VLOOKUP($E252,'D-1 Off Site Habitat Baseline'!$D$1:$O$258,2,FALSE)),"",(VLOOKUP($E252,'D-1 Off Site Habitat Baseline'!$D$1:$O$258,2,FALSE))))</f>
        <v/>
      </c>
      <c r="B252" s="35" t="str">
        <f>IF(E252="","",IF(ISNA(VLOOKUP($E252,'D-1 Off Site Habitat Baseline'!$D$1:$O$258,3,FALSE)),"",(VLOOKUP($E252,'D-1 Off Site Habitat Baseline'!$D$1:$O$258,3,FALSE))))</f>
        <v/>
      </c>
      <c r="C252" s="35" t="str">
        <f>IFERROR(INDEX('G-8 Condition Look up'!$I$4:$I$131,MATCH(S252,'G-8 Condition Look up'!$A$4:$A$131,0)),"")</f>
        <v/>
      </c>
      <c r="E252" s="329" t="str">
        <f>'D-1 Off Site Habitat Baseline'!AL251</f>
        <v/>
      </c>
      <c r="F252" s="175" t="str">
        <f>IF(E252="","",IF(ISNA(VLOOKUP($E252,'D-1 Off Site Habitat Baseline'!$D$1:$O$258,4,FALSE)),"",(VLOOKUP($E252,'D-1 Off Site Habitat Baseline'!$D$1:$O$258,4,FALSE))))</f>
        <v/>
      </c>
      <c r="G252" s="175" t="str">
        <f>IF(E252="","",IF(ISNA(VLOOKUP($E252,'D-1 Off Site Habitat Baseline'!$D$1:$O$258,5,FALSE)),"",(VLOOKUP($E252,'D-1 Off Site Habitat Baseline'!$D$1:$O$258,5,FALSE))))</f>
        <v/>
      </c>
      <c r="H252" s="175" t="str">
        <f>IF(E252="","",IF(ISNA(VLOOKUP($E252,'D-1 Off Site Habitat Baseline'!$D$1:$O$258,6,FALSE)),"",(VLOOKUP($E252,'D-1 Off Site Habitat Baseline'!$D$1:$O$258,6,FALSE))))</f>
        <v/>
      </c>
      <c r="I252" s="175" t="str">
        <f>IF(E252="","",IF(ISNA(VLOOKUP($E252,'D-1 Off Site Habitat Baseline'!$D$1:$O$258,7,FALSE)),"",(VLOOKUP($E252,'D-1 Off Site Habitat Baseline'!$D$1:$O$258,7,FALSE))))</f>
        <v/>
      </c>
      <c r="J252" s="175" t="str">
        <f>IF(E252="","",IF(ISNA(VLOOKUP($E252,'D-1 Off Site Habitat Baseline'!$D$1:$O$258,8,FALSE)),"",(VLOOKUP($E252,'D-1 Off Site Habitat Baseline'!$D$1:$O$258,8,FALSE))))</f>
        <v/>
      </c>
      <c r="K252" s="175" t="str">
        <f>IF(E252="","",IF(ISNA(VLOOKUP($E252,'D-1 Off Site Habitat Baseline'!$D$1:$O$258,9,FALSE)),"",(VLOOKUP($E252,'D-1 Off Site Habitat Baseline'!$D$1:$O$258,9,FALSE))))</f>
        <v/>
      </c>
      <c r="L252" s="175" t="str">
        <f>IF(E252="","",IF(ISNA(VLOOKUP($E252,'D-1 Off Site Habitat Baseline'!$D$1:$O$258,11,FALSE)),"",(VLOOKUP($E252,'D-1 Off Site Habitat Baseline'!$D$1:$O$258,11,FALSE))))</f>
        <v/>
      </c>
      <c r="M252" s="175" t="str">
        <f>IF(E252="","",IF(ISNA(VLOOKUP($E252,'D-1 Off Site Habitat Baseline'!$D$1:$O$258,12,FALSE)),"",(VLOOKUP($E252,'D-1 Off Site Habitat Baseline'!$D$1:$O$258,12,FALSE))))</f>
        <v/>
      </c>
      <c r="N252" s="175" t="str">
        <f>IF(E252="","",IF(ISNA(VLOOKUP($E252,'D-1 Off Site Habitat Baseline'!$D$1:$X$258,14,FALSE)),"",(VLOOKUP($E252,'D-1 Off Site Habitat Baseline'!$D$1:$X$258,14,FALSE))))</f>
        <v/>
      </c>
      <c r="O252" s="176" t="str">
        <f>IF(E252="","",IF(ISNA(VLOOKUP($E252,'D-1 Off Site Habitat Baseline'!$D$1:$X$258,13,FALSE)),"",(VLOOKUP($E252,'D-1 Off Site Habitat Baseline'!$D$1:$X$258,13,FALSE))))</f>
        <v/>
      </c>
      <c r="P252" s="337" t="str">
        <f>IFERROR(INDEX('G-1 All Habitats'!$AG$3:$AG$15,MATCH(Q252,'G-1 All Habitats'!$AF$3:$AF$15,0)),"")</f>
        <v/>
      </c>
      <c r="Q252" s="331" t="str">
        <f t="shared" si="46"/>
        <v/>
      </c>
      <c r="R252" s="332" t="str">
        <f t="shared" si="47"/>
        <v/>
      </c>
      <c r="S252" s="338" t="str">
        <f>IFERROR(INDEX('G-1 All Habitats'!$B$3:$B$130,MATCH(R252,'G-1 All Habitats'!$A$3:$A$130,0)),"")</f>
        <v/>
      </c>
      <c r="T252" s="179" t="str">
        <f t="shared" si="39"/>
        <v/>
      </c>
      <c r="U252" s="172" t="str">
        <f t="shared" si="40"/>
        <v/>
      </c>
      <c r="V252" s="334" t="str">
        <f t="shared" si="37"/>
        <v/>
      </c>
      <c r="W252" s="175" t="str">
        <f>IF(S252="","",VLOOKUP(S252,'G-1 All Habitats'!$B$2:$M$130,10,FALSE))</f>
        <v/>
      </c>
      <c r="X252" s="175" t="str">
        <f>IFERROR(VLOOKUP(W252,'G-1 All Habitats'!$V$3:$W$7,2,FALSE),"")</f>
        <v/>
      </c>
      <c r="Y252" s="275"/>
      <c r="Z252" s="176" t="str">
        <f>IFERROR(INDEX('G-8 Condition Look up'!$A$3:$H$131,MATCH(S252,'G-8 Condition Look up'!$A$3:$A$131,0),MATCH(Y252,'G-8 Condition Look up'!$A$3:$H$3,0)),"")</f>
        <v/>
      </c>
      <c r="AA252" s="173"/>
      <c r="AB252" s="269" t="str">
        <f>IF(AA252="","",IF(VLOOKUP(AA252,'G-3 Multipliers'!$L$3:$N$6,2,FALSE)=0,"Spatial Data Missing",VLOOKUP(AA252,'G-3 Multipliers'!$L$3:$N$6,2,FALSE)))</f>
        <v/>
      </c>
      <c r="AC252" s="176" t="str">
        <f>IF(AA252="","",IF(VLOOKUP(AA252,'G-3 Multipliers'!$L$3:$N$6,3,FALSE)=0,"Spatial Data Missing",VLOOKUP(AA252,'G-3 Multipliers'!$L$3:$N$6,3,FALSE)))</f>
        <v/>
      </c>
      <c r="AD252" s="239" t="str">
        <f t="shared" si="38"/>
        <v/>
      </c>
      <c r="AE252" s="275"/>
      <c r="AF252" s="275"/>
      <c r="AG252" s="175" t="str">
        <f t="shared" si="41"/>
        <v/>
      </c>
      <c r="AH252" s="242" t="str">
        <f t="shared" si="42"/>
        <v/>
      </c>
      <c r="AI252" s="335" t="str">
        <f>IF(AH252="Check Data","Check Data",IFERROR(VLOOKUP(AH252,'G-4 Temporal multipliers'!$A$4:$C$36,3,FALSE),""))</f>
        <v/>
      </c>
      <c r="AJ252" s="239" t="str">
        <f>IF(S252="","",VLOOKUP(S252,'G-3 Multipliers'!$A$2:$E$130,4,FALSE))</f>
        <v/>
      </c>
      <c r="AK252" s="175" t="str">
        <f t="shared" si="43"/>
        <v/>
      </c>
      <c r="AL252" s="175" t="str">
        <f t="shared" si="44"/>
        <v/>
      </c>
      <c r="AM252" s="176" t="str">
        <f>IFERROR(IF(F252="","",IF(AH252="Check Data","Check Data",VLOOKUP(AL252, 'G-3 Multipliers'!$P$2:$Q$6,2,FALSE))),””)</f>
        <v/>
      </c>
      <c r="AN252" s="266"/>
      <c r="AO252" s="269" t="str">
        <f>IF(AN252="","",IF(VLOOKUP(AN252,'G-3 Multipliers'!$S$3:$T$9,2,FALSE)=0,"Spatial Data Missing",VLOOKUP(AN252,'G-3 Multipliers'!$S$3:$T$9,2,FALSE)))</f>
        <v/>
      </c>
      <c r="AP252" s="207" t="str">
        <f t="shared" si="45"/>
        <v/>
      </c>
      <c r="AQ252" s="336"/>
      <c r="AR252" s="181"/>
    </row>
    <row r="253" spans="1:44" x14ac:dyDescent="0.25">
      <c r="A253" s="35" t="str">
        <f>IF(E253="","",IF(ISNA(VLOOKUP($E253,'D-1 Off Site Habitat Baseline'!$D$1:$O$258,2,FALSE)),"",(VLOOKUP($E253,'D-1 Off Site Habitat Baseline'!$D$1:$O$258,2,FALSE))))</f>
        <v/>
      </c>
      <c r="B253" s="35" t="str">
        <f>IF(E253="","",IF(ISNA(VLOOKUP($E253,'D-1 Off Site Habitat Baseline'!$D$1:$O$258,3,FALSE)),"",(VLOOKUP($E253,'D-1 Off Site Habitat Baseline'!$D$1:$O$258,3,FALSE))))</f>
        <v/>
      </c>
      <c r="C253" s="35" t="str">
        <f>IFERROR(INDEX('G-8 Condition Look up'!$I$4:$I$131,MATCH(S253,'G-8 Condition Look up'!$A$4:$A$131,0)),"")</f>
        <v/>
      </c>
      <c r="E253" s="329" t="str">
        <f>'D-1 Off Site Habitat Baseline'!AL252</f>
        <v/>
      </c>
      <c r="F253" s="175" t="str">
        <f>IF(E253="","",IF(ISNA(VLOOKUP($E253,'D-1 Off Site Habitat Baseline'!$D$1:$O$258,4,FALSE)),"",(VLOOKUP($E253,'D-1 Off Site Habitat Baseline'!$D$1:$O$258,4,FALSE))))</f>
        <v/>
      </c>
      <c r="G253" s="175" t="str">
        <f>IF(E253="","",IF(ISNA(VLOOKUP($E253,'D-1 Off Site Habitat Baseline'!$D$1:$O$258,5,FALSE)),"",(VLOOKUP($E253,'D-1 Off Site Habitat Baseline'!$D$1:$O$258,5,FALSE))))</f>
        <v/>
      </c>
      <c r="H253" s="175" t="str">
        <f>IF(E253="","",IF(ISNA(VLOOKUP($E253,'D-1 Off Site Habitat Baseline'!$D$1:$O$258,6,FALSE)),"",(VLOOKUP($E253,'D-1 Off Site Habitat Baseline'!$D$1:$O$258,6,FALSE))))</f>
        <v/>
      </c>
      <c r="I253" s="175" t="str">
        <f>IF(E253="","",IF(ISNA(VLOOKUP($E253,'D-1 Off Site Habitat Baseline'!$D$1:$O$258,7,FALSE)),"",(VLOOKUP($E253,'D-1 Off Site Habitat Baseline'!$D$1:$O$258,7,FALSE))))</f>
        <v/>
      </c>
      <c r="J253" s="175" t="str">
        <f>IF(E253="","",IF(ISNA(VLOOKUP($E253,'D-1 Off Site Habitat Baseline'!$D$1:$O$258,8,FALSE)),"",(VLOOKUP($E253,'D-1 Off Site Habitat Baseline'!$D$1:$O$258,8,FALSE))))</f>
        <v/>
      </c>
      <c r="K253" s="175" t="str">
        <f>IF(E253="","",IF(ISNA(VLOOKUP($E253,'D-1 Off Site Habitat Baseline'!$D$1:$O$258,9,FALSE)),"",(VLOOKUP($E253,'D-1 Off Site Habitat Baseline'!$D$1:$O$258,9,FALSE))))</f>
        <v/>
      </c>
      <c r="L253" s="175" t="str">
        <f>IF(E253="","",IF(ISNA(VLOOKUP($E253,'D-1 Off Site Habitat Baseline'!$D$1:$O$258,11,FALSE)),"",(VLOOKUP($E253,'D-1 Off Site Habitat Baseline'!$D$1:$O$258,11,FALSE))))</f>
        <v/>
      </c>
      <c r="M253" s="175" t="str">
        <f>IF(E253="","",IF(ISNA(VLOOKUP($E253,'D-1 Off Site Habitat Baseline'!$D$1:$O$258,12,FALSE)),"",(VLOOKUP($E253,'D-1 Off Site Habitat Baseline'!$D$1:$O$258,12,FALSE))))</f>
        <v/>
      </c>
      <c r="N253" s="175" t="str">
        <f>IF(E253="","",IF(ISNA(VLOOKUP($E253,'D-1 Off Site Habitat Baseline'!$D$1:$X$258,14,FALSE)),"",(VLOOKUP($E253,'D-1 Off Site Habitat Baseline'!$D$1:$X$258,14,FALSE))))</f>
        <v/>
      </c>
      <c r="O253" s="176" t="str">
        <f>IF(E253="","",IF(ISNA(VLOOKUP($E253,'D-1 Off Site Habitat Baseline'!$D$1:$X$258,13,FALSE)),"",(VLOOKUP($E253,'D-1 Off Site Habitat Baseline'!$D$1:$X$258,13,FALSE))))</f>
        <v/>
      </c>
      <c r="P253" s="337" t="str">
        <f>IFERROR(INDEX('G-1 All Habitats'!$AG$3:$AG$15,MATCH(Q253,'G-1 All Habitats'!$AF$3:$AF$15,0)),"")</f>
        <v/>
      </c>
      <c r="Q253" s="331" t="str">
        <f t="shared" si="46"/>
        <v/>
      </c>
      <c r="R253" s="332" t="str">
        <f t="shared" si="47"/>
        <v/>
      </c>
      <c r="S253" s="338" t="str">
        <f>IFERROR(INDEX('G-1 All Habitats'!$B$3:$B$130,MATCH(R253,'G-1 All Habitats'!$A$3:$A$130,0)),"")</f>
        <v/>
      </c>
      <c r="T253" s="179" t="str">
        <f t="shared" si="39"/>
        <v/>
      </c>
      <c r="U253" s="172" t="str">
        <f t="shared" si="40"/>
        <v/>
      </c>
      <c r="V253" s="334" t="str">
        <f t="shared" si="37"/>
        <v/>
      </c>
      <c r="W253" s="175" t="str">
        <f>IF(S253="","",VLOOKUP(S253,'G-1 All Habitats'!$B$2:$M$130,10,FALSE))</f>
        <v/>
      </c>
      <c r="X253" s="175" t="str">
        <f>IFERROR(VLOOKUP(W253,'G-1 All Habitats'!$V$3:$W$7,2,FALSE),"")</f>
        <v/>
      </c>
      <c r="Y253" s="275"/>
      <c r="Z253" s="176" t="str">
        <f>IFERROR(INDEX('G-8 Condition Look up'!$A$3:$H$131,MATCH(S253,'G-8 Condition Look up'!$A$3:$A$131,0),MATCH(Y253,'G-8 Condition Look up'!$A$3:$H$3,0)),"")</f>
        <v/>
      </c>
      <c r="AA253" s="173"/>
      <c r="AB253" s="269" t="str">
        <f>IF(AA253="","",IF(VLOOKUP(AA253,'G-3 Multipliers'!$L$3:$N$6,2,FALSE)=0,"Spatial Data Missing",VLOOKUP(AA253,'G-3 Multipliers'!$L$3:$N$6,2,FALSE)))</f>
        <v/>
      </c>
      <c r="AC253" s="176" t="str">
        <f>IF(AA253="","",IF(VLOOKUP(AA253,'G-3 Multipliers'!$L$3:$N$6,3,FALSE)=0,"Spatial Data Missing",VLOOKUP(AA253,'G-3 Multipliers'!$L$3:$N$6,3,FALSE)))</f>
        <v/>
      </c>
      <c r="AD253" s="239" t="str">
        <f t="shared" si="38"/>
        <v/>
      </c>
      <c r="AE253" s="275"/>
      <c r="AF253" s="275"/>
      <c r="AG253" s="175" t="str">
        <f t="shared" si="41"/>
        <v/>
      </c>
      <c r="AH253" s="242" t="str">
        <f t="shared" si="42"/>
        <v/>
      </c>
      <c r="AI253" s="335" t="str">
        <f>IF(AH253="Check Data","Check Data",IFERROR(VLOOKUP(AH253,'G-4 Temporal multipliers'!$A$4:$C$36,3,FALSE),""))</f>
        <v/>
      </c>
      <c r="AJ253" s="239" t="str">
        <f>IF(S253="","",VLOOKUP(S253,'G-3 Multipliers'!$A$2:$E$130,4,FALSE))</f>
        <v/>
      </c>
      <c r="AK253" s="175" t="str">
        <f t="shared" si="43"/>
        <v/>
      </c>
      <c r="AL253" s="175" t="str">
        <f t="shared" si="44"/>
        <v/>
      </c>
      <c r="AM253" s="176" t="str">
        <f>IFERROR(IF(F253="","",IF(AH253="Check Data","Check Data",VLOOKUP(AL253, 'G-3 Multipliers'!$P$2:$Q$6,2,FALSE))),””)</f>
        <v/>
      </c>
      <c r="AN253" s="266"/>
      <c r="AO253" s="269" t="str">
        <f>IF(AN253="","",IF(VLOOKUP(AN253,'G-3 Multipliers'!$S$3:$T$9,2,FALSE)=0,"Spatial Data Missing",VLOOKUP(AN253,'G-3 Multipliers'!$S$3:$T$9,2,FALSE)))</f>
        <v/>
      </c>
      <c r="AP253" s="207" t="str">
        <f t="shared" si="45"/>
        <v/>
      </c>
      <c r="AQ253" s="336"/>
      <c r="AR253" s="181"/>
    </row>
    <row r="254" spans="1:44" x14ac:dyDescent="0.25">
      <c r="A254" s="35" t="str">
        <f>IF(E254="","",IF(ISNA(VLOOKUP($E254,'D-1 Off Site Habitat Baseline'!$D$1:$O$258,2,FALSE)),"",(VLOOKUP($E254,'D-1 Off Site Habitat Baseline'!$D$1:$O$258,2,FALSE))))</f>
        <v/>
      </c>
      <c r="B254" s="35" t="str">
        <f>IF(E254="","",IF(ISNA(VLOOKUP($E254,'D-1 Off Site Habitat Baseline'!$D$1:$O$258,3,FALSE)),"",(VLOOKUP($E254,'D-1 Off Site Habitat Baseline'!$D$1:$O$258,3,FALSE))))</f>
        <v/>
      </c>
      <c r="C254" s="35" t="str">
        <f>IFERROR(INDEX('G-8 Condition Look up'!$I$4:$I$131,MATCH(S254,'G-8 Condition Look up'!$A$4:$A$131,0)),"")</f>
        <v/>
      </c>
      <c r="E254" s="329" t="str">
        <f>'D-1 Off Site Habitat Baseline'!AL253</f>
        <v/>
      </c>
      <c r="F254" s="175" t="str">
        <f>IF(E254="","",IF(ISNA(VLOOKUP($E254,'D-1 Off Site Habitat Baseline'!$D$1:$O$258,4,FALSE)),"",(VLOOKUP($E254,'D-1 Off Site Habitat Baseline'!$D$1:$O$258,4,FALSE))))</f>
        <v/>
      </c>
      <c r="G254" s="175" t="str">
        <f>IF(E254="","",IF(ISNA(VLOOKUP($E254,'D-1 Off Site Habitat Baseline'!$D$1:$O$258,5,FALSE)),"",(VLOOKUP($E254,'D-1 Off Site Habitat Baseline'!$D$1:$O$258,5,FALSE))))</f>
        <v/>
      </c>
      <c r="H254" s="175" t="str">
        <f>IF(E254="","",IF(ISNA(VLOOKUP($E254,'D-1 Off Site Habitat Baseline'!$D$1:$O$258,6,FALSE)),"",(VLOOKUP($E254,'D-1 Off Site Habitat Baseline'!$D$1:$O$258,6,FALSE))))</f>
        <v/>
      </c>
      <c r="I254" s="175" t="str">
        <f>IF(E254="","",IF(ISNA(VLOOKUP($E254,'D-1 Off Site Habitat Baseline'!$D$1:$O$258,7,FALSE)),"",(VLOOKUP($E254,'D-1 Off Site Habitat Baseline'!$D$1:$O$258,7,FALSE))))</f>
        <v/>
      </c>
      <c r="J254" s="175" t="str">
        <f>IF(E254="","",IF(ISNA(VLOOKUP($E254,'D-1 Off Site Habitat Baseline'!$D$1:$O$258,8,FALSE)),"",(VLOOKUP($E254,'D-1 Off Site Habitat Baseline'!$D$1:$O$258,8,FALSE))))</f>
        <v/>
      </c>
      <c r="K254" s="175" t="str">
        <f>IF(E254="","",IF(ISNA(VLOOKUP($E254,'D-1 Off Site Habitat Baseline'!$D$1:$O$258,9,FALSE)),"",(VLOOKUP($E254,'D-1 Off Site Habitat Baseline'!$D$1:$O$258,9,FALSE))))</f>
        <v/>
      </c>
      <c r="L254" s="175" t="str">
        <f>IF(E254="","",IF(ISNA(VLOOKUP($E254,'D-1 Off Site Habitat Baseline'!$D$1:$O$258,11,FALSE)),"",(VLOOKUP($E254,'D-1 Off Site Habitat Baseline'!$D$1:$O$258,11,FALSE))))</f>
        <v/>
      </c>
      <c r="M254" s="175" t="str">
        <f>IF(E254="","",IF(ISNA(VLOOKUP($E254,'D-1 Off Site Habitat Baseline'!$D$1:$O$258,12,FALSE)),"",(VLOOKUP($E254,'D-1 Off Site Habitat Baseline'!$D$1:$O$258,12,FALSE))))</f>
        <v/>
      </c>
      <c r="N254" s="175" t="str">
        <f>IF(E254="","",IF(ISNA(VLOOKUP($E254,'D-1 Off Site Habitat Baseline'!$D$1:$X$258,14,FALSE)),"",(VLOOKUP($E254,'D-1 Off Site Habitat Baseline'!$D$1:$X$258,14,FALSE))))</f>
        <v/>
      </c>
      <c r="O254" s="176" t="str">
        <f>IF(E254="","",IF(ISNA(VLOOKUP($E254,'D-1 Off Site Habitat Baseline'!$D$1:$X$258,13,FALSE)),"",(VLOOKUP($E254,'D-1 Off Site Habitat Baseline'!$D$1:$X$258,13,FALSE))))</f>
        <v/>
      </c>
      <c r="P254" s="337" t="str">
        <f>IFERROR(INDEX('G-1 All Habitats'!$AG$3:$AG$15,MATCH(Q254,'G-1 All Habitats'!$AF$3:$AF$15,0)),"")</f>
        <v/>
      </c>
      <c r="Q254" s="331" t="str">
        <f t="shared" si="46"/>
        <v/>
      </c>
      <c r="R254" s="332" t="str">
        <f t="shared" si="47"/>
        <v/>
      </c>
      <c r="S254" s="338" t="str">
        <f>IFERROR(INDEX('G-1 All Habitats'!$B$3:$B$130,MATCH(R254,'G-1 All Habitats'!$A$3:$A$130,0)),"")</f>
        <v/>
      </c>
      <c r="T254" s="179" t="str">
        <f t="shared" si="39"/>
        <v/>
      </c>
      <c r="U254" s="172" t="str">
        <f t="shared" si="40"/>
        <v/>
      </c>
      <c r="V254" s="334" t="str">
        <f t="shared" si="37"/>
        <v/>
      </c>
      <c r="W254" s="175" t="str">
        <f>IF(S254="","",VLOOKUP(S254,'G-1 All Habitats'!$B$2:$M$130,10,FALSE))</f>
        <v/>
      </c>
      <c r="X254" s="175" t="str">
        <f>IFERROR(VLOOKUP(W254,'G-1 All Habitats'!$V$3:$W$7,2,FALSE),"")</f>
        <v/>
      </c>
      <c r="Y254" s="275"/>
      <c r="Z254" s="176" t="str">
        <f>IFERROR(INDEX('G-8 Condition Look up'!$A$3:$H$131,MATCH(S254,'G-8 Condition Look up'!$A$3:$A$131,0),MATCH(Y254,'G-8 Condition Look up'!$A$3:$H$3,0)),"")</f>
        <v/>
      </c>
      <c r="AA254" s="173"/>
      <c r="AB254" s="269" t="str">
        <f>IF(AA254="","",IF(VLOOKUP(AA254,'G-3 Multipliers'!$L$3:$N$6,2,FALSE)=0,"Spatial Data Missing",VLOOKUP(AA254,'G-3 Multipliers'!$L$3:$N$6,2,FALSE)))</f>
        <v/>
      </c>
      <c r="AC254" s="176" t="str">
        <f>IF(AA254="","",IF(VLOOKUP(AA254,'G-3 Multipliers'!$L$3:$N$6,3,FALSE)=0,"Spatial Data Missing",VLOOKUP(AA254,'G-3 Multipliers'!$L$3:$N$6,3,FALSE)))</f>
        <v/>
      </c>
      <c r="AD254" s="239" t="str">
        <f t="shared" si="38"/>
        <v/>
      </c>
      <c r="AE254" s="275"/>
      <c r="AF254" s="275"/>
      <c r="AG254" s="175" t="str">
        <f t="shared" si="41"/>
        <v/>
      </c>
      <c r="AH254" s="242" t="str">
        <f t="shared" si="42"/>
        <v/>
      </c>
      <c r="AI254" s="335" t="str">
        <f>IF(AH254="Check Data","Check Data",IFERROR(VLOOKUP(AH254,'G-4 Temporal multipliers'!$A$4:$C$36,3,FALSE),""))</f>
        <v/>
      </c>
      <c r="AJ254" s="239" t="str">
        <f>IF(S254="","",VLOOKUP(S254,'G-3 Multipliers'!$A$2:$E$130,4,FALSE))</f>
        <v/>
      </c>
      <c r="AK254" s="175" t="str">
        <f t="shared" si="43"/>
        <v/>
      </c>
      <c r="AL254" s="175" t="str">
        <f t="shared" si="44"/>
        <v/>
      </c>
      <c r="AM254" s="176" t="str">
        <f>IFERROR(IF(F254="","",IF(AH254="Check Data","Check Data",VLOOKUP(AL254, 'G-3 Multipliers'!$P$2:$Q$6,2,FALSE))),””)</f>
        <v/>
      </c>
      <c r="AN254" s="266"/>
      <c r="AO254" s="269" t="str">
        <f>IF(AN254="","",IF(VLOOKUP(AN254,'G-3 Multipliers'!$S$3:$T$9,2,FALSE)=0,"Spatial Data Missing",VLOOKUP(AN254,'G-3 Multipliers'!$S$3:$T$9,2,FALSE)))</f>
        <v/>
      </c>
      <c r="AP254" s="207" t="str">
        <f t="shared" si="45"/>
        <v/>
      </c>
      <c r="AQ254" s="336"/>
      <c r="AR254" s="181"/>
    </row>
    <row r="255" spans="1:44" x14ac:dyDescent="0.25">
      <c r="A255" s="35" t="str">
        <f>IF(E255="","",IF(ISNA(VLOOKUP($E255,'D-1 Off Site Habitat Baseline'!$D$1:$O$258,2,FALSE)),"",(VLOOKUP($E255,'D-1 Off Site Habitat Baseline'!$D$1:$O$258,2,FALSE))))</f>
        <v/>
      </c>
      <c r="B255" s="35" t="str">
        <f>IF(E255="","",IF(ISNA(VLOOKUP($E255,'D-1 Off Site Habitat Baseline'!$D$1:$O$258,3,FALSE)),"",(VLOOKUP($E255,'D-1 Off Site Habitat Baseline'!$D$1:$O$258,3,FALSE))))</f>
        <v/>
      </c>
      <c r="C255" s="35" t="str">
        <f>IFERROR(INDEX('G-8 Condition Look up'!$I$4:$I$131,MATCH(S255,'G-8 Condition Look up'!$A$4:$A$131,0)),"")</f>
        <v/>
      </c>
      <c r="E255" s="329" t="str">
        <f>'D-1 Off Site Habitat Baseline'!AL254</f>
        <v/>
      </c>
      <c r="F255" s="175" t="str">
        <f>IF(E255="","",IF(ISNA(VLOOKUP($E255,'D-1 Off Site Habitat Baseline'!$D$1:$O$258,4,FALSE)),"",(VLOOKUP($E255,'D-1 Off Site Habitat Baseline'!$D$1:$O$258,4,FALSE))))</f>
        <v/>
      </c>
      <c r="G255" s="175" t="str">
        <f>IF(E255="","",IF(ISNA(VLOOKUP($E255,'D-1 Off Site Habitat Baseline'!$D$1:$O$258,5,FALSE)),"",(VLOOKUP($E255,'D-1 Off Site Habitat Baseline'!$D$1:$O$258,5,FALSE))))</f>
        <v/>
      </c>
      <c r="H255" s="175" t="str">
        <f>IF(E255="","",IF(ISNA(VLOOKUP($E255,'D-1 Off Site Habitat Baseline'!$D$1:$O$258,6,FALSE)),"",(VLOOKUP($E255,'D-1 Off Site Habitat Baseline'!$D$1:$O$258,6,FALSE))))</f>
        <v/>
      </c>
      <c r="I255" s="175" t="str">
        <f>IF(E255="","",IF(ISNA(VLOOKUP($E255,'D-1 Off Site Habitat Baseline'!$D$1:$O$258,7,FALSE)),"",(VLOOKUP($E255,'D-1 Off Site Habitat Baseline'!$D$1:$O$258,7,FALSE))))</f>
        <v/>
      </c>
      <c r="J255" s="175" t="str">
        <f>IF(E255="","",IF(ISNA(VLOOKUP($E255,'D-1 Off Site Habitat Baseline'!$D$1:$O$258,8,FALSE)),"",(VLOOKUP($E255,'D-1 Off Site Habitat Baseline'!$D$1:$O$258,8,FALSE))))</f>
        <v/>
      </c>
      <c r="K255" s="175" t="str">
        <f>IF(E255="","",IF(ISNA(VLOOKUP($E255,'D-1 Off Site Habitat Baseline'!$D$1:$O$258,9,FALSE)),"",(VLOOKUP($E255,'D-1 Off Site Habitat Baseline'!$D$1:$O$258,9,FALSE))))</f>
        <v/>
      </c>
      <c r="L255" s="175" t="str">
        <f>IF(E255="","",IF(ISNA(VLOOKUP($E255,'D-1 Off Site Habitat Baseline'!$D$1:$O$258,11,FALSE)),"",(VLOOKUP($E255,'D-1 Off Site Habitat Baseline'!$D$1:$O$258,11,FALSE))))</f>
        <v/>
      </c>
      <c r="M255" s="175" t="str">
        <f>IF(E255="","",IF(ISNA(VLOOKUP($E255,'D-1 Off Site Habitat Baseline'!$D$1:$O$258,12,FALSE)),"",(VLOOKUP($E255,'D-1 Off Site Habitat Baseline'!$D$1:$O$258,12,FALSE))))</f>
        <v/>
      </c>
      <c r="N255" s="175" t="str">
        <f>IF(E255="","",IF(ISNA(VLOOKUP($E255,'D-1 Off Site Habitat Baseline'!$D$1:$X$258,14,FALSE)),"",(VLOOKUP($E255,'D-1 Off Site Habitat Baseline'!$D$1:$X$258,14,FALSE))))</f>
        <v/>
      </c>
      <c r="O255" s="176" t="str">
        <f>IF(E255="","",IF(ISNA(VLOOKUP($E255,'D-1 Off Site Habitat Baseline'!$D$1:$X$258,13,FALSE)),"",(VLOOKUP($E255,'D-1 Off Site Habitat Baseline'!$D$1:$X$258,13,FALSE))))</f>
        <v/>
      </c>
      <c r="P255" s="337" t="str">
        <f>IFERROR(INDEX('G-1 All Habitats'!$AG$3:$AG$15,MATCH(Q255,'G-1 All Habitats'!$AF$3:$AF$15,0)),"")</f>
        <v/>
      </c>
      <c r="Q255" s="331" t="str">
        <f t="shared" si="46"/>
        <v/>
      </c>
      <c r="R255" s="332" t="str">
        <f t="shared" si="47"/>
        <v/>
      </c>
      <c r="S255" s="338" t="str">
        <f>IFERROR(INDEX('G-1 All Habitats'!$B$3:$B$130,MATCH(R255,'G-1 All Habitats'!$A$3:$A$130,0)),"")</f>
        <v/>
      </c>
      <c r="T255" s="179" t="str">
        <f t="shared" si="39"/>
        <v/>
      </c>
      <c r="U255" s="172" t="str">
        <f t="shared" si="40"/>
        <v/>
      </c>
      <c r="V255" s="334" t="str">
        <f t="shared" si="37"/>
        <v/>
      </c>
      <c r="W255" s="175" t="str">
        <f>IF(S255="","",VLOOKUP(S255,'G-1 All Habitats'!$B$2:$M$130,10,FALSE))</f>
        <v/>
      </c>
      <c r="X255" s="175" t="str">
        <f>IFERROR(VLOOKUP(W255,'G-1 All Habitats'!$V$3:$W$7,2,FALSE),"")</f>
        <v/>
      </c>
      <c r="Y255" s="275"/>
      <c r="Z255" s="176" t="str">
        <f>IFERROR(INDEX('G-8 Condition Look up'!$A$3:$H$131,MATCH(S255,'G-8 Condition Look up'!$A$3:$A$131,0),MATCH(Y255,'G-8 Condition Look up'!$A$3:$H$3,0)),"")</f>
        <v/>
      </c>
      <c r="AA255" s="173"/>
      <c r="AB255" s="269" t="str">
        <f>IF(AA255="","",IF(VLOOKUP(AA255,'G-3 Multipliers'!$L$3:$N$6,2,FALSE)=0,"Spatial Data Missing",VLOOKUP(AA255,'G-3 Multipliers'!$L$3:$N$6,2,FALSE)))</f>
        <v/>
      </c>
      <c r="AC255" s="176" t="str">
        <f>IF(AA255="","",IF(VLOOKUP(AA255,'G-3 Multipliers'!$L$3:$N$6,3,FALSE)=0,"Spatial Data Missing",VLOOKUP(AA255,'G-3 Multipliers'!$L$3:$N$6,3,FALSE)))</f>
        <v/>
      </c>
      <c r="AD255" s="239" t="str">
        <f t="shared" si="38"/>
        <v/>
      </c>
      <c r="AE255" s="275"/>
      <c r="AF255" s="275"/>
      <c r="AG255" s="175" t="str">
        <f t="shared" si="41"/>
        <v/>
      </c>
      <c r="AH255" s="242" t="str">
        <f t="shared" si="42"/>
        <v/>
      </c>
      <c r="AI255" s="335" t="str">
        <f>IF(AH255="Check Data","Check Data",IFERROR(VLOOKUP(AH255,'G-4 Temporal multipliers'!$A$4:$C$36,3,FALSE),""))</f>
        <v/>
      </c>
      <c r="AJ255" s="239" t="str">
        <f>IF(S255="","",VLOOKUP(S255,'G-3 Multipliers'!$A$2:$E$130,4,FALSE))</f>
        <v/>
      </c>
      <c r="AK255" s="175" t="str">
        <f t="shared" si="43"/>
        <v/>
      </c>
      <c r="AL255" s="175" t="str">
        <f t="shared" si="44"/>
        <v/>
      </c>
      <c r="AM255" s="176" t="str">
        <f>IFERROR(IF(F255="","",IF(AH255="Check Data","Check Data",VLOOKUP(AL255, 'G-3 Multipliers'!$P$2:$Q$6,2,FALSE))),””)</f>
        <v/>
      </c>
      <c r="AN255" s="266"/>
      <c r="AO255" s="269" t="str">
        <f>IF(AN255="","",IF(VLOOKUP(AN255,'G-3 Multipliers'!$S$3:$T$9,2,FALSE)=0,"Spatial Data Missing",VLOOKUP(AN255,'G-3 Multipliers'!$S$3:$T$9,2,FALSE)))</f>
        <v/>
      </c>
      <c r="AP255" s="207" t="str">
        <f t="shared" si="45"/>
        <v/>
      </c>
      <c r="AQ255" s="336"/>
      <c r="AR255" s="181"/>
    </row>
    <row r="256" spans="1:44" x14ac:dyDescent="0.25">
      <c r="A256" s="35" t="str">
        <f>IF(E256="","",IF(ISNA(VLOOKUP($E256,'D-1 Off Site Habitat Baseline'!$D$1:$O$258,2,FALSE)),"",(VLOOKUP($E256,'D-1 Off Site Habitat Baseline'!$D$1:$O$258,2,FALSE))))</f>
        <v/>
      </c>
      <c r="B256" s="35" t="str">
        <f>IF(E256="","",IF(ISNA(VLOOKUP($E256,'D-1 Off Site Habitat Baseline'!$D$1:$O$258,3,FALSE)),"",(VLOOKUP($E256,'D-1 Off Site Habitat Baseline'!$D$1:$O$258,3,FALSE))))</f>
        <v/>
      </c>
      <c r="C256" s="35" t="str">
        <f>IFERROR(INDEX('G-8 Condition Look up'!$I$4:$I$131,MATCH(S256,'G-8 Condition Look up'!$A$4:$A$131,0)),"")</f>
        <v/>
      </c>
      <c r="E256" s="329" t="str">
        <f>'D-1 Off Site Habitat Baseline'!AL255</f>
        <v/>
      </c>
      <c r="F256" s="175" t="str">
        <f>IF(E256="","",IF(ISNA(VLOOKUP($E256,'D-1 Off Site Habitat Baseline'!$D$1:$O$258,4,FALSE)),"",(VLOOKUP($E256,'D-1 Off Site Habitat Baseline'!$D$1:$O$258,4,FALSE))))</f>
        <v/>
      </c>
      <c r="G256" s="175" t="str">
        <f>IF(E256="","",IF(ISNA(VLOOKUP($E256,'D-1 Off Site Habitat Baseline'!$D$1:$O$258,5,FALSE)),"",(VLOOKUP($E256,'D-1 Off Site Habitat Baseline'!$D$1:$O$258,5,FALSE))))</f>
        <v/>
      </c>
      <c r="H256" s="175" t="str">
        <f>IF(E256="","",IF(ISNA(VLOOKUP($E256,'D-1 Off Site Habitat Baseline'!$D$1:$O$258,6,FALSE)),"",(VLOOKUP($E256,'D-1 Off Site Habitat Baseline'!$D$1:$O$258,6,FALSE))))</f>
        <v/>
      </c>
      <c r="I256" s="175" t="str">
        <f>IF(E256="","",IF(ISNA(VLOOKUP($E256,'D-1 Off Site Habitat Baseline'!$D$1:$O$258,7,FALSE)),"",(VLOOKUP($E256,'D-1 Off Site Habitat Baseline'!$D$1:$O$258,7,FALSE))))</f>
        <v/>
      </c>
      <c r="J256" s="175" t="str">
        <f>IF(E256="","",IF(ISNA(VLOOKUP($E256,'D-1 Off Site Habitat Baseline'!$D$1:$O$258,8,FALSE)),"",(VLOOKUP($E256,'D-1 Off Site Habitat Baseline'!$D$1:$O$258,8,FALSE))))</f>
        <v/>
      </c>
      <c r="K256" s="175" t="str">
        <f>IF(E256="","",IF(ISNA(VLOOKUP($E256,'D-1 Off Site Habitat Baseline'!$D$1:$O$258,9,FALSE)),"",(VLOOKUP($E256,'D-1 Off Site Habitat Baseline'!$D$1:$O$258,9,FALSE))))</f>
        <v/>
      </c>
      <c r="L256" s="175" t="str">
        <f>IF(E256="","",IF(ISNA(VLOOKUP($E256,'D-1 Off Site Habitat Baseline'!$D$1:$O$258,11,FALSE)),"",(VLOOKUP($E256,'D-1 Off Site Habitat Baseline'!$D$1:$O$258,11,FALSE))))</f>
        <v/>
      </c>
      <c r="M256" s="175" t="str">
        <f>IF(E256="","",IF(ISNA(VLOOKUP($E256,'D-1 Off Site Habitat Baseline'!$D$1:$O$258,12,FALSE)),"",(VLOOKUP($E256,'D-1 Off Site Habitat Baseline'!$D$1:$O$258,12,FALSE))))</f>
        <v/>
      </c>
      <c r="N256" s="175" t="str">
        <f>IF(E256="","",IF(ISNA(VLOOKUP($E256,'D-1 Off Site Habitat Baseline'!$D$1:$X$258,14,FALSE)),"",(VLOOKUP($E256,'D-1 Off Site Habitat Baseline'!$D$1:$X$258,14,FALSE))))</f>
        <v/>
      </c>
      <c r="O256" s="176" t="str">
        <f>IF(E256="","",IF(ISNA(VLOOKUP($E256,'D-1 Off Site Habitat Baseline'!$D$1:$X$258,13,FALSE)),"",(VLOOKUP($E256,'D-1 Off Site Habitat Baseline'!$D$1:$X$258,13,FALSE))))</f>
        <v/>
      </c>
      <c r="P256" s="337" t="str">
        <f>IFERROR(INDEX('G-1 All Habitats'!$AG$3:$AG$15,MATCH(Q256,'G-1 All Habitats'!$AF$3:$AF$15,0)),"")</f>
        <v/>
      </c>
      <c r="Q256" s="331" t="str">
        <f t="shared" si="46"/>
        <v/>
      </c>
      <c r="R256" s="332" t="str">
        <f t="shared" si="47"/>
        <v/>
      </c>
      <c r="S256" s="338" t="str">
        <f>IFERROR(INDEX('G-1 All Habitats'!$B$3:$B$130,MATCH(R256,'G-1 All Habitats'!$A$3:$A$130,0)),"")</f>
        <v/>
      </c>
      <c r="T256" s="179" t="str">
        <f t="shared" si="39"/>
        <v/>
      </c>
      <c r="U256" s="172" t="str">
        <f t="shared" si="40"/>
        <v/>
      </c>
      <c r="V256" s="334" t="str">
        <f t="shared" si="37"/>
        <v/>
      </c>
      <c r="W256" s="175" t="str">
        <f>IF(S256="","",VLOOKUP(S256,'G-1 All Habitats'!$B$2:$M$130,10,FALSE))</f>
        <v/>
      </c>
      <c r="X256" s="175" t="str">
        <f>IFERROR(VLOOKUP(W256,'G-1 All Habitats'!$V$3:$W$7,2,FALSE),"")</f>
        <v/>
      </c>
      <c r="Y256" s="275"/>
      <c r="Z256" s="176" t="str">
        <f>IFERROR(INDEX('G-8 Condition Look up'!$A$3:$H$131,MATCH(S256,'G-8 Condition Look up'!$A$3:$A$131,0),MATCH(Y256,'G-8 Condition Look up'!$A$3:$H$3,0)),"")</f>
        <v/>
      </c>
      <c r="AA256" s="173"/>
      <c r="AB256" s="269" t="str">
        <f>IF(AA256="","",IF(VLOOKUP(AA256,'G-3 Multipliers'!$L$3:$N$6,2,FALSE)=0,"Spatial Data Missing",VLOOKUP(AA256,'G-3 Multipliers'!$L$3:$N$6,2,FALSE)))</f>
        <v/>
      </c>
      <c r="AC256" s="176" t="str">
        <f>IF(AA256="","",IF(VLOOKUP(AA256,'G-3 Multipliers'!$L$3:$N$6,3,FALSE)=0,"Spatial Data Missing",VLOOKUP(AA256,'G-3 Multipliers'!$L$3:$N$6,3,FALSE)))</f>
        <v/>
      </c>
      <c r="AD256" s="239" t="str">
        <f t="shared" si="38"/>
        <v/>
      </c>
      <c r="AE256" s="275"/>
      <c r="AF256" s="275"/>
      <c r="AG256" s="175" t="str">
        <f t="shared" si="41"/>
        <v/>
      </c>
      <c r="AH256" s="242" t="str">
        <f t="shared" si="42"/>
        <v/>
      </c>
      <c r="AI256" s="335" t="str">
        <f>IF(AH256="Check Data","Check Data",IFERROR(VLOOKUP(AH256,'G-4 Temporal multipliers'!$A$4:$C$36,3,FALSE),""))</f>
        <v/>
      </c>
      <c r="AJ256" s="239" t="str">
        <f>IF(S256="","",VLOOKUP(S256,'G-3 Multipliers'!$A$2:$E$130,4,FALSE))</f>
        <v/>
      </c>
      <c r="AK256" s="175" t="str">
        <f t="shared" si="43"/>
        <v/>
      </c>
      <c r="AL256" s="175" t="str">
        <f t="shared" si="44"/>
        <v/>
      </c>
      <c r="AM256" s="176" t="str">
        <f>IFERROR(IF(F256="","",IF(AH256="Check Data","Check Data",VLOOKUP(AL256, 'G-3 Multipliers'!$P$2:$Q$6,2,FALSE))),””)</f>
        <v/>
      </c>
      <c r="AN256" s="266"/>
      <c r="AO256" s="269" t="str">
        <f>IF(AN256="","",IF(VLOOKUP(AN256,'G-3 Multipliers'!$S$3:$T$9,2,FALSE)=0,"Spatial Data Missing",VLOOKUP(AN256,'G-3 Multipliers'!$S$3:$T$9,2,FALSE)))</f>
        <v/>
      </c>
      <c r="AP256" s="207" t="str">
        <f t="shared" si="45"/>
        <v/>
      </c>
      <c r="AQ256" s="336"/>
      <c r="AR256" s="181"/>
    </row>
    <row r="257" spans="1:44" x14ac:dyDescent="0.25">
      <c r="A257" s="35" t="str">
        <f>IF(E257="","",IF(ISNA(VLOOKUP($E257,'D-1 Off Site Habitat Baseline'!$D$1:$O$258,2,FALSE)),"",(VLOOKUP($E257,'D-1 Off Site Habitat Baseline'!$D$1:$O$258,2,FALSE))))</f>
        <v/>
      </c>
      <c r="B257" s="35" t="str">
        <f>IF(E257="","",IF(ISNA(VLOOKUP($E257,'D-1 Off Site Habitat Baseline'!$D$1:$O$258,3,FALSE)),"",(VLOOKUP($E257,'D-1 Off Site Habitat Baseline'!$D$1:$O$258,3,FALSE))))</f>
        <v/>
      </c>
      <c r="C257" s="35" t="str">
        <f>IFERROR(INDEX('G-8 Condition Look up'!$I$4:$I$131,MATCH(S257,'G-8 Condition Look up'!$A$4:$A$131,0)),"")</f>
        <v/>
      </c>
      <c r="E257" s="329" t="str">
        <f>'D-1 Off Site Habitat Baseline'!AL256</f>
        <v/>
      </c>
      <c r="F257" s="175" t="str">
        <f>IF(E257="","",IF(ISNA(VLOOKUP($E257,'D-1 Off Site Habitat Baseline'!$D$1:$O$258,4,FALSE)),"",(VLOOKUP($E257,'D-1 Off Site Habitat Baseline'!$D$1:$O$258,4,FALSE))))</f>
        <v/>
      </c>
      <c r="G257" s="175" t="str">
        <f>IF(E257="","",IF(ISNA(VLOOKUP($E257,'D-1 Off Site Habitat Baseline'!$D$1:$O$258,5,FALSE)),"",(VLOOKUP($E257,'D-1 Off Site Habitat Baseline'!$D$1:$O$258,5,FALSE))))</f>
        <v/>
      </c>
      <c r="H257" s="175" t="str">
        <f>IF(E257="","",IF(ISNA(VLOOKUP($E257,'D-1 Off Site Habitat Baseline'!$D$1:$O$258,6,FALSE)),"",(VLOOKUP($E257,'D-1 Off Site Habitat Baseline'!$D$1:$O$258,6,FALSE))))</f>
        <v/>
      </c>
      <c r="I257" s="175" t="str">
        <f>IF(E257="","",IF(ISNA(VLOOKUP($E257,'D-1 Off Site Habitat Baseline'!$D$1:$O$258,7,FALSE)),"",(VLOOKUP($E257,'D-1 Off Site Habitat Baseline'!$D$1:$O$258,7,FALSE))))</f>
        <v/>
      </c>
      <c r="J257" s="175" t="str">
        <f>IF(E257="","",IF(ISNA(VLOOKUP($E257,'D-1 Off Site Habitat Baseline'!$D$1:$O$258,8,FALSE)),"",(VLOOKUP($E257,'D-1 Off Site Habitat Baseline'!$D$1:$O$258,8,FALSE))))</f>
        <v/>
      </c>
      <c r="K257" s="175" t="str">
        <f>IF(E257="","",IF(ISNA(VLOOKUP($E257,'D-1 Off Site Habitat Baseline'!$D$1:$O$258,9,FALSE)),"",(VLOOKUP($E257,'D-1 Off Site Habitat Baseline'!$D$1:$O$258,9,FALSE))))</f>
        <v/>
      </c>
      <c r="L257" s="175" t="str">
        <f>IF(E257="","",IF(ISNA(VLOOKUP($E257,'D-1 Off Site Habitat Baseline'!$D$1:$O$258,11,FALSE)),"",(VLOOKUP($E257,'D-1 Off Site Habitat Baseline'!$D$1:$O$258,11,FALSE))))</f>
        <v/>
      </c>
      <c r="M257" s="175" t="str">
        <f>IF(E257="","",IF(ISNA(VLOOKUP($E257,'D-1 Off Site Habitat Baseline'!$D$1:$O$258,12,FALSE)),"",(VLOOKUP($E257,'D-1 Off Site Habitat Baseline'!$D$1:$O$258,12,FALSE))))</f>
        <v/>
      </c>
      <c r="N257" s="175" t="str">
        <f>IF(E257="","",IF(ISNA(VLOOKUP($E257,'D-1 Off Site Habitat Baseline'!$D$1:$X$258,14,FALSE)),"",(VLOOKUP($E257,'D-1 Off Site Habitat Baseline'!$D$1:$X$258,14,FALSE))))</f>
        <v/>
      </c>
      <c r="O257" s="176" t="str">
        <f>IF(E257="","",IF(ISNA(VLOOKUP($E257,'D-1 Off Site Habitat Baseline'!$D$1:$X$258,13,FALSE)),"",(VLOOKUP($E257,'D-1 Off Site Habitat Baseline'!$D$1:$X$258,13,FALSE))))</f>
        <v/>
      </c>
      <c r="P257" s="337" t="str">
        <f>IFERROR(INDEX('G-1 All Habitats'!$AG$3:$AG$15,MATCH(Q257,'G-1 All Habitats'!$AF$3:$AF$15,0)),"")</f>
        <v/>
      </c>
      <c r="Q257" s="331" t="str">
        <f t="shared" si="46"/>
        <v/>
      </c>
      <c r="R257" s="332" t="str">
        <f t="shared" si="47"/>
        <v/>
      </c>
      <c r="S257" s="338" t="str">
        <f>IFERROR(INDEX('G-1 All Habitats'!$B$3:$B$130,MATCH(R257,'G-1 All Habitats'!$A$3:$A$130,0)),"")</f>
        <v/>
      </c>
      <c r="T257" s="179" t="str">
        <f t="shared" si="39"/>
        <v/>
      </c>
      <c r="U257" s="172" t="str">
        <f t="shared" si="40"/>
        <v/>
      </c>
      <c r="V257" s="334" t="str">
        <f t="shared" si="37"/>
        <v/>
      </c>
      <c r="W257" s="175" t="str">
        <f>IF(S257="","",VLOOKUP(S257,'G-1 All Habitats'!$B$2:$M$130,10,FALSE))</f>
        <v/>
      </c>
      <c r="X257" s="175" t="str">
        <f>IFERROR(VLOOKUP(W257,'G-1 All Habitats'!$V$3:$W$7,2,FALSE),"")</f>
        <v/>
      </c>
      <c r="Y257" s="275"/>
      <c r="Z257" s="176" t="str">
        <f>IFERROR(INDEX('G-8 Condition Look up'!$A$3:$H$131,MATCH(S257,'G-8 Condition Look up'!$A$3:$A$131,0),MATCH(Y257,'G-8 Condition Look up'!$A$3:$H$3,0)),"")</f>
        <v/>
      </c>
      <c r="AA257" s="173"/>
      <c r="AB257" s="269" t="str">
        <f>IF(AA257="","",IF(VLOOKUP(AA257,'G-3 Multipliers'!$L$3:$N$6,2,FALSE)=0,"Spatial Data Missing",VLOOKUP(AA257,'G-3 Multipliers'!$L$3:$N$6,2,FALSE)))</f>
        <v/>
      </c>
      <c r="AC257" s="176" t="str">
        <f>IF(AA257="","",IF(VLOOKUP(AA257,'G-3 Multipliers'!$L$3:$N$6,3,FALSE)=0,"Spatial Data Missing",VLOOKUP(AA257,'G-3 Multipliers'!$L$3:$N$6,3,FALSE)))</f>
        <v/>
      </c>
      <c r="AD257" s="239" t="str">
        <f t="shared" si="38"/>
        <v/>
      </c>
      <c r="AE257" s="275"/>
      <c r="AF257" s="275"/>
      <c r="AG257" s="175" t="str">
        <f t="shared" si="41"/>
        <v/>
      </c>
      <c r="AH257" s="242" t="str">
        <f t="shared" si="42"/>
        <v/>
      </c>
      <c r="AI257" s="335" t="str">
        <f>IF(AH257="Check Data","Check Data",IFERROR(VLOOKUP(AH257,'G-4 Temporal multipliers'!$A$4:$C$36,3,FALSE),""))</f>
        <v/>
      </c>
      <c r="AJ257" s="239" t="str">
        <f>IF(S257="","",VLOOKUP(S257,'G-3 Multipliers'!$A$2:$E$130,4,FALSE))</f>
        <v/>
      </c>
      <c r="AK257" s="175" t="str">
        <f t="shared" si="43"/>
        <v/>
      </c>
      <c r="AL257" s="175" t="str">
        <f t="shared" si="44"/>
        <v/>
      </c>
      <c r="AM257" s="176" t="str">
        <f>IFERROR(IF(F257="","",IF(AH257="Check Data","Check Data",VLOOKUP(AL257, 'G-3 Multipliers'!$P$2:$Q$6,2,FALSE))),””)</f>
        <v/>
      </c>
      <c r="AN257" s="266"/>
      <c r="AO257" s="269" t="str">
        <f>IF(AN257="","",IF(VLOOKUP(AN257,'G-3 Multipliers'!$S$3:$T$9,2,FALSE)=0,"Spatial Data Missing",VLOOKUP(AN257,'G-3 Multipliers'!$S$3:$T$9,2,FALSE)))</f>
        <v/>
      </c>
      <c r="AP257" s="207" t="str">
        <f t="shared" si="45"/>
        <v/>
      </c>
      <c r="AQ257" s="336"/>
      <c r="AR257" s="181"/>
    </row>
    <row r="258" spans="1:44" ht="14.4" thickBot="1" x14ac:dyDescent="0.3">
      <c r="A258" s="35" t="str">
        <f>IF(E258="","",IF(ISNA(VLOOKUP($E258,'D-1 Off Site Habitat Baseline'!$D$1:$O$258,2,FALSE)),"",(VLOOKUP($E258,'D-1 Off Site Habitat Baseline'!$D$1:$O$258,2,FALSE))))</f>
        <v/>
      </c>
      <c r="B258" s="35" t="str">
        <f>IF(E258="","",IF(ISNA(VLOOKUP($E258,'D-1 Off Site Habitat Baseline'!$D$1:$O$258,3,FALSE)),"",(VLOOKUP($E258,'D-1 Off Site Habitat Baseline'!$D$1:$O$258,3,FALSE))))</f>
        <v/>
      </c>
      <c r="C258" s="35" t="str">
        <f>IFERROR(INDEX('G-8 Condition Look up'!$I$4:$I$131,MATCH(S258,'G-8 Condition Look up'!$A$4:$A$131,0)),"")</f>
        <v/>
      </c>
      <c r="E258" s="684" t="str">
        <f>'D-1 Off Site Habitat Baseline'!AL257</f>
        <v/>
      </c>
      <c r="F258" s="650" t="str">
        <f>IF(E258="","",IF(ISNA(VLOOKUP($E258,'D-1 Off Site Habitat Baseline'!$D$1:$O$258,4,FALSE)),"",(VLOOKUP($E258,'D-1 Off Site Habitat Baseline'!$D$1:$O$258,4,FALSE))))</f>
        <v/>
      </c>
      <c r="G258" s="650" t="str">
        <f>IF(E258="","",IF(ISNA(VLOOKUP($E258,'D-1 Off Site Habitat Baseline'!$D$1:$O$258,5,FALSE)),"",(VLOOKUP($E258,'D-1 Off Site Habitat Baseline'!$D$1:$O$258,5,FALSE))))</f>
        <v/>
      </c>
      <c r="H258" s="650" t="str">
        <f>IF(E258="","",IF(ISNA(VLOOKUP($E258,'D-1 Off Site Habitat Baseline'!$D$1:$O$258,6,FALSE)),"",(VLOOKUP($E258,'D-1 Off Site Habitat Baseline'!$D$1:$O$258,6,FALSE))))</f>
        <v/>
      </c>
      <c r="I258" s="650" t="str">
        <f>IF(E258="","",IF(ISNA(VLOOKUP($E258,'D-1 Off Site Habitat Baseline'!$D$1:$O$258,7,FALSE)),"",(VLOOKUP($E258,'D-1 Off Site Habitat Baseline'!$D$1:$O$258,7,FALSE))))</f>
        <v/>
      </c>
      <c r="J258" s="650" t="str">
        <f>IF(E258="","",IF(ISNA(VLOOKUP($E258,'D-1 Off Site Habitat Baseline'!$D$1:$O$258,8,FALSE)),"",(VLOOKUP($E258,'D-1 Off Site Habitat Baseline'!$D$1:$O$258,8,FALSE))))</f>
        <v/>
      </c>
      <c r="K258" s="650" t="str">
        <f>IF(E258="","",IF(ISNA(VLOOKUP($E258,'D-1 Off Site Habitat Baseline'!$D$1:$O$258,9,FALSE)),"",(VLOOKUP($E258,'D-1 Off Site Habitat Baseline'!$D$1:$O$258,9,FALSE))))</f>
        <v/>
      </c>
      <c r="L258" s="650" t="str">
        <f>IF(E258="","",IF(ISNA(VLOOKUP($E258,'D-1 Off Site Habitat Baseline'!$D$1:$O$258,11,FALSE)),"",(VLOOKUP($E258,'D-1 Off Site Habitat Baseline'!$D$1:$O$258,11,FALSE))))</f>
        <v/>
      </c>
      <c r="M258" s="650" t="str">
        <f>IF(E258="","",IF(ISNA(VLOOKUP($E258,'D-1 Off Site Habitat Baseline'!$D$1:$O$258,12,FALSE)),"",(VLOOKUP($E258,'D-1 Off Site Habitat Baseline'!$D$1:$O$258,12,FALSE))))</f>
        <v/>
      </c>
      <c r="N258" s="650" t="str">
        <f>IF(E258="","",IF(ISNA(VLOOKUP($E258,'D-1 Off Site Habitat Baseline'!$D$1:$X$258,14,FALSE)),"",(VLOOKUP($E258,'D-1 Off Site Habitat Baseline'!$D$1:$X$258,14,FALSE))))</f>
        <v/>
      </c>
      <c r="O258" s="651" t="str">
        <f>IF(E258="","",IF(ISNA(VLOOKUP($E258,'D-1 Off Site Habitat Baseline'!$D$1:$X$258,13,FALSE)),"",(VLOOKUP($E258,'D-1 Off Site Habitat Baseline'!$D$1:$X$258,13,FALSE))))</f>
        <v/>
      </c>
      <c r="P258" s="685" t="str">
        <f>IFERROR(INDEX('G-1 All Habitats'!$AG$3:$AG$15,MATCH(Q258,'G-1 All Habitats'!$AF$3:$AF$15,0)),"")</f>
        <v/>
      </c>
      <c r="Q258" s="686" t="str">
        <f t="shared" si="46"/>
        <v/>
      </c>
      <c r="R258" s="687" t="str">
        <f t="shared" si="47"/>
        <v/>
      </c>
      <c r="S258" s="688" t="str">
        <f>IFERROR(INDEX('G-1 All Habitats'!$B$3:$B$130,MATCH(R258,'G-1 All Habitats'!$A$3:$A$130,0)),"")</f>
        <v/>
      </c>
      <c r="T258" s="650" t="str">
        <f t="shared" si="39"/>
        <v/>
      </c>
      <c r="U258" s="651" t="str">
        <f t="shared" si="40"/>
        <v/>
      </c>
      <c r="V258" s="689" t="str">
        <f t="shared" si="37"/>
        <v/>
      </c>
      <c r="W258" s="650" t="str">
        <f>IF(S258="","",VLOOKUP(S258,'G-1 All Habitats'!$B$2:$M$130,10,FALSE))</f>
        <v/>
      </c>
      <c r="X258" s="650" t="str">
        <f>IFERROR(VLOOKUP(W258,'G-1 All Habitats'!$V$3:$W$7,2,FALSE),"")</f>
        <v/>
      </c>
      <c r="Y258" s="292"/>
      <c r="Z258" s="651" t="str">
        <f>IFERROR(INDEX('G-8 Condition Look up'!$A$3:$H$131,MATCH(S258,'G-8 Condition Look up'!$A$3:$A$131,0),MATCH(Y258,'G-8 Condition Look up'!$A$3:$H$3,0)),"")</f>
        <v/>
      </c>
      <c r="AA258" s="291"/>
      <c r="AB258" s="690" t="str">
        <f>IF(AA258="","",IF(VLOOKUP(AA258,'G-3 Multipliers'!$L$3:$N$6,2,FALSE)=0,"Spatial Data Missing",VLOOKUP(AA258,'G-3 Multipliers'!$L$3:$N$6,2,FALSE)))</f>
        <v/>
      </c>
      <c r="AC258" s="651" t="str">
        <f>IF(AA258="","",IF(VLOOKUP(AA258,'G-3 Multipliers'!$L$3:$N$6,3,FALSE)=0,"Spatial Data Missing",VLOOKUP(AA258,'G-3 Multipliers'!$L$3:$N$6,3,FALSE)))</f>
        <v/>
      </c>
      <c r="AD258" s="653" t="str">
        <f t="shared" si="38"/>
        <v/>
      </c>
      <c r="AE258" s="292"/>
      <c r="AF258" s="292"/>
      <c r="AG258" s="650" t="str">
        <f t="shared" si="41"/>
        <v/>
      </c>
      <c r="AH258" s="242" t="str">
        <f t="shared" si="42"/>
        <v/>
      </c>
      <c r="AI258" s="691" t="str">
        <f>IF(AH258="Check Data","Check Data",IFERROR(VLOOKUP(AH258,'G-4 Temporal multipliers'!$A$4:$C$36,3,FALSE),""))</f>
        <v/>
      </c>
      <c r="AJ258" s="653" t="str">
        <f>IF(S258="","",VLOOKUP(S258,'G-3 Multipliers'!$A$2:$E$130,4,FALSE))</f>
        <v/>
      </c>
      <c r="AK258" s="650" t="str">
        <f t="shared" si="43"/>
        <v/>
      </c>
      <c r="AL258" s="650" t="str">
        <f t="shared" si="44"/>
        <v/>
      </c>
      <c r="AM258" s="651" t="str">
        <f>IFERROR(IF(F258="","",IF(AH258="Check Data","Check Data",VLOOKUP(AL258, 'G-3 Multipliers'!$P$2:$Q$6,2,FALSE))),””)</f>
        <v/>
      </c>
      <c r="AN258" s="614"/>
      <c r="AO258" s="615" t="str">
        <f>IF(AN258="","",IF(VLOOKUP(AN258,'G-3 Multipliers'!$S$3:$T$9,2,FALSE)=0,"Spatial Data Missing",VLOOKUP(AN258,'G-3 Multipliers'!$S$3:$T$9,2,FALSE)))</f>
        <v/>
      </c>
      <c r="AP258" s="616" t="str">
        <f t="shared" si="45"/>
        <v/>
      </c>
      <c r="AQ258" s="692"/>
      <c r="AR258" s="693"/>
    </row>
    <row r="259" spans="1:44" ht="21.6" customHeight="1" thickBot="1" x14ac:dyDescent="0.3"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326"/>
      <c r="V259" s="694">
        <f>SUM(V12:V258)</f>
        <v>0</v>
      </c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682"/>
      <c r="AO259" s="682"/>
      <c r="AP259" s="683">
        <f>SUM(AP12:AP258)</f>
        <v>0</v>
      </c>
      <c r="AQ259" s="51"/>
      <c r="AR259" s="51"/>
    </row>
    <row r="260" spans="1:44" x14ac:dyDescent="0.25">
      <c r="V260" s="35" t="str">
        <f>IF(V259&lt;&gt;'D-1 Off Site Habitat Baseline'!T259,"Error - Area of habitat enhancement must match the area from sheet D1","")</f>
        <v/>
      </c>
    </row>
    <row r="261" spans="1:44" x14ac:dyDescent="0.25"/>
    <row r="262" spans="1:44" x14ac:dyDescent="0.25"/>
    <row r="263" spans="1:44" x14ac:dyDescent="0.25"/>
    <row r="264" spans="1:44" x14ac:dyDescent="0.25"/>
    <row r="265" spans="1:44" x14ac:dyDescent="0.25"/>
    <row r="266" spans="1:44" x14ac:dyDescent="0.25"/>
    <row r="267" spans="1:44" x14ac:dyDescent="0.25"/>
    <row r="268" spans="1:44" x14ac:dyDescent="0.25"/>
    <row r="269" spans="1:44" x14ac:dyDescent="0.25"/>
  </sheetData>
  <sheetProtection algorithmName="SHA-512" hashValue="YKnKr0dS2SYuXrjvUfH8TVn0Y/cc3D1mWPMAl1LGfjt212BU0zOByqDJp9fD6sYYeFK8RDsJNyCtzD+RUGZadg==" saltValue="jazZBwsBynHMBdNWlIKjwQ==" spinCount="100000" sheet="1" objects="1" scenarios="1"/>
  <customSheetViews>
    <customSheetView guid="{8BDA793C-C9C5-4FC6-A0A5-F1109F6D4F22}" topLeftCell="D1">
      <pane ySplit="11" topLeftCell="A12" activePane="bottomLeft" state="frozen"/>
      <selection pane="bottomLeft"/>
    </customSheetView>
  </customSheetViews>
  <mergeCells count="19">
    <mergeCell ref="E2:G2"/>
    <mergeCell ref="E3:G4"/>
    <mergeCell ref="AN10:AO10"/>
    <mergeCell ref="F10:O10"/>
    <mergeCell ref="Q9:AO9"/>
    <mergeCell ref="Q10:R10"/>
    <mergeCell ref="AD5:AI6"/>
    <mergeCell ref="AD2:AI3"/>
    <mergeCell ref="AQ10:AR10"/>
    <mergeCell ref="T10:U10"/>
    <mergeCell ref="AA10:AC10"/>
    <mergeCell ref="Z10:Z11"/>
    <mergeCell ref="Y10:Y11"/>
    <mergeCell ref="X10:X11"/>
    <mergeCell ref="W10:W11"/>
    <mergeCell ref="V10:V11"/>
    <mergeCell ref="AD10:AI10"/>
    <mergeCell ref="AJ10:AM10"/>
    <mergeCell ref="AP10:AP11"/>
  </mergeCells>
  <conditionalFormatting sqref="Z12">
    <cfRule type="containsText" dxfId="153" priority="40" operator="containsText" text="Not Possible">
      <formula>NOT(ISERROR(SEARCH("Not Possible",Z12)))</formula>
    </cfRule>
  </conditionalFormatting>
  <conditionalFormatting sqref="AN12:AN24">
    <cfRule type="containsText" dxfId="152" priority="37" operator="containsText" text="Existing Value Not Required">
      <formula>NOT(ISERROR(SEARCH("Existing Value Not Required",AN12)))</formula>
    </cfRule>
    <cfRule type="containsText" dxfId="151" priority="38" operator="containsText" text="Existing Value Required">
      <formula>NOT(ISERROR(SEARCH("Existing Value Required",AN12)))</formula>
    </cfRule>
  </conditionalFormatting>
  <conditionalFormatting sqref="Z13">
    <cfRule type="containsText" dxfId="150" priority="19" operator="containsText" text="Not Possible">
      <formula>NOT(ISERROR(SEARCH("Not Possible",Z13)))</formula>
    </cfRule>
  </conditionalFormatting>
  <conditionalFormatting sqref="AN13">
    <cfRule type="containsText" dxfId="149" priority="17" operator="containsText" text="Existing Value Not Required">
      <formula>NOT(ISERROR(SEARCH("Existing Value Not Required",AN13)))</formula>
    </cfRule>
    <cfRule type="containsText" dxfId="148" priority="18" operator="containsText" text="Existing Value Required">
      <formula>NOT(ISERROR(SEARCH("Existing Value Required",AN13)))</formula>
    </cfRule>
  </conditionalFormatting>
  <conditionalFormatting sqref="AN14:AN258">
    <cfRule type="containsText" dxfId="147" priority="14" operator="containsText" text="Existing Value Not Required">
      <formula>NOT(ISERROR(SEARCH("Existing Value Not Required",AN14)))</formula>
    </cfRule>
    <cfRule type="containsText" dxfId="146" priority="15" operator="containsText" text="Existing Value Required">
      <formula>NOT(ISERROR(SEARCH("Existing Value Required",AN14)))</formula>
    </cfRule>
  </conditionalFormatting>
  <conditionalFormatting sqref="Z14:Z258">
    <cfRule type="containsText" dxfId="145" priority="16" operator="containsText" text="Not Possible">
      <formula>NOT(ISERROR(SEARCH("Not Possible",Z14)))</formula>
    </cfRule>
  </conditionalFormatting>
  <conditionalFormatting sqref="AP12:AP258">
    <cfRule type="containsText" dxfId="144" priority="12" operator="containsText" text="Existing Value Not Required">
      <formula>NOT(ISERROR(SEARCH("Existing Value Not Required",AP12)))</formula>
    </cfRule>
    <cfRule type="containsText" dxfId="143" priority="13" operator="containsText" text="Existing Value Required">
      <formula>NOT(ISERROR(SEARCH("Existing Value Required",AP12)))</formula>
    </cfRule>
  </conditionalFormatting>
  <conditionalFormatting sqref="O12:O258">
    <cfRule type="beginsWith" dxfId="142" priority="8" operator="beginsWith" text="Bespoke">
      <formula>LEFT(O12,LEN("Bespoke"))="Bespoke"</formula>
    </cfRule>
    <cfRule type="beginsWith" dxfId="141" priority="9" operator="beginsWith" text="Same distinctiveness">
      <formula>LEFT(O12,LEN("Same distinctiveness"))="Same distinctiveness"</formula>
    </cfRule>
    <cfRule type="beginsWith" dxfId="140" priority="10" operator="beginsWith" text="Same broad">
      <formula>LEFT(O12,LEN("Same broad"))="Same broad"</formula>
    </cfRule>
    <cfRule type="beginsWith" dxfId="139" priority="11" operator="beginsWith" text="Same Habitat">
      <formula>LEFT(O12,LEN("Same Habitat"))="Same Habitat"</formula>
    </cfRule>
  </conditionalFormatting>
  <conditionalFormatting sqref="T12:AP258">
    <cfRule type="containsText" dxfId="138" priority="7" operator="containsText" text="Error">
      <formula>NOT(ISERROR(SEARCH("Error",T12)))</formula>
    </cfRule>
  </conditionalFormatting>
  <conditionalFormatting sqref="AB12:AC258">
    <cfRule type="containsText" dxfId="137" priority="6" operator="containsText" text="Spatial">
      <formula>NOT(ISERROR(SEARCH("Spatial",AB12)))</formula>
    </cfRule>
  </conditionalFormatting>
  <conditionalFormatting sqref="AD2">
    <cfRule type="containsText" dxfId="136" priority="5" operator="containsText" text="Note">
      <formula>NOT(ISERROR(SEARCH("Note",AD2)))</formula>
    </cfRule>
  </conditionalFormatting>
  <conditionalFormatting sqref="AD12:AP258">
    <cfRule type="containsText" dxfId="135" priority="4" operator="containsText" text="Check">
      <formula>NOT(ISERROR(SEARCH("Check",AD12)))</formula>
    </cfRule>
  </conditionalFormatting>
  <conditionalFormatting sqref="AO12:AO258">
    <cfRule type="containsText" dxfId="134" priority="3" operator="containsText" text="Spatial">
      <formula>NOT(ISERROR(SEARCH("Spatial",AO12)))</formula>
    </cfRule>
  </conditionalFormatting>
  <conditionalFormatting sqref="V260">
    <cfRule type="containsText" dxfId="133" priority="2" operator="containsText" text="Error">
      <formula>NOT(ISERROR(SEARCH("Error",V260)))</formula>
    </cfRule>
  </conditionalFormatting>
  <conditionalFormatting sqref="AD5">
    <cfRule type="containsText" dxfId="132" priority="1" operator="containsText" text="Change">
      <formula>NOT(ISERROR(SEARCH("Change",AD5)))</formula>
    </cfRule>
  </conditionalFormatting>
  <dataValidations count="3">
    <dataValidation type="list" allowBlank="1" showInputMessage="1" showErrorMessage="1" sqref="R12:R258" xr:uid="{00000000-0002-0000-0E00-000000000000}">
      <formula1>INDIRECT(P12)</formula1>
    </dataValidation>
    <dataValidation allowBlank="1" showErrorMessage="1" errorTitle="Invalid Habitat" error="Select from List" sqref="S12:S258" xr:uid="{00000000-0002-0000-0E00-000001000000}"/>
    <dataValidation type="list" allowBlank="1" showInputMessage="1" showErrorMessage="1" sqref="Y12:Y258" xr:uid="{00000000-0002-0000-0E00-000002000000}">
      <formula1>INDIRECT(C12)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E00-000003000000}">
          <x14:formula1>
            <xm:f>'G-3 Multipliers'!$L$4:$L$6</xm:f>
          </x14:formula1>
          <xm:sqref>AA12:AA258</xm:sqref>
        </x14:dataValidation>
        <x14:dataValidation type="list" allowBlank="1" showInputMessage="1" showErrorMessage="1" xr:uid="{00000000-0002-0000-0E00-000004000000}">
          <x14:formula1>
            <xm:f>'G-3 Multipliers'!$S$4:$S$9</xm:f>
          </x14:formula1>
          <xm:sqref>AN12:AN258</xm:sqref>
        </x14:dataValidation>
        <x14:dataValidation type="list" allowBlank="1" showInputMessage="1" showErrorMessage="1" xr:uid="{00000000-0002-0000-0E00-000005000000}">
          <x14:formula1>
            <xm:f>'G-1 All Habitats'!$AF$3:$AF$15</xm:f>
          </x14:formula1>
          <xm:sqref>Q12:Q258</xm:sqref>
        </x14:dataValidation>
        <x14:dataValidation type="list" allowBlank="1" showInputMessage="1" showErrorMessage="1" xr:uid="{00000000-0002-0000-0E00-000006000000}">
          <x14:formula1>
            <xm:f>'G-4 Temporal multipliers'!$A$41:$A$72</xm:f>
          </x14:formula1>
          <xm:sqref>AE12:AF258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8">
    <tabColor theme="9"/>
  </sheetPr>
  <dimension ref="B1:AL264"/>
  <sheetViews>
    <sheetView zoomScale="70" zoomScaleNormal="70" workbookViewId="0">
      <pane ySplit="9" topLeftCell="A10" activePane="bottomLeft" state="frozen"/>
      <selection activeCell="B18" sqref="B18:I19"/>
      <selection pane="bottomLeft" activeCell="B2" sqref="B2:D2"/>
    </sheetView>
  </sheetViews>
  <sheetFormatPr defaultColWidth="8.88671875" defaultRowHeight="0" customHeight="1" zeroHeight="1" x14ac:dyDescent="0.25"/>
  <cols>
    <col min="1" max="1" width="3" style="35" customWidth="1"/>
    <col min="2" max="2" width="11.88671875" style="35" customWidth="1"/>
    <col min="3" max="3" width="12.6640625" style="35" customWidth="1"/>
    <col min="4" max="4" width="62.5546875" style="35" customWidth="1"/>
    <col min="5" max="5" width="10.6640625" style="35" customWidth="1"/>
    <col min="6" max="6" width="19.109375" style="35" customWidth="1"/>
    <col min="7" max="7" width="8.6640625" style="35" customWidth="1"/>
    <col min="8" max="8" width="14.33203125" style="35" bestFit="1" customWidth="1"/>
    <col min="9" max="9" width="8.44140625" style="35" customWidth="1"/>
    <col min="10" max="10" width="41.6640625" style="35" customWidth="1"/>
    <col min="11" max="11" width="21.44140625" style="35" customWidth="1"/>
    <col min="12" max="12" width="13.109375" style="35" customWidth="1"/>
    <col min="13" max="13" width="20.6640625" style="35" customWidth="1"/>
    <col min="14" max="14" width="13.33203125" style="35" customWidth="1"/>
    <col min="15" max="15" width="3.6640625" style="35" customWidth="1"/>
    <col min="16" max="17" width="12" style="35" customWidth="1"/>
    <col min="18" max="18" width="10.109375" style="35" customWidth="1"/>
    <col min="19" max="19" width="12" style="35" customWidth="1"/>
    <col min="20" max="21" width="8.6640625" style="35" customWidth="1"/>
    <col min="22" max="23" width="50.109375" style="35" customWidth="1"/>
    <col min="24" max="28" width="8.88671875" style="35" customWidth="1"/>
    <col min="29" max="30" width="8.88671875" style="35"/>
    <col min="31" max="31" width="9" style="35" hidden="1" customWidth="1"/>
    <col min="32" max="32" width="9.5546875" style="35" hidden="1" customWidth="1"/>
    <col min="33" max="33" width="0" style="35" hidden="1" customWidth="1"/>
    <col min="34" max="34" width="11.88671875" style="35" hidden="1" customWidth="1"/>
    <col min="35" max="35" width="0" style="35" hidden="1" customWidth="1"/>
    <col min="36" max="36" width="9" style="35" hidden="1" customWidth="1"/>
    <col min="37" max="37" width="9.5546875" style="35" hidden="1" customWidth="1"/>
    <col min="38" max="38" width="15.88671875" style="35" hidden="1" customWidth="1"/>
    <col min="39" max="16384" width="8.88671875" style="35"/>
  </cols>
  <sheetData>
    <row r="1" spans="2:38" ht="15.75" customHeight="1" thickBot="1" x14ac:dyDescent="0.3"/>
    <row r="2" spans="2:38" ht="20.25" customHeight="1" thickBot="1" x14ac:dyDescent="0.3">
      <c r="B2" s="785" t="str">
        <f>IF([1]Start!$F$12="","",[1]Start!$F$12)</f>
        <v/>
      </c>
      <c r="C2" s="786"/>
      <c r="D2" s="787"/>
    </row>
    <row r="3" spans="2:38" ht="20.399999999999999" customHeight="1" x14ac:dyDescent="0.25">
      <c r="B3" s="280" t="str">
        <f ca="1">MID(CELL("filename",A1),FIND("]",CELL("filename",A1))+1,256)</f>
        <v>B-1 Site Hedge Baseline</v>
      </c>
      <c r="C3" s="281"/>
      <c r="D3" s="282"/>
    </row>
    <row r="4" spans="2:38" ht="10.95" customHeight="1" thickBot="1" x14ac:dyDescent="0.3">
      <c r="B4" s="283"/>
      <c r="C4" s="284"/>
      <c r="D4" s="285"/>
    </row>
    <row r="5" spans="2:38" ht="15.75" customHeight="1" x14ac:dyDescent="0.25"/>
    <row r="6" spans="2:38" ht="20.399999999999999" customHeight="1" x14ac:dyDescent="0.25"/>
    <row r="7" spans="2:38" ht="45" customHeight="1" thickBot="1" x14ac:dyDescent="0.3">
      <c r="B7" s="159"/>
      <c r="C7" s="159"/>
      <c r="E7" s="158"/>
    </row>
    <row r="8" spans="2:38" s="46" customFormat="1" ht="28.5" customHeight="1" thickBot="1" x14ac:dyDescent="0.3">
      <c r="B8" s="44"/>
      <c r="C8" s="1011" t="s">
        <v>1009</v>
      </c>
      <c r="D8" s="1012"/>
      <c r="E8" s="1013"/>
      <c r="F8" s="984" t="s">
        <v>981</v>
      </c>
      <c r="G8" s="984"/>
      <c r="H8" s="984" t="s">
        <v>982</v>
      </c>
      <c r="I8" s="984"/>
      <c r="J8" s="984" t="s">
        <v>362</v>
      </c>
      <c r="K8" s="984"/>
      <c r="L8" s="984"/>
      <c r="M8" s="1014" t="s">
        <v>1059</v>
      </c>
      <c r="N8" s="205" t="s">
        <v>1010</v>
      </c>
      <c r="O8" s="35"/>
      <c r="P8" s="1011" t="s">
        <v>1021</v>
      </c>
      <c r="Q8" s="1012"/>
      <c r="R8" s="1012"/>
      <c r="S8" s="1012"/>
      <c r="T8" s="1012"/>
      <c r="U8" s="1013"/>
      <c r="V8" s="1011" t="s">
        <v>145</v>
      </c>
      <c r="W8" s="1013"/>
    </row>
    <row r="9" spans="2:38" ht="45.75" customHeight="1" thickBot="1" x14ac:dyDescent="0.3">
      <c r="B9" s="162" t="s">
        <v>840</v>
      </c>
      <c r="C9" s="272" t="s">
        <v>1030</v>
      </c>
      <c r="D9" s="272" t="s">
        <v>308</v>
      </c>
      <c r="E9" s="273" t="s">
        <v>369</v>
      </c>
      <c r="F9" s="561" t="s">
        <v>127</v>
      </c>
      <c r="G9" s="273" t="s">
        <v>140</v>
      </c>
      <c r="H9" s="561" t="s">
        <v>141</v>
      </c>
      <c r="I9" s="273" t="s">
        <v>140</v>
      </c>
      <c r="J9" s="561" t="s">
        <v>362</v>
      </c>
      <c r="K9" s="272" t="s">
        <v>362</v>
      </c>
      <c r="L9" s="273" t="s">
        <v>983</v>
      </c>
      <c r="M9" s="1015"/>
      <c r="N9" s="286" t="s">
        <v>1011</v>
      </c>
      <c r="P9" s="561" t="s">
        <v>1012</v>
      </c>
      <c r="Q9" s="272" t="s">
        <v>1013</v>
      </c>
      <c r="R9" s="272" t="s">
        <v>1014</v>
      </c>
      <c r="S9" s="272" t="s">
        <v>1015</v>
      </c>
      <c r="T9" s="272" t="s">
        <v>1016</v>
      </c>
      <c r="U9" s="273" t="s">
        <v>1017</v>
      </c>
      <c r="V9" s="287" t="s">
        <v>991</v>
      </c>
      <c r="W9" s="288" t="s">
        <v>992</v>
      </c>
      <c r="AE9" s="188" t="s">
        <v>800</v>
      </c>
      <c r="AF9" s="188" t="s">
        <v>801</v>
      </c>
      <c r="AH9" s="188" t="s">
        <v>804</v>
      </c>
      <c r="AJ9" s="188" t="s">
        <v>800</v>
      </c>
      <c r="AK9" s="188" t="s">
        <v>801</v>
      </c>
      <c r="AL9" s="158" t="s">
        <v>1298</v>
      </c>
    </row>
    <row r="10" spans="2:38" ht="27.6" x14ac:dyDescent="0.25">
      <c r="B10" s="168">
        <v>1</v>
      </c>
      <c r="C10" s="275" t="s">
        <v>1526</v>
      </c>
      <c r="D10" s="275" t="s">
        <v>1226</v>
      </c>
      <c r="E10" s="185">
        <v>3.6999999999999998E-2</v>
      </c>
      <c r="F10" s="277" t="str">
        <f>IF(D10="","",VLOOKUP(D10,'G-6 Hedgerow Data'!$B$2:$AG$15,2,FALSE))</f>
        <v>V.Low</v>
      </c>
      <c r="G10" s="172">
        <f>IF(D10="","",VLOOKUP(D10,'G-6 Hedgerow Data'!$B$2:$AG$15,3,FALSE))</f>
        <v>1</v>
      </c>
      <c r="H10" s="173" t="s">
        <v>2</v>
      </c>
      <c r="I10" s="172">
        <f>IFERROR(VLOOKUP(H10,'G-1 All Habitats'!$Z$2:$AA$9,2,FALSE),"")</f>
        <v>1</v>
      </c>
      <c r="J10" s="173" t="s">
        <v>970</v>
      </c>
      <c r="K10" s="175" t="str">
        <f>IF(J10="","",IF(VLOOKUP(J10,'G-3 Multipliers'!$L$3:$N$6,2,FALSE)=0,"Spatial Data Missing",VLOOKUP(J10,'G-3 Multipliers'!$L$3:$N$6,2,FALSE)))</f>
        <v>Low Strategic Significance</v>
      </c>
      <c r="L10" s="260">
        <f>IF(J10="","",IF(VLOOKUP(J10,'G-3 Multipliers'!$L$3:$N$6,3,FALSE)=0,"Spatial Data Missing",VLOOKUP(J10,'G-3 Multipliers'!$L$3:$N$6,3,FALSE)))</f>
        <v>1</v>
      </c>
      <c r="M10" s="177" t="str">
        <f>IF(D10="","",VLOOKUP(D10,'G-6 Hedgerow Data'!$B$1:$AH$15,33,FALSE))</f>
        <v>Same distinctiveness band or better</v>
      </c>
      <c r="N10" s="207">
        <f>IFERROR(E10*G10*I10*L10,"")</f>
        <v>3.6999999999999998E-2</v>
      </c>
      <c r="O10" s="44"/>
      <c r="P10" s="186">
        <v>0</v>
      </c>
      <c r="Q10" s="275">
        <v>0</v>
      </c>
      <c r="R10" s="289">
        <f>IFERROR(P10*G10*I10*L10,"")</f>
        <v>0</v>
      </c>
      <c r="S10" s="289">
        <f>IFERROR(Q10*G10*I10*L10,"")</f>
        <v>0</v>
      </c>
      <c r="T10" s="289">
        <f>IF(D10="","",IF(E10-P10-Q10=0&lt;0,"Error in lengths",IF(P10+Q10&gt;E10,"Error in Lengths",E10-P10-Q10)))</f>
        <v>3.6999999999999998E-2</v>
      </c>
      <c r="U10" s="290">
        <f>IF(OR(E10="",N10=""),"",IF(E10-P10-Q10=0&lt;0,"Error in Lengths",IF(P10+Q10&gt;E10,"Error in Lengths",N10-R10-S10)))</f>
        <v>3.6999999999999998E-2</v>
      </c>
      <c r="V10" s="210"/>
      <c r="W10" s="211"/>
      <c r="AE10" s="188" t="b">
        <f t="shared" ref="AE10:AE73" si="0">IF(D10="","",IF(P10&gt;0,TRUE,FALSE))</f>
        <v>0</v>
      </c>
      <c r="AF10" s="188" t="b">
        <f t="shared" ref="AF10:AF73" si="1">IF(D10="","",IF(Q10&gt;0,TRUE,FALSE))</f>
        <v>0</v>
      </c>
      <c r="AH10" s="188">
        <v>1</v>
      </c>
      <c r="AJ10" s="188" t="str">
        <f t="array" ref="AJ10">IFERROR(INDEX($AH$10:$AH$258, MATCH(0, IF(TRUE=$AE$10:$AE$258, COUNTIF($AJ9:$AJ$9, $AH$10:$AH$258), ""), 0)),"")</f>
        <v/>
      </c>
      <c r="AK10" s="188" t="str">
        <f t="array" ref="AK10">IFERROR(INDEX($AH$10:$AH$258, MATCH(0, IF(TRUE=$AF$10:$AF$258, COUNTIF($AK9:$AK$9, $AH$10:$AH$258), ""), 0)),"")</f>
        <v/>
      </c>
      <c r="AL10" s="35" t="str">
        <f>IFERROR(INDEX('G-6 Hedgerow Data'!$BJ$3:$BJ$15,MATCH(D10,'G-6 Hedgerow Data'!$B$3:$B$15,0)),"")</f>
        <v>Hedgecond2</v>
      </c>
    </row>
    <row r="11" spans="2:38" ht="13.8" x14ac:dyDescent="0.25">
      <c r="B11" s="168">
        <v>2</v>
      </c>
      <c r="C11" s="275"/>
      <c r="D11" s="275"/>
      <c r="E11" s="185"/>
      <c r="F11" s="277" t="str">
        <f>IF(D11="","",VLOOKUP(D11,'G-6 Hedgerow Data'!$B$2:$AG$15,2,FALSE))</f>
        <v/>
      </c>
      <c r="G11" s="172" t="str">
        <f>IF(D11="","",VLOOKUP(D11,'G-6 Hedgerow Data'!$B$2:$AG$15,3,FALSE))</f>
        <v/>
      </c>
      <c r="H11" s="173"/>
      <c r="I11" s="172" t="str">
        <f>IFERROR(VLOOKUP(H11,'G-1 All Habitats'!$Z$2:$AA$9,2,FALSE),"")</f>
        <v/>
      </c>
      <c r="J11" s="173"/>
      <c r="K11" s="179" t="str">
        <f>IF(J11="","",IF(VLOOKUP(J11,'G-3 Multipliers'!$L$3:$N$6,2,FALSE)=0,"Spatial Data Missing",VLOOKUP(J11,'G-3 Multipliers'!$L$3:$N$6,2,FALSE)))</f>
        <v/>
      </c>
      <c r="L11" s="260" t="str">
        <f>IF(J11="","",IF(VLOOKUP(J11,'G-3 Multipliers'!$L$3:$N$6,3,FALSE)=0,"Spatial Data Missing",VLOOKUP(J11,'G-3 Multipliers'!$L$3:$N$6,3,FALSE)))</f>
        <v/>
      </c>
      <c r="M11" s="177" t="str">
        <f>IF(D11="","",VLOOKUP(D11,'G-6 Hedgerow Data'!$B$1:$AH$15,33,FALSE))</f>
        <v/>
      </c>
      <c r="N11" s="207" t="str">
        <f t="shared" ref="N11:N74" si="2">IFERROR(E11*G11*I11*L11,"")</f>
        <v/>
      </c>
      <c r="O11" s="44"/>
      <c r="P11" s="186"/>
      <c r="Q11" s="275"/>
      <c r="R11" s="289" t="str">
        <f t="shared" ref="R11:R74" si="3">IFERROR(P11*G11*I11*L11,"")</f>
        <v/>
      </c>
      <c r="S11" s="289" t="str">
        <f t="shared" ref="S11:S74" si="4">IFERROR(Q11*G11*I11*L11,"")</f>
        <v/>
      </c>
      <c r="T11" s="289" t="str">
        <f t="shared" ref="T11:T74" si="5">IF(D11="","",IF(E11-P11-Q11=0&lt;0,"Error in lengths",IF(P11+Q11&gt;E11,"Error in Lengths",E11-P11-Q11)))</f>
        <v/>
      </c>
      <c r="U11" s="290" t="str">
        <f t="shared" ref="U11:U74" si="6">IF(OR(E11="",N11=""),"",IF(E11-P11-Q11=0&lt;0,"Error in Lengths",IF(P11+Q11&gt;E11,"Error in Lengths",N11-R11-S11)))</f>
        <v/>
      </c>
      <c r="V11" s="182"/>
      <c r="W11" s="183"/>
      <c r="AE11" s="188" t="str">
        <f t="shared" si="0"/>
        <v/>
      </c>
      <c r="AF11" s="188" t="str">
        <f t="shared" si="1"/>
        <v/>
      </c>
      <c r="AH11" s="188">
        <v>2</v>
      </c>
      <c r="AJ11" s="188" t="str">
        <f t="array" ref="AJ11">IFERROR(INDEX($AH$10:$AH$258, MATCH(0, IF(TRUE=$AE$10:$AE$258, COUNTIF($AJ$9:$AJ10, $AH$10:$AH$258), ""), 0)),"")</f>
        <v/>
      </c>
      <c r="AK11" s="188" t="str">
        <f t="array" ref="AK11">IFERROR(INDEX($AH$10:$AH$258, MATCH(0, IF(TRUE=$AF$10:$AF$258, COUNTIF($AK$9:$AK10, $AH$10:$AH$258), ""), 0)),"")</f>
        <v/>
      </c>
      <c r="AL11" s="35" t="str">
        <f>IFERROR(INDEX('G-6 Hedgerow Data'!$BJ$3:$BJ$15,MATCH(D11,'G-6 Hedgerow Data'!$B$3:$B$15,0)),"")</f>
        <v/>
      </c>
    </row>
    <row r="12" spans="2:38" ht="13.8" x14ac:dyDescent="0.25">
      <c r="B12" s="168">
        <v>3</v>
      </c>
      <c r="C12" s="275"/>
      <c r="D12" s="275"/>
      <c r="E12" s="185"/>
      <c r="F12" s="277" t="str">
        <f>IF(D12="","",VLOOKUP(D12,'G-6 Hedgerow Data'!$B$2:$AG$15,2,FALSE))</f>
        <v/>
      </c>
      <c r="G12" s="172" t="str">
        <f>IF(D12="","",VLOOKUP(D12,'G-6 Hedgerow Data'!$B$2:$AG$15,3,FALSE))</f>
        <v/>
      </c>
      <c r="H12" s="173"/>
      <c r="I12" s="172" t="str">
        <f>IFERROR(VLOOKUP(H12,'G-1 All Habitats'!$Z$2:$AA$9,2,FALSE),"")</f>
        <v/>
      </c>
      <c r="J12" s="173"/>
      <c r="K12" s="179" t="str">
        <f>IF(J12="","",IF(VLOOKUP(J12,'G-3 Multipliers'!$L$3:$N$6,2,FALSE)=0,"Spatial Data Missing",VLOOKUP(J12,'G-3 Multipliers'!$L$3:$N$6,2,FALSE)))</f>
        <v/>
      </c>
      <c r="L12" s="260" t="str">
        <f>IF(J12="","",IF(VLOOKUP(J12,'G-3 Multipliers'!$L$3:$N$6,3,FALSE)=0,"Spatial Data Missing",VLOOKUP(J12,'G-3 Multipliers'!$L$3:$N$6,3,FALSE)))</f>
        <v/>
      </c>
      <c r="M12" s="177" t="str">
        <f>IF(D12="","",VLOOKUP(D12,'G-6 Hedgerow Data'!$B$1:$AH$15,33,FALSE))</f>
        <v/>
      </c>
      <c r="N12" s="207" t="str">
        <f t="shared" si="2"/>
        <v/>
      </c>
      <c r="O12" s="44"/>
      <c r="P12" s="186"/>
      <c r="Q12" s="275"/>
      <c r="R12" s="289" t="str">
        <f t="shared" si="3"/>
        <v/>
      </c>
      <c r="S12" s="289" t="str">
        <f t="shared" si="4"/>
        <v/>
      </c>
      <c r="T12" s="289" t="str">
        <f t="shared" si="5"/>
        <v/>
      </c>
      <c r="U12" s="290" t="str">
        <f t="shared" si="6"/>
        <v/>
      </c>
      <c r="V12" s="182"/>
      <c r="W12" s="183"/>
      <c r="AE12" s="188" t="str">
        <f t="shared" si="0"/>
        <v/>
      </c>
      <c r="AF12" s="188" t="str">
        <f t="shared" si="1"/>
        <v/>
      </c>
      <c r="AH12" s="188">
        <v>3</v>
      </c>
      <c r="AJ12" s="188" t="str">
        <f t="array" ref="AJ12">IFERROR(INDEX($AH$10:$AH$258, MATCH(0, IF(TRUE=$AE$10:$AE$258, COUNTIF($AJ$9:$AJ11, $AH$10:$AH$258), ""), 0)),"")</f>
        <v/>
      </c>
      <c r="AK12" s="188" t="str">
        <f t="array" ref="AK12">IFERROR(INDEX($AH$10:$AH$258, MATCH(0, IF(TRUE=$AF$10:$AF$258, COUNTIF($AK$9:$AK11, $AH$10:$AH$258), ""), 0)),"")</f>
        <v/>
      </c>
      <c r="AL12" s="35" t="str">
        <f>IFERROR(INDEX('G-6 Hedgerow Data'!$BJ$3:$BJ$15,MATCH(D12,'G-6 Hedgerow Data'!$B$3:$B$15,0)),"")</f>
        <v/>
      </c>
    </row>
    <row r="13" spans="2:38" ht="13.8" x14ac:dyDescent="0.25">
      <c r="B13" s="168">
        <v>4</v>
      </c>
      <c r="C13" s="275"/>
      <c r="D13" s="275"/>
      <c r="E13" s="185"/>
      <c r="F13" s="277" t="str">
        <f>IF(D13="","",VLOOKUP(D13,'G-6 Hedgerow Data'!$B$2:$AG$15,2,FALSE))</f>
        <v/>
      </c>
      <c r="G13" s="172" t="str">
        <f>IF(D13="","",VLOOKUP(D13,'G-6 Hedgerow Data'!$B$2:$AG$15,3,FALSE))</f>
        <v/>
      </c>
      <c r="H13" s="173"/>
      <c r="I13" s="172" t="str">
        <f>IFERROR(VLOOKUP(H13,'G-1 All Habitats'!$Z$2:$AA$9,2,FALSE),"")</f>
        <v/>
      </c>
      <c r="J13" s="173"/>
      <c r="K13" s="179" t="str">
        <f>IF(J13="","",IF(VLOOKUP(J13,'G-3 Multipliers'!$L$3:$N$6,2,FALSE)=0,"Spatial Data Missing",VLOOKUP(J13,'G-3 Multipliers'!$L$3:$N$6,2,FALSE)))</f>
        <v/>
      </c>
      <c r="L13" s="260" t="str">
        <f>IF(J13="","",IF(VLOOKUP(J13,'G-3 Multipliers'!$L$3:$N$6,3,FALSE)=0,"Spatial Data Missing",VLOOKUP(J13,'G-3 Multipliers'!$L$3:$N$6,3,FALSE)))</f>
        <v/>
      </c>
      <c r="M13" s="177" t="str">
        <f>IF(D13="","",VLOOKUP(D13,'G-6 Hedgerow Data'!$B$1:$AH$15,33,FALSE))</f>
        <v/>
      </c>
      <c r="N13" s="207" t="str">
        <f t="shared" si="2"/>
        <v/>
      </c>
      <c r="O13" s="44"/>
      <c r="P13" s="186"/>
      <c r="Q13" s="275"/>
      <c r="R13" s="289" t="str">
        <f t="shared" si="3"/>
        <v/>
      </c>
      <c r="S13" s="289" t="str">
        <f t="shared" si="4"/>
        <v/>
      </c>
      <c r="T13" s="289" t="str">
        <f t="shared" si="5"/>
        <v/>
      </c>
      <c r="U13" s="290" t="str">
        <f t="shared" si="6"/>
        <v/>
      </c>
      <c r="V13" s="182"/>
      <c r="W13" s="183"/>
      <c r="AE13" s="188" t="str">
        <f t="shared" si="0"/>
        <v/>
      </c>
      <c r="AF13" s="188" t="str">
        <f t="shared" si="1"/>
        <v/>
      </c>
      <c r="AH13" s="188">
        <v>4</v>
      </c>
      <c r="AJ13" s="188" t="str">
        <f t="array" ref="AJ13">IFERROR(INDEX($AH$10:$AH$258, MATCH(0, IF(TRUE=$AE$10:$AE$258, COUNTIF($AJ$9:$AJ12, $AH$10:$AH$258), ""), 0)),"")</f>
        <v/>
      </c>
      <c r="AK13" s="188" t="str">
        <f t="array" ref="AK13">IFERROR(INDEX($AH$10:$AH$258, MATCH(0, IF(TRUE=$AF$10:$AF$258, COUNTIF($AK$9:$AK12, $AH$10:$AH$258), ""), 0)),"")</f>
        <v/>
      </c>
      <c r="AL13" s="35" t="str">
        <f>IFERROR(INDEX('G-6 Hedgerow Data'!$BJ$3:$BJ$15,MATCH(D13,'G-6 Hedgerow Data'!$B$3:$B$15,0)),"")</f>
        <v/>
      </c>
    </row>
    <row r="14" spans="2:38" ht="13.8" x14ac:dyDescent="0.25">
      <c r="B14" s="168">
        <v>5</v>
      </c>
      <c r="C14" s="275"/>
      <c r="D14" s="275"/>
      <c r="E14" s="185"/>
      <c r="F14" s="277" t="str">
        <f>IF(D14="","",VLOOKUP(D14,'G-6 Hedgerow Data'!$B$2:$AG$15,2,FALSE))</f>
        <v/>
      </c>
      <c r="G14" s="172" t="str">
        <f>IF(D14="","",VLOOKUP(D14,'G-6 Hedgerow Data'!$B$2:$AG$15,3,FALSE))</f>
        <v/>
      </c>
      <c r="H14" s="173"/>
      <c r="I14" s="172" t="str">
        <f>IFERROR(VLOOKUP(H14,'G-1 All Habitats'!$Z$2:$AA$9,2,FALSE),"")</f>
        <v/>
      </c>
      <c r="J14" s="173"/>
      <c r="K14" s="179" t="str">
        <f>IF(J14="","",IF(VLOOKUP(J14,'G-3 Multipliers'!$L$3:$N$6,2,FALSE)=0,"Spatial Data Missing",VLOOKUP(J14,'G-3 Multipliers'!$L$3:$N$6,2,FALSE)))</f>
        <v/>
      </c>
      <c r="L14" s="260" t="str">
        <f>IF(J14="","",IF(VLOOKUP(J14,'G-3 Multipliers'!$L$3:$N$6,3,FALSE)=0,"Spatial Data Missing",VLOOKUP(J14,'G-3 Multipliers'!$L$3:$N$6,3,FALSE)))</f>
        <v/>
      </c>
      <c r="M14" s="177" t="str">
        <f>IF(D14="","",VLOOKUP(D14,'G-6 Hedgerow Data'!$B$1:$AH$15,33,FALSE))</f>
        <v/>
      </c>
      <c r="N14" s="207" t="str">
        <f t="shared" si="2"/>
        <v/>
      </c>
      <c r="O14" s="44"/>
      <c r="P14" s="186"/>
      <c r="Q14" s="275"/>
      <c r="R14" s="289" t="str">
        <f t="shared" si="3"/>
        <v/>
      </c>
      <c r="S14" s="289" t="str">
        <f t="shared" si="4"/>
        <v/>
      </c>
      <c r="T14" s="289" t="str">
        <f t="shared" si="5"/>
        <v/>
      </c>
      <c r="U14" s="290" t="str">
        <f t="shared" si="6"/>
        <v/>
      </c>
      <c r="V14" s="182"/>
      <c r="W14" s="183"/>
      <c r="AE14" s="188" t="str">
        <f t="shared" si="0"/>
        <v/>
      </c>
      <c r="AF14" s="188" t="str">
        <f t="shared" si="1"/>
        <v/>
      </c>
      <c r="AH14" s="188">
        <v>5</v>
      </c>
      <c r="AJ14" s="188" t="str">
        <f t="array" ref="AJ14">IFERROR(INDEX($AH$10:$AH$258, MATCH(0, IF(TRUE=$AE$10:$AE$258, COUNTIF($AJ$9:$AJ13, $AH$10:$AH$258), ""), 0)),"")</f>
        <v/>
      </c>
      <c r="AK14" s="188" t="str">
        <f t="array" ref="AK14">IFERROR(INDEX($AH$10:$AH$258, MATCH(0, IF(TRUE=$AF$10:$AF$258, COUNTIF($AK$9:$AK13, $AH$10:$AH$258), ""), 0)),"")</f>
        <v/>
      </c>
      <c r="AL14" s="35" t="str">
        <f>IFERROR(INDEX('G-6 Hedgerow Data'!$BJ$3:$BJ$15,MATCH(D14,'G-6 Hedgerow Data'!$B$3:$B$15,0)),"")</f>
        <v/>
      </c>
    </row>
    <row r="15" spans="2:38" ht="13.8" x14ac:dyDescent="0.25">
      <c r="B15" s="168">
        <v>6</v>
      </c>
      <c r="C15" s="275"/>
      <c r="D15" s="275"/>
      <c r="E15" s="185"/>
      <c r="F15" s="277" t="str">
        <f>IF(D15="","",VLOOKUP(D15,'G-6 Hedgerow Data'!$B$2:$AG$15,2,FALSE))</f>
        <v/>
      </c>
      <c r="G15" s="172" t="str">
        <f>IF(D15="","",VLOOKUP(D15,'G-6 Hedgerow Data'!$B$2:$AG$15,3,FALSE))</f>
        <v/>
      </c>
      <c r="H15" s="173"/>
      <c r="I15" s="172" t="str">
        <f>IFERROR(VLOOKUP(H15,'G-1 All Habitats'!$Z$2:$AA$9,2,FALSE),"")</f>
        <v/>
      </c>
      <c r="J15" s="173"/>
      <c r="K15" s="179" t="str">
        <f>IF(J15="","",IF(VLOOKUP(J15,'G-3 Multipliers'!$L$3:$N$6,2,FALSE)=0,"Spatial Data Missing",VLOOKUP(J15,'G-3 Multipliers'!$L$3:$N$6,2,FALSE)))</f>
        <v/>
      </c>
      <c r="L15" s="260" t="str">
        <f>IF(J15="","",IF(VLOOKUP(J15,'G-3 Multipliers'!$L$3:$N$6,3,FALSE)=0,"Spatial Data Missing",VLOOKUP(J15,'G-3 Multipliers'!$L$3:$N$6,3,FALSE)))</f>
        <v/>
      </c>
      <c r="M15" s="177" t="str">
        <f>IF(D15="","",VLOOKUP(D15,'G-6 Hedgerow Data'!$B$1:$AH$15,33,FALSE))</f>
        <v/>
      </c>
      <c r="N15" s="207" t="str">
        <f t="shared" si="2"/>
        <v/>
      </c>
      <c r="O15" s="44"/>
      <c r="P15" s="186"/>
      <c r="Q15" s="275"/>
      <c r="R15" s="289" t="str">
        <f t="shared" si="3"/>
        <v/>
      </c>
      <c r="S15" s="289" t="str">
        <f t="shared" si="4"/>
        <v/>
      </c>
      <c r="T15" s="289" t="str">
        <f t="shared" si="5"/>
        <v/>
      </c>
      <c r="U15" s="290" t="str">
        <f t="shared" si="6"/>
        <v/>
      </c>
      <c r="V15" s="182"/>
      <c r="W15" s="183"/>
      <c r="AE15" s="188" t="str">
        <f t="shared" si="0"/>
        <v/>
      </c>
      <c r="AF15" s="188" t="str">
        <f t="shared" si="1"/>
        <v/>
      </c>
      <c r="AH15" s="188">
        <v>6</v>
      </c>
      <c r="AJ15" s="188" t="str">
        <f t="array" ref="AJ15">IFERROR(INDEX($AH$10:$AH$258, MATCH(0, IF(TRUE=$AE$10:$AE$258, COUNTIF($AJ$9:$AJ14, $AH$10:$AH$258), ""), 0)),"")</f>
        <v/>
      </c>
      <c r="AK15" s="188" t="str">
        <f t="array" ref="AK15">IFERROR(INDEX($AH$10:$AH$258, MATCH(0, IF(TRUE=$AF$10:$AF$258, COUNTIF($AK$9:$AK14, $AH$10:$AH$258), ""), 0)),"")</f>
        <v/>
      </c>
      <c r="AL15" s="35" t="str">
        <f>IFERROR(INDEX('G-6 Hedgerow Data'!$BJ$3:$BJ$15,MATCH(D15,'G-6 Hedgerow Data'!$B$3:$B$15,0)),"")</f>
        <v/>
      </c>
    </row>
    <row r="16" spans="2:38" ht="13.8" x14ac:dyDescent="0.25">
      <c r="B16" s="168">
        <v>7</v>
      </c>
      <c r="C16" s="275"/>
      <c r="D16" s="275"/>
      <c r="E16" s="185"/>
      <c r="F16" s="277" t="str">
        <f>IF(D16="","",VLOOKUP(D16,'G-6 Hedgerow Data'!$B$2:$AG$15,2,FALSE))</f>
        <v/>
      </c>
      <c r="G16" s="172" t="str">
        <f>IF(D16="","",VLOOKUP(D16,'G-6 Hedgerow Data'!$B$2:$AG$15,3,FALSE))</f>
        <v/>
      </c>
      <c r="H16" s="173"/>
      <c r="I16" s="172" t="str">
        <f>IFERROR(VLOOKUP(H16,'G-1 All Habitats'!$Z$2:$AA$9,2,FALSE),"")</f>
        <v/>
      </c>
      <c r="J16" s="173"/>
      <c r="K16" s="179" t="str">
        <f>IF(J16="","",IF(VLOOKUP(J16,'G-3 Multipliers'!$L$3:$N$6,2,FALSE)=0,"Spatial Data Missing",VLOOKUP(J16,'G-3 Multipliers'!$L$3:$N$6,2,FALSE)))</f>
        <v/>
      </c>
      <c r="L16" s="260" t="str">
        <f>IF(J16="","",IF(VLOOKUP(J16,'G-3 Multipliers'!$L$3:$N$6,3,FALSE)=0,"Spatial Data Missing",VLOOKUP(J16,'G-3 Multipliers'!$L$3:$N$6,3,FALSE)))</f>
        <v/>
      </c>
      <c r="M16" s="177" t="str">
        <f>IF(D16="","",VLOOKUP(D16,'G-6 Hedgerow Data'!$B$1:$AH$15,33,FALSE))</f>
        <v/>
      </c>
      <c r="N16" s="207" t="str">
        <f t="shared" si="2"/>
        <v/>
      </c>
      <c r="O16" s="44"/>
      <c r="P16" s="186"/>
      <c r="Q16" s="275"/>
      <c r="R16" s="289" t="str">
        <f t="shared" si="3"/>
        <v/>
      </c>
      <c r="S16" s="289" t="str">
        <f t="shared" si="4"/>
        <v/>
      </c>
      <c r="T16" s="289" t="str">
        <f t="shared" si="5"/>
        <v/>
      </c>
      <c r="U16" s="290" t="str">
        <f t="shared" si="6"/>
        <v/>
      </c>
      <c r="V16" s="182"/>
      <c r="W16" s="183"/>
      <c r="AE16" s="188" t="str">
        <f t="shared" si="0"/>
        <v/>
      </c>
      <c r="AF16" s="188" t="str">
        <f t="shared" si="1"/>
        <v/>
      </c>
      <c r="AH16" s="188">
        <v>7</v>
      </c>
      <c r="AJ16" s="188" t="str">
        <f t="array" ref="AJ16">IFERROR(INDEX($AH$10:$AH$258, MATCH(0, IF(TRUE=$AE$10:$AE$258, COUNTIF($AJ$9:$AJ15, $AH$10:$AH$258), ""), 0)),"")</f>
        <v/>
      </c>
      <c r="AK16" s="188" t="str">
        <f t="array" ref="AK16">IFERROR(INDEX($AH$10:$AH$258, MATCH(0, IF(TRUE=$AF$10:$AF$258, COUNTIF($AK$9:$AK15, $AH$10:$AH$258), ""), 0)),"")</f>
        <v/>
      </c>
      <c r="AL16" s="35" t="str">
        <f>IFERROR(INDEX('G-6 Hedgerow Data'!$BJ$3:$BJ$15,MATCH(D16,'G-6 Hedgerow Data'!$B$3:$B$15,0)),"")</f>
        <v/>
      </c>
    </row>
    <row r="17" spans="2:38" ht="13.8" x14ac:dyDescent="0.25">
      <c r="B17" s="168">
        <v>8</v>
      </c>
      <c r="C17" s="275"/>
      <c r="D17" s="275"/>
      <c r="E17" s="185"/>
      <c r="F17" s="277" t="str">
        <f>IF(D17="","",VLOOKUP(D17,'G-6 Hedgerow Data'!$B$2:$AG$15,2,FALSE))</f>
        <v/>
      </c>
      <c r="G17" s="172" t="str">
        <f>IF(D17="","",VLOOKUP(D17,'G-6 Hedgerow Data'!$B$2:$AG$15,3,FALSE))</f>
        <v/>
      </c>
      <c r="H17" s="173"/>
      <c r="I17" s="172" t="str">
        <f>IFERROR(VLOOKUP(H17,'G-1 All Habitats'!$Z$2:$AA$9,2,FALSE),"")</f>
        <v/>
      </c>
      <c r="J17" s="173"/>
      <c r="K17" s="179" t="str">
        <f>IF(J17="","",IF(VLOOKUP(J17,'G-3 Multipliers'!$L$3:$N$6,2,FALSE)=0,"Spatial Data Missing",VLOOKUP(J17,'G-3 Multipliers'!$L$3:$N$6,2,FALSE)))</f>
        <v/>
      </c>
      <c r="L17" s="260" t="str">
        <f>IF(J17="","",IF(VLOOKUP(J17,'G-3 Multipliers'!$L$3:$N$6,3,FALSE)=0,"Spatial Data Missing",VLOOKUP(J17,'G-3 Multipliers'!$L$3:$N$6,3,FALSE)))</f>
        <v/>
      </c>
      <c r="M17" s="177" t="str">
        <f>IF(D17="","",VLOOKUP(D17,'G-6 Hedgerow Data'!$B$1:$AH$15,33,FALSE))</f>
        <v/>
      </c>
      <c r="N17" s="207" t="str">
        <f t="shared" si="2"/>
        <v/>
      </c>
      <c r="O17" s="44"/>
      <c r="P17" s="186"/>
      <c r="Q17" s="275"/>
      <c r="R17" s="289" t="str">
        <f t="shared" si="3"/>
        <v/>
      </c>
      <c r="S17" s="289" t="str">
        <f t="shared" si="4"/>
        <v/>
      </c>
      <c r="T17" s="289" t="str">
        <f t="shared" si="5"/>
        <v/>
      </c>
      <c r="U17" s="290" t="str">
        <f t="shared" si="6"/>
        <v/>
      </c>
      <c r="V17" s="182"/>
      <c r="W17" s="183"/>
      <c r="AE17" s="188" t="str">
        <f t="shared" si="0"/>
        <v/>
      </c>
      <c r="AF17" s="188" t="str">
        <f t="shared" si="1"/>
        <v/>
      </c>
      <c r="AH17" s="188">
        <v>8</v>
      </c>
      <c r="AJ17" s="188" t="str">
        <f t="array" ref="AJ17">IFERROR(INDEX($AH$10:$AH$258, MATCH(0, IF(TRUE=$AE$10:$AE$258, COUNTIF($AJ$9:$AJ16, $AH$10:$AH$258), ""), 0)),"")</f>
        <v/>
      </c>
      <c r="AK17" s="188" t="str">
        <f t="array" ref="AK17">IFERROR(INDEX($AH$10:$AH$258, MATCH(0, IF(TRUE=$AF$10:$AF$258, COUNTIF($AK$9:$AK16, $AH$10:$AH$258), ""), 0)),"")</f>
        <v/>
      </c>
      <c r="AL17" s="35" t="str">
        <f>IFERROR(INDEX('G-6 Hedgerow Data'!$BJ$3:$BJ$15,MATCH(D17,'G-6 Hedgerow Data'!$B$3:$B$15,0)),"")</f>
        <v/>
      </c>
    </row>
    <row r="18" spans="2:38" ht="13.8" x14ac:dyDescent="0.25">
      <c r="B18" s="168">
        <v>9</v>
      </c>
      <c r="C18" s="275"/>
      <c r="D18" s="275"/>
      <c r="E18" s="185"/>
      <c r="F18" s="277" t="str">
        <f>IF(D18="","",VLOOKUP(D18,'G-6 Hedgerow Data'!$B$2:$AG$15,2,FALSE))</f>
        <v/>
      </c>
      <c r="G18" s="172" t="str">
        <f>IF(D18="","",VLOOKUP(D18,'G-6 Hedgerow Data'!$B$2:$AG$15,3,FALSE))</f>
        <v/>
      </c>
      <c r="H18" s="173"/>
      <c r="I18" s="172" t="str">
        <f>IFERROR(VLOOKUP(H18,'G-1 All Habitats'!$Z$2:$AA$9,2,FALSE),"")</f>
        <v/>
      </c>
      <c r="J18" s="173"/>
      <c r="K18" s="179" t="str">
        <f>IF(J18="","",IF(VLOOKUP(J18,'G-3 Multipliers'!$L$3:$N$6,2,FALSE)=0,"Spatial Data Missing",VLOOKUP(J18,'G-3 Multipliers'!$L$3:$N$6,2,FALSE)))</f>
        <v/>
      </c>
      <c r="L18" s="260" t="str">
        <f>IF(J18="","",IF(VLOOKUP(J18,'G-3 Multipliers'!$L$3:$N$6,3,FALSE)=0,"Spatial Data Missing",VLOOKUP(J18,'G-3 Multipliers'!$L$3:$N$6,3,FALSE)))</f>
        <v/>
      </c>
      <c r="M18" s="177" t="str">
        <f>IF(D18="","",VLOOKUP(D18,'G-6 Hedgerow Data'!$B$1:$AH$15,33,FALSE))</f>
        <v/>
      </c>
      <c r="N18" s="207" t="str">
        <f t="shared" si="2"/>
        <v/>
      </c>
      <c r="O18" s="44"/>
      <c r="P18" s="186"/>
      <c r="Q18" s="275"/>
      <c r="R18" s="289" t="str">
        <f t="shared" si="3"/>
        <v/>
      </c>
      <c r="S18" s="289" t="str">
        <f t="shared" si="4"/>
        <v/>
      </c>
      <c r="T18" s="289" t="str">
        <f t="shared" si="5"/>
        <v/>
      </c>
      <c r="U18" s="290" t="str">
        <f t="shared" si="6"/>
        <v/>
      </c>
      <c r="V18" s="182"/>
      <c r="W18" s="183"/>
      <c r="AE18" s="188" t="str">
        <f t="shared" si="0"/>
        <v/>
      </c>
      <c r="AF18" s="188" t="str">
        <f t="shared" si="1"/>
        <v/>
      </c>
      <c r="AH18" s="188">
        <v>9</v>
      </c>
      <c r="AJ18" s="188" t="str">
        <f t="array" ref="AJ18">IFERROR(INDEX($AH$10:$AH$258, MATCH(0, IF(TRUE=$AE$10:$AE$258, COUNTIF($AJ$9:$AJ17, $AH$10:$AH$258), ""), 0)),"")</f>
        <v/>
      </c>
      <c r="AK18" s="188" t="str">
        <f t="array" ref="AK18">IFERROR(INDEX($AH$10:$AH$258, MATCH(0, IF(TRUE=$AF$10:$AF$258, COUNTIF($AK$9:$AK17, $AH$10:$AH$258), ""), 0)),"")</f>
        <v/>
      </c>
      <c r="AL18" s="35" t="str">
        <f>IFERROR(INDEX('G-6 Hedgerow Data'!$BJ$3:$BJ$15,MATCH(D18,'G-6 Hedgerow Data'!$B$3:$B$15,0)),"")</f>
        <v/>
      </c>
    </row>
    <row r="19" spans="2:38" ht="13.8" x14ac:dyDescent="0.25">
      <c r="B19" s="168">
        <v>10</v>
      </c>
      <c r="C19" s="275"/>
      <c r="D19" s="275"/>
      <c r="E19" s="185"/>
      <c r="F19" s="277" t="str">
        <f>IF(D19="","",VLOOKUP(D19,'G-6 Hedgerow Data'!$B$2:$AG$15,2,FALSE))</f>
        <v/>
      </c>
      <c r="G19" s="172" t="str">
        <f>IF(D19="","",VLOOKUP(D19,'G-6 Hedgerow Data'!$B$2:$AG$15,3,FALSE))</f>
        <v/>
      </c>
      <c r="H19" s="173"/>
      <c r="I19" s="172" t="str">
        <f>IFERROR(VLOOKUP(H19,'G-1 All Habitats'!$Z$2:$AA$9,2,FALSE),"")</f>
        <v/>
      </c>
      <c r="J19" s="173"/>
      <c r="K19" s="179" t="str">
        <f>IF(J19="","",IF(VLOOKUP(J19,'G-3 Multipliers'!$L$3:$N$6,2,FALSE)=0,"Spatial Data Missing",VLOOKUP(J19,'G-3 Multipliers'!$L$3:$N$6,2,FALSE)))</f>
        <v/>
      </c>
      <c r="L19" s="260" t="str">
        <f>IF(J19="","",IF(VLOOKUP(J19,'G-3 Multipliers'!$L$3:$N$6,3,FALSE)=0,"Spatial Data Missing",VLOOKUP(J19,'G-3 Multipliers'!$L$3:$N$6,3,FALSE)))</f>
        <v/>
      </c>
      <c r="M19" s="177" t="str">
        <f>IF(D19="","",VLOOKUP(D19,'G-6 Hedgerow Data'!$B$1:$AH$15,33,FALSE))</f>
        <v/>
      </c>
      <c r="N19" s="207" t="str">
        <f t="shared" si="2"/>
        <v/>
      </c>
      <c r="O19" s="44"/>
      <c r="P19" s="186"/>
      <c r="Q19" s="275"/>
      <c r="R19" s="289" t="str">
        <f t="shared" si="3"/>
        <v/>
      </c>
      <c r="S19" s="289" t="str">
        <f t="shared" si="4"/>
        <v/>
      </c>
      <c r="T19" s="289" t="str">
        <f t="shared" si="5"/>
        <v/>
      </c>
      <c r="U19" s="290" t="str">
        <f t="shared" si="6"/>
        <v/>
      </c>
      <c r="V19" s="182"/>
      <c r="W19" s="183"/>
      <c r="AE19" s="188" t="str">
        <f t="shared" si="0"/>
        <v/>
      </c>
      <c r="AF19" s="188" t="str">
        <f t="shared" si="1"/>
        <v/>
      </c>
      <c r="AH19" s="188">
        <v>10</v>
      </c>
      <c r="AJ19" s="188" t="str">
        <f t="array" ref="AJ19">IFERROR(INDEX($AH$10:$AH$258, MATCH(0, IF(TRUE=$AE$10:$AE$258, COUNTIF($AJ$9:$AJ18, $AH$10:$AH$258), ""), 0)),"")</f>
        <v/>
      </c>
      <c r="AK19" s="188" t="str">
        <f t="array" ref="AK19">IFERROR(INDEX($AH$10:$AH$258, MATCH(0, IF(TRUE=$AF$10:$AF$258, COUNTIF($AK$9:$AK18, $AH$10:$AH$258), ""), 0)),"")</f>
        <v/>
      </c>
      <c r="AL19" s="35" t="str">
        <f>IFERROR(INDEX('G-6 Hedgerow Data'!$BJ$3:$BJ$15,MATCH(D19,'G-6 Hedgerow Data'!$B$3:$B$15,0)),"")</f>
        <v/>
      </c>
    </row>
    <row r="20" spans="2:38" ht="13.8" x14ac:dyDescent="0.25">
      <c r="B20" s="168">
        <v>11</v>
      </c>
      <c r="C20" s="275"/>
      <c r="D20" s="275"/>
      <c r="E20" s="185"/>
      <c r="F20" s="277" t="str">
        <f>IF(D20="","",VLOOKUP(D20,'G-6 Hedgerow Data'!$B$2:$AG$15,2,FALSE))</f>
        <v/>
      </c>
      <c r="G20" s="172" t="str">
        <f>IF(D20="","",VLOOKUP(D20,'G-6 Hedgerow Data'!$B$2:$AG$15,3,FALSE))</f>
        <v/>
      </c>
      <c r="H20" s="173"/>
      <c r="I20" s="172" t="str">
        <f>IFERROR(VLOOKUP(H20,'G-1 All Habitats'!$Z$2:$AA$9,2,FALSE),"")</f>
        <v/>
      </c>
      <c r="J20" s="173"/>
      <c r="K20" s="179" t="str">
        <f>IF(J20="","",IF(VLOOKUP(J20,'G-3 Multipliers'!$L$3:$N$6,2,FALSE)=0,"Spatial Data Missing",VLOOKUP(J20,'G-3 Multipliers'!$L$3:$N$6,2,FALSE)))</f>
        <v/>
      </c>
      <c r="L20" s="260" t="str">
        <f>IF(J20="","",IF(VLOOKUP(J20,'G-3 Multipliers'!$L$3:$N$6,3,FALSE)=0,"Spatial Data Missing",VLOOKUP(J20,'G-3 Multipliers'!$L$3:$N$6,3,FALSE)))</f>
        <v/>
      </c>
      <c r="M20" s="177" t="str">
        <f>IF(D20="","",VLOOKUP(D20,'G-6 Hedgerow Data'!$B$1:$AH$15,33,FALSE))</f>
        <v/>
      </c>
      <c r="N20" s="207" t="str">
        <f t="shared" si="2"/>
        <v/>
      </c>
      <c r="O20" s="44"/>
      <c r="P20" s="186"/>
      <c r="Q20" s="275"/>
      <c r="R20" s="289" t="str">
        <f t="shared" si="3"/>
        <v/>
      </c>
      <c r="S20" s="289" t="str">
        <f t="shared" si="4"/>
        <v/>
      </c>
      <c r="T20" s="289" t="str">
        <f t="shared" si="5"/>
        <v/>
      </c>
      <c r="U20" s="290" t="str">
        <f t="shared" si="6"/>
        <v/>
      </c>
      <c r="V20" s="182"/>
      <c r="W20" s="183"/>
      <c r="AE20" s="188" t="str">
        <f t="shared" si="0"/>
        <v/>
      </c>
      <c r="AF20" s="188" t="str">
        <f t="shared" si="1"/>
        <v/>
      </c>
      <c r="AH20" s="188">
        <v>11</v>
      </c>
      <c r="AJ20" s="188" t="str">
        <f t="array" ref="AJ20">IFERROR(INDEX($AH$10:$AH$258, MATCH(0, IF(TRUE=$AE$10:$AE$258, COUNTIF($AJ$9:$AJ19, $AH$10:$AH$258), ""), 0)),"")</f>
        <v/>
      </c>
      <c r="AK20" s="188" t="str">
        <f t="array" ref="AK20">IFERROR(INDEX($AH$10:$AH$258, MATCH(0, IF(TRUE=$AF$10:$AF$258, COUNTIF($AK$9:$AK19, $AH$10:$AH$258), ""), 0)),"")</f>
        <v/>
      </c>
      <c r="AL20" s="35" t="str">
        <f>IFERROR(INDEX('G-6 Hedgerow Data'!$BJ$3:$BJ$15,MATCH(D20,'G-6 Hedgerow Data'!$B$3:$B$15,0)),"")</f>
        <v/>
      </c>
    </row>
    <row r="21" spans="2:38" ht="13.8" x14ac:dyDescent="0.25">
      <c r="B21" s="168">
        <v>12</v>
      </c>
      <c r="C21" s="275"/>
      <c r="D21" s="275"/>
      <c r="E21" s="185"/>
      <c r="F21" s="277" t="str">
        <f>IF(D21="","",VLOOKUP(D21,'G-6 Hedgerow Data'!$B$2:$AG$15,2,FALSE))</f>
        <v/>
      </c>
      <c r="G21" s="172" t="str">
        <f>IF(D21="","",VLOOKUP(D21,'G-6 Hedgerow Data'!$B$2:$AG$15,3,FALSE))</f>
        <v/>
      </c>
      <c r="H21" s="173"/>
      <c r="I21" s="172" t="str">
        <f>IFERROR(VLOOKUP(H21,'G-1 All Habitats'!$Z$2:$AA$9,2,FALSE),"")</f>
        <v/>
      </c>
      <c r="J21" s="173"/>
      <c r="K21" s="179" t="str">
        <f>IF(J21="","",IF(VLOOKUP(J21,'G-3 Multipliers'!$L$3:$N$6,2,FALSE)=0,"Spatial Data Missing",VLOOKUP(J21,'G-3 Multipliers'!$L$3:$N$6,2,FALSE)))</f>
        <v/>
      </c>
      <c r="L21" s="260" t="str">
        <f>IF(J21="","",IF(VLOOKUP(J21,'G-3 Multipliers'!$L$3:$N$6,3,FALSE)=0,"Spatial Data Missing",VLOOKUP(J21,'G-3 Multipliers'!$L$3:$N$6,3,FALSE)))</f>
        <v/>
      </c>
      <c r="M21" s="177" t="str">
        <f>IF(D21="","",VLOOKUP(D21,'G-6 Hedgerow Data'!$B$1:$AH$15,33,FALSE))</f>
        <v/>
      </c>
      <c r="N21" s="207" t="str">
        <f t="shared" si="2"/>
        <v/>
      </c>
      <c r="O21" s="44"/>
      <c r="P21" s="186"/>
      <c r="Q21" s="275"/>
      <c r="R21" s="289" t="str">
        <f t="shared" si="3"/>
        <v/>
      </c>
      <c r="S21" s="289" t="str">
        <f t="shared" si="4"/>
        <v/>
      </c>
      <c r="T21" s="289" t="str">
        <f t="shared" si="5"/>
        <v/>
      </c>
      <c r="U21" s="290" t="str">
        <f t="shared" si="6"/>
        <v/>
      </c>
      <c r="V21" s="182"/>
      <c r="W21" s="183"/>
      <c r="AE21" s="188" t="str">
        <f t="shared" si="0"/>
        <v/>
      </c>
      <c r="AF21" s="188" t="str">
        <f t="shared" si="1"/>
        <v/>
      </c>
      <c r="AH21" s="188">
        <v>12</v>
      </c>
      <c r="AJ21" s="188" t="str">
        <f t="array" ref="AJ21">IFERROR(INDEX($AH$10:$AH$258, MATCH(0, IF(TRUE=$AE$10:$AE$258, COUNTIF($AJ$9:$AJ20, $AH$10:$AH$258), ""), 0)),"")</f>
        <v/>
      </c>
      <c r="AK21" s="188" t="str">
        <f t="array" ref="AK21">IFERROR(INDEX($AH$10:$AH$258, MATCH(0, IF(TRUE=$AF$10:$AF$258, COUNTIF($AK$9:$AK20, $AH$10:$AH$258), ""), 0)),"")</f>
        <v/>
      </c>
      <c r="AL21" s="35" t="str">
        <f>IFERROR(INDEX('G-6 Hedgerow Data'!$BJ$3:$BJ$15,MATCH(D21,'G-6 Hedgerow Data'!$B$3:$B$15,0)),"")</f>
        <v/>
      </c>
    </row>
    <row r="22" spans="2:38" ht="13.8" x14ac:dyDescent="0.25">
      <c r="B22" s="168">
        <v>13</v>
      </c>
      <c r="C22" s="275"/>
      <c r="D22" s="275"/>
      <c r="E22" s="185"/>
      <c r="F22" s="277" t="str">
        <f>IF(D22="","",VLOOKUP(D22,'G-6 Hedgerow Data'!$B$2:$AG$15,2,FALSE))</f>
        <v/>
      </c>
      <c r="G22" s="172" t="str">
        <f>IF(D22="","",VLOOKUP(D22,'G-6 Hedgerow Data'!$B$2:$AG$15,3,FALSE))</f>
        <v/>
      </c>
      <c r="H22" s="173"/>
      <c r="I22" s="172" t="str">
        <f>IFERROR(VLOOKUP(H22,'G-1 All Habitats'!$Z$2:$AA$9,2,FALSE),"")</f>
        <v/>
      </c>
      <c r="J22" s="173"/>
      <c r="K22" s="179" t="str">
        <f>IF(J22="","",IF(VLOOKUP(J22,'G-3 Multipliers'!$L$3:$N$6,2,FALSE)=0,"Spatial Data Missing",VLOOKUP(J22,'G-3 Multipliers'!$L$3:$N$6,2,FALSE)))</f>
        <v/>
      </c>
      <c r="L22" s="260" t="str">
        <f>IF(J22="","",IF(VLOOKUP(J22,'G-3 Multipliers'!$L$3:$N$6,3,FALSE)=0,"Spatial Data Missing",VLOOKUP(J22,'G-3 Multipliers'!$L$3:$N$6,3,FALSE)))</f>
        <v/>
      </c>
      <c r="M22" s="177" t="str">
        <f>IF(D22="","",VLOOKUP(D22,'G-6 Hedgerow Data'!$B$1:$AH$15,33,FALSE))</f>
        <v/>
      </c>
      <c r="N22" s="207" t="str">
        <f t="shared" si="2"/>
        <v/>
      </c>
      <c r="O22" s="44"/>
      <c r="P22" s="186"/>
      <c r="Q22" s="275"/>
      <c r="R22" s="289" t="str">
        <f t="shared" si="3"/>
        <v/>
      </c>
      <c r="S22" s="289" t="str">
        <f t="shared" si="4"/>
        <v/>
      </c>
      <c r="T22" s="289" t="str">
        <f t="shared" si="5"/>
        <v/>
      </c>
      <c r="U22" s="290" t="str">
        <f t="shared" si="6"/>
        <v/>
      </c>
      <c r="V22" s="182"/>
      <c r="W22" s="183"/>
      <c r="AE22" s="188" t="str">
        <f t="shared" si="0"/>
        <v/>
      </c>
      <c r="AF22" s="188" t="str">
        <f t="shared" si="1"/>
        <v/>
      </c>
      <c r="AH22" s="188">
        <v>13</v>
      </c>
      <c r="AJ22" s="188" t="str">
        <f t="array" ref="AJ22">IFERROR(INDEX($AH$10:$AH$258, MATCH(0, IF(TRUE=$AE$10:$AE$258, COUNTIF($AJ$9:$AJ21, $AH$10:$AH$258), ""), 0)),"")</f>
        <v/>
      </c>
      <c r="AK22" s="188" t="str">
        <f t="array" ref="AK22">IFERROR(INDEX($AH$10:$AH$258, MATCH(0, IF(TRUE=$AF$10:$AF$258, COUNTIF($AK$9:$AK21, $AH$10:$AH$258), ""), 0)),"")</f>
        <v/>
      </c>
      <c r="AL22" s="35" t="str">
        <f>IFERROR(INDEX('G-6 Hedgerow Data'!$BJ$3:$BJ$15,MATCH(D22,'G-6 Hedgerow Data'!$B$3:$B$15,0)),"")</f>
        <v/>
      </c>
    </row>
    <row r="23" spans="2:38" ht="13.8" x14ac:dyDescent="0.25">
      <c r="B23" s="168">
        <v>14</v>
      </c>
      <c r="C23" s="275"/>
      <c r="D23" s="275"/>
      <c r="E23" s="185"/>
      <c r="F23" s="277" t="str">
        <f>IF(D23="","",VLOOKUP(D23,'G-6 Hedgerow Data'!$B$2:$AG$15,2,FALSE))</f>
        <v/>
      </c>
      <c r="G23" s="172" t="str">
        <f>IF(D23="","",VLOOKUP(D23,'G-6 Hedgerow Data'!$B$2:$AG$15,3,FALSE))</f>
        <v/>
      </c>
      <c r="H23" s="173"/>
      <c r="I23" s="172" t="str">
        <f>IFERROR(VLOOKUP(H23,'G-1 All Habitats'!$Z$2:$AA$9,2,FALSE),"")</f>
        <v/>
      </c>
      <c r="J23" s="173"/>
      <c r="K23" s="179" t="str">
        <f>IF(J23="","",IF(VLOOKUP(J23,'G-3 Multipliers'!$L$3:$N$6,2,FALSE)=0,"Spatial Data Missing",VLOOKUP(J23,'G-3 Multipliers'!$L$3:$N$6,2,FALSE)))</f>
        <v/>
      </c>
      <c r="L23" s="260" t="str">
        <f>IF(J23="","",IF(VLOOKUP(J23,'G-3 Multipliers'!$L$3:$N$6,3,FALSE)=0,"Spatial Data Missing",VLOOKUP(J23,'G-3 Multipliers'!$L$3:$N$6,3,FALSE)))</f>
        <v/>
      </c>
      <c r="M23" s="177" t="str">
        <f>IF(D23="","",VLOOKUP(D23,'G-6 Hedgerow Data'!$B$1:$AH$15,33,FALSE))</f>
        <v/>
      </c>
      <c r="N23" s="207" t="str">
        <f t="shared" si="2"/>
        <v/>
      </c>
      <c r="O23" s="44"/>
      <c r="P23" s="186"/>
      <c r="Q23" s="275"/>
      <c r="R23" s="289" t="str">
        <f t="shared" si="3"/>
        <v/>
      </c>
      <c r="S23" s="289" t="str">
        <f t="shared" si="4"/>
        <v/>
      </c>
      <c r="T23" s="289" t="str">
        <f t="shared" si="5"/>
        <v/>
      </c>
      <c r="U23" s="290" t="str">
        <f t="shared" si="6"/>
        <v/>
      </c>
      <c r="V23" s="182"/>
      <c r="W23" s="183"/>
      <c r="AE23" s="188" t="str">
        <f t="shared" si="0"/>
        <v/>
      </c>
      <c r="AF23" s="188" t="str">
        <f t="shared" si="1"/>
        <v/>
      </c>
      <c r="AH23" s="188">
        <v>14</v>
      </c>
      <c r="AJ23" s="188" t="str">
        <f t="array" ref="AJ23">IFERROR(INDEX($AH$10:$AH$258, MATCH(0, IF(TRUE=$AE$10:$AE$258, COUNTIF($AJ$9:$AJ22, $AH$10:$AH$258), ""), 0)),"")</f>
        <v/>
      </c>
      <c r="AK23" s="188" t="str">
        <f t="array" ref="AK23">IFERROR(INDEX($AH$10:$AH$258, MATCH(0, IF(TRUE=$AF$10:$AF$258, COUNTIF($AK$9:$AK22, $AH$10:$AH$258), ""), 0)),"")</f>
        <v/>
      </c>
      <c r="AL23" s="35" t="str">
        <f>IFERROR(INDEX('G-6 Hedgerow Data'!$BJ$3:$BJ$15,MATCH(D23,'G-6 Hedgerow Data'!$B$3:$B$15,0)),"")</f>
        <v/>
      </c>
    </row>
    <row r="24" spans="2:38" ht="13.8" x14ac:dyDescent="0.25">
      <c r="B24" s="168">
        <v>15</v>
      </c>
      <c r="C24" s="275"/>
      <c r="D24" s="275"/>
      <c r="E24" s="185"/>
      <c r="F24" s="277" t="str">
        <f>IF(D24="","",VLOOKUP(D24,'G-6 Hedgerow Data'!$B$2:$AG$15,2,FALSE))</f>
        <v/>
      </c>
      <c r="G24" s="172" t="str">
        <f>IF(D24="","",VLOOKUP(D24,'G-6 Hedgerow Data'!$B$2:$AG$15,3,FALSE))</f>
        <v/>
      </c>
      <c r="H24" s="173"/>
      <c r="I24" s="172" t="str">
        <f>IFERROR(VLOOKUP(H24,'G-1 All Habitats'!$Z$2:$AA$9,2,FALSE),"")</f>
        <v/>
      </c>
      <c r="J24" s="173"/>
      <c r="K24" s="179" t="str">
        <f>IF(J24="","",IF(VLOOKUP(J24,'G-3 Multipliers'!$L$3:$N$6,2,FALSE)=0,"Spatial Data Missing",VLOOKUP(J24,'G-3 Multipliers'!$L$3:$N$6,2,FALSE)))</f>
        <v/>
      </c>
      <c r="L24" s="260" t="str">
        <f>IF(J24="","",IF(VLOOKUP(J24,'G-3 Multipliers'!$L$3:$N$6,3,FALSE)=0,"Spatial Data Missing",VLOOKUP(J24,'G-3 Multipliers'!$L$3:$N$6,3,FALSE)))</f>
        <v/>
      </c>
      <c r="M24" s="177" t="str">
        <f>IF(D24="","",VLOOKUP(D24,'G-6 Hedgerow Data'!$B$1:$AH$15,33,FALSE))</f>
        <v/>
      </c>
      <c r="N24" s="207" t="str">
        <f t="shared" si="2"/>
        <v/>
      </c>
      <c r="O24" s="44"/>
      <c r="P24" s="186"/>
      <c r="Q24" s="275"/>
      <c r="R24" s="289" t="str">
        <f t="shared" si="3"/>
        <v/>
      </c>
      <c r="S24" s="289" t="str">
        <f t="shared" si="4"/>
        <v/>
      </c>
      <c r="T24" s="289" t="str">
        <f t="shared" si="5"/>
        <v/>
      </c>
      <c r="U24" s="290" t="str">
        <f t="shared" si="6"/>
        <v/>
      </c>
      <c r="V24" s="182"/>
      <c r="W24" s="183"/>
      <c r="AE24" s="188" t="str">
        <f t="shared" si="0"/>
        <v/>
      </c>
      <c r="AF24" s="188" t="str">
        <f t="shared" si="1"/>
        <v/>
      </c>
      <c r="AH24" s="188">
        <v>15</v>
      </c>
      <c r="AJ24" s="188" t="str">
        <f t="array" ref="AJ24">IFERROR(INDEX($AH$10:$AH$258, MATCH(0, IF(TRUE=$AE$10:$AE$258, COUNTIF($AJ$9:$AJ23, $AH$10:$AH$258), ""), 0)),"")</f>
        <v/>
      </c>
      <c r="AK24" s="188" t="str">
        <f t="array" ref="AK24">IFERROR(INDEX($AH$10:$AH$258, MATCH(0, IF(TRUE=$AF$10:$AF$258, COUNTIF($AK$9:$AK23, $AH$10:$AH$258), ""), 0)),"")</f>
        <v/>
      </c>
      <c r="AL24" s="35" t="str">
        <f>IFERROR(INDEX('G-6 Hedgerow Data'!$BJ$3:$BJ$15,MATCH(D24,'G-6 Hedgerow Data'!$B$3:$B$15,0)),"")</f>
        <v/>
      </c>
    </row>
    <row r="25" spans="2:38" ht="13.8" x14ac:dyDescent="0.25">
      <c r="B25" s="168">
        <v>16</v>
      </c>
      <c r="C25" s="275"/>
      <c r="D25" s="275"/>
      <c r="E25" s="185"/>
      <c r="F25" s="277" t="str">
        <f>IF(D25="","",VLOOKUP(D25,'G-6 Hedgerow Data'!$B$2:$AG$15,2,FALSE))</f>
        <v/>
      </c>
      <c r="G25" s="172" t="str">
        <f>IF(D25="","",VLOOKUP(D25,'G-6 Hedgerow Data'!$B$2:$AG$15,3,FALSE))</f>
        <v/>
      </c>
      <c r="H25" s="173"/>
      <c r="I25" s="172" t="str">
        <f>IFERROR(VLOOKUP(H25,'G-1 All Habitats'!$Z$2:$AA$9,2,FALSE),"")</f>
        <v/>
      </c>
      <c r="J25" s="173"/>
      <c r="K25" s="179" t="str">
        <f>IF(J25="","",IF(VLOOKUP(J25,'G-3 Multipliers'!$L$3:$N$6,2,FALSE)=0,"Spatial Data Missing",VLOOKUP(J25,'G-3 Multipliers'!$L$3:$N$6,2,FALSE)))</f>
        <v/>
      </c>
      <c r="L25" s="260" t="str">
        <f>IF(J25="","",IF(VLOOKUP(J25,'G-3 Multipliers'!$L$3:$N$6,3,FALSE)=0,"Spatial Data Missing",VLOOKUP(J25,'G-3 Multipliers'!$L$3:$N$6,3,FALSE)))</f>
        <v/>
      </c>
      <c r="M25" s="177" t="str">
        <f>IF(D25="","",VLOOKUP(D25,'G-6 Hedgerow Data'!$B$1:$AH$15,33,FALSE))</f>
        <v/>
      </c>
      <c r="N25" s="207" t="str">
        <f t="shared" si="2"/>
        <v/>
      </c>
      <c r="O25" s="44"/>
      <c r="P25" s="186"/>
      <c r="Q25" s="275"/>
      <c r="R25" s="289" t="str">
        <f t="shared" si="3"/>
        <v/>
      </c>
      <c r="S25" s="289" t="str">
        <f t="shared" si="4"/>
        <v/>
      </c>
      <c r="T25" s="289" t="str">
        <f t="shared" si="5"/>
        <v/>
      </c>
      <c r="U25" s="290" t="str">
        <f t="shared" si="6"/>
        <v/>
      </c>
      <c r="V25" s="182"/>
      <c r="W25" s="183"/>
      <c r="AE25" s="188" t="str">
        <f t="shared" si="0"/>
        <v/>
      </c>
      <c r="AF25" s="188" t="str">
        <f t="shared" si="1"/>
        <v/>
      </c>
      <c r="AH25" s="188">
        <v>16</v>
      </c>
      <c r="AJ25" s="188" t="str">
        <f t="array" ref="AJ25">IFERROR(INDEX($AH$10:$AH$258, MATCH(0, IF(TRUE=$AE$10:$AE$258, COUNTIF($AJ$9:$AJ24, $AH$10:$AH$258), ""), 0)),"")</f>
        <v/>
      </c>
      <c r="AK25" s="188" t="str">
        <f t="array" ref="AK25">IFERROR(INDEX($AH$10:$AH$258, MATCH(0, IF(TRUE=$AF$10:$AF$258, COUNTIF($AK$9:$AK24, $AH$10:$AH$258), ""), 0)),"")</f>
        <v/>
      </c>
      <c r="AL25" s="35" t="str">
        <f>IFERROR(INDEX('G-6 Hedgerow Data'!$BJ$3:$BJ$15,MATCH(D25,'G-6 Hedgerow Data'!$B$3:$B$15,0)),"")</f>
        <v/>
      </c>
    </row>
    <row r="26" spans="2:38" ht="13.8" x14ac:dyDescent="0.25">
      <c r="B26" s="168">
        <v>17</v>
      </c>
      <c r="C26" s="275"/>
      <c r="D26" s="275"/>
      <c r="E26" s="185"/>
      <c r="F26" s="277" t="str">
        <f>IF(D26="","",VLOOKUP(D26,'G-6 Hedgerow Data'!$B$2:$AG$15,2,FALSE))</f>
        <v/>
      </c>
      <c r="G26" s="172" t="str">
        <f>IF(D26="","",VLOOKUP(D26,'G-6 Hedgerow Data'!$B$2:$AG$15,3,FALSE))</f>
        <v/>
      </c>
      <c r="H26" s="173"/>
      <c r="I26" s="172" t="str">
        <f>IFERROR(VLOOKUP(H26,'G-1 All Habitats'!$Z$2:$AA$9,2,FALSE),"")</f>
        <v/>
      </c>
      <c r="J26" s="173"/>
      <c r="K26" s="179" t="str">
        <f>IF(J26="","",IF(VLOOKUP(J26,'G-3 Multipliers'!$L$3:$N$6,2,FALSE)=0,"Spatial Data Missing",VLOOKUP(J26,'G-3 Multipliers'!$L$3:$N$6,2,FALSE)))</f>
        <v/>
      </c>
      <c r="L26" s="260" t="str">
        <f>IF(J26="","",IF(VLOOKUP(J26,'G-3 Multipliers'!$L$3:$N$6,3,FALSE)=0,"Spatial Data Missing",VLOOKUP(J26,'G-3 Multipliers'!$L$3:$N$6,3,FALSE)))</f>
        <v/>
      </c>
      <c r="M26" s="177" t="str">
        <f>IF(D26="","",VLOOKUP(D26,'G-6 Hedgerow Data'!$B$1:$AH$15,33,FALSE))</f>
        <v/>
      </c>
      <c r="N26" s="207" t="str">
        <f t="shared" si="2"/>
        <v/>
      </c>
      <c r="O26" s="44"/>
      <c r="P26" s="186"/>
      <c r="Q26" s="275"/>
      <c r="R26" s="289" t="str">
        <f t="shared" si="3"/>
        <v/>
      </c>
      <c r="S26" s="289" t="str">
        <f t="shared" si="4"/>
        <v/>
      </c>
      <c r="T26" s="289" t="str">
        <f t="shared" si="5"/>
        <v/>
      </c>
      <c r="U26" s="290" t="str">
        <f t="shared" si="6"/>
        <v/>
      </c>
      <c r="V26" s="182"/>
      <c r="W26" s="183"/>
      <c r="AE26" s="188" t="str">
        <f t="shared" si="0"/>
        <v/>
      </c>
      <c r="AF26" s="188" t="str">
        <f t="shared" si="1"/>
        <v/>
      </c>
      <c r="AH26" s="188">
        <v>17</v>
      </c>
      <c r="AJ26" s="188" t="str">
        <f t="array" ref="AJ26">IFERROR(INDEX($AH$10:$AH$258, MATCH(0, IF(TRUE=$AE$10:$AE$258, COUNTIF($AJ$9:$AJ25, $AH$10:$AH$258), ""), 0)),"")</f>
        <v/>
      </c>
      <c r="AK26" s="188" t="str">
        <f t="array" ref="AK26">IFERROR(INDEX($AH$10:$AH$258, MATCH(0, IF(TRUE=$AF$10:$AF$258, COUNTIF($AK$9:$AK25, $AH$10:$AH$258), ""), 0)),"")</f>
        <v/>
      </c>
      <c r="AL26" s="35" t="str">
        <f>IFERROR(INDEX('G-6 Hedgerow Data'!$BJ$3:$BJ$15,MATCH(D26,'G-6 Hedgerow Data'!$B$3:$B$15,0)),"")</f>
        <v/>
      </c>
    </row>
    <row r="27" spans="2:38" ht="13.8" x14ac:dyDescent="0.25">
      <c r="B27" s="168">
        <v>18</v>
      </c>
      <c r="C27" s="275"/>
      <c r="D27" s="275"/>
      <c r="E27" s="185"/>
      <c r="F27" s="277" t="str">
        <f>IF(D27="","",VLOOKUP(D27,'G-6 Hedgerow Data'!$B$2:$AG$15,2,FALSE))</f>
        <v/>
      </c>
      <c r="G27" s="172" t="str">
        <f>IF(D27="","",VLOOKUP(D27,'G-6 Hedgerow Data'!$B$2:$AG$15,3,FALSE))</f>
        <v/>
      </c>
      <c r="H27" s="173"/>
      <c r="I27" s="172" t="str">
        <f>IFERROR(VLOOKUP(H27,'G-1 All Habitats'!$Z$2:$AA$9,2,FALSE),"")</f>
        <v/>
      </c>
      <c r="J27" s="173"/>
      <c r="K27" s="179" t="str">
        <f>IF(J27="","",IF(VLOOKUP(J27,'G-3 Multipliers'!$L$3:$N$6,2,FALSE)=0,"Spatial Data Missing",VLOOKUP(J27,'G-3 Multipliers'!$L$3:$N$6,2,FALSE)))</f>
        <v/>
      </c>
      <c r="L27" s="260" t="str">
        <f>IF(J27="","",IF(VLOOKUP(J27,'G-3 Multipliers'!$L$3:$N$6,3,FALSE)=0,"Spatial Data Missing",VLOOKUP(J27,'G-3 Multipliers'!$L$3:$N$6,3,FALSE)))</f>
        <v/>
      </c>
      <c r="M27" s="177" t="str">
        <f>IF(D27="","",VLOOKUP(D27,'G-6 Hedgerow Data'!$B$1:$AH$15,33,FALSE))</f>
        <v/>
      </c>
      <c r="N27" s="207" t="str">
        <f t="shared" si="2"/>
        <v/>
      </c>
      <c r="O27" s="44"/>
      <c r="P27" s="186"/>
      <c r="Q27" s="275"/>
      <c r="R27" s="289" t="str">
        <f t="shared" si="3"/>
        <v/>
      </c>
      <c r="S27" s="289" t="str">
        <f t="shared" si="4"/>
        <v/>
      </c>
      <c r="T27" s="289" t="str">
        <f t="shared" si="5"/>
        <v/>
      </c>
      <c r="U27" s="290" t="str">
        <f t="shared" si="6"/>
        <v/>
      </c>
      <c r="V27" s="182"/>
      <c r="W27" s="183"/>
      <c r="AE27" s="188" t="str">
        <f t="shared" si="0"/>
        <v/>
      </c>
      <c r="AF27" s="188" t="str">
        <f t="shared" si="1"/>
        <v/>
      </c>
      <c r="AH27" s="188">
        <v>18</v>
      </c>
      <c r="AJ27" s="188" t="str">
        <f t="array" ref="AJ27">IFERROR(INDEX($AH$10:$AH$258, MATCH(0, IF(TRUE=$AE$10:$AE$258, COUNTIF($AJ$9:$AJ26, $AH$10:$AH$258), ""), 0)),"")</f>
        <v/>
      </c>
      <c r="AK27" s="188" t="str">
        <f t="array" ref="AK27">IFERROR(INDEX($AH$10:$AH$258, MATCH(0, IF(TRUE=$AF$10:$AF$258, COUNTIF($AK$9:$AK26, $AH$10:$AH$258), ""), 0)),"")</f>
        <v/>
      </c>
      <c r="AL27" s="35" t="str">
        <f>IFERROR(INDEX('G-6 Hedgerow Data'!$BJ$3:$BJ$15,MATCH(D27,'G-6 Hedgerow Data'!$B$3:$B$15,0)),"")</f>
        <v/>
      </c>
    </row>
    <row r="28" spans="2:38" ht="13.8" x14ac:dyDescent="0.25">
      <c r="B28" s="168">
        <v>19</v>
      </c>
      <c r="C28" s="275"/>
      <c r="D28" s="275"/>
      <c r="E28" s="185"/>
      <c r="F28" s="277" t="str">
        <f>IF(D28="","",VLOOKUP(D28,'G-6 Hedgerow Data'!$B$2:$AG$15,2,FALSE))</f>
        <v/>
      </c>
      <c r="G28" s="172" t="str">
        <f>IF(D28="","",VLOOKUP(D28,'G-6 Hedgerow Data'!$B$2:$AG$15,3,FALSE))</f>
        <v/>
      </c>
      <c r="H28" s="173"/>
      <c r="I28" s="172" t="str">
        <f>IFERROR(VLOOKUP(H28,'G-1 All Habitats'!$Z$2:$AA$9,2,FALSE),"")</f>
        <v/>
      </c>
      <c r="J28" s="173"/>
      <c r="K28" s="179" t="str">
        <f>IF(J28="","",IF(VLOOKUP(J28,'G-3 Multipliers'!$L$3:$N$6,2,FALSE)=0,"Spatial Data Missing",VLOOKUP(J28,'G-3 Multipliers'!$L$3:$N$6,2,FALSE)))</f>
        <v/>
      </c>
      <c r="L28" s="260" t="str">
        <f>IF(J28="","",IF(VLOOKUP(J28,'G-3 Multipliers'!$L$3:$N$6,3,FALSE)=0,"Spatial Data Missing",VLOOKUP(J28,'G-3 Multipliers'!$L$3:$N$6,3,FALSE)))</f>
        <v/>
      </c>
      <c r="M28" s="177" t="str">
        <f>IF(D28="","",VLOOKUP(D28,'G-6 Hedgerow Data'!$B$1:$AH$15,33,FALSE))</f>
        <v/>
      </c>
      <c r="N28" s="207" t="str">
        <f t="shared" si="2"/>
        <v/>
      </c>
      <c r="O28" s="44"/>
      <c r="P28" s="186"/>
      <c r="Q28" s="275"/>
      <c r="R28" s="289" t="str">
        <f t="shared" si="3"/>
        <v/>
      </c>
      <c r="S28" s="289" t="str">
        <f t="shared" si="4"/>
        <v/>
      </c>
      <c r="T28" s="289" t="str">
        <f t="shared" si="5"/>
        <v/>
      </c>
      <c r="U28" s="290" t="str">
        <f t="shared" si="6"/>
        <v/>
      </c>
      <c r="V28" s="182"/>
      <c r="W28" s="183"/>
      <c r="AE28" s="188" t="str">
        <f t="shared" si="0"/>
        <v/>
      </c>
      <c r="AF28" s="188" t="str">
        <f t="shared" si="1"/>
        <v/>
      </c>
      <c r="AH28" s="188">
        <v>19</v>
      </c>
      <c r="AJ28" s="188" t="str">
        <f t="array" ref="AJ28">IFERROR(INDEX($AH$10:$AH$258, MATCH(0, IF(TRUE=$AE$10:$AE$258, COUNTIF($AJ$9:$AJ27, $AH$10:$AH$258), ""), 0)),"")</f>
        <v/>
      </c>
      <c r="AK28" s="188" t="str">
        <f t="array" ref="AK28">IFERROR(INDEX($AH$10:$AH$258, MATCH(0, IF(TRUE=$AF$10:$AF$258, COUNTIF($AK$9:$AK27, $AH$10:$AH$258), ""), 0)),"")</f>
        <v/>
      </c>
      <c r="AL28" s="35" t="str">
        <f>IFERROR(INDEX('G-6 Hedgerow Data'!$BJ$3:$BJ$15,MATCH(D28,'G-6 Hedgerow Data'!$B$3:$B$15,0)),"")</f>
        <v/>
      </c>
    </row>
    <row r="29" spans="2:38" ht="13.8" x14ac:dyDescent="0.25">
      <c r="B29" s="168">
        <v>20</v>
      </c>
      <c r="C29" s="275"/>
      <c r="D29" s="275"/>
      <c r="E29" s="185"/>
      <c r="F29" s="277" t="str">
        <f>IF(D29="","",VLOOKUP(D29,'G-6 Hedgerow Data'!$B$2:$AG$15,2,FALSE))</f>
        <v/>
      </c>
      <c r="G29" s="172" t="str">
        <f>IF(D29="","",VLOOKUP(D29,'G-6 Hedgerow Data'!$B$2:$AG$15,3,FALSE))</f>
        <v/>
      </c>
      <c r="H29" s="173"/>
      <c r="I29" s="172" t="str">
        <f>IFERROR(VLOOKUP(H29,'G-1 All Habitats'!$Z$2:$AA$9,2,FALSE),"")</f>
        <v/>
      </c>
      <c r="J29" s="173"/>
      <c r="K29" s="179" t="str">
        <f>IF(J29="","",IF(VLOOKUP(J29,'G-3 Multipliers'!$L$3:$N$6,2,FALSE)=0,"Spatial Data Missing",VLOOKUP(J29,'G-3 Multipliers'!$L$3:$N$6,2,FALSE)))</f>
        <v/>
      </c>
      <c r="L29" s="260" t="str">
        <f>IF(J29="","",IF(VLOOKUP(J29,'G-3 Multipliers'!$L$3:$N$6,3,FALSE)=0,"Spatial Data Missing",VLOOKUP(J29,'G-3 Multipliers'!$L$3:$N$6,3,FALSE)))</f>
        <v/>
      </c>
      <c r="M29" s="177" t="str">
        <f>IF(D29="","",VLOOKUP(D29,'G-6 Hedgerow Data'!$B$1:$AH$15,33,FALSE))</f>
        <v/>
      </c>
      <c r="N29" s="207" t="str">
        <f t="shared" si="2"/>
        <v/>
      </c>
      <c r="O29" s="44"/>
      <c r="P29" s="186"/>
      <c r="Q29" s="275"/>
      <c r="R29" s="289" t="str">
        <f t="shared" si="3"/>
        <v/>
      </c>
      <c r="S29" s="289" t="str">
        <f t="shared" si="4"/>
        <v/>
      </c>
      <c r="T29" s="289" t="str">
        <f t="shared" si="5"/>
        <v/>
      </c>
      <c r="U29" s="290" t="str">
        <f t="shared" si="6"/>
        <v/>
      </c>
      <c r="V29" s="182"/>
      <c r="W29" s="183"/>
      <c r="AE29" s="188" t="str">
        <f t="shared" si="0"/>
        <v/>
      </c>
      <c r="AF29" s="188" t="str">
        <f t="shared" si="1"/>
        <v/>
      </c>
      <c r="AH29" s="188">
        <v>20</v>
      </c>
      <c r="AJ29" s="188" t="str">
        <f t="array" ref="AJ29">IFERROR(INDEX($AH$10:$AH$258, MATCH(0, IF(TRUE=$AE$10:$AE$258, COUNTIF($AJ$9:$AJ28, $AH$10:$AH$258), ""), 0)),"")</f>
        <v/>
      </c>
      <c r="AK29" s="188" t="str">
        <f t="array" ref="AK29">IFERROR(INDEX($AH$10:$AH$258, MATCH(0, IF(TRUE=$AF$10:$AF$258, COUNTIF($AK$9:$AK28, $AH$10:$AH$258), ""), 0)),"")</f>
        <v/>
      </c>
      <c r="AL29" s="35" t="str">
        <f>IFERROR(INDEX('G-6 Hedgerow Data'!$BJ$3:$BJ$15,MATCH(D29,'G-6 Hedgerow Data'!$B$3:$B$15,0)),"")</f>
        <v/>
      </c>
    </row>
    <row r="30" spans="2:38" ht="13.8" x14ac:dyDescent="0.25">
      <c r="B30" s="168">
        <v>21</v>
      </c>
      <c r="C30" s="275"/>
      <c r="D30" s="275"/>
      <c r="E30" s="185"/>
      <c r="F30" s="277" t="str">
        <f>IF(D30="","",VLOOKUP(D30,'G-6 Hedgerow Data'!$B$2:$AG$15,2,FALSE))</f>
        <v/>
      </c>
      <c r="G30" s="172" t="str">
        <f>IF(D30="","",VLOOKUP(D30,'G-6 Hedgerow Data'!$B$2:$AG$15,3,FALSE))</f>
        <v/>
      </c>
      <c r="H30" s="173"/>
      <c r="I30" s="172" t="str">
        <f>IFERROR(VLOOKUP(H30,'G-1 All Habitats'!$Z$2:$AA$9,2,FALSE),"")</f>
        <v/>
      </c>
      <c r="J30" s="173"/>
      <c r="K30" s="179" t="str">
        <f>IF(J30="","",IF(VLOOKUP(J30,'G-3 Multipliers'!$L$3:$N$6,2,FALSE)=0,"Spatial Data Missing",VLOOKUP(J30,'G-3 Multipliers'!$L$3:$N$6,2,FALSE)))</f>
        <v/>
      </c>
      <c r="L30" s="260" t="str">
        <f>IF(J30="","",IF(VLOOKUP(J30,'G-3 Multipliers'!$L$3:$N$6,3,FALSE)=0,"Spatial Data Missing",VLOOKUP(J30,'G-3 Multipliers'!$L$3:$N$6,3,FALSE)))</f>
        <v/>
      </c>
      <c r="M30" s="177" t="str">
        <f>IF(D30="","",VLOOKUP(D30,'G-6 Hedgerow Data'!$B$1:$AH$15,33,FALSE))</f>
        <v/>
      </c>
      <c r="N30" s="207" t="str">
        <f t="shared" si="2"/>
        <v/>
      </c>
      <c r="O30" s="44"/>
      <c r="P30" s="186"/>
      <c r="Q30" s="275"/>
      <c r="R30" s="289" t="str">
        <f t="shared" si="3"/>
        <v/>
      </c>
      <c r="S30" s="289" t="str">
        <f t="shared" si="4"/>
        <v/>
      </c>
      <c r="T30" s="289" t="str">
        <f t="shared" si="5"/>
        <v/>
      </c>
      <c r="U30" s="290" t="str">
        <f t="shared" si="6"/>
        <v/>
      </c>
      <c r="V30" s="182"/>
      <c r="W30" s="183"/>
      <c r="AE30" s="188" t="str">
        <f t="shared" si="0"/>
        <v/>
      </c>
      <c r="AF30" s="188" t="str">
        <f t="shared" si="1"/>
        <v/>
      </c>
      <c r="AH30" s="188">
        <v>21</v>
      </c>
      <c r="AJ30" s="188" t="str">
        <f t="array" ref="AJ30">IFERROR(INDEX($AH$10:$AH$258, MATCH(0, IF(TRUE=$AE$10:$AE$258, COUNTIF($AJ$9:$AJ29, $AH$10:$AH$258), ""), 0)),"")</f>
        <v/>
      </c>
      <c r="AK30" s="188" t="str">
        <f t="array" ref="AK30">IFERROR(INDEX($AH$10:$AH$258, MATCH(0, IF(TRUE=$AF$10:$AF$258, COUNTIF($AK$9:$AK29, $AH$10:$AH$258), ""), 0)),"")</f>
        <v/>
      </c>
      <c r="AL30" s="35" t="str">
        <f>IFERROR(INDEX('G-6 Hedgerow Data'!$BJ$3:$BJ$15,MATCH(D30,'G-6 Hedgerow Data'!$B$3:$B$15,0)),"")</f>
        <v/>
      </c>
    </row>
    <row r="31" spans="2:38" ht="13.8" x14ac:dyDescent="0.25">
      <c r="B31" s="168">
        <v>22</v>
      </c>
      <c r="C31" s="275"/>
      <c r="D31" s="275"/>
      <c r="E31" s="185"/>
      <c r="F31" s="277" t="str">
        <f>IF(D31="","",VLOOKUP(D31,'G-6 Hedgerow Data'!$B$2:$AG$15,2,FALSE))</f>
        <v/>
      </c>
      <c r="G31" s="172" t="str">
        <f>IF(D31="","",VLOOKUP(D31,'G-6 Hedgerow Data'!$B$2:$AG$15,3,FALSE))</f>
        <v/>
      </c>
      <c r="H31" s="173"/>
      <c r="I31" s="172" t="str">
        <f>IFERROR(VLOOKUP(H31,'G-1 All Habitats'!$Z$2:$AA$9,2,FALSE),"")</f>
        <v/>
      </c>
      <c r="J31" s="173"/>
      <c r="K31" s="179" t="str">
        <f>IF(J31="","",IF(VLOOKUP(J31,'G-3 Multipliers'!$L$3:$N$6,2,FALSE)=0,"Spatial Data Missing",VLOOKUP(J31,'G-3 Multipliers'!$L$3:$N$6,2,FALSE)))</f>
        <v/>
      </c>
      <c r="L31" s="260" t="str">
        <f>IF(J31="","",IF(VLOOKUP(J31,'G-3 Multipliers'!$L$3:$N$6,3,FALSE)=0,"Spatial Data Missing",VLOOKUP(J31,'G-3 Multipliers'!$L$3:$N$6,3,FALSE)))</f>
        <v/>
      </c>
      <c r="M31" s="177" t="str">
        <f>IF(D31="","",VLOOKUP(D31,'G-6 Hedgerow Data'!$B$1:$AH$15,33,FALSE))</f>
        <v/>
      </c>
      <c r="N31" s="207" t="str">
        <f t="shared" si="2"/>
        <v/>
      </c>
      <c r="O31" s="44"/>
      <c r="P31" s="186"/>
      <c r="Q31" s="275"/>
      <c r="R31" s="289" t="str">
        <f t="shared" si="3"/>
        <v/>
      </c>
      <c r="S31" s="289" t="str">
        <f t="shared" si="4"/>
        <v/>
      </c>
      <c r="T31" s="289" t="str">
        <f t="shared" si="5"/>
        <v/>
      </c>
      <c r="U31" s="290" t="str">
        <f t="shared" si="6"/>
        <v/>
      </c>
      <c r="V31" s="182"/>
      <c r="W31" s="183"/>
      <c r="AE31" s="188" t="str">
        <f t="shared" si="0"/>
        <v/>
      </c>
      <c r="AF31" s="188" t="str">
        <f t="shared" si="1"/>
        <v/>
      </c>
      <c r="AH31" s="188">
        <v>22</v>
      </c>
      <c r="AJ31" s="188" t="str">
        <f t="array" ref="AJ31">IFERROR(INDEX($AH$10:$AH$258, MATCH(0, IF(TRUE=$AE$10:$AE$258, COUNTIF($AJ$9:$AJ30, $AH$10:$AH$258), ""), 0)),"")</f>
        <v/>
      </c>
      <c r="AK31" s="188" t="str">
        <f t="array" ref="AK31">IFERROR(INDEX($AH$10:$AH$258, MATCH(0, IF(TRUE=$AF$10:$AF$258, COUNTIF($AK$9:$AK30, $AH$10:$AH$258), ""), 0)),"")</f>
        <v/>
      </c>
      <c r="AL31" s="35" t="str">
        <f>IFERROR(INDEX('G-6 Hedgerow Data'!$BJ$3:$BJ$15,MATCH(D31,'G-6 Hedgerow Data'!$B$3:$B$15,0)),"")</f>
        <v/>
      </c>
    </row>
    <row r="32" spans="2:38" ht="13.8" x14ac:dyDescent="0.25">
      <c r="B32" s="168">
        <v>23</v>
      </c>
      <c r="C32" s="275"/>
      <c r="D32" s="275"/>
      <c r="E32" s="185"/>
      <c r="F32" s="277" t="str">
        <f>IF(D32="","",VLOOKUP(D32,'G-6 Hedgerow Data'!$B$2:$AG$15,2,FALSE))</f>
        <v/>
      </c>
      <c r="G32" s="172" t="str">
        <f>IF(D32="","",VLOOKUP(D32,'G-6 Hedgerow Data'!$B$2:$AG$15,3,FALSE))</f>
        <v/>
      </c>
      <c r="H32" s="173"/>
      <c r="I32" s="172" t="str">
        <f>IFERROR(VLOOKUP(H32,'G-1 All Habitats'!$Z$2:$AA$9,2,FALSE),"")</f>
        <v/>
      </c>
      <c r="J32" s="173"/>
      <c r="K32" s="179" t="str">
        <f>IF(J32="","",IF(VLOOKUP(J32,'G-3 Multipliers'!$L$3:$N$6,2,FALSE)=0,"Spatial Data Missing",VLOOKUP(J32,'G-3 Multipliers'!$L$3:$N$6,2,FALSE)))</f>
        <v/>
      </c>
      <c r="L32" s="260" t="str">
        <f>IF(J32="","",IF(VLOOKUP(J32,'G-3 Multipliers'!$L$3:$N$6,3,FALSE)=0,"Spatial Data Missing",VLOOKUP(J32,'G-3 Multipliers'!$L$3:$N$6,3,FALSE)))</f>
        <v/>
      </c>
      <c r="M32" s="177" t="str">
        <f>IF(D32="","",VLOOKUP(D32,'G-6 Hedgerow Data'!$B$1:$AH$15,33,FALSE))</f>
        <v/>
      </c>
      <c r="N32" s="207" t="str">
        <f t="shared" si="2"/>
        <v/>
      </c>
      <c r="O32" s="44"/>
      <c r="P32" s="186"/>
      <c r="Q32" s="275"/>
      <c r="R32" s="289" t="str">
        <f t="shared" si="3"/>
        <v/>
      </c>
      <c r="S32" s="289" t="str">
        <f t="shared" si="4"/>
        <v/>
      </c>
      <c r="T32" s="289" t="str">
        <f t="shared" si="5"/>
        <v/>
      </c>
      <c r="U32" s="290" t="str">
        <f t="shared" si="6"/>
        <v/>
      </c>
      <c r="V32" s="182"/>
      <c r="W32" s="183"/>
      <c r="AE32" s="188" t="str">
        <f t="shared" si="0"/>
        <v/>
      </c>
      <c r="AF32" s="188" t="str">
        <f t="shared" si="1"/>
        <v/>
      </c>
      <c r="AH32" s="188">
        <v>23</v>
      </c>
      <c r="AJ32" s="188" t="str">
        <f t="array" ref="AJ32">IFERROR(INDEX($AH$10:$AH$258, MATCH(0, IF(TRUE=$AE$10:$AE$258, COUNTIF($AJ$9:$AJ31, $AH$10:$AH$258), ""), 0)),"")</f>
        <v/>
      </c>
      <c r="AK32" s="188" t="str">
        <f t="array" ref="AK32">IFERROR(INDEX($AH$10:$AH$258, MATCH(0, IF(TRUE=$AF$10:$AF$258, COUNTIF($AK$9:$AK31, $AH$10:$AH$258), ""), 0)),"")</f>
        <v/>
      </c>
      <c r="AL32" s="35" t="str">
        <f>IFERROR(INDEX('G-6 Hedgerow Data'!$BJ$3:$BJ$15,MATCH(D32,'G-6 Hedgerow Data'!$B$3:$B$15,0)),"")</f>
        <v/>
      </c>
    </row>
    <row r="33" spans="2:38" ht="13.8" x14ac:dyDescent="0.25">
      <c r="B33" s="168">
        <v>24</v>
      </c>
      <c r="C33" s="275"/>
      <c r="D33" s="275"/>
      <c r="E33" s="185"/>
      <c r="F33" s="277" t="str">
        <f>IF(D33="","",VLOOKUP(D33,'G-6 Hedgerow Data'!$B$2:$AG$15,2,FALSE))</f>
        <v/>
      </c>
      <c r="G33" s="172" t="str">
        <f>IF(D33="","",VLOOKUP(D33,'G-6 Hedgerow Data'!$B$2:$AG$15,3,FALSE))</f>
        <v/>
      </c>
      <c r="H33" s="173"/>
      <c r="I33" s="172" t="str">
        <f>IFERROR(VLOOKUP(H33,'G-1 All Habitats'!$Z$2:$AA$9,2,FALSE),"")</f>
        <v/>
      </c>
      <c r="J33" s="173"/>
      <c r="K33" s="179" t="str">
        <f>IF(J33="","",IF(VLOOKUP(J33,'G-3 Multipliers'!$L$3:$N$6,2,FALSE)=0,"Spatial Data Missing",VLOOKUP(J33,'G-3 Multipliers'!$L$3:$N$6,2,FALSE)))</f>
        <v/>
      </c>
      <c r="L33" s="260" t="str">
        <f>IF(J33="","",IF(VLOOKUP(J33,'G-3 Multipliers'!$L$3:$N$6,3,FALSE)=0,"Spatial Data Missing",VLOOKUP(J33,'G-3 Multipliers'!$L$3:$N$6,3,FALSE)))</f>
        <v/>
      </c>
      <c r="M33" s="177" t="str">
        <f>IF(D33="","",VLOOKUP(D33,'G-6 Hedgerow Data'!$B$1:$AH$15,33,FALSE))</f>
        <v/>
      </c>
      <c r="N33" s="207" t="str">
        <f t="shared" si="2"/>
        <v/>
      </c>
      <c r="O33" s="44"/>
      <c r="P33" s="186"/>
      <c r="Q33" s="275"/>
      <c r="R33" s="289" t="str">
        <f t="shared" si="3"/>
        <v/>
      </c>
      <c r="S33" s="289" t="str">
        <f t="shared" si="4"/>
        <v/>
      </c>
      <c r="T33" s="289" t="str">
        <f t="shared" si="5"/>
        <v/>
      </c>
      <c r="U33" s="290" t="str">
        <f t="shared" si="6"/>
        <v/>
      </c>
      <c r="V33" s="182"/>
      <c r="W33" s="183"/>
      <c r="AE33" s="188" t="str">
        <f t="shared" si="0"/>
        <v/>
      </c>
      <c r="AF33" s="188" t="str">
        <f t="shared" si="1"/>
        <v/>
      </c>
      <c r="AH33" s="188">
        <v>24</v>
      </c>
      <c r="AJ33" s="188" t="str">
        <f t="array" ref="AJ33">IFERROR(INDEX($AH$10:$AH$258, MATCH(0, IF(TRUE=$AE$10:$AE$258, COUNTIF($AJ$9:$AJ32, $AH$10:$AH$258), ""), 0)),"")</f>
        <v/>
      </c>
      <c r="AK33" s="188" t="str">
        <f t="array" ref="AK33">IFERROR(INDEX($AH$10:$AH$258, MATCH(0, IF(TRUE=$AF$10:$AF$258, COUNTIF($AK$9:$AK32, $AH$10:$AH$258), ""), 0)),"")</f>
        <v/>
      </c>
      <c r="AL33" s="35" t="str">
        <f>IFERROR(INDEX('G-6 Hedgerow Data'!$BJ$3:$BJ$15,MATCH(D33,'G-6 Hedgerow Data'!$B$3:$B$15,0)),"")</f>
        <v/>
      </c>
    </row>
    <row r="34" spans="2:38" ht="13.8" x14ac:dyDescent="0.25">
      <c r="B34" s="168">
        <v>25</v>
      </c>
      <c r="C34" s="275"/>
      <c r="D34" s="275"/>
      <c r="E34" s="185"/>
      <c r="F34" s="277" t="str">
        <f>IF(D34="","",VLOOKUP(D34,'G-6 Hedgerow Data'!$B$2:$AG$15,2,FALSE))</f>
        <v/>
      </c>
      <c r="G34" s="172" t="str">
        <f>IF(D34="","",VLOOKUP(D34,'G-6 Hedgerow Data'!$B$2:$AG$15,3,FALSE))</f>
        <v/>
      </c>
      <c r="H34" s="173"/>
      <c r="I34" s="172" t="str">
        <f>IFERROR(VLOOKUP(H34,'G-1 All Habitats'!$Z$2:$AA$9,2,FALSE),"")</f>
        <v/>
      </c>
      <c r="J34" s="173"/>
      <c r="K34" s="179" t="str">
        <f>IF(J34="","",IF(VLOOKUP(J34,'G-3 Multipliers'!$L$3:$N$6,2,FALSE)=0,"Spatial Data Missing",VLOOKUP(J34,'G-3 Multipliers'!$L$3:$N$6,2,FALSE)))</f>
        <v/>
      </c>
      <c r="L34" s="260" t="str">
        <f>IF(J34="","",IF(VLOOKUP(J34,'G-3 Multipliers'!$L$3:$N$6,3,FALSE)=0,"Spatial Data Missing",VLOOKUP(J34,'G-3 Multipliers'!$L$3:$N$6,3,FALSE)))</f>
        <v/>
      </c>
      <c r="M34" s="177" t="str">
        <f>IF(D34="","",VLOOKUP(D34,'G-6 Hedgerow Data'!$B$1:$AH$15,33,FALSE))</f>
        <v/>
      </c>
      <c r="N34" s="207" t="str">
        <f t="shared" si="2"/>
        <v/>
      </c>
      <c r="O34" s="44"/>
      <c r="P34" s="186"/>
      <c r="Q34" s="275"/>
      <c r="R34" s="289" t="str">
        <f t="shared" si="3"/>
        <v/>
      </c>
      <c r="S34" s="289" t="str">
        <f t="shared" si="4"/>
        <v/>
      </c>
      <c r="T34" s="289" t="str">
        <f t="shared" si="5"/>
        <v/>
      </c>
      <c r="U34" s="290" t="str">
        <f t="shared" si="6"/>
        <v/>
      </c>
      <c r="V34" s="182"/>
      <c r="W34" s="183"/>
      <c r="AE34" s="188" t="str">
        <f t="shared" si="0"/>
        <v/>
      </c>
      <c r="AF34" s="188" t="str">
        <f t="shared" si="1"/>
        <v/>
      </c>
      <c r="AH34" s="188">
        <v>25</v>
      </c>
      <c r="AJ34" s="188" t="str">
        <f t="array" ref="AJ34">IFERROR(INDEX($AH$10:$AH$258, MATCH(0, IF(TRUE=$AE$10:$AE$258, COUNTIF($AJ$9:$AJ33, $AH$10:$AH$258), ""), 0)),"")</f>
        <v/>
      </c>
      <c r="AK34" s="188" t="str">
        <f t="array" ref="AK34">IFERROR(INDEX($AH$10:$AH$258, MATCH(0, IF(TRUE=$AF$10:$AF$258, COUNTIF($AK$9:$AK33, $AH$10:$AH$258), ""), 0)),"")</f>
        <v/>
      </c>
      <c r="AL34" s="35" t="str">
        <f>IFERROR(INDEX('G-6 Hedgerow Data'!$BJ$3:$BJ$15,MATCH(D34,'G-6 Hedgerow Data'!$B$3:$B$15,0)),"")</f>
        <v/>
      </c>
    </row>
    <row r="35" spans="2:38" ht="13.8" x14ac:dyDescent="0.25">
      <c r="B35" s="168">
        <v>26</v>
      </c>
      <c r="C35" s="275"/>
      <c r="D35" s="275"/>
      <c r="E35" s="185"/>
      <c r="F35" s="277" t="str">
        <f>IF(D35="","",VLOOKUP(D35,'G-6 Hedgerow Data'!$B$2:$AG$15,2,FALSE))</f>
        <v/>
      </c>
      <c r="G35" s="172" t="str">
        <f>IF(D35="","",VLOOKUP(D35,'G-6 Hedgerow Data'!$B$2:$AG$15,3,FALSE))</f>
        <v/>
      </c>
      <c r="H35" s="173"/>
      <c r="I35" s="172" t="str">
        <f>IFERROR(VLOOKUP(H35,'G-1 All Habitats'!$Z$2:$AA$9,2,FALSE),"")</f>
        <v/>
      </c>
      <c r="J35" s="173"/>
      <c r="K35" s="179" t="str">
        <f>IF(J35="","",IF(VLOOKUP(J35,'G-3 Multipliers'!$L$3:$N$6,2,FALSE)=0,"Spatial Data Missing",VLOOKUP(J35,'G-3 Multipliers'!$L$3:$N$6,2,FALSE)))</f>
        <v/>
      </c>
      <c r="L35" s="260" t="str">
        <f>IF(J35="","",IF(VLOOKUP(J35,'G-3 Multipliers'!$L$3:$N$6,3,FALSE)=0,"Spatial Data Missing",VLOOKUP(J35,'G-3 Multipliers'!$L$3:$N$6,3,FALSE)))</f>
        <v/>
      </c>
      <c r="M35" s="177" t="str">
        <f>IF(D35="","",VLOOKUP(D35,'G-6 Hedgerow Data'!$B$1:$AH$15,33,FALSE))</f>
        <v/>
      </c>
      <c r="N35" s="207" t="str">
        <f t="shared" si="2"/>
        <v/>
      </c>
      <c r="O35" s="44"/>
      <c r="P35" s="186"/>
      <c r="Q35" s="275"/>
      <c r="R35" s="289" t="str">
        <f t="shared" si="3"/>
        <v/>
      </c>
      <c r="S35" s="289" t="str">
        <f t="shared" si="4"/>
        <v/>
      </c>
      <c r="T35" s="289" t="str">
        <f t="shared" si="5"/>
        <v/>
      </c>
      <c r="U35" s="290" t="str">
        <f t="shared" si="6"/>
        <v/>
      </c>
      <c r="V35" s="182"/>
      <c r="W35" s="183"/>
      <c r="AE35" s="188" t="str">
        <f t="shared" si="0"/>
        <v/>
      </c>
      <c r="AF35" s="188" t="str">
        <f t="shared" si="1"/>
        <v/>
      </c>
      <c r="AH35" s="188">
        <v>26</v>
      </c>
      <c r="AJ35" s="188" t="str">
        <f t="array" ref="AJ35">IFERROR(INDEX($AH$10:$AH$258, MATCH(0, IF(TRUE=$AE$10:$AE$258, COUNTIF($AJ$9:$AJ34, $AH$10:$AH$258), ""), 0)),"")</f>
        <v/>
      </c>
      <c r="AK35" s="188" t="str">
        <f t="array" ref="AK35">IFERROR(INDEX($AH$10:$AH$258, MATCH(0, IF(TRUE=$AF$10:$AF$258, COUNTIF($AK$9:$AK34, $AH$10:$AH$258), ""), 0)),"")</f>
        <v/>
      </c>
      <c r="AL35" s="35" t="str">
        <f>IFERROR(INDEX('G-6 Hedgerow Data'!$BJ$3:$BJ$15,MATCH(D35,'G-6 Hedgerow Data'!$B$3:$B$15,0)),"")</f>
        <v/>
      </c>
    </row>
    <row r="36" spans="2:38" ht="13.8" x14ac:dyDescent="0.25">
      <c r="B36" s="168">
        <v>27</v>
      </c>
      <c r="C36" s="275"/>
      <c r="D36" s="275"/>
      <c r="E36" s="185"/>
      <c r="F36" s="277" t="str">
        <f>IF(D36="","",VLOOKUP(D36,'G-6 Hedgerow Data'!$B$2:$AG$15,2,FALSE))</f>
        <v/>
      </c>
      <c r="G36" s="172" t="str">
        <f>IF(D36="","",VLOOKUP(D36,'G-6 Hedgerow Data'!$B$2:$AG$15,3,FALSE))</f>
        <v/>
      </c>
      <c r="H36" s="173"/>
      <c r="I36" s="172" t="str">
        <f>IFERROR(VLOOKUP(H36,'G-1 All Habitats'!$Z$2:$AA$9,2,FALSE),"")</f>
        <v/>
      </c>
      <c r="J36" s="173"/>
      <c r="K36" s="179" t="str">
        <f>IF(J36="","",IF(VLOOKUP(J36,'G-3 Multipliers'!$L$3:$N$6,2,FALSE)=0,"Spatial Data Missing",VLOOKUP(J36,'G-3 Multipliers'!$L$3:$N$6,2,FALSE)))</f>
        <v/>
      </c>
      <c r="L36" s="260" t="str">
        <f>IF(J36="","",IF(VLOOKUP(J36,'G-3 Multipliers'!$L$3:$N$6,3,FALSE)=0,"Spatial Data Missing",VLOOKUP(J36,'G-3 Multipliers'!$L$3:$N$6,3,FALSE)))</f>
        <v/>
      </c>
      <c r="M36" s="177" t="str">
        <f>IF(D36="","",VLOOKUP(D36,'G-6 Hedgerow Data'!$B$1:$AH$15,33,FALSE))</f>
        <v/>
      </c>
      <c r="N36" s="207" t="str">
        <f t="shared" si="2"/>
        <v/>
      </c>
      <c r="O36" s="44"/>
      <c r="P36" s="186"/>
      <c r="Q36" s="275"/>
      <c r="R36" s="289" t="str">
        <f t="shared" si="3"/>
        <v/>
      </c>
      <c r="S36" s="289" t="str">
        <f t="shared" si="4"/>
        <v/>
      </c>
      <c r="T36" s="289" t="str">
        <f t="shared" si="5"/>
        <v/>
      </c>
      <c r="U36" s="290" t="str">
        <f t="shared" si="6"/>
        <v/>
      </c>
      <c r="V36" s="182"/>
      <c r="W36" s="183"/>
      <c r="AE36" s="188" t="str">
        <f t="shared" si="0"/>
        <v/>
      </c>
      <c r="AF36" s="188" t="str">
        <f t="shared" si="1"/>
        <v/>
      </c>
      <c r="AH36" s="188">
        <v>27</v>
      </c>
      <c r="AJ36" s="188" t="str">
        <f t="array" ref="AJ36">IFERROR(INDEX($AH$10:$AH$258, MATCH(0, IF(TRUE=$AE$10:$AE$258, COUNTIF($AJ$9:$AJ35, $AH$10:$AH$258), ""), 0)),"")</f>
        <v/>
      </c>
      <c r="AK36" s="188" t="str">
        <f t="array" ref="AK36">IFERROR(INDEX($AH$10:$AH$258, MATCH(0, IF(TRUE=$AF$10:$AF$258, COUNTIF($AK$9:$AK35, $AH$10:$AH$258), ""), 0)),"")</f>
        <v/>
      </c>
      <c r="AL36" s="35" t="str">
        <f>IFERROR(INDEX('G-6 Hedgerow Data'!$BJ$3:$BJ$15,MATCH(D36,'G-6 Hedgerow Data'!$B$3:$B$15,0)),"")</f>
        <v/>
      </c>
    </row>
    <row r="37" spans="2:38" ht="13.8" x14ac:dyDescent="0.25">
      <c r="B37" s="168">
        <v>28</v>
      </c>
      <c r="C37" s="275"/>
      <c r="D37" s="275"/>
      <c r="E37" s="185"/>
      <c r="F37" s="277" t="str">
        <f>IF(D37="","",VLOOKUP(D37,'G-6 Hedgerow Data'!$B$2:$AG$15,2,FALSE))</f>
        <v/>
      </c>
      <c r="G37" s="172" t="str">
        <f>IF(D37="","",VLOOKUP(D37,'G-6 Hedgerow Data'!$B$2:$AG$15,3,FALSE))</f>
        <v/>
      </c>
      <c r="H37" s="173"/>
      <c r="I37" s="172" t="str">
        <f>IFERROR(VLOOKUP(H37,'G-1 All Habitats'!$Z$2:$AA$9,2,FALSE),"")</f>
        <v/>
      </c>
      <c r="J37" s="173"/>
      <c r="K37" s="179" t="str">
        <f>IF(J37="","",IF(VLOOKUP(J37,'G-3 Multipliers'!$L$3:$N$6,2,FALSE)=0,"Spatial Data Missing",VLOOKUP(J37,'G-3 Multipliers'!$L$3:$N$6,2,FALSE)))</f>
        <v/>
      </c>
      <c r="L37" s="260" t="str">
        <f>IF(J37="","",IF(VLOOKUP(J37,'G-3 Multipliers'!$L$3:$N$6,3,FALSE)=0,"Spatial Data Missing",VLOOKUP(J37,'G-3 Multipliers'!$L$3:$N$6,3,FALSE)))</f>
        <v/>
      </c>
      <c r="M37" s="177" t="str">
        <f>IF(D37="","",VLOOKUP(D37,'G-6 Hedgerow Data'!$B$1:$AH$15,33,FALSE))</f>
        <v/>
      </c>
      <c r="N37" s="207" t="str">
        <f t="shared" si="2"/>
        <v/>
      </c>
      <c r="O37" s="44"/>
      <c r="P37" s="186"/>
      <c r="Q37" s="275"/>
      <c r="R37" s="289" t="str">
        <f t="shared" si="3"/>
        <v/>
      </c>
      <c r="S37" s="289" t="str">
        <f t="shared" si="4"/>
        <v/>
      </c>
      <c r="T37" s="289" t="str">
        <f t="shared" si="5"/>
        <v/>
      </c>
      <c r="U37" s="290" t="str">
        <f t="shared" si="6"/>
        <v/>
      </c>
      <c r="V37" s="182"/>
      <c r="W37" s="183"/>
      <c r="AE37" s="188" t="str">
        <f t="shared" si="0"/>
        <v/>
      </c>
      <c r="AF37" s="188" t="str">
        <f t="shared" si="1"/>
        <v/>
      </c>
      <c r="AH37" s="188">
        <v>28</v>
      </c>
      <c r="AJ37" s="188" t="str">
        <f t="array" ref="AJ37">IFERROR(INDEX($AH$10:$AH$258, MATCH(0, IF(TRUE=$AE$10:$AE$258, COUNTIF($AJ$9:$AJ36, $AH$10:$AH$258), ""), 0)),"")</f>
        <v/>
      </c>
      <c r="AK37" s="188" t="str">
        <f t="array" ref="AK37">IFERROR(INDEX($AH$10:$AH$258, MATCH(0, IF(TRUE=$AF$10:$AF$258, COUNTIF($AK$9:$AK36, $AH$10:$AH$258), ""), 0)),"")</f>
        <v/>
      </c>
      <c r="AL37" s="35" t="str">
        <f>IFERROR(INDEX('G-6 Hedgerow Data'!$BJ$3:$BJ$15,MATCH(D37,'G-6 Hedgerow Data'!$B$3:$B$15,0)),"")</f>
        <v/>
      </c>
    </row>
    <row r="38" spans="2:38" ht="13.8" x14ac:dyDescent="0.25">
      <c r="B38" s="168">
        <v>29</v>
      </c>
      <c r="C38" s="275"/>
      <c r="D38" s="275"/>
      <c r="E38" s="185"/>
      <c r="F38" s="277" t="str">
        <f>IF(D38="","",VLOOKUP(D38,'G-6 Hedgerow Data'!$B$2:$AG$15,2,FALSE))</f>
        <v/>
      </c>
      <c r="G38" s="172" t="str">
        <f>IF(D38="","",VLOOKUP(D38,'G-6 Hedgerow Data'!$B$2:$AG$15,3,FALSE))</f>
        <v/>
      </c>
      <c r="H38" s="173"/>
      <c r="I38" s="172" t="str">
        <f>IFERROR(VLOOKUP(H38,'G-1 All Habitats'!$Z$2:$AA$9,2,FALSE),"")</f>
        <v/>
      </c>
      <c r="J38" s="173"/>
      <c r="K38" s="179" t="str">
        <f>IF(J38="","",IF(VLOOKUP(J38,'G-3 Multipliers'!$L$3:$N$6,2,FALSE)=0,"Spatial Data Missing",VLOOKUP(J38,'G-3 Multipliers'!$L$3:$N$6,2,FALSE)))</f>
        <v/>
      </c>
      <c r="L38" s="260" t="str">
        <f>IF(J38="","",IF(VLOOKUP(J38,'G-3 Multipliers'!$L$3:$N$6,3,FALSE)=0,"Spatial Data Missing",VLOOKUP(J38,'G-3 Multipliers'!$L$3:$N$6,3,FALSE)))</f>
        <v/>
      </c>
      <c r="M38" s="177" t="str">
        <f>IF(D38="","",VLOOKUP(D38,'G-6 Hedgerow Data'!$B$1:$AH$15,33,FALSE))</f>
        <v/>
      </c>
      <c r="N38" s="207" t="str">
        <f t="shared" si="2"/>
        <v/>
      </c>
      <c r="O38" s="44"/>
      <c r="P38" s="186"/>
      <c r="Q38" s="275"/>
      <c r="R38" s="289" t="str">
        <f t="shared" si="3"/>
        <v/>
      </c>
      <c r="S38" s="289" t="str">
        <f t="shared" si="4"/>
        <v/>
      </c>
      <c r="T38" s="289" t="str">
        <f t="shared" si="5"/>
        <v/>
      </c>
      <c r="U38" s="290" t="str">
        <f t="shared" si="6"/>
        <v/>
      </c>
      <c r="V38" s="182"/>
      <c r="W38" s="183"/>
      <c r="AE38" s="188" t="str">
        <f t="shared" si="0"/>
        <v/>
      </c>
      <c r="AF38" s="188" t="str">
        <f t="shared" si="1"/>
        <v/>
      </c>
      <c r="AH38" s="188">
        <v>29</v>
      </c>
      <c r="AJ38" s="188" t="str">
        <f t="array" ref="AJ38">IFERROR(INDEX($AH$10:$AH$258, MATCH(0, IF(TRUE=$AE$10:$AE$258, COUNTIF($AJ$9:$AJ37, $AH$10:$AH$258), ""), 0)),"")</f>
        <v/>
      </c>
      <c r="AK38" s="188" t="str">
        <f t="array" ref="AK38">IFERROR(INDEX($AH$10:$AH$258, MATCH(0, IF(TRUE=$AF$10:$AF$258, COUNTIF($AK$9:$AK37, $AH$10:$AH$258), ""), 0)),"")</f>
        <v/>
      </c>
      <c r="AL38" s="35" t="str">
        <f>IFERROR(INDEX('G-6 Hedgerow Data'!$BJ$3:$BJ$15,MATCH(D38,'G-6 Hedgerow Data'!$B$3:$B$15,0)),"")</f>
        <v/>
      </c>
    </row>
    <row r="39" spans="2:38" ht="13.8" x14ac:dyDescent="0.25">
      <c r="B39" s="168">
        <v>30</v>
      </c>
      <c r="C39" s="275"/>
      <c r="D39" s="275"/>
      <c r="E39" s="185"/>
      <c r="F39" s="277" t="str">
        <f>IF(D39="","",VLOOKUP(D39,'G-6 Hedgerow Data'!$B$2:$AG$15,2,FALSE))</f>
        <v/>
      </c>
      <c r="G39" s="172" t="str">
        <f>IF(D39="","",VLOOKUP(D39,'G-6 Hedgerow Data'!$B$2:$AG$15,3,FALSE))</f>
        <v/>
      </c>
      <c r="H39" s="173"/>
      <c r="I39" s="172" t="str">
        <f>IFERROR(VLOOKUP(H39,'G-1 All Habitats'!$Z$2:$AA$9,2,FALSE),"")</f>
        <v/>
      </c>
      <c r="J39" s="173"/>
      <c r="K39" s="179" t="str">
        <f>IF(J39="","",IF(VLOOKUP(J39,'G-3 Multipliers'!$L$3:$N$6,2,FALSE)=0,"Spatial Data Missing",VLOOKUP(J39,'G-3 Multipliers'!$L$3:$N$6,2,FALSE)))</f>
        <v/>
      </c>
      <c r="L39" s="260" t="str">
        <f>IF(J39="","",IF(VLOOKUP(J39,'G-3 Multipliers'!$L$3:$N$6,3,FALSE)=0,"Spatial Data Missing",VLOOKUP(J39,'G-3 Multipliers'!$L$3:$N$6,3,FALSE)))</f>
        <v/>
      </c>
      <c r="M39" s="177" t="str">
        <f>IF(D39="","",VLOOKUP(D39,'G-6 Hedgerow Data'!$B$1:$AH$15,33,FALSE))</f>
        <v/>
      </c>
      <c r="N39" s="207" t="str">
        <f t="shared" si="2"/>
        <v/>
      </c>
      <c r="O39" s="44"/>
      <c r="P39" s="186"/>
      <c r="Q39" s="275"/>
      <c r="R39" s="289" t="str">
        <f t="shared" si="3"/>
        <v/>
      </c>
      <c r="S39" s="289" t="str">
        <f t="shared" si="4"/>
        <v/>
      </c>
      <c r="T39" s="289" t="str">
        <f t="shared" si="5"/>
        <v/>
      </c>
      <c r="U39" s="290" t="str">
        <f t="shared" si="6"/>
        <v/>
      </c>
      <c r="V39" s="182"/>
      <c r="W39" s="183"/>
      <c r="AE39" s="188" t="str">
        <f t="shared" si="0"/>
        <v/>
      </c>
      <c r="AF39" s="188" t="str">
        <f t="shared" si="1"/>
        <v/>
      </c>
      <c r="AH39" s="188">
        <v>30</v>
      </c>
      <c r="AJ39" s="188" t="str">
        <f t="array" ref="AJ39">IFERROR(INDEX($AH$10:$AH$258, MATCH(0, IF(TRUE=$AE$10:$AE$258, COUNTIF($AJ$9:$AJ38, $AH$10:$AH$258), ""), 0)),"")</f>
        <v/>
      </c>
      <c r="AK39" s="188" t="str">
        <f t="array" ref="AK39">IFERROR(INDEX($AH$10:$AH$258, MATCH(0, IF(TRUE=$AF$10:$AF$258, COUNTIF($AK$9:$AK38, $AH$10:$AH$258), ""), 0)),"")</f>
        <v/>
      </c>
      <c r="AL39" s="35" t="str">
        <f>IFERROR(INDEX('G-6 Hedgerow Data'!$BJ$3:$BJ$15,MATCH(D39,'G-6 Hedgerow Data'!$B$3:$B$15,0)),"")</f>
        <v/>
      </c>
    </row>
    <row r="40" spans="2:38" ht="13.8" x14ac:dyDescent="0.25">
      <c r="B40" s="168">
        <v>31</v>
      </c>
      <c r="C40" s="275"/>
      <c r="D40" s="275"/>
      <c r="E40" s="185"/>
      <c r="F40" s="277" t="str">
        <f>IF(D40="","",VLOOKUP(D40,'G-6 Hedgerow Data'!$B$2:$AG$15,2,FALSE))</f>
        <v/>
      </c>
      <c r="G40" s="172" t="str">
        <f>IF(D40="","",VLOOKUP(D40,'G-6 Hedgerow Data'!$B$2:$AG$15,3,FALSE))</f>
        <v/>
      </c>
      <c r="H40" s="173"/>
      <c r="I40" s="172" t="str">
        <f>IFERROR(VLOOKUP(H40,'G-1 All Habitats'!$Z$2:$AA$9,2,FALSE),"")</f>
        <v/>
      </c>
      <c r="J40" s="173"/>
      <c r="K40" s="179" t="str">
        <f>IF(J40="","",IF(VLOOKUP(J40,'G-3 Multipliers'!$L$3:$N$6,2,FALSE)=0,"Spatial Data Missing",VLOOKUP(J40,'G-3 Multipliers'!$L$3:$N$6,2,FALSE)))</f>
        <v/>
      </c>
      <c r="L40" s="260" t="str">
        <f>IF(J40="","",IF(VLOOKUP(J40,'G-3 Multipliers'!$L$3:$N$6,3,FALSE)=0,"Spatial Data Missing",VLOOKUP(J40,'G-3 Multipliers'!$L$3:$N$6,3,FALSE)))</f>
        <v/>
      </c>
      <c r="M40" s="177" t="str">
        <f>IF(D40="","",VLOOKUP(D40,'G-6 Hedgerow Data'!$B$1:$AH$15,33,FALSE))</f>
        <v/>
      </c>
      <c r="N40" s="207" t="str">
        <f t="shared" si="2"/>
        <v/>
      </c>
      <c r="O40" s="44"/>
      <c r="P40" s="186"/>
      <c r="Q40" s="275"/>
      <c r="R40" s="289" t="str">
        <f t="shared" si="3"/>
        <v/>
      </c>
      <c r="S40" s="289" t="str">
        <f t="shared" si="4"/>
        <v/>
      </c>
      <c r="T40" s="289" t="str">
        <f t="shared" si="5"/>
        <v/>
      </c>
      <c r="U40" s="290" t="str">
        <f t="shared" si="6"/>
        <v/>
      </c>
      <c r="V40" s="182"/>
      <c r="W40" s="183"/>
      <c r="AE40" s="188" t="str">
        <f t="shared" si="0"/>
        <v/>
      </c>
      <c r="AF40" s="188" t="str">
        <f t="shared" si="1"/>
        <v/>
      </c>
      <c r="AH40" s="188">
        <v>31</v>
      </c>
      <c r="AJ40" s="188" t="str">
        <f t="array" ref="AJ40">IFERROR(INDEX($AH$10:$AH$258, MATCH(0, IF(TRUE=$AE$10:$AE$258, COUNTIF($AJ$9:$AJ39, $AH$10:$AH$258), ""), 0)),"")</f>
        <v/>
      </c>
      <c r="AK40" s="188" t="str">
        <f t="array" ref="AK40">IFERROR(INDEX($AH$10:$AH$258, MATCH(0, IF(TRUE=$AF$10:$AF$258, COUNTIF($AK$9:$AK39, $AH$10:$AH$258), ""), 0)),"")</f>
        <v/>
      </c>
      <c r="AL40" s="35" t="str">
        <f>IFERROR(INDEX('G-6 Hedgerow Data'!$BJ$3:$BJ$15,MATCH(D40,'G-6 Hedgerow Data'!$B$3:$B$15,0)),"")</f>
        <v/>
      </c>
    </row>
    <row r="41" spans="2:38" ht="13.8" x14ac:dyDescent="0.25">
      <c r="B41" s="168">
        <v>32</v>
      </c>
      <c r="C41" s="275"/>
      <c r="D41" s="275"/>
      <c r="E41" s="185"/>
      <c r="F41" s="277" t="str">
        <f>IF(D41="","",VLOOKUP(D41,'G-6 Hedgerow Data'!$B$2:$AG$15,2,FALSE))</f>
        <v/>
      </c>
      <c r="G41" s="172" t="str">
        <f>IF(D41="","",VLOOKUP(D41,'G-6 Hedgerow Data'!$B$2:$AG$15,3,FALSE))</f>
        <v/>
      </c>
      <c r="H41" s="173"/>
      <c r="I41" s="172" t="str">
        <f>IFERROR(VLOOKUP(H41,'G-1 All Habitats'!$Z$2:$AA$9,2,FALSE),"")</f>
        <v/>
      </c>
      <c r="J41" s="173"/>
      <c r="K41" s="179" t="str">
        <f>IF(J41="","",IF(VLOOKUP(J41,'G-3 Multipliers'!$L$3:$N$6,2,FALSE)=0,"Spatial Data Missing",VLOOKUP(J41,'G-3 Multipliers'!$L$3:$N$6,2,FALSE)))</f>
        <v/>
      </c>
      <c r="L41" s="260" t="str">
        <f>IF(J41="","",IF(VLOOKUP(J41,'G-3 Multipliers'!$L$3:$N$6,3,FALSE)=0,"Spatial Data Missing",VLOOKUP(J41,'G-3 Multipliers'!$L$3:$N$6,3,FALSE)))</f>
        <v/>
      </c>
      <c r="M41" s="177" t="str">
        <f>IF(D41="","",VLOOKUP(D41,'G-6 Hedgerow Data'!$B$1:$AH$15,33,FALSE))</f>
        <v/>
      </c>
      <c r="N41" s="207" t="str">
        <f t="shared" si="2"/>
        <v/>
      </c>
      <c r="O41" s="44"/>
      <c r="P41" s="186"/>
      <c r="Q41" s="275"/>
      <c r="R41" s="289" t="str">
        <f t="shared" si="3"/>
        <v/>
      </c>
      <c r="S41" s="289" t="str">
        <f t="shared" si="4"/>
        <v/>
      </c>
      <c r="T41" s="289" t="str">
        <f t="shared" si="5"/>
        <v/>
      </c>
      <c r="U41" s="290" t="str">
        <f t="shared" si="6"/>
        <v/>
      </c>
      <c r="V41" s="182"/>
      <c r="W41" s="183"/>
      <c r="AE41" s="188" t="str">
        <f t="shared" si="0"/>
        <v/>
      </c>
      <c r="AF41" s="188" t="str">
        <f t="shared" si="1"/>
        <v/>
      </c>
      <c r="AH41" s="188">
        <v>32</v>
      </c>
      <c r="AJ41" s="188" t="str">
        <f t="array" ref="AJ41">IFERROR(INDEX($AH$10:$AH$258, MATCH(0, IF(TRUE=$AE$10:$AE$258, COUNTIF($AJ$9:$AJ40, $AH$10:$AH$258), ""), 0)),"")</f>
        <v/>
      </c>
      <c r="AK41" s="188" t="str">
        <f t="array" ref="AK41">IFERROR(INDEX($AH$10:$AH$258, MATCH(0, IF(TRUE=$AF$10:$AF$258, COUNTIF($AK$9:$AK40, $AH$10:$AH$258), ""), 0)),"")</f>
        <v/>
      </c>
      <c r="AL41" s="35" t="str">
        <f>IFERROR(INDEX('G-6 Hedgerow Data'!$BJ$3:$BJ$15,MATCH(D41,'G-6 Hedgerow Data'!$B$3:$B$15,0)),"")</f>
        <v/>
      </c>
    </row>
    <row r="42" spans="2:38" ht="13.8" x14ac:dyDescent="0.25">
      <c r="B42" s="168">
        <v>33</v>
      </c>
      <c r="C42" s="275"/>
      <c r="D42" s="275"/>
      <c r="E42" s="185"/>
      <c r="F42" s="277" t="str">
        <f>IF(D42="","",VLOOKUP(D42,'G-6 Hedgerow Data'!$B$2:$AG$15,2,FALSE))</f>
        <v/>
      </c>
      <c r="G42" s="172" t="str">
        <f>IF(D42="","",VLOOKUP(D42,'G-6 Hedgerow Data'!$B$2:$AG$15,3,FALSE))</f>
        <v/>
      </c>
      <c r="H42" s="173"/>
      <c r="I42" s="172" t="str">
        <f>IFERROR(VLOOKUP(H42,'G-1 All Habitats'!$Z$2:$AA$9,2,FALSE),"")</f>
        <v/>
      </c>
      <c r="J42" s="173"/>
      <c r="K42" s="179" t="str">
        <f>IF(J42="","",IF(VLOOKUP(J42,'G-3 Multipliers'!$L$3:$N$6,2,FALSE)=0,"Spatial Data Missing",VLOOKUP(J42,'G-3 Multipliers'!$L$3:$N$6,2,FALSE)))</f>
        <v/>
      </c>
      <c r="L42" s="260" t="str">
        <f>IF(J42="","",IF(VLOOKUP(J42,'G-3 Multipliers'!$L$3:$N$6,3,FALSE)=0,"Spatial Data Missing",VLOOKUP(J42,'G-3 Multipliers'!$L$3:$N$6,3,FALSE)))</f>
        <v/>
      </c>
      <c r="M42" s="177" t="str">
        <f>IF(D42="","",VLOOKUP(D42,'G-6 Hedgerow Data'!$B$1:$AH$15,33,FALSE))</f>
        <v/>
      </c>
      <c r="N42" s="207" t="str">
        <f t="shared" si="2"/>
        <v/>
      </c>
      <c r="O42" s="44"/>
      <c r="P42" s="186"/>
      <c r="Q42" s="275"/>
      <c r="R42" s="289" t="str">
        <f t="shared" si="3"/>
        <v/>
      </c>
      <c r="S42" s="289" t="str">
        <f t="shared" si="4"/>
        <v/>
      </c>
      <c r="T42" s="289" t="str">
        <f t="shared" si="5"/>
        <v/>
      </c>
      <c r="U42" s="290" t="str">
        <f t="shared" si="6"/>
        <v/>
      </c>
      <c r="V42" s="182"/>
      <c r="W42" s="183"/>
      <c r="AE42" s="188" t="str">
        <f t="shared" si="0"/>
        <v/>
      </c>
      <c r="AF42" s="188" t="str">
        <f t="shared" si="1"/>
        <v/>
      </c>
      <c r="AH42" s="188">
        <v>33</v>
      </c>
      <c r="AJ42" s="188" t="str">
        <f t="array" ref="AJ42">IFERROR(INDEX($AH$10:$AH$258, MATCH(0, IF(TRUE=$AE$10:$AE$258, COUNTIF($AJ$9:$AJ41, $AH$10:$AH$258), ""), 0)),"")</f>
        <v/>
      </c>
      <c r="AK42" s="188" t="str">
        <f t="array" ref="AK42">IFERROR(INDEX($AH$10:$AH$258, MATCH(0, IF(TRUE=$AF$10:$AF$258, COUNTIF($AK$9:$AK41, $AH$10:$AH$258), ""), 0)),"")</f>
        <v/>
      </c>
      <c r="AL42" s="35" t="str">
        <f>IFERROR(INDEX('G-6 Hedgerow Data'!$BJ$3:$BJ$15,MATCH(D42,'G-6 Hedgerow Data'!$B$3:$B$15,0)),"")</f>
        <v/>
      </c>
    </row>
    <row r="43" spans="2:38" ht="13.8" x14ac:dyDescent="0.25">
      <c r="B43" s="168">
        <v>34</v>
      </c>
      <c r="C43" s="275"/>
      <c r="D43" s="275"/>
      <c r="E43" s="185"/>
      <c r="F43" s="277" t="str">
        <f>IF(D43="","",VLOOKUP(D43,'G-6 Hedgerow Data'!$B$2:$AG$15,2,FALSE))</f>
        <v/>
      </c>
      <c r="G43" s="172" t="str">
        <f>IF(D43="","",VLOOKUP(D43,'G-6 Hedgerow Data'!$B$2:$AG$15,3,FALSE))</f>
        <v/>
      </c>
      <c r="H43" s="173"/>
      <c r="I43" s="172" t="str">
        <f>IFERROR(VLOOKUP(H43,'G-1 All Habitats'!$Z$2:$AA$9,2,FALSE),"")</f>
        <v/>
      </c>
      <c r="J43" s="173"/>
      <c r="K43" s="179" t="str">
        <f>IF(J43="","",IF(VLOOKUP(J43,'G-3 Multipliers'!$L$3:$N$6,2,FALSE)=0,"Spatial Data Missing",VLOOKUP(J43,'G-3 Multipliers'!$L$3:$N$6,2,FALSE)))</f>
        <v/>
      </c>
      <c r="L43" s="260" t="str">
        <f>IF(J43="","",IF(VLOOKUP(J43,'G-3 Multipliers'!$L$3:$N$6,3,FALSE)=0,"Spatial Data Missing",VLOOKUP(J43,'G-3 Multipliers'!$L$3:$N$6,3,FALSE)))</f>
        <v/>
      </c>
      <c r="M43" s="177" t="str">
        <f>IF(D43="","",VLOOKUP(D43,'G-6 Hedgerow Data'!$B$1:$AH$15,33,FALSE))</f>
        <v/>
      </c>
      <c r="N43" s="207" t="str">
        <f t="shared" si="2"/>
        <v/>
      </c>
      <c r="O43" s="44"/>
      <c r="P43" s="186"/>
      <c r="Q43" s="275"/>
      <c r="R43" s="289" t="str">
        <f t="shared" si="3"/>
        <v/>
      </c>
      <c r="S43" s="289" t="str">
        <f t="shared" si="4"/>
        <v/>
      </c>
      <c r="T43" s="289" t="str">
        <f t="shared" si="5"/>
        <v/>
      </c>
      <c r="U43" s="290" t="str">
        <f t="shared" si="6"/>
        <v/>
      </c>
      <c r="V43" s="182"/>
      <c r="W43" s="183"/>
      <c r="AE43" s="188" t="str">
        <f t="shared" si="0"/>
        <v/>
      </c>
      <c r="AF43" s="188" t="str">
        <f t="shared" si="1"/>
        <v/>
      </c>
      <c r="AH43" s="188">
        <v>34</v>
      </c>
      <c r="AJ43" s="188" t="str">
        <f t="array" ref="AJ43">IFERROR(INDEX($AH$10:$AH$258, MATCH(0, IF(TRUE=$AE$10:$AE$258, COUNTIF($AJ$9:$AJ42, $AH$10:$AH$258), ""), 0)),"")</f>
        <v/>
      </c>
      <c r="AK43" s="188" t="str">
        <f t="array" ref="AK43">IFERROR(INDEX($AH$10:$AH$258, MATCH(0, IF(TRUE=$AF$10:$AF$258, COUNTIF($AK$9:$AK42, $AH$10:$AH$258), ""), 0)),"")</f>
        <v/>
      </c>
      <c r="AL43" s="35" t="str">
        <f>IFERROR(INDEX('G-6 Hedgerow Data'!$BJ$3:$BJ$15,MATCH(D43,'G-6 Hedgerow Data'!$B$3:$B$15,0)),"")</f>
        <v/>
      </c>
    </row>
    <row r="44" spans="2:38" ht="13.8" x14ac:dyDescent="0.25">
      <c r="B44" s="168">
        <v>35</v>
      </c>
      <c r="C44" s="275"/>
      <c r="D44" s="275"/>
      <c r="E44" s="185"/>
      <c r="F44" s="277" t="str">
        <f>IF(D44="","",VLOOKUP(D44,'G-6 Hedgerow Data'!$B$2:$AG$15,2,FALSE))</f>
        <v/>
      </c>
      <c r="G44" s="172" t="str">
        <f>IF(D44="","",VLOOKUP(D44,'G-6 Hedgerow Data'!$B$2:$AG$15,3,FALSE))</f>
        <v/>
      </c>
      <c r="H44" s="173"/>
      <c r="I44" s="172" t="str">
        <f>IFERROR(VLOOKUP(H44,'G-1 All Habitats'!$Z$2:$AA$9,2,FALSE),"")</f>
        <v/>
      </c>
      <c r="J44" s="173"/>
      <c r="K44" s="179" t="str">
        <f>IF(J44="","",IF(VLOOKUP(J44,'G-3 Multipliers'!$L$3:$N$6,2,FALSE)=0,"Spatial Data Missing",VLOOKUP(J44,'G-3 Multipliers'!$L$3:$N$6,2,FALSE)))</f>
        <v/>
      </c>
      <c r="L44" s="260" t="str">
        <f>IF(J44="","",IF(VLOOKUP(J44,'G-3 Multipliers'!$L$3:$N$6,3,FALSE)=0,"Spatial Data Missing",VLOOKUP(J44,'G-3 Multipliers'!$L$3:$N$6,3,FALSE)))</f>
        <v/>
      </c>
      <c r="M44" s="177" t="str">
        <f>IF(D44="","",VLOOKUP(D44,'G-6 Hedgerow Data'!$B$1:$AH$15,33,FALSE))</f>
        <v/>
      </c>
      <c r="N44" s="207" t="str">
        <f t="shared" si="2"/>
        <v/>
      </c>
      <c r="O44" s="44"/>
      <c r="P44" s="186"/>
      <c r="Q44" s="275"/>
      <c r="R44" s="289" t="str">
        <f t="shared" si="3"/>
        <v/>
      </c>
      <c r="S44" s="289" t="str">
        <f t="shared" si="4"/>
        <v/>
      </c>
      <c r="T44" s="289" t="str">
        <f t="shared" si="5"/>
        <v/>
      </c>
      <c r="U44" s="290" t="str">
        <f t="shared" si="6"/>
        <v/>
      </c>
      <c r="V44" s="182"/>
      <c r="W44" s="183"/>
      <c r="AE44" s="188" t="str">
        <f t="shared" si="0"/>
        <v/>
      </c>
      <c r="AF44" s="188" t="str">
        <f t="shared" si="1"/>
        <v/>
      </c>
      <c r="AH44" s="188">
        <v>35</v>
      </c>
      <c r="AJ44" s="188" t="str">
        <f t="array" ref="AJ44">IFERROR(INDEX($AH$10:$AH$258, MATCH(0, IF(TRUE=$AE$10:$AE$258, COUNTIF($AJ$9:$AJ43, $AH$10:$AH$258), ""), 0)),"")</f>
        <v/>
      </c>
      <c r="AK44" s="188" t="str">
        <f t="array" ref="AK44">IFERROR(INDEX($AH$10:$AH$258, MATCH(0, IF(TRUE=$AF$10:$AF$258, COUNTIF($AK$9:$AK43, $AH$10:$AH$258), ""), 0)),"")</f>
        <v/>
      </c>
      <c r="AL44" s="35" t="str">
        <f>IFERROR(INDEX('G-6 Hedgerow Data'!$BJ$3:$BJ$15,MATCH(D44,'G-6 Hedgerow Data'!$B$3:$B$15,0)),"")</f>
        <v/>
      </c>
    </row>
    <row r="45" spans="2:38" ht="13.8" x14ac:dyDescent="0.25">
      <c r="B45" s="168">
        <v>36</v>
      </c>
      <c r="C45" s="275"/>
      <c r="D45" s="275"/>
      <c r="E45" s="185"/>
      <c r="F45" s="277" t="str">
        <f>IF(D45="","",VLOOKUP(D45,'G-6 Hedgerow Data'!$B$2:$AG$15,2,FALSE))</f>
        <v/>
      </c>
      <c r="G45" s="172" t="str">
        <f>IF(D45="","",VLOOKUP(D45,'G-6 Hedgerow Data'!$B$2:$AG$15,3,FALSE))</f>
        <v/>
      </c>
      <c r="H45" s="173"/>
      <c r="I45" s="172" t="str">
        <f>IFERROR(VLOOKUP(H45,'G-1 All Habitats'!$Z$2:$AA$9,2,FALSE),"")</f>
        <v/>
      </c>
      <c r="J45" s="173"/>
      <c r="K45" s="179" t="str">
        <f>IF(J45="","",IF(VLOOKUP(J45,'G-3 Multipliers'!$L$3:$N$6,2,FALSE)=0,"Spatial Data Missing",VLOOKUP(J45,'G-3 Multipliers'!$L$3:$N$6,2,FALSE)))</f>
        <v/>
      </c>
      <c r="L45" s="260" t="str">
        <f>IF(J45="","",IF(VLOOKUP(J45,'G-3 Multipliers'!$L$3:$N$6,3,FALSE)=0,"Spatial Data Missing",VLOOKUP(J45,'G-3 Multipliers'!$L$3:$N$6,3,FALSE)))</f>
        <v/>
      </c>
      <c r="M45" s="177" t="str">
        <f>IF(D45="","",VLOOKUP(D45,'G-6 Hedgerow Data'!$B$1:$AH$15,33,FALSE))</f>
        <v/>
      </c>
      <c r="N45" s="207" t="str">
        <f t="shared" si="2"/>
        <v/>
      </c>
      <c r="O45" s="44"/>
      <c r="P45" s="186"/>
      <c r="Q45" s="275"/>
      <c r="R45" s="289" t="str">
        <f t="shared" si="3"/>
        <v/>
      </c>
      <c r="S45" s="289" t="str">
        <f t="shared" si="4"/>
        <v/>
      </c>
      <c r="T45" s="289" t="str">
        <f t="shared" si="5"/>
        <v/>
      </c>
      <c r="U45" s="290" t="str">
        <f t="shared" si="6"/>
        <v/>
      </c>
      <c r="V45" s="182"/>
      <c r="W45" s="183"/>
      <c r="AE45" s="188" t="str">
        <f t="shared" si="0"/>
        <v/>
      </c>
      <c r="AF45" s="188" t="str">
        <f t="shared" si="1"/>
        <v/>
      </c>
      <c r="AH45" s="188">
        <v>36</v>
      </c>
      <c r="AJ45" s="188" t="str">
        <f t="array" ref="AJ45">IFERROR(INDEX($AH$10:$AH$258, MATCH(0, IF(TRUE=$AE$10:$AE$258, COUNTIF($AJ$9:$AJ44, $AH$10:$AH$258), ""), 0)),"")</f>
        <v/>
      </c>
      <c r="AK45" s="188" t="str">
        <f t="array" ref="AK45">IFERROR(INDEX($AH$10:$AH$258, MATCH(0, IF(TRUE=$AF$10:$AF$258, COUNTIF($AK$9:$AK44, $AH$10:$AH$258), ""), 0)),"")</f>
        <v/>
      </c>
      <c r="AL45" s="35" t="str">
        <f>IFERROR(INDEX('G-6 Hedgerow Data'!$BJ$3:$BJ$15,MATCH(D45,'G-6 Hedgerow Data'!$B$3:$B$15,0)),"")</f>
        <v/>
      </c>
    </row>
    <row r="46" spans="2:38" ht="13.8" x14ac:dyDescent="0.25">
      <c r="B46" s="168">
        <v>37</v>
      </c>
      <c r="C46" s="275"/>
      <c r="D46" s="275"/>
      <c r="E46" s="185"/>
      <c r="F46" s="277" t="str">
        <f>IF(D46="","",VLOOKUP(D46,'G-6 Hedgerow Data'!$B$2:$AG$15,2,FALSE))</f>
        <v/>
      </c>
      <c r="G46" s="172" t="str">
        <f>IF(D46="","",VLOOKUP(D46,'G-6 Hedgerow Data'!$B$2:$AG$15,3,FALSE))</f>
        <v/>
      </c>
      <c r="H46" s="173"/>
      <c r="I46" s="172" t="str">
        <f>IFERROR(VLOOKUP(H46,'G-1 All Habitats'!$Z$2:$AA$9,2,FALSE),"")</f>
        <v/>
      </c>
      <c r="J46" s="173"/>
      <c r="K46" s="179" t="str">
        <f>IF(J46="","",IF(VLOOKUP(J46,'G-3 Multipliers'!$L$3:$N$6,2,FALSE)=0,"Spatial Data Missing",VLOOKUP(J46,'G-3 Multipliers'!$L$3:$N$6,2,FALSE)))</f>
        <v/>
      </c>
      <c r="L46" s="260" t="str">
        <f>IF(J46="","",IF(VLOOKUP(J46,'G-3 Multipliers'!$L$3:$N$6,3,FALSE)=0,"Spatial Data Missing",VLOOKUP(J46,'G-3 Multipliers'!$L$3:$N$6,3,FALSE)))</f>
        <v/>
      </c>
      <c r="M46" s="177" t="str">
        <f>IF(D46="","",VLOOKUP(D46,'G-6 Hedgerow Data'!$B$1:$AH$15,33,FALSE))</f>
        <v/>
      </c>
      <c r="N46" s="207" t="str">
        <f t="shared" si="2"/>
        <v/>
      </c>
      <c r="O46" s="44"/>
      <c r="P46" s="186"/>
      <c r="Q46" s="275"/>
      <c r="R46" s="289" t="str">
        <f t="shared" si="3"/>
        <v/>
      </c>
      <c r="S46" s="289" t="str">
        <f t="shared" si="4"/>
        <v/>
      </c>
      <c r="T46" s="289" t="str">
        <f t="shared" si="5"/>
        <v/>
      </c>
      <c r="U46" s="290" t="str">
        <f t="shared" si="6"/>
        <v/>
      </c>
      <c r="V46" s="182"/>
      <c r="W46" s="183"/>
      <c r="AE46" s="188" t="str">
        <f t="shared" si="0"/>
        <v/>
      </c>
      <c r="AF46" s="188" t="str">
        <f t="shared" si="1"/>
        <v/>
      </c>
      <c r="AH46" s="188">
        <v>37</v>
      </c>
      <c r="AJ46" s="188" t="str">
        <f t="array" ref="AJ46">IFERROR(INDEX($AH$10:$AH$258, MATCH(0, IF(TRUE=$AE$10:$AE$258, COUNTIF($AJ$9:$AJ45, $AH$10:$AH$258), ""), 0)),"")</f>
        <v/>
      </c>
      <c r="AK46" s="188" t="str">
        <f t="array" ref="AK46">IFERROR(INDEX($AH$10:$AH$258, MATCH(0, IF(TRUE=$AF$10:$AF$258, COUNTIF($AK$9:$AK45, $AH$10:$AH$258), ""), 0)),"")</f>
        <v/>
      </c>
      <c r="AL46" s="35" t="str">
        <f>IFERROR(INDEX('G-6 Hedgerow Data'!$BJ$3:$BJ$15,MATCH(D46,'G-6 Hedgerow Data'!$B$3:$B$15,0)),"")</f>
        <v/>
      </c>
    </row>
    <row r="47" spans="2:38" ht="13.8" x14ac:dyDescent="0.25">
      <c r="B47" s="168">
        <v>38</v>
      </c>
      <c r="C47" s="275"/>
      <c r="D47" s="275"/>
      <c r="E47" s="185"/>
      <c r="F47" s="277" t="str">
        <f>IF(D47="","",VLOOKUP(D47,'G-6 Hedgerow Data'!$B$2:$AG$15,2,FALSE))</f>
        <v/>
      </c>
      <c r="G47" s="172" t="str">
        <f>IF(D47="","",VLOOKUP(D47,'G-6 Hedgerow Data'!$B$2:$AG$15,3,FALSE))</f>
        <v/>
      </c>
      <c r="H47" s="173"/>
      <c r="I47" s="172" t="str">
        <f>IFERROR(VLOOKUP(H47,'G-1 All Habitats'!$Z$2:$AA$9,2,FALSE),"")</f>
        <v/>
      </c>
      <c r="J47" s="173"/>
      <c r="K47" s="179" t="str">
        <f>IF(J47="","",IF(VLOOKUP(J47,'G-3 Multipliers'!$L$3:$N$6,2,FALSE)=0,"Spatial Data Missing",VLOOKUP(J47,'G-3 Multipliers'!$L$3:$N$6,2,FALSE)))</f>
        <v/>
      </c>
      <c r="L47" s="260" t="str">
        <f>IF(J47="","",IF(VLOOKUP(J47,'G-3 Multipliers'!$L$3:$N$6,3,FALSE)=0,"Spatial Data Missing",VLOOKUP(J47,'G-3 Multipliers'!$L$3:$N$6,3,FALSE)))</f>
        <v/>
      </c>
      <c r="M47" s="177" t="str">
        <f>IF(D47="","",VLOOKUP(D47,'G-6 Hedgerow Data'!$B$1:$AH$15,33,FALSE))</f>
        <v/>
      </c>
      <c r="N47" s="207" t="str">
        <f t="shared" si="2"/>
        <v/>
      </c>
      <c r="O47" s="44"/>
      <c r="P47" s="186"/>
      <c r="Q47" s="275"/>
      <c r="R47" s="289" t="str">
        <f t="shared" si="3"/>
        <v/>
      </c>
      <c r="S47" s="289" t="str">
        <f t="shared" si="4"/>
        <v/>
      </c>
      <c r="T47" s="289" t="str">
        <f t="shared" si="5"/>
        <v/>
      </c>
      <c r="U47" s="290" t="str">
        <f t="shared" si="6"/>
        <v/>
      </c>
      <c r="V47" s="182"/>
      <c r="W47" s="183"/>
      <c r="AE47" s="188" t="str">
        <f t="shared" si="0"/>
        <v/>
      </c>
      <c r="AF47" s="188" t="str">
        <f t="shared" si="1"/>
        <v/>
      </c>
      <c r="AH47" s="188">
        <v>38</v>
      </c>
      <c r="AJ47" s="188" t="str">
        <f t="array" ref="AJ47">IFERROR(INDEX($AH$10:$AH$258, MATCH(0, IF(TRUE=$AE$10:$AE$258, COUNTIF($AJ$9:$AJ46, $AH$10:$AH$258), ""), 0)),"")</f>
        <v/>
      </c>
      <c r="AK47" s="188" t="str">
        <f t="array" ref="AK47">IFERROR(INDEX($AH$10:$AH$258, MATCH(0, IF(TRUE=$AF$10:$AF$258, COUNTIF($AK$9:$AK46, $AH$10:$AH$258), ""), 0)),"")</f>
        <v/>
      </c>
      <c r="AL47" s="35" t="str">
        <f>IFERROR(INDEX('G-6 Hedgerow Data'!$BJ$3:$BJ$15,MATCH(D47,'G-6 Hedgerow Data'!$B$3:$B$15,0)),"")</f>
        <v/>
      </c>
    </row>
    <row r="48" spans="2:38" ht="13.8" x14ac:dyDescent="0.25">
      <c r="B48" s="168">
        <v>39</v>
      </c>
      <c r="C48" s="275"/>
      <c r="D48" s="275"/>
      <c r="E48" s="185"/>
      <c r="F48" s="277" t="str">
        <f>IF(D48="","",VLOOKUP(D48,'G-6 Hedgerow Data'!$B$2:$AG$15,2,FALSE))</f>
        <v/>
      </c>
      <c r="G48" s="172" t="str">
        <f>IF(D48="","",VLOOKUP(D48,'G-6 Hedgerow Data'!$B$2:$AG$15,3,FALSE))</f>
        <v/>
      </c>
      <c r="H48" s="173"/>
      <c r="I48" s="172" t="str">
        <f>IFERROR(VLOOKUP(H48,'G-1 All Habitats'!$Z$2:$AA$9,2,FALSE),"")</f>
        <v/>
      </c>
      <c r="J48" s="173"/>
      <c r="K48" s="179" t="str">
        <f>IF(J48="","",IF(VLOOKUP(J48,'G-3 Multipliers'!$L$3:$N$6,2,FALSE)=0,"Spatial Data Missing",VLOOKUP(J48,'G-3 Multipliers'!$L$3:$N$6,2,FALSE)))</f>
        <v/>
      </c>
      <c r="L48" s="260" t="str">
        <f>IF(J48="","",IF(VLOOKUP(J48,'G-3 Multipliers'!$L$3:$N$6,3,FALSE)=0,"Spatial Data Missing",VLOOKUP(J48,'G-3 Multipliers'!$L$3:$N$6,3,FALSE)))</f>
        <v/>
      </c>
      <c r="M48" s="177" t="str">
        <f>IF(D48="","",VLOOKUP(D48,'G-6 Hedgerow Data'!$B$1:$AH$15,33,FALSE))</f>
        <v/>
      </c>
      <c r="N48" s="207" t="str">
        <f t="shared" si="2"/>
        <v/>
      </c>
      <c r="O48" s="44"/>
      <c r="P48" s="186"/>
      <c r="Q48" s="275"/>
      <c r="R48" s="289" t="str">
        <f t="shared" si="3"/>
        <v/>
      </c>
      <c r="S48" s="289" t="str">
        <f t="shared" si="4"/>
        <v/>
      </c>
      <c r="T48" s="289" t="str">
        <f t="shared" si="5"/>
        <v/>
      </c>
      <c r="U48" s="290" t="str">
        <f t="shared" si="6"/>
        <v/>
      </c>
      <c r="V48" s="182"/>
      <c r="W48" s="183"/>
      <c r="AE48" s="188" t="str">
        <f t="shared" si="0"/>
        <v/>
      </c>
      <c r="AF48" s="188" t="str">
        <f t="shared" si="1"/>
        <v/>
      </c>
      <c r="AH48" s="188">
        <v>39</v>
      </c>
      <c r="AJ48" s="188" t="str">
        <f t="array" ref="AJ48">IFERROR(INDEX($AH$10:$AH$258, MATCH(0, IF(TRUE=$AE$10:$AE$258, COUNTIF($AJ$9:$AJ47, $AH$10:$AH$258), ""), 0)),"")</f>
        <v/>
      </c>
      <c r="AK48" s="188" t="str">
        <f t="array" ref="AK48">IFERROR(INDEX($AH$10:$AH$258, MATCH(0, IF(TRUE=$AF$10:$AF$258, COUNTIF($AK$9:$AK47, $AH$10:$AH$258), ""), 0)),"")</f>
        <v/>
      </c>
      <c r="AL48" s="35" t="str">
        <f>IFERROR(INDEX('G-6 Hedgerow Data'!$BJ$3:$BJ$15,MATCH(D48,'G-6 Hedgerow Data'!$B$3:$B$15,0)),"")</f>
        <v/>
      </c>
    </row>
    <row r="49" spans="2:38" ht="13.8" x14ac:dyDescent="0.25">
      <c r="B49" s="168">
        <v>40</v>
      </c>
      <c r="C49" s="275"/>
      <c r="D49" s="275"/>
      <c r="E49" s="185"/>
      <c r="F49" s="277" t="str">
        <f>IF(D49="","",VLOOKUP(D49,'G-6 Hedgerow Data'!$B$2:$AG$15,2,FALSE))</f>
        <v/>
      </c>
      <c r="G49" s="172" t="str">
        <f>IF(D49="","",VLOOKUP(D49,'G-6 Hedgerow Data'!$B$2:$AG$15,3,FALSE))</f>
        <v/>
      </c>
      <c r="H49" s="173"/>
      <c r="I49" s="172" t="str">
        <f>IFERROR(VLOOKUP(H49,'G-1 All Habitats'!$Z$2:$AA$9,2,FALSE),"")</f>
        <v/>
      </c>
      <c r="J49" s="173"/>
      <c r="K49" s="179" t="str">
        <f>IF(J49="","",IF(VLOOKUP(J49,'G-3 Multipliers'!$L$3:$N$6,2,FALSE)=0,"Spatial Data Missing",VLOOKUP(J49,'G-3 Multipliers'!$L$3:$N$6,2,FALSE)))</f>
        <v/>
      </c>
      <c r="L49" s="260" t="str">
        <f>IF(J49="","",IF(VLOOKUP(J49,'G-3 Multipliers'!$L$3:$N$6,3,FALSE)=0,"Spatial Data Missing",VLOOKUP(J49,'G-3 Multipliers'!$L$3:$N$6,3,FALSE)))</f>
        <v/>
      </c>
      <c r="M49" s="177" t="str">
        <f>IF(D49="","",VLOOKUP(D49,'G-6 Hedgerow Data'!$B$1:$AH$15,33,FALSE))</f>
        <v/>
      </c>
      <c r="N49" s="207" t="str">
        <f t="shared" si="2"/>
        <v/>
      </c>
      <c r="O49" s="44"/>
      <c r="P49" s="186"/>
      <c r="Q49" s="275"/>
      <c r="R49" s="289" t="str">
        <f t="shared" si="3"/>
        <v/>
      </c>
      <c r="S49" s="289" t="str">
        <f t="shared" si="4"/>
        <v/>
      </c>
      <c r="T49" s="289" t="str">
        <f t="shared" si="5"/>
        <v/>
      </c>
      <c r="U49" s="290" t="str">
        <f t="shared" si="6"/>
        <v/>
      </c>
      <c r="V49" s="182"/>
      <c r="W49" s="183"/>
      <c r="AE49" s="188" t="str">
        <f t="shared" si="0"/>
        <v/>
      </c>
      <c r="AF49" s="188" t="str">
        <f t="shared" si="1"/>
        <v/>
      </c>
      <c r="AH49" s="188">
        <v>40</v>
      </c>
      <c r="AJ49" s="188" t="str">
        <f t="array" ref="AJ49">IFERROR(INDEX($AH$10:$AH$258, MATCH(0, IF(TRUE=$AE$10:$AE$258, COUNTIF($AJ$9:$AJ48, $AH$10:$AH$258), ""), 0)),"")</f>
        <v/>
      </c>
      <c r="AK49" s="188" t="str">
        <f t="array" ref="AK49">IFERROR(INDEX($AH$10:$AH$258, MATCH(0, IF(TRUE=$AF$10:$AF$258, COUNTIF($AK$9:$AK48, $AH$10:$AH$258), ""), 0)),"")</f>
        <v/>
      </c>
      <c r="AL49" s="35" t="str">
        <f>IFERROR(INDEX('G-6 Hedgerow Data'!$BJ$3:$BJ$15,MATCH(D49,'G-6 Hedgerow Data'!$B$3:$B$15,0)),"")</f>
        <v/>
      </c>
    </row>
    <row r="50" spans="2:38" ht="13.8" x14ac:dyDescent="0.25">
      <c r="B50" s="168">
        <v>41</v>
      </c>
      <c r="C50" s="275"/>
      <c r="D50" s="275"/>
      <c r="E50" s="185"/>
      <c r="F50" s="277" t="str">
        <f>IF(D50="","",VLOOKUP(D50,'G-6 Hedgerow Data'!$B$2:$AG$15,2,FALSE))</f>
        <v/>
      </c>
      <c r="G50" s="172" t="str">
        <f>IF(D50="","",VLOOKUP(D50,'G-6 Hedgerow Data'!$B$2:$AG$15,3,FALSE))</f>
        <v/>
      </c>
      <c r="H50" s="173"/>
      <c r="I50" s="172" t="str">
        <f>IFERROR(VLOOKUP(H50,'G-1 All Habitats'!$Z$2:$AA$9,2,FALSE),"")</f>
        <v/>
      </c>
      <c r="J50" s="173"/>
      <c r="K50" s="179" t="str">
        <f>IF(J50="","",IF(VLOOKUP(J50,'G-3 Multipliers'!$L$3:$N$6,2,FALSE)=0,"Spatial Data Missing",VLOOKUP(J50,'G-3 Multipliers'!$L$3:$N$6,2,FALSE)))</f>
        <v/>
      </c>
      <c r="L50" s="260" t="str">
        <f>IF(J50="","",IF(VLOOKUP(J50,'G-3 Multipliers'!$L$3:$N$6,3,FALSE)=0,"Spatial Data Missing",VLOOKUP(J50,'G-3 Multipliers'!$L$3:$N$6,3,FALSE)))</f>
        <v/>
      </c>
      <c r="M50" s="177" t="str">
        <f>IF(D50="","",VLOOKUP(D50,'G-6 Hedgerow Data'!$B$1:$AH$15,33,FALSE))</f>
        <v/>
      </c>
      <c r="N50" s="207" t="str">
        <f t="shared" si="2"/>
        <v/>
      </c>
      <c r="O50" s="44"/>
      <c r="P50" s="186"/>
      <c r="Q50" s="275"/>
      <c r="R50" s="289" t="str">
        <f t="shared" si="3"/>
        <v/>
      </c>
      <c r="S50" s="289" t="str">
        <f t="shared" si="4"/>
        <v/>
      </c>
      <c r="T50" s="289" t="str">
        <f t="shared" si="5"/>
        <v/>
      </c>
      <c r="U50" s="290" t="str">
        <f t="shared" si="6"/>
        <v/>
      </c>
      <c r="V50" s="182"/>
      <c r="W50" s="183"/>
      <c r="AE50" s="188" t="str">
        <f t="shared" si="0"/>
        <v/>
      </c>
      <c r="AF50" s="188" t="str">
        <f t="shared" si="1"/>
        <v/>
      </c>
      <c r="AH50" s="188">
        <v>41</v>
      </c>
      <c r="AJ50" s="188" t="str">
        <f t="array" ref="AJ50">IFERROR(INDEX($AH$10:$AH$258, MATCH(0, IF(TRUE=$AE$10:$AE$258, COUNTIF($AJ$9:$AJ49, $AH$10:$AH$258), ""), 0)),"")</f>
        <v/>
      </c>
      <c r="AK50" s="188" t="str">
        <f t="array" ref="AK50">IFERROR(INDEX($AH$10:$AH$258, MATCH(0, IF(TRUE=$AF$10:$AF$258, COUNTIF($AK$9:$AK49, $AH$10:$AH$258), ""), 0)),"")</f>
        <v/>
      </c>
      <c r="AL50" s="35" t="str">
        <f>IFERROR(INDEX('G-6 Hedgerow Data'!$BJ$3:$BJ$15,MATCH(D50,'G-6 Hedgerow Data'!$B$3:$B$15,0)),"")</f>
        <v/>
      </c>
    </row>
    <row r="51" spans="2:38" ht="13.8" x14ac:dyDescent="0.25">
      <c r="B51" s="168">
        <v>42</v>
      </c>
      <c r="C51" s="275"/>
      <c r="D51" s="275"/>
      <c r="E51" s="185"/>
      <c r="F51" s="277" t="str">
        <f>IF(D51="","",VLOOKUP(D51,'G-6 Hedgerow Data'!$B$2:$AG$15,2,FALSE))</f>
        <v/>
      </c>
      <c r="G51" s="172" t="str">
        <f>IF(D51="","",VLOOKUP(D51,'G-6 Hedgerow Data'!$B$2:$AG$15,3,FALSE))</f>
        <v/>
      </c>
      <c r="H51" s="173"/>
      <c r="I51" s="172" t="str">
        <f>IFERROR(VLOOKUP(H51,'G-1 All Habitats'!$Z$2:$AA$9,2,FALSE),"")</f>
        <v/>
      </c>
      <c r="J51" s="173"/>
      <c r="K51" s="179" t="str">
        <f>IF(J51="","",IF(VLOOKUP(J51,'G-3 Multipliers'!$L$3:$N$6,2,FALSE)=0,"Spatial Data Missing",VLOOKUP(J51,'G-3 Multipliers'!$L$3:$N$6,2,FALSE)))</f>
        <v/>
      </c>
      <c r="L51" s="260" t="str">
        <f>IF(J51="","",IF(VLOOKUP(J51,'G-3 Multipliers'!$L$3:$N$6,3,FALSE)=0,"Spatial Data Missing",VLOOKUP(J51,'G-3 Multipliers'!$L$3:$N$6,3,FALSE)))</f>
        <v/>
      </c>
      <c r="M51" s="177" t="str">
        <f>IF(D51="","",VLOOKUP(D51,'G-6 Hedgerow Data'!$B$1:$AH$15,33,FALSE))</f>
        <v/>
      </c>
      <c r="N51" s="207" t="str">
        <f t="shared" si="2"/>
        <v/>
      </c>
      <c r="O51" s="44"/>
      <c r="P51" s="186"/>
      <c r="Q51" s="275"/>
      <c r="R51" s="289" t="str">
        <f t="shared" si="3"/>
        <v/>
      </c>
      <c r="S51" s="289" t="str">
        <f t="shared" si="4"/>
        <v/>
      </c>
      <c r="T51" s="289" t="str">
        <f t="shared" si="5"/>
        <v/>
      </c>
      <c r="U51" s="290" t="str">
        <f t="shared" si="6"/>
        <v/>
      </c>
      <c r="V51" s="182"/>
      <c r="W51" s="183"/>
      <c r="AE51" s="188" t="str">
        <f t="shared" si="0"/>
        <v/>
      </c>
      <c r="AF51" s="188" t="str">
        <f t="shared" si="1"/>
        <v/>
      </c>
      <c r="AH51" s="188">
        <v>42</v>
      </c>
      <c r="AJ51" s="188" t="str">
        <f t="array" ref="AJ51">IFERROR(INDEX($AH$10:$AH$258, MATCH(0, IF(TRUE=$AE$10:$AE$258, COUNTIF($AJ$9:$AJ50, $AH$10:$AH$258), ""), 0)),"")</f>
        <v/>
      </c>
      <c r="AK51" s="188" t="str">
        <f t="array" ref="AK51">IFERROR(INDEX($AH$10:$AH$258, MATCH(0, IF(TRUE=$AF$10:$AF$258, COUNTIF($AK$9:$AK50, $AH$10:$AH$258), ""), 0)),"")</f>
        <v/>
      </c>
      <c r="AL51" s="35" t="str">
        <f>IFERROR(INDEX('G-6 Hedgerow Data'!$BJ$3:$BJ$15,MATCH(D51,'G-6 Hedgerow Data'!$B$3:$B$15,0)),"")</f>
        <v/>
      </c>
    </row>
    <row r="52" spans="2:38" ht="13.8" x14ac:dyDescent="0.25">
      <c r="B52" s="168">
        <v>43</v>
      </c>
      <c r="C52" s="275"/>
      <c r="D52" s="275"/>
      <c r="E52" s="185"/>
      <c r="F52" s="277" t="str">
        <f>IF(D52="","",VLOOKUP(D52,'G-6 Hedgerow Data'!$B$2:$AG$15,2,FALSE))</f>
        <v/>
      </c>
      <c r="G52" s="172" t="str">
        <f>IF(D52="","",VLOOKUP(D52,'G-6 Hedgerow Data'!$B$2:$AG$15,3,FALSE))</f>
        <v/>
      </c>
      <c r="H52" s="173"/>
      <c r="I52" s="172" t="str">
        <f>IFERROR(VLOOKUP(H52,'G-1 All Habitats'!$Z$2:$AA$9,2,FALSE),"")</f>
        <v/>
      </c>
      <c r="J52" s="173"/>
      <c r="K52" s="179" t="str">
        <f>IF(J52="","",IF(VLOOKUP(J52,'G-3 Multipliers'!$L$3:$N$6,2,FALSE)=0,"Spatial Data Missing",VLOOKUP(J52,'G-3 Multipliers'!$L$3:$N$6,2,FALSE)))</f>
        <v/>
      </c>
      <c r="L52" s="260" t="str">
        <f>IF(J52="","",IF(VLOOKUP(J52,'G-3 Multipliers'!$L$3:$N$6,3,FALSE)=0,"Spatial Data Missing",VLOOKUP(J52,'G-3 Multipliers'!$L$3:$N$6,3,FALSE)))</f>
        <v/>
      </c>
      <c r="M52" s="177" t="str">
        <f>IF(D52="","",VLOOKUP(D52,'G-6 Hedgerow Data'!$B$1:$AH$15,33,FALSE))</f>
        <v/>
      </c>
      <c r="N52" s="207" t="str">
        <f t="shared" si="2"/>
        <v/>
      </c>
      <c r="O52" s="44"/>
      <c r="P52" s="186"/>
      <c r="Q52" s="275"/>
      <c r="R52" s="289" t="str">
        <f t="shared" si="3"/>
        <v/>
      </c>
      <c r="S52" s="289" t="str">
        <f t="shared" si="4"/>
        <v/>
      </c>
      <c r="T52" s="289" t="str">
        <f t="shared" si="5"/>
        <v/>
      </c>
      <c r="U52" s="290" t="str">
        <f t="shared" si="6"/>
        <v/>
      </c>
      <c r="V52" s="182"/>
      <c r="W52" s="183"/>
      <c r="AE52" s="188" t="str">
        <f t="shared" si="0"/>
        <v/>
      </c>
      <c r="AF52" s="188" t="str">
        <f t="shared" si="1"/>
        <v/>
      </c>
      <c r="AH52" s="188">
        <v>43</v>
      </c>
      <c r="AJ52" s="188" t="str">
        <f t="array" ref="AJ52">IFERROR(INDEX($AH$10:$AH$258, MATCH(0, IF(TRUE=$AE$10:$AE$258, COUNTIF($AJ$9:$AJ51, $AH$10:$AH$258), ""), 0)),"")</f>
        <v/>
      </c>
      <c r="AK52" s="188" t="str">
        <f t="array" ref="AK52">IFERROR(INDEX($AH$10:$AH$258, MATCH(0, IF(TRUE=$AF$10:$AF$258, COUNTIF($AK$9:$AK51, $AH$10:$AH$258), ""), 0)),"")</f>
        <v/>
      </c>
      <c r="AL52" s="35" t="str">
        <f>IFERROR(INDEX('G-6 Hedgerow Data'!$BJ$3:$BJ$15,MATCH(D52,'G-6 Hedgerow Data'!$B$3:$B$15,0)),"")</f>
        <v/>
      </c>
    </row>
    <row r="53" spans="2:38" ht="13.8" x14ac:dyDescent="0.25">
      <c r="B53" s="168">
        <v>44</v>
      </c>
      <c r="C53" s="275"/>
      <c r="D53" s="275"/>
      <c r="E53" s="185"/>
      <c r="F53" s="277" t="str">
        <f>IF(D53="","",VLOOKUP(D53,'G-6 Hedgerow Data'!$B$2:$AG$15,2,FALSE))</f>
        <v/>
      </c>
      <c r="G53" s="172" t="str">
        <f>IF(D53="","",VLOOKUP(D53,'G-6 Hedgerow Data'!$B$2:$AG$15,3,FALSE))</f>
        <v/>
      </c>
      <c r="H53" s="173"/>
      <c r="I53" s="172" t="str">
        <f>IFERROR(VLOOKUP(H53,'G-1 All Habitats'!$Z$2:$AA$9,2,FALSE),"")</f>
        <v/>
      </c>
      <c r="J53" s="173"/>
      <c r="K53" s="179" t="str">
        <f>IF(J53="","",IF(VLOOKUP(J53,'G-3 Multipliers'!$L$3:$N$6,2,FALSE)=0,"Spatial Data Missing",VLOOKUP(J53,'G-3 Multipliers'!$L$3:$N$6,2,FALSE)))</f>
        <v/>
      </c>
      <c r="L53" s="260" t="str">
        <f>IF(J53="","",IF(VLOOKUP(J53,'G-3 Multipliers'!$L$3:$N$6,3,FALSE)=0,"Spatial Data Missing",VLOOKUP(J53,'G-3 Multipliers'!$L$3:$N$6,3,FALSE)))</f>
        <v/>
      </c>
      <c r="M53" s="177" t="str">
        <f>IF(D53="","",VLOOKUP(D53,'G-6 Hedgerow Data'!$B$1:$AH$15,33,FALSE))</f>
        <v/>
      </c>
      <c r="N53" s="207" t="str">
        <f t="shared" si="2"/>
        <v/>
      </c>
      <c r="O53" s="44"/>
      <c r="P53" s="186"/>
      <c r="Q53" s="275"/>
      <c r="R53" s="289" t="str">
        <f t="shared" si="3"/>
        <v/>
      </c>
      <c r="S53" s="289" t="str">
        <f t="shared" si="4"/>
        <v/>
      </c>
      <c r="T53" s="289" t="str">
        <f t="shared" si="5"/>
        <v/>
      </c>
      <c r="U53" s="290" t="str">
        <f t="shared" si="6"/>
        <v/>
      </c>
      <c r="V53" s="182"/>
      <c r="W53" s="183"/>
      <c r="AE53" s="188" t="str">
        <f t="shared" si="0"/>
        <v/>
      </c>
      <c r="AF53" s="188" t="str">
        <f t="shared" si="1"/>
        <v/>
      </c>
      <c r="AH53" s="188">
        <v>44</v>
      </c>
      <c r="AJ53" s="188" t="str">
        <f t="array" ref="AJ53">IFERROR(INDEX($AH$10:$AH$258, MATCH(0, IF(TRUE=$AE$10:$AE$258, COUNTIF($AJ$9:$AJ52, $AH$10:$AH$258), ""), 0)),"")</f>
        <v/>
      </c>
      <c r="AK53" s="188" t="str">
        <f t="array" ref="AK53">IFERROR(INDEX($AH$10:$AH$258, MATCH(0, IF(TRUE=$AF$10:$AF$258, COUNTIF($AK$9:$AK52, $AH$10:$AH$258), ""), 0)),"")</f>
        <v/>
      </c>
      <c r="AL53" s="35" t="str">
        <f>IFERROR(INDEX('G-6 Hedgerow Data'!$BJ$3:$BJ$15,MATCH(D53,'G-6 Hedgerow Data'!$B$3:$B$15,0)),"")</f>
        <v/>
      </c>
    </row>
    <row r="54" spans="2:38" ht="13.8" x14ac:dyDescent="0.25">
      <c r="B54" s="168">
        <v>45</v>
      </c>
      <c r="C54" s="275"/>
      <c r="D54" s="275"/>
      <c r="E54" s="185"/>
      <c r="F54" s="277" t="str">
        <f>IF(D54="","",VLOOKUP(D54,'G-6 Hedgerow Data'!$B$2:$AG$15,2,FALSE))</f>
        <v/>
      </c>
      <c r="G54" s="172" t="str">
        <f>IF(D54="","",VLOOKUP(D54,'G-6 Hedgerow Data'!$B$2:$AG$15,3,FALSE))</f>
        <v/>
      </c>
      <c r="H54" s="173"/>
      <c r="I54" s="172" t="str">
        <f>IFERROR(VLOOKUP(H54,'G-1 All Habitats'!$Z$2:$AA$9,2,FALSE),"")</f>
        <v/>
      </c>
      <c r="J54" s="173"/>
      <c r="K54" s="179" t="str">
        <f>IF(J54="","",IF(VLOOKUP(J54,'G-3 Multipliers'!$L$3:$N$6,2,FALSE)=0,"Spatial Data Missing",VLOOKUP(J54,'G-3 Multipliers'!$L$3:$N$6,2,FALSE)))</f>
        <v/>
      </c>
      <c r="L54" s="260" t="str">
        <f>IF(J54="","",IF(VLOOKUP(J54,'G-3 Multipliers'!$L$3:$N$6,3,FALSE)=0,"Spatial Data Missing",VLOOKUP(J54,'G-3 Multipliers'!$L$3:$N$6,3,FALSE)))</f>
        <v/>
      </c>
      <c r="M54" s="177" t="str">
        <f>IF(D54="","",VLOOKUP(D54,'G-6 Hedgerow Data'!$B$1:$AH$15,33,FALSE))</f>
        <v/>
      </c>
      <c r="N54" s="207" t="str">
        <f t="shared" si="2"/>
        <v/>
      </c>
      <c r="O54" s="44"/>
      <c r="P54" s="186"/>
      <c r="Q54" s="275"/>
      <c r="R54" s="289" t="str">
        <f t="shared" si="3"/>
        <v/>
      </c>
      <c r="S54" s="289" t="str">
        <f t="shared" si="4"/>
        <v/>
      </c>
      <c r="T54" s="289" t="str">
        <f t="shared" si="5"/>
        <v/>
      </c>
      <c r="U54" s="290" t="str">
        <f t="shared" si="6"/>
        <v/>
      </c>
      <c r="V54" s="182"/>
      <c r="W54" s="183"/>
      <c r="AE54" s="188" t="str">
        <f t="shared" si="0"/>
        <v/>
      </c>
      <c r="AF54" s="188" t="str">
        <f t="shared" si="1"/>
        <v/>
      </c>
      <c r="AH54" s="188">
        <v>45</v>
      </c>
      <c r="AJ54" s="188" t="str">
        <f t="array" ref="AJ54">IFERROR(INDEX($AH$10:$AH$258, MATCH(0, IF(TRUE=$AE$10:$AE$258, COUNTIF($AJ$9:$AJ53, $AH$10:$AH$258), ""), 0)),"")</f>
        <v/>
      </c>
      <c r="AK54" s="188" t="str">
        <f t="array" ref="AK54">IFERROR(INDEX($AH$10:$AH$258, MATCH(0, IF(TRUE=$AF$10:$AF$258, COUNTIF($AK$9:$AK53, $AH$10:$AH$258), ""), 0)),"")</f>
        <v/>
      </c>
      <c r="AL54" s="35" t="str">
        <f>IFERROR(INDEX('G-6 Hedgerow Data'!$BJ$3:$BJ$15,MATCH(D54,'G-6 Hedgerow Data'!$B$3:$B$15,0)),"")</f>
        <v/>
      </c>
    </row>
    <row r="55" spans="2:38" ht="13.8" x14ac:dyDescent="0.25">
      <c r="B55" s="168">
        <v>46</v>
      </c>
      <c r="C55" s="275"/>
      <c r="D55" s="275"/>
      <c r="E55" s="185"/>
      <c r="F55" s="277" t="str">
        <f>IF(D55="","",VLOOKUP(D55,'G-6 Hedgerow Data'!$B$2:$AG$15,2,FALSE))</f>
        <v/>
      </c>
      <c r="G55" s="172" t="str">
        <f>IF(D55="","",VLOOKUP(D55,'G-6 Hedgerow Data'!$B$2:$AG$15,3,FALSE))</f>
        <v/>
      </c>
      <c r="H55" s="173"/>
      <c r="I55" s="172" t="str">
        <f>IFERROR(VLOOKUP(H55,'G-1 All Habitats'!$Z$2:$AA$9,2,FALSE),"")</f>
        <v/>
      </c>
      <c r="J55" s="173"/>
      <c r="K55" s="179" t="str">
        <f>IF(J55="","",IF(VLOOKUP(J55,'G-3 Multipliers'!$L$3:$N$6,2,FALSE)=0,"Spatial Data Missing",VLOOKUP(J55,'G-3 Multipliers'!$L$3:$N$6,2,FALSE)))</f>
        <v/>
      </c>
      <c r="L55" s="260" t="str">
        <f>IF(J55="","",IF(VLOOKUP(J55,'G-3 Multipliers'!$L$3:$N$6,3,FALSE)=0,"Spatial Data Missing",VLOOKUP(J55,'G-3 Multipliers'!$L$3:$N$6,3,FALSE)))</f>
        <v/>
      </c>
      <c r="M55" s="177" t="str">
        <f>IF(D55="","",VLOOKUP(D55,'G-6 Hedgerow Data'!$B$1:$AH$15,33,FALSE))</f>
        <v/>
      </c>
      <c r="N55" s="207" t="str">
        <f t="shared" si="2"/>
        <v/>
      </c>
      <c r="O55" s="44"/>
      <c r="P55" s="186"/>
      <c r="Q55" s="275"/>
      <c r="R55" s="289" t="str">
        <f t="shared" si="3"/>
        <v/>
      </c>
      <c r="S55" s="289" t="str">
        <f t="shared" si="4"/>
        <v/>
      </c>
      <c r="T55" s="289" t="str">
        <f t="shared" si="5"/>
        <v/>
      </c>
      <c r="U55" s="290" t="str">
        <f t="shared" si="6"/>
        <v/>
      </c>
      <c r="V55" s="182"/>
      <c r="W55" s="183"/>
      <c r="AE55" s="188" t="str">
        <f t="shared" si="0"/>
        <v/>
      </c>
      <c r="AF55" s="188" t="str">
        <f t="shared" si="1"/>
        <v/>
      </c>
      <c r="AH55" s="188">
        <v>46</v>
      </c>
      <c r="AJ55" s="188" t="str">
        <f t="array" ref="AJ55">IFERROR(INDEX($AH$10:$AH$258, MATCH(0, IF(TRUE=$AE$10:$AE$258, COUNTIF($AJ$9:$AJ54, $AH$10:$AH$258), ""), 0)),"")</f>
        <v/>
      </c>
      <c r="AK55" s="188" t="str">
        <f t="array" ref="AK55">IFERROR(INDEX($AH$10:$AH$258, MATCH(0, IF(TRUE=$AF$10:$AF$258, COUNTIF($AK$9:$AK54, $AH$10:$AH$258), ""), 0)),"")</f>
        <v/>
      </c>
      <c r="AL55" s="35" t="str">
        <f>IFERROR(INDEX('G-6 Hedgerow Data'!$BJ$3:$BJ$15,MATCH(D55,'G-6 Hedgerow Data'!$B$3:$B$15,0)),"")</f>
        <v/>
      </c>
    </row>
    <row r="56" spans="2:38" ht="13.8" x14ac:dyDescent="0.25">
      <c r="B56" s="168">
        <v>47</v>
      </c>
      <c r="C56" s="275"/>
      <c r="D56" s="275"/>
      <c r="E56" s="185"/>
      <c r="F56" s="277" t="str">
        <f>IF(D56="","",VLOOKUP(D56,'G-6 Hedgerow Data'!$B$2:$AG$15,2,FALSE))</f>
        <v/>
      </c>
      <c r="G56" s="172" t="str">
        <f>IF(D56="","",VLOOKUP(D56,'G-6 Hedgerow Data'!$B$2:$AG$15,3,FALSE))</f>
        <v/>
      </c>
      <c r="H56" s="173"/>
      <c r="I56" s="172" t="str">
        <f>IFERROR(VLOOKUP(H56,'G-1 All Habitats'!$Z$2:$AA$9,2,FALSE),"")</f>
        <v/>
      </c>
      <c r="J56" s="173"/>
      <c r="K56" s="179" t="str">
        <f>IF(J56="","",IF(VLOOKUP(J56,'G-3 Multipliers'!$L$3:$N$6,2,FALSE)=0,"Spatial Data Missing",VLOOKUP(J56,'G-3 Multipliers'!$L$3:$N$6,2,FALSE)))</f>
        <v/>
      </c>
      <c r="L56" s="260" t="str">
        <f>IF(J56="","",IF(VLOOKUP(J56,'G-3 Multipliers'!$L$3:$N$6,3,FALSE)=0,"Spatial Data Missing",VLOOKUP(J56,'G-3 Multipliers'!$L$3:$N$6,3,FALSE)))</f>
        <v/>
      </c>
      <c r="M56" s="177" t="str">
        <f>IF(D56="","",VLOOKUP(D56,'G-6 Hedgerow Data'!$B$1:$AH$15,33,FALSE))</f>
        <v/>
      </c>
      <c r="N56" s="207" t="str">
        <f t="shared" si="2"/>
        <v/>
      </c>
      <c r="O56" s="44"/>
      <c r="P56" s="186"/>
      <c r="Q56" s="275"/>
      <c r="R56" s="289" t="str">
        <f t="shared" si="3"/>
        <v/>
      </c>
      <c r="S56" s="289" t="str">
        <f t="shared" si="4"/>
        <v/>
      </c>
      <c r="T56" s="289" t="str">
        <f t="shared" si="5"/>
        <v/>
      </c>
      <c r="U56" s="290" t="str">
        <f t="shared" si="6"/>
        <v/>
      </c>
      <c r="V56" s="182"/>
      <c r="W56" s="183"/>
      <c r="AE56" s="188" t="str">
        <f t="shared" si="0"/>
        <v/>
      </c>
      <c r="AF56" s="188" t="str">
        <f t="shared" si="1"/>
        <v/>
      </c>
      <c r="AH56" s="188">
        <v>47</v>
      </c>
      <c r="AJ56" s="188" t="str">
        <f t="array" ref="AJ56">IFERROR(INDEX($AH$10:$AH$258, MATCH(0, IF(TRUE=$AE$10:$AE$258, COUNTIF($AJ$9:$AJ55, $AH$10:$AH$258), ""), 0)),"")</f>
        <v/>
      </c>
      <c r="AK56" s="188" t="str">
        <f t="array" ref="AK56">IFERROR(INDEX($AH$10:$AH$258, MATCH(0, IF(TRUE=$AF$10:$AF$258, COUNTIF($AK$9:$AK55, $AH$10:$AH$258), ""), 0)),"")</f>
        <v/>
      </c>
      <c r="AL56" s="35" t="str">
        <f>IFERROR(INDEX('G-6 Hedgerow Data'!$BJ$3:$BJ$15,MATCH(D56,'G-6 Hedgerow Data'!$B$3:$B$15,0)),"")</f>
        <v/>
      </c>
    </row>
    <row r="57" spans="2:38" ht="13.8" x14ac:dyDescent="0.25">
      <c r="B57" s="168">
        <v>48</v>
      </c>
      <c r="C57" s="275"/>
      <c r="D57" s="275"/>
      <c r="E57" s="185"/>
      <c r="F57" s="277" t="str">
        <f>IF(D57="","",VLOOKUP(D57,'G-6 Hedgerow Data'!$B$2:$AG$15,2,FALSE))</f>
        <v/>
      </c>
      <c r="G57" s="172" t="str">
        <f>IF(D57="","",VLOOKUP(D57,'G-6 Hedgerow Data'!$B$2:$AG$15,3,FALSE))</f>
        <v/>
      </c>
      <c r="H57" s="173"/>
      <c r="I57" s="172" t="str">
        <f>IFERROR(VLOOKUP(H57,'G-1 All Habitats'!$Z$2:$AA$9,2,FALSE),"")</f>
        <v/>
      </c>
      <c r="J57" s="173"/>
      <c r="K57" s="179" t="str">
        <f>IF(J57="","",IF(VLOOKUP(J57,'G-3 Multipliers'!$L$3:$N$6,2,FALSE)=0,"Spatial Data Missing",VLOOKUP(J57,'G-3 Multipliers'!$L$3:$N$6,2,FALSE)))</f>
        <v/>
      </c>
      <c r="L57" s="260" t="str">
        <f>IF(J57="","",IF(VLOOKUP(J57,'G-3 Multipliers'!$L$3:$N$6,3,FALSE)=0,"Spatial Data Missing",VLOOKUP(J57,'G-3 Multipliers'!$L$3:$N$6,3,FALSE)))</f>
        <v/>
      </c>
      <c r="M57" s="177" t="str">
        <f>IF(D57="","",VLOOKUP(D57,'G-6 Hedgerow Data'!$B$1:$AH$15,33,FALSE))</f>
        <v/>
      </c>
      <c r="N57" s="207" t="str">
        <f t="shared" si="2"/>
        <v/>
      </c>
      <c r="O57" s="44"/>
      <c r="P57" s="186"/>
      <c r="Q57" s="275"/>
      <c r="R57" s="289" t="str">
        <f t="shared" si="3"/>
        <v/>
      </c>
      <c r="S57" s="289" t="str">
        <f t="shared" si="4"/>
        <v/>
      </c>
      <c r="T57" s="289" t="str">
        <f t="shared" si="5"/>
        <v/>
      </c>
      <c r="U57" s="290" t="str">
        <f t="shared" si="6"/>
        <v/>
      </c>
      <c r="V57" s="182"/>
      <c r="W57" s="183"/>
      <c r="AE57" s="188" t="str">
        <f t="shared" si="0"/>
        <v/>
      </c>
      <c r="AF57" s="188" t="str">
        <f t="shared" si="1"/>
        <v/>
      </c>
      <c r="AH57" s="188">
        <v>48</v>
      </c>
      <c r="AJ57" s="188" t="str">
        <f t="array" ref="AJ57">IFERROR(INDEX($AH$10:$AH$258, MATCH(0, IF(TRUE=$AE$10:$AE$258, COUNTIF($AJ$9:$AJ56, $AH$10:$AH$258), ""), 0)),"")</f>
        <v/>
      </c>
      <c r="AK57" s="188" t="str">
        <f t="array" ref="AK57">IFERROR(INDEX($AH$10:$AH$258, MATCH(0, IF(TRUE=$AF$10:$AF$258, COUNTIF($AK$9:$AK56, $AH$10:$AH$258), ""), 0)),"")</f>
        <v/>
      </c>
      <c r="AL57" s="35" t="str">
        <f>IFERROR(INDEX('G-6 Hedgerow Data'!$BJ$3:$BJ$15,MATCH(D57,'G-6 Hedgerow Data'!$B$3:$B$15,0)),"")</f>
        <v/>
      </c>
    </row>
    <row r="58" spans="2:38" ht="13.8" x14ac:dyDescent="0.25">
      <c r="B58" s="168">
        <v>49</v>
      </c>
      <c r="C58" s="275"/>
      <c r="D58" s="275"/>
      <c r="E58" s="185"/>
      <c r="F58" s="277" t="str">
        <f>IF(D58="","",VLOOKUP(D58,'G-6 Hedgerow Data'!$B$2:$AG$15,2,FALSE))</f>
        <v/>
      </c>
      <c r="G58" s="172" t="str">
        <f>IF(D58="","",VLOOKUP(D58,'G-6 Hedgerow Data'!$B$2:$AG$15,3,FALSE))</f>
        <v/>
      </c>
      <c r="H58" s="173"/>
      <c r="I58" s="172" t="str">
        <f>IFERROR(VLOOKUP(H58,'G-1 All Habitats'!$Z$2:$AA$9,2,FALSE),"")</f>
        <v/>
      </c>
      <c r="J58" s="173"/>
      <c r="K58" s="179" t="str">
        <f>IF(J58="","",IF(VLOOKUP(J58,'G-3 Multipliers'!$L$3:$N$6,2,FALSE)=0,"Spatial Data Missing",VLOOKUP(J58,'G-3 Multipliers'!$L$3:$N$6,2,FALSE)))</f>
        <v/>
      </c>
      <c r="L58" s="260" t="str">
        <f>IF(J58="","",IF(VLOOKUP(J58,'G-3 Multipliers'!$L$3:$N$6,3,FALSE)=0,"Spatial Data Missing",VLOOKUP(J58,'G-3 Multipliers'!$L$3:$N$6,3,FALSE)))</f>
        <v/>
      </c>
      <c r="M58" s="177" t="str">
        <f>IF(D58="","",VLOOKUP(D58,'G-6 Hedgerow Data'!$B$1:$AH$15,33,FALSE))</f>
        <v/>
      </c>
      <c r="N58" s="207" t="str">
        <f t="shared" si="2"/>
        <v/>
      </c>
      <c r="O58" s="44"/>
      <c r="P58" s="186"/>
      <c r="Q58" s="275"/>
      <c r="R58" s="289" t="str">
        <f t="shared" si="3"/>
        <v/>
      </c>
      <c r="S58" s="289" t="str">
        <f t="shared" si="4"/>
        <v/>
      </c>
      <c r="T58" s="289" t="str">
        <f t="shared" si="5"/>
        <v/>
      </c>
      <c r="U58" s="290" t="str">
        <f t="shared" si="6"/>
        <v/>
      </c>
      <c r="V58" s="182"/>
      <c r="W58" s="183"/>
      <c r="AE58" s="188" t="str">
        <f t="shared" si="0"/>
        <v/>
      </c>
      <c r="AF58" s="188" t="str">
        <f t="shared" si="1"/>
        <v/>
      </c>
      <c r="AH58" s="188">
        <v>49</v>
      </c>
      <c r="AJ58" s="188" t="str">
        <f t="array" ref="AJ58">IFERROR(INDEX($AH$10:$AH$258, MATCH(0, IF(TRUE=$AE$10:$AE$258, COUNTIF($AJ$9:$AJ57, $AH$10:$AH$258), ""), 0)),"")</f>
        <v/>
      </c>
      <c r="AK58" s="188" t="str">
        <f t="array" ref="AK58">IFERROR(INDEX($AH$10:$AH$258, MATCH(0, IF(TRUE=$AF$10:$AF$258, COUNTIF($AK$9:$AK57, $AH$10:$AH$258), ""), 0)),"")</f>
        <v/>
      </c>
      <c r="AL58" s="35" t="str">
        <f>IFERROR(INDEX('G-6 Hedgerow Data'!$BJ$3:$BJ$15,MATCH(D58,'G-6 Hedgerow Data'!$B$3:$B$15,0)),"")</f>
        <v/>
      </c>
    </row>
    <row r="59" spans="2:38" ht="13.8" x14ac:dyDescent="0.25">
      <c r="B59" s="168">
        <v>50</v>
      </c>
      <c r="C59" s="275"/>
      <c r="D59" s="275"/>
      <c r="E59" s="185"/>
      <c r="F59" s="277" t="str">
        <f>IF(D59="","",VLOOKUP(D59,'G-6 Hedgerow Data'!$B$2:$AG$15,2,FALSE))</f>
        <v/>
      </c>
      <c r="G59" s="172" t="str">
        <f>IF(D59="","",VLOOKUP(D59,'G-6 Hedgerow Data'!$B$2:$AG$15,3,FALSE))</f>
        <v/>
      </c>
      <c r="H59" s="173"/>
      <c r="I59" s="172" t="str">
        <f>IFERROR(VLOOKUP(H59,'G-1 All Habitats'!$Z$2:$AA$9,2,FALSE),"")</f>
        <v/>
      </c>
      <c r="J59" s="173"/>
      <c r="K59" s="179" t="str">
        <f>IF(J59="","",IF(VLOOKUP(J59,'G-3 Multipliers'!$L$3:$N$6,2,FALSE)=0,"Spatial Data Missing",VLOOKUP(J59,'G-3 Multipliers'!$L$3:$N$6,2,FALSE)))</f>
        <v/>
      </c>
      <c r="L59" s="260" t="str">
        <f>IF(J59="","",IF(VLOOKUP(J59,'G-3 Multipliers'!$L$3:$N$6,3,FALSE)=0,"Spatial Data Missing",VLOOKUP(J59,'G-3 Multipliers'!$L$3:$N$6,3,FALSE)))</f>
        <v/>
      </c>
      <c r="M59" s="177" t="str">
        <f>IF(D59="","",VLOOKUP(D59,'G-6 Hedgerow Data'!$B$1:$AH$15,33,FALSE))</f>
        <v/>
      </c>
      <c r="N59" s="207" t="str">
        <f t="shared" si="2"/>
        <v/>
      </c>
      <c r="O59" s="44"/>
      <c r="P59" s="186"/>
      <c r="Q59" s="275"/>
      <c r="R59" s="289" t="str">
        <f t="shared" si="3"/>
        <v/>
      </c>
      <c r="S59" s="289" t="str">
        <f t="shared" si="4"/>
        <v/>
      </c>
      <c r="T59" s="289" t="str">
        <f t="shared" si="5"/>
        <v/>
      </c>
      <c r="U59" s="290" t="str">
        <f t="shared" si="6"/>
        <v/>
      </c>
      <c r="V59" s="182"/>
      <c r="W59" s="183"/>
      <c r="AE59" s="188" t="str">
        <f t="shared" si="0"/>
        <v/>
      </c>
      <c r="AF59" s="188" t="str">
        <f t="shared" si="1"/>
        <v/>
      </c>
      <c r="AH59" s="188">
        <v>50</v>
      </c>
      <c r="AJ59" s="188" t="str">
        <f t="array" ref="AJ59">IFERROR(INDEX($AH$10:$AH$258, MATCH(0, IF(TRUE=$AE$10:$AE$258, COUNTIF($AJ$9:$AJ58, $AH$10:$AH$258), ""), 0)),"")</f>
        <v/>
      </c>
      <c r="AK59" s="188" t="str">
        <f t="array" ref="AK59">IFERROR(INDEX($AH$10:$AH$258, MATCH(0, IF(TRUE=$AF$10:$AF$258, COUNTIF($AK$9:$AK58, $AH$10:$AH$258), ""), 0)),"")</f>
        <v/>
      </c>
      <c r="AL59" s="35" t="str">
        <f>IFERROR(INDEX('G-6 Hedgerow Data'!$BJ$3:$BJ$15,MATCH(D59,'G-6 Hedgerow Data'!$B$3:$B$15,0)),"")</f>
        <v/>
      </c>
    </row>
    <row r="60" spans="2:38" ht="13.8" x14ac:dyDescent="0.25">
      <c r="B60" s="168">
        <v>51</v>
      </c>
      <c r="C60" s="275"/>
      <c r="D60" s="275"/>
      <c r="E60" s="185"/>
      <c r="F60" s="277" t="str">
        <f>IF(D60="","",VLOOKUP(D60,'G-6 Hedgerow Data'!$B$2:$AG$15,2,FALSE))</f>
        <v/>
      </c>
      <c r="G60" s="172" t="str">
        <f>IF(D60="","",VLOOKUP(D60,'G-6 Hedgerow Data'!$B$2:$AG$15,3,FALSE))</f>
        <v/>
      </c>
      <c r="H60" s="173"/>
      <c r="I60" s="172" t="str">
        <f>IFERROR(VLOOKUP(H60,'G-1 All Habitats'!$Z$2:$AA$9,2,FALSE),"")</f>
        <v/>
      </c>
      <c r="J60" s="173"/>
      <c r="K60" s="179" t="str">
        <f>IF(J60="","",IF(VLOOKUP(J60,'G-3 Multipliers'!$L$3:$N$6,2,FALSE)=0,"Spatial Data Missing",VLOOKUP(J60,'G-3 Multipliers'!$L$3:$N$6,2,FALSE)))</f>
        <v/>
      </c>
      <c r="L60" s="260" t="str">
        <f>IF(J60="","",IF(VLOOKUP(J60,'G-3 Multipliers'!$L$3:$N$6,3,FALSE)=0,"Spatial Data Missing",VLOOKUP(J60,'G-3 Multipliers'!$L$3:$N$6,3,FALSE)))</f>
        <v/>
      </c>
      <c r="M60" s="177" t="str">
        <f>IF(D60="","",VLOOKUP(D60,'G-6 Hedgerow Data'!$B$1:$AH$15,33,FALSE))</f>
        <v/>
      </c>
      <c r="N60" s="207" t="str">
        <f t="shared" si="2"/>
        <v/>
      </c>
      <c r="O60" s="44"/>
      <c r="P60" s="186"/>
      <c r="Q60" s="275"/>
      <c r="R60" s="289" t="str">
        <f t="shared" si="3"/>
        <v/>
      </c>
      <c r="S60" s="289" t="str">
        <f t="shared" si="4"/>
        <v/>
      </c>
      <c r="T60" s="289" t="str">
        <f t="shared" si="5"/>
        <v/>
      </c>
      <c r="U60" s="290" t="str">
        <f t="shared" si="6"/>
        <v/>
      </c>
      <c r="V60" s="182"/>
      <c r="W60" s="183"/>
      <c r="AE60" s="188" t="str">
        <f t="shared" si="0"/>
        <v/>
      </c>
      <c r="AF60" s="188" t="str">
        <f t="shared" si="1"/>
        <v/>
      </c>
      <c r="AH60" s="188">
        <v>51</v>
      </c>
      <c r="AJ60" s="188" t="str">
        <f t="array" ref="AJ60">IFERROR(INDEX($AH$10:$AH$258, MATCH(0, IF(TRUE=$AE$10:$AE$258, COUNTIF($AJ$9:$AJ59, $AH$10:$AH$258), ""), 0)),"")</f>
        <v/>
      </c>
      <c r="AK60" s="188" t="str">
        <f t="array" ref="AK60">IFERROR(INDEX($AH$10:$AH$258, MATCH(0, IF(TRUE=$AF$10:$AF$258, COUNTIF($AK$9:$AK59, $AH$10:$AH$258), ""), 0)),"")</f>
        <v/>
      </c>
      <c r="AL60" s="35" t="str">
        <f>IFERROR(INDEX('G-6 Hedgerow Data'!$BJ$3:$BJ$15,MATCH(D60,'G-6 Hedgerow Data'!$B$3:$B$15,0)),"")</f>
        <v/>
      </c>
    </row>
    <row r="61" spans="2:38" ht="13.8" x14ac:dyDescent="0.25">
      <c r="B61" s="168">
        <v>52</v>
      </c>
      <c r="C61" s="275"/>
      <c r="D61" s="275"/>
      <c r="E61" s="185"/>
      <c r="F61" s="277" t="str">
        <f>IF(D61="","",VLOOKUP(D61,'G-6 Hedgerow Data'!$B$2:$AG$15,2,FALSE))</f>
        <v/>
      </c>
      <c r="G61" s="172" t="str">
        <f>IF(D61="","",VLOOKUP(D61,'G-6 Hedgerow Data'!$B$2:$AG$15,3,FALSE))</f>
        <v/>
      </c>
      <c r="H61" s="173"/>
      <c r="I61" s="172" t="str">
        <f>IFERROR(VLOOKUP(H61,'G-1 All Habitats'!$Z$2:$AA$9,2,FALSE),"")</f>
        <v/>
      </c>
      <c r="J61" s="173"/>
      <c r="K61" s="179" t="str">
        <f>IF(J61="","",IF(VLOOKUP(J61,'G-3 Multipliers'!$L$3:$N$6,2,FALSE)=0,"Spatial Data Missing",VLOOKUP(J61,'G-3 Multipliers'!$L$3:$N$6,2,FALSE)))</f>
        <v/>
      </c>
      <c r="L61" s="260" t="str">
        <f>IF(J61="","",IF(VLOOKUP(J61,'G-3 Multipliers'!$L$3:$N$6,3,FALSE)=0,"Spatial Data Missing",VLOOKUP(J61,'G-3 Multipliers'!$L$3:$N$6,3,FALSE)))</f>
        <v/>
      </c>
      <c r="M61" s="177" t="str">
        <f>IF(D61="","",VLOOKUP(D61,'G-6 Hedgerow Data'!$B$1:$AH$15,33,FALSE))</f>
        <v/>
      </c>
      <c r="N61" s="207" t="str">
        <f t="shared" si="2"/>
        <v/>
      </c>
      <c r="O61" s="44"/>
      <c r="P61" s="186"/>
      <c r="Q61" s="275"/>
      <c r="R61" s="289" t="str">
        <f t="shared" si="3"/>
        <v/>
      </c>
      <c r="S61" s="289" t="str">
        <f t="shared" si="4"/>
        <v/>
      </c>
      <c r="T61" s="289" t="str">
        <f t="shared" si="5"/>
        <v/>
      </c>
      <c r="U61" s="290" t="str">
        <f t="shared" si="6"/>
        <v/>
      </c>
      <c r="V61" s="182"/>
      <c r="W61" s="183"/>
      <c r="AE61" s="188" t="str">
        <f t="shared" si="0"/>
        <v/>
      </c>
      <c r="AF61" s="188" t="str">
        <f t="shared" si="1"/>
        <v/>
      </c>
      <c r="AH61" s="188">
        <v>52</v>
      </c>
      <c r="AJ61" s="188" t="str">
        <f t="array" ref="AJ61">IFERROR(INDEX($AH$10:$AH$258, MATCH(0, IF(TRUE=$AE$10:$AE$258, COUNTIF($AJ$9:$AJ60, $AH$10:$AH$258), ""), 0)),"")</f>
        <v/>
      </c>
      <c r="AK61" s="188" t="str">
        <f t="array" ref="AK61">IFERROR(INDEX($AH$10:$AH$258, MATCH(0, IF(TRUE=$AF$10:$AF$258, COUNTIF($AK$9:$AK60, $AH$10:$AH$258), ""), 0)),"")</f>
        <v/>
      </c>
      <c r="AL61" s="35" t="str">
        <f>IFERROR(INDEX('G-6 Hedgerow Data'!$BJ$3:$BJ$15,MATCH(D61,'G-6 Hedgerow Data'!$B$3:$B$15,0)),"")</f>
        <v/>
      </c>
    </row>
    <row r="62" spans="2:38" ht="13.8" x14ac:dyDescent="0.25">
      <c r="B62" s="168">
        <v>53</v>
      </c>
      <c r="C62" s="275"/>
      <c r="D62" s="275"/>
      <c r="E62" s="185"/>
      <c r="F62" s="277" t="str">
        <f>IF(D62="","",VLOOKUP(D62,'G-6 Hedgerow Data'!$B$2:$AG$15,2,FALSE))</f>
        <v/>
      </c>
      <c r="G62" s="172" t="str">
        <f>IF(D62="","",VLOOKUP(D62,'G-6 Hedgerow Data'!$B$2:$AG$15,3,FALSE))</f>
        <v/>
      </c>
      <c r="H62" s="173"/>
      <c r="I62" s="172" t="str">
        <f>IFERROR(VLOOKUP(H62,'G-1 All Habitats'!$Z$2:$AA$9,2,FALSE),"")</f>
        <v/>
      </c>
      <c r="J62" s="173"/>
      <c r="K62" s="179" t="str">
        <f>IF(J62="","",IF(VLOOKUP(J62,'G-3 Multipliers'!$L$3:$N$6,2,FALSE)=0,"Spatial Data Missing",VLOOKUP(J62,'G-3 Multipliers'!$L$3:$N$6,2,FALSE)))</f>
        <v/>
      </c>
      <c r="L62" s="260" t="str">
        <f>IF(J62="","",IF(VLOOKUP(J62,'G-3 Multipliers'!$L$3:$N$6,3,FALSE)=0,"Spatial Data Missing",VLOOKUP(J62,'G-3 Multipliers'!$L$3:$N$6,3,FALSE)))</f>
        <v/>
      </c>
      <c r="M62" s="177" t="str">
        <f>IF(D62="","",VLOOKUP(D62,'G-6 Hedgerow Data'!$B$1:$AH$15,33,FALSE))</f>
        <v/>
      </c>
      <c r="N62" s="207" t="str">
        <f t="shared" si="2"/>
        <v/>
      </c>
      <c r="O62" s="44"/>
      <c r="P62" s="186"/>
      <c r="Q62" s="275"/>
      <c r="R62" s="289" t="str">
        <f t="shared" si="3"/>
        <v/>
      </c>
      <c r="S62" s="289" t="str">
        <f t="shared" si="4"/>
        <v/>
      </c>
      <c r="T62" s="289" t="str">
        <f t="shared" si="5"/>
        <v/>
      </c>
      <c r="U62" s="290" t="str">
        <f t="shared" si="6"/>
        <v/>
      </c>
      <c r="V62" s="182"/>
      <c r="W62" s="183"/>
      <c r="AE62" s="188" t="str">
        <f t="shared" si="0"/>
        <v/>
      </c>
      <c r="AF62" s="188" t="str">
        <f t="shared" si="1"/>
        <v/>
      </c>
      <c r="AH62" s="188">
        <v>53</v>
      </c>
      <c r="AJ62" s="188" t="str">
        <f t="array" ref="AJ62">IFERROR(INDEX($AH$10:$AH$258, MATCH(0, IF(TRUE=$AE$10:$AE$258, COUNTIF($AJ$9:$AJ61, $AH$10:$AH$258), ""), 0)),"")</f>
        <v/>
      </c>
      <c r="AK62" s="188" t="str">
        <f t="array" ref="AK62">IFERROR(INDEX($AH$10:$AH$258, MATCH(0, IF(TRUE=$AF$10:$AF$258, COUNTIF($AK$9:$AK61, $AH$10:$AH$258), ""), 0)),"")</f>
        <v/>
      </c>
      <c r="AL62" s="35" t="str">
        <f>IFERROR(INDEX('G-6 Hedgerow Data'!$BJ$3:$BJ$15,MATCH(D62,'G-6 Hedgerow Data'!$B$3:$B$15,0)),"")</f>
        <v/>
      </c>
    </row>
    <row r="63" spans="2:38" ht="13.8" x14ac:dyDescent="0.25">
      <c r="B63" s="168">
        <v>54</v>
      </c>
      <c r="C63" s="275"/>
      <c r="D63" s="275"/>
      <c r="E63" s="185"/>
      <c r="F63" s="277" t="str">
        <f>IF(D63="","",VLOOKUP(D63,'G-6 Hedgerow Data'!$B$2:$AG$15,2,FALSE))</f>
        <v/>
      </c>
      <c r="G63" s="172" t="str">
        <f>IF(D63="","",VLOOKUP(D63,'G-6 Hedgerow Data'!$B$2:$AG$15,3,FALSE))</f>
        <v/>
      </c>
      <c r="H63" s="173"/>
      <c r="I63" s="172" t="str">
        <f>IFERROR(VLOOKUP(H63,'G-1 All Habitats'!$Z$2:$AA$9,2,FALSE),"")</f>
        <v/>
      </c>
      <c r="J63" s="173"/>
      <c r="K63" s="179" t="str">
        <f>IF(J63="","",IF(VLOOKUP(J63,'G-3 Multipliers'!$L$3:$N$6,2,FALSE)=0,"Spatial Data Missing",VLOOKUP(J63,'G-3 Multipliers'!$L$3:$N$6,2,FALSE)))</f>
        <v/>
      </c>
      <c r="L63" s="260" t="str">
        <f>IF(J63="","",IF(VLOOKUP(J63,'G-3 Multipliers'!$L$3:$N$6,3,FALSE)=0,"Spatial Data Missing",VLOOKUP(J63,'G-3 Multipliers'!$L$3:$N$6,3,FALSE)))</f>
        <v/>
      </c>
      <c r="M63" s="177" t="str">
        <f>IF(D63="","",VLOOKUP(D63,'G-6 Hedgerow Data'!$B$1:$AH$15,33,FALSE))</f>
        <v/>
      </c>
      <c r="N63" s="207" t="str">
        <f t="shared" si="2"/>
        <v/>
      </c>
      <c r="O63" s="44"/>
      <c r="P63" s="186"/>
      <c r="Q63" s="275"/>
      <c r="R63" s="289" t="str">
        <f t="shared" si="3"/>
        <v/>
      </c>
      <c r="S63" s="289" t="str">
        <f t="shared" si="4"/>
        <v/>
      </c>
      <c r="T63" s="289" t="str">
        <f t="shared" si="5"/>
        <v/>
      </c>
      <c r="U63" s="290" t="str">
        <f t="shared" si="6"/>
        <v/>
      </c>
      <c r="V63" s="182"/>
      <c r="W63" s="183"/>
      <c r="AE63" s="188" t="str">
        <f t="shared" si="0"/>
        <v/>
      </c>
      <c r="AF63" s="188" t="str">
        <f t="shared" si="1"/>
        <v/>
      </c>
      <c r="AH63" s="188">
        <v>54</v>
      </c>
      <c r="AJ63" s="188" t="str">
        <f t="array" ref="AJ63">IFERROR(INDEX($AH$10:$AH$258, MATCH(0, IF(TRUE=$AE$10:$AE$258, COUNTIF($AJ$9:$AJ62, $AH$10:$AH$258), ""), 0)),"")</f>
        <v/>
      </c>
      <c r="AK63" s="188" t="str">
        <f t="array" ref="AK63">IFERROR(INDEX($AH$10:$AH$258, MATCH(0, IF(TRUE=$AF$10:$AF$258, COUNTIF($AK$9:$AK62, $AH$10:$AH$258), ""), 0)),"")</f>
        <v/>
      </c>
      <c r="AL63" s="35" t="str">
        <f>IFERROR(INDEX('G-6 Hedgerow Data'!$BJ$3:$BJ$15,MATCH(D63,'G-6 Hedgerow Data'!$B$3:$B$15,0)),"")</f>
        <v/>
      </c>
    </row>
    <row r="64" spans="2:38" ht="13.8" x14ac:dyDescent="0.25">
      <c r="B64" s="168">
        <v>55</v>
      </c>
      <c r="C64" s="275"/>
      <c r="D64" s="275"/>
      <c r="E64" s="185"/>
      <c r="F64" s="277" t="str">
        <f>IF(D64="","",VLOOKUP(D64,'G-6 Hedgerow Data'!$B$2:$AG$15,2,FALSE))</f>
        <v/>
      </c>
      <c r="G64" s="172" t="str">
        <f>IF(D64="","",VLOOKUP(D64,'G-6 Hedgerow Data'!$B$2:$AG$15,3,FALSE))</f>
        <v/>
      </c>
      <c r="H64" s="173"/>
      <c r="I64" s="172" t="str">
        <f>IFERROR(VLOOKUP(H64,'G-1 All Habitats'!$Z$2:$AA$9,2,FALSE),"")</f>
        <v/>
      </c>
      <c r="J64" s="173"/>
      <c r="K64" s="179" t="str">
        <f>IF(J64="","",IF(VLOOKUP(J64,'G-3 Multipliers'!$L$3:$N$6,2,FALSE)=0,"Spatial Data Missing",VLOOKUP(J64,'G-3 Multipliers'!$L$3:$N$6,2,FALSE)))</f>
        <v/>
      </c>
      <c r="L64" s="260" t="str">
        <f>IF(J64="","",IF(VLOOKUP(J64,'G-3 Multipliers'!$L$3:$N$6,3,FALSE)=0,"Spatial Data Missing",VLOOKUP(J64,'G-3 Multipliers'!$L$3:$N$6,3,FALSE)))</f>
        <v/>
      </c>
      <c r="M64" s="177" t="str">
        <f>IF(D64="","",VLOOKUP(D64,'G-6 Hedgerow Data'!$B$1:$AH$15,33,FALSE))</f>
        <v/>
      </c>
      <c r="N64" s="207" t="str">
        <f t="shared" si="2"/>
        <v/>
      </c>
      <c r="O64" s="44"/>
      <c r="P64" s="186"/>
      <c r="Q64" s="275"/>
      <c r="R64" s="289" t="str">
        <f t="shared" si="3"/>
        <v/>
      </c>
      <c r="S64" s="289" t="str">
        <f t="shared" si="4"/>
        <v/>
      </c>
      <c r="T64" s="289" t="str">
        <f t="shared" si="5"/>
        <v/>
      </c>
      <c r="U64" s="290" t="str">
        <f t="shared" si="6"/>
        <v/>
      </c>
      <c r="V64" s="182"/>
      <c r="W64" s="183"/>
      <c r="AE64" s="188" t="str">
        <f t="shared" si="0"/>
        <v/>
      </c>
      <c r="AF64" s="188" t="str">
        <f t="shared" si="1"/>
        <v/>
      </c>
      <c r="AH64" s="188">
        <v>55</v>
      </c>
      <c r="AJ64" s="188" t="str">
        <f t="array" ref="AJ64">IFERROR(INDEX($AH$10:$AH$258, MATCH(0, IF(TRUE=$AE$10:$AE$258, COUNTIF($AJ$9:$AJ63, $AH$10:$AH$258), ""), 0)),"")</f>
        <v/>
      </c>
      <c r="AK64" s="188" t="str">
        <f t="array" ref="AK64">IFERROR(INDEX($AH$10:$AH$258, MATCH(0, IF(TRUE=$AF$10:$AF$258, COUNTIF($AK$9:$AK63, $AH$10:$AH$258), ""), 0)),"")</f>
        <v/>
      </c>
      <c r="AL64" s="35" t="str">
        <f>IFERROR(INDEX('G-6 Hedgerow Data'!$BJ$3:$BJ$15,MATCH(D64,'G-6 Hedgerow Data'!$B$3:$B$15,0)),"")</f>
        <v/>
      </c>
    </row>
    <row r="65" spans="2:38" ht="13.8" x14ac:dyDescent="0.25">
      <c r="B65" s="168">
        <v>56</v>
      </c>
      <c r="C65" s="275"/>
      <c r="D65" s="275"/>
      <c r="E65" s="185"/>
      <c r="F65" s="277" t="str">
        <f>IF(D65="","",VLOOKUP(D65,'G-6 Hedgerow Data'!$B$2:$AG$15,2,FALSE))</f>
        <v/>
      </c>
      <c r="G65" s="172" t="str">
        <f>IF(D65="","",VLOOKUP(D65,'G-6 Hedgerow Data'!$B$2:$AG$15,3,FALSE))</f>
        <v/>
      </c>
      <c r="H65" s="173"/>
      <c r="I65" s="172" t="str">
        <f>IFERROR(VLOOKUP(H65,'G-1 All Habitats'!$Z$2:$AA$9,2,FALSE),"")</f>
        <v/>
      </c>
      <c r="J65" s="173"/>
      <c r="K65" s="179" t="str">
        <f>IF(J65="","",IF(VLOOKUP(J65,'G-3 Multipliers'!$L$3:$N$6,2,FALSE)=0,"Spatial Data Missing",VLOOKUP(J65,'G-3 Multipliers'!$L$3:$N$6,2,FALSE)))</f>
        <v/>
      </c>
      <c r="L65" s="260" t="str">
        <f>IF(J65="","",IF(VLOOKUP(J65,'G-3 Multipliers'!$L$3:$N$6,3,FALSE)=0,"Spatial Data Missing",VLOOKUP(J65,'G-3 Multipliers'!$L$3:$N$6,3,FALSE)))</f>
        <v/>
      </c>
      <c r="M65" s="177" t="str">
        <f>IF(D65="","",VLOOKUP(D65,'G-6 Hedgerow Data'!$B$1:$AH$15,33,FALSE))</f>
        <v/>
      </c>
      <c r="N65" s="207" t="str">
        <f t="shared" si="2"/>
        <v/>
      </c>
      <c r="O65" s="44"/>
      <c r="P65" s="186"/>
      <c r="Q65" s="275"/>
      <c r="R65" s="289" t="str">
        <f t="shared" si="3"/>
        <v/>
      </c>
      <c r="S65" s="289" t="str">
        <f t="shared" si="4"/>
        <v/>
      </c>
      <c r="T65" s="289" t="str">
        <f t="shared" si="5"/>
        <v/>
      </c>
      <c r="U65" s="290" t="str">
        <f t="shared" si="6"/>
        <v/>
      </c>
      <c r="V65" s="182"/>
      <c r="W65" s="183"/>
      <c r="AE65" s="188" t="str">
        <f t="shared" si="0"/>
        <v/>
      </c>
      <c r="AF65" s="188" t="str">
        <f t="shared" si="1"/>
        <v/>
      </c>
      <c r="AH65" s="188">
        <v>56</v>
      </c>
      <c r="AJ65" s="188" t="str">
        <f t="array" ref="AJ65">IFERROR(INDEX($AH$10:$AH$258, MATCH(0, IF(TRUE=$AE$10:$AE$258, COUNTIF($AJ$9:$AJ64, $AH$10:$AH$258), ""), 0)),"")</f>
        <v/>
      </c>
      <c r="AK65" s="188" t="str">
        <f t="array" ref="AK65">IFERROR(INDEX($AH$10:$AH$258, MATCH(0, IF(TRUE=$AF$10:$AF$258, COUNTIF($AK$9:$AK64, $AH$10:$AH$258), ""), 0)),"")</f>
        <v/>
      </c>
      <c r="AL65" s="35" t="str">
        <f>IFERROR(INDEX('G-6 Hedgerow Data'!$BJ$3:$BJ$15,MATCH(D65,'G-6 Hedgerow Data'!$B$3:$B$15,0)),"")</f>
        <v/>
      </c>
    </row>
    <row r="66" spans="2:38" ht="13.8" x14ac:dyDescent="0.25">
      <c r="B66" s="168">
        <v>57</v>
      </c>
      <c r="C66" s="275"/>
      <c r="D66" s="275"/>
      <c r="E66" s="185"/>
      <c r="F66" s="277" t="str">
        <f>IF(D66="","",VLOOKUP(D66,'G-6 Hedgerow Data'!$B$2:$AG$15,2,FALSE))</f>
        <v/>
      </c>
      <c r="G66" s="172" t="str">
        <f>IF(D66="","",VLOOKUP(D66,'G-6 Hedgerow Data'!$B$2:$AG$15,3,FALSE))</f>
        <v/>
      </c>
      <c r="H66" s="173"/>
      <c r="I66" s="172" t="str">
        <f>IFERROR(VLOOKUP(H66,'G-1 All Habitats'!$Z$2:$AA$9,2,FALSE),"")</f>
        <v/>
      </c>
      <c r="J66" s="173"/>
      <c r="K66" s="179" t="str">
        <f>IF(J66="","",IF(VLOOKUP(J66,'G-3 Multipliers'!$L$3:$N$6,2,FALSE)=0,"Spatial Data Missing",VLOOKUP(J66,'G-3 Multipliers'!$L$3:$N$6,2,FALSE)))</f>
        <v/>
      </c>
      <c r="L66" s="260" t="str">
        <f>IF(J66="","",IF(VLOOKUP(J66,'G-3 Multipliers'!$L$3:$N$6,3,FALSE)=0,"Spatial Data Missing",VLOOKUP(J66,'G-3 Multipliers'!$L$3:$N$6,3,FALSE)))</f>
        <v/>
      </c>
      <c r="M66" s="177" t="str">
        <f>IF(D66="","",VLOOKUP(D66,'G-6 Hedgerow Data'!$B$1:$AH$15,33,FALSE))</f>
        <v/>
      </c>
      <c r="N66" s="207" t="str">
        <f t="shared" si="2"/>
        <v/>
      </c>
      <c r="O66" s="44"/>
      <c r="P66" s="186"/>
      <c r="Q66" s="275"/>
      <c r="R66" s="289" t="str">
        <f t="shared" si="3"/>
        <v/>
      </c>
      <c r="S66" s="289" t="str">
        <f t="shared" si="4"/>
        <v/>
      </c>
      <c r="T66" s="289" t="str">
        <f t="shared" si="5"/>
        <v/>
      </c>
      <c r="U66" s="290" t="str">
        <f t="shared" si="6"/>
        <v/>
      </c>
      <c r="V66" s="182"/>
      <c r="W66" s="183"/>
      <c r="AE66" s="188" t="str">
        <f t="shared" si="0"/>
        <v/>
      </c>
      <c r="AF66" s="188" t="str">
        <f t="shared" si="1"/>
        <v/>
      </c>
      <c r="AH66" s="188">
        <v>57</v>
      </c>
      <c r="AJ66" s="188" t="str">
        <f t="array" ref="AJ66">IFERROR(INDEX($AH$10:$AH$258, MATCH(0, IF(TRUE=$AE$10:$AE$258, COUNTIF($AJ$9:$AJ65, $AH$10:$AH$258), ""), 0)),"")</f>
        <v/>
      </c>
      <c r="AK66" s="188" t="str">
        <f t="array" ref="AK66">IFERROR(INDEX($AH$10:$AH$258, MATCH(0, IF(TRUE=$AF$10:$AF$258, COUNTIF($AK$9:$AK65, $AH$10:$AH$258), ""), 0)),"")</f>
        <v/>
      </c>
      <c r="AL66" s="35" t="str">
        <f>IFERROR(INDEX('G-6 Hedgerow Data'!$BJ$3:$BJ$15,MATCH(D66,'G-6 Hedgerow Data'!$B$3:$B$15,0)),"")</f>
        <v/>
      </c>
    </row>
    <row r="67" spans="2:38" ht="13.8" x14ac:dyDescent="0.25">
      <c r="B67" s="168">
        <v>58</v>
      </c>
      <c r="C67" s="275"/>
      <c r="D67" s="275"/>
      <c r="E67" s="185"/>
      <c r="F67" s="277" t="str">
        <f>IF(D67="","",VLOOKUP(D67,'G-6 Hedgerow Data'!$B$2:$AG$15,2,FALSE))</f>
        <v/>
      </c>
      <c r="G67" s="172" t="str">
        <f>IF(D67="","",VLOOKUP(D67,'G-6 Hedgerow Data'!$B$2:$AG$15,3,FALSE))</f>
        <v/>
      </c>
      <c r="H67" s="173"/>
      <c r="I67" s="172" t="str">
        <f>IFERROR(VLOOKUP(H67,'G-1 All Habitats'!$Z$2:$AA$9,2,FALSE),"")</f>
        <v/>
      </c>
      <c r="J67" s="173"/>
      <c r="K67" s="179" t="str">
        <f>IF(J67="","",IF(VLOOKUP(J67,'G-3 Multipliers'!$L$3:$N$6,2,FALSE)=0,"Spatial Data Missing",VLOOKUP(J67,'G-3 Multipliers'!$L$3:$N$6,2,FALSE)))</f>
        <v/>
      </c>
      <c r="L67" s="260" t="str">
        <f>IF(J67="","",IF(VLOOKUP(J67,'G-3 Multipliers'!$L$3:$N$6,3,FALSE)=0,"Spatial Data Missing",VLOOKUP(J67,'G-3 Multipliers'!$L$3:$N$6,3,FALSE)))</f>
        <v/>
      </c>
      <c r="M67" s="177" t="str">
        <f>IF(D67="","",VLOOKUP(D67,'G-6 Hedgerow Data'!$B$1:$AH$15,33,FALSE))</f>
        <v/>
      </c>
      <c r="N67" s="207" t="str">
        <f t="shared" si="2"/>
        <v/>
      </c>
      <c r="O67" s="44"/>
      <c r="P67" s="186"/>
      <c r="Q67" s="275"/>
      <c r="R67" s="289" t="str">
        <f t="shared" si="3"/>
        <v/>
      </c>
      <c r="S67" s="289" t="str">
        <f t="shared" si="4"/>
        <v/>
      </c>
      <c r="T67" s="289" t="str">
        <f t="shared" si="5"/>
        <v/>
      </c>
      <c r="U67" s="290" t="str">
        <f t="shared" si="6"/>
        <v/>
      </c>
      <c r="V67" s="182"/>
      <c r="W67" s="183"/>
      <c r="AE67" s="188" t="str">
        <f t="shared" si="0"/>
        <v/>
      </c>
      <c r="AF67" s="188" t="str">
        <f t="shared" si="1"/>
        <v/>
      </c>
      <c r="AH67" s="188">
        <v>58</v>
      </c>
      <c r="AJ67" s="188" t="str">
        <f t="array" ref="AJ67">IFERROR(INDEX($AH$10:$AH$258, MATCH(0, IF(TRUE=$AE$10:$AE$258, COUNTIF($AJ$9:$AJ66, $AH$10:$AH$258), ""), 0)),"")</f>
        <v/>
      </c>
      <c r="AK67" s="188" t="str">
        <f t="array" ref="AK67">IFERROR(INDEX($AH$10:$AH$258, MATCH(0, IF(TRUE=$AF$10:$AF$258, COUNTIF($AK$9:$AK66, $AH$10:$AH$258), ""), 0)),"")</f>
        <v/>
      </c>
      <c r="AL67" s="35" t="str">
        <f>IFERROR(INDEX('G-6 Hedgerow Data'!$BJ$3:$BJ$15,MATCH(D67,'G-6 Hedgerow Data'!$B$3:$B$15,0)),"")</f>
        <v/>
      </c>
    </row>
    <row r="68" spans="2:38" ht="13.8" x14ac:dyDescent="0.25">
      <c r="B68" s="168">
        <v>59</v>
      </c>
      <c r="C68" s="275"/>
      <c r="D68" s="275"/>
      <c r="E68" s="185"/>
      <c r="F68" s="277" t="str">
        <f>IF(D68="","",VLOOKUP(D68,'G-6 Hedgerow Data'!$B$2:$AG$15,2,FALSE))</f>
        <v/>
      </c>
      <c r="G68" s="172" t="str">
        <f>IF(D68="","",VLOOKUP(D68,'G-6 Hedgerow Data'!$B$2:$AG$15,3,FALSE))</f>
        <v/>
      </c>
      <c r="H68" s="173"/>
      <c r="I68" s="172" t="str">
        <f>IFERROR(VLOOKUP(H68,'G-1 All Habitats'!$Z$2:$AA$9,2,FALSE),"")</f>
        <v/>
      </c>
      <c r="J68" s="173"/>
      <c r="K68" s="179" t="str">
        <f>IF(J68="","",IF(VLOOKUP(J68,'G-3 Multipliers'!$L$3:$N$6,2,FALSE)=0,"Spatial Data Missing",VLOOKUP(J68,'G-3 Multipliers'!$L$3:$N$6,2,FALSE)))</f>
        <v/>
      </c>
      <c r="L68" s="260" t="str">
        <f>IF(J68="","",IF(VLOOKUP(J68,'G-3 Multipliers'!$L$3:$N$6,3,FALSE)=0,"Spatial Data Missing",VLOOKUP(J68,'G-3 Multipliers'!$L$3:$N$6,3,FALSE)))</f>
        <v/>
      </c>
      <c r="M68" s="177" t="str">
        <f>IF(D68="","",VLOOKUP(D68,'G-6 Hedgerow Data'!$B$1:$AH$15,33,FALSE))</f>
        <v/>
      </c>
      <c r="N68" s="207" t="str">
        <f t="shared" si="2"/>
        <v/>
      </c>
      <c r="O68" s="44"/>
      <c r="P68" s="186"/>
      <c r="Q68" s="275"/>
      <c r="R68" s="289" t="str">
        <f t="shared" si="3"/>
        <v/>
      </c>
      <c r="S68" s="289" t="str">
        <f t="shared" si="4"/>
        <v/>
      </c>
      <c r="T68" s="289" t="str">
        <f t="shared" si="5"/>
        <v/>
      </c>
      <c r="U68" s="290" t="str">
        <f t="shared" si="6"/>
        <v/>
      </c>
      <c r="V68" s="182"/>
      <c r="W68" s="183"/>
      <c r="AE68" s="188" t="str">
        <f t="shared" si="0"/>
        <v/>
      </c>
      <c r="AF68" s="188" t="str">
        <f t="shared" si="1"/>
        <v/>
      </c>
      <c r="AH68" s="188">
        <v>59</v>
      </c>
      <c r="AJ68" s="188" t="str">
        <f t="array" ref="AJ68">IFERROR(INDEX($AH$10:$AH$258, MATCH(0, IF(TRUE=$AE$10:$AE$258, COUNTIF($AJ$9:$AJ67, $AH$10:$AH$258), ""), 0)),"")</f>
        <v/>
      </c>
      <c r="AK68" s="188" t="str">
        <f t="array" ref="AK68">IFERROR(INDEX($AH$10:$AH$258, MATCH(0, IF(TRUE=$AF$10:$AF$258, COUNTIF($AK$9:$AK67, $AH$10:$AH$258), ""), 0)),"")</f>
        <v/>
      </c>
      <c r="AL68" s="35" t="str">
        <f>IFERROR(INDEX('G-6 Hedgerow Data'!$BJ$3:$BJ$15,MATCH(D68,'G-6 Hedgerow Data'!$B$3:$B$15,0)),"")</f>
        <v/>
      </c>
    </row>
    <row r="69" spans="2:38" ht="13.8" x14ac:dyDescent="0.25">
      <c r="B69" s="168">
        <v>60</v>
      </c>
      <c r="C69" s="275"/>
      <c r="D69" s="275"/>
      <c r="E69" s="185"/>
      <c r="F69" s="277" t="str">
        <f>IF(D69="","",VLOOKUP(D69,'G-6 Hedgerow Data'!$B$2:$AG$15,2,FALSE))</f>
        <v/>
      </c>
      <c r="G69" s="172" t="str">
        <f>IF(D69="","",VLOOKUP(D69,'G-6 Hedgerow Data'!$B$2:$AG$15,3,FALSE))</f>
        <v/>
      </c>
      <c r="H69" s="173"/>
      <c r="I69" s="172" t="str">
        <f>IFERROR(VLOOKUP(H69,'G-1 All Habitats'!$Z$2:$AA$9,2,FALSE),"")</f>
        <v/>
      </c>
      <c r="J69" s="173"/>
      <c r="K69" s="179" t="str">
        <f>IF(J69="","",IF(VLOOKUP(J69,'G-3 Multipliers'!$L$3:$N$6,2,FALSE)=0,"Spatial Data Missing",VLOOKUP(J69,'G-3 Multipliers'!$L$3:$N$6,2,FALSE)))</f>
        <v/>
      </c>
      <c r="L69" s="260" t="str">
        <f>IF(J69="","",IF(VLOOKUP(J69,'G-3 Multipliers'!$L$3:$N$6,3,FALSE)=0,"Spatial Data Missing",VLOOKUP(J69,'G-3 Multipliers'!$L$3:$N$6,3,FALSE)))</f>
        <v/>
      </c>
      <c r="M69" s="177" t="str">
        <f>IF(D69="","",VLOOKUP(D69,'G-6 Hedgerow Data'!$B$1:$AH$15,33,FALSE))</f>
        <v/>
      </c>
      <c r="N69" s="207" t="str">
        <f t="shared" si="2"/>
        <v/>
      </c>
      <c r="O69" s="44"/>
      <c r="P69" s="186"/>
      <c r="Q69" s="275"/>
      <c r="R69" s="289" t="str">
        <f t="shared" si="3"/>
        <v/>
      </c>
      <c r="S69" s="289" t="str">
        <f t="shared" si="4"/>
        <v/>
      </c>
      <c r="T69" s="289" t="str">
        <f t="shared" si="5"/>
        <v/>
      </c>
      <c r="U69" s="290" t="str">
        <f t="shared" si="6"/>
        <v/>
      </c>
      <c r="V69" s="182"/>
      <c r="W69" s="183"/>
      <c r="AE69" s="188" t="str">
        <f t="shared" si="0"/>
        <v/>
      </c>
      <c r="AF69" s="188" t="str">
        <f t="shared" si="1"/>
        <v/>
      </c>
      <c r="AH69" s="188">
        <v>60</v>
      </c>
      <c r="AJ69" s="188" t="str">
        <f t="array" ref="AJ69">IFERROR(INDEX($AH$10:$AH$258, MATCH(0, IF(TRUE=$AE$10:$AE$258, COUNTIF($AJ$9:$AJ68, $AH$10:$AH$258), ""), 0)),"")</f>
        <v/>
      </c>
      <c r="AK69" s="188" t="str">
        <f t="array" ref="AK69">IFERROR(INDEX($AH$10:$AH$258, MATCH(0, IF(TRUE=$AF$10:$AF$258, COUNTIF($AK$9:$AK68, $AH$10:$AH$258), ""), 0)),"")</f>
        <v/>
      </c>
      <c r="AL69" s="35" t="str">
        <f>IFERROR(INDEX('G-6 Hedgerow Data'!$BJ$3:$BJ$15,MATCH(D69,'G-6 Hedgerow Data'!$B$3:$B$15,0)),"")</f>
        <v/>
      </c>
    </row>
    <row r="70" spans="2:38" ht="13.8" x14ac:dyDescent="0.25">
      <c r="B70" s="168">
        <v>61</v>
      </c>
      <c r="C70" s="275"/>
      <c r="D70" s="275"/>
      <c r="E70" s="185"/>
      <c r="F70" s="277" t="str">
        <f>IF(D70="","",VLOOKUP(D70,'G-6 Hedgerow Data'!$B$2:$AG$15,2,FALSE))</f>
        <v/>
      </c>
      <c r="G70" s="172" t="str">
        <f>IF(D70="","",VLOOKUP(D70,'G-6 Hedgerow Data'!$B$2:$AG$15,3,FALSE))</f>
        <v/>
      </c>
      <c r="H70" s="173"/>
      <c r="I70" s="172" t="str">
        <f>IFERROR(VLOOKUP(H70,'G-1 All Habitats'!$Z$2:$AA$9,2,FALSE),"")</f>
        <v/>
      </c>
      <c r="J70" s="173"/>
      <c r="K70" s="179" t="str">
        <f>IF(J70="","",IF(VLOOKUP(J70,'G-3 Multipliers'!$L$3:$N$6,2,FALSE)=0,"Spatial Data Missing",VLOOKUP(J70,'G-3 Multipliers'!$L$3:$N$6,2,FALSE)))</f>
        <v/>
      </c>
      <c r="L70" s="260" t="str">
        <f>IF(J70="","",IF(VLOOKUP(J70,'G-3 Multipliers'!$L$3:$N$6,3,FALSE)=0,"Spatial Data Missing",VLOOKUP(J70,'G-3 Multipliers'!$L$3:$N$6,3,FALSE)))</f>
        <v/>
      </c>
      <c r="M70" s="177" t="str">
        <f>IF(D70="","",VLOOKUP(D70,'G-6 Hedgerow Data'!$B$1:$AH$15,33,FALSE))</f>
        <v/>
      </c>
      <c r="N70" s="207" t="str">
        <f t="shared" si="2"/>
        <v/>
      </c>
      <c r="O70" s="44"/>
      <c r="P70" s="186"/>
      <c r="Q70" s="275"/>
      <c r="R70" s="289" t="str">
        <f t="shared" si="3"/>
        <v/>
      </c>
      <c r="S70" s="289" t="str">
        <f t="shared" si="4"/>
        <v/>
      </c>
      <c r="T70" s="289" t="str">
        <f t="shared" si="5"/>
        <v/>
      </c>
      <c r="U70" s="290" t="str">
        <f t="shared" si="6"/>
        <v/>
      </c>
      <c r="V70" s="182"/>
      <c r="W70" s="183"/>
      <c r="AE70" s="188" t="str">
        <f t="shared" si="0"/>
        <v/>
      </c>
      <c r="AF70" s="188" t="str">
        <f t="shared" si="1"/>
        <v/>
      </c>
      <c r="AH70" s="188">
        <v>61</v>
      </c>
      <c r="AJ70" s="188" t="str">
        <f t="array" ref="AJ70">IFERROR(INDEX($AH$10:$AH$258, MATCH(0, IF(TRUE=$AE$10:$AE$258, COUNTIF($AJ$9:$AJ69, $AH$10:$AH$258), ""), 0)),"")</f>
        <v/>
      </c>
      <c r="AK70" s="188" t="str">
        <f t="array" ref="AK70">IFERROR(INDEX($AH$10:$AH$258, MATCH(0, IF(TRUE=$AF$10:$AF$258, COUNTIF($AK$9:$AK69, $AH$10:$AH$258), ""), 0)),"")</f>
        <v/>
      </c>
      <c r="AL70" s="35" t="str">
        <f>IFERROR(INDEX('G-6 Hedgerow Data'!$BJ$3:$BJ$15,MATCH(D70,'G-6 Hedgerow Data'!$B$3:$B$15,0)),"")</f>
        <v/>
      </c>
    </row>
    <row r="71" spans="2:38" ht="13.8" x14ac:dyDescent="0.25">
      <c r="B71" s="168">
        <v>62</v>
      </c>
      <c r="C71" s="275"/>
      <c r="D71" s="275"/>
      <c r="E71" s="185"/>
      <c r="F71" s="277" t="str">
        <f>IF(D71="","",VLOOKUP(D71,'G-6 Hedgerow Data'!$B$2:$AG$15,2,FALSE))</f>
        <v/>
      </c>
      <c r="G71" s="172" t="str">
        <f>IF(D71="","",VLOOKUP(D71,'G-6 Hedgerow Data'!$B$2:$AG$15,3,FALSE))</f>
        <v/>
      </c>
      <c r="H71" s="173"/>
      <c r="I71" s="172" t="str">
        <f>IFERROR(VLOOKUP(H71,'G-1 All Habitats'!$Z$2:$AA$9,2,FALSE),"")</f>
        <v/>
      </c>
      <c r="J71" s="173"/>
      <c r="K71" s="179" t="str">
        <f>IF(J71="","",IF(VLOOKUP(J71,'G-3 Multipliers'!$L$3:$N$6,2,FALSE)=0,"Spatial Data Missing",VLOOKUP(J71,'G-3 Multipliers'!$L$3:$N$6,2,FALSE)))</f>
        <v/>
      </c>
      <c r="L71" s="260" t="str">
        <f>IF(J71="","",IF(VLOOKUP(J71,'G-3 Multipliers'!$L$3:$N$6,3,FALSE)=0,"Spatial Data Missing",VLOOKUP(J71,'G-3 Multipliers'!$L$3:$N$6,3,FALSE)))</f>
        <v/>
      </c>
      <c r="M71" s="177" t="str">
        <f>IF(D71="","",VLOOKUP(D71,'G-6 Hedgerow Data'!$B$1:$AH$15,33,FALSE))</f>
        <v/>
      </c>
      <c r="N71" s="207" t="str">
        <f t="shared" si="2"/>
        <v/>
      </c>
      <c r="O71" s="44"/>
      <c r="P71" s="186"/>
      <c r="Q71" s="275"/>
      <c r="R71" s="289" t="str">
        <f t="shared" si="3"/>
        <v/>
      </c>
      <c r="S71" s="289" t="str">
        <f t="shared" si="4"/>
        <v/>
      </c>
      <c r="T71" s="289" t="str">
        <f t="shared" si="5"/>
        <v/>
      </c>
      <c r="U71" s="290" t="str">
        <f t="shared" si="6"/>
        <v/>
      </c>
      <c r="V71" s="182"/>
      <c r="W71" s="183"/>
      <c r="AE71" s="188" t="str">
        <f t="shared" si="0"/>
        <v/>
      </c>
      <c r="AF71" s="188" t="str">
        <f t="shared" si="1"/>
        <v/>
      </c>
      <c r="AH71" s="188">
        <v>62</v>
      </c>
      <c r="AJ71" s="188" t="str">
        <f t="array" ref="AJ71">IFERROR(INDEX($AH$10:$AH$258, MATCH(0, IF(TRUE=$AE$10:$AE$258, COUNTIF($AJ$9:$AJ70, $AH$10:$AH$258), ""), 0)),"")</f>
        <v/>
      </c>
      <c r="AK71" s="188" t="str">
        <f t="array" ref="AK71">IFERROR(INDEX($AH$10:$AH$258, MATCH(0, IF(TRUE=$AF$10:$AF$258, COUNTIF($AK$9:$AK70, $AH$10:$AH$258), ""), 0)),"")</f>
        <v/>
      </c>
      <c r="AL71" s="35" t="str">
        <f>IFERROR(INDEX('G-6 Hedgerow Data'!$BJ$3:$BJ$15,MATCH(D71,'G-6 Hedgerow Data'!$B$3:$B$15,0)),"")</f>
        <v/>
      </c>
    </row>
    <row r="72" spans="2:38" ht="13.8" x14ac:dyDescent="0.25">
      <c r="B72" s="168">
        <v>63</v>
      </c>
      <c r="C72" s="275"/>
      <c r="D72" s="275"/>
      <c r="E72" s="185"/>
      <c r="F72" s="277" t="str">
        <f>IF(D72="","",VLOOKUP(D72,'G-6 Hedgerow Data'!$B$2:$AG$15,2,FALSE))</f>
        <v/>
      </c>
      <c r="G72" s="172" t="str">
        <f>IF(D72="","",VLOOKUP(D72,'G-6 Hedgerow Data'!$B$2:$AG$15,3,FALSE))</f>
        <v/>
      </c>
      <c r="H72" s="173"/>
      <c r="I72" s="172" t="str">
        <f>IFERROR(VLOOKUP(H72,'G-1 All Habitats'!$Z$2:$AA$9,2,FALSE),"")</f>
        <v/>
      </c>
      <c r="J72" s="173"/>
      <c r="K72" s="179" t="str">
        <f>IF(J72="","",IF(VLOOKUP(J72,'G-3 Multipliers'!$L$3:$N$6,2,FALSE)=0,"Spatial Data Missing",VLOOKUP(J72,'G-3 Multipliers'!$L$3:$N$6,2,FALSE)))</f>
        <v/>
      </c>
      <c r="L72" s="260" t="str">
        <f>IF(J72="","",IF(VLOOKUP(J72,'G-3 Multipliers'!$L$3:$N$6,3,FALSE)=0,"Spatial Data Missing",VLOOKUP(J72,'G-3 Multipliers'!$L$3:$N$6,3,FALSE)))</f>
        <v/>
      </c>
      <c r="M72" s="177" t="str">
        <f>IF(D72="","",VLOOKUP(D72,'G-6 Hedgerow Data'!$B$1:$AH$15,33,FALSE))</f>
        <v/>
      </c>
      <c r="N72" s="207" t="str">
        <f t="shared" si="2"/>
        <v/>
      </c>
      <c r="O72" s="44"/>
      <c r="P72" s="186"/>
      <c r="Q72" s="275"/>
      <c r="R72" s="289" t="str">
        <f t="shared" si="3"/>
        <v/>
      </c>
      <c r="S72" s="289" t="str">
        <f t="shared" si="4"/>
        <v/>
      </c>
      <c r="T72" s="289" t="str">
        <f t="shared" si="5"/>
        <v/>
      </c>
      <c r="U72" s="290" t="str">
        <f t="shared" si="6"/>
        <v/>
      </c>
      <c r="V72" s="182"/>
      <c r="W72" s="183"/>
      <c r="AE72" s="188" t="str">
        <f t="shared" si="0"/>
        <v/>
      </c>
      <c r="AF72" s="188" t="str">
        <f t="shared" si="1"/>
        <v/>
      </c>
      <c r="AH72" s="188">
        <v>63</v>
      </c>
      <c r="AJ72" s="188" t="str">
        <f t="array" ref="AJ72">IFERROR(INDEX($AH$10:$AH$258, MATCH(0, IF(TRUE=$AE$10:$AE$258, COUNTIF($AJ$9:$AJ71, $AH$10:$AH$258), ""), 0)),"")</f>
        <v/>
      </c>
      <c r="AK72" s="188" t="str">
        <f t="array" ref="AK72">IFERROR(INDEX($AH$10:$AH$258, MATCH(0, IF(TRUE=$AF$10:$AF$258, COUNTIF($AK$9:$AK71, $AH$10:$AH$258), ""), 0)),"")</f>
        <v/>
      </c>
      <c r="AL72" s="35" t="str">
        <f>IFERROR(INDEX('G-6 Hedgerow Data'!$BJ$3:$BJ$15,MATCH(D72,'G-6 Hedgerow Data'!$B$3:$B$15,0)),"")</f>
        <v/>
      </c>
    </row>
    <row r="73" spans="2:38" ht="13.8" x14ac:dyDescent="0.25">
      <c r="B73" s="168">
        <v>64</v>
      </c>
      <c r="C73" s="275"/>
      <c r="D73" s="275"/>
      <c r="E73" s="185"/>
      <c r="F73" s="277" t="str">
        <f>IF(D73="","",VLOOKUP(D73,'G-6 Hedgerow Data'!$B$2:$AG$15,2,FALSE))</f>
        <v/>
      </c>
      <c r="G73" s="172" t="str">
        <f>IF(D73="","",VLOOKUP(D73,'G-6 Hedgerow Data'!$B$2:$AG$15,3,FALSE))</f>
        <v/>
      </c>
      <c r="H73" s="173"/>
      <c r="I73" s="172" t="str">
        <f>IFERROR(VLOOKUP(H73,'G-1 All Habitats'!$Z$2:$AA$9,2,FALSE),"")</f>
        <v/>
      </c>
      <c r="J73" s="173"/>
      <c r="K73" s="179" t="str">
        <f>IF(J73="","",IF(VLOOKUP(J73,'G-3 Multipliers'!$L$3:$N$6,2,FALSE)=0,"Spatial Data Missing",VLOOKUP(J73,'G-3 Multipliers'!$L$3:$N$6,2,FALSE)))</f>
        <v/>
      </c>
      <c r="L73" s="260" t="str">
        <f>IF(J73="","",IF(VLOOKUP(J73,'G-3 Multipliers'!$L$3:$N$6,3,FALSE)=0,"Spatial Data Missing",VLOOKUP(J73,'G-3 Multipliers'!$L$3:$N$6,3,FALSE)))</f>
        <v/>
      </c>
      <c r="M73" s="177" t="str">
        <f>IF(D73="","",VLOOKUP(D73,'G-6 Hedgerow Data'!$B$1:$AH$15,33,FALSE))</f>
        <v/>
      </c>
      <c r="N73" s="207" t="str">
        <f t="shared" si="2"/>
        <v/>
      </c>
      <c r="O73" s="44"/>
      <c r="P73" s="186"/>
      <c r="Q73" s="275"/>
      <c r="R73" s="289" t="str">
        <f t="shared" si="3"/>
        <v/>
      </c>
      <c r="S73" s="289" t="str">
        <f t="shared" si="4"/>
        <v/>
      </c>
      <c r="T73" s="289" t="str">
        <f t="shared" si="5"/>
        <v/>
      </c>
      <c r="U73" s="290" t="str">
        <f t="shared" si="6"/>
        <v/>
      </c>
      <c r="V73" s="182"/>
      <c r="W73" s="183"/>
      <c r="AE73" s="188" t="str">
        <f t="shared" si="0"/>
        <v/>
      </c>
      <c r="AF73" s="188" t="str">
        <f t="shared" si="1"/>
        <v/>
      </c>
      <c r="AH73" s="188">
        <v>64</v>
      </c>
      <c r="AJ73" s="188" t="str">
        <f t="array" ref="AJ73">IFERROR(INDEX($AH$10:$AH$258, MATCH(0, IF(TRUE=$AE$10:$AE$258, COUNTIF($AJ$9:$AJ72, $AH$10:$AH$258), ""), 0)),"")</f>
        <v/>
      </c>
      <c r="AK73" s="188" t="str">
        <f t="array" ref="AK73">IFERROR(INDEX($AH$10:$AH$258, MATCH(0, IF(TRUE=$AF$10:$AF$258, COUNTIF($AK$9:$AK72, $AH$10:$AH$258), ""), 0)),"")</f>
        <v/>
      </c>
      <c r="AL73" s="35" t="str">
        <f>IFERROR(INDEX('G-6 Hedgerow Data'!$BJ$3:$BJ$15,MATCH(D73,'G-6 Hedgerow Data'!$B$3:$B$15,0)),"")</f>
        <v/>
      </c>
    </row>
    <row r="74" spans="2:38" ht="13.8" x14ac:dyDescent="0.25">
      <c r="B74" s="168">
        <v>65</v>
      </c>
      <c r="C74" s="275"/>
      <c r="D74" s="275"/>
      <c r="E74" s="185"/>
      <c r="F74" s="277" t="str">
        <f>IF(D74="","",VLOOKUP(D74,'G-6 Hedgerow Data'!$B$2:$AG$15,2,FALSE))</f>
        <v/>
      </c>
      <c r="G74" s="172" t="str">
        <f>IF(D74="","",VLOOKUP(D74,'G-6 Hedgerow Data'!$B$2:$AG$15,3,FALSE))</f>
        <v/>
      </c>
      <c r="H74" s="173"/>
      <c r="I74" s="172" t="str">
        <f>IFERROR(VLOOKUP(H74,'G-1 All Habitats'!$Z$2:$AA$9,2,FALSE),"")</f>
        <v/>
      </c>
      <c r="J74" s="173"/>
      <c r="K74" s="179" t="str">
        <f>IF(J74="","",IF(VLOOKUP(J74,'G-3 Multipliers'!$L$3:$N$6,2,FALSE)=0,"Spatial Data Missing",VLOOKUP(J74,'G-3 Multipliers'!$L$3:$N$6,2,FALSE)))</f>
        <v/>
      </c>
      <c r="L74" s="260" t="str">
        <f>IF(J74="","",IF(VLOOKUP(J74,'G-3 Multipliers'!$L$3:$N$6,3,FALSE)=0,"Spatial Data Missing",VLOOKUP(J74,'G-3 Multipliers'!$L$3:$N$6,3,FALSE)))</f>
        <v/>
      </c>
      <c r="M74" s="177" t="str">
        <f>IF(D74="","",VLOOKUP(D74,'G-6 Hedgerow Data'!$B$1:$AH$15,33,FALSE))</f>
        <v/>
      </c>
      <c r="N74" s="207" t="str">
        <f t="shared" si="2"/>
        <v/>
      </c>
      <c r="O74" s="44"/>
      <c r="P74" s="186"/>
      <c r="Q74" s="275"/>
      <c r="R74" s="289" t="str">
        <f t="shared" si="3"/>
        <v/>
      </c>
      <c r="S74" s="289" t="str">
        <f t="shared" si="4"/>
        <v/>
      </c>
      <c r="T74" s="289" t="str">
        <f t="shared" si="5"/>
        <v/>
      </c>
      <c r="U74" s="290" t="str">
        <f t="shared" si="6"/>
        <v/>
      </c>
      <c r="V74" s="182"/>
      <c r="W74" s="183"/>
      <c r="AE74" s="188" t="str">
        <f t="shared" ref="AE74:AE137" si="7">IF(D74="","",IF(P74&gt;0,TRUE,FALSE))</f>
        <v/>
      </c>
      <c r="AF74" s="188" t="str">
        <f t="shared" ref="AF74:AF137" si="8">IF(D74="","",IF(Q74&gt;0,TRUE,FALSE))</f>
        <v/>
      </c>
      <c r="AH74" s="188">
        <v>65</v>
      </c>
      <c r="AJ74" s="188" t="str">
        <f t="array" ref="AJ74">IFERROR(INDEX($AH$10:$AH$258, MATCH(0, IF(TRUE=$AE$10:$AE$258, COUNTIF($AJ$9:$AJ73, $AH$10:$AH$258), ""), 0)),"")</f>
        <v/>
      </c>
      <c r="AK74" s="188" t="str">
        <f t="array" ref="AK74">IFERROR(INDEX($AH$10:$AH$258, MATCH(0, IF(TRUE=$AF$10:$AF$258, COUNTIF($AK$9:$AK73, $AH$10:$AH$258), ""), 0)),"")</f>
        <v/>
      </c>
      <c r="AL74" s="35" t="str">
        <f>IFERROR(INDEX('G-6 Hedgerow Data'!$BJ$3:$BJ$15,MATCH(D74,'G-6 Hedgerow Data'!$B$3:$B$15,0)),"")</f>
        <v/>
      </c>
    </row>
    <row r="75" spans="2:38" ht="13.8" x14ac:dyDescent="0.25">
      <c r="B75" s="168">
        <v>66</v>
      </c>
      <c r="C75" s="275"/>
      <c r="D75" s="275"/>
      <c r="E75" s="185"/>
      <c r="F75" s="277" t="str">
        <f>IF(D75="","",VLOOKUP(D75,'G-6 Hedgerow Data'!$B$2:$AG$15,2,FALSE))</f>
        <v/>
      </c>
      <c r="G75" s="172" t="str">
        <f>IF(D75="","",VLOOKUP(D75,'G-6 Hedgerow Data'!$B$2:$AG$15,3,FALSE))</f>
        <v/>
      </c>
      <c r="H75" s="173"/>
      <c r="I75" s="172" t="str">
        <f>IFERROR(VLOOKUP(H75,'G-1 All Habitats'!$Z$2:$AA$9,2,FALSE),"")</f>
        <v/>
      </c>
      <c r="J75" s="173"/>
      <c r="K75" s="179" t="str">
        <f>IF(J75="","",IF(VLOOKUP(J75,'G-3 Multipliers'!$L$3:$N$6,2,FALSE)=0,"Spatial Data Missing",VLOOKUP(J75,'G-3 Multipliers'!$L$3:$N$6,2,FALSE)))</f>
        <v/>
      </c>
      <c r="L75" s="260" t="str">
        <f>IF(J75="","",IF(VLOOKUP(J75,'G-3 Multipliers'!$L$3:$N$6,3,FALSE)=0,"Spatial Data Missing",VLOOKUP(J75,'G-3 Multipliers'!$L$3:$N$6,3,FALSE)))</f>
        <v/>
      </c>
      <c r="M75" s="177" t="str">
        <f>IF(D75="","",VLOOKUP(D75,'G-6 Hedgerow Data'!$B$1:$AH$15,33,FALSE))</f>
        <v/>
      </c>
      <c r="N75" s="207" t="str">
        <f t="shared" ref="N75:N138" si="9">IFERROR(E75*G75*I75*L75,"")</f>
        <v/>
      </c>
      <c r="O75" s="44"/>
      <c r="P75" s="186"/>
      <c r="Q75" s="275"/>
      <c r="R75" s="289" t="str">
        <f t="shared" ref="R75:R138" si="10">IFERROR(P75*G75*I75*L75,"")</f>
        <v/>
      </c>
      <c r="S75" s="289" t="str">
        <f t="shared" ref="S75:S138" si="11">IFERROR(Q75*G75*I75*L75,"")</f>
        <v/>
      </c>
      <c r="T75" s="289" t="str">
        <f t="shared" ref="T75:T138" si="12">IF(D75="","",IF(E75-P75-Q75=0&lt;0,"Error in lengths",IF(P75+Q75&gt;E75,"Error in Lengths",E75-P75-Q75)))</f>
        <v/>
      </c>
      <c r="U75" s="290" t="str">
        <f t="shared" ref="U75:U138" si="13">IF(OR(E75="",N75=""),"",IF(E75-P75-Q75=0&lt;0,"Error in Lengths",IF(P75+Q75&gt;E75,"Error in Lengths",N75-R75-S75)))</f>
        <v/>
      </c>
      <c r="V75" s="182"/>
      <c r="W75" s="183"/>
      <c r="AE75" s="188" t="str">
        <f t="shared" si="7"/>
        <v/>
      </c>
      <c r="AF75" s="188" t="str">
        <f t="shared" si="8"/>
        <v/>
      </c>
      <c r="AH75" s="188">
        <v>66</v>
      </c>
      <c r="AJ75" s="188" t="str">
        <f t="array" ref="AJ75">IFERROR(INDEX($AH$10:$AH$258, MATCH(0, IF(TRUE=$AE$10:$AE$258, COUNTIF($AJ$9:$AJ74, $AH$10:$AH$258), ""), 0)),"")</f>
        <v/>
      </c>
      <c r="AK75" s="188" t="str">
        <f t="array" ref="AK75">IFERROR(INDEX($AH$10:$AH$258, MATCH(0, IF(TRUE=$AF$10:$AF$258, COUNTIF($AK$9:$AK74, $AH$10:$AH$258), ""), 0)),"")</f>
        <v/>
      </c>
      <c r="AL75" s="35" t="str">
        <f>IFERROR(INDEX('G-6 Hedgerow Data'!$BJ$3:$BJ$15,MATCH(D75,'G-6 Hedgerow Data'!$B$3:$B$15,0)),"")</f>
        <v/>
      </c>
    </row>
    <row r="76" spans="2:38" ht="13.8" x14ac:dyDescent="0.25">
      <c r="B76" s="168">
        <v>67</v>
      </c>
      <c r="C76" s="275"/>
      <c r="D76" s="275"/>
      <c r="E76" s="185"/>
      <c r="F76" s="277" t="str">
        <f>IF(D76="","",VLOOKUP(D76,'G-6 Hedgerow Data'!$B$2:$AG$15,2,FALSE))</f>
        <v/>
      </c>
      <c r="G76" s="172" t="str">
        <f>IF(D76="","",VLOOKUP(D76,'G-6 Hedgerow Data'!$B$2:$AG$15,3,FALSE))</f>
        <v/>
      </c>
      <c r="H76" s="173"/>
      <c r="I76" s="172" t="str">
        <f>IFERROR(VLOOKUP(H76,'G-1 All Habitats'!$Z$2:$AA$9,2,FALSE),"")</f>
        <v/>
      </c>
      <c r="J76" s="173"/>
      <c r="K76" s="179" t="str">
        <f>IF(J76="","",IF(VLOOKUP(J76,'G-3 Multipliers'!$L$3:$N$6,2,FALSE)=0,"Spatial Data Missing",VLOOKUP(J76,'G-3 Multipliers'!$L$3:$N$6,2,FALSE)))</f>
        <v/>
      </c>
      <c r="L76" s="260" t="str">
        <f>IF(J76="","",IF(VLOOKUP(J76,'G-3 Multipliers'!$L$3:$N$6,3,FALSE)=0,"Spatial Data Missing",VLOOKUP(J76,'G-3 Multipliers'!$L$3:$N$6,3,FALSE)))</f>
        <v/>
      </c>
      <c r="M76" s="177" t="str">
        <f>IF(D76="","",VLOOKUP(D76,'G-6 Hedgerow Data'!$B$1:$AH$15,33,FALSE))</f>
        <v/>
      </c>
      <c r="N76" s="207" t="str">
        <f t="shared" si="9"/>
        <v/>
      </c>
      <c r="O76" s="44"/>
      <c r="P76" s="186"/>
      <c r="Q76" s="275"/>
      <c r="R76" s="289" t="str">
        <f t="shared" si="10"/>
        <v/>
      </c>
      <c r="S76" s="289" t="str">
        <f t="shared" si="11"/>
        <v/>
      </c>
      <c r="T76" s="289" t="str">
        <f t="shared" si="12"/>
        <v/>
      </c>
      <c r="U76" s="290" t="str">
        <f t="shared" si="13"/>
        <v/>
      </c>
      <c r="V76" s="182"/>
      <c r="W76" s="183"/>
      <c r="AE76" s="188" t="str">
        <f t="shared" si="7"/>
        <v/>
      </c>
      <c r="AF76" s="188" t="str">
        <f t="shared" si="8"/>
        <v/>
      </c>
      <c r="AH76" s="188">
        <v>67</v>
      </c>
      <c r="AJ76" s="188" t="str">
        <f t="array" ref="AJ76">IFERROR(INDEX($AH$10:$AH$258, MATCH(0, IF(TRUE=$AE$10:$AE$258, COUNTIF($AJ$9:$AJ75, $AH$10:$AH$258), ""), 0)),"")</f>
        <v/>
      </c>
      <c r="AK76" s="188" t="str">
        <f t="array" ref="AK76">IFERROR(INDEX($AH$10:$AH$258, MATCH(0, IF(TRUE=$AF$10:$AF$258, COUNTIF($AK$9:$AK75, $AH$10:$AH$258), ""), 0)),"")</f>
        <v/>
      </c>
      <c r="AL76" s="35" t="str">
        <f>IFERROR(INDEX('G-6 Hedgerow Data'!$BJ$3:$BJ$15,MATCH(D76,'G-6 Hedgerow Data'!$B$3:$B$15,0)),"")</f>
        <v/>
      </c>
    </row>
    <row r="77" spans="2:38" ht="13.8" x14ac:dyDescent="0.25">
      <c r="B77" s="168">
        <v>68</v>
      </c>
      <c r="C77" s="275"/>
      <c r="D77" s="275"/>
      <c r="E77" s="185"/>
      <c r="F77" s="277" t="str">
        <f>IF(D77="","",VLOOKUP(D77,'G-6 Hedgerow Data'!$B$2:$AG$15,2,FALSE))</f>
        <v/>
      </c>
      <c r="G77" s="172" t="str">
        <f>IF(D77="","",VLOOKUP(D77,'G-6 Hedgerow Data'!$B$2:$AG$15,3,FALSE))</f>
        <v/>
      </c>
      <c r="H77" s="173"/>
      <c r="I77" s="172" t="str">
        <f>IFERROR(VLOOKUP(H77,'G-1 All Habitats'!$Z$2:$AA$9,2,FALSE),"")</f>
        <v/>
      </c>
      <c r="J77" s="173"/>
      <c r="K77" s="179" t="str">
        <f>IF(J77="","",IF(VLOOKUP(J77,'G-3 Multipliers'!$L$3:$N$6,2,FALSE)=0,"Spatial Data Missing",VLOOKUP(J77,'G-3 Multipliers'!$L$3:$N$6,2,FALSE)))</f>
        <v/>
      </c>
      <c r="L77" s="260" t="str">
        <f>IF(J77="","",IF(VLOOKUP(J77,'G-3 Multipliers'!$L$3:$N$6,3,FALSE)=0,"Spatial Data Missing",VLOOKUP(J77,'G-3 Multipliers'!$L$3:$N$6,3,FALSE)))</f>
        <v/>
      </c>
      <c r="M77" s="177" t="str">
        <f>IF(D77="","",VLOOKUP(D77,'G-6 Hedgerow Data'!$B$1:$AH$15,33,FALSE))</f>
        <v/>
      </c>
      <c r="N77" s="207" t="str">
        <f t="shared" si="9"/>
        <v/>
      </c>
      <c r="O77" s="44"/>
      <c r="P77" s="186"/>
      <c r="Q77" s="275"/>
      <c r="R77" s="289" t="str">
        <f t="shared" si="10"/>
        <v/>
      </c>
      <c r="S77" s="289" t="str">
        <f t="shared" si="11"/>
        <v/>
      </c>
      <c r="T77" s="289" t="str">
        <f t="shared" si="12"/>
        <v/>
      </c>
      <c r="U77" s="290" t="str">
        <f t="shared" si="13"/>
        <v/>
      </c>
      <c r="V77" s="182"/>
      <c r="W77" s="183"/>
      <c r="AE77" s="188" t="str">
        <f t="shared" si="7"/>
        <v/>
      </c>
      <c r="AF77" s="188" t="str">
        <f t="shared" si="8"/>
        <v/>
      </c>
      <c r="AH77" s="188">
        <v>68</v>
      </c>
      <c r="AJ77" s="188" t="str">
        <f t="array" ref="AJ77">IFERROR(INDEX($AH$10:$AH$258, MATCH(0, IF(TRUE=$AE$10:$AE$258, COUNTIF($AJ$9:$AJ76, $AH$10:$AH$258), ""), 0)),"")</f>
        <v/>
      </c>
      <c r="AK77" s="188" t="str">
        <f t="array" ref="AK77">IFERROR(INDEX($AH$10:$AH$258, MATCH(0, IF(TRUE=$AF$10:$AF$258, COUNTIF($AK$9:$AK76, $AH$10:$AH$258), ""), 0)),"")</f>
        <v/>
      </c>
      <c r="AL77" s="35" t="str">
        <f>IFERROR(INDEX('G-6 Hedgerow Data'!$BJ$3:$BJ$15,MATCH(D77,'G-6 Hedgerow Data'!$B$3:$B$15,0)),"")</f>
        <v/>
      </c>
    </row>
    <row r="78" spans="2:38" ht="13.8" x14ac:dyDescent="0.25">
      <c r="B78" s="168">
        <v>69</v>
      </c>
      <c r="C78" s="275"/>
      <c r="D78" s="275"/>
      <c r="E78" s="185"/>
      <c r="F78" s="277" t="str">
        <f>IF(D78="","",VLOOKUP(D78,'G-6 Hedgerow Data'!$B$2:$AG$15,2,FALSE))</f>
        <v/>
      </c>
      <c r="G78" s="172" t="str">
        <f>IF(D78="","",VLOOKUP(D78,'G-6 Hedgerow Data'!$B$2:$AG$15,3,FALSE))</f>
        <v/>
      </c>
      <c r="H78" s="173"/>
      <c r="I78" s="172" t="str">
        <f>IFERROR(VLOOKUP(H78,'G-1 All Habitats'!$Z$2:$AA$9,2,FALSE),"")</f>
        <v/>
      </c>
      <c r="J78" s="173"/>
      <c r="K78" s="179" t="str">
        <f>IF(J78="","",IF(VLOOKUP(J78,'G-3 Multipliers'!$L$3:$N$6,2,FALSE)=0,"Spatial Data Missing",VLOOKUP(J78,'G-3 Multipliers'!$L$3:$N$6,2,FALSE)))</f>
        <v/>
      </c>
      <c r="L78" s="260" t="str">
        <f>IF(J78="","",IF(VLOOKUP(J78,'G-3 Multipliers'!$L$3:$N$6,3,FALSE)=0,"Spatial Data Missing",VLOOKUP(J78,'G-3 Multipliers'!$L$3:$N$6,3,FALSE)))</f>
        <v/>
      </c>
      <c r="M78" s="177" t="str">
        <f>IF(D78="","",VLOOKUP(D78,'G-6 Hedgerow Data'!$B$1:$AH$15,33,FALSE))</f>
        <v/>
      </c>
      <c r="N78" s="207" t="str">
        <f t="shared" si="9"/>
        <v/>
      </c>
      <c r="O78" s="44"/>
      <c r="P78" s="186"/>
      <c r="Q78" s="275"/>
      <c r="R78" s="289" t="str">
        <f t="shared" si="10"/>
        <v/>
      </c>
      <c r="S78" s="289" t="str">
        <f t="shared" si="11"/>
        <v/>
      </c>
      <c r="T78" s="289" t="str">
        <f t="shared" si="12"/>
        <v/>
      </c>
      <c r="U78" s="290" t="str">
        <f t="shared" si="13"/>
        <v/>
      </c>
      <c r="V78" s="182"/>
      <c r="W78" s="183"/>
      <c r="AE78" s="188" t="str">
        <f t="shared" si="7"/>
        <v/>
      </c>
      <c r="AF78" s="188" t="str">
        <f t="shared" si="8"/>
        <v/>
      </c>
      <c r="AH78" s="188">
        <v>69</v>
      </c>
      <c r="AJ78" s="188" t="str">
        <f t="array" ref="AJ78">IFERROR(INDEX($AH$10:$AH$258, MATCH(0, IF(TRUE=$AE$10:$AE$258, COUNTIF($AJ$9:$AJ77, $AH$10:$AH$258), ""), 0)),"")</f>
        <v/>
      </c>
      <c r="AK78" s="188" t="str">
        <f t="array" ref="AK78">IFERROR(INDEX($AH$10:$AH$258, MATCH(0, IF(TRUE=$AF$10:$AF$258, COUNTIF($AK$9:$AK77, $AH$10:$AH$258), ""), 0)),"")</f>
        <v/>
      </c>
      <c r="AL78" s="35" t="str">
        <f>IFERROR(INDEX('G-6 Hedgerow Data'!$BJ$3:$BJ$15,MATCH(D78,'G-6 Hedgerow Data'!$B$3:$B$15,0)),"")</f>
        <v/>
      </c>
    </row>
    <row r="79" spans="2:38" ht="13.8" x14ac:dyDescent="0.25">
      <c r="B79" s="168">
        <v>70</v>
      </c>
      <c r="C79" s="275"/>
      <c r="D79" s="275"/>
      <c r="E79" s="185"/>
      <c r="F79" s="277" t="str">
        <f>IF(D79="","",VLOOKUP(D79,'G-6 Hedgerow Data'!$B$2:$AG$15,2,FALSE))</f>
        <v/>
      </c>
      <c r="G79" s="172" t="str">
        <f>IF(D79="","",VLOOKUP(D79,'G-6 Hedgerow Data'!$B$2:$AG$15,3,FALSE))</f>
        <v/>
      </c>
      <c r="H79" s="173"/>
      <c r="I79" s="172" t="str">
        <f>IFERROR(VLOOKUP(H79,'G-1 All Habitats'!$Z$2:$AA$9,2,FALSE),"")</f>
        <v/>
      </c>
      <c r="J79" s="173"/>
      <c r="K79" s="179" t="str">
        <f>IF(J79="","",IF(VLOOKUP(J79,'G-3 Multipliers'!$L$3:$N$6,2,FALSE)=0,"Spatial Data Missing",VLOOKUP(J79,'G-3 Multipliers'!$L$3:$N$6,2,FALSE)))</f>
        <v/>
      </c>
      <c r="L79" s="260" t="str">
        <f>IF(J79="","",IF(VLOOKUP(J79,'G-3 Multipliers'!$L$3:$N$6,3,FALSE)=0,"Spatial Data Missing",VLOOKUP(J79,'G-3 Multipliers'!$L$3:$N$6,3,FALSE)))</f>
        <v/>
      </c>
      <c r="M79" s="177" t="str">
        <f>IF(D79="","",VLOOKUP(D79,'G-6 Hedgerow Data'!$B$1:$AH$15,33,FALSE))</f>
        <v/>
      </c>
      <c r="N79" s="207" t="str">
        <f t="shared" si="9"/>
        <v/>
      </c>
      <c r="O79" s="44"/>
      <c r="P79" s="186"/>
      <c r="Q79" s="275"/>
      <c r="R79" s="289" t="str">
        <f t="shared" si="10"/>
        <v/>
      </c>
      <c r="S79" s="289" t="str">
        <f t="shared" si="11"/>
        <v/>
      </c>
      <c r="T79" s="289" t="str">
        <f t="shared" si="12"/>
        <v/>
      </c>
      <c r="U79" s="290" t="str">
        <f t="shared" si="13"/>
        <v/>
      </c>
      <c r="V79" s="182"/>
      <c r="W79" s="183"/>
      <c r="AE79" s="188" t="str">
        <f t="shared" si="7"/>
        <v/>
      </c>
      <c r="AF79" s="188" t="str">
        <f t="shared" si="8"/>
        <v/>
      </c>
      <c r="AH79" s="188">
        <v>70</v>
      </c>
      <c r="AJ79" s="188" t="str">
        <f t="array" ref="AJ79">IFERROR(INDEX($AH$10:$AH$258, MATCH(0, IF(TRUE=$AE$10:$AE$258, COUNTIF($AJ$9:$AJ78, $AH$10:$AH$258), ""), 0)),"")</f>
        <v/>
      </c>
      <c r="AK79" s="188" t="str">
        <f t="array" ref="AK79">IFERROR(INDEX($AH$10:$AH$258, MATCH(0, IF(TRUE=$AF$10:$AF$258, COUNTIF($AK$9:$AK78, $AH$10:$AH$258), ""), 0)),"")</f>
        <v/>
      </c>
      <c r="AL79" s="35" t="str">
        <f>IFERROR(INDEX('G-6 Hedgerow Data'!$BJ$3:$BJ$15,MATCH(D79,'G-6 Hedgerow Data'!$B$3:$B$15,0)),"")</f>
        <v/>
      </c>
    </row>
    <row r="80" spans="2:38" ht="13.8" x14ac:dyDescent="0.25">
      <c r="B80" s="168">
        <v>71</v>
      </c>
      <c r="C80" s="275"/>
      <c r="D80" s="275"/>
      <c r="E80" s="185"/>
      <c r="F80" s="277" t="str">
        <f>IF(D80="","",VLOOKUP(D80,'G-6 Hedgerow Data'!$B$2:$AG$15,2,FALSE))</f>
        <v/>
      </c>
      <c r="G80" s="172" t="str">
        <f>IF(D80="","",VLOOKUP(D80,'G-6 Hedgerow Data'!$B$2:$AG$15,3,FALSE))</f>
        <v/>
      </c>
      <c r="H80" s="173"/>
      <c r="I80" s="172" t="str">
        <f>IFERROR(VLOOKUP(H80,'G-1 All Habitats'!$Z$2:$AA$9,2,FALSE),"")</f>
        <v/>
      </c>
      <c r="J80" s="173"/>
      <c r="K80" s="179" t="str">
        <f>IF(J80="","",IF(VLOOKUP(J80,'G-3 Multipliers'!$L$3:$N$6,2,FALSE)=0,"Spatial Data Missing",VLOOKUP(J80,'G-3 Multipliers'!$L$3:$N$6,2,FALSE)))</f>
        <v/>
      </c>
      <c r="L80" s="260" t="str">
        <f>IF(J80="","",IF(VLOOKUP(J80,'G-3 Multipliers'!$L$3:$N$6,3,FALSE)=0,"Spatial Data Missing",VLOOKUP(J80,'G-3 Multipliers'!$L$3:$N$6,3,FALSE)))</f>
        <v/>
      </c>
      <c r="M80" s="177" t="str">
        <f>IF(D80="","",VLOOKUP(D80,'G-6 Hedgerow Data'!$B$1:$AH$15,33,FALSE))</f>
        <v/>
      </c>
      <c r="N80" s="207" t="str">
        <f t="shared" si="9"/>
        <v/>
      </c>
      <c r="O80" s="44"/>
      <c r="P80" s="186"/>
      <c r="Q80" s="275"/>
      <c r="R80" s="289" t="str">
        <f t="shared" si="10"/>
        <v/>
      </c>
      <c r="S80" s="289" t="str">
        <f t="shared" si="11"/>
        <v/>
      </c>
      <c r="T80" s="289" t="str">
        <f t="shared" si="12"/>
        <v/>
      </c>
      <c r="U80" s="290" t="str">
        <f t="shared" si="13"/>
        <v/>
      </c>
      <c r="V80" s="182"/>
      <c r="W80" s="183"/>
      <c r="AE80" s="188" t="str">
        <f t="shared" si="7"/>
        <v/>
      </c>
      <c r="AF80" s="188" t="str">
        <f t="shared" si="8"/>
        <v/>
      </c>
      <c r="AH80" s="188">
        <v>71</v>
      </c>
      <c r="AJ80" s="188" t="str">
        <f t="array" ref="AJ80">IFERROR(INDEX($AH$10:$AH$258, MATCH(0, IF(TRUE=$AE$10:$AE$258, COUNTIF($AJ$9:$AJ79, $AH$10:$AH$258), ""), 0)),"")</f>
        <v/>
      </c>
      <c r="AK80" s="188" t="str">
        <f t="array" ref="AK80">IFERROR(INDEX($AH$10:$AH$258, MATCH(0, IF(TRUE=$AF$10:$AF$258, COUNTIF($AK$9:$AK79, $AH$10:$AH$258), ""), 0)),"")</f>
        <v/>
      </c>
      <c r="AL80" s="35" t="str">
        <f>IFERROR(INDEX('G-6 Hedgerow Data'!$BJ$3:$BJ$15,MATCH(D80,'G-6 Hedgerow Data'!$B$3:$B$15,0)),"")</f>
        <v/>
      </c>
    </row>
    <row r="81" spans="2:38" ht="13.8" x14ac:dyDescent="0.25">
      <c r="B81" s="168">
        <v>72</v>
      </c>
      <c r="C81" s="275"/>
      <c r="D81" s="275"/>
      <c r="E81" s="185"/>
      <c r="F81" s="277" t="str">
        <f>IF(D81="","",VLOOKUP(D81,'G-6 Hedgerow Data'!$B$2:$AG$15,2,FALSE))</f>
        <v/>
      </c>
      <c r="G81" s="172" t="str">
        <f>IF(D81="","",VLOOKUP(D81,'G-6 Hedgerow Data'!$B$2:$AG$15,3,FALSE))</f>
        <v/>
      </c>
      <c r="H81" s="173"/>
      <c r="I81" s="172" t="str">
        <f>IFERROR(VLOOKUP(H81,'G-1 All Habitats'!$Z$2:$AA$9,2,FALSE),"")</f>
        <v/>
      </c>
      <c r="J81" s="173"/>
      <c r="K81" s="179" t="str">
        <f>IF(J81="","",IF(VLOOKUP(J81,'G-3 Multipliers'!$L$3:$N$6,2,FALSE)=0,"Spatial Data Missing",VLOOKUP(J81,'G-3 Multipliers'!$L$3:$N$6,2,FALSE)))</f>
        <v/>
      </c>
      <c r="L81" s="260" t="str">
        <f>IF(J81="","",IF(VLOOKUP(J81,'G-3 Multipliers'!$L$3:$N$6,3,FALSE)=0,"Spatial Data Missing",VLOOKUP(J81,'G-3 Multipliers'!$L$3:$N$6,3,FALSE)))</f>
        <v/>
      </c>
      <c r="M81" s="177" t="str">
        <f>IF(D81="","",VLOOKUP(D81,'G-6 Hedgerow Data'!$B$1:$AH$15,33,FALSE))</f>
        <v/>
      </c>
      <c r="N81" s="207" t="str">
        <f t="shared" si="9"/>
        <v/>
      </c>
      <c r="O81" s="44"/>
      <c r="P81" s="186"/>
      <c r="Q81" s="275"/>
      <c r="R81" s="289" t="str">
        <f t="shared" si="10"/>
        <v/>
      </c>
      <c r="S81" s="289" t="str">
        <f t="shared" si="11"/>
        <v/>
      </c>
      <c r="T81" s="289" t="str">
        <f t="shared" si="12"/>
        <v/>
      </c>
      <c r="U81" s="290" t="str">
        <f t="shared" si="13"/>
        <v/>
      </c>
      <c r="V81" s="182"/>
      <c r="W81" s="183"/>
      <c r="AE81" s="188" t="str">
        <f t="shared" si="7"/>
        <v/>
      </c>
      <c r="AF81" s="188" t="str">
        <f t="shared" si="8"/>
        <v/>
      </c>
      <c r="AH81" s="188">
        <v>72</v>
      </c>
      <c r="AJ81" s="188" t="str">
        <f t="array" ref="AJ81">IFERROR(INDEX($AH$10:$AH$258, MATCH(0, IF(TRUE=$AE$10:$AE$258, COUNTIF($AJ$9:$AJ80, $AH$10:$AH$258), ""), 0)),"")</f>
        <v/>
      </c>
      <c r="AK81" s="188" t="str">
        <f t="array" ref="AK81">IFERROR(INDEX($AH$10:$AH$258, MATCH(0, IF(TRUE=$AF$10:$AF$258, COUNTIF($AK$9:$AK80, $AH$10:$AH$258), ""), 0)),"")</f>
        <v/>
      </c>
      <c r="AL81" s="35" t="str">
        <f>IFERROR(INDEX('G-6 Hedgerow Data'!$BJ$3:$BJ$15,MATCH(D81,'G-6 Hedgerow Data'!$B$3:$B$15,0)),"")</f>
        <v/>
      </c>
    </row>
    <row r="82" spans="2:38" ht="13.8" x14ac:dyDescent="0.25">
      <c r="B82" s="168">
        <v>73</v>
      </c>
      <c r="C82" s="275"/>
      <c r="D82" s="275"/>
      <c r="E82" s="185"/>
      <c r="F82" s="277" t="str">
        <f>IF(D82="","",VLOOKUP(D82,'G-6 Hedgerow Data'!$B$2:$AG$15,2,FALSE))</f>
        <v/>
      </c>
      <c r="G82" s="172" t="str">
        <f>IF(D82="","",VLOOKUP(D82,'G-6 Hedgerow Data'!$B$2:$AG$15,3,FALSE))</f>
        <v/>
      </c>
      <c r="H82" s="173"/>
      <c r="I82" s="172" t="str">
        <f>IFERROR(VLOOKUP(H82,'G-1 All Habitats'!$Z$2:$AA$9,2,FALSE),"")</f>
        <v/>
      </c>
      <c r="J82" s="173"/>
      <c r="K82" s="179" t="str">
        <f>IF(J82="","",IF(VLOOKUP(J82,'G-3 Multipliers'!$L$3:$N$6,2,FALSE)=0,"Spatial Data Missing",VLOOKUP(J82,'G-3 Multipliers'!$L$3:$N$6,2,FALSE)))</f>
        <v/>
      </c>
      <c r="L82" s="260" t="str">
        <f>IF(J82="","",IF(VLOOKUP(J82,'G-3 Multipliers'!$L$3:$N$6,3,FALSE)=0,"Spatial Data Missing",VLOOKUP(J82,'G-3 Multipliers'!$L$3:$N$6,3,FALSE)))</f>
        <v/>
      </c>
      <c r="M82" s="177" t="str">
        <f>IF(D82="","",VLOOKUP(D82,'G-6 Hedgerow Data'!$B$1:$AH$15,33,FALSE))</f>
        <v/>
      </c>
      <c r="N82" s="207" t="str">
        <f t="shared" si="9"/>
        <v/>
      </c>
      <c r="O82" s="44"/>
      <c r="P82" s="186"/>
      <c r="Q82" s="275"/>
      <c r="R82" s="289" t="str">
        <f t="shared" si="10"/>
        <v/>
      </c>
      <c r="S82" s="289" t="str">
        <f t="shared" si="11"/>
        <v/>
      </c>
      <c r="T82" s="289" t="str">
        <f t="shared" si="12"/>
        <v/>
      </c>
      <c r="U82" s="290" t="str">
        <f t="shared" si="13"/>
        <v/>
      </c>
      <c r="V82" s="182"/>
      <c r="W82" s="183"/>
      <c r="AE82" s="188" t="str">
        <f t="shared" si="7"/>
        <v/>
      </c>
      <c r="AF82" s="188" t="str">
        <f t="shared" si="8"/>
        <v/>
      </c>
      <c r="AH82" s="188">
        <v>73</v>
      </c>
      <c r="AJ82" s="188" t="str">
        <f t="array" ref="AJ82">IFERROR(INDEX($AH$10:$AH$258, MATCH(0, IF(TRUE=$AE$10:$AE$258, COUNTIF($AJ$9:$AJ81, $AH$10:$AH$258), ""), 0)),"")</f>
        <v/>
      </c>
      <c r="AK82" s="188" t="str">
        <f t="array" ref="AK82">IFERROR(INDEX($AH$10:$AH$258, MATCH(0, IF(TRUE=$AF$10:$AF$258, COUNTIF($AK$9:$AK81, $AH$10:$AH$258), ""), 0)),"")</f>
        <v/>
      </c>
      <c r="AL82" s="35" t="str">
        <f>IFERROR(INDEX('G-6 Hedgerow Data'!$BJ$3:$BJ$15,MATCH(D82,'G-6 Hedgerow Data'!$B$3:$B$15,0)),"")</f>
        <v/>
      </c>
    </row>
    <row r="83" spans="2:38" ht="13.8" x14ac:dyDescent="0.25">
      <c r="B83" s="168">
        <v>74</v>
      </c>
      <c r="C83" s="275"/>
      <c r="D83" s="275"/>
      <c r="E83" s="185"/>
      <c r="F83" s="277" t="str">
        <f>IF(D83="","",VLOOKUP(D83,'G-6 Hedgerow Data'!$B$2:$AG$15,2,FALSE))</f>
        <v/>
      </c>
      <c r="G83" s="172" t="str">
        <f>IF(D83="","",VLOOKUP(D83,'G-6 Hedgerow Data'!$B$2:$AG$15,3,FALSE))</f>
        <v/>
      </c>
      <c r="H83" s="173"/>
      <c r="I83" s="172" t="str">
        <f>IFERROR(VLOOKUP(H83,'G-1 All Habitats'!$Z$2:$AA$9,2,FALSE),"")</f>
        <v/>
      </c>
      <c r="J83" s="173"/>
      <c r="K83" s="179" t="str">
        <f>IF(J83="","",IF(VLOOKUP(J83,'G-3 Multipliers'!$L$3:$N$6,2,FALSE)=0,"Spatial Data Missing",VLOOKUP(J83,'G-3 Multipliers'!$L$3:$N$6,2,FALSE)))</f>
        <v/>
      </c>
      <c r="L83" s="260" t="str">
        <f>IF(J83="","",IF(VLOOKUP(J83,'G-3 Multipliers'!$L$3:$N$6,3,FALSE)=0,"Spatial Data Missing",VLOOKUP(J83,'G-3 Multipliers'!$L$3:$N$6,3,FALSE)))</f>
        <v/>
      </c>
      <c r="M83" s="177" t="str">
        <f>IF(D83="","",VLOOKUP(D83,'G-6 Hedgerow Data'!$B$1:$AH$15,33,FALSE))</f>
        <v/>
      </c>
      <c r="N83" s="207" t="str">
        <f t="shared" si="9"/>
        <v/>
      </c>
      <c r="O83" s="44"/>
      <c r="P83" s="186"/>
      <c r="Q83" s="275"/>
      <c r="R83" s="289" t="str">
        <f t="shared" si="10"/>
        <v/>
      </c>
      <c r="S83" s="289" t="str">
        <f t="shared" si="11"/>
        <v/>
      </c>
      <c r="T83" s="289" t="str">
        <f t="shared" si="12"/>
        <v/>
      </c>
      <c r="U83" s="290" t="str">
        <f t="shared" si="13"/>
        <v/>
      </c>
      <c r="V83" s="182"/>
      <c r="W83" s="183"/>
      <c r="AE83" s="188" t="str">
        <f t="shared" si="7"/>
        <v/>
      </c>
      <c r="AF83" s="188" t="str">
        <f t="shared" si="8"/>
        <v/>
      </c>
      <c r="AH83" s="188">
        <v>74</v>
      </c>
      <c r="AJ83" s="188" t="str">
        <f t="array" ref="AJ83">IFERROR(INDEX($AH$10:$AH$258, MATCH(0, IF(TRUE=$AE$10:$AE$258, COUNTIF($AJ$9:$AJ82, $AH$10:$AH$258), ""), 0)),"")</f>
        <v/>
      </c>
      <c r="AK83" s="188" t="str">
        <f t="array" ref="AK83">IFERROR(INDEX($AH$10:$AH$258, MATCH(0, IF(TRUE=$AF$10:$AF$258, COUNTIF($AK$9:$AK82, $AH$10:$AH$258), ""), 0)),"")</f>
        <v/>
      </c>
      <c r="AL83" s="35" t="str">
        <f>IFERROR(INDEX('G-6 Hedgerow Data'!$BJ$3:$BJ$15,MATCH(D83,'G-6 Hedgerow Data'!$B$3:$B$15,0)),"")</f>
        <v/>
      </c>
    </row>
    <row r="84" spans="2:38" ht="13.8" x14ac:dyDescent="0.25">
      <c r="B84" s="168">
        <v>75</v>
      </c>
      <c r="C84" s="275"/>
      <c r="D84" s="275"/>
      <c r="E84" s="185"/>
      <c r="F84" s="277" t="str">
        <f>IF(D84="","",VLOOKUP(D84,'G-6 Hedgerow Data'!$B$2:$AG$15,2,FALSE))</f>
        <v/>
      </c>
      <c r="G84" s="172" t="str">
        <f>IF(D84="","",VLOOKUP(D84,'G-6 Hedgerow Data'!$B$2:$AG$15,3,FALSE))</f>
        <v/>
      </c>
      <c r="H84" s="173"/>
      <c r="I84" s="172" t="str">
        <f>IFERROR(VLOOKUP(H84,'G-1 All Habitats'!$Z$2:$AA$9,2,FALSE),"")</f>
        <v/>
      </c>
      <c r="J84" s="173"/>
      <c r="K84" s="179" t="str">
        <f>IF(J84="","",IF(VLOOKUP(J84,'G-3 Multipliers'!$L$3:$N$6,2,FALSE)=0,"Spatial Data Missing",VLOOKUP(J84,'G-3 Multipliers'!$L$3:$N$6,2,FALSE)))</f>
        <v/>
      </c>
      <c r="L84" s="260" t="str">
        <f>IF(J84="","",IF(VLOOKUP(J84,'G-3 Multipliers'!$L$3:$N$6,3,FALSE)=0,"Spatial Data Missing",VLOOKUP(J84,'G-3 Multipliers'!$L$3:$N$6,3,FALSE)))</f>
        <v/>
      </c>
      <c r="M84" s="177" t="str">
        <f>IF(D84="","",VLOOKUP(D84,'G-6 Hedgerow Data'!$B$1:$AH$15,33,FALSE))</f>
        <v/>
      </c>
      <c r="N84" s="207" t="str">
        <f t="shared" si="9"/>
        <v/>
      </c>
      <c r="O84" s="44"/>
      <c r="P84" s="186"/>
      <c r="Q84" s="275"/>
      <c r="R84" s="289" t="str">
        <f t="shared" si="10"/>
        <v/>
      </c>
      <c r="S84" s="289" t="str">
        <f t="shared" si="11"/>
        <v/>
      </c>
      <c r="T84" s="289" t="str">
        <f t="shared" si="12"/>
        <v/>
      </c>
      <c r="U84" s="290" t="str">
        <f t="shared" si="13"/>
        <v/>
      </c>
      <c r="V84" s="182"/>
      <c r="W84" s="183"/>
      <c r="AE84" s="188" t="str">
        <f t="shared" si="7"/>
        <v/>
      </c>
      <c r="AF84" s="188" t="str">
        <f t="shared" si="8"/>
        <v/>
      </c>
      <c r="AH84" s="188">
        <v>75</v>
      </c>
      <c r="AJ84" s="188" t="str">
        <f t="array" ref="AJ84">IFERROR(INDEX($AH$10:$AH$258, MATCH(0, IF(TRUE=$AE$10:$AE$258, COUNTIF($AJ$9:$AJ83, $AH$10:$AH$258), ""), 0)),"")</f>
        <v/>
      </c>
      <c r="AK84" s="188" t="str">
        <f t="array" ref="AK84">IFERROR(INDEX($AH$10:$AH$258, MATCH(0, IF(TRUE=$AF$10:$AF$258, COUNTIF($AK$9:$AK83, $AH$10:$AH$258), ""), 0)),"")</f>
        <v/>
      </c>
      <c r="AL84" s="35" t="str">
        <f>IFERROR(INDEX('G-6 Hedgerow Data'!$BJ$3:$BJ$15,MATCH(D84,'G-6 Hedgerow Data'!$B$3:$B$15,0)),"")</f>
        <v/>
      </c>
    </row>
    <row r="85" spans="2:38" ht="13.8" x14ac:dyDescent="0.25">
      <c r="B85" s="168">
        <v>76</v>
      </c>
      <c r="C85" s="275"/>
      <c r="D85" s="275"/>
      <c r="E85" s="185"/>
      <c r="F85" s="277" t="str">
        <f>IF(D85="","",VLOOKUP(D85,'G-6 Hedgerow Data'!$B$2:$AG$15,2,FALSE))</f>
        <v/>
      </c>
      <c r="G85" s="172" t="str">
        <f>IF(D85="","",VLOOKUP(D85,'G-6 Hedgerow Data'!$B$2:$AG$15,3,FALSE))</f>
        <v/>
      </c>
      <c r="H85" s="173"/>
      <c r="I85" s="172" t="str">
        <f>IFERROR(VLOOKUP(H85,'G-1 All Habitats'!$Z$2:$AA$9,2,FALSE),"")</f>
        <v/>
      </c>
      <c r="J85" s="173"/>
      <c r="K85" s="179" t="str">
        <f>IF(J85="","",IF(VLOOKUP(J85,'G-3 Multipliers'!$L$3:$N$6,2,FALSE)=0,"Spatial Data Missing",VLOOKUP(J85,'G-3 Multipliers'!$L$3:$N$6,2,FALSE)))</f>
        <v/>
      </c>
      <c r="L85" s="260" t="str">
        <f>IF(J85="","",IF(VLOOKUP(J85,'G-3 Multipliers'!$L$3:$N$6,3,FALSE)=0,"Spatial Data Missing",VLOOKUP(J85,'G-3 Multipliers'!$L$3:$N$6,3,FALSE)))</f>
        <v/>
      </c>
      <c r="M85" s="177" t="str">
        <f>IF(D85="","",VLOOKUP(D85,'G-6 Hedgerow Data'!$B$1:$AH$15,33,FALSE))</f>
        <v/>
      </c>
      <c r="N85" s="207" t="str">
        <f t="shared" si="9"/>
        <v/>
      </c>
      <c r="O85" s="44"/>
      <c r="P85" s="186"/>
      <c r="Q85" s="275"/>
      <c r="R85" s="289" t="str">
        <f t="shared" si="10"/>
        <v/>
      </c>
      <c r="S85" s="289" t="str">
        <f t="shared" si="11"/>
        <v/>
      </c>
      <c r="T85" s="289" t="str">
        <f t="shared" si="12"/>
        <v/>
      </c>
      <c r="U85" s="290" t="str">
        <f t="shared" si="13"/>
        <v/>
      </c>
      <c r="V85" s="182"/>
      <c r="W85" s="183"/>
      <c r="AE85" s="188" t="str">
        <f t="shared" si="7"/>
        <v/>
      </c>
      <c r="AF85" s="188" t="str">
        <f t="shared" si="8"/>
        <v/>
      </c>
      <c r="AH85" s="188">
        <v>76</v>
      </c>
      <c r="AJ85" s="188" t="str">
        <f t="array" ref="AJ85">IFERROR(INDEX($AH$10:$AH$258, MATCH(0, IF(TRUE=$AE$10:$AE$258, COUNTIF($AJ$9:$AJ84, $AH$10:$AH$258), ""), 0)),"")</f>
        <v/>
      </c>
      <c r="AK85" s="188" t="str">
        <f t="array" ref="AK85">IFERROR(INDEX($AH$10:$AH$258, MATCH(0, IF(TRUE=$AF$10:$AF$258, COUNTIF($AK$9:$AK84, $AH$10:$AH$258), ""), 0)),"")</f>
        <v/>
      </c>
      <c r="AL85" s="35" t="str">
        <f>IFERROR(INDEX('G-6 Hedgerow Data'!$BJ$3:$BJ$15,MATCH(D85,'G-6 Hedgerow Data'!$B$3:$B$15,0)),"")</f>
        <v/>
      </c>
    </row>
    <row r="86" spans="2:38" ht="13.8" x14ac:dyDescent="0.25">
      <c r="B86" s="168">
        <v>77</v>
      </c>
      <c r="C86" s="275"/>
      <c r="D86" s="275"/>
      <c r="E86" s="185"/>
      <c r="F86" s="277" t="str">
        <f>IF(D86="","",VLOOKUP(D86,'G-6 Hedgerow Data'!$B$2:$AG$15,2,FALSE))</f>
        <v/>
      </c>
      <c r="G86" s="172" t="str">
        <f>IF(D86="","",VLOOKUP(D86,'G-6 Hedgerow Data'!$B$2:$AG$15,3,FALSE))</f>
        <v/>
      </c>
      <c r="H86" s="173"/>
      <c r="I86" s="172" t="str">
        <f>IFERROR(VLOOKUP(H86,'G-1 All Habitats'!$Z$2:$AA$9,2,FALSE),"")</f>
        <v/>
      </c>
      <c r="J86" s="173"/>
      <c r="K86" s="179" t="str">
        <f>IF(J86="","",IF(VLOOKUP(J86,'G-3 Multipliers'!$L$3:$N$6,2,FALSE)=0,"Spatial Data Missing",VLOOKUP(J86,'G-3 Multipliers'!$L$3:$N$6,2,FALSE)))</f>
        <v/>
      </c>
      <c r="L86" s="260" t="str">
        <f>IF(J86="","",IF(VLOOKUP(J86,'G-3 Multipliers'!$L$3:$N$6,3,FALSE)=0,"Spatial Data Missing",VLOOKUP(J86,'G-3 Multipliers'!$L$3:$N$6,3,FALSE)))</f>
        <v/>
      </c>
      <c r="M86" s="177" t="str">
        <f>IF(D86="","",VLOOKUP(D86,'G-6 Hedgerow Data'!$B$1:$AH$15,33,FALSE))</f>
        <v/>
      </c>
      <c r="N86" s="207" t="str">
        <f t="shared" si="9"/>
        <v/>
      </c>
      <c r="O86" s="44"/>
      <c r="P86" s="186"/>
      <c r="Q86" s="275"/>
      <c r="R86" s="289" t="str">
        <f t="shared" si="10"/>
        <v/>
      </c>
      <c r="S86" s="289" t="str">
        <f t="shared" si="11"/>
        <v/>
      </c>
      <c r="T86" s="289" t="str">
        <f t="shared" si="12"/>
        <v/>
      </c>
      <c r="U86" s="290" t="str">
        <f t="shared" si="13"/>
        <v/>
      </c>
      <c r="V86" s="182"/>
      <c r="W86" s="183"/>
      <c r="AE86" s="188" t="str">
        <f t="shared" si="7"/>
        <v/>
      </c>
      <c r="AF86" s="188" t="str">
        <f t="shared" si="8"/>
        <v/>
      </c>
      <c r="AH86" s="188">
        <v>77</v>
      </c>
      <c r="AJ86" s="188" t="str">
        <f t="array" ref="AJ86">IFERROR(INDEX($AH$10:$AH$258, MATCH(0, IF(TRUE=$AE$10:$AE$258, COUNTIF($AJ$9:$AJ85, $AH$10:$AH$258), ""), 0)),"")</f>
        <v/>
      </c>
      <c r="AK86" s="188" t="str">
        <f t="array" ref="AK86">IFERROR(INDEX($AH$10:$AH$258, MATCH(0, IF(TRUE=$AF$10:$AF$258, COUNTIF($AK$9:$AK85, $AH$10:$AH$258), ""), 0)),"")</f>
        <v/>
      </c>
      <c r="AL86" s="35" t="str">
        <f>IFERROR(INDEX('G-6 Hedgerow Data'!$BJ$3:$BJ$15,MATCH(D86,'G-6 Hedgerow Data'!$B$3:$B$15,0)),"")</f>
        <v/>
      </c>
    </row>
    <row r="87" spans="2:38" ht="13.8" x14ac:dyDescent="0.25">
      <c r="B87" s="168">
        <v>78</v>
      </c>
      <c r="C87" s="275"/>
      <c r="D87" s="275"/>
      <c r="E87" s="185"/>
      <c r="F87" s="277" t="str">
        <f>IF(D87="","",VLOOKUP(D87,'G-6 Hedgerow Data'!$B$2:$AG$15,2,FALSE))</f>
        <v/>
      </c>
      <c r="G87" s="172" t="str">
        <f>IF(D87="","",VLOOKUP(D87,'G-6 Hedgerow Data'!$B$2:$AG$15,3,FALSE))</f>
        <v/>
      </c>
      <c r="H87" s="173"/>
      <c r="I87" s="172" t="str">
        <f>IFERROR(VLOOKUP(H87,'G-1 All Habitats'!$Z$2:$AA$9,2,FALSE),"")</f>
        <v/>
      </c>
      <c r="J87" s="173"/>
      <c r="K87" s="179" t="str">
        <f>IF(J87="","",IF(VLOOKUP(J87,'G-3 Multipliers'!$L$3:$N$6,2,FALSE)=0,"Spatial Data Missing",VLOOKUP(J87,'G-3 Multipliers'!$L$3:$N$6,2,FALSE)))</f>
        <v/>
      </c>
      <c r="L87" s="260" t="str">
        <f>IF(J87="","",IF(VLOOKUP(J87,'G-3 Multipliers'!$L$3:$N$6,3,FALSE)=0,"Spatial Data Missing",VLOOKUP(J87,'G-3 Multipliers'!$L$3:$N$6,3,FALSE)))</f>
        <v/>
      </c>
      <c r="M87" s="177" t="str">
        <f>IF(D87="","",VLOOKUP(D87,'G-6 Hedgerow Data'!$B$1:$AH$15,33,FALSE))</f>
        <v/>
      </c>
      <c r="N87" s="207" t="str">
        <f t="shared" si="9"/>
        <v/>
      </c>
      <c r="O87" s="44"/>
      <c r="P87" s="186"/>
      <c r="Q87" s="275"/>
      <c r="R87" s="289" t="str">
        <f t="shared" si="10"/>
        <v/>
      </c>
      <c r="S87" s="289" t="str">
        <f t="shared" si="11"/>
        <v/>
      </c>
      <c r="T87" s="289" t="str">
        <f t="shared" si="12"/>
        <v/>
      </c>
      <c r="U87" s="290" t="str">
        <f t="shared" si="13"/>
        <v/>
      </c>
      <c r="V87" s="182"/>
      <c r="W87" s="183"/>
      <c r="AE87" s="188" t="str">
        <f t="shared" si="7"/>
        <v/>
      </c>
      <c r="AF87" s="188" t="str">
        <f t="shared" si="8"/>
        <v/>
      </c>
      <c r="AH87" s="188">
        <v>78</v>
      </c>
      <c r="AJ87" s="188" t="str">
        <f t="array" ref="AJ87">IFERROR(INDEX($AH$10:$AH$258, MATCH(0, IF(TRUE=$AE$10:$AE$258, COUNTIF($AJ$9:$AJ86, $AH$10:$AH$258), ""), 0)),"")</f>
        <v/>
      </c>
      <c r="AK87" s="188" t="str">
        <f t="array" ref="AK87">IFERROR(INDEX($AH$10:$AH$258, MATCH(0, IF(TRUE=$AF$10:$AF$258, COUNTIF($AK$9:$AK86, $AH$10:$AH$258), ""), 0)),"")</f>
        <v/>
      </c>
      <c r="AL87" s="35" t="str">
        <f>IFERROR(INDEX('G-6 Hedgerow Data'!$BJ$3:$BJ$15,MATCH(D87,'G-6 Hedgerow Data'!$B$3:$B$15,0)),"")</f>
        <v/>
      </c>
    </row>
    <row r="88" spans="2:38" ht="13.8" x14ac:dyDescent="0.25">
      <c r="B88" s="168">
        <v>79</v>
      </c>
      <c r="C88" s="275"/>
      <c r="D88" s="275"/>
      <c r="E88" s="185"/>
      <c r="F88" s="277" t="str">
        <f>IF(D88="","",VLOOKUP(D88,'G-6 Hedgerow Data'!$B$2:$AG$15,2,FALSE))</f>
        <v/>
      </c>
      <c r="G88" s="172" t="str">
        <f>IF(D88="","",VLOOKUP(D88,'G-6 Hedgerow Data'!$B$2:$AG$15,3,FALSE))</f>
        <v/>
      </c>
      <c r="H88" s="173"/>
      <c r="I88" s="172" t="str">
        <f>IFERROR(VLOOKUP(H88,'G-1 All Habitats'!$Z$2:$AA$9,2,FALSE),"")</f>
        <v/>
      </c>
      <c r="J88" s="173"/>
      <c r="K88" s="179" t="str">
        <f>IF(J88="","",IF(VLOOKUP(J88,'G-3 Multipliers'!$L$3:$N$6,2,FALSE)=0,"Spatial Data Missing",VLOOKUP(J88,'G-3 Multipliers'!$L$3:$N$6,2,FALSE)))</f>
        <v/>
      </c>
      <c r="L88" s="260" t="str">
        <f>IF(J88="","",IF(VLOOKUP(J88,'G-3 Multipliers'!$L$3:$N$6,3,FALSE)=0,"Spatial Data Missing",VLOOKUP(J88,'G-3 Multipliers'!$L$3:$N$6,3,FALSE)))</f>
        <v/>
      </c>
      <c r="M88" s="177" t="str">
        <f>IF(D88="","",VLOOKUP(D88,'G-6 Hedgerow Data'!$B$1:$AH$15,33,FALSE))</f>
        <v/>
      </c>
      <c r="N88" s="207" t="str">
        <f t="shared" si="9"/>
        <v/>
      </c>
      <c r="O88" s="44"/>
      <c r="P88" s="186"/>
      <c r="Q88" s="275"/>
      <c r="R88" s="289" t="str">
        <f t="shared" si="10"/>
        <v/>
      </c>
      <c r="S88" s="289" t="str">
        <f t="shared" si="11"/>
        <v/>
      </c>
      <c r="T88" s="289" t="str">
        <f t="shared" si="12"/>
        <v/>
      </c>
      <c r="U88" s="290" t="str">
        <f t="shared" si="13"/>
        <v/>
      </c>
      <c r="V88" s="182"/>
      <c r="W88" s="183"/>
      <c r="AE88" s="188" t="str">
        <f t="shared" si="7"/>
        <v/>
      </c>
      <c r="AF88" s="188" t="str">
        <f t="shared" si="8"/>
        <v/>
      </c>
      <c r="AH88" s="188">
        <v>79</v>
      </c>
      <c r="AJ88" s="188" t="str">
        <f t="array" ref="AJ88">IFERROR(INDEX($AH$10:$AH$258, MATCH(0, IF(TRUE=$AE$10:$AE$258, COUNTIF($AJ$9:$AJ87, $AH$10:$AH$258), ""), 0)),"")</f>
        <v/>
      </c>
      <c r="AK88" s="188" t="str">
        <f t="array" ref="AK88">IFERROR(INDEX($AH$10:$AH$258, MATCH(0, IF(TRUE=$AF$10:$AF$258, COUNTIF($AK$9:$AK87, $AH$10:$AH$258), ""), 0)),"")</f>
        <v/>
      </c>
      <c r="AL88" s="35" t="str">
        <f>IFERROR(INDEX('G-6 Hedgerow Data'!$BJ$3:$BJ$15,MATCH(D88,'G-6 Hedgerow Data'!$B$3:$B$15,0)),"")</f>
        <v/>
      </c>
    </row>
    <row r="89" spans="2:38" ht="13.8" x14ac:dyDescent="0.25">
      <c r="B89" s="168">
        <v>80</v>
      </c>
      <c r="C89" s="275"/>
      <c r="D89" s="275"/>
      <c r="E89" s="185"/>
      <c r="F89" s="277" t="str">
        <f>IF(D89="","",VLOOKUP(D89,'G-6 Hedgerow Data'!$B$2:$AG$15,2,FALSE))</f>
        <v/>
      </c>
      <c r="G89" s="172" t="str">
        <f>IF(D89="","",VLOOKUP(D89,'G-6 Hedgerow Data'!$B$2:$AG$15,3,FALSE))</f>
        <v/>
      </c>
      <c r="H89" s="173"/>
      <c r="I89" s="172" t="str">
        <f>IFERROR(VLOOKUP(H89,'G-1 All Habitats'!$Z$2:$AA$9,2,FALSE),"")</f>
        <v/>
      </c>
      <c r="J89" s="173"/>
      <c r="K89" s="179" t="str">
        <f>IF(J89="","",IF(VLOOKUP(J89,'G-3 Multipliers'!$L$3:$N$6,2,FALSE)=0,"Spatial Data Missing",VLOOKUP(J89,'G-3 Multipliers'!$L$3:$N$6,2,FALSE)))</f>
        <v/>
      </c>
      <c r="L89" s="260" t="str">
        <f>IF(J89="","",IF(VLOOKUP(J89,'G-3 Multipliers'!$L$3:$N$6,3,FALSE)=0,"Spatial Data Missing",VLOOKUP(J89,'G-3 Multipliers'!$L$3:$N$6,3,FALSE)))</f>
        <v/>
      </c>
      <c r="M89" s="177" t="str">
        <f>IF(D89="","",VLOOKUP(D89,'G-6 Hedgerow Data'!$B$1:$AH$15,33,FALSE))</f>
        <v/>
      </c>
      <c r="N89" s="207" t="str">
        <f t="shared" si="9"/>
        <v/>
      </c>
      <c r="O89" s="44"/>
      <c r="P89" s="186"/>
      <c r="Q89" s="275"/>
      <c r="R89" s="289" t="str">
        <f t="shared" si="10"/>
        <v/>
      </c>
      <c r="S89" s="289" t="str">
        <f t="shared" si="11"/>
        <v/>
      </c>
      <c r="T89" s="289" t="str">
        <f t="shared" si="12"/>
        <v/>
      </c>
      <c r="U89" s="290" t="str">
        <f t="shared" si="13"/>
        <v/>
      </c>
      <c r="V89" s="182"/>
      <c r="W89" s="183"/>
      <c r="AE89" s="188" t="str">
        <f t="shared" si="7"/>
        <v/>
      </c>
      <c r="AF89" s="188" t="str">
        <f t="shared" si="8"/>
        <v/>
      </c>
      <c r="AH89" s="188">
        <v>80</v>
      </c>
      <c r="AJ89" s="188" t="str">
        <f t="array" ref="AJ89">IFERROR(INDEX($AH$10:$AH$258, MATCH(0, IF(TRUE=$AE$10:$AE$258, COUNTIF($AJ$9:$AJ88, $AH$10:$AH$258), ""), 0)),"")</f>
        <v/>
      </c>
      <c r="AK89" s="188" t="str">
        <f t="array" ref="AK89">IFERROR(INDEX($AH$10:$AH$258, MATCH(0, IF(TRUE=$AF$10:$AF$258, COUNTIF($AK$9:$AK88, $AH$10:$AH$258), ""), 0)),"")</f>
        <v/>
      </c>
      <c r="AL89" s="35" t="str">
        <f>IFERROR(INDEX('G-6 Hedgerow Data'!$BJ$3:$BJ$15,MATCH(D89,'G-6 Hedgerow Data'!$B$3:$B$15,0)),"")</f>
        <v/>
      </c>
    </row>
    <row r="90" spans="2:38" ht="13.8" x14ac:dyDescent="0.25">
      <c r="B90" s="168">
        <v>81</v>
      </c>
      <c r="C90" s="275"/>
      <c r="D90" s="275"/>
      <c r="E90" s="185"/>
      <c r="F90" s="277" t="str">
        <f>IF(D90="","",VLOOKUP(D90,'G-6 Hedgerow Data'!$B$2:$AG$15,2,FALSE))</f>
        <v/>
      </c>
      <c r="G90" s="172" t="str">
        <f>IF(D90="","",VLOOKUP(D90,'G-6 Hedgerow Data'!$B$2:$AG$15,3,FALSE))</f>
        <v/>
      </c>
      <c r="H90" s="173"/>
      <c r="I90" s="172" t="str">
        <f>IFERROR(VLOOKUP(H90,'G-1 All Habitats'!$Z$2:$AA$9,2,FALSE),"")</f>
        <v/>
      </c>
      <c r="J90" s="173"/>
      <c r="K90" s="179" t="str">
        <f>IF(J90="","",IF(VLOOKUP(J90,'G-3 Multipliers'!$L$3:$N$6,2,FALSE)=0,"Spatial Data Missing",VLOOKUP(J90,'G-3 Multipliers'!$L$3:$N$6,2,FALSE)))</f>
        <v/>
      </c>
      <c r="L90" s="260" t="str">
        <f>IF(J90="","",IF(VLOOKUP(J90,'G-3 Multipliers'!$L$3:$N$6,3,FALSE)=0,"Spatial Data Missing",VLOOKUP(J90,'G-3 Multipliers'!$L$3:$N$6,3,FALSE)))</f>
        <v/>
      </c>
      <c r="M90" s="177" t="str">
        <f>IF(D90="","",VLOOKUP(D90,'G-6 Hedgerow Data'!$B$1:$AH$15,33,FALSE))</f>
        <v/>
      </c>
      <c r="N90" s="207" t="str">
        <f t="shared" si="9"/>
        <v/>
      </c>
      <c r="O90" s="44"/>
      <c r="P90" s="186"/>
      <c r="Q90" s="275"/>
      <c r="R90" s="289" t="str">
        <f t="shared" si="10"/>
        <v/>
      </c>
      <c r="S90" s="289" t="str">
        <f t="shared" si="11"/>
        <v/>
      </c>
      <c r="T90" s="289" t="str">
        <f t="shared" si="12"/>
        <v/>
      </c>
      <c r="U90" s="290" t="str">
        <f t="shared" si="13"/>
        <v/>
      </c>
      <c r="V90" s="182"/>
      <c r="W90" s="183"/>
      <c r="AE90" s="188" t="str">
        <f t="shared" si="7"/>
        <v/>
      </c>
      <c r="AF90" s="188" t="str">
        <f t="shared" si="8"/>
        <v/>
      </c>
      <c r="AH90" s="188">
        <v>81</v>
      </c>
      <c r="AJ90" s="188" t="str">
        <f t="array" ref="AJ90">IFERROR(INDEX($AH$10:$AH$258, MATCH(0, IF(TRUE=$AE$10:$AE$258, COUNTIF($AJ$9:$AJ89, $AH$10:$AH$258), ""), 0)),"")</f>
        <v/>
      </c>
      <c r="AK90" s="188" t="str">
        <f t="array" ref="AK90">IFERROR(INDEX($AH$10:$AH$258, MATCH(0, IF(TRUE=$AF$10:$AF$258, COUNTIF($AK$9:$AK89, $AH$10:$AH$258), ""), 0)),"")</f>
        <v/>
      </c>
      <c r="AL90" s="35" t="str">
        <f>IFERROR(INDEX('G-6 Hedgerow Data'!$BJ$3:$BJ$15,MATCH(D90,'G-6 Hedgerow Data'!$B$3:$B$15,0)),"")</f>
        <v/>
      </c>
    </row>
    <row r="91" spans="2:38" ht="13.8" x14ac:dyDescent="0.25">
      <c r="B91" s="168">
        <v>82</v>
      </c>
      <c r="C91" s="275"/>
      <c r="D91" s="275"/>
      <c r="E91" s="185"/>
      <c r="F91" s="277" t="str">
        <f>IF(D91="","",VLOOKUP(D91,'G-6 Hedgerow Data'!$B$2:$AG$15,2,FALSE))</f>
        <v/>
      </c>
      <c r="G91" s="172" t="str">
        <f>IF(D91="","",VLOOKUP(D91,'G-6 Hedgerow Data'!$B$2:$AG$15,3,FALSE))</f>
        <v/>
      </c>
      <c r="H91" s="173"/>
      <c r="I91" s="172" t="str">
        <f>IFERROR(VLOOKUP(H91,'G-1 All Habitats'!$Z$2:$AA$9,2,FALSE),"")</f>
        <v/>
      </c>
      <c r="J91" s="173"/>
      <c r="K91" s="179" t="str">
        <f>IF(J91="","",IF(VLOOKUP(J91,'G-3 Multipliers'!$L$3:$N$6,2,FALSE)=0,"Spatial Data Missing",VLOOKUP(J91,'G-3 Multipliers'!$L$3:$N$6,2,FALSE)))</f>
        <v/>
      </c>
      <c r="L91" s="260" t="str">
        <f>IF(J91="","",IF(VLOOKUP(J91,'G-3 Multipliers'!$L$3:$N$6,3,FALSE)=0,"Spatial Data Missing",VLOOKUP(J91,'G-3 Multipliers'!$L$3:$N$6,3,FALSE)))</f>
        <v/>
      </c>
      <c r="M91" s="177" t="str">
        <f>IF(D91="","",VLOOKUP(D91,'G-6 Hedgerow Data'!$B$1:$AH$15,33,FALSE))</f>
        <v/>
      </c>
      <c r="N91" s="207" t="str">
        <f t="shared" si="9"/>
        <v/>
      </c>
      <c r="O91" s="44"/>
      <c r="P91" s="186"/>
      <c r="Q91" s="275"/>
      <c r="R91" s="289" t="str">
        <f t="shared" si="10"/>
        <v/>
      </c>
      <c r="S91" s="289" t="str">
        <f t="shared" si="11"/>
        <v/>
      </c>
      <c r="T91" s="289" t="str">
        <f t="shared" si="12"/>
        <v/>
      </c>
      <c r="U91" s="290" t="str">
        <f t="shared" si="13"/>
        <v/>
      </c>
      <c r="V91" s="182"/>
      <c r="W91" s="183"/>
      <c r="AE91" s="188" t="str">
        <f t="shared" si="7"/>
        <v/>
      </c>
      <c r="AF91" s="188" t="str">
        <f t="shared" si="8"/>
        <v/>
      </c>
      <c r="AH91" s="188">
        <v>82</v>
      </c>
      <c r="AJ91" s="188" t="str">
        <f t="array" ref="AJ91">IFERROR(INDEX($AH$10:$AH$258, MATCH(0, IF(TRUE=$AE$10:$AE$258, COUNTIF($AJ$9:$AJ90, $AH$10:$AH$258), ""), 0)),"")</f>
        <v/>
      </c>
      <c r="AK91" s="188" t="str">
        <f t="array" ref="AK91">IFERROR(INDEX($AH$10:$AH$258, MATCH(0, IF(TRUE=$AF$10:$AF$258, COUNTIF($AK$9:$AK90, $AH$10:$AH$258), ""), 0)),"")</f>
        <v/>
      </c>
      <c r="AL91" s="35" t="str">
        <f>IFERROR(INDEX('G-6 Hedgerow Data'!$BJ$3:$BJ$15,MATCH(D91,'G-6 Hedgerow Data'!$B$3:$B$15,0)),"")</f>
        <v/>
      </c>
    </row>
    <row r="92" spans="2:38" ht="13.8" x14ac:dyDescent="0.25">
      <c r="B92" s="168">
        <v>83</v>
      </c>
      <c r="C92" s="275"/>
      <c r="D92" s="275"/>
      <c r="E92" s="185"/>
      <c r="F92" s="277" t="str">
        <f>IF(D92="","",VLOOKUP(D92,'G-6 Hedgerow Data'!$B$2:$AG$15,2,FALSE))</f>
        <v/>
      </c>
      <c r="G92" s="172" t="str">
        <f>IF(D92="","",VLOOKUP(D92,'G-6 Hedgerow Data'!$B$2:$AG$15,3,FALSE))</f>
        <v/>
      </c>
      <c r="H92" s="173"/>
      <c r="I92" s="172" t="str">
        <f>IFERROR(VLOOKUP(H92,'G-1 All Habitats'!$Z$2:$AA$9,2,FALSE),"")</f>
        <v/>
      </c>
      <c r="J92" s="173"/>
      <c r="K92" s="179" t="str">
        <f>IF(J92="","",IF(VLOOKUP(J92,'G-3 Multipliers'!$L$3:$N$6,2,FALSE)=0,"Spatial Data Missing",VLOOKUP(J92,'G-3 Multipliers'!$L$3:$N$6,2,FALSE)))</f>
        <v/>
      </c>
      <c r="L92" s="260" t="str">
        <f>IF(J92="","",IF(VLOOKUP(J92,'G-3 Multipliers'!$L$3:$N$6,3,FALSE)=0,"Spatial Data Missing",VLOOKUP(J92,'G-3 Multipliers'!$L$3:$N$6,3,FALSE)))</f>
        <v/>
      </c>
      <c r="M92" s="177" t="str">
        <f>IF(D92="","",VLOOKUP(D92,'G-6 Hedgerow Data'!$B$1:$AH$15,33,FALSE))</f>
        <v/>
      </c>
      <c r="N92" s="207" t="str">
        <f t="shared" si="9"/>
        <v/>
      </c>
      <c r="O92" s="44"/>
      <c r="P92" s="186"/>
      <c r="Q92" s="275"/>
      <c r="R92" s="289" t="str">
        <f t="shared" si="10"/>
        <v/>
      </c>
      <c r="S92" s="289" t="str">
        <f t="shared" si="11"/>
        <v/>
      </c>
      <c r="T92" s="289" t="str">
        <f t="shared" si="12"/>
        <v/>
      </c>
      <c r="U92" s="290" t="str">
        <f t="shared" si="13"/>
        <v/>
      </c>
      <c r="V92" s="182"/>
      <c r="W92" s="183"/>
      <c r="AE92" s="188" t="str">
        <f t="shared" si="7"/>
        <v/>
      </c>
      <c r="AF92" s="188" t="str">
        <f t="shared" si="8"/>
        <v/>
      </c>
      <c r="AH92" s="188">
        <v>83</v>
      </c>
      <c r="AJ92" s="188" t="str">
        <f t="array" ref="AJ92">IFERROR(INDEX($AH$10:$AH$258, MATCH(0, IF(TRUE=$AE$10:$AE$258, COUNTIF($AJ$9:$AJ91, $AH$10:$AH$258), ""), 0)),"")</f>
        <v/>
      </c>
      <c r="AK92" s="188" t="str">
        <f t="array" ref="AK92">IFERROR(INDEX($AH$10:$AH$258, MATCH(0, IF(TRUE=$AF$10:$AF$258, COUNTIF($AK$9:$AK91, $AH$10:$AH$258), ""), 0)),"")</f>
        <v/>
      </c>
      <c r="AL92" s="35" t="str">
        <f>IFERROR(INDEX('G-6 Hedgerow Data'!$BJ$3:$BJ$15,MATCH(D92,'G-6 Hedgerow Data'!$B$3:$B$15,0)),"")</f>
        <v/>
      </c>
    </row>
    <row r="93" spans="2:38" ht="13.8" x14ac:dyDescent="0.25">
      <c r="B93" s="168">
        <v>84</v>
      </c>
      <c r="C93" s="275"/>
      <c r="D93" s="275"/>
      <c r="E93" s="185"/>
      <c r="F93" s="277" t="str">
        <f>IF(D93="","",VLOOKUP(D93,'G-6 Hedgerow Data'!$B$2:$AG$15,2,FALSE))</f>
        <v/>
      </c>
      <c r="G93" s="172" t="str">
        <f>IF(D93="","",VLOOKUP(D93,'G-6 Hedgerow Data'!$B$2:$AG$15,3,FALSE))</f>
        <v/>
      </c>
      <c r="H93" s="173"/>
      <c r="I93" s="172" t="str">
        <f>IFERROR(VLOOKUP(H93,'G-1 All Habitats'!$Z$2:$AA$9,2,FALSE),"")</f>
        <v/>
      </c>
      <c r="J93" s="173"/>
      <c r="K93" s="179" t="str">
        <f>IF(J93="","",IF(VLOOKUP(J93,'G-3 Multipliers'!$L$3:$N$6,2,FALSE)=0,"Spatial Data Missing",VLOOKUP(J93,'G-3 Multipliers'!$L$3:$N$6,2,FALSE)))</f>
        <v/>
      </c>
      <c r="L93" s="260" t="str">
        <f>IF(J93="","",IF(VLOOKUP(J93,'G-3 Multipliers'!$L$3:$N$6,3,FALSE)=0,"Spatial Data Missing",VLOOKUP(J93,'G-3 Multipliers'!$L$3:$N$6,3,FALSE)))</f>
        <v/>
      </c>
      <c r="M93" s="177" t="str">
        <f>IF(D93="","",VLOOKUP(D93,'G-6 Hedgerow Data'!$B$1:$AH$15,33,FALSE))</f>
        <v/>
      </c>
      <c r="N93" s="207" t="str">
        <f t="shared" si="9"/>
        <v/>
      </c>
      <c r="O93" s="44"/>
      <c r="P93" s="186"/>
      <c r="Q93" s="275"/>
      <c r="R93" s="289" t="str">
        <f t="shared" si="10"/>
        <v/>
      </c>
      <c r="S93" s="289" t="str">
        <f t="shared" si="11"/>
        <v/>
      </c>
      <c r="T93" s="289" t="str">
        <f t="shared" si="12"/>
        <v/>
      </c>
      <c r="U93" s="290" t="str">
        <f t="shared" si="13"/>
        <v/>
      </c>
      <c r="V93" s="182"/>
      <c r="W93" s="183"/>
      <c r="AE93" s="188" t="str">
        <f t="shared" si="7"/>
        <v/>
      </c>
      <c r="AF93" s="188" t="str">
        <f t="shared" si="8"/>
        <v/>
      </c>
      <c r="AH93" s="188">
        <v>84</v>
      </c>
      <c r="AJ93" s="188" t="str">
        <f t="array" ref="AJ93">IFERROR(INDEX($AH$10:$AH$258, MATCH(0, IF(TRUE=$AE$10:$AE$258, COUNTIF($AJ$9:$AJ92, $AH$10:$AH$258), ""), 0)),"")</f>
        <v/>
      </c>
      <c r="AK93" s="188" t="str">
        <f t="array" ref="AK93">IFERROR(INDEX($AH$10:$AH$258, MATCH(0, IF(TRUE=$AF$10:$AF$258, COUNTIF($AK$9:$AK92, $AH$10:$AH$258), ""), 0)),"")</f>
        <v/>
      </c>
      <c r="AL93" s="35" t="str">
        <f>IFERROR(INDEX('G-6 Hedgerow Data'!$BJ$3:$BJ$15,MATCH(D93,'G-6 Hedgerow Data'!$B$3:$B$15,0)),"")</f>
        <v/>
      </c>
    </row>
    <row r="94" spans="2:38" ht="13.8" x14ac:dyDescent="0.25">
      <c r="B94" s="168">
        <v>85</v>
      </c>
      <c r="C94" s="275"/>
      <c r="D94" s="275"/>
      <c r="E94" s="185"/>
      <c r="F94" s="277" t="str">
        <f>IF(D94="","",VLOOKUP(D94,'G-6 Hedgerow Data'!$B$2:$AG$15,2,FALSE))</f>
        <v/>
      </c>
      <c r="G94" s="172" t="str">
        <f>IF(D94="","",VLOOKUP(D94,'G-6 Hedgerow Data'!$B$2:$AG$15,3,FALSE))</f>
        <v/>
      </c>
      <c r="H94" s="173"/>
      <c r="I94" s="172" t="str">
        <f>IFERROR(VLOOKUP(H94,'G-1 All Habitats'!$Z$2:$AA$9,2,FALSE),"")</f>
        <v/>
      </c>
      <c r="J94" s="173"/>
      <c r="K94" s="179" t="str">
        <f>IF(J94="","",IF(VLOOKUP(J94,'G-3 Multipliers'!$L$3:$N$6,2,FALSE)=0,"Spatial Data Missing",VLOOKUP(J94,'G-3 Multipliers'!$L$3:$N$6,2,FALSE)))</f>
        <v/>
      </c>
      <c r="L94" s="260" t="str">
        <f>IF(J94="","",IF(VLOOKUP(J94,'G-3 Multipliers'!$L$3:$N$6,3,FALSE)=0,"Spatial Data Missing",VLOOKUP(J94,'G-3 Multipliers'!$L$3:$N$6,3,FALSE)))</f>
        <v/>
      </c>
      <c r="M94" s="177" t="str">
        <f>IF(D94="","",VLOOKUP(D94,'G-6 Hedgerow Data'!$B$1:$AH$15,33,FALSE))</f>
        <v/>
      </c>
      <c r="N94" s="207" t="str">
        <f t="shared" si="9"/>
        <v/>
      </c>
      <c r="O94" s="44"/>
      <c r="P94" s="186"/>
      <c r="Q94" s="275"/>
      <c r="R94" s="289" t="str">
        <f t="shared" si="10"/>
        <v/>
      </c>
      <c r="S94" s="289" t="str">
        <f t="shared" si="11"/>
        <v/>
      </c>
      <c r="T94" s="289" t="str">
        <f t="shared" si="12"/>
        <v/>
      </c>
      <c r="U94" s="290" t="str">
        <f t="shared" si="13"/>
        <v/>
      </c>
      <c r="V94" s="182"/>
      <c r="W94" s="183"/>
      <c r="AE94" s="188" t="str">
        <f t="shared" si="7"/>
        <v/>
      </c>
      <c r="AF94" s="188" t="str">
        <f t="shared" si="8"/>
        <v/>
      </c>
      <c r="AH94" s="188">
        <v>85</v>
      </c>
      <c r="AJ94" s="188" t="str">
        <f t="array" ref="AJ94">IFERROR(INDEX($AH$10:$AH$258, MATCH(0, IF(TRUE=$AE$10:$AE$258, COUNTIF($AJ$9:$AJ93, $AH$10:$AH$258), ""), 0)),"")</f>
        <v/>
      </c>
      <c r="AK94" s="188" t="str">
        <f t="array" ref="AK94">IFERROR(INDEX($AH$10:$AH$258, MATCH(0, IF(TRUE=$AF$10:$AF$258, COUNTIF($AK$9:$AK93, $AH$10:$AH$258), ""), 0)),"")</f>
        <v/>
      </c>
      <c r="AL94" s="35" t="str">
        <f>IFERROR(INDEX('G-6 Hedgerow Data'!$BJ$3:$BJ$15,MATCH(D94,'G-6 Hedgerow Data'!$B$3:$B$15,0)),"")</f>
        <v/>
      </c>
    </row>
    <row r="95" spans="2:38" ht="13.8" x14ac:dyDescent="0.25">
      <c r="B95" s="168">
        <v>86</v>
      </c>
      <c r="C95" s="275"/>
      <c r="D95" s="275"/>
      <c r="E95" s="185"/>
      <c r="F95" s="277" t="str">
        <f>IF(D95="","",VLOOKUP(D95,'G-6 Hedgerow Data'!$B$2:$AG$15,2,FALSE))</f>
        <v/>
      </c>
      <c r="G95" s="172" t="str">
        <f>IF(D95="","",VLOOKUP(D95,'G-6 Hedgerow Data'!$B$2:$AG$15,3,FALSE))</f>
        <v/>
      </c>
      <c r="H95" s="173"/>
      <c r="I95" s="172" t="str">
        <f>IFERROR(VLOOKUP(H95,'G-1 All Habitats'!$Z$2:$AA$9,2,FALSE),"")</f>
        <v/>
      </c>
      <c r="J95" s="173"/>
      <c r="K95" s="179" t="str">
        <f>IF(J95="","",IF(VLOOKUP(J95,'G-3 Multipliers'!$L$3:$N$6,2,FALSE)=0,"Spatial Data Missing",VLOOKUP(J95,'G-3 Multipliers'!$L$3:$N$6,2,FALSE)))</f>
        <v/>
      </c>
      <c r="L95" s="260" t="str">
        <f>IF(J95="","",IF(VLOOKUP(J95,'G-3 Multipliers'!$L$3:$N$6,3,FALSE)=0,"Spatial Data Missing",VLOOKUP(J95,'G-3 Multipliers'!$L$3:$N$6,3,FALSE)))</f>
        <v/>
      </c>
      <c r="M95" s="177" t="str">
        <f>IF(D95="","",VLOOKUP(D95,'G-6 Hedgerow Data'!$B$1:$AH$15,33,FALSE))</f>
        <v/>
      </c>
      <c r="N95" s="207" t="str">
        <f t="shared" si="9"/>
        <v/>
      </c>
      <c r="O95" s="44"/>
      <c r="P95" s="186"/>
      <c r="Q95" s="275"/>
      <c r="R95" s="289" t="str">
        <f t="shared" si="10"/>
        <v/>
      </c>
      <c r="S95" s="289" t="str">
        <f t="shared" si="11"/>
        <v/>
      </c>
      <c r="T95" s="289" t="str">
        <f t="shared" si="12"/>
        <v/>
      </c>
      <c r="U95" s="290" t="str">
        <f t="shared" si="13"/>
        <v/>
      </c>
      <c r="V95" s="182"/>
      <c r="W95" s="183"/>
      <c r="AE95" s="188" t="str">
        <f t="shared" si="7"/>
        <v/>
      </c>
      <c r="AF95" s="188" t="str">
        <f t="shared" si="8"/>
        <v/>
      </c>
      <c r="AH95" s="188">
        <v>86</v>
      </c>
      <c r="AJ95" s="188" t="str">
        <f t="array" ref="AJ95">IFERROR(INDEX($AH$10:$AH$258, MATCH(0, IF(TRUE=$AE$10:$AE$258, COUNTIF($AJ$9:$AJ94, $AH$10:$AH$258), ""), 0)),"")</f>
        <v/>
      </c>
      <c r="AK95" s="188" t="str">
        <f t="array" ref="AK95">IFERROR(INDEX($AH$10:$AH$258, MATCH(0, IF(TRUE=$AF$10:$AF$258, COUNTIF($AK$9:$AK94, $AH$10:$AH$258), ""), 0)),"")</f>
        <v/>
      </c>
      <c r="AL95" s="35" t="str">
        <f>IFERROR(INDEX('G-6 Hedgerow Data'!$BJ$3:$BJ$15,MATCH(D95,'G-6 Hedgerow Data'!$B$3:$B$15,0)),"")</f>
        <v/>
      </c>
    </row>
    <row r="96" spans="2:38" ht="13.8" x14ac:dyDescent="0.25">
      <c r="B96" s="168">
        <v>87</v>
      </c>
      <c r="C96" s="275"/>
      <c r="D96" s="275"/>
      <c r="E96" s="185"/>
      <c r="F96" s="277" t="str">
        <f>IF(D96="","",VLOOKUP(D96,'G-6 Hedgerow Data'!$B$2:$AG$15,2,FALSE))</f>
        <v/>
      </c>
      <c r="G96" s="172" t="str">
        <f>IF(D96="","",VLOOKUP(D96,'G-6 Hedgerow Data'!$B$2:$AG$15,3,FALSE))</f>
        <v/>
      </c>
      <c r="H96" s="173"/>
      <c r="I96" s="172" t="str">
        <f>IFERROR(VLOOKUP(H96,'G-1 All Habitats'!$Z$2:$AA$9,2,FALSE),"")</f>
        <v/>
      </c>
      <c r="J96" s="173"/>
      <c r="K96" s="179" t="str">
        <f>IF(J96="","",IF(VLOOKUP(J96,'G-3 Multipliers'!$L$3:$N$6,2,FALSE)=0,"Spatial Data Missing",VLOOKUP(J96,'G-3 Multipliers'!$L$3:$N$6,2,FALSE)))</f>
        <v/>
      </c>
      <c r="L96" s="260" t="str">
        <f>IF(J96="","",IF(VLOOKUP(J96,'G-3 Multipliers'!$L$3:$N$6,3,FALSE)=0,"Spatial Data Missing",VLOOKUP(J96,'G-3 Multipliers'!$L$3:$N$6,3,FALSE)))</f>
        <v/>
      </c>
      <c r="M96" s="177" t="str">
        <f>IF(D96="","",VLOOKUP(D96,'G-6 Hedgerow Data'!$B$1:$AH$15,33,FALSE))</f>
        <v/>
      </c>
      <c r="N96" s="207" t="str">
        <f t="shared" si="9"/>
        <v/>
      </c>
      <c r="O96" s="44"/>
      <c r="P96" s="186"/>
      <c r="Q96" s="275"/>
      <c r="R96" s="289" t="str">
        <f t="shared" si="10"/>
        <v/>
      </c>
      <c r="S96" s="289" t="str">
        <f t="shared" si="11"/>
        <v/>
      </c>
      <c r="T96" s="289" t="str">
        <f t="shared" si="12"/>
        <v/>
      </c>
      <c r="U96" s="290" t="str">
        <f t="shared" si="13"/>
        <v/>
      </c>
      <c r="V96" s="182"/>
      <c r="W96" s="183"/>
      <c r="AE96" s="188" t="str">
        <f t="shared" si="7"/>
        <v/>
      </c>
      <c r="AF96" s="188" t="str">
        <f t="shared" si="8"/>
        <v/>
      </c>
      <c r="AH96" s="188">
        <v>87</v>
      </c>
      <c r="AJ96" s="188" t="str">
        <f t="array" ref="AJ96">IFERROR(INDEX($AH$10:$AH$258, MATCH(0, IF(TRUE=$AE$10:$AE$258, COUNTIF($AJ$9:$AJ95, $AH$10:$AH$258), ""), 0)),"")</f>
        <v/>
      </c>
      <c r="AK96" s="188" t="str">
        <f t="array" ref="AK96">IFERROR(INDEX($AH$10:$AH$258, MATCH(0, IF(TRUE=$AF$10:$AF$258, COUNTIF($AK$9:$AK95, $AH$10:$AH$258), ""), 0)),"")</f>
        <v/>
      </c>
      <c r="AL96" s="35" t="str">
        <f>IFERROR(INDEX('G-6 Hedgerow Data'!$BJ$3:$BJ$15,MATCH(D96,'G-6 Hedgerow Data'!$B$3:$B$15,0)),"")</f>
        <v/>
      </c>
    </row>
    <row r="97" spans="2:38" ht="13.8" x14ac:dyDescent="0.25">
      <c r="B97" s="168">
        <v>88</v>
      </c>
      <c r="C97" s="275"/>
      <c r="D97" s="275"/>
      <c r="E97" s="185"/>
      <c r="F97" s="277" t="str">
        <f>IF(D97="","",VLOOKUP(D97,'G-6 Hedgerow Data'!$B$2:$AG$15,2,FALSE))</f>
        <v/>
      </c>
      <c r="G97" s="172" t="str">
        <f>IF(D97="","",VLOOKUP(D97,'G-6 Hedgerow Data'!$B$2:$AG$15,3,FALSE))</f>
        <v/>
      </c>
      <c r="H97" s="173"/>
      <c r="I97" s="172" t="str">
        <f>IFERROR(VLOOKUP(H97,'G-1 All Habitats'!$Z$2:$AA$9,2,FALSE),"")</f>
        <v/>
      </c>
      <c r="J97" s="173"/>
      <c r="K97" s="179" t="str">
        <f>IF(J97="","",IF(VLOOKUP(J97,'G-3 Multipliers'!$L$3:$N$6,2,FALSE)=0,"Spatial Data Missing",VLOOKUP(J97,'G-3 Multipliers'!$L$3:$N$6,2,FALSE)))</f>
        <v/>
      </c>
      <c r="L97" s="260" t="str">
        <f>IF(J97="","",IF(VLOOKUP(J97,'G-3 Multipliers'!$L$3:$N$6,3,FALSE)=0,"Spatial Data Missing",VLOOKUP(J97,'G-3 Multipliers'!$L$3:$N$6,3,FALSE)))</f>
        <v/>
      </c>
      <c r="M97" s="177" t="str">
        <f>IF(D97="","",VLOOKUP(D97,'G-6 Hedgerow Data'!$B$1:$AH$15,33,FALSE))</f>
        <v/>
      </c>
      <c r="N97" s="207" t="str">
        <f t="shared" si="9"/>
        <v/>
      </c>
      <c r="O97" s="44"/>
      <c r="P97" s="186"/>
      <c r="Q97" s="275"/>
      <c r="R97" s="289" t="str">
        <f t="shared" si="10"/>
        <v/>
      </c>
      <c r="S97" s="289" t="str">
        <f t="shared" si="11"/>
        <v/>
      </c>
      <c r="T97" s="289" t="str">
        <f t="shared" si="12"/>
        <v/>
      </c>
      <c r="U97" s="290" t="str">
        <f t="shared" si="13"/>
        <v/>
      </c>
      <c r="V97" s="182"/>
      <c r="W97" s="183"/>
      <c r="AE97" s="188" t="str">
        <f t="shared" si="7"/>
        <v/>
      </c>
      <c r="AF97" s="188" t="str">
        <f t="shared" si="8"/>
        <v/>
      </c>
      <c r="AH97" s="188">
        <v>88</v>
      </c>
      <c r="AJ97" s="188" t="str">
        <f t="array" ref="AJ97">IFERROR(INDEX($AH$10:$AH$258, MATCH(0, IF(TRUE=$AE$10:$AE$258, COUNTIF($AJ$9:$AJ96, $AH$10:$AH$258), ""), 0)),"")</f>
        <v/>
      </c>
      <c r="AK97" s="188" t="str">
        <f t="array" ref="AK97">IFERROR(INDEX($AH$10:$AH$258, MATCH(0, IF(TRUE=$AF$10:$AF$258, COUNTIF($AK$9:$AK96, $AH$10:$AH$258), ""), 0)),"")</f>
        <v/>
      </c>
      <c r="AL97" s="35" t="str">
        <f>IFERROR(INDEX('G-6 Hedgerow Data'!$BJ$3:$BJ$15,MATCH(D97,'G-6 Hedgerow Data'!$B$3:$B$15,0)),"")</f>
        <v/>
      </c>
    </row>
    <row r="98" spans="2:38" ht="13.8" x14ac:dyDescent="0.25">
      <c r="B98" s="168">
        <v>89</v>
      </c>
      <c r="C98" s="275"/>
      <c r="D98" s="275"/>
      <c r="E98" s="185"/>
      <c r="F98" s="277" t="str">
        <f>IF(D98="","",VLOOKUP(D98,'G-6 Hedgerow Data'!$B$2:$AG$15,2,FALSE))</f>
        <v/>
      </c>
      <c r="G98" s="172" t="str">
        <f>IF(D98="","",VLOOKUP(D98,'G-6 Hedgerow Data'!$B$2:$AG$15,3,FALSE))</f>
        <v/>
      </c>
      <c r="H98" s="173"/>
      <c r="I98" s="172" t="str">
        <f>IFERROR(VLOOKUP(H98,'G-1 All Habitats'!$Z$2:$AA$9,2,FALSE),"")</f>
        <v/>
      </c>
      <c r="J98" s="173"/>
      <c r="K98" s="179" t="str">
        <f>IF(J98="","",IF(VLOOKUP(J98,'G-3 Multipliers'!$L$3:$N$6,2,FALSE)=0,"Spatial Data Missing",VLOOKUP(J98,'G-3 Multipliers'!$L$3:$N$6,2,FALSE)))</f>
        <v/>
      </c>
      <c r="L98" s="260" t="str">
        <f>IF(J98="","",IF(VLOOKUP(J98,'G-3 Multipliers'!$L$3:$N$6,3,FALSE)=0,"Spatial Data Missing",VLOOKUP(J98,'G-3 Multipliers'!$L$3:$N$6,3,FALSE)))</f>
        <v/>
      </c>
      <c r="M98" s="177" t="str">
        <f>IF(D98="","",VLOOKUP(D98,'G-6 Hedgerow Data'!$B$1:$AH$15,33,FALSE))</f>
        <v/>
      </c>
      <c r="N98" s="207" t="str">
        <f t="shared" si="9"/>
        <v/>
      </c>
      <c r="O98" s="44"/>
      <c r="P98" s="186"/>
      <c r="Q98" s="275"/>
      <c r="R98" s="289" t="str">
        <f t="shared" si="10"/>
        <v/>
      </c>
      <c r="S98" s="289" t="str">
        <f t="shared" si="11"/>
        <v/>
      </c>
      <c r="T98" s="289" t="str">
        <f t="shared" si="12"/>
        <v/>
      </c>
      <c r="U98" s="290" t="str">
        <f t="shared" si="13"/>
        <v/>
      </c>
      <c r="V98" s="182"/>
      <c r="W98" s="183"/>
      <c r="AE98" s="188" t="str">
        <f t="shared" si="7"/>
        <v/>
      </c>
      <c r="AF98" s="188" t="str">
        <f t="shared" si="8"/>
        <v/>
      </c>
      <c r="AH98" s="188">
        <v>89</v>
      </c>
      <c r="AJ98" s="188" t="str">
        <f t="array" ref="AJ98">IFERROR(INDEX($AH$10:$AH$258, MATCH(0, IF(TRUE=$AE$10:$AE$258, COUNTIF($AJ$9:$AJ97, $AH$10:$AH$258), ""), 0)),"")</f>
        <v/>
      </c>
      <c r="AK98" s="188" t="str">
        <f t="array" ref="AK98">IFERROR(INDEX($AH$10:$AH$258, MATCH(0, IF(TRUE=$AF$10:$AF$258, COUNTIF($AK$9:$AK97, $AH$10:$AH$258), ""), 0)),"")</f>
        <v/>
      </c>
      <c r="AL98" s="35" t="str">
        <f>IFERROR(INDEX('G-6 Hedgerow Data'!$BJ$3:$BJ$15,MATCH(D98,'G-6 Hedgerow Data'!$B$3:$B$15,0)),"")</f>
        <v/>
      </c>
    </row>
    <row r="99" spans="2:38" ht="13.8" x14ac:dyDescent="0.25">
      <c r="B99" s="168">
        <v>90</v>
      </c>
      <c r="C99" s="275"/>
      <c r="D99" s="275"/>
      <c r="E99" s="185"/>
      <c r="F99" s="277" t="str">
        <f>IF(D99="","",VLOOKUP(D99,'G-6 Hedgerow Data'!$B$2:$AG$15,2,FALSE))</f>
        <v/>
      </c>
      <c r="G99" s="172" t="str">
        <f>IF(D99="","",VLOOKUP(D99,'G-6 Hedgerow Data'!$B$2:$AG$15,3,FALSE))</f>
        <v/>
      </c>
      <c r="H99" s="173"/>
      <c r="I99" s="172" t="str">
        <f>IFERROR(VLOOKUP(H99,'G-1 All Habitats'!$Z$2:$AA$9,2,FALSE),"")</f>
        <v/>
      </c>
      <c r="J99" s="173"/>
      <c r="K99" s="179" t="str">
        <f>IF(J99="","",IF(VLOOKUP(J99,'G-3 Multipliers'!$L$3:$N$6,2,FALSE)=0,"Spatial Data Missing",VLOOKUP(J99,'G-3 Multipliers'!$L$3:$N$6,2,FALSE)))</f>
        <v/>
      </c>
      <c r="L99" s="260" t="str">
        <f>IF(J99="","",IF(VLOOKUP(J99,'G-3 Multipliers'!$L$3:$N$6,3,FALSE)=0,"Spatial Data Missing",VLOOKUP(J99,'G-3 Multipliers'!$L$3:$N$6,3,FALSE)))</f>
        <v/>
      </c>
      <c r="M99" s="177" t="str">
        <f>IF(D99="","",VLOOKUP(D99,'G-6 Hedgerow Data'!$B$1:$AH$15,33,FALSE))</f>
        <v/>
      </c>
      <c r="N99" s="207" t="str">
        <f t="shared" si="9"/>
        <v/>
      </c>
      <c r="O99" s="44"/>
      <c r="P99" s="186"/>
      <c r="Q99" s="275"/>
      <c r="R99" s="289" t="str">
        <f t="shared" si="10"/>
        <v/>
      </c>
      <c r="S99" s="289" t="str">
        <f t="shared" si="11"/>
        <v/>
      </c>
      <c r="T99" s="289" t="str">
        <f t="shared" si="12"/>
        <v/>
      </c>
      <c r="U99" s="290" t="str">
        <f t="shared" si="13"/>
        <v/>
      </c>
      <c r="V99" s="182"/>
      <c r="W99" s="183"/>
      <c r="AE99" s="188" t="str">
        <f t="shared" si="7"/>
        <v/>
      </c>
      <c r="AF99" s="188" t="str">
        <f t="shared" si="8"/>
        <v/>
      </c>
      <c r="AH99" s="188">
        <v>90</v>
      </c>
      <c r="AJ99" s="188" t="str">
        <f t="array" ref="AJ99">IFERROR(INDEX($AH$10:$AH$258, MATCH(0, IF(TRUE=$AE$10:$AE$258, COUNTIF($AJ$9:$AJ98, $AH$10:$AH$258), ""), 0)),"")</f>
        <v/>
      </c>
      <c r="AK99" s="188" t="str">
        <f t="array" ref="AK99">IFERROR(INDEX($AH$10:$AH$258, MATCH(0, IF(TRUE=$AF$10:$AF$258, COUNTIF($AK$9:$AK98, $AH$10:$AH$258), ""), 0)),"")</f>
        <v/>
      </c>
      <c r="AL99" s="35" t="str">
        <f>IFERROR(INDEX('G-6 Hedgerow Data'!$BJ$3:$BJ$15,MATCH(D99,'G-6 Hedgerow Data'!$B$3:$B$15,0)),"")</f>
        <v/>
      </c>
    </row>
    <row r="100" spans="2:38" ht="13.8" x14ac:dyDescent="0.25">
      <c r="B100" s="168">
        <v>91</v>
      </c>
      <c r="C100" s="275"/>
      <c r="D100" s="275"/>
      <c r="E100" s="185"/>
      <c r="F100" s="277" t="str">
        <f>IF(D100="","",VLOOKUP(D100,'G-6 Hedgerow Data'!$B$2:$AG$15,2,FALSE))</f>
        <v/>
      </c>
      <c r="G100" s="172" t="str">
        <f>IF(D100="","",VLOOKUP(D100,'G-6 Hedgerow Data'!$B$2:$AG$15,3,FALSE))</f>
        <v/>
      </c>
      <c r="H100" s="173"/>
      <c r="I100" s="172" t="str">
        <f>IFERROR(VLOOKUP(H100,'G-1 All Habitats'!$Z$2:$AA$9,2,FALSE),"")</f>
        <v/>
      </c>
      <c r="J100" s="173"/>
      <c r="K100" s="179" t="str">
        <f>IF(J100="","",IF(VLOOKUP(J100,'G-3 Multipliers'!$L$3:$N$6,2,FALSE)=0,"Spatial Data Missing",VLOOKUP(J100,'G-3 Multipliers'!$L$3:$N$6,2,FALSE)))</f>
        <v/>
      </c>
      <c r="L100" s="260" t="str">
        <f>IF(J100="","",IF(VLOOKUP(J100,'G-3 Multipliers'!$L$3:$N$6,3,FALSE)=0,"Spatial Data Missing",VLOOKUP(J100,'G-3 Multipliers'!$L$3:$N$6,3,FALSE)))</f>
        <v/>
      </c>
      <c r="M100" s="177" t="str">
        <f>IF(D100="","",VLOOKUP(D100,'G-6 Hedgerow Data'!$B$1:$AH$15,33,FALSE))</f>
        <v/>
      </c>
      <c r="N100" s="207" t="str">
        <f t="shared" si="9"/>
        <v/>
      </c>
      <c r="O100" s="44"/>
      <c r="P100" s="186"/>
      <c r="Q100" s="275"/>
      <c r="R100" s="289" t="str">
        <f t="shared" si="10"/>
        <v/>
      </c>
      <c r="S100" s="289" t="str">
        <f t="shared" si="11"/>
        <v/>
      </c>
      <c r="T100" s="289" t="str">
        <f t="shared" si="12"/>
        <v/>
      </c>
      <c r="U100" s="290" t="str">
        <f t="shared" si="13"/>
        <v/>
      </c>
      <c r="V100" s="182"/>
      <c r="W100" s="183"/>
      <c r="AE100" s="188" t="str">
        <f t="shared" si="7"/>
        <v/>
      </c>
      <c r="AF100" s="188" t="str">
        <f t="shared" si="8"/>
        <v/>
      </c>
      <c r="AH100" s="188">
        <v>91</v>
      </c>
      <c r="AJ100" s="188" t="str">
        <f t="array" ref="AJ100">IFERROR(INDEX($AH$10:$AH$258, MATCH(0, IF(TRUE=$AE$10:$AE$258, COUNTIF($AJ$9:$AJ99, $AH$10:$AH$258), ""), 0)),"")</f>
        <v/>
      </c>
      <c r="AK100" s="188" t="str">
        <f t="array" ref="AK100">IFERROR(INDEX($AH$10:$AH$258, MATCH(0, IF(TRUE=$AF$10:$AF$258, COUNTIF($AK$9:$AK99, $AH$10:$AH$258), ""), 0)),"")</f>
        <v/>
      </c>
      <c r="AL100" s="35" t="str">
        <f>IFERROR(INDEX('G-6 Hedgerow Data'!$BJ$3:$BJ$15,MATCH(D100,'G-6 Hedgerow Data'!$B$3:$B$15,0)),"")</f>
        <v/>
      </c>
    </row>
    <row r="101" spans="2:38" ht="13.8" x14ac:dyDescent="0.25">
      <c r="B101" s="168">
        <v>92</v>
      </c>
      <c r="C101" s="275"/>
      <c r="D101" s="275"/>
      <c r="E101" s="185"/>
      <c r="F101" s="277" t="str">
        <f>IF(D101="","",VLOOKUP(D101,'G-6 Hedgerow Data'!$B$2:$AG$15,2,FALSE))</f>
        <v/>
      </c>
      <c r="G101" s="172" t="str">
        <f>IF(D101="","",VLOOKUP(D101,'G-6 Hedgerow Data'!$B$2:$AG$15,3,FALSE))</f>
        <v/>
      </c>
      <c r="H101" s="173"/>
      <c r="I101" s="172" t="str">
        <f>IFERROR(VLOOKUP(H101,'G-1 All Habitats'!$Z$2:$AA$9,2,FALSE),"")</f>
        <v/>
      </c>
      <c r="J101" s="173"/>
      <c r="K101" s="179" t="str">
        <f>IF(J101="","",IF(VLOOKUP(J101,'G-3 Multipliers'!$L$3:$N$6,2,FALSE)=0,"Spatial Data Missing",VLOOKUP(J101,'G-3 Multipliers'!$L$3:$N$6,2,FALSE)))</f>
        <v/>
      </c>
      <c r="L101" s="260" t="str">
        <f>IF(J101="","",IF(VLOOKUP(J101,'G-3 Multipliers'!$L$3:$N$6,3,FALSE)=0,"Spatial Data Missing",VLOOKUP(J101,'G-3 Multipliers'!$L$3:$N$6,3,FALSE)))</f>
        <v/>
      </c>
      <c r="M101" s="177" t="str">
        <f>IF(D101="","",VLOOKUP(D101,'G-6 Hedgerow Data'!$B$1:$AH$15,33,FALSE))</f>
        <v/>
      </c>
      <c r="N101" s="207" t="str">
        <f t="shared" si="9"/>
        <v/>
      </c>
      <c r="O101" s="44"/>
      <c r="P101" s="186"/>
      <c r="Q101" s="275"/>
      <c r="R101" s="289" t="str">
        <f t="shared" si="10"/>
        <v/>
      </c>
      <c r="S101" s="289" t="str">
        <f t="shared" si="11"/>
        <v/>
      </c>
      <c r="T101" s="289" t="str">
        <f t="shared" si="12"/>
        <v/>
      </c>
      <c r="U101" s="290" t="str">
        <f t="shared" si="13"/>
        <v/>
      </c>
      <c r="V101" s="182"/>
      <c r="W101" s="183"/>
      <c r="AE101" s="188" t="str">
        <f t="shared" si="7"/>
        <v/>
      </c>
      <c r="AF101" s="188" t="str">
        <f t="shared" si="8"/>
        <v/>
      </c>
      <c r="AH101" s="188">
        <v>92</v>
      </c>
      <c r="AJ101" s="188" t="str">
        <f t="array" ref="AJ101">IFERROR(INDEX($AH$10:$AH$258, MATCH(0, IF(TRUE=$AE$10:$AE$258, COUNTIF($AJ$9:$AJ100, $AH$10:$AH$258), ""), 0)),"")</f>
        <v/>
      </c>
      <c r="AK101" s="188" t="str">
        <f t="array" ref="AK101">IFERROR(INDEX($AH$10:$AH$258, MATCH(0, IF(TRUE=$AF$10:$AF$258, COUNTIF($AK$9:$AK100, $AH$10:$AH$258), ""), 0)),"")</f>
        <v/>
      </c>
      <c r="AL101" s="35" t="str">
        <f>IFERROR(INDEX('G-6 Hedgerow Data'!$BJ$3:$BJ$15,MATCH(D101,'G-6 Hedgerow Data'!$B$3:$B$15,0)),"")</f>
        <v/>
      </c>
    </row>
    <row r="102" spans="2:38" ht="13.8" x14ac:dyDescent="0.25">
      <c r="B102" s="168">
        <v>93</v>
      </c>
      <c r="C102" s="275"/>
      <c r="D102" s="275"/>
      <c r="E102" s="185"/>
      <c r="F102" s="277" t="str">
        <f>IF(D102="","",VLOOKUP(D102,'G-6 Hedgerow Data'!$B$2:$AG$15,2,FALSE))</f>
        <v/>
      </c>
      <c r="G102" s="172" t="str">
        <f>IF(D102="","",VLOOKUP(D102,'G-6 Hedgerow Data'!$B$2:$AG$15,3,FALSE))</f>
        <v/>
      </c>
      <c r="H102" s="173"/>
      <c r="I102" s="172" t="str">
        <f>IFERROR(VLOOKUP(H102,'G-1 All Habitats'!$Z$2:$AA$9,2,FALSE),"")</f>
        <v/>
      </c>
      <c r="J102" s="173"/>
      <c r="K102" s="179" t="str">
        <f>IF(J102="","",IF(VLOOKUP(J102,'G-3 Multipliers'!$L$3:$N$6,2,FALSE)=0,"Spatial Data Missing",VLOOKUP(J102,'G-3 Multipliers'!$L$3:$N$6,2,FALSE)))</f>
        <v/>
      </c>
      <c r="L102" s="260" t="str">
        <f>IF(J102="","",IF(VLOOKUP(J102,'G-3 Multipliers'!$L$3:$N$6,3,FALSE)=0,"Spatial Data Missing",VLOOKUP(J102,'G-3 Multipliers'!$L$3:$N$6,3,FALSE)))</f>
        <v/>
      </c>
      <c r="M102" s="177" t="str">
        <f>IF(D102="","",VLOOKUP(D102,'G-6 Hedgerow Data'!$B$1:$AH$15,33,FALSE))</f>
        <v/>
      </c>
      <c r="N102" s="207" t="str">
        <f t="shared" si="9"/>
        <v/>
      </c>
      <c r="O102" s="44"/>
      <c r="P102" s="186"/>
      <c r="Q102" s="275"/>
      <c r="R102" s="289" t="str">
        <f t="shared" si="10"/>
        <v/>
      </c>
      <c r="S102" s="289" t="str">
        <f t="shared" si="11"/>
        <v/>
      </c>
      <c r="T102" s="289" t="str">
        <f t="shared" si="12"/>
        <v/>
      </c>
      <c r="U102" s="290" t="str">
        <f t="shared" si="13"/>
        <v/>
      </c>
      <c r="V102" s="182"/>
      <c r="W102" s="183"/>
      <c r="AE102" s="188" t="str">
        <f t="shared" si="7"/>
        <v/>
      </c>
      <c r="AF102" s="188" t="str">
        <f t="shared" si="8"/>
        <v/>
      </c>
      <c r="AH102" s="188">
        <v>93</v>
      </c>
      <c r="AJ102" s="188" t="str">
        <f t="array" ref="AJ102">IFERROR(INDEX($AH$10:$AH$258, MATCH(0, IF(TRUE=$AE$10:$AE$258, COUNTIF($AJ$9:$AJ101, $AH$10:$AH$258), ""), 0)),"")</f>
        <v/>
      </c>
      <c r="AK102" s="188" t="str">
        <f t="array" ref="AK102">IFERROR(INDEX($AH$10:$AH$258, MATCH(0, IF(TRUE=$AF$10:$AF$258, COUNTIF($AK$9:$AK101, $AH$10:$AH$258), ""), 0)),"")</f>
        <v/>
      </c>
      <c r="AL102" s="35" t="str">
        <f>IFERROR(INDEX('G-6 Hedgerow Data'!$BJ$3:$BJ$15,MATCH(D102,'G-6 Hedgerow Data'!$B$3:$B$15,0)),"")</f>
        <v/>
      </c>
    </row>
    <row r="103" spans="2:38" ht="13.8" x14ac:dyDescent="0.25">
      <c r="B103" s="168">
        <v>94</v>
      </c>
      <c r="C103" s="275"/>
      <c r="D103" s="275"/>
      <c r="E103" s="185"/>
      <c r="F103" s="277" t="str">
        <f>IF(D103="","",VLOOKUP(D103,'G-6 Hedgerow Data'!$B$2:$AG$15,2,FALSE))</f>
        <v/>
      </c>
      <c r="G103" s="172" t="str">
        <f>IF(D103="","",VLOOKUP(D103,'G-6 Hedgerow Data'!$B$2:$AG$15,3,FALSE))</f>
        <v/>
      </c>
      <c r="H103" s="173"/>
      <c r="I103" s="172" t="str">
        <f>IFERROR(VLOOKUP(H103,'G-1 All Habitats'!$Z$2:$AA$9,2,FALSE),"")</f>
        <v/>
      </c>
      <c r="J103" s="173"/>
      <c r="K103" s="179" t="str">
        <f>IF(J103="","",IF(VLOOKUP(J103,'G-3 Multipliers'!$L$3:$N$6,2,FALSE)=0,"Spatial Data Missing",VLOOKUP(J103,'G-3 Multipliers'!$L$3:$N$6,2,FALSE)))</f>
        <v/>
      </c>
      <c r="L103" s="260" t="str">
        <f>IF(J103="","",IF(VLOOKUP(J103,'G-3 Multipliers'!$L$3:$N$6,3,FALSE)=0,"Spatial Data Missing",VLOOKUP(J103,'G-3 Multipliers'!$L$3:$N$6,3,FALSE)))</f>
        <v/>
      </c>
      <c r="M103" s="177" t="str">
        <f>IF(D103="","",VLOOKUP(D103,'G-6 Hedgerow Data'!$B$1:$AH$15,33,FALSE))</f>
        <v/>
      </c>
      <c r="N103" s="207" t="str">
        <f t="shared" si="9"/>
        <v/>
      </c>
      <c r="O103" s="44"/>
      <c r="P103" s="186"/>
      <c r="Q103" s="275"/>
      <c r="R103" s="289" t="str">
        <f t="shared" si="10"/>
        <v/>
      </c>
      <c r="S103" s="289" t="str">
        <f t="shared" si="11"/>
        <v/>
      </c>
      <c r="T103" s="289" t="str">
        <f t="shared" si="12"/>
        <v/>
      </c>
      <c r="U103" s="290" t="str">
        <f t="shared" si="13"/>
        <v/>
      </c>
      <c r="V103" s="182"/>
      <c r="W103" s="183"/>
      <c r="AE103" s="188" t="str">
        <f t="shared" si="7"/>
        <v/>
      </c>
      <c r="AF103" s="188" t="str">
        <f t="shared" si="8"/>
        <v/>
      </c>
      <c r="AH103" s="188">
        <v>94</v>
      </c>
      <c r="AJ103" s="188" t="str">
        <f t="array" ref="AJ103">IFERROR(INDEX($AH$10:$AH$258, MATCH(0, IF(TRUE=$AE$10:$AE$258, COUNTIF($AJ$9:$AJ102, $AH$10:$AH$258), ""), 0)),"")</f>
        <v/>
      </c>
      <c r="AK103" s="188" t="str">
        <f t="array" ref="AK103">IFERROR(INDEX($AH$10:$AH$258, MATCH(0, IF(TRUE=$AF$10:$AF$258, COUNTIF($AK$9:$AK102, $AH$10:$AH$258), ""), 0)),"")</f>
        <v/>
      </c>
      <c r="AL103" s="35" t="str">
        <f>IFERROR(INDEX('G-6 Hedgerow Data'!$BJ$3:$BJ$15,MATCH(D103,'G-6 Hedgerow Data'!$B$3:$B$15,0)),"")</f>
        <v/>
      </c>
    </row>
    <row r="104" spans="2:38" ht="13.8" x14ac:dyDescent="0.25">
      <c r="B104" s="168">
        <v>95</v>
      </c>
      <c r="C104" s="275"/>
      <c r="D104" s="275"/>
      <c r="E104" s="185"/>
      <c r="F104" s="277" t="str">
        <f>IF(D104="","",VLOOKUP(D104,'G-6 Hedgerow Data'!$B$2:$AG$15,2,FALSE))</f>
        <v/>
      </c>
      <c r="G104" s="172" t="str">
        <f>IF(D104="","",VLOOKUP(D104,'G-6 Hedgerow Data'!$B$2:$AG$15,3,FALSE))</f>
        <v/>
      </c>
      <c r="H104" s="173"/>
      <c r="I104" s="172" t="str">
        <f>IFERROR(VLOOKUP(H104,'G-1 All Habitats'!$Z$2:$AA$9,2,FALSE),"")</f>
        <v/>
      </c>
      <c r="J104" s="173"/>
      <c r="K104" s="179" t="str">
        <f>IF(J104="","",IF(VLOOKUP(J104,'G-3 Multipliers'!$L$3:$N$6,2,FALSE)=0,"Spatial Data Missing",VLOOKUP(J104,'G-3 Multipliers'!$L$3:$N$6,2,FALSE)))</f>
        <v/>
      </c>
      <c r="L104" s="260" t="str">
        <f>IF(J104="","",IF(VLOOKUP(J104,'G-3 Multipliers'!$L$3:$N$6,3,FALSE)=0,"Spatial Data Missing",VLOOKUP(J104,'G-3 Multipliers'!$L$3:$N$6,3,FALSE)))</f>
        <v/>
      </c>
      <c r="M104" s="177" t="str">
        <f>IF(D104="","",VLOOKUP(D104,'G-6 Hedgerow Data'!$B$1:$AH$15,33,FALSE))</f>
        <v/>
      </c>
      <c r="N104" s="207" t="str">
        <f t="shared" si="9"/>
        <v/>
      </c>
      <c r="O104" s="44"/>
      <c r="P104" s="186"/>
      <c r="Q104" s="275"/>
      <c r="R104" s="289" t="str">
        <f t="shared" si="10"/>
        <v/>
      </c>
      <c r="S104" s="289" t="str">
        <f t="shared" si="11"/>
        <v/>
      </c>
      <c r="T104" s="289" t="str">
        <f t="shared" si="12"/>
        <v/>
      </c>
      <c r="U104" s="290" t="str">
        <f t="shared" si="13"/>
        <v/>
      </c>
      <c r="V104" s="182"/>
      <c r="W104" s="183"/>
      <c r="AE104" s="188" t="str">
        <f t="shared" si="7"/>
        <v/>
      </c>
      <c r="AF104" s="188" t="str">
        <f t="shared" si="8"/>
        <v/>
      </c>
      <c r="AH104" s="188">
        <v>95</v>
      </c>
      <c r="AJ104" s="188" t="str">
        <f t="array" ref="AJ104">IFERROR(INDEX($AH$10:$AH$258, MATCH(0, IF(TRUE=$AE$10:$AE$258, COUNTIF($AJ$9:$AJ103, $AH$10:$AH$258), ""), 0)),"")</f>
        <v/>
      </c>
      <c r="AK104" s="188" t="str">
        <f t="array" ref="AK104">IFERROR(INDEX($AH$10:$AH$258, MATCH(0, IF(TRUE=$AF$10:$AF$258, COUNTIF($AK$9:$AK103, $AH$10:$AH$258), ""), 0)),"")</f>
        <v/>
      </c>
      <c r="AL104" s="35" t="str">
        <f>IFERROR(INDEX('G-6 Hedgerow Data'!$BJ$3:$BJ$15,MATCH(D104,'G-6 Hedgerow Data'!$B$3:$B$15,0)),"")</f>
        <v/>
      </c>
    </row>
    <row r="105" spans="2:38" ht="13.8" x14ac:dyDescent="0.25">
      <c r="B105" s="168">
        <v>96</v>
      </c>
      <c r="C105" s="275"/>
      <c r="D105" s="275"/>
      <c r="E105" s="185"/>
      <c r="F105" s="277" t="str">
        <f>IF(D105="","",VLOOKUP(D105,'G-6 Hedgerow Data'!$B$2:$AG$15,2,FALSE))</f>
        <v/>
      </c>
      <c r="G105" s="172" t="str">
        <f>IF(D105="","",VLOOKUP(D105,'G-6 Hedgerow Data'!$B$2:$AG$15,3,FALSE))</f>
        <v/>
      </c>
      <c r="H105" s="173"/>
      <c r="I105" s="172" t="str">
        <f>IFERROR(VLOOKUP(H105,'G-1 All Habitats'!$Z$2:$AA$9,2,FALSE),"")</f>
        <v/>
      </c>
      <c r="J105" s="173"/>
      <c r="K105" s="179" t="str">
        <f>IF(J105="","",IF(VLOOKUP(J105,'G-3 Multipliers'!$L$3:$N$6,2,FALSE)=0,"Spatial Data Missing",VLOOKUP(J105,'G-3 Multipliers'!$L$3:$N$6,2,FALSE)))</f>
        <v/>
      </c>
      <c r="L105" s="260" t="str">
        <f>IF(J105="","",IF(VLOOKUP(J105,'G-3 Multipliers'!$L$3:$N$6,3,FALSE)=0,"Spatial Data Missing",VLOOKUP(J105,'G-3 Multipliers'!$L$3:$N$6,3,FALSE)))</f>
        <v/>
      </c>
      <c r="M105" s="177" t="str">
        <f>IF(D105="","",VLOOKUP(D105,'G-6 Hedgerow Data'!$B$1:$AH$15,33,FALSE))</f>
        <v/>
      </c>
      <c r="N105" s="207" t="str">
        <f t="shared" si="9"/>
        <v/>
      </c>
      <c r="O105" s="44"/>
      <c r="P105" s="186"/>
      <c r="Q105" s="275"/>
      <c r="R105" s="289" t="str">
        <f t="shared" si="10"/>
        <v/>
      </c>
      <c r="S105" s="289" t="str">
        <f t="shared" si="11"/>
        <v/>
      </c>
      <c r="T105" s="289" t="str">
        <f t="shared" si="12"/>
        <v/>
      </c>
      <c r="U105" s="290" t="str">
        <f t="shared" si="13"/>
        <v/>
      </c>
      <c r="V105" s="182"/>
      <c r="W105" s="183"/>
      <c r="AE105" s="188" t="str">
        <f t="shared" si="7"/>
        <v/>
      </c>
      <c r="AF105" s="188" t="str">
        <f t="shared" si="8"/>
        <v/>
      </c>
      <c r="AH105" s="188">
        <v>96</v>
      </c>
      <c r="AJ105" s="188" t="str">
        <f t="array" ref="AJ105">IFERROR(INDEX($AH$10:$AH$258, MATCH(0, IF(TRUE=$AE$10:$AE$258, COUNTIF($AJ$9:$AJ104, $AH$10:$AH$258), ""), 0)),"")</f>
        <v/>
      </c>
      <c r="AK105" s="188" t="str">
        <f t="array" ref="AK105">IFERROR(INDEX($AH$10:$AH$258, MATCH(0, IF(TRUE=$AF$10:$AF$258, COUNTIF($AK$9:$AK104, $AH$10:$AH$258), ""), 0)),"")</f>
        <v/>
      </c>
      <c r="AL105" s="35" t="str">
        <f>IFERROR(INDEX('G-6 Hedgerow Data'!$BJ$3:$BJ$15,MATCH(D105,'G-6 Hedgerow Data'!$B$3:$B$15,0)),"")</f>
        <v/>
      </c>
    </row>
    <row r="106" spans="2:38" ht="13.8" x14ac:dyDescent="0.25">
      <c r="B106" s="168">
        <v>97</v>
      </c>
      <c r="C106" s="275"/>
      <c r="D106" s="275"/>
      <c r="E106" s="185"/>
      <c r="F106" s="277" t="str">
        <f>IF(D106="","",VLOOKUP(D106,'G-6 Hedgerow Data'!$B$2:$AG$15,2,FALSE))</f>
        <v/>
      </c>
      <c r="G106" s="172" t="str">
        <f>IF(D106="","",VLOOKUP(D106,'G-6 Hedgerow Data'!$B$2:$AG$15,3,FALSE))</f>
        <v/>
      </c>
      <c r="H106" s="173"/>
      <c r="I106" s="172" t="str">
        <f>IFERROR(VLOOKUP(H106,'G-1 All Habitats'!$Z$2:$AA$9,2,FALSE),"")</f>
        <v/>
      </c>
      <c r="J106" s="173"/>
      <c r="K106" s="179" t="str">
        <f>IF(J106="","",IF(VLOOKUP(J106,'G-3 Multipliers'!$L$3:$N$6,2,FALSE)=0,"Spatial Data Missing",VLOOKUP(J106,'G-3 Multipliers'!$L$3:$N$6,2,FALSE)))</f>
        <v/>
      </c>
      <c r="L106" s="260" t="str">
        <f>IF(J106="","",IF(VLOOKUP(J106,'G-3 Multipliers'!$L$3:$N$6,3,FALSE)=0,"Spatial Data Missing",VLOOKUP(J106,'G-3 Multipliers'!$L$3:$N$6,3,FALSE)))</f>
        <v/>
      </c>
      <c r="M106" s="177" t="str">
        <f>IF(D106="","",VLOOKUP(D106,'G-6 Hedgerow Data'!$B$1:$AH$15,33,FALSE))</f>
        <v/>
      </c>
      <c r="N106" s="207" t="str">
        <f t="shared" si="9"/>
        <v/>
      </c>
      <c r="O106" s="44"/>
      <c r="P106" s="186"/>
      <c r="Q106" s="275"/>
      <c r="R106" s="289" t="str">
        <f t="shared" si="10"/>
        <v/>
      </c>
      <c r="S106" s="289" t="str">
        <f t="shared" si="11"/>
        <v/>
      </c>
      <c r="T106" s="289" t="str">
        <f t="shared" si="12"/>
        <v/>
      </c>
      <c r="U106" s="290" t="str">
        <f t="shared" si="13"/>
        <v/>
      </c>
      <c r="V106" s="182"/>
      <c r="W106" s="183"/>
      <c r="AE106" s="188" t="str">
        <f t="shared" si="7"/>
        <v/>
      </c>
      <c r="AF106" s="188" t="str">
        <f t="shared" si="8"/>
        <v/>
      </c>
      <c r="AH106" s="188">
        <v>97</v>
      </c>
      <c r="AJ106" s="188" t="str">
        <f t="array" ref="AJ106">IFERROR(INDEX($AH$10:$AH$258, MATCH(0, IF(TRUE=$AE$10:$AE$258, COUNTIF($AJ$9:$AJ105, $AH$10:$AH$258), ""), 0)),"")</f>
        <v/>
      </c>
      <c r="AK106" s="188" t="str">
        <f t="array" ref="AK106">IFERROR(INDEX($AH$10:$AH$258, MATCH(0, IF(TRUE=$AF$10:$AF$258, COUNTIF($AK$9:$AK105, $AH$10:$AH$258), ""), 0)),"")</f>
        <v/>
      </c>
      <c r="AL106" s="35" t="str">
        <f>IFERROR(INDEX('G-6 Hedgerow Data'!$BJ$3:$BJ$15,MATCH(D106,'G-6 Hedgerow Data'!$B$3:$B$15,0)),"")</f>
        <v/>
      </c>
    </row>
    <row r="107" spans="2:38" ht="13.8" x14ac:dyDescent="0.25">
      <c r="B107" s="168">
        <v>98</v>
      </c>
      <c r="C107" s="275"/>
      <c r="D107" s="275"/>
      <c r="E107" s="185"/>
      <c r="F107" s="277" t="str">
        <f>IF(D107="","",VLOOKUP(D107,'G-6 Hedgerow Data'!$B$2:$AG$15,2,FALSE))</f>
        <v/>
      </c>
      <c r="G107" s="172" t="str">
        <f>IF(D107="","",VLOOKUP(D107,'G-6 Hedgerow Data'!$B$2:$AG$15,3,FALSE))</f>
        <v/>
      </c>
      <c r="H107" s="173"/>
      <c r="I107" s="172" t="str">
        <f>IFERROR(VLOOKUP(H107,'G-1 All Habitats'!$Z$2:$AA$9,2,FALSE),"")</f>
        <v/>
      </c>
      <c r="J107" s="173"/>
      <c r="K107" s="179" t="str">
        <f>IF(J107="","",IF(VLOOKUP(J107,'G-3 Multipliers'!$L$3:$N$6,2,FALSE)=0,"Spatial Data Missing",VLOOKUP(J107,'G-3 Multipliers'!$L$3:$N$6,2,FALSE)))</f>
        <v/>
      </c>
      <c r="L107" s="260" t="str">
        <f>IF(J107="","",IF(VLOOKUP(J107,'G-3 Multipliers'!$L$3:$N$6,3,FALSE)=0,"Spatial Data Missing",VLOOKUP(J107,'G-3 Multipliers'!$L$3:$N$6,3,FALSE)))</f>
        <v/>
      </c>
      <c r="M107" s="177" t="str">
        <f>IF(D107="","",VLOOKUP(D107,'G-6 Hedgerow Data'!$B$1:$AH$15,33,FALSE))</f>
        <v/>
      </c>
      <c r="N107" s="207" t="str">
        <f t="shared" si="9"/>
        <v/>
      </c>
      <c r="O107" s="44"/>
      <c r="P107" s="186"/>
      <c r="Q107" s="275"/>
      <c r="R107" s="289" t="str">
        <f t="shared" si="10"/>
        <v/>
      </c>
      <c r="S107" s="289" t="str">
        <f t="shared" si="11"/>
        <v/>
      </c>
      <c r="T107" s="289" t="str">
        <f t="shared" si="12"/>
        <v/>
      </c>
      <c r="U107" s="290" t="str">
        <f t="shared" si="13"/>
        <v/>
      </c>
      <c r="V107" s="182"/>
      <c r="W107" s="183"/>
      <c r="AE107" s="188" t="str">
        <f t="shared" si="7"/>
        <v/>
      </c>
      <c r="AF107" s="188" t="str">
        <f t="shared" si="8"/>
        <v/>
      </c>
      <c r="AH107" s="188">
        <v>98</v>
      </c>
      <c r="AJ107" s="188" t="str">
        <f t="array" ref="AJ107">IFERROR(INDEX($AH$10:$AH$258, MATCH(0, IF(TRUE=$AE$10:$AE$258, COUNTIF($AJ$9:$AJ106, $AH$10:$AH$258), ""), 0)),"")</f>
        <v/>
      </c>
      <c r="AK107" s="188" t="str">
        <f t="array" ref="AK107">IFERROR(INDEX($AH$10:$AH$258, MATCH(0, IF(TRUE=$AF$10:$AF$258, COUNTIF($AK$9:$AK106, $AH$10:$AH$258), ""), 0)),"")</f>
        <v/>
      </c>
      <c r="AL107" s="35" t="str">
        <f>IFERROR(INDEX('G-6 Hedgerow Data'!$BJ$3:$BJ$15,MATCH(D107,'G-6 Hedgerow Data'!$B$3:$B$15,0)),"")</f>
        <v/>
      </c>
    </row>
    <row r="108" spans="2:38" ht="13.8" x14ac:dyDescent="0.25">
      <c r="B108" s="168">
        <v>99</v>
      </c>
      <c r="C108" s="275"/>
      <c r="D108" s="275"/>
      <c r="E108" s="185"/>
      <c r="F108" s="277" t="str">
        <f>IF(D108="","",VLOOKUP(D108,'G-6 Hedgerow Data'!$B$2:$AG$15,2,FALSE))</f>
        <v/>
      </c>
      <c r="G108" s="172" t="str">
        <f>IF(D108="","",VLOOKUP(D108,'G-6 Hedgerow Data'!$B$2:$AG$15,3,FALSE))</f>
        <v/>
      </c>
      <c r="H108" s="173"/>
      <c r="I108" s="172" t="str">
        <f>IFERROR(VLOOKUP(H108,'G-1 All Habitats'!$Z$2:$AA$9,2,FALSE),"")</f>
        <v/>
      </c>
      <c r="J108" s="173"/>
      <c r="K108" s="179" t="str">
        <f>IF(J108="","",IF(VLOOKUP(J108,'G-3 Multipliers'!$L$3:$N$6,2,FALSE)=0,"Spatial Data Missing",VLOOKUP(J108,'G-3 Multipliers'!$L$3:$N$6,2,FALSE)))</f>
        <v/>
      </c>
      <c r="L108" s="260" t="str">
        <f>IF(J108="","",IF(VLOOKUP(J108,'G-3 Multipliers'!$L$3:$N$6,3,FALSE)=0,"Spatial Data Missing",VLOOKUP(J108,'G-3 Multipliers'!$L$3:$N$6,3,FALSE)))</f>
        <v/>
      </c>
      <c r="M108" s="177" t="str">
        <f>IF(D108="","",VLOOKUP(D108,'G-6 Hedgerow Data'!$B$1:$AH$15,33,FALSE))</f>
        <v/>
      </c>
      <c r="N108" s="207" t="str">
        <f t="shared" si="9"/>
        <v/>
      </c>
      <c r="O108" s="44"/>
      <c r="P108" s="186"/>
      <c r="Q108" s="275"/>
      <c r="R108" s="289" t="str">
        <f t="shared" si="10"/>
        <v/>
      </c>
      <c r="S108" s="289" t="str">
        <f t="shared" si="11"/>
        <v/>
      </c>
      <c r="T108" s="289" t="str">
        <f t="shared" si="12"/>
        <v/>
      </c>
      <c r="U108" s="290" t="str">
        <f t="shared" si="13"/>
        <v/>
      </c>
      <c r="V108" s="182"/>
      <c r="W108" s="183"/>
      <c r="AE108" s="188" t="str">
        <f t="shared" si="7"/>
        <v/>
      </c>
      <c r="AF108" s="188" t="str">
        <f t="shared" si="8"/>
        <v/>
      </c>
      <c r="AH108" s="188">
        <v>99</v>
      </c>
      <c r="AJ108" s="188" t="str">
        <f t="array" ref="AJ108">IFERROR(INDEX($AH$10:$AH$258, MATCH(0, IF(TRUE=$AE$10:$AE$258, COUNTIF($AJ$9:$AJ107, $AH$10:$AH$258), ""), 0)),"")</f>
        <v/>
      </c>
      <c r="AK108" s="188" t="str">
        <f t="array" ref="AK108">IFERROR(INDEX($AH$10:$AH$258, MATCH(0, IF(TRUE=$AF$10:$AF$258, COUNTIF($AK$9:$AK107, $AH$10:$AH$258), ""), 0)),"")</f>
        <v/>
      </c>
      <c r="AL108" s="35" t="str">
        <f>IFERROR(INDEX('G-6 Hedgerow Data'!$BJ$3:$BJ$15,MATCH(D108,'G-6 Hedgerow Data'!$B$3:$B$15,0)),"")</f>
        <v/>
      </c>
    </row>
    <row r="109" spans="2:38" ht="13.8" x14ac:dyDescent="0.25">
      <c r="B109" s="168">
        <v>100</v>
      </c>
      <c r="C109" s="275"/>
      <c r="D109" s="275"/>
      <c r="E109" s="185"/>
      <c r="F109" s="277" t="str">
        <f>IF(D109="","",VLOOKUP(D109,'G-6 Hedgerow Data'!$B$2:$AG$15,2,FALSE))</f>
        <v/>
      </c>
      <c r="G109" s="172" t="str">
        <f>IF(D109="","",VLOOKUP(D109,'G-6 Hedgerow Data'!$B$2:$AG$15,3,FALSE))</f>
        <v/>
      </c>
      <c r="H109" s="173"/>
      <c r="I109" s="172" t="str">
        <f>IFERROR(VLOOKUP(H109,'G-1 All Habitats'!$Z$2:$AA$9,2,FALSE),"")</f>
        <v/>
      </c>
      <c r="J109" s="173"/>
      <c r="K109" s="179" t="str">
        <f>IF(J109="","",IF(VLOOKUP(J109,'G-3 Multipliers'!$L$3:$N$6,2,FALSE)=0,"Spatial Data Missing",VLOOKUP(J109,'G-3 Multipliers'!$L$3:$N$6,2,FALSE)))</f>
        <v/>
      </c>
      <c r="L109" s="260" t="str">
        <f>IF(J109="","",IF(VLOOKUP(J109,'G-3 Multipliers'!$L$3:$N$6,3,FALSE)=0,"Spatial Data Missing",VLOOKUP(J109,'G-3 Multipliers'!$L$3:$N$6,3,FALSE)))</f>
        <v/>
      </c>
      <c r="M109" s="177" t="str">
        <f>IF(D109="","",VLOOKUP(D109,'G-6 Hedgerow Data'!$B$1:$AH$15,33,FALSE))</f>
        <v/>
      </c>
      <c r="N109" s="207" t="str">
        <f t="shared" si="9"/>
        <v/>
      </c>
      <c r="O109" s="44"/>
      <c r="P109" s="186"/>
      <c r="Q109" s="275"/>
      <c r="R109" s="289" t="str">
        <f t="shared" si="10"/>
        <v/>
      </c>
      <c r="S109" s="289" t="str">
        <f t="shared" si="11"/>
        <v/>
      </c>
      <c r="T109" s="289" t="str">
        <f t="shared" si="12"/>
        <v/>
      </c>
      <c r="U109" s="290" t="str">
        <f t="shared" si="13"/>
        <v/>
      </c>
      <c r="V109" s="182"/>
      <c r="W109" s="183"/>
      <c r="AE109" s="188" t="str">
        <f t="shared" si="7"/>
        <v/>
      </c>
      <c r="AF109" s="188" t="str">
        <f t="shared" si="8"/>
        <v/>
      </c>
      <c r="AH109" s="188">
        <v>100</v>
      </c>
      <c r="AJ109" s="188" t="str">
        <f t="array" ref="AJ109">IFERROR(INDEX($AH$10:$AH$258, MATCH(0, IF(TRUE=$AE$10:$AE$258, COUNTIF($AJ$9:$AJ108, $AH$10:$AH$258), ""), 0)),"")</f>
        <v/>
      </c>
      <c r="AK109" s="188" t="str">
        <f t="array" ref="AK109">IFERROR(INDEX($AH$10:$AH$258, MATCH(0, IF(TRUE=$AF$10:$AF$258, COUNTIF($AK$9:$AK108, $AH$10:$AH$258), ""), 0)),"")</f>
        <v/>
      </c>
      <c r="AL109" s="35" t="str">
        <f>IFERROR(INDEX('G-6 Hedgerow Data'!$BJ$3:$BJ$15,MATCH(D109,'G-6 Hedgerow Data'!$B$3:$B$15,0)),"")</f>
        <v/>
      </c>
    </row>
    <row r="110" spans="2:38" ht="13.8" x14ac:dyDescent="0.25">
      <c r="B110" s="168">
        <v>101</v>
      </c>
      <c r="C110" s="275"/>
      <c r="D110" s="275"/>
      <c r="E110" s="185"/>
      <c r="F110" s="277" t="str">
        <f>IF(D110="","",VLOOKUP(D110,'G-6 Hedgerow Data'!$B$2:$AG$15,2,FALSE))</f>
        <v/>
      </c>
      <c r="G110" s="172" t="str">
        <f>IF(D110="","",VLOOKUP(D110,'G-6 Hedgerow Data'!$B$2:$AG$15,3,FALSE))</f>
        <v/>
      </c>
      <c r="H110" s="173"/>
      <c r="I110" s="172" t="str">
        <f>IFERROR(VLOOKUP(H110,'G-1 All Habitats'!$Z$2:$AA$9,2,FALSE),"")</f>
        <v/>
      </c>
      <c r="J110" s="173"/>
      <c r="K110" s="179" t="str">
        <f>IF(J110="","",IF(VLOOKUP(J110,'G-3 Multipliers'!$L$3:$N$6,2,FALSE)=0,"Spatial Data Missing",VLOOKUP(J110,'G-3 Multipliers'!$L$3:$N$6,2,FALSE)))</f>
        <v/>
      </c>
      <c r="L110" s="260" t="str">
        <f>IF(J110="","",IF(VLOOKUP(J110,'G-3 Multipliers'!$L$3:$N$6,3,FALSE)=0,"Spatial Data Missing",VLOOKUP(J110,'G-3 Multipliers'!$L$3:$N$6,3,FALSE)))</f>
        <v/>
      </c>
      <c r="M110" s="177" t="str">
        <f>IF(D110="","",VLOOKUP(D110,'G-6 Hedgerow Data'!$B$1:$AH$15,33,FALSE))</f>
        <v/>
      </c>
      <c r="N110" s="207" t="str">
        <f t="shared" si="9"/>
        <v/>
      </c>
      <c r="O110" s="44"/>
      <c r="P110" s="186"/>
      <c r="Q110" s="275"/>
      <c r="R110" s="289" t="str">
        <f t="shared" si="10"/>
        <v/>
      </c>
      <c r="S110" s="289" t="str">
        <f t="shared" si="11"/>
        <v/>
      </c>
      <c r="T110" s="289" t="str">
        <f t="shared" si="12"/>
        <v/>
      </c>
      <c r="U110" s="290" t="str">
        <f t="shared" si="13"/>
        <v/>
      </c>
      <c r="V110" s="182"/>
      <c r="W110" s="183"/>
      <c r="AE110" s="188" t="str">
        <f t="shared" si="7"/>
        <v/>
      </c>
      <c r="AF110" s="188" t="str">
        <f t="shared" si="8"/>
        <v/>
      </c>
      <c r="AH110" s="188">
        <v>101</v>
      </c>
      <c r="AJ110" s="188" t="str">
        <f t="array" ref="AJ110">IFERROR(INDEX($AH$10:$AH$258, MATCH(0, IF(TRUE=$AE$10:$AE$258, COUNTIF($AJ$9:$AJ109, $AH$10:$AH$258), ""), 0)),"")</f>
        <v/>
      </c>
      <c r="AK110" s="188" t="str">
        <f t="array" ref="AK110">IFERROR(INDEX($AH$10:$AH$258, MATCH(0, IF(TRUE=$AF$10:$AF$258, COUNTIF($AK$9:$AK109, $AH$10:$AH$258), ""), 0)),"")</f>
        <v/>
      </c>
      <c r="AL110" s="35" t="str">
        <f>IFERROR(INDEX('G-6 Hedgerow Data'!$BJ$3:$BJ$15,MATCH(D110,'G-6 Hedgerow Data'!$B$3:$B$15,0)),"")</f>
        <v/>
      </c>
    </row>
    <row r="111" spans="2:38" ht="13.8" x14ac:dyDescent="0.25">
      <c r="B111" s="168">
        <v>102</v>
      </c>
      <c r="C111" s="275"/>
      <c r="D111" s="275"/>
      <c r="E111" s="185"/>
      <c r="F111" s="277" t="str">
        <f>IF(D111="","",VLOOKUP(D111,'G-6 Hedgerow Data'!$B$2:$AG$15,2,FALSE))</f>
        <v/>
      </c>
      <c r="G111" s="172" t="str">
        <f>IF(D111="","",VLOOKUP(D111,'G-6 Hedgerow Data'!$B$2:$AG$15,3,FALSE))</f>
        <v/>
      </c>
      <c r="H111" s="173"/>
      <c r="I111" s="172" t="str">
        <f>IFERROR(VLOOKUP(H111,'G-1 All Habitats'!$Z$2:$AA$9,2,FALSE),"")</f>
        <v/>
      </c>
      <c r="J111" s="173"/>
      <c r="K111" s="179" t="str">
        <f>IF(J111="","",IF(VLOOKUP(J111,'G-3 Multipliers'!$L$3:$N$6,2,FALSE)=0,"Spatial Data Missing",VLOOKUP(J111,'G-3 Multipliers'!$L$3:$N$6,2,FALSE)))</f>
        <v/>
      </c>
      <c r="L111" s="260" t="str">
        <f>IF(J111="","",IF(VLOOKUP(J111,'G-3 Multipliers'!$L$3:$N$6,3,FALSE)=0,"Spatial Data Missing",VLOOKUP(J111,'G-3 Multipliers'!$L$3:$N$6,3,FALSE)))</f>
        <v/>
      </c>
      <c r="M111" s="177" t="str">
        <f>IF(D111="","",VLOOKUP(D111,'G-6 Hedgerow Data'!$B$1:$AH$15,33,FALSE))</f>
        <v/>
      </c>
      <c r="N111" s="207" t="str">
        <f t="shared" si="9"/>
        <v/>
      </c>
      <c r="O111" s="44"/>
      <c r="P111" s="186"/>
      <c r="Q111" s="275"/>
      <c r="R111" s="289" t="str">
        <f t="shared" si="10"/>
        <v/>
      </c>
      <c r="S111" s="289" t="str">
        <f t="shared" si="11"/>
        <v/>
      </c>
      <c r="T111" s="289" t="str">
        <f t="shared" si="12"/>
        <v/>
      </c>
      <c r="U111" s="290" t="str">
        <f t="shared" si="13"/>
        <v/>
      </c>
      <c r="V111" s="182"/>
      <c r="W111" s="183"/>
      <c r="AE111" s="188" t="str">
        <f t="shared" si="7"/>
        <v/>
      </c>
      <c r="AF111" s="188" t="str">
        <f t="shared" si="8"/>
        <v/>
      </c>
      <c r="AH111" s="188">
        <v>102</v>
      </c>
      <c r="AJ111" s="188" t="str">
        <f t="array" ref="AJ111">IFERROR(INDEX($AH$10:$AH$258, MATCH(0, IF(TRUE=$AE$10:$AE$258, COUNTIF($AJ$9:$AJ110, $AH$10:$AH$258), ""), 0)),"")</f>
        <v/>
      </c>
      <c r="AK111" s="188" t="str">
        <f t="array" ref="AK111">IFERROR(INDEX($AH$10:$AH$258, MATCH(0, IF(TRUE=$AF$10:$AF$258, COUNTIF($AK$9:$AK110, $AH$10:$AH$258), ""), 0)),"")</f>
        <v/>
      </c>
      <c r="AL111" s="35" t="str">
        <f>IFERROR(INDEX('G-6 Hedgerow Data'!$BJ$3:$BJ$15,MATCH(D111,'G-6 Hedgerow Data'!$B$3:$B$15,0)),"")</f>
        <v/>
      </c>
    </row>
    <row r="112" spans="2:38" ht="13.8" x14ac:dyDescent="0.25">
      <c r="B112" s="168">
        <v>103</v>
      </c>
      <c r="C112" s="275"/>
      <c r="D112" s="275"/>
      <c r="E112" s="185"/>
      <c r="F112" s="277" t="str">
        <f>IF(D112="","",VLOOKUP(D112,'G-6 Hedgerow Data'!$B$2:$AG$15,2,FALSE))</f>
        <v/>
      </c>
      <c r="G112" s="172" t="str">
        <f>IF(D112="","",VLOOKUP(D112,'G-6 Hedgerow Data'!$B$2:$AG$15,3,FALSE))</f>
        <v/>
      </c>
      <c r="H112" s="173"/>
      <c r="I112" s="172" t="str">
        <f>IFERROR(VLOOKUP(H112,'G-1 All Habitats'!$Z$2:$AA$9,2,FALSE),"")</f>
        <v/>
      </c>
      <c r="J112" s="173"/>
      <c r="K112" s="179" t="str">
        <f>IF(J112="","",IF(VLOOKUP(J112,'G-3 Multipliers'!$L$3:$N$6,2,FALSE)=0,"Spatial Data Missing",VLOOKUP(J112,'G-3 Multipliers'!$L$3:$N$6,2,FALSE)))</f>
        <v/>
      </c>
      <c r="L112" s="260" t="str">
        <f>IF(J112="","",IF(VLOOKUP(J112,'G-3 Multipliers'!$L$3:$N$6,3,FALSE)=0,"Spatial Data Missing",VLOOKUP(J112,'G-3 Multipliers'!$L$3:$N$6,3,FALSE)))</f>
        <v/>
      </c>
      <c r="M112" s="177" t="str">
        <f>IF(D112="","",VLOOKUP(D112,'G-6 Hedgerow Data'!$B$1:$AH$15,33,FALSE))</f>
        <v/>
      </c>
      <c r="N112" s="207" t="str">
        <f t="shared" si="9"/>
        <v/>
      </c>
      <c r="O112" s="44"/>
      <c r="P112" s="186"/>
      <c r="Q112" s="275"/>
      <c r="R112" s="289" t="str">
        <f t="shared" si="10"/>
        <v/>
      </c>
      <c r="S112" s="289" t="str">
        <f t="shared" si="11"/>
        <v/>
      </c>
      <c r="T112" s="289" t="str">
        <f t="shared" si="12"/>
        <v/>
      </c>
      <c r="U112" s="290" t="str">
        <f t="shared" si="13"/>
        <v/>
      </c>
      <c r="V112" s="182"/>
      <c r="W112" s="183"/>
      <c r="AE112" s="188" t="str">
        <f t="shared" si="7"/>
        <v/>
      </c>
      <c r="AF112" s="188" t="str">
        <f t="shared" si="8"/>
        <v/>
      </c>
      <c r="AH112" s="188">
        <v>103</v>
      </c>
      <c r="AJ112" s="188" t="str">
        <f t="array" ref="AJ112">IFERROR(INDEX($AH$10:$AH$258, MATCH(0, IF(TRUE=$AE$10:$AE$258, COUNTIF($AJ$9:$AJ111, $AH$10:$AH$258), ""), 0)),"")</f>
        <v/>
      </c>
      <c r="AK112" s="188" t="str">
        <f t="array" ref="AK112">IFERROR(INDEX($AH$10:$AH$258, MATCH(0, IF(TRUE=$AF$10:$AF$258, COUNTIF($AK$9:$AK111, $AH$10:$AH$258), ""), 0)),"")</f>
        <v/>
      </c>
      <c r="AL112" s="35" t="str">
        <f>IFERROR(INDEX('G-6 Hedgerow Data'!$BJ$3:$BJ$15,MATCH(D112,'G-6 Hedgerow Data'!$B$3:$B$15,0)),"")</f>
        <v/>
      </c>
    </row>
    <row r="113" spans="2:38" ht="13.8" x14ac:dyDescent="0.25">
      <c r="B113" s="168">
        <v>104</v>
      </c>
      <c r="C113" s="275"/>
      <c r="D113" s="275"/>
      <c r="E113" s="185"/>
      <c r="F113" s="277" t="str">
        <f>IF(D113="","",VLOOKUP(D113,'G-6 Hedgerow Data'!$B$2:$AG$15,2,FALSE))</f>
        <v/>
      </c>
      <c r="G113" s="172" t="str">
        <f>IF(D113="","",VLOOKUP(D113,'G-6 Hedgerow Data'!$B$2:$AG$15,3,FALSE))</f>
        <v/>
      </c>
      <c r="H113" s="173"/>
      <c r="I113" s="172" t="str">
        <f>IFERROR(VLOOKUP(H113,'G-1 All Habitats'!$Z$2:$AA$9,2,FALSE),"")</f>
        <v/>
      </c>
      <c r="J113" s="173"/>
      <c r="K113" s="179" t="str">
        <f>IF(J113="","",IF(VLOOKUP(J113,'G-3 Multipliers'!$L$3:$N$6,2,FALSE)=0,"Spatial Data Missing",VLOOKUP(J113,'G-3 Multipliers'!$L$3:$N$6,2,FALSE)))</f>
        <v/>
      </c>
      <c r="L113" s="260" t="str">
        <f>IF(J113="","",IF(VLOOKUP(J113,'G-3 Multipliers'!$L$3:$N$6,3,FALSE)=0,"Spatial Data Missing",VLOOKUP(J113,'G-3 Multipliers'!$L$3:$N$6,3,FALSE)))</f>
        <v/>
      </c>
      <c r="M113" s="177" t="str">
        <f>IF(D113="","",VLOOKUP(D113,'G-6 Hedgerow Data'!$B$1:$AH$15,33,FALSE))</f>
        <v/>
      </c>
      <c r="N113" s="207" t="str">
        <f t="shared" si="9"/>
        <v/>
      </c>
      <c r="O113" s="44"/>
      <c r="P113" s="186"/>
      <c r="Q113" s="275"/>
      <c r="R113" s="289" t="str">
        <f t="shared" si="10"/>
        <v/>
      </c>
      <c r="S113" s="289" t="str">
        <f t="shared" si="11"/>
        <v/>
      </c>
      <c r="T113" s="289" t="str">
        <f t="shared" si="12"/>
        <v/>
      </c>
      <c r="U113" s="290" t="str">
        <f t="shared" si="13"/>
        <v/>
      </c>
      <c r="V113" s="182"/>
      <c r="W113" s="183"/>
      <c r="AE113" s="188" t="str">
        <f t="shared" si="7"/>
        <v/>
      </c>
      <c r="AF113" s="188" t="str">
        <f t="shared" si="8"/>
        <v/>
      </c>
      <c r="AH113" s="188">
        <v>104</v>
      </c>
      <c r="AJ113" s="188" t="str">
        <f t="array" ref="AJ113">IFERROR(INDEX($AH$10:$AH$258, MATCH(0, IF(TRUE=$AE$10:$AE$258, COUNTIF($AJ$9:$AJ112, $AH$10:$AH$258), ""), 0)),"")</f>
        <v/>
      </c>
      <c r="AK113" s="188" t="str">
        <f t="array" ref="AK113">IFERROR(INDEX($AH$10:$AH$258, MATCH(0, IF(TRUE=$AF$10:$AF$258, COUNTIF($AK$9:$AK112, $AH$10:$AH$258), ""), 0)),"")</f>
        <v/>
      </c>
      <c r="AL113" s="35" t="str">
        <f>IFERROR(INDEX('G-6 Hedgerow Data'!$BJ$3:$BJ$15,MATCH(D113,'G-6 Hedgerow Data'!$B$3:$B$15,0)),"")</f>
        <v/>
      </c>
    </row>
    <row r="114" spans="2:38" ht="13.8" x14ac:dyDescent="0.25">
      <c r="B114" s="168">
        <v>105</v>
      </c>
      <c r="C114" s="275"/>
      <c r="D114" s="275"/>
      <c r="E114" s="185"/>
      <c r="F114" s="277" t="str">
        <f>IF(D114="","",VLOOKUP(D114,'G-6 Hedgerow Data'!$B$2:$AG$15,2,FALSE))</f>
        <v/>
      </c>
      <c r="G114" s="172" t="str">
        <f>IF(D114="","",VLOOKUP(D114,'G-6 Hedgerow Data'!$B$2:$AG$15,3,FALSE))</f>
        <v/>
      </c>
      <c r="H114" s="173"/>
      <c r="I114" s="172" t="str">
        <f>IFERROR(VLOOKUP(H114,'G-1 All Habitats'!$Z$2:$AA$9,2,FALSE),"")</f>
        <v/>
      </c>
      <c r="J114" s="173"/>
      <c r="K114" s="179" t="str">
        <f>IF(J114="","",IF(VLOOKUP(J114,'G-3 Multipliers'!$L$3:$N$6,2,FALSE)=0,"Spatial Data Missing",VLOOKUP(J114,'G-3 Multipliers'!$L$3:$N$6,2,FALSE)))</f>
        <v/>
      </c>
      <c r="L114" s="260" t="str">
        <f>IF(J114="","",IF(VLOOKUP(J114,'G-3 Multipliers'!$L$3:$N$6,3,FALSE)=0,"Spatial Data Missing",VLOOKUP(J114,'G-3 Multipliers'!$L$3:$N$6,3,FALSE)))</f>
        <v/>
      </c>
      <c r="M114" s="177" t="str">
        <f>IF(D114="","",VLOOKUP(D114,'G-6 Hedgerow Data'!$B$1:$AH$15,33,FALSE))</f>
        <v/>
      </c>
      <c r="N114" s="207" t="str">
        <f t="shared" si="9"/>
        <v/>
      </c>
      <c r="O114" s="44"/>
      <c r="P114" s="186"/>
      <c r="Q114" s="275"/>
      <c r="R114" s="289" t="str">
        <f t="shared" si="10"/>
        <v/>
      </c>
      <c r="S114" s="289" t="str">
        <f t="shared" si="11"/>
        <v/>
      </c>
      <c r="T114" s="289" t="str">
        <f t="shared" si="12"/>
        <v/>
      </c>
      <c r="U114" s="290" t="str">
        <f t="shared" si="13"/>
        <v/>
      </c>
      <c r="V114" s="182"/>
      <c r="W114" s="183"/>
      <c r="AE114" s="188" t="str">
        <f t="shared" si="7"/>
        <v/>
      </c>
      <c r="AF114" s="188" t="str">
        <f t="shared" si="8"/>
        <v/>
      </c>
      <c r="AH114" s="188">
        <v>105</v>
      </c>
      <c r="AJ114" s="188" t="str">
        <f t="array" ref="AJ114">IFERROR(INDEX($AH$10:$AH$258, MATCH(0, IF(TRUE=$AE$10:$AE$258, COUNTIF($AJ$9:$AJ113, $AH$10:$AH$258), ""), 0)),"")</f>
        <v/>
      </c>
      <c r="AK114" s="188" t="str">
        <f t="array" ref="AK114">IFERROR(INDEX($AH$10:$AH$258, MATCH(0, IF(TRUE=$AF$10:$AF$258, COUNTIF($AK$9:$AK113, $AH$10:$AH$258), ""), 0)),"")</f>
        <v/>
      </c>
      <c r="AL114" s="35" t="str">
        <f>IFERROR(INDEX('G-6 Hedgerow Data'!$BJ$3:$BJ$15,MATCH(D114,'G-6 Hedgerow Data'!$B$3:$B$15,0)),"")</f>
        <v/>
      </c>
    </row>
    <row r="115" spans="2:38" ht="13.8" x14ac:dyDescent="0.25">
      <c r="B115" s="168">
        <v>106</v>
      </c>
      <c r="C115" s="275"/>
      <c r="D115" s="275"/>
      <c r="E115" s="185"/>
      <c r="F115" s="277" t="str">
        <f>IF(D115="","",VLOOKUP(D115,'G-6 Hedgerow Data'!$B$2:$AG$15,2,FALSE))</f>
        <v/>
      </c>
      <c r="G115" s="172" t="str">
        <f>IF(D115="","",VLOOKUP(D115,'G-6 Hedgerow Data'!$B$2:$AG$15,3,FALSE))</f>
        <v/>
      </c>
      <c r="H115" s="173"/>
      <c r="I115" s="172" t="str">
        <f>IFERROR(VLOOKUP(H115,'G-1 All Habitats'!$Z$2:$AA$9,2,FALSE),"")</f>
        <v/>
      </c>
      <c r="J115" s="173"/>
      <c r="K115" s="179" t="str">
        <f>IF(J115="","",IF(VLOOKUP(J115,'G-3 Multipliers'!$L$3:$N$6,2,FALSE)=0,"Spatial Data Missing",VLOOKUP(J115,'G-3 Multipliers'!$L$3:$N$6,2,FALSE)))</f>
        <v/>
      </c>
      <c r="L115" s="260" t="str">
        <f>IF(J115="","",IF(VLOOKUP(J115,'G-3 Multipliers'!$L$3:$N$6,3,FALSE)=0,"Spatial Data Missing",VLOOKUP(J115,'G-3 Multipliers'!$L$3:$N$6,3,FALSE)))</f>
        <v/>
      </c>
      <c r="M115" s="177" t="str">
        <f>IF(D115="","",VLOOKUP(D115,'G-6 Hedgerow Data'!$B$1:$AH$15,33,FALSE))</f>
        <v/>
      </c>
      <c r="N115" s="207" t="str">
        <f t="shared" si="9"/>
        <v/>
      </c>
      <c r="O115" s="44"/>
      <c r="P115" s="186"/>
      <c r="Q115" s="275"/>
      <c r="R115" s="289" t="str">
        <f t="shared" si="10"/>
        <v/>
      </c>
      <c r="S115" s="289" t="str">
        <f t="shared" si="11"/>
        <v/>
      </c>
      <c r="T115" s="289" t="str">
        <f t="shared" si="12"/>
        <v/>
      </c>
      <c r="U115" s="290" t="str">
        <f t="shared" si="13"/>
        <v/>
      </c>
      <c r="V115" s="182"/>
      <c r="W115" s="183"/>
      <c r="AE115" s="188" t="str">
        <f t="shared" si="7"/>
        <v/>
      </c>
      <c r="AF115" s="188" t="str">
        <f t="shared" si="8"/>
        <v/>
      </c>
      <c r="AH115" s="188">
        <v>106</v>
      </c>
      <c r="AJ115" s="188" t="str">
        <f t="array" ref="AJ115">IFERROR(INDEX($AH$10:$AH$258, MATCH(0, IF(TRUE=$AE$10:$AE$258, COUNTIF($AJ$9:$AJ114, $AH$10:$AH$258), ""), 0)),"")</f>
        <v/>
      </c>
      <c r="AK115" s="188" t="str">
        <f t="array" ref="AK115">IFERROR(INDEX($AH$10:$AH$258, MATCH(0, IF(TRUE=$AF$10:$AF$258, COUNTIF($AK$9:$AK114, $AH$10:$AH$258), ""), 0)),"")</f>
        <v/>
      </c>
      <c r="AL115" s="35" t="str">
        <f>IFERROR(INDEX('G-6 Hedgerow Data'!$BJ$3:$BJ$15,MATCH(D115,'G-6 Hedgerow Data'!$B$3:$B$15,0)),"")</f>
        <v/>
      </c>
    </row>
    <row r="116" spans="2:38" ht="13.8" x14ac:dyDescent="0.25">
      <c r="B116" s="168">
        <v>107</v>
      </c>
      <c r="C116" s="275"/>
      <c r="D116" s="275"/>
      <c r="E116" s="185"/>
      <c r="F116" s="277" t="str">
        <f>IF(D116="","",VLOOKUP(D116,'G-6 Hedgerow Data'!$B$2:$AG$15,2,FALSE))</f>
        <v/>
      </c>
      <c r="G116" s="172" t="str">
        <f>IF(D116="","",VLOOKUP(D116,'G-6 Hedgerow Data'!$B$2:$AG$15,3,FALSE))</f>
        <v/>
      </c>
      <c r="H116" s="173"/>
      <c r="I116" s="172" t="str">
        <f>IFERROR(VLOOKUP(H116,'G-1 All Habitats'!$Z$2:$AA$9,2,FALSE),"")</f>
        <v/>
      </c>
      <c r="J116" s="173"/>
      <c r="K116" s="179" t="str">
        <f>IF(J116="","",IF(VLOOKUP(J116,'G-3 Multipliers'!$L$3:$N$6,2,FALSE)=0,"Spatial Data Missing",VLOOKUP(J116,'G-3 Multipliers'!$L$3:$N$6,2,FALSE)))</f>
        <v/>
      </c>
      <c r="L116" s="260" t="str">
        <f>IF(J116="","",IF(VLOOKUP(J116,'G-3 Multipliers'!$L$3:$N$6,3,FALSE)=0,"Spatial Data Missing",VLOOKUP(J116,'G-3 Multipliers'!$L$3:$N$6,3,FALSE)))</f>
        <v/>
      </c>
      <c r="M116" s="177" t="str">
        <f>IF(D116="","",VLOOKUP(D116,'G-6 Hedgerow Data'!$B$1:$AH$15,33,FALSE))</f>
        <v/>
      </c>
      <c r="N116" s="207" t="str">
        <f t="shared" si="9"/>
        <v/>
      </c>
      <c r="O116" s="44"/>
      <c r="P116" s="186"/>
      <c r="Q116" s="275"/>
      <c r="R116" s="289" t="str">
        <f t="shared" si="10"/>
        <v/>
      </c>
      <c r="S116" s="289" t="str">
        <f t="shared" si="11"/>
        <v/>
      </c>
      <c r="T116" s="289" t="str">
        <f t="shared" si="12"/>
        <v/>
      </c>
      <c r="U116" s="290" t="str">
        <f t="shared" si="13"/>
        <v/>
      </c>
      <c r="V116" s="182"/>
      <c r="W116" s="183"/>
      <c r="AE116" s="188" t="str">
        <f t="shared" si="7"/>
        <v/>
      </c>
      <c r="AF116" s="188" t="str">
        <f t="shared" si="8"/>
        <v/>
      </c>
      <c r="AH116" s="188">
        <v>107</v>
      </c>
      <c r="AJ116" s="188" t="str">
        <f t="array" ref="AJ116">IFERROR(INDEX($AH$10:$AH$258, MATCH(0, IF(TRUE=$AE$10:$AE$258, COUNTIF($AJ$9:$AJ115, $AH$10:$AH$258), ""), 0)),"")</f>
        <v/>
      </c>
      <c r="AK116" s="188" t="str">
        <f t="array" ref="AK116">IFERROR(INDEX($AH$10:$AH$258, MATCH(0, IF(TRUE=$AF$10:$AF$258, COUNTIF($AK$9:$AK115, $AH$10:$AH$258), ""), 0)),"")</f>
        <v/>
      </c>
      <c r="AL116" s="35" t="str">
        <f>IFERROR(INDEX('G-6 Hedgerow Data'!$BJ$3:$BJ$15,MATCH(D116,'G-6 Hedgerow Data'!$B$3:$B$15,0)),"")</f>
        <v/>
      </c>
    </row>
    <row r="117" spans="2:38" ht="13.8" x14ac:dyDescent="0.25">
      <c r="B117" s="168">
        <v>108</v>
      </c>
      <c r="C117" s="275"/>
      <c r="D117" s="275"/>
      <c r="E117" s="185"/>
      <c r="F117" s="277" t="str">
        <f>IF(D117="","",VLOOKUP(D117,'G-6 Hedgerow Data'!$B$2:$AG$15,2,FALSE))</f>
        <v/>
      </c>
      <c r="G117" s="172" t="str">
        <f>IF(D117="","",VLOOKUP(D117,'G-6 Hedgerow Data'!$B$2:$AG$15,3,FALSE))</f>
        <v/>
      </c>
      <c r="H117" s="173"/>
      <c r="I117" s="172" t="str">
        <f>IFERROR(VLOOKUP(H117,'G-1 All Habitats'!$Z$2:$AA$9,2,FALSE),"")</f>
        <v/>
      </c>
      <c r="J117" s="173"/>
      <c r="K117" s="179" t="str">
        <f>IF(J117="","",IF(VLOOKUP(J117,'G-3 Multipliers'!$L$3:$N$6,2,FALSE)=0,"Spatial Data Missing",VLOOKUP(J117,'G-3 Multipliers'!$L$3:$N$6,2,FALSE)))</f>
        <v/>
      </c>
      <c r="L117" s="260" t="str">
        <f>IF(J117="","",IF(VLOOKUP(J117,'G-3 Multipliers'!$L$3:$N$6,3,FALSE)=0,"Spatial Data Missing",VLOOKUP(J117,'G-3 Multipliers'!$L$3:$N$6,3,FALSE)))</f>
        <v/>
      </c>
      <c r="M117" s="177" t="str">
        <f>IF(D117="","",VLOOKUP(D117,'G-6 Hedgerow Data'!$B$1:$AH$15,33,FALSE))</f>
        <v/>
      </c>
      <c r="N117" s="207" t="str">
        <f t="shared" si="9"/>
        <v/>
      </c>
      <c r="O117" s="44"/>
      <c r="P117" s="186"/>
      <c r="Q117" s="275"/>
      <c r="R117" s="289" t="str">
        <f t="shared" si="10"/>
        <v/>
      </c>
      <c r="S117" s="289" t="str">
        <f t="shared" si="11"/>
        <v/>
      </c>
      <c r="T117" s="289" t="str">
        <f t="shared" si="12"/>
        <v/>
      </c>
      <c r="U117" s="290" t="str">
        <f t="shared" si="13"/>
        <v/>
      </c>
      <c r="V117" s="182"/>
      <c r="W117" s="183"/>
      <c r="AE117" s="188" t="str">
        <f t="shared" si="7"/>
        <v/>
      </c>
      <c r="AF117" s="188" t="str">
        <f t="shared" si="8"/>
        <v/>
      </c>
      <c r="AH117" s="188">
        <v>108</v>
      </c>
      <c r="AJ117" s="188" t="str">
        <f t="array" ref="AJ117">IFERROR(INDEX($AH$10:$AH$258, MATCH(0, IF(TRUE=$AE$10:$AE$258, COUNTIF($AJ$9:$AJ116, $AH$10:$AH$258), ""), 0)),"")</f>
        <v/>
      </c>
      <c r="AK117" s="188" t="str">
        <f t="array" ref="AK117">IFERROR(INDEX($AH$10:$AH$258, MATCH(0, IF(TRUE=$AF$10:$AF$258, COUNTIF($AK$9:$AK116, $AH$10:$AH$258), ""), 0)),"")</f>
        <v/>
      </c>
      <c r="AL117" s="35" t="str">
        <f>IFERROR(INDEX('G-6 Hedgerow Data'!$BJ$3:$BJ$15,MATCH(D117,'G-6 Hedgerow Data'!$B$3:$B$15,0)),"")</f>
        <v/>
      </c>
    </row>
    <row r="118" spans="2:38" ht="13.8" x14ac:dyDescent="0.25">
      <c r="B118" s="168">
        <v>109</v>
      </c>
      <c r="C118" s="275"/>
      <c r="D118" s="275"/>
      <c r="E118" s="185"/>
      <c r="F118" s="277" t="str">
        <f>IF(D118="","",VLOOKUP(D118,'G-6 Hedgerow Data'!$B$2:$AG$15,2,FALSE))</f>
        <v/>
      </c>
      <c r="G118" s="172" t="str">
        <f>IF(D118="","",VLOOKUP(D118,'G-6 Hedgerow Data'!$B$2:$AG$15,3,FALSE))</f>
        <v/>
      </c>
      <c r="H118" s="173"/>
      <c r="I118" s="172" t="str">
        <f>IFERROR(VLOOKUP(H118,'G-1 All Habitats'!$Z$2:$AA$9,2,FALSE),"")</f>
        <v/>
      </c>
      <c r="J118" s="173"/>
      <c r="K118" s="179" t="str">
        <f>IF(J118="","",IF(VLOOKUP(J118,'G-3 Multipliers'!$L$3:$N$6,2,FALSE)=0,"Spatial Data Missing",VLOOKUP(J118,'G-3 Multipliers'!$L$3:$N$6,2,FALSE)))</f>
        <v/>
      </c>
      <c r="L118" s="260" t="str">
        <f>IF(J118="","",IF(VLOOKUP(J118,'G-3 Multipliers'!$L$3:$N$6,3,FALSE)=0,"Spatial Data Missing",VLOOKUP(J118,'G-3 Multipliers'!$L$3:$N$6,3,FALSE)))</f>
        <v/>
      </c>
      <c r="M118" s="177" t="str">
        <f>IF(D118="","",VLOOKUP(D118,'G-6 Hedgerow Data'!$B$1:$AH$15,33,FALSE))</f>
        <v/>
      </c>
      <c r="N118" s="207" t="str">
        <f t="shared" si="9"/>
        <v/>
      </c>
      <c r="O118" s="44"/>
      <c r="P118" s="186"/>
      <c r="Q118" s="275"/>
      <c r="R118" s="289" t="str">
        <f t="shared" si="10"/>
        <v/>
      </c>
      <c r="S118" s="289" t="str">
        <f t="shared" si="11"/>
        <v/>
      </c>
      <c r="T118" s="289" t="str">
        <f t="shared" si="12"/>
        <v/>
      </c>
      <c r="U118" s="290" t="str">
        <f t="shared" si="13"/>
        <v/>
      </c>
      <c r="V118" s="182"/>
      <c r="W118" s="183"/>
      <c r="AE118" s="188" t="str">
        <f t="shared" si="7"/>
        <v/>
      </c>
      <c r="AF118" s="188" t="str">
        <f t="shared" si="8"/>
        <v/>
      </c>
      <c r="AH118" s="188">
        <v>109</v>
      </c>
      <c r="AJ118" s="188" t="str">
        <f t="array" ref="AJ118">IFERROR(INDEX($AH$10:$AH$258, MATCH(0, IF(TRUE=$AE$10:$AE$258, COUNTIF($AJ$9:$AJ117, $AH$10:$AH$258), ""), 0)),"")</f>
        <v/>
      </c>
      <c r="AK118" s="188" t="str">
        <f t="array" ref="AK118">IFERROR(INDEX($AH$10:$AH$258, MATCH(0, IF(TRUE=$AF$10:$AF$258, COUNTIF($AK$9:$AK117, $AH$10:$AH$258), ""), 0)),"")</f>
        <v/>
      </c>
      <c r="AL118" s="35" t="str">
        <f>IFERROR(INDEX('G-6 Hedgerow Data'!$BJ$3:$BJ$15,MATCH(D118,'G-6 Hedgerow Data'!$B$3:$B$15,0)),"")</f>
        <v/>
      </c>
    </row>
    <row r="119" spans="2:38" ht="13.8" x14ac:dyDescent="0.25">
      <c r="B119" s="168">
        <v>110</v>
      </c>
      <c r="C119" s="275"/>
      <c r="D119" s="275"/>
      <c r="E119" s="185"/>
      <c r="F119" s="277" t="str">
        <f>IF(D119="","",VLOOKUP(D119,'G-6 Hedgerow Data'!$B$2:$AG$15,2,FALSE))</f>
        <v/>
      </c>
      <c r="G119" s="172" t="str">
        <f>IF(D119="","",VLOOKUP(D119,'G-6 Hedgerow Data'!$B$2:$AG$15,3,FALSE))</f>
        <v/>
      </c>
      <c r="H119" s="173"/>
      <c r="I119" s="172" t="str">
        <f>IFERROR(VLOOKUP(H119,'G-1 All Habitats'!$Z$2:$AA$9,2,FALSE),"")</f>
        <v/>
      </c>
      <c r="J119" s="173"/>
      <c r="K119" s="179" t="str">
        <f>IF(J119="","",IF(VLOOKUP(J119,'G-3 Multipliers'!$L$3:$N$6,2,FALSE)=0,"Spatial Data Missing",VLOOKUP(J119,'G-3 Multipliers'!$L$3:$N$6,2,FALSE)))</f>
        <v/>
      </c>
      <c r="L119" s="260" t="str">
        <f>IF(J119="","",IF(VLOOKUP(J119,'G-3 Multipliers'!$L$3:$N$6,3,FALSE)=0,"Spatial Data Missing",VLOOKUP(J119,'G-3 Multipliers'!$L$3:$N$6,3,FALSE)))</f>
        <v/>
      </c>
      <c r="M119" s="177" t="str">
        <f>IF(D119="","",VLOOKUP(D119,'G-6 Hedgerow Data'!$B$1:$AH$15,33,FALSE))</f>
        <v/>
      </c>
      <c r="N119" s="207" t="str">
        <f t="shared" si="9"/>
        <v/>
      </c>
      <c r="O119" s="44"/>
      <c r="P119" s="186"/>
      <c r="Q119" s="275"/>
      <c r="R119" s="289" t="str">
        <f t="shared" si="10"/>
        <v/>
      </c>
      <c r="S119" s="289" t="str">
        <f t="shared" si="11"/>
        <v/>
      </c>
      <c r="T119" s="289" t="str">
        <f t="shared" si="12"/>
        <v/>
      </c>
      <c r="U119" s="290" t="str">
        <f t="shared" si="13"/>
        <v/>
      </c>
      <c r="V119" s="182"/>
      <c r="W119" s="183"/>
      <c r="AE119" s="188" t="str">
        <f t="shared" si="7"/>
        <v/>
      </c>
      <c r="AF119" s="188" t="str">
        <f t="shared" si="8"/>
        <v/>
      </c>
      <c r="AH119" s="188">
        <v>110</v>
      </c>
      <c r="AJ119" s="188" t="str">
        <f t="array" ref="AJ119">IFERROR(INDEX($AH$10:$AH$258, MATCH(0, IF(TRUE=$AE$10:$AE$258, COUNTIF($AJ$9:$AJ118, $AH$10:$AH$258), ""), 0)),"")</f>
        <v/>
      </c>
      <c r="AK119" s="188" t="str">
        <f t="array" ref="AK119">IFERROR(INDEX($AH$10:$AH$258, MATCH(0, IF(TRUE=$AF$10:$AF$258, COUNTIF($AK$9:$AK118, $AH$10:$AH$258), ""), 0)),"")</f>
        <v/>
      </c>
      <c r="AL119" s="35" t="str">
        <f>IFERROR(INDEX('G-6 Hedgerow Data'!$BJ$3:$BJ$15,MATCH(D119,'G-6 Hedgerow Data'!$B$3:$B$15,0)),"")</f>
        <v/>
      </c>
    </row>
    <row r="120" spans="2:38" ht="13.8" x14ac:dyDescent="0.25">
      <c r="B120" s="168">
        <v>111</v>
      </c>
      <c r="C120" s="275"/>
      <c r="D120" s="275"/>
      <c r="E120" s="185"/>
      <c r="F120" s="277" t="str">
        <f>IF(D120="","",VLOOKUP(D120,'G-6 Hedgerow Data'!$B$2:$AG$15,2,FALSE))</f>
        <v/>
      </c>
      <c r="G120" s="172" t="str">
        <f>IF(D120="","",VLOOKUP(D120,'G-6 Hedgerow Data'!$B$2:$AG$15,3,FALSE))</f>
        <v/>
      </c>
      <c r="H120" s="173"/>
      <c r="I120" s="172" t="str">
        <f>IFERROR(VLOOKUP(H120,'G-1 All Habitats'!$Z$2:$AA$9,2,FALSE),"")</f>
        <v/>
      </c>
      <c r="J120" s="173"/>
      <c r="K120" s="179" t="str">
        <f>IF(J120="","",IF(VLOOKUP(J120,'G-3 Multipliers'!$L$3:$N$6,2,FALSE)=0,"Spatial Data Missing",VLOOKUP(J120,'G-3 Multipliers'!$L$3:$N$6,2,FALSE)))</f>
        <v/>
      </c>
      <c r="L120" s="260" t="str">
        <f>IF(J120="","",IF(VLOOKUP(J120,'G-3 Multipliers'!$L$3:$N$6,3,FALSE)=0,"Spatial Data Missing",VLOOKUP(J120,'G-3 Multipliers'!$L$3:$N$6,3,FALSE)))</f>
        <v/>
      </c>
      <c r="M120" s="177" t="str">
        <f>IF(D120="","",VLOOKUP(D120,'G-6 Hedgerow Data'!$B$1:$AH$15,33,FALSE))</f>
        <v/>
      </c>
      <c r="N120" s="207" t="str">
        <f t="shared" si="9"/>
        <v/>
      </c>
      <c r="O120" s="44"/>
      <c r="P120" s="186"/>
      <c r="Q120" s="275"/>
      <c r="R120" s="289" t="str">
        <f t="shared" si="10"/>
        <v/>
      </c>
      <c r="S120" s="289" t="str">
        <f t="shared" si="11"/>
        <v/>
      </c>
      <c r="T120" s="289" t="str">
        <f t="shared" si="12"/>
        <v/>
      </c>
      <c r="U120" s="290" t="str">
        <f t="shared" si="13"/>
        <v/>
      </c>
      <c r="V120" s="182"/>
      <c r="W120" s="183"/>
      <c r="AE120" s="188" t="str">
        <f t="shared" si="7"/>
        <v/>
      </c>
      <c r="AF120" s="188" t="str">
        <f t="shared" si="8"/>
        <v/>
      </c>
      <c r="AH120" s="188">
        <v>111</v>
      </c>
      <c r="AJ120" s="188" t="str">
        <f t="array" ref="AJ120">IFERROR(INDEX($AH$10:$AH$258, MATCH(0, IF(TRUE=$AE$10:$AE$258, COUNTIF($AJ$9:$AJ119, $AH$10:$AH$258), ""), 0)),"")</f>
        <v/>
      </c>
      <c r="AK120" s="188" t="str">
        <f t="array" ref="AK120">IFERROR(INDEX($AH$10:$AH$258, MATCH(0, IF(TRUE=$AF$10:$AF$258, COUNTIF($AK$9:$AK119, $AH$10:$AH$258), ""), 0)),"")</f>
        <v/>
      </c>
      <c r="AL120" s="35" t="str">
        <f>IFERROR(INDEX('G-6 Hedgerow Data'!$BJ$3:$BJ$15,MATCH(D120,'G-6 Hedgerow Data'!$B$3:$B$15,0)),"")</f>
        <v/>
      </c>
    </row>
    <row r="121" spans="2:38" ht="13.8" x14ac:dyDescent="0.25">
      <c r="B121" s="168">
        <v>112</v>
      </c>
      <c r="C121" s="275"/>
      <c r="D121" s="275"/>
      <c r="E121" s="185"/>
      <c r="F121" s="277" t="str">
        <f>IF(D121="","",VLOOKUP(D121,'G-6 Hedgerow Data'!$B$2:$AG$15,2,FALSE))</f>
        <v/>
      </c>
      <c r="G121" s="172" t="str">
        <f>IF(D121="","",VLOOKUP(D121,'G-6 Hedgerow Data'!$B$2:$AG$15,3,FALSE))</f>
        <v/>
      </c>
      <c r="H121" s="173"/>
      <c r="I121" s="172" t="str">
        <f>IFERROR(VLOOKUP(H121,'G-1 All Habitats'!$Z$2:$AA$9,2,FALSE),"")</f>
        <v/>
      </c>
      <c r="J121" s="173"/>
      <c r="K121" s="179" t="str">
        <f>IF(J121="","",IF(VLOOKUP(J121,'G-3 Multipliers'!$L$3:$N$6,2,FALSE)=0,"Spatial Data Missing",VLOOKUP(J121,'G-3 Multipliers'!$L$3:$N$6,2,FALSE)))</f>
        <v/>
      </c>
      <c r="L121" s="260" t="str">
        <f>IF(J121="","",IF(VLOOKUP(J121,'G-3 Multipliers'!$L$3:$N$6,3,FALSE)=0,"Spatial Data Missing",VLOOKUP(J121,'G-3 Multipliers'!$L$3:$N$6,3,FALSE)))</f>
        <v/>
      </c>
      <c r="M121" s="177" t="str">
        <f>IF(D121="","",VLOOKUP(D121,'G-6 Hedgerow Data'!$B$1:$AH$15,33,FALSE))</f>
        <v/>
      </c>
      <c r="N121" s="207" t="str">
        <f t="shared" si="9"/>
        <v/>
      </c>
      <c r="O121" s="44"/>
      <c r="P121" s="186"/>
      <c r="Q121" s="275"/>
      <c r="R121" s="289" t="str">
        <f t="shared" si="10"/>
        <v/>
      </c>
      <c r="S121" s="289" t="str">
        <f t="shared" si="11"/>
        <v/>
      </c>
      <c r="T121" s="289" t="str">
        <f t="shared" si="12"/>
        <v/>
      </c>
      <c r="U121" s="290" t="str">
        <f t="shared" si="13"/>
        <v/>
      </c>
      <c r="V121" s="182"/>
      <c r="W121" s="183"/>
      <c r="AE121" s="188" t="str">
        <f t="shared" si="7"/>
        <v/>
      </c>
      <c r="AF121" s="188" t="str">
        <f t="shared" si="8"/>
        <v/>
      </c>
      <c r="AH121" s="188">
        <v>112</v>
      </c>
      <c r="AJ121" s="188" t="str">
        <f t="array" ref="AJ121">IFERROR(INDEX($AH$10:$AH$258, MATCH(0, IF(TRUE=$AE$10:$AE$258, COUNTIF($AJ$9:$AJ120, $AH$10:$AH$258), ""), 0)),"")</f>
        <v/>
      </c>
      <c r="AK121" s="188" t="str">
        <f t="array" ref="AK121">IFERROR(INDEX($AH$10:$AH$258, MATCH(0, IF(TRUE=$AF$10:$AF$258, COUNTIF($AK$9:$AK120, $AH$10:$AH$258), ""), 0)),"")</f>
        <v/>
      </c>
      <c r="AL121" s="35" t="str">
        <f>IFERROR(INDEX('G-6 Hedgerow Data'!$BJ$3:$BJ$15,MATCH(D121,'G-6 Hedgerow Data'!$B$3:$B$15,0)),"")</f>
        <v/>
      </c>
    </row>
    <row r="122" spans="2:38" ht="13.8" x14ac:dyDescent="0.25">
      <c r="B122" s="168">
        <v>113</v>
      </c>
      <c r="C122" s="275"/>
      <c r="D122" s="275"/>
      <c r="E122" s="185"/>
      <c r="F122" s="277" t="str">
        <f>IF(D122="","",VLOOKUP(D122,'G-6 Hedgerow Data'!$B$2:$AG$15,2,FALSE))</f>
        <v/>
      </c>
      <c r="G122" s="172" t="str">
        <f>IF(D122="","",VLOOKUP(D122,'G-6 Hedgerow Data'!$B$2:$AG$15,3,FALSE))</f>
        <v/>
      </c>
      <c r="H122" s="173"/>
      <c r="I122" s="172" t="str">
        <f>IFERROR(VLOOKUP(H122,'G-1 All Habitats'!$Z$2:$AA$9,2,FALSE),"")</f>
        <v/>
      </c>
      <c r="J122" s="173"/>
      <c r="K122" s="179" t="str">
        <f>IF(J122="","",IF(VLOOKUP(J122,'G-3 Multipliers'!$L$3:$N$6,2,FALSE)=0,"Spatial Data Missing",VLOOKUP(J122,'G-3 Multipliers'!$L$3:$N$6,2,FALSE)))</f>
        <v/>
      </c>
      <c r="L122" s="260" t="str">
        <f>IF(J122="","",IF(VLOOKUP(J122,'G-3 Multipliers'!$L$3:$N$6,3,FALSE)=0,"Spatial Data Missing",VLOOKUP(J122,'G-3 Multipliers'!$L$3:$N$6,3,FALSE)))</f>
        <v/>
      </c>
      <c r="M122" s="177" t="str">
        <f>IF(D122="","",VLOOKUP(D122,'G-6 Hedgerow Data'!$B$1:$AH$15,33,FALSE))</f>
        <v/>
      </c>
      <c r="N122" s="207" t="str">
        <f t="shared" si="9"/>
        <v/>
      </c>
      <c r="O122" s="44"/>
      <c r="P122" s="186"/>
      <c r="Q122" s="275"/>
      <c r="R122" s="289" t="str">
        <f t="shared" si="10"/>
        <v/>
      </c>
      <c r="S122" s="289" t="str">
        <f t="shared" si="11"/>
        <v/>
      </c>
      <c r="T122" s="289" t="str">
        <f t="shared" si="12"/>
        <v/>
      </c>
      <c r="U122" s="290" t="str">
        <f t="shared" si="13"/>
        <v/>
      </c>
      <c r="V122" s="182"/>
      <c r="W122" s="183"/>
      <c r="AE122" s="188" t="str">
        <f t="shared" si="7"/>
        <v/>
      </c>
      <c r="AF122" s="188" t="str">
        <f t="shared" si="8"/>
        <v/>
      </c>
      <c r="AH122" s="188">
        <v>113</v>
      </c>
      <c r="AJ122" s="188" t="str">
        <f t="array" ref="AJ122">IFERROR(INDEX($AH$10:$AH$258, MATCH(0, IF(TRUE=$AE$10:$AE$258, COUNTIF($AJ$9:$AJ121, $AH$10:$AH$258), ""), 0)),"")</f>
        <v/>
      </c>
      <c r="AK122" s="188" t="str">
        <f t="array" ref="AK122">IFERROR(INDEX($AH$10:$AH$258, MATCH(0, IF(TRUE=$AF$10:$AF$258, COUNTIF($AK$9:$AK121, $AH$10:$AH$258), ""), 0)),"")</f>
        <v/>
      </c>
      <c r="AL122" s="35" t="str">
        <f>IFERROR(INDEX('G-6 Hedgerow Data'!$BJ$3:$BJ$15,MATCH(D122,'G-6 Hedgerow Data'!$B$3:$B$15,0)),"")</f>
        <v/>
      </c>
    </row>
    <row r="123" spans="2:38" ht="13.8" x14ac:dyDescent="0.25">
      <c r="B123" s="168">
        <v>114</v>
      </c>
      <c r="C123" s="275"/>
      <c r="D123" s="275"/>
      <c r="E123" s="185"/>
      <c r="F123" s="277" t="str">
        <f>IF(D123="","",VLOOKUP(D123,'G-6 Hedgerow Data'!$B$2:$AG$15,2,FALSE))</f>
        <v/>
      </c>
      <c r="G123" s="172" t="str">
        <f>IF(D123="","",VLOOKUP(D123,'G-6 Hedgerow Data'!$B$2:$AG$15,3,FALSE))</f>
        <v/>
      </c>
      <c r="H123" s="173"/>
      <c r="I123" s="172" t="str">
        <f>IFERROR(VLOOKUP(H123,'G-1 All Habitats'!$Z$2:$AA$9,2,FALSE),"")</f>
        <v/>
      </c>
      <c r="J123" s="173"/>
      <c r="K123" s="179" t="str">
        <f>IF(J123="","",IF(VLOOKUP(J123,'G-3 Multipliers'!$L$3:$N$6,2,FALSE)=0,"Spatial Data Missing",VLOOKUP(J123,'G-3 Multipliers'!$L$3:$N$6,2,FALSE)))</f>
        <v/>
      </c>
      <c r="L123" s="260" t="str">
        <f>IF(J123="","",IF(VLOOKUP(J123,'G-3 Multipliers'!$L$3:$N$6,3,FALSE)=0,"Spatial Data Missing",VLOOKUP(J123,'G-3 Multipliers'!$L$3:$N$6,3,FALSE)))</f>
        <v/>
      </c>
      <c r="M123" s="177" t="str">
        <f>IF(D123="","",VLOOKUP(D123,'G-6 Hedgerow Data'!$B$1:$AH$15,33,FALSE))</f>
        <v/>
      </c>
      <c r="N123" s="207" t="str">
        <f t="shared" si="9"/>
        <v/>
      </c>
      <c r="O123" s="44"/>
      <c r="P123" s="186"/>
      <c r="Q123" s="275"/>
      <c r="R123" s="289" t="str">
        <f t="shared" si="10"/>
        <v/>
      </c>
      <c r="S123" s="289" t="str">
        <f t="shared" si="11"/>
        <v/>
      </c>
      <c r="T123" s="289" t="str">
        <f t="shared" si="12"/>
        <v/>
      </c>
      <c r="U123" s="290" t="str">
        <f t="shared" si="13"/>
        <v/>
      </c>
      <c r="V123" s="182"/>
      <c r="W123" s="183"/>
      <c r="AE123" s="188" t="str">
        <f t="shared" si="7"/>
        <v/>
      </c>
      <c r="AF123" s="188" t="str">
        <f t="shared" si="8"/>
        <v/>
      </c>
      <c r="AH123" s="188">
        <v>114</v>
      </c>
      <c r="AJ123" s="188" t="str">
        <f t="array" ref="AJ123">IFERROR(INDEX($AH$10:$AH$258, MATCH(0, IF(TRUE=$AE$10:$AE$258, COUNTIF($AJ$9:$AJ122, $AH$10:$AH$258), ""), 0)),"")</f>
        <v/>
      </c>
      <c r="AK123" s="188" t="str">
        <f t="array" ref="AK123">IFERROR(INDEX($AH$10:$AH$258, MATCH(0, IF(TRUE=$AF$10:$AF$258, COUNTIF($AK$9:$AK122, $AH$10:$AH$258), ""), 0)),"")</f>
        <v/>
      </c>
      <c r="AL123" s="35" t="str">
        <f>IFERROR(INDEX('G-6 Hedgerow Data'!$BJ$3:$BJ$15,MATCH(D123,'G-6 Hedgerow Data'!$B$3:$B$15,0)),"")</f>
        <v/>
      </c>
    </row>
    <row r="124" spans="2:38" ht="13.8" x14ac:dyDescent="0.25">
      <c r="B124" s="168">
        <v>115</v>
      </c>
      <c r="C124" s="275"/>
      <c r="D124" s="275"/>
      <c r="E124" s="185"/>
      <c r="F124" s="277" t="str">
        <f>IF(D124="","",VLOOKUP(D124,'G-6 Hedgerow Data'!$B$2:$AG$15,2,FALSE))</f>
        <v/>
      </c>
      <c r="G124" s="172" t="str">
        <f>IF(D124="","",VLOOKUP(D124,'G-6 Hedgerow Data'!$B$2:$AG$15,3,FALSE))</f>
        <v/>
      </c>
      <c r="H124" s="173"/>
      <c r="I124" s="172" t="str">
        <f>IFERROR(VLOOKUP(H124,'G-1 All Habitats'!$Z$2:$AA$9,2,FALSE),"")</f>
        <v/>
      </c>
      <c r="J124" s="173"/>
      <c r="K124" s="179" t="str">
        <f>IF(J124="","",IF(VLOOKUP(J124,'G-3 Multipliers'!$L$3:$N$6,2,FALSE)=0,"Spatial Data Missing",VLOOKUP(J124,'G-3 Multipliers'!$L$3:$N$6,2,FALSE)))</f>
        <v/>
      </c>
      <c r="L124" s="260" t="str">
        <f>IF(J124="","",IF(VLOOKUP(J124,'G-3 Multipliers'!$L$3:$N$6,3,FALSE)=0,"Spatial Data Missing",VLOOKUP(J124,'G-3 Multipliers'!$L$3:$N$6,3,FALSE)))</f>
        <v/>
      </c>
      <c r="M124" s="177" t="str">
        <f>IF(D124="","",VLOOKUP(D124,'G-6 Hedgerow Data'!$B$1:$AH$15,33,FALSE))</f>
        <v/>
      </c>
      <c r="N124" s="207" t="str">
        <f t="shared" si="9"/>
        <v/>
      </c>
      <c r="O124" s="44"/>
      <c r="P124" s="186"/>
      <c r="Q124" s="275"/>
      <c r="R124" s="289" t="str">
        <f t="shared" si="10"/>
        <v/>
      </c>
      <c r="S124" s="289" t="str">
        <f t="shared" si="11"/>
        <v/>
      </c>
      <c r="T124" s="289" t="str">
        <f t="shared" si="12"/>
        <v/>
      </c>
      <c r="U124" s="290" t="str">
        <f t="shared" si="13"/>
        <v/>
      </c>
      <c r="V124" s="182"/>
      <c r="W124" s="183"/>
      <c r="AE124" s="188" t="str">
        <f t="shared" si="7"/>
        <v/>
      </c>
      <c r="AF124" s="188" t="str">
        <f t="shared" si="8"/>
        <v/>
      </c>
      <c r="AH124" s="188">
        <v>115</v>
      </c>
      <c r="AJ124" s="188" t="str">
        <f t="array" ref="AJ124">IFERROR(INDEX($AH$10:$AH$258, MATCH(0, IF(TRUE=$AE$10:$AE$258, COUNTIF($AJ$9:$AJ123, $AH$10:$AH$258), ""), 0)),"")</f>
        <v/>
      </c>
      <c r="AK124" s="188" t="str">
        <f t="array" ref="AK124">IFERROR(INDEX($AH$10:$AH$258, MATCH(0, IF(TRUE=$AF$10:$AF$258, COUNTIF($AK$9:$AK123, $AH$10:$AH$258), ""), 0)),"")</f>
        <v/>
      </c>
      <c r="AL124" s="35" t="str">
        <f>IFERROR(INDEX('G-6 Hedgerow Data'!$BJ$3:$BJ$15,MATCH(D124,'G-6 Hedgerow Data'!$B$3:$B$15,0)),"")</f>
        <v/>
      </c>
    </row>
    <row r="125" spans="2:38" ht="13.8" x14ac:dyDescent="0.25">
      <c r="B125" s="168">
        <v>116</v>
      </c>
      <c r="C125" s="275"/>
      <c r="D125" s="275"/>
      <c r="E125" s="185"/>
      <c r="F125" s="277" t="str">
        <f>IF(D125="","",VLOOKUP(D125,'G-6 Hedgerow Data'!$B$2:$AG$15,2,FALSE))</f>
        <v/>
      </c>
      <c r="G125" s="172" t="str">
        <f>IF(D125="","",VLOOKUP(D125,'G-6 Hedgerow Data'!$B$2:$AG$15,3,FALSE))</f>
        <v/>
      </c>
      <c r="H125" s="173"/>
      <c r="I125" s="172" t="str">
        <f>IFERROR(VLOOKUP(H125,'G-1 All Habitats'!$Z$2:$AA$9,2,FALSE),"")</f>
        <v/>
      </c>
      <c r="J125" s="173"/>
      <c r="K125" s="179" t="str">
        <f>IF(J125="","",IF(VLOOKUP(J125,'G-3 Multipliers'!$L$3:$N$6,2,FALSE)=0,"Spatial Data Missing",VLOOKUP(J125,'G-3 Multipliers'!$L$3:$N$6,2,FALSE)))</f>
        <v/>
      </c>
      <c r="L125" s="260" t="str">
        <f>IF(J125="","",IF(VLOOKUP(J125,'G-3 Multipliers'!$L$3:$N$6,3,FALSE)=0,"Spatial Data Missing",VLOOKUP(J125,'G-3 Multipliers'!$L$3:$N$6,3,FALSE)))</f>
        <v/>
      </c>
      <c r="M125" s="177" t="str">
        <f>IF(D125="","",VLOOKUP(D125,'G-6 Hedgerow Data'!$B$1:$AH$15,33,FALSE))</f>
        <v/>
      </c>
      <c r="N125" s="207" t="str">
        <f t="shared" si="9"/>
        <v/>
      </c>
      <c r="O125" s="44"/>
      <c r="P125" s="186"/>
      <c r="Q125" s="275"/>
      <c r="R125" s="289" t="str">
        <f t="shared" si="10"/>
        <v/>
      </c>
      <c r="S125" s="289" t="str">
        <f t="shared" si="11"/>
        <v/>
      </c>
      <c r="T125" s="289" t="str">
        <f t="shared" si="12"/>
        <v/>
      </c>
      <c r="U125" s="290" t="str">
        <f t="shared" si="13"/>
        <v/>
      </c>
      <c r="V125" s="182"/>
      <c r="W125" s="183"/>
      <c r="AE125" s="188" t="str">
        <f t="shared" si="7"/>
        <v/>
      </c>
      <c r="AF125" s="188" t="str">
        <f t="shared" si="8"/>
        <v/>
      </c>
      <c r="AH125" s="188">
        <v>116</v>
      </c>
      <c r="AJ125" s="188" t="str">
        <f t="array" ref="AJ125">IFERROR(INDEX($AH$10:$AH$258, MATCH(0, IF(TRUE=$AE$10:$AE$258, COUNTIF($AJ$9:$AJ124, $AH$10:$AH$258), ""), 0)),"")</f>
        <v/>
      </c>
      <c r="AK125" s="188" t="str">
        <f t="array" ref="AK125">IFERROR(INDEX($AH$10:$AH$258, MATCH(0, IF(TRUE=$AF$10:$AF$258, COUNTIF($AK$9:$AK124, $AH$10:$AH$258), ""), 0)),"")</f>
        <v/>
      </c>
      <c r="AL125" s="35" t="str">
        <f>IFERROR(INDEX('G-6 Hedgerow Data'!$BJ$3:$BJ$15,MATCH(D125,'G-6 Hedgerow Data'!$B$3:$B$15,0)),"")</f>
        <v/>
      </c>
    </row>
    <row r="126" spans="2:38" ht="13.8" x14ac:dyDescent="0.25">
      <c r="B126" s="168">
        <v>117</v>
      </c>
      <c r="C126" s="275"/>
      <c r="D126" s="275"/>
      <c r="E126" s="185"/>
      <c r="F126" s="277" t="str">
        <f>IF(D126="","",VLOOKUP(D126,'G-6 Hedgerow Data'!$B$2:$AG$15,2,FALSE))</f>
        <v/>
      </c>
      <c r="G126" s="172" t="str">
        <f>IF(D126="","",VLOOKUP(D126,'G-6 Hedgerow Data'!$B$2:$AG$15,3,FALSE))</f>
        <v/>
      </c>
      <c r="H126" s="173"/>
      <c r="I126" s="172" t="str">
        <f>IFERROR(VLOOKUP(H126,'G-1 All Habitats'!$Z$2:$AA$9,2,FALSE),"")</f>
        <v/>
      </c>
      <c r="J126" s="173"/>
      <c r="K126" s="179" t="str">
        <f>IF(J126="","",IF(VLOOKUP(J126,'G-3 Multipliers'!$L$3:$N$6,2,FALSE)=0,"Spatial Data Missing",VLOOKUP(J126,'G-3 Multipliers'!$L$3:$N$6,2,FALSE)))</f>
        <v/>
      </c>
      <c r="L126" s="260" t="str">
        <f>IF(J126="","",IF(VLOOKUP(J126,'G-3 Multipliers'!$L$3:$N$6,3,FALSE)=0,"Spatial Data Missing",VLOOKUP(J126,'G-3 Multipliers'!$L$3:$N$6,3,FALSE)))</f>
        <v/>
      </c>
      <c r="M126" s="177" t="str">
        <f>IF(D126="","",VLOOKUP(D126,'G-6 Hedgerow Data'!$B$1:$AH$15,33,FALSE))</f>
        <v/>
      </c>
      <c r="N126" s="207" t="str">
        <f t="shared" si="9"/>
        <v/>
      </c>
      <c r="O126" s="44"/>
      <c r="P126" s="186"/>
      <c r="Q126" s="275"/>
      <c r="R126" s="289" t="str">
        <f t="shared" si="10"/>
        <v/>
      </c>
      <c r="S126" s="289" t="str">
        <f t="shared" si="11"/>
        <v/>
      </c>
      <c r="T126" s="289" t="str">
        <f t="shared" si="12"/>
        <v/>
      </c>
      <c r="U126" s="290" t="str">
        <f t="shared" si="13"/>
        <v/>
      </c>
      <c r="V126" s="182"/>
      <c r="W126" s="183"/>
      <c r="AE126" s="188" t="str">
        <f t="shared" si="7"/>
        <v/>
      </c>
      <c r="AF126" s="188" t="str">
        <f t="shared" si="8"/>
        <v/>
      </c>
      <c r="AH126" s="188">
        <v>117</v>
      </c>
      <c r="AJ126" s="188" t="str">
        <f t="array" ref="AJ126">IFERROR(INDEX($AH$10:$AH$258, MATCH(0, IF(TRUE=$AE$10:$AE$258, COUNTIF($AJ$9:$AJ125, $AH$10:$AH$258), ""), 0)),"")</f>
        <v/>
      </c>
      <c r="AK126" s="188" t="str">
        <f t="array" ref="AK126">IFERROR(INDEX($AH$10:$AH$258, MATCH(0, IF(TRUE=$AF$10:$AF$258, COUNTIF($AK$9:$AK125, $AH$10:$AH$258), ""), 0)),"")</f>
        <v/>
      </c>
      <c r="AL126" s="35" t="str">
        <f>IFERROR(INDEX('G-6 Hedgerow Data'!$BJ$3:$BJ$15,MATCH(D126,'G-6 Hedgerow Data'!$B$3:$B$15,0)),"")</f>
        <v/>
      </c>
    </row>
    <row r="127" spans="2:38" ht="13.8" x14ac:dyDescent="0.25">
      <c r="B127" s="168">
        <v>118</v>
      </c>
      <c r="C127" s="275"/>
      <c r="D127" s="275"/>
      <c r="E127" s="185"/>
      <c r="F127" s="277" t="str">
        <f>IF(D127="","",VLOOKUP(D127,'G-6 Hedgerow Data'!$B$2:$AG$15,2,FALSE))</f>
        <v/>
      </c>
      <c r="G127" s="172" t="str">
        <f>IF(D127="","",VLOOKUP(D127,'G-6 Hedgerow Data'!$B$2:$AG$15,3,FALSE))</f>
        <v/>
      </c>
      <c r="H127" s="173"/>
      <c r="I127" s="172" t="str">
        <f>IFERROR(VLOOKUP(H127,'G-1 All Habitats'!$Z$2:$AA$9,2,FALSE),"")</f>
        <v/>
      </c>
      <c r="J127" s="173"/>
      <c r="K127" s="179" t="str">
        <f>IF(J127="","",IF(VLOOKUP(J127,'G-3 Multipliers'!$L$3:$N$6,2,FALSE)=0,"Spatial Data Missing",VLOOKUP(J127,'G-3 Multipliers'!$L$3:$N$6,2,FALSE)))</f>
        <v/>
      </c>
      <c r="L127" s="260" t="str">
        <f>IF(J127="","",IF(VLOOKUP(J127,'G-3 Multipliers'!$L$3:$N$6,3,FALSE)=0,"Spatial Data Missing",VLOOKUP(J127,'G-3 Multipliers'!$L$3:$N$6,3,FALSE)))</f>
        <v/>
      </c>
      <c r="M127" s="177" t="str">
        <f>IF(D127="","",VLOOKUP(D127,'G-6 Hedgerow Data'!$B$1:$AH$15,33,FALSE))</f>
        <v/>
      </c>
      <c r="N127" s="207" t="str">
        <f t="shared" si="9"/>
        <v/>
      </c>
      <c r="O127" s="44"/>
      <c r="P127" s="186"/>
      <c r="Q127" s="275"/>
      <c r="R127" s="289" t="str">
        <f t="shared" si="10"/>
        <v/>
      </c>
      <c r="S127" s="289" t="str">
        <f t="shared" si="11"/>
        <v/>
      </c>
      <c r="T127" s="289" t="str">
        <f t="shared" si="12"/>
        <v/>
      </c>
      <c r="U127" s="290" t="str">
        <f t="shared" si="13"/>
        <v/>
      </c>
      <c r="V127" s="182"/>
      <c r="W127" s="183"/>
      <c r="AE127" s="188" t="str">
        <f t="shared" si="7"/>
        <v/>
      </c>
      <c r="AF127" s="188" t="str">
        <f t="shared" si="8"/>
        <v/>
      </c>
      <c r="AH127" s="188">
        <v>118</v>
      </c>
      <c r="AJ127" s="188" t="str">
        <f t="array" ref="AJ127">IFERROR(INDEX($AH$10:$AH$258, MATCH(0, IF(TRUE=$AE$10:$AE$258, COUNTIF($AJ$9:$AJ126, $AH$10:$AH$258), ""), 0)),"")</f>
        <v/>
      </c>
      <c r="AK127" s="188" t="str">
        <f t="array" ref="AK127">IFERROR(INDEX($AH$10:$AH$258, MATCH(0, IF(TRUE=$AF$10:$AF$258, COUNTIF($AK$9:$AK126, $AH$10:$AH$258), ""), 0)),"")</f>
        <v/>
      </c>
      <c r="AL127" s="35" t="str">
        <f>IFERROR(INDEX('G-6 Hedgerow Data'!$BJ$3:$BJ$15,MATCH(D127,'G-6 Hedgerow Data'!$B$3:$B$15,0)),"")</f>
        <v/>
      </c>
    </row>
    <row r="128" spans="2:38" ht="13.8" x14ac:dyDescent="0.25">
      <c r="B128" s="168">
        <v>119</v>
      </c>
      <c r="C128" s="275"/>
      <c r="D128" s="275"/>
      <c r="E128" s="185"/>
      <c r="F128" s="277" t="str">
        <f>IF(D128="","",VLOOKUP(D128,'G-6 Hedgerow Data'!$B$2:$AG$15,2,FALSE))</f>
        <v/>
      </c>
      <c r="G128" s="172" t="str">
        <f>IF(D128="","",VLOOKUP(D128,'G-6 Hedgerow Data'!$B$2:$AG$15,3,FALSE))</f>
        <v/>
      </c>
      <c r="H128" s="173"/>
      <c r="I128" s="172" t="str">
        <f>IFERROR(VLOOKUP(H128,'G-1 All Habitats'!$Z$2:$AA$9,2,FALSE),"")</f>
        <v/>
      </c>
      <c r="J128" s="173"/>
      <c r="K128" s="179" t="str">
        <f>IF(J128="","",IF(VLOOKUP(J128,'G-3 Multipliers'!$L$3:$N$6,2,FALSE)=0,"Spatial Data Missing",VLOOKUP(J128,'G-3 Multipliers'!$L$3:$N$6,2,FALSE)))</f>
        <v/>
      </c>
      <c r="L128" s="260" t="str">
        <f>IF(J128="","",IF(VLOOKUP(J128,'G-3 Multipliers'!$L$3:$N$6,3,FALSE)=0,"Spatial Data Missing",VLOOKUP(J128,'G-3 Multipliers'!$L$3:$N$6,3,FALSE)))</f>
        <v/>
      </c>
      <c r="M128" s="177" t="str">
        <f>IF(D128="","",VLOOKUP(D128,'G-6 Hedgerow Data'!$B$1:$AH$15,33,FALSE))</f>
        <v/>
      </c>
      <c r="N128" s="207" t="str">
        <f t="shared" si="9"/>
        <v/>
      </c>
      <c r="O128" s="44"/>
      <c r="P128" s="186"/>
      <c r="Q128" s="275"/>
      <c r="R128" s="289" t="str">
        <f t="shared" si="10"/>
        <v/>
      </c>
      <c r="S128" s="289" t="str">
        <f t="shared" si="11"/>
        <v/>
      </c>
      <c r="T128" s="289" t="str">
        <f t="shared" si="12"/>
        <v/>
      </c>
      <c r="U128" s="290" t="str">
        <f t="shared" si="13"/>
        <v/>
      </c>
      <c r="V128" s="182"/>
      <c r="W128" s="183"/>
      <c r="AE128" s="188" t="str">
        <f t="shared" si="7"/>
        <v/>
      </c>
      <c r="AF128" s="188" t="str">
        <f t="shared" si="8"/>
        <v/>
      </c>
      <c r="AH128" s="188">
        <v>119</v>
      </c>
      <c r="AJ128" s="188" t="str">
        <f t="array" ref="AJ128">IFERROR(INDEX($AH$10:$AH$258, MATCH(0, IF(TRUE=$AE$10:$AE$258, COUNTIF($AJ$9:$AJ127, $AH$10:$AH$258), ""), 0)),"")</f>
        <v/>
      </c>
      <c r="AK128" s="188" t="str">
        <f t="array" ref="AK128">IFERROR(INDEX($AH$10:$AH$258, MATCH(0, IF(TRUE=$AF$10:$AF$258, COUNTIF($AK$9:$AK127, $AH$10:$AH$258), ""), 0)),"")</f>
        <v/>
      </c>
      <c r="AL128" s="35" t="str">
        <f>IFERROR(INDEX('G-6 Hedgerow Data'!$BJ$3:$BJ$15,MATCH(D128,'G-6 Hedgerow Data'!$B$3:$B$15,0)),"")</f>
        <v/>
      </c>
    </row>
    <row r="129" spans="2:38" ht="13.8" x14ac:dyDescent="0.25">
      <c r="B129" s="168">
        <v>120</v>
      </c>
      <c r="C129" s="275"/>
      <c r="D129" s="275"/>
      <c r="E129" s="185"/>
      <c r="F129" s="277" t="str">
        <f>IF(D129="","",VLOOKUP(D129,'G-6 Hedgerow Data'!$B$2:$AG$15,2,FALSE))</f>
        <v/>
      </c>
      <c r="G129" s="172" t="str">
        <f>IF(D129="","",VLOOKUP(D129,'G-6 Hedgerow Data'!$B$2:$AG$15,3,FALSE))</f>
        <v/>
      </c>
      <c r="H129" s="173"/>
      <c r="I129" s="172" t="str">
        <f>IFERROR(VLOOKUP(H129,'G-1 All Habitats'!$Z$2:$AA$9,2,FALSE),"")</f>
        <v/>
      </c>
      <c r="J129" s="173"/>
      <c r="K129" s="179" t="str">
        <f>IF(J129="","",IF(VLOOKUP(J129,'G-3 Multipliers'!$L$3:$N$6,2,FALSE)=0,"Spatial Data Missing",VLOOKUP(J129,'G-3 Multipliers'!$L$3:$N$6,2,FALSE)))</f>
        <v/>
      </c>
      <c r="L129" s="260" t="str">
        <f>IF(J129="","",IF(VLOOKUP(J129,'G-3 Multipliers'!$L$3:$N$6,3,FALSE)=0,"Spatial Data Missing",VLOOKUP(J129,'G-3 Multipliers'!$L$3:$N$6,3,FALSE)))</f>
        <v/>
      </c>
      <c r="M129" s="177" t="str">
        <f>IF(D129="","",VLOOKUP(D129,'G-6 Hedgerow Data'!$B$1:$AH$15,33,FALSE))</f>
        <v/>
      </c>
      <c r="N129" s="207" t="str">
        <f t="shared" si="9"/>
        <v/>
      </c>
      <c r="O129" s="44"/>
      <c r="P129" s="186"/>
      <c r="Q129" s="275"/>
      <c r="R129" s="289" t="str">
        <f t="shared" si="10"/>
        <v/>
      </c>
      <c r="S129" s="289" t="str">
        <f t="shared" si="11"/>
        <v/>
      </c>
      <c r="T129" s="289" t="str">
        <f t="shared" si="12"/>
        <v/>
      </c>
      <c r="U129" s="290" t="str">
        <f t="shared" si="13"/>
        <v/>
      </c>
      <c r="V129" s="182"/>
      <c r="W129" s="183"/>
      <c r="AE129" s="188" t="str">
        <f t="shared" si="7"/>
        <v/>
      </c>
      <c r="AF129" s="188" t="str">
        <f t="shared" si="8"/>
        <v/>
      </c>
      <c r="AH129" s="188">
        <v>120</v>
      </c>
      <c r="AJ129" s="188" t="str">
        <f t="array" ref="AJ129">IFERROR(INDEX($AH$10:$AH$258, MATCH(0, IF(TRUE=$AE$10:$AE$258, COUNTIF($AJ$9:$AJ128, $AH$10:$AH$258), ""), 0)),"")</f>
        <v/>
      </c>
      <c r="AK129" s="188" t="str">
        <f t="array" ref="AK129">IFERROR(INDEX($AH$10:$AH$258, MATCH(0, IF(TRUE=$AF$10:$AF$258, COUNTIF($AK$9:$AK128, $AH$10:$AH$258), ""), 0)),"")</f>
        <v/>
      </c>
      <c r="AL129" s="35" t="str">
        <f>IFERROR(INDEX('G-6 Hedgerow Data'!$BJ$3:$BJ$15,MATCH(D129,'G-6 Hedgerow Data'!$B$3:$B$15,0)),"")</f>
        <v/>
      </c>
    </row>
    <row r="130" spans="2:38" ht="13.8" x14ac:dyDescent="0.25">
      <c r="B130" s="168">
        <v>121</v>
      </c>
      <c r="C130" s="275"/>
      <c r="D130" s="275"/>
      <c r="E130" s="185"/>
      <c r="F130" s="277" t="str">
        <f>IF(D130="","",VLOOKUP(D130,'G-6 Hedgerow Data'!$B$2:$AG$15,2,FALSE))</f>
        <v/>
      </c>
      <c r="G130" s="172" t="str">
        <f>IF(D130="","",VLOOKUP(D130,'G-6 Hedgerow Data'!$B$2:$AG$15,3,FALSE))</f>
        <v/>
      </c>
      <c r="H130" s="173"/>
      <c r="I130" s="172" t="str">
        <f>IFERROR(VLOOKUP(H130,'G-1 All Habitats'!$Z$2:$AA$9,2,FALSE),"")</f>
        <v/>
      </c>
      <c r="J130" s="173"/>
      <c r="K130" s="179" t="str">
        <f>IF(J130="","",IF(VLOOKUP(J130,'G-3 Multipliers'!$L$3:$N$6,2,FALSE)=0,"Spatial Data Missing",VLOOKUP(J130,'G-3 Multipliers'!$L$3:$N$6,2,FALSE)))</f>
        <v/>
      </c>
      <c r="L130" s="260" t="str">
        <f>IF(J130="","",IF(VLOOKUP(J130,'G-3 Multipliers'!$L$3:$N$6,3,FALSE)=0,"Spatial Data Missing",VLOOKUP(J130,'G-3 Multipliers'!$L$3:$N$6,3,FALSE)))</f>
        <v/>
      </c>
      <c r="M130" s="177" t="str">
        <f>IF(D130="","",VLOOKUP(D130,'G-6 Hedgerow Data'!$B$1:$AH$15,33,FALSE))</f>
        <v/>
      </c>
      <c r="N130" s="207" t="str">
        <f t="shared" si="9"/>
        <v/>
      </c>
      <c r="O130" s="44"/>
      <c r="P130" s="186"/>
      <c r="Q130" s="275"/>
      <c r="R130" s="289" t="str">
        <f t="shared" si="10"/>
        <v/>
      </c>
      <c r="S130" s="289" t="str">
        <f t="shared" si="11"/>
        <v/>
      </c>
      <c r="T130" s="289" t="str">
        <f t="shared" si="12"/>
        <v/>
      </c>
      <c r="U130" s="290" t="str">
        <f t="shared" si="13"/>
        <v/>
      </c>
      <c r="V130" s="182"/>
      <c r="W130" s="183"/>
      <c r="AE130" s="188" t="str">
        <f t="shared" si="7"/>
        <v/>
      </c>
      <c r="AF130" s="188" t="str">
        <f t="shared" si="8"/>
        <v/>
      </c>
      <c r="AH130" s="188">
        <v>121</v>
      </c>
      <c r="AJ130" s="188" t="str">
        <f t="array" ref="AJ130">IFERROR(INDEX($AH$10:$AH$258, MATCH(0, IF(TRUE=$AE$10:$AE$258, COUNTIF($AJ$9:$AJ129, $AH$10:$AH$258), ""), 0)),"")</f>
        <v/>
      </c>
      <c r="AK130" s="188" t="str">
        <f t="array" ref="AK130">IFERROR(INDEX($AH$10:$AH$258, MATCH(0, IF(TRUE=$AF$10:$AF$258, COUNTIF($AK$9:$AK129, $AH$10:$AH$258), ""), 0)),"")</f>
        <v/>
      </c>
      <c r="AL130" s="35" t="str">
        <f>IFERROR(INDEX('G-6 Hedgerow Data'!$BJ$3:$BJ$15,MATCH(D130,'G-6 Hedgerow Data'!$B$3:$B$15,0)),"")</f>
        <v/>
      </c>
    </row>
    <row r="131" spans="2:38" ht="13.8" x14ac:dyDescent="0.25">
      <c r="B131" s="168">
        <v>122</v>
      </c>
      <c r="C131" s="275"/>
      <c r="D131" s="275"/>
      <c r="E131" s="185"/>
      <c r="F131" s="277" t="str">
        <f>IF(D131="","",VLOOKUP(D131,'G-6 Hedgerow Data'!$B$2:$AG$15,2,FALSE))</f>
        <v/>
      </c>
      <c r="G131" s="172" t="str">
        <f>IF(D131="","",VLOOKUP(D131,'G-6 Hedgerow Data'!$B$2:$AG$15,3,FALSE))</f>
        <v/>
      </c>
      <c r="H131" s="173"/>
      <c r="I131" s="172" t="str">
        <f>IFERROR(VLOOKUP(H131,'G-1 All Habitats'!$Z$2:$AA$9,2,FALSE),"")</f>
        <v/>
      </c>
      <c r="J131" s="173"/>
      <c r="K131" s="179" t="str">
        <f>IF(J131="","",IF(VLOOKUP(J131,'G-3 Multipliers'!$L$3:$N$6,2,FALSE)=0,"Spatial Data Missing",VLOOKUP(J131,'G-3 Multipliers'!$L$3:$N$6,2,FALSE)))</f>
        <v/>
      </c>
      <c r="L131" s="260" t="str">
        <f>IF(J131="","",IF(VLOOKUP(J131,'G-3 Multipliers'!$L$3:$N$6,3,FALSE)=0,"Spatial Data Missing",VLOOKUP(J131,'G-3 Multipliers'!$L$3:$N$6,3,FALSE)))</f>
        <v/>
      </c>
      <c r="M131" s="177" t="str">
        <f>IF(D131="","",VLOOKUP(D131,'G-6 Hedgerow Data'!$B$1:$AH$15,33,FALSE))</f>
        <v/>
      </c>
      <c r="N131" s="207" t="str">
        <f t="shared" si="9"/>
        <v/>
      </c>
      <c r="O131" s="44"/>
      <c r="P131" s="186"/>
      <c r="Q131" s="275"/>
      <c r="R131" s="289" t="str">
        <f t="shared" si="10"/>
        <v/>
      </c>
      <c r="S131" s="289" t="str">
        <f t="shared" si="11"/>
        <v/>
      </c>
      <c r="T131" s="289" t="str">
        <f t="shared" si="12"/>
        <v/>
      </c>
      <c r="U131" s="290" t="str">
        <f t="shared" si="13"/>
        <v/>
      </c>
      <c r="V131" s="182"/>
      <c r="W131" s="183"/>
      <c r="AE131" s="188" t="str">
        <f t="shared" si="7"/>
        <v/>
      </c>
      <c r="AF131" s="188" t="str">
        <f t="shared" si="8"/>
        <v/>
      </c>
      <c r="AH131" s="188">
        <v>122</v>
      </c>
      <c r="AJ131" s="188" t="str">
        <f t="array" ref="AJ131">IFERROR(INDEX($AH$10:$AH$258, MATCH(0, IF(TRUE=$AE$10:$AE$258, COUNTIF($AJ$9:$AJ130, $AH$10:$AH$258), ""), 0)),"")</f>
        <v/>
      </c>
      <c r="AK131" s="188" t="str">
        <f t="array" ref="AK131">IFERROR(INDEX($AH$10:$AH$258, MATCH(0, IF(TRUE=$AF$10:$AF$258, COUNTIF($AK$9:$AK130, $AH$10:$AH$258), ""), 0)),"")</f>
        <v/>
      </c>
      <c r="AL131" s="35" t="str">
        <f>IFERROR(INDEX('G-6 Hedgerow Data'!$BJ$3:$BJ$15,MATCH(D131,'G-6 Hedgerow Data'!$B$3:$B$15,0)),"")</f>
        <v/>
      </c>
    </row>
    <row r="132" spans="2:38" ht="13.8" x14ac:dyDescent="0.25">
      <c r="B132" s="168">
        <v>123</v>
      </c>
      <c r="C132" s="275"/>
      <c r="D132" s="275"/>
      <c r="E132" s="185"/>
      <c r="F132" s="277" t="str">
        <f>IF(D132="","",VLOOKUP(D132,'G-6 Hedgerow Data'!$B$2:$AG$15,2,FALSE))</f>
        <v/>
      </c>
      <c r="G132" s="172" t="str">
        <f>IF(D132="","",VLOOKUP(D132,'G-6 Hedgerow Data'!$B$2:$AG$15,3,FALSE))</f>
        <v/>
      </c>
      <c r="H132" s="173"/>
      <c r="I132" s="172" t="str">
        <f>IFERROR(VLOOKUP(H132,'G-1 All Habitats'!$Z$2:$AA$9,2,FALSE),"")</f>
        <v/>
      </c>
      <c r="J132" s="173"/>
      <c r="K132" s="179" t="str">
        <f>IF(J132="","",IF(VLOOKUP(J132,'G-3 Multipliers'!$L$3:$N$6,2,FALSE)=0,"Spatial Data Missing",VLOOKUP(J132,'G-3 Multipliers'!$L$3:$N$6,2,FALSE)))</f>
        <v/>
      </c>
      <c r="L132" s="260" t="str">
        <f>IF(J132="","",IF(VLOOKUP(J132,'G-3 Multipliers'!$L$3:$N$6,3,FALSE)=0,"Spatial Data Missing",VLOOKUP(J132,'G-3 Multipliers'!$L$3:$N$6,3,FALSE)))</f>
        <v/>
      </c>
      <c r="M132" s="177" t="str">
        <f>IF(D132="","",VLOOKUP(D132,'G-6 Hedgerow Data'!$B$1:$AH$15,33,FALSE))</f>
        <v/>
      </c>
      <c r="N132" s="207" t="str">
        <f t="shared" si="9"/>
        <v/>
      </c>
      <c r="O132" s="44"/>
      <c r="P132" s="186"/>
      <c r="Q132" s="275"/>
      <c r="R132" s="289" t="str">
        <f t="shared" si="10"/>
        <v/>
      </c>
      <c r="S132" s="289" t="str">
        <f t="shared" si="11"/>
        <v/>
      </c>
      <c r="T132" s="289" t="str">
        <f t="shared" si="12"/>
        <v/>
      </c>
      <c r="U132" s="290" t="str">
        <f t="shared" si="13"/>
        <v/>
      </c>
      <c r="V132" s="182"/>
      <c r="W132" s="183"/>
      <c r="AE132" s="188" t="str">
        <f t="shared" si="7"/>
        <v/>
      </c>
      <c r="AF132" s="188" t="str">
        <f t="shared" si="8"/>
        <v/>
      </c>
      <c r="AH132" s="188">
        <v>123</v>
      </c>
      <c r="AJ132" s="188" t="str">
        <f t="array" ref="AJ132">IFERROR(INDEX($AH$10:$AH$258, MATCH(0, IF(TRUE=$AE$10:$AE$258, COUNTIF($AJ$9:$AJ131, $AH$10:$AH$258), ""), 0)),"")</f>
        <v/>
      </c>
      <c r="AK132" s="188" t="str">
        <f t="array" ref="AK132">IFERROR(INDEX($AH$10:$AH$258, MATCH(0, IF(TRUE=$AF$10:$AF$258, COUNTIF($AK$9:$AK131, $AH$10:$AH$258), ""), 0)),"")</f>
        <v/>
      </c>
      <c r="AL132" s="35" t="str">
        <f>IFERROR(INDEX('G-6 Hedgerow Data'!$BJ$3:$BJ$15,MATCH(D132,'G-6 Hedgerow Data'!$B$3:$B$15,0)),"")</f>
        <v/>
      </c>
    </row>
    <row r="133" spans="2:38" ht="13.8" x14ac:dyDescent="0.25">
      <c r="B133" s="168">
        <v>124</v>
      </c>
      <c r="C133" s="275"/>
      <c r="D133" s="275"/>
      <c r="E133" s="185"/>
      <c r="F133" s="277" t="str">
        <f>IF(D133="","",VLOOKUP(D133,'G-6 Hedgerow Data'!$B$2:$AG$15,2,FALSE))</f>
        <v/>
      </c>
      <c r="G133" s="172" t="str">
        <f>IF(D133="","",VLOOKUP(D133,'G-6 Hedgerow Data'!$B$2:$AG$15,3,FALSE))</f>
        <v/>
      </c>
      <c r="H133" s="173"/>
      <c r="I133" s="172" t="str">
        <f>IFERROR(VLOOKUP(H133,'G-1 All Habitats'!$Z$2:$AA$9,2,FALSE),"")</f>
        <v/>
      </c>
      <c r="J133" s="173"/>
      <c r="K133" s="179" t="str">
        <f>IF(J133="","",IF(VLOOKUP(J133,'G-3 Multipliers'!$L$3:$N$6,2,FALSE)=0,"Spatial Data Missing",VLOOKUP(J133,'G-3 Multipliers'!$L$3:$N$6,2,FALSE)))</f>
        <v/>
      </c>
      <c r="L133" s="260" t="str">
        <f>IF(J133="","",IF(VLOOKUP(J133,'G-3 Multipliers'!$L$3:$N$6,3,FALSE)=0,"Spatial Data Missing",VLOOKUP(J133,'G-3 Multipliers'!$L$3:$N$6,3,FALSE)))</f>
        <v/>
      </c>
      <c r="M133" s="177" t="str">
        <f>IF(D133="","",VLOOKUP(D133,'G-6 Hedgerow Data'!$B$1:$AH$15,33,FALSE))</f>
        <v/>
      </c>
      <c r="N133" s="207" t="str">
        <f t="shared" si="9"/>
        <v/>
      </c>
      <c r="O133" s="44"/>
      <c r="P133" s="186"/>
      <c r="Q133" s="275"/>
      <c r="R133" s="289" t="str">
        <f t="shared" si="10"/>
        <v/>
      </c>
      <c r="S133" s="289" t="str">
        <f t="shared" si="11"/>
        <v/>
      </c>
      <c r="T133" s="289" t="str">
        <f t="shared" si="12"/>
        <v/>
      </c>
      <c r="U133" s="290" t="str">
        <f t="shared" si="13"/>
        <v/>
      </c>
      <c r="V133" s="182"/>
      <c r="W133" s="183"/>
      <c r="AE133" s="188" t="str">
        <f t="shared" si="7"/>
        <v/>
      </c>
      <c r="AF133" s="188" t="str">
        <f t="shared" si="8"/>
        <v/>
      </c>
      <c r="AH133" s="188">
        <v>124</v>
      </c>
      <c r="AJ133" s="188" t="str">
        <f t="array" ref="AJ133">IFERROR(INDEX($AH$10:$AH$258, MATCH(0, IF(TRUE=$AE$10:$AE$258, COUNTIF($AJ$9:$AJ132, $AH$10:$AH$258), ""), 0)),"")</f>
        <v/>
      </c>
      <c r="AK133" s="188" t="str">
        <f t="array" ref="AK133">IFERROR(INDEX($AH$10:$AH$258, MATCH(0, IF(TRUE=$AF$10:$AF$258, COUNTIF($AK$9:$AK132, $AH$10:$AH$258), ""), 0)),"")</f>
        <v/>
      </c>
      <c r="AL133" s="35" t="str">
        <f>IFERROR(INDEX('G-6 Hedgerow Data'!$BJ$3:$BJ$15,MATCH(D133,'G-6 Hedgerow Data'!$B$3:$B$15,0)),"")</f>
        <v/>
      </c>
    </row>
    <row r="134" spans="2:38" ht="13.8" x14ac:dyDescent="0.25">
      <c r="B134" s="168">
        <v>125</v>
      </c>
      <c r="C134" s="275"/>
      <c r="D134" s="275"/>
      <c r="E134" s="185"/>
      <c r="F134" s="277" t="str">
        <f>IF(D134="","",VLOOKUP(D134,'G-6 Hedgerow Data'!$B$2:$AG$15,2,FALSE))</f>
        <v/>
      </c>
      <c r="G134" s="172" t="str">
        <f>IF(D134="","",VLOOKUP(D134,'G-6 Hedgerow Data'!$B$2:$AG$15,3,FALSE))</f>
        <v/>
      </c>
      <c r="H134" s="173"/>
      <c r="I134" s="172" t="str">
        <f>IFERROR(VLOOKUP(H134,'G-1 All Habitats'!$Z$2:$AA$9,2,FALSE),"")</f>
        <v/>
      </c>
      <c r="J134" s="173"/>
      <c r="K134" s="179" t="str">
        <f>IF(J134="","",IF(VLOOKUP(J134,'G-3 Multipliers'!$L$3:$N$6,2,FALSE)=0,"Spatial Data Missing",VLOOKUP(J134,'G-3 Multipliers'!$L$3:$N$6,2,FALSE)))</f>
        <v/>
      </c>
      <c r="L134" s="260" t="str">
        <f>IF(J134="","",IF(VLOOKUP(J134,'G-3 Multipliers'!$L$3:$N$6,3,FALSE)=0,"Spatial Data Missing",VLOOKUP(J134,'G-3 Multipliers'!$L$3:$N$6,3,FALSE)))</f>
        <v/>
      </c>
      <c r="M134" s="177" t="str">
        <f>IF(D134="","",VLOOKUP(D134,'G-6 Hedgerow Data'!$B$1:$AH$15,33,FALSE))</f>
        <v/>
      </c>
      <c r="N134" s="207" t="str">
        <f t="shared" si="9"/>
        <v/>
      </c>
      <c r="O134" s="44"/>
      <c r="P134" s="186"/>
      <c r="Q134" s="275"/>
      <c r="R134" s="289" t="str">
        <f t="shared" si="10"/>
        <v/>
      </c>
      <c r="S134" s="289" t="str">
        <f t="shared" si="11"/>
        <v/>
      </c>
      <c r="T134" s="289" t="str">
        <f t="shared" si="12"/>
        <v/>
      </c>
      <c r="U134" s="290" t="str">
        <f t="shared" si="13"/>
        <v/>
      </c>
      <c r="V134" s="182"/>
      <c r="W134" s="183"/>
      <c r="AE134" s="188" t="str">
        <f t="shared" si="7"/>
        <v/>
      </c>
      <c r="AF134" s="188" t="str">
        <f t="shared" si="8"/>
        <v/>
      </c>
      <c r="AH134" s="188">
        <v>125</v>
      </c>
      <c r="AJ134" s="188" t="str">
        <f t="array" ref="AJ134">IFERROR(INDEX($AH$10:$AH$258, MATCH(0, IF(TRUE=$AE$10:$AE$258, COUNTIF($AJ$9:$AJ133, $AH$10:$AH$258), ""), 0)),"")</f>
        <v/>
      </c>
      <c r="AK134" s="188" t="str">
        <f t="array" ref="AK134">IFERROR(INDEX($AH$10:$AH$258, MATCH(0, IF(TRUE=$AF$10:$AF$258, COUNTIF($AK$9:$AK133, $AH$10:$AH$258), ""), 0)),"")</f>
        <v/>
      </c>
      <c r="AL134" s="35" t="str">
        <f>IFERROR(INDEX('G-6 Hedgerow Data'!$BJ$3:$BJ$15,MATCH(D134,'G-6 Hedgerow Data'!$B$3:$B$15,0)),"")</f>
        <v/>
      </c>
    </row>
    <row r="135" spans="2:38" ht="13.8" x14ac:dyDescent="0.25">
      <c r="B135" s="168">
        <v>126</v>
      </c>
      <c r="C135" s="275"/>
      <c r="D135" s="275"/>
      <c r="E135" s="185"/>
      <c r="F135" s="277" t="str">
        <f>IF(D135="","",VLOOKUP(D135,'G-6 Hedgerow Data'!$B$2:$AG$15,2,FALSE))</f>
        <v/>
      </c>
      <c r="G135" s="172" t="str">
        <f>IF(D135="","",VLOOKUP(D135,'G-6 Hedgerow Data'!$B$2:$AG$15,3,FALSE))</f>
        <v/>
      </c>
      <c r="H135" s="173"/>
      <c r="I135" s="172" t="str">
        <f>IFERROR(VLOOKUP(H135,'G-1 All Habitats'!$Z$2:$AA$9,2,FALSE),"")</f>
        <v/>
      </c>
      <c r="J135" s="173"/>
      <c r="K135" s="179" t="str">
        <f>IF(J135="","",IF(VLOOKUP(J135,'G-3 Multipliers'!$L$3:$N$6,2,FALSE)=0,"Spatial Data Missing",VLOOKUP(J135,'G-3 Multipliers'!$L$3:$N$6,2,FALSE)))</f>
        <v/>
      </c>
      <c r="L135" s="260" t="str">
        <f>IF(J135="","",IF(VLOOKUP(J135,'G-3 Multipliers'!$L$3:$N$6,3,FALSE)=0,"Spatial Data Missing",VLOOKUP(J135,'G-3 Multipliers'!$L$3:$N$6,3,FALSE)))</f>
        <v/>
      </c>
      <c r="M135" s="177" t="str">
        <f>IF(D135="","",VLOOKUP(D135,'G-6 Hedgerow Data'!$B$1:$AH$15,33,FALSE))</f>
        <v/>
      </c>
      <c r="N135" s="207" t="str">
        <f t="shared" si="9"/>
        <v/>
      </c>
      <c r="O135" s="44"/>
      <c r="P135" s="186"/>
      <c r="Q135" s="275"/>
      <c r="R135" s="289" t="str">
        <f t="shared" si="10"/>
        <v/>
      </c>
      <c r="S135" s="289" t="str">
        <f t="shared" si="11"/>
        <v/>
      </c>
      <c r="T135" s="289" t="str">
        <f t="shared" si="12"/>
        <v/>
      </c>
      <c r="U135" s="290" t="str">
        <f t="shared" si="13"/>
        <v/>
      </c>
      <c r="V135" s="182"/>
      <c r="W135" s="183"/>
      <c r="AE135" s="188" t="str">
        <f t="shared" si="7"/>
        <v/>
      </c>
      <c r="AF135" s="188" t="str">
        <f t="shared" si="8"/>
        <v/>
      </c>
      <c r="AH135" s="188">
        <v>126</v>
      </c>
      <c r="AJ135" s="188" t="str">
        <f t="array" ref="AJ135">IFERROR(INDEX($AH$10:$AH$258, MATCH(0, IF(TRUE=$AE$10:$AE$258, COUNTIF($AJ$9:$AJ134, $AH$10:$AH$258), ""), 0)),"")</f>
        <v/>
      </c>
      <c r="AK135" s="188" t="str">
        <f t="array" ref="AK135">IFERROR(INDEX($AH$10:$AH$258, MATCH(0, IF(TRUE=$AF$10:$AF$258, COUNTIF($AK$9:$AK134, $AH$10:$AH$258), ""), 0)),"")</f>
        <v/>
      </c>
      <c r="AL135" s="35" t="str">
        <f>IFERROR(INDEX('G-6 Hedgerow Data'!$BJ$3:$BJ$15,MATCH(D135,'G-6 Hedgerow Data'!$B$3:$B$15,0)),"")</f>
        <v/>
      </c>
    </row>
    <row r="136" spans="2:38" ht="13.8" x14ac:dyDescent="0.25">
      <c r="B136" s="168">
        <v>127</v>
      </c>
      <c r="C136" s="275"/>
      <c r="D136" s="275"/>
      <c r="E136" s="185"/>
      <c r="F136" s="277" t="str">
        <f>IF(D136="","",VLOOKUP(D136,'G-6 Hedgerow Data'!$B$2:$AG$15,2,FALSE))</f>
        <v/>
      </c>
      <c r="G136" s="172" t="str">
        <f>IF(D136="","",VLOOKUP(D136,'G-6 Hedgerow Data'!$B$2:$AG$15,3,FALSE))</f>
        <v/>
      </c>
      <c r="H136" s="173"/>
      <c r="I136" s="172" t="str">
        <f>IFERROR(VLOOKUP(H136,'G-1 All Habitats'!$Z$2:$AA$9,2,FALSE),"")</f>
        <v/>
      </c>
      <c r="J136" s="173"/>
      <c r="K136" s="179" t="str">
        <f>IF(J136="","",IF(VLOOKUP(J136,'G-3 Multipliers'!$L$3:$N$6,2,FALSE)=0,"Spatial Data Missing",VLOOKUP(J136,'G-3 Multipliers'!$L$3:$N$6,2,FALSE)))</f>
        <v/>
      </c>
      <c r="L136" s="260" t="str">
        <f>IF(J136="","",IF(VLOOKUP(J136,'G-3 Multipliers'!$L$3:$N$6,3,FALSE)=0,"Spatial Data Missing",VLOOKUP(J136,'G-3 Multipliers'!$L$3:$N$6,3,FALSE)))</f>
        <v/>
      </c>
      <c r="M136" s="177" t="str">
        <f>IF(D136="","",VLOOKUP(D136,'G-6 Hedgerow Data'!$B$1:$AH$15,33,FALSE))</f>
        <v/>
      </c>
      <c r="N136" s="207" t="str">
        <f t="shared" si="9"/>
        <v/>
      </c>
      <c r="O136" s="44"/>
      <c r="P136" s="186"/>
      <c r="Q136" s="275"/>
      <c r="R136" s="289" t="str">
        <f t="shared" si="10"/>
        <v/>
      </c>
      <c r="S136" s="289" t="str">
        <f t="shared" si="11"/>
        <v/>
      </c>
      <c r="T136" s="289" t="str">
        <f t="shared" si="12"/>
        <v/>
      </c>
      <c r="U136" s="290" t="str">
        <f t="shared" si="13"/>
        <v/>
      </c>
      <c r="V136" s="182"/>
      <c r="W136" s="183"/>
      <c r="AE136" s="188" t="str">
        <f t="shared" si="7"/>
        <v/>
      </c>
      <c r="AF136" s="188" t="str">
        <f t="shared" si="8"/>
        <v/>
      </c>
      <c r="AH136" s="188">
        <v>127</v>
      </c>
      <c r="AJ136" s="188" t="str">
        <f t="array" ref="AJ136">IFERROR(INDEX($AH$10:$AH$258, MATCH(0, IF(TRUE=$AE$10:$AE$258, COUNTIF($AJ$9:$AJ135, $AH$10:$AH$258), ""), 0)),"")</f>
        <v/>
      </c>
      <c r="AK136" s="188" t="str">
        <f t="array" ref="AK136">IFERROR(INDEX($AH$10:$AH$258, MATCH(0, IF(TRUE=$AF$10:$AF$258, COUNTIF($AK$9:$AK135, $AH$10:$AH$258), ""), 0)),"")</f>
        <v/>
      </c>
      <c r="AL136" s="35" t="str">
        <f>IFERROR(INDEX('G-6 Hedgerow Data'!$BJ$3:$BJ$15,MATCH(D136,'G-6 Hedgerow Data'!$B$3:$B$15,0)),"")</f>
        <v/>
      </c>
    </row>
    <row r="137" spans="2:38" ht="13.8" x14ac:dyDescent="0.25">
      <c r="B137" s="168">
        <v>128</v>
      </c>
      <c r="C137" s="275"/>
      <c r="D137" s="275"/>
      <c r="E137" s="185"/>
      <c r="F137" s="277" t="str">
        <f>IF(D137="","",VLOOKUP(D137,'G-6 Hedgerow Data'!$B$2:$AG$15,2,FALSE))</f>
        <v/>
      </c>
      <c r="G137" s="172" t="str">
        <f>IF(D137="","",VLOOKUP(D137,'G-6 Hedgerow Data'!$B$2:$AG$15,3,FALSE))</f>
        <v/>
      </c>
      <c r="H137" s="173"/>
      <c r="I137" s="172" t="str">
        <f>IFERROR(VLOOKUP(H137,'G-1 All Habitats'!$Z$2:$AA$9,2,FALSE),"")</f>
        <v/>
      </c>
      <c r="J137" s="173"/>
      <c r="K137" s="179" t="str">
        <f>IF(J137="","",IF(VLOOKUP(J137,'G-3 Multipliers'!$L$3:$N$6,2,FALSE)=0,"Spatial Data Missing",VLOOKUP(J137,'G-3 Multipliers'!$L$3:$N$6,2,FALSE)))</f>
        <v/>
      </c>
      <c r="L137" s="260" t="str">
        <f>IF(J137="","",IF(VLOOKUP(J137,'G-3 Multipliers'!$L$3:$N$6,3,FALSE)=0,"Spatial Data Missing",VLOOKUP(J137,'G-3 Multipliers'!$L$3:$N$6,3,FALSE)))</f>
        <v/>
      </c>
      <c r="M137" s="177" t="str">
        <f>IF(D137="","",VLOOKUP(D137,'G-6 Hedgerow Data'!$B$1:$AH$15,33,FALSE))</f>
        <v/>
      </c>
      <c r="N137" s="207" t="str">
        <f t="shared" si="9"/>
        <v/>
      </c>
      <c r="O137" s="44"/>
      <c r="P137" s="186"/>
      <c r="Q137" s="275"/>
      <c r="R137" s="289" t="str">
        <f t="shared" si="10"/>
        <v/>
      </c>
      <c r="S137" s="289" t="str">
        <f t="shared" si="11"/>
        <v/>
      </c>
      <c r="T137" s="289" t="str">
        <f t="shared" si="12"/>
        <v/>
      </c>
      <c r="U137" s="290" t="str">
        <f t="shared" si="13"/>
        <v/>
      </c>
      <c r="V137" s="182"/>
      <c r="W137" s="183"/>
      <c r="AE137" s="188" t="str">
        <f t="shared" si="7"/>
        <v/>
      </c>
      <c r="AF137" s="188" t="str">
        <f t="shared" si="8"/>
        <v/>
      </c>
      <c r="AH137" s="188">
        <v>128</v>
      </c>
      <c r="AJ137" s="188" t="str">
        <f t="array" ref="AJ137">IFERROR(INDEX($AH$10:$AH$258, MATCH(0, IF(TRUE=$AE$10:$AE$258, COUNTIF($AJ$9:$AJ136, $AH$10:$AH$258), ""), 0)),"")</f>
        <v/>
      </c>
      <c r="AK137" s="188" t="str">
        <f t="array" ref="AK137">IFERROR(INDEX($AH$10:$AH$258, MATCH(0, IF(TRUE=$AF$10:$AF$258, COUNTIF($AK$9:$AK136, $AH$10:$AH$258), ""), 0)),"")</f>
        <v/>
      </c>
      <c r="AL137" s="35" t="str">
        <f>IFERROR(INDEX('G-6 Hedgerow Data'!$BJ$3:$BJ$15,MATCH(D137,'G-6 Hedgerow Data'!$B$3:$B$15,0)),"")</f>
        <v/>
      </c>
    </row>
    <row r="138" spans="2:38" ht="13.8" x14ac:dyDescent="0.25">
      <c r="B138" s="168">
        <v>129</v>
      </c>
      <c r="C138" s="275"/>
      <c r="D138" s="275"/>
      <c r="E138" s="185"/>
      <c r="F138" s="277" t="str">
        <f>IF(D138="","",VLOOKUP(D138,'G-6 Hedgerow Data'!$B$2:$AG$15,2,FALSE))</f>
        <v/>
      </c>
      <c r="G138" s="172" t="str">
        <f>IF(D138="","",VLOOKUP(D138,'G-6 Hedgerow Data'!$B$2:$AG$15,3,FALSE))</f>
        <v/>
      </c>
      <c r="H138" s="173"/>
      <c r="I138" s="172" t="str">
        <f>IFERROR(VLOOKUP(H138,'G-1 All Habitats'!$Z$2:$AA$9,2,FALSE),"")</f>
        <v/>
      </c>
      <c r="J138" s="173"/>
      <c r="K138" s="179" t="str">
        <f>IF(J138="","",IF(VLOOKUP(J138,'G-3 Multipliers'!$L$3:$N$6,2,FALSE)=0,"Spatial Data Missing",VLOOKUP(J138,'G-3 Multipliers'!$L$3:$N$6,2,FALSE)))</f>
        <v/>
      </c>
      <c r="L138" s="260" t="str">
        <f>IF(J138="","",IF(VLOOKUP(J138,'G-3 Multipliers'!$L$3:$N$6,3,FALSE)=0,"Spatial Data Missing",VLOOKUP(J138,'G-3 Multipliers'!$L$3:$N$6,3,FALSE)))</f>
        <v/>
      </c>
      <c r="M138" s="177" t="str">
        <f>IF(D138="","",VLOOKUP(D138,'G-6 Hedgerow Data'!$B$1:$AH$15,33,FALSE))</f>
        <v/>
      </c>
      <c r="N138" s="207" t="str">
        <f t="shared" si="9"/>
        <v/>
      </c>
      <c r="O138" s="44"/>
      <c r="P138" s="186"/>
      <c r="Q138" s="275"/>
      <c r="R138" s="289" t="str">
        <f t="shared" si="10"/>
        <v/>
      </c>
      <c r="S138" s="289" t="str">
        <f t="shared" si="11"/>
        <v/>
      </c>
      <c r="T138" s="289" t="str">
        <f t="shared" si="12"/>
        <v/>
      </c>
      <c r="U138" s="290" t="str">
        <f t="shared" si="13"/>
        <v/>
      </c>
      <c r="V138" s="182"/>
      <c r="W138" s="183"/>
      <c r="AE138" s="188" t="str">
        <f t="shared" ref="AE138:AE201" si="14">IF(D138="","",IF(P138&gt;0,TRUE,FALSE))</f>
        <v/>
      </c>
      <c r="AF138" s="188" t="str">
        <f t="shared" ref="AF138:AF201" si="15">IF(D138="","",IF(Q138&gt;0,TRUE,FALSE))</f>
        <v/>
      </c>
      <c r="AH138" s="188">
        <v>129</v>
      </c>
      <c r="AJ138" s="188" t="str">
        <f t="array" ref="AJ138">IFERROR(INDEX($AH$10:$AH$258, MATCH(0, IF(TRUE=$AE$10:$AE$258, COUNTIF($AJ$9:$AJ137, $AH$10:$AH$258), ""), 0)),"")</f>
        <v/>
      </c>
      <c r="AK138" s="188" t="str">
        <f t="array" ref="AK138">IFERROR(INDEX($AH$10:$AH$258, MATCH(0, IF(TRUE=$AF$10:$AF$258, COUNTIF($AK$9:$AK137, $AH$10:$AH$258), ""), 0)),"")</f>
        <v/>
      </c>
      <c r="AL138" s="35" t="str">
        <f>IFERROR(INDEX('G-6 Hedgerow Data'!$BJ$3:$BJ$15,MATCH(D138,'G-6 Hedgerow Data'!$B$3:$B$15,0)),"")</f>
        <v/>
      </c>
    </row>
    <row r="139" spans="2:38" ht="13.8" x14ac:dyDescent="0.25">
      <c r="B139" s="168">
        <v>130</v>
      </c>
      <c r="C139" s="275"/>
      <c r="D139" s="275"/>
      <c r="E139" s="185"/>
      <c r="F139" s="277" t="str">
        <f>IF(D139="","",VLOOKUP(D139,'G-6 Hedgerow Data'!$B$2:$AG$15,2,FALSE))</f>
        <v/>
      </c>
      <c r="G139" s="172" t="str">
        <f>IF(D139="","",VLOOKUP(D139,'G-6 Hedgerow Data'!$B$2:$AG$15,3,FALSE))</f>
        <v/>
      </c>
      <c r="H139" s="173"/>
      <c r="I139" s="172" t="str">
        <f>IFERROR(VLOOKUP(H139,'G-1 All Habitats'!$Z$2:$AA$9,2,FALSE),"")</f>
        <v/>
      </c>
      <c r="J139" s="173"/>
      <c r="K139" s="179" t="str">
        <f>IF(J139="","",IF(VLOOKUP(J139,'G-3 Multipliers'!$L$3:$N$6,2,FALSE)=0,"Spatial Data Missing",VLOOKUP(J139,'G-3 Multipliers'!$L$3:$N$6,2,FALSE)))</f>
        <v/>
      </c>
      <c r="L139" s="260" t="str">
        <f>IF(J139="","",IF(VLOOKUP(J139,'G-3 Multipliers'!$L$3:$N$6,3,FALSE)=0,"Spatial Data Missing",VLOOKUP(J139,'G-3 Multipliers'!$L$3:$N$6,3,FALSE)))</f>
        <v/>
      </c>
      <c r="M139" s="177" t="str">
        <f>IF(D139="","",VLOOKUP(D139,'G-6 Hedgerow Data'!$B$1:$AH$15,33,FALSE))</f>
        <v/>
      </c>
      <c r="N139" s="207" t="str">
        <f t="shared" ref="N139:N202" si="16">IFERROR(E139*G139*I139*L139,"")</f>
        <v/>
      </c>
      <c r="O139" s="44"/>
      <c r="P139" s="186"/>
      <c r="Q139" s="275"/>
      <c r="R139" s="289" t="str">
        <f t="shared" ref="R139:R202" si="17">IFERROR(P139*G139*I139*L139,"")</f>
        <v/>
      </c>
      <c r="S139" s="289" t="str">
        <f t="shared" ref="S139:S202" si="18">IFERROR(Q139*G139*I139*L139,"")</f>
        <v/>
      </c>
      <c r="T139" s="289" t="str">
        <f t="shared" ref="T139:T202" si="19">IF(D139="","",IF(E139-P139-Q139=0&lt;0,"Error in lengths",IF(P139+Q139&gt;E139,"Error in Lengths",E139-P139-Q139)))</f>
        <v/>
      </c>
      <c r="U139" s="290" t="str">
        <f t="shared" ref="U139:U202" si="20">IF(OR(E139="",N139=""),"",IF(E139-P139-Q139=0&lt;0,"Error in Lengths",IF(P139+Q139&gt;E139,"Error in Lengths",N139-R139-S139)))</f>
        <v/>
      </c>
      <c r="V139" s="182"/>
      <c r="W139" s="183"/>
      <c r="AE139" s="188" t="str">
        <f t="shared" si="14"/>
        <v/>
      </c>
      <c r="AF139" s="188" t="str">
        <f t="shared" si="15"/>
        <v/>
      </c>
      <c r="AH139" s="188">
        <v>130</v>
      </c>
      <c r="AJ139" s="188" t="str">
        <f t="array" ref="AJ139">IFERROR(INDEX($AH$10:$AH$258, MATCH(0, IF(TRUE=$AE$10:$AE$258, COUNTIF($AJ$9:$AJ138, $AH$10:$AH$258), ""), 0)),"")</f>
        <v/>
      </c>
      <c r="AK139" s="188" t="str">
        <f t="array" ref="AK139">IFERROR(INDEX($AH$10:$AH$258, MATCH(0, IF(TRUE=$AF$10:$AF$258, COUNTIF($AK$9:$AK138, $AH$10:$AH$258), ""), 0)),"")</f>
        <v/>
      </c>
      <c r="AL139" s="35" t="str">
        <f>IFERROR(INDEX('G-6 Hedgerow Data'!$BJ$3:$BJ$15,MATCH(D139,'G-6 Hedgerow Data'!$B$3:$B$15,0)),"")</f>
        <v/>
      </c>
    </row>
    <row r="140" spans="2:38" ht="13.8" x14ac:dyDescent="0.25">
      <c r="B140" s="168">
        <v>131</v>
      </c>
      <c r="C140" s="275"/>
      <c r="D140" s="275"/>
      <c r="E140" s="185"/>
      <c r="F140" s="277" t="str">
        <f>IF(D140="","",VLOOKUP(D140,'G-6 Hedgerow Data'!$B$2:$AG$15,2,FALSE))</f>
        <v/>
      </c>
      <c r="G140" s="172" t="str">
        <f>IF(D140="","",VLOOKUP(D140,'G-6 Hedgerow Data'!$B$2:$AG$15,3,FALSE))</f>
        <v/>
      </c>
      <c r="H140" s="173"/>
      <c r="I140" s="172" t="str">
        <f>IFERROR(VLOOKUP(H140,'G-1 All Habitats'!$Z$2:$AA$9,2,FALSE),"")</f>
        <v/>
      </c>
      <c r="J140" s="173"/>
      <c r="K140" s="179" t="str">
        <f>IF(J140="","",IF(VLOOKUP(J140,'G-3 Multipliers'!$L$3:$N$6,2,FALSE)=0,"Spatial Data Missing",VLOOKUP(J140,'G-3 Multipliers'!$L$3:$N$6,2,FALSE)))</f>
        <v/>
      </c>
      <c r="L140" s="260" t="str">
        <f>IF(J140="","",IF(VLOOKUP(J140,'G-3 Multipliers'!$L$3:$N$6,3,FALSE)=0,"Spatial Data Missing",VLOOKUP(J140,'G-3 Multipliers'!$L$3:$N$6,3,FALSE)))</f>
        <v/>
      </c>
      <c r="M140" s="177" t="str">
        <f>IF(D140="","",VLOOKUP(D140,'G-6 Hedgerow Data'!$B$1:$AH$15,33,FALSE))</f>
        <v/>
      </c>
      <c r="N140" s="207" t="str">
        <f t="shared" si="16"/>
        <v/>
      </c>
      <c r="O140" s="44"/>
      <c r="P140" s="186"/>
      <c r="Q140" s="275"/>
      <c r="R140" s="289" t="str">
        <f t="shared" si="17"/>
        <v/>
      </c>
      <c r="S140" s="289" t="str">
        <f t="shared" si="18"/>
        <v/>
      </c>
      <c r="T140" s="289" t="str">
        <f t="shared" si="19"/>
        <v/>
      </c>
      <c r="U140" s="290" t="str">
        <f t="shared" si="20"/>
        <v/>
      </c>
      <c r="V140" s="182"/>
      <c r="W140" s="183"/>
      <c r="AE140" s="188" t="str">
        <f t="shared" si="14"/>
        <v/>
      </c>
      <c r="AF140" s="188" t="str">
        <f t="shared" si="15"/>
        <v/>
      </c>
      <c r="AH140" s="188">
        <v>131</v>
      </c>
      <c r="AJ140" s="188" t="str">
        <f t="array" ref="AJ140">IFERROR(INDEX($AH$10:$AH$258, MATCH(0, IF(TRUE=$AE$10:$AE$258, COUNTIF($AJ$9:$AJ139, $AH$10:$AH$258), ""), 0)),"")</f>
        <v/>
      </c>
      <c r="AK140" s="188" t="str">
        <f t="array" ref="AK140">IFERROR(INDEX($AH$10:$AH$258, MATCH(0, IF(TRUE=$AF$10:$AF$258, COUNTIF($AK$9:$AK139, $AH$10:$AH$258), ""), 0)),"")</f>
        <v/>
      </c>
      <c r="AL140" s="35" t="str">
        <f>IFERROR(INDEX('G-6 Hedgerow Data'!$BJ$3:$BJ$15,MATCH(D140,'G-6 Hedgerow Data'!$B$3:$B$15,0)),"")</f>
        <v/>
      </c>
    </row>
    <row r="141" spans="2:38" ht="13.8" x14ac:dyDescent="0.25">
      <c r="B141" s="168">
        <v>132</v>
      </c>
      <c r="C141" s="275"/>
      <c r="D141" s="275"/>
      <c r="E141" s="185"/>
      <c r="F141" s="277" t="str">
        <f>IF(D141="","",VLOOKUP(D141,'G-6 Hedgerow Data'!$B$2:$AG$15,2,FALSE))</f>
        <v/>
      </c>
      <c r="G141" s="172" t="str">
        <f>IF(D141="","",VLOOKUP(D141,'G-6 Hedgerow Data'!$B$2:$AG$15,3,FALSE))</f>
        <v/>
      </c>
      <c r="H141" s="173"/>
      <c r="I141" s="172" t="str">
        <f>IFERROR(VLOOKUP(H141,'G-1 All Habitats'!$Z$2:$AA$9,2,FALSE),"")</f>
        <v/>
      </c>
      <c r="J141" s="173"/>
      <c r="K141" s="179" t="str">
        <f>IF(J141="","",IF(VLOOKUP(J141,'G-3 Multipliers'!$L$3:$N$6,2,FALSE)=0,"Spatial Data Missing",VLOOKUP(J141,'G-3 Multipliers'!$L$3:$N$6,2,FALSE)))</f>
        <v/>
      </c>
      <c r="L141" s="260" t="str">
        <f>IF(J141="","",IF(VLOOKUP(J141,'G-3 Multipliers'!$L$3:$N$6,3,FALSE)=0,"Spatial Data Missing",VLOOKUP(J141,'G-3 Multipliers'!$L$3:$N$6,3,FALSE)))</f>
        <v/>
      </c>
      <c r="M141" s="177" t="str">
        <f>IF(D141="","",VLOOKUP(D141,'G-6 Hedgerow Data'!$B$1:$AH$15,33,FALSE))</f>
        <v/>
      </c>
      <c r="N141" s="207" t="str">
        <f t="shared" si="16"/>
        <v/>
      </c>
      <c r="O141" s="44"/>
      <c r="P141" s="186"/>
      <c r="Q141" s="275"/>
      <c r="R141" s="289" t="str">
        <f t="shared" si="17"/>
        <v/>
      </c>
      <c r="S141" s="289" t="str">
        <f t="shared" si="18"/>
        <v/>
      </c>
      <c r="T141" s="289" t="str">
        <f t="shared" si="19"/>
        <v/>
      </c>
      <c r="U141" s="290" t="str">
        <f t="shared" si="20"/>
        <v/>
      </c>
      <c r="V141" s="182"/>
      <c r="W141" s="183"/>
      <c r="AE141" s="188" t="str">
        <f t="shared" si="14"/>
        <v/>
      </c>
      <c r="AF141" s="188" t="str">
        <f t="shared" si="15"/>
        <v/>
      </c>
      <c r="AH141" s="188">
        <v>132</v>
      </c>
      <c r="AJ141" s="188" t="str">
        <f t="array" ref="AJ141">IFERROR(INDEX($AH$10:$AH$258, MATCH(0, IF(TRUE=$AE$10:$AE$258, COUNTIF($AJ$9:$AJ140, $AH$10:$AH$258), ""), 0)),"")</f>
        <v/>
      </c>
      <c r="AK141" s="188" t="str">
        <f t="array" ref="AK141">IFERROR(INDEX($AH$10:$AH$258, MATCH(0, IF(TRUE=$AF$10:$AF$258, COUNTIF($AK$9:$AK140, $AH$10:$AH$258), ""), 0)),"")</f>
        <v/>
      </c>
      <c r="AL141" s="35" t="str">
        <f>IFERROR(INDEX('G-6 Hedgerow Data'!$BJ$3:$BJ$15,MATCH(D141,'G-6 Hedgerow Data'!$B$3:$B$15,0)),"")</f>
        <v/>
      </c>
    </row>
    <row r="142" spans="2:38" ht="13.8" x14ac:dyDescent="0.25">
      <c r="B142" s="168">
        <v>133</v>
      </c>
      <c r="C142" s="275"/>
      <c r="D142" s="275"/>
      <c r="E142" s="185"/>
      <c r="F142" s="277" t="str">
        <f>IF(D142="","",VLOOKUP(D142,'G-6 Hedgerow Data'!$B$2:$AG$15,2,FALSE))</f>
        <v/>
      </c>
      <c r="G142" s="172" t="str">
        <f>IF(D142="","",VLOOKUP(D142,'G-6 Hedgerow Data'!$B$2:$AG$15,3,FALSE))</f>
        <v/>
      </c>
      <c r="H142" s="173"/>
      <c r="I142" s="172" t="str">
        <f>IFERROR(VLOOKUP(H142,'G-1 All Habitats'!$Z$2:$AA$9,2,FALSE),"")</f>
        <v/>
      </c>
      <c r="J142" s="173"/>
      <c r="K142" s="179" t="str">
        <f>IF(J142="","",IF(VLOOKUP(J142,'G-3 Multipliers'!$L$3:$N$6,2,FALSE)=0,"Spatial Data Missing",VLOOKUP(J142,'G-3 Multipliers'!$L$3:$N$6,2,FALSE)))</f>
        <v/>
      </c>
      <c r="L142" s="260" t="str">
        <f>IF(J142="","",IF(VLOOKUP(J142,'G-3 Multipliers'!$L$3:$N$6,3,FALSE)=0,"Spatial Data Missing",VLOOKUP(J142,'G-3 Multipliers'!$L$3:$N$6,3,FALSE)))</f>
        <v/>
      </c>
      <c r="M142" s="177" t="str">
        <f>IF(D142="","",VLOOKUP(D142,'G-6 Hedgerow Data'!$B$1:$AH$15,33,FALSE))</f>
        <v/>
      </c>
      <c r="N142" s="207" t="str">
        <f t="shared" si="16"/>
        <v/>
      </c>
      <c r="O142" s="44"/>
      <c r="P142" s="186"/>
      <c r="Q142" s="275"/>
      <c r="R142" s="289" t="str">
        <f t="shared" si="17"/>
        <v/>
      </c>
      <c r="S142" s="289" t="str">
        <f t="shared" si="18"/>
        <v/>
      </c>
      <c r="T142" s="289" t="str">
        <f t="shared" si="19"/>
        <v/>
      </c>
      <c r="U142" s="290" t="str">
        <f t="shared" si="20"/>
        <v/>
      </c>
      <c r="V142" s="182"/>
      <c r="W142" s="183"/>
      <c r="AE142" s="188" t="str">
        <f t="shared" si="14"/>
        <v/>
      </c>
      <c r="AF142" s="188" t="str">
        <f t="shared" si="15"/>
        <v/>
      </c>
      <c r="AH142" s="188">
        <v>133</v>
      </c>
      <c r="AJ142" s="188" t="str">
        <f t="array" ref="AJ142">IFERROR(INDEX($AH$10:$AH$258, MATCH(0, IF(TRUE=$AE$10:$AE$258, COUNTIF($AJ$9:$AJ141, $AH$10:$AH$258), ""), 0)),"")</f>
        <v/>
      </c>
      <c r="AK142" s="188" t="str">
        <f t="array" ref="AK142">IFERROR(INDEX($AH$10:$AH$258, MATCH(0, IF(TRUE=$AF$10:$AF$258, COUNTIF($AK$9:$AK141, $AH$10:$AH$258), ""), 0)),"")</f>
        <v/>
      </c>
      <c r="AL142" s="35" t="str">
        <f>IFERROR(INDEX('G-6 Hedgerow Data'!$BJ$3:$BJ$15,MATCH(D142,'G-6 Hedgerow Data'!$B$3:$B$15,0)),"")</f>
        <v/>
      </c>
    </row>
    <row r="143" spans="2:38" ht="13.8" x14ac:dyDescent="0.25">
      <c r="B143" s="168">
        <v>134</v>
      </c>
      <c r="C143" s="275"/>
      <c r="D143" s="275"/>
      <c r="E143" s="185"/>
      <c r="F143" s="277" t="str">
        <f>IF(D143="","",VLOOKUP(D143,'G-6 Hedgerow Data'!$B$2:$AG$15,2,FALSE))</f>
        <v/>
      </c>
      <c r="G143" s="172" t="str">
        <f>IF(D143="","",VLOOKUP(D143,'G-6 Hedgerow Data'!$B$2:$AG$15,3,FALSE))</f>
        <v/>
      </c>
      <c r="H143" s="173"/>
      <c r="I143" s="172" t="str">
        <f>IFERROR(VLOOKUP(H143,'G-1 All Habitats'!$Z$2:$AA$9,2,FALSE),"")</f>
        <v/>
      </c>
      <c r="J143" s="173"/>
      <c r="K143" s="179" t="str">
        <f>IF(J143="","",IF(VLOOKUP(J143,'G-3 Multipliers'!$L$3:$N$6,2,FALSE)=0,"Spatial Data Missing",VLOOKUP(J143,'G-3 Multipliers'!$L$3:$N$6,2,FALSE)))</f>
        <v/>
      </c>
      <c r="L143" s="260" t="str">
        <f>IF(J143="","",IF(VLOOKUP(J143,'G-3 Multipliers'!$L$3:$N$6,3,FALSE)=0,"Spatial Data Missing",VLOOKUP(J143,'G-3 Multipliers'!$L$3:$N$6,3,FALSE)))</f>
        <v/>
      </c>
      <c r="M143" s="177" t="str">
        <f>IF(D143="","",VLOOKUP(D143,'G-6 Hedgerow Data'!$B$1:$AH$15,33,FALSE))</f>
        <v/>
      </c>
      <c r="N143" s="207" t="str">
        <f t="shared" si="16"/>
        <v/>
      </c>
      <c r="O143" s="44"/>
      <c r="P143" s="186"/>
      <c r="Q143" s="275"/>
      <c r="R143" s="289" t="str">
        <f t="shared" si="17"/>
        <v/>
      </c>
      <c r="S143" s="289" t="str">
        <f t="shared" si="18"/>
        <v/>
      </c>
      <c r="T143" s="289" t="str">
        <f t="shared" si="19"/>
        <v/>
      </c>
      <c r="U143" s="290" t="str">
        <f t="shared" si="20"/>
        <v/>
      </c>
      <c r="V143" s="182"/>
      <c r="W143" s="183"/>
      <c r="AE143" s="188" t="str">
        <f t="shared" si="14"/>
        <v/>
      </c>
      <c r="AF143" s="188" t="str">
        <f t="shared" si="15"/>
        <v/>
      </c>
      <c r="AH143" s="188">
        <v>134</v>
      </c>
      <c r="AJ143" s="188" t="str">
        <f t="array" ref="AJ143">IFERROR(INDEX($AH$10:$AH$258, MATCH(0, IF(TRUE=$AE$10:$AE$258, COUNTIF($AJ$9:$AJ142, $AH$10:$AH$258), ""), 0)),"")</f>
        <v/>
      </c>
      <c r="AK143" s="188" t="str">
        <f t="array" ref="AK143">IFERROR(INDEX($AH$10:$AH$258, MATCH(0, IF(TRUE=$AF$10:$AF$258, COUNTIF($AK$9:$AK142, $AH$10:$AH$258), ""), 0)),"")</f>
        <v/>
      </c>
      <c r="AL143" s="35" t="str">
        <f>IFERROR(INDEX('G-6 Hedgerow Data'!$BJ$3:$BJ$15,MATCH(D143,'G-6 Hedgerow Data'!$B$3:$B$15,0)),"")</f>
        <v/>
      </c>
    </row>
    <row r="144" spans="2:38" ht="13.8" x14ac:dyDescent="0.25">
      <c r="B144" s="168">
        <v>135</v>
      </c>
      <c r="C144" s="275"/>
      <c r="D144" s="275"/>
      <c r="E144" s="185"/>
      <c r="F144" s="277" t="str">
        <f>IF(D144="","",VLOOKUP(D144,'G-6 Hedgerow Data'!$B$2:$AG$15,2,FALSE))</f>
        <v/>
      </c>
      <c r="G144" s="172" t="str">
        <f>IF(D144="","",VLOOKUP(D144,'G-6 Hedgerow Data'!$B$2:$AG$15,3,FALSE))</f>
        <v/>
      </c>
      <c r="H144" s="173"/>
      <c r="I144" s="172" t="str">
        <f>IFERROR(VLOOKUP(H144,'G-1 All Habitats'!$Z$2:$AA$9,2,FALSE),"")</f>
        <v/>
      </c>
      <c r="J144" s="173"/>
      <c r="K144" s="179" t="str">
        <f>IF(J144="","",IF(VLOOKUP(J144,'G-3 Multipliers'!$L$3:$N$6,2,FALSE)=0,"Spatial Data Missing",VLOOKUP(J144,'G-3 Multipliers'!$L$3:$N$6,2,FALSE)))</f>
        <v/>
      </c>
      <c r="L144" s="260" t="str">
        <f>IF(J144="","",IF(VLOOKUP(J144,'G-3 Multipliers'!$L$3:$N$6,3,FALSE)=0,"Spatial Data Missing",VLOOKUP(J144,'G-3 Multipliers'!$L$3:$N$6,3,FALSE)))</f>
        <v/>
      </c>
      <c r="M144" s="177" t="str">
        <f>IF(D144="","",VLOOKUP(D144,'G-6 Hedgerow Data'!$B$1:$AH$15,33,FALSE))</f>
        <v/>
      </c>
      <c r="N144" s="207" t="str">
        <f t="shared" si="16"/>
        <v/>
      </c>
      <c r="O144" s="44"/>
      <c r="P144" s="186"/>
      <c r="Q144" s="275"/>
      <c r="R144" s="289" t="str">
        <f t="shared" si="17"/>
        <v/>
      </c>
      <c r="S144" s="289" t="str">
        <f t="shared" si="18"/>
        <v/>
      </c>
      <c r="T144" s="289" t="str">
        <f t="shared" si="19"/>
        <v/>
      </c>
      <c r="U144" s="290" t="str">
        <f t="shared" si="20"/>
        <v/>
      </c>
      <c r="V144" s="182"/>
      <c r="W144" s="183"/>
      <c r="AE144" s="188" t="str">
        <f t="shared" si="14"/>
        <v/>
      </c>
      <c r="AF144" s="188" t="str">
        <f t="shared" si="15"/>
        <v/>
      </c>
      <c r="AH144" s="188">
        <v>135</v>
      </c>
      <c r="AJ144" s="188" t="str">
        <f t="array" ref="AJ144">IFERROR(INDEX($AH$10:$AH$258, MATCH(0, IF(TRUE=$AE$10:$AE$258, COUNTIF($AJ$9:$AJ143, $AH$10:$AH$258), ""), 0)),"")</f>
        <v/>
      </c>
      <c r="AK144" s="188" t="str">
        <f t="array" ref="AK144">IFERROR(INDEX($AH$10:$AH$258, MATCH(0, IF(TRUE=$AF$10:$AF$258, COUNTIF($AK$9:$AK143, $AH$10:$AH$258), ""), 0)),"")</f>
        <v/>
      </c>
      <c r="AL144" s="35" t="str">
        <f>IFERROR(INDEX('G-6 Hedgerow Data'!$BJ$3:$BJ$15,MATCH(D144,'G-6 Hedgerow Data'!$B$3:$B$15,0)),"")</f>
        <v/>
      </c>
    </row>
    <row r="145" spans="2:38" ht="13.8" x14ac:dyDescent="0.25">
      <c r="B145" s="168">
        <v>136</v>
      </c>
      <c r="C145" s="275"/>
      <c r="D145" s="275"/>
      <c r="E145" s="185"/>
      <c r="F145" s="277" t="str">
        <f>IF(D145="","",VLOOKUP(D145,'G-6 Hedgerow Data'!$B$2:$AG$15,2,FALSE))</f>
        <v/>
      </c>
      <c r="G145" s="172" t="str">
        <f>IF(D145="","",VLOOKUP(D145,'G-6 Hedgerow Data'!$B$2:$AG$15,3,FALSE))</f>
        <v/>
      </c>
      <c r="H145" s="173"/>
      <c r="I145" s="172" t="str">
        <f>IFERROR(VLOOKUP(H145,'G-1 All Habitats'!$Z$2:$AA$9,2,FALSE),"")</f>
        <v/>
      </c>
      <c r="J145" s="173"/>
      <c r="K145" s="179" t="str">
        <f>IF(J145="","",IF(VLOOKUP(J145,'G-3 Multipliers'!$L$3:$N$6,2,FALSE)=0,"Spatial Data Missing",VLOOKUP(J145,'G-3 Multipliers'!$L$3:$N$6,2,FALSE)))</f>
        <v/>
      </c>
      <c r="L145" s="260" t="str">
        <f>IF(J145="","",IF(VLOOKUP(J145,'G-3 Multipliers'!$L$3:$N$6,3,FALSE)=0,"Spatial Data Missing",VLOOKUP(J145,'G-3 Multipliers'!$L$3:$N$6,3,FALSE)))</f>
        <v/>
      </c>
      <c r="M145" s="177" t="str">
        <f>IF(D145="","",VLOOKUP(D145,'G-6 Hedgerow Data'!$B$1:$AH$15,33,FALSE))</f>
        <v/>
      </c>
      <c r="N145" s="207" t="str">
        <f t="shared" si="16"/>
        <v/>
      </c>
      <c r="O145" s="44"/>
      <c r="P145" s="186"/>
      <c r="Q145" s="275"/>
      <c r="R145" s="289" t="str">
        <f t="shared" si="17"/>
        <v/>
      </c>
      <c r="S145" s="289" t="str">
        <f t="shared" si="18"/>
        <v/>
      </c>
      <c r="T145" s="289" t="str">
        <f t="shared" si="19"/>
        <v/>
      </c>
      <c r="U145" s="290" t="str">
        <f t="shared" si="20"/>
        <v/>
      </c>
      <c r="V145" s="182"/>
      <c r="W145" s="183"/>
      <c r="AE145" s="188" t="str">
        <f t="shared" si="14"/>
        <v/>
      </c>
      <c r="AF145" s="188" t="str">
        <f t="shared" si="15"/>
        <v/>
      </c>
      <c r="AH145" s="188">
        <v>136</v>
      </c>
      <c r="AJ145" s="188" t="str">
        <f t="array" ref="AJ145">IFERROR(INDEX($AH$10:$AH$258, MATCH(0, IF(TRUE=$AE$10:$AE$258, COUNTIF($AJ$9:$AJ144, $AH$10:$AH$258), ""), 0)),"")</f>
        <v/>
      </c>
      <c r="AK145" s="188" t="str">
        <f t="array" ref="AK145">IFERROR(INDEX($AH$10:$AH$258, MATCH(0, IF(TRUE=$AF$10:$AF$258, COUNTIF($AK$9:$AK144, $AH$10:$AH$258), ""), 0)),"")</f>
        <v/>
      </c>
      <c r="AL145" s="35" t="str">
        <f>IFERROR(INDEX('G-6 Hedgerow Data'!$BJ$3:$BJ$15,MATCH(D145,'G-6 Hedgerow Data'!$B$3:$B$15,0)),"")</f>
        <v/>
      </c>
    </row>
    <row r="146" spans="2:38" ht="13.8" x14ac:dyDescent="0.25">
      <c r="B146" s="168">
        <v>137</v>
      </c>
      <c r="C146" s="275"/>
      <c r="D146" s="275"/>
      <c r="E146" s="185"/>
      <c r="F146" s="277" t="str">
        <f>IF(D146="","",VLOOKUP(D146,'G-6 Hedgerow Data'!$B$2:$AG$15,2,FALSE))</f>
        <v/>
      </c>
      <c r="G146" s="172" t="str">
        <f>IF(D146="","",VLOOKUP(D146,'G-6 Hedgerow Data'!$B$2:$AG$15,3,FALSE))</f>
        <v/>
      </c>
      <c r="H146" s="173"/>
      <c r="I146" s="172" t="str">
        <f>IFERROR(VLOOKUP(H146,'G-1 All Habitats'!$Z$2:$AA$9,2,FALSE),"")</f>
        <v/>
      </c>
      <c r="J146" s="173"/>
      <c r="K146" s="179" t="str">
        <f>IF(J146="","",IF(VLOOKUP(J146,'G-3 Multipliers'!$L$3:$N$6,2,FALSE)=0,"Spatial Data Missing",VLOOKUP(J146,'G-3 Multipliers'!$L$3:$N$6,2,FALSE)))</f>
        <v/>
      </c>
      <c r="L146" s="260" t="str">
        <f>IF(J146="","",IF(VLOOKUP(J146,'G-3 Multipliers'!$L$3:$N$6,3,FALSE)=0,"Spatial Data Missing",VLOOKUP(J146,'G-3 Multipliers'!$L$3:$N$6,3,FALSE)))</f>
        <v/>
      </c>
      <c r="M146" s="177" t="str">
        <f>IF(D146="","",VLOOKUP(D146,'G-6 Hedgerow Data'!$B$1:$AH$15,33,FALSE))</f>
        <v/>
      </c>
      <c r="N146" s="207" t="str">
        <f t="shared" si="16"/>
        <v/>
      </c>
      <c r="O146" s="44"/>
      <c r="P146" s="186"/>
      <c r="Q146" s="275"/>
      <c r="R146" s="289" t="str">
        <f t="shared" si="17"/>
        <v/>
      </c>
      <c r="S146" s="289" t="str">
        <f t="shared" si="18"/>
        <v/>
      </c>
      <c r="T146" s="289" t="str">
        <f t="shared" si="19"/>
        <v/>
      </c>
      <c r="U146" s="290" t="str">
        <f t="shared" si="20"/>
        <v/>
      </c>
      <c r="V146" s="182"/>
      <c r="W146" s="183"/>
      <c r="AE146" s="188" t="str">
        <f t="shared" si="14"/>
        <v/>
      </c>
      <c r="AF146" s="188" t="str">
        <f t="shared" si="15"/>
        <v/>
      </c>
      <c r="AH146" s="188">
        <v>137</v>
      </c>
      <c r="AJ146" s="188" t="str">
        <f t="array" ref="AJ146">IFERROR(INDEX($AH$10:$AH$258, MATCH(0, IF(TRUE=$AE$10:$AE$258, COUNTIF($AJ$9:$AJ145, $AH$10:$AH$258), ""), 0)),"")</f>
        <v/>
      </c>
      <c r="AK146" s="188" t="str">
        <f t="array" ref="AK146">IFERROR(INDEX($AH$10:$AH$258, MATCH(0, IF(TRUE=$AF$10:$AF$258, COUNTIF($AK$9:$AK145, $AH$10:$AH$258), ""), 0)),"")</f>
        <v/>
      </c>
      <c r="AL146" s="35" t="str">
        <f>IFERROR(INDEX('G-6 Hedgerow Data'!$BJ$3:$BJ$15,MATCH(D146,'G-6 Hedgerow Data'!$B$3:$B$15,0)),"")</f>
        <v/>
      </c>
    </row>
    <row r="147" spans="2:38" ht="13.8" x14ac:dyDescent="0.25">
      <c r="B147" s="168">
        <v>138</v>
      </c>
      <c r="C147" s="275"/>
      <c r="D147" s="275"/>
      <c r="E147" s="185"/>
      <c r="F147" s="277" t="str">
        <f>IF(D147="","",VLOOKUP(D147,'G-6 Hedgerow Data'!$B$2:$AG$15,2,FALSE))</f>
        <v/>
      </c>
      <c r="G147" s="172" t="str">
        <f>IF(D147="","",VLOOKUP(D147,'G-6 Hedgerow Data'!$B$2:$AG$15,3,FALSE))</f>
        <v/>
      </c>
      <c r="H147" s="173"/>
      <c r="I147" s="172" t="str">
        <f>IFERROR(VLOOKUP(H147,'G-1 All Habitats'!$Z$2:$AA$9,2,FALSE),"")</f>
        <v/>
      </c>
      <c r="J147" s="173"/>
      <c r="K147" s="179" t="str">
        <f>IF(J147="","",IF(VLOOKUP(J147,'G-3 Multipliers'!$L$3:$N$6,2,FALSE)=0,"Spatial Data Missing",VLOOKUP(J147,'G-3 Multipliers'!$L$3:$N$6,2,FALSE)))</f>
        <v/>
      </c>
      <c r="L147" s="260" t="str">
        <f>IF(J147="","",IF(VLOOKUP(J147,'G-3 Multipliers'!$L$3:$N$6,3,FALSE)=0,"Spatial Data Missing",VLOOKUP(J147,'G-3 Multipliers'!$L$3:$N$6,3,FALSE)))</f>
        <v/>
      </c>
      <c r="M147" s="177" t="str">
        <f>IF(D147="","",VLOOKUP(D147,'G-6 Hedgerow Data'!$B$1:$AH$15,33,FALSE))</f>
        <v/>
      </c>
      <c r="N147" s="207" t="str">
        <f t="shared" si="16"/>
        <v/>
      </c>
      <c r="O147" s="44"/>
      <c r="P147" s="186"/>
      <c r="Q147" s="275"/>
      <c r="R147" s="289" t="str">
        <f t="shared" si="17"/>
        <v/>
      </c>
      <c r="S147" s="289" t="str">
        <f t="shared" si="18"/>
        <v/>
      </c>
      <c r="T147" s="289" t="str">
        <f t="shared" si="19"/>
        <v/>
      </c>
      <c r="U147" s="290" t="str">
        <f t="shared" si="20"/>
        <v/>
      </c>
      <c r="V147" s="182"/>
      <c r="W147" s="183"/>
      <c r="AE147" s="188" t="str">
        <f t="shared" si="14"/>
        <v/>
      </c>
      <c r="AF147" s="188" t="str">
        <f t="shared" si="15"/>
        <v/>
      </c>
      <c r="AH147" s="188">
        <v>138</v>
      </c>
      <c r="AJ147" s="188" t="str">
        <f t="array" ref="AJ147">IFERROR(INDEX($AH$10:$AH$258, MATCH(0, IF(TRUE=$AE$10:$AE$258, COUNTIF($AJ$9:$AJ146, $AH$10:$AH$258), ""), 0)),"")</f>
        <v/>
      </c>
      <c r="AK147" s="188" t="str">
        <f t="array" ref="AK147">IFERROR(INDEX($AH$10:$AH$258, MATCH(0, IF(TRUE=$AF$10:$AF$258, COUNTIF($AK$9:$AK146, $AH$10:$AH$258), ""), 0)),"")</f>
        <v/>
      </c>
      <c r="AL147" s="35" t="str">
        <f>IFERROR(INDEX('G-6 Hedgerow Data'!$BJ$3:$BJ$15,MATCH(D147,'G-6 Hedgerow Data'!$B$3:$B$15,0)),"")</f>
        <v/>
      </c>
    </row>
    <row r="148" spans="2:38" ht="13.8" x14ac:dyDescent="0.25">
      <c r="B148" s="168">
        <v>139</v>
      </c>
      <c r="C148" s="275"/>
      <c r="D148" s="275"/>
      <c r="E148" s="185"/>
      <c r="F148" s="277" t="str">
        <f>IF(D148="","",VLOOKUP(D148,'G-6 Hedgerow Data'!$B$2:$AG$15,2,FALSE))</f>
        <v/>
      </c>
      <c r="G148" s="172" t="str">
        <f>IF(D148="","",VLOOKUP(D148,'G-6 Hedgerow Data'!$B$2:$AG$15,3,FALSE))</f>
        <v/>
      </c>
      <c r="H148" s="173"/>
      <c r="I148" s="172" t="str">
        <f>IFERROR(VLOOKUP(H148,'G-1 All Habitats'!$Z$2:$AA$9,2,FALSE),"")</f>
        <v/>
      </c>
      <c r="J148" s="173"/>
      <c r="K148" s="179" t="str">
        <f>IF(J148="","",IF(VLOOKUP(J148,'G-3 Multipliers'!$L$3:$N$6,2,FALSE)=0,"Spatial Data Missing",VLOOKUP(J148,'G-3 Multipliers'!$L$3:$N$6,2,FALSE)))</f>
        <v/>
      </c>
      <c r="L148" s="260" t="str">
        <f>IF(J148="","",IF(VLOOKUP(J148,'G-3 Multipliers'!$L$3:$N$6,3,FALSE)=0,"Spatial Data Missing",VLOOKUP(J148,'G-3 Multipliers'!$L$3:$N$6,3,FALSE)))</f>
        <v/>
      </c>
      <c r="M148" s="177" t="str">
        <f>IF(D148="","",VLOOKUP(D148,'G-6 Hedgerow Data'!$B$1:$AH$15,33,FALSE))</f>
        <v/>
      </c>
      <c r="N148" s="207" t="str">
        <f t="shared" si="16"/>
        <v/>
      </c>
      <c r="O148" s="44"/>
      <c r="P148" s="186"/>
      <c r="Q148" s="275"/>
      <c r="R148" s="289" t="str">
        <f t="shared" si="17"/>
        <v/>
      </c>
      <c r="S148" s="289" t="str">
        <f t="shared" si="18"/>
        <v/>
      </c>
      <c r="T148" s="289" t="str">
        <f t="shared" si="19"/>
        <v/>
      </c>
      <c r="U148" s="290" t="str">
        <f t="shared" si="20"/>
        <v/>
      </c>
      <c r="V148" s="182"/>
      <c r="W148" s="183"/>
      <c r="AE148" s="188" t="str">
        <f t="shared" si="14"/>
        <v/>
      </c>
      <c r="AF148" s="188" t="str">
        <f t="shared" si="15"/>
        <v/>
      </c>
      <c r="AH148" s="188">
        <v>139</v>
      </c>
      <c r="AJ148" s="188" t="str">
        <f t="array" ref="AJ148">IFERROR(INDEX($AH$10:$AH$258, MATCH(0, IF(TRUE=$AE$10:$AE$258, COUNTIF($AJ$9:$AJ147, $AH$10:$AH$258), ""), 0)),"")</f>
        <v/>
      </c>
      <c r="AK148" s="188" t="str">
        <f t="array" ref="AK148">IFERROR(INDEX($AH$10:$AH$258, MATCH(0, IF(TRUE=$AF$10:$AF$258, COUNTIF($AK$9:$AK147, $AH$10:$AH$258), ""), 0)),"")</f>
        <v/>
      </c>
      <c r="AL148" s="35" t="str">
        <f>IFERROR(INDEX('G-6 Hedgerow Data'!$BJ$3:$BJ$15,MATCH(D148,'G-6 Hedgerow Data'!$B$3:$B$15,0)),"")</f>
        <v/>
      </c>
    </row>
    <row r="149" spans="2:38" ht="13.8" x14ac:dyDescent="0.25">
      <c r="B149" s="168">
        <v>140</v>
      </c>
      <c r="C149" s="275"/>
      <c r="D149" s="275"/>
      <c r="E149" s="185"/>
      <c r="F149" s="277" t="str">
        <f>IF(D149="","",VLOOKUP(D149,'G-6 Hedgerow Data'!$B$2:$AG$15,2,FALSE))</f>
        <v/>
      </c>
      <c r="G149" s="172" t="str">
        <f>IF(D149="","",VLOOKUP(D149,'G-6 Hedgerow Data'!$B$2:$AG$15,3,FALSE))</f>
        <v/>
      </c>
      <c r="H149" s="173"/>
      <c r="I149" s="172" t="str">
        <f>IFERROR(VLOOKUP(H149,'G-1 All Habitats'!$Z$2:$AA$9,2,FALSE),"")</f>
        <v/>
      </c>
      <c r="J149" s="173"/>
      <c r="K149" s="179" t="str">
        <f>IF(J149="","",IF(VLOOKUP(J149,'G-3 Multipliers'!$L$3:$N$6,2,FALSE)=0,"Spatial Data Missing",VLOOKUP(J149,'G-3 Multipliers'!$L$3:$N$6,2,FALSE)))</f>
        <v/>
      </c>
      <c r="L149" s="260" t="str">
        <f>IF(J149="","",IF(VLOOKUP(J149,'G-3 Multipliers'!$L$3:$N$6,3,FALSE)=0,"Spatial Data Missing",VLOOKUP(J149,'G-3 Multipliers'!$L$3:$N$6,3,FALSE)))</f>
        <v/>
      </c>
      <c r="M149" s="177" t="str">
        <f>IF(D149="","",VLOOKUP(D149,'G-6 Hedgerow Data'!$B$1:$AH$15,33,FALSE))</f>
        <v/>
      </c>
      <c r="N149" s="207" t="str">
        <f t="shared" si="16"/>
        <v/>
      </c>
      <c r="O149" s="44"/>
      <c r="P149" s="186"/>
      <c r="Q149" s="275"/>
      <c r="R149" s="289" t="str">
        <f t="shared" si="17"/>
        <v/>
      </c>
      <c r="S149" s="289" t="str">
        <f t="shared" si="18"/>
        <v/>
      </c>
      <c r="T149" s="289" t="str">
        <f t="shared" si="19"/>
        <v/>
      </c>
      <c r="U149" s="290" t="str">
        <f t="shared" si="20"/>
        <v/>
      </c>
      <c r="V149" s="182"/>
      <c r="W149" s="183"/>
      <c r="AE149" s="188" t="str">
        <f t="shared" si="14"/>
        <v/>
      </c>
      <c r="AF149" s="188" t="str">
        <f t="shared" si="15"/>
        <v/>
      </c>
      <c r="AH149" s="188">
        <v>140</v>
      </c>
      <c r="AJ149" s="188" t="str">
        <f t="array" ref="AJ149">IFERROR(INDEX($AH$10:$AH$258, MATCH(0, IF(TRUE=$AE$10:$AE$258, COUNTIF($AJ$9:$AJ148, $AH$10:$AH$258), ""), 0)),"")</f>
        <v/>
      </c>
      <c r="AK149" s="188" t="str">
        <f t="array" ref="AK149">IFERROR(INDEX($AH$10:$AH$258, MATCH(0, IF(TRUE=$AF$10:$AF$258, COUNTIF($AK$9:$AK148, $AH$10:$AH$258), ""), 0)),"")</f>
        <v/>
      </c>
      <c r="AL149" s="35" t="str">
        <f>IFERROR(INDEX('G-6 Hedgerow Data'!$BJ$3:$BJ$15,MATCH(D149,'G-6 Hedgerow Data'!$B$3:$B$15,0)),"")</f>
        <v/>
      </c>
    </row>
    <row r="150" spans="2:38" ht="13.8" x14ac:dyDescent="0.25">
      <c r="B150" s="168">
        <v>141</v>
      </c>
      <c r="C150" s="275"/>
      <c r="D150" s="275"/>
      <c r="E150" s="185"/>
      <c r="F150" s="277" t="str">
        <f>IF(D150="","",VLOOKUP(D150,'G-6 Hedgerow Data'!$B$2:$AG$15,2,FALSE))</f>
        <v/>
      </c>
      <c r="G150" s="172" t="str">
        <f>IF(D150="","",VLOOKUP(D150,'G-6 Hedgerow Data'!$B$2:$AG$15,3,FALSE))</f>
        <v/>
      </c>
      <c r="H150" s="173"/>
      <c r="I150" s="172" t="str">
        <f>IFERROR(VLOOKUP(H150,'G-1 All Habitats'!$Z$2:$AA$9,2,FALSE),"")</f>
        <v/>
      </c>
      <c r="J150" s="173"/>
      <c r="K150" s="179" t="str">
        <f>IF(J150="","",IF(VLOOKUP(J150,'G-3 Multipliers'!$L$3:$N$6,2,FALSE)=0,"Spatial Data Missing",VLOOKUP(J150,'G-3 Multipliers'!$L$3:$N$6,2,FALSE)))</f>
        <v/>
      </c>
      <c r="L150" s="260" t="str">
        <f>IF(J150="","",IF(VLOOKUP(J150,'G-3 Multipliers'!$L$3:$N$6,3,FALSE)=0,"Spatial Data Missing",VLOOKUP(J150,'G-3 Multipliers'!$L$3:$N$6,3,FALSE)))</f>
        <v/>
      </c>
      <c r="M150" s="177" t="str">
        <f>IF(D150="","",VLOOKUP(D150,'G-6 Hedgerow Data'!$B$1:$AH$15,33,FALSE))</f>
        <v/>
      </c>
      <c r="N150" s="207" t="str">
        <f t="shared" si="16"/>
        <v/>
      </c>
      <c r="O150" s="44"/>
      <c r="P150" s="186"/>
      <c r="Q150" s="275"/>
      <c r="R150" s="289" t="str">
        <f t="shared" si="17"/>
        <v/>
      </c>
      <c r="S150" s="289" t="str">
        <f t="shared" si="18"/>
        <v/>
      </c>
      <c r="T150" s="289" t="str">
        <f t="shared" si="19"/>
        <v/>
      </c>
      <c r="U150" s="290" t="str">
        <f t="shared" si="20"/>
        <v/>
      </c>
      <c r="V150" s="182"/>
      <c r="W150" s="183"/>
      <c r="AE150" s="188" t="str">
        <f t="shared" si="14"/>
        <v/>
      </c>
      <c r="AF150" s="188" t="str">
        <f t="shared" si="15"/>
        <v/>
      </c>
      <c r="AH150" s="188">
        <v>141</v>
      </c>
      <c r="AJ150" s="188" t="str">
        <f t="array" ref="AJ150">IFERROR(INDEX($AH$10:$AH$258, MATCH(0, IF(TRUE=$AE$10:$AE$258, COUNTIF($AJ$9:$AJ149, $AH$10:$AH$258), ""), 0)),"")</f>
        <v/>
      </c>
      <c r="AK150" s="188" t="str">
        <f t="array" ref="AK150">IFERROR(INDEX($AH$10:$AH$258, MATCH(0, IF(TRUE=$AF$10:$AF$258, COUNTIF($AK$9:$AK149, $AH$10:$AH$258), ""), 0)),"")</f>
        <v/>
      </c>
      <c r="AL150" s="35" t="str">
        <f>IFERROR(INDEX('G-6 Hedgerow Data'!$BJ$3:$BJ$15,MATCH(D150,'G-6 Hedgerow Data'!$B$3:$B$15,0)),"")</f>
        <v/>
      </c>
    </row>
    <row r="151" spans="2:38" ht="13.8" x14ac:dyDescent="0.25">
      <c r="B151" s="168">
        <v>142</v>
      </c>
      <c r="C151" s="275"/>
      <c r="D151" s="275"/>
      <c r="E151" s="185"/>
      <c r="F151" s="277" t="str">
        <f>IF(D151="","",VLOOKUP(D151,'G-6 Hedgerow Data'!$B$2:$AG$15,2,FALSE))</f>
        <v/>
      </c>
      <c r="G151" s="172" t="str">
        <f>IF(D151="","",VLOOKUP(D151,'G-6 Hedgerow Data'!$B$2:$AG$15,3,FALSE))</f>
        <v/>
      </c>
      <c r="H151" s="173"/>
      <c r="I151" s="172" t="str">
        <f>IFERROR(VLOOKUP(H151,'G-1 All Habitats'!$Z$2:$AA$9,2,FALSE),"")</f>
        <v/>
      </c>
      <c r="J151" s="173"/>
      <c r="K151" s="179" t="str">
        <f>IF(J151="","",IF(VLOOKUP(J151,'G-3 Multipliers'!$L$3:$N$6,2,FALSE)=0,"Spatial Data Missing",VLOOKUP(J151,'G-3 Multipliers'!$L$3:$N$6,2,FALSE)))</f>
        <v/>
      </c>
      <c r="L151" s="260" t="str">
        <f>IF(J151="","",IF(VLOOKUP(J151,'G-3 Multipliers'!$L$3:$N$6,3,FALSE)=0,"Spatial Data Missing",VLOOKUP(J151,'G-3 Multipliers'!$L$3:$N$6,3,FALSE)))</f>
        <v/>
      </c>
      <c r="M151" s="177" t="str">
        <f>IF(D151="","",VLOOKUP(D151,'G-6 Hedgerow Data'!$B$1:$AH$15,33,FALSE))</f>
        <v/>
      </c>
      <c r="N151" s="207" t="str">
        <f t="shared" si="16"/>
        <v/>
      </c>
      <c r="O151" s="44"/>
      <c r="P151" s="186"/>
      <c r="Q151" s="275"/>
      <c r="R151" s="289" t="str">
        <f t="shared" si="17"/>
        <v/>
      </c>
      <c r="S151" s="289" t="str">
        <f t="shared" si="18"/>
        <v/>
      </c>
      <c r="T151" s="289" t="str">
        <f t="shared" si="19"/>
        <v/>
      </c>
      <c r="U151" s="290" t="str">
        <f t="shared" si="20"/>
        <v/>
      </c>
      <c r="V151" s="182"/>
      <c r="W151" s="183"/>
      <c r="AE151" s="188" t="str">
        <f t="shared" si="14"/>
        <v/>
      </c>
      <c r="AF151" s="188" t="str">
        <f t="shared" si="15"/>
        <v/>
      </c>
      <c r="AH151" s="188">
        <v>142</v>
      </c>
      <c r="AJ151" s="188" t="str">
        <f t="array" ref="AJ151">IFERROR(INDEX($AH$10:$AH$258, MATCH(0, IF(TRUE=$AE$10:$AE$258, COUNTIF($AJ$9:$AJ150, $AH$10:$AH$258), ""), 0)),"")</f>
        <v/>
      </c>
      <c r="AK151" s="188" t="str">
        <f t="array" ref="AK151">IFERROR(INDEX($AH$10:$AH$258, MATCH(0, IF(TRUE=$AF$10:$AF$258, COUNTIF($AK$9:$AK150, $AH$10:$AH$258), ""), 0)),"")</f>
        <v/>
      </c>
      <c r="AL151" s="35" t="str">
        <f>IFERROR(INDEX('G-6 Hedgerow Data'!$BJ$3:$BJ$15,MATCH(D151,'G-6 Hedgerow Data'!$B$3:$B$15,0)),"")</f>
        <v/>
      </c>
    </row>
    <row r="152" spans="2:38" ht="13.8" x14ac:dyDescent="0.25">
      <c r="B152" s="168">
        <v>143</v>
      </c>
      <c r="C152" s="275"/>
      <c r="D152" s="275"/>
      <c r="E152" s="185"/>
      <c r="F152" s="277" t="str">
        <f>IF(D152="","",VLOOKUP(D152,'G-6 Hedgerow Data'!$B$2:$AG$15,2,FALSE))</f>
        <v/>
      </c>
      <c r="G152" s="172" t="str">
        <f>IF(D152="","",VLOOKUP(D152,'G-6 Hedgerow Data'!$B$2:$AG$15,3,FALSE))</f>
        <v/>
      </c>
      <c r="H152" s="173"/>
      <c r="I152" s="172" t="str">
        <f>IFERROR(VLOOKUP(H152,'G-1 All Habitats'!$Z$2:$AA$9,2,FALSE),"")</f>
        <v/>
      </c>
      <c r="J152" s="173"/>
      <c r="K152" s="179" t="str">
        <f>IF(J152="","",IF(VLOOKUP(J152,'G-3 Multipliers'!$L$3:$N$6,2,FALSE)=0,"Spatial Data Missing",VLOOKUP(J152,'G-3 Multipliers'!$L$3:$N$6,2,FALSE)))</f>
        <v/>
      </c>
      <c r="L152" s="260" t="str">
        <f>IF(J152="","",IF(VLOOKUP(J152,'G-3 Multipliers'!$L$3:$N$6,3,FALSE)=0,"Spatial Data Missing",VLOOKUP(J152,'G-3 Multipliers'!$L$3:$N$6,3,FALSE)))</f>
        <v/>
      </c>
      <c r="M152" s="177" t="str">
        <f>IF(D152="","",VLOOKUP(D152,'G-6 Hedgerow Data'!$B$1:$AH$15,33,FALSE))</f>
        <v/>
      </c>
      <c r="N152" s="207" t="str">
        <f t="shared" si="16"/>
        <v/>
      </c>
      <c r="O152" s="44"/>
      <c r="P152" s="186"/>
      <c r="Q152" s="275"/>
      <c r="R152" s="289" t="str">
        <f t="shared" si="17"/>
        <v/>
      </c>
      <c r="S152" s="289" t="str">
        <f t="shared" si="18"/>
        <v/>
      </c>
      <c r="T152" s="289" t="str">
        <f t="shared" si="19"/>
        <v/>
      </c>
      <c r="U152" s="290" t="str">
        <f t="shared" si="20"/>
        <v/>
      </c>
      <c r="V152" s="182"/>
      <c r="W152" s="183"/>
      <c r="AE152" s="188" t="str">
        <f t="shared" si="14"/>
        <v/>
      </c>
      <c r="AF152" s="188" t="str">
        <f t="shared" si="15"/>
        <v/>
      </c>
      <c r="AH152" s="188">
        <v>143</v>
      </c>
      <c r="AJ152" s="188" t="str">
        <f t="array" ref="AJ152">IFERROR(INDEX($AH$10:$AH$258, MATCH(0, IF(TRUE=$AE$10:$AE$258, COUNTIF($AJ$9:$AJ151, $AH$10:$AH$258), ""), 0)),"")</f>
        <v/>
      </c>
      <c r="AK152" s="188" t="str">
        <f t="array" ref="AK152">IFERROR(INDEX($AH$10:$AH$258, MATCH(0, IF(TRUE=$AF$10:$AF$258, COUNTIF($AK$9:$AK151, $AH$10:$AH$258), ""), 0)),"")</f>
        <v/>
      </c>
      <c r="AL152" s="35" t="str">
        <f>IFERROR(INDEX('G-6 Hedgerow Data'!$BJ$3:$BJ$15,MATCH(D152,'G-6 Hedgerow Data'!$B$3:$B$15,0)),"")</f>
        <v/>
      </c>
    </row>
    <row r="153" spans="2:38" ht="13.8" x14ac:dyDescent="0.25">
      <c r="B153" s="168">
        <v>144</v>
      </c>
      <c r="C153" s="275"/>
      <c r="D153" s="275"/>
      <c r="E153" s="185"/>
      <c r="F153" s="277" t="str">
        <f>IF(D153="","",VLOOKUP(D153,'G-6 Hedgerow Data'!$B$2:$AG$15,2,FALSE))</f>
        <v/>
      </c>
      <c r="G153" s="172" t="str">
        <f>IF(D153="","",VLOOKUP(D153,'G-6 Hedgerow Data'!$B$2:$AG$15,3,FALSE))</f>
        <v/>
      </c>
      <c r="H153" s="173"/>
      <c r="I153" s="172" t="str">
        <f>IFERROR(VLOOKUP(H153,'G-1 All Habitats'!$Z$2:$AA$9,2,FALSE),"")</f>
        <v/>
      </c>
      <c r="J153" s="173"/>
      <c r="K153" s="179" t="str">
        <f>IF(J153="","",IF(VLOOKUP(J153,'G-3 Multipliers'!$L$3:$N$6,2,FALSE)=0,"Spatial Data Missing",VLOOKUP(J153,'G-3 Multipliers'!$L$3:$N$6,2,FALSE)))</f>
        <v/>
      </c>
      <c r="L153" s="260" t="str">
        <f>IF(J153="","",IF(VLOOKUP(J153,'G-3 Multipliers'!$L$3:$N$6,3,FALSE)=0,"Spatial Data Missing",VLOOKUP(J153,'G-3 Multipliers'!$L$3:$N$6,3,FALSE)))</f>
        <v/>
      </c>
      <c r="M153" s="177" t="str">
        <f>IF(D153="","",VLOOKUP(D153,'G-6 Hedgerow Data'!$B$1:$AH$15,33,FALSE))</f>
        <v/>
      </c>
      <c r="N153" s="207" t="str">
        <f t="shared" si="16"/>
        <v/>
      </c>
      <c r="O153" s="44"/>
      <c r="P153" s="186"/>
      <c r="Q153" s="275"/>
      <c r="R153" s="289" t="str">
        <f t="shared" si="17"/>
        <v/>
      </c>
      <c r="S153" s="289" t="str">
        <f t="shared" si="18"/>
        <v/>
      </c>
      <c r="T153" s="289" t="str">
        <f t="shared" si="19"/>
        <v/>
      </c>
      <c r="U153" s="290" t="str">
        <f t="shared" si="20"/>
        <v/>
      </c>
      <c r="V153" s="182"/>
      <c r="W153" s="183"/>
      <c r="AE153" s="188" t="str">
        <f t="shared" si="14"/>
        <v/>
      </c>
      <c r="AF153" s="188" t="str">
        <f t="shared" si="15"/>
        <v/>
      </c>
      <c r="AH153" s="188">
        <v>144</v>
      </c>
      <c r="AJ153" s="188" t="str">
        <f t="array" ref="AJ153">IFERROR(INDEX($AH$10:$AH$258, MATCH(0, IF(TRUE=$AE$10:$AE$258, COUNTIF($AJ$9:$AJ152, $AH$10:$AH$258), ""), 0)),"")</f>
        <v/>
      </c>
      <c r="AK153" s="188" t="str">
        <f t="array" ref="AK153">IFERROR(INDEX($AH$10:$AH$258, MATCH(0, IF(TRUE=$AF$10:$AF$258, COUNTIF($AK$9:$AK152, $AH$10:$AH$258), ""), 0)),"")</f>
        <v/>
      </c>
      <c r="AL153" s="35" t="str">
        <f>IFERROR(INDEX('G-6 Hedgerow Data'!$BJ$3:$BJ$15,MATCH(D153,'G-6 Hedgerow Data'!$B$3:$B$15,0)),"")</f>
        <v/>
      </c>
    </row>
    <row r="154" spans="2:38" ht="13.8" x14ac:dyDescent="0.25">
      <c r="B154" s="168">
        <v>145</v>
      </c>
      <c r="C154" s="275"/>
      <c r="D154" s="275"/>
      <c r="E154" s="185"/>
      <c r="F154" s="277" t="str">
        <f>IF(D154="","",VLOOKUP(D154,'G-6 Hedgerow Data'!$B$2:$AG$15,2,FALSE))</f>
        <v/>
      </c>
      <c r="G154" s="172" t="str">
        <f>IF(D154="","",VLOOKUP(D154,'G-6 Hedgerow Data'!$B$2:$AG$15,3,FALSE))</f>
        <v/>
      </c>
      <c r="H154" s="173"/>
      <c r="I154" s="172" t="str">
        <f>IFERROR(VLOOKUP(H154,'G-1 All Habitats'!$Z$2:$AA$9,2,FALSE),"")</f>
        <v/>
      </c>
      <c r="J154" s="173"/>
      <c r="K154" s="179" t="str">
        <f>IF(J154="","",IF(VLOOKUP(J154,'G-3 Multipliers'!$L$3:$N$6,2,FALSE)=0,"Spatial Data Missing",VLOOKUP(J154,'G-3 Multipliers'!$L$3:$N$6,2,FALSE)))</f>
        <v/>
      </c>
      <c r="L154" s="260" t="str">
        <f>IF(J154="","",IF(VLOOKUP(J154,'G-3 Multipliers'!$L$3:$N$6,3,FALSE)=0,"Spatial Data Missing",VLOOKUP(J154,'G-3 Multipliers'!$L$3:$N$6,3,FALSE)))</f>
        <v/>
      </c>
      <c r="M154" s="177" t="str">
        <f>IF(D154="","",VLOOKUP(D154,'G-6 Hedgerow Data'!$B$1:$AH$15,33,FALSE))</f>
        <v/>
      </c>
      <c r="N154" s="207" t="str">
        <f t="shared" si="16"/>
        <v/>
      </c>
      <c r="O154" s="44"/>
      <c r="P154" s="186"/>
      <c r="Q154" s="275"/>
      <c r="R154" s="289" t="str">
        <f t="shared" si="17"/>
        <v/>
      </c>
      <c r="S154" s="289" t="str">
        <f t="shared" si="18"/>
        <v/>
      </c>
      <c r="T154" s="289" t="str">
        <f t="shared" si="19"/>
        <v/>
      </c>
      <c r="U154" s="290" t="str">
        <f t="shared" si="20"/>
        <v/>
      </c>
      <c r="V154" s="182"/>
      <c r="W154" s="183"/>
      <c r="AE154" s="188" t="str">
        <f t="shared" si="14"/>
        <v/>
      </c>
      <c r="AF154" s="188" t="str">
        <f t="shared" si="15"/>
        <v/>
      </c>
      <c r="AH154" s="188">
        <v>145</v>
      </c>
      <c r="AJ154" s="188" t="str">
        <f t="array" ref="AJ154">IFERROR(INDEX($AH$10:$AH$258, MATCH(0, IF(TRUE=$AE$10:$AE$258, COUNTIF($AJ$9:$AJ153, $AH$10:$AH$258), ""), 0)),"")</f>
        <v/>
      </c>
      <c r="AK154" s="188" t="str">
        <f t="array" ref="AK154">IFERROR(INDEX($AH$10:$AH$258, MATCH(0, IF(TRUE=$AF$10:$AF$258, COUNTIF($AK$9:$AK153, $AH$10:$AH$258), ""), 0)),"")</f>
        <v/>
      </c>
      <c r="AL154" s="35" t="str">
        <f>IFERROR(INDEX('G-6 Hedgerow Data'!$BJ$3:$BJ$15,MATCH(D154,'G-6 Hedgerow Data'!$B$3:$B$15,0)),"")</f>
        <v/>
      </c>
    </row>
    <row r="155" spans="2:38" ht="13.8" x14ac:dyDescent="0.25">
      <c r="B155" s="168">
        <v>146</v>
      </c>
      <c r="C155" s="275"/>
      <c r="D155" s="275"/>
      <c r="E155" s="185"/>
      <c r="F155" s="277" t="str">
        <f>IF(D155="","",VLOOKUP(D155,'G-6 Hedgerow Data'!$B$2:$AG$15,2,FALSE))</f>
        <v/>
      </c>
      <c r="G155" s="172" t="str">
        <f>IF(D155="","",VLOOKUP(D155,'G-6 Hedgerow Data'!$B$2:$AG$15,3,FALSE))</f>
        <v/>
      </c>
      <c r="H155" s="173"/>
      <c r="I155" s="172" t="str">
        <f>IFERROR(VLOOKUP(H155,'G-1 All Habitats'!$Z$2:$AA$9,2,FALSE),"")</f>
        <v/>
      </c>
      <c r="J155" s="173"/>
      <c r="K155" s="179" t="str">
        <f>IF(J155="","",IF(VLOOKUP(J155,'G-3 Multipliers'!$L$3:$N$6,2,FALSE)=0,"Spatial Data Missing",VLOOKUP(J155,'G-3 Multipliers'!$L$3:$N$6,2,FALSE)))</f>
        <v/>
      </c>
      <c r="L155" s="260" t="str">
        <f>IF(J155="","",IF(VLOOKUP(J155,'G-3 Multipliers'!$L$3:$N$6,3,FALSE)=0,"Spatial Data Missing",VLOOKUP(J155,'G-3 Multipliers'!$L$3:$N$6,3,FALSE)))</f>
        <v/>
      </c>
      <c r="M155" s="177" t="str">
        <f>IF(D155="","",VLOOKUP(D155,'G-6 Hedgerow Data'!$B$1:$AH$15,33,FALSE))</f>
        <v/>
      </c>
      <c r="N155" s="207" t="str">
        <f t="shared" si="16"/>
        <v/>
      </c>
      <c r="O155" s="44"/>
      <c r="P155" s="186"/>
      <c r="Q155" s="275"/>
      <c r="R155" s="289" t="str">
        <f t="shared" si="17"/>
        <v/>
      </c>
      <c r="S155" s="289" t="str">
        <f t="shared" si="18"/>
        <v/>
      </c>
      <c r="T155" s="289" t="str">
        <f t="shared" si="19"/>
        <v/>
      </c>
      <c r="U155" s="290" t="str">
        <f t="shared" si="20"/>
        <v/>
      </c>
      <c r="V155" s="182"/>
      <c r="W155" s="183"/>
      <c r="AE155" s="188" t="str">
        <f t="shared" si="14"/>
        <v/>
      </c>
      <c r="AF155" s="188" t="str">
        <f t="shared" si="15"/>
        <v/>
      </c>
      <c r="AH155" s="188">
        <v>146</v>
      </c>
      <c r="AJ155" s="188" t="str">
        <f t="array" ref="AJ155">IFERROR(INDEX($AH$10:$AH$258, MATCH(0, IF(TRUE=$AE$10:$AE$258, COUNTIF($AJ$9:$AJ154, $AH$10:$AH$258), ""), 0)),"")</f>
        <v/>
      </c>
      <c r="AK155" s="188" t="str">
        <f t="array" ref="AK155">IFERROR(INDEX($AH$10:$AH$258, MATCH(0, IF(TRUE=$AF$10:$AF$258, COUNTIF($AK$9:$AK154, $AH$10:$AH$258), ""), 0)),"")</f>
        <v/>
      </c>
      <c r="AL155" s="35" t="str">
        <f>IFERROR(INDEX('G-6 Hedgerow Data'!$BJ$3:$BJ$15,MATCH(D155,'G-6 Hedgerow Data'!$B$3:$B$15,0)),"")</f>
        <v/>
      </c>
    </row>
    <row r="156" spans="2:38" ht="13.8" x14ac:dyDescent="0.25">
      <c r="B156" s="168">
        <v>147</v>
      </c>
      <c r="C156" s="275"/>
      <c r="D156" s="275"/>
      <c r="E156" s="185"/>
      <c r="F156" s="277" t="str">
        <f>IF(D156="","",VLOOKUP(D156,'G-6 Hedgerow Data'!$B$2:$AG$15,2,FALSE))</f>
        <v/>
      </c>
      <c r="G156" s="172" t="str">
        <f>IF(D156="","",VLOOKUP(D156,'G-6 Hedgerow Data'!$B$2:$AG$15,3,FALSE))</f>
        <v/>
      </c>
      <c r="H156" s="173"/>
      <c r="I156" s="172" t="str">
        <f>IFERROR(VLOOKUP(H156,'G-1 All Habitats'!$Z$2:$AA$9,2,FALSE),"")</f>
        <v/>
      </c>
      <c r="J156" s="173"/>
      <c r="K156" s="179" t="str">
        <f>IF(J156="","",IF(VLOOKUP(J156,'G-3 Multipliers'!$L$3:$N$6,2,FALSE)=0,"Spatial Data Missing",VLOOKUP(J156,'G-3 Multipliers'!$L$3:$N$6,2,FALSE)))</f>
        <v/>
      </c>
      <c r="L156" s="260" t="str">
        <f>IF(J156="","",IF(VLOOKUP(J156,'G-3 Multipliers'!$L$3:$N$6,3,FALSE)=0,"Spatial Data Missing",VLOOKUP(J156,'G-3 Multipliers'!$L$3:$N$6,3,FALSE)))</f>
        <v/>
      </c>
      <c r="M156" s="177" t="str">
        <f>IF(D156="","",VLOOKUP(D156,'G-6 Hedgerow Data'!$B$1:$AH$15,33,FALSE))</f>
        <v/>
      </c>
      <c r="N156" s="207" t="str">
        <f t="shared" si="16"/>
        <v/>
      </c>
      <c r="O156" s="44"/>
      <c r="P156" s="186"/>
      <c r="Q156" s="275"/>
      <c r="R156" s="289" t="str">
        <f t="shared" si="17"/>
        <v/>
      </c>
      <c r="S156" s="289" t="str">
        <f t="shared" si="18"/>
        <v/>
      </c>
      <c r="T156" s="289" t="str">
        <f t="shared" si="19"/>
        <v/>
      </c>
      <c r="U156" s="290" t="str">
        <f t="shared" si="20"/>
        <v/>
      </c>
      <c r="V156" s="182"/>
      <c r="W156" s="183"/>
      <c r="AE156" s="188" t="str">
        <f t="shared" si="14"/>
        <v/>
      </c>
      <c r="AF156" s="188" t="str">
        <f t="shared" si="15"/>
        <v/>
      </c>
      <c r="AH156" s="188">
        <v>147</v>
      </c>
      <c r="AJ156" s="188" t="str">
        <f t="array" ref="AJ156">IFERROR(INDEX($AH$10:$AH$258, MATCH(0, IF(TRUE=$AE$10:$AE$258, COUNTIF($AJ$9:$AJ155, $AH$10:$AH$258), ""), 0)),"")</f>
        <v/>
      </c>
      <c r="AK156" s="188" t="str">
        <f t="array" ref="AK156">IFERROR(INDEX($AH$10:$AH$258, MATCH(0, IF(TRUE=$AF$10:$AF$258, COUNTIF($AK$9:$AK155, $AH$10:$AH$258), ""), 0)),"")</f>
        <v/>
      </c>
      <c r="AL156" s="35" t="str">
        <f>IFERROR(INDEX('G-6 Hedgerow Data'!$BJ$3:$BJ$15,MATCH(D156,'G-6 Hedgerow Data'!$B$3:$B$15,0)),"")</f>
        <v/>
      </c>
    </row>
    <row r="157" spans="2:38" ht="13.8" x14ac:dyDescent="0.25">
      <c r="B157" s="168">
        <v>148</v>
      </c>
      <c r="C157" s="275"/>
      <c r="D157" s="275"/>
      <c r="E157" s="185"/>
      <c r="F157" s="277" t="str">
        <f>IF(D157="","",VLOOKUP(D157,'G-6 Hedgerow Data'!$B$2:$AG$15,2,FALSE))</f>
        <v/>
      </c>
      <c r="G157" s="172" t="str">
        <f>IF(D157="","",VLOOKUP(D157,'G-6 Hedgerow Data'!$B$2:$AG$15,3,FALSE))</f>
        <v/>
      </c>
      <c r="H157" s="173"/>
      <c r="I157" s="172" t="str">
        <f>IFERROR(VLOOKUP(H157,'G-1 All Habitats'!$Z$2:$AA$9,2,FALSE),"")</f>
        <v/>
      </c>
      <c r="J157" s="173"/>
      <c r="K157" s="179" t="str">
        <f>IF(J157="","",IF(VLOOKUP(J157,'G-3 Multipliers'!$L$3:$N$6,2,FALSE)=0,"Spatial Data Missing",VLOOKUP(J157,'G-3 Multipliers'!$L$3:$N$6,2,FALSE)))</f>
        <v/>
      </c>
      <c r="L157" s="260" t="str">
        <f>IF(J157="","",IF(VLOOKUP(J157,'G-3 Multipliers'!$L$3:$N$6,3,FALSE)=0,"Spatial Data Missing",VLOOKUP(J157,'G-3 Multipliers'!$L$3:$N$6,3,FALSE)))</f>
        <v/>
      </c>
      <c r="M157" s="177" t="str">
        <f>IF(D157="","",VLOOKUP(D157,'G-6 Hedgerow Data'!$B$1:$AH$15,33,FALSE))</f>
        <v/>
      </c>
      <c r="N157" s="207" t="str">
        <f t="shared" si="16"/>
        <v/>
      </c>
      <c r="O157" s="44"/>
      <c r="P157" s="186"/>
      <c r="Q157" s="275"/>
      <c r="R157" s="289" t="str">
        <f t="shared" si="17"/>
        <v/>
      </c>
      <c r="S157" s="289" t="str">
        <f t="shared" si="18"/>
        <v/>
      </c>
      <c r="T157" s="289" t="str">
        <f t="shared" si="19"/>
        <v/>
      </c>
      <c r="U157" s="290" t="str">
        <f t="shared" si="20"/>
        <v/>
      </c>
      <c r="V157" s="182"/>
      <c r="W157" s="183"/>
      <c r="AE157" s="188" t="str">
        <f t="shared" si="14"/>
        <v/>
      </c>
      <c r="AF157" s="188" t="str">
        <f t="shared" si="15"/>
        <v/>
      </c>
      <c r="AH157" s="188">
        <v>148</v>
      </c>
      <c r="AJ157" s="188" t="str">
        <f t="array" ref="AJ157">IFERROR(INDEX($AH$10:$AH$258, MATCH(0, IF(TRUE=$AE$10:$AE$258, COUNTIF($AJ$9:$AJ156, $AH$10:$AH$258), ""), 0)),"")</f>
        <v/>
      </c>
      <c r="AK157" s="188" t="str">
        <f t="array" ref="AK157">IFERROR(INDEX($AH$10:$AH$258, MATCH(0, IF(TRUE=$AF$10:$AF$258, COUNTIF($AK$9:$AK156, $AH$10:$AH$258), ""), 0)),"")</f>
        <v/>
      </c>
      <c r="AL157" s="35" t="str">
        <f>IFERROR(INDEX('G-6 Hedgerow Data'!$BJ$3:$BJ$15,MATCH(D157,'G-6 Hedgerow Data'!$B$3:$B$15,0)),"")</f>
        <v/>
      </c>
    </row>
    <row r="158" spans="2:38" ht="13.8" x14ac:dyDescent="0.25">
      <c r="B158" s="168">
        <v>149</v>
      </c>
      <c r="C158" s="275"/>
      <c r="D158" s="275"/>
      <c r="E158" s="185"/>
      <c r="F158" s="277" t="str">
        <f>IF(D158="","",VLOOKUP(D158,'G-6 Hedgerow Data'!$B$2:$AG$15,2,FALSE))</f>
        <v/>
      </c>
      <c r="G158" s="172" t="str">
        <f>IF(D158="","",VLOOKUP(D158,'G-6 Hedgerow Data'!$B$2:$AG$15,3,FALSE))</f>
        <v/>
      </c>
      <c r="H158" s="173"/>
      <c r="I158" s="172" t="str">
        <f>IFERROR(VLOOKUP(H158,'G-1 All Habitats'!$Z$2:$AA$9,2,FALSE),"")</f>
        <v/>
      </c>
      <c r="J158" s="173"/>
      <c r="K158" s="179" t="str">
        <f>IF(J158="","",IF(VLOOKUP(J158,'G-3 Multipliers'!$L$3:$N$6,2,FALSE)=0,"Spatial Data Missing",VLOOKUP(J158,'G-3 Multipliers'!$L$3:$N$6,2,FALSE)))</f>
        <v/>
      </c>
      <c r="L158" s="260" t="str">
        <f>IF(J158="","",IF(VLOOKUP(J158,'G-3 Multipliers'!$L$3:$N$6,3,FALSE)=0,"Spatial Data Missing",VLOOKUP(J158,'G-3 Multipliers'!$L$3:$N$6,3,FALSE)))</f>
        <v/>
      </c>
      <c r="M158" s="177" t="str">
        <f>IF(D158="","",VLOOKUP(D158,'G-6 Hedgerow Data'!$B$1:$AH$15,33,FALSE))</f>
        <v/>
      </c>
      <c r="N158" s="207" t="str">
        <f t="shared" si="16"/>
        <v/>
      </c>
      <c r="O158" s="44"/>
      <c r="P158" s="186"/>
      <c r="Q158" s="275"/>
      <c r="R158" s="289" t="str">
        <f t="shared" si="17"/>
        <v/>
      </c>
      <c r="S158" s="289" t="str">
        <f t="shared" si="18"/>
        <v/>
      </c>
      <c r="T158" s="289" t="str">
        <f t="shared" si="19"/>
        <v/>
      </c>
      <c r="U158" s="290" t="str">
        <f t="shared" si="20"/>
        <v/>
      </c>
      <c r="V158" s="182"/>
      <c r="W158" s="183"/>
      <c r="AE158" s="188" t="str">
        <f t="shared" si="14"/>
        <v/>
      </c>
      <c r="AF158" s="188" t="str">
        <f t="shared" si="15"/>
        <v/>
      </c>
      <c r="AH158" s="188">
        <v>149</v>
      </c>
      <c r="AJ158" s="188" t="str">
        <f t="array" ref="AJ158">IFERROR(INDEX($AH$10:$AH$258, MATCH(0, IF(TRUE=$AE$10:$AE$258, COUNTIF($AJ$9:$AJ157, $AH$10:$AH$258), ""), 0)),"")</f>
        <v/>
      </c>
      <c r="AK158" s="188" t="str">
        <f t="array" ref="AK158">IFERROR(INDEX($AH$10:$AH$258, MATCH(0, IF(TRUE=$AF$10:$AF$258, COUNTIF($AK$9:$AK157, $AH$10:$AH$258), ""), 0)),"")</f>
        <v/>
      </c>
      <c r="AL158" s="35" t="str">
        <f>IFERROR(INDEX('G-6 Hedgerow Data'!$BJ$3:$BJ$15,MATCH(D158,'G-6 Hedgerow Data'!$B$3:$B$15,0)),"")</f>
        <v/>
      </c>
    </row>
    <row r="159" spans="2:38" ht="13.8" x14ac:dyDescent="0.25">
      <c r="B159" s="168">
        <v>150</v>
      </c>
      <c r="C159" s="275"/>
      <c r="D159" s="275"/>
      <c r="E159" s="185"/>
      <c r="F159" s="277" t="str">
        <f>IF(D159="","",VLOOKUP(D159,'G-6 Hedgerow Data'!$B$2:$AG$15,2,FALSE))</f>
        <v/>
      </c>
      <c r="G159" s="172" t="str">
        <f>IF(D159="","",VLOOKUP(D159,'G-6 Hedgerow Data'!$B$2:$AG$15,3,FALSE))</f>
        <v/>
      </c>
      <c r="H159" s="173"/>
      <c r="I159" s="172" t="str">
        <f>IFERROR(VLOOKUP(H159,'G-1 All Habitats'!$Z$2:$AA$9,2,FALSE),"")</f>
        <v/>
      </c>
      <c r="J159" s="173"/>
      <c r="K159" s="179" t="str">
        <f>IF(J159="","",IF(VLOOKUP(J159,'G-3 Multipliers'!$L$3:$N$6,2,FALSE)=0,"Spatial Data Missing",VLOOKUP(J159,'G-3 Multipliers'!$L$3:$N$6,2,FALSE)))</f>
        <v/>
      </c>
      <c r="L159" s="260" t="str">
        <f>IF(J159="","",IF(VLOOKUP(J159,'G-3 Multipliers'!$L$3:$N$6,3,FALSE)=0,"Spatial Data Missing",VLOOKUP(J159,'G-3 Multipliers'!$L$3:$N$6,3,FALSE)))</f>
        <v/>
      </c>
      <c r="M159" s="177" t="str">
        <f>IF(D159="","",VLOOKUP(D159,'G-6 Hedgerow Data'!$B$1:$AH$15,33,FALSE))</f>
        <v/>
      </c>
      <c r="N159" s="207" t="str">
        <f t="shared" si="16"/>
        <v/>
      </c>
      <c r="O159" s="44"/>
      <c r="P159" s="186"/>
      <c r="Q159" s="275"/>
      <c r="R159" s="289" t="str">
        <f t="shared" si="17"/>
        <v/>
      </c>
      <c r="S159" s="289" t="str">
        <f t="shared" si="18"/>
        <v/>
      </c>
      <c r="T159" s="289" t="str">
        <f t="shared" si="19"/>
        <v/>
      </c>
      <c r="U159" s="290" t="str">
        <f t="shared" si="20"/>
        <v/>
      </c>
      <c r="V159" s="182"/>
      <c r="W159" s="183"/>
      <c r="AE159" s="188" t="str">
        <f t="shared" si="14"/>
        <v/>
      </c>
      <c r="AF159" s="188" t="str">
        <f t="shared" si="15"/>
        <v/>
      </c>
      <c r="AH159" s="188">
        <v>150</v>
      </c>
      <c r="AJ159" s="188" t="str">
        <f t="array" ref="AJ159">IFERROR(INDEX($AH$10:$AH$258, MATCH(0, IF(TRUE=$AE$10:$AE$258, COUNTIF($AJ$9:$AJ158, $AH$10:$AH$258), ""), 0)),"")</f>
        <v/>
      </c>
      <c r="AK159" s="188" t="str">
        <f t="array" ref="AK159">IFERROR(INDEX($AH$10:$AH$258, MATCH(0, IF(TRUE=$AF$10:$AF$258, COUNTIF($AK$9:$AK158, $AH$10:$AH$258), ""), 0)),"")</f>
        <v/>
      </c>
      <c r="AL159" s="35" t="str">
        <f>IFERROR(INDEX('G-6 Hedgerow Data'!$BJ$3:$BJ$15,MATCH(D159,'G-6 Hedgerow Data'!$B$3:$B$15,0)),"")</f>
        <v/>
      </c>
    </row>
    <row r="160" spans="2:38" ht="13.8" x14ac:dyDescent="0.25">
      <c r="B160" s="168">
        <v>151</v>
      </c>
      <c r="C160" s="275"/>
      <c r="D160" s="275"/>
      <c r="E160" s="185"/>
      <c r="F160" s="277" t="str">
        <f>IF(D160="","",VLOOKUP(D160,'G-6 Hedgerow Data'!$B$2:$AG$15,2,FALSE))</f>
        <v/>
      </c>
      <c r="G160" s="172" t="str">
        <f>IF(D160="","",VLOOKUP(D160,'G-6 Hedgerow Data'!$B$2:$AG$15,3,FALSE))</f>
        <v/>
      </c>
      <c r="H160" s="173"/>
      <c r="I160" s="172" t="str">
        <f>IFERROR(VLOOKUP(H160,'G-1 All Habitats'!$Z$2:$AA$9,2,FALSE),"")</f>
        <v/>
      </c>
      <c r="J160" s="173"/>
      <c r="K160" s="179" t="str">
        <f>IF(J160="","",IF(VLOOKUP(J160,'G-3 Multipliers'!$L$3:$N$6,2,FALSE)=0,"Spatial Data Missing",VLOOKUP(J160,'G-3 Multipliers'!$L$3:$N$6,2,FALSE)))</f>
        <v/>
      </c>
      <c r="L160" s="260" t="str">
        <f>IF(J160="","",IF(VLOOKUP(J160,'G-3 Multipliers'!$L$3:$N$6,3,FALSE)=0,"Spatial Data Missing",VLOOKUP(J160,'G-3 Multipliers'!$L$3:$N$6,3,FALSE)))</f>
        <v/>
      </c>
      <c r="M160" s="177" t="str">
        <f>IF(D160="","",VLOOKUP(D160,'G-6 Hedgerow Data'!$B$1:$AH$15,33,FALSE))</f>
        <v/>
      </c>
      <c r="N160" s="207" t="str">
        <f t="shared" si="16"/>
        <v/>
      </c>
      <c r="O160" s="44"/>
      <c r="P160" s="186"/>
      <c r="Q160" s="275"/>
      <c r="R160" s="289" t="str">
        <f t="shared" si="17"/>
        <v/>
      </c>
      <c r="S160" s="289" t="str">
        <f t="shared" si="18"/>
        <v/>
      </c>
      <c r="T160" s="289" t="str">
        <f t="shared" si="19"/>
        <v/>
      </c>
      <c r="U160" s="290" t="str">
        <f t="shared" si="20"/>
        <v/>
      </c>
      <c r="V160" s="182"/>
      <c r="W160" s="183"/>
      <c r="AE160" s="188" t="str">
        <f t="shared" si="14"/>
        <v/>
      </c>
      <c r="AF160" s="188" t="str">
        <f t="shared" si="15"/>
        <v/>
      </c>
      <c r="AH160" s="188">
        <v>151</v>
      </c>
      <c r="AJ160" s="188" t="str">
        <f t="array" ref="AJ160">IFERROR(INDEX($AH$10:$AH$258, MATCH(0, IF(TRUE=$AE$10:$AE$258, COUNTIF($AJ$9:$AJ159, $AH$10:$AH$258), ""), 0)),"")</f>
        <v/>
      </c>
      <c r="AK160" s="188" t="str">
        <f t="array" ref="AK160">IFERROR(INDEX($AH$10:$AH$258, MATCH(0, IF(TRUE=$AF$10:$AF$258, COUNTIF($AK$9:$AK159, $AH$10:$AH$258), ""), 0)),"")</f>
        <v/>
      </c>
      <c r="AL160" s="35" t="str">
        <f>IFERROR(INDEX('G-6 Hedgerow Data'!$BJ$3:$BJ$15,MATCH(D160,'G-6 Hedgerow Data'!$B$3:$B$15,0)),"")</f>
        <v/>
      </c>
    </row>
    <row r="161" spans="2:38" ht="13.8" x14ac:dyDescent="0.25">
      <c r="B161" s="168">
        <v>152</v>
      </c>
      <c r="C161" s="275"/>
      <c r="D161" s="275"/>
      <c r="E161" s="185"/>
      <c r="F161" s="277" t="str">
        <f>IF(D161="","",VLOOKUP(D161,'G-6 Hedgerow Data'!$B$2:$AG$15,2,FALSE))</f>
        <v/>
      </c>
      <c r="G161" s="172" t="str">
        <f>IF(D161="","",VLOOKUP(D161,'G-6 Hedgerow Data'!$B$2:$AG$15,3,FALSE))</f>
        <v/>
      </c>
      <c r="H161" s="173"/>
      <c r="I161" s="172" t="str">
        <f>IFERROR(VLOOKUP(H161,'G-1 All Habitats'!$Z$2:$AA$9,2,FALSE),"")</f>
        <v/>
      </c>
      <c r="J161" s="173"/>
      <c r="K161" s="179" t="str">
        <f>IF(J161="","",IF(VLOOKUP(J161,'G-3 Multipliers'!$L$3:$N$6,2,FALSE)=0,"Spatial Data Missing",VLOOKUP(J161,'G-3 Multipliers'!$L$3:$N$6,2,FALSE)))</f>
        <v/>
      </c>
      <c r="L161" s="260" t="str">
        <f>IF(J161="","",IF(VLOOKUP(J161,'G-3 Multipliers'!$L$3:$N$6,3,FALSE)=0,"Spatial Data Missing",VLOOKUP(J161,'G-3 Multipliers'!$L$3:$N$6,3,FALSE)))</f>
        <v/>
      </c>
      <c r="M161" s="177" t="str">
        <f>IF(D161="","",VLOOKUP(D161,'G-6 Hedgerow Data'!$B$1:$AH$15,33,FALSE))</f>
        <v/>
      </c>
      <c r="N161" s="207" t="str">
        <f t="shared" si="16"/>
        <v/>
      </c>
      <c r="O161" s="44"/>
      <c r="P161" s="186"/>
      <c r="Q161" s="275"/>
      <c r="R161" s="289" t="str">
        <f t="shared" si="17"/>
        <v/>
      </c>
      <c r="S161" s="289" t="str">
        <f t="shared" si="18"/>
        <v/>
      </c>
      <c r="T161" s="289" t="str">
        <f t="shared" si="19"/>
        <v/>
      </c>
      <c r="U161" s="290" t="str">
        <f t="shared" si="20"/>
        <v/>
      </c>
      <c r="V161" s="182"/>
      <c r="W161" s="183"/>
      <c r="AE161" s="188" t="str">
        <f t="shared" si="14"/>
        <v/>
      </c>
      <c r="AF161" s="188" t="str">
        <f t="shared" si="15"/>
        <v/>
      </c>
      <c r="AH161" s="188">
        <v>152</v>
      </c>
      <c r="AJ161" s="188" t="str">
        <f t="array" ref="AJ161">IFERROR(INDEX($AH$10:$AH$258, MATCH(0, IF(TRUE=$AE$10:$AE$258, COUNTIF($AJ$9:$AJ160, $AH$10:$AH$258), ""), 0)),"")</f>
        <v/>
      </c>
      <c r="AK161" s="188" t="str">
        <f t="array" ref="AK161">IFERROR(INDEX($AH$10:$AH$258, MATCH(0, IF(TRUE=$AF$10:$AF$258, COUNTIF($AK$9:$AK160, $AH$10:$AH$258), ""), 0)),"")</f>
        <v/>
      </c>
      <c r="AL161" s="35" t="str">
        <f>IFERROR(INDEX('G-6 Hedgerow Data'!$BJ$3:$BJ$15,MATCH(D161,'G-6 Hedgerow Data'!$B$3:$B$15,0)),"")</f>
        <v/>
      </c>
    </row>
    <row r="162" spans="2:38" ht="13.8" x14ac:dyDescent="0.25">
      <c r="B162" s="168">
        <v>153</v>
      </c>
      <c r="C162" s="275"/>
      <c r="D162" s="275"/>
      <c r="E162" s="185"/>
      <c r="F162" s="277" t="str">
        <f>IF(D162="","",VLOOKUP(D162,'G-6 Hedgerow Data'!$B$2:$AG$15,2,FALSE))</f>
        <v/>
      </c>
      <c r="G162" s="172" t="str">
        <f>IF(D162="","",VLOOKUP(D162,'G-6 Hedgerow Data'!$B$2:$AG$15,3,FALSE))</f>
        <v/>
      </c>
      <c r="H162" s="173"/>
      <c r="I162" s="172" t="str">
        <f>IFERROR(VLOOKUP(H162,'G-1 All Habitats'!$Z$2:$AA$9,2,FALSE),"")</f>
        <v/>
      </c>
      <c r="J162" s="173"/>
      <c r="K162" s="179" t="str">
        <f>IF(J162="","",IF(VLOOKUP(J162,'G-3 Multipliers'!$L$3:$N$6,2,FALSE)=0,"Spatial Data Missing",VLOOKUP(J162,'G-3 Multipliers'!$L$3:$N$6,2,FALSE)))</f>
        <v/>
      </c>
      <c r="L162" s="260" t="str">
        <f>IF(J162="","",IF(VLOOKUP(J162,'G-3 Multipliers'!$L$3:$N$6,3,FALSE)=0,"Spatial Data Missing",VLOOKUP(J162,'G-3 Multipliers'!$L$3:$N$6,3,FALSE)))</f>
        <v/>
      </c>
      <c r="M162" s="177" t="str">
        <f>IF(D162="","",VLOOKUP(D162,'G-6 Hedgerow Data'!$B$1:$AH$15,33,FALSE))</f>
        <v/>
      </c>
      <c r="N162" s="207" t="str">
        <f t="shared" si="16"/>
        <v/>
      </c>
      <c r="O162" s="44"/>
      <c r="P162" s="186"/>
      <c r="Q162" s="275"/>
      <c r="R162" s="289" t="str">
        <f t="shared" si="17"/>
        <v/>
      </c>
      <c r="S162" s="289" t="str">
        <f t="shared" si="18"/>
        <v/>
      </c>
      <c r="T162" s="289" t="str">
        <f t="shared" si="19"/>
        <v/>
      </c>
      <c r="U162" s="290" t="str">
        <f t="shared" si="20"/>
        <v/>
      </c>
      <c r="V162" s="182"/>
      <c r="W162" s="183"/>
      <c r="AE162" s="188" t="str">
        <f t="shared" si="14"/>
        <v/>
      </c>
      <c r="AF162" s="188" t="str">
        <f t="shared" si="15"/>
        <v/>
      </c>
      <c r="AH162" s="188">
        <v>153</v>
      </c>
      <c r="AJ162" s="188" t="str">
        <f t="array" ref="AJ162">IFERROR(INDEX($AH$10:$AH$258, MATCH(0, IF(TRUE=$AE$10:$AE$258, COUNTIF($AJ$9:$AJ161, $AH$10:$AH$258), ""), 0)),"")</f>
        <v/>
      </c>
      <c r="AK162" s="188" t="str">
        <f t="array" ref="AK162">IFERROR(INDEX($AH$10:$AH$258, MATCH(0, IF(TRUE=$AF$10:$AF$258, COUNTIF($AK$9:$AK161, $AH$10:$AH$258), ""), 0)),"")</f>
        <v/>
      </c>
      <c r="AL162" s="35" t="str">
        <f>IFERROR(INDEX('G-6 Hedgerow Data'!$BJ$3:$BJ$15,MATCH(D162,'G-6 Hedgerow Data'!$B$3:$B$15,0)),"")</f>
        <v/>
      </c>
    </row>
    <row r="163" spans="2:38" ht="13.8" x14ac:dyDescent="0.25">
      <c r="B163" s="168">
        <v>154</v>
      </c>
      <c r="C163" s="275"/>
      <c r="D163" s="275"/>
      <c r="E163" s="185"/>
      <c r="F163" s="277" t="str">
        <f>IF(D163="","",VLOOKUP(D163,'G-6 Hedgerow Data'!$B$2:$AG$15,2,FALSE))</f>
        <v/>
      </c>
      <c r="G163" s="172" t="str">
        <f>IF(D163="","",VLOOKUP(D163,'G-6 Hedgerow Data'!$B$2:$AG$15,3,FALSE))</f>
        <v/>
      </c>
      <c r="H163" s="173"/>
      <c r="I163" s="172" t="str">
        <f>IFERROR(VLOOKUP(H163,'G-1 All Habitats'!$Z$2:$AA$9,2,FALSE),"")</f>
        <v/>
      </c>
      <c r="J163" s="173"/>
      <c r="K163" s="179" t="str">
        <f>IF(J163="","",IF(VLOOKUP(J163,'G-3 Multipliers'!$L$3:$N$6,2,FALSE)=0,"Spatial Data Missing",VLOOKUP(J163,'G-3 Multipliers'!$L$3:$N$6,2,FALSE)))</f>
        <v/>
      </c>
      <c r="L163" s="260" t="str">
        <f>IF(J163="","",IF(VLOOKUP(J163,'G-3 Multipliers'!$L$3:$N$6,3,FALSE)=0,"Spatial Data Missing",VLOOKUP(J163,'G-3 Multipliers'!$L$3:$N$6,3,FALSE)))</f>
        <v/>
      </c>
      <c r="M163" s="177" t="str">
        <f>IF(D163="","",VLOOKUP(D163,'G-6 Hedgerow Data'!$B$1:$AH$15,33,FALSE))</f>
        <v/>
      </c>
      <c r="N163" s="207" t="str">
        <f t="shared" si="16"/>
        <v/>
      </c>
      <c r="O163" s="44"/>
      <c r="P163" s="186"/>
      <c r="Q163" s="275"/>
      <c r="R163" s="289" t="str">
        <f t="shared" si="17"/>
        <v/>
      </c>
      <c r="S163" s="289" t="str">
        <f t="shared" si="18"/>
        <v/>
      </c>
      <c r="T163" s="289" t="str">
        <f t="shared" si="19"/>
        <v/>
      </c>
      <c r="U163" s="290" t="str">
        <f t="shared" si="20"/>
        <v/>
      </c>
      <c r="V163" s="182"/>
      <c r="W163" s="183"/>
      <c r="AE163" s="188" t="str">
        <f t="shared" si="14"/>
        <v/>
      </c>
      <c r="AF163" s="188" t="str">
        <f t="shared" si="15"/>
        <v/>
      </c>
      <c r="AH163" s="188">
        <v>154</v>
      </c>
      <c r="AJ163" s="188" t="str">
        <f t="array" ref="AJ163">IFERROR(INDEX($AH$10:$AH$258, MATCH(0, IF(TRUE=$AE$10:$AE$258, COUNTIF($AJ$9:$AJ162, $AH$10:$AH$258), ""), 0)),"")</f>
        <v/>
      </c>
      <c r="AK163" s="188" t="str">
        <f t="array" ref="AK163">IFERROR(INDEX($AH$10:$AH$258, MATCH(0, IF(TRUE=$AF$10:$AF$258, COUNTIF($AK$9:$AK162, $AH$10:$AH$258), ""), 0)),"")</f>
        <v/>
      </c>
      <c r="AL163" s="35" t="str">
        <f>IFERROR(INDEX('G-6 Hedgerow Data'!$BJ$3:$BJ$15,MATCH(D163,'G-6 Hedgerow Data'!$B$3:$B$15,0)),"")</f>
        <v/>
      </c>
    </row>
    <row r="164" spans="2:38" ht="13.8" x14ac:dyDescent="0.25">
      <c r="B164" s="168">
        <v>155</v>
      </c>
      <c r="C164" s="275"/>
      <c r="D164" s="275"/>
      <c r="E164" s="185"/>
      <c r="F164" s="277" t="str">
        <f>IF(D164="","",VLOOKUP(D164,'G-6 Hedgerow Data'!$B$2:$AG$15,2,FALSE))</f>
        <v/>
      </c>
      <c r="G164" s="172" t="str">
        <f>IF(D164="","",VLOOKUP(D164,'G-6 Hedgerow Data'!$B$2:$AG$15,3,FALSE))</f>
        <v/>
      </c>
      <c r="H164" s="173"/>
      <c r="I164" s="172" t="str">
        <f>IFERROR(VLOOKUP(H164,'G-1 All Habitats'!$Z$2:$AA$9,2,FALSE),"")</f>
        <v/>
      </c>
      <c r="J164" s="173"/>
      <c r="K164" s="179" t="str">
        <f>IF(J164="","",IF(VLOOKUP(J164,'G-3 Multipliers'!$L$3:$N$6,2,FALSE)=0,"Spatial Data Missing",VLOOKUP(J164,'G-3 Multipliers'!$L$3:$N$6,2,FALSE)))</f>
        <v/>
      </c>
      <c r="L164" s="260" t="str">
        <f>IF(J164="","",IF(VLOOKUP(J164,'G-3 Multipliers'!$L$3:$N$6,3,FALSE)=0,"Spatial Data Missing",VLOOKUP(J164,'G-3 Multipliers'!$L$3:$N$6,3,FALSE)))</f>
        <v/>
      </c>
      <c r="M164" s="177" t="str">
        <f>IF(D164="","",VLOOKUP(D164,'G-6 Hedgerow Data'!$B$1:$AH$15,33,FALSE))</f>
        <v/>
      </c>
      <c r="N164" s="207" t="str">
        <f t="shared" si="16"/>
        <v/>
      </c>
      <c r="O164" s="44"/>
      <c r="P164" s="186"/>
      <c r="Q164" s="275"/>
      <c r="R164" s="289" t="str">
        <f t="shared" si="17"/>
        <v/>
      </c>
      <c r="S164" s="289" t="str">
        <f t="shared" si="18"/>
        <v/>
      </c>
      <c r="T164" s="289" t="str">
        <f t="shared" si="19"/>
        <v/>
      </c>
      <c r="U164" s="290" t="str">
        <f t="shared" si="20"/>
        <v/>
      </c>
      <c r="V164" s="182"/>
      <c r="W164" s="183"/>
      <c r="AE164" s="188" t="str">
        <f t="shared" si="14"/>
        <v/>
      </c>
      <c r="AF164" s="188" t="str">
        <f t="shared" si="15"/>
        <v/>
      </c>
      <c r="AH164" s="188">
        <v>155</v>
      </c>
      <c r="AJ164" s="188" t="str">
        <f t="array" ref="AJ164">IFERROR(INDEX($AH$10:$AH$258, MATCH(0, IF(TRUE=$AE$10:$AE$258, COUNTIF($AJ$9:$AJ163, $AH$10:$AH$258), ""), 0)),"")</f>
        <v/>
      </c>
      <c r="AK164" s="188" t="str">
        <f t="array" ref="AK164">IFERROR(INDEX($AH$10:$AH$258, MATCH(0, IF(TRUE=$AF$10:$AF$258, COUNTIF($AK$9:$AK163, $AH$10:$AH$258), ""), 0)),"")</f>
        <v/>
      </c>
      <c r="AL164" s="35" t="str">
        <f>IFERROR(INDEX('G-6 Hedgerow Data'!$BJ$3:$BJ$15,MATCH(D164,'G-6 Hedgerow Data'!$B$3:$B$15,0)),"")</f>
        <v/>
      </c>
    </row>
    <row r="165" spans="2:38" ht="13.8" x14ac:dyDescent="0.25">
      <c r="B165" s="168">
        <v>156</v>
      </c>
      <c r="C165" s="275"/>
      <c r="D165" s="275"/>
      <c r="E165" s="185"/>
      <c r="F165" s="277" t="str">
        <f>IF(D165="","",VLOOKUP(D165,'G-6 Hedgerow Data'!$B$2:$AG$15,2,FALSE))</f>
        <v/>
      </c>
      <c r="G165" s="172" t="str">
        <f>IF(D165="","",VLOOKUP(D165,'G-6 Hedgerow Data'!$B$2:$AG$15,3,FALSE))</f>
        <v/>
      </c>
      <c r="H165" s="173"/>
      <c r="I165" s="172" t="str">
        <f>IFERROR(VLOOKUP(H165,'G-1 All Habitats'!$Z$2:$AA$9,2,FALSE),"")</f>
        <v/>
      </c>
      <c r="J165" s="173"/>
      <c r="K165" s="179" t="str">
        <f>IF(J165="","",IF(VLOOKUP(J165,'G-3 Multipliers'!$L$3:$N$6,2,FALSE)=0,"Spatial Data Missing",VLOOKUP(J165,'G-3 Multipliers'!$L$3:$N$6,2,FALSE)))</f>
        <v/>
      </c>
      <c r="L165" s="260" t="str">
        <f>IF(J165="","",IF(VLOOKUP(J165,'G-3 Multipliers'!$L$3:$N$6,3,FALSE)=0,"Spatial Data Missing",VLOOKUP(J165,'G-3 Multipliers'!$L$3:$N$6,3,FALSE)))</f>
        <v/>
      </c>
      <c r="M165" s="177" t="str">
        <f>IF(D165="","",VLOOKUP(D165,'G-6 Hedgerow Data'!$B$1:$AH$15,33,FALSE))</f>
        <v/>
      </c>
      <c r="N165" s="207" t="str">
        <f t="shared" si="16"/>
        <v/>
      </c>
      <c r="O165" s="44"/>
      <c r="P165" s="186"/>
      <c r="Q165" s="275"/>
      <c r="R165" s="289" t="str">
        <f t="shared" si="17"/>
        <v/>
      </c>
      <c r="S165" s="289" t="str">
        <f t="shared" si="18"/>
        <v/>
      </c>
      <c r="T165" s="289" t="str">
        <f t="shared" si="19"/>
        <v/>
      </c>
      <c r="U165" s="290" t="str">
        <f t="shared" si="20"/>
        <v/>
      </c>
      <c r="V165" s="182"/>
      <c r="W165" s="183"/>
      <c r="AE165" s="188" t="str">
        <f t="shared" si="14"/>
        <v/>
      </c>
      <c r="AF165" s="188" t="str">
        <f t="shared" si="15"/>
        <v/>
      </c>
      <c r="AH165" s="188">
        <v>156</v>
      </c>
      <c r="AJ165" s="188" t="str">
        <f t="array" ref="AJ165">IFERROR(INDEX($AH$10:$AH$258, MATCH(0, IF(TRUE=$AE$10:$AE$258, COUNTIF($AJ$9:$AJ164, $AH$10:$AH$258), ""), 0)),"")</f>
        <v/>
      </c>
      <c r="AK165" s="188" t="str">
        <f t="array" ref="AK165">IFERROR(INDEX($AH$10:$AH$258, MATCH(0, IF(TRUE=$AF$10:$AF$258, COUNTIF($AK$9:$AK164, $AH$10:$AH$258), ""), 0)),"")</f>
        <v/>
      </c>
      <c r="AL165" s="35" t="str">
        <f>IFERROR(INDEX('G-6 Hedgerow Data'!$BJ$3:$BJ$15,MATCH(D165,'G-6 Hedgerow Data'!$B$3:$B$15,0)),"")</f>
        <v/>
      </c>
    </row>
    <row r="166" spans="2:38" ht="13.8" x14ac:dyDescent="0.25">
      <c r="B166" s="168">
        <v>157</v>
      </c>
      <c r="C166" s="275"/>
      <c r="D166" s="275"/>
      <c r="E166" s="185"/>
      <c r="F166" s="277" t="str">
        <f>IF(D166="","",VLOOKUP(D166,'G-6 Hedgerow Data'!$B$2:$AG$15,2,FALSE))</f>
        <v/>
      </c>
      <c r="G166" s="172" t="str">
        <f>IF(D166="","",VLOOKUP(D166,'G-6 Hedgerow Data'!$B$2:$AG$15,3,FALSE))</f>
        <v/>
      </c>
      <c r="H166" s="173"/>
      <c r="I166" s="172" t="str">
        <f>IFERROR(VLOOKUP(H166,'G-1 All Habitats'!$Z$2:$AA$9,2,FALSE),"")</f>
        <v/>
      </c>
      <c r="J166" s="173"/>
      <c r="K166" s="179" t="str">
        <f>IF(J166="","",IF(VLOOKUP(J166,'G-3 Multipliers'!$L$3:$N$6,2,FALSE)=0,"Spatial Data Missing",VLOOKUP(J166,'G-3 Multipliers'!$L$3:$N$6,2,FALSE)))</f>
        <v/>
      </c>
      <c r="L166" s="260" t="str">
        <f>IF(J166="","",IF(VLOOKUP(J166,'G-3 Multipliers'!$L$3:$N$6,3,FALSE)=0,"Spatial Data Missing",VLOOKUP(J166,'G-3 Multipliers'!$L$3:$N$6,3,FALSE)))</f>
        <v/>
      </c>
      <c r="M166" s="177" t="str">
        <f>IF(D166="","",VLOOKUP(D166,'G-6 Hedgerow Data'!$B$1:$AH$15,33,FALSE))</f>
        <v/>
      </c>
      <c r="N166" s="207" t="str">
        <f t="shared" si="16"/>
        <v/>
      </c>
      <c r="O166" s="44"/>
      <c r="P166" s="186"/>
      <c r="Q166" s="275"/>
      <c r="R166" s="289" t="str">
        <f t="shared" si="17"/>
        <v/>
      </c>
      <c r="S166" s="289" t="str">
        <f t="shared" si="18"/>
        <v/>
      </c>
      <c r="T166" s="289" t="str">
        <f t="shared" si="19"/>
        <v/>
      </c>
      <c r="U166" s="290" t="str">
        <f t="shared" si="20"/>
        <v/>
      </c>
      <c r="V166" s="182"/>
      <c r="W166" s="183"/>
      <c r="AE166" s="188" t="str">
        <f t="shared" si="14"/>
        <v/>
      </c>
      <c r="AF166" s="188" t="str">
        <f t="shared" si="15"/>
        <v/>
      </c>
      <c r="AH166" s="188">
        <v>157</v>
      </c>
      <c r="AJ166" s="188" t="str">
        <f t="array" ref="AJ166">IFERROR(INDEX($AH$10:$AH$258, MATCH(0, IF(TRUE=$AE$10:$AE$258, COUNTIF($AJ$9:$AJ165, $AH$10:$AH$258), ""), 0)),"")</f>
        <v/>
      </c>
      <c r="AK166" s="188" t="str">
        <f t="array" ref="AK166">IFERROR(INDEX($AH$10:$AH$258, MATCH(0, IF(TRUE=$AF$10:$AF$258, COUNTIF($AK$9:$AK165, $AH$10:$AH$258), ""), 0)),"")</f>
        <v/>
      </c>
      <c r="AL166" s="35" t="str">
        <f>IFERROR(INDEX('G-6 Hedgerow Data'!$BJ$3:$BJ$15,MATCH(D166,'G-6 Hedgerow Data'!$B$3:$B$15,0)),"")</f>
        <v/>
      </c>
    </row>
    <row r="167" spans="2:38" ht="13.8" x14ac:dyDescent="0.25">
      <c r="B167" s="168">
        <v>158</v>
      </c>
      <c r="C167" s="275"/>
      <c r="D167" s="275"/>
      <c r="E167" s="185"/>
      <c r="F167" s="277" t="str">
        <f>IF(D167="","",VLOOKUP(D167,'G-6 Hedgerow Data'!$B$2:$AG$15,2,FALSE))</f>
        <v/>
      </c>
      <c r="G167" s="172" t="str">
        <f>IF(D167="","",VLOOKUP(D167,'G-6 Hedgerow Data'!$B$2:$AG$15,3,FALSE))</f>
        <v/>
      </c>
      <c r="H167" s="173"/>
      <c r="I167" s="172" t="str">
        <f>IFERROR(VLOOKUP(H167,'G-1 All Habitats'!$Z$2:$AA$9,2,FALSE),"")</f>
        <v/>
      </c>
      <c r="J167" s="173"/>
      <c r="K167" s="179" t="str">
        <f>IF(J167="","",IF(VLOOKUP(J167,'G-3 Multipliers'!$L$3:$N$6,2,FALSE)=0,"Spatial Data Missing",VLOOKUP(J167,'G-3 Multipliers'!$L$3:$N$6,2,FALSE)))</f>
        <v/>
      </c>
      <c r="L167" s="260" t="str">
        <f>IF(J167="","",IF(VLOOKUP(J167,'G-3 Multipliers'!$L$3:$N$6,3,FALSE)=0,"Spatial Data Missing",VLOOKUP(J167,'G-3 Multipliers'!$L$3:$N$6,3,FALSE)))</f>
        <v/>
      </c>
      <c r="M167" s="177" t="str">
        <f>IF(D167="","",VLOOKUP(D167,'G-6 Hedgerow Data'!$B$1:$AH$15,33,FALSE))</f>
        <v/>
      </c>
      <c r="N167" s="207" t="str">
        <f t="shared" si="16"/>
        <v/>
      </c>
      <c r="O167" s="44"/>
      <c r="P167" s="186"/>
      <c r="Q167" s="275"/>
      <c r="R167" s="289" t="str">
        <f t="shared" si="17"/>
        <v/>
      </c>
      <c r="S167" s="289" t="str">
        <f t="shared" si="18"/>
        <v/>
      </c>
      <c r="T167" s="289" t="str">
        <f t="shared" si="19"/>
        <v/>
      </c>
      <c r="U167" s="290" t="str">
        <f t="shared" si="20"/>
        <v/>
      </c>
      <c r="V167" s="182"/>
      <c r="W167" s="183"/>
      <c r="AE167" s="188" t="str">
        <f t="shared" si="14"/>
        <v/>
      </c>
      <c r="AF167" s="188" t="str">
        <f t="shared" si="15"/>
        <v/>
      </c>
      <c r="AH167" s="188">
        <v>158</v>
      </c>
      <c r="AJ167" s="188" t="str">
        <f t="array" ref="AJ167">IFERROR(INDEX($AH$10:$AH$258, MATCH(0, IF(TRUE=$AE$10:$AE$258, COUNTIF($AJ$9:$AJ166, $AH$10:$AH$258), ""), 0)),"")</f>
        <v/>
      </c>
      <c r="AK167" s="188" t="str">
        <f t="array" ref="AK167">IFERROR(INDEX($AH$10:$AH$258, MATCH(0, IF(TRUE=$AF$10:$AF$258, COUNTIF($AK$9:$AK166, $AH$10:$AH$258), ""), 0)),"")</f>
        <v/>
      </c>
      <c r="AL167" s="35" t="str">
        <f>IFERROR(INDEX('G-6 Hedgerow Data'!$BJ$3:$BJ$15,MATCH(D167,'G-6 Hedgerow Data'!$B$3:$B$15,0)),"")</f>
        <v/>
      </c>
    </row>
    <row r="168" spans="2:38" ht="13.8" x14ac:dyDescent="0.25">
      <c r="B168" s="168">
        <v>159</v>
      </c>
      <c r="C168" s="275"/>
      <c r="D168" s="275"/>
      <c r="E168" s="185"/>
      <c r="F168" s="277" t="str">
        <f>IF(D168="","",VLOOKUP(D168,'G-6 Hedgerow Data'!$B$2:$AG$15,2,FALSE))</f>
        <v/>
      </c>
      <c r="G168" s="172" t="str">
        <f>IF(D168="","",VLOOKUP(D168,'G-6 Hedgerow Data'!$B$2:$AG$15,3,FALSE))</f>
        <v/>
      </c>
      <c r="H168" s="173"/>
      <c r="I168" s="172" t="str">
        <f>IFERROR(VLOOKUP(H168,'G-1 All Habitats'!$Z$2:$AA$9,2,FALSE),"")</f>
        <v/>
      </c>
      <c r="J168" s="173"/>
      <c r="K168" s="179" t="str">
        <f>IF(J168="","",IF(VLOOKUP(J168,'G-3 Multipliers'!$L$3:$N$6,2,FALSE)=0,"Spatial Data Missing",VLOOKUP(J168,'G-3 Multipliers'!$L$3:$N$6,2,FALSE)))</f>
        <v/>
      </c>
      <c r="L168" s="260" t="str">
        <f>IF(J168="","",IF(VLOOKUP(J168,'G-3 Multipliers'!$L$3:$N$6,3,FALSE)=0,"Spatial Data Missing",VLOOKUP(J168,'G-3 Multipliers'!$L$3:$N$6,3,FALSE)))</f>
        <v/>
      </c>
      <c r="M168" s="177" t="str">
        <f>IF(D168="","",VLOOKUP(D168,'G-6 Hedgerow Data'!$B$1:$AH$15,33,FALSE))</f>
        <v/>
      </c>
      <c r="N168" s="207" t="str">
        <f t="shared" si="16"/>
        <v/>
      </c>
      <c r="O168" s="44"/>
      <c r="P168" s="186"/>
      <c r="Q168" s="275"/>
      <c r="R168" s="289" t="str">
        <f t="shared" si="17"/>
        <v/>
      </c>
      <c r="S168" s="289" t="str">
        <f t="shared" si="18"/>
        <v/>
      </c>
      <c r="T168" s="289" t="str">
        <f t="shared" si="19"/>
        <v/>
      </c>
      <c r="U168" s="290" t="str">
        <f t="shared" si="20"/>
        <v/>
      </c>
      <c r="V168" s="182"/>
      <c r="W168" s="183"/>
      <c r="AE168" s="188" t="str">
        <f t="shared" si="14"/>
        <v/>
      </c>
      <c r="AF168" s="188" t="str">
        <f t="shared" si="15"/>
        <v/>
      </c>
      <c r="AH168" s="188">
        <v>159</v>
      </c>
      <c r="AJ168" s="188" t="str">
        <f t="array" ref="AJ168">IFERROR(INDEX($AH$10:$AH$258, MATCH(0, IF(TRUE=$AE$10:$AE$258, COUNTIF($AJ$9:$AJ167, $AH$10:$AH$258), ""), 0)),"")</f>
        <v/>
      </c>
      <c r="AK168" s="188" t="str">
        <f t="array" ref="AK168">IFERROR(INDEX($AH$10:$AH$258, MATCH(0, IF(TRUE=$AF$10:$AF$258, COUNTIF($AK$9:$AK167, $AH$10:$AH$258), ""), 0)),"")</f>
        <v/>
      </c>
      <c r="AL168" s="35" t="str">
        <f>IFERROR(INDEX('G-6 Hedgerow Data'!$BJ$3:$BJ$15,MATCH(D168,'G-6 Hedgerow Data'!$B$3:$B$15,0)),"")</f>
        <v/>
      </c>
    </row>
    <row r="169" spans="2:38" ht="13.8" x14ac:dyDescent="0.25">
      <c r="B169" s="168">
        <v>160</v>
      </c>
      <c r="C169" s="275"/>
      <c r="D169" s="275"/>
      <c r="E169" s="185"/>
      <c r="F169" s="277" t="str">
        <f>IF(D169="","",VLOOKUP(D169,'G-6 Hedgerow Data'!$B$2:$AG$15,2,FALSE))</f>
        <v/>
      </c>
      <c r="G169" s="172" t="str">
        <f>IF(D169="","",VLOOKUP(D169,'G-6 Hedgerow Data'!$B$2:$AG$15,3,FALSE))</f>
        <v/>
      </c>
      <c r="H169" s="173"/>
      <c r="I169" s="172" t="str">
        <f>IFERROR(VLOOKUP(H169,'G-1 All Habitats'!$Z$2:$AA$9,2,FALSE),"")</f>
        <v/>
      </c>
      <c r="J169" s="173"/>
      <c r="K169" s="179" t="str">
        <f>IF(J169="","",IF(VLOOKUP(J169,'G-3 Multipliers'!$L$3:$N$6,2,FALSE)=0,"Spatial Data Missing",VLOOKUP(J169,'G-3 Multipliers'!$L$3:$N$6,2,FALSE)))</f>
        <v/>
      </c>
      <c r="L169" s="260" t="str">
        <f>IF(J169="","",IF(VLOOKUP(J169,'G-3 Multipliers'!$L$3:$N$6,3,FALSE)=0,"Spatial Data Missing",VLOOKUP(J169,'G-3 Multipliers'!$L$3:$N$6,3,FALSE)))</f>
        <v/>
      </c>
      <c r="M169" s="177" t="str">
        <f>IF(D169="","",VLOOKUP(D169,'G-6 Hedgerow Data'!$B$1:$AH$15,33,FALSE))</f>
        <v/>
      </c>
      <c r="N169" s="207" t="str">
        <f t="shared" si="16"/>
        <v/>
      </c>
      <c r="O169" s="44"/>
      <c r="P169" s="186"/>
      <c r="Q169" s="275"/>
      <c r="R169" s="289" t="str">
        <f t="shared" si="17"/>
        <v/>
      </c>
      <c r="S169" s="289" t="str">
        <f t="shared" si="18"/>
        <v/>
      </c>
      <c r="T169" s="289" t="str">
        <f t="shared" si="19"/>
        <v/>
      </c>
      <c r="U169" s="290" t="str">
        <f t="shared" si="20"/>
        <v/>
      </c>
      <c r="V169" s="182"/>
      <c r="W169" s="183"/>
      <c r="AE169" s="188" t="str">
        <f t="shared" si="14"/>
        <v/>
      </c>
      <c r="AF169" s="188" t="str">
        <f t="shared" si="15"/>
        <v/>
      </c>
      <c r="AH169" s="188">
        <v>160</v>
      </c>
      <c r="AJ169" s="188" t="str">
        <f t="array" ref="AJ169">IFERROR(INDEX($AH$10:$AH$258, MATCH(0, IF(TRUE=$AE$10:$AE$258, COUNTIF($AJ$9:$AJ168, $AH$10:$AH$258), ""), 0)),"")</f>
        <v/>
      </c>
      <c r="AK169" s="188" t="str">
        <f t="array" ref="AK169">IFERROR(INDEX($AH$10:$AH$258, MATCH(0, IF(TRUE=$AF$10:$AF$258, COUNTIF($AK$9:$AK168, $AH$10:$AH$258), ""), 0)),"")</f>
        <v/>
      </c>
      <c r="AL169" s="35" t="str">
        <f>IFERROR(INDEX('G-6 Hedgerow Data'!$BJ$3:$BJ$15,MATCH(D169,'G-6 Hedgerow Data'!$B$3:$B$15,0)),"")</f>
        <v/>
      </c>
    </row>
    <row r="170" spans="2:38" ht="13.8" x14ac:dyDescent="0.25">
      <c r="B170" s="168">
        <v>161</v>
      </c>
      <c r="C170" s="275"/>
      <c r="D170" s="275"/>
      <c r="E170" s="185"/>
      <c r="F170" s="277" t="str">
        <f>IF(D170="","",VLOOKUP(D170,'G-6 Hedgerow Data'!$B$2:$AG$15,2,FALSE))</f>
        <v/>
      </c>
      <c r="G170" s="172" t="str">
        <f>IF(D170="","",VLOOKUP(D170,'G-6 Hedgerow Data'!$B$2:$AG$15,3,FALSE))</f>
        <v/>
      </c>
      <c r="H170" s="173"/>
      <c r="I170" s="172" t="str">
        <f>IFERROR(VLOOKUP(H170,'G-1 All Habitats'!$Z$2:$AA$9,2,FALSE),"")</f>
        <v/>
      </c>
      <c r="J170" s="173"/>
      <c r="K170" s="179" t="str">
        <f>IF(J170="","",IF(VLOOKUP(J170,'G-3 Multipliers'!$L$3:$N$6,2,FALSE)=0,"Spatial Data Missing",VLOOKUP(J170,'G-3 Multipliers'!$L$3:$N$6,2,FALSE)))</f>
        <v/>
      </c>
      <c r="L170" s="260" t="str">
        <f>IF(J170="","",IF(VLOOKUP(J170,'G-3 Multipliers'!$L$3:$N$6,3,FALSE)=0,"Spatial Data Missing",VLOOKUP(J170,'G-3 Multipliers'!$L$3:$N$6,3,FALSE)))</f>
        <v/>
      </c>
      <c r="M170" s="177" t="str">
        <f>IF(D170="","",VLOOKUP(D170,'G-6 Hedgerow Data'!$B$1:$AH$15,33,FALSE))</f>
        <v/>
      </c>
      <c r="N170" s="207" t="str">
        <f t="shared" si="16"/>
        <v/>
      </c>
      <c r="O170" s="44"/>
      <c r="P170" s="186"/>
      <c r="Q170" s="275"/>
      <c r="R170" s="289" t="str">
        <f t="shared" si="17"/>
        <v/>
      </c>
      <c r="S170" s="289" t="str">
        <f t="shared" si="18"/>
        <v/>
      </c>
      <c r="T170" s="289" t="str">
        <f t="shared" si="19"/>
        <v/>
      </c>
      <c r="U170" s="290" t="str">
        <f t="shared" si="20"/>
        <v/>
      </c>
      <c r="V170" s="182"/>
      <c r="W170" s="183"/>
      <c r="AE170" s="188" t="str">
        <f t="shared" si="14"/>
        <v/>
      </c>
      <c r="AF170" s="188" t="str">
        <f t="shared" si="15"/>
        <v/>
      </c>
      <c r="AH170" s="188">
        <v>161</v>
      </c>
      <c r="AJ170" s="188" t="str">
        <f t="array" ref="AJ170">IFERROR(INDEX($AH$10:$AH$258, MATCH(0, IF(TRUE=$AE$10:$AE$258, COUNTIF($AJ$9:$AJ169, $AH$10:$AH$258), ""), 0)),"")</f>
        <v/>
      </c>
      <c r="AK170" s="188" t="str">
        <f t="array" ref="AK170">IFERROR(INDEX($AH$10:$AH$258, MATCH(0, IF(TRUE=$AF$10:$AF$258, COUNTIF($AK$9:$AK169, $AH$10:$AH$258), ""), 0)),"")</f>
        <v/>
      </c>
      <c r="AL170" s="35" t="str">
        <f>IFERROR(INDEX('G-6 Hedgerow Data'!$BJ$3:$BJ$15,MATCH(D170,'G-6 Hedgerow Data'!$B$3:$B$15,0)),"")</f>
        <v/>
      </c>
    </row>
    <row r="171" spans="2:38" ht="13.8" x14ac:dyDescent="0.25">
      <c r="B171" s="168">
        <v>162</v>
      </c>
      <c r="C171" s="275"/>
      <c r="D171" s="275"/>
      <c r="E171" s="185"/>
      <c r="F171" s="277" t="str">
        <f>IF(D171="","",VLOOKUP(D171,'G-6 Hedgerow Data'!$B$2:$AG$15,2,FALSE))</f>
        <v/>
      </c>
      <c r="G171" s="172" t="str">
        <f>IF(D171="","",VLOOKUP(D171,'G-6 Hedgerow Data'!$B$2:$AG$15,3,FALSE))</f>
        <v/>
      </c>
      <c r="H171" s="173"/>
      <c r="I171" s="172" t="str">
        <f>IFERROR(VLOOKUP(H171,'G-1 All Habitats'!$Z$2:$AA$9,2,FALSE),"")</f>
        <v/>
      </c>
      <c r="J171" s="173"/>
      <c r="K171" s="179" t="str">
        <f>IF(J171="","",IF(VLOOKUP(J171,'G-3 Multipliers'!$L$3:$N$6,2,FALSE)=0,"Spatial Data Missing",VLOOKUP(J171,'G-3 Multipliers'!$L$3:$N$6,2,FALSE)))</f>
        <v/>
      </c>
      <c r="L171" s="260" t="str">
        <f>IF(J171="","",IF(VLOOKUP(J171,'G-3 Multipliers'!$L$3:$N$6,3,FALSE)=0,"Spatial Data Missing",VLOOKUP(J171,'G-3 Multipliers'!$L$3:$N$6,3,FALSE)))</f>
        <v/>
      </c>
      <c r="M171" s="177" t="str">
        <f>IF(D171="","",VLOOKUP(D171,'G-6 Hedgerow Data'!$B$1:$AH$15,33,FALSE))</f>
        <v/>
      </c>
      <c r="N171" s="207" t="str">
        <f t="shared" si="16"/>
        <v/>
      </c>
      <c r="O171" s="44"/>
      <c r="P171" s="186"/>
      <c r="Q171" s="275"/>
      <c r="R171" s="289" t="str">
        <f t="shared" si="17"/>
        <v/>
      </c>
      <c r="S171" s="289" t="str">
        <f t="shared" si="18"/>
        <v/>
      </c>
      <c r="T171" s="289" t="str">
        <f t="shared" si="19"/>
        <v/>
      </c>
      <c r="U171" s="290" t="str">
        <f t="shared" si="20"/>
        <v/>
      </c>
      <c r="V171" s="182"/>
      <c r="W171" s="183"/>
      <c r="AE171" s="188" t="str">
        <f t="shared" si="14"/>
        <v/>
      </c>
      <c r="AF171" s="188" t="str">
        <f t="shared" si="15"/>
        <v/>
      </c>
      <c r="AH171" s="188">
        <v>162</v>
      </c>
      <c r="AJ171" s="188" t="str">
        <f t="array" ref="AJ171">IFERROR(INDEX($AH$10:$AH$258, MATCH(0, IF(TRUE=$AE$10:$AE$258, COUNTIF($AJ$9:$AJ170, $AH$10:$AH$258), ""), 0)),"")</f>
        <v/>
      </c>
      <c r="AK171" s="188" t="str">
        <f t="array" ref="AK171">IFERROR(INDEX($AH$10:$AH$258, MATCH(0, IF(TRUE=$AF$10:$AF$258, COUNTIF($AK$9:$AK170, $AH$10:$AH$258), ""), 0)),"")</f>
        <v/>
      </c>
      <c r="AL171" s="35" t="str">
        <f>IFERROR(INDEX('G-6 Hedgerow Data'!$BJ$3:$BJ$15,MATCH(D171,'G-6 Hedgerow Data'!$B$3:$B$15,0)),"")</f>
        <v/>
      </c>
    </row>
    <row r="172" spans="2:38" ht="13.8" x14ac:dyDescent="0.25">
      <c r="B172" s="168">
        <v>163</v>
      </c>
      <c r="C172" s="275"/>
      <c r="D172" s="275"/>
      <c r="E172" s="185"/>
      <c r="F172" s="277" t="str">
        <f>IF(D172="","",VLOOKUP(D172,'G-6 Hedgerow Data'!$B$2:$AG$15,2,FALSE))</f>
        <v/>
      </c>
      <c r="G172" s="172" t="str">
        <f>IF(D172="","",VLOOKUP(D172,'G-6 Hedgerow Data'!$B$2:$AG$15,3,FALSE))</f>
        <v/>
      </c>
      <c r="H172" s="173"/>
      <c r="I172" s="172" t="str">
        <f>IFERROR(VLOOKUP(H172,'G-1 All Habitats'!$Z$2:$AA$9,2,FALSE),"")</f>
        <v/>
      </c>
      <c r="J172" s="173"/>
      <c r="K172" s="179" t="str">
        <f>IF(J172="","",IF(VLOOKUP(J172,'G-3 Multipliers'!$L$3:$N$6,2,FALSE)=0,"Spatial Data Missing",VLOOKUP(J172,'G-3 Multipliers'!$L$3:$N$6,2,FALSE)))</f>
        <v/>
      </c>
      <c r="L172" s="260" t="str">
        <f>IF(J172="","",IF(VLOOKUP(J172,'G-3 Multipliers'!$L$3:$N$6,3,FALSE)=0,"Spatial Data Missing",VLOOKUP(J172,'G-3 Multipliers'!$L$3:$N$6,3,FALSE)))</f>
        <v/>
      </c>
      <c r="M172" s="177" t="str">
        <f>IF(D172="","",VLOOKUP(D172,'G-6 Hedgerow Data'!$B$1:$AH$15,33,FALSE))</f>
        <v/>
      </c>
      <c r="N172" s="207" t="str">
        <f t="shared" si="16"/>
        <v/>
      </c>
      <c r="O172" s="44"/>
      <c r="P172" s="186"/>
      <c r="Q172" s="275"/>
      <c r="R172" s="289" t="str">
        <f t="shared" si="17"/>
        <v/>
      </c>
      <c r="S172" s="289" t="str">
        <f t="shared" si="18"/>
        <v/>
      </c>
      <c r="T172" s="289" t="str">
        <f t="shared" si="19"/>
        <v/>
      </c>
      <c r="U172" s="290" t="str">
        <f t="shared" si="20"/>
        <v/>
      </c>
      <c r="V172" s="182"/>
      <c r="W172" s="183"/>
      <c r="AE172" s="188" t="str">
        <f t="shared" si="14"/>
        <v/>
      </c>
      <c r="AF172" s="188" t="str">
        <f t="shared" si="15"/>
        <v/>
      </c>
      <c r="AH172" s="188">
        <v>163</v>
      </c>
      <c r="AJ172" s="188" t="str">
        <f t="array" ref="AJ172">IFERROR(INDEX($AH$10:$AH$258, MATCH(0, IF(TRUE=$AE$10:$AE$258, COUNTIF($AJ$9:$AJ171, $AH$10:$AH$258), ""), 0)),"")</f>
        <v/>
      </c>
      <c r="AK172" s="188" t="str">
        <f t="array" ref="AK172">IFERROR(INDEX($AH$10:$AH$258, MATCH(0, IF(TRUE=$AF$10:$AF$258, COUNTIF($AK$9:$AK171, $AH$10:$AH$258), ""), 0)),"")</f>
        <v/>
      </c>
      <c r="AL172" s="35" t="str">
        <f>IFERROR(INDEX('G-6 Hedgerow Data'!$BJ$3:$BJ$15,MATCH(D172,'G-6 Hedgerow Data'!$B$3:$B$15,0)),"")</f>
        <v/>
      </c>
    </row>
    <row r="173" spans="2:38" ht="13.8" x14ac:dyDescent="0.25">
      <c r="B173" s="168">
        <v>164</v>
      </c>
      <c r="C173" s="275"/>
      <c r="D173" s="275"/>
      <c r="E173" s="185"/>
      <c r="F173" s="277" t="str">
        <f>IF(D173="","",VLOOKUP(D173,'G-6 Hedgerow Data'!$B$2:$AG$15,2,FALSE))</f>
        <v/>
      </c>
      <c r="G173" s="172" t="str">
        <f>IF(D173="","",VLOOKUP(D173,'G-6 Hedgerow Data'!$B$2:$AG$15,3,FALSE))</f>
        <v/>
      </c>
      <c r="H173" s="173"/>
      <c r="I173" s="172" t="str">
        <f>IFERROR(VLOOKUP(H173,'G-1 All Habitats'!$Z$2:$AA$9,2,FALSE),"")</f>
        <v/>
      </c>
      <c r="J173" s="173"/>
      <c r="K173" s="179" t="str">
        <f>IF(J173="","",IF(VLOOKUP(J173,'G-3 Multipliers'!$L$3:$N$6,2,FALSE)=0,"Spatial Data Missing",VLOOKUP(J173,'G-3 Multipliers'!$L$3:$N$6,2,FALSE)))</f>
        <v/>
      </c>
      <c r="L173" s="260" t="str">
        <f>IF(J173="","",IF(VLOOKUP(J173,'G-3 Multipliers'!$L$3:$N$6,3,FALSE)=0,"Spatial Data Missing",VLOOKUP(J173,'G-3 Multipliers'!$L$3:$N$6,3,FALSE)))</f>
        <v/>
      </c>
      <c r="M173" s="177" t="str">
        <f>IF(D173="","",VLOOKUP(D173,'G-6 Hedgerow Data'!$B$1:$AH$15,33,FALSE))</f>
        <v/>
      </c>
      <c r="N173" s="207" t="str">
        <f t="shared" si="16"/>
        <v/>
      </c>
      <c r="O173" s="44"/>
      <c r="P173" s="186"/>
      <c r="Q173" s="275"/>
      <c r="R173" s="289" t="str">
        <f t="shared" si="17"/>
        <v/>
      </c>
      <c r="S173" s="289" t="str">
        <f t="shared" si="18"/>
        <v/>
      </c>
      <c r="T173" s="289" t="str">
        <f t="shared" si="19"/>
        <v/>
      </c>
      <c r="U173" s="290" t="str">
        <f t="shared" si="20"/>
        <v/>
      </c>
      <c r="V173" s="182"/>
      <c r="W173" s="183"/>
      <c r="AE173" s="188" t="str">
        <f t="shared" si="14"/>
        <v/>
      </c>
      <c r="AF173" s="188" t="str">
        <f t="shared" si="15"/>
        <v/>
      </c>
      <c r="AH173" s="188">
        <v>164</v>
      </c>
      <c r="AJ173" s="188" t="str">
        <f t="array" ref="AJ173">IFERROR(INDEX($AH$10:$AH$258, MATCH(0, IF(TRUE=$AE$10:$AE$258, COUNTIF($AJ$9:$AJ172, $AH$10:$AH$258), ""), 0)),"")</f>
        <v/>
      </c>
      <c r="AK173" s="188" t="str">
        <f t="array" ref="AK173">IFERROR(INDEX($AH$10:$AH$258, MATCH(0, IF(TRUE=$AF$10:$AF$258, COUNTIF($AK$9:$AK172, $AH$10:$AH$258), ""), 0)),"")</f>
        <v/>
      </c>
      <c r="AL173" s="35" t="str">
        <f>IFERROR(INDEX('G-6 Hedgerow Data'!$BJ$3:$BJ$15,MATCH(D173,'G-6 Hedgerow Data'!$B$3:$B$15,0)),"")</f>
        <v/>
      </c>
    </row>
    <row r="174" spans="2:38" ht="13.8" x14ac:dyDescent="0.25">
      <c r="B174" s="168">
        <v>165</v>
      </c>
      <c r="C174" s="275"/>
      <c r="D174" s="275"/>
      <c r="E174" s="185"/>
      <c r="F174" s="277" t="str">
        <f>IF(D174="","",VLOOKUP(D174,'G-6 Hedgerow Data'!$B$2:$AG$15,2,FALSE))</f>
        <v/>
      </c>
      <c r="G174" s="172" t="str">
        <f>IF(D174="","",VLOOKUP(D174,'G-6 Hedgerow Data'!$B$2:$AG$15,3,FALSE))</f>
        <v/>
      </c>
      <c r="H174" s="173"/>
      <c r="I174" s="172" t="str">
        <f>IFERROR(VLOOKUP(H174,'G-1 All Habitats'!$Z$2:$AA$9,2,FALSE),"")</f>
        <v/>
      </c>
      <c r="J174" s="173"/>
      <c r="K174" s="179" t="str">
        <f>IF(J174="","",IF(VLOOKUP(J174,'G-3 Multipliers'!$L$3:$N$6,2,FALSE)=0,"Spatial Data Missing",VLOOKUP(J174,'G-3 Multipliers'!$L$3:$N$6,2,FALSE)))</f>
        <v/>
      </c>
      <c r="L174" s="260" t="str">
        <f>IF(J174="","",IF(VLOOKUP(J174,'G-3 Multipliers'!$L$3:$N$6,3,FALSE)=0,"Spatial Data Missing",VLOOKUP(J174,'G-3 Multipliers'!$L$3:$N$6,3,FALSE)))</f>
        <v/>
      </c>
      <c r="M174" s="177" t="str">
        <f>IF(D174="","",VLOOKUP(D174,'G-6 Hedgerow Data'!$B$1:$AH$15,33,FALSE))</f>
        <v/>
      </c>
      <c r="N174" s="207" t="str">
        <f t="shared" si="16"/>
        <v/>
      </c>
      <c r="O174" s="44"/>
      <c r="P174" s="186"/>
      <c r="Q174" s="275"/>
      <c r="R174" s="289" t="str">
        <f t="shared" si="17"/>
        <v/>
      </c>
      <c r="S174" s="289" t="str">
        <f t="shared" si="18"/>
        <v/>
      </c>
      <c r="T174" s="289" t="str">
        <f t="shared" si="19"/>
        <v/>
      </c>
      <c r="U174" s="290" t="str">
        <f t="shared" si="20"/>
        <v/>
      </c>
      <c r="V174" s="182"/>
      <c r="W174" s="183"/>
      <c r="AE174" s="188" t="str">
        <f t="shared" si="14"/>
        <v/>
      </c>
      <c r="AF174" s="188" t="str">
        <f t="shared" si="15"/>
        <v/>
      </c>
      <c r="AH174" s="188">
        <v>165</v>
      </c>
      <c r="AJ174" s="188" t="str">
        <f t="array" ref="AJ174">IFERROR(INDEX($AH$10:$AH$258, MATCH(0, IF(TRUE=$AE$10:$AE$258, COUNTIF($AJ$9:$AJ173, $AH$10:$AH$258), ""), 0)),"")</f>
        <v/>
      </c>
      <c r="AK174" s="188" t="str">
        <f t="array" ref="AK174">IFERROR(INDEX($AH$10:$AH$258, MATCH(0, IF(TRUE=$AF$10:$AF$258, COUNTIF($AK$9:$AK173, $AH$10:$AH$258), ""), 0)),"")</f>
        <v/>
      </c>
      <c r="AL174" s="35" t="str">
        <f>IFERROR(INDEX('G-6 Hedgerow Data'!$BJ$3:$BJ$15,MATCH(D174,'G-6 Hedgerow Data'!$B$3:$B$15,0)),"")</f>
        <v/>
      </c>
    </row>
    <row r="175" spans="2:38" ht="13.8" x14ac:dyDescent="0.25">
      <c r="B175" s="168">
        <v>166</v>
      </c>
      <c r="C175" s="275"/>
      <c r="D175" s="275"/>
      <c r="E175" s="185"/>
      <c r="F175" s="277" t="str">
        <f>IF(D175="","",VLOOKUP(D175,'G-6 Hedgerow Data'!$B$2:$AG$15,2,FALSE))</f>
        <v/>
      </c>
      <c r="G175" s="172" t="str">
        <f>IF(D175="","",VLOOKUP(D175,'G-6 Hedgerow Data'!$B$2:$AG$15,3,FALSE))</f>
        <v/>
      </c>
      <c r="H175" s="173"/>
      <c r="I175" s="172" t="str">
        <f>IFERROR(VLOOKUP(H175,'G-1 All Habitats'!$Z$2:$AA$9,2,FALSE),"")</f>
        <v/>
      </c>
      <c r="J175" s="173"/>
      <c r="K175" s="179" t="str">
        <f>IF(J175="","",IF(VLOOKUP(J175,'G-3 Multipliers'!$L$3:$N$6,2,FALSE)=0,"Spatial Data Missing",VLOOKUP(J175,'G-3 Multipliers'!$L$3:$N$6,2,FALSE)))</f>
        <v/>
      </c>
      <c r="L175" s="260" t="str">
        <f>IF(J175="","",IF(VLOOKUP(J175,'G-3 Multipliers'!$L$3:$N$6,3,FALSE)=0,"Spatial Data Missing",VLOOKUP(J175,'G-3 Multipliers'!$L$3:$N$6,3,FALSE)))</f>
        <v/>
      </c>
      <c r="M175" s="177" t="str">
        <f>IF(D175="","",VLOOKUP(D175,'G-6 Hedgerow Data'!$B$1:$AH$15,33,FALSE))</f>
        <v/>
      </c>
      <c r="N175" s="207" t="str">
        <f t="shared" si="16"/>
        <v/>
      </c>
      <c r="O175" s="44"/>
      <c r="P175" s="186"/>
      <c r="Q175" s="275"/>
      <c r="R175" s="289" t="str">
        <f t="shared" si="17"/>
        <v/>
      </c>
      <c r="S175" s="289" t="str">
        <f t="shared" si="18"/>
        <v/>
      </c>
      <c r="T175" s="289" t="str">
        <f t="shared" si="19"/>
        <v/>
      </c>
      <c r="U175" s="290" t="str">
        <f t="shared" si="20"/>
        <v/>
      </c>
      <c r="V175" s="182"/>
      <c r="W175" s="183"/>
      <c r="AE175" s="188" t="str">
        <f t="shared" si="14"/>
        <v/>
      </c>
      <c r="AF175" s="188" t="str">
        <f t="shared" si="15"/>
        <v/>
      </c>
      <c r="AH175" s="188">
        <v>166</v>
      </c>
      <c r="AJ175" s="188" t="str">
        <f t="array" ref="AJ175">IFERROR(INDEX($AH$10:$AH$258, MATCH(0, IF(TRUE=$AE$10:$AE$258, COUNTIF($AJ$9:$AJ174, $AH$10:$AH$258), ""), 0)),"")</f>
        <v/>
      </c>
      <c r="AK175" s="188" t="str">
        <f t="array" ref="AK175">IFERROR(INDEX($AH$10:$AH$258, MATCH(0, IF(TRUE=$AF$10:$AF$258, COUNTIF($AK$9:$AK174, $AH$10:$AH$258), ""), 0)),"")</f>
        <v/>
      </c>
      <c r="AL175" s="35" t="str">
        <f>IFERROR(INDEX('G-6 Hedgerow Data'!$BJ$3:$BJ$15,MATCH(D175,'G-6 Hedgerow Data'!$B$3:$B$15,0)),"")</f>
        <v/>
      </c>
    </row>
    <row r="176" spans="2:38" ht="13.8" x14ac:dyDescent="0.25">
      <c r="B176" s="168">
        <v>167</v>
      </c>
      <c r="C176" s="275"/>
      <c r="D176" s="275"/>
      <c r="E176" s="185"/>
      <c r="F176" s="277" t="str">
        <f>IF(D176="","",VLOOKUP(D176,'G-6 Hedgerow Data'!$B$2:$AG$15,2,FALSE))</f>
        <v/>
      </c>
      <c r="G176" s="172" t="str">
        <f>IF(D176="","",VLOOKUP(D176,'G-6 Hedgerow Data'!$B$2:$AG$15,3,FALSE))</f>
        <v/>
      </c>
      <c r="H176" s="173"/>
      <c r="I176" s="172" t="str">
        <f>IFERROR(VLOOKUP(H176,'G-1 All Habitats'!$Z$2:$AA$9,2,FALSE),"")</f>
        <v/>
      </c>
      <c r="J176" s="173"/>
      <c r="K176" s="179" t="str">
        <f>IF(J176="","",IF(VLOOKUP(J176,'G-3 Multipliers'!$L$3:$N$6,2,FALSE)=0,"Spatial Data Missing",VLOOKUP(J176,'G-3 Multipliers'!$L$3:$N$6,2,FALSE)))</f>
        <v/>
      </c>
      <c r="L176" s="260" t="str">
        <f>IF(J176="","",IF(VLOOKUP(J176,'G-3 Multipliers'!$L$3:$N$6,3,FALSE)=0,"Spatial Data Missing",VLOOKUP(J176,'G-3 Multipliers'!$L$3:$N$6,3,FALSE)))</f>
        <v/>
      </c>
      <c r="M176" s="177" t="str">
        <f>IF(D176="","",VLOOKUP(D176,'G-6 Hedgerow Data'!$B$1:$AH$15,33,FALSE))</f>
        <v/>
      </c>
      <c r="N176" s="207" t="str">
        <f t="shared" si="16"/>
        <v/>
      </c>
      <c r="O176" s="44"/>
      <c r="P176" s="186"/>
      <c r="Q176" s="275"/>
      <c r="R176" s="289" t="str">
        <f t="shared" si="17"/>
        <v/>
      </c>
      <c r="S176" s="289" t="str">
        <f t="shared" si="18"/>
        <v/>
      </c>
      <c r="T176" s="289" t="str">
        <f t="shared" si="19"/>
        <v/>
      </c>
      <c r="U176" s="290" t="str">
        <f t="shared" si="20"/>
        <v/>
      </c>
      <c r="V176" s="182"/>
      <c r="W176" s="183"/>
      <c r="AE176" s="188" t="str">
        <f t="shared" si="14"/>
        <v/>
      </c>
      <c r="AF176" s="188" t="str">
        <f t="shared" si="15"/>
        <v/>
      </c>
      <c r="AH176" s="188">
        <v>167</v>
      </c>
      <c r="AJ176" s="188" t="str">
        <f t="array" ref="AJ176">IFERROR(INDEX($AH$10:$AH$258, MATCH(0, IF(TRUE=$AE$10:$AE$258, COUNTIF($AJ$9:$AJ175, $AH$10:$AH$258), ""), 0)),"")</f>
        <v/>
      </c>
      <c r="AK176" s="188" t="str">
        <f t="array" ref="AK176">IFERROR(INDEX($AH$10:$AH$258, MATCH(0, IF(TRUE=$AF$10:$AF$258, COUNTIF($AK$9:$AK175, $AH$10:$AH$258), ""), 0)),"")</f>
        <v/>
      </c>
      <c r="AL176" s="35" t="str">
        <f>IFERROR(INDEX('G-6 Hedgerow Data'!$BJ$3:$BJ$15,MATCH(D176,'G-6 Hedgerow Data'!$B$3:$B$15,0)),"")</f>
        <v/>
      </c>
    </row>
    <row r="177" spans="2:38" ht="13.8" x14ac:dyDescent="0.25">
      <c r="B177" s="168">
        <v>168</v>
      </c>
      <c r="C177" s="275"/>
      <c r="D177" s="275"/>
      <c r="E177" s="185"/>
      <c r="F177" s="277" t="str">
        <f>IF(D177="","",VLOOKUP(D177,'G-6 Hedgerow Data'!$B$2:$AG$15,2,FALSE))</f>
        <v/>
      </c>
      <c r="G177" s="172" t="str">
        <f>IF(D177="","",VLOOKUP(D177,'G-6 Hedgerow Data'!$B$2:$AG$15,3,FALSE))</f>
        <v/>
      </c>
      <c r="H177" s="173"/>
      <c r="I177" s="172" t="str">
        <f>IFERROR(VLOOKUP(H177,'G-1 All Habitats'!$Z$2:$AA$9,2,FALSE),"")</f>
        <v/>
      </c>
      <c r="J177" s="173"/>
      <c r="K177" s="179" t="str">
        <f>IF(J177="","",IF(VLOOKUP(J177,'G-3 Multipliers'!$L$3:$N$6,2,FALSE)=0,"Spatial Data Missing",VLOOKUP(J177,'G-3 Multipliers'!$L$3:$N$6,2,FALSE)))</f>
        <v/>
      </c>
      <c r="L177" s="260" t="str">
        <f>IF(J177="","",IF(VLOOKUP(J177,'G-3 Multipliers'!$L$3:$N$6,3,FALSE)=0,"Spatial Data Missing",VLOOKUP(J177,'G-3 Multipliers'!$L$3:$N$6,3,FALSE)))</f>
        <v/>
      </c>
      <c r="M177" s="177" t="str">
        <f>IF(D177="","",VLOOKUP(D177,'G-6 Hedgerow Data'!$B$1:$AH$15,33,FALSE))</f>
        <v/>
      </c>
      <c r="N177" s="207" t="str">
        <f t="shared" si="16"/>
        <v/>
      </c>
      <c r="O177" s="44"/>
      <c r="P177" s="186"/>
      <c r="Q177" s="275"/>
      <c r="R177" s="289" t="str">
        <f t="shared" si="17"/>
        <v/>
      </c>
      <c r="S177" s="289" t="str">
        <f t="shared" si="18"/>
        <v/>
      </c>
      <c r="T177" s="289" t="str">
        <f t="shared" si="19"/>
        <v/>
      </c>
      <c r="U177" s="290" t="str">
        <f t="shared" si="20"/>
        <v/>
      </c>
      <c r="V177" s="182"/>
      <c r="W177" s="183"/>
      <c r="AE177" s="188" t="str">
        <f t="shared" si="14"/>
        <v/>
      </c>
      <c r="AF177" s="188" t="str">
        <f t="shared" si="15"/>
        <v/>
      </c>
      <c r="AH177" s="188">
        <v>168</v>
      </c>
      <c r="AJ177" s="188" t="str">
        <f t="array" ref="AJ177">IFERROR(INDEX($AH$10:$AH$258, MATCH(0, IF(TRUE=$AE$10:$AE$258, COUNTIF($AJ$9:$AJ176, $AH$10:$AH$258), ""), 0)),"")</f>
        <v/>
      </c>
      <c r="AK177" s="188" t="str">
        <f t="array" ref="AK177">IFERROR(INDEX($AH$10:$AH$258, MATCH(0, IF(TRUE=$AF$10:$AF$258, COUNTIF($AK$9:$AK176, $AH$10:$AH$258), ""), 0)),"")</f>
        <v/>
      </c>
      <c r="AL177" s="35" t="str">
        <f>IFERROR(INDEX('G-6 Hedgerow Data'!$BJ$3:$BJ$15,MATCH(D177,'G-6 Hedgerow Data'!$B$3:$B$15,0)),"")</f>
        <v/>
      </c>
    </row>
    <row r="178" spans="2:38" ht="13.8" x14ac:dyDescent="0.25">
      <c r="B178" s="168">
        <v>169</v>
      </c>
      <c r="C178" s="275"/>
      <c r="D178" s="275"/>
      <c r="E178" s="185"/>
      <c r="F178" s="277" t="str">
        <f>IF(D178="","",VLOOKUP(D178,'G-6 Hedgerow Data'!$B$2:$AG$15,2,FALSE))</f>
        <v/>
      </c>
      <c r="G178" s="172" t="str">
        <f>IF(D178="","",VLOOKUP(D178,'G-6 Hedgerow Data'!$B$2:$AG$15,3,FALSE))</f>
        <v/>
      </c>
      <c r="H178" s="173"/>
      <c r="I178" s="172" t="str">
        <f>IFERROR(VLOOKUP(H178,'G-1 All Habitats'!$Z$2:$AA$9,2,FALSE),"")</f>
        <v/>
      </c>
      <c r="J178" s="173"/>
      <c r="K178" s="179" t="str">
        <f>IF(J178="","",IF(VLOOKUP(J178,'G-3 Multipliers'!$L$3:$N$6,2,FALSE)=0,"Spatial Data Missing",VLOOKUP(J178,'G-3 Multipliers'!$L$3:$N$6,2,FALSE)))</f>
        <v/>
      </c>
      <c r="L178" s="260" t="str">
        <f>IF(J178="","",IF(VLOOKUP(J178,'G-3 Multipliers'!$L$3:$N$6,3,FALSE)=0,"Spatial Data Missing",VLOOKUP(J178,'G-3 Multipliers'!$L$3:$N$6,3,FALSE)))</f>
        <v/>
      </c>
      <c r="M178" s="177" t="str">
        <f>IF(D178="","",VLOOKUP(D178,'G-6 Hedgerow Data'!$B$1:$AH$15,33,FALSE))</f>
        <v/>
      </c>
      <c r="N178" s="207" t="str">
        <f t="shared" si="16"/>
        <v/>
      </c>
      <c r="O178" s="44"/>
      <c r="P178" s="186"/>
      <c r="Q178" s="275"/>
      <c r="R178" s="289" t="str">
        <f t="shared" si="17"/>
        <v/>
      </c>
      <c r="S178" s="289" t="str">
        <f t="shared" si="18"/>
        <v/>
      </c>
      <c r="T178" s="289" t="str">
        <f t="shared" si="19"/>
        <v/>
      </c>
      <c r="U178" s="290" t="str">
        <f t="shared" si="20"/>
        <v/>
      </c>
      <c r="V178" s="182"/>
      <c r="W178" s="183"/>
      <c r="AE178" s="188" t="str">
        <f t="shared" si="14"/>
        <v/>
      </c>
      <c r="AF178" s="188" t="str">
        <f t="shared" si="15"/>
        <v/>
      </c>
      <c r="AH178" s="188">
        <v>169</v>
      </c>
      <c r="AJ178" s="188" t="str">
        <f t="array" ref="AJ178">IFERROR(INDEX($AH$10:$AH$258, MATCH(0, IF(TRUE=$AE$10:$AE$258, COUNTIF($AJ$9:$AJ177, $AH$10:$AH$258), ""), 0)),"")</f>
        <v/>
      </c>
      <c r="AK178" s="188" t="str">
        <f t="array" ref="AK178">IFERROR(INDEX($AH$10:$AH$258, MATCH(0, IF(TRUE=$AF$10:$AF$258, COUNTIF($AK$9:$AK177, $AH$10:$AH$258), ""), 0)),"")</f>
        <v/>
      </c>
      <c r="AL178" s="35" t="str">
        <f>IFERROR(INDEX('G-6 Hedgerow Data'!$BJ$3:$BJ$15,MATCH(D178,'G-6 Hedgerow Data'!$B$3:$B$15,0)),"")</f>
        <v/>
      </c>
    </row>
    <row r="179" spans="2:38" ht="13.8" x14ac:dyDescent="0.25">
      <c r="B179" s="168">
        <v>170</v>
      </c>
      <c r="C179" s="275"/>
      <c r="D179" s="275"/>
      <c r="E179" s="185"/>
      <c r="F179" s="277" t="str">
        <f>IF(D179="","",VLOOKUP(D179,'G-6 Hedgerow Data'!$B$2:$AG$15,2,FALSE))</f>
        <v/>
      </c>
      <c r="G179" s="172" t="str">
        <f>IF(D179="","",VLOOKUP(D179,'G-6 Hedgerow Data'!$B$2:$AG$15,3,FALSE))</f>
        <v/>
      </c>
      <c r="H179" s="173"/>
      <c r="I179" s="172" t="str">
        <f>IFERROR(VLOOKUP(H179,'G-1 All Habitats'!$Z$2:$AA$9,2,FALSE),"")</f>
        <v/>
      </c>
      <c r="J179" s="173"/>
      <c r="K179" s="179" t="str">
        <f>IF(J179="","",IF(VLOOKUP(J179,'G-3 Multipliers'!$L$3:$N$6,2,FALSE)=0,"Spatial Data Missing",VLOOKUP(J179,'G-3 Multipliers'!$L$3:$N$6,2,FALSE)))</f>
        <v/>
      </c>
      <c r="L179" s="260" t="str">
        <f>IF(J179="","",IF(VLOOKUP(J179,'G-3 Multipliers'!$L$3:$N$6,3,FALSE)=0,"Spatial Data Missing",VLOOKUP(J179,'G-3 Multipliers'!$L$3:$N$6,3,FALSE)))</f>
        <v/>
      </c>
      <c r="M179" s="177" t="str">
        <f>IF(D179="","",VLOOKUP(D179,'G-6 Hedgerow Data'!$B$1:$AH$15,33,FALSE))</f>
        <v/>
      </c>
      <c r="N179" s="207" t="str">
        <f t="shared" si="16"/>
        <v/>
      </c>
      <c r="O179" s="44"/>
      <c r="P179" s="186"/>
      <c r="Q179" s="275"/>
      <c r="R179" s="289" t="str">
        <f t="shared" si="17"/>
        <v/>
      </c>
      <c r="S179" s="289" t="str">
        <f t="shared" si="18"/>
        <v/>
      </c>
      <c r="T179" s="289" t="str">
        <f t="shared" si="19"/>
        <v/>
      </c>
      <c r="U179" s="290" t="str">
        <f t="shared" si="20"/>
        <v/>
      </c>
      <c r="V179" s="182"/>
      <c r="W179" s="183"/>
      <c r="AE179" s="188" t="str">
        <f t="shared" si="14"/>
        <v/>
      </c>
      <c r="AF179" s="188" t="str">
        <f t="shared" si="15"/>
        <v/>
      </c>
      <c r="AH179" s="188">
        <v>170</v>
      </c>
      <c r="AJ179" s="188" t="str">
        <f t="array" ref="AJ179">IFERROR(INDEX($AH$10:$AH$258, MATCH(0, IF(TRUE=$AE$10:$AE$258, COUNTIF($AJ$9:$AJ178, $AH$10:$AH$258), ""), 0)),"")</f>
        <v/>
      </c>
      <c r="AK179" s="188" t="str">
        <f t="array" ref="AK179">IFERROR(INDEX($AH$10:$AH$258, MATCH(0, IF(TRUE=$AF$10:$AF$258, COUNTIF($AK$9:$AK178, $AH$10:$AH$258), ""), 0)),"")</f>
        <v/>
      </c>
      <c r="AL179" s="35" t="str">
        <f>IFERROR(INDEX('G-6 Hedgerow Data'!$BJ$3:$BJ$15,MATCH(D179,'G-6 Hedgerow Data'!$B$3:$B$15,0)),"")</f>
        <v/>
      </c>
    </row>
    <row r="180" spans="2:38" ht="13.8" x14ac:dyDescent="0.25">
      <c r="B180" s="168">
        <v>171</v>
      </c>
      <c r="C180" s="275"/>
      <c r="D180" s="275"/>
      <c r="E180" s="185"/>
      <c r="F180" s="277" t="str">
        <f>IF(D180="","",VLOOKUP(D180,'G-6 Hedgerow Data'!$B$2:$AG$15,2,FALSE))</f>
        <v/>
      </c>
      <c r="G180" s="172" t="str">
        <f>IF(D180="","",VLOOKUP(D180,'G-6 Hedgerow Data'!$B$2:$AG$15,3,FALSE))</f>
        <v/>
      </c>
      <c r="H180" s="173"/>
      <c r="I180" s="172" t="str">
        <f>IFERROR(VLOOKUP(H180,'G-1 All Habitats'!$Z$2:$AA$9,2,FALSE),"")</f>
        <v/>
      </c>
      <c r="J180" s="173"/>
      <c r="K180" s="179" t="str">
        <f>IF(J180="","",IF(VLOOKUP(J180,'G-3 Multipliers'!$L$3:$N$6,2,FALSE)=0,"Spatial Data Missing",VLOOKUP(J180,'G-3 Multipliers'!$L$3:$N$6,2,FALSE)))</f>
        <v/>
      </c>
      <c r="L180" s="260" t="str">
        <f>IF(J180="","",IF(VLOOKUP(J180,'G-3 Multipliers'!$L$3:$N$6,3,FALSE)=0,"Spatial Data Missing",VLOOKUP(J180,'G-3 Multipliers'!$L$3:$N$6,3,FALSE)))</f>
        <v/>
      </c>
      <c r="M180" s="177" t="str">
        <f>IF(D180="","",VLOOKUP(D180,'G-6 Hedgerow Data'!$B$1:$AH$15,33,FALSE))</f>
        <v/>
      </c>
      <c r="N180" s="207" t="str">
        <f t="shared" si="16"/>
        <v/>
      </c>
      <c r="O180" s="44"/>
      <c r="P180" s="186"/>
      <c r="Q180" s="275"/>
      <c r="R180" s="289" t="str">
        <f t="shared" si="17"/>
        <v/>
      </c>
      <c r="S180" s="289" t="str">
        <f t="shared" si="18"/>
        <v/>
      </c>
      <c r="T180" s="289" t="str">
        <f t="shared" si="19"/>
        <v/>
      </c>
      <c r="U180" s="290" t="str">
        <f t="shared" si="20"/>
        <v/>
      </c>
      <c r="V180" s="182"/>
      <c r="W180" s="183"/>
      <c r="AE180" s="188" t="str">
        <f t="shared" si="14"/>
        <v/>
      </c>
      <c r="AF180" s="188" t="str">
        <f t="shared" si="15"/>
        <v/>
      </c>
      <c r="AH180" s="188">
        <v>171</v>
      </c>
      <c r="AJ180" s="188" t="str">
        <f t="array" ref="AJ180">IFERROR(INDEX($AH$10:$AH$258, MATCH(0, IF(TRUE=$AE$10:$AE$258, COUNTIF($AJ$9:$AJ179, $AH$10:$AH$258), ""), 0)),"")</f>
        <v/>
      </c>
      <c r="AK180" s="188" t="str">
        <f t="array" ref="AK180">IFERROR(INDEX($AH$10:$AH$258, MATCH(0, IF(TRUE=$AF$10:$AF$258, COUNTIF($AK$9:$AK179, $AH$10:$AH$258), ""), 0)),"")</f>
        <v/>
      </c>
      <c r="AL180" s="35" t="str">
        <f>IFERROR(INDEX('G-6 Hedgerow Data'!$BJ$3:$BJ$15,MATCH(D180,'G-6 Hedgerow Data'!$B$3:$B$15,0)),"")</f>
        <v/>
      </c>
    </row>
    <row r="181" spans="2:38" ht="13.8" x14ac:dyDescent="0.25">
      <c r="B181" s="168">
        <v>172</v>
      </c>
      <c r="C181" s="275"/>
      <c r="D181" s="275"/>
      <c r="E181" s="185"/>
      <c r="F181" s="277" t="str">
        <f>IF(D181="","",VLOOKUP(D181,'G-6 Hedgerow Data'!$B$2:$AG$15,2,FALSE))</f>
        <v/>
      </c>
      <c r="G181" s="172" t="str">
        <f>IF(D181="","",VLOOKUP(D181,'G-6 Hedgerow Data'!$B$2:$AG$15,3,FALSE))</f>
        <v/>
      </c>
      <c r="H181" s="173"/>
      <c r="I181" s="172" t="str">
        <f>IFERROR(VLOOKUP(H181,'G-1 All Habitats'!$Z$2:$AA$9,2,FALSE),"")</f>
        <v/>
      </c>
      <c r="J181" s="173"/>
      <c r="K181" s="179" t="str">
        <f>IF(J181="","",IF(VLOOKUP(J181,'G-3 Multipliers'!$L$3:$N$6,2,FALSE)=0,"Spatial Data Missing",VLOOKUP(J181,'G-3 Multipliers'!$L$3:$N$6,2,FALSE)))</f>
        <v/>
      </c>
      <c r="L181" s="260" t="str">
        <f>IF(J181="","",IF(VLOOKUP(J181,'G-3 Multipliers'!$L$3:$N$6,3,FALSE)=0,"Spatial Data Missing",VLOOKUP(J181,'G-3 Multipliers'!$L$3:$N$6,3,FALSE)))</f>
        <v/>
      </c>
      <c r="M181" s="177" t="str">
        <f>IF(D181="","",VLOOKUP(D181,'G-6 Hedgerow Data'!$B$1:$AH$15,33,FALSE))</f>
        <v/>
      </c>
      <c r="N181" s="207" t="str">
        <f t="shared" si="16"/>
        <v/>
      </c>
      <c r="O181" s="44"/>
      <c r="P181" s="186"/>
      <c r="Q181" s="275"/>
      <c r="R181" s="289" t="str">
        <f t="shared" si="17"/>
        <v/>
      </c>
      <c r="S181" s="289" t="str">
        <f t="shared" si="18"/>
        <v/>
      </c>
      <c r="T181" s="289" t="str">
        <f t="shared" si="19"/>
        <v/>
      </c>
      <c r="U181" s="290" t="str">
        <f t="shared" si="20"/>
        <v/>
      </c>
      <c r="V181" s="182"/>
      <c r="W181" s="183"/>
      <c r="AE181" s="188" t="str">
        <f t="shared" si="14"/>
        <v/>
      </c>
      <c r="AF181" s="188" t="str">
        <f t="shared" si="15"/>
        <v/>
      </c>
      <c r="AH181" s="188">
        <v>172</v>
      </c>
      <c r="AJ181" s="188" t="str">
        <f t="array" ref="AJ181">IFERROR(INDEX($AH$10:$AH$258, MATCH(0, IF(TRUE=$AE$10:$AE$258, COUNTIF($AJ$9:$AJ180, $AH$10:$AH$258), ""), 0)),"")</f>
        <v/>
      </c>
      <c r="AK181" s="188" t="str">
        <f t="array" ref="AK181">IFERROR(INDEX($AH$10:$AH$258, MATCH(0, IF(TRUE=$AF$10:$AF$258, COUNTIF($AK$9:$AK180, $AH$10:$AH$258), ""), 0)),"")</f>
        <v/>
      </c>
      <c r="AL181" s="35" t="str">
        <f>IFERROR(INDEX('G-6 Hedgerow Data'!$BJ$3:$BJ$15,MATCH(D181,'G-6 Hedgerow Data'!$B$3:$B$15,0)),"")</f>
        <v/>
      </c>
    </row>
    <row r="182" spans="2:38" ht="13.8" x14ac:dyDescent="0.25">
      <c r="B182" s="168">
        <v>173</v>
      </c>
      <c r="C182" s="275"/>
      <c r="D182" s="275"/>
      <c r="E182" s="185"/>
      <c r="F182" s="277" t="str">
        <f>IF(D182="","",VLOOKUP(D182,'G-6 Hedgerow Data'!$B$2:$AG$15,2,FALSE))</f>
        <v/>
      </c>
      <c r="G182" s="172" t="str">
        <f>IF(D182="","",VLOOKUP(D182,'G-6 Hedgerow Data'!$B$2:$AG$15,3,FALSE))</f>
        <v/>
      </c>
      <c r="H182" s="173"/>
      <c r="I182" s="172" t="str">
        <f>IFERROR(VLOOKUP(H182,'G-1 All Habitats'!$Z$2:$AA$9,2,FALSE),"")</f>
        <v/>
      </c>
      <c r="J182" s="173"/>
      <c r="K182" s="179" t="str">
        <f>IF(J182="","",IF(VLOOKUP(J182,'G-3 Multipliers'!$L$3:$N$6,2,FALSE)=0,"Spatial Data Missing",VLOOKUP(J182,'G-3 Multipliers'!$L$3:$N$6,2,FALSE)))</f>
        <v/>
      </c>
      <c r="L182" s="260" t="str">
        <f>IF(J182="","",IF(VLOOKUP(J182,'G-3 Multipliers'!$L$3:$N$6,3,FALSE)=0,"Spatial Data Missing",VLOOKUP(J182,'G-3 Multipliers'!$L$3:$N$6,3,FALSE)))</f>
        <v/>
      </c>
      <c r="M182" s="177" t="str">
        <f>IF(D182="","",VLOOKUP(D182,'G-6 Hedgerow Data'!$B$1:$AH$15,33,FALSE))</f>
        <v/>
      </c>
      <c r="N182" s="207" t="str">
        <f t="shared" si="16"/>
        <v/>
      </c>
      <c r="O182" s="44"/>
      <c r="P182" s="186"/>
      <c r="Q182" s="275"/>
      <c r="R182" s="289" t="str">
        <f t="shared" si="17"/>
        <v/>
      </c>
      <c r="S182" s="289" t="str">
        <f t="shared" si="18"/>
        <v/>
      </c>
      <c r="T182" s="289" t="str">
        <f t="shared" si="19"/>
        <v/>
      </c>
      <c r="U182" s="290" t="str">
        <f t="shared" si="20"/>
        <v/>
      </c>
      <c r="V182" s="182"/>
      <c r="W182" s="183"/>
      <c r="AE182" s="188" t="str">
        <f t="shared" si="14"/>
        <v/>
      </c>
      <c r="AF182" s="188" t="str">
        <f t="shared" si="15"/>
        <v/>
      </c>
      <c r="AH182" s="188">
        <v>173</v>
      </c>
      <c r="AJ182" s="188" t="str">
        <f t="array" ref="AJ182">IFERROR(INDEX($AH$10:$AH$258, MATCH(0, IF(TRUE=$AE$10:$AE$258, COUNTIF($AJ$9:$AJ181, $AH$10:$AH$258), ""), 0)),"")</f>
        <v/>
      </c>
      <c r="AK182" s="188" t="str">
        <f t="array" ref="AK182">IFERROR(INDEX($AH$10:$AH$258, MATCH(0, IF(TRUE=$AF$10:$AF$258, COUNTIF($AK$9:$AK181, $AH$10:$AH$258), ""), 0)),"")</f>
        <v/>
      </c>
      <c r="AL182" s="35" t="str">
        <f>IFERROR(INDEX('G-6 Hedgerow Data'!$BJ$3:$BJ$15,MATCH(D182,'G-6 Hedgerow Data'!$B$3:$B$15,0)),"")</f>
        <v/>
      </c>
    </row>
    <row r="183" spans="2:38" ht="13.8" x14ac:dyDescent="0.25">
      <c r="B183" s="168">
        <v>174</v>
      </c>
      <c r="C183" s="275"/>
      <c r="D183" s="275"/>
      <c r="E183" s="185"/>
      <c r="F183" s="277" t="str">
        <f>IF(D183="","",VLOOKUP(D183,'G-6 Hedgerow Data'!$B$2:$AG$15,2,FALSE))</f>
        <v/>
      </c>
      <c r="G183" s="172" t="str">
        <f>IF(D183="","",VLOOKUP(D183,'G-6 Hedgerow Data'!$B$2:$AG$15,3,FALSE))</f>
        <v/>
      </c>
      <c r="H183" s="173"/>
      <c r="I183" s="172" t="str">
        <f>IFERROR(VLOOKUP(H183,'G-1 All Habitats'!$Z$2:$AA$9,2,FALSE),"")</f>
        <v/>
      </c>
      <c r="J183" s="173"/>
      <c r="K183" s="179" t="str">
        <f>IF(J183="","",IF(VLOOKUP(J183,'G-3 Multipliers'!$L$3:$N$6,2,FALSE)=0,"Spatial Data Missing",VLOOKUP(J183,'G-3 Multipliers'!$L$3:$N$6,2,FALSE)))</f>
        <v/>
      </c>
      <c r="L183" s="260" t="str">
        <f>IF(J183="","",IF(VLOOKUP(J183,'G-3 Multipliers'!$L$3:$N$6,3,FALSE)=0,"Spatial Data Missing",VLOOKUP(J183,'G-3 Multipliers'!$L$3:$N$6,3,FALSE)))</f>
        <v/>
      </c>
      <c r="M183" s="177" t="str">
        <f>IF(D183="","",VLOOKUP(D183,'G-6 Hedgerow Data'!$B$1:$AH$15,33,FALSE))</f>
        <v/>
      </c>
      <c r="N183" s="207" t="str">
        <f t="shared" si="16"/>
        <v/>
      </c>
      <c r="O183" s="44"/>
      <c r="P183" s="186"/>
      <c r="Q183" s="275"/>
      <c r="R183" s="289" t="str">
        <f t="shared" si="17"/>
        <v/>
      </c>
      <c r="S183" s="289" t="str">
        <f t="shared" si="18"/>
        <v/>
      </c>
      <c r="T183" s="289" t="str">
        <f t="shared" si="19"/>
        <v/>
      </c>
      <c r="U183" s="290" t="str">
        <f t="shared" si="20"/>
        <v/>
      </c>
      <c r="V183" s="182"/>
      <c r="W183" s="183"/>
      <c r="AE183" s="188" t="str">
        <f t="shared" si="14"/>
        <v/>
      </c>
      <c r="AF183" s="188" t="str">
        <f t="shared" si="15"/>
        <v/>
      </c>
      <c r="AH183" s="188">
        <v>174</v>
      </c>
      <c r="AJ183" s="188" t="str">
        <f t="array" ref="AJ183">IFERROR(INDEX($AH$10:$AH$258, MATCH(0, IF(TRUE=$AE$10:$AE$258, COUNTIF($AJ$9:$AJ182, $AH$10:$AH$258), ""), 0)),"")</f>
        <v/>
      </c>
      <c r="AK183" s="188" t="str">
        <f t="array" ref="AK183">IFERROR(INDEX($AH$10:$AH$258, MATCH(0, IF(TRUE=$AF$10:$AF$258, COUNTIF($AK$9:$AK182, $AH$10:$AH$258), ""), 0)),"")</f>
        <v/>
      </c>
      <c r="AL183" s="35" t="str">
        <f>IFERROR(INDEX('G-6 Hedgerow Data'!$BJ$3:$BJ$15,MATCH(D183,'G-6 Hedgerow Data'!$B$3:$B$15,0)),"")</f>
        <v/>
      </c>
    </row>
    <row r="184" spans="2:38" ht="13.8" x14ac:dyDescent="0.25">
      <c r="B184" s="168">
        <v>175</v>
      </c>
      <c r="C184" s="275"/>
      <c r="D184" s="275"/>
      <c r="E184" s="185"/>
      <c r="F184" s="277" t="str">
        <f>IF(D184="","",VLOOKUP(D184,'G-6 Hedgerow Data'!$B$2:$AG$15,2,FALSE))</f>
        <v/>
      </c>
      <c r="G184" s="172" t="str">
        <f>IF(D184="","",VLOOKUP(D184,'G-6 Hedgerow Data'!$B$2:$AG$15,3,FALSE))</f>
        <v/>
      </c>
      <c r="H184" s="173"/>
      <c r="I184" s="172" t="str">
        <f>IFERROR(VLOOKUP(H184,'G-1 All Habitats'!$Z$2:$AA$9,2,FALSE),"")</f>
        <v/>
      </c>
      <c r="J184" s="173"/>
      <c r="K184" s="179" t="str">
        <f>IF(J184="","",IF(VLOOKUP(J184,'G-3 Multipliers'!$L$3:$N$6,2,FALSE)=0,"Spatial Data Missing",VLOOKUP(J184,'G-3 Multipliers'!$L$3:$N$6,2,FALSE)))</f>
        <v/>
      </c>
      <c r="L184" s="260" t="str">
        <f>IF(J184="","",IF(VLOOKUP(J184,'G-3 Multipliers'!$L$3:$N$6,3,FALSE)=0,"Spatial Data Missing",VLOOKUP(J184,'G-3 Multipliers'!$L$3:$N$6,3,FALSE)))</f>
        <v/>
      </c>
      <c r="M184" s="177" t="str">
        <f>IF(D184="","",VLOOKUP(D184,'G-6 Hedgerow Data'!$B$1:$AH$15,33,FALSE))</f>
        <v/>
      </c>
      <c r="N184" s="207" t="str">
        <f t="shared" si="16"/>
        <v/>
      </c>
      <c r="O184" s="44"/>
      <c r="P184" s="186"/>
      <c r="Q184" s="275"/>
      <c r="R184" s="289" t="str">
        <f t="shared" si="17"/>
        <v/>
      </c>
      <c r="S184" s="289" t="str">
        <f t="shared" si="18"/>
        <v/>
      </c>
      <c r="T184" s="289" t="str">
        <f t="shared" si="19"/>
        <v/>
      </c>
      <c r="U184" s="290" t="str">
        <f t="shared" si="20"/>
        <v/>
      </c>
      <c r="V184" s="182"/>
      <c r="W184" s="183"/>
      <c r="AE184" s="188" t="str">
        <f t="shared" si="14"/>
        <v/>
      </c>
      <c r="AF184" s="188" t="str">
        <f t="shared" si="15"/>
        <v/>
      </c>
      <c r="AH184" s="188">
        <v>175</v>
      </c>
      <c r="AJ184" s="188" t="str">
        <f t="array" ref="AJ184">IFERROR(INDEX($AH$10:$AH$258, MATCH(0, IF(TRUE=$AE$10:$AE$258, COUNTIF($AJ$9:$AJ183, $AH$10:$AH$258), ""), 0)),"")</f>
        <v/>
      </c>
      <c r="AK184" s="188" t="str">
        <f t="array" ref="AK184">IFERROR(INDEX($AH$10:$AH$258, MATCH(0, IF(TRUE=$AF$10:$AF$258, COUNTIF($AK$9:$AK183, $AH$10:$AH$258), ""), 0)),"")</f>
        <v/>
      </c>
      <c r="AL184" s="35" t="str">
        <f>IFERROR(INDEX('G-6 Hedgerow Data'!$BJ$3:$BJ$15,MATCH(D184,'G-6 Hedgerow Data'!$B$3:$B$15,0)),"")</f>
        <v/>
      </c>
    </row>
    <row r="185" spans="2:38" ht="13.8" x14ac:dyDescent="0.25">
      <c r="B185" s="168">
        <v>176</v>
      </c>
      <c r="C185" s="275"/>
      <c r="D185" s="275"/>
      <c r="E185" s="185"/>
      <c r="F185" s="277" t="str">
        <f>IF(D185="","",VLOOKUP(D185,'G-6 Hedgerow Data'!$B$2:$AG$15,2,FALSE))</f>
        <v/>
      </c>
      <c r="G185" s="172" t="str">
        <f>IF(D185="","",VLOOKUP(D185,'G-6 Hedgerow Data'!$B$2:$AG$15,3,FALSE))</f>
        <v/>
      </c>
      <c r="H185" s="173"/>
      <c r="I185" s="172" t="str">
        <f>IFERROR(VLOOKUP(H185,'G-1 All Habitats'!$Z$2:$AA$9,2,FALSE),"")</f>
        <v/>
      </c>
      <c r="J185" s="173"/>
      <c r="K185" s="179" t="str">
        <f>IF(J185="","",IF(VLOOKUP(J185,'G-3 Multipliers'!$L$3:$N$6,2,FALSE)=0,"Spatial Data Missing",VLOOKUP(J185,'G-3 Multipliers'!$L$3:$N$6,2,FALSE)))</f>
        <v/>
      </c>
      <c r="L185" s="260" t="str">
        <f>IF(J185="","",IF(VLOOKUP(J185,'G-3 Multipliers'!$L$3:$N$6,3,FALSE)=0,"Spatial Data Missing",VLOOKUP(J185,'G-3 Multipliers'!$L$3:$N$6,3,FALSE)))</f>
        <v/>
      </c>
      <c r="M185" s="177" t="str">
        <f>IF(D185="","",VLOOKUP(D185,'G-6 Hedgerow Data'!$B$1:$AH$15,33,FALSE))</f>
        <v/>
      </c>
      <c r="N185" s="207" t="str">
        <f t="shared" si="16"/>
        <v/>
      </c>
      <c r="O185" s="44"/>
      <c r="P185" s="186"/>
      <c r="Q185" s="275"/>
      <c r="R185" s="289" t="str">
        <f t="shared" si="17"/>
        <v/>
      </c>
      <c r="S185" s="289" t="str">
        <f t="shared" si="18"/>
        <v/>
      </c>
      <c r="T185" s="289" t="str">
        <f t="shared" si="19"/>
        <v/>
      </c>
      <c r="U185" s="290" t="str">
        <f t="shared" si="20"/>
        <v/>
      </c>
      <c r="V185" s="182"/>
      <c r="W185" s="183"/>
      <c r="AE185" s="188" t="str">
        <f t="shared" si="14"/>
        <v/>
      </c>
      <c r="AF185" s="188" t="str">
        <f t="shared" si="15"/>
        <v/>
      </c>
      <c r="AH185" s="188">
        <v>176</v>
      </c>
      <c r="AJ185" s="188" t="str">
        <f t="array" ref="AJ185">IFERROR(INDEX($AH$10:$AH$258, MATCH(0, IF(TRUE=$AE$10:$AE$258, COUNTIF($AJ$9:$AJ184, $AH$10:$AH$258), ""), 0)),"")</f>
        <v/>
      </c>
      <c r="AK185" s="188" t="str">
        <f t="array" ref="AK185">IFERROR(INDEX($AH$10:$AH$258, MATCH(0, IF(TRUE=$AF$10:$AF$258, COUNTIF($AK$9:$AK184, $AH$10:$AH$258), ""), 0)),"")</f>
        <v/>
      </c>
      <c r="AL185" s="35" t="str">
        <f>IFERROR(INDEX('G-6 Hedgerow Data'!$BJ$3:$BJ$15,MATCH(D185,'G-6 Hedgerow Data'!$B$3:$B$15,0)),"")</f>
        <v/>
      </c>
    </row>
    <row r="186" spans="2:38" ht="13.8" x14ac:dyDescent="0.25">
      <c r="B186" s="168">
        <v>177</v>
      </c>
      <c r="C186" s="275"/>
      <c r="D186" s="275"/>
      <c r="E186" s="185"/>
      <c r="F186" s="277" t="str">
        <f>IF(D186="","",VLOOKUP(D186,'G-6 Hedgerow Data'!$B$2:$AG$15,2,FALSE))</f>
        <v/>
      </c>
      <c r="G186" s="172" t="str">
        <f>IF(D186="","",VLOOKUP(D186,'G-6 Hedgerow Data'!$B$2:$AG$15,3,FALSE))</f>
        <v/>
      </c>
      <c r="H186" s="173"/>
      <c r="I186" s="172" t="str">
        <f>IFERROR(VLOOKUP(H186,'G-1 All Habitats'!$Z$2:$AA$9,2,FALSE),"")</f>
        <v/>
      </c>
      <c r="J186" s="173"/>
      <c r="K186" s="179" t="str">
        <f>IF(J186="","",IF(VLOOKUP(J186,'G-3 Multipliers'!$L$3:$N$6,2,FALSE)=0,"Spatial Data Missing",VLOOKUP(J186,'G-3 Multipliers'!$L$3:$N$6,2,FALSE)))</f>
        <v/>
      </c>
      <c r="L186" s="260" t="str">
        <f>IF(J186="","",IF(VLOOKUP(J186,'G-3 Multipliers'!$L$3:$N$6,3,FALSE)=0,"Spatial Data Missing",VLOOKUP(J186,'G-3 Multipliers'!$L$3:$N$6,3,FALSE)))</f>
        <v/>
      </c>
      <c r="M186" s="177" t="str">
        <f>IF(D186="","",VLOOKUP(D186,'G-6 Hedgerow Data'!$B$1:$AH$15,33,FALSE))</f>
        <v/>
      </c>
      <c r="N186" s="207" t="str">
        <f t="shared" si="16"/>
        <v/>
      </c>
      <c r="O186" s="44"/>
      <c r="P186" s="186"/>
      <c r="Q186" s="275"/>
      <c r="R186" s="289" t="str">
        <f t="shared" si="17"/>
        <v/>
      </c>
      <c r="S186" s="289" t="str">
        <f t="shared" si="18"/>
        <v/>
      </c>
      <c r="T186" s="289" t="str">
        <f t="shared" si="19"/>
        <v/>
      </c>
      <c r="U186" s="290" t="str">
        <f t="shared" si="20"/>
        <v/>
      </c>
      <c r="V186" s="182"/>
      <c r="W186" s="183"/>
      <c r="AE186" s="188" t="str">
        <f t="shared" si="14"/>
        <v/>
      </c>
      <c r="AF186" s="188" t="str">
        <f t="shared" si="15"/>
        <v/>
      </c>
      <c r="AH186" s="188">
        <v>177</v>
      </c>
      <c r="AJ186" s="188" t="str">
        <f t="array" ref="AJ186">IFERROR(INDEX($AH$10:$AH$258, MATCH(0, IF(TRUE=$AE$10:$AE$258, COUNTIF($AJ$9:$AJ185, $AH$10:$AH$258), ""), 0)),"")</f>
        <v/>
      </c>
      <c r="AK186" s="188" t="str">
        <f t="array" ref="AK186">IFERROR(INDEX($AH$10:$AH$258, MATCH(0, IF(TRUE=$AF$10:$AF$258, COUNTIF($AK$9:$AK185, $AH$10:$AH$258), ""), 0)),"")</f>
        <v/>
      </c>
      <c r="AL186" s="35" t="str">
        <f>IFERROR(INDEX('G-6 Hedgerow Data'!$BJ$3:$BJ$15,MATCH(D186,'G-6 Hedgerow Data'!$B$3:$B$15,0)),"")</f>
        <v/>
      </c>
    </row>
    <row r="187" spans="2:38" ht="13.8" x14ac:dyDescent="0.25">
      <c r="B187" s="168">
        <v>178</v>
      </c>
      <c r="C187" s="275"/>
      <c r="D187" s="275"/>
      <c r="E187" s="185"/>
      <c r="F187" s="277" t="str">
        <f>IF(D187="","",VLOOKUP(D187,'G-6 Hedgerow Data'!$B$2:$AG$15,2,FALSE))</f>
        <v/>
      </c>
      <c r="G187" s="172" t="str">
        <f>IF(D187="","",VLOOKUP(D187,'G-6 Hedgerow Data'!$B$2:$AG$15,3,FALSE))</f>
        <v/>
      </c>
      <c r="H187" s="173"/>
      <c r="I187" s="172" t="str">
        <f>IFERROR(VLOOKUP(H187,'G-1 All Habitats'!$Z$2:$AA$9,2,FALSE),"")</f>
        <v/>
      </c>
      <c r="J187" s="173"/>
      <c r="K187" s="179" t="str">
        <f>IF(J187="","",IF(VLOOKUP(J187,'G-3 Multipliers'!$L$3:$N$6,2,FALSE)=0,"Spatial Data Missing",VLOOKUP(J187,'G-3 Multipliers'!$L$3:$N$6,2,FALSE)))</f>
        <v/>
      </c>
      <c r="L187" s="260" t="str">
        <f>IF(J187="","",IF(VLOOKUP(J187,'G-3 Multipliers'!$L$3:$N$6,3,FALSE)=0,"Spatial Data Missing",VLOOKUP(J187,'G-3 Multipliers'!$L$3:$N$6,3,FALSE)))</f>
        <v/>
      </c>
      <c r="M187" s="177" t="str">
        <f>IF(D187="","",VLOOKUP(D187,'G-6 Hedgerow Data'!$B$1:$AH$15,33,FALSE))</f>
        <v/>
      </c>
      <c r="N187" s="207" t="str">
        <f t="shared" si="16"/>
        <v/>
      </c>
      <c r="O187" s="44"/>
      <c r="P187" s="186"/>
      <c r="Q187" s="275"/>
      <c r="R187" s="289" t="str">
        <f t="shared" si="17"/>
        <v/>
      </c>
      <c r="S187" s="289" t="str">
        <f t="shared" si="18"/>
        <v/>
      </c>
      <c r="T187" s="289" t="str">
        <f t="shared" si="19"/>
        <v/>
      </c>
      <c r="U187" s="290" t="str">
        <f t="shared" si="20"/>
        <v/>
      </c>
      <c r="V187" s="182"/>
      <c r="W187" s="183"/>
      <c r="AE187" s="188" t="str">
        <f t="shared" si="14"/>
        <v/>
      </c>
      <c r="AF187" s="188" t="str">
        <f t="shared" si="15"/>
        <v/>
      </c>
      <c r="AH187" s="188">
        <v>178</v>
      </c>
      <c r="AJ187" s="188" t="str">
        <f t="array" ref="AJ187">IFERROR(INDEX($AH$10:$AH$258, MATCH(0, IF(TRUE=$AE$10:$AE$258, COUNTIF($AJ$9:$AJ186, $AH$10:$AH$258), ""), 0)),"")</f>
        <v/>
      </c>
      <c r="AK187" s="188" t="str">
        <f t="array" ref="AK187">IFERROR(INDEX($AH$10:$AH$258, MATCH(0, IF(TRUE=$AF$10:$AF$258, COUNTIF($AK$9:$AK186, $AH$10:$AH$258), ""), 0)),"")</f>
        <v/>
      </c>
      <c r="AL187" s="35" t="str">
        <f>IFERROR(INDEX('G-6 Hedgerow Data'!$BJ$3:$BJ$15,MATCH(D187,'G-6 Hedgerow Data'!$B$3:$B$15,0)),"")</f>
        <v/>
      </c>
    </row>
    <row r="188" spans="2:38" ht="13.8" x14ac:dyDescent="0.25">
      <c r="B188" s="168">
        <v>179</v>
      </c>
      <c r="C188" s="275"/>
      <c r="D188" s="275"/>
      <c r="E188" s="185"/>
      <c r="F188" s="277" t="str">
        <f>IF(D188="","",VLOOKUP(D188,'G-6 Hedgerow Data'!$B$2:$AG$15,2,FALSE))</f>
        <v/>
      </c>
      <c r="G188" s="172" t="str">
        <f>IF(D188="","",VLOOKUP(D188,'G-6 Hedgerow Data'!$B$2:$AG$15,3,FALSE))</f>
        <v/>
      </c>
      <c r="H188" s="173"/>
      <c r="I188" s="172" t="str">
        <f>IFERROR(VLOOKUP(H188,'G-1 All Habitats'!$Z$2:$AA$9,2,FALSE),"")</f>
        <v/>
      </c>
      <c r="J188" s="173"/>
      <c r="K188" s="179" t="str">
        <f>IF(J188="","",IF(VLOOKUP(J188,'G-3 Multipliers'!$L$3:$N$6,2,FALSE)=0,"Spatial Data Missing",VLOOKUP(J188,'G-3 Multipliers'!$L$3:$N$6,2,FALSE)))</f>
        <v/>
      </c>
      <c r="L188" s="260" t="str">
        <f>IF(J188="","",IF(VLOOKUP(J188,'G-3 Multipliers'!$L$3:$N$6,3,FALSE)=0,"Spatial Data Missing",VLOOKUP(J188,'G-3 Multipliers'!$L$3:$N$6,3,FALSE)))</f>
        <v/>
      </c>
      <c r="M188" s="177" t="str">
        <f>IF(D188="","",VLOOKUP(D188,'G-6 Hedgerow Data'!$B$1:$AH$15,33,FALSE))</f>
        <v/>
      </c>
      <c r="N188" s="207" t="str">
        <f t="shared" si="16"/>
        <v/>
      </c>
      <c r="O188" s="44"/>
      <c r="P188" s="186"/>
      <c r="Q188" s="275"/>
      <c r="R188" s="289" t="str">
        <f t="shared" si="17"/>
        <v/>
      </c>
      <c r="S188" s="289" t="str">
        <f t="shared" si="18"/>
        <v/>
      </c>
      <c r="T188" s="289" t="str">
        <f t="shared" si="19"/>
        <v/>
      </c>
      <c r="U188" s="290" t="str">
        <f t="shared" si="20"/>
        <v/>
      </c>
      <c r="V188" s="182"/>
      <c r="W188" s="183"/>
      <c r="AE188" s="188" t="str">
        <f t="shared" si="14"/>
        <v/>
      </c>
      <c r="AF188" s="188" t="str">
        <f t="shared" si="15"/>
        <v/>
      </c>
      <c r="AH188" s="188">
        <v>179</v>
      </c>
      <c r="AJ188" s="188" t="str">
        <f t="array" ref="AJ188">IFERROR(INDEX($AH$10:$AH$258, MATCH(0, IF(TRUE=$AE$10:$AE$258, COUNTIF($AJ$9:$AJ187, $AH$10:$AH$258), ""), 0)),"")</f>
        <v/>
      </c>
      <c r="AK188" s="188" t="str">
        <f t="array" ref="AK188">IFERROR(INDEX($AH$10:$AH$258, MATCH(0, IF(TRUE=$AF$10:$AF$258, COUNTIF($AK$9:$AK187, $AH$10:$AH$258), ""), 0)),"")</f>
        <v/>
      </c>
      <c r="AL188" s="35" t="str">
        <f>IFERROR(INDEX('G-6 Hedgerow Data'!$BJ$3:$BJ$15,MATCH(D188,'G-6 Hedgerow Data'!$B$3:$B$15,0)),"")</f>
        <v/>
      </c>
    </row>
    <row r="189" spans="2:38" ht="13.8" x14ac:dyDescent="0.25">
      <c r="B189" s="168">
        <v>180</v>
      </c>
      <c r="C189" s="275"/>
      <c r="D189" s="275"/>
      <c r="E189" s="185"/>
      <c r="F189" s="277" t="str">
        <f>IF(D189="","",VLOOKUP(D189,'G-6 Hedgerow Data'!$B$2:$AG$15,2,FALSE))</f>
        <v/>
      </c>
      <c r="G189" s="172" t="str">
        <f>IF(D189="","",VLOOKUP(D189,'G-6 Hedgerow Data'!$B$2:$AG$15,3,FALSE))</f>
        <v/>
      </c>
      <c r="H189" s="173"/>
      <c r="I189" s="172" t="str">
        <f>IFERROR(VLOOKUP(H189,'G-1 All Habitats'!$Z$2:$AA$9,2,FALSE),"")</f>
        <v/>
      </c>
      <c r="J189" s="173"/>
      <c r="K189" s="179" t="str">
        <f>IF(J189="","",IF(VLOOKUP(J189,'G-3 Multipliers'!$L$3:$N$6,2,FALSE)=0,"Spatial Data Missing",VLOOKUP(J189,'G-3 Multipliers'!$L$3:$N$6,2,FALSE)))</f>
        <v/>
      </c>
      <c r="L189" s="260" t="str">
        <f>IF(J189="","",IF(VLOOKUP(J189,'G-3 Multipliers'!$L$3:$N$6,3,FALSE)=0,"Spatial Data Missing",VLOOKUP(J189,'G-3 Multipliers'!$L$3:$N$6,3,FALSE)))</f>
        <v/>
      </c>
      <c r="M189" s="177" t="str">
        <f>IF(D189="","",VLOOKUP(D189,'G-6 Hedgerow Data'!$B$1:$AH$15,33,FALSE))</f>
        <v/>
      </c>
      <c r="N189" s="207" t="str">
        <f t="shared" si="16"/>
        <v/>
      </c>
      <c r="O189" s="44"/>
      <c r="P189" s="186"/>
      <c r="Q189" s="275"/>
      <c r="R189" s="289" t="str">
        <f t="shared" si="17"/>
        <v/>
      </c>
      <c r="S189" s="289" t="str">
        <f t="shared" si="18"/>
        <v/>
      </c>
      <c r="T189" s="289" t="str">
        <f t="shared" si="19"/>
        <v/>
      </c>
      <c r="U189" s="290" t="str">
        <f t="shared" si="20"/>
        <v/>
      </c>
      <c r="V189" s="182"/>
      <c r="W189" s="183"/>
      <c r="AE189" s="188" t="str">
        <f t="shared" si="14"/>
        <v/>
      </c>
      <c r="AF189" s="188" t="str">
        <f t="shared" si="15"/>
        <v/>
      </c>
      <c r="AH189" s="188">
        <v>180</v>
      </c>
      <c r="AJ189" s="188" t="str">
        <f t="array" ref="AJ189">IFERROR(INDEX($AH$10:$AH$258, MATCH(0, IF(TRUE=$AE$10:$AE$258, COUNTIF($AJ$9:$AJ188, $AH$10:$AH$258), ""), 0)),"")</f>
        <v/>
      </c>
      <c r="AK189" s="188" t="str">
        <f t="array" ref="AK189">IFERROR(INDEX($AH$10:$AH$258, MATCH(0, IF(TRUE=$AF$10:$AF$258, COUNTIF($AK$9:$AK188, $AH$10:$AH$258), ""), 0)),"")</f>
        <v/>
      </c>
      <c r="AL189" s="35" t="str">
        <f>IFERROR(INDEX('G-6 Hedgerow Data'!$BJ$3:$BJ$15,MATCH(D189,'G-6 Hedgerow Data'!$B$3:$B$15,0)),"")</f>
        <v/>
      </c>
    </row>
    <row r="190" spans="2:38" ht="13.8" x14ac:dyDescent="0.25">
      <c r="B190" s="168">
        <v>181</v>
      </c>
      <c r="C190" s="275"/>
      <c r="D190" s="275"/>
      <c r="E190" s="185"/>
      <c r="F190" s="277" t="str">
        <f>IF(D190="","",VLOOKUP(D190,'G-6 Hedgerow Data'!$B$2:$AG$15,2,FALSE))</f>
        <v/>
      </c>
      <c r="G190" s="172" t="str">
        <f>IF(D190="","",VLOOKUP(D190,'G-6 Hedgerow Data'!$B$2:$AG$15,3,FALSE))</f>
        <v/>
      </c>
      <c r="H190" s="173"/>
      <c r="I190" s="172" t="str">
        <f>IFERROR(VLOOKUP(H190,'G-1 All Habitats'!$Z$2:$AA$9,2,FALSE),"")</f>
        <v/>
      </c>
      <c r="J190" s="173"/>
      <c r="K190" s="179" t="str">
        <f>IF(J190="","",IF(VLOOKUP(J190,'G-3 Multipliers'!$L$3:$N$6,2,FALSE)=0,"Spatial Data Missing",VLOOKUP(J190,'G-3 Multipliers'!$L$3:$N$6,2,FALSE)))</f>
        <v/>
      </c>
      <c r="L190" s="260" t="str">
        <f>IF(J190="","",IF(VLOOKUP(J190,'G-3 Multipliers'!$L$3:$N$6,3,FALSE)=0,"Spatial Data Missing",VLOOKUP(J190,'G-3 Multipliers'!$L$3:$N$6,3,FALSE)))</f>
        <v/>
      </c>
      <c r="M190" s="177" t="str">
        <f>IF(D190="","",VLOOKUP(D190,'G-6 Hedgerow Data'!$B$1:$AH$15,33,FALSE))</f>
        <v/>
      </c>
      <c r="N190" s="207" t="str">
        <f t="shared" si="16"/>
        <v/>
      </c>
      <c r="O190" s="44"/>
      <c r="P190" s="186"/>
      <c r="Q190" s="275"/>
      <c r="R190" s="289" t="str">
        <f t="shared" si="17"/>
        <v/>
      </c>
      <c r="S190" s="289" t="str">
        <f t="shared" si="18"/>
        <v/>
      </c>
      <c r="T190" s="289" t="str">
        <f t="shared" si="19"/>
        <v/>
      </c>
      <c r="U190" s="290" t="str">
        <f t="shared" si="20"/>
        <v/>
      </c>
      <c r="V190" s="182"/>
      <c r="W190" s="183"/>
      <c r="AE190" s="188" t="str">
        <f t="shared" si="14"/>
        <v/>
      </c>
      <c r="AF190" s="188" t="str">
        <f t="shared" si="15"/>
        <v/>
      </c>
      <c r="AH190" s="188">
        <v>181</v>
      </c>
      <c r="AJ190" s="188" t="str">
        <f t="array" ref="AJ190">IFERROR(INDEX($AH$10:$AH$258, MATCH(0, IF(TRUE=$AE$10:$AE$258, COUNTIF($AJ$9:$AJ189, $AH$10:$AH$258), ""), 0)),"")</f>
        <v/>
      </c>
      <c r="AK190" s="188" t="str">
        <f t="array" ref="AK190">IFERROR(INDEX($AH$10:$AH$258, MATCH(0, IF(TRUE=$AF$10:$AF$258, COUNTIF($AK$9:$AK189, $AH$10:$AH$258), ""), 0)),"")</f>
        <v/>
      </c>
      <c r="AL190" s="35" t="str">
        <f>IFERROR(INDEX('G-6 Hedgerow Data'!$BJ$3:$BJ$15,MATCH(D190,'G-6 Hedgerow Data'!$B$3:$B$15,0)),"")</f>
        <v/>
      </c>
    </row>
    <row r="191" spans="2:38" ht="13.8" x14ac:dyDescent="0.25">
      <c r="B191" s="168">
        <v>182</v>
      </c>
      <c r="C191" s="275"/>
      <c r="D191" s="275"/>
      <c r="E191" s="185"/>
      <c r="F191" s="277" t="str">
        <f>IF(D191="","",VLOOKUP(D191,'G-6 Hedgerow Data'!$B$2:$AG$15,2,FALSE))</f>
        <v/>
      </c>
      <c r="G191" s="172" t="str">
        <f>IF(D191="","",VLOOKUP(D191,'G-6 Hedgerow Data'!$B$2:$AG$15,3,FALSE))</f>
        <v/>
      </c>
      <c r="H191" s="173"/>
      <c r="I191" s="172" t="str">
        <f>IFERROR(VLOOKUP(H191,'G-1 All Habitats'!$Z$2:$AA$9,2,FALSE),"")</f>
        <v/>
      </c>
      <c r="J191" s="173"/>
      <c r="K191" s="179" t="str">
        <f>IF(J191="","",IF(VLOOKUP(J191,'G-3 Multipliers'!$L$3:$N$6,2,FALSE)=0,"Spatial Data Missing",VLOOKUP(J191,'G-3 Multipliers'!$L$3:$N$6,2,FALSE)))</f>
        <v/>
      </c>
      <c r="L191" s="260" t="str">
        <f>IF(J191="","",IF(VLOOKUP(J191,'G-3 Multipliers'!$L$3:$N$6,3,FALSE)=0,"Spatial Data Missing",VLOOKUP(J191,'G-3 Multipliers'!$L$3:$N$6,3,FALSE)))</f>
        <v/>
      </c>
      <c r="M191" s="177" t="str">
        <f>IF(D191="","",VLOOKUP(D191,'G-6 Hedgerow Data'!$B$1:$AH$15,33,FALSE))</f>
        <v/>
      </c>
      <c r="N191" s="207" t="str">
        <f t="shared" si="16"/>
        <v/>
      </c>
      <c r="O191" s="44"/>
      <c r="P191" s="186"/>
      <c r="Q191" s="275"/>
      <c r="R191" s="289" t="str">
        <f t="shared" si="17"/>
        <v/>
      </c>
      <c r="S191" s="289" t="str">
        <f t="shared" si="18"/>
        <v/>
      </c>
      <c r="T191" s="289" t="str">
        <f t="shared" si="19"/>
        <v/>
      </c>
      <c r="U191" s="290" t="str">
        <f t="shared" si="20"/>
        <v/>
      </c>
      <c r="V191" s="182"/>
      <c r="W191" s="183"/>
      <c r="AE191" s="188" t="str">
        <f t="shared" si="14"/>
        <v/>
      </c>
      <c r="AF191" s="188" t="str">
        <f t="shared" si="15"/>
        <v/>
      </c>
      <c r="AH191" s="188">
        <v>182</v>
      </c>
      <c r="AJ191" s="188" t="str">
        <f t="array" ref="AJ191">IFERROR(INDEX($AH$10:$AH$258, MATCH(0, IF(TRUE=$AE$10:$AE$258, COUNTIF($AJ$9:$AJ190, $AH$10:$AH$258), ""), 0)),"")</f>
        <v/>
      </c>
      <c r="AK191" s="188" t="str">
        <f t="array" ref="AK191">IFERROR(INDEX($AH$10:$AH$258, MATCH(0, IF(TRUE=$AF$10:$AF$258, COUNTIF($AK$9:$AK190, $AH$10:$AH$258), ""), 0)),"")</f>
        <v/>
      </c>
      <c r="AL191" s="35" t="str">
        <f>IFERROR(INDEX('G-6 Hedgerow Data'!$BJ$3:$BJ$15,MATCH(D191,'G-6 Hedgerow Data'!$B$3:$B$15,0)),"")</f>
        <v/>
      </c>
    </row>
    <row r="192" spans="2:38" ht="13.8" x14ac:dyDescent="0.25">
      <c r="B192" s="168">
        <v>183</v>
      </c>
      <c r="C192" s="275"/>
      <c r="D192" s="275"/>
      <c r="E192" s="185"/>
      <c r="F192" s="277" t="str">
        <f>IF(D192="","",VLOOKUP(D192,'G-6 Hedgerow Data'!$B$2:$AG$15,2,FALSE))</f>
        <v/>
      </c>
      <c r="G192" s="172" t="str">
        <f>IF(D192="","",VLOOKUP(D192,'G-6 Hedgerow Data'!$B$2:$AG$15,3,FALSE))</f>
        <v/>
      </c>
      <c r="H192" s="173"/>
      <c r="I192" s="172" t="str">
        <f>IFERROR(VLOOKUP(H192,'G-1 All Habitats'!$Z$2:$AA$9,2,FALSE),"")</f>
        <v/>
      </c>
      <c r="J192" s="173"/>
      <c r="K192" s="179" t="str">
        <f>IF(J192="","",IF(VLOOKUP(J192,'G-3 Multipliers'!$L$3:$N$6,2,FALSE)=0,"Spatial Data Missing",VLOOKUP(J192,'G-3 Multipliers'!$L$3:$N$6,2,FALSE)))</f>
        <v/>
      </c>
      <c r="L192" s="260" t="str">
        <f>IF(J192="","",IF(VLOOKUP(J192,'G-3 Multipliers'!$L$3:$N$6,3,FALSE)=0,"Spatial Data Missing",VLOOKUP(J192,'G-3 Multipliers'!$L$3:$N$6,3,FALSE)))</f>
        <v/>
      </c>
      <c r="M192" s="177" t="str">
        <f>IF(D192="","",VLOOKUP(D192,'G-6 Hedgerow Data'!$B$1:$AH$15,33,FALSE))</f>
        <v/>
      </c>
      <c r="N192" s="207" t="str">
        <f t="shared" si="16"/>
        <v/>
      </c>
      <c r="O192" s="44"/>
      <c r="P192" s="186"/>
      <c r="Q192" s="275"/>
      <c r="R192" s="289" t="str">
        <f t="shared" si="17"/>
        <v/>
      </c>
      <c r="S192" s="289" t="str">
        <f t="shared" si="18"/>
        <v/>
      </c>
      <c r="T192" s="289" t="str">
        <f t="shared" si="19"/>
        <v/>
      </c>
      <c r="U192" s="290" t="str">
        <f t="shared" si="20"/>
        <v/>
      </c>
      <c r="V192" s="182"/>
      <c r="W192" s="183"/>
      <c r="AE192" s="188" t="str">
        <f t="shared" si="14"/>
        <v/>
      </c>
      <c r="AF192" s="188" t="str">
        <f t="shared" si="15"/>
        <v/>
      </c>
      <c r="AH192" s="188">
        <v>183</v>
      </c>
      <c r="AJ192" s="188" t="str">
        <f t="array" ref="AJ192">IFERROR(INDEX($AH$10:$AH$258, MATCH(0, IF(TRUE=$AE$10:$AE$258, COUNTIF($AJ$9:$AJ191, $AH$10:$AH$258), ""), 0)),"")</f>
        <v/>
      </c>
      <c r="AK192" s="188" t="str">
        <f t="array" ref="AK192">IFERROR(INDEX($AH$10:$AH$258, MATCH(0, IF(TRUE=$AF$10:$AF$258, COUNTIF($AK$9:$AK191, $AH$10:$AH$258), ""), 0)),"")</f>
        <v/>
      </c>
      <c r="AL192" s="35" t="str">
        <f>IFERROR(INDEX('G-6 Hedgerow Data'!$BJ$3:$BJ$15,MATCH(D192,'G-6 Hedgerow Data'!$B$3:$B$15,0)),"")</f>
        <v/>
      </c>
    </row>
    <row r="193" spans="2:38" ht="13.8" x14ac:dyDescent="0.25">
      <c r="B193" s="168">
        <v>184</v>
      </c>
      <c r="C193" s="275"/>
      <c r="D193" s="275"/>
      <c r="E193" s="185"/>
      <c r="F193" s="277" t="str">
        <f>IF(D193="","",VLOOKUP(D193,'G-6 Hedgerow Data'!$B$2:$AG$15,2,FALSE))</f>
        <v/>
      </c>
      <c r="G193" s="172" t="str">
        <f>IF(D193="","",VLOOKUP(D193,'G-6 Hedgerow Data'!$B$2:$AG$15,3,FALSE))</f>
        <v/>
      </c>
      <c r="H193" s="173"/>
      <c r="I193" s="172" t="str">
        <f>IFERROR(VLOOKUP(H193,'G-1 All Habitats'!$Z$2:$AA$9,2,FALSE),"")</f>
        <v/>
      </c>
      <c r="J193" s="173"/>
      <c r="K193" s="179" t="str">
        <f>IF(J193="","",IF(VLOOKUP(J193,'G-3 Multipliers'!$L$3:$N$6,2,FALSE)=0,"Spatial Data Missing",VLOOKUP(J193,'G-3 Multipliers'!$L$3:$N$6,2,FALSE)))</f>
        <v/>
      </c>
      <c r="L193" s="260" t="str">
        <f>IF(J193="","",IF(VLOOKUP(J193,'G-3 Multipliers'!$L$3:$N$6,3,FALSE)=0,"Spatial Data Missing",VLOOKUP(J193,'G-3 Multipliers'!$L$3:$N$6,3,FALSE)))</f>
        <v/>
      </c>
      <c r="M193" s="177" t="str">
        <f>IF(D193="","",VLOOKUP(D193,'G-6 Hedgerow Data'!$B$1:$AH$15,33,FALSE))</f>
        <v/>
      </c>
      <c r="N193" s="207" t="str">
        <f t="shared" si="16"/>
        <v/>
      </c>
      <c r="O193" s="44"/>
      <c r="P193" s="186"/>
      <c r="Q193" s="275"/>
      <c r="R193" s="289" t="str">
        <f t="shared" si="17"/>
        <v/>
      </c>
      <c r="S193" s="289" t="str">
        <f t="shared" si="18"/>
        <v/>
      </c>
      <c r="T193" s="289" t="str">
        <f t="shared" si="19"/>
        <v/>
      </c>
      <c r="U193" s="290" t="str">
        <f t="shared" si="20"/>
        <v/>
      </c>
      <c r="V193" s="182"/>
      <c r="W193" s="183"/>
      <c r="AE193" s="188" t="str">
        <f t="shared" si="14"/>
        <v/>
      </c>
      <c r="AF193" s="188" t="str">
        <f t="shared" si="15"/>
        <v/>
      </c>
      <c r="AH193" s="188">
        <v>184</v>
      </c>
      <c r="AJ193" s="188" t="str">
        <f t="array" ref="AJ193">IFERROR(INDEX($AH$10:$AH$258, MATCH(0, IF(TRUE=$AE$10:$AE$258, COUNTIF($AJ$9:$AJ192, $AH$10:$AH$258), ""), 0)),"")</f>
        <v/>
      </c>
      <c r="AK193" s="188" t="str">
        <f t="array" ref="AK193">IFERROR(INDEX($AH$10:$AH$258, MATCH(0, IF(TRUE=$AF$10:$AF$258, COUNTIF($AK$9:$AK192, $AH$10:$AH$258), ""), 0)),"")</f>
        <v/>
      </c>
      <c r="AL193" s="35" t="str">
        <f>IFERROR(INDEX('G-6 Hedgerow Data'!$BJ$3:$BJ$15,MATCH(D193,'G-6 Hedgerow Data'!$B$3:$B$15,0)),"")</f>
        <v/>
      </c>
    </row>
    <row r="194" spans="2:38" ht="13.8" x14ac:dyDescent="0.25">
      <c r="B194" s="168">
        <v>185</v>
      </c>
      <c r="C194" s="275"/>
      <c r="D194" s="275"/>
      <c r="E194" s="185"/>
      <c r="F194" s="277" t="str">
        <f>IF(D194="","",VLOOKUP(D194,'G-6 Hedgerow Data'!$B$2:$AG$15,2,FALSE))</f>
        <v/>
      </c>
      <c r="G194" s="172" t="str">
        <f>IF(D194="","",VLOOKUP(D194,'G-6 Hedgerow Data'!$B$2:$AG$15,3,FALSE))</f>
        <v/>
      </c>
      <c r="H194" s="173"/>
      <c r="I194" s="172" t="str">
        <f>IFERROR(VLOOKUP(H194,'G-1 All Habitats'!$Z$2:$AA$9,2,FALSE),"")</f>
        <v/>
      </c>
      <c r="J194" s="173"/>
      <c r="K194" s="179" t="str">
        <f>IF(J194="","",IF(VLOOKUP(J194,'G-3 Multipliers'!$L$3:$N$6,2,FALSE)=0,"Spatial Data Missing",VLOOKUP(J194,'G-3 Multipliers'!$L$3:$N$6,2,FALSE)))</f>
        <v/>
      </c>
      <c r="L194" s="260" t="str">
        <f>IF(J194="","",IF(VLOOKUP(J194,'G-3 Multipliers'!$L$3:$N$6,3,FALSE)=0,"Spatial Data Missing",VLOOKUP(J194,'G-3 Multipliers'!$L$3:$N$6,3,FALSE)))</f>
        <v/>
      </c>
      <c r="M194" s="177" t="str">
        <f>IF(D194="","",VLOOKUP(D194,'G-6 Hedgerow Data'!$B$1:$AH$15,33,FALSE))</f>
        <v/>
      </c>
      <c r="N194" s="207" t="str">
        <f t="shared" si="16"/>
        <v/>
      </c>
      <c r="O194" s="44"/>
      <c r="P194" s="186"/>
      <c r="Q194" s="275"/>
      <c r="R194" s="289" t="str">
        <f t="shared" si="17"/>
        <v/>
      </c>
      <c r="S194" s="289" t="str">
        <f t="shared" si="18"/>
        <v/>
      </c>
      <c r="T194" s="289" t="str">
        <f t="shared" si="19"/>
        <v/>
      </c>
      <c r="U194" s="290" t="str">
        <f t="shared" si="20"/>
        <v/>
      </c>
      <c r="V194" s="182"/>
      <c r="W194" s="183"/>
      <c r="AE194" s="188" t="str">
        <f t="shared" si="14"/>
        <v/>
      </c>
      <c r="AF194" s="188" t="str">
        <f t="shared" si="15"/>
        <v/>
      </c>
      <c r="AH194" s="188">
        <v>185</v>
      </c>
      <c r="AJ194" s="188" t="str">
        <f t="array" ref="AJ194">IFERROR(INDEX($AH$10:$AH$258, MATCH(0, IF(TRUE=$AE$10:$AE$258, COUNTIF($AJ$9:$AJ193, $AH$10:$AH$258), ""), 0)),"")</f>
        <v/>
      </c>
      <c r="AK194" s="188" t="str">
        <f t="array" ref="AK194">IFERROR(INDEX($AH$10:$AH$258, MATCH(0, IF(TRUE=$AF$10:$AF$258, COUNTIF($AK$9:$AK193, $AH$10:$AH$258), ""), 0)),"")</f>
        <v/>
      </c>
      <c r="AL194" s="35" t="str">
        <f>IFERROR(INDEX('G-6 Hedgerow Data'!$BJ$3:$BJ$15,MATCH(D194,'G-6 Hedgerow Data'!$B$3:$B$15,0)),"")</f>
        <v/>
      </c>
    </row>
    <row r="195" spans="2:38" ht="13.8" x14ac:dyDescent="0.25">
      <c r="B195" s="168">
        <v>186</v>
      </c>
      <c r="C195" s="275"/>
      <c r="D195" s="275"/>
      <c r="E195" s="185"/>
      <c r="F195" s="277" t="str">
        <f>IF(D195="","",VLOOKUP(D195,'G-6 Hedgerow Data'!$B$2:$AG$15,2,FALSE))</f>
        <v/>
      </c>
      <c r="G195" s="172" t="str">
        <f>IF(D195="","",VLOOKUP(D195,'G-6 Hedgerow Data'!$B$2:$AG$15,3,FALSE))</f>
        <v/>
      </c>
      <c r="H195" s="173"/>
      <c r="I195" s="172" t="str">
        <f>IFERROR(VLOOKUP(H195,'G-1 All Habitats'!$Z$2:$AA$9,2,FALSE),"")</f>
        <v/>
      </c>
      <c r="J195" s="173"/>
      <c r="K195" s="179" t="str">
        <f>IF(J195="","",IF(VLOOKUP(J195,'G-3 Multipliers'!$L$3:$N$6,2,FALSE)=0,"Spatial Data Missing",VLOOKUP(J195,'G-3 Multipliers'!$L$3:$N$6,2,FALSE)))</f>
        <v/>
      </c>
      <c r="L195" s="260" t="str">
        <f>IF(J195="","",IF(VLOOKUP(J195,'G-3 Multipliers'!$L$3:$N$6,3,FALSE)=0,"Spatial Data Missing",VLOOKUP(J195,'G-3 Multipliers'!$L$3:$N$6,3,FALSE)))</f>
        <v/>
      </c>
      <c r="M195" s="177" t="str">
        <f>IF(D195="","",VLOOKUP(D195,'G-6 Hedgerow Data'!$B$1:$AH$15,33,FALSE))</f>
        <v/>
      </c>
      <c r="N195" s="207" t="str">
        <f t="shared" si="16"/>
        <v/>
      </c>
      <c r="O195" s="44"/>
      <c r="P195" s="186"/>
      <c r="Q195" s="275"/>
      <c r="R195" s="289" t="str">
        <f t="shared" si="17"/>
        <v/>
      </c>
      <c r="S195" s="289" t="str">
        <f t="shared" si="18"/>
        <v/>
      </c>
      <c r="T195" s="289" t="str">
        <f t="shared" si="19"/>
        <v/>
      </c>
      <c r="U195" s="290" t="str">
        <f t="shared" si="20"/>
        <v/>
      </c>
      <c r="V195" s="182"/>
      <c r="W195" s="183"/>
      <c r="AE195" s="188" t="str">
        <f t="shared" si="14"/>
        <v/>
      </c>
      <c r="AF195" s="188" t="str">
        <f t="shared" si="15"/>
        <v/>
      </c>
      <c r="AH195" s="188">
        <v>186</v>
      </c>
      <c r="AJ195" s="188" t="str">
        <f t="array" ref="AJ195">IFERROR(INDEX($AH$10:$AH$258, MATCH(0, IF(TRUE=$AE$10:$AE$258, COUNTIF($AJ$9:$AJ194, $AH$10:$AH$258), ""), 0)),"")</f>
        <v/>
      </c>
      <c r="AK195" s="188" t="str">
        <f t="array" ref="AK195">IFERROR(INDEX($AH$10:$AH$258, MATCH(0, IF(TRUE=$AF$10:$AF$258, COUNTIF($AK$9:$AK194, $AH$10:$AH$258), ""), 0)),"")</f>
        <v/>
      </c>
      <c r="AL195" s="35" t="str">
        <f>IFERROR(INDEX('G-6 Hedgerow Data'!$BJ$3:$BJ$15,MATCH(D195,'G-6 Hedgerow Data'!$B$3:$B$15,0)),"")</f>
        <v/>
      </c>
    </row>
    <row r="196" spans="2:38" ht="13.8" x14ac:dyDescent="0.25">
      <c r="B196" s="168">
        <v>187</v>
      </c>
      <c r="C196" s="275"/>
      <c r="D196" s="275"/>
      <c r="E196" s="185"/>
      <c r="F196" s="277" t="str">
        <f>IF(D196="","",VLOOKUP(D196,'G-6 Hedgerow Data'!$B$2:$AG$15,2,FALSE))</f>
        <v/>
      </c>
      <c r="G196" s="172" t="str">
        <f>IF(D196="","",VLOOKUP(D196,'G-6 Hedgerow Data'!$B$2:$AG$15,3,FALSE))</f>
        <v/>
      </c>
      <c r="H196" s="173"/>
      <c r="I196" s="172" t="str">
        <f>IFERROR(VLOOKUP(H196,'G-1 All Habitats'!$Z$2:$AA$9,2,FALSE),"")</f>
        <v/>
      </c>
      <c r="J196" s="173"/>
      <c r="K196" s="179" t="str">
        <f>IF(J196="","",IF(VLOOKUP(J196,'G-3 Multipliers'!$L$3:$N$6,2,FALSE)=0,"Spatial Data Missing",VLOOKUP(J196,'G-3 Multipliers'!$L$3:$N$6,2,FALSE)))</f>
        <v/>
      </c>
      <c r="L196" s="260" t="str">
        <f>IF(J196="","",IF(VLOOKUP(J196,'G-3 Multipliers'!$L$3:$N$6,3,FALSE)=0,"Spatial Data Missing",VLOOKUP(J196,'G-3 Multipliers'!$L$3:$N$6,3,FALSE)))</f>
        <v/>
      </c>
      <c r="M196" s="177" t="str">
        <f>IF(D196="","",VLOOKUP(D196,'G-6 Hedgerow Data'!$B$1:$AH$15,33,FALSE))</f>
        <v/>
      </c>
      <c r="N196" s="207" t="str">
        <f t="shared" si="16"/>
        <v/>
      </c>
      <c r="O196" s="44"/>
      <c r="P196" s="186"/>
      <c r="Q196" s="275"/>
      <c r="R196" s="289" t="str">
        <f t="shared" si="17"/>
        <v/>
      </c>
      <c r="S196" s="289" t="str">
        <f t="shared" si="18"/>
        <v/>
      </c>
      <c r="T196" s="289" t="str">
        <f t="shared" si="19"/>
        <v/>
      </c>
      <c r="U196" s="290" t="str">
        <f t="shared" si="20"/>
        <v/>
      </c>
      <c r="V196" s="182"/>
      <c r="W196" s="183"/>
      <c r="AE196" s="188" t="str">
        <f t="shared" si="14"/>
        <v/>
      </c>
      <c r="AF196" s="188" t="str">
        <f t="shared" si="15"/>
        <v/>
      </c>
      <c r="AH196" s="188">
        <v>187</v>
      </c>
      <c r="AJ196" s="188" t="str">
        <f t="array" ref="AJ196">IFERROR(INDEX($AH$10:$AH$258, MATCH(0, IF(TRUE=$AE$10:$AE$258, COUNTIF($AJ$9:$AJ195, $AH$10:$AH$258), ""), 0)),"")</f>
        <v/>
      </c>
      <c r="AK196" s="188" t="str">
        <f t="array" ref="AK196">IFERROR(INDEX($AH$10:$AH$258, MATCH(0, IF(TRUE=$AF$10:$AF$258, COUNTIF($AK$9:$AK195, $AH$10:$AH$258), ""), 0)),"")</f>
        <v/>
      </c>
      <c r="AL196" s="35" t="str">
        <f>IFERROR(INDEX('G-6 Hedgerow Data'!$BJ$3:$BJ$15,MATCH(D196,'G-6 Hedgerow Data'!$B$3:$B$15,0)),"")</f>
        <v/>
      </c>
    </row>
    <row r="197" spans="2:38" ht="13.8" x14ac:dyDescent="0.25">
      <c r="B197" s="168">
        <v>188</v>
      </c>
      <c r="C197" s="275"/>
      <c r="D197" s="275"/>
      <c r="E197" s="185"/>
      <c r="F197" s="277" t="str">
        <f>IF(D197="","",VLOOKUP(D197,'G-6 Hedgerow Data'!$B$2:$AG$15,2,FALSE))</f>
        <v/>
      </c>
      <c r="G197" s="172" t="str">
        <f>IF(D197="","",VLOOKUP(D197,'G-6 Hedgerow Data'!$B$2:$AG$15,3,FALSE))</f>
        <v/>
      </c>
      <c r="H197" s="173"/>
      <c r="I197" s="172" t="str">
        <f>IFERROR(VLOOKUP(H197,'G-1 All Habitats'!$Z$2:$AA$9,2,FALSE),"")</f>
        <v/>
      </c>
      <c r="J197" s="173"/>
      <c r="K197" s="179" t="str">
        <f>IF(J197="","",IF(VLOOKUP(J197,'G-3 Multipliers'!$L$3:$N$6,2,FALSE)=0,"Spatial Data Missing",VLOOKUP(J197,'G-3 Multipliers'!$L$3:$N$6,2,FALSE)))</f>
        <v/>
      </c>
      <c r="L197" s="260" t="str">
        <f>IF(J197="","",IF(VLOOKUP(J197,'G-3 Multipliers'!$L$3:$N$6,3,FALSE)=0,"Spatial Data Missing",VLOOKUP(J197,'G-3 Multipliers'!$L$3:$N$6,3,FALSE)))</f>
        <v/>
      </c>
      <c r="M197" s="177" t="str">
        <f>IF(D197="","",VLOOKUP(D197,'G-6 Hedgerow Data'!$B$1:$AH$15,33,FALSE))</f>
        <v/>
      </c>
      <c r="N197" s="207" t="str">
        <f t="shared" si="16"/>
        <v/>
      </c>
      <c r="O197" s="44"/>
      <c r="P197" s="186"/>
      <c r="Q197" s="275"/>
      <c r="R197" s="289" t="str">
        <f t="shared" si="17"/>
        <v/>
      </c>
      <c r="S197" s="289" t="str">
        <f t="shared" si="18"/>
        <v/>
      </c>
      <c r="T197" s="289" t="str">
        <f t="shared" si="19"/>
        <v/>
      </c>
      <c r="U197" s="290" t="str">
        <f t="shared" si="20"/>
        <v/>
      </c>
      <c r="V197" s="182"/>
      <c r="W197" s="183"/>
      <c r="AE197" s="188" t="str">
        <f t="shared" si="14"/>
        <v/>
      </c>
      <c r="AF197" s="188" t="str">
        <f t="shared" si="15"/>
        <v/>
      </c>
      <c r="AH197" s="188">
        <v>188</v>
      </c>
      <c r="AJ197" s="188" t="str">
        <f t="array" ref="AJ197">IFERROR(INDEX($AH$10:$AH$258, MATCH(0, IF(TRUE=$AE$10:$AE$258, COUNTIF($AJ$9:$AJ196, $AH$10:$AH$258), ""), 0)),"")</f>
        <v/>
      </c>
      <c r="AK197" s="188" t="str">
        <f t="array" ref="AK197">IFERROR(INDEX($AH$10:$AH$258, MATCH(0, IF(TRUE=$AF$10:$AF$258, COUNTIF($AK$9:$AK196, $AH$10:$AH$258), ""), 0)),"")</f>
        <v/>
      </c>
      <c r="AL197" s="35" t="str">
        <f>IFERROR(INDEX('G-6 Hedgerow Data'!$BJ$3:$BJ$15,MATCH(D197,'G-6 Hedgerow Data'!$B$3:$B$15,0)),"")</f>
        <v/>
      </c>
    </row>
    <row r="198" spans="2:38" ht="13.8" x14ac:dyDescent="0.25">
      <c r="B198" s="168">
        <v>189</v>
      </c>
      <c r="C198" s="275"/>
      <c r="D198" s="275"/>
      <c r="E198" s="185"/>
      <c r="F198" s="277" t="str">
        <f>IF(D198="","",VLOOKUP(D198,'G-6 Hedgerow Data'!$B$2:$AG$15,2,FALSE))</f>
        <v/>
      </c>
      <c r="G198" s="172" t="str">
        <f>IF(D198="","",VLOOKUP(D198,'G-6 Hedgerow Data'!$B$2:$AG$15,3,FALSE))</f>
        <v/>
      </c>
      <c r="H198" s="173"/>
      <c r="I198" s="172" t="str">
        <f>IFERROR(VLOOKUP(H198,'G-1 All Habitats'!$Z$2:$AA$9,2,FALSE),"")</f>
        <v/>
      </c>
      <c r="J198" s="173"/>
      <c r="K198" s="179" t="str">
        <f>IF(J198="","",IF(VLOOKUP(J198,'G-3 Multipliers'!$L$3:$N$6,2,FALSE)=0,"Spatial Data Missing",VLOOKUP(J198,'G-3 Multipliers'!$L$3:$N$6,2,FALSE)))</f>
        <v/>
      </c>
      <c r="L198" s="260" t="str">
        <f>IF(J198="","",IF(VLOOKUP(J198,'G-3 Multipliers'!$L$3:$N$6,3,FALSE)=0,"Spatial Data Missing",VLOOKUP(J198,'G-3 Multipliers'!$L$3:$N$6,3,FALSE)))</f>
        <v/>
      </c>
      <c r="M198" s="177" t="str">
        <f>IF(D198="","",VLOOKUP(D198,'G-6 Hedgerow Data'!$B$1:$AH$15,33,FALSE))</f>
        <v/>
      </c>
      <c r="N198" s="207" t="str">
        <f t="shared" si="16"/>
        <v/>
      </c>
      <c r="O198" s="44"/>
      <c r="P198" s="186"/>
      <c r="Q198" s="275"/>
      <c r="R198" s="289" t="str">
        <f t="shared" si="17"/>
        <v/>
      </c>
      <c r="S198" s="289" t="str">
        <f t="shared" si="18"/>
        <v/>
      </c>
      <c r="T198" s="289" t="str">
        <f t="shared" si="19"/>
        <v/>
      </c>
      <c r="U198" s="290" t="str">
        <f t="shared" si="20"/>
        <v/>
      </c>
      <c r="V198" s="182"/>
      <c r="W198" s="183"/>
      <c r="AE198" s="188" t="str">
        <f t="shared" si="14"/>
        <v/>
      </c>
      <c r="AF198" s="188" t="str">
        <f t="shared" si="15"/>
        <v/>
      </c>
      <c r="AH198" s="188">
        <v>189</v>
      </c>
      <c r="AJ198" s="188" t="str">
        <f t="array" ref="AJ198">IFERROR(INDEX($AH$10:$AH$258, MATCH(0, IF(TRUE=$AE$10:$AE$258, COUNTIF($AJ$9:$AJ197, $AH$10:$AH$258), ""), 0)),"")</f>
        <v/>
      </c>
      <c r="AK198" s="188" t="str">
        <f t="array" ref="AK198">IFERROR(INDEX($AH$10:$AH$258, MATCH(0, IF(TRUE=$AF$10:$AF$258, COUNTIF($AK$9:$AK197, $AH$10:$AH$258), ""), 0)),"")</f>
        <v/>
      </c>
      <c r="AL198" s="35" t="str">
        <f>IFERROR(INDEX('G-6 Hedgerow Data'!$BJ$3:$BJ$15,MATCH(D198,'G-6 Hedgerow Data'!$B$3:$B$15,0)),"")</f>
        <v/>
      </c>
    </row>
    <row r="199" spans="2:38" ht="13.8" x14ac:dyDescent="0.25">
      <c r="B199" s="168">
        <v>190</v>
      </c>
      <c r="C199" s="275"/>
      <c r="D199" s="275"/>
      <c r="E199" s="185"/>
      <c r="F199" s="277" t="str">
        <f>IF(D199="","",VLOOKUP(D199,'G-6 Hedgerow Data'!$B$2:$AG$15,2,FALSE))</f>
        <v/>
      </c>
      <c r="G199" s="172" t="str">
        <f>IF(D199="","",VLOOKUP(D199,'G-6 Hedgerow Data'!$B$2:$AG$15,3,FALSE))</f>
        <v/>
      </c>
      <c r="H199" s="173"/>
      <c r="I199" s="172" t="str">
        <f>IFERROR(VLOOKUP(H199,'G-1 All Habitats'!$Z$2:$AA$9,2,FALSE),"")</f>
        <v/>
      </c>
      <c r="J199" s="173"/>
      <c r="K199" s="179" t="str">
        <f>IF(J199="","",IF(VLOOKUP(J199,'G-3 Multipliers'!$L$3:$N$6,2,FALSE)=0,"Spatial Data Missing",VLOOKUP(J199,'G-3 Multipliers'!$L$3:$N$6,2,FALSE)))</f>
        <v/>
      </c>
      <c r="L199" s="260" t="str">
        <f>IF(J199="","",IF(VLOOKUP(J199,'G-3 Multipliers'!$L$3:$N$6,3,FALSE)=0,"Spatial Data Missing",VLOOKUP(J199,'G-3 Multipliers'!$L$3:$N$6,3,FALSE)))</f>
        <v/>
      </c>
      <c r="M199" s="177" t="str">
        <f>IF(D199="","",VLOOKUP(D199,'G-6 Hedgerow Data'!$B$1:$AH$15,33,FALSE))</f>
        <v/>
      </c>
      <c r="N199" s="207" t="str">
        <f t="shared" si="16"/>
        <v/>
      </c>
      <c r="O199" s="44"/>
      <c r="P199" s="186"/>
      <c r="Q199" s="275"/>
      <c r="R199" s="289" t="str">
        <f t="shared" si="17"/>
        <v/>
      </c>
      <c r="S199" s="289" t="str">
        <f t="shared" si="18"/>
        <v/>
      </c>
      <c r="T199" s="289" t="str">
        <f t="shared" si="19"/>
        <v/>
      </c>
      <c r="U199" s="290" t="str">
        <f t="shared" si="20"/>
        <v/>
      </c>
      <c r="V199" s="182"/>
      <c r="W199" s="183"/>
      <c r="AE199" s="188" t="str">
        <f t="shared" si="14"/>
        <v/>
      </c>
      <c r="AF199" s="188" t="str">
        <f t="shared" si="15"/>
        <v/>
      </c>
      <c r="AH199" s="188">
        <v>190</v>
      </c>
      <c r="AJ199" s="188" t="str">
        <f t="array" ref="AJ199">IFERROR(INDEX($AH$10:$AH$258, MATCH(0, IF(TRUE=$AE$10:$AE$258, COUNTIF($AJ$9:$AJ198, $AH$10:$AH$258), ""), 0)),"")</f>
        <v/>
      </c>
      <c r="AK199" s="188" t="str">
        <f t="array" ref="AK199">IFERROR(INDEX($AH$10:$AH$258, MATCH(0, IF(TRUE=$AF$10:$AF$258, COUNTIF($AK$9:$AK198, $AH$10:$AH$258), ""), 0)),"")</f>
        <v/>
      </c>
      <c r="AL199" s="35" t="str">
        <f>IFERROR(INDEX('G-6 Hedgerow Data'!$BJ$3:$BJ$15,MATCH(D199,'G-6 Hedgerow Data'!$B$3:$B$15,0)),"")</f>
        <v/>
      </c>
    </row>
    <row r="200" spans="2:38" ht="13.8" x14ac:dyDescent="0.25">
      <c r="B200" s="168">
        <v>191</v>
      </c>
      <c r="C200" s="275"/>
      <c r="D200" s="275"/>
      <c r="E200" s="185"/>
      <c r="F200" s="277" t="str">
        <f>IF(D200="","",VLOOKUP(D200,'G-6 Hedgerow Data'!$B$2:$AG$15,2,FALSE))</f>
        <v/>
      </c>
      <c r="G200" s="172" t="str">
        <f>IF(D200="","",VLOOKUP(D200,'G-6 Hedgerow Data'!$B$2:$AG$15,3,FALSE))</f>
        <v/>
      </c>
      <c r="H200" s="173"/>
      <c r="I200" s="172" t="str">
        <f>IFERROR(VLOOKUP(H200,'G-1 All Habitats'!$Z$2:$AA$9,2,FALSE),"")</f>
        <v/>
      </c>
      <c r="J200" s="173"/>
      <c r="K200" s="179" t="str">
        <f>IF(J200="","",IF(VLOOKUP(J200,'G-3 Multipliers'!$L$3:$N$6,2,FALSE)=0,"Spatial Data Missing",VLOOKUP(J200,'G-3 Multipliers'!$L$3:$N$6,2,FALSE)))</f>
        <v/>
      </c>
      <c r="L200" s="260" t="str">
        <f>IF(J200="","",IF(VLOOKUP(J200,'G-3 Multipliers'!$L$3:$N$6,3,FALSE)=0,"Spatial Data Missing",VLOOKUP(J200,'G-3 Multipliers'!$L$3:$N$6,3,FALSE)))</f>
        <v/>
      </c>
      <c r="M200" s="177" t="str">
        <f>IF(D200="","",VLOOKUP(D200,'G-6 Hedgerow Data'!$B$1:$AH$15,33,FALSE))</f>
        <v/>
      </c>
      <c r="N200" s="207" t="str">
        <f t="shared" si="16"/>
        <v/>
      </c>
      <c r="O200" s="44"/>
      <c r="P200" s="186"/>
      <c r="Q200" s="275"/>
      <c r="R200" s="289" t="str">
        <f t="shared" si="17"/>
        <v/>
      </c>
      <c r="S200" s="289" t="str">
        <f t="shared" si="18"/>
        <v/>
      </c>
      <c r="T200" s="289" t="str">
        <f t="shared" si="19"/>
        <v/>
      </c>
      <c r="U200" s="290" t="str">
        <f t="shared" si="20"/>
        <v/>
      </c>
      <c r="V200" s="182"/>
      <c r="W200" s="183"/>
      <c r="AE200" s="188" t="str">
        <f t="shared" si="14"/>
        <v/>
      </c>
      <c r="AF200" s="188" t="str">
        <f t="shared" si="15"/>
        <v/>
      </c>
      <c r="AH200" s="188">
        <v>191</v>
      </c>
      <c r="AJ200" s="188" t="str">
        <f t="array" ref="AJ200">IFERROR(INDEX($AH$10:$AH$258, MATCH(0, IF(TRUE=$AE$10:$AE$258, COUNTIF($AJ$9:$AJ199, $AH$10:$AH$258), ""), 0)),"")</f>
        <v/>
      </c>
      <c r="AK200" s="188" t="str">
        <f t="array" ref="AK200">IFERROR(INDEX($AH$10:$AH$258, MATCH(0, IF(TRUE=$AF$10:$AF$258, COUNTIF($AK$9:$AK199, $AH$10:$AH$258), ""), 0)),"")</f>
        <v/>
      </c>
      <c r="AL200" s="35" t="str">
        <f>IFERROR(INDEX('G-6 Hedgerow Data'!$BJ$3:$BJ$15,MATCH(D200,'G-6 Hedgerow Data'!$B$3:$B$15,0)),"")</f>
        <v/>
      </c>
    </row>
    <row r="201" spans="2:38" ht="13.8" x14ac:dyDescent="0.25">
      <c r="B201" s="168">
        <v>192</v>
      </c>
      <c r="C201" s="275"/>
      <c r="D201" s="275"/>
      <c r="E201" s="185"/>
      <c r="F201" s="277" t="str">
        <f>IF(D201="","",VLOOKUP(D201,'G-6 Hedgerow Data'!$B$2:$AG$15,2,FALSE))</f>
        <v/>
      </c>
      <c r="G201" s="172" t="str">
        <f>IF(D201="","",VLOOKUP(D201,'G-6 Hedgerow Data'!$B$2:$AG$15,3,FALSE))</f>
        <v/>
      </c>
      <c r="H201" s="173"/>
      <c r="I201" s="172" t="str">
        <f>IFERROR(VLOOKUP(H201,'G-1 All Habitats'!$Z$2:$AA$9,2,FALSE),"")</f>
        <v/>
      </c>
      <c r="J201" s="173"/>
      <c r="K201" s="179" t="str">
        <f>IF(J201="","",IF(VLOOKUP(J201,'G-3 Multipliers'!$L$3:$N$6,2,FALSE)=0,"Spatial Data Missing",VLOOKUP(J201,'G-3 Multipliers'!$L$3:$N$6,2,FALSE)))</f>
        <v/>
      </c>
      <c r="L201" s="260" t="str">
        <f>IF(J201="","",IF(VLOOKUP(J201,'G-3 Multipliers'!$L$3:$N$6,3,FALSE)=0,"Spatial Data Missing",VLOOKUP(J201,'G-3 Multipliers'!$L$3:$N$6,3,FALSE)))</f>
        <v/>
      </c>
      <c r="M201" s="177" t="str">
        <f>IF(D201="","",VLOOKUP(D201,'G-6 Hedgerow Data'!$B$1:$AH$15,33,FALSE))</f>
        <v/>
      </c>
      <c r="N201" s="207" t="str">
        <f t="shared" si="16"/>
        <v/>
      </c>
      <c r="O201" s="44"/>
      <c r="P201" s="186"/>
      <c r="Q201" s="275"/>
      <c r="R201" s="289" t="str">
        <f t="shared" si="17"/>
        <v/>
      </c>
      <c r="S201" s="289" t="str">
        <f t="shared" si="18"/>
        <v/>
      </c>
      <c r="T201" s="289" t="str">
        <f t="shared" si="19"/>
        <v/>
      </c>
      <c r="U201" s="290" t="str">
        <f t="shared" si="20"/>
        <v/>
      </c>
      <c r="V201" s="182"/>
      <c r="W201" s="183"/>
      <c r="AE201" s="188" t="str">
        <f t="shared" si="14"/>
        <v/>
      </c>
      <c r="AF201" s="188" t="str">
        <f t="shared" si="15"/>
        <v/>
      </c>
      <c r="AH201" s="188">
        <v>192</v>
      </c>
      <c r="AJ201" s="188" t="str">
        <f t="array" ref="AJ201">IFERROR(INDEX($AH$10:$AH$258, MATCH(0, IF(TRUE=$AE$10:$AE$258, COUNTIF($AJ$9:$AJ200, $AH$10:$AH$258), ""), 0)),"")</f>
        <v/>
      </c>
      <c r="AK201" s="188" t="str">
        <f t="array" ref="AK201">IFERROR(INDEX($AH$10:$AH$258, MATCH(0, IF(TRUE=$AF$10:$AF$258, COUNTIF($AK$9:$AK200, $AH$10:$AH$258), ""), 0)),"")</f>
        <v/>
      </c>
      <c r="AL201" s="35" t="str">
        <f>IFERROR(INDEX('G-6 Hedgerow Data'!$BJ$3:$BJ$15,MATCH(D201,'G-6 Hedgerow Data'!$B$3:$B$15,0)),"")</f>
        <v/>
      </c>
    </row>
    <row r="202" spans="2:38" ht="13.8" x14ac:dyDescent="0.25">
      <c r="B202" s="168">
        <v>193</v>
      </c>
      <c r="C202" s="275"/>
      <c r="D202" s="275"/>
      <c r="E202" s="185"/>
      <c r="F202" s="277" t="str">
        <f>IF(D202="","",VLOOKUP(D202,'G-6 Hedgerow Data'!$B$2:$AG$15,2,FALSE))</f>
        <v/>
      </c>
      <c r="G202" s="172" t="str">
        <f>IF(D202="","",VLOOKUP(D202,'G-6 Hedgerow Data'!$B$2:$AG$15,3,FALSE))</f>
        <v/>
      </c>
      <c r="H202" s="173"/>
      <c r="I202" s="172" t="str">
        <f>IFERROR(VLOOKUP(H202,'G-1 All Habitats'!$Z$2:$AA$9,2,FALSE),"")</f>
        <v/>
      </c>
      <c r="J202" s="173"/>
      <c r="K202" s="179" t="str">
        <f>IF(J202="","",IF(VLOOKUP(J202,'G-3 Multipliers'!$L$3:$N$6,2,FALSE)=0,"Spatial Data Missing",VLOOKUP(J202,'G-3 Multipliers'!$L$3:$N$6,2,FALSE)))</f>
        <v/>
      </c>
      <c r="L202" s="260" t="str">
        <f>IF(J202="","",IF(VLOOKUP(J202,'G-3 Multipliers'!$L$3:$N$6,3,FALSE)=0,"Spatial Data Missing",VLOOKUP(J202,'G-3 Multipliers'!$L$3:$N$6,3,FALSE)))</f>
        <v/>
      </c>
      <c r="M202" s="177" t="str">
        <f>IF(D202="","",VLOOKUP(D202,'G-6 Hedgerow Data'!$B$1:$AH$15,33,FALSE))</f>
        <v/>
      </c>
      <c r="N202" s="207" t="str">
        <f t="shared" si="16"/>
        <v/>
      </c>
      <c r="O202" s="44"/>
      <c r="P202" s="186"/>
      <c r="Q202" s="275"/>
      <c r="R202" s="289" t="str">
        <f t="shared" si="17"/>
        <v/>
      </c>
      <c r="S202" s="289" t="str">
        <f t="shared" si="18"/>
        <v/>
      </c>
      <c r="T202" s="289" t="str">
        <f t="shared" si="19"/>
        <v/>
      </c>
      <c r="U202" s="290" t="str">
        <f t="shared" si="20"/>
        <v/>
      </c>
      <c r="V202" s="182"/>
      <c r="W202" s="183"/>
      <c r="AE202" s="188" t="str">
        <f t="shared" ref="AE202:AE257" si="21">IF(D202="","",IF(P202&gt;0,TRUE,FALSE))</f>
        <v/>
      </c>
      <c r="AF202" s="188" t="str">
        <f t="shared" ref="AF202:AF257" si="22">IF(D202="","",IF(Q202&gt;0,TRUE,FALSE))</f>
        <v/>
      </c>
      <c r="AH202" s="188">
        <v>193</v>
      </c>
      <c r="AJ202" s="188" t="str">
        <f t="array" ref="AJ202">IFERROR(INDEX($AH$10:$AH$258, MATCH(0, IF(TRUE=$AE$10:$AE$258, COUNTIF($AJ$9:$AJ201, $AH$10:$AH$258), ""), 0)),"")</f>
        <v/>
      </c>
      <c r="AK202" s="188" t="str">
        <f t="array" ref="AK202">IFERROR(INDEX($AH$10:$AH$258, MATCH(0, IF(TRUE=$AF$10:$AF$258, COUNTIF($AK$9:$AK201, $AH$10:$AH$258), ""), 0)),"")</f>
        <v/>
      </c>
      <c r="AL202" s="35" t="str">
        <f>IFERROR(INDEX('G-6 Hedgerow Data'!$BJ$3:$BJ$15,MATCH(D202,'G-6 Hedgerow Data'!$B$3:$B$15,0)),"")</f>
        <v/>
      </c>
    </row>
    <row r="203" spans="2:38" ht="13.8" x14ac:dyDescent="0.25">
      <c r="B203" s="168">
        <v>194</v>
      </c>
      <c r="C203" s="275"/>
      <c r="D203" s="275"/>
      <c r="E203" s="185"/>
      <c r="F203" s="277" t="str">
        <f>IF(D203="","",VLOOKUP(D203,'G-6 Hedgerow Data'!$B$2:$AG$15,2,FALSE))</f>
        <v/>
      </c>
      <c r="G203" s="172" t="str">
        <f>IF(D203="","",VLOOKUP(D203,'G-6 Hedgerow Data'!$B$2:$AG$15,3,FALSE))</f>
        <v/>
      </c>
      <c r="H203" s="173"/>
      <c r="I203" s="172" t="str">
        <f>IFERROR(VLOOKUP(H203,'G-1 All Habitats'!$Z$2:$AA$9,2,FALSE),"")</f>
        <v/>
      </c>
      <c r="J203" s="173"/>
      <c r="K203" s="179" t="str">
        <f>IF(J203="","",IF(VLOOKUP(J203,'G-3 Multipliers'!$L$3:$N$6,2,FALSE)=0,"Spatial Data Missing",VLOOKUP(J203,'G-3 Multipliers'!$L$3:$N$6,2,FALSE)))</f>
        <v/>
      </c>
      <c r="L203" s="260" t="str">
        <f>IF(J203="","",IF(VLOOKUP(J203,'G-3 Multipliers'!$L$3:$N$6,3,FALSE)=0,"Spatial Data Missing",VLOOKUP(J203,'G-3 Multipliers'!$L$3:$N$6,3,FALSE)))</f>
        <v/>
      </c>
      <c r="M203" s="177" t="str">
        <f>IF(D203="","",VLOOKUP(D203,'G-6 Hedgerow Data'!$B$1:$AH$15,33,FALSE))</f>
        <v/>
      </c>
      <c r="N203" s="207" t="str">
        <f t="shared" ref="N203:N257" si="23">IFERROR(E203*G203*I203*L203,"")</f>
        <v/>
      </c>
      <c r="O203" s="44"/>
      <c r="P203" s="186"/>
      <c r="Q203" s="275"/>
      <c r="R203" s="289" t="str">
        <f t="shared" ref="R203:R257" si="24">IFERROR(P203*G203*I203*L203,"")</f>
        <v/>
      </c>
      <c r="S203" s="289" t="str">
        <f t="shared" ref="S203:S257" si="25">IFERROR(Q203*G203*I203*L203,"")</f>
        <v/>
      </c>
      <c r="T203" s="289" t="str">
        <f t="shared" ref="T203:T257" si="26">IF(D203="","",IF(E203-P203-Q203=0&lt;0,"Error in lengths",IF(P203+Q203&gt;E203,"Error in Lengths",E203-P203-Q203)))</f>
        <v/>
      </c>
      <c r="U203" s="290" t="str">
        <f t="shared" ref="U203:U257" si="27">IF(OR(E203="",N203=""),"",IF(E203-P203-Q203=0&lt;0,"Error in Lengths",IF(P203+Q203&gt;E203,"Error in Lengths",N203-R203-S203)))</f>
        <v/>
      </c>
      <c r="V203" s="182"/>
      <c r="W203" s="183"/>
      <c r="AE203" s="188" t="str">
        <f t="shared" si="21"/>
        <v/>
      </c>
      <c r="AF203" s="188" t="str">
        <f t="shared" si="22"/>
        <v/>
      </c>
      <c r="AH203" s="188">
        <v>194</v>
      </c>
      <c r="AJ203" s="188" t="str">
        <f t="array" ref="AJ203">IFERROR(INDEX($AH$10:$AH$258, MATCH(0, IF(TRUE=$AE$10:$AE$258, COUNTIF($AJ$9:$AJ202, $AH$10:$AH$258), ""), 0)),"")</f>
        <v/>
      </c>
      <c r="AK203" s="188" t="str">
        <f t="array" ref="AK203">IFERROR(INDEX($AH$10:$AH$258, MATCH(0, IF(TRUE=$AF$10:$AF$258, COUNTIF($AK$9:$AK202, $AH$10:$AH$258), ""), 0)),"")</f>
        <v/>
      </c>
      <c r="AL203" s="35" t="str">
        <f>IFERROR(INDEX('G-6 Hedgerow Data'!$BJ$3:$BJ$15,MATCH(D203,'G-6 Hedgerow Data'!$B$3:$B$15,0)),"")</f>
        <v/>
      </c>
    </row>
    <row r="204" spans="2:38" ht="13.8" x14ac:dyDescent="0.25">
      <c r="B204" s="168">
        <v>195</v>
      </c>
      <c r="C204" s="275"/>
      <c r="D204" s="275"/>
      <c r="E204" s="185"/>
      <c r="F204" s="277" t="str">
        <f>IF(D204="","",VLOOKUP(D204,'G-6 Hedgerow Data'!$B$2:$AG$15,2,FALSE))</f>
        <v/>
      </c>
      <c r="G204" s="172" t="str">
        <f>IF(D204="","",VLOOKUP(D204,'G-6 Hedgerow Data'!$B$2:$AG$15,3,FALSE))</f>
        <v/>
      </c>
      <c r="H204" s="173"/>
      <c r="I204" s="172" t="str">
        <f>IFERROR(VLOOKUP(H204,'G-1 All Habitats'!$Z$2:$AA$9,2,FALSE),"")</f>
        <v/>
      </c>
      <c r="J204" s="173"/>
      <c r="K204" s="179" t="str">
        <f>IF(J204="","",IF(VLOOKUP(J204,'G-3 Multipliers'!$L$3:$N$6,2,FALSE)=0,"Spatial Data Missing",VLOOKUP(J204,'G-3 Multipliers'!$L$3:$N$6,2,FALSE)))</f>
        <v/>
      </c>
      <c r="L204" s="260" t="str">
        <f>IF(J204="","",IF(VLOOKUP(J204,'G-3 Multipliers'!$L$3:$N$6,3,FALSE)=0,"Spatial Data Missing",VLOOKUP(J204,'G-3 Multipliers'!$L$3:$N$6,3,FALSE)))</f>
        <v/>
      </c>
      <c r="M204" s="177" t="str">
        <f>IF(D204="","",VLOOKUP(D204,'G-6 Hedgerow Data'!$B$1:$AH$15,33,FALSE))</f>
        <v/>
      </c>
      <c r="N204" s="207" t="str">
        <f t="shared" si="23"/>
        <v/>
      </c>
      <c r="O204" s="44"/>
      <c r="P204" s="186"/>
      <c r="Q204" s="275"/>
      <c r="R204" s="289" t="str">
        <f t="shared" si="24"/>
        <v/>
      </c>
      <c r="S204" s="289" t="str">
        <f t="shared" si="25"/>
        <v/>
      </c>
      <c r="T204" s="289" t="str">
        <f t="shared" si="26"/>
        <v/>
      </c>
      <c r="U204" s="290" t="str">
        <f t="shared" si="27"/>
        <v/>
      </c>
      <c r="V204" s="182"/>
      <c r="W204" s="183"/>
      <c r="AE204" s="188" t="str">
        <f t="shared" si="21"/>
        <v/>
      </c>
      <c r="AF204" s="188" t="str">
        <f t="shared" si="22"/>
        <v/>
      </c>
      <c r="AH204" s="188">
        <v>195</v>
      </c>
      <c r="AJ204" s="188" t="str">
        <f t="array" ref="AJ204">IFERROR(INDEX($AH$10:$AH$258, MATCH(0, IF(TRUE=$AE$10:$AE$258, COUNTIF($AJ$9:$AJ203, $AH$10:$AH$258), ""), 0)),"")</f>
        <v/>
      </c>
      <c r="AK204" s="188" t="str">
        <f t="array" ref="AK204">IFERROR(INDEX($AH$10:$AH$258, MATCH(0, IF(TRUE=$AF$10:$AF$258, COUNTIF($AK$9:$AK203, $AH$10:$AH$258), ""), 0)),"")</f>
        <v/>
      </c>
      <c r="AL204" s="35" t="str">
        <f>IFERROR(INDEX('G-6 Hedgerow Data'!$BJ$3:$BJ$15,MATCH(D204,'G-6 Hedgerow Data'!$B$3:$B$15,0)),"")</f>
        <v/>
      </c>
    </row>
    <row r="205" spans="2:38" ht="13.8" x14ac:dyDescent="0.25">
      <c r="B205" s="168">
        <v>196</v>
      </c>
      <c r="C205" s="275"/>
      <c r="D205" s="275"/>
      <c r="E205" s="185"/>
      <c r="F205" s="277" t="str">
        <f>IF(D205="","",VLOOKUP(D205,'G-6 Hedgerow Data'!$B$2:$AG$15,2,FALSE))</f>
        <v/>
      </c>
      <c r="G205" s="172" t="str">
        <f>IF(D205="","",VLOOKUP(D205,'G-6 Hedgerow Data'!$B$2:$AG$15,3,FALSE))</f>
        <v/>
      </c>
      <c r="H205" s="173"/>
      <c r="I205" s="172" t="str">
        <f>IFERROR(VLOOKUP(H205,'G-1 All Habitats'!$Z$2:$AA$9,2,FALSE),"")</f>
        <v/>
      </c>
      <c r="J205" s="173"/>
      <c r="K205" s="179" t="str">
        <f>IF(J205="","",IF(VLOOKUP(J205,'G-3 Multipliers'!$L$3:$N$6,2,FALSE)=0,"Spatial Data Missing",VLOOKUP(J205,'G-3 Multipliers'!$L$3:$N$6,2,FALSE)))</f>
        <v/>
      </c>
      <c r="L205" s="260" t="str">
        <f>IF(J205="","",IF(VLOOKUP(J205,'G-3 Multipliers'!$L$3:$N$6,3,FALSE)=0,"Spatial Data Missing",VLOOKUP(J205,'G-3 Multipliers'!$L$3:$N$6,3,FALSE)))</f>
        <v/>
      </c>
      <c r="M205" s="177" t="str">
        <f>IF(D205="","",VLOOKUP(D205,'G-6 Hedgerow Data'!$B$1:$AH$15,33,FALSE))</f>
        <v/>
      </c>
      <c r="N205" s="207" t="str">
        <f t="shared" si="23"/>
        <v/>
      </c>
      <c r="O205" s="44"/>
      <c r="P205" s="186"/>
      <c r="Q205" s="275"/>
      <c r="R205" s="289" t="str">
        <f t="shared" si="24"/>
        <v/>
      </c>
      <c r="S205" s="289" t="str">
        <f t="shared" si="25"/>
        <v/>
      </c>
      <c r="T205" s="289" t="str">
        <f t="shared" si="26"/>
        <v/>
      </c>
      <c r="U205" s="290" t="str">
        <f t="shared" si="27"/>
        <v/>
      </c>
      <c r="V205" s="182"/>
      <c r="W205" s="183"/>
      <c r="AE205" s="188" t="str">
        <f t="shared" si="21"/>
        <v/>
      </c>
      <c r="AF205" s="188" t="str">
        <f t="shared" si="22"/>
        <v/>
      </c>
      <c r="AH205" s="188">
        <v>196</v>
      </c>
      <c r="AJ205" s="188" t="str">
        <f t="array" ref="AJ205">IFERROR(INDEX($AH$10:$AH$258, MATCH(0, IF(TRUE=$AE$10:$AE$258, COUNTIF($AJ$9:$AJ204, $AH$10:$AH$258), ""), 0)),"")</f>
        <v/>
      </c>
      <c r="AK205" s="188" t="str">
        <f t="array" ref="AK205">IFERROR(INDEX($AH$10:$AH$258, MATCH(0, IF(TRUE=$AF$10:$AF$258, COUNTIF($AK$9:$AK204, $AH$10:$AH$258), ""), 0)),"")</f>
        <v/>
      </c>
      <c r="AL205" s="35" t="str">
        <f>IFERROR(INDEX('G-6 Hedgerow Data'!$BJ$3:$BJ$15,MATCH(D205,'G-6 Hedgerow Data'!$B$3:$B$15,0)),"")</f>
        <v/>
      </c>
    </row>
    <row r="206" spans="2:38" ht="13.8" x14ac:dyDescent="0.25">
      <c r="B206" s="168">
        <v>197</v>
      </c>
      <c r="C206" s="275"/>
      <c r="D206" s="275"/>
      <c r="E206" s="185"/>
      <c r="F206" s="277" t="str">
        <f>IF(D206="","",VLOOKUP(D206,'G-6 Hedgerow Data'!$B$2:$AG$15,2,FALSE))</f>
        <v/>
      </c>
      <c r="G206" s="172" t="str">
        <f>IF(D206="","",VLOOKUP(D206,'G-6 Hedgerow Data'!$B$2:$AG$15,3,FALSE))</f>
        <v/>
      </c>
      <c r="H206" s="173"/>
      <c r="I206" s="172" t="str">
        <f>IFERROR(VLOOKUP(H206,'G-1 All Habitats'!$Z$2:$AA$9,2,FALSE),"")</f>
        <v/>
      </c>
      <c r="J206" s="173"/>
      <c r="K206" s="179" t="str">
        <f>IF(J206="","",IF(VLOOKUP(J206,'G-3 Multipliers'!$L$3:$N$6,2,FALSE)=0,"Spatial Data Missing",VLOOKUP(J206,'G-3 Multipliers'!$L$3:$N$6,2,FALSE)))</f>
        <v/>
      </c>
      <c r="L206" s="260" t="str">
        <f>IF(J206="","",IF(VLOOKUP(J206,'G-3 Multipliers'!$L$3:$N$6,3,FALSE)=0,"Spatial Data Missing",VLOOKUP(J206,'G-3 Multipliers'!$L$3:$N$6,3,FALSE)))</f>
        <v/>
      </c>
      <c r="M206" s="177" t="str">
        <f>IF(D206="","",VLOOKUP(D206,'G-6 Hedgerow Data'!$B$1:$AH$15,33,FALSE))</f>
        <v/>
      </c>
      <c r="N206" s="207" t="str">
        <f t="shared" si="23"/>
        <v/>
      </c>
      <c r="O206" s="44"/>
      <c r="P206" s="186"/>
      <c r="Q206" s="275"/>
      <c r="R206" s="289" t="str">
        <f t="shared" si="24"/>
        <v/>
      </c>
      <c r="S206" s="289" t="str">
        <f t="shared" si="25"/>
        <v/>
      </c>
      <c r="T206" s="289" t="str">
        <f t="shared" si="26"/>
        <v/>
      </c>
      <c r="U206" s="290" t="str">
        <f t="shared" si="27"/>
        <v/>
      </c>
      <c r="V206" s="182"/>
      <c r="W206" s="183"/>
      <c r="AE206" s="188" t="str">
        <f t="shared" si="21"/>
        <v/>
      </c>
      <c r="AF206" s="188" t="str">
        <f t="shared" si="22"/>
        <v/>
      </c>
      <c r="AH206" s="188">
        <v>197</v>
      </c>
      <c r="AJ206" s="188" t="str">
        <f t="array" ref="AJ206">IFERROR(INDEX($AH$10:$AH$258, MATCH(0, IF(TRUE=$AE$10:$AE$258, COUNTIF($AJ$9:$AJ205, $AH$10:$AH$258), ""), 0)),"")</f>
        <v/>
      </c>
      <c r="AK206" s="188" t="str">
        <f t="array" ref="AK206">IFERROR(INDEX($AH$10:$AH$258, MATCH(0, IF(TRUE=$AF$10:$AF$258, COUNTIF($AK$9:$AK205, $AH$10:$AH$258), ""), 0)),"")</f>
        <v/>
      </c>
      <c r="AL206" s="35" t="str">
        <f>IFERROR(INDEX('G-6 Hedgerow Data'!$BJ$3:$BJ$15,MATCH(D206,'G-6 Hedgerow Data'!$B$3:$B$15,0)),"")</f>
        <v/>
      </c>
    </row>
    <row r="207" spans="2:38" ht="13.8" x14ac:dyDescent="0.25">
      <c r="B207" s="168">
        <v>198</v>
      </c>
      <c r="C207" s="275"/>
      <c r="D207" s="275"/>
      <c r="E207" s="185"/>
      <c r="F207" s="277" t="str">
        <f>IF(D207="","",VLOOKUP(D207,'G-6 Hedgerow Data'!$B$2:$AG$15,2,FALSE))</f>
        <v/>
      </c>
      <c r="G207" s="172" t="str">
        <f>IF(D207="","",VLOOKUP(D207,'G-6 Hedgerow Data'!$B$2:$AG$15,3,FALSE))</f>
        <v/>
      </c>
      <c r="H207" s="173"/>
      <c r="I207" s="172" t="str">
        <f>IFERROR(VLOOKUP(H207,'G-1 All Habitats'!$Z$2:$AA$9,2,FALSE),"")</f>
        <v/>
      </c>
      <c r="J207" s="173"/>
      <c r="K207" s="179" t="str">
        <f>IF(J207="","",IF(VLOOKUP(J207,'G-3 Multipliers'!$L$3:$N$6,2,FALSE)=0,"Spatial Data Missing",VLOOKUP(J207,'G-3 Multipliers'!$L$3:$N$6,2,FALSE)))</f>
        <v/>
      </c>
      <c r="L207" s="260" t="str">
        <f>IF(J207="","",IF(VLOOKUP(J207,'G-3 Multipliers'!$L$3:$N$6,3,FALSE)=0,"Spatial Data Missing",VLOOKUP(J207,'G-3 Multipliers'!$L$3:$N$6,3,FALSE)))</f>
        <v/>
      </c>
      <c r="M207" s="177" t="str">
        <f>IF(D207="","",VLOOKUP(D207,'G-6 Hedgerow Data'!$B$1:$AH$15,33,FALSE))</f>
        <v/>
      </c>
      <c r="N207" s="207" t="str">
        <f t="shared" si="23"/>
        <v/>
      </c>
      <c r="O207" s="44"/>
      <c r="P207" s="186"/>
      <c r="Q207" s="275"/>
      <c r="R207" s="289" t="str">
        <f t="shared" si="24"/>
        <v/>
      </c>
      <c r="S207" s="289" t="str">
        <f t="shared" si="25"/>
        <v/>
      </c>
      <c r="T207" s="289" t="str">
        <f t="shared" si="26"/>
        <v/>
      </c>
      <c r="U207" s="290" t="str">
        <f t="shared" si="27"/>
        <v/>
      </c>
      <c r="V207" s="182"/>
      <c r="W207" s="183"/>
      <c r="AE207" s="188" t="str">
        <f t="shared" si="21"/>
        <v/>
      </c>
      <c r="AF207" s="188" t="str">
        <f t="shared" si="22"/>
        <v/>
      </c>
      <c r="AH207" s="188">
        <v>198</v>
      </c>
      <c r="AJ207" s="188" t="str">
        <f t="array" ref="AJ207">IFERROR(INDEX($AH$10:$AH$258, MATCH(0, IF(TRUE=$AE$10:$AE$258, COUNTIF($AJ$9:$AJ206, $AH$10:$AH$258), ""), 0)),"")</f>
        <v/>
      </c>
      <c r="AK207" s="188" t="str">
        <f t="array" ref="AK207">IFERROR(INDEX($AH$10:$AH$258, MATCH(0, IF(TRUE=$AF$10:$AF$258, COUNTIF($AK$9:$AK206, $AH$10:$AH$258), ""), 0)),"")</f>
        <v/>
      </c>
      <c r="AL207" s="35" t="str">
        <f>IFERROR(INDEX('G-6 Hedgerow Data'!$BJ$3:$BJ$15,MATCH(D207,'G-6 Hedgerow Data'!$B$3:$B$15,0)),"")</f>
        <v/>
      </c>
    </row>
    <row r="208" spans="2:38" ht="13.8" x14ac:dyDescent="0.25">
      <c r="B208" s="168">
        <v>199</v>
      </c>
      <c r="C208" s="275"/>
      <c r="D208" s="275"/>
      <c r="E208" s="185"/>
      <c r="F208" s="277" t="str">
        <f>IF(D208="","",VLOOKUP(D208,'G-6 Hedgerow Data'!$B$2:$AG$15,2,FALSE))</f>
        <v/>
      </c>
      <c r="G208" s="172" t="str">
        <f>IF(D208="","",VLOOKUP(D208,'G-6 Hedgerow Data'!$B$2:$AG$15,3,FALSE))</f>
        <v/>
      </c>
      <c r="H208" s="173"/>
      <c r="I208" s="172" t="str">
        <f>IFERROR(VLOOKUP(H208,'G-1 All Habitats'!$Z$2:$AA$9,2,FALSE),"")</f>
        <v/>
      </c>
      <c r="J208" s="173"/>
      <c r="K208" s="179" t="str">
        <f>IF(J208="","",IF(VLOOKUP(J208,'G-3 Multipliers'!$L$3:$N$6,2,FALSE)=0,"Spatial Data Missing",VLOOKUP(J208,'G-3 Multipliers'!$L$3:$N$6,2,FALSE)))</f>
        <v/>
      </c>
      <c r="L208" s="260" t="str">
        <f>IF(J208="","",IF(VLOOKUP(J208,'G-3 Multipliers'!$L$3:$N$6,3,FALSE)=0,"Spatial Data Missing",VLOOKUP(J208,'G-3 Multipliers'!$L$3:$N$6,3,FALSE)))</f>
        <v/>
      </c>
      <c r="M208" s="177" t="str">
        <f>IF(D208="","",VLOOKUP(D208,'G-6 Hedgerow Data'!$B$1:$AH$15,33,FALSE))</f>
        <v/>
      </c>
      <c r="N208" s="207" t="str">
        <f t="shared" si="23"/>
        <v/>
      </c>
      <c r="O208" s="44"/>
      <c r="P208" s="186"/>
      <c r="Q208" s="275"/>
      <c r="R208" s="289" t="str">
        <f t="shared" si="24"/>
        <v/>
      </c>
      <c r="S208" s="289" t="str">
        <f t="shared" si="25"/>
        <v/>
      </c>
      <c r="T208" s="289" t="str">
        <f t="shared" si="26"/>
        <v/>
      </c>
      <c r="U208" s="290" t="str">
        <f t="shared" si="27"/>
        <v/>
      </c>
      <c r="V208" s="182"/>
      <c r="W208" s="183"/>
      <c r="AE208" s="188" t="str">
        <f t="shared" si="21"/>
        <v/>
      </c>
      <c r="AF208" s="188" t="str">
        <f t="shared" si="22"/>
        <v/>
      </c>
      <c r="AH208" s="188">
        <v>199</v>
      </c>
      <c r="AJ208" s="188" t="str">
        <f t="array" ref="AJ208">IFERROR(INDEX($AH$10:$AH$258, MATCH(0, IF(TRUE=$AE$10:$AE$258, COUNTIF($AJ$9:$AJ207, $AH$10:$AH$258), ""), 0)),"")</f>
        <v/>
      </c>
      <c r="AK208" s="188" t="str">
        <f t="array" ref="AK208">IFERROR(INDEX($AH$10:$AH$258, MATCH(0, IF(TRUE=$AF$10:$AF$258, COUNTIF($AK$9:$AK207, $AH$10:$AH$258), ""), 0)),"")</f>
        <v/>
      </c>
      <c r="AL208" s="35" t="str">
        <f>IFERROR(INDEX('G-6 Hedgerow Data'!$BJ$3:$BJ$15,MATCH(D208,'G-6 Hedgerow Data'!$B$3:$B$15,0)),"")</f>
        <v/>
      </c>
    </row>
    <row r="209" spans="2:38" ht="13.8" x14ac:dyDescent="0.25">
      <c r="B209" s="168">
        <v>200</v>
      </c>
      <c r="C209" s="275"/>
      <c r="D209" s="275"/>
      <c r="E209" s="185"/>
      <c r="F209" s="277" t="str">
        <f>IF(D209="","",VLOOKUP(D209,'G-6 Hedgerow Data'!$B$2:$AG$15,2,FALSE))</f>
        <v/>
      </c>
      <c r="G209" s="172" t="str">
        <f>IF(D209="","",VLOOKUP(D209,'G-6 Hedgerow Data'!$B$2:$AG$15,3,FALSE))</f>
        <v/>
      </c>
      <c r="H209" s="173"/>
      <c r="I209" s="172" t="str">
        <f>IFERROR(VLOOKUP(H209,'G-1 All Habitats'!$Z$2:$AA$9,2,FALSE),"")</f>
        <v/>
      </c>
      <c r="J209" s="173"/>
      <c r="K209" s="179" t="str">
        <f>IF(J209="","",IF(VLOOKUP(J209,'G-3 Multipliers'!$L$3:$N$6,2,FALSE)=0,"Spatial Data Missing",VLOOKUP(J209,'G-3 Multipliers'!$L$3:$N$6,2,FALSE)))</f>
        <v/>
      </c>
      <c r="L209" s="260" t="str">
        <f>IF(J209="","",IF(VLOOKUP(J209,'G-3 Multipliers'!$L$3:$N$6,3,FALSE)=0,"Spatial Data Missing",VLOOKUP(J209,'G-3 Multipliers'!$L$3:$N$6,3,FALSE)))</f>
        <v/>
      </c>
      <c r="M209" s="177" t="str">
        <f>IF(D209="","",VLOOKUP(D209,'G-6 Hedgerow Data'!$B$1:$AH$15,33,FALSE))</f>
        <v/>
      </c>
      <c r="N209" s="207" t="str">
        <f t="shared" si="23"/>
        <v/>
      </c>
      <c r="O209" s="44"/>
      <c r="P209" s="186"/>
      <c r="Q209" s="275"/>
      <c r="R209" s="289" t="str">
        <f t="shared" si="24"/>
        <v/>
      </c>
      <c r="S209" s="289" t="str">
        <f t="shared" si="25"/>
        <v/>
      </c>
      <c r="T209" s="289" t="str">
        <f t="shared" si="26"/>
        <v/>
      </c>
      <c r="U209" s="290" t="str">
        <f t="shared" si="27"/>
        <v/>
      </c>
      <c r="V209" s="182"/>
      <c r="W209" s="183"/>
      <c r="AE209" s="188" t="str">
        <f t="shared" si="21"/>
        <v/>
      </c>
      <c r="AF209" s="188" t="str">
        <f t="shared" si="22"/>
        <v/>
      </c>
      <c r="AH209" s="188">
        <v>200</v>
      </c>
      <c r="AJ209" s="188" t="str">
        <f t="array" ref="AJ209">IFERROR(INDEX($AH$10:$AH$258, MATCH(0, IF(TRUE=$AE$10:$AE$258, COUNTIF($AJ$9:$AJ208, $AH$10:$AH$258), ""), 0)),"")</f>
        <v/>
      </c>
      <c r="AK209" s="188" t="str">
        <f t="array" ref="AK209">IFERROR(INDEX($AH$10:$AH$258, MATCH(0, IF(TRUE=$AF$10:$AF$258, COUNTIF($AK$9:$AK208, $AH$10:$AH$258), ""), 0)),"")</f>
        <v/>
      </c>
      <c r="AL209" s="35" t="str">
        <f>IFERROR(INDEX('G-6 Hedgerow Data'!$BJ$3:$BJ$15,MATCH(D209,'G-6 Hedgerow Data'!$B$3:$B$15,0)),"")</f>
        <v/>
      </c>
    </row>
    <row r="210" spans="2:38" ht="13.8" x14ac:dyDescent="0.25">
      <c r="B210" s="168">
        <v>201</v>
      </c>
      <c r="C210" s="275"/>
      <c r="D210" s="275"/>
      <c r="E210" s="185"/>
      <c r="F210" s="277" t="str">
        <f>IF(D210="","",VLOOKUP(D210,'G-6 Hedgerow Data'!$B$2:$AG$15,2,FALSE))</f>
        <v/>
      </c>
      <c r="G210" s="172" t="str">
        <f>IF(D210="","",VLOOKUP(D210,'G-6 Hedgerow Data'!$B$2:$AG$15,3,FALSE))</f>
        <v/>
      </c>
      <c r="H210" s="173"/>
      <c r="I210" s="172" t="str">
        <f>IFERROR(VLOOKUP(H210,'G-1 All Habitats'!$Z$2:$AA$9,2,FALSE),"")</f>
        <v/>
      </c>
      <c r="J210" s="173"/>
      <c r="K210" s="179" t="str">
        <f>IF(J210="","",IF(VLOOKUP(J210,'G-3 Multipliers'!$L$3:$N$6,2,FALSE)=0,"Spatial Data Missing",VLOOKUP(J210,'G-3 Multipliers'!$L$3:$N$6,2,FALSE)))</f>
        <v/>
      </c>
      <c r="L210" s="260" t="str">
        <f>IF(J210="","",IF(VLOOKUP(J210,'G-3 Multipliers'!$L$3:$N$6,3,FALSE)=0,"Spatial Data Missing",VLOOKUP(J210,'G-3 Multipliers'!$L$3:$N$6,3,FALSE)))</f>
        <v/>
      </c>
      <c r="M210" s="177" t="str">
        <f>IF(D210="","",VLOOKUP(D210,'G-6 Hedgerow Data'!$B$1:$AH$15,33,FALSE))</f>
        <v/>
      </c>
      <c r="N210" s="207" t="str">
        <f t="shared" si="23"/>
        <v/>
      </c>
      <c r="O210" s="44"/>
      <c r="P210" s="186"/>
      <c r="Q210" s="275"/>
      <c r="R210" s="289" t="str">
        <f t="shared" si="24"/>
        <v/>
      </c>
      <c r="S210" s="289" t="str">
        <f t="shared" si="25"/>
        <v/>
      </c>
      <c r="T210" s="289" t="str">
        <f t="shared" si="26"/>
        <v/>
      </c>
      <c r="U210" s="290" t="str">
        <f t="shared" si="27"/>
        <v/>
      </c>
      <c r="V210" s="182"/>
      <c r="W210" s="183"/>
      <c r="AE210" s="188" t="str">
        <f t="shared" si="21"/>
        <v/>
      </c>
      <c r="AF210" s="188" t="str">
        <f t="shared" si="22"/>
        <v/>
      </c>
      <c r="AH210" s="188">
        <v>201</v>
      </c>
      <c r="AJ210" s="188" t="str">
        <f t="array" ref="AJ210">IFERROR(INDEX($AH$10:$AH$258, MATCH(0, IF(TRUE=$AE$10:$AE$258, COUNTIF($AJ$9:$AJ209, $AH$10:$AH$258), ""), 0)),"")</f>
        <v/>
      </c>
      <c r="AK210" s="188" t="str">
        <f t="array" ref="AK210">IFERROR(INDEX($AH$10:$AH$258, MATCH(0, IF(TRUE=$AF$10:$AF$258, COUNTIF($AK$9:$AK209, $AH$10:$AH$258), ""), 0)),"")</f>
        <v/>
      </c>
      <c r="AL210" s="35" t="str">
        <f>IFERROR(INDEX('G-6 Hedgerow Data'!$BJ$3:$BJ$15,MATCH(D210,'G-6 Hedgerow Data'!$B$3:$B$15,0)),"")</f>
        <v/>
      </c>
    </row>
    <row r="211" spans="2:38" ht="13.8" x14ac:dyDescent="0.25">
      <c r="B211" s="168">
        <v>202</v>
      </c>
      <c r="C211" s="275"/>
      <c r="D211" s="275"/>
      <c r="E211" s="185"/>
      <c r="F211" s="277" t="str">
        <f>IF(D211="","",VLOOKUP(D211,'G-6 Hedgerow Data'!$B$2:$AG$15,2,FALSE))</f>
        <v/>
      </c>
      <c r="G211" s="172" t="str">
        <f>IF(D211="","",VLOOKUP(D211,'G-6 Hedgerow Data'!$B$2:$AG$15,3,FALSE))</f>
        <v/>
      </c>
      <c r="H211" s="173"/>
      <c r="I211" s="172" t="str">
        <f>IFERROR(VLOOKUP(H211,'G-1 All Habitats'!$Z$2:$AA$9,2,FALSE),"")</f>
        <v/>
      </c>
      <c r="J211" s="173"/>
      <c r="K211" s="179" t="str">
        <f>IF(J211="","",IF(VLOOKUP(J211,'G-3 Multipliers'!$L$3:$N$6,2,FALSE)=0,"Spatial Data Missing",VLOOKUP(J211,'G-3 Multipliers'!$L$3:$N$6,2,FALSE)))</f>
        <v/>
      </c>
      <c r="L211" s="260" t="str">
        <f>IF(J211="","",IF(VLOOKUP(J211,'G-3 Multipliers'!$L$3:$N$6,3,FALSE)=0,"Spatial Data Missing",VLOOKUP(J211,'G-3 Multipliers'!$L$3:$N$6,3,FALSE)))</f>
        <v/>
      </c>
      <c r="M211" s="177" t="str">
        <f>IF(D211="","",VLOOKUP(D211,'G-6 Hedgerow Data'!$B$1:$AH$15,33,FALSE))</f>
        <v/>
      </c>
      <c r="N211" s="207" t="str">
        <f t="shared" si="23"/>
        <v/>
      </c>
      <c r="O211" s="44"/>
      <c r="P211" s="186"/>
      <c r="Q211" s="275"/>
      <c r="R211" s="289" t="str">
        <f t="shared" si="24"/>
        <v/>
      </c>
      <c r="S211" s="289" t="str">
        <f t="shared" si="25"/>
        <v/>
      </c>
      <c r="T211" s="289" t="str">
        <f t="shared" si="26"/>
        <v/>
      </c>
      <c r="U211" s="290" t="str">
        <f t="shared" si="27"/>
        <v/>
      </c>
      <c r="V211" s="182"/>
      <c r="W211" s="183"/>
      <c r="AE211" s="188" t="str">
        <f t="shared" si="21"/>
        <v/>
      </c>
      <c r="AF211" s="188" t="str">
        <f t="shared" si="22"/>
        <v/>
      </c>
      <c r="AH211" s="188">
        <v>202</v>
      </c>
      <c r="AJ211" s="188" t="str">
        <f t="array" ref="AJ211">IFERROR(INDEX($AH$10:$AH$258, MATCH(0, IF(TRUE=$AE$10:$AE$258, COUNTIF($AJ$9:$AJ210, $AH$10:$AH$258), ""), 0)),"")</f>
        <v/>
      </c>
      <c r="AK211" s="188" t="str">
        <f t="array" ref="AK211">IFERROR(INDEX($AH$10:$AH$258, MATCH(0, IF(TRUE=$AF$10:$AF$258, COUNTIF($AK$9:$AK210, $AH$10:$AH$258), ""), 0)),"")</f>
        <v/>
      </c>
      <c r="AL211" s="35" t="str">
        <f>IFERROR(INDEX('G-6 Hedgerow Data'!$BJ$3:$BJ$15,MATCH(D211,'G-6 Hedgerow Data'!$B$3:$B$15,0)),"")</f>
        <v/>
      </c>
    </row>
    <row r="212" spans="2:38" ht="13.8" x14ac:dyDescent="0.25">
      <c r="B212" s="168">
        <v>203</v>
      </c>
      <c r="C212" s="275"/>
      <c r="D212" s="275"/>
      <c r="E212" s="185"/>
      <c r="F212" s="277" t="str">
        <f>IF(D212="","",VLOOKUP(D212,'G-6 Hedgerow Data'!$B$2:$AG$15,2,FALSE))</f>
        <v/>
      </c>
      <c r="G212" s="172" t="str">
        <f>IF(D212="","",VLOOKUP(D212,'G-6 Hedgerow Data'!$B$2:$AG$15,3,FALSE))</f>
        <v/>
      </c>
      <c r="H212" s="173"/>
      <c r="I212" s="172" t="str">
        <f>IFERROR(VLOOKUP(H212,'G-1 All Habitats'!$Z$2:$AA$9,2,FALSE),"")</f>
        <v/>
      </c>
      <c r="J212" s="173"/>
      <c r="K212" s="179" t="str">
        <f>IF(J212="","",IF(VLOOKUP(J212,'G-3 Multipliers'!$L$3:$N$6,2,FALSE)=0,"Spatial Data Missing",VLOOKUP(J212,'G-3 Multipliers'!$L$3:$N$6,2,FALSE)))</f>
        <v/>
      </c>
      <c r="L212" s="260" t="str">
        <f>IF(J212="","",IF(VLOOKUP(J212,'G-3 Multipliers'!$L$3:$N$6,3,FALSE)=0,"Spatial Data Missing",VLOOKUP(J212,'G-3 Multipliers'!$L$3:$N$6,3,FALSE)))</f>
        <v/>
      </c>
      <c r="M212" s="177" t="str">
        <f>IF(D212="","",VLOOKUP(D212,'G-6 Hedgerow Data'!$B$1:$AH$15,33,FALSE))</f>
        <v/>
      </c>
      <c r="N212" s="207" t="str">
        <f t="shared" si="23"/>
        <v/>
      </c>
      <c r="O212" s="44"/>
      <c r="P212" s="186"/>
      <c r="Q212" s="275"/>
      <c r="R212" s="289" t="str">
        <f t="shared" si="24"/>
        <v/>
      </c>
      <c r="S212" s="289" t="str">
        <f t="shared" si="25"/>
        <v/>
      </c>
      <c r="T212" s="289" t="str">
        <f t="shared" si="26"/>
        <v/>
      </c>
      <c r="U212" s="290" t="str">
        <f t="shared" si="27"/>
        <v/>
      </c>
      <c r="V212" s="182"/>
      <c r="W212" s="183"/>
      <c r="AE212" s="188" t="str">
        <f t="shared" si="21"/>
        <v/>
      </c>
      <c r="AF212" s="188" t="str">
        <f t="shared" si="22"/>
        <v/>
      </c>
      <c r="AH212" s="188">
        <v>203</v>
      </c>
      <c r="AJ212" s="188" t="str">
        <f t="array" ref="AJ212">IFERROR(INDEX($AH$10:$AH$258, MATCH(0, IF(TRUE=$AE$10:$AE$258, COUNTIF($AJ$9:$AJ211, $AH$10:$AH$258), ""), 0)),"")</f>
        <v/>
      </c>
      <c r="AK212" s="188" t="str">
        <f t="array" ref="AK212">IFERROR(INDEX($AH$10:$AH$258, MATCH(0, IF(TRUE=$AF$10:$AF$258, COUNTIF($AK$9:$AK211, $AH$10:$AH$258), ""), 0)),"")</f>
        <v/>
      </c>
      <c r="AL212" s="35" t="str">
        <f>IFERROR(INDEX('G-6 Hedgerow Data'!$BJ$3:$BJ$15,MATCH(D212,'G-6 Hedgerow Data'!$B$3:$B$15,0)),"")</f>
        <v/>
      </c>
    </row>
    <row r="213" spans="2:38" ht="13.8" x14ac:dyDescent="0.25">
      <c r="B213" s="168">
        <v>204</v>
      </c>
      <c r="C213" s="275"/>
      <c r="D213" s="275"/>
      <c r="E213" s="185"/>
      <c r="F213" s="277" t="str">
        <f>IF(D213="","",VLOOKUP(D213,'G-6 Hedgerow Data'!$B$2:$AG$15,2,FALSE))</f>
        <v/>
      </c>
      <c r="G213" s="172" t="str">
        <f>IF(D213="","",VLOOKUP(D213,'G-6 Hedgerow Data'!$B$2:$AG$15,3,FALSE))</f>
        <v/>
      </c>
      <c r="H213" s="173"/>
      <c r="I213" s="172" t="str">
        <f>IFERROR(VLOOKUP(H213,'G-1 All Habitats'!$Z$2:$AA$9,2,FALSE),"")</f>
        <v/>
      </c>
      <c r="J213" s="173"/>
      <c r="K213" s="179" t="str">
        <f>IF(J213="","",IF(VLOOKUP(J213,'G-3 Multipliers'!$L$3:$N$6,2,FALSE)=0,"Spatial Data Missing",VLOOKUP(J213,'G-3 Multipliers'!$L$3:$N$6,2,FALSE)))</f>
        <v/>
      </c>
      <c r="L213" s="260" t="str">
        <f>IF(J213="","",IF(VLOOKUP(J213,'G-3 Multipliers'!$L$3:$N$6,3,FALSE)=0,"Spatial Data Missing",VLOOKUP(J213,'G-3 Multipliers'!$L$3:$N$6,3,FALSE)))</f>
        <v/>
      </c>
      <c r="M213" s="177" t="str">
        <f>IF(D213="","",VLOOKUP(D213,'G-6 Hedgerow Data'!$B$1:$AH$15,33,FALSE))</f>
        <v/>
      </c>
      <c r="N213" s="207" t="str">
        <f t="shared" si="23"/>
        <v/>
      </c>
      <c r="O213" s="44"/>
      <c r="P213" s="186"/>
      <c r="Q213" s="275"/>
      <c r="R213" s="289" t="str">
        <f t="shared" si="24"/>
        <v/>
      </c>
      <c r="S213" s="289" t="str">
        <f t="shared" si="25"/>
        <v/>
      </c>
      <c r="T213" s="289" t="str">
        <f t="shared" si="26"/>
        <v/>
      </c>
      <c r="U213" s="290" t="str">
        <f t="shared" si="27"/>
        <v/>
      </c>
      <c r="V213" s="182"/>
      <c r="W213" s="183"/>
      <c r="AE213" s="188" t="str">
        <f t="shared" si="21"/>
        <v/>
      </c>
      <c r="AF213" s="188" t="str">
        <f t="shared" si="22"/>
        <v/>
      </c>
      <c r="AH213" s="188">
        <v>204</v>
      </c>
      <c r="AJ213" s="188" t="str">
        <f t="array" ref="AJ213">IFERROR(INDEX($AH$10:$AH$258, MATCH(0, IF(TRUE=$AE$10:$AE$258, COUNTIF($AJ$9:$AJ212, $AH$10:$AH$258), ""), 0)),"")</f>
        <v/>
      </c>
      <c r="AK213" s="188" t="str">
        <f t="array" ref="AK213">IFERROR(INDEX($AH$10:$AH$258, MATCH(0, IF(TRUE=$AF$10:$AF$258, COUNTIF($AK$9:$AK212, $AH$10:$AH$258), ""), 0)),"")</f>
        <v/>
      </c>
      <c r="AL213" s="35" t="str">
        <f>IFERROR(INDEX('G-6 Hedgerow Data'!$BJ$3:$BJ$15,MATCH(D213,'G-6 Hedgerow Data'!$B$3:$B$15,0)),"")</f>
        <v/>
      </c>
    </row>
    <row r="214" spans="2:38" ht="13.8" x14ac:dyDescent="0.25">
      <c r="B214" s="168">
        <v>205</v>
      </c>
      <c r="C214" s="275"/>
      <c r="D214" s="275"/>
      <c r="E214" s="185"/>
      <c r="F214" s="277" t="str">
        <f>IF(D214="","",VLOOKUP(D214,'G-6 Hedgerow Data'!$B$2:$AG$15,2,FALSE))</f>
        <v/>
      </c>
      <c r="G214" s="172" t="str">
        <f>IF(D214="","",VLOOKUP(D214,'G-6 Hedgerow Data'!$B$2:$AG$15,3,FALSE))</f>
        <v/>
      </c>
      <c r="H214" s="173"/>
      <c r="I214" s="172" t="str">
        <f>IFERROR(VLOOKUP(H214,'G-1 All Habitats'!$Z$2:$AA$9,2,FALSE),"")</f>
        <v/>
      </c>
      <c r="J214" s="173"/>
      <c r="K214" s="179" t="str">
        <f>IF(J214="","",IF(VLOOKUP(J214,'G-3 Multipliers'!$L$3:$N$6,2,FALSE)=0,"Spatial Data Missing",VLOOKUP(J214,'G-3 Multipliers'!$L$3:$N$6,2,FALSE)))</f>
        <v/>
      </c>
      <c r="L214" s="260" t="str">
        <f>IF(J214="","",IF(VLOOKUP(J214,'G-3 Multipliers'!$L$3:$N$6,3,FALSE)=0,"Spatial Data Missing",VLOOKUP(J214,'G-3 Multipliers'!$L$3:$N$6,3,FALSE)))</f>
        <v/>
      </c>
      <c r="M214" s="177" t="str">
        <f>IF(D214="","",VLOOKUP(D214,'G-6 Hedgerow Data'!$B$1:$AH$15,33,FALSE))</f>
        <v/>
      </c>
      <c r="N214" s="207" t="str">
        <f t="shared" si="23"/>
        <v/>
      </c>
      <c r="O214" s="44"/>
      <c r="P214" s="186"/>
      <c r="Q214" s="275"/>
      <c r="R214" s="289" t="str">
        <f t="shared" si="24"/>
        <v/>
      </c>
      <c r="S214" s="289" t="str">
        <f t="shared" si="25"/>
        <v/>
      </c>
      <c r="T214" s="289" t="str">
        <f t="shared" si="26"/>
        <v/>
      </c>
      <c r="U214" s="290" t="str">
        <f t="shared" si="27"/>
        <v/>
      </c>
      <c r="V214" s="182"/>
      <c r="W214" s="183"/>
      <c r="AE214" s="188" t="str">
        <f t="shared" si="21"/>
        <v/>
      </c>
      <c r="AF214" s="188" t="str">
        <f t="shared" si="22"/>
        <v/>
      </c>
      <c r="AH214" s="188">
        <v>205</v>
      </c>
      <c r="AJ214" s="188" t="str">
        <f t="array" ref="AJ214">IFERROR(INDEX($AH$10:$AH$258, MATCH(0, IF(TRUE=$AE$10:$AE$258, COUNTIF($AJ$9:$AJ213, $AH$10:$AH$258), ""), 0)),"")</f>
        <v/>
      </c>
      <c r="AK214" s="188" t="str">
        <f t="array" ref="AK214">IFERROR(INDEX($AH$10:$AH$258, MATCH(0, IF(TRUE=$AF$10:$AF$258, COUNTIF($AK$9:$AK213, $AH$10:$AH$258), ""), 0)),"")</f>
        <v/>
      </c>
      <c r="AL214" s="35" t="str">
        <f>IFERROR(INDEX('G-6 Hedgerow Data'!$BJ$3:$BJ$15,MATCH(D214,'G-6 Hedgerow Data'!$B$3:$B$15,0)),"")</f>
        <v/>
      </c>
    </row>
    <row r="215" spans="2:38" ht="13.8" x14ac:dyDescent="0.25">
      <c r="B215" s="168">
        <v>206</v>
      </c>
      <c r="C215" s="275"/>
      <c r="D215" s="275"/>
      <c r="E215" s="185"/>
      <c r="F215" s="277" t="str">
        <f>IF(D215="","",VLOOKUP(D215,'G-6 Hedgerow Data'!$B$2:$AG$15,2,FALSE))</f>
        <v/>
      </c>
      <c r="G215" s="172" t="str">
        <f>IF(D215="","",VLOOKUP(D215,'G-6 Hedgerow Data'!$B$2:$AG$15,3,FALSE))</f>
        <v/>
      </c>
      <c r="H215" s="173"/>
      <c r="I215" s="172" t="str">
        <f>IFERROR(VLOOKUP(H215,'G-1 All Habitats'!$Z$2:$AA$9,2,FALSE),"")</f>
        <v/>
      </c>
      <c r="J215" s="173"/>
      <c r="K215" s="179" t="str">
        <f>IF(J215="","",IF(VLOOKUP(J215,'G-3 Multipliers'!$L$3:$N$6,2,FALSE)=0,"Spatial Data Missing",VLOOKUP(J215,'G-3 Multipliers'!$L$3:$N$6,2,FALSE)))</f>
        <v/>
      </c>
      <c r="L215" s="260" t="str">
        <f>IF(J215="","",IF(VLOOKUP(J215,'G-3 Multipliers'!$L$3:$N$6,3,FALSE)=0,"Spatial Data Missing",VLOOKUP(J215,'G-3 Multipliers'!$L$3:$N$6,3,FALSE)))</f>
        <v/>
      </c>
      <c r="M215" s="177" t="str">
        <f>IF(D215="","",VLOOKUP(D215,'G-6 Hedgerow Data'!$B$1:$AH$15,33,FALSE))</f>
        <v/>
      </c>
      <c r="N215" s="207" t="str">
        <f t="shared" si="23"/>
        <v/>
      </c>
      <c r="O215" s="44"/>
      <c r="P215" s="186"/>
      <c r="Q215" s="275"/>
      <c r="R215" s="289" t="str">
        <f t="shared" si="24"/>
        <v/>
      </c>
      <c r="S215" s="289" t="str">
        <f t="shared" si="25"/>
        <v/>
      </c>
      <c r="T215" s="289" t="str">
        <f t="shared" si="26"/>
        <v/>
      </c>
      <c r="U215" s="290" t="str">
        <f t="shared" si="27"/>
        <v/>
      </c>
      <c r="V215" s="182"/>
      <c r="W215" s="183"/>
      <c r="AE215" s="188" t="str">
        <f t="shared" si="21"/>
        <v/>
      </c>
      <c r="AF215" s="188" t="str">
        <f t="shared" si="22"/>
        <v/>
      </c>
      <c r="AH215" s="188">
        <v>206</v>
      </c>
      <c r="AJ215" s="188" t="str">
        <f t="array" ref="AJ215">IFERROR(INDEX($AH$10:$AH$258, MATCH(0, IF(TRUE=$AE$10:$AE$258, COUNTIF($AJ$9:$AJ214, $AH$10:$AH$258), ""), 0)),"")</f>
        <v/>
      </c>
      <c r="AK215" s="188" t="str">
        <f t="array" ref="AK215">IFERROR(INDEX($AH$10:$AH$258, MATCH(0, IF(TRUE=$AF$10:$AF$258, COUNTIF($AK$9:$AK214, $AH$10:$AH$258), ""), 0)),"")</f>
        <v/>
      </c>
      <c r="AL215" s="35" t="str">
        <f>IFERROR(INDEX('G-6 Hedgerow Data'!$BJ$3:$BJ$15,MATCH(D215,'G-6 Hedgerow Data'!$B$3:$B$15,0)),"")</f>
        <v/>
      </c>
    </row>
    <row r="216" spans="2:38" ht="13.8" x14ac:dyDescent="0.25">
      <c r="B216" s="168">
        <v>207</v>
      </c>
      <c r="C216" s="275"/>
      <c r="D216" s="275"/>
      <c r="E216" s="185"/>
      <c r="F216" s="277" t="str">
        <f>IF(D216="","",VLOOKUP(D216,'G-6 Hedgerow Data'!$B$2:$AG$15,2,FALSE))</f>
        <v/>
      </c>
      <c r="G216" s="172" t="str">
        <f>IF(D216="","",VLOOKUP(D216,'G-6 Hedgerow Data'!$B$2:$AG$15,3,FALSE))</f>
        <v/>
      </c>
      <c r="H216" s="173"/>
      <c r="I216" s="172" t="str">
        <f>IFERROR(VLOOKUP(H216,'G-1 All Habitats'!$Z$2:$AA$9,2,FALSE),"")</f>
        <v/>
      </c>
      <c r="J216" s="173"/>
      <c r="K216" s="179" t="str">
        <f>IF(J216="","",IF(VLOOKUP(J216,'G-3 Multipliers'!$L$3:$N$6,2,FALSE)=0,"Spatial Data Missing",VLOOKUP(J216,'G-3 Multipliers'!$L$3:$N$6,2,FALSE)))</f>
        <v/>
      </c>
      <c r="L216" s="260" t="str">
        <f>IF(J216="","",IF(VLOOKUP(J216,'G-3 Multipliers'!$L$3:$N$6,3,FALSE)=0,"Spatial Data Missing",VLOOKUP(J216,'G-3 Multipliers'!$L$3:$N$6,3,FALSE)))</f>
        <v/>
      </c>
      <c r="M216" s="177" t="str">
        <f>IF(D216="","",VLOOKUP(D216,'G-6 Hedgerow Data'!$B$1:$AH$15,33,FALSE))</f>
        <v/>
      </c>
      <c r="N216" s="207" t="str">
        <f t="shared" si="23"/>
        <v/>
      </c>
      <c r="O216" s="44"/>
      <c r="P216" s="186"/>
      <c r="Q216" s="275"/>
      <c r="R216" s="289" t="str">
        <f t="shared" si="24"/>
        <v/>
      </c>
      <c r="S216" s="289" t="str">
        <f t="shared" si="25"/>
        <v/>
      </c>
      <c r="T216" s="289" t="str">
        <f t="shared" si="26"/>
        <v/>
      </c>
      <c r="U216" s="290" t="str">
        <f t="shared" si="27"/>
        <v/>
      </c>
      <c r="V216" s="182"/>
      <c r="W216" s="183"/>
      <c r="AE216" s="188" t="str">
        <f t="shared" si="21"/>
        <v/>
      </c>
      <c r="AF216" s="188" t="str">
        <f t="shared" si="22"/>
        <v/>
      </c>
      <c r="AH216" s="188">
        <v>207</v>
      </c>
      <c r="AJ216" s="188" t="str">
        <f t="array" ref="AJ216">IFERROR(INDEX($AH$10:$AH$258, MATCH(0, IF(TRUE=$AE$10:$AE$258, COUNTIF($AJ$9:$AJ215, $AH$10:$AH$258), ""), 0)),"")</f>
        <v/>
      </c>
      <c r="AK216" s="188" t="str">
        <f t="array" ref="AK216">IFERROR(INDEX($AH$10:$AH$258, MATCH(0, IF(TRUE=$AF$10:$AF$258, COUNTIF($AK$9:$AK215, $AH$10:$AH$258), ""), 0)),"")</f>
        <v/>
      </c>
      <c r="AL216" s="35" t="str">
        <f>IFERROR(INDEX('G-6 Hedgerow Data'!$BJ$3:$BJ$15,MATCH(D216,'G-6 Hedgerow Data'!$B$3:$B$15,0)),"")</f>
        <v/>
      </c>
    </row>
    <row r="217" spans="2:38" ht="13.8" x14ac:dyDescent="0.25">
      <c r="B217" s="168">
        <v>208</v>
      </c>
      <c r="C217" s="275"/>
      <c r="D217" s="275"/>
      <c r="E217" s="185"/>
      <c r="F217" s="277" t="str">
        <f>IF(D217="","",VLOOKUP(D217,'G-6 Hedgerow Data'!$B$2:$AG$15,2,FALSE))</f>
        <v/>
      </c>
      <c r="G217" s="172" t="str">
        <f>IF(D217="","",VLOOKUP(D217,'G-6 Hedgerow Data'!$B$2:$AG$15,3,FALSE))</f>
        <v/>
      </c>
      <c r="H217" s="173"/>
      <c r="I217" s="172" t="str">
        <f>IFERROR(VLOOKUP(H217,'G-1 All Habitats'!$Z$2:$AA$9,2,FALSE),"")</f>
        <v/>
      </c>
      <c r="J217" s="173"/>
      <c r="K217" s="179" t="str">
        <f>IF(J217="","",IF(VLOOKUP(J217,'G-3 Multipliers'!$L$3:$N$6,2,FALSE)=0,"Spatial Data Missing",VLOOKUP(J217,'G-3 Multipliers'!$L$3:$N$6,2,FALSE)))</f>
        <v/>
      </c>
      <c r="L217" s="260" t="str">
        <f>IF(J217="","",IF(VLOOKUP(J217,'G-3 Multipliers'!$L$3:$N$6,3,FALSE)=0,"Spatial Data Missing",VLOOKUP(J217,'G-3 Multipliers'!$L$3:$N$6,3,FALSE)))</f>
        <v/>
      </c>
      <c r="M217" s="177" t="str">
        <f>IF(D217="","",VLOOKUP(D217,'G-6 Hedgerow Data'!$B$1:$AH$15,33,FALSE))</f>
        <v/>
      </c>
      <c r="N217" s="207" t="str">
        <f t="shared" si="23"/>
        <v/>
      </c>
      <c r="O217" s="44"/>
      <c r="P217" s="186"/>
      <c r="Q217" s="275"/>
      <c r="R217" s="289" t="str">
        <f t="shared" si="24"/>
        <v/>
      </c>
      <c r="S217" s="289" t="str">
        <f t="shared" si="25"/>
        <v/>
      </c>
      <c r="T217" s="289" t="str">
        <f t="shared" si="26"/>
        <v/>
      </c>
      <c r="U217" s="290" t="str">
        <f t="shared" si="27"/>
        <v/>
      </c>
      <c r="V217" s="182"/>
      <c r="W217" s="183"/>
      <c r="AE217" s="188" t="str">
        <f t="shared" si="21"/>
        <v/>
      </c>
      <c r="AF217" s="188" t="str">
        <f t="shared" si="22"/>
        <v/>
      </c>
      <c r="AH217" s="188">
        <v>208</v>
      </c>
      <c r="AJ217" s="188" t="str">
        <f t="array" ref="AJ217">IFERROR(INDEX($AH$10:$AH$258, MATCH(0, IF(TRUE=$AE$10:$AE$258, COUNTIF($AJ$9:$AJ216, $AH$10:$AH$258), ""), 0)),"")</f>
        <v/>
      </c>
      <c r="AK217" s="188" t="str">
        <f t="array" ref="AK217">IFERROR(INDEX($AH$10:$AH$258, MATCH(0, IF(TRUE=$AF$10:$AF$258, COUNTIF($AK$9:$AK216, $AH$10:$AH$258), ""), 0)),"")</f>
        <v/>
      </c>
      <c r="AL217" s="35" t="str">
        <f>IFERROR(INDEX('G-6 Hedgerow Data'!$BJ$3:$BJ$15,MATCH(D217,'G-6 Hedgerow Data'!$B$3:$B$15,0)),"")</f>
        <v/>
      </c>
    </row>
    <row r="218" spans="2:38" ht="13.8" x14ac:dyDescent="0.25">
      <c r="B218" s="168">
        <v>209</v>
      </c>
      <c r="C218" s="275"/>
      <c r="D218" s="275"/>
      <c r="E218" s="185"/>
      <c r="F218" s="277" t="str">
        <f>IF(D218="","",VLOOKUP(D218,'G-6 Hedgerow Data'!$B$2:$AG$15,2,FALSE))</f>
        <v/>
      </c>
      <c r="G218" s="172" t="str">
        <f>IF(D218="","",VLOOKUP(D218,'G-6 Hedgerow Data'!$B$2:$AG$15,3,FALSE))</f>
        <v/>
      </c>
      <c r="H218" s="173"/>
      <c r="I218" s="172" t="str">
        <f>IFERROR(VLOOKUP(H218,'G-1 All Habitats'!$Z$2:$AA$9,2,FALSE),"")</f>
        <v/>
      </c>
      <c r="J218" s="173"/>
      <c r="K218" s="179" t="str">
        <f>IF(J218="","",IF(VLOOKUP(J218,'G-3 Multipliers'!$L$3:$N$6,2,FALSE)=0,"Spatial Data Missing",VLOOKUP(J218,'G-3 Multipliers'!$L$3:$N$6,2,FALSE)))</f>
        <v/>
      </c>
      <c r="L218" s="260" t="str">
        <f>IF(J218="","",IF(VLOOKUP(J218,'G-3 Multipliers'!$L$3:$N$6,3,FALSE)=0,"Spatial Data Missing",VLOOKUP(J218,'G-3 Multipliers'!$L$3:$N$6,3,FALSE)))</f>
        <v/>
      </c>
      <c r="M218" s="177" t="str">
        <f>IF(D218="","",VLOOKUP(D218,'G-6 Hedgerow Data'!$B$1:$AH$15,33,FALSE))</f>
        <v/>
      </c>
      <c r="N218" s="207" t="str">
        <f t="shared" si="23"/>
        <v/>
      </c>
      <c r="O218" s="44"/>
      <c r="P218" s="186"/>
      <c r="Q218" s="275"/>
      <c r="R218" s="289" t="str">
        <f t="shared" si="24"/>
        <v/>
      </c>
      <c r="S218" s="289" t="str">
        <f t="shared" si="25"/>
        <v/>
      </c>
      <c r="T218" s="289" t="str">
        <f t="shared" si="26"/>
        <v/>
      </c>
      <c r="U218" s="290" t="str">
        <f t="shared" si="27"/>
        <v/>
      </c>
      <c r="V218" s="182"/>
      <c r="W218" s="183"/>
      <c r="AE218" s="188" t="str">
        <f t="shared" si="21"/>
        <v/>
      </c>
      <c r="AF218" s="188" t="str">
        <f t="shared" si="22"/>
        <v/>
      </c>
      <c r="AH218" s="188">
        <v>209</v>
      </c>
      <c r="AJ218" s="188" t="str">
        <f t="array" ref="AJ218">IFERROR(INDEX($AH$10:$AH$258, MATCH(0, IF(TRUE=$AE$10:$AE$258, COUNTIF($AJ$9:$AJ217, $AH$10:$AH$258), ""), 0)),"")</f>
        <v/>
      </c>
      <c r="AK218" s="188" t="str">
        <f t="array" ref="AK218">IFERROR(INDEX($AH$10:$AH$258, MATCH(0, IF(TRUE=$AF$10:$AF$258, COUNTIF($AK$9:$AK217, $AH$10:$AH$258), ""), 0)),"")</f>
        <v/>
      </c>
      <c r="AL218" s="35" t="str">
        <f>IFERROR(INDEX('G-6 Hedgerow Data'!$BJ$3:$BJ$15,MATCH(D218,'G-6 Hedgerow Data'!$B$3:$B$15,0)),"")</f>
        <v/>
      </c>
    </row>
    <row r="219" spans="2:38" ht="13.8" x14ac:dyDescent="0.25">
      <c r="B219" s="168">
        <v>210</v>
      </c>
      <c r="C219" s="275"/>
      <c r="D219" s="275"/>
      <c r="E219" s="185"/>
      <c r="F219" s="277" t="str">
        <f>IF(D219="","",VLOOKUP(D219,'G-6 Hedgerow Data'!$B$2:$AG$15,2,FALSE))</f>
        <v/>
      </c>
      <c r="G219" s="172" t="str">
        <f>IF(D219="","",VLOOKUP(D219,'G-6 Hedgerow Data'!$B$2:$AG$15,3,FALSE))</f>
        <v/>
      </c>
      <c r="H219" s="173"/>
      <c r="I219" s="172" t="str">
        <f>IFERROR(VLOOKUP(H219,'G-1 All Habitats'!$Z$2:$AA$9,2,FALSE),"")</f>
        <v/>
      </c>
      <c r="J219" s="173"/>
      <c r="K219" s="179" t="str">
        <f>IF(J219="","",IF(VLOOKUP(J219,'G-3 Multipliers'!$L$3:$N$6,2,FALSE)=0,"Spatial Data Missing",VLOOKUP(J219,'G-3 Multipliers'!$L$3:$N$6,2,FALSE)))</f>
        <v/>
      </c>
      <c r="L219" s="260" t="str">
        <f>IF(J219="","",IF(VLOOKUP(J219,'G-3 Multipliers'!$L$3:$N$6,3,FALSE)=0,"Spatial Data Missing",VLOOKUP(J219,'G-3 Multipliers'!$L$3:$N$6,3,FALSE)))</f>
        <v/>
      </c>
      <c r="M219" s="177" t="str">
        <f>IF(D219="","",VLOOKUP(D219,'G-6 Hedgerow Data'!$B$1:$AH$15,33,FALSE))</f>
        <v/>
      </c>
      <c r="N219" s="207" t="str">
        <f t="shared" si="23"/>
        <v/>
      </c>
      <c r="O219" s="44"/>
      <c r="P219" s="186"/>
      <c r="Q219" s="275"/>
      <c r="R219" s="289" t="str">
        <f t="shared" si="24"/>
        <v/>
      </c>
      <c r="S219" s="289" t="str">
        <f t="shared" si="25"/>
        <v/>
      </c>
      <c r="T219" s="289" t="str">
        <f t="shared" si="26"/>
        <v/>
      </c>
      <c r="U219" s="290" t="str">
        <f t="shared" si="27"/>
        <v/>
      </c>
      <c r="V219" s="182"/>
      <c r="W219" s="183"/>
      <c r="AE219" s="188" t="str">
        <f t="shared" si="21"/>
        <v/>
      </c>
      <c r="AF219" s="188" t="str">
        <f t="shared" si="22"/>
        <v/>
      </c>
      <c r="AH219" s="188">
        <v>210</v>
      </c>
      <c r="AJ219" s="188" t="str">
        <f t="array" ref="AJ219">IFERROR(INDEX($AH$10:$AH$258, MATCH(0, IF(TRUE=$AE$10:$AE$258, COUNTIF($AJ$9:$AJ218, $AH$10:$AH$258), ""), 0)),"")</f>
        <v/>
      </c>
      <c r="AK219" s="188" t="str">
        <f t="array" ref="AK219">IFERROR(INDEX($AH$10:$AH$258, MATCH(0, IF(TRUE=$AF$10:$AF$258, COUNTIF($AK$9:$AK218, $AH$10:$AH$258), ""), 0)),"")</f>
        <v/>
      </c>
      <c r="AL219" s="35" t="str">
        <f>IFERROR(INDEX('G-6 Hedgerow Data'!$BJ$3:$BJ$15,MATCH(D219,'G-6 Hedgerow Data'!$B$3:$B$15,0)),"")</f>
        <v/>
      </c>
    </row>
    <row r="220" spans="2:38" ht="13.8" x14ac:dyDescent="0.25">
      <c r="B220" s="168">
        <v>211</v>
      </c>
      <c r="C220" s="275"/>
      <c r="D220" s="275"/>
      <c r="E220" s="185"/>
      <c r="F220" s="277" t="str">
        <f>IF(D220="","",VLOOKUP(D220,'G-6 Hedgerow Data'!$B$2:$AG$15,2,FALSE))</f>
        <v/>
      </c>
      <c r="G220" s="172" t="str">
        <f>IF(D220="","",VLOOKUP(D220,'G-6 Hedgerow Data'!$B$2:$AG$15,3,FALSE))</f>
        <v/>
      </c>
      <c r="H220" s="173"/>
      <c r="I220" s="172" t="str">
        <f>IFERROR(VLOOKUP(H220,'G-1 All Habitats'!$Z$2:$AA$9,2,FALSE),"")</f>
        <v/>
      </c>
      <c r="J220" s="173"/>
      <c r="K220" s="179" t="str">
        <f>IF(J220="","",IF(VLOOKUP(J220,'G-3 Multipliers'!$L$3:$N$6,2,FALSE)=0,"Spatial Data Missing",VLOOKUP(J220,'G-3 Multipliers'!$L$3:$N$6,2,FALSE)))</f>
        <v/>
      </c>
      <c r="L220" s="260" t="str">
        <f>IF(J220="","",IF(VLOOKUP(J220,'G-3 Multipliers'!$L$3:$N$6,3,FALSE)=0,"Spatial Data Missing",VLOOKUP(J220,'G-3 Multipliers'!$L$3:$N$6,3,FALSE)))</f>
        <v/>
      </c>
      <c r="M220" s="177" t="str">
        <f>IF(D220="","",VLOOKUP(D220,'G-6 Hedgerow Data'!$B$1:$AH$15,33,FALSE))</f>
        <v/>
      </c>
      <c r="N220" s="207" t="str">
        <f t="shared" si="23"/>
        <v/>
      </c>
      <c r="O220" s="44"/>
      <c r="P220" s="186"/>
      <c r="Q220" s="275"/>
      <c r="R220" s="289" t="str">
        <f t="shared" si="24"/>
        <v/>
      </c>
      <c r="S220" s="289" t="str">
        <f t="shared" si="25"/>
        <v/>
      </c>
      <c r="T220" s="289" t="str">
        <f t="shared" si="26"/>
        <v/>
      </c>
      <c r="U220" s="290" t="str">
        <f t="shared" si="27"/>
        <v/>
      </c>
      <c r="V220" s="182"/>
      <c r="W220" s="183"/>
      <c r="AE220" s="188" t="str">
        <f t="shared" si="21"/>
        <v/>
      </c>
      <c r="AF220" s="188" t="str">
        <f t="shared" si="22"/>
        <v/>
      </c>
      <c r="AH220" s="188">
        <v>211</v>
      </c>
      <c r="AJ220" s="188" t="str">
        <f t="array" ref="AJ220">IFERROR(INDEX($AH$10:$AH$258, MATCH(0, IF(TRUE=$AE$10:$AE$258, COUNTIF($AJ$9:$AJ219, $AH$10:$AH$258), ""), 0)),"")</f>
        <v/>
      </c>
      <c r="AK220" s="188" t="str">
        <f t="array" ref="AK220">IFERROR(INDEX($AH$10:$AH$258, MATCH(0, IF(TRUE=$AF$10:$AF$258, COUNTIF($AK$9:$AK219, $AH$10:$AH$258), ""), 0)),"")</f>
        <v/>
      </c>
      <c r="AL220" s="35" t="str">
        <f>IFERROR(INDEX('G-6 Hedgerow Data'!$BJ$3:$BJ$15,MATCH(D220,'G-6 Hedgerow Data'!$B$3:$B$15,0)),"")</f>
        <v/>
      </c>
    </row>
    <row r="221" spans="2:38" ht="13.8" x14ac:dyDescent="0.25">
      <c r="B221" s="168">
        <v>212</v>
      </c>
      <c r="C221" s="275"/>
      <c r="D221" s="275"/>
      <c r="E221" s="185"/>
      <c r="F221" s="277" t="str">
        <f>IF(D221="","",VLOOKUP(D221,'G-6 Hedgerow Data'!$B$2:$AG$15,2,FALSE))</f>
        <v/>
      </c>
      <c r="G221" s="172" t="str">
        <f>IF(D221="","",VLOOKUP(D221,'G-6 Hedgerow Data'!$B$2:$AG$15,3,FALSE))</f>
        <v/>
      </c>
      <c r="H221" s="173"/>
      <c r="I221" s="172" t="str">
        <f>IFERROR(VLOOKUP(H221,'G-1 All Habitats'!$Z$2:$AA$9,2,FALSE),"")</f>
        <v/>
      </c>
      <c r="J221" s="173"/>
      <c r="K221" s="179" t="str">
        <f>IF(J221="","",IF(VLOOKUP(J221,'G-3 Multipliers'!$L$3:$N$6,2,FALSE)=0,"Spatial Data Missing",VLOOKUP(J221,'G-3 Multipliers'!$L$3:$N$6,2,FALSE)))</f>
        <v/>
      </c>
      <c r="L221" s="260" t="str">
        <f>IF(J221="","",IF(VLOOKUP(J221,'G-3 Multipliers'!$L$3:$N$6,3,FALSE)=0,"Spatial Data Missing",VLOOKUP(J221,'G-3 Multipliers'!$L$3:$N$6,3,FALSE)))</f>
        <v/>
      </c>
      <c r="M221" s="177" t="str">
        <f>IF(D221="","",VLOOKUP(D221,'G-6 Hedgerow Data'!$B$1:$AH$15,33,FALSE))</f>
        <v/>
      </c>
      <c r="N221" s="207" t="str">
        <f t="shared" si="23"/>
        <v/>
      </c>
      <c r="O221" s="44"/>
      <c r="P221" s="186"/>
      <c r="Q221" s="275"/>
      <c r="R221" s="289" t="str">
        <f t="shared" si="24"/>
        <v/>
      </c>
      <c r="S221" s="289" t="str">
        <f t="shared" si="25"/>
        <v/>
      </c>
      <c r="T221" s="289" t="str">
        <f t="shared" si="26"/>
        <v/>
      </c>
      <c r="U221" s="290" t="str">
        <f t="shared" si="27"/>
        <v/>
      </c>
      <c r="V221" s="182"/>
      <c r="W221" s="183"/>
      <c r="AE221" s="188" t="str">
        <f t="shared" si="21"/>
        <v/>
      </c>
      <c r="AF221" s="188" t="str">
        <f t="shared" si="22"/>
        <v/>
      </c>
      <c r="AH221" s="188">
        <v>212</v>
      </c>
      <c r="AJ221" s="188" t="str">
        <f t="array" ref="AJ221">IFERROR(INDEX($AH$10:$AH$258, MATCH(0, IF(TRUE=$AE$10:$AE$258, COUNTIF($AJ$9:$AJ220, $AH$10:$AH$258), ""), 0)),"")</f>
        <v/>
      </c>
      <c r="AK221" s="188" t="str">
        <f t="array" ref="AK221">IFERROR(INDEX($AH$10:$AH$258, MATCH(0, IF(TRUE=$AF$10:$AF$258, COUNTIF($AK$9:$AK220, $AH$10:$AH$258), ""), 0)),"")</f>
        <v/>
      </c>
      <c r="AL221" s="35" t="str">
        <f>IFERROR(INDEX('G-6 Hedgerow Data'!$BJ$3:$BJ$15,MATCH(D221,'G-6 Hedgerow Data'!$B$3:$B$15,0)),"")</f>
        <v/>
      </c>
    </row>
    <row r="222" spans="2:38" ht="13.8" x14ac:dyDescent="0.25">
      <c r="B222" s="168">
        <v>213</v>
      </c>
      <c r="C222" s="275"/>
      <c r="D222" s="275"/>
      <c r="E222" s="185"/>
      <c r="F222" s="277" t="str">
        <f>IF(D222="","",VLOOKUP(D222,'G-6 Hedgerow Data'!$B$2:$AG$15,2,FALSE))</f>
        <v/>
      </c>
      <c r="G222" s="172" t="str">
        <f>IF(D222="","",VLOOKUP(D222,'G-6 Hedgerow Data'!$B$2:$AG$15,3,FALSE))</f>
        <v/>
      </c>
      <c r="H222" s="173"/>
      <c r="I222" s="172" t="str">
        <f>IFERROR(VLOOKUP(H222,'G-1 All Habitats'!$Z$2:$AA$9,2,FALSE),"")</f>
        <v/>
      </c>
      <c r="J222" s="173"/>
      <c r="K222" s="179" t="str">
        <f>IF(J222="","",IF(VLOOKUP(J222,'G-3 Multipliers'!$L$3:$N$6,2,FALSE)=0,"Spatial Data Missing",VLOOKUP(J222,'G-3 Multipliers'!$L$3:$N$6,2,FALSE)))</f>
        <v/>
      </c>
      <c r="L222" s="260" t="str">
        <f>IF(J222="","",IF(VLOOKUP(J222,'G-3 Multipliers'!$L$3:$N$6,3,FALSE)=0,"Spatial Data Missing",VLOOKUP(J222,'G-3 Multipliers'!$L$3:$N$6,3,FALSE)))</f>
        <v/>
      </c>
      <c r="M222" s="177" t="str">
        <f>IF(D222="","",VLOOKUP(D222,'G-6 Hedgerow Data'!$B$1:$AH$15,33,FALSE))</f>
        <v/>
      </c>
      <c r="N222" s="207" t="str">
        <f t="shared" si="23"/>
        <v/>
      </c>
      <c r="O222" s="44"/>
      <c r="P222" s="186"/>
      <c r="Q222" s="275"/>
      <c r="R222" s="289" t="str">
        <f t="shared" si="24"/>
        <v/>
      </c>
      <c r="S222" s="289" t="str">
        <f t="shared" si="25"/>
        <v/>
      </c>
      <c r="T222" s="289" t="str">
        <f t="shared" si="26"/>
        <v/>
      </c>
      <c r="U222" s="290" t="str">
        <f t="shared" si="27"/>
        <v/>
      </c>
      <c r="V222" s="182"/>
      <c r="W222" s="183"/>
      <c r="AE222" s="188" t="str">
        <f t="shared" si="21"/>
        <v/>
      </c>
      <c r="AF222" s="188" t="str">
        <f t="shared" si="22"/>
        <v/>
      </c>
      <c r="AH222" s="188">
        <v>213</v>
      </c>
      <c r="AJ222" s="188" t="str">
        <f t="array" ref="AJ222">IFERROR(INDEX($AH$10:$AH$258, MATCH(0, IF(TRUE=$AE$10:$AE$258, COUNTIF($AJ$9:$AJ221, $AH$10:$AH$258), ""), 0)),"")</f>
        <v/>
      </c>
      <c r="AK222" s="188" t="str">
        <f t="array" ref="AK222">IFERROR(INDEX($AH$10:$AH$258, MATCH(0, IF(TRUE=$AF$10:$AF$258, COUNTIF($AK$9:$AK221, $AH$10:$AH$258), ""), 0)),"")</f>
        <v/>
      </c>
      <c r="AL222" s="35" t="str">
        <f>IFERROR(INDEX('G-6 Hedgerow Data'!$BJ$3:$BJ$15,MATCH(D222,'G-6 Hedgerow Data'!$B$3:$B$15,0)),"")</f>
        <v/>
      </c>
    </row>
    <row r="223" spans="2:38" ht="13.8" x14ac:dyDescent="0.25">
      <c r="B223" s="168">
        <v>214</v>
      </c>
      <c r="C223" s="275"/>
      <c r="D223" s="275"/>
      <c r="E223" s="185"/>
      <c r="F223" s="277" t="str">
        <f>IF(D223="","",VLOOKUP(D223,'G-6 Hedgerow Data'!$B$2:$AG$15,2,FALSE))</f>
        <v/>
      </c>
      <c r="G223" s="172" t="str">
        <f>IF(D223="","",VLOOKUP(D223,'G-6 Hedgerow Data'!$B$2:$AG$15,3,FALSE))</f>
        <v/>
      </c>
      <c r="H223" s="173"/>
      <c r="I223" s="172" t="str">
        <f>IFERROR(VLOOKUP(H223,'G-1 All Habitats'!$Z$2:$AA$9,2,FALSE),"")</f>
        <v/>
      </c>
      <c r="J223" s="173"/>
      <c r="K223" s="179" t="str">
        <f>IF(J223="","",IF(VLOOKUP(J223,'G-3 Multipliers'!$L$3:$N$6,2,FALSE)=0,"Spatial Data Missing",VLOOKUP(J223,'G-3 Multipliers'!$L$3:$N$6,2,FALSE)))</f>
        <v/>
      </c>
      <c r="L223" s="260" t="str">
        <f>IF(J223="","",IF(VLOOKUP(J223,'G-3 Multipliers'!$L$3:$N$6,3,FALSE)=0,"Spatial Data Missing",VLOOKUP(J223,'G-3 Multipliers'!$L$3:$N$6,3,FALSE)))</f>
        <v/>
      </c>
      <c r="M223" s="177" t="str">
        <f>IF(D223="","",VLOOKUP(D223,'G-6 Hedgerow Data'!$B$1:$AH$15,33,FALSE))</f>
        <v/>
      </c>
      <c r="N223" s="207" t="str">
        <f t="shared" si="23"/>
        <v/>
      </c>
      <c r="O223" s="44"/>
      <c r="P223" s="186"/>
      <c r="Q223" s="275"/>
      <c r="R223" s="289" t="str">
        <f t="shared" si="24"/>
        <v/>
      </c>
      <c r="S223" s="289" t="str">
        <f t="shared" si="25"/>
        <v/>
      </c>
      <c r="T223" s="289" t="str">
        <f t="shared" si="26"/>
        <v/>
      </c>
      <c r="U223" s="290" t="str">
        <f t="shared" si="27"/>
        <v/>
      </c>
      <c r="V223" s="182"/>
      <c r="W223" s="183"/>
      <c r="AE223" s="188" t="str">
        <f t="shared" si="21"/>
        <v/>
      </c>
      <c r="AF223" s="188" t="str">
        <f t="shared" si="22"/>
        <v/>
      </c>
      <c r="AH223" s="188">
        <v>214</v>
      </c>
      <c r="AJ223" s="188" t="str">
        <f t="array" ref="AJ223">IFERROR(INDEX($AH$10:$AH$258, MATCH(0, IF(TRUE=$AE$10:$AE$258, COUNTIF($AJ$9:$AJ222, $AH$10:$AH$258), ""), 0)),"")</f>
        <v/>
      </c>
      <c r="AK223" s="188" t="str">
        <f t="array" ref="AK223">IFERROR(INDEX($AH$10:$AH$258, MATCH(0, IF(TRUE=$AF$10:$AF$258, COUNTIF($AK$9:$AK222, $AH$10:$AH$258), ""), 0)),"")</f>
        <v/>
      </c>
      <c r="AL223" s="35" t="str">
        <f>IFERROR(INDEX('G-6 Hedgerow Data'!$BJ$3:$BJ$15,MATCH(D223,'G-6 Hedgerow Data'!$B$3:$B$15,0)),"")</f>
        <v/>
      </c>
    </row>
    <row r="224" spans="2:38" ht="13.8" x14ac:dyDescent="0.25">
      <c r="B224" s="168">
        <v>215</v>
      </c>
      <c r="C224" s="275"/>
      <c r="D224" s="275"/>
      <c r="E224" s="185"/>
      <c r="F224" s="277" t="str">
        <f>IF(D224="","",VLOOKUP(D224,'G-6 Hedgerow Data'!$B$2:$AG$15,2,FALSE))</f>
        <v/>
      </c>
      <c r="G224" s="172" t="str">
        <f>IF(D224="","",VLOOKUP(D224,'G-6 Hedgerow Data'!$B$2:$AG$15,3,FALSE))</f>
        <v/>
      </c>
      <c r="H224" s="173"/>
      <c r="I224" s="172" t="str">
        <f>IFERROR(VLOOKUP(H224,'G-1 All Habitats'!$Z$2:$AA$9,2,FALSE),"")</f>
        <v/>
      </c>
      <c r="J224" s="173"/>
      <c r="K224" s="179" t="str">
        <f>IF(J224="","",IF(VLOOKUP(J224,'G-3 Multipliers'!$L$3:$N$6,2,FALSE)=0,"Spatial Data Missing",VLOOKUP(J224,'G-3 Multipliers'!$L$3:$N$6,2,FALSE)))</f>
        <v/>
      </c>
      <c r="L224" s="260" t="str">
        <f>IF(J224="","",IF(VLOOKUP(J224,'G-3 Multipliers'!$L$3:$N$6,3,FALSE)=0,"Spatial Data Missing",VLOOKUP(J224,'G-3 Multipliers'!$L$3:$N$6,3,FALSE)))</f>
        <v/>
      </c>
      <c r="M224" s="177" t="str">
        <f>IF(D224="","",VLOOKUP(D224,'G-6 Hedgerow Data'!$B$1:$AH$15,33,FALSE))</f>
        <v/>
      </c>
      <c r="N224" s="207" t="str">
        <f t="shared" si="23"/>
        <v/>
      </c>
      <c r="O224" s="44"/>
      <c r="P224" s="186"/>
      <c r="Q224" s="275"/>
      <c r="R224" s="289" t="str">
        <f t="shared" si="24"/>
        <v/>
      </c>
      <c r="S224" s="289" t="str">
        <f t="shared" si="25"/>
        <v/>
      </c>
      <c r="T224" s="289" t="str">
        <f t="shared" si="26"/>
        <v/>
      </c>
      <c r="U224" s="290" t="str">
        <f t="shared" si="27"/>
        <v/>
      </c>
      <c r="V224" s="182"/>
      <c r="W224" s="183"/>
      <c r="AE224" s="188" t="str">
        <f t="shared" si="21"/>
        <v/>
      </c>
      <c r="AF224" s="188" t="str">
        <f t="shared" si="22"/>
        <v/>
      </c>
      <c r="AH224" s="188">
        <v>215</v>
      </c>
      <c r="AJ224" s="188" t="str">
        <f t="array" ref="AJ224">IFERROR(INDEX($AH$10:$AH$258, MATCH(0, IF(TRUE=$AE$10:$AE$258, COUNTIF($AJ$9:$AJ223, $AH$10:$AH$258), ""), 0)),"")</f>
        <v/>
      </c>
      <c r="AK224" s="188" t="str">
        <f t="array" ref="AK224">IFERROR(INDEX($AH$10:$AH$258, MATCH(0, IF(TRUE=$AF$10:$AF$258, COUNTIF($AK$9:$AK223, $AH$10:$AH$258), ""), 0)),"")</f>
        <v/>
      </c>
      <c r="AL224" s="35" t="str">
        <f>IFERROR(INDEX('G-6 Hedgerow Data'!$BJ$3:$BJ$15,MATCH(D224,'G-6 Hedgerow Data'!$B$3:$B$15,0)),"")</f>
        <v/>
      </c>
    </row>
    <row r="225" spans="2:38" ht="13.8" x14ac:dyDescent="0.25">
      <c r="B225" s="168">
        <v>216</v>
      </c>
      <c r="C225" s="275"/>
      <c r="D225" s="275"/>
      <c r="E225" s="185"/>
      <c r="F225" s="277" t="str">
        <f>IF(D225="","",VLOOKUP(D225,'G-6 Hedgerow Data'!$B$2:$AG$15,2,FALSE))</f>
        <v/>
      </c>
      <c r="G225" s="172" t="str">
        <f>IF(D225="","",VLOOKUP(D225,'G-6 Hedgerow Data'!$B$2:$AG$15,3,FALSE))</f>
        <v/>
      </c>
      <c r="H225" s="173"/>
      <c r="I225" s="172" t="str">
        <f>IFERROR(VLOOKUP(H225,'G-1 All Habitats'!$Z$2:$AA$9,2,FALSE),"")</f>
        <v/>
      </c>
      <c r="J225" s="173"/>
      <c r="K225" s="179" t="str">
        <f>IF(J225="","",IF(VLOOKUP(J225,'G-3 Multipliers'!$L$3:$N$6,2,FALSE)=0,"Spatial Data Missing",VLOOKUP(J225,'G-3 Multipliers'!$L$3:$N$6,2,FALSE)))</f>
        <v/>
      </c>
      <c r="L225" s="260" t="str">
        <f>IF(J225="","",IF(VLOOKUP(J225,'G-3 Multipliers'!$L$3:$N$6,3,FALSE)=0,"Spatial Data Missing",VLOOKUP(J225,'G-3 Multipliers'!$L$3:$N$6,3,FALSE)))</f>
        <v/>
      </c>
      <c r="M225" s="177" t="str">
        <f>IF(D225="","",VLOOKUP(D225,'G-6 Hedgerow Data'!$B$1:$AH$15,33,FALSE))</f>
        <v/>
      </c>
      <c r="N225" s="207" t="str">
        <f t="shared" si="23"/>
        <v/>
      </c>
      <c r="O225" s="44"/>
      <c r="P225" s="186"/>
      <c r="Q225" s="275"/>
      <c r="R225" s="289" t="str">
        <f t="shared" si="24"/>
        <v/>
      </c>
      <c r="S225" s="289" t="str">
        <f t="shared" si="25"/>
        <v/>
      </c>
      <c r="T225" s="289" t="str">
        <f t="shared" si="26"/>
        <v/>
      </c>
      <c r="U225" s="290" t="str">
        <f t="shared" si="27"/>
        <v/>
      </c>
      <c r="V225" s="182"/>
      <c r="W225" s="183"/>
      <c r="AE225" s="188" t="str">
        <f t="shared" si="21"/>
        <v/>
      </c>
      <c r="AF225" s="188" t="str">
        <f t="shared" si="22"/>
        <v/>
      </c>
      <c r="AH225" s="188">
        <v>216</v>
      </c>
      <c r="AJ225" s="188" t="str">
        <f t="array" ref="AJ225">IFERROR(INDEX($AH$10:$AH$258, MATCH(0, IF(TRUE=$AE$10:$AE$258, COUNTIF($AJ$9:$AJ224, $AH$10:$AH$258), ""), 0)),"")</f>
        <v/>
      </c>
      <c r="AK225" s="188" t="str">
        <f t="array" ref="AK225">IFERROR(INDEX($AH$10:$AH$258, MATCH(0, IF(TRUE=$AF$10:$AF$258, COUNTIF($AK$9:$AK224, $AH$10:$AH$258), ""), 0)),"")</f>
        <v/>
      </c>
      <c r="AL225" s="35" t="str">
        <f>IFERROR(INDEX('G-6 Hedgerow Data'!$BJ$3:$BJ$15,MATCH(D225,'G-6 Hedgerow Data'!$B$3:$B$15,0)),"")</f>
        <v/>
      </c>
    </row>
    <row r="226" spans="2:38" ht="13.8" x14ac:dyDescent="0.25">
      <c r="B226" s="168">
        <v>217</v>
      </c>
      <c r="C226" s="275"/>
      <c r="D226" s="275"/>
      <c r="E226" s="185"/>
      <c r="F226" s="277" t="str">
        <f>IF(D226="","",VLOOKUP(D226,'G-6 Hedgerow Data'!$B$2:$AG$15,2,FALSE))</f>
        <v/>
      </c>
      <c r="G226" s="172" t="str">
        <f>IF(D226="","",VLOOKUP(D226,'G-6 Hedgerow Data'!$B$2:$AG$15,3,FALSE))</f>
        <v/>
      </c>
      <c r="H226" s="173"/>
      <c r="I226" s="172" t="str">
        <f>IFERROR(VLOOKUP(H226,'G-1 All Habitats'!$Z$2:$AA$9,2,FALSE),"")</f>
        <v/>
      </c>
      <c r="J226" s="173"/>
      <c r="K226" s="179" t="str">
        <f>IF(J226="","",IF(VLOOKUP(J226,'G-3 Multipliers'!$L$3:$N$6,2,FALSE)=0,"Spatial Data Missing",VLOOKUP(J226,'G-3 Multipliers'!$L$3:$N$6,2,FALSE)))</f>
        <v/>
      </c>
      <c r="L226" s="260" t="str">
        <f>IF(J226="","",IF(VLOOKUP(J226,'G-3 Multipliers'!$L$3:$N$6,3,FALSE)=0,"Spatial Data Missing",VLOOKUP(J226,'G-3 Multipliers'!$L$3:$N$6,3,FALSE)))</f>
        <v/>
      </c>
      <c r="M226" s="177" t="str">
        <f>IF(D226="","",VLOOKUP(D226,'G-6 Hedgerow Data'!$B$1:$AH$15,33,FALSE))</f>
        <v/>
      </c>
      <c r="N226" s="207" t="str">
        <f t="shared" si="23"/>
        <v/>
      </c>
      <c r="O226" s="44"/>
      <c r="P226" s="186"/>
      <c r="Q226" s="275"/>
      <c r="R226" s="289" t="str">
        <f t="shared" si="24"/>
        <v/>
      </c>
      <c r="S226" s="289" t="str">
        <f t="shared" si="25"/>
        <v/>
      </c>
      <c r="T226" s="289" t="str">
        <f t="shared" si="26"/>
        <v/>
      </c>
      <c r="U226" s="290" t="str">
        <f t="shared" si="27"/>
        <v/>
      </c>
      <c r="V226" s="182"/>
      <c r="W226" s="183"/>
      <c r="AE226" s="188" t="str">
        <f t="shared" si="21"/>
        <v/>
      </c>
      <c r="AF226" s="188" t="str">
        <f t="shared" si="22"/>
        <v/>
      </c>
      <c r="AH226" s="188">
        <v>217</v>
      </c>
      <c r="AJ226" s="188" t="str">
        <f t="array" ref="AJ226">IFERROR(INDEX($AH$10:$AH$258, MATCH(0, IF(TRUE=$AE$10:$AE$258, COUNTIF($AJ$9:$AJ225, $AH$10:$AH$258), ""), 0)),"")</f>
        <v/>
      </c>
      <c r="AK226" s="188" t="str">
        <f t="array" ref="AK226">IFERROR(INDEX($AH$10:$AH$258, MATCH(0, IF(TRUE=$AF$10:$AF$258, COUNTIF($AK$9:$AK225, $AH$10:$AH$258), ""), 0)),"")</f>
        <v/>
      </c>
      <c r="AL226" s="35" t="str">
        <f>IFERROR(INDEX('G-6 Hedgerow Data'!$BJ$3:$BJ$15,MATCH(D226,'G-6 Hedgerow Data'!$B$3:$B$15,0)),"")</f>
        <v/>
      </c>
    </row>
    <row r="227" spans="2:38" ht="13.8" x14ac:dyDescent="0.25">
      <c r="B227" s="168">
        <v>218</v>
      </c>
      <c r="C227" s="275"/>
      <c r="D227" s="275"/>
      <c r="E227" s="185"/>
      <c r="F227" s="277" t="str">
        <f>IF(D227="","",VLOOKUP(D227,'G-6 Hedgerow Data'!$B$2:$AG$15,2,FALSE))</f>
        <v/>
      </c>
      <c r="G227" s="172" t="str">
        <f>IF(D227="","",VLOOKUP(D227,'G-6 Hedgerow Data'!$B$2:$AG$15,3,FALSE))</f>
        <v/>
      </c>
      <c r="H227" s="173"/>
      <c r="I227" s="172" t="str">
        <f>IFERROR(VLOOKUP(H227,'G-1 All Habitats'!$Z$2:$AA$9,2,FALSE),"")</f>
        <v/>
      </c>
      <c r="J227" s="173"/>
      <c r="K227" s="179" t="str">
        <f>IF(J227="","",IF(VLOOKUP(J227,'G-3 Multipliers'!$L$3:$N$6,2,FALSE)=0,"Spatial Data Missing",VLOOKUP(J227,'G-3 Multipliers'!$L$3:$N$6,2,FALSE)))</f>
        <v/>
      </c>
      <c r="L227" s="260" t="str">
        <f>IF(J227="","",IF(VLOOKUP(J227,'G-3 Multipliers'!$L$3:$N$6,3,FALSE)=0,"Spatial Data Missing",VLOOKUP(J227,'G-3 Multipliers'!$L$3:$N$6,3,FALSE)))</f>
        <v/>
      </c>
      <c r="M227" s="177" t="str">
        <f>IF(D227="","",VLOOKUP(D227,'G-6 Hedgerow Data'!$B$1:$AH$15,33,FALSE))</f>
        <v/>
      </c>
      <c r="N227" s="207" t="str">
        <f t="shared" si="23"/>
        <v/>
      </c>
      <c r="O227" s="44"/>
      <c r="P227" s="186"/>
      <c r="Q227" s="275"/>
      <c r="R227" s="289" t="str">
        <f t="shared" si="24"/>
        <v/>
      </c>
      <c r="S227" s="289" t="str">
        <f t="shared" si="25"/>
        <v/>
      </c>
      <c r="T227" s="289" t="str">
        <f t="shared" si="26"/>
        <v/>
      </c>
      <c r="U227" s="290" t="str">
        <f t="shared" si="27"/>
        <v/>
      </c>
      <c r="V227" s="182"/>
      <c r="W227" s="183"/>
      <c r="AE227" s="188" t="str">
        <f t="shared" si="21"/>
        <v/>
      </c>
      <c r="AF227" s="188" t="str">
        <f t="shared" si="22"/>
        <v/>
      </c>
      <c r="AH227" s="188">
        <v>218</v>
      </c>
      <c r="AJ227" s="188" t="str">
        <f t="array" ref="AJ227">IFERROR(INDEX($AH$10:$AH$258, MATCH(0, IF(TRUE=$AE$10:$AE$258, COUNTIF($AJ$9:$AJ226, $AH$10:$AH$258), ""), 0)),"")</f>
        <v/>
      </c>
      <c r="AK227" s="188" t="str">
        <f t="array" ref="AK227">IFERROR(INDEX($AH$10:$AH$258, MATCH(0, IF(TRUE=$AF$10:$AF$258, COUNTIF($AK$9:$AK226, $AH$10:$AH$258), ""), 0)),"")</f>
        <v/>
      </c>
      <c r="AL227" s="35" t="str">
        <f>IFERROR(INDEX('G-6 Hedgerow Data'!$BJ$3:$BJ$15,MATCH(D227,'G-6 Hedgerow Data'!$B$3:$B$15,0)),"")</f>
        <v/>
      </c>
    </row>
    <row r="228" spans="2:38" ht="13.8" x14ac:dyDescent="0.25">
      <c r="B228" s="168">
        <v>219</v>
      </c>
      <c r="C228" s="275"/>
      <c r="D228" s="275"/>
      <c r="E228" s="185"/>
      <c r="F228" s="277" t="str">
        <f>IF(D228="","",VLOOKUP(D228,'G-6 Hedgerow Data'!$B$2:$AG$15,2,FALSE))</f>
        <v/>
      </c>
      <c r="G228" s="172" t="str">
        <f>IF(D228="","",VLOOKUP(D228,'G-6 Hedgerow Data'!$B$2:$AG$15,3,FALSE))</f>
        <v/>
      </c>
      <c r="H228" s="173"/>
      <c r="I228" s="172" t="str">
        <f>IFERROR(VLOOKUP(H228,'G-1 All Habitats'!$Z$2:$AA$9,2,FALSE),"")</f>
        <v/>
      </c>
      <c r="J228" s="173"/>
      <c r="K228" s="179" t="str">
        <f>IF(J228="","",IF(VLOOKUP(J228,'G-3 Multipliers'!$L$3:$N$6,2,FALSE)=0,"Spatial Data Missing",VLOOKUP(J228,'G-3 Multipliers'!$L$3:$N$6,2,FALSE)))</f>
        <v/>
      </c>
      <c r="L228" s="260" t="str">
        <f>IF(J228="","",IF(VLOOKUP(J228,'G-3 Multipliers'!$L$3:$N$6,3,FALSE)=0,"Spatial Data Missing",VLOOKUP(J228,'G-3 Multipliers'!$L$3:$N$6,3,FALSE)))</f>
        <v/>
      </c>
      <c r="M228" s="177" t="str">
        <f>IF(D228="","",VLOOKUP(D228,'G-6 Hedgerow Data'!$B$1:$AH$15,33,FALSE))</f>
        <v/>
      </c>
      <c r="N228" s="207" t="str">
        <f t="shared" si="23"/>
        <v/>
      </c>
      <c r="O228" s="44"/>
      <c r="P228" s="186"/>
      <c r="Q228" s="275"/>
      <c r="R228" s="289" t="str">
        <f t="shared" si="24"/>
        <v/>
      </c>
      <c r="S228" s="289" t="str">
        <f t="shared" si="25"/>
        <v/>
      </c>
      <c r="T228" s="289" t="str">
        <f t="shared" si="26"/>
        <v/>
      </c>
      <c r="U228" s="290" t="str">
        <f t="shared" si="27"/>
        <v/>
      </c>
      <c r="V228" s="182"/>
      <c r="W228" s="183"/>
      <c r="AE228" s="188" t="str">
        <f t="shared" si="21"/>
        <v/>
      </c>
      <c r="AF228" s="188" t="str">
        <f t="shared" si="22"/>
        <v/>
      </c>
      <c r="AH228" s="188">
        <v>219</v>
      </c>
      <c r="AJ228" s="188" t="str">
        <f t="array" ref="AJ228">IFERROR(INDEX($AH$10:$AH$258, MATCH(0, IF(TRUE=$AE$10:$AE$258, COUNTIF($AJ$9:$AJ227, $AH$10:$AH$258), ""), 0)),"")</f>
        <v/>
      </c>
      <c r="AK228" s="188" t="str">
        <f t="array" ref="AK228">IFERROR(INDEX($AH$10:$AH$258, MATCH(0, IF(TRUE=$AF$10:$AF$258, COUNTIF($AK$9:$AK227, $AH$10:$AH$258), ""), 0)),"")</f>
        <v/>
      </c>
      <c r="AL228" s="35" t="str">
        <f>IFERROR(INDEX('G-6 Hedgerow Data'!$BJ$3:$BJ$15,MATCH(D228,'G-6 Hedgerow Data'!$B$3:$B$15,0)),"")</f>
        <v/>
      </c>
    </row>
    <row r="229" spans="2:38" ht="13.8" x14ac:dyDescent="0.25">
      <c r="B229" s="168">
        <v>220</v>
      </c>
      <c r="C229" s="275"/>
      <c r="D229" s="275"/>
      <c r="E229" s="185"/>
      <c r="F229" s="277" t="str">
        <f>IF(D229="","",VLOOKUP(D229,'G-6 Hedgerow Data'!$B$2:$AG$15,2,FALSE))</f>
        <v/>
      </c>
      <c r="G229" s="172" t="str">
        <f>IF(D229="","",VLOOKUP(D229,'G-6 Hedgerow Data'!$B$2:$AG$15,3,FALSE))</f>
        <v/>
      </c>
      <c r="H229" s="173"/>
      <c r="I229" s="172" t="str">
        <f>IFERROR(VLOOKUP(H229,'G-1 All Habitats'!$Z$2:$AA$9,2,FALSE),"")</f>
        <v/>
      </c>
      <c r="J229" s="173"/>
      <c r="K229" s="179" t="str">
        <f>IF(J229="","",IF(VLOOKUP(J229,'G-3 Multipliers'!$L$3:$N$6,2,FALSE)=0,"Spatial Data Missing",VLOOKUP(J229,'G-3 Multipliers'!$L$3:$N$6,2,FALSE)))</f>
        <v/>
      </c>
      <c r="L229" s="260" t="str">
        <f>IF(J229="","",IF(VLOOKUP(J229,'G-3 Multipliers'!$L$3:$N$6,3,FALSE)=0,"Spatial Data Missing",VLOOKUP(J229,'G-3 Multipliers'!$L$3:$N$6,3,FALSE)))</f>
        <v/>
      </c>
      <c r="M229" s="177" t="str">
        <f>IF(D229="","",VLOOKUP(D229,'G-6 Hedgerow Data'!$B$1:$AH$15,33,FALSE))</f>
        <v/>
      </c>
      <c r="N229" s="207" t="str">
        <f t="shared" si="23"/>
        <v/>
      </c>
      <c r="O229" s="44"/>
      <c r="P229" s="186"/>
      <c r="Q229" s="275"/>
      <c r="R229" s="289" t="str">
        <f t="shared" si="24"/>
        <v/>
      </c>
      <c r="S229" s="289" t="str">
        <f t="shared" si="25"/>
        <v/>
      </c>
      <c r="T229" s="289" t="str">
        <f t="shared" si="26"/>
        <v/>
      </c>
      <c r="U229" s="290" t="str">
        <f t="shared" si="27"/>
        <v/>
      </c>
      <c r="V229" s="182"/>
      <c r="W229" s="183"/>
      <c r="AE229" s="188" t="str">
        <f t="shared" si="21"/>
        <v/>
      </c>
      <c r="AF229" s="188" t="str">
        <f t="shared" si="22"/>
        <v/>
      </c>
      <c r="AH229" s="188">
        <v>220</v>
      </c>
      <c r="AJ229" s="188" t="str">
        <f t="array" ref="AJ229">IFERROR(INDEX($AH$10:$AH$258, MATCH(0, IF(TRUE=$AE$10:$AE$258, COUNTIF($AJ$9:$AJ228, $AH$10:$AH$258), ""), 0)),"")</f>
        <v/>
      </c>
      <c r="AK229" s="188" t="str">
        <f t="array" ref="AK229">IFERROR(INDEX($AH$10:$AH$258, MATCH(0, IF(TRUE=$AF$10:$AF$258, COUNTIF($AK$9:$AK228, $AH$10:$AH$258), ""), 0)),"")</f>
        <v/>
      </c>
      <c r="AL229" s="35" t="str">
        <f>IFERROR(INDEX('G-6 Hedgerow Data'!$BJ$3:$BJ$15,MATCH(D229,'G-6 Hedgerow Data'!$B$3:$B$15,0)),"")</f>
        <v/>
      </c>
    </row>
    <row r="230" spans="2:38" ht="13.8" x14ac:dyDescent="0.25">
      <c r="B230" s="168">
        <v>221</v>
      </c>
      <c r="C230" s="275"/>
      <c r="D230" s="275"/>
      <c r="E230" s="185"/>
      <c r="F230" s="277" t="str">
        <f>IF(D230="","",VLOOKUP(D230,'G-6 Hedgerow Data'!$B$2:$AG$15,2,FALSE))</f>
        <v/>
      </c>
      <c r="G230" s="172" t="str">
        <f>IF(D230="","",VLOOKUP(D230,'G-6 Hedgerow Data'!$B$2:$AG$15,3,FALSE))</f>
        <v/>
      </c>
      <c r="H230" s="173"/>
      <c r="I230" s="172" t="str">
        <f>IFERROR(VLOOKUP(H230,'G-1 All Habitats'!$Z$2:$AA$9,2,FALSE),"")</f>
        <v/>
      </c>
      <c r="J230" s="173"/>
      <c r="K230" s="179" t="str">
        <f>IF(J230="","",IF(VLOOKUP(J230,'G-3 Multipliers'!$L$3:$N$6,2,FALSE)=0,"Spatial Data Missing",VLOOKUP(J230,'G-3 Multipliers'!$L$3:$N$6,2,FALSE)))</f>
        <v/>
      </c>
      <c r="L230" s="260" t="str">
        <f>IF(J230="","",IF(VLOOKUP(J230,'G-3 Multipliers'!$L$3:$N$6,3,FALSE)=0,"Spatial Data Missing",VLOOKUP(J230,'G-3 Multipliers'!$L$3:$N$6,3,FALSE)))</f>
        <v/>
      </c>
      <c r="M230" s="177" t="str">
        <f>IF(D230="","",VLOOKUP(D230,'G-6 Hedgerow Data'!$B$1:$AH$15,33,FALSE))</f>
        <v/>
      </c>
      <c r="N230" s="207" t="str">
        <f t="shared" si="23"/>
        <v/>
      </c>
      <c r="O230" s="44"/>
      <c r="P230" s="186"/>
      <c r="Q230" s="275"/>
      <c r="R230" s="289" t="str">
        <f t="shared" si="24"/>
        <v/>
      </c>
      <c r="S230" s="289" t="str">
        <f t="shared" si="25"/>
        <v/>
      </c>
      <c r="T230" s="289" t="str">
        <f t="shared" si="26"/>
        <v/>
      </c>
      <c r="U230" s="290" t="str">
        <f t="shared" si="27"/>
        <v/>
      </c>
      <c r="V230" s="182"/>
      <c r="W230" s="183"/>
      <c r="AE230" s="188" t="str">
        <f t="shared" si="21"/>
        <v/>
      </c>
      <c r="AF230" s="188" t="str">
        <f t="shared" si="22"/>
        <v/>
      </c>
      <c r="AH230" s="188">
        <v>221</v>
      </c>
      <c r="AJ230" s="188" t="str">
        <f t="array" ref="AJ230">IFERROR(INDEX($AH$10:$AH$258, MATCH(0, IF(TRUE=$AE$10:$AE$258, COUNTIF($AJ$9:$AJ229, $AH$10:$AH$258), ""), 0)),"")</f>
        <v/>
      </c>
      <c r="AK230" s="188" t="str">
        <f t="array" ref="AK230">IFERROR(INDEX($AH$10:$AH$258, MATCH(0, IF(TRUE=$AF$10:$AF$258, COUNTIF($AK$9:$AK229, $AH$10:$AH$258), ""), 0)),"")</f>
        <v/>
      </c>
      <c r="AL230" s="35" t="str">
        <f>IFERROR(INDEX('G-6 Hedgerow Data'!$BJ$3:$BJ$15,MATCH(D230,'G-6 Hedgerow Data'!$B$3:$B$15,0)),"")</f>
        <v/>
      </c>
    </row>
    <row r="231" spans="2:38" ht="13.8" x14ac:dyDescent="0.25">
      <c r="B231" s="168">
        <v>222</v>
      </c>
      <c r="C231" s="275"/>
      <c r="D231" s="275"/>
      <c r="E231" s="185"/>
      <c r="F231" s="277" t="str">
        <f>IF(D231="","",VLOOKUP(D231,'G-6 Hedgerow Data'!$B$2:$AG$15,2,FALSE))</f>
        <v/>
      </c>
      <c r="G231" s="172" t="str">
        <f>IF(D231="","",VLOOKUP(D231,'G-6 Hedgerow Data'!$B$2:$AG$15,3,FALSE))</f>
        <v/>
      </c>
      <c r="H231" s="173"/>
      <c r="I231" s="172" t="str">
        <f>IFERROR(VLOOKUP(H231,'G-1 All Habitats'!$Z$2:$AA$9,2,FALSE),"")</f>
        <v/>
      </c>
      <c r="J231" s="173"/>
      <c r="K231" s="179" t="str">
        <f>IF(J231="","",IF(VLOOKUP(J231,'G-3 Multipliers'!$L$3:$N$6,2,FALSE)=0,"Spatial Data Missing",VLOOKUP(J231,'G-3 Multipliers'!$L$3:$N$6,2,FALSE)))</f>
        <v/>
      </c>
      <c r="L231" s="260" t="str">
        <f>IF(J231="","",IF(VLOOKUP(J231,'G-3 Multipliers'!$L$3:$N$6,3,FALSE)=0,"Spatial Data Missing",VLOOKUP(J231,'G-3 Multipliers'!$L$3:$N$6,3,FALSE)))</f>
        <v/>
      </c>
      <c r="M231" s="177" t="str">
        <f>IF(D231="","",VLOOKUP(D231,'G-6 Hedgerow Data'!$B$1:$AH$15,33,FALSE))</f>
        <v/>
      </c>
      <c r="N231" s="207" t="str">
        <f t="shared" si="23"/>
        <v/>
      </c>
      <c r="O231" s="44"/>
      <c r="P231" s="186"/>
      <c r="Q231" s="275"/>
      <c r="R231" s="289" t="str">
        <f t="shared" si="24"/>
        <v/>
      </c>
      <c r="S231" s="289" t="str">
        <f t="shared" si="25"/>
        <v/>
      </c>
      <c r="T231" s="289" t="str">
        <f t="shared" si="26"/>
        <v/>
      </c>
      <c r="U231" s="290" t="str">
        <f t="shared" si="27"/>
        <v/>
      </c>
      <c r="V231" s="182"/>
      <c r="W231" s="183"/>
      <c r="AE231" s="188" t="str">
        <f t="shared" si="21"/>
        <v/>
      </c>
      <c r="AF231" s="188" t="str">
        <f t="shared" si="22"/>
        <v/>
      </c>
      <c r="AH231" s="188">
        <v>222</v>
      </c>
      <c r="AJ231" s="188" t="str">
        <f t="array" ref="AJ231">IFERROR(INDEX($AH$10:$AH$258, MATCH(0, IF(TRUE=$AE$10:$AE$258, COUNTIF($AJ$9:$AJ230, $AH$10:$AH$258), ""), 0)),"")</f>
        <v/>
      </c>
      <c r="AK231" s="188" t="str">
        <f t="array" ref="AK231">IFERROR(INDEX($AH$10:$AH$258, MATCH(0, IF(TRUE=$AF$10:$AF$258, COUNTIF($AK$9:$AK230, $AH$10:$AH$258), ""), 0)),"")</f>
        <v/>
      </c>
      <c r="AL231" s="35" t="str">
        <f>IFERROR(INDEX('G-6 Hedgerow Data'!$BJ$3:$BJ$15,MATCH(D231,'G-6 Hedgerow Data'!$B$3:$B$15,0)),"")</f>
        <v/>
      </c>
    </row>
    <row r="232" spans="2:38" ht="13.8" x14ac:dyDescent="0.25">
      <c r="B232" s="168">
        <v>223</v>
      </c>
      <c r="C232" s="275"/>
      <c r="D232" s="275"/>
      <c r="E232" s="185"/>
      <c r="F232" s="277" t="str">
        <f>IF(D232="","",VLOOKUP(D232,'G-6 Hedgerow Data'!$B$2:$AG$15,2,FALSE))</f>
        <v/>
      </c>
      <c r="G232" s="172" t="str">
        <f>IF(D232="","",VLOOKUP(D232,'G-6 Hedgerow Data'!$B$2:$AG$15,3,FALSE))</f>
        <v/>
      </c>
      <c r="H232" s="173"/>
      <c r="I232" s="172" t="str">
        <f>IFERROR(VLOOKUP(H232,'G-1 All Habitats'!$Z$2:$AA$9,2,FALSE),"")</f>
        <v/>
      </c>
      <c r="J232" s="173"/>
      <c r="K232" s="179" t="str">
        <f>IF(J232="","",IF(VLOOKUP(J232,'G-3 Multipliers'!$L$3:$N$6,2,FALSE)=0,"Spatial Data Missing",VLOOKUP(J232,'G-3 Multipliers'!$L$3:$N$6,2,FALSE)))</f>
        <v/>
      </c>
      <c r="L232" s="260" t="str">
        <f>IF(J232="","",IF(VLOOKUP(J232,'G-3 Multipliers'!$L$3:$N$6,3,FALSE)=0,"Spatial Data Missing",VLOOKUP(J232,'G-3 Multipliers'!$L$3:$N$6,3,FALSE)))</f>
        <v/>
      </c>
      <c r="M232" s="177" t="str">
        <f>IF(D232="","",VLOOKUP(D232,'G-6 Hedgerow Data'!$B$1:$AH$15,33,FALSE))</f>
        <v/>
      </c>
      <c r="N232" s="207" t="str">
        <f t="shared" si="23"/>
        <v/>
      </c>
      <c r="O232" s="44"/>
      <c r="P232" s="186"/>
      <c r="Q232" s="275"/>
      <c r="R232" s="289" t="str">
        <f t="shared" si="24"/>
        <v/>
      </c>
      <c r="S232" s="289" t="str">
        <f t="shared" si="25"/>
        <v/>
      </c>
      <c r="T232" s="289" t="str">
        <f t="shared" si="26"/>
        <v/>
      </c>
      <c r="U232" s="290" t="str">
        <f t="shared" si="27"/>
        <v/>
      </c>
      <c r="V232" s="182"/>
      <c r="W232" s="183"/>
      <c r="AE232" s="188" t="str">
        <f t="shared" si="21"/>
        <v/>
      </c>
      <c r="AF232" s="188" t="str">
        <f t="shared" si="22"/>
        <v/>
      </c>
      <c r="AH232" s="188">
        <v>223</v>
      </c>
      <c r="AJ232" s="188" t="str">
        <f t="array" ref="AJ232">IFERROR(INDEX($AH$10:$AH$258, MATCH(0, IF(TRUE=$AE$10:$AE$258, COUNTIF($AJ$9:$AJ231, $AH$10:$AH$258), ""), 0)),"")</f>
        <v/>
      </c>
      <c r="AK232" s="188" t="str">
        <f t="array" ref="AK232">IFERROR(INDEX($AH$10:$AH$258, MATCH(0, IF(TRUE=$AF$10:$AF$258, COUNTIF($AK$9:$AK231, $AH$10:$AH$258), ""), 0)),"")</f>
        <v/>
      </c>
      <c r="AL232" s="35" t="str">
        <f>IFERROR(INDEX('G-6 Hedgerow Data'!$BJ$3:$BJ$15,MATCH(D232,'G-6 Hedgerow Data'!$B$3:$B$15,0)),"")</f>
        <v/>
      </c>
    </row>
    <row r="233" spans="2:38" ht="13.8" x14ac:dyDescent="0.25">
      <c r="B233" s="168">
        <v>224</v>
      </c>
      <c r="C233" s="275"/>
      <c r="D233" s="275"/>
      <c r="E233" s="185"/>
      <c r="F233" s="277" t="str">
        <f>IF(D233="","",VLOOKUP(D233,'G-6 Hedgerow Data'!$B$2:$AG$15,2,FALSE))</f>
        <v/>
      </c>
      <c r="G233" s="172" t="str">
        <f>IF(D233="","",VLOOKUP(D233,'G-6 Hedgerow Data'!$B$2:$AG$15,3,FALSE))</f>
        <v/>
      </c>
      <c r="H233" s="173"/>
      <c r="I233" s="172" t="str">
        <f>IFERROR(VLOOKUP(H233,'G-1 All Habitats'!$Z$2:$AA$9,2,FALSE),"")</f>
        <v/>
      </c>
      <c r="J233" s="173"/>
      <c r="K233" s="179" t="str">
        <f>IF(J233="","",IF(VLOOKUP(J233,'G-3 Multipliers'!$L$3:$N$6,2,FALSE)=0,"Spatial Data Missing",VLOOKUP(J233,'G-3 Multipliers'!$L$3:$N$6,2,FALSE)))</f>
        <v/>
      </c>
      <c r="L233" s="260" t="str">
        <f>IF(J233="","",IF(VLOOKUP(J233,'G-3 Multipliers'!$L$3:$N$6,3,FALSE)=0,"Spatial Data Missing",VLOOKUP(J233,'G-3 Multipliers'!$L$3:$N$6,3,FALSE)))</f>
        <v/>
      </c>
      <c r="M233" s="177" t="str">
        <f>IF(D233="","",VLOOKUP(D233,'G-6 Hedgerow Data'!$B$1:$AH$15,33,FALSE))</f>
        <v/>
      </c>
      <c r="N233" s="207" t="str">
        <f t="shared" si="23"/>
        <v/>
      </c>
      <c r="O233" s="44"/>
      <c r="P233" s="186"/>
      <c r="Q233" s="275"/>
      <c r="R233" s="289" t="str">
        <f t="shared" si="24"/>
        <v/>
      </c>
      <c r="S233" s="289" t="str">
        <f t="shared" si="25"/>
        <v/>
      </c>
      <c r="T233" s="289" t="str">
        <f t="shared" si="26"/>
        <v/>
      </c>
      <c r="U233" s="290" t="str">
        <f t="shared" si="27"/>
        <v/>
      </c>
      <c r="V233" s="182"/>
      <c r="W233" s="183"/>
      <c r="AE233" s="188" t="str">
        <f t="shared" si="21"/>
        <v/>
      </c>
      <c r="AF233" s="188" t="str">
        <f t="shared" si="22"/>
        <v/>
      </c>
      <c r="AH233" s="188">
        <v>224</v>
      </c>
      <c r="AJ233" s="188" t="str">
        <f t="array" ref="AJ233">IFERROR(INDEX($AH$10:$AH$258, MATCH(0, IF(TRUE=$AE$10:$AE$258, COUNTIF($AJ$9:$AJ232, $AH$10:$AH$258), ""), 0)),"")</f>
        <v/>
      </c>
      <c r="AK233" s="188" t="str">
        <f t="array" ref="AK233">IFERROR(INDEX($AH$10:$AH$258, MATCH(0, IF(TRUE=$AF$10:$AF$258, COUNTIF($AK$9:$AK232, $AH$10:$AH$258), ""), 0)),"")</f>
        <v/>
      </c>
      <c r="AL233" s="35" t="str">
        <f>IFERROR(INDEX('G-6 Hedgerow Data'!$BJ$3:$BJ$15,MATCH(D233,'G-6 Hedgerow Data'!$B$3:$B$15,0)),"")</f>
        <v/>
      </c>
    </row>
    <row r="234" spans="2:38" ht="13.8" x14ac:dyDescent="0.25">
      <c r="B234" s="168">
        <v>225</v>
      </c>
      <c r="C234" s="275"/>
      <c r="D234" s="275"/>
      <c r="E234" s="185"/>
      <c r="F234" s="277" t="str">
        <f>IF(D234="","",VLOOKUP(D234,'G-6 Hedgerow Data'!$B$2:$AG$15,2,FALSE))</f>
        <v/>
      </c>
      <c r="G234" s="172" t="str">
        <f>IF(D234="","",VLOOKUP(D234,'G-6 Hedgerow Data'!$B$2:$AG$15,3,FALSE))</f>
        <v/>
      </c>
      <c r="H234" s="173"/>
      <c r="I234" s="172" t="str">
        <f>IFERROR(VLOOKUP(H234,'G-1 All Habitats'!$Z$2:$AA$9,2,FALSE),"")</f>
        <v/>
      </c>
      <c r="J234" s="173"/>
      <c r="K234" s="179" t="str">
        <f>IF(J234="","",IF(VLOOKUP(J234,'G-3 Multipliers'!$L$3:$N$6,2,FALSE)=0,"Spatial Data Missing",VLOOKUP(J234,'G-3 Multipliers'!$L$3:$N$6,2,FALSE)))</f>
        <v/>
      </c>
      <c r="L234" s="260" t="str">
        <f>IF(J234="","",IF(VLOOKUP(J234,'G-3 Multipliers'!$L$3:$N$6,3,FALSE)=0,"Spatial Data Missing",VLOOKUP(J234,'G-3 Multipliers'!$L$3:$N$6,3,FALSE)))</f>
        <v/>
      </c>
      <c r="M234" s="177" t="str">
        <f>IF(D234="","",VLOOKUP(D234,'G-6 Hedgerow Data'!$B$1:$AH$15,33,FALSE))</f>
        <v/>
      </c>
      <c r="N234" s="207" t="str">
        <f t="shared" si="23"/>
        <v/>
      </c>
      <c r="O234" s="44"/>
      <c r="P234" s="186"/>
      <c r="Q234" s="275"/>
      <c r="R234" s="289" t="str">
        <f t="shared" si="24"/>
        <v/>
      </c>
      <c r="S234" s="289" t="str">
        <f t="shared" si="25"/>
        <v/>
      </c>
      <c r="T234" s="289" t="str">
        <f t="shared" si="26"/>
        <v/>
      </c>
      <c r="U234" s="290" t="str">
        <f t="shared" si="27"/>
        <v/>
      </c>
      <c r="V234" s="182"/>
      <c r="W234" s="183"/>
      <c r="AE234" s="188" t="str">
        <f t="shared" si="21"/>
        <v/>
      </c>
      <c r="AF234" s="188" t="str">
        <f t="shared" si="22"/>
        <v/>
      </c>
      <c r="AH234" s="188">
        <v>225</v>
      </c>
      <c r="AJ234" s="188" t="str">
        <f t="array" ref="AJ234">IFERROR(INDEX($AH$10:$AH$258, MATCH(0, IF(TRUE=$AE$10:$AE$258, COUNTIF($AJ$9:$AJ233, $AH$10:$AH$258), ""), 0)),"")</f>
        <v/>
      </c>
      <c r="AK234" s="188" t="str">
        <f t="array" ref="AK234">IFERROR(INDEX($AH$10:$AH$258, MATCH(0, IF(TRUE=$AF$10:$AF$258, COUNTIF($AK$9:$AK233, $AH$10:$AH$258), ""), 0)),"")</f>
        <v/>
      </c>
      <c r="AL234" s="35" t="str">
        <f>IFERROR(INDEX('G-6 Hedgerow Data'!$BJ$3:$BJ$15,MATCH(D234,'G-6 Hedgerow Data'!$B$3:$B$15,0)),"")</f>
        <v/>
      </c>
    </row>
    <row r="235" spans="2:38" ht="13.8" x14ac:dyDescent="0.25">
      <c r="B235" s="168">
        <v>226</v>
      </c>
      <c r="C235" s="275"/>
      <c r="D235" s="275"/>
      <c r="E235" s="185"/>
      <c r="F235" s="277" t="str">
        <f>IF(D235="","",VLOOKUP(D235,'G-6 Hedgerow Data'!$B$2:$AG$15,2,FALSE))</f>
        <v/>
      </c>
      <c r="G235" s="172" t="str">
        <f>IF(D235="","",VLOOKUP(D235,'G-6 Hedgerow Data'!$B$2:$AG$15,3,FALSE))</f>
        <v/>
      </c>
      <c r="H235" s="173"/>
      <c r="I235" s="172" t="str">
        <f>IFERROR(VLOOKUP(H235,'G-1 All Habitats'!$Z$2:$AA$9,2,FALSE),"")</f>
        <v/>
      </c>
      <c r="J235" s="173"/>
      <c r="K235" s="179" t="str">
        <f>IF(J235="","",IF(VLOOKUP(J235,'G-3 Multipliers'!$L$3:$N$6,2,FALSE)=0,"Spatial Data Missing",VLOOKUP(J235,'G-3 Multipliers'!$L$3:$N$6,2,FALSE)))</f>
        <v/>
      </c>
      <c r="L235" s="260" t="str">
        <f>IF(J235="","",IF(VLOOKUP(J235,'G-3 Multipliers'!$L$3:$N$6,3,FALSE)=0,"Spatial Data Missing",VLOOKUP(J235,'G-3 Multipliers'!$L$3:$N$6,3,FALSE)))</f>
        <v/>
      </c>
      <c r="M235" s="177" t="str">
        <f>IF(D235="","",VLOOKUP(D235,'G-6 Hedgerow Data'!$B$1:$AH$15,33,FALSE))</f>
        <v/>
      </c>
      <c r="N235" s="207" t="str">
        <f t="shared" si="23"/>
        <v/>
      </c>
      <c r="O235" s="44"/>
      <c r="P235" s="186"/>
      <c r="Q235" s="275"/>
      <c r="R235" s="289" t="str">
        <f t="shared" si="24"/>
        <v/>
      </c>
      <c r="S235" s="289" t="str">
        <f t="shared" si="25"/>
        <v/>
      </c>
      <c r="T235" s="289" t="str">
        <f t="shared" si="26"/>
        <v/>
      </c>
      <c r="U235" s="290" t="str">
        <f t="shared" si="27"/>
        <v/>
      </c>
      <c r="V235" s="182"/>
      <c r="W235" s="183"/>
      <c r="AE235" s="188" t="str">
        <f t="shared" si="21"/>
        <v/>
      </c>
      <c r="AF235" s="188" t="str">
        <f t="shared" si="22"/>
        <v/>
      </c>
      <c r="AH235" s="188">
        <v>226</v>
      </c>
      <c r="AJ235" s="188" t="str">
        <f t="array" ref="AJ235">IFERROR(INDEX($AH$10:$AH$258, MATCH(0, IF(TRUE=$AE$10:$AE$258, COUNTIF($AJ$9:$AJ234, $AH$10:$AH$258), ""), 0)),"")</f>
        <v/>
      </c>
      <c r="AK235" s="188" t="str">
        <f t="array" ref="AK235">IFERROR(INDEX($AH$10:$AH$258, MATCH(0, IF(TRUE=$AF$10:$AF$258, COUNTIF($AK$9:$AK234, $AH$10:$AH$258), ""), 0)),"")</f>
        <v/>
      </c>
      <c r="AL235" s="35" t="str">
        <f>IFERROR(INDEX('G-6 Hedgerow Data'!$BJ$3:$BJ$15,MATCH(D235,'G-6 Hedgerow Data'!$B$3:$B$15,0)),"")</f>
        <v/>
      </c>
    </row>
    <row r="236" spans="2:38" ht="13.8" x14ac:dyDescent="0.25">
      <c r="B236" s="168">
        <v>227</v>
      </c>
      <c r="C236" s="275"/>
      <c r="D236" s="275"/>
      <c r="E236" s="185"/>
      <c r="F236" s="277" t="str">
        <f>IF(D236="","",VLOOKUP(D236,'G-6 Hedgerow Data'!$B$2:$AG$15,2,FALSE))</f>
        <v/>
      </c>
      <c r="G236" s="172" t="str">
        <f>IF(D236="","",VLOOKUP(D236,'G-6 Hedgerow Data'!$B$2:$AG$15,3,FALSE))</f>
        <v/>
      </c>
      <c r="H236" s="173"/>
      <c r="I236" s="172" t="str">
        <f>IFERROR(VLOOKUP(H236,'G-1 All Habitats'!$Z$2:$AA$9,2,FALSE),"")</f>
        <v/>
      </c>
      <c r="J236" s="173"/>
      <c r="K236" s="179" t="str">
        <f>IF(J236="","",IF(VLOOKUP(J236,'G-3 Multipliers'!$L$3:$N$6,2,FALSE)=0,"Spatial Data Missing",VLOOKUP(J236,'G-3 Multipliers'!$L$3:$N$6,2,FALSE)))</f>
        <v/>
      </c>
      <c r="L236" s="260" t="str">
        <f>IF(J236="","",IF(VLOOKUP(J236,'G-3 Multipliers'!$L$3:$N$6,3,FALSE)=0,"Spatial Data Missing",VLOOKUP(J236,'G-3 Multipliers'!$L$3:$N$6,3,FALSE)))</f>
        <v/>
      </c>
      <c r="M236" s="177" t="str">
        <f>IF(D236="","",VLOOKUP(D236,'G-6 Hedgerow Data'!$B$1:$AH$15,33,FALSE))</f>
        <v/>
      </c>
      <c r="N236" s="207" t="str">
        <f t="shared" si="23"/>
        <v/>
      </c>
      <c r="O236" s="44"/>
      <c r="P236" s="186"/>
      <c r="Q236" s="275"/>
      <c r="R236" s="289" t="str">
        <f t="shared" si="24"/>
        <v/>
      </c>
      <c r="S236" s="289" t="str">
        <f t="shared" si="25"/>
        <v/>
      </c>
      <c r="T236" s="289" t="str">
        <f t="shared" si="26"/>
        <v/>
      </c>
      <c r="U236" s="290" t="str">
        <f t="shared" si="27"/>
        <v/>
      </c>
      <c r="V236" s="182"/>
      <c r="W236" s="183"/>
      <c r="AE236" s="188" t="str">
        <f t="shared" si="21"/>
        <v/>
      </c>
      <c r="AF236" s="188" t="str">
        <f t="shared" si="22"/>
        <v/>
      </c>
      <c r="AH236" s="188">
        <v>227</v>
      </c>
      <c r="AJ236" s="188" t="str">
        <f t="array" ref="AJ236">IFERROR(INDEX($AH$10:$AH$258, MATCH(0, IF(TRUE=$AE$10:$AE$258, COUNTIF($AJ$9:$AJ235, $AH$10:$AH$258), ""), 0)),"")</f>
        <v/>
      </c>
      <c r="AK236" s="188" t="str">
        <f t="array" ref="AK236">IFERROR(INDEX($AH$10:$AH$258, MATCH(0, IF(TRUE=$AF$10:$AF$258, COUNTIF($AK$9:$AK235, $AH$10:$AH$258), ""), 0)),"")</f>
        <v/>
      </c>
      <c r="AL236" s="35" t="str">
        <f>IFERROR(INDEX('G-6 Hedgerow Data'!$BJ$3:$BJ$15,MATCH(D236,'G-6 Hedgerow Data'!$B$3:$B$15,0)),"")</f>
        <v/>
      </c>
    </row>
    <row r="237" spans="2:38" ht="13.8" x14ac:dyDescent="0.25">
      <c r="B237" s="168">
        <v>228</v>
      </c>
      <c r="C237" s="275"/>
      <c r="D237" s="275"/>
      <c r="E237" s="185"/>
      <c r="F237" s="277" t="str">
        <f>IF(D237="","",VLOOKUP(D237,'G-6 Hedgerow Data'!$B$2:$AG$15,2,FALSE))</f>
        <v/>
      </c>
      <c r="G237" s="172" t="str">
        <f>IF(D237="","",VLOOKUP(D237,'G-6 Hedgerow Data'!$B$2:$AG$15,3,FALSE))</f>
        <v/>
      </c>
      <c r="H237" s="173"/>
      <c r="I237" s="172" t="str">
        <f>IFERROR(VLOOKUP(H237,'G-1 All Habitats'!$Z$2:$AA$9,2,FALSE),"")</f>
        <v/>
      </c>
      <c r="J237" s="173"/>
      <c r="K237" s="179" t="str">
        <f>IF(J237="","",IF(VLOOKUP(J237,'G-3 Multipliers'!$L$3:$N$6,2,FALSE)=0,"Spatial Data Missing",VLOOKUP(J237,'G-3 Multipliers'!$L$3:$N$6,2,FALSE)))</f>
        <v/>
      </c>
      <c r="L237" s="260" t="str">
        <f>IF(J237="","",IF(VLOOKUP(J237,'G-3 Multipliers'!$L$3:$N$6,3,FALSE)=0,"Spatial Data Missing",VLOOKUP(J237,'G-3 Multipliers'!$L$3:$N$6,3,FALSE)))</f>
        <v/>
      </c>
      <c r="M237" s="177" t="str">
        <f>IF(D237="","",VLOOKUP(D237,'G-6 Hedgerow Data'!$B$1:$AH$15,33,FALSE))</f>
        <v/>
      </c>
      <c r="N237" s="207" t="str">
        <f t="shared" si="23"/>
        <v/>
      </c>
      <c r="O237" s="44"/>
      <c r="P237" s="186"/>
      <c r="Q237" s="275"/>
      <c r="R237" s="289" t="str">
        <f t="shared" si="24"/>
        <v/>
      </c>
      <c r="S237" s="289" t="str">
        <f t="shared" si="25"/>
        <v/>
      </c>
      <c r="T237" s="289" t="str">
        <f t="shared" si="26"/>
        <v/>
      </c>
      <c r="U237" s="290" t="str">
        <f t="shared" si="27"/>
        <v/>
      </c>
      <c r="V237" s="182"/>
      <c r="W237" s="183"/>
      <c r="AE237" s="188" t="str">
        <f t="shared" si="21"/>
        <v/>
      </c>
      <c r="AF237" s="188" t="str">
        <f t="shared" si="22"/>
        <v/>
      </c>
      <c r="AH237" s="188">
        <v>228</v>
      </c>
      <c r="AJ237" s="188" t="str">
        <f t="array" ref="AJ237">IFERROR(INDEX($AH$10:$AH$258, MATCH(0, IF(TRUE=$AE$10:$AE$258, COUNTIF($AJ$9:$AJ236, $AH$10:$AH$258), ""), 0)),"")</f>
        <v/>
      </c>
      <c r="AK237" s="188" t="str">
        <f t="array" ref="AK237">IFERROR(INDEX($AH$10:$AH$258, MATCH(0, IF(TRUE=$AF$10:$AF$258, COUNTIF($AK$9:$AK236, $AH$10:$AH$258), ""), 0)),"")</f>
        <v/>
      </c>
      <c r="AL237" s="35" t="str">
        <f>IFERROR(INDEX('G-6 Hedgerow Data'!$BJ$3:$BJ$15,MATCH(D237,'G-6 Hedgerow Data'!$B$3:$B$15,0)),"")</f>
        <v/>
      </c>
    </row>
    <row r="238" spans="2:38" ht="13.8" x14ac:dyDescent="0.25">
      <c r="B238" s="168">
        <v>229</v>
      </c>
      <c r="C238" s="275"/>
      <c r="D238" s="275"/>
      <c r="E238" s="185"/>
      <c r="F238" s="277" t="str">
        <f>IF(D238="","",VLOOKUP(D238,'G-6 Hedgerow Data'!$B$2:$AG$15,2,FALSE))</f>
        <v/>
      </c>
      <c r="G238" s="172" t="str">
        <f>IF(D238="","",VLOOKUP(D238,'G-6 Hedgerow Data'!$B$2:$AG$15,3,FALSE))</f>
        <v/>
      </c>
      <c r="H238" s="173"/>
      <c r="I238" s="172" t="str">
        <f>IFERROR(VLOOKUP(H238,'G-1 All Habitats'!$Z$2:$AA$9,2,FALSE),"")</f>
        <v/>
      </c>
      <c r="J238" s="173"/>
      <c r="K238" s="179" t="str">
        <f>IF(J238="","",IF(VLOOKUP(J238,'G-3 Multipliers'!$L$3:$N$6,2,FALSE)=0,"Spatial Data Missing",VLOOKUP(J238,'G-3 Multipliers'!$L$3:$N$6,2,FALSE)))</f>
        <v/>
      </c>
      <c r="L238" s="260" t="str">
        <f>IF(J238="","",IF(VLOOKUP(J238,'G-3 Multipliers'!$L$3:$N$6,3,FALSE)=0,"Spatial Data Missing",VLOOKUP(J238,'G-3 Multipliers'!$L$3:$N$6,3,FALSE)))</f>
        <v/>
      </c>
      <c r="M238" s="177" t="str">
        <f>IF(D238="","",VLOOKUP(D238,'G-6 Hedgerow Data'!$B$1:$AH$15,33,FALSE))</f>
        <v/>
      </c>
      <c r="N238" s="207" t="str">
        <f t="shared" si="23"/>
        <v/>
      </c>
      <c r="O238" s="44"/>
      <c r="P238" s="186"/>
      <c r="Q238" s="275"/>
      <c r="R238" s="289" t="str">
        <f t="shared" si="24"/>
        <v/>
      </c>
      <c r="S238" s="289" t="str">
        <f t="shared" si="25"/>
        <v/>
      </c>
      <c r="T238" s="289" t="str">
        <f t="shared" si="26"/>
        <v/>
      </c>
      <c r="U238" s="290" t="str">
        <f t="shared" si="27"/>
        <v/>
      </c>
      <c r="V238" s="182"/>
      <c r="W238" s="183"/>
      <c r="AE238" s="188" t="str">
        <f t="shared" si="21"/>
        <v/>
      </c>
      <c r="AF238" s="188" t="str">
        <f t="shared" si="22"/>
        <v/>
      </c>
      <c r="AH238" s="188">
        <v>229</v>
      </c>
      <c r="AJ238" s="188" t="str">
        <f t="array" ref="AJ238">IFERROR(INDEX($AH$10:$AH$258, MATCH(0, IF(TRUE=$AE$10:$AE$258, COUNTIF($AJ$9:$AJ237, $AH$10:$AH$258), ""), 0)),"")</f>
        <v/>
      </c>
      <c r="AK238" s="188" t="str">
        <f t="array" ref="AK238">IFERROR(INDEX($AH$10:$AH$258, MATCH(0, IF(TRUE=$AF$10:$AF$258, COUNTIF($AK$9:$AK237, $AH$10:$AH$258), ""), 0)),"")</f>
        <v/>
      </c>
      <c r="AL238" s="35" t="str">
        <f>IFERROR(INDEX('G-6 Hedgerow Data'!$BJ$3:$BJ$15,MATCH(D238,'G-6 Hedgerow Data'!$B$3:$B$15,0)),"")</f>
        <v/>
      </c>
    </row>
    <row r="239" spans="2:38" ht="13.8" x14ac:dyDescent="0.25">
      <c r="B239" s="168">
        <v>230</v>
      </c>
      <c r="C239" s="275"/>
      <c r="D239" s="275"/>
      <c r="E239" s="185"/>
      <c r="F239" s="277" t="str">
        <f>IF(D239="","",VLOOKUP(D239,'G-6 Hedgerow Data'!$B$2:$AG$15,2,FALSE))</f>
        <v/>
      </c>
      <c r="G239" s="172" t="str">
        <f>IF(D239="","",VLOOKUP(D239,'G-6 Hedgerow Data'!$B$2:$AG$15,3,FALSE))</f>
        <v/>
      </c>
      <c r="H239" s="173"/>
      <c r="I239" s="172" t="str">
        <f>IFERROR(VLOOKUP(H239,'G-1 All Habitats'!$Z$2:$AA$9,2,FALSE),"")</f>
        <v/>
      </c>
      <c r="J239" s="173"/>
      <c r="K239" s="179" t="str">
        <f>IF(J239="","",IF(VLOOKUP(J239,'G-3 Multipliers'!$L$3:$N$6,2,FALSE)=0,"Spatial Data Missing",VLOOKUP(J239,'G-3 Multipliers'!$L$3:$N$6,2,FALSE)))</f>
        <v/>
      </c>
      <c r="L239" s="260" t="str">
        <f>IF(J239="","",IF(VLOOKUP(J239,'G-3 Multipliers'!$L$3:$N$6,3,FALSE)=0,"Spatial Data Missing",VLOOKUP(J239,'G-3 Multipliers'!$L$3:$N$6,3,FALSE)))</f>
        <v/>
      </c>
      <c r="M239" s="177" t="str">
        <f>IF(D239="","",VLOOKUP(D239,'G-6 Hedgerow Data'!$B$1:$AH$15,33,FALSE))</f>
        <v/>
      </c>
      <c r="N239" s="207" t="str">
        <f t="shared" si="23"/>
        <v/>
      </c>
      <c r="O239" s="44"/>
      <c r="P239" s="186"/>
      <c r="Q239" s="275"/>
      <c r="R239" s="289" t="str">
        <f t="shared" si="24"/>
        <v/>
      </c>
      <c r="S239" s="289" t="str">
        <f t="shared" si="25"/>
        <v/>
      </c>
      <c r="T239" s="289" t="str">
        <f t="shared" si="26"/>
        <v/>
      </c>
      <c r="U239" s="290" t="str">
        <f t="shared" si="27"/>
        <v/>
      </c>
      <c r="V239" s="182"/>
      <c r="W239" s="183"/>
      <c r="AE239" s="188" t="str">
        <f t="shared" si="21"/>
        <v/>
      </c>
      <c r="AF239" s="188" t="str">
        <f t="shared" si="22"/>
        <v/>
      </c>
      <c r="AH239" s="188">
        <v>230</v>
      </c>
      <c r="AJ239" s="188" t="str">
        <f t="array" ref="AJ239">IFERROR(INDEX($AH$10:$AH$258, MATCH(0, IF(TRUE=$AE$10:$AE$258, COUNTIF($AJ$9:$AJ238, $AH$10:$AH$258), ""), 0)),"")</f>
        <v/>
      </c>
      <c r="AK239" s="188" t="str">
        <f t="array" ref="AK239">IFERROR(INDEX($AH$10:$AH$258, MATCH(0, IF(TRUE=$AF$10:$AF$258, COUNTIF($AK$9:$AK238, $AH$10:$AH$258), ""), 0)),"")</f>
        <v/>
      </c>
      <c r="AL239" s="35" t="str">
        <f>IFERROR(INDEX('G-6 Hedgerow Data'!$BJ$3:$BJ$15,MATCH(D239,'G-6 Hedgerow Data'!$B$3:$B$15,0)),"")</f>
        <v/>
      </c>
    </row>
    <row r="240" spans="2:38" ht="13.8" x14ac:dyDescent="0.25">
      <c r="B240" s="168">
        <v>231</v>
      </c>
      <c r="C240" s="275"/>
      <c r="D240" s="275"/>
      <c r="E240" s="185"/>
      <c r="F240" s="277" t="str">
        <f>IF(D240="","",VLOOKUP(D240,'G-6 Hedgerow Data'!$B$2:$AG$15,2,FALSE))</f>
        <v/>
      </c>
      <c r="G240" s="172" t="str">
        <f>IF(D240="","",VLOOKUP(D240,'G-6 Hedgerow Data'!$B$2:$AG$15,3,FALSE))</f>
        <v/>
      </c>
      <c r="H240" s="173"/>
      <c r="I240" s="172" t="str">
        <f>IFERROR(VLOOKUP(H240,'G-1 All Habitats'!$Z$2:$AA$9,2,FALSE),"")</f>
        <v/>
      </c>
      <c r="J240" s="173"/>
      <c r="K240" s="179" t="str">
        <f>IF(J240="","",IF(VLOOKUP(J240,'G-3 Multipliers'!$L$3:$N$6,2,FALSE)=0,"Spatial Data Missing",VLOOKUP(J240,'G-3 Multipliers'!$L$3:$N$6,2,FALSE)))</f>
        <v/>
      </c>
      <c r="L240" s="260" t="str">
        <f>IF(J240="","",IF(VLOOKUP(J240,'G-3 Multipliers'!$L$3:$N$6,3,FALSE)=0,"Spatial Data Missing",VLOOKUP(J240,'G-3 Multipliers'!$L$3:$N$6,3,FALSE)))</f>
        <v/>
      </c>
      <c r="M240" s="177" t="str">
        <f>IF(D240="","",VLOOKUP(D240,'G-6 Hedgerow Data'!$B$1:$AH$15,33,FALSE))</f>
        <v/>
      </c>
      <c r="N240" s="207" t="str">
        <f t="shared" si="23"/>
        <v/>
      </c>
      <c r="O240" s="44"/>
      <c r="P240" s="186"/>
      <c r="Q240" s="275"/>
      <c r="R240" s="289" t="str">
        <f t="shared" si="24"/>
        <v/>
      </c>
      <c r="S240" s="289" t="str">
        <f t="shared" si="25"/>
        <v/>
      </c>
      <c r="T240" s="289" t="str">
        <f t="shared" si="26"/>
        <v/>
      </c>
      <c r="U240" s="290" t="str">
        <f t="shared" si="27"/>
        <v/>
      </c>
      <c r="V240" s="182"/>
      <c r="W240" s="183"/>
      <c r="AE240" s="188" t="str">
        <f t="shared" si="21"/>
        <v/>
      </c>
      <c r="AF240" s="188" t="str">
        <f t="shared" si="22"/>
        <v/>
      </c>
      <c r="AH240" s="188">
        <v>231</v>
      </c>
      <c r="AJ240" s="188" t="str">
        <f t="array" ref="AJ240">IFERROR(INDEX($AH$10:$AH$258, MATCH(0, IF(TRUE=$AE$10:$AE$258, COUNTIF($AJ$9:$AJ239, $AH$10:$AH$258), ""), 0)),"")</f>
        <v/>
      </c>
      <c r="AK240" s="188" t="str">
        <f t="array" ref="AK240">IFERROR(INDEX($AH$10:$AH$258, MATCH(0, IF(TRUE=$AF$10:$AF$258, COUNTIF($AK$9:$AK239, $AH$10:$AH$258), ""), 0)),"")</f>
        <v/>
      </c>
      <c r="AL240" s="35" t="str">
        <f>IFERROR(INDEX('G-6 Hedgerow Data'!$BJ$3:$BJ$15,MATCH(D240,'G-6 Hedgerow Data'!$B$3:$B$15,0)),"")</f>
        <v/>
      </c>
    </row>
    <row r="241" spans="2:38" ht="13.8" x14ac:dyDescent="0.25">
      <c r="B241" s="168">
        <v>232</v>
      </c>
      <c r="C241" s="275"/>
      <c r="D241" s="275"/>
      <c r="E241" s="185"/>
      <c r="F241" s="277" t="str">
        <f>IF(D241="","",VLOOKUP(D241,'G-6 Hedgerow Data'!$B$2:$AG$15,2,FALSE))</f>
        <v/>
      </c>
      <c r="G241" s="172" t="str">
        <f>IF(D241="","",VLOOKUP(D241,'G-6 Hedgerow Data'!$B$2:$AG$15,3,FALSE))</f>
        <v/>
      </c>
      <c r="H241" s="173"/>
      <c r="I241" s="172" t="str">
        <f>IFERROR(VLOOKUP(H241,'G-1 All Habitats'!$Z$2:$AA$9,2,FALSE),"")</f>
        <v/>
      </c>
      <c r="J241" s="173"/>
      <c r="K241" s="179" t="str">
        <f>IF(J241="","",IF(VLOOKUP(J241,'G-3 Multipliers'!$L$3:$N$6,2,FALSE)=0,"Spatial Data Missing",VLOOKUP(J241,'G-3 Multipliers'!$L$3:$N$6,2,FALSE)))</f>
        <v/>
      </c>
      <c r="L241" s="260" t="str">
        <f>IF(J241="","",IF(VLOOKUP(J241,'G-3 Multipliers'!$L$3:$N$6,3,FALSE)=0,"Spatial Data Missing",VLOOKUP(J241,'G-3 Multipliers'!$L$3:$N$6,3,FALSE)))</f>
        <v/>
      </c>
      <c r="M241" s="177" t="str">
        <f>IF(D241="","",VLOOKUP(D241,'G-6 Hedgerow Data'!$B$1:$AH$15,33,FALSE))</f>
        <v/>
      </c>
      <c r="N241" s="207" t="str">
        <f t="shared" si="23"/>
        <v/>
      </c>
      <c r="O241" s="44"/>
      <c r="P241" s="186"/>
      <c r="Q241" s="275"/>
      <c r="R241" s="289" t="str">
        <f t="shared" si="24"/>
        <v/>
      </c>
      <c r="S241" s="289" t="str">
        <f t="shared" si="25"/>
        <v/>
      </c>
      <c r="T241" s="289" t="str">
        <f t="shared" si="26"/>
        <v/>
      </c>
      <c r="U241" s="290" t="str">
        <f t="shared" si="27"/>
        <v/>
      </c>
      <c r="V241" s="182"/>
      <c r="W241" s="183"/>
      <c r="AE241" s="188" t="str">
        <f t="shared" si="21"/>
        <v/>
      </c>
      <c r="AF241" s="188" t="str">
        <f t="shared" si="22"/>
        <v/>
      </c>
      <c r="AH241" s="188">
        <v>232</v>
      </c>
      <c r="AJ241" s="188" t="str">
        <f t="array" ref="AJ241">IFERROR(INDEX($AH$10:$AH$258, MATCH(0, IF(TRUE=$AE$10:$AE$258, COUNTIF($AJ$9:$AJ240, $AH$10:$AH$258), ""), 0)),"")</f>
        <v/>
      </c>
      <c r="AK241" s="188" t="str">
        <f t="array" ref="AK241">IFERROR(INDEX($AH$10:$AH$258, MATCH(0, IF(TRUE=$AF$10:$AF$258, COUNTIF($AK$9:$AK240, $AH$10:$AH$258), ""), 0)),"")</f>
        <v/>
      </c>
      <c r="AL241" s="35" t="str">
        <f>IFERROR(INDEX('G-6 Hedgerow Data'!$BJ$3:$BJ$15,MATCH(D241,'G-6 Hedgerow Data'!$B$3:$B$15,0)),"")</f>
        <v/>
      </c>
    </row>
    <row r="242" spans="2:38" ht="13.8" x14ac:dyDescent="0.25">
      <c r="B242" s="168">
        <v>233</v>
      </c>
      <c r="C242" s="275"/>
      <c r="D242" s="275"/>
      <c r="E242" s="185"/>
      <c r="F242" s="277" t="str">
        <f>IF(D242="","",VLOOKUP(D242,'G-6 Hedgerow Data'!$B$2:$AG$15,2,FALSE))</f>
        <v/>
      </c>
      <c r="G242" s="172" t="str">
        <f>IF(D242="","",VLOOKUP(D242,'G-6 Hedgerow Data'!$B$2:$AG$15,3,FALSE))</f>
        <v/>
      </c>
      <c r="H242" s="173"/>
      <c r="I242" s="172" t="str">
        <f>IFERROR(VLOOKUP(H242,'G-1 All Habitats'!$Z$2:$AA$9,2,FALSE),"")</f>
        <v/>
      </c>
      <c r="J242" s="173"/>
      <c r="K242" s="179" t="str">
        <f>IF(J242="","",IF(VLOOKUP(J242,'G-3 Multipliers'!$L$3:$N$6,2,FALSE)=0,"Spatial Data Missing",VLOOKUP(J242,'G-3 Multipliers'!$L$3:$N$6,2,FALSE)))</f>
        <v/>
      </c>
      <c r="L242" s="260" t="str">
        <f>IF(J242="","",IF(VLOOKUP(J242,'G-3 Multipliers'!$L$3:$N$6,3,FALSE)=0,"Spatial Data Missing",VLOOKUP(J242,'G-3 Multipliers'!$L$3:$N$6,3,FALSE)))</f>
        <v/>
      </c>
      <c r="M242" s="177" t="str">
        <f>IF(D242="","",VLOOKUP(D242,'G-6 Hedgerow Data'!$B$1:$AH$15,33,FALSE))</f>
        <v/>
      </c>
      <c r="N242" s="207" t="str">
        <f t="shared" si="23"/>
        <v/>
      </c>
      <c r="O242" s="44"/>
      <c r="P242" s="186"/>
      <c r="Q242" s="275"/>
      <c r="R242" s="289" t="str">
        <f t="shared" si="24"/>
        <v/>
      </c>
      <c r="S242" s="289" t="str">
        <f t="shared" si="25"/>
        <v/>
      </c>
      <c r="T242" s="289" t="str">
        <f t="shared" si="26"/>
        <v/>
      </c>
      <c r="U242" s="290" t="str">
        <f t="shared" si="27"/>
        <v/>
      </c>
      <c r="V242" s="182"/>
      <c r="W242" s="183"/>
      <c r="AE242" s="188" t="str">
        <f t="shared" si="21"/>
        <v/>
      </c>
      <c r="AF242" s="188" t="str">
        <f t="shared" si="22"/>
        <v/>
      </c>
      <c r="AH242" s="188">
        <v>233</v>
      </c>
      <c r="AJ242" s="188" t="str">
        <f t="array" ref="AJ242">IFERROR(INDEX($AH$10:$AH$258, MATCH(0, IF(TRUE=$AE$10:$AE$258, COUNTIF($AJ$9:$AJ241, $AH$10:$AH$258), ""), 0)),"")</f>
        <v/>
      </c>
      <c r="AK242" s="188" t="str">
        <f t="array" ref="AK242">IFERROR(INDEX($AH$10:$AH$258, MATCH(0, IF(TRUE=$AF$10:$AF$258, COUNTIF($AK$9:$AK241, $AH$10:$AH$258), ""), 0)),"")</f>
        <v/>
      </c>
      <c r="AL242" s="35" t="str">
        <f>IFERROR(INDEX('G-6 Hedgerow Data'!$BJ$3:$BJ$15,MATCH(D242,'G-6 Hedgerow Data'!$B$3:$B$15,0)),"")</f>
        <v/>
      </c>
    </row>
    <row r="243" spans="2:38" ht="13.8" x14ac:dyDescent="0.25">
      <c r="B243" s="168">
        <v>234</v>
      </c>
      <c r="C243" s="275"/>
      <c r="D243" s="275"/>
      <c r="E243" s="185"/>
      <c r="F243" s="277" t="str">
        <f>IF(D243="","",VLOOKUP(D243,'G-6 Hedgerow Data'!$B$2:$AG$15,2,FALSE))</f>
        <v/>
      </c>
      <c r="G243" s="172" t="str">
        <f>IF(D243="","",VLOOKUP(D243,'G-6 Hedgerow Data'!$B$2:$AG$15,3,FALSE))</f>
        <v/>
      </c>
      <c r="H243" s="173"/>
      <c r="I243" s="172" t="str">
        <f>IFERROR(VLOOKUP(H243,'G-1 All Habitats'!$Z$2:$AA$9,2,FALSE),"")</f>
        <v/>
      </c>
      <c r="J243" s="173"/>
      <c r="K243" s="179" t="str">
        <f>IF(J243="","",IF(VLOOKUP(J243,'G-3 Multipliers'!$L$3:$N$6,2,FALSE)=0,"Spatial Data Missing",VLOOKUP(J243,'G-3 Multipliers'!$L$3:$N$6,2,FALSE)))</f>
        <v/>
      </c>
      <c r="L243" s="260" t="str">
        <f>IF(J243="","",IF(VLOOKUP(J243,'G-3 Multipliers'!$L$3:$N$6,3,FALSE)=0,"Spatial Data Missing",VLOOKUP(J243,'G-3 Multipliers'!$L$3:$N$6,3,FALSE)))</f>
        <v/>
      </c>
      <c r="M243" s="177" t="str">
        <f>IF(D243="","",VLOOKUP(D243,'G-6 Hedgerow Data'!$B$1:$AH$15,33,FALSE))</f>
        <v/>
      </c>
      <c r="N243" s="207" t="str">
        <f t="shared" si="23"/>
        <v/>
      </c>
      <c r="O243" s="44"/>
      <c r="P243" s="186"/>
      <c r="Q243" s="275"/>
      <c r="R243" s="289" t="str">
        <f t="shared" si="24"/>
        <v/>
      </c>
      <c r="S243" s="289" t="str">
        <f t="shared" si="25"/>
        <v/>
      </c>
      <c r="T243" s="289" t="str">
        <f t="shared" si="26"/>
        <v/>
      </c>
      <c r="U243" s="290" t="str">
        <f t="shared" si="27"/>
        <v/>
      </c>
      <c r="V243" s="182"/>
      <c r="W243" s="183"/>
      <c r="AE243" s="188" t="str">
        <f t="shared" si="21"/>
        <v/>
      </c>
      <c r="AF243" s="188" t="str">
        <f t="shared" si="22"/>
        <v/>
      </c>
      <c r="AH243" s="188">
        <v>234</v>
      </c>
      <c r="AJ243" s="188" t="str">
        <f t="array" ref="AJ243">IFERROR(INDEX($AH$10:$AH$258, MATCH(0, IF(TRUE=$AE$10:$AE$258, COUNTIF($AJ$9:$AJ242, $AH$10:$AH$258), ""), 0)),"")</f>
        <v/>
      </c>
      <c r="AK243" s="188" t="str">
        <f t="array" ref="AK243">IFERROR(INDEX($AH$10:$AH$258, MATCH(0, IF(TRUE=$AF$10:$AF$258, COUNTIF($AK$9:$AK242, $AH$10:$AH$258), ""), 0)),"")</f>
        <v/>
      </c>
      <c r="AL243" s="35" t="str">
        <f>IFERROR(INDEX('G-6 Hedgerow Data'!$BJ$3:$BJ$15,MATCH(D243,'G-6 Hedgerow Data'!$B$3:$B$15,0)),"")</f>
        <v/>
      </c>
    </row>
    <row r="244" spans="2:38" ht="13.8" x14ac:dyDescent="0.25">
      <c r="B244" s="168">
        <v>235</v>
      </c>
      <c r="C244" s="275"/>
      <c r="D244" s="275"/>
      <c r="E244" s="185"/>
      <c r="F244" s="277" t="str">
        <f>IF(D244="","",VLOOKUP(D244,'G-6 Hedgerow Data'!$B$2:$AG$15,2,FALSE))</f>
        <v/>
      </c>
      <c r="G244" s="172" t="str">
        <f>IF(D244="","",VLOOKUP(D244,'G-6 Hedgerow Data'!$B$2:$AG$15,3,FALSE))</f>
        <v/>
      </c>
      <c r="H244" s="173"/>
      <c r="I244" s="172" t="str">
        <f>IFERROR(VLOOKUP(H244,'G-1 All Habitats'!$Z$2:$AA$9,2,FALSE),"")</f>
        <v/>
      </c>
      <c r="J244" s="173"/>
      <c r="K244" s="179" t="str">
        <f>IF(J244="","",IF(VLOOKUP(J244,'G-3 Multipliers'!$L$3:$N$6,2,FALSE)=0,"Spatial Data Missing",VLOOKUP(J244,'G-3 Multipliers'!$L$3:$N$6,2,FALSE)))</f>
        <v/>
      </c>
      <c r="L244" s="260" t="str">
        <f>IF(J244="","",IF(VLOOKUP(J244,'G-3 Multipliers'!$L$3:$N$6,3,FALSE)=0,"Spatial Data Missing",VLOOKUP(J244,'G-3 Multipliers'!$L$3:$N$6,3,FALSE)))</f>
        <v/>
      </c>
      <c r="M244" s="177" t="str">
        <f>IF(D244="","",VLOOKUP(D244,'G-6 Hedgerow Data'!$B$1:$AH$15,33,FALSE))</f>
        <v/>
      </c>
      <c r="N244" s="207" t="str">
        <f t="shared" si="23"/>
        <v/>
      </c>
      <c r="O244" s="44"/>
      <c r="P244" s="186"/>
      <c r="Q244" s="275"/>
      <c r="R244" s="289" t="str">
        <f t="shared" si="24"/>
        <v/>
      </c>
      <c r="S244" s="289" t="str">
        <f t="shared" si="25"/>
        <v/>
      </c>
      <c r="T244" s="289" t="str">
        <f t="shared" si="26"/>
        <v/>
      </c>
      <c r="U244" s="290" t="str">
        <f t="shared" si="27"/>
        <v/>
      </c>
      <c r="V244" s="182"/>
      <c r="W244" s="183"/>
      <c r="AE244" s="188" t="str">
        <f t="shared" si="21"/>
        <v/>
      </c>
      <c r="AF244" s="188" t="str">
        <f t="shared" si="22"/>
        <v/>
      </c>
      <c r="AH244" s="188">
        <v>235</v>
      </c>
      <c r="AJ244" s="188" t="str">
        <f t="array" ref="AJ244">IFERROR(INDEX($AH$10:$AH$258, MATCH(0, IF(TRUE=$AE$10:$AE$258, COUNTIF($AJ$9:$AJ243, $AH$10:$AH$258), ""), 0)),"")</f>
        <v/>
      </c>
      <c r="AK244" s="188" t="str">
        <f t="array" ref="AK244">IFERROR(INDEX($AH$10:$AH$258, MATCH(0, IF(TRUE=$AF$10:$AF$258, COUNTIF($AK$9:$AK243, $AH$10:$AH$258), ""), 0)),"")</f>
        <v/>
      </c>
      <c r="AL244" s="35" t="str">
        <f>IFERROR(INDEX('G-6 Hedgerow Data'!$BJ$3:$BJ$15,MATCH(D244,'G-6 Hedgerow Data'!$B$3:$B$15,0)),"")</f>
        <v/>
      </c>
    </row>
    <row r="245" spans="2:38" ht="13.8" x14ac:dyDescent="0.25">
      <c r="B245" s="168">
        <v>236</v>
      </c>
      <c r="C245" s="275"/>
      <c r="D245" s="275"/>
      <c r="E245" s="185"/>
      <c r="F245" s="277" t="str">
        <f>IF(D245="","",VLOOKUP(D245,'G-6 Hedgerow Data'!$B$2:$AG$15,2,FALSE))</f>
        <v/>
      </c>
      <c r="G245" s="172" t="str">
        <f>IF(D245="","",VLOOKUP(D245,'G-6 Hedgerow Data'!$B$2:$AG$15,3,FALSE))</f>
        <v/>
      </c>
      <c r="H245" s="173"/>
      <c r="I245" s="172" t="str">
        <f>IFERROR(VLOOKUP(H245,'G-1 All Habitats'!$Z$2:$AA$9,2,FALSE),"")</f>
        <v/>
      </c>
      <c r="J245" s="173"/>
      <c r="K245" s="179" t="str">
        <f>IF(J245="","",IF(VLOOKUP(J245,'G-3 Multipliers'!$L$3:$N$6,2,FALSE)=0,"Spatial Data Missing",VLOOKUP(J245,'G-3 Multipliers'!$L$3:$N$6,2,FALSE)))</f>
        <v/>
      </c>
      <c r="L245" s="260" t="str">
        <f>IF(J245="","",IF(VLOOKUP(J245,'G-3 Multipliers'!$L$3:$N$6,3,FALSE)=0,"Spatial Data Missing",VLOOKUP(J245,'G-3 Multipliers'!$L$3:$N$6,3,FALSE)))</f>
        <v/>
      </c>
      <c r="M245" s="177" t="str">
        <f>IF(D245="","",VLOOKUP(D245,'G-6 Hedgerow Data'!$B$1:$AH$15,33,FALSE))</f>
        <v/>
      </c>
      <c r="N245" s="207" t="str">
        <f t="shared" si="23"/>
        <v/>
      </c>
      <c r="O245" s="44"/>
      <c r="P245" s="186"/>
      <c r="Q245" s="275"/>
      <c r="R245" s="289" t="str">
        <f t="shared" si="24"/>
        <v/>
      </c>
      <c r="S245" s="289" t="str">
        <f t="shared" si="25"/>
        <v/>
      </c>
      <c r="T245" s="289" t="str">
        <f t="shared" si="26"/>
        <v/>
      </c>
      <c r="U245" s="290" t="str">
        <f t="shared" si="27"/>
        <v/>
      </c>
      <c r="V245" s="182"/>
      <c r="W245" s="183"/>
      <c r="AE245" s="188" t="str">
        <f t="shared" si="21"/>
        <v/>
      </c>
      <c r="AF245" s="188" t="str">
        <f t="shared" si="22"/>
        <v/>
      </c>
      <c r="AH245" s="188">
        <v>236</v>
      </c>
      <c r="AJ245" s="188" t="str">
        <f t="array" ref="AJ245">IFERROR(INDEX($AH$10:$AH$258, MATCH(0, IF(TRUE=$AE$10:$AE$258, COUNTIF($AJ$9:$AJ244, $AH$10:$AH$258), ""), 0)),"")</f>
        <v/>
      </c>
      <c r="AK245" s="188" t="str">
        <f t="array" ref="AK245">IFERROR(INDEX($AH$10:$AH$258, MATCH(0, IF(TRUE=$AF$10:$AF$258, COUNTIF($AK$9:$AK244, $AH$10:$AH$258), ""), 0)),"")</f>
        <v/>
      </c>
      <c r="AL245" s="35" t="str">
        <f>IFERROR(INDEX('G-6 Hedgerow Data'!$BJ$3:$BJ$15,MATCH(D245,'G-6 Hedgerow Data'!$B$3:$B$15,0)),"")</f>
        <v/>
      </c>
    </row>
    <row r="246" spans="2:38" ht="13.8" x14ac:dyDescent="0.25">
      <c r="B246" s="168">
        <v>237</v>
      </c>
      <c r="C246" s="275"/>
      <c r="D246" s="275"/>
      <c r="E246" s="185"/>
      <c r="F246" s="277" t="str">
        <f>IF(D246="","",VLOOKUP(D246,'G-6 Hedgerow Data'!$B$2:$AG$15,2,FALSE))</f>
        <v/>
      </c>
      <c r="G246" s="172" t="str">
        <f>IF(D246="","",VLOOKUP(D246,'G-6 Hedgerow Data'!$B$2:$AG$15,3,FALSE))</f>
        <v/>
      </c>
      <c r="H246" s="173"/>
      <c r="I246" s="172" t="str">
        <f>IFERROR(VLOOKUP(H246,'G-1 All Habitats'!$Z$2:$AA$9,2,FALSE),"")</f>
        <v/>
      </c>
      <c r="J246" s="173"/>
      <c r="K246" s="179" t="str">
        <f>IF(J246="","",IF(VLOOKUP(J246,'G-3 Multipliers'!$L$3:$N$6,2,FALSE)=0,"Spatial Data Missing",VLOOKUP(J246,'G-3 Multipliers'!$L$3:$N$6,2,FALSE)))</f>
        <v/>
      </c>
      <c r="L246" s="260" t="str">
        <f>IF(J246="","",IF(VLOOKUP(J246,'G-3 Multipliers'!$L$3:$N$6,3,FALSE)=0,"Spatial Data Missing",VLOOKUP(J246,'G-3 Multipliers'!$L$3:$N$6,3,FALSE)))</f>
        <v/>
      </c>
      <c r="M246" s="177" t="str">
        <f>IF(D246="","",VLOOKUP(D246,'G-6 Hedgerow Data'!$B$1:$AH$15,33,FALSE))</f>
        <v/>
      </c>
      <c r="N246" s="207" t="str">
        <f t="shared" si="23"/>
        <v/>
      </c>
      <c r="O246" s="44"/>
      <c r="P246" s="186"/>
      <c r="Q246" s="275"/>
      <c r="R246" s="289" t="str">
        <f t="shared" si="24"/>
        <v/>
      </c>
      <c r="S246" s="289" t="str">
        <f t="shared" si="25"/>
        <v/>
      </c>
      <c r="T246" s="289" t="str">
        <f t="shared" si="26"/>
        <v/>
      </c>
      <c r="U246" s="290" t="str">
        <f t="shared" si="27"/>
        <v/>
      </c>
      <c r="V246" s="182"/>
      <c r="W246" s="183"/>
      <c r="AE246" s="188" t="str">
        <f t="shared" si="21"/>
        <v/>
      </c>
      <c r="AF246" s="188" t="str">
        <f t="shared" si="22"/>
        <v/>
      </c>
      <c r="AH246" s="188">
        <v>237</v>
      </c>
      <c r="AJ246" s="188" t="str">
        <f t="array" ref="AJ246">IFERROR(INDEX($AH$10:$AH$258, MATCH(0, IF(TRUE=$AE$10:$AE$258, COUNTIF($AJ$9:$AJ245, $AH$10:$AH$258), ""), 0)),"")</f>
        <v/>
      </c>
      <c r="AK246" s="188" t="str">
        <f t="array" ref="AK246">IFERROR(INDEX($AH$10:$AH$258, MATCH(0, IF(TRUE=$AF$10:$AF$258, COUNTIF($AK$9:$AK245, $AH$10:$AH$258), ""), 0)),"")</f>
        <v/>
      </c>
      <c r="AL246" s="35" t="str">
        <f>IFERROR(INDEX('G-6 Hedgerow Data'!$BJ$3:$BJ$15,MATCH(D246,'G-6 Hedgerow Data'!$B$3:$B$15,0)),"")</f>
        <v/>
      </c>
    </row>
    <row r="247" spans="2:38" ht="13.8" x14ac:dyDescent="0.25">
      <c r="B247" s="168">
        <v>238</v>
      </c>
      <c r="C247" s="275"/>
      <c r="D247" s="275"/>
      <c r="E247" s="185"/>
      <c r="F247" s="277" t="str">
        <f>IF(D247="","",VLOOKUP(D247,'G-6 Hedgerow Data'!$B$2:$AG$15,2,FALSE))</f>
        <v/>
      </c>
      <c r="G247" s="172" t="str">
        <f>IF(D247="","",VLOOKUP(D247,'G-6 Hedgerow Data'!$B$2:$AG$15,3,FALSE))</f>
        <v/>
      </c>
      <c r="H247" s="173"/>
      <c r="I247" s="172" t="str">
        <f>IFERROR(VLOOKUP(H247,'G-1 All Habitats'!$Z$2:$AA$9,2,FALSE),"")</f>
        <v/>
      </c>
      <c r="J247" s="173"/>
      <c r="K247" s="179" t="str">
        <f>IF(J247="","",IF(VLOOKUP(J247,'G-3 Multipliers'!$L$3:$N$6,2,FALSE)=0,"Spatial Data Missing",VLOOKUP(J247,'G-3 Multipliers'!$L$3:$N$6,2,FALSE)))</f>
        <v/>
      </c>
      <c r="L247" s="260" t="str">
        <f>IF(J247="","",IF(VLOOKUP(J247,'G-3 Multipliers'!$L$3:$N$6,3,FALSE)=0,"Spatial Data Missing",VLOOKUP(J247,'G-3 Multipliers'!$L$3:$N$6,3,FALSE)))</f>
        <v/>
      </c>
      <c r="M247" s="177" t="str">
        <f>IF(D247="","",VLOOKUP(D247,'G-6 Hedgerow Data'!$B$1:$AH$15,33,FALSE))</f>
        <v/>
      </c>
      <c r="N247" s="207" t="str">
        <f t="shared" si="23"/>
        <v/>
      </c>
      <c r="O247" s="44"/>
      <c r="P247" s="186"/>
      <c r="Q247" s="275"/>
      <c r="R247" s="289" t="str">
        <f t="shared" si="24"/>
        <v/>
      </c>
      <c r="S247" s="289" t="str">
        <f t="shared" si="25"/>
        <v/>
      </c>
      <c r="T247" s="289" t="str">
        <f t="shared" si="26"/>
        <v/>
      </c>
      <c r="U247" s="290" t="str">
        <f t="shared" si="27"/>
        <v/>
      </c>
      <c r="V247" s="182"/>
      <c r="W247" s="183"/>
      <c r="AE247" s="188" t="str">
        <f t="shared" si="21"/>
        <v/>
      </c>
      <c r="AF247" s="188" t="str">
        <f t="shared" si="22"/>
        <v/>
      </c>
      <c r="AH247" s="188">
        <v>238</v>
      </c>
      <c r="AJ247" s="188" t="str">
        <f t="array" ref="AJ247">IFERROR(INDEX($AH$10:$AH$258, MATCH(0, IF(TRUE=$AE$10:$AE$258, COUNTIF($AJ$9:$AJ246, $AH$10:$AH$258), ""), 0)),"")</f>
        <v/>
      </c>
      <c r="AK247" s="188" t="str">
        <f t="array" ref="AK247">IFERROR(INDEX($AH$10:$AH$258, MATCH(0, IF(TRUE=$AF$10:$AF$258, COUNTIF($AK$9:$AK246, $AH$10:$AH$258), ""), 0)),"")</f>
        <v/>
      </c>
      <c r="AL247" s="35" t="str">
        <f>IFERROR(INDEX('G-6 Hedgerow Data'!$BJ$3:$BJ$15,MATCH(D247,'G-6 Hedgerow Data'!$B$3:$B$15,0)),"")</f>
        <v/>
      </c>
    </row>
    <row r="248" spans="2:38" ht="13.8" x14ac:dyDescent="0.25">
      <c r="B248" s="168">
        <v>239</v>
      </c>
      <c r="C248" s="275"/>
      <c r="D248" s="275"/>
      <c r="E248" s="185"/>
      <c r="F248" s="277" t="str">
        <f>IF(D248="","",VLOOKUP(D248,'G-6 Hedgerow Data'!$B$2:$AG$15,2,FALSE))</f>
        <v/>
      </c>
      <c r="G248" s="172" t="str">
        <f>IF(D248="","",VLOOKUP(D248,'G-6 Hedgerow Data'!$B$2:$AG$15,3,FALSE))</f>
        <v/>
      </c>
      <c r="H248" s="173"/>
      <c r="I248" s="172" t="str">
        <f>IFERROR(VLOOKUP(H248,'G-1 All Habitats'!$Z$2:$AA$9,2,FALSE),"")</f>
        <v/>
      </c>
      <c r="J248" s="173"/>
      <c r="K248" s="179" t="str">
        <f>IF(J248="","",IF(VLOOKUP(J248,'G-3 Multipliers'!$L$3:$N$6,2,FALSE)=0,"Spatial Data Missing",VLOOKUP(J248,'G-3 Multipliers'!$L$3:$N$6,2,FALSE)))</f>
        <v/>
      </c>
      <c r="L248" s="260" t="str">
        <f>IF(J248="","",IF(VLOOKUP(J248,'G-3 Multipliers'!$L$3:$N$6,3,FALSE)=0,"Spatial Data Missing",VLOOKUP(J248,'G-3 Multipliers'!$L$3:$N$6,3,FALSE)))</f>
        <v/>
      </c>
      <c r="M248" s="177" t="str">
        <f>IF(D248="","",VLOOKUP(D248,'G-6 Hedgerow Data'!$B$1:$AH$15,33,FALSE))</f>
        <v/>
      </c>
      <c r="N248" s="207" t="str">
        <f t="shared" si="23"/>
        <v/>
      </c>
      <c r="O248" s="44"/>
      <c r="P248" s="186"/>
      <c r="Q248" s="275"/>
      <c r="R248" s="289" t="str">
        <f t="shared" si="24"/>
        <v/>
      </c>
      <c r="S248" s="289" t="str">
        <f t="shared" si="25"/>
        <v/>
      </c>
      <c r="T248" s="289" t="str">
        <f t="shared" si="26"/>
        <v/>
      </c>
      <c r="U248" s="290" t="str">
        <f t="shared" si="27"/>
        <v/>
      </c>
      <c r="V248" s="182"/>
      <c r="W248" s="183"/>
      <c r="AE248" s="188" t="str">
        <f t="shared" si="21"/>
        <v/>
      </c>
      <c r="AF248" s="188" t="str">
        <f t="shared" si="22"/>
        <v/>
      </c>
      <c r="AH248" s="188">
        <v>239</v>
      </c>
      <c r="AJ248" s="188" t="str">
        <f t="array" ref="AJ248">IFERROR(INDEX($AH$10:$AH$258, MATCH(0, IF(TRUE=$AE$10:$AE$258, COUNTIF($AJ$9:$AJ247, $AH$10:$AH$258), ""), 0)),"")</f>
        <v/>
      </c>
      <c r="AK248" s="188" t="str">
        <f t="array" ref="AK248">IFERROR(INDEX($AH$10:$AH$258, MATCH(0, IF(TRUE=$AF$10:$AF$258, COUNTIF($AK$9:$AK247, $AH$10:$AH$258), ""), 0)),"")</f>
        <v/>
      </c>
      <c r="AL248" s="35" t="str">
        <f>IFERROR(INDEX('G-6 Hedgerow Data'!$BJ$3:$BJ$15,MATCH(D248,'G-6 Hedgerow Data'!$B$3:$B$15,0)),"")</f>
        <v/>
      </c>
    </row>
    <row r="249" spans="2:38" ht="13.8" x14ac:dyDescent="0.25">
      <c r="B249" s="168">
        <v>240</v>
      </c>
      <c r="C249" s="275"/>
      <c r="D249" s="275"/>
      <c r="E249" s="185"/>
      <c r="F249" s="277" t="str">
        <f>IF(D249="","",VLOOKUP(D249,'G-6 Hedgerow Data'!$B$2:$AG$15,2,FALSE))</f>
        <v/>
      </c>
      <c r="G249" s="172" t="str">
        <f>IF(D249="","",VLOOKUP(D249,'G-6 Hedgerow Data'!$B$2:$AG$15,3,FALSE))</f>
        <v/>
      </c>
      <c r="H249" s="173"/>
      <c r="I249" s="172" t="str">
        <f>IFERROR(VLOOKUP(H249,'G-1 All Habitats'!$Z$2:$AA$9,2,FALSE),"")</f>
        <v/>
      </c>
      <c r="J249" s="173"/>
      <c r="K249" s="179" t="str">
        <f>IF(J249="","",IF(VLOOKUP(J249,'G-3 Multipliers'!$L$3:$N$6,2,FALSE)=0,"Spatial Data Missing",VLOOKUP(J249,'G-3 Multipliers'!$L$3:$N$6,2,FALSE)))</f>
        <v/>
      </c>
      <c r="L249" s="260" t="str">
        <f>IF(J249="","",IF(VLOOKUP(J249,'G-3 Multipliers'!$L$3:$N$6,3,FALSE)=0,"Spatial Data Missing",VLOOKUP(J249,'G-3 Multipliers'!$L$3:$N$6,3,FALSE)))</f>
        <v/>
      </c>
      <c r="M249" s="177" t="str">
        <f>IF(D249="","",VLOOKUP(D249,'G-6 Hedgerow Data'!$B$1:$AH$15,33,FALSE))</f>
        <v/>
      </c>
      <c r="N249" s="207" t="str">
        <f t="shared" si="23"/>
        <v/>
      </c>
      <c r="O249" s="44"/>
      <c r="P249" s="186"/>
      <c r="Q249" s="275"/>
      <c r="R249" s="289" t="str">
        <f t="shared" si="24"/>
        <v/>
      </c>
      <c r="S249" s="289" t="str">
        <f t="shared" si="25"/>
        <v/>
      </c>
      <c r="T249" s="289" t="str">
        <f t="shared" si="26"/>
        <v/>
      </c>
      <c r="U249" s="290" t="str">
        <f t="shared" si="27"/>
        <v/>
      </c>
      <c r="V249" s="182"/>
      <c r="W249" s="183"/>
      <c r="AE249" s="188" t="str">
        <f t="shared" si="21"/>
        <v/>
      </c>
      <c r="AF249" s="188" t="str">
        <f t="shared" si="22"/>
        <v/>
      </c>
      <c r="AH249" s="188">
        <v>240</v>
      </c>
      <c r="AJ249" s="188" t="str">
        <f t="array" ref="AJ249">IFERROR(INDEX($AH$10:$AH$258, MATCH(0, IF(TRUE=$AE$10:$AE$258, COUNTIF($AJ$9:$AJ248, $AH$10:$AH$258), ""), 0)),"")</f>
        <v/>
      </c>
      <c r="AK249" s="188" t="str">
        <f t="array" ref="AK249">IFERROR(INDEX($AH$10:$AH$258, MATCH(0, IF(TRUE=$AF$10:$AF$258, COUNTIF($AK$9:$AK248, $AH$10:$AH$258), ""), 0)),"")</f>
        <v/>
      </c>
      <c r="AL249" s="35" t="str">
        <f>IFERROR(INDEX('G-6 Hedgerow Data'!$BJ$3:$BJ$15,MATCH(D249,'G-6 Hedgerow Data'!$B$3:$B$15,0)),"")</f>
        <v/>
      </c>
    </row>
    <row r="250" spans="2:38" ht="13.8" x14ac:dyDescent="0.25">
      <c r="B250" s="168">
        <v>241</v>
      </c>
      <c r="C250" s="275"/>
      <c r="D250" s="275"/>
      <c r="E250" s="185"/>
      <c r="F250" s="277" t="str">
        <f>IF(D250="","",VLOOKUP(D250,'G-6 Hedgerow Data'!$B$2:$AG$15,2,FALSE))</f>
        <v/>
      </c>
      <c r="G250" s="172" t="str">
        <f>IF(D250="","",VLOOKUP(D250,'G-6 Hedgerow Data'!$B$2:$AG$15,3,FALSE))</f>
        <v/>
      </c>
      <c r="H250" s="173"/>
      <c r="I250" s="172" t="str">
        <f>IFERROR(VLOOKUP(H250,'G-1 All Habitats'!$Z$2:$AA$9,2,FALSE),"")</f>
        <v/>
      </c>
      <c r="J250" s="173"/>
      <c r="K250" s="179" t="str">
        <f>IF(J250="","",IF(VLOOKUP(J250,'G-3 Multipliers'!$L$3:$N$6,2,FALSE)=0,"Spatial Data Missing",VLOOKUP(J250,'G-3 Multipliers'!$L$3:$N$6,2,FALSE)))</f>
        <v/>
      </c>
      <c r="L250" s="260" t="str">
        <f>IF(J250="","",IF(VLOOKUP(J250,'G-3 Multipliers'!$L$3:$N$6,3,FALSE)=0,"Spatial Data Missing",VLOOKUP(J250,'G-3 Multipliers'!$L$3:$N$6,3,FALSE)))</f>
        <v/>
      </c>
      <c r="M250" s="177" t="str">
        <f>IF(D250="","",VLOOKUP(D250,'G-6 Hedgerow Data'!$B$1:$AH$15,33,FALSE))</f>
        <v/>
      </c>
      <c r="N250" s="207" t="str">
        <f t="shared" si="23"/>
        <v/>
      </c>
      <c r="O250" s="44"/>
      <c r="P250" s="186"/>
      <c r="Q250" s="275"/>
      <c r="R250" s="289" t="str">
        <f t="shared" si="24"/>
        <v/>
      </c>
      <c r="S250" s="289" t="str">
        <f t="shared" si="25"/>
        <v/>
      </c>
      <c r="T250" s="289" t="str">
        <f t="shared" si="26"/>
        <v/>
      </c>
      <c r="U250" s="290" t="str">
        <f t="shared" si="27"/>
        <v/>
      </c>
      <c r="V250" s="182"/>
      <c r="W250" s="183"/>
      <c r="AE250" s="188" t="str">
        <f t="shared" si="21"/>
        <v/>
      </c>
      <c r="AF250" s="188" t="str">
        <f t="shared" si="22"/>
        <v/>
      </c>
      <c r="AH250" s="188">
        <v>241</v>
      </c>
      <c r="AJ250" s="188" t="str">
        <f t="array" ref="AJ250">IFERROR(INDEX($AH$10:$AH$258, MATCH(0, IF(TRUE=$AE$10:$AE$258, COUNTIF($AJ$9:$AJ249, $AH$10:$AH$258), ""), 0)),"")</f>
        <v/>
      </c>
      <c r="AK250" s="188" t="str">
        <f t="array" ref="AK250">IFERROR(INDEX($AH$10:$AH$258, MATCH(0, IF(TRUE=$AF$10:$AF$258, COUNTIF($AK$9:$AK249, $AH$10:$AH$258), ""), 0)),"")</f>
        <v/>
      </c>
      <c r="AL250" s="35" t="str">
        <f>IFERROR(INDEX('G-6 Hedgerow Data'!$BJ$3:$BJ$15,MATCH(D250,'G-6 Hedgerow Data'!$B$3:$B$15,0)),"")</f>
        <v/>
      </c>
    </row>
    <row r="251" spans="2:38" ht="13.8" x14ac:dyDescent="0.25">
      <c r="B251" s="168">
        <v>242</v>
      </c>
      <c r="C251" s="275"/>
      <c r="D251" s="275"/>
      <c r="E251" s="185"/>
      <c r="F251" s="277" t="str">
        <f>IF(D251="","",VLOOKUP(D251,'G-6 Hedgerow Data'!$B$2:$AG$15,2,FALSE))</f>
        <v/>
      </c>
      <c r="G251" s="172" t="str">
        <f>IF(D251="","",VLOOKUP(D251,'G-6 Hedgerow Data'!$B$2:$AG$15,3,FALSE))</f>
        <v/>
      </c>
      <c r="H251" s="173"/>
      <c r="I251" s="172" t="str">
        <f>IFERROR(VLOOKUP(H251,'G-1 All Habitats'!$Z$2:$AA$9,2,FALSE),"")</f>
        <v/>
      </c>
      <c r="J251" s="173"/>
      <c r="K251" s="179" t="str">
        <f>IF(J251="","",IF(VLOOKUP(J251,'G-3 Multipliers'!$L$3:$N$6,2,FALSE)=0,"Spatial Data Missing",VLOOKUP(J251,'G-3 Multipliers'!$L$3:$N$6,2,FALSE)))</f>
        <v/>
      </c>
      <c r="L251" s="260" t="str">
        <f>IF(J251="","",IF(VLOOKUP(J251,'G-3 Multipliers'!$L$3:$N$6,3,FALSE)=0,"Spatial Data Missing",VLOOKUP(J251,'G-3 Multipliers'!$L$3:$N$6,3,FALSE)))</f>
        <v/>
      </c>
      <c r="M251" s="177" t="str">
        <f>IF(D251="","",VLOOKUP(D251,'G-6 Hedgerow Data'!$B$1:$AH$15,33,FALSE))</f>
        <v/>
      </c>
      <c r="N251" s="207" t="str">
        <f t="shared" si="23"/>
        <v/>
      </c>
      <c r="O251" s="44"/>
      <c r="P251" s="186"/>
      <c r="Q251" s="275"/>
      <c r="R251" s="289" t="str">
        <f t="shared" si="24"/>
        <v/>
      </c>
      <c r="S251" s="289" t="str">
        <f t="shared" si="25"/>
        <v/>
      </c>
      <c r="T251" s="289" t="str">
        <f t="shared" si="26"/>
        <v/>
      </c>
      <c r="U251" s="290" t="str">
        <f t="shared" si="27"/>
        <v/>
      </c>
      <c r="V251" s="182"/>
      <c r="W251" s="183"/>
      <c r="AE251" s="188" t="str">
        <f t="shared" si="21"/>
        <v/>
      </c>
      <c r="AF251" s="188" t="str">
        <f t="shared" si="22"/>
        <v/>
      </c>
      <c r="AH251" s="188">
        <v>242</v>
      </c>
      <c r="AJ251" s="188" t="str">
        <f t="array" ref="AJ251">IFERROR(INDEX($AH$10:$AH$258, MATCH(0, IF(TRUE=$AE$10:$AE$258, COUNTIF($AJ$9:$AJ250, $AH$10:$AH$258), ""), 0)),"")</f>
        <v/>
      </c>
      <c r="AK251" s="188" t="str">
        <f t="array" ref="AK251">IFERROR(INDEX($AH$10:$AH$258, MATCH(0, IF(TRUE=$AF$10:$AF$258, COUNTIF($AK$9:$AK250, $AH$10:$AH$258), ""), 0)),"")</f>
        <v/>
      </c>
      <c r="AL251" s="35" t="str">
        <f>IFERROR(INDEX('G-6 Hedgerow Data'!$BJ$3:$BJ$15,MATCH(D251,'G-6 Hedgerow Data'!$B$3:$B$15,0)),"")</f>
        <v/>
      </c>
    </row>
    <row r="252" spans="2:38" ht="13.8" x14ac:dyDescent="0.25">
      <c r="B252" s="168">
        <v>243</v>
      </c>
      <c r="C252" s="275"/>
      <c r="D252" s="275"/>
      <c r="E252" s="185"/>
      <c r="F252" s="277" t="str">
        <f>IF(D252="","",VLOOKUP(D252,'G-6 Hedgerow Data'!$B$2:$AG$15,2,FALSE))</f>
        <v/>
      </c>
      <c r="G252" s="172" t="str">
        <f>IF(D252="","",VLOOKUP(D252,'G-6 Hedgerow Data'!$B$2:$AG$15,3,FALSE))</f>
        <v/>
      </c>
      <c r="H252" s="173"/>
      <c r="I252" s="172" t="str">
        <f>IFERROR(VLOOKUP(H252,'G-1 All Habitats'!$Z$2:$AA$9,2,FALSE),"")</f>
        <v/>
      </c>
      <c r="J252" s="173"/>
      <c r="K252" s="179" t="str">
        <f>IF(J252="","",IF(VLOOKUP(J252,'G-3 Multipliers'!$L$3:$N$6,2,FALSE)=0,"Spatial Data Missing",VLOOKUP(J252,'G-3 Multipliers'!$L$3:$N$6,2,FALSE)))</f>
        <v/>
      </c>
      <c r="L252" s="260" t="str">
        <f>IF(J252="","",IF(VLOOKUP(J252,'G-3 Multipliers'!$L$3:$N$6,3,FALSE)=0,"Spatial Data Missing",VLOOKUP(J252,'G-3 Multipliers'!$L$3:$N$6,3,FALSE)))</f>
        <v/>
      </c>
      <c r="M252" s="177" t="str">
        <f>IF(D252="","",VLOOKUP(D252,'G-6 Hedgerow Data'!$B$1:$AH$15,33,FALSE))</f>
        <v/>
      </c>
      <c r="N252" s="207" t="str">
        <f t="shared" si="23"/>
        <v/>
      </c>
      <c r="O252" s="44"/>
      <c r="P252" s="186"/>
      <c r="Q252" s="275"/>
      <c r="R252" s="289" t="str">
        <f t="shared" si="24"/>
        <v/>
      </c>
      <c r="S252" s="289" t="str">
        <f t="shared" si="25"/>
        <v/>
      </c>
      <c r="T252" s="289" t="str">
        <f t="shared" si="26"/>
        <v/>
      </c>
      <c r="U252" s="290" t="str">
        <f t="shared" si="27"/>
        <v/>
      </c>
      <c r="V252" s="182"/>
      <c r="W252" s="183"/>
      <c r="AE252" s="188" t="str">
        <f t="shared" si="21"/>
        <v/>
      </c>
      <c r="AF252" s="188" t="str">
        <f t="shared" si="22"/>
        <v/>
      </c>
      <c r="AH252" s="188">
        <v>243</v>
      </c>
      <c r="AJ252" s="188" t="str">
        <f t="array" ref="AJ252">IFERROR(INDEX($AH$10:$AH$258, MATCH(0, IF(TRUE=$AE$10:$AE$258, COUNTIF($AJ$9:$AJ251, $AH$10:$AH$258), ""), 0)),"")</f>
        <v/>
      </c>
      <c r="AK252" s="188" t="str">
        <f t="array" ref="AK252">IFERROR(INDEX($AH$10:$AH$258, MATCH(0, IF(TRUE=$AF$10:$AF$258, COUNTIF($AK$9:$AK251, $AH$10:$AH$258), ""), 0)),"")</f>
        <v/>
      </c>
      <c r="AL252" s="35" t="str">
        <f>IFERROR(INDEX('G-6 Hedgerow Data'!$BJ$3:$BJ$15,MATCH(D252,'G-6 Hedgerow Data'!$B$3:$B$15,0)),"")</f>
        <v/>
      </c>
    </row>
    <row r="253" spans="2:38" ht="13.8" x14ac:dyDescent="0.25">
      <c r="B253" s="168">
        <v>244</v>
      </c>
      <c r="C253" s="275"/>
      <c r="D253" s="275"/>
      <c r="E253" s="185"/>
      <c r="F253" s="277" t="str">
        <f>IF(D253="","",VLOOKUP(D253,'G-6 Hedgerow Data'!$B$2:$AG$15,2,FALSE))</f>
        <v/>
      </c>
      <c r="G253" s="172" t="str">
        <f>IF(D253="","",VLOOKUP(D253,'G-6 Hedgerow Data'!$B$2:$AG$15,3,FALSE))</f>
        <v/>
      </c>
      <c r="H253" s="173"/>
      <c r="I253" s="172" t="str">
        <f>IFERROR(VLOOKUP(H253,'G-1 All Habitats'!$Z$2:$AA$9,2,FALSE),"")</f>
        <v/>
      </c>
      <c r="J253" s="173"/>
      <c r="K253" s="179" t="str">
        <f>IF(J253="","",IF(VLOOKUP(J253,'G-3 Multipliers'!$L$3:$N$6,2,FALSE)=0,"Spatial Data Missing",VLOOKUP(J253,'G-3 Multipliers'!$L$3:$N$6,2,FALSE)))</f>
        <v/>
      </c>
      <c r="L253" s="260" t="str">
        <f>IF(J253="","",IF(VLOOKUP(J253,'G-3 Multipliers'!$L$3:$N$6,3,FALSE)=0,"Spatial Data Missing",VLOOKUP(J253,'G-3 Multipliers'!$L$3:$N$6,3,FALSE)))</f>
        <v/>
      </c>
      <c r="M253" s="177" t="str">
        <f>IF(D253="","",VLOOKUP(D253,'G-6 Hedgerow Data'!$B$1:$AH$15,33,FALSE))</f>
        <v/>
      </c>
      <c r="N253" s="207" t="str">
        <f t="shared" si="23"/>
        <v/>
      </c>
      <c r="O253" s="44"/>
      <c r="P253" s="186"/>
      <c r="Q253" s="275"/>
      <c r="R253" s="289" t="str">
        <f t="shared" si="24"/>
        <v/>
      </c>
      <c r="S253" s="289" t="str">
        <f t="shared" si="25"/>
        <v/>
      </c>
      <c r="T253" s="289" t="str">
        <f t="shared" si="26"/>
        <v/>
      </c>
      <c r="U253" s="290" t="str">
        <f t="shared" si="27"/>
        <v/>
      </c>
      <c r="V253" s="182"/>
      <c r="W253" s="183"/>
      <c r="AE253" s="188" t="str">
        <f t="shared" si="21"/>
        <v/>
      </c>
      <c r="AF253" s="188" t="str">
        <f t="shared" si="22"/>
        <v/>
      </c>
      <c r="AH253" s="188">
        <v>244</v>
      </c>
      <c r="AJ253" s="188" t="str">
        <f t="array" ref="AJ253">IFERROR(INDEX($AH$10:$AH$258, MATCH(0, IF(TRUE=$AE$10:$AE$258, COUNTIF($AJ$9:$AJ252, $AH$10:$AH$258), ""), 0)),"")</f>
        <v/>
      </c>
      <c r="AK253" s="188" t="str">
        <f t="array" ref="AK253">IFERROR(INDEX($AH$10:$AH$258, MATCH(0, IF(TRUE=$AF$10:$AF$258, COUNTIF($AK$9:$AK252, $AH$10:$AH$258), ""), 0)),"")</f>
        <v/>
      </c>
      <c r="AL253" s="35" t="str">
        <f>IFERROR(INDEX('G-6 Hedgerow Data'!$BJ$3:$BJ$15,MATCH(D253,'G-6 Hedgerow Data'!$B$3:$B$15,0)),"")</f>
        <v/>
      </c>
    </row>
    <row r="254" spans="2:38" ht="13.8" x14ac:dyDescent="0.25">
      <c r="B254" s="168">
        <v>245</v>
      </c>
      <c r="C254" s="275"/>
      <c r="D254" s="275"/>
      <c r="E254" s="185"/>
      <c r="F254" s="277" t="str">
        <f>IF(D254="","",VLOOKUP(D254,'G-6 Hedgerow Data'!$B$2:$AG$15,2,FALSE))</f>
        <v/>
      </c>
      <c r="G254" s="172" t="str">
        <f>IF(D254="","",VLOOKUP(D254,'G-6 Hedgerow Data'!$B$2:$AG$15,3,FALSE))</f>
        <v/>
      </c>
      <c r="H254" s="173"/>
      <c r="I254" s="172" t="str">
        <f>IFERROR(VLOOKUP(H254,'G-1 All Habitats'!$Z$2:$AA$9,2,FALSE),"")</f>
        <v/>
      </c>
      <c r="J254" s="173"/>
      <c r="K254" s="179" t="str">
        <f>IF(J254="","",IF(VLOOKUP(J254,'G-3 Multipliers'!$L$3:$N$6,2,FALSE)=0,"Spatial Data Missing",VLOOKUP(J254,'G-3 Multipliers'!$L$3:$N$6,2,FALSE)))</f>
        <v/>
      </c>
      <c r="L254" s="260" t="str">
        <f>IF(J254="","",IF(VLOOKUP(J254,'G-3 Multipliers'!$L$3:$N$6,3,FALSE)=0,"Spatial Data Missing",VLOOKUP(J254,'G-3 Multipliers'!$L$3:$N$6,3,FALSE)))</f>
        <v/>
      </c>
      <c r="M254" s="177" t="str">
        <f>IF(D254="","",VLOOKUP(D254,'G-6 Hedgerow Data'!$B$1:$AH$15,33,FALSE))</f>
        <v/>
      </c>
      <c r="N254" s="207" t="str">
        <f t="shared" si="23"/>
        <v/>
      </c>
      <c r="O254" s="44"/>
      <c r="P254" s="186"/>
      <c r="Q254" s="275"/>
      <c r="R254" s="289" t="str">
        <f t="shared" si="24"/>
        <v/>
      </c>
      <c r="S254" s="289" t="str">
        <f t="shared" si="25"/>
        <v/>
      </c>
      <c r="T254" s="289" t="str">
        <f t="shared" si="26"/>
        <v/>
      </c>
      <c r="U254" s="290" t="str">
        <f t="shared" si="27"/>
        <v/>
      </c>
      <c r="V254" s="182"/>
      <c r="W254" s="183"/>
      <c r="AE254" s="188" t="str">
        <f t="shared" si="21"/>
        <v/>
      </c>
      <c r="AF254" s="188" t="str">
        <f t="shared" si="22"/>
        <v/>
      </c>
      <c r="AH254" s="188">
        <v>245</v>
      </c>
      <c r="AJ254" s="188" t="str">
        <f t="array" ref="AJ254">IFERROR(INDEX($AH$10:$AH$258, MATCH(0, IF(TRUE=$AE$10:$AE$258, COUNTIF($AJ$9:$AJ253, $AH$10:$AH$258), ""), 0)),"")</f>
        <v/>
      </c>
      <c r="AK254" s="188" t="str">
        <f t="array" ref="AK254">IFERROR(INDEX($AH$10:$AH$258, MATCH(0, IF(TRUE=$AF$10:$AF$258, COUNTIF($AK$9:$AK253, $AH$10:$AH$258), ""), 0)),"")</f>
        <v/>
      </c>
      <c r="AL254" s="35" t="str">
        <f>IFERROR(INDEX('G-6 Hedgerow Data'!$BJ$3:$BJ$15,MATCH(D254,'G-6 Hedgerow Data'!$B$3:$B$15,0)),"")</f>
        <v/>
      </c>
    </row>
    <row r="255" spans="2:38" ht="13.8" x14ac:dyDescent="0.25">
      <c r="B255" s="168">
        <v>246</v>
      </c>
      <c r="C255" s="275"/>
      <c r="D255" s="275"/>
      <c r="E255" s="185"/>
      <c r="F255" s="277" t="str">
        <f>IF(D255="","",VLOOKUP(D255,'G-6 Hedgerow Data'!$B$2:$AG$15,2,FALSE))</f>
        <v/>
      </c>
      <c r="G255" s="172" t="str">
        <f>IF(D255="","",VLOOKUP(D255,'G-6 Hedgerow Data'!$B$2:$AG$15,3,FALSE))</f>
        <v/>
      </c>
      <c r="H255" s="173"/>
      <c r="I255" s="172" t="str">
        <f>IFERROR(VLOOKUP(H255,'G-1 All Habitats'!$Z$2:$AA$9,2,FALSE),"")</f>
        <v/>
      </c>
      <c r="J255" s="173"/>
      <c r="K255" s="179" t="str">
        <f>IF(J255="","",IF(VLOOKUP(J255,'G-3 Multipliers'!$L$3:$N$6,2,FALSE)=0,"Spatial Data Missing",VLOOKUP(J255,'G-3 Multipliers'!$L$3:$N$6,2,FALSE)))</f>
        <v/>
      </c>
      <c r="L255" s="260" t="str">
        <f>IF(J255="","",IF(VLOOKUP(J255,'G-3 Multipliers'!$L$3:$N$6,3,FALSE)=0,"Spatial Data Missing",VLOOKUP(J255,'G-3 Multipliers'!$L$3:$N$6,3,FALSE)))</f>
        <v/>
      </c>
      <c r="M255" s="177" t="str">
        <f>IF(D255="","",VLOOKUP(D255,'G-6 Hedgerow Data'!$B$1:$AH$15,33,FALSE))</f>
        <v/>
      </c>
      <c r="N255" s="207" t="str">
        <f t="shared" si="23"/>
        <v/>
      </c>
      <c r="O255" s="44"/>
      <c r="P255" s="186"/>
      <c r="Q255" s="275"/>
      <c r="R255" s="289" t="str">
        <f t="shared" si="24"/>
        <v/>
      </c>
      <c r="S255" s="289" t="str">
        <f t="shared" si="25"/>
        <v/>
      </c>
      <c r="T255" s="289" t="str">
        <f t="shared" si="26"/>
        <v/>
      </c>
      <c r="U255" s="290" t="str">
        <f t="shared" si="27"/>
        <v/>
      </c>
      <c r="V255" s="182"/>
      <c r="W255" s="183"/>
      <c r="AE255" s="188" t="str">
        <f t="shared" si="21"/>
        <v/>
      </c>
      <c r="AF255" s="188" t="str">
        <f t="shared" si="22"/>
        <v/>
      </c>
      <c r="AH255" s="188">
        <v>246</v>
      </c>
      <c r="AJ255" s="188" t="str">
        <f t="array" ref="AJ255">IFERROR(INDEX($AH$10:$AH$258, MATCH(0, IF(TRUE=$AE$10:$AE$258, COUNTIF($AJ$9:$AJ254, $AH$10:$AH$258), ""), 0)),"")</f>
        <v/>
      </c>
      <c r="AK255" s="188" t="str">
        <f t="array" ref="AK255">IFERROR(INDEX($AH$10:$AH$258, MATCH(0, IF(TRUE=$AF$10:$AF$258, COUNTIF($AK$9:$AK254, $AH$10:$AH$258), ""), 0)),"")</f>
        <v/>
      </c>
      <c r="AL255" s="35" t="str">
        <f>IFERROR(INDEX('G-6 Hedgerow Data'!$BJ$3:$BJ$15,MATCH(D255,'G-6 Hedgerow Data'!$B$3:$B$15,0)),"")</f>
        <v/>
      </c>
    </row>
    <row r="256" spans="2:38" ht="13.8" x14ac:dyDescent="0.25">
      <c r="B256" s="168">
        <v>247</v>
      </c>
      <c r="C256" s="275"/>
      <c r="D256" s="275"/>
      <c r="E256" s="185"/>
      <c r="F256" s="277" t="str">
        <f>IF(D256="","",VLOOKUP(D256,'G-6 Hedgerow Data'!$B$2:$AG$15,2,FALSE))</f>
        <v/>
      </c>
      <c r="G256" s="172" t="str">
        <f>IF(D256="","",VLOOKUP(D256,'G-6 Hedgerow Data'!$B$2:$AG$15,3,FALSE))</f>
        <v/>
      </c>
      <c r="H256" s="173"/>
      <c r="I256" s="172" t="str">
        <f>IFERROR(VLOOKUP(H256,'G-1 All Habitats'!$Z$2:$AA$9,2,FALSE),"")</f>
        <v/>
      </c>
      <c r="J256" s="173"/>
      <c r="K256" s="179" t="str">
        <f>IF(J256="","",IF(VLOOKUP(J256,'G-3 Multipliers'!$L$3:$N$6,2,FALSE)=0,"Spatial Data Missing",VLOOKUP(J256,'G-3 Multipliers'!$L$3:$N$6,2,FALSE)))</f>
        <v/>
      </c>
      <c r="L256" s="260" t="str">
        <f>IF(J256="","",IF(VLOOKUP(J256,'G-3 Multipliers'!$L$3:$N$6,3,FALSE)=0,"Spatial Data Missing",VLOOKUP(J256,'G-3 Multipliers'!$L$3:$N$6,3,FALSE)))</f>
        <v/>
      </c>
      <c r="M256" s="177" t="str">
        <f>IF(D256="","",VLOOKUP(D256,'G-6 Hedgerow Data'!$B$1:$AH$15,33,FALSE))</f>
        <v/>
      </c>
      <c r="N256" s="207" t="str">
        <f t="shared" si="23"/>
        <v/>
      </c>
      <c r="O256" s="44"/>
      <c r="P256" s="186"/>
      <c r="Q256" s="275"/>
      <c r="R256" s="289" t="str">
        <f t="shared" si="24"/>
        <v/>
      </c>
      <c r="S256" s="289" t="str">
        <f t="shared" si="25"/>
        <v/>
      </c>
      <c r="T256" s="289" t="str">
        <f t="shared" si="26"/>
        <v/>
      </c>
      <c r="U256" s="290" t="str">
        <f t="shared" si="27"/>
        <v/>
      </c>
      <c r="V256" s="182"/>
      <c r="W256" s="183"/>
      <c r="AE256" s="188" t="str">
        <f t="shared" si="21"/>
        <v/>
      </c>
      <c r="AF256" s="188" t="str">
        <f t="shared" si="22"/>
        <v/>
      </c>
      <c r="AH256" s="188">
        <v>247</v>
      </c>
      <c r="AJ256" s="188" t="str">
        <f t="array" ref="AJ256">IFERROR(INDEX($AH$10:$AH$258, MATCH(0, IF(TRUE=$AE$10:$AE$258, COUNTIF($AJ$9:$AJ255, $AH$10:$AH$258), ""), 0)),"")</f>
        <v/>
      </c>
      <c r="AK256" s="188" t="str">
        <f t="array" ref="AK256">IFERROR(INDEX($AH$10:$AH$258, MATCH(0, IF(TRUE=$AF$10:$AF$258, COUNTIF($AK$9:$AK255, $AH$10:$AH$258), ""), 0)),"")</f>
        <v/>
      </c>
      <c r="AL256" s="35" t="str">
        <f>IFERROR(INDEX('G-6 Hedgerow Data'!$BJ$3:$BJ$15,MATCH(D256,'G-6 Hedgerow Data'!$B$3:$B$15,0)),"")</f>
        <v/>
      </c>
    </row>
    <row r="257" spans="2:38" ht="14.4" thickBot="1" x14ac:dyDescent="0.3">
      <c r="B257" s="190">
        <v>248</v>
      </c>
      <c r="C257" s="279"/>
      <c r="D257" s="279"/>
      <c r="E257" s="192"/>
      <c r="F257" s="471" t="str">
        <f>IF(D257="","",VLOOKUP(D257,'G-6 Hedgerow Data'!$B$2:$AG$15,2,FALSE))</f>
        <v/>
      </c>
      <c r="G257" s="172" t="str">
        <f>IF(D257="","",VLOOKUP(D257,'G-6 Hedgerow Data'!$B$2:$AG$15,3,FALSE))</f>
        <v/>
      </c>
      <c r="H257" s="193"/>
      <c r="I257" s="195" t="str">
        <f>IFERROR(VLOOKUP(H257,'G-1 All Habitats'!$Z$2:$AA$9,2,FALSE),"")</f>
        <v/>
      </c>
      <c r="J257" s="193"/>
      <c r="K257" s="194" t="str">
        <f>IF(J257="","",IF(VLOOKUP(J257,'G-3 Multipliers'!$L$3:$N$6,2,FALSE)=0,"Spatial Data Missing",VLOOKUP(J257,'G-3 Multipliers'!$L$3:$N$6,2,FALSE)))</f>
        <v/>
      </c>
      <c r="L257" s="472" t="str">
        <f>IF(J257="","",IF(VLOOKUP(J257,'G-3 Multipliers'!$L$3:$N$6,3,FALSE)=0,"Spatial Data Missing",VLOOKUP(J257,'G-3 Multipliers'!$L$3:$N$6,3,FALSE)))</f>
        <v/>
      </c>
      <c r="M257" s="405" t="str">
        <f>IF(D257="","",VLOOKUP(D257,'G-6 Hedgerow Data'!$B$1:$AH$15,33,FALSE))</f>
        <v/>
      </c>
      <c r="N257" s="406" t="str">
        <f t="shared" si="23"/>
        <v/>
      </c>
      <c r="O257" s="44"/>
      <c r="P257" s="291"/>
      <c r="Q257" s="292"/>
      <c r="R257" s="293" t="str">
        <f t="shared" si="24"/>
        <v/>
      </c>
      <c r="S257" s="293" t="str">
        <f t="shared" si="25"/>
        <v/>
      </c>
      <c r="T257" s="289" t="str">
        <f t="shared" si="26"/>
        <v/>
      </c>
      <c r="U257" s="290" t="str">
        <f t="shared" si="27"/>
        <v/>
      </c>
      <c r="V257" s="197"/>
      <c r="W257" s="198"/>
      <c r="AE257" s="188" t="str">
        <f t="shared" si="21"/>
        <v/>
      </c>
      <c r="AF257" s="188" t="str">
        <f t="shared" si="22"/>
        <v/>
      </c>
      <c r="AH257" s="188">
        <v>248</v>
      </c>
      <c r="AJ257" s="188" t="str">
        <f t="array" ref="AJ257">IFERROR(INDEX($AH$10:$AH$258, MATCH(0, IF(TRUE=$AE$10:$AE$258, COUNTIF($AJ$9:$AJ256, $AH$10:$AH$258), ""), 0)),"")</f>
        <v/>
      </c>
      <c r="AK257" s="188" t="str">
        <f t="array" ref="AK257">IFERROR(INDEX($AH$10:$AH$258, MATCH(0, IF(TRUE=$AF$10:$AF$258, COUNTIF($AK$9:$AK256, $AH$10:$AH$258), ""), 0)),"")</f>
        <v/>
      </c>
      <c r="AL257" s="35" t="str">
        <f>IFERROR(INDEX('G-6 Hedgerow Data'!$BJ$3:$BJ$15,MATCH(D257,'G-6 Hedgerow Data'!$B$3:$B$15,0)),"")</f>
        <v/>
      </c>
    </row>
    <row r="258" spans="2:38" ht="14.4" thickBot="1" x14ac:dyDescent="0.3">
      <c r="D258" s="696"/>
      <c r="E258" s="695">
        <f>SUM(E10:E257)</f>
        <v>3.6999999999999998E-2</v>
      </c>
      <c r="M258" s="696"/>
      <c r="N258" s="403">
        <f>SUM(N10:N257)</f>
        <v>3.6999999999999998E-2</v>
      </c>
      <c r="O258" s="201"/>
      <c r="P258" s="202">
        <f t="shared" ref="P258:U258" si="28">SUM(P10:P257)</f>
        <v>0</v>
      </c>
      <c r="Q258" s="203">
        <f t="shared" si="28"/>
        <v>0</v>
      </c>
      <c r="R258" s="203">
        <f t="shared" si="28"/>
        <v>0</v>
      </c>
      <c r="S258" s="203">
        <f t="shared" si="28"/>
        <v>0</v>
      </c>
      <c r="T258" s="203">
        <f t="shared" si="28"/>
        <v>3.6999999999999998E-2</v>
      </c>
      <c r="U258" s="204">
        <f t="shared" si="28"/>
        <v>3.6999999999999998E-2</v>
      </c>
    </row>
    <row r="259" spans="2:38" ht="13.8" x14ac:dyDescent="0.25">
      <c r="O259" s="201"/>
      <c r="P259" s="201"/>
      <c r="Q259" s="201"/>
      <c r="R259" s="201"/>
      <c r="S259" s="201"/>
      <c r="T259" s="201"/>
      <c r="U259" s="201"/>
    </row>
    <row r="260" spans="2:38" ht="13.8" x14ac:dyDescent="0.25">
      <c r="B260" s="159"/>
      <c r="C260" s="159"/>
    </row>
    <row r="261" spans="2:38" ht="13.8" x14ac:dyDescent="0.25">
      <c r="B261" s="159"/>
      <c r="C261" s="159"/>
    </row>
    <row r="262" spans="2:38" ht="13.8" x14ac:dyDescent="0.25">
      <c r="B262" s="159"/>
      <c r="C262" s="159"/>
    </row>
    <row r="263" spans="2:38" ht="13.8" x14ac:dyDescent="0.25">
      <c r="B263" s="159"/>
      <c r="C263" s="159"/>
    </row>
    <row r="264" spans="2:38" ht="13.8" x14ac:dyDescent="0.25">
      <c r="B264" s="159"/>
      <c r="C264" s="159"/>
    </row>
  </sheetData>
  <sheetProtection algorithmName="SHA-512" hashValue="VcnfHWg/q6X3UCXWL44SPJUCW13+KnEQ6d1O3a6IcyRD45ha6hjiCSDvjxwVQV0XdtwFwK4iv8bORgkTbwsd7A==" saltValue="ySDrzq/ncclBs+o+wSVGJw==" spinCount="100000" sheet="1" objects="1" scenarios="1"/>
  <customSheetViews>
    <customSheetView guid="{8BDA793C-C9C5-4FC6-A0A5-F1109F6D4F22}" state="hidden">
      <pane ySplit="9" topLeftCell="A10" activePane="bottomLeft" state="frozen"/>
      <selection pane="bottomLeft" activeCell="D14" sqref="D14"/>
    </customSheetView>
  </customSheetViews>
  <mergeCells count="8">
    <mergeCell ref="B2:D2"/>
    <mergeCell ref="V8:W8"/>
    <mergeCell ref="C8:E8"/>
    <mergeCell ref="F8:G8"/>
    <mergeCell ref="H8:I8"/>
    <mergeCell ref="J8:L8"/>
    <mergeCell ref="P8:U8"/>
    <mergeCell ref="M8:M9"/>
  </mergeCells>
  <conditionalFormatting sqref="M10:M257">
    <cfRule type="cellIs" dxfId="131" priority="10" operator="equal">
      <formula>"Like for like or better"</formula>
    </cfRule>
    <cfRule type="cellIs" dxfId="130" priority="11" operator="equal">
      <formula>"Like for like"</formula>
    </cfRule>
    <cfRule type="containsText" dxfId="129" priority="12" operator="containsText" text="Same distinctiveness">
      <formula>NOT(ISERROR(SEARCH("Same distinctiveness",M10)))</formula>
    </cfRule>
  </conditionalFormatting>
  <conditionalFormatting sqref="K10:K257">
    <cfRule type="containsText" dxfId="128" priority="8" operator="containsText" text="Spatial">
      <formula>NOT(ISERROR(SEARCH("Spatial",K10)))</formula>
    </cfRule>
  </conditionalFormatting>
  <conditionalFormatting sqref="L10:L257">
    <cfRule type="containsText" dxfId="127" priority="7" operator="containsText" text="Spatial">
      <formula>NOT(ISERROR(SEARCH("Spatial",L10)))</formula>
    </cfRule>
  </conditionalFormatting>
  <conditionalFormatting sqref="T10:T257">
    <cfRule type="containsText" dxfId="126" priority="6" operator="containsText" text="Error">
      <formula>NOT(ISERROR(SEARCH("Error",T10)))</formula>
    </cfRule>
  </conditionalFormatting>
  <conditionalFormatting sqref="U10:U257">
    <cfRule type="containsText" dxfId="125" priority="5" operator="containsText" text="Error">
      <formula>NOT(ISERROR(SEARCH("Error",U10)))</formula>
    </cfRule>
  </conditionalFormatting>
  <dataValidations count="1">
    <dataValidation type="list" allowBlank="1" showInputMessage="1" showErrorMessage="1" sqref="H10:H257" xr:uid="{00000000-0002-0000-1000-000000000000}">
      <formula1>INDIRECT(AL10)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1000000}">
          <x14:formula1>
            <xm:f>'G-6 Hedgerow Data'!$B$3:$B$15</xm:f>
          </x14:formula1>
          <xm:sqref>D10:D257</xm:sqref>
        </x14:dataValidation>
        <x14:dataValidation type="list" allowBlank="1" showErrorMessage="1" prompt=" _x000a_" xr:uid="{00000000-0002-0000-1000-000002000000}">
          <x14:formula1>
            <xm:f>'G-3 Multipliers'!$L$4:$L$6</xm:f>
          </x14:formula1>
          <xm:sqref>J10:J257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>
    <tabColor theme="9"/>
  </sheetPr>
  <dimension ref="A1:AG268"/>
  <sheetViews>
    <sheetView showGridLines="0" showRowColHeaders="0" zoomScale="70" zoomScaleNormal="70" workbookViewId="0">
      <pane ySplit="11" topLeftCell="A12" activePane="bottomLeft" state="frozen"/>
      <selection activeCell="B18" sqref="B18:I19"/>
      <selection pane="bottomLeft" activeCell="B3" sqref="B3:D4"/>
    </sheetView>
  </sheetViews>
  <sheetFormatPr defaultColWidth="0" defaultRowHeight="0" customHeight="1" zeroHeight="1" x14ac:dyDescent="0.25"/>
  <cols>
    <col min="1" max="1" width="2.88671875" style="35" customWidth="1"/>
    <col min="2" max="2" width="12.6640625" style="35" customWidth="1"/>
    <col min="3" max="3" width="10.5546875" style="35" customWidth="1"/>
    <col min="4" max="4" width="62.6640625" style="35" customWidth="1"/>
    <col min="5" max="5" width="10.44140625" style="35" customWidth="1"/>
    <col min="6" max="6" width="18.88671875" style="35" customWidth="1"/>
    <col min="7" max="7" width="13.109375" style="35" customWidth="1"/>
    <col min="8" max="8" width="12.5546875" style="35" bestFit="1" customWidth="1"/>
    <col min="9" max="9" width="12.5546875" style="35" customWidth="1"/>
    <col min="10" max="10" width="41.6640625" style="35" customWidth="1"/>
    <col min="11" max="11" width="18.5546875" style="35" customWidth="1"/>
    <col min="12" max="12" width="12.33203125" style="35" customWidth="1"/>
    <col min="13" max="13" width="19.109375" style="35" customWidth="1"/>
    <col min="14" max="14" width="20" style="35" customWidth="1"/>
    <col min="15" max="15" width="17.6640625" style="35" customWidth="1"/>
    <col min="16" max="16" width="33.33203125" style="35" customWidth="1"/>
    <col min="17" max="17" width="19.109375" style="35" customWidth="1"/>
    <col min="18" max="18" width="15.33203125" style="35" customWidth="1"/>
    <col min="19" max="19" width="13.44140625" style="35" customWidth="1"/>
    <col min="20" max="20" width="18.44140625" style="35" customWidth="1"/>
    <col min="21" max="21" width="13.6640625" style="35" customWidth="1"/>
    <col min="22" max="22" width="11.88671875" style="35" customWidth="1"/>
    <col min="23" max="23" width="12.6640625" style="35" customWidth="1"/>
    <col min="24" max="24" width="42.44140625" style="35" customWidth="1"/>
    <col min="25" max="25" width="43.109375" style="35" customWidth="1"/>
    <col min="26" max="31" width="8.88671875" style="35" customWidth="1"/>
    <col min="32" max="32" width="8.88671875" style="35" hidden="1" customWidth="1"/>
    <col min="33" max="33" width="15.88671875" style="35" hidden="1" customWidth="1"/>
    <col min="34" max="16384" width="8.88671875" style="35" hidden="1"/>
  </cols>
  <sheetData>
    <row r="1" spans="2:33" ht="15.75" customHeight="1" thickBot="1" x14ac:dyDescent="0.3"/>
    <row r="2" spans="2:33" ht="21.6" customHeight="1" thickBot="1" x14ac:dyDescent="0.3">
      <c r="B2" s="874" t="str">
        <f>IF([1]Start!F12="","",[1]Start!F12)</f>
        <v/>
      </c>
      <c r="C2" s="875"/>
      <c r="D2" s="876"/>
    </row>
    <row r="3" spans="2:33" ht="15" customHeight="1" x14ac:dyDescent="0.25">
      <c r="B3" s="1021" t="str">
        <f ca="1">MID(CELL("filename",A1),FIND("]",CELL("filename",A1))+1,256)</f>
        <v>B-2 Site Hedge Creation</v>
      </c>
      <c r="C3" s="1022"/>
      <c r="D3" s="1023"/>
      <c r="M3" s="958" t="str">
        <f>IF(OR(COUNTIF($M$12:M259,"*30+*")&gt;0,COUNTIF($Q$12:Q259,"*30+*")&gt;0),"Note; Habitat selected has a time to target condition greater than 30 years. Non standard agreement may be required.","")</f>
        <v/>
      </c>
      <c r="N3" s="958"/>
      <c r="O3" s="958"/>
      <c r="P3" s="958"/>
      <c r="Q3" s="958"/>
      <c r="R3" s="958"/>
    </row>
    <row r="4" spans="2:33" ht="15.75" customHeight="1" thickBot="1" x14ac:dyDescent="0.3">
      <c r="B4" s="1024"/>
      <c r="C4" s="1025"/>
      <c r="D4" s="1026"/>
      <c r="M4" s="958"/>
      <c r="N4" s="958"/>
      <c r="O4" s="958"/>
      <c r="P4" s="958"/>
      <c r="Q4" s="958"/>
      <c r="R4" s="958"/>
    </row>
    <row r="5" spans="2:33" ht="15.75" customHeight="1" x14ac:dyDescent="0.25">
      <c r="M5" s="958"/>
      <c r="N5" s="958"/>
      <c r="O5" s="958"/>
      <c r="P5" s="958"/>
      <c r="Q5" s="958"/>
      <c r="R5" s="958"/>
    </row>
    <row r="6" spans="2:33" ht="15.75" customHeight="1" x14ac:dyDescent="0.25">
      <c r="M6" s="622"/>
      <c r="N6" s="622"/>
      <c r="O6" s="622"/>
      <c r="P6" s="622"/>
      <c r="Q6" s="622"/>
    </row>
    <row r="7" spans="2:33" ht="15.75" customHeight="1" x14ac:dyDescent="0.25">
      <c r="B7" s="159"/>
      <c r="C7" s="159"/>
      <c r="M7" s="622"/>
      <c r="N7" s="622"/>
      <c r="O7" s="622"/>
      <c r="P7" s="622"/>
      <c r="Q7" s="622"/>
    </row>
    <row r="8" spans="2:33" ht="13.8" x14ac:dyDescent="0.25"/>
    <row r="9" spans="2:33" ht="19.95" customHeight="1" thickBot="1" x14ac:dyDescent="0.3"/>
    <row r="10" spans="2:33" ht="31.5" customHeight="1" thickBot="1" x14ac:dyDescent="0.3">
      <c r="B10" s="159"/>
      <c r="C10" s="159"/>
      <c r="D10" s="1011" t="s">
        <v>1079</v>
      </c>
      <c r="E10" s="1013"/>
      <c r="F10" s="1011" t="s">
        <v>981</v>
      </c>
      <c r="G10" s="1013"/>
      <c r="H10" s="1011" t="s">
        <v>982</v>
      </c>
      <c r="I10" s="1013"/>
      <c r="J10" s="1011" t="s">
        <v>362</v>
      </c>
      <c r="K10" s="1012"/>
      <c r="L10" s="1013"/>
      <c r="M10" s="1011" t="s">
        <v>988</v>
      </c>
      <c r="N10" s="1012"/>
      <c r="O10" s="1012"/>
      <c r="P10" s="1012"/>
      <c r="Q10" s="1012"/>
      <c r="R10" s="1013"/>
      <c r="S10" s="1011" t="s">
        <v>1293</v>
      </c>
      <c r="T10" s="1012"/>
      <c r="U10" s="1012"/>
      <c r="V10" s="1013"/>
      <c r="W10" s="1014" t="s">
        <v>1033</v>
      </c>
      <c r="X10" s="1002" t="s">
        <v>145</v>
      </c>
      <c r="Y10" s="1003"/>
    </row>
    <row r="11" spans="2:33" ht="41.4" x14ac:dyDescent="0.25">
      <c r="B11" s="162" t="s">
        <v>840</v>
      </c>
      <c r="C11" s="163" t="s">
        <v>370</v>
      </c>
      <c r="D11" s="272" t="s">
        <v>1032</v>
      </c>
      <c r="E11" s="552" t="s">
        <v>309</v>
      </c>
      <c r="F11" s="455" t="s">
        <v>127</v>
      </c>
      <c r="G11" s="273" t="s">
        <v>140</v>
      </c>
      <c r="H11" s="561" t="s">
        <v>141</v>
      </c>
      <c r="I11" s="273" t="s">
        <v>140</v>
      </c>
      <c r="J11" s="561" t="s">
        <v>362</v>
      </c>
      <c r="K11" s="272" t="s">
        <v>362</v>
      </c>
      <c r="L11" s="273" t="s">
        <v>983</v>
      </c>
      <c r="M11" s="561" t="s">
        <v>1200</v>
      </c>
      <c r="N11" s="272" t="s">
        <v>1177</v>
      </c>
      <c r="O11" s="272" t="s">
        <v>1178</v>
      </c>
      <c r="P11" s="272" t="s">
        <v>1179</v>
      </c>
      <c r="Q11" s="272" t="s">
        <v>1183</v>
      </c>
      <c r="R11" s="273" t="s">
        <v>1201</v>
      </c>
      <c r="S11" s="561" t="s">
        <v>1186</v>
      </c>
      <c r="T11" s="272" t="s">
        <v>1490</v>
      </c>
      <c r="U11" s="272" t="s">
        <v>1187</v>
      </c>
      <c r="V11" s="273" t="s">
        <v>1182</v>
      </c>
      <c r="W11" s="1020"/>
      <c r="X11" s="168" t="s">
        <v>991</v>
      </c>
      <c r="Y11" s="552" t="s">
        <v>992</v>
      </c>
      <c r="AG11" s="158" t="s">
        <v>1298</v>
      </c>
    </row>
    <row r="12" spans="2:33" ht="27.6" x14ac:dyDescent="0.25">
      <c r="B12" s="561">
        <v>1</v>
      </c>
      <c r="C12" s="276" t="s">
        <v>1524</v>
      </c>
      <c r="D12" s="94" t="s">
        <v>1226</v>
      </c>
      <c r="E12" s="76">
        <v>1.296</v>
      </c>
      <c r="F12" s="277" t="str">
        <f>IF(D12="","",VLOOKUP(D12,'G-6 Hedgerow Data'!$B$2:$AG$15,2,FALSE))</f>
        <v>V.Low</v>
      </c>
      <c r="G12" s="172">
        <f>IF(D12="","",VLOOKUP(D12,'G-6 Hedgerow Data'!$B$2:$AG$15,3,FALSE))</f>
        <v>1</v>
      </c>
      <c r="H12" s="173" t="s">
        <v>2</v>
      </c>
      <c r="I12" s="172">
        <f>IFERROR(VLOOKUP(H12,'G-1 All Habitats'!$Z$2:$AA$9,2,FALSE),"")</f>
        <v>1</v>
      </c>
      <c r="J12" s="173" t="s">
        <v>970</v>
      </c>
      <c r="K12" s="179" t="str">
        <f>IF(J12="","",IF(VLOOKUP(J12,'G-3 Multipliers'!$L$3:$N$6,2,FALSE)=0,"Spatial Data Missing",VLOOKUP(J12,'G-3 Multipliers'!$L$3:$N$6,2,FALSE)))</f>
        <v>Low Strategic Significance</v>
      </c>
      <c r="L12" s="260">
        <f>IF(J12="","",IF(VLOOKUP(J12,'G-3 Multipliers'!$L$3:$N$6,3,FALSE)=0,"Spatial Data Missing",VLOOKUP(J12,'G-3 Multipliers'!$L$3:$N$6,3,FALSE)))</f>
        <v>1</v>
      </c>
      <c r="M12" s="171">
        <f>IF(OR(D12="",H12=""),"",(INDEX('G-6 Hedgerow Data'!$E$3:$I$15,MATCH(D12,'G-6 Hedgerow Data'!$B$3:$B$15,0),MATCH(H12,'G-6 Hedgerow Data'!$E$2:$I$2,0))))</f>
        <v>1</v>
      </c>
      <c r="N12" s="261">
        <v>0</v>
      </c>
      <c r="O12" s="261">
        <v>0</v>
      </c>
      <c r="P12" s="179" t="str">
        <f>IF(M12="","",IF(AND(N12&gt;0,O12&gt;0),"Error -both advance and delayed habitat creation",IF(AND(OR(N12="Habitat already in target condition",M12&lt;=N12),O12=0),"Check details - Is there evidence that habitat has reached target condition?",IF(M12="","",IF(N12&gt;0,"Check details - Is there evidence habitat creation started/in place?",IF(O12&gt;0,"Check details- Delay in starting habitat in required condition?","Standard time to target condition applied"))))))</f>
        <v>Standard time to target condition applied</v>
      </c>
      <c r="Q12" s="262">
        <f>IF(M12="","",IF(LEFT(P12,5)="Error","Check Data",IF(OR(N12="30+",N12="Habitat already in target condition"),0,IF(O12="30+","30+",IF(AND(M12="30+",OR(N12="",N12=0)),"30+",IF(AND(M12="30+",N12&gt;0),32-N12,IF(M12+O12&gt;30,"30+",IF(M12+O12-N12&gt;0,M12+O12-N12,IF(M12-N12&lt;0,0,M12+O12-N12)))))))))</f>
        <v>1</v>
      </c>
      <c r="R12" s="263">
        <f>IF(M12="","",IF(LEFT(P12,5)="Error","Check Data",VLOOKUP(Q12,TemporalMultipliers,3,FALSE)))</f>
        <v>0.96499999999999997</v>
      </c>
      <c r="S12" s="171" t="str">
        <f>IF(D12="","",VLOOKUP(D12,'G-6 Hedgerow Data'!$B$3:$AG$15,31,FALSE))</f>
        <v>Low</v>
      </c>
      <c r="T12" s="179" t="str">
        <f>IF(D12="","",IF(Q12="Check Data","Check Data",IF(H12="","",IF($P12="Check details - Is there evidence that habitat has reached target condition?","Low Difficulty - only applicable if all habitat created before losses","Standard difficulty applied"))))</f>
        <v>Standard difficulty applied</v>
      </c>
      <c r="U12" s="179" t="str">
        <f>(IF(AND(T12="Standard difficulty applied",M12&gt;N12),S12,IF(AND(T12="Low Difficulty - only applicable if all habitat created before losses",Q12&lt;=0),"Low",S12)))</f>
        <v>Low</v>
      </c>
      <c r="V12" s="172">
        <f>IF(D12="","",VLOOKUP(S12,'G-3 Multipliers'!$P$3:$Q$6,2,FALSE))</f>
        <v>1</v>
      </c>
      <c r="W12" s="274">
        <f>IFERROR(E12*G12*I12*L12*R12*V12,"")</f>
        <v>1.25064</v>
      </c>
      <c r="X12" s="180"/>
      <c r="Y12" s="181"/>
      <c r="AG12" s="35" t="str">
        <f>IFERROR(INDEX('G-6 Hedgerow Data'!$BJ$3:$BJ$15,MATCH(D12,'G-6 Hedgerow Data'!$B$3:$B$15,0)),"")</f>
        <v>Hedgecond2</v>
      </c>
    </row>
    <row r="13" spans="2:33" ht="13.8" x14ac:dyDescent="0.25">
      <c r="B13" s="168">
        <v>2</v>
      </c>
      <c r="C13" s="276"/>
      <c r="D13" s="94"/>
      <c r="E13" s="76"/>
      <c r="F13" s="277" t="str">
        <f>IF(D13="","",VLOOKUP(D13,'G-6 Hedgerow Data'!$B$2:$AG$15,2,FALSE))</f>
        <v/>
      </c>
      <c r="G13" s="172" t="str">
        <f>IF(D13="","",VLOOKUP(D13,'G-6 Hedgerow Data'!$B$2:$AG$15,3,FALSE))</f>
        <v/>
      </c>
      <c r="H13" s="173"/>
      <c r="I13" s="172" t="str">
        <f>IFERROR(VLOOKUP(H13,'G-1 All Habitats'!$Z$2:$AA$9,2,FALSE),"")</f>
        <v/>
      </c>
      <c r="J13" s="173"/>
      <c r="K13" s="175" t="str">
        <f>IF(J13="","",IF(VLOOKUP(J13,'G-3 Multipliers'!$L$3:$N$6,2,FALSE)=0,"Spatial Data Missing",VLOOKUP(J13,'G-3 Multipliers'!$L$3:$N$6,2,FALSE)))</f>
        <v/>
      </c>
      <c r="L13" s="260" t="str">
        <f>IF(J13="","",IF(VLOOKUP(J13,'G-3 Multipliers'!$L$3:$N$6,3,FALSE)=0,"Spatial Data Missing",VLOOKUP(J13,'G-3 Multipliers'!$L$3:$N$6,3,FALSE)))</f>
        <v/>
      </c>
      <c r="M13" s="171" t="str">
        <f>IF(OR(D13="",H13=""),"",(INDEX('G-6 Hedgerow Data'!$E$3:$I$15,MATCH(D13,'G-6 Hedgerow Data'!$B$3:$B$15,0),MATCH(H13,'G-6 Hedgerow Data'!$E$2:$I$2,0))))</f>
        <v/>
      </c>
      <c r="N13" s="261"/>
      <c r="O13" s="261"/>
      <c r="P13" s="179" t="str">
        <f t="shared" ref="P13:P76" si="0">IF(M13="","",IF(AND(N13&gt;0,O13&gt;0),"Error -both advance and delayed habitat creation",IF(AND(OR(N13="Habitat already in target condition",M13&lt;=N13),O13=0),"Check details - Is there evidence that habitat has reached target condition?",IF(M13="","",IF(N13&gt;0,"Check details - Is there evidence habitat creation started/in place?",IF(O13&gt;0,"Check details- Delay in starting habitat in required condition?","Standard time to target condition applied"))))))</f>
        <v/>
      </c>
      <c r="Q13" s="262" t="str">
        <f t="shared" ref="Q13:Q76" si="1">IF(M13="","",IF(LEFT(P13,5)="Error","Check Data",IF(OR(N13="30+",N13="Habitat already in target condition"),0,IF(O13="30+","30+",IF(AND(M13="30+",OR(N13="",N13=0)),"30+",IF(AND(M13="30+",N13&gt;0),32-N13,IF(M13+O13&gt;30,"30+",IF(M13+O13-N13&gt;0,M13+O13-N13,IF(M13-N13&lt;0,0,M13+O13-N13)))))))))</f>
        <v/>
      </c>
      <c r="R13" s="263" t="str">
        <f t="shared" ref="R13:R75" si="2">IF(M13="","",IF(LEFT(P13,5)="Error","Check Data",VLOOKUP(Q13,TemporalMultipliers,3,FALSE)))</f>
        <v/>
      </c>
      <c r="S13" s="239" t="str">
        <f>IF(D13="","",VLOOKUP(D13,'G-6 Hedgerow Data'!$B$3:$AG$15,31,FALSE))</f>
        <v/>
      </c>
      <c r="T13" s="179" t="str">
        <f t="shared" ref="T13:T76" si="3">IF(D13="","",IF(Q13="Check Data","Check Data",IF(H13="","",IF($P13="Check details - Is there evidence that habitat has reached target condition?","Low Difficulty - only applicable if all habitat created before losses","Standard difficulty applied"))))</f>
        <v/>
      </c>
      <c r="U13" s="179" t="str">
        <f t="shared" ref="U13:U76" si="4">(IF(AND(T13="Standard difficulty applied",M13&gt;N13),S13,IF(AND(T13="Low Difficulty - only applicable if all habitat created before losses",Q13&lt;=0),"Low",S13)))</f>
        <v/>
      </c>
      <c r="V13" s="176" t="str">
        <f>IF(D13="","",VLOOKUP(S13,'G-3 Multipliers'!$P$3:$Q$6,2,FALSE))</f>
        <v/>
      </c>
      <c r="W13" s="274" t="str">
        <f t="shared" ref="W13:W76" si="5">IFERROR(E13*G13*I13*L13*R13*V13,"")</f>
        <v/>
      </c>
      <c r="X13" s="180"/>
      <c r="Y13" s="181"/>
      <c r="AG13" s="35" t="str">
        <f>IFERROR(INDEX('G-6 Hedgerow Data'!$BJ$3:$BJ$15,MATCH(D13,'G-6 Hedgerow Data'!$B$3:$B$15,0)),"")</f>
        <v/>
      </c>
    </row>
    <row r="14" spans="2:33" ht="13.8" x14ac:dyDescent="0.25">
      <c r="B14" s="168">
        <v>3</v>
      </c>
      <c r="C14" s="276"/>
      <c r="D14" s="94"/>
      <c r="E14" s="76"/>
      <c r="F14" s="277" t="str">
        <f>IF(D14="","",VLOOKUP(D14,'G-6 Hedgerow Data'!$B$2:$AG$15,2,FALSE))</f>
        <v/>
      </c>
      <c r="G14" s="172" t="str">
        <f>IF(D14="","",VLOOKUP(D14,'G-6 Hedgerow Data'!$B$2:$AG$15,3,FALSE))</f>
        <v/>
      </c>
      <c r="H14" s="173"/>
      <c r="I14" s="172" t="str">
        <f>IFERROR(VLOOKUP(H14,'G-1 All Habitats'!$Z$2:$AA$9,2,FALSE),"")</f>
        <v/>
      </c>
      <c r="J14" s="173"/>
      <c r="K14" s="175" t="str">
        <f>IF(J14="","",IF(VLOOKUP(J14,'G-3 Multipliers'!$L$3:$N$6,2,FALSE)=0,"Spatial Data Missing",VLOOKUP(J14,'G-3 Multipliers'!$L$3:$N$6,2,FALSE)))</f>
        <v/>
      </c>
      <c r="L14" s="260" t="str">
        <f>IF(J14="","",IF(VLOOKUP(J14,'G-3 Multipliers'!$L$3:$N$6,3,FALSE)=0,"Spatial Data Missing",VLOOKUP(J14,'G-3 Multipliers'!$L$3:$N$6,3,FALSE)))</f>
        <v/>
      </c>
      <c r="M14" s="171" t="str">
        <f>IF(OR(D14="",H14=""),"",(INDEX('G-6 Hedgerow Data'!$E$3:$I$15,MATCH(D14,'G-6 Hedgerow Data'!$B$3:$B$15,0),MATCH(H14,'G-6 Hedgerow Data'!$E$2:$I$2,0))))</f>
        <v/>
      </c>
      <c r="N14" s="261"/>
      <c r="O14" s="261"/>
      <c r="P14" s="179" t="str">
        <f t="shared" si="0"/>
        <v/>
      </c>
      <c r="Q14" s="262" t="str">
        <f t="shared" si="1"/>
        <v/>
      </c>
      <c r="R14" s="263" t="str">
        <f t="shared" si="2"/>
        <v/>
      </c>
      <c r="S14" s="239" t="str">
        <f>IF(D14="","",VLOOKUP(D14,'G-6 Hedgerow Data'!$B$3:$AG$15,31,FALSE))</f>
        <v/>
      </c>
      <c r="T14" s="179" t="str">
        <f t="shared" si="3"/>
        <v/>
      </c>
      <c r="U14" s="179" t="str">
        <f t="shared" si="4"/>
        <v/>
      </c>
      <c r="V14" s="176" t="str">
        <f>IF(D14="","",VLOOKUP(S14,'G-3 Multipliers'!$P$3:$Q$6,2,FALSE))</f>
        <v/>
      </c>
      <c r="W14" s="274" t="str">
        <f t="shared" si="5"/>
        <v/>
      </c>
      <c r="X14" s="180"/>
      <c r="Y14" s="181"/>
      <c r="AG14" s="35" t="str">
        <f>IFERROR(INDEX('G-6 Hedgerow Data'!$BJ$3:$BJ$15,MATCH(D14,'G-6 Hedgerow Data'!$B$3:$B$15,0)),"")</f>
        <v/>
      </c>
    </row>
    <row r="15" spans="2:33" ht="13.8" x14ac:dyDescent="0.25">
      <c r="B15" s="168">
        <v>4</v>
      </c>
      <c r="C15" s="276"/>
      <c r="D15" s="94"/>
      <c r="E15" s="76"/>
      <c r="F15" s="277" t="str">
        <f>IF(D15="","",VLOOKUP(D15,'G-6 Hedgerow Data'!$B$2:$AG$15,2,FALSE))</f>
        <v/>
      </c>
      <c r="G15" s="172" t="str">
        <f>IF(D15="","",VLOOKUP(D15,'G-6 Hedgerow Data'!$B$2:$AG$15,3,FALSE))</f>
        <v/>
      </c>
      <c r="H15" s="173"/>
      <c r="I15" s="172" t="str">
        <f>IFERROR(VLOOKUP(H15,'G-1 All Habitats'!$Z$2:$AA$9,2,FALSE),"")</f>
        <v/>
      </c>
      <c r="J15" s="173"/>
      <c r="K15" s="175" t="str">
        <f>IF(J15="","",IF(VLOOKUP(J15,'G-3 Multipliers'!$L$3:$N$6,2,FALSE)=0,"Spatial Data Missing",VLOOKUP(J15,'G-3 Multipliers'!$L$3:$N$6,2,FALSE)))</f>
        <v/>
      </c>
      <c r="L15" s="260" t="str">
        <f>IF(J15="","",IF(VLOOKUP(J15,'G-3 Multipliers'!$L$3:$N$6,3,FALSE)=0,"Spatial Data Missing",VLOOKUP(J15,'G-3 Multipliers'!$L$3:$N$6,3,FALSE)))</f>
        <v/>
      </c>
      <c r="M15" s="171" t="str">
        <f>IF(OR(D15="",H15=""),"",(INDEX('G-6 Hedgerow Data'!$E$3:$I$15,MATCH(D15,'G-6 Hedgerow Data'!$B$3:$B$15,0),MATCH(H15,'G-6 Hedgerow Data'!$E$2:$I$2,0))))</f>
        <v/>
      </c>
      <c r="N15" s="261"/>
      <c r="O15" s="261"/>
      <c r="P15" s="179" t="str">
        <f t="shared" si="0"/>
        <v/>
      </c>
      <c r="Q15" s="262" t="str">
        <f t="shared" si="1"/>
        <v/>
      </c>
      <c r="R15" s="263" t="str">
        <f t="shared" si="2"/>
        <v/>
      </c>
      <c r="S15" s="239" t="str">
        <f>IF(D15="","",VLOOKUP(D15,'G-6 Hedgerow Data'!$B$3:$AG$15,31,FALSE))</f>
        <v/>
      </c>
      <c r="T15" s="179" t="str">
        <f t="shared" si="3"/>
        <v/>
      </c>
      <c r="U15" s="179" t="str">
        <f t="shared" si="4"/>
        <v/>
      </c>
      <c r="V15" s="176" t="str">
        <f>IF(D15="","",VLOOKUP(S15,'G-3 Multipliers'!$P$3:$Q$6,2,FALSE))</f>
        <v/>
      </c>
      <c r="W15" s="274" t="str">
        <f t="shared" si="5"/>
        <v/>
      </c>
      <c r="X15" s="180"/>
      <c r="Y15" s="181"/>
      <c r="AG15" s="35" t="str">
        <f>IFERROR(INDEX('G-6 Hedgerow Data'!$BJ$3:$BJ$15,MATCH(D15,'G-6 Hedgerow Data'!$B$3:$B$15,0)),"")</f>
        <v/>
      </c>
    </row>
    <row r="16" spans="2:33" ht="13.8" x14ac:dyDescent="0.25">
      <c r="B16" s="168">
        <v>5</v>
      </c>
      <c r="C16" s="278"/>
      <c r="D16" s="261"/>
      <c r="E16" s="213"/>
      <c r="F16" s="277" t="str">
        <f>IF(D16="","",VLOOKUP(D16,'G-6 Hedgerow Data'!$B$2:$AG$15,2,FALSE))</f>
        <v/>
      </c>
      <c r="G16" s="172" t="str">
        <f>IF(D16="","",VLOOKUP(D16,'G-6 Hedgerow Data'!$B$2:$AG$15,3,FALSE))</f>
        <v/>
      </c>
      <c r="H16" s="173"/>
      <c r="I16" s="172" t="str">
        <f>IFERROR(VLOOKUP(H16,'G-1 All Habitats'!$Z$2:$AA$9,2,FALSE),"")</f>
        <v/>
      </c>
      <c r="J16" s="173"/>
      <c r="K16" s="175" t="str">
        <f>IF(J16="","",IF(VLOOKUP(J16,'G-3 Multipliers'!$L$3:$N$6,2,FALSE)=0,"Spatial Data Missing",VLOOKUP(J16,'G-3 Multipliers'!$L$3:$N$6,2,FALSE)))</f>
        <v/>
      </c>
      <c r="L16" s="260" t="str">
        <f>IF(J16="","",IF(VLOOKUP(J16,'G-3 Multipliers'!$L$3:$N$6,3,FALSE)=0,"Spatial Data Missing",VLOOKUP(J16,'G-3 Multipliers'!$L$3:$N$6,3,FALSE)))</f>
        <v/>
      </c>
      <c r="M16" s="171" t="str">
        <f>IF(OR(D16="",H16=""),"",(INDEX('G-6 Hedgerow Data'!$E$3:$I$15,MATCH(D16,'G-6 Hedgerow Data'!$B$3:$B$15,0),MATCH(H16,'G-6 Hedgerow Data'!$E$2:$I$2,0))))</f>
        <v/>
      </c>
      <c r="N16" s="261"/>
      <c r="O16" s="261"/>
      <c r="P16" s="179" t="str">
        <f t="shared" si="0"/>
        <v/>
      </c>
      <c r="Q16" s="262" t="str">
        <f t="shared" si="1"/>
        <v/>
      </c>
      <c r="R16" s="263" t="str">
        <f t="shared" si="2"/>
        <v/>
      </c>
      <c r="S16" s="239" t="str">
        <f>IF(D16="","",VLOOKUP(D16,'G-6 Hedgerow Data'!$B$3:$AG$15,31,FALSE))</f>
        <v/>
      </c>
      <c r="T16" s="179" t="str">
        <f t="shared" si="3"/>
        <v/>
      </c>
      <c r="U16" s="179" t="str">
        <f t="shared" si="4"/>
        <v/>
      </c>
      <c r="V16" s="176" t="str">
        <f>IF(D16="","",VLOOKUP(S16,'G-3 Multipliers'!$P$3:$Q$6,2,FALSE))</f>
        <v/>
      </c>
      <c r="W16" s="274" t="str">
        <f t="shared" si="5"/>
        <v/>
      </c>
      <c r="X16" s="180"/>
      <c r="Y16" s="181"/>
      <c r="AG16" s="35" t="str">
        <f>IFERROR(INDEX('G-6 Hedgerow Data'!$BJ$3:$BJ$15,MATCH(D16,'G-6 Hedgerow Data'!$B$3:$B$15,0)),"")</f>
        <v/>
      </c>
    </row>
    <row r="17" spans="2:33" ht="13.8" x14ac:dyDescent="0.25">
      <c r="B17" s="168">
        <v>6</v>
      </c>
      <c r="C17" s="278"/>
      <c r="D17" s="261"/>
      <c r="E17" s="213"/>
      <c r="F17" s="277" t="str">
        <f>IF(D17="","",VLOOKUP(D17,'G-6 Hedgerow Data'!$B$2:$AG$15,2,FALSE))</f>
        <v/>
      </c>
      <c r="G17" s="172" t="str">
        <f>IF(D17="","",VLOOKUP(D17,'G-6 Hedgerow Data'!$B$2:$AG$15,3,FALSE))</f>
        <v/>
      </c>
      <c r="H17" s="173"/>
      <c r="I17" s="172" t="str">
        <f>IFERROR(VLOOKUP(H17,'G-1 All Habitats'!$Z$2:$AA$9,2,FALSE),"")</f>
        <v/>
      </c>
      <c r="J17" s="173"/>
      <c r="K17" s="175" t="str">
        <f>IF(J17="","",IF(VLOOKUP(J17,'G-3 Multipliers'!$L$3:$N$6,2,FALSE)=0,"Spatial Data Missing",VLOOKUP(J17,'G-3 Multipliers'!$L$3:$N$6,2,FALSE)))</f>
        <v/>
      </c>
      <c r="L17" s="260" t="str">
        <f>IF(J17="","",IF(VLOOKUP(J17,'G-3 Multipliers'!$L$3:$N$6,3,FALSE)=0,"Spatial Data Missing",VLOOKUP(J17,'G-3 Multipliers'!$L$3:$N$6,3,FALSE)))</f>
        <v/>
      </c>
      <c r="M17" s="171" t="str">
        <f>IF(OR(D17="",H17=""),"",(INDEX('G-6 Hedgerow Data'!$E$3:$I$15,MATCH(D17,'G-6 Hedgerow Data'!$B$3:$B$15,0),MATCH(H17,'G-6 Hedgerow Data'!$E$2:$I$2,0))))</f>
        <v/>
      </c>
      <c r="N17" s="261"/>
      <c r="O17" s="261"/>
      <c r="P17" s="179" t="str">
        <f t="shared" si="0"/>
        <v/>
      </c>
      <c r="Q17" s="262" t="str">
        <f t="shared" si="1"/>
        <v/>
      </c>
      <c r="R17" s="263" t="str">
        <f t="shared" si="2"/>
        <v/>
      </c>
      <c r="S17" s="239" t="str">
        <f>IF(D17="","",VLOOKUP(D17,'G-6 Hedgerow Data'!$B$3:$AG$15,31,FALSE))</f>
        <v/>
      </c>
      <c r="T17" s="179" t="str">
        <f t="shared" si="3"/>
        <v/>
      </c>
      <c r="U17" s="179" t="str">
        <f t="shared" si="4"/>
        <v/>
      </c>
      <c r="V17" s="176" t="str">
        <f>IF(D17="","",VLOOKUP(S17,'G-3 Multipliers'!$P$3:$Q$6,2,FALSE))</f>
        <v/>
      </c>
      <c r="W17" s="274" t="str">
        <f t="shared" si="5"/>
        <v/>
      </c>
      <c r="X17" s="180"/>
      <c r="Y17" s="181"/>
      <c r="AG17" s="35" t="str">
        <f>IFERROR(INDEX('G-6 Hedgerow Data'!$BJ$3:$BJ$15,MATCH(D17,'G-6 Hedgerow Data'!$B$3:$B$15,0)),"")</f>
        <v/>
      </c>
    </row>
    <row r="18" spans="2:33" ht="13.8" x14ac:dyDescent="0.25">
      <c r="B18" s="168">
        <v>7</v>
      </c>
      <c r="C18" s="278"/>
      <c r="D18" s="261"/>
      <c r="E18" s="213"/>
      <c r="F18" s="277" t="str">
        <f>IF(D18="","",VLOOKUP(D18,'G-6 Hedgerow Data'!$B$2:$AG$15,2,FALSE))</f>
        <v/>
      </c>
      <c r="G18" s="172" t="str">
        <f>IF(D18="","",VLOOKUP(D18,'G-6 Hedgerow Data'!$B$2:$AG$15,3,FALSE))</f>
        <v/>
      </c>
      <c r="H18" s="173"/>
      <c r="I18" s="172" t="str">
        <f>IFERROR(VLOOKUP(H18,'G-1 All Habitats'!$Z$2:$AA$9,2,FALSE),"")</f>
        <v/>
      </c>
      <c r="J18" s="173"/>
      <c r="K18" s="175" t="str">
        <f>IF(J18="","",IF(VLOOKUP(J18,'G-3 Multipliers'!$L$3:$N$6,2,FALSE)=0,"Spatial Data Missing",VLOOKUP(J18,'G-3 Multipliers'!$L$3:$N$6,2,FALSE)))</f>
        <v/>
      </c>
      <c r="L18" s="260" t="str">
        <f>IF(J18="","",IF(VLOOKUP(J18,'G-3 Multipliers'!$L$3:$N$6,3,FALSE)=0,"Spatial Data Missing",VLOOKUP(J18,'G-3 Multipliers'!$L$3:$N$6,3,FALSE)))</f>
        <v/>
      </c>
      <c r="M18" s="171" t="str">
        <f>IF(OR(D18="",H18=""),"",(INDEX('G-6 Hedgerow Data'!$E$3:$I$15,MATCH(D18,'G-6 Hedgerow Data'!$B$3:$B$15,0),MATCH(H18,'G-6 Hedgerow Data'!$E$2:$I$2,0))))</f>
        <v/>
      </c>
      <c r="N18" s="261"/>
      <c r="O18" s="261"/>
      <c r="P18" s="179" t="str">
        <f t="shared" si="0"/>
        <v/>
      </c>
      <c r="Q18" s="262" t="str">
        <f t="shared" si="1"/>
        <v/>
      </c>
      <c r="R18" s="263" t="str">
        <f t="shared" si="2"/>
        <v/>
      </c>
      <c r="S18" s="239" t="str">
        <f>IF(D18="","",VLOOKUP(D18,'G-6 Hedgerow Data'!$B$3:$AG$15,31,FALSE))</f>
        <v/>
      </c>
      <c r="T18" s="179" t="str">
        <f t="shared" si="3"/>
        <v/>
      </c>
      <c r="U18" s="179" t="str">
        <f t="shared" si="4"/>
        <v/>
      </c>
      <c r="V18" s="176" t="str">
        <f>IF(D18="","",VLOOKUP(S18,'G-3 Multipliers'!$P$3:$Q$6,2,FALSE))</f>
        <v/>
      </c>
      <c r="W18" s="274" t="str">
        <f t="shared" si="5"/>
        <v/>
      </c>
      <c r="X18" s="180"/>
      <c r="Y18" s="181"/>
      <c r="AG18" s="35" t="str">
        <f>IFERROR(INDEX('G-6 Hedgerow Data'!$BJ$3:$BJ$15,MATCH(D18,'G-6 Hedgerow Data'!$B$3:$B$15,0)),"")</f>
        <v/>
      </c>
    </row>
    <row r="19" spans="2:33" ht="13.8" x14ac:dyDescent="0.25">
      <c r="B19" s="168">
        <v>8</v>
      </c>
      <c r="C19" s="278"/>
      <c r="D19" s="261"/>
      <c r="E19" s="213"/>
      <c r="F19" s="277" t="str">
        <f>IF(D19="","",VLOOKUP(D19,'G-6 Hedgerow Data'!$B$2:$AG$15,2,FALSE))</f>
        <v/>
      </c>
      <c r="G19" s="172" t="str">
        <f>IF(D19="","",VLOOKUP(D19,'G-6 Hedgerow Data'!$B$2:$AG$15,3,FALSE))</f>
        <v/>
      </c>
      <c r="H19" s="173"/>
      <c r="I19" s="172" t="str">
        <f>IFERROR(VLOOKUP(H19,'G-1 All Habitats'!$Z$2:$AA$9,2,FALSE),"")</f>
        <v/>
      </c>
      <c r="J19" s="173"/>
      <c r="K19" s="175" t="str">
        <f>IF(J19="","",IF(VLOOKUP(J19,'G-3 Multipliers'!$L$3:$N$6,2,FALSE)=0,"Spatial Data Missing",VLOOKUP(J19,'G-3 Multipliers'!$L$3:$N$6,2,FALSE)))</f>
        <v/>
      </c>
      <c r="L19" s="260" t="str">
        <f>IF(J19="","",IF(VLOOKUP(J19,'G-3 Multipliers'!$L$3:$N$6,3,FALSE)=0,"Spatial Data Missing",VLOOKUP(J19,'G-3 Multipliers'!$L$3:$N$6,3,FALSE)))</f>
        <v/>
      </c>
      <c r="M19" s="171" t="str">
        <f>IF(OR(D19="",H19=""),"",(INDEX('G-6 Hedgerow Data'!$E$3:$I$15,MATCH(D19,'G-6 Hedgerow Data'!$B$3:$B$15,0),MATCH(H19,'G-6 Hedgerow Data'!$E$2:$I$2,0))))</f>
        <v/>
      </c>
      <c r="N19" s="261"/>
      <c r="O19" s="261"/>
      <c r="P19" s="179" t="str">
        <f t="shared" si="0"/>
        <v/>
      </c>
      <c r="Q19" s="262" t="str">
        <f t="shared" si="1"/>
        <v/>
      </c>
      <c r="R19" s="263" t="str">
        <f t="shared" si="2"/>
        <v/>
      </c>
      <c r="S19" s="239" t="str">
        <f>IF(D19="","",VLOOKUP(D19,'G-6 Hedgerow Data'!$B$3:$AG$15,31,FALSE))</f>
        <v/>
      </c>
      <c r="T19" s="179" t="str">
        <f t="shared" si="3"/>
        <v/>
      </c>
      <c r="U19" s="179" t="str">
        <f t="shared" si="4"/>
        <v/>
      </c>
      <c r="V19" s="176" t="str">
        <f>IF(D19="","",VLOOKUP(S19,'G-3 Multipliers'!$P$3:$Q$6,2,FALSE))</f>
        <v/>
      </c>
      <c r="W19" s="274" t="str">
        <f t="shared" si="5"/>
        <v/>
      </c>
      <c r="X19" s="180"/>
      <c r="Y19" s="181"/>
      <c r="AG19" s="35" t="str">
        <f>IFERROR(INDEX('G-6 Hedgerow Data'!$BJ$3:$BJ$15,MATCH(D19,'G-6 Hedgerow Data'!$B$3:$B$15,0)),"")</f>
        <v/>
      </c>
    </row>
    <row r="20" spans="2:33" ht="13.8" x14ac:dyDescent="0.25">
      <c r="B20" s="168">
        <v>9</v>
      </c>
      <c r="C20" s="278"/>
      <c r="D20" s="261"/>
      <c r="E20" s="213"/>
      <c r="F20" s="277" t="str">
        <f>IF(D20="","",VLOOKUP(D20,'G-6 Hedgerow Data'!$B$2:$AG$15,2,FALSE))</f>
        <v/>
      </c>
      <c r="G20" s="172" t="str">
        <f>IF(D20="","",VLOOKUP(D20,'G-6 Hedgerow Data'!$B$2:$AG$15,3,FALSE))</f>
        <v/>
      </c>
      <c r="H20" s="173"/>
      <c r="I20" s="172" t="str">
        <f>IFERROR(VLOOKUP(H20,'G-1 All Habitats'!$Z$2:$AA$9,2,FALSE),"")</f>
        <v/>
      </c>
      <c r="J20" s="173"/>
      <c r="K20" s="175" t="str">
        <f>IF(J20="","",IF(VLOOKUP(J20,'G-3 Multipliers'!$L$3:$N$6,2,FALSE)=0,"Spatial Data Missing",VLOOKUP(J20,'G-3 Multipliers'!$L$3:$N$6,2,FALSE)))</f>
        <v/>
      </c>
      <c r="L20" s="260" t="str">
        <f>IF(J20="","",IF(VLOOKUP(J20,'G-3 Multipliers'!$L$3:$N$6,3,FALSE)=0,"Spatial Data Missing",VLOOKUP(J20,'G-3 Multipliers'!$L$3:$N$6,3,FALSE)))</f>
        <v/>
      </c>
      <c r="M20" s="171" t="str">
        <f>IF(OR(D20="",H20=""),"",(INDEX('G-6 Hedgerow Data'!$E$3:$I$15,MATCH(D20,'G-6 Hedgerow Data'!$B$3:$B$15,0),MATCH(H20,'G-6 Hedgerow Data'!$E$2:$I$2,0))))</f>
        <v/>
      </c>
      <c r="N20" s="261"/>
      <c r="O20" s="261"/>
      <c r="P20" s="179" t="str">
        <f t="shared" si="0"/>
        <v/>
      </c>
      <c r="Q20" s="262" t="str">
        <f t="shared" si="1"/>
        <v/>
      </c>
      <c r="R20" s="263" t="str">
        <f t="shared" si="2"/>
        <v/>
      </c>
      <c r="S20" s="239" t="str">
        <f>IF(D20="","",VLOOKUP(D20,'G-6 Hedgerow Data'!$B$3:$AG$15,31,FALSE))</f>
        <v/>
      </c>
      <c r="T20" s="179" t="str">
        <f t="shared" si="3"/>
        <v/>
      </c>
      <c r="U20" s="179" t="str">
        <f t="shared" si="4"/>
        <v/>
      </c>
      <c r="V20" s="176" t="str">
        <f>IF(D20="","",VLOOKUP(S20,'G-3 Multipliers'!$P$3:$Q$6,2,FALSE))</f>
        <v/>
      </c>
      <c r="W20" s="274" t="str">
        <f t="shared" si="5"/>
        <v/>
      </c>
      <c r="X20" s="180"/>
      <c r="Y20" s="181"/>
      <c r="AG20" s="35" t="str">
        <f>IFERROR(INDEX('G-6 Hedgerow Data'!$BJ$3:$BJ$15,MATCH(D20,'G-6 Hedgerow Data'!$B$3:$B$15,0)),"")</f>
        <v/>
      </c>
    </row>
    <row r="21" spans="2:33" ht="13.8" x14ac:dyDescent="0.25">
      <c r="B21" s="168">
        <v>10</v>
      </c>
      <c r="C21" s="278"/>
      <c r="D21" s="261"/>
      <c r="E21" s="213"/>
      <c r="F21" s="277" t="str">
        <f>IF(D21="","",VLOOKUP(D21,'G-6 Hedgerow Data'!$B$2:$AG$15,2,FALSE))</f>
        <v/>
      </c>
      <c r="G21" s="172" t="str">
        <f>IF(D21="","",VLOOKUP(D21,'G-6 Hedgerow Data'!$B$2:$AG$15,3,FALSE))</f>
        <v/>
      </c>
      <c r="H21" s="173"/>
      <c r="I21" s="172" t="str">
        <f>IFERROR(VLOOKUP(H21,'G-1 All Habitats'!$Z$2:$AA$9,2,FALSE),"")</f>
        <v/>
      </c>
      <c r="J21" s="173"/>
      <c r="K21" s="175" t="str">
        <f>IF(J21="","",IF(VLOOKUP(J21,'G-3 Multipliers'!$L$3:$N$6,2,FALSE)=0,"Spatial Data Missing",VLOOKUP(J21,'G-3 Multipliers'!$L$3:$N$6,2,FALSE)))</f>
        <v/>
      </c>
      <c r="L21" s="260" t="str">
        <f>IF(J21="","",IF(VLOOKUP(J21,'G-3 Multipliers'!$L$3:$N$6,3,FALSE)=0,"Spatial Data Missing",VLOOKUP(J21,'G-3 Multipliers'!$L$3:$N$6,3,FALSE)))</f>
        <v/>
      </c>
      <c r="M21" s="171" t="str">
        <f>IF(OR(D21="",H21=""),"",(INDEX('G-6 Hedgerow Data'!$E$3:$I$15,MATCH(D21,'G-6 Hedgerow Data'!$B$3:$B$15,0),MATCH(H21,'G-6 Hedgerow Data'!$E$2:$I$2,0))))</f>
        <v/>
      </c>
      <c r="N21" s="261"/>
      <c r="O21" s="261"/>
      <c r="P21" s="179" t="str">
        <f t="shared" si="0"/>
        <v/>
      </c>
      <c r="Q21" s="262" t="str">
        <f t="shared" si="1"/>
        <v/>
      </c>
      <c r="R21" s="263" t="str">
        <f t="shared" si="2"/>
        <v/>
      </c>
      <c r="S21" s="239" t="str">
        <f>IF(D21="","",VLOOKUP(D21,'G-6 Hedgerow Data'!$B$3:$AG$15,31,FALSE))</f>
        <v/>
      </c>
      <c r="T21" s="179" t="str">
        <f t="shared" si="3"/>
        <v/>
      </c>
      <c r="U21" s="179" t="str">
        <f t="shared" si="4"/>
        <v/>
      </c>
      <c r="V21" s="176" t="str">
        <f>IF(D21="","",VLOOKUP(S21,'G-3 Multipliers'!$P$3:$Q$6,2,FALSE))</f>
        <v/>
      </c>
      <c r="W21" s="274" t="str">
        <f t="shared" si="5"/>
        <v/>
      </c>
      <c r="X21" s="180"/>
      <c r="Y21" s="181"/>
      <c r="AG21" s="35" t="str">
        <f>IFERROR(INDEX('G-6 Hedgerow Data'!$BJ$3:$BJ$15,MATCH(D21,'G-6 Hedgerow Data'!$B$3:$B$15,0)),"")</f>
        <v/>
      </c>
    </row>
    <row r="22" spans="2:33" ht="13.8" x14ac:dyDescent="0.25">
      <c r="B22" s="168">
        <v>11</v>
      </c>
      <c r="C22" s="278"/>
      <c r="D22" s="261"/>
      <c r="E22" s="213"/>
      <c r="F22" s="277" t="str">
        <f>IF(D22="","",VLOOKUP(D22,'G-6 Hedgerow Data'!$B$2:$AG$15,2,FALSE))</f>
        <v/>
      </c>
      <c r="G22" s="172" t="str">
        <f>IF(D22="","",VLOOKUP(D22,'G-6 Hedgerow Data'!$B$2:$AG$15,3,FALSE))</f>
        <v/>
      </c>
      <c r="H22" s="173"/>
      <c r="I22" s="172" t="str">
        <f>IFERROR(VLOOKUP(H22,'G-1 All Habitats'!$Z$2:$AA$9,2,FALSE),"")</f>
        <v/>
      </c>
      <c r="J22" s="173"/>
      <c r="K22" s="175" t="str">
        <f>IF(J22="","",IF(VLOOKUP(J22,'G-3 Multipliers'!$L$3:$N$6,2,FALSE)=0,"Spatial Data Missing",VLOOKUP(J22,'G-3 Multipliers'!$L$3:$N$6,2,FALSE)))</f>
        <v/>
      </c>
      <c r="L22" s="260" t="str">
        <f>IF(J22="","",IF(VLOOKUP(J22,'G-3 Multipliers'!$L$3:$N$6,3,FALSE)=0,"Spatial Data Missing",VLOOKUP(J22,'G-3 Multipliers'!$L$3:$N$6,3,FALSE)))</f>
        <v/>
      </c>
      <c r="M22" s="171" t="str">
        <f>IF(OR(D22="",H22=""),"",(INDEX('G-6 Hedgerow Data'!$E$3:$I$15,MATCH(D22,'G-6 Hedgerow Data'!$B$3:$B$15,0),MATCH(H22,'G-6 Hedgerow Data'!$E$2:$I$2,0))))</f>
        <v/>
      </c>
      <c r="N22" s="261"/>
      <c r="O22" s="261"/>
      <c r="P22" s="179" t="str">
        <f t="shared" si="0"/>
        <v/>
      </c>
      <c r="Q22" s="262" t="str">
        <f t="shared" si="1"/>
        <v/>
      </c>
      <c r="R22" s="263" t="str">
        <f t="shared" si="2"/>
        <v/>
      </c>
      <c r="S22" s="239" t="str">
        <f>IF(D22="","",VLOOKUP(D22,'G-6 Hedgerow Data'!$B$3:$AG$15,31,FALSE))</f>
        <v/>
      </c>
      <c r="T22" s="179" t="str">
        <f t="shared" si="3"/>
        <v/>
      </c>
      <c r="U22" s="179" t="str">
        <f t="shared" si="4"/>
        <v/>
      </c>
      <c r="V22" s="176" t="str">
        <f>IF(D22="","",VLOOKUP(S22,'G-3 Multipliers'!$P$3:$Q$6,2,FALSE))</f>
        <v/>
      </c>
      <c r="W22" s="274" t="str">
        <f t="shared" si="5"/>
        <v/>
      </c>
      <c r="X22" s="180"/>
      <c r="Y22" s="181"/>
      <c r="AG22" s="35" t="str">
        <f>IFERROR(INDEX('G-6 Hedgerow Data'!$BJ$3:$BJ$15,MATCH(D22,'G-6 Hedgerow Data'!$B$3:$B$15,0)),"")</f>
        <v/>
      </c>
    </row>
    <row r="23" spans="2:33" ht="13.8" x14ac:dyDescent="0.25">
      <c r="B23" s="168">
        <v>12</v>
      </c>
      <c r="C23" s="278"/>
      <c r="D23" s="261"/>
      <c r="E23" s="213"/>
      <c r="F23" s="277" t="str">
        <f>IF(D23="","",VLOOKUP(D23,'G-6 Hedgerow Data'!$B$2:$AG$15,2,FALSE))</f>
        <v/>
      </c>
      <c r="G23" s="172" t="str">
        <f>IF(D23="","",VLOOKUP(D23,'G-6 Hedgerow Data'!$B$2:$AG$15,3,FALSE))</f>
        <v/>
      </c>
      <c r="H23" s="173"/>
      <c r="I23" s="172" t="str">
        <f>IFERROR(VLOOKUP(H23,'G-1 All Habitats'!$Z$2:$AA$9,2,FALSE),"")</f>
        <v/>
      </c>
      <c r="J23" s="173"/>
      <c r="K23" s="175" t="str">
        <f>IF(J23="","",IF(VLOOKUP(J23,'G-3 Multipliers'!$L$3:$N$6,2,FALSE)=0,"Spatial Data Missing",VLOOKUP(J23,'G-3 Multipliers'!$L$3:$N$6,2,FALSE)))</f>
        <v/>
      </c>
      <c r="L23" s="260" t="str">
        <f>IF(J23="","",IF(VLOOKUP(J23,'G-3 Multipliers'!$L$3:$N$6,3,FALSE)=0,"Spatial Data Missing",VLOOKUP(J23,'G-3 Multipliers'!$L$3:$N$6,3,FALSE)))</f>
        <v/>
      </c>
      <c r="M23" s="171" t="str">
        <f>IF(OR(D23="",H23=""),"",(INDEX('G-6 Hedgerow Data'!$E$3:$I$15,MATCH(D23,'G-6 Hedgerow Data'!$B$3:$B$15,0),MATCH(H23,'G-6 Hedgerow Data'!$E$2:$I$2,0))))</f>
        <v/>
      </c>
      <c r="N23" s="261"/>
      <c r="O23" s="261"/>
      <c r="P23" s="179" t="str">
        <f t="shared" si="0"/>
        <v/>
      </c>
      <c r="Q23" s="262" t="str">
        <f t="shared" si="1"/>
        <v/>
      </c>
      <c r="R23" s="263" t="str">
        <f t="shared" si="2"/>
        <v/>
      </c>
      <c r="S23" s="239" t="str">
        <f>IF(D23="","",VLOOKUP(D23,'G-6 Hedgerow Data'!$B$3:$AG$15,31,FALSE))</f>
        <v/>
      </c>
      <c r="T23" s="179" t="str">
        <f t="shared" si="3"/>
        <v/>
      </c>
      <c r="U23" s="179" t="str">
        <f t="shared" si="4"/>
        <v/>
      </c>
      <c r="V23" s="176" t="str">
        <f>IF(D23="","",VLOOKUP(S23,'G-3 Multipliers'!$P$3:$Q$6,2,FALSE))</f>
        <v/>
      </c>
      <c r="W23" s="274" t="str">
        <f t="shared" si="5"/>
        <v/>
      </c>
      <c r="X23" s="180"/>
      <c r="Y23" s="181"/>
      <c r="AG23" s="35" t="str">
        <f>IFERROR(INDEX('G-6 Hedgerow Data'!$BJ$3:$BJ$15,MATCH(D23,'G-6 Hedgerow Data'!$B$3:$B$15,0)),"")</f>
        <v/>
      </c>
    </row>
    <row r="24" spans="2:33" ht="13.8" x14ac:dyDescent="0.25">
      <c r="B24" s="168">
        <v>13</v>
      </c>
      <c r="C24" s="278"/>
      <c r="D24" s="261"/>
      <c r="E24" s="213"/>
      <c r="F24" s="277" t="str">
        <f>IF(D24="","",VLOOKUP(D24,'G-6 Hedgerow Data'!$B$2:$AG$15,2,FALSE))</f>
        <v/>
      </c>
      <c r="G24" s="172" t="str">
        <f>IF(D24="","",VLOOKUP(D24,'G-6 Hedgerow Data'!$B$2:$AG$15,3,FALSE))</f>
        <v/>
      </c>
      <c r="H24" s="173"/>
      <c r="I24" s="172" t="str">
        <f>IFERROR(VLOOKUP(H24,'G-1 All Habitats'!$Z$2:$AA$9,2,FALSE),"")</f>
        <v/>
      </c>
      <c r="J24" s="173"/>
      <c r="K24" s="175" t="str">
        <f>IF(J24="","",IF(VLOOKUP(J24,'G-3 Multipliers'!$L$3:$N$6,2,FALSE)=0,"Spatial Data Missing",VLOOKUP(J24,'G-3 Multipliers'!$L$3:$N$6,2,FALSE)))</f>
        <v/>
      </c>
      <c r="L24" s="260" t="str">
        <f>IF(J24="","",IF(VLOOKUP(J24,'G-3 Multipliers'!$L$3:$N$6,3,FALSE)=0,"Spatial Data Missing",VLOOKUP(J24,'G-3 Multipliers'!$L$3:$N$6,3,FALSE)))</f>
        <v/>
      </c>
      <c r="M24" s="171" t="str">
        <f>IF(OR(D24="",H24=""),"",(INDEX('G-6 Hedgerow Data'!$E$3:$I$15,MATCH(D24,'G-6 Hedgerow Data'!$B$3:$B$15,0),MATCH(H24,'G-6 Hedgerow Data'!$E$2:$I$2,0))))</f>
        <v/>
      </c>
      <c r="N24" s="261"/>
      <c r="O24" s="261"/>
      <c r="P24" s="179" t="str">
        <f t="shared" si="0"/>
        <v/>
      </c>
      <c r="Q24" s="262" t="str">
        <f t="shared" si="1"/>
        <v/>
      </c>
      <c r="R24" s="263" t="str">
        <f t="shared" si="2"/>
        <v/>
      </c>
      <c r="S24" s="239" t="str">
        <f>IF(D24="","",VLOOKUP(D24,'G-6 Hedgerow Data'!$B$3:$AG$15,31,FALSE))</f>
        <v/>
      </c>
      <c r="T24" s="179" t="str">
        <f t="shared" si="3"/>
        <v/>
      </c>
      <c r="U24" s="179" t="str">
        <f t="shared" si="4"/>
        <v/>
      </c>
      <c r="V24" s="176" t="str">
        <f>IF(D24="","",VLOOKUP(S24,'G-3 Multipliers'!$P$3:$Q$6,2,FALSE))</f>
        <v/>
      </c>
      <c r="W24" s="274" t="str">
        <f t="shared" si="5"/>
        <v/>
      </c>
      <c r="X24" s="180"/>
      <c r="Y24" s="181"/>
      <c r="AG24" s="35" t="str">
        <f>IFERROR(INDEX('G-6 Hedgerow Data'!$BJ$3:$BJ$15,MATCH(D24,'G-6 Hedgerow Data'!$B$3:$B$15,0)),"")</f>
        <v/>
      </c>
    </row>
    <row r="25" spans="2:33" ht="13.8" x14ac:dyDescent="0.25">
      <c r="B25" s="168">
        <v>14</v>
      </c>
      <c r="C25" s="278"/>
      <c r="D25" s="261"/>
      <c r="E25" s="213"/>
      <c r="F25" s="277" t="str">
        <f>IF(D25="","",VLOOKUP(D25,'G-6 Hedgerow Data'!$B$2:$AG$15,2,FALSE))</f>
        <v/>
      </c>
      <c r="G25" s="172" t="str">
        <f>IF(D25="","",VLOOKUP(D25,'G-6 Hedgerow Data'!$B$2:$AG$15,3,FALSE))</f>
        <v/>
      </c>
      <c r="H25" s="173"/>
      <c r="I25" s="172" t="str">
        <f>IFERROR(VLOOKUP(H25,'G-1 All Habitats'!$Z$2:$AA$9,2,FALSE),"")</f>
        <v/>
      </c>
      <c r="J25" s="173"/>
      <c r="K25" s="175" t="str">
        <f>IF(J25="","",IF(VLOOKUP(J25,'G-3 Multipliers'!$L$3:$N$6,2,FALSE)=0,"Spatial Data Missing",VLOOKUP(J25,'G-3 Multipliers'!$L$3:$N$6,2,FALSE)))</f>
        <v/>
      </c>
      <c r="L25" s="260" t="str">
        <f>IF(J25="","",IF(VLOOKUP(J25,'G-3 Multipliers'!$L$3:$N$6,3,FALSE)=0,"Spatial Data Missing",VLOOKUP(J25,'G-3 Multipliers'!$L$3:$N$6,3,FALSE)))</f>
        <v/>
      </c>
      <c r="M25" s="171" t="str">
        <f>IF(OR(D25="",H25=""),"",(INDEX('G-6 Hedgerow Data'!$E$3:$I$15,MATCH(D25,'G-6 Hedgerow Data'!$B$3:$B$15,0),MATCH(H25,'G-6 Hedgerow Data'!$E$2:$I$2,0))))</f>
        <v/>
      </c>
      <c r="N25" s="261"/>
      <c r="O25" s="261"/>
      <c r="P25" s="179" t="str">
        <f t="shared" si="0"/>
        <v/>
      </c>
      <c r="Q25" s="262" t="str">
        <f t="shared" si="1"/>
        <v/>
      </c>
      <c r="R25" s="263" t="str">
        <f t="shared" si="2"/>
        <v/>
      </c>
      <c r="S25" s="239" t="str">
        <f>IF(D25="","",VLOOKUP(D25,'G-6 Hedgerow Data'!$B$3:$AG$15,31,FALSE))</f>
        <v/>
      </c>
      <c r="T25" s="179" t="str">
        <f t="shared" si="3"/>
        <v/>
      </c>
      <c r="U25" s="179" t="str">
        <f t="shared" si="4"/>
        <v/>
      </c>
      <c r="V25" s="176" t="str">
        <f>IF(D25="","",VLOOKUP(S25,'G-3 Multipliers'!$P$3:$Q$6,2,FALSE))</f>
        <v/>
      </c>
      <c r="W25" s="274" t="str">
        <f t="shared" si="5"/>
        <v/>
      </c>
      <c r="X25" s="180"/>
      <c r="Y25" s="181"/>
      <c r="AG25" s="35" t="str">
        <f>IFERROR(INDEX('G-6 Hedgerow Data'!$BJ$3:$BJ$15,MATCH(D25,'G-6 Hedgerow Data'!$B$3:$B$15,0)),"")</f>
        <v/>
      </c>
    </row>
    <row r="26" spans="2:33" ht="13.8" x14ac:dyDescent="0.25">
      <c r="B26" s="168">
        <v>15</v>
      </c>
      <c r="C26" s="278"/>
      <c r="D26" s="261"/>
      <c r="E26" s="213"/>
      <c r="F26" s="277" t="str">
        <f>IF(D26="","",VLOOKUP(D26,'G-6 Hedgerow Data'!$B$2:$AG$15,2,FALSE))</f>
        <v/>
      </c>
      <c r="G26" s="172" t="str">
        <f>IF(D26="","",VLOOKUP(D26,'G-6 Hedgerow Data'!$B$2:$AG$15,3,FALSE))</f>
        <v/>
      </c>
      <c r="H26" s="173"/>
      <c r="I26" s="172" t="str">
        <f>IFERROR(VLOOKUP(H26,'G-1 All Habitats'!$Z$2:$AA$9,2,FALSE),"")</f>
        <v/>
      </c>
      <c r="J26" s="173"/>
      <c r="K26" s="175" t="str">
        <f>IF(J26="","",IF(VLOOKUP(J26,'G-3 Multipliers'!$L$3:$N$6,2,FALSE)=0,"Spatial Data Missing",VLOOKUP(J26,'G-3 Multipliers'!$L$3:$N$6,2,FALSE)))</f>
        <v/>
      </c>
      <c r="L26" s="260" t="str">
        <f>IF(J26="","",IF(VLOOKUP(J26,'G-3 Multipliers'!$L$3:$N$6,3,FALSE)=0,"Spatial Data Missing",VLOOKUP(J26,'G-3 Multipliers'!$L$3:$N$6,3,FALSE)))</f>
        <v/>
      </c>
      <c r="M26" s="171" t="str">
        <f>IF(OR(D26="",H26=""),"",(INDEX('G-6 Hedgerow Data'!$E$3:$I$15,MATCH(D26,'G-6 Hedgerow Data'!$B$3:$B$15,0),MATCH(H26,'G-6 Hedgerow Data'!$E$2:$I$2,0))))</f>
        <v/>
      </c>
      <c r="N26" s="261"/>
      <c r="O26" s="261"/>
      <c r="P26" s="179" t="str">
        <f t="shared" si="0"/>
        <v/>
      </c>
      <c r="Q26" s="262" t="str">
        <f t="shared" si="1"/>
        <v/>
      </c>
      <c r="R26" s="263" t="str">
        <f t="shared" si="2"/>
        <v/>
      </c>
      <c r="S26" s="239" t="str">
        <f>IF(D26="","",VLOOKUP(D26,'G-6 Hedgerow Data'!$B$3:$AG$15,31,FALSE))</f>
        <v/>
      </c>
      <c r="T26" s="179" t="str">
        <f t="shared" si="3"/>
        <v/>
      </c>
      <c r="U26" s="179" t="str">
        <f t="shared" si="4"/>
        <v/>
      </c>
      <c r="V26" s="176" t="str">
        <f>IF(D26="","",VLOOKUP(S26,'G-3 Multipliers'!$P$3:$Q$6,2,FALSE))</f>
        <v/>
      </c>
      <c r="W26" s="274" t="str">
        <f t="shared" si="5"/>
        <v/>
      </c>
      <c r="X26" s="180"/>
      <c r="Y26" s="181"/>
      <c r="AG26" s="35" t="str">
        <f>IFERROR(INDEX('G-6 Hedgerow Data'!$BJ$3:$BJ$15,MATCH(D26,'G-6 Hedgerow Data'!$B$3:$B$15,0)),"")</f>
        <v/>
      </c>
    </row>
    <row r="27" spans="2:33" ht="13.8" x14ac:dyDescent="0.25">
      <c r="B27" s="168">
        <v>16</v>
      </c>
      <c r="C27" s="278"/>
      <c r="D27" s="261"/>
      <c r="E27" s="213"/>
      <c r="F27" s="277" t="str">
        <f>IF(D27="","",VLOOKUP(D27,'G-6 Hedgerow Data'!$B$2:$AG$15,2,FALSE))</f>
        <v/>
      </c>
      <c r="G27" s="172" t="str">
        <f>IF(D27="","",VLOOKUP(D27,'G-6 Hedgerow Data'!$B$2:$AG$15,3,FALSE))</f>
        <v/>
      </c>
      <c r="H27" s="173"/>
      <c r="I27" s="172" t="str">
        <f>IFERROR(VLOOKUP(H27,'G-1 All Habitats'!$Z$2:$AA$9,2,FALSE),"")</f>
        <v/>
      </c>
      <c r="J27" s="173"/>
      <c r="K27" s="175" t="str">
        <f>IF(J27="","",IF(VLOOKUP(J27,'G-3 Multipliers'!$L$3:$N$6,2,FALSE)=0,"Spatial Data Missing",VLOOKUP(J27,'G-3 Multipliers'!$L$3:$N$6,2,FALSE)))</f>
        <v/>
      </c>
      <c r="L27" s="260" t="str">
        <f>IF(J27="","",IF(VLOOKUP(J27,'G-3 Multipliers'!$L$3:$N$6,3,FALSE)=0,"Spatial Data Missing",VLOOKUP(J27,'G-3 Multipliers'!$L$3:$N$6,3,FALSE)))</f>
        <v/>
      </c>
      <c r="M27" s="171" t="str">
        <f>IF(OR(D27="",H27=""),"",(INDEX('G-6 Hedgerow Data'!$E$3:$I$15,MATCH(D27,'G-6 Hedgerow Data'!$B$3:$B$15,0),MATCH(H27,'G-6 Hedgerow Data'!$E$2:$I$2,0))))</f>
        <v/>
      </c>
      <c r="N27" s="261"/>
      <c r="O27" s="261"/>
      <c r="P27" s="179" t="str">
        <f t="shared" si="0"/>
        <v/>
      </c>
      <c r="Q27" s="262" t="str">
        <f t="shared" si="1"/>
        <v/>
      </c>
      <c r="R27" s="263" t="str">
        <f t="shared" si="2"/>
        <v/>
      </c>
      <c r="S27" s="239" t="str">
        <f>IF(D27="","",VLOOKUP(D27,'G-6 Hedgerow Data'!$B$3:$AG$15,31,FALSE))</f>
        <v/>
      </c>
      <c r="T27" s="179" t="str">
        <f t="shared" si="3"/>
        <v/>
      </c>
      <c r="U27" s="179" t="str">
        <f t="shared" si="4"/>
        <v/>
      </c>
      <c r="V27" s="176" t="str">
        <f>IF(D27="","",VLOOKUP(S27,'G-3 Multipliers'!$P$3:$Q$6,2,FALSE))</f>
        <v/>
      </c>
      <c r="W27" s="274" t="str">
        <f t="shared" si="5"/>
        <v/>
      </c>
      <c r="X27" s="180"/>
      <c r="Y27" s="181"/>
      <c r="AG27" s="35" t="str">
        <f>IFERROR(INDEX('G-6 Hedgerow Data'!$BJ$3:$BJ$15,MATCH(D27,'G-6 Hedgerow Data'!$B$3:$B$15,0)),"")</f>
        <v/>
      </c>
    </row>
    <row r="28" spans="2:33" ht="13.8" x14ac:dyDescent="0.25">
      <c r="B28" s="168">
        <v>17</v>
      </c>
      <c r="C28" s="278"/>
      <c r="D28" s="261"/>
      <c r="E28" s="213"/>
      <c r="F28" s="277" t="str">
        <f>IF(D28="","",VLOOKUP(D28,'G-6 Hedgerow Data'!$B$2:$AG$15,2,FALSE))</f>
        <v/>
      </c>
      <c r="G28" s="172" t="str">
        <f>IF(D28="","",VLOOKUP(D28,'G-6 Hedgerow Data'!$B$2:$AG$15,3,FALSE))</f>
        <v/>
      </c>
      <c r="H28" s="173"/>
      <c r="I28" s="172" t="str">
        <f>IFERROR(VLOOKUP(H28,'G-1 All Habitats'!$Z$2:$AA$9,2,FALSE),"")</f>
        <v/>
      </c>
      <c r="J28" s="173"/>
      <c r="K28" s="175" t="str">
        <f>IF(J28="","",IF(VLOOKUP(J28,'G-3 Multipliers'!$L$3:$N$6,2,FALSE)=0,"Spatial Data Missing",VLOOKUP(J28,'G-3 Multipliers'!$L$3:$N$6,2,FALSE)))</f>
        <v/>
      </c>
      <c r="L28" s="260" t="str">
        <f>IF(J28="","",IF(VLOOKUP(J28,'G-3 Multipliers'!$L$3:$N$6,3,FALSE)=0,"Spatial Data Missing",VLOOKUP(J28,'G-3 Multipliers'!$L$3:$N$6,3,FALSE)))</f>
        <v/>
      </c>
      <c r="M28" s="171" t="str">
        <f>IF(OR(D28="",H28=""),"",(INDEX('G-6 Hedgerow Data'!$E$3:$I$15,MATCH(D28,'G-6 Hedgerow Data'!$B$3:$B$15,0),MATCH(H28,'G-6 Hedgerow Data'!$E$2:$I$2,0))))</f>
        <v/>
      </c>
      <c r="N28" s="261"/>
      <c r="O28" s="261"/>
      <c r="P28" s="179" t="str">
        <f t="shared" si="0"/>
        <v/>
      </c>
      <c r="Q28" s="262" t="str">
        <f t="shared" si="1"/>
        <v/>
      </c>
      <c r="R28" s="263" t="str">
        <f t="shared" si="2"/>
        <v/>
      </c>
      <c r="S28" s="239" t="str">
        <f>IF(D28="","",VLOOKUP(D28,'G-6 Hedgerow Data'!$B$3:$AG$15,31,FALSE))</f>
        <v/>
      </c>
      <c r="T28" s="179" t="str">
        <f t="shared" si="3"/>
        <v/>
      </c>
      <c r="U28" s="179" t="str">
        <f t="shared" si="4"/>
        <v/>
      </c>
      <c r="V28" s="176" t="str">
        <f>IF(D28="","",VLOOKUP(S28,'G-3 Multipliers'!$P$3:$Q$6,2,FALSE))</f>
        <v/>
      </c>
      <c r="W28" s="274" t="str">
        <f t="shared" si="5"/>
        <v/>
      </c>
      <c r="X28" s="180"/>
      <c r="Y28" s="181"/>
      <c r="AG28" s="35" t="str">
        <f>IFERROR(INDEX('G-6 Hedgerow Data'!$BJ$3:$BJ$15,MATCH(D28,'G-6 Hedgerow Data'!$B$3:$B$15,0)),"")</f>
        <v/>
      </c>
    </row>
    <row r="29" spans="2:33" ht="13.8" x14ac:dyDescent="0.25">
      <c r="B29" s="168">
        <v>18</v>
      </c>
      <c r="C29" s="278"/>
      <c r="D29" s="261"/>
      <c r="E29" s="213"/>
      <c r="F29" s="277" t="str">
        <f>IF(D29="","",VLOOKUP(D29,'G-6 Hedgerow Data'!$B$2:$AG$15,2,FALSE))</f>
        <v/>
      </c>
      <c r="G29" s="172" t="str">
        <f>IF(D29="","",VLOOKUP(D29,'G-6 Hedgerow Data'!$B$2:$AG$15,3,FALSE))</f>
        <v/>
      </c>
      <c r="H29" s="173"/>
      <c r="I29" s="172" t="str">
        <f>IFERROR(VLOOKUP(H29,'G-1 All Habitats'!$Z$2:$AA$9,2,FALSE),"")</f>
        <v/>
      </c>
      <c r="J29" s="173"/>
      <c r="K29" s="175" t="str">
        <f>IF(J29="","",IF(VLOOKUP(J29,'G-3 Multipliers'!$L$3:$N$6,2,FALSE)=0,"Spatial Data Missing",VLOOKUP(J29,'G-3 Multipliers'!$L$3:$N$6,2,FALSE)))</f>
        <v/>
      </c>
      <c r="L29" s="260" t="str">
        <f>IF(J29="","",IF(VLOOKUP(J29,'G-3 Multipliers'!$L$3:$N$6,3,FALSE)=0,"Spatial Data Missing",VLOOKUP(J29,'G-3 Multipliers'!$L$3:$N$6,3,FALSE)))</f>
        <v/>
      </c>
      <c r="M29" s="171" t="str">
        <f>IF(OR(D29="",H29=""),"",(INDEX('G-6 Hedgerow Data'!$E$3:$I$15,MATCH(D29,'G-6 Hedgerow Data'!$B$3:$B$15,0),MATCH(H29,'G-6 Hedgerow Data'!$E$2:$I$2,0))))</f>
        <v/>
      </c>
      <c r="N29" s="261"/>
      <c r="O29" s="261"/>
      <c r="P29" s="179" t="str">
        <f t="shared" si="0"/>
        <v/>
      </c>
      <c r="Q29" s="262" t="str">
        <f t="shared" si="1"/>
        <v/>
      </c>
      <c r="R29" s="263" t="str">
        <f t="shared" si="2"/>
        <v/>
      </c>
      <c r="S29" s="239" t="str">
        <f>IF(D29="","",VLOOKUP(D29,'G-6 Hedgerow Data'!$B$3:$AG$15,31,FALSE))</f>
        <v/>
      </c>
      <c r="T29" s="179" t="str">
        <f t="shared" si="3"/>
        <v/>
      </c>
      <c r="U29" s="179" t="str">
        <f t="shared" si="4"/>
        <v/>
      </c>
      <c r="V29" s="176" t="str">
        <f>IF(D29="","",VLOOKUP(S29,'G-3 Multipliers'!$P$3:$Q$6,2,FALSE))</f>
        <v/>
      </c>
      <c r="W29" s="274" t="str">
        <f t="shared" si="5"/>
        <v/>
      </c>
      <c r="X29" s="180"/>
      <c r="Y29" s="181"/>
      <c r="AG29" s="35" t="str">
        <f>IFERROR(INDEX('G-6 Hedgerow Data'!$BJ$3:$BJ$15,MATCH(D29,'G-6 Hedgerow Data'!$B$3:$B$15,0)),"")</f>
        <v/>
      </c>
    </row>
    <row r="30" spans="2:33" ht="13.8" x14ac:dyDescent="0.25">
      <c r="B30" s="168">
        <v>19</v>
      </c>
      <c r="C30" s="278"/>
      <c r="D30" s="261"/>
      <c r="E30" s="213"/>
      <c r="F30" s="277" t="str">
        <f>IF(D30="","",VLOOKUP(D30,'G-6 Hedgerow Data'!$B$2:$AG$15,2,FALSE))</f>
        <v/>
      </c>
      <c r="G30" s="172" t="str">
        <f>IF(D30="","",VLOOKUP(D30,'G-6 Hedgerow Data'!$B$2:$AG$15,3,FALSE))</f>
        <v/>
      </c>
      <c r="H30" s="173"/>
      <c r="I30" s="172" t="str">
        <f>IFERROR(VLOOKUP(H30,'G-1 All Habitats'!$Z$2:$AA$9,2,FALSE),"")</f>
        <v/>
      </c>
      <c r="J30" s="173"/>
      <c r="K30" s="175" t="str">
        <f>IF(J30="","",IF(VLOOKUP(J30,'G-3 Multipliers'!$L$3:$N$6,2,FALSE)=0,"Spatial Data Missing",VLOOKUP(J30,'G-3 Multipliers'!$L$3:$N$6,2,FALSE)))</f>
        <v/>
      </c>
      <c r="L30" s="260" t="str">
        <f>IF(J30="","",IF(VLOOKUP(J30,'G-3 Multipliers'!$L$3:$N$6,3,FALSE)=0,"Spatial Data Missing",VLOOKUP(J30,'G-3 Multipliers'!$L$3:$N$6,3,FALSE)))</f>
        <v/>
      </c>
      <c r="M30" s="171" t="str">
        <f>IF(OR(D30="",H30=""),"",(INDEX('G-6 Hedgerow Data'!$E$3:$I$15,MATCH(D30,'G-6 Hedgerow Data'!$B$3:$B$15,0),MATCH(H30,'G-6 Hedgerow Data'!$E$2:$I$2,0))))</f>
        <v/>
      </c>
      <c r="N30" s="261"/>
      <c r="O30" s="261"/>
      <c r="P30" s="179" t="str">
        <f t="shared" si="0"/>
        <v/>
      </c>
      <c r="Q30" s="262" t="str">
        <f t="shared" si="1"/>
        <v/>
      </c>
      <c r="R30" s="263" t="str">
        <f t="shared" si="2"/>
        <v/>
      </c>
      <c r="S30" s="239" t="str">
        <f>IF(D30="","",VLOOKUP(D30,'G-6 Hedgerow Data'!$B$3:$AG$15,31,FALSE))</f>
        <v/>
      </c>
      <c r="T30" s="179" t="str">
        <f t="shared" si="3"/>
        <v/>
      </c>
      <c r="U30" s="179" t="str">
        <f t="shared" si="4"/>
        <v/>
      </c>
      <c r="V30" s="176" t="str">
        <f>IF(D30="","",VLOOKUP(S30,'G-3 Multipliers'!$P$3:$Q$6,2,FALSE))</f>
        <v/>
      </c>
      <c r="W30" s="274" t="str">
        <f t="shared" si="5"/>
        <v/>
      </c>
      <c r="X30" s="180"/>
      <c r="Y30" s="181"/>
      <c r="AG30" s="35" t="str">
        <f>IFERROR(INDEX('G-6 Hedgerow Data'!$BJ$3:$BJ$15,MATCH(D30,'G-6 Hedgerow Data'!$B$3:$B$15,0)),"")</f>
        <v/>
      </c>
    </row>
    <row r="31" spans="2:33" ht="13.8" x14ac:dyDescent="0.25">
      <c r="B31" s="168">
        <v>20</v>
      </c>
      <c r="C31" s="278"/>
      <c r="D31" s="261"/>
      <c r="E31" s="213"/>
      <c r="F31" s="277" t="str">
        <f>IF(D31="","",VLOOKUP(D31,'G-6 Hedgerow Data'!$B$2:$AG$15,2,FALSE))</f>
        <v/>
      </c>
      <c r="G31" s="172" t="str">
        <f>IF(D31="","",VLOOKUP(D31,'G-6 Hedgerow Data'!$B$2:$AG$15,3,FALSE))</f>
        <v/>
      </c>
      <c r="H31" s="173"/>
      <c r="I31" s="172" t="str">
        <f>IFERROR(VLOOKUP(H31,'G-1 All Habitats'!$Z$2:$AA$9,2,FALSE),"")</f>
        <v/>
      </c>
      <c r="J31" s="173"/>
      <c r="K31" s="175" t="str">
        <f>IF(J31="","",IF(VLOOKUP(J31,'G-3 Multipliers'!$L$3:$N$6,2,FALSE)=0,"Spatial Data Missing",VLOOKUP(J31,'G-3 Multipliers'!$L$3:$N$6,2,FALSE)))</f>
        <v/>
      </c>
      <c r="L31" s="260" t="str">
        <f>IF(J31="","",IF(VLOOKUP(J31,'G-3 Multipliers'!$L$3:$N$6,3,FALSE)=0,"Spatial Data Missing",VLOOKUP(J31,'G-3 Multipliers'!$L$3:$N$6,3,FALSE)))</f>
        <v/>
      </c>
      <c r="M31" s="171" t="str">
        <f>IF(OR(D31="",H31=""),"",(INDEX('G-6 Hedgerow Data'!$E$3:$I$15,MATCH(D31,'G-6 Hedgerow Data'!$B$3:$B$15,0),MATCH(H31,'G-6 Hedgerow Data'!$E$2:$I$2,0))))</f>
        <v/>
      </c>
      <c r="N31" s="261"/>
      <c r="O31" s="261"/>
      <c r="P31" s="179" t="str">
        <f t="shared" si="0"/>
        <v/>
      </c>
      <c r="Q31" s="262" t="str">
        <f t="shared" si="1"/>
        <v/>
      </c>
      <c r="R31" s="263" t="str">
        <f t="shared" si="2"/>
        <v/>
      </c>
      <c r="S31" s="239" t="str">
        <f>IF(D31="","",VLOOKUP(D31,'G-6 Hedgerow Data'!$B$3:$AG$15,31,FALSE))</f>
        <v/>
      </c>
      <c r="T31" s="179" t="str">
        <f t="shared" si="3"/>
        <v/>
      </c>
      <c r="U31" s="179" t="str">
        <f t="shared" si="4"/>
        <v/>
      </c>
      <c r="V31" s="176" t="str">
        <f>IF(D31="","",VLOOKUP(S31,'G-3 Multipliers'!$P$3:$Q$6,2,FALSE))</f>
        <v/>
      </c>
      <c r="W31" s="274" t="str">
        <f t="shared" si="5"/>
        <v/>
      </c>
      <c r="X31" s="180"/>
      <c r="Y31" s="181"/>
      <c r="AG31" s="35" t="str">
        <f>IFERROR(INDEX('G-6 Hedgerow Data'!$BJ$3:$BJ$15,MATCH(D31,'G-6 Hedgerow Data'!$B$3:$B$15,0)),"")</f>
        <v/>
      </c>
    </row>
    <row r="32" spans="2:33" ht="13.8" x14ac:dyDescent="0.25">
      <c r="B32" s="168">
        <v>21</v>
      </c>
      <c r="C32" s="278"/>
      <c r="D32" s="261"/>
      <c r="E32" s="213"/>
      <c r="F32" s="277" t="str">
        <f>IF(D32="","",VLOOKUP(D32,'G-6 Hedgerow Data'!$B$2:$AG$15,2,FALSE))</f>
        <v/>
      </c>
      <c r="G32" s="172" t="str">
        <f>IF(D32="","",VLOOKUP(D32,'G-6 Hedgerow Data'!$B$2:$AG$15,3,FALSE))</f>
        <v/>
      </c>
      <c r="H32" s="173"/>
      <c r="I32" s="172" t="str">
        <f>IFERROR(VLOOKUP(H32,'G-1 All Habitats'!$Z$2:$AA$9,2,FALSE),"")</f>
        <v/>
      </c>
      <c r="J32" s="173"/>
      <c r="K32" s="175" t="str">
        <f>IF(J32="","",IF(VLOOKUP(J32,'G-3 Multipliers'!$L$3:$N$6,2,FALSE)=0,"Spatial Data Missing",VLOOKUP(J32,'G-3 Multipliers'!$L$3:$N$6,2,FALSE)))</f>
        <v/>
      </c>
      <c r="L32" s="260" t="str">
        <f>IF(J32="","",IF(VLOOKUP(J32,'G-3 Multipliers'!$L$3:$N$6,3,FALSE)=0,"Spatial Data Missing",VLOOKUP(J32,'G-3 Multipliers'!$L$3:$N$6,3,FALSE)))</f>
        <v/>
      </c>
      <c r="M32" s="171" t="str">
        <f>IF(OR(D32="",H32=""),"",(INDEX('G-6 Hedgerow Data'!$E$3:$I$15,MATCH(D32,'G-6 Hedgerow Data'!$B$3:$B$15,0),MATCH(H32,'G-6 Hedgerow Data'!$E$2:$I$2,0))))</f>
        <v/>
      </c>
      <c r="N32" s="261"/>
      <c r="O32" s="261"/>
      <c r="P32" s="179" t="str">
        <f t="shared" si="0"/>
        <v/>
      </c>
      <c r="Q32" s="262" t="str">
        <f t="shared" si="1"/>
        <v/>
      </c>
      <c r="R32" s="263" t="str">
        <f t="shared" si="2"/>
        <v/>
      </c>
      <c r="S32" s="239" t="str">
        <f>IF(D32="","",VLOOKUP(D32,'G-6 Hedgerow Data'!$B$3:$AG$15,31,FALSE))</f>
        <v/>
      </c>
      <c r="T32" s="179" t="str">
        <f t="shared" si="3"/>
        <v/>
      </c>
      <c r="U32" s="179" t="str">
        <f t="shared" si="4"/>
        <v/>
      </c>
      <c r="V32" s="176" t="str">
        <f>IF(D32="","",VLOOKUP(S32,'G-3 Multipliers'!$P$3:$Q$6,2,FALSE))</f>
        <v/>
      </c>
      <c r="W32" s="274" t="str">
        <f t="shared" si="5"/>
        <v/>
      </c>
      <c r="X32" s="180"/>
      <c r="Y32" s="181"/>
      <c r="AG32" s="35" t="str">
        <f>IFERROR(INDEX('G-6 Hedgerow Data'!$BJ$3:$BJ$15,MATCH(D32,'G-6 Hedgerow Data'!$B$3:$B$15,0)),"")</f>
        <v/>
      </c>
    </row>
    <row r="33" spans="2:33" ht="13.8" x14ac:dyDescent="0.25">
      <c r="B33" s="168">
        <v>22</v>
      </c>
      <c r="C33" s="278"/>
      <c r="D33" s="261"/>
      <c r="E33" s="213"/>
      <c r="F33" s="277" t="str">
        <f>IF(D33="","",VLOOKUP(D33,'G-6 Hedgerow Data'!$B$2:$AG$15,2,FALSE))</f>
        <v/>
      </c>
      <c r="G33" s="172" t="str">
        <f>IF(D33="","",VLOOKUP(D33,'G-6 Hedgerow Data'!$B$2:$AG$15,3,FALSE))</f>
        <v/>
      </c>
      <c r="H33" s="173"/>
      <c r="I33" s="172" t="str">
        <f>IFERROR(VLOOKUP(H33,'G-1 All Habitats'!$Z$2:$AA$9,2,FALSE),"")</f>
        <v/>
      </c>
      <c r="J33" s="173"/>
      <c r="K33" s="175" t="str">
        <f>IF(J33="","",IF(VLOOKUP(J33,'G-3 Multipliers'!$L$3:$N$6,2,FALSE)=0,"Spatial Data Missing",VLOOKUP(J33,'G-3 Multipliers'!$L$3:$N$6,2,FALSE)))</f>
        <v/>
      </c>
      <c r="L33" s="260" t="str">
        <f>IF(J33="","",IF(VLOOKUP(J33,'G-3 Multipliers'!$L$3:$N$6,3,FALSE)=0,"Spatial Data Missing",VLOOKUP(J33,'G-3 Multipliers'!$L$3:$N$6,3,FALSE)))</f>
        <v/>
      </c>
      <c r="M33" s="171" t="str">
        <f>IF(OR(D33="",H33=""),"",(INDEX('G-6 Hedgerow Data'!$E$3:$I$15,MATCH(D33,'G-6 Hedgerow Data'!$B$3:$B$15,0),MATCH(H33,'G-6 Hedgerow Data'!$E$2:$I$2,0))))</f>
        <v/>
      </c>
      <c r="N33" s="261"/>
      <c r="O33" s="261"/>
      <c r="P33" s="179" t="str">
        <f t="shared" si="0"/>
        <v/>
      </c>
      <c r="Q33" s="262" t="str">
        <f t="shared" si="1"/>
        <v/>
      </c>
      <c r="R33" s="263" t="str">
        <f t="shared" si="2"/>
        <v/>
      </c>
      <c r="S33" s="239" t="str">
        <f>IF(D33="","",VLOOKUP(D33,'G-6 Hedgerow Data'!$B$3:$AG$15,31,FALSE))</f>
        <v/>
      </c>
      <c r="T33" s="179" t="str">
        <f t="shared" si="3"/>
        <v/>
      </c>
      <c r="U33" s="179" t="str">
        <f t="shared" si="4"/>
        <v/>
      </c>
      <c r="V33" s="176" t="str">
        <f>IF(D33="","",VLOOKUP(S33,'G-3 Multipliers'!$P$3:$Q$6,2,FALSE))</f>
        <v/>
      </c>
      <c r="W33" s="274" t="str">
        <f t="shared" si="5"/>
        <v/>
      </c>
      <c r="X33" s="180"/>
      <c r="Y33" s="181"/>
      <c r="AG33" s="35" t="str">
        <f>IFERROR(INDEX('G-6 Hedgerow Data'!$BJ$3:$BJ$15,MATCH(D33,'G-6 Hedgerow Data'!$B$3:$B$15,0)),"")</f>
        <v/>
      </c>
    </row>
    <row r="34" spans="2:33" ht="13.8" x14ac:dyDescent="0.25">
      <c r="B34" s="168">
        <v>23</v>
      </c>
      <c r="C34" s="278"/>
      <c r="D34" s="261"/>
      <c r="E34" s="213"/>
      <c r="F34" s="277" t="str">
        <f>IF(D34="","",VLOOKUP(D34,'G-6 Hedgerow Data'!$B$2:$AG$15,2,FALSE))</f>
        <v/>
      </c>
      <c r="G34" s="172" t="str">
        <f>IF(D34="","",VLOOKUP(D34,'G-6 Hedgerow Data'!$B$2:$AG$15,3,FALSE))</f>
        <v/>
      </c>
      <c r="H34" s="173"/>
      <c r="I34" s="172" t="str">
        <f>IFERROR(VLOOKUP(H34,'G-1 All Habitats'!$Z$2:$AA$9,2,FALSE),"")</f>
        <v/>
      </c>
      <c r="J34" s="173"/>
      <c r="K34" s="175" t="str">
        <f>IF(J34="","",IF(VLOOKUP(J34,'G-3 Multipliers'!$L$3:$N$6,2,FALSE)=0,"Spatial Data Missing",VLOOKUP(J34,'G-3 Multipliers'!$L$3:$N$6,2,FALSE)))</f>
        <v/>
      </c>
      <c r="L34" s="260" t="str">
        <f>IF(J34="","",IF(VLOOKUP(J34,'G-3 Multipliers'!$L$3:$N$6,3,FALSE)=0,"Spatial Data Missing",VLOOKUP(J34,'G-3 Multipliers'!$L$3:$N$6,3,FALSE)))</f>
        <v/>
      </c>
      <c r="M34" s="171" t="str">
        <f>IF(OR(D34="",H34=""),"",(INDEX('G-6 Hedgerow Data'!$E$3:$I$15,MATCH(D34,'G-6 Hedgerow Data'!$B$3:$B$15,0),MATCH(H34,'G-6 Hedgerow Data'!$E$2:$I$2,0))))</f>
        <v/>
      </c>
      <c r="N34" s="261"/>
      <c r="O34" s="261"/>
      <c r="P34" s="179" t="str">
        <f t="shared" si="0"/>
        <v/>
      </c>
      <c r="Q34" s="262" t="str">
        <f t="shared" si="1"/>
        <v/>
      </c>
      <c r="R34" s="263" t="str">
        <f t="shared" si="2"/>
        <v/>
      </c>
      <c r="S34" s="239" t="str">
        <f>IF(D34="","",VLOOKUP(D34,'G-6 Hedgerow Data'!$B$3:$AG$15,31,FALSE))</f>
        <v/>
      </c>
      <c r="T34" s="179" t="str">
        <f t="shared" si="3"/>
        <v/>
      </c>
      <c r="U34" s="179" t="str">
        <f t="shared" si="4"/>
        <v/>
      </c>
      <c r="V34" s="176" t="str">
        <f>IF(D34="","",VLOOKUP(S34,'G-3 Multipliers'!$P$3:$Q$6,2,FALSE))</f>
        <v/>
      </c>
      <c r="W34" s="274" t="str">
        <f t="shared" si="5"/>
        <v/>
      </c>
      <c r="X34" s="180"/>
      <c r="Y34" s="181"/>
      <c r="AG34" s="35" t="str">
        <f>IFERROR(INDEX('G-6 Hedgerow Data'!$BJ$3:$BJ$15,MATCH(D34,'G-6 Hedgerow Data'!$B$3:$B$15,0)),"")</f>
        <v/>
      </c>
    </row>
    <row r="35" spans="2:33" ht="13.8" x14ac:dyDescent="0.25">
      <c r="B35" s="168">
        <v>24</v>
      </c>
      <c r="C35" s="278"/>
      <c r="D35" s="261"/>
      <c r="E35" s="213"/>
      <c r="F35" s="277" t="str">
        <f>IF(D35="","",VLOOKUP(D35,'G-6 Hedgerow Data'!$B$2:$AG$15,2,FALSE))</f>
        <v/>
      </c>
      <c r="G35" s="172" t="str">
        <f>IF(D35="","",VLOOKUP(D35,'G-6 Hedgerow Data'!$B$2:$AG$15,3,FALSE))</f>
        <v/>
      </c>
      <c r="H35" s="173"/>
      <c r="I35" s="172" t="str">
        <f>IFERROR(VLOOKUP(H35,'G-1 All Habitats'!$Z$2:$AA$9,2,FALSE),"")</f>
        <v/>
      </c>
      <c r="J35" s="173"/>
      <c r="K35" s="175" t="str">
        <f>IF(J35="","",IF(VLOOKUP(J35,'G-3 Multipliers'!$L$3:$N$6,2,FALSE)=0,"Spatial Data Missing",VLOOKUP(J35,'G-3 Multipliers'!$L$3:$N$6,2,FALSE)))</f>
        <v/>
      </c>
      <c r="L35" s="260" t="str">
        <f>IF(J35="","",IF(VLOOKUP(J35,'G-3 Multipliers'!$L$3:$N$6,3,FALSE)=0,"Spatial Data Missing",VLOOKUP(J35,'G-3 Multipliers'!$L$3:$N$6,3,FALSE)))</f>
        <v/>
      </c>
      <c r="M35" s="171" t="str">
        <f>IF(OR(D35="",H35=""),"",(INDEX('G-6 Hedgerow Data'!$E$3:$I$15,MATCH(D35,'G-6 Hedgerow Data'!$B$3:$B$15,0),MATCH(H35,'G-6 Hedgerow Data'!$E$2:$I$2,0))))</f>
        <v/>
      </c>
      <c r="N35" s="261"/>
      <c r="O35" s="261"/>
      <c r="P35" s="179" t="str">
        <f t="shared" si="0"/>
        <v/>
      </c>
      <c r="Q35" s="262" t="str">
        <f t="shared" si="1"/>
        <v/>
      </c>
      <c r="R35" s="263" t="str">
        <f t="shared" si="2"/>
        <v/>
      </c>
      <c r="S35" s="239" t="str">
        <f>IF(D35="","",VLOOKUP(D35,'G-6 Hedgerow Data'!$B$3:$AG$15,31,FALSE))</f>
        <v/>
      </c>
      <c r="T35" s="179" t="str">
        <f t="shared" si="3"/>
        <v/>
      </c>
      <c r="U35" s="179" t="str">
        <f t="shared" si="4"/>
        <v/>
      </c>
      <c r="V35" s="176" t="str">
        <f>IF(D35="","",VLOOKUP(S35,'G-3 Multipliers'!$P$3:$Q$6,2,FALSE))</f>
        <v/>
      </c>
      <c r="W35" s="274" t="str">
        <f t="shared" si="5"/>
        <v/>
      </c>
      <c r="X35" s="180"/>
      <c r="Y35" s="181"/>
      <c r="AG35" s="35" t="str">
        <f>IFERROR(INDEX('G-6 Hedgerow Data'!$BJ$3:$BJ$15,MATCH(D35,'G-6 Hedgerow Data'!$B$3:$B$15,0)),"")</f>
        <v/>
      </c>
    </row>
    <row r="36" spans="2:33" ht="13.8" x14ac:dyDescent="0.25">
      <c r="B36" s="168">
        <v>25</v>
      </c>
      <c r="C36" s="278"/>
      <c r="D36" s="261"/>
      <c r="E36" s="213"/>
      <c r="F36" s="277" t="str">
        <f>IF(D36="","",VLOOKUP(D36,'G-6 Hedgerow Data'!$B$2:$AG$15,2,FALSE))</f>
        <v/>
      </c>
      <c r="G36" s="172" t="str">
        <f>IF(D36="","",VLOOKUP(D36,'G-6 Hedgerow Data'!$B$2:$AG$15,3,FALSE))</f>
        <v/>
      </c>
      <c r="H36" s="173"/>
      <c r="I36" s="172" t="str">
        <f>IFERROR(VLOOKUP(H36,'G-1 All Habitats'!$Z$2:$AA$9,2,FALSE),"")</f>
        <v/>
      </c>
      <c r="J36" s="173"/>
      <c r="K36" s="175" t="str">
        <f>IF(J36="","",IF(VLOOKUP(J36,'G-3 Multipliers'!$L$3:$N$6,2,FALSE)=0,"Spatial Data Missing",VLOOKUP(J36,'G-3 Multipliers'!$L$3:$N$6,2,FALSE)))</f>
        <v/>
      </c>
      <c r="L36" s="260" t="str">
        <f>IF(J36="","",IF(VLOOKUP(J36,'G-3 Multipliers'!$L$3:$N$6,3,FALSE)=0,"Spatial Data Missing",VLOOKUP(J36,'G-3 Multipliers'!$L$3:$N$6,3,FALSE)))</f>
        <v/>
      </c>
      <c r="M36" s="171" t="str">
        <f>IF(OR(D36="",H36=""),"",(INDEX('G-6 Hedgerow Data'!$E$3:$I$15,MATCH(D36,'G-6 Hedgerow Data'!$B$3:$B$15,0),MATCH(H36,'G-6 Hedgerow Data'!$E$2:$I$2,0))))</f>
        <v/>
      </c>
      <c r="N36" s="261"/>
      <c r="O36" s="261"/>
      <c r="P36" s="179" t="str">
        <f t="shared" si="0"/>
        <v/>
      </c>
      <c r="Q36" s="262" t="str">
        <f t="shared" si="1"/>
        <v/>
      </c>
      <c r="R36" s="263" t="str">
        <f t="shared" si="2"/>
        <v/>
      </c>
      <c r="S36" s="239" t="str">
        <f>IF(D36="","",VLOOKUP(D36,'G-6 Hedgerow Data'!$B$3:$AG$15,31,FALSE))</f>
        <v/>
      </c>
      <c r="T36" s="179" t="str">
        <f t="shared" si="3"/>
        <v/>
      </c>
      <c r="U36" s="179" t="str">
        <f t="shared" si="4"/>
        <v/>
      </c>
      <c r="V36" s="176" t="str">
        <f>IF(D36="","",VLOOKUP(S36,'G-3 Multipliers'!$P$3:$Q$6,2,FALSE))</f>
        <v/>
      </c>
      <c r="W36" s="274" t="str">
        <f t="shared" si="5"/>
        <v/>
      </c>
      <c r="X36" s="180"/>
      <c r="Y36" s="181"/>
      <c r="AG36" s="35" t="str">
        <f>IFERROR(INDEX('G-6 Hedgerow Data'!$BJ$3:$BJ$15,MATCH(D36,'G-6 Hedgerow Data'!$B$3:$B$15,0)),"")</f>
        <v/>
      </c>
    </row>
    <row r="37" spans="2:33" ht="13.8" x14ac:dyDescent="0.25">
      <c r="B37" s="168">
        <v>26</v>
      </c>
      <c r="C37" s="278"/>
      <c r="D37" s="261"/>
      <c r="E37" s="213"/>
      <c r="F37" s="277" t="str">
        <f>IF(D37="","",VLOOKUP(D37,'G-6 Hedgerow Data'!$B$2:$AG$15,2,FALSE))</f>
        <v/>
      </c>
      <c r="G37" s="172" t="str">
        <f>IF(D37="","",VLOOKUP(D37,'G-6 Hedgerow Data'!$B$2:$AG$15,3,FALSE))</f>
        <v/>
      </c>
      <c r="H37" s="173"/>
      <c r="I37" s="172" t="str">
        <f>IFERROR(VLOOKUP(H37,'G-1 All Habitats'!$Z$2:$AA$9,2,FALSE),"")</f>
        <v/>
      </c>
      <c r="J37" s="173"/>
      <c r="K37" s="175" t="str">
        <f>IF(J37="","",IF(VLOOKUP(J37,'G-3 Multipliers'!$L$3:$N$6,2,FALSE)=0,"Spatial Data Missing",VLOOKUP(J37,'G-3 Multipliers'!$L$3:$N$6,2,FALSE)))</f>
        <v/>
      </c>
      <c r="L37" s="260" t="str">
        <f>IF(J37="","",IF(VLOOKUP(J37,'G-3 Multipliers'!$L$3:$N$6,3,FALSE)=0,"Spatial Data Missing",VLOOKUP(J37,'G-3 Multipliers'!$L$3:$N$6,3,FALSE)))</f>
        <v/>
      </c>
      <c r="M37" s="171" t="str">
        <f>IF(OR(D37="",H37=""),"",(INDEX('G-6 Hedgerow Data'!$E$3:$I$15,MATCH(D37,'G-6 Hedgerow Data'!$B$3:$B$15,0),MATCH(H37,'G-6 Hedgerow Data'!$E$2:$I$2,0))))</f>
        <v/>
      </c>
      <c r="N37" s="261"/>
      <c r="O37" s="261"/>
      <c r="P37" s="179" t="str">
        <f t="shared" si="0"/>
        <v/>
      </c>
      <c r="Q37" s="262" t="str">
        <f t="shared" si="1"/>
        <v/>
      </c>
      <c r="R37" s="263" t="str">
        <f t="shared" si="2"/>
        <v/>
      </c>
      <c r="S37" s="239" t="str">
        <f>IF(D37="","",VLOOKUP(D37,'G-6 Hedgerow Data'!$B$3:$AG$15,31,FALSE))</f>
        <v/>
      </c>
      <c r="T37" s="179" t="str">
        <f t="shared" si="3"/>
        <v/>
      </c>
      <c r="U37" s="179" t="str">
        <f t="shared" si="4"/>
        <v/>
      </c>
      <c r="V37" s="176" t="str">
        <f>IF(D37="","",VLOOKUP(S37,'G-3 Multipliers'!$P$3:$Q$6,2,FALSE))</f>
        <v/>
      </c>
      <c r="W37" s="274" t="str">
        <f t="shared" si="5"/>
        <v/>
      </c>
      <c r="X37" s="180"/>
      <c r="Y37" s="181"/>
      <c r="AG37" s="35" t="str">
        <f>IFERROR(INDEX('G-6 Hedgerow Data'!$BJ$3:$BJ$15,MATCH(D37,'G-6 Hedgerow Data'!$B$3:$B$15,0)),"")</f>
        <v/>
      </c>
    </row>
    <row r="38" spans="2:33" ht="13.8" x14ac:dyDescent="0.25">
      <c r="B38" s="168">
        <v>27</v>
      </c>
      <c r="C38" s="278"/>
      <c r="D38" s="261"/>
      <c r="E38" s="213"/>
      <c r="F38" s="277" t="str">
        <f>IF(D38="","",VLOOKUP(D38,'G-6 Hedgerow Data'!$B$2:$AG$15,2,FALSE))</f>
        <v/>
      </c>
      <c r="G38" s="172" t="str">
        <f>IF(D38="","",VLOOKUP(D38,'G-6 Hedgerow Data'!$B$2:$AG$15,3,FALSE))</f>
        <v/>
      </c>
      <c r="H38" s="173"/>
      <c r="I38" s="172" t="str">
        <f>IFERROR(VLOOKUP(H38,'G-1 All Habitats'!$Z$2:$AA$9,2,FALSE),"")</f>
        <v/>
      </c>
      <c r="J38" s="173"/>
      <c r="K38" s="175" t="str">
        <f>IF(J38="","",IF(VLOOKUP(J38,'G-3 Multipliers'!$L$3:$N$6,2,FALSE)=0,"Spatial Data Missing",VLOOKUP(J38,'G-3 Multipliers'!$L$3:$N$6,2,FALSE)))</f>
        <v/>
      </c>
      <c r="L38" s="260" t="str">
        <f>IF(J38="","",IF(VLOOKUP(J38,'G-3 Multipliers'!$L$3:$N$6,3,FALSE)=0,"Spatial Data Missing",VLOOKUP(J38,'G-3 Multipliers'!$L$3:$N$6,3,FALSE)))</f>
        <v/>
      </c>
      <c r="M38" s="171" t="str">
        <f>IF(OR(D38="",H38=""),"",(INDEX('G-6 Hedgerow Data'!$E$3:$I$15,MATCH(D38,'G-6 Hedgerow Data'!$B$3:$B$15,0),MATCH(H38,'G-6 Hedgerow Data'!$E$2:$I$2,0))))</f>
        <v/>
      </c>
      <c r="N38" s="261"/>
      <c r="O38" s="261"/>
      <c r="P38" s="179" t="str">
        <f t="shared" si="0"/>
        <v/>
      </c>
      <c r="Q38" s="262" t="str">
        <f t="shared" si="1"/>
        <v/>
      </c>
      <c r="R38" s="263" t="str">
        <f t="shared" si="2"/>
        <v/>
      </c>
      <c r="S38" s="239" t="str">
        <f>IF(D38="","",VLOOKUP(D38,'G-6 Hedgerow Data'!$B$3:$AG$15,31,FALSE))</f>
        <v/>
      </c>
      <c r="T38" s="179" t="str">
        <f t="shared" si="3"/>
        <v/>
      </c>
      <c r="U38" s="179" t="str">
        <f t="shared" si="4"/>
        <v/>
      </c>
      <c r="V38" s="176" t="str">
        <f>IF(D38="","",VLOOKUP(S38,'G-3 Multipliers'!$P$3:$Q$6,2,FALSE))</f>
        <v/>
      </c>
      <c r="W38" s="274" t="str">
        <f t="shared" si="5"/>
        <v/>
      </c>
      <c r="X38" s="180"/>
      <c r="Y38" s="181"/>
      <c r="AG38" s="35" t="str">
        <f>IFERROR(INDEX('G-6 Hedgerow Data'!$BJ$3:$BJ$15,MATCH(D38,'G-6 Hedgerow Data'!$B$3:$B$15,0)),"")</f>
        <v/>
      </c>
    </row>
    <row r="39" spans="2:33" ht="13.8" x14ac:dyDescent="0.25">
      <c r="B39" s="168">
        <v>28</v>
      </c>
      <c r="C39" s="278"/>
      <c r="D39" s="261"/>
      <c r="E39" s="213"/>
      <c r="F39" s="277" t="str">
        <f>IF(D39="","",VLOOKUP(D39,'G-6 Hedgerow Data'!$B$2:$AG$15,2,FALSE))</f>
        <v/>
      </c>
      <c r="G39" s="172" t="str">
        <f>IF(D39="","",VLOOKUP(D39,'G-6 Hedgerow Data'!$B$2:$AG$15,3,FALSE))</f>
        <v/>
      </c>
      <c r="H39" s="173"/>
      <c r="I39" s="172" t="str">
        <f>IFERROR(VLOOKUP(H39,'G-1 All Habitats'!$Z$2:$AA$9,2,FALSE),"")</f>
        <v/>
      </c>
      <c r="J39" s="173"/>
      <c r="K39" s="175" t="str">
        <f>IF(J39="","",IF(VLOOKUP(J39,'G-3 Multipliers'!$L$3:$N$6,2,FALSE)=0,"Spatial Data Missing",VLOOKUP(J39,'G-3 Multipliers'!$L$3:$N$6,2,FALSE)))</f>
        <v/>
      </c>
      <c r="L39" s="260" t="str">
        <f>IF(J39="","",IF(VLOOKUP(J39,'G-3 Multipliers'!$L$3:$N$6,3,FALSE)=0,"Spatial Data Missing",VLOOKUP(J39,'G-3 Multipliers'!$L$3:$N$6,3,FALSE)))</f>
        <v/>
      </c>
      <c r="M39" s="171" t="str">
        <f>IF(OR(D39="",H39=""),"",(INDEX('G-6 Hedgerow Data'!$E$3:$I$15,MATCH(D39,'G-6 Hedgerow Data'!$B$3:$B$15,0),MATCH(H39,'G-6 Hedgerow Data'!$E$2:$I$2,0))))</f>
        <v/>
      </c>
      <c r="N39" s="261"/>
      <c r="O39" s="261"/>
      <c r="P39" s="179" t="str">
        <f t="shared" si="0"/>
        <v/>
      </c>
      <c r="Q39" s="262" t="str">
        <f t="shared" si="1"/>
        <v/>
      </c>
      <c r="R39" s="263" t="str">
        <f t="shared" si="2"/>
        <v/>
      </c>
      <c r="S39" s="239" t="str">
        <f>IF(D39="","",VLOOKUP(D39,'G-6 Hedgerow Data'!$B$3:$AG$15,31,FALSE))</f>
        <v/>
      </c>
      <c r="T39" s="179" t="str">
        <f t="shared" si="3"/>
        <v/>
      </c>
      <c r="U39" s="179" t="str">
        <f t="shared" si="4"/>
        <v/>
      </c>
      <c r="V39" s="176" t="str">
        <f>IF(D39="","",VLOOKUP(S39,'G-3 Multipliers'!$P$3:$Q$6,2,FALSE))</f>
        <v/>
      </c>
      <c r="W39" s="274" t="str">
        <f t="shared" si="5"/>
        <v/>
      </c>
      <c r="X39" s="180"/>
      <c r="Y39" s="181"/>
      <c r="AG39" s="35" t="str">
        <f>IFERROR(INDEX('G-6 Hedgerow Data'!$BJ$3:$BJ$15,MATCH(D39,'G-6 Hedgerow Data'!$B$3:$B$15,0)),"")</f>
        <v/>
      </c>
    </row>
    <row r="40" spans="2:33" ht="13.8" x14ac:dyDescent="0.25">
      <c r="B40" s="168">
        <v>29</v>
      </c>
      <c r="C40" s="278"/>
      <c r="D40" s="261"/>
      <c r="E40" s="213"/>
      <c r="F40" s="277" t="str">
        <f>IF(D40="","",VLOOKUP(D40,'G-6 Hedgerow Data'!$B$2:$AG$15,2,FALSE))</f>
        <v/>
      </c>
      <c r="G40" s="172" t="str">
        <f>IF(D40="","",VLOOKUP(D40,'G-6 Hedgerow Data'!$B$2:$AG$15,3,FALSE))</f>
        <v/>
      </c>
      <c r="H40" s="173"/>
      <c r="I40" s="172" t="str">
        <f>IFERROR(VLOOKUP(H40,'G-1 All Habitats'!$Z$2:$AA$9,2,FALSE),"")</f>
        <v/>
      </c>
      <c r="J40" s="173"/>
      <c r="K40" s="175" t="str">
        <f>IF(J40="","",IF(VLOOKUP(J40,'G-3 Multipliers'!$L$3:$N$6,2,FALSE)=0,"Spatial Data Missing",VLOOKUP(J40,'G-3 Multipliers'!$L$3:$N$6,2,FALSE)))</f>
        <v/>
      </c>
      <c r="L40" s="260" t="str">
        <f>IF(J40="","",IF(VLOOKUP(J40,'G-3 Multipliers'!$L$3:$N$6,3,FALSE)=0,"Spatial Data Missing",VLOOKUP(J40,'G-3 Multipliers'!$L$3:$N$6,3,FALSE)))</f>
        <v/>
      </c>
      <c r="M40" s="171" t="str">
        <f>IF(OR(D40="",H40=""),"",(INDEX('G-6 Hedgerow Data'!$E$3:$I$15,MATCH(D40,'G-6 Hedgerow Data'!$B$3:$B$15,0),MATCH(H40,'G-6 Hedgerow Data'!$E$2:$I$2,0))))</f>
        <v/>
      </c>
      <c r="N40" s="261"/>
      <c r="O40" s="261"/>
      <c r="P40" s="179" t="str">
        <f t="shared" si="0"/>
        <v/>
      </c>
      <c r="Q40" s="262" t="str">
        <f t="shared" si="1"/>
        <v/>
      </c>
      <c r="R40" s="263" t="str">
        <f t="shared" si="2"/>
        <v/>
      </c>
      <c r="S40" s="239" t="str">
        <f>IF(D40="","",VLOOKUP(D40,'G-6 Hedgerow Data'!$B$3:$AG$15,31,FALSE))</f>
        <v/>
      </c>
      <c r="T40" s="179" t="str">
        <f t="shared" si="3"/>
        <v/>
      </c>
      <c r="U40" s="179" t="str">
        <f t="shared" si="4"/>
        <v/>
      </c>
      <c r="V40" s="176" t="str">
        <f>IF(D40="","",VLOOKUP(S40,'G-3 Multipliers'!$P$3:$Q$6,2,FALSE))</f>
        <v/>
      </c>
      <c r="W40" s="274" t="str">
        <f t="shared" si="5"/>
        <v/>
      </c>
      <c r="X40" s="180"/>
      <c r="Y40" s="181"/>
      <c r="AG40" s="35" t="str">
        <f>IFERROR(INDEX('G-6 Hedgerow Data'!$BJ$3:$BJ$15,MATCH(D40,'G-6 Hedgerow Data'!$B$3:$B$15,0)),"")</f>
        <v/>
      </c>
    </row>
    <row r="41" spans="2:33" ht="13.8" x14ac:dyDescent="0.25">
      <c r="B41" s="168">
        <v>30</v>
      </c>
      <c r="C41" s="278"/>
      <c r="D41" s="261"/>
      <c r="E41" s="213"/>
      <c r="F41" s="277" t="str">
        <f>IF(D41="","",VLOOKUP(D41,'G-6 Hedgerow Data'!$B$2:$AG$15,2,FALSE))</f>
        <v/>
      </c>
      <c r="G41" s="172" t="str">
        <f>IF(D41="","",VLOOKUP(D41,'G-6 Hedgerow Data'!$B$2:$AG$15,3,FALSE))</f>
        <v/>
      </c>
      <c r="H41" s="173"/>
      <c r="I41" s="172" t="str">
        <f>IFERROR(VLOOKUP(H41,'G-1 All Habitats'!$Z$2:$AA$9,2,FALSE),"")</f>
        <v/>
      </c>
      <c r="J41" s="173"/>
      <c r="K41" s="175" t="str">
        <f>IF(J41="","",IF(VLOOKUP(J41,'G-3 Multipliers'!$L$3:$N$6,2,FALSE)=0,"Spatial Data Missing",VLOOKUP(J41,'G-3 Multipliers'!$L$3:$N$6,2,FALSE)))</f>
        <v/>
      </c>
      <c r="L41" s="260" t="str">
        <f>IF(J41="","",IF(VLOOKUP(J41,'G-3 Multipliers'!$L$3:$N$6,3,FALSE)=0,"Spatial Data Missing",VLOOKUP(J41,'G-3 Multipliers'!$L$3:$N$6,3,FALSE)))</f>
        <v/>
      </c>
      <c r="M41" s="171" t="str">
        <f>IF(OR(D41="",H41=""),"",(INDEX('G-6 Hedgerow Data'!$E$3:$I$15,MATCH(D41,'G-6 Hedgerow Data'!$B$3:$B$15,0),MATCH(H41,'G-6 Hedgerow Data'!$E$2:$I$2,0))))</f>
        <v/>
      </c>
      <c r="N41" s="261"/>
      <c r="O41" s="261"/>
      <c r="P41" s="179" t="str">
        <f t="shared" si="0"/>
        <v/>
      </c>
      <c r="Q41" s="262" t="str">
        <f t="shared" si="1"/>
        <v/>
      </c>
      <c r="R41" s="263" t="str">
        <f t="shared" si="2"/>
        <v/>
      </c>
      <c r="S41" s="239" t="str">
        <f>IF(D41="","",VLOOKUP(D41,'G-6 Hedgerow Data'!$B$3:$AG$15,31,FALSE))</f>
        <v/>
      </c>
      <c r="T41" s="179" t="str">
        <f t="shared" si="3"/>
        <v/>
      </c>
      <c r="U41" s="179" t="str">
        <f t="shared" si="4"/>
        <v/>
      </c>
      <c r="V41" s="176" t="str">
        <f>IF(D41="","",VLOOKUP(S41,'G-3 Multipliers'!$P$3:$Q$6,2,FALSE))</f>
        <v/>
      </c>
      <c r="W41" s="274" t="str">
        <f t="shared" si="5"/>
        <v/>
      </c>
      <c r="X41" s="180"/>
      <c r="Y41" s="181"/>
      <c r="AG41" s="35" t="str">
        <f>IFERROR(INDEX('G-6 Hedgerow Data'!$BJ$3:$BJ$15,MATCH(D41,'G-6 Hedgerow Data'!$B$3:$B$15,0)),"")</f>
        <v/>
      </c>
    </row>
    <row r="42" spans="2:33" ht="13.8" x14ac:dyDescent="0.25">
      <c r="B42" s="168">
        <v>31</v>
      </c>
      <c r="C42" s="278"/>
      <c r="D42" s="261"/>
      <c r="E42" s="213"/>
      <c r="F42" s="277" t="str">
        <f>IF(D42="","",VLOOKUP(D42,'G-6 Hedgerow Data'!$B$2:$AG$15,2,FALSE))</f>
        <v/>
      </c>
      <c r="G42" s="172" t="str">
        <f>IF(D42="","",VLOOKUP(D42,'G-6 Hedgerow Data'!$B$2:$AG$15,3,FALSE))</f>
        <v/>
      </c>
      <c r="H42" s="173"/>
      <c r="I42" s="172" t="str">
        <f>IFERROR(VLOOKUP(H42,'G-1 All Habitats'!$Z$2:$AA$9,2,FALSE),"")</f>
        <v/>
      </c>
      <c r="J42" s="173"/>
      <c r="K42" s="175" t="str">
        <f>IF(J42="","",IF(VLOOKUP(J42,'G-3 Multipliers'!$L$3:$N$6,2,FALSE)=0,"Spatial Data Missing",VLOOKUP(J42,'G-3 Multipliers'!$L$3:$N$6,2,FALSE)))</f>
        <v/>
      </c>
      <c r="L42" s="260" t="str">
        <f>IF(J42="","",IF(VLOOKUP(J42,'G-3 Multipliers'!$L$3:$N$6,3,FALSE)=0,"Spatial Data Missing",VLOOKUP(J42,'G-3 Multipliers'!$L$3:$N$6,3,FALSE)))</f>
        <v/>
      </c>
      <c r="M42" s="171" t="str">
        <f>IF(OR(D42="",H42=""),"",(INDEX('G-6 Hedgerow Data'!$E$3:$I$15,MATCH(D42,'G-6 Hedgerow Data'!$B$3:$B$15,0),MATCH(H42,'G-6 Hedgerow Data'!$E$2:$I$2,0))))</f>
        <v/>
      </c>
      <c r="N42" s="261"/>
      <c r="O42" s="261"/>
      <c r="P42" s="179" t="str">
        <f t="shared" si="0"/>
        <v/>
      </c>
      <c r="Q42" s="262" t="str">
        <f t="shared" si="1"/>
        <v/>
      </c>
      <c r="R42" s="263" t="str">
        <f t="shared" si="2"/>
        <v/>
      </c>
      <c r="S42" s="239" t="str">
        <f>IF(D42="","",VLOOKUP(D42,'G-6 Hedgerow Data'!$B$3:$AG$15,31,FALSE))</f>
        <v/>
      </c>
      <c r="T42" s="179" t="str">
        <f t="shared" si="3"/>
        <v/>
      </c>
      <c r="U42" s="179" t="str">
        <f t="shared" si="4"/>
        <v/>
      </c>
      <c r="V42" s="176" t="str">
        <f>IF(D42="","",VLOOKUP(S42,'G-3 Multipliers'!$P$3:$Q$6,2,FALSE))</f>
        <v/>
      </c>
      <c r="W42" s="274" t="str">
        <f t="shared" si="5"/>
        <v/>
      </c>
      <c r="X42" s="180"/>
      <c r="Y42" s="181"/>
      <c r="AG42" s="35" t="str">
        <f>IFERROR(INDEX('G-6 Hedgerow Data'!$BJ$3:$BJ$15,MATCH(D42,'G-6 Hedgerow Data'!$B$3:$B$15,0)),"")</f>
        <v/>
      </c>
    </row>
    <row r="43" spans="2:33" ht="13.8" x14ac:dyDescent="0.25">
      <c r="B43" s="168">
        <v>32</v>
      </c>
      <c r="C43" s="278"/>
      <c r="D43" s="261"/>
      <c r="E43" s="213"/>
      <c r="F43" s="277" t="str">
        <f>IF(D43="","",VLOOKUP(D43,'G-6 Hedgerow Data'!$B$2:$AG$15,2,FALSE))</f>
        <v/>
      </c>
      <c r="G43" s="172" t="str">
        <f>IF(D43="","",VLOOKUP(D43,'G-6 Hedgerow Data'!$B$2:$AG$15,3,FALSE))</f>
        <v/>
      </c>
      <c r="H43" s="173"/>
      <c r="I43" s="172" t="str">
        <f>IFERROR(VLOOKUP(H43,'G-1 All Habitats'!$Z$2:$AA$9,2,FALSE),"")</f>
        <v/>
      </c>
      <c r="J43" s="173"/>
      <c r="K43" s="175" t="str">
        <f>IF(J43="","",IF(VLOOKUP(J43,'G-3 Multipliers'!$L$3:$N$6,2,FALSE)=0,"Spatial Data Missing",VLOOKUP(J43,'G-3 Multipliers'!$L$3:$N$6,2,FALSE)))</f>
        <v/>
      </c>
      <c r="L43" s="260" t="str">
        <f>IF(J43="","",IF(VLOOKUP(J43,'G-3 Multipliers'!$L$3:$N$6,3,FALSE)=0,"Spatial Data Missing",VLOOKUP(J43,'G-3 Multipliers'!$L$3:$N$6,3,FALSE)))</f>
        <v/>
      </c>
      <c r="M43" s="171" t="str">
        <f>IF(OR(D43="",H43=""),"",(INDEX('G-6 Hedgerow Data'!$E$3:$I$15,MATCH(D43,'G-6 Hedgerow Data'!$B$3:$B$15,0),MATCH(H43,'G-6 Hedgerow Data'!$E$2:$I$2,0))))</f>
        <v/>
      </c>
      <c r="N43" s="261"/>
      <c r="O43" s="261"/>
      <c r="P43" s="179" t="str">
        <f t="shared" si="0"/>
        <v/>
      </c>
      <c r="Q43" s="262" t="str">
        <f t="shared" si="1"/>
        <v/>
      </c>
      <c r="R43" s="263" t="str">
        <f t="shared" si="2"/>
        <v/>
      </c>
      <c r="S43" s="239" t="str">
        <f>IF(D43="","",VLOOKUP(D43,'G-6 Hedgerow Data'!$B$3:$AG$15,31,FALSE))</f>
        <v/>
      </c>
      <c r="T43" s="179" t="str">
        <f t="shared" si="3"/>
        <v/>
      </c>
      <c r="U43" s="179" t="str">
        <f t="shared" si="4"/>
        <v/>
      </c>
      <c r="V43" s="176" t="str">
        <f>IF(D43="","",VLOOKUP(S43,'G-3 Multipliers'!$P$3:$Q$6,2,FALSE))</f>
        <v/>
      </c>
      <c r="W43" s="274" t="str">
        <f t="shared" si="5"/>
        <v/>
      </c>
      <c r="X43" s="180"/>
      <c r="Y43" s="181"/>
      <c r="AG43" s="35" t="str">
        <f>IFERROR(INDEX('G-6 Hedgerow Data'!$BJ$3:$BJ$15,MATCH(D43,'G-6 Hedgerow Data'!$B$3:$B$15,0)),"")</f>
        <v/>
      </c>
    </row>
    <row r="44" spans="2:33" ht="13.8" x14ac:dyDescent="0.25">
      <c r="B44" s="168">
        <v>33</v>
      </c>
      <c r="C44" s="278"/>
      <c r="D44" s="261"/>
      <c r="E44" s="213"/>
      <c r="F44" s="277" t="str">
        <f>IF(D44="","",VLOOKUP(D44,'G-6 Hedgerow Data'!$B$2:$AG$15,2,FALSE))</f>
        <v/>
      </c>
      <c r="G44" s="172" t="str">
        <f>IF(D44="","",VLOOKUP(D44,'G-6 Hedgerow Data'!$B$2:$AG$15,3,FALSE))</f>
        <v/>
      </c>
      <c r="H44" s="173"/>
      <c r="I44" s="172" t="str">
        <f>IFERROR(VLOOKUP(H44,'G-1 All Habitats'!$Z$2:$AA$9,2,FALSE),"")</f>
        <v/>
      </c>
      <c r="J44" s="173"/>
      <c r="K44" s="175" t="str">
        <f>IF(J44="","",IF(VLOOKUP(J44,'G-3 Multipliers'!$L$3:$N$6,2,FALSE)=0,"Spatial Data Missing",VLOOKUP(J44,'G-3 Multipliers'!$L$3:$N$6,2,FALSE)))</f>
        <v/>
      </c>
      <c r="L44" s="260" t="str">
        <f>IF(J44="","",IF(VLOOKUP(J44,'G-3 Multipliers'!$L$3:$N$6,3,FALSE)=0,"Spatial Data Missing",VLOOKUP(J44,'G-3 Multipliers'!$L$3:$N$6,3,FALSE)))</f>
        <v/>
      </c>
      <c r="M44" s="171" t="str">
        <f>IF(OR(D44="",H44=""),"",(INDEX('G-6 Hedgerow Data'!$E$3:$I$15,MATCH(D44,'G-6 Hedgerow Data'!$B$3:$B$15,0),MATCH(H44,'G-6 Hedgerow Data'!$E$2:$I$2,0))))</f>
        <v/>
      </c>
      <c r="N44" s="261"/>
      <c r="O44" s="261"/>
      <c r="P44" s="179" t="str">
        <f t="shared" si="0"/>
        <v/>
      </c>
      <c r="Q44" s="262" t="str">
        <f t="shared" si="1"/>
        <v/>
      </c>
      <c r="R44" s="263" t="str">
        <f t="shared" si="2"/>
        <v/>
      </c>
      <c r="S44" s="239" t="str">
        <f>IF(D44="","",VLOOKUP(D44,'G-6 Hedgerow Data'!$B$3:$AG$15,31,FALSE))</f>
        <v/>
      </c>
      <c r="T44" s="179" t="str">
        <f t="shared" si="3"/>
        <v/>
      </c>
      <c r="U44" s="179" t="str">
        <f t="shared" si="4"/>
        <v/>
      </c>
      <c r="V44" s="176" t="str">
        <f>IF(D44="","",VLOOKUP(S44,'G-3 Multipliers'!$P$3:$Q$6,2,FALSE))</f>
        <v/>
      </c>
      <c r="W44" s="274" t="str">
        <f t="shared" si="5"/>
        <v/>
      </c>
      <c r="X44" s="180"/>
      <c r="Y44" s="181"/>
      <c r="AG44" s="35" t="str">
        <f>IFERROR(INDEX('G-6 Hedgerow Data'!$BJ$3:$BJ$15,MATCH(D44,'G-6 Hedgerow Data'!$B$3:$B$15,0)),"")</f>
        <v/>
      </c>
    </row>
    <row r="45" spans="2:33" ht="13.8" x14ac:dyDescent="0.25">
      <c r="B45" s="168">
        <v>34</v>
      </c>
      <c r="C45" s="278"/>
      <c r="D45" s="261"/>
      <c r="E45" s="213"/>
      <c r="F45" s="277" t="str">
        <f>IF(D45="","",VLOOKUP(D45,'G-6 Hedgerow Data'!$B$2:$AG$15,2,FALSE))</f>
        <v/>
      </c>
      <c r="G45" s="172" t="str">
        <f>IF(D45="","",VLOOKUP(D45,'G-6 Hedgerow Data'!$B$2:$AG$15,3,FALSE))</f>
        <v/>
      </c>
      <c r="H45" s="173"/>
      <c r="I45" s="172" t="str">
        <f>IFERROR(VLOOKUP(H45,'G-1 All Habitats'!$Z$2:$AA$9,2,FALSE),"")</f>
        <v/>
      </c>
      <c r="J45" s="173"/>
      <c r="K45" s="175" t="str">
        <f>IF(J45="","",IF(VLOOKUP(J45,'G-3 Multipliers'!$L$3:$N$6,2,FALSE)=0,"Spatial Data Missing",VLOOKUP(J45,'G-3 Multipliers'!$L$3:$N$6,2,FALSE)))</f>
        <v/>
      </c>
      <c r="L45" s="260" t="str">
        <f>IF(J45="","",IF(VLOOKUP(J45,'G-3 Multipliers'!$L$3:$N$6,3,FALSE)=0,"Spatial Data Missing",VLOOKUP(J45,'G-3 Multipliers'!$L$3:$N$6,3,FALSE)))</f>
        <v/>
      </c>
      <c r="M45" s="171" t="str">
        <f>IF(OR(D45="",H45=""),"",(INDEX('G-6 Hedgerow Data'!$E$3:$I$15,MATCH(D45,'G-6 Hedgerow Data'!$B$3:$B$15,0),MATCH(H45,'G-6 Hedgerow Data'!$E$2:$I$2,0))))</f>
        <v/>
      </c>
      <c r="N45" s="261"/>
      <c r="O45" s="261"/>
      <c r="P45" s="179" t="str">
        <f t="shared" si="0"/>
        <v/>
      </c>
      <c r="Q45" s="262" t="str">
        <f t="shared" si="1"/>
        <v/>
      </c>
      <c r="R45" s="263" t="str">
        <f t="shared" si="2"/>
        <v/>
      </c>
      <c r="S45" s="239" t="str">
        <f>IF(D45="","",VLOOKUP(D45,'G-6 Hedgerow Data'!$B$3:$AG$15,31,FALSE))</f>
        <v/>
      </c>
      <c r="T45" s="179" t="str">
        <f t="shared" si="3"/>
        <v/>
      </c>
      <c r="U45" s="179" t="str">
        <f t="shared" si="4"/>
        <v/>
      </c>
      <c r="V45" s="176" t="str">
        <f>IF(D45="","",VLOOKUP(S45,'G-3 Multipliers'!$P$3:$Q$6,2,FALSE))</f>
        <v/>
      </c>
      <c r="W45" s="274" t="str">
        <f t="shared" si="5"/>
        <v/>
      </c>
      <c r="X45" s="180"/>
      <c r="Y45" s="181"/>
      <c r="AG45" s="35" t="str">
        <f>IFERROR(INDEX('G-6 Hedgerow Data'!$BJ$3:$BJ$15,MATCH(D45,'G-6 Hedgerow Data'!$B$3:$B$15,0)),"")</f>
        <v/>
      </c>
    </row>
    <row r="46" spans="2:33" ht="13.8" x14ac:dyDescent="0.25">
      <c r="B46" s="168">
        <v>35</v>
      </c>
      <c r="C46" s="278"/>
      <c r="D46" s="261"/>
      <c r="E46" s="213"/>
      <c r="F46" s="277" t="str">
        <f>IF(D46="","",VLOOKUP(D46,'G-6 Hedgerow Data'!$B$2:$AG$15,2,FALSE))</f>
        <v/>
      </c>
      <c r="G46" s="172" t="str">
        <f>IF(D46="","",VLOOKUP(D46,'G-6 Hedgerow Data'!$B$2:$AG$15,3,FALSE))</f>
        <v/>
      </c>
      <c r="H46" s="173"/>
      <c r="I46" s="172" t="str">
        <f>IFERROR(VLOOKUP(H46,'G-1 All Habitats'!$Z$2:$AA$9,2,FALSE),"")</f>
        <v/>
      </c>
      <c r="J46" s="173"/>
      <c r="K46" s="175" t="str">
        <f>IF(J46="","",IF(VLOOKUP(J46,'G-3 Multipliers'!$L$3:$N$6,2,FALSE)=0,"Spatial Data Missing",VLOOKUP(J46,'G-3 Multipliers'!$L$3:$N$6,2,FALSE)))</f>
        <v/>
      </c>
      <c r="L46" s="260" t="str">
        <f>IF(J46="","",IF(VLOOKUP(J46,'G-3 Multipliers'!$L$3:$N$6,3,FALSE)=0,"Spatial Data Missing",VLOOKUP(J46,'G-3 Multipliers'!$L$3:$N$6,3,FALSE)))</f>
        <v/>
      </c>
      <c r="M46" s="171" t="str">
        <f>IF(OR(D46="",H46=""),"",(INDEX('G-6 Hedgerow Data'!$E$3:$I$15,MATCH(D46,'G-6 Hedgerow Data'!$B$3:$B$15,0),MATCH(H46,'G-6 Hedgerow Data'!$E$2:$I$2,0))))</f>
        <v/>
      </c>
      <c r="N46" s="261"/>
      <c r="O46" s="261"/>
      <c r="P46" s="179" t="str">
        <f t="shared" si="0"/>
        <v/>
      </c>
      <c r="Q46" s="262" t="str">
        <f t="shared" si="1"/>
        <v/>
      </c>
      <c r="R46" s="263" t="str">
        <f t="shared" si="2"/>
        <v/>
      </c>
      <c r="S46" s="239" t="str">
        <f>IF(D46="","",VLOOKUP(D46,'G-6 Hedgerow Data'!$B$3:$AG$15,31,FALSE))</f>
        <v/>
      </c>
      <c r="T46" s="179" t="str">
        <f t="shared" si="3"/>
        <v/>
      </c>
      <c r="U46" s="179" t="str">
        <f t="shared" si="4"/>
        <v/>
      </c>
      <c r="V46" s="176" t="str">
        <f>IF(D46="","",VLOOKUP(S46,'G-3 Multipliers'!$P$3:$Q$6,2,FALSE))</f>
        <v/>
      </c>
      <c r="W46" s="274" t="str">
        <f t="shared" si="5"/>
        <v/>
      </c>
      <c r="X46" s="180"/>
      <c r="Y46" s="181"/>
      <c r="AG46" s="35" t="str">
        <f>IFERROR(INDEX('G-6 Hedgerow Data'!$BJ$3:$BJ$15,MATCH(D46,'G-6 Hedgerow Data'!$B$3:$B$15,0)),"")</f>
        <v/>
      </c>
    </row>
    <row r="47" spans="2:33" ht="13.8" x14ac:dyDescent="0.25">
      <c r="B47" s="168">
        <v>36</v>
      </c>
      <c r="C47" s="278"/>
      <c r="D47" s="261"/>
      <c r="E47" s="213"/>
      <c r="F47" s="277" t="str">
        <f>IF(D47="","",VLOOKUP(D47,'G-6 Hedgerow Data'!$B$2:$AG$15,2,FALSE))</f>
        <v/>
      </c>
      <c r="G47" s="172" t="str">
        <f>IF(D47="","",VLOOKUP(D47,'G-6 Hedgerow Data'!$B$2:$AG$15,3,FALSE))</f>
        <v/>
      </c>
      <c r="H47" s="173"/>
      <c r="I47" s="172" t="str">
        <f>IFERROR(VLOOKUP(H47,'G-1 All Habitats'!$Z$2:$AA$9,2,FALSE),"")</f>
        <v/>
      </c>
      <c r="J47" s="173"/>
      <c r="K47" s="175" t="str">
        <f>IF(J47="","",IF(VLOOKUP(J47,'G-3 Multipliers'!$L$3:$N$6,2,FALSE)=0,"Spatial Data Missing",VLOOKUP(J47,'G-3 Multipliers'!$L$3:$N$6,2,FALSE)))</f>
        <v/>
      </c>
      <c r="L47" s="260" t="str">
        <f>IF(J47="","",IF(VLOOKUP(J47,'G-3 Multipliers'!$L$3:$N$6,3,FALSE)=0,"Spatial Data Missing",VLOOKUP(J47,'G-3 Multipliers'!$L$3:$N$6,3,FALSE)))</f>
        <v/>
      </c>
      <c r="M47" s="171" t="str">
        <f>IF(OR(D47="",H47=""),"",(INDEX('G-6 Hedgerow Data'!$E$3:$I$15,MATCH(D47,'G-6 Hedgerow Data'!$B$3:$B$15,0),MATCH(H47,'G-6 Hedgerow Data'!$E$2:$I$2,0))))</f>
        <v/>
      </c>
      <c r="N47" s="261"/>
      <c r="O47" s="261"/>
      <c r="P47" s="179" t="str">
        <f t="shared" si="0"/>
        <v/>
      </c>
      <c r="Q47" s="262" t="str">
        <f t="shared" si="1"/>
        <v/>
      </c>
      <c r="R47" s="263" t="str">
        <f t="shared" si="2"/>
        <v/>
      </c>
      <c r="S47" s="239" t="str">
        <f>IF(D47="","",VLOOKUP(D47,'G-6 Hedgerow Data'!$B$3:$AG$15,31,FALSE))</f>
        <v/>
      </c>
      <c r="T47" s="179" t="str">
        <f t="shared" si="3"/>
        <v/>
      </c>
      <c r="U47" s="179" t="str">
        <f t="shared" si="4"/>
        <v/>
      </c>
      <c r="V47" s="176" t="str">
        <f>IF(D47="","",VLOOKUP(S47,'G-3 Multipliers'!$P$3:$Q$6,2,FALSE))</f>
        <v/>
      </c>
      <c r="W47" s="274" t="str">
        <f t="shared" si="5"/>
        <v/>
      </c>
      <c r="X47" s="180"/>
      <c r="Y47" s="181"/>
      <c r="AG47" s="35" t="str">
        <f>IFERROR(INDEX('G-6 Hedgerow Data'!$BJ$3:$BJ$15,MATCH(D47,'G-6 Hedgerow Data'!$B$3:$B$15,0)),"")</f>
        <v/>
      </c>
    </row>
    <row r="48" spans="2:33" ht="13.8" x14ac:dyDescent="0.25">
      <c r="B48" s="168">
        <v>37</v>
      </c>
      <c r="C48" s="278"/>
      <c r="D48" s="261"/>
      <c r="E48" s="213"/>
      <c r="F48" s="277" t="str">
        <f>IF(D48="","",VLOOKUP(D48,'G-6 Hedgerow Data'!$B$2:$AG$15,2,FALSE))</f>
        <v/>
      </c>
      <c r="G48" s="172" t="str">
        <f>IF(D48="","",VLOOKUP(D48,'G-6 Hedgerow Data'!$B$2:$AG$15,3,FALSE))</f>
        <v/>
      </c>
      <c r="H48" s="173"/>
      <c r="I48" s="172" t="str">
        <f>IFERROR(VLOOKUP(H48,'G-1 All Habitats'!$Z$2:$AA$9,2,FALSE),"")</f>
        <v/>
      </c>
      <c r="J48" s="173"/>
      <c r="K48" s="175" t="str">
        <f>IF(J48="","",IF(VLOOKUP(J48,'G-3 Multipliers'!$L$3:$N$6,2,FALSE)=0,"Spatial Data Missing",VLOOKUP(J48,'G-3 Multipliers'!$L$3:$N$6,2,FALSE)))</f>
        <v/>
      </c>
      <c r="L48" s="260" t="str">
        <f>IF(J48="","",IF(VLOOKUP(J48,'G-3 Multipliers'!$L$3:$N$6,3,FALSE)=0,"Spatial Data Missing",VLOOKUP(J48,'G-3 Multipliers'!$L$3:$N$6,3,FALSE)))</f>
        <v/>
      </c>
      <c r="M48" s="171" t="str">
        <f>IF(OR(D48="",H48=""),"",(INDEX('G-6 Hedgerow Data'!$E$3:$I$15,MATCH(D48,'G-6 Hedgerow Data'!$B$3:$B$15,0),MATCH(H48,'G-6 Hedgerow Data'!$E$2:$I$2,0))))</f>
        <v/>
      </c>
      <c r="N48" s="261"/>
      <c r="O48" s="261"/>
      <c r="P48" s="179" t="str">
        <f t="shared" si="0"/>
        <v/>
      </c>
      <c r="Q48" s="262" t="str">
        <f t="shared" si="1"/>
        <v/>
      </c>
      <c r="R48" s="263" t="str">
        <f t="shared" si="2"/>
        <v/>
      </c>
      <c r="S48" s="239" t="str">
        <f>IF(D48="","",VLOOKUP(D48,'G-6 Hedgerow Data'!$B$3:$AG$15,31,FALSE))</f>
        <v/>
      </c>
      <c r="T48" s="179" t="str">
        <f t="shared" si="3"/>
        <v/>
      </c>
      <c r="U48" s="179" t="str">
        <f t="shared" si="4"/>
        <v/>
      </c>
      <c r="V48" s="176" t="str">
        <f>IF(D48="","",VLOOKUP(S48,'G-3 Multipliers'!$P$3:$Q$6,2,FALSE))</f>
        <v/>
      </c>
      <c r="W48" s="274" t="str">
        <f t="shared" si="5"/>
        <v/>
      </c>
      <c r="X48" s="180"/>
      <c r="Y48" s="181"/>
      <c r="AG48" s="35" t="str">
        <f>IFERROR(INDEX('G-6 Hedgerow Data'!$BJ$3:$BJ$15,MATCH(D48,'G-6 Hedgerow Data'!$B$3:$B$15,0)),"")</f>
        <v/>
      </c>
    </row>
    <row r="49" spans="2:33" ht="13.8" x14ac:dyDescent="0.25">
      <c r="B49" s="168">
        <v>38</v>
      </c>
      <c r="C49" s="278"/>
      <c r="D49" s="261"/>
      <c r="E49" s="213"/>
      <c r="F49" s="277" t="str">
        <f>IF(D49="","",VLOOKUP(D49,'G-6 Hedgerow Data'!$B$2:$AG$15,2,FALSE))</f>
        <v/>
      </c>
      <c r="G49" s="172" t="str">
        <f>IF(D49="","",VLOOKUP(D49,'G-6 Hedgerow Data'!$B$2:$AG$15,3,FALSE))</f>
        <v/>
      </c>
      <c r="H49" s="173"/>
      <c r="I49" s="172" t="str">
        <f>IFERROR(VLOOKUP(H49,'G-1 All Habitats'!$Z$2:$AA$9,2,FALSE),"")</f>
        <v/>
      </c>
      <c r="J49" s="173"/>
      <c r="K49" s="175" t="str">
        <f>IF(J49="","",IF(VLOOKUP(J49,'G-3 Multipliers'!$L$3:$N$6,2,FALSE)=0,"Spatial Data Missing",VLOOKUP(J49,'G-3 Multipliers'!$L$3:$N$6,2,FALSE)))</f>
        <v/>
      </c>
      <c r="L49" s="260" t="str">
        <f>IF(J49="","",IF(VLOOKUP(J49,'G-3 Multipliers'!$L$3:$N$6,3,FALSE)=0,"Spatial Data Missing",VLOOKUP(J49,'G-3 Multipliers'!$L$3:$N$6,3,FALSE)))</f>
        <v/>
      </c>
      <c r="M49" s="171" t="str">
        <f>IF(OR(D49="",H49=""),"",(INDEX('G-6 Hedgerow Data'!$E$3:$I$15,MATCH(D49,'G-6 Hedgerow Data'!$B$3:$B$15,0),MATCH(H49,'G-6 Hedgerow Data'!$E$2:$I$2,0))))</f>
        <v/>
      </c>
      <c r="N49" s="261"/>
      <c r="O49" s="261"/>
      <c r="P49" s="179" t="str">
        <f t="shared" si="0"/>
        <v/>
      </c>
      <c r="Q49" s="262" t="str">
        <f t="shared" si="1"/>
        <v/>
      </c>
      <c r="R49" s="263" t="str">
        <f t="shared" si="2"/>
        <v/>
      </c>
      <c r="S49" s="239" t="str">
        <f>IF(D49="","",VLOOKUP(D49,'G-6 Hedgerow Data'!$B$3:$AG$15,31,FALSE))</f>
        <v/>
      </c>
      <c r="T49" s="179" t="str">
        <f t="shared" si="3"/>
        <v/>
      </c>
      <c r="U49" s="179" t="str">
        <f t="shared" si="4"/>
        <v/>
      </c>
      <c r="V49" s="176" t="str">
        <f>IF(D49="","",VLOOKUP(S49,'G-3 Multipliers'!$P$3:$Q$6,2,FALSE))</f>
        <v/>
      </c>
      <c r="W49" s="274" t="str">
        <f t="shared" si="5"/>
        <v/>
      </c>
      <c r="X49" s="180"/>
      <c r="Y49" s="181"/>
      <c r="AG49" s="35" t="str">
        <f>IFERROR(INDEX('G-6 Hedgerow Data'!$BJ$3:$BJ$15,MATCH(D49,'G-6 Hedgerow Data'!$B$3:$B$15,0)),"")</f>
        <v/>
      </c>
    </row>
    <row r="50" spans="2:33" ht="13.8" x14ac:dyDescent="0.25">
      <c r="B50" s="168">
        <v>39</v>
      </c>
      <c r="C50" s="278"/>
      <c r="D50" s="261"/>
      <c r="E50" s="213"/>
      <c r="F50" s="277" t="str">
        <f>IF(D50="","",VLOOKUP(D50,'G-6 Hedgerow Data'!$B$2:$AG$15,2,FALSE))</f>
        <v/>
      </c>
      <c r="G50" s="172" t="str">
        <f>IF(D50="","",VLOOKUP(D50,'G-6 Hedgerow Data'!$B$2:$AG$15,3,FALSE))</f>
        <v/>
      </c>
      <c r="H50" s="173"/>
      <c r="I50" s="172" t="str">
        <f>IFERROR(VLOOKUP(H50,'G-1 All Habitats'!$Z$2:$AA$9,2,FALSE),"")</f>
        <v/>
      </c>
      <c r="J50" s="173"/>
      <c r="K50" s="175" t="str">
        <f>IF(J50="","",IF(VLOOKUP(J50,'G-3 Multipliers'!$L$3:$N$6,2,FALSE)=0,"Spatial Data Missing",VLOOKUP(J50,'G-3 Multipliers'!$L$3:$N$6,2,FALSE)))</f>
        <v/>
      </c>
      <c r="L50" s="260" t="str">
        <f>IF(J50="","",IF(VLOOKUP(J50,'G-3 Multipliers'!$L$3:$N$6,3,FALSE)=0,"Spatial Data Missing",VLOOKUP(J50,'G-3 Multipliers'!$L$3:$N$6,3,FALSE)))</f>
        <v/>
      </c>
      <c r="M50" s="171" t="str">
        <f>IF(OR(D50="",H50=""),"",(INDEX('G-6 Hedgerow Data'!$E$3:$I$15,MATCH(D50,'G-6 Hedgerow Data'!$B$3:$B$15,0),MATCH(H50,'G-6 Hedgerow Data'!$E$2:$I$2,0))))</f>
        <v/>
      </c>
      <c r="N50" s="261"/>
      <c r="O50" s="261"/>
      <c r="P50" s="179" t="str">
        <f t="shared" si="0"/>
        <v/>
      </c>
      <c r="Q50" s="262" t="str">
        <f t="shared" si="1"/>
        <v/>
      </c>
      <c r="R50" s="263" t="str">
        <f t="shared" si="2"/>
        <v/>
      </c>
      <c r="S50" s="239" t="str">
        <f>IF(D50="","",VLOOKUP(D50,'G-6 Hedgerow Data'!$B$3:$AG$15,31,FALSE))</f>
        <v/>
      </c>
      <c r="T50" s="179" t="str">
        <f t="shared" si="3"/>
        <v/>
      </c>
      <c r="U50" s="179" t="str">
        <f t="shared" si="4"/>
        <v/>
      </c>
      <c r="V50" s="176" t="str">
        <f>IF(D50="","",VLOOKUP(S50,'G-3 Multipliers'!$P$3:$Q$6,2,FALSE))</f>
        <v/>
      </c>
      <c r="W50" s="274" t="str">
        <f t="shared" si="5"/>
        <v/>
      </c>
      <c r="X50" s="180"/>
      <c r="Y50" s="181"/>
      <c r="AG50" s="35" t="str">
        <f>IFERROR(INDEX('G-6 Hedgerow Data'!$BJ$3:$BJ$15,MATCH(D50,'G-6 Hedgerow Data'!$B$3:$B$15,0)),"")</f>
        <v/>
      </c>
    </row>
    <row r="51" spans="2:33" ht="13.8" x14ac:dyDescent="0.25">
      <c r="B51" s="168">
        <v>40</v>
      </c>
      <c r="C51" s="278"/>
      <c r="D51" s="261"/>
      <c r="E51" s="213"/>
      <c r="F51" s="277" t="str">
        <f>IF(D51="","",VLOOKUP(D51,'G-6 Hedgerow Data'!$B$2:$AG$15,2,FALSE))</f>
        <v/>
      </c>
      <c r="G51" s="172" t="str">
        <f>IF(D51="","",VLOOKUP(D51,'G-6 Hedgerow Data'!$B$2:$AG$15,3,FALSE))</f>
        <v/>
      </c>
      <c r="H51" s="173"/>
      <c r="I51" s="172" t="str">
        <f>IFERROR(VLOOKUP(H51,'G-1 All Habitats'!$Z$2:$AA$9,2,FALSE),"")</f>
        <v/>
      </c>
      <c r="J51" s="173"/>
      <c r="K51" s="175" t="str">
        <f>IF(J51="","",IF(VLOOKUP(J51,'G-3 Multipliers'!$L$3:$N$6,2,FALSE)=0,"Spatial Data Missing",VLOOKUP(J51,'G-3 Multipliers'!$L$3:$N$6,2,FALSE)))</f>
        <v/>
      </c>
      <c r="L51" s="260" t="str">
        <f>IF(J51="","",IF(VLOOKUP(J51,'G-3 Multipliers'!$L$3:$N$6,3,FALSE)=0,"Spatial Data Missing",VLOOKUP(J51,'G-3 Multipliers'!$L$3:$N$6,3,FALSE)))</f>
        <v/>
      </c>
      <c r="M51" s="171" t="str">
        <f>IF(OR(D51="",H51=""),"",(INDEX('G-6 Hedgerow Data'!$E$3:$I$15,MATCH(D51,'G-6 Hedgerow Data'!$B$3:$B$15,0),MATCH(H51,'G-6 Hedgerow Data'!$E$2:$I$2,0))))</f>
        <v/>
      </c>
      <c r="N51" s="261"/>
      <c r="O51" s="261"/>
      <c r="P51" s="179" t="str">
        <f t="shared" si="0"/>
        <v/>
      </c>
      <c r="Q51" s="262" t="str">
        <f t="shared" si="1"/>
        <v/>
      </c>
      <c r="R51" s="263" t="str">
        <f t="shared" si="2"/>
        <v/>
      </c>
      <c r="S51" s="239" t="str">
        <f>IF(D51="","",VLOOKUP(D51,'G-6 Hedgerow Data'!$B$3:$AG$15,31,FALSE))</f>
        <v/>
      </c>
      <c r="T51" s="179" t="str">
        <f t="shared" si="3"/>
        <v/>
      </c>
      <c r="U51" s="179" t="str">
        <f t="shared" si="4"/>
        <v/>
      </c>
      <c r="V51" s="176" t="str">
        <f>IF(D51="","",VLOOKUP(S51,'G-3 Multipliers'!$P$3:$Q$6,2,FALSE))</f>
        <v/>
      </c>
      <c r="W51" s="274" t="str">
        <f t="shared" si="5"/>
        <v/>
      </c>
      <c r="X51" s="180"/>
      <c r="Y51" s="181"/>
      <c r="AG51" s="35" t="str">
        <f>IFERROR(INDEX('G-6 Hedgerow Data'!$BJ$3:$BJ$15,MATCH(D51,'G-6 Hedgerow Data'!$B$3:$B$15,0)),"")</f>
        <v/>
      </c>
    </row>
    <row r="52" spans="2:33" ht="13.8" x14ac:dyDescent="0.25">
      <c r="B52" s="168">
        <v>41</v>
      </c>
      <c r="C52" s="278"/>
      <c r="D52" s="261"/>
      <c r="E52" s="213"/>
      <c r="F52" s="277" t="str">
        <f>IF(D52="","",VLOOKUP(D52,'G-6 Hedgerow Data'!$B$2:$AG$15,2,FALSE))</f>
        <v/>
      </c>
      <c r="G52" s="172" t="str">
        <f>IF(D52="","",VLOOKUP(D52,'G-6 Hedgerow Data'!$B$2:$AG$15,3,FALSE))</f>
        <v/>
      </c>
      <c r="H52" s="173"/>
      <c r="I52" s="172" t="str">
        <f>IFERROR(VLOOKUP(H52,'G-1 All Habitats'!$Z$2:$AA$9,2,FALSE),"")</f>
        <v/>
      </c>
      <c r="J52" s="173"/>
      <c r="K52" s="175" t="str">
        <f>IF(J52="","",IF(VLOOKUP(J52,'G-3 Multipliers'!$L$3:$N$6,2,FALSE)=0,"Spatial Data Missing",VLOOKUP(J52,'G-3 Multipliers'!$L$3:$N$6,2,FALSE)))</f>
        <v/>
      </c>
      <c r="L52" s="260" t="str">
        <f>IF(J52="","",IF(VLOOKUP(J52,'G-3 Multipliers'!$L$3:$N$6,3,FALSE)=0,"Spatial Data Missing",VLOOKUP(J52,'G-3 Multipliers'!$L$3:$N$6,3,FALSE)))</f>
        <v/>
      </c>
      <c r="M52" s="171" t="str">
        <f>IF(OR(D52="",H52=""),"",(INDEX('G-6 Hedgerow Data'!$E$3:$I$15,MATCH(D52,'G-6 Hedgerow Data'!$B$3:$B$15,0),MATCH(H52,'G-6 Hedgerow Data'!$E$2:$I$2,0))))</f>
        <v/>
      </c>
      <c r="N52" s="261"/>
      <c r="O52" s="261"/>
      <c r="P52" s="179" t="str">
        <f t="shared" si="0"/>
        <v/>
      </c>
      <c r="Q52" s="262" t="str">
        <f t="shared" si="1"/>
        <v/>
      </c>
      <c r="R52" s="263" t="str">
        <f t="shared" si="2"/>
        <v/>
      </c>
      <c r="S52" s="239" t="str">
        <f>IF(D52="","",VLOOKUP(D52,'G-6 Hedgerow Data'!$B$3:$AG$15,31,FALSE))</f>
        <v/>
      </c>
      <c r="T52" s="179" t="str">
        <f t="shared" si="3"/>
        <v/>
      </c>
      <c r="U52" s="179" t="str">
        <f t="shared" si="4"/>
        <v/>
      </c>
      <c r="V52" s="176" t="str">
        <f>IF(D52="","",VLOOKUP(S52,'G-3 Multipliers'!$P$3:$Q$6,2,FALSE))</f>
        <v/>
      </c>
      <c r="W52" s="274" t="str">
        <f t="shared" si="5"/>
        <v/>
      </c>
      <c r="X52" s="180"/>
      <c r="Y52" s="181"/>
      <c r="AG52" s="35" t="str">
        <f>IFERROR(INDEX('G-6 Hedgerow Data'!$BJ$3:$BJ$15,MATCH(D52,'G-6 Hedgerow Data'!$B$3:$B$15,0)),"")</f>
        <v/>
      </c>
    </row>
    <row r="53" spans="2:33" ht="13.8" x14ac:dyDescent="0.25">
      <c r="B53" s="168">
        <v>42</v>
      </c>
      <c r="C53" s="278"/>
      <c r="D53" s="261"/>
      <c r="E53" s="213"/>
      <c r="F53" s="277" t="str">
        <f>IF(D53="","",VLOOKUP(D53,'G-6 Hedgerow Data'!$B$2:$AG$15,2,FALSE))</f>
        <v/>
      </c>
      <c r="G53" s="172" t="str">
        <f>IF(D53="","",VLOOKUP(D53,'G-6 Hedgerow Data'!$B$2:$AG$15,3,FALSE))</f>
        <v/>
      </c>
      <c r="H53" s="173"/>
      <c r="I53" s="172" t="str">
        <f>IFERROR(VLOOKUP(H53,'G-1 All Habitats'!$Z$2:$AA$9,2,FALSE),"")</f>
        <v/>
      </c>
      <c r="J53" s="173"/>
      <c r="K53" s="175" t="str">
        <f>IF(J53="","",IF(VLOOKUP(J53,'G-3 Multipliers'!$L$3:$N$6,2,FALSE)=0,"Spatial Data Missing",VLOOKUP(J53,'G-3 Multipliers'!$L$3:$N$6,2,FALSE)))</f>
        <v/>
      </c>
      <c r="L53" s="260" t="str">
        <f>IF(J53="","",IF(VLOOKUP(J53,'G-3 Multipliers'!$L$3:$N$6,3,FALSE)=0,"Spatial Data Missing",VLOOKUP(J53,'G-3 Multipliers'!$L$3:$N$6,3,FALSE)))</f>
        <v/>
      </c>
      <c r="M53" s="171" t="str">
        <f>IF(OR(D53="",H53=""),"",(INDEX('G-6 Hedgerow Data'!$E$3:$I$15,MATCH(D53,'G-6 Hedgerow Data'!$B$3:$B$15,0),MATCH(H53,'G-6 Hedgerow Data'!$E$2:$I$2,0))))</f>
        <v/>
      </c>
      <c r="N53" s="261"/>
      <c r="O53" s="261"/>
      <c r="P53" s="179" t="str">
        <f t="shared" si="0"/>
        <v/>
      </c>
      <c r="Q53" s="262" t="str">
        <f t="shared" si="1"/>
        <v/>
      </c>
      <c r="R53" s="263" t="str">
        <f t="shared" si="2"/>
        <v/>
      </c>
      <c r="S53" s="239" t="str">
        <f>IF(D53="","",VLOOKUP(D53,'G-6 Hedgerow Data'!$B$3:$AG$15,31,FALSE))</f>
        <v/>
      </c>
      <c r="T53" s="179" t="str">
        <f t="shared" si="3"/>
        <v/>
      </c>
      <c r="U53" s="179" t="str">
        <f t="shared" si="4"/>
        <v/>
      </c>
      <c r="V53" s="176" t="str">
        <f>IF(D53="","",VLOOKUP(S53,'G-3 Multipliers'!$P$3:$Q$6,2,FALSE))</f>
        <v/>
      </c>
      <c r="W53" s="274" t="str">
        <f t="shared" si="5"/>
        <v/>
      </c>
      <c r="X53" s="180"/>
      <c r="Y53" s="181"/>
      <c r="AG53" s="35" t="str">
        <f>IFERROR(INDEX('G-6 Hedgerow Data'!$BJ$3:$BJ$15,MATCH(D53,'G-6 Hedgerow Data'!$B$3:$B$15,0)),"")</f>
        <v/>
      </c>
    </row>
    <row r="54" spans="2:33" ht="13.8" x14ac:dyDescent="0.25">
      <c r="B54" s="168">
        <v>43</v>
      </c>
      <c r="C54" s="278"/>
      <c r="D54" s="261"/>
      <c r="E54" s="213"/>
      <c r="F54" s="277" t="str">
        <f>IF(D54="","",VLOOKUP(D54,'G-6 Hedgerow Data'!$B$2:$AG$15,2,FALSE))</f>
        <v/>
      </c>
      <c r="G54" s="172" t="str">
        <f>IF(D54="","",VLOOKUP(D54,'G-6 Hedgerow Data'!$B$2:$AG$15,3,FALSE))</f>
        <v/>
      </c>
      <c r="H54" s="173"/>
      <c r="I54" s="172" t="str">
        <f>IFERROR(VLOOKUP(H54,'G-1 All Habitats'!$Z$2:$AA$9,2,FALSE),"")</f>
        <v/>
      </c>
      <c r="J54" s="173"/>
      <c r="K54" s="175" t="str">
        <f>IF(J54="","",IF(VLOOKUP(J54,'G-3 Multipliers'!$L$3:$N$6,2,FALSE)=0,"Spatial Data Missing",VLOOKUP(J54,'G-3 Multipliers'!$L$3:$N$6,2,FALSE)))</f>
        <v/>
      </c>
      <c r="L54" s="260" t="str">
        <f>IF(J54="","",IF(VLOOKUP(J54,'G-3 Multipliers'!$L$3:$N$6,3,FALSE)=0,"Spatial Data Missing",VLOOKUP(J54,'G-3 Multipliers'!$L$3:$N$6,3,FALSE)))</f>
        <v/>
      </c>
      <c r="M54" s="171" t="str">
        <f>IF(OR(D54="",H54=""),"",(INDEX('G-6 Hedgerow Data'!$E$3:$I$15,MATCH(D54,'G-6 Hedgerow Data'!$B$3:$B$15,0),MATCH(H54,'G-6 Hedgerow Data'!$E$2:$I$2,0))))</f>
        <v/>
      </c>
      <c r="N54" s="261"/>
      <c r="O54" s="261"/>
      <c r="P54" s="179" t="str">
        <f t="shared" si="0"/>
        <v/>
      </c>
      <c r="Q54" s="262" t="str">
        <f t="shared" si="1"/>
        <v/>
      </c>
      <c r="R54" s="263" t="str">
        <f t="shared" si="2"/>
        <v/>
      </c>
      <c r="S54" s="239" t="str">
        <f>IF(D54="","",VLOOKUP(D54,'G-6 Hedgerow Data'!$B$3:$AG$15,31,FALSE))</f>
        <v/>
      </c>
      <c r="T54" s="179" t="str">
        <f t="shared" si="3"/>
        <v/>
      </c>
      <c r="U54" s="179" t="str">
        <f t="shared" si="4"/>
        <v/>
      </c>
      <c r="V54" s="176" t="str">
        <f>IF(D54="","",VLOOKUP(S54,'G-3 Multipliers'!$P$3:$Q$6,2,FALSE))</f>
        <v/>
      </c>
      <c r="W54" s="274" t="str">
        <f t="shared" si="5"/>
        <v/>
      </c>
      <c r="X54" s="180"/>
      <c r="Y54" s="181"/>
      <c r="AG54" s="35" t="str">
        <f>IFERROR(INDEX('G-6 Hedgerow Data'!$BJ$3:$BJ$15,MATCH(D54,'G-6 Hedgerow Data'!$B$3:$B$15,0)),"")</f>
        <v/>
      </c>
    </row>
    <row r="55" spans="2:33" ht="13.8" x14ac:dyDescent="0.25">
      <c r="B55" s="168">
        <v>44</v>
      </c>
      <c r="C55" s="278"/>
      <c r="D55" s="261"/>
      <c r="E55" s="213"/>
      <c r="F55" s="277" t="str">
        <f>IF(D55="","",VLOOKUP(D55,'G-6 Hedgerow Data'!$B$2:$AG$15,2,FALSE))</f>
        <v/>
      </c>
      <c r="G55" s="172" t="str">
        <f>IF(D55="","",VLOOKUP(D55,'G-6 Hedgerow Data'!$B$2:$AG$15,3,FALSE))</f>
        <v/>
      </c>
      <c r="H55" s="173"/>
      <c r="I55" s="172" t="str">
        <f>IFERROR(VLOOKUP(H55,'G-1 All Habitats'!$Z$2:$AA$9,2,FALSE),"")</f>
        <v/>
      </c>
      <c r="J55" s="173"/>
      <c r="K55" s="175" t="str">
        <f>IF(J55="","",IF(VLOOKUP(J55,'G-3 Multipliers'!$L$3:$N$6,2,FALSE)=0,"Spatial Data Missing",VLOOKUP(J55,'G-3 Multipliers'!$L$3:$N$6,2,FALSE)))</f>
        <v/>
      </c>
      <c r="L55" s="260" t="str">
        <f>IF(J55="","",IF(VLOOKUP(J55,'G-3 Multipliers'!$L$3:$N$6,3,FALSE)=0,"Spatial Data Missing",VLOOKUP(J55,'G-3 Multipliers'!$L$3:$N$6,3,FALSE)))</f>
        <v/>
      </c>
      <c r="M55" s="171" t="str">
        <f>IF(OR(D55="",H55=""),"",(INDEX('G-6 Hedgerow Data'!$E$3:$I$15,MATCH(D55,'G-6 Hedgerow Data'!$B$3:$B$15,0),MATCH(H55,'G-6 Hedgerow Data'!$E$2:$I$2,0))))</f>
        <v/>
      </c>
      <c r="N55" s="261"/>
      <c r="O55" s="261"/>
      <c r="P55" s="179" t="str">
        <f t="shared" si="0"/>
        <v/>
      </c>
      <c r="Q55" s="262" t="str">
        <f t="shared" si="1"/>
        <v/>
      </c>
      <c r="R55" s="263" t="str">
        <f t="shared" si="2"/>
        <v/>
      </c>
      <c r="S55" s="239" t="str">
        <f>IF(D55="","",VLOOKUP(D55,'G-6 Hedgerow Data'!$B$3:$AG$15,31,FALSE))</f>
        <v/>
      </c>
      <c r="T55" s="179" t="str">
        <f t="shared" si="3"/>
        <v/>
      </c>
      <c r="U55" s="179" t="str">
        <f t="shared" si="4"/>
        <v/>
      </c>
      <c r="V55" s="176" t="str">
        <f>IF(D55="","",VLOOKUP(S55,'G-3 Multipliers'!$P$3:$Q$6,2,FALSE))</f>
        <v/>
      </c>
      <c r="W55" s="274" t="str">
        <f t="shared" si="5"/>
        <v/>
      </c>
      <c r="X55" s="180"/>
      <c r="Y55" s="181"/>
      <c r="AG55" s="35" t="str">
        <f>IFERROR(INDEX('G-6 Hedgerow Data'!$BJ$3:$BJ$15,MATCH(D55,'G-6 Hedgerow Data'!$B$3:$B$15,0)),"")</f>
        <v/>
      </c>
    </row>
    <row r="56" spans="2:33" ht="13.8" x14ac:dyDescent="0.25">
      <c r="B56" s="168">
        <v>45</v>
      </c>
      <c r="C56" s="278"/>
      <c r="D56" s="261"/>
      <c r="E56" s="213"/>
      <c r="F56" s="277" t="str">
        <f>IF(D56="","",VLOOKUP(D56,'G-6 Hedgerow Data'!$B$2:$AG$15,2,FALSE))</f>
        <v/>
      </c>
      <c r="G56" s="172" t="str">
        <f>IF(D56="","",VLOOKUP(D56,'G-6 Hedgerow Data'!$B$2:$AG$15,3,FALSE))</f>
        <v/>
      </c>
      <c r="H56" s="173"/>
      <c r="I56" s="172" t="str">
        <f>IFERROR(VLOOKUP(H56,'G-1 All Habitats'!$Z$2:$AA$9,2,FALSE),"")</f>
        <v/>
      </c>
      <c r="J56" s="173"/>
      <c r="K56" s="175" t="str">
        <f>IF(J56="","",IF(VLOOKUP(J56,'G-3 Multipliers'!$L$3:$N$6,2,FALSE)=0,"Spatial Data Missing",VLOOKUP(J56,'G-3 Multipliers'!$L$3:$N$6,2,FALSE)))</f>
        <v/>
      </c>
      <c r="L56" s="260" t="str">
        <f>IF(J56="","",IF(VLOOKUP(J56,'G-3 Multipliers'!$L$3:$N$6,3,FALSE)=0,"Spatial Data Missing",VLOOKUP(J56,'G-3 Multipliers'!$L$3:$N$6,3,FALSE)))</f>
        <v/>
      </c>
      <c r="M56" s="171" t="str">
        <f>IF(OR(D56="",H56=""),"",(INDEX('G-6 Hedgerow Data'!$E$3:$I$15,MATCH(D56,'G-6 Hedgerow Data'!$B$3:$B$15,0),MATCH(H56,'G-6 Hedgerow Data'!$E$2:$I$2,0))))</f>
        <v/>
      </c>
      <c r="N56" s="261"/>
      <c r="O56" s="261"/>
      <c r="P56" s="179" t="str">
        <f t="shared" si="0"/>
        <v/>
      </c>
      <c r="Q56" s="262" t="str">
        <f t="shared" si="1"/>
        <v/>
      </c>
      <c r="R56" s="263" t="str">
        <f t="shared" si="2"/>
        <v/>
      </c>
      <c r="S56" s="239" t="str">
        <f>IF(D56="","",VLOOKUP(D56,'G-6 Hedgerow Data'!$B$3:$AG$15,31,FALSE))</f>
        <v/>
      </c>
      <c r="T56" s="179" t="str">
        <f t="shared" si="3"/>
        <v/>
      </c>
      <c r="U56" s="179" t="str">
        <f t="shared" si="4"/>
        <v/>
      </c>
      <c r="V56" s="176" t="str">
        <f>IF(D56="","",VLOOKUP(S56,'G-3 Multipliers'!$P$3:$Q$6,2,FALSE))</f>
        <v/>
      </c>
      <c r="W56" s="274" t="str">
        <f t="shared" si="5"/>
        <v/>
      </c>
      <c r="X56" s="180"/>
      <c r="Y56" s="181"/>
      <c r="AG56" s="35" t="str">
        <f>IFERROR(INDEX('G-6 Hedgerow Data'!$BJ$3:$BJ$15,MATCH(D56,'G-6 Hedgerow Data'!$B$3:$B$15,0)),"")</f>
        <v/>
      </c>
    </row>
    <row r="57" spans="2:33" ht="13.8" x14ac:dyDescent="0.25">
      <c r="B57" s="168">
        <v>46</v>
      </c>
      <c r="C57" s="278"/>
      <c r="D57" s="261"/>
      <c r="E57" s="213"/>
      <c r="F57" s="277" t="str">
        <f>IF(D57="","",VLOOKUP(D57,'G-6 Hedgerow Data'!$B$2:$AG$15,2,FALSE))</f>
        <v/>
      </c>
      <c r="G57" s="172" t="str">
        <f>IF(D57="","",VLOOKUP(D57,'G-6 Hedgerow Data'!$B$2:$AG$15,3,FALSE))</f>
        <v/>
      </c>
      <c r="H57" s="173"/>
      <c r="I57" s="172" t="str">
        <f>IFERROR(VLOOKUP(H57,'G-1 All Habitats'!$Z$2:$AA$9,2,FALSE),"")</f>
        <v/>
      </c>
      <c r="J57" s="173"/>
      <c r="K57" s="175" t="str">
        <f>IF(J57="","",IF(VLOOKUP(J57,'G-3 Multipliers'!$L$3:$N$6,2,FALSE)=0,"Spatial Data Missing",VLOOKUP(J57,'G-3 Multipliers'!$L$3:$N$6,2,FALSE)))</f>
        <v/>
      </c>
      <c r="L57" s="260" t="str">
        <f>IF(J57="","",IF(VLOOKUP(J57,'G-3 Multipliers'!$L$3:$N$6,3,FALSE)=0,"Spatial Data Missing",VLOOKUP(J57,'G-3 Multipliers'!$L$3:$N$6,3,FALSE)))</f>
        <v/>
      </c>
      <c r="M57" s="171" t="str">
        <f>IF(OR(D57="",H57=""),"",(INDEX('G-6 Hedgerow Data'!$E$3:$I$15,MATCH(D57,'G-6 Hedgerow Data'!$B$3:$B$15,0),MATCH(H57,'G-6 Hedgerow Data'!$E$2:$I$2,0))))</f>
        <v/>
      </c>
      <c r="N57" s="261"/>
      <c r="O57" s="261"/>
      <c r="P57" s="179" t="str">
        <f t="shared" si="0"/>
        <v/>
      </c>
      <c r="Q57" s="262" t="str">
        <f t="shared" si="1"/>
        <v/>
      </c>
      <c r="R57" s="263" t="str">
        <f t="shared" si="2"/>
        <v/>
      </c>
      <c r="S57" s="239" t="str">
        <f>IF(D57="","",VLOOKUP(D57,'G-6 Hedgerow Data'!$B$3:$AG$15,31,FALSE))</f>
        <v/>
      </c>
      <c r="T57" s="179" t="str">
        <f t="shared" si="3"/>
        <v/>
      </c>
      <c r="U57" s="179" t="str">
        <f t="shared" si="4"/>
        <v/>
      </c>
      <c r="V57" s="176" t="str">
        <f>IF(D57="","",VLOOKUP(S57,'G-3 Multipliers'!$P$3:$Q$6,2,FALSE))</f>
        <v/>
      </c>
      <c r="W57" s="274" t="str">
        <f t="shared" si="5"/>
        <v/>
      </c>
      <c r="X57" s="180"/>
      <c r="Y57" s="181"/>
      <c r="AG57" s="35" t="str">
        <f>IFERROR(INDEX('G-6 Hedgerow Data'!$BJ$3:$BJ$15,MATCH(D57,'G-6 Hedgerow Data'!$B$3:$B$15,0)),"")</f>
        <v/>
      </c>
    </row>
    <row r="58" spans="2:33" ht="13.8" x14ac:dyDescent="0.25">
      <c r="B58" s="168">
        <v>47</v>
      </c>
      <c r="C58" s="278"/>
      <c r="D58" s="261"/>
      <c r="E58" s="213"/>
      <c r="F58" s="277" t="str">
        <f>IF(D58="","",VLOOKUP(D58,'G-6 Hedgerow Data'!$B$2:$AG$15,2,FALSE))</f>
        <v/>
      </c>
      <c r="G58" s="172" t="str">
        <f>IF(D58="","",VLOOKUP(D58,'G-6 Hedgerow Data'!$B$2:$AG$15,3,FALSE))</f>
        <v/>
      </c>
      <c r="H58" s="173"/>
      <c r="I58" s="172" t="str">
        <f>IFERROR(VLOOKUP(H58,'G-1 All Habitats'!$Z$2:$AA$9,2,FALSE),"")</f>
        <v/>
      </c>
      <c r="J58" s="173"/>
      <c r="K58" s="175" t="str">
        <f>IF(J58="","",IF(VLOOKUP(J58,'G-3 Multipliers'!$L$3:$N$6,2,FALSE)=0,"Spatial Data Missing",VLOOKUP(J58,'G-3 Multipliers'!$L$3:$N$6,2,FALSE)))</f>
        <v/>
      </c>
      <c r="L58" s="260" t="str">
        <f>IF(J58="","",IF(VLOOKUP(J58,'G-3 Multipliers'!$L$3:$N$6,3,FALSE)=0,"Spatial Data Missing",VLOOKUP(J58,'G-3 Multipliers'!$L$3:$N$6,3,FALSE)))</f>
        <v/>
      </c>
      <c r="M58" s="171" t="str">
        <f>IF(OR(D58="",H58=""),"",(INDEX('G-6 Hedgerow Data'!$E$3:$I$15,MATCH(D58,'G-6 Hedgerow Data'!$B$3:$B$15,0),MATCH(H58,'G-6 Hedgerow Data'!$E$2:$I$2,0))))</f>
        <v/>
      </c>
      <c r="N58" s="261"/>
      <c r="O58" s="261"/>
      <c r="P58" s="179" t="str">
        <f t="shared" si="0"/>
        <v/>
      </c>
      <c r="Q58" s="262" t="str">
        <f t="shared" si="1"/>
        <v/>
      </c>
      <c r="R58" s="263" t="str">
        <f t="shared" si="2"/>
        <v/>
      </c>
      <c r="S58" s="239" t="str">
        <f>IF(D58="","",VLOOKUP(D58,'G-6 Hedgerow Data'!$B$3:$AG$15,31,FALSE))</f>
        <v/>
      </c>
      <c r="T58" s="179" t="str">
        <f t="shared" si="3"/>
        <v/>
      </c>
      <c r="U58" s="179" t="str">
        <f t="shared" si="4"/>
        <v/>
      </c>
      <c r="V58" s="176" t="str">
        <f>IF(D58="","",VLOOKUP(S58,'G-3 Multipliers'!$P$3:$Q$6,2,FALSE))</f>
        <v/>
      </c>
      <c r="W58" s="274" t="str">
        <f t="shared" si="5"/>
        <v/>
      </c>
      <c r="X58" s="180"/>
      <c r="Y58" s="181"/>
      <c r="AG58" s="35" t="str">
        <f>IFERROR(INDEX('G-6 Hedgerow Data'!$BJ$3:$BJ$15,MATCH(D58,'G-6 Hedgerow Data'!$B$3:$B$15,0)),"")</f>
        <v/>
      </c>
    </row>
    <row r="59" spans="2:33" ht="13.8" x14ac:dyDescent="0.25">
      <c r="B59" s="168">
        <v>48</v>
      </c>
      <c r="C59" s="278"/>
      <c r="D59" s="261"/>
      <c r="E59" s="213"/>
      <c r="F59" s="277" t="str">
        <f>IF(D59="","",VLOOKUP(D59,'G-6 Hedgerow Data'!$B$2:$AG$15,2,FALSE))</f>
        <v/>
      </c>
      <c r="G59" s="172" t="str">
        <f>IF(D59="","",VLOOKUP(D59,'G-6 Hedgerow Data'!$B$2:$AG$15,3,FALSE))</f>
        <v/>
      </c>
      <c r="H59" s="173"/>
      <c r="I59" s="172" t="str">
        <f>IFERROR(VLOOKUP(H59,'G-1 All Habitats'!$Z$2:$AA$9,2,FALSE),"")</f>
        <v/>
      </c>
      <c r="J59" s="173"/>
      <c r="K59" s="175" t="str">
        <f>IF(J59="","",IF(VLOOKUP(J59,'G-3 Multipliers'!$L$3:$N$6,2,FALSE)=0,"Spatial Data Missing",VLOOKUP(J59,'G-3 Multipliers'!$L$3:$N$6,2,FALSE)))</f>
        <v/>
      </c>
      <c r="L59" s="260" t="str">
        <f>IF(J59="","",IF(VLOOKUP(J59,'G-3 Multipliers'!$L$3:$N$6,3,FALSE)=0,"Spatial Data Missing",VLOOKUP(J59,'G-3 Multipliers'!$L$3:$N$6,3,FALSE)))</f>
        <v/>
      </c>
      <c r="M59" s="171" t="str">
        <f>IF(OR(D59="",H59=""),"",(INDEX('G-6 Hedgerow Data'!$E$3:$I$15,MATCH(D59,'G-6 Hedgerow Data'!$B$3:$B$15,0),MATCH(H59,'G-6 Hedgerow Data'!$E$2:$I$2,0))))</f>
        <v/>
      </c>
      <c r="N59" s="261"/>
      <c r="O59" s="261"/>
      <c r="P59" s="179" t="str">
        <f t="shared" si="0"/>
        <v/>
      </c>
      <c r="Q59" s="262" t="str">
        <f t="shared" si="1"/>
        <v/>
      </c>
      <c r="R59" s="263" t="str">
        <f t="shared" si="2"/>
        <v/>
      </c>
      <c r="S59" s="239" t="str">
        <f>IF(D59="","",VLOOKUP(D59,'G-6 Hedgerow Data'!$B$3:$AG$15,31,FALSE))</f>
        <v/>
      </c>
      <c r="T59" s="179" t="str">
        <f t="shared" si="3"/>
        <v/>
      </c>
      <c r="U59" s="179" t="str">
        <f t="shared" si="4"/>
        <v/>
      </c>
      <c r="V59" s="176" t="str">
        <f>IF(D59="","",VLOOKUP(S59,'G-3 Multipliers'!$P$3:$Q$6,2,FALSE))</f>
        <v/>
      </c>
      <c r="W59" s="274" t="str">
        <f t="shared" si="5"/>
        <v/>
      </c>
      <c r="X59" s="180"/>
      <c r="Y59" s="181"/>
      <c r="AG59" s="35" t="str">
        <f>IFERROR(INDEX('G-6 Hedgerow Data'!$BJ$3:$BJ$15,MATCH(D59,'G-6 Hedgerow Data'!$B$3:$B$15,0)),"")</f>
        <v/>
      </c>
    </row>
    <row r="60" spans="2:33" ht="13.8" x14ac:dyDescent="0.25">
      <c r="B60" s="168">
        <v>49</v>
      </c>
      <c r="C60" s="278"/>
      <c r="D60" s="261"/>
      <c r="E60" s="213"/>
      <c r="F60" s="277" t="str">
        <f>IF(D60="","",VLOOKUP(D60,'G-6 Hedgerow Data'!$B$2:$AG$15,2,FALSE))</f>
        <v/>
      </c>
      <c r="G60" s="172" t="str">
        <f>IF(D60="","",VLOOKUP(D60,'G-6 Hedgerow Data'!$B$2:$AG$15,3,FALSE))</f>
        <v/>
      </c>
      <c r="H60" s="173"/>
      <c r="I60" s="172" t="str">
        <f>IFERROR(VLOOKUP(H60,'G-1 All Habitats'!$Z$2:$AA$9,2,FALSE),"")</f>
        <v/>
      </c>
      <c r="J60" s="173"/>
      <c r="K60" s="175" t="str">
        <f>IF(J60="","",IF(VLOOKUP(J60,'G-3 Multipliers'!$L$3:$N$6,2,FALSE)=0,"Spatial Data Missing",VLOOKUP(J60,'G-3 Multipliers'!$L$3:$N$6,2,FALSE)))</f>
        <v/>
      </c>
      <c r="L60" s="260" t="str">
        <f>IF(J60="","",IF(VLOOKUP(J60,'G-3 Multipliers'!$L$3:$N$6,3,FALSE)=0,"Spatial Data Missing",VLOOKUP(J60,'G-3 Multipliers'!$L$3:$N$6,3,FALSE)))</f>
        <v/>
      </c>
      <c r="M60" s="171" t="str">
        <f>IF(OR(D60="",H60=""),"",(INDEX('G-6 Hedgerow Data'!$E$3:$I$15,MATCH(D60,'G-6 Hedgerow Data'!$B$3:$B$15,0),MATCH(H60,'G-6 Hedgerow Data'!$E$2:$I$2,0))))</f>
        <v/>
      </c>
      <c r="N60" s="261"/>
      <c r="O60" s="261"/>
      <c r="P60" s="179" t="str">
        <f t="shared" si="0"/>
        <v/>
      </c>
      <c r="Q60" s="262" t="str">
        <f t="shared" si="1"/>
        <v/>
      </c>
      <c r="R60" s="263" t="str">
        <f t="shared" si="2"/>
        <v/>
      </c>
      <c r="S60" s="239" t="str">
        <f>IF(D60="","",VLOOKUP(D60,'G-6 Hedgerow Data'!$B$3:$AG$15,31,FALSE))</f>
        <v/>
      </c>
      <c r="T60" s="179" t="str">
        <f t="shared" si="3"/>
        <v/>
      </c>
      <c r="U60" s="179" t="str">
        <f t="shared" si="4"/>
        <v/>
      </c>
      <c r="V60" s="176" t="str">
        <f>IF(D60="","",VLOOKUP(S60,'G-3 Multipliers'!$P$3:$Q$6,2,FALSE))</f>
        <v/>
      </c>
      <c r="W60" s="274" t="str">
        <f t="shared" si="5"/>
        <v/>
      </c>
      <c r="X60" s="180"/>
      <c r="Y60" s="181"/>
      <c r="AG60" s="35" t="str">
        <f>IFERROR(INDEX('G-6 Hedgerow Data'!$BJ$3:$BJ$15,MATCH(D60,'G-6 Hedgerow Data'!$B$3:$B$15,0)),"")</f>
        <v/>
      </c>
    </row>
    <row r="61" spans="2:33" ht="13.8" x14ac:dyDescent="0.25">
      <c r="B61" s="168">
        <v>50</v>
      </c>
      <c r="C61" s="278"/>
      <c r="D61" s="261"/>
      <c r="E61" s="213"/>
      <c r="F61" s="277" t="str">
        <f>IF(D61="","",VLOOKUP(D61,'G-6 Hedgerow Data'!$B$2:$AG$15,2,FALSE))</f>
        <v/>
      </c>
      <c r="G61" s="172" t="str">
        <f>IF(D61="","",VLOOKUP(D61,'G-6 Hedgerow Data'!$B$2:$AG$15,3,FALSE))</f>
        <v/>
      </c>
      <c r="H61" s="173"/>
      <c r="I61" s="172" t="str">
        <f>IFERROR(VLOOKUP(H61,'G-1 All Habitats'!$Z$2:$AA$9,2,FALSE),"")</f>
        <v/>
      </c>
      <c r="J61" s="173"/>
      <c r="K61" s="175" t="str">
        <f>IF(J61="","",IF(VLOOKUP(J61,'G-3 Multipliers'!$L$3:$N$6,2,FALSE)=0,"Spatial Data Missing",VLOOKUP(J61,'G-3 Multipliers'!$L$3:$N$6,2,FALSE)))</f>
        <v/>
      </c>
      <c r="L61" s="260" t="str">
        <f>IF(J61="","",IF(VLOOKUP(J61,'G-3 Multipliers'!$L$3:$N$6,3,FALSE)=0,"Spatial Data Missing",VLOOKUP(J61,'G-3 Multipliers'!$L$3:$N$6,3,FALSE)))</f>
        <v/>
      </c>
      <c r="M61" s="171" t="str">
        <f>IF(OR(D61="",H61=""),"",(INDEX('G-6 Hedgerow Data'!$E$3:$I$15,MATCH(D61,'G-6 Hedgerow Data'!$B$3:$B$15,0),MATCH(H61,'G-6 Hedgerow Data'!$E$2:$I$2,0))))</f>
        <v/>
      </c>
      <c r="N61" s="261"/>
      <c r="O61" s="261"/>
      <c r="P61" s="179" t="str">
        <f t="shared" si="0"/>
        <v/>
      </c>
      <c r="Q61" s="262" t="str">
        <f t="shared" si="1"/>
        <v/>
      </c>
      <c r="R61" s="263" t="str">
        <f t="shared" si="2"/>
        <v/>
      </c>
      <c r="S61" s="239" t="str">
        <f>IF(D61="","",VLOOKUP(D61,'G-6 Hedgerow Data'!$B$3:$AG$15,31,FALSE))</f>
        <v/>
      </c>
      <c r="T61" s="179" t="str">
        <f t="shared" si="3"/>
        <v/>
      </c>
      <c r="U61" s="179" t="str">
        <f t="shared" si="4"/>
        <v/>
      </c>
      <c r="V61" s="176" t="str">
        <f>IF(D61="","",VLOOKUP(S61,'G-3 Multipliers'!$P$3:$Q$6,2,FALSE))</f>
        <v/>
      </c>
      <c r="W61" s="274" t="str">
        <f t="shared" si="5"/>
        <v/>
      </c>
      <c r="X61" s="180"/>
      <c r="Y61" s="181"/>
      <c r="AG61" s="35" t="str">
        <f>IFERROR(INDEX('G-6 Hedgerow Data'!$BJ$3:$BJ$15,MATCH(D61,'G-6 Hedgerow Data'!$B$3:$B$15,0)),"")</f>
        <v/>
      </c>
    </row>
    <row r="62" spans="2:33" ht="13.8" x14ac:dyDescent="0.25">
      <c r="B62" s="168">
        <v>51</v>
      </c>
      <c r="C62" s="278"/>
      <c r="D62" s="261"/>
      <c r="E62" s="213"/>
      <c r="F62" s="277" t="str">
        <f>IF(D62="","",VLOOKUP(D62,'G-6 Hedgerow Data'!$B$2:$AG$15,2,FALSE))</f>
        <v/>
      </c>
      <c r="G62" s="172" t="str">
        <f>IF(D62="","",VLOOKUP(D62,'G-6 Hedgerow Data'!$B$2:$AG$15,3,FALSE))</f>
        <v/>
      </c>
      <c r="H62" s="173"/>
      <c r="I62" s="172" t="str">
        <f>IFERROR(VLOOKUP(H62,'G-1 All Habitats'!$Z$2:$AA$9,2,FALSE),"")</f>
        <v/>
      </c>
      <c r="J62" s="173"/>
      <c r="K62" s="175" t="str">
        <f>IF(J62="","",IF(VLOOKUP(J62,'G-3 Multipliers'!$L$3:$N$6,2,FALSE)=0,"Spatial Data Missing",VLOOKUP(J62,'G-3 Multipliers'!$L$3:$N$6,2,FALSE)))</f>
        <v/>
      </c>
      <c r="L62" s="260" t="str">
        <f>IF(J62="","",IF(VLOOKUP(J62,'G-3 Multipliers'!$L$3:$N$6,3,FALSE)=0,"Spatial Data Missing",VLOOKUP(J62,'G-3 Multipliers'!$L$3:$N$6,3,FALSE)))</f>
        <v/>
      </c>
      <c r="M62" s="171" t="str">
        <f>IF(OR(D62="",H62=""),"",(INDEX('G-6 Hedgerow Data'!$E$3:$I$15,MATCH(D62,'G-6 Hedgerow Data'!$B$3:$B$15,0),MATCH(H62,'G-6 Hedgerow Data'!$E$2:$I$2,0))))</f>
        <v/>
      </c>
      <c r="N62" s="261"/>
      <c r="O62" s="261"/>
      <c r="P62" s="179" t="str">
        <f t="shared" si="0"/>
        <v/>
      </c>
      <c r="Q62" s="262" t="str">
        <f t="shared" si="1"/>
        <v/>
      </c>
      <c r="R62" s="263" t="str">
        <f t="shared" si="2"/>
        <v/>
      </c>
      <c r="S62" s="239" t="str">
        <f>IF(D62="","",VLOOKUP(D62,'G-6 Hedgerow Data'!$B$3:$AG$15,31,FALSE))</f>
        <v/>
      </c>
      <c r="T62" s="179" t="str">
        <f t="shared" si="3"/>
        <v/>
      </c>
      <c r="U62" s="179" t="str">
        <f t="shared" si="4"/>
        <v/>
      </c>
      <c r="V62" s="176" t="str">
        <f>IF(D62="","",VLOOKUP(S62,'G-3 Multipliers'!$P$3:$Q$6,2,FALSE))</f>
        <v/>
      </c>
      <c r="W62" s="274" t="str">
        <f t="shared" si="5"/>
        <v/>
      </c>
      <c r="X62" s="180"/>
      <c r="Y62" s="181"/>
      <c r="AG62" s="35" t="str">
        <f>IFERROR(INDEX('G-6 Hedgerow Data'!$BJ$3:$BJ$15,MATCH(D62,'G-6 Hedgerow Data'!$B$3:$B$15,0)),"")</f>
        <v/>
      </c>
    </row>
    <row r="63" spans="2:33" ht="13.8" x14ac:dyDescent="0.25">
      <c r="B63" s="168">
        <v>52</v>
      </c>
      <c r="C63" s="278"/>
      <c r="D63" s="261"/>
      <c r="E63" s="213"/>
      <c r="F63" s="277" t="str">
        <f>IF(D63="","",VLOOKUP(D63,'G-6 Hedgerow Data'!$B$2:$AG$15,2,FALSE))</f>
        <v/>
      </c>
      <c r="G63" s="172" t="str">
        <f>IF(D63="","",VLOOKUP(D63,'G-6 Hedgerow Data'!$B$2:$AG$15,3,FALSE))</f>
        <v/>
      </c>
      <c r="H63" s="173"/>
      <c r="I63" s="172" t="str">
        <f>IFERROR(VLOOKUP(H63,'G-1 All Habitats'!$Z$2:$AA$9,2,FALSE),"")</f>
        <v/>
      </c>
      <c r="J63" s="173"/>
      <c r="K63" s="175" t="str">
        <f>IF(J63="","",IF(VLOOKUP(J63,'G-3 Multipliers'!$L$3:$N$6,2,FALSE)=0,"Spatial Data Missing",VLOOKUP(J63,'G-3 Multipliers'!$L$3:$N$6,2,FALSE)))</f>
        <v/>
      </c>
      <c r="L63" s="260" t="str">
        <f>IF(J63="","",IF(VLOOKUP(J63,'G-3 Multipliers'!$L$3:$N$6,3,FALSE)=0,"Spatial Data Missing",VLOOKUP(J63,'G-3 Multipliers'!$L$3:$N$6,3,FALSE)))</f>
        <v/>
      </c>
      <c r="M63" s="171" t="str">
        <f>IF(OR(D63="",H63=""),"",(INDEX('G-6 Hedgerow Data'!$E$3:$I$15,MATCH(D63,'G-6 Hedgerow Data'!$B$3:$B$15,0),MATCH(H63,'G-6 Hedgerow Data'!$E$2:$I$2,0))))</f>
        <v/>
      </c>
      <c r="N63" s="261"/>
      <c r="O63" s="261"/>
      <c r="P63" s="179" t="str">
        <f t="shared" si="0"/>
        <v/>
      </c>
      <c r="Q63" s="262" t="str">
        <f t="shared" si="1"/>
        <v/>
      </c>
      <c r="R63" s="263" t="str">
        <f t="shared" si="2"/>
        <v/>
      </c>
      <c r="S63" s="239" t="str">
        <f>IF(D63="","",VLOOKUP(D63,'G-6 Hedgerow Data'!$B$3:$AG$15,31,FALSE))</f>
        <v/>
      </c>
      <c r="T63" s="179" t="str">
        <f t="shared" si="3"/>
        <v/>
      </c>
      <c r="U63" s="179" t="str">
        <f t="shared" si="4"/>
        <v/>
      </c>
      <c r="V63" s="176" t="str">
        <f>IF(D63="","",VLOOKUP(S63,'G-3 Multipliers'!$P$3:$Q$6,2,FALSE))</f>
        <v/>
      </c>
      <c r="W63" s="274" t="str">
        <f t="shared" si="5"/>
        <v/>
      </c>
      <c r="X63" s="180"/>
      <c r="Y63" s="181"/>
      <c r="AG63" s="35" t="str">
        <f>IFERROR(INDEX('G-6 Hedgerow Data'!$BJ$3:$BJ$15,MATCH(D63,'G-6 Hedgerow Data'!$B$3:$B$15,0)),"")</f>
        <v/>
      </c>
    </row>
    <row r="64" spans="2:33" ht="13.8" x14ac:dyDescent="0.25">
      <c r="B64" s="168">
        <v>53</v>
      </c>
      <c r="C64" s="278"/>
      <c r="D64" s="261"/>
      <c r="E64" s="213"/>
      <c r="F64" s="277" t="str">
        <f>IF(D64="","",VLOOKUP(D64,'G-6 Hedgerow Data'!$B$2:$AG$15,2,FALSE))</f>
        <v/>
      </c>
      <c r="G64" s="172" t="str">
        <f>IF(D64="","",VLOOKUP(D64,'G-6 Hedgerow Data'!$B$2:$AG$15,3,FALSE))</f>
        <v/>
      </c>
      <c r="H64" s="173"/>
      <c r="I64" s="172" t="str">
        <f>IFERROR(VLOOKUP(H64,'G-1 All Habitats'!$Z$2:$AA$9,2,FALSE),"")</f>
        <v/>
      </c>
      <c r="J64" s="173"/>
      <c r="K64" s="175" t="str">
        <f>IF(J64="","",IF(VLOOKUP(J64,'G-3 Multipliers'!$L$3:$N$6,2,FALSE)=0,"Spatial Data Missing",VLOOKUP(J64,'G-3 Multipliers'!$L$3:$N$6,2,FALSE)))</f>
        <v/>
      </c>
      <c r="L64" s="260" t="str">
        <f>IF(J64="","",IF(VLOOKUP(J64,'G-3 Multipliers'!$L$3:$N$6,3,FALSE)=0,"Spatial Data Missing",VLOOKUP(J64,'G-3 Multipliers'!$L$3:$N$6,3,FALSE)))</f>
        <v/>
      </c>
      <c r="M64" s="171" t="str">
        <f>IF(OR(D64="",H64=""),"",(INDEX('G-6 Hedgerow Data'!$E$3:$I$15,MATCH(D64,'G-6 Hedgerow Data'!$B$3:$B$15,0),MATCH(H64,'G-6 Hedgerow Data'!$E$2:$I$2,0))))</f>
        <v/>
      </c>
      <c r="N64" s="261"/>
      <c r="O64" s="261"/>
      <c r="P64" s="179" t="str">
        <f t="shared" si="0"/>
        <v/>
      </c>
      <c r="Q64" s="262" t="str">
        <f t="shared" si="1"/>
        <v/>
      </c>
      <c r="R64" s="263" t="str">
        <f t="shared" si="2"/>
        <v/>
      </c>
      <c r="S64" s="239" t="str">
        <f>IF(D64="","",VLOOKUP(D64,'G-6 Hedgerow Data'!$B$3:$AG$15,31,FALSE))</f>
        <v/>
      </c>
      <c r="T64" s="179" t="str">
        <f t="shared" si="3"/>
        <v/>
      </c>
      <c r="U64" s="179" t="str">
        <f t="shared" si="4"/>
        <v/>
      </c>
      <c r="V64" s="176" t="str">
        <f>IF(D64="","",VLOOKUP(S64,'G-3 Multipliers'!$P$3:$Q$6,2,FALSE))</f>
        <v/>
      </c>
      <c r="W64" s="274" t="str">
        <f t="shared" si="5"/>
        <v/>
      </c>
      <c r="X64" s="180"/>
      <c r="Y64" s="181"/>
      <c r="AG64" s="35" t="str">
        <f>IFERROR(INDEX('G-6 Hedgerow Data'!$BJ$3:$BJ$15,MATCH(D64,'G-6 Hedgerow Data'!$B$3:$B$15,0)),"")</f>
        <v/>
      </c>
    </row>
    <row r="65" spans="2:33" ht="13.8" x14ac:dyDescent="0.25">
      <c r="B65" s="168">
        <v>54</v>
      </c>
      <c r="C65" s="278"/>
      <c r="D65" s="261"/>
      <c r="E65" s="213"/>
      <c r="F65" s="277" t="str">
        <f>IF(D65="","",VLOOKUP(D65,'G-6 Hedgerow Data'!$B$2:$AG$15,2,FALSE))</f>
        <v/>
      </c>
      <c r="G65" s="172" t="str">
        <f>IF(D65="","",VLOOKUP(D65,'G-6 Hedgerow Data'!$B$2:$AG$15,3,FALSE))</f>
        <v/>
      </c>
      <c r="H65" s="173"/>
      <c r="I65" s="172" t="str">
        <f>IFERROR(VLOOKUP(H65,'G-1 All Habitats'!$Z$2:$AA$9,2,FALSE),"")</f>
        <v/>
      </c>
      <c r="J65" s="173"/>
      <c r="K65" s="175" t="str">
        <f>IF(J65="","",IF(VLOOKUP(J65,'G-3 Multipliers'!$L$3:$N$6,2,FALSE)=0,"Spatial Data Missing",VLOOKUP(J65,'G-3 Multipliers'!$L$3:$N$6,2,FALSE)))</f>
        <v/>
      </c>
      <c r="L65" s="260" t="str">
        <f>IF(J65="","",IF(VLOOKUP(J65,'G-3 Multipliers'!$L$3:$N$6,3,FALSE)=0,"Spatial Data Missing",VLOOKUP(J65,'G-3 Multipliers'!$L$3:$N$6,3,FALSE)))</f>
        <v/>
      </c>
      <c r="M65" s="171" t="str">
        <f>IF(OR(D65="",H65=""),"",(INDEX('G-6 Hedgerow Data'!$E$3:$I$15,MATCH(D65,'G-6 Hedgerow Data'!$B$3:$B$15,0),MATCH(H65,'G-6 Hedgerow Data'!$E$2:$I$2,0))))</f>
        <v/>
      </c>
      <c r="N65" s="261"/>
      <c r="O65" s="261"/>
      <c r="P65" s="179" t="str">
        <f t="shared" si="0"/>
        <v/>
      </c>
      <c r="Q65" s="262" t="str">
        <f t="shared" si="1"/>
        <v/>
      </c>
      <c r="R65" s="263" t="str">
        <f t="shared" si="2"/>
        <v/>
      </c>
      <c r="S65" s="239" t="str">
        <f>IF(D65="","",VLOOKUP(D65,'G-6 Hedgerow Data'!$B$3:$AG$15,31,FALSE))</f>
        <v/>
      </c>
      <c r="T65" s="179" t="str">
        <f t="shared" si="3"/>
        <v/>
      </c>
      <c r="U65" s="179" t="str">
        <f t="shared" si="4"/>
        <v/>
      </c>
      <c r="V65" s="176" t="str">
        <f>IF(D65="","",VLOOKUP(S65,'G-3 Multipliers'!$P$3:$Q$6,2,FALSE))</f>
        <v/>
      </c>
      <c r="W65" s="274" t="str">
        <f t="shared" si="5"/>
        <v/>
      </c>
      <c r="X65" s="180"/>
      <c r="Y65" s="181"/>
      <c r="AG65" s="35" t="str">
        <f>IFERROR(INDEX('G-6 Hedgerow Data'!$BJ$3:$BJ$15,MATCH(D65,'G-6 Hedgerow Data'!$B$3:$B$15,0)),"")</f>
        <v/>
      </c>
    </row>
    <row r="66" spans="2:33" ht="13.8" x14ac:dyDescent="0.25">
      <c r="B66" s="168">
        <v>55</v>
      </c>
      <c r="C66" s="278"/>
      <c r="D66" s="261"/>
      <c r="E66" s="213"/>
      <c r="F66" s="277" t="str">
        <f>IF(D66="","",VLOOKUP(D66,'G-6 Hedgerow Data'!$B$2:$AG$15,2,FALSE))</f>
        <v/>
      </c>
      <c r="G66" s="172" t="str">
        <f>IF(D66="","",VLOOKUP(D66,'G-6 Hedgerow Data'!$B$2:$AG$15,3,FALSE))</f>
        <v/>
      </c>
      <c r="H66" s="173"/>
      <c r="I66" s="172" t="str">
        <f>IFERROR(VLOOKUP(H66,'G-1 All Habitats'!$Z$2:$AA$9,2,FALSE),"")</f>
        <v/>
      </c>
      <c r="J66" s="173"/>
      <c r="K66" s="175" t="str">
        <f>IF(J66="","",IF(VLOOKUP(J66,'G-3 Multipliers'!$L$3:$N$6,2,FALSE)=0,"Spatial Data Missing",VLOOKUP(J66,'G-3 Multipliers'!$L$3:$N$6,2,FALSE)))</f>
        <v/>
      </c>
      <c r="L66" s="260" t="str">
        <f>IF(J66="","",IF(VLOOKUP(J66,'G-3 Multipliers'!$L$3:$N$6,3,FALSE)=0,"Spatial Data Missing",VLOOKUP(J66,'G-3 Multipliers'!$L$3:$N$6,3,FALSE)))</f>
        <v/>
      </c>
      <c r="M66" s="171" t="str">
        <f>IF(OR(D66="",H66=""),"",(INDEX('G-6 Hedgerow Data'!$E$3:$I$15,MATCH(D66,'G-6 Hedgerow Data'!$B$3:$B$15,0),MATCH(H66,'G-6 Hedgerow Data'!$E$2:$I$2,0))))</f>
        <v/>
      </c>
      <c r="N66" s="261"/>
      <c r="O66" s="261"/>
      <c r="P66" s="179" t="str">
        <f t="shared" si="0"/>
        <v/>
      </c>
      <c r="Q66" s="262" t="str">
        <f t="shared" si="1"/>
        <v/>
      </c>
      <c r="R66" s="263" t="str">
        <f t="shared" si="2"/>
        <v/>
      </c>
      <c r="S66" s="239" t="str">
        <f>IF(D66="","",VLOOKUP(D66,'G-6 Hedgerow Data'!$B$3:$AG$15,31,FALSE))</f>
        <v/>
      </c>
      <c r="T66" s="179" t="str">
        <f t="shared" si="3"/>
        <v/>
      </c>
      <c r="U66" s="179" t="str">
        <f t="shared" si="4"/>
        <v/>
      </c>
      <c r="V66" s="176" t="str">
        <f>IF(D66="","",VLOOKUP(S66,'G-3 Multipliers'!$P$3:$Q$6,2,FALSE))</f>
        <v/>
      </c>
      <c r="W66" s="274" t="str">
        <f t="shared" si="5"/>
        <v/>
      </c>
      <c r="X66" s="180"/>
      <c r="Y66" s="181"/>
      <c r="AG66" s="35" t="str">
        <f>IFERROR(INDEX('G-6 Hedgerow Data'!$BJ$3:$BJ$15,MATCH(D66,'G-6 Hedgerow Data'!$B$3:$B$15,0)),"")</f>
        <v/>
      </c>
    </row>
    <row r="67" spans="2:33" ht="13.8" x14ac:dyDescent="0.25">
      <c r="B67" s="168">
        <v>56</v>
      </c>
      <c r="C67" s="278"/>
      <c r="D67" s="261"/>
      <c r="E67" s="213"/>
      <c r="F67" s="277" t="str">
        <f>IF(D67="","",VLOOKUP(D67,'G-6 Hedgerow Data'!$B$2:$AG$15,2,FALSE))</f>
        <v/>
      </c>
      <c r="G67" s="172" t="str">
        <f>IF(D67="","",VLOOKUP(D67,'G-6 Hedgerow Data'!$B$2:$AG$15,3,FALSE))</f>
        <v/>
      </c>
      <c r="H67" s="173"/>
      <c r="I67" s="172" t="str">
        <f>IFERROR(VLOOKUP(H67,'G-1 All Habitats'!$Z$2:$AA$9,2,FALSE),"")</f>
        <v/>
      </c>
      <c r="J67" s="173"/>
      <c r="K67" s="175" t="str">
        <f>IF(J67="","",IF(VLOOKUP(J67,'G-3 Multipliers'!$L$3:$N$6,2,FALSE)=0,"Spatial Data Missing",VLOOKUP(J67,'G-3 Multipliers'!$L$3:$N$6,2,FALSE)))</f>
        <v/>
      </c>
      <c r="L67" s="260" t="str">
        <f>IF(J67="","",IF(VLOOKUP(J67,'G-3 Multipliers'!$L$3:$N$6,3,FALSE)=0,"Spatial Data Missing",VLOOKUP(J67,'G-3 Multipliers'!$L$3:$N$6,3,FALSE)))</f>
        <v/>
      </c>
      <c r="M67" s="171" t="str">
        <f>IF(OR(D67="",H67=""),"",(INDEX('G-6 Hedgerow Data'!$E$3:$I$15,MATCH(D67,'G-6 Hedgerow Data'!$B$3:$B$15,0),MATCH(H67,'G-6 Hedgerow Data'!$E$2:$I$2,0))))</f>
        <v/>
      </c>
      <c r="N67" s="261"/>
      <c r="O67" s="261"/>
      <c r="P67" s="179" t="str">
        <f t="shared" si="0"/>
        <v/>
      </c>
      <c r="Q67" s="262" t="str">
        <f t="shared" si="1"/>
        <v/>
      </c>
      <c r="R67" s="263" t="str">
        <f t="shared" si="2"/>
        <v/>
      </c>
      <c r="S67" s="239" t="str">
        <f>IF(D67="","",VLOOKUP(D67,'G-6 Hedgerow Data'!$B$3:$AG$15,31,FALSE))</f>
        <v/>
      </c>
      <c r="T67" s="179" t="str">
        <f t="shared" si="3"/>
        <v/>
      </c>
      <c r="U67" s="179" t="str">
        <f t="shared" si="4"/>
        <v/>
      </c>
      <c r="V67" s="176" t="str">
        <f>IF(D67="","",VLOOKUP(S67,'G-3 Multipliers'!$P$3:$Q$6,2,FALSE))</f>
        <v/>
      </c>
      <c r="W67" s="274" t="str">
        <f t="shared" si="5"/>
        <v/>
      </c>
      <c r="X67" s="180"/>
      <c r="Y67" s="181"/>
      <c r="AG67" s="35" t="str">
        <f>IFERROR(INDEX('G-6 Hedgerow Data'!$BJ$3:$BJ$15,MATCH(D67,'G-6 Hedgerow Data'!$B$3:$B$15,0)),"")</f>
        <v/>
      </c>
    </row>
    <row r="68" spans="2:33" ht="13.8" x14ac:dyDescent="0.25">
      <c r="B68" s="168">
        <v>57</v>
      </c>
      <c r="C68" s="278"/>
      <c r="D68" s="261"/>
      <c r="E68" s="213"/>
      <c r="F68" s="277" t="str">
        <f>IF(D68="","",VLOOKUP(D68,'G-6 Hedgerow Data'!$B$2:$AG$15,2,FALSE))</f>
        <v/>
      </c>
      <c r="G68" s="172" t="str">
        <f>IF(D68="","",VLOOKUP(D68,'G-6 Hedgerow Data'!$B$2:$AG$15,3,FALSE))</f>
        <v/>
      </c>
      <c r="H68" s="173"/>
      <c r="I68" s="172" t="str">
        <f>IFERROR(VLOOKUP(H68,'G-1 All Habitats'!$Z$2:$AA$9,2,FALSE),"")</f>
        <v/>
      </c>
      <c r="J68" s="173"/>
      <c r="K68" s="175" t="str">
        <f>IF(J68="","",IF(VLOOKUP(J68,'G-3 Multipliers'!$L$3:$N$6,2,FALSE)=0,"Spatial Data Missing",VLOOKUP(J68,'G-3 Multipliers'!$L$3:$N$6,2,FALSE)))</f>
        <v/>
      </c>
      <c r="L68" s="260" t="str">
        <f>IF(J68="","",IF(VLOOKUP(J68,'G-3 Multipliers'!$L$3:$N$6,3,FALSE)=0,"Spatial Data Missing",VLOOKUP(J68,'G-3 Multipliers'!$L$3:$N$6,3,FALSE)))</f>
        <v/>
      </c>
      <c r="M68" s="171" t="str">
        <f>IF(OR(D68="",H68=""),"",(INDEX('G-6 Hedgerow Data'!$E$3:$I$15,MATCH(D68,'G-6 Hedgerow Data'!$B$3:$B$15,0),MATCH(H68,'G-6 Hedgerow Data'!$E$2:$I$2,0))))</f>
        <v/>
      </c>
      <c r="N68" s="261"/>
      <c r="O68" s="261"/>
      <c r="P68" s="179" t="str">
        <f t="shared" si="0"/>
        <v/>
      </c>
      <c r="Q68" s="262" t="str">
        <f t="shared" si="1"/>
        <v/>
      </c>
      <c r="R68" s="263" t="str">
        <f t="shared" si="2"/>
        <v/>
      </c>
      <c r="S68" s="239" t="str">
        <f>IF(D68="","",VLOOKUP(D68,'G-6 Hedgerow Data'!$B$3:$AG$15,31,FALSE))</f>
        <v/>
      </c>
      <c r="T68" s="179" t="str">
        <f t="shared" si="3"/>
        <v/>
      </c>
      <c r="U68" s="179" t="str">
        <f t="shared" si="4"/>
        <v/>
      </c>
      <c r="V68" s="176" t="str">
        <f>IF(D68="","",VLOOKUP(S68,'G-3 Multipliers'!$P$3:$Q$6,2,FALSE))</f>
        <v/>
      </c>
      <c r="W68" s="274" t="str">
        <f t="shared" si="5"/>
        <v/>
      </c>
      <c r="X68" s="180"/>
      <c r="Y68" s="181"/>
      <c r="AG68" s="35" t="str">
        <f>IFERROR(INDEX('G-6 Hedgerow Data'!$BJ$3:$BJ$15,MATCH(D68,'G-6 Hedgerow Data'!$B$3:$B$15,0)),"")</f>
        <v/>
      </c>
    </row>
    <row r="69" spans="2:33" ht="13.8" x14ac:dyDescent="0.25">
      <c r="B69" s="168">
        <v>58</v>
      </c>
      <c r="C69" s="278"/>
      <c r="D69" s="261"/>
      <c r="E69" s="213"/>
      <c r="F69" s="277" t="str">
        <f>IF(D69="","",VLOOKUP(D69,'G-6 Hedgerow Data'!$B$2:$AG$15,2,FALSE))</f>
        <v/>
      </c>
      <c r="G69" s="172" t="str">
        <f>IF(D69="","",VLOOKUP(D69,'G-6 Hedgerow Data'!$B$2:$AG$15,3,FALSE))</f>
        <v/>
      </c>
      <c r="H69" s="173"/>
      <c r="I69" s="172" t="str">
        <f>IFERROR(VLOOKUP(H69,'G-1 All Habitats'!$Z$2:$AA$9,2,FALSE),"")</f>
        <v/>
      </c>
      <c r="J69" s="173"/>
      <c r="K69" s="175" t="str">
        <f>IF(J69="","",IF(VLOOKUP(J69,'G-3 Multipliers'!$L$3:$N$6,2,FALSE)=0,"Spatial Data Missing",VLOOKUP(J69,'G-3 Multipliers'!$L$3:$N$6,2,FALSE)))</f>
        <v/>
      </c>
      <c r="L69" s="260" t="str">
        <f>IF(J69="","",IF(VLOOKUP(J69,'G-3 Multipliers'!$L$3:$N$6,3,FALSE)=0,"Spatial Data Missing",VLOOKUP(J69,'G-3 Multipliers'!$L$3:$N$6,3,FALSE)))</f>
        <v/>
      </c>
      <c r="M69" s="171" t="str">
        <f>IF(OR(D69="",H69=""),"",(INDEX('G-6 Hedgerow Data'!$E$3:$I$15,MATCH(D69,'G-6 Hedgerow Data'!$B$3:$B$15,0),MATCH(H69,'G-6 Hedgerow Data'!$E$2:$I$2,0))))</f>
        <v/>
      </c>
      <c r="N69" s="261"/>
      <c r="O69" s="261"/>
      <c r="P69" s="179" t="str">
        <f t="shared" si="0"/>
        <v/>
      </c>
      <c r="Q69" s="262" t="str">
        <f t="shared" si="1"/>
        <v/>
      </c>
      <c r="R69" s="263" t="str">
        <f t="shared" si="2"/>
        <v/>
      </c>
      <c r="S69" s="239" t="str">
        <f>IF(D69="","",VLOOKUP(D69,'G-6 Hedgerow Data'!$B$3:$AG$15,31,FALSE))</f>
        <v/>
      </c>
      <c r="T69" s="179" t="str">
        <f t="shared" si="3"/>
        <v/>
      </c>
      <c r="U69" s="179" t="str">
        <f t="shared" si="4"/>
        <v/>
      </c>
      <c r="V69" s="176" t="str">
        <f>IF(D69="","",VLOOKUP(S69,'G-3 Multipliers'!$P$3:$Q$6,2,FALSE))</f>
        <v/>
      </c>
      <c r="W69" s="274" t="str">
        <f t="shared" si="5"/>
        <v/>
      </c>
      <c r="X69" s="180"/>
      <c r="Y69" s="181"/>
      <c r="AG69" s="35" t="str">
        <f>IFERROR(INDEX('G-6 Hedgerow Data'!$BJ$3:$BJ$15,MATCH(D69,'G-6 Hedgerow Data'!$B$3:$B$15,0)),"")</f>
        <v/>
      </c>
    </row>
    <row r="70" spans="2:33" ht="13.8" x14ac:dyDescent="0.25">
      <c r="B70" s="168">
        <v>59</v>
      </c>
      <c r="C70" s="278"/>
      <c r="D70" s="261"/>
      <c r="E70" s="213"/>
      <c r="F70" s="277" t="str">
        <f>IF(D70="","",VLOOKUP(D70,'G-6 Hedgerow Data'!$B$2:$AG$15,2,FALSE))</f>
        <v/>
      </c>
      <c r="G70" s="172" t="str">
        <f>IF(D70="","",VLOOKUP(D70,'G-6 Hedgerow Data'!$B$2:$AG$15,3,FALSE))</f>
        <v/>
      </c>
      <c r="H70" s="173"/>
      <c r="I70" s="172" t="str">
        <f>IFERROR(VLOOKUP(H70,'G-1 All Habitats'!$Z$2:$AA$9,2,FALSE),"")</f>
        <v/>
      </c>
      <c r="J70" s="173"/>
      <c r="K70" s="175" t="str">
        <f>IF(J70="","",IF(VLOOKUP(J70,'G-3 Multipliers'!$L$3:$N$6,2,FALSE)=0,"Spatial Data Missing",VLOOKUP(J70,'G-3 Multipliers'!$L$3:$N$6,2,FALSE)))</f>
        <v/>
      </c>
      <c r="L70" s="260" t="str">
        <f>IF(J70="","",IF(VLOOKUP(J70,'G-3 Multipliers'!$L$3:$N$6,3,FALSE)=0,"Spatial Data Missing",VLOOKUP(J70,'G-3 Multipliers'!$L$3:$N$6,3,FALSE)))</f>
        <v/>
      </c>
      <c r="M70" s="171" t="str">
        <f>IF(OR(D70="",H70=""),"",(INDEX('G-6 Hedgerow Data'!$E$3:$I$15,MATCH(D70,'G-6 Hedgerow Data'!$B$3:$B$15,0),MATCH(H70,'G-6 Hedgerow Data'!$E$2:$I$2,0))))</f>
        <v/>
      </c>
      <c r="N70" s="261"/>
      <c r="O70" s="261"/>
      <c r="P70" s="179" t="str">
        <f t="shared" si="0"/>
        <v/>
      </c>
      <c r="Q70" s="262" t="str">
        <f t="shared" si="1"/>
        <v/>
      </c>
      <c r="R70" s="263" t="str">
        <f t="shared" si="2"/>
        <v/>
      </c>
      <c r="S70" s="239" t="str">
        <f>IF(D70="","",VLOOKUP(D70,'G-6 Hedgerow Data'!$B$3:$AG$15,31,FALSE))</f>
        <v/>
      </c>
      <c r="T70" s="179" t="str">
        <f t="shared" si="3"/>
        <v/>
      </c>
      <c r="U70" s="179" t="str">
        <f t="shared" si="4"/>
        <v/>
      </c>
      <c r="V70" s="176" t="str">
        <f>IF(D70="","",VLOOKUP(S70,'G-3 Multipliers'!$P$3:$Q$6,2,FALSE))</f>
        <v/>
      </c>
      <c r="W70" s="274" t="str">
        <f t="shared" si="5"/>
        <v/>
      </c>
      <c r="X70" s="180"/>
      <c r="Y70" s="181"/>
      <c r="AG70" s="35" t="str">
        <f>IFERROR(INDEX('G-6 Hedgerow Data'!$BJ$3:$BJ$15,MATCH(D70,'G-6 Hedgerow Data'!$B$3:$B$15,0)),"")</f>
        <v/>
      </c>
    </row>
    <row r="71" spans="2:33" ht="13.8" x14ac:dyDescent="0.25">
      <c r="B71" s="168">
        <v>60</v>
      </c>
      <c r="C71" s="278"/>
      <c r="D71" s="261"/>
      <c r="E71" s="213"/>
      <c r="F71" s="277" t="str">
        <f>IF(D71="","",VLOOKUP(D71,'G-6 Hedgerow Data'!$B$2:$AG$15,2,FALSE))</f>
        <v/>
      </c>
      <c r="G71" s="172" t="str">
        <f>IF(D71="","",VLOOKUP(D71,'G-6 Hedgerow Data'!$B$2:$AG$15,3,FALSE))</f>
        <v/>
      </c>
      <c r="H71" s="173"/>
      <c r="I71" s="172" t="str">
        <f>IFERROR(VLOOKUP(H71,'G-1 All Habitats'!$Z$2:$AA$9,2,FALSE),"")</f>
        <v/>
      </c>
      <c r="J71" s="173"/>
      <c r="K71" s="175" t="str">
        <f>IF(J71="","",IF(VLOOKUP(J71,'G-3 Multipliers'!$L$3:$N$6,2,FALSE)=0,"Spatial Data Missing",VLOOKUP(J71,'G-3 Multipliers'!$L$3:$N$6,2,FALSE)))</f>
        <v/>
      </c>
      <c r="L71" s="260" t="str">
        <f>IF(J71="","",IF(VLOOKUP(J71,'G-3 Multipliers'!$L$3:$N$6,3,FALSE)=0,"Spatial Data Missing",VLOOKUP(J71,'G-3 Multipliers'!$L$3:$N$6,3,FALSE)))</f>
        <v/>
      </c>
      <c r="M71" s="171" t="str">
        <f>IF(OR(D71="",H71=""),"",(INDEX('G-6 Hedgerow Data'!$E$3:$I$15,MATCH(D71,'G-6 Hedgerow Data'!$B$3:$B$15,0),MATCH(H71,'G-6 Hedgerow Data'!$E$2:$I$2,0))))</f>
        <v/>
      </c>
      <c r="N71" s="261"/>
      <c r="O71" s="261"/>
      <c r="P71" s="179" t="str">
        <f t="shared" si="0"/>
        <v/>
      </c>
      <c r="Q71" s="262" t="str">
        <f t="shared" si="1"/>
        <v/>
      </c>
      <c r="R71" s="263" t="str">
        <f t="shared" si="2"/>
        <v/>
      </c>
      <c r="S71" s="239" t="str">
        <f>IF(D71="","",VLOOKUP(D71,'G-6 Hedgerow Data'!$B$3:$AG$15,31,FALSE))</f>
        <v/>
      </c>
      <c r="T71" s="179" t="str">
        <f t="shared" si="3"/>
        <v/>
      </c>
      <c r="U71" s="179" t="str">
        <f t="shared" si="4"/>
        <v/>
      </c>
      <c r="V71" s="176" t="str">
        <f>IF(D71="","",VLOOKUP(S71,'G-3 Multipliers'!$P$3:$Q$6,2,FALSE))</f>
        <v/>
      </c>
      <c r="W71" s="274" t="str">
        <f t="shared" si="5"/>
        <v/>
      </c>
      <c r="X71" s="180"/>
      <c r="Y71" s="181"/>
      <c r="AG71" s="35" t="str">
        <f>IFERROR(INDEX('G-6 Hedgerow Data'!$BJ$3:$BJ$15,MATCH(D71,'G-6 Hedgerow Data'!$B$3:$B$15,0)),"")</f>
        <v/>
      </c>
    </row>
    <row r="72" spans="2:33" ht="13.8" x14ac:dyDescent="0.25">
      <c r="B72" s="168">
        <v>61</v>
      </c>
      <c r="C72" s="278"/>
      <c r="D72" s="261"/>
      <c r="E72" s="213"/>
      <c r="F72" s="277" t="str">
        <f>IF(D72="","",VLOOKUP(D72,'G-6 Hedgerow Data'!$B$2:$AG$15,2,FALSE))</f>
        <v/>
      </c>
      <c r="G72" s="172" t="str">
        <f>IF(D72="","",VLOOKUP(D72,'G-6 Hedgerow Data'!$B$2:$AG$15,3,FALSE))</f>
        <v/>
      </c>
      <c r="H72" s="173"/>
      <c r="I72" s="172" t="str">
        <f>IFERROR(VLOOKUP(H72,'G-1 All Habitats'!$Z$2:$AA$9,2,FALSE),"")</f>
        <v/>
      </c>
      <c r="J72" s="173"/>
      <c r="K72" s="175" t="str">
        <f>IF(J72="","",IF(VLOOKUP(J72,'G-3 Multipliers'!$L$3:$N$6,2,FALSE)=0,"Spatial Data Missing",VLOOKUP(J72,'G-3 Multipliers'!$L$3:$N$6,2,FALSE)))</f>
        <v/>
      </c>
      <c r="L72" s="260" t="str">
        <f>IF(J72="","",IF(VLOOKUP(J72,'G-3 Multipliers'!$L$3:$N$6,3,FALSE)=0,"Spatial Data Missing",VLOOKUP(J72,'G-3 Multipliers'!$L$3:$N$6,3,FALSE)))</f>
        <v/>
      </c>
      <c r="M72" s="171" t="str">
        <f>IF(OR(D72="",H72=""),"",(INDEX('G-6 Hedgerow Data'!$E$3:$I$15,MATCH(D72,'G-6 Hedgerow Data'!$B$3:$B$15,0),MATCH(H72,'G-6 Hedgerow Data'!$E$2:$I$2,0))))</f>
        <v/>
      </c>
      <c r="N72" s="261"/>
      <c r="O72" s="261"/>
      <c r="P72" s="179" t="str">
        <f t="shared" si="0"/>
        <v/>
      </c>
      <c r="Q72" s="262" t="str">
        <f t="shared" si="1"/>
        <v/>
      </c>
      <c r="R72" s="263" t="str">
        <f t="shared" si="2"/>
        <v/>
      </c>
      <c r="S72" s="239" t="str">
        <f>IF(D72="","",VLOOKUP(D72,'G-6 Hedgerow Data'!$B$3:$AG$15,31,FALSE))</f>
        <v/>
      </c>
      <c r="T72" s="179" t="str">
        <f t="shared" si="3"/>
        <v/>
      </c>
      <c r="U72" s="179" t="str">
        <f t="shared" si="4"/>
        <v/>
      </c>
      <c r="V72" s="176" t="str">
        <f>IF(D72="","",VLOOKUP(S72,'G-3 Multipliers'!$P$3:$Q$6,2,FALSE))</f>
        <v/>
      </c>
      <c r="W72" s="274" t="str">
        <f t="shared" si="5"/>
        <v/>
      </c>
      <c r="X72" s="180"/>
      <c r="Y72" s="181"/>
      <c r="AG72" s="35" t="str">
        <f>IFERROR(INDEX('G-6 Hedgerow Data'!$BJ$3:$BJ$15,MATCH(D72,'G-6 Hedgerow Data'!$B$3:$B$15,0)),"")</f>
        <v/>
      </c>
    </row>
    <row r="73" spans="2:33" ht="13.8" x14ac:dyDescent="0.25">
      <c r="B73" s="168">
        <v>62</v>
      </c>
      <c r="C73" s="278"/>
      <c r="D73" s="261"/>
      <c r="E73" s="213"/>
      <c r="F73" s="277" t="str">
        <f>IF(D73="","",VLOOKUP(D73,'G-6 Hedgerow Data'!$B$2:$AG$15,2,FALSE))</f>
        <v/>
      </c>
      <c r="G73" s="172" t="str">
        <f>IF(D73="","",VLOOKUP(D73,'G-6 Hedgerow Data'!$B$2:$AG$15,3,FALSE))</f>
        <v/>
      </c>
      <c r="H73" s="173"/>
      <c r="I73" s="172" t="str">
        <f>IFERROR(VLOOKUP(H73,'G-1 All Habitats'!$Z$2:$AA$9,2,FALSE),"")</f>
        <v/>
      </c>
      <c r="J73" s="173"/>
      <c r="K73" s="175" t="str">
        <f>IF(J73="","",IF(VLOOKUP(J73,'G-3 Multipliers'!$L$3:$N$6,2,FALSE)=0,"Spatial Data Missing",VLOOKUP(J73,'G-3 Multipliers'!$L$3:$N$6,2,FALSE)))</f>
        <v/>
      </c>
      <c r="L73" s="260" t="str">
        <f>IF(J73="","",IF(VLOOKUP(J73,'G-3 Multipliers'!$L$3:$N$6,3,FALSE)=0,"Spatial Data Missing",VLOOKUP(J73,'G-3 Multipliers'!$L$3:$N$6,3,FALSE)))</f>
        <v/>
      </c>
      <c r="M73" s="171" t="str">
        <f>IF(OR(D73="",H73=""),"",(INDEX('G-6 Hedgerow Data'!$E$3:$I$15,MATCH(D73,'G-6 Hedgerow Data'!$B$3:$B$15,0),MATCH(H73,'G-6 Hedgerow Data'!$E$2:$I$2,0))))</f>
        <v/>
      </c>
      <c r="N73" s="261"/>
      <c r="O73" s="261"/>
      <c r="P73" s="179" t="str">
        <f t="shared" si="0"/>
        <v/>
      </c>
      <c r="Q73" s="262" t="str">
        <f t="shared" si="1"/>
        <v/>
      </c>
      <c r="R73" s="263" t="str">
        <f t="shared" si="2"/>
        <v/>
      </c>
      <c r="S73" s="239" t="str">
        <f>IF(D73="","",VLOOKUP(D73,'G-6 Hedgerow Data'!$B$3:$AG$15,31,FALSE))</f>
        <v/>
      </c>
      <c r="T73" s="179" t="str">
        <f t="shared" si="3"/>
        <v/>
      </c>
      <c r="U73" s="179" t="str">
        <f t="shared" si="4"/>
        <v/>
      </c>
      <c r="V73" s="176" t="str">
        <f>IF(D73="","",VLOOKUP(S73,'G-3 Multipliers'!$P$3:$Q$6,2,FALSE))</f>
        <v/>
      </c>
      <c r="W73" s="274" t="str">
        <f t="shared" si="5"/>
        <v/>
      </c>
      <c r="X73" s="180"/>
      <c r="Y73" s="181"/>
      <c r="AG73" s="35" t="str">
        <f>IFERROR(INDEX('G-6 Hedgerow Data'!$BJ$3:$BJ$15,MATCH(D73,'G-6 Hedgerow Data'!$B$3:$B$15,0)),"")</f>
        <v/>
      </c>
    </row>
    <row r="74" spans="2:33" ht="13.8" x14ac:dyDescent="0.25">
      <c r="B74" s="168">
        <v>63</v>
      </c>
      <c r="C74" s="278"/>
      <c r="D74" s="261"/>
      <c r="E74" s="213"/>
      <c r="F74" s="277" t="str">
        <f>IF(D74="","",VLOOKUP(D74,'G-6 Hedgerow Data'!$B$2:$AG$15,2,FALSE))</f>
        <v/>
      </c>
      <c r="G74" s="172" t="str">
        <f>IF(D74="","",VLOOKUP(D74,'G-6 Hedgerow Data'!$B$2:$AG$15,3,FALSE))</f>
        <v/>
      </c>
      <c r="H74" s="173"/>
      <c r="I74" s="172" t="str">
        <f>IFERROR(VLOOKUP(H74,'G-1 All Habitats'!$Z$2:$AA$9,2,FALSE),"")</f>
        <v/>
      </c>
      <c r="J74" s="173"/>
      <c r="K74" s="175" t="str">
        <f>IF(J74="","",IF(VLOOKUP(J74,'G-3 Multipliers'!$L$3:$N$6,2,FALSE)=0,"Spatial Data Missing",VLOOKUP(J74,'G-3 Multipliers'!$L$3:$N$6,2,FALSE)))</f>
        <v/>
      </c>
      <c r="L74" s="260" t="str">
        <f>IF(J74="","",IF(VLOOKUP(J74,'G-3 Multipliers'!$L$3:$N$6,3,FALSE)=0,"Spatial Data Missing",VLOOKUP(J74,'G-3 Multipliers'!$L$3:$N$6,3,FALSE)))</f>
        <v/>
      </c>
      <c r="M74" s="171" t="str">
        <f>IF(OR(D74="",H74=""),"",(INDEX('G-6 Hedgerow Data'!$E$3:$I$15,MATCH(D74,'G-6 Hedgerow Data'!$B$3:$B$15,0),MATCH(H74,'G-6 Hedgerow Data'!$E$2:$I$2,0))))</f>
        <v/>
      </c>
      <c r="N74" s="261"/>
      <c r="O74" s="261"/>
      <c r="P74" s="179" t="str">
        <f t="shared" si="0"/>
        <v/>
      </c>
      <c r="Q74" s="262" t="str">
        <f t="shared" si="1"/>
        <v/>
      </c>
      <c r="R74" s="263" t="str">
        <f t="shared" si="2"/>
        <v/>
      </c>
      <c r="S74" s="239" t="str">
        <f>IF(D74="","",VLOOKUP(D74,'G-6 Hedgerow Data'!$B$3:$AG$15,31,FALSE))</f>
        <v/>
      </c>
      <c r="T74" s="179" t="str">
        <f t="shared" si="3"/>
        <v/>
      </c>
      <c r="U74" s="179" t="str">
        <f t="shared" si="4"/>
        <v/>
      </c>
      <c r="V74" s="176" t="str">
        <f>IF(D74="","",VLOOKUP(S74,'G-3 Multipliers'!$P$3:$Q$6,2,FALSE))</f>
        <v/>
      </c>
      <c r="W74" s="274" t="str">
        <f t="shared" si="5"/>
        <v/>
      </c>
      <c r="X74" s="180"/>
      <c r="Y74" s="181"/>
      <c r="AG74" s="35" t="str">
        <f>IFERROR(INDEX('G-6 Hedgerow Data'!$BJ$3:$BJ$15,MATCH(D74,'G-6 Hedgerow Data'!$B$3:$B$15,0)),"")</f>
        <v/>
      </c>
    </row>
    <row r="75" spans="2:33" ht="13.8" x14ac:dyDescent="0.25">
      <c r="B75" s="168">
        <v>64</v>
      </c>
      <c r="C75" s="278"/>
      <c r="D75" s="261"/>
      <c r="E75" s="213"/>
      <c r="F75" s="277" t="str">
        <f>IF(D75="","",VLOOKUP(D75,'G-6 Hedgerow Data'!$B$2:$AG$15,2,FALSE))</f>
        <v/>
      </c>
      <c r="G75" s="172" t="str">
        <f>IF(D75="","",VLOOKUP(D75,'G-6 Hedgerow Data'!$B$2:$AG$15,3,FALSE))</f>
        <v/>
      </c>
      <c r="H75" s="173"/>
      <c r="I75" s="172" t="str">
        <f>IFERROR(VLOOKUP(H75,'G-1 All Habitats'!$Z$2:$AA$9,2,FALSE),"")</f>
        <v/>
      </c>
      <c r="J75" s="173"/>
      <c r="K75" s="175" t="str">
        <f>IF(J75="","",IF(VLOOKUP(J75,'G-3 Multipliers'!$L$3:$N$6,2,FALSE)=0,"Spatial Data Missing",VLOOKUP(J75,'G-3 Multipliers'!$L$3:$N$6,2,FALSE)))</f>
        <v/>
      </c>
      <c r="L75" s="260" t="str">
        <f>IF(J75="","",IF(VLOOKUP(J75,'G-3 Multipliers'!$L$3:$N$6,3,FALSE)=0,"Spatial Data Missing",VLOOKUP(J75,'G-3 Multipliers'!$L$3:$N$6,3,FALSE)))</f>
        <v/>
      </c>
      <c r="M75" s="171" t="str">
        <f>IF(OR(D75="",H75=""),"",(INDEX('G-6 Hedgerow Data'!$E$3:$I$15,MATCH(D75,'G-6 Hedgerow Data'!$B$3:$B$15,0),MATCH(H75,'G-6 Hedgerow Data'!$E$2:$I$2,0))))</f>
        <v/>
      </c>
      <c r="N75" s="261"/>
      <c r="O75" s="261"/>
      <c r="P75" s="179" t="str">
        <f t="shared" si="0"/>
        <v/>
      </c>
      <c r="Q75" s="262" t="str">
        <f t="shared" si="1"/>
        <v/>
      </c>
      <c r="R75" s="263" t="str">
        <f t="shared" si="2"/>
        <v/>
      </c>
      <c r="S75" s="239" t="str">
        <f>IF(D75="","",VLOOKUP(D75,'G-6 Hedgerow Data'!$B$3:$AG$15,31,FALSE))</f>
        <v/>
      </c>
      <c r="T75" s="179" t="str">
        <f t="shared" si="3"/>
        <v/>
      </c>
      <c r="U75" s="179" t="str">
        <f t="shared" si="4"/>
        <v/>
      </c>
      <c r="V75" s="176" t="str">
        <f>IF(D75="","",VLOOKUP(S75,'G-3 Multipliers'!$P$3:$Q$6,2,FALSE))</f>
        <v/>
      </c>
      <c r="W75" s="274" t="str">
        <f t="shared" si="5"/>
        <v/>
      </c>
      <c r="X75" s="180"/>
      <c r="Y75" s="181"/>
      <c r="AG75" s="35" t="str">
        <f>IFERROR(INDEX('G-6 Hedgerow Data'!$BJ$3:$BJ$15,MATCH(D75,'G-6 Hedgerow Data'!$B$3:$B$15,0)),"")</f>
        <v/>
      </c>
    </row>
    <row r="76" spans="2:33" ht="13.8" x14ac:dyDescent="0.25">
      <c r="B76" s="168">
        <v>65</v>
      </c>
      <c r="C76" s="278"/>
      <c r="D76" s="261"/>
      <c r="E76" s="213"/>
      <c r="F76" s="277" t="str">
        <f>IF(D76="","",VLOOKUP(D76,'G-6 Hedgerow Data'!$B$2:$AG$15,2,FALSE))</f>
        <v/>
      </c>
      <c r="G76" s="172" t="str">
        <f>IF(D76="","",VLOOKUP(D76,'G-6 Hedgerow Data'!$B$2:$AG$15,3,FALSE))</f>
        <v/>
      </c>
      <c r="H76" s="173"/>
      <c r="I76" s="172" t="str">
        <f>IFERROR(VLOOKUP(H76,'G-1 All Habitats'!$Z$2:$AA$9,2,FALSE),"")</f>
        <v/>
      </c>
      <c r="J76" s="173"/>
      <c r="K76" s="175" t="str">
        <f>IF(J76="","",IF(VLOOKUP(J76,'G-3 Multipliers'!$L$3:$N$6,2,FALSE)=0,"Spatial Data Missing",VLOOKUP(J76,'G-3 Multipliers'!$L$3:$N$6,2,FALSE)))</f>
        <v/>
      </c>
      <c r="L76" s="260" t="str">
        <f>IF(J76="","",IF(VLOOKUP(J76,'G-3 Multipliers'!$L$3:$N$6,3,FALSE)=0,"Spatial Data Missing",VLOOKUP(J76,'G-3 Multipliers'!$L$3:$N$6,3,FALSE)))</f>
        <v/>
      </c>
      <c r="M76" s="171" t="str">
        <f>IF(OR(D76="",H76=""),"",(INDEX('G-6 Hedgerow Data'!$E$3:$I$15,MATCH(D76,'G-6 Hedgerow Data'!$B$3:$B$15,0),MATCH(H76,'G-6 Hedgerow Data'!$E$2:$I$2,0))))</f>
        <v/>
      </c>
      <c r="N76" s="261"/>
      <c r="O76" s="261"/>
      <c r="P76" s="179" t="str">
        <f t="shared" si="0"/>
        <v/>
      </c>
      <c r="Q76" s="262" t="str">
        <f t="shared" si="1"/>
        <v/>
      </c>
      <c r="R76" s="263" t="str">
        <f t="shared" ref="R76:R139" si="6">IF(M76="","",IF(LEFT(P76,5)="Error","Check Data",VLOOKUP(Q76,TemporalMultipliers,3,FALSE)))</f>
        <v/>
      </c>
      <c r="S76" s="239" t="str">
        <f>IF(D76="","",VLOOKUP(D76,'G-6 Hedgerow Data'!$B$3:$AG$15,31,FALSE))</f>
        <v/>
      </c>
      <c r="T76" s="179" t="str">
        <f t="shared" si="3"/>
        <v/>
      </c>
      <c r="U76" s="179" t="str">
        <f t="shared" si="4"/>
        <v/>
      </c>
      <c r="V76" s="176" t="str">
        <f>IF(D76="","",VLOOKUP(S76,'G-3 Multipliers'!$P$3:$Q$6,2,FALSE))</f>
        <v/>
      </c>
      <c r="W76" s="274" t="str">
        <f t="shared" si="5"/>
        <v/>
      </c>
      <c r="X76" s="180"/>
      <c r="Y76" s="181"/>
      <c r="AG76" s="35" t="str">
        <f>IFERROR(INDEX('G-6 Hedgerow Data'!$BJ$3:$BJ$15,MATCH(D76,'G-6 Hedgerow Data'!$B$3:$B$15,0)),"")</f>
        <v/>
      </c>
    </row>
    <row r="77" spans="2:33" ht="13.8" x14ac:dyDescent="0.25">
      <c r="B77" s="168">
        <v>66</v>
      </c>
      <c r="C77" s="278"/>
      <c r="D77" s="261"/>
      <c r="E77" s="213"/>
      <c r="F77" s="277" t="str">
        <f>IF(D77="","",VLOOKUP(D77,'G-6 Hedgerow Data'!$B$2:$AG$15,2,FALSE))</f>
        <v/>
      </c>
      <c r="G77" s="172" t="str">
        <f>IF(D77="","",VLOOKUP(D77,'G-6 Hedgerow Data'!$B$2:$AG$15,3,FALSE))</f>
        <v/>
      </c>
      <c r="H77" s="173"/>
      <c r="I77" s="172" t="str">
        <f>IFERROR(VLOOKUP(H77,'G-1 All Habitats'!$Z$2:$AA$9,2,FALSE),"")</f>
        <v/>
      </c>
      <c r="J77" s="173"/>
      <c r="K77" s="175" t="str">
        <f>IF(J77="","",IF(VLOOKUP(J77,'G-3 Multipliers'!$L$3:$N$6,2,FALSE)=0,"Spatial Data Missing",VLOOKUP(J77,'G-3 Multipliers'!$L$3:$N$6,2,FALSE)))</f>
        <v/>
      </c>
      <c r="L77" s="260" t="str">
        <f>IF(J77="","",IF(VLOOKUP(J77,'G-3 Multipliers'!$L$3:$N$6,3,FALSE)=0,"Spatial Data Missing",VLOOKUP(J77,'G-3 Multipliers'!$L$3:$N$6,3,FALSE)))</f>
        <v/>
      </c>
      <c r="M77" s="171" t="str">
        <f>IF(OR(D77="",H77=""),"",(INDEX('G-6 Hedgerow Data'!$E$3:$I$15,MATCH(D77,'G-6 Hedgerow Data'!$B$3:$B$15,0),MATCH(H77,'G-6 Hedgerow Data'!$E$2:$I$2,0))))</f>
        <v/>
      </c>
      <c r="N77" s="261"/>
      <c r="O77" s="261"/>
      <c r="P77" s="179" t="str">
        <f t="shared" ref="P77:P140" si="7">IF(M77="","",IF(AND(N77&gt;0,O77&gt;0),"Error -both advance and delayed habitat creation",IF(AND(OR(N77="Habitat already in target condition",M77&lt;=N77),O77=0),"Check details - Is there evidence that habitat has reached target condition?",IF(M77="","",IF(N77&gt;0,"Check details - Is there evidence habitat creation started/in place?",IF(O77&gt;0,"Check details- Delay in starting habitat in required condition?","Standard time to target condition applied"))))))</f>
        <v/>
      </c>
      <c r="Q77" s="262" t="str">
        <f t="shared" ref="Q77:Q140" si="8">IF(M77="","",IF(LEFT(P77,5)="Error","Check Data",IF(OR(N77="30+",N77="Habitat already in target condition"),0,IF(O77="30+","30+",IF(AND(M77="30+",OR(N77="",N77=0)),"30+",IF(AND(M77="30+",N77&gt;0),32-N77,IF(M77+O77&gt;30,"30+",IF(M77+O77-N77&gt;0,M77+O77-N77,IF(M77-N77&lt;0,0,M77+O77-N77)))))))))</f>
        <v/>
      </c>
      <c r="R77" s="263" t="str">
        <f t="shared" si="6"/>
        <v/>
      </c>
      <c r="S77" s="239" t="str">
        <f>IF(D77="","",VLOOKUP(D77,'G-6 Hedgerow Data'!$B$3:$AG$15,31,FALSE))</f>
        <v/>
      </c>
      <c r="T77" s="179" t="str">
        <f t="shared" ref="T77:T140" si="9">IF(D77="","",IF(Q77="Check Data","Check Data",IF(H77="","",IF($P77="Check details - Is there evidence that habitat has reached target condition?","Low Difficulty - only applicable if all habitat created before losses","Standard difficulty applied"))))</f>
        <v/>
      </c>
      <c r="U77" s="179" t="str">
        <f t="shared" ref="U77:U140" si="10">(IF(AND(T77="Standard difficulty applied",M77&gt;N77),S77,IF(AND(T77="Low Difficulty - only applicable if all habitat created before losses",Q77&lt;=0),"Low",S77)))</f>
        <v/>
      </c>
      <c r="V77" s="176" t="str">
        <f>IF(D77="","",VLOOKUP(S77,'G-3 Multipliers'!$P$3:$Q$6,2,FALSE))</f>
        <v/>
      </c>
      <c r="W77" s="274" t="str">
        <f t="shared" ref="W77:W140" si="11">IFERROR(E77*G77*I77*L77*R77*V77,"")</f>
        <v/>
      </c>
      <c r="X77" s="180"/>
      <c r="Y77" s="181"/>
      <c r="AG77" s="35" t="str">
        <f>IFERROR(INDEX('G-6 Hedgerow Data'!$BJ$3:$BJ$15,MATCH(D77,'G-6 Hedgerow Data'!$B$3:$B$15,0)),"")</f>
        <v/>
      </c>
    </row>
    <row r="78" spans="2:33" ht="13.8" x14ac:dyDescent="0.25">
      <c r="B78" s="168">
        <v>67</v>
      </c>
      <c r="C78" s="278"/>
      <c r="D78" s="261"/>
      <c r="E78" s="213"/>
      <c r="F78" s="277" t="str">
        <f>IF(D78="","",VLOOKUP(D78,'G-6 Hedgerow Data'!$B$2:$AG$15,2,FALSE))</f>
        <v/>
      </c>
      <c r="G78" s="172" t="str">
        <f>IF(D78="","",VLOOKUP(D78,'G-6 Hedgerow Data'!$B$2:$AG$15,3,FALSE))</f>
        <v/>
      </c>
      <c r="H78" s="173"/>
      <c r="I78" s="172" t="str">
        <f>IFERROR(VLOOKUP(H78,'G-1 All Habitats'!$Z$2:$AA$9,2,FALSE),"")</f>
        <v/>
      </c>
      <c r="J78" s="173"/>
      <c r="K78" s="175" t="str">
        <f>IF(J78="","",IF(VLOOKUP(J78,'G-3 Multipliers'!$L$3:$N$6,2,FALSE)=0,"Spatial Data Missing",VLOOKUP(J78,'G-3 Multipliers'!$L$3:$N$6,2,FALSE)))</f>
        <v/>
      </c>
      <c r="L78" s="260" t="str">
        <f>IF(J78="","",IF(VLOOKUP(J78,'G-3 Multipliers'!$L$3:$N$6,3,FALSE)=0,"Spatial Data Missing",VLOOKUP(J78,'G-3 Multipliers'!$L$3:$N$6,3,FALSE)))</f>
        <v/>
      </c>
      <c r="M78" s="171" t="str">
        <f>IF(OR(D78="",H78=""),"",(INDEX('G-6 Hedgerow Data'!$E$3:$I$15,MATCH(D78,'G-6 Hedgerow Data'!$B$3:$B$15,0),MATCH(H78,'G-6 Hedgerow Data'!$E$2:$I$2,0))))</f>
        <v/>
      </c>
      <c r="N78" s="261"/>
      <c r="O78" s="261"/>
      <c r="P78" s="179" t="str">
        <f t="shared" si="7"/>
        <v/>
      </c>
      <c r="Q78" s="262" t="str">
        <f t="shared" si="8"/>
        <v/>
      </c>
      <c r="R78" s="263" t="str">
        <f t="shared" si="6"/>
        <v/>
      </c>
      <c r="S78" s="239" t="str">
        <f>IF(D78="","",VLOOKUP(D78,'G-6 Hedgerow Data'!$B$3:$AG$15,31,FALSE))</f>
        <v/>
      </c>
      <c r="T78" s="179" t="str">
        <f t="shared" si="9"/>
        <v/>
      </c>
      <c r="U78" s="179" t="str">
        <f t="shared" si="10"/>
        <v/>
      </c>
      <c r="V78" s="176" t="str">
        <f>IF(D78="","",VLOOKUP(S78,'G-3 Multipliers'!$P$3:$Q$6,2,FALSE))</f>
        <v/>
      </c>
      <c r="W78" s="274" t="str">
        <f t="shared" si="11"/>
        <v/>
      </c>
      <c r="X78" s="180"/>
      <c r="Y78" s="181"/>
      <c r="AG78" s="35" t="str">
        <f>IFERROR(INDEX('G-6 Hedgerow Data'!$BJ$3:$BJ$15,MATCH(D78,'G-6 Hedgerow Data'!$B$3:$B$15,0)),"")</f>
        <v/>
      </c>
    </row>
    <row r="79" spans="2:33" ht="13.8" x14ac:dyDescent="0.25">
      <c r="B79" s="168">
        <v>68</v>
      </c>
      <c r="C79" s="278"/>
      <c r="D79" s="261"/>
      <c r="E79" s="213"/>
      <c r="F79" s="277" t="str">
        <f>IF(D79="","",VLOOKUP(D79,'G-6 Hedgerow Data'!$B$2:$AG$15,2,FALSE))</f>
        <v/>
      </c>
      <c r="G79" s="172" t="str">
        <f>IF(D79="","",VLOOKUP(D79,'G-6 Hedgerow Data'!$B$2:$AG$15,3,FALSE))</f>
        <v/>
      </c>
      <c r="H79" s="173"/>
      <c r="I79" s="172" t="str">
        <f>IFERROR(VLOOKUP(H79,'G-1 All Habitats'!$Z$2:$AA$9,2,FALSE),"")</f>
        <v/>
      </c>
      <c r="J79" s="173"/>
      <c r="K79" s="175" t="str">
        <f>IF(J79="","",IF(VLOOKUP(J79,'G-3 Multipliers'!$L$3:$N$6,2,FALSE)=0,"Spatial Data Missing",VLOOKUP(J79,'G-3 Multipliers'!$L$3:$N$6,2,FALSE)))</f>
        <v/>
      </c>
      <c r="L79" s="260" t="str">
        <f>IF(J79="","",IF(VLOOKUP(J79,'G-3 Multipliers'!$L$3:$N$6,3,FALSE)=0,"Spatial Data Missing",VLOOKUP(J79,'G-3 Multipliers'!$L$3:$N$6,3,FALSE)))</f>
        <v/>
      </c>
      <c r="M79" s="171" t="str">
        <f>IF(OR(D79="",H79=""),"",(INDEX('G-6 Hedgerow Data'!$E$3:$I$15,MATCH(D79,'G-6 Hedgerow Data'!$B$3:$B$15,0),MATCH(H79,'G-6 Hedgerow Data'!$E$2:$I$2,0))))</f>
        <v/>
      </c>
      <c r="N79" s="261"/>
      <c r="O79" s="261"/>
      <c r="P79" s="179" t="str">
        <f t="shared" si="7"/>
        <v/>
      </c>
      <c r="Q79" s="262" t="str">
        <f t="shared" si="8"/>
        <v/>
      </c>
      <c r="R79" s="263" t="str">
        <f t="shared" si="6"/>
        <v/>
      </c>
      <c r="S79" s="239" t="str">
        <f>IF(D79="","",VLOOKUP(D79,'G-6 Hedgerow Data'!$B$3:$AG$15,31,FALSE))</f>
        <v/>
      </c>
      <c r="T79" s="179" t="str">
        <f t="shared" si="9"/>
        <v/>
      </c>
      <c r="U79" s="179" t="str">
        <f t="shared" si="10"/>
        <v/>
      </c>
      <c r="V79" s="176" t="str">
        <f>IF(D79="","",VLOOKUP(S79,'G-3 Multipliers'!$P$3:$Q$6,2,FALSE))</f>
        <v/>
      </c>
      <c r="W79" s="274" t="str">
        <f t="shared" si="11"/>
        <v/>
      </c>
      <c r="X79" s="180"/>
      <c r="Y79" s="181"/>
      <c r="AG79" s="35" t="str">
        <f>IFERROR(INDEX('G-6 Hedgerow Data'!$BJ$3:$BJ$15,MATCH(D79,'G-6 Hedgerow Data'!$B$3:$B$15,0)),"")</f>
        <v/>
      </c>
    </row>
    <row r="80" spans="2:33" ht="13.8" x14ac:dyDescent="0.25">
      <c r="B80" s="168">
        <v>69</v>
      </c>
      <c r="C80" s="278"/>
      <c r="D80" s="261"/>
      <c r="E80" s="213"/>
      <c r="F80" s="277" t="str">
        <f>IF(D80="","",VLOOKUP(D80,'G-6 Hedgerow Data'!$B$2:$AG$15,2,FALSE))</f>
        <v/>
      </c>
      <c r="G80" s="172" t="str">
        <f>IF(D80="","",VLOOKUP(D80,'G-6 Hedgerow Data'!$B$2:$AG$15,3,FALSE))</f>
        <v/>
      </c>
      <c r="H80" s="173"/>
      <c r="I80" s="172" t="str">
        <f>IFERROR(VLOOKUP(H80,'G-1 All Habitats'!$Z$2:$AA$9,2,FALSE),"")</f>
        <v/>
      </c>
      <c r="J80" s="173"/>
      <c r="K80" s="175" t="str">
        <f>IF(J80="","",IF(VLOOKUP(J80,'G-3 Multipliers'!$L$3:$N$6,2,FALSE)=0,"Spatial Data Missing",VLOOKUP(J80,'G-3 Multipliers'!$L$3:$N$6,2,FALSE)))</f>
        <v/>
      </c>
      <c r="L80" s="260" t="str">
        <f>IF(J80="","",IF(VLOOKUP(J80,'G-3 Multipliers'!$L$3:$N$6,3,FALSE)=0,"Spatial Data Missing",VLOOKUP(J80,'G-3 Multipliers'!$L$3:$N$6,3,FALSE)))</f>
        <v/>
      </c>
      <c r="M80" s="171" t="str">
        <f>IF(OR(D80="",H80=""),"",(INDEX('G-6 Hedgerow Data'!$E$3:$I$15,MATCH(D80,'G-6 Hedgerow Data'!$B$3:$B$15,0),MATCH(H80,'G-6 Hedgerow Data'!$E$2:$I$2,0))))</f>
        <v/>
      </c>
      <c r="N80" s="261"/>
      <c r="O80" s="261"/>
      <c r="P80" s="179" t="str">
        <f t="shared" si="7"/>
        <v/>
      </c>
      <c r="Q80" s="262" t="str">
        <f t="shared" si="8"/>
        <v/>
      </c>
      <c r="R80" s="263" t="str">
        <f t="shared" si="6"/>
        <v/>
      </c>
      <c r="S80" s="239" t="str">
        <f>IF(D80="","",VLOOKUP(D80,'G-6 Hedgerow Data'!$B$3:$AG$15,31,FALSE))</f>
        <v/>
      </c>
      <c r="T80" s="179" t="str">
        <f t="shared" si="9"/>
        <v/>
      </c>
      <c r="U80" s="179" t="str">
        <f t="shared" si="10"/>
        <v/>
      </c>
      <c r="V80" s="176" t="str">
        <f>IF(D80="","",VLOOKUP(S80,'G-3 Multipliers'!$P$3:$Q$6,2,FALSE))</f>
        <v/>
      </c>
      <c r="W80" s="274" t="str">
        <f t="shared" si="11"/>
        <v/>
      </c>
      <c r="X80" s="180"/>
      <c r="Y80" s="181"/>
      <c r="AG80" s="35" t="str">
        <f>IFERROR(INDEX('G-6 Hedgerow Data'!$BJ$3:$BJ$15,MATCH(D80,'G-6 Hedgerow Data'!$B$3:$B$15,0)),"")</f>
        <v/>
      </c>
    </row>
    <row r="81" spans="2:33" ht="13.8" x14ac:dyDescent="0.25">
      <c r="B81" s="168">
        <v>70</v>
      </c>
      <c r="C81" s="278"/>
      <c r="D81" s="261"/>
      <c r="E81" s="213"/>
      <c r="F81" s="277" t="str">
        <f>IF(D81="","",VLOOKUP(D81,'G-6 Hedgerow Data'!$B$2:$AG$15,2,FALSE))</f>
        <v/>
      </c>
      <c r="G81" s="172" t="str">
        <f>IF(D81="","",VLOOKUP(D81,'G-6 Hedgerow Data'!$B$2:$AG$15,3,FALSE))</f>
        <v/>
      </c>
      <c r="H81" s="173"/>
      <c r="I81" s="172" t="str">
        <f>IFERROR(VLOOKUP(H81,'G-1 All Habitats'!$Z$2:$AA$9,2,FALSE),"")</f>
        <v/>
      </c>
      <c r="J81" s="173"/>
      <c r="K81" s="175" t="str">
        <f>IF(J81="","",IF(VLOOKUP(J81,'G-3 Multipliers'!$L$3:$N$6,2,FALSE)=0,"Spatial Data Missing",VLOOKUP(J81,'G-3 Multipliers'!$L$3:$N$6,2,FALSE)))</f>
        <v/>
      </c>
      <c r="L81" s="260" t="str">
        <f>IF(J81="","",IF(VLOOKUP(J81,'G-3 Multipliers'!$L$3:$N$6,3,FALSE)=0,"Spatial Data Missing",VLOOKUP(J81,'G-3 Multipliers'!$L$3:$N$6,3,FALSE)))</f>
        <v/>
      </c>
      <c r="M81" s="171" t="str">
        <f>IF(OR(D81="",H81=""),"",(INDEX('G-6 Hedgerow Data'!$E$3:$I$15,MATCH(D81,'G-6 Hedgerow Data'!$B$3:$B$15,0),MATCH(H81,'G-6 Hedgerow Data'!$E$2:$I$2,0))))</f>
        <v/>
      </c>
      <c r="N81" s="261"/>
      <c r="O81" s="261"/>
      <c r="P81" s="179" t="str">
        <f t="shared" si="7"/>
        <v/>
      </c>
      <c r="Q81" s="262" t="str">
        <f t="shared" si="8"/>
        <v/>
      </c>
      <c r="R81" s="263" t="str">
        <f t="shared" si="6"/>
        <v/>
      </c>
      <c r="S81" s="239" t="str">
        <f>IF(D81="","",VLOOKUP(D81,'G-6 Hedgerow Data'!$B$3:$AG$15,31,FALSE))</f>
        <v/>
      </c>
      <c r="T81" s="179" t="str">
        <f t="shared" si="9"/>
        <v/>
      </c>
      <c r="U81" s="179" t="str">
        <f t="shared" si="10"/>
        <v/>
      </c>
      <c r="V81" s="176" t="str">
        <f>IF(D81="","",VLOOKUP(S81,'G-3 Multipliers'!$P$3:$Q$6,2,FALSE))</f>
        <v/>
      </c>
      <c r="W81" s="274" t="str">
        <f t="shared" si="11"/>
        <v/>
      </c>
      <c r="X81" s="180"/>
      <c r="Y81" s="181"/>
      <c r="AG81" s="35" t="str">
        <f>IFERROR(INDEX('G-6 Hedgerow Data'!$BJ$3:$BJ$15,MATCH(D81,'G-6 Hedgerow Data'!$B$3:$B$15,0)),"")</f>
        <v/>
      </c>
    </row>
    <row r="82" spans="2:33" ht="13.8" x14ac:dyDescent="0.25">
      <c r="B82" s="168">
        <v>71</v>
      </c>
      <c r="C82" s="278"/>
      <c r="D82" s="261"/>
      <c r="E82" s="213"/>
      <c r="F82" s="277" t="str">
        <f>IF(D82="","",VLOOKUP(D82,'G-6 Hedgerow Data'!$B$2:$AG$15,2,FALSE))</f>
        <v/>
      </c>
      <c r="G82" s="172" t="str">
        <f>IF(D82="","",VLOOKUP(D82,'G-6 Hedgerow Data'!$B$2:$AG$15,3,FALSE))</f>
        <v/>
      </c>
      <c r="H82" s="173"/>
      <c r="I82" s="172" t="str">
        <f>IFERROR(VLOOKUP(H82,'G-1 All Habitats'!$Z$2:$AA$9,2,FALSE),"")</f>
        <v/>
      </c>
      <c r="J82" s="173"/>
      <c r="K82" s="175" t="str">
        <f>IF(J82="","",IF(VLOOKUP(J82,'G-3 Multipliers'!$L$3:$N$6,2,FALSE)=0,"Spatial Data Missing",VLOOKUP(J82,'G-3 Multipliers'!$L$3:$N$6,2,FALSE)))</f>
        <v/>
      </c>
      <c r="L82" s="260" t="str">
        <f>IF(J82="","",IF(VLOOKUP(J82,'G-3 Multipliers'!$L$3:$N$6,3,FALSE)=0,"Spatial Data Missing",VLOOKUP(J82,'G-3 Multipliers'!$L$3:$N$6,3,FALSE)))</f>
        <v/>
      </c>
      <c r="M82" s="171" t="str">
        <f>IF(OR(D82="",H82=""),"",(INDEX('G-6 Hedgerow Data'!$E$3:$I$15,MATCH(D82,'G-6 Hedgerow Data'!$B$3:$B$15,0),MATCH(H82,'G-6 Hedgerow Data'!$E$2:$I$2,0))))</f>
        <v/>
      </c>
      <c r="N82" s="261"/>
      <c r="O82" s="261"/>
      <c r="P82" s="179" t="str">
        <f t="shared" si="7"/>
        <v/>
      </c>
      <c r="Q82" s="262" t="str">
        <f t="shared" si="8"/>
        <v/>
      </c>
      <c r="R82" s="263" t="str">
        <f t="shared" si="6"/>
        <v/>
      </c>
      <c r="S82" s="239" t="str">
        <f>IF(D82="","",VLOOKUP(D82,'G-6 Hedgerow Data'!$B$3:$AG$15,31,FALSE))</f>
        <v/>
      </c>
      <c r="T82" s="179" t="str">
        <f t="shared" si="9"/>
        <v/>
      </c>
      <c r="U82" s="179" t="str">
        <f t="shared" si="10"/>
        <v/>
      </c>
      <c r="V82" s="176" t="str">
        <f>IF(D82="","",VLOOKUP(S82,'G-3 Multipliers'!$P$3:$Q$6,2,FALSE))</f>
        <v/>
      </c>
      <c r="W82" s="274" t="str">
        <f t="shared" si="11"/>
        <v/>
      </c>
      <c r="X82" s="180"/>
      <c r="Y82" s="181"/>
      <c r="AG82" s="35" t="str">
        <f>IFERROR(INDEX('G-6 Hedgerow Data'!$BJ$3:$BJ$15,MATCH(D82,'G-6 Hedgerow Data'!$B$3:$B$15,0)),"")</f>
        <v/>
      </c>
    </row>
    <row r="83" spans="2:33" ht="13.8" x14ac:dyDescent="0.25">
      <c r="B83" s="168">
        <v>72</v>
      </c>
      <c r="C83" s="278"/>
      <c r="D83" s="261"/>
      <c r="E83" s="213"/>
      <c r="F83" s="277" t="str">
        <f>IF(D83="","",VLOOKUP(D83,'G-6 Hedgerow Data'!$B$2:$AG$15,2,FALSE))</f>
        <v/>
      </c>
      <c r="G83" s="172" t="str">
        <f>IF(D83="","",VLOOKUP(D83,'G-6 Hedgerow Data'!$B$2:$AG$15,3,FALSE))</f>
        <v/>
      </c>
      <c r="H83" s="173"/>
      <c r="I83" s="172" t="str">
        <f>IFERROR(VLOOKUP(H83,'G-1 All Habitats'!$Z$2:$AA$9,2,FALSE),"")</f>
        <v/>
      </c>
      <c r="J83" s="173"/>
      <c r="K83" s="175" t="str">
        <f>IF(J83="","",IF(VLOOKUP(J83,'G-3 Multipliers'!$L$3:$N$6,2,FALSE)=0,"Spatial Data Missing",VLOOKUP(J83,'G-3 Multipliers'!$L$3:$N$6,2,FALSE)))</f>
        <v/>
      </c>
      <c r="L83" s="260" t="str">
        <f>IF(J83="","",IF(VLOOKUP(J83,'G-3 Multipliers'!$L$3:$N$6,3,FALSE)=0,"Spatial Data Missing",VLOOKUP(J83,'G-3 Multipliers'!$L$3:$N$6,3,FALSE)))</f>
        <v/>
      </c>
      <c r="M83" s="171" t="str">
        <f>IF(OR(D83="",H83=""),"",(INDEX('G-6 Hedgerow Data'!$E$3:$I$15,MATCH(D83,'G-6 Hedgerow Data'!$B$3:$B$15,0),MATCH(H83,'G-6 Hedgerow Data'!$E$2:$I$2,0))))</f>
        <v/>
      </c>
      <c r="N83" s="261"/>
      <c r="O83" s="261"/>
      <c r="P83" s="179" t="str">
        <f t="shared" si="7"/>
        <v/>
      </c>
      <c r="Q83" s="262" t="str">
        <f t="shared" si="8"/>
        <v/>
      </c>
      <c r="R83" s="263" t="str">
        <f t="shared" si="6"/>
        <v/>
      </c>
      <c r="S83" s="239" t="str">
        <f>IF(D83="","",VLOOKUP(D83,'G-6 Hedgerow Data'!$B$3:$AG$15,31,FALSE))</f>
        <v/>
      </c>
      <c r="T83" s="179" t="str">
        <f t="shared" si="9"/>
        <v/>
      </c>
      <c r="U83" s="179" t="str">
        <f t="shared" si="10"/>
        <v/>
      </c>
      <c r="V83" s="176" t="str">
        <f>IF(D83="","",VLOOKUP(S83,'G-3 Multipliers'!$P$3:$Q$6,2,FALSE))</f>
        <v/>
      </c>
      <c r="W83" s="274" t="str">
        <f t="shared" si="11"/>
        <v/>
      </c>
      <c r="X83" s="180"/>
      <c r="Y83" s="181"/>
      <c r="AG83" s="35" t="str">
        <f>IFERROR(INDEX('G-6 Hedgerow Data'!$BJ$3:$BJ$15,MATCH(D83,'G-6 Hedgerow Data'!$B$3:$B$15,0)),"")</f>
        <v/>
      </c>
    </row>
    <row r="84" spans="2:33" ht="13.8" x14ac:dyDescent="0.25">
      <c r="B84" s="168">
        <v>73</v>
      </c>
      <c r="C84" s="278"/>
      <c r="D84" s="261"/>
      <c r="E84" s="213"/>
      <c r="F84" s="277" t="str">
        <f>IF(D84="","",VLOOKUP(D84,'G-6 Hedgerow Data'!$B$2:$AG$15,2,FALSE))</f>
        <v/>
      </c>
      <c r="G84" s="172" t="str">
        <f>IF(D84="","",VLOOKUP(D84,'G-6 Hedgerow Data'!$B$2:$AG$15,3,FALSE))</f>
        <v/>
      </c>
      <c r="H84" s="173"/>
      <c r="I84" s="172" t="str">
        <f>IFERROR(VLOOKUP(H84,'G-1 All Habitats'!$Z$2:$AA$9,2,FALSE),"")</f>
        <v/>
      </c>
      <c r="J84" s="173"/>
      <c r="K84" s="175" t="str">
        <f>IF(J84="","",IF(VLOOKUP(J84,'G-3 Multipliers'!$L$3:$N$6,2,FALSE)=0,"Spatial Data Missing",VLOOKUP(J84,'G-3 Multipliers'!$L$3:$N$6,2,FALSE)))</f>
        <v/>
      </c>
      <c r="L84" s="260" t="str">
        <f>IF(J84="","",IF(VLOOKUP(J84,'G-3 Multipliers'!$L$3:$N$6,3,FALSE)=0,"Spatial Data Missing",VLOOKUP(J84,'G-3 Multipliers'!$L$3:$N$6,3,FALSE)))</f>
        <v/>
      </c>
      <c r="M84" s="171" t="str">
        <f>IF(OR(D84="",H84=""),"",(INDEX('G-6 Hedgerow Data'!$E$3:$I$15,MATCH(D84,'G-6 Hedgerow Data'!$B$3:$B$15,0),MATCH(H84,'G-6 Hedgerow Data'!$E$2:$I$2,0))))</f>
        <v/>
      </c>
      <c r="N84" s="261"/>
      <c r="O84" s="261"/>
      <c r="P84" s="179" t="str">
        <f t="shared" si="7"/>
        <v/>
      </c>
      <c r="Q84" s="262" t="str">
        <f t="shared" si="8"/>
        <v/>
      </c>
      <c r="R84" s="263" t="str">
        <f t="shared" si="6"/>
        <v/>
      </c>
      <c r="S84" s="239" t="str">
        <f>IF(D84="","",VLOOKUP(D84,'G-6 Hedgerow Data'!$B$3:$AG$15,31,FALSE))</f>
        <v/>
      </c>
      <c r="T84" s="179" t="str">
        <f t="shared" si="9"/>
        <v/>
      </c>
      <c r="U84" s="179" t="str">
        <f t="shared" si="10"/>
        <v/>
      </c>
      <c r="V84" s="176" t="str">
        <f>IF(D84="","",VLOOKUP(S84,'G-3 Multipliers'!$P$3:$Q$6,2,FALSE))</f>
        <v/>
      </c>
      <c r="W84" s="274" t="str">
        <f t="shared" si="11"/>
        <v/>
      </c>
      <c r="X84" s="180"/>
      <c r="Y84" s="181"/>
      <c r="AG84" s="35" t="str">
        <f>IFERROR(INDEX('G-6 Hedgerow Data'!$BJ$3:$BJ$15,MATCH(D84,'G-6 Hedgerow Data'!$B$3:$B$15,0)),"")</f>
        <v/>
      </c>
    </row>
    <row r="85" spans="2:33" ht="13.8" x14ac:dyDescent="0.25">
      <c r="B85" s="168">
        <v>74</v>
      </c>
      <c r="C85" s="278"/>
      <c r="D85" s="261"/>
      <c r="E85" s="213"/>
      <c r="F85" s="277" t="str">
        <f>IF(D85="","",VLOOKUP(D85,'G-6 Hedgerow Data'!$B$2:$AG$15,2,FALSE))</f>
        <v/>
      </c>
      <c r="G85" s="172" t="str">
        <f>IF(D85="","",VLOOKUP(D85,'G-6 Hedgerow Data'!$B$2:$AG$15,3,FALSE))</f>
        <v/>
      </c>
      <c r="H85" s="173"/>
      <c r="I85" s="172" t="str">
        <f>IFERROR(VLOOKUP(H85,'G-1 All Habitats'!$Z$2:$AA$9,2,FALSE),"")</f>
        <v/>
      </c>
      <c r="J85" s="173"/>
      <c r="K85" s="175" t="str">
        <f>IF(J85="","",IF(VLOOKUP(J85,'G-3 Multipliers'!$L$3:$N$6,2,FALSE)=0,"Spatial Data Missing",VLOOKUP(J85,'G-3 Multipliers'!$L$3:$N$6,2,FALSE)))</f>
        <v/>
      </c>
      <c r="L85" s="260" t="str">
        <f>IF(J85="","",IF(VLOOKUP(J85,'G-3 Multipliers'!$L$3:$N$6,3,FALSE)=0,"Spatial Data Missing",VLOOKUP(J85,'G-3 Multipliers'!$L$3:$N$6,3,FALSE)))</f>
        <v/>
      </c>
      <c r="M85" s="171" t="str">
        <f>IF(OR(D85="",H85=""),"",(INDEX('G-6 Hedgerow Data'!$E$3:$I$15,MATCH(D85,'G-6 Hedgerow Data'!$B$3:$B$15,0),MATCH(H85,'G-6 Hedgerow Data'!$E$2:$I$2,0))))</f>
        <v/>
      </c>
      <c r="N85" s="261"/>
      <c r="O85" s="261"/>
      <c r="P85" s="179" t="str">
        <f t="shared" si="7"/>
        <v/>
      </c>
      <c r="Q85" s="262" t="str">
        <f t="shared" si="8"/>
        <v/>
      </c>
      <c r="R85" s="263" t="str">
        <f t="shared" si="6"/>
        <v/>
      </c>
      <c r="S85" s="239" t="str">
        <f>IF(D85="","",VLOOKUP(D85,'G-6 Hedgerow Data'!$B$3:$AG$15,31,FALSE))</f>
        <v/>
      </c>
      <c r="T85" s="179" t="str">
        <f t="shared" si="9"/>
        <v/>
      </c>
      <c r="U85" s="179" t="str">
        <f t="shared" si="10"/>
        <v/>
      </c>
      <c r="V85" s="176" t="str">
        <f>IF(D85="","",VLOOKUP(S85,'G-3 Multipliers'!$P$3:$Q$6,2,FALSE))</f>
        <v/>
      </c>
      <c r="W85" s="274" t="str">
        <f t="shared" si="11"/>
        <v/>
      </c>
      <c r="X85" s="180"/>
      <c r="Y85" s="181"/>
      <c r="AG85" s="35" t="str">
        <f>IFERROR(INDEX('G-6 Hedgerow Data'!$BJ$3:$BJ$15,MATCH(D85,'G-6 Hedgerow Data'!$B$3:$B$15,0)),"")</f>
        <v/>
      </c>
    </row>
    <row r="86" spans="2:33" ht="13.8" x14ac:dyDescent="0.25">
      <c r="B86" s="168">
        <v>75</v>
      </c>
      <c r="C86" s="278"/>
      <c r="D86" s="261"/>
      <c r="E86" s="213"/>
      <c r="F86" s="277" t="str">
        <f>IF(D86="","",VLOOKUP(D86,'G-6 Hedgerow Data'!$B$2:$AG$15,2,FALSE))</f>
        <v/>
      </c>
      <c r="G86" s="172" t="str">
        <f>IF(D86="","",VLOOKUP(D86,'G-6 Hedgerow Data'!$B$2:$AG$15,3,FALSE))</f>
        <v/>
      </c>
      <c r="H86" s="173"/>
      <c r="I86" s="172" t="str">
        <f>IFERROR(VLOOKUP(H86,'G-1 All Habitats'!$Z$2:$AA$9,2,FALSE),"")</f>
        <v/>
      </c>
      <c r="J86" s="173"/>
      <c r="K86" s="175" t="str">
        <f>IF(J86="","",IF(VLOOKUP(J86,'G-3 Multipliers'!$L$3:$N$6,2,FALSE)=0,"Spatial Data Missing",VLOOKUP(J86,'G-3 Multipliers'!$L$3:$N$6,2,FALSE)))</f>
        <v/>
      </c>
      <c r="L86" s="260" t="str">
        <f>IF(J86="","",IF(VLOOKUP(J86,'G-3 Multipliers'!$L$3:$N$6,3,FALSE)=0,"Spatial Data Missing",VLOOKUP(J86,'G-3 Multipliers'!$L$3:$N$6,3,FALSE)))</f>
        <v/>
      </c>
      <c r="M86" s="171" t="str">
        <f>IF(OR(D86="",H86=""),"",(INDEX('G-6 Hedgerow Data'!$E$3:$I$15,MATCH(D86,'G-6 Hedgerow Data'!$B$3:$B$15,0),MATCH(H86,'G-6 Hedgerow Data'!$E$2:$I$2,0))))</f>
        <v/>
      </c>
      <c r="N86" s="261"/>
      <c r="O86" s="261"/>
      <c r="P86" s="179" t="str">
        <f t="shared" si="7"/>
        <v/>
      </c>
      <c r="Q86" s="262" t="str">
        <f t="shared" si="8"/>
        <v/>
      </c>
      <c r="R86" s="263" t="str">
        <f t="shared" si="6"/>
        <v/>
      </c>
      <c r="S86" s="239" t="str">
        <f>IF(D86="","",VLOOKUP(D86,'G-6 Hedgerow Data'!$B$3:$AG$15,31,FALSE))</f>
        <v/>
      </c>
      <c r="T86" s="179" t="str">
        <f t="shared" si="9"/>
        <v/>
      </c>
      <c r="U86" s="179" t="str">
        <f t="shared" si="10"/>
        <v/>
      </c>
      <c r="V86" s="176" t="str">
        <f>IF(D86="","",VLOOKUP(S86,'G-3 Multipliers'!$P$3:$Q$6,2,FALSE))</f>
        <v/>
      </c>
      <c r="W86" s="274" t="str">
        <f t="shared" si="11"/>
        <v/>
      </c>
      <c r="X86" s="180"/>
      <c r="Y86" s="181"/>
      <c r="AG86" s="35" t="str">
        <f>IFERROR(INDEX('G-6 Hedgerow Data'!$BJ$3:$BJ$15,MATCH(D86,'G-6 Hedgerow Data'!$B$3:$B$15,0)),"")</f>
        <v/>
      </c>
    </row>
    <row r="87" spans="2:33" ht="13.8" x14ac:dyDescent="0.25">
      <c r="B87" s="168">
        <v>76</v>
      </c>
      <c r="C87" s="278"/>
      <c r="D87" s="261"/>
      <c r="E87" s="213"/>
      <c r="F87" s="277" t="str">
        <f>IF(D87="","",VLOOKUP(D87,'G-6 Hedgerow Data'!$B$2:$AG$15,2,FALSE))</f>
        <v/>
      </c>
      <c r="G87" s="172" t="str">
        <f>IF(D87="","",VLOOKUP(D87,'G-6 Hedgerow Data'!$B$2:$AG$15,3,FALSE))</f>
        <v/>
      </c>
      <c r="H87" s="173"/>
      <c r="I87" s="172" t="str">
        <f>IFERROR(VLOOKUP(H87,'G-1 All Habitats'!$Z$2:$AA$9,2,FALSE),"")</f>
        <v/>
      </c>
      <c r="J87" s="173"/>
      <c r="K87" s="175" t="str">
        <f>IF(J87="","",IF(VLOOKUP(J87,'G-3 Multipliers'!$L$3:$N$6,2,FALSE)=0,"Spatial Data Missing",VLOOKUP(J87,'G-3 Multipliers'!$L$3:$N$6,2,FALSE)))</f>
        <v/>
      </c>
      <c r="L87" s="260" t="str">
        <f>IF(J87="","",IF(VLOOKUP(J87,'G-3 Multipliers'!$L$3:$N$6,3,FALSE)=0,"Spatial Data Missing",VLOOKUP(J87,'G-3 Multipliers'!$L$3:$N$6,3,FALSE)))</f>
        <v/>
      </c>
      <c r="M87" s="171" t="str">
        <f>IF(OR(D87="",H87=""),"",(INDEX('G-6 Hedgerow Data'!$E$3:$I$15,MATCH(D87,'G-6 Hedgerow Data'!$B$3:$B$15,0),MATCH(H87,'G-6 Hedgerow Data'!$E$2:$I$2,0))))</f>
        <v/>
      </c>
      <c r="N87" s="261"/>
      <c r="O87" s="261"/>
      <c r="P87" s="179" t="str">
        <f t="shared" si="7"/>
        <v/>
      </c>
      <c r="Q87" s="262" t="str">
        <f t="shared" si="8"/>
        <v/>
      </c>
      <c r="R87" s="263" t="str">
        <f t="shared" si="6"/>
        <v/>
      </c>
      <c r="S87" s="239" t="str">
        <f>IF(D87="","",VLOOKUP(D87,'G-6 Hedgerow Data'!$B$3:$AG$15,31,FALSE))</f>
        <v/>
      </c>
      <c r="T87" s="179" t="str">
        <f t="shared" si="9"/>
        <v/>
      </c>
      <c r="U87" s="179" t="str">
        <f t="shared" si="10"/>
        <v/>
      </c>
      <c r="V87" s="176" t="str">
        <f>IF(D87="","",VLOOKUP(S87,'G-3 Multipliers'!$P$3:$Q$6,2,FALSE))</f>
        <v/>
      </c>
      <c r="W87" s="274" t="str">
        <f t="shared" si="11"/>
        <v/>
      </c>
      <c r="X87" s="180"/>
      <c r="Y87" s="181"/>
      <c r="AG87" s="35" t="str">
        <f>IFERROR(INDEX('G-6 Hedgerow Data'!$BJ$3:$BJ$15,MATCH(D87,'G-6 Hedgerow Data'!$B$3:$B$15,0)),"")</f>
        <v/>
      </c>
    </row>
    <row r="88" spans="2:33" ht="13.8" x14ac:dyDescent="0.25">
      <c r="B88" s="168">
        <v>77</v>
      </c>
      <c r="C88" s="278"/>
      <c r="D88" s="261"/>
      <c r="E88" s="213"/>
      <c r="F88" s="277" t="str">
        <f>IF(D88="","",VLOOKUP(D88,'G-6 Hedgerow Data'!$B$2:$AG$15,2,FALSE))</f>
        <v/>
      </c>
      <c r="G88" s="172" t="str">
        <f>IF(D88="","",VLOOKUP(D88,'G-6 Hedgerow Data'!$B$2:$AG$15,3,FALSE))</f>
        <v/>
      </c>
      <c r="H88" s="173"/>
      <c r="I88" s="172" t="str">
        <f>IFERROR(VLOOKUP(H88,'G-1 All Habitats'!$Z$2:$AA$9,2,FALSE),"")</f>
        <v/>
      </c>
      <c r="J88" s="173"/>
      <c r="K88" s="175" t="str">
        <f>IF(J88="","",IF(VLOOKUP(J88,'G-3 Multipliers'!$L$3:$N$6,2,FALSE)=0,"Spatial Data Missing",VLOOKUP(J88,'G-3 Multipliers'!$L$3:$N$6,2,FALSE)))</f>
        <v/>
      </c>
      <c r="L88" s="260" t="str">
        <f>IF(J88="","",IF(VLOOKUP(J88,'G-3 Multipliers'!$L$3:$N$6,3,FALSE)=0,"Spatial Data Missing",VLOOKUP(J88,'G-3 Multipliers'!$L$3:$N$6,3,FALSE)))</f>
        <v/>
      </c>
      <c r="M88" s="171" t="str">
        <f>IF(OR(D88="",H88=""),"",(INDEX('G-6 Hedgerow Data'!$E$3:$I$15,MATCH(D88,'G-6 Hedgerow Data'!$B$3:$B$15,0),MATCH(H88,'G-6 Hedgerow Data'!$E$2:$I$2,0))))</f>
        <v/>
      </c>
      <c r="N88" s="261"/>
      <c r="O88" s="261"/>
      <c r="P88" s="179" t="str">
        <f t="shared" si="7"/>
        <v/>
      </c>
      <c r="Q88" s="262" t="str">
        <f t="shared" si="8"/>
        <v/>
      </c>
      <c r="R88" s="263" t="str">
        <f t="shared" si="6"/>
        <v/>
      </c>
      <c r="S88" s="239" t="str">
        <f>IF(D88="","",VLOOKUP(D88,'G-6 Hedgerow Data'!$B$3:$AG$15,31,FALSE))</f>
        <v/>
      </c>
      <c r="T88" s="179" t="str">
        <f t="shared" si="9"/>
        <v/>
      </c>
      <c r="U88" s="179" t="str">
        <f t="shared" si="10"/>
        <v/>
      </c>
      <c r="V88" s="176" t="str">
        <f>IF(D88="","",VLOOKUP(S88,'G-3 Multipliers'!$P$3:$Q$6,2,FALSE))</f>
        <v/>
      </c>
      <c r="W88" s="274" t="str">
        <f t="shared" si="11"/>
        <v/>
      </c>
      <c r="X88" s="180"/>
      <c r="Y88" s="181"/>
      <c r="AG88" s="35" t="str">
        <f>IFERROR(INDEX('G-6 Hedgerow Data'!$BJ$3:$BJ$15,MATCH(D88,'G-6 Hedgerow Data'!$B$3:$B$15,0)),"")</f>
        <v/>
      </c>
    </row>
    <row r="89" spans="2:33" ht="13.8" x14ac:dyDescent="0.25">
      <c r="B89" s="168">
        <v>78</v>
      </c>
      <c r="C89" s="278"/>
      <c r="D89" s="261"/>
      <c r="E89" s="213"/>
      <c r="F89" s="277" t="str">
        <f>IF(D89="","",VLOOKUP(D89,'G-6 Hedgerow Data'!$B$2:$AG$15,2,FALSE))</f>
        <v/>
      </c>
      <c r="G89" s="172" t="str">
        <f>IF(D89="","",VLOOKUP(D89,'G-6 Hedgerow Data'!$B$2:$AG$15,3,FALSE))</f>
        <v/>
      </c>
      <c r="H89" s="173"/>
      <c r="I89" s="172" t="str">
        <f>IFERROR(VLOOKUP(H89,'G-1 All Habitats'!$Z$2:$AA$9,2,FALSE),"")</f>
        <v/>
      </c>
      <c r="J89" s="173"/>
      <c r="K89" s="175" t="str">
        <f>IF(J89="","",IF(VLOOKUP(J89,'G-3 Multipliers'!$L$3:$N$6,2,FALSE)=0,"Spatial Data Missing",VLOOKUP(J89,'G-3 Multipliers'!$L$3:$N$6,2,FALSE)))</f>
        <v/>
      </c>
      <c r="L89" s="260" t="str">
        <f>IF(J89="","",IF(VLOOKUP(J89,'G-3 Multipliers'!$L$3:$N$6,3,FALSE)=0,"Spatial Data Missing",VLOOKUP(J89,'G-3 Multipliers'!$L$3:$N$6,3,FALSE)))</f>
        <v/>
      </c>
      <c r="M89" s="171" t="str">
        <f>IF(OR(D89="",H89=""),"",(INDEX('G-6 Hedgerow Data'!$E$3:$I$15,MATCH(D89,'G-6 Hedgerow Data'!$B$3:$B$15,0),MATCH(H89,'G-6 Hedgerow Data'!$E$2:$I$2,0))))</f>
        <v/>
      </c>
      <c r="N89" s="261"/>
      <c r="O89" s="261"/>
      <c r="P89" s="179" t="str">
        <f t="shared" si="7"/>
        <v/>
      </c>
      <c r="Q89" s="262" t="str">
        <f t="shared" si="8"/>
        <v/>
      </c>
      <c r="R89" s="263" t="str">
        <f t="shared" si="6"/>
        <v/>
      </c>
      <c r="S89" s="239" t="str">
        <f>IF(D89="","",VLOOKUP(D89,'G-6 Hedgerow Data'!$B$3:$AG$15,31,FALSE))</f>
        <v/>
      </c>
      <c r="T89" s="179" t="str">
        <f t="shared" si="9"/>
        <v/>
      </c>
      <c r="U89" s="179" t="str">
        <f t="shared" si="10"/>
        <v/>
      </c>
      <c r="V89" s="176" t="str">
        <f>IF(D89="","",VLOOKUP(S89,'G-3 Multipliers'!$P$3:$Q$6,2,FALSE))</f>
        <v/>
      </c>
      <c r="W89" s="274" t="str">
        <f t="shared" si="11"/>
        <v/>
      </c>
      <c r="X89" s="180"/>
      <c r="Y89" s="181"/>
      <c r="AG89" s="35" t="str">
        <f>IFERROR(INDEX('G-6 Hedgerow Data'!$BJ$3:$BJ$15,MATCH(D89,'G-6 Hedgerow Data'!$B$3:$B$15,0)),"")</f>
        <v/>
      </c>
    </row>
    <row r="90" spans="2:33" ht="13.8" x14ac:dyDescent="0.25">
      <c r="B90" s="168">
        <v>79</v>
      </c>
      <c r="C90" s="278"/>
      <c r="D90" s="261"/>
      <c r="E90" s="213"/>
      <c r="F90" s="277" t="str">
        <f>IF(D90="","",VLOOKUP(D90,'G-6 Hedgerow Data'!$B$2:$AG$15,2,FALSE))</f>
        <v/>
      </c>
      <c r="G90" s="172" t="str">
        <f>IF(D90="","",VLOOKUP(D90,'G-6 Hedgerow Data'!$B$2:$AG$15,3,FALSE))</f>
        <v/>
      </c>
      <c r="H90" s="173"/>
      <c r="I90" s="172" t="str">
        <f>IFERROR(VLOOKUP(H90,'G-1 All Habitats'!$Z$2:$AA$9,2,FALSE),"")</f>
        <v/>
      </c>
      <c r="J90" s="173"/>
      <c r="K90" s="175" t="str">
        <f>IF(J90="","",IF(VLOOKUP(J90,'G-3 Multipliers'!$L$3:$N$6,2,FALSE)=0,"Spatial Data Missing",VLOOKUP(J90,'G-3 Multipliers'!$L$3:$N$6,2,FALSE)))</f>
        <v/>
      </c>
      <c r="L90" s="260" t="str">
        <f>IF(J90="","",IF(VLOOKUP(J90,'G-3 Multipliers'!$L$3:$N$6,3,FALSE)=0,"Spatial Data Missing",VLOOKUP(J90,'G-3 Multipliers'!$L$3:$N$6,3,FALSE)))</f>
        <v/>
      </c>
      <c r="M90" s="171" t="str">
        <f>IF(OR(D90="",H90=""),"",(INDEX('G-6 Hedgerow Data'!$E$3:$I$15,MATCH(D90,'G-6 Hedgerow Data'!$B$3:$B$15,0),MATCH(H90,'G-6 Hedgerow Data'!$E$2:$I$2,0))))</f>
        <v/>
      </c>
      <c r="N90" s="261"/>
      <c r="O90" s="261"/>
      <c r="P90" s="179" t="str">
        <f t="shared" si="7"/>
        <v/>
      </c>
      <c r="Q90" s="262" t="str">
        <f t="shared" si="8"/>
        <v/>
      </c>
      <c r="R90" s="263" t="str">
        <f t="shared" si="6"/>
        <v/>
      </c>
      <c r="S90" s="239" t="str">
        <f>IF(D90="","",VLOOKUP(D90,'G-6 Hedgerow Data'!$B$3:$AG$15,31,FALSE))</f>
        <v/>
      </c>
      <c r="T90" s="179" t="str">
        <f t="shared" si="9"/>
        <v/>
      </c>
      <c r="U90" s="179" t="str">
        <f t="shared" si="10"/>
        <v/>
      </c>
      <c r="V90" s="176" t="str">
        <f>IF(D90="","",VLOOKUP(S90,'G-3 Multipliers'!$P$3:$Q$6,2,FALSE))</f>
        <v/>
      </c>
      <c r="W90" s="274" t="str">
        <f t="shared" si="11"/>
        <v/>
      </c>
      <c r="X90" s="180"/>
      <c r="Y90" s="181"/>
      <c r="AG90" s="35" t="str">
        <f>IFERROR(INDEX('G-6 Hedgerow Data'!$BJ$3:$BJ$15,MATCH(D90,'G-6 Hedgerow Data'!$B$3:$B$15,0)),"")</f>
        <v/>
      </c>
    </row>
    <row r="91" spans="2:33" ht="13.8" x14ac:dyDescent="0.25">
      <c r="B91" s="168">
        <v>80</v>
      </c>
      <c r="C91" s="278"/>
      <c r="D91" s="261"/>
      <c r="E91" s="213"/>
      <c r="F91" s="277" t="str">
        <f>IF(D91="","",VLOOKUP(D91,'G-6 Hedgerow Data'!$B$2:$AG$15,2,FALSE))</f>
        <v/>
      </c>
      <c r="G91" s="172" t="str">
        <f>IF(D91="","",VLOOKUP(D91,'G-6 Hedgerow Data'!$B$2:$AG$15,3,FALSE))</f>
        <v/>
      </c>
      <c r="H91" s="173"/>
      <c r="I91" s="172" t="str">
        <f>IFERROR(VLOOKUP(H91,'G-1 All Habitats'!$Z$2:$AA$9,2,FALSE),"")</f>
        <v/>
      </c>
      <c r="J91" s="173"/>
      <c r="K91" s="175" t="str">
        <f>IF(J91="","",IF(VLOOKUP(J91,'G-3 Multipliers'!$L$3:$N$6,2,FALSE)=0,"Spatial Data Missing",VLOOKUP(J91,'G-3 Multipliers'!$L$3:$N$6,2,FALSE)))</f>
        <v/>
      </c>
      <c r="L91" s="260" t="str">
        <f>IF(J91="","",IF(VLOOKUP(J91,'G-3 Multipliers'!$L$3:$N$6,3,FALSE)=0,"Spatial Data Missing",VLOOKUP(J91,'G-3 Multipliers'!$L$3:$N$6,3,FALSE)))</f>
        <v/>
      </c>
      <c r="M91" s="171" t="str">
        <f>IF(OR(D91="",H91=""),"",(INDEX('G-6 Hedgerow Data'!$E$3:$I$15,MATCH(D91,'G-6 Hedgerow Data'!$B$3:$B$15,0),MATCH(H91,'G-6 Hedgerow Data'!$E$2:$I$2,0))))</f>
        <v/>
      </c>
      <c r="N91" s="261"/>
      <c r="O91" s="261"/>
      <c r="P91" s="179" t="str">
        <f t="shared" si="7"/>
        <v/>
      </c>
      <c r="Q91" s="262" t="str">
        <f t="shared" si="8"/>
        <v/>
      </c>
      <c r="R91" s="263" t="str">
        <f t="shared" si="6"/>
        <v/>
      </c>
      <c r="S91" s="239" t="str">
        <f>IF(D91="","",VLOOKUP(D91,'G-6 Hedgerow Data'!$B$3:$AG$15,31,FALSE))</f>
        <v/>
      </c>
      <c r="T91" s="179" t="str">
        <f t="shared" si="9"/>
        <v/>
      </c>
      <c r="U91" s="179" t="str">
        <f t="shared" si="10"/>
        <v/>
      </c>
      <c r="V91" s="176" t="str">
        <f>IF(D91="","",VLOOKUP(S91,'G-3 Multipliers'!$P$3:$Q$6,2,FALSE))</f>
        <v/>
      </c>
      <c r="W91" s="274" t="str">
        <f t="shared" si="11"/>
        <v/>
      </c>
      <c r="X91" s="180"/>
      <c r="Y91" s="181"/>
      <c r="AG91" s="35" t="str">
        <f>IFERROR(INDEX('G-6 Hedgerow Data'!$BJ$3:$BJ$15,MATCH(D91,'G-6 Hedgerow Data'!$B$3:$B$15,0)),"")</f>
        <v/>
      </c>
    </row>
    <row r="92" spans="2:33" ht="13.8" x14ac:dyDescent="0.25">
      <c r="B92" s="168">
        <v>81</v>
      </c>
      <c r="C92" s="278"/>
      <c r="D92" s="261"/>
      <c r="E92" s="213"/>
      <c r="F92" s="277" t="str">
        <f>IF(D92="","",VLOOKUP(D92,'G-6 Hedgerow Data'!$B$2:$AG$15,2,FALSE))</f>
        <v/>
      </c>
      <c r="G92" s="172" t="str">
        <f>IF(D92="","",VLOOKUP(D92,'G-6 Hedgerow Data'!$B$2:$AG$15,3,FALSE))</f>
        <v/>
      </c>
      <c r="H92" s="173"/>
      <c r="I92" s="172" t="str">
        <f>IFERROR(VLOOKUP(H92,'G-1 All Habitats'!$Z$2:$AA$9,2,FALSE),"")</f>
        <v/>
      </c>
      <c r="J92" s="173"/>
      <c r="K92" s="175" t="str">
        <f>IF(J92="","",IF(VLOOKUP(J92,'G-3 Multipliers'!$L$3:$N$6,2,FALSE)=0,"Spatial Data Missing",VLOOKUP(J92,'G-3 Multipliers'!$L$3:$N$6,2,FALSE)))</f>
        <v/>
      </c>
      <c r="L92" s="260" t="str">
        <f>IF(J92="","",IF(VLOOKUP(J92,'G-3 Multipliers'!$L$3:$N$6,3,FALSE)=0,"Spatial Data Missing",VLOOKUP(J92,'G-3 Multipliers'!$L$3:$N$6,3,FALSE)))</f>
        <v/>
      </c>
      <c r="M92" s="171" t="str">
        <f>IF(OR(D92="",H92=""),"",(INDEX('G-6 Hedgerow Data'!$E$3:$I$15,MATCH(D92,'G-6 Hedgerow Data'!$B$3:$B$15,0),MATCH(H92,'G-6 Hedgerow Data'!$E$2:$I$2,0))))</f>
        <v/>
      </c>
      <c r="N92" s="261"/>
      <c r="O92" s="261"/>
      <c r="P92" s="179" t="str">
        <f t="shared" si="7"/>
        <v/>
      </c>
      <c r="Q92" s="262" t="str">
        <f t="shared" si="8"/>
        <v/>
      </c>
      <c r="R92" s="263" t="str">
        <f t="shared" si="6"/>
        <v/>
      </c>
      <c r="S92" s="239" t="str">
        <f>IF(D92="","",VLOOKUP(D92,'G-6 Hedgerow Data'!$B$3:$AG$15,31,FALSE))</f>
        <v/>
      </c>
      <c r="T92" s="179" t="str">
        <f t="shared" si="9"/>
        <v/>
      </c>
      <c r="U92" s="179" t="str">
        <f t="shared" si="10"/>
        <v/>
      </c>
      <c r="V92" s="176" t="str">
        <f>IF(D92="","",VLOOKUP(S92,'G-3 Multipliers'!$P$3:$Q$6,2,FALSE))</f>
        <v/>
      </c>
      <c r="W92" s="274" t="str">
        <f t="shared" si="11"/>
        <v/>
      </c>
      <c r="X92" s="180"/>
      <c r="Y92" s="181"/>
      <c r="AG92" s="35" t="str">
        <f>IFERROR(INDEX('G-6 Hedgerow Data'!$BJ$3:$BJ$15,MATCH(D92,'G-6 Hedgerow Data'!$B$3:$B$15,0)),"")</f>
        <v/>
      </c>
    </row>
    <row r="93" spans="2:33" ht="13.8" x14ac:dyDescent="0.25">
      <c r="B93" s="168">
        <v>82</v>
      </c>
      <c r="C93" s="278"/>
      <c r="D93" s="261"/>
      <c r="E93" s="213"/>
      <c r="F93" s="277" t="str">
        <f>IF(D93="","",VLOOKUP(D93,'G-6 Hedgerow Data'!$B$2:$AG$15,2,FALSE))</f>
        <v/>
      </c>
      <c r="G93" s="172" t="str">
        <f>IF(D93="","",VLOOKUP(D93,'G-6 Hedgerow Data'!$B$2:$AG$15,3,FALSE))</f>
        <v/>
      </c>
      <c r="H93" s="173"/>
      <c r="I93" s="172" t="str">
        <f>IFERROR(VLOOKUP(H93,'G-1 All Habitats'!$Z$2:$AA$9,2,FALSE),"")</f>
        <v/>
      </c>
      <c r="J93" s="173"/>
      <c r="K93" s="175" t="str">
        <f>IF(J93="","",IF(VLOOKUP(J93,'G-3 Multipliers'!$L$3:$N$6,2,FALSE)=0,"Spatial Data Missing",VLOOKUP(J93,'G-3 Multipliers'!$L$3:$N$6,2,FALSE)))</f>
        <v/>
      </c>
      <c r="L93" s="260" t="str">
        <f>IF(J93="","",IF(VLOOKUP(J93,'G-3 Multipliers'!$L$3:$N$6,3,FALSE)=0,"Spatial Data Missing",VLOOKUP(J93,'G-3 Multipliers'!$L$3:$N$6,3,FALSE)))</f>
        <v/>
      </c>
      <c r="M93" s="171" t="str">
        <f>IF(OR(D93="",H93=""),"",(INDEX('G-6 Hedgerow Data'!$E$3:$I$15,MATCH(D93,'G-6 Hedgerow Data'!$B$3:$B$15,0),MATCH(H93,'G-6 Hedgerow Data'!$E$2:$I$2,0))))</f>
        <v/>
      </c>
      <c r="N93" s="261"/>
      <c r="O93" s="261"/>
      <c r="P93" s="179" t="str">
        <f t="shared" si="7"/>
        <v/>
      </c>
      <c r="Q93" s="262" t="str">
        <f t="shared" si="8"/>
        <v/>
      </c>
      <c r="R93" s="263" t="str">
        <f t="shared" si="6"/>
        <v/>
      </c>
      <c r="S93" s="239" t="str">
        <f>IF(D93="","",VLOOKUP(D93,'G-6 Hedgerow Data'!$B$3:$AG$15,31,FALSE))</f>
        <v/>
      </c>
      <c r="T93" s="179" t="str">
        <f t="shared" si="9"/>
        <v/>
      </c>
      <c r="U93" s="179" t="str">
        <f t="shared" si="10"/>
        <v/>
      </c>
      <c r="V93" s="176" t="str">
        <f>IF(D93="","",VLOOKUP(S93,'G-3 Multipliers'!$P$3:$Q$6,2,FALSE))</f>
        <v/>
      </c>
      <c r="W93" s="274" t="str">
        <f t="shared" si="11"/>
        <v/>
      </c>
      <c r="X93" s="180"/>
      <c r="Y93" s="181"/>
      <c r="AG93" s="35" t="str">
        <f>IFERROR(INDEX('G-6 Hedgerow Data'!$BJ$3:$BJ$15,MATCH(D93,'G-6 Hedgerow Data'!$B$3:$B$15,0)),"")</f>
        <v/>
      </c>
    </row>
    <row r="94" spans="2:33" ht="13.8" x14ac:dyDescent="0.25">
      <c r="B94" s="168">
        <v>83</v>
      </c>
      <c r="C94" s="278"/>
      <c r="D94" s="261"/>
      <c r="E94" s="213"/>
      <c r="F94" s="277" t="str">
        <f>IF(D94="","",VLOOKUP(D94,'G-6 Hedgerow Data'!$B$2:$AG$15,2,FALSE))</f>
        <v/>
      </c>
      <c r="G94" s="172" t="str">
        <f>IF(D94="","",VLOOKUP(D94,'G-6 Hedgerow Data'!$B$2:$AG$15,3,FALSE))</f>
        <v/>
      </c>
      <c r="H94" s="173"/>
      <c r="I94" s="172" t="str">
        <f>IFERROR(VLOOKUP(H94,'G-1 All Habitats'!$Z$2:$AA$9,2,FALSE),"")</f>
        <v/>
      </c>
      <c r="J94" s="173"/>
      <c r="K94" s="175" t="str">
        <f>IF(J94="","",IF(VLOOKUP(J94,'G-3 Multipliers'!$L$3:$N$6,2,FALSE)=0,"Spatial Data Missing",VLOOKUP(J94,'G-3 Multipliers'!$L$3:$N$6,2,FALSE)))</f>
        <v/>
      </c>
      <c r="L94" s="260" t="str">
        <f>IF(J94="","",IF(VLOOKUP(J94,'G-3 Multipliers'!$L$3:$N$6,3,FALSE)=0,"Spatial Data Missing",VLOOKUP(J94,'G-3 Multipliers'!$L$3:$N$6,3,FALSE)))</f>
        <v/>
      </c>
      <c r="M94" s="171" t="str">
        <f>IF(OR(D94="",H94=""),"",(INDEX('G-6 Hedgerow Data'!$E$3:$I$15,MATCH(D94,'G-6 Hedgerow Data'!$B$3:$B$15,0),MATCH(H94,'G-6 Hedgerow Data'!$E$2:$I$2,0))))</f>
        <v/>
      </c>
      <c r="N94" s="261"/>
      <c r="O94" s="261"/>
      <c r="P94" s="179" t="str">
        <f t="shared" si="7"/>
        <v/>
      </c>
      <c r="Q94" s="262" t="str">
        <f t="shared" si="8"/>
        <v/>
      </c>
      <c r="R94" s="263" t="str">
        <f t="shared" si="6"/>
        <v/>
      </c>
      <c r="S94" s="239" t="str">
        <f>IF(D94="","",VLOOKUP(D94,'G-6 Hedgerow Data'!$B$3:$AG$15,31,FALSE))</f>
        <v/>
      </c>
      <c r="T94" s="179" t="str">
        <f t="shared" si="9"/>
        <v/>
      </c>
      <c r="U94" s="179" t="str">
        <f t="shared" si="10"/>
        <v/>
      </c>
      <c r="V94" s="176" t="str">
        <f>IF(D94="","",VLOOKUP(S94,'G-3 Multipliers'!$P$3:$Q$6,2,FALSE))</f>
        <v/>
      </c>
      <c r="W94" s="274" t="str">
        <f t="shared" si="11"/>
        <v/>
      </c>
      <c r="X94" s="180"/>
      <c r="Y94" s="181"/>
      <c r="AG94" s="35" t="str">
        <f>IFERROR(INDEX('G-6 Hedgerow Data'!$BJ$3:$BJ$15,MATCH(D94,'G-6 Hedgerow Data'!$B$3:$B$15,0)),"")</f>
        <v/>
      </c>
    </row>
    <row r="95" spans="2:33" ht="13.8" x14ac:dyDescent="0.25">
      <c r="B95" s="168">
        <v>84</v>
      </c>
      <c r="C95" s="278"/>
      <c r="D95" s="261"/>
      <c r="E95" s="213"/>
      <c r="F95" s="277" t="str">
        <f>IF(D95="","",VLOOKUP(D95,'G-6 Hedgerow Data'!$B$2:$AG$15,2,FALSE))</f>
        <v/>
      </c>
      <c r="G95" s="172" t="str">
        <f>IF(D95="","",VLOOKUP(D95,'G-6 Hedgerow Data'!$B$2:$AG$15,3,FALSE))</f>
        <v/>
      </c>
      <c r="H95" s="173"/>
      <c r="I95" s="172" t="str">
        <f>IFERROR(VLOOKUP(H95,'G-1 All Habitats'!$Z$2:$AA$9,2,FALSE),"")</f>
        <v/>
      </c>
      <c r="J95" s="173"/>
      <c r="K95" s="175" t="str">
        <f>IF(J95="","",IF(VLOOKUP(J95,'G-3 Multipliers'!$L$3:$N$6,2,FALSE)=0,"Spatial Data Missing",VLOOKUP(J95,'G-3 Multipliers'!$L$3:$N$6,2,FALSE)))</f>
        <v/>
      </c>
      <c r="L95" s="260" t="str">
        <f>IF(J95="","",IF(VLOOKUP(J95,'G-3 Multipliers'!$L$3:$N$6,3,FALSE)=0,"Spatial Data Missing",VLOOKUP(J95,'G-3 Multipliers'!$L$3:$N$6,3,FALSE)))</f>
        <v/>
      </c>
      <c r="M95" s="171" t="str">
        <f>IF(OR(D95="",H95=""),"",(INDEX('G-6 Hedgerow Data'!$E$3:$I$15,MATCH(D95,'G-6 Hedgerow Data'!$B$3:$B$15,0),MATCH(H95,'G-6 Hedgerow Data'!$E$2:$I$2,0))))</f>
        <v/>
      </c>
      <c r="N95" s="261"/>
      <c r="O95" s="261"/>
      <c r="P95" s="179" t="str">
        <f t="shared" si="7"/>
        <v/>
      </c>
      <c r="Q95" s="262" t="str">
        <f t="shared" si="8"/>
        <v/>
      </c>
      <c r="R95" s="263" t="str">
        <f t="shared" si="6"/>
        <v/>
      </c>
      <c r="S95" s="239" t="str">
        <f>IF(D95="","",VLOOKUP(D95,'G-6 Hedgerow Data'!$B$3:$AG$15,31,FALSE))</f>
        <v/>
      </c>
      <c r="T95" s="179" t="str">
        <f t="shared" si="9"/>
        <v/>
      </c>
      <c r="U95" s="179" t="str">
        <f t="shared" si="10"/>
        <v/>
      </c>
      <c r="V95" s="176" t="str">
        <f>IF(D95="","",VLOOKUP(S95,'G-3 Multipliers'!$P$3:$Q$6,2,FALSE))</f>
        <v/>
      </c>
      <c r="W95" s="274" t="str">
        <f t="shared" si="11"/>
        <v/>
      </c>
      <c r="X95" s="180"/>
      <c r="Y95" s="181"/>
      <c r="AG95" s="35" t="str">
        <f>IFERROR(INDEX('G-6 Hedgerow Data'!$BJ$3:$BJ$15,MATCH(D95,'G-6 Hedgerow Data'!$B$3:$B$15,0)),"")</f>
        <v/>
      </c>
    </row>
    <row r="96" spans="2:33" ht="13.8" x14ac:dyDescent="0.25">
      <c r="B96" s="168">
        <v>85</v>
      </c>
      <c r="C96" s="278"/>
      <c r="D96" s="261"/>
      <c r="E96" s="213"/>
      <c r="F96" s="277" t="str">
        <f>IF(D96="","",VLOOKUP(D96,'G-6 Hedgerow Data'!$B$2:$AG$15,2,FALSE))</f>
        <v/>
      </c>
      <c r="G96" s="172" t="str">
        <f>IF(D96="","",VLOOKUP(D96,'G-6 Hedgerow Data'!$B$2:$AG$15,3,FALSE))</f>
        <v/>
      </c>
      <c r="H96" s="173"/>
      <c r="I96" s="172" t="str">
        <f>IFERROR(VLOOKUP(H96,'G-1 All Habitats'!$Z$2:$AA$9,2,FALSE),"")</f>
        <v/>
      </c>
      <c r="J96" s="173"/>
      <c r="K96" s="175" t="str">
        <f>IF(J96="","",IF(VLOOKUP(J96,'G-3 Multipliers'!$L$3:$N$6,2,FALSE)=0,"Spatial Data Missing",VLOOKUP(J96,'G-3 Multipliers'!$L$3:$N$6,2,FALSE)))</f>
        <v/>
      </c>
      <c r="L96" s="260" t="str">
        <f>IF(J96="","",IF(VLOOKUP(J96,'G-3 Multipliers'!$L$3:$N$6,3,FALSE)=0,"Spatial Data Missing",VLOOKUP(J96,'G-3 Multipliers'!$L$3:$N$6,3,FALSE)))</f>
        <v/>
      </c>
      <c r="M96" s="171" t="str">
        <f>IF(OR(D96="",H96=""),"",(INDEX('G-6 Hedgerow Data'!$E$3:$I$15,MATCH(D96,'G-6 Hedgerow Data'!$B$3:$B$15,0),MATCH(H96,'G-6 Hedgerow Data'!$E$2:$I$2,0))))</f>
        <v/>
      </c>
      <c r="N96" s="261"/>
      <c r="O96" s="261"/>
      <c r="P96" s="179" t="str">
        <f t="shared" si="7"/>
        <v/>
      </c>
      <c r="Q96" s="262" t="str">
        <f t="shared" si="8"/>
        <v/>
      </c>
      <c r="R96" s="263" t="str">
        <f t="shared" si="6"/>
        <v/>
      </c>
      <c r="S96" s="239" t="str">
        <f>IF(D96="","",VLOOKUP(D96,'G-6 Hedgerow Data'!$B$3:$AG$15,31,FALSE))</f>
        <v/>
      </c>
      <c r="T96" s="179" t="str">
        <f t="shared" si="9"/>
        <v/>
      </c>
      <c r="U96" s="179" t="str">
        <f t="shared" si="10"/>
        <v/>
      </c>
      <c r="V96" s="176" t="str">
        <f>IF(D96="","",VLOOKUP(S96,'G-3 Multipliers'!$P$3:$Q$6,2,FALSE))</f>
        <v/>
      </c>
      <c r="W96" s="274" t="str">
        <f t="shared" si="11"/>
        <v/>
      </c>
      <c r="X96" s="180"/>
      <c r="Y96" s="181"/>
      <c r="AG96" s="35" t="str">
        <f>IFERROR(INDEX('G-6 Hedgerow Data'!$BJ$3:$BJ$15,MATCH(D96,'G-6 Hedgerow Data'!$B$3:$B$15,0)),"")</f>
        <v/>
      </c>
    </row>
    <row r="97" spans="2:33" ht="13.8" x14ac:dyDescent="0.25">
      <c r="B97" s="168">
        <v>86</v>
      </c>
      <c r="C97" s="278"/>
      <c r="D97" s="261"/>
      <c r="E97" s="213"/>
      <c r="F97" s="277" t="str">
        <f>IF(D97="","",VLOOKUP(D97,'G-6 Hedgerow Data'!$B$2:$AG$15,2,FALSE))</f>
        <v/>
      </c>
      <c r="G97" s="172" t="str">
        <f>IF(D97="","",VLOOKUP(D97,'G-6 Hedgerow Data'!$B$2:$AG$15,3,FALSE))</f>
        <v/>
      </c>
      <c r="H97" s="173"/>
      <c r="I97" s="172" t="str">
        <f>IFERROR(VLOOKUP(H97,'G-1 All Habitats'!$Z$2:$AA$9,2,FALSE),"")</f>
        <v/>
      </c>
      <c r="J97" s="173"/>
      <c r="K97" s="175" t="str">
        <f>IF(J97="","",IF(VLOOKUP(J97,'G-3 Multipliers'!$L$3:$N$6,2,FALSE)=0,"Spatial Data Missing",VLOOKUP(J97,'G-3 Multipliers'!$L$3:$N$6,2,FALSE)))</f>
        <v/>
      </c>
      <c r="L97" s="260" t="str">
        <f>IF(J97="","",IF(VLOOKUP(J97,'G-3 Multipliers'!$L$3:$N$6,3,FALSE)=0,"Spatial Data Missing",VLOOKUP(J97,'G-3 Multipliers'!$L$3:$N$6,3,FALSE)))</f>
        <v/>
      </c>
      <c r="M97" s="171" t="str">
        <f>IF(OR(D97="",H97=""),"",(INDEX('G-6 Hedgerow Data'!$E$3:$I$15,MATCH(D97,'G-6 Hedgerow Data'!$B$3:$B$15,0),MATCH(H97,'G-6 Hedgerow Data'!$E$2:$I$2,0))))</f>
        <v/>
      </c>
      <c r="N97" s="261"/>
      <c r="O97" s="261"/>
      <c r="P97" s="179" t="str">
        <f t="shared" si="7"/>
        <v/>
      </c>
      <c r="Q97" s="262" t="str">
        <f t="shared" si="8"/>
        <v/>
      </c>
      <c r="R97" s="263" t="str">
        <f t="shared" si="6"/>
        <v/>
      </c>
      <c r="S97" s="239" t="str">
        <f>IF(D97="","",VLOOKUP(D97,'G-6 Hedgerow Data'!$B$3:$AG$15,31,FALSE))</f>
        <v/>
      </c>
      <c r="T97" s="179" t="str">
        <f t="shared" si="9"/>
        <v/>
      </c>
      <c r="U97" s="179" t="str">
        <f t="shared" si="10"/>
        <v/>
      </c>
      <c r="V97" s="176" t="str">
        <f>IF(D97="","",VLOOKUP(S97,'G-3 Multipliers'!$P$3:$Q$6,2,FALSE))</f>
        <v/>
      </c>
      <c r="W97" s="274" t="str">
        <f t="shared" si="11"/>
        <v/>
      </c>
      <c r="X97" s="180"/>
      <c r="Y97" s="181"/>
      <c r="AG97" s="35" t="str">
        <f>IFERROR(INDEX('G-6 Hedgerow Data'!$BJ$3:$BJ$15,MATCH(D97,'G-6 Hedgerow Data'!$B$3:$B$15,0)),"")</f>
        <v/>
      </c>
    </row>
    <row r="98" spans="2:33" ht="13.8" x14ac:dyDescent="0.25">
      <c r="B98" s="168">
        <v>87</v>
      </c>
      <c r="C98" s="278"/>
      <c r="D98" s="261"/>
      <c r="E98" s="213"/>
      <c r="F98" s="277" t="str">
        <f>IF(D98="","",VLOOKUP(D98,'G-6 Hedgerow Data'!$B$2:$AG$15,2,FALSE))</f>
        <v/>
      </c>
      <c r="G98" s="172" t="str">
        <f>IF(D98="","",VLOOKUP(D98,'G-6 Hedgerow Data'!$B$2:$AG$15,3,FALSE))</f>
        <v/>
      </c>
      <c r="H98" s="173"/>
      <c r="I98" s="172" t="str">
        <f>IFERROR(VLOOKUP(H98,'G-1 All Habitats'!$Z$2:$AA$9,2,FALSE),"")</f>
        <v/>
      </c>
      <c r="J98" s="173"/>
      <c r="K98" s="175" t="str">
        <f>IF(J98="","",IF(VLOOKUP(J98,'G-3 Multipliers'!$L$3:$N$6,2,FALSE)=0,"Spatial Data Missing",VLOOKUP(J98,'G-3 Multipliers'!$L$3:$N$6,2,FALSE)))</f>
        <v/>
      </c>
      <c r="L98" s="260" t="str">
        <f>IF(J98="","",IF(VLOOKUP(J98,'G-3 Multipliers'!$L$3:$N$6,3,FALSE)=0,"Spatial Data Missing",VLOOKUP(J98,'G-3 Multipliers'!$L$3:$N$6,3,FALSE)))</f>
        <v/>
      </c>
      <c r="M98" s="171" t="str">
        <f>IF(OR(D98="",H98=""),"",(INDEX('G-6 Hedgerow Data'!$E$3:$I$15,MATCH(D98,'G-6 Hedgerow Data'!$B$3:$B$15,0),MATCH(H98,'G-6 Hedgerow Data'!$E$2:$I$2,0))))</f>
        <v/>
      </c>
      <c r="N98" s="261"/>
      <c r="O98" s="261"/>
      <c r="P98" s="179" t="str">
        <f t="shared" si="7"/>
        <v/>
      </c>
      <c r="Q98" s="262" t="str">
        <f t="shared" si="8"/>
        <v/>
      </c>
      <c r="R98" s="263" t="str">
        <f t="shared" si="6"/>
        <v/>
      </c>
      <c r="S98" s="239" t="str">
        <f>IF(D98="","",VLOOKUP(D98,'G-6 Hedgerow Data'!$B$3:$AG$15,31,FALSE))</f>
        <v/>
      </c>
      <c r="T98" s="179" t="str">
        <f t="shared" si="9"/>
        <v/>
      </c>
      <c r="U98" s="179" t="str">
        <f t="shared" si="10"/>
        <v/>
      </c>
      <c r="V98" s="176" t="str">
        <f>IF(D98="","",VLOOKUP(S98,'G-3 Multipliers'!$P$3:$Q$6,2,FALSE))</f>
        <v/>
      </c>
      <c r="W98" s="274" t="str">
        <f t="shared" si="11"/>
        <v/>
      </c>
      <c r="X98" s="180"/>
      <c r="Y98" s="181"/>
      <c r="AG98" s="35" t="str">
        <f>IFERROR(INDEX('G-6 Hedgerow Data'!$BJ$3:$BJ$15,MATCH(D98,'G-6 Hedgerow Data'!$B$3:$B$15,0)),"")</f>
        <v/>
      </c>
    </row>
    <row r="99" spans="2:33" ht="13.8" x14ac:dyDescent="0.25">
      <c r="B99" s="168">
        <v>88</v>
      </c>
      <c r="C99" s="278"/>
      <c r="D99" s="261"/>
      <c r="E99" s="213"/>
      <c r="F99" s="277" t="str">
        <f>IF(D99="","",VLOOKUP(D99,'G-6 Hedgerow Data'!$B$2:$AG$15,2,FALSE))</f>
        <v/>
      </c>
      <c r="G99" s="172" t="str">
        <f>IF(D99="","",VLOOKUP(D99,'G-6 Hedgerow Data'!$B$2:$AG$15,3,FALSE))</f>
        <v/>
      </c>
      <c r="H99" s="173"/>
      <c r="I99" s="172" t="str">
        <f>IFERROR(VLOOKUP(H99,'G-1 All Habitats'!$Z$2:$AA$9,2,FALSE),"")</f>
        <v/>
      </c>
      <c r="J99" s="173"/>
      <c r="K99" s="175" t="str">
        <f>IF(J99="","",IF(VLOOKUP(J99,'G-3 Multipliers'!$L$3:$N$6,2,FALSE)=0,"Spatial Data Missing",VLOOKUP(J99,'G-3 Multipliers'!$L$3:$N$6,2,FALSE)))</f>
        <v/>
      </c>
      <c r="L99" s="260" t="str">
        <f>IF(J99="","",IF(VLOOKUP(J99,'G-3 Multipliers'!$L$3:$N$6,3,FALSE)=0,"Spatial Data Missing",VLOOKUP(J99,'G-3 Multipliers'!$L$3:$N$6,3,FALSE)))</f>
        <v/>
      </c>
      <c r="M99" s="171" t="str">
        <f>IF(OR(D99="",H99=""),"",(INDEX('G-6 Hedgerow Data'!$E$3:$I$15,MATCH(D99,'G-6 Hedgerow Data'!$B$3:$B$15,0),MATCH(H99,'G-6 Hedgerow Data'!$E$2:$I$2,0))))</f>
        <v/>
      </c>
      <c r="N99" s="261"/>
      <c r="O99" s="261"/>
      <c r="P99" s="179" t="str">
        <f t="shared" si="7"/>
        <v/>
      </c>
      <c r="Q99" s="262" t="str">
        <f t="shared" si="8"/>
        <v/>
      </c>
      <c r="R99" s="263" t="str">
        <f t="shared" si="6"/>
        <v/>
      </c>
      <c r="S99" s="239" t="str">
        <f>IF(D99="","",VLOOKUP(D99,'G-6 Hedgerow Data'!$B$3:$AG$15,31,FALSE))</f>
        <v/>
      </c>
      <c r="T99" s="179" t="str">
        <f t="shared" si="9"/>
        <v/>
      </c>
      <c r="U99" s="179" t="str">
        <f t="shared" si="10"/>
        <v/>
      </c>
      <c r="V99" s="176" t="str">
        <f>IF(D99="","",VLOOKUP(S99,'G-3 Multipliers'!$P$3:$Q$6,2,FALSE))</f>
        <v/>
      </c>
      <c r="W99" s="274" t="str">
        <f t="shared" si="11"/>
        <v/>
      </c>
      <c r="X99" s="180"/>
      <c r="Y99" s="181"/>
      <c r="AG99" s="35" t="str">
        <f>IFERROR(INDEX('G-6 Hedgerow Data'!$BJ$3:$BJ$15,MATCH(D99,'G-6 Hedgerow Data'!$B$3:$B$15,0)),"")</f>
        <v/>
      </c>
    </row>
    <row r="100" spans="2:33" ht="13.8" x14ac:dyDescent="0.25">
      <c r="B100" s="168">
        <v>89</v>
      </c>
      <c r="C100" s="278"/>
      <c r="D100" s="261"/>
      <c r="E100" s="213"/>
      <c r="F100" s="277" t="str">
        <f>IF(D100="","",VLOOKUP(D100,'G-6 Hedgerow Data'!$B$2:$AG$15,2,FALSE))</f>
        <v/>
      </c>
      <c r="G100" s="172" t="str">
        <f>IF(D100="","",VLOOKUP(D100,'G-6 Hedgerow Data'!$B$2:$AG$15,3,FALSE))</f>
        <v/>
      </c>
      <c r="H100" s="173"/>
      <c r="I100" s="172" t="str">
        <f>IFERROR(VLOOKUP(H100,'G-1 All Habitats'!$Z$2:$AA$9,2,FALSE),"")</f>
        <v/>
      </c>
      <c r="J100" s="173"/>
      <c r="K100" s="175" t="str">
        <f>IF(J100="","",IF(VLOOKUP(J100,'G-3 Multipliers'!$L$3:$N$6,2,FALSE)=0,"Spatial Data Missing",VLOOKUP(J100,'G-3 Multipliers'!$L$3:$N$6,2,FALSE)))</f>
        <v/>
      </c>
      <c r="L100" s="260" t="str">
        <f>IF(J100="","",IF(VLOOKUP(J100,'G-3 Multipliers'!$L$3:$N$6,3,FALSE)=0,"Spatial Data Missing",VLOOKUP(J100,'G-3 Multipliers'!$L$3:$N$6,3,FALSE)))</f>
        <v/>
      </c>
      <c r="M100" s="171" t="str">
        <f>IF(OR(D100="",H100=""),"",(INDEX('G-6 Hedgerow Data'!$E$3:$I$15,MATCH(D100,'G-6 Hedgerow Data'!$B$3:$B$15,0),MATCH(H100,'G-6 Hedgerow Data'!$E$2:$I$2,0))))</f>
        <v/>
      </c>
      <c r="N100" s="261"/>
      <c r="O100" s="261"/>
      <c r="P100" s="179" t="str">
        <f t="shared" si="7"/>
        <v/>
      </c>
      <c r="Q100" s="262" t="str">
        <f t="shared" si="8"/>
        <v/>
      </c>
      <c r="R100" s="263" t="str">
        <f t="shared" si="6"/>
        <v/>
      </c>
      <c r="S100" s="239" t="str">
        <f>IF(D100="","",VLOOKUP(D100,'G-6 Hedgerow Data'!$B$3:$AG$15,31,FALSE))</f>
        <v/>
      </c>
      <c r="T100" s="179" t="str">
        <f t="shared" si="9"/>
        <v/>
      </c>
      <c r="U100" s="179" t="str">
        <f t="shared" si="10"/>
        <v/>
      </c>
      <c r="V100" s="176" t="str">
        <f>IF(D100="","",VLOOKUP(S100,'G-3 Multipliers'!$P$3:$Q$6,2,FALSE))</f>
        <v/>
      </c>
      <c r="W100" s="274" t="str">
        <f t="shared" si="11"/>
        <v/>
      </c>
      <c r="X100" s="180"/>
      <c r="Y100" s="181"/>
      <c r="AG100" s="35" t="str">
        <f>IFERROR(INDEX('G-6 Hedgerow Data'!$BJ$3:$BJ$15,MATCH(D100,'G-6 Hedgerow Data'!$B$3:$B$15,0)),"")</f>
        <v/>
      </c>
    </row>
    <row r="101" spans="2:33" ht="13.8" x14ac:dyDescent="0.25">
      <c r="B101" s="168">
        <v>90</v>
      </c>
      <c r="C101" s="278"/>
      <c r="D101" s="261"/>
      <c r="E101" s="213"/>
      <c r="F101" s="277" t="str">
        <f>IF(D101="","",VLOOKUP(D101,'G-6 Hedgerow Data'!$B$2:$AG$15,2,FALSE))</f>
        <v/>
      </c>
      <c r="G101" s="172" t="str">
        <f>IF(D101="","",VLOOKUP(D101,'G-6 Hedgerow Data'!$B$2:$AG$15,3,FALSE))</f>
        <v/>
      </c>
      <c r="H101" s="173"/>
      <c r="I101" s="172" t="str">
        <f>IFERROR(VLOOKUP(H101,'G-1 All Habitats'!$Z$2:$AA$9,2,FALSE),"")</f>
        <v/>
      </c>
      <c r="J101" s="173"/>
      <c r="K101" s="175" t="str">
        <f>IF(J101="","",IF(VLOOKUP(J101,'G-3 Multipliers'!$L$3:$N$6,2,FALSE)=0,"Spatial Data Missing",VLOOKUP(J101,'G-3 Multipliers'!$L$3:$N$6,2,FALSE)))</f>
        <v/>
      </c>
      <c r="L101" s="260" t="str">
        <f>IF(J101="","",IF(VLOOKUP(J101,'G-3 Multipliers'!$L$3:$N$6,3,FALSE)=0,"Spatial Data Missing",VLOOKUP(J101,'G-3 Multipliers'!$L$3:$N$6,3,FALSE)))</f>
        <v/>
      </c>
      <c r="M101" s="171" t="str">
        <f>IF(OR(D101="",H101=""),"",(INDEX('G-6 Hedgerow Data'!$E$3:$I$15,MATCH(D101,'G-6 Hedgerow Data'!$B$3:$B$15,0),MATCH(H101,'G-6 Hedgerow Data'!$E$2:$I$2,0))))</f>
        <v/>
      </c>
      <c r="N101" s="261"/>
      <c r="O101" s="261"/>
      <c r="P101" s="179" t="str">
        <f t="shared" si="7"/>
        <v/>
      </c>
      <c r="Q101" s="262" t="str">
        <f t="shared" si="8"/>
        <v/>
      </c>
      <c r="R101" s="263" t="str">
        <f t="shared" si="6"/>
        <v/>
      </c>
      <c r="S101" s="239" t="str">
        <f>IF(D101="","",VLOOKUP(D101,'G-6 Hedgerow Data'!$B$3:$AG$15,31,FALSE))</f>
        <v/>
      </c>
      <c r="T101" s="179" t="str">
        <f t="shared" si="9"/>
        <v/>
      </c>
      <c r="U101" s="179" t="str">
        <f t="shared" si="10"/>
        <v/>
      </c>
      <c r="V101" s="176" t="str">
        <f>IF(D101="","",VLOOKUP(S101,'G-3 Multipliers'!$P$3:$Q$6,2,FALSE))</f>
        <v/>
      </c>
      <c r="W101" s="274" t="str">
        <f t="shared" si="11"/>
        <v/>
      </c>
      <c r="X101" s="180"/>
      <c r="Y101" s="181"/>
      <c r="AG101" s="35" t="str">
        <f>IFERROR(INDEX('G-6 Hedgerow Data'!$BJ$3:$BJ$15,MATCH(D101,'G-6 Hedgerow Data'!$B$3:$B$15,0)),"")</f>
        <v/>
      </c>
    </row>
    <row r="102" spans="2:33" ht="13.8" x14ac:dyDescent="0.25">
      <c r="B102" s="168">
        <v>91</v>
      </c>
      <c r="C102" s="278"/>
      <c r="D102" s="261"/>
      <c r="E102" s="213"/>
      <c r="F102" s="277" t="str">
        <f>IF(D102="","",VLOOKUP(D102,'G-6 Hedgerow Data'!$B$2:$AG$15,2,FALSE))</f>
        <v/>
      </c>
      <c r="G102" s="172" t="str">
        <f>IF(D102="","",VLOOKUP(D102,'G-6 Hedgerow Data'!$B$2:$AG$15,3,FALSE))</f>
        <v/>
      </c>
      <c r="H102" s="173"/>
      <c r="I102" s="172" t="str">
        <f>IFERROR(VLOOKUP(H102,'G-1 All Habitats'!$Z$2:$AA$9,2,FALSE),"")</f>
        <v/>
      </c>
      <c r="J102" s="173"/>
      <c r="K102" s="175" t="str">
        <f>IF(J102="","",IF(VLOOKUP(J102,'G-3 Multipliers'!$L$3:$N$6,2,FALSE)=0,"Spatial Data Missing",VLOOKUP(J102,'G-3 Multipliers'!$L$3:$N$6,2,FALSE)))</f>
        <v/>
      </c>
      <c r="L102" s="260" t="str">
        <f>IF(J102="","",IF(VLOOKUP(J102,'G-3 Multipliers'!$L$3:$N$6,3,FALSE)=0,"Spatial Data Missing",VLOOKUP(J102,'G-3 Multipliers'!$L$3:$N$6,3,FALSE)))</f>
        <v/>
      </c>
      <c r="M102" s="171" t="str">
        <f>IF(OR(D102="",H102=""),"",(INDEX('G-6 Hedgerow Data'!$E$3:$I$15,MATCH(D102,'G-6 Hedgerow Data'!$B$3:$B$15,0),MATCH(H102,'G-6 Hedgerow Data'!$E$2:$I$2,0))))</f>
        <v/>
      </c>
      <c r="N102" s="261"/>
      <c r="O102" s="261"/>
      <c r="P102" s="179" t="str">
        <f t="shared" si="7"/>
        <v/>
      </c>
      <c r="Q102" s="262" t="str">
        <f t="shared" si="8"/>
        <v/>
      </c>
      <c r="R102" s="263" t="str">
        <f t="shared" si="6"/>
        <v/>
      </c>
      <c r="S102" s="239" t="str">
        <f>IF(D102="","",VLOOKUP(D102,'G-6 Hedgerow Data'!$B$3:$AG$15,31,FALSE))</f>
        <v/>
      </c>
      <c r="T102" s="179" t="str">
        <f t="shared" si="9"/>
        <v/>
      </c>
      <c r="U102" s="179" t="str">
        <f t="shared" si="10"/>
        <v/>
      </c>
      <c r="V102" s="176" t="str">
        <f>IF(D102="","",VLOOKUP(S102,'G-3 Multipliers'!$P$3:$Q$6,2,FALSE))</f>
        <v/>
      </c>
      <c r="W102" s="274" t="str">
        <f t="shared" si="11"/>
        <v/>
      </c>
      <c r="X102" s="180"/>
      <c r="Y102" s="181"/>
      <c r="AG102" s="35" t="str">
        <f>IFERROR(INDEX('G-6 Hedgerow Data'!$BJ$3:$BJ$15,MATCH(D102,'G-6 Hedgerow Data'!$B$3:$B$15,0)),"")</f>
        <v/>
      </c>
    </row>
    <row r="103" spans="2:33" ht="13.8" x14ac:dyDescent="0.25">
      <c r="B103" s="168">
        <v>92</v>
      </c>
      <c r="C103" s="278"/>
      <c r="D103" s="261"/>
      <c r="E103" s="213"/>
      <c r="F103" s="277" t="str">
        <f>IF(D103="","",VLOOKUP(D103,'G-6 Hedgerow Data'!$B$2:$AG$15,2,FALSE))</f>
        <v/>
      </c>
      <c r="G103" s="172" t="str">
        <f>IF(D103="","",VLOOKUP(D103,'G-6 Hedgerow Data'!$B$2:$AG$15,3,FALSE))</f>
        <v/>
      </c>
      <c r="H103" s="173"/>
      <c r="I103" s="172" t="str">
        <f>IFERROR(VLOOKUP(H103,'G-1 All Habitats'!$Z$2:$AA$9,2,FALSE),"")</f>
        <v/>
      </c>
      <c r="J103" s="173"/>
      <c r="K103" s="175" t="str">
        <f>IF(J103="","",IF(VLOOKUP(J103,'G-3 Multipliers'!$L$3:$N$6,2,FALSE)=0,"Spatial Data Missing",VLOOKUP(J103,'G-3 Multipliers'!$L$3:$N$6,2,FALSE)))</f>
        <v/>
      </c>
      <c r="L103" s="260" t="str">
        <f>IF(J103="","",IF(VLOOKUP(J103,'G-3 Multipliers'!$L$3:$N$6,3,FALSE)=0,"Spatial Data Missing",VLOOKUP(J103,'G-3 Multipliers'!$L$3:$N$6,3,FALSE)))</f>
        <v/>
      </c>
      <c r="M103" s="171" t="str">
        <f>IF(OR(D103="",H103=""),"",(INDEX('G-6 Hedgerow Data'!$E$3:$I$15,MATCH(D103,'G-6 Hedgerow Data'!$B$3:$B$15,0),MATCH(H103,'G-6 Hedgerow Data'!$E$2:$I$2,0))))</f>
        <v/>
      </c>
      <c r="N103" s="261"/>
      <c r="O103" s="261"/>
      <c r="P103" s="179" t="str">
        <f t="shared" si="7"/>
        <v/>
      </c>
      <c r="Q103" s="262" t="str">
        <f t="shared" si="8"/>
        <v/>
      </c>
      <c r="R103" s="263" t="str">
        <f t="shared" si="6"/>
        <v/>
      </c>
      <c r="S103" s="239" t="str">
        <f>IF(D103="","",VLOOKUP(D103,'G-6 Hedgerow Data'!$B$3:$AG$15,31,FALSE))</f>
        <v/>
      </c>
      <c r="T103" s="179" t="str">
        <f t="shared" si="9"/>
        <v/>
      </c>
      <c r="U103" s="179" t="str">
        <f t="shared" si="10"/>
        <v/>
      </c>
      <c r="V103" s="176" t="str">
        <f>IF(D103="","",VLOOKUP(S103,'G-3 Multipliers'!$P$3:$Q$6,2,FALSE))</f>
        <v/>
      </c>
      <c r="W103" s="274" t="str">
        <f t="shared" si="11"/>
        <v/>
      </c>
      <c r="X103" s="180"/>
      <c r="Y103" s="181"/>
      <c r="AG103" s="35" t="str">
        <f>IFERROR(INDEX('G-6 Hedgerow Data'!$BJ$3:$BJ$15,MATCH(D103,'G-6 Hedgerow Data'!$B$3:$B$15,0)),"")</f>
        <v/>
      </c>
    </row>
    <row r="104" spans="2:33" ht="13.8" x14ac:dyDescent="0.25">
      <c r="B104" s="168">
        <v>93</v>
      </c>
      <c r="C104" s="278"/>
      <c r="D104" s="261"/>
      <c r="E104" s="213"/>
      <c r="F104" s="277" t="str">
        <f>IF(D104="","",VLOOKUP(D104,'G-6 Hedgerow Data'!$B$2:$AG$15,2,FALSE))</f>
        <v/>
      </c>
      <c r="G104" s="172" t="str">
        <f>IF(D104="","",VLOOKUP(D104,'G-6 Hedgerow Data'!$B$2:$AG$15,3,FALSE))</f>
        <v/>
      </c>
      <c r="H104" s="173"/>
      <c r="I104" s="172" t="str">
        <f>IFERROR(VLOOKUP(H104,'G-1 All Habitats'!$Z$2:$AA$9,2,FALSE),"")</f>
        <v/>
      </c>
      <c r="J104" s="173"/>
      <c r="K104" s="175" t="str">
        <f>IF(J104="","",IF(VLOOKUP(J104,'G-3 Multipliers'!$L$3:$N$6,2,FALSE)=0,"Spatial Data Missing",VLOOKUP(J104,'G-3 Multipliers'!$L$3:$N$6,2,FALSE)))</f>
        <v/>
      </c>
      <c r="L104" s="260" t="str">
        <f>IF(J104="","",IF(VLOOKUP(J104,'G-3 Multipliers'!$L$3:$N$6,3,FALSE)=0,"Spatial Data Missing",VLOOKUP(J104,'G-3 Multipliers'!$L$3:$N$6,3,FALSE)))</f>
        <v/>
      </c>
      <c r="M104" s="171" t="str">
        <f>IF(OR(D104="",H104=""),"",(INDEX('G-6 Hedgerow Data'!$E$3:$I$15,MATCH(D104,'G-6 Hedgerow Data'!$B$3:$B$15,0),MATCH(H104,'G-6 Hedgerow Data'!$E$2:$I$2,0))))</f>
        <v/>
      </c>
      <c r="N104" s="261"/>
      <c r="O104" s="261"/>
      <c r="P104" s="179" t="str">
        <f t="shared" si="7"/>
        <v/>
      </c>
      <c r="Q104" s="262" t="str">
        <f t="shared" si="8"/>
        <v/>
      </c>
      <c r="R104" s="263" t="str">
        <f t="shared" si="6"/>
        <v/>
      </c>
      <c r="S104" s="239" t="str">
        <f>IF(D104="","",VLOOKUP(D104,'G-6 Hedgerow Data'!$B$3:$AG$15,31,FALSE))</f>
        <v/>
      </c>
      <c r="T104" s="179" t="str">
        <f t="shared" si="9"/>
        <v/>
      </c>
      <c r="U104" s="179" t="str">
        <f t="shared" si="10"/>
        <v/>
      </c>
      <c r="V104" s="176" t="str">
        <f>IF(D104="","",VLOOKUP(S104,'G-3 Multipliers'!$P$3:$Q$6,2,FALSE))</f>
        <v/>
      </c>
      <c r="W104" s="274" t="str">
        <f t="shared" si="11"/>
        <v/>
      </c>
      <c r="X104" s="180"/>
      <c r="Y104" s="181"/>
      <c r="AG104" s="35" t="str">
        <f>IFERROR(INDEX('G-6 Hedgerow Data'!$BJ$3:$BJ$15,MATCH(D104,'G-6 Hedgerow Data'!$B$3:$B$15,0)),"")</f>
        <v/>
      </c>
    </row>
    <row r="105" spans="2:33" ht="13.8" x14ac:dyDescent="0.25">
      <c r="B105" s="168">
        <v>94</v>
      </c>
      <c r="C105" s="278"/>
      <c r="D105" s="261"/>
      <c r="E105" s="213"/>
      <c r="F105" s="277" t="str">
        <f>IF(D105="","",VLOOKUP(D105,'G-6 Hedgerow Data'!$B$2:$AG$15,2,FALSE))</f>
        <v/>
      </c>
      <c r="G105" s="172" t="str">
        <f>IF(D105="","",VLOOKUP(D105,'G-6 Hedgerow Data'!$B$2:$AG$15,3,FALSE))</f>
        <v/>
      </c>
      <c r="H105" s="173"/>
      <c r="I105" s="172" t="str">
        <f>IFERROR(VLOOKUP(H105,'G-1 All Habitats'!$Z$2:$AA$9,2,FALSE),"")</f>
        <v/>
      </c>
      <c r="J105" s="173"/>
      <c r="K105" s="175" t="str">
        <f>IF(J105="","",IF(VLOOKUP(J105,'G-3 Multipliers'!$L$3:$N$6,2,FALSE)=0,"Spatial Data Missing",VLOOKUP(J105,'G-3 Multipliers'!$L$3:$N$6,2,FALSE)))</f>
        <v/>
      </c>
      <c r="L105" s="260" t="str">
        <f>IF(J105="","",IF(VLOOKUP(J105,'G-3 Multipliers'!$L$3:$N$6,3,FALSE)=0,"Spatial Data Missing",VLOOKUP(J105,'G-3 Multipliers'!$L$3:$N$6,3,FALSE)))</f>
        <v/>
      </c>
      <c r="M105" s="171" t="str">
        <f>IF(OR(D105="",H105=""),"",(INDEX('G-6 Hedgerow Data'!$E$3:$I$15,MATCH(D105,'G-6 Hedgerow Data'!$B$3:$B$15,0),MATCH(H105,'G-6 Hedgerow Data'!$E$2:$I$2,0))))</f>
        <v/>
      </c>
      <c r="N105" s="261"/>
      <c r="O105" s="261"/>
      <c r="P105" s="179" t="str">
        <f t="shared" si="7"/>
        <v/>
      </c>
      <c r="Q105" s="262" t="str">
        <f t="shared" si="8"/>
        <v/>
      </c>
      <c r="R105" s="263" t="str">
        <f t="shared" si="6"/>
        <v/>
      </c>
      <c r="S105" s="239" t="str">
        <f>IF(D105="","",VLOOKUP(D105,'G-6 Hedgerow Data'!$B$3:$AG$15,31,FALSE))</f>
        <v/>
      </c>
      <c r="T105" s="179" t="str">
        <f t="shared" si="9"/>
        <v/>
      </c>
      <c r="U105" s="179" t="str">
        <f t="shared" si="10"/>
        <v/>
      </c>
      <c r="V105" s="176" t="str">
        <f>IF(D105="","",VLOOKUP(S105,'G-3 Multipliers'!$P$3:$Q$6,2,FALSE))</f>
        <v/>
      </c>
      <c r="W105" s="274" t="str">
        <f t="shared" si="11"/>
        <v/>
      </c>
      <c r="X105" s="180"/>
      <c r="Y105" s="181"/>
      <c r="AG105" s="35" t="str">
        <f>IFERROR(INDEX('G-6 Hedgerow Data'!$BJ$3:$BJ$15,MATCH(D105,'G-6 Hedgerow Data'!$B$3:$B$15,0)),"")</f>
        <v/>
      </c>
    </row>
    <row r="106" spans="2:33" ht="13.8" x14ac:dyDescent="0.25">
      <c r="B106" s="168">
        <v>95</v>
      </c>
      <c r="C106" s="278"/>
      <c r="D106" s="261"/>
      <c r="E106" s="213"/>
      <c r="F106" s="277" t="str">
        <f>IF(D106="","",VLOOKUP(D106,'G-6 Hedgerow Data'!$B$2:$AG$15,2,FALSE))</f>
        <v/>
      </c>
      <c r="G106" s="172" t="str">
        <f>IF(D106="","",VLOOKUP(D106,'G-6 Hedgerow Data'!$B$2:$AG$15,3,FALSE))</f>
        <v/>
      </c>
      <c r="H106" s="173"/>
      <c r="I106" s="172" t="str">
        <f>IFERROR(VLOOKUP(H106,'G-1 All Habitats'!$Z$2:$AA$9,2,FALSE),"")</f>
        <v/>
      </c>
      <c r="J106" s="173"/>
      <c r="K106" s="175" t="str">
        <f>IF(J106="","",IF(VLOOKUP(J106,'G-3 Multipliers'!$L$3:$N$6,2,FALSE)=0,"Spatial Data Missing",VLOOKUP(J106,'G-3 Multipliers'!$L$3:$N$6,2,FALSE)))</f>
        <v/>
      </c>
      <c r="L106" s="260" t="str">
        <f>IF(J106="","",IF(VLOOKUP(J106,'G-3 Multipliers'!$L$3:$N$6,3,FALSE)=0,"Spatial Data Missing",VLOOKUP(J106,'G-3 Multipliers'!$L$3:$N$6,3,FALSE)))</f>
        <v/>
      </c>
      <c r="M106" s="171" t="str">
        <f>IF(OR(D106="",H106=""),"",(INDEX('G-6 Hedgerow Data'!$E$3:$I$15,MATCH(D106,'G-6 Hedgerow Data'!$B$3:$B$15,0),MATCH(H106,'G-6 Hedgerow Data'!$E$2:$I$2,0))))</f>
        <v/>
      </c>
      <c r="N106" s="261"/>
      <c r="O106" s="261"/>
      <c r="P106" s="179" t="str">
        <f t="shared" si="7"/>
        <v/>
      </c>
      <c r="Q106" s="262" t="str">
        <f t="shared" si="8"/>
        <v/>
      </c>
      <c r="R106" s="263" t="str">
        <f t="shared" si="6"/>
        <v/>
      </c>
      <c r="S106" s="239" t="str">
        <f>IF(D106="","",VLOOKUP(D106,'G-6 Hedgerow Data'!$B$3:$AG$15,31,FALSE))</f>
        <v/>
      </c>
      <c r="T106" s="179" t="str">
        <f t="shared" si="9"/>
        <v/>
      </c>
      <c r="U106" s="179" t="str">
        <f t="shared" si="10"/>
        <v/>
      </c>
      <c r="V106" s="176" t="str">
        <f>IF(D106="","",VLOOKUP(S106,'G-3 Multipliers'!$P$3:$Q$6,2,FALSE))</f>
        <v/>
      </c>
      <c r="W106" s="274" t="str">
        <f t="shared" si="11"/>
        <v/>
      </c>
      <c r="X106" s="180"/>
      <c r="Y106" s="181"/>
      <c r="AG106" s="35" t="str">
        <f>IFERROR(INDEX('G-6 Hedgerow Data'!$BJ$3:$BJ$15,MATCH(D106,'G-6 Hedgerow Data'!$B$3:$B$15,0)),"")</f>
        <v/>
      </c>
    </row>
    <row r="107" spans="2:33" ht="13.8" x14ac:dyDescent="0.25">
      <c r="B107" s="168">
        <v>96</v>
      </c>
      <c r="C107" s="278"/>
      <c r="D107" s="261"/>
      <c r="E107" s="213"/>
      <c r="F107" s="277" t="str">
        <f>IF(D107="","",VLOOKUP(D107,'G-6 Hedgerow Data'!$B$2:$AG$15,2,FALSE))</f>
        <v/>
      </c>
      <c r="G107" s="172" t="str">
        <f>IF(D107="","",VLOOKUP(D107,'G-6 Hedgerow Data'!$B$2:$AG$15,3,FALSE))</f>
        <v/>
      </c>
      <c r="H107" s="173"/>
      <c r="I107" s="172" t="str">
        <f>IFERROR(VLOOKUP(H107,'G-1 All Habitats'!$Z$2:$AA$9,2,FALSE),"")</f>
        <v/>
      </c>
      <c r="J107" s="173"/>
      <c r="K107" s="175" t="str">
        <f>IF(J107="","",IF(VLOOKUP(J107,'G-3 Multipliers'!$L$3:$N$6,2,FALSE)=0,"Spatial Data Missing",VLOOKUP(J107,'G-3 Multipliers'!$L$3:$N$6,2,FALSE)))</f>
        <v/>
      </c>
      <c r="L107" s="260" t="str">
        <f>IF(J107="","",IF(VLOOKUP(J107,'G-3 Multipliers'!$L$3:$N$6,3,FALSE)=0,"Spatial Data Missing",VLOOKUP(J107,'G-3 Multipliers'!$L$3:$N$6,3,FALSE)))</f>
        <v/>
      </c>
      <c r="M107" s="171" t="str">
        <f>IF(OR(D107="",H107=""),"",(INDEX('G-6 Hedgerow Data'!$E$3:$I$15,MATCH(D107,'G-6 Hedgerow Data'!$B$3:$B$15,0),MATCH(H107,'G-6 Hedgerow Data'!$E$2:$I$2,0))))</f>
        <v/>
      </c>
      <c r="N107" s="261"/>
      <c r="O107" s="261"/>
      <c r="P107" s="179" t="str">
        <f t="shared" si="7"/>
        <v/>
      </c>
      <c r="Q107" s="262" t="str">
        <f t="shared" si="8"/>
        <v/>
      </c>
      <c r="R107" s="263" t="str">
        <f t="shared" si="6"/>
        <v/>
      </c>
      <c r="S107" s="239" t="str">
        <f>IF(D107="","",VLOOKUP(D107,'G-6 Hedgerow Data'!$B$3:$AG$15,31,FALSE))</f>
        <v/>
      </c>
      <c r="T107" s="179" t="str">
        <f t="shared" si="9"/>
        <v/>
      </c>
      <c r="U107" s="179" t="str">
        <f t="shared" si="10"/>
        <v/>
      </c>
      <c r="V107" s="176" t="str">
        <f>IF(D107="","",VLOOKUP(S107,'G-3 Multipliers'!$P$3:$Q$6,2,FALSE))</f>
        <v/>
      </c>
      <c r="W107" s="274" t="str">
        <f t="shared" si="11"/>
        <v/>
      </c>
      <c r="X107" s="180"/>
      <c r="Y107" s="181"/>
      <c r="AG107" s="35" t="str">
        <f>IFERROR(INDEX('G-6 Hedgerow Data'!$BJ$3:$BJ$15,MATCH(D107,'G-6 Hedgerow Data'!$B$3:$B$15,0)),"")</f>
        <v/>
      </c>
    </row>
    <row r="108" spans="2:33" ht="13.8" x14ac:dyDescent="0.25">
      <c r="B108" s="168">
        <v>97</v>
      </c>
      <c r="C108" s="278"/>
      <c r="D108" s="261"/>
      <c r="E108" s="213"/>
      <c r="F108" s="277" t="str">
        <f>IF(D108="","",VLOOKUP(D108,'G-6 Hedgerow Data'!$B$2:$AG$15,2,FALSE))</f>
        <v/>
      </c>
      <c r="G108" s="172" t="str">
        <f>IF(D108="","",VLOOKUP(D108,'G-6 Hedgerow Data'!$B$2:$AG$15,3,FALSE))</f>
        <v/>
      </c>
      <c r="H108" s="173"/>
      <c r="I108" s="172" t="str">
        <f>IFERROR(VLOOKUP(H108,'G-1 All Habitats'!$Z$2:$AA$9,2,FALSE),"")</f>
        <v/>
      </c>
      <c r="J108" s="173"/>
      <c r="K108" s="175" t="str">
        <f>IF(J108="","",IF(VLOOKUP(J108,'G-3 Multipliers'!$L$3:$N$6,2,FALSE)=0,"Spatial Data Missing",VLOOKUP(J108,'G-3 Multipliers'!$L$3:$N$6,2,FALSE)))</f>
        <v/>
      </c>
      <c r="L108" s="260" t="str">
        <f>IF(J108="","",IF(VLOOKUP(J108,'G-3 Multipliers'!$L$3:$N$6,3,FALSE)=0,"Spatial Data Missing",VLOOKUP(J108,'G-3 Multipliers'!$L$3:$N$6,3,FALSE)))</f>
        <v/>
      </c>
      <c r="M108" s="171" t="str">
        <f>IF(OR(D108="",H108=""),"",(INDEX('G-6 Hedgerow Data'!$E$3:$I$15,MATCH(D108,'G-6 Hedgerow Data'!$B$3:$B$15,0),MATCH(H108,'G-6 Hedgerow Data'!$E$2:$I$2,0))))</f>
        <v/>
      </c>
      <c r="N108" s="261"/>
      <c r="O108" s="261"/>
      <c r="P108" s="179" t="str">
        <f t="shared" si="7"/>
        <v/>
      </c>
      <c r="Q108" s="262" t="str">
        <f t="shared" si="8"/>
        <v/>
      </c>
      <c r="R108" s="263" t="str">
        <f t="shared" si="6"/>
        <v/>
      </c>
      <c r="S108" s="239" t="str">
        <f>IF(D108="","",VLOOKUP(D108,'G-6 Hedgerow Data'!$B$3:$AG$15,31,FALSE))</f>
        <v/>
      </c>
      <c r="T108" s="179" t="str">
        <f t="shared" si="9"/>
        <v/>
      </c>
      <c r="U108" s="179" t="str">
        <f t="shared" si="10"/>
        <v/>
      </c>
      <c r="V108" s="176" t="str">
        <f>IF(D108="","",VLOOKUP(S108,'G-3 Multipliers'!$P$3:$Q$6,2,FALSE))</f>
        <v/>
      </c>
      <c r="W108" s="274" t="str">
        <f t="shared" si="11"/>
        <v/>
      </c>
      <c r="X108" s="180"/>
      <c r="Y108" s="181"/>
      <c r="AG108" s="35" t="str">
        <f>IFERROR(INDEX('G-6 Hedgerow Data'!$BJ$3:$BJ$15,MATCH(D108,'G-6 Hedgerow Data'!$B$3:$B$15,0)),"")</f>
        <v/>
      </c>
    </row>
    <row r="109" spans="2:33" ht="13.8" x14ac:dyDescent="0.25">
      <c r="B109" s="168">
        <v>98</v>
      </c>
      <c r="C109" s="278"/>
      <c r="D109" s="261"/>
      <c r="E109" s="213"/>
      <c r="F109" s="277" t="str">
        <f>IF(D109="","",VLOOKUP(D109,'G-6 Hedgerow Data'!$B$2:$AG$15,2,FALSE))</f>
        <v/>
      </c>
      <c r="G109" s="172" t="str">
        <f>IF(D109="","",VLOOKUP(D109,'G-6 Hedgerow Data'!$B$2:$AG$15,3,FALSE))</f>
        <v/>
      </c>
      <c r="H109" s="173"/>
      <c r="I109" s="172" t="str">
        <f>IFERROR(VLOOKUP(H109,'G-1 All Habitats'!$Z$2:$AA$9,2,FALSE),"")</f>
        <v/>
      </c>
      <c r="J109" s="173"/>
      <c r="K109" s="175" t="str">
        <f>IF(J109="","",IF(VLOOKUP(J109,'G-3 Multipliers'!$L$3:$N$6,2,FALSE)=0,"Spatial Data Missing",VLOOKUP(J109,'G-3 Multipliers'!$L$3:$N$6,2,FALSE)))</f>
        <v/>
      </c>
      <c r="L109" s="260" t="str">
        <f>IF(J109="","",IF(VLOOKUP(J109,'G-3 Multipliers'!$L$3:$N$6,3,FALSE)=0,"Spatial Data Missing",VLOOKUP(J109,'G-3 Multipliers'!$L$3:$N$6,3,FALSE)))</f>
        <v/>
      </c>
      <c r="M109" s="171" t="str">
        <f>IF(OR(D109="",H109=""),"",(INDEX('G-6 Hedgerow Data'!$E$3:$I$15,MATCH(D109,'G-6 Hedgerow Data'!$B$3:$B$15,0),MATCH(H109,'G-6 Hedgerow Data'!$E$2:$I$2,0))))</f>
        <v/>
      </c>
      <c r="N109" s="261"/>
      <c r="O109" s="261"/>
      <c r="P109" s="179" t="str">
        <f t="shared" si="7"/>
        <v/>
      </c>
      <c r="Q109" s="262" t="str">
        <f t="shared" si="8"/>
        <v/>
      </c>
      <c r="R109" s="263" t="str">
        <f t="shared" si="6"/>
        <v/>
      </c>
      <c r="S109" s="239" t="str">
        <f>IF(D109="","",VLOOKUP(D109,'G-6 Hedgerow Data'!$B$3:$AG$15,31,FALSE))</f>
        <v/>
      </c>
      <c r="T109" s="179" t="str">
        <f t="shared" si="9"/>
        <v/>
      </c>
      <c r="U109" s="179" t="str">
        <f t="shared" si="10"/>
        <v/>
      </c>
      <c r="V109" s="176" t="str">
        <f>IF(D109="","",VLOOKUP(S109,'G-3 Multipliers'!$P$3:$Q$6,2,FALSE))</f>
        <v/>
      </c>
      <c r="W109" s="274" t="str">
        <f t="shared" si="11"/>
        <v/>
      </c>
      <c r="X109" s="180"/>
      <c r="Y109" s="181"/>
      <c r="AG109" s="35" t="str">
        <f>IFERROR(INDEX('G-6 Hedgerow Data'!$BJ$3:$BJ$15,MATCH(D109,'G-6 Hedgerow Data'!$B$3:$B$15,0)),"")</f>
        <v/>
      </c>
    </row>
    <row r="110" spans="2:33" ht="13.8" x14ac:dyDescent="0.25">
      <c r="B110" s="168">
        <v>99</v>
      </c>
      <c r="C110" s="278"/>
      <c r="D110" s="261"/>
      <c r="E110" s="213"/>
      <c r="F110" s="277" t="str">
        <f>IF(D110="","",VLOOKUP(D110,'G-6 Hedgerow Data'!$B$2:$AG$15,2,FALSE))</f>
        <v/>
      </c>
      <c r="G110" s="172" t="str">
        <f>IF(D110="","",VLOOKUP(D110,'G-6 Hedgerow Data'!$B$2:$AG$15,3,FALSE))</f>
        <v/>
      </c>
      <c r="H110" s="173"/>
      <c r="I110" s="172" t="str">
        <f>IFERROR(VLOOKUP(H110,'G-1 All Habitats'!$Z$2:$AA$9,2,FALSE),"")</f>
        <v/>
      </c>
      <c r="J110" s="173"/>
      <c r="K110" s="175" t="str">
        <f>IF(J110="","",IF(VLOOKUP(J110,'G-3 Multipliers'!$L$3:$N$6,2,FALSE)=0,"Spatial Data Missing",VLOOKUP(J110,'G-3 Multipliers'!$L$3:$N$6,2,FALSE)))</f>
        <v/>
      </c>
      <c r="L110" s="260" t="str">
        <f>IF(J110="","",IF(VLOOKUP(J110,'G-3 Multipliers'!$L$3:$N$6,3,FALSE)=0,"Spatial Data Missing",VLOOKUP(J110,'G-3 Multipliers'!$L$3:$N$6,3,FALSE)))</f>
        <v/>
      </c>
      <c r="M110" s="171" t="str">
        <f>IF(OR(D110="",H110=""),"",(INDEX('G-6 Hedgerow Data'!$E$3:$I$15,MATCH(D110,'G-6 Hedgerow Data'!$B$3:$B$15,0),MATCH(H110,'G-6 Hedgerow Data'!$E$2:$I$2,0))))</f>
        <v/>
      </c>
      <c r="N110" s="261"/>
      <c r="O110" s="261"/>
      <c r="P110" s="179" t="str">
        <f t="shared" si="7"/>
        <v/>
      </c>
      <c r="Q110" s="262" t="str">
        <f t="shared" si="8"/>
        <v/>
      </c>
      <c r="R110" s="263" t="str">
        <f t="shared" si="6"/>
        <v/>
      </c>
      <c r="S110" s="239" t="str">
        <f>IF(D110="","",VLOOKUP(D110,'G-6 Hedgerow Data'!$B$3:$AG$15,31,FALSE))</f>
        <v/>
      </c>
      <c r="T110" s="179" t="str">
        <f t="shared" si="9"/>
        <v/>
      </c>
      <c r="U110" s="179" t="str">
        <f t="shared" si="10"/>
        <v/>
      </c>
      <c r="V110" s="176" t="str">
        <f>IF(D110="","",VLOOKUP(S110,'G-3 Multipliers'!$P$3:$Q$6,2,FALSE))</f>
        <v/>
      </c>
      <c r="W110" s="274" t="str">
        <f t="shared" si="11"/>
        <v/>
      </c>
      <c r="X110" s="180"/>
      <c r="Y110" s="181"/>
      <c r="AG110" s="35" t="str">
        <f>IFERROR(INDEX('G-6 Hedgerow Data'!$BJ$3:$BJ$15,MATCH(D110,'G-6 Hedgerow Data'!$B$3:$B$15,0)),"")</f>
        <v/>
      </c>
    </row>
    <row r="111" spans="2:33" ht="13.8" x14ac:dyDescent="0.25">
      <c r="B111" s="168">
        <v>100</v>
      </c>
      <c r="C111" s="278"/>
      <c r="D111" s="261"/>
      <c r="E111" s="213"/>
      <c r="F111" s="277" t="str">
        <f>IF(D111="","",VLOOKUP(D111,'G-6 Hedgerow Data'!$B$2:$AG$15,2,FALSE))</f>
        <v/>
      </c>
      <c r="G111" s="172" t="str">
        <f>IF(D111="","",VLOOKUP(D111,'G-6 Hedgerow Data'!$B$2:$AG$15,3,FALSE))</f>
        <v/>
      </c>
      <c r="H111" s="173"/>
      <c r="I111" s="172" t="str">
        <f>IFERROR(VLOOKUP(H111,'G-1 All Habitats'!$Z$2:$AA$9,2,FALSE),"")</f>
        <v/>
      </c>
      <c r="J111" s="173"/>
      <c r="K111" s="175" t="str">
        <f>IF(J111="","",IF(VLOOKUP(J111,'G-3 Multipliers'!$L$3:$N$6,2,FALSE)=0,"Spatial Data Missing",VLOOKUP(J111,'G-3 Multipliers'!$L$3:$N$6,2,FALSE)))</f>
        <v/>
      </c>
      <c r="L111" s="260" t="str">
        <f>IF(J111="","",IF(VLOOKUP(J111,'G-3 Multipliers'!$L$3:$N$6,3,FALSE)=0,"Spatial Data Missing",VLOOKUP(J111,'G-3 Multipliers'!$L$3:$N$6,3,FALSE)))</f>
        <v/>
      </c>
      <c r="M111" s="171" t="str">
        <f>IF(OR(D111="",H111=""),"",(INDEX('G-6 Hedgerow Data'!$E$3:$I$15,MATCH(D111,'G-6 Hedgerow Data'!$B$3:$B$15,0),MATCH(H111,'G-6 Hedgerow Data'!$E$2:$I$2,0))))</f>
        <v/>
      </c>
      <c r="N111" s="261"/>
      <c r="O111" s="261"/>
      <c r="P111" s="179" t="str">
        <f t="shared" si="7"/>
        <v/>
      </c>
      <c r="Q111" s="262" t="str">
        <f t="shared" si="8"/>
        <v/>
      </c>
      <c r="R111" s="263" t="str">
        <f t="shared" si="6"/>
        <v/>
      </c>
      <c r="S111" s="239" t="str">
        <f>IF(D111="","",VLOOKUP(D111,'G-6 Hedgerow Data'!$B$3:$AG$15,31,FALSE))</f>
        <v/>
      </c>
      <c r="T111" s="179" t="str">
        <f t="shared" si="9"/>
        <v/>
      </c>
      <c r="U111" s="179" t="str">
        <f t="shared" si="10"/>
        <v/>
      </c>
      <c r="V111" s="176" t="str">
        <f>IF(D111="","",VLOOKUP(S111,'G-3 Multipliers'!$P$3:$Q$6,2,FALSE))</f>
        <v/>
      </c>
      <c r="W111" s="274" t="str">
        <f t="shared" si="11"/>
        <v/>
      </c>
      <c r="X111" s="180"/>
      <c r="Y111" s="181"/>
      <c r="AG111" s="35" t="str">
        <f>IFERROR(INDEX('G-6 Hedgerow Data'!$BJ$3:$BJ$15,MATCH(D111,'G-6 Hedgerow Data'!$B$3:$B$15,0)),"")</f>
        <v/>
      </c>
    </row>
    <row r="112" spans="2:33" ht="13.8" x14ac:dyDescent="0.25">
      <c r="B112" s="168">
        <v>101</v>
      </c>
      <c r="C112" s="278"/>
      <c r="D112" s="261"/>
      <c r="E112" s="213"/>
      <c r="F112" s="277" t="str">
        <f>IF(D112="","",VLOOKUP(D112,'G-6 Hedgerow Data'!$B$2:$AG$15,2,FALSE))</f>
        <v/>
      </c>
      <c r="G112" s="172" t="str">
        <f>IF(D112="","",VLOOKUP(D112,'G-6 Hedgerow Data'!$B$2:$AG$15,3,FALSE))</f>
        <v/>
      </c>
      <c r="H112" s="173"/>
      <c r="I112" s="172" t="str">
        <f>IFERROR(VLOOKUP(H112,'G-1 All Habitats'!$Z$2:$AA$9,2,FALSE),"")</f>
        <v/>
      </c>
      <c r="J112" s="173"/>
      <c r="K112" s="175" t="str">
        <f>IF(J112="","",IF(VLOOKUP(J112,'G-3 Multipliers'!$L$3:$N$6,2,FALSE)=0,"Spatial Data Missing",VLOOKUP(J112,'G-3 Multipliers'!$L$3:$N$6,2,FALSE)))</f>
        <v/>
      </c>
      <c r="L112" s="260" t="str">
        <f>IF(J112="","",IF(VLOOKUP(J112,'G-3 Multipliers'!$L$3:$N$6,3,FALSE)=0,"Spatial Data Missing",VLOOKUP(J112,'G-3 Multipliers'!$L$3:$N$6,3,FALSE)))</f>
        <v/>
      </c>
      <c r="M112" s="171" t="str">
        <f>IF(OR(D112="",H112=""),"",(INDEX('G-6 Hedgerow Data'!$E$3:$I$15,MATCH(D112,'G-6 Hedgerow Data'!$B$3:$B$15,0),MATCH(H112,'G-6 Hedgerow Data'!$E$2:$I$2,0))))</f>
        <v/>
      </c>
      <c r="N112" s="261"/>
      <c r="O112" s="261"/>
      <c r="P112" s="179" t="str">
        <f t="shared" si="7"/>
        <v/>
      </c>
      <c r="Q112" s="262" t="str">
        <f t="shared" si="8"/>
        <v/>
      </c>
      <c r="R112" s="263" t="str">
        <f t="shared" si="6"/>
        <v/>
      </c>
      <c r="S112" s="239" t="str">
        <f>IF(D112="","",VLOOKUP(D112,'G-6 Hedgerow Data'!$B$3:$AG$15,31,FALSE))</f>
        <v/>
      </c>
      <c r="T112" s="179" t="str">
        <f t="shared" si="9"/>
        <v/>
      </c>
      <c r="U112" s="179" t="str">
        <f t="shared" si="10"/>
        <v/>
      </c>
      <c r="V112" s="176" t="str">
        <f>IF(D112="","",VLOOKUP(S112,'G-3 Multipliers'!$P$3:$Q$6,2,FALSE))</f>
        <v/>
      </c>
      <c r="W112" s="274" t="str">
        <f t="shared" si="11"/>
        <v/>
      </c>
      <c r="X112" s="180"/>
      <c r="Y112" s="181"/>
      <c r="AG112" s="35" t="str">
        <f>IFERROR(INDEX('G-6 Hedgerow Data'!$BJ$3:$BJ$15,MATCH(D112,'G-6 Hedgerow Data'!$B$3:$B$15,0)),"")</f>
        <v/>
      </c>
    </row>
    <row r="113" spans="2:33" ht="13.8" x14ac:dyDescent="0.25">
      <c r="B113" s="168">
        <v>102</v>
      </c>
      <c r="C113" s="278"/>
      <c r="D113" s="261"/>
      <c r="E113" s="213"/>
      <c r="F113" s="277" t="str">
        <f>IF(D113="","",VLOOKUP(D113,'G-6 Hedgerow Data'!$B$2:$AG$15,2,FALSE))</f>
        <v/>
      </c>
      <c r="G113" s="172" t="str">
        <f>IF(D113="","",VLOOKUP(D113,'G-6 Hedgerow Data'!$B$2:$AG$15,3,FALSE))</f>
        <v/>
      </c>
      <c r="H113" s="173"/>
      <c r="I113" s="172" t="str">
        <f>IFERROR(VLOOKUP(H113,'G-1 All Habitats'!$Z$2:$AA$9,2,FALSE),"")</f>
        <v/>
      </c>
      <c r="J113" s="173"/>
      <c r="K113" s="175" t="str">
        <f>IF(J113="","",IF(VLOOKUP(J113,'G-3 Multipliers'!$L$3:$N$6,2,FALSE)=0,"Spatial Data Missing",VLOOKUP(J113,'G-3 Multipliers'!$L$3:$N$6,2,FALSE)))</f>
        <v/>
      </c>
      <c r="L113" s="260" t="str">
        <f>IF(J113="","",IF(VLOOKUP(J113,'G-3 Multipliers'!$L$3:$N$6,3,FALSE)=0,"Spatial Data Missing",VLOOKUP(J113,'G-3 Multipliers'!$L$3:$N$6,3,FALSE)))</f>
        <v/>
      </c>
      <c r="M113" s="171" t="str">
        <f>IF(OR(D113="",H113=""),"",(INDEX('G-6 Hedgerow Data'!$E$3:$I$15,MATCH(D113,'G-6 Hedgerow Data'!$B$3:$B$15,0),MATCH(H113,'G-6 Hedgerow Data'!$E$2:$I$2,0))))</f>
        <v/>
      </c>
      <c r="N113" s="261"/>
      <c r="O113" s="261"/>
      <c r="P113" s="179" t="str">
        <f t="shared" si="7"/>
        <v/>
      </c>
      <c r="Q113" s="262" t="str">
        <f t="shared" si="8"/>
        <v/>
      </c>
      <c r="R113" s="263" t="str">
        <f t="shared" si="6"/>
        <v/>
      </c>
      <c r="S113" s="239" t="str">
        <f>IF(D113="","",VLOOKUP(D113,'G-6 Hedgerow Data'!$B$3:$AG$15,31,FALSE))</f>
        <v/>
      </c>
      <c r="T113" s="179" t="str">
        <f t="shared" si="9"/>
        <v/>
      </c>
      <c r="U113" s="179" t="str">
        <f t="shared" si="10"/>
        <v/>
      </c>
      <c r="V113" s="176" t="str">
        <f>IF(D113="","",VLOOKUP(S113,'G-3 Multipliers'!$P$3:$Q$6,2,FALSE))</f>
        <v/>
      </c>
      <c r="W113" s="274" t="str">
        <f t="shared" si="11"/>
        <v/>
      </c>
      <c r="X113" s="180"/>
      <c r="Y113" s="181"/>
      <c r="AG113" s="35" t="str">
        <f>IFERROR(INDEX('G-6 Hedgerow Data'!$BJ$3:$BJ$15,MATCH(D113,'G-6 Hedgerow Data'!$B$3:$B$15,0)),"")</f>
        <v/>
      </c>
    </row>
    <row r="114" spans="2:33" ht="13.8" x14ac:dyDescent="0.25">
      <c r="B114" s="168">
        <v>103</v>
      </c>
      <c r="C114" s="278"/>
      <c r="D114" s="261"/>
      <c r="E114" s="213"/>
      <c r="F114" s="277" t="str">
        <f>IF(D114="","",VLOOKUP(D114,'G-6 Hedgerow Data'!$B$2:$AG$15,2,FALSE))</f>
        <v/>
      </c>
      <c r="G114" s="172" t="str">
        <f>IF(D114="","",VLOOKUP(D114,'G-6 Hedgerow Data'!$B$2:$AG$15,3,FALSE))</f>
        <v/>
      </c>
      <c r="H114" s="173"/>
      <c r="I114" s="172" t="str">
        <f>IFERROR(VLOOKUP(H114,'G-1 All Habitats'!$Z$2:$AA$9,2,FALSE),"")</f>
        <v/>
      </c>
      <c r="J114" s="173"/>
      <c r="K114" s="175" t="str">
        <f>IF(J114="","",IF(VLOOKUP(J114,'G-3 Multipliers'!$L$3:$N$6,2,FALSE)=0,"Spatial Data Missing",VLOOKUP(J114,'G-3 Multipliers'!$L$3:$N$6,2,FALSE)))</f>
        <v/>
      </c>
      <c r="L114" s="260" t="str">
        <f>IF(J114="","",IF(VLOOKUP(J114,'G-3 Multipliers'!$L$3:$N$6,3,FALSE)=0,"Spatial Data Missing",VLOOKUP(J114,'G-3 Multipliers'!$L$3:$N$6,3,FALSE)))</f>
        <v/>
      </c>
      <c r="M114" s="171" t="str">
        <f>IF(OR(D114="",H114=""),"",(INDEX('G-6 Hedgerow Data'!$E$3:$I$15,MATCH(D114,'G-6 Hedgerow Data'!$B$3:$B$15,0),MATCH(H114,'G-6 Hedgerow Data'!$E$2:$I$2,0))))</f>
        <v/>
      </c>
      <c r="N114" s="261"/>
      <c r="O114" s="261"/>
      <c r="P114" s="179" t="str">
        <f t="shared" si="7"/>
        <v/>
      </c>
      <c r="Q114" s="262" t="str">
        <f t="shared" si="8"/>
        <v/>
      </c>
      <c r="R114" s="263" t="str">
        <f t="shared" si="6"/>
        <v/>
      </c>
      <c r="S114" s="239" t="str">
        <f>IF(D114="","",VLOOKUP(D114,'G-6 Hedgerow Data'!$B$3:$AG$15,31,FALSE))</f>
        <v/>
      </c>
      <c r="T114" s="179" t="str">
        <f t="shared" si="9"/>
        <v/>
      </c>
      <c r="U114" s="179" t="str">
        <f t="shared" si="10"/>
        <v/>
      </c>
      <c r="V114" s="176" t="str">
        <f>IF(D114="","",VLOOKUP(S114,'G-3 Multipliers'!$P$3:$Q$6,2,FALSE))</f>
        <v/>
      </c>
      <c r="W114" s="274" t="str">
        <f t="shared" si="11"/>
        <v/>
      </c>
      <c r="X114" s="180"/>
      <c r="Y114" s="181"/>
      <c r="AG114" s="35" t="str">
        <f>IFERROR(INDEX('G-6 Hedgerow Data'!$BJ$3:$BJ$15,MATCH(D114,'G-6 Hedgerow Data'!$B$3:$B$15,0)),"")</f>
        <v/>
      </c>
    </row>
    <row r="115" spans="2:33" ht="13.8" x14ac:dyDescent="0.25">
      <c r="B115" s="168">
        <v>104</v>
      </c>
      <c r="C115" s="278"/>
      <c r="D115" s="261"/>
      <c r="E115" s="213"/>
      <c r="F115" s="277" t="str">
        <f>IF(D115="","",VLOOKUP(D115,'G-6 Hedgerow Data'!$B$2:$AG$15,2,FALSE))</f>
        <v/>
      </c>
      <c r="G115" s="172" t="str">
        <f>IF(D115="","",VLOOKUP(D115,'G-6 Hedgerow Data'!$B$2:$AG$15,3,FALSE))</f>
        <v/>
      </c>
      <c r="H115" s="173"/>
      <c r="I115" s="172" t="str">
        <f>IFERROR(VLOOKUP(H115,'G-1 All Habitats'!$Z$2:$AA$9,2,FALSE),"")</f>
        <v/>
      </c>
      <c r="J115" s="173"/>
      <c r="K115" s="175" t="str">
        <f>IF(J115="","",IF(VLOOKUP(J115,'G-3 Multipliers'!$L$3:$N$6,2,FALSE)=0,"Spatial Data Missing",VLOOKUP(J115,'G-3 Multipliers'!$L$3:$N$6,2,FALSE)))</f>
        <v/>
      </c>
      <c r="L115" s="260" t="str">
        <f>IF(J115="","",IF(VLOOKUP(J115,'G-3 Multipliers'!$L$3:$N$6,3,FALSE)=0,"Spatial Data Missing",VLOOKUP(J115,'G-3 Multipliers'!$L$3:$N$6,3,FALSE)))</f>
        <v/>
      </c>
      <c r="M115" s="171" t="str">
        <f>IF(OR(D115="",H115=""),"",(INDEX('G-6 Hedgerow Data'!$E$3:$I$15,MATCH(D115,'G-6 Hedgerow Data'!$B$3:$B$15,0),MATCH(H115,'G-6 Hedgerow Data'!$E$2:$I$2,0))))</f>
        <v/>
      </c>
      <c r="N115" s="261"/>
      <c r="O115" s="261"/>
      <c r="P115" s="179" t="str">
        <f t="shared" si="7"/>
        <v/>
      </c>
      <c r="Q115" s="262" t="str">
        <f t="shared" si="8"/>
        <v/>
      </c>
      <c r="R115" s="263" t="str">
        <f t="shared" si="6"/>
        <v/>
      </c>
      <c r="S115" s="239" t="str">
        <f>IF(D115="","",VLOOKUP(D115,'G-6 Hedgerow Data'!$B$3:$AG$15,31,FALSE))</f>
        <v/>
      </c>
      <c r="T115" s="179" t="str">
        <f t="shared" si="9"/>
        <v/>
      </c>
      <c r="U115" s="179" t="str">
        <f t="shared" si="10"/>
        <v/>
      </c>
      <c r="V115" s="176" t="str">
        <f>IF(D115="","",VLOOKUP(S115,'G-3 Multipliers'!$P$3:$Q$6,2,FALSE))</f>
        <v/>
      </c>
      <c r="W115" s="274" t="str">
        <f t="shared" si="11"/>
        <v/>
      </c>
      <c r="X115" s="180"/>
      <c r="Y115" s="181"/>
      <c r="AG115" s="35" t="str">
        <f>IFERROR(INDEX('G-6 Hedgerow Data'!$BJ$3:$BJ$15,MATCH(D115,'G-6 Hedgerow Data'!$B$3:$B$15,0)),"")</f>
        <v/>
      </c>
    </row>
    <row r="116" spans="2:33" ht="13.8" x14ac:dyDescent="0.25">
      <c r="B116" s="168">
        <v>105</v>
      </c>
      <c r="C116" s="278"/>
      <c r="D116" s="261"/>
      <c r="E116" s="213"/>
      <c r="F116" s="277" t="str">
        <f>IF(D116="","",VLOOKUP(D116,'G-6 Hedgerow Data'!$B$2:$AG$15,2,FALSE))</f>
        <v/>
      </c>
      <c r="G116" s="172" t="str">
        <f>IF(D116="","",VLOOKUP(D116,'G-6 Hedgerow Data'!$B$2:$AG$15,3,FALSE))</f>
        <v/>
      </c>
      <c r="H116" s="173"/>
      <c r="I116" s="172" t="str">
        <f>IFERROR(VLOOKUP(H116,'G-1 All Habitats'!$Z$2:$AA$9,2,FALSE),"")</f>
        <v/>
      </c>
      <c r="J116" s="173"/>
      <c r="K116" s="175" t="str">
        <f>IF(J116="","",IF(VLOOKUP(J116,'G-3 Multipliers'!$L$3:$N$6,2,FALSE)=0,"Spatial Data Missing",VLOOKUP(J116,'G-3 Multipliers'!$L$3:$N$6,2,FALSE)))</f>
        <v/>
      </c>
      <c r="L116" s="260" t="str">
        <f>IF(J116="","",IF(VLOOKUP(J116,'G-3 Multipliers'!$L$3:$N$6,3,FALSE)=0,"Spatial Data Missing",VLOOKUP(J116,'G-3 Multipliers'!$L$3:$N$6,3,FALSE)))</f>
        <v/>
      </c>
      <c r="M116" s="171" t="str">
        <f>IF(OR(D116="",H116=""),"",(INDEX('G-6 Hedgerow Data'!$E$3:$I$15,MATCH(D116,'G-6 Hedgerow Data'!$B$3:$B$15,0),MATCH(H116,'G-6 Hedgerow Data'!$E$2:$I$2,0))))</f>
        <v/>
      </c>
      <c r="N116" s="261"/>
      <c r="O116" s="261"/>
      <c r="P116" s="179" t="str">
        <f t="shared" si="7"/>
        <v/>
      </c>
      <c r="Q116" s="262" t="str">
        <f t="shared" si="8"/>
        <v/>
      </c>
      <c r="R116" s="263" t="str">
        <f t="shared" si="6"/>
        <v/>
      </c>
      <c r="S116" s="239" t="str">
        <f>IF(D116="","",VLOOKUP(D116,'G-6 Hedgerow Data'!$B$3:$AG$15,31,FALSE))</f>
        <v/>
      </c>
      <c r="T116" s="179" t="str">
        <f t="shared" si="9"/>
        <v/>
      </c>
      <c r="U116" s="179" t="str">
        <f t="shared" si="10"/>
        <v/>
      </c>
      <c r="V116" s="176" t="str">
        <f>IF(D116="","",VLOOKUP(S116,'G-3 Multipliers'!$P$3:$Q$6,2,FALSE))</f>
        <v/>
      </c>
      <c r="W116" s="274" t="str">
        <f t="shared" si="11"/>
        <v/>
      </c>
      <c r="X116" s="180"/>
      <c r="Y116" s="181"/>
      <c r="AG116" s="35" t="str">
        <f>IFERROR(INDEX('G-6 Hedgerow Data'!$BJ$3:$BJ$15,MATCH(D116,'G-6 Hedgerow Data'!$B$3:$B$15,0)),"")</f>
        <v/>
      </c>
    </row>
    <row r="117" spans="2:33" ht="13.8" x14ac:dyDescent="0.25">
      <c r="B117" s="168">
        <v>106</v>
      </c>
      <c r="C117" s="278"/>
      <c r="D117" s="261"/>
      <c r="E117" s="213"/>
      <c r="F117" s="277" t="str">
        <f>IF(D117="","",VLOOKUP(D117,'G-6 Hedgerow Data'!$B$2:$AG$15,2,FALSE))</f>
        <v/>
      </c>
      <c r="G117" s="172" t="str">
        <f>IF(D117="","",VLOOKUP(D117,'G-6 Hedgerow Data'!$B$2:$AG$15,3,FALSE))</f>
        <v/>
      </c>
      <c r="H117" s="173"/>
      <c r="I117" s="172" t="str">
        <f>IFERROR(VLOOKUP(H117,'G-1 All Habitats'!$Z$2:$AA$9,2,FALSE),"")</f>
        <v/>
      </c>
      <c r="J117" s="173"/>
      <c r="K117" s="175" t="str">
        <f>IF(J117="","",IF(VLOOKUP(J117,'G-3 Multipliers'!$L$3:$N$6,2,FALSE)=0,"Spatial Data Missing",VLOOKUP(J117,'G-3 Multipliers'!$L$3:$N$6,2,FALSE)))</f>
        <v/>
      </c>
      <c r="L117" s="260" t="str">
        <f>IF(J117="","",IF(VLOOKUP(J117,'G-3 Multipliers'!$L$3:$N$6,3,FALSE)=0,"Spatial Data Missing",VLOOKUP(J117,'G-3 Multipliers'!$L$3:$N$6,3,FALSE)))</f>
        <v/>
      </c>
      <c r="M117" s="171" t="str">
        <f>IF(OR(D117="",H117=""),"",(INDEX('G-6 Hedgerow Data'!$E$3:$I$15,MATCH(D117,'G-6 Hedgerow Data'!$B$3:$B$15,0),MATCH(H117,'G-6 Hedgerow Data'!$E$2:$I$2,0))))</f>
        <v/>
      </c>
      <c r="N117" s="261"/>
      <c r="O117" s="261"/>
      <c r="P117" s="179" t="str">
        <f t="shared" si="7"/>
        <v/>
      </c>
      <c r="Q117" s="262" t="str">
        <f t="shared" si="8"/>
        <v/>
      </c>
      <c r="R117" s="263" t="str">
        <f t="shared" si="6"/>
        <v/>
      </c>
      <c r="S117" s="239" t="str">
        <f>IF(D117="","",VLOOKUP(D117,'G-6 Hedgerow Data'!$B$3:$AG$15,31,FALSE))</f>
        <v/>
      </c>
      <c r="T117" s="179" t="str">
        <f t="shared" si="9"/>
        <v/>
      </c>
      <c r="U117" s="179" t="str">
        <f t="shared" si="10"/>
        <v/>
      </c>
      <c r="V117" s="176" t="str">
        <f>IF(D117="","",VLOOKUP(S117,'G-3 Multipliers'!$P$3:$Q$6,2,FALSE))</f>
        <v/>
      </c>
      <c r="W117" s="274" t="str">
        <f t="shared" si="11"/>
        <v/>
      </c>
      <c r="X117" s="180"/>
      <c r="Y117" s="181"/>
      <c r="AG117" s="35" t="str">
        <f>IFERROR(INDEX('G-6 Hedgerow Data'!$BJ$3:$BJ$15,MATCH(D117,'G-6 Hedgerow Data'!$B$3:$B$15,0)),"")</f>
        <v/>
      </c>
    </row>
    <row r="118" spans="2:33" ht="13.8" x14ac:dyDescent="0.25">
      <c r="B118" s="168">
        <v>107</v>
      </c>
      <c r="C118" s="278"/>
      <c r="D118" s="261"/>
      <c r="E118" s="213"/>
      <c r="F118" s="277" t="str">
        <f>IF(D118="","",VLOOKUP(D118,'G-6 Hedgerow Data'!$B$2:$AG$15,2,FALSE))</f>
        <v/>
      </c>
      <c r="G118" s="172" t="str">
        <f>IF(D118="","",VLOOKUP(D118,'G-6 Hedgerow Data'!$B$2:$AG$15,3,FALSE))</f>
        <v/>
      </c>
      <c r="H118" s="173"/>
      <c r="I118" s="172" t="str">
        <f>IFERROR(VLOOKUP(H118,'G-1 All Habitats'!$Z$2:$AA$9,2,FALSE),"")</f>
        <v/>
      </c>
      <c r="J118" s="173"/>
      <c r="K118" s="175" t="str">
        <f>IF(J118="","",IF(VLOOKUP(J118,'G-3 Multipliers'!$L$3:$N$6,2,FALSE)=0,"Spatial Data Missing",VLOOKUP(J118,'G-3 Multipliers'!$L$3:$N$6,2,FALSE)))</f>
        <v/>
      </c>
      <c r="L118" s="260" t="str">
        <f>IF(J118="","",IF(VLOOKUP(J118,'G-3 Multipliers'!$L$3:$N$6,3,FALSE)=0,"Spatial Data Missing",VLOOKUP(J118,'G-3 Multipliers'!$L$3:$N$6,3,FALSE)))</f>
        <v/>
      </c>
      <c r="M118" s="171" t="str">
        <f>IF(OR(D118="",H118=""),"",(INDEX('G-6 Hedgerow Data'!$E$3:$I$15,MATCH(D118,'G-6 Hedgerow Data'!$B$3:$B$15,0),MATCH(H118,'G-6 Hedgerow Data'!$E$2:$I$2,0))))</f>
        <v/>
      </c>
      <c r="N118" s="261"/>
      <c r="O118" s="261"/>
      <c r="P118" s="179" t="str">
        <f t="shared" si="7"/>
        <v/>
      </c>
      <c r="Q118" s="262" t="str">
        <f t="shared" si="8"/>
        <v/>
      </c>
      <c r="R118" s="263" t="str">
        <f t="shared" si="6"/>
        <v/>
      </c>
      <c r="S118" s="239" t="str">
        <f>IF(D118="","",VLOOKUP(D118,'G-6 Hedgerow Data'!$B$3:$AG$15,31,FALSE))</f>
        <v/>
      </c>
      <c r="T118" s="179" t="str">
        <f t="shared" si="9"/>
        <v/>
      </c>
      <c r="U118" s="179" t="str">
        <f t="shared" si="10"/>
        <v/>
      </c>
      <c r="V118" s="176" t="str">
        <f>IF(D118="","",VLOOKUP(S118,'G-3 Multipliers'!$P$3:$Q$6,2,FALSE))</f>
        <v/>
      </c>
      <c r="W118" s="274" t="str">
        <f t="shared" si="11"/>
        <v/>
      </c>
      <c r="X118" s="180"/>
      <c r="Y118" s="181"/>
      <c r="AG118" s="35" t="str">
        <f>IFERROR(INDEX('G-6 Hedgerow Data'!$BJ$3:$BJ$15,MATCH(D118,'G-6 Hedgerow Data'!$B$3:$B$15,0)),"")</f>
        <v/>
      </c>
    </row>
    <row r="119" spans="2:33" ht="13.8" x14ac:dyDescent="0.25">
      <c r="B119" s="168">
        <v>108</v>
      </c>
      <c r="C119" s="278"/>
      <c r="D119" s="261"/>
      <c r="E119" s="213"/>
      <c r="F119" s="277" t="str">
        <f>IF(D119="","",VLOOKUP(D119,'G-6 Hedgerow Data'!$B$2:$AG$15,2,FALSE))</f>
        <v/>
      </c>
      <c r="G119" s="172" t="str">
        <f>IF(D119="","",VLOOKUP(D119,'G-6 Hedgerow Data'!$B$2:$AG$15,3,FALSE))</f>
        <v/>
      </c>
      <c r="H119" s="173"/>
      <c r="I119" s="172" t="str">
        <f>IFERROR(VLOOKUP(H119,'G-1 All Habitats'!$Z$2:$AA$9,2,FALSE),"")</f>
        <v/>
      </c>
      <c r="J119" s="173"/>
      <c r="K119" s="175" t="str">
        <f>IF(J119="","",IF(VLOOKUP(J119,'G-3 Multipliers'!$L$3:$N$6,2,FALSE)=0,"Spatial Data Missing",VLOOKUP(J119,'G-3 Multipliers'!$L$3:$N$6,2,FALSE)))</f>
        <v/>
      </c>
      <c r="L119" s="260" t="str">
        <f>IF(J119="","",IF(VLOOKUP(J119,'G-3 Multipliers'!$L$3:$N$6,3,FALSE)=0,"Spatial Data Missing",VLOOKUP(J119,'G-3 Multipliers'!$L$3:$N$6,3,FALSE)))</f>
        <v/>
      </c>
      <c r="M119" s="171" t="str">
        <f>IF(OR(D119="",H119=""),"",(INDEX('G-6 Hedgerow Data'!$E$3:$I$15,MATCH(D119,'G-6 Hedgerow Data'!$B$3:$B$15,0),MATCH(H119,'G-6 Hedgerow Data'!$E$2:$I$2,0))))</f>
        <v/>
      </c>
      <c r="N119" s="261"/>
      <c r="O119" s="261"/>
      <c r="P119" s="179" t="str">
        <f t="shared" si="7"/>
        <v/>
      </c>
      <c r="Q119" s="262" t="str">
        <f t="shared" si="8"/>
        <v/>
      </c>
      <c r="R119" s="263" t="str">
        <f t="shared" si="6"/>
        <v/>
      </c>
      <c r="S119" s="239" t="str">
        <f>IF(D119="","",VLOOKUP(D119,'G-6 Hedgerow Data'!$B$3:$AG$15,31,FALSE))</f>
        <v/>
      </c>
      <c r="T119" s="179" t="str">
        <f t="shared" si="9"/>
        <v/>
      </c>
      <c r="U119" s="179" t="str">
        <f t="shared" si="10"/>
        <v/>
      </c>
      <c r="V119" s="176" t="str">
        <f>IF(D119="","",VLOOKUP(S119,'G-3 Multipliers'!$P$3:$Q$6,2,FALSE))</f>
        <v/>
      </c>
      <c r="W119" s="274" t="str">
        <f t="shared" si="11"/>
        <v/>
      </c>
      <c r="X119" s="180"/>
      <c r="Y119" s="181"/>
      <c r="AG119" s="35" t="str">
        <f>IFERROR(INDEX('G-6 Hedgerow Data'!$BJ$3:$BJ$15,MATCH(D119,'G-6 Hedgerow Data'!$B$3:$B$15,0)),"")</f>
        <v/>
      </c>
    </row>
    <row r="120" spans="2:33" ht="13.8" x14ac:dyDescent="0.25">
      <c r="B120" s="168">
        <v>109</v>
      </c>
      <c r="C120" s="278"/>
      <c r="D120" s="261"/>
      <c r="E120" s="213"/>
      <c r="F120" s="277" t="str">
        <f>IF(D120="","",VLOOKUP(D120,'G-6 Hedgerow Data'!$B$2:$AG$15,2,FALSE))</f>
        <v/>
      </c>
      <c r="G120" s="172" t="str">
        <f>IF(D120="","",VLOOKUP(D120,'G-6 Hedgerow Data'!$B$2:$AG$15,3,FALSE))</f>
        <v/>
      </c>
      <c r="H120" s="173"/>
      <c r="I120" s="172" t="str">
        <f>IFERROR(VLOOKUP(H120,'G-1 All Habitats'!$Z$2:$AA$9,2,FALSE),"")</f>
        <v/>
      </c>
      <c r="J120" s="173"/>
      <c r="K120" s="175" t="str">
        <f>IF(J120="","",IF(VLOOKUP(J120,'G-3 Multipliers'!$L$3:$N$6,2,FALSE)=0,"Spatial Data Missing",VLOOKUP(J120,'G-3 Multipliers'!$L$3:$N$6,2,FALSE)))</f>
        <v/>
      </c>
      <c r="L120" s="260" t="str">
        <f>IF(J120="","",IF(VLOOKUP(J120,'G-3 Multipliers'!$L$3:$N$6,3,FALSE)=0,"Spatial Data Missing",VLOOKUP(J120,'G-3 Multipliers'!$L$3:$N$6,3,FALSE)))</f>
        <v/>
      </c>
      <c r="M120" s="171" t="str">
        <f>IF(OR(D120="",H120=""),"",(INDEX('G-6 Hedgerow Data'!$E$3:$I$15,MATCH(D120,'G-6 Hedgerow Data'!$B$3:$B$15,0),MATCH(H120,'G-6 Hedgerow Data'!$E$2:$I$2,0))))</f>
        <v/>
      </c>
      <c r="N120" s="261"/>
      <c r="O120" s="261"/>
      <c r="P120" s="179" t="str">
        <f t="shared" si="7"/>
        <v/>
      </c>
      <c r="Q120" s="262" t="str">
        <f t="shared" si="8"/>
        <v/>
      </c>
      <c r="R120" s="263" t="str">
        <f t="shared" si="6"/>
        <v/>
      </c>
      <c r="S120" s="239" t="str">
        <f>IF(D120="","",VLOOKUP(D120,'G-6 Hedgerow Data'!$B$3:$AG$15,31,FALSE))</f>
        <v/>
      </c>
      <c r="T120" s="179" t="str">
        <f t="shared" si="9"/>
        <v/>
      </c>
      <c r="U120" s="179" t="str">
        <f t="shared" si="10"/>
        <v/>
      </c>
      <c r="V120" s="176" t="str">
        <f>IF(D120="","",VLOOKUP(S120,'G-3 Multipliers'!$P$3:$Q$6,2,FALSE))</f>
        <v/>
      </c>
      <c r="W120" s="274" t="str">
        <f t="shared" si="11"/>
        <v/>
      </c>
      <c r="X120" s="180"/>
      <c r="Y120" s="181"/>
      <c r="AG120" s="35" t="str">
        <f>IFERROR(INDEX('G-6 Hedgerow Data'!$BJ$3:$BJ$15,MATCH(D120,'G-6 Hedgerow Data'!$B$3:$B$15,0)),"")</f>
        <v/>
      </c>
    </row>
    <row r="121" spans="2:33" ht="13.8" x14ac:dyDescent="0.25">
      <c r="B121" s="168">
        <v>110</v>
      </c>
      <c r="C121" s="278"/>
      <c r="D121" s="261"/>
      <c r="E121" s="213"/>
      <c r="F121" s="277" t="str">
        <f>IF(D121="","",VLOOKUP(D121,'G-6 Hedgerow Data'!$B$2:$AG$15,2,FALSE))</f>
        <v/>
      </c>
      <c r="G121" s="172" t="str">
        <f>IF(D121="","",VLOOKUP(D121,'G-6 Hedgerow Data'!$B$2:$AG$15,3,FALSE))</f>
        <v/>
      </c>
      <c r="H121" s="173"/>
      <c r="I121" s="172" t="str">
        <f>IFERROR(VLOOKUP(H121,'G-1 All Habitats'!$Z$2:$AA$9,2,FALSE),"")</f>
        <v/>
      </c>
      <c r="J121" s="173"/>
      <c r="K121" s="175" t="str">
        <f>IF(J121="","",IF(VLOOKUP(J121,'G-3 Multipliers'!$L$3:$N$6,2,FALSE)=0,"Spatial Data Missing",VLOOKUP(J121,'G-3 Multipliers'!$L$3:$N$6,2,FALSE)))</f>
        <v/>
      </c>
      <c r="L121" s="260" t="str">
        <f>IF(J121="","",IF(VLOOKUP(J121,'G-3 Multipliers'!$L$3:$N$6,3,FALSE)=0,"Spatial Data Missing",VLOOKUP(J121,'G-3 Multipliers'!$L$3:$N$6,3,FALSE)))</f>
        <v/>
      </c>
      <c r="M121" s="171" t="str">
        <f>IF(OR(D121="",H121=""),"",(INDEX('G-6 Hedgerow Data'!$E$3:$I$15,MATCH(D121,'G-6 Hedgerow Data'!$B$3:$B$15,0),MATCH(H121,'G-6 Hedgerow Data'!$E$2:$I$2,0))))</f>
        <v/>
      </c>
      <c r="N121" s="261"/>
      <c r="O121" s="261"/>
      <c r="P121" s="179" t="str">
        <f t="shared" si="7"/>
        <v/>
      </c>
      <c r="Q121" s="262" t="str">
        <f t="shared" si="8"/>
        <v/>
      </c>
      <c r="R121" s="263" t="str">
        <f t="shared" si="6"/>
        <v/>
      </c>
      <c r="S121" s="239" t="str">
        <f>IF(D121="","",VLOOKUP(D121,'G-6 Hedgerow Data'!$B$3:$AG$15,31,FALSE))</f>
        <v/>
      </c>
      <c r="T121" s="179" t="str">
        <f t="shared" si="9"/>
        <v/>
      </c>
      <c r="U121" s="179" t="str">
        <f t="shared" si="10"/>
        <v/>
      </c>
      <c r="V121" s="176" t="str">
        <f>IF(D121="","",VLOOKUP(S121,'G-3 Multipliers'!$P$3:$Q$6,2,FALSE))</f>
        <v/>
      </c>
      <c r="W121" s="274" t="str">
        <f t="shared" si="11"/>
        <v/>
      </c>
      <c r="X121" s="180"/>
      <c r="Y121" s="181"/>
      <c r="AG121" s="35" t="str">
        <f>IFERROR(INDEX('G-6 Hedgerow Data'!$BJ$3:$BJ$15,MATCH(D121,'G-6 Hedgerow Data'!$B$3:$B$15,0)),"")</f>
        <v/>
      </c>
    </row>
    <row r="122" spans="2:33" ht="13.8" x14ac:dyDescent="0.25">
      <c r="B122" s="168">
        <v>111</v>
      </c>
      <c r="C122" s="278"/>
      <c r="D122" s="261"/>
      <c r="E122" s="213"/>
      <c r="F122" s="277" t="str">
        <f>IF(D122="","",VLOOKUP(D122,'G-6 Hedgerow Data'!$B$2:$AG$15,2,FALSE))</f>
        <v/>
      </c>
      <c r="G122" s="172" t="str">
        <f>IF(D122="","",VLOOKUP(D122,'G-6 Hedgerow Data'!$B$2:$AG$15,3,FALSE))</f>
        <v/>
      </c>
      <c r="H122" s="173"/>
      <c r="I122" s="172" t="str">
        <f>IFERROR(VLOOKUP(H122,'G-1 All Habitats'!$Z$2:$AA$9,2,FALSE),"")</f>
        <v/>
      </c>
      <c r="J122" s="173"/>
      <c r="K122" s="175" t="str">
        <f>IF(J122="","",IF(VLOOKUP(J122,'G-3 Multipliers'!$L$3:$N$6,2,FALSE)=0,"Spatial Data Missing",VLOOKUP(J122,'G-3 Multipliers'!$L$3:$N$6,2,FALSE)))</f>
        <v/>
      </c>
      <c r="L122" s="260" t="str">
        <f>IF(J122="","",IF(VLOOKUP(J122,'G-3 Multipliers'!$L$3:$N$6,3,FALSE)=0,"Spatial Data Missing",VLOOKUP(J122,'G-3 Multipliers'!$L$3:$N$6,3,FALSE)))</f>
        <v/>
      </c>
      <c r="M122" s="171" t="str">
        <f>IF(OR(D122="",H122=""),"",(INDEX('G-6 Hedgerow Data'!$E$3:$I$15,MATCH(D122,'G-6 Hedgerow Data'!$B$3:$B$15,0),MATCH(H122,'G-6 Hedgerow Data'!$E$2:$I$2,0))))</f>
        <v/>
      </c>
      <c r="N122" s="261"/>
      <c r="O122" s="261"/>
      <c r="P122" s="179" t="str">
        <f t="shared" si="7"/>
        <v/>
      </c>
      <c r="Q122" s="262" t="str">
        <f t="shared" si="8"/>
        <v/>
      </c>
      <c r="R122" s="263" t="str">
        <f t="shared" si="6"/>
        <v/>
      </c>
      <c r="S122" s="239" t="str">
        <f>IF(D122="","",VLOOKUP(D122,'G-6 Hedgerow Data'!$B$3:$AG$15,31,FALSE))</f>
        <v/>
      </c>
      <c r="T122" s="179" t="str">
        <f t="shared" si="9"/>
        <v/>
      </c>
      <c r="U122" s="179" t="str">
        <f t="shared" si="10"/>
        <v/>
      </c>
      <c r="V122" s="176" t="str">
        <f>IF(D122="","",VLOOKUP(S122,'G-3 Multipliers'!$P$3:$Q$6,2,FALSE))</f>
        <v/>
      </c>
      <c r="W122" s="274" t="str">
        <f t="shared" si="11"/>
        <v/>
      </c>
      <c r="X122" s="180"/>
      <c r="Y122" s="181"/>
      <c r="AG122" s="35" t="str">
        <f>IFERROR(INDEX('G-6 Hedgerow Data'!$BJ$3:$BJ$15,MATCH(D122,'G-6 Hedgerow Data'!$B$3:$B$15,0)),"")</f>
        <v/>
      </c>
    </row>
    <row r="123" spans="2:33" ht="13.8" x14ac:dyDescent="0.25">
      <c r="B123" s="168">
        <v>112</v>
      </c>
      <c r="C123" s="278"/>
      <c r="D123" s="261"/>
      <c r="E123" s="213"/>
      <c r="F123" s="277" t="str">
        <f>IF(D123="","",VLOOKUP(D123,'G-6 Hedgerow Data'!$B$2:$AG$15,2,FALSE))</f>
        <v/>
      </c>
      <c r="G123" s="172" t="str">
        <f>IF(D123="","",VLOOKUP(D123,'G-6 Hedgerow Data'!$B$2:$AG$15,3,FALSE))</f>
        <v/>
      </c>
      <c r="H123" s="173"/>
      <c r="I123" s="172" t="str">
        <f>IFERROR(VLOOKUP(H123,'G-1 All Habitats'!$Z$2:$AA$9,2,FALSE),"")</f>
        <v/>
      </c>
      <c r="J123" s="173"/>
      <c r="K123" s="175" t="str">
        <f>IF(J123="","",IF(VLOOKUP(J123,'G-3 Multipliers'!$L$3:$N$6,2,FALSE)=0,"Spatial Data Missing",VLOOKUP(J123,'G-3 Multipliers'!$L$3:$N$6,2,FALSE)))</f>
        <v/>
      </c>
      <c r="L123" s="260" t="str">
        <f>IF(J123="","",IF(VLOOKUP(J123,'G-3 Multipliers'!$L$3:$N$6,3,FALSE)=0,"Spatial Data Missing",VLOOKUP(J123,'G-3 Multipliers'!$L$3:$N$6,3,FALSE)))</f>
        <v/>
      </c>
      <c r="M123" s="171" t="str">
        <f>IF(OR(D123="",H123=""),"",(INDEX('G-6 Hedgerow Data'!$E$3:$I$15,MATCH(D123,'G-6 Hedgerow Data'!$B$3:$B$15,0),MATCH(H123,'G-6 Hedgerow Data'!$E$2:$I$2,0))))</f>
        <v/>
      </c>
      <c r="N123" s="261"/>
      <c r="O123" s="261"/>
      <c r="P123" s="179" t="str">
        <f t="shared" si="7"/>
        <v/>
      </c>
      <c r="Q123" s="262" t="str">
        <f t="shared" si="8"/>
        <v/>
      </c>
      <c r="R123" s="263" t="str">
        <f t="shared" si="6"/>
        <v/>
      </c>
      <c r="S123" s="239" t="str">
        <f>IF(D123="","",VLOOKUP(D123,'G-6 Hedgerow Data'!$B$3:$AG$15,31,FALSE))</f>
        <v/>
      </c>
      <c r="T123" s="179" t="str">
        <f t="shared" si="9"/>
        <v/>
      </c>
      <c r="U123" s="179" t="str">
        <f t="shared" si="10"/>
        <v/>
      </c>
      <c r="V123" s="176" t="str">
        <f>IF(D123="","",VLOOKUP(S123,'G-3 Multipliers'!$P$3:$Q$6,2,FALSE))</f>
        <v/>
      </c>
      <c r="W123" s="274" t="str">
        <f t="shared" si="11"/>
        <v/>
      </c>
      <c r="X123" s="180"/>
      <c r="Y123" s="181"/>
      <c r="AG123" s="35" t="str">
        <f>IFERROR(INDEX('G-6 Hedgerow Data'!$BJ$3:$BJ$15,MATCH(D123,'G-6 Hedgerow Data'!$B$3:$B$15,0)),"")</f>
        <v/>
      </c>
    </row>
    <row r="124" spans="2:33" ht="13.8" x14ac:dyDescent="0.25">
      <c r="B124" s="168">
        <v>113</v>
      </c>
      <c r="C124" s="278"/>
      <c r="D124" s="261"/>
      <c r="E124" s="213"/>
      <c r="F124" s="277" t="str">
        <f>IF(D124="","",VLOOKUP(D124,'G-6 Hedgerow Data'!$B$2:$AG$15,2,FALSE))</f>
        <v/>
      </c>
      <c r="G124" s="172" t="str">
        <f>IF(D124="","",VLOOKUP(D124,'G-6 Hedgerow Data'!$B$2:$AG$15,3,FALSE))</f>
        <v/>
      </c>
      <c r="H124" s="173"/>
      <c r="I124" s="172" t="str">
        <f>IFERROR(VLOOKUP(H124,'G-1 All Habitats'!$Z$2:$AA$9,2,FALSE),"")</f>
        <v/>
      </c>
      <c r="J124" s="173"/>
      <c r="K124" s="175" t="str">
        <f>IF(J124="","",IF(VLOOKUP(J124,'G-3 Multipliers'!$L$3:$N$6,2,FALSE)=0,"Spatial Data Missing",VLOOKUP(J124,'G-3 Multipliers'!$L$3:$N$6,2,FALSE)))</f>
        <v/>
      </c>
      <c r="L124" s="260" t="str">
        <f>IF(J124="","",IF(VLOOKUP(J124,'G-3 Multipliers'!$L$3:$N$6,3,FALSE)=0,"Spatial Data Missing",VLOOKUP(J124,'G-3 Multipliers'!$L$3:$N$6,3,FALSE)))</f>
        <v/>
      </c>
      <c r="M124" s="171" t="str">
        <f>IF(OR(D124="",H124=""),"",(INDEX('G-6 Hedgerow Data'!$E$3:$I$15,MATCH(D124,'G-6 Hedgerow Data'!$B$3:$B$15,0),MATCH(H124,'G-6 Hedgerow Data'!$E$2:$I$2,0))))</f>
        <v/>
      </c>
      <c r="N124" s="261"/>
      <c r="O124" s="261"/>
      <c r="P124" s="179" t="str">
        <f t="shared" si="7"/>
        <v/>
      </c>
      <c r="Q124" s="262" t="str">
        <f t="shared" si="8"/>
        <v/>
      </c>
      <c r="R124" s="263" t="str">
        <f t="shared" si="6"/>
        <v/>
      </c>
      <c r="S124" s="239" t="str">
        <f>IF(D124="","",VLOOKUP(D124,'G-6 Hedgerow Data'!$B$3:$AG$15,31,FALSE))</f>
        <v/>
      </c>
      <c r="T124" s="179" t="str">
        <f t="shared" si="9"/>
        <v/>
      </c>
      <c r="U124" s="179" t="str">
        <f t="shared" si="10"/>
        <v/>
      </c>
      <c r="V124" s="176" t="str">
        <f>IF(D124="","",VLOOKUP(S124,'G-3 Multipliers'!$P$3:$Q$6,2,FALSE))</f>
        <v/>
      </c>
      <c r="W124" s="274" t="str">
        <f t="shared" si="11"/>
        <v/>
      </c>
      <c r="X124" s="180"/>
      <c r="Y124" s="181"/>
      <c r="AG124" s="35" t="str">
        <f>IFERROR(INDEX('G-6 Hedgerow Data'!$BJ$3:$BJ$15,MATCH(D124,'G-6 Hedgerow Data'!$B$3:$B$15,0)),"")</f>
        <v/>
      </c>
    </row>
    <row r="125" spans="2:33" ht="13.8" x14ac:dyDescent="0.25">
      <c r="B125" s="168">
        <v>114</v>
      </c>
      <c r="C125" s="278"/>
      <c r="D125" s="261"/>
      <c r="E125" s="213"/>
      <c r="F125" s="277" t="str">
        <f>IF(D125="","",VLOOKUP(D125,'G-6 Hedgerow Data'!$B$2:$AG$15,2,FALSE))</f>
        <v/>
      </c>
      <c r="G125" s="172" t="str">
        <f>IF(D125="","",VLOOKUP(D125,'G-6 Hedgerow Data'!$B$2:$AG$15,3,FALSE))</f>
        <v/>
      </c>
      <c r="H125" s="173"/>
      <c r="I125" s="172" t="str">
        <f>IFERROR(VLOOKUP(H125,'G-1 All Habitats'!$Z$2:$AA$9,2,FALSE),"")</f>
        <v/>
      </c>
      <c r="J125" s="173"/>
      <c r="K125" s="175" t="str">
        <f>IF(J125="","",IF(VLOOKUP(J125,'G-3 Multipliers'!$L$3:$N$6,2,FALSE)=0,"Spatial Data Missing",VLOOKUP(J125,'G-3 Multipliers'!$L$3:$N$6,2,FALSE)))</f>
        <v/>
      </c>
      <c r="L125" s="260" t="str">
        <f>IF(J125="","",IF(VLOOKUP(J125,'G-3 Multipliers'!$L$3:$N$6,3,FALSE)=0,"Spatial Data Missing",VLOOKUP(J125,'G-3 Multipliers'!$L$3:$N$6,3,FALSE)))</f>
        <v/>
      </c>
      <c r="M125" s="171" t="str">
        <f>IF(OR(D125="",H125=""),"",(INDEX('G-6 Hedgerow Data'!$E$3:$I$15,MATCH(D125,'G-6 Hedgerow Data'!$B$3:$B$15,0),MATCH(H125,'G-6 Hedgerow Data'!$E$2:$I$2,0))))</f>
        <v/>
      </c>
      <c r="N125" s="261"/>
      <c r="O125" s="261"/>
      <c r="P125" s="179" t="str">
        <f t="shared" si="7"/>
        <v/>
      </c>
      <c r="Q125" s="262" t="str">
        <f t="shared" si="8"/>
        <v/>
      </c>
      <c r="R125" s="263" t="str">
        <f t="shared" si="6"/>
        <v/>
      </c>
      <c r="S125" s="239" t="str">
        <f>IF(D125="","",VLOOKUP(D125,'G-6 Hedgerow Data'!$B$3:$AG$15,31,FALSE))</f>
        <v/>
      </c>
      <c r="T125" s="179" t="str">
        <f t="shared" si="9"/>
        <v/>
      </c>
      <c r="U125" s="179" t="str">
        <f t="shared" si="10"/>
        <v/>
      </c>
      <c r="V125" s="176" t="str">
        <f>IF(D125="","",VLOOKUP(S125,'G-3 Multipliers'!$P$3:$Q$6,2,FALSE))</f>
        <v/>
      </c>
      <c r="W125" s="274" t="str">
        <f t="shared" si="11"/>
        <v/>
      </c>
      <c r="X125" s="180"/>
      <c r="Y125" s="181"/>
      <c r="AG125" s="35" t="str">
        <f>IFERROR(INDEX('G-6 Hedgerow Data'!$BJ$3:$BJ$15,MATCH(D125,'G-6 Hedgerow Data'!$B$3:$B$15,0)),"")</f>
        <v/>
      </c>
    </row>
    <row r="126" spans="2:33" ht="13.8" x14ac:dyDescent="0.25">
      <c r="B126" s="168">
        <v>115</v>
      </c>
      <c r="C126" s="278"/>
      <c r="D126" s="261"/>
      <c r="E126" s="213"/>
      <c r="F126" s="277" t="str">
        <f>IF(D126="","",VLOOKUP(D126,'G-6 Hedgerow Data'!$B$2:$AG$15,2,FALSE))</f>
        <v/>
      </c>
      <c r="G126" s="172" t="str">
        <f>IF(D126="","",VLOOKUP(D126,'G-6 Hedgerow Data'!$B$2:$AG$15,3,FALSE))</f>
        <v/>
      </c>
      <c r="H126" s="173"/>
      <c r="I126" s="172" t="str">
        <f>IFERROR(VLOOKUP(H126,'G-1 All Habitats'!$Z$2:$AA$9,2,FALSE),"")</f>
        <v/>
      </c>
      <c r="J126" s="173"/>
      <c r="K126" s="175" t="str">
        <f>IF(J126="","",IF(VLOOKUP(J126,'G-3 Multipliers'!$L$3:$N$6,2,FALSE)=0,"Spatial Data Missing",VLOOKUP(J126,'G-3 Multipliers'!$L$3:$N$6,2,FALSE)))</f>
        <v/>
      </c>
      <c r="L126" s="260" t="str">
        <f>IF(J126="","",IF(VLOOKUP(J126,'G-3 Multipliers'!$L$3:$N$6,3,FALSE)=0,"Spatial Data Missing",VLOOKUP(J126,'G-3 Multipliers'!$L$3:$N$6,3,FALSE)))</f>
        <v/>
      </c>
      <c r="M126" s="171" t="str">
        <f>IF(OR(D126="",H126=""),"",(INDEX('G-6 Hedgerow Data'!$E$3:$I$15,MATCH(D126,'G-6 Hedgerow Data'!$B$3:$B$15,0),MATCH(H126,'G-6 Hedgerow Data'!$E$2:$I$2,0))))</f>
        <v/>
      </c>
      <c r="N126" s="261"/>
      <c r="O126" s="261"/>
      <c r="P126" s="179" t="str">
        <f t="shared" si="7"/>
        <v/>
      </c>
      <c r="Q126" s="262" t="str">
        <f t="shared" si="8"/>
        <v/>
      </c>
      <c r="R126" s="263" t="str">
        <f t="shared" si="6"/>
        <v/>
      </c>
      <c r="S126" s="239" t="str">
        <f>IF(D126="","",VLOOKUP(D126,'G-6 Hedgerow Data'!$B$3:$AG$15,31,FALSE))</f>
        <v/>
      </c>
      <c r="T126" s="179" t="str">
        <f t="shared" si="9"/>
        <v/>
      </c>
      <c r="U126" s="179" t="str">
        <f t="shared" si="10"/>
        <v/>
      </c>
      <c r="V126" s="176" t="str">
        <f>IF(D126="","",VLOOKUP(S126,'G-3 Multipliers'!$P$3:$Q$6,2,FALSE))</f>
        <v/>
      </c>
      <c r="W126" s="274" t="str">
        <f t="shared" si="11"/>
        <v/>
      </c>
      <c r="X126" s="180"/>
      <c r="Y126" s="181"/>
      <c r="AG126" s="35" t="str">
        <f>IFERROR(INDEX('G-6 Hedgerow Data'!$BJ$3:$BJ$15,MATCH(D126,'G-6 Hedgerow Data'!$B$3:$B$15,0)),"")</f>
        <v/>
      </c>
    </row>
    <row r="127" spans="2:33" ht="13.8" x14ac:dyDescent="0.25">
      <c r="B127" s="168">
        <v>116</v>
      </c>
      <c r="C127" s="278"/>
      <c r="D127" s="261"/>
      <c r="E127" s="213"/>
      <c r="F127" s="277" t="str">
        <f>IF(D127="","",VLOOKUP(D127,'G-6 Hedgerow Data'!$B$2:$AG$15,2,FALSE))</f>
        <v/>
      </c>
      <c r="G127" s="172" t="str">
        <f>IF(D127="","",VLOOKUP(D127,'G-6 Hedgerow Data'!$B$2:$AG$15,3,FALSE))</f>
        <v/>
      </c>
      <c r="H127" s="173"/>
      <c r="I127" s="172" t="str">
        <f>IFERROR(VLOOKUP(H127,'G-1 All Habitats'!$Z$2:$AA$9,2,FALSE),"")</f>
        <v/>
      </c>
      <c r="J127" s="173"/>
      <c r="K127" s="175" t="str">
        <f>IF(J127="","",IF(VLOOKUP(J127,'G-3 Multipliers'!$L$3:$N$6,2,FALSE)=0,"Spatial Data Missing",VLOOKUP(J127,'G-3 Multipliers'!$L$3:$N$6,2,FALSE)))</f>
        <v/>
      </c>
      <c r="L127" s="260" t="str">
        <f>IF(J127="","",IF(VLOOKUP(J127,'G-3 Multipliers'!$L$3:$N$6,3,FALSE)=0,"Spatial Data Missing",VLOOKUP(J127,'G-3 Multipliers'!$L$3:$N$6,3,FALSE)))</f>
        <v/>
      </c>
      <c r="M127" s="171" t="str">
        <f>IF(OR(D127="",H127=""),"",(INDEX('G-6 Hedgerow Data'!$E$3:$I$15,MATCH(D127,'G-6 Hedgerow Data'!$B$3:$B$15,0),MATCH(H127,'G-6 Hedgerow Data'!$E$2:$I$2,0))))</f>
        <v/>
      </c>
      <c r="N127" s="261"/>
      <c r="O127" s="261"/>
      <c r="P127" s="179" t="str">
        <f t="shared" si="7"/>
        <v/>
      </c>
      <c r="Q127" s="262" t="str">
        <f t="shared" si="8"/>
        <v/>
      </c>
      <c r="R127" s="263" t="str">
        <f t="shared" si="6"/>
        <v/>
      </c>
      <c r="S127" s="239" t="str">
        <f>IF(D127="","",VLOOKUP(D127,'G-6 Hedgerow Data'!$B$3:$AG$15,31,FALSE))</f>
        <v/>
      </c>
      <c r="T127" s="179" t="str">
        <f t="shared" si="9"/>
        <v/>
      </c>
      <c r="U127" s="179" t="str">
        <f t="shared" si="10"/>
        <v/>
      </c>
      <c r="V127" s="176" t="str">
        <f>IF(D127="","",VLOOKUP(S127,'G-3 Multipliers'!$P$3:$Q$6,2,FALSE))</f>
        <v/>
      </c>
      <c r="W127" s="274" t="str">
        <f t="shared" si="11"/>
        <v/>
      </c>
      <c r="X127" s="180"/>
      <c r="Y127" s="181"/>
      <c r="AG127" s="35" t="str">
        <f>IFERROR(INDEX('G-6 Hedgerow Data'!$BJ$3:$BJ$15,MATCH(D127,'G-6 Hedgerow Data'!$B$3:$B$15,0)),"")</f>
        <v/>
      </c>
    </row>
    <row r="128" spans="2:33" ht="13.8" x14ac:dyDescent="0.25">
      <c r="B128" s="168">
        <v>117</v>
      </c>
      <c r="C128" s="278"/>
      <c r="D128" s="261"/>
      <c r="E128" s="213"/>
      <c r="F128" s="277" t="str">
        <f>IF(D128="","",VLOOKUP(D128,'G-6 Hedgerow Data'!$B$2:$AG$15,2,FALSE))</f>
        <v/>
      </c>
      <c r="G128" s="172" t="str">
        <f>IF(D128="","",VLOOKUP(D128,'G-6 Hedgerow Data'!$B$2:$AG$15,3,FALSE))</f>
        <v/>
      </c>
      <c r="H128" s="173"/>
      <c r="I128" s="172" t="str">
        <f>IFERROR(VLOOKUP(H128,'G-1 All Habitats'!$Z$2:$AA$9,2,FALSE),"")</f>
        <v/>
      </c>
      <c r="J128" s="173"/>
      <c r="K128" s="175" t="str">
        <f>IF(J128="","",IF(VLOOKUP(J128,'G-3 Multipliers'!$L$3:$N$6,2,FALSE)=0,"Spatial Data Missing",VLOOKUP(J128,'G-3 Multipliers'!$L$3:$N$6,2,FALSE)))</f>
        <v/>
      </c>
      <c r="L128" s="260" t="str">
        <f>IF(J128="","",IF(VLOOKUP(J128,'G-3 Multipliers'!$L$3:$N$6,3,FALSE)=0,"Spatial Data Missing",VLOOKUP(J128,'G-3 Multipliers'!$L$3:$N$6,3,FALSE)))</f>
        <v/>
      </c>
      <c r="M128" s="171" t="str">
        <f>IF(OR(D128="",H128=""),"",(INDEX('G-6 Hedgerow Data'!$E$3:$I$15,MATCH(D128,'G-6 Hedgerow Data'!$B$3:$B$15,0),MATCH(H128,'G-6 Hedgerow Data'!$E$2:$I$2,0))))</f>
        <v/>
      </c>
      <c r="N128" s="261"/>
      <c r="O128" s="261"/>
      <c r="P128" s="179" t="str">
        <f t="shared" si="7"/>
        <v/>
      </c>
      <c r="Q128" s="262" t="str">
        <f t="shared" si="8"/>
        <v/>
      </c>
      <c r="R128" s="263" t="str">
        <f t="shared" si="6"/>
        <v/>
      </c>
      <c r="S128" s="239" t="str">
        <f>IF(D128="","",VLOOKUP(D128,'G-6 Hedgerow Data'!$B$3:$AG$15,31,FALSE))</f>
        <v/>
      </c>
      <c r="T128" s="179" t="str">
        <f t="shared" si="9"/>
        <v/>
      </c>
      <c r="U128" s="179" t="str">
        <f t="shared" si="10"/>
        <v/>
      </c>
      <c r="V128" s="176" t="str">
        <f>IF(D128="","",VLOOKUP(S128,'G-3 Multipliers'!$P$3:$Q$6,2,FALSE))</f>
        <v/>
      </c>
      <c r="W128" s="274" t="str">
        <f t="shared" si="11"/>
        <v/>
      </c>
      <c r="X128" s="180"/>
      <c r="Y128" s="181"/>
      <c r="AG128" s="35" t="str">
        <f>IFERROR(INDEX('G-6 Hedgerow Data'!$BJ$3:$BJ$15,MATCH(D128,'G-6 Hedgerow Data'!$B$3:$B$15,0)),"")</f>
        <v/>
      </c>
    </row>
    <row r="129" spans="2:33" ht="13.8" x14ac:dyDescent="0.25">
      <c r="B129" s="168">
        <v>118</v>
      </c>
      <c r="C129" s="278"/>
      <c r="D129" s="261"/>
      <c r="E129" s="213"/>
      <c r="F129" s="277" t="str">
        <f>IF(D129="","",VLOOKUP(D129,'G-6 Hedgerow Data'!$B$2:$AG$15,2,FALSE))</f>
        <v/>
      </c>
      <c r="G129" s="172" t="str">
        <f>IF(D129="","",VLOOKUP(D129,'G-6 Hedgerow Data'!$B$2:$AG$15,3,FALSE))</f>
        <v/>
      </c>
      <c r="H129" s="173"/>
      <c r="I129" s="172" t="str">
        <f>IFERROR(VLOOKUP(H129,'G-1 All Habitats'!$Z$2:$AA$9,2,FALSE),"")</f>
        <v/>
      </c>
      <c r="J129" s="173"/>
      <c r="K129" s="175" t="str">
        <f>IF(J129="","",IF(VLOOKUP(J129,'G-3 Multipliers'!$L$3:$N$6,2,FALSE)=0,"Spatial Data Missing",VLOOKUP(J129,'G-3 Multipliers'!$L$3:$N$6,2,FALSE)))</f>
        <v/>
      </c>
      <c r="L129" s="260" t="str">
        <f>IF(J129="","",IF(VLOOKUP(J129,'G-3 Multipliers'!$L$3:$N$6,3,FALSE)=0,"Spatial Data Missing",VLOOKUP(J129,'G-3 Multipliers'!$L$3:$N$6,3,FALSE)))</f>
        <v/>
      </c>
      <c r="M129" s="171" t="str">
        <f>IF(OR(D129="",H129=""),"",(INDEX('G-6 Hedgerow Data'!$E$3:$I$15,MATCH(D129,'G-6 Hedgerow Data'!$B$3:$B$15,0),MATCH(H129,'G-6 Hedgerow Data'!$E$2:$I$2,0))))</f>
        <v/>
      </c>
      <c r="N129" s="261"/>
      <c r="O129" s="261"/>
      <c r="P129" s="179" t="str">
        <f t="shared" si="7"/>
        <v/>
      </c>
      <c r="Q129" s="262" t="str">
        <f t="shared" si="8"/>
        <v/>
      </c>
      <c r="R129" s="263" t="str">
        <f t="shared" si="6"/>
        <v/>
      </c>
      <c r="S129" s="239" t="str">
        <f>IF(D129="","",VLOOKUP(D129,'G-6 Hedgerow Data'!$B$3:$AG$15,31,FALSE))</f>
        <v/>
      </c>
      <c r="T129" s="179" t="str">
        <f t="shared" si="9"/>
        <v/>
      </c>
      <c r="U129" s="179" t="str">
        <f t="shared" si="10"/>
        <v/>
      </c>
      <c r="V129" s="176" t="str">
        <f>IF(D129="","",VLOOKUP(S129,'G-3 Multipliers'!$P$3:$Q$6,2,FALSE))</f>
        <v/>
      </c>
      <c r="W129" s="274" t="str">
        <f t="shared" si="11"/>
        <v/>
      </c>
      <c r="X129" s="180"/>
      <c r="Y129" s="181"/>
      <c r="AG129" s="35" t="str">
        <f>IFERROR(INDEX('G-6 Hedgerow Data'!$BJ$3:$BJ$15,MATCH(D129,'G-6 Hedgerow Data'!$B$3:$B$15,0)),"")</f>
        <v/>
      </c>
    </row>
    <row r="130" spans="2:33" ht="13.8" x14ac:dyDescent="0.25">
      <c r="B130" s="168">
        <v>119</v>
      </c>
      <c r="C130" s="278"/>
      <c r="D130" s="261"/>
      <c r="E130" s="213"/>
      <c r="F130" s="277" t="str">
        <f>IF(D130="","",VLOOKUP(D130,'G-6 Hedgerow Data'!$B$2:$AG$15,2,FALSE))</f>
        <v/>
      </c>
      <c r="G130" s="172" t="str">
        <f>IF(D130="","",VLOOKUP(D130,'G-6 Hedgerow Data'!$B$2:$AG$15,3,FALSE))</f>
        <v/>
      </c>
      <c r="H130" s="173"/>
      <c r="I130" s="172" t="str">
        <f>IFERROR(VLOOKUP(H130,'G-1 All Habitats'!$Z$2:$AA$9,2,FALSE),"")</f>
        <v/>
      </c>
      <c r="J130" s="173"/>
      <c r="K130" s="175" t="str">
        <f>IF(J130="","",IF(VLOOKUP(J130,'G-3 Multipliers'!$L$3:$N$6,2,FALSE)=0,"Spatial Data Missing",VLOOKUP(J130,'G-3 Multipliers'!$L$3:$N$6,2,FALSE)))</f>
        <v/>
      </c>
      <c r="L130" s="260" t="str">
        <f>IF(J130="","",IF(VLOOKUP(J130,'G-3 Multipliers'!$L$3:$N$6,3,FALSE)=0,"Spatial Data Missing",VLOOKUP(J130,'G-3 Multipliers'!$L$3:$N$6,3,FALSE)))</f>
        <v/>
      </c>
      <c r="M130" s="171" t="str">
        <f>IF(OR(D130="",H130=""),"",(INDEX('G-6 Hedgerow Data'!$E$3:$I$15,MATCH(D130,'G-6 Hedgerow Data'!$B$3:$B$15,0),MATCH(H130,'G-6 Hedgerow Data'!$E$2:$I$2,0))))</f>
        <v/>
      </c>
      <c r="N130" s="261"/>
      <c r="O130" s="261"/>
      <c r="P130" s="179" t="str">
        <f t="shared" si="7"/>
        <v/>
      </c>
      <c r="Q130" s="262" t="str">
        <f t="shared" si="8"/>
        <v/>
      </c>
      <c r="R130" s="263" t="str">
        <f t="shared" si="6"/>
        <v/>
      </c>
      <c r="S130" s="239" t="str">
        <f>IF(D130="","",VLOOKUP(D130,'G-6 Hedgerow Data'!$B$3:$AG$15,31,FALSE))</f>
        <v/>
      </c>
      <c r="T130" s="179" t="str">
        <f t="shared" si="9"/>
        <v/>
      </c>
      <c r="U130" s="179" t="str">
        <f t="shared" si="10"/>
        <v/>
      </c>
      <c r="V130" s="176" t="str">
        <f>IF(D130="","",VLOOKUP(S130,'G-3 Multipliers'!$P$3:$Q$6,2,FALSE))</f>
        <v/>
      </c>
      <c r="W130" s="274" t="str">
        <f t="shared" si="11"/>
        <v/>
      </c>
      <c r="X130" s="180"/>
      <c r="Y130" s="181"/>
      <c r="AG130" s="35" t="str">
        <f>IFERROR(INDEX('G-6 Hedgerow Data'!$BJ$3:$BJ$15,MATCH(D130,'G-6 Hedgerow Data'!$B$3:$B$15,0)),"")</f>
        <v/>
      </c>
    </row>
    <row r="131" spans="2:33" ht="13.8" x14ac:dyDescent="0.25">
      <c r="B131" s="168">
        <v>120</v>
      </c>
      <c r="C131" s="278"/>
      <c r="D131" s="261"/>
      <c r="E131" s="213"/>
      <c r="F131" s="277" t="str">
        <f>IF(D131="","",VLOOKUP(D131,'G-6 Hedgerow Data'!$B$2:$AG$15,2,FALSE))</f>
        <v/>
      </c>
      <c r="G131" s="172" t="str">
        <f>IF(D131="","",VLOOKUP(D131,'G-6 Hedgerow Data'!$B$2:$AG$15,3,FALSE))</f>
        <v/>
      </c>
      <c r="H131" s="173"/>
      <c r="I131" s="172" t="str">
        <f>IFERROR(VLOOKUP(H131,'G-1 All Habitats'!$Z$2:$AA$9,2,FALSE),"")</f>
        <v/>
      </c>
      <c r="J131" s="173"/>
      <c r="K131" s="175" t="str">
        <f>IF(J131="","",IF(VLOOKUP(J131,'G-3 Multipliers'!$L$3:$N$6,2,FALSE)=0,"Spatial Data Missing",VLOOKUP(J131,'G-3 Multipliers'!$L$3:$N$6,2,FALSE)))</f>
        <v/>
      </c>
      <c r="L131" s="260" t="str">
        <f>IF(J131="","",IF(VLOOKUP(J131,'G-3 Multipliers'!$L$3:$N$6,3,FALSE)=0,"Spatial Data Missing",VLOOKUP(J131,'G-3 Multipliers'!$L$3:$N$6,3,FALSE)))</f>
        <v/>
      </c>
      <c r="M131" s="171" t="str">
        <f>IF(OR(D131="",H131=""),"",(INDEX('G-6 Hedgerow Data'!$E$3:$I$15,MATCH(D131,'G-6 Hedgerow Data'!$B$3:$B$15,0),MATCH(H131,'G-6 Hedgerow Data'!$E$2:$I$2,0))))</f>
        <v/>
      </c>
      <c r="N131" s="261"/>
      <c r="O131" s="261"/>
      <c r="P131" s="179" t="str">
        <f t="shared" si="7"/>
        <v/>
      </c>
      <c r="Q131" s="262" t="str">
        <f t="shared" si="8"/>
        <v/>
      </c>
      <c r="R131" s="263" t="str">
        <f t="shared" si="6"/>
        <v/>
      </c>
      <c r="S131" s="239" t="str">
        <f>IF(D131="","",VLOOKUP(D131,'G-6 Hedgerow Data'!$B$3:$AG$15,31,FALSE))</f>
        <v/>
      </c>
      <c r="T131" s="179" t="str">
        <f t="shared" si="9"/>
        <v/>
      </c>
      <c r="U131" s="179" t="str">
        <f t="shared" si="10"/>
        <v/>
      </c>
      <c r="V131" s="176" t="str">
        <f>IF(D131="","",VLOOKUP(S131,'G-3 Multipliers'!$P$3:$Q$6,2,FALSE))</f>
        <v/>
      </c>
      <c r="W131" s="274" t="str">
        <f t="shared" si="11"/>
        <v/>
      </c>
      <c r="X131" s="180"/>
      <c r="Y131" s="181"/>
      <c r="AG131" s="35" t="str">
        <f>IFERROR(INDEX('G-6 Hedgerow Data'!$BJ$3:$BJ$15,MATCH(D131,'G-6 Hedgerow Data'!$B$3:$B$15,0)),"")</f>
        <v/>
      </c>
    </row>
    <row r="132" spans="2:33" ht="13.8" x14ac:dyDescent="0.25">
      <c r="B132" s="168">
        <v>121</v>
      </c>
      <c r="C132" s="278"/>
      <c r="D132" s="261"/>
      <c r="E132" s="213"/>
      <c r="F132" s="277" t="str">
        <f>IF(D132="","",VLOOKUP(D132,'G-6 Hedgerow Data'!$B$2:$AG$15,2,FALSE))</f>
        <v/>
      </c>
      <c r="G132" s="172" t="str">
        <f>IF(D132="","",VLOOKUP(D132,'G-6 Hedgerow Data'!$B$2:$AG$15,3,FALSE))</f>
        <v/>
      </c>
      <c r="H132" s="173"/>
      <c r="I132" s="172" t="str">
        <f>IFERROR(VLOOKUP(H132,'G-1 All Habitats'!$Z$2:$AA$9,2,FALSE),"")</f>
        <v/>
      </c>
      <c r="J132" s="173"/>
      <c r="K132" s="175" t="str">
        <f>IF(J132="","",IF(VLOOKUP(J132,'G-3 Multipliers'!$L$3:$N$6,2,FALSE)=0,"Spatial Data Missing",VLOOKUP(J132,'G-3 Multipliers'!$L$3:$N$6,2,FALSE)))</f>
        <v/>
      </c>
      <c r="L132" s="260" t="str">
        <f>IF(J132="","",IF(VLOOKUP(J132,'G-3 Multipliers'!$L$3:$N$6,3,FALSE)=0,"Spatial Data Missing",VLOOKUP(J132,'G-3 Multipliers'!$L$3:$N$6,3,FALSE)))</f>
        <v/>
      </c>
      <c r="M132" s="171" t="str">
        <f>IF(OR(D132="",H132=""),"",(INDEX('G-6 Hedgerow Data'!$E$3:$I$15,MATCH(D132,'G-6 Hedgerow Data'!$B$3:$B$15,0),MATCH(H132,'G-6 Hedgerow Data'!$E$2:$I$2,0))))</f>
        <v/>
      </c>
      <c r="N132" s="261"/>
      <c r="O132" s="261"/>
      <c r="P132" s="179" t="str">
        <f t="shared" si="7"/>
        <v/>
      </c>
      <c r="Q132" s="262" t="str">
        <f t="shared" si="8"/>
        <v/>
      </c>
      <c r="R132" s="263" t="str">
        <f t="shared" si="6"/>
        <v/>
      </c>
      <c r="S132" s="239" t="str">
        <f>IF(D132="","",VLOOKUP(D132,'G-6 Hedgerow Data'!$B$3:$AG$15,31,FALSE))</f>
        <v/>
      </c>
      <c r="T132" s="179" t="str">
        <f t="shared" si="9"/>
        <v/>
      </c>
      <c r="U132" s="179" t="str">
        <f t="shared" si="10"/>
        <v/>
      </c>
      <c r="V132" s="176" t="str">
        <f>IF(D132="","",VLOOKUP(S132,'G-3 Multipliers'!$P$3:$Q$6,2,FALSE))</f>
        <v/>
      </c>
      <c r="W132" s="274" t="str">
        <f t="shared" si="11"/>
        <v/>
      </c>
      <c r="X132" s="180"/>
      <c r="Y132" s="181"/>
      <c r="AG132" s="35" t="str">
        <f>IFERROR(INDEX('G-6 Hedgerow Data'!$BJ$3:$BJ$15,MATCH(D132,'G-6 Hedgerow Data'!$B$3:$B$15,0)),"")</f>
        <v/>
      </c>
    </row>
    <row r="133" spans="2:33" ht="13.8" x14ac:dyDescent="0.25">
      <c r="B133" s="168">
        <v>122</v>
      </c>
      <c r="C133" s="278"/>
      <c r="D133" s="261"/>
      <c r="E133" s="213"/>
      <c r="F133" s="277" t="str">
        <f>IF(D133="","",VLOOKUP(D133,'G-6 Hedgerow Data'!$B$2:$AG$15,2,FALSE))</f>
        <v/>
      </c>
      <c r="G133" s="172" t="str">
        <f>IF(D133="","",VLOOKUP(D133,'G-6 Hedgerow Data'!$B$2:$AG$15,3,FALSE))</f>
        <v/>
      </c>
      <c r="H133" s="173"/>
      <c r="I133" s="172" t="str">
        <f>IFERROR(VLOOKUP(H133,'G-1 All Habitats'!$Z$2:$AA$9,2,FALSE),"")</f>
        <v/>
      </c>
      <c r="J133" s="173"/>
      <c r="K133" s="175" t="str">
        <f>IF(J133="","",IF(VLOOKUP(J133,'G-3 Multipliers'!$L$3:$N$6,2,FALSE)=0,"Spatial Data Missing",VLOOKUP(J133,'G-3 Multipliers'!$L$3:$N$6,2,FALSE)))</f>
        <v/>
      </c>
      <c r="L133" s="260" t="str">
        <f>IF(J133="","",IF(VLOOKUP(J133,'G-3 Multipliers'!$L$3:$N$6,3,FALSE)=0,"Spatial Data Missing",VLOOKUP(J133,'G-3 Multipliers'!$L$3:$N$6,3,FALSE)))</f>
        <v/>
      </c>
      <c r="M133" s="171" t="str">
        <f>IF(OR(D133="",H133=""),"",(INDEX('G-6 Hedgerow Data'!$E$3:$I$15,MATCH(D133,'G-6 Hedgerow Data'!$B$3:$B$15,0),MATCH(H133,'G-6 Hedgerow Data'!$E$2:$I$2,0))))</f>
        <v/>
      </c>
      <c r="N133" s="261"/>
      <c r="O133" s="261"/>
      <c r="P133" s="179" t="str">
        <f t="shared" si="7"/>
        <v/>
      </c>
      <c r="Q133" s="262" t="str">
        <f t="shared" si="8"/>
        <v/>
      </c>
      <c r="R133" s="263" t="str">
        <f t="shared" si="6"/>
        <v/>
      </c>
      <c r="S133" s="239" t="str">
        <f>IF(D133="","",VLOOKUP(D133,'G-6 Hedgerow Data'!$B$3:$AG$15,31,FALSE))</f>
        <v/>
      </c>
      <c r="T133" s="179" t="str">
        <f t="shared" si="9"/>
        <v/>
      </c>
      <c r="U133" s="179" t="str">
        <f t="shared" si="10"/>
        <v/>
      </c>
      <c r="V133" s="176" t="str">
        <f>IF(D133="","",VLOOKUP(S133,'G-3 Multipliers'!$P$3:$Q$6,2,FALSE))</f>
        <v/>
      </c>
      <c r="W133" s="274" t="str">
        <f t="shared" si="11"/>
        <v/>
      </c>
      <c r="X133" s="180"/>
      <c r="Y133" s="181"/>
      <c r="AG133" s="35" t="str">
        <f>IFERROR(INDEX('G-6 Hedgerow Data'!$BJ$3:$BJ$15,MATCH(D133,'G-6 Hedgerow Data'!$B$3:$B$15,0)),"")</f>
        <v/>
      </c>
    </row>
    <row r="134" spans="2:33" ht="13.8" x14ac:dyDescent="0.25">
      <c r="B134" s="168">
        <v>123</v>
      </c>
      <c r="C134" s="278"/>
      <c r="D134" s="261"/>
      <c r="E134" s="213"/>
      <c r="F134" s="277" t="str">
        <f>IF(D134="","",VLOOKUP(D134,'G-6 Hedgerow Data'!$B$2:$AG$15,2,FALSE))</f>
        <v/>
      </c>
      <c r="G134" s="172" t="str">
        <f>IF(D134="","",VLOOKUP(D134,'G-6 Hedgerow Data'!$B$2:$AG$15,3,FALSE))</f>
        <v/>
      </c>
      <c r="H134" s="173"/>
      <c r="I134" s="172" t="str">
        <f>IFERROR(VLOOKUP(H134,'G-1 All Habitats'!$Z$2:$AA$9,2,FALSE),"")</f>
        <v/>
      </c>
      <c r="J134" s="173"/>
      <c r="K134" s="175" t="str">
        <f>IF(J134="","",IF(VLOOKUP(J134,'G-3 Multipliers'!$L$3:$N$6,2,FALSE)=0,"Spatial Data Missing",VLOOKUP(J134,'G-3 Multipliers'!$L$3:$N$6,2,FALSE)))</f>
        <v/>
      </c>
      <c r="L134" s="260" t="str">
        <f>IF(J134="","",IF(VLOOKUP(J134,'G-3 Multipliers'!$L$3:$N$6,3,FALSE)=0,"Spatial Data Missing",VLOOKUP(J134,'G-3 Multipliers'!$L$3:$N$6,3,FALSE)))</f>
        <v/>
      </c>
      <c r="M134" s="171" t="str">
        <f>IF(OR(D134="",H134=""),"",(INDEX('G-6 Hedgerow Data'!$E$3:$I$15,MATCH(D134,'G-6 Hedgerow Data'!$B$3:$B$15,0),MATCH(H134,'G-6 Hedgerow Data'!$E$2:$I$2,0))))</f>
        <v/>
      </c>
      <c r="N134" s="261"/>
      <c r="O134" s="261"/>
      <c r="P134" s="179" t="str">
        <f t="shared" si="7"/>
        <v/>
      </c>
      <c r="Q134" s="262" t="str">
        <f t="shared" si="8"/>
        <v/>
      </c>
      <c r="R134" s="263" t="str">
        <f t="shared" si="6"/>
        <v/>
      </c>
      <c r="S134" s="239" t="str">
        <f>IF(D134="","",VLOOKUP(D134,'G-6 Hedgerow Data'!$B$3:$AG$15,31,FALSE))</f>
        <v/>
      </c>
      <c r="T134" s="179" t="str">
        <f t="shared" si="9"/>
        <v/>
      </c>
      <c r="U134" s="179" t="str">
        <f t="shared" si="10"/>
        <v/>
      </c>
      <c r="V134" s="176" t="str">
        <f>IF(D134="","",VLOOKUP(S134,'G-3 Multipliers'!$P$3:$Q$6,2,FALSE))</f>
        <v/>
      </c>
      <c r="W134" s="274" t="str">
        <f t="shared" si="11"/>
        <v/>
      </c>
      <c r="X134" s="180"/>
      <c r="Y134" s="181"/>
      <c r="AG134" s="35" t="str">
        <f>IFERROR(INDEX('G-6 Hedgerow Data'!$BJ$3:$BJ$15,MATCH(D134,'G-6 Hedgerow Data'!$B$3:$B$15,0)),"")</f>
        <v/>
      </c>
    </row>
    <row r="135" spans="2:33" ht="13.8" x14ac:dyDescent="0.25">
      <c r="B135" s="168">
        <v>124</v>
      </c>
      <c r="C135" s="278"/>
      <c r="D135" s="261"/>
      <c r="E135" s="213"/>
      <c r="F135" s="277" t="str">
        <f>IF(D135="","",VLOOKUP(D135,'G-6 Hedgerow Data'!$B$2:$AG$15,2,FALSE))</f>
        <v/>
      </c>
      <c r="G135" s="172" t="str">
        <f>IF(D135="","",VLOOKUP(D135,'G-6 Hedgerow Data'!$B$2:$AG$15,3,FALSE))</f>
        <v/>
      </c>
      <c r="H135" s="173"/>
      <c r="I135" s="172" t="str">
        <f>IFERROR(VLOOKUP(H135,'G-1 All Habitats'!$Z$2:$AA$9,2,FALSE),"")</f>
        <v/>
      </c>
      <c r="J135" s="173"/>
      <c r="K135" s="175" t="str">
        <f>IF(J135="","",IF(VLOOKUP(J135,'G-3 Multipliers'!$L$3:$N$6,2,FALSE)=0,"Spatial Data Missing",VLOOKUP(J135,'G-3 Multipliers'!$L$3:$N$6,2,FALSE)))</f>
        <v/>
      </c>
      <c r="L135" s="260" t="str">
        <f>IF(J135="","",IF(VLOOKUP(J135,'G-3 Multipliers'!$L$3:$N$6,3,FALSE)=0,"Spatial Data Missing",VLOOKUP(J135,'G-3 Multipliers'!$L$3:$N$6,3,FALSE)))</f>
        <v/>
      </c>
      <c r="M135" s="171" t="str">
        <f>IF(OR(D135="",H135=""),"",(INDEX('G-6 Hedgerow Data'!$E$3:$I$15,MATCH(D135,'G-6 Hedgerow Data'!$B$3:$B$15,0),MATCH(H135,'G-6 Hedgerow Data'!$E$2:$I$2,0))))</f>
        <v/>
      </c>
      <c r="N135" s="261"/>
      <c r="O135" s="261"/>
      <c r="P135" s="179" t="str">
        <f t="shared" si="7"/>
        <v/>
      </c>
      <c r="Q135" s="262" t="str">
        <f t="shared" si="8"/>
        <v/>
      </c>
      <c r="R135" s="263" t="str">
        <f t="shared" si="6"/>
        <v/>
      </c>
      <c r="S135" s="239" t="str">
        <f>IF(D135="","",VLOOKUP(D135,'G-6 Hedgerow Data'!$B$3:$AG$15,31,FALSE))</f>
        <v/>
      </c>
      <c r="T135" s="179" t="str">
        <f t="shared" si="9"/>
        <v/>
      </c>
      <c r="U135" s="179" t="str">
        <f t="shared" si="10"/>
        <v/>
      </c>
      <c r="V135" s="176" t="str">
        <f>IF(D135="","",VLOOKUP(S135,'G-3 Multipliers'!$P$3:$Q$6,2,FALSE))</f>
        <v/>
      </c>
      <c r="W135" s="274" t="str">
        <f t="shared" si="11"/>
        <v/>
      </c>
      <c r="X135" s="180"/>
      <c r="Y135" s="181"/>
      <c r="AG135" s="35" t="str">
        <f>IFERROR(INDEX('G-6 Hedgerow Data'!$BJ$3:$BJ$15,MATCH(D135,'G-6 Hedgerow Data'!$B$3:$B$15,0)),"")</f>
        <v/>
      </c>
    </row>
    <row r="136" spans="2:33" ht="13.8" x14ac:dyDescent="0.25">
      <c r="B136" s="168">
        <v>125</v>
      </c>
      <c r="C136" s="278"/>
      <c r="D136" s="261"/>
      <c r="E136" s="213"/>
      <c r="F136" s="277" t="str">
        <f>IF(D136="","",VLOOKUP(D136,'G-6 Hedgerow Data'!$B$2:$AG$15,2,FALSE))</f>
        <v/>
      </c>
      <c r="G136" s="172" t="str">
        <f>IF(D136="","",VLOOKUP(D136,'G-6 Hedgerow Data'!$B$2:$AG$15,3,FALSE))</f>
        <v/>
      </c>
      <c r="H136" s="173"/>
      <c r="I136" s="172" t="str">
        <f>IFERROR(VLOOKUP(H136,'G-1 All Habitats'!$Z$2:$AA$9,2,FALSE),"")</f>
        <v/>
      </c>
      <c r="J136" s="173"/>
      <c r="K136" s="175" t="str">
        <f>IF(J136="","",IF(VLOOKUP(J136,'G-3 Multipliers'!$L$3:$N$6,2,FALSE)=0,"Spatial Data Missing",VLOOKUP(J136,'G-3 Multipliers'!$L$3:$N$6,2,FALSE)))</f>
        <v/>
      </c>
      <c r="L136" s="260" t="str">
        <f>IF(J136="","",IF(VLOOKUP(J136,'G-3 Multipliers'!$L$3:$N$6,3,FALSE)=0,"Spatial Data Missing",VLOOKUP(J136,'G-3 Multipliers'!$L$3:$N$6,3,FALSE)))</f>
        <v/>
      </c>
      <c r="M136" s="171" t="str">
        <f>IF(OR(D136="",H136=""),"",(INDEX('G-6 Hedgerow Data'!$E$3:$I$15,MATCH(D136,'G-6 Hedgerow Data'!$B$3:$B$15,0),MATCH(H136,'G-6 Hedgerow Data'!$E$2:$I$2,0))))</f>
        <v/>
      </c>
      <c r="N136" s="261"/>
      <c r="O136" s="261"/>
      <c r="P136" s="179" t="str">
        <f t="shared" si="7"/>
        <v/>
      </c>
      <c r="Q136" s="262" t="str">
        <f t="shared" si="8"/>
        <v/>
      </c>
      <c r="R136" s="263" t="str">
        <f t="shared" si="6"/>
        <v/>
      </c>
      <c r="S136" s="239" t="str">
        <f>IF(D136="","",VLOOKUP(D136,'G-6 Hedgerow Data'!$B$3:$AG$15,31,FALSE))</f>
        <v/>
      </c>
      <c r="T136" s="179" t="str">
        <f t="shared" si="9"/>
        <v/>
      </c>
      <c r="U136" s="179" t="str">
        <f t="shared" si="10"/>
        <v/>
      </c>
      <c r="V136" s="176" t="str">
        <f>IF(D136="","",VLOOKUP(S136,'G-3 Multipliers'!$P$3:$Q$6,2,FALSE))</f>
        <v/>
      </c>
      <c r="W136" s="274" t="str">
        <f t="shared" si="11"/>
        <v/>
      </c>
      <c r="X136" s="180"/>
      <c r="Y136" s="181"/>
      <c r="AG136" s="35" t="str">
        <f>IFERROR(INDEX('G-6 Hedgerow Data'!$BJ$3:$BJ$15,MATCH(D136,'G-6 Hedgerow Data'!$B$3:$B$15,0)),"")</f>
        <v/>
      </c>
    </row>
    <row r="137" spans="2:33" ht="13.8" x14ac:dyDescent="0.25">
      <c r="B137" s="168">
        <v>126</v>
      </c>
      <c r="C137" s="278"/>
      <c r="D137" s="261"/>
      <c r="E137" s="213"/>
      <c r="F137" s="277" t="str">
        <f>IF(D137="","",VLOOKUP(D137,'G-6 Hedgerow Data'!$B$2:$AG$15,2,FALSE))</f>
        <v/>
      </c>
      <c r="G137" s="172" t="str">
        <f>IF(D137="","",VLOOKUP(D137,'G-6 Hedgerow Data'!$B$2:$AG$15,3,FALSE))</f>
        <v/>
      </c>
      <c r="H137" s="173"/>
      <c r="I137" s="172" t="str">
        <f>IFERROR(VLOOKUP(H137,'G-1 All Habitats'!$Z$2:$AA$9,2,FALSE),"")</f>
        <v/>
      </c>
      <c r="J137" s="173"/>
      <c r="K137" s="175" t="str">
        <f>IF(J137="","",IF(VLOOKUP(J137,'G-3 Multipliers'!$L$3:$N$6,2,FALSE)=0,"Spatial Data Missing",VLOOKUP(J137,'G-3 Multipliers'!$L$3:$N$6,2,FALSE)))</f>
        <v/>
      </c>
      <c r="L137" s="260" t="str">
        <f>IF(J137="","",IF(VLOOKUP(J137,'G-3 Multipliers'!$L$3:$N$6,3,FALSE)=0,"Spatial Data Missing",VLOOKUP(J137,'G-3 Multipliers'!$L$3:$N$6,3,FALSE)))</f>
        <v/>
      </c>
      <c r="M137" s="171" t="str">
        <f>IF(OR(D137="",H137=""),"",(INDEX('G-6 Hedgerow Data'!$E$3:$I$15,MATCH(D137,'G-6 Hedgerow Data'!$B$3:$B$15,0),MATCH(H137,'G-6 Hedgerow Data'!$E$2:$I$2,0))))</f>
        <v/>
      </c>
      <c r="N137" s="261"/>
      <c r="O137" s="261"/>
      <c r="P137" s="179" t="str">
        <f t="shared" si="7"/>
        <v/>
      </c>
      <c r="Q137" s="262" t="str">
        <f t="shared" si="8"/>
        <v/>
      </c>
      <c r="R137" s="263" t="str">
        <f t="shared" si="6"/>
        <v/>
      </c>
      <c r="S137" s="239" t="str">
        <f>IF(D137="","",VLOOKUP(D137,'G-6 Hedgerow Data'!$B$3:$AG$15,31,FALSE))</f>
        <v/>
      </c>
      <c r="T137" s="179" t="str">
        <f t="shared" si="9"/>
        <v/>
      </c>
      <c r="U137" s="179" t="str">
        <f t="shared" si="10"/>
        <v/>
      </c>
      <c r="V137" s="176" t="str">
        <f>IF(D137="","",VLOOKUP(S137,'G-3 Multipliers'!$P$3:$Q$6,2,FALSE))</f>
        <v/>
      </c>
      <c r="W137" s="274" t="str">
        <f t="shared" si="11"/>
        <v/>
      </c>
      <c r="X137" s="180"/>
      <c r="Y137" s="181"/>
      <c r="AG137" s="35" t="str">
        <f>IFERROR(INDEX('G-6 Hedgerow Data'!$BJ$3:$BJ$15,MATCH(D137,'G-6 Hedgerow Data'!$B$3:$B$15,0)),"")</f>
        <v/>
      </c>
    </row>
    <row r="138" spans="2:33" ht="13.8" x14ac:dyDescent="0.25">
      <c r="B138" s="168">
        <v>127</v>
      </c>
      <c r="C138" s="278"/>
      <c r="D138" s="261"/>
      <c r="E138" s="213"/>
      <c r="F138" s="277" t="str">
        <f>IF(D138="","",VLOOKUP(D138,'G-6 Hedgerow Data'!$B$2:$AG$15,2,FALSE))</f>
        <v/>
      </c>
      <c r="G138" s="172" t="str">
        <f>IF(D138="","",VLOOKUP(D138,'G-6 Hedgerow Data'!$B$2:$AG$15,3,FALSE))</f>
        <v/>
      </c>
      <c r="H138" s="173"/>
      <c r="I138" s="172" t="str">
        <f>IFERROR(VLOOKUP(H138,'G-1 All Habitats'!$Z$2:$AA$9,2,FALSE),"")</f>
        <v/>
      </c>
      <c r="J138" s="173"/>
      <c r="K138" s="175" t="str">
        <f>IF(J138="","",IF(VLOOKUP(J138,'G-3 Multipliers'!$L$3:$N$6,2,FALSE)=0,"Spatial Data Missing",VLOOKUP(J138,'G-3 Multipliers'!$L$3:$N$6,2,FALSE)))</f>
        <v/>
      </c>
      <c r="L138" s="260" t="str">
        <f>IF(J138="","",IF(VLOOKUP(J138,'G-3 Multipliers'!$L$3:$N$6,3,FALSE)=0,"Spatial Data Missing",VLOOKUP(J138,'G-3 Multipliers'!$L$3:$N$6,3,FALSE)))</f>
        <v/>
      </c>
      <c r="M138" s="171" t="str">
        <f>IF(OR(D138="",H138=""),"",(INDEX('G-6 Hedgerow Data'!$E$3:$I$15,MATCH(D138,'G-6 Hedgerow Data'!$B$3:$B$15,0),MATCH(H138,'G-6 Hedgerow Data'!$E$2:$I$2,0))))</f>
        <v/>
      </c>
      <c r="N138" s="261"/>
      <c r="O138" s="261"/>
      <c r="P138" s="179" t="str">
        <f t="shared" si="7"/>
        <v/>
      </c>
      <c r="Q138" s="262" t="str">
        <f t="shared" si="8"/>
        <v/>
      </c>
      <c r="R138" s="263" t="str">
        <f t="shared" si="6"/>
        <v/>
      </c>
      <c r="S138" s="239" t="str">
        <f>IF(D138="","",VLOOKUP(D138,'G-6 Hedgerow Data'!$B$3:$AG$15,31,FALSE))</f>
        <v/>
      </c>
      <c r="T138" s="179" t="str">
        <f t="shared" si="9"/>
        <v/>
      </c>
      <c r="U138" s="179" t="str">
        <f t="shared" si="10"/>
        <v/>
      </c>
      <c r="V138" s="176" t="str">
        <f>IF(D138="","",VLOOKUP(S138,'G-3 Multipliers'!$P$3:$Q$6,2,FALSE))</f>
        <v/>
      </c>
      <c r="W138" s="274" t="str">
        <f t="shared" si="11"/>
        <v/>
      </c>
      <c r="X138" s="180"/>
      <c r="Y138" s="181"/>
      <c r="AG138" s="35" t="str">
        <f>IFERROR(INDEX('G-6 Hedgerow Data'!$BJ$3:$BJ$15,MATCH(D138,'G-6 Hedgerow Data'!$B$3:$B$15,0)),"")</f>
        <v/>
      </c>
    </row>
    <row r="139" spans="2:33" ht="13.8" x14ac:dyDescent="0.25">
      <c r="B139" s="168">
        <v>128</v>
      </c>
      <c r="C139" s="278"/>
      <c r="D139" s="261"/>
      <c r="E139" s="213"/>
      <c r="F139" s="277" t="str">
        <f>IF(D139="","",VLOOKUP(D139,'G-6 Hedgerow Data'!$B$2:$AG$15,2,FALSE))</f>
        <v/>
      </c>
      <c r="G139" s="172" t="str">
        <f>IF(D139="","",VLOOKUP(D139,'G-6 Hedgerow Data'!$B$2:$AG$15,3,FALSE))</f>
        <v/>
      </c>
      <c r="H139" s="173"/>
      <c r="I139" s="172" t="str">
        <f>IFERROR(VLOOKUP(H139,'G-1 All Habitats'!$Z$2:$AA$9,2,FALSE),"")</f>
        <v/>
      </c>
      <c r="J139" s="173"/>
      <c r="K139" s="175" t="str">
        <f>IF(J139="","",IF(VLOOKUP(J139,'G-3 Multipliers'!$L$3:$N$6,2,FALSE)=0,"Spatial Data Missing",VLOOKUP(J139,'G-3 Multipliers'!$L$3:$N$6,2,FALSE)))</f>
        <v/>
      </c>
      <c r="L139" s="260" t="str">
        <f>IF(J139="","",IF(VLOOKUP(J139,'G-3 Multipliers'!$L$3:$N$6,3,FALSE)=0,"Spatial Data Missing",VLOOKUP(J139,'G-3 Multipliers'!$L$3:$N$6,3,FALSE)))</f>
        <v/>
      </c>
      <c r="M139" s="171" t="str">
        <f>IF(OR(D139="",H139=""),"",(INDEX('G-6 Hedgerow Data'!$E$3:$I$15,MATCH(D139,'G-6 Hedgerow Data'!$B$3:$B$15,0),MATCH(H139,'G-6 Hedgerow Data'!$E$2:$I$2,0))))</f>
        <v/>
      </c>
      <c r="N139" s="261"/>
      <c r="O139" s="261"/>
      <c r="P139" s="179" t="str">
        <f t="shared" si="7"/>
        <v/>
      </c>
      <c r="Q139" s="262" t="str">
        <f t="shared" si="8"/>
        <v/>
      </c>
      <c r="R139" s="263" t="str">
        <f t="shared" si="6"/>
        <v/>
      </c>
      <c r="S139" s="239" t="str">
        <f>IF(D139="","",VLOOKUP(D139,'G-6 Hedgerow Data'!$B$3:$AG$15,31,FALSE))</f>
        <v/>
      </c>
      <c r="T139" s="179" t="str">
        <f t="shared" si="9"/>
        <v/>
      </c>
      <c r="U139" s="179" t="str">
        <f t="shared" si="10"/>
        <v/>
      </c>
      <c r="V139" s="176" t="str">
        <f>IF(D139="","",VLOOKUP(S139,'G-3 Multipliers'!$P$3:$Q$6,2,FALSE))</f>
        <v/>
      </c>
      <c r="W139" s="274" t="str">
        <f t="shared" si="11"/>
        <v/>
      </c>
      <c r="X139" s="180"/>
      <c r="Y139" s="181"/>
      <c r="AG139" s="35" t="str">
        <f>IFERROR(INDEX('G-6 Hedgerow Data'!$BJ$3:$BJ$15,MATCH(D139,'G-6 Hedgerow Data'!$B$3:$B$15,0)),"")</f>
        <v/>
      </c>
    </row>
    <row r="140" spans="2:33" ht="13.8" x14ac:dyDescent="0.25">
      <c r="B140" s="168">
        <v>129</v>
      </c>
      <c r="C140" s="278"/>
      <c r="D140" s="261"/>
      <c r="E140" s="213"/>
      <c r="F140" s="277" t="str">
        <f>IF(D140="","",VLOOKUP(D140,'G-6 Hedgerow Data'!$B$2:$AG$15,2,FALSE))</f>
        <v/>
      </c>
      <c r="G140" s="172" t="str">
        <f>IF(D140="","",VLOOKUP(D140,'G-6 Hedgerow Data'!$B$2:$AG$15,3,FALSE))</f>
        <v/>
      </c>
      <c r="H140" s="173"/>
      <c r="I140" s="172" t="str">
        <f>IFERROR(VLOOKUP(H140,'G-1 All Habitats'!$Z$2:$AA$9,2,FALSE),"")</f>
        <v/>
      </c>
      <c r="J140" s="173"/>
      <c r="K140" s="175" t="str">
        <f>IF(J140="","",IF(VLOOKUP(J140,'G-3 Multipliers'!$L$3:$N$6,2,FALSE)=0,"Spatial Data Missing",VLOOKUP(J140,'G-3 Multipliers'!$L$3:$N$6,2,FALSE)))</f>
        <v/>
      </c>
      <c r="L140" s="260" t="str">
        <f>IF(J140="","",IF(VLOOKUP(J140,'G-3 Multipliers'!$L$3:$N$6,3,FALSE)=0,"Spatial Data Missing",VLOOKUP(J140,'G-3 Multipliers'!$L$3:$N$6,3,FALSE)))</f>
        <v/>
      </c>
      <c r="M140" s="171" t="str">
        <f>IF(OR(D140="",H140=""),"",(INDEX('G-6 Hedgerow Data'!$E$3:$I$15,MATCH(D140,'G-6 Hedgerow Data'!$B$3:$B$15,0),MATCH(H140,'G-6 Hedgerow Data'!$E$2:$I$2,0))))</f>
        <v/>
      </c>
      <c r="N140" s="261"/>
      <c r="O140" s="261"/>
      <c r="P140" s="179" t="str">
        <f t="shared" si="7"/>
        <v/>
      </c>
      <c r="Q140" s="262" t="str">
        <f t="shared" si="8"/>
        <v/>
      </c>
      <c r="R140" s="263" t="str">
        <f t="shared" ref="R140:R203" si="12">IF(M140="","",IF(LEFT(P140,5)="Error","Check Data",VLOOKUP(Q140,TemporalMultipliers,3,FALSE)))</f>
        <v/>
      </c>
      <c r="S140" s="239" t="str">
        <f>IF(D140="","",VLOOKUP(D140,'G-6 Hedgerow Data'!$B$3:$AG$15,31,FALSE))</f>
        <v/>
      </c>
      <c r="T140" s="179" t="str">
        <f t="shared" si="9"/>
        <v/>
      </c>
      <c r="U140" s="179" t="str">
        <f t="shared" si="10"/>
        <v/>
      </c>
      <c r="V140" s="176" t="str">
        <f>IF(D140="","",VLOOKUP(S140,'G-3 Multipliers'!$P$3:$Q$6,2,FALSE))</f>
        <v/>
      </c>
      <c r="W140" s="274" t="str">
        <f t="shared" si="11"/>
        <v/>
      </c>
      <c r="X140" s="180"/>
      <c r="Y140" s="181"/>
      <c r="AG140" s="35" t="str">
        <f>IFERROR(INDEX('G-6 Hedgerow Data'!$BJ$3:$BJ$15,MATCH(D140,'G-6 Hedgerow Data'!$B$3:$B$15,0)),"")</f>
        <v/>
      </c>
    </row>
    <row r="141" spans="2:33" ht="13.8" x14ac:dyDescent="0.25">
      <c r="B141" s="168">
        <v>130</v>
      </c>
      <c r="C141" s="278"/>
      <c r="D141" s="261"/>
      <c r="E141" s="213"/>
      <c r="F141" s="277" t="str">
        <f>IF(D141="","",VLOOKUP(D141,'G-6 Hedgerow Data'!$B$2:$AG$15,2,FALSE))</f>
        <v/>
      </c>
      <c r="G141" s="172" t="str">
        <f>IF(D141="","",VLOOKUP(D141,'G-6 Hedgerow Data'!$B$2:$AG$15,3,FALSE))</f>
        <v/>
      </c>
      <c r="H141" s="173"/>
      <c r="I141" s="172" t="str">
        <f>IFERROR(VLOOKUP(H141,'G-1 All Habitats'!$Z$2:$AA$9,2,FALSE),"")</f>
        <v/>
      </c>
      <c r="J141" s="173"/>
      <c r="K141" s="175" t="str">
        <f>IF(J141="","",IF(VLOOKUP(J141,'G-3 Multipliers'!$L$3:$N$6,2,FALSE)=0,"Spatial Data Missing",VLOOKUP(J141,'G-3 Multipliers'!$L$3:$N$6,2,FALSE)))</f>
        <v/>
      </c>
      <c r="L141" s="260" t="str">
        <f>IF(J141="","",IF(VLOOKUP(J141,'G-3 Multipliers'!$L$3:$N$6,3,FALSE)=0,"Spatial Data Missing",VLOOKUP(J141,'G-3 Multipliers'!$L$3:$N$6,3,FALSE)))</f>
        <v/>
      </c>
      <c r="M141" s="171" t="str">
        <f>IF(OR(D141="",H141=""),"",(INDEX('G-6 Hedgerow Data'!$E$3:$I$15,MATCH(D141,'G-6 Hedgerow Data'!$B$3:$B$15,0),MATCH(H141,'G-6 Hedgerow Data'!$E$2:$I$2,0))))</f>
        <v/>
      </c>
      <c r="N141" s="261"/>
      <c r="O141" s="261"/>
      <c r="P141" s="179" t="str">
        <f t="shared" ref="P141:P204" si="13">IF(M141="","",IF(AND(N141&gt;0,O141&gt;0),"Error -both advance and delayed habitat creation",IF(AND(OR(N141="Habitat already in target condition",M141&lt;=N141),O141=0),"Check details - Is there evidence that habitat has reached target condition?",IF(M141="","",IF(N141&gt;0,"Check details - Is there evidence habitat creation started/in place?",IF(O141&gt;0,"Check details- Delay in starting habitat in required condition?","Standard time to target condition applied"))))))</f>
        <v/>
      </c>
      <c r="Q141" s="262" t="str">
        <f t="shared" ref="Q141:Q204" si="14">IF(M141="","",IF(LEFT(P141,5)="Error","Check Data",IF(OR(N141="30+",N141="Habitat already in target condition"),0,IF(O141="30+","30+",IF(AND(M141="30+",OR(N141="",N141=0)),"30+",IF(AND(M141="30+",N141&gt;0),32-N141,IF(M141+O141&gt;30,"30+",IF(M141+O141-N141&gt;0,M141+O141-N141,IF(M141-N141&lt;0,0,M141+O141-N141)))))))))</f>
        <v/>
      </c>
      <c r="R141" s="263" t="str">
        <f t="shared" si="12"/>
        <v/>
      </c>
      <c r="S141" s="239" t="str">
        <f>IF(D141="","",VLOOKUP(D141,'G-6 Hedgerow Data'!$B$3:$AG$15,31,FALSE))</f>
        <v/>
      </c>
      <c r="T141" s="179" t="str">
        <f t="shared" ref="T141:T204" si="15">IF(D141="","",IF(Q141="Check Data","Check Data",IF(H141="","",IF($P141="Check details - Is there evidence that habitat has reached target condition?","Low Difficulty - only applicable if all habitat created before losses","Standard difficulty applied"))))</f>
        <v/>
      </c>
      <c r="U141" s="179" t="str">
        <f t="shared" ref="U141:U204" si="16">(IF(AND(T141="Standard difficulty applied",M141&gt;N141),S141,IF(AND(T141="Low Difficulty - only applicable if all habitat created before losses",Q141&lt;=0),"Low",S141)))</f>
        <v/>
      </c>
      <c r="V141" s="176" t="str">
        <f>IF(D141="","",VLOOKUP(S141,'G-3 Multipliers'!$P$3:$Q$6,2,FALSE))</f>
        <v/>
      </c>
      <c r="W141" s="274" t="str">
        <f t="shared" ref="W141:W204" si="17">IFERROR(E141*G141*I141*L141*R141*V141,"")</f>
        <v/>
      </c>
      <c r="X141" s="180"/>
      <c r="Y141" s="181"/>
      <c r="AG141" s="35" t="str">
        <f>IFERROR(INDEX('G-6 Hedgerow Data'!$BJ$3:$BJ$15,MATCH(D141,'G-6 Hedgerow Data'!$B$3:$B$15,0)),"")</f>
        <v/>
      </c>
    </row>
    <row r="142" spans="2:33" ht="13.8" x14ac:dyDescent="0.25">
      <c r="B142" s="168">
        <v>131</v>
      </c>
      <c r="C142" s="278"/>
      <c r="D142" s="261"/>
      <c r="E142" s="213"/>
      <c r="F142" s="277" t="str">
        <f>IF(D142="","",VLOOKUP(D142,'G-6 Hedgerow Data'!$B$2:$AG$15,2,FALSE))</f>
        <v/>
      </c>
      <c r="G142" s="172" t="str">
        <f>IF(D142="","",VLOOKUP(D142,'G-6 Hedgerow Data'!$B$2:$AG$15,3,FALSE))</f>
        <v/>
      </c>
      <c r="H142" s="173"/>
      <c r="I142" s="172" t="str">
        <f>IFERROR(VLOOKUP(H142,'G-1 All Habitats'!$Z$2:$AA$9,2,FALSE),"")</f>
        <v/>
      </c>
      <c r="J142" s="173"/>
      <c r="K142" s="175" t="str">
        <f>IF(J142="","",IF(VLOOKUP(J142,'G-3 Multipliers'!$L$3:$N$6,2,FALSE)=0,"Spatial Data Missing",VLOOKUP(J142,'G-3 Multipliers'!$L$3:$N$6,2,FALSE)))</f>
        <v/>
      </c>
      <c r="L142" s="260" t="str">
        <f>IF(J142="","",IF(VLOOKUP(J142,'G-3 Multipliers'!$L$3:$N$6,3,FALSE)=0,"Spatial Data Missing",VLOOKUP(J142,'G-3 Multipliers'!$L$3:$N$6,3,FALSE)))</f>
        <v/>
      </c>
      <c r="M142" s="171" t="str">
        <f>IF(OR(D142="",H142=""),"",(INDEX('G-6 Hedgerow Data'!$E$3:$I$15,MATCH(D142,'G-6 Hedgerow Data'!$B$3:$B$15,0),MATCH(H142,'G-6 Hedgerow Data'!$E$2:$I$2,0))))</f>
        <v/>
      </c>
      <c r="N142" s="261"/>
      <c r="O142" s="261"/>
      <c r="P142" s="179" t="str">
        <f t="shared" si="13"/>
        <v/>
      </c>
      <c r="Q142" s="262" t="str">
        <f t="shared" si="14"/>
        <v/>
      </c>
      <c r="R142" s="263" t="str">
        <f t="shared" si="12"/>
        <v/>
      </c>
      <c r="S142" s="239" t="str">
        <f>IF(D142="","",VLOOKUP(D142,'G-6 Hedgerow Data'!$B$3:$AG$15,31,FALSE))</f>
        <v/>
      </c>
      <c r="T142" s="179" t="str">
        <f t="shared" si="15"/>
        <v/>
      </c>
      <c r="U142" s="179" t="str">
        <f t="shared" si="16"/>
        <v/>
      </c>
      <c r="V142" s="176" t="str">
        <f>IF(D142="","",VLOOKUP(S142,'G-3 Multipliers'!$P$3:$Q$6,2,FALSE))</f>
        <v/>
      </c>
      <c r="W142" s="274" t="str">
        <f t="shared" si="17"/>
        <v/>
      </c>
      <c r="X142" s="180"/>
      <c r="Y142" s="181"/>
      <c r="AG142" s="35" t="str">
        <f>IFERROR(INDEX('G-6 Hedgerow Data'!$BJ$3:$BJ$15,MATCH(D142,'G-6 Hedgerow Data'!$B$3:$B$15,0)),"")</f>
        <v/>
      </c>
    </row>
    <row r="143" spans="2:33" ht="13.8" x14ac:dyDescent="0.25">
      <c r="B143" s="168">
        <v>132</v>
      </c>
      <c r="C143" s="278"/>
      <c r="D143" s="261"/>
      <c r="E143" s="213"/>
      <c r="F143" s="277" t="str">
        <f>IF(D143="","",VLOOKUP(D143,'G-6 Hedgerow Data'!$B$2:$AG$15,2,FALSE))</f>
        <v/>
      </c>
      <c r="G143" s="172" t="str">
        <f>IF(D143="","",VLOOKUP(D143,'G-6 Hedgerow Data'!$B$2:$AG$15,3,FALSE))</f>
        <v/>
      </c>
      <c r="H143" s="173"/>
      <c r="I143" s="172" t="str">
        <f>IFERROR(VLOOKUP(H143,'G-1 All Habitats'!$Z$2:$AA$9,2,FALSE),"")</f>
        <v/>
      </c>
      <c r="J143" s="173"/>
      <c r="K143" s="175" t="str">
        <f>IF(J143="","",IF(VLOOKUP(J143,'G-3 Multipliers'!$L$3:$N$6,2,FALSE)=0,"Spatial Data Missing",VLOOKUP(J143,'G-3 Multipliers'!$L$3:$N$6,2,FALSE)))</f>
        <v/>
      </c>
      <c r="L143" s="260" t="str">
        <f>IF(J143="","",IF(VLOOKUP(J143,'G-3 Multipliers'!$L$3:$N$6,3,FALSE)=0,"Spatial Data Missing",VLOOKUP(J143,'G-3 Multipliers'!$L$3:$N$6,3,FALSE)))</f>
        <v/>
      </c>
      <c r="M143" s="171" t="str">
        <f>IF(OR(D143="",H143=""),"",(INDEX('G-6 Hedgerow Data'!$E$3:$I$15,MATCH(D143,'G-6 Hedgerow Data'!$B$3:$B$15,0),MATCH(H143,'G-6 Hedgerow Data'!$E$2:$I$2,0))))</f>
        <v/>
      </c>
      <c r="N143" s="261"/>
      <c r="O143" s="261"/>
      <c r="P143" s="179" t="str">
        <f t="shared" si="13"/>
        <v/>
      </c>
      <c r="Q143" s="262" t="str">
        <f t="shared" si="14"/>
        <v/>
      </c>
      <c r="R143" s="263" t="str">
        <f t="shared" si="12"/>
        <v/>
      </c>
      <c r="S143" s="239" t="str">
        <f>IF(D143="","",VLOOKUP(D143,'G-6 Hedgerow Data'!$B$3:$AG$15,31,FALSE))</f>
        <v/>
      </c>
      <c r="T143" s="179" t="str">
        <f t="shared" si="15"/>
        <v/>
      </c>
      <c r="U143" s="179" t="str">
        <f t="shared" si="16"/>
        <v/>
      </c>
      <c r="V143" s="176" t="str">
        <f>IF(D143="","",VLOOKUP(S143,'G-3 Multipliers'!$P$3:$Q$6,2,FALSE))</f>
        <v/>
      </c>
      <c r="W143" s="274" t="str">
        <f t="shared" si="17"/>
        <v/>
      </c>
      <c r="X143" s="180"/>
      <c r="Y143" s="181"/>
      <c r="AG143" s="35" t="str">
        <f>IFERROR(INDEX('G-6 Hedgerow Data'!$BJ$3:$BJ$15,MATCH(D143,'G-6 Hedgerow Data'!$B$3:$B$15,0)),"")</f>
        <v/>
      </c>
    </row>
    <row r="144" spans="2:33" ht="13.8" x14ac:dyDescent="0.25">
      <c r="B144" s="168">
        <v>133</v>
      </c>
      <c r="C144" s="278"/>
      <c r="D144" s="261"/>
      <c r="E144" s="213"/>
      <c r="F144" s="277" t="str">
        <f>IF(D144="","",VLOOKUP(D144,'G-6 Hedgerow Data'!$B$2:$AG$15,2,FALSE))</f>
        <v/>
      </c>
      <c r="G144" s="172" t="str">
        <f>IF(D144="","",VLOOKUP(D144,'G-6 Hedgerow Data'!$B$2:$AG$15,3,FALSE))</f>
        <v/>
      </c>
      <c r="H144" s="173"/>
      <c r="I144" s="172" t="str">
        <f>IFERROR(VLOOKUP(H144,'G-1 All Habitats'!$Z$2:$AA$9,2,FALSE),"")</f>
        <v/>
      </c>
      <c r="J144" s="173"/>
      <c r="K144" s="175" t="str">
        <f>IF(J144="","",IF(VLOOKUP(J144,'G-3 Multipliers'!$L$3:$N$6,2,FALSE)=0,"Spatial Data Missing",VLOOKUP(J144,'G-3 Multipliers'!$L$3:$N$6,2,FALSE)))</f>
        <v/>
      </c>
      <c r="L144" s="260" t="str">
        <f>IF(J144="","",IF(VLOOKUP(J144,'G-3 Multipliers'!$L$3:$N$6,3,FALSE)=0,"Spatial Data Missing",VLOOKUP(J144,'G-3 Multipliers'!$L$3:$N$6,3,FALSE)))</f>
        <v/>
      </c>
      <c r="M144" s="171" t="str">
        <f>IF(OR(D144="",H144=""),"",(INDEX('G-6 Hedgerow Data'!$E$3:$I$15,MATCH(D144,'G-6 Hedgerow Data'!$B$3:$B$15,0),MATCH(H144,'G-6 Hedgerow Data'!$E$2:$I$2,0))))</f>
        <v/>
      </c>
      <c r="N144" s="261"/>
      <c r="O144" s="261"/>
      <c r="P144" s="179" t="str">
        <f t="shared" si="13"/>
        <v/>
      </c>
      <c r="Q144" s="262" t="str">
        <f t="shared" si="14"/>
        <v/>
      </c>
      <c r="R144" s="263" t="str">
        <f t="shared" si="12"/>
        <v/>
      </c>
      <c r="S144" s="239" t="str">
        <f>IF(D144="","",VLOOKUP(D144,'G-6 Hedgerow Data'!$B$3:$AG$15,31,FALSE))</f>
        <v/>
      </c>
      <c r="T144" s="179" t="str">
        <f t="shared" si="15"/>
        <v/>
      </c>
      <c r="U144" s="179" t="str">
        <f t="shared" si="16"/>
        <v/>
      </c>
      <c r="V144" s="176" t="str">
        <f>IF(D144="","",VLOOKUP(S144,'G-3 Multipliers'!$P$3:$Q$6,2,FALSE))</f>
        <v/>
      </c>
      <c r="W144" s="274" t="str">
        <f t="shared" si="17"/>
        <v/>
      </c>
      <c r="X144" s="180"/>
      <c r="Y144" s="181"/>
      <c r="AG144" s="35" t="str">
        <f>IFERROR(INDEX('G-6 Hedgerow Data'!$BJ$3:$BJ$15,MATCH(D144,'G-6 Hedgerow Data'!$B$3:$B$15,0)),"")</f>
        <v/>
      </c>
    </row>
    <row r="145" spans="2:33" ht="13.8" x14ac:dyDescent="0.25">
      <c r="B145" s="168">
        <v>134</v>
      </c>
      <c r="C145" s="278"/>
      <c r="D145" s="261"/>
      <c r="E145" s="213"/>
      <c r="F145" s="277" t="str">
        <f>IF(D145="","",VLOOKUP(D145,'G-6 Hedgerow Data'!$B$2:$AG$15,2,FALSE))</f>
        <v/>
      </c>
      <c r="G145" s="172" t="str">
        <f>IF(D145="","",VLOOKUP(D145,'G-6 Hedgerow Data'!$B$2:$AG$15,3,FALSE))</f>
        <v/>
      </c>
      <c r="H145" s="173"/>
      <c r="I145" s="172" t="str">
        <f>IFERROR(VLOOKUP(H145,'G-1 All Habitats'!$Z$2:$AA$9,2,FALSE),"")</f>
        <v/>
      </c>
      <c r="J145" s="173"/>
      <c r="K145" s="175" t="str">
        <f>IF(J145="","",IF(VLOOKUP(J145,'G-3 Multipliers'!$L$3:$N$6,2,FALSE)=0,"Spatial Data Missing",VLOOKUP(J145,'G-3 Multipliers'!$L$3:$N$6,2,FALSE)))</f>
        <v/>
      </c>
      <c r="L145" s="260" t="str">
        <f>IF(J145="","",IF(VLOOKUP(J145,'G-3 Multipliers'!$L$3:$N$6,3,FALSE)=0,"Spatial Data Missing",VLOOKUP(J145,'G-3 Multipliers'!$L$3:$N$6,3,FALSE)))</f>
        <v/>
      </c>
      <c r="M145" s="171" t="str">
        <f>IF(OR(D145="",H145=""),"",(INDEX('G-6 Hedgerow Data'!$E$3:$I$15,MATCH(D145,'G-6 Hedgerow Data'!$B$3:$B$15,0),MATCH(H145,'G-6 Hedgerow Data'!$E$2:$I$2,0))))</f>
        <v/>
      </c>
      <c r="N145" s="261"/>
      <c r="O145" s="261"/>
      <c r="P145" s="179" t="str">
        <f t="shared" si="13"/>
        <v/>
      </c>
      <c r="Q145" s="262" t="str">
        <f t="shared" si="14"/>
        <v/>
      </c>
      <c r="R145" s="263" t="str">
        <f t="shared" si="12"/>
        <v/>
      </c>
      <c r="S145" s="239" t="str">
        <f>IF(D145="","",VLOOKUP(D145,'G-6 Hedgerow Data'!$B$3:$AG$15,31,FALSE))</f>
        <v/>
      </c>
      <c r="T145" s="179" t="str">
        <f t="shared" si="15"/>
        <v/>
      </c>
      <c r="U145" s="179" t="str">
        <f t="shared" si="16"/>
        <v/>
      </c>
      <c r="V145" s="176" t="str">
        <f>IF(D145="","",VLOOKUP(S145,'G-3 Multipliers'!$P$3:$Q$6,2,FALSE))</f>
        <v/>
      </c>
      <c r="W145" s="274" t="str">
        <f t="shared" si="17"/>
        <v/>
      </c>
      <c r="X145" s="180"/>
      <c r="Y145" s="181"/>
      <c r="AG145" s="35" t="str">
        <f>IFERROR(INDEX('G-6 Hedgerow Data'!$BJ$3:$BJ$15,MATCH(D145,'G-6 Hedgerow Data'!$B$3:$B$15,0)),"")</f>
        <v/>
      </c>
    </row>
    <row r="146" spans="2:33" ht="13.8" x14ac:dyDescent="0.25">
      <c r="B146" s="168">
        <v>135</v>
      </c>
      <c r="C146" s="278"/>
      <c r="D146" s="261"/>
      <c r="E146" s="213"/>
      <c r="F146" s="277" t="str">
        <f>IF(D146="","",VLOOKUP(D146,'G-6 Hedgerow Data'!$B$2:$AG$15,2,FALSE))</f>
        <v/>
      </c>
      <c r="G146" s="172" t="str">
        <f>IF(D146="","",VLOOKUP(D146,'G-6 Hedgerow Data'!$B$2:$AG$15,3,FALSE))</f>
        <v/>
      </c>
      <c r="H146" s="173"/>
      <c r="I146" s="172" t="str">
        <f>IFERROR(VLOOKUP(H146,'G-1 All Habitats'!$Z$2:$AA$9,2,FALSE),"")</f>
        <v/>
      </c>
      <c r="J146" s="173"/>
      <c r="K146" s="175" t="str">
        <f>IF(J146="","",IF(VLOOKUP(J146,'G-3 Multipliers'!$L$3:$N$6,2,FALSE)=0,"Spatial Data Missing",VLOOKUP(J146,'G-3 Multipliers'!$L$3:$N$6,2,FALSE)))</f>
        <v/>
      </c>
      <c r="L146" s="260" t="str">
        <f>IF(J146="","",IF(VLOOKUP(J146,'G-3 Multipliers'!$L$3:$N$6,3,FALSE)=0,"Spatial Data Missing",VLOOKUP(J146,'G-3 Multipliers'!$L$3:$N$6,3,FALSE)))</f>
        <v/>
      </c>
      <c r="M146" s="171" t="str">
        <f>IF(OR(D146="",H146=""),"",(INDEX('G-6 Hedgerow Data'!$E$3:$I$15,MATCH(D146,'G-6 Hedgerow Data'!$B$3:$B$15,0),MATCH(H146,'G-6 Hedgerow Data'!$E$2:$I$2,0))))</f>
        <v/>
      </c>
      <c r="N146" s="261"/>
      <c r="O146" s="261"/>
      <c r="P146" s="179" t="str">
        <f t="shared" si="13"/>
        <v/>
      </c>
      <c r="Q146" s="262" t="str">
        <f t="shared" si="14"/>
        <v/>
      </c>
      <c r="R146" s="263" t="str">
        <f t="shared" si="12"/>
        <v/>
      </c>
      <c r="S146" s="239" t="str">
        <f>IF(D146="","",VLOOKUP(D146,'G-6 Hedgerow Data'!$B$3:$AG$15,31,FALSE))</f>
        <v/>
      </c>
      <c r="T146" s="179" t="str">
        <f t="shared" si="15"/>
        <v/>
      </c>
      <c r="U146" s="179" t="str">
        <f t="shared" si="16"/>
        <v/>
      </c>
      <c r="V146" s="176" t="str">
        <f>IF(D146="","",VLOOKUP(S146,'G-3 Multipliers'!$P$3:$Q$6,2,FALSE))</f>
        <v/>
      </c>
      <c r="W146" s="274" t="str">
        <f t="shared" si="17"/>
        <v/>
      </c>
      <c r="X146" s="180"/>
      <c r="Y146" s="181"/>
      <c r="AG146" s="35" t="str">
        <f>IFERROR(INDEX('G-6 Hedgerow Data'!$BJ$3:$BJ$15,MATCH(D146,'G-6 Hedgerow Data'!$B$3:$B$15,0)),"")</f>
        <v/>
      </c>
    </row>
    <row r="147" spans="2:33" ht="13.8" x14ac:dyDescent="0.25">
      <c r="B147" s="168">
        <v>136</v>
      </c>
      <c r="C147" s="278"/>
      <c r="D147" s="261"/>
      <c r="E147" s="213"/>
      <c r="F147" s="277" t="str">
        <f>IF(D147="","",VLOOKUP(D147,'G-6 Hedgerow Data'!$B$2:$AG$15,2,FALSE))</f>
        <v/>
      </c>
      <c r="G147" s="172" t="str">
        <f>IF(D147="","",VLOOKUP(D147,'G-6 Hedgerow Data'!$B$2:$AG$15,3,FALSE))</f>
        <v/>
      </c>
      <c r="H147" s="173"/>
      <c r="I147" s="172" t="str">
        <f>IFERROR(VLOOKUP(H147,'G-1 All Habitats'!$Z$2:$AA$9,2,FALSE),"")</f>
        <v/>
      </c>
      <c r="J147" s="173"/>
      <c r="K147" s="175" t="str">
        <f>IF(J147="","",IF(VLOOKUP(J147,'G-3 Multipliers'!$L$3:$N$6,2,FALSE)=0,"Spatial Data Missing",VLOOKUP(J147,'G-3 Multipliers'!$L$3:$N$6,2,FALSE)))</f>
        <v/>
      </c>
      <c r="L147" s="260" t="str">
        <f>IF(J147="","",IF(VLOOKUP(J147,'G-3 Multipliers'!$L$3:$N$6,3,FALSE)=0,"Spatial Data Missing",VLOOKUP(J147,'G-3 Multipliers'!$L$3:$N$6,3,FALSE)))</f>
        <v/>
      </c>
      <c r="M147" s="171" t="str">
        <f>IF(OR(D147="",H147=""),"",(INDEX('G-6 Hedgerow Data'!$E$3:$I$15,MATCH(D147,'G-6 Hedgerow Data'!$B$3:$B$15,0),MATCH(H147,'G-6 Hedgerow Data'!$E$2:$I$2,0))))</f>
        <v/>
      </c>
      <c r="N147" s="261"/>
      <c r="O147" s="261"/>
      <c r="P147" s="179" t="str">
        <f t="shared" si="13"/>
        <v/>
      </c>
      <c r="Q147" s="262" t="str">
        <f t="shared" si="14"/>
        <v/>
      </c>
      <c r="R147" s="263" t="str">
        <f t="shared" si="12"/>
        <v/>
      </c>
      <c r="S147" s="239" t="str">
        <f>IF(D147="","",VLOOKUP(D147,'G-6 Hedgerow Data'!$B$3:$AG$15,31,FALSE))</f>
        <v/>
      </c>
      <c r="T147" s="179" t="str">
        <f t="shared" si="15"/>
        <v/>
      </c>
      <c r="U147" s="179" t="str">
        <f t="shared" si="16"/>
        <v/>
      </c>
      <c r="V147" s="176" t="str">
        <f>IF(D147="","",VLOOKUP(S147,'G-3 Multipliers'!$P$3:$Q$6,2,FALSE))</f>
        <v/>
      </c>
      <c r="W147" s="274" t="str">
        <f t="shared" si="17"/>
        <v/>
      </c>
      <c r="X147" s="180"/>
      <c r="Y147" s="181"/>
      <c r="AG147" s="35" t="str">
        <f>IFERROR(INDEX('G-6 Hedgerow Data'!$BJ$3:$BJ$15,MATCH(D147,'G-6 Hedgerow Data'!$B$3:$B$15,0)),"")</f>
        <v/>
      </c>
    </row>
    <row r="148" spans="2:33" ht="13.8" x14ac:dyDescent="0.25">
      <c r="B148" s="168">
        <v>137</v>
      </c>
      <c r="C148" s="278"/>
      <c r="D148" s="261"/>
      <c r="E148" s="213"/>
      <c r="F148" s="277" t="str">
        <f>IF(D148="","",VLOOKUP(D148,'G-6 Hedgerow Data'!$B$2:$AG$15,2,FALSE))</f>
        <v/>
      </c>
      <c r="G148" s="172" t="str">
        <f>IF(D148="","",VLOOKUP(D148,'G-6 Hedgerow Data'!$B$2:$AG$15,3,FALSE))</f>
        <v/>
      </c>
      <c r="H148" s="173"/>
      <c r="I148" s="172" t="str">
        <f>IFERROR(VLOOKUP(H148,'G-1 All Habitats'!$Z$2:$AA$9,2,FALSE),"")</f>
        <v/>
      </c>
      <c r="J148" s="173"/>
      <c r="K148" s="175" t="str">
        <f>IF(J148="","",IF(VLOOKUP(J148,'G-3 Multipliers'!$L$3:$N$6,2,FALSE)=0,"Spatial Data Missing",VLOOKUP(J148,'G-3 Multipliers'!$L$3:$N$6,2,FALSE)))</f>
        <v/>
      </c>
      <c r="L148" s="260" t="str">
        <f>IF(J148="","",IF(VLOOKUP(J148,'G-3 Multipliers'!$L$3:$N$6,3,FALSE)=0,"Spatial Data Missing",VLOOKUP(J148,'G-3 Multipliers'!$L$3:$N$6,3,FALSE)))</f>
        <v/>
      </c>
      <c r="M148" s="171" t="str">
        <f>IF(OR(D148="",H148=""),"",(INDEX('G-6 Hedgerow Data'!$E$3:$I$15,MATCH(D148,'G-6 Hedgerow Data'!$B$3:$B$15,0),MATCH(H148,'G-6 Hedgerow Data'!$E$2:$I$2,0))))</f>
        <v/>
      </c>
      <c r="N148" s="261"/>
      <c r="O148" s="261"/>
      <c r="P148" s="179" t="str">
        <f t="shared" si="13"/>
        <v/>
      </c>
      <c r="Q148" s="262" t="str">
        <f t="shared" si="14"/>
        <v/>
      </c>
      <c r="R148" s="263" t="str">
        <f t="shared" si="12"/>
        <v/>
      </c>
      <c r="S148" s="239" t="str">
        <f>IF(D148="","",VLOOKUP(D148,'G-6 Hedgerow Data'!$B$3:$AG$15,31,FALSE))</f>
        <v/>
      </c>
      <c r="T148" s="179" t="str">
        <f t="shared" si="15"/>
        <v/>
      </c>
      <c r="U148" s="179" t="str">
        <f t="shared" si="16"/>
        <v/>
      </c>
      <c r="V148" s="176" t="str">
        <f>IF(D148="","",VLOOKUP(S148,'G-3 Multipliers'!$P$3:$Q$6,2,FALSE))</f>
        <v/>
      </c>
      <c r="W148" s="274" t="str">
        <f t="shared" si="17"/>
        <v/>
      </c>
      <c r="X148" s="180"/>
      <c r="Y148" s="181"/>
      <c r="AG148" s="35" t="str">
        <f>IFERROR(INDEX('G-6 Hedgerow Data'!$BJ$3:$BJ$15,MATCH(D148,'G-6 Hedgerow Data'!$B$3:$B$15,0)),"")</f>
        <v/>
      </c>
    </row>
    <row r="149" spans="2:33" ht="13.8" x14ac:dyDescent="0.25">
      <c r="B149" s="168">
        <v>138</v>
      </c>
      <c r="C149" s="278"/>
      <c r="D149" s="261"/>
      <c r="E149" s="213"/>
      <c r="F149" s="277" t="str">
        <f>IF(D149="","",VLOOKUP(D149,'G-6 Hedgerow Data'!$B$2:$AG$15,2,FALSE))</f>
        <v/>
      </c>
      <c r="G149" s="172" t="str">
        <f>IF(D149="","",VLOOKUP(D149,'G-6 Hedgerow Data'!$B$2:$AG$15,3,FALSE))</f>
        <v/>
      </c>
      <c r="H149" s="173"/>
      <c r="I149" s="172" t="str">
        <f>IFERROR(VLOOKUP(H149,'G-1 All Habitats'!$Z$2:$AA$9,2,FALSE),"")</f>
        <v/>
      </c>
      <c r="J149" s="173"/>
      <c r="K149" s="175" t="str">
        <f>IF(J149="","",IF(VLOOKUP(J149,'G-3 Multipliers'!$L$3:$N$6,2,FALSE)=0,"Spatial Data Missing",VLOOKUP(J149,'G-3 Multipliers'!$L$3:$N$6,2,FALSE)))</f>
        <v/>
      </c>
      <c r="L149" s="260" t="str">
        <f>IF(J149="","",IF(VLOOKUP(J149,'G-3 Multipliers'!$L$3:$N$6,3,FALSE)=0,"Spatial Data Missing",VLOOKUP(J149,'G-3 Multipliers'!$L$3:$N$6,3,FALSE)))</f>
        <v/>
      </c>
      <c r="M149" s="171" t="str">
        <f>IF(OR(D149="",H149=""),"",(INDEX('G-6 Hedgerow Data'!$E$3:$I$15,MATCH(D149,'G-6 Hedgerow Data'!$B$3:$B$15,0),MATCH(H149,'G-6 Hedgerow Data'!$E$2:$I$2,0))))</f>
        <v/>
      </c>
      <c r="N149" s="261"/>
      <c r="O149" s="261"/>
      <c r="P149" s="179" t="str">
        <f t="shared" si="13"/>
        <v/>
      </c>
      <c r="Q149" s="262" t="str">
        <f t="shared" si="14"/>
        <v/>
      </c>
      <c r="R149" s="263" t="str">
        <f t="shared" si="12"/>
        <v/>
      </c>
      <c r="S149" s="239" t="str">
        <f>IF(D149="","",VLOOKUP(D149,'G-6 Hedgerow Data'!$B$3:$AG$15,31,FALSE))</f>
        <v/>
      </c>
      <c r="T149" s="179" t="str">
        <f t="shared" si="15"/>
        <v/>
      </c>
      <c r="U149" s="179" t="str">
        <f t="shared" si="16"/>
        <v/>
      </c>
      <c r="V149" s="176" t="str">
        <f>IF(D149="","",VLOOKUP(S149,'G-3 Multipliers'!$P$3:$Q$6,2,FALSE))</f>
        <v/>
      </c>
      <c r="W149" s="274" t="str">
        <f t="shared" si="17"/>
        <v/>
      </c>
      <c r="X149" s="180"/>
      <c r="Y149" s="181"/>
      <c r="AG149" s="35" t="str">
        <f>IFERROR(INDEX('G-6 Hedgerow Data'!$BJ$3:$BJ$15,MATCH(D149,'G-6 Hedgerow Data'!$B$3:$B$15,0)),"")</f>
        <v/>
      </c>
    </row>
    <row r="150" spans="2:33" ht="13.8" x14ac:dyDescent="0.25">
      <c r="B150" s="168">
        <v>139</v>
      </c>
      <c r="C150" s="278"/>
      <c r="D150" s="261"/>
      <c r="E150" s="213"/>
      <c r="F150" s="277" t="str">
        <f>IF(D150="","",VLOOKUP(D150,'G-6 Hedgerow Data'!$B$2:$AG$15,2,FALSE))</f>
        <v/>
      </c>
      <c r="G150" s="172" t="str">
        <f>IF(D150="","",VLOOKUP(D150,'G-6 Hedgerow Data'!$B$2:$AG$15,3,FALSE))</f>
        <v/>
      </c>
      <c r="H150" s="173"/>
      <c r="I150" s="172" t="str">
        <f>IFERROR(VLOOKUP(H150,'G-1 All Habitats'!$Z$2:$AA$9,2,FALSE),"")</f>
        <v/>
      </c>
      <c r="J150" s="173"/>
      <c r="K150" s="175" t="str">
        <f>IF(J150="","",IF(VLOOKUP(J150,'G-3 Multipliers'!$L$3:$N$6,2,FALSE)=0,"Spatial Data Missing",VLOOKUP(J150,'G-3 Multipliers'!$L$3:$N$6,2,FALSE)))</f>
        <v/>
      </c>
      <c r="L150" s="260" t="str">
        <f>IF(J150="","",IF(VLOOKUP(J150,'G-3 Multipliers'!$L$3:$N$6,3,FALSE)=0,"Spatial Data Missing",VLOOKUP(J150,'G-3 Multipliers'!$L$3:$N$6,3,FALSE)))</f>
        <v/>
      </c>
      <c r="M150" s="171" t="str">
        <f>IF(OR(D150="",H150=""),"",(INDEX('G-6 Hedgerow Data'!$E$3:$I$15,MATCH(D150,'G-6 Hedgerow Data'!$B$3:$B$15,0),MATCH(H150,'G-6 Hedgerow Data'!$E$2:$I$2,0))))</f>
        <v/>
      </c>
      <c r="N150" s="261"/>
      <c r="O150" s="261"/>
      <c r="P150" s="179" t="str">
        <f t="shared" si="13"/>
        <v/>
      </c>
      <c r="Q150" s="262" t="str">
        <f t="shared" si="14"/>
        <v/>
      </c>
      <c r="R150" s="263" t="str">
        <f t="shared" si="12"/>
        <v/>
      </c>
      <c r="S150" s="239" t="str">
        <f>IF(D150="","",VLOOKUP(D150,'G-6 Hedgerow Data'!$B$3:$AG$15,31,FALSE))</f>
        <v/>
      </c>
      <c r="T150" s="179" t="str">
        <f t="shared" si="15"/>
        <v/>
      </c>
      <c r="U150" s="179" t="str">
        <f t="shared" si="16"/>
        <v/>
      </c>
      <c r="V150" s="176" t="str">
        <f>IF(D150="","",VLOOKUP(S150,'G-3 Multipliers'!$P$3:$Q$6,2,FALSE))</f>
        <v/>
      </c>
      <c r="W150" s="274" t="str">
        <f t="shared" si="17"/>
        <v/>
      </c>
      <c r="X150" s="180"/>
      <c r="Y150" s="181"/>
      <c r="AG150" s="35" t="str">
        <f>IFERROR(INDEX('G-6 Hedgerow Data'!$BJ$3:$BJ$15,MATCH(D150,'G-6 Hedgerow Data'!$B$3:$B$15,0)),"")</f>
        <v/>
      </c>
    </row>
    <row r="151" spans="2:33" ht="13.8" x14ac:dyDescent="0.25">
      <c r="B151" s="168">
        <v>140</v>
      </c>
      <c r="C151" s="278"/>
      <c r="D151" s="261"/>
      <c r="E151" s="213"/>
      <c r="F151" s="277" t="str">
        <f>IF(D151="","",VLOOKUP(D151,'G-6 Hedgerow Data'!$B$2:$AG$15,2,FALSE))</f>
        <v/>
      </c>
      <c r="G151" s="172" t="str">
        <f>IF(D151="","",VLOOKUP(D151,'G-6 Hedgerow Data'!$B$2:$AG$15,3,FALSE))</f>
        <v/>
      </c>
      <c r="H151" s="173"/>
      <c r="I151" s="172" t="str">
        <f>IFERROR(VLOOKUP(H151,'G-1 All Habitats'!$Z$2:$AA$9,2,FALSE),"")</f>
        <v/>
      </c>
      <c r="J151" s="173"/>
      <c r="K151" s="175" t="str">
        <f>IF(J151="","",IF(VLOOKUP(J151,'G-3 Multipliers'!$L$3:$N$6,2,FALSE)=0,"Spatial Data Missing",VLOOKUP(J151,'G-3 Multipliers'!$L$3:$N$6,2,FALSE)))</f>
        <v/>
      </c>
      <c r="L151" s="260" t="str">
        <f>IF(J151="","",IF(VLOOKUP(J151,'G-3 Multipliers'!$L$3:$N$6,3,FALSE)=0,"Spatial Data Missing",VLOOKUP(J151,'G-3 Multipliers'!$L$3:$N$6,3,FALSE)))</f>
        <v/>
      </c>
      <c r="M151" s="171" t="str">
        <f>IF(OR(D151="",H151=""),"",(INDEX('G-6 Hedgerow Data'!$E$3:$I$15,MATCH(D151,'G-6 Hedgerow Data'!$B$3:$B$15,0),MATCH(H151,'G-6 Hedgerow Data'!$E$2:$I$2,0))))</f>
        <v/>
      </c>
      <c r="N151" s="261"/>
      <c r="O151" s="261"/>
      <c r="P151" s="179" t="str">
        <f t="shared" si="13"/>
        <v/>
      </c>
      <c r="Q151" s="262" t="str">
        <f t="shared" si="14"/>
        <v/>
      </c>
      <c r="R151" s="263" t="str">
        <f t="shared" si="12"/>
        <v/>
      </c>
      <c r="S151" s="239" t="str">
        <f>IF(D151="","",VLOOKUP(D151,'G-6 Hedgerow Data'!$B$3:$AG$15,31,FALSE))</f>
        <v/>
      </c>
      <c r="T151" s="179" t="str">
        <f t="shared" si="15"/>
        <v/>
      </c>
      <c r="U151" s="179" t="str">
        <f t="shared" si="16"/>
        <v/>
      </c>
      <c r="V151" s="176" t="str">
        <f>IF(D151="","",VLOOKUP(S151,'G-3 Multipliers'!$P$3:$Q$6,2,FALSE))</f>
        <v/>
      </c>
      <c r="W151" s="274" t="str">
        <f t="shared" si="17"/>
        <v/>
      </c>
      <c r="X151" s="180"/>
      <c r="Y151" s="181"/>
      <c r="AG151" s="35" t="str">
        <f>IFERROR(INDEX('G-6 Hedgerow Data'!$BJ$3:$BJ$15,MATCH(D151,'G-6 Hedgerow Data'!$B$3:$B$15,0)),"")</f>
        <v/>
      </c>
    </row>
    <row r="152" spans="2:33" ht="13.8" x14ac:dyDescent="0.25">
      <c r="B152" s="168">
        <v>141</v>
      </c>
      <c r="C152" s="278"/>
      <c r="D152" s="261"/>
      <c r="E152" s="213"/>
      <c r="F152" s="277" t="str">
        <f>IF(D152="","",VLOOKUP(D152,'G-6 Hedgerow Data'!$B$2:$AG$15,2,FALSE))</f>
        <v/>
      </c>
      <c r="G152" s="172" t="str">
        <f>IF(D152="","",VLOOKUP(D152,'G-6 Hedgerow Data'!$B$2:$AG$15,3,FALSE))</f>
        <v/>
      </c>
      <c r="H152" s="173"/>
      <c r="I152" s="172" t="str">
        <f>IFERROR(VLOOKUP(H152,'G-1 All Habitats'!$Z$2:$AA$9,2,FALSE),"")</f>
        <v/>
      </c>
      <c r="J152" s="173"/>
      <c r="K152" s="175" t="str">
        <f>IF(J152="","",IF(VLOOKUP(J152,'G-3 Multipliers'!$L$3:$N$6,2,FALSE)=0,"Spatial Data Missing",VLOOKUP(J152,'G-3 Multipliers'!$L$3:$N$6,2,FALSE)))</f>
        <v/>
      </c>
      <c r="L152" s="260" t="str">
        <f>IF(J152="","",IF(VLOOKUP(J152,'G-3 Multipliers'!$L$3:$N$6,3,FALSE)=0,"Spatial Data Missing",VLOOKUP(J152,'G-3 Multipliers'!$L$3:$N$6,3,FALSE)))</f>
        <v/>
      </c>
      <c r="M152" s="171" t="str">
        <f>IF(OR(D152="",H152=""),"",(INDEX('G-6 Hedgerow Data'!$E$3:$I$15,MATCH(D152,'G-6 Hedgerow Data'!$B$3:$B$15,0),MATCH(H152,'G-6 Hedgerow Data'!$E$2:$I$2,0))))</f>
        <v/>
      </c>
      <c r="N152" s="261"/>
      <c r="O152" s="261"/>
      <c r="P152" s="179" t="str">
        <f t="shared" si="13"/>
        <v/>
      </c>
      <c r="Q152" s="262" t="str">
        <f t="shared" si="14"/>
        <v/>
      </c>
      <c r="R152" s="263" t="str">
        <f t="shared" si="12"/>
        <v/>
      </c>
      <c r="S152" s="239" t="str">
        <f>IF(D152="","",VLOOKUP(D152,'G-6 Hedgerow Data'!$B$3:$AG$15,31,FALSE))</f>
        <v/>
      </c>
      <c r="T152" s="179" t="str">
        <f t="shared" si="15"/>
        <v/>
      </c>
      <c r="U152" s="179" t="str">
        <f t="shared" si="16"/>
        <v/>
      </c>
      <c r="V152" s="176" t="str">
        <f>IF(D152="","",VLOOKUP(S152,'G-3 Multipliers'!$P$3:$Q$6,2,FALSE))</f>
        <v/>
      </c>
      <c r="W152" s="274" t="str">
        <f t="shared" si="17"/>
        <v/>
      </c>
      <c r="X152" s="180"/>
      <c r="Y152" s="181"/>
      <c r="AG152" s="35" t="str">
        <f>IFERROR(INDEX('G-6 Hedgerow Data'!$BJ$3:$BJ$15,MATCH(D152,'G-6 Hedgerow Data'!$B$3:$B$15,0)),"")</f>
        <v/>
      </c>
    </row>
    <row r="153" spans="2:33" ht="13.8" x14ac:dyDescent="0.25">
      <c r="B153" s="168">
        <v>142</v>
      </c>
      <c r="C153" s="278"/>
      <c r="D153" s="261"/>
      <c r="E153" s="213"/>
      <c r="F153" s="277" t="str">
        <f>IF(D153="","",VLOOKUP(D153,'G-6 Hedgerow Data'!$B$2:$AG$15,2,FALSE))</f>
        <v/>
      </c>
      <c r="G153" s="172" t="str">
        <f>IF(D153="","",VLOOKUP(D153,'G-6 Hedgerow Data'!$B$2:$AG$15,3,FALSE))</f>
        <v/>
      </c>
      <c r="H153" s="173"/>
      <c r="I153" s="172" t="str">
        <f>IFERROR(VLOOKUP(H153,'G-1 All Habitats'!$Z$2:$AA$9,2,FALSE),"")</f>
        <v/>
      </c>
      <c r="J153" s="173"/>
      <c r="K153" s="175" t="str">
        <f>IF(J153="","",IF(VLOOKUP(J153,'G-3 Multipliers'!$L$3:$N$6,2,FALSE)=0,"Spatial Data Missing",VLOOKUP(J153,'G-3 Multipliers'!$L$3:$N$6,2,FALSE)))</f>
        <v/>
      </c>
      <c r="L153" s="260" t="str">
        <f>IF(J153="","",IF(VLOOKUP(J153,'G-3 Multipliers'!$L$3:$N$6,3,FALSE)=0,"Spatial Data Missing",VLOOKUP(J153,'G-3 Multipliers'!$L$3:$N$6,3,FALSE)))</f>
        <v/>
      </c>
      <c r="M153" s="171" t="str">
        <f>IF(OR(D153="",H153=""),"",(INDEX('G-6 Hedgerow Data'!$E$3:$I$15,MATCH(D153,'G-6 Hedgerow Data'!$B$3:$B$15,0),MATCH(H153,'G-6 Hedgerow Data'!$E$2:$I$2,0))))</f>
        <v/>
      </c>
      <c r="N153" s="261"/>
      <c r="O153" s="261"/>
      <c r="P153" s="179" t="str">
        <f t="shared" si="13"/>
        <v/>
      </c>
      <c r="Q153" s="262" t="str">
        <f t="shared" si="14"/>
        <v/>
      </c>
      <c r="R153" s="263" t="str">
        <f t="shared" si="12"/>
        <v/>
      </c>
      <c r="S153" s="239" t="str">
        <f>IF(D153="","",VLOOKUP(D153,'G-6 Hedgerow Data'!$B$3:$AG$15,31,FALSE))</f>
        <v/>
      </c>
      <c r="T153" s="179" t="str">
        <f t="shared" si="15"/>
        <v/>
      </c>
      <c r="U153" s="179" t="str">
        <f t="shared" si="16"/>
        <v/>
      </c>
      <c r="V153" s="176" t="str">
        <f>IF(D153="","",VLOOKUP(S153,'G-3 Multipliers'!$P$3:$Q$6,2,FALSE))</f>
        <v/>
      </c>
      <c r="W153" s="274" t="str">
        <f t="shared" si="17"/>
        <v/>
      </c>
      <c r="X153" s="180"/>
      <c r="Y153" s="181"/>
      <c r="AG153" s="35" t="str">
        <f>IFERROR(INDEX('G-6 Hedgerow Data'!$BJ$3:$BJ$15,MATCH(D153,'G-6 Hedgerow Data'!$B$3:$B$15,0)),"")</f>
        <v/>
      </c>
    </row>
    <row r="154" spans="2:33" ht="13.8" x14ac:dyDescent="0.25">
      <c r="B154" s="168">
        <v>143</v>
      </c>
      <c r="C154" s="278"/>
      <c r="D154" s="261"/>
      <c r="E154" s="213"/>
      <c r="F154" s="277" t="str">
        <f>IF(D154="","",VLOOKUP(D154,'G-6 Hedgerow Data'!$B$2:$AG$15,2,FALSE))</f>
        <v/>
      </c>
      <c r="G154" s="172" t="str">
        <f>IF(D154="","",VLOOKUP(D154,'G-6 Hedgerow Data'!$B$2:$AG$15,3,FALSE))</f>
        <v/>
      </c>
      <c r="H154" s="173"/>
      <c r="I154" s="172" t="str">
        <f>IFERROR(VLOOKUP(H154,'G-1 All Habitats'!$Z$2:$AA$9,2,FALSE),"")</f>
        <v/>
      </c>
      <c r="J154" s="173"/>
      <c r="K154" s="175" t="str">
        <f>IF(J154="","",IF(VLOOKUP(J154,'G-3 Multipliers'!$L$3:$N$6,2,FALSE)=0,"Spatial Data Missing",VLOOKUP(J154,'G-3 Multipliers'!$L$3:$N$6,2,FALSE)))</f>
        <v/>
      </c>
      <c r="L154" s="260" t="str">
        <f>IF(J154="","",IF(VLOOKUP(J154,'G-3 Multipliers'!$L$3:$N$6,3,FALSE)=0,"Spatial Data Missing",VLOOKUP(J154,'G-3 Multipliers'!$L$3:$N$6,3,FALSE)))</f>
        <v/>
      </c>
      <c r="M154" s="171" t="str">
        <f>IF(OR(D154="",H154=""),"",(INDEX('G-6 Hedgerow Data'!$E$3:$I$15,MATCH(D154,'G-6 Hedgerow Data'!$B$3:$B$15,0),MATCH(H154,'G-6 Hedgerow Data'!$E$2:$I$2,0))))</f>
        <v/>
      </c>
      <c r="N154" s="261"/>
      <c r="O154" s="261"/>
      <c r="P154" s="179" t="str">
        <f t="shared" si="13"/>
        <v/>
      </c>
      <c r="Q154" s="262" t="str">
        <f t="shared" si="14"/>
        <v/>
      </c>
      <c r="R154" s="263" t="str">
        <f t="shared" si="12"/>
        <v/>
      </c>
      <c r="S154" s="239" t="str">
        <f>IF(D154="","",VLOOKUP(D154,'G-6 Hedgerow Data'!$B$3:$AG$15,31,FALSE))</f>
        <v/>
      </c>
      <c r="T154" s="179" t="str">
        <f t="shared" si="15"/>
        <v/>
      </c>
      <c r="U154" s="179" t="str">
        <f t="shared" si="16"/>
        <v/>
      </c>
      <c r="V154" s="176" t="str">
        <f>IF(D154="","",VLOOKUP(S154,'G-3 Multipliers'!$P$3:$Q$6,2,FALSE))</f>
        <v/>
      </c>
      <c r="W154" s="274" t="str">
        <f t="shared" si="17"/>
        <v/>
      </c>
      <c r="X154" s="180"/>
      <c r="Y154" s="181"/>
      <c r="AG154" s="35" t="str">
        <f>IFERROR(INDEX('G-6 Hedgerow Data'!$BJ$3:$BJ$15,MATCH(D154,'G-6 Hedgerow Data'!$B$3:$B$15,0)),"")</f>
        <v/>
      </c>
    </row>
    <row r="155" spans="2:33" ht="13.8" x14ac:dyDescent="0.25">
      <c r="B155" s="168">
        <v>144</v>
      </c>
      <c r="C155" s="278"/>
      <c r="D155" s="261"/>
      <c r="E155" s="213"/>
      <c r="F155" s="277" t="str">
        <f>IF(D155="","",VLOOKUP(D155,'G-6 Hedgerow Data'!$B$2:$AG$15,2,FALSE))</f>
        <v/>
      </c>
      <c r="G155" s="172" t="str">
        <f>IF(D155="","",VLOOKUP(D155,'G-6 Hedgerow Data'!$B$2:$AG$15,3,FALSE))</f>
        <v/>
      </c>
      <c r="H155" s="173"/>
      <c r="I155" s="172" t="str">
        <f>IFERROR(VLOOKUP(H155,'G-1 All Habitats'!$Z$2:$AA$9,2,FALSE),"")</f>
        <v/>
      </c>
      <c r="J155" s="173"/>
      <c r="K155" s="175" t="str">
        <f>IF(J155="","",IF(VLOOKUP(J155,'G-3 Multipliers'!$L$3:$N$6,2,FALSE)=0,"Spatial Data Missing",VLOOKUP(J155,'G-3 Multipliers'!$L$3:$N$6,2,FALSE)))</f>
        <v/>
      </c>
      <c r="L155" s="260" t="str">
        <f>IF(J155="","",IF(VLOOKUP(J155,'G-3 Multipliers'!$L$3:$N$6,3,FALSE)=0,"Spatial Data Missing",VLOOKUP(J155,'G-3 Multipliers'!$L$3:$N$6,3,FALSE)))</f>
        <v/>
      </c>
      <c r="M155" s="171" t="str">
        <f>IF(OR(D155="",H155=""),"",(INDEX('G-6 Hedgerow Data'!$E$3:$I$15,MATCH(D155,'G-6 Hedgerow Data'!$B$3:$B$15,0),MATCH(H155,'G-6 Hedgerow Data'!$E$2:$I$2,0))))</f>
        <v/>
      </c>
      <c r="N155" s="261"/>
      <c r="O155" s="261"/>
      <c r="P155" s="179" t="str">
        <f t="shared" si="13"/>
        <v/>
      </c>
      <c r="Q155" s="262" t="str">
        <f t="shared" si="14"/>
        <v/>
      </c>
      <c r="R155" s="263" t="str">
        <f t="shared" si="12"/>
        <v/>
      </c>
      <c r="S155" s="239" t="str">
        <f>IF(D155="","",VLOOKUP(D155,'G-6 Hedgerow Data'!$B$3:$AG$15,31,FALSE))</f>
        <v/>
      </c>
      <c r="T155" s="179" t="str">
        <f t="shared" si="15"/>
        <v/>
      </c>
      <c r="U155" s="179" t="str">
        <f t="shared" si="16"/>
        <v/>
      </c>
      <c r="V155" s="176" t="str">
        <f>IF(D155="","",VLOOKUP(S155,'G-3 Multipliers'!$P$3:$Q$6,2,FALSE))</f>
        <v/>
      </c>
      <c r="W155" s="274" t="str">
        <f t="shared" si="17"/>
        <v/>
      </c>
      <c r="X155" s="180"/>
      <c r="Y155" s="181"/>
      <c r="AG155" s="35" t="str">
        <f>IFERROR(INDEX('G-6 Hedgerow Data'!$BJ$3:$BJ$15,MATCH(D155,'G-6 Hedgerow Data'!$B$3:$B$15,0)),"")</f>
        <v/>
      </c>
    </row>
    <row r="156" spans="2:33" ht="13.8" x14ac:dyDescent="0.25">
      <c r="B156" s="168">
        <v>145</v>
      </c>
      <c r="C156" s="278"/>
      <c r="D156" s="261"/>
      <c r="E156" s="213"/>
      <c r="F156" s="277" t="str">
        <f>IF(D156="","",VLOOKUP(D156,'G-6 Hedgerow Data'!$B$2:$AG$15,2,FALSE))</f>
        <v/>
      </c>
      <c r="G156" s="172" t="str">
        <f>IF(D156="","",VLOOKUP(D156,'G-6 Hedgerow Data'!$B$2:$AG$15,3,FALSE))</f>
        <v/>
      </c>
      <c r="H156" s="173"/>
      <c r="I156" s="172" t="str">
        <f>IFERROR(VLOOKUP(H156,'G-1 All Habitats'!$Z$2:$AA$9,2,FALSE),"")</f>
        <v/>
      </c>
      <c r="J156" s="173"/>
      <c r="K156" s="175" t="str">
        <f>IF(J156="","",IF(VLOOKUP(J156,'G-3 Multipliers'!$L$3:$N$6,2,FALSE)=0,"Spatial Data Missing",VLOOKUP(J156,'G-3 Multipliers'!$L$3:$N$6,2,FALSE)))</f>
        <v/>
      </c>
      <c r="L156" s="260" t="str">
        <f>IF(J156="","",IF(VLOOKUP(J156,'G-3 Multipliers'!$L$3:$N$6,3,FALSE)=0,"Spatial Data Missing",VLOOKUP(J156,'G-3 Multipliers'!$L$3:$N$6,3,FALSE)))</f>
        <v/>
      </c>
      <c r="M156" s="171" t="str">
        <f>IF(OR(D156="",H156=""),"",(INDEX('G-6 Hedgerow Data'!$E$3:$I$15,MATCH(D156,'G-6 Hedgerow Data'!$B$3:$B$15,0),MATCH(H156,'G-6 Hedgerow Data'!$E$2:$I$2,0))))</f>
        <v/>
      </c>
      <c r="N156" s="261"/>
      <c r="O156" s="261"/>
      <c r="P156" s="179" t="str">
        <f t="shared" si="13"/>
        <v/>
      </c>
      <c r="Q156" s="262" t="str">
        <f t="shared" si="14"/>
        <v/>
      </c>
      <c r="R156" s="263" t="str">
        <f t="shared" si="12"/>
        <v/>
      </c>
      <c r="S156" s="239" t="str">
        <f>IF(D156="","",VLOOKUP(D156,'G-6 Hedgerow Data'!$B$3:$AG$15,31,FALSE))</f>
        <v/>
      </c>
      <c r="T156" s="179" t="str">
        <f t="shared" si="15"/>
        <v/>
      </c>
      <c r="U156" s="179" t="str">
        <f t="shared" si="16"/>
        <v/>
      </c>
      <c r="V156" s="176" t="str">
        <f>IF(D156="","",VLOOKUP(S156,'G-3 Multipliers'!$P$3:$Q$6,2,FALSE))</f>
        <v/>
      </c>
      <c r="W156" s="274" t="str">
        <f t="shared" si="17"/>
        <v/>
      </c>
      <c r="X156" s="180"/>
      <c r="Y156" s="181"/>
      <c r="AG156" s="35" t="str">
        <f>IFERROR(INDEX('G-6 Hedgerow Data'!$BJ$3:$BJ$15,MATCH(D156,'G-6 Hedgerow Data'!$B$3:$B$15,0)),"")</f>
        <v/>
      </c>
    </row>
    <row r="157" spans="2:33" ht="13.8" x14ac:dyDescent="0.25">
      <c r="B157" s="168">
        <v>146</v>
      </c>
      <c r="C157" s="278"/>
      <c r="D157" s="261"/>
      <c r="E157" s="213"/>
      <c r="F157" s="277" t="str">
        <f>IF(D157="","",VLOOKUP(D157,'G-6 Hedgerow Data'!$B$2:$AG$15,2,FALSE))</f>
        <v/>
      </c>
      <c r="G157" s="172" t="str">
        <f>IF(D157="","",VLOOKUP(D157,'G-6 Hedgerow Data'!$B$2:$AG$15,3,FALSE))</f>
        <v/>
      </c>
      <c r="H157" s="173"/>
      <c r="I157" s="172" t="str">
        <f>IFERROR(VLOOKUP(H157,'G-1 All Habitats'!$Z$2:$AA$9,2,FALSE),"")</f>
        <v/>
      </c>
      <c r="J157" s="173"/>
      <c r="K157" s="175" t="str">
        <f>IF(J157="","",IF(VLOOKUP(J157,'G-3 Multipliers'!$L$3:$N$6,2,FALSE)=0,"Spatial Data Missing",VLOOKUP(J157,'G-3 Multipliers'!$L$3:$N$6,2,FALSE)))</f>
        <v/>
      </c>
      <c r="L157" s="260" t="str">
        <f>IF(J157="","",IF(VLOOKUP(J157,'G-3 Multipliers'!$L$3:$N$6,3,FALSE)=0,"Spatial Data Missing",VLOOKUP(J157,'G-3 Multipliers'!$L$3:$N$6,3,FALSE)))</f>
        <v/>
      </c>
      <c r="M157" s="171" t="str">
        <f>IF(OR(D157="",H157=""),"",(INDEX('G-6 Hedgerow Data'!$E$3:$I$15,MATCH(D157,'G-6 Hedgerow Data'!$B$3:$B$15,0),MATCH(H157,'G-6 Hedgerow Data'!$E$2:$I$2,0))))</f>
        <v/>
      </c>
      <c r="N157" s="261"/>
      <c r="O157" s="261"/>
      <c r="P157" s="179" t="str">
        <f t="shared" si="13"/>
        <v/>
      </c>
      <c r="Q157" s="262" t="str">
        <f t="shared" si="14"/>
        <v/>
      </c>
      <c r="R157" s="263" t="str">
        <f t="shared" si="12"/>
        <v/>
      </c>
      <c r="S157" s="239" t="str">
        <f>IF(D157="","",VLOOKUP(D157,'G-6 Hedgerow Data'!$B$3:$AG$15,31,FALSE))</f>
        <v/>
      </c>
      <c r="T157" s="179" t="str">
        <f t="shared" si="15"/>
        <v/>
      </c>
      <c r="U157" s="179" t="str">
        <f t="shared" si="16"/>
        <v/>
      </c>
      <c r="V157" s="176" t="str">
        <f>IF(D157="","",VLOOKUP(S157,'G-3 Multipliers'!$P$3:$Q$6,2,FALSE))</f>
        <v/>
      </c>
      <c r="W157" s="274" t="str">
        <f t="shared" si="17"/>
        <v/>
      </c>
      <c r="X157" s="180"/>
      <c r="Y157" s="181"/>
      <c r="AG157" s="35" t="str">
        <f>IFERROR(INDEX('G-6 Hedgerow Data'!$BJ$3:$BJ$15,MATCH(D157,'G-6 Hedgerow Data'!$B$3:$B$15,0)),"")</f>
        <v/>
      </c>
    </row>
    <row r="158" spans="2:33" ht="13.8" x14ac:dyDescent="0.25">
      <c r="B158" s="168">
        <v>147</v>
      </c>
      <c r="C158" s="278"/>
      <c r="D158" s="261"/>
      <c r="E158" s="213"/>
      <c r="F158" s="277" t="str">
        <f>IF(D158="","",VLOOKUP(D158,'G-6 Hedgerow Data'!$B$2:$AG$15,2,FALSE))</f>
        <v/>
      </c>
      <c r="G158" s="172" t="str">
        <f>IF(D158="","",VLOOKUP(D158,'G-6 Hedgerow Data'!$B$2:$AG$15,3,FALSE))</f>
        <v/>
      </c>
      <c r="H158" s="173"/>
      <c r="I158" s="172" t="str">
        <f>IFERROR(VLOOKUP(H158,'G-1 All Habitats'!$Z$2:$AA$9,2,FALSE),"")</f>
        <v/>
      </c>
      <c r="J158" s="173"/>
      <c r="K158" s="175" t="str">
        <f>IF(J158="","",IF(VLOOKUP(J158,'G-3 Multipliers'!$L$3:$N$6,2,FALSE)=0,"Spatial Data Missing",VLOOKUP(J158,'G-3 Multipliers'!$L$3:$N$6,2,FALSE)))</f>
        <v/>
      </c>
      <c r="L158" s="260" t="str">
        <f>IF(J158="","",IF(VLOOKUP(J158,'G-3 Multipliers'!$L$3:$N$6,3,FALSE)=0,"Spatial Data Missing",VLOOKUP(J158,'G-3 Multipliers'!$L$3:$N$6,3,FALSE)))</f>
        <v/>
      </c>
      <c r="M158" s="171" t="str">
        <f>IF(OR(D158="",H158=""),"",(INDEX('G-6 Hedgerow Data'!$E$3:$I$15,MATCH(D158,'G-6 Hedgerow Data'!$B$3:$B$15,0),MATCH(H158,'G-6 Hedgerow Data'!$E$2:$I$2,0))))</f>
        <v/>
      </c>
      <c r="N158" s="261"/>
      <c r="O158" s="261"/>
      <c r="P158" s="179" t="str">
        <f t="shared" si="13"/>
        <v/>
      </c>
      <c r="Q158" s="262" t="str">
        <f t="shared" si="14"/>
        <v/>
      </c>
      <c r="R158" s="263" t="str">
        <f t="shared" si="12"/>
        <v/>
      </c>
      <c r="S158" s="239" t="str">
        <f>IF(D158="","",VLOOKUP(D158,'G-6 Hedgerow Data'!$B$3:$AG$15,31,FALSE))</f>
        <v/>
      </c>
      <c r="T158" s="179" t="str">
        <f t="shared" si="15"/>
        <v/>
      </c>
      <c r="U158" s="179" t="str">
        <f t="shared" si="16"/>
        <v/>
      </c>
      <c r="V158" s="176" t="str">
        <f>IF(D158="","",VLOOKUP(S158,'G-3 Multipliers'!$P$3:$Q$6,2,FALSE))</f>
        <v/>
      </c>
      <c r="W158" s="274" t="str">
        <f t="shared" si="17"/>
        <v/>
      </c>
      <c r="X158" s="180"/>
      <c r="Y158" s="181"/>
      <c r="AG158" s="35" t="str">
        <f>IFERROR(INDEX('G-6 Hedgerow Data'!$BJ$3:$BJ$15,MATCH(D158,'G-6 Hedgerow Data'!$B$3:$B$15,0)),"")</f>
        <v/>
      </c>
    </row>
    <row r="159" spans="2:33" ht="13.8" x14ac:dyDescent="0.25">
      <c r="B159" s="168">
        <v>148</v>
      </c>
      <c r="C159" s="278"/>
      <c r="D159" s="261"/>
      <c r="E159" s="213"/>
      <c r="F159" s="277" t="str">
        <f>IF(D159="","",VLOOKUP(D159,'G-6 Hedgerow Data'!$B$2:$AG$15,2,FALSE))</f>
        <v/>
      </c>
      <c r="G159" s="172" t="str">
        <f>IF(D159="","",VLOOKUP(D159,'G-6 Hedgerow Data'!$B$2:$AG$15,3,FALSE))</f>
        <v/>
      </c>
      <c r="H159" s="173"/>
      <c r="I159" s="172" t="str">
        <f>IFERROR(VLOOKUP(H159,'G-1 All Habitats'!$Z$2:$AA$9,2,FALSE),"")</f>
        <v/>
      </c>
      <c r="J159" s="173"/>
      <c r="K159" s="175" t="str">
        <f>IF(J159="","",IF(VLOOKUP(J159,'G-3 Multipliers'!$L$3:$N$6,2,FALSE)=0,"Spatial Data Missing",VLOOKUP(J159,'G-3 Multipliers'!$L$3:$N$6,2,FALSE)))</f>
        <v/>
      </c>
      <c r="L159" s="260" t="str">
        <f>IF(J159="","",IF(VLOOKUP(J159,'G-3 Multipliers'!$L$3:$N$6,3,FALSE)=0,"Spatial Data Missing",VLOOKUP(J159,'G-3 Multipliers'!$L$3:$N$6,3,FALSE)))</f>
        <v/>
      </c>
      <c r="M159" s="171" t="str">
        <f>IF(OR(D159="",H159=""),"",(INDEX('G-6 Hedgerow Data'!$E$3:$I$15,MATCH(D159,'G-6 Hedgerow Data'!$B$3:$B$15,0),MATCH(H159,'G-6 Hedgerow Data'!$E$2:$I$2,0))))</f>
        <v/>
      </c>
      <c r="N159" s="261"/>
      <c r="O159" s="261"/>
      <c r="P159" s="179" t="str">
        <f t="shared" si="13"/>
        <v/>
      </c>
      <c r="Q159" s="262" t="str">
        <f t="shared" si="14"/>
        <v/>
      </c>
      <c r="R159" s="263" t="str">
        <f t="shared" si="12"/>
        <v/>
      </c>
      <c r="S159" s="239" t="str">
        <f>IF(D159="","",VLOOKUP(D159,'G-6 Hedgerow Data'!$B$3:$AG$15,31,FALSE))</f>
        <v/>
      </c>
      <c r="T159" s="179" t="str">
        <f t="shared" si="15"/>
        <v/>
      </c>
      <c r="U159" s="179" t="str">
        <f t="shared" si="16"/>
        <v/>
      </c>
      <c r="V159" s="176" t="str">
        <f>IF(D159="","",VLOOKUP(S159,'G-3 Multipliers'!$P$3:$Q$6,2,FALSE))</f>
        <v/>
      </c>
      <c r="W159" s="274" t="str">
        <f t="shared" si="17"/>
        <v/>
      </c>
      <c r="X159" s="180"/>
      <c r="Y159" s="181"/>
      <c r="AG159" s="35" t="str">
        <f>IFERROR(INDEX('G-6 Hedgerow Data'!$BJ$3:$BJ$15,MATCH(D159,'G-6 Hedgerow Data'!$B$3:$B$15,0)),"")</f>
        <v/>
      </c>
    </row>
    <row r="160" spans="2:33" ht="13.8" x14ac:dyDescent="0.25">
      <c r="B160" s="168">
        <v>149</v>
      </c>
      <c r="C160" s="278"/>
      <c r="D160" s="261"/>
      <c r="E160" s="213"/>
      <c r="F160" s="277" t="str">
        <f>IF(D160="","",VLOOKUP(D160,'G-6 Hedgerow Data'!$B$2:$AG$15,2,FALSE))</f>
        <v/>
      </c>
      <c r="G160" s="172" t="str">
        <f>IF(D160="","",VLOOKUP(D160,'G-6 Hedgerow Data'!$B$2:$AG$15,3,FALSE))</f>
        <v/>
      </c>
      <c r="H160" s="173"/>
      <c r="I160" s="172" t="str">
        <f>IFERROR(VLOOKUP(H160,'G-1 All Habitats'!$Z$2:$AA$9,2,FALSE),"")</f>
        <v/>
      </c>
      <c r="J160" s="173"/>
      <c r="K160" s="175" t="str">
        <f>IF(J160="","",IF(VLOOKUP(J160,'G-3 Multipliers'!$L$3:$N$6,2,FALSE)=0,"Spatial Data Missing",VLOOKUP(J160,'G-3 Multipliers'!$L$3:$N$6,2,FALSE)))</f>
        <v/>
      </c>
      <c r="L160" s="260" t="str">
        <f>IF(J160="","",IF(VLOOKUP(J160,'G-3 Multipliers'!$L$3:$N$6,3,FALSE)=0,"Spatial Data Missing",VLOOKUP(J160,'G-3 Multipliers'!$L$3:$N$6,3,FALSE)))</f>
        <v/>
      </c>
      <c r="M160" s="171" t="str">
        <f>IF(OR(D160="",H160=""),"",(INDEX('G-6 Hedgerow Data'!$E$3:$I$15,MATCH(D160,'G-6 Hedgerow Data'!$B$3:$B$15,0),MATCH(H160,'G-6 Hedgerow Data'!$E$2:$I$2,0))))</f>
        <v/>
      </c>
      <c r="N160" s="261"/>
      <c r="O160" s="261"/>
      <c r="P160" s="179" t="str">
        <f t="shared" si="13"/>
        <v/>
      </c>
      <c r="Q160" s="262" t="str">
        <f t="shared" si="14"/>
        <v/>
      </c>
      <c r="R160" s="263" t="str">
        <f t="shared" si="12"/>
        <v/>
      </c>
      <c r="S160" s="239" t="str">
        <f>IF(D160="","",VLOOKUP(D160,'G-6 Hedgerow Data'!$B$3:$AG$15,31,FALSE))</f>
        <v/>
      </c>
      <c r="T160" s="179" t="str">
        <f t="shared" si="15"/>
        <v/>
      </c>
      <c r="U160" s="179" t="str">
        <f t="shared" si="16"/>
        <v/>
      </c>
      <c r="V160" s="176" t="str">
        <f>IF(D160="","",VLOOKUP(S160,'G-3 Multipliers'!$P$3:$Q$6,2,FALSE))</f>
        <v/>
      </c>
      <c r="W160" s="274" t="str">
        <f t="shared" si="17"/>
        <v/>
      </c>
      <c r="X160" s="180"/>
      <c r="Y160" s="181"/>
      <c r="AG160" s="35" t="str">
        <f>IFERROR(INDEX('G-6 Hedgerow Data'!$BJ$3:$BJ$15,MATCH(D160,'G-6 Hedgerow Data'!$B$3:$B$15,0)),"")</f>
        <v/>
      </c>
    </row>
    <row r="161" spans="2:33" ht="13.8" x14ac:dyDescent="0.25">
      <c r="B161" s="168">
        <v>150</v>
      </c>
      <c r="C161" s="278"/>
      <c r="D161" s="261"/>
      <c r="E161" s="213"/>
      <c r="F161" s="277" t="str">
        <f>IF(D161="","",VLOOKUP(D161,'G-6 Hedgerow Data'!$B$2:$AG$15,2,FALSE))</f>
        <v/>
      </c>
      <c r="G161" s="172" t="str">
        <f>IF(D161="","",VLOOKUP(D161,'G-6 Hedgerow Data'!$B$2:$AG$15,3,FALSE))</f>
        <v/>
      </c>
      <c r="H161" s="173"/>
      <c r="I161" s="172" t="str">
        <f>IFERROR(VLOOKUP(H161,'G-1 All Habitats'!$Z$2:$AA$9,2,FALSE),"")</f>
        <v/>
      </c>
      <c r="J161" s="173"/>
      <c r="K161" s="175" t="str">
        <f>IF(J161="","",IF(VLOOKUP(J161,'G-3 Multipliers'!$L$3:$N$6,2,FALSE)=0,"Spatial Data Missing",VLOOKUP(J161,'G-3 Multipliers'!$L$3:$N$6,2,FALSE)))</f>
        <v/>
      </c>
      <c r="L161" s="260" t="str">
        <f>IF(J161="","",IF(VLOOKUP(J161,'G-3 Multipliers'!$L$3:$N$6,3,FALSE)=0,"Spatial Data Missing",VLOOKUP(J161,'G-3 Multipliers'!$L$3:$N$6,3,FALSE)))</f>
        <v/>
      </c>
      <c r="M161" s="171" t="str">
        <f>IF(OR(D161="",H161=""),"",(INDEX('G-6 Hedgerow Data'!$E$3:$I$15,MATCH(D161,'G-6 Hedgerow Data'!$B$3:$B$15,0),MATCH(H161,'G-6 Hedgerow Data'!$E$2:$I$2,0))))</f>
        <v/>
      </c>
      <c r="N161" s="261"/>
      <c r="O161" s="261"/>
      <c r="P161" s="179" t="str">
        <f t="shared" si="13"/>
        <v/>
      </c>
      <c r="Q161" s="262" t="str">
        <f t="shared" si="14"/>
        <v/>
      </c>
      <c r="R161" s="263" t="str">
        <f t="shared" si="12"/>
        <v/>
      </c>
      <c r="S161" s="239" t="str">
        <f>IF(D161="","",VLOOKUP(D161,'G-6 Hedgerow Data'!$B$3:$AG$15,31,FALSE))</f>
        <v/>
      </c>
      <c r="T161" s="179" t="str">
        <f t="shared" si="15"/>
        <v/>
      </c>
      <c r="U161" s="179" t="str">
        <f t="shared" si="16"/>
        <v/>
      </c>
      <c r="V161" s="176" t="str">
        <f>IF(D161="","",VLOOKUP(S161,'G-3 Multipliers'!$P$3:$Q$6,2,FALSE))</f>
        <v/>
      </c>
      <c r="W161" s="274" t="str">
        <f t="shared" si="17"/>
        <v/>
      </c>
      <c r="X161" s="180"/>
      <c r="Y161" s="181"/>
      <c r="AG161" s="35" t="str">
        <f>IFERROR(INDEX('G-6 Hedgerow Data'!$BJ$3:$BJ$15,MATCH(D161,'G-6 Hedgerow Data'!$B$3:$B$15,0)),"")</f>
        <v/>
      </c>
    </row>
    <row r="162" spans="2:33" ht="13.8" x14ac:dyDescent="0.25">
      <c r="B162" s="168">
        <v>151</v>
      </c>
      <c r="C162" s="278"/>
      <c r="D162" s="261"/>
      <c r="E162" s="213"/>
      <c r="F162" s="277" t="str">
        <f>IF(D162="","",VLOOKUP(D162,'G-6 Hedgerow Data'!$B$2:$AG$15,2,FALSE))</f>
        <v/>
      </c>
      <c r="G162" s="172" t="str">
        <f>IF(D162="","",VLOOKUP(D162,'G-6 Hedgerow Data'!$B$2:$AG$15,3,FALSE))</f>
        <v/>
      </c>
      <c r="H162" s="173"/>
      <c r="I162" s="172" t="str">
        <f>IFERROR(VLOOKUP(H162,'G-1 All Habitats'!$Z$2:$AA$9,2,FALSE),"")</f>
        <v/>
      </c>
      <c r="J162" s="173"/>
      <c r="K162" s="175" t="str">
        <f>IF(J162="","",IF(VLOOKUP(J162,'G-3 Multipliers'!$L$3:$N$6,2,FALSE)=0,"Spatial Data Missing",VLOOKUP(J162,'G-3 Multipliers'!$L$3:$N$6,2,FALSE)))</f>
        <v/>
      </c>
      <c r="L162" s="260" t="str">
        <f>IF(J162="","",IF(VLOOKUP(J162,'G-3 Multipliers'!$L$3:$N$6,3,FALSE)=0,"Spatial Data Missing",VLOOKUP(J162,'G-3 Multipliers'!$L$3:$N$6,3,FALSE)))</f>
        <v/>
      </c>
      <c r="M162" s="171" t="str">
        <f>IF(OR(D162="",H162=""),"",(INDEX('G-6 Hedgerow Data'!$E$3:$I$15,MATCH(D162,'G-6 Hedgerow Data'!$B$3:$B$15,0),MATCH(H162,'G-6 Hedgerow Data'!$E$2:$I$2,0))))</f>
        <v/>
      </c>
      <c r="N162" s="261"/>
      <c r="O162" s="261"/>
      <c r="P162" s="179" t="str">
        <f t="shared" si="13"/>
        <v/>
      </c>
      <c r="Q162" s="262" t="str">
        <f t="shared" si="14"/>
        <v/>
      </c>
      <c r="R162" s="263" t="str">
        <f t="shared" si="12"/>
        <v/>
      </c>
      <c r="S162" s="239" t="str">
        <f>IF(D162="","",VLOOKUP(D162,'G-6 Hedgerow Data'!$B$3:$AG$15,31,FALSE))</f>
        <v/>
      </c>
      <c r="T162" s="179" t="str">
        <f t="shared" si="15"/>
        <v/>
      </c>
      <c r="U162" s="179" t="str">
        <f t="shared" si="16"/>
        <v/>
      </c>
      <c r="V162" s="176" t="str">
        <f>IF(D162="","",VLOOKUP(S162,'G-3 Multipliers'!$P$3:$Q$6,2,FALSE))</f>
        <v/>
      </c>
      <c r="W162" s="274" t="str">
        <f t="shared" si="17"/>
        <v/>
      </c>
      <c r="X162" s="180"/>
      <c r="Y162" s="181"/>
      <c r="AG162" s="35" t="str">
        <f>IFERROR(INDEX('G-6 Hedgerow Data'!$BJ$3:$BJ$15,MATCH(D162,'G-6 Hedgerow Data'!$B$3:$B$15,0)),"")</f>
        <v/>
      </c>
    </row>
    <row r="163" spans="2:33" ht="13.8" x14ac:dyDescent="0.25">
      <c r="B163" s="168">
        <v>152</v>
      </c>
      <c r="C163" s="278"/>
      <c r="D163" s="261"/>
      <c r="E163" s="213"/>
      <c r="F163" s="277" t="str">
        <f>IF(D163="","",VLOOKUP(D163,'G-6 Hedgerow Data'!$B$2:$AG$15,2,FALSE))</f>
        <v/>
      </c>
      <c r="G163" s="172" t="str">
        <f>IF(D163="","",VLOOKUP(D163,'G-6 Hedgerow Data'!$B$2:$AG$15,3,FALSE))</f>
        <v/>
      </c>
      <c r="H163" s="173"/>
      <c r="I163" s="172" t="str">
        <f>IFERROR(VLOOKUP(H163,'G-1 All Habitats'!$Z$2:$AA$9,2,FALSE),"")</f>
        <v/>
      </c>
      <c r="J163" s="173"/>
      <c r="K163" s="175" t="str">
        <f>IF(J163="","",IF(VLOOKUP(J163,'G-3 Multipliers'!$L$3:$N$6,2,FALSE)=0,"Spatial Data Missing",VLOOKUP(J163,'G-3 Multipliers'!$L$3:$N$6,2,FALSE)))</f>
        <v/>
      </c>
      <c r="L163" s="260" t="str">
        <f>IF(J163="","",IF(VLOOKUP(J163,'G-3 Multipliers'!$L$3:$N$6,3,FALSE)=0,"Spatial Data Missing",VLOOKUP(J163,'G-3 Multipliers'!$L$3:$N$6,3,FALSE)))</f>
        <v/>
      </c>
      <c r="M163" s="171" t="str">
        <f>IF(OR(D163="",H163=""),"",(INDEX('G-6 Hedgerow Data'!$E$3:$I$15,MATCH(D163,'G-6 Hedgerow Data'!$B$3:$B$15,0),MATCH(H163,'G-6 Hedgerow Data'!$E$2:$I$2,0))))</f>
        <v/>
      </c>
      <c r="N163" s="261"/>
      <c r="O163" s="261"/>
      <c r="P163" s="179" t="str">
        <f t="shared" si="13"/>
        <v/>
      </c>
      <c r="Q163" s="262" t="str">
        <f t="shared" si="14"/>
        <v/>
      </c>
      <c r="R163" s="263" t="str">
        <f t="shared" si="12"/>
        <v/>
      </c>
      <c r="S163" s="239" t="str">
        <f>IF(D163="","",VLOOKUP(D163,'G-6 Hedgerow Data'!$B$3:$AG$15,31,FALSE))</f>
        <v/>
      </c>
      <c r="T163" s="179" t="str">
        <f t="shared" si="15"/>
        <v/>
      </c>
      <c r="U163" s="179" t="str">
        <f t="shared" si="16"/>
        <v/>
      </c>
      <c r="V163" s="176" t="str">
        <f>IF(D163="","",VLOOKUP(S163,'G-3 Multipliers'!$P$3:$Q$6,2,FALSE))</f>
        <v/>
      </c>
      <c r="W163" s="274" t="str">
        <f t="shared" si="17"/>
        <v/>
      </c>
      <c r="X163" s="180"/>
      <c r="Y163" s="181"/>
      <c r="AG163" s="35" t="str">
        <f>IFERROR(INDEX('G-6 Hedgerow Data'!$BJ$3:$BJ$15,MATCH(D163,'G-6 Hedgerow Data'!$B$3:$B$15,0)),"")</f>
        <v/>
      </c>
    </row>
    <row r="164" spans="2:33" ht="13.8" x14ac:dyDescent="0.25">
      <c r="B164" s="168">
        <v>153</v>
      </c>
      <c r="C164" s="278"/>
      <c r="D164" s="261"/>
      <c r="E164" s="213"/>
      <c r="F164" s="277" t="str">
        <f>IF(D164="","",VLOOKUP(D164,'G-6 Hedgerow Data'!$B$2:$AG$15,2,FALSE))</f>
        <v/>
      </c>
      <c r="G164" s="172" t="str">
        <f>IF(D164="","",VLOOKUP(D164,'G-6 Hedgerow Data'!$B$2:$AG$15,3,FALSE))</f>
        <v/>
      </c>
      <c r="H164" s="173"/>
      <c r="I164" s="172" t="str">
        <f>IFERROR(VLOOKUP(H164,'G-1 All Habitats'!$Z$2:$AA$9,2,FALSE),"")</f>
        <v/>
      </c>
      <c r="J164" s="173"/>
      <c r="K164" s="175" t="str">
        <f>IF(J164="","",IF(VLOOKUP(J164,'G-3 Multipliers'!$L$3:$N$6,2,FALSE)=0,"Spatial Data Missing",VLOOKUP(J164,'G-3 Multipliers'!$L$3:$N$6,2,FALSE)))</f>
        <v/>
      </c>
      <c r="L164" s="260" t="str">
        <f>IF(J164="","",IF(VLOOKUP(J164,'G-3 Multipliers'!$L$3:$N$6,3,FALSE)=0,"Spatial Data Missing",VLOOKUP(J164,'G-3 Multipliers'!$L$3:$N$6,3,FALSE)))</f>
        <v/>
      </c>
      <c r="M164" s="171" t="str">
        <f>IF(OR(D164="",H164=""),"",(INDEX('G-6 Hedgerow Data'!$E$3:$I$15,MATCH(D164,'G-6 Hedgerow Data'!$B$3:$B$15,0),MATCH(H164,'G-6 Hedgerow Data'!$E$2:$I$2,0))))</f>
        <v/>
      </c>
      <c r="N164" s="261"/>
      <c r="O164" s="261"/>
      <c r="P164" s="179" t="str">
        <f t="shared" si="13"/>
        <v/>
      </c>
      <c r="Q164" s="262" t="str">
        <f t="shared" si="14"/>
        <v/>
      </c>
      <c r="R164" s="263" t="str">
        <f t="shared" si="12"/>
        <v/>
      </c>
      <c r="S164" s="239" t="str">
        <f>IF(D164="","",VLOOKUP(D164,'G-6 Hedgerow Data'!$B$3:$AG$15,31,FALSE))</f>
        <v/>
      </c>
      <c r="T164" s="179" t="str">
        <f t="shared" si="15"/>
        <v/>
      </c>
      <c r="U164" s="179" t="str">
        <f t="shared" si="16"/>
        <v/>
      </c>
      <c r="V164" s="176" t="str">
        <f>IF(D164="","",VLOOKUP(S164,'G-3 Multipliers'!$P$3:$Q$6,2,FALSE))</f>
        <v/>
      </c>
      <c r="W164" s="274" t="str">
        <f t="shared" si="17"/>
        <v/>
      </c>
      <c r="X164" s="180"/>
      <c r="Y164" s="181"/>
      <c r="AG164" s="35" t="str">
        <f>IFERROR(INDEX('G-6 Hedgerow Data'!$BJ$3:$BJ$15,MATCH(D164,'G-6 Hedgerow Data'!$B$3:$B$15,0)),"")</f>
        <v/>
      </c>
    </row>
    <row r="165" spans="2:33" ht="13.8" x14ac:dyDescent="0.25">
      <c r="B165" s="168">
        <v>154</v>
      </c>
      <c r="C165" s="278"/>
      <c r="D165" s="261"/>
      <c r="E165" s="213"/>
      <c r="F165" s="277" t="str">
        <f>IF(D165="","",VLOOKUP(D165,'G-6 Hedgerow Data'!$B$2:$AG$15,2,FALSE))</f>
        <v/>
      </c>
      <c r="G165" s="172" t="str">
        <f>IF(D165="","",VLOOKUP(D165,'G-6 Hedgerow Data'!$B$2:$AG$15,3,FALSE))</f>
        <v/>
      </c>
      <c r="H165" s="173"/>
      <c r="I165" s="172" t="str">
        <f>IFERROR(VLOOKUP(H165,'G-1 All Habitats'!$Z$2:$AA$9,2,FALSE),"")</f>
        <v/>
      </c>
      <c r="J165" s="173"/>
      <c r="K165" s="175" t="str">
        <f>IF(J165="","",IF(VLOOKUP(J165,'G-3 Multipliers'!$L$3:$N$6,2,FALSE)=0,"Spatial Data Missing",VLOOKUP(J165,'G-3 Multipliers'!$L$3:$N$6,2,FALSE)))</f>
        <v/>
      </c>
      <c r="L165" s="260" t="str">
        <f>IF(J165="","",IF(VLOOKUP(J165,'G-3 Multipliers'!$L$3:$N$6,3,FALSE)=0,"Spatial Data Missing",VLOOKUP(J165,'G-3 Multipliers'!$L$3:$N$6,3,FALSE)))</f>
        <v/>
      </c>
      <c r="M165" s="171" t="str">
        <f>IF(OR(D165="",H165=""),"",(INDEX('G-6 Hedgerow Data'!$E$3:$I$15,MATCH(D165,'G-6 Hedgerow Data'!$B$3:$B$15,0),MATCH(H165,'G-6 Hedgerow Data'!$E$2:$I$2,0))))</f>
        <v/>
      </c>
      <c r="N165" s="261"/>
      <c r="O165" s="261"/>
      <c r="P165" s="179" t="str">
        <f t="shared" si="13"/>
        <v/>
      </c>
      <c r="Q165" s="262" t="str">
        <f t="shared" si="14"/>
        <v/>
      </c>
      <c r="R165" s="263" t="str">
        <f t="shared" si="12"/>
        <v/>
      </c>
      <c r="S165" s="239" t="str">
        <f>IF(D165="","",VLOOKUP(D165,'G-6 Hedgerow Data'!$B$3:$AG$15,31,FALSE))</f>
        <v/>
      </c>
      <c r="T165" s="179" t="str">
        <f t="shared" si="15"/>
        <v/>
      </c>
      <c r="U165" s="179" t="str">
        <f t="shared" si="16"/>
        <v/>
      </c>
      <c r="V165" s="176" t="str">
        <f>IF(D165="","",VLOOKUP(S165,'G-3 Multipliers'!$P$3:$Q$6,2,FALSE))</f>
        <v/>
      </c>
      <c r="W165" s="274" t="str">
        <f t="shared" si="17"/>
        <v/>
      </c>
      <c r="X165" s="180"/>
      <c r="Y165" s="181"/>
      <c r="AG165" s="35" t="str">
        <f>IFERROR(INDEX('G-6 Hedgerow Data'!$BJ$3:$BJ$15,MATCH(D165,'G-6 Hedgerow Data'!$B$3:$B$15,0)),"")</f>
        <v/>
      </c>
    </row>
    <row r="166" spans="2:33" ht="13.8" x14ac:dyDescent="0.25">
      <c r="B166" s="168">
        <v>155</v>
      </c>
      <c r="C166" s="278"/>
      <c r="D166" s="261"/>
      <c r="E166" s="213"/>
      <c r="F166" s="277" t="str">
        <f>IF(D166="","",VLOOKUP(D166,'G-6 Hedgerow Data'!$B$2:$AG$15,2,FALSE))</f>
        <v/>
      </c>
      <c r="G166" s="172" t="str">
        <f>IF(D166="","",VLOOKUP(D166,'G-6 Hedgerow Data'!$B$2:$AG$15,3,FALSE))</f>
        <v/>
      </c>
      <c r="H166" s="173"/>
      <c r="I166" s="172" t="str">
        <f>IFERROR(VLOOKUP(H166,'G-1 All Habitats'!$Z$2:$AA$9,2,FALSE),"")</f>
        <v/>
      </c>
      <c r="J166" s="173"/>
      <c r="K166" s="175" t="str">
        <f>IF(J166="","",IF(VLOOKUP(J166,'G-3 Multipliers'!$L$3:$N$6,2,FALSE)=0,"Spatial Data Missing",VLOOKUP(J166,'G-3 Multipliers'!$L$3:$N$6,2,FALSE)))</f>
        <v/>
      </c>
      <c r="L166" s="260" t="str">
        <f>IF(J166="","",IF(VLOOKUP(J166,'G-3 Multipliers'!$L$3:$N$6,3,FALSE)=0,"Spatial Data Missing",VLOOKUP(J166,'G-3 Multipliers'!$L$3:$N$6,3,FALSE)))</f>
        <v/>
      </c>
      <c r="M166" s="171" t="str">
        <f>IF(OR(D166="",H166=""),"",(INDEX('G-6 Hedgerow Data'!$E$3:$I$15,MATCH(D166,'G-6 Hedgerow Data'!$B$3:$B$15,0),MATCH(H166,'G-6 Hedgerow Data'!$E$2:$I$2,0))))</f>
        <v/>
      </c>
      <c r="N166" s="261"/>
      <c r="O166" s="261"/>
      <c r="P166" s="179" t="str">
        <f t="shared" si="13"/>
        <v/>
      </c>
      <c r="Q166" s="262" t="str">
        <f t="shared" si="14"/>
        <v/>
      </c>
      <c r="R166" s="263" t="str">
        <f t="shared" si="12"/>
        <v/>
      </c>
      <c r="S166" s="239" t="str">
        <f>IF(D166="","",VLOOKUP(D166,'G-6 Hedgerow Data'!$B$3:$AG$15,31,FALSE))</f>
        <v/>
      </c>
      <c r="T166" s="179" t="str">
        <f t="shared" si="15"/>
        <v/>
      </c>
      <c r="U166" s="179" t="str">
        <f t="shared" si="16"/>
        <v/>
      </c>
      <c r="V166" s="176" t="str">
        <f>IF(D166="","",VLOOKUP(S166,'G-3 Multipliers'!$P$3:$Q$6,2,FALSE))</f>
        <v/>
      </c>
      <c r="W166" s="274" t="str">
        <f t="shared" si="17"/>
        <v/>
      </c>
      <c r="X166" s="180"/>
      <c r="Y166" s="181"/>
      <c r="AG166" s="35" t="str">
        <f>IFERROR(INDEX('G-6 Hedgerow Data'!$BJ$3:$BJ$15,MATCH(D166,'G-6 Hedgerow Data'!$B$3:$B$15,0)),"")</f>
        <v/>
      </c>
    </row>
    <row r="167" spans="2:33" ht="13.8" x14ac:dyDescent="0.25">
      <c r="B167" s="168">
        <v>156</v>
      </c>
      <c r="C167" s="278"/>
      <c r="D167" s="261"/>
      <c r="E167" s="213"/>
      <c r="F167" s="277" t="str">
        <f>IF(D167="","",VLOOKUP(D167,'G-6 Hedgerow Data'!$B$2:$AG$15,2,FALSE))</f>
        <v/>
      </c>
      <c r="G167" s="172" t="str">
        <f>IF(D167="","",VLOOKUP(D167,'G-6 Hedgerow Data'!$B$2:$AG$15,3,FALSE))</f>
        <v/>
      </c>
      <c r="H167" s="173"/>
      <c r="I167" s="172" t="str">
        <f>IFERROR(VLOOKUP(H167,'G-1 All Habitats'!$Z$2:$AA$9,2,FALSE),"")</f>
        <v/>
      </c>
      <c r="J167" s="173"/>
      <c r="K167" s="175" t="str">
        <f>IF(J167="","",IF(VLOOKUP(J167,'G-3 Multipliers'!$L$3:$N$6,2,FALSE)=0,"Spatial Data Missing",VLOOKUP(J167,'G-3 Multipliers'!$L$3:$N$6,2,FALSE)))</f>
        <v/>
      </c>
      <c r="L167" s="260" t="str">
        <f>IF(J167="","",IF(VLOOKUP(J167,'G-3 Multipliers'!$L$3:$N$6,3,FALSE)=0,"Spatial Data Missing",VLOOKUP(J167,'G-3 Multipliers'!$L$3:$N$6,3,FALSE)))</f>
        <v/>
      </c>
      <c r="M167" s="171" t="str">
        <f>IF(OR(D167="",H167=""),"",(INDEX('G-6 Hedgerow Data'!$E$3:$I$15,MATCH(D167,'G-6 Hedgerow Data'!$B$3:$B$15,0),MATCH(H167,'G-6 Hedgerow Data'!$E$2:$I$2,0))))</f>
        <v/>
      </c>
      <c r="N167" s="261"/>
      <c r="O167" s="261"/>
      <c r="P167" s="179" t="str">
        <f t="shared" si="13"/>
        <v/>
      </c>
      <c r="Q167" s="262" t="str">
        <f t="shared" si="14"/>
        <v/>
      </c>
      <c r="R167" s="263" t="str">
        <f t="shared" si="12"/>
        <v/>
      </c>
      <c r="S167" s="239" t="str">
        <f>IF(D167="","",VLOOKUP(D167,'G-6 Hedgerow Data'!$B$3:$AG$15,31,FALSE))</f>
        <v/>
      </c>
      <c r="T167" s="179" t="str">
        <f t="shared" si="15"/>
        <v/>
      </c>
      <c r="U167" s="179" t="str">
        <f t="shared" si="16"/>
        <v/>
      </c>
      <c r="V167" s="176" t="str">
        <f>IF(D167="","",VLOOKUP(S167,'G-3 Multipliers'!$P$3:$Q$6,2,FALSE))</f>
        <v/>
      </c>
      <c r="W167" s="274" t="str">
        <f t="shared" si="17"/>
        <v/>
      </c>
      <c r="X167" s="180"/>
      <c r="Y167" s="181"/>
      <c r="AG167" s="35" t="str">
        <f>IFERROR(INDEX('G-6 Hedgerow Data'!$BJ$3:$BJ$15,MATCH(D167,'G-6 Hedgerow Data'!$B$3:$B$15,0)),"")</f>
        <v/>
      </c>
    </row>
    <row r="168" spans="2:33" ht="13.8" x14ac:dyDescent="0.25">
      <c r="B168" s="168">
        <v>157</v>
      </c>
      <c r="C168" s="278"/>
      <c r="D168" s="261"/>
      <c r="E168" s="213"/>
      <c r="F168" s="277" t="str">
        <f>IF(D168="","",VLOOKUP(D168,'G-6 Hedgerow Data'!$B$2:$AG$15,2,FALSE))</f>
        <v/>
      </c>
      <c r="G168" s="172" t="str">
        <f>IF(D168="","",VLOOKUP(D168,'G-6 Hedgerow Data'!$B$2:$AG$15,3,FALSE))</f>
        <v/>
      </c>
      <c r="H168" s="173"/>
      <c r="I168" s="172" t="str">
        <f>IFERROR(VLOOKUP(H168,'G-1 All Habitats'!$Z$2:$AA$9,2,FALSE),"")</f>
        <v/>
      </c>
      <c r="J168" s="173"/>
      <c r="K168" s="175" t="str">
        <f>IF(J168="","",IF(VLOOKUP(J168,'G-3 Multipliers'!$L$3:$N$6,2,FALSE)=0,"Spatial Data Missing",VLOOKUP(J168,'G-3 Multipliers'!$L$3:$N$6,2,FALSE)))</f>
        <v/>
      </c>
      <c r="L168" s="260" t="str">
        <f>IF(J168="","",IF(VLOOKUP(J168,'G-3 Multipliers'!$L$3:$N$6,3,FALSE)=0,"Spatial Data Missing",VLOOKUP(J168,'G-3 Multipliers'!$L$3:$N$6,3,FALSE)))</f>
        <v/>
      </c>
      <c r="M168" s="171" t="str">
        <f>IF(OR(D168="",H168=""),"",(INDEX('G-6 Hedgerow Data'!$E$3:$I$15,MATCH(D168,'G-6 Hedgerow Data'!$B$3:$B$15,0),MATCH(H168,'G-6 Hedgerow Data'!$E$2:$I$2,0))))</f>
        <v/>
      </c>
      <c r="N168" s="261"/>
      <c r="O168" s="261"/>
      <c r="P168" s="179" t="str">
        <f t="shared" si="13"/>
        <v/>
      </c>
      <c r="Q168" s="262" t="str">
        <f t="shared" si="14"/>
        <v/>
      </c>
      <c r="R168" s="263" t="str">
        <f t="shared" si="12"/>
        <v/>
      </c>
      <c r="S168" s="239" t="str">
        <f>IF(D168="","",VLOOKUP(D168,'G-6 Hedgerow Data'!$B$3:$AG$15,31,FALSE))</f>
        <v/>
      </c>
      <c r="T168" s="179" t="str">
        <f t="shared" si="15"/>
        <v/>
      </c>
      <c r="U168" s="179" t="str">
        <f t="shared" si="16"/>
        <v/>
      </c>
      <c r="V168" s="176" t="str">
        <f>IF(D168="","",VLOOKUP(S168,'G-3 Multipliers'!$P$3:$Q$6,2,FALSE))</f>
        <v/>
      </c>
      <c r="W168" s="274" t="str">
        <f t="shared" si="17"/>
        <v/>
      </c>
      <c r="X168" s="180"/>
      <c r="Y168" s="181"/>
      <c r="AG168" s="35" t="str">
        <f>IFERROR(INDEX('G-6 Hedgerow Data'!$BJ$3:$BJ$15,MATCH(D168,'G-6 Hedgerow Data'!$B$3:$B$15,0)),"")</f>
        <v/>
      </c>
    </row>
    <row r="169" spans="2:33" ht="13.8" x14ac:dyDescent="0.25">
      <c r="B169" s="168">
        <v>158</v>
      </c>
      <c r="C169" s="278"/>
      <c r="D169" s="261"/>
      <c r="E169" s="213"/>
      <c r="F169" s="277" t="str">
        <f>IF(D169="","",VLOOKUP(D169,'G-6 Hedgerow Data'!$B$2:$AG$15,2,FALSE))</f>
        <v/>
      </c>
      <c r="G169" s="172" t="str">
        <f>IF(D169="","",VLOOKUP(D169,'G-6 Hedgerow Data'!$B$2:$AG$15,3,FALSE))</f>
        <v/>
      </c>
      <c r="H169" s="173"/>
      <c r="I169" s="172" t="str">
        <f>IFERROR(VLOOKUP(H169,'G-1 All Habitats'!$Z$2:$AA$9,2,FALSE),"")</f>
        <v/>
      </c>
      <c r="J169" s="173"/>
      <c r="K169" s="175" t="str">
        <f>IF(J169="","",IF(VLOOKUP(J169,'G-3 Multipliers'!$L$3:$N$6,2,FALSE)=0,"Spatial Data Missing",VLOOKUP(J169,'G-3 Multipliers'!$L$3:$N$6,2,FALSE)))</f>
        <v/>
      </c>
      <c r="L169" s="260" t="str">
        <f>IF(J169="","",IF(VLOOKUP(J169,'G-3 Multipliers'!$L$3:$N$6,3,FALSE)=0,"Spatial Data Missing",VLOOKUP(J169,'G-3 Multipliers'!$L$3:$N$6,3,FALSE)))</f>
        <v/>
      </c>
      <c r="M169" s="171" t="str">
        <f>IF(OR(D169="",H169=""),"",(INDEX('G-6 Hedgerow Data'!$E$3:$I$15,MATCH(D169,'G-6 Hedgerow Data'!$B$3:$B$15,0),MATCH(H169,'G-6 Hedgerow Data'!$E$2:$I$2,0))))</f>
        <v/>
      </c>
      <c r="N169" s="261"/>
      <c r="O169" s="261"/>
      <c r="P169" s="179" t="str">
        <f t="shared" si="13"/>
        <v/>
      </c>
      <c r="Q169" s="262" t="str">
        <f t="shared" si="14"/>
        <v/>
      </c>
      <c r="R169" s="263" t="str">
        <f t="shared" si="12"/>
        <v/>
      </c>
      <c r="S169" s="239" t="str">
        <f>IF(D169="","",VLOOKUP(D169,'G-6 Hedgerow Data'!$B$3:$AG$15,31,FALSE))</f>
        <v/>
      </c>
      <c r="T169" s="179" t="str">
        <f t="shared" si="15"/>
        <v/>
      </c>
      <c r="U169" s="179" t="str">
        <f t="shared" si="16"/>
        <v/>
      </c>
      <c r="V169" s="176" t="str">
        <f>IF(D169="","",VLOOKUP(S169,'G-3 Multipliers'!$P$3:$Q$6,2,FALSE))</f>
        <v/>
      </c>
      <c r="W169" s="274" t="str">
        <f t="shared" si="17"/>
        <v/>
      </c>
      <c r="X169" s="180"/>
      <c r="Y169" s="181"/>
      <c r="AG169" s="35" t="str">
        <f>IFERROR(INDEX('G-6 Hedgerow Data'!$BJ$3:$BJ$15,MATCH(D169,'G-6 Hedgerow Data'!$B$3:$B$15,0)),"")</f>
        <v/>
      </c>
    </row>
    <row r="170" spans="2:33" ht="13.8" x14ac:dyDescent="0.25">
      <c r="B170" s="168">
        <v>159</v>
      </c>
      <c r="C170" s="278"/>
      <c r="D170" s="261"/>
      <c r="E170" s="213"/>
      <c r="F170" s="277" t="str">
        <f>IF(D170="","",VLOOKUP(D170,'G-6 Hedgerow Data'!$B$2:$AG$15,2,FALSE))</f>
        <v/>
      </c>
      <c r="G170" s="172" t="str">
        <f>IF(D170="","",VLOOKUP(D170,'G-6 Hedgerow Data'!$B$2:$AG$15,3,FALSE))</f>
        <v/>
      </c>
      <c r="H170" s="173"/>
      <c r="I170" s="172" t="str">
        <f>IFERROR(VLOOKUP(H170,'G-1 All Habitats'!$Z$2:$AA$9,2,FALSE),"")</f>
        <v/>
      </c>
      <c r="J170" s="173"/>
      <c r="K170" s="175" t="str">
        <f>IF(J170="","",IF(VLOOKUP(J170,'G-3 Multipliers'!$L$3:$N$6,2,FALSE)=0,"Spatial Data Missing",VLOOKUP(J170,'G-3 Multipliers'!$L$3:$N$6,2,FALSE)))</f>
        <v/>
      </c>
      <c r="L170" s="260" t="str">
        <f>IF(J170="","",IF(VLOOKUP(J170,'G-3 Multipliers'!$L$3:$N$6,3,FALSE)=0,"Spatial Data Missing",VLOOKUP(J170,'G-3 Multipliers'!$L$3:$N$6,3,FALSE)))</f>
        <v/>
      </c>
      <c r="M170" s="171" t="str">
        <f>IF(OR(D170="",H170=""),"",(INDEX('G-6 Hedgerow Data'!$E$3:$I$15,MATCH(D170,'G-6 Hedgerow Data'!$B$3:$B$15,0),MATCH(H170,'G-6 Hedgerow Data'!$E$2:$I$2,0))))</f>
        <v/>
      </c>
      <c r="N170" s="261"/>
      <c r="O170" s="261"/>
      <c r="P170" s="179" t="str">
        <f t="shared" si="13"/>
        <v/>
      </c>
      <c r="Q170" s="262" t="str">
        <f t="shared" si="14"/>
        <v/>
      </c>
      <c r="R170" s="263" t="str">
        <f t="shared" si="12"/>
        <v/>
      </c>
      <c r="S170" s="239" t="str">
        <f>IF(D170="","",VLOOKUP(D170,'G-6 Hedgerow Data'!$B$3:$AG$15,31,FALSE))</f>
        <v/>
      </c>
      <c r="T170" s="179" t="str">
        <f t="shared" si="15"/>
        <v/>
      </c>
      <c r="U170" s="179" t="str">
        <f t="shared" si="16"/>
        <v/>
      </c>
      <c r="V170" s="176" t="str">
        <f>IF(D170="","",VLOOKUP(S170,'G-3 Multipliers'!$P$3:$Q$6,2,FALSE))</f>
        <v/>
      </c>
      <c r="W170" s="274" t="str">
        <f t="shared" si="17"/>
        <v/>
      </c>
      <c r="X170" s="180"/>
      <c r="Y170" s="181"/>
      <c r="AG170" s="35" t="str">
        <f>IFERROR(INDEX('G-6 Hedgerow Data'!$BJ$3:$BJ$15,MATCH(D170,'G-6 Hedgerow Data'!$B$3:$B$15,0)),"")</f>
        <v/>
      </c>
    </row>
    <row r="171" spans="2:33" ht="13.8" x14ac:dyDescent="0.25">
      <c r="B171" s="168">
        <v>160</v>
      </c>
      <c r="C171" s="278"/>
      <c r="D171" s="261"/>
      <c r="E171" s="213"/>
      <c r="F171" s="277" t="str">
        <f>IF(D171="","",VLOOKUP(D171,'G-6 Hedgerow Data'!$B$2:$AG$15,2,FALSE))</f>
        <v/>
      </c>
      <c r="G171" s="172" t="str">
        <f>IF(D171="","",VLOOKUP(D171,'G-6 Hedgerow Data'!$B$2:$AG$15,3,FALSE))</f>
        <v/>
      </c>
      <c r="H171" s="173"/>
      <c r="I171" s="172" t="str">
        <f>IFERROR(VLOOKUP(H171,'G-1 All Habitats'!$Z$2:$AA$9,2,FALSE),"")</f>
        <v/>
      </c>
      <c r="J171" s="173"/>
      <c r="K171" s="175" t="str">
        <f>IF(J171="","",IF(VLOOKUP(J171,'G-3 Multipliers'!$L$3:$N$6,2,FALSE)=0,"Spatial Data Missing",VLOOKUP(J171,'G-3 Multipliers'!$L$3:$N$6,2,FALSE)))</f>
        <v/>
      </c>
      <c r="L171" s="260" t="str">
        <f>IF(J171="","",IF(VLOOKUP(J171,'G-3 Multipliers'!$L$3:$N$6,3,FALSE)=0,"Spatial Data Missing",VLOOKUP(J171,'G-3 Multipliers'!$L$3:$N$6,3,FALSE)))</f>
        <v/>
      </c>
      <c r="M171" s="171" t="str">
        <f>IF(OR(D171="",H171=""),"",(INDEX('G-6 Hedgerow Data'!$E$3:$I$15,MATCH(D171,'G-6 Hedgerow Data'!$B$3:$B$15,0),MATCH(H171,'G-6 Hedgerow Data'!$E$2:$I$2,0))))</f>
        <v/>
      </c>
      <c r="N171" s="261"/>
      <c r="O171" s="261"/>
      <c r="P171" s="179" t="str">
        <f t="shared" si="13"/>
        <v/>
      </c>
      <c r="Q171" s="262" t="str">
        <f t="shared" si="14"/>
        <v/>
      </c>
      <c r="R171" s="263" t="str">
        <f t="shared" si="12"/>
        <v/>
      </c>
      <c r="S171" s="239" t="str">
        <f>IF(D171="","",VLOOKUP(D171,'G-6 Hedgerow Data'!$B$3:$AG$15,31,FALSE))</f>
        <v/>
      </c>
      <c r="T171" s="179" t="str">
        <f t="shared" si="15"/>
        <v/>
      </c>
      <c r="U171" s="179" t="str">
        <f t="shared" si="16"/>
        <v/>
      </c>
      <c r="V171" s="176" t="str">
        <f>IF(D171="","",VLOOKUP(S171,'G-3 Multipliers'!$P$3:$Q$6,2,FALSE))</f>
        <v/>
      </c>
      <c r="W171" s="274" t="str">
        <f t="shared" si="17"/>
        <v/>
      </c>
      <c r="X171" s="180"/>
      <c r="Y171" s="181"/>
      <c r="AG171" s="35" t="str">
        <f>IFERROR(INDEX('G-6 Hedgerow Data'!$BJ$3:$BJ$15,MATCH(D171,'G-6 Hedgerow Data'!$B$3:$B$15,0)),"")</f>
        <v/>
      </c>
    </row>
    <row r="172" spans="2:33" ht="13.8" x14ac:dyDescent="0.25">
      <c r="B172" s="168">
        <v>161</v>
      </c>
      <c r="C172" s="278"/>
      <c r="D172" s="261"/>
      <c r="E172" s="213"/>
      <c r="F172" s="277" t="str">
        <f>IF(D172="","",VLOOKUP(D172,'G-6 Hedgerow Data'!$B$2:$AG$15,2,FALSE))</f>
        <v/>
      </c>
      <c r="G172" s="172" t="str">
        <f>IF(D172="","",VLOOKUP(D172,'G-6 Hedgerow Data'!$B$2:$AG$15,3,FALSE))</f>
        <v/>
      </c>
      <c r="H172" s="173"/>
      <c r="I172" s="172" t="str">
        <f>IFERROR(VLOOKUP(H172,'G-1 All Habitats'!$Z$2:$AA$9,2,FALSE),"")</f>
        <v/>
      </c>
      <c r="J172" s="173"/>
      <c r="K172" s="175" t="str">
        <f>IF(J172="","",IF(VLOOKUP(J172,'G-3 Multipliers'!$L$3:$N$6,2,FALSE)=0,"Spatial Data Missing",VLOOKUP(J172,'G-3 Multipliers'!$L$3:$N$6,2,FALSE)))</f>
        <v/>
      </c>
      <c r="L172" s="260" t="str">
        <f>IF(J172="","",IF(VLOOKUP(J172,'G-3 Multipliers'!$L$3:$N$6,3,FALSE)=0,"Spatial Data Missing",VLOOKUP(J172,'G-3 Multipliers'!$L$3:$N$6,3,FALSE)))</f>
        <v/>
      </c>
      <c r="M172" s="171" t="str">
        <f>IF(OR(D172="",H172=""),"",(INDEX('G-6 Hedgerow Data'!$E$3:$I$15,MATCH(D172,'G-6 Hedgerow Data'!$B$3:$B$15,0),MATCH(H172,'G-6 Hedgerow Data'!$E$2:$I$2,0))))</f>
        <v/>
      </c>
      <c r="N172" s="261"/>
      <c r="O172" s="261"/>
      <c r="P172" s="179" t="str">
        <f t="shared" si="13"/>
        <v/>
      </c>
      <c r="Q172" s="262" t="str">
        <f t="shared" si="14"/>
        <v/>
      </c>
      <c r="R172" s="263" t="str">
        <f t="shared" si="12"/>
        <v/>
      </c>
      <c r="S172" s="239" t="str">
        <f>IF(D172="","",VLOOKUP(D172,'G-6 Hedgerow Data'!$B$3:$AG$15,31,FALSE))</f>
        <v/>
      </c>
      <c r="T172" s="179" t="str">
        <f t="shared" si="15"/>
        <v/>
      </c>
      <c r="U172" s="179" t="str">
        <f t="shared" si="16"/>
        <v/>
      </c>
      <c r="V172" s="176" t="str">
        <f>IF(D172="","",VLOOKUP(S172,'G-3 Multipliers'!$P$3:$Q$6,2,FALSE))</f>
        <v/>
      </c>
      <c r="W172" s="274" t="str">
        <f t="shared" si="17"/>
        <v/>
      </c>
      <c r="X172" s="180"/>
      <c r="Y172" s="181"/>
      <c r="AG172" s="35" t="str">
        <f>IFERROR(INDEX('G-6 Hedgerow Data'!$BJ$3:$BJ$15,MATCH(D172,'G-6 Hedgerow Data'!$B$3:$B$15,0)),"")</f>
        <v/>
      </c>
    </row>
    <row r="173" spans="2:33" ht="13.8" x14ac:dyDescent="0.25">
      <c r="B173" s="168">
        <v>162</v>
      </c>
      <c r="C173" s="278"/>
      <c r="D173" s="261"/>
      <c r="E173" s="213"/>
      <c r="F173" s="277" t="str">
        <f>IF(D173="","",VLOOKUP(D173,'G-6 Hedgerow Data'!$B$2:$AG$15,2,FALSE))</f>
        <v/>
      </c>
      <c r="G173" s="172" t="str">
        <f>IF(D173="","",VLOOKUP(D173,'G-6 Hedgerow Data'!$B$2:$AG$15,3,FALSE))</f>
        <v/>
      </c>
      <c r="H173" s="173"/>
      <c r="I173" s="172" t="str">
        <f>IFERROR(VLOOKUP(H173,'G-1 All Habitats'!$Z$2:$AA$9,2,FALSE),"")</f>
        <v/>
      </c>
      <c r="J173" s="173"/>
      <c r="K173" s="175" t="str">
        <f>IF(J173="","",IF(VLOOKUP(J173,'G-3 Multipliers'!$L$3:$N$6,2,FALSE)=0,"Spatial Data Missing",VLOOKUP(J173,'G-3 Multipliers'!$L$3:$N$6,2,FALSE)))</f>
        <v/>
      </c>
      <c r="L173" s="260" t="str">
        <f>IF(J173="","",IF(VLOOKUP(J173,'G-3 Multipliers'!$L$3:$N$6,3,FALSE)=0,"Spatial Data Missing",VLOOKUP(J173,'G-3 Multipliers'!$L$3:$N$6,3,FALSE)))</f>
        <v/>
      </c>
      <c r="M173" s="171" t="str">
        <f>IF(OR(D173="",H173=""),"",(INDEX('G-6 Hedgerow Data'!$E$3:$I$15,MATCH(D173,'G-6 Hedgerow Data'!$B$3:$B$15,0),MATCH(H173,'G-6 Hedgerow Data'!$E$2:$I$2,0))))</f>
        <v/>
      </c>
      <c r="N173" s="261"/>
      <c r="O173" s="261"/>
      <c r="P173" s="179" t="str">
        <f t="shared" si="13"/>
        <v/>
      </c>
      <c r="Q173" s="262" t="str">
        <f t="shared" si="14"/>
        <v/>
      </c>
      <c r="R173" s="263" t="str">
        <f t="shared" si="12"/>
        <v/>
      </c>
      <c r="S173" s="239" t="str">
        <f>IF(D173="","",VLOOKUP(D173,'G-6 Hedgerow Data'!$B$3:$AG$15,31,FALSE))</f>
        <v/>
      </c>
      <c r="T173" s="179" t="str">
        <f t="shared" si="15"/>
        <v/>
      </c>
      <c r="U173" s="179" t="str">
        <f t="shared" si="16"/>
        <v/>
      </c>
      <c r="V173" s="176" t="str">
        <f>IF(D173="","",VLOOKUP(S173,'G-3 Multipliers'!$P$3:$Q$6,2,FALSE))</f>
        <v/>
      </c>
      <c r="W173" s="274" t="str">
        <f t="shared" si="17"/>
        <v/>
      </c>
      <c r="X173" s="180"/>
      <c r="Y173" s="181"/>
      <c r="AG173" s="35" t="str">
        <f>IFERROR(INDEX('G-6 Hedgerow Data'!$BJ$3:$BJ$15,MATCH(D173,'G-6 Hedgerow Data'!$B$3:$B$15,0)),"")</f>
        <v/>
      </c>
    </row>
    <row r="174" spans="2:33" ht="13.8" x14ac:dyDescent="0.25">
      <c r="B174" s="168">
        <v>163</v>
      </c>
      <c r="C174" s="278"/>
      <c r="D174" s="261"/>
      <c r="E174" s="213"/>
      <c r="F174" s="277" t="str">
        <f>IF(D174="","",VLOOKUP(D174,'G-6 Hedgerow Data'!$B$2:$AG$15,2,FALSE))</f>
        <v/>
      </c>
      <c r="G174" s="172" t="str">
        <f>IF(D174="","",VLOOKUP(D174,'G-6 Hedgerow Data'!$B$2:$AG$15,3,FALSE))</f>
        <v/>
      </c>
      <c r="H174" s="173"/>
      <c r="I174" s="172" t="str">
        <f>IFERROR(VLOOKUP(H174,'G-1 All Habitats'!$Z$2:$AA$9,2,FALSE),"")</f>
        <v/>
      </c>
      <c r="J174" s="173"/>
      <c r="K174" s="175" t="str">
        <f>IF(J174="","",IF(VLOOKUP(J174,'G-3 Multipliers'!$L$3:$N$6,2,FALSE)=0,"Spatial Data Missing",VLOOKUP(J174,'G-3 Multipliers'!$L$3:$N$6,2,FALSE)))</f>
        <v/>
      </c>
      <c r="L174" s="260" t="str">
        <f>IF(J174="","",IF(VLOOKUP(J174,'G-3 Multipliers'!$L$3:$N$6,3,FALSE)=0,"Spatial Data Missing",VLOOKUP(J174,'G-3 Multipliers'!$L$3:$N$6,3,FALSE)))</f>
        <v/>
      </c>
      <c r="M174" s="171" t="str">
        <f>IF(OR(D174="",H174=""),"",(INDEX('G-6 Hedgerow Data'!$E$3:$I$15,MATCH(D174,'G-6 Hedgerow Data'!$B$3:$B$15,0),MATCH(H174,'G-6 Hedgerow Data'!$E$2:$I$2,0))))</f>
        <v/>
      </c>
      <c r="N174" s="261"/>
      <c r="O174" s="261"/>
      <c r="P174" s="179" t="str">
        <f t="shared" si="13"/>
        <v/>
      </c>
      <c r="Q174" s="262" t="str">
        <f t="shared" si="14"/>
        <v/>
      </c>
      <c r="R174" s="263" t="str">
        <f t="shared" si="12"/>
        <v/>
      </c>
      <c r="S174" s="239" t="str">
        <f>IF(D174="","",VLOOKUP(D174,'G-6 Hedgerow Data'!$B$3:$AG$15,31,FALSE))</f>
        <v/>
      </c>
      <c r="T174" s="179" t="str">
        <f t="shared" si="15"/>
        <v/>
      </c>
      <c r="U174" s="179" t="str">
        <f t="shared" si="16"/>
        <v/>
      </c>
      <c r="V174" s="176" t="str">
        <f>IF(D174="","",VLOOKUP(S174,'G-3 Multipliers'!$P$3:$Q$6,2,FALSE))</f>
        <v/>
      </c>
      <c r="W174" s="274" t="str">
        <f t="shared" si="17"/>
        <v/>
      </c>
      <c r="X174" s="180"/>
      <c r="Y174" s="181"/>
      <c r="AG174" s="35" t="str">
        <f>IFERROR(INDEX('G-6 Hedgerow Data'!$BJ$3:$BJ$15,MATCH(D174,'G-6 Hedgerow Data'!$B$3:$B$15,0)),"")</f>
        <v/>
      </c>
    </row>
    <row r="175" spans="2:33" ht="13.8" x14ac:dyDescent="0.25">
      <c r="B175" s="168">
        <v>164</v>
      </c>
      <c r="C175" s="278"/>
      <c r="D175" s="261"/>
      <c r="E175" s="213"/>
      <c r="F175" s="277" t="str">
        <f>IF(D175="","",VLOOKUP(D175,'G-6 Hedgerow Data'!$B$2:$AG$15,2,FALSE))</f>
        <v/>
      </c>
      <c r="G175" s="172" t="str">
        <f>IF(D175="","",VLOOKUP(D175,'G-6 Hedgerow Data'!$B$2:$AG$15,3,FALSE))</f>
        <v/>
      </c>
      <c r="H175" s="173"/>
      <c r="I175" s="172" t="str">
        <f>IFERROR(VLOOKUP(H175,'G-1 All Habitats'!$Z$2:$AA$9,2,FALSE),"")</f>
        <v/>
      </c>
      <c r="J175" s="173"/>
      <c r="K175" s="175" t="str">
        <f>IF(J175="","",IF(VLOOKUP(J175,'G-3 Multipliers'!$L$3:$N$6,2,FALSE)=0,"Spatial Data Missing",VLOOKUP(J175,'G-3 Multipliers'!$L$3:$N$6,2,FALSE)))</f>
        <v/>
      </c>
      <c r="L175" s="260" t="str">
        <f>IF(J175="","",IF(VLOOKUP(J175,'G-3 Multipliers'!$L$3:$N$6,3,FALSE)=0,"Spatial Data Missing",VLOOKUP(J175,'G-3 Multipliers'!$L$3:$N$6,3,FALSE)))</f>
        <v/>
      </c>
      <c r="M175" s="171" t="str">
        <f>IF(OR(D175="",H175=""),"",(INDEX('G-6 Hedgerow Data'!$E$3:$I$15,MATCH(D175,'G-6 Hedgerow Data'!$B$3:$B$15,0),MATCH(H175,'G-6 Hedgerow Data'!$E$2:$I$2,0))))</f>
        <v/>
      </c>
      <c r="N175" s="261"/>
      <c r="O175" s="261"/>
      <c r="P175" s="179" t="str">
        <f t="shared" si="13"/>
        <v/>
      </c>
      <c r="Q175" s="262" t="str">
        <f t="shared" si="14"/>
        <v/>
      </c>
      <c r="R175" s="263" t="str">
        <f t="shared" si="12"/>
        <v/>
      </c>
      <c r="S175" s="239" t="str">
        <f>IF(D175="","",VLOOKUP(D175,'G-6 Hedgerow Data'!$B$3:$AG$15,31,FALSE))</f>
        <v/>
      </c>
      <c r="T175" s="179" t="str">
        <f t="shared" si="15"/>
        <v/>
      </c>
      <c r="U175" s="179" t="str">
        <f t="shared" si="16"/>
        <v/>
      </c>
      <c r="V175" s="176" t="str">
        <f>IF(D175="","",VLOOKUP(S175,'G-3 Multipliers'!$P$3:$Q$6,2,FALSE))</f>
        <v/>
      </c>
      <c r="W175" s="274" t="str">
        <f t="shared" si="17"/>
        <v/>
      </c>
      <c r="X175" s="180"/>
      <c r="Y175" s="181"/>
      <c r="AG175" s="35" t="str">
        <f>IFERROR(INDEX('G-6 Hedgerow Data'!$BJ$3:$BJ$15,MATCH(D175,'G-6 Hedgerow Data'!$B$3:$B$15,0)),"")</f>
        <v/>
      </c>
    </row>
    <row r="176" spans="2:33" ht="13.8" x14ac:dyDescent="0.25">
      <c r="B176" s="168">
        <v>165</v>
      </c>
      <c r="C176" s="278"/>
      <c r="D176" s="261"/>
      <c r="E176" s="213"/>
      <c r="F176" s="277" t="str">
        <f>IF(D176="","",VLOOKUP(D176,'G-6 Hedgerow Data'!$B$2:$AG$15,2,FALSE))</f>
        <v/>
      </c>
      <c r="G176" s="172" t="str">
        <f>IF(D176="","",VLOOKUP(D176,'G-6 Hedgerow Data'!$B$2:$AG$15,3,FALSE))</f>
        <v/>
      </c>
      <c r="H176" s="173"/>
      <c r="I176" s="172" t="str">
        <f>IFERROR(VLOOKUP(H176,'G-1 All Habitats'!$Z$2:$AA$9,2,FALSE),"")</f>
        <v/>
      </c>
      <c r="J176" s="173"/>
      <c r="K176" s="175" t="str">
        <f>IF(J176="","",IF(VLOOKUP(J176,'G-3 Multipliers'!$L$3:$N$6,2,FALSE)=0,"Spatial Data Missing",VLOOKUP(J176,'G-3 Multipliers'!$L$3:$N$6,2,FALSE)))</f>
        <v/>
      </c>
      <c r="L176" s="260" t="str">
        <f>IF(J176="","",IF(VLOOKUP(J176,'G-3 Multipliers'!$L$3:$N$6,3,FALSE)=0,"Spatial Data Missing",VLOOKUP(J176,'G-3 Multipliers'!$L$3:$N$6,3,FALSE)))</f>
        <v/>
      </c>
      <c r="M176" s="171" t="str">
        <f>IF(OR(D176="",H176=""),"",(INDEX('G-6 Hedgerow Data'!$E$3:$I$15,MATCH(D176,'G-6 Hedgerow Data'!$B$3:$B$15,0),MATCH(H176,'G-6 Hedgerow Data'!$E$2:$I$2,0))))</f>
        <v/>
      </c>
      <c r="N176" s="261"/>
      <c r="O176" s="261"/>
      <c r="P176" s="179" t="str">
        <f t="shared" si="13"/>
        <v/>
      </c>
      <c r="Q176" s="262" t="str">
        <f t="shared" si="14"/>
        <v/>
      </c>
      <c r="R176" s="263" t="str">
        <f t="shared" si="12"/>
        <v/>
      </c>
      <c r="S176" s="239" t="str">
        <f>IF(D176="","",VLOOKUP(D176,'G-6 Hedgerow Data'!$B$3:$AG$15,31,FALSE))</f>
        <v/>
      </c>
      <c r="T176" s="179" t="str">
        <f t="shared" si="15"/>
        <v/>
      </c>
      <c r="U176" s="179" t="str">
        <f t="shared" si="16"/>
        <v/>
      </c>
      <c r="V176" s="176" t="str">
        <f>IF(D176="","",VLOOKUP(S176,'G-3 Multipliers'!$P$3:$Q$6,2,FALSE))</f>
        <v/>
      </c>
      <c r="W176" s="274" t="str">
        <f t="shared" si="17"/>
        <v/>
      </c>
      <c r="X176" s="180"/>
      <c r="Y176" s="181"/>
      <c r="AG176" s="35" t="str">
        <f>IFERROR(INDEX('G-6 Hedgerow Data'!$BJ$3:$BJ$15,MATCH(D176,'G-6 Hedgerow Data'!$B$3:$B$15,0)),"")</f>
        <v/>
      </c>
    </row>
    <row r="177" spans="2:33" ht="13.8" x14ac:dyDescent="0.25">
      <c r="B177" s="168">
        <v>166</v>
      </c>
      <c r="C177" s="278"/>
      <c r="D177" s="261"/>
      <c r="E177" s="213"/>
      <c r="F177" s="277" t="str">
        <f>IF(D177="","",VLOOKUP(D177,'G-6 Hedgerow Data'!$B$2:$AG$15,2,FALSE))</f>
        <v/>
      </c>
      <c r="G177" s="172" t="str">
        <f>IF(D177="","",VLOOKUP(D177,'G-6 Hedgerow Data'!$B$2:$AG$15,3,FALSE))</f>
        <v/>
      </c>
      <c r="H177" s="173"/>
      <c r="I177" s="172" t="str">
        <f>IFERROR(VLOOKUP(H177,'G-1 All Habitats'!$Z$2:$AA$9,2,FALSE),"")</f>
        <v/>
      </c>
      <c r="J177" s="173"/>
      <c r="K177" s="175" t="str">
        <f>IF(J177="","",IF(VLOOKUP(J177,'G-3 Multipliers'!$L$3:$N$6,2,FALSE)=0,"Spatial Data Missing",VLOOKUP(J177,'G-3 Multipliers'!$L$3:$N$6,2,FALSE)))</f>
        <v/>
      </c>
      <c r="L177" s="260" t="str">
        <f>IF(J177="","",IF(VLOOKUP(J177,'G-3 Multipliers'!$L$3:$N$6,3,FALSE)=0,"Spatial Data Missing",VLOOKUP(J177,'G-3 Multipliers'!$L$3:$N$6,3,FALSE)))</f>
        <v/>
      </c>
      <c r="M177" s="171" t="str">
        <f>IF(OR(D177="",H177=""),"",(INDEX('G-6 Hedgerow Data'!$E$3:$I$15,MATCH(D177,'G-6 Hedgerow Data'!$B$3:$B$15,0),MATCH(H177,'G-6 Hedgerow Data'!$E$2:$I$2,0))))</f>
        <v/>
      </c>
      <c r="N177" s="261"/>
      <c r="O177" s="261"/>
      <c r="P177" s="179" t="str">
        <f t="shared" si="13"/>
        <v/>
      </c>
      <c r="Q177" s="262" t="str">
        <f t="shared" si="14"/>
        <v/>
      </c>
      <c r="R177" s="263" t="str">
        <f t="shared" si="12"/>
        <v/>
      </c>
      <c r="S177" s="239" t="str">
        <f>IF(D177="","",VLOOKUP(D177,'G-6 Hedgerow Data'!$B$3:$AG$15,31,FALSE))</f>
        <v/>
      </c>
      <c r="T177" s="179" t="str">
        <f t="shared" si="15"/>
        <v/>
      </c>
      <c r="U177" s="179" t="str">
        <f t="shared" si="16"/>
        <v/>
      </c>
      <c r="V177" s="176" t="str">
        <f>IF(D177="","",VLOOKUP(S177,'G-3 Multipliers'!$P$3:$Q$6,2,FALSE))</f>
        <v/>
      </c>
      <c r="W177" s="274" t="str">
        <f t="shared" si="17"/>
        <v/>
      </c>
      <c r="X177" s="180"/>
      <c r="Y177" s="181"/>
      <c r="AG177" s="35" t="str">
        <f>IFERROR(INDEX('G-6 Hedgerow Data'!$BJ$3:$BJ$15,MATCH(D177,'G-6 Hedgerow Data'!$B$3:$B$15,0)),"")</f>
        <v/>
      </c>
    </row>
    <row r="178" spans="2:33" ht="13.8" x14ac:dyDescent="0.25">
      <c r="B178" s="168">
        <v>167</v>
      </c>
      <c r="C178" s="278"/>
      <c r="D178" s="261"/>
      <c r="E178" s="213"/>
      <c r="F178" s="277" t="str">
        <f>IF(D178="","",VLOOKUP(D178,'G-6 Hedgerow Data'!$B$2:$AG$15,2,FALSE))</f>
        <v/>
      </c>
      <c r="G178" s="172" t="str">
        <f>IF(D178="","",VLOOKUP(D178,'G-6 Hedgerow Data'!$B$2:$AG$15,3,FALSE))</f>
        <v/>
      </c>
      <c r="H178" s="173"/>
      <c r="I178" s="172" t="str">
        <f>IFERROR(VLOOKUP(H178,'G-1 All Habitats'!$Z$2:$AA$9,2,FALSE),"")</f>
        <v/>
      </c>
      <c r="J178" s="173"/>
      <c r="K178" s="175" t="str">
        <f>IF(J178="","",IF(VLOOKUP(J178,'G-3 Multipliers'!$L$3:$N$6,2,FALSE)=0,"Spatial Data Missing",VLOOKUP(J178,'G-3 Multipliers'!$L$3:$N$6,2,FALSE)))</f>
        <v/>
      </c>
      <c r="L178" s="260" t="str">
        <f>IF(J178="","",IF(VLOOKUP(J178,'G-3 Multipliers'!$L$3:$N$6,3,FALSE)=0,"Spatial Data Missing",VLOOKUP(J178,'G-3 Multipliers'!$L$3:$N$6,3,FALSE)))</f>
        <v/>
      </c>
      <c r="M178" s="171" t="str">
        <f>IF(OR(D178="",H178=""),"",(INDEX('G-6 Hedgerow Data'!$E$3:$I$15,MATCH(D178,'G-6 Hedgerow Data'!$B$3:$B$15,0),MATCH(H178,'G-6 Hedgerow Data'!$E$2:$I$2,0))))</f>
        <v/>
      </c>
      <c r="N178" s="261"/>
      <c r="O178" s="261"/>
      <c r="P178" s="179" t="str">
        <f t="shared" si="13"/>
        <v/>
      </c>
      <c r="Q178" s="262" t="str">
        <f t="shared" si="14"/>
        <v/>
      </c>
      <c r="R178" s="263" t="str">
        <f t="shared" si="12"/>
        <v/>
      </c>
      <c r="S178" s="239" t="str">
        <f>IF(D178="","",VLOOKUP(D178,'G-6 Hedgerow Data'!$B$3:$AG$15,31,FALSE))</f>
        <v/>
      </c>
      <c r="T178" s="179" t="str">
        <f t="shared" si="15"/>
        <v/>
      </c>
      <c r="U178" s="179" t="str">
        <f t="shared" si="16"/>
        <v/>
      </c>
      <c r="V178" s="176" t="str">
        <f>IF(D178="","",VLOOKUP(S178,'G-3 Multipliers'!$P$3:$Q$6,2,FALSE))</f>
        <v/>
      </c>
      <c r="W178" s="274" t="str">
        <f t="shared" si="17"/>
        <v/>
      </c>
      <c r="X178" s="180"/>
      <c r="Y178" s="181"/>
      <c r="AG178" s="35" t="str">
        <f>IFERROR(INDEX('G-6 Hedgerow Data'!$BJ$3:$BJ$15,MATCH(D178,'G-6 Hedgerow Data'!$B$3:$B$15,0)),"")</f>
        <v/>
      </c>
    </row>
    <row r="179" spans="2:33" ht="13.8" x14ac:dyDescent="0.25">
      <c r="B179" s="168">
        <v>168</v>
      </c>
      <c r="C179" s="278"/>
      <c r="D179" s="261"/>
      <c r="E179" s="213"/>
      <c r="F179" s="277" t="str">
        <f>IF(D179="","",VLOOKUP(D179,'G-6 Hedgerow Data'!$B$2:$AG$15,2,FALSE))</f>
        <v/>
      </c>
      <c r="G179" s="172" t="str">
        <f>IF(D179="","",VLOOKUP(D179,'G-6 Hedgerow Data'!$B$2:$AG$15,3,FALSE))</f>
        <v/>
      </c>
      <c r="H179" s="173"/>
      <c r="I179" s="172" t="str">
        <f>IFERROR(VLOOKUP(H179,'G-1 All Habitats'!$Z$2:$AA$9,2,FALSE),"")</f>
        <v/>
      </c>
      <c r="J179" s="173"/>
      <c r="K179" s="175" t="str">
        <f>IF(J179="","",IF(VLOOKUP(J179,'G-3 Multipliers'!$L$3:$N$6,2,FALSE)=0,"Spatial Data Missing",VLOOKUP(J179,'G-3 Multipliers'!$L$3:$N$6,2,FALSE)))</f>
        <v/>
      </c>
      <c r="L179" s="260" t="str">
        <f>IF(J179="","",IF(VLOOKUP(J179,'G-3 Multipliers'!$L$3:$N$6,3,FALSE)=0,"Spatial Data Missing",VLOOKUP(J179,'G-3 Multipliers'!$L$3:$N$6,3,FALSE)))</f>
        <v/>
      </c>
      <c r="M179" s="171" t="str">
        <f>IF(OR(D179="",H179=""),"",(INDEX('G-6 Hedgerow Data'!$E$3:$I$15,MATCH(D179,'G-6 Hedgerow Data'!$B$3:$B$15,0),MATCH(H179,'G-6 Hedgerow Data'!$E$2:$I$2,0))))</f>
        <v/>
      </c>
      <c r="N179" s="261"/>
      <c r="O179" s="261"/>
      <c r="P179" s="179" t="str">
        <f t="shared" si="13"/>
        <v/>
      </c>
      <c r="Q179" s="262" t="str">
        <f t="shared" si="14"/>
        <v/>
      </c>
      <c r="R179" s="263" t="str">
        <f t="shared" si="12"/>
        <v/>
      </c>
      <c r="S179" s="239" t="str">
        <f>IF(D179="","",VLOOKUP(D179,'G-6 Hedgerow Data'!$B$3:$AG$15,31,FALSE))</f>
        <v/>
      </c>
      <c r="T179" s="179" t="str">
        <f t="shared" si="15"/>
        <v/>
      </c>
      <c r="U179" s="179" t="str">
        <f t="shared" si="16"/>
        <v/>
      </c>
      <c r="V179" s="176" t="str">
        <f>IF(D179="","",VLOOKUP(S179,'G-3 Multipliers'!$P$3:$Q$6,2,FALSE))</f>
        <v/>
      </c>
      <c r="W179" s="274" t="str">
        <f t="shared" si="17"/>
        <v/>
      </c>
      <c r="X179" s="180"/>
      <c r="Y179" s="181"/>
      <c r="AG179" s="35" t="str">
        <f>IFERROR(INDEX('G-6 Hedgerow Data'!$BJ$3:$BJ$15,MATCH(D179,'G-6 Hedgerow Data'!$B$3:$B$15,0)),"")</f>
        <v/>
      </c>
    </row>
    <row r="180" spans="2:33" ht="13.8" x14ac:dyDescent="0.25">
      <c r="B180" s="168">
        <v>169</v>
      </c>
      <c r="C180" s="278"/>
      <c r="D180" s="261"/>
      <c r="E180" s="213"/>
      <c r="F180" s="277" t="str">
        <f>IF(D180="","",VLOOKUP(D180,'G-6 Hedgerow Data'!$B$2:$AG$15,2,FALSE))</f>
        <v/>
      </c>
      <c r="G180" s="172" t="str">
        <f>IF(D180="","",VLOOKUP(D180,'G-6 Hedgerow Data'!$B$2:$AG$15,3,FALSE))</f>
        <v/>
      </c>
      <c r="H180" s="173"/>
      <c r="I180" s="172" t="str">
        <f>IFERROR(VLOOKUP(H180,'G-1 All Habitats'!$Z$2:$AA$9,2,FALSE),"")</f>
        <v/>
      </c>
      <c r="J180" s="173"/>
      <c r="K180" s="175" t="str">
        <f>IF(J180="","",IF(VLOOKUP(J180,'G-3 Multipliers'!$L$3:$N$6,2,FALSE)=0,"Spatial Data Missing",VLOOKUP(J180,'G-3 Multipliers'!$L$3:$N$6,2,FALSE)))</f>
        <v/>
      </c>
      <c r="L180" s="260" t="str">
        <f>IF(J180="","",IF(VLOOKUP(J180,'G-3 Multipliers'!$L$3:$N$6,3,FALSE)=0,"Spatial Data Missing",VLOOKUP(J180,'G-3 Multipliers'!$L$3:$N$6,3,FALSE)))</f>
        <v/>
      </c>
      <c r="M180" s="171" t="str">
        <f>IF(OR(D180="",H180=""),"",(INDEX('G-6 Hedgerow Data'!$E$3:$I$15,MATCH(D180,'G-6 Hedgerow Data'!$B$3:$B$15,0),MATCH(H180,'G-6 Hedgerow Data'!$E$2:$I$2,0))))</f>
        <v/>
      </c>
      <c r="N180" s="261"/>
      <c r="O180" s="261"/>
      <c r="P180" s="179" t="str">
        <f t="shared" si="13"/>
        <v/>
      </c>
      <c r="Q180" s="262" t="str">
        <f t="shared" si="14"/>
        <v/>
      </c>
      <c r="R180" s="263" t="str">
        <f t="shared" si="12"/>
        <v/>
      </c>
      <c r="S180" s="239" t="str">
        <f>IF(D180="","",VLOOKUP(D180,'G-6 Hedgerow Data'!$B$3:$AG$15,31,FALSE))</f>
        <v/>
      </c>
      <c r="T180" s="179" t="str">
        <f t="shared" si="15"/>
        <v/>
      </c>
      <c r="U180" s="179" t="str">
        <f t="shared" si="16"/>
        <v/>
      </c>
      <c r="V180" s="176" t="str">
        <f>IF(D180="","",VLOOKUP(S180,'G-3 Multipliers'!$P$3:$Q$6,2,FALSE))</f>
        <v/>
      </c>
      <c r="W180" s="274" t="str">
        <f t="shared" si="17"/>
        <v/>
      </c>
      <c r="X180" s="180"/>
      <c r="Y180" s="181"/>
      <c r="AG180" s="35" t="str">
        <f>IFERROR(INDEX('G-6 Hedgerow Data'!$BJ$3:$BJ$15,MATCH(D180,'G-6 Hedgerow Data'!$B$3:$B$15,0)),"")</f>
        <v/>
      </c>
    </row>
    <row r="181" spans="2:33" ht="13.8" x14ac:dyDescent="0.25">
      <c r="B181" s="168">
        <v>170</v>
      </c>
      <c r="C181" s="278"/>
      <c r="D181" s="261"/>
      <c r="E181" s="213"/>
      <c r="F181" s="277" t="str">
        <f>IF(D181="","",VLOOKUP(D181,'G-6 Hedgerow Data'!$B$2:$AG$15,2,FALSE))</f>
        <v/>
      </c>
      <c r="G181" s="172" t="str">
        <f>IF(D181="","",VLOOKUP(D181,'G-6 Hedgerow Data'!$B$2:$AG$15,3,FALSE))</f>
        <v/>
      </c>
      <c r="H181" s="173"/>
      <c r="I181" s="172" t="str">
        <f>IFERROR(VLOOKUP(H181,'G-1 All Habitats'!$Z$2:$AA$9,2,FALSE),"")</f>
        <v/>
      </c>
      <c r="J181" s="173"/>
      <c r="K181" s="175" t="str">
        <f>IF(J181="","",IF(VLOOKUP(J181,'G-3 Multipliers'!$L$3:$N$6,2,FALSE)=0,"Spatial Data Missing",VLOOKUP(J181,'G-3 Multipliers'!$L$3:$N$6,2,FALSE)))</f>
        <v/>
      </c>
      <c r="L181" s="260" t="str">
        <f>IF(J181="","",IF(VLOOKUP(J181,'G-3 Multipliers'!$L$3:$N$6,3,FALSE)=0,"Spatial Data Missing",VLOOKUP(J181,'G-3 Multipliers'!$L$3:$N$6,3,FALSE)))</f>
        <v/>
      </c>
      <c r="M181" s="171" t="str">
        <f>IF(OR(D181="",H181=""),"",(INDEX('G-6 Hedgerow Data'!$E$3:$I$15,MATCH(D181,'G-6 Hedgerow Data'!$B$3:$B$15,0),MATCH(H181,'G-6 Hedgerow Data'!$E$2:$I$2,0))))</f>
        <v/>
      </c>
      <c r="N181" s="261"/>
      <c r="O181" s="261"/>
      <c r="P181" s="179" t="str">
        <f t="shared" si="13"/>
        <v/>
      </c>
      <c r="Q181" s="262" t="str">
        <f t="shared" si="14"/>
        <v/>
      </c>
      <c r="R181" s="263" t="str">
        <f t="shared" si="12"/>
        <v/>
      </c>
      <c r="S181" s="239" t="str">
        <f>IF(D181="","",VLOOKUP(D181,'G-6 Hedgerow Data'!$B$3:$AG$15,31,FALSE))</f>
        <v/>
      </c>
      <c r="T181" s="179" t="str">
        <f t="shared" si="15"/>
        <v/>
      </c>
      <c r="U181" s="179" t="str">
        <f t="shared" si="16"/>
        <v/>
      </c>
      <c r="V181" s="176" t="str">
        <f>IF(D181="","",VLOOKUP(S181,'G-3 Multipliers'!$P$3:$Q$6,2,FALSE))</f>
        <v/>
      </c>
      <c r="W181" s="274" t="str">
        <f t="shared" si="17"/>
        <v/>
      </c>
      <c r="X181" s="180"/>
      <c r="Y181" s="181"/>
      <c r="AG181" s="35" t="str">
        <f>IFERROR(INDEX('G-6 Hedgerow Data'!$BJ$3:$BJ$15,MATCH(D181,'G-6 Hedgerow Data'!$B$3:$B$15,0)),"")</f>
        <v/>
      </c>
    </row>
    <row r="182" spans="2:33" ht="13.8" x14ac:dyDescent="0.25">
      <c r="B182" s="168">
        <v>171</v>
      </c>
      <c r="C182" s="278"/>
      <c r="D182" s="261"/>
      <c r="E182" s="213"/>
      <c r="F182" s="277" t="str">
        <f>IF(D182="","",VLOOKUP(D182,'G-6 Hedgerow Data'!$B$2:$AG$15,2,FALSE))</f>
        <v/>
      </c>
      <c r="G182" s="172" t="str">
        <f>IF(D182="","",VLOOKUP(D182,'G-6 Hedgerow Data'!$B$2:$AG$15,3,FALSE))</f>
        <v/>
      </c>
      <c r="H182" s="173"/>
      <c r="I182" s="172" t="str">
        <f>IFERROR(VLOOKUP(H182,'G-1 All Habitats'!$Z$2:$AA$9,2,FALSE),"")</f>
        <v/>
      </c>
      <c r="J182" s="173"/>
      <c r="K182" s="175" t="str">
        <f>IF(J182="","",IF(VLOOKUP(J182,'G-3 Multipliers'!$L$3:$N$6,2,FALSE)=0,"Spatial Data Missing",VLOOKUP(J182,'G-3 Multipliers'!$L$3:$N$6,2,FALSE)))</f>
        <v/>
      </c>
      <c r="L182" s="260" t="str">
        <f>IF(J182="","",IF(VLOOKUP(J182,'G-3 Multipliers'!$L$3:$N$6,3,FALSE)=0,"Spatial Data Missing",VLOOKUP(J182,'G-3 Multipliers'!$L$3:$N$6,3,FALSE)))</f>
        <v/>
      </c>
      <c r="M182" s="171" t="str">
        <f>IF(OR(D182="",H182=""),"",(INDEX('G-6 Hedgerow Data'!$E$3:$I$15,MATCH(D182,'G-6 Hedgerow Data'!$B$3:$B$15,0),MATCH(H182,'G-6 Hedgerow Data'!$E$2:$I$2,0))))</f>
        <v/>
      </c>
      <c r="N182" s="261"/>
      <c r="O182" s="261"/>
      <c r="P182" s="179" t="str">
        <f t="shared" si="13"/>
        <v/>
      </c>
      <c r="Q182" s="262" t="str">
        <f t="shared" si="14"/>
        <v/>
      </c>
      <c r="R182" s="263" t="str">
        <f t="shared" si="12"/>
        <v/>
      </c>
      <c r="S182" s="239" t="str">
        <f>IF(D182="","",VLOOKUP(D182,'G-6 Hedgerow Data'!$B$3:$AG$15,31,FALSE))</f>
        <v/>
      </c>
      <c r="T182" s="179" t="str">
        <f t="shared" si="15"/>
        <v/>
      </c>
      <c r="U182" s="179" t="str">
        <f t="shared" si="16"/>
        <v/>
      </c>
      <c r="V182" s="176" t="str">
        <f>IF(D182="","",VLOOKUP(S182,'G-3 Multipliers'!$P$3:$Q$6,2,FALSE))</f>
        <v/>
      </c>
      <c r="W182" s="274" t="str">
        <f t="shared" si="17"/>
        <v/>
      </c>
      <c r="X182" s="180"/>
      <c r="Y182" s="181"/>
      <c r="AG182" s="35" t="str">
        <f>IFERROR(INDEX('G-6 Hedgerow Data'!$BJ$3:$BJ$15,MATCH(D182,'G-6 Hedgerow Data'!$B$3:$B$15,0)),"")</f>
        <v/>
      </c>
    </row>
    <row r="183" spans="2:33" ht="13.8" x14ac:dyDescent="0.25">
      <c r="B183" s="168">
        <v>172</v>
      </c>
      <c r="C183" s="278"/>
      <c r="D183" s="261"/>
      <c r="E183" s="213"/>
      <c r="F183" s="277" t="str">
        <f>IF(D183="","",VLOOKUP(D183,'G-6 Hedgerow Data'!$B$2:$AG$15,2,FALSE))</f>
        <v/>
      </c>
      <c r="G183" s="172" t="str">
        <f>IF(D183="","",VLOOKUP(D183,'G-6 Hedgerow Data'!$B$2:$AG$15,3,FALSE))</f>
        <v/>
      </c>
      <c r="H183" s="173"/>
      <c r="I183" s="172" t="str">
        <f>IFERROR(VLOOKUP(H183,'G-1 All Habitats'!$Z$2:$AA$9,2,FALSE),"")</f>
        <v/>
      </c>
      <c r="J183" s="173"/>
      <c r="K183" s="175" t="str">
        <f>IF(J183="","",IF(VLOOKUP(J183,'G-3 Multipliers'!$L$3:$N$6,2,FALSE)=0,"Spatial Data Missing",VLOOKUP(J183,'G-3 Multipliers'!$L$3:$N$6,2,FALSE)))</f>
        <v/>
      </c>
      <c r="L183" s="260" t="str">
        <f>IF(J183="","",IF(VLOOKUP(J183,'G-3 Multipliers'!$L$3:$N$6,3,FALSE)=0,"Spatial Data Missing",VLOOKUP(J183,'G-3 Multipliers'!$L$3:$N$6,3,FALSE)))</f>
        <v/>
      </c>
      <c r="M183" s="171" t="str">
        <f>IF(OR(D183="",H183=""),"",(INDEX('G-6 Hedgerow Data'!$E$3:$I$15,MATCH(D183,'G-6 Hedgerow Data'!$B$3:$B$15,0),MATCH(H183,'G-6 Hedgerow Data'!$E$2:$I$2,0))))</f>
        <v/>
      </c>
      <c r="N183" s="261"/>
      <c r="O183" s="261"/>
      <c r="P183" s="179" t="str">
        <f t="shared" si="13"/>
        <v/>
      </c>
      <c r="Q183" s="262" t="str">
        <f t="shared" si="14"/>
        <v/>
      </c>
      <c r="R183" s="263" t="str">
        <f t="shared" si="12"/>
        <v/>
      </c>
      <c r="S183" s="239" t="str">
        <f>IF(D183="","",VLOOKUP(D183,'G-6 Hedgerow Data'!$B$3:$AG$15,31,FALSE))</f>
        <v/>
      </c>
      <c r="T183" s="179" t="str">
        <f t="shared" si="15"/>
        <v/>
      </c>
      <c r="U183" s="179" t="str">
        <f t="shared" si="16"/>
        <v/>
      </c>
      <c r="V183" s="176" t="str">
        <f>IF(D183="","",VLOOKUP(S183,'G-3 Multipliers'!$P$3:$Q$6,2,FALSE))</f>
        <v/>
      </c>
      <c r="W183" s="274" t="str">
        <f t="shared" si="17"/>
        <v/>
      </c>
      <c r="X183" s="180"/>
      <c r="Y183" s="181"/>
      <c r="AG183" s="35" t="str">
        <f>IFERROR(INDEX('G-6 Hedgerow Data'!$BJ$3:$BJ$15,MATCH(D183,'G-6 Hedgerow Data'!$B$3:$B$15,0)),"")</f>
        <v/>
      </c>
    </row>
    <row r="184" spans="2:33" ht="13.8" x14ac:dyDescent="0.25">
      <c r="B184" s="168">
        <v>173</v>
      </c>
      <c r="C184" s="278"/>
      <c r="D184" s="261"/>
      <c r="E184" s="213"/>
      <c r="F184" s="277" t="str">
        <f>IF(D184="","",VLOOKUP(D184,'G-6 Hedgerow Data'!$B$2:$AG$15,2,FALSE))</f>
        <v/>
      </c>
      <c r="G184" s="172" t="str">
        <f>IF(D184="","",VLOOKUP(D184,'G-6 Hedgerow Data'!$B$2:$AG$15,3,FALSE))</f>
        <v/>
      </c>
      <c r="H184" s="173"/>
      <c r="I184" s="172" t="str">
        <f>IFERROR(VLOOKUP(H184,'G-1 All Habitats'!$Z$2:$AA$9,2,FALSE),"")</f>
        <v/>
      </c>
      <c r="J184" s="173"/>
      <c r="K184" s="175" t="str">
        <f>IF(J184="","",IF(VLOOKUP(J184,'G-3 Multipliers'!$L$3:$N$6,2,FALSE)=0,"Spatial Data Missing",VLOOKUP(J184,'G-3 Multipliers'!$L$3:$N$6,2,FALSE)))</f>
        <v/>
      </c>
      <c r="L184" s="260" t="str">
        <f>IF(J184="","",IF(VLOOKUP(J184,'G-3 Multipliers'!$L$3:$N$6,3,FALSE)=0,"Spatial Data Missing",VLOOKUP(J184,'G-3 Multipliers'!$L$3:$N$6,3,FALSE)))</f>
        <v/>
      </c>
      <c r="M184" s="171" t="str">
        <f>IF(OR(D184="",H184=""),"",(INDEX('G-6 Hedgerow Data'!$E$3:$I$15,MATCH(D184,'G-6 Hedgerow Data'!$B$3:$B$15,0),MATCH(H184,'G-6 Hedgerow Data'!$E$2:$I$2,0))))</f>
        <v/>
      </c>
      <c r="N184" s="261"/>
      <c r="O184" s="261"/>
      <c r="P184" s="179" t="str">
        <f t="shared" si="13"/>
        <v/>
      </c>
      <c r="Q184" s="262" t="str">
        <f t="shared" si="14"/>
        <v/>
      </c>
      <c r="R184" s="263" t="str">
        <f t="shared" si="12"/>
        <v/>
      </c>
      <c r="S184" s="239" t="str">
        <f>IF(D184="","",VLOOKUP(D184,'G-6 Hedgerow Data'!$B$3:$AG$15,31,FALSE))</f>
        <v/>
      </c>
      <c r="T184" s="179" t="str">
        <f t="shared" si="15"/>
        <v/>
      </c>
      <c r="U184" s="179" t="str">
        <f t="shared" si="16"/>
        <v/>
      </c>
      <c r="V184" s="176" t="str">
        <f>IF(D184="","",VLOOKUP(S184,'G-3 Multipliers'!$P$3:$Q$6,2,FALSE))</f>
        <v/>
      </c>
      <c r="W184" s="274" t="str">
        <f t="shared" si="17"/>
        <v/>
      </c>
      <c r="X184" s="180"/>
      <c r="Y184" s="181"/>
      <c r="AG184" s="35" t="str">
        <f>IFERROR(INDEX('G-6 Hedgerow Data'!$BJ$3:$BJ$15,MATCH(D184,'G-6 Hedgerow Data'!$B$3:$B$15,0)),"")</f>
        <v/>
      </c>
    </row>
    <row r="185" spans="2:33" ht="13.8" x14ac:dyDescent="0.25">
      <c r="B185" s="168">
        <v>174</v>
      </c>
      <c r="C185" s="278"/>
      <c r="D185" s="261"/>
      <c r="E185" s="213"/>
      <c r="F185" s="277" t="str">
        <f>IF(D185="","",VLOOKUP(D185,'G-6 Hedgerow Data'!$B$2:$AG$15,2,FALSE))</f>
        <v/>
      </c>
      <c r="G185" s="172" t="str">
        <f>IF(D185="","",VLOOKUP(D185,'G-6 Hedgerow Data'!$B$2:$AG$15,3,FALSE))</f>
        <v/>
      </c>
      <c r="H185" s="173"/>
      <c r="I185" s="172" t="str">
        <f>IFERROR(VLOOKUP(H185,'G-1 All Habitats'!$Z$2:$AA$9,2,FALSE),"")</f>
        <v/>
      </c>
      <c r="J185" s="173"/>
      <c r="K185" s="175" t="str">
        <f>IF(J185="","",IF(VLOOKUP(J185,'G-3 Multipliers'!$L$3:$N$6,2,FALSE)=0,"Spatial Data Missing",VLOOKUP(J185,'G-3 Multipliers'!$L$3:$N$6,2,FALSE)))</f>
        <v/>
      </c>
      <c r="L185" s="260" t="str">
        <f>IF(J185="","",IF(VLOOKUP(J185,'G-3 Multipliers'!$L$3:$N$6,3,FALSE)=0,"Spatial Data Missing",VLOOKUP(J185,'G-3 Multipliers'!$L$3:$N$6,3,FALSE)))</f>
        <v/>
      </c>
      <c r="M185" s="171" t="str">
        <f>IF(OR(D185="",H185=""),"",(INDEX('G-6 Hedgerow Data'!$E$3:$I$15,MATCH(D185,'G-6 Hedgerow Data'!$B$3:$B$15,0),MATCH(H185,'G-6 Hedgerow Data'!$E$2:$I$2,0))))</f>
        <v/>
      </c>
      <c r="N185" s="261"/>
      <c r="O185" s="261"/>
      <c r="P185" s="179" t="str">
        <f t="shared" si="13"/>
        <v/>
      </c>
      <c r="Q185" s="262" t="str">
        <f t="shared" si="14"/>
        <v/>
      </c>
      <c r="R185" s="263" t="str">
        <f t="shared" si="12"/>
        <v/>
      </c>
      <c r="S185" s="239" t="str">
        <f>IF(D185="","",VLOOKUP(D185,'G-6 Hedgerow Data'!$B$3:$AG$15,31,FALSE))</f>
        <v/>
      </c>
      <c r="T185" s="179" t="str">
        <f t="shared" si="15"/>
        <v/>
      </c>
      <c r="U185" s="179" t="str">
        <f t="shared" si="16"/>
        <v/>
      </c>
      <c r="V185" s="176" t="str">
        <f>IF(D185="","",VLOOKUP(S185,'G-3 Multipliers'!$P$3:$Q$6,2,FALSE))</f>
        <v/>
      </c>
      <c r="W185" s="274" t="str">
        <f t="shared" si="17"/>
        <v/>
      </c>
      <c r="X185" s="180"/>
      <c r="Y185" s="181"/>
      <c r="AG185" s="35" t="str">
        <f>IFERROR(INDEX('G-6 Hedgerow Data'!$BJ$3:$BJ$15,MATCH(D185,'G-6 Hedgerow Data'!$B$3:$B$15,0)),"")</f>
        <v/>
      </c>
    </row>
    <row r="186" spans="2:33" ht="13.8" x14ac:dyDescent="0.25">
      <c r="B186" s="168">
        <v>175</v>
      </c>
      <c r="C186" s="278"/>
      <c r="D186" s="261"/>
      <c r="E186" s="213"/>
      <c r="F186" s="277" t="str">
        <f>IF(D186="","",VLOOKUP(D186,'G-6 Hedgerow Data'!$B$2:$AG$15,2,FALSE))</f>
        <v/>
      </c>
      <c r="G186" s="172" t="str">
        <f>IF(D186="","",VLOOKUP(D186,'G-6 Hedgerow Data'!$B$2:$AG$15,3,FALSE))</f>
        <v/>
      </c>
      <c r="H186" s="173"/>
      <c r="I186" s="172" t="str">
        <f>IFERROR(VLOOKUP(H186,'G-1 All Habitats'!$Z$2:$AA$9,2,FALSE),"")</f>
        <v/>
      </c>
      <c r="J186" s="173"/>
      <c r="K186" s="175" t="str">
        <f>IF(J186="","",IF(VLOOKUP(J186,'G-3 Multipliers'!$L$3:$N$6,2,FALSE)=0,"Spatial Data Missing",VLOOKUP(J186,'G-3 Multipliers'!$L$3:$N$6,2,FALSE)))</f>
        <v/>
      </c>
      <c r="L186" s="260" t="str">
        <f>IF(J186="","",IF(VLOOKUP(J186,'G-3 Multipliers'!$L$3:$N$6,3,FALSE)=0,"Spatial Data Missing",VLOOKUP(J186,'G-3 Multipliers'!$L$3:$N$6,3,FALSE)))</f>
        <v/>
      </c>
      <c r="M186" s="171" t="str">
        <f>IF(OR(D186="",H186=""),"",(INDEX('G-6 Hedgerow Data'!$E$3:$I$15,MATCH(D186,'G-6 Hedgerow Data'!$B$3:$B$15,0),MATCH(H186,'G-6 Hedgerow Data'!$E$2:$I$2,0))))</f>
        <v/>
      </c>
      <c r="N186" s="261"/>
      <c r="O186" s="261"/>
      <c r="P186" s="179" t="str">
        <f t="shared" si="13"/>
        <v/>
      </c>
      <c r="Q186" s="262" t="str">
        <f t="shared" si="14"/>
        <v/>
      </c>
      <c r="R186" s="263" t="str">
        <f t="shared" si="12"/>
        <v/>
      </c>
      <c r="S186" s="239" t="str">
        <f>IF(D186="","",VLOOKUP(D186,'G-6 Hedgerow Data'!$B$3:$AG$15,31,FALSE))</f>
        <v/>
      </c>
      <c r="T186" s="179" t="str">
        <f t="shared" si="15"/>
        <v/>
      </c>
      <c r="U186" s="179" t="str">
        <f t="shared" si="16"/>
        <v/>
      </c>
      <c r="V186" s="176" t="str">
        <f>IF(D186="","",VLOOKUP(S186,'G-3 Multipliers'!$P$3:$Q$6,2,FALSE))</f>
        <v/>
      </c>
      <c r="W186" s="274" t="str">
        <f t="shared" si="17"/>
        <v/>
      </c>
      <c r="X186" s="180"/>
      <c r="Y186" s="181"/>
      <c r="AG186" s="35" t="str">
        <f>IFERROR(INDEX('G-6 Hedgerow Data'!$BJ$3:$BJ$15,MATCH(D186,'G-6 Hedgerow Data'!$B$3:$B$15,0)),"")</f>
        <v/>
      </c>
    </row>
    <row r="187" spans="2:33" ht="13.8" x14ac:dyDescent="0.25">
      <c r="B187" s="168">
        <v>176</v>
      </c>
      <c r="C187" s="278"/>
      <c r="D187" s="261"/>
      <c r="E187" s="213"/>
      <c r="F187" s="277" t="str">
        <f>IF(D187="","",VLOOKUP(D187,'G-6 Hedgerow Data'!$B$2:$AG$15,2,FALSE))</f>
        <v/>
      </c>
      <c r="G187" s="172" t="str">
        <f>IF(D187="","",VLOOKUP(D187,'G-6 Hedgerow Data'!$B$2:$AG$15,3,FALSE))</f>
        <v/>
      </c>
      <c r="H187" s="173"/>
      <c r="I187" s="172" t="str">
        <f>IFERROR(VLOOKUP(H187,'G-1 All Habitats'!$Z$2:$AA$9,2,FALSE),"")</f>
        <v/>
      </c>
      <c r="J187" s="173"/>
      <c r="K187" s="175" t="str">
        <f>IF(J187="","",IF(VLOOKUP(J187,'G-3 Multipliers'!$L$3:$N$6,2,FALSE)=0,"Spatial Data Missing",VLOOKUP(J187,'G-3 Multipliers'!$L$3:$N$6,2,FALSE)))</f>
        <v/>
      </c>
      <c r="L187" s="260" t="str">
        <f>IF(J187="","",IF(VLOOKUP(J187,'G-3 Multipliers'!$L$3:$N$6,3,FALSE)=0,"Spatial Data Missing",VLOOKUP(J187,'G-3 Multipliers'!$L$3:$N$6,3,FALSE)))</f>
        <v/>
      </c>
      <c r="M187" s="171" t="str">
        <f>IF(OR(D187="",H187=""),"",(INDEX('G-6 Hedgerow Data'!$E$3:$I$15,MATCH(D187,'G-6 Hedgerow Data'!$B$3:$B$15,0),MATCH(H187,'G-6 Hedgerow Data'!$E$2:$I$2,0))))</f>
        <v/>
      </c>
      <c r="N187" s="261"/>
      <c r="O187" s="261"/>
      <c r="P187" s="179" t="str">
        <f t="shared" si="13"/>
        <v/>
      </c>
      <c r="Q187" s="262" t="str">
        <f t="shared" si="14"/>
        <v/>
      </c>
      <c r="R187" s="263" t="str">
        <f t="shared" si="12"/>
        <v/>
      </c>
      <c r="S187" s="239" t="str">
        <f>IF(D187="","",VLOOKUP(D187,'G-6 Hedgerow Data'!$B$3:$AG$15,31,FALSE))</f>
        <v/>
      </c>
      <c r="T187" s="179" t="str">
        <f t="shared" si="15"/>
        <v/>
      </c>
      <c r="U187" s="179" t="str">
        <f t="shared" si="16"/>
        <v/>
      </c>
      <c r="V187" s="176" t="str">
        <f>IF(D187="","",VLOOKUP(S187,'G-3 Multipliers'!$P$3:$Q$6,2,FALSE))</f>
        <v/>
      </c>
      <c r="W187" s="274" t="str">
        <f t="shared" si="17"/>
        <v/>
      </c>
      <c r="X187" s="180"/>
      <c r="Y187" s="181"/>
      <c r="AG187" s="35" t="str">
        <f>IFERROR(INDEX('G-6 Hedgerow Data'!$BJ$3:$BJ$15,MATCH(D187,'G-6 Hedgerow Data'!$B$3:$B$15,0)),"")</f>
        <v/>
      </c>
    </row>
    <row r="188" spans="2:33" ht="13.8" x14ac:dyDescent="0.25">
      <c r="B188" s="168">
        <v>177</v>
      </c>
      <c r="C188" s="278"/>
      <c r="D188" s="261"/>
      <c r="E188" s="213"/>
      <c r="F188" s="277" t="str">
        <f>IF(D188="","",VLOOKUP(D188,'G-6 Hedgerow Data'!$B$2:$AG$15,2,FALSE))</f>
        <v/>
      </c>
      <c r="G188" s="172" t="str">
        <f>IF(D188="","",VLOOKUP(D188,'G-6 Hedgerow Data'!$B$2:$AG$15,3,FALSE))</f>
        <v/>
      </c>
      <c r="H188" s="173"/>
      <c r="I188" s="172" t="str">
        <f>IFERROR(VLOOKUP(H188,'G-1 All Habitats'!$Z$2:$AA$9,2,FALSE),"")</f>
        <v/>
      </c>
      <c r="J188" s="173"/>
      <c r="K188" s="175" t="str">
        <f>IF(J188="","",IF(VLOOKUP(J188,'G-3 Multipliers'!$L$3:$N$6,2,FALSE)=0,"Spatial Data Missing",VLOOKUP(J188,'G-3 Multipliers'!$L$3:$N$6,2,FALSE)))</f>
        <v/>
      </c>
      <c r="L188" s="260" t="str">
        <f>IF(J188="","",IF(VLOOKUP(J188,'G-3 Multipliers'!$L$3:$N$6,3,FALSE)=0,"Spatial Data Missing",VLOOKUP(J188,'G-3 Multipliers'!$L$3:$N$6,3,FALSE)))</f>
        <v/>
      </c>
      <c r="M188" s="171" t="str">
        <f>IF(OR(D188="",H188=""),"",(INDEX('G-6 Hedgerow Data'!$E$3:$I$15,MATCH(D188,'G-6 Hedgerow Data'!$B$3:$B$15,0),MATCH(H188,'G-6 Hedgerow Data'!$E$2:$I$2,0))))</f>
        <v/>
      </c>
      <c r="N188" s="261"/>
      <c r="O188" s="261"/>
      <c r="P188" s="179" t="str">
        <f t="shared" si="13"/>
        <v/>
      </c>
      <c r="Q188" s="262" t="str">
        <f t="shared" si="14"/>
        <v/>
      </c>
      <c r="R188" s="263" t="str">
        <f t="shared" si="12"/>
        <v/>
      </c>
      <c r="S188" s="239" t="str">
        <f>IF(D188="","",VLOOKUP(D188,'G-6 Hedgerow Data'!$B$3:$AG$15,31,FALSE))</f>
        <v/>
      </c>
      <c r="T188" s="179" t="str">
        <f t="shared" si="15"/>
        <v/>
      </c>
      <c r="U188" s="179" t="str">
        <f t="shared" si="16"/>
        <v/>
      </c>
      <c r="V188" s="176" t="str">
        <f>IF(D188="","",VLOOKUP(S188,'G-3 Multipliers'!$P$3:$Q$6,2,FALSE))</f>
        <v/>
      </c>
      <c r="W188" s="274" t="str">
        <f t="shared" si="17"/>
        <v/>
      </c>
      <c r="X188" s="180"/>
      <c r="Y188" s="181"/>
      <c r="AG188" s="35" t="str">
        <f>IFERROR(INDEX('G-6 Hedgerow Data'!$BJ$3:$BJ$15,MATCH(D188,'G-6 Hedgerow Data'!$B$3:$B$15,0)),"")</f>
        <v/>
      </c>
    </row>
    <row r="189" spans="2:33" ht="13.8" x14ac:dyDescent="0.25">
      <c r="B189" s="168">
        <v>178</v>
      </c>
      <c r="C189" s="278"/>
      <c r="D189" s="261"/>
      <c r="E189" s="213"/>
      <c r="F189" s="277" t="str">
        <f>IF(D189="","",VLOOKUP(D189,'G-6 Hedgerow Data'!$B$2:$AG$15,2,FALSE))</f>
        <v/>
      </c>
      <c r="G189" s="172" t="str">
        <f>IF(D189="","",VLOOKUP(D189,'G-6 Hedgerow Data'!$B$2:$AG$15,3,FALSE))</f>
        <v/>
      </c>
      <c r="H189" s="173"/>
      <c r="I189" s="172" t="str">
        <f>IFERROR(VLOOKUP(H189,'G-1 All Habitats'!$Z$2:$AA$9,2,FALSE),"")</f>
        <v/>
      </c>
      <c r="J189" s="173"/>
      <c r="K189" s="175" t="str">
        <f>IF(J189="","",IF(VLOOKUP(J189,'G-3 Multipliers'!$L$3:$N$6,2,FALSE)=0,"Spatial Data Missing",VLOOKUP(J189,'G-3 Multipliers'!$L$3:$N$6,2,FALSE)))</f>
        <v/>
      </c>
      <c r="L189" s="260" t="str">
        <f>IF(J189="","",IF(VLOOKUP(J189,'G-3 Multipliers'!$L$3:$N$6,3,FALSE)=0,"Spatial Data Missing",VLOOKUP(J189,'G-3 Multipliers'!$L$3:$N$6,3,FALSE)))</f>
        <v/>
      </c>
      <c r="M189" s="171" t="str">
        <f>IF(OR(D189="",H189=""),"",(INDEX('G-6 Hedgerow Data'!$E$3:$I$15,MATCH(D189,'G-6 Hedgerow Data'!$B$3:$B$15,0),MATCH(H189,'G-6 Hedgerow Data'!$E$2:$I$2,0))))</f>
        <v/>
      </c>
      <c r="N189" s="261"/>
      <c r="O189" s="261"/>
      <c r="P189" s="179" t="str">
        <f t="shared" si="13"/>
        <v/>
      </c>
      <c r="Q189" s="262" t="str">
        <f t="shared" si="14"/>
        <v/>
      </c>
      <c r="R189" s="263" t="str">
        <f t="shared" si="12"/>
        <v/>
      </c>
      <c r="S189" s="239" t="str">
        <f>IF(D189="","",VLOOKUP(D189,'G-6 Hedgerow Data'!$B$3:$AG$15,31,FALSE))</f>
        <v/>
      </c>
      <c r="T189" s="179" t="str">
        <f t="shared" si="15"/>
        <v/>
      </c>
      <c r="U189" s="179" t="str">
        <f t="shared" si="16"/>
        <v/>
      </c>
      <c r="V189" s="176" t="str">
        <f>IF(D189="","",VLOOKUP(S189,'G-3 Multipliers'!$P$3:$Q$6,2,FALSE))</f>
        <v/>
      </c>
      <c r="W189" s="274" t="str">
        <f t="shared" si="17"/>
        <v/>
      </c>
      <c r="X189" s="180"/>
      <c r="Y189" s="181"/>
      <c r="AG189" s="35" t="str">
        <f>IFERROR(INDEX('G-6 Hedgerow Data'!$BJ$3:$BJ$15,MATCH(D189,'G-6 Hedgerow Data'!$B$3:$B$15,0)),"")</f>
        <v/>
      </c>
    </row>
    <row r="190" spans="2:33" ht="13.8" x14ac:dyDescent="0.25">
      <c r="B190" s="168">
        <v>179</v>
      </c>
      <c r="C190" s="278"/>
      <c r="D190" s="261"/>
      <c r="E190" s="213"/>
      <c r="F190" s="277" t="str">
        <f>IF(D190="","",VLOOKUP(D190,'G-6 Hedgerow Data'!$B$2:$AG$15,2,FALSE))</f>
        <v/>
      </c>
      <c r="G190" s="172" t="str">
        <f>IF(D190="","",VLOOKUP(D190,'G-6 Hedgerow Data'!$B$2:$AG$15,3,FALSE))</f>
        <v/>
      </c>
      <c r="H190" s="173"/>
      <c r="I190" s="172" t="str">
        <f>IFERROR(VLOOKUP(H190,'G-1 All Habitats'!$Z$2:$AA$9,2,FALSE),"")</f>
        <v/>
      </c>
      <c r="J190" s="173"/>
      <c r="K190" s="175" t="str">
        <f>IF(J190="","",IF(VLOOKUP(J190,'G-3 Multipliers'!$L$3:$N$6,2,FALSE)=0,"Spatial Data Missing",VLOOKUP(J190,'G-3 Multipliers'!$L$3:$N$6,2,FALSE)))</f>
        <v/>
      </c>
      <c r="L190" s="260" t="str">
        <f>IF(J190="","",IF(VLOOKUP(J190,'G-3 Multipliers'!$L$3:$N$6,3,FALSE)=0,"Spatial Data Missing",VLOOKUP(J190,'G-3 Multipliers'!$L$3:$N$6,3,FALSE)))</f>
        <v/>
      </c>
      <c r="M190" s="171" t="str">
        <f>IF(OR(D190="",H190=""),"",(INDEX('G-6 Hedgerow Data'!$E$3:$I$15,MATCH(D190,'G-6 Hedgerow Data'!$B$3:$B$15,0),MATCH(H190,'G-6 Hedgerow Data'!$E$2:$I$2,0))))</f>
        <v/>
      </c>
      <c r="N190" s="261"/>
      <c r="O190" s="261"/>
      <c r="P190" s="179" t="str">
        <f t="shared" si="13"/>
        <v/>
      </c>
      <c r="Q190" s="262" t="str">
        <f t="shared" si="14"/>
        <v/>
      </c>
      <c r="R190" s="263" t="str">
        <f t="shared" si="12"/>
        <v/>
      </c>
      <c r="S190" s="239" t="str">
        <f>IF(D190="","",VLOOKUP(D190,'G-6 Hedgerow Data'!$B$3:$AG$15,31,FALSE))</f>
        <v/>
      </c>
      <c r="T190" s="179" t="str">
        <f t="shared" si="15"/>
        <v/>
      </c>
      <c r="U190" s="179" t="str">
        <f t="shared" si="16"/>
        <v/>
      </c>
      <c r="V190" s="176" t="str">
        <f>IF(D190="","",VLOOKUP(S190,'G-3 Multipliers'!$P$3:$Q$6,2,FALSE))</f>
        <v/>
      </c>
      <c r="W190" s="274" t="str">
        <f t="shared" si="17"/>
        <v/>
      </c>
      <c r="X190" s="180"/>
      <c r="Y190" s="181"/>
      <c r="AG190" s="35" t="str">
        <f>IFERROR(INDEX('G-6 Hedgerow Data'!$BJ$3:$BJ$15,MATCH(D190,'G-6 Hedgerow Data'!$B$3:$B$15,0)),"")</f>
        <v/>
      </c>
    </row>
    <row r="191" spans="2:33" ht="13.8" x14ac:dyDescent="0.25">
      <c r="B191" s="168">
        <v>180</v>
      </c>
      <c r="C191" s="278"/>
      <c r="D191" s="261"/>
      <c r="E191" s="213"/>
      <c r="F191" s="277" t="str">
        <f>IF(D191="","",VLOOKUP(D191,'G-6 Hedgerow Data'!$B$2:$AG$15,2,FALSE))</f>
        <v/>
      </c>
      <c r="G191" s="172" t="str">
        <f>IF(D191="","",VLOOKUP(D191,'G-6 Hedgerow Data'!$B$2:$AG$15,3,FALSE))</f>
        <v/>
      </c>
      <c r="H191" s="173"/>
      <c r="I191" s="172" t="str">
        <f>IFERROR(VLOOKUP(H191,'G-1 All Habitats'!$Z$2:$AA$9,2,FALSE),"")</f>
        <v/>
      </c>
      <c r="J191" s="173"/>
      <c r="K191" s="175" t="str">
        <f>IF(J191="","",IF(VLOOKUP(J191,'G-3 Multipliers'!$L$3:$N$6,2,FALSE)=0,"Spatial Data Missing",VLOOKUP(J191,'G-3 Multipliers'!$L$3:$N$6,2,FALSE)))</f>
        <v/>
      </c>
      <c r="L191" s="260" t="str">
        <f>IF(J191="","",IF(VLOOKUP(J191,'G-3 Multipliers'!$L$3:$N$6,3,FALSE)=0,"Spatial Data Missing",VLOOKUP(J191,'G-3 Multipliers'!$L$3:$N$6,3,FALSE)))</f>
        <v/>
      </c>
      <c r="M191" s="171" t="str">
        <f>IF(OR(D191="",H191=""),"",(INDEX('G-6 Hedgerow Data'!$E$3:$I$15,MATCH(D191,'G-6 Hedgerow Data'!$B$3:$B$15,0),MATCH(H191,'G-6 Hedgerow Data'!$E$2:$I$2,0))))</f>
        <v/>
      </c>
      <c r="N191" s="261"/>
      <c r="O191" s="261"/>
      <c r="P191" s="179" t="str">
        <f t="shared" si="13"/>
        <v/>
      </c>
      <c r="Q191" s="262" t="str">
        <f t="shared" si="14"/>
        <v/>
      </c>
      <c r="R191" s="263" t="str">
        <f t="shared" si="12"/>
        <v/>
      </c>
      <c r="S191" s="239" t="str">
        <f>IF(D191="","",VLOOKUP(D191,'G-6 Hedgerow Data'!$B$3:$AG$15,31,FALSE))</f>
        <v/>
      </c>
      <c r="T191" s="179" t="str">
        <f t="shared" si="15"/>
        <v/>
      </c>
      <c r="U191" s="179" t="str">
        <f t="shared" si="16"/>
        <v/>
      </c>
      <c r="V191" s="176" t="str">
        <f>IF(D191="","",VLOOKUP(S191,'G-3 Multipliers'!$P$3:$Q$6,2,FALSE))</f>
        <v/>
      </c>
      <c r="W191" s="274" t="str">
        <f t="shared" si="17"/>
        <v/>
      </c>
      <c r="X191" s="180"/>
      <c r="Y191" s="181"/>
      <c r="AG191" s="35" t="str">
        <f>IFERROR(INDEX('G-6 Hedgerow Data'!$BJ$3:$BJ$15,MATCH(D191,'G-6 Hedgerow Data'!$B$3:$B$15,0)),"")</f>
        <v/>
      </c>
    </row>
    <row r="192" spans="2:33" ht="13.8" x14ac:dyDescent="0.25">
      <c r="B192" s="168">
        <v>181</v>
      </c>
      <c r="C192" s="278"/>
      <c r="D192" s="261"/>
      <c r="E192" s="213"/>
      <c r="F192" s="277" t="str">
        <f>IF(D192="","",VLOOKUP(D192,'G-6 Hedgerow Data'!$B$2:$AG$15,2,FALSE))</f>
        <v/>
      </c>
      <c r="G192" s="172" t="str">
        <f>IF(D192="","",VLOOKUP(D192,'G-6 Hedgerow Data'!$B$2:$AG$15,3,FALSE))</f>
        <v/>
      </c>
      <c r="H192" s="173"/>
      <c r="I192" s="172" t="str">
        <f>IFERROR(VLOOKUP(H192,'G-1 All Habitats'!$Z$2:$AA$9,2,FALSE),"")</f>
        <v/>
      </c>
      <c r="J192" s="173"/>
      <c r="K192" s="175" t="str">
        <f>IF(J192="","",IF(VLOOKUP(J192,'G-3 Multipliers'!$L$3:$N$6,2,FALSE)=0,"Spatial Data Missing",VLOOKUP(J192,'G-3 Multipliers'!$L$3:$N$6,2,FALSE)))</f>
        <v/>
      </c>
      <c r="L192" s="260" t="str">
        <f>IF(J192="","",IF(VLOOKUP(J192,'G-3 Multipliers'!$L$3:$N$6,3,FALSE)=0,"Spatial Data Missing",VLOOKUP(J192,'G-3 Multipliers'!$L$3:$N$6,3,FALSE)))</f>
        <v/>
      </c>
      <c r="M192" s="171" t="str">
        <f>IF(OR(D192="",H192=""),"",(INDEX('G-6 Hedgerow Data'!$E$3:$I$15,MATCH(D192,'G-6 Hedgerow Data'!$B$3:$B$15,0),MATCH(H192,'G-6 Hedgerow Data'!$E$2:$I$2,0))))</f>
        <v/>
      </c>
      <c r="N192" s="261"/>
      <c r="O192" s="261"/>
      <c r="P192" s="179" t="str">
        <f t="shared" si="13"/>
        <v/>
      </c>
      <c r="Q192" s="262" t="str">
        <f t="shared" si="14"/>
        <v/>
      </c>
      <c r="R192" s="263" t="str">
        <f t="shared" si="12"/>
        <v/>
      </c>
      <c r="S192" s="239" t="str">
        <f>IF(D192="","",VLOOKUP(D192,'G-6 Hedgerow Data'!$B$3:$AG$15,31,FALSE))</f>
        <v/>
      </c>
      <c r="T192" s="179" t="str">
        <f t="shared" si="15"/>
        <v/>
      </c>
      <c r="U192" s="179" t="str">
        <f t="shared" si="16"/>
        <v/>
      </c>
      <c r="V192" s="176" t="str">
        <f>IF(D192="","",VLOOKUP(S192,'G-3 Multipliers'!$P$3:$Q$6,2,FALSE))</f>
        <v/>
      </c>
      <c r="W192" s="274" t="str">
        <f t="shared" si="17"/>
        <v/>
      </c>
      <c r="X192" s="180"/>
      <c r="Y192" s="181"/>
      <c r="AG192" s="35" t="str">
        <f>IFERROR(INDEX('G-6 Hedgerow Data'!$BJ$3:$BJ$15,MATCH(D192,'G-6 Hedgerow Data'!$B$3:$B$15,0)),"")</f>
        <v/>
      </c>
    </row>
    <row r="193" spans="2:33" ht="13.8" x14ac:dyDescent="0.25">
      <c r="B193" s="168">
        <v>182</v>
      </c>
      <c r="C193" s="278"/>
      <c r="D193" s="261"/>
      <c r="E193" s="213"/>
      <c r="F193" s="277" t="str">
        <f>IF(D193="","",VLOOKUP(D193,'G-6 Hedgerow Data'!$B$2:$AG$15,2,FALSE))</f>
        <v/>
      </c>
      <c r="G193" s="172" t="str">
        <f>IF(D193="","",VLOOKUP(D193,'G-6 Hedgerow Data'!$B$2:$AG$15,3,FALSE))</f>
        <v/>
      </c>
      <c r="H193" s="173"/>
      <c r="I193" s="172" t="str">
        <f>IFERROR(VLOOKUP(H193,'G-1 All Habitats'!$Z$2:$AA$9,2,FALSE),"")</f>
        <v/>
      </c>
      <c r="J193" s="173"/>
      <c r="K193" s="175" t="str">
        <f>IF(J193="","",IF(VLOOKUP(J193,'G-3 Multipliers'!$L$3:$N$6,2,FALSE)=0,"Spatial Data Missing",VLOOKUP(J193,'G-3 Multipliers'!$L$3:$N$6,2,FALSE)))</f>
        <v/>
      </c>
      <c r="L193" s="260" t="str">
        <f>IF(J193="","",IF(VLOOKUP(J193,'G-3 Multipliers'!$L$3:$N$6,3,FALSE)=0,"Spatial Data Missing",VLOOKUP(J193,'G-3 Multipliers'!$L$3:$N$6,3,FALSE)))</f>
        <v/>
      </c>
      <c r="M193" s="171" t="str">
        <f>IF(OR(D193="",H193=""),"",(INDEX('G-6 Hedgerow Data'!$E$3:$I$15,MATCH(D193,'G-6 Hedgerow Data'!$B$3:$B$15,0),MATCH(H193,'G-6 Hedgerow Data'!$E$2:$I$2,0))))</f>
        <v/>
      </c>
      <c r="N193" s="261"/>
      <c r="O193" s="261"/>
      <c r="P193" s="179" t="str">
        <f t="shared" si="13"/>
        <v/>
      </c>
      <c r="Q193" s="262" t="str">
        <f t="shared" si="14"/>
        <v/>
      </c>
      <c r="R193" s="263" t="str">
        <f t="shared" si="12"/>
        <v/>
      </c>
      <c r="S193" s="239" t="str">
        <f>IF(D193="","",VLOOKUP(D193,'G-6 Hedgerow Data'!$B$3:$AG$15,31,FALSE))</f>
        <v/>
      </c>
      <c r="T193" s="179" t="str">
        <f t="shared" si="15"/>
        <v/>
      </c>
      <c r="U193" s="179" t="str">
        <f t="shared" si="16"/>
        <v/>
      </c>
      <c r="V193" s="176" t="str">
        <f>IF(D193="","",VLOOKUP(S193,'G-3 Multipliers'!$P$3:$Q$6,2,FALSE))</f>
        <v/>
      </c>
      <c r="W193" s="274" t="str">
        <f t="shared" si="17"/>
        <v/>
      </c>
      <c r="X193" s="180"/>
      <c r="Y193" s="181"/>
      <c r="AG193" s="35" t="str">
        <f>IFERROR(INDEX('G-6 Hedgerow Data'!$BJ$3:$BJ$15,MATCH(D193,'G-6 Hedgerow Data'!$B$3:$B$15,0)),"")</f>
        <v/>
      </c>
    </row>
    <row r="194" spans="2:33" ht="13.8" x14ac:dyDescent="0.25">
      <c r="B194" s="168">
        <v>183</v>
      </c>
      <c r="C194" s="278"/>
      <c r="D194" s="261"/>
      <c r="E194" s="213"/>
      <c r="F194" s="277" t="str">
        <f>IF(D194="","",VLOOKUP(D194,'G-6 Hedgerow Data'!$B$2:$AG$15,2,FALSE))</f>
        <v/>
      </c>
      <c r="G194" s="172" t="str">
        <f>IF(D194="","",VLOOKUP(D194,'G-6 Hedgerow Data'!$B$2:$AG$15,3,FALSE))</f>
        <v/>
      </c>
      <c r="H194" s="173"/>
      <c r="I194" s="172" t="str">
        <f>IFERROR(VLOOKUP(H194,'G-1 All Habitats'!$Z$2:$AA$9,2,FALSE),"")</f>
        <v/>
      </c>
      <c r="J194" s="173"/>
      <c r="K194" s="175" t="str">
        <f>IF(J194="","",IF(VLOOKUP(J194,'G-3 Multipliers'!$L$3:$N$6,2,FALSE)=0,"Spatial Data Missing",VLOOKUP(J194,'G-3 Multipliers'!$L$3:$N$6,2,FALSE)))</f>
        <v/>
      </c>
      <c r="L194" s="260" t="str">
        <f>IF(J194="","",IF(VLOOKUP(J194,'G-3 Multipliers'!$L$3:$N$6,3,FALSE)=0,"Spatial Data Missing",VLOOKUP(J194,'G-3 Multipliers'!$L$3:$N$6,3,FALSE)))</f>
        <v/>
      </c>
      <c r="M194" s="171" t="str">
        <f>IF(OR(D194="",H194=""),"",(INDEX('G-6 Hedgerow Data'!$E$3:$I$15,MATCH(D194,'G-6 Hedgerow Data'!$B$3:$B$15,0),MATCH(H194,'G-6 Hedgerow Data'!$E$2:$I$2,0))))</f>
        <v/>
      </c>
      <c r="N194" s="261"/>
      <c r="O194" s="261"/>
      <c r="P194" s="179" t="str">
        <f t="shared" si="13"/>
        <v/>
      </c>
      <c r="Q194" s="262" t="str">
        <f t="shared" si="14"/>
        <v/>
      </c>
      <c r="R194" s="263" t="str">
        <f t="shared" si="12"/>
        <v/>
      </c>
      <c r="S194" s="239" t="str">
        <f>IF(D194="","",VLOOKUP(D194,'G-6 Hedgerow Data'!$B$3:$AG$15,31,FALSE))</f>
        <v/>
      </c>
      <c r="T194" s="179" t="str">
        <f t="shared" si="15"/>
        <v/>
      </c>
      <c r="U194" s="179" t="str">
        <f t="shared" si="16"/>
        <v/>
      </c>
      <c r="V194" s="176" t="str">
        <f>IF(D194="","",VLOOKUP(S194,'G-3 Multipliers'!$P$3:$Q$6,2,FALSE))</f>
        <v/>
      </c>
      <c r="W194" s="274" t="str">
        <f t="shared" si="17"/>
        <v/>
      </c>
      <c r="X194" s="180"/>
      <c r="Y194" s="181"/>
      <c r="AG194" s="35" t="str">
        <f>IFERROR(INDEX('G-6 Hedgerow Data'!$BJ$3:$BJ$15,MATCH(D194,'G-6 Hedgerow Data'!$B$3:$B$15,0)),"")</f>
        <v/>
      </c>
    </row>
    <row r="195" spans="2:33" ht="13.8" x14ac:dyDescent="0.25">
      <c r="B195" s="168">
        <v>184</v>
      </c>
      <c r="C195" s="278"/>
      <c r="D195" s="261"/>
      <c r="E195" s="213"/>
      <c r="F195" s="277" t="str">
        <f>IF(D195="","",VLOOKUP(D195,'G-6 Hedgerow Data'!$B$2:$AG$15,2,FALSE))</f>
        <v/>
      </c>
      <c r="G195" s="172" t="str">
        <f>IF(D195="","",VLOOKUP(D195,'G-6 Hedgerow Data'!$B$2:$AG$15,3,FALSE))</f>
        <v/>
      </c>
      <c r="H195" s="173"/>
      <c r="I195" s="172" t="str">
        <f>IFERROR(VLOOKUP(H195,'G-1 All Habitats'!$Z$2:$AA$9,2,FALSE),"")</f>
        <v/>
      </c>
      <c r="J195" s="173"/>
      <c r="K195" s="175" t="str">
        <f>IF(J195="","",IF(VLOOKUP(J195,'G-3 Multipliers'!$L$3:$N$6,2,FALSE)=0,"Spatial Data Missing",VLOOKUP(J195,'G-3 Multipliers'!$L$3:$N$6,2,FALSE)))</f>
        <v/>
      </c>
      <c r="L195" s="260" t="str">
        <f>IF(J195="","",IF(VLOOKUP(J195,'G-3 Multipliers'!$L$3:$N$6,3,FALSE)=0,"Spatial Data Missing",VLOOKUP(J195,'G-3 Multipliers'!$L$3:$N$6,3,FALSE)))</f>
        <v/>
      </c>
      <c r="M195" s="171" t="str">
        <f>IF(OR(D195="",H195=""),"",(INDEX('G-6 Hedgerow Data'!$E$3:$I$15,MATCH(D195,'G-6 Hedgerow Data'!$B$3:$B$15,0),MATCH(H195,'G-6 Hedgerow Data'!$E$2:$I$2,0))))</f>
        <v/>
      </c>
      <c r="N195" s="261"/>
      <c r="O195" s="261"/>
      <c r="P195" s="179" t="str">
        <f t="shared" si="13"/>
        <v/>
      </c>
      <c r="Q195" s="262" t="str">
        <f t="shared" si="14"/>
        <v/>
      </c>
      <c r="R195" s="263" t="str">
        <f t="shared" si="12"/>
        <v/>
      </c>
      <c r="S195" s="239" t="str">
        <f>IF(D195="","",VLOOKUP(D195,'G-6 Hedgerow Data'!$B$3:$AG$15,31,FALSE))</f>
        <v/>
      </c>
      <c r="T195" s="179" t="str">
        <f t="shared" si="15"/>
        <v/>
      </c>
      <c r="U195" s="179" t="str">
        <f t="shared" si="16"/>
        <v/>
      </c>
      <c r="V195" s="176" t="str">
        <f>IF(D195="","",VLOOKUP(S195,'G-3 Multipliers'!$P$3:$Q$6,2,FALSE))</f>
        <v/>
      </c>
      <c r="W195" s="274" t="str">
        <f t="shared" si="17"/>
        <v/>
      </c>
      <c r="X195" s="180"/>
      <c r="Y195" s="181"/>
      <c r="AG195" s="35" t="str">
        <f>IFERROR(INDEX('G-6 Hedgerow Data'!$BJ$3:$BJ$15,MATCH(D195,'G-6 Hedgerow Data'!$B$3:$B$15,0)),"")</f>
        <v/>
      </c>
    </row>
    <row r="196" spans="2:33" ht="13.8" x14ac:dyDescent="0.25">
      <c r="B196" s="168">
        <v>185</v>
      </c>
      <c r="C196" s="278"/>
      <c r="D196" s="261"/>
      <c r="E196" s="213"/>
      <c r="F196" s="277" t="str">
        <f>IF(D196="","",VLOOKUP(D196,'G-6 Hedgerow Data'!$B$2:$AG$15,2,FALSE))</f>
        <v/>
      </c>
      <c r="G196" s="172" t="str">
        <f>IF(D196="","",VLOOKUP(D196,'G-6 Hedgerow Data'!$B$2:$AG$15,3,FALSE))</f>
        <v/>
      </c>
      <c r="H196" s="173"/>
      <c r="I196" s="172" t="str">
        <f>IFERROR(VLOOKUP(H196,'G-1 All Habitats'!$Z$2:$AA$9,2,FALSE),"")</f>
        <v/>
      </c>
      <c r="J196" s="173"/>
      <c r="K196" s="175" t="str">
        <f>IF(J196="","",IF(VLOOKUP(J196,'G-3 Multipliers'!$L$3:$N$6,2,FALSE)=0,"Spatial Data Missing",VLOOKUP(J196,'G-3 Multipliers'!$L$3:$N$6,2,FALSE)))</f>
        <v/>
      </c>
      <c r="L196" s="260" t="str">
        <f>IF(J196="","",IF(VLOOKUP(J196,'G-3 Multipliers'!$L$3:$N$6,3,FALSE)=0,"Spatial Data Missing",VLOOKUP(J196,'G-3 Multipliers'!$L$3:$N$6,3,FALSE)))</f>
        <v/>
      </c>
      <c r="M196" s="171" t="str">
        <f>IF(OR(D196="",H196=""),"",(INDEX('G-6 Hedgerow Data'!$E$3:$I$15,MATCH(D196,'G-6 Hedgerow Data'!$B$3:$B$15,0),MATCH(H196,'G-6 Hedgerow Data'!$E$2:$I$2,0))))</f>
        <v/>
      </c>
      <c r="N196" s="261"/>
      <c r="O196" s="261"/>
      <c r="P196" s="179" t="str">
        <f t="shared" si="13"/>
        <v/>
      </c>
      <c r="Q196" s="262" t="str">
        <f t="shared" si="14"/>
        <v/>
      </c>
      <c r="R196" s="263" t="str">
        <f t="shared" si="12"/>
        <v/>
      </c>
      <c r="S196" s="239" t="str">
        <f>IF(D196="","",VLOOKUP(D196,'G-6 Hedgerow Data'!$B$3:$AG$15,31,FALSE))</f>
        <v/>
      </c>
      <c r="T196" s="179" t="str">
        <f t="shared" si="15"/>
        <v/>
      </c>
      <c r="U196" s="179" t="str">
        <f t="shared" si="16"/>
        <v/>
      </c>
      <c r="V196" s="176" t="str">
        <f>IF(D196="","",VLOOKUP(S196,'G-3 Multipliers'!$P$3:$Q$6,2,FALSE))</f>
        <v/>
      </c>
      <c r="W196" s="274" t="str">
        <f t="shared" si="17"/>
        <v/>
      </c>
      <c r="X196" s="180"/>
      <c r="Y196" s="181"/>
      <c r="AG196" s="35" t="str">
        <f>IFERROR(INDEX('G-6 Hedgerow Data'!$BJ$3:$BJ$15,MATCH(D196,'G-6 Hedgerow Data'!$B$3:$B$15,0)),"")</f>
        <v/>
      </c>
    </row>
    <row r="197" spans="2:33" ht="13.8" x14ac:dyDescent="0.25">
      <c r="B197" s="168">
        <v>186</v>
      </c>
      <c r="C197" s="278"/>
      <c r="D197" s="261"/>
      <c r="E197" s="213"/>
      <c r="F197" s="277" t="str">
        <f>IF(D197="","",VLOOKUP(D197,'G-6 Hedgerow Data'!$B$2:$AG$15,2,FALSE))</f>
        <v/>
      </c>
      <c r="G197" s="172" t="str">
        <f>IF(D197="","",VLOOKUP(D197,'G-6 Hedgerow Data'!$B$2:$AG$15,3,FALSE))</f>
        <v/>
      </c>
      <c r="H197" s="173"/>
      <c r="I197" s="172" t="str">
        <f>IFERROR(VLOOKUP(H197,'G-1 All Habitats'!$Z$2:$AA$9,2,FALSE),"")</f>
        <v/>
      </c>
      <c r="J197" s="173"/>
      <c r="K197" s="175" t="str">
        <f>IF(J197="","",IF(VLOOKUP(J197,'G-3 Multipliers'!$L$3:$N$6,2,FALSE)=0,"Spatial Data Missing",VLOOKUP(J197,'G-3 Multipliers'!$L$3:$N$6,2,FALSE)))</f>
        <v/>
      </c>
      <c r="L197" s="260" t="str">
        <f>IF(J197="","",IF(VLOOKUP(J197,'G-3 Multipliers'!$L$3:$N$6,3,FALSE)=0,"Spatial Data Missing",VLOOKUP(J197,'G-3 Multipliers'!$L$3:$N$6,3,FALSE)))</f>
        <v/>
      </c>
      <c r="M197" s="171" t="str">
        <f>IF(OR(D197="",H197=""),"",(INDEX('G-6 Hedgerow Data'!$E$3:$I$15,MATCH(D197,'G-6 Hedgerow Data'!$B$3:$B$15,0),MATCH(H197,'G-6 Hedgerow Data'!$E$2:$I$2,0))))</f>
        <v/>
      </c>
      <c r="N197" s="261"/>
      <c r="O197" s="261"/>
      <c r="P197" s="179" t="str">
        <f t="shared" si="13"/>
        <v/>
      </c>
      <c r="Q197" s="262" t="str">
        <f t="shared" si="14"/>
        <v/>
      </c>
      <c r="R197" s="263" t="str">
        <f t="shared" si="12"/>
        <v/>
      </c>
      <c r="S197" s="239" t="str">
        <f>IF(D197="","",VLOOKUP(D197,'G-6 Hedgerow Data'!$B$3:$AG$15,31,FALSE))</f>
        <v/>
      </c>
      <c r="T197" s="179" t="str">
        <f t="shared" si="15"/>
        <v/>
      </c>
      <c r="U197" s="179" t="str">
        <f t="shared" si="16"/>
        <v/>
      </c>
      <c r="V197" s="176" t="str">
        <f>IF(D197="","",VLOOKUP(S197,'G-3 Multipliers'!$P$3:$Q$6,2,FALSE))</f>
        <v/>
      </c>
      <c r="W197" s="274" t="str">
        <f t="shared" si="17"/>
        <v/>
      </c>
      <c r="X197" s="180"/>
      <c r="Y197" s="181"/>
      <c r="AG197" s="35" t="str">
        <f>IFERROR(INDEX('G-6 Hedgerow Data'!$BJ$3:$BJ$15,MATCH(D197,'G-6 Hedgerow Data'!$B$3:$B$15,0)),"")</f>
        <v/>
      </c>
    </row>
    <row r="198" spans="2:33" ht="13.8" x14ac:dyDescent="0.25">
      <c r="B198" s="168">
        <v>187</v>
      </c>
      <c r="C198" s="278"/>
      <c r="D198" s="261"/>
      <c r="E198" s="213"/>
      <c r="F198" s="277" t="str">
        <f>IF(D198="","",VLOOKUP(D198,'G-6 Hedgerow Data'!$B$2:$AG$15,2,FALSE))</f>
        <v/>
      </c>
      <c r="G198" s="172" t="str">
        <f>IF(D198="","",VLOOKUP(D198,'G-6 Hedgerow Data'!$B$2:$AG$15,3,FALSE))</f>
        <v/>
      </c>
      <c r="H198" s="173"/>
      <c r="I198" s="172" t="str">
        <f>IFERROR(VLOOKUP(H198,'G-1 All Habitats'!$Z$2:$AA$9,2,FALSE),"")</f>
        <v/>
      </c>
      <c r="J198" s="173"/>
      <c r="K198" s="175" t="str">
        <f>IF(J198="","",IF(VLOOKUP(J198,'G-3 Multipliers'!$L$3:$N$6,2,FALSE)=0,"Spatial Data Missing",VLOOKUP(J198,'G-3 Multipliers'!$L$3:$N$6,2,FALSE)))</f>
        <v/>
      </c>
      <c r="L198" s="260" t="str">
        <f>IF(J198="","",IF(VLOOKUP(J198,'G-3 Multipliers'!$L$3:$N$6,3,FALSE)=0,"Spatial Data Missing",VLOOKUP(J198,'G-3 Multipliers'!$L$3:$N$6,3,FALSE)))</f>
        <v/>
      </c>
      <c r="M198" s="171" t="str">
        <f>IF(OR(D198="",H198=""),"",(INDEX('G-6 Hedgerow Data'!$E$3:$I$15,MATCH(D198,'G-6 Hedgerow Data'!$B$3:$B$15,0),MATCH(H198,'G-6 Hedgerow Data'!$E$2:$I$2,0))))</f>
        <v/>
      </c>
      <c r="N198" s="261"/>
      <c r="O198" s="261"/>
      <c r="P198" s="179" t="str">
        <f t="shared" si="13"/>
        <v/>
      </c>
      <c r="Q198" s="262" t="str">
        <f t="shared" si="14"/>
        <v/>
      </c>
      <c r="R198" s="263" t="str">
        <f t="shared" si="12"/>
        <v/>
      </c>
      <c r="S198" s="239" t="str">
        <f>IF(D198="","",VLOOKUP(D198,'G-6 Hedgerow Data'!$B$3:$AG$15,31,FALSE))</f>
        <v/>
      </c>
      <c r="T198" s="179" t="str">
        <f t="shared" si="15"/>
        <v/>
      </c>
      <c r="U198" s="179" t="str">
        <f t="shared" si="16"/>
        <v/>
      </c>
      <c r="V198" s="176" t="str">
        <f>IF(D198="","",VLOOKUP(S198,'G-3 Multipliers'!$P$3:$Q$6,2,FALSE))</f>
        <v/>
      </c>
      <c r="W198" s="274" t="str">
        <f t="shared" si="17"/>
        <v/>
      </c>
      <c r="X198" s="180"/>
      <c r="Y198" s="181"/>
      <c r="AG198" s="35" t="str">
        <f>IFERROR(INDEX('G-6 Hedgerow Data'!$BJ$3:$BJ$15,MATCH(D198,'G-6 Hedgerow Data'!$B$3:$B$15,0)),"")</f>
        <v/>
      </c>
    </row>
    <row r="199" spans="2:33" ht="13.8" x14ac:dyDescent="0.25">
      <c r="B199" s="168">
        <v>188</v>
      </c>
      <c r="C199" s="278"/>
      <c r="D199" s="261"/>
      <c r="E199" s="213"/>
      <c r="F199" s="277" t="str">
        <f>IF(D199="","",VLOOKUP(D199,'G-6 Hedgerow Data'!$B$2:$AG$15,2,FALSE))</f>
        <v/>
      </c>
      <c r="G199" s="172" t="str">
        <f>IF(D199="","",VLOOKUP(D199,'G-6 Hedgerow Data'!$B$2:$AG$15,3,FALSE))</f>
        <v/>
      </c>
      <c r="H199" s="173"/>
      <c r="I199" s="172" t="str">
        <f>IFERROR(VLOOKUP(H199,'G-1 All Habitats'!$Z$2:$AA$9,2,FALSE),"")</f>
        <v/>
      </c>
      <c r="J199" s="173"/>
      <c r="K199" s="175" t="str">
        <f>IF(J199="","",IF(VLOOKUP(J199,'G-3 Multipliers'!$L$3:$N$6,2,FALSE)=0,"Spatial Data Missing",VLOOKUP(J199,'G-3 Multipliers'!$L$3:$N$6,2,FALSE)))</f>
        <v/>
      </c>
      <c r="L199" s="260" t="str">
        <f>IF(J199="","",IF(VLOOKUP(J199,'G-3 Multipliers'!$L$3:$N$6,3,FALSE)=0,"Spatial Data Missing",VLOOKUP(J199,'G-3 Multipliers'!$L$3:$N$6,3,FALSE)))</f>
        <v/>
      </c>
      <c r="M199" s="171" t="str">
        <f>IF(OR(D199="",H199=""),"",(INDEX('G-6 Hedgerow Data'!$E$3:$I$15,MATCH(D199,'G-6 Hedgerow Data'!$B$3:$B$15,0),MATCH(H199,'G-6 Hedgerow Data'!$E$2:$I$2,0))))</f>
        <v/>
      </c>
      <c r="N199" s="261"/>
      <c r="O199" s="261"/>
      <c r="P199" s="179" t="str">
        <f t="shared" si="13"/>
        <v/>
      </c>
      <c r="Q199" s="262" t="str">
        <f t="shared" si="14"/>
        <v/>
      </c>
      <c r="R199" s="263" t="str">
        <f t="shared" si="12"/>
        <v/>
      </c>
      <c r="S199" s="239" t="str">
        <f>IF(D199="","",VLOOKUP(D199,'G-6 Hedgerow Data'!$B$3:$AG$15,31,FALSE))</f>
        <v/>
      </c>
      <c r="T199" s="179" t="str">
        <f t="shared" si="15"/>
        <v/>
      </c>
      <c r="U199" s="179" t="str">
        <f t="shared" si="16"/>
        <v/>
      </c>
      <c r="V199" s="176" t="str">
        <f>IF(D199="","",VLOOKUP(S199,'G-3 Multipliers'!$P$3:$Q$6,2,FALSE))</f>
        <v/>
      </c>
      <c r="W199" s="274" t="str">
        <f t="shared" si="17"/>
        <v/>
      </c>
      <c r="X199" s="180"/>
      <c r="Y199" s="181"/>
      <c r="AG199" s="35" t="str">
        <f>IFERROR(INDEX('G-6 Hedgerow Data'!$BJ$3:$BJ$15,MATCH(D199,'G-6 Hedgerow Data'!$B$3:$B$15,0)),"")</f>
        <v/>
      </c>
    </row>
    <row r="200" spans="2:33" ht="13.8" x14ac:dyDescent="0.25">
      <c r="B200" s="168">
        <v>189</v>
      </c>
      <c r="C200" s="278"/>
      <c r="D200" s="261"/>
      <c r="E200" s="213"/>
      <c r="F200" s="277" t="str">
        <f>IF(D200="","",VLOOKUP(D200,'G-6 Hedgerow Data'!$B$2:$AG$15,2,FALSE))</f>
        <v/>
      </c>
      <c r="G200" s="172" t="str">
        <f>IF(D200="","",VLOOKUP(D200,'G-6 Hedgerow Data'!$B$2:$AG$15,3,FALSE))</f>
        <v/>
      </c>
      <c r="H200" s="173"/>
      <c r="I200" s="172" t="str">
        <f>IFERROR(VLOOKUP(H200,'G-1 All Habitats'!$Z$2:$AA$9,2,FALSE),"")</f>
        <v/>
      </c>
      <c r="J200" s="173"/>
      <c r="K200" s="175" t="str">
        <f>IF(J200="","",IF(VLOOKUP(J200,'G-3 Multipliers'!$L$3:$N$6,2,FALSE)=0,"Spatial Data Missing",VLOOKUP(J200,'G-3 Multipliers'!$L$3:$N$6,2,FALSE)))</f>
        <v/>
      </c>
      <c r="L200" s="260" t="str">
        <f>IF(J200="","",IF(VLOOKUP(J200,'G-3 Multipliers'!$L$3:$N$6,3,FALSE)=0,"Spatial Data Missing",VLOOKUP(J200,'G-3 Multipliers'!$L$3:$N$6,3,FALSE)))</f>
        <v/>
      </c>
      <c r="M200" s="171" t="str">
        <f>IF(OR(D200="",H200=""),"",(INDEX('G-6 Hedgerow Data'!$E$3:$I$15,MATCH(D200,'G-6 Hedgerow Data'!$B$3:$B$15,0),MATCH(H200,'G-6 Hedgerow Data'!$E$2:$I$2,0))))</f>
        <v/>
      </c>
      <c r="N200" s="261"/>
      <c r="O200" s="261"/>
      <c r="P200" s="179" t="str">
        <f t="shared" si="13"/>
        <v/>
      </c>
      <c r="Q200" s="262" t="str">
        <f t="shared" si="14"/>
        <v/>
      </c>
      <c r="R200" s="263" t="str">
        <f t="shared" si="12"/>
        <v/>
      </c>
      <c r="S200" s="239" t="str">
        <f>IF(D200="","",VLOOKUP(D200,'G-6 Hedgerow Data'!$B$3:$AG$15,31,FALSE))</f>
        <v/>
      </c>
      <c r="T200" s="179" t="str">
        <f t="shared" si="15"/>
        <v/>
      </c>
      <c r="U200" s="179" t="str">
        <f t="shared" si="16"/>
        <v/>
      </c>
      <c r="V200" s="176" t="str">
        <f>IF(D200="","",VLOOKUP(S200,'G-3 Multipliers'!$P$3:$Q$6,2,FALSE))</f>
        <v/>
      </c>
      <c r="W200" s="274" t="str">
        <f t="shared" si="17"/>
        <v/>
      </c>
      <c r="X200" s="180"/>
      <c r="Y200" s="181"/>
      <c r="AG200" s="35" t="str">
        <f>IFERROR(INDEX('G-6 Hedgerow Data'!$BJ$3:$BJ$15,MATCH(D200,'G-6 Hedgerow Data'!$B$3:$B$15,0)),"")</f>
        <v/>
      </c>
    </row>
    <row r="201" spans="2:33" ht="13.8" x14ac:dyDescent="0.25">
      <c r="B201" s="168">
        <v>190</v>
      </c>
      <c r="C201" s="278"/>
      <c r="D201" s="261"/>
      <c r="E201" s="213"/>
      <c r="F201" s="277" t="str">
        <f>IF(D201="","",VLOOKUP(D201,'G-6 Hedgerow Data'!$B$2:$AG$15,2,FALSE))</f>
        <v/>
      </c>
      <c r="G201" s="172" t="str">
        <f>IF(D201="","",VLOOKUP(D201,'G-6 Hedgerow Data'!$B$2:$AG$15,3,FALSE))</f>
        <v/>
      </c>
      <c r="H201" s="173"/>
      <c r="I201" s="172" t="str">
        <f>IFERROR(VLOOKUP(H201,'G-1 All Habitats'!$Z$2:$AA$9,2,FALSE),"")</f>
        <v/>
      </c>
      <c r="J201" s="173"/>
      <c r="K201" s="175" t="str">
        <f>IF(J201="","",IF(VLOOKUP(J201,'G-3 Multipliers'!$L$3:$N$6,2,FALSE)=0,"Spatial Data Missing",VLOOKUP(J201,'G-3 Multipliers'!$L$3:$N$6,2,FALSE)))</f>
        <v/>
      </c>
      <c r="L201" s="260" t="str">
        <f>IF(J201="","",IF(VLOOKUP(J201,'G-3 Multipliers'!$L$3:$N$6,3,FALSE)=0,"Spatial Data Missing",VLOOKUP(J201,'G-3 Multipliers'!$L$3:$N$6,3,FALSE)))</f>
        <v/>
      </c>
      <c r="M201" s="171" t="str">
        <f>IF(OR(D201="",H201=""),"",(INDEX('G-6 Hedgerow Data'!$E$3:$I$15,MATCH(D201,'G-6 Hedgerow Data'!$B$3:$B$15,0),MATCH(H201,'G-6 Hedgerow Data'!$E$2:$I$2,0))))</f>
        <v/>
      </c>
      <c r="N201" s="261"/>
      <c r="O201" s="261"/>
      <c r="P201" s="179" t="str">
        <f t="shared" si="13"/>
        <v/>
      </c>
      <c r="Q201" s="262" t="str">
        <f t="shared" si="14"/>
        <v/>
      </c>
      <c r="R201" s="263" t="str">
        <f t="shared" si="12"/>
        <v/>
      </c>
      <c r="S201" s="239" t="str">
        <f>IF(D201="","",VLOOKUP(D201,'G-6 Hedgerow Data'!$B$3:$AG$15,31,FALSE))</f>
        <v/>
      </c>
      <c r="T201" s="179" t="str">
        <f t="shared" si="15"/>
        <v/>
      </c>
      <c r="U201" s="179" t="str">
        <f t="shared" si="16"/>
        <v/>
      </c>
      <c r="V201" s="176" t="str">
        <f>IF(D201="","",VLOOKUP(S201,'G-3 Multipliers'!$P$3:$Q$6,2,FALSE))</f>
        <v/>
      </c>
      <c r="W201" s="274" t="str">
        <f t="shared" si="17"/>
        <v/>
      </c>
      <c r="X201" s="180"/>
      <c r="Y201" s="181"/>
      <c r="AG201" s="35" t="str">
        <f>IFERROR(INDEX('G-6 Hedgerow Data'!$BJ$3:$BJ$15,MATCH(D201,'G-6 Hedgerow Data'!$B$3:$B$15,0)),"")</f>
        <v/>
      </c>
    </row>
    <row r="202" spans="2:33" ht="13.8" x14ac:dyDescent="0.25">
      <c r="B202" s="168">
        <v>191</v>
      </c>
      <c r="C202" s="278"/>
      <c r="D202" s="261"/>
      <c r="E202" s="213"/>
      <c r="F202" s="277" t="str">
        <f>IF(D202="","",VLOOKUP(D202,'G-6 Hedgerow Data'!$B$2:$AG$15,2,FALSE))</f>
        <v/>
      </c>
      <c r="G202" s="172" t="str">
        <f>IF(D202="","",VLOOKUP(D202,'G-6 Hedgerow Data'!$B$2:$AG$15,3,FALSE))</f>
        <v/>
      </c>
      <c r="H202" s="173"/>
      <c r="I202" s="172" t="str">
        <f>IFERROR(VLOOKUP(H202,'G-1 All Habitats'!$Z$2:$AA$9,2,FALSE),"")</f>
        <v/>
      </c>
      <c r="J202" s="173"/>
      <c r="K202" s="175" t="str">
        <f>IF(J202="","",IF(VLOOKUP(J202,'G-3 Multipliers'!$L$3:$N$6,2,FALSE)=0,"Spatial Data Missing",VLOOKUP(J202,'G-3 Multipliers'!$L$3:$N$6,2,FALSE)))</f>
        <v/>
      </c>
      <c r="L202" s="260" t="str">
        <f>IF(J202="","",IF(VLOOKUP(J202,'G-3 Multipliers'!$L$3:$N$6,3,FALSE)=0,"Spatial Data Missing",VLOOKUP(J202,'G-3 Multipliers'!$L$3:$N$6,3,FALSE)))</f>
        <v/>
      </c>
      <c r="M202" s="171" t="str">
        <f>IF(OR(D202="",H202=""),"",(INDEX('G-6 Hedgerow Data'!$E$3:$I$15,MATCH(D202,'G-6 Hedgerow Data'!$B$3:$B$15,0),MATCH(H202,'G-6 Hedgerow Data'!$E$2:$I$2,0))))</f>
        <v/>
      </c>
      <c r="N202" s="261"/>
      <c r="O202" s="261"/>
      <c r="P202" s="179" t="str">
        <f t="shared" si="13"/>
        <v/>
      </c>
      <c r="Q202" s="262" t="str">
        <f t="shared" si="14"/>
        <v/>
      </c>
      <c r="R202" s="263" t="str">
        <f t="shared" si="12"/>
        <v/>
      </c>
      <c r="S202" s="239" t="str">
        <f>IF(D202="","",VLOOKUP(D202,'G-6 Hedgerow Data'!$B$3:$AG$15,31,FALSE))</f>
        <v/>
      </c>
      <c r="T202" s="179" t="str">
        <f t="shared" si="15"/>
        <v/>
      </c>
      <c r="U202" s="179" t="str">
        <f t="shared" si="16"/>
        <v/>
      </c>
      <c r="V202" s="176" t="str">
        <f>IF(D202="","",VLOOKUP(S202,'G-3 Multipliers'!$P$3:$Q$6,2,FALSE))</f>
        <v/>
      </c>
      <c r="W202" s="274" t="str">
        <f t="shared" si="17"/>
        <v/>
      </c>
      <c r="X202" s="180"/>
      <c r="Y202" s="181"/>
      <c r="AG202" s="35" t="str">
        <f>IFERROR(INDEX('G-6 Hedgerow Data'!$BJ$3:$BJ$15,MATCH(D202,'G-6 Hedgerow Data'!$B$3:$B$15,0)),"")</f>
        <v/>
      </c>
    </row>
    <row r="203" spans="2:33" ht="13.8" x14ac:dyDescent="0.25">
      <c r="B203" s="168">
        <v>192</v>
      </c>
      <c r="C203" s="278"/>
      <c r="D203" s="261"/>
      <c r="E203" s="213"/>
      <c r="F203" s="277" t="str">
        <f>IF(D203="","",VLOOKUP(D203,'G-6 Hedgerow Data'!$B$2:$AG$15,2,FALSE))</f>
        <v/>
      </c>
      <c r="G203" s="172" t="str">
        <f>IF(D203="","",VLOOKUP(D203,'G-6 Hedgerow Data'!$B$2:$AG$15,3,FALSE))</f>
        <v/>
      </c>
      <c r="H203" s="173"/>
      <c r="I203" s="172" t="str">
        <f>IFERROR(VLOOKUP(H203,'G-1 All Habitats'!$Z$2:$AA$9,2,FALSE),"")</f>
        <v/>
      </c>
      <c r="J203" s="173"/>
      <c r="K203" s="175" t="str">
        <f>IF(J203="","",IF(VLOOKUP(J203,'G-3 Multipliers'!$L$3:$N$6,2,FALSE)=0,"Spatial Data Missing",VLOOKUP(J203,'G-3 Multipliers'!$L$3:$N$6,2,FALSE)))</f>
        <v/>
      </c>
      <c r="L203" s="260" t="str">
        <f>IF(J203="","",IF(VLOOKUP(J203,'G-3 Multipliers'!$L$3:$N$6,3,FALSE)=0,"Spatial Data Missing",VLOOKUP(J203,'G-3 Multipliers'!$L$3:$N$6,3,FALSE)))</f>
        <v/>
      </c>
      <c r="M203" s="171" t="str">
        <f>IF(OR(D203="",H203=""),"",(INDEX('G-6 Hedgerow Data'!$E$3:$I$15,MATCH(D203,'G-6 Hedgerow Data'!$B$3:$B$15,0),MATCH(H203,'G-6 Hedgerow Data'!$E$2:$I$2,0))))</f>
        <v/>
      </c>
      <c r="N203" s="261"/>
      <c r="O203" s="261"/>
      <c r="P203" s="179" t="str">
        <f t="shared" si="13"/>
        <v/>
      </c>
      <c r="Q203" s="262" t="str">
        <f t="shared" si="14"/>
        <v/>
      </c>
      <c r="R203" s="263" t="str">
        <f t="shared" si="12"/>
        <v/>
      </c>
      <c r="S203" s="239" t="str">
        <f>IF(D203="","",VLOOKUP(D203,'G-6 Hedgerow Data'!$B$3:$AG$15,31,FALSE))</f>
        <v/>
      </c>
      <c r="T203" s="179" t="str">
        <f t="shared" si="15"/>
        <v/>
      </c>
      <c r="U203" s="179" t="str">
        <f t="shared" si="16"/>
        <v/>
      </c>
      <c r="V203" s="176" t="str">
        <f>IF(D203="","",VLOOKUP(S203,'G-3 Multipliers'!$P$3:$Q$6,2,FALSE))</f>
        <v/>
      </c>
      <c r="W203" s="274" t="str">
        <f t="shared" si="17"/>
        <v/>
      </c>
      <c r="X203" s="180"/>
      <c r="Y203" s="181"/>
      <c r="AG203" s="35" t="str">
        <f>IFERROR(INDEX('G-6 Hedgerow Data'!$BJ$3:$BJ$15,MATCH(D203,'G-6 Hedgerow Data'!$B$3:$B$15,0)),"")</f>
        <v/>
      </c>
    </row>
    <row r="204" spans="2:33" ht="13.8" x14ac:dyDescent="0.25">
      <c r="B204" s="168">
        <v>193</v>
      </c>
      <c r="C204" s="278"/>
      <c r="D204" s="261"/>
      <c r="E204" s="213"/>
      <c r="F204" s="277" t="str">
        <f>IF(D204="","",VLOOKUP(D204,'G-6 Hedgerow Data'!$B$2:$AG$15,2,FALSE))</f>
        <v/>
      </c>
      <c r="G204" s="172" t="str">
        <f>IF(D204="","",VLOOKUP(D204,'G-6 Hedgerow Data'!$B$2:$AG$15,3,FALSE))</f>
        <v/>
      </c>
      <c r="H204" s="173"/>
      <c r="I204" s="172" t="str">
        <f>IFERROR(VLOOKUP(H204,'G-1 All Habitats'!$Z$2:$AA$9,2,FALSE),"")</f>
        <v/>
      </c>
      <c r="J204" s="173"/>
      <c r="K204" s="175" t="str">
        <f>IF(J204="","",IF(VLOOKUP(J204,'G-3 Multipliers'!$L$3:$N$6,2,FALSE)=0,"Spatial Data Missing",VLOOKUP(J204,'G-3 Multipliers'!$L$3:$N$6,2,FALSE)))</f>
        <v/>
      </c>
      <c r="L204" s="260" t="str">
        <f>IF(J204="","",IF(VLOOKUP(J204,'G-3 Multipliers'!$L$3:$N$6,3,FALSE)=0,"Spatial Data Missing",VLOOKUP(J204,'G-3 Multipliers'!$L$3:$N$6,3,FALSE)))</f>
        <v/>
      </c>
      <c r="M204" s="171" t="str">
        <f>IF(OR(D204="",H204=""),"",(INDEX('G-6 Hedgerow Data'!$E$3:$I$15,MATCH(D204,'G-6 Hedgerow Data'!$B$3:$B$15,0),MATCH(H204,'G-6 Hedgerow Data'!$E$2:$I$2,0))))</f>
        <v/>
      </c>
      <c r="N204" s="261"/>
      <c r="O204" s="261"/>
      <c r="P204" s="179" t="str">
        <f t="shared" si="13"/>
        <v/>
      </c>
      <c r="Q204" s="262" t="str">
        <f t="shared" si="14"/>
        <v/>
      </c>
      <c r="R204" s="263" t="str">
        <f t="shared" ref="R204:R259" si="18">IF(M204="","",IF(LEFT(P204,5)="Error","Check Data",VLOOKUP(Q204,TemporalMultipliers,3,FALSE)))</f>
        <v/>
      </c>
      <c r="S204" s="239" t="str">
        <f>IF(D204="","",VLOOKUP(D204,'G-6 Hedgerow Data'!$B$3:$AG$15,31,FALSE))</f>
        <v/>
      </c>
      <c r="T204" s="179" t="str">
        <f t="shared" si="15"/>
        <v/>
      </c>
      <c r="U204" s="179" t="str">
        <f t="shared" si="16"/>
        <v/>
      </c>
      <c r="V204" s="176" t="str">
        <f>IF(D204="","",VLOOKUP(S204,'G-3 Multipliers'!$P$3:$Q$6,2,FALSE))</f>
        <v/>
      </c>
      <c r="W204" s="274" t="str">
        <f t="shared" si="17"/>
        <v/>
      </c>
      <c r="X204" s="180"/>
      <c r="Y204" s="181"/>
      <c r="AG204" s="35" t="str">
        <f>IFERROR(INDEX('G-6 Hedgerow Data'!$BJ$3:$BJ$15,MATCH(D204,'G-6 Hedgerow Data'!$B$3:$B$15,0)),"")</f>
        <v/>
      </c>
    </row>
    <row r="205" spans="2:33" ht="13.8" x14ac:dyDescent="0.25">
      <c r="B205" s="168">
        <v>194</v>
      </c>
      <c r="C205" s="278"/>
      <c r="D205" s="261"/>
      <c r="E205" s="213"/>
      <c r="F205" s="277" t="str">
        <f>IF(D205="","",VLOOKUP(D205,'G-6 Hedgerow Data'!$B$2:$AG$15,2,FALSE))</f>
        <v/>
      </c>
      <c r="G205" s="172" t="str">
        <f>IF(D205="","",VLOOKUP(D205,'G-6 Hedgerow Data'!$B$2:$AG$15,3,FALSE))</f>
        <v/>
      </c>
      <c r="H205" s="173"/>
      <c r="I205" s="172" t="str">
        <f>IFERROR(VLOOKUP(H205,'G-1 All Habitats'!$Z$2:$AA$9,2,FALSE),"")</f>
        <v/>
      </c>
      <c r="J205" s="173"/>
      <c r="K205" s="175" t="str">
        <f>IF(J205="","",IF(VLOOKUP(J205,'G-3 Multipliers'!$L$3:$N$6,2,FALSE)=0,"Spatial Data Missing",VLOOKUP(J205,'G-3 Multipliers'!$L$3:$N$6,2,FALSE)))</f>
        <v/>
      </c>
      <c r="L205" s="260" t="str">
        <f>IF(J205="","",IF(VLOOKUP(J205,'G-3 Multipliers'!$L$3:$N$6,3,FALSE)=0,"Spatial Data Missing",VLOOKUP(J205,'G-3 Multipliers'!$L$3:$N$6,3,FALSE)))</f>
        <v/>
      </c>
      <c r="M205" s="171" t="str">
        <f>IF(OR(D205="",H205=""),"",(INDEX('G-6 Hedgerow Data'!$E$3:$I$15,MATCH(D205,'G-6 Hedgerow Data'!$B$3:$B$15,0),MATCH(H205,'G-6 Hedgerow Data'!$E$2:$I$2,0))))</f>
        <v/>
      </c>
      <c r="N205" s="261"/>
      <c r="O205" s="261"/>
      <c r="P205" s="179" t="str">
        <f t="shared" ref="P205:P259" si="19">IF(M205="","",IF(AND(N205&gt;0,O205&gt;0),"Error -both advance and delayed habitat creation",IF(AND(OR(N205="Habitat already in target condition",M205&lt;=N205),O205=0),"Check details - Is there evidence that habitat has reached target condition?",IF(M205="","",IF(N205&gt;0,"Check details - Is there evidence habitat creation started/in place?",IF(O205&gt;0,"Check details- Delay in starting habitat in required condition?","Standard time to target condition applied"))))))</f>
        <v/>
      </c>
      <c r="Q205" s="262" t="str">
        <f t="shared" ref="Q205:Q259" si="20">IF(M205="","",IF(LEFT(P205,5)="Error","Check Data",IF(OR(N205="30+",N205="Habitat already in target condition"),0,IF(O205="30+","30+",IF(AND(M205="30+",OR(N205="",N205=0)),"30+",IF(AND(M205="30+",N205&gt;0),32-N205,IF(M205+O205&gt;30,"30+",IF(M205+O205-N205&gt;0,M205+O205-N205,IF(M205-N205&lt;0,0,M205+O205-N205)))))))))</f>
        <v/>
      </c>
      <c r="R205" s="263" t="str">
        <f t="shared" si="18"/>
        <v/>
      </c>
      <c r="S205" s="239" t="str">
        <f>IF(D205="","",VLOOKUP(D205,'G-6 Hedgerow Data'!$B$3:$AG$15,31,FALSE))</f>
        <v/>
      </c>
      <c r="T205" s="179" t="str">
        <f t="shared" ref="T205:T259" si="21">IF(D205="","",IF(Q205="Check Data","Check Data",IF(H205="","",IF($P205="Check details - Is there evidence that habitat has reached target condition?","Low Difficulty - only applicable if all habitat created before losses","Standard difficulty applied"))))</f>
        <v/>
      </c>
      <c r="U205" s="179" t="str">
        <f t="shared" ref="U205:U259" si="22">(IF(AND(T205="Standard difficulty applied",M205&gt;N205),S205,IF(AND(T205="Low Difficulty - only applicable if all habitat created before losses",Q205&lt;=0),"Low",S205)))</f>
        <v/>
      </c>
      <c r="V205" s="176" t="str">
        <f>IF(D205="","",VLOOKUP(S205,'G-3 Multipliers'!$P$3:$Q$6,2,FALSE))</f>
        <v/>
      </c>
      <c r="W205" s="274" t="str">
        <f t="shared" ref="W205:W259" si="23">IFERROR(E205*G205*I205*L205*R205*V205,"")</f>
        <v/>
      </c>
      <c r="X205" s="180"/>
      <c r="Y205" s="181"/>
      <c r="AG205" s="35" t="str">
        <f>IFERROR(INDEX('G-6 Hedgerow Data'!$BJ$3:$BJ$15,MATCH(D205,'G-6 Hedgerow Data'!$B$3:$B$15,0)),"")</f>
        <v/>
      </c>
    </row>
    <row r="206" spans="2:33" ht="13.8" x14ac:dyDescent="0.25">
      <c r="B206" s="168">
        <v>195</v>
      </c>
      <c r="C206" s="278"/>
      <c r="D206" s="261"/>
      <c r="E206" s="213"/>
      <c r="F206" s="277" t="str">
        <f>IF(D206="","",VLOOKUP(D206,'G-6 Hedgerow Data'!$B$2:$AG$15,2,FALSE))</f>
        <v/>
      </c>
      <c r="G206" s="172" t="str">
        <f>IF(D206="","",VLOOKUP(D206,'G-6 Hedgerow Data'!$B$2:$AG$15,3,FALSE))</f>
        <v/>
      </c>
      <c r="H206" s="173"/>
      <c r="I206" s="172" t="str">
        <f>IFERROR(VLOOKUP(H206,'G-1 All Habitats'!$Z$2:$AA$9,2,FALSE),"")</f>
        <v/>
      </c>
      <c r="J206" s="173"/>
      <c r="K206" s="175" t="str">
        <f>IF(J206="","",IF(VLOOKUP(J206,'G-3 Multipliers'!$L$3:$N$6,2,FALSE)=0,"Spatial Data Missing",VLOOKUP(J206,'G-3 Multipliers'!$L$3:$N$6,2,FALSE)))</f>
        <v/>
      </c>
      <c r="L206" s="260" t="str">
        <f>IF(J206="","",IF(VLOOKUP(J206,'G-3 Multipliers'!$L$3:$N$6,3,FALSE)=0,"Spatial Data Missing",VLOOKUP(J206,'G-3 Multipliers'!$L$3:$N$6,3,FALSE)))</f>
        <v/>
      </c>
      <c r="M206" s="171" t="str">
        <f>IF(OR(D206="",H206=""),"",(INDEX('G-6 Hedgerow Data'!$E$3:$I$15,MATCH(D206,'G-6 Hedgerow Data'!$B$3:$B$15,0),MATCH(H206,'G-6 Hedgerow Data'!$E$2:$I$2,0))))</f>
        <v/>
      </c>
      <c r="N206" s="261"/>
      <c r="O206" s="261"/>
      <c r="P206" s="179" t="str">
        <f t="shared" si="19"/>
        <v/>
      </c>
      <c r="Q206" s="262" t="str">
        <f t="shared" si="20"/>
        <v/>
      </c>
      <c r="R206" s="263" t="str">
        <f t="shared" si="18"/>
        <v/>
      </c>
      <c r="S206" s="239" t="str">
        <f>IF(D206="","",VLOOKUP(D206,'G-6 Hedgerow Data'!$B$3:$AG$15,31,FALSE))</f>
        <v/>
      </c>
      <c r="T206" s="179" t="str">
        <f t="shared" si="21"/>
        <v/>
      </c>
      <c r="U206" s="179" t="str">
        <f t="shared" si="22"/>
        <v/>
      </c>
      <c r="V206" s="176" t="str">
        <f>IF(D206="","",VLOOKUP(S206,'G-3 Multipliers'!$P$3:$Q$6,2,FALSE))</f>
        <v/>
      </c>
      <c r="W206" s="274" t="str">
        <f t="shared" si="23"/>
        <v/>
      </c>
      <c r="X206" s="180"/>
      <c r="Y206" s="181"/>
      <c r="AG206" s="35" t="str">
        <f>IFERROR(INDEX('G-6 Hedgerow Data'!$BJ$3:$BJ$15,MATCH(D206,'G-6 Hedgerow Data'!$B$3:$B$15,0)),"")</f>
        <v/>
      </c>
    </row>
    <row r="207" spans="2:33" ht="13.8" x14ac:dyDescent="0.25">
      <c r="B207" s="168">
        <v>196</v>
      </c>
      <c r="C207" s="278"/>
      <c r="D207" s="261"/>
      <c r="E207" s="213"/>
      <c r="F207" s="277" t="str">
        <f>IF(D207="","",VLOOKUP(D207,'G-6 Hedgerow Data'!$B$2:$AG$15,2,FALSE))</f>
        <v/>
      </c>
      <c r="G207" s="172" t="str">
        <f>IF(D207="","",VLOOKUP(D207,'G-6 Hedgerow Data'!$B$2:$AG$15,3,FALSE))</f>
        <v/>
      </c>
      <c r="H207" s="173"/>
      <c r="I207" s="172" t="str">
        <f>IFERROR(VLOOKUP(H207,'G-1 All Habitats'!$Z$2:$AA$9,2,FALSE),"")</f>
        <v/>
      </c>
      <c r="J207" s="173"/>
      <c r="K207" s="175" t="str">
        <f>IF(J207="","",IF(VLOOKUP(J207,'G-3 Multipliers'!$L$3:$N$6,2,FALSE)=0,"Spatial Data Missing",VLOOKUP(J207,'G-3 Multipliers'!$L$3:$N$6,2,FALSE)))</f>
        <v/>
      </c>
      <c r="L207" s="260" t="str">
        <f>IF(J207="","",IF(VLOOKUP(J207,'G-3 Multipliers'!$L$3:$N$6,3,FALSE)=0,"Spatial Data Missing",VLOOKUP(J207,'G-3 Multipliers'!$L$3:$N$6,3,FALSE)))</f>
        <v/>
      </c>
      <c r="M207" s="171" t="str">
        <f>IF(OR(D207="",H207=""),"",(INDEX('G-6 Hedgerow Data'!$E$3:$I$15,MATCH(D207,'G-6 Hedgerow Data'!$B$3:$B$15,0),MATCH(H207,'G-6 Hedgerow Data'!$E$2:$I$2,0))))</f>
        <v/>
      </c>
      <c r="N207" s="261"/>
      <c r="O207" s="261"/>
      <c r="P207" s="179" t="str">
        <f t="shared" si="19"/>
        <v/>
      </c>
      <c r="Q207" s="262" t="str">
        <f t="shared" si="20"/>
        <v/>
      </c>
      <c r="R207" s="263" t="str">
        <f t="shared" si="18"/>
        <v/>
      </c>
      <c r="S207" s="239" t="str">
        <f>IF(D207="","",VLOOKUP(D207,'G-6 Hedgerow Data'!$B$3:$AG$15,31,FALSE))</f>
        <v/>
      </c>
      <c r="T207" s="179" t="str">
        <f t="shared" si="21"/>
        <v/>
      </c>
      <c r="U207" s="179" t="str">
        <f t="shared" si="22"/>
        <v/>
      </c>
      <c r="V207" s="176" t="str">
        <f>IF(D207="","",VLOOKUP(S207,'G-3 Multipliers'!$P$3:$Q$6,2,FALSE))</f>
        <v/>
      </c>
      <c r="W207" s="274" t="str">
        <f t="shared" si="23"/>
        <v/>
      </c>
      <c r="X207" s="180"/>
      <c r="Y207" s="181"/>
      <c r="AG207" s="35" t="str">
        <f>IFERROR(INDEX('G-6 Hedgerow Data'!$BJ$3:$BJ$15,MATCH(D207,'G-6 Hedgerow Data'!$B$3:$B$15,0)),"")</f>
        <v/>
      </c>
    </row>
    <row r="208" spans="2:33" ht="13.8" x14ac:dyDescent="0.25">
      <c r="B208" s="168">
        <v>197</v>
      </c>
      <c r="C208" s="278"/>
      <c r="D208" s="261"/>
      <c r="E208" s="213"/>
      <c r="F208" s="277" t="str">
        <f>IF(D208="","",VLOOKUP(D208,'G-6 Hedgerow Data'!$B$2:$AG$15,2,FALSE))</f>
        <v/>
      </c>
      <c r="G208" s="172" t="str">
        <f>IF(D208="","",VLOOKUP(D208,'G-6 Hedgerow Data'!$B$2:$AG$15,3,FALSE))</f>
        <v/>
      </c>
      <c r="H208" s="173"/>
      <c r="I208" s="172" t="str">
        <f>IFERROR(VLOOKUP(H208,'G-1 All Habitats'!$Z$2:$AA$9,2,FALSE),"")</f>
        <v/>
      </c>
      <c r="J208" s="173"/>
      <c r="K208" s="175" t="str">
        <f>IF(J208="","",IF(VLOOKUP(J208,'G-3 Multipliers'!$L$3:$N$6,2,FALSE)=0,"Spatial Data Missing",VLOOKUP(J208,'G-3 Multipliers'!$L$3:$N$6,2,FALSE)))</f>
        <v/>
      </c>
      <c r="L208" s="260" t="str">
        <f>IF(J208="","",IF(VLOOKUP(J208,'G-3 Multipliers'!$L$3:$N$6,3,FALSE)=0,"Spatial Data Missing",VLOOKUP(J208,'G-3 Multipliers'!$L$3:$N$6,3,FALSE)))</f>
        <v/>
      </c>
      <c r="M208" s="171" t="str">
        <f>IF(OR(D208="",H208=""),"",(INDEX('G-6 Hedgerow Data'!$E$3:$I$15,MATCH(D208,'G-6 Hedgerow Data'!$B$3:$B$15,0),MATCH(H208,'G-6 Hedgerow Data'!$E$2:$I$2,0))))</f>
        <v/>
      </c>
      <c r="N208" s="261"/>
      <c r="O208" s="261"/>
      <c r="P208" s="179" t="str">
        <f t="shared" si="19"/>
        <v/>
      </c>
      <c r="Q208" s="262" t="str">
        <f t="shared" si="20"/>
        <v/>
      </c>
      <c r="R208" s="263" t="str">
        <f t="shared" si="18"/>
        <v/>
      </c>
      <c r="S208" s="239" t="str">
        <f>IF(D208="","",VLOOKUP(D208,'G-6 Hedgerow Data'!$B$3:$AG$15,31,FALSE))</f>
        <v/>
      </c>
      <c r="T208" s="179" t="str">
        <f t="shared" si="21"/>
        <v/>
      </c>
      <c r="U208" s="179" t="str">
        <f t="shared" si="22"/>
        <v/>
      </c>
      <c r="V208" s="176" t="str">
        <f>IF(D208="","",VLOOKUP(S208,'G-3 Multipliers'!$P$3:$Q$6,2,FALSE))</f>
        <v/>
      </c>
      <c r="W208" s="274" t="str">
        <f t="shared" si="23"/>
        <v/>
      </c>
      <c r="X208" s="180"/>
      <c r="Y208" s="181"/>
      <c r="AG208" s="35" t="str">
        <f>IFERROR(INDEX('G-6 Hedgerow Data'!$BJ$3:$BJ$15,MATCH(D208,'G-6 Hedgerow Data'!$B$3:$B$15,0)),"")</f>
        <v/>
      </c>
    </row>
    <row r="209" spans="2:33" ht="13.8" x14ac:dyDescent="0.25">
      <c r="B209" s="168">
        <v>198</v>
      </c>
      <c r="C209" s="278"/>
      <c r="D209" s="261"/>
      <c r="E209" s="213"/>
      <c r="F209" s="277" t="str">
        <f>IF(D209="","",VLOOKUP(D209,'G-6 Hedgerow Data'!$B$2:$AG$15,2,FALSE))</f>
        <v/>
      </c>
      <c r="G209" s="172" t="str">
        <f>IF(D209="","",VLOOKUP(D209,'G-6 Hedgerow Data'!$B$2:$AG$15,3,FALSE))</f>
        <v/>
      </c>
      <c r="H209" s="173"/>
      <c r="I209" s="172" t="str">
        <f>IFERROR(VLOOKUP(H209,'G-1 All Habitats'!$Z$2:$AA$9,2,FALSE),"")</f>
        <v/>
      </c>
      <c r="J209" s="173"/>
      <c r="K209" s="175" t="str">
        <f>IF(J209="","",IF(VLOOKUP(J209,'G-3 Multipliers'!$L$3:$N$6,2,FALSE)=0,"Spatial Data Missing",VLOOKUP(J209,'G-3 Multipliers'!$L$3:$N$6,2,FALSE)))</f>
        <v/>
      </c>
      <c r="L209" s="260" t="str">
        <f>IF(J209="","",IF(VLOOKUP(J209,'G-3 Multipliers'!$L$3:$N$6,3,FALSE)=0,"Spatial Data Missing",VLOOKUP(J209,'G-3 Multipliers'!$L$3:$N$6,3,FALSE)))</f>
        <v/>
      </c>
      <c r="M209" s="171" t="str">
        <f>IF(OR(D209="",H209=""),"",(INDEX('G-6 Hedgerow Data'!$E$3:$I$15,MATCH(D209,'G-6 Hedgerow Data'!$B$3:$B$15,0),MATCH(H209,'G-6 Hedgerow Data'!$E$2:$I$2,0))))</f>
        <v/>
      </c>
      <c r="N209" s="261"/>
      <c r="O209" s="261"/>
      <c r="P209" s="179" t="str">
        <f t="shared" si="19"/>
        <v/>
      </c>
      <c r="Q209" s="262" t="str">
        <f t="shared" si="20"/>
        <v/>
      </c>
      <c r="R209" s="263" t="str">
        <f t="shared" si="18"/>
        <v/>
      </c>
      <c r="S209" s="239" t="str">
        <f>IF(D209="","",VLOOKUP(D209,'G-6 Hedgerow Data'!$B$3:$AG$15,31,FALSE))</f>
        <v/>
      </c>
      <c r="T209" s="179" t="str">
        <f t="shared" si="21"/>
        <v/>
      </c>
      <c r="U209" s="179" t="str">
        <f t="shared" si="22"/>
        <v/>
      </c>
      <c r="V209" s="176" t="str">
        <f>IF(D209="","",VLOOKUP(S209,'G-3 Multipliers'!$P$3:$Q$6,2,FALSE))</f>
        <v/>
      </c>
      <c r="W209" s="274" t="str">
        <f t="shared" si="23"/>
        <v/>
      </c>
      <c r="X209" s="180"/>
      <c r="Y209" s="181"/>
      <c r="AG209" s="35" t="str">
        <f>IFERROR(INDEX('G-6 Hedgerow Data'!$BJ$3:$BJ$15,MATCH(D209,'G-6 Hedgerow Data'!$B$3:$B$15,0)),"")</f>
        <v/>
      </c>
    </row>
    <row r="210" spans="2:33" ht="13.8" x14ac:dyDescent="0.25">
      <c r="B210" s="168">
        <v>199</v>
      </c>
      <c r="C210" s="278"/>
      <c r="D210" s="261"/>
      <c r="E210" s="213"/>
      <c r="F210" s="277" t="str">
        <f>IF(D210="","",VLOOKUP(D210,'G-6 Hedgerow Data'!$B$2:$AG$15,2,FALSE))</f>
        <v/>
      </c>
      <c r="G210" s="172" t="str">
        <f>IF(D210="","",VLOOKUP(D210,'G-6 Hedgerow Data'!$B$2:$AG$15,3,FALSE))</f>
        <v/>
      </c>
      <c r="H210" s="173"/>
      <c r="I210" s="172" t="str">
        <f>IFERROR(VLOOKUP(H210,'G-1 All Habitats'!$Z$2:$AA$9,2,FALSE),"")</f>
        <v/>
      </c>
      <c r="J210" s="173"/>
      <c r="K210" s="175" t="str">
        <f>IF(J210="","",IF(VLOOKUP(J210,'G-3 Multipliers'!$L$3:$N$6,2,FALSE)=0,"Spatial Data Missing",VLOOKUP(J210,'G-3 Multipliers'!$L$3:$N$6,2,FALSE)))</f>
        <v/>
      </c>
      <c r="L210" s="260" t="str">
        <f>IF(J210="","",IF(VLOOKUP(J210,'G-3 Multipliers'!$L$3:$N$6,3,FALSE)=0,"Spatial Data Missing",VLOOKUP(J210,'G-3 Multipliers'!$L$3:$N$6,3,FALSE)))</f>
        <v/>
      </c>
      <c r="M210" s="171" t="str">
        <f>IF(OR(D210="",H210=""),"",(INDEX('G-6 Hedgerow Data'!$E$3:$I$15,MATCH(D210,'G-6 Hedgerow Data'!$B$3:$B$15,0),MATCH(H210,'G-6 Hedgerow Data'!$E$2:$I$2,0))))</f>
        <v/>
      </c>
      <c r="N210" s="261"/>
      <c r="O210" s="261"/>
      <c r="P210" s="179" t="str">
        <f t="shared" si="19"/>
        <v/>
      </c>
      <c r="Q210" s="262" t="str">
        <f t="shared" si="20"/>
        <v/>
      </c>
      <c r="R210" s="263" t="str">
        <f t="shared" si="18"/>
        <v/>
      </c>
      <c r="S210" s="239" t="str">
        <f>IF(D210="","",VLOOKUP(D210,'G-6 Hedgerow Data'!$B$3:$AG$15,31,FALSE))</f>
        <v/>
      </c>
      <c r="T210" s="179" t="str">
        <f t="shared" si="21"/>
        <v/>
      </c>
      <c r="U210" s="179" t="str">
        <f t="shared" si="22"/>
        <v/>
      </c>
      <c r="V210" s="176" t="str">
        <f>IF(D210="","",VLOOKUP(S210,'G-3 Multipliers'!$P$3:$Q$6,2,FALSE))</f>
        <v/>
      </c>
      <c r="W210" s="274" t="str">
        <f t="shared" si="23"/>
        <v/>
      </c>
      <c r="X210" s="180"/>
      <c r="Y210" s="181"/>
      <c r="AG210" s="35" t="str">
        <f>IFERROR(INDEX('G-6 Hedgerow Data'!$BJ$3:$BJ$15,MATCH(D210,'G-6 Hedgerow Data'!$B$3:$B$15,0)),"")</f>
        <v/>
      </c>
    </row>
    <row r="211" spans="2:33" ht="13.8" x14ac:dyDescent="0.25">
      <c r="B211" s="168">
        <v>200</v>
      </c>
      <c r="C211" s="278"/>
      <c r="D211" s="261"/>
      <c r="E211" s="213"/>
      <c r="F211" s="277" t="str">
        <f>IF(D211="","",VLOOKUP(D211,'G-6 Hedgerow Data'!$B$2:$AG$15,2,FALSE))</f>
        <v/>
      </c>
      <c r="G211" s="172" t="str">
        <f>IF(D211="","",VLOOKUP(D211,'G-6 Hedgerow Data'!$B$2:$AG$15,3,FALSE))</f>
        <v/>
      </c>
      <c r="H211" s="173"/>
      <c r="I211" s="172" t="str">
        <f>IFERROR(VLOOKUP(H211,'G-1 All Habitats'!$Z$2:$AA$9,2,FALSE),"")</f>
        <v/>
      </c>
      <c r="J211" s="173"/>
      <c r="K211" s="175" t="str">
        <f>IF(J211="","",IF(VLOOKUP(J211,'G-3 Multipliers'!$L$3:$N$6,2,FALSE)=0,"Spatial Data Missing",VLOOKUP(J211,'G-3 Multipliers'!$L$3:$N$6,2,FALSE)))</f>
        <v/>
      </c>
      <c r="L211" s="260" t="str">
        <f>IF(J211="","",IF(VLOOKUP(J211,'G-3 Multipliers'!$L$3:$N$6,3,FALSE)=0,"Spatial Data Missing",VLOOKUP(J211,'G-3 Multipliers'!$L$3:$N$6,3,FALSE)))</f>
        <v/>
      </c>
      <c r="M211" s="171" t="str">
        <f>IF(OR(D211="",H211=""),"",(INDEX('G-6 Hedgerow Data'!$E$3:$I$15,MATCH(D211,'G-6 Hedgerow Data'!$B$3:$B$15,0),MATCH(H211,'G-6 Hedgerow Data'!$E$2:$I$2,0))))</f>
        <v/>
      </c>
      <c r="N211" s="261"/>
      <c r="O211" s="261"/>
      <c r="P211" s="179" t="str">
        <f t="shared" si="19"/>
        <v/>
      </c>
      <c r="Q211" s="262" t="str">
        <f t="shared" si="20"/>
        <v/>
      </c>
      <c r="R211" s="263" t="str">
        <f t="shared" si="18"/>
        <v/>
      </c>
      <c r="S211" s="239" t="str">
        <f>IF(D211="","",VLOOKUP(D211,'G-6 Hedgerow Data'!$B$3:$AG$15,31,FALSE))</f>
        <v/>
      </c>
      <c r="T211" s="179" t="str">
        <f t="shared" si="21"/>
        <v/>
      </c>
      <c r="U211" s="179" t="str">
        <f t="shared" si="22"/>
        <v/>
      </c>
      <c r="V211" s="176" t="str">
        <f>IF(D211="","",VLOOKUP(S211,'G-3 Multipliers'!$P$3:$Q$6,2,FALSE))</f>
        <v/>
      </c>
      <c r="W211" s="274" t="str">
        <f t="shared" si="23"/>
        <v/>
      </c>
      <c r="X211" s="180"/>
      <c r="Y211" s="181"/>
      <c r="AG211" s="35" t="str">
        <f>IFERROR(INDEX('G-6 Hedgerow Data'!$BJ$3:$BJ$15,MATCH(D211,'G-6 Hedgerow Data'!$B$3:$B$15,0)),"")</f>
        <v/>
      </c>
    </row>
    <row r="212" spans="2:33" ht="13.8" x14ac:dyDescent="0.25">
      <c r="B212" s="168">
        <v>201</v>
      </c>
      <c r="C212" s="278"/>
      <c r="D212" s="261"/>
      <c r="E212" s="213"/>
      <c r="F212" s="277" t="str">
        <f>IF(D212="","",VLOOKUP(D212,'G-6 Hedgerow Data'!$B$2:$AG$15,2,FALSE))</f>
        <v/>
      </c>
      <c r="G212" s="172" t="str">
        <f>IF(D212="","",VLOOKUP(D212,'G-6 Hedgerow Data'!$B$2:$AG$15,3,FALSE))</f>
        <v/>
      </c>
      <c r="H212" s="173"/>
      <c r="I212" s="172" t="str">
        <f>IFERROR(VLOOKUP(H212,'G-1 All Habitats'!$Z$2:$AA$9,2,FALSE),"")</f>
        <v/>
      </c>
      <c r="J212" s="173"/>
      <c r="K212" s="175" t="str">
        <f>IF(J212="","",IF(VLOOKUP(J212,'G-3 Multipliers'!$L$3:$N$6,2,FALSE)=0,"Spatial Data Missing",VLOOKUP(J212,'G-3 Multipliers'!$L$3:$N$6,2,FALSE)))</f>
        <v/>
      </c>
      <c r="L212" s="260" t="str">
        <f>IF(J212="","",IF(VLOOKUP(J212,'G-3 Multipliers'!$L$3:$N$6,3,FALSE)=0,"Spatial Data Missing",VLOOKUP(J212,'G-3 Multipliers'!$L$3:$N$6,3,FALSE)))</f>
        <v/>
      </c>
      <c r="M212" s="171" t="str">
        <f>IF(OR(D212="",H212=""),"",(INDEX('G-6 Hedgerow Data'!$E$3:$I$15,MATCH(D212,'G-6 Hedgerow Data'!$B$3:$B$15,0),MATCH(H212,'G-6 Hedgerow Data'!$E$2:$I$2,0))))</f>
        <v/>
      </c>
      <c r="N212" s="261"/>
      <c r="O212" s="261"/>
      <c r="P212" s="179" t="str">
        <f t="shared" si="19"/>
        <v/>
      </c>
      <c r="Q212" s="262" t="str">
        <f t="shared" si="20"/>
        <v/>
      </c>
      <c r="R212" s="263" t="str">
        <f t="shared" si="18"/>
        <v/>
      </c>
      <c r="S212" s="239" t="str">
        <f>IF(D212="","",VLOOKUP(D212,'G-6 Hedgerow Data'!$B$3:$AG$15,31,FALSE))</f>
        <v/>
      </c>
      <c r="T212" s="179" t="str">
        <f t="shared" si="21"/>
        <v/>
      </c>
      <c r="U212" s="179" t="str">
        <f t="shared" si="22"/>
        <v/>
      </c>
      <c r="V212" s="176" t="str">
        <f>IF(D212="","",VLOOKUP(S212,'G-3 Multipliers'!$P$3:$Q$6,2,FALSE))</f>
        <v/>
      </c>
      <c r="W212" s="274" t="str">
        <f t="shared" si="23"/>
        <v/>
      </c>
      <c r="X212" s="180"/>
      <c r="Y212" s="181"/>
      <c r="AG212" s="35" t="str">
        <f>IFERROR(INDEX('G-6 Hedgerow Data'!$BJ$3:$BJ$15,MATCH(D212,'G-6 Hedgerow Data'!$B$3:$B$15,0)),"")</f>
        <v/>
      </c>
    </row>
    <row r="213" spans="2:33" ht="13.8" x14ac:dyDescent="0.25">
      <c r="B213" s="168">
        <v>202</v>
      </c>
      <c r="C213" s="278"/>
      <c r="D213" s="261"/>
      <c r="E213" s="213"/>
      <c r="F213" s="277" t="str">
        <f>IF(D213="","",VLOOKUP(D213,'G-6 Hedgerow Data'!$B$2:$AG$15,2,FALSE))</f>
        <v/>
      </c>
      <c r="G213" s="172" t="str">
        <f>IF(D213="","",VLOOKUP(D213,'G-6 Hedgerow Data'!$B$2:$AG$15,3,FALSE))</f>
        <v/>
      </c>
      <c r="H213" s="173"/>
      <c r="I213" s="172" t="str">
        <f>IFERROR(VLOOKUP(H213,'G-1 All Habitats'!$Z$2:$AA$9,2,FALSE),"")</f>
        <v/>
      </c>
      <c r="J213" s="173"/>
      <c r="K213" s="175" t="str">
        <f>IF(J213="","",IF(VLOOKUP(J213,'G-3 Multipliers'!$L$3:$N$6,2,FALSE)=0,"Spatial Data Missing",VLOOKUP(J213,'G-3 Multipliers'!$L$3:$N$6,2,FALSE)))</f>
        <v/>
      </c>
      <c r="L213" s="260" t="str">
        <f>IF(J213="","",IF(VLOOKUP(J213,'G-3 Multipliers'!$L$3:$N$6,3,FALSE)=0,"Spatial Data Missing",VLOOKUP(J213,'G-3 Multipliers'!$L$3:$N$6,3,FALSE)))</f>
        <v/>
      </c>
      <c r="M213" s="171" t="str">
        <f>IF(OR(D213="",H213=""),"",(INDEX('G-6 Hedgerow Data'!$E$3:$I$15,MATCH(D213,'G-6 Hedgerow Data'!$B$3:$B$15,0),MATCH(H213,'G-6 Hedgerow Data'!$E$2:$I$2,0))))</f>
        <v/>
      </c>
      <c r="N213" s="261"/>
      <c r="O213" s="261"/>
      <c r="P213" s="179" t="str">
        <f t="shared" si="19"/>
        <v/>
      </c>
      <c r="Q213" s="262" t="str">
        <f t="shared" si="20"/>
        <v/>
      </c>
      <c r="R213" s="263" t="str">
        <f t="shared" si="18"/>
        <v/>
      </c>
      <c r="S213" s="239" t="str">
        <f>IF(D213="","",VLOOKUP(D213,'G-6 Hedgerow Data'!$B$3:$AG$15,31,FALSE))</f>
        <v/>
      </c>
      <c r="T213" s="179" t="str">
        <f t="shared" si="21"/>
        <v/>
      </c>
      <c r="U213" s="179" t="str">
        <f t="shared" si="22"/>
        <v/>
      </c>
      <c r="V213" s="176" t="str">
        <f>IF(D213="","",VLOOKUP(S213,'G-3 Multipliers'!$P$3:$Q$6,2,FALSE))</f>
        <v/>
      </c>
      <c r="W213" s="274" t="str">
        <f t="shared" si="23"/>
        <v/>
      </c>
      <c r="X213" s="180"/>
      <c r="Y213" s="181"/>
      <c r="AG213" s="35" t="str">
        <f>IFERROR(INDEX('G-6 Hedgerow Data'!$BJ$3:$BJ$15,MATCH(D213,'G-6 Hedgerow Data'!$B$3:$B$15,0)),"")</f>
        <v/>
      </c>
    </row>
    <row r="214" spans="2:33" ht="13.8" x14ac:dyDescent="0.25">
      <c r="B214" s="168">
        <v>203</v>
      </c>
      <c r="C214" s="278"/>
      <c r="D214" s="261"/>
      <c r="E214" s="213"/>
      <c r="F214" s="277" t="str">
        <f>IF(D214="","",VLOOKUP(D214,'G-6 Hedgerow Data'!$B$2:$AG$15,2,FALSE))</f>
        <v/>
      </c>
      <c r="G214" s="172" t="str">
        <f>IF(D214="","",VLOOKUP(D214,'G-6 Hedgerow Data'!$B$2:$AG$15,3,FALSE))</f>
        <v/>
      </c>
      <c r="H214" s="173"/>
      <c r="I214" s="172" t="str">
        <f>IFERROR(VLOOKUP(H214,'G-1 All Habitats'!$Z$2:$AA$9,2,FALSE),"")</f>
        <v/>
      </c>
      <c r="J214" s="173"/>
      <c r="K214" s="175" t="str">
        <f>IF(J214="","",IF(VLOOKUP(J214,'G-3 Multipliers'!$L$3:$N$6,2,FALSE)=0,"Spatial Data Missing",VLOOKUP(J214,'G-3 Multipliers'!$L$3:$N$6,2,FALSE)))</f>
        <v/>
      </c>
      <c r="L214" s="260" t="str">
        <f>IF(J214="","",IF(VLOOKUP(J214,'G-3 Multipliers'!$L$3:$N$6,3,FALSE)=0,"Spatial Data Missing",VLOOKUP(J214,'G-3 Multipliers'!$L$3:$N$6,3,FALSE)))</f>
        <v/>
      </c>
      <c r="M214" s="171" t="str">
        <f>IF(OR(D214="",H214=""),"",(INDEX('G-6 Hedgerow Data'!$E$3:$I$15,MATCH(D214,'G-6 Hedgerow Data'!$B$3:$B$15,0),MATCH(H214,'G-6 Hedgerow Data'!$E$2:$I$2,0))))</f>
        <v/>
      </c>
      <c r="N214" s="261"/>
      <c r="O214" s="261"/>
      <c r="P214" s="179" t="str">
        <f t="shared" si="19"/>
        <v/>
      </c>
      <c r="Q214" s="262" t="str">
        <f t="shared" si="20"/>
        <v/>
      </c>
      <c r="R214" s="263" t="str">
        <f t="shared" si="18"/>
        <v/>
      </c>
      <c r="S214" s="239" t="str">
        <f>IF(D214="","",VLOOKUP(D214,'G-6 Hedgerow Data'!$B$3:$AG$15,31,FALSE))</f>
        <v/>
      </c>
      <c r="T214" s="179" t="str">
        <f t="shared" si="21"/>
        <v/>
      </c>
      <c r="U214" s="179" t="str">
        <f t="shared" si="22"/>
        <v/>
      </c>
      <c r="V214" s="176" t="str">
        <f>IF(D214="","",VLOOKUP(S214,'G-3 Multipliers'!$P$3:$Q$6,2,FALSE))</f>
        <v/>
      </c>
      <c r="W214" s="274" t="str">
        <f t="shared" si="23"/>
        <v/>
      </c>
      <c r="X214" s="180"/>
      <c r="Y214" s="181"/>
      <c r="AG214" s="35" t="str">
        <f>IFERROR(INDEX('G-6 Hedgerow Data'!$BJ$3:$BJ$15,MATCH(D214,'G-6 Hedgerow Data'!$B$3:$B$15,0)),"")</f>
        <v/>
      </c>
    </row>
    <row r="215" spans="2:33" ht="13.8" x14ac:dyDescent="0.25">
      <c r="B215" s="168">
        <v>204</v>
      </c>
      <c r="C215" s="278"/>
      <c r="D215" s="261"/>
      <c r="E215" s="213"/>
      <c r="F215" s="277" t="str">
        <f>IF(D215="","",VLOOKUP(D215,'G-6 Hedgerow Data'!$B$2:$AG$15,2,FALSE))</f>
        <v/>
      </c>
      <c r="G215" s="172" t="str">
        <f>IF(D215="","",VLOOKUP(D215,'G-6 Hedgerow Data'!$B$2:$AG$15,3,FALSE))</f>
        <v/>
      </c>
      <c r="H215" s="173"/>
      <c r="I215" s="172" t="str">
        <f>IFERROR(VLOOKUP(H215,'G-1 All Habitats'!$Z$2:$AA$9,2,FALSE),"")</f>
        <v/>
      </c>
      <c r="J215" s="173"/>
      <c r="K215" s="175" t="str">
        <f>IF(J215="","",IF(VLOOKUP(J215,'G-3 Multipliers'!$L$3:$N$6,2,FALSE)=0,"Spatial Data Missing",VLOOKUP(J215,'G-3 Multipliers'!$L$3:$N$6,2,FALSE)))</f>
        <v/>
      </c>
      <c r="L215" s="260" t="str">
        <f>IF(J215="","",IF(VLOOKUP(J215,'G-3 Multipliers'!$L$3:$N$6,3,FALSE)=0,"Spatial Data Missing",VLOOKUP(J215,'G-3 Multipliers'!$L$3:$N$6,3,FALSE)))</f>
        <v/>
      </c>
      <c r="M215" s="171" t="str">
        <f>IF(OR(D215="",H215=""),"",(INDEX('G-6 Hedgerow Data'!$E$3:$I$15,MATCH(D215,'G-6 Hedgerow Data'!$B$3:$B$15,0),MATCH(H215,'G-6 Hedgerow Data'!$E$2:$I$2,0))))</f>
        <v/>
      </c>
      <c r="N215" s="261"/>
      <c r="O215" s="261"/>
      <c r="P215" s="179" t="str">
        <f t="shared" si="19"/>
        <v/>
      </c>
      <c r="Q215" s="262" t="str">
        <f t="shared" si="20"/>
        <v/>
      </c>
      <c r="R215" s="263" t="str">
        <f t="shared" si="18"/>
        <v/>
      </c>
      <c r="S215" s="239" t="str">
        <f>IF(D215="","",VLOOKUP(D215,'G-6 Hedgerow Data'!$B$3:$AG$15,31,FALSE))</f>
        <v/>
      </c>
      <c r="T215" s="179" t="str">
        <f t="shared" si="21"/>
        <v/>
      </c>
      <c r="U215" s="179" t="str">
        <f t="shared" si="22"/>
        <v/>
      </c>
      <c r="V215" s="176" t="str">
        <f>IF(D215="","",VLOOKUP(S215,'G-3 Multipliers'!$P$3:$Q$6,2,FALSE))</f>
        <v/>
      </c>
      <c r="W215" s="274" t="str">
        <f t="shared" si="23"/>
        <v/>
      </c>
      <c r="X215" s="180"/>
      <c r="Y215" s="181"/>
      <c r="AG215" s="35" t="str">
        <f>IFERROR(INDEX('G-6 Hedgerow Data'!$BJ$3:$BJ$15,MATCH(D215,'G-6 Hedgerow Data'!$B$3:$B$15,0)),"")</f>
        <v/>
      </c>
    </row>
    <row r="216" spans="2:33" ht="13.8" x14ac:dyDescent="0.25">
      <c r="B216" s="168">
        <v>205</v>
      </c>
      <c r="C216" s="278"/>
      <c r="D216" s="261"/>
      <c r="E216" s="213"/>
      <c r="F216" s="277" t="str">
        <f>IF(D216="","",VLOOKUP(D216,'G-6 Hedgerow Data'!$B$2:$AG$15,2,FALSE))</f>
        <v/>
      </c>
      <c r="G216" s="172" t="str">
        <f>IF(D216="","",VLOOKUP(D216,'G-6 Hedgerow Data'!$B$2:$AG$15,3,FALSE))</f>
        <v/>
      </c>
      <c r="H216" s="173"/>
      <c r="I216" s="172" t="str">
        <f>IFERROR(VLOOKUP(H216,'G-1 All Habitats'!$Z$2:$AA$9,2,FALSE),"")</f>
        <v/>
      </c>
      <c r="J216" s="173"/>
      <c r="K216" s="175" t="str">
        <f>IF(J216="","",IF(VLOOKUP(J216,'G-3 Multipliers'!$L$3:$N$6,2,FALSE)=0,"Spatial Data Missing",VLOOKUP(J216,'G-3 Multipliers'!$L$3:$N$6,2,FALSE)))</f>
        <v/>
      </c>
      <c r="L216" s="260" t="str">
        <f>IF(J216="","",IF(VLOOKUP(J216,'G-3 Multipliers'!$L$3:$N$6,3,FALSE)=0,"Spatial Data Missing",VLOOKUP(J216,'G-3 Multipliers'!$L$3:$N$6,3,FALSE)))</f>
        <v/>
      </c>
      <c r="M216" s="171" t="str">
        <f>IF(OR(D216="",H216=""),"",(INDEX('G-6 Hedgerow Data'!$E$3:$I$15,MATCH(D216,'G-6 Hedgerow Data'!$B$3:$B$15,0),MATCH(H216,'G-6 Hedgerow Data'!$E$2:$I$2,0))))</f>
        <v/>
      </c>
      <c r="N216" s="261"/>
      <c r="O216" s="261"/>
      <c r="P216" s="179" t="str">
        <f t="shared" si="19"/>
        <v/>
      </c>
      <c r="Q216" s="262" t="str">
        <f t="shared" si="20"/>
        <v/>
      </c>
      <c r="R216" s="263" t="str">
        <f t="shared" si="18"/>
        <v/>
      </c>
      <c r="S216" s="239" t="str">
        <f>IF(D216="","",VLOOKUP(D216,'G-6 Hedgerow Data'!$B$3:$AG$15,31,FALSE))</f>
        <v/>
      </c>
      <c r="T216" s="179" t="str">
        <f t="shared" si="21"/>
        <v/>
      </c>
      <c r="U216" s="179" t="str">
        <f t="shared" si="22"/>
        <v/>
      </c>
      <c r="V216" s="176" t="str">
        <f>IF(D216="","",VLOOKUP(S216,'G-3 Multipliers'!$P$3:$Q$6,2,FALSE))</f>
        <v/>
      </c>
      <c r="W216" s="274" t="str">
        <f t="shared" si="23"/>
        <v/>
      </c>
      <c r="X216" s="180"/>
      <c r="Y216" s="181"/>
      <c r="AG216" s="35" t="str">
        <f>IFERROR(INDEX('G-6 Hedgerow Data'!$BJ$3:$BJ$15,MATCH(D216,'G-6 Hedgerow Data'!$B$3:$B$15,0)),"")</f>
        <v/>
      </c>
    </row>
    <row r="217" spans="2:33" ht="13.8" x14ac:dyDescent="0.25">
      <c r="B217" s="168">
        <v>206</v>
      </c>
      <c r="C217" s="278"/>
      <c r="D217" s="261"/>
      <c r="E217" s="213"/>
      <c r="F217" s="277" t="str">
        <f>IF(D217="","",VLOOKUP(D217,'G-6 Hedgerow Data'!$B$2:$AG$15,2,FALSE))</f>
        <v/>
      </c>
      <c r="G217" s="172" t="str">
        <f>IF(D217="","",VLOOKUP(D217,'G-6 Hedgerow Data'!$B$2:$AG$15,3,FALSE))</f>
        <v/>
      </c>
      <c r="H217" s="173"/>
      <c r="I217" s="172" t="str">
        <f>IFERROR(VLOOKUP(H217,'G-1 All Habitats'!$Z$2:$AA$9,2,FALSE),"")</f>
        <v/>
      </c>
      <c r="J217" s="173"/>
      <c r="K217" s="175" t="str">
        <f>IF(J217="","",IF(VLOOKUP(J217,'G-3 Multipliers'!$L$3:$N$6,2,FALSE)=0,"Spatial Data Missing",VLOOKUP(J217,'G-3 Multipliers'!$L$3:$N$6,2,FALSE)))</f>
        <v/>
      </c>
      <c r="L217" s="260" t="str">
        <f>IF(J217="","",IF(VLOOKUP(J217,'G-3 Multipliers'!$L$3:$N$6,3,FALSE)=0,"Spatial Data Missing",VLOOKUP(J217,'G-3 Multipliers'!$L$3:$N$6,3,FALSE)))</f>
        <v/>
      </c>
      <c r="M217" s="171" t="str">
        <f>IF(OR(D217="",H217=""),"",(INDEX('G-6 Hedgerow Data'!$E$3:$I$15,MATCH(D217,'G-6 Hedgerow Data'!$B$3:$B$15,0),MATCH(H217,'G-6 Hedgerow Data'!$E$2:$I$2,0))))</f>
        <v/>
      </c>
      <c r="N217" s="261"/>
      <c r="O217" s="261"/>
      <c r="P217" s="179" t="str">
        <f t="shared" si="19"/>
        <v/>
      </c>
      <c r="Q217" s="262" t="str">
        <f t="shared" si="20"/>
        <v/>
      </c>
      <c r="R217" s="263" t="str">
        <f t="shared" si="18"/>
        <v/>
      </c>
      <c r="S217" s="239" t="str">
        <f>IF(D217="","",VLOOKUP(D217,'G-6 Hedgerow Data'!$B$3:$AG$15,31,FALSE))</f>
        <v/>
      </c>
      <c r="T217" s="179" t="str">
        <f t="shared" si="21"/>
        <v/>
      </c>
      <c r="U217" s="179" t="str">
        <f t="shared" si="22"/>
        <v/>
      </c>
      <c r="V217" s="176" t="str">
        <f>IF(D217="","",VLOOKUP(S217,'G-3 Multipliers'!$P$3:$Q$6,2,FALSE))</f>
        <v/>
      </c>
      <c r="W217" s="274" t="str">
        <f t="shared" si="23"/>
        <v/>
      </c>
      <c r="X217" s="180"/>
      <c r="Y217" s="181"/>
      <c r="AG217" s="35" t="str">
        <f>IFERROR(INDEX('G-6 Hedgerow Data'!$BJ$3:$BJ$15,MATCH(D217,'G-6 Hedgerow Data'!$B$3:$B$15,0)),"")</f>
        <v/>
      </c>
    </row>
    <row r="218" spans="2:33" ht="13.8" x14ac:dyDescent="0.25">
      <c r="B218" s="168">
        <v>207</v>
      </c>
      <c r="C218" s="278"/>
      <c r="D218" s="261"/>
      <c r="E218" s="213"/>
      <c r="F218" s="277" t="str">
        <f>IF(D218="","",VLOOKUP(D218,'G-6 Hedgerow Data'!$B$2:$AG$15,2,FALSE))</f>
        <v/>
      </c>
      <c r="G218" s="172" t="str">
        <f>IF(D218="","",VLOOKUP(D218,'G-6 Hedgerow Data'!$B$2:$AG$15,3,FALSE))</f>
        <v/>
      </c>
      <c r="H218" s="173"/>
      <c r="I218" s="172" t="str">
        <f>IFERROR(VLOOKUP(H218,'G-1 All Habitats'!$Z$2:$AA$9,2,FALSE),"")</f>
        <v/>
      </c>
      <c r="J218" s="173"/>
      <c r="K218" s="175" t="str">
        <f>IF(J218="","",IF(VLOOKUP(J218,'G-3 Multipliers'!$L$3:$N$6,2,FALSE)=0,"Spatial Data Missing",VLOOKUP(J218,'G-3 Multipliers'!$L$3:$N$6,2,FALSE)))</f>
        <v/>
      </c>
      <c r="L218" s="260" t="str">
        <f>IF(J218="","",IF(VLOOKUP(J218,'G-3 Multipliers'!$L$3:$N$6,3,FALSE)=0,"Spatial Data Missing",VLOOKUP(J218,'G-3 Multipliers'!$L$3:$N$6,3,FALSE)))</f>
        <v/>
      </c>
      <c r="M218" s="171" t="str">
        <f>IF(OR(D218="",H218=""),"",(INDEX('G-6 Hedgerow Data'!$E$3:$I$15,MATCH(D218,'G-6 Hedgerow Data'!$B$3:$B$15,0),MATCH(H218,'G-6 Hedgerow Data'!$E$2:$I$2,0))))</f>
        <v/>
      </c>
      <c r="N218" s="261"/>
      <c r="O218" s="261"/>
      <c r="P218" s="179" t="str">
        <f t="shared" si="19"/>
        <v/>
      </c>
      <c r="Q218" s="262" t="str">
        <f t="shared" si="20"/>
        <v/>
      </c>
      <c r="R218" s="263" t="str">
        <f t="shared" si="18"/>
        <v/>
      </c>
      <c r="S218" s="239" t="str">
        <f>IF(D218="","",VLOOKUP(D218,'G-6 Hedgerow Data'!$B$3:$AG$15,31,FALSE))</f>
        <v/>
      </c>
      <c r="T218" s="179" t="str">
        <f t="shared" si="21"/>
        <v/>
      </c>
      <c r="U218" s="179" t="str">
        <f t="shared" si="22"/>
        <v/>
      </c>
      <c r="V218" s="176" t="str">
        <f>IF(D218="","",VLOOKUP(S218,'G-3 Multipliers'!$P$3:$Q$6,2,FALSE))</f>
        <v/>
      </c>
      <c r="W218" s="274" t="str">
        <f t="shared" si="23"/>
        <v/>
      </c>
      <c r="X218" s="180"/>
      <c r="Y218" s="181"/>
      <c r="AG218" s="35" t="str">
        <f>IFERROR(INDEX('G-6 Hedgerow Data'!$BJ$3:$BJ$15,MATCH(D218,'G-6 Hedgerow Data'!$B$3:$B$15,0)),"")</f>
        <v/>
      </c>
    </row>
    <row r="219" spans="2:33" ht="13.8" x14ac:dyDescent="0.25">
      <c r="B219" s="168">
        <v>208</v>
      </c>
      <c r="C219" s="278"/>
      <c r="D219" s="261"/>
      <c r="E219" s="213"/>
      <c r="F219" s="277" t="str">
        <f>IF(D219="","",VLOOKUP(D219,'G-6 Hedgerow Data'!$B$2:$AG$15,2,FALSE))</f>
        <v/>
      </c>
      <c r="G219" s="172" t="str">
        <f>IF(D219="","",VLOOKUP(D219,'G-6 Hedgerow Data'!$B$2:$AG$15,3,FALSE))</f>
        <v/>
      </c>
      <c r="H219" s="173"/>
      <c r="I219" s="172" t="str">
        <f>IFERROR(VLOOKUP(H219,'G-1 All Habitats'!$Z$2:$AA$9,2,FALSE),"")</f>
        <v/>
      </c>
      <c r="J219" s="173"/>
      <c r="K219" s="175" t="str">
        <f>IF(J219="","",IF(VLOOKUP(J219,'G-3 Multipliers'!$L$3:$N$6,2,FALSE)=0,"Spatial Data Missing",VLOOKUP(J219,'G-3 Multipliers'!$L$3:$N$6,2,FALSE)))</f>
        <v/>
      </c>
      <c r="L219" s="260" t="str">
        <f>IF(J219="","",IF(VLOOKUP(J219,'G-3 Multipliers'!$L$3:$N$6,3,FALSE)=0,"Spatial Data Missing",VLOOKUP(J219,'G-3 Multipliers'!$L$3:$N$6,3,FALSE)))</f>
        <v/>
      </c>
      <c r="M219" s="171" t="str">
        <f>IF(OR(D219="",H219=""),"",(INDEX('G-6 Hedgerow Data'!$E$3:$I$15,MATCH(D219,'G-6 Hedgerow Data'!$B$3:$B$15,0),MATCH(H219,'G-6 Hedgerow Data'!$E$2:$I$2,0))))</f>
        <v/>
      </c>
      <c r="N219" s="261"/>
      <c r="O219" s="261"/>
      <c r="P219" s="179" t="str">
        <f t="shared" si="19"/>
        <v/>
      </c>
      <c r="Q219" s="262" t="str">
        <f t="shared" si="20"/>
        <v/>
      </c>
      <c r="R219" s="263" t="str">
        <f t="shared" si="18"/>
        <v/>
      </c>
      <c r="S219" s="239" t="str">
        <f>IF(D219="","",VLOOKUP(D219,'G-6 Hedgerow Data'!$B$3:$AG$15,31,FALSE))</f>
        <v/>
      </c>
      <c r="T219" s="179" t="str">
        <f t="shared" si="21"/>
        <v/>
      </c>
      <c r="U219" s="179" t="str">
        <f t="shared" si="22"/>
        <v/>
      </c>
      <c r="V219" s="176" t="str">
        <f>IF(D219="","",VLOOKUP(S219,'G-3 Multipliers'!$P$3:$Q$6,2,FALSE))</f>
        <v/>
      </c>
      <c r="W219" s="274" t="str">
        <f t="shared" si="23"/>
        <v/>
      </c>
      <c r="X219" s="180"/>
      <c r="Y219" s="181"/>
      <c r="AG219" s="35" t="str">
        <f>IFERROR(INDEX('G-6 Hedgerow Data'!$BJ$3:$BJ$15,MATCH(D219,'G-6 Hedgerow Data'!$B$3:$B$15,0)),"")</f>
        <v/>
      </c>
    </row>
    <row r="220" spans="2:33" ht="13.8" x14ac:dyDescent="0.25">
      <c r="B220" s="168">
        <v>209</v>
      </c>
      <c r="C220" s="278"/>
      <c r="D220" s="261"/>
      <c r="E220" s="213"/>
      <c r="F220" s="277" t="str">
        <f>IF(D220="","",VLOOKUP(D220,'G-6 Hedgerow Data'!$B$2:$AG$15,2,FALSE))</f>
        <v/>
      </c>
      <c r="G220" s="172" t="str">
        <f>IF(D220="","",VLOOKUP(D220,'G-6 Hedgerow Data'!$B$2:$AG$15,3,FALSE))</f>
        <v/>
      </c>
      <c r="H220" s="173"/>
      <c r="I220" s="172" t="str">
        <f>IFERROR(VLOOKUP(H220,'G-1 All Habitats'!$Z$2:$AA$9,2,FALSE),"")</f>
        <v/>
      </c>
      <c r="J220" s="173"/>
      <c r="K220" s="175" t="str">
        <f>IF(J220="","",IF(VLOOKUP(J220,'G-3 Multipliers'!$L$3:$N$6,2,FALSE)=0,"Spatial Data Missing",VLOOKUP(J220,'G-3 Multipliers'!$L$3:$N$6,2,FALSE)))</f>
        <v/>
      </c>
      <c r="L220" s="260" t="str">
        <f>IF(J220="","",IF(VLOOKUP(J220,'G-3 Multipliers'!$L$3:$N$6,3,FALSE)=0,"Spatial Data Missing",VLOOKUP(J220,'G-3 Multipliers'!$L$3:$N$6,3,FALSE)))</f>
        <v/>
      </c>
      <c r="M220" s="171" t="str">
        <f>IF(OR(D220="",H220=""),"",(INDEX('G-6 Hedgerow Data'!$E$3:$I$15,MATCH(D220,'G-6 Hedgerow Data'!$B$3:$B$15,0),MATCH(H220,'G-6 Hedgerow Data'!$E$2:$I$2,0))))</f>
        <v/>
      </c>
      <c r="N220" s="261"/>
      <c r="O220" s="261"/>
      <c r="P220" s="179" t="str">
        <f t="shared" si="19"/>
        <v/>
      </c>
      <c r="Q220" s="262" t="str">
        <f t="shared" si="20"/>
        <v/>
      </c>
      <c r="R220" s="263" t="str">
        <f t="shared" si="18"/>
        <v/>
      </c>
      <c r="S220" s="239" t="str">
        <f>IF(D220="","",VLOOKUP(D220,'G-6 Hedgerow Data'!$B$3:$AG$15,31,FALSE))</f>
        <v/>
      </c>
      <c r="T220" s="179" t="str">
        <f t="shared" si="21"/>
        <v/>
      </c>
      <c r="U220" s="179" t="str">
        <f t="shared" si="22"/>
        <v/>
      </c>
      <c r="V220" s="176" t="str">
        <f>IF(D220="","",VLOOKUP(S220,'G-3 Multipliers'!$P$3:$Q$6,2,FALSE))</f>
        <v/>
      </c>
      <c r="W220" s="274" t="str">
        <f t="shared" si="23"/>
        <v/>
      </c>
      <c r="X220" s="180"/>
      <c r="Y220" s="181"/>
      <c r="AG220" s="35" t="str">
        <f>IFERROR(INDEX('G-6 Hedgerow Data'!$BJ$3:$BJ$15,MATCH(D220,'G-6 Hedgerow Data'!$B$3:$B$15,0)),"")</f>
        <v/>
      </c>
    </row>
    <row r="221" spans="2:33" ht="13.8" x14ac:dyDescent="0.25">
      <c r="B221" s="168">
        <v>210</v>
      </c>
      <c r="C221" s="278"/>
      <c r="D221" s="261"/>
      <c r="E221" s="213"/>
      <c r="F221" s="277" t="str">
        <f>IF(D221="","",VLOOKUP(D221,'G-6 Hedgerow Data'!$B$2:$AG$15,2,FALSE))</f>
        <v/>
      </c>
      <c r="G221" s="172" t="str">
        <f>IF(D221="","",VLOOKUP(D221,'G-6 Hedgerow Data'!$B$2:$AG$15,3,FALSE))</f>
        <v/>
      </c>
      <c r="H221" s="173"/>
      <c r="I221" s="172" t="str">
        <f>IFERROR(VLOOKUP(H221,'G-1 All Habitats'!$Z$2:$AA$9,2,FALSE),"")</f>
        <v/>
      </c>
      <c r="J221" s="173"/>
      <c r="K221" s="175" t="str">
        <f>IF(J221="","",IF(VLOOKUP(J221,'G-3 Multipliers'!$L$3:$N$6,2,FALSE)=0,"Spatial Data Missing",VLOOKUP(J221,'G-3 Multipliers'!$L$3:$N$6,2,FALSE)))</f>
        <v/>
      </c>
      <c r="L221" s="260" t="str">
        <f>IF(J221="","",IF(VLOOKUP(J221,'G-3 Multipliers'!$L$3:$N$6,3,FALSE)=0,"Spatial Data Missing",VLOOKUP(J221,'G-3 Multipliers'!$L$3:$N$6,3,FALSE)))</f>
        <v/>
      </c>
      <c r="M221" s="171" t="str">
        <f>IF(OR(D221="",H221=""),"",(INDEX('G-6 Hedgerow Data'!$E$3:$I$15,MATCH(D221,'G-6 Hedgerow Data'!$B$3:$B$15,0),MATCH(H221,'G-6 Hedgerow Data'!$E$2:$I$2,0))))</f>
        <v/>
      </c>
      <c r="N221" s="261"/>
      <c r="O221" s="261"/>
      <c r="P221" s="179" t="str">
        <f t="shared" si="19"/>
        <v/>
      </c>
      <c r="Q221" s="262" t="str">
        <f t="shared" si="20"/>
        <v/>
      </c>
      <c r="R221" s="263" t="str">
        <f t="shared" si="18"/>
        <v/>
      </c>
      <c r="S221" s="239" t="str">
        <f>IF(D221="","",VLOOKUP(D221,'G-6 Hedgerow Data'!$B$3:$AG$15,31,FALSE))</f>
        <v/>
      </c>
      <c r="T221" s="179" t="str">
        <f t="shared" si="21"/>
        <v/>
      </c>
      <c r="U221" s="179" t="str">
        <f t="shared" si="22"/>
        <v/>
      </c>
      <c r="V221" s="176" t="str">
        <f>IF(D221="","",VLOOKUP(S221,'G-3 Multipliers'!$P$3:$Q$6,2,FALSE))</f>
        <v/>
      </c>
      <c r="W221" s="274" t="str">
        <f t="shared" si="23"/>
        <v/>
      </c>
      <c r="X221" s="180"/>
      <c r="Y221" s="181"/>
      <c r="AG221" s="35" t="str">
        <f>IFERROR(INDEX('G-6 Hedgerow Data'!$BJ$3:$BJ$15,MATCH(D221,'G-6 Hedgerow Data'!$B$3:$B$15,0)),"")</f>
        <v/>
      </c>
    </row>
    <row r="222" spans="2:33" ht="13.8" x14ac:dyDescent="0.25">
      <c r="B222" s="168">
        <v>211</v>
      </c>
      <c r="C222" s="278"/>
      <c r="D222" s="261"/>
      <c r="E222" s="213"/>
      <c r="F222" s="277" t="str">
        <f>IF(D222="","",VLOOKUP(D222,'G-6 Hedgerow Data'!$B$2:$AG$15,2,FALSE))</f>
        <v/>
      </c>
      <c r="G222" s="172" t="str">
        <f>IF(D222="","",VLOOKUP(D222,'G-6 Hedgerow Data'!$B$2:$AG$15,3,FALSE))</f>
        <v/>
      </c>
      <c r="H222" s="173"/>
      <c r="I222" s="172" t="str">
        <f>IFERROR(VLOOKUP(H222,'G-1 All Habitats'!$Z$2:$AA$9,2,FALSE),"")</f>
        <v/>
      </c>
      <c r="J222" s="173"/>
      <c r="K222" s="175" t="str">
        <f>IF(J222="","",IF(VLOOKUP(J222,'G-3 Multipliers'!$L$3:$N$6,2,FALSE)=0,"Spatial Data Missing",VLOOKUP(J222,'G-3 Multipliers'!$L$3:$N$6,2,FALSE)))</f>
        <v/>
      </c>
      <c r="L222" s="260" t="str">
        <f>IF(J222="","",IF(VLOOKUP(J222,'G-3 Multipliers'!$L$3:$N$6,3,FALSE)=0,"Spatial Data Missing",VLOOKUP(J222,'G-3 Multipliers'!$L$3:$N$6,3,FALSE)))</f>
        <v/>
      </c>
      <c r="M222" s="171" t="str">
        <f>IF(OR(D222="",H222=""),"",(INDEX('G-6 Hedgerow Data'!$E$3:$I$15,MATCH(D222,'G-6 Hedgerow Data'!$B$3:$B$15,0),MATCH(H222,'G-6 Hedgerow Data'!$E$2:$I$2,0))))</f>
        <v/>
      </c>
      <c r="N222" s="261"/>
      <c r="O222" s="261"/>
      <c r="P222" s="179" t="str">
        <f t="shared" si="19"/>
        <v/>
      </c>
      <c r="Q222" s="262" t="str">
        <f t="shared" si="20"/>
        <v/>
      </c>
      <c r="R222" s="263" t="str">
        <f t="shared" si="18"/>
        <v/>
      </c>
      <c r="S222" s="239" t="str">
        <f>IF(D222="","",VLOOKUP(D222,'G-6 Hedgerow Data'!$B$3:$AG$15,31,FALSE))</f>
        <v/>
      </c>
      <c r="T222" s="179" t="str">
        <f t="shared" si="21"/>
        <v/>
      </c>
      <c r="U222" s="179" t="str">
        <f t="shared" si="22"/>
        <v/>
      </c>
      <c r="V222" s="176" t="str">
        <f>IF(D222="","",VLOOKUP(S222,'G-3 Multipliers'!$P$3:$Q$6,2,FALSE))</f>
        <v/>
      </c>
      <c r="W222" s="274" t="str">
        <f t="shared" si="23"/>
        <v/>
      </c>
      <c r="X222" s="180"/>
      <c r="Y222" s="181"/>
      <c r="AG222" s="35" t="str">
        <f>IFERROR(INDEX('G-6 Hedgerow Data'!$BJ$3:$BJ$15,MATCH(D222,'G-6 Hedgerow Data'!$B$3:$B$15,0)),"")</f>
        <v/>
      </c>
    </row>
    <row r="223" spans="2:33" ht="13.8" x14ac:dyDescent="0.25">
      <c r="B223" s="168">
        <v>212</v>
      </c>
      <c r="C223" s="278"/>
      <c r="D223" s="261"/>
      <c r="E223" s="213"/>
      <c r="F223" s="277" t="str">
        <f>IF(D223="","",VLOOKUP(D223,'G-6 Hedgerow Data'!$B$2:$AG$15,2,FALSE))</f>
        <v/>
      </c>
      <c r="G223" s="172" t="str">
        <f>IF(D223="","",VLOOKUP(D223,'G-6 Hedgerow Data'!$B$2:$AG$15,3,FALSE))</f>
        <v/>
      </c>
      <c r="H223" s="173"/>
      <c r="I223" s="172" t="str">
        <f>IFERROR(VLOOKUP(H223,'G-1 All Habitats'!$Z$2:$AA$9,2,FALSE),"")</f>
        <v/>
      </c>
      <c r="J223" s="173"/>
      <c r="K223" s="175" t="str">
        <f>IF(J223="","",IF(VLOOKUP(J223,'G-3 Multipliers'!$L$3:$N$6,2,FALSE)=0,"Spatial Data Missing",VLOOKUP(J223,'G-3 Multipliers'!$L$3:$N$6,2,FALSE)))</f>
        <v/>
      </c>
      <c r="L223" s="260" t="str">
        <f>IF(J223="","",IF(VLOOKUP(J223,'G-3 Multipliers'!$L$3:$N$6,3,FALSE)=0,"Spatial Data Missing",VLOOKUP(J223,'G-3 Multipliers'!$L$3:$N$6,3,FALSE)))</f>
        <v/>
      </c>
      <c r="M223" s="171" t="str">
        <f>IF(OR(D223="",H223=""),"",(INDEX('G-6 Hedgerow Data'!$E$3:$I$15,MATCH(D223,'G-6 Hedgerow Data'!$B$3:$B$15,0),MATCH(H223,'G-6 Hedgerow Data'!$E$2:$I$2,0))))</f>
        <v/>
      </c>
      <c r="N223" s="261"/>
      <c r="O223" s="261"/>
      <c r="P223" s="179" t="str">
        <f t="shared" si="19"/>
        <v/>
      </c>
      <c r="Q223" s="262" t="str">
        <f t="shared" si="20"/>
        <v/>
      </c>
      <c r="R223" s="263" t="str">
        <f t="shared" si="18"/>
        <v/>
      </c>
      <c r="S223" s="239" t="str">
        <f>IF(D223="","",VLOOKUP(D223,'G-6 Hedgerow Data'!$B$3:$AG$15,31,FALSE))</f>
        <v/>
      </c>
      <c r="T223" s="179" t="str">
        <f t="shared" si="21"/>
        <v/>
      </c>
      <c r="U223" s="179" t="str">
        <f t="shared" si="22"/>
        <v/>
      </c>
      <c r="V223" s="176" t="str">
        <f>IF(D223="","",VLOOKUP(S223,'G-3 Multipliers'!$P$3:$Q$6,2,FALSE))</f>
        <v/>
      </c>
      <c r="W223" s="274" t="str">
        <f t="shared" si="23"/>
        <v/>
      </c>
      <c r="X223" s="180"/>
      <c r="Y223" s="181"/>
      <c r="AG223" s="35" t="str">
        <f>IFERROR(INDEX('G-6 Hedgerow Data'!$BJ$3:$BJ$15,MATCH(D223,'G-6 Hedgerow Data'!$B$3:$B$15,0)),"")</f>
        <v/>
      </c>
    </row>
    <row r="224" spans="2:33" ht="13.8" x14ac:dyDescent="0.25">
      <c r="B224" s="168">
        <v>213</v>
      </c>
      <c r="C224" s="278"/>
      <c r="D224" s="261"/>
      <c r="E224" s="213"/>
      <c r="F224" s="277" t="str">
        <f>IF(D224="","",VLOOKUP(D224,'G-6 Hedgerow Data'!$B$2:$AG$15,2,FALSE))</f>
        <v/>
      </c>
      <c r="G224" s="172" t="str">
        <f>IF(D224="","",VLOOKUP(D224,'G-6 Hedgerow Data'!$B$2:$AG$15,3,FALSE))</f>
        <v/>
      </c>
      <c r="H224" s="173"/>
      <c r="I224" s="172" t="str">
        <f>IFERROR(VLOOKUP(H224,'G-1 All Habitats'!$Z$2:$AA$9,2,FALSE),"")</f>
        <v/>
      </c>
      <c r="J224" s="173"/>
      <c r="K224" s="175" t="str">
        <f>IF(J224="","",IF(VLOOKUP(J224,'G-3 Multipliers'!$L$3:$N$6,2,FALSE)=0,"Spatial Data Missing",VLOOKUP(J224,'G-3 Multipliers'!$L$3:$N$6,2,FALSE)))</f>
        <v/>
      </c>
      <c r="L224" s="260" t="str">
        <f>IF(J224="","",IF(VLOOKUP(J224,'G-3 Multipliers'!$L$3:$N$6,3,FALSE)=0,"Spatial Data Missing",VLOOKUP(J224,'G-3 Multipliers'!$L$3:$N$6,3,FALSE)))</f>
        <v/>
      </c>
      <c r="M224" s="171" t="str">
        <f>IF(OR(D224="",H224=""),"",(INDEX('G-6 Hedgerow Data'!$E$3:$I$15,MATCH(D224,'G-6 Hedgerow Data'!$B$3:$B$15,0),MATCH(H224,'G-6 Hedgerow Data'!$E$2:$I$2,0))))</f>
        <v/>
      </c>
      <c r="N224" s="261"/>
      <c r="O224" s="261"/>
      <c r="P224" s="179" t="str">
        <f t="shared" si="19"/>
        <v/>
      </c>
      <c r="Q224" s="262" t="str">
        <f t="shared" si="20"/>
        <v/>
      </c>
      <c r="R224" s="263" t="str">
        <f t="shared" si="18"/>
        <v/>
      </c>
      <c r="S224" s="239" t="str">
        <f>IF(D224="","",VLOOKUP(D224,'G-6 Hedgerow Data'!$B$3:$AG$15,31,FALSE))</f>
        <v/>
      </c>
      <c r="T224" s="179" t="str">
        <f t="shared" si="21"/>
        <v/>
      </c>
      <c r="U224" s="179" t="str">
        <f t="shared" si="22"/>
        <v/>
      </c>
      <c r="V224" s="176" t="str">
        <f>IF(D224="","",VLOOKUP(S224,'G-3 Multipliers'!$P$3:$Q$6,2,FALSE))</f>
        <v/>
      </c>
      <c r="W224" s="274" t="str">
        <f t="shared" si="23"/>
        <v/>
      </c>
      <c r="X224" s="180"/>
      <c r="Y224" s="181"/>
      <c r="AG224" s="35" t="str">
        <f>IFERROR(INDEX('G-6 Hedgerow Data'!$BJ$3:$BJ$15,MATCH(D224,'G-6 Hedgerow Data'!$B$3:$B$15,0)),"")</f>
        <v/>
      </c>
    </row>
    <row r="225" spans="2:33" ht="13.8" x14ac:dyDescent="0.25">
      <c r="B225" s="168">
        <v>214</v>
      </c>
      <c r="C225" s="278"/>
      <c r="D225" s="261"/>
      <c r="E225" s="213"/>
      <c r="F225" s="277" t="str">
        <f>IF(D225="","",VLOOKUP(D225,'G-6 Hedgerow Data'!$B$2:$AG$15,2,FALSE))</f>
        <v/>
      </c>
      <c r="G225" s="172" t="str">
        <f>IF(D225="","",VLOOKUP(D225,'G-6 Hedgerow Data'!$B$2:$AG$15,3,FALSE))</f>
        <v/>
      </c>
      <c r="H225" s="173"/>
      <c r="I225" s="172" t="str">
        <f>IFERROR(VLOOKUP(H225,'G-1 All Habitats'!$Z$2:$AA$9,2,FALSE),"")</f>
        <v/>
      </c>
      <c r="J225" s="173"/>
      <c r="K225" s="175" t="str">
        <f>IF(J225="","",IF(VLOOKUP(J225,'G-3 Multipliers'!$L$3:$N$6,2,FALSE)=0,"Spatial Data Missing",VLOOKUP(J225,'G-3 Multipliers'!$L$3:$N$6,2,FALSE)))</f>
        <v/>
      </c>
      <c r="L225" s="260" t="str">
        <f>IF(J225="","",IF(VLOOKUP(J225,'G-3 Multipliers'!$L$3:$N$6,3,FALSE)=0,"Spatial Data Missing",VLOOKUP(J225,'G-3 Multipliers'!$L$3:$N$6,3,FALSE)))</f>
        <v/>
      </c>
      <c r="M225" s="171" t="str">
        <f>IF(OR(D225="",H225=""),"",(INDEX('G-6 Hedgerow Data'!$E$3:$I$15,MATCH(D225,'G-6 Hedgerow Data'!$B$3:$B$15,0),MATCH(H225,'G-6 Hedgerow Data'!$E$2:$I$2,0))))</f>
        <v/>
      </c>
      <c r="N225" s="261"/>
      <c r="O225" s="261"/>
      <c r="P225" s="179" t="str">
        <f t="shared" si="19"/>
        <v/>
      </c>
      <c r="Q225" s="262" t="str">
        <f t="shared" si="20"/>
        <v/>
      </c>
      <c r="R225" s="263" t="str">
        <f t="shared" si="18"/>
        <v/>
      </c>
      <c r="S225" s="239" t="str">
        <f>IF(D225="","",VLOOKUP(D225,'G-6 Hedgerow Data'!$B$3:$AG$15,31,FALSE))</f>
        <v/>
      </c>
      <c r="T225" s="179" t="str">
        <f t="shared" si="21"/>
        <v/>
      </c>
      <c r="U225" s="179" t="str">
        <f t="shared" si="22"/>
        <v/>
      </c>
      <c r="V225" s="176" t="str">
        <f>IF(D225="","",VLOOKUP(S225,'G-3 Multipliers'!$P$3:$Q$6,2,FALSE))</f>
        <v/>
      </c>
      <c r="W225" s="274" t="str">
        <f t="shared" si="23"/>
        <v/>
      </c>
      <c r="X225" s="180"/>
      <c r="Y225" s="181"/>
      <c r="AG225" s="35" t="str">
        <f>IFERROR(INDEX('G-6 Hedgerow Data'!$BJ$3:$BJ$15,MATCH(D225,'G-6 Hedgerow Data'!$B$3:$B$15,0)),"")</f>
        <v/>
      </c>
    </row>
    <row r="226" spans="2:33" ht="13.8" x14ac:dyDescent="0.25">
      <c r="B226" s="168">
        <v>215</v>
      </c>
      <c r="C226" s="278"/>
      <c r="D226" s="261"/>
      <c r="E226" s="213"/>
      <c r="F226" s="277" t="str">
        <f>IF(D226="","",VLOOKUP(D226,'G-6 Hedgerow Data'!$B$2:$AG$15,2,FALSE))</f>
        <v/>
      </c>
      <c r="G226" s="172" t="str">
        <f>IF(D226="","",VLOOKUP(D226,'G-6 Hedgerow Data'!$B$2:$AG$15,3,FALSE))</f>
        <v/>
      </c>
      <c r="H226" s="173"/>
      <c r="I226" s="172" t="str">
        <f>IFERROR(VLOOKUP(H226,'G-1 All Habitats'!$Z$2:$AA$9,2,FALSE),"")</f>
        <v/>
      </c>
      <c r="J226" s="173"/>
      <c r="K226" s="175" t="str">
        <f>IF(J226="","",IF(VLOOKUP(J226,'G-3 Multipliers'!$L$3:$N$6,2,FALSE)=0,"Spatial Data Missing",VLOOKUP(J226,'G-3 Multipliers'!$L$3:$N$6,2,FALSE)))</f>
        <v/>
      </c>
      <c r="L226" s="260" t="str">
        <f>IF(J226="","",IF(VLOOKUP(J226,'G-3 Multipliers'!$L$3:$N$6,3,FALSE)=0,"Spatial Data Missing",VLOOKUP(J226,'G-3 Multipliers'!$L$3:$N$6,3,FALSE)))</f>
        <v/>
      </c>
      <c r="M226" s="171" t="str">
        <f>IF(OR(D226="",H226=""),"",(INDEX('G-6 Hedgerow Data'!$E$3:$I$15,MATCH(D226,'G-6 Hedgerow Data'!$B$3:$B$15,0),MATCH(H226,'G-6 Hedgerow Data'!$E$2:$I$2,0))))</f>
        <v/>
      </c>
      <c r="N226" s="261"/>
      <c r="O226" s="261"/>
      <c r="P226" s="179" t="str">
        <f t="shared" si="19"/>
        <v/>
      </c>
      <c r="Q226" s="262" t="str">
        <f t="shared" si="20"/>
        <v/>
      </c>
      <c r="R226" s="263" t="str">
        <f t="shared" si="18"/>
        <v/>
      </c>
      <c r="S226" s="239" t="str">
        <f>IF(D226="","",VLOOKUP(D226,'G-6 Hedgerow Data'!$B$3:$AG$15,31,FALSE))</f>
        <v/>
      </c>
      <c r="T226" s="179" t="str">
        <f t="shared" si="21"/>
        <v/>
      </c>
      <c r="U226" s="179" t="str">
        <f t="shared" si="22"/>
        <v/>
      </c>
      <c r="V226" s="176" t="str">
        <f>IF(D226="","",VLOOKUP(S226,'G-3 Multipliers'!$P$3:$Q$6,2,FALSE))</f>
        <v/>
      </c>
      <c r="W226" s="274" t="str">
        <f t="shared" si="23"/>
        <v/>
      </c>
      <c r="X226" s="180"/>
      <c r="Y226" s="181"/>
      <c r="AG226" s="35" t="str">
        <f>IFERROR(INDEX('G-6 Hedgerow Data'!$BJ$3:$BJ$15,MATCH(D226,'G-6 Hedgerow Data'!$B$3:$B$15,0)),"")</f>
        <v/>
      </c>
    </row>
    <row r="227" spans="2:33" ht="13.8" x14ac:dyDescent="0.25">
      <c r="B227" s="168">
        <v>216</v>
      </c>
      <c r="C227" s="278"/>
      <c r="D227" s="261"/>
      <c r="E227" s="213"/>
      <c r="F227" s="277" t="str">
        <f>IF(D227="","",VLOOKUP(D227,'G-6 Hedgerow Data'!$B$2:$AG$15,2,FALSE))</f>
        <v/>
      </c>
      <c r="G227" s="172" t="str">
        <f>IF(D227="","",VLOOKUP(D227,'G-6 Hedgerow Data'!$B$2:$AG$15,3,FALSE))</f>
        <v/>
      </c>
      <c r="H227" s="173"/>
      <c r="I227" s="172" t="str">
        <f>IFERROR(VLOOKUP(H227,'G-1 All Habitats'!$Z$2:$AA$9,2,FALSE),"")</f>
        <v/>
      </c>
      <c r="J227" s="173"/>
      <c r="K227" s="175" t="str">
        <f>IF(J227="","",IF(VLOOKUP(J227,'G-3 Multipliers'!$L$3:$N$6,2,FALSE)=0,"Spatial Data Missing",VLOOKUP(J227,'G-3 Multipliers'!$L$3:$N$6,2,FALSE)))</f>
        <v/>
      </c>
      <c r="L227" s="260" t="str">
        <f>IF(J227="","",IF(VLOOKUP(J227,'G-3 Multipliers'!$L$3:$N$6,3,FALSE)=0,"Spatial Data Missing",VLOOKUP(J227,'G-3 Multipliers'!$L$3:$N$6,3,FALSE)))</f>
        <v/>
      </c>
      <c r="M227" s="171" t="str">
        <f>IF(OR(D227="",H227=""),"",(INDEX('G-6 Hedgerow Data'!$E$3:$I$15,MATCH(D227,'G-6 Hedgerow Data'!$B$3:$B$15,0),MATCH(H227,'G-6 Hedgerow Data'!$E$2:$I$2,0))))</f>
        <v/>
      </c>
      <c r="N227" s="261"/>
      <c r="O227" s="261"/>
      <c r="P227" s="179" t="str">
        <f t="shared" si="19"/>
        <v/>
      </c>
      <c r="Q227" s="262" t="str">
        <f t="shared" si="20"/>
        <v/>
      </c>
      <c r="R227" s="263" t="str">
        <f t="shared" si="18"/>
        <v/>
      </c>
      <c r="S227" s="239" t="str">
        <f>IF(D227="","",VLOOKUP(D227,'G-6 Hedgerow Data'!$B$3:$AG$15,31,FALSE))</f>
        <v/>
      </c>
      <c r="T227" s="179" t="str">
        <f t="shared" si="21"/>
        <v/>
      </c>
      <c r="U227" s="179" t="str">
        <f t="shared" si="22"/>
        <v/>
      </c>
      <c r="V227" s="176" t="str">
        <f>IF(D227="","",VLOOKUP(S227,'G-3 Multipliers'!$P$3:$Q$6,2,FALSE))</f>
        <v/>
      </c>
      <c r="W227" s="274" t="str">
        <f t="shared" si="23"/>
        <v/>
      </c>
      <c r="X227" s="180"/>
      <c r="Y227" s="181"/>
      <c r="AG227" s="35" t="str">
        <f>IFERROR(INDEX('G-6 Hedgerow Data'!$BJ$3:$BJ$15,MATCH(D227,'G-6 Hedgerow Data'!$B$3:$B$15,0)),"")</f>
        <v/>
      </c>
    </row>
    <row r="228" spans="2:33" ht="13.8" x14ac:dyDescent="0.25">
      <c r="B228" s="168">
        <v>217</v>
      </c>
      <c r="C228" s="278"/>
      <c r="D228" s="261"/>
      <c r="E228" s="213"/>
      <c r="F228" s="277" t="str">
        <f>IF(D228="","",VLOOKUP(D228,'G-6 Hedgerow Data'!$B$2:$AG$15,2,FALSE))</f>
        <v/>
      </c>
      <c r="G228" s="172" t="str">
        <f>IF(D228="","",VLOOKUP(D228,'G-6 Hedgerow Data'!$B$2:$AG$15,3,FALSE))</f>
        <v/>
      </c>
      <c r="H228" s="173"/>
      <c r="I228" s="172" t="str">
        <f>IFERROR(VLOOKUP(H228,'G-1 All Habitats'!$Z$2:$AA$9,2,FALSE),"")</f>
        <v/>
      </c>
      <c r="J228" s="173"/>
      <c r="K228" s="175" t="str">
        <f>IF(J228="","",IF(VLOOKUP(J228,'G-3 Multipliers'!$L$3:$N$6,2,FALSE)=0,"Spatial Data Missing",VLOOKUP(J228,'G-3 Multipliers'!$L$3:$N$6,2,FALSE)))</f>
        <v/>
      </c>
      <c r="L228" s="260" t="str">
        <f>IF(J228="","",IF(VLOOKUP(J228,'G-3 Multipliers'!$L$3:$N$6,3,FALSE)=0,"Spatial Data Missing",VLOOKUP(J228,'G-3 Multipliers'!$L$3:$N$6,3,FALSE)))</f>
        <v/>
      </c>
      <c r="M228" s="171" t="str">
        <f>IF(OR(D228="",H228=""),"",(INDEX('G-6 Hedgerow Data'!$E$3:$I$15,MATCH(D228,'G-6 Hedgerow Data'!$B$3:$B$15,0),MATCH(H228,'G-6 Hedgerow Data'!$E$2:$I$2,0))))</f>
        <v/>
      </c>
      <c r="N228" s="261"/>
      <c r="O228" s="261"/>
      <c r="P228" s="179" t="str">
        <f t="shared" si="19"/>
        <v/>
      </c>
      <c r="Q228" s="262" t="str">
        <f t="shared" si="20"/>
        <v/>
      </c>
      <c r="R228" s="263" t="str">
        <f t="shared" si="18"/>
        <v/>
      </c>
      <c r="S228" s="239" t="str">
        <f>IF(D228="","",VLOOKUP(D228,'G-6 Hedgerow Data'!$B$3:$AG$15,31,FALSE))</f>
        <v/>
      </c>
      <c r="T228" s="179" t="str">
        <f t="shared" si="21"/>
        <v/>
      </c>
      <c r="U228" s="179" t="str">
        <f t="shared" si="22"/>
        <v/>
      </c>
      <c r="V228" s="176" t="str">
        <f>IF(D228="","",VLOOKUP(S228,'G-3 Multipliers'!$P$3:$Q$6,2,FALSE))</f>
        <v/>
      </c>
      <c r="W228" s="274" t="str">
        <f t="shared" si="23"/>
        <v/>
      </c>
      <c r="X228" s="180"/>
      <c r="Y228" s="181"/>
      <c r="AG228" s="35" t="str">
        <f>IFERROR(INDEX('G-6 Hedgerow Data'!$BJ$3:$BJ$15,MATCH(D228,'G-6 Hedgerow Data'!$B$3:$B$15,0)),"")</f>
        <v/>
      </c>
    </row>
    <row r="229" spans="2:33" ht="13.8" x14ac:dyDescent="0.25">
      <c r="B229" s="168">
        <v>218</v>
      </c>
      <c r="C229" s="278"/>
      <c r="D229" s="261"/>
      <c r="E229" s="213"/>
      <c r="F229" s="277" t="str">
        <f>IF(D229="","",VLOOKUP(D229,'G-6 Hedgerow Data'!$B$2:$AG$15,2,FALSE))</f>
        <v/>
      </c>
      <c r="G229" s="172" t="str">
        <f>IF(D229="","",VLOOKUP(D229,'G-6 Hedgerow Data'!$B$2:$AG$15,3,FALSE))</f>
        <v/>
      </c>
      <c r="H229" s="173"/>
      <c r="I229" s="172" t="str">
        <f>IFERROR(VLOOKUP(H229,'G-1 All Habitats'!$Z$2:$AA$9,2,FALSE),"")</f>
        <v/>
      </c>
      <c r="J229" s="173"/>
      <c r="K229" s="175" t="str">
        <f>IF(J229="","",IF(VLOOKUP(J229,'G-3 Multipliers'!$L$3:$N$6,2,FALSE)=0,"Spatial Data Missing",VLOOKUP(J229,'G-3 Multipliers'!$L$3:$N$6,2,FALSE)))</f>
        <v/>
      </c>
      <c r="L229" s="260" t="str">
        <f>IF(J229="","",IF(VLOOKUP(J229,'G-3 Multipliers'!$L$3:$N$6,3,FALSE)=0,"Spatial Data Missing",VLOOKUP(J229,'G-3 Multipliers'!$L$3:$N$6,3,FALSE)))</f>
        <v/>
      </c>
      <c r="M229" s="171" t="str">
        <f>IF(OR(D229="",H229=""),"",(INDEX('G-6 Hedgerow Data'!$E$3:$I$15,MATCH(D229,'G-6 Hedgerow Data'!$B$3:$B$15,0),MATCH(H229,'G-6 Hedgerow Data'!$E$2:$I$2,0))))</f>
        <v/>
      </c>
      <c r="N229" s="261"/>
      <c r="O229" s="261"/>
      <c r="P229" s="179" t="str">
        <f t="shared" si="19"/>
        <v/>
      </c>
      <c r="Q229" s="262" t="str">
        <f t="shared" si="20"/>
        <v/>
      </c>
      <c r="R229" s="263" t="str">
        <f t="shared" si="18"/>
        <v/>
      </c>
      <c r="S229" s="239" t="str">
        <f>IF(D229="","",VLOOKUP(D229,'G-6 Hedgerow Data'!$B$3:$AG$15,31,FALSE))</f>
        <v/>
      </c>
      <c r="T229" s="179" t="str">
        <f t="shared" si="21"/>
        <v/>
      </c>
      <c r="U229" s="179" t="str">
        <f t="shared" si="22"/>
        <v/>
      </c>
      <c r="V229" s="176" t="str">
        <f>IF(D229="","",VLOOKUP(S229,'G-3 Multipliers'!$P$3:$Q$6,2,FALSE))</f>
        <v/>
      </c>
      <c r="W229" s="274" t="str">
        <f t="shared" si="23"/>
        <v/>
      </c>
      <c r="X229" s="180"/>
      <c r="Y229" s="181"/>
      <c r="AG229" s="35" t="str">
        <f>IFERROR(INDEX('G-6 Hedgerow Data'!$BJ$3:$BJ$15,MATCH(D229,'G-6 Hedgerow Data'!$B$3:$B$15,0)),"")</f>
        <v/>
      </c>
    </row>
    <row r="230" spans="2:33" ht="13.8" x14ac:dyDescent="0.25">
      <c r="B230" s="168">
        <v>219</v>
      </c>
      <c r="C230" s="278"/>
      <c r="D230" s="261"/>
      <c r="E230" s="213"/>
      <c r="F230" s="277" t="str">
        <f>IF(D230="","",VLOOKUP(D230,'G-6 Hedgerow Data'!$B$2:$AG$15,2,FALSE))</f>
        <v/>
      </c>
      <c r="G230" s="172" t="str">
        <f>IF(D230="","",VLOOKUP(D230,'G-6 Hedgerow Data'!$B$2:$AG$15,3,FALSE))</f>
        <v/>
      </c>
      <c r="H230" s="173"/>
      <c r="I230" s="172" t="str">
        <f>IFERROR(VLOOKUP(H230,'G-1 All Habitats'!$Z$2:$AA$9,2,FALSE),"")</f>
        <v/>
      </c>
      <c r="J230" s="173"/>
      <c r="K230" s="175" t="str">
        <f>IF(J230="","",IF(VLOOKUP(J230,'G-3 Multipliers'!$L$3:$N$6,2,FALSE)=0,"Spatial Data Missing",VLOOKUP(J230,'G-3 Multipliers'!$L$3:$N$6,2,FALSE)))</f>
        <v/>
      </c>
      <c r="L230" s="260" t="str">
        <f>IF(J230="","",IF(VLOOKUP(J230,'G-3 Multipliers'!$L$3:$N$6,3,FALSE)=0,"Spatial Data Missing",VLOOKUP(J230,'G-3 Multipliers'!$L$3:$N$6,3,FALSE)))</f>
        <v/>
      </c>
      <c r="M230" s="171" t="str">
        <f>IF(OR(D230="",H230=""),"",(INDEX('G-6 Hedgerow Data'!$E$3:$I$15,MATCH(D230,'G-6 Hedgerow Data'!$B$3:$B$15,0),MATCH(H230,'G-6 Hedgerow Data'!$E$2:$I$2,0))))</f>
        <v/>
      </c>
      <c r="N230" s="261"/>
      <c r="O230" s="261"/>
      <c r="P230" s="179" t="str">
        <f t="shared" si="19"/>
        <v/>
      </c>
      <c r="Q230" s="262" t="str">
        <f t="shared" si="20"/>
        <v/>
      </c>
      <c r="R230" s="263" t="str">
        <f t="shared" si="18"/>
        <v/>
      </c>
      <c r="S230" s="239" t="str">
        <f>IF(D230="","",VLOOKUP(D230,'G-6 Hedgerow Data'!$B$3:$AG$15,31,FALSE))</f>
        <v/>
      </c>
      <c r="T230" s="179" t="str">
        <f t="shared" si="21"/>
        <v/>
      </c>
      <c r="U230" s="179" t="str">
        <f t="shared" si="22"/>
        <v/>
      </c>
      <c r="V230" s="176" t="str">
        <f>IF(D230="","",VLOOKUP(S230,'G-3 Multipliers'!$P$3:$Q$6,2,FALSE))</f>
        <v/>
      </c>
      <c r="W230" s="274" t="str">
        <f t="shared" si="23"/>
        <v/>
      </c>
      <c r="X230" s="180"/>
      <c r="Y230" s="181"/>
      <c r="AG230" s="35" t="str">
        <f>IFERROR(INDEX('G-6 Hedgerow Data'!$BJ$3:$BJ$15,MATCH(D230,'G-6 Hedgerow Data'!$B$3:$B$15,0)),"")</f>
        <v/>
      </c>
    </row>
    <row r="231" spans="2:33" ht="13.8" x14ac:dyDescent="0.25">
      <c r="B231" s="168">
        <v>220</v>
      </c>
      <c r="C231" s="278"/>
      <c r="D231" s="261"/>
      <c r="E231" s="213"/>
      <c r="F231" s="277" t="str">
        <f>IF(D231="","",VLOOKUP(D231,'G-6 Hedgerow Data'!$B$2:$AG$15,2,FALSE))</f>
        <v/>
      </c>
      <c r="G231" s="172" t="str">
        <f>IF(D231="","",VLOOKUP(D231,'G-6 Hedgerow Data'!$B$2:$AG$15,3,FALSE))</f>
        <v/>
      </c>
      <c r="H231" s="173"/>
      <c r="I231" s="172" t="str">
        <f>IFERROR(VLOOKUP(H231,'G-1 All Habitats'!$Z$2:$AA$9,2,FALSE),"")</f>
        <v/>
      </c>
      <c r="J231" s="173"/>
      <c r="K231" s="175" t="str">
        <f>IF(J231="","",IF(VLOOKUP(J231,'G-3 Multipliers'!$L$3:$N$6,2,FALSE)=0,"Spatial Data Missing",VLOOKUP(J231,'G-3 Multipliers'!$L$3:$N$6,2,FALSE)))</f>
        <v/>
      </c>
      <c r="L231" s="260" t="str">
        <f>IF(J231="","",IF(VLOOKUP(J231,'G-3 Multipliers'!$L$3:$N$6,3,FALSE)=0,"Spatial Data Missing",VLOOKUP(J231,'G-3 Multipliers'!$L$3:$N$6,3,FALSE)))</f>
        <v/>
      </c>
      <c r="M231" s="171" t="str">
        <f>IF(OR(D231="",H231=""),"",(INDEX('G-6 Hedgerow Data'!$E$3:$I$15,MATCH(D231,'G-6 Hedgerow Data'!$B$3:$B$15,0),MATCH(H231,'G-6 Hedgerow Data'!$E$2:$I$2,0))))</f>
        <v/>
      </c>
      <c r="N231" s="261"/>
      <c r="O231" s="261"/>
      <c r="P231" s="179" t="str">
        <f t="shared" si="19"/>
        <v/>
      </c>
      <c r="Q231" s="262" t="str">
        <f t="shared" si="20"/>
        <v/>
      </c>
      <c r="R231" s="263" t="str">
        <f t="shared" si="18"/>
        <v/>
      </c>
      <c r="S231" s="239" t="str">
        <f>IF(D231="","",VLOOKUP(D231,'G-6 Hedgerow Data'!$B$3:$AG$15,31,FALSE))</f>
        <v/>
      </c>
      <c r="T231" s="179" t="str">
        <f t="shared" si="21"/>
        <v/>
      </c>
      <c r="U231" s="179" t="str">
        <f t="shared" si="22"/>
        <v/>
      </c>
      <c r="V231" s="176" t="str">
        <f>IF(D231="","",VLOOKUP(S231,'G-3 Multipliers'!$P$3:$Q$6,2,FALSE))</f>
        <v/>
      </c>
      <c r="W231" s="274" t="str">
        <f t="shared" si="23"/>
        <v/>
      </c>
      <c r="X231" s="180"/>
      <c r="Y231" s="181"/>
      <c r="AG231" s="35" t="str">
        <f>IFERROR(INDEX('G-6 Hedgerow Data'!$BJ$3:$BJ$15,MATCH(D231,'G-6 Hedgerow Data'!$B$3:$B$15,0)),"")</f>
        <v/>
      </c>
    </row>
    <row r="232" spans="2:33" ht="13.8" x14ac:dyDescent="0.25">
      <c r="B232" s="168">
        <v>221</v>
      </c>
      <c r="C232" s="278"/>
      <c r="D232" s="261"/>
      <c r="E232" s="213"/>
      <c r="F232" s="277" t="str">
        <f>IF(D232="","",VLOOKUP(D232,'G-6 Hedgerow Data'!$B$2:$AG$15,2,FALSE))</f>
        <v/>
      </c>
      <c r="G232" s="172" t="str">
        <f>IF(D232="","",VLOOKUP(D232,'G-6 Hedgerow Data'!$B$2:$AG$15,3,FALSE))</f>
        <v/>
      </c>
      <c r="H232" s="173"/>
      <c r="I232" s="172" t="str">
        <f>IFERROR(VLOOKUP(H232,'G-1 All Habitats'!$Z$2:$AA$9,2,FALSE),"")</f>
        <v/>
      </c>
      <c r="J232" s="173"/>
      <c r="K232" s="175" t="str">
        <f>IF(J232="","",IF(VLOOKUP(J232,'G-3 Multipliers'!$L$3:$N$6,2,FALSE)=0,"Spatial Data Missing",VLOOKUP(J232,'G-3 Multipliers'!$L$3:$N$6,2,FALSE)))</f>
        <v/>
      </c>
      <c r="L232" s="260" t="str">
        <f>IF(J232="","",IF(VLOOKUP(J232,'G-3 Multipliers'!$L$3:$N$6,3,FALSE)=0,"Spatial Data Missing",VLOOKUP(J232,'G-3 Multipliers'!$L$3:$N$6,3,FALSE)))</f>
        <v/>
      </c>
      <c r="M232" s="171" t="str">
        <f>IF(OR(D232="",H232=""),"",(INDEX('G-6 Hedgerow Data'!$E$3:$I$15,MATCH(D232,'G-6 Hedgerow Data'!$B$3:$B$15,0),MATCH(H232,'G-6 Hedgerow Data'!$E$2:$I$2,0))))</f>
        <v/>
      </c>
      <c r="N232" s="261"/>
      <c r="O232" s="261"/>
      <c r="P232" s="179" t="str">
        <f t="shared" si="19"/>
        <v/>
      </c>
      <c r="Q232" s="262" t="str">
        <f t="shared" si="20"/>
        <v/>
      </c>
      <c r="R232" s="263" t="str">
        <f t="shared" si="18"/>
        <v/>
      </c>
      <c r="S232" s="239" t="str">
        <f>IF(D232="","",VLOOKUP(D232,'G-6 Hedgerow Data'!$B$3:$AG$15,31,FALSE))</f>
        <v/>
      </c>
      <c r="T232" s="179" t="str">
        <f t="shared" si="21"/>
        <v/>
      </c>
      <c r="U232" s="179" t="str">
        <f t="shared" si="22"/>
        <v/>
      </c>
      <c r="V232" s="176" t="str">
        <f>IF(D232="","",VLOOKUP(S232,'G-3 Multipliers'!$P$3:$Q$6,2,FALSE))</f>
        <v/>
      </c>
      <c r="W232" s="274" t="str">
        <f t="shared" si="23"/>
        <v/>
      </c>
      <c r="X232" s="180"/>
      <c r="Y232" s="181"/>
      <c r="AG232" s="35" t="str">
        <f>IFERROR(INDEX('G-6 Hedgerow Data'!$BJ$3:$BJ$15,MATCH(D232,'G-6 Hedgerow Data'!$B$3:$B$15,0)),"")</f>
        <v/>
      </c>
    </row>
    <row r="233" spans="2:33" ht="13.8" x14ac:dyDescent="0.25">
      <c r="B233" s="168">
        <v>222</v>
      </c>
      <c r="C233" s="278"/>
      <c r="D233" s="261"/>
      <c r="E233" s="213"/>
      <c r="F233" s="277" t="str">
        <f>IF(D233="","",VLOOKUP(D233,'G-6 Hedgerow Data'!$B$2:$AG$15,2,FALSE))</f>
        <v/>
      </c>
      <c r="G233" s="172" t="str">
        <f>IF(D233="","",VLOOKUP(D233,'G-6 Hedgerow Data'!$B$2:$AG$15,3,FALSE))</f>
        <v/>
      </c>
      <c r="H233" s="173"/>
      <c r="I233" s="172" t="str">
        <f>IFERROR(VLOOKUP(H233,'G-1 All Habitats'!$Z$2:$AA$9,2,FALSE),"")</f>
        <v/>
      </c>
      <c r="J233" s="173"/>
      <c r="K233" s="175" t="str">
        <f>IF(J233="","",IF(VLOOKUP(J233,'G-3 Multipliers'!$L$3:$N$6,2,FALSE)=0,"Spatial Data Missing",VLOOKUP(J233,'G-3 Multipliers'!$L$3:$N$6,2,FALSE)))</f>
        <v/>
      </c>
      <c r="L233" s="260" t="str">
        <f>IF(J233="","",IF(VLOOKUP(J233,'G-3 Multipliers'!$L$3:$N$6,3,FALSE)=0,"Spatial Data Missing",VLOOKUP(J233,'G-3 Multipliers'!$L$3:$N$6,3,FALSE)))</f>
        <v/>
      </c>
      <c r="M233" s="171" t="str">
        <f>IF(OR(D233="",H233=""),"",(INDEX('G-6 Hedgerow Data'!$E$3:$I$15,MATCH(D233,'G-6 Hedgerow Data'!$B$3:$B$15,0),MATCH(H233,'G-6 Hedgerow Data'!$E$2:$I$2,0))))</f>
        <v/>
      </c>
      <c r="N233" s="261"/>
      <c r="O233" s="261"/>
      <c r="P233" s="179" t="str">
        <f t="shared" si="19"/>
        <v/>
      </c>
      <c r="Q233" s="262" t="str">
        <f t="shared" si="20"/>
        <v/>
      </c>
      <c r="R233" s="263" t="str">
        <f t="shared" si="18"/>
        <v/>
      </c>
      <c r="S233" s="239" t="str">
        <f>IF(D233="","",VLOOKUP(D233,'G-6 Hedgerow Data'!$B$3:$AG$15,31,FALSE))</f>
        <v/>
      </c>
      <c r="T233" s="179" t="str">
        <f t="shared" si="21"/>
        <v/>
      </c>
      <c r="U233" s="179" t="str">
        <f t="shared" si="22"/>
        <v/>
      </c>
      <c r="V233" s="176" t="str">
        <f>IF(D233="","",VLOOKUP(S233,'G-3 Multipliers'!$P$3:$Q$6,2,FALSE))</f>
        <v/>
      </c>
      <c r="W233" s="274" t="str">
        <f t="shared" si="23"/>
        <v/>
      </c>
      <c r="X233" s="180"/>
      <c r="Y233" s="181"/>
      <c r="AG233" s="35" t="str">
        <f>IFERROR(INDEX('G-6 Hedgerow Data'!$BJ$3:$BJ$15,MATCH(D233,'G-6 Hedgerow Data'!$B$3:$B$15,0)),"")</f>
        <v/>
      </c>
    </row>
    <row r="234" spans="2:33" ht="13.8" x14ac:dyDescent="0.25">
      <c r="B234" s="168">
        <v>223</v>
      </c>
      <c r="C234" s="278"/>
      <c r="D234" s="261"/>
      <c r="E234" s="213"/>
      <c r="F234" s="277" t="str">
        <f>IF(D234="","",VLOOKUP(D234,'G-6 Hedgerow Data'!$B$2:$AG$15,2,FALSE))</f>
        <v/>
      </c>
      <c r="G234" s="172" t="str">
        <f>IF(D234="","",VLOOKUP(D234,'G-6 Hedgerow Data'!$B$2:$AG$15,3,FALSE))</f>
        <v/>
      </c>
      <c r="H234" s="173"/>
      <c r="I234" s="172" t="str">
        <f>IFERROR(VLOOKUP(H234,'G-1 All Habitats'!$Z$2:$AA$9,2,FALSE),"")</f>
        <v/>
      </c>
      <c r="J234" s="173"/>
      <c r="K234" s="175" t="str">
        <f>IF(J234="","",IF(VLOOKUP(J234,'G-3 Multipliers'!$L$3:$N$6,2,FALSE)=0,"Spatial Data Missing",VLOOKUP(J234,'G-3 Multipliers'!$L$3:$N$6,2,FALSE)))</f>
        <v/>
      </c>
      <c r="L234" s="260" t="str">
        <f>IF(J234="","",IF(VLOOKUP(J234,'G-3 Multipliers'!$L$3:$N$6,3,FALSE)=0,"Spatial Data Missing",VLOOKUP(J234,'G-3 Multipliers'!$L$3:$N$6,3,FALSE)))</f>
        <v/>
      </c>
      <c r="M234" s="171" t="str">
        <f>IF(OR(D234="",H234=""),"",(INDEX('G-6 Hedgerow Data'!$E$3:$I$15,MATCH(D234,'G-6 Hedgerow Data'!$B$3:$B$15,0),MATCH(H234,'G-6 Hedgerow Data'!$E$2:$I$2,0))))</f>
        <v/>
      </c>
      <c r="N234" s="261"/>
      <c r="O234" s="261"/>
      <c r="P234" s="179" t="str">
        <f t="shared" si="19"/>
        <v/>
      </c>
      <c r="Q234" s="262" t="str">
        <f t="shared" si="20"/>
        <v/>
      </c>
      <c r="R234" s="263" t="str">
        <f t="shared" si="18"/>
        <v/>
      </c>
      <c r="S234" s="239" t="str">
        <f>IF(D234="","",VLOOKUP(D234,'G-6 Hedgerow Data'!$B$3:$AG$15,31,FALSE))</f>
        <v/>
      </c>
      <c r="T234" s="179" t="str">
        <f t="shared" si="21"/>
        <v/>
      </c>
      <c r="U234" s="179" t="str">
        <f t="shared" si="22"/>
        <v/>
      </c>
      <c r="V234" s="176" t="str">
        <f>IF(D234="","",VLOOKUP(S234,'G-3 Multipliers'!$P$3:$Q$6,2,FALSE))</f>
        <v/>
      </c>
      <c r="W234" s="274" t="str">
        <f t="shared" si="23"/>
        <v/>
      </c>
      <c r="X234" s="180"/>
      <c r="Y234" s="181"/>
      <c r="AG234" s="35" t="str">
        <f>IFERROR(INDEX('G-6 Hedgerow Data'!$BJ$3:$BJ$15,MATCH(D234,'G-6 Hedgerow Data'!$B$3:$B$15,0)),"")</f>
        <v/>
      </c>
    </row>
    <row r="235" spans="2:33" ht="13.8" x14ac:dyDescent="0.25">
      <c r="B235" s="168">
        <v>224</v>
      </c>
      <c r="C235" s="278"/>
      <c r="D235" s="261"/>
      <c r="E235" s="213"/>
      <c r="F235" s="277" t="str">
        <f>IF(D235="","",VLOOKUP(D235,'G-6 Hedgerow Data'!$B$2:$AG$15,2,FALSE))</f>
        <v/>
      </c>
      <c r="G235" s="172" t="str">
        <f>IF(D235="","",VLOOKUP(D235,'G-6 Hedgerow Data'!$B$2:$AG$15,3,FALSE))</f>
        <v/>
      </c>
      <c r="H235" s="173"/>
      <c r="I235" s="172" t="str">
        <f>IFERROR(VLOOKUP(H235,'G-1 All Habitats'!$Z$2:$AA$9,2,FALSE),"")</f>
        <v/>
      </c>
      <c r="J235" s="173"/>
      <c r="K235" s="175" t="str">
        <f>IF(J235="","",IF(VLOOKUP(J235,'G-3 Multipliers'!$L$3:$N$6,2,FALSE)=0,"Spatial Data Missing",VLOOKUP(J235,'G-3 Multipliers'!$L$3:$N$6,2,FALSE)))</f>
        <v/>
      </c>
      <c r="L235" s="260" t="str">
        <f>IF(J235="","",IF(VLOOKUP(J235,'G-3 Multipliers'!$L$3:$N$6,3,FALSE)=0,"Spatial Data Missing",VLOOKUP(J235,'G-3 Multipliers'!$L$3:$N$6,3,FALSE)))</f>
        <v/>
      </c>
      <c r="M235" s="171" t="str">
        <f>IF(OR(D235="",H235=""),"",(INDEX('G-6 Hedgerow Data'!$E$3:$I$15,MATCH(D235,'G-6 Hedgerow Data'!$B$3:$B$15,0),MATCH(H235,'G-6 Hedgerow Data'!$E$2:$I$2,0))))</f>
        <v/>
      </c>
      <c r="N235" s="261"/>
      <c r="O235" s="261"/>
      <c r="P235" s="179" t="str">
        <f t="shared" si="19"/>
        <v/>
      </c>
      <c r="Q235" s="262" t="str">
        <f t="shared" si="20"/>
        <v/>
      </c>
      <c r="R235" s="263" t="str">
        <f t="shared" si="18"/>
        <v/>
      </c>
      <c r="S235" s="239" t="str">
        <f>IF(D235="","",VLOOKUP(D235,'G-6 Hedgerow Data'!$B$3:$AG$15,31,FALSE))</f>
        <v/>
      </c>
      <c r="T235" s="179" t="str">
        <f t="shared" si="21"/>
        <v/>
      </c>
      <c r="U235" s="179" t="str">
        <f t="shared" si="22"/>
        <v/>
      </c>
      <c r="V235" s="176" t="str">
        <f>IF(D235="","",VLOOKUP(S235,'G-3 Multipliers'!$P$3:$Q$6,2,FALSE))</f>
        <v/>
      </c>
      <c r="W235" s="274" t="str">
        <f t="shared" si="23"/>
        <v/>
      </c>
      <c r="X235" s="180"/>
      <c r="Y235" s="181"/>
      <c r="AG235" s="35" t="str">
        <f>IFERROR(INDEX('G-6 Hedgerow Data'!$BJ$3:$BJ$15,MATCH(D235,'G-6 Hedgerow Data'!$B$3:$B$15,0)),"")</f>
        <v/>
      </c>
    </row>
    <row r="236" spans="2:33" ht="13.8" x14ac:dyDescent="0.25">
      <c r="B236" s="168">
        <v>225</v>
      </c>
      <c r="C236" s="278"/>
      <c r="D236" s="261"/>
      <c r="E236" s="213"/>
      <c r="F236" s="277" t="str">
        <f>IF(D236="","",VLOOKUP(D236,'G-6 Hedgerow Data'!$B$2:$AG$15,2,FALSE))</f>
        <v/>
      </c>
      <c r="G236" s="172" t="str">
        <f>IF(D236="","",VLOOKUP(D236,'G-6 Hedgerow Data'!$B$2:$AG$15,3,FALSE))</f>
        <v/>
      </c>
      <c r="H236" s="173"/>
      <c r="I236" s="172" t="str">
        <f>IFERROR(VLOOKUP(H236,'G-1 All Habitats'!$Z$2:$AA$9,2,FALSE),"")</f>
        <v/>
      </c>
      <c r="J236" s="173"/>
      <c r="K236" s="175" t="str">
        <f>IF(J236="","",IF(VLOOKUP(J236,'G-3 Multipliers'!$L$3:$N$6,2,FALSE)=0,"Spatial Data Missing",VLOOKUP(J236,'G-3 Multipliers'!$L$3:$N$6,2,FALSE)))</f>
        <v/>
      </c>
      <c r="L236" s="260" t="str">
        <f>IF(J236="","",IF(VLOOKUP(J236,'G-3 Multipliers'!$L$3:$N$6,3,FALSE)=0,"Spatial Data Missing",VLOOKUP(J236,'G-3 Multipliers'!$L$3:$N$6,3,FALSE)))</f>
        <v/>
      </c>
      <c r="M236" s="171" t="str">
        <f>IF(OR(D236="",H236=""),"",(INDEX('G-6 Hedgerow Data'!$E$3:$I$15,MATCH(D236,'G-6 Hedgerow Data'!$B$3:$B$15,0),MATCH(H236,'G-6 Hedgerow Data'!$E$2:$I$2,0))))</f>
        <v/>
      </c>
      <c r="N236" s="261"/>
      <c r="O236" s="261"/>
      <c r="P236" s="179" t="str">
        <f t="shared" si="19"/>
        <v/>
      </c>
      <c r="Q236" s="262" t="str">
        <f t="shared" si="20"/>
        <v/>
      </c>
      <c r="R236" s="263" t="str">
        <f t="shared" si="18"/>
        <v/>
      </c>
      <c r="S236" s="239" t="str">
        <f>IF(D236="","",VLOOKUP(D236,'G-6 Hedgerow Data'!$B$3:$AG$15,31,FALSE))</f>
        <v/>
      </c>
      <c r="T236" s="179" t="str">
        <f t="shared" si="21"/>
        <v/>
      </c>
      <c r="U236" s="179" t="str">
        <f t="shared" si="22"/>
        <v/>
      </c>
      <c r="V236" s="176" t="str">
        <f>IF(D236="","",VLOOKUP(S236,'G-3 Multipliers'!$P$3:$Q$6,2,FALSE))</f>
        <v/>
      </c>
      <c r="W236" s="274" t="str">
        <f t="shared" si="23"/>
        <v/>
      </c>
      <c r="X236" s="180"/>
      <c r="Y236" s="181"/>
      <c r="AG236" s="35" t="str">
        <f>IFERROR(INDEX('G-6 Hedgerow Data'!$BJ$3:$BJ$15,MATCH(D236,'G-6 Hedgerow Data'!$B$3:$B$15,0)),"")</f>
        <v/>
      </c>
    </row>
    <row r="237" spans="2:33" ht="13.8" x14ac:dyDescent="0.25">
      <c r="B237" s="168">
        <v>226</v>
      </c>
      <c r="C237" s="278"/>
      <c r="D237" s="261"/>
      <c r="E237" s="213"/>
      <c r="F237" s="277" t="str">
        <f>IF(D237="","",VLOOKUP(D237,'G-6 Hedgerow Data'!$B$2:$AG$15,2,FALSE))</f>
        <v/>
      </c>
      <c r="G237" s="172" t="str">
        <f>IF(D237="","",VLOOKUP(D237,'G-6 Hedgerow Data'!$B$2:$AG$15,3,FALSE))</f>
        <v/>
      </c>
      <c r="H237" s="173"/>
      <c r="I237" s="172" t="str">
        <f>IFERROR(VLOOKUP(H237,'G-1 All Habitats'!$Z$2:$AA$9,2,FALSE),"")</f>
        <v/>
      </c>
      <c r="J237" s="173"/>
      <c r="K237" s="175" t="str">
        <f>IF(J237="","",IF(VLOOKUP(J237,'G-3 Multipliers'!$L$3:$N$6,2,FALSE)=0,"Spatial Data Missing",VLOOKUP(J237,'G-3 Multipliers'!$L$3:$N$6,2,FALSE)))</f>
        <v/>
      </c>
      <c r="L237" s="260" t="str">
        <f>IF(J237="","",IF(VLOOKUP(J237,'G-3 Multipliers'!$L$3:$N$6,3,FALSE)=0,"Spatial Data Missing",VLOOKUP(J237,'G-3 Multipliers'!$L$3:$N$6,3,FALSE)))</f>
        <v/>
      </c>
      <c r="M237" s="171" t="str">
        <f>IF(OR(D237="",H237=""),"",(INDEX('G-6 Hedgerow Data'!$E$3:$I$15,MATCH(D237,'G-6 Hedgerow Data'!$B$3:$B$15,0),MATCH(H237,'G-6 Hedgerow Data'!$E$2:$I$2,0))))</f>
        <v/>
      </c>
      <c r="N237" s="261"/>
      <c r="O237" s="261"/>
      <c r="P237" s="179" t="str">
        <f t="shared" si="19"/>
        <v/>
      </c>
      <c r="Q237" s="262" t="str">
        <f t="shared" si="20"/>
        <v/>
      </c>
      <c r="R237" s="263" t="str">
        <f t="shared" si="18"/>
        <v/>
      </c>
      <c r="S237" s="239" t="str">
        <f>IF(D237="","",VLOOKUP(D237,'G-6 Hedgerow Data'!$B$3:$AG$15,31,FALSE))</f>
        <v/>
      </c>
      <c r="T237" s="179" t="str">
        <f t="shared" si="21"/>
        <v/>
      </c>
      <c r="U237" s="179" t="str">
        <f t="shared" si="22"/>
        <v/>
      </c>
      <c r="V237" s="176" t="str">
        <f>IF(D237="","",VLOOKUP(S237,'G-3 Multipliers'!$P$3:$Q$6,2,FALSE))</f>
        <v/>
      </c>
      <c r="W237" s="274" t="str">
        <f t="shared" si="23"/>
        <v/>
      </c>
      <c r="X237" s="180"/>
      <c r="Y237" s="181"/>
      <c r="AG237" s="35" t="str">
        <f>IFERROR(INDEX('G-6 Hedgerow Data'!$BJ$3:$BJ$15,MATCH(D237,'G-6 Hedgerow Data'!$B$3:$B$15,0)),"")</f>
        <v/>
      </c>
    </row>
    <row r="238" spans="2:33" ht="13.8" x14ac:dyDescent="0.25">
      <c r="B238" s="168">
        <v>227</v>
      </c>
      <c r="C238" s="278"/>
      <c r="D238" s="261"/>
      <c r="E238" s="213"/>
      <c r="F238" s="277" t="str">
        <f>IF(D238="","",VLOOKUP(D238,'G-6 Hedgerow Data'!$B$2:$AG$15,2,FALSE))</f>
        <v/>
      </c>
      <c r="G238" s="172" t="str">
        <f>IF(D238="","",VLOOKUP(D238,'G-6 Hedgerow Data'!$B$2:$AG$15,3,FALSE))</f>
        <v/>
      </c>
      <c r="H238" s="173"/>
      <c r="I238" s="172" t="str">
        <f>IFERROR(VLOOKUP(H238,'G-1 All Habitats'!$Z$2:$AA$9,2,FALSE),"")</f>
        <v/>
      </c>
      <c r="J238" s="173"/>
      <c r="K238" s="175" t="str">
        <f>IF(J238="","",IF(VLOOKUP(J238,'G-3 Multipliers'!$L$3:$N$6,2,FALSE)=0,"Spatial Data Missing",VLOOKUP(J238,'G-3 Multipliers'!$L$3:$N$6,2,FALSE)))</f>
        <v/>
      </c>
      <c r="L238" s="260" t="str">
        <f>IF(J238="","",IF(VLOOKUP(J238,'G-3 Multipliers'!$L$3:$N$6,3,FALSE)=0,"Spatial Data Missing",VLOOKUP(J238,'G-3 Multipliers'!$L$3:$N$6,3,FALSE)))</f>
        <v/>
      </c>
      <c r="M238" s="171" t="str">
        <f>IF(OR(D238="",H238=""),"",(INDEX('G-6 Hedgerow Data'!$E$3:$I$15,MATCH(D238,'G-6 Hedgerow Data'!$B$3:$B$15,0),MATCH(H238,'G-6 Hedgerow Data'!$E$2:$I$2,0))))</f>
        <v/>
      </c>
      <c r="N238" s="261"/>
      <c r="O238" s="261"/>
      <c r="P238" s="179" t="str">
        <f t="shared" si="19"/>
        <v/>
      </c>
      <c r="Q238" s="262" t="str">
        <f t="shared" si="20"/>
        <v/>
      </c>
      <c r="R238" s="263" t="str">
        <f t="shared" si="18"/>
        <v/>
      </c>
      <c r="S238" s="239" t="str">
        <f>IF(D238="","",VLOOKUP(D238,'G-6 Hedgerow Data'!$B$3:$AG$15,31,FALSE))</f>
        <v/>
      </c>
      <c r="T238" s="179" t="str">
        <f t="shared" si="21"/>
        <v/>
      </c>
      <c r="U238" s="179" t="str">
        <f t="shared" si="22"/>
        <v/>
      </c>
      <c r="V238" s="176" t="str">
        <f>IF(D238="","",VLOOKUP(S238,'G-3 Multipliers'!$P$3:$Q$6,2,FALSE))</f>
        <v/>
      </c>
      <c r="W238" s="274" t="str">
        <f t="shared" si="23"/>
        <v/>
      </c>
      <c r="X238" s="180"/>
      <c r="Y238" s="181"/>
      <c r="AG238" s="35" t="str">
        <f>IFERROR(INDEX('G-6 Hedgerow Data'!$BJ$3:$BJ$15,MATCH(D238,'G-6 Hedgerow Data'!$B$3:$B$15,0)),"")</f>
        <v/>
      </c>
    </row>
    <row r="239" spans="2:33" ht="13.8" x14ac:dyDescent="0.25">
      <c r="B239" s="168">
        <v>228</v>
      </c>
      <c r="C239" s="278"/>
      <c r="D239" s="261"/>
      <c r="E239" s="213"/>
      <c r="F239" s="277" t="str">
        <f>IF(D239="","",VLOOKUP(D239,'G-6 Hedgerow Data'!$B$2:$AG$15,2,FALSE))</f>
        <v/>
      </c>
      <c r="G239" s="172" t="str">
        <f>IF(D239="","",VLOOKUP(D239,'G-6 Hedgerow Data'!$B$2:$AG$15,3,FALSE))</f>
        <v/>
      </c>
      <c r="H239" s="173"/>
      <c r="I239" s="172" t="str">
        <f>IFERROR(VLOOKUP(H239,'G-1 All Habitats'!$Z$2:$AA$9,2,FALSE),"")</f>
        <v/>
      </c>
      <c r="J239" s="173"/>
      <c r="K239" s="175" t="str">
        <f>IF(J239="","",IF(VLOOKUP(J239,'G-3 Multipliers'!$L$3:$N$6,2,FALSE)=0,"Spatial Data Missing",VLOOKUP(J239,'G-3 Multipliers'!$L$3:$N$6,2,FALSE)))</f>
        <v/>
      </c>
      <c r="L239" s="260" t="str">
        <f>IF(J239="","",IF(VLOOKUP(J239,'G-3 Multipliers'!$L$3:$N$6,3,FALSE)=0,"Spatial Data Missing",VLOOKUP(J239,'G-3 Multipliers'!$L$3:$N$6,3,FALSE)))</f>
        <v/>
      </c>
      <c r="M239" s="171" t="str">
        <f>IF(OR(D239="",H239=""),"",(INDEX('G-6 Hedgerow Data'!$E$3:$I$15,MATCH(D239,'G-6 Hedgerow Data'!$B$3:$B$15,0),MATCH(H239,'G-6 Hedgerow Data'!$E$2:$I$2,0))))</f>
        <v/>
      </c>
      <c r="N239" s="261"/>
      <c r="O239" s="261"/>
      <c r="P239" s="179" t="str">
        <f t="shared" si="19"/>
        <v/>
      </c>
      <c r="Q239" s="262" t="str">
        <f t="shared" si="20"/>
        <v/>
      </c>
      <c r="R239" s="263" t="str">
        <f t="shared" si="18"/>
        <v/>
      </c>
      <c r="S239" s="239" t="str">
        <f>IF(D239="","",VLOOKUP(D239,'G-6 Hedgerow Data'!$B$3:$AG$15,31,FALSE))</f>
        <v/>
      </c>
      <c r="T239" s="179" t="str">
        <f t="shared" si="21"/>
        <v/>
      </c>
      <c r="U239" s="179" t="str">
        <f t="shared" si="22"/>
        <v/>
      </c>
      <c r="V239" s="176" t="str">
        <f>IF(D239="","",VLOOKUP(S239,'G-3 Multipliers'!$P$3:$Q$6,2,FALSE))</f>
        <v/>
      </c>
      <c r="W239" s="274" t="str">
        <f t="shared" si="23"/>
        <v/>
      </c>
      <c r="X239" s="180"/>
      <c r="Y239" s="181"/>
      <c r="AG239" s="35" t="str">
        <f>IFERROR(INDEX('G-6 Hedgerow Data'!$BJ$3:$BJ$15,MATCH(D239,'G-6 Hedgerow Data'!$B$3:$B$15,0)),"")</f>
        <v/>
      </c>
    </row>
    <row r="240" spans="2:33" ht="13.8" x14ac:dyDescent="0.25">
      <c r="B240" s="168">
        <v>229</v>
      </c>
      <c r="C240" s="278"/>
      <c r="D240" s="261"/>
      <c r="E240" s="213"/>
      <c r="F240" s="277" t="str">
        <f>IF(D240="","",VLOOKUP(D240,'G-6 Hedgerow Data'!$B$2:$AG$15,2,FALSE))</f>
        <v/>
      </c>
      <c r="G240" s="172" t="str">
        <f>IF(D240="","",VLOOKUP(D240,'G-6 Hedgerow Data'!$B$2:$AG$15,3,FALSE))</f>
        <v/>
      </c>
      <c r="H240" s="173"/>
      <c r="I240" s="172" t="str">
        <f>IFERROR(VLOOKUP(H240,'G-1 All Habitats'!$Z$2:$AA$9,2,FALSE),"")</f>
        <v/>
      </c>
      <c r="J240" s="173"/>
      <c r="K240" s="175" t="str">
        <f>IF(J240="","",IF(VLOOKUP(J240,'G-3 Multipliers'!$L$3:$N$6,2,FALSE)=0,"Spatial Data Missing",VLOOKUP(J240,'G-3 Multipliers'!$L$3:$N$6,2,FALSE)))</f>
        <v/>
      </c>
      <c r="L240" s="260" t="str">
        <f>IF(J240="","",IF(VLOOKUP(J240,'G-3 Multipliers'!$L$3:$N$6,3,FALSE)=0,"Spatial Data Missing",VLOOKUP(J240,'G-3 Multipliers'!$L$3:$N$6,3,FALSE)))</f>
        <v/>
      </c>
      <c r="M240" s="171" t="str">
        <f>IF(OR(D240="",H240=""),"",(INDEX('G-6 Hedgerow Data'!$E$3:$I$15,MATCH(D240,'G-6 Hedgerow Data'!$B$3:$B$15,0),MATCH(H240,'G-6 Hedgerow Data'!$E$2:$I$2,0))))</f>
        <v/>
      </c>
      <c r="N240" s="261"/>
      <c r="O240" s="261"/>
      <c r="P240" s="179" t="str">
        <f t="shared" si="19"/>
        <v/>
      </c>
      <c r="Q240" s="262" t="str">
        <f t="shared" si="20"/>
        <v/>
      </c>
      <c r="R240" s="263" t="str">
        <f t="shared" si="18"/>
        <v/>
      </c>
      <c r="S240" s="239" t="str">
        <f>IF(D240="","",VLOOKUP(D240,'G-6 Hedgerow Data'!$B$3:$AG$15,31,FALSE))</f>
        <v/>
      </c>
      <c r="T240" s="179" t="str">
        <f t="shared" si="21"/>
        <v/>
      </c>
      <c r="U240" s="179" t="str">
        <f t="shared" si="22"/>
        <v/>
      </c>
      <c r="V240" s="176" t="str">
        <f>IF(D240="","",VLOOKUP(S240,'G-3 Multipliers'!$P$3:$Q$6,2,FALSE))</f>
        <v/>
      </c>
      <c r="W240" s="274" t="str">
        <f t="shared" si="23"/>
        <v/>
      </c>
      <c r="X240" s="180"/>
      <c r="Y240" s="181"/>
      <c r="AG240" s="35" t="str">
        <f>IFERROR(INDEX('G-6 Hedgerow Data'!$BJ$3:$BJ$15,MATCH(D240,'G-6 Hedgerow Data'!$B$3:$B$15,0)),"")</f>
        <v/>
      </c>
    </row>
    <row r="241" spans="2:33" ht="13.8" x14ac:dyDescent="0.25">
      <c r="B241" s="168">
        <v>230</v>
      </c>
      <c r="C241" s="278"/>
      <c r="D241" s="261"/>
      <c r="E241" s="213"/>
      <c r="F241" s="277" t="str">
        <f>IF(D241="","",VLOOKUP(D241,'G-6 Hedgerow Data'!$B$2:$AG$15,2,FALSE))</f>
        <v/>
      </c>
      <c r="G241" s="172" t="str">
        <f>IF(D241="","",VLOOKUP(D241,'G-6 Hedgerow Data'!$B$2:$AG$15,3,FALSE))</f>
        <v/>
      </c>
      <c r="H241" s="173"/>
      <c r="I241" s="172" t="str">
        <f>IFERROR(VLOOKUP(H241,'G-1 All Habitats'!$Z$2:$AA$9,2,FALSE),"")</f>
        <v/>
      </c>
      <c r="J241" s="173"/>
      <c r="K241" s="175" t="str">
        <f>IF(J241="","",IF(VLOOKUP(J241,'G-3 Multipliers'!$L$3:$N$6,2,FALSE)=0,"Spatial Data Missing",VLOOKUP(J241,'G-3 Multipliers'!$L$3:$N$6,2,FALSE)))</f>
        <v/>
      </c>
      <c r="L241" s="260" t="str">
        <f>IF(J241="","",IF(VLOOKUP(J241,'G-3 Multipliers'!$L$3:$N$6,3,FALSE)=0,"Spatial Data Missing",VLOOKUP(J241,'G-3 Multipliers'!$L$3:$N$6,3,FALSE)))</f>
        <v/>
      </c>
      <c r="M241" s="171" t="str">
        <f>IF(OR(D241="",H241=""),"",(INDEX('G-6 Hedgerow Data'!$E$3:$I$15,MATCH(D241,'G-6 Hedgerow Data'!$B$3:$B$15,0),MATCH(H241,'G-6 Hedgerow Data'!$E$2:$I$2,0))))</f>
        <v/>
      </c>
      <c r="N241" s="261"/>
      <c r="O241" s="261"/>
      <c r="P241" s="179" t="str">
        <f t="shared" si="19"/>
        <v/>
      </c>
      <c r="Q241" s="262" t="str">
        <f t="shared" si="20"/>
        <v/>
      </c>
      <c r="R241" s="263" t="str">
        <f t="shared" si="18"/>
        <v/>
      </c>
      <c r="S241" s="239" t="str">
        <f>IF(D241="","",VLOOKUP(D241,'G-6 Hedgerow Data'!$B$3:$AG$15,31,FALSE))</f>
        <v/>
      </c>
      <c r="T241" s="179" t="str">
        <f t="shared" si="21"/>
        <v/>
      </c>
      <c r="U241" s="179" t="str">
        <f t="shared" si="22"/>
        <v/>
      </c>
      <c r="V241" s="176" t="str">
        <f>IF(D241="","",VLOOKUP(S241,'G-3 Multipliers'!$P$3:$Q$6,2,FALSE))</f>
        <v/>
      </c>
      <c r="W241" s="274" t="str">
        <f t="shared" si="23"/>
        <v/>
      </c>
      <c r="X241" s="180"/>
      <c r="Y241" s="181"/>
      <c r="AG241" s="35" t="str">
        <f>IFERROR(INDEX('G-6 Hedgerow Data'!$BJ$3:$BJ$15,MATCH(D241,'G-6 Hedgerow Data'!$B$3:$B$15,0)),"")</f>
        <v/>
      </c>
    </row>
    <row r="242" spans="2:33" ht="13.8" x14ac:dyDescent="0.25">
      <c r="B242" s="168">
        <v>231</v>
      </c>
      <c r="C242" s="278"/>
      <c r="D242" s="261"/>
      <c r="E242" s="213"/>
      <c r="F242" s="277" t="str">
        <f>IF(D242="","",VLOOKUP(D242,'G-6 Hedgerow Data'!$B$2:$AG$15,2,FALSE))</f>
        <v/>
      </c>
      <c r="G242" s="172" t="str">
        <f>IF(D242="","",VLOOKUP(D242,'G-6 Hedgerow Data'!$B$2:$AG$15,3,FALSE))</f>
        <v/>
      </c>
      <c r="H242" s="173"/>
      <c r="I242" s="172" t="str">
        <f>IFERROR(VLOOKUP(H242,'G-1 All Habitats'!$Z$2:$AA$9,2,FALSE),"")</f>
        <v/>
      </c>
      <c r="J242" s="173"/>
      <c r="K242" s="175" t="str">
        <f>IF(J242="","",IF(VLOOKUP(J242,'G-3 Multipliers'!$L$3:$N$6,2,FALSE)=0,"Spatial Data Missing",VLOOKUP(J242,'G-3 Multipliers'!$L$3:$N$6,2,FALSE)))</f>
        <v/>
      </c>
      <c r="L242" s="260" t="str">
        <f>IF(J242="","",IF(VLOOKUP(J242,'G-3 Multipliers'!$L$3:$N$6,3,FALSE)=0,"Spatial Data Missing",VLOOKUP(J242,'G-3 Multipliers'!$L$3:$N$6,3,FALSE)))</f>
        <v/>
      </c>
      <c r="M242" s="171" t="str">
        <f>IF(OR(D242="",H242=""),"",(INDEX('G-6 Hedgerow Data'!$E$3:$I$15,MATCH(D242,'G-6 Hedgerow Data'!$B$3:$B$15,0),MATCH(H242,'G-6 Hedgerow Data'!$E$2:$I$2,0))))</f>
        <v/>
      </c>
      <c r="N242" s="261"/>
      <c r="O242" s="261"/>
      <c r="P242" s="179" t="str">
        <f t="shared" si="19"/>
        <v/>
      </c>
      <c r="Q242" s="262" t="str">
        <f t="shared" si="20"/>
        <v/>
      </c>
      <c r="R242" s="263" t="str">
        <f t="shared" si="18"/>
        <v/>
      </c>
      <c r="S242" s="239" t="str">
        <f>IF(D242="","",VLOOKUP(D242,'G-6 Hedgerow Data'!$B$3:$AG$15,31,FALSE))</f>
        <v/>
      </c>
      <c r="T242" s="179" t="str">
        <f t="shared" si="21"/>
        <v/>
      </c>
      <c r="U242" s="179" t="str">
        <f t="shared" si="22"/>
        <v/>
      </c>
      <c r="V242" s="176" t="str">
        <f>IF(D242="","",VLOOKUP(S242,'G-3 Multipliers'!$P$3:$Q$6,2,FALSE))</f>
        <v/>
      </c>
      <c r="W242" s="274" t="str">
        <f t="shared" si="23"/>
        <v/>
      </c>
      <c r="X242" s="180"/>
      <c r="Y242" s="181"/>
      <c r="AG242" s="35" t="str">
        <f>IFERROR(INDEX('G-6 Hedgerow Data'!$BJ$3:$BJ$15,MATCH(D242,'G-6 Hedgerow Data'!$B$3:$B$15,0)),"")</f>
        <v/>
      </c>
    </row>
    <row r="243" spans="2:33" ht="13.8" x14ac:dyDescent="0.25">
      <c r="B243" s="168">
        <v>232</v>
      </c>
      <c r="C243" s="278"/>
      <c r="D243" s="261"/>
      <c r="E243" s="213"/>
      <c r="F243" s="277" t="str">
        <f>IF(D243="","",VLOOKUP(D243,'G-6 Hedgerow Data'!$B$2:$AG$15,2,FALSE))</f>
        <v/>
      </c>
      <c r="G243" s="172" t="str">
        <f>IF(D243="","",VLOOKUP(D243,'G-6 Hedgerow Data'!$B$2:$AG$15,3,FALSE))</f>
        <v/>
      </c>
      <c r="H243" s="173"/>
      <c r="I243" s="172" t="str">
        <f>IFERROR(VLOOKUP(H243,'G-1 All Habitats'!$Z$2:$AA$9,2,FALSE),"")</f>
        <v/>
      </c>
      <c r="J243" s="173"/>
      <c r="K243" s="175" t="str">
        <f>IF(J243="","",IF(VLOOKUP(J243,'G-3 Multipliers'!$L$3:$N$6,2,FALSE)=0,"Spatial Data Missing",VLOOKUP(J243,'G-3 Multipliers'!$L$3:$N$6,2,FALSE)))</f>
        <v/>
      </c>
      <c r="L243" s="260" t="str">
        <f>IF(J243="","",IF(VLOOKUP(J243,'G-3 Multipliers'!$L$3:$N$6,3,FALSE)=0,"Spatial Data Missing",VLOOKUP(J243,'G-3 Multipliers'!$L$3:$N$6,3,FALSE)))</f>
        <v/>
      </c>
      <c r="M243" s="171" t="str">
        <f>IF(OR(D243="",H243=""),"",(INDEX('G-6 Hedgerow Data'!$E$3:$I$15,MATCH(D243,'G-6 Hedgerow Data'!$B$3:$B$15,0),MATCH(H243,'G-6 Hedgerow Data'!$E$2:$I$2,0))))</f>
        <v/>
      </c>
      <c r="N243" s="261"/>
      <c r="O243" s="261"/>
      <c r="P243" s="179" t="str">
        <f t="shared" si="19"/>
        <v/>
      </c>
      <c r="Q243" s="262" t="str">
        <f t="shared" si="20"/>
        <v/>
      </c>
      <c r="R243" s="263" t="str">
        <f t="shared" si="18"/>
        <v/>
      </c>
      <c r="S243" s="239" t="str">
        <f>IF(D243="","",VLOOKUP(D243,'G-6 Hedgerow Data'!$B$3:$AG$15,31,FALSE))</f>
        <v/>
      </c>
      <c r="T243" s="179" t="str">
        <f t="shared" si="21"/>
        <v/>
      </c>
      <c r="U243" s="179" t="str">
        <f t="shared" si="22"/>
        <v/>
      </c>
      <c r="V243" s="176" t="str">
        <f>IF(D243="","",VLOOKUP(S243,'G-3 Multipliers'!$P$3:$Q$6,2,FALSE))</f>
        <v/>
      </c>
      <c r="W243" s="274" t="str">
        <f t="shared" si="23"/>
        <v/>
      </c>
      <c r="X243" s="180"/>
      <c r="Y243" s="181"/>
      <c r="AG243" s="35" t="str">
        <f>IFERROR(INDEX('G-6 Hedgerow Data'!$BJ$3:$BJ$15,MATCH(D243,'G-6 Hedgerow Data'!$B$3:$B$15,0)),"")</f>
        <v/>
      </c>
    </row>
    <row r="244" spans="2:33" ht="13.8" x14ac:dyDescent="0.25">
      <c r="B244" s="168">
        <v>233</v>
      </c>
      <c r="C244" s="278"/>
      <c r="D244" s="261"/>
      <c r="E244" s="213"/>
      <c r="F244" s="277" t="str">
        <f>IF(D244="","",VLOOKUP(D244,'G-6 Hedgerow Data'!$B$2:$AG$15,2,FALSE))</f>
        <v/>
      </c>
      <c r="G244" s="172" t="str">
        <f>IF(D244="","",VLOOKUP(D244,'G-6 Hedgerow Data'!$B$2:$AG$15,3,FALSE))</f>
        <v/>
      </c>
      <c r="H244" s="173"/>
      <c r="I244" s="172" t="str">
        <f>IFERROR(VLOOKUP(H244,'G-1 All Habitats'!$Z$2:$AA$9,2,FALSE),"")</f>
        <v/>
      </c>
      <c r="J244" s="173"/>
      <c r="K244" s="175" t="str">
        <f>IF(J244="","",IF(VLOOKUP(J244,'G-3 Multipliers'!$L$3:$N$6,2,FALSE)=0,"Spatial Data Missing",VLOOKUP(J244,'G-3 Multipliers'!$L$3:$N$6,2,FALSE)))</f>
        <v/>
      </c>
      <c r="L244" s="260" t="str">
        <f>IF(J244="","",IF(VLOOKUP(J244,'G-3 Multipliers'!$L$3:$N$6,3,FALSE)=0,"Spatial Data Missing",VLOOKUP(J244,'G-3 Multipliers'!$L$3:$N$6,3,FALSE)))</f>
        <v/>
      </c>
      <c r="M244" s="171" t="str">
        <f>IF(OR(D244="",H244=""),"",(INDEX('G-6 Hedgerow Data'!$E$3:$I$15,MATCH(D244,'G-6 Hedgerow Data'!$B$3:$B$15,0),MATCH(H244,'G-6 Hedgerow Data'!$E$2:$I$2,0))))</f>
        <v/>
      </c>
      <c r="N244" s="261"/>
      <c r="O244" s="261"/>
      <c r="P244" s="179" t="str">
        <f t="shared" si="19"/>
        <v/>
      </c>
      <c r="Q244" s="262" t="str">
        <f t="shared" si="20"/>
        <v/>
      </c>
      <c r="R244" s="263" t="str">
        <f t="shared" si="18"/>
        <v/>
      </c>
      <c r="S244" s="239" t="str">
        <f>IF(D244="","",VLOOKUP(D244,'G-6 Hedgerow Data'!$B$3:$AG$15,31,FALSE))</f>
        <v/>
      </c>
      <c r="T244" s="179" t="str">
        <f t="shared" si="21"/>
        <v/>
      </c>
      <c r="U244" s="179" t="str">
        <f t="shared" si="22"/>
        <v/>
      </c>
      <c r="V244" s="176" t="str">
        <f>IF(D244="","",VLOOKUP(S244,'G-3 Multipliers'!$P$3:$Q$6,2,FALSE))</f>
        <v/>
      </c>
      <c r="W244" s="274" t="str">
        <f t="shared" si="23"/>
        <v/>
      </c>
      <c r="X244" s="180"/>
      <c r="Y244" s="181"/>
      <c r="AG244" s="35" t="str">
        <f>IFERROR(INDEX('G-6 Hedgerow Data'!$BJ$3:$BJ$15,MATCH(D244,'G-6 Hedgerow Data'!$B$3:$B$15,0)),"")</f>
        <v/>
      </c>
    </row>
    <row r="245" spans="2:33" ht="13.8" x14ac:dyDescent="0.25">
      <c r="B245" s="168">
        <v>234</v>
      </c>
      <c r="C245" s="278"/>
      <c r="D245" s="261"/>
      <c r="E245" s="213"/>
      <c r="F245" s="277" t="str">
        <f>IF(D245="","",VLOOKUP(D245,'G-6 Hedgerow Data'!$B$2:$AG$15,2,FALSE))</f>
        <v/>
      </c>
      <c r="G245" s="172" t="str">
        <f>IF(D245="","",VLOOKUP(D245,'G-6 Hedgerow Data'!$B$2:$AG$15,3,FALSE))</f>
        <v/>
      </c>
      <c r="H245" s="173"/>
      <c r="I245" s="172" t="str">
        <f>IFERROR(VLOOKUP(H245,'G-1 All Habitats'!$Z$2:$AA$9,2,FALSE),"")</f>
        <v/>
      </c>
      <c r="J245" s="173"/>
      <c r="K245" s="175" t="str">
        <f>IF(J245="","",IF(VLOOKUP(J245,'G-3 Multipliers'!$L$3:$N$6,2,FALSE)=0,"Spatial Data Missing",VLOOKUP(J245,'G-3 Multipliers'!$L$3:$N$6,2,FALSE)))</f>
        <v/>
      </c>
      <c r="L245" s="260" t="str">
        <f>IF(J245="","",IF(VLOOKUP(J245,'G-3 Multipliers'!$L$3:$N$6,3,FALSE)=0,"Spatial Data Missing",VLOOKUP(J245,'G-3 Multipliers'!$L$3:$N$6,3,FALSE)))</f>
        <v/>
      </c>
      <c r="M245" s="171" t="str">
        <f>IF(OR(D245="",H245=""),"",(INDEX('G-6 Hedgerow Data'!$E$3:$I$15,MATCH(D245,'G-6 Hedgerow Data'!$B$3:$B$15,0),MATCH(H245,'G-6 Hedgerow Data'!$E$2:$I$2,0))))</f>
        <v/>
      </c>
      <c r="N245" s="261"/>
      <c r="O245" s="261"/>
      <c r="P245" s="179" t="str">
        <f t="shared" si="19"/>
        <v/>
      </c>
      <c r="Q245" s="262" t="str">
        <f t="shared" si="20"/>
        <v/>
      </c>
      <c r="R245" s="263" t="str">
        <f t="shared" si="18"/>
        <v/>
      </c>
      <c r="S245" s="239" t="str">
        <f>IF(D245="","",VLOOKUP(D245,'G-6 Hedgerow Data'!$B$3:$AG$15,31,FALSE))</f>
        <v/>
      </c>
      <c r="T245" s="179" t="str">
        <f t="shared" si="21"/>
        <v/>
      </c>
      <c r="U245" s="179" t="str">
        <f t="shared" si="22"/>
        <v/>
      </c>
      <c r="V245" s="176" t="str">
        <f>IF(D245="","",VLOOKUP(S245,'G-3 Multipliers'!$P$3:$Q$6,2,FALSE))</f>
        <v/>
      </c>
      <c r="W245" s="274" t="str">
        <f t="shared" si="23"/>
        <v/>
      </c>
      <c r="X245" s="180"/>
      <c r="Y245" s="181"/>
      <c r="AG245" s="35" t="str">
        <f>IFERROR(INDEX('G-6 Hedgerow Data'!$BJ$3:$BJ$15,MATCH(D245,'G-6 Hedgerow Data'!$B$3:$B$15,0)),"")</f>
        <v/>
      </c>
    </row>
    <row r="246" spans="2:33" ht="13.8" x14ac:dyDescent="0.25">
      <c r="B246" s="168">
        <v>235</v>
      </c>
      <c r="C246" s="278"/>
      <c r="D246" s="261"/>
      <c r="E246" s="213"/>
      <c r="F246" s="277" t="str">
        <f>IF(D246="","",VLOOKUP(D246,'G-6 Hedgerow Data'!$B$2:$AG$15,2,FALSE))</f>
        <v/>
      </c>
      <c r="G246" s="172" t="str">
        <f>IF(D246="","",VLOOKUP(D246,'G-6 Hedgerow Data'!$B$2:$AG$15,3,FALSE))</f>
        <v/>
      </c>
      <c r="H246" s="173"/>
      <c r="I246" s="172" t="str">
        <f>IFERROR(VLOOKUP(H246,'G-1 All Habitats'!$Z$2:$AA$9,2,FALSE),"")</f>
        <v/>
      </c>
      <c r="J246" s="173"/>
      <c r="K246" s="175" t="str">
        <f>IF(J246="","",IF(VLOOKUP(J246,'G-3 Multipliers'!$L$3:$N$6,2,FALSE)=0,"Spatial Data Missing",VLOOKUP(J246,'G-3 Multipliers'!$L$3:$N$6,2,FALSE)))</f>
        <v/>
      </c>
      <c r="L246" s="260" t="str">
        <f>IF(J246="","",IF(VLOOKUP(J246,'G-3 Multipliers'!$L$3:$N$6,3,FALSE)=0,"Spatial Data Missing",VLOOKUP(J246,'G-3 Multipliers'!$L$3:$N$6,3,FALSE)))</f>
        <v/>
      </c>
      <c r="M246" s="171" t="str">
        <f>IF(OR(D246="",H246=""),"",(INDEX('G-6 Hedgerow Data'!$E$3:$I$15,MATCH(D246,'G-6 Hedgerow Data'!$B$3:$B$15,0),MATCH(H246,'G-6 Hedgerow Data'!$E$2:$I$2,0))))</f>
        <v/>
      </c>
      <c r="N246" s="261"/>
      <c r="O246" s="261"/>
      <c r="P246" s="179" t="str">
        <f t="shared" si="19"/>
        <v/>
      </c>
      <c r="Q246" s="262" t="str">
        <f t="shared" si="20"/>
        <v/>
      </c>
      <c r="R246" s="263" t="str">
        <f t="shared" si="18"/>
        <v/>
      </c>
      <c r="S246" s="239" t="str">
        <f>IF(D246="","",VLOOKUP(D246,'G-6 Hedgerow Data'!$B$3:$AG$15,31,FALSE))</f>
        <v/>
      </c>
      <c r="T246" s="179" t="str">
        <f t="shared" si="21"/>
        <v/>
      </c>
      <c r="U246" s="179" t="str">
        <f t="shared" si="22"/>
        <v/>
      </c>
      <c r="V246" s="176" t="str">
        <f>IF(D246="","",VLOOKUP(S246,'G-3 Multipliers'!$P$3:$Q$6,2,FALSE))</f>
        <v/>
      </c>
      <c r="W246" s="274" t="str">
        <f t="shared" si="23"/>
        <v/>
      </c>
      <c r="X246" s="180"/>
      <c r="Y246" s="181"/>
      <c r="AG246" s="35" t="str">
        <f>IFERROR(INDEX('G-6 Hedgerow Data'!$BJ$3:$BJ$15,MATCH(D246,'G-6 Hedgerow Data'!$B$3:$B$15,0)),"")</f>
        <v/>
      </c>
    </row>
    <row r="247" spans="2:33" ht="13.8" x14ac:dyDescent="0.25">
      <c r="B247" s="168">
        <v>236</v>
      </c>
      <c r="C247" s="278"/>
      <c r="D247" s="261"/>
      <c r="E247" s="213"/>
      <c r="F247" s="277" t="str">
        <f>IF(D247="","",VLOOKUP(D247,'G-6 Hedgerow Data'!$B$2:$AG$15,2,FALSE))</f>
        <v/>
      </c>
      <c r="G247" s="172" t="str">
        <f>IF(D247="","",VLOOKUP(D247,'G-6 Hedgerow Data'!$B$2:$AG$15,3,FALSE))</f>
        <v/>
      </c>
      <c r="H247" s="173"/>
      <c r="I247" s="172" t="str">
        <f>IFERROR(VLOOKUP(H247,'G-1 All Habitats'!$Z$2:$AA$9,2,FALSE),"")</f>
        <v/>
      </c>
      <c r="J247" s="173"/>
      <c r="K247" s="175" t="str">
        <f>IF(J247="","",IF(VLOOKUP(J247,'G-3 Multipliers'!$L$3:$N$6,2,FALSE)=0,"Spatial Data Missing",VLOOKUP(J247,'G-3 Multipliers'!$L$3:$N$6,2,FALSE)))</f>
        <v/>
      </c>
      <c r="L247" s="260" t="str">
        <f>IF(J247="","",IF(VLOOKUP(J247,'G-3 Multipliers'!$L$3:$N$6,3,FALSE)=0,"Spatial Data Missing",VLOOKUP(J247,'G-3 Multipliers'!$L$3:$N$6,3,FALSE)))</f>
        <v/>
      </c>
      <c r="M247" s="171" t="str">
        <f>IF(OR(D247="",H247=""),"",(INDEX('G-6 Hedgerow Data'!$E$3:$I$15,MATCH(D247,'G-6 Hedgerow Data'!$B$3:$B$15,0),MATCH(H247,'G-6 Hedgerow Data'!$E$2:$I$2,0))))</f>
        <v/>
      </c>
      <c r="N247" s="261"/>
      <c r="O247" s="261"/>
      <c r="P247" s="179" t="str">
        <f t="shared" si="19"/>
        <v/>
      </c>
      <c r="Q247" s="262" t="str">
        <f t="shared" si="20"/>
        <v/>
      </c>
      <c r="R247" s="263" t="str">
        <f t="shared" si="18"/>
        <v/>
      </c>
      <c r="S247" s="239" t="str">
        <f>IF(D247="","",VLOOKUP(D247,'G-6 Hedgerow Data'!$B$3:$AG$15,31,FALSE))</f>
        <v/>
      </c>
      <c r="T247" s="179" t="str">
        <f t="shared" si="21"/>
        <v/>
      </c>
      <c r="U247" s="179" t="str">
        <f t="shared" si="22"/>
        <v/>
      </c>
      <c r="V247" s="176" t="str">
        <f>IF(D247="","",VLOOKUP(S247,'G-3 Multipliers'!$P$3:$Q$6,2,FALSE))</f>
        <v/>
      </c>
      <c r="W247" s="274" t="str">
        <f t="shared" si="23"/>
        <v/>
      </c>
      <c r="X247" s="180"/>
      <c r="Y247" s="181"/>
      <c r="AG247" s="35" t="str">
        <f>IFERROR(INDEX('G-6 Hedgerow Data'!$BJ$3:$BJ$15,MATCH(D247,'G-6 Hedgerow Data'!$B$3:$B$15,0)),"")</f>
        <v/>
      </c>
    </row>
    <row r="248" spans="2:33" ht="13.8" x14ac:dyDescent="0.25">
      <c r="B248" s="168">
        <v>237</v>
      </c>
      <c r="C248" s="278"/>
      <c r="D248" s="261"/>
      <c r="E248" s="213"/>
      <c r="F248" s="277" t="str">
        <f>IF(D248="","",VLOOKUP(D248,'G-6 Hedgerow Data'!$B$2:$AG$15,2,FALSE))</f>
        <v/>
      </c>
      <c r="G248" s="172" t="str">
        <f>IF(D248="","",VLOOKUP(D248,'G-6 Hedgerow Data'!$B$2:$AG$15,3,FALSE))</f>
        <v/>
      </c>
      <c r="H248" s="173"/>
      <c r="I248" s="172" t="str">
        <f>IFERROR(VLOOKUP(H248,'G-1 All Habitats'!$Z$2:$AA$9,2,FALSE),"")</f>
        <v/>
      </c>
      <c r="J248" s="173"/>
      <c r="K248" s="175" t="str">
        <f>IF(J248="","",IF(VLOOKUP(J248,'G-3 Multipliers'!$L$3:$N$6,2,FALSE)=0,"Spatial Data Missing",VLOOKUP(J248,'G-3 Multipliers'!$L$3:$N$6,2,FALSE)))</f>
        <v/>
      </c>
      <c r="L248" s="260" t="str">
        <f>IF(J248="","",IF(VLOOKUP(J248,'G-3 Multipliers'!$L$3:$N$6,3,FALSE)=0,"Spatial Data Missing",VLOOKUP(J248,'G-3 Multipliers'!$L$3:$N$6,3,FALSE)))</f>
        <v/>
      </c>
      <c r="M248" s="171" t="str">
        <f>IF(OR(D248="",H248=""),"",(INDEX('G-6 Hedgerow Data'!$E$3:$I$15,MATCH(D248,'G-6 Hedgerow Data'!$B$3:$B$15,0),MATCH(H248,'G-6 Hedgerow Data'!$E$2:$I$2,0))))</f>
        <v/>
      </c>
      <c r="N248" s="261"/>
      <c r="O248" s="261"/>
      <c r="P248" s="179" t="str">
        <f t="shared" si="19"/>
        <v/>
      </c>
      <c r="Q248" s="262" t="str">
        <f t="shared" si="20"/>
        <v/>
      </c>
      <c r="R248" s="263" t="str">
        <f t="shared" si="18"/>
        <v/>
      </c>
      <c r="S248" s="239" t="str">
        <f>IF(D248="","",VLOOKUP(D248,'G-6 Hedgerow Data'!$B$3:$AG$15,31,FALSE))</f>
        <v/>
      </c>
      <c r="T248" s="179" t="str">
        <f t="shared" si="21"/>
        <v/>
      </c>
      <c r="U248" s="179" t="str">
        <f t="shared" si="22"/>
        <v/>
      </c>
      <c r="V248" s="176" t="str">
        <f>IF(D248="","",VLOOKUP(S248,'G-3 Multipliers'!$P$3:$Q$6,2,FALSE))</f>
        <v/>
      </c>
      <c r="W248" s="274" t="str">
        <f t="shared" si="23"/>
        <v/>
      </c>
      <c r="X248" s="180"/>
      <c r="Y248" s="181"/>
      <c r="AG248" s="35" t="str">
        <f>IFERROR(INDEX('G-6 Hedgerow Data'!$BJ$3:$BJ$15,MATCH(D248,'G-6 Hedgerow Data'!$B$3:$B$15,0)),"")</f>
        <v/>
      </c>
    </row>
    <row r="249" spans="2:33" ht="13.8" x14ac:dyDescent="0.25">
      <c r="B249" s="168">
        <v>238</v>
      </c>
      <c r="C249" s="278"/>
      <c r="D249" s="261"/>
      <c r="E249" s="213"/>
      <c r="F249" s="277" t="str">
        <f>IF(D249="","",VLOOKUP(D249,'G-6 Hedgerow Data'!$B$2:$AG$15,2,FALSE))</f>
        <v/>
      </c>
      <c r="G249" s="172" t="str">
        <f>IF(D249="","",VLOOKUP(D249,'G-6 Hedgerow Data'!$B$2:$AG$15,3,FALSE))</f>
        <v/>
      </c>
      <c r="H249" s="173"/>
      <c r="I249" s="172" t="str">
        <f>IFERROR(VLOOKUP(H249,'G-1 All Habitats'!$Z$2:$AA$9,2,FALSE),"")</f>
        <v/>
      </c>
      <c r="J249" s="173"/>
      <c r="K249" s="175" t="str">
        <f>IF(J249="","",IF(VLOOKUP(J249,'G-3 Multipliers'!$L$3:$N$6,2,FALSE)=0,"Spatial Data Missing",VLOOKUP(J249,'G-3 Multipliers'!$L$3:$N$6,2,FALSE)))</f>
        <v/>
      </c>
      <c r="L249" s="260" t="str">
        <f>IF(J249="","",IF(VLOOKUP(J249,'G-3 Multipliers'!$L$3:$N$6,3,FALSE)=0,"Spatial Data Missing",VLOOKUP(J249,'G-3 Multipliers'!$L$3:$N$6,3,FALSE)))</f>
        <v/>
      </c>
      <c r="M249" s="171" t="str">
        <f>IF(OR(D249="",H249=""),"",(INDEX('G-6 Hedgerow Data'!$E$3:$I$15,MATCH(D249,'G-6 Hedgerow Data'!$B$3:$B$15,0),MATCH(H249,'G-6 Hedgerow Data'!$E$2:$I$2,0))))</f>
        <v/>
      </c>
      <c r="N249" s="261"/>
      <c r="O249" s="261"/>
      <c r="P249" s="179" t="str">
        <f t="shared" si="19"/>
        <v/>
      </c>
      <c r="Q249" s="262" t="str">
        <f t="shared" si="20"/>
        <v/>
      </c>
      <c r="R249" s="263" t="str">
        <f t="shared" si="18"/>
        <v/>
      </c>
      <c r="S249" s="239" t="str">
        <f>IF(D249="","",VLOOKUP(D249,'G-6 Hedgerow Data'!$B$3:$AG$15,31,FALSE))</f>
        <v/>
      </c>
      <c r="T249" s="179" t="str">
        <f t="shared" si="21"/>
        <v/>
      </c>
      <c r="U249" s="179" t="str">
        <f t="shared" si="22"/>
        <v/>
      </c>
      <c r="V249" s="176" t="str">
        <f>IF(D249="","",VLOOKUP(S249,'G-3 Multipliers'!$P$3:$Q$6,2,FALSE))</f>
        <v/>
      </c>
      <c r="W249" s="274" t="str">
        <f t="shared" si="23"/>
        <v/>
      </c>
      <c r="X249" s="180"/>
      <c r="Y249" s="181"/>
      <c r="AG249" s="35" t="str">
        <f>IFERROR(INDEX('G-6 Hedgerow Data'!$BJ$3:$BJ$15,MATCH(D249,'G-6 Hedgerow Data'!$B$3:$B$15,0)),"")</f>
        <v/>
      </c>
    </row>
    <row r="250" spans="2:33" ht="13.8" x14ac:dyDescent="0.25">
      <c r="B250" s="168">
        <v>239</v>
      </c>
      <c r="C250" s="278"/>
      <c r="D250" s="261"/>
      <c r="E250" s="213"/>
      <c r="F250" s="277" t="str">
        <f>IF(D250="","",VLOOKUP(D250,'G-6 Hedgerow Data'!$B$2:$AG$15,2,FALSE))</f>
        <v/>
      </c>
      <c r="G250" s="172" t="str">
        <f>IF(D250="","",VLOOKUP(D250,'G-6 Hedgerow Data'!$B$2:$AG$15,3,FALSE))</f>
        <v/>
      </c>
      <c r="H250" s="173"/>
      <c r="I250" s="172" t="str">
        <f>IFERROR(VLOOKUP(H250,'G-1 All Habitats'!$Z$2:$AA$9,2,FALSE),"")</f>
        <v/>
      </c>
      <c r="J250" s="173"/>
      <c r="K250" s="175" t="str">
        <f>IF(J250="","",IF(VLOOKUP(J250,'G-3 Multipliers'!$L$3:$N$6,2,FALSE)=0,"Spatial Data Missing",VLOOKUP(J250,'G-3 Multipliers'!$L$3:$N$6,2,FALSE)))</f>
        <v/>
      </c>
      <c r="L250" s="260" t="str">
        <f>IF(J250="","",IF(VLOOKUP(J250,'G-3 Multipliers'!$L$3:$N$6,3,FALSE)=0,"Spatial Data Missing",VLOOKUP(J250,'G-3 Multipliers'!$L$3:$N$6,3,FALSE)))</f>
        <v/>
      </c>
      <c r="M250" s="171" t="str">
        <f>IF(OR(D250="",H250=""),"",(INDEX('G-6 Hedgerow Data'!$E$3:$I$15,MATCH(D250,'G-6 Hedgerow Data'!$B$3:$B$15,0),MATCH(H250,'G-6 Hedgerow Data'!$E$2:$I$2,0))))</f>
        <v/>
      </c>
      <c r="N250" s="261"/>
      <c r="O250" s="261"/>
      <c r="P250" s="179" t="str">
        <f t="shared" si="19"/>
        <v/>
      </c>
      <c r="Q250" s="262" t="str">
        <f t="shared" si="20"/>
        <v/>
      </c>
      <c r="R250" s="263" t="str">
        <f t="shared" si="18"/>
        <v/>
      </c>
      <c r="S250" s="239" t="str">
        <f>IF(D250="","",VLOOKUP(D250,'G-6 Hedgerow Data'!$B$3:$AG$15,31,FALSE))</f>
        <v/>
      </c>
      <c r="T250" s="179" t="str">
        <f t="shared" si="21"/>
        <v/>
      </c>
      <c r="U250" s="179" t="str">
        <f t="shared" si="22"/>
        <v/>
      </c>
      <c r="V250" s="176" t="str">
        <f>IF(D250="","",VLOOKUP(S250,'G-3 Multipliers'!$P$3:$Q$6,2,FALSE))</f>
        <v/>
      </c>
      <c r="W250" s="274" t="str">
        <f t="shared" si="23"/>
        <v/>
      </c>
      <c r="X250" s="180"/>
      <c r="Y250" s="181"/>
      <c r="AG250" s="35" t="str">
        <f>IFERROR(INDEX('G-6 Hedgerow Data'!$BJ$3:$BJ$15,MATCH(D250,'G-6 Hedgerow Data'!$B$3:$B$15,0)),"")</f>
        <v/>
      </c>
    </row>
    <row r="251" spans="2:33" ht="13.8" x14ac:dyDescent="0.25">
      <c r="B251" s="168">
        <v>240</v>
      </c>
      <c r="C251" s="278"/>
      <c r="D251" s="261"/>
      <c r="E251" s="213"/>
      <c r="F251" s="277" t="str">
        <f>IF(D251="","",VLOOKUP(D251,'G-6 Hedgerow Data'!$B$2:$AG$15,2,FALSE))</f>
        <v/>
      </c>
      <c r="G251" s="172" t="str">
        <f>IF(D251="","",VLOOKUP(D251,'G-6 Hedgerow Data'!$B$2:$AG$15,3,FALSE))</f>
        <v/>
      </c>
      <c r="H251" s="173"/>
      <c r="I251" s="172" t="str">
        <f>IFERROR(VLOOKUP(H251,'G-1 All Habitats'!$Z$2:$AA$9,2,FALSE),"")</f>
        <v/>
      </c>
      <c r="J251" s="173"/>
      <c r="K251" s="175" t="str">
        <f>IF(J251="","",IF(VLOOKUP(J251,'G-3 Multipliers'!$L$3:$N$6,2,FALSE)=0,"Spatial Data Missing",VLOOKUP(J251,'G-3 Multipliers'!$L$3:$N$6,2,FALSE)))</f>
        <v/>
      </c>
      <c r="L251" s="260" t="str">
        <f>IF(J251="","",IF(VLOOKUP(J251,'G-3 Multipliers'!$L$3:$N$6,3,FALSE)=0,"Spatial Data Missing",VLOOKUP(J251,'G-3 Multipliers'!$L$3:$N$6,3,FALSE)))</f>
        <v/>
      </c>
      <c r="M251" s="171" t="str">
        <f>IF(OR(D251="",H251=""),"",(INDEX('G-6 Hedgerow Data'!$E$3:$I$15,MATCH(D251,'G-6 Hedgerow Data'!$B$3:$B$15,0),MATCH(H251,'G-6 Hedgerow Data'!$E$2:$I$2,0))))</f>
        <v/>
      </c>
      <c r="N251" s="261"/>
      <c r="O251" s="261"/>
      <c r="P251" s="179" t="str">
        <f t="shared" si="19"/>
        <v/>
      </c>
      <c r="Q251" s="262" t="str">
        <f t="shared" si="20"/>
        <v/>
      </c>
      <c r="R251" s="263" t="str">
        <f t="shared" si="18"/>
        <v/>
      </c>
      <c r="S251" s="239" t="str">
        <f>IF(D251="","",VLOOKUP(D251,'G-6 Hedgerow Data'!$B$3:$AG$15,31,FALSE))</f>
        <v/>
      </c>
      <c r="T251" s="179" t="str">
        <f t="shared" si="21"/>
        <v/>
      </c>
      <c r="U251" s="179" t="str">
        <f t="shared" si="22"/>
        <v/>
      </c>
      <c r="V251" s="176" t="str">
        <f>IF(D251="","",VLOOKUP(S251,'G-3 Multipliers'!$P$3:$Q$6,2,FALSE))</f>
        <v/>
      </c>
      <c r="W251" s="274" t="str">
        <f t="shared" si="23"/>
        <v/>
      </c>
      <c r="X251" s="180"/>
      <c r="Y251" s="181"/>
      <c r="AG251" s="35" t="str">
        <f>IFERROR(INDEX('G-6 Hedgerow Data'!$BJ$3:$BJ$15,MATCH(D251,'G-6 Hedgerow Data'!$B$3:$B$15,0)),"")</f>
        <v/>
      </c>
    </row>
    <row r="252" spans="2:33" ht="13.8" x14ac:dyDescent="0.25">
      <c r="B252" s="168">
        <v>241</v>
      </c>
      <c r="C252" s="278"/>
      <c r="D252" s="261"/>
      <c r="E252" s="213"/>
      <c r="F252" s="277" t="str">
        <f>IF(D252="","",VLOOKUP(D252,'G-6 Hedgerow Data'!$B$2:$AG$15,2,FALSE))</f>
        <v/>
      </c>
      <c r="G252" s="172" t="str">
        <f>IF(D252="","",VLOOKUP(D252,'G-6 Hedgerow Data'!$B$2:$AG$15,3,FALSE))</f>
        <v/>
      </c>
      <c r="H252" s="173"/>
      <c r="I252" s="172" t="str">
        <f>IFERROR(VLOOKUP(H252,'G-1 All Habitats'!$Z$2:$AA$9,2,FALSE),"")</f>
        <v/>
      </c>
      <c r="J252" s="173"/>
      <c r="K252" s="175" t="str">
        <f>IF(J252="","",IF(VLOOKUP(J252,'G-3 Multipliers'!$L$3:$N$6,2,FALSE)=0,"Spatial Data Missing",VLOOKUP(J252,'G-3 Multipliers'!$L$3:$N$6,2,FALSE)))</f>
        <v/>
      </c>
      <c r="L252" s="260" t="str">
        <f>IF(J252="","",IF(VLOOKUP(J252,'G-3 Multipliers'!$L$3:$N$6,3,FALSE)=0,"Spatial Data Missing",VLOOKUP(J252,'G-3 Multipliers'!$L$3:$N$6,3,FALSE)))</f>
        <v/>
      </c>
      <c r="M252" s="171" t="str">
        <f>IF(OR(D252="",H252=""),"",(INDEX('G-6 Hedgerow Data'!$E$3:$I$15,MATCH(D252,'G-6 Hedgerow Data'!$B$3:$B$15,0),MATCH(H252,'G-6 Hedgerow Data'!$E$2:$I$2,0))))</f>
        <v/>
      </c>
      <c r="N252" s="261"/>
      <c r="O252" s="261"/>
      <c r="P252" s="179" t="str">
        <f t="shared" si="19"/>
        <v/>
      </c>
      <c r="Q252" s="262" t="str">
        <f t="shared" si="20"/>
        <v/>
      </c>
      <c r="R252" s="263" t="str">
        <f t="shared" si="18"/>
        <v/>
      </c>
      <c r="S252" s="239" t="str">
        <f>IF(D252="","",VLOOKUP(D252,'G-6 Hedgerow Data'!$B$3:$AG$15,31,FALSE))</f>
        <v/>
      </c>
      <c r="T252" s="179" t="str">
        <f t="shared" si="21"/>
        <v/>
      </c>
      <c r="U252" s="179" t="str">
        <f t="shared" si="22"/>
        <v/>
      </c>
      <c r="V252" s="176" t="str">
        <f>IF(D252="","",VLOOKUP(S252,'G-3 Multipliers'!$P$3:$Q$6,2,FALSE))</f>
        <v/>
      </c>
      <c r="W252" s="274" t="str">
        <f t="shared" si="23"/>
        <v/>
      </c>
      <c r="X252" s="180"/>
      <c r="Y252" s="181"/>
      <c r="AG252" s="35" t="str">
        <f>IFERROR(INDEX('G-6 Hedgerow Data'!$BJ$3:$BJ$15,MATCH(D252,'G-6 Hedgerow Data'!$B$3:$B$15,0)),"")</f>
        <v/>
      </c>
    </row>
    <row r="253" spans="2:33" ht="13.8" x14ac:dyDescent="0.25">
      <c r="B253" s="168">
        <v>242</v>
      </c>
      <c r="C253" s="278"/>
      <c r="D253" s="261"/>
      <c r="E253" s="213"/>
      <c r="F253" s="277" t="str">
        <f>IF(D253="","",VLOOKUP(D253,'G-6 Hedgerow Data'!$B$2:$AG$15,2,FALSE))</f>
        <v/>
      </c>
      <c r="G253" s="172" t="str">
        <f>IF(D253="","",VLOOKUP(D253,'G-6 Hedgerow Data'!$B$2:$AG$15,3,FALSE))</f>
        <v/>
      </c>
      <c r="H253" s="173"/>
      <c r="I253" s="172" t="str">
        <f>IFERROR(VLOOKUP(H253,'G-1 All Habitats'!$Z$2:$AA$9,2,FALSE),"")</f>
        <v/>
      </c>
      <c r="J253" s="173"/>
      <c r="K253" s="175" t="str">
        <f>IF(J253="","",IF(VLOOKUP(J253,'G-3 Multipliers'!$L$3:$N$6,2,FALSE)=0,"Spatial Data Missing",VLOOKUP(J253,'G-3 Multipliers'!$L$3:$N$6,2,FALSE)))</f>
        <v/>
      </c>
      <c r="L253" s="260" t="str">
        <f>IF(J253="","",IF(VLOOKUP(J253,'G-3 Multipliers'!$L$3:$N$6,3,FALSE)=0,"Spatial Data Missing",VLOOKUP(J253,'G-3 Multipliers'!$L$3:$N$6,3,FALSE)))</f>
        <v/>
      </c>
      <c r="M253" s="171" t="str">
        <f>IF(OR(D253="",H253=""),"",(INDEX('G-6 Hedgerow Data'!$E$3:$I$15,MATCH(D253,'G-6 Hedgerow Data'!$B$3:$B$15,0),MATCH(H253,'G-6 Hedgerow Data'!$E$2:$I$2,0))))</f>
        <v/>
      </c>
      <c r="N253" s="261"/>
      <c r="O253" s="261"/>
      <c r="P253" s="179" t="str">
        <f t="shared" si="19"/>
        <v/>
      </c>
      <c r="Q253" s="262" t="str">
        <f t="shared" si="20"/>
        <v/>
      </c>
      <c r="R253" s="263" t="str">
        <f t="shared" si="18"/>
        <v/>
      </c>
      <c r="S253" s="239" t="str">
        <f>IF(D253="","",VLOOKUP(D253,'G-6 Hedgerow Data'!$B$3:$AG$15,31,FALSE))</f>
        <v/>
      </c>
      <c r="T253" s="179" t="str">
        <f t="shared" si="21"/>
        <v/>
      </c>
      <c r="U253" s="179" t="str">
        <f t="shared" si="22"/>
        <v/>
      </c>
      <c r="V253" s="176" t="str">
        <f>IF(D253="","",VLOOKUP(S253,'G-3 Multipliers'!$P$3:$Q$6,2,FALSE))</f>
        <v/>
      </c>
      <c r="W253" s="274" t="str">
        <f t="shared" si="23"/>
        <v/>
      </c>
      <c r="X253" s="180"/>
      <c r="Y253" s="181"/>
      <c r="AG253" s="35" t="str">
        <f>IFERROR(INDEX('G-6 Hedgerow Data'!$BJ$3:$BJ$15,MATCH(D253,'G-6 Hedgerow Data'!$B$3:$B$15,0)),"")</f>
        <v/>
      </c>
    </row>
    <row r="254" spans="2:33" ht="13.8" x14ac:dyDescent="0.25">
      <c r="B254" s="168">
        <v>243</v>
      </c>
      <c r="C254" s="278"/>
      <c r="D254" s="261"/>
      <c r="E254" s="213"/>
      <c r="F254" s="277" t="str">
        <f>IF(D254="","",VLOOKUP(D254,'G-6 Hedgerow Data'!$B$2:$AG$15,2,FALSE))</f>
        <v/>
      </c>
      <c r="G254" s="172" t="str">
        <f>IF(D254="","",VLOOKUP(D254,'G-6 Hedgerow Data'!$B$2:$AG$15,3,FALSE))</f>
        <v/>
      </c>
      <c r="H254" s="173"/>
      <c r="I254" s="172" t="str">
        <f>IFERROR(VLOOKUP(H254,'G-1 All Habitats'!$Z$2:$AA$9,2,FALSE),"")</f>
        <v/>
      </c>
      <c r="J254" s="173"/>
      <c r="K254" s="175" t="str">
        <f>IF(J254="","",IF(VLOOKUP(J254,'G-3 Multipliers'!$L$3:$N$6,2,FALSE)=0,"Spatial Data Missing",VLOOKUP(J254,'G-3 Multipliers'!$L$3:$N$6,2,FALSE)))</f>
        <v/>
      </c>
      <c r="L254" s="260" t="str">
        <f>IF(J254="","",IF(VLOOKUP(J254,'G-3 Multipliers'!$L$3:$N$6,3,FALSE)=0,"Spatial Data Missing",VLOOKUP(J254,'G-3 Multipliers'!$L$3:$N$6,3,FALSE)))</f>
        <v/>
      </c>
      <c r="M254" s="171" t="str">
        <f>IF(OR(D254="",H254=""),"",(INDEX('G-6 Hedgerow Data'!$E$3:$I$15,MATCH(D254,'G-6 Hedgerow Data'!$B$3:$B$15,0),MATCH(H254,'G-6 Hedgerow Data'!$E$2:$I$2,0))))</f>
        <v/>
      </c>
      <c r="N254" s="261"/>
      <c r="O254" s="261"/>
      <c r="P254" s="179" t="str">
        <f t="shared" si="19"/>
        <v/>
      </c>
      <c r="Q254" s="262" t="str">
        <f t="shared" si="20"/>
        <v/>
      </c>
      <c r="R254" s="263" t="str">
        <f t="shared" si="18"/>
        <v/>
      </c>
      <c r="S254" s="239" t="str">
        <f>IF(D254="","",VLOOKUP(D254,'G-6 Hedgerow Data'!$B$3:$AG$15,31,FALSE))</f>
        <v/>
      </c>
      <c r="T254" s="179" t="str">
        <f t="shared" si="21"/>
        <v/>
      </c>
      <c r="U254" s="179" t="str">
        <f t="shared" si="22"/>
        <v/>
      </c>
      <c r="V254" s="176" t="str">
        <f>IF(D254="","",VLOOKUP(S254,'G-3 Multipliers'!$P$3:$Q$6,2,FALSE))</f>
        <v/>
      </c>
      <c r="W254" s="274" t="str">
        <f t="shared" si="23"/>
        <v/>
      </c>
      <c r="X254" s="180"/>
      <c r="Y254" s="181"/>
      <c r="AG254" s="35" t="str">
        <f>IFERROR(INDEX('G-6 Hedgerow Data'!$BJ$3:$BJ$15,MATCH(D254,'G-6 Hedgerow Data'!$B$3:$B$15,0)),"")</f>
        <v/>
      </c>
    </row>
    <row r="255" spans="2:33" ht="13.8" x14ac:dyDescent="0.25">
      <c r="B255" s="168">
        <v>244</v>
      </c>
      <c r="C255" s="278"/>
      <c r="D255" s="261"/>
      <c r="E255" s="213"/>
      <c r="F255" s="277" t="str">
        <f>IF(D255="","",VLOOKUP(D255,'G-6 Hedgerow Data'!$B$2:$AG$15,2,FALSE))</f>
        <v/>
      </c>
      <c r="G255" s="172" t="str">
        <f>IF(D255="","",VLOOKUP(D255,'G-6 Hedgerow Data'!$B$2:$AG$15,3,FALSE))</f>
        <v/>
      </c>
      <c r="H255" s="173"/>
      <c r="I255" s="172" t="str">
        <f>IFERROR(VLOOKUP(H255,'G-1 All Habitats'!$Z$2:$AA$9,2,FALSE),"")</f>
        <v/>
      </c>
      <c r="J255" s="173"/>
      <c r="K255" s="175" t="str">
        <f>IF(J255="","",IF(VLOOKUP(J255,'G-3 Multipliers'!$L$3:$N$6,2,FALSE)=0,"Spatial Data Missing",VLOOKUP(J255,'G-3 Multipliers'!$L$3:$N$6,2,FALSE)))</f>
        <v/>
      </c>
      <c r="L255" s="260" t="str">
        <f>IF(J255="","",IF(VLOOKUP(J255,'G-3 Multipliers'!$L$3:$N$6,3,FALSE)=0,"Spatial Data Missing",VLOOKUP(J255,'G-3 Multipliers'!$L$3:$N$6,3,FALSE)))</f>
        <v/>
      </c>
      <c r="M255" s="171" t="str">
        <f>IF(OR(D255="",H255=""),"",(INDEX('G-6 Hedgerow Data'!$E$3:$I$15,MATCH(D255,'G-6 Hedgerow Data'!$B$3:$B$15,0),MATCH(H255,'G-6 Hedgerow Data'!$E$2:$I$2,0))))</f>
        <v/>
      </c>
      <c r="N255" s="261"/>
      <c r="O255" s="261"/>
      <c r="P255" s="179" t="str">
        <f t="shared" si="19"/>
        <v/>
      </c>
      <c r="Q255" s="262" t="str">
        <f t="shared" si="20"/>
        <v/>
      </c>
      <c r="R255" s="263" t="str">
        <f t="shared" si="18"/>
        <v/>
      </c>
      <c r="S255" s="239" t="str">
        <f>IF(D255="","",VLOOKUP(D255,'G-6 Hedgerow Data'!$B$3:$AG$15,31,FALSE))</f>
        <v/>
      </c>
      <c r="T255" s="179" t="str">
        <f t="shared" si="21"/>
        <v/>
      </c>
      <c r="U255" s="179" t="str">
        <f t="shared" si="22"/>
        <v/>
      </c>
      <c r="V255" s="176" t="str">
        <f>IF(D255="","",VLOOKUP(S255,'G-3 Multipliers'!$P$3:$Q$6,2,FALSE))</f>
        <v/>
      </c>
      <c r="W255" s="274" t="str">
        <f t="shared" si="23"/>
        <v/>
      </c>
      <c r="X255" s="180"/>
      <c r="Y255" s="181"/>
      <c r="AG255" s="35" t="str">
        <f>IFERROR(INDEX('G-6 Hedgerow Data'!$BJ$3:$BJ$15,MATCH(D255,'G-6 Hedgerow Data'!$B$3:$B$15,0)),"")</f>
        <v/>
      </c>
    </row>
    <row r="256" spans="2:33" ht="13.8" x14ac:dyDescent="0.25">
      <c r="B256" s="168">
        <v>245</v>
      </c>
      <c r="C256" s="278"/>
      <c r="D256" s="261"/>
      <c r="E256" s="213"/>
      <c r="F256" s="277" t="str">
        <f>IF(D256="","",VLOOKUP(D256,'G-6 Hedgerow Data'!$B$2:$AG$15,2,FALSE))</f>
        <v/>
      </c>
      <c r="G256" s="172" t="str">
        <f>IF(D256="","",VLOOKUP(D256,'G-6 Hedgerow Data'!$B$2:$AG$15,3,FALSE))</f>
        <v/>
      </c>
      <c r="H256" s="173"/>
      <c r="I256" s="172" t="str">
        <f>IFERROR(VLOOKUP(H256,'G-1 All Habitats'!$Z$2:$AA$9,2,FALSE),"")</f>
        <v/>
      </c>
      <c r="J256" s="173"/>
      <c r="K256" s="175" t="str">
        <f>IF(J256="","",IF(VLOOKUP(J256,'G-3 Multipliers'!$L$3:$N$6,2,FALSE)=0,"Spatial Data Missing",VLOOKUP(J256,'G-3 Multipliers'!$L$3:$N$6,2,FALSE)))</f>
        <v/>
      </c>
      <c r="L256" s="260" t="str">
        <f>IF(J256="","",IF(VLOOKUP(J256,'G-3 Multipliers'!$L$3:$N$6,3,FALSE)=0,"Spatial Data Missing",VLOOKUP(J256,'G-3 Multipliers'!$L$3:$N$6,3,FALSE)))</f>
        <v/>
      </c>
      <c r="M256" s="171" t="str">
        <f>IF(OR(D256="",H256=""),"",(INDEX('G-6 Hedgerow Data'!$E$3:$I$15,MATCH(D256,'G-6 Hedgerow Data'!$B$3:$B$15,0),MATCH(H256,'G-6 Hedgerow Data'!$E$2:$I$2,0))))</f>
        <v/>
      </c>
      <c r="N256" s="261"/>
      <c r="O256" s="261"/>
      <c r="P256" s="179" t="str">
        <f t="shared" si="19"/>
        <v/>
      </c>
      <c r="Q256" s="262" t="str">
        <f t="shared" si="20"/>
        <v/>
      </c>
      <c r="R256" s="263" t="str">
        <f t="shared" si="18"/>
        <v/>
      </c>
      <c r="S256" s="239" t="str">
        <f>IF(D256="","",VLOOKUP(D256,'G-6 Hedgerow Data'!$B$3:$AG$15,31,FALSE))</f>
        <v/>
      </c>
      <c r="T256" s="179" t="str">
        <f t="shared" si="21"/>
        <v/>
      </c>
      <c r="U256" s="179" t="str">
        <f t="shared" si="22"/>
        <v/>
      </c>
      <c r="V256" s="176" t="str">
        <f>IF(D256="","",VLOOKUP(S256,'G-3 Multipliers'!$P$3:$Q$6,2,FALSE))</f>
        <v/>
      </c>
      <c r="W256" s="274" t="str">
        <f t="shared" si="23"/>
        <v/>
      </c>
      <c r="X256" s="180"/>
      <c r="Y256" s="181"/>
      <c r="AG256" s="35" t="str">
        <f>IFERROR(INDEX('G-6 Hedgerow Data'!$BJ$3:$BJ$15,MATCH(D256,'G-6 Hedgerow Data'!$B$3:$B$15,0)),"")</f>
        <v/>
      </c>
    </row>
    <row r="257" spans="2:33" ht="13.8" x14ac:dyDescent="0.25">
      <c r="B257" s="168">
        <v>246</v>
      </c>
      <c r="C257" s="278"/>
      <c r="D257" s="261"/>
      <c r="E257" s="213"/>
      <c r="F257" s="277" t="str">
        <f>IF(D257="","",VLOOKUP(D257,'G-6 Hedgerow Data'!$B$2:$AG$15,2,FALSE))</f>
        <v/>
      </c>
      <c r="G257" s="172" t="str">
        <f>IF(D257="","",VLOOKUP(D257,'G-6 Hedgerow Data'!$B$2:$AG$15,3,FALSE))</f>
        <v/>
      </c>
      <c r="H257" s="173"/>
      <c r="I257" s="172" t="str">
        <f>IFERROR(VLOOKUP(H257,'G-1 All Habitats'!$Z$2:$AA$9,2,FALSE),"")</f>
        <v/>
      </c>
      <c r="J257" s="173"/>
      <c r="K257" s="175" t="str">
        <f>IF(J257="","",IF(VLOOKUP(J257,'G-3 Multipliers'!$L$3:$N$6,2,FALSE)=0,"Spatial Data Missing",VLOOKUP(J257,'G-3 Multipliers'!$L$3:$N$6,2,FALSE)))</f>
        <v/>
      </c>
      <c r="L257" s="260" t="str">
        <f>IF(J257="","",IF(VLOOKUP(J257,'G-3 Multipliers'!$L$3:$N$6,3,FALSE)=0,"Spatial Data Missing",VLOOKUP(J257,'G-3 Multipliers'!$L$3:$N$6,3,FALSE)))</f>
        <v/>
      </c>
      <c r="M257" s="171" t="str">
        <f>IF(OR(D257="",H257=""),"",(INDEX('G-6 Hedgerow Data'!$E$3:$I$15,MATCH(D257,'G-6 Hedgerow Data'!$B$3:$B$15,0),MATCH(H257,'G-6 Hedgerow Data'!$E$2:$I$2,0))))</f>
        <v/>
      </c>
      <c r="N257" s="261"/>
      <c r="O257" s="261"/>
      <c r="P257" s="179" t="str">
        <f t="shared" si="19"/>
        <v/>
      </c>
      <c r="Q257" s="262" t="str">
        <f t="shared" si="20"/>
        <v/>
      </c>
      <c r="R257" s="263" t="str">
        <f t="shared" si="18"/>
        <v/>
      </c>
      <c r="S257" s="239" t="str">
        <f>IF(D257="","",VLOOKUP(D257,'G-6 Hedgerow Data'!$B$3:$AG$15,31,FALSE))</f>
        <v/>
      </c>
      <c r="T257" s="179" t="str">
        <f t="shared" si="21"/>
        <v/>
      </c>
      <c r="U257" s="179" t="str">
        <f t="shared" si="22"/>
        <v/>
      </c>
      <c r="V257" s="176" t="str">
        <f>IF(D257="","",VLOOKUP(S257,'G-3 Multipliers'!$P$3:$Q$6,2,FALSE))</f>
        <v/>
      </c>
      <c r="W257" s="274" t="str">
        <f t="shared" si="23"/>
        <v/>
      </c>
      <c r="X257" s="180"/>
      <c r="Y257" s="181"/>
      <c r="AG257" s="35" t="str">
        <f>IFERROR(INDEX('G-6 Hedgerow Data'!$BJ$3:$BJ$15,MATCH(D257,'G-6 Hedgerow Data'!$B$3:$B$15,0)),"")</f>
        <v/>
      </c>
    </row>
    <row r="258" spans="2:33" ht="13.8" x14ac:dyDescent="0.25">
      <c r="B258" s="168">
        <v>247</v>
      </c>
      <c r="C258" s="278"/>
      <c r="D258" s="261"/>
      <c r="E258" s="213"/>
      <c r="F258" s="277" t="str">
        <f>IF(D258="","",VLOOKUP(D258,'G-6 Hedgerow Data'!$B$2:$AG$15,2,FALSE))</f>
        <v/>
      </c>
      <c r="G258" s="172" t="str">
        <f>IF(D258="","",VLOOKUP(D258,'G-6 Hedgerow Data'!$B$2:$AG$15,3,FALSE))</f>
        <v/>
      </c>
      <c r="H258" s="173"/>
      <c r="I258" s="172" t="str">
        <f>IFERROR(VLOOKUP(H258,'G-1 All Habitats'!$Z$2:$AA$9,2,FALSE),"")</f>
        <v/>
      </c>
      <c r="J258" s="173"/>
      <c r="K258" s="175" t="str">
        <f>IF(J258="","",IF(VLOOKUP(J258,'G-3 Multipliers'!$L$3:$N$6,2,FALSE)=0,"Spatial Data Missing",VLOOKUP(J258,'G-3 Multipliers'!$L$3:$N$6,2,FALSE)))</f>
        <v/>
      </c>
      <c r="L258" s="260" t="str">
        <f>IF(J258="","",IF(VLOOKUP(J258,'G-3 Multipliers'!$L$3:$N$6,3,FALSE)=0,"Spatial Data Missing",VLOOKUP(J258,'G-3 Multipliers'!$L$3:$N$6,3,FALSE)))</f>
        <v/>
      </c>
      <c r="M258" s="171" t="str">
        <f>IF(OR(D258="",H258=""),"",(INDEX('G-6 Hedgerow Data'!$E$3:$I$15,MATCH(D258,'G-6 Hedgerow Data'!$B$3:$B$15,0),MATCH(H258,'G-6 Hedgerow Data'!$E$2:$I$2,0))))</f>
        <v/>
      </c>
      <c r="N258" s="261"/>
      <c r="O258" s="261"/>
      <c r="P258" s="179" t="str">
        <f t="shared" si="19"/>
        <v/>
      </c>
      <c r="Q258" s="262" t="str">
        <f t="shared" si="20"/>
        <v/>
      </c>
      <c r="R258" s="263" t="str">
        <f t="shared" si="18"/>
        <v/>
      </c>
      <c r="S258" s="239" t="str">
        <f>IF(D258="","",VLOOKUP(D258,'G-6 Hedgerow Data'!$B$3:$AG$15,31,FALSE))</f>
        <v/>
      </c>
      <c r="T258" s="179" t="str">
        <f t="shared" si="21"/>
        <v/>
      </c>
      <c r="U258" s="179" t="str">
        <f t="shared" si="22"/>
        <v/>
      </c>
      <c r="V258" s="176" t="str">
        <f>IF(D258="","",VLOOKUP(S258,'G-3 Multipliers'!$P$3:$Q$6,2,FALSE))</f>
        <v/>
      </c>
      <c r="W258" s="274" t="str">
        <f t="shared" si="23"/>
        <v/>
      </c>
      <c r="X258" s="180"/>
      <c r="Y258" s="181"/>
      <c r="AG258" s="35" t="str">
        <f>IFERROR(INDEX('G-6 Hedgerow Data'!$BJ$3:$BJ$15,MATCH(D258,'G-6 Hedgerow Data'!$B$3:$B$15,0)),"")</f>
        <v/>
      </c>
    </row>
    <row r="259" spans="2:33" ht="14.4" thickBot="1" x14ac:dyDescent="0.3">
      <c r="B259" s="190">
        <v>248</v>
      </c>
      <c r="C259" s="470"/>
      <c r="D259" s="279"/>
      <c r="E259" s="192"/>
      <c r="F259" s="471" t="str">
        <f>IF(D259="","",VLOOKUP(D259,'G-6 Hedgerow Data'!$B$2:$AG$15,2,FALSE))</f>
        <v/>
      </c>
      <c r="G259" s="172" t="str">
        <f>IF(D259="","",VLOOKUP(D259,'G-6 Hedgerow Data'!$B$2:$AG$15,3,FALSE))</f>
        <v/>
      </c>
      <c r="H259" s="193"/>
      <c r="I259" s="195" t="str">
        <f>IFERROR(VLOOKUP(H259,'G-1 All Habitats'!$Z$2:$AA$9,2,FALSE),"")</f>
        <v/>
      </c>
      <c r="J259" s="193"/>
      <c r="K259" s="194" t="str">
        <f>IF(J259="","",IF(VLOOKUP(J259,'G-3 Multipliers'!$L$3:$N$6,2,FALSE)=0,"Spatial Data Missing",VLOOKUP(J259,'G-3 Multipliers'!$L$3:$N$6,2,FALSE)))</f>
        <v/>
      </c>
      <c r="L259" s="472" t="str">
        <f>IF(J259="","",IF(VLOOKUP(J259,'G-3 Multipliers'!$L$3:$N$6,3,FALSE)=0,"Spatial Data Missing",VLOOKUP(J259,'G-3 Multipliers'!$L$3:$N$6,3,FALSE)))</f>
        <v/>
      </c>
      <c r="M259" s="248" t="str">
        <f>IF(OR(D259="",H259=""),"",(INDEX('G-6 Hedgerow Data'!$E$3:$I$15,MATCH(D259,'G-6 Hedgerow Data'!$B$3:$B$15,0),MATCH(H259,'G-6 Hedgerow Data'!$E$2:$I$2,0))))</f>
        <v/>
      </c>
      <c r="N259" s="261"/>
      <c r="O259" s="279"/>
      <c r="P259" s="194" t="str">
        <f t="shared" si="19"/>
        <v/>
      </c>
      <c r="Q259" s="251" t="str">
        <f t="shared" si="20"/>
        <v/>
      </c>
      <c r="R259" s="398" t="str">
        <f t="shared" si="18"/>
        <v/>
      </c>
      <c r="S259" s="248" t="str">
        <f>IF(D259="","",VLOOKUP(D259,'G-6 Hedgerow Data'!$B$3:$AG$15,31,FALSE))</f>
        <v/>
      </c>
      <c r="T259" s="179" t="str">
        <f t="shared" si="21"/>
        <v/>
      </c>
      <c r="U259" s="179" t="str">
        <f t="shared" si="22"/>
        <v/>
      </c>
      <c r="V259" s="195" t="str">
        <f>IF(D259="","",VLOOKUP(S259,'G-3 Multipliers'!$P$3:$Q$6,2,FALSE))</f>
        <v/>
      </c>
      <c r="W259" s="399" t="str">
        <f t="shared" si="23"/>
        <v/>
      </c>
      <c r="X259" s="197"/>
      <c r="Y259" s="198"/>
      <c r="AG259" s="35" t="str">
        <f>IFERROR(INDEX('G-6 Hedgerow Data'!$BJ$3:$BJ$15,MATCH(D259,'G-6 Hedgerow Data'!$B$3:$B$15,0)),"")</f>
        <v/>
      </c>
    </row>
    <row r="260" spans="2:33" ht="15.75" customHeight="1" thickBot="1" x14ac:dyDescent="0.3">
      <c r="B260" s="51"/>
      <c r="C260" s="51"/>
      <c r="D260" s="413"/>
      <c r="E260" s="200">
        <f>SUM(E12:E259)</f>
        <v>1.296</v>
      </c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1027"/>
      <c r="V260" s="1028"/>
      <c r="W260" s="200">
        <f>SUM(W12:W259)</f>
        <v>1.25064</v>
      </c>
      <c r="X260" s="51"/>
      <c r="Y260" s="51"/>
    </row>
    <row r="261" spans="2:33" ht="28.95" customHeight="1" x14ac:dyDescent="0.25">
      <c r="E261" s="1019"/>
      <c r="F261" s="1019"/>
      <c r="G261" s="1019"/>
      <c r="H261" s="1019"/>
      <c r="I261" s="1019"/>
      <c r="J261" s="1019"/>
    </row>
    <row r="262" spans="2:33" ht="27" customHeight="1" x14ac:dyDescent="0.25"/>
    <row r="263" spans="2:33" ht="13.8" x14ac:dyDescent="0.25"/>
    <row r="264" spans="2:33" ht="13.8" x14ac:dyDescent="0.25"/>
    <row r="265" spans="2:33" ht="13.8" x14ac:dyDescent="0.25"/>
    <row r="266" spans="2:33" ht="13.8" x14ac:dyDescent="0.25"/>
    <row r="267" spans="2:33" ht="13.8" x14ac:dyDescent="0.25"/>
    <row r="268" spans="2:33" ht="13.8" x14ac:dyDescent="0.25"/>
  </sheetData>
  <sheetProtection algorithmName="SHA-512" hashValue="Bzyv5zrM25adrmmk/pcOoMklYfZC2TPkGEKQV6kGuR4ngxEN2RWQiPqwWdt0mJjSPr98v9Kwx+3LtHaaD9w7RA==" saltValue="qhwn6+/T6MSFVbJj/cOmAA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3">
    <mergeCell ref="E261:J261"/>
    <mergeCell ref="W10:W11"/>
    <mergeCell ref="X10:Y10"/>
    <mergeCell ref="B2:D2"/>
    <mergeCell ref="B3:D4"/>
    <mergeCell ref="D10:E10"/>
    <mergeCell ref="H10:I10"/>
    <mergeCell ref="J10:L10"/>
    <mergeCell ref="S10:V10"/>
    <mergeCell ref="M10:R10"/>
    <mergeCell ref="F10:G10"/>
    <mergeCell ref="U260:V260"/>
    <mergeCell ref="M3:R5"/>
  </mergeCells>
  <conditionalFormatting sqref="W12:W259">
    <cfRule type="containsText" dxfId="124" priority="11" operator="containsText" text="Existing Value Not Required">
      <formula>NOT(ISERROR(SEARCH("Existing Value Not Required",W12)))</formula>
    </cfRule>
    <cfRule type="containsText" dxfId="123" priority="12" operator="containsText" text="Existing Value Required">
      <formula>NOT(ISERROR(SEARCH("Existing Value Required",W12)))</formula>
    </cfRule>
  </conditionalFormatting>
  <conditionalFormatting sqref="K12:K259">
    <cfRule type="containsText" dxfId="122" priority="10" operator="containsText" text="Spatial">
      <formula>NOT(ISERROR(SEARCH("Spatial",K12)))</formula>
    </cfRule>
  </conditionalFormatting>
  <conditionalFormatting sqref="L12:L259">
    <cfRule type="containsText" dxfId="121" priority="9" operator="containsText" text="Spatial">
      <formula>NOT(ISERROR(SEARCH("Spatial",L12)))</formula>
    </cfRule>
  </conditionalFormatting>
  <conditionalFormatting sqref="M6:Q7 M3">
    <cfRule type="containsText" dxfId="120" priority="8" operator="containsText" text="Note">
      <formula>NOT(ISERROR(SEARCH("Note",M3)))</formula>
    </cfRule>
  </conditionalFormatting>
  <conditionalFormatting sqref="P12:P259">
    <cfRule type="containsText" dxfId="119" priority="6" operator="containsText" text="Check">
      <formula>NOT(ISERROR(SEARCH("Check",P12)))</formula>
    </cfRule>
    <cfRule type="containsText" dxfId="118" priority="7" operator="containsText" text="Error">
      <formula>NOT(ISERROR(SEARCH("Error",P12)))</formula>
    </cfRule>
  </conditionalFormatting>
  <conditionalFormatting sqref="Q12:Q259">
    <cfRule type="containsText" dxfId="117" priority="5" operator="containsText" text="Check">
      <formula>NOT(ISERROR(SEARCH("Check",Q12)))</formula>
    </cfRule>
  </conditionalFormatting>
  <conditionalFormatting sqref="R12:R259">
    <cfRule type="containsText" dxfId="116" priority="4" operator="containsText" text="Check">
      <formula>NOT(ISERROR(SEARCH("Check",R12)))</formula>
    </cfRule>
  </conditionalFormatting>
  <conditionalFormatting sqref="T12:T259">
    <cfRule type="containsText" dxfId="115" priority="2" operator="containsText" text="No - Low Difficulty">
      <formula>NOT(ISERROR(SEARCH("No - Low Difficulty",T12)))</formula>
    </cfRule>
    <cfRule type="containsText" dxfId="114" priority="3" operator="containsText" text="Check">
      <formula>NOT(ISERROR(SEARCH("Check",T12)))</formula>
    </cfRule>
  </conditionalFormatting>
  <conditionalFormatting sqref="E261:J261">
    <cfRule type="containsText" dxfId="113" priority="1" operator="containsText" text="Check">
      <formula>NOT(ISERROR(SEARCH("Check",E261)))</formula>
    </cfRule>
  </conditionalFormatting>
  <dataValidations count="1">
    <dataValidation type="list" allowBlank="1" showInputMessage="1" showErrorMessage="1" sqref="H12:H259" xr:uid="{00000000-0002-0000-1200-000000000000}">
      <formula1>INDIRECT(AG12)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200-000001000000}">
          <x14:formula1>
            <xm:f>'G-6 Hedgerow Data'!$B$3:$B$15</xm:f>
          </x14:formula1>
          <xm:sqref>D12:D259</xm:sqref>
        </x14:dataValidation>
        <x14:dataValidation type="list" allowBlank="1" showInputMessage="1" showErrorMessage="1" xr:uid="{00000000-0002-0000-1200-000002000000}">
          <x14:formula1>
            <xm:f>'G-3 Multipliers'!$L$4:$L$6</xm:f>
          </x14:formula1>
          <xm:sqref>J12:J259</xm:sqref>
        </x14:dataValidation>
        <x14:dataValidation type="list" allowBlank="1" showInputMessage="1" showErrorMessage="1" xr:uid="{00000000-0002-0000-1200-000004000000}">
          <x14:formula1>
            <xm:f>'G-4 Temporal multipliers'!$A$41:$A$72</xm:f>
          </x14:formula1>
          <xm:sqref>N12:O259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>
    <tabColor theme="9"/>
  </sheetPr>
  <dimension ref="A1:AT266"/>
  <sheetViews>
    <sheetView showGridLines="0" showRowColHeaders="0" zoomScale="70" zoomScaleNormal="70" workbookViewId="0">
      <pane ySplit="11" topLeftCell="A12" activePane="bottomLeft" state="frozen"/>
      <selection activeCell="B18" sqref="B18:I19"/>
      <selection pane="bottomLeft" activeCell="F15" sqref="F15"/>
    </sheetView>
  </sheetViews>
  <sheetFormatPr defaultColWidth="0" defaultRowHeight="0" customHeight="1" zeroHeight="1" x14ac:dyDescent="0.25"/>
  <cols>
    <col min="1" max="1" width="2.88671875" style="35" customWidth="1"/>
    <col min="2" max="2" width="10" style="35" customWidth="1"/>
    <col min="3" max="3" width="53.33203125" style="35" customWidth="1"/>
    <col min="4" max="4" width="9" style="35" customWidth="1"/>
    <col min="5" max="5" width="18.6640625" style="35" customWidth="1"/>
    <col min="6" max="6" width="17.5546875" style="35" customWidth="1"/>
    <col min="7" max="7" width="18.109375" style="35" customWidth="1"/>
    <col min="8" max="11" width="19.33203125" style="35" customWidth="1"/>
    <col min="12" max="12" width="33.44140625" style="35" customWidth="1"/>
    <col min="13" max="13" width="68.6640625" style="35" customWidth="1"/>
    <col min="14" max="15" width="34.33203125" style="35" customWidth="1"/>
    <col min="16" max="16" width="10.33203125" style="35" customWidth="1"/>
    <col min="17" max="17" width="17.5546875" style="35" customWidth="1"/>
    <col min="18" max="18" width="13.109375" style="35" customWidth="1"/>
    <col min="19" max="19" width="12.5546875" style="35" bestFit="1" customWidth="1"/>
    <col min="20" max="20" width="12.5546875" style="35" customWidth="1"/>
    <col min="21" max="21" width="41.6640625" style="35" customWidth="1"/>
    <col min="22" max="22" width="15.44140625" style="35" customWidth="1"/>
    <col min="23" max="23" width="12.33203125" style="35" customWidth="1"/>
    <col min="24" max="24" width="18.88671875" style="35" customWidth="1"/>
    <col min="25" max="25" width="21.6640625" style="35" customWidth="1"/>
    <col min="26" max="26" width="22.88671875" style="35" customWidth="1"/>
    <col min="27" max="27" width="33.5546875" style="35" customWidth="1"/>
    <col min="28" max="28" width="18.88671875" style="35" customWidth="1"/>
    <col min="29" max="29" width="15.33203125" style="35" customWidth="1"/>
    <col min="30" max="30" width="15.6640625" style="35" customWidth="1"/>
    <col min="31" max="31" width="24" style="35" customWidth="1"/>
    <col min="32" max="32" width="22.109375" style="35" customWidth="1"/>
    <col min="33" max="33" width="13.44140625" style="35" customWidth="1"/>
    <col min="34" max="34" width="12.6640625" style="35" customWidth="1"/>
    <col min="35" max="36" width="34.88671875" style="35" customWidth="1"/>
    <col min="37" max="45" width="8.88671875" style="35" customWidth="1"/>
    <col min="46" max="46" width="15.6640625" style="35" hidden="1" customWidth="1"/>
    <col min="47" max="16384" width="8.88671875" style="35" hidden="1"/>
  </cols>
  <sheetData>
    <row r="1" spans="2:46" ht="15.75" customHeight="1" thickBot="1" x14ac:dyDescent="0.3"/>
    <row r="2" spans="2:46" ht="19.95" customHeight="1" thickBot="1" x14ac:dyDescent="0.3">
      <c r="B2" s="1031" t="str">
        <f>IF(Start!F12="","",Start!F12)</f>
        <v>7948: Anglia Square, Norwich</v>
      </c>
      <c r="C2" s="1032"/>
      <c r="D2" s="1033"/>
      <c r="O2" s="159"/>
      <c r="X2" s="958" t="str">
        <f>IF(OR(COUNTIF($X$12:X257,"*30+*")&gt;0,COUNTIF($AB$12:AB257,"*30+*")&gt;0),"Note; Habitat selected has a time to target condition greater than 30 years. Non standard agreement may be required.","")</f>
        <v/>
      </c>
      <c r="Y2" s="958"/>
      <c r="Z2" s="958"/>
      <c r="AA2" s="958"/>
      <c r="AB2" s="958"/>
      <c r="AC2" s="958"/>
    </row>
    <row r="3" spans="2:46" ht="21" customHeight="1" x14ac:dyDescent="0.25">
      <c r="B3" s="1021" t="str">
        <f ca="1">MID(CELL("filename",A1),FIND("]",CELL("filename",A1))+1,256)</f>
        <v>B-3 Site Hedge Enhancement</v>
      </c>
      <c r="C3" s="1022"/>
      <c r="D3" s="1023"/>
      <c r="X3" s="958"/>
      <c r="Y3" s="958"/>
      <c r="Z3" s="958"/>
      <c r="AA3" s="958"/>
      <c r="AB3" s="958"/>
      <c r="AC3" s="958"/>
    </row>
    <row r="4" spans="2:46" ht="15.75" customHeight="1" thickBot="1" x14ac:dyDescent="0.35">
      <c r="B4" s="1024"/>
      <c r="C4" s="1025"/>
      <c r="D4" s="1026"/>
      <c r="V4" s="37"/>
      <c r="W4" s="257"/>
      <c r="X4" s="958"/>
      <c r="Y4" s="958"/>
      <c r="Z4" s="958"/>
      <c r="AA4" s="958"/>
      <c r="AB4" s="958"/>
      <c r="AC4" s="958"/>
      <c r="AD4" s="257"/>
      <c r="AE4" s="257"/>
      <c r="AF4" s="257"/>
      <c r="AG4" s="257"/>
      <c r="AH4" s="257"/>
      <c r="AI4" s="257"/>
      <c r="AJ4" s="257"/>
    </row>
    <row r="5" spans="2:46" ht="15.75" customHeight="1" x14ac:dyDescent="0.25">
      <c r="X5" s="622"/>
      <c r="Y5" s="622"/>
      <c r="Z5" s="622"/>
      <c r="AA5" s="622"/>
      <c r="AB5" s="622"/>
    </row>
    <row r="6" spans="2:46" ht="15.75" customHeight="1" x14ac:dyDescent="0.25">
      <c r="X6" s="622"/>
      <c r="Y6" s="622"/>
      <c r="Z6" s="622"/>
      <c r="AA6" s="622"/>
      <c r="AB6" s="622"/>
    </row>
    <row r="7" spans="2:46" ht="13.8" x14ac:dyDescent="0.25">
      <c r="B7" s="159"/>
      <c r="C7" s="159"/>
      <c r="M7" s="158"/>
    </row>
    <row r="8" spans="2:46" ht="19.95" customHeight="1" thickBot="1" x14ac:dyDescent="0.3"/>
    <row r="9" spans="2:46" ht="14.4" thickBot="1" x14ac:dyDescent="0.3"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034" t="s">
        <v>990</v>
      </c>
      <c r="N9" s="1035"/>
      <c r="O9" s="1035"/>
      <c r="P9" s="1035"/>
      <c r="Q9" s="1035"/>
      <c r="R9" s="1035"/>
      <c r="S9" s="1035"/>
      <c r="T9" s="1035"/>
      <c r="U9" s="1035"/>
      <c r="V9" s="1035"/>
      <c r="W9" s="1035"/>
      <c r="X9" s="1035"/>
      <c r="Y9" s="1035"/>
      <c r="Z9" s="1035"/>
      <c r="AA9" s="1035"/>
      <c r="AB9" s="1035"/>
      <c r="AC9" s="1035"/>
      <c r="AD9" s="1035"/>
      <c r="AE9" s="1035"/>
      <c r="AF9" s="1035"/>
      <c r="AG9" s="1036"/>
    </row>
    <row r="10" spans="2:46" ht="28.2" customHeight="1" thickBot="1" x14ac:dyDescent="0.3">
      <c r="B10" s="268"/>
      <c r="C10" s="1030" t="s">
        <v>359</v>
      </c>
      <c r="D10" s="1030"/>
      <c r="E10" s="1030"/>
      <c r="F10" s="1030"/>
      <c r="G10" s="1030"/>
      <c r="H10" s="1030"/>
      <c r="I10" s="1030"/>
      <c r="J10" s="1030"/>
      <c r="K10" s="1030"/>
      <c r="L10" s="1030"/>
      <c r="M10" s="983" t="s">
        <v>1488</v>
      </c>
      <c r="N10" s="1037" t="s">
        <v>1084</v>
      </c>
      <c r="O10" s="1037"/>
      <c r="P10" s="983" t="s">
        <v>369</v>
      </c>
      <c r="Q10" s="921" t="s">
        <v>127</v>
      </c>
      <c r="R10" s="919"/>
      <c r="S10" s="1000" t="s">
        <v>141</v>
      </c>
      <c r="T10" s="919"/>
      <c r="U10" s="994" t="s">
        <v>362</v>
      </c>
      <c r="V10" s="994"/>
      <c r="W10" s="994"/>
      <c r="X10" s="1011" t="s">
        <v>988</v>
      </c>
      <c r="Y10" s="1012"/>
      <c r="Z10" s="1012"/>
      <c r="AA10" s="1012"/>
      <c r="AB10" s="1012"/>
      <c r="AC10" s="1013"/>
      <c r="AD10" s="984" t="s">
        <v>1293</v>
      </c>
      <c r="AE10" s="984"/>
      <c r="AF10" s="984"/>
      <c r="AG10" s="984"/>
      <c r="AH10" s="984" t="s">
        <v>1033</v>
      </c>
      <c r="AI10" s="1003" t="s">
        <v>145</v>
      </c>
      <c r="AJ10" s="994"/>
    </row>
    <row r="11" spans="2:46" ht="61.5" customHeight="1" x14ac:dyDescent="0.25">
      <c r="B11" s="162" t="s">
        <v>840</v>
      </c>
      <c r="C11" s="163" t="s">
        <v>997</v>
      </c>
      <c r="D11" s="163" t="s">
        <v>369</v>
      </c>
      <c r="E11" s="163" t="s">
        <v>999</v>
      </c>
      <c r="F11" s="163" t="s">
        <v>1000</v>
      </c>
      <c r="G11" s="163" t="s">
        <v>1001</v>
      </c>
      <c r="H11" s="163" t="s">
        <v>1002</v>
      </c>
      <c r="I11" s="163" t="s">
        <v>1004</v>
      </c>
      <c r="J11" s="163" t="s">
        <v>1005</v>
      </c>
      <c r="K11" s="163" t="s">
        <v>1006</v>
      </c>
      <c r="L11" s="164" t="s">
        <v>1019</v>
      </c>
      <c r="M11" s="984"/>
      <c r="N11" s="561" t="s">
        <v>1007</v>
      </c>
      <c r="O11" s="273" t="s">
        <v>360</v>
      </c>
      <c r="P11" s="984"/>
      <c r="Q11" s="640" t="s">
        <v>127</v>
      </c>
      <c r="R11" s="641" t="s">
        <v>140</v>
      </c>
      <c r="S11" s="644" t="s">
        <v>141</v>
      </c>
      <c r="T11" s="641" t="s">
        <v>140</v>
      </c>
      <c r="U11" s="561" t="s">
        <v>362</v>
      </c>
      <c r="V11" s="272" t="s">
        <v>362</v>
      </c>
      <c r="W11" s="273" t="s">
        <v>983</v>
      </c>
      <c r="X11" s="561" t="s">
        <v>1200</v>
      </c>
      <c r="Y11" s="272" t="s">
        <v>1202</v>
      </c>
      <c r="Z11" s="272" t="s">
        <v>1478</v>
      </c>
      <c r="AA11" s="272" t="s">
        <v>1179</v>
      </c>
      <c r="AB11" s="272" t="s">
        <v>1183</v>
      </c>
      <c r="AC11" s="273" t="s">
        <v>1201</v>
      </c>
      <c r="AD11" s="561" t="s">
        <v>1297</v>
      </c>
      <c r="AE11" s="272" t="s">
        <v>1490</v>
      </c>
      <c r="AF11" s="272" t="s">
        <v>1504</v>
      </c>
      <c r="AG11" s="273" t="s">
        <v>1182</v>
      </c>
      <c r="AH11" s="1029"/>
      <c r="AI11" s="562" t="s">
        <v>991</v>
      </c>
      <c r="AJ11" s="552" t="s">
        <v>992</v>
      </c>
      <c r="AT11" s="158" t="s">
        <v>1298</v>
      </c>
    </row>
    <row r="12" spans="2:46" ht="13.8" x14ac:dyDescent="0.25">
      <c r="B12" s="259" t="str">
        <f>'B-1 Site Hedge Baseline'!AK10</f>
        <v/>
      </c>
      <c r="C12" s="175" t="str">
        <f>IF(B12="","",IF(ISNA(VLOOKUP($B12,'B-1 Site Hedge Baseline'!$B$1:$L$257,3,FALSE)),"",(VLOOKUP($B12,'B-1 Site Hedge Baseline'!$B$1:$L$257,3,FALSE))))</f>
        <v/>
      </c>
      <c r="D12" s="175" t="str">
        <f>IF(B12="","",IF(ISNA(VLOOKUP($B12,'B-1 Site Hedge Baseline'!$B$1:$L$257,4,FALSE)),"",(VLOOKUP($B12,'B-1 Site Hedge Baseline'!$B$1:$L$257,4,FALSE))))</f>
        <v/>
      </c>
      <c r="E12" s="175" t="str">
        <f>IF(B12="","",IF(ISNA(VLOOKUP($B12,'B-1 Site Hedge Baseline'!$B$1:$L$257,5,FALSE)),"",(VLOOKUP($B12,'B-1 Site Hedge Baseline'!$B$1:$L$257,5,FALSE))))</f>
        <v/>
      </c>
      <c r="F12" s="175" t="str">
        <f>IF(B12="","",IF(ISNA(VLOOKUP($B12,'B-1 Site Hedge Baseline'!$B$1:$L$257,6,FALSE)),"",(VLOOKUP($B12,'B-1 Site Hedge Baseline'!$B$1:$L$257,6,FALSE))))</f>
        <v/>
      </c>
      <c r="G12" s="175" t="str">
        <f>IF(B12="","",IF(ISNA(VLOOKUP($B12,'B-1 Site Hedge Baseline'!$B$1:$L$257,7,FALSE)),"",(VLOOKUP($B12,'B-1 Site Hedge Baseline'!$B$1:$L$257,7,FALSE))))</f>
        <v/>
      </c>
      <c r="H12" s="175" t="str">
        <f>IF(B12="","",IF(ISNA(VLOOKUP($B12,'B-1 Site Hedge Baseline'!$B$1:$L$257,8,FALSE)),"",(VLOOKUP($B12,'B-1 Site Hedge Baseline'!$B$1:$L$257,8,FALSE))))</f>
        <v/>
      </c>
      <c r="I12" s="175" t="str">
        <f>IF(B12="","",IF(ISNA(VLOOKUP($B12,'B-1 Site Hedge Baseline'!$B$1:$L$257,10,FALSE)),"",(VLOOKUP($B12,'B-1 Site Hedge Baseline'!$B$1:$L$257,10,FALSE))))</f>
        <v/>
      </c>
      <c r="J12" s="175" t="str">
        <f>IF(B12="","",IF(ISNA(VLOOKUP($B12,'B-1 Site Hedge Baseline'!$B$1:$L$257,11,FALSE)),"",(VLOOKUP($B12,'B-1 Site Hedge Baseline'!$B$1:$L$257,11,FALSE))))</f>
        <v/>
      </c>
      <c r="K12" s="175" t="str">
        <f>IF(B12="","",IF(ISNA(VLOOKUP($B12,'B-1 Site Hedge Baseline'!$B$1:$U$257,13,FALSE)),"",(VLOOKUP($B12,'B-1 Site Hedge Baseline'!$B$1:$U$257,13,FALSE))))</f>
        <v/>
      </c>
      <c r="L12" s="176" t="str">
        <f>IF(B12="","",IF(ISNA(VLOOKUP($B12,'B-1 Site Hedge Baseline'!$B$1:$U$257,12,FALSE)),"",(VLOOKUP($B12,'B-1 Site Hedge Baseline'!$B$1:$U$257,12,FALSE))))</f>
        <v/>
      </c>
      <c r="M12" s="636"/>
      <c r="N12" s="171" t="str">
        <f>IFERROR(IF(B12="","",INDEX('G-6 Hedgerow Data'!$AN$3:$AZ$15,MATCH(C12,'G-6 Hedgerow Data'!$AM$3:$AM$15,0),MATCH(M12,'G-6 Hedgerow Data'!$AN$2:$AZ$2,0))),"")</f>
        <v/>
      </c>
      <c r="O12" s="172" t="str">
        <f>IFERROR(IF(B12="","",IF(AND(LEFT(C12,55)&lt;&gt;LEFT(M12,55),N12="High - High"),"Error - Not like for like",IF(AND(LEFT(C12,55)&lt;&gt;LEFT(M12,55),N12="Medium - Medium"),"Error - Not like for like",IF(H12&gt;T12,"Error - Can not reduce condition",IF(AND(F12=R12,H12=T12),"Error - No enhancement",IF(AND(C12&lt;&gt;M12,F12&lt;R12),"Lower Distinctiveness Habitat"&amp;" - "&amp;S12,G12&amp;" - "&amp;S12)))))),"")</f>
        <v/>
      </c>
      <c r="P12" s="642" t="str">
        <f>IF(B12="","",VLOOKUP(B12,'B-1 Site Hedge Baseline'!$B$10:T257,16,FALSE))</f>
        <v/>
      </c>
      <c r="Q12" s="171" t="str">
        <f>IF(M12="","",VLOOKUP(M12,'G-6 Hedgerow Data'!$B$2:$AG$15,2,FALSE))</f>
        <v/>
      </c>
      <c r="R12" s="172" t="str">
        <f>IF(M12="","",VLOOKUP(M12,'G-6 Hedgerow Data'!$B$2:$AG$15,3,FALSE))</f>
        <v/>
      </c>
      <c r="S12" s="82"/>
      <c r="T12" s="269" t="str">
        <f>IFERROR(VLOOKUP(S12,'G-1 All Habitats'!$Z$2:$AA$9,2,FALSE),"")</f>
        <v/>
      </c>
      <c r="U12" s="174"/>
      <c r="V12" s="175" t="str">
        <f>IF(U12="","",IF(VLOOKUP(U12,'G-3 Multipliers'!$L$3:$N$6,2,FALSE)=0,"Spatial Data Missing",VLOOKUP(U12,'G-3 Multipliers'!$L$3:$N$6,2,FALSE)))</f>
        <v/>
      </c>
      <c r="W12" s="176" t="str">
        <f>IF(U12="","",IF(VLOOKUP(U12,'G-3 Multipliers'!$L$3:$N$6,3,FALSE)=0,"Spatial Data Missing",VLOOKUP(U12,'G-3 Multipliers'!$L$3:$N$6,3,FALSE)))</f>
        <v/>
      </c>
      <c r="X12" s="171" t="str">
        <f>IFERROR(IF(OR(LEFT(O12,5)="Error",LEFT(N12,5)="Error",T12="Error"),"Check Data",IF(F12&lt;R12,INDEX('G-6 Hedgerow Data'!$S$3:$AE$14,MATCH(C12,'G-6 Hedgerow Data'!$B$3:$B$14,0),MATCH(M12,'G-6 Hedgerow Data'!$S$2:$AE$2,0)),INDEX('G-6 Hedgerow Data'!$K$3:$Q$14,MATCH(M12,'G-6 Hedgerow Data'!$B$3:$B$14,0),MATCH(O12,'G-6 Hedgerow Data'!$K$2:$Q$2,0)))),"")</f>
        <v/>
      </c>
      <c r="Y12" s="261"/>
      <c r="Z12" s="261"/>
      <c r="AA12" s="179" t="str">
        <f>IF(X12="Check Data","Check Data",IF(M12="","",IF(AND(Y12&gt;0,Z12&gt;0),"Error -both advance and delayed habitat creation",IF(AND(OR(Y12="Habitat already in target condition",X12&lt;=Y12),Z12=0),"Check details - Is there evidence that habitat has reached target condition?",IF(X12="","",IF(Y12&gt;0,"Check details - Is there evidence habitat creation started/in place?",IF(Z12&gt;0,"Check details- Delay in starting habitat in required condition?","Standard time to target condition applied")))))))</f>
        <v/>
      </c>
      <c r="AB12" s="262" t="str">
        <f>IF(X12="","",IF(AA12="Check Data","Check Data",IF(Y12="30+",0,IF(Z12="30+","30+",IF(X12+Z12&gt;30,"30+",IF(LEFT(AA12,5)="Error","Check Data",IF(X12+Z12-Y12&gt;0,X12+Z12-Y12,IF(X12-Y12&lt;=0,0,))))))))</f>
        <v/>
      </c>
      <c r="AC12" s="263" t="str">
        <f>IF(OR(S12="",M12=""),"",IF(LEFT(AB12,5)="Error","Check Data",IF(AB12="Check Data","Check Data",VLOOKUP(AB12,TemporalMultipliers,3,FALSE))))</f>
        <v/>
      </c>
      <c r="AD12" s="171" t="str">
        <f>IF(M12="","",VLOOKUP(M12,'G-6 Hedgerow Data'!$B$3:$AG$15,31,FALSE))</f>
        <v/>
      </c>
      <c r="AE12" s="179" t="str">
        <f>IF(M12="","",IF(OR(LEFT(AA12,5)="Error",AA12="Check Data"),"Check Data",IF(X12="","",IF($AA12="Check details - Is there evidence that habitat has reached target condition?","Low Difficulty - only applicable if all habitat created before losses","Standard difficulty applied"))))</f>
        <v/>
      </c>
      <c r="AF12" s="179" t="str">
        <f>(IF(AND(AE12="Standard difficulty applied",X12&gt;Y12),AD12,IF(AND(AE12="Low Difficulty - only applicable if all habitat created before losses",Y12&gt;=X12),"Low",AD12)))</f>
        <v/>
      </c>
      <c r="AG12" s="172" t="str">
        <f>IFERROR(IF(O12="","",VLOOKUP(AD12,'G-3 Multipliers'!$P$3:$Q$6,2,FALSE)),"")</f>
        <v/>
      </c>
      <c r="AH12" s="207" t="str">
        <f t="shared" ref="AH12:AH75" si="0">IFERROR(IF(OR(M12="",S12="",U12=""),"",(((((P12*R12*T12)-(P12*F12*H12))*(AG12*AC12))+(P12*F12*H12))*(W12))),"")</f>
        <v/>
      </c>
      <c r="AI12" s="645"/>
      <c r="AJ12" s="356"/>
      <c r="AT12" s="35" t="str">
        <f>IFERROR(INDEX('G-6 Hedgerow Data'!$BJ$3:$BJ$15,MATCH(M12,'G-6 Hedgerow Data'!$B$3:$B$15,0)),"")</f>
        <v/>
      </c>
    </row>
    <row r="13" spans="2:46" ht="13.8" x14ac:dyDescent="0.25">
      <c r="B13" s="259" t="str">
        <f>'B-1 Site Hedge Baseline'!AK11</f>
        <v/>
      </c>
      <c r="C13" s="175" t="str">
        <f>IF(B13="","",IF(ISNA(VLOOKUP($B13,'B-1 Site Hedge Baseline'!$B$1:$L$257,3,FALSE)),"",(VLOOKUP($B13,'B-1 Site Hedge Baseline'!$B$1:$L$257,3,FALSE))))</f>
        <v/>
      </c>
      <c r="D13" s="175" t="str">
        <f>IF(B13="","",IF(ISNA(VLOOKUP($B13,'B-1 Site Hedge Baseline'!$B$1:$L$257,4,FALSE)),"",(VLOOKUP($B13,'B-1 Site Hedge Baseline'!$B$1:$L$257,4,FALSE))))</f>
        <v/>
      </c>
      <c r="E13" s="175" t="str">
        <f>IF(B13="","",IF(ISNA(VLOOKUP($B13,'B-1 Site Hedge Baseline'!$B$1:$L$257,5,FALSE)),"",(VLOOKUP($B13,'B-1 Site Hedge Baseline'!$B$1:$L$257,5,FALSE))))</f>
        <v/>
      </c>
      <c r="F13" s="175" t="str">
        <f>IF(B13="","",IF(ISNA(VLOOKUP($B13,'B-1 Site Hedge Baseline'!$B$1:$L$257,6,FALSE)),"",(VLOOKUP($B13,'B-1 Site Hedge Baseline'!$B$1:$L$257,6,FALSE))))</f>
        <v/>
      </c>
      <c r="G13" s="175" t="str">
        <f>IF(B13="","",IF(ISNA(VLOOKUP($B13,'B-1 Site Hedge Baseline'!$B$1:$L$257,7,FALSE)),"",(VLOOKUP($B13,'B-1 Site Hedge Baseline'!$B$1:$L$257,7,FALSE))))</f>
        <v/>
      </c>
      <c r="H13" s="175" t="str">
        <f>IF(B13="","",IF(ISNA(VLOOKUP($B13,'B-1 Site Hedge Baseline'!$B$1:$L$257,8,FALSE)),"",(VLOOKUP($B13,'B-1 Site Hedge Baseline'!$B$1:$L$257,8,FALSE))))</f>
        <v/>
      </c>
      <c r="I13" s="175" t="str">
        <f>IF(B13="","",IF(ISNA(VLOOKUP($B13,'B-1 Site Hedge Baseline'!$B$1:$L$257,10,FALSE)),"",(VLOOKUP($B13,'B-1 Site Hedge Baseline'!$B$1:$L$257,10,FALSE))))</f>
        <v/>
      </c>
      <c r="J13" s="175" t="str">
        <f>IF(B13="","",IF(ISNA(VLOOKUP($B13,'B-1 Site Hedge Baseline'!$B$1:$L$257,11,FALSE)),"",(VLOOKUP($B13,'B-1 Site Hedge Baseline'!$B$1:$L$257,11,FALSE))))</f>
        <v/>
      </c>
      <c r="K13" s="175" t="str">
        <f>IF(B13="","",IF(ISNA(VLOOKUP($B13,'B-1 Site Hedge Baseline'!$B$1:$U$257,13,FALSE)),"",(VLOOKUP($B13,'B-1 Site Hedge Baseline'!$B$1:$U$257,13,FALSE))))</f>
        <v/>
      </c>
      <c r="L13" s="176" t="str">
        <f>IF(B13="","",IF(ISNA(VLOOKUP($B13,'B-1 Site Hedge Baseline'!$B$1:$U$257,12,FALSE)),"",(VLOOKUP($B13,'B-1 Site Hedge Baseline'!$B$1:$U$257,12,FALSE))))</f>
        <v/>
      </c>
      <c r="M13" s="636"/>
      <c r="N13" s="171" t="str">
        <f>IFERROR(IF(B13="","",INDEX('G-6 Hedgerow Data'!$AN$3:$AZ$15,MATCH(C13,'G-6 Hedgerow Data'!$AM$3:$AM$15,0),MATCH(M13,'G-6 Hedgerow Data'!$AN$2:$AZ$2,0))),"")</f>
        <v/>
      </c>
      <c r="O13" s="172" t="str">
        <f t="shared" ref="O13:O75" si="1">IFERROR(IF(B13="","",IF(AND(LEFT(C13,55)&lt;&gt;LEFT(M13,55),N13="High - High"),"Error - Not like for like",IF(AND(LEFT(C13,55)&lt;&gt;LEFT(M13,55),N13="Medium - Medium"),"Error - Not like for like",IF(H13&gt;T13,"Error - Can not reduce condition",IF(AND(F13=R13,H13=T13),"Error - No enhancement",IF(AND(C13&lt;&gt;M13,F13&lt;R13),"Lower Distinctiveness Habitat"&amp;" - "&amp;S13,G13&amp;" - "&amp;S13)))))),"")</f>
        <v/>
      </c>
      <c r="P13" s="642" t="str">
        <f>IF(B13="","",VLOOKUP(B13,'B-1 Site Hedge Baseline'!$B$10:T258,16,FALSE))</f>
        <v/>
      </c>
      <c r="Q13" s="171" t="str">
        <f>IF(M13="","",VLOOKUP(M13,'G-6 Hedgerow Data'!$B$2:$AG$15,2,FALSE))</f>
        <v/>
      </c>
      <c r="R13" s="172" t="str">
        <f>IF(M13="","",VLOOKUP(M13,'G-6 Hedgerow Data'!$B$2:$AG$15,3,FALSE))</f>
        <v/>
      </c>
      <c r="S13" s="82"/>
      <c r="T13" s="269" t="str">
        <f>IFERROR(VLOOKUP(S13,'G-1 All Habitats'!$Z$2:$AA$9,2,FALSE),"")</f>
        <v/>
      </c>
      <c r="U13" s="174"/>
      <c r="V13" s="175" t="str">
        <f>IF(U13="","",IF(VLOOKUP(U13,'G-3 Multipliers'!$L$3:$N$6,2,FALSE)=0,"Spatial Data Missing",VLOOKUP(U13,'G-3 Multipliers'!$L$3:$N$6,2,FALSE)))</f>
        <v/>
      </c>
      <c r="W13" s="176" t="str">
        <f>IF(U13="","",IF(VLOOKUP(U13,'G-3 Multipliers'!$L$3:$N$6,3,FALSE)=0,"Spatial Data Missing",VLOOKUP(U13,'G-3 Multipliers'!$L$3:$N$6,3,FALSE)))</f>
        <v/>
      </c>
      <c r="X13" s="171" t="str">
        <f>IFERROR(IF(OR(LEFT(O13,5)="Error",LEFT(N13,5)="Error",T13="Error"),"Check Data",IF(F13&lt;R13,INDEX('G-6 Hedgerow Data'!$S$3:$AE$14,MATCH(C13,'G-6 Hedgerow Data'!$B$3:$B$14,0),MATCH(M13,'G-6 Hedgerow Data'!$S$2:$AE$2,0)),INDEX('G-6 Hedgerow Data'!$K$3:$Q$14,MATCH(M13,'G-6 Hedgerow Data'!$B$3:$B$14,0),MATCH(O13,'G-6 Hedgerow Data'!$K$2:$Q$2,0)))),"")</f>
        <v/>
      </c>
      <c r="Y13" s="261"/>
      <c r="Z13" s="261"/>
      <c r="AA13" s="179" t="str">
        <f t="shared" ref="AA13:AA76" si="2">IF(X13="Check Data","Check Data",IF(M13="","",IF(AND(Y13&gt;0,Z13&gt;0),"Error -both advance and delayed habitat creation",IF(AND(OR(Y13="Habitat already in target condition",X13&lt;=Y13),Z13=0),"Check details - Is there evidence that habitat has reached target condition?",IF(X13="","",IF(Y13&gt;0,"Check details - Is there evidence habitat creation started/in place?",IF(Z13&gt;0,"Check details- Delay in starting habitat in required condition?","Standard time to target condition applied")))))))</f>
        <v/>
      </c>
      <c r="AB13" s="262" t="str">
        <f t="shared" ref="AB13:AB76" si="3">IF(X13="","",IF(AA13="Check Data","Check Data",IF(Y13="30+",0,IF(Z13="30+","30+",IF(X13+Z13&gt;30,"30+",IF(LEFT(AA13,5)="Error","Check Data",IF(X13+Z13-Y13&gt;0,X13+Z13-Y13,IF(X13-Y13&lt;=0,0,))))))))</f>
        <v/>
      </c>
      <c r="AC13" s="263" t="str">
        <f t="shared" ref="AC13:AC75" si="4">IF(OR(S13="",M13=""),"",IF(LEFT(AB13,5)="Error","Check Data",IF(AB13="Check Data","Check Data",VLOOKUP(AB13,TemporalMultipliers,3,FALSE))))</f>
        <v/>
      </c>
      <c r="AD13" s="239" t="str">
        <f>IF(M13="","",VLOOKUP(M13,'G-6 Hedgerow Data'!$B$3:$AG$15,31,FALSE))</f>
        <v/>
      </c>
      <c r="AE13" s="179" t="str">
        <f t="shared" ref="AE13:AE76" si="5">IF(M13="","",IF(OR(LEFT(AA13,5)="Error",AA13="Check Data"),"Check Data",IF(X13="","",IF($AA13="Check details - Is there evidence that habitat has reached target condition?","Low Difficulty - only applicable if all habitat created before losses","Standard difficulty applied"))))</f>
        <v/>
      </c>
      <c r="AF13" s="179" t="str">
        <f t="shared" ref="AF13:AF76" si="6">(IF(AND(AE13="Standard difficulty applied",X13&gt;Y13),AD13,IF(AND(AE13="Low Difficulty - only applicable if all habitat created before losses",Y13&gt;=X13),"Low",AD13)))</f>
        <v/>
      </c>
      <c r="AG13" s="176" t="str">
        <f>IFERROR(IF(O13="","",VLOOKUP(AD13,'G-3 Multipliers'!$P$3:$Q$6,2,FALSE)),"")</f>
        <v/>
      </c>
      <c r="AH13" s="207" t="str">
        <f t="shared" si="0"/>
        <v/>
      </c>
      <c r="AI13" s="645"/>
      <c r="AJ13" s="356"/>
      <c r="AT13" s="35" t="str">
        <f>IFERROR(INDEX('G-6 Hedgerow Data'!$BJ$3:$BJ$15,MATCH(M13,'G-6 Hedgerow Data'!$B$3:$B$15,0)),"")</f>
        <v/>
      </c>
    </row>
    <row r="14" spans="2:46" ht="13.8" x14ac:dyDescent="0.25">
      <c r="B14" s="259" t="str">
        <f>'B-1 Site Hedge Baseline'!AK12</f>
        <v/>
      </c>
      <c r="C14" s="175" t="str">
        <f>IF(B14="","",IF(ISNA(VLOOKUP($B14,'B-1 Site Hedge Baseline'!$B$1:$L$257,3,FALSE)),"",(VLOOKUP($B14,'B-1 Site Hedge Baseline'!$B$1:$L$257,3,FALSE))))</f>
        <v/>
      </c>
      <c r="D14" s="175" t="str">
        <f>IF(B14="","",IF(ISNA(VLOOKUP($B14,'B-1 Site Hedge Baseline'!$B$1:$L$257,4,FALSE)),"",(VLOOKUP($B14,'B-1 Site Hedge Baseline'!$B$1:$L$257,4,FALSE))))</f>
        <v/>
      </c>
      <c r="E14" s="175" t="str">
        <f>IF(B14="","",IF(ISNA(VLOOKUP($B14,'B-1 Site Hedge Baseline'!$B$1:$L$257,5,FALSE)),"",(VLOOKUP($B14,'B-1 Site Hedge Baseline'!$B$1:$L$257,5,FALSE))))</f>
        <v/>
      </c>
      <c r="F14" s="175" t="str">
        <f>IF(B14="","",IF(ISNA(VLOOKUP($B14,'B-1 Site Hedge Baseline'!$B$1:$L$257,6,FALSE)),"",(VLOOKUP($B14,'B-1 Site Hedge Baseline'!$B$1:$L$257,6,FALSE))))</f>
        <v/>
      </c>
      <c r="G14" s="175" t="str">
        <f>IF(B14="","",IF(ISNA(VLOOKUP($B14,'B-1 Site Hedge Baseline'!$B$1:$L$257,7,FALSE)),"",(VLOOKUP($B14,'B-1 Site Hedge Baseline'!$B$1:$L$257,7,FALSE))))</f>
        <v/>
      </c>
      <c r="H14" s="175" t="str">
        <f>IF(B14="","",IF(ISNA(VLOOKUP($B14,'B-1 Site Hedge Baseline'!$B$1:$L$257,8,FALSE)),"",(VLOOKUP($B14,'B-1 Site Hedge Baseline'!$B$1:$L$257,8,FALSE))))</f>
        <v/>
      </c>
      <c r="I14" s="175" t="str">
        <f>IF(B14="","",IF(ISNA(VLOOKUP($B14,'B-1 Site Hedge Baseline'!$B$1:$L$257,10,FALSE)),"",(VLOOKUP($B14,'B-1 Site Hedge Baseline'!$B$1:$L$257,10,FALSE))))</f>
        <v/>
      </c>
      <c r="J14" s="175" t="str">
        <f>IF(B14="","",IF(ISNA(VLOOKUP($B14,'B-1 Site Hedge Baseline'!$B$1:$L$257,11,FALSE)),"",(VLOOKUP($B14,'B-1 Site Hedge Baseline'!$B$1:$L$257,11,FALSE))))</f>
        <v/>
      </c>
      <c r="K14" s="175" t="str">
        <f>IF(B14="","",IF(ISNA(VLOOKUP($B14,'B-1 Site Hedge Baseline'!$B$1:$U$257,13,FALSE)),"",(VLOOKUP($B14,'B-1 Site Hedge Baseline'!$B$1:$U$257,13,FALSE))))</f>
        <v/>
      </c>
      <c r="L14" s="176" t="str">
        <f>IF(B14="","",IF(ISNA(VLOOKUP($B14,'B-1 Site Hedge Baseline'!$B$1:$U$257,12,FALSE)),"",(VLOOKUP($B14,'B-1 Site Hedge Baseline'!$B$1:$U$257,12,FALSE))))</f>
        <v/>
      </c>
      <c r="M14" s="636"/>
      <c r="N14" s="171" t="str">
        <f>IFERROR(IF(B14="","",INDEX('G-6 Hedgerow Data'!$AN$3:$AZ$15,MATCH(C14,'G-6 Hedgerow Data'!$AM$3:$AM$15,0),MATCH(M14,'G-6 Hedgerow Data'!$AN$2:$AZ$2,0))),"")</f>
        <v/>
      </c>
      <c r="O14" s="172" t="str">
        <f>IFERROR(IF(B14="","",IF(AND(LEFT(C14,55)&lt;&gt;LEFT(M14,55),N14="High - High"),"Error - Not like for like",IF(AND(LEFT(C14,55)&lt;&gt;LEFT(M14,55),N14="Medium - Medium"),"Error - Not like for like",IF(H14&gt;T14,"Error - Can not reduce condition",IF(AND(F14=R14,H14=T14),"Error - No enhancement",IF(AND(C14&lt;&gt;M14,F14&lt;R14),"Lower Distinctiveness Habitat"&amp;" - "&amp;S14,G14&amp;" - "&amp;S14)))))),"")</f>
        <v/>
      </c>
      <c r="P14" s="642" t="str">
        <f>IF(B14="","",VLOOKUP(B14,'B-1 Site Hedge Baseline'!$B$10:T259,16,FALSE))</f>
        <v/>
      </c>
      <c r="Q14" s="171" t="str">
        <f>IF(M14="","",VLOOKUP(M14,'G-6 Hedgerow Data'!$B$2:$AG$15,2,FALSE))</f>
        <v/>
      </c>
      <c r="R14" s="172" t="str">
        <f>IF(M14="","",VLOOKUP(M14,'G-6 Hedgerow Data'!$B$2:$AG$15,3,FALSE))</f>
        <v/>
      </c>
      <c r="S14" s="82"/>
      <c r="T14" s="269" t="str">
        <f>IFERROR(VLOOKUP(S14,'G-1 All Habitats'!$Z$2:$AA$9,2,FALSE),"")</f>
        <v/>
      </c>
      <c r="U14" s="174"/>
      <c r="V14" s="175" t="str">
        <f>IF(U14="","",IF(VLOOKUP(U14,'G-3 Multipliers'!$L$3:$N$6,2,FALSE)=0,"Spatial Data Missing",VLOOKUP(U14,'G-3 Multipliers'!$L$3:$N$6,2,FALSE)))</f>
        <v/>
      </c>
      <c r="W14" s="176" t="str">
        <f>IF(U14="","",IF(VLOOKUP(U14,'G-3 Multipliers'!$L$3:$N$6,3,FALSE)=0,"Spatial Data Missing",VLOOKUP(U14,'G-3 Multipliers'!$L$3:$N$6,3,FALSE)))</f>
        <v/>
      </c>
      <c r="X14" s="171" t="str">
        <f>IFERROR(IF(OR(LEFT(O14,5)="Error",LEFT(N14,5)="Error",T14="Error"),"Check Data",IF(F14&lt;R14,INDEX('G-6 Hedgerow Data'!$S$3:$AE$14,MATCH(C14,'G-6 Hedgerow Data'!$B$3:$B$14,0),MATCH(M14,'G-6 Hedgerow Data'!$S$2:$AE$2,0)),INDEX('G-6 Hedgerow Data'!$K$3:$Q$14,MATCH(M14,'G-6 Hedgerow Data'!$B$3:$B$14,0),MATCH(O14,'G-6 Hedgerow Data'!$K$2:$Q$2,0)))),"")</f>
        <v/>
      </c>
      <c r="Y14" s="261"/>
      <c r="Z14" s="261"/>
      <c r="AA14" s="179" t="str">
        <f t="shared" si="2"/>
        <v/>
      </c>
      <c r="AB14" s="262" t="str">
        <f t="shared" si="3"/>
        <v/>
      </c>
      <c r="AC14" s="263" t="str">
        <f t="shared" si="4"/>
        <v/>
      </c>
      <c r="AD14" s="239" t="str">
        <f>IF(M14="","",VLOOKUP(M14,'G-6 Hedgerow Data'!$B$3:$AG$15,31,FALSE))</f>
        <v/>
      </c>
      <c r="AE14" s="179" t="str">
        <f t="shared" si="5"/>
        <v/>
      </c>
      <c r="AF14" s="179" t="str">
        <f t="shared" si="6"/>
        <v/>
      </c>
      <c r="AG14" s="176" t="str">
        <f>IFERROR(IF(O14="","",VLOOKUP(AD14,'G-3 Multipliers'!$P$3:$Q$6,2,FALSE)),"")</f>
        <v/>
      </c>
      <c r="AH14" s="207" t="str">
        <f t="shared" si="0"/>
        <v/>
      </c>
      <c r="AI14" s="645"/>
      <c r="AJ14" s="356"/>
      <c r="AT14" s="35" t="str">
        <f>IFERROR(INDEX('G-6 Hedgerow Data'!$BJ$3:$BJ$15,MATCH(M14,'G-6 Hedgerow Data'!$B$3:$B$15,0)),"")</f>
        <v/>
      </c>
    </row>
    <row r="15" spans="2:46" ht="13.8" x14ac:dyDescent="0.25">
      <c r="B15" s="259" t="str">
        <f>'B-1 Site Hedge Baseline'!AK13</f>
        <v/>
      </c>
      <c r="C15" s="175" t="str">
        <f>IF(B15="","",IF(ISNA(VLOOKUP($B15,'B-1 Site Hedge Baseline'!$B$1:$L$257,3,FALSE)),"",(VLOOKUP($B15,'B-1 Site Hedge Baseline'!$B$1:$L$257,3,FALSE))))</f>
        <v/>
      </c>
      <c r="D15" s="175" t="str">
        <f>IF(B15="","",IF(ISNA(VLOOKUP($B15,'B-1 Site Hedge Baseline'!$B$1:$L$257,4,FALSE)),"",(VLOOKUP($B15,'B-1 Site Hedge Baseline'!$B$1:$L$257,4,FALSE))))</f>
        <v/>
      </c>
      <c r="E15" s="175" t="str">
        <f>IF(B15="","",IF(ISNA(VLOOKUP($B15,'B-1 Site Hedge Baseline'!$B$1:$L$257,5,FALSE)),"",(VLOOKUP($B15,'B-1 Site Hedge Baseline'!$B$1:$L$257,5,FALSE))))</f>
        <v/>
      </c>
      <c r="F15" s="175" t="str">
        <f>IF(B15="","",IF(ISNA(VLOOKUP($B15,'B-1 Site Hedge Baseline'!$B$1:$L$257,6,FALSE)),"",(VLOOKUP($B15,'B-1 Site Hedge Baseline'!$B$1:$L$257,6,FALSE))))</f>
        <v/>
      </c>
      <c r="G15" s="175" t="str">
        <f>IF(B15="","",IF(ISNA(VLOOKUP($B15,'B-1 Site Hedge Baseline'!$B$1:$L$257,7,FALSE)),"",(VLOOKUP($B15,'B-1 Site Hedge Baseline'!$B$1:$L$257,7,FALSE))))</f>
        <v/>
      </c>
      <c r="H15" s="175" t="str">
        <f>IF(B15="","",IF(ISNA(VLOOKUP($B15,'B-1 Site Hedge Baseline'!$B$1:$L$257,8,FALSE)),"",(VLOOKUP($B15,'B-1 Site Hedge Baseline'!$B$1:$L$257,8,FALSE))))</f>
        <v/>
      </c>
      <c r="I15" s="175" t="str">
        <f>IF(B15="","",IF(ISNA(VLOOKUP($B15,'B-1 Site Hedge Baseline'!$B$1:$L$257,10,FALSE)),"",(VLOOKUP($B15,'B-1 Site Hedge Baseline'!$B$1:$L$257,10,FALSE))))</f>
        <v/>
      </c>
      <c r="J15" s="175" t="str">
        <f>IF(B15="","",IF(ISNA(VLOOKUP($B15,'B-1 Site Hedge Baseline'!$B$1:$L$257,11,FALSE)),"",(VLOOKUP($B15,'B-1 Site Hedge Baseline'!$B$1:$L$257,11,FALSE))))</f>
        <v/>
      </c>
      <c r="K15" s="175" t="str">
        <f>IF(B15="","",IF(ISNA(VLOOKUP($B15,'B-1 Site Hedge Baseline'!$B$1:$U$257,13,FALSE)),"",(VLOOKUP($B15,'B-1 Site Hedge Baseline'!$B$1:$U$257,13,FALSE))))</f>
        <v/>
      </c>
      <c r="L15" s="176" t="str">
        <f>IF(B15="","",IF(ISNA(VLOOKUP($B15,'B-1 Site Hedge Baseline'!$B$1:$U$257,12,FALSE)),"",(VLOOKUP($B15,'B-1 Site Hedge Baseline'!$B$1:$U$257,12,FALSE))))</f>
        <v/>
      </c>
      <c r="M15" s="636"/>
      <c r="N15" s="171" t="str">
        <f>IFERROR(IF(B15="","",INDEX('G-6 Hedgerow Data'!$AN$3:$AZ$15,MATCH(C15,'G-6 Hedgerow Data'!$AM$3:$AM$15,0),MATCH(M15,'G-6 Hedgerow Data'!$AN$2:$AZ$2,0))),"")</f>
        <v/>
      </c>
      <c r="O15" s="172" t="str">
        <f t="shared" si="1"/>
        <v/>
      </c>
      <c r="P15" s="642" t="str">
        <f>IF(B15="","",VLOOKUP(B15,'B-1 Site Hedge Baseline'!$B$10:T260,16,FALSE))</f>
        <v/>
      </c>
      <c r="Q15" s="171" t="str">
        <f>IF(M15="","",VLOOKUP(M15,'G-6 Hedgerow Data'!$B$2:$AG$15,2,FALSE))</f>
        <v/>
      </c>
      <c r="R15" s="172" t="str">
        <f>IF(M15="","",VLOOKUP(M15,'G-6 Hedgerow Data'!$B$2:$AG$15,3,FALSE))</f>
        <v/>
      </c>
      <c r="S15" s="82"/>
      <c r="T15" s="269" t="str">
        <f>IFERROR(VLOOKUP(S15,'G-1 All Habitats'!$Z$2:$AA$9,2,FALSE),"")</f>
        <v/>
      </c>
      <c r="U15" s="174"/>
      <c r="V15" s="175" t="str">
        <f>IF(U15="","",IF(VLOOKUP(U15,'G-3 Multipliers'!$L$3:$N$6,2,FALSE)=0,"Spatial Data Missing",VLOOKUP(U15,'G-3 Multipliers'!$L$3:$N$6,2,FALSE)))</f>
        <v/>
      </c>
      <c r="W15" s="176" t="str">
        <f>IF(U15="","",IF(VLOOKUP(U15,'G-3 Multipliers'!$L$3:$N$6,3,FALSE)=0,"Spatial Data Missing",VLOOKUP(U15,'G-3 Multipliers'!$L$3:$N$6,3,FALSE)))</f>
        <v/>
      </c>
      <c r="X15" s="171" t="str">
        <f>IFERROR(IF(OR(LEFT(O15,5)="Error",LEFT(N15,5)="Error",T15="Error"),"Check Data",IF(F15&lt;R15,INDEX('G-6 Hedgerow Data'!$S$3:$AE$14,MATCH(C15,'G-6 Hedgerow Data'!$B$3:$B$14,0),MATCH(M15,'G-6 Hedgerow Data'!$S$2:$AE$2,0)),INDEX('G-6 Hedgerow Data'!$K$3:$Q$14,MATCH(M15,'G-6 Hedgerow Data'!$B$3:$B$14,0),MATCH(O15,'G-6 Hedgerow Data'!$K$2:$Q$2,0)))),"")</f>
        <v/>
      </c>
      <c r="Y15" s="261"/>
      <c r="Z15" s="261"/>
      <c r="AA15" s="179" t="str">
        <f t="shared" si="2"/>
        <v/>
      </c>
      <c r="AB15" s="262" t="str">
        <f t="shared" si="3"/>
        <v/>
      </c>
      <c r="AC15" s="263" t="str">
        <f t="shared" si="4"/>
        <v/>
      </c>
      <c r="AD15" s="239" t="str">
        <f>IF(M15="","",VLOOKUP(M15,'G-6 Hedgerow Data'!$B$3:$AG$15,31,FALSE))</f>
        <v/>
      </c>
      <c r="AE15" s="179" t="str">
        <f t="shared" si="5"/>
        <v/>
      </c>
      <c r="AF15" s="179" t="str">
        <f t="shared" si="6"/>
        <v/>
      </c>
      <c r="AG15" s="176" t="str">
        <f>IFERROR(IF(O15="","",VLOOKUP(AD15,'G-3 Multipliers'!$P$3:$Q$6,2,FALSE)),"")</f>
        <v/>
      </c>
      <c r="AH15" s="207" t="str">
        <f t="shared" si="0"/>
        <v/>
      </c>
      <c r="AI15" s="645"/>
      <c r="AJ15" s="356"/>
      <c r="AT15" s="35" t="str">
        <f>IFERROR(INDEX('G-6 Hedgerow Data'!$BJ$3:$BJ$15,MATCH(M15,'G-6 Hedgerow Data'!$B$3:$B$15,0)),"")</f>
        <v/>
      </c>
    </row>
    <row r="16" spans="2:46" ht="13.8" x14ac:dyDescent="0.25">
      <c r="B16" s="259" t="str">
        <f>'B-1 Site Hedge Baseline'!AK14</f>
        <v/>
      </c>
      <c r="C16" s="175" t="str">
        <f>IF(B16="","",IF(ISNA(VLOOKUP($B16,'B-1 Site Hedge Baseline'!$B$1:$L$257,3,FALSE)),"",(VLOOKUP($B16,'B-1 Site Hedge Baseline'!$B$1:$L$257,3,FALSE))))</f>
        <v/>
      </c>
      <c r="D16" s="175" t="str">
        <f>IF(B16="","",IF(ISNA(VLOOKUP($B16,'B-1 Site Hedge Baseline'!$B$1:$L$257,4,FALSE)),"",(VLOOKUP($B16,'B-1 Site Hedge Baseline'!$B$1:$L$257,4,FALSE))))</f>
        <v/>
      </c>
      <c r="E16" s="175" t="str">
        <f>IF(B16="","",IF(ISNA(VLOOKUP($B16,'B-1 Site Hedge Baseline'!$B$1:$L$257,5,FALSE)),"",(VLOOKUP($B16,'B-1 Site Hedge Baseline'!$B$1:$L$257,5,FALSE))))</f>
        <v/>
      </c>
      <c r="F16" s="175" t="str">
        <f>IF(B16="","",IF(ISNA(VLOOKUP($B16,'B-1 Site Hedge Baseline'!$B$1:$L$257,6,FALSE)),"",(VLOOKUP($B16,'B-1 Site Hedge Baseline'!$B$1:$L$257,6,FALSE))))</f>
        <v/>
      </c>
      <c r="G16" s="175" t="str">
        <f>IF(B16="","",IF(ISNA(VLOOKUP($B16,'B-1 Site Hedge Baseline'!$B$1:$L$257,7,FALSE)),"",(VLOOKUP($B16,'B-1 Site Hedge Baseline'!$B$1:$L$257,7,FALSE))))</f>
        <v/>
      </c>
      <c r="H16" s="175" t="str">
        <f>IF(B16="","",IF(ISNA(VLOOKUP($B16,'B-1 Site Hedge Baseline'!$B$1:$L$257,8,FALSE)),"",(VLOOKUP($B16,'B-1 Site Hedge Baseline'!$B$1:$L$257,8,FALSE))))</f>
        <v/>
      </c>
      <c r="I16" s="175" t="str">
        <f>IF(B16="","",IF(ISNA(VLOOKUP($B16,'B-1 Site Hedge Baseline'!$B$1:$L$257,10,FALSE)),"",(VLOOKUP($B16,'B-1 Site Hedge Baseline'!$B$1:$L$257,10,FALSE))))</f>
        <v/>
      </c>
      <c r="J16" s="175" t="str">
        <f>IF(B16="","",IF(ISNA(VLOOKUP($B16,'B-1 Site Hedge Baseline'!$B$1:$L$257,11,FALSE)),"",(VLOOKUP($B16,'B-1 Site Hedge Baseline'!$B$1:$L$257,11,FALSE))))</f>
        <v/>
      </c>
      <c r="K16" s="175" t="str">
        <f>IF(B16="","",IF(ISNA(VLOOKUP($B16,'B-1 Site Hedge Baseline'!$B$1:$U$257,13,FALSE)),"",(VLOOKUP($B16,'B-1 Site Hedge Baseline'!$B$1:$U$257,13,FALSE))))</f>
        <v/>
      </c>
      <c r="L16" s="176" t="str">
        <f>IF(B16="","",IF(ISNA(VLOOKUP($B16,'B-1 Site Hedge Baseline'!$B$1:$U$257,12,FALSE)),"",(VLOOKUP($B16,'B-1 Site Hedge Baseline'!$B$1:$U$257,12,FALSE))))</f>
        <v/>
      </c>
      <c r="M16" s="636"/>
      <c r="N16" s="171" t="str">
        <f>IFERROR(IF(B16="","",INDEX('G-6 Hedgerow Data'!$AN$3:$AZ$15,MATCH(C16,'G-6 Hedgerow Data'!$AM$3:$AM$15,0),MATCH(M16,'G-6 Hedgerow Data'!$AN$2:$AZ$2,0))),"")</f>
        <v/>
      </c>
      <c r="O16" s="172" t="str">
        <f t="shared" si="1"/>
        <v/>
      </c>
      <c r="P16" s="642" t="str">
        <f>IF(B16="","",VLOOKUP(B16,'B-1 Site Hedge Baseline'!$B$10:T261,16,FALSE))</f>
        <v/>
      </c>
      <c r="Q16" s="171" t="str">
        <f>IF(M16="","",VLOOKUP(M16,'G-6 Hedgerow Data'!$B$2:$AG$15,2,FALSE))</f>
        <v/>
      </c>
      <c r="R16" s="172" t="str">
        <f>IF(M16="","",VLOOKUP(M16,'G-6 Hedgerow Data'!$B$2:$AG$15,3,FALSE))</f>
        <v/>
      </c>
      <c r="S16" s="189"/>
      <c r="T16" s="269" t="str">
        <f>IFERROR(VLOOKUP(S16,'G-1 All Habitats'!$Z$2:$AA$9,2,FALSE),"")</f>
        <v/>
      </c>
      <c r="U16" s="174"/>
      <c r="V16" s="175" t="str">
        <f>IF(U16="","",IF(VLOOKUP(U16,'G-3 Multipliers'!$L$3:$N$6,2,FALSE)=0,"Spatial Data Missing",VLOOKUP(U16,'G-3 Multipliers'!$L$3:$N$6,2,FALSE)))</f>
        <v/>
      </c>
      <c r="W16" s="176" t="str">
        <f>IF(U16="","",IF(VLOOKUP(U16,'G-3 Multipliers'!$L$3:$N$6,3,FALSE)=0,"Spatial Data Missing",VLOOKUP(U16,'G-3 Multipliers'!$L$3:$N$6,3,FALSE)))</f>
        <v/>
      </c>
      <c r="X16" s="171" t="str">
        <f>IFERROR(IF(OR(LEFT(O16,5)="Error",LEFT(N16,5)="Error",T16="Error"),"Check Data",IF(F16&lt;R16,INDEX('G-6 Hedgerow Data'!$S$3:$AE$14,MATCH(C16,'G-6 Hedgerow Data'!$B$3:$B$14,0),MATCH(M16,'G-6 Hedgerow Data'!$S$2:$AE$2,0)),INDEX('G-6 Hedgerow Data'!$K$3:$Q$14,MATCH(M16,'G-6 Hedgerow Data'!$B$3:$B$14,0),MATCH(O16,'G-6 Hedgerow Data'!$K$2:$Q$2,0)))),"")</f>
        <v/>
      </c>
      <c r="Y16" s="261"/>
      <c r="Z16" s="261"/>
      <c r="AA16" s="179" t="str">
        <f t="shared" si="2"/>
        <v/>
      </c>
      <c r="AB16" s="262" t="str">
        <f t="shared" si="3"/>
        <v/>
      </c>
      <c r="AC16" s="263" t="str">
        <f t="shared" si="4"/>
        <v/>
      </c>
      <c r="AD16" s="239" t="str">
        <f>IF(M16="","",VLOOKUP(M16,'G-6 Hedgerow Data'!$B$3:$AG$15,31,FALSE))</f>
        <v/>
      </c>
      <c r="AE16" s="179" t="str">
        <f t="shared" si="5"/>
        <v/>
      </c>
      <c r="AF16" s="179" t="str">
        <f t="shared" si="6"/>
        <v/>
      </c>
      <c r="AG16" s="176" t="str">
        <f>IFERROR(IF(O16="","",VLOOKUP(AD16,'G-3 Multipliers'!$P$3:$Q$6,2,FALSE)),"")</f>
        <v/>
      </c>
      <c r="AH16" s="207" t="str">
        <f>IFERROR(IF(OR(M16="",S16="",U16=""),"",(((((P16*R16*T16)-(P16*F16*H16))*(AG16*AC16))+(P16*F16*H16))*(W16))),"")</f>
        <v/>
      </c>
      <c r="AI16" s="336"/>
      <c r="AJ16" s="181"/>
      <c r="AT16" s="35" t="str">
        <f>IFERROR(INDEX('G-6 Hedgerow Data'!$BJ$3:$BJ$15,MATCH(M16,'G-6 Hedgerow Data'!$B$3:$B$15,0)),"")</f>
        <v/>
      </c>
    </row>
    <row r="17" spans="2:46" ht="13.8" x14ac:dyDescent="0.25">
      <c r="B17" s="259" t="str">
        <f>'B-1 Site Hedge Baseline'!AK15</f>
        <v/>
      </c>
      <c r="C17" s="175" t="str">
        <f>IF(B17="","",IF(ISNA(VLOOKUP($B17,'B-1 Site Hedge Baseline'!$B$1:$L$257,3,FALSE)),"",(VLOOKUP($B17,'B-1 Site Hedge Baseline'!$B$1:$L$257,3,FALSE))))</f>
        <v/>
      </c>
      <c r="D17" s="175" t="str">
        <f>IF(B17="","",IF(ISNA(VLOOKUP($B17,'B-1 Site Hedge Baseline'!$B$1:$L$257,4,FALSE)),"",(VLOOKUP($B17,'B-1 Site Hedge Baseline'!$B$1:$L$257,4,FALSE))))</f>
        <v/>
      </c>
      <c r="E17" s="175" t="str">
        <f>IF(B17="","",IF(ISNA(VLOOKUP($B17,'B-1 Site Hedge Baseline'!$B$1:$L$257,5,FALSE)),"",(VLOOKUP($B17,'B-1 Site Hedge Baseline'!$B$1:$L$257,5,FALSE))))</f>
        <v/>
      </c>
      <c r="F17" s="175" t="str">
        <f>IF(B17="","",IF(ISNA(VLOOKUP($B17,'B-1 Site Hedge Baseline'!$B$1:$L$257,6,FALSE)),"",(VLOOKUP($B17,'B-1 Site Hedge Baseline'!$B$1:$L$257,6,FALSE))))</f>
        <v/>
      </c>
      <c r="G17" s="175" t="str">
        <f>IF(B17="","",IF(ISNA(VLOOKUP($B17,'B-1 Site Hedge Baseline'!$B$1:$L$257,7,FALSE)),"",(VLOOKUP($B17,'B-1 Site Hedge Baseline'!$B$1:$L$257,7,FALSE))))</f>
        <v/>
      </c>
      <c r="H17" s="175" t="str">
        <f>IF(B17="","",IF(ISNA(VLOOKUP($B17,'B-1 Site Hedge Baseline'!$B$1:$L$257,8,FALSE)),"",(VLOOKUP($B17,'B-1 Site Hedge Baseline'!$B$1:$L$257,8,FALSE))))</f>
        <v/>
      </c>
      <c r="I17" s="175" t="str">
        <f>IF(B17="","",IF(ISNA(VLOOKUP($B17,'B-1 Site Hedge Baseline'!$B$1:$L$257,10,FALSE)),"",(VLOOKUP($B17,'B-1 Site Hedge Baseline'!$B$1:$L$257,10,FALSE))))</f>
        <v/>
      </c>
      <c r="J17" s="175" t="str">
        <f>IF(B17="","",IF(ISNA(VLOOKUP($B17,'B-1 Site Hedge Baseline'!$B$1:$L$257,11,FALSE)),"",(VLOOKUP($B17,'B-1 Site Hedge Baseline'!$B$1:$L$257,11,FALSE))))</f>
        <v/>
      </c>
      <c r="K17" s="175" t="str">
        <f>IF(B17="","",IF(ISNA(VLOOKUP($B17,'B-1 Site Hedge Baseline'!$B$1:$U$257,13,FALSE)),"",(VLOOKUP($B17,'B-1 Site Hedge Baseline'!$B$1:$U$257,13,FALSE))))</f>
        <v/>
      </c>
      <c r="L17" s="176" t="str">
        <f>IF(B17="","",IF(ISNA(VLOOKUP($B17,'B-1 Site Hedge Baseline'!$B$1:$U$257,12,FALSE)),"",(VLOOKUP($B17,'B-1 Site Hedge Baseline'!$B$1:$U$257,12,FALSE))))</f>
        <v/>
      </c>
      <c r="M17" s="637"/>
      <c r="N17" s="171" t="str">
        <f>IFERROR(IF(B17="","",INDEX('G-6 Hedgerow Data'!$AN$3:$AZ$15,MATCH(C17,'G-6 Hedgerow Data'!$AM$3:$AM$15,0),MATCH(M17,'G-6 Hedgerow Data'!$AN$2:$AZ$2,0))),"")</f>
        <v/>
      </c>
      <c r="O17" s="172" t="str">
        <f t="shared" si="1"/>
        <v/>
      </c>
      <c r="P17" s="642" t="str">
        <f>IF(B17="","",VLOOKUP(B17,'B-1 Site Hedge Baseline'!$B$10:T262,16,FALSE))</f>
        <v/>
      </c>
      <c r="Q17" s="171" t="str">
        <f>IF(M17="","",VLOOKUP(M17,'G-6 Hedgerow Data'!$B$2:$AG$15,2,FALSE))</f>
        <v/>
      </c>
      <c r="R17" s="172" t="str">
        <f>IF(M17="","",VLOOKUP(M17,'G-6 Hedgerow Data'!$B$2:$AG$15,3,FALSE))</f>
        <v/>
      </c>
      <c r="S17" s="189"/>
      <c r="T17" s="269" t="str">
        <f>IFERROR(VLOOKUP(S17,'G-1 All Habitats'!$Z$2:$AA$9,2,FALSE),"")</f>
        <v/>
      </c>
      <c r="U17" s="186"/>
      <c r="V17" s="175" t="str">
        <f>IF(U17="","",IF(VLOOKUP(U17,'G-3 Multipliers'!$L$3:$N$6,2,FALSE)=0,"Spatial Data Missing",VLOOKUP(U17,'G-3 Multipliers'!$L$3:$N$6,2,FALSE)))</f>
        <v/>
      </c>
      <c r="W17" s="176" t="str">
        <f>IF(U17="","",IF(VLOOKUP(U17,'G-3 Multipliers'!$L$3:$N$6,3,FALSE)=0,"Spatial Data Missing",VLOOKUP(U17,'G-3 Multipliers'!$L$3:$N$6,3,FALSE)))</f>
        <v/>
      </c>
      <c r="X17" s="171" t="str">
        <f>IFERROR(IF(OR(LEFT(O17,5)="Error",LEFT(N17,5)="Error",T17="Error"),"Check Data",IF(F17&lt;R17,INDEX('G-6 Hedgerow Data'!$S$3:$AE$14,MATCH(C17,'G-6 Hedgerow Data'!$B$3:$B$14,0),MATCH(M17,'G-6 Hedgerow Data'!$S$2:$AE$2,0)),INDEX('G-6 Hedgerow Data'!$K$3:$Q$14,MATCH(M17,'G-6 Hedgerow Data'!$B$3:$B$14,0),MATCH(O17,'G-6 Hedgerow Data'!$K$2:$Q$2,0)))),"")</f>
        <v/>
      </c>
      <c r="Y17" s="261"/>
      <c r="Z17" s="261"/>
      <c r="AA17" s="179" t="str">
        <f t="shared" si="2"/>
        <v/>
      </c>
      <c r="AB17" s="262" t="str">
        <f t="shared" si="3"/>
        <v/>
      </c>
      <c r="AC17" s="263" t="str">
        <f t="shared" si="4"/>
        <v/>
      </c>
      <c r="AD17" s="239" t="str">
        <f>IF(M17="","",VLOOKUP(M17,'G-6 Hedgerow Data'!$B$3:$AG$15,31,FALSE))</f>
        <v/>
      </c>
      <c r="AE17" s="179" t="str">
        <f t="shared" si="5"/>
        <v/>
      </c>
      <c r="AF17" s="179" t="str">
        <f t="shared" si="6"/>
        <v/>
      </c>
      <c r="AG17" s="176" t="str">
        <f>IFERROR(IF(O17="","",VLOOKUP(AD17,'G-3 Multipliers'!$P$3:$Q$6,2,FALSE)),"")</f>
        <v/>
      </c>
      <c r="AH17" s="207" t="str">
        <f t="shared" si="0"/>
        <v/>
      </c>
      <c r="AI17" s="336"/>
      <c r="AJ17" s="181"/>
      <c r="AT17" s="35" t="str">
        <f>IFERROR(INDEX('G-6 Hedgerow Data'!$BJ$3:$BJ$15,MATCH(M17,'G-6 Hedgerow Data'!$B$3:$B$15,0)),"")</f>
        <v/>
      </c>
    </row>
    <row r="18" spans="2:46" ht="13.8" x14ac:dyDescent="0.25">
      <c r="B18" s="259" t="str">
        <f>'B-1 Site Hedge Baseline'!AK16</f>
        <v/>
      </c>
      <c r="C18" s="175" t="str">
        <f>IF(B18="","",IF(ISNA(VLOOKUP($B18,'B-1 Site Hedge Baseline'!$B$1:$L$257,3,FALSE)),"",(VLOOKUP($B18,'B-1 Site Hedge Baseline'!$B$1:$L$257,3,FALSE))))</f>
        <v/>
      </c>
      <c r="D18" s="175" t="str">
        <f>IF(B18="","",IF(ISNA(VLOOKUP($B18,'B-1 Site Hedge Baseline'!$B$1:$L$257,4,FALSE)),"",(VLOOKUP($B18,'B-1 Site Hedge Baseline'!$B$1:$L$257,4,FALSE))))</f>
        <v/>
      </c>
      <c r="E18" s="175" t="str">
        <f>IF(B18="","",IF(ISNA(VLOOKUP($B18,'B-1 Site Hedge Baseline'!$B$1:$L$257,5,FALSE)),"",(VLOOKUP($B18,'B-1 Site Hedge Baseline'!$B$1:$L$257,5,FALSE))))</f>
        <v/>
      </c>
      <c r="F18" s="175" t="str">
        <f>IF(B18="","",IF(ISNA(VLOOKUP($B18,'B-1 Site Hedge Baseline'!$B$1:$L$257,6,FALSE)),"",(VLOOKUP($B18,'B-1 Site Hedge Baseline'!$B$1:$L$257,6,FALSE))))</f>
        <v/>
      </c>
      <c r="G18" s="175" t="str">
        <f>IF(B18="","",IF(ISNA(VLOOKUP($B18,'B-1 Site Hedge Baseline'!$B$1:$L$257,7,FALSE)),"",(VLOOKUP($B18,'B-1 Site Hedge Baseline'!$B$1:$L$257,7,FALSE))))</f>
        <v/>
      </c>
      <c r="H18" s="175" t="str">
        <f>IF(B18="","",IF(ISNA(VLOOKUP($B18,'B-1 Site Hedge Baseline'!$B$1:$L$257,8,FALSE)),"",(VLOOKUP($B18,'B-1 Site Hedge Baseline'!$B$1:$L$257,8,FALSE))))</f>
        <v/>
      </c>
      <c r="I18" s="175" t="str">
        <f>IF(B18="","",IF(ISNA(VLOOKUP($B18,'B-1 Site Hedge Baseline'!$B$1:$L$257,10,FALSE)),"",(VLOOKUP($B18,'B-1 Site Hedge Baseline'!$B$1:$L$257,10,FALSE))))</f>
        <v/>
      </c>
      <c r="J18" s="175" t="str">
        <f>IF(B18="","",IF(ISNA(VLOOKUP($B18,'B-1 Site Hedge Baseline'!$B$1:$L$257,11,FALSE)),"",(VLOOKUP($B18,'B-1 Site Hedge Baseline'!$B$1:$L$257,11,FALSE))))</f>
        <v/>
      </c>
      <c r="K18" s="175" t="str">
        <f>IF(B18="","",IF(ISNA(VLOOKUP($B18,'B-1 Site Hedge Baseline'!$B$1:$U$257,13,FALSE)),"",(VLOOKUP($B18,'B-1 Site Hedge Baseline'!$B$1:$U$257,13,FALSE))))</f>
        <v/>
      </c>
      <c r="L18" s="176" t="str">
        <f>IF(B18="","",IF(ISNA(VLOOKUP($B18,'B-1 Site Hedge Baseline'!$B$1:$U$257,12,FALSE)),"",(VLOOKUP($B18,'B-1 Site Hedge Baseline'!$B$1:$U$257,12,FALSE))))</f>
        <v/>
      </c>
      <c r="M18" s="637"/>
      <c r="N18" s="171" t="str">
        <f>IFERROR(IF(B18="","",INDEX('G-6 Hedgerow Data'!$AN$3:$AZ$15,MATCH(C18,'G-6 Hedgerow Data'!$AM$3:$AM$15,0),MATCH(M18,'G-6 Hedgerow Data'!$AN$2:$AZ$2,0))),"")</f>
        <v/>
      </c>
      <c r="O18" s="172" t="str">
        <f t="shared" si="1"/>
        <v/>
      </c>
      <c r="P18" s="642" t="str">
        <f>IF(B18="","",VLOOKUP(B18,'B-1 Site Hedge Baseline'!$B$10:T263,16,FALSE))</f>
        <v/>
      </c>
      <c r="Q18" s="171" t="str">
        <f>IF(M18="","",VLOOKUP(M18,'G-6 Hedgerow Data'!$B$2:$AG$15,2,FALSE))</f>
        <v/>
      </c>
      <c r="R18" s="172" t="str">
        <f>IF(M18="","",VLOOKUP(M18,'G-6 Hedgerow Data'!$B$2:$AG$15,3,FALSE))</f>
        <v/>
      </c>
      <c r="S18" s="189"/>
      <c r="T18" s="269" t="str">
        <f>IFERROR(VLOOKUP(S18,'G-1 All Habitats'!$Z$2:$AA$9,2,FALSE),"")</f>
        <v/>
      </c>
      <c r="U18" s="186"/>
      <c r="V18" s="175" t="str">
        <f>IF(U18="","",IF(VLOOKUP(U18,'G-3 Multipliers'!$L$3:$N$6,2,FALSE)=0,"Spatial Data Missing",VLOOKUP(U18,'G-3 Multipliers'!$L$3:$N$6,2,FALSE)))</f>
        <v/>
      </c>
      <c r="W18" s="176" t="str">
        <f>IF(U18="","",IF(VLOOKUP(U18,'G-3 Multipliers'!$L$3:$N$6,3,FALSE)=0,"Spatial Data Missing",VLOOKUP(U18,'G-3 Multipliers'!$L$3:$N$6,3,FALSE)))</f>
        <v/>
      </c>
      <c r="X18" s="171" t="str">
        <f>IFERROR(IF(OR(LEFT(O18,5)="Error",LEFT(N18,5)="Error",T18="Error"),"Check Data",IF(F18&lt;R18,INDEX('G-6 Hedgerow Data'!$S$3:$AE$14,MATCH(C18,'G-6 Hedgerow Data'!$B$3:$B$14,0),MATCH(M18,'G-6 Hedgerow Data'!$S$2:$AE$2,0)),INDEX('G-6 Hedgerow Data'!$K$3:$Q$14,MATCH(M18,'G-6 Hedgerow Data'!$B$3:$B$14,0),MATCH(O18,'G-6 Hedgerow Data'!$K$2:$Q$2,0)))),"")</f>
        <v/>
      </c>
      <c r="Y18" s="261"/>
      <c r="Z18" s="261"/>
      <c r="AA18" s="179" t="str">
        <f t="shared" si="2"/>
        <v/>
      </c>
      <c r="AB18" s="262" t="str">
        <f t="shared" si="3"/>
        <v/>
      </c>
      <c r="AC18" s="263" t="str">
        <f t="shared" si="4"/>
        <v/>
      </c>
      <c r="AD18" s="239" t="str">
        <f>IF(M18="","",VLOOKUP(M18,'G-6 Hedgerow Data'!$B$3:$AG$15,31,FALSE))</f>
        <v/>
      </c>
      <c r="AE18" s="179" t="str">
        <f t="shared" si="5"/>
        <v/>
      </c>
      <c r="AF18" s="179" t="str">
        <f t="shared" si="6"/>
        <v/>
      </c>
      <c r="AG18" s="176" t="str">
        <f>IFERROR(IF(O18="","",VLOOKUP(AD18,'G-3 Multipliers'!$P$3:$Q$6,2,FALSE)),"")</f>
        <v/>
      </c>
      <c r="AH18" s="207" t="str">
        <f t="shared" si="0"/>
        <v/>
      </c>
      <c r="AI18" s="336"/>
      <c r="AJ18" s="181"/>
      <c r="AT18" s="35" t="str">
        <f>IFERROR(INDEX('G-6 Hedgerow Data'!$BJ$3:$BJ$15,MATCH(M18,'G-6 Hedgerow Data'!$B$3:$B$15,0)),"")</f>
        <v/>
      </c>
    </row>
    <row r="19" spans="2:46" ht="13.8" x14ac:dyDescent="0.25">
      <c r="B19" s="259" t="str">
        <f>'B-1 Site Hedge Baseline'!AK17</f>
        <v/>
      </c>
      <c r="C19" s="175" t="str">
        <f>IF(B19="","",IF(ISNA(VLOOKUP($B19,'B-1 Site Hedge Baseline'!$B$1:$L$257,3,FALSE)),"",(VLOOKUP($B19,'B-1 Site Hedge Baseline'!$B$1:$L$257,3,FALSE))))</f>
        <v/>
      </c>
      <c r="D19" s="175" t="str">
        <f>IF(B19="","",IF(ISNA(VLOOKUP($B19,'B-1 Site Hedge Baseline'!$B$1:$L$257,4,FALSE)),"",(VLOOKUP($B19,'B-1 Site Hedge Baseline'!$B$1:$L$257,4,FALSE))))</f>
        <v/>
      </c>
      <c r="E19" s="175" t="str">
        <f>IF(B19="","",IF(ISNA(VLOOKUP($B19,'B-1 Site Hedge Baseline'!$B$1:$L$257,5,FALSE)),"",(VLOOKUP($B19,'B-1 Site Hedge Baseline'!$B$1:$L$257,5,FALSE))))</f>
        <v/>
      </c>
      <c r="F19" s="175" t="str">
        <f>IF(B19="","",IF(ISNA(VLOOKUP($B19,'B-1 Site Hedge Baseline'!$B$1:$L$257,6,FALSE)),"",(VLOOKUP($B19,'B-1 Site Hedge Baseline'!$B$1:$L$257,6,FALSE))))</f>
        <v/>
      </c>
      <c r="G19" s="175" t="str">
        <f>IF(B19="","",IF(ISNA(VLOOKUP($B19,'B-1 Site Hedge Baseline'!$B$1:$L$257,7,FALSE)),"",(VLOOKUP($B19,'B-1 Site Hedge Baseline'!$B$1:$L$257,7,FALSE))))</f>
        <v/>
      </c>
      <c r="H19" s="175" t="str">
        <f>IF(B19="","",IF(ISNA(VLOOKUP($B19,'B-1 Site Hedge Baseline'!$B$1:$L$257,8,FALSE)),"",(VLOOKUP($B19,'B-1 Site Hedge Baseline'!$B$1:$L$257,8,FALSE))))</f>
        <v/>
      </c>
      <c r="I19" s="175" t="str">
        <f>IF(B19="","",IF(ISNA(VLOOKUP($B19,'B-1 Site Hedge Baseline'!$B$1:$L$257,10,FALSE)),"",(VLOOKUP($B19,'B-1 Site Hedge Baseline'!$B$1:$L$257,10,FALSE))))</f>
        <v/>
      </c>
      <c r="J19" s="175" t="str">
        <f>IF(B19="","",IF(ISNA(VLOOKUP($B19,'B-1 Site Hedge Baseline'!$B$1:$L$257,11,FALSE)),"",(VLOOKUP($B19,'B-1 Site Hedge Baseline'!$B$1:$L$257,11,FALSE))))</f>
        <v/>
      </c>
      <c r="K19" s="175" t="str">
        <f>IF(B19="","",IF(ISNA(VLOOKUP($B19,'B-1 Site Hedge Baseline'!$B$1:$U$257,13,FALSE)),"",(VLOOKUP($B19,'B-1 Site Hedge Baseline'!$B$1:$U$257,13,FALSE))))</f>
        <v/>
      </c>
      <c r="L19" s="176" t="str">
        <f>IF(B19="","",IF(ISNA(VLOOKUP($B19,'B-1 Site Hedge Baseline'!$B$1:$U$257,12,FALSE)),"",(VLOOKUP($B19,'B-1 Site Hedge Baseline'!$B$1:$U$257,12,FALSE))))</f>
        <v/>
      </c>
      <c r="M19" s="637"/>
      <c r="N19" s="171" t="str">
        <f>IFERROR(IF(B19="","",INDEX('G-6 Hedgerow Data'!$AN$3:$AZ$15,MATCH(C19,'G-6 Hedgerow Data'!$AM$3:$AM$15,0),MATCH(M19,'G-6 Hedgerow Data'!$AN$2:$AZ$2,0))),"")</f>
        <v/>
      </c>
      <c r="O19" s="172" t="str">
        <f t="shared" si="1"/>
        <v/>
      </c>
      <c r="P19" s="642" t="str">
        <f>IF(B19="","",VLOOKUP(B19,'B-1 Site Hedge Baseline'!$B$10:T264,16,FALSE))</f>
        <v/>
      </c>
      <c r="Q19" s="171" t="str">
        <f>IF(M19="","",VLOOKUP(M19,'G-6 Hedgerow Data'!$B$2:$AG$15,2,FALSE))</f>
        <v/>
      </c>
      <c r="R19" s="172" t="str">
        <f>IF(M19="","",VLOOKUP(M19,'G-6 Hedgerow Data'!$B$2:$AG$15,3,FALSE))</f>
        <v/>
      </c>
      <c r="S19" s="189"/>
      <c r="T19" s="269" t="str">
        <f>IFERROR(VLOOKUP(S19,'G-1 All Habitats'!$Z$2:$AA$9,2,FALSE),"")</f>
        <v/>
      </c>
      <c r="U19" s="186"/>
      <c r="V19" s="175" t="str">
        <f>IF(U19="","",IF(VLOOKUP(U19,'G-3 Multipliers'!$L$3:$N$6,2,FALSE)=0,"Spatial Data Missing",VLOOKUP(U19,'G-3 Multipliers'!$L$3:$N$6,2,FALSE)))</f>
        <v/>
      </c>
      <c r="W19" s="176" t="str">
        <f>IF(U19="","",IF(VLOOKUP(U19,'G-3 Multipliers'!$L$3:$N$6,3,FALSE)=0,"Spatial Data Missing",VLOOKUP(U19,'G-3 Multipliers'!$L$3:$N$6,3,FALSE)))</f>
        <v/>
      </c>
      <c r="X19" s="171" t="str">
        <f>IFERROR(IF(OR(LEFT(O19,5)="Error",LEFT(N19,5)="Error",T19="Error"),"Check Data",IF(F19&lt;R19,INDEX('G-6 Hedgerow Data'!$S$3:$AE$14,MATCH(C19,'G-6 Hedgerow Data'!$B$3:$B$14,0),MATCH(M19,'G-6 Hedgerow Data'!$S$2:$AE$2,0)),INDEX('G-6 Hedgerow Data'!$K$3:$Q$14,MATCH(M19,'G-6 Hedgerow Data'!$B$3:$B$14,0),MATCH(O19,'G-6 Hedgerow Data'!$K$2:$Q$2,0)))),"")</f>
        <v/>
      </c>
      <c r="Y19" s="261"/>
      <c r="Z19" s="261"/>
      <c r="AA19" s="179" t="str">
        <f t="shared" si="2"/>
        <v/>
      </c>
      <c r="AB19" s="262" t="str">
        <f t="shared" si="3"/>
        <v/>
      </c>
      <c r="AC19" s="263" t="str">
        <f t="shared" si="4"/>
        <v/>
      </c>
      <c r="AD19" s="239" t="str">
        <f>IF(M19="","",VLOOKUP(M19,'G-6 Hedgerow Data'!$B$3:$AG$15,31,FALSE))</f>
        <v/>
      </c>
      <c r="AE19" s="179" t="str">
        <f t="shared" si="5"/>
        <v/>
      </c>
      <c r="AF19" s="179" t="str">
        <f t="shared" si="6"/>
        <v/>
      </c>
      <c r="AG19" s="176" t="str">
        <f>IFERROR(IF(O19="","",VLOOKUP(AD19,'G-3 Multipliers'!$P$3:$Q$6,2,FALSE)),"")</f>
        <v/>
      </c>
      <c r="AH19" s="207" t="str">
        <f t="shared" si="0"/>
        <v/>
      </c>
      <c r="AI19" s="336"/>
      <c r="AJ19" s="181"/>
      <c r="AT19" s="35" t="str">
        <f>IFERROR(INDEX('G-6 Hedgerow Data'!$BJ$3:$BJ$15,MATCH(M19,'G-6 Hedgerow Data'!$B$3:$B$15,0)),"")</f>
        <v/>
      </c>
    </row>
    <row r="20" spans="2:46" ht="13.8" x14ac:dyDescent="0.25">
      <c r="B20" s="259" t="str">
        <f>'B-1 Site Hedge Baseline'!AK18</f>
        <v/>
      </c>
      <c r="C20" s="175" t="str">
        <f>IF(B20="","",IF(ISNA(VLOOKUP($B20,'B-1 Site Hedge Baseline'!$B$1:$L$257,3,FALSE)),"",(VLOOKUP($B20,'B-1 Site Hedge Baseline'!$B$1:$L$257,3,FALSE))))</f>
        <v/>
      </c>
      <c r="D20" s="175" t="str">
        <f>IF(B20="","",IF(ISNA(VLOOKUP($B20,'B-1 Site Hedge Baseline'!$B$1:$L$257,4,FALSE)),"",(VLOOKUP($B20,'B-1 Site Hedge Baseline'!$B$1:$L$257,4,FALSE))))</f>
        <v/>
      </c>
      <c r="E20" s="175" t="str">
        <f>IF(B20="","",IF(ISNA(VLOOKUP($B20,'B-1 Site Hedge Baseline'!$B$1:$L$257,5,FALSE)),"",(VLOOKUP($B20,'B-1 Site Hedge Baseline'!$B$1:$L$257,5,FALSE))))</f>
        <v/>
      </c>
      <c r="F20" s="175" t="str">
        <f>IF(B20="","",IF(ISNA(VLOOKUP($B20,'B-1 Site Hedge Baseline'!$B$1:$L$257,6,FALSE)),"",(VLOOKUP($B20,'B-1 Site Hedge Baseline'!$B$1:$L$257,6,FALSE))))</f>
        <v/>
      </c>
      <c r="G20" s="175" t="str">
        <f>IF(B20="","",IF(ISNA(VLOOKUP($B20,'B-1 Site Hedge Baseline'!$B$1:$L$257,7,FALSE)),"",(VLOOKUP($B20,'B-1 Site Hedge Baseline'!$B$1:$L$257,7,FALSE))))</f>
        <v/>
      </c>
      <c r="H20" s="175" t="str">
        <f>IF(B20="","",IF(ISNA(VLOOKUP($B20,'B-1 Site Hedge Baseline'!$B$1:$L$257,8,FALSE)),"",(VLOOKUP($B20,'B-1 Site Hedge Baseline'!$B$1:$L$257,8,FALSE))))</f>
        <v/>
      </c>
      <c r="I20" s="175" t="str">
        <f>IF(B20="","",IF(ISNA(VLOOKUP($B20,'B-1 Site Hedge Baseline'!$B$1:$L$257,10,FALSE)),"",(VLOOKUP($B20,'B-1 Site Hedge Baseline'!$B$1:$L$257,10,FALSE))))</f>
        <v/>
      </c>
      <c r="J20" s="175" t="str">
        <f>IF(B20="","",IF(ISNA(VLOOKUP($B20,'B-1 Site Hedge Baseline'!$B$1:$L$257,11,FALSE)),"",(VLOOKUP($B20,'B-1 Site Hedge Baseline'!$B$1:$L$257,11,FALSE))))</f>
        <v/>
      </c>
      <c r="K20" s="175" t="str">
        <f>IF(B20="","",IF(ISNA(VLOOKUP($B20,'B-1 Site Hedge Baseline'!$B$1:$U$257,13,FALSE)),"",(VLOOKUP($B20,'B-1 Site Hedge Baseline'!$B$1:$U$257,13,FALSE))))</f>
        <v/>
      </c>
      <c r="L20" s="176" t="str">
        <f>IF(B20="","",IF(ISNA(VLOOKUP($B20,'B-1 Site Hedge Baseline'!$B$1:$U$257,12,FALSE)),"",(VLOOKUP($B20,'B-1 Site Hedge Baseline'!$B$1:$U$257,12,FALSE))))</f>
        <v/>
      </c>
      <c r="M20" s="637"/>
      <c r="N20" s="171" t="str">
        <f>IFERROR(IF(B20="","",INDEX('G-6 Hedgerow Data'!$AN$3:$AZ$15,MATCH(C20,'G-6 Hedgerow Data'!$AM$3:$AM$15,0),MATCH(M20,'G-6 Hedgerow Data'!$AN$2:$AZ$2,0))),"")</f>
        <v/>
      </c>
      <c r="O20" s="172" t="str">
        <f t="shared" si="1"/>
        <v/>
      </c>
      <c r="P20" s="642" t="str">
        <f>IF(B20="","",VLOOKUP(B20,'B-1 Site Hedge Baseline'!$B$10:T265,16,FALSE))</f>
        <v/>
      </c>
      <c r="Q20" s="171" t="str">
        <f>IF(M20="","",VLOOKUP(M20,'G-6 Hedgerow Data'!$B$2:$AG$15,2,FALSE))</f>
        <v/>
      </c>
      <c r="R20" s="172" t="str">
        <f>IF(M20="","",VLOOKUP(M20,'G-6 Hedgerow Data'!$B$2:$AG$15,3,FALSE))</f>
        <v/>
      </c>
      <c r="S20" s="189"/>
      <c r="T20" s="269" t="str">
        <f>IFERROR(VLOOKUP(S20,'G-1 All Habitats'!$Z$2:$AA$9,2,FALSE),"")</f>
        <v/>
      </c>
      <c r="U20" s="186"/>
      <c r="V20" s="175" t="str">
        <f>IF(U20="","",IF(VLOOKUP(U20,'G-3 Multipliers'!$L$3:$N$6,2,FALSE)=0,"Spatial Data Missing",VLOOKUP(U20,'G-3 Multipliers'!$L$3:$N$6,2,FALSE)))</f>
        <v/>
      </c>
      <c r="W20" s="176" t="str">
        <f>IF(U20="","",IF(VLOOKUP(U20,'G-3 Multipliers'!$L$3:$N$6,3,FALSE)=0,"Spatial Data Missing",VLOOKUP(U20,'G-3 Multipliers'!$L$3:$N$6,3,FALSE)))</f>
        <v/>
      </c>
      <c r="X20" s="171" t="str">
        <f>IFERROR(IF(OR(LEFT(O20,5)="Error",LEFT(N20,5)="Error",T20="Error"),"Check Data",IF(F20&lt;R20,INDEX('G-6 Hedgerow Data'!$S$3:$AE$14,MATCH(C20,'G-6 Hedgerow Data'!$B$3:$B$14,0),MATCH(M20,'G-6 Hedgerow Data'!$S$2:$AE$2,0)),INDEX('G-6 Hedgerow Data'!$K$3:$Q$14,MATCH(M20,'G-6 Hedgerow Data'!$B$3:$B$14,0),MATCH(O20,'G-6 Hedgerow Data'!$K$2:$Q$2,0)))),"")</f>
        <v/>
      </c>
      <c r="Y20" s="261"/>
      <c r="Z20" s="261"/>
      <c r="AA20" s="179" t="str">
        <f t="shared" si="2"/>
        <v/>
      </c>
      <c r="AB20" s="262" t="str">
        <f t="shared" si="3"/>
        <v/>
      </c>
      <c r="AC20" s="263" t="str">
        <f t="shared" si="4"/>
        <v/>
      </c>
      <c r="AD20" s="239" t="str">
        <f>IF(M20="","",VLOOKUP(M20,'G-6 Hedgerow Data'!$B$3:$AG$15,31,FALSE))</f>
        <v/>
      </c>
      <c r="AE20" s="179" t="str">
        <f t="shared" si="5"/>
        <v/>
      </c>
      <c r="AF20" s="179" t="str">
        <f t="shared" si="6"/>
        <v/>
      </c>
      <c r="AG20" s="176" t="str">
        <f>IFERROR(IF(O20="","",VLOOKUP(AD20,'G-3 Multipliers'!$P$3:$Q$6,2,FALSE)),"")</f>
        <v/>
      </c>
      <c r="AH20" s="207" t="str">
        <f t="shared" si="0"/>
        <v/>
      </c>
      <c r="AI20" s="336"/>
      <c r="AJ20" s="181"/>
      <c r="AT20" s="35" t="str">
        <f>IFERROR(INDEX('G-6 Hedgerow Data'!$BJ$3:$BJ$15,MATCH(M20,'G-6 Hedgerow Data'!$B$3:$B$15,0)),"")</f>
        <v/>
      </c>
    </row>
    <row r="21" spans="2:46" ht="13.8" x14ac:dyDescent="0.25">
      <c r="B21" s="259" t="str">
        <f>'B-1 Site Hedge Baseline'!AK19</f>
        <v/>
      </c>
      <c r="C21" s="175" t="str">
        <f>IF(B21="","",IF(ISNA(VLOOKUP($B21,'B-1 Site Hedge Baseline'!$B$1:$L$257,3,FALSE)),"",(VLOOKUP($B21,'B-1 Site Hedge Baseline'!$B$1:$L$257,3,FALSE))))</f>
        <v/>
      </c>
      <c r="D21" s="175" t="str">
        <f>IF(B21="","",IF(ISNA(VLOOKUP($B21,'B-1 Site Hedge Baseline'!$B$1:$L$257,4,FALSE)),"",(VLOOKUP($B21,'B-1 Site Hedge Baseline'!$B$1:$L$257,4,FALSE))))</f>
        <v/>
      </c>
      <c r="E21" s="175" t="str">
        <f>IF(B21="","",IF(ISNA(VLOOKUP($B21,'B-1 Site Hedge Baseline'!$B$1:$L$257,5,FALSE)),"",(VLOOKUP($B21,'B-1 Site Hedge Baseline'!$B$1:$L$257,5,FALSE))))</f>
        <v/>
      </c>
      <c r="F21" s="175" t="str">
        <f>IF(B21="","",IF(ISNA(VLOOKUP($B21,'B-1 Site Hedge Baseline'!$B$1:$L$257,6,FALSE)),"",(VLOOKUP($B21,'B-1 Site Hedge Baseline'!$B$1:$L$257,6,FALSE))))</f>
        <v/>
      </c>
      <c r="G21" s="175" t="str">
        <f>IF(B21="","",IF(ISNA(VLOOKUP($B21,'B-1 Site Hedge Baseline'!$B$1:$L$257,7,FALSE)),"",(VLOOKUP($B21,'B-1 Site Hedge Baseline'!$B$1:$L$257,7,FALSE))))</f>
        <v/>
      </c>
      <c r="H21" s="175" t="str">
        <f>IF(B21="","",IF(ISNA(VLOOKUP($B21,'B-1 Site Hedge Baseline'!$B$1:$L$257,8,FALSE)),"",(VLOOKUP($B21,'B-1 Site Hedge Baseline'!$B$1:$L$257,8,FALSE))))</f>
        <v/>
      </c>
      <c r="I21" s="175" t="str">
        <f>IF(B21="","",IF(ISNA(VLOOKUP($B21,'B-1 Site Hedge Baseline'!$B$1:$L$257,10,FALSE)),"",(VLOOKUP($B21,'B-1 Site Hedge Baseline'!$B$1:$L$257,10,FALSE))))</f>
        <v/>
      </c>
      <c r="J21" s="175" t="str">
        <f>IF(B21="","",IF(ISNA(VLOOKUP($B21,'B-1 Site Hedge Baseline'!$B$1:$L$257,11,FALSE)),"",(VLOOKUP($B21,'B-1 Site Hedge Baseline'!$B$1:$L$257,11,FALSE))))</f>
        <v/>
      </c>
      <c r="K21" s="175" t="str">
        <f>IF(B21="","",IF(ISNA(VLOOKUP($B21,'B-1 Site Hedge Baseline'!$B$1:$U$257,13,FALSE)),"",(VLOOKUP($B21,'B-1 Site Hedge Baseline'!$B$1:$U$257,13,FALSE))))</f>
        <v/>
      </c>
      <c r="L21" s="176" t="str">
        <f>IF(B21="","",IF(ISNA(VLOOKUP($B21,'B-1 Site Hedge Baseline'!$B$1:$U$257,12,FALSE)),"",(VLOOKUP($B21,'B-1 Site Hedge Baseline'!$B$1:$U$257,12,FALSE))))</f>
        <v/>
      </c>
      <c r="M21" s="637"/>
      <c r="N21" s="171" t="str">
        <f>IFERROR(IF(B21="","",INDEX('G-6 Hedgerow Data'!$AN$3:$AZ$15,MATCH(C21,'G-6 Hedgerow Data'!$AM$3:$AM$15,0),MATCH(M21,'G-6 Hedgerow Data'!$AN$2:$AZ$2,0))),"")</f>
        <v/>
      </c>
      <c r="O21" s="172" t="str">
        <f t="shared" si="1"/>
        <v/>
      </c>
      <c r="P21" s="642" t="str">
        <f>IF(B21="","",VLOOKUP(B21,'B-1 Site Hedge Baseline'!$B$10:T266,16,FALSE))</f>
        <v/>
      </c>
      <c r="Q21" s="171" t="str">
        <f>IF(M21="","",VLOOKUP(M21,'G-6 Hedgerow Data'!$B$2:$AG$15,2,FALSE))</f>
        <v/>
      </c>
      <c r="R21" s="172" t="str">
        <f>IF(M21="","",VLOOKUP(M21,'G-6 Hedgerow Data'!$B$2:$AG$15,3,FALSE))</f>
        <v/>
      </c>
      <c r="S21" s="189"/>
      <c r="T21" s="269" t="str">
        <f>IFERROR(VLOOKUP(S21,'G-1 All Habitats'!$Z$2:$AA$9,2,FALSE),"")</f>
        <v/>
      </c>
      <c r="U21" s="186"/>
      <c r="V21" s="175" t="str">
        <f>IF(U21="","",IF(VLOOKUP(U21,'G-3 Multipliers'!$L$3:$N$6,2,FALSE)=0,"Spatial Data Missing",VLOOKUP(U21,'G-3 Multipliers'!$L$3:$N$6,2,FALSE)))</f>
        <v/>
      </c>
      <c r="W21" s="176" t="str">
        <f>IF(U21="","",IF(VLOOKUP(U21,'G-3 Multipliers'!$L$3:$N$6,3,FALSE)=0,"Spatial Data Missing",VLOOKUP(U21,'G-3 Multipliers'!$L$3:$N$6,3,FALSE)))</f>
        <v/>
      </c>
      <c r="X21" s="171" t="str">
        <f>IFERROR(IF(OR(LEFT(O21,5)="Error",LEFT(N21,5)="Error",T21="Error"),"Check Data",IF(F21&lt;R21,INDEX('G-6 Hedgerow Data'!$S$3:$AE$14,MATCH(C21,'G-6 Hedgerow Data'!$B$3:$B$14,0),MATCH(M21,'G-6 Hedgerow Data'!$S$2:$AE$2,0)),INDEX('G-6 Hedgerow Data'!$K$3:$Q$14,MATCH(M21,'G-6 Hedgerow Data'!$B$3:$B$14,0),MATCH(O21,'G-6 Hedgerow Data'!$K$2:$Q$2,0)))),"")</f>
        <v/>
      </c>
      <c r="Y21" s="261"/>
      <c r="Z21" s="261"/>
      <c r="AA21" s="179" t="str">
        <f t="shared" si="2"/>
        <v/>
      </c>
      <c r="AB21" s="262" t="str">
        <f t="shared" si="3"/>
        <v/>
      </c>
      <c r="AC21" s="263" t="str">
        <f t="shared" si="4"/>
        <v/>
      </c>
      <c r="AD21" s="239" t="str">
        <f>IF(M21="","",VLOOKUP(M21,'G-6 Hedgerow Data'!$B$3:$AG$15,31,FALSE))</f>
        <v/>
      </c>
      <c r="AE21" s="179" t="str">
        <f t="shared" si="5"/>
        <v/>
      </c>
      <c r="AF21" s="179" t="str">
        <f t="shared" si="6"/>
        <v/>
      </c>
      <c r="AG21" s="176" t="str">
        <f>IFERROR(IF(O21="","",VLOOKUP(AD21,'G-3 Multipliers'!$P$3:$Q$6,2,FALSE)),"")</f>
        <v/>
      </c>
      <c r="AH21" s="207" t="str">
        <f t="shared" si="0"/>
        <v/>
      </c>
      <c r="AI21" s="336"/>
      <c r="AJ21" s="181"/>
      <c r="AT21" s="35" t="str">
        <f>IFERROR(INDEX('G-6 Hedgerow Data'!$BJ$3:$BJ$15,MATCH(M21,'G-6 Hedgerow Data'!$B$3:$B$15,0)),"")</f>
        <v/>
      </c>
    </row>
    <row r="22" spans="2:46" ht="13.8" x14ac:dyDescent="0.25">
      <c r="B22" s="259" t="str">
        <f>'B-1 Site Hedge Baseline'!AK20</f>
        <v/>
      </c>
      <c r="C22" s="175" t="str">
        <f>IF(B22="","",IF(ISNA(VLOOKUP($B22,'B-1 Site Hedge Baseline'!$B$1:$L$257,3,FALSE)),"",(VLOOKUP($B22,'B-1 Site Hedge Baseline'!$B$1:$L$257,3,FALSE))))</f>
        <v/>
      </c>
      <c r="D22" s="175" t="str">
        <f>IF(B22="","",IF(ISNA(VLOOKUP($B22,'B-1 Site Hedge Baseline'!$B$1:$L$257,4,FALSE)),"",(VLOOKUP($B22,'B-1 Site Hedge Baseline'!$B$1:$L$257,4,FALSE))))</f>
        <v/>
      </c>
      <c r="E22" s="175" t="str">
        <f>IF(B22="","",IF(ISNA(VLOOKUP($B22,'B-1 Site Hedge Baseline'!$B$1:$L$257,5,FALSE)),"",(VLOOKUP($B22,'B-1 Site Hedge Baseline'!$B$1:$L$257,5,FALSE))))</f>
        <v/>
      </c>
      <c r="F22" s="175" t="str">
        <f>IF(B22="","",IF(ISNA(VLOOKUP($B22,'B-1 Site Hedge Baseline'!$B$1:$L$257,6,FALSE)),"",(VLOOKUP($B22,'B-1 Site Hedge Baseline'!$B$1:$L$257,6,FALSE))))</f>
        <v/>
      </c>
      <c r="G22" s="175" t="str">
        <f>IF(B22="","",IF(ISNA(VLOOKUP($B22,'B-1 Site Hedge Baseline'!$B$1:$L$257,7,FALSE)),"",(VLOOKUP($B22,'B-1 Site Hedge Baseline'!$B$1:$L$257,7,FALSE))))</f>
        <v/>
      </c>
      <c r="H22" s="175" t="str">
        <f>IF(B22="","",IF(ISNA(VLOOKUP($B22,'B-1 Site Hedge Baseline'!$B$1:$L$257,8,FALSE)),"",(VLOOKUP($B22,'B-1 Site Hedge Baseline'!$B$1:$L$257,8,FALSE))))</f>
        <v/>
      </c>
      <c r="I22" s="175" t="str">
        <f>IF(B22="","",IF(ISNA(VLOOKUP($B22,'B-1 Site Hedge Baseline'!$B$1:$L$257,10,FALSE)),"",(VLOOKUP($B22,'B-1 Site Hedge Baseline'!$B$1:$L$257,10,FALSE))))</f>
        <v/>
      </c>
      <c r="J22" s="175" t="str">
        <f>IF(B22="","",IF(ISNA(VLOOKUP($B22,'B-1 Site Hedge Baseline'!$B$1:$L$257,11,FALSE)),"",(VLOOKUP($B22,'B-1 Site Hedge Baseline'!$B$1:$L$257,11,FALSE))))</f>
        <v/>
      </c>
      <c r="K22" s="175" t="str">
        <f>IF(B22="","",IF(ISNA(VLOOKUP($B22,'B-1 Site Hedge Baseline'!$B$1:$U$257,13,FALSE)),"",(VLOOKUP($B22,'B-1 Site Hedge Baseline'!$B$1:$U$257,13,FALSE))))</f>
        <v/>
      </c>
      <c r="L22" s="176" t="str">
        <f>IF(B22="","",IF(ISNA(VLOOKUP($B22,'B-1 Site Hedge Baseline'!$B$1:$U$257,12,FALSE)),"",(VLOOKUP($B22,'B-1 Site Hedge Baseline'!$B$1:$U$257,12,FALSE))))</f>
        <v/>
      </c>
      <c r="M22" s="637"/>
      <c r="N22" s="171" t="str">
        <f>IFERROR(IF(B22="","",INDEX('G-6 Hedgerow Data'!$AN$3:$AZ$15,MATCH(C22,'G-6 Hedgerow Data'!$AM$3:$AM$15,0),MATCH(M22,'G-6 Hedgerow Data'!$AN$2:$AZ$2,0))),"")</f>
        <v/>
      </c>
      <c r="O22" s="172" t="str">
        <f t="shared" si="1"/>
        <v/>
      </c>
      <c r="P22" s="642" t="str">
        <f>IF(B22="","",VLOOKUP(B22,'B-1 Site Hedge Baseline'!$B$10:T267,16,FALSE))</f>
        <v/>
      </c>
      <c r="Q22" s="171" t="str">
        <f>IF(M22="","",VLOOKUP(M22,'G-6 Hedgerow Data'!$B$2:$AG$15,2,FALSE))</f>
        <v/>
      </c>
      <c r="R22" s="172" t="str">
        <f>IF(M22="","",VLOOKUP(M22,'G-6 Hedgerow Data'!$B$2:$AG$15,3,FALSE))</f>
        <v/>
      </c>
      <c r="S22" s="189"/>
      <c r="T22" s="269" t="str">
        <f>IFERROR(VLOOKUP(S22,'G-1 All Habitats'!$Z$2:$AA$9,2,FALSE),"")</f>
        <v/>
      </c>
      <c r="U22" s="186"/>
      <c r="V22" s="175" t="str">
        <f>IF(U22="","",IF(VLOOKUP(U22,'G-3 Multipliers'!$L$3:$N$6,2,FALSE)=0,"Spatial Data Missing",VLOOKUP(U22,'G-3 Multipliers'!$L$3:$N$6,2,FALSE)))</f>
        <v/>
      </c>
      <c r="W22" s="176" t="str">
        <f>IF(U22="","",IF(VLOOKUP(U22,'G-3 Multipliers'!$L$3:$N$6,3,FALSE)=0,"Spatial Data Missing",VLOOKUP(U22,'G-3 Multipliers'!$L$3:$N$6,3,FALSE)))</f>
        <v/>
      </c>
      <c r="X22" s="171" t="str">
        <f>IFERROR(IF(OR(LEFT(O22,5)="Error",LEFT(N22,5)="Error",T22="Error"),"Check Data",IF(F22&lt;R22,INDEX('G-6 Hedgerow Data'!$S$3:$AE$14,MATCH(C22,'G-6 Hedgerow Data'!$B$3:$B$14,0),MATCH(M22,'G-6 Hedgerow Data'!$S$2:$AE$2,0)),INDEX('G-6 Hedgerow Data'!$K$3:$Q$14,MATCH(M22,'G-6 Hedgerow Data'!$B$3:$B$14,0),MATCH(O22,'G-6 Hedgerow Data'!$K$2:$Q$2,0)))),"")</f>
        <v/>
      </c>
      <c r="Y22" s="261"/>
      <c r="Z22" s="261"/>
      <c r="AA22" s="179" t="str">
        <f t="shared" si="2"/>
        <v/>
      </c>
      <c r="AB22" s="262" t="str">
        <f t="shared" si="3"/>
        <v/>
      </c>
      <c r="AC22" s="263" t="str">
        <f t="shared" si="4"/>
        <v/>
      </c>
      <c r="AD22" s="239" t="str">
        <f>IF(M22="","",VLOOKUP(M22,'G-6 Hedgerow Data'!$B$3:$AG$15,31,FALSE))</f>
        <v/>
      </c>
      <c r="AE22" s="179" t="str">
        <f t="shared" si="5"/>
        <v/>
      </c>
      <c r="AF22" s="179" t="str">
        <f t="shared" si="6"/>
        <v/>
      </c>
      <c r="AG22" s="176" t="str">
        <f>IFERROR(IF(O22="","",VLOOKUP(AD22,'G-3 Multipliers'!$P$3:$Q$6,2,FALSE)),"")</f>
        <v/>
      </c>
      <c r="AH22" s="207" t="str">
        <f t="shared" si="0"/>
        <v/>
      </c>
      <c r="AI22" s="336"/>
      <c r="AJ22" s="181"/>
      <c r="AT22" s="35" t="str">
        <f>IFERROR(INDEX('G-6 Hedgerow Data'!$BJ$3:$BJ$15,MATCH(M22,'G-6 Hedgerow Data'!$B$3:$B$15,0)),"")</f>
        <v/>
      </c>
    </row>
    <row r="23" spans="2:46" ht="13.8" x14ac:dyDescent="0.25">
      <c r="B23" s="259" t="str">
        <f>'B-1 Site Hedge Baseline'!AK21</f>
        <v/>
      </c>
      <c r="C23" s="175" t="str">
        <f>IF(B23="","",IF(ISNA(VLOOKUP($B23,'B-1 Site Hedge Baseline'!$B$1:$L$257,3,FALSE)),"",(VLOOKUP($B23,'B-1 Site Hedge Baseline'!$B$1:$L$257,3,FALSE))))</f>
        <v/>
      </c>
      <c r="D23" s="175" t="str">
        <f>IF(B23="","",IF(ISNA(VLOOKUP($B23,'B-1 Site Hedge Baseline'!$B$1:$L$257,4,FALSE)),"",(VLOOKUP($B23,'B-1 Site Hedge Baseline'!$B$1:$L$257,4,FALSE))))</f>
        <v/>
      </c>
      <c r="E23" s="175" t="str">
        <f>IF(B23="","",IF(ISNA(VLOOKUP($B23,'B-1 Site Hedge Baseline'!$B$1:$L$257,5,FALSE)),"",(VLOOKUP($B23,'B-1 Site Hedge Baseline'!$B$1:$L$257,5,FALSE))))</f>
        <v/>
      </c>
      <c r="F23" s="175" t="str">
        <f>IF(B23="","",IF(ISNA(VLOOKUP($B23,'B-1 Site Hedge Baseline'!$B$1:$L$257,6,FALSE)),"",(VLOOKUP($B23,'B-1 Site Hedge Baseline'!$B$1:$L$257,6,FALSE))))</f>
        <v/>
      </c>
      <c r="G23" s="175" t="str">
        <f>IF(B23="","",IF(ISNA(VLOOKUP($B23,'B-1 Site Hedge Baseline'!$B$1:$L$257,7,FALSE)),"",(VLOOKUP($B23,'B-1 Site Hedge Baseline'!$B$1:$L$257,7,FALSE))))</f>
        <v/>
      </c>
      <c r="H23" s="175" t="str">
        <f>IF(B23="","",IF(ISNA(VLOOKUP($B23,'B-1 Site Hedge Baseline'!$B$1:$L$257,8,FALSE)),"",(VLOOKUP($B23,'B-1 Site Hedge Baseline'!$B$1:$L$257,8,FALSE))))</f>
        <v/>
      </c>
      <c r="I23" s="175" t="str">
        <f>IF(B23="","",IF(ISNA(VLOOKUP($B23,'B-1 Site Hedge Baseline'!$B$1:$L$257,10,FALSE)),"",(VLOOKUP($B23,'B-1 Site Hedge Baseline'!$B$1:$L$257,10,FALSE))))</f>
        <v/>
      </c>
      <c r="J23" s="175" t="str">
        <f>IF(B23="","",IF(ISNA(VLOOKUP($B23,'B-1 Site Hedge Baseline'!$B$1:$L$257,11,FALSE)),"",(VLOOKUP($B23,'B-1 Site Hedge Baseline'!$B$1:$L$257,11,FALSE))))</f>
        <v/>
      </c>
      <c r="K23" s="175" t="str">
        <f>IF(B23="","",IF(ISNA(VLOOKUP($B23,'B-1 Site Hedge Baseline'!$B$1:$U$257,13,FALSE)),"",(VLOOKUP($B23,'B-1 Site Hedge Baseline'!$B$1:$U$257,13,FALSE))))</f>
        <v/>
      </c>
      <c r="L23" s="176" t="str">
        <f>IF(B23="","",IF(ISNA(VLOOKUP($B23,'B-1 Site Hedge Baseline'!$B$1:$U$257,12,FALSE)),"",(VLOOKUP($B23,'B-1 Site Hedge Baseline'!$B$1:$U$257,12,FALSE))))</f>
        <v/>
      </c>
      <c r="M23" s="637"/>
      <c r="N23" s="171" t="str">
        <f>IFERROR(IF(B23="","",INDEX('G-6 Hedgerow Data'!$AN$3:$AZ$15,MATCH(C23,'G-6 Hedgerow Data'!$AM$3:$AM$15,0),MATCH(M23,'G-6 Hedgerow Data'!$AN$2:$AZ$2,0))),"")</f>
        <v/>
      </c>
      <c r="O23" s="172" t="str">
        <f t="shared" si="1"/>
        <v/>
      </c>
      <c r="P23" s="642" t="str">
        <f>IF(B23="","",VLOOKUP(B23,'B-1 Site Hedge Baseline'!$B$10:T268,16,FALSE))</f>
        <v/>
      </c>
      <c r="Q23" s="171" t="str">
        <f>IF(M23="","",VLOOKUP(M23,'G-6 Hedgerow Data'!$B$2:$AG$15,2,FALSE))</f>
        <v/>
      </c>
      <c r="R23" s="172" t="str">
        <f>IF(M23="","",VLOOKUP(M23,'G-6 Hedgerow Data'!$B$2:$AG$15,3,FALSE))</f>
        <v/>
      </c>
      <c r="S23" s="189"/>
      <c r="T23" s="269" t="str">
        <f>IFERROR(VLOOKUP(S23,'G-1 All Habitats'!$Z$2:$AA$9,2,FALSE),"")</f>
        <v/>
      </c>
      <c r="U23" s="186"/>
      <c r="V23" s="175" t="str">
        <f>IF(U23="","",IF(VLOOKUP(U23,'G-3 Multipliers'!$L$3:$N$6,2,FALSE)=0,"Spatial Data Missing",VLOOKUP(U23,'G-3 Multipliers'!$L$3:$N$6,2,FALSE)))</f>
        <v/>
      </c>
      <c r="W23" s="176" t="str">
        <f>IF(U23="","",IF(VLOOKUP(U23,'G-3 Multipliers'!$L$3:$N$6,3,FALSE)=0,"Spatial Data Missing",VLOOKUP(U23,'G-3 Multipliers'!$L$3:$N$6,3,FALSE)))</f>
        <v/>
      </c>
      <c r="X23" s="171" t="str">
        <f>IFERROR(IF(OR(LEFT(O23,5)="Error",LEFT(N23,5)="Error",T23="Error"),"Check Data",IF(F23&lt;R23,INDEX('G-6 Hedgerow Data'!$S$3:$AE$14,MATCH(C23,'G-6 Hedgerow Data'!$B$3:$B$14,0),MATCH(M23,'G-6 Hedgerow Data'!$S$2:$AE$2,0)),INDEX('G-6 Hedgerow Data'!$K$3:$Q$14,MATCH(M23,'G-6 Hedgerow Data'!$B$3:$B$14,0),MATCH(O23,'G-6 Hedgerow Data'!$K$2:$Q$2,0)))),"")</f>
        <v/>
      </c>
      <c r="Y23" s="261"/>
      <c r="Z23" s="261"/>
      <c r="AA23" s="179" t="str">
        <f t="shared" si="2"/>
        <v/>
      </c>
      <c r="AB23" s="262" t="str">
        <f t="shared" si="3"/>
        <v/>
      </c>
      <c r="AC23" s="263" t="str">
        <f t="shared" si="4"/>
        <v/>
      </c>
      <c r="AD23" s="239" t="str">
        <f>IF(M23="","",VLOOKUP(M23,'G-6 Hedgerow Data'!$B$3:$AG$15,31,FALSE))</f>
        <v/>
      </c>
      <c r="AE23" s="179" t="str">
        <f t="shared" si="5"/>
        <v/>
      </c>
      <c r="AF23" s="179" t="str">
        <f t="shared" si="6"/>
        <v/>
      </c>
      <c r="AG23" s="176" t="str">
        <f>IFERROR(IF(O23="","",VLOOKUP(AD23,'G-3 Multipliers'!$P$3:$Q$6,2,FALSE)),"")</f>
        <v/>
      </c>
      <c r="AH23" s="207" t="str">
        <f t="shared" si="0"/>
        <v/>
      </c>
      <c r="AI23" s="336"/>
      <c r="AJ23" s="181"/>
      <c r="AT23" s="35" t="str">
        <f>IFERROR(INDEX('G-6 Hedgerow Data'!$BJ$3:$BJ$15,MATCH(M23,'G-6 Hedgerow Data'!$B$3:$B$15,0)),"")</f>
        <v/>
      </c>
    </row>
    <row r="24" spans="2:46" ht="13.8" x14ac:dyDescent="0.25">
      <c r="B24" s="259" t="str">
        <f>'B-1 Site Hedge Baseline'!AK22</f>
        <v/>
      </c>
      <c r="C24" s="175" t="str">
        <f>IF(B24="","",IF(ISNA(VLOOKUP($B24,'B-1 Site Hedge Baseline'!$B$1:$L$257,3,FALSE)),"",(VLOOKUP($B24,'B-1 Site Hedge Baseline'!$B$1:$L$257,3,FALSE))))</f>
        <v/>
      </c>
      <c r="D24" s="175" t="str">
        <f>IF(B24="","",IF(ISNA(VLOOKUP($B24,'B-1 Site Hedge Baseline'!$B$1:$L$257,4,FALSE)),"",(VLOOKUP($B24,'B-1 Site Hedge Baseline'!$B$1:$L$257,4,FALSE))))</f>
        <v/>
      </c>
      <c r="E24" s="175" t="str">
        <f>IF(B24="","",IF(ISNA(VLOOKUP($B24,'B-1 Site Hedge Baseline'!$B$1:$L$257,5,FALSE)),"",(VLOOKUP($B24,'B-1 Site Hedge Baseline'!$B$1:$L$257,5,FALSE))))</f>
        <v/>
      </c>
      <c r="F24" s="175" t="str">
        <f>IF(B24="","",IF(ISNA(VLOOKUP($B24,'B-1 Site Hedge Baseline'!$B$1:$L$257,6,FALSE)),"",(VLOOKUP($B24,'B-1 Site Hedge Baseline'!$B$1:$L$257,6,FALSE))))</f>
        <v/>
      </c>
      <c r="G24" s="175" t="str">
        <f>IF(B24="","",IF(ISNA(VLOOKUP($B24,'B-1 Site Hedge Baseline'!$B$1:$L$257,7,FALSE)),"",(VLOOKUP($B24,'B-1 Site Hedge Baseline'!$B$1:$L$257,7,FALSE))))</f>
        <v/>
      </c>
      <c r="H24" s="175" t="str">
        <f>IF(B24="","",IF(ISNA(VLOOKUP($B24,'B-1 Site Hedge Baseline'!$B$1:$L$257,8,FALSE)),"",(VLOOKUP($B24,'B-1 Site Hedge Baseline'!$B$1:$L$257,8,FALSE))))</f>
        <v/>
      </c>
      <c r="I24" s="175" t="str">
        <f>IF(B24="","",IF(ISNA(VLOOKUP($B24,'B-1 Site Hedge Baseline'!$B$1:$L$257,10,FALSE)),"",(VLOOKUP($B24,'B-1 Site Hedge Baseline'!$B$1:$L$257,10,FALSE))))</f>
        <v/>
      </c>
      <c r="J24" s="175" t="str">
        <f>IF(B24="","",IF(ISNA(VLOOKUP($B24,'B-1 Site Hedge Baseline'!$B$1:$L$257,11,FALSE)),"",(VLOOKUP($B24,'B-1 Site Hedge Baseline'!$B$1:$L$257,11,FALSE))))</f>
        <v/>
      </c>
      <c r="K24" s="175" t="str">
        <f>IF(B24="","",IF(ISNA(VLOOKUP($B24,'B-1 Site Hedge Baseline'!$B$1:$U$257,13,FALSE)),"",(VLOOKUP($B24,'B-1 Site Hedge Baseline'!$B$1:$U$257,13,FALSE))))</f>
        <v/>
      </c>
      <c r="L24" s="176" t="str">
        <f>IF(B24="","",IF(ISNA(VLOOKUP($B24,'B-1 Site Hedge Baseline'!$B$1:$U$257,12,FALSE)),"",(VLOOKUP($B24,'B-1 Site Hedge Baseline'!$B$1:$U$257,12,FALSE))))</f>
        <v/>
      </c>
      <c r="M24" s="637"/>
      <c r="N24" s="171" t="str">
        <f>IFERROR(IF(B24="","",INDEX('G-6 Hedgerow Data'!$AN$3:$AZ$15,MATCH(C24,'G-6 Hedgerow Data'!$AM$3:$AM$15,0),MATCH(M24,'G-6 Hedgerow Data'!$AN$2:$AZ$2,0))),"")</f>
        <v/>
      </c>
      <c r="O24" s="172" t="str">
        <f t="shared" si="1"/>
        <v/>
      </c>
      <c r="P24" s="642" t="str">
        <f>IF(B24="","",VLOOKUP(B24,'B-1 Site Hedge Baseline'!$B$10:T269,16,FALSE))</f>
        <v/>
      </c>
      <c r="Q24" s="171" t="str">
        <f>IF(M24="","",VLOOKUP(M24,'G-6 Hedgerow Data'!$B$2:$AG$15,2,FALSE))</f>
        <v/>
      </c>
      <c r="R24" s="172" t="str">
        <f>IF(M24="","",VLOOKUP(M24,'G-6 Hedgerow Data'!$B$2:$AG$15,3,FALSE))</f>
        <v/>
      </c>
      <c r="S24" s="189"/>
      <c r="T24" s="269" t="str">
        <f>IFERROR(VLOOKUP(S24,'G-1 All Habitats'!$Z$2:$AA$9,2,FALSE),"")</f>
        <v/>
      </c>
      <c r="U24" s="186"/>
      <c r="V24" s="175" t="str">
        <f>IF(U24="","",IF(VLOOKUP(U24,'G-3 Multipliers'!$L$3:$N$6,2,FALSE)=0,"Spatial Data Missing",VLOOKUP(U24,'G-3 Multipliers'!$L$3:$N$6,2,FALSE)))</f>
        <v/>
      </c>
      <c r="W24" s="176" t="str">
        <f>IF(U24="","",IF(VLOOKUP(U24,'G-3 Multipliers'!$L$3:$N$6,3,FALSE)=0,"Spatial Data Missing",VLOOKUP(U24,'G-3 Multipliers'!$L$3:$N$6,3,FALSE)))</f>
        <v/>
      </c>
      <c r="X24" s="171" t="str">
        <f>IFERROR(IF(OR(LEFT(O24,5)="Error",LEFT(N24,5)="Error",T24="Error"),"Check Data",IF(F24&lt;R24,INDEX('G-6 Hedgerow Data'!$S$3:$AE$14,MATCH(C24,'G-6 Hedgerow Data'!$B$3:$B$14,0),MATCH(M24,'G-6 Hedgerow Data'!$S$2:$AE$2,0)),INDEX('G-6 Hedgerow Data'!$K$3:$Q$14,MATCH(M24,'G-6 Hedgerow Data'!$B$3:$B$14,0),MATCH(O24,'G-6 Hedgerow Data'!$K$2:$Q$2,0)))),"")</f>
        <v/>
      </c>
      <c r="Y24" s="261"/>
      <c r="Z24" s="261"/>
      <c r="AA24" s="179" t="str">
        <f t="shared" si="2"/>
        <v/>
      </c>
      <c r="AB24" s="262" t="str">
        <f t="shared" si="3"/>
        <v/>
      </c>
      <c r="AC24" s="263" t="str">
        <f t="shared" si="4"/>
        <v/>
      </c>
      <c r="AD24" s="239" t="str">
        <f>IF(M24="","",VLOOKUP(M24,'G-6 Hedgerow Data'!$B$3:$AG$15,31,FALSE))</f>
        <v/>
      </c>
      <c r="AE24" s="179" t="str">
        <f t="shared" si="5"/>
        <v/>
      </c>
      <c r="AF24" s="179" t="str">
        <f t="shared" si="6"/>
        <v/>
      </c>
      <c r="AG24" s="176" t="str">
        <f>IFERROR(IF(O24="","",VLOOKUP(AD24,'G-3 Multipliers'!$P$3:$Q$6,2,FALSE)),"")</f>
        <v/>
      </c>
      <c r="AH24" s="207" t="str">
        <f t="shared" si="0"/>
        <v/>
      </c>
      <c r="AI24" s="336"/>
      <c r="AJ24" s="181"/>
      <c r="AT24" s="35" t="str">
        <f>IFERROR(INDEX('G-6 Hedgerow Data'!$BJ$3:$BJ$15,MATCH(M24,'G-6 Hedgerow Data'!$B$3:$B$15,0)),"")</f>
        <v/>
      </c>
    </row>
    <row r="25" spans="2:46" ht="13.8" x14ac:dyDescent="0.25">
      <c r="B25" s="259" t="str">
        <f>'B-1 Site Hedge Baseline'!AK23</f>
        <v/>
      </c>
      <c r="C25" s="175" t="str">
        <f>IF(B25="","",IF(ISNA(VLOOKUP($B25,'B-1 Site Hedge Baseline'!$B$1:$L$257,3,FALSE)),"",(VLOOKUP($B25,'B-1 Site Hedge Baseline'!$B$1:$L$257,3,FALSE))))</f>
        <v/>
      </c>
      <c r="D25" s="175" t="str">
        <f>IF(B25="","",IF(ISNA(VLOOKUP($B25,'B-1 Site Hedge Baseline'!$B$1:$L$257,4,FALSE)),"",(VLOOKUP($B25,'B-1 Site Hedge Baseline'!$B$1:$L$257,4,FALSE))))</f>
        <v/>
      </c>
      <c r="E25" s="175" t="str">
        <f>IF(B25="","",IF(ISNA(VLOOKUP($B25,'B-1 Site Hedge Baseline'!$B$1:$L$257,5,FALSE)),"",(VLOOKUP($B25,'B-1 Site Hedge Baseline'!$B$1:$L$257,5,FALSE))))</f>
        <v/>
      </c>
      <c r="F25" s="175" t="str">
        <f>IF(B25="","",IF(ISNA(VLOOKUP($B25,'B-1 Site Hedge Baseline'!$B$1:$L$257,6,FALSE)),"",(VLOOKUP($B25,'B-1 Site Hedge Baseline'!$B$1:$L$257,6,FALSE))))</f>
        <v/>
      </c>
      <c r="G25" s="175" t="str">
        <f>IF(B25="","",IF(ISNA(VLOOKUP($B25,'B-1 Site Hedge Baseline'!$B$1:$L$257,7,FALSE)),"",(VLOOKUP($B25,'B-1 Site Hedge Baseline'!$B$1:$L$257,7,FALSE))))</f>
        <v/>
      </c>
      <c r="H25" s="175" t="str">
        <f>IF(B25="","",IF(ISNA(VLOOKUP($B25,'B-1 Site Hedge Baseline'!$B$1:$L$257,8,FALSE)),"",(VLOOKUP($B25,'B-1 Site Hedge Baseline'!$B$1:$L$257,8,FALSE))))</f>
        <v/>
      </c>
      <c r="I25" s="175" t="str">
        <f>IF(B25="","",IF(ISNA(VLOOKUP($B25,'B-1 Site Hedge Baseline'!$B$1:$L$257,10,FALSE)),"",(VLOOKUP($B25,'B-1 Site Hedge Baseline'!$B$1:$L$257,10,FALSE))))</f>
        <v/>
      </c>
      <c r="J25" s="175" t="str">
        <f>IF(B25="","",IF(ISNA(VLOOKUP($B25,'B-1 Site Hedge Baseline'!$B$1:$L$257,11,FALSE)),"",(VLOOKUP($B25,'B-1 Site Hedge Baseline'!$B$1:$L$257,11,FALSE))))</f>
        <v/>
      </c>
      <c r="K25" s="175" t="str">
        <f>IF(B25="","",IF(ISNA(VLOOKUP($B25,'B-1 Site Hedge Baseline'!$B$1:$U$257,13,FALSE)),"",(VLOOKUP($B25,'B-1 Site Hedge Baseline'!$B$1:$U$257,13,FALSE))))</f>
        <v/>
      </c>
      <c r="L25" s="176" t="str">
        <f>IF(B25="","",IF(ISNA(VLOOKUP($B25,'B-1 Site Hedge Baseline'!$B$1:$U$257,12,FALSE)),"",(VLOOKUP($B25,'B-1 Site Hedge Baseline'!$B$1:$U$257,12,FALSE))))</f>
        <v/>
      </c>
      <c r="M25" s="637"/>
      <c r="N25" s="171" t="str">
        <f>IFERROR(IF(B25="","",INDEX('G-6 Hedgerow Data'!$AN$3:$AZ$15,MATCH(C25,'G-6 Hedgerow Data'!$AM$3:$AM$15,0),MATCH(M25,'G-6 Hedgerow Data'!$AN$2:$AZ$2,0))),"")</f>
        <v/>
      </c>
      <c r="O25" s="172" t="str">
        <f t="shared" si="1"/>
        <v/>
      </c>
      <c r="P25" s="642" t="str">
        <f>IF(B25="","",VLOOKUP(B25,'B-1 Site Hedge Baseline'!$B$10:T270,16,FALSE))</f>
        <v/>
      </c>
      <c r="Q25" s="171" t="str">
        <f>IF(M25="","",VLOOKUP(M25,'G-6 Hedgerow Data'!$B$2:$AG$15,2,FALSE))</f>
        <v/>
      </c>
      <c r="R25" s="172" t="str">
        <f>IF(M25="","",VLOOKUP(M25,'G-6 Hedgerow Data'!$B$2:$AG$15,3,FALSE))</f>
        <v/>
      </c>
      <c r="S25" s="189"/>
      <c r="T25" s="269" t="str">
        <f>IFERROR(VLOOKUP(S25,'G-1 All Habitats'!$Z$2:$AA$9,2,FALSE),"")</f>
        <v/>
      </c>
      <c r="U25" s="186"/>
      <c r="V25" s="175" t="str">
        <f>IF(U25="","",IF(VLOOKUP(U25,'G-3 Multipliers'!$L$3:$N$6,2,FALSE)=0,"Spatial Data Missing",VLOOKUP(U25,'G-3 Multipliers'!$L$3:$N$6,2,FALSE)))</f>
        <v/>
      </c>
      <c r="W25" s="176" t="str">
        <f>IF(U25="","",IF(VLOOKUP(U25,'G-3 Multipliers'!$L$3:$N$6,3,FALSE)=0,"Spatial Data Missing",VLOOKUP(U25,'G-3 Multipliers'!$L$3:$N$6,3,FALSE)))</f>
        <v/>
      </c>
      <c r="X25" s="171" t="str">
        <f>IFERROR(IF(OR(LEFT(O25,5)="Error",LEFT(N25,5)="Error",T25="Error"),"Check Data",IF(F25&lt;R25,INDEX('G-6 Hedgerow Data'!$S$3:$AE$14,MATCH(C25,'G-6 Hedgerow Data'!$B$3:$B$14,0),MATCH(M25,'G-6 Hedgerow Data'!$S$2:$AE$2,0)),INDEX('G-6 Hedgerow Data'!$K$3:$Q$14,MATCH(M25,'G-6 Hedgerow Data'!$B$3:$B$14,0),MATCH(O25,'G-6 Hedgerow Data'!$K$2:$Q$2,0)))),"")</f>
        <v/>
      </c>
      <c r="Y25" s="261"/>
      <c r="Z25" s="261"/>
      <c r="AA25" s="179" t="str">
        <f t="shared" si="2"/>
        <v/>
      </c>
      <c r="AB25" s="262" t="str">
        <f t="shared" si="3"/>
        <v/>
      </c>
      <c r="AC25" s="263" t="str">
        <f t="shared" si="4"/>
        <v/>
      </c>
      <c r="AD25" s="239" t="str">
        <f>IF(M25="","",VLOOKUP(M25,'G-6 Hedgerow Data'!$B$3:$AG$15,31,FALSE))</f>
        <v/>
      </c>
      <c r="AE25" s="179" t="str">
        <f t="shared" si="5"/>
        <v/>
      </c>
      <c r="AF25" s="179" t="str">
        <f t="shared" si="6"/>
        <v/>
      </c>
      <c r="AG25" s="176" t="str">
        <f>IFERROR(IF(O25="","",VLOOKUP(AD25,'G-3 Multipliers'!$P$3:$Q$6,2,FALSE)),"")</f>
        <v/>
      </c>
      <c r="AH25" s="207" t="str">
        <f t="shared" si="0"/>
        <v/>
      </c>
      <c r="AI25" s="336"/>
      <c r="AJ25" s="181"/>
      <c r="AT25" s="35" t="str">
        <f>IFERROR(INDEX('G-6 Hedgerow Data'!$BJ$3:$BJ$15,MATCH(M25,'G-6 Hedgerow Data'!$B$3:$B$15,0)),"")</f>
        <v/>
      </c>
    </row>
    <row r="26" spans="2:46" ht="13.8" x14ac:dyDescent="0.25">
      <c r="B26" s="259" t="str">
        <f>'B-1 Site Hedge Baseline'!AK24</f>
        <v/>
      </c>
      <c r="C26" s="175" t="str">
        <f>IF(B26="","",IF(ISNA(VLOOKUP($B26,'B-1 Site Hedge Baseline'!$B$1:$L$257,3,FALSE)),"",(VLOOKUP($B26,'B-1 Site Hedge Baseline'!$B$1:$L$257,3,FALSE))))</f>
        <v/>
      </c>
      <c r="D26" s="175" t="str">
        <f>IF(B26="","",IF(ISNA(VLOOKUP($B26,'B-1 Site Hedge Baseline'!$B$1:$L$257,4,FALSE)),"",(VLOOKUP($B26,'B-1 Site Hedge Baseline'!$B$1:$L$257,4,FALSE))))</f>
        <v/>
      </c>
      <c r="E26" s="175" t="str">
        <f>IF(B26="","",IF(ISNA(VLOOKUP($B26,'B-1 Site Hedge Baseline'!$B$1:$L$257,5,FALSE)),"",(VLOOKUP($B26,'B-1 Site Hedge Baseline'!$B$1:$L$257,5,FALSE))))</f>
        <v/>
      </c>
      <c r="F26" s="175" t="str">
        <f>IF(B26="","",IF(ISNA(VLOOKUP($B26,'B-1 Site Hedge Baseline'!$B$1:$L$257,6,FALSE)),"",(VLOOKUP($B26,'B-1 Site Hedge Baseline'!$B$1:$L$257,6,FALSE))))</f>
        <v/>
      </c>
      <c r="G26" s="175" t="str">
        <f>IF(B26="","",IF(ISNA(VLOOKUP($B26,'B-1 Site Hedge Baseline'!$B$1:$L$257,7,FALSE)),"",(VLOOKUP($B26,'B-1 Site Hedge Baseline'!$B$1:$L$257,7,FALSE))))</f>
        <v/>
      </c>
      <c r="H26" s="175" t="str">
        <f>IF(B26="","",IF(ISNA(VLOOKUP($B26,'B-1 Site Hedge Baseline'!$B$1:$L$257,8,FALSE)),"",(VLOOKUP($B26,'B-1 Site Hedge Baseline'!$B$1:$L$257,8,FALSE))))</f>
        <v/>
      </c>
      <c r="I26" s="175" t="str">
        <f>IF(B26="","",IF(ISNA(VLOOKUP($B26,'B-1 Site Hedge Baseline'!$B$1:$L$257,10,FALSE)),"",(VLOOKUP($B26,'B-1 Site Hedge Baseline'!$B$1:$L$257,10,FALSE))))</f>
        <v/>
      </c>
      <c r="J26" s="175" t="str">
        <f>IF(B26="","",IF(ISNA(VLOOKUP($B26,'B-1 Site Hedge Baseline'!$B$1:$L$257,11,FALSE)),"",(VLOOKUP($B26,'B-1 Site Hedge Baseline'!$B$1:$L$257,11,FALSE))))</f>
        <v/>
      </c>
      <c r="K26" s="175" t="str">
        <f>IF(B26="","",IF(ISNA(VLOOKUP($B26,'B-1 Site Hedge Baseline'!$B$1:$U$257,13,FALSE)),"",(VLOOKUP($B26,'B-1 Site Hedge Baseline'!$B$1:$U$257,13,FALSE))))</f>
        <v/>
      </c>
      <c r="L26" s="176" t="str">
        <f>IF(B26="","",IF(ISNA(VLOOKUP($B26,'B-1 Site Hedge Baseline'!$B$1:$U$257,12,FALSE)),"",(VLOOKUP($B26,'B-1 Site Hedge Baseline'!$B$1:$U$257,12,FALSE))))</f>
        <v/>
      </c>
      <c r="M26" s="637"/>
      <c r="N26" s="171" t="str">
        <f>IFERROR(IF(B26="","",INDEX('G-6 Hedgerow Data'!$AN$3:$AZ$15,MATCH(C26,'G-6 Hedgerow Data'!$AM$3:$AM$15,0),MATCH(M26,'G-6 Hedgerow Data'!$AN$2:$AZ$2,0))),"")</f>
        <v/>
      </c>
      <c r="O26" s="172" t="str">
        <f t="shared" si="1"/>
        <v/>
      </c>
      <c r="P26" s="642" t="str">
        <f>IF(B26="","",VLOOKUP(B26,'B-1 Site Hedge Baseline'!$B$10:T271,16,FALSE))</f>
        <v/>
      </c>
      <c r="Q26" s="171" t="str">
        <f>IF(M26="","",VLOOKUP(M26,'G-6 Hedgerow Data'!$B$2:$AG$15,2,FALSE))</f>
        <v/>
      </c>
      <c r="R26" s="172" t="str">
        <f>IF(M26="","",VLOOKUP(M26,'G-6 Hedgerow Data'!$B$2:$AG$15,3,FALSE))</f>
        <v/>
      </c>
      <c r="S26" s="189"/>
      <c r="T26" s="269" t="str">
        <f>IFERROR(VLOOKUP(S26,'G-1 All Habitats'!$Z$2:$AA$9,2,FALSE),"")</f>
        <v/>
      </c>
      <c r="U26" s="186"/>
      <c r="V26" s="175" t="str">
        <f>IF(U26="","",IF(VLOOKUP(U26,'G-3 Multipliers'!$L$3:$N$6,2,FALSE)=0,"Spatial Data Missing",VLOOKUP(U26,'G-3 Multipliers'!$L$3:$N$6,2,FALSE)))</f>
        <v/>
      </c>
      <c r="W26" s="176" t="str">
        <f>IF(U26="","",IF(VLOOKUP(U26,'G-3 Multipliers'!$L$3:$N$6,3,FALSE)=0,"Spatial Data Missing",VLOOKUP(U26,'G-3 Multipliers'!$L$3:$N$6,3,FALSE)))</f>
        <v/>
      </c>
      <c r="X26" s="171" t="str">
        <f>IFERROR(IF(OR(LEFT(O26,5)="Error",LEFT(N26,5)="Error",T26="Error"),"Check Data",IF(F26&lt;R26,INDEX('G-6 Hedgerow Data'!$S$3:$AE$14,MATCH(C26,'G-6 Hedgerow Data'!$B$3:$B$14,0),MATCH(M26,'G-6 Hedgerow Data'!$S$2:$AE$2,0)),INDEX('G-6 Hedgerow Data'!$K$3:$Q$14,MATCH(M26,'G-6 Hedgerow Data'!$B$3:$B$14,0),MATCH(O26,'G-6 Hedgerow Data'!$K$2:$Q$2,0)))),"")</f>
        <v/>
      </c>
      <c r="Y26" s="261"/>
      <c r="Z26" s="261"/>
      <c r="AA26" s="179" t="str">
        <f t="shared" si="2"/>
        <v/>
      </c>
      <c r="AB26" s="262" t="str">
        <f t="shared" si="3"/>
        <v/>
      </c>
      <c r="AC26" s="263" t="str">
        <f t="shared" si="4"/>
        <v/>
      </c>
      <c r="AD26" s="239" t="str">
        <f>IF(M26="","",VLOOKUP(M26,'G-6 Hedgerow Data'!$B$3:$AG$15,31,FALSE))</f>
        <v/>
      </c>
      <c r="AE26" s="179" t="str">
        <f t="shared" si="5"/>
        <v/>
      </c>
      <c r="AF26" s="179" t="str">
        <f t="shared" si="6"/>
        <v/>
      </c>
      <c r="AG26" s="176" t="str">
        <f>IFERROR(IF(O26="","",VLOOKUP(AD26,'G-3 Multipliers'!$P$3:$Q$6,2,FALSE)),"")</f>
        <v/>
      </c>
      <c r="AH26" s="207" t="str">
        <f t="shared" si="0"/>
        <v/>
      </c>
      <c r="AI26" s="336"/>
      <c r="AJ26" s="181"/>
      <c r="AT26" s="35" t="str">
        <f>IFERROR(INDEX('G-6 Hedgerow Data'!$BJ$3:$BJ$15,MATCH(M26,'G-6 Hedgerow Data'!$B$3:$B$15,0)),"")</f>
        <v/>
      </c>
    </row>
    <row r="27" spans="2:46" ht="13.8" x14ac:dyDescent="0.25">
      <c r="B27" s="259" t="str">
        <f>'B-1 Site Hedge Baseline'!AK25</f>
        <v/>
      </c>
      <c r="C27" s="175" t="str">
        <f>IF(B27="","",IF(ISNA(VLOOKUP($B27,'B-1 Site Hedge Baseline'!$B$1:$L$257,3,FALSE)),"",(VLOOKUP($B27,'B-1 Site Hedge Baseline'!$B$1:$L$257,3,FALSE))))</f>
        <v/>
      </c>
      <c r="D27" s="175" t="str">
        <f>IF(B27="","",IF(ISNA(VLOOKUP($B27,'B-1 Site Hedge Baseline'!$B$1:$L$257,4,FALSE)),"",(VLOOKUP($B27,'B-1 Site Hedge Baseline'!$B$1:$L$257,4,FALSE))))</f>
        <v/>
      </c>
      <c r="E27" s="175" t="str">
        <f>IF(B27="","",IF(ISNA(VLOOKUP($B27,'B-1 Site Hedge Baseline'!$B$1:$L$257,5,FALSE)),"",(VLOOKUP($B27,'B-1 Site Hedge Baseline'!$B$1:$L$257,5,FALSE))))</f>
        <v/>
      </c>
      <c r="F27" s="175" t="str">
        <f>IF(B27="","",IF(ISNA(VLOOKUP($B27,'B-1 Site Hedge Baseline'!$B$1:$L$257,6,FALSE)),"",(VLOOKUP($B27,'B-1 Site Hedge Baseline'!$B$1:$L$257,6,FALSE))))</f>
        <v/>
      </c>
      <c r="G27" s="175" t="str">
        <f>IF(B27="","",IF(ISNA(VLOOKUP($B27,'B-1 Site Hedge Baseline'!$B$1:$L$257,7,FALSE)),"",(VLOOKUP($B27,'B-1 Site Hedge Baseline'!$B$1:$L$257,7,FALSE))))</f>
        <v/>
      </c>
      <c r="H27" s="175" t="str">
        <f>IF(B27="","",IF(ISNA(VLOOKUP($B27,'B-1 Site Hedge Baseline'!$B$1:$L$257,8,FALSE)),"",(VLOOKUP($B27,'B-1 Site Hedge Baseline'!$B$1:$L$257,8,FALSE))))</f>
        <v/>
      </c>
      <c r="I27" s="175" t="str">
        <f>IF(B27="","",IF(ISNA(VLOOKUP($B27,'B-1 Site Hedge Baseline'!$B$1:$L$257,10,FALSE)),"",(VLOOKUP($B27,'B-1 Site Hedge Baseline'!$B$1:$L$257,10,FALSE))))</f>
        <v/>
      </c>
      <c r="J27" s="175" t="str">
        <f>IF(B27="","",IF(ISNA(VLOOKUP($B27,'B-1 Site Hedge Baseline'!$B$1:$L$257,11,FALSE)),"",(VLOOKUP($B27,'B-1 Site Hedge Baseline'!$B$1:$L$257,11,FALSE))))</f>
        <v/>
      </c>
      <c r="K27" s="175" t="str">
        <f>IF(B27="","",IF(ISNA(VLOOKUP($B27,'B-1 Site Hedge Baseline'!$B$1:$U$257,13,FALSE)),"",(VLOOKUP($B27,'B-1 Site Hedge Baseline'!$B$1:$U$257,13,FALSE))))</f>
        <v/>
      </c>
      <c r="L27" s="176" t="str">
        <f>IF(B27="","",IF(ISNA(VLOOKUP($B27,'B-1 Site Hedge Baseline'!$B$1:$U$257,12,FALSE)),"",(VLOOKUP($B27,'B-1 Site Hedge Baseline'!$B$1:$U$257,12,FALSE))))</f>
        <v/>
      </c>
      <c r="M27" s="637"/>
      <c r="N27" s="171" t="str">
        <f>IFERROR(IF(B27="","",INDEX('G-6 Hedgerow Data'!$AN$3:$AZ$15,MATCH(C27,'G-6 Hedgerow Data'!$AM$3:$AM$15,0),MATCH(M27,'G-6 Hedgerow Data'!$AN$2:$AZ$2,0))),"")</f>
        <v/>
      </c>
      <c r="O27" s="172" t="str">
        <f t="shared" si="1"/>
        <v/>
      </c>
      <c r="P27" s="642" t="str">
        <f>IF(B27="","",VLOOKUP(B27,'B-1 Site Hedge Baseline'!$B$10:T272,16,FALSE))</f>
        <v/>
      </c>
      <c r="Q27" s="171" t="str">
        <f>IF(M27="","",VLOOKUP(M27,'G-6 Hedgerow Data'!$B$2:$AG$15,2,FALSE))</f>
        <v/>
      </c>
      <c r="R27" s="172" t="str">
        <f>IF(M27="","",VLOOKUP(M27,'G-6 Hedgerow Data'!$B$2:$AG$15,3,FALSE))</f>
        <v/>
      </c>
      <c r="S27" s="189"/>
      <c r="T27" s="269" t="str">
        <f>IFERROR(VLOOKUP(S27,'G-1 All Habitats'!$Z$2:$AA$9,2,FALSE),"")</f>
        <v/>
      </c>
      <c r="U27" s="186"/>
      <c r="V27" s="175" t="str">
        <f>IF(U27="","",IF(VLOOKUP(U27,'G-3 Multipliers'!$L$3:$N$6,2,FALSE)=0,"Spatial Data Missing",VLOOKUP(U27,'G-3 Multipliers'!$L$3:$N$6,2,FALSE)))</f>
        <v/>
      </c>
      <c r="W27" s="176" t="str">
        <f>IF(U27="","",IF(VLOOKUP(U27,'G-3 Multipliers'!$L$3:$N$6,3,FALSE)=0,"Spatial Data Missing",VLOOKUP(U27,'G-3 Multipliers'!$L$3:$N$6,3,FALSE)))</f>
        <v/>
      </c>
      <c r="X27" s="171" t="str">
        <f>IFERROR(IF(OR(LEFT(O27,5)="Error",LEFT(N27,5)="Error",T27="Error"),"Check Data",IF(F27&lt;R27,INDEX('G-6 Hedgerow Data'!$S$3:$AE$14,MATCH(C27,'G-6 Hedgerow Data'!$B$3:$B$14,0),MATCH(M27,'G-6 Hedgerow Data'!$S$2:$AE$2,0)),INDEX('G-6 Hedgerow Data'!$K$3:$Q$14,MATCH(M27,'G-6 Hedgerow Data'!$B$3:$B$14,0),MATCH(O27,'G-6 Hedgerow Data'!$K$2:$Q$2,0)))),"")</f>
        <v/>
      </c>
      <c r="Y27" s="261"/>
      <c r="Z27" s="261"/>
      <c r="AA27" s="179" t="str">
        <f t="shared" si="2"/>
        <v/>
      </c>
      <c r="AB27" s="262" t="str">
        <f t="shared" si="3"/>
        <v/>
      </c>
      <c r="AC27" s="263" t="str">
        <f t="shared" si="4"/>
        <v/>
      </c>
      <c r="AD27" s="239" t="str">
        <f>IF(M27="","",VLOOKUP(M27,'G-6 Hedgerow Data'!$B$3:$AG$15,31,FALSE))</f>
        <v/>
      </c>
      <c r="AE27" s="179" t="str">
        <f t="shared" si="5"/>
        <v/>
      </c>
      <c r="AF27" s="179" t="str">
        <f t="shared" si="6"/>
        <v/>
      </c>
      <c r="AG27" s="176" t="str">
        <f>IFERROR(IF(O27="","",VLOOKUP(AD27,'G-3 Multipliers'!$P$3:$Q$6,2,FALSE)),"")</f>
        <v/>
      </c>
      <c r="AH27" s="207" t="str">
        <f t="shared" si="0"/>
        <v/>
      </c>
      <c r="AI27" s="336"/>
      <c r="AJ27" s="181"/>
      <c r="AT27" s="35" t="str">
        <f>IFERROR(INDEX('G-6 Hedgerow Data'!$BJ$3:$BJ$15,MATCH(M27,'G-6 Hedgerow Data'!$B$3:$B$15,0)),"")</f>
        <v/>
      </c>
    </row>
    <row r="28" spans="2:46" ht="13.8" x14ac:dyDescent="0.25">
      <c r="B28" s="259" t="str">
        <f>'B-1 Site Hedge Baseline'!AK26</f>
        <v/>
      </c>
      <c r="C28" s="175" t="str">
        <f>IF(B28="","",IF(ISNA(VLOOKUP($B28,'B-1 Site Hedge Baseline'!$B$1:$L$257,3,FALSE)),"",(VLOOKUP($B28,'B-1 Site Hedge Baseline'!$B$1:$L$257,3,FALSE))))</f>
        <v/>
      </c>
      <c r="D28" s="175" t="str">
        <f>IF(B28="","",IF(ISNA(VLOOKUP($B28,'B-1 Site Hedge Baseline'!$B$1:$L$257,4,FALSE)),"",(VLOOKUP($B28,'B-1 Site Hedge Baseline'!$B$1:$L$257,4,FALSE))))</f>
        <v/>
      </c>
      <c r="E28" s="175" t="str">
        <f>IF(B28="","",IF(ISNA(VLOOKUP($B28,'B-1 Site Hedge Baseline'!$B$1:$L$257,5,FALSE)),"",(VLOOKUP($B28,'B-1 Site Hedge Baseline'!$B$1:$L$257,5,FALSE))))</f>
        <v/>
      </c>
      <c r="F28" s="175" t="str">
        <f>IF(B28="","",IF(ISNA(VLOOKUP($B28,'B-1 Site Hedge Baseline'!$B$1:$L$257,6,FALSE)),"",(VLOOKUP($B28,'B-1 Site Hedge Baseline'!$B$1:$L$257,6,FALSE))))</f>
        <v/>
      </c>
      <c r="G28" s="175" t="str">
        <f>IF(B28="","",IF(ISNA(VLOOKUP($B28,'B-1 Site Hedge Baseline'!$B$1:$L$257,7,FALSE)),"",(VLOOKUP($B28,'B-1 Site Hedge Baseline'!$B$1:$L$257,7,FALSE))))</f>
        <v/>
      </c>
      <c r="H28" s="175" t="str">
        <f>IF(B28="","",IF(ISNA(VLOOKUP($B28,'B-1 Site Hedge Baseline'!$B$1:$L$257,8,FALSE)),"",(VLOOKUP($B28,'B-1 Site Hedge Baseline'!$B$1:$L$257,8,FALSE))))</f>
        <v/>
      </c>
      <c r="I28" s="175" t="str">
        <f>IF(B28="","",IF(ISNA(VLOOKUP($B28,'B-1 Site Hedge Baseline'!$B$1:$L$257,10,FALSE)),"",(VLOOKUP($B28,'B-1 Site Hedge Baseline'!$B$1:$L$257,10,FALSE))))</f>
        <v/>
      </c>
      <c r="J28" s="175" t="str">
        <f>IF(B28="","",IF(ISNA(VLOOKUP($B28,'B-1 Site Hedge Baseline'!$B$1:$L$257,11,FALSE)),"",(VLOOKUP($B28,'B-1 Site Hedge Baseline'!$B$1:$L$257,11,FALSE))))</f>
        <v/>
      </c>
      <c r="K28" s="175" t="str">
        <f>IF(B28="","",IF(ISNA(VLOOKUP($B28,'B-1 Site Hedge Baseline'!$B$1:$U$257,13,FALSE)),"",(VLOOKUP($B28,'B-1 Site Hedge Baseline'!$B$1:$U$257,13,FALSE))))</f>
        <v/>
      </c>
      <c r="L28" s="176" t="str">
        <f>IF(B28="","",IF(ISNA(VLOOKUP($B28,'B-1 Site Hedge Baseline'!$B$1:$U$257,12,FALSE)),"",(VLOOKUP($B28,'B-1 Site Hedge Baseline'!$B$1:$U$257,12,FALSE))))</f>
        <v/>
      </c>
      <c r="M28" s="637"/>
      <c r="N28" s="171" t="str">
        <f>IFERROR(IF(B28="","",INDEX('G-6 Hedgerow Data'!$AN$3:$AZ$15,MATCH(C28,'G-6 Hedgerow Data'!$AM$3:$AM$15,0),MATCH(M28,'G-6 Hedgerow Data'!$AN$2:$AZ$2,0))),"")</f>
        <v/>
      </c>
      <c r="O28" s="172" t="str">
        <f t="shared" si="1"/>
        <v/>
      </c>
      <c r="P28" s="642" t="str">
        <f>IF(B28="","",VLOOKUP(B28,'B-1 Site Hedge Baseline'!$B$10:T273,16,FALSE))</f>
        <v/>
      </c>
      <c r="Q28" s="171" t="str">
        <f>IF(M28="","",VLOOKUP(M28,'G-6 Hedgerow Data'!$B$2:$AG$15,2,FALSE))</f>
        <v/>
      </c>
      <c r="R28" s="172" t="str">
        <f>IF(M28="","",VLOOKUP(M28,'G-6 Hedgerow Data'!$B$2:$AG$15,3,FALSE))</f>
        <v/>
      </c>
      <c r="S28" s="189"/>
      <c r="T28" s="269" t="str">
        <f>IFERROR(VLOOKUP(S28,'G-1 All Habitats'!$Z$2:$AA$9,2,FALSE),"")</f>
        <v/>
      </c>
      <c r="U28" s="186"/>
      <c r="V28" s="175" t="str">
        <f>IF(U28="","",IF(VLOOKUP(U28,'G-3 Multipliers'!$L$3:$N$6,2,FALSE)=0,"Spatial Data Missing",VLOOKUP(U28,'G-3 Multipliers'!$L$3:$N$6,2,FALSE)))</f>
        <v/>
      </c>
      <c r="W28" s="176" t="str">
        <f>IF(U28="","",IF(VLOOKUP(U28,'G-3 Multipliers'!$L$3:$N$6,3,FALSE)=0,"Spatial Data Missing",VLOOKUP(U28,'G-3 Multipliers'!$L$3:$N$6,3,FALSE)))</f>
        <v/>
      </c>
      <c r="X28" s="171" t="str">
        <f>IFERROR(IF(OR(LEFT(O28,5)="Error",LEFT(N28,5)="Error",T28="Error"),"Check Data",IF(F28&lt;R28,INDEX('G-6 Hedgerow Data'!$S$3:$AE$14,MATCH(C28,'G-6 Hedgerow Data'!$B$3:$B$14,0),MATCH(M28,'G-6 Hedgerow Data'!$S$2:$AE$2,0)),INDEX('G-6 Hedgerow Data'!$K$3:$Q$14,MATCH(M28,'G-6 Hedgerow Data'!$B$3:$B$14,0),MATCH(O28,'G-6 Hedgerow Data'!$K$2:$Q$2,0)))),"")</f>
        <v/>
      </c>
      <c r="Y28" s="261"/>
      <c r="Z28" s="261"/>
      <c r="AA28" s="179" t="str">
        <f t="shared" si="2"/>
        <v/>
      </c>
      <c r="AB28" s="262" t="str">
        <f t="shared" si="3"/>
        <v/>
      </c>
      <c r="AC28" s="263" t="str">
        <f t="shared" si="4"/>
        <v/>
      </c>
      <c r="AD28" s="239" t="str">
        <f>IF(M28="","",VLOOKUP(M28,'G-6 Hedgerow Data'!$B$3:$AG$15,31,FALSE))</f>
        <v/>
      </c>
      <c r="AE28" s="179" t="str">
        <f t="shared" si="5"/>
        <v/>
      </c>
      <c r="AF28" s="179" t="str">
        <f t="shared" si="6"/>
        <v/>
      </c>
      <c r="AG28" s="176" t="str">
        <f>IFERROR(IF(O28="","",VLOOKUP(AD28,'G-3 Multipliers'!$P$3:$Q$6,2,FALSE)),"")</f>
        <v/>
      </c>
      <c r="AH28" s="207" t="str">
        <f t="shared" si="0"/>
        <v/>
      </c>
      <c r="AI28" s="336"/>
      <c r="AJ28" s="181"/>
      <c r="AT28" s="35" t="str">
        <f>IFERROR(INDEX('G-6 Hedgerow Data'!$BJ$3:$BJ$15,MATCH(M28,'G-6 Hedgerow Data'!$B$3:$B$15,0)),"")</f>
        <v/>
      </c>
    </row>
    <row r="29" spans="2:46" ht="13.8" x14ac:dyDescent="0.25">
      <c r="B29" s="259" t="str">
        <f>'B-1 Site Hedge Baseline'!AK27</f>
        <v/>
      </c>
      <c r="C29" s="175" t="str">
        <f>IF(B29="","",IF(ISNA(VLOOKUP($B29,'B-1 Site Hedge Baseline'!$B$1:$L$257,3,FALSE)),"",(VLOOKUP($B29,'B-1 Site Hedge Baseline'!$B$1:$L$257,3,FALSE))))</f>
        <v/>
      </c>
      <c r="D29" s="175" t="str">
        <f>IF(B29="","",IF(ISNA(VLOOKUP($B29,'B-1 Site Hedge Baseline'!$B$1:$L$257,4,FALSE)),"",(VLOOKUP($B29,'B-1 Site Hedge Baseline'!$B$1:$L$257,4,FALSE))))</f>
        <v/>
      </c>
      <c r="E29" s="175" t="str">
        <f>IF(B29="","",IF(ISNA(VLOOKUP($B29,'B-1 Site Hedge Baseline'!$B$1:$L$257,5,FALSE)),"",(VLOOKUP($B29,'B-1 Site Hedge Baseline'!$B$1:$L$257,5,FALSE))))</f>
        <v/>
      </c>
      <c r="F29" s="175" t="str">
        <f>IF(B29="","",IF(ISNA(VLOOKUP($B29,'B-1 Site Hedge Baseline'!$B$1:$L$257,6,FALSE)),"",(VLOOKUP($B29,'B-1 Site Hedge Baseline'!$B$1:$L$257,6,FALSE))))</f>
        <v/>
      </c>
      <c r="G29" s="175" t="str">
        <f>IF(B29="","",IF(ISNA(VLOOKUP($B29,'B-1 Site Hedge Baseline'!$B$1:$L$257,7,FALSE)),"",(VLOOKUP($B29,'B-1 Site Hedge Baseline'!$B$1:$L$257,7,FALSE))))</f>
        <v/>
      </c>
      <c r="H29" s="175" t="str">
        <f>IF(B29="","",IF(ISNA(VLOOKUP($B29,'B-1 Site Hedge Baseline'!$B$1:$L$257,8,FALSE)),"",(VLOOKUP($B29,'B-1 Site Hedge Baseline'!$B$1:$L$257,8,FALSE))))</f>
        <v/>
      </c>
      <c r="I29" s="175" t="str">
        <f>IF(B29="","",IF(ISNA(VLOOKUP($B29,'B-1 Site Hedge Baseline'!$B$1:$L$257,10,FALSE)),"",(VLOOKUP($B29,'B-1 Site Hedge Baseline'!$B$1:$L$257,10,FALSE))))</f>
        <v/>
      </c>
      <c r="J29" s="175" t="str">
        <f>IF(B29="","",IF(ISNA(VLOOKUP($B29,'B-1 Site Hedge Baseline'!$B$1:$L$257,11,FALSE)),"",(VLOOKUP($B29,'B-1 Site Hedge Baseline'!$B$1:$L$257,11,FALSE))))</f>
        <v/>
      </c>
      <c r="K29" s="175" t="str">
        <f>IF(B29="","",IF(ISNA(VLOOKUP($B29,'B-1 Site Hedge Baseline'!$B$1:$U$257,13,FALSE)),"",(VLOOKUP($B29,'B-1 Site Hedge Baseline'!$B$1:$U$257,13,FALSE))))</f>
        <v/>
      </c>
      <c r="L29" s="176" t="str">
        <f>IF(B29="","",IF(ISNA(VLOOKUP($B29,'B-1 Site Hedge Baseline'!$B$1:$U$257,12,FALSE)),"",(VLOOKUP($B29,'B-1 Site Hedge Baseline'!$B$1:$U$257,12,FALSE))))</f>
        <v/>
      </c>
      <c r="M29" s="637"/>
      <c r="N29" s="171" t="str">
        <f>IFERROR(IF(B29="","",INDEX('G-6 Hedgerow Data'!$AN$3:$AZ$15,MATCH(C29,'G-6 Hedgerow Data'!$AM$3:$AM$15,0),MATCH(M29,'G-6 Hedgerow Data'!$AN$2:$AZ$2,0))),"")</f>
        <v/>
      </c>
      <c r="O29" s="172" t="str">
        <f t="shared" si="1"/>
        <v/>
      </c>
      <c r="P29" s="642" t="str">
        <f>IF(B29="","",VLOOKUP(B29,'B-1 Site Hedge Baseline'!$B$10:T274,16,FALSE))</f>
        <v/>
      </c>
      <c r="Q29" s="171" t="str">
        <f>IF(M29="","",VLOOKUP(M29,'G-6 Hedgerow Data'!$B$2:$AG$15,2,FALSE))</f>
        <v/>
      </c>
      <c r="R29" s="172" t="str">
        <f>IF(M29="","",VLOOKUP(M29,'G-6 Hedgerow Data'!$B$2:$AG$15,3,FALSE))</f>
        <v/>
      </c>
      <c r="S29" s="189"/>
      <c r="T29" s="269" t="str">
        <f>IFERROR(VLOOKUP(S29,'G-1 All Habitats'!$Z$2:$AA$9,2,FALSE),"")</f>
        <v/>
      </c>
      <c r="U29" s="186"/>
      <c r="V29" s="175" t="str">
        <f>IF(U29="","",IF(VLOOKUP(U29,'G-3 Multipliers'!$L$3:$N$6,2,FALSE)=0,"Spatial Data Missing",VLOOKUP(U29,'G-3 Multipliers'!$L$3:$N$6,2,FALSE)))</f>
        <v/>
      </c>
      <c r="W29" s="176" t="str">
        <f>IF(U29="","",IF(VLOOKUP(U29,'G-3 Multipliers'!$L$3:$N$6,3,FALSE)=0,"Spatial Data Missing",VLOOKUP(U29,'G-3 Multipliers'!$L$3:$N$6,3,FALSE)))</f>
        <v/>
      </c>
      <c r="X29" s="171" t="str">
        <f>IFERROR(IF(OR(LEFT(O29,5)="Error",LEFT(N29,5)="Error",T29="Error"),"Check Data",IF(F29&lt;R29,INDEX('G-6 Hedgerow Data'!$S$3:$AE$14,MATCH(C29,'G-6 Hedgerow Data'!$B$3:$B$14,0),MATCH(M29,'G-6 Hedgerow Data'!$S$2:$AE$2,0)),INDEX('G-6 Hedgerow Data'!$K$3:$Q$14,MATCH(M29,'G-6 Hedgerow Data'!$B$3:$B$14,0),MATCH(O29,'G-6 Hedgerow Data'!$K$2:$Q$2,0)))),"")</f>
        <v/>
      </c>
      <c r="Y29" s="261"/>
      <c r="Z29" s="261"/>
      <c r="AA29" s="179" t="str">
        <f t="shared" si="2"/>
        <v/>
      </c>
      <c r="AB29" s="262" t="str">
        <f t="shared" si="3"/>
        <v/>
      </c>
      <c r="AC29" s="263" t="str">
        <f t="shared" si="4"/>
        <v/>
      </c>
      <c r="AD29" s="239" t="str">
        <f>IF(M29="","",VLOOKUP(M29,'G-6 Hedgerow Data'!$B$3:$AG$15,31,FALSE))</f>
        <v/>
      </c>
      <c r="AE29" s="179" t="str">
        <f t="shared" si="5"/>
        <v/>
      </c>
      <c r="AF29" s="179" t="str">
        <f t="shared" si="6"/>
        <v/>
      </c>
      <c r="AG29" s="176" t="str">
        <f>IFERROR(IF(O29="","",VLOOKUP(AD29,'G-3 Multipliers'!$P$3:$Q$6,2,FALSE)),"")</f>
        <v/>
      </c>
      <c r="AH29" s="207" t="str">
        <f t="shared" si="0"/>
        <v/>
      </c>
      <c r="AI29" s="336"/>
      <c r="AJ29" s="181"/>
      <c r="AT29" s="35" t="str">
        <f>IFERROR(INDEX('G-6 Hedgerow Data'!$BJ$3:$BJ$15,MATCH(M29,'G-6 Hedgerow Data'!$B$3:$B$15,0)),"")</f>
        <v/>
      </c>
    </row>
    <row r="30" spans="2:46" ht="13.8" x14ac:dyDescent="0.25">
      <c r="B30" s="259" t="str">
        <f>'B-1 Site Hedge Baseline'!AK28</f>
        <v/>
      </c>
      <c r="C30" s="175" t="str">
        <f>IF(B30="","",IF(ISNA(VLOOKUP($B30,'B-1 Site Hedge Baseline'!$B$1:$L$257,3,FALSE)),"",(VLOOKUP($B30,'B-1 Site Hedge Baseline'!$B$1:$L$257,3,FALSE))))</f>
        <v/>
      </c>
      <c r="D30" s="175" t="str">
        <f>IF(B30="","",IF(ISNA(VLOOKUP($B30,'B-1 Site Hedge Baseline'!$B$1:$L$257,4,FALSE)),"",(VLOOKUP($B30,'B-1 Site Hedge Baseline'!$B$1:$L$257,4,FALSE))))</f>
        <v/>
      </c>
      <c r="E30" s="175" t="str">
        <f>IF(B30="","",IF(ISNA(VLOOKUP($B30,'B-1 Site Hedge Baseline'!$B$1:$L$257,5,FALSE)),"",(VLOOKUP($B30,'B-1 Site Hedge Baseline'!$B$1:$L$257,5,FALSE))))</f>
        <v/>
      </c>
      <c r="F30" s="175" t="str">
        <f>IF(B30="","",IF(ISNA(VLOOKUP($B30,'B-1 Site Hedge Baseline'!$B$1:$L$257,6,FALSE)),"",(VLOOKUP($B30,'B-1 Site Hedge Baseline'!$B$1:$L$257,6,FALSE))))</f>
        <v/>
      </c>
      <c r="G30" s="175" t="str">
        <f>IF(B30="","",IF(ISNA(VLOOKUP($B30,'B-1 Site Hedge Baseline'!$B$1:$L$257,7,FALSE)),"",(VLOOKUP($B30,'B-1 Site Hedge Baseline'!$B$1:$L$257,7,FALSE))))</f>
        <v/>
      </c>
      <c r="H30" s="175" t="str">
        <f>IF(B30="","",IF(ISNA(VLOOKUP($B30,'B-1 Site Hedge Baseline'!$B$1:$L$257,8,FALSE)),"",(VLOOKUP($B30,'B-1 Site Hedge Baseline'!$B$1:$L$257,8,FALSE))))</f>
        <v/>
      </c>
      <c r="I30" s="175" t="str">
        <f>IF(B30="","",IF(ISNA(VLOOKUP($B30,'B-1 Site Hedge Baseline'!$B$1:$L$257,10,FALSE)),"",(VLOOKUP($B30,'B-1 Site Hedge Baseline'!$B$1:$L$257,10,FALSE))))</f>
        <v/>
      </c>
      <c r="J30" s="175" t="str">
        <f>IF(B30="","",IF(ISNA(VLOOKUP($B30,'B-1 Site Hedge Baseline'!$B$1:$L$257,11,FALSE)),"",(VLOOKUP($B30,'B-1 Site Hedge Baseline'!$B$1:$L$257,11,FALSE))))</f>
        <v/>
      </c>
      <c r="K30" s="175" t="str">
        <f>IF(B30="","",IF(ISNA(VLOOKUP($B30,'B-1 Site Hedge Baseline'!$B$1:$U$257,13,FALSE)),"",(VLOOKUP($B30,'B-1 Site Hedge Baseline'!$B$1:$U$257,13,FALSE))))</f>
        <v/>
      </c>
      <c r="L30" s="176" t="str">
        <f>IF(B30="","",IF(ISNA(VLOOKUP($B30,'B-1 Site Hedge Baseline'!$B$1:$U$257,12,FALSE)),"",(VLOOKUP($B30,'B-1 Site Hedge Baseline'!$B$1:$U$257,12,FALSE))))</f>
        <v/>
      </c>
      <c r="M30" s="637"/>
      <c r="N30" s="171" t="str">
        <f>IFERROR(IF(B30="","",INDEX('G-6 Hedgerow Data'!$AN$3:$AZ$15,MATCH(C30,'G-6 Hedgerow Data'!$AM$3:$AM$15,0),MATCH(M30,'G-6 Hedgerow Data'!$AN$2:$AZ$2,0))),"")</f>
        <v/>
      </c>
      <c r="O30" s="172" t="str">
        <f t="shared" si="1"/>
        <v/>
      </c>
      <c r="P30" s="642" t="str">
        <f>IF(B30="","",VLOOKUP(B30,'B-1 Site Hedge Baseline'!$B$10:T275,16,FALSE))</f>
        <v/>
      </c>
      <c r="Q30" s="171" t="str">
        <f>IF(M30="","",VLOOKUP(M30,'G-6 Hedgerow Data'!$B$2:$AG$15,2,FALSE))</f>
        <v/>
      </c>
      <c r="R30" s="172" t="str">
        <f>IF(M30="","",VLOOKUP(M30,'G-6 Hedgerow Data'!$B$2:$AG$15,3,FALSE))</f>
        <v/>
      </c>
      <c r="S30" s="189"/>
      <c r="T30" s="269" t="str">
        <f>IFERROR(VLOOKUP(S30,'G-1 All Habitats'!$Z$2:$AA$9,2,FALSE),"")</f>
        <v/>
      </c>
      <c r="U30" s="186"/>
      <c r="V30" s="175" t="str">
        <f>IF(U30="","",IF(VLOOKUP(U30,'G-3 Multipliers'!$L$3:$N$6,2,FALSE)=0,"Spatial Data Missing",VLOOKUP(U30,'G-3 Multipliers'!$L$3:$N$6,2,FALSE)))</f>
        <v/>
      </c>
      <c r="W30" s="176" t="str">
        <f>IF(U30="","",IF(VLOOKUP(U30,'G-3 Multipliers'!$L$3:$N$6,3,FALSE)=0,"Spatial Data Missing",VLOOKUP(U30,'G-3 Multipliers'!$L$3:$N$6,3,FALSE)))</f>
        <v/>
      </c>
      <c r="X30" s="171" t="str">
        <f>IFERROR(IF(OR(LEFT(O30,5)="Error",LEFT(N30,5)="Error",T30="Error"),"Check Data",IF(F30&lt;R30,INDEX('G-6 Hedgerow Data'!$S$3:$AE$14,MATCH(C30,'G-6 Hedgerow Data'!$B$3:$B$14,0),MATCH(M30,'G-6 Hedgerow Data'!$S$2:$AE$2,0)),INDEX('G-6 Hedgerow Data'!$K$3:$Q$14,MATCH(M30,'G-6 Hedgerow Data'!$B$3:$B$14,0),MATCH(O30,'G-6 Hedgerow Data'!$K$2:$Q$2,0)))),"")</f>
        <v/>
      </c>
      <c r="Y30" s="261"/>
      <c r="Z30" s="261"/>
      <c r="AA30" s="179" t="str">
        <f t="shared" si="2"/>
        <v/>
      </c>
      <c r="AB30" s="262" t="str">
        <f t="shared" si="3"/>
        <v/>
      </c>
      <c r="AC30" s="263" t="str">
        <f t="shared" si="4"/>
        <v/>
      </c>
      <c r="AD30" s="239" t="str">
        <f>IF(M30="","",VLOOKUP(M30,'G-6 Hedgerow Data'!$B$3:$AG$15,31,FALSE))</f>
        <v/>
      </c>
      <c r="AE30" s="179" t="str">
        <f t="shared" si="5"/>
        <v/>
      </c>
      <c r="AF30" s="179" t="str">
        <f t="shared" si="6"/>
        <v/>
      </c>
      <c r="AG30" s="176" t="str">
        <f>IFERROR(IF(O30="","",VLOOKUP(AD30,'G-3 Multipliers'!$P$3:$Q$6,2,FALSE)),"")</f>
        <v/>
      </c>
      <c r="AH30" s="207" t="str">
        <f t="shared" si="0"/>
        <v/>
      </c>
      <c r="AI30" s="336"/>
      <c r="AJ30" s="181"/>
      <c r="AT30" s="35" t="str">
        <f>IFERROR(INDEX('G-6 Hedgerow Data'!$BJ$3:$BJ$15,MATCH(M30,'G-6 Hedgerow Data'!$B$3:$B$15,0)),"")</f>
        <v/>
      </c>
    </row>
    <row r="31" spans="2:46" ht="13.8" x14ac:dyDescent="0.25">
      <c r="B31" s="259" t="str">
        <f>'B-1 Site Hedge Baseline'!AK29</f>
        <v/>
      </c>
      <c r="C31" s="175" t="str">
        <f>IF(B31="","",IF(ISNA(VLOOKUP($B31,'B-1 Site Hedge Baseline'!$B$1:$L$257,3,FALSE)),"",(VLOOKUP($B31,'B-1 Site Hedge Baseline'!$B$1:$L$257,3,FALSE))))</f>
        <v/>
      </c>
      <c r="D31" s="175" t="str">
        <f>IF(B31="","",IF(ISNA(VLOOKUP($B31,'B-1 Site Hedge Baseline'!$B$1:$L$257,4,FALSE)),"",(VLOOKUP($B31,'B-1 Site Hedge Baseline'!$B$1:$L$257,4,FALSE))))</f>
        <v/>
      </c>
      <c r="E31" s="175" t="str">
        <f>IF(B31="","",IF(ISNA(VLOOKUP($B31,'B-1 Site Hedge Baseline'!$B$1:$L$257,5,FALSE)),"",(VLOOKUP($B31,'B-1 Site Hedge Baseline'!$B$1:$L$257,5,FALSE))))</f>
        <v/>
      </c>
      <c r="F31" s="175" t="str">
        <f>IF(B31="","",IF(ISNA(VLOOKUP($B31,'B-1 Site Hedge Baseline'!$B$1:$L$257,6,FALSE)),"",(VLOOKUP($B31,'B-1 Site Hedge Baseline'!$B$1:$L$257,6,FALSE))))</f>
        <v/>
      </c>
      <c r="G31" s="175" t="str">
        <f>IF(B31="","",IF(ISNA(VLOOKUP($B31,'B-1 Site Hedge Baseline'!$B$1:$L$257,7,FALSE)),"",(VLOOKUP($B31,'B-1 Site Hedge Baseline'!$B$1:$L$257,7,FALSE))))</f>
        <v/>
      </c>
      <c r="H31" s="175" t="str">
        <f>IF(B31="","",IF(ISNA(VLOOKUP($B31,'B-1 Site Hedge Baseline'!$B$1:$L$257,8,FALSE)),"",(VLOOKUP($B31,'B-1 Site Hedge Baseline'!$B$1:$L$257,8,FALSE))))</f>
        <v/>
      </c>
      <c r="I31" s="175" t="str">
        <f>IF(B31="","",IF(ISNA(VLOOKUP($B31,'B-1 Site Hedge Baseline'!$B$1:$L$257,10,FALSE)),"",(VLOOKUP($B31,'B-1 Site Hedge Baseline'!$B$1:$L$257,10,FALSE))))</f>
        <v/>
      </c>
      <c r="J31" s="175" t="str">
        <f>IF(B31="","",IF(ISNA(VLOOKUP($B31,'B-1 Site Hedge Baseline'!$B$1:$L$257,11,FALSE)),"",(VLOOKUP($B31,'B-1 Site Hedge Baseline'!$B$1:$L$257,11,FALSE))))</f>
        <v/>
      </c>
      <c r="K31" s="175" t="str">
        <f>IF(B31="","",IF(ISNA(VLOOKUP($B31,'B-1 Site Hedge Baseline'!$B$1:$U$257,13,FALSE)),"",(VLOOKUP($B31,'B-1 Site Hedge Baseline'!$B$1:$U$257,13,FALSE))))</f>
        <v/>
      </c>
      <c r="L31" s="176" t="str">
        <f>IF(B31="","",IF(ISNA(VLOOKUP($B31,'B-1 Site Hedge Baseline'!$B$1:$U$257,12,FALSE)),"",(VLOOKUP($B31,'B-1 Site Hedge Baseline'!$B$1:$U$257,12,FALSE))))</f>
        <v/>
      </c>
      <c r="M31" s="637"/>
      <c r="N31" s="171" t="str">
        <f>IFERROR(IF(B31="","",INDEX('G-6 Hedgerow Data'!$AN$3:$AZ$15,MATCH(C31,'G-6 Hedgerow Data'!$AM$3:$AM$15,0),MATCH(M31,'G-6 Hedgerow Data'!$AN$2:$AZ$2,0))),"")</f>
        <v/>
      </c>
      <c r="O31" s="172" t="str">
        <f t="shared" si="1"/>
        <v/>
      </c>
      <c r="P31" s="642" t="str">
        <f>IF(B31="","",VLOOKUP(B31,'B-1 Site Hedge Baseline'!$B$10:T276,16,FALSE))</f>
        <v/>
      </c>
      <c r="Q31" s="171" t="str">
        <f>IF(M31="","",VLOOKUP(M31,'G-6 Hedgerow Data'!$B$2:$AG$15,2,FALSE))</f>
        <v/>
      </c>
      <c r="R31" s="172" t="str">
        <f>IF(M31="","",VLOOKUP(M31,'G-6 Hedgerow Data'!$B$2:$AG$15,3,FALSE))</f>
        <v/>
      </c>
      <c r="S31" s="189"/>
      <c r="T31" s="269" t="str">
        <f>IFERROR(VLOOKUP(S31,'G-1 All Habitats'!$Z$2:$AA$9,2,FALSE),"")</f>
        <v/>
      </c>
      <c r="U31" s="186"/>
      <c r="V31" s="175" t="str">
        <f>IF(U31="","",IF(VLOOKUP(U31,'G-3 Multipliers'!$L$3:$N$6,2,FALSE)=0,"Spatial Data Missing",VLOOKUP(U31,'G-3 Multipliers'!$L$3:$N$6,2,FALSE)))</f>
        <v/>
      </c>
      <c r="W31" s="176" t="str">
        <f>IF(U31="","",IF(VLOOKUP(U31,'G-3 Multipliers'!$L$3:$N$6,3,FALSE)=0,"Spatial Data Missing",VLOOKUP(U31,'G-3 Multipliers'!$L$3:$N$6,3,FALSE)))</f>
        <v/>
      </c>
      <c r="X31" s="171" t="str">
        <f>IFERROR(IF(OR(LEFT(O31,5)="Error",LEFT(N31,5)="Error",T31="Error"),"Check Data",IF(F31&lt;R31,INDEX('G-6 Hedgerow Data'!$S$3:$AE$14,MATCH(C31,'G-6 Hedgerow Data'!$B$3:$B$14,0),MATCH(M31,'G-6 Hedgerow Data'!$S$2:$AE$2,0)),INDEX('G-6 Hedgerow Data'!$K$3:$Q$14,MATCH(M31,'G-6 Hedgerow Data'!$B$3:$B$14,0),MATCH(O31,'G-6 Hedgerow Data'!$K$2:$Q$2,0)))),"")</f>
        <v/>
      </c>
      <c r="Y31" s="261"/>
      <c r="Z31" s="261"/>
      <c r="AA31" s="179" t="str">
        <f t="shared" si="2"/>
        <v/>
      </c>
      <c r="AB31" s="262" t="str">
        <f t="shared" si="3"/>
        <v/>
      </c>
      <c r="AC31" s="263" t="str">
        <f t="shared" si="4"/>
        <v/>
      </c>
      <c r="AD31" s="239" t="str">
        <f>IF(M31="","",VLOOKUP(M31,'G-6 Hedgerow Data'!$B$3:$AG$15,31,FALSE))</f>
        <v/>
      </c>
      <c r="AE31" s="179" t="str">
        <f t="shared" si="5"/>
        <v/>
      </c>
      <c r="AF31" s="179" t="str">
        <f t="shared" si="6"/>
        <v/>
      </c>
      <c r="AG31" s="176" t="str">
        <f>IFERROR(IF(O31="","",VLOOKUP(AD31,'G-3 Multipliers'!$P$3:$Q$6,2,FALSE)),"")</f>
        <v/>
      </c>
      <c r="AH31" s="207" t="str">
        <f t="shared" si="0"/>
        <v/>
      </c>
      <c r="AI31" s="336"/>
      <c r="AJ31" s="181"/>
      <c r="AT31" s="35" t="str">
        <f>IFERROR(INDEX('G-6 Hedgerow Data'!$BJ$3:$BJ$15,MATCH(M31,'G-6 Hedgerow Data'!$B$3:$B$15,0)),"")</f>
        <v/>
      </c>
    </row>
    <row r="32" spans="2:46" ht="13.8" x14ac:dyDescent="0.25">
      <c r="B32" s="259" t="str">
        <f>'B-1 Site Hedge Baseline'!AK30</f>
        <v/>
      </c>
      <c r="C32" s="175" t="str">
        <f>IF(B32="","",IF(ISNA(VLOOKUP($B32,'B-1 Site Hedge Baseline'!$B$1:$L$257,3,FALSE)),"",(VLOOKUP($B32,'B-1 Site Hedge Baseline'!$B$1:$L$257,3,FALSE))))</f>
        <v/>
      </c>
      <c r="D32" s="175" t="str">
        <f>IF(B32="","",IF(ISNA(VLOOKUP($B32,'B-1 Site Hedge Baseline'!$B$1:$L$257,4,FALSE)),"",(VLOOKUP($B32,'B-1 Site Hedge Baseline'!$B$1:$L$257,4,FALSE))))</f>
        <v/>
      </c>
      <c r="E32" s="175" t="str">
        <f>IF(B32="","",IF(ISNA(VLOOKUP($B32,'B-1 Site Hedge Baseline'!$B$1:$L$257,5,FALSE)),"",(VLOOKUP($B32,'B-1 Site Hedge Baseline'!$B$1:$L$257,5,FALSE))))</f>
        <v/>
      </c>
      <c r="F32" s="175" t="str">
        <f>IF(B32="","",IF(ISNA(VLOOKUP($B32,'B-1 Site Hedge Baseline'!$B$1:$L$257,6,FALSE)),"",(VLOOKUP($B32,'B-1 Site Hedge Baseline'!$B$1:$L$257,6,FALSE))))</f>
        <v/>
      </c>
      <c r="G32" s="175" t="str">
        <f>IF(B32="","",IF(ISNA(VLOOKUP($B32,'B-1 Site Hedge Baseline'!$B$1:$L$257,7,FALSE)),"",(VLOOKUP($B32,'B-1 Site Hedge Baseline'!$B$1:$L$257,7,FALSE))))</f>
        <v/>
      </c>
      <c r="H32" s="175" t="str">
        <f>IF(B32="","",IF(ISNA(VLOOKUP($B32,'B-1 Site Hedge Baseline'!$B$1:$L$257,8,FALSE)),"",(VLOOKUP($B32,'B-1 Site Hedge Baseline'!$B$1:$L$257,8,FALSE))))</f>
        <v/>
      </c>
      <c r="I32" s="175" t="str">
        <f>IF(B32="","",IF(ISNA(VLOOKUP($B32,'B-1 Site Hedge Baseline'!$B$1:$L$257,10,FALSE)),"",(VLOOKUP($B32,'B-1 Site Hedge Baseline'!$B$1:$L$257,10,FALSE))))</f>
        <v/>
      </c>
      <c r="J32" s="175" t="str">
        <f>IF(B32="","",IF(ISNA(VLOOKUP($B32,'B-1 Site Hedge Baseline'!$B$1:$L$257,11,FALSE)),"",(VLOOKUP($B32,'B-1 Site Hedge Baseline'!$B$1:$L$257,11,FALSE))))</f>
        <v/>
      </c>
      <c r="K32" s="175" t="str">
        <f>IF(B32="","",IF(ISNA(VLOOKUP($B32,'B-1 Site Hedge Baseline'!$B$1:$U$257,13,FALSE)),"",(VLOOKUP($B32,'B-1 Site Hedge Baseline'!$B$1:$U$257,13,FALSE))))</f>
        <v/>
      </c>
      <c r="L32" s="176" t="str">
        <f>IF(B32="","",IF(ISNA(VLOOKUP($B32,'B-1 Site Hedge Baseline'!$B$1:$U$257,12,FALSE)),"",(VLOOKUP($B32,'B-1 Site Hedge Baseline'!$B$1:$U$257,12,FALSE))))</f>
        <v/>
      </c>
      <c r="M32" s="637"/>
      <c r="N32" s="171" t="str">
        <f>IFERROR(IF(B32="","",INDEX('G-6 Hedgerow Data'!$AN$3:$AZ$15,MATCH(C32,'G-6 Hedgerow Data'!$AM$3:$AM$15,0),MATCH(M32,'G-6 Hedgerow Data'!$AN$2:$AZ$2,0))),"")</f>
        <v/>
      </c>
      <c r="O32" s="172" t="str">
        <f t="shared" si="1"/>
        <v/>
      </c>
      <c r="P32" s="642" t="str">
        <f>IF(B32="","",VLOOKUP(B32,'B-1 Site Hedge Baseline'!$B$10:T277,16,FALSE))</f>
        <v/>
      </c>
      <c r="Q32" s="171" t="str">
        <f>IF(M32="","",VLOOKUP(M32,'G-6 Hedgerow Data'!$B$2:$AG$15,2,FALSE))</f>
        <v/>
      </c>
      <c r="R32" s="172" t="str">
        <f>IF(M32="","",VLOOKUP(M32,'G-6 Hedgerow Data'!$B$2:$AG$15,3,FALSE))</f>
        <v/>
      </c>
      <c r="S32" s="189"/>
      <c r="T32" s="269" t="str">
        <f>IFERROR(VLOOKUP(S32,'G-1 All Habitats'!$Z$2:$AA$9,2,FALSE),"")</f>
        <v/>
      </c>
      <c r="U32" s="186"/>
      <c r="V32" s="175" t="str">
        <f>IF(U32="","",IF(VLOOKUP(U32,'G-3 Multipliers'!$L$3:$N$6,2,FALSE)=0,"Spatial Data Missing",VLOOKUP(U32,'G-3 Multipliers'!$L$3:$N$6,2,FALSE)))</f>
        <v/>
      </c>
      <c r="W32" s="176" t="str">
        <f>IF(U32="","",IF(VLOOKUP(U32,'G-3 Multipliers'!$L$3:$N$6,3,FALSE)=0,"Spatial Data Missing",VLOOKUP(U32,'G-3 Multipliers'!$L$3:$N$6,3,FALSE)))</f>
        <v/>
      </c>
      <c r="X32" s="171" t="str">
        <f>IFERROR(IF(OR(LEFT(O32,5)="Error",LEFT(N32,5)="Error",T32="Error"),"Check Data",IF(F32&lt;R32,INDEX('G-6 Hedgerow Data'!$S$3:$AE$14,MATCH(C32,'G-6 Hedgerow Data'!$B$3:$B$14,0),MATCH(M32,'G-6 Hedgerow Data'!$S$2:$AE$2,0)),INDEX('G-6 Hedgerow Data'!$K$3:$Q$14,MATCH(M32,'G-6 Hedgerow Data'!$B$3:$B$14,0),MATCH(O32,'G-6 Hedgerow Data'!$K$2:$Q$2,0)))),"")</f>
        <v/>
      </c>
      <c r="Y32" s="261"/>
      <c r="Z32" s="261"/>
      <c r="AA32" s="179" t="str">
        <f t="shared" si="2"/>
        <v/>
      </c>
      <c r="AB32" s="262" t="str">
        <f t="shared" si="3"/>
        <v/>
      </c>
      <c r="AC32" s="263" t="str">
        <f t="shared" si="4"/>
        <v/>
      </c>
      <c r="AD32" s="239" t="str">
        <f>IF(M32="","",VLOOKUP(M32,'G-6 Hedgerow Data'!$B$3:$AG$15,31,FALSE))</f>
        <v/>
      </c>
      <c r="AE32" s="179" t="str">
        <f t="shared" si="5"/>
        <v/>
      </c>
      <c r="AF32" s="179" t="str">
        <f t="shared" si="6"/>
        <v/>
      </c>
      <c r="AG32" s="176" t="str">
        <f>IFERROR(IF(O32="","",VLOOKUP(AD32,'G-3 Multipliers'!$P$3:$Q$6,2,FALSE)),"")</f>
        <v/>
      </c>
      <c r="AH32" s="207" t="str">
        <f t="shared" si="0"/>
        <v/>
      </c>
      <c r="AI32" s="336"/>
      <c r="AJ32" s="181"/>
      <c r="AT32" s="35" t="str">
        <f>IFERROR(INDEX('G-6 Hedgerow Data'!$BJ$3:$BJ$15,MATCH(M32,'G-6 Hedgerow Data'!$B$3:$B$15,0)),"")</f>
        <v/>
      </c>
    </row>
    <row r="33" spans="2:46" ht="13.8" x14ac:dyDescent="0.25">
      <c r="B33" s="259" t="str">
        <f>'B-1 Site Hedge Baseline'!AK31</f>
        <v/>
      </c>
      <c r="C33" s="175" t="str">
        <f>IF(B33="","",IF(ISNA(VLOOKUP($B33,'B-1 Site Hedge Baseline'!$B$1:$L$257,3,FALSE)),"",(VLOOKUP($B33,'B-1 Site Hedge Baseline'!$B$1:$L$257,3,FALSE))))</f>
        <v/>
      </c>
      <c r="D33" s="175" t="str">
        <f>IF(B33="","",IF(ISNA(VLOOKUP($B33,'B-1 Site Hedge Baseline'!$B$1:$L$257,4,FALSE)),"",(VLOOKUP($B33,'B-1 Site Hedge Baseline'!$B$1:$L$257,4,FALSE))))</f>
        <v/>
      </c>
      <c r="E33" s="175" t="str">
        <f>IF(B33="","",IF(ISNA(VLOOKUP($B33,'B-1 Site Hedge Baseline'!$B$1:$L$257,5,FALSE)),"",(VLOOKUP($B33,'B-1 Site Hedge Baseline'!$B$1:$L$257,5,FALSE))))</f>
        <v/>
      </c>
      <c r="F33" s="175" t="str">
        <f>IF(B33="","",IF(ISNA(VLOOKUP($B33,'B-1 Site Hedge Baseline'!$B$1:$L$257,6,FALSE)),"",(VLOOKUP($B33,'B-1 Site Hedge Baseline'!$B$1:$L$257,6,FALSE))))</f>
        <v/>
      </c>
      <c r="G33" s="175" t="str">
        <f>IF(B33="","",IF(ISNA(VLOOKUP($B33,'B-1 Site Hedge Baseline'!$B$1:$L$257,7,FALSE)),"",(VLOOKUP($B33,'B-1 Site Hedge Baseline'!$B$1:$L$257,7,FALSE))))</f>
        <v/>
      </c>
      <c r="H33" s="175" t="str">
        <f>IF(B33="","",IF(ISNA(VLOOKUP($B33,'B-1 Site Hedge Baseline'!$B$1:$L$257,8,FALSE)),"",(VLOOKUP($B33,'B-1 Site Hedge Baseline'!$B$1:$L$257,8,FALSE))))</f>
        <v/>
      </c>
      <c r="I33" s="175" t="str">
        <f>IF(B33="","",IF(ISNA(VLOOKUP($B33,'B-1 Site Hedge Baseline'!$B$1:$L$257,10,FALSE)),"",(VLOOKUP($B33,'B-1 Site Hedge Baseline'!$B$1:$L$257,10,FALSE))))</f>
        <v/>
      </c>
      <c r="J33" s="175" t="str">
        <f>IF(B33="","",IF(ISNA(VLOOKUP($B33,'B-1 Site Hedge Baseline'!$B$1:$L$257,11,FALSE)),"",(VLOOKUP($B33,'B-1 Site Hedge Baseline'!$B$1:$L$257,11,FALSE))))</f>
        <v/>
      </c>
      <c r="K33" s="175" t="str">
        <f>IF(B33="","",IF(ISNA(VLOOKUP($B33,'B-1 Site Hedge Baseline'!$B$1:$U$257,13,FALSE)),"",(VLOOKUP($B33,'B-1 Site Hedge Baseline'!$B$1:$U$257,13,FALSE))))</f>
        <v/>
      </c>
      <c r="L33" s="176" t="str">
        <f>IF(B33="","",IF(ISNA(VLOOKUP($B33,'B-1 Site Hedge Baseline'!$B$1:$U$257,12,FALSE)),"",(VLOOKUP($B33,'B-1 Site Hedge Baseline'!$B$1:$U$257,12,FALSE))))</f>
        <v/>
      </c>
      <c r="M33" s="637"/>
      <c r="N33" s="171" t="str">
        <f>IFERROR(IF(B33="","",INDEX('G-6 Hedgerow Data'!$AN$3:$AZ$15,MATCH(C33,'G-6 Hedgerow Data'!$AM$3:$AM$15,0),MATCH(M33,'G-6 Hedgerow Data'!$AN$2:$AZ$2,0))),"")</f>
        <v/>
      </c>
      <c r="O33" s="172" t="str">
        <f t="shared" si="1"/>
        <v/>
      </c>
      <c r="P33" s="642" t="str">
        <f>IF(B33="","",VLOOKUP(B33,'B-1 Site Hedge Baseline'!$B$10:T278,16,FALSE))</f>
        <v/>
      </c>
      <c r="Q33" s="171" t="str">
        <f>IF(M33="","",VLOOKUP(M33,'G-6 Hedgerow Data'!$B$2:$AG$15,2,FALSE))</f>
        <v/>
      </c>
      <c r="R33" s="172" t="str">
        <f>IF(M33="","",VLOOKUP(M33,'G-6 Hedgerow Data'!$B$2:$AG$15,3,FALSE))</f>
        <v/>
      </c>
      <c r="S33" s="189"/>
      <c r="T33" s="269" t="str">
        <f>IFERROR(VLOOKUP(S33,'G-1 All Habitats'!$Z$2:$AA$9,2,FALSE),"")</f>
        <v/>
      </c>
      <c r="U33" s="186"/>
      <c r="V33" s="175" t="str">
        <f>IF(U33="","",IF(VLOOKUP(U33,'G-3 Multipliers'!$L$3:$N$6,2,FALSE)=0,"Spatial Data Missing",VLOOKUP(U33,'G-3 Multipliers'!$L$3:$N$6,2,FALSE)))</f>
        <v/>
      </c>
      <c r="W33" s="176" t="str">
        <f>IF(U33="","",IF(VLOOKUP(U33,'G-3 Multipliers'!$L$3:$N$6,3,FALSE)=0,"Spatial Data Missing",VLOOKUP(U33,'G-3 Multipliers'!$L$3:$N$6,3,FALSE)))</f>
        <v/>
      </c>
      <c r="X33" s="171" t="str">
        <f>IFERROR(IF(OR(LEFT(O33,5)="Error",LEFT(N33,5)="Error",T33="Error"),"Check Data",IF(F33&lt;R33,INDEX('G-6 Hedgerow Data'!$S$3:$AE$14,MATCH(C33,'G-6 Hedgerow Data'!$B$3:$B$14,0),MATCH(M33,'G-6 Hedgerow Data'!$S$2:$AE$2,0)),INDEX('G-6 Hedgerow Data'!$K$3:$Q$14,MATCH(M33,'G-6 Hedgerow Data'!$B$3:$B$14,0),MATCH(O33,'G-6 Hedgerow Data'!$K$2:$Q$2,0)))),"")</f>
        <v/>
      </c>
      <c r="Y33" s="261"/>
      <c r="Z33" s="261"/>
      <c r="AA33" s="179" t="str">
        <f t="shared" si="2"/>
        <v/>
      </c>
      <c r="AB33" s="262" t="str">
        <f t="shared" si="3"/>
        <v/>
      </c>
      <c r="AC33" s="263" t="str">
        <f t="shared" si="4"/>
        <v/>
      </c>
      <c r="AD33" s="239" t="str">
        <f>IF(M33="","",VLOOKUP(M33,'G-6 Hedgerow Data'!$B$3:$AG$15,31,FALSE))</f>
        <v/>
      </c>
      <c r="AE33" s="179" t="str">
        <f t="shared" si="5"/>
        <v/>
      </c>
      <c r="AF33" s="179" t="str">
        <f t="shared" si="6"/>
        <v/>
      </c>
      <c r="AG33" s="176" t="str">
        <f>IFERROR(IF(O33="","",VLOOKUP(AD33,'G-3 Multipliers'!$P$3:$Q$6,2,FALSE)),"")</f>
        <v/>
      </c>
      <c r="AH33" s="207" t="str">
        <f t="shared" si="0"/>
        <v/>
      </c>
      <c r="AI33" s="336"/>
      <c r="AJ33" s="181"/>
      <c r="AT33" s="35" t="str">
        <f>IFERROR(INDEX('G-6 Hedgerow Data'!$BJ$3:$BJ$15,MATCH(M33,'G-6 Hedgerow Data'!$B$3:$B$15,0)),"")</f>
        <v/>
      </c>
    </row>
    <row r="34" spans="2:46" ht="13.8" x14ac:dyDescent="0.25">
      <c r="B34" s="259" t="str">
        <f>'B-1 Site Hedge Baseline'!AK32</f>
        <v/>
      </c>
      <c r="C34" s="175" t="str">
        <f>IF(B34="","",IF(ISNA(VLOOKUP($B34,'B-1 Site Hedge Baseline'!$B$1:$L$257,3,FALSE)),"",(VLOOKUP($B34,'B-1 Site Hedge Baseline'!$B$1:$L$257,3,FALSE))))</f>
        <v/>
      </c>
      <c r="D34" s="175" t="str">
        <f>IF(B34="","",IF(ISNA(VLOOKUP($B34,'B-1 Site Hedge Baseline'!$B$1:$L$257,4,FALSE)),"",(VLOOKUP($B34,'B-1 Site Hedge Baseline'!$B$1:$L$257,4,FALSE))))</f>
        <v/>
      </c>
      <c r="E34" s="175" t="str">
        <f>IF(B34="","",IF(ISNA(VLOOKUP($B34,'B-1 Site Hedge Baseline'!$B$1:$L$257,5,FALSE)),"",(VLOOKUP($B34,'B-1 Site Hedge Baseline'!$B$1:$L$257,5,FALSE))))</f>
        <v/>
      </c>
      <c r="F34" s="175" t="str">
        <f>IF(B34="","",IF(ISNA(VLOOKUP($B34,'B-1 Site Hedge Baseline'!$B$1:$L$257,6,FALSE)),"",(VLOOKUP($B34,'B-1 Site Hedge Baseline'!$B$1:$L$257,6,FALSE))))</f>
        <v/>
      </c>
      <c r="G34" s="175" t="str">
        <f>IF(B34="","",IF(ISNA(VLOOKUP($B34,'B-1 Site Hedge Baseline'!$B$1:$L$257,7,FALSE)),"",(VLOOKUP($B34,'B-1 Site Hedge Baseline'!$B$1:$L$257,7,FALSE))))</f>
        <v/>
      </c>
      <c r="H34" s="175" t="str">
        <f>IF(B34="","",IF(ISNA(VLOOKUP($B34,'B-1 Site Hedge Baseline'!$B$1:$L$257,8,FALSE)),"",(VLOOKUP($B34,'B-1 Site Hedge Baseline'!$B$1:$L$257,8,FALSE))))</f>
        <v/>
      </c>
      <c r="I34" s="175" t="str">
        <f>IF(B34="","",IF(ISNA(VLOOKUP($B34,'B-1 Site Hedge Baseline'!$B$1:$L$257,10,FALSE)),"",(VLOOKUP($B34,'B-1 Site Hedge Baseline'!$B$1:$L$257,10,FALSE))))</f>
        <v/>
      </c>
      <c r="J34" s="175" t="str">
        <f>IF(B34="","",IF(ISNA(VLOOKUP($B34,'B-1 Site Hedge Baseline'!$B$1:$L$257,11,FALSE)),"",(VLOOKUP($B34,'B-1 Site Hedge Baseline'!$B$1:$L$257,11,FALSE))))</f>
        <v/>
      </c>
      <c r="K34" s="175" t="str">
        <f>IF(B34="","",IF(ISNA(VLOOKUP($B34,'B-1 Site Hedge Baseline'!$B$1:$U$257,13,FALSE)),"",(VLOOKUP($B34,'B-1 Site Hedge Baseline'!$B$1:$U$257,13,FALSE))))</f>
        <v/>
      </c>
      <c r="L34" s="176" t="str">
        <f>IF(B34="","",IF(ISNA(VLOOKUP($B34,'B-1 Site Hedge Baseline'!$B$1:$U$257,12,FALSE)),"",(VLOOKUP($B34,'B-1 Site Hedge Baseline'!$B$1:$U$257,12,FALSE))))</f>
        <v/>
      </c>
      <c r="M34" s="637"/>
      <c r="N34" s="171" t="str">
        <f>IFERROR(IF(B34="","",INDEX('G-6 Hedgerow Data'!$AN$3:$AZ$15,MATCH(C34,'G-6 Hedgerow Data'!$AM$3:$AM$15,0),MATCH(M34,'G-6 Hedgerow Data'!$AN$2:$AZ$2,0))),"")</f>
        <v/>
      </c>
      <c r="O34" s="172" t="str">
        <f t="shared" si="1"/>
        <v/>
      </c>
      <c r="P34" s="642" t="str">
        <f>IF(B34="","",VLOOKUP(B34,'B-1 Site Hedge Baseline'!$B$10:T279,16,FALSE))</f>
        <v/>
      </c>
      <c r="Q34" s="171" t="str">
        <f>IF(M34="","",VLOOKUP(M34,'G-6 Hedgerow Data'!$B$2:$AG$15,2,FALSE))</f>
        <v/>
      </c>
      <c r="R34" s="172" t="str">
        <f>IF(M34="","",VLOOKUP(M34,'G-6 Hedgerow Data'!$B$2:$AG$15,3,FALSE))</f>
        <v/>
      </c>
      <c r="S34" s="189"/>
      <c r="T34" s="269" t="str">
        <f>IFERROR(VLOOKUP(S34,'G-1 All Habitats'!$Z$2:$AA$9,2,FALSE),"")</f>
        <v/>
      </c>
      <c r="U34" s="186"/>
      <c r="V34" s="175" t="str">
        <f>IF(U34="","",IF(VLOOKUP(U34,'G-3 Multipliers'!$L$3:$N$6,2,FALSE)=0,"Spatial Data Missing",VLOOKUP(U34,'G-3 Multipliers'!$L$3:$N$6,2,FALSE)))</f>
        <v/>
      </c>
      <c r="W34" s="176" t="str">
        <f>IF(U34="","",IF(VLOOKUP(U34,'G-3 Multipliers'!$L$3:$N$6,3,FALSE)=0,"Spatial Data Missing",VLOOKUP(U34,'G-3 Multipliers'!$L$3:$N$6,3,FALSE)))</f>
        <v/>
      </c>
      <c r="X34" s="171" t="str">
        <f>IFERROR(IF(OR(LEFT(O34,5)="Error",LEFT(N34,5)="Error",T34="Error"),"Check Data",IF(F34&lt;R34,INDEX('G-6 Hedgerow Data'!$S$3:$AE$14,MATCH(C34,'G-6 Hedgerow Data'!$B$3:$B$14,0),MATCH(M34,'G-6 Hedgerow Data'!$S$2:$AE$2,0)),INDEX('G-6 Hedgerow Data'!$K$3:$Q$14,MATCH(M34,'G-6 Hedgerow Data'!$B$3:$B$14,0),MATCH(O34,'G-6 Hedgerow Data'!$K$2:$Q$2,0)))),"")</f>
        <v/>
      </c>
      <c r="Y34" s="261"/>
      <c r="Z34" s="261"/>
      <c r="AA34" s="179" t="str">
        <f t="shared" si="2"/>
        <v/>
      </c>
      <c r="AB34" s="262" t="str">
        <f t="shared" si="3"/>
        <v/>
      </c>
      <c r="AC34" s="263" t="str">
        <f t="shared" si="4"/>
        <v/>
      </c>
      <c r="AD34" s="239" t="str">
        <f>IF(M34="","",VLOOKUP(M34,'G-6 Hedgerow Data'!$B$3:$AG$15,31,FALSE))</f>
        <v/>
      </c>
      <c r="AE34" s="179" t="str">
        <f t="shared" si="5"/>
        <v/>
      </c>
      <c r="AF34" s="179" t="str">
        <f t="shared" si="6"/>
        <v/>
      </c>
      <c r="AG34" s="176" t="str">
        <f>IFERROR(IF(O34="","",VLOOKUP(AD34,'G-3 Multipliers'!$P$3:$Q$6,2,FALSE)),"")</f>
        <v/>
      </c>
      <c r="AH34" s="207" t="str">
        <f t="shared" si="0"/>
        <v/>
      </c>
      <c r="AI34" s="336"/>
      <c r="AJ34" s="181"/>
      <c r="AT34" s="35" t="str">
        <f>IFERROR(INDEX('G-6 Hedgerow Data'!$BJ$3:$BJ$15,MATCH(M34,'G-6 Hedgerow Data'!$B$3:$B$15,0)),"")</f>
        <v/>
      </c>
    </row>
    <row r="35" spans="2:46" ht="13.8" x14ac:dyDescent="0.25">
      <c r="B35" s="259" t="str">
        <f>'B-1 Site Hedge Baseline'!AK33</f>
        <v/>
      </c>
      <c r="C35" s="175" t="str">
        <f>IF(B35="","",IF(ISNA(VLOOKUP($B35,'B-1 Site Hedge Baseline'!$B$1:$L$257,3,FALSE)),"",(VLOOKUP($B35,'B-1 Site Hedge Baseline'!$B$1:$L$257,3,FALSE))))</f>
        <v/>
      </c>
      <c r="D35" s="175" t="str">
        <f>IF(B35="","",IF(ISNA(VLOOKUP($B35,'B-1 Site Hedge Baseline'!$B$1:$L$257,4,FALSE)),"",(VLOOKUP($B35,'B-1 Site Hedge Baseline'!$B$1:$L$257,4,FALSE))))</f>
        <v/>
      </c>
      <c r="E35" s="175" t="str">
        <f>IF(B35="","",IF(ISNA(VLOOKUP($B35,'B-1 Site Hedge Baseline'!$B$1:$L$257,5,FALSE)),"",(VLOOKUP($B35,'B-1 Site Hedge Baseline'!$B$1:$L$257,5,FALSE))))</f>
        <v/>
      </c>
      <c r="F35" s="175" t="str">
        <f>IF(B35="","",IF(ISNA(VLOOKUP($B35,'B-1 Site Hedge Baseline'!$B$1:$L$257,6,FALSE)),"",(VLOOKUP($B35,'B-1 Site Hedge Baseline'!$B$1:$L$257,6,FALSE))))</f>
        <v/>
      </c>
      <c r="G35" s="175" t="str">
        <f>IF(B35="","",IF(ISNA(VLOOKUP($B35,'B-1 Site Hedge Baseline'!$B$1:$L$257,7,FALSE)),"",(VLOOKUP($B35,'B-1 Site Hedge Baseline'!$B$1:$L$257,7,FALSE))))</f>
        <v/>
      </c>
      <c r="H35" s="175" t="str">
        <f>IF(B35="","",IF(ISNA(VLOOKUP($B35,'B-1 Site Hedge Baseline'!$B$1:$L$257,8,FALSE)),"",(VLOOKUP($B35,'B-1 Site Hedge Baseline'!$B$1:$L$257,8,FALSE))))</f>
        <v/>
      </c>
      <c r="I35" s="175" t="str">
        <f>IF(B35="","",IF(ISNA(VLOOKUP($B35,'B-1 Site Hedge Baseline'!$B$1:$L$257,10,FALSE)),"",(VLOOKUP($B35,'B-1 Site Hedge Baseline'!$B$1:$L$257,10,FALSE))))</f>
        <v/>
      </c>
      <c r="J35" s="175" t="str">
        <f>IF(B35="","",IF(ISNA(VLOOKUP($B35,'B-1 Site Hedge Baseline'!$B$1:$L$257,11,FALSE)),"",(VLOOKUP($B35,'B-1 Site Hedge Baseline'!$B$1:$L$257,11,FALSE))))</f>
        <v/>
      </c>
      <c r="K35" s="175" t="str">
        <f>IF(B35="","",IF(ISNA(VLOOKUP($B35,'B-1 Site Hedge Baseline'!$B$1:$U$257,13,FALSE)),"",(VLOOKUP($B35,'B-1 Site Hedge Baseline'!$B$1:$U$257,13,FALSE))))</f>
        <v/>
      </c>
      <c r="L35" s="176" t="str">
        <f>IF(B35="","",IF(ISNA(VLOOKUP($B35,'B-1 Site Hedge Baseline'!$B$1:$U$257,12,FALSE)),"",(VLOOKUP($B35,'B-1 Site Hedge Baseline'!$B$1:$U$257,12,FALSE))))</f>
        <v/>
      </c>
      <c r="M35" s="637"/>
      <c r="N35" s="171" t="str">
        <f>IFERROR(IF(B35="","",INDEX('G-6 Hedgerow Data'!$AN$3:$AZ$15,MATCH(C35,'G-6 Hedgerow Data'!$AM$3:$AM$15,0),MATCH(M35,'G-6 Hedgerow Data'!$AN$2:$AZ$2,0))),"")</f>
        <v/>
      </c>
      <c r="O35" s="172" t="str">
        <f t="shared" si="1"/>
        <v/>
      </c>
      <c r="P35" s="642" t="str">
        <f>IF(B35="","",VLOOKUP(B35,'B-1 Site Hedge Baseline'!$B$10:T280,16,FALSE))</f>
        <v/>
      </c>
      <c r="Q35" s="171" t="str">
        <f>IF(M35="","",VLOOKUP(M35,'G-6 Hedgerow Data'!$B$2:$AG$15,2,FALSE))</f>
        <v/>
      </c>
      <c r="R35" s="172" t="str">
        <f>IF(M35="","",VLOOKUP(M35,'G-6 Hedgerow Data'!$B$2:$AG$15,3,FALSE))</f>
        <v/>
      </c>
      <c r="S35" s="189"/>
      <c r="T35" s="269" t="str">
        <f>IFERROR(VLOOKUP(S35,'G-1 All Habitats'!$Z$2:$AA$9,2,FALSE),"")</f>
        <v/>
      </c>
      <c r="U35" s="186"/>
      <c r="V35" s="175" t="str">
        <f>IF(U35="","",IF(VLOOKUP(U35,'G-3 Multipliers'!$L$3:$N$6,2,FALSE)=0,"Spatial Data Missing",VLOOKUP(U35,'G-3 Multipliers'!$L$3:$N$6,2,FALSE)))</f>
        <v/>
      </c>
      <c r="W35" s="176" t="str">
        <f>IF(U35="","",IF(VLOOKUP(U35,'G-3 Multipliers'!$L$3:$N$6,3,FALSE)=0,"Spatial Data Missing",VLOOKUP(U35,'G-3 Multipliers'!$L$3:$N$6,3,FALSE)))</f>
        <v/>
      </c>
      <c r="X35" s="171" t="str">
        <f>IFERROR(IF(OR(LEFT(O35,5)="Error",LEFT(N35,5)="Error",T35="Error"),"Check Data",IF(F35&lt;R35,INDEX('G-6 Hedgerow Data'!$S$3:$AE$14,MATCH(C35,'G-6 Hedgerow Data'!$B$3:$B$14,0),MATCH(M35,'G-6 Hedgerow Data'!$S$2:$AE$2,0)),INDEX('G-6 Hedgerow Data'!$K$3:$Q$14,MATCH(M35,'G-6 Hedgerow Data'!$B$3:$B$14,0),MATCH(O35,'G-6 Hedgerow Data'!$K$2:$Q$2,0)))),"")</f>
        <v/>
      </c>
      <c r="Y35" s="261"/>
      <c r="Z35" s="261"/>
      <c r="AA35" s="179" t="str">
        <f t="shared" si="2"/>
        <v/>
      </c>
      <c r="AB35" s="262" t="str">
        <f t="shared" si="3"/>
        <v/>
      </c>
      <c r="AC35" s="263" t="str">
        <f t="shared" si="4"/>
        <v/>
      </c>
      <c r="AD35" s="239" t="str">
        <f>IF(M35="","",VLOOKUP(M35,'G-6 Hedgerow Data'!$B$3:$AG$15,31,FALSE))</f>
        <v/>
      </c>
      <c r="AE35" s="179" t="str">
        <f t="shared" si="5"/>
        <v/>
      </c>
      <c r="AF35" s="179" t="str">
        <f t="shared" si="6"/>
        <v/>
      </c>
      <c r="AG35" s="176" t="str">
        <f>IFERROR(IF(O35="","",VLOOKUP(AD35,'G-3 Multipliers'!$P$3:$Q$6,2,FALSE)),"")</f>
        <v/>
      </c>
      <c r="AH35" s="207" t="str">
        <f t="shared" si="0"/>
        <v/>
      </c>
      <c r="AI35" s="336"/>
      <c r="AJ35" s="181"/>
      <c r="AT35" s="35" t="str">
        <f>IFERROR(INDEX('G-6 Hedgerow Data'!$BJ$3:$BJ$15,MATCH(M35,'G-6 Hedgerow Data'!$B$3:$B$15,0)),"")</f>
        <v/>
      </c>
    </row>
    <row r="36" spans="2:46" ht="13.8" x14ac:dyDescent="0.25">
      <c r="B36" s="259" t="str">
        <f>'B-1 Site Hedge Baseline'!AK34</f>
        <v/>
      </c>
      <c r="C36" s="175" t="str">
        <f>IF(B36="","",IF(ISNA(VLOOKUP($B36,'B-1 Site Hedge Baseline'!$B$1:$L$257,3,FALSE)),"",(VLOOKUP($B36,'B-1 Site Hedge Baseline'!$B$1:$L$257,3,FALSE))))</f>
        <v/>
      </c>
      <c r="D36" s="175" t="str">
        <f>IF(B36="","",IF(ISNA(VLOOKUP($B36,'B-1 Site Hedge Baseline'!$B$1:$L$257,4,FALSE)),"",(VLOOKUP($B36,'B-1 Site Hedge Baseline'!$B$1:$L$257,4,FALSE))))</f>
        <v/>
      </c>
      <c r="E36" s="175" t="str">
        <f>IF(B36="","",IF(ISNA(VLOOKUP($B36,'B-1 Site Hedge Baseline'!$B$1:$L$257,5,FALSE)),"",(VLOOKUP($B36,'B-1 Site Hedge Baseline'!$B$1:$L$257,5,FALSE))))</f>
        <v/>
      </c>
      <c r="F36" s="175" t="str">
        <f>IF(B36="","",IF(ISNA(VLOOKUP($B36,'B-1 Site Hedge Baseline'!$B$1:$L$257,6,FALSE)),"",(VLOOKUP($B36,'B-1 Site Hedge Baseline'!$B$1:$L$257,6,FALSE))))</f>
        <v/>
      </c>
      <c r="G36" s="175" t="str">
        <f>IF(B36="","",IF(ISNA(VLOOKUP($B36,'B-1 Site Hedge Baseline'!$B$1:$L$257,7,FALSE)),"",(VLOOKUP($B36,'B-1 Site Hedge Baseline'!$B$1:$L$257,7,FALSE))))</f>
        <v/>
      </c>
      <c r="H36" s="175" t="str">
        <f>IF(B36="","",IF(ISNA(VLOOKUP($B36,'B-1 Site Hedge Baseline'!$B$1:$L$257,8,FALSE)),"",(VLOOKUP($B36,'B-1 Site Hedge Baseline'!$B$1:$L$257,8,FALSE))))</f>
        <v/>
      </c>
      <c r="I36" s="175" t="str">
        <f>IF(B36="","",IF(ISNA(VLOOKUP($B36,'B-1 Site Hedge Baseline'!$B$1:$L$257,10,FALSE)),"",(VLOOKUP($B36,'B-1 Site Hedge Baseline'!$B$1:$L$257,10,FALSE))))</f>
        <v/>
      </c>
      <c r="J36" s="175" t="str">
        <f>IF(B36="","",IF(ISNA(VLOOKUP($B36,'B-1 Site Hedge Baseline'!$B$1:$L$257,11,FALSE)),"",(VLOOKUP($B36,'B-1 Site Hedge Baseline'!$B$1:$L$257,11,FALSE))))</f>
        <v/>
      </c>
      <c r="K36" s="175" t="str">
        <f>IF(B36="","",IF(ISNA(VLOOKUP($B36,'B-1 Site Hedge Baseline'!$B$1:$U$257,13,FALSE)),"",(VLOOKUP($B36,'B-1 Site Hedge Baseline'!$B$1:$U$257,13,FALSE))))</f>
        <v/>
      </c>
      <c r="L36" s="176" t="str">
        <f>IF(B36="","",IF(ISNA(VLOOKUP($B36,'B-1 Site Hedge Baseline'!$B$1:$U$257,12,FALSE)),"",(VLOOKUP($B36,'B-1 Site Hedge Baseline'!$B$1:$U$257,12,FALSE))))</f>
        <v/>
      </c>
      <c r="M36" s="637"/>
      <c r="N36" s="171" t="str">
        <f>IFERROR(IF(B36="","",INDEX('G-6 Hedgerow Data'!$AN$3:$AZ$15,MATCH(C36,'G-6 Hedgerow Data'!$AM$3:$AM$15,0),MATCH(M36,'G-6 Hedgerow Data'!$AN$2:$AZ$2,0))),"")</f>
        <v/>
      </c>
      <c r="O36" s="172" t="str">
        <f t="shared" si="1"/>
        <v/>
      </c>
      <c r="P36" s="642" t="str">
        <f>IF(B36="","",VLOOKUP(B36,'B-1 Site Hedge Baseline'!$B$10:T281,16,FALSE))</f>
        <v/>
      </c>
      <c r="Q36" s="171" t="str">
        <f>IF(M36="","",VLOOKUP(M36,'G-6 Hedgerow Data'!$B$2:$AG$15,2,FALSE))</f>
        <v/>
      </c>
      <c r="R36" s="172" t="str">
        <f>IF(M36="","",VLOOKUP(M36,'G-6 Hedgerow Data'!$B$2:$AG$15,3,FALSE))</f>
        <v/>
      </c>
      <c r="S36" s="189"/>
      <c r="T36" s="269" t="str">
        <f>IFERROR(VLOOKUP(S36,'G-1 All Habitats'!$Z$2:$AA$9,2,FALSE),"")</f>
        <v/>
      </c>
      <c r="U36" s="186"/>
      <c r="V36" s="175" t="str">
        <f>IF(U36="","",IF(VLOOKUP(U36,'G-3 Multipliers'!$L$3:$N$6,2,FALSE)=0,"Spatial Data Missing",VLOOKUP(U36,'G-3 Multipliers'!$L$3:$N$6,2,FALSE)))</f>
        <v/>
      </c>
      <c r="W36" s="176" t="str">
        <f>IF(U36="","",IF(VLOOKUP(U36,'G-3 Multipliers'!$L$3:$N$6,3,FALSE)=0,"Spatial Data Missing",VLOOKUP(U36,'G-3 Multipliers'!$L$3:$N$6,3,FALSE)))</f>
        <v/>
      </c>
      <c r="X36" s="171" t="str">
        <f>IFERROR(IF(OR(LEFT(O36,5)="Error",LEFT(N36,5)="Error",T36="Error"),"Check Data",IF(F36&lt;R36,INDEX('G-6 Hedgerow Data'!$S$3:$AE$14,MATCH(C36,'G-6 Hedgerow Data'!$B$3:$B$14,0),MATCH(M36,'G-6 Hedgerow Data'!$S$2:$AE$2,0)),INDEX('G-6 Hedgerow Data'!$K$3:$Q$14,MATCH(M36,'G-6 Hedgerow Data'!$B$3:$B$14,0),MATCH(O36,'G-6 Hedgerow Data'!$K$2:$Q$2,0)))),"")</f>
        <v/>
      </c>
      <c r="Y36" s="261"/>
      <c r="Z36" s="261"/>
      <c r="AA36" s="179" t="str">
        <f t="shared" si="2"/>
        <v/>
      </c>
      <c r="AB36" s="262" t="str">
        <f t="shared" si="3"/>
        <v/>
      </c>
      <c r="AC36" s="263" t="str">
        <f t="shared" si="4"/>
        <v/>
      </c>
      <c r="AD36" s="239" t="str">
        <f>IF(M36="","",VLOOKUP(M36,'G-6 Hedgerow Data'!$B$3:$AG$15,31,FALSE))</f>
        <v/>
      </c>
      <c r="AE36" s="179" t="str">
        <f t="shared" si="5"/>
        <v/>
      </c>
      <c r="AF36" s="179" t="str">
        <f t="shared" si="6"/>
        <v/>
      </c>
      <c r="AG36" s="176" t="str">
        <f>IFERROR(IF(O36="","",VLOOKUP(AD36,'G-3 Multipliers'!$P$3:$Q$6,2,FALSE)),"")</f>
        <v/>
      </c>
      <c r="AH36" s="207" t="str">
        <f t="shared" si="0"/>
        <v/>
      </c>
      <c r="AI36" s="336"/>
      <c r="AJ36" s="181"/>
      <c r="AT36" s="35" t="str">
        <f>IFERROR(INDEX('G-6 Hedgerow Data'!$BJ$3:$BJ$15,MATCH(M36,'G-6 Hedgerow Data'!$B$3:$B$15,0)),"")</f>
        <v/>
      </c>
    </row>
    <row r="37" spans="2:46" ht="13.8" x14ac:dyDescent="0.25">
      <c r="B37" s="259" t="str">
        <f>'B-1 Site Hedge Baseline'!AK35</f>
        <v/>
      </c>
      <c r="C37" s="175" t="str">
        <f>IF(B37="","",IF(ISNA(VLOOKUP($B37,'B-1 Site Hedge Baseline'!$B$1:$L$257,3,FALSE)),"",(VLOOKUP($B37,'B-1 Site Hedge Baseline'!$B$1:$L$257,3,FALSE))))</f>
        <v/>
      </c>
      <c r="D37" s="175" t="str">
        <f>IF(B37="","",IF(ISNA(VLOOKUP($B37,'B-1 Site Hedge Baseline'!$B$1:$L$257,4,FALSE)),"",(VLOOKUP($B37,'B-1 Site Hedge Baseline'!$B$1:$L$257,4,FALSE))))</f>
        <v/>
      </c>
      <c r="E37" s="175" t="str">
        <f>IF(B37="","",IF(ISNA(VLOOKUP($B37,'B-1 Site Hedge Baseline'!$B$1:$L$257,5,FALSE)),"",(VLOOKUP($B37,'B-1 Site Hedge Baseline'!$B$1:$L$257,5,FALSE))))</f>
        <v/>
      </c>
      <c r="F37" s="175" t="str">
        <f>IF(B37="","",IF(ISNA(VLOOKUP($B37,'B-1 Site Hedge Baseline'!$B$1:$L$257,6,FALSE)),"",(VLOOKUP($B37,'B-1 Site Hedge Baseline'!$B$1:$L$257,6,FALSE))))</f>
        <v/>
      </c>
      <c r="G37" s="175" t="str">
        <f>IF(B37="","",IF(ISNA(VLOOKUP($B37,'B-1 Site Hedge Baseline'!$B$1:$L$257,7,FALSE)),"",(VLOOKUP($B37,'B-1 Site Hedge Baseline'!$B$1:$L$257,7,FALSE))))</f>
        <v/>
      </c>
      <c r="H37" s="175" t="str">
        <f>IF(B37="","",IF(ISNA(VLOOKUP($B37,'B-1 Site Hedge Baseline'!$B$1:$L$257,8,FALSE)),"",(VLOOKUP($B37,'B-1 Site Hedge Baseline'!$B$1:$L$257,8,FALSE))))</f>
        <v/>
      </c>
      <c r="I37" s="175" t="str">
        <f>IF(B37="","",IF(ISNA(VLOOKUP($B37,'B-1 Site Hedge Baseline'!$B$1:$L$257,10,FALSE)),"",(VLOOKUP($B37,'B-1 Site Hedge Baseline'!$B$1:$L$257,10,FALSE))))</f>
        <v/>
      </c>
      <c r="J37" s="175" t="str">
        <f>IF(B37="","",IF(ISNA(VLOOKUP($B37,'B-1 Site Hedge Baseline'!$B$1:$L$257,11,FALSE)),"",(VLOOKUP($B37,'B-1 Site Hedge Baseline'!$B$1:$L$257,11,FALSE))))</f>
        <v/>
      </c>
      <c r="K37" s="175" t="str">
        <f>IF(B37="","",IF(ISNA(VLOOKUP($B37,'B-1 Site Hedge Baseline'!$B$1:$U$257,13,FALSE)),"",(VLOOKUP($B37,'B-1 Site Hedge Baseline'!$B$1:$U$257,13,FALSE))))</f>
        <v/>
      </c>
      <c r="L37" s="176" t="str">
        <f>IF(B37="","",IF(ISNA(VLOOKUP($B37,'B-1 Site Hedge Baseline'!$B$1:$U$257,12,FALSE)),"",(VLOOKUP($B37,'B-1 Site Hedge Baseline'!$B$1:$U$257,12,FALSE))))</f>
        <v/>
      </c>
      <c r="M37" s="637"/>
      <c r="N37" s="171" t="str">
        <f>IFERROR(IF(B37="","",INDEX('G-6 Hedgerow Data'!$AN$3:$AZ$15,MATCH(C37,'G-6 Hedgerow Data'!$AM$3:$AM$15,0),MATCH(M37,'G-6 Hedgerow Data'!$AN$2:$AZ$2,0))),"")</f>
        <v/>
      </c>
      <c r="O37" s="172" t="str">
        <f t="shared" si="1"/>
        <v/>
      </c>
      <c r="P37" s="642" t="str">
        <f>IF(B37="","",VLOOKUP(B37,'B-1 Site Hedge Baseline'!$B$10:T282,16,FALSE))</f>
        <v/>
      </c>
      <c r="Q37" s="171" t="str">
        <f>IF(M37="","",VLOOKUP(M37,'G-6 Hedgerow Data'!$B$2:$AG$15,2,FALSE))</f>
        <v/>
      </c>
      <c r="R37" s="172" t="str">
        <f>IF(M37="","",VLOOKUP(M37,'G-6 Hedgerow Data'!$B$2:$AG$15,3,FALSE))</f>
        <v/>
      </c>
      <c r="S37" s="189"/>
      <c r="T37" s="269" t="str">
        <f>IFERROR(VLOOKUP(S37,'G-1 All Habitats'!$Z$2:$AA$9,2,FALSE),"")</f>
        <v/>
      </c>
      <c r="U37" s="186"/>
      <c r="V37" s="175" t="str">
        <f>IF(U37="","",IF(VLOOKUP(U37,'G-3 Multipliers'!$L$3:$N$6,2,FALSE)=0,"Spatial Data Missing",VLOOKUP(U37,'G-3 Multipliers'!$L$3:$N$6,2,FALSE)))</f>
        <v/>
      </c>
      <c r="W37" s="176" t="str">
        <f>IF(U37="","",IF(VLOOKUP(U37,'G-3 Multipliers'!$L$3:$N$6,3,FALSE)=0,"Spatial Data Missing",VLOOKUP(U37,'G-3 Multipliers'!$L$3:$N$6,3,FALSE)))</f>
        <v/>
      </c>
      <c r="X37" s="171" t="str">
        <f>IFERROR(IF(OR(LEFT(O37,5)="Error",LEFT(N37,5)="Error",T37="Error"),"Check Data",IF(F37&lt;R37,INDEX('G-6 Hedgerow Data'!$S$3:$AE$14,MATCH(C37,'G-6 Hedgerow Data'!$B$3:$B$14,0),MATCH(M37,'G-6 Hedgerow Data'!$S$2:$AE$2,0)),INDEX('G-6 Hedgerow Data'!$K$3:$Q$14,MATCH(M37,'G-6 Hedgerow Data'!$B$3:$B$14,0),MATCH(O37,'G-6 Hedgerow Data'!$K$2:$Q$2,0)))),"")</f>
        <v/>
      </c>
      <c r="Y37" s="261"/>
      <c r="Z37" s="261"/>
      <c r="AA37" s="179" t="str">
        <f t="shared" si="2"/>
        <v/>
      </c>
      <c r="AB37" s="262" t="str">
        <f t="shared" si="3"/>
        <v/>
      </c>
      <c r="AC37" s="263" t="str">
        <f t="shared" si="4"/>
        <v/>
      </c>
      <c r="AD37" s="239" t="str">
        <f>IF(M37="","",VLOOKUP(M37,'G-6 Hedgerow Data'!$B$3:$AG$15,31,FALSE))</f>
        <v/>
      </c>
      <c r="AE37" s="179" t="str">
        <f t="shared" si="5"/>
        <v/>
      </c>
      <c r="AF37" s="179" t="str">
        <f t="shared" si="6"/>
        <v/>
      </c>
      <c r="AG37" s="176" t="str">
        <f>IFERROR(IF(O37="","",VLOOKUP(AD37,'G-3 Multipliers'!$P$3:$Q$6,2,FALSE)),"")</f>
        <v/>
      </c>
      <c r="AH37" s="207" t="str">
        <f t="shared" si="0"/>
        <v/>
      </c>
      <c r="AI37" s="336"/>
      <c r="AJ37" s="181"/>
      <c r="AT37" s="35" t="str">
        <f>IFERROR(INDEX('G-6 Hedgerow Data'!$BJ$3:$BJ$15,MATCH(M37,'G-6 Hedgerow Data'!$B$3:$B$15,0)),"")</f>
        <v/>
      </c>
    </row>
    <row r="38" spans="2:46" ht="13.8" x14ac:dyDescent="0.25">
      <c r="B38" s="259" t="str">
        <f>'B-1 Site Hedge Baseline'!AK36</f>
        <v/>
      </c>
      <c r="C38" s="175" t="str">
        <f>IF(B38="","",IF(ISNA(VLOOKUP($B38,'B-1 Site Hedge Baseline'!$B$1:$L$257,3,FALSE)),"",(VLOOKUP($B38,'B-1 Site Hedge Baseline'!$B$1:$L$257,3,FALSE))))</f>
        <v/>
      </c>
      <c r="D38" s="175" t="str">
        <f>IF(B38="","",IF(ISNA(VLOOKUP($B38,'B-1 Site Hedge Baseline'!$B$1:$L$257,4,FALSE)),"",(VLOOKUP($B38,'B-1 Site Hedge Baseline'!$B$1:$L$257,4,FALSE))))</f>
        <v/>
      </c>
      <c r="E38" s="175" t="str">
        <f>IF(B38="","",IF(ISNA(VLOOKUP($B38,'B-1 Site Hedge Baseline'!$B$1:$L$257,5,FALSE)),"",(VLOOKUP($B38,'B-1 Site Hedge Baseline'!$B$1:$L$257,5,FALSE))))</f>
        <v/>
      </c>
      <c r="F38" s="175" t="str">
        <f>IF(B38="","",IF(ISNA(VLOOKUP($B38,'B-1 Site Hedge Baseline'!$B$1:$L$257,6,FALSE)),"",(VLOOKUP($B38,'B-1 Site Hedge Baseline'!$B$1:$L$257,6,FALSE))))</f>
        <v/>
      </c>
      <c r="G38" s="175" t="str">
        <f>IF(B38="","",IF(ISNA(VLOOKUP($B38,'B-1 Site Hedge Baseline'!$B$1:$L$257,7,FALSE)),"",(VLOOKUP($B38,'B-1 Site Hedge Baseline'!$B$1:$L$257,7,FALSE))))</f>
        <v/>
      </c>
      <c r="H38" s="175" t="str">
        <f>IF(B38="","",IF(ISNA(VLOOKUP($B38,'B-1 Site Hedge Baseline'!$B$1:$L$257,8,FALSE)),"",(VLOOKUP($B38,'B-1 Site Hedge Baseline'!$B$1:$L$257,8,FALSE))))</f>
        <v/>
      </c>
      <c r="I38" s="175" t="str">
        <f>IF(B38="","",IF(ISNA(VLOOKUP($B38,'B-1 Site Hedge Baseline'!$B$1:$L$257,10,FALSE)),"",(VLOOKUP($B38,'B-1 Site Hedge Baseline'!$B$1:$L$257,10,FALSE))))</f>
        <v/>
      </c>
      <c r="J38" s="175" t="str">
        <f>IF(B38="","",IF(ISNA(VLOOKUP($B38,'B-1 Site Hedge Baseline'!$B$1:$L$257,11,FALSE)),"",(VLOOKUP($B38,'B-1 Site Hedge Baseline'!$B$1:$L$257,11,FALSE))))</f>
        <v/>
      </c>
      <c r="K38" s="175" t="str">
        <f>IF(B38="","",IF(ISNA(VLOOKUP($B38,'B-1 Site Hedge Baseline'!$B$1:$U$257,13,FALSE)),"",(VLOOKUP($B38,'B-1 Site Hedge Baseline'!$B$1:$U$257,13,FALSE))))</f>
        <v/>
      </c>
      <c r="L38" s="176" t="str">
        <f>IF(B38="","",IF(ISNA(VLOOKUP($B38,'B-1 Site Hedge Baseline'!$B$1:$U$257,12,FALSE)),"",(VLOOKUP($B38,'B-1 Site Hedge Baseline'!$B$1:$U$257,12,FALSE))))</f>
        <v/>
      </c>
      <c r="M38" s="637"/>
      <c r="N38" s="171" t="str">
        <f>IFERROR(IF(B38="","",INDEX('G-6 Hedgerow Data'!$AN$3:$AZ$15,MATCH(C38,'G-6 Hedgerow Data'!$AM$3:$AM$15,0),MATCH(M38,'G-6 Hedgerow Data'!$AN$2:$AZ$2,0))),"")</f>
        <v/>
      </c>
      <c r="O38" s="172" t="str">
        <f t="shared" si="1"/>
        <v/>
      </c>
      <c r="P38" s="642" t="str">
        <f>IF(B38="","",VLOOKUP(B38,'B-1 Site Hedge Baseline'!$B$10:T283,16,FALSE))</f>
        <v/>
      </c>
      <c r="Q38" s="171" t="str">
        <f>IF(M38="","",VLOOKUP(M38,'G-6 Hedgerow Data'!$B$2:$AG$15,2,FALSE))</f>
        <v/>
      </c>
      <c r="R38" s="172" t="str">
        <f>IF(M38="","",VLOOKUP(M38,'G-6 Hedgerow Data'!$B$2:$AG$15,3,FALSE))</f>
        <v/>
      </c>
      <c r="S38" s="189"/>
      <c r="T38" s="269" t="str">
        <f>IFERROR(VLOOKUP(S38,'G-1 All Habitats'!$Z$2:$AA$9,2,FALSE),"")</f>
        <v/>
      </c>
      <c r="U38" s="186"/>
      <c r="V38" s="175" t="str">
        <f>IF(U38="","",IF(VLOOKUP(U38,'G-3 Multipliers'!$L$3:$N$6,2,FALSE)=0,"Spatial Data Missing",VLOOKUP(U38,'G-3 Multipliers'!$L$3:$N$6,2,FALSE)))</f>
        <v/>
      </c>
      <c r="W38" s="176" t="str">
        <f>IF(U38="","",IF(VLOOKUP(U38,'G-3 Multipliers'!$L$3:$N$6,3,FALSE)=0,"Spatial Data Missing",VLOOKUP(U38,'G-3 Multipliers'!$L$3:$N$6,3,FALSE)))</f>
        <v/>
      </c>
      <c r="X38" s="171" t="str">
        <f>IFERROR(IF(OR(LEFT(O38,5)="Error",LEFT(N38,5)="Error",T38="Error"),"Check Data",IF(F38&lt;R38,INDEX('G-6 Hedgerow Data'!$S$3:$AE$14,MATCH(C38,'G-6 Hedgerow Data'!$B$3:$B$14,0),MATCH(M38,'G-6 Hedgerow Data'!$S$2:$AE$2,0)),INDEX('G-6 Hedgerow Data'!$K$3:$Q$14,MATCH(M38,'G-6 Hedgerow Data'!$B$3:$B$14,0),MATCH(O38,'G-6 Hedgerow Data'!$K$2:$Q$2,0)))),"")</f>
        <v/>
      </c>
      <c r="Y38" s="261"/>
      <c r="Z38" s="261"/>
      <c r="AA38" s="179" t="str">
        <f t="shared" si="2"/>
        <v/>
      </c>
      <c r="AB38" s="262" t="str">
        <f t="shared" si="3"/>
        <v/>
      </c>
      <c r="AC38" s="263" t="str">
        <f t="shared" si="4"/>
        <v/>
      </c>
      <c r="AD38" s="239" t="str">
        <f>IF(M38="","",VLOOKUP(M38,'G-6 Hedgerow Data'!$B$3:$AG$15,31,FALSE))</f>
        <v/>
      </c>
      <c r="AE38" s="179" t="str">
        <f t="shared" si="5"/>
        <v/>
      </c>
      <c r="AF38" s="179" t="str">
        <f t="shared" si="6"/>
        <v/>
      </c>
      <c r="AG38" s="176" t="str">
        <f>IFERROR(IF(O38="","",VLOOKUP(AD38,'G-3 Multipliers'!$P$3:$Q$6,2,FALSE)),"")</f>
        <v/>
      </c>
      <c r="AH38" s="207" t="str">
        <f t="shared" si="0"/>
        <v/>
      </c>
      <c r="AI38" s="336"/>
      <c r="AJ38" s="181"/>
      <c r="AT38" s="35" t="str">
        <f>IFERROR(INDEX('G-6 Hedgerow Data'!$BJ$3:$BJ$15,MATCH(M38,'G-6 Hedgerow Data'!$B$3:$B$15,0)),"")</f>
        <v/>
      </c>
    </row>
    <row r="39" spans="2:46" ht="13.8" x14ac:dyDescent="0.25">
      <c r="B39" s="259" t="str">
        <f>'B-1 Site Hedge Baseline'!AK37</f>
        <v/>
      </c>
      <c r="C39" s="175" t="str">
        <f>IF(B39="","",IF(ISNA(VLOOKUP($B39,'B-1 Site Hedge Baseline'!$B$1:$L$257,3,FALSE)),"",(VLOOKUP($B39,'B-1 Site Hedge Baseline'!$B$1:$L$257,3,FALSE))))</f>
        <v/>
      </c>
      <c r="D39" s="175" t="str">
        <f>IF(B39="","",IF(ISNA(VLOOKUP($B39,'B-1 Site Hedge Baseline'!$B$1:$L$257,4,FALSE)),"",(VLOOKUP($B39,'B-1 Site Hedge Baseline'!$B$1:$L$257,4,FALSE))))</f>
        <v/>
      </c>
      <c r="E39" s="175" t="str">
        <f>IF(B39="","",IF(ISNA(VLOOKUP($B39,'B-1 Site Hedge Baseline'!$B$1:$L$257,5,FALSE)),"",(VLOOKUP($B39,'B-1 Site Hedge Baseline'!$B$1:$L$257,5,FALSE))))</f>
        <v/>
      </c>
      <c r="F39" s="175" t="str">
        <f>IF(B39="","",IF(ISNA(VLOOKUP($B39,'B-1 Site Hedge Baseline'!$B$1:$L$257,6,FALSE)),"",(VLOOKUP($B39,'B-1 Site Hedge Baseline'!$B$1:$L$257,6,FALSE))))</f>
        <v/>
      </c>
      <c r="G39" s="175" t="str">
        <f>IF(B39="","",IF(ISNA(VLOOKUP($B39,'B-1 Site Hedge Baseline'!$B$1:$L$257,7,FALSE)),"",(VLOOKUP($B39,'B-1 Site Hedge Baseline'!$B$1:$L$257,7,FALSE))))</f>
        <v/>
      </c>
      <c r="H39" s="175" t="str">
        <f>IF(B39="","",IF(ISNA(VLOOKUP($B39,'B-1 Site Hedge Baseline'!$B$1:$L$257,8,FALSE)),"",(VLOOKUP($B39,'B-1 Site Hedge Baseline'!$B$1:$L$257,8,FALSE))))</f>
        <v/>
      </c>
      <c r="I39" s="175" t="str">
        <f>IF(B39="","",IF(ISNA(VLOOKUP($B39,'B-1 Site Hedge Baseline'!$B$1:$L$257,10,FALSE)),"",(VLOOKUP($B39,'B-1 Site Hedge Baseline'!$B$1:$L$257,10,FALSE))))</f>
        <v/>
      </c>
      <c r="J39" s="175" t="str">
        <f>IF(B39="","",IF(ISNA(VLOOKUP($B39,'B-1 Site Hedge Baseline'!$B$1:$L$257,11,FALSE)),"",(VLOOKUP($B39,'B-1 Site Hedge Baseline'!$B$1:$L$257,11,FALSE))))</f>
        <v/>
      </c>
      <c r="K39" s="175" t="str">
        <f>IF(B39="","",IF(ISNA(VLOOKUP($B39,'B-1 Site Hedge Baseline'!$B$1:$U$257,13,FALSE)),"",(VLOOKUP($B39,'B-1 Site Hedge Baseline'!$B$1:$U$257,13,FALSE))))</f>
        <v/>
      </c>
      <c r="L39" s="176" t="str">
        <f>IF(B39="","",IF(ISNA(VLOOKUP($B39,'B-1 Site Hedge Baseline'!$B$1:$U$257,12,FALSE)),"",(VLOOKUP($B39,'B-1 Site Hedge Baseline'!$B$1:$U$257,12,FALSE))))</f>
        <v/>
      </c>
      <c r="M39" s="637"/>
      <c r="N39" s="171" t="str">
        <f>IFERROR(IF(B39="","",INDEX('G-6 Hedgerow Data'!$AN$3:$AZ$15,MATCH(C39,'G-6 Hedgerow Data'!$AM$3:$AM$15,0),MATCH(M39,'G-6 Hedgerow Data'!$AN$2:$AZ$2,0))),"")</f>
        <v/>
      </c>
      <c r="O39" s="172" t="str">
        <f t="shared" si="1"/>
        <v/>
      </c>
      <c r="P39" s="642" t="str">
        <f>IF(B39="","",VLOOKUP(B39,'B-1 Site Hedge Baseline'!$B$10:T284,16,FALSE))</f>
        <v/>
      </c>
      <c r="Q39" s="171" t="str">
        <f>IF(M39="","",VLOOKUP(M39,'G-6 Hedgerow Data'!$B$2:$AG$15,2,FALSE))</f>
        <v/>
      </c>
      <c r="R39" s="172" t="str">
        <f>IF(M39="","",VLOOKUP(M39,'G-6 Hedgerow Data'!$B$2:$AG$15,3,FALSE))</f>
        <v/>
      </c>
      <c r="S39" s="189"/>
      <c r="T39" s="269" t="str">
        <f>IFERROR(VLOOKUP(S39,'G-1 All Habitats'!$Z$2:$AA$9,2,FALSE),"")</f>
        <v/>
      </c>
      <c r="U39" s="186"/>
      <c r="V39" s="175" t="str">
        <f>IF(U39="","",IF(VLOOKUP(U39,'G-3 Multipliers'!$L$3:$N$6,2,FALSE)=0,"Spatial Data Missing",VLOOKUP(U39,'G-3 Multipliers'!$L$3:$N$6,2,FALSE)))</f>
        <v/>
      </c>
      <c r="W39" s="176" t="str">
        <f>IF(U39="","",IF(VLOOKUP(U39,'G-3 Multipliers'!$L$3:$N$6,3,FALSE)=0,"Spatial Data Missing",VLOOKUP(U39,'G-3 Multipliers'!$L$3:$N$6,3,FALSE)))</f>
        <v/>
      </c>
      <c r="X39" s="171" t="str">
        <f>IFERROR(IF(OR(LEFT(O39,5)="Error",LEFT(N39,5)="Error",T39="Error"),"Check Data",IF(F39&lt;R39,INDEX('G-6 Hedgerow Data'!$S$3:$AE$14,MATCH(C39,'G-6 Hedgerow Data'!$B$3:$B$14,0),MATCH(M39,'G-6 Hedgerow Data'!$S$2:$AE$2,0)),INDEX('G-6 Hedgerow Data'!$K$3:$Q$14,MATCH(M39,'G-6 Hedgerow Data'!$B$3:$B$14,0),MATCH(O39,'G-6 Hedgerow Data'!$K$2:$Q$2,0)))),"")</f>
        <v/>
      </c>
      <c r="Y39" s="261"/>
      <c r="Z39" s="261"/>
      <c r="AA39" s="179" t="str">
        <f t="shared" si="2"/>
        <v/>
      </c>
      <c r="AB39" s="262" t="str">
        <f t="shared" si="3"/>
        <v/>
      </c>
      <c r="AC39" s="263" t="str">
        <f t="shared" si="4"/>
        <v/>
      </c>
      <c r="AD39" s="239" t="str">
        <f>IF(M39="","",VLOOKUP(M39,'G-6 Hedgerow Data'!$B$3:$AG$15,31,FALSE))</f>
        <v/>
      </c>
      <c r="AE39" s="179" t="str">
        <f t="shared" si="5"/>
        <v/>
      </c>
      <c r="AF39" s="179" t="str">
        <f t="shared" si="6"/>
        <v/>
      </c>
      <c r="AG39" s="176" t="str">
        <f>IFERROR(IF(O39="","",VLOOKUP(AD39,'G-3 Multipliers'!$P$3:$Q$6,2,FALSE)),"")</f>
        <v/>
      </c>
      <c r="AH39" s="207" t="str">
        <f t="shared" si="0"/>
        <v/>
      </c>
      <c r="AI39" s="336"/>
      <c r="AJ39" s="181"/>
      <c r="AT39" s="35" t="str">
        <f>IFERROR(INDEX('G-6 Hedgerow Data'!$BJ$3:$BJ$15,MATCH(M39,'G-6 Hedgerow Data'!$B$3:$B$15,0)),"")</f>
        <v/>
      </c>
    </row>
    <row r="40" spans="2:46" ht="13.8" x14ac:dyDescent="0.25">
      <c r="B40" s="259" t="str">
        <f>'B-1 Site Hedge Baseline'!AK38</f>
        <v/>
      </c>
      <c r="C40" s="175" t="str">
        <f>IF(B40="","",IF(ISNA(VLOOKUP($B40,'B-1 Site Hedge Baseline'!$B$1:$L$257,3,FALSE)),"",(VLOOKUP($B40,'B-1 Site Hedge Baseline'!$B$1:$L$257,3,FALSE))))</f>
        <v/>
      </c>
      <c r="D40" s="175" t="str">
        <f>IF(B40="","",IF(ISNA(VLOOKUP($B40,'B-1 Site Hedge Baseline'!$B$1:$L$257,4,FALSE)),"",(VLOOKUP($B40,'B-1 Site Hedge Baseline'!$B$1:$L$257,4,FALSE))))</f>
        <v/>
      </c>
      <c r="E40" s="175" t="str">
        <f>IF(B40="","",IF(ISNA(VLOOKUP($B40,'B-1 Site Hedge Baseline'!$B$1:$L$257,5,FALSE)),"",(VLOOKUP($B40,'B-1 Site Hedge Baseline'!$B$1:$L$257,5,FALSE))))</f>
        <v/>
      </c>
      <c r="F40" s="175" t="str">
        <f>IF(B40="","",IF(ISNA(VLOOKUP($B40,'B-1 Site Hedge Baseline'!$B$1:$L$257,6,FALSE)),"",(VLOOKUP($B40,'B-1 Site Hedge Baseline'!$B$1:$L$257,6,FALSE))))</f>
        <v/>
      </c>
      <c r="G40" s="175" t="str">
        <f>IF(B40="","",IF(ISNA(VLOOKUP($B40,'B-1 Site Hedge Baseline'!$B$1:$L$257,7,FALSE)),"",(VLOOKUP($B40,'B-1 Site Hedge Baseline'!$B$1:$L$257,7,FALSE))))</f>
        <v/>
      </c>
      <c r="H40" s="175" t="str">
        <f>IF(B40="","",IF(ISNA(VLOOKUP($B40,'B-1 Site Hedge Baseline'!$B$1:$L$257,8,FALSE)),"",(VLOOKUP($B40,'B-1 Site Hedge Baseline'!$B$1:$L$257,8,FALSE))))</f>
        <v/>
      </c>
      <c r="I40" s="175" t="str">
        <f>IF(B40="","",IF(ISNA(VLOOKUP($B40,'B-1 Site Hedge Baseline'!$B$1:$L$257,10,FALSE)),"",(VLOOKUP($B40,'B-1 Site Hedge Baseline'!$B$1:$L$257,10,FALSE))))</f>
        <v/>
      </c>
      <c r="J40" s="175" t="str">
        <f>IF(B40="","",IF(ISNA(VLOOKUP($B40,'B-1 Site Hedge Baseline'!$B$1:$L$257,11,FALSE)),"",(VLOOKUP($B40,'B-1 Site Hedge Baseline'!$B$1:$L$257,11,FALSE))))</f>
        <v/>
      </c>
      <c r="K40" s="175" t="str">
        <f>IF(B40="","",IF(ISNA(VLOOKUP($B40,'B-1 Site Hedge Baseline'!$B$1:$U$257,13,FALSE)),"",(VLOOKUP($B40,'B-1 Site Hedge Baseline'!$B$1:$U$257,13,FALSE))))</f>
        <v/>
      </c>
      <c r="L40" s="176" t="str">
        <f>IF(B40="","",IF(ISNA(VLOOKUP($B40,'B-1 Site Hedge Baseline'!$B$1:$U$257,12,FALSE)),"",(VLOOKUP($B40,'B-1 Site Hedge Baseline'!$B$1:$U$257,12,FALSE))))</f>
        <v/>
      </c>
      <c r="M40" s="637"/>
      <c r="N40" s="171" t="str">
        <f>IFERROR(IF(B40="","",INDEX('G-6 Hedgerow Data'!$AN$3:$AZ$15,MATCH(C40,'G-6 Hedgerow Data'!$AM$3:$AM$15,0),MATCH(M40,'G-6 Hedgerow Data'!$AN$2:$AZ$2,0))),"")</f>
        <v/>
      </c>
      <c r="O40" s="172" t="str">
        <f t="shared" si="1"/>
        <v/>
      </c>
      <c r="P40" s="642" t="str">
        <f>IF(B40="","",VLOOKUP(B40,'B-1 Site Hedge Baseline'!$B$10:T285,16,FALSE))</f>
        <v/>
      </c>
      <c r="Q40" s="171" t="str">
        <f>IF(M40="","",VLOOKUP(M40,'G-6 Hedgerow Data'!$B$2:$AG$15,2,FALSE))</f>
        <v/>
      </c>
      <c r="R40" s="172" t="str">
        <f>IF(M40="","",VLOOKUP(M40,'G-6 Hedgerow Data'!$B$2:$AG$15,3,FALSE))</f>
        <v/>
      </c>
      <c r="S40" s="189"/>
      <c r="T40" s="269" t="str">
        <f>IFERROR(VLOOKUP(S40,'G-1 All Habitats'!$Z$2:$AA$9,2,FALSE),"")</f>
        <v/>
      </c>
      <c r="U40" s="186"/>
      <c r="V40" s="175" t="str">
        <f>IF(U40="","",IF(VLOOKUP(U40,'G-3 Multipliers'!$L$3:$N$6,2,FALSE)=0,"Spatial Data Missing",VLOOKUP(U40,'G-3 Multipliers'!$L$3:$N$6,2,FALSE)))</f>
        <v/>
      </c>
      <c r="W40" s="176" t="str">
        <f>IF(U40="","",IF(VLOOKUP(U40,'G-3 Multipliers'!$L$3:$N$6,3,FALSE)=0,"Spatial Data Missing",VLOOKUP(U40,'G-3 Multipliers'!$L$3:$N$6,3,FALSE)))</f>
        <v/>
      </c>
      <c r="X40" s="171" t="str">
        <f>IFERROR(IF(OR(LEFT(O40,5)="Error",LEFT(N40,5)="Error",T40="Error"),"Check Data",IF(F40&lt;R40,INDEX('G-6 Hedgerow Data'!$S$3:$AE$14,MATCH(C40,'G-6 Hedgerow Data'!$B$3:$B$14,0),MATCH(M40,'G-6 Hedgerow Data'!$S$2:$AE$2,0)),INDEX('G-6 Hedgerow Data'!$K$3:$Q$14,MATCH(M40,'G-6 Hedgerow Data'!$B$3:$B$14,0),MATCH(O40,'G-6 Hedgerow Data'!$K$2:$Q$2,0)))),"")</f>
        <v/>
      </c>
      <c r="Y40" s="261"/>
      <c r="Z40" s="261"/>
      <c r="AA40" s="179" t="str">
        <f t="shared" si="2"/>
        <v/>
      </c>
      <c r="AB40" s="262" t="str">
        <f t="shared" si="3"/>
        <v/>
      </c>
      <c r="AC40" s="263" t="str">
        <f t="shared" si="4"/>
        <v/>
      </c>
      <c r="AD40" s="239" t="str">
        <f>IF(M40="","",VLOOKUP(M40,'G-6 Hedgerow Data'!$B$3:$AG$15,31,FALSE))</f>
        <v/>
      </c>
      <c r="AE40" s="179" t="str">
        <f t="shared" si="5"/>
        <v/>
      </c>
      <c r="AF40" s="179" t="str">
        <f t="shared" si="6"/>
        <v/>
      </c>
      <c r="AG40" s="176" t="str">
        <f>IFERROR(IF(O40="","",VLOOKUP(AD40,'G-3 Multipliers'!$P$3:$Q$6,2,FALSE)),"")</f>
        <v/>
      </c>
      <c r="AH40" s="207" t="str">
        <f t="shared" si="0"/>
        <v/>
      </c>
      <c r="AI40" s="336"/>
      <c r="AJ40" s="181"/>
      <c r="AT40" s="35" t="str">
        <f>IFERROR(INDEX('G-6 Hedgerow Data'!$BJ$3:$BJ$15,MATCH(M40,'G-6 Hedgerow Data'!$B$3:$B$15,0)),"")</f>
        <v/>
      </c>
    </row>
    <row r="41" spans="2:46" ht="13.8" x14ac:dyDescent="0.25">
      <c r="B41" s="259" t="str">
        <f>'B-1 Site Hedge Baseline'!AK39</f>
        <v/>
      </c>
      <c r="C41" s="175" t="str">
        <f>IF(B41="","",IF(ISNA(VLOOKUP($B41,'B-1 Site Hedge Baseline'!$B$1:$L$257,3,FALSE)),"",(VLOOKUP($B41,'B-1 Site Hedge Baseline'!$B$1:$L$257,3,FALSE))))</f>
        <v/>
      </c>
      <c r="D41" s="175" t="str">
        <f>IF(B41="","",IF(ISNA(VLOOKUP($B41,'B-1 Site Hedge Baseline'!$B$1:$L$257,4,FALSE)),"",(VLOOKUP($B41,'B-1 Site Hedge Baseline'!$B$1:$L$257,4,FALSE))))</f>
        <v/>
      </c>
      <c r="E41" s="175" t="str">
        <f>IF(B41="","",IF(ISNA(VLOOKUP($B41,'B-1 Site Hedge Baseline'!$B$1:$L$257,5,FALSE)),"",(VLOOKUP($B41,'B-1 Site Hedge Baseline'!$B$1:$L$257,5,FALSE))))</f>
        <v/>
      </c>
      <c r="F41" s="175" t="str">
        <f>IF(B41="","",IF(ISNA(VLOOKUP($B41,'B-1 Site Hedge Baseline'!$B$1:$L$257,6,FALSE)),"",(VLOOKUP($B41,'B-1 Site Hedge Baseline'!$B$1:$L$257,6,FALSE))))</f>
        <v/>
      </c>
      <c r="G41" s="175" t="str">
        <f>IF(B41="","",IF(ISNA(VLOOKUP($B41,'B-1 Site Hedge Baseline'!$B$1:$L$257,7,FALSE)),"",(VLOOKUP($B41,'B-1 Site Hedge Baseline'!$B$1:$L$257,7,FALSE))))</f>
        <v/>
      </c>
      <c r="H41" s="175" t="str">
        <f>IF(B41="","",IF(ISNA(VLOOKUP($B41,'B-1 Site Hedge Baseline'!$B$1:$L$257,8,FALSE)),"",(VLOOKUP($B41,'B-1 Site Hedge Baseline'!$B$1:$L$257,8,FALSE))))</f>
        <v/>
      </c>
      <c r="I41" s="175" t="str">
        <f>IF(B41="","",IF(ISNA(VLOOKUP($B41,'B-1 Site Hedge Baseline'!$B$1:$L$257,10,FALSE)),"",(VLOOKUP($B41,'B-1 Site Hedge Baseline'!$B$1:$L$257,10,FALSE))))</f>
        <v/>
      </c>
      <c r="J41" s="175" t="str">
        <f>IF(B41="","",IF(ISNA(VLOOKUP($B41,'B-1 Site Hedge Baseline'!$B$1:$L$257,11,FALSE)),"",(VLOOKUP($B41,'B-1 Site Hedge Baseline'!$B$1:$L$257,11,FALSE))))</f>
        <v/>
      </c>
      <c r="K41" s="175" t="str">
        <f>IF(B41="","",IF(ISNA(VLOOKUP($B41,'B-1 Site Hedge Baseline'!$B$1:$U$257,13,FALSE)),"",(VLOOKUP($B41,'B-1 Site Hedge Baseline'!$B$1:$U$257,13,FALSE))))</f>
        <v/>
      </c>
      <c r="L41" s="176" t="str">
        <f>IF(B41="","",IF(ISNA(VLOOKUP($B41,'B-1 Site Hedge Baseline'!$B$1:$U$257,12,FALSE)),"",(VLOOKUP($B41,'B-1 Site Hedge Baseline'!$B$1:$U$257,12,FALSE))))</f>
        <v/>
      </c>
      <c r="M41" s="637"/>
      <c r="N41" s="171" t="str">
        <f>IFERROR(IF(B41="","",INDEX('G-6 Hedgerow Data'!$AN$3:$AZ$15,MATCH(C41,'G-6 Hedgerow Data'!$AM$3:$AM$15,0),MATCH(M41,'G-6 Hedgerow Data'!$AN$2:$AZ$2,0))),"")</f>
        <v/>
      </c>
      <c r="O41" s="172" t="str">
        <f t="shared" si="1"/>
        <v/>
      </c>
      <c r="P41" s="642" t="str">
        <f>IF(B41="","",VLOOKUP(B41,'B-1 Site Hedge Baseline'!$B$10:T286,16,FALSE))</f>
        <v/>
      </c>
      <c r="Q41" s="171" t="str">
        <f>IF(M41="","",VLOOKUP(M41,'G-6 Hedgerow Data'!$B$2:$AG$15,2,FALSE))</f>
        <v/>
      </c>
      <c r="R41" s="172" t="str">
        <f>IF(M41="","",VLOOKUP(M41,'G-6 Hedgerow Data'!$B$2:$AG$15,3,FALSE))</f>
        <v/>
      </c>
      <c r="S41" s="189"/>
      <c r="T41" s="269" t="str">
        <f>IFERROR(VLOOKUP(S41,'G-1 All Habitats'!$Z$2:$AA$9,2,FALSE),"")</f>
        <v/>
      </c>
      <c r="U41" s="186"/>
      <c r="V41" s="175" t="str">
        <f>IF(U41="","",IF(VLOOKUP(U41,'G-3 Multipliers'!$L$3:$N$6,2,FALSE)=0,"Spatial Data Missing",VLOOKUP(U41,'G-3 Multipliers'!$L$3:$N$6,2,FALSE)))</f>
        <v/>
      </c>
      <c r="W41" s="176" t="str">
        <f>IF(U41="","",IF(VLOOKUP(U41,'G-3 Multipliers'!$L$3:$N$6,3,FALSE)=0,"Spatial Data Missing",VLOOKUP(U41,'G-3 Multipliers'!$L$3:$N$6,3,FALSE)))</f>
        <v/>
      </c>
      <c r="X41" s="171" t="str">
        <f>IFERROR(IF(OR(LEFT(O41,5)="Error",LEFT(N41,5)="Error",T41="Error"),"Check Data",IF(F41&lt;R41,INDEX('G-6 Hedgerow Data'!$S$3:$AE$14,MATCH(C41,'G-6 Hedgerow Data'!$B$3:$B$14,0),MATCH(M41,'G-6 Hedgerow Data'!$S$2:$AE$2,0)),INDEX('G-6 Hedgerow Data'!$K$3:$Q$14,MATCH(M41,'G-6 Hedgerow Data'!$B$3:$B$14,0),MATCH(O41,'G-6 Hedgerow Data'!$K$2:$Q$2,0)))),"")</f>
        <v/>
      </c>
      <c r="Y41" s="261"/>
      <c r="Z41" s="261"/>
      <c r="AA41" s="179" t="str">
        <f t="shared" si="2"/>
        <v/>
      </c>
      <c r="AB41" s="262" t="str">
        <f t="shared" si="3"/>
        <v/>
      </c>
      <c r="AC41" s="263" t="str">
        <f t="shared" si="4"/>
        <v/>
      </c>
      <c r="AD41" s="239" t="str">
        <f>IF(M41="","",VLOOKUP(M41,'G-6 Hedgerow Data'!$B$3:$AG$15,31,FALSE))</f>
        <v/>
      </c>
      <c r="AE41" s="179" t="str">
        <f t="shared" si="5"/>
        <v/>
      </c>
      <c r="AF41" s="179" t="str">
        <f t="shared" si="6"/>
        <v/>
      </c>
      <c r="AG41" s="176" t="str">
        <f>IFERROR(IF(O41="","",VLOOKUP(AD41,'G-3 Multipliers'!$P$3:$Q$6,2,FALSE)),"")</f>
        <v/>
      </c>
      <c r="AH41" s="207" t="str">
        <f t="shared" si="0"/>
        <v/>
      </c>
      <c r="AI41" s="336"/>
      <c r="AJ41" s="181"/>
      <c r="AT41" s="35" t="str">
        <f>IFERROR(INDEX('G-6 Hedgerow Data'!$BJ$3:$BJ$15,MATCH(M41,'G-6 Hedgerow Data'!$B$3:$B$15,0)),"")</f>
        <v/>
      </c>
    </row>
    <row r="42" spans="2:46" ht="13.8" x14ac:dyDescent="0.25">
      <c r="B42" s="259" t="str">
        <f>'B-1 Site Hedge Baseline'!AK40</f>
        <v/>
      </c>
      <c r="C42" s="175" t="str">
        <f>IF(B42="","",IF(ISNA(VLOOKUP($B42,'B-1 Site Hedge Baseline'!$B$1:$L$257,3,FALSE)),"",(VLOOKUP($B42,'B-1 Site Hedge Baseline'!$B$1:$L$257,3,FALSE))))</f>
        <v/>
      </c>
      <c r="D42" s="175" t="str">
        <f>IF(B42="","",IF(ISNA(VLOOKUP($B42,'B-1 Site Hedge Baseline'!$B$1:$L$257,4,FALSE)),"",(VLOOKUP($B42,'B-1 Site Hedge Baseline'!$B$1:$L$257,4,FALSE))))</f>
        <v/>
      </c>
      <c r="E42" s="175" t="str">
        <f>IF(B42="","",IF(ISNA(VLOOKUP($B42,'B-1 Site Hedge Baseline'!$B$1:$L$257,5,FALSE)),"",(VLOOKUP($B42,'B-1 Site Hedge Baseline'!$B$1:$L$257,5,FALSE))))</f>
        <v/>
      </c>
      <c r="F42" s="175" t="str">
        <f>IF(B42="","",IF(ISNA(VLOOKUP($B42,'B-1 Site Hedge Baseline'!$B$1:$L$257,6,FALSE)),"",(VLOOKUP($B42,'B-1 Site Hedge Baseline'!$B$1:$L$257,6,FALSE))))</f>
        <v/>
      </c>
      <c r="G42" s="175" t="str">
        <f>IF(B42="","",IF(ISNA(VLOOKUP($B42,'B-1 Site Hedge Baseline'!$B$1:$L$257,7,FALSE)),"",(VLOOKUP($B42,'B-1 Site Hedge Baseline'!$B$1:$L$257,7,FALSE))))</f>
        <v/>
      </c>
      <c r="H42" s="175" t="str">
        <f>IF(B42="","",IF(ISNA(VLOOKUP($B42,'B-1 Site Hedge Baseline'!$B$1:$L$257,8,FALSE)),"",(VLOOKUP($B42,'B-1 Site Hedge Baseline'!$B$1:$L$257,8,FALSE))))</f>
        <v/>
      </c>
      <c r="I42" s="175" t="str">
        <f>IF(B42="","",IF(ISNA(VLOOKUP($B42,'B-1 Site Hedge Baseline'!$B$1:$L$257,10,FALSE)),"",(VLOOKUP($B42,'B-1 Site Hedge Baseline'!$B$1:$L$257,10,FALSE))))</f>
        <v/>
      </c>
      <c r="J42" s="175" t="str">
        <f>IF(B42="","",IF(ISNA(VLOOKUP($B42,'B-1 Site Hedge Baseline'!$B$1:$L$257,11,FALSE)),"",(VLOOKUP($B42,'B-1 Site Hedge Baseline'!$B$1:$L$257,11,FALSE))))</f>
        <v/>
      </c>
      <c r="K42" s="175" t="str">
        <f>IF(B42="","",IF(ISNA(VLOOKUP($B42,'B-1 Site Hedge Baseline'!$B$1:$U$257,13,FALSE)),"",(VLOOKUP($B42,'B-1 Site Hedge Baseline'!$B$1:$U$257,13,FALSE))))</f>
        <v/>
      </c>
      <c r="L42" s="176" t="str">
        <f>IF(B42="","",IF(ISNA(VLOOKUP($B42,'B-1 Site Hedge Baseline'!$B$1:$U$257,12,FALSE)),"",(VLOOKUP($B42,'B-1 Site Hedge Baseline'!$B$1:$U$257,12,FALSE))))</f>
        <v/>
      </c>
      <c r="M42" s="637"/>
      <c r="N42" s="171" t="str">
        <f>IFERROR(IF(B42="","",INDEX('G-6 Hedgerow Data'!$AN$3:$AZ$15,MATCH(C42,'G-6 Hedgerow Data'!$AM$3:$AM$15,0),MATCH(M42,'G-6 Hedgerow Data'!$AN$2:$AZ$2,0))),"")</f>
        <v/>
      </c>
      <c r="O42" s="172" t="str">
        <f t="shared" si="1"/>
        <v/>
      </c>
      <c r="P42" s="642" t="str">
        <f>IF(B42="","",VLOOKUP(B42,'B-1 Site Hedge Baseline'!$B$10:T287,16,FALSE))</f>
        <v/>
      </c>
      <c r="Q42" s="171" t="str">
        <f>IF(M42="","",VLOOKUP(M42,'G-6 Hedgerow Data'!$B$2:$AG$15,2,FALSE))</f>
        <v/>
      </c>
      <c r="R42" s="172" t="str">
        <f>IF(M42="","",VLOOKUP(M42,'G-6 Hedgerow Data'!$B$2:$AG$15,3,FALSE))</f>
        <v/>
      </c>
      <c r="S42" s="189"/>
      <c r="T42" s="269" t="str">
        <f>IFERROR(VLOOKUP(S42,'G-1 All Habitats'!$Z$2:$AA$9,2,FALSE),"")</f>
        <v/>
      </c>
      <c r="U42" s="186"/>
      <c r="V42" s="175" t="str">
        <f>IF(U42="","",IF(VLOOKUP(U42,'G-3 Multipliers'!$L$3:$N$6,2,FALSE)=0,"Spatial Data Missing",VLOOKUP(U42,'G-3 Multipliers'!$L$3:$N$6,2,FALSE)))</f>
        <v/>
      </c>
      <c r="W42" s="176" t="str">
        <f>IF(U42="","",IF(VLOOKUP(U42,'G-3 Multipliers'!$L$3:$N$6,3,FALSE)=0,"Spatial Data Missing",VLOOKUP(U42,'G-3 Multipliers'!$L$3:$N$6,3,FALSE)))</f>
        <v/>
      </c>
      <c r="X42" s="171" t="str">
        <f>IFERROR(IF(OR(LEFT(O42,5)="Error",LEFT(N42,5)="Error",T42="Error"),"Check Data",IF(F42&lt;R42,INDEX('G-6 Hedgerow Data'!$S$3:$AE$14,MATCH(C42,'G-6 Hedgerow Data'!$B$3:$B$14,0),MATCH(M42,'G-6 Hedgerow Data'!$S$2:$AE$2,0)),INDEX('G-6 Hedgerow Data'!$K$3:$Q$14,MATCH(M42,'G-6 Hedgerow Data'!$B$3:$B$14,0),MATCH(O42,'G-6 Hedgerow Data'!$K$2:$Q$2,0)))),"")</f>
        <v/>
      </c>
      <c r="Y42" s="261"/>
      <c r="Z42" s="261"/>
      <c r="AA42" s="179" t="str">
        <f t="shared" si="2"/>
        <v/>
      </c>
      <c r="AB42" s="262" t="str">
        <f t="shared" si="3"/>
        <v/>
      </c>
      <c r="AC42" s="263" t="str">
        <f t="shared" si="4"/>
        <v/>
      </c>
      <c r="AD42" s="239" t="str">
        <f>IF(M42="","",VLOOKUP(M42,'G-6 Hedgerow Data'!$B$3:$AG$15,31,FALSE))</f>
        <v/>
      </c>
      <c r="AE42" s="179" t="str">
        <f t="shared" si="5"/>
        <v/>
      </c>
      <c r="AF42" s="179" t="str">
        <f t="shared" si="6"/>
        <v/>
      </c>
      <c r="AG42" s="176" t="str">
        <f>IFERROR(IF(O42="","",VLOOKUP(AD42,'G-3 Multipliers'!$P$3:$Q$6,2,FALSE)),"")</f>
        <v/>
      </c>
      <c r="AH42" s="207" t="str">
        <f t="shared" si="0"/>
        <v/>
      </c>
      <c r="AI42" s="336"/>
      <c r="AJ42" s="181"/>
      <c r="AT42" s="35" t="str">
        <f>IFERROR(INDEX('G-6 Hedgerow Data'!$BJ$3:$BJ$15,MATCH(M42,'G-6 Hedgerow Data'!$B$3:$B$15,0)),"")</f>
        <v/>
      </c>
    </row>
    <row r="43" spans="2:46" ht="13.8" x14ac:dyDescent="0.25">
      <c r="B43" s="259" t="str">
        <f>'B-1 Site Hedge Baseline'!AK41</f>
        <v/>
      </c>
      <c r="C43" s="175" t="str">
        <f>IF(B43="","",IF(ISNA(VLOOKUP($B43,'B-1 Site Hedge Baseline'!$B$1:$L$257,3,FALSE)),"",(VLOOKUP($B43,'B-1 Site Hedge Baseline'!$B$1:$L$257,3,FALSE))))</f>
        <v/>
      </c>
      <c r="D43" s="175" t="str">
        <f>IF(B43="","",IF(ISNA(VLOOKUP($B43,'B-1 Site Hedge Baseline'!$B$1:$L$257,4,FALSE)),"",(VLOOKUP($B43,'B-1 Site Hedge Baseline'!$B$1:$L$257,4,FALSE))))</f>
        <v/>
      </c>
      <c r="E43" s="175" t="str">
        <f>IF(B43="","",IF(ISNA(VLOOKUP($B43,'B-1 Site Hedge Baseline'!$B$1:$L$257,5,FALSE)),"",(VLOOKUP($B43,'B-1 Site Hedge Baseline'!$B$1:$L$257,5,FALSE))))</f>
        <v/>
      </c>
      <c r="F43" s="175" t="str">
        <f>IF(B43="","",IF(ISNA(VLOOKUP($B43,'B-1 Site Hedge Baseline'!$B$1:$L$257,6,FALSE)),"",(VLOOKUP($B43,'B-1 Site Hedge Baseline'!$B$1:$L$257,6,FALSE))))</f>
        <v/>
      </c>
      <c r="G43" s="175" t="str">
        <f>IF(B43="","",IF(ISNA(VLOOKUP($B43,'B-1 Site Hedge Baseline'!$B$1:$L$257,7,FALSE)),"",(VLOOKUP($B43,'B-1 Site Hedge Baseline'!$B$1:$L$257,7,FALSE))))</f>
        <v/>
      </c>
      <c r="H43" s="175" t="str">
        <f>IF(B43="","",IF(ISNA(VLOOKUP($B43,'B-1 Site Hedge Baseline'!$B$1:$L$257,8,FALSE)),"",(VLOOKUP($B43,'B-1 Site Hedge Baseline'!$B$1:$L$257,8,FALSE))))</f>
        <v/>
      </c>
      <c r="I43" s="175" t="str">
        <f>IF(B43="","",IF(ISNA(VLOOKUP($B43,'B-1 Site Hedge Baseline'!$B$1:$L$257,10,FALSE)),"",(VLOOKUP($B43,'B-1 Site Hedge Baseline'!$B$1:$L$257,10,FALSE))))</f>
        <v/>
      </c>
      <c r="J43" s="175" t="str">
        <f>IF(B43="","",IF(ISNA(VLOOKUP($B43,'B-1 Site Hedge Baseline'!$B$1:$L$257,11,FALSE)),"",(VLOOKUP($B43,'B-1 Site Hedge Baseline'!$B$1:$L$257,11,FALSE))))</f>
        <v/>
      </c>
      <c r="K43" s="175" t="str">
        <f>IF(B43="","",IF(ISNA(VLOOKUP($B43,'B-1 Site Hedge Baseline'!$B$1:$U$257,13,FALSE)),"",(VLOOKUP($B43,'B-1 Site Hedge Baseline'!$B$1:$U$257,13,FALSE))))</f>
        <v/>
      </c>
      <c r="L43" s="176" t="str">
        <f>IF(B43="","",IF(ISNA(VLOOKUP($B43,'B-1 Site Hedge Baseline'!$B$1:$U$257,12,FALSE)),"",(VLOOKUP($B43,'B-1 Site Hedge Baseline'!$B$1:$U$257,12,FALSE))))</f>
        <v/>
      </c>
      <c r="M43" s="637"/>
      <c r="N43" s="171" t="str">
        <f>IFERROR(IF(B43="","",INDEX('G-6 Hedgerow Data'!$AN$3:$AZ$15,MATCH(C43,'G-6 Hedgerow Data'!$AM$3:$AM$15,0),MATCH(M43,'G-6 Hedgerow Data'!$AN$2:$AZ$2,0))),"")</f>
        <v/>
      </c>
      <c r="O43" s="172" t="str">
        <f t="shared" si="1"/>
        <v/>
      </c>
      <c r="P43" s="642" t="str">
        <f>IF(B43="","",VLOOKUP(B43,'B-1 Site Hedge Baseline'!$B$10:T288,16,FALSE))</f>
        <v/>
      </c>
      <c r="Q43" s="171" t="str">
        <f>IF(M43="","",VLOOKUP(M43,'G-6 Hedgerow Data'!$B$2:$AG$15,2,FALSE))</f>
        <v/>
      </c>
      <c r="R43" s="172" t="str">
        <f>IF(M43="","",VLOOKUP(M43,'G-6 Hedgerow Data'!$B$2:$AG$15,3,FALSE))</f>
        <v/>
      </c>
      <c r="S43" s="189"/>
      <c r="T43" s="269" t="str">
        <f>IFERROR(VLOOKUP(S43,'G-1 All Habitats'!$Z$2:$AA$9,2,FALSE),"")</f>
        <v/>
      </c>
      <c r="U43" s="186"/>
      <c r="V43" s="175" t="str">
        <f>IF(U43="","",IF(VLOOKUP(U43,'G-3 Multipliers'!$L$3:$N$6,2,FALSE)=0,"Spatial Data Missing",VLOOKUP(U43,'G-3 Multipliers'!$L$3:$N$6,2,FALSE)))</f>
        <v/>
      </c>
      <c r="W43" s="176" t="str">
        <f>IF(U43="","",IF(VLOOKUP(U43,'G-3 Multipliers'!$L$3:$N$6,3,FALSE)=0,"Spatial Data Missing",VLOOKUP(U43,'G-3 Multipliers'!$L$3:$N$6,3,FALSE)))</f>
        <v/>
      </c>
      <c r="X43" s="171" t="str">
        <f>IFERROR(IF(OR(LEFT(O43,5)="Error",LEFT(N43,5)="Error",T43="Error"),"Check Data",IF(F43&lt;R43,INDEX('G-6 Hedgerow Data'!$S$3:$AE$14,MATCH(C43,'G-6 Hedgerow Data'!$B$3:$B$14,0),MATCH(M43,'G-6 Hedgerow Data'!$S$2:$AE$2,0)),INDEX('G-6 Hedgerow Data'!$K$3:$Q$14,MATCH(M43,'G-6 Hedgerow Data'!$B$3:$B$14,0),MATCH(O43,'G-6 Hedgerow Data'!$K$2:$Q$2,0)))),"")</f>
        <v/>
      </c>
      <c r="Y43" s="261"/>
      <c r="Z43" s="261"/>
      <c r="AA43" s="179" t="str">
        <f t="shared" si="2"/>
        <v/>
      </c>
      <c r="AB43" s="262" t="str">
        <f t="shared" si="3"/>
        <v/>
      </c>
      <c r="AC43" s="263" t="str">
        <f t="shared" si="4"/>
        <v/>
      </c>
      <c r="AD43" s="239" t="str">
        <f>IF(M43="","",VLOOKUP(M43,'G-6 Hedgerow Data'!$B$3:$AG$15,31,FALSE))</f>
        <v/>
      </c>
      <c r="AE43" s="179" t="str">
        <f t="shared" si="5"/>
        <v/>
      </c>
      <c r="AF43" s="179" t="str">
        <f t="shared" si="6"/>
        <v/>
      </c>
      <c r="AG43" s="176" t="str">
        <f>IFERROR(IF(O43="","",VLOOKUP(AD43,'G-3 Multipliers'!$P$3:$Q$6,2,FALSE)),"")</f>
        <v/>
      </c>
      <c r="AH43" s="207" t="str">
        <f t="shared" si="0"/>
        <v/>
      </c>
      <c r="AI43" s="336"/>
      <c r="AJ43" s="181"/>
      <c r="AT43" s="35" t="str">
        <f>IFERROR(INDEX('G-6 Hedgerow Data'!$BJ$3:$BJ$15,MATCH(M43,'G-6 Hedgerow Data'!$B$3:$B$15,0)),"")</f>
        <v/>
      </c>
    </row>
    <row r="44" spans="2:46" ht="13.8" x14ac:dyDescent="0.25">
      <c r="B44" s="259" t="str">
        <f>'B-1 Site Hedge Baseline'!AK42</f>
        <v/>
      </c>
      <c r="C44" s="175" t="str">
        <f>IF(B44="","",IF(ISNA(VLOOKUP($B44,'B-1 Site Hedge Baseline'!$B$1:$L$257,3,FALSE)),"",(VLOOKUP($B44,'B-1 Site Hedge Baseline'!$B$1:$L$257,3,FALSE))))</f>
        <v/>
      </c>
      <c r="D44" s="175" t="str">
        <f>IF(B44="","",IF(ISNA(VLOOKUP($B44,'B-1 Site Hedge Baseline'!$B$1:$L$257,4,FALSE)),"",(VLOOKUP($B44,'B-1 Site Hedge Baseline'!$B$1:$L$257,4,FALSE))))</f>
        <v/>
      </c>
      <c r="E44" s="175" t="str">
        <f>IF(B44="","",IF(ISNA(VLOOKUP($B44,'B-1 Site Hedge Baseline'!$B$1:$L$257,5,FALSE)),"",(VLOOKUP($B44,'B-1 Site Hedge Baseline'!$B$1:$L$257,5,FALSE))))</f>
        <v/>
      </c>
      <c r="F44" s="175" t="str">
        <f>IF(B44="","",IF(ISNA(VLOOKUP($B44,'B-1 Site Hedge Baseline'!$B$1:$L$257,6,FALSE)),"",(VLOOKUP($B44,'B-1 Site Hedge Baseline'!$B$1:$L$257,6,FALSE))))</f>
        <v/>
      </c>
      <c r="G44" s="175" t="str">
        <f>IF(B44="","",IF(ISNA(VLOOKUP($B44,'B-1 Site Hedge Baseline'!$B$1:$L$257,7,FALSE)),"",(VLOOKUP($B44,'B-1 Site Hedge Baseline'!$B$1:$L$257,7,FALSE))))</f>
        <v/>
      </c>
      <c r="H44" s="175" t="str">
        <f>IF(B44="","",IF(ISNA(VLOOKUP($B44,'B-1 Site Hedge Baseline'!$B$1:$L$257,8,FALSE)),"",(VLOOKUP($B44,'B-1 Site Hedge Baseline'!$B$1:$L$257,8,FALSE))))</f>
        <v/>
      </c>
      <c r="I44" s="175" t="str">
        <f>IF(B44="","",IF(ISNA(VLOOKUP($B44,'B-1 Site Hedge Baseline'!$B$1:$L$257,10,FALSE)),"",(VLOOKUP($B44,'B-1 Site Hedge Baseline'!$B$1:$L$257,10,FALSE))))</f>
        <v/>
      </c>
      <c r="J44" s="175" t="str">
        <f>IF(B44="","",IF(ISNA(VLOOKUP($B44,'B-1 Site Hedge Baseline'!$B$1:$L$257,11,FALSE)),"",(VLOOKUP($B44,'B-1 Site Hedge Baseline'!$B$1:$L$257,11,FALSE))))</f>
        <v/>
      </c>
      <c r="K44" s="175" t="str">
        <f>IF(B44="","",IF(ISNA(VLOOKUP($B44,'B-1 Site Hedge Baseline'!$B$1:$U$257,13,FALSE)),"",(VLOOKUP($B44,'B-1 Site Hedge Baseline'!$B$1:$U$257,13,FALSE))))</f>
        <v/>
      </c>
      <c r="L44" s="176" t="str">
        <f>IF(B44="","",IF(ISNA(VLOOKUP($B44,'B-1 Site Hedge Baseline'!$B$1:$U$257,12,FALSE)),"",(VLOOKUP($B44,'B-1 Site Hedge Baseline'!$B$1:$U$257,12,FALSE))))</f>
        <v/>
      </c>
      <c r="M44" s="637"/>
      <c r="N44" s="171" t="str">
        <f>IFERROR(IF(B44="","",INDEX('G-6 Hedgerow Data'!$AN$3:$AZ$15,MATCH(C44,'G-6 Hedgerow Data'!$AM$3:$AM$15,0),MATCH(M44,'G-6 Hedgerow Data'!$AN$2:$AZ$2,0))),"")</f>
        <v/>
      </c>
      <c r="O44" s="172" t="str">
        <f t="shared" si="1"/>
        <v/>
      </c>
      <c r="P44" s="642" t="str">
        <f>IF(B44="","",VLOOKUP(B44,'B-1 Site Hedge Baseline'!$B$10:T289,16,FALSE))</f>
        <v/>
      </c>
      <c r="Q44" s="171" t="str">
        <f>IF(M44="","",VLOOKUP(M44,'G-6 Hedgerow Data'!$B$2:$AG$15,2,FALSE))</f>
        <v/>
      </c>
      <c r="R44" s="172" t="str">
        <f>IF(M44="","",VLOOKUP(M44,'G-6 Hedgerow Data'!$B$2:$AG$15,3,FALSE))</f>
        <v/>
      </c>
      <c r="S44" s="189"/>
      <c r="T44" s="269" t="str">
        <f>IFERROR(VLOOKUP(S44,'G-1 All Habitats'!$Z$2:$AA$9,2,FALSE),"")</f>
        <v/>
      </c>
      <c r="U44" s="186"/>
      <c r="V44" s="175" t="str">
        <f>IF(U44="","",IF(VLOOKUP(U44,'G-3 Multipliers'!$L$3:$N$6,2,FALSE)=0,"Spatial Data Missing",VLOOKUP(U44,'G-3 Multipliers'!$L$3:$N$6,2,FALSE)))</f>
        <v/>
      </c>
      <c r="W44" s="176" t="str">
        <f>IF(U44="","",IF(VLOOKUP(U44,'G-3 Multipliers'!$L$3:$N$6,3,FALSE)=0,"Spatial Data Missing",VLOOKUP(U44,'G-3 Multipliers'!$L$3:$N$6,3,FALSE)))</f>
        <v/>
      </c>
      <c r="X44" s="171" t="str">
        <f>IFERROR(IF(OR(LEFT(O44,5)="Error",LEFT(N44,5)="Error",T44="Error"),"Check Data",IF(F44&lt;R44,INDEX('G-6 Hedgerow Data'!$S$3:$AE$14,MATCH(C44,'G-6 Hedgerow Data'!$B$3:$B$14,0),MATCH(M44,'G-6 Hedgerow Data'!$S$2:$AE$2,0)),INDEX('G-6 Hedgerow Data'!$K$3:$Q$14,MATCH(M44,'G-6 Hedgerow Data'!$B$3:$B$14,0),MATCH(O44,'G-6 Hedgerow Data'!$K$2:$Q$2,0)))),"")</f>
        <v/>
      </c>
      <c r="Y44" s="261"/>
      <c r="Z44" s="261"/>
      <c r="AA44" s="179" t="str">
        <f t="shared" si="2"/>
        <v/>
      </c>
      <c r="AB44" s="262" t="str">
        <f t="shared" si="3"/>
        <v/>
      </c>
      <c r="AC44" s="263" t="str">
        <f t="shared" si="4"/>
        <v/>
      </c>
      <c r="AD44" s="239" t="str">
        <f>IF(M44="","",VLOOKUP(M44,'G-6 Hedgerow Data'!$B$3:$AG$15,31,FALSE))</f>
        <v/>
      </c>
      <c r="AE44" s="179" t="str">
        <f t="shared" si="5"/>
        <v/>
      </c>
      <c r="AF44" s="179" t="str">
        <f t="shared" si="6"/>
        <v/>
      </c>
      <c r="AG44" s="176" t="str">
        <f>IFERROR(IF(O44="","",VLOOKUP(AD44,'G-3 Multipliers'!$P$3:$Q$6,2,FALSE)),"")</f>
        <v/>
      </c>
      <c r="AH44" s="207" t="str">
        <f t="shared" si="0"/>
        <v/>
      </c>
      <c r="AI44" s="336"/>
      <c r="AJ44" s="181"/>
      <c r="AT44" s="35" t="str">
        <f>IFERROR(INDEX('G-6 Hedgerow Data'!$BJ$3:$BJ$15,MATCH(M44,'G-6 Hedgerow Data'!$B$3:$B$15,0)),"")</f>
        <v/>
      </c>
    </row>
    <row r="45" spans="2:46" ht="13.8" x14ac:dyDescent="0.25">
      <c r="B45" s="259" t="str">
        <f>'B-1 Site Hedge Baseline'!AK43</f>
        <v/>
      </c>
      <c r="C45" s="175" t="str">
        <f>IF(B45="","",IF(ISNA(VLOOKUP($B45,'B-1 Site Hedge Baseline'!$B$1:$L$257,3,FALSE)),"",(VLOOKUP($B45,'B-1 Site Hedge Baseline'!$B$1:$L$257,3,FALSE))))</f>
        <v/>
      </c>
      <c r="D45" s="175" t="str">
        <f>IF(B45="","",IF(ISNA(VLOOKUP($B45,'B-1 Site Hedge Baseline'!$B$1:$L$257,4,FALSE)),"",(VLOOKUP($B45,'B-1 Site Hedge Baseline'!$B$1:$L$257,4,FALSE))))</f>
        <v/>
      </c>
      <c r="E45" s="175" t="str">
        <f>IF(B45="","",IF(ISNA(VLOOKUP($B45,'B-1 Site Hedge Baseline'!$B$1:$L$257,5,FALSE)),"",(VLOOKUP($B45,'B-1 Site Hedge Baseline'!$B$1:$L$257,5,FALSE))))</f>
        <v/>
      </c>
      <c r="F45" s="175" t="str">
        <f>IF(B45="","",IF(ISNA(VLOOKUP($B45,'B-1 Site Hedge Baseline'!$B$1:$L$257,6,FALSE)),"",(VLOOKUP($B45,'B-1 Site Hedge Baseline'!$B$1:$L$257,6,FALSE))))</f>
        <v/>
      </c>
      <c r="G45" s="175" t="str">
        <f>IF(B45="","",IF(ISNA(VLOOKUP($B45,'B-1 Site Hedge Baseline'!$B$1:$L$257,7,FALSE)),"",(VLOOKUP($B45,'B-1 Site Hedge Baseline'!$B$1:$L$257,7,FALSE))))</f>
        <v/>
      </c>
      <c r="H45" s="175" t="str">
        <f>IF(B45="","",IF(ISNA(VLOOKUP($B45,'B-1 Site Hedge Baseline'!$B$1:$L$257,8,FALSE)),"",(VLOOKUP($B45,'B-1 Site Hedge Baseline'!$B$1:$L$257,8,FALSE))))</f>
        <v/>
      </c>
      <c r="I45" s="175" t="str">
        <f>IF(B45="","",IF(ISNA(VLOOKUP($B45,'B-1 Site Hedge Baseline'!$B$1:$L$257,10,FALSE)),"",(VLOOKUP($B45,'B-1 Site Hedge Baseline'!$B$1:$L$257,10,FALSE))))</f>
        <v/>
      </c>
      <c r="J45" s="175" t="str">
        <f>IF(B45="","",IF(ISNA(VLOOKUP($B45,'B-1 Site Hedge Baseline'!$B$1:$L$257,11,FALSE)),"",(VLOOKUP($B45,'B-1 Site Hedge Baseline'!$B$1:$L$257,11,FALSE))))</f>
        <v/>
      </c>
      <c r="K45" s="175" t="str">
        <f>IF(B45="","",IF(ISNA(VLOOKUP($B45,'B-1 Site Hedge Baseline'!$B$1:$U$257,13,FALSE)),"",(VLOOKUP($B45,'B-1 Site Hedge Baseline'!$B$1:$U$257,13,FALSE))))</f>
        <v/>
      </c>
      <c r="L45" s="176" t="str">
        <f>IF(B45="","",IF(ISNA(VLOOKUP($B45,'B-1 Site Hedge Baseline'!$B$1:$U$257,12,FALSE)),"",(VLOOKUP($B45,'B-1 Site Hedge Baseline'!$B$1:$U$257,12,FALSE))))</f>
        <v/>
      </c>
      <c r="M45" s="637"/>
      <c r="N45" s="171" t="str">
        <f>IFERROR(IF(B45="","",INDEX('G-6 Hedgerow Data'!$AN$3:$AZ$15,MATCH(C45,'G-6 Hedgerow Data'!$AM$3:$AM$15,0),MATCH(M45,'G-6 Hedgerow Data'!$AN$2:$AZ$2,0))),"")</f>
        <v/>
      </c>
      <c r="O45" s="172" t="str">
        <f t="shared" si="1"/>
        <v/>
      </c>
      <c r="P45" s="642" t="str">
        <f>IF(B45="","",VLOOKUP(B45,'B-1 Site Hedge Baseline'!$B$10:T290,16,FALSE))</f>
        <v/>
      </c>
      <c r="Q45" s="171" t="str">
        <f>IF(M45="","",VLOOKUP(M45,'G-6 Hedgerow Data'!$B$2:$AG$15,2,FALSE))</f>
        <v/>
      </c>
      <c r="R45" s="172" t="str">
        <f>IF(M45="","",VLOOKUP(M45,'G-6 Hedgerow Data'!$B$2:$AG$15,3,FALSE))</f>
        <v/>
      </c>
      <c r="S45" s="189"/>
      <c r="T45" s="269" t="str">
        <f>IFERROR(VLOOKUP(S45,'G-1 All Habitats'!$Z$2:$AA$9,2,FALSE),"")</f>
        <v/>
      </c>
      <c r="U45" s="186"/>
      <c r="V45" s="175" t="str">
        <f>IF(U45="","",IF(VLOOKUP(U45,'G-3 Multipliers'!$L$3:$N$6,2,FALSE)=0,"Spatial Data Missing",VLOOKUP(U45,'G-3 Multipliers'!$L$3:$N$6,2,FALSE)))</f>
        <v/>
      </c>
      <c r="W45" s="176" t="str">
        <f>IF(U45="","",IF(VLOOKUP(U45,'G-3 Multipliers'!$L$3:$N$6,3,FALSE)=0,"Spatial Data Missing",VLOOKUP(U45,'G-3 Multipliers'!$L$3:$N$6,3,FALSE)))</f>
        <v/>
      </c>
      <c r="X45" s="171" t="str">
        <f>IFERROR(IF(OR(LEFT(O45,5)="Error",LEFT(N45,5)="Error",T45="Error"),"Check Data",IF(F45&lt;R45,INDEX('G-6 Hedgerow Data'!$S$3:$AE$14,MATCH(C45,'G-6 Hedgerow Data'!$B$3:$B$14,0),MATCH(M45,'G-6 Hedgerow Data'!$S$2:$AE$2,0)),INDEX('G-6 Hedgerow Data'!$K$3:$Q$14,MATCH(M45,'G-6 Hedgerow Data'!$B$3:$B$14,0),MATCH(O45,'G-6 Hedgerow Data'!$K$2:$Q$2,0)))),"")</f>
        <v/>
      </c>
      <c r="Y45" s="261"/>
      <c r="Z45" s="261"/>
      <c r="AA45" s="179" t="str">
        <f t="shared" si="2"/>
        <v/>
      </c>
      <c r="AB45" s="262" t="str">
        <f t="shared" si="3"/>
        <v/>
      </c>
      <c r="AC45" s="263" t="str">
        <f t="shared" si="4"/>
        <v/>
      </c>
      <c r="AD45" s="239" t="str">
        <f>IF(M45="","",VLOOKUP(M45,'G-6 Hedgerow Data'!$B$3:$AG$15,31,FALSE))</f>
        <v/>
      </c>
      <c r="AE45" s="179" t="str">
        <f t="shared" si="5"/>
        <v/>
      </c>
      <c r="AF45" s="179" t="str">
        <f t="shared" si="6"/>
        <v/>
      </c>
      <c r="AG45" s="176" t="str">
        <f>IFERROR(IF(O45="","",VLOOKUP(AD45,'G-3 Multipliers'!$P$3:$Q$6,2,FALSE)),"")</f>
        <v/>
      </c>
      <c r="AH45" s="207" t="str">
        <f t="shared" si="0"/>
        <v/>
      </c>
      <c r="AI45" s="336"/>
      <c r="AJ45" s="181"/>
      <c r="AT45" s="35" t="str">
        <f>IFERROR(INDEX('G-6 Hedgerow Data'!$BJ$3:$BJ$15,MATCH(M45,'G-6 Hedgerow Data'!$B$3:$B$15,0)),"")</f>
        <v/>
      </c>
    </row>
    <row r="46" spans="2:46" ht="13.8" x14ac:dyDescent="0.25">
      <c r="B46" s="259" t="str">
        <f>'B-1 Site Hedge Baseline'!AK44</f>
        <v/>
      </c>
      <c r="C46" s="175" t="str">
        <f>IF(B46="","",IF(ISNA(VLOOKUP($B46,'B-1 Site Hedge Baseline'!$B$1:$L$257,3,FALSE)),"",(VLOOKUP($B46,'B-1 Site Hedge Baseline'!$B$1:$L$257,3,FALSE))))</f>
        <v/>
      </c>
      <c r="D46" s="175" t="str">
        <f>IF(B46="","",IF(ISNA(VLOOKUP($B46,'B-1 Site Hedge Baseline'!$B$1:$L$257,4,FALSE)),"",(VLOOKUP($B46,'B-1 Site Hedge Baseline'!$B$1:$L$257,4,FALSE))))</f>
        <v/>
      </c>
      <c r="E46" s="175" t="str">
        <f>IF(B46="","",IF(ISNA(VLOOKUP($B46,'B-1 Site Hedge Baseline'!$B$1:$L$257,5,FALSE)),"",(VLOOKUP($B46,'B-1 Site Hedge Baseline'!$B$1:$L$257,5,FALSE))))</f>
        <v/>
      </c>
      <c r="F46" s="175" t="str">
        <f>IF(B46="","",IF(ISNA(VLOOKUP($B46,'B-1 Site Hedge Baseline'!$B$1:$L$257,6,FALSE)),"",(VLOOKUP($B46,'B-1 Site Hedge Baseline'!$B$1:$L$257,6,FALSE))))</f>
        <v/>
      </c>
      <c r="G46" s="175" t="str">
        <f>IF(B46="","",IF(ISNA(VLOOKUP($B46,'B-1 Site Hedge Baseline'!$B$1:$L$257,7,FALSE)),"",(VLOOKUP($B46,'B-1 Site Hedge Baseline'!$B$1:$L$257,7,FALSE))))</f>
        <v/>
      </c>
      <c r="H46" s="175" t="str">
        <f>IF(B46="","",IF(ISNA(VLOOKUP($B46,'B-1 Site Hedge Baseline'!$B$1:$L$257,8,FALSE)),"",(VLOOKUP($B46,'B-1 Site Hedge Baseline'!$B$1:$L$257,8,FALSE))))</f>
        <v/>
      </c>
      <c r="I46" s="175" t="str">
        <f>IF(B46="","",IF(ISNA(VLOOKUP($B46,'B-1 Site Hedge Baseline'!$B$1:$L$257,10,FALSE)),"",(VLOOKUP($B46,'B-1 Site Hedge Baseline'!$B$1:$L$257,10,FALSE))))</f>
        <v/>
      </c>
      <c r="J46" s="175" t="str">
        <f>IF(B46="","",IF(ISNA(VLOOKUP($B46,'B-1 Site Hedge Baseline'!$B$1:$L$257,11,FALSE)),"",(VLOOKUP($B46,'B-1 Site Hedge Baseline'!$B$1:$L$257,11,FALSE))))</f>
        <v/>
      </c>
      <c r="K46" s="175" t="str">
        <f>IF(B46="","",IF(ISNA(VLOOKUP($B46,'B-1 Site Hedge Baseline'!$B$1:$U$257,13,FALSE)),"",(VLOOKUP($B46,'B-1 Site Hedge Baseline'!$B$1:$U$257,13,FALSE))))</f>
        <v/>
      </c>
      <c r="L46" s="176" t="str">
        <f>IF(B46="","",IF(ISNA(VLOOKUP($B46,'B-1 Site Hedge Baseline'!$B$1:$U$257,12,FALSE)),"",(VLOOKUP($B46,'B-1 Site Hedge Baseline'!$B$1:$U$257,12,FALSE))))</f>
        <v/>
      </c>
      <c r="M46" s="637"/>
      <c r="N46" s="171" t="str">
        <f>IFERROR(IF(B46="","",INDEX('G-6 Hedgerow Data'!$AN$3:$AZ$15,MATCH(C46,'G-6 Hedgerow Data'!$AM$3:$AM$15,0),MATCH(M46,'G-6 Hedgerow Data'!$AN$2:$AZ$2,0))),"")</f>
        <v/>
      </c>
      <c r="O46" s="172" t="str">
        <f t="shared" si="1"/>
        <v/>
      </c>
      <c r="P46" s="642" t="str">
        <f>IF(B46="","",VLOOKUP(B46,'B-1 Site Hedge Baseline'!$B$10:T291,16,FALSE))</f>
        <v/>
      </c>
      <c r="Q46" s="171" t="str">
        <f>IF(M46="","",VLOOKUP(M46,'G-6 Hedgerow Data'!$B$2:$AG$15,2,FALSE))</f>
        <v/>
      </c>
      <c r="R46" s="172" t="str">
        <f>IF(M46="","",VLOOKUP(M46,'G-6 Hedgerow Data'!$B$2:$AG$15,3,FALSE))</f>
        <v/>
      </c>
      <c r="S46" s="189"/>
      <c r="T46" s="269" t="str">
        <f>IFERROR(VLOOKUP(S46,'G-1 All Habitats'!$Z$2:$AA$9,2,FALSE),"")</f>
        <v/>
      </c>
      <c r="U46" s="186"/>
      <c r="V46" s="175" t="str">
        <f>IF(U46="","",IF(VLOOKUP(U46,'G-3 Multipliers'!$L$3:$N$6,2,FALSE)=0,"Spatial Data Missing",VLOOKUP(U46,'G-3 Multipliers'!$L$3:$N$6,2,FALSE)))</f>
        <v/>
      </c>
      <c r="W46" s="176" t="str">
        <f>IF(U46="","",IF(VLOOKUP(U46,'G-3 Multipliers'!$L$3:$N$6,3,FALSE)=0,"Spatial Data Missing",VLOOKUP(U46,'G-3 Multipliers'!$L$3:$N$6,3,FALSE)))</f>
        <v/>
      </c>
      <c r="X46" s="171" t="str">
        <f>IFERROR(IF(OR(LEFT(O46,5)="Error",LEFT(N46,5)="Error",T46="Error"),"Check Data",IF(F46&lt;R46,INDEX('G-6 Hedgerow Data'!$S$3:$AE$14,MATCH(C46,'G-6 Hedgerow Data'!$B$3:$B$14,0),MATCH(M46,'G-6 Hedgerow Data'!$S$2:$AE$2,0)),INDEX('G-6 Hedgerow Data'!$K$3:$Q$14,MATCH(M46,'G-6 Hedgerow Data'!$B$3:$B$14,0),MATCH(O46,'G-6 Hedgerow Data'!$K$2:$Q$2,0)))),"")</f>
        <v/>
      </c>
      <c r="Y46" s="261"/>
      <c r="Z46" s="261"/>
      <c r="AA46" s="179" t="str">
        <f t="shared" si="2"/>
        <v/>
      </c>
      <c r="AB46" s="262" t="str">
        <f t="shared" si="3"/>
        <v/>
      </c>
      <c r="AC46" s="263" t="str">
        <f t="shared" si="4"/>
        <v/>
      </c>
      <c r="AD46" s="239" t="str">
        <f>IF(M46="","",VLOOKUP(M46,'G-6 Hedgerow Data'!$B$3:$AG$15,31,FALSE))</f>
        <v/>
      </c>
      <c r="AE46" s="179" t="str">
        <f t="shared" si="5"/>
        <v/>
      </c>
      <c r="AF46" s="179" t="str">
        <f t="shared" si="6"/>
        <v/>
      </c>
      <c r="AG46" s="176" t="str">
        <f>IFERROR(IF(O46="","",VLOOKUP(AD46,'G-3 Multipliers'!$P$3:$Q$6,2,FALSE)),"")</f>
        <v/>
      </c>
      <c r="AH46" s="207" t="str">
        <f t="shared" si="0"/>
        <v/>
      </c>
      <c r="AI46" s="336"/>
      <c r="AJ46" s="181"/>
      <c r="AT46" s="35" t="str">
        <f>IFERROR(INDEX('G-6 Hedgerow Data'!$BJ$3:$BJ$15,MATCH(M46,'G-6 Hedgerow Data'!$B$3:$B$15,0)),"")</f>
        <v/>
      </c>
    </row>
    <row r="47" spans="2:46" ht="13.8" x14ac:dyDescent="0.25">
      <c r="B47" s="259" t="str">
        <f>'B-1 Site Hedge Baseline'!AK45</f>
        <v/>
      </c>
      <c r="C47" s="175" t="str">
        <f>IF(B47="","",IF(ISNA(VLOOKUP($B47,'B-1 Site Hedge Baseline'!$B$1:$L$257,3,FALSE)),"",(VLOOKUP($B47,'B-1 Site Hedge Baseline'!$B$1:$L$257,3,FALSE))))</f>
        <v/>
      </c>
      <c r="D47" s="175" t="str">
        <f>IF(B47="","",IF(ISNA(VLOOKUP($B47,'B-1 Site Hedge Baseline'!$B$1:$L$257,4,FALSE)),"",(VLOOKUP($B47,'B-1 Site Hedge Baseline'!$B$1:$L$257,4,FALSE))))</f>
        <v/>
      </c>
      <c r="E47" s="175" t="str">
        <f>IF(B47="","",IF(ISNA(VLOOKUP($B47,'B-1 Site Hedge Baseline'!$B$1:$L$257,5,FALSE)),"",(VLOOKUP($B47,'B-1 Site Hedge Baseline'!$B$1:$L$257,5,FALSE))))</f>
        <v/>
      </c>
      <c r="F47" s="175" t="str">
        <f>IF(B47="","",IF(ISNA(VLOOKUP($B47,'B-1 Site Hedge Baseline'!$B$1:$L$257,6,FALSE)),"",(VLOOKUP($B47,'B-1 Site Hedge Baseline'!$B$1:$L$257,6,FALSE))))</f>
        <v/>
      </c>
      <c r="G47" s="175" t="str">
        <f>IF(B47="","",IF(ISNA(VLOOKUP($B47,'B-1 Site Hedge Baseline'!$B$1:$L$257,7,FALSE)),"",(VLOOKUP($B47,'B-1 Site Hedge Baseline'!$B$1:$L$257,7,FALSE))))</f>
        <v/>
      </c>
      <c r="H47" s="175" t="str">
        <f>IF(B47="","",IF(ISNA(VLOOKUP($B47,'B-1 Site Hedge Baseline'!$B$1:$L$257,8,FALSE)),"",(VLOOKUP($B47,'B-1 Site Hedge Baseline'!$B$1:$L$257,8,FALSE))))</f>
        <v/>
      </c>
      <c r="I47" s="175" t="str">
        <f>IF(B47="","",IF(ISNA(VLOOKUP($B47,'B-1 Site Hedge Baseline'!$B$1:$L$257,10,FALSE)),"",(VLOOKUP($B47,'B-1 Site Hedge Baseline'!$B$1:$L$257,10,FALSE))))</f>
        <v/>
      </c>
      <c r="J47" s="175" t="str">
        <f>IF(B47="","",IF(ISNA(VLOOKUP($B47,'B-1 Site Hedge Baseline'!$B$1:$L$257,11,FALSE)),"",(VLOOKUP($B47,'B-1 Site Hedge Baseline'!$B$1:$L$257,11,FALSE))))</f>
        <v/>
      </c>
      <c r="K47" s="175" t="str">
        <f>IF(B47="","",IF(ISNA(VLOOKUP($B47,'B-1 Site Hedge Baseline'!$B$1:$U$257,13,FALSE)),"",(VLOOKUP($B47,'B-1 Site Hedge Baseline'!$B$1:$U$257,13,FALSE))))</f>
        <v/>
      </c>
      <c r="L47" s="176" t="str">
        <f>IF(B47="","",IF(ISNA(VLOOKUP($B47,'B-1 Site Hedge Baseline'!$B$1:$U$257,12,FALSE)),"",(VLOOKUP($B47,'B-1 Site Hedge Baseline'!$B$1:$U$257,12,FALSE))))</f>
        <v/>
      </c>
      <c r="M47" s="637"/>
      <c r="N47" s="171" t="str">
        <f>IFERROR(IF(B47="","",INDEX('G-6 Hedgerow Data'!$AN$3:$AZ$15,MATCH(C47,'G-6 Hedgerow Data'!$AM$3:$AM$15,0),MATCH(M47,'G-6 Hedgerow Data'!$AN$2:$AZ$2,0))),"")</f>
        <v/>
      </c>
      <c r="O47" s="172" t="str">
        <f t="shared" si="1"/>
        <v/>
      </c>
      <c r="P47" s="642" t="str">
        <f>IF(B47="","",VLOOKUP(B47,'B-1 Site Hedge Baseline'!$B$10:T292,16,FALSE))</f>
        <v/>
      </c>
      <c r="Q47" s="171" t="str">
        <f>IF(M47="","",VLOOKUP(M47,'G-6 Hedgerow Data'!$B$2:$AG$15,2,FALSE))</f>
        <v/>
      </c>
      <c r="R47" s="172" t="str">
        <f>IF(M47="","",VLOOKUP(M47,'G-6 Hedgerow Data'!$B$2:$AG$15,3,FALSE))</f>
        <v/>
      </c>
      <c r="S47" s="189"/>
      <c r="T47" s="269" t="str">
        <f>IFERROR(VLOOKUP(S47,'G-1 All Habitats'!$Z$2:$AA$9,2,FALSE),"")</f>
        <v/>
      </c>
      <c r="U47" s="186"/>
      <c r="V47" s="175" t="str">
        <f>IF(U47="","",IF(VLOOKUP(U47,'G-3 Multipliers'!$L$3:$N$6,2,FALSE)=0,"Spatial Data Missing",VLOOKUP(U47,'G-3 Multipliers'!$L$3:$N$6,2,FALSE)))</f>
        <v/>
      </c>
      <c r="W47" s="176" t="str">
        <f>IF(U47="","",IF(VLOOKUP(U47,'G-3 Multipliers'!$L$3:$N$6,3,FALSE)=0,"Spatial Data Missing",VLOOKUP(U47,'G-3 Multipliers'!$L$3:$N$6,3,FALSE)))</f>
        <v/>
      </c>
      <c r="X47" s="171" t="str">
        <f>IFERROR(IF(OR(LEFT(O47,5)="Error",LEFT(N47,5)="Error",T47="Error"),"Check Data",IF(F47&lt;R47,INDEX('G-6 Hedgerow Data'!$S$3:$AE$14,MATCH(C47,'G-6 Hedgerow Data'!$B$3:$B$14,0),MATCH(M47,'G-6 Hedgerow Data'!$S$2:$AE$2,0)),INDEX('G-6 Hedgerow Data'!$K$3:$Q$14,MATCH(M47,'G-6 Hedgerow Data'!$B$3:$B$14,0),MATCH(O47,'G-6 Hedgerow Data'!$K$2:$Q$2,0)))),"")</f>
        <v/>
      </c>
      <c r="Y47" s="261"/>
      <c r="Z47" s="261"/>
      <c r="AA47" s="179" t="str">
        <f t="shared" si="2"/>
        <v/>
      </c>
      <c r="AB47" s="262" t="str">
        <f t="shared" si="3"/>
        <v/>
      </c>
      <c r="AC47" s="263" t="str">
        <f t="shared" si="4"/>
        <v/>
      </c>
      <c r="AD47" s="239" t="str">
        <f>IF(M47="","",VLOOKUP(M47,'G-6 Hedgerow Data'!$B$3:$AG$15,31,FALSE))</f>
        <v/>
      </c>
      <c r="AE47" s="179" t="str">
        <f t="shared" si="5"/>
        <v/>
      </c>
      <c r="AF47" s="179" t="str">
        <f t="shared" si="6"/>
        <v/>
      </c>
      <c r="AG47" s="176" t="str">
        <f>IFERROR(IF(O47="","",VLOOKUP(AD47,'G-3 Multipliers'!$P$3:$Q$6,2,FALSE)),"")</f>
        <v/>
      </c>
      <c r="AH47" s="207" t="str">
        <f t="shared" si="0"/>
        <v/>
      </c>
      <c r="AI47" s="336"/>
      <c r="AJ47" s="181"/>
      <c r="AT47" s="35" t="str">
        <f>IFERROR(INDEX('G-6 Hedgerow Data'!$BJ$3:$BJ$15,MATCH(M47,'G-6 Hedgerow Data'!$B$3:$B$15,0)),"")</f>
        <v/>
      </c>
    </row>
    <row r="48" spans="2:46" ht="13.8" x14ac:dyDescent="0.25">
      <c r="B48" s="259" t="str">
        <f>'B-1 Site Hedge Baseline'!AK46</f>
        <v/>
      </c>
      <c r="C48" s="175" t="str">
        <f>IF(B48="","",IF(ISNA(VLOOKUP($B48,'B-1 Site Hedge Baseline'!$B$1:$L$257,3,FALSE)),"",(VLOOKUP($B48,'B-1 Site Hedge Baseline'!$B$1:$L$257,3,FALSE))))</f>
        <v/>
      </c>
      <c r="D48" s="175" t="str">
        <f>IF(B48="","",IF(ISNA(VLOOKUP($B48,'B-1 Site Hedge Baseline'!$B$1:$L$257,4,FALSE)),"",(VLOOKUP($B48,'B-1 Site Hedge Baseline'!$B$1:$L$257,4,FALSE))))</f>
        <v/>
      </c>
      <c r="E48" s="175" t="str">
        <f>IF(B48="","",IF(ISNA(VLOOKUP($B48,'B-1 Site Hedge Baseline'!$B$1:$L$257,5,FALSE)),"",(VLOOKUP($B48,'B-1 Site Hedge Baseline'!$B$1:$L$257,5,FALSE))))</f>
        <v/>
      </c>
      <c r="F48" s="175" t="str">
        <f>IF(B48="","",IF(ISNA(VLOOKUP($B48,'B-1 Site Hedge Baseline'!$B$1:$L$257,6,FALSE)),"",(VLOOKUP($B48,'B-1 Site Hedge Baseline'!$B$1:$L$257,6,FALSE))))</f>
        <v/>
      </c>
      <c r="G48" s="175" t="str">
        <f>IF(B48="","",IF(ISNA(VLOOKUP($B48,'B-1 Site Hedge Baseline'!$B$1:$L$257,7,FALSE)),"",(VLOOKUP($B48,'B-1 Site Hedge Baseline'!$B$1:$L$257,7,FALSE))))</f>
        <v/>
      </c>
      <c r="H48" s="175" t="str">
        <f>IF(B48="","",IF(ISNA(VLOOKUP($B48,'B-1 Site Hedge Baseline'!$B$1:$L$257,8,FALSE)),"",(VLOOKUP($B48,'B-1 Site Hedge Baseline'!$B$1:$L$257,8,FALSE))))</f>
        <v/>
      </c>
      <c r="I48" s="175" t="str">
        <f>IF(B48="","",IF(ISNA(VLOOKUP($B48,'B-1 Site Hedge Baseline'!$B$1:$L$257,10,FALSE)),"",(VLOOKUP($B48,'B-1 Site Hedge Baseline'!$B$1:$L$257,10,FALSE))))</f>
        <v/>
      </c>
      <c r="J48" s="175" t="str">
        <f>IF(B48="","",IF(ISNA(VLOOKUP($B48,'B-1 Site Hedge Baseline'!$B$1:$L$257,11,FALSE)),"",(VLOOKUP($B48,'B-1 Site Hedge Baseline'!$B$1:$L$257,11,FALSE))))</f>
        <v/>
      </c>
      <c r="K48" s="175" t="str">
        <f>IF(B48="","",IF(ISNA(VLOOKUP($B48,'B-1 Site Hedge Baseline'!$B$1:$U$257,13,FALSE)),"",(VLOOKUP($B48,'B-1 Site Hedge Baseline'!$B$1:$U$257,13,FALSE))))</f>
        <v/>
      </c>
      <c r="L48" s="176" t="str">
        <f>IF(B48="","",IF(ISNA(VLOOKUP($B48,'B-1 Site Hedge Baseline'!$B$1:$U$257,12,FALSE)),"",(VLOOKUP($B48,'B-1 Site Hedge Baseline'!$B$1:$U$257,12,FALSE))))</f>
        <v/>
      </c>
      <c r="M48" s="637"/>
      <c r="N48" s="171" t="str">
        <f>IFERROR(IF(B48="","",INDEX('G-6 Hedgerow Data'!$AN$3:$AZ$15,MATCH(C48,'G-6 Hedgerow Data'!$AM$3:$AM$15,0),MATCH(M48,'G-6 Hedgerow Data'!$AN$2:$AZ$2,0))),"")</f>
        <v/>
      </c>
      <c r="O48" s="172" t="str">
        <f t="shared" si="1"/>
        <v/>
      </c>
      <c r="P48" s="642" t="str">
        <f>IF(B48="","",VLOOKUP(B48,'B-1 Site Hedge Baseline'!$B$10:T293,16,FALSE))</f>
        <v/>
      </c>
      <c r="Q48" s="171" t="str">
        <f>IF(M48="","",VLOOKUP(M48,'G-6 Hedgerow Data'!$B$2:$AG$15,2,FALSE))</f>
        <v/>
      </c>
      <c r="R48" s="172" t="str">
        <f>IF(M48="","",VLOOKUP(M48,'G-6 Hedgerow Data'!$B$2:$AG$15,3,FALSE))</f>
        <v/>
      </c>
      <c r="S48" s="189"/>
      <c r="T48" s="269" t="str">
        <f>IFERROR(VLOOKUP(S48,'G-1 All Habitats'!$Z$2:$AA$9,2,FALSE),"")</f>
        <v/>
      </c>
      <c r="U48" s="186"/>
      <c r="V48" s="175" t="str">
        <f>IF(U48="","",IF(VLOOKUP(U48,'G-3 Multipliers'!$L$3:$N$6,2,FALSE)=0,"Spatial Data Missing",VLOOKUP(U48,'G-3 Multipliers'!$L$3:$N$6,2,FALSE)))</f>
        <v/>
      </c>
      <c r="W48" s="176" t="str">
        <f>IF(U48="","",IF(VLOOKUP(U48,'G-3 Multipliers'!$L$3:$N$6,3,FALSE)=0,"Spatial Data Missing",VLOOKUP(U48,'G-3 Multipliers'!$L$3:$N$6,3,FALSE)))</f>
        <v/>
      </c>
      <c r="X48" s="171" t="str">
        <f>IFERROR(IF(OR(LEFT(O48,5)="Error",LEFT(N48,5)="Error",T48="Error"),"Check Data",IF(F48&lt;R48,INDEX('G-6 Hedgerow Data'!$S$3:$AE$14,MATCH(C48,'G-6 Hedgerow Data'!$B$3:$B$14,0),MATCH(M48,'G-6 Hedgerow Data'!$S$2:$AE$2,0)),INDEX('G-6 Hedgerow Data'!$K$3:$Q$14,MATCH(M48,'G-6 Hedgerow Data'!$B$3:$B$14,0),MATCH(O48,'G-6 Hedgerow Data'!$K$2:$Q$2,0)))),"")</f>
        <v/>
      </c>
      <c r="Y48" s="261"/>
      <c r="Z48" s="261"/>
      <c r="AA48" s="179" t="str">
        <f t="shared" si="2"/>
        <v/>
      </c>
      <c r="AB48" s="262" t="str">
        <f t="shared" si="3"/>
        <v/>
      </c>
      <c r="AC48" s="263" t="str">
        <f t="shared" si="4"/>
        <v/>
      </c>
      <c r="AD48" s="239" t="str">
        <f>IF(M48="","",VLOOKUP(M48,'G-6 Hedgerow Data'!$B$3:$AG$15,31,FALSE))</f>
        <v/>
      </c>
      <c r="AE48" s="179" t="str">
        <f t="shared" si="5"/>
        <v/>
      </c>
      <c r="AF48" s="179" t="str">
        <f t="shared" si="6"/>
        <v/>
      </c>
      <c r="AG48" s="176" t="str">
        <f>IFERROR(IF(O48="","",VLOOKUP(AD48,'G-3 Multipliers'!$P$3:$Q$6,2,FALSE)),"")</f>
        <v/>
      </c>
      <c r="AH48" s="207" t="str">
        <f t="shared" si="0"/>
        <v/>
      </c>
      <c r="AI48" s="336"/>
      <c r="AJ48" s="181"/>
      <c r="AT48" s="35" t="str">
        <f>IFERROR(INDEX('G-6 Hedgerow Data'!$BJ$3:$BJ$15,MATCH(M48,'G-6 Hedgerow Data'!$B$3:$B$15,0)),"")</f>
        <v/>
      </c>
    </row>
    <row r="49" spans="2:46" ht="13.8" x14ac:dyDescent="0.25">
      <c r="B49" s="259" t="str">
        <f>'B-1 Site Hedge Baseline'!AK47</f>
        <v/>
      </c>
      <c r="C49" s="175" t="str">
        <f>IF(B49="","",IF(ISNA(VLOOKUP($B49,'B-1 Site Hedge Baseline'!$B$1:$L$257,3,FALSE)),"",(VLOOKUP($B49,'B-1 Site Hedge Baseline'!$B$1:$L$257,3,FALSE))))</f>
        <v/>
      </c>
      <c r="D49" s="175" t="str">
        <f>IF(B49="","",IF(ISNA(VLOOKUP($B49,'B-1 Site Hedge Baseline'!$B$1:$L$257,4,FALSE)),"",(VLOOKUP($B49,'B-1 Site Hedge Baseline'!$B$1:$L$257,4,FALSE))))</f>
        <v/>
      </c>
      <c r="E49" s="175" t="str">
        <f>IF(B49="","",IF(ISNA(VLOOKUP($B49,'B-1 Site Hedge Baseline'!$B$1:$L$257,5,FALSE)),"",(VLOOKUP($B49,'B-1 Site Hedge Baseline'!$B$1:$L$257,5,FALSE))))</f>
        <v/>
      </c>
      <c r="F49" s="175" t="str">
        <f>IF(B49="","",IF(ISNA(VLOOKUP($B49,'B-1 Site Hedge Baseline'!$B$1:$L$257,6,FALSE)),"",(VLOOKUP($B49,'B-1 Site Hedge Baseline'!$B$1:$L$257,6,FALSE))))</f>
        <v/>
      </c>
      <c r="G49" s="175" t="str">
        <f>IF(B49="","",IF(ISNA(VLOOKUP($B49,'B-1 Site Hedge Baseline'!$B$1:$L$257,7,FALSE)),"",(VLOOKUP($B49,'B-1 Site Hedge Baseline'!$B$1:$L$257,7,FALSE))))</f>
        <v/>
      </c>
      <c r="H49" s="175" t="str">
        <f>IF(B49="","",IF(ISNA(VLOOKUP($B49,'B-1 Site Hedge Baseline'!$B$1:$L$257,8,FALSE)),"",(VLOOKUP($B49,'B-1 Site Hedge Baseline'!$B$1:$L$257,8,FALSE))))</f>
        <v/>
      </c>
      <c r="I49" s="175" t="str">
        <f>IF(B49="","",IF(ISNA(VLOOKUP($B49,'B-1 Site Hedge Baseline'!$B$1:$L$257,10,FALSE)),"",(VLOOKUP($B49,'B-1 Site Hedge Baseline'!$B$1:$L$257,10,FALSE))))</f>
        <v/>
      </c>
      <c r="J49" s="175" t="str">
        <f>IF(B49="","",IF(ISNA(VLOOKUP($B49,'B-1 Site Hedge Baseline'!$B$1:$L$257,11,FALSE)),"",(VLOOKUP($B49,'B-1 Site Hedge Baseline'!$B$1:$L$257,11,FALSE))))</f>
        <v/>
      </c>
      <c r="K49" s="175" t="str">
        <f>IF(B49="","",IF(ISNA(VLOOKUP($B49,'B-1 Site Hedge Baseline'!$B$1:$U$257,13,FALSE)),"",(VLOOKUP($B49,'B-1 Site Hedge Baseline'!$B$1:$U$257,13,FALSE))))</f>
        <v/>
      </c>
      <c r="L49" s="176" t="str">
        <f>IF(B49="","",IF(ISNA(VLOOKUP($B49,'B-1 Site Hedge Baseline'!$B$1:$U$257,12,FALSE)),"",(VLOOKUP($B49,'B-1 Site Hedge Baseline'!$B$1:$U$257,12,FALSE))))</f>
        <v/>
      </c>
      <c r="M49" s="637"/>
      <c r="N49" s="171" t="str">
        <f>IFERROR(IF(B49="","",INDEX('G-6 Hedgerow Data'!$AN$3:$AZ$15,MATCH(C49,'G-6 Hedgerow Data'!$AM$3:$AM$15,0),MATCH(M49,'G-6 Hedgerow Data'!$AN$2:$AZ$2,0))),"")</f>
        <v/>
      </c>
      <c r="O49" s="172" t="str">
        <f t="shared" si="1"/>
        <v/>
      </c>
      <c r="P49" s="642" t="str">
        <f>IF(B49="","",VLOOKUP(B49,'B-1 Site Hedge Baseline'!$B$10:T294,16,FALSE))</f>
        <v/>
      </c>
      <c r="Q49" s="171" t="str">
        <f>IF(M49="","",VLOOKUP(M49,'G-6 Hedgerow Data'!$B$2:$AG$15,2,FALSE))</f>
        <v/>
      </c>
      <c r="R49" s="172" t="str">
        <f>IF(M49="","",VLOOKUP(M49,'G-6 Hedgerow Data'!$B$2:$AG$15,3,FALSE))</f>
        <v/>
      </c>
      <c r="S49" s="189"/>
      <c r="T49" s="269" t="str">
        <f>IFERROR(VLOOKUP(S49,'G-1 All Habitats'!$Z$2:$AA$9,2,FALSE),"")</f>
        <v/>
      </c>
      <c r="U49" s="186"/>
      <c r="V49" s="175" t="str">
        <f>IF(U49="","",IF(VLOOKUP(U49,'G-3 Multipliers'!$L$3:$N$6,2,FALSE)=0,"Spatial Data Missing",VLOOKUP(U49,'G-3 Multipliers'!$L$3:$N$6,2,FALSE)))</f>
        <v/>
      </c>
      <c r="W49" s="176" t="str">
        <f>IF(U49="","",IF(VLOOKUP(U49,'G-3 Multipliers'!$L$3:$N$6,3,FALSE)=0,"Spatial Data Missing",VLOOKUP(U49,'G-3 Multipliers'!$L$3:$N$6,3,FALSE)))</f>
        <v/>
      </c>
      <c r="X49" s="171" t="str">
        <f>IFERROR(IF(OR(LEFT(O49,5)="Error",LEFT(N49,5)="Error",T49="Error"),"Check Data",IF(F49&lt;R49,INDEX('G-6 Hedgerow Data'!$S$3:$AE$14,MATCH(C49,'G-6 Hedgerow Data'!$B$3:$B$14,0),MATCH(M49,'G-6 Hedgerow Data'!$S$2:$AE$2,0)),INDEX('G-6 Hedgerow Data'!$K$3:$Q$14,MATCH(M49,'G-6 Hedgerow Data'!$B$3:$B$14,0),MATCH(O49,'G-6 Hedgerow Data'!$K$2:$Q$2,0)))),"")</f>
        <v/>
      </c>
      <c r="Y49" s="261"/>
      <c r="Z49" s="261"/>
      <c r="AA49" s="179" t="str">
        <f t="shared" si="2"/>
        <v/>
      </c>
      <c r="AB49" s="262" t="str">
        <f t="shared" si="3"/>
        <v/>
      </c>
      <c r="AC49" s="263" t="str">
        <f t="shared" si="4"/>
        <v/>
      </c>
      <c r="AD49" s="239" t="str">
        <f>IF(M49="","",VLOOKUP(M49,'G-6 Hedgerow Data'!$B$3:$AG$15,31,FALSE))</f>
        <v/>
      </c>
      <c r="AE49" s="179" t="str">
        <f t="shared" si="5"/>
        <v/>
      </c>
      <c r="AF49" s="179" t="str">
        <f t="shared" si="6"/>
        <v/>
      </c>
      <c r="AG49" s="176" t="str">
        <f>IFERROR(IF(O49="","",VLOOKUP(AD49,'G-3 Multipliers'!$P$3:$Q$6,2,FALSE)),"")</f>
        <v/>
      </c>
      <c r="AH49" s="207" t="str">
        <f t="shared" si="0"/>
        <v/>
      </c>
      <c r="AI49" s="336"/>
      <c r="AJ49" s="181"/>
      <c r="AT49" s="35" t="str">
        <f>IFERROR(INDEX('G-6 Hedgerow Data'!$BJ$3:$BJ$15,MATCH(M49,'G-6 Hedgerow Data'!$B$3:$B$15,0)),"")</f>
        <v/>
      </c>
    </row>
    <row r="50" spans="2:46" ht="13.8" x14ac:dyDescent="0.25">
      <c r="B50" s="259" t="str">
        <f>'B-1 Site Hedge Baseline'!AK48</f>
        <v/>
      </c>
      <c r="C50" s="175" t="str">
        <f>IF(B50="","",IF(ISNA(VLOOKUP($B50,'B-1 Site Hedge Baseline'!$B$1:$L$257,3,FALSE)),"",(VLOOKUP($B50,'B-1 Site Hedge Baseline'!$B$1:$L$257,3,FALSE))))</f>
        <v/>
      </c>
      <c r="D50" s="175" t="str">
        <f>IF(B50="","",IF(ISNA(VLOOKUP($B50,'B-1 Site Hedge Baseline'!$B$1:$L$257,4,FALSE)),"",(VLOOKUP($B50,'B-1 Site Hedge Baseline'!$B$1:$L$257,4,FALSE))))</f>
        <v/>
      </c>
      <c r="E50" s="175" t="str">
        <f>IF(B50="","",IF(ISNA(VLOOKUP($B50,'B-1 Site Hedge Baseline'!$B$1:$L$257,5,FALSE)),"",(VLOOKUP($B50,'B-1 Site Hedge Baseline'!$B$1:$L$257,5,FALSE))))</f>
        <v/>
      </c>
      <c r="F50" s="175" t="str">
        <f>IF(B50="","",IF(ISNA(VLOOKUP($B50,'B-1 Site Hedge Baseline'!$B$1:$L$257,6,FALSE)),"",(VLOOKUP($B50,'B-1 Site Hedge Baseline'!$B$1:$L$257,6,FALSE))))</f>
        <v/>
      </c>
      <c r="G50" s="175" t="str">
        <f>IF(B50="","",IF(ISNA(VLOOKUP($B50,'B-1 Site Hedge Baseline'!$B$1:$L$257,7,FALSE)),"",(VLOOKUP($B50,'B-1 Site Hedge Baseline'!$B$1:$L$257,7,FALSE))))</f>
        <v/>
      </c>
      <c r="H50" s="175" t="str">
        <f>IF(B50="","",IF(ISNA(VLOOKUP($B50,'B-1 Site Hedge Baseline'!$B$1:$L$257,8,FALSE)),"",(VLOOKUP($B50,'B-1 Site Hedge Baseline'!$B$1:$L$257,8,FALSE))))</f>
        <v/>
      </c>
      <c r="I50" s="175" t="str">
        <f>IF(B50="","",IF(ISNA(VLOOKUP($B50,'B-1 Site Hedge Baseline'!$B$1:$L$257,10,FALSE)),"",(VLOOKUP($B50,'B-1 Site Hedge Baseline'!$B$1:$L$257,10,FALSE))))</f>
        <v/>
      </c>
      <c r="J50" s="175" t="str">
        <f>IF(B50="","",IF(ISNA(VLOOKUP($B50,'B-1 Site Hedge Baseline'!$B$1:$L$257,11,FALSE)),"",(VLOOKUP($B50,'B-1 Site Hedge Baseline'!$B$1:$L$257,11,FALSE))))</f>
        <v/>
      </c>
      <c r="K50" s="175" t="str">
        <f>IF(B50="","",IF(ISNA(VLOOKUP($B50,'B-1 Site Hedge Baseline'!$B$1:$U$257,13,FALSE)),"",(VLOOKUP($B50,'B-1 Site Hedge Baseline'!$B$1:$U$257,13,FALSE))))</f>
        <v/>
      </c>
      <c r="L50" s="176" t="str">
        <f>IF(B50="","",IF(ISNA(VLOOKUP($B50,'B-1 Site Hedge Baseline'!$B$1:$U$257,12,FALSE)),"",(VLOOKUP($B50,'B-1 Site Hedge Baseline'!$B$1:$U$257,12,FALSE))))</f>
        <v/>
      </c>
      <c r="M50" s="637"/>
      <c r="N50" s="171" t="str">
        <f>IFERROR(IF(B50="","",INDEX('G-6 Hedgerow Data'!$AN$3:$AZ$15,MATCH(C50,'G-6 Hedgerow Data'!$AM$3:$AM$15,0),MATCH(M50,'G-6 Hedgerow Data'!$AN$2:$AZ$2,0))),"")</f>
        <v/>
      </c>
      <c r="O50" s="172" t="str">
        <f t="shared" si="1"/>
        <v/>
      </c>
      <c r="P50" s="642" t="str">
        <f>IF(B50="","",VLOOKUP(B50,'B-1 Site Hedge Baseline'!$B$10:T295,16,FALSE))</f>
        <v/>
      </c>
      <c r="Q50" s="171" t="str">
        <f>IF(M50="","",VLOOKUP(M50,'G-6 Hedgerow Data'!$B$2:$AG$15,2,FALSE))</f>
        <v/>
      </c>
      <c r="R50" s="172" t="str">
        <f>IF(M50="","",VLOOKUP(M50,'G-6 Hedgerow Data'!$B$2:$AG$15,3,FALSE))</f>
        <v/>
      </c>
      <c r="S50" s="189"/>
      <c r="T50" s="269" t="str">
        <f>IFERROR(VLOOKUP(S50,'G-1 All Habitats'!$Z$2:$AA$9,2,FALSE),"")</f>
        <v/>
      </c>
      <c r="U50" s="186"/>
      <c r="V50" s="175" t="str">
        <f>IF(U50="","",IF(VLOOKUP(U50,'G-3 Multipliers'!$L$3:$N$6,2,FALSE)=0,"Spatial Data Missing",VLOOKUP(U50,'G-3 Multipliers'!$L$3:$N$6,2,FALSE)))</f>
        <v/>
      </c>
      <c r="W50" s="176" t="str">
        <f>IF(U50="","",IF(VLOOKUP(U50,'G-3 Multipliers'!$L$3:$N$6,3,FALSE)=0,"Spatial Data Missing",VLOOKUP(U50,'G-3 Multipliers'!$L$3:$N$6,3,FALSE)))</f>
        <v/>
      </c>
      <c r="X50" s="171" t="str">
        <f>IFERROR(IF(OR(LEFT(O50,5)="Error",LEFT(N50,5)="Error",T50="Error"),"Check Data",IF(F50&lt;R50,INDEX('G-6 Hedgerow Data'!$S$3:$AE$14,MATCH(C50,'G-6 Hedgerow Data'!$B$3:$B$14,0),MATCH(M50,'G-6 Hedgerow Data'!$S$2:$AE$2,0)),INDEX('G-6 Hedgerow Data'!$K$3:$Q$14,MATCH(M50,'G-6 Hedgerow Data'!$B$3:$B$14,0),MATCH(O50,'G-6 Hedgerow Data'!$K$2:$Q$2,0)))),"")</f>
        <v/>
      </c>
      <c r="Y50" s="261"/>
      <c r="Z50" s="261"/>
      <c r="AA50" s="179" t="str">
        <f t="shared" si="2"/>
        <v/>
      </c>
      <c r="AB50" s="262" t="str">
        <f t="shared" si="3"/>
        <v/>
      </c>
      <c r="AC50" s="263" t="str">
        <f t="shared" si="4"/>
        <v/>
      </c>
      <c r="AD50" s="239" t="str">
        <f>IF(M50="","",VLOOKUP(M50,'G-6 Hedgerow Data'!$B$3:$AG$15,31,FALSE))</f>
        <v/>
      </c>
      <c r="AE50" s="179" t="str">
        <f t="shared" si="5"/>
        <v/>
      </c>
      <c r="AF50" s="179" t="str">
        <f t="shared" si="6"/>
        <v/>
      </c>
      <c r="AG50" s="176" t="str">
        <f>IFERROR(IF(O50="","",VLOOKUP(AD50,'G-3 Multipliers'!$P$3:$Q$6,2,FALSE)),"")</f>
        <v/>
      </c>
      <c r="AH50" s="207" t="str">
        <f t="shared" si="0"/>
        <v/>
      </c>
      <c r="AI50" s="336"/>
      <c r="AJ50" s="181"/>
      <c r="AT50" s="35" t="str">
        <f>IFERROR(INDEX('G-6 Hedgerow Data'!$BJ$3:$BJ$15,MATCH(M50,'G-6 Hedgerow Data'!$B$3:$B$15,0)),"")</f>
        <v/>
      </c>
    </row>
    <row r="51" spans="2:46" ht="13.8" x14ac:dyDescent="0.25">
      <c r="B51" s="259" t="str">
        <f>'B-1 Site Hedge Baseline'!AK49</f>
        <v/>
      </c>
      <c r="C51" s="175" t="str">
        <f>IF(B51="","",IF(ISNA(VLOOKUP($B51,'B-1 Site Hedge Baseline'!$B$1:$L$257,3,FALSE)),"",(VLOOKUP($B51,'B-1 Site Hedge Baseline'!$B$1:$L$257,3,FALSE))))</f>
        <v/>
      </c>
      <c r="D51" s="175" t="str">
        <f>IF(B51="","",IF(ISNA(VLOOKUP($B51,'B-1 Site Hedge Baseline'!$B$1:$L$257,4,FALSE)),"",(VLOOKUP($B51,'B-1 Site Hedge Baseline'!$B$1:$L$257,4,FALSE))))</f>
        <v/>
      </c>
      <c r="E51" s="175" t="str">
        <f>IF(B51="","",IF(ISNA(VLOOKUP($B51,'B-1 Site Hedge Baseline'!$B$1:$L$257,5,FALSE)),"",(VLOOKUP($B51,'B-1 Site Hedge Baseline'!$B$1:$L$257,5,FALSE))))</f>
        <v/>
      </c>
      <c r="F51" s="175" t="str">
        <f>IF(B51="","",IF(ISNA(VLOOKUP($B51,'B-1 Site Hedge Baseline'!$B$1:$L$257,6,FALSE)),"",(VLOOKUP($B51,'B-1 Site Hedge Baseline'!$B$1:$L$257,6,FALSE))))</f>
        <v/>
      </c>
      <c r="G51" s="175" t="str">
        <f>IF(B51="","",IF(ISNA(VLOOKUP($B51,'B-1 Site Hedge Baseline'!$B$1:$L$257,7,FALSE)),"",(VLOOKUP($B51,'B-1 Site Hedge Baseline'!$B$1:$L$257,7,FALSE))))</f>
        <v/>
      </c>
      <c r="H51" s="175" t="str">
        <f>IF(B51="","",IF(ISNA(VLOOKUP($B51,'B-1 Site Hedge Baseline'!$B$1:$L$257,8,FALSE)),"",(VLOOKUP($B51,'B-1 Site Hedge Baseline'!$B$1:$L$257,8,FALSE))))</f>
        <v/>
      </c>
      <c r="I51" s="175" t="str">
        <f>IF(B51="","",IF(ISNA(VLOOKUP($B51,'B-1 Site Hedge Baseline'!$B$1:$L$257,10,FALSE)),"",(VLOOKUP($B51,'B-1 Site Hedge Baseline'!$B$1:$L$257,10,FALSE))))</f>
        <v/>
      </c>
      <c r="J51" s="175" t="str">
        <f>IF(B51="","",IF(ISNA(VLOOKUP($B51,'B-1 Site Hedge Baseline'!$B$1:$L$257,11,FALSE)),"",(VLOOKUP($B51,'B-1 Site Hedge Baseline'!$B$1:$L$257,11,FALSE))))</f>
        <v/>
      </c>
      <c r="K51" s="175" t="str">
        <f>IF(B51="","",IF(ISNA(VLOOKUP($B51,'B-1 Site Hedge Baseline'!$B$1:$U$257,13,FALSE)),"",(VLOOKUP($B51,'B-1 Site Hedge Baseline'!$B$1:$U$257,13,FALSE))))</f>
        <v/>
      </c>
      <c r="L51" s="176" t="str">
        <f>IF(B51="","",IF(ISNA(VLOOKUP($B51,'B-1 Site Hedge Baseline'!$B$1:$U$257,12,FALSE)),"",(VLOOKUP($B51,'B-1 Site Hedge Baseline'!$B$1:$U$257,12,FALSE))))</f>
        <v/>
      </c>
      <c r="M51" s="637"/>
      <c r="N51" s="171" t="str">
        <f>IFERROR(IF(B51="","",INDEX('G-6 Hedgerow Data'!$AN$3:$AZ$15,MATCH(C51,'G-6 Hedgerow Data'!$AM$3:$AM$15,0),MATCH(M51,'G-6 Hedgerow Data'!$AN$2:$AZ$2,0))),"")</f>
        <v/>
      </c>
      <c r="O51" s="172" t="str">
        <f t="shared" si="1"/>
        <v/>
      </c>
      <c r="P51" s="642" t="str">
        <f>IF(B51="","",VLOOKUP(B51,'B-1 Site Hedge Baseline'!$B$10:T296,16,FALSE))</f>
        <v/>
      </c>
      <c r="Q51" s="171" t="str">
        <f>IF(M51="","",VLOOKUP(M51,'G-6 Hedgerow Data'!$B$2:$AG$15,2,FALSE))</f>
        <v/>
      </c>
      <c r="R51" s="172" t="str">
        <f>IF(M51="","",VLOOKUP(M51,'G-6 Hedgerow Data'!$B$2:$AG$15,3,FALSE))</f>
        <v/>
      </c>
      <c r="S51" s="189"/>
      <c r="T51" s="269" t="str">
        <f>IFERROR(VLOOKUP(S51,'G-1 All Habitats'!$Z$2:$AA$9,2,FALSE),"")</f>
        <v/>
      </c>
      <c r="U51" s="186"/>
      <c r="V51" s="175" t="str">
        <f>IF(U51="","",IF(VLOOKUP(U51,'G-3 Multipliers'!$L$3:$N$6,2,FALSE)=0,"Spatial Data Missing",VLOOKUP(U51,'G-3 Multipliers'!$L$3:$N$6,2,FALSE)))</f>
        <v/>
      </c>
      <c r="W51" s="176" t="str">
        <f>IF(U51="","",IF(VLOOKUP(U51,'G-3 Multipliers'!$L$3:$N$6,3,FALSE)=0,"Spatial Data Missing",VLOOKUP(U51,'G-3 Multipliers'!$L$3:$N$6,3,FALSE)))</f>
        <v/>
      </c>
      <c r="X51" s="171" t="str">
        <f>IFERROR(IF(OR(LEFT(O51,5)="Error",LEFT(N51,5)="Error",T51="Error"),"Check Data",IF(F51&lt;R51,INDEX('G-6 Hedgerow Data'!$S$3:$AE$14,MATCH(C51,'G-6 Hedgerow Data'!$B$3:$B$14,0),MATCH(M51,'G-6 Hedgerow Data'!$S$2:$AE$2,0)),INDEX('G-6 Hedgerow Data'!$K$3:$Q$14,MATCH(M51,'G-6 Hedgerow Data'!$B$3:$B$14,0),MATCH(O51,'G-6 Hedgerow Data'!$K$2:$Q$2,0)))),"")</f>
        <v/>
      </c>
      <c r="Y51" s="261"/>
      <c r="Z51" s="261"/>
      <c r="AA51" s="179" t="str">
        <f t="shared" si="2"/>
        <v/>
      </c>
      <c r="AB51" s="262" t="str">
        <f t="shared" si="3"/>
        <v/>
      </c>
      <c r="AC51" s="263" t="str">
        <f t="shared" si="4"/>
        <v/>
      </c>
      <c r="AD51" s="239" t="str">
        <f>IF(M51="","",VLOOKUP(M51,'G-6 Hedgerow Data'!$B$3:$AG$15,31,FALSE))</f>
        <v/>
      </c>
      <c r="AE51" s="179" t="str">
        <f t="shared" si="5"/>
        <v/>
      </c>
      <c r="AF51" s="179" t="str">
        <f t="shared" si="6"/>
        <v/>
      </c>
      <c r="AG51" s="176" t="str">
        <f>IFERROR(IF(O51="","",VLOOKUP(AD51,'G-3 Multipliers'!$P$3:$Q$6,2,FALSE)),"")</f>
        <v/>
      </c>
      <c r="AH51" s="207" t="str">
        <f t="shared" si="0"/>
        <v/>
      </c>
      <c r="AI51" s="336"/>
      <c r="AJ51" s="181"/>
      <c r="AT51" s="35" t="str">
        <f>IFERROR(INDEX('G-6 Hedgerow Data'!$BJ$3:$BJ$15,MATCH(M51,'G-6 Hedgerow Data'!$B$3:$B$15,0)),"")</f>
        <v/>
      </c>
    </row>
    <row r="52" spans="2:46" ht="13.8" x14ac:dyDescent="0.25">
      <c r="B52" s="259" t="str">
        <f>'B-1 Site Hedge Baseline'!AK50</f>
        <v/>
      </c>
      <c r="C52" s="175" t="str">
        <f>IF(B52="","",IF(ISNA(VLOOKUP($B52,'B-1 Site Hedge Baseline'!$B$1:$L$257,3,FALSE)),"",(VLOOKUP($B52,'B-1 Site Hedge Baseline'!$B$1:$L$257,3,FALSE))))</f>
        <v/>
      </c>
      <c r="D52" s="175" t="str">
        <f>IF(B52="","",IF(ISNA(VLOOKUP($B52,'B-1 Site Hedge Baseline'!$B$1:$L$257,4,FALSE)),"",(VLOOKUP($B52,'B-1 Site Hedge Baseline'!$B$1:$L$257,4,FALSE))))</f>
        <v/>
      </c>
      <c r="E52" s="175" t="str">
        <f>IF(B52="","",IF(ISNA(VLOOKUP($B52,'B-1 Site Hedge Baseline'!$B$1:$L$257,5,FALSE)),"",(VLOOKUP($B52,'B-1 Site Hedge Baseline'!$B$1:$L$257,5,FALSE))))</f>
        <v/>
      </c>
      <c r="F52" s="175" t="str">
        <f>IF(B52="","",IF(ISNA(VLOOKUP($B52,'B-1 Site Hedge Baseline'!$B$1:$L$257,6,FALSE)),"",(VLOOKUP($B52,'B-1 Site Hedge Baseline'!$B$1:$L$257,6,FALSE))))</f>
        <v/>
      </c>
      <c r="G52" s="175" t="str">
        <f>IF(B52="","",IF(ISNA(VLOOKUP($B52,'B-1 Site Hedge Baseline'!$B$1:$L$257,7,FALSE)),"",(VLOOKUP($B52,'B-1 Site Hedge Baseline'!$B$1:$L$257,7,FALSE))))</f>
        <v/>
      </c>
      <c r="H52" s="175" t="str">
        <f>IF(B52="","",IF(ISNA(VLOOKUP($B52,'B-1 Site Hedge Baseline'!$B$1:$L$257,8,FALSE)),"",(VLOOKUP($B52,'B-1 Site Hedge Baseline'!$B$1:$L$257,8,FALSE))))</f>
        <v/>
      </c>
      <c r="I52" s="175" t="str">
        <f>IF(B52="","",IF(ISNA(VLOOKUP($B52,'B-1 Site Hedge Baseline'!$B$1:$L$257,10,FALSE)),"",(VLOOKUP($B52,'B-1 Site Hedge Baseline'!$B$1:$L$257,10,FALSE))))</f>
        <v/>
      </c>
      <c r="J52" s="175" t="str">
        <f>IF(B52="","",IF(ISNA(VLOOKUP($B52,'B-1 Site Hedge Baseline'!$B$1:$L$257,11,FALSE)),"",(VLOOKUP($B52,'B-1 Site Hedge Baseline'!$B$1:$L$257,11,FALSE))))</f>
        <v/>
      </c>
      <c r="K52" s="175" t="str">
        <f>IF(B52="","",IF(ISNA(VLOOKUP($B52,'B-1 Site Hedge Baseline'!$B$1:$U$257,13,FALSE)),"",(VLOOKUP($B52,'B-1 Site Hedge Baseline'!$B$1:$U$257,13,FALSE))))</f>
        <v/>
      </c>
      <c r="L52" s="176" t="str">
        <f>IF(B52="","",IF(ISNA(VLOOKUP($B52,'B-1 Site Hedge Baseline'!$B$1:$U$257,12,FALSE)),"",(VLOOKUP($B52,'B-1 Site Hedge Baseline'!$B$1:$U$257,12,FALSE))))</f>
        <v/>
      </c>
      <c r="M52" s="637"/>
      <c r="N52" s="171" t="str">
        <f>IFERROR(IF(B52="","",INDEX('G-6 Hedgerow Data'!$AN$3:$AZ$15,MATCH(C52,'G-6 Hedgerow Data'!$AM$3:$AM$15,0),MATCH(M52,'G-6 Hedgerow Data'!$AN$2:$AZ$2,0))),"")</f>
        <v/>
      </c>
      <c r="O52" s="172" t="str">
        <f t="shared" si="1"/>
        <v/>
      </c>
      <c r="P52" s="642" t="str">
        <f>IF(B52="","",VLOOKUP(B52,'B-1 Site Hedge Baseline'!$B$10:T297,16,FALSE))</f>
        <v/>
      </c>
      <c r="Q52" s="171" t="str">
        <f>IF(M52="","",VLOOKUP(M52,'G-6 Hedgerow Data'!$B$2:$AG$15,2,FALSE))</f>
        <v/>
      </c>
      <c r="R52" s="172" t="str">
        <f>IF(M52="","",VLOOKUP(M52,'G-6 Hedgerow Data'!$B$2:$AG$15,3,FALSE))</f>
        <v/>
      </c>
      <c r="S52" s="189"/>
      <c r="T52" s="269" t="str">
        <f>IFERROR(VLOOKUP(S52,'G-1 All Habitats'!$Z$2:$AA$9,2,FALSE),"")</f>
        <v/>
      </c>
      <c r="U52" s="186"/>
      <c r="V52" s="175" t="str">
        <f>IF(U52="","",IF(VLOOKUP(U52,'G-3 Multipliers'!$L$3:$N$6,2,FALSE)=0,"Spatial Data Missing",VLOOKUP(U52,'G-3 Multipliers'!$L$3:$N$6,2,FALSE)))</f>
        <v/>
      </c>
      <c r="W52" s="176" t="str">
        <f>IF(U52="","",IF(VLOOKUP(U52,'G-3 Multipliers'!$L$3:$N$6,3,FALSE)=0,"Spatial Data Missing",VLOOKUP(U52,'G-3 Multipliers'!$L$3:$N$6,3,FALSE)))</f>
        <v/>
      </c>
      <c r="X52" s="171" t="str">
        <f>IFERROR(IF(OR(LEFT(O52,5)="Error",LEFT(N52,5)="Error",T52="Error"),"Check Data",IF(F52&lt;R52,INDEX('G-6 Hedgerow Data'!$S$3:$AE$14,MATCH(C52,'G-6 Hedgerow Data'!$B$3:$B$14,0),MATCH(M52,'G-6 Hedgerow Data'!$S$2:$AE$2,0)),INDEX('G-6 Hedgerow Data'!$K$3:$Q$14,MATCH(M52,'G-6 Hedgerow Data'!$B$3:$B$14,0),MATCH(O52,'G-6 Hedgerow Data'!$K$2:$Q$2,0)))),"")</f>
        <v/>
      </c>
      <c r="Y52" s="261"/>
      <c r="Z52" s="261"/>
      <c r="AA52" s="179" t="str">
        <f t="shared" si="2"/>
        <v/>
      </c>
      <c r="AB52" s="262" t="str">
        <f t="shared" si="3"/>
        <v/>
      </c>
      <c r="AC52" s="263" t="str">
        <f t="shared" si="4"/>
        <v/>
      </c>
      <c r="AD52" s="239" t="str">
        <f>IF(M52="","",VLOOKUP(M52,'G-6 Hedgerow Data'!$B$3:$AG$15,31,FALSE))</f>
        <v/>
      </c>
      <c r="AE52" s="179" t="str">
        <f t="shared" si="5"/>
        <v/>
      </c>
      <c r="AF52" s="179" t="str">
        <f t="shared" si="6"/>
        <v/>
      </c>
      <c r="AG52" s="176" t="str">
        <f>IFERROR(IF(O52="","",VLOOKUP(AD52,'G-3 Multipliers'!$P$3:$Q$6,2,FALSE)),"")</f>
        <v/>
      </c>
      <c r="AH52" s="207" t="str">
        <f t="shared" si="0"/>
        <v/>
      </c>
      <c r="AI52" s="336"/>
      <c r="AJ52" s="181"/>
      <c r="AT52" s="35" t="str">
        <f>IFERROR(INDEX('G-6 Hedgerow Data'!$BJ$3:$BJ$15,MATCH(M52,'G-6 Hedgerow Data'!$B$3:$B$15,0)),"")</f>
        <v/>
      </c>
    </row>
    <row r="53" spans="2:46" ht="13.8" x14ac:dyDescent="0.25">
      <c r="B53" s="259" t="str">
        <f>'B-1 Site Hedge Baseline'!AK51</f>
        <v/>
      </c>
      <c r="C53" s="175" t="str">
        <f>IF(B53="","",IF(ISNA(VLOOKUP($B53,'B-1 Site Hedge Baseline'!$B$1:$L$257,3,FALSE)),"",(VLOOKUP($B53,'B-1 Site Hedge Baseline'!$B$1:$L$257,3,FALSE))))</f>
        <v/>
      </c>
      <c r="D53" s="175" t="str">
        <f>IF(B53="","",IF(ISNA(VLOOKUP($B53,'B-1 Site Hedge Baseline'!$B$1:$L$257,4,FALSE)),"",(VLOOKUP($B53,'B-1 Site Hedge Baseline'!$B$1:$L$257,4,FALSE))))</f>
        <v/>
      </c>
      <c r="E53" s="175" t="str">
        <f>IF(B53="","",IF(ISNA(VLOOKUP($B53,'B-1 Site Hedge Baseline'!$B$1:$L$257,5,FALSE)),"",(VLOOKUP($B53,'B-1 Site Hedge Baseline'!$B$1:$L$257,5,FALSE))))</f>
        <v/>
      </c>
      <c r="F53" s="175" t="str">
        <f>IF(B53="","",IF(ISNA(VLOOKUP($B53,'B-1 Site Hedge Baseline'!$B$1:$L$257,6,FALSE)),"",(VLOOKUP($B53,'B-1 Site Hedge Baseline'!$B$1:$L$257,6,FALSE))))</f>
        <v/>
      </c>
      <c r="G53" s="175" t="str">
        <f>IF(B53="","",IF(ISNA(VLOOKUP($B53,'B-1 Site Hedge Baseline'!$B$1:$L$257,7,FALSE)),"",(VLOOKUP($B53,'B-1 Site Hedge Baseline'!$B$1:$L$257,7,FALSE))))</f>
        <v/>
      </c>
      <c r="H53" s="175" t="str">
        <f>IF(B53="","",IF(ISNA(VLOOKUP($B53,'B-1 Site Hedge Baseline'!$B$1:$L$257,8,FALSE)),"",(VLOOKUP($B53,'B-1 Site Hedge Baseline'!$B$1:$L$257,8,FALSE))))</f>
        <v/>
      </c>
      <c r="I53" s="175" t="str">
        <f>IF(B53="","",IF(ISNA(VLOOKUP($B53,'B-1 Site Hedge Baseline'!$B$1:$L$257,10,FALSE)),"",(VLOOKUP($B53,'B-1 Site Hedge Baseline'!$B$1:$L$257,10,FALSE))))</f>
        <v/>
      </c>
      <c r="J53" s="175" t="str">
        <f>IF(B53="","",IF(ISNA(VLOOKUP($B53,'B-1 Site Hedge Baseline'!$B$1:$L$257,11,FALSE)),"",(VLOOKUP($B53,'B-1 Site Hedge Baseline'!$B$1:$L$257,11,FALSE))))</f>
        <v/>
      </c>
      <c r="K53" s="175" t="str">
        <f>IF(B53="","",IF(ISNA(VLOOKUP($B53,'B-1 Site Hedge Baseline'!$B$1:$U$257,13,FALSE)),"",(VLOOKUP($B53,'B-1 Site Hedge Baseline'!$B$1:$U$257,13,FALSE))))</f>
        <v/>
      </c>
      <c r="L53" s="176" t="str">
        <f>IF(B53="","",IF(ISNA(VLOOKUP($B53,'B-1 Site Hedge Baseline'!$B$1:$U$257,12,FALSE)),"",(VLOOKUP($B53,'B-1 Site Hedge Baseline'!$B$1:$U$257,12,FALSE))))</f>
        <v/>
      </c>
      <c r="M53" s="637"/>
      <c r="N53" s="171" t="str">
        <f>IFERROR(IF(B53="","",INDEX('G-6 Hedgerow Data'!$AN$3:$AZ$15,MATCH(C53,'G-6 Hedgerow Data'!$AM$3:$AM$15,0),MATCH(M53,'G-6 Hedgerow Data'!$AN$2:$AZ$2,0))),"")</f>
        <v/>
      </c>
      <c r="O53" s="172" t="str">
        <f t="shared" si="1"/>
        <v/>
      </c>
      <c r="P53" s="642" t="str">
        <f>IF(B53="","",VLOOKUP(B53,'B-1 Site Hedge Baseline'!$B$10:T298,16,FALSE))</f>
        <v/>
      </c>
      <c r="Q53" s="171" t="str">
        <f>IF(M53="","",VLOOKUP(M53,'G-6 Hedgerow Data'!$B$2:$AG$15,2,FALSE))</f>
        <v/>
      </c>
      <c r="R53" s="172" t="str">
        <f>IF(M53="","",VLOOKUP(M53,'G-6 Hedgerow Data'!$B$2:$AG$15,3,FALSE))</f>
        <v/>
      </c>
      <c r="S53" s="189"/>
      <c r="T53" s="269" t="str">
        <f>IFERROR(VLOOKUP(S53,'G-1 All Habitats'!$Z$2:$AA$9,2,FALSE),"")</f>
        <v/>
      </c>
      <c r="U53" s="186"/>
      <c r="V53" s="175" t="str">
        <f>IF(U53="","",IF(VLOOKUP(U53,'G-3 Multipliers'!$L$3:$N$6,2,FALSE)=0,"Spatial Data Missing",VLOOKUP(U53,'G-3 Multipliers'!$L$3:$N$6,2,FALSE)))</f>
        <v/>
      </c>
      <c r="W53" s="176" t="str">
        <f>IF(U53="","",IF(VLOOKUP(U53,'G-3 Multipliers'!$L$3:$N$6,3,FALSE)=0,"Spatial Data Missing",VLOOKUP(U53,'G-3 Multipliers'!$L$3:$N$6,3,FALSE)))</f>
        <v/>
      </c>
      <c r="X53" s="171" t="str">
        <f>IFERROR(IF(OR(LEFT(O53,5)="Error",LEFT(N53,5)="Error",T53="Error"),"Check Data",IF(F53&lt;R53,INDEX('G-6 Hedgerow Data'!$S$3:$AE$14,MATCH(C53,'G-6 Hedgerow Data'!$B$3:$B$14,0),MATCH(M53,'G-6 Hedgerow Data'!$S$2:$AE$2,0)),INDEX('G-6 Hedgerow Data'!$K$3:$Q$14,MATCH(M53,'G-6 Hedgerow Data'!$B$3:$B$14,0),MATCH(O53,'G-6 Hedgerow Data'!$K$2:$Q$2,0)))),"")</f>
        <v/>
      </c>
      <c r="Y53" s="261"/>
      <c r="Z53" s="261"/>
      <c r="AA53" s="179" t="str">
        <f t="shared" si="2"/>
        <v/>
      </c>
      <c r="AB53" s="262" t="str">
        <f t="shared" si="3"/>
        <v/>
      </c>
      <c r="AC53" s="263" t="str">
        <f t="shared" si="4"/>
        <v/>
      </c>
      <c r="AD53" s="239" t="str">
        <f>IF(M53="","",VLOOKUP(M53,'G-6 Hedgerow Data'!$B$3:$AG$15,31,FALSE))</f>
        <v/>
      </c>
      <c r="AE53" s="179" t="str">
        <f t="shared" si="5"/>
        <v/>
      </c>
      <c r="AF53" s="179" t="str">
        <f t="shared" si="6"/>
        <v/>
      </c>
      <c r="AG53" s="176" t="str">
        <f>IFERROR(IF(O53="","",VLOOKUP(AD53,'G-3 Multipliers'!$P$3:$Q$6,2,FALSE)),"")</f>
        <v/>
      </c>
      <c r="AH53" s="207" t="str">
        <f t="shared" si="0"/>
        <v/>
      </c>
      <c r="AI53" s="336"/>
      <c r="AJ53" s="181"/>
      <c r="AT53" s="35" t="str">
        <f>IFERROR(INDEX('G-6 Hedgerow Data'!$BJ$3:$BJ$15,MATCH(M53,'G-6 Hedgerow Data'!$B$3:$B$15,0)),"")</f>
        <v/>
      </c>
    </row>
    <row r="54" spans="2:46" ht="13.8" x14ac:dyDescent="0.25">
      <c r="B54" s="259" t="str">
        <f>'B-1 Site Hedge Baseline'!AK52</f>
        <v/>
      </c>
      <c r="C54" s="175" t="str">
        <f>IF(B54="","",IF(ISNA(VLOOKUP($B54,'B-1 Site Hedge Baseline'!$B$1:$L$257,3,FALSE)),"",(VLOOKUP($B54,'B-1 Site Hedge Baseline'!$B$1:$L$257,3,FALSE))))</f>
        <v/>
      </c>
      <c r="D54" s="175" t="str">
        <f>IF(B54="","",IF(ISNA(VLOOKUP($B54,'B-1 Site Hedge Baseline'!$B$1:$L$257,4,FALSE)),"",(VLOOKUP($B54,'B-1 Site Hedge Baseline'!$B$1:$L$257,4,FALSE))))</f>
        <v/>
      </c>
      <c r="E54" s="175" t="str">
        <f>IF(B54="","",IF(ISNA(VLOOKUP($B54,'B-1 Site Hedge Baseline'!$B$1:$L$257,5,FALSE)),"",(VLOOKUP($B54,'B-1 Site Hedge Baseline'!$B$1:$L$257,5,FALSE))))</f>
        <v/>
      </c>
      <c r="F54" s="175" t="str">
        <f>IF(B54="","",IF(ISNA(VLOOKUP($B54,'B-1 Site Hedge Baseline'!$B$1:$L$257,6,FALSE)),"",(VLOOKUP($B54,'B-1 Site Hedge Baseline'!$B$1:$L$257,6,FALSE))))</f>
        <v/>
      </c>
      <c r="G54" s="175" t="str">
        <f>IF(B54="","",IF(ISNA(VLOOKUP($B54,'B-1 Site Hedge Baseline'!$B$1:$L$257,7,FALSE)),"",(VLOOKUP($B54,'B-1 Site Hedge Baseline'!$B$1:$L$257,7,FALSE))))</f>
        <v/>
      </c>
      <c r="H54" s="175" t="str">
        <f>IF(B54="","",IF(ISNA(VLOOKUP($B54,'B-1 Site Hedge Baseline'!$B$1:$L$257,8,FALSE)),"",(VLOOKUP($B54,'B-1 Site Hedge Baseline'!$B$1:$L$257,8,FALSE))))</f>
        <v/>
      </c>
      <c r="I54" s="175" t="str">
        <f>IF(B54="","",IF(ISNA(VLOOKUP($B54,'B-1 Site Hedge Baseline'!$B$1:$L$257,10,FALSE)),"",(VLOOKUP($B54,'B-1 Site Hedge Baseline'!$B$1:$L$257,10,FALSE))))</f>
        <v/>
      </c>
      <c r="J54" s="175" t="str">
        <f>IF(B54="","",IF(ISNA(VLOOKUP($B54,'B-1 Site Hedge Baseline'!$B$1:$L$257,11,FALSE)),"",(VLOOKUP($B54,'B-1 Site Hedge Baseline'!$B$1:$L$257,11,FALSE))))</f>
        <v/>
      </c>
      <c r="K54" s="175" t="str">
        <f>IF(B54="","",IF(ISNA(VLOOKUP($B54,'B-1 Site Hedge Baseline'!$B$1:$U$257,13,FALSE)),"",(VLOOKUP($B54,'B-1 Site Hedge Baseline'!$B$1:$U$257,13,FALSE))))</f>
        <v/>
      </c>
      <c r="L54" s="176" t="str">
        <f>IF(B54="","",IF(ISNA(VLOOKUP($B54,'B-1 Site Hedge Baseline'!$B$1:$U$257,12,FALSE)),"",(VLOOKUP($B54,'B-1 Site Hedge Baseline'!$B$1:$U$257,12,FALSE))))</f>
        <v/>
      </c>
      <c r="M54" s="637"/>
      <c r="N54" s="171" t="str">
        <f>IFERROR(IF(B54="","",INDEX('G-6 Hedgerow Data'!$AN$3:$AZ$15,MATCH(C54,'G-6 Hedgerow Data'!$AM$3:$AM$15,0),MATCH(M54,'G-6 Hedgerow Data'!$AN$2:$AZ$2,0))),"")</f>
        <v/>
      </c>
      <c r="O54" s="172" t="str">
        <f t="shared" si="1"/>
        <v/>
      </c>
      <c r="P54" s="642" t="str">
        <f>IF(B54="","",VLOOKUP(B54,'B-1 Site Hedge Baseline'!$B$10:T299,16,FALSE))</f>
        <v/>
      </c>
      <c r="Q54" s="171" t="str">
        <f>IF(M54="","",VLOOKUP(M54,'G-6 Hedgerow Data'!$B$2:$AG$15,2,FALSE))</f>
        <v/>
      </c>
      <c r="R54" s="172" t="str">
        <f>IF(M54="","",VLOOKUP(M54,'G-6 Hedgerow Data'!$B$2:$AG$15,3,FALSE))</f>
        <v/>
      </c>
      <c r="S54" s="189"/>
      <c r="T54" s="269" t="str">
        <f>IFERROR(VLOOKUP(S54,'G-1 All Habitats'!$Z$2:$AA$9,2,FALSE),"")</f>
        <v/>
      </c>
      <c r="U54" s="186"/>
      <c r="V54" s="175" t="str">
        <f>IF(U54="","",IF(VLOOKUP(U54,'G-3 Multipliers'!$L$3:$N$6,2,FALSE)=0,"Spatial Data Missing",VLOOKUP(U54,'G-3 Multipliers'!$L$3:$N$6,2,FALSE)))</f>
        <v/>
      </c>
      <c r="W54" s="176" t="str">
        <f>IF(U54="","",IF(VLOOKUP(U54,'G-3 Multipliers'!$L$3:$N$6,3,FALSE)=0,"Spatial Data Missing",VLOOKUP(U54,'G-3 Multipliers'!$L$3:$N$6,3,FALSE)))</f>
        <v/>
      </c>
      <c r="X54" s="171" t="str">
        <f>IFERROR(IF(OR(LEFT(O54,5)="Error",LEFT(N54,5)="Error",T54="Error"),"Check Data",IF(F54&lt;R54,INDEX('G-6 Hedgerow Data'!$S$3:$AE$14,MATCH(C54,'G-6 Hedgerow Data'!$B$3:$B$14,0),MATCH(M54,'G-6 Hedgerow Data'!$S$2:$AE$2,0)),INDEX('G-6 Hedgerow Data'!$K$3:$Q$14,MATCH(M54,'G-6 Hedgerow Data'!$B$3:$B$14,0),MATCH(O54,'G-6 Hedgerow Data'!$K$2:$Q$2,0)))),"")</f>
        <v/>
      </c>
      <c r="Y54" s="261"/>
      <c r="Z54" s="261"/>
      <c r="AA54" s="179" t="str">
        <f t="shared" si="2"/>
        <v/>
      </c>
      <c r="AB54" s="262" t="str">
        <f t="shared" si="3"/>
        <v/>
      </c>
      <c r="AC54" s="263" t="str">
        <f t="shared" si="4"/>
        <v/>
      </c>
      <c r="AD54" s="239" t="str">
        <f>IF(M54="","",VLOOKUP(M54,'G-6 Hedgerow Data'!$B$3:$AG$15,31,FALSE))</f>
        <v/>
      </c>
      <c r="AE54" s="179" t="str">
        <f t="shared" si="5"/>
        <v/>
      </c>
      <c r="AF54" s="179" t="str">
        <f t="shared" si="6"/>
        <v/>
      </c>
      <c r="AG54" s="176" t="str">
        <f>IFERROR(IF(O54="","",VLOOKUP(AD54,'G-3 Multipliers'!$P$3:$Q$6,2,FALSE)),"")</f>
        <v/>
      </c>
      <c r="AH54" s="207" t="str">
        <f t="shared" si="0"/>
        <v/>
      </c>
      <c r="AI54" s="336"/>
      <c r="AJ54" s="181"/>
      <c r="AT54" s="35" t="str">
        <f>IFERROR(INDEX('G-6 Hedgerow Data'!$BJ$3:$BJ$15,MATCH(M54,'G-6 Hedgerow Data'!$B$3:$B$15,0)),"")</f>
        <v/>
      </c>
    </row>
    <row r="55" spans="2:46" ht="13.8" x14ac:dyDescent="0.25">
      <c r="B55" s="259" t="str">
        <f>'B-1 Site Hedge Baseline'!AK53</f>
        <v/>
      </c>
      <c r="C55" s="175" t="str">
        <f>IF(B55="","",IF(ISNA(VLOOKUP($B55,'B-1 Site Hedge Baseline'!$B$1:$L$257,3,FALSE)),"",(VLOOKUP($B55,'B-1 Site Hedge Baseline'!$B$1:$L$257,3,FALSE))))</f>
        <v/>
      </c>
      <c r="D55" s="175" t="str">
        <f>IF(B55="","",IF(ISNA(VLOOKUP($B55,'B-1 Site Hedge Baseline'!$B$1:$L$257,4,FALSE)),"",(VLOOKUP($B55,'B-1 Site Hedge Baseline'!$B$1:$L$257,4,FALSE))))</f>
        <v/>
      </c>
      <c r="E55" s="175" t="str">
        <f>IF(B55="","",IF(ISNA(VLOOKUP($B55,'B-1 Site Hedge Baseline'!$B$1:$L$257,5,FALSE)),"",(VLOOKUP($B55,'B-1 Site Hedge Baseline'!$B$1:$L$257,5,FALSE))))</f>
        <v/>
      </c>
      <c r="F55" s="175" t="str">
        <f>IF(B55="","",IF(ISNA(VLOOKUP($B55,'B-1 Site Hedge Baseline'!$B$1:$L$257,6,FALSE)),"",(VLOOKUP($B55,'B-1 Site Hedge Baseline'!$B$1:$L$257,6,FALSE))))</f>
        <v/>
      </c>
      <c r="G55" s="175" t="str">
        <f>IF(B55="","",IF(ISNA(VLOOKUP($B55,'B-1 Site Hedge Baseline'!$B$1:$L$257,7,FALSE)),"",(VLOOKUP($B55,'B-1 Site Hedge Baseline'!$B$1:$L$257,7,FALSE))))</f>
        <v/>
      </c>
      <c r="H55" s="175" t="str">
        <f>IF(B55="","",IF(ISNA(VLOOKUP($B55,'B-1 Site Hedge Baseline'!$B$1:$L$257,8,FALSE)),"",(VLOOKUP($B55,'B-1 Site Hedge Baseline'!$B$1:$L$257,8,FALSE))))</f>
        <v/>
      </c>
      <c r="I55" s="175" t="str">
        <f>IF(B55="","",IF(ISNA(VLOOKUP($B55,'B-1 Site Hedge Baseline'!$B$1:$L$257,10,FALSE)),"",(VLOOKUP($B55,'B-1 Site Hedge Baseline'!$B$1:$L$257,10,FALSE))))</f>
        <v/>
      </c>
      <c r="J55" s="175" t="str">
        <f>IF(B55="","",IF(ISNA(VLOOKUP($B55,'B-1 Site Hedge Baseline'!$B$1:$L$257,11,FALSE)),"",(VLOOKUP($B55,'B-1 Site Hedge Baseline'!$B$1:$L$257,11,FALSE))))</f>
        <v/>
      </c>
      <c r="K55" s="175" t="str">
        <f>IF(B55="","",IF(ISNA(VLOOKUP($B55,'B-1 Site Hedge Baseline'!$B$1:$U$257,13,FALSE)),"",(VLOOKUP($B55,'B-1 Site Hedge Baseline'!$B$1:$U$257,13,FALSE))))</f>
        <v/>
      </c>
      <c r="L55" s="176" t="str">
        <f>IF(B55="","",IF(ISNA(VLOOKUP($B55,'B-1 Site Hedge Baseline'!$B$1:$U$257,12,FALSE)),"",(VLOOKUP($B55,'B-1 Site Hedge Baseline'!$B$1:$U$257,12,FALSE))))</f>
        <v/>
      </c>
      <c r="M55" s="637"/>
      <c r="N55" s="171" t="str">
        <f>IFERROR(IF(B55="","",INDEX('G-6 Hedgerow Data'!$AN$3:$AZ$15,MATCH(C55,'G-6 Hedgerow Data'!$AM$3:$AM$15,0),MATCH(M55,'G-6 Hedgerow Data'!$AN$2:$AZ$2,0))),"")</f>
        <v/>
      </c>
      <c r="O55" s="172" t="str">
        <f t="shared" si="1"/>
        <v/>
      </c>
      <c r="P55" s="642" t="str">
        <f>IF(B55="","",VLOOKUP(B55,'B-1 Site Hedge Baseline'!$B$10:T300,16,FALSE))</f>
        <v/>
      </c>
      <c r="Q55" s="171" t="str">
        <f>IF(M55="","",VLOOKUP(M55,'G-6 Hedgerow Data'!$B$2:$AG$15,2,FALSE))</f>
        <v/>
      </c>
      <c r="R55" s="172" t="str">
        <f>IF(M55="","",VLOOKUP(M55,'G-6 Hedgerow Data'!$B$2:$AG$15,3,FALSE))</f>
        <v/>
      </c>
      <c r="S55" s="189"/>
      <c r="T55" s="269" t="str">
        <f>IFERROR(VLOOKUP(S55,'G-1 All Habitats'!$Z$2:$AA$9,2,FALSE),"")</f>
        <v/>
      </c>
      <c r="U55" s="186"/>
      <c r="V55" s="175" t="str">
        <f>IF(U55="","",IF(VLOOKUP(U55,'G-3 Multipliers'!$L$3:$N$6,2,FALSE)=0,"Spatial Data Missing",VLOOKUP(U55,'G-3 Multipliers'!$L$3:$N$6,2,FALSE)))</f>
        <v/>
      </c>
      <c r="W55" s="176" t="str">
        <f>IF(U55="","",IF(VLOOKUP(U55,'G-3 Multipliers'!$L$3:$N$6,3,FALSE)=0,"Spatial Data Missing",VLOOKUP(U55,'G-3 Multipliers'!$L$3:$N$6,3,FALSE)))</f>
        <v/>
      </c>
      <c r="X55" s="171" t="str">
        <f>IFERROR(IF(OR(LEFT(O55,5)="Error",LEFT(N55,5)="Error",T55="Error"),"Check Data",IF(F55&lt;R55,INDEX('G-6 Hedgerow Data'!$S$3:$AE$14,MATCH(C55,'G-6 Hedgerow Data'!$B$3:$B$14,0),MATCH(M55,'G-6 Hedgerow Data'!$S$2:$AE$2,0)),INDEX('G-6 Hedgerow Data'!$K$3:$Q$14,MATCH(M55,'G-6 Hedgerow Data'!$B$3:$B$14,0),MATCH(O55,'G-6 Hedgerow Data'!$K$2:$Q$2,0)))),"")</f>
        <v/>
      </c>
      <c r="Y55" s="261"/>
      <c r="Z55" s="261"/>
      <c r="AA55" s="179" t="str">
        <f t="shared" si="2"/>
        <v/>
      </c>
      <c r="AB55" s="262" t="str">
        <f t="shared" si="3"/>
        <v/>
      </c>
      <c r="AC55" s="263" t="str">
        <f t="shared" si="4"/>
        <v/>
      </c>
      <c r="AD55" s="239" t="str">
        <f>IF(M55="","",VLOOKUP(M55,'G-6 Hedgerow Data'!$B$3:$AG$15,31,FALSE))</f>
        <v/>
      </c>
      <c r="AE55" s="179" t="str">
        <f t="shared" si="5"/>
        <v/>
      </c>
      <c r="AF55" s="179" t="str">
        <f t="shared" si="6"/>
        <v/>
      </c>
      <c r="AG55" s="176" t="str">
        <f>IFERROR(IF(O55="","",VLOOKUP(AD55,'G-3 Multipliers'!$P$3:$Q$6,2,FALSE)),"")</f>
        <v/>
      </c>
      <c r="AH55" s="207" t="str">
        <f t="shared" si="0"/>
        <v/>
      </c>
      <c r="AI55" s="336"/>
      <c r="AJ55" s="181"/>
      <c r="AT55" s="35" t="str">
        <f>IFERROR(INDEX('G-6 Hedgerow Data'!$BJ$3:$BJ$15,MATCH(M55,'G-6 Hedgerow Data'!$B$3:$B$15,0)),"")</f>
        <v/>
      </c>
    </row>
    <row r="56" spans="2:46" ht="13.8" x14ac:dyDescent="0.25">
      <c r="B56" s="259" t="str">
        <f>'B-1 Site Hedge Baseline'!AK54</f>
        <v/>
      </c>
      <c r="C56" s="175" t="str">
        <f>IF(B56="","",IF(ISNA(VLOOKUP($B56,'B-1 Site Hedge Baseline'!$B$1:$L$257,3,FALSE)),"",(VLOOKUP($B56,'B-1 Site Hedge Baseline'!$B$1:$L$257,3,FALSE))))</f>
        <v/>
      </c>
      <c r="D56" s="175" t="str">
        <f>IF(B56="","",IF(ISNA(VLOOKUP($B56,'B-1 Site Hedge Baseline'!$B$1:$L$257,4,FALSE)),"",(VLOOKUP($B56,'B-1 Site Hedge Baseline'!$B$1:$L$257,4,FALSE))))</f>
        <v/>
      </c>
      <c r="E56" s="175" t="str">
        <f>IF(B56="","",IF(ISNA(VLOOKUP($B56,'B-1 Site Hedge Baseline'!$B$1:$L$257,5,FALSE)),"",(VLOOKUP($B56,'B-1 Site Hedge Baseline'!$B$1:$L$257,5,FALSE))))</f>
        <v/>
      </c>
      <c r="F56" s="175" t="str">
        <f>IF(B56="","",IF(ISNA(VLOOKUP($B56,'B-1 Site Hedge Baseline'!$B$1:$L$257,6,FALSE)),"",(VLOOKUP($B56,'B-1 Site Hedge Baseline'!$B$1:$L$257,6,FALSE))))</f>
        <v/>
      </c>
      <c r="G56" s="175" t="str">
        <f>IF(B56="","",IF(ISNA(VLOOKUP($B56,'B-1 Site Hedge Baseline'!$B$1:$L$257,7,FALSE)),"",(VLOOKUP($B56,'B-1 Site Hedge Baseline'!$B$1:$L$257,7,FALSE))))</f>
        <v/>
      </c>
      <c r="H56" s="175" t="str">
        <f>IF(B56="","",IF(ISNA(VLOOKUP($B56,'B-1 Site Hedge Baseline'!$B$1:$L$257,8,FALSE)),"",(VLOOKUP($B56,'B-1 Site Hedge Baseline'!$B$1:$L$257,8,FALSE))))</f>
        <v/>
      </c>
      <c r="I56" s="175" t="str">
        <f>IF(B56="","",IF(ISNA(VLOOKUP($B56,'B-1 Site Hedge Baseline'!$B$1:$L$257,10,FALSE)),"",(VLOOKUP($B56,'B-1 Site Hedge Baseline'!$B$1:$L$257,10,FALSE))))</f>
        <v/>
      </c>
      <c r="J56" s="175" t="str">
        <f>IF(B56="","",IF(ISNA(VLOOKUP($B56,'B-1 Site Hedge Baseline'!$B$1:$L$257,11,FALSE)),"",(VLOOKUP($B56,'B-1 Site Hedge Baseline'!$B$1:$L$257,11,FALSE))))</f>
        <v/>
      </c>
      <c r="K56" s="175" t="str">
        <f>IF(B56="","",IF(ISNA(VLOOKUP($B56,'B-1 Site Hedge Baseline'!$B$1:$U$257,13,FALSE)),"",(VLOOKUP($B56,'B-1 Site Hedge Baseline'!$B$1:$U$257,13,FALSE))))</f>
        <v/>
      </c>
      <c r="L56" s="176" t="str">
        <f>IF(B56="","",IF(ISNA(VLOOKUP($B56,'B-1 Site Hedge Baseline'!$B$1:$U$257,12,FALSE)),"",(VLOOKUP($B56,'B-1 Site Hedge Baseline'!$B$1:$U$257,12,FALSE))))</f>
        <v/>
      </c>
      <c r="M56" s="637"/>
      <c r="N56" s="171" t="str">
        <f>IFERROR(IF(B56="","",INDEX('G-6 Hedgerow Data'!$AN$3:$AZ$15,MATCH(C56,'G-6 Hedgerow Data'!$AM$3:$AM$15,0),MATCH(M56,'G-6 Hedgerow Data'!$AN$2:$AZ$2,0))),"")</f>
        <v/>
      </c>
      <c r="O56" s="172" t="str">
        <f t="shared" si="1"/>
        <v/>
      </c>
      <c r="P56" s="642" t="str">
        <f>IF(B56="","",VLOOKUP(B56,'B-1 Site Hedge Baseline'!$B$10:T301,16,FALSE))</f>
        <v/>
      </c>
      <c r="Q56" s="171" t="str">
        <f>IF(M56="","",VLOOKUP(M56,'G-6 Hedgerow Data'!$B$2:$AG$15,2,FALSE))</f>
        <v/>
      </c>
      <c r="R56" s="172" t="str">
        <f>IF(M56="","",VLOOKUP(M56,'G-6 Hedgerow Data'!$B$2:$AG$15,3,FALSE))</f>
        <v/>
      </c>
      <c r="S56" s="189"/>
      <c r="T56" s="269" t="str">
        <f>IFERROR(VLOOKUP(S56,'G-1 All Habitats'!$Z$2:$AA$9,2,FALSE),"")</f>
        <v/>
      </c>
      <c r="U56" s="186"/>
      <c r="V56" s="175" t="str">
        <f>IF(U56="","",IF(VLOOKUP(U56,'G-3 Multipliers'!$L$3:$N$6,2,FALSE)=0,"Spatial Data Missing",VLOOKUP(U56,'G-3 Multipliers'!$L$3:$N$6,2,FALSE)))</f>
        <v/>
      </c>
      <c r="W56" s="176" t="str">
        <f>IF(U56="","",IF(VLOOKUP(U56,'G-3 Multipliers'!$L$3:$N$6,3,FALSE)=0,"Spatial Data Missing",VLOOKUP(U56,'G-3 Multipliers'!$L$3:$N$6,3,FALSE)))</f>
        <v/>
      </c>
      <c r="X56" s="171" t="str">
        <f>IFERROR(IF(OR(LEFT(O56,5)="Error",LEFT(N56,5)="Error",T56="Error"),"Check Data",IF(F56&lt;R56,INDEX('G-6 Hedgerow Data'!$S$3:$AE$14,MATCH(C56,'G-6 Hedgerow Data'!$B$3:$B$14,0),MATCH(M56,'G-6 Hedgerow Data'!$S$2:$AE$2,0)),INDEX('G-6 Hedgerow Data'!$K$3:$Q$14,MATCH(M56,'G-6 Hedgerow Data'!$B$3:$B$14,0),MATCH(O56,'G-6 Hedgerow Data'!$K$2:$Q$2,0)))),"")</f>
        <v/>
      </c>
      <c r="Y56" s="261"/>
      <c r="Z56" s="261"/>
      <c r="AA56" s="179" t="str">
        <f t="shared" si="2"/>
        <v/>
      </c>
      <c r="AB56" s="262" t="str">
        <f t="shared" si="3"/>
        <v/>
      </c>
      <c r="AC56" s="263" t="str">
        <f t="shared" si="4"/>
        <v/>
      </c>
      <c r="AD56" s="239" t="str">
        <f>IF(M56="","",VLOOKUP(M56,'G-6 Hedgerow Data'!$B$3:$AG$15,31,FALSE))</f>
        <v/>
      </c>
      <c r="AE56" s="179" t="str">
        <f t="shared" si="5"/>
        <v/>
      </c>
      <c r="AF56" s="179" t="str">
        <f t="shared" si="6"/>
        <v/>
      </c>
      <c r="AG56" s="176" t="str">
        <f>IFERROR(IF(O56="","",VLOOKUP(AD56,'G-3 Multipliers'!$P$3:$Q$6,2,FALSE)),"")</f>
        <v/>
      </c>
      <c r="AH56" s="207" t="str">
        <f t="shared" si="0"/>
        <v/>
      </c>
      <c r="AI56" s="336"/>
      <c r="AJ56" s="181"/>
      <c r="AT56" s="35" t="str">
        <f>IFERROR(INDEX('G-6 Hedgerow Data'!$BJ$3:$BJ$15,MATCH(M56,'G-6 Hedgerow Data'!$B$3:$B$15,0)),"")</f>
        <v/>
      </c>
    </row>
    <row r="57" spans="2:46" ht="13.8" x14ac:dyDescent="0.25">
      <c r="B57" s="259" t="str">
        <f>'B-1 Site Hedge Baseline'!AK55</f>
        <v/>
      </c>
      <c r="C57" s="175" t="str">
        <f>IF(B57="","",IF(ISNA(VLOOKUP($B57,'B-1 Site Hedge Baseline'!$B$1:$L$257,3,FALSE)),"",(VLOOKUP($B57,'B-1 Site Hedge Baseline'!$B$1:$L$257,3,FALSE))))</f>
        <v/>
      </c>
      <c r="D57" s="175" t="str">
        <f>IF(B57="","",IF(ISNA(VLOOKUP($B57,'B-1 Site Hedge Baseline'!$B$1:$L$257,4,FALSE)),"",(VLOOKUP($B57,'B-1 Site Hedge Baseline'!$B$1:$L$257,4,FALSE))))</f>
        <v/>
      </c>
      <c r="E57" s="175" t="str">
        <f>IF(B57="","",IF(ISNA(VLOOKUP($B57,'B-1 Site Hedge Baseline'!$B$1:$L$257,5,FALSE)),"",(VLOOKUP($B57,'B-1 Site Hedge Baseline'!$B$1:$L$257,5,FALSE))))</f>
        <v/>
      </c>
      <c r="F57" s="175" t="str">
        <f>IF(B57="","",IF(ISNA(VLOOKUP($B57,'B-1 Site Hedge Baseline'!$B$1:$L$257,6,FALSE)),"",(VLOOKUP($B57,'B-1 Site Hedge Baseline'!$B$1:$L$257,6,FALSE))))</f>
        <v/>
      </c>
      <c r="G57" s="175" t="str">
        <f>IF(B57="","",IF(ISNA(VLOOKUP($B57,'B-1 Site Hedge Baseline'!$B$1:$L$257,7,FALSE)),"",(VLOOKUP($B57,'B-1 Site Hedge Baseline'!$B$1:$L$257,7,FALSE))))</f>
        <v/>
      </c>
      <c r="H57" s="175" t="str">
        <f>IF(B57="","",IF(ISNA(VLOOKUP($B57,'B-1 Site Hedge Baseline'!$B$1:$L$257,8,FALSE)),"",(VLOOKUP($B57,'B-1 Site Hedge Baseline'!$B$1:$L$257,8,FALSE))))</f>
        <v/>
      </c>
      <c r="I57" s="175" t="str">
        <f>IF(B57="","",IF(ISNA(VLOOKUP($B57,'B-1 Site Hedge Baseline'!$B$1:$L$257,10,FALSE)),"",(VLOOKUP($B57,'B-1 Site Hedge Baseline'!$B$1:$L$257,10,FALSE))))</f>
        <v/>
      </c>
      <c r="J57" s="175" t="str">
        <f>IF(B57="","",IF(ISNA(VLOOKUP($B57,'B-1 Site Hedge Baseline'!$B$1:$L$257,11,FALSE)),"",(VLOOKUP($B57,'B-1 Site Hedge Baseline'!$B$1:$L$257,11,FALSE))))</f>
        <v/>
      </c>
      <c r="K57" s="175" t="str">
        <f>IF(B57="","",IF(ISNA(VLOOKUP($B57,'B-1 Site Hedge Baseline'!$B$1:$U$257,13,FALSE)),"",(VLOOKUP($B57,'B-1 Site Hedge Baseline'!$B$1:$U$257,13,FALSE))))</f>
        <v/>
      </c>
      <c r="L57" s="176" t="str">
        <f>IF(B57="","",IF(ISNA(VLOOKUP($B57,'B-1 Site Hedge Baseline'!$B$1:$U$257,12,FALSE)),"",(VLOOKUP($B57,'B-1 Site Hedge Baseline'!$B$1:$U$257,12,FALSE))))</f>
        <v/>
      </c>
      <c r="M57" s="637"/>
      <c r="N57" s="171" t="str">
        <f>IFERROR(IF(B57="","",INDEX('G-6 Hedgerow Data'!$AN$3:$AZ$15,MATCH(C57,'G-6 Hedgerow Data'!$AM$3:$AM$15,0),MATCH(M57,'G-6 Hedgerow Data'!$AN$2:$AZ$2,0))),"")</f>
        <v/>
      </c>
      <c r="O57" s="172" t="str">
        <f t="shared" si="1"/>
        <v/>
      </c>
      <c r="P57" s="642" t="str">
        <f>IF(B57="","",VLOOKUP(B57,'B-1 Site Hedge Baseline'!$B$10:T302,16,FALSE))</f>
        <v/>
      </c>
      <c r="Q57" s="171" t="str">
        <f>IF(M57="","",VLOOKUP(M57,'G-6 Hedgerow Data'!$B$2:$AG$15,2,FALSE))</f>
        <v/>
      </c>
      <c r="R57" s="172" t="str">
        <f>IF(M57="","",VLOOKUP(M57,'G-6 Hedgerow Data'!$B$2:$AG$15,3,FALSE))</f>
        <v/>
      </c>
      <c r="S57" s="189"/>
      <c r="T57" s="269" t="str">
        <f>IFERROR(VLOOKUP(S57,'G-1 All Habitats'!$Z$2:$AA$9,2,FALSE),"")</f>
        <v/>
      </c>
      <c r="U57" s="186"/>
      <c r="V57" s="175" t="str">
        <f>IF(U57="","",IF(VLOOKUP(U57,'G-3 Multipliers'!$L$3:$N$6,2,FALSE)=0,"Spatial Data Missing",VLOOKUP(U57,'G-3 Multipliers'!$L$3:$N$6,2,FALSE)))</f>
        <v/>
      </c>
      <c r="W57" s="176" t="str">
        <f>IF(U57="","",IF(VLOOKUP(U57,'G-3 Multipliers'!$L$3:$N$6,3,FALSE)=0,"Spatial Data Missing",VLOOKUP(U57,'G-3 Multipliers'!$L$3:$N$6,3,FALSE)))</f>
        <v/>
      </c>
      <c r="X57" s="171" t="str">
        <f>IFERROR(IF(OR(LEFT(O57,5)="Error",LEFT(N57,5)="Error",T57="Error"),"Check Data",IF(F57&lt;R57,INDEX('G-6 Hedgerow Data'!$S$3:$AE$14,MATCH(C57,'G-6 Hedgerow Data'!$B$3:$B$14,0),MATCH(M57,'G-6 Hedgerow Data'!$S$2:$AE$2,0)),INDEX('G-6 Hedgerow Data'!$K$3:$Q$14,MATCH(M57,'G-6 Hedgerow Data'!$B$3:$B$14,0),MATCH(O57,'G-6 Hedgerow Data'!$K$2:$Q$2,0)))),"")</f>
        <v/>
      </c>
      <c r="Y57" s="261"/>
      <c r="Z57" s="261"/>
      <c r="AA57" s="179" t="str">
        <f t="shared" si="2"/>
        <v/>
      </c>
      <c r="AB57" s="262" t="str">
        <f t="shared" si="3"/>
        <v/>
      </c>
      <c r="AC57" s="263" t="str">
        <f t="shared" si="4"/>
        <v/>
      </c>
      <c r="AD57" s="239" t="str">
        <f>IF(M57="","",VLOOKUP(M57,'G-6 Hedgerow Data'!$B$3:$AG$15,31,FALSE))</f>
        <v/>
      </c>
      <c r="AE57" s="179" t="str">
        <f t="shared" si="5"/>
        <v/>
      </c>
      <c r="AF57" s="179" t="str">
        <f t="shared" si="6"/>
        <v/>
      </c>
      <c r="AG57" s="176" t="str">
        <f>IFERROR(IF(O57="","",VLOOKUP(AD57,'G-3 Multipliers'!$P$3:$Q$6,2,FALSE)),"")</f>
        <v/>
      </c>
      <c r="AH57" s="207" t="str">
        <f t="shared" si="0"/>
        <v/>
      </c>
      <c r="AI57" s="336"/>
      <c r="AJ57" s="181"/>
      <c r="AT57" s="35" t="str">
        <f>IFERROR(INDEX('G-6 Hedgerow Data'!$BJ$3:$BJ$15,MATCH(M57,'G-6 Hedgerow Data'!$B$3:$B$15,0)),"")</f>
        <v/>
      </c>
    </row>
    <row r="58" spans="2:46" ht="13.8" x14ac:dyDescent="0.25">
      <c r="B58" s="259" t="str">
        <f>'B-1 Site Hedge Baseline'!AK56</f>
        <v/>
      </c>
      <c r="C58" s="175" t="str">
        <f>IF(B58="","",IF(ISNA(VLOOKUP($B58,'B-1 Site Hedge Baseline'!$B$1:$L$257,3,FALSE)),"",(VLOOKUP($B58,'B-1 Site Hedge Baseline'!$B$1:$L$257,3,FALSE))))</f>
        <v/>
      </c>
      <c r="D58" s="175" t="str">
        <f>IF(B58="","",IF(ISNA(VLOOKUP($B58,'B-1 Site Hedge Baseline'!$B$1:$L$257,4,FALSE)),"",(VLOOKUP($B58,'B-1 Site Hedge Baseline'!$B$1:$L$257,4,FALSE))))</f>
        <v/>
      </c>
      <c r="E58" s="175" t="str">
        <f>IF(B58="","",IF(ISNA(VLOOKUP($B58,'B-1 Site Hedge Baseline'!$B$1:$L$257,5,FALSE)),"",(VLOOKUP($B58,'B-1 Site Hedge Baseline'!$B$1:$L$257,5,FALSE))))</f>
        <v/>
      </c>
      <c r="F58" s="175" t="str">
        <f>IF(B58="","",IF(ISNA(VLOOKUP($B58,'B-1 Site Hedge Baseline'!$B$1:$L$257,6,FALSE)),"",(VLOOKUP($B58,'B-1 Site Hedge Baseline'!$B$1:$L$257,6,FALSE))))</f>
        <v/>
      </c>
      <c r="G58" s="175" t="str">
        <f>IF(B58="","",IF(ISNA(VLOOKUP($B58,'B-1 Site Hedge Baseline'!$B$1:$L$257,7,FALSE)),"",(VLOOKUP($B58,'B-1 Site Hedge Baseline'!$B$1:$L$257,7,FALSE))))</f>
        <v/>
      </c>
      <c r="H58" s="175" t="str">
        <f>IF(B58="","",IF(ISNA(VLOOKUP($B58,'B-1 Site Hedge Baseline'!$B$1:$L$257,8,FALSE)),"",(VLOOKUP($B58,'B-1 Site Hedge Baseline'!$B$1:$L$257,8,FALSE))))</f>
        <v/>
      </c>
      <c r="I58" s="175" t="str">
        <f>IF(B58="","",IF(ISNA(VLOOKUP($B58,'B-1 Site Hedge Baseline'!$B$1:$L$257,10,FALSE)),"",(VLOOKUP($B58,'B-1 Site Hedge Baseline'!$B$1:$L$257,10,FALSE))))</f>
        <v/>
      </c>
      <c r="J58" s="175" t="str">
        <f>IF(B58="","",IF(ISNA(VLOOKUP($B58,'B-1 Site Hedge Baseline'!$B$1:$L$257,11,FALSE)),"",(VLOOKUP($B58,'B-1 Site Hedge Baseline'!$B$1:$L$257,11,FALSE))))</f>
        <v/>
      </c>
      <c r="K58" s="175" t="str">
        <f>IF(B58="","",IF(ISNA(VLOOKUP($B58,'B-1 Site Hedge Baseline'!$B$1:$U$257,13,FALSE)),"",(VLOOKUP($B58,'B-1 Site Hedge Baseline'!$B$1:$U$257,13,FALSE))))</f>
        <v/>
      </c>
      <c r="L58" s="176" t="str">
        <f>IF(B58="","",IF(ISNA(VLOOKUP($B58,'B-1 Site Hedge Baseline'!$B$1:$U$257,12,FALSE)),"",(VLOOKUP($B58,'B-1 Site Hedge Baseline'!$B$1:$U$257,12,FALSE))))</f>
        <v/>
      </c>
      <c r="M58" s="637"/>
      <c r="N58" s="171" t="str">
        <f>IFERROR(IF(B58="","",INDEX('G-6 Hedgerow Data'!$AN$3:$AZ$15,MATCH(C58,'G-6 Hedgerow Data'!$AM$3:$AM$15,0),MATCH(M58,'G-6 Hedgerow Data'!$AN$2:$AZ$2,0))),"")</f>
        <v/>
      </c>
      <c r="O58" s="172" t="str">
        <f t="shared" si="1"/>
        <v/>
      </c>
      <c r="P58" s="642" t="str">
        <f>IF(B58="","",VLOOKUP(B58,'B-1 Site Hedge Baseline'!$B$10:T303,16,FALSE))</f>
        <v/>
      </c>
      <c r="Q58" s="171" t="str">
        <f>IF(M58="","",VLOOKUP(M58,'G-6 Hedgerow Data'!$B$2:$AG$15,2,FALSE))</f>
        <v/>
      </c>
      <c r="R58" s="172" t="str">
        <f>IF(M58="","",VLOOKUP(M58,'G-6 Hedgerow Data'!$B$2:$AG$15,3,FALSE))</f>
        <v/>
      </c>
      <c r="S58" s="189"/>
      <c r="T58" s="269" t="str">
        <f>IFERROR(VLOOKUP(S58,'G-1 All Habitats'!$Z$2:$AA$9,2,FALSE),"")</f>
        <v/>
      </c>
      <c r="U58" s="186"/>
      <c r="V58" s="175" t="str">
        <f>IF(U58="","",IF(VLOOKUP(U58,'G-3 Multipliers'!$L$3:$N$6,2,FALSE)=0,"Spatial Data Missing",VLOOKUP(U58,'G-3 Multipliers'!$L$3:$N$6,2,FALSE)))</f>
        <v/>
      </c>
      <c r="W58" s="176" t="str">
        <f>IF(U58="","",IF(VLOOKUP(U58,'G-3 Multipliers'!$L$3:$N$6,3,FALSE)=0,"Spatial Data Missing",VLOOKUP(U58,'G-3 Multipliers'!$L$3:$N$6,3,FALSE)))</f>
        <v/>
      </c>
      <c r="X58" s="171" t="str">
        <f>IFERROR(IF(OR(LEFT(O58,5)="Error",LEFT(N58,5)="Error",T58="Error"),"Check Data",IF(F58&lt;R58,INDEX('G-6 Hedgerow Data'!$S$3:$AE$14,MATCH(C58,'G-6 Hedgerow Data'!$B$3:$B$14,0),MATCH(M58,'G-6 Hedgerow Data'!$S$2:$AE$2,0)),INDEX('G-6 Hedgerow Data'!$K$3:$Q$14,MATCH(M58,'G-6 Hedgerow Data'!$B$3:$B$14,0),MATCH(O58,'G-6 Hedgerow Data'!$K$2:$Q$2,0)))),"")</f>
        <v/>
      </c>
      <c r="Y58" s="261"/>
      <c r="Z58" s="261"/>
      <c r="AA58" s="179" t="str">
        <f t="shared" si="2"/>
        <v/>
      </c>
      <c r="AB58" s="262" t="str">
        <f t="shared" si="3"/>
        <v/>
      </c>
      <c r="AC58" s="263" t="str">
        <f t="shared" si="4"/>
        <v/>
      </c>
      <c r="AD58" s="239" t="str">
        <f>IF(M58="","",VLOOKUP(M58,'G-6 Hedgerow Data'!$B$3:$AG$15,31,FALSE))</f>
        <v/>
      </c>
      <c r="AE58" s="179" t="str">
        <f t="shared" si="5"/>
        <v/>
      </c>
      <c r="AF58" s="179" t="str">
        <f t="shared" si="6"/>
        <v/>
      </c>
      <c r="AG58" s="176" t="str">
        <f>IFERROR(IF(O58="","",VLOOKUP(AD58,'G-3 Multipliers'!$P$3:$Q$6,2,FALSE)),"")</f>
        <v/>
      </c>
      <c r="AH58" s="207" t="str">
        <f t="shared" si="0"/>
        <v/>
      </c>
      <c r="AI58" s="336"/>
      <c r="AJ58" s="181"/>
      <c r="AT58" s="35" t="str">
        <f>IFERROR(INDEX('G-6 Hedgerow Data'!$BJ$3:$BJ$15,MATCH(M58,'G-6 Hedgerow Data'!$B$3:$B$15,0)),"")</f>
        <v/>
      </c>
    </row>
    <row r="59" spans="2:46" ht="13.8" x14ac:dyDescent="0.25">
      <c r="B59" s="259" t="str">
        <f>'B-1 Site Hedge Baseline'!AK57</f>
        <v/>
      </c>
      <c r="C59" s="175" t="str">
        <f>IF(B59="","",IF(ISNA(VLOOKUP($B59,'B-1 Site Hedge Baseline'!$B$1:$L$257,3,FALSE)),"",(VLOOKUP($B59,'B-1 Site Hedge Baseline'!$B$1:$L$257,3,FALSE))))</f>
        <v/>
      </c>
      <c r="D59" s="175" t="str">
        <f>IF(B59="","",IF(ISNA(VLOOKUP($B59,'B-1 Site Hedge Baseline'!$B$1:$L$257,4,FALSE)),"",(VLOOKUP($B59,'B-1 Site Hedge Baseline'!$B$1:$L$257,4,FALSE))))</f>
        <v/>
      </c>
      <c r="E59" s="175" t="str">
        <f>IF(B59="","",IF(ISNA(VLOOKUP($B59,'B-1 Site Hedge Baseline'!$B$1:$L$257,5,FALSE)),"",(VLOOKUP($B59,'B-1 Site Hedge Baseline'!$B$1:$L$257,5,FALSE))))</f>
        <v/>
      </c>
      <c r="F59" s="175" t="str">
        <f>IF(B59="","",IF(ISNA(VLOOKUP($B59,'B-1 Site Hedge Baseline'!$B$1:$L$257,6,FALSE)),"",(VLOOKUP($B59,'B-1 Site Hedge Baseline'!$B$1:$L$257,6,FALSE))))</f>
        <v/>
      </c>
      <c r="G59" s="175" t="str">
        <f>IF(B59="","",IF(ISNA(VLOOKUP($B59,'B-1 Site Hedge Baseline'!$B$1:$L$257,7,FALSE)),"",(VLOOKUP($B59,'B-1 Site Hedge Baseline'!$B$1:$L$257,7,FALSE))))</f>
        <v/>
      </c>
      <c r="H59" s="175" t="str">
        <f>IF(B59="","",IF(ISNA(VLOOKUP($B59,'B-1 Site Hedge Baseline'!$B$1:$L$257,8,FALSE)),"",(VLOOKUP($B59,'B-1 Site Hedge Baseline'!$B$1:$L$257,8,FALSE))))</f>
        <v/>
      </c>
      <c r="I59" s="175" t="str">
        <f>IF(B59="","",IF(ISNA(VLOOKUP($B59,'B-1 Site Hedge Baseline'!$B$1:$L$257,10,FALSE)),"",(VLOOKUP($B59,'B-1 Site Hedge Baseline'!$B$1:$L$257,10,FALSE))))</f>
        <v/>
      </c>
      <c r="J59" s="175" t="str">
        <f>IF(B59="","",IF(ISNA(VLOOKUP($B59,'B-1 Site Hedge Baseline'!$B$1:$L$257,11,FALSE)),"",(VLOOKUP($B59,'B-1 Site Hedge Baseline'!$B$1:$L$257,11,FALSE))))</f>
        <v/>
      </c>
      <c r="K59" s="175" t="str">
        <f>IF(B59="","",IF(ISNA(VLOOKUP($B59,'B-1 Site Hedge Baseline'!$B$1:$U$257,13,FALSE)),"",(VLOOKUP($B59,'B-1 Site Hedge Baseline'!$B$1:$U$257,13,FALSE))))</f>
        <v/>
      </c>
      <c r="L59" s="176" t="str">
        <f>IF(B59="","",IF(ISNA(VLOOKUP($B59,'B-1 Site Hedge Baseline'!$B$1:$U$257,12,FALSE)),"",(VLOOKUP($B59,'B-1 Site Hedge Baseline'!$B$1:$U$257,12,FALSE))))</f>
        <v/>
      </c>
      <c r="M59" s="637"/>
      <c r="N59" s="171" t="str">
        <f>IFERROR(IF(B59="","",INDEX('G-6 Hedgerow Data'!$AN$3:$AZ$15,MATCH(C59,'G-6 Hedgerow Data'!$AM$3:$AM$15,0),MATCH(M59,'G-6 Hedgerow Data'!$AN$2:$AZ$2,0))),"")</f>
        <v/>
      </c>
      <c r="O59" s="172" t="str">
        <f t="shared" si="1"/>
        <v/>
      </c>
      <c r="P59" s="642" t="str">
        <f>IF(B59="","",VLOOKUP(B59,'B-1 Site Hedge Baseline'!$B$10:T304,16,FALSE))</f>
        <v/>
      </c>
      <c r="Q59" s="171" t="str">
        <f>IF(M59="","",VLOOKUP(M59,'G-6 Hedgerow Data'!$B$2:$AG$15,2,FALSE))</f>
        <v/>
      </c>
      <c r="R59" s="172" t="str">
        <f>IF(M59="","",VLOOKUP(M59,'G-6 Hedgerow Data'!$B$2:$AG$15,3,FALSE))</f>
        <v/>
      </c>
      <c r="S59" s="189"/>
      <c r="T59" s="269" t="str">
        <f>IFERROR(VLOOKUP(S59,'G-1 All Habitats'!$Z$2:$AA$9,2,FALSE),"")</f>
        <v/>
      </c>
      <c r="U59" s="186"/>
      <c r="V59" s="175" t="str">
        <f>IF(U59="","",IF(VLOOKUP(U59,'G-3 Multipliers'!$L$3:$N$6,2,FALSE)=0,"Spatial Data Missing",VLOOKUP(U59,'G-3 Multipliers'!$L$3:$N$6,2,FALSE)))</f>
        <v/>
      </c>
      <c r="W59" s="176" t="str">
        <f>IF(U59="","",IF(VLOOKUP(U59,'G-3 Multipliers'!$L$3:$N$6,3,FALSE)=0,"Spatial Data Missing",VLOOKUP(U59,'G-3 Multipliers'!$L$3:$N$6,3,FALSE)))</f>
        <v/>
      </c>
      <c r="X59" s="171" t="str">
        <f>IFERROR(IF(OR(LEFT(O59,5)="Error",LEFT(N59,5)="Error",T59="Error"),"Check Data",IF(F59&lt;R59,INDEX('G-6 Hedgerow Data'!$S$3:$AE$14,MATCH(C59,'G-6 Hedgerow Data'!$B$3:$B$14,0),MATCH(M59,'G-6 Hedgerow Data'!$S$2:$AE$2,0)),INDEX('G-6 Hedgerow Data'!$K$3:$Q$14,MATCH(M59,'G-6 Hedgerow Data'!$B$3:$B$14,0),MATCH(O59,'G-6 Hedgerow Data'!$K$2:$Q$2,0)))),"")</f>
        <v/>
      </c>
      <c r="Y59" s="261"/>
      <c r="Z59" s="261"/>
      <c r="AA59" s="179" t="str">
        <f t="shared" si="2"/>
        <v/>
      </c>
      <c r="AB59" s="262" t="str">
        <f t="shared" si="3"/>
        <v/>
      </c>
      <c r="AC59" s="263" t="str">
        <f t="shared" si="4"/>
        <v/>
      </c>
      <c r="AD59" s="239" t="str">
        <f>IF(M59="","",VLOOKUP(M59,'G-6 Hedgerow Data'!$B$3:$AG$15,31,FALSE))</f>
        <v/>
      </c>
      <c r="AE59" s="179" t="str">
        <f t="shared" si="5"/>
        <v/>
      </c>
      <c r="AF59" s="179" t="str">
        <f t="shared" si="6"/>
        <v/>
      </c>
      <c r="AG59" s="176" t="str">
        <f>IFERROR(IF(O59="","",VLOOKUP(AD59,'G-3 Multipliers'!$P$3:$Q$6,2,FALSE)),"")</f>
        <v/>
      </c>
      <c r="AH59" s="207" t="str">
        <f t="shared" si="0"/>
        <v/>
      </c>
      <c r="AI59" s="336"/>
      <c r="AJ59" s="181"/>
      <c r="AT59" s="35" t="str">
        <f>IFERROR(INDEX('G-6 Hedgerow Data'!$BJ$3:$BJ$15,MATCH(M59,'G-6 Hedgerow Data'!$B$3:$B$15,0)),"")</f>
        <v/>
      </c>
    </row>
    <row r="60" spans="2:46" ht="13.8" x14ac:dyDescent="0.25">
      <c r="B60" s="259" t="str">
        <f>'B-1 Site Hedge Baseline'!AK58</f>
        <v/>
      </c>
      <c r="C60" s="175" t="str">
        <f>IF(B60="","",IF(ISNA(VLOOKUP($B60,'B-1 Site Hedge Baseline'!$B$1:$L$257,3,FALSE)),"",(VLOOKUP($B60,'B-1 Site Hedge Baseline'!$B$1:$L$257,3,FALSE))))</f>
        <v/>
      </c>
      <c r="D60" s="175" t="str">
        <f>IF(B60="","",IF(ISNA(VLOOKUP($B60,'B-1 Site Hedge Baseline'!$B$1:$L$257,4,FALSE)),"",(VLOOKUP($B60,'B-1 Site Hedge Baseline'!$B$1:$L$257,4,FALSE))))</f>
        <v/>
      </c>
      <c r="E60" s="175" t="str">
        <f>IF(B60="","",IF(ISNA(VLOOKUP($B60,'B-1 Site Hedge Baseline'!$B$1:$L$257,5,FALSE)),"",(VLOOKUP($B60,'B-1 Site Hedge Baseline'!$B$1:$L$257,5,FALSE))))</f>
        <v/>
      </c>
      <c r="F60" s="175" t="str">
        <f>IF(B60="","",IF(ISNA(VLOOKUP($B60,'B-1 Site Hedge Baseline'!$B$1:$L$257,6,FALSE)),"",(VLOOKUP($B60,'B-1 Site Hedge Baseline'!$B$1:$L$257,6,FALSE))))</f>
        <v/>
      </c>
      <c r="G60" s="175" t="str">
        <f>IF(B60="","",IF(ISNA(VLOOKUP($B60,'B-1 Site Hedge Baseline'!$B$1:$L$257,7,FALSE)),"",(VLOOKUP($B60,'B-1 Site Hedge Baseline'!$B$1:$L$257,7,FALSE))))</f>
        <v/>
      </c>
      <c r="H60" s="175" t="str">
        <f>IF(B60="","",IF(ISNA(VLOOKUP($B60,'B-1 Site Hedge Baseline'!$B$1:$L$257,8,FALSE)),"",(VLOOKUP($B60,'B-1 Site Hedge Baseline'!$B$1:$L$257,8,FALSE))))</f>
        <v/>
      </c>
      <c r="I60" s="175" t="str">
        <f>IF(B60="","",IF(ISNA(VLOOKUP($B60,'B-1 Site Hedge Baseline'!$B$1:$L$257,10,FALSE)),"",(VLOOKUP($B60,'B-1 Site Hedge Baseline'!$B$1:$L$257,10,FALSE))))</f>
        <v/>
      </c>
      <c r="J60" s="175" t="str">
        <f>IF(B60="","",IF(ISNA(VLOOKUP($B60,'B-1 Site Hedge Baseline'!$B$1:$L$257,11,FALSE)),"",(VLOOKUP($B60,'B-1 Site Hedge Baseline'!$B$1:$L$257,11,FALSE))))</f>
        <v/>
      </c>
      <c r="K60" s="175" t="str">
        <f>IF(B60="","",IF(ISNA(VLOOKUP($B60,'B-1 Site Hedge Baseline'!$B$1:$U$257,13,FALSE)),"",(VLOOKUP($B60,'B-1 Site Hedge Baseline'!$B$1:$U$257,13,FALSE))))</f>
        <v/>
      </c>
      <c r="L60" s="176" t="str">
        <f>IF(B60="","",IF(ISNA(VLOOKUP($B60,'B-1 Site Hedge Baseline'!$B$1:$U$257,12,FALSE)),"",(VLOOKUP($B60,'B-1 Site Hedge Baseline'!$B$1:$U$257,12,FALSE))))</f>
        <v/>
      </c>
      <c r="M60" s="637"/>
      <c r="N60" s="171" t="str">
        <f>IFERROR(IF(B60="","",INDEX('G-6 Hedgerow Data'!$AN$3:$AZ$15,MATCH(C60,'G-6 Hedgerow Data'!$AM$3:$AM$15,0),MATCH(M60,'G-6 Hedgerow Data'!$AN$2:$AZ$2,0))),"")</f>
        <v/>
      </c>
      <c r="O60" s="172" t="str">
        <f t="shared" si="1"/>
        <v/>
      </c>
      <c r="P60" s="642" t="str">
        <f>IF(B60="","",VLOOKUP(B60,'B-1 Site Hedge Baseline'!$B$10:T305,16,FALSE))</f>
        <v/>
      </c>
      <c r="Q60" s="171" t="str">
        <f>IF(M60="","",VLOOKUP(M60,'G-6 Hedgerow Data'!$B$2:$AG$15,2,FALSE))</f>
        <v/>
      </c>
      <c r="R60" s="172" t="str">
        <f>IF(M60="","",VLOOKUP(M60,'G-6 Hedgerow Data'!$B$2:$AG$15,3,FALSE))</f>
        <v/>
      </c>
      <c r="S60" s="189"/>
      <c r="T60" s="269" t="str">
        <f>IFERROR(VLOOKUP(S60,'G-1 All Habitats'!$Z$2:$AA$9,2,FALSE),"")</f>
        <v/>
      </c>
      <c r="U60" s="186"/>
      <c r="V60" s="175" t="str">
        <f>IF(U60="","",IF(VLOOKUP(U60,'G-3 Multipliers'!$L$3:$N$6,2,FALSE)=0,"Spatial Data Missing",VLOOKUP(U60,'G-3 Multipliers'!$L$3:$N$6,2,FALSE)))</f>
        <v/>
      </c>
      <c r="W60" s="176" t="str">
        <f>IF(U60="","",IF(VLOOKUP(U60,'G-3 Multipliers'!$L$3:$N$6,3,FALSE)=0,"Spatial Data Missing",VLOOKUP(U60,'G-3 Multipliers'!$L$3:$N$6,3,FALSE)))</f>
        <v/>
      </c>
      <c r="X60" s="171" t="str">
        <f>IFERROR(IF(OR(LEFT(O60,5)="Error",LEFT(N60,5)="Error",T60="Error"),"Check Data",IF(F60&lt;R60,INDEX('G-6 Hedgerow Data'!$S$3:$AE$14,MATCH(C60,'G-6 Hedgerow Data'!$B$3:$B$14,0),MATCH(M60,'G-6 Hedgerow Data'!$S$2:$AE$2,0)),INDEX('G-6 Hedgerow Data'!$K$3:$Q$14,MATCH(M60,'G-6 Hedgerow Data'!$B$3:$B$14,0),MATCH(O60,'G-6 Hedgerow Data'!$K$2:$Q$2,0)))),"")</f>
        <v/>
      </c>
      <c r="Y60" s="261"/>
      <c r="Z60" s="261"/>
      <c r="AA60" s="179" t="str">
        <f t="shared" si="2"/>
        <v/>
      </c>
      <c r="AB60" s="262" t="str">
        <f t="shared" si="3"/>
        <v/>
      </c>
      <c r="AC60" s="263" t="str">
        <f t="shared" si="4"/>
        <v/>
      </c>
      <c r="AD60" s="239" t="str">
        <f>IF(M60="","",VLOOKUP(M60,'G-6 Hedgerow Data'!$B$3:$AG$15,31,FALSE))</f>
        <v/>
      </c>
      <c r="AE60" s="179" t="str">
        <f t="shared" si="5"/>
        <v/>
      </c>
      <c r="AF60" s="179" t="str">
        <f t="shared" si="6"/>
        <v/>
      </c>
      <c r="AG60" s="176" t="str">
        <f>IFERROR(IF(O60="","",VLOOKUP(AD60,'G-3 Multipliers'!$P$3:$Q$6,2,FALSE)),"")</f>
        <v/>
      </c>
      <c r="AH60" s="207" t="str">
        <f t="shared" si="0"/>
        <v/>
      </c>
      <c r="AI60" s="336"/>
      <c r="AJ60" s="181"/>
      <c r="AT60" s="35" t="str">
        <f>IFERROR(INDEX('G-6 Hedgerow Data'!$BJ$3:$BJ$15,MATCH(M60,'G-6 Hedgerow Data'!$B$3:$B$15,0)),"")</f>
        <v/>
      </c>
    </row>
    <row r="61" spans="2:46" ht="13.8" x14ac:dyDescent="0.25">
      <c r="B61" s="259" t="str">
        <f>'B-1 Site Hedge Baseline'!AK59</f>
        <v/>
      </c>
      <c r="C61" s="175" t="str">
        <f>IF(B61="","",IF(ISNA(VLOOKUP($B61,'B-1 Site Hedge Baseline'!$B$1:$L$257,3,FALSE)),"",(VLOOKUP($B61,'B-1 Site Hedge Baseline'!$B$1:$L$257,3,FALSE))))</f>
        <v/>
      </c>
      <c r="D61" s="175" t="str">
        <f>IF(B61="","",IF(ISNA(VLOOKUP($B61,'B-1 Site Hedge Baseline'!$B$1:$L$257,4,FALSE)),"",(VLOOKUP($B61,'B-1 Site Hedge Baseline'!$B$1:$L$257,4,FALSE))))</f>
        <v/>
      </c>
      <c r="E61" s="175" t="str">
        <f>IF(B61="","",IF(ISNA(VLOOKUP($B61,'B-1 Site Hedge Baseline'!$B$1:$L$257,5,FALSE)),"",(VLOOKUP($B61,'B-1 Site Hedge Baseline'!$B$1:$L$257,5,FALSE))))</f>
        <v/>
      </c>
      <c r="F61" s="175" t="str">
        <f>IF(B61="","",IF(ISNA(VLOOKUP($B61,'B-1 Site Hedge Baseline'!$B$1:$L$257,6,FALSE)),"",(VLOOKUP($B61,'B-1 Site Hedge Baseline'!$B$1:$L$257,6,FALSE))))</f>
        <v/>
      </c>
      <c r="G61" s="175" t="str">
        <f>IF(B61="","",IF(ISNA(VLOOKUP($B61,'B-1 Site Hedge Baseline'!$B$1:$L$257,7,FALSE)),"",(VLOOKUP($B61,'B-1 Site Hedge Baseline'!$B$1:$L$257,7,FALSE))))</f>
        <v/>
      </c>
      <c r="H61" s="175" t="str">
        <f>IF(B61="","",IF(ISNA(VLOOKUP($B61,'B-1 Site Hedge Baseline'!$B$1:$L$257,8,FALSE)),"",(VLOOKUP($B61,'B-1 Site Hedge Baseline'!$B$1:$L$257,8,FALSE))))</f>
        <v/>
      </c>
      <c r="I61" s="175" t="str">
        <f>IF(B61="","",IF(ISNA(VLOOKUP($B61,'B-1 Site Hedge Baseline'!$B$1:$L$257,10,FALSE)),"",(VLOOKUP($B61,'B-1 Site Hedge Baseline'!$B$1:$L$257,10,FALSE))))</f>
        <v/>
      </c>
      <c r="J61" s="175" t="str">
        <f>IF(B61="","",IF(ISNA(VLOOKUP($B61,'B-1 Site Hedge Baseline'!$B$1:$L$257,11,FALSE)),"",(VLOOKUP($B61,'B-1 Site Hedge Baseline'!$B$1:$L$257,11,FALSE))))</f>
        <v/>
      </c>
      <c r="K61" s="175" t="str">
        <f>IF(B61="","",IF(ISNA(VLOOKUP($B61,'B-1 Site Hedge Baseline'!$B$1:$U$257,13,FALSE)),"",(VLOOKUP($B61,'B-1 Site Hedge Baseline'!$B$1:$U$257,13,FALSE))))</f>
        <v/>
      </c>
      <c r="L61" s="176" t="str">
        <f>IF(B61="","",IF(ISNA(VLOOKUP($B61,'B-1 Site Hedge Baseline'!$B$1:$U$257,12,FALSE)),"",(VLOOKUP($B61,'B-1 Site Hedge Baseline'!$B$1:$U$257,12,FALSE))))</f>
        <v/>
      </c>
      <c r="M61" s="637"/>
      <c r="N61" s="171" t="str">
        <f>IFERROR(IF(B61="","",INDEX('G-6 Hedgerow Data'!$AN$3:$AZ$15,MATCH(C61,'G-6 Hedgerow Data'!$AM$3:$AM$15,0),MATCH(M61,'G-6 Hedgerow Data'!$AN$2:$AZ$2,0))),"")</f>
        <v/>
      </c>
      <c r="O61" s="172" t="str">
        <f t="shared" si="1"/>
        <v/>
      </c>
      <c r="P61" s="642" t="str">
        <f>IF(B61="","",VLOOKUP(B61,'B-1 Site Hedge Baseline'!$B$10:T306,16,FALSE))</f>
        <v/>
      </c>
      <c r="Q61" s="171" t="str">
        <f>IF(M61="","",VLOOKUP(M61,'G-6 Hedgerow Data'!$B$2:$AG$15,2,FALSE))</f>
        <v/>
      </c>
      <c r="R61" s="172" t="str">
        <f>IF(M61="","",VLOOKUP(M61,'G-6 Hedgerow Data'!$B$2:$AG$15,3,FALSE))</f>
        <v/>
      </c>
      <c r="S61" s="189"/>
      <c r="T61" s="269" t="str">
        <f>IFERROR(VLOOKUP(S61,'G-1 All Habitats'!$Z$2:$AA$9,2,FALSE),"")</f>
        <v/>
      </c>
      <c r="U61" s="186"/>
      <c r="V61" s="175" t="str">
        <f>IF(U61="","",IF(VLOOKUP(U61,'G-3 Multipliers'!$L$3:$N$6,2,FALSE)=0,"Spatial Data Missing",VLOOKUP(U61,'G-3 Multipliers'!$L$3:$N$6,2,FALSE)))</f>
        <v/>
      </c>
      <c r="W61" s="176" t="str">
        <f>IF(U61="","",IF(VLOOKUP(U61,'G-3 Multipliers'!$L$3:$N$6,3,FALSE)=0,"Spatial Data Missing",VLOOKUP(U61,'G-3 Multipliers'!$L$3:$N$6,3,FALSE)))</f>
        <v/>
      </c>
      <c r="X61" s="171" t="str">
        <f>IFERROR(IF(OR(LEFT(O61,5)="Error",LEFT(N61,5)="Error",T61="Error"),"Check Data",IF(F61&lt;R61,INDEX('G-6 Hedgerow Data'!$S$3:$AE$14,MATCH(C61,'G-6 Hedgerow Data'!$B$3:$B$14,0),MATCH(M61,'G-6 Hedgerow Data'!$S$2:$AE$2,0)),INDEX('G-6 Hedgerow Data'!$K$3:$Q$14,MATCH(M61,'G-6 Hedgerow Data'!$B$3:$B$14,0),MATCH(O61,'G-6 Hedgerow Data'!$K$2:$Q$2,0)))),"")</f>
        <v/>
      </c>
      <c r="Y61" s="261"/>
      <c r="Z61" s="261"/>
      <c r="AA61" s="179" t="str">
        <f t="shared" si="2"/>
        <v/>
      </c>
      <c r="AB61" s="262" t="str">
        <f t="shared" si="3"/>
        <v/>
      </c>
      <c r="AC61" s="263" t="str">
        <f t="shared" si="4"/>
        <v/>
      </c>
      <c r="AD61" s="239" t="str">
        <f>IF(M61="","",VLOOKUP(M61,'G-6 Hedgerow Data'!$B$3:$AG$15,31,FALSE))</f>
        <v/>
      </c>
      <c r="AE61" s="179" t="str">
        <f t="shared" si="5"/>
        <v/>
      </c>
      <c r="AF61" s="179" t="str">
        <f t="shared" si="6"/>
        <v/>
      </c>
      <c r="AG61" s="176" t="str">
        <f>IFERROR(IF(O61="","",VLOOKUP(AD61,'G-3 Multipliers'!$P$3:$Q$6,2,FALSE)),"")</f>
        <v/>
      </c>
      <c r="AH61" s="207" t="str">
        <f t="shared" si="0"/>
        <v/>
      </c>
      <c r="AI61" s="336"/>
      <c r="AJ61" s="181"/>
      <c r="AT61" s="35" t="str">
        <f>IFERROR(INDEX('G-6 Hedgerow Data'!$BJ$3:$BJ$15,MATCH(M61,'G-6 Hedgerow Data'!$B$3:$B$15,0)),"")</f>
        <v/>
      </c>
    </row>
    <row r="62" spans="2:46" ht="13.8" x14ac:dyDescent="0.25">
      <c r="B62" s="259" t="str">
        <f>'B-1 Site Hedge Baseline'!AK60</f>
        <v/>
      </c>
      <c r="C62" s="175" t="str">
        <f>IF(B62="","",IF(ISNA(VLOOKUP($B62,'B-1 Site Hedge Baseline'!$B$1:$L$257,3,FALSE)),"",(VLOOKUP($B62,'B-1 Site Hedge Baseline'!$B$1:$L$257,3,FALSE))))</f>
        <v/>
      </c>
      <c r="D62" s="175" t="str">
        <f>IF(B62="","",IF(ISNA(VLOOKUP($B62,'B-1 Site Hedge Baseline'!$B$1:$L$257,4,FALSE)),"",(VLOOKUP($B62,'B-1 Site Hedge Baseline'!$B$1:$L$257,4,FALSE))))</f>
        <v/>
      </c>
      <c r="E62" s="175" t="str">
        <f>IF(B62="","",IF(ISNA(VLOOKUP($B62,'B-1 Site Hedge Baseline'!$B$1:$L$257,5,FALSE)),"",(VLOOKUP($B62,'B-1 Site Hedge Baseline'!$B$1:$L$257,5,FALSE))))</f>
        <v/>
      </c>
      <c r="F62" s="175" t="str">
        <f>IF(B62="","",IF(ISNA(VLOOKUP($B62,'B-1 Site Hedge Baseline'!$B$1:$L$257,6,FALSE)),"",(VLOOKUP($B62,'B-1 Site Hedge Baseline'!$B$1:$L$257,6,FALSE))))</f>
        <v/>
      </c>
      <c r="G62" s="175" t="str">
        <f>IF(B62="","",IF(ISNA(VLOOKUP($B62,'B-1 Site Hedge Baseline'!$B$1:$L$257,7,FALSE)),"",(VLOOKUP($B62,'B-1 Site Hedge Baseline'!$B$1:$L$257,7,FALSE))))</f>
        <v/>
      </c>
      <c r="H62" s="175" t="str">
        <f>IF(B62="","",IF(ISNA(VLOOKUP($B62,'B-1 Site Hedge Baseline'!$B$1:$L$257,8,FALSE)),"",(VLOOKUP($B62,'B-1 Site Hedge Baseline'!$B$1:$L$257,8,FALSE))))</f>
        <v/>
      </c>
      <c r="I62" s="175" t="str">
        <f>IF(B62="","",IF(ISNA(VLOOKUP($B62,'B-1 Site Hedge Baseline'!$B$1:$L$257,10,FALSE)),"",(VLOOKUP($B62,'B-1 Site Hedge Baseline'!$B$1:$L$257,10,FALSE))))</f>
        <v/>
      </c>
      <c r="J62" s="175" t="str">
        <f>IF(B62="","",IF(ISNA(VLOOKUP($B62,'B-1 Site Hedge Baseline'!$B$1:$L$257,11,FALSE)),"",(VLOOKUP($B62,'B-1 Site Hedge Baseline'!$B$1:$L$257,11,FALSE))))</f>
        <v/>
      </c>
      <c r="K62" s="175" t="str">
        <f>IF(B62="","",IF(ISNA(VLOOKUP($B62,'B-1 Site Hedge Baseline'!$B$1:$U$257,13,FALSE)),"",(VLOOKUP($B62,'B-1 Site Hedge Baseline'!$B$1:$U$257,13,FALSE))))</f>
        <v/>
      </c>
      <c r="L62" s="176" t="str">
        <f>IF(B62="","",IF(ISNA(VLOOKUP($B62,'B-1 Site Hedge Baseline'!$B$1:$U$257,12,FALSE)),"",(VLOOKUP($B62,'B-1 Site Hedge Baseline'!$B$1:$U$257,12,FALSE))))</f>
        <v/>
      </c>
      <c r="M62" s="637"/>
      <c r="N62" s="171" t="str">
        <f>IFERROR(IF(B62="","",INDEX('G-6 Hedgerow Data'!$AN$3:$AZ$15,MATCH(C62,'G-6 Hedgerow Data'!$AM$3:$AM$15,0),MATCH(M62,'G-6 Hedgerow Data'!$AN$2:$AZ$2,0))),"")</f>
        <v/>
      </c>
      <c r="O62" s="172" t="str">
        <f t="shared" si="1"/>
        <v/>
      </c>
      <c r="P62" s="642" t="str">
        <f>IF(B62="","",VLOOKUP(B62,'B-1 Site Hedge Baseline'!$B$10:T307,16,FALSE))</f>
        <v/>
      </c>
      <c r="Q62" s="171" t="str">
        <f>IF(M62="","",VLOOKUP(M62,'G-6 Hedgerow Data'!$B$2:$AG$15,2,FALSE))</f>
        <v/>
      </c>
      <c r="R62" s="172" t="str">
        <f>IF(M62="","",VLOOKUP(M62,'G-6 Hedgerow Data'!$B$2:$AG$15,3,FALSE))</f>
        <v/>
      </c>
      <c r="S62" s="189"/>
      <c r="T62" s="269" t="str">
        <f>IFERROR(VLOOKUP(S62,'G-1 All Habitats'!$Z$2:$AA$9,2,FALSE),"")</f>
        <v/>
      </c>
      <c r="U62" s="186"/>
      <c r="V62" s="175" t="str">
        <f>IF(U62="","",IF(VLOOKUP(U62,'G-3 Multipliers'!$L$3:$N$6,2,FALSE)=0,"Spatial Data Missing",VLOOKUP(U62,'G-3 Multipliers'!$L$3:$N$6,2,FALSE)))</f>
        <v/>
      </c>
      <c r="W62" s="176" t="str">
        <f>IF(U62="","",IF(VLOOKUP(U62,'G-3 Multipliers'!$L$3:$N$6,3,FALSE)=0,"Spatial Data Missing",VLOOKUP(U62,'G-3 Multipliers'!$L$3:$N$6,3,FALSE)))</f>
        <v/>
      </c>
      <c r="X62" s="171" t="str">
        <f>IFERROR(IF(OR(LEFT(O62,5)="Error",LEFT(N62,5)="Error",T62="Error"),"Check Data",IF(F62&lt;R62,INDEX('G-6 Hedgerow Data'!$S$3:$AE$14,MATCH(C62,'G-6 Hedgerow Data'!$B$3:$B$14,0),MATCH(M62,'G-6 Hedgerow Data'!$S$2:$AE$2,0)),INDEX('G-6 Hedgerow Data'!$K$3:$Q$14,MATCH(M62,'G-6 Hedgerow Data'!$B$3:$B$14,0),MATCH(O62,'G-6 Hedgerow Data'!$K$2:$Q$2,0)))),"")</f>
        <v/>
      </c>
      <c r="Y62" s="261"/>
      <c r="Z62" s="261"/>
      <c r="AA62" s="179" t="str">
        <f t="shared" si="2"/>
        <v/>
      </c>
      <c r="AB62" s="262" t="str">
        <f t="shared" si="3"/>
        <v/>
      </c>
      <c r="AC62" s="263" t="str">
        <f t="shared" si="4"/>
        <v/>
      </c>
      <c r="AD62" s="239" t="str">
        <f>IF(M62="","",VLOOKUP(M62,'G-6 Hedgerow Data'!$B$3:$AG$15,31,FALSE))</f>
        <v/>
      </c>
      <c r="AE62" s="179" t="str">
        <f t="shared" si="5"/>
        <v/>
      </c>
      <c r="AF62" s="179" t="str">
        <f t="shared" si="6"/>
        <v/>
      </c>
      <c r="AG62" s="176" t="str">
        <f>IFERROR(IF(O62="","",VLOOKUP(AD62,'G-3 Multipliers'!$P$3:$Q$6,2,FALSE)),"")</f>
        <v/>
      </c>
      <c r="AH62" s="207" t="str">
        <f t="shared" si="0"/>
        <v/>
      </c>
      <c r="AI62" s="336"/>
      <c r="AJ62" s="181"/>
      <c r="AT62" s="35" t="str">
        <f>IFERROR(INDEX('G-6 Hedgerow Data'!$BJ$3:$BJ$15,MATCH(M62,'G-6 Hedgerow Data'!$B$3:$B$15,0)),"")</f>
        <v/>
      </c>
    </row>
    <row r="63" spans="2:46" ht="13.8" x14ac:dyDescent="0.25">
      <c r="B63" s="259" t="str">
        <f>'B-1 Site Hedge Baseline'!AK61</f>
        <v/>
      </c>
      <c r="C63" s="175" t="str">
        <f>IF(B63="","",IF(ISNA(VLOOKUP($B63,'B-1 Site Hedge Baseline'!$B$1:$L$257,3,FALSE)),"",(VLOOKUP($B63,'B-1 Site Hedge Baseline'!$B$1:$L$257,3,FALSE))))</f>
        <v/>
      </c>
      <c r="D63" s="175" t="str">
        <f>IF(B63="","",IF(ISNA(VLOOKUP($B63,'B-1 Site Hedge Baseline'!$B$1:$L$257,4,FALSE)),"",(VLOOKUP($B63,'B-1 Site Hedge Baseline'!$B$1:$L$257,4,FALSE))))</f>
        <v/>
      </c>
      <c r="E63" s="175" t="str">
        <f>IF(B63="","",IF(ISNA(VLOOKUP($B63,'B-1 Site Hedge Baseline'!$B$1:$L$257,5,FALSE)),"",(VLOOKUP($B63,'B-1 Site Hedge Baseline'!$B$1:$L$257,5,FALSE))))</f>
        <v/>
      </c>
      <c r="F63" s="175" t="str">
        <f>IF(B63="","",IF(ISNA(VLOOKUP($B63,'B-1 Site Hedge Baseline'!$B$1:$L$257,6,FALSE)),"",(VLOOKUP($B63,'B-1 Site Hedge Baseline'!$B$1:$L$257,6,FALSE))))</f>
        <v/>
      </c>
      <c r="G63" s="175" t="str">
        <f>IF(B63="","",IF(ISNA(VLOOKUP($B63,'B-1 Site Hedge Baseline'!$B$1:$L$257,7,FALSE)),"",(VLOOKUP($B63,'B-1 Site Hedge Baseline'!$B$1:$L$257,7,FALSE))))</f>
        <v/>
      </c>
      <c r="H63" s="175" t="str">
        <f>IF(B63="","",IF(ISNA(VLOOKUP($B63,'B-1 Site Hedge Baseline'!$B$1:$L$257,8,FALSE)),"",(VLOOKUP($B63,'B-1 Site Hedge Baseline'!$B$1:$L$257,8,FALSE))))</f>
        <v/>
      </c>
      <c r="I63" s="175" t="str">
        <f>IF(B63="","",IF(ISNA(VLOOKUP($B63,'B-1 Site Hedge Baseline'!$B$1:$L$257,10,FALSE)),"",(VLOOKUP($B63,'B-1 Site Hedge Baseline'!$B$1:$L$257,10,FALSE))))</f>
        <v/>
      </c>
      <c r="J63" s="175" t="str">
        <f>IF(B63="","",IF(ISNA(VLOOKUP($B63,'B-1 Site Hedge Baseline'!$B$1:$L$257,11,FALSE)),"",(VLOOKUP($B63,'B-1 Site Hedge Baseline'!$B$1:$L$257,11,FALSE))))</f>
        <v/>
      </c>
      <c r="K63" s="175" t="str">
        <f>IF(B63="","",IF(ISNA(VLOOKUP($B63,'B-1 Site Hedge Baseline'!$B$1:$U$257,13,FALSE)),"",(VLOOKUP($B63,'B-1 Site Hedge Baseline'!$B$1:$U$257,13,FALSE))))</f>
        <v/>
      </c>
      <c r="L63" s="176" t="str">
        <f>IF(B63="","",IF(ISNA(VLOOKUP($B63,'B-1 Site Hedge Baseline'!$B$1:$U$257,12,FALSE)),"",(VLOOKUP($B63,'B-1 Site Hedge Baseline'!$B$1:$U$257,12,FALSE))))</f>
        <v/>
      </c>
      <c r="M63" s="637"/>
      <c r="N63" s="171" t="str">
        <f>IFERROR(IF(B63="","",INDEX('G-6 Hedgerow Data'!$AN$3:$AZ$15,MATCH(C63,'G-6 Hedgerow Data'!$AM$3:$AM$15,0),MATCH(M63,'G-6 Hedgerow Data'!$AN$2:$AZ$2,0))),"")</f>
        <v/>
      </c>
      <c r="O63" s="172" t="str">
        <f t="shared" si="1"/>
        <v/>
      </c>
      <c r="P63" s="642" t="str">
        <f>IF(B63="","",VLOOKUP(B63,'B-1 Site Hedge Baseline'!$B$10:T308,16,FALSE))</f>
        <v/>
      </c>
      <c r="Q63" s="171" t="str">
        <f>IF(M63="","",VLOOKUP(M63,'G-6 Hedgerow Data'!$B$2:$AG$15,2,FALSE))</f>
        <v/>
      </c>
      <c r="R63" s="172" t="str">
        <f>IF(M63="","",VLOOKUP(M63,'G-6 Hedgerow Data'!$B$2:$AG$15,3,FALSE))</f>
        <v/>
      </c>
      <c r="S63" s="189"/>
      <c r="T63" s="269" t="str">
        <f>IFERROR(VLOOKUP(S63,'G-1 All Habitats'!$Z$2:$AA$9,2,FALSE),"")</f>
        <v/>
      </c>
      <c r="U63" s="186"/>
      <c r="V63" s="175" t="str">
        <f>IF(U63="","",IF(VLOOKUP(U63,'G-3 Multipliers'!$L$3:$N$6,2,FALSE)=0,"Spatial Data Missing",VLOOKUP(U63,'G-3 Multipliers'!$L$3:$N$6,2,FALSE)))</f>
        <v/>
      </c>
      <c r="W63" s="176" t="str">
        <f>IF(U63="","",IF(VLOOKUP(U63,'G-3 Multipliers'!$L$3:$N$6,3,FALSE)=0,"Spatial Data Missing",VLOOKUP(U63,'G-3 Multipliers'!$L$3:$N$6,3,FALSE)))</f>
        <v/>
      </c>
      <c r="X63" s="171" t="str">
        <f>IFERROR(IF(OR(LEFT(O63,5)="Error",LEFT(N63,5)="Error",T63="Error"),"Check Data",IF(F63&lt;R63,INDEX('G-6 Hedgerow Data'!$S$3:$AE$14,MATCH(C63,'G-6 Hedgerow Data'!$B$3:$B$14,0),MATCH(M63,'G-6 Hedgerow Data'!$S$2:$AE$2,0)),INDEX('G-6 Hedgerow Data'!$K$3:$Q$14,MATCH(M63,'G-6 Hedgerow Data'!$B$3:$B$14,0),MATCH(O63,'G-6 Hedgerow Data'!$K$2:$Q$2,0)))),"")</f>
        <v/>
      </c>
      <c r="Y63" s="261"/>
      <c r="Z63" s="261"/>
      <c r="AA63" s="179" t="str">
        <f t="shared" si="2"/>
        <v/>
      </c>
      <c r="AB63" s="262" t="str">
        <f t="shared" si="3"/>
        <v/>
      </c>
      <c r="AC63" s="263" t="str">
        <f t="shared" si="4"/>
        <v/>
      </c>
      <c r="AD63" s="239" t="str">
        <f>IF(M63="","",VLOOKUP(M63,'G-6 Hedgerow Data'!$B$3:$AG$15,31,FALSE))</f>
        <v/>
      </c>
      <c r="AE63" s="179" t="str">
        <f t="shared" si="5"/>
        <v/>
      </c>
      <c r="AF63" s="179" t="str">
        <f t="shared" si="6"/>
        <v/>
      </c>
      <c r="AG63" s="176" t="str">
        <f>IFERROR(IF(O63="","",VLOOKUP(AD63,'G-3 Multipliers'!$P$3:$Q$6,2,FALSE)),"")</f>
        <v/>
      </c>
      <c r="AH63" s="207" t="str">
        <f t="shared" si="0"/>
        <v/>
      </c>
      <c r="AI63" s="336"/>
      <c r="AJ63" s="181"/>
      <c r="AT63" s="35" t="str">
        <f>IFERROR(INDEX('G-6 Hedgerow Data'!$BJ$3:$BJ$15,MATCH(M63,'G-6 Hedgerow Data'!$B$3:$B$15,0)),"")</f>
        <v/>
      </c>
    </row>
    <row r="64" spans="2:46" ht="13.8" x14ac:dyDescent="0.25">
      <c r="B64" s="259" t="str">
        <f>'B-1 Site Hedge Baseline'!AK62</f>
        <v/>
      </c>
      <c r="C64" s="175" t="str">
        <f>IF(B64="","",IF(ISNA(VLOOKUP($B64,'B-1 Site Hedge Baseline'!$B$1:$L$257,3,FALSE)),"",(VLOOKUP($B64,'B-1 Site Hedge Baseline'!$B$1:$L$257,3,FALSE))))</f>
        <v/>
      </c>
      <c r="D64" s="175" t="str">
        <f>IF(B64="","",IF(ISNA(VLOOKUP($B64,'B-1 Site Hedge Baseline'!$B$1:$L$257,4,FALSE)),"",(VLOOKUP($B64,'B-1 Site Hedge Baseline'!$B$1:$L$257,4,FALSE))))</f>
        <v/>
      </c>
      <c r="E64" s="175" t="str">
        <f>IF(B64="","",IF(ISNA(VLOOKUP($B64,'B-1 Site Hedge Baseline'!$B$1:$L$257,5,FALSE)),"",(VLOOKUP($B64,'B-1 Site Hedge Baseline'!$B$1:$L$257,5,FALSE))))</f>
        <v/>
      </c>
      <c r="F64" s="175" t="str">
        <f>IF(B64="","",IF(ISNA(VLOOKUP($B64,'B-1 Site Hedge Baseline'!$B$1:$L$257,6,FALSE)),"",(VLOOKUP($B64,'B-1 Site Hedge Baseline'!$B$1:$L$257,6,FALSE))))</f>
        <v/>
      </c>
      <c r="G64" s="175" t="str">
        <f>IF(B64="","",IF(ISNA(VLOOKUP($B64,'B-1 Site Hedge Baseline'!$B$1:$L$257,7,FALSE)),"",(VLOOKUP($B64,'B-1 Site Hedge Baseline'!$B$1:$L$257,7,FALSE))))</f>
        <v/>
      </c>
      <c r="H64" s="175" t="str">
        <f>IF(B64="","",IF(ISNA(VLOOKUP($B64,'B-1 Site Hedge Baseline'!$B$1:$L$257,8,FALSE)),"",(VLOOKUP($B64,'B-1 Site Hedge Baseline'!$B$1:$L$257,8,FALSE))))</f>
        <v/>
      </c>
      <c r="I64" s="175" t="str">
        <f>IF(B64="","",IF(ISNA(VLOOKUP($B64,'B-1 Site Hedge Baseline'!$B$1:$L$257,10,FALSE)),"",(VLOOKUP($B64,'B-1 Site Hedge Baseline'!$B$1:$L$257,10,FALSE))))</f>
        <v/>
      </c>
      <c r="J64" s="175" t="str">
        <f>IF(B64="","",IF(ISNA(VLOOKUP($B64,'B-1 Site Hedge Baseline'!$B$1:$L$257,11,FALSE)),"",(VLOOKUP($B64,'B-1 Site Hedge Baseline'!$B$1:$L$257,11,FALSE))))</f>
        <v/>
      </c>
      <c r="K64" s="175" t="str">
        <f>IF(B64="","",IF(ISNA(VLOOKUP($B64,'B-1 Site Hedge Baseline'!$B$1:$U$257,13,FALSE)),"",(VLOOKUP($B64,'B-1 Site Hedge Baseline'!$B$1:$U$257,13,FALSE))))</f>
        <v/>
      </c>
      <c r="L64" s="176" t="str">
        <f>IF(B64="","",IF(ISNA(VLOOKUP($B64,'B-1 Site Hedge Baseline'!$B$1:$U$257,12,FALSE)),"",(VLOOKUP($B64,'B-1 Site Hedge Baseline'!$B$1:$U$257,12,FALSE))))</f>
        <v/>
      </c>
      <c r="M64" s="637"/>
      <c r="N64" s="171" t="str">
        <f>IFERROR(IF(B64="","",INDEX('G-6 Hedgerow Data'!$AN$3:$AZ$15,MATCH(C64,'G-6 Hedgerow Data'!$AM$3:$AM$15,0),MATCH(M64,'G-6 Hedgerow Data'!$AN$2:$AZ$2,0))),"")</f>
        <v/>
      </c>
      <c r="O64" s="172" t="str">
        <f t="shared" si="1"/>
        <v/>
      </c>
      <c r="P64" s="642" t="str">
        <f>IF(B64="","",VLOOKUP(B64,'B-1 Site Hedge Baseline'!$B$10:T309,16,FALSE))</f>
        <v/>
      </c>
      <c r="Q64" s="171" t="str">
        <f>IF(M64="","",VLOOKUP(M64,'G-6 Hedgerow Data'!$B$2:$AG$15,2,FALSE))</f>
        <v/>
      </c>
      <c r="R64" s="172" t="str">
        <f>IF(M64="","",VLOOKUP(M64,'G-6 Hedgerow Data'!$B$2:$AG$15,3,FALSE))</f>
        <v/>
      </c>
      <c r="S64" s="189"/>
      <c r="T64" s="269" t="str">
        <f>IFERROR(VLOOKUP(S64,'G-1 All Habitats'!$Z$2:$AA$9,2,FALSE),"")</f>
        <v/>
      </c>
      <c r="U64" s="186"/>
      <c r="V64" s="175" t="str">
        <f>IF(U64="","",IF(VLOOKUP(U64,'G-3 Multipliers'!$L$3:$N$6,2,FALSE)=0,"Spatial Data Missing",VLOOKUP(U64,'G-3 Multipliers'!$L$3:$N$6,2,FALSE)))</f>
        <v/>
      </c>
      <c r="W64" s="176" t="str">
        <f>IF(U64="","",IF(VLOOKUP(U64,'G-3 Multipliers'!$L$3:$N$6,3,FALSE)=0,"Spatial Data Missing",VLOOKUP(U64,'G-3 Multipliers'!$L$3:$N$6,3,FALSE)))</f>
        <v/>
      </c>
      <c r="X64" s="171" t="str">
        <f>IFERROR(IF(OR(LEFT(O64,5)="Error",LEFT(N64,5)="Error",T64="Error"),"Check Data",IF(F64&lt;R64,INDEX('G-6 Hedgerow Data'!$S$3:$AE$14,MATCH(C64,'G-6 Hedgerow Data'!$B$3:$B$14,0),MATCH(M64,'G-6 Hedgerow Data'!$S$2:$AE$2,0)),INDEX('G-6 Hedgerow Data'!$K$3:$Q$14,MATCH(M64,'G-6 Hedgerow Data'!$B$3:$B$14,0),MATCH(O64,'G-6 Hedgerow Data'!$K$2:$Q$2,0)))),"")</f>
        <v/>
      </c>
      <c r="Y64" s="261"/>
      <c r="Z64" s="261"/>
      <c r="AA64" s="179" t="str">
        <f t="shared" si="2"/>
        <v/>
      </c>
      <c r="AB64" s="262" t="str">
        <f t="shared" si="3"/>
        <v/>
      </c>
      <c r="AC64" s="263" t="str">
        <f t="shared" si="4"/>
        <v/>
      </c>
      <c r="AD64" s="239" t="str">
        <f>IF(M64="","",VLOOKUP(M64,'G-6 Hedgerow Data'!$B$3:$AG$15,31,FALSE))</f>
        <v/>
      </c>
      <c r="AE64" s="179" t="str">
        <f t="shared" si="5"/>
        <v/>
      </c>
      <c r="AF64" s="179" t="str">
        <f t="shared" si="6"/>
        <v/>
      </c>
      <c r="AG64" s="176" t="str">
        <f>IFERROR(IF(O64="","",VLOOKUP(AD64,'G-3 Multipliers'!$P$3:$Q$6,2,FALSE)),"")</f>
        <v/>
      </c>
      <c r="AH64" s="207" t="str">
        <f t="shared" si="0"/>
        <v/>
      </c>
      <c r="AI64" s="336"/>
      <c r="AJ64" s="181"/>
      <c r="AT64" s="35" t="str">
        <f>IFERROR(INDEX('G-6 Hedgerow Data'!$BJ$3:$BJ$15,MATCH(M64,'G-6 Hedgerow Data'!$B$3:$B$15,0)),"")</f>
        <v/>
      </c>
    </row>
    <row r="65" spans="2:46" ht="13.8" x14ac:dyDescent="0.25">
      <c r="B65" s="259" t="str">
        <f>'B-1 Site Hedge Baseline'!AK63</f>
        <v/>
      </c>
      <c r="C65" s="175" t="str">
        <f>IF(B65="","",IF(ISNA(VLOOKUP($B65,'B-1 Site Hedge Baseline'!$B$1:$L$257,3,FALSE)),"",(VLOOKUP($B65,'B-1 Site Hedge Baseline'!$B$1:$L$257,3,FALSE))))</f>
        <v/>
      </c>
      <c r="D65" s="175" t="str">
        <f>IF(B65="","",IF(ISNA(VLOOKUP($B65,'B-1 Site Hedge Baseline'!$B$1:$L$257,4,FALSE)),"",(VLOOKUP($B65,'B-1 Site Hedge Baseline'!$B$1:$L$257,4,FALSE))))</f>
        <v/>
      </c>
      <c r="E65" s="175" t="str">
        <f>IF(B65="","",IF(ISNA(VLOOKUP($B65,'B-1 Site Hedge Baseline'!$B$1:$L$257,5,FALSE)),"",(VLOOKUP($B65,'B-1 Site Hedge Baseline'!$B$1:$L$257,5,FALSE))))</f>
        <v/>
      </c>
      <c r="F65" s="175" t="str">
        <f>IF(B65="","",IF(ISNA(VLOOKUP($B65,'B-1 Site Hedge Baseline'!$B$1:$L$257,6,FALSE)),"",(VLOOKUP($B65,'B-1 Site Hedge Baseline'!$B$1:$L$257,6,FALSE))))</f>
        <v/>
      </c>
      <c r="G65" s="175" t="str">
        <f>IF(B65="","",IF(ISNA(VLOOKUP($B65,'B-1 Site Hedge Baseline'!$B$1:$L$257,7,FALSE)),"",(VLOOKUP($B65,'B-1 Site Hedge Baseline'!$B$1:$L$257,7,FALSE))))</f>
        <v/>
      </c>
      <c r="H65" s="175" t="str">
        <f>IF(B65="","",IF(ISNA(VLOOKUP($B65,'B-1 Site Hedge Baseline'!$B$1:$L$257,8,FALSE)),"",(VLOOKUP($B65,'B-1 Site Hedge Baseline'!$B$1:$L$257,8,FALSE))))</f>
        <v/>
      </c>
      <c r="I65" s="175" t="str">
        <f>IF(B65="","",IF(ISNA(VLOOKUP($B65,'B-1 Site Hedge Baseline'!$B$1:$L$257,10,FALSE)),"",(VLOOKUP($B65,'B-1 Site Hedge Baseline'!$B$1:$L$257,10,FALSE))))</f>
        <v/>
      </c>
      <c r="J65" s="175" t="str">
        <f>IF(B65="","",IF(ISNA(VLOOKUP($B65,'B-1 Site Hedge Baseline'!$B$1:$L$257,11,FALSE)),"",(VLOOKUP($B65,'B-1 Site Hedge Baseline'!$B$1:$L$257,11,FALSE))))</f>
        <v/>
      </c>
      <c r="K65" s="175" t="str">
        <f>IF(B65="","",IF(ISNA(VLOOKUP($B65,'B-1 Site Hedge Baseline'!$B$1:$U$257,13,FALSE)),"",(VLOOKUP($B65,'B-1 Site Hedge Baseline'!$B$1:$U$257,13,FALSE))))</f>
        <v/>
      </c>
      <c r="L65" s="176" t="str">
        <f>IF(B65="","",IF(ISNA(VLOOKUP($B65,'B-1 Site Hedge Baseline'!$B$1:$U$257,12,FALSE)),"",(VLOOKUP($B65,'B-1 Site Hedge Baseline'!$B$1:$U$257,12,FALSE))))</f>
        <v/>
      </c>
      <c r="M65" s="637"/>
      <c r="N65" s="171" t="str">
        <f>IFERROR(IF(B65="","",INDEX('G-6 Hedgerow Data'!$AN$3:$AZ$15,MATCH(C65,'G-6 Hedgerow Data'!$AM$3:$AM$15,0),MATCH(M65,'G-6 Hedgerow Data'!$AN$2:$AZ$2,0))),"")</f>
        <v/>
      </c>
      <c r="O65" s="172" t="str">
        <f t="shared" si="1"/>
        <v/>
      </c>
      <c r="P65" s="642" t="str">
        <f>IF(B65="","",VLOOKUP(B65,'B-1 Site Hedge Baseline'!$B$10:T310,16,FALSE))</f>
        <v/>
      </c>
      <c r="Q65" s="171" t="str">
        <f>IF(M65="","",VLOOKUP(M65,'G-6 Hedgerow Data'!$B$2:$AG$15,2,FALSE))</f>
        <v/>
      </c>
      <c r="R65" s="172" t="str">
        <f>IF(M65="","",VLOOKUP(M65,'G-6 Hedgerow Data'!$B$2:$AG$15,3,FALSE))</f>
        <v/>
      </c>
      <c r="S65" s="189"/>
      <c r="T65" s="269" t="str">
        <f>IFERROR(VLOOKUP(S65,'G-1 All Habitats'!$Z$2:$AA$9,2,FALSE),"")</f>
        <v/>
      </c>
      <c r="U65" s="186"/>
      <c r="V65" s="175" t="str">
        <f>IF(U65="","",IF(VLOOKUP(U65,'G-3 Multipliers'!$L$3:$N$6,2,FALSE)=0,"Spatial Data Missing",VLOOKUP(U65,'G-3 Multipliers'!$L$3:$N$6,2,FALSE)))</f>
        <v/>
      </c>
      <c r="W65" s="176" t="str">
        <f>IF(U65="","",IF(VLOOKUP(U65,'G-3 Multipliers'!$L$3:$N$6,3,FALSE)=0,"Spatial Data Missing",VLOOKUP(U65,'G-3 Multipliers'!$L$3:$N$6,3,FALSE)))</f>
        <v/>
      </c>
      <c r="X65" s="171" t="str">
        <f>IFERROR(IF(OR(LEFT(O65,5)="Error",LEFT(N65,5)="Error",T65="Error"),"Check Data",IF(F65&lt;R65,INDEX('G-6 Hedgerow Data'!$S$3:$AE$14,MATCH(C65,'G-6 Hedgerow Data'!$B$3:$B$14,0),MATCH(M65,'G-6 Hedgerow Data'!$S$2:$AE$2,0)),INDEX('G-6 Hedgerow Data'!$K$3:$Q$14,MATCH(M65,'G-6 Hedgerow Data'!$B$3:$B$14,0),MATCH(O65,'G-6 Hedgerow Data'!$K$2:$Q$2,0)))),"")</f>
        <v/>
      </c>
      <c r="Y65" s="261"/>
      <c r="Z65" s="261"/>
      <c r="AA65" s="179" t="str">
        <f t="shared" si="2"/>
        <v/>
      </c>
      <c r="AB65" s="262" t="str">
        <f t="shared" si="3"/>
        <v/>
      </c>
      <c r="AC65" s="263" t="str">
        <f t="shared" si="4"/>
        <v/>
      </c>
      <c r="AD65" s="239" t="str">
        <f>IF(M65="","",VLOOKUP(M65,'G-6 Hedgerow Data'!$B$3:$AG$15,31,FALSE))</f>
        <v/>
      </c>
      <c r="AE65" s="179" t="str">
        <f t="shared" si="5"/>
        <v/>
      </c>
      <c r="AF65" s="179" t="str">
        <f t="shared" si="6"/>
        <v/>
      </c>
      <c r="AG65" s="176" t="str">
        <f>IFERROR(IF(O65="","",VLOOKUP(AD65,'G-3 Multipliers'!$P$3:$Q$6,2,FALSE)),"")</f>
        <v/>
      </c>
      <c r="AH65" s="207" t="str">
        <f t="shared" si="0"/>
        <v/>
      </c>
      <c r="AI65" s="336"/>
      <c r="AJ65" s="181"/>
      <c r="AT65" s="35" t="str">
        <f>IFERROR(INDEX('G-6 Hedgerow Data'!$BJ$3:$BJ$15,MATCH(M65,'G-6 Hedgerow Data'!$B$3:$B$15,0)),"")</f>
        <v/>
      </c>
    </row>
    <row r="66" spans="2:46" ht="13.8" x14ac:dyDescent="0.25">
      <c r="B66" s="259" t="str">
        <f>'B-1 Site Hedge Baseline'!AK64</f>
        <v/>
      </c>
      <c r="C66" s="175" t="str">
        <f>IF(B66="","",IF(ISNA(VLOOKUP($B66,'B-1 Site Hedge Baseline'!$B$1:$L$257,3,FALSE)),"",(VLOOKUP($B66,'B-1 Site Hedge Baseline'!$B$1:$L$257,3,FALSE))))</f>
        <v/>
      </c>
      <c r="D66" s="175" t="str">
        <f>IF(B66="","",IF(ISNA(VLOOKUP($B66,'B-1 Site Hedge Baseline'!$B$1:$L$257,4,FALSE)),"",(VLOOKUP($B66,'B-1 Site Hedge Baseline'!$B$1:$L$257,4,FALSE))))</f>
        <v/>
      </c>
      <c r="E66" s="175" t="str">
        <f>IF(B66="","",IF(ISNA(VLOOKUP($B66,'B-1 Site Hedge Baseline'!$B$1:$L$257,5,FALSE)),"",(VLOOKUP($B66,'B-1 Site Hedge Baseline'!$B$1:$L$257,5,FALSE))))</f>
        <v/>
      </c>
      <c r="F66" s="175" t="str">
        <f>IF(B66="","",IF(ISNA(VLOOKUP($B66,'B-1 Site Hedge Baseline'!$B$1:$L$257,6,FALSE)),"",(VLOOKUP($B66,'B-1 Site Hedge Baseline'!$B$1:$L$257,6,FALSE))))</f>
        <v/>
      </c>
      <c r="G66" s="175" t="str">
        <f>IF(B66="","",IF(ISNA(VLOOKUP($B66,'B-1 Site Hedge Baseline'!$B$1:$L$257,7,FALSE)),"",(VLOOKUP($B66,'B-1 Site Hedge Baseline'!$B$1:$L$257,7,FALSE))))</f>
        <v/>
      </c>
      <c r="H66" s="175" t="str">
        <f>IF(B66="","",IF(ISNA(VLOOKUP($B66,'B-1 Site Hedge Baseline'!$B$1:$L$257,8,FALSE)),"",(VLOOKUP($B66,'B-1 Site Hedge Baseline'!$B$1:$L$257,8,FALSE))))</f>
        <v/>
      </c>
      <c r="I66" s="175" t="str">
        <f>IF(B66="","",IF(ISNA(VLOOKUP($B66,'B-1 Site Hedge Baseline'!$B$1:$L$257,10,FALSE)),"",(VLOOKUP($B66,'B-1 Site Hedge Baseline'!$B$1:$L$257,10,FALSE))))</f>
        <v/>
      </c>
      <c r="J66" s="175" t="str">
        <f>IF(B66="","",IF(ISNA(VLOOKUP($B66,'B-1 Site Hedge Baseline'!$B$1:$L$257,11,FALSE)),"",(VLOOKUP($B66,'B-1 Site Hedge Baseline'!$B$1:$L$257,11,FALSE))))</f>
        <v/>
      </c>
      <c r="K66" s="175" t="str">
        <f>IF(B66="","",IF(ISNA(VLOOKUP($B66,'B-1 Site Hedge Baseline'!$B$1:$U$257,13,FALSE)),"",(VLOOKUP($B66,'B-1 Site Hedge Baseline'!$B$1:$U$257,13,FALSE))))</f>
        <v/>
      </c>
      <c r="L66" s="176" t="str">
        <f>IF(B66="","",IF(ISNA(VLOOKUP($B66,'B-1 Site Hedge Baseline'!$B$1:$U$257,12,FALSE)),"",(VLOOKUP($B66,'B-1 Site Hedge Baseline'!$B$1:$U$257,12,FALSE))))</f>
        <v/>
      </c>
      <c r="M66" s="637"/>
      <c r="N66" s="171" t="str">
        <f>IFERROR(IF(B66="","",INDEX('G-6 Hedgerow Data'!$AN$3:$AZ$15,MATCH(C66,'G-6 Hedgerow Data'!$AM$3:$AM$15,0),MATCH(M66,'G-6 Hedgerow Data'!$AN$2:$AZ$2,0))),"")</f>
        <v/>
      </c>
      <c r="O66" s="172" t="str">
        <f t="shared" si="1"/>
        <v/>
      </c>
      <c r="P66" s="642" t="str">
        <f>IF(B66="","",VLOOKUP(B66,'B-1 Site Hedge Baseline'!$B$10:T311,16,FALSE))</f>
        <v/>
      </c>
      <c r="Q66" s="171" t="str">
        <f>IF(M66="","",VLOOKUP(M66,'G-6 Hedgerow Data'!$B$2:$AG$15,2,FALSE))</f>
        <v/>
      </c>
      <c r="R66" s="172" t="str">
        <f>IF(M66="","",VLOOKUP(M66,'G-6 Hedgerow Data'!$B$2:$AG$15,3,FALSE))</f>
        <v/>
      </c>
      <c r="S66" s="189"/>
      <c r="T66" s="269" t="str">
        <f>IFERROR(VLOOKUP(S66,'G-1 All Habitats'!$Z$2:$AA$9,2,FALSE),"")</f>
        <v/>
      </c>
      <c r="U66" s="186"/>
      <c r="V66" s="175" t="str">
        <f>IF(U66="","",IF(VLOOKUP(U66,'G-3 Multipliers'!$L$3:$N$6,2,FALSE)=0,"Spatial Data Missing",VLOOKUP(U66,'G-3 Multipliers'!$L$3:$N$6,2,FALSE)))</f>
        <v/>
      </c>
      <c r="W66" s="176" t="str">
        <f>IF(U66="","",IF(VLOOKUP(U66,'G-3 Multipliers'!$L$3:$N$6,3,FALSE)=0,"Spatial Data Missing",VLOOKUP(U66,'G-3 Multipliers'!$L$3:$N$6,3,FALSE)))</f>
        <v/>
      </c>
      <c r="X66" s="171" t="str">
        <f>IFERROR(IF(OR(LEFT(O66,5)="Error",LEFT(N66,5)="Error",T66="Error"),"Check Data",IF(F66&lt;R66,INDEX('G-6 Hedgerow Data'!$S$3:$AE$14,MATCH(C66,'G-6 Hedgerow Data'!$B$3:$B$14,0),MATCH(M66,'G-6 Hedgerow Data'!$S$2:$AE$2,0)),INDEX('G-6 Hedgerow Data'!$K$3:$Q$14,MATCH(M66,'G-6 Hedgerow Data'!$B$3:$B$14,0),MATCH(O66,'G-6 Hedgerow Data'!$K$2:$Q$2,0)))),"")</f>
        <v/>
      </c>
      <c r="Y66" s="261"/>
      <c r="Z66" s="261"/>
      <c r="AA66" s="179" t="str">
        <f t="shared" si="2"/>
        <v/>
      </c>
      <c r="AB66" s="262" t="str">
        <f t="shared" si="3"/>
        <v/>
      </c>
      <c r="AC66" s="263" t="str">
        <f t="shared" si="4"/>
        <v/>
      </c>
      <c r="AD66" s="239" t="str">
        <f>IF(M66="","",VLOOKUP(M66,'G-6 Hedgerow Data'!$B$3:$AG$15,31,FALSE))</f>
        <v/>
      </c>
      <c r="AE66" s="179" t="str">
        <f t="shared" si="5"/>
        <v/>
      </c>
      <c r="AF66" s="179" t="str">
        <f t="shared" si="6"/>
        <v/>
      </c>
      <c r="AG66" s="176" t="str">
        <f>IFERROR(IF(O66="","",VLOOKUP(AD66,'G-3 Multipliers'!$P$3:$Q$6,2,FALSE)),"")</f>
        <v/>
      </c>
      <c r="AH66" s="207" t="str">
        <f t="shared" si="0"/>
        <v/>
      </c>
      <c r="AI66" s="336"/>
      <c r="AJ66" s="181"/>
      <c r="AT66" s="35" t="str">
        <f>IFERROR(INDEX('G-6 Hedgerow Data'!$BJ$3:$BJ$15,MATCH(M66,'G-6 Hedgerow Data'!$B$3:$B$15,0)),"")</f>
        <v/>
      </c>
    </row>
    <row r="67" spans="2:46" ht="13.8" x14ac:dyDescent="0.25">
      <c r="B67" s="259" t="str">
        <f>'B-1 Site Hedge Baseline'!AK65</f>
        <v/>
      </c>
      <c r="C67" s="175" t="str">
        <f>IF(B67="","",IF(ISNA(VLOOKUP($B67,'B-1 Site Hedge Baseline'!$B$1:$L$257,3,FALSE)),"",(VLOOKUP($B67,'B-1 Site Hedge Baseline'!$B$1:$L$257,3,FALSE))))</f>
        <v/>
      </c>
      <c r="D67" s="175" t="str">
        <f>IF(B67="","",IF(ISNA(VLOOKUP($B67,'B-1 Site Hedge Baseline'!$B$1:$L$257,4,FALSE)),"",(VLOOKUP($B67,'B-1 Site Hedge Baseline'!$B$1:$L$257,4,FALSE))))</f>
        <v/>
      </c>
      <c r="E67" s="175" t="str">
        <f>IF(B67="","",IF(ISNA(VLOOKUP($B67,'B-1 Site Hedge Baseline'!$B$1:$L$257,5,FALSE)),"",(VLOOKUP($B67,'B-1 Site Hedge Baseline'!$B$1:$L$257,5,FALSE))))</f>
        <v/>
      </c>
      <c r="F67" s="175" t="str">
        <f>IF(B67="","",IF(ISNA(VLOOKUP($B67,'B-1 Site Hedge Baseline'!$B$1:$L$257,6,FALSE)),"",(VLOOKUP($B67,'B-1 Site Hedge Baseline'!$B$1:$L$257,6,FALSE))))</f>
        <v/>
      </c>
      <c r="G67" s="175" t="str">
        <f>IF(B67="","",IF(ISNA(VLOOKUP($B67,'B-1 Site Hedge Baseline'!$B$1:$L$257,7,FALSE)),"",(VLOOKUP($B67,'B-1 Site Hedge Baseline'!$B$1:$L$257,7,FALSE))))</f>
        <v/>
      </c>
      <c r="H67" s="175" t="str">
        <f>IF(B67="","",IF(ISNA(VLOOKUP($B67,'B-1 Site Hedge Baseline'!$B$1:$L$257,8,FALSE)),"",(VLOOKUP($B67,'B-1 Site Hedge Baseline'!$B$1:$L$257,8,FALSE))))</f>
        <v/>
      </c>
      <c r="I67" s="175" t="str">
        <f>IF(B67="","",IF(ISNA(VLOOKUP($B67,'B-1 Site Hedge Baseline'!$B$1:$L$257,10,FALSE)),"",(VLOOKUP($B67,'B-1 Site Hedge Baseline'!$B$1:$L$257,10,FALSE))))</f>
        <v/>
      </c>
      <c r="J67" s="175" t="str">
        <f>IF(B67="","",IF(ISNA(VLOOKUP($B67,'B-1 Site Hedge Baseline'!$B$1:$L$257,11,FALSE)),"",(VLOOKUP($B67,'B-1 Site Hedge Baseline'!$B$1:$L$257,11,FALSE))))</f>
        <v/>
      </c>
      <c r="K67" s="175" t="str">
        <f>IF(B67="","",IF(ISNA(VLOOKUP($B67,'B-1 Site Hedge Baseline'!$B$1:$U$257,13,FALSE)),"",(VLOOKUP($B67,'B-1 Site Hedge Baseline'!$B$1:$U$257,13,FALSE))))</f>
        <v/>
      </c>
      <c r="L67" s="176" t="str">
        <f>IF(B67="","",IF(ISNA(VLOOKUP($B67,'B-1 Site Hedge Baseline'!$B$1:$U$257,12,FALSE)),"",(VLOOKUP($B67,'B-1 Site Hedge Baseline'!$B$1:$U$257,12,FALSE))))</f>
        <v/>
      </c>
      <c r="M67" s="637"/>
      <c r="N67" s="171" t="str">
        <f>IFERROR(IF(B67="","",INDEX('G-6 Hedgerow Data'!$AN$3:$AZ$15,MATCH(C67,'G-6 Hedgerow Data'!$AM$3:$AM$15,0),MATCH(M67,'G-6 Hedgerow Data'!$AN$2:$AZ$2,0))),"")</f>
        <v/>
      </c>
      <c r="O67" s="172" t="str">
        <f t="shared" si="1"/>
        <v/>
      </c>
      <c r="P67" s="642" t="str">
        <f>IF(B67="","",VLOOKUP(B67,'B-1 Site Hedge Baseline'!$B$10:T312,16,FALSE))</f>
        <v/>
      </c>
      <c r="Q67" s="171" t="str">
        <f>IF(M67="","",VLOOKUP(M67,'G-6 Hedgerow Data'!$B$2:$AG$15,2,FALSE))</f>
        <v/>
      </c>
      <c r="R67" s="172" t="str">
        <f>IF(M67="","",VLOOKUP(M67,'G-6 Hedgerow Data'!$B$2:$AG$15,3,FALSE))</f>
        <v/>
      </c>
      <c r="S67" s="189"/>
      <c r="T67" s="269" t="str">
        <f>IFERROR(VLOOKUP(S67,'G-1 All Habitats'!$Z$2:$AA$9,2,FALSE),"")</f>
        <v/>
      </c>
      <c r="U67" s="186"/>
      <c r="V67" s="175" t="str">
        <f>IF(U67="","",IF(VLOOKUP(U67,'G-3 Multipliers'!$L$3:$N$6,2,FALSE)=0,"Spatial Data Missing",VLOOKUP(U67,'G-3 Multipliers'!$L$3:$N$6,2,FALSE)))</f>
        <v/>
      </c>
      <c r="W67" s="176" t="str">
        <f>IF(U67="","",IF(VLOOKUP(U67,'G-3 Multipliers'!$L$3:$N$6,3,FALSE)=0,"Spatial Data Missing",VLOOKUP(U67,'G-3 Multipliers'!$L$3:$N$6,3,FALSE)))</f>
        <v/>
      </c>
      <c r="X67" s="171" t="str">
        <f>IFERROR(IF(OR(LEFT(O67,5)="Error",LEFT(N67,5)="Error",T67="Error"),"Check Data",IF(F67&lt;R67,INDEX('G-6 Hedgerow Data'!$S$3:$AE$14,MATCH(C67,'G-6 Hedgerow Data'!$B$3:$B$14,0),MATCH(M67,'G-6 Hedgerow Data'!$S$2:$AE$2,0)),INDEX('G-6 Hedgerow Data'!$K$3:$Q$14,MATCH(M67,'G-6 Hedgerow Data'!$B$3:$B$14,0),MATCH(O67,'G-6 Hedgerow Data'!$K$2:$Q$2,0)))),"")</f>
        <v/>
      </c>
      <c r="Y67" s="261"/>
      <c r="Z67" s="261"/>
      <c r="AA67" s="179" t="str">
        <f t="shared" si="2"/>
        <v/>
      </c>
      <c r="AB67" s="262" t="str">
        <f t="shared" si="3"/>
        <v/>
      </c>
      <c r="AC67" s="263" t="str">
        <f t="shared" si="4"/>
        <v/>
      </c>
      <c r="AD67" s="239" t="str">
        <f>IF(M67="","",VLOOKUP(M67,'G-6 Hedgerow Data'!$B$3:$AG$15,31,FALSE))</f>
        <v/>
      </c>
      <c r="AE67" s="179" t="str">
        <f t="shared" si="5"/>
        <v/>
      </c>
      <c r="AF67" s="179" t="str">
        <f t="shared" si="6"/>
        <v/>
      </c>
      <c r="AG67" s="176" t="str">
        <f>IFERROR(IF(O67="","",VLOOKUP(AD67,'G-3 Multipliers'!$P$3:$Q$6,2,FALSE)),"")</f>
        <v/>
      </c>
      <c r="AH67" s="207" t="str">
        <f t="shared" si="0"/>
        <v/>
      </c>
      <c r="AI67" s="336"/>
      <c r="AJ67" s="181"/>
      <c r="AT67" s="35" t="str">
        <f>IFERROR(INDEX('G-6 Hedgerow Data'!$BJ$3:$BJ$15,MATCH(M67,'G-6 Hedgerow Data'!$B$3:$B$15,0)),"")</f>
        <v/>
      </c>
    </row>
    <row r="68" spans="2:46" ht="13.8" x14ac:dyDescent="0.25">
      <c r="B68" s="259" t="str">
        <f>'B-1 Site Hedge Baseline'!AK66</f>
        <v/>
      </c>
      <c r="C68" s="175" t="str">
        <f>IF(B68="","",IF(ISNA(VLOOKUP($B68,'B-1 Site Hedge Baseline'!$B$1:$L$257,3,FALSE)),"",(VLOOKUP($B68,'B-1 Site Hedge Baseline'!$B$1:$L$257,3,FALSE))))</f>
        <v/>
      </c>
      <c r="D68" s="175" t="str">
        <f>IF(B68="","",IF(ISNA(VLOOKUP($B68,'B-1 Site Hedge Baseline'!$B$1:$L$257,4,FALSE)),"",(VLOOKUP($B68,'B-1 Site Hedge Baseline'!$B$1:$L$257,4,FALSE))))</f>
        <v/>
      </c>
      <c r="E68" s="175" t="str">
        <f>IF(B68="","",IF(ISNA(VLOOKUP($B68,'B-1 Site Hedge Baseline'!$B$1:$L$257,5,FALSE)),"",(VLOOKUP($B68,'B-1 Site Hedge Baseline'!$B$1:$L$257,5,FALSE))))</f>
        <v/>
      </c>
      <c r="F68" s="175" t="str">
        <f>IF(B68="","",IF(ISNA(VLOOKUP($B68,'B-1 Site Hedge Baseline'!$B$1:$L$257,6,FALSE)),"",(VLOOKUP($B68,'B-1 Site Hedge Baseline'!$B$1:$L$257,6,FALSE))))</f>
        <v/>
      </c>
      <c r="G68" s="175" t="str">
        <f>IF(B68="","",IF(ISNA(VLOOKUP($B68,'B-1 Site Hedge Baseline'!$B$1:$L$257,7,FALSE)),"",(VLOOKUP($B68,'B-1 Site Hedge Baseline'!$B$1:$L$257,7,FALSE))))</f>
        <v/>
      </c>
      <c r="H68" s="175" t="str">
        <f>IF(B68="","",IF(ISNA(VLOOKUP($B68,'B-1 Site Hedge Baseline'!$B$1:$L$257,8,FALSE)),"",(VLOOKUP($B68,'B-1 Site Hedge Baseline'!$B$1:$L$257,8,FALSE))))</f>
        <v/>
      </c>
      <c r="I68" s="175" t="str">
        <f>IF(B68="","",IF(ISNA(VLOOKUP($B68,'B-1 Site Hedge Baseline'!$B$1:$L$257,10,FALSE)),"",(VLOOKUP($B68,'B-1 Site Hedge Baseline'!$B$1:$L$257,10,FALSE))))</f>
        <v/>
      </c>
      <c r="J68" s="175" t="str">
        <f>IF(B68="","",IF(ISNA(VLOOKUP($B68,'B-1 Site Hedge Baseline'!$B$1:$L$257,11,FALSE)),"",(VLOOKUP($B68,'B-1 Site Hedge Baseline'!$B$1:$L$257,11,FALSE))))</f>
        <v/>
      </c>
      <c r="K68" s="175" t="str">
        <f>IF(B68="","",IF(ISNA(VLOOKUP($B68,'B-1 Site Hedge Baseline'!$B$1:$U$257,13,FALSE)),"",(VLOOKUP($B68,'B-1 Site Hedge Baseline'!$B$1:$U$257,13,FALSE))))</f>
        <v/>
      </c>
      <c r="L68" s="176" t="str">
        <f>IF(B68="","",IF(ISNA(VLOOKUP($B68,'B-1 Site Hedge Baseline'!$B$1:$U$257,12,FALSE)),"",(VLOOKUP($B68,'B-1 Site Hedge Baseline'!$B$1:$U$257,12,FALSE))))</f>
        <v/>
      </c>
      <c r="M68" s="637"/>
      <c r="N68" s="171" t="str">
        <f>IFERROR(IF(B68="","",INDEX('G-6 Hedgerow Data'!$AN$3:$AZ$15,MATCH(C68,'G-6 Hedgerow Data'!$AM$3:$AM$15,0),MATCH(M68,'G-6 Hedgerow Data'!$AN$2:$AZ$2,0))),"")</f>
        <v/>
      </c>
      <c r="O68" s="172" t="str">
        <f t="shared" si="1"/>
        <v/>
      </c>
      <c r="P68" s="642" t="str">
        <f>IF(B68="","",VLOOKUP(B68,'B-1 Site Hedge Baseline'!$B$10:T313,16,FALSE))</f>
        <v/>
      </c>
      <c r="Q68" s="171" t="str">
        <f>IF(M68="","",VLOOKUP(M68,'G-6 Hedgerow Data'!$B$2:$AG$15,2,FALSE))</f>
        <v/>
      </c>
      <c r="R68" s="172" t="str">
        <f>IF(M68="","",VLOOKUP(M68,'G-6 Hedgerow Data'!$B$2:$AG$15,3,FALSE))</f>
        <v/>
      </c>
      <c r="S68" s="189"/>
      <c r="T68" s="269" t="str">
        <f>IFERROR(VLOOKUP(S68,'G-1 All Habitats'!$Z$2:$AA$9,2,FALSE),"")</f>
        <v/>
      </c>
      <c r="U68" s="186"/>
      <c r="V68" s="175" t="str">
        <f>IF(U68="","",IF(VLOOKUP(U68,'G-3 Multipliers'!$L$3:$N$6,2,FALSE)=0,"Spatial Data Missing",VLOOKUP(U68,'G-3 Multipliers'!$L$3:$N$6,2,FALSE)))</f>
        <v/>
      </c>
      <c r="W68" s="176" t="str">
        <f>IF(U68="","",IF(VLOOKUP(U68,'G-3 Multipliers'!$L$3:$N$6,3,FALSE)=0,"Spatial Data Missing",VLOOKUP(U68,'G-3 Multipliers'!$L$3:$N$6,3,FALSE)))</f>
        <v/>
      </c>
      <c r="X68" s="171" t="str">
        <f>IFERROR(IF(OR(LEFT(O68,5)="Error",LEFT(N68,5)="Error",T68="Error"),"Check Data",IF(F68&lt;R68,INDEX('G-6 Hedgerow Data'!$S$3:$AE$14,MATCH(C68,'G-6 Hedgerow Data'!$B$3:$B$14,0),MATCH(M68,'G-6 Hedgerow Data'!$S$2:$AE$2,0)),INDEX('G-6 Hedgerow Data'!$K$3:$Q$14,MATCH(M68,'G-6 Hedgerow Data'!$B$3:$B$14,0),MATCH(O68,'G-6 Hedgerow Data'!$K$2:$Q$2,0)))),"")</f>
        <v/>
      </c>
      <c r="Y68" s="261"/>
      <c r="Z68" s="261"/>
      <c r="AA68" s="179" t="str">
        <f t="shared" si="2"/>
        <v/>
      </c>
      <c r="AB68" s="262" t="str">
        <f t="shared" si="3"/>
        <v/>
      </c>
      <c r="AC68" s="263" t="str">
        <f t="shared" si="4"/>
        <v/>
      </c>
      <c r="AD68" s="239" t="str">
        <f>IF(M68="","",VLOOKUP(M68,'G-6 Hedgerow Data'!$B$3:$AG$15,31,FALSE))</f>
        <v/>
      </c>
      <c r="AE68" s="179" t="str">
        <f t="shared" si="5"/>
        <v/>
      </c>
      <c r="AF68" s="179" t="str">
        <f t="shared" si="6"/>
        <v/>
      </c>
      <c r="AG68" s="176" t="str">
        <f>IFERROR(IF(O68="","",VLOOKUP(AD68,'G-3 Multipliers'!$P$3:$Q$6,2,FALSE)),"")</f>
        <v/>
      </c>
      <c r="AH68" s="207" t="str">
        <f t="shared" si="0"/>
        <v/>
      </c>
      <c r="AI68" s="336"/>
      <c r="AJ68" s="181"/>
      <c r="AT68" s="35" t="str">
        <f>IFERROR(INDEX('G-6 Hedgerow Data'!$BJ$3:$BJ$15,MATCH(M68,'G-6 Hedgerow Data'!$B$3:$B$15,0)),"")</f>
        <v/>
      </c>
    </row>
    <row r="69" spans="2:46" ht="13.8" x14ac:dyDescent="0.25">
      <c r="B69" s="259" t="str">
        <f>'B-1 Site Hedge Baseline'!AK67</f>
        <v/>
      </c>
      <c r="C69" s="175" t="str">
        <f>IF(B69="","",IF(ISNA(VLOOKUP($B69,'B-1 Site Hedge Baseline'!$B$1:$L$257,3,FALSE)),"",(VLOOKUP($B69,'B-1 Site Hedge Baseline'!$B$1:$L$257,3,FALSE))))</f>
        <v/>
      </c>
      <c r="D69" s="175" t="str">
        <f>IF(B69="","",IF(ISNA(VLOOKUP($B69,'B-1 Site Hedge Baseline'!$B$1:$L$257,4,FALSE)),"",(VLOOKUP($B69,'B-1 Site Hedge Baseline'!$B$1:$L$257,4,FALSE))))</f>
        <v/>
      </c>
      <c r="E69" s="175" t="str">
        <f>IF(B69="","",IF(ISNA(VLOOKUP($B69,'B-1 Site Hedge Baseline'!$B$1:$L$257,5,FALSE)),"",(VLOOKUP($B69,'B-1 Site Hedge Baseline'!$B$1:$L$257,5,FALSE))))</f>
        <v/>
      </c>
      <c r="F69" s="175" t="str">
        <f>IF(B69="","",IF(ISNA(VLOOKUP($B69,'B-1 Site Hedge Baseline'!$B$1:$L$257,6,FALSE)),"",(VLOOKUP($B69,'B-1 Site Hedge Baseline'!$B$1:$L$257,6,FALSE))))</f>
        <v/>
      </c>
      <c r="G69" s="175" t="str">
        <f>IF(B69="","",IF(ISNA(VLOOKUP($B69,'B-1 Site Hedge Baseline'!$B$1:$L$257,7,FALSE)),"",(VLOOKUP($B69,'B-1 Site Hedge Baseline'!$B$1:$L$257,7,FALSE))))</f>
        <v/>
      </c>
      <c r="H69" s="175" t="str">
        <f>IF(B69="","",IF(ISNA(VLOOKUP($B69,'B-1 Site Hedge Baseline'!$B$1:$L$257,8,FALSE)),"",(VLOOKUP($B69,'B-1 Site Hedge Baseline'!$B$1:$L$257,8,FALSE))))</f>
        <v/>
      </c>
      <c r="I69" s="175" t="str">
        <f>IF(B69="","",IF(ISNA(VLOOKUP($B69,'B-1 Site Hedge Baseline'!$B$1:$L$257,10,FALSE)),"",(VLOOKUP($B69,'B-1 Site Hedge Baseline'!$B$1:$L$257,10,FALSE))))</f>
        <v/>
      </c>
      <c r="J69" s="175" t="str">
        <f>IF(B69="","",IF(ISNA(VLOOKUP($B69,'B-1 Site Hedge Baseline'!$B$1:$L$257,11,FALSE)),"",(VLOOKUP($B69,'B-1 Site Hedge Baseline'!$B$1:$L$257,11,FALSE))))</f>
        <v/>
      </c>
      <c r="K69" s="175" t="str">
        <f>IF(B69="","",IF(ISNA(VLOOKUP($B69,'B-1 Site Hedge Baseline'!$B$1:$U$257,13,FALSE)),"",(VLOOKUP($B69,'B-1 Site Hedge Baseline'!$B$1:$U$257,13,FALSE))))</f>
        <v/>
      </c>
      <c r="L69" s="176" t="str">
        <f>IF(B69="","",IF(ISNA(VLOOKUP($B69,'B-1 Site Hedge Baseline'!$B$1:$U$257,12,FALSE)),"",(VLOOKUP($B69,'B-1 Site Hedge Baseline'!$B$1:$U$257,12,FALSE))))</f>
        <v/>
      </c>
      <c r="M69" s="637"/>
      <c r="N69" s="171" t="str">
        <f>IFERROR(IF(B69="","",INDEX('G-6 Hedgerow Data'!$AN$3:$AZ$15,MATCH(C69,'G-6 Hedgerow Data'!$AM$3:$AM$15,0),MATCH(M69,'G-6 Hedgerow Data'!$AN$2:$AZ$2,0))),"")</f>
        <v/>
      </c>
      <c r="O69" s="172" t="str">
        <f t="shared" si="1"/>
        <v/>
      </c>
      <c r="P69" s="642" t="str">
        <f>IF(B69="","",VLOOKUP(B69,'B-1 Site Hedge Baseline'!$B$10:T314,16,FALSE))</f>
        <v/>
      </c>
      <c r="Q69" s="171" t="str">
        <f>IF(M69="","",VLOOKUP(M69,'G-6 Hedgerow Data'!$B$2:$AG$15,2,FALSE))</f>
        <v/>
      </c>
      <c r="R69" s="172" t="str">
        <f>IF(M69="","",VLOOKUP(M69,'G-6 Hedgerow Data'!$B$2:$AG$15,3,FALSE))</f>
        <v/>
      </c>
      <c r="S69" s="189"/>
      <c r="T69" s="269" t="str">
        <f>IFERROR(VLOOKUP(S69,'G-1 All Habitats'!$Z$2:$AA$9,2,FALSE),"")</f>
        <v/>
      </c>
      <c r="U69" s="186"/>
      <c r="V69" s="175" t="str">
        <f>IF(U69="","",IF(VLOOKUP(U69,'G-3 Multipliers'!$L$3:$N$6,2,FALSE)=0,"Spatial Data Missing",VLOOKUP(U69,'G-3 Multipliers'!$L$3:$N$6,2,FALSE)))</f>
        <v/>
      </c>
      <c r="W69" s="176" t="str">
        <f>IF(U69="","",IF(VLOOKUP(U69,'G-3 Multipliers'!$L$3:$N$6,3,FALSE)=0,"Spatial Data Missing",VLOOKUP(U69,'G-3 Multipliers'!$L$3:$N$6,3,FALSE)))</f>
        <v/>
      </c>
      <c r="X69" s="171" t="str">
        <f>IFERROR(IF(OR(LEFT(O69,5)="Error",LEFT(N69,5)="Error",T69="Error"),"Check Data",IF(F69&lt;R69,INDEX('G-6 Hedgerow Data'!$S$3:$AE$14,MATCH(C69,'G-6 Hedgerow Data'!$B$3:$B$14,0),MATCH(M69,'G-6 Hedgerow Data'!$S$2:$AE$2,0)),INDEX('G-6 Hedgerow Data'!$K$3:$Q$14,MATCH(M69,'G-6 Hedgerow Data'!$B$3:$B$14,0),MATCH(O69,'G-6 Hedgerow Data'!$K$2:$Q$2,0)))),"")</f>
        <v/>
      </c>
      <c r="Y69" s="261"/>
      <c r="Z69" s="261"/>
      <c r="AA69" s="179" t="str">
        <f t="shared" si="2"/>
        <v/>
      </c>
      <c r="AB69" s="262" t="str">
        <f t="shared" si="3"/>
        <v/>
      </c>
      <c r="AC69" s="263" t="str">
        <f t="shared" si="4"/>
        <v/>
      </c>
      <c r="AD69" s="239" t="str">
        <f>IF(M69="","",VLOOKUP(M69,'G-6 Hedgerow Data'!$B$3:$AG$15,31,FALSE))</f>
        <v/>
      </c>
      <c r="AE69" s="179" t="str">
        <f t="shared" si="5"/>
        <v/>
      </c>
      <c r="AF69" s="179" t="str">
        <f t="shared" si="6"/>
        <v/>
      </c>
      <c r="AG69" s="176" t="str">
        <f>IFERROR(IF(O69="","",VLOOKUP(AD69,'G-3 Multipliers'!$P$3:$Q$6,2,FALSE)),"")</f>
        <v/>
      </c>
      <c r="AH69" s="207" t="str">
        <f t="shared" si="0"/>
        <v/>
      </c>
      <c r="AI69" s="336"/>
      <c r="AJ69" s="181"/>
      <c r="AT69" s="35" t="str">
        <f>IFERROR(INDEX('G-6 Hedgerow Data'!$BJ$3:$BJ$15,MATCH(M69,'G-6 Hedgerow Data'!$B$3:$B$15,0)),"")</f>
        <v/>
      </c>
    </row>
    <row r="70" spans="2:46" ht="13.8" x14ac:dyDescent="0.25">
      <c r="B70" s="259" t="str">
        <f>'B-1 Site Hedge Baseline'!AK68</f>
        <v/>
      </c>
      <c r="C70" s="175" t="str">
        <f>IF(B70="","",IF(ISNA(VLOOKUP($B70,'B-1 Site Hedge Baseline'!$B$1:$L$257,3,FALSE)),"",(VLOOKUP($B70,'B-1 Site Hedge Baseline'!$B$1:$L$257,3,FALSE))))</f>
        <v/>
      </c>
      <c r="D70" s="175" t="str">
        <f>IF(B70="","",IF(ISNA(VLOOKUP($B70,'B-1 Site Hedge Baseline'!$B$1:$L$257,4,FALSE)),"",(VLOOKUP($B70,'B-1 Site Hedge Baseline'!$B$1:$L$257,4,FALSE))))</f>
        <v/>
      </c>
      <c r="E70" s="175" t="str">
        <f>IF(B70="","",IF(ISNA(VLOOKUP($B70,'B-1 Site Hedge Baseline'!$B$1:$L$257,5,FALSE)),"",(VLOOKUP($B70,'B-1 Site Hedge Baseline'!$B$1:$L$257,5,FALSE))))</f>
        <v/>
      </c>
      <c r="F70" s="175" t="str">
        <f>IF(B70="","",IF(ISNA(VLOOKUP($B70,'B-1 Site Hedge Baseline'!$B$1:$L$257,6,FALSE)),"",(VLOOKUP($B70,'B-1 Site Hedge Baseline'!$B$1:$L$257,6,FALSE))))</f>
        <v/>
      </c>
      <c r="G70" s="175" t="str">
        <f>IF(B70="","",IF(ISNA(VLOOKUP($B70,'B-1 Site Hedge Baseline'!$B$1:$L$257,7,FALSE)),"",(VLOOKUP($B70,'B-1 Site Hedge Baseline'!$B$1:$L$257,7,FALSE))))</f>
        <v/>
      </c>
      <c r="H70" s="175" t="str">
        <f>IF(B70="","",IF(ISNA(VLOOKUP($B70,'B-1 Site Hedge Baseline'!$B$1:$L$257,8,FALSE)),"",(VLOOKUP($B70,'B-1 Site Hedge Baseline'!$B$1:$L$257,8,FALSE))))</f>
        <v/>
      </c>
      <c r="I70" s="175" t="str">
        <f>IF(B70="","",IF(ISNA(VLOOKUP($B70,'B-1 Site Hedge Baseline'!$B$1:$L$257,10,FALSE)),"",(VLOOKUP($B70,'B-1 Site Hedge Baseline'!$B$1:$L$257,10,FALSE))))</f>
        <v/>
      </c>
      <c r="J70" s="175" t="str">
        <f>IF(B70="","",IF(ISNA(VLOOKUP($B70,'B-1 Site Hedge Baseline'!$B$1:$L$257,11,FALSE)),"",(VLOOKUP($B70,'B-1 Site Hedge Baseline'!$B$1:$L$257,11,FALSE))))</f>
        <v/>
      </c>
      <c r="K70" s="175" t="str">
        <f>IF(B70="","",IF(ISNA(VLOOKUP($B70,'B-1 Site Hedge Baseline'!$B$1:$U$257,13,FALSE)),"",(VLOOKUP($B70,'B-1 Site Hedge Baseline'!$B$1:$U$257,13,FALSE))))</f>
        <v/>
      </c>
      <c r="L70" s="176" t="str">
        <f>IF(B70="","",IF(ISNA(VLOOKUP($B70,'B-1 Site Hedge Baseline'!$B$1:$U$257,12,FALSE)),"",(VLOOKUP($B70,'B-1 Site Hedge Baseline'!$B$1:$U$257,12,FALSE))))</f>
        <v/>
      </c>
      <c r="M70" s="637"/>
      <c r="N70" s="171" t="str">
        <f>IFERROR(IF(B70="","",INDEX('G-6 Hedgerow Data'!$AN$3:$AZ$15,MATCH(C70,'G-6 Hedgerow Data'!$AM$3:$AM$15,0),MATCH(M70,'G-6 Hedgerow Data'!$AN$2:$AZ$2,0))),"")</f>
        <v/>
      </c>
      <c r="O70" s="172" t="str">
        <f t="shared" si="1"/>
        <v/>
      </c>
      <c r="P70" s="642" t="str">
        <f>IF(B70="","",VLOOKUP(B70,'B-1 Site Hedge Baseline'!$B$10:T315,16,FALSE))</f>
        <v/>
      </c>
      <c r="Q70" s="171" t="str">
        <f>IF(M70="","",VLOOKUP(M70,'G-6 Hedgerow Data'!$B$2:$AG$15,2,FALSE))</f>
        <v/>
      </c>
      <c r="R70" s="172" t="str">
        <f>IF(M70="","",VLOOKUP(M70,'G-6 Hedgerow Data'!$B$2:$AG$15,3,FALSE))</f>
        <v/>
      </c>
      <c r="S70" s="189"/>
      <c r="T70" s="269" t="str">
        <f>IFERROR(VLOOKUP(S70,'G-1 All Habitats'!$Z$2:$AA$9,2,FALSE),"")</f>
        <v/>
      </c>
      <c r="U70" s="186"/>
      <c r="V70" s="175" t="str">
        <f>IF(U70="","",IF(VLOOKUP(U70,'G-3 Multipliers'!$L$3:$N$6,2,FALSE)=0,"Spatial Data Missing",VLOOKUP(U70,'G-3 Multipliers'!$L$3:$N$6,2,FALSE)))</f>
        <v/>
      </c>
      <c r="W70" s="176" t="str">
        <f>IF(U70="","",IF(VLOOKUP(U70,'G-3 Multipliers'!$L$3:$N$6,3,FALSE)=0,"Spatial Data Missing",VLOOKUP(U70,'G-3 Multipliers'!$L$3:$N$6,3,FALSE)))</f>
        <v/>
      </c>
      <c r="X70" s="171" t="str">
        <f>IFERROR(IF(OR(LEFT(O70,5)="Error",LEFT(N70,5)="Error",T70="Error"),"Check Data",IF(F70&lt;R70,INDEX('G-6 Hedgerow Data'!$S$3:$AE$14,MATCH(C70,'G-6 Hedgerow Data'!$B$3:$B$14,0),MATCH(M70,'G-6 Hedgerow Data'!$S$2:$AE$2,0)),INDEX('G-6 Hedgerow Data'!$K$3:$Q$14,MATCH(M70,'G-6 Hedgerow Data'!$B$3:$B$14,0),MATCH(O70,'G-6 Hedgerow Data'!$K$2:$Q$2,0)))),"")</f>
        <v/>
      </c>
      <c r="Y70" s="261"/>
      <c r="Z70" s="261"/>
      <c r="AA70" s="179" t="str">
        <f t="shared" si="2"/>
        <v/>
      </c>
      <c r="AB70" s="262" t="str">
        <f t="shared" si="3"/>
        <v/>
      </c>
      <c r="AC70" s="263" t="str">
        <f t="shared" si="4"/>
        <v/>
      </c>
      <c r="AD70" s="239" t="str">
        <f>IF(M70="","",VLOOKUP(M70,'G-6 Hedgerow Data'!$B$3:$AG$15,31,FALSE))</f>
        <v/>
      </c>
      <c r="AE70" s="179" t="str">
        <f t="shared" si="5"/>
        <v/>
      </c>
      <c r="AF70" s="179" t="str">
        <f t="shared" si="6"/>
        <v/>
      </c>
      <c r="AG70" s="176" t="str">
        <f>IFERROR(IF(O70="","",VLOOKUP(AD70,'G-3 Multipliers'!$P$3:$Q$6,2,FALSE)),"")</f>
        <v/>
      </c>
      <c r="AH70" s="207" t="str">
        <f t="shared" si="0"/>
        <v/>
      </c>
      <c r="AI70" s="336"/>
      <c r="AJ70" s="181"/>
      <c r="AT70" s="35" t="str">
        <f>IFERROR(INDEX('G-6 Hedgerow Data'!$BJ$3:$BJ$15,MATCH(M70,'G-6 Hedgerow Data'!$B$3:$B$15,0)),"")</f>
        <v/>
      </c>
    </row>
    <row r="71" spans="2:46" ht="13.8" x14ac:dyDescent="0.25">
      <c r="B71" s="259" t="str">
        <f>'B-1 Site Hedge Baseline'!AK69</f>
        <v/>
      </c>
      <c r="C71" s="175" t="str">
        <f>IF(B71="","",IF(ISNA(VLOOKUP($B71,'B-1 Site Hedge Baseline'!$B$1:$L$257,3,FALSE)),"",(VLOOKUP($B71,'B-1 Site Hedge Baseline'!$B$1:$L$257,3,FALSE))))</f>
        <v/>
      </c>
      <c r="D71" s="175" t="str">
        <f>IF(B71="","",IF(ISNA(VLOOKUP($B71,'B-1 Site Hedge Baseline'!$B$1:$L$257,4,FALSE)),"",(VLOOKUP($B71,'B-1 Site Hedge Baseline'!$B$1:$L$257,4,FALSE))))</f>
        <v/>
      </c>
      <c r="E71" s="175" t="str">
        <f>IF(B71="","",IF(ISNA(VLOOKUP($B71,'B-1 Site Hedge Baseline'!$B$1:$L$257,5,FALSE)),"",(VLOOKUP($B71,'B-1 Site Hedge Baseline'!$B$1:$L$257,5,FALSE))))</f>
        <v/>
      </c>
      <c r="F71" s="175" t="str">
        <f>IF(B71="","",IF(ISNA(VLOOKUP($B71,'B-1 Site Hedge Baseline'!$B$1:$L$257,6,FALSE)),"",(VLOOKUP($B71,'B-1 Site Hedge Baseline'!$B$1:$L$257,6,FALSE))))</f>
        <v/>
      </c>
      <c r="G71" s="175" t="str">
        <f>IF(B71="","",IF(ISNA(VLOOKUP($B71,'B-1 Site Hedge Baseline'!$B$1:$L$257,7,FALSE)),"",(VLOOKUP($B71,'B-1 Site Hedge Baseline'!$B$1:$L$257,7,FALSE))))</f>
        <v/>
      </c>
      <c r="H71" s="175" t="str">
        <f>IF(B71="","",IF(ISNA(VLOOKUP($B71,'B-1 Site Hedge Baseline'!$B$1:$L$257,8,FALSE)),"",(VLOOKUP($B71,'B-1 Site Hedge Baseline'!$B$1:$L$257,8,FALSE))))</f>
        <v/>
      </c>
      <c r="I71" s="175" t="str">
        <f>IF(B71="","",IF(ISNA(VLOOKUP($B71,'B-1 Site Hedge Baseline'!$B$1:$L$257,10,FALSE)),"",(VLOOKUP($B71,'B-1 Site Hedge Baseline'!$B$1:$L$257,10,FALSE))))</f>
        <v/>
      </c>
      <c r="J71" s="175" t="str">
        <f>IF(B71="","",IF(ISNA(VLOOKUP($B71,'B-1 Site Hedge Baseline'!$B$1:$L$257,11,FALSE)),"",(VLOOKUP($B71,'B-1 Site Hedge Baseline'!$B$1:$L$257,11,FALSE))))</f>
        <v/>
      </c>
      <c r="K71" s="175" t="str">
        <f>IF(B71="","",IF(ISNA(VLOOKUP($B71,'B-1 Site Hedge Baseline'!$B$1:$U$257,13,FALSE)),"",(VLOOKUP($B71,'B-1 Site Hedge Baseline'!$B$1:$U$257,13,FALSE))))</f>
        <v/>
      </c>
      <c r="L71" s="176" t="str">
        <f>IF(B71="","",IF(ISNA(VLOOKUP($B71,'B-1 Site Hedge Baseline'!$B$1:$U$257,12,FALSE)),"",(VLOOKUP($B71,'B-1 Site Hedge Baseline'!$B$1:$U$257,12,FALSE))))</f>
        <v/>
      </c>
      <c r="M71" s="637"/>
      <c r="N71" s="171" t="str">
        <f>IFERROR(IF(B71="","",INDEX('G-6 Hedgerow Data'!$AN$3:$AZ$15,MATCH(C71,'G-6 Hedgerow Data'!$AM$3:$AM$15,0),MATCH(M71,'G-6 Hedgerow Data'!$AN$2:$AZ$2,0))),"")</f>
        <v/>
      </c>
      <c r="O71" s="172" t="str">
        <f t="shared" si="1"/>
        <v/>
      </c>
      <c r="P71" s="642" t="str">
        <f>IF(B71="","",VLOOKUP(B71,'B-1 Site Hedge Baseline'!$B$10:T316,16,FALSE))</f>
        <v/>
      </c>
      <c r="Q71" s="171" t="str">
        <f>IF(M71="","",VLOOKUP(M71,'G-6 Hedgerow Data'!$B$2:$AG$15,2,FALSE))</f>
        <v/>
      </c>
      <c r="R71" s="172" t="str">
        <f>IF(M71="","",VLOOKUP(M71,'G-6 Hedgerow Data'!$B$2:$AG$15,3,FALSE))</f>
        <v/>
      </c>
      <c r="S71" s="189"/>
      <c r="T71" s="269" t="str">
        <f>IFERROR(VLOOKUP(S71,'G-1 All Habitats'!$Z$2:$AA$9,2,FALSE),"")</f>
        <v/>
      </c>
      <c r="U71" s="186"/>
      <c r="V71" s="175" t="str">
        <f>IF(U71="","",IF(VLOOKUP(U71,'G-3 Multipliers'!$L$3:$N$6,2,FALSE)=0,"Spatial Data Missing",VLOOKUP(U71,'G-3 Multipliers'!$L$3:$N$6,2,FALSE)))</f>
        <v/>
      </c>
      <c r="W71" s="176" t="str">
        <f>IF(U71="","",IF(VLOOKUP(U71,'G-3 Multipliers'!$L$3:$N$6,3,FALSE)=0,"Spatial Data Missing",VLOOKUP(U71,'G-3 Multipliers'!$L$3:$N$6,3,FALSE)))</f>
        <v/>
      </c>
      <c r="X71" s="171" t="str">
        <f>IFERROR(IF(OR(LEFT(O71,5)="Error",LEFT(N71,5)="Error",T71="Error"),"Check Data",IF(F71&lt;R71,INDEX('G-6 Hedgerow Data'!$S$3:$AE$14,MATCH(C71,'G-6 Hedgerow Data'!$B$3:$B$14,0),MATCH(M71,'G-6 Hedgerow Data'!$S$2:$AE$2,0)),INDEX('G-6 Hedgerow Data'!$K$3:$Q$14,MATCH(M71,'G-6 Hedgerow Data'!$B$3:$B$14,0),MATCH(O71,'G-6 Hedgerow Data'!$K$2:$Q$2,0)))),"")</f>
        <v/>
      </c>
      <c r="Y71" s="261"/>
      <c r="Z71" s="261"/>
      <c r="AA71" s="179" t="str">
        <f t="shared" si="2"/>
        <v/>
      </c>
      <c r="AB71" s="262" t="str">
        <f t="shared" si="3"/>
        <v/>
      </c>
      <c r="AC71" s="263" t="str">
        <f t="shared" si="4"/>
        <v/>
      </c>
      <c r="AD71" s="239" t="str">
        <f>IF(M71="","",VLOOKUP(M71,'G-6 Hedgerow Data'!$B$3:$AG$15,31,FALSE))</f>
        <v/>
      </c>
      <c r="AE71" s="179" t="str">
        <f t="shared" si="5"/>
        <v/>
      </c>
      <c r="AF71" s="179" t="str">
        <f t="shared" si="6"/>
        <v/>
      </c>
      <c r="AG71" s="176" t="str">
        <f>IFERROR(IF(O71="","",VLOOKUP(AD71,'G-3 Multipliers'!$P$3:$Q$6,2,FALSE)),"")</f>
        <v/>
      </c>
      <c r="AH71" s="207" t="str">
        <f t="shared" si="0"/>
        <v/>
      </c>
      <c r="AI71" s="336"/>
      <c r="AJ71" s="181"/>
      <c r="AT71" s="35" t="str">
        <f>IFERROR(INDEX('G-6 Hedgerow Data'!$BJ$3:$BJ$15,MATCH(M71,'G-6 Hedgerow Data'!$B$3:$B$15,0)),"")</f>
        <v/>
      </c>
    </row>
    <row r="72" spans="2:46" ht="13.8" x14ac:dyDescent="0.25">
      <c r="B72" s="259" t="str">
        <f>'B-1 Site Hedge Baseline'!AK70</f>
        <v/>
      </c>
      <c r="C72" s="175" t="str">
        <f>IF(B72="","",IF(ISNA(VLOOKUP($B72,'B-1 Site Hedge Baseline'!$B$1:$L$257,3,FALSE)),"",(VLOOKUP($B72,'B-1 Site Hedge Baseline'!$B$1:$L$257,3,FALSE))))</f>
        <v/>
      </c>
      <c r="D72" s="175" t="str">
        <f>IF(B72="","",IF(ISNA(VLOOKUP($B72,'B-1 Site Hedge Baseline'!$B$1:$L$257,4,FALSE)),"",(VLOOKUP($B72,'B-1 Site Hedge Baseline'!$B$1:$L$257,4,FALSE))))</f>
        <v/>
      </c>
      <c r="E72" s="175" t="str">
        <f>IF(B72="","",IF(ISNA(VLOOKUP($B72,'B-1 Site Hedge Baseline'!$B$1:$L$257,5,FALSE)),"",(VLOOKUP($B72,'B-1 Site Hedge Baseline'!$B$1:$L$257,5,FALSE))))</f>
        <v/>
      </c>
      <c r="F72" s="175" t="str">
        <f>IF(B72="","",IF(ISNA(VLOOKUP($B72,'B-1 Site Hedge Baseline'!$B$1:$L$257,6,FALSE)),"",(VLOOKUP($B72,'B-1 Site Hedge Baseline'!$B$1:$L$257,6,FALSE))))</f>
        <v/>
      </c>
      <c r="G72" s="175" t="str">
        <f>IF(B72="","",IF(ISNA(VLOOKUP($B72,'B-1 Site Hedge Baseline'!$B$1:$L$257,7,FALSE)),"",(VLOOKUP($B72,'B-1 Site Hedge Baseline'!$B$1:$L$257,7,FALSE))))</f>
        <v/>
      </c>
      <c r="H72" s="175" t="str">
        <f>IF(B72="","",IF(ISNA(VLOOKUP($B72,'B-1 Site Hedge Baseline'!$B$1:$L$257,8,FALSE)),"",(VLOOKUP($B72,'B-1 Site Hedge Baseline'!$B$1:$L$257,8,FALSE))))</f>
        <v/>
      </c>
      <c r="I72" s="175" t="str">
        <f>IF(B72="","",IF(ISNA(VLOOKUP($B72,'B-1 Site Hedge Baseline'!$B$1:$L$257,10,FALSE)),"",(VLOOKUP($B72,'B-1 Site Hedge Baseline'!$B$1:$L$257,10,FALSE))))</f>
        <v/>
      </c>
      <c r="J72" s="175" t="str">
        <f>IF(B72="","",IF(ISNA(VLOOKUP($B72,'B-1 Site Hedge Baseline'!$B$1:$L$257,11,FALSE)),"",(VLOOKUP($B72,'B-1 Site Hedge Baseline'!$B$1:$L$257,11,FALSE))))</f>
        <v/>
      </c>
      <c r="K72" s="175" t="str">
        <f>IF(B72="","",IF(ISNA(VLOOKUP($B72,'B-1 Site Hedge Baseline'!$B$1:$U$257,13,FALSE)),"",(VLOOKUP($B72,'B-1 Site Hedge Baseline'!$B$1:$U$257,13,FALSE))))</f>
        <v/>
      </c>
      <c r="L72" s="176" t="str">
        <f>IF(B72="","",IF(ISNA(VLOOKUP($B72,'B-1 Site Hedge Baseline'!$B$1:$U$257,12,FALSE)),"",(VLOOKUP($B72,'B-1 Site Hedge Baseline'!$B$1:$U$257,12,FALSE))))</f>
        <v/>
      </c>
      <c r="M72" s="637"/>
      <c r="N72" s="171" t="str">
        <f>IFERROR(IF(B72="","",INDEX('G-6 Hedgerow Data'!$AN$3:$AZ$15,MATCH(C72,'G-6 Hedgerow Data'!$AM$3:$AM$15,0),MATCH(M72,'G-6 Hedgerow Data'!$AN$2:$AZ$2,0))),"")</f>
        <v/>
      </c>
      <c r="O72" s="172" t="str">
        <f t="shared" si="1"/>
        <v/>
      </c>
      <c r="P72" s="642" t="str">
        <f>IF(B72="","",VLOOKUP(B72,'B-1 Site Hedge Baseline'!$B$10:T317,16,FALSE))</f>
        <v/>
      </c>
      <c r="Q72" s="171" t="str">
        <f>IF(M72="","",VLOOKUP(M72,'G-6 Hedgerow Data'!$B$2:$AG$15,2,FALSE))</f>
        <v/>
      </c>
      <c r="R72" s="172" t="str">
        <f>IF(M72="","",VLOOKUP(M72,'G-6 Hedgerow Data'!$B$2:$AG$15,3,FALSE))</f>
        <v/>
      </c>
      <c r="S72" s="189"/>
      <c r="T72" s="269" t="str">
        <f>IFERROR(VLOOKUP(S72,'G-1 All Habitats'!$Z$2:$AA$9,2,FALSE),"")</f>
        <v/>
      </c>
      <c r="U72" s="186"/>
      <c r="V72" s="175" t="str">
        <f>IF(U72="","",IF(VLOOKUP(U72,'G-3 Multipliers'!$L$3:$N$6,2,FALSE)=0,"Spatial Data Missing",VLOOKUP(U72,'G-3 Multipliers'!$L$3:$N$6,2,FALSE)))</f>
        <v/>
      </c>
      <c r="W72" s="176" t="str">
        <f>IF(U72="","",IF(VLOOKUP(U72,'G-3 Multipliers'!$L$3:$N$6,3,FALSE)=0,"Spatial Data Missing",VLOOKUP(U72,'G-3 Multipliers'!$L$3:$N$6,3,FALSE)))</f>
        <v/>
      </c>
      <c r="X72" s="171" t="str">
        <f>IFERROR(IF(OR(LEFT(O72,5)="Error",LEFT(N72,5)="Error",T72="Error"),"Check Data",IF(F72&lt;R72,INDEX('G-6 Hedgerow Data'!$S$3:$AE$14,MATCH(C72,'G-6 Hedgerow Data'!$B$3:$B$14,0),MATCH(M72,'G-6 Hedgerow Data'!$S$2:$AE$2,0)),INDEX('G-6 Hedgerow Data'!$K$3:$Q$14,MATCH(M72,'G-6 Hedgerow Data'!$B$3:$B$14,0),MATCH(O72,'G-6 Hedgerow Data'!$K$2:$Q$2,0)))),"")</f>
        <v/>
      </c>
      <c r="Y72" s="261"/>
      <c r="Z72" s="261"/>
      <c r="AA72" s="179" t="str">
        <f t="shared" si="2"/>
        <v/>
      </c>
      <c r="AB72" s="262" t="str">
        <f t="shared" si="3"/>
        <v/>
      </c>
      <c r="AC72" s="263" t="str">
        <f t="shared" si="4"/>
        <v/>
      </c>
      <c r="AD72" s="239" t="str">
        <f>IF(M72="","",VLOOKUP(M72,'G-6 Hedgerow Data'!$B$3:$AG$15,31,FALSE))</f>
        <v/>
      </c>
      <c r="AE72" s="179" t="str">
        <f t="shared" si="5"/>
        <v/>
      </c>
      <c r="AF72" s="179" t="str">
        <f t="shared" si="6"/>
        <v/>
      </c>
      <c r="AG72" s="176" t="str">
        <f>IFERROR(IF(O72="","",VLOOKUP(AD72,'G-3 Multipliers'!$P$3:$Q$6,2,FALSE)),"")</f>
        <v/>
      </c>
      <c r="AH72" s="207" t="str">
        <f t="shared" si="0"/>
        <v/>
      </c>
      <c r="AI72" s="336"/>
      <c r="AJ72" s="181"/>
      <c r="AT72" s="35" t="str">
        <f>IFERROR(INDEX('G-6 Hedgerow Data'!$BJ$3:$BJ$15,MATCH(M72,'G-6 Hedgerow Data'!$B$3:$B$15,0)),"")</f>
        <v/>
      </c>
    </row>
    <row r="73" spans="2:46" ht="13.8" x14ac:dyDescent="0.25">
      <c r="B73" s="259" t="str">
        <f>'B-1 Site Hedge Baseline'!AK71</f>
        <v/>
      </c>
      <c r="C73" s="175" t="str">
        <f>IF(B73="","",IF(ISNA(VLOOKUP($B73,'B-1 Site Hedge Baseline'!$B$1:$L$257,3,FALSE)),"",(VLOOKUP($B73,'B-1 Site Hedge Baseline'!$B$1:$L$257,3,FALSE))))</f>
        <v/>
      </c>
      <c r="D73" s="175" t="str">
        <f>IF(B73="","",IF(ISNA(VLOOKUP($B73,'B-1 Site Hedge Baseline'!$B$1:$L$257,4,FALSE)),"",(VLOOKUP($B73,'B-1 Site Hedge Baseline'!$B$1:$L$257,4,FALSE))))</f>
        <v/>
      </c>
      <c r="E73" s="175" t="str">
        <f>IF(B73="","",IF(ISNA(VLOOKUP($B73,'B-1 Site Hedge Baseline'!$B$1:$L$257,5,FALSE)),"",(VLOOKUP($B73,'B-1 Site Hedge Baseline'!$B$1:$L$257,5,FALSE))))</f>
        <v/>
      </c>
      <c r="F73" s="175" t="str">
        <f>IF(B73="","",IF(ISNA(VLOOKUP($B73,'B-1 Site Hedge Baseline'!$B$1:$L$257,6,FALSE)),"",(VLOOKUP($B73,'B-1 Site Hedge Baseline'!$B$1:$L$257,6,FALSE))))</f>
        <v/>
      </c>
      <c r="G73" s="175" t="str">
        <f>IF(B73="","",IF(ISNA(VLOOKUP($B73,'B-1 Site Hedge Baseline'!$B$1:$L$257,7,FALSE)),"",(VLOOKUP($B73,'B-1 Site Hedge Baseline'!$B$1:$L$257,7,FALSE))))</f>
        <v/>
      </c>
      <c r="H73" s="175" t="str">
        <f>IF(B73="","",IF(ISNA(VLOOKUP($B73,'B-1 Site Hedge Baseline'!$B$1:$L$257,8,FALSE)),"",(VLOOKUP($B73,'B-1 Site Hedge Baseline'!$B$1:$L$257,8,FALSE))))</f>
        <v/>
      </c>
      <c r="I73" s="175" t="str">
        <f>IF(B73="","",IF(ISNA(VLOOKUP($B73,'B-1 Site Hedge Baseline'!$B$1:$L$257,10,FALSE)),"",(VLOOKUP($B73,'B-1 Site Hedge Baseline'!$B$1:$L$257,10,FALSE))))</f>
        <v/>
      </c>
      <c r="J73" s="175" t="str">
        <f>IF(B73="","",IF(ISNA(VLOOKUP($B73,'B-1 Site Hedge Baseline'!$B$1:$L$257,11,FALSE)),"",(VLOOKUP($B73,'B-1 Site Hedge Baseline'!$B$1:$L$257,11,FALSE))))</f>
        <v/>
      </c>
      <c r="K73" s="175" t="str">
        <f>IF(B73="","",IF(ISNA(VLOOKUP($B73,'B-1 Site Hedge Baseline'!$B$1:$U$257,13,FALSE)),"",(VLOOKUP($B73,'B-1 Site Hedge Baseline'!$B$1:$U$257,13,FALSE))))</f>
        <v/>
      </c>
      <c r="L73" s="176" t="str">
        <f>IF(B73="","",IF(ISNA(VLOOKUP($B73,'B-1 Site Hedge Baseline'!$B$1:$U$257,12,FALSE)),"",(VLOOKUP($B73,'B-1 Site Hedge Baseline'!$B$1:$U$257,12,FALSE))))</f>
        <v/>
      </c>
      <c r="M73" s="637"/>
      <c r="N73" s="171" t="str">
        <f>IFERROR(IF(B73="","",INDEX('G-6 Hedgerow Data'!$AN$3:$AZ$15,MATCH(C73,'G-6 Hedgerow Data'!$AM$3:$AM$15,0),MATCH(M73,'G-6 Hedgerow Data'!$AN$2:$AZ$2,0))),"")</f>
        <v/>
      </c>
      <c r="O73" s="172" t="str">
        <f t="shared" si="1"/>
        <v/>
      </c>
      <c r="P73" s="642" t="str">
        <f>IF(B73="","",VLOOKUP(B73,'B-1 Site Hedge Baseline'!$B$10:T318,16,FALSE))</f>
        <v/>
      </c>
      <c r="Q73" s="171" t="str">
        <f>IF(M73="","",VLOOKUP(M73,'G-6 Hedgerow Data'!$B$2:$AG$15,2,FALSE))</f>
        <v/>
      </c>
      <c r="R73" s="172" t="str">
        <f>IF(M73="","",VLOOKUP(M73,'G-6 Hedgerow Data'!$B$2:$AG$15,3,FALSE))</f>
        <v/>
      </c>
      <c r="S73" s="189"/>
      <c r="T73" s="269" t="str">
        <f>IFERROR(VLOOKUP(S73,'G-1 All Habitats'!$Z$2:$AA$9,2,FALSE),"")</f>
        <v/>
      </c>
      <c r="U73" s="186"/>
      <c r="V73" s="175" t="str">
        <f>IF(U73="","",IF(VLOOKUP(U73,'G-3 Multipliers'!$L$3:$N$6,2,FALSE)=0,"Spatial Data Missing",VLOOKUP(U73,'G-3 Multipliers'!$L$3:$N$6,2,FALSE)))</f>
        <v/>
      </c>
      <c r="W73" s="176" t="str">
        <f>IF(U73="","",IF(VLOOKUP(U73,'G-3 Multipliers'!$L$3:$N$6,3,FALSE)=0,"Spatial Data Missing",VLOOKUP(U73,'G-3 Multipliers'!$L$3:$N$6,3,FALSE)))</f>
        <v/>
      </c>
      <c r="X73" s="171" t="str">
        <f>IFERROR(IF(OR(LEFT(O73,5)="Error",LEFT(N73,5)="Error",T73="Error"),"Check Data",IF(F73&lt;R73,INDEX('G-6 Hedgerow Data'!$S$3:$AE$14,MATCH(C73,'G-6 Hedgerow Data'!$B$3:$B$14,0),MATCH(M73,'G-6 Hedgerow Data'!$S$2:$AE$2,0)),INDEX('G-6 Hedgerow Data'!$K$3:$Q$14,MATCH(M73,'G-6 Hedgerow Data'!$B$3:$B$14,0),MATCH(O73,'G-6 Hedgerow Data'!$K$2:$Q$2,0)))),"")</f>
        <v/>
      </c>
      <c r="Y73" s="261"/>
      <c r="Z73" s="261"/>
      <c r="AA73" s="179" t="str">
        <f t="shared" si="2"/>
        <v/>
      </c>
      <c r="AB73" s="262" t="str">
        <f t="shared" si="3"/>
        <v/>
      </c>
      <c r="AC73" s="263" t="str">
        <f t="shared" si="4"/>
        <v/>
      </c>
      <c r="AD73" s="239" t="str">
        <f>IF(M73="","",VLOOKUP(M73,'G-6 Hedgerow Data'!$B$3:$AG$15,31,FALSE))</f>
        <v/>
      </c>
      <c r="AE73" s="179" t="str">
        <f t="shared" si="5"/>
        <v/>
      </c>
      <c r="AF73" s="179" t="str">
        <f t="shared" si="6"/>
        <v/>
      </c>
      <c r="AG73" s="176" t="str">
        <f>IFERROR(IF(O73="","",VLOOKUP(AD73,'G-3 Multipliers'!$P$3:$Q$6,2,FALSE)),"")</f>
        <v/>
      </c>
      <c r="AH73" s="207" t="str">
        <f t="shared" si="0"/>
        <v/>
      </c>
      <c r="AI73" s="336"/>
      <c r="AJ73" s="181"/>
      <c r="AT73" s="35" t="str">
        <f>IFERROR(INDEX('G-6 Hedgerow Data'!$BJ$3:$BJ$15,MATCH(M73,'G-6 Hedgerow Data'!$B$3:$B$15,0)),"")</f>
        <v/>
      </c>
    </row>
    <row r="74" spans="2:46" ht="13.8" x14ac:dyDescent="0.25">
      <c r="B74" s="259" t="str">
        <f>'B-1 Site Hedge Baseline'!AK72</f>
        <v/>
      </c>
      <c r="C74" s="175" t="str">
        <f>IF(B74="","",IF(ISNA(VLOOKUP($B74,'B-1 Site Hedge Baseline'!$B$1:$L$257,3,FALSE)),"",(VLOOKUP($B74,'B-1 Site Hedge Baseline'!$B$1:$L$257,3,FALSE))))</f>
        <v/>
      </c>
      <c r="D74" s="175" t="str">
        <f>IF(B74="","",IF(ISNA(VLOOKUP($B74,'B-1 Site Hedge Baseline'!$B$1:$L$257,4,FALSE)),"",(VLOOKUP($B74,'B-1 Site Hedge Baseline'!$B$1:$L$257,4,FALSE))))</f>
        <v/>
      </c>
      <c r="E74" s="175" t="str">
        <f>IF(B74="","",IF(ISNA(VLOOKUP($B74,'B-1 Site Hedge Baseline'!$B$1:$L$257,5,FALSE)),"",(VLOOKUP($B74,'B-1 Site Hedge Baseline'!$B$1:$L$257,5,FALSE))))</f>
        <v/>
      </c>
      <c r="F74" s="175" t="str">
        <f>IF(B74="","",IF(ISNA(VLOOKUP($B74,'B-1 Site Hedge Baseline'!$B$1:$L$257,6,FALSE)),"",(VLOOKUP($B74,'B-1 Site Hedge Baseline'!$B$1:$L$257,6,FALSE))))</f>
        <v/>
      </c>
      <c r="G74" s="175" t="str">
        <f>IF(B74="","",IF(ISNA(VLOOKUP($B74,'B-1 Site Hedge Baseline'!$B$1:$L$257,7,FALSE)),"",(VLOOKUP($B74,'B-1 Site Hedge Baseline'!$B$1:$L$257,7,FALSE))))</f>
        <v/>
      </c>
      <c r="H74" s="175" t="str">
        <f>IF(B74="","",IF(ISNA(VLOOKUP($B74,'B-1 Site Hedge Baseline'!$B$1:$L$257,8,FALSE)),"",(VLOOKUP($B74,'B-1 Site Hedge Baseline'!$B$1:$L$257,8,FALSE))))</f>
        <v/>
      </c>
      <c r="I74" s="175" t="str">
        <f>IF(B74="","",IF(ISNA(VLOOKUP($B74,'B-1 Site Hedge Baseline'!$B$1:$L$257,10,FALSE)),"",(VLOOKUP($B74,'B-1 Site Hedge Baseline'!$B$1:$L$257,10,FALSE))))</f>
        <v/>
      </c>
      <c r="J74" s="175" t="str">
        <f>IF(B74="","",IF(ISNA(VLOOKUP($B74,'B-1 Site Hedge Baseline'!$B$1:$L$257,11,FALSE)),"",(VLOOKUP($B74,'B-1 Site Hedge Baseline'!$B$1:$L$257,11,FALSE))))</f>
        <v/>
      </c>
      <c r="K74" s="175" t="str">
        <f>IF(B74="","",IF(ISNA(VLOOKUP($B74,'B-1 Site Hedge Baseline'!$B$1:$U$257,13,FALSE)),"",(VLOOKUP($B74,'B-1 Site Hedge Baseline'!$B$1:$U$257,13,FALSE))))</f>
        <v/>
      </c>
      <c r="L74" s="176" t="str">
        <f>IF(B74="","",IF(ISNA(VLOOKUP($B74,'B-1 Site Hedge Baseline'!$B$1:$U$257,12,FALSE)),"",(VLOOKUP($B74,'B-1 Site Hedge Baseline'!$B$1:$U$257,12,FALSE))))</f>
        <v/>
      </c>
      <c r="M74" s="637"/>
      <c r="N74" s="171" t="str">
        <f>IFERROR(IF(B74="","",INDEX('G-6 Hedgerow Data'!$AN$3:$AZ$15,MATCH(C74,'G-6 Hedgerow Data'!$AM$3:$AM$15,0),MATCH(M74,'G-6 Hedgerow Data'!$AN$2:$AZ$2,0))),"")</f>
        <v/>
      </c>
      <c r="O74" s="172" t="str">
        <f t="shared" si="1"/>
        <v/>
      </c>
      <c r="P74" s="642" t="str">
        <f>IF(B74="","",VLOOKUP(B74,'B-1 Site Hedge Baseline'!$B$10:T319,16,FALSE))</f>
        <v/>
      </c>
      <c r="Q74" s="171" t="str">
        <f>IF(M74="","",VLOOKUP(M74,'G-6 Hedgerow Data'!$B$2:$AG$15,2,FALSE))</f>
        <v/>
      </c>
      <c r="R74" s="172" t="str">
        <f>IF(M74="","",VLOOKUP(M74,'G-6 Hedgerow Data'!$B$2:$AG$15,3,FALSE))</f>
        <v/>
      </c>
      <c r="S74" s="189"/>
      <c r="T74" s="269" t="str">
        <f>IFERROR(VLOOKUP(S74,'G-1 All Habitats'!$Z$2:$AA$9,2,FALSE),"")</f>
        <v/>
      </c>
      <c r="U74" s="186"/>
      <c r="V74" s="175" t="str">
        <f>IF(U74="","",IF(VLOOKUP(U74,'G-3 Multipliers'!$L$3:$N$6,2,FALSE)=0,"Spatial Data Missing",VLOOKUP(U74,'G-3 Multipliers'!$L$3:$N$6,2,FALSE)))</f>
        <v/>
      </c>
      <c r="W74" s="176" t="str">
        <f>IF(U74="","",IF(VLOOKUP(U74,'G-3 Multipliers'!$L$3:$N$6,3,FALSE)=0,"Spatial Data Missing",VLOOKUP(U74,'G-3 Multipliers'!$L$3:$N$6,3,FALSE)))</f>
        <v/>
      </c>
      <c r="X74" s="171" t="str">
        <f>IFERROR(IF(OR(LEFT(O74,5)="Error",LEFT(N74,5)="Error",T74="Error"),"Check Data",IF(F74&lt;R74,INDEX('G-6 Hedgerow Data'!$S$3:$AE$14,MATCH(C74,'G-6 Hedgerow Data'!$B$3:$B$14,0),MATCH(M74,'G-6 Hedgerow Data'!$S$2:$AE$2,0)),INDEX('G-6 Hedgerow Data'!$K$3:$Q$14,MATCH(M74,'G-6 Hedgerow Data'!$B$3:$B$14,0),MATCH(O74,'G-6 Hedgerow Data'!$K$2:$Q$2,0)))),"")</f>
        <v/>
      </c>
      <c r="Y74" s="261"/>
      <c r="Z74" s="261"/>
      <c r="AA74" s="179" t="str">
        <f t="shared" si="2"/>
        <v/>
      </c>
      <c r="AB74" s="262" t="str">
        <f t="shared" si="3"/>
        <v/>
      </c>
      <c r="AC74" s="263" t="str">
        <f t="shared" si="4"/>
        <v/>
      </c>
      <c r="AD74" s="239" t="str">
        <f>IF(M74="","",VLOOKUP(M74,'G-6 Hedgerow Data'!$B$3:$AG$15,31,FALSE))</f>
        <v/>
      </c>
      <c r="AE74" s="179" t="str">
        <f t="shared" si="5"/>
        <v/>
      </c>
      <c r="AF74" s="179" t="str">
        <f t="shared" si="6"/>
        <v/>
      </c>
      <c r="AG74" s="176" t="str">
        <f>IFERROR(IF(O74="","",VLOOKUP(AD74,'G-3 Multipliers'!$P$3:$Q$6,2,FALSE)),"")</f>
        <v/>
      </c>
      <c r="AH74" s="207" t="str">
        <f t="shared" si="0"/>
        <v/>
      </c>
      <c r="AI74" s="336"/>
      <c r="AJ74" s="181"/>
      <c r="AT74" s="35" t="str">
        <f>IFERROR(INDEX('G-6 Hedgerow Data'!$BJ$3:$BJ$15,MATCH(M74,'G-6 Hedgerow Data'!$B$3:$B$15,0)),"")</f>
        <v/>
      </c>
    </row>
    <row r="75" spans="2:46" ht="13.8" x14ac:dyDescent="0.25">
      <c r="B75" s="259" t="str">
        <f>'B-1 Site Hedge Baseline'!AK73</f>
        <v/>
      </c>
      <c r="C75" s="175" t="str">
        <f>IF(B75="","",IF(ISNA(VLOOKUP($B75,'B-1 Site Hedge Baseline'!$B$1:$L$257,3,FALSE)),"",(VLOOKUP($B75,'B-1 Site Hedge Baseline'!$B$1:$L$257,3,FALSE))))</f>
        <v/>
      </c>
      <c r="D75" s="175" t="str">
        <f>IF(B75="","",IF(ISNA(VLOOKUP($B75,'B-1 Site Hedge Baseline'!$B$1:$L$257,4,FALSE)),"",(VLOOKUP($B75,'B-1 Site Hedge Baseline'!$B$1:$L$257,4,FALSE))))</f>
        <v/>
      </c>
      <c r="E75" s="175" t="str">
        <f>IF(B75="","",IF(ISNA(VLOOKUP($B75,'B-1 Site Hedge Baseline'!$B$1:$L$257,5,FALSE)),"",(VLOOKUP($B75,'B-1 Site Hedge Baseline'!$B$1:$L$257,5,FALSE))))</f>
        <v/>
      </c>
      <c r="F75" s="175" t="str">
        <f>IF(B75="","",IF(ISNA(VLOOKUP($B75,'B-1 Site Hedge Baseline'!$B$1:$L$257,6,FALSE)),"",(VLOOKUP($B75,'B-1 Site Hedge Baseline'!$B$1:$L$257,6,FALSE))))</f>
        <v/>
      </c>
      <c r="G75" s="175" t="str">
        <f>IF(B75="","",IF(ISNA(VLOOKUP($B75,'B-1 Site Hedge Baseline'!$B$1:$L$257,7,FALSE)),"",(VLOOKUP($B75,'B-1 Site Hedge Baseline'!$B$1:$L$257,7,FALSE))))</f>
        <v/>
      </c>
      <c r="H75" s="175" t="str">
        <f>IF(B75="","",IF(ISNA(VLOOKUP($B75,'B-1 Site Hedge Baseline'!$B$1:$L$257,8,FALSE)),"",(VLOOKUP($B75,'B-1 Site Hedge Baseline'!$B$1:$L$257,8,FALSE))))</f>
        <v/>
      </c>
      <c r="I75" s="175" t="str">
        <f>IF(B75="","",IF(ISNA(VLOOKUP($B75,'B-1 Site Hedge Baseline'!$B$1:$L$257,10,FALSE)),"",(VLOOKUP($B75,'B-1 Site Hedge Baseline'!$B$1:$L$257,10,FALSE))))</f>
        <v/>
      </c>
      <c r="J75" s="175" t="str">
        <f>IF(B75="","",IF(ISNA(VLOOKUP($B75,'B-1 Site Hedge Baseline'!$B$1:$L$257,11,FALSE)),"",(VLOOKUP($B75,'B-1 Site Hedge Baseline'!$B$1:$L$257,11,FALSE))))</f>
        <v/>
      </c>
      <c r="K75" s="175" t="str">
        <f>IF(B75="","",IF(ISNA(VLOOKUP($B75,'B-1 Site Hedge Baseline'!$B$1:$U$257,13,FALSE)),"",(VLOOKUP($B75,'B-1 Site Hedge Baseline'!$B$1:$U$257,13,FALSE))))</f>
        <v/>
      </c>
      <c r="L75" s="176" t="str">
        <f>IF(B75="","",IF(ISNA(VLOOKUP($B75,'B-1 Site Hedge Baseline'!$B$1:$U$257,12,FALSE)),"",(VLOOKUP($B75,'B-1 Site Hedge Baseline'!$B$1:$U$257,12,FALSE))))</f>
        <v/>
      </c>
      <c r="M75" s="637"/>
      <c r="N75" s="171" t="str">
        <f>IFERROR(IF(B75="","",INDEX('G-6 Hedgerow Data'!$AN$3:$AZ$15,MATCH(C75,'G-6 Hedgerow Data'!$AM$3:$AM$15,0),MATCH(M75,'G-6 Hedgerow Data'!$AN$2:$AZ$2,0))),"")</f>
        <v/>
      </c>
      <c r="O75" s="172" t="str">
        <f t="shared" si="1"/>
        <v/>
      </c>
      <c r="P75" s="642" t="str">
        <f>IF(B75="","",VLOOKUP(B75,'B-1 Site Hedge Baseline'!$B$10:T320,16,FALSE))</f>
        <v/>
      </c>
      <c r="Q75" s="171" t="str">
        <f>IF(M75="","",VLOOKUP(M75,'G-6 Hedgerow Data'!$B$2:$AG$15,2,FALSE))</f>
        <v/>
      </c>
      <c r="R75" s="172" t="str">
        <f>IF(M75="","",VLOOKUP(M75,'G-6 Hedgerow Data'!$B$2:$AG$15,3,FALSE))</f>
        <v/>
      </c>
      <c r="S75" s="189"/>
      <c r="T75" s="269" t="str">
        <f>IFERROR(VLOOKUP(S75,'G-1 All Habitats'!$Z$2:$AA$9,2,FALSE),"")</f>
        <v/>
      </c>
      <c r="U75" s="186"/>
      <c r="V75" s="175" t="str">
        <f>IF(U75="","",IF(VLOOKUP(U75,'G-3 Multipliers'!$L$3:$N$6,2,FALSE)=0,"Spatial Data Missing",VLOOKUP(U75,'G-3 Multipliers'!$L$3:$N$6,2,FALSE)))</f>
        <v/>
      </c>
      <c r="W75" s="176" t="str">
        <f>IF(U75="","",IF(VLOOKUP(U75,'G-3 Multipliers'!$L$3:$N$6,3,FALSE)=0,"Spatial Data Missing",VLOOKUP(U75,'G-3 Multipliers'!$L$3:$N$6,3,FALSE)))</f>
        <v/>
      </c>
      <c r="X75" s="171" t="str">
        <f>IFERROR(IF(OR(LEFT(O75,5)="Error",LEFT(N75,5)="Error",T75="Error"),"Check Data",IF(F75&lt;R75,INDEX('G-6 Hedgerow Data'!$S$3:$AE$14,MATCH(C75,'G-6 Hedgerow Data'!$B$3:$B$14,0),MATCH(M75,'G-6 Hedgerow Data'!$S$2:$AE$2,0)),INDEX('G-6 Hedgerow Data'!$K$3:$Q$14,MATCH(M75,'G-6 Hedgerow Data'!$B$3:$B$14,0),MATCH(O75,'G-6 Hedgerow Data'!$K$2:$Q$2,0)))),"")</f>
        <v/>
      </c>
      <c r="Y75" s="261"/>
      <c r="Z75" s="261"/>
      <c r="AA75" s="179" t="str">
        <f t="shared" si="2"/>
        <v/>
      </c>
      <c r="AB75" s="262" t="str">
        <f t="shared" si="3"/>
        <v/>
      </c>
      <c r="AC75" s="263" t="str">
        <f t="shared" si="4"/>
        <v/>
      </c>
      <c r="AD75" s="239" t="str">
        <f>IF(M75="","",VLOOKUP(M75,'G-6 Hedgerow Data'!$B$3:$AG$15,31,FALSE))</f>
        <v/>
      </c>
      <c r="AE75" s="179" t="str">
        <f t="shared" si="5"/>
        <v/>
      </c>
      <c r="AF75" s="179" t="str">
        <f t="shared" si="6"/>
        <v/>
      </c>
      <c r="AG75" s="176" t="str">
        <f>IFERROR(IF(O75="","",VLOOKUP(AD75,'G-3 Multipliers'!$P$3:$Q$6,2,FALSE)),"")</f>
        <v/>
      </c>
      <c r="AH75" s="207" t="str">
        <f t="shared" si="0"/>
        <v/>
      </c>
      <c r="AI75" s="336"/>
      <c r="AJ75" s="181"/>
      <c r="AT75" s="35" t="str">
        <f>IFERROR(INDEX('G-6 Hedgerow Data'!$BJ$3:$BJ$15,MATCH(M75,'G-6 Hedgerow Data'!$B$3:$B$15,0)),"")</f>
        <v/>
      </c>
    </row>
    <row r="76" spans="2:46" ht="13.8" x14ac:dyDescent="0.25">
      <c r="B76" s="259" t="str">
        <f>'B-1 Site Hedge Baseline'!AK74</f>
        <v/>
      </c>
      <c r="C76" s="175" t="str">
        <f>IF(B76="","",IF(ISNA(VLOOKUP($B76,'B-1 Site Hedge Baseline'!$B$1:$L$257,3,FALSE)),"",(VLOOKUP($B76,'B-1 Site Hedge Baseline'!$B$1:$L$257,3,FALSE))))</f>
        <v/>
      </c>
      <c r="D76" s="175" t="str">
        <f>IF(B76="","",IF(ISNA(VLOOKUP($B76,'B-1 Site Hedge Baseline'!$B$1:$L$257,4,FALSE)),"",(VLOOKUP($B76,'B-1 Site Hedge Baseline'!$B$1:$L$257,4,FALSE))))</f>
        <v/>
      </c>
      <c r="E76" s="175" t="str">
        <f>IF(B76="","",IF(ISNA(VLOOKUP($B76,'B-1 Site Hedge Baseline'!$B$1:$L$257,5,FALSE)),"",(VLOOKUP($B76,'B-1 Site Hedge Baseline'!$B$1:$L$257,5,FALSE))))</f>
        <v/>
      </c>
      <c r="F76" s="175" t="str">
        <f>IF(B76="","",IF(ISNA(VLOOKUP($B76,'B-1 Site Hedge Baseline'!$B$1:$L$257,6,FALSE)),"",(VLOOKUP($B76,'B-1 Site Hedge Baseline'!$B$1:$L$257,6,FALSE))))</f>
        <v/>
      </c>
      <c r="G76" s="175" t="str">
        <f>IF(B76="","",IF(ISNA(VLOOKUP($B76,'B-1 Site Hedge Baseline'!$B$1:$L$257,7,FALSE)),"",(VLOOKUP($B76,'B-1 Site Hedge Baseline'!$B$1:$L$257,7,FALSE))))</f>
        <v/>
      </c>
      <c r="H76" s="175" t="str">
        <f>IF(B76="","",IF(ISNA(VLOOKUP($B76,'B-1 Site Hedge Baseline'!$B$1:$L$257,8,FALSE)),"",(VLOOKUP($B76,'B-1 Site Hedge Baseline'!$B$1:$L$257,8,FALSE))))</f>
        <v/>
      </c>
      <c r="I76" s="175" t="str">
        <f>IF(B76="","",IF(ISNA(VLOOKUP($B76,'B-1 Site Hedge Baseline'!$B$1:$L$257,10,FALSE)),"",(VLOOKUP($B76,'B-1 Site Hedge Baseline'!$B$1:$L$257,10,FALSE))))</f>
        <v/>
      </c>
      <c r="J76" s="175" t="str">
        <f>IF(B76="","",IF(ISNA(VLOOKUP($B76,'B-1 Site Hedge Baseline'!$B$1:$L$257,11,FALSE)),"",(VLOOKUP($B76,'B-1 Site Hedge Baseline'!$B$1:$L$257,11,FALSE))))</f>
        <v/>
      </c>
      <c r="K76" s="175" t="str">
        <f>IF(B76="","",IF(ISNA(VLOOKUP($B76,'B-1 Site Hedge Baseline'!$B$1:$U$257,13,FALSE)),"",(VLOOKUP($B76,'B-1 Site Hedge Baseline'!$B$1:$U$257,13,FALSE))))</f>
        <v/>
      </c>
      <c r="L76" s="176" t="str">
        <f>IF(B76="","",IF(ISNA(VLOOKUP($B76,'B-1 Site Hedge Baseline'!$B$1:$U$257,12,FALSE)),"",(VLOOKUP($B76,'B-1 Site Hedge Baseline'!$B$1:$U$257,12,FALSE))))</f>
        <v/>
      </c>
      <c r="M76" s="637"/>
      <c r="N76" s="171" t="str">
        <f>IFERROR(IF(B76="","",INDEX('G-6 Hedgerow Data'!$AN$3:$AZ$15,MATCH(C76,'G-6 Hedgerow Data'!$AM$3:$AM$15,0),MATCH(M76,'G-6 Hedgerow Data'!$AN$2:$AZ$2,0))),"")</f>
        <v/>
      </c>
      <c r="O76" s="172" t="str">
        <f t="shared" ref="O76:O139" si="7">IFERROR(IF(B76="","",IF(AND(LEFT(C76,55)&lt;&gt;LEFT(M76,55),N76="High - High"),"Error - Not like for like",IF(AND(LEFT(C76,55)&lt;&gt;LEFT(M76,55),N76="Medium - Medium"),"Error - Not like for like",IF(H76&gt;T76,"Error - Can not reduce condition",IF(AND(F76=R76,H76=T76),"Error - No enhancement",IF(AND(C76&lt;&gt;M76,F76&lt;R76),"Lower Distinctiveness Habitat"&amp;" - "&amp;S76,G76&amp;" - "&amp;S76)))))),"")</f>
        <v/>
      </c>
      <c r="P76" s="642" t="str">
        <f>IF(B76="","",VLOOKUP(B76,'B-1 Site Hedge Baseline'!$B$10:T321,16,FALSE))</f>
        <v/>
      </c>
      <c r="Q76" s="171" t="str">
        <f>IF(M76="","",VLOOKUP(M76,'G-6 Hedgerow Data'!$B$2:$AG$15,2,FALSE))</f>
        <v/>
      </c>
      <c r="R76" s="172" t="str">
        <f>IF(M76="","",VLOOKUP(M76,'G-6 Hedgerow Data'!$B$2:$AG$15,3,FALSE))</f>
        <v/>
      </c>
      <c r="S76" s="189"/>
      <c r="T76" s="269" t="str">
        <f>IFERROR(VLOOKUP(S76,'G-1 All Habitats'!$Z$2:$AA$9,2,FALSE),"")</f>
        <v/>
      </c>
      <c r="U76" s="186"/>
      <c r="V76" s="175" t="str">
        <f>IF(U76="","",IF(VLOOKUP(U76,'G-3 Multipliers'!$L$3:$N$6,2,FALSE)=0,"Spatial Data Missing",VLOOKUP(U76,'G-3 Multipliers'!$L$3:$N$6,2,FALSE)))</f>
        <v/>
      </c>
      <c r="W76" s="176" t="str">
        <f>IF(U76="","",IF(VLOOKUP(U76,'G-3 Multipliers'!$L$3:$N$6,3,FALSE)=0,"Spatial Data Missing",VLOOKUP(U76,'G-3 Multipliers'!$L$3:$N$6,3,FALSE)))</f>
        <v/>
      </c>
      <c r="X76" s="171" t="str">
        <f>IFERROR(IF(OR(LEFT(O76,5)="Error",LEFT(N76,5)="Error",T76="Error"),"Check Data",IF(F76&lt;R76,INDEX('G-6 Hedgerow Data'!$S$3:$AE$14,MATCH(C76,'G-6 Hedgerow Data'!$B$3:$B$14,0),MATCH(M76,'G-6 Hedgerow Data'!$S$2:$AE$2,0)),INDEX('G-6 Hedgerow Data'!$K$3:$Q$14,MATCH(M76,'G-6 Hedgerow Data'!$B$3:$B$14,0),MATCH(O76,'G-6 Hedgerow Data'!$K$2:$Q$2,0)))),"")</f>
        <v/>
      </c>
      <c r="Y76" s="261"/>
      <c r="Z76" s="261"/>
      <c r="AA76" s="179" t="str">
        <f t="shared" si="2"/>
        <v/>
      </c>
      <c r="AB76" s="262" t="str">
        <f t="shared" si="3"/>
        <v/>
      </c>
      <c r="AC76" s="263" t="str">
        <f t="shared" ref="AC76:AC139" si="8">IF(OR(S76="",M76=""),"",IF(LEFT(AB76,5)="Error","Check Data",IF(AB76="Check Data","Check Data",VLOOKUP(AB76,TemporalMultipliers,3,FALSE))))</f>
        <v/>
      </c>
      <c r="AD76" s="239" t="str">
        <f>IF(M76="","",VLOOKUP(M76,'G-6 Hedgerow Data'!$B$3:$AG$15,31,FALSE))</f>
        <v/>
      </c>
      <c r="AE76" s="179" t="str">
        <f t="shared" si="5"/>
        <v/>
      </c>
      <c r="AF76" s="179" t="str">
        <f t="shared" si="6"/>
        <v/>
      </c>
      <c r="AG76" s="176" t="str">
        <f>IFERROR(IF(O76="","",VLOOKUP(AD76,'G-3 Multipliers'!$P$3:$Q$6,2,FALSE)),"")</f>
        <v/>
      </c>
      <c r="AH76" s="207" t="str">
        <f t="shared" ref="AH76:AH139" si="9">IFERROR(IF(OR(M76="",S76="",U76=""),"",(((((P76*R76*T76)-(P76*F76*H76))*(AG76*AC76))+(P76*F76*H76))*(W76))),"")</f>
        <v/>
      </c>
      <c r="AI76" s="336"/>
      <c r="AJ76" s="181"/>
      <c r="AT76" s="35" t="str">
        <f>IFERROR(INDEX('G-6 Hedgerow Data'!$BJ$3:$BJ$15,MATCH(M76,'G-6 Hedgerow Data'!$B$3:$B$15,0)),"")</f>
        <v/>
      </c>
    </row>
    <row r="77" spans="2:46" ht="13.8" x14ac:dyDescent="0.25">
      <c r="B77" s="259" t="str">
        <f>'B-1 Site Hedge Baseline'!AK75</f>
        <v/>
      </c>
      <c r="C77" s="175" t="str">
        <f>IF(B77="","",IF(ISNA(VLOOKUP($B77,'B-1 Site Hedge Baseline'!$B$1:$L$257,3,FALSE)),"",(VLOOKUP($B77,'B-1 Site Hedge Baseline'!$B$1:$L$257,3,FALSE))))</f>
        <v/>
      </c>
      <c r="D77" s="175" t="str">
        <f>IF(B77="","",IF(ISNA(VLOOKUP($B77,'B-1 Site Hedge Baseline'!$B$1:$L$257,4,FALSE)),"",(VLOOKUP($B77,'B-1 Site Hedge Baseline'!$B$1:$L$257,4,FALSE))))</f>
        <v/>
      </c>
      <c r="E77" s="175" t="str">
        <f>IF(B77="","",IF(ISNA(VLOOKUP($B77,'B-1 Site Hedge Baseline'!$B$1:$L$257,5,FALSE)),"",(VLOOKUP($B77,'B-1 Site Hedge Baseline'!$B$1:$L$257,5,FALSE))))</f>
        <v/>
      </c>
      <c r="F77" s="175" t="str">
        <f>IF(B77="","",IF(ISNA(VLOOKUP($B77,'B-1 Site Hedge Baseline'!$B$1:$L$257,6,FALSE)),"",(VLOOKUP($B77,'B-1 Site Hedge Baseline'!$B$1:$L$257,6,FALSE))))</f>
        <v/>
      </c>
      <c r="G77" s="175" t="str">
        <f>IF(B77="","",IF(ISNA(VLOOKUP($B77,'B-1 Site Hedge Baseline'!$B$1:$L$257,7,FALSE)),"",(VLOOKUP($B77,'B-1 Site Hedge Baseline'!$B$1:$L$257,7,FALSE))))</f>
        <v/>
      </c>
      <c r="H77" s="175" t="str">
        <f>IF(B77="","",IF(ISNA(VLOOKUP($B77,'B-1 Site Hedge Baseline'!$B$1:$L$257,8,FALSE)),"",(VLOOKUP($B77,'B-1 Site Hedge Baseline'!$B$1:$L$257,8,FALSE))))</f>
        <v/>
      </c>
      <c r="I77" s="175" t="str">
        <f>IF(B77="","",IF(ISNA(VLOOKUP($B77,'B-1 Site Hedge Baseline'!$B$1:$L$257,10,FALSE)),"",(VLOOKUP($B77,'B-1 Site Hedge Baseline'!$B$1:$L$257,10,FALSE))))</f>
        <v/>
      </c>
      <c r="J77" s="175" t="str">
        <f>IF(B77="","",IF(ISNA(VLOOKUP($B77,'B-1 Site Hedge Baseline'!$B$1:$L$257,11,FALSE)),"",(VLOOKUP($B77,'B-1 Site Hedge Baseline'!$B$1:$L$257,11,FALSE))))</f>
        <v/>
      </c>
      <c r="K77" s="175" t="str">
        <f>IF(B77="","",IF(ISNA(VLOOKUP($B77,'B-1 Site Hedge Baseline'!$B$1:$U$257,13,FALSE)),"",(VLOOKUP($B77,'B-1 Site Hedge Baseline'!$B$1:$U$257,13,FALSE))))</f>
        <v/>
      </c>
      <c r="L77" s="176" t="str">
        <f>IF(B77="","",IF(ISNA(VLOOKUP($B77,'B-1 Site Hedge Baseline'!$B$1:$U$257,12,FALSE)),"",(VLOOKUP($B77,'B-1 Site Hedge Baseline'!$B$1:$U$257,12,FALSE))))</f>
        <v/>
      </c>
      <c r="M77" s="637"/>
      <c r="N77" s="171" t="str">
        <f>IFERROR(IF(B77="","",INDEX('G-6 Hedgerow Data'!$AN$3:$AZ$15,MATCH(C77,'G-6 Hedgerow Data'!$AM$3:$AM$15,0),MATCH(M77,'G-6 Hedgerow Data'!$AN$2:$AZ$2,0))),"")</f>
        <v/>
      </c>
      <c r="O77" s="172" t="str">
        <f t="shared" si="7"/>
        <v/>
      </c>
      <c r="P77" s="642" t="str">
        <f>IF(B77="","",VLOOKUP(B77,'B-1 Site Hedge Baseline'!$B$10:T322,16,FALSE))</f>
        <v/>
      </c>
      <c r="Q77" s="171" t="str">
        <f>IF(M77="","",VLOOKUP(M77,'G-6 Hedgerow Data'!$B$2:$AG$15,2,FALSE))</f>
        <v/>
      </c>
      <c r="R77" s="172" t="str">
        <f>IF(M77="","",VLOOKUP(M77,'G-6 Hedgerow Data'!$B$2:$AG$15,3,FALSE))</f>
        <v/>
      </c>
      <c r="S77" s="189"/>
      <c r="T77" s="269" t="str">
        <f>IFERROR(VLOOKUP(S77,'G-1 All Habitats'!$Z$2:$AA$9,2,FALSE),"")</f>
        <v/>
      </c>
      <c r="U77" s="186"/>
      <c r="V77" s="175" t="str">
        <f>IF(U77="","",IF(VLOOKUP(U77,'G-3 Multipliers'!$L$3:$N$6,2,FALSE)=0,"Spatial Data Missing",VLOOKUP(U77,'G-3 Multipliers'!$L$3:$N$6,2,FALSE)))</f>
        <v/>
      </c>
      <c r="W77" s="176" t="str">
        <f>IF(U77="","",IF(VLOOKUP(U77,'G-3 Multipliers'!$L$3:$N$6,3,FALSE)=0,"Spatial Data Missing",VLOOKUP(U77,'G-3 Multipliers'!$L$3:$N$6,3,FALSE)))</f>
        <v/>
      </c>
      <c r="X77" s="171" t="str">
        <f>IFERROR(IF(OR(LEFT(O77,5)="Error",LEFT(N77,5)="Error",T77="Error"),"Check Data",IF(F77&lt;R77,INDEX('G-6 Hedgerow Data'!$S$3:$AE$14,MATCH(C77,'G-6 Hedgerow Data'!$B$3:$B$14,0),MATCH(M77,'G-6 Hedgerow Data'!$S$2:$AE$2,0)),INDEX('G-6 Hedgerow Data'!$K$3:$Q$14,MATCH(M77,'G-6 Hedgerow Data'!$B$3:$B$14,0),MATCH(O77,'G-6 Hedgerow Data'!$K$2:$Q$2,0)))),"")</f>
        <v/>
      </c>
      <c r="Y77" s="261"/>
      <c r="Z77" s="261"/>
      <c r="AA77" s="179" t="str">
        <f t="shared" ref="AA77:AA140" si="10">IF(X77="Check Data","Check Data",IF(M77="","",IF(AND(Y77&gt;0,Z77&gt;0),"Error -both advance and delayed habitat creation",IF(AND(OR(Y77="Habitat already in target condition",X77&lt;=Y77),Z77=0),"Check details - Is there evidence that habitat has reached target condition?",IF(X77="","",IF(Y77&gt;0,"Check details - Is there evidence habitat creation started/in place?",IF(Z77&gt;0,"Check details- Delay in starting habitat in required condition?","Standard time to target condition applied")))))))</f>
        <v/>
      </c>
      <c r="AB77" s="262" t="str">
        <f t="shared" ref="AB77:AB140" si="11">IF(X77="","",IF(AA77="Check Data","Check Data",IF(Y77="30+",0,IF(Z77="30+","30+",IF(X77+Z77&gt;30,"30+",IF(LEFT(AA77,5)="Error","Check Data",IF(X77+Z77-Y77&gt;0,X77+Z77-Y77,IF(X77-Y77&lt;=0,0,))))))))</f>
        <v/>
      </c>
      <c r="AC77" s="263" t="str">
        <f t="shared" si="8"/>
        <v/>
      </c>
      <c r="AD77" s="239" t="str">
        <f>IF(M77="","",VLOOKUP(M77,'G-6 Hedgerow Data'!$B$3:$AG$15,31,FALSE))</f>
        <v/>
      </c>
      <c r="AE77" s="179" t="str">
        <f t="shared" ref="AE77:AE140" si="12">IF(M77="","",IF(OR(LEFT(AA77,5)="Error",AA77="Check Data"),"Check Data",IF(X77="","",IF($AA77="Check details - Is there evidence that habitat has reached target condition?","Low Difficulty - only applicable if all habitat created before losses","Standard difficulty applied"))))</f>
        <v/>
      </c>
      <c r="AF77" s="179" t="str">
        <f t="shared" ref="AF77:AF140" si="13">(IF(AND(AE77="Standard difficulty applied",X77&gt;Y77),AD77,IF(AND(AE77="Low Difficulty - only applicable if all habitat created before losses",Y77&gt;=X77),"Low",AD77)))</f>
        <v/>
      </c>
      <c r="AG77" s="176" t="str">
        <f>IFERROR(IF(O77="","",VLOOKUP(AD77,'G-3 Multipliers'!$P$3:$Q$6,2,FALSE)),"")</f>
        <v/>
      </c>
      <c r="AH77" s="207" t="str">
        <f t="shared" si="9"/>
        <v/>
      </c>
      <c r="AI77" s="336"/>
      <c r="AJ77" s="181"/>
      <c r="AT77" s="35" t="str">
        <f>IFERROR(INDEX('G-6 Hedgerow Data'!$BJ$3:$BJ$15,MATCH(M77,'G-6 Hedgerow Data'!$B$3:$B$15,0)),"")</f>
        <v/>
      </c>
    </row>
    <row r="78" spans="2:46" ht="13.8" x14ac:dyDescent="0.25">
      <c r="B78" s="259" t="str">
        <f>'B-1 Site Hedge Baseline'!AK76</f>
        <v/>
      </c>
      <c r="C78" s="175" t="str">
        <f>IF(B78="","",IF(ISNA(VLOOKUP($B78,'B-1 Site Hedge Baseline'!$B$1:$L$257,3,FALSE)),"",(VLOOKUP($B78,'B-1 Site Hedge Baseline'!$B$1:$L$257,3,FALSE))))</f>
        <v/>
      </c>
      <c r="D78" s="175" t="str">
        <f>IF(B78="","",IF(ISNA(VLOOKUP($B78,'B-1 Site Hedge Baseline'!$B$1:$L$257,4,FALSE)),"",(VLOOKUP($B78,'B-1 Site Hedge Baseline'!$B$1:$L$257,4,FALSE))))</f>
        <v/>
      </c>
      <c r="E78" s="175" t="str">
        <f>IF(B78="","",IF(ISNA(VLOOKUP($B78,'B-1 Site Hedge Baseline'!$B$1:$L$257,5,FALSE)),"",(VLOOKUP($B78,'B-1 Site Hedge Baseline'!$B$1:$L$257,5,FALSE))))</f>
        <v/>
      </c>
      <c r="F78" s="175" t="str">
        <f>IF(B78="","",IF(ISNA(VLOOKUP($B78,'B-1 Site Hedge Baseline'!$B$1:$L$257,6,FALSE)),"",(VLOOKUP($B78,'B-1 Site Hedge Baseline'!$B$1:$L$257,6,FALSE))))</f>
        <v/>
      </c>
      <c r="G78" s="175" t="str">
        <f>IF(B78="","",IF(ISNA(VLOOKUP($B78,'B-1 Site Hedge Baseline'!$B$1:$L$257,7,FALSE)),"",(VLOOKUP($B78,'B-1 Site Hedge Baseline'!$B$1:$L$257,7,FALSE))))</f>
        <v/>
      </c>
      <c r="H78" s="175" t="str">
        <f>IF(B78="","",IF(ISNA(VLOOKUP($B78,'B-1 Site Hedge Baseline'!$B$1:$L$257,8,FALSE)),"",(VLOOKUP($B78,'B-1 Site Hedge Baseline'!$B$1:$L$257,8,FALSE))))</f>
        <v/>
      </c>
      <c r="I78" s="175" t="str">
        <f>IF(B78="","",IF(ISNA(VLOOKUP($B78,'B-1 Site Hedge Baseline'!$B$1:$L$257,10,FALSE)),"",(VLOOKUP($B78,'B-1 Site Hedge Baseline'!$B$1:$L$257,10,FALSE))))</f>
        <v/>
      </c>
      <c r="J78" s="175" t="str">
        <f>IF(B78="","",IF(ISNA(VLOOKUP($B78,'B-1 Site Hedge Baseline'!$B$1:$L$257,11,FALSE)),"",(VLOOKUP($B78,'B-1 Site Hedge Baseline'!$B$1:$L$257,11,FALSE))))</f>
        <v/>
      </c>
      <c r="K78" s="175" t="str">
        <f>IF(B78="","",IF(ISNA(VLOOKUP($B78,'B-1 Site Hedge Baseline'!$B$1:$U$257,13,FALSE)),"",(VLOOKUP($B78,'B-1 Site Hedge Baseline'!$B$1:$U$257,13,FALSE))))</f>
        <v/>
      </c>
      <c r="L78" s="176" t="str">
        <f>IF(B78="","",IF(ISNA(VLOOKUP($B78,'B-1 Site Hedge Baseline'!$B$1:$U$257,12,FALSE)),"",(VLOOKUP($B78,'B-1 Site Hedge Baseline'!$B$1:$U$257,12,FALSE))))</f>
        <v/>
      </c>
      <c r="M78" s="637"/>
      <c r="N78" s="171" t="str">
        <f>IFERROR(IF(B78="","",INDEX('G-6 Hedgerow Data'!$AN$3:$AZ$15,MATCH(C78,'G-6 Hedgerow Data'!$AM$3:$AM$15,0),MATCH(M78,'G-6 Hedgerow Data'!$AN$2:$AZ$2,0))),"")</f>
        <v/>
      </c>
      <c r="O78" s="172" t="str">
        <f t="shared" si="7"/>
        <v/>
      </c>
      <c r="P78" s="642" t="str">
        <f>IF(B78="","",VLOOKUP(B78,'B-1 Site Hedge Baseline'!$B$10:T323,16,FALSE))</f>
        <v/>
      </c>
      <c r="Q78" s="171" t="str">
        <f>IF(M78="","",VLOOKUP(M78,'G-6 Hedgerow Data'!$B$2:$AG$15,2,FALSE))</f>
        <v/>
      </c>
      <c r="R78" s="172" t="str">
        <f>IF(M78="","",VLOOKUP(M78,'G-6 Hedgerow Data'!$B$2:$AG$15,3,FALSE))</f>
        <v/>
      </c>
      <c r="S78" s="189"/>
      <c r="T78" s="269" t="str">
        <f>IFERROR(VLOOKUP(S78,'G-1 All Habitats'!$Z$2:$AA$9,2,FALSE),"")</f>
        <v/>
      </c>
      <c r="U78" s="186"/>
      <c r="V78" s="175" t="str">
        <f>IF(U78="","",IF(VLOOKUP(U78,'G-3 Multipliers'!$L$3:$N$6,2,FALSE)=0,"Spatial Data Missing",VLOOKUP(U78,'G-3 Multipliers'!$L$3:$N$6,2,FALSE)))</f>
        <v/>
      </c>
      <c r="W78" s="176" t="str">
        <f>IF(U78="","",IF(VLOOKUP(U78,'G-3 Multipliers'!$L$3:$N$6,3,FALSE)=0,"Spatial Data Missing",VLOOKUP(U78,'G-3 Multipliers'!$L$3:$N$6,3,FALSE)))</f>
        <v/>
      </c>
      <c r="X78" s="171" t="str">
        <f>IFERROR(IF(OR(LEFT(O78,5)="Error",LEFT(N78,5)="Error",T78="Error"),"Check Data",IF(F78&lt;R78,INDEX('G-6 Hedgerow Data'!$S$3:$AE$14,MATCH(C78,'G-6 Hedgerow Data'!$B$3:$B$14,0),MATCH(M78,'G-6 Hedgerow Data'!$S$2:$AE$2,0)),INDEX('G-6 Hedgerow Data'!$K$3:$Q$14,MATCH(M78,'G-6 Hedgerow Data'!$B$3:$B$14,0),MATCH(O78,'G-6 Hedgerow Data'!$K$2:$Q$2,0)))),"")</f>
        <v/>
      </c>
      <c r="Y78" s="261"/>
      <c r="Z78" s="261"/>
      <c r="AA78" s="179" t="str">
        <f t="shared" si="10"/>
        <v/>
      </c>
      <c r="AB78" s="262" t="str">
        <f t="shared" si="11"/>
        <v/>
      </c>
      <c r="AC78" s="263" t="str">
        <f t="shared" si="8"/>
        <v/>
      </c>
      <c r="AD78" s="239" t="str">
        <f>IF(M78="","",VLOOKUP(M78,'G-6 Hedgerow Data'!$B$3:$AG$15,31,FALSE))</f>
        <v/>
      </c>
      <c r="AE78" s="179" t="str">
        <f t="shared" si="12"/>
        <v/>
      </c>
      <c r="AF78" s="179" t="str">
        <f t="shared" si="13"/>
        <v/>
      </c>
      <c r="AG78" s="176" t="str">
        <f>IFERROR(IF(O78="","",VLOOKUP(AD78,'G-3 Multipliers'!$P$3:$Q$6,2,FALSE)),"")</f>
        <v/>
      </c>
      <c r="AH78" s="207" t="str">
        <f t="shared" si="9"/>
        <v/>
      </c>
      <c r="AI78" s="336"/>
      <c r="AJ78" s="181"/>
      <c r="AT78" s="35" t="str">
        <f>IFERROR(INDEX('G-6 Hedgerow Data'!$BJ$3:$BJ$15,MATCH(M78,'G-6 Hedgerow Data'!$B$3:$B$15,0)),"")</f>
        <v/>
      </c>
    </row>
    <row r="79" spans="2:46" ht="13.8" x14ac:dyDescent="0.25">
      <c r="B79" s="259" t="str">
        <f>'B-1 Site Hedge Baseline'!AK77</f>
        <v/>
      </c>
      <c r="C79" s="175" t="str">
        <f>IF(B79="","",IF(ISNA(VLOOKUP($B79,'B-1 Site Hedge Baseline'!$B$1:$L$257,3,FALSE)),"",(VLOOKUP($B79,'B-1 Site Hedge Baseline'!$B$1:$L$257,3,FALSE))))</f>
        <v/>
      </c>
      <c r="D79" s="175" t="str">
        <f>IF(B79="","",IF(ISNA(VLOOKUP($B79,'B-1 Site Hedge Baseline'!$B$1:$L$257,4,FALSE)),"",(VLOOKUP($B79,'B-1 Site Hedge Baseline'!$B$1:$L$257,4,FALSE))))</f>
        <v/>
      </c>
      <c r="E79" s="175" t="str">
        <f>IF(B79="","",IF(ISNA(VLOOKUP($B79,'B-1 Site Hedge Baseline'!$B$1:$L$257,5,FALSE)),"",(VLOOKUP($B79,'B-1 Site Hedge Baseline'!$B$1:$L$257,5,FALSE))))</f>
        <v/>
      </c>
      <c r="F79" s="175" t="str">
        <f>IF(B79="","",IF(ISNA(VLOOKUP($B79,'B-1 Site Hedge Baseline'!$B$1:$L$257,6,FALSE)),"",(VLOOKUP($B79,'B-1 Site Hedge Baseline'!$B$1:$L$257,6,FALSE))))</f>
        <v/>
      </c>
      <c r="G79" s="175" t="str">
        <f>IF(B79="","",IF(ISNA(VLOOKUP($B79,'B-1 Site Hedge Baseline'!$B$1:$L$257,7,FALSE)),"",(VLOOKUP($B79,'B-1 Site Hedge Baseline'!$B$1:$L$257,7,FALSE))))</f>
        <v/>
      </c>
      <c r="H79" s="175" t="str">
        <f>IF(B79="","",IF(ISNA(VLOOKUP($B79,'B-1 Site Hedge Baseline'!$B$1:$L$257,8,FALSE)),"",(VLOOKUP($B79,'B-1 Site Hedge Baseline'!$B$1:$L$257,8,FALSE))))</f>
        <v/>
      </c>
      <c r="I79" s="175" t="str">
        <f>IF(B79="","",IF(ISNA(VLOOKUP($B79,'B-1 Site Hedge Baseline'!$B$1:$L$257,10,FALSE)),"",(VLOOKUP($B79,'B-1 Site Hedge Baseline'!$B$1:$L$257,10,FALSE))))</f>
        <v/>
      </c>
      <c r="J79" s="175" t="str">
        <f>IF(B79="","",IF(ISNA(VLOOKUP($B79,'B-1 Site Hedge Baseline'!$B$1:$L$257,11,FALSE)),"",(VLOOKUP($B79,'B-1 Site Hedge Baseline'!$B$1:$L$257,11,FALSE))))</f>
        <v/>
      </c>
      <c r="K79" s="175" t="str">
        <f>IF(B79="","",IF(ISNA(VLOOKUP($B79,'B-1 Site Hedge Baseline'!$B$1:$U$257,13,FALSE)),"",(VLOOKUP($B79,'B-1 Site Hedge Baseline'!$B$1:$U$257,13,FALSE))))</f>
        <v/>
      </c>
      <c r="L79" s="176" t="str">
        <f>IF(B79="","",IF(ISNA(VLOOKUP($B79,'B-1 Site Hedge Baseline'!$B$1:$U$257,12,FALSE)),"",(VLOOKUP($B79,'B-1 Site Hedge Baseline'!$B$1:$U$257,12,FALSE))))</f>
        <v/>
      </c>
      <c r="M79" s="637"/>
      <c r="N79" s="171" t="str">
        <f>IFERROR(IF(B79="","",INDEX('G-6 Hedgerow Data'!$AN$3:$AZ$15,MATCH(C79,'G-6 Hedgerow Data'!$AM$3:$AM$15,0),MATCH(M79,'G-6 Hedgerow Data'!$AN$2:$AZ$2,0))),"")</f>
        <v/>
      </c>
      <c r="O79" s="172" t="str">
        <f t="shared" si="7"/>
        <v/>
      </c>
      <c r="P79" s="642" t="str">
        <f>IF(B79="","",VLOOKUP(B79,'B-1 Site Hedge Baseline'!$B$10:T324,16,FALSE))</f>
        <v/>
      </c>
      <c r="Q79" s="171" t="str">
        <f>IF(M79="","",VLOOKUP(M79,'G-6 Hedgerow Data'!$B$2:$AG$15,2,FALSE))</f>
        <v/>
      </c>
      <c r="R79" s="172" t="str">
        <f>IF(M79="","",VLOOKUP(M79,'G-6 Hedgerow Data'!$B$2:$AG$15,3,FALSE))</f>
        <v/>
      </c>
      <c r="S79" s="189"/>
      <c r="T79" s="269" t="str">
        <f>IFERROR(VLOOKUP(S79,'G-1 All Habitats'!$Z$2:$AA$9,2,FALSE),"")</f>
        <v/>
      </c>
      <c r="U79" s="186"/>
      <c r="V79" s="175" t="str">
        <f>IF(U79="","",IF(VLOOKUP(U79,'G-3 Multipliers'!$L$3:$N$6,2,FALSE)=0,"Spatial Data Missing",VLOOKUP(U79,'G-3 Multipliers'!$L$3:$N$6,2,FALSE)))</f>
        <v/>
      </c>
      <c r="W79" s="176" t="str">
        <f>IF(U79="","",IF(VLOOKUP(U79,'G-3 Multipliers'!$L$3:$N$6,3,FALSE)=0,"Spatial Data Missing",VLOOKUP(U79,'G-3 Multipliers'!$L$3:$N$6,3,FALSE)))</f>
        <v/>
      </c>
      <c r="X79" s="171" t="str">
        <f>IFERROR(IF(OR(LEFT(O79,5)="Error",LEFT(N79,5)="Error",T79="Error"),"Check Data",IF(F79&lt;R79,INDEX('G-6 Hedgerow Data'!$S$3:$AE$14,MATCH(C79,'G-6 Hedgerow Data'!$B$3:$B$14,0),MATCH(M79,'G-6 Hedgerow Data'!$S$2:$AE$2,0)),INDEX('G-6 Hedgerow Data'!$K$3:$Q$14,MATCH(M79,'G-6 Hedgerow Data'!$B$3:$B$14,0),MATCH(O79,'G-6 Hedgerow Data'!$K$2:$Q$2,0)))),"")</f>
        <v/>
      </c>
      <c r="Y79" s="261"/>
      <c r="Z79" s="261"/>
      <c r="AA79" s="179" t="str">
        <f t="shared" si="10"/>
        <v/>
      </c>
      <c r="AB79" s="262" t="str">
        <f t="shared" si="11"/>
        <v/>
      </c>
      <c r="AC79" s="263" t="str">
        <f t="shared" si="8"/>
        <v/>
      </c>
      <c r="AD79" s="239" t="str">
        <f>IF(M79="","",VLOOKUP(M79,'G-6 Hedgerow Data'!$B$3:$AG$15,31,FALSE))</f>
        <v/>
      </c>
      <c r="AE79" s="179" t="str">
        <f t="shared" si="12"/>
        <v/>
      </c>
      <c r="AF79" s="179" t="str">
        <f t="shared" si="13"/>
        <v/>
      </c>
      <c r="AG79" s="176" t="str">
        <f>IFERROR(IF(O79="","",VLOOKUP(AD79,'G-3 Multipliers'!$P$3:$Q$6,2,FALSE)),"")</f>
        <v/>
      </c>
      <c r="AH79" s="207" t="str">
        <f t="shared" si="9"/>
        <v/>
      </c>
      <c r="AI79" s="336"/>
      <c r="AJ79" s="181"/>
      <c r="AT79" s="35" t="str">
        <f>IFERROR(INDEX('G-6 Hedgerow Data'!$BJ$3:$BJ$15,MATCH(M79,'G-6 Hedgerow Data'!$B$3:$B$15,0)),"")</f>
        <v/>
      </c>
    </row>
    <row r="80" spans="2:46" ht="13.8" x14ac:dyDescent="0.25">
      <c r="B80" s="259" t="str">
        <f>'B-1 Site Hedge Baseline'!AK78</f>
        <v/>
      </c>
      <c r="C80" s="175" t="str">
        <f>IF(B80="","",IF(ISNA(VLOOKUP($B80,'B-1 Site Hedge Baseline'!$B$1:$L$257,3,FALSE)),"",(VLOOKUP($B80,'B-1 Site Hedge Baseline'!$B$1:$L$257,3,FALSE))))</f>
        <v/>
      </c>
      <c r="D80" s="175" t="str">
        <f>IF(B80="","",IF(ISNA(VLOOKUP($B80,'B-1 Site Hedge Baseline'!$B$1:$L$257,4,FALSE)),"",(VLOOKUP($B80,'B-1 Site Hedge Baseline'!$B$1:$L$257,4,FALSE))))</f>
        <v/>
      </c>
      <c r="E80" s="175" t="str">
        <f>IF(B80="","",IF(ISNA(VLOOKUP($B80,'B-1 Site Hedge Baseline'!$B$1:$L$257,5,FALSE)),"",(VLOOKUP($B80,'B-1 Site Hedge Baseline'!$B$1:$L$257,5,FALSE))))</f>
        <v/>
      </c>
      <c r="F80" s="175" t="str">
        <f>IF(B80="","",IF(ISNA(VLOOKUP($B80,'B-1 Site Hedge Baseline'!$B$1:$L$257,6,FALSE)),"",(VLOOKUP($B80,'B-1 Site Hedge Baseline'!$B$1:$L$257,6,FALSE))))</f>
        <v/>
      </c>
      <c r="G80" s="175" t="str">
        <f>IF(B80="","",IF(ISNA(VLOOKUP($B80,'B-1 Site Hedge Baseline'!$B$1:$L$257,7,FALSE)),"",(VLOOKUP($B80,'B-1 Site Hedge Baseline'!$B$1:$L$257,7,FALSE))))</f>
        <v/>
      </c>
      <c r="H80" s="175" t="str">
        <f>IF(B80="","",IF(ISNA(VLOOKUP($B80,'B-1 Site Hedge Baseline'!$B$1:$L$257,8,FALSE)),"",(VLOOKUP($B80,'B-1 Site Hedge Baseline'!$B$1:$L$257,8,FALSE))))</f>
        <v/>
      </c>
      <c r="I80" s="175" t="str">
        <f>IF(B80="","",IF(ISNA(VLOOKUP($B80,'B-1 Site Hedge Baseline'!$B$1:$L$257,10,FALSE)),"",(VLOOKUP($B80,'B-1 Site Hedge Baseline'!$B$1:$L$257,10,FALSE))))</f>
        <v/>
      </c>
      <c r="J80" s="175" t="str">
        <f>IF(B80="","",IF(ISNA(VLOOKUP($B80,'B-1 Site Hedge Baseline'!$B$1:$L$257,11,FALSE)),"",(VLOOKUP($B80,'B-1 Site Hedge Baseline'!$B$1:$L$257,11,FALSE))))</f>
        <v/>
      </c>
      <c r="K80" s="175" t="str">
        <f>IF(B80="","",IF(ISNA(VLOOKUP($B80,'B-1 Site Hedge Baseline'!$B$1:$U$257,13,FALSE)),"",(VLOOKUP($B80,'B-1 Site Hedge Baseline'!$B$1:$U$257,13,FALSE))))</f>
        <v/>
      </c>
      <c r="L80" s="176" t="str">
        <f>IF(B80="","",IF(ISNA(VLOOKUP($B80,'B-1 Site Hedge Baseline'!$B$1:$U$257,12,FALSE)),"",(VLOOKUP($B80,'B-1 Site Hedge Baseline'!$B$1:$U$257,12,FALSE))))</f>
        <v/>
      </c>
      <c r="M80" s="637"/>
      <c r="N80" s="171" t="str">
        <f>IFERROR(IF(B80="","",INDEX('G-6 Hedgerow Data'!$AN$3:$AZ$15,MATCH(C80,'G-6 Hedgerow Data'!$AM$3:$AM$15,0),MATCH(M80,'G-6 Hedgerow Data'!$AN$2:$AZ$2,0))),"")</f>
        <v/>
      </c>
      <c r="O80" s="172" t="str">
        <f t="shared" si="7"/>
        <v/>
      </c>
      <c r="P80" s="642" t="str">
        <f>IF(B80="","",VLOOKUP(B80,'B-1 Site Hedge Baseline'!$B$10:T325,16,FALSE))</f>
        <v/>
      </c>
      <c r="Q80" s="171" t="str">
        <f>IF(M80="","",VLOOKUP(M80,'G-6 Hedgerow Data'!$B$2:$AG$15,2,FALSE))</f>
        <v/>
      </c>
      <c r="R80" s="172" t="str">
        <f>IF(M80="","",VLOOKUP(M80,'G-6 Hedgerow Data'!$B$2:$AG$15,3,FALSE))</f>
        <v/>
      </c>
      <c r="S80" s="189"/>
      <c r="T80" s="269" t="str">
        <f>IFERROR(VLOOKUP(S80,'G-1 All Habitats'!$Z$2:$AA$9,2,FALSE),"")</f>
        <v/>
      </c>
      <c r="U80" s="186"/>
      <c r="V80" s="175" t="str">
        <f>IF(U80="","",IF(VLOOKUP(U80,'G-3 Multipliers'!$L$3:$N$6,2,FALSE)=0,"Spatial Data Missing",VLOOKUP(U80,'G-3 Multipliers'!$L$3:$N$6,2,FALSE)))</f>
        <v/>
      </c>
      <c r="W80" s="176" t="str">
        <f>IF(U80="","",IF(VLOOKUP(U80,'G-3 Multipliers'!$L$3:$N$6,3,FALSE)=0,"Spatial Data Missing",VLOOKUP(U80,'G-3 Multipliers'!$L$3:$N$6,3,FALSE)))</f>
        <v/>
      </c>
      <c r="X80" s="171" t="str">
        <f>IFERROR(IF(OR(LEFT(O80,5)="Error",LEFT(N80,5)="Error",T80="Error"),"Check Data",IF(F80&lt;R80,INDEX('G-6 Hedgerow Data'!$S$3:$AE$14,MATCH(C80,'G-6 Hedgerow Data'!$B$3:$B$14,0),MATCH(M80,'G-6 Hedgerow Data'!$S$2:$AE$2,0)),INDEX('G-6 Hedgerow Data'!$K$3:$Q$14,MATCH(M80,'G-6 Hedgerow Data'!$B$3:$B$14,0),MATCH(O80,'G-6 Hedgerow Data'!$K$2:$Q$2,0)))),"")</f>
        <v/>
      </c>
      <c r="Y80" s="261"/>
      <c r="Z80" s="261"/>
      <c r="AA80" s="179" t="str">
        <f t="shared" si="10"/>
        <v/>
      </c>
      <c r="AB80" s="262" t="str">
        <f t="shared" si="11"/>
        <v/>
      </c>
      <c r="AC80" s="263" t="str">
        <f t="shared" si="8"/>
        <v/>
      </c>
      <c r="AD80" s="239" t="str">
        <f>IF(M80="","",VLOOKUP(M80,'G-6 Hedgerow Data'!$B$3:$AG$15,31,FALSE))</f>
        <v/>
      </c>
      <c r="AE80" s="179" t="str">
        <f t="shared" si="12"/>
        <v/>
      </c>
      <c r="AF80" s="179" t="str">
        <f t="shared" si="13"/>
        <v/>
      </c>
      <c r="AG80" s="176" t="str">
        <f>IFERROR(IF(O80="","",VLOOKUP(AD80,'G-3 Multipliers'!$P$3:$Q$6,2,FALSE)),"")</f>
        <v/>
      </c>
      <c r="AH80" s="207" t="str">
        <f t="shared" si="9"/>
        <v/>
      </c>
      <c r="AI80" s="336"/>
      <c r="AJ80" s="181"/>
      <c r="AT80" s="35" t="str">
        <f>IFERROR(INDEX('G-6 Hedgerow Data'!$BJ$3:$BJ$15,MATCH(M80,'G-6 Hedgerow Data'!$B$3:$B$15,0)),"")</f>
        <v/>
      </c>
    </row>
    <row r="81" spans="2:46" ht="13.8" x14ac:dyDescent="0.25">
      <c r="B81" s="259" t="str">
        <f>'B-1 Site Hedge Baseline'!AK79</f>
        <v/>
      </c>
      <c r="C81" s="175" t="str">
        <f>IF(B81="","",IF(ISNA(VLOOKUP($B81,'B-1 Site Hedge Baseline'!$B$1:$L$257,3,FALSE)),"",(VLOOKUP($B81,'B-1 Site Hedge Baseline'!$B$1:$L$257,3,FALSE))))</f>
        <v/>
      </c>
      <c r="D81" s="175" t="str">
        <f>IF(B81="","",IF(ISNA(VLOOKUP($B81,'B-1 Site Hedge Baseline'!$B$1:$L$257,4,FALSE)),"",(VLOOKUP($B81,'B-1 Site Hedge Baseline'!$B$1:$L$257,4,FALSE))))</f>
        <v/>
      </c>
      <c r="E81" s="175" t="str">
        <f>IF(B81="","",IF(ISNA(VLOOKUP($B81,'B-1 Site Hedge Baseline'!$B$1:$L$257,5,FALSE)),"",(VLOOKUP($B81,'B-1 Site Hedge Baseline'!$B$1:$L$257,5,FALSE))))</f>
        <v/>
      </c>
      <c r="F81" s="175" t="str">
        <f>IF(B81="","",IF(ISNA(VLOOKUP($B81,'B-1 Site Hedge Baseline'!$B$1:$L$257,6,FALSE)),"",(VLOOKUP($B81,'B-1 Site Hedge Baseline'!$B$1:$L$257,6,FALSE))))</f>
        <v/>
      </c>
      <c r="G81" s="175" t="str">
        <f>IF(B81="","",IF(ISNA(VLOOKUP($B81,'B-1 Site Hedge Baseline'!$B$1:$L$257,7,FALSE)),"",(VLOOKUP($B81,'B-1 Site Hedge Baseline'!$B$1:$L$257,7,FALSE))))</f>
        <v/>
      </c>
      <c r="H81" s="175" t="str">
        <f>IF(B81="","",IF(ISNA(VLOOKUP($B81,'B-1 Site Hedge Baseline'!$B$1:$L$257,8,FALSE)),"",(VLOOKUP($B81,'B-1 Site Hedge Baseline'!$B$1:$L$257,8,FALSE))))</f>
        <v/>
      </c>
      <c r="I81" s="175" t="str">
        <f>IF(B81="","",IF(ISNA(VLOOKUP($B81,'B-1 Site Hedge Baseline'!$B$1:$L$257,10,FALSE)),"",(VLOOKUP($B81,'B-1 Site Hedge Baseline'!$B$1:$L$257,10,FALSE))))</f>
        <v/>
      </c>
      <c r="J81" s="175" t="str">
        <f>IF(B81="","",IF(ISNA(VLOOKUP($B81,'B-1 Site Hedge Baseline'!$B$1:$L$257,11,FALSE)),"",(VLOOKUP($B81,'B-1 Site Hedge Baseline'!$B$1:$L$257,11,FALSE))))</f>
        <v/>
      </c>
      <c r="K81" s="175" t="str">
        <f>IF(B81="","",IF(ISNA(VLOOKUP($B81,'B-1 Site Hedge Baseline'!$B$1:$U$257,13,FALSE)),"",(VLOOKUP($B81,'B-1 Site Hedge Baseline'!$B$1:$U$257,13,FALSE))))</f>
        <v/>
      </c>
      <c r="L81" s="176" t="str">
        <f>IF(B81="","",IF(ISNA(VLOOKUP($B81,'B-1 Site Hedge Baseline'!$B$1:$U$257,12,FALSE)),"",(VLOOKUP($B81,'B-1 Site Hedge Baseline'!$B$1:$U$257,12,FALSE))))</f>
        <v/>
      </c>
      <c r="M81" s="637"/>
      <c r="N81" s="171" t="str">
        <f>IFERROR(IF(B81="","",INDEX('G-6 Hedgerow Data'!$AN$3:$AZ$15,MATCH(C81,'G-6 Hedgerow Data'!$AM$3:$AM$15,0),MATCH(M81,'G-6 Hedgerow Data'!$AN$2:$AZ$2,0))),"")</f>
        <v/>
      </c>
      <c r="O81" s="172" t="str">
        <f t="shared" si="7"/>
        <v/>
      </c>
      <c r="P81" s="642" t="str">
        <f>IF(B81="","",VLOOKUP(B81,'B-1 Site Hedge Baseline'!$B$10:T326,16,FALSE))</f>
        <v/>
      </c>
      <c r="Q81" s="171" t="str">
        <f>IF(M81="","",VLOOKUP(M81,'G-6 Hedgerow Data'!$B$2:$AG$15,2,FALSE))</f>
        <v/>
      </c>
      <c r="R81" s="172" t="str">
        <f>IF(M81="","",VLOOKUP(M81,'G-6 Hedgerow Data'!$B$2:$AG$15,3,FALSE))</f>
        <v/>
      </c>
      <c r="S81" s="189"/>
      <c r="T81" s="269" t="str">
        <f>IFERROR(VLOOKUP(S81,'G-1 All Habitats'!$Z$2:$AA$9,2,FALSE),"")</f>
        <v/>
      </c>
      <c r="U81" s="186"/>
      <c r="V81" s="175" t="str">
        <f>IF(U81="","",IF(VLOOKUP(U81,'G-3 Multipliers'!$L$3:$N$6,2,FALSE)=0,"Spatial Data Missing",VLOOKUP(U81,'G-3 Multipliers'!$L$3:$N$6,2,FALSE)))</f>
        <v/>
      </c>
      <c r="W81" s="176" t="str">
        <f>IF(U81="","",IF(VLOOKUP(U81,'G-3 Multipliers'!$L$3:$N$6,3,FALSE)=0,"Spatial Data Missing",VLOOKUP(U81,'G-3 Multipliers'!$L$3:$N$6,3,FALSE)))</f>
        <v/>
      </c>
      <c r="X81" s="171" t="str">
        <f>IFERROR(IF(OR(LEFT(O81,5)="Error",LEFT(N81,5)="Error",T81="Error"),"Check Data",IF(F81&lt;R81,INDEX('G-6 Hedgerow Data'!$S$3:$AE$14,MATCH(C81,'G-6 Hedgerow Data'!$B$3:$B$14,0),MATCH(M81,'G-6 Hedgerow Data'!$S$2:$AE$2,0)),INDEX('G-6 Hedgerow Data'!$K$3:$Q$14,MATCH(M81,'G-6 Hedgerow Data'!$B$3:$B$14,0),MATCH(O81,'G-6 Hedgerow Data'!$K$2:$Q$2,0)))),"")</f>
        <v/>
      </c>
      <c r="Y81" s="261"/>
      <c r="Z81" s="261"/>
      <c r="AA81" s="179" t="str">
        <f t="shared" si="10"/>
        <v/>
      </c>
      <c r="AB81" s="262" t="str">
        <f t="shared" si="11"/>
        <v/>
      </c>
      <c r="AC81" s="263" t="str">
        <f t="shared" si="8"/>
        <v/>
      </c>
      <c r="AD81" s="239" t="str">
        <f>IF(M81="","",VLOOKUP(M81,'G-6 Hedgerow Data'!$B$3:$AG$15,31,FALSE))</f>
        <v/>
      </c>
      <c r="AE81" s="179" t="str">
        <f t="shared" si="12"/>
        <v/>
      </c>
      <c r="AF81" s="179" t="str">
        <f t="shared" si="13"/>
        <v/>
      </c>
      <c r="AG81" s="176" t="str">
        <f>IFERROR(IF(O81="","",VLOOKUP(AD81,'G-3 Multipliers'!$P$3:$Q$6,2,FALSE)),"")</f>
        <v/>
      </c>
      <c r="AH81" s="207" t="str">
        <f t="shared" si="9"/>
        <v/>
      </c>
      <c r="AI81" s="336"/>
      <c r="AJ81" s="181"/>
      <c r="AT81" s="35" t="str">
        <f>IFERROR(INDEX('G-6 Hedgerow Data'!$BJ$3:$BJ$15,MATCH(M81,'G-6 Hedgerow Data'!$B$3:$B$15,0)),"")</f>
        <v/>
      </c>
    </row>
    <row r="82" spans="2:46" ht="13.8" x14ac:dyDescent="0.25">
      <c r="B82" s="259" t="str">
        <f>'B-1 Site Hedge Baseline'!AK80</f>
        <v/>
      </c>
      <c r="C82" s="175" t="str">
        <f>IF(B82="","",IF(ISNA(VLOOKUP($B82,'B-1 Site Hedge Baseline'!$B$1:$L$257,3,FALSE)),"",(VLOOKUP($B82,'B-1 Site Hedge Baseline'!$B$1:$L$257,3,FALSE))))</f>
        <v/>
      </c>
      <c r="D82" s="175" t="str">
        <f>IF(B82="","",IF(ISNA(VLOOKUP($B82,'B-1 Site Hedge Baseline'!$B$1:$L$257,4,FALSE)),"",(VLOOKUP($B82,'B-1 Site Hedge Baseline'!$B$1:$L$257,4,FALSE))))</f>
        <v/>
      </c>
      <c r="E82" s="175" t="str">
        <f>IF(B82="","",IF(ISNA(VLOOKUP($B82,'B-1 Site Hedge Baseline'!$B$1:$L$257,5,FALSE)),"",(VLOOKUP($B82,'B-1 Site Hedge Baseline'!$B$1:$L$257,5,FALSE))))</f>
        <v/>
      </c>
      <c r="F82" s="175" t="str">
        <f>IF(B82="","",IF(ISNA(VLOOKUP($B82,'B-1 Site Hedge Baseline'!$B$1:$L$257,6,FALSE)),"",(VLOOKUP($B82,'B-1 Site Hedge Baseline'!$B$1:$L$257,6,FALSE))))</f>
        <v/>
      </c>
      <c r="G82" s="175" t="str">
        <f>IF(B82="","",IF(ISNA(VLOOKUP($B82,'B-1 Site Hedge Baseline'!$B$1:$L$257,7,FALSE)),"",(VLOOKUP($B82,'B-1 Site Hedge Baseline'!$B$1:$L$257,7,FALSE))))</f>
        <v/>
      </c>
      <c r="H82" s="175" t="str">
        <f>IF(B82="","",IF(ISNA(VLOOKUP($B82,'B-1 Site Hedge Baseline'!$B$1:$L$257,8,FALSE)),"",(VLOOKUP($B82,'B-1 Site Hedge Baseline'!$B$1:$L$257,8,FALSE))))</f>
        <v/>
      </c>
      <c r="I82" s="175" t="str">
        <f>IF(B82="","",IF(ISNA(VLOOKUP($B82,'B-1 Site Hedge Baseline'!$B$1:$L$257,10,FALSE)),"",(VLOOKUP($B82,'B-1 Site Hedge Baseline'!$B$1:$L$257,10,FALSE))))</f>
        <v/>
      </c>
      <c r="J82" s="175" t="str">
        <f>IF(B82="","",IF(ISNA(VLOOKUP($B82,'B-1 Site Hedge Baseline'!$B$1:$L$257,11,FALSE)),"",(VLOOKUP($B82,'B-1 Site Hedge Baseline'!$B$1:$L$257,11,FALSE))))</f>
        <v/>
      </c>
      <c r="K82" s="175" t="str">
        <f>IF(B82="","",IF(ISNA(VLOOKUP($B82,'B-1 Site Hedge Baseline'!$B$1:$U$257,13,FALSE)),"",(VLOOKUP($B82,'B-1 Site Hedge Baseline'!$B$1:$U$257,13,FALSE))))</f>
        <v/>
      </c>
      <c r="L82" s="176" t="str">
        <f>IF(B82="","",IF(ISNA(VLOOKUP($B82,'B-1 Site Hedge Baseline'!$B$1:$U$257,12,FALSE)),"",(VLOOKUP($B82,'B-1 Site Hedge Baseline'!$B$1:$U$257,12,FALSE))))</f>
        <v/>
      </c>
      <c r="M82" s="637"/>
      <c r="N82" s="171" t="str">
        <f>IFERROR(IF(B82="","",INDEX('G-6 Hedgerow Data'!$AN$3:$AZ$15,MATCH(C82,'G-6 Hedgerow Data'!$AM$3:$AM$15,0),MATCH(M82,'G-6 Hedgerow Data'!$AN$2:$AZ$2,0))),"")</f>
        <v/>
      </c>
      <c r="O82" s="172" t="str">
        <f t="shared" si="7"/>
        <v/>
      </c>
      <c r="P82" s="642" t="str">
        <f>IF(B82="","",VLOOKUP(B82,'B-1 Site Hedge Baseline'!$B$10:T327,16,FALSE))</f>
        <v/>
      </c>
      <c r="Q82" s="171" t="str">
        <f>IF(M82="","",VLOOKUP(M82,'G-6 Hedgerow Data'!$B$2:$AG$15,2,FALSE))</f>
        <v/>
      </c>
      <c r="R82" s="172" t="str">
        <f>IF(M82="","",VLOOKUP(M82,'G-6 Hedgerow Data'!$B$2:$AG$15,3,FALSE))</f>
        <v/>
      </c>
      <c r="S82" s="189"/>
      <c r="T82" s="269" t="str">
        <f>IFERROR(VLOOKUP(S82,'G-1 All Habitats'!$Z$2:$AA$9,2,FALSE),"")</f>
        <v/>
      </c>
      <c r="U82" s="186"/>
      <c r="V82" s="175" t="str">
        <f>IF(U82="","",IF(VLOOKUP(U82,'G-3 Multipliers'!$L$3:$N$6,2,FALSE)=0,"Spatial Data Missing",VLOOKUP(U82,'G-3 Multipliers'!$L$3:$N$6,2,FALSE)))</f>
        <v/>
      </c>
      <c r="W82" s="176" t="str">
        <f>IF(U82="","",IF(VLOOKUP(U82,'G-3 Multipliers'!$L$3:$N$6,3,FALSE)=0,"Spatial Data Missing",VLOOKUP(U82,'G-3 Multipliers'!$L$3:$N$6,3,FALSE)))</f>
        <v/>
      </c>
      <c r="X82" s="171" t="str">
        <f>IFERROR(IF(OR(LEFT(O82,5)="Error",LEFT(N82,5)="Error",T82="Error"),"Check Data",IF(F82&lt;R82,INDEX('G-6 Hedgerow Data'!$S$3:$AE$14,MATCH(C82,'G-6 Hedgerow Data'!$B$3:$B$14,0),MATCH(M82,'G-6 Hedgerow Data'!$S$2:$AE$2,0)),INDEX('G-6 Hedgerow Data'!$K$3:$Q$14,MATCH(M82,'G-6 Hedgerow Data'!$B$3:$B$14,0),MATCH(O82,'G-6 Hedgerow Data'!$K$2:$Q$2,0)))),"")</f>
        <v/>
      </c>
      <c r="Y82" s="261"/>
      <c r="Z82" s="261"/>
      <c r="AA82" s="179" t="str">
        <f t="shared" si="10"/>
        <v/>
      </c>
      <c r="AB82" s="262" t="str">
        <f t="shared" si="11"/>
        <v/>
      </c>
      <c r="AC82" s="263" t="str">
        <f t="shared" si="8"/>
        <v/>
      </c>
      <c r="AD82" s="239" t="str">
        <f>IF(M82="","",VLOOKUP(M82,'G-6 Hedgerow Data'!$B$3:$AG$15,31,FALSE))</f>
        <v/>
      </c>
      <c r="AE82" s="179" t="str">
        <f t="shared" si="12"/>
        <v/>
      </c>
      <c r="AF82" s="179" t="str">
        <f t="shared" si="13"/>
        <v/>
      </c>
      <c r="AG82" s="176" t="str">
        <f>IFERROR(IF(O82="","",VLOOKUP(AD82,'G-3 Multipliers'!$P$3:$Q$6,2,FALSE)),"")</f>
        <v/>
      </c>
      <c r="AH82" s="207" t="str">
        <f t="shared" si="9"/>
        <v/>
      </c>
      <c r="AI82" s="336"/>
      <c r="AJ82" s="181"/>
      <c r="AT82" s="35" t="str">
        <f>IFERROR(INDEX('G-6 Hedgerow Data'!$BJ$3:$BJ$15,MATCH(M82,'G-6 Hedgerow Data'!$B$3:$B$15,0)),"")</f>
        <v/>
      </c>
    </row>
    <row r="83" spans="2:46" ht="13.8" x14ac:dyDescent="0.25">
      <c r="B83" s="259" t="str">
        <f>'B-1 Site Hedge Baseline'!AK81</f>
        <v/>
      </c>
      <c r="C83" s="175" t="str">
        <f>IF(B83="","",IF(ISNA(VLOOKUP($B83,'B-1 Site Hedge Baseline'!$B$1:$L$257,3,FALSE)),"",(VLOOKUP($B83,'B-1 Site Hedge Baseline'!$B$1:$L$257,3,FALSE))))</f>
        <v/>
      </c>
      <c r="D83" s="175" t="str">
        <f>IF(B83="","",IF(ISNA(VLOOKUP($B83,'B-1 Site Hedge Baseline'!$B$1:$L$257,4,FALSE)),"",(VLOOKUP($B83,'B-1 Site Hedge Baseline'!$B$1:$L$257,4,FALSE))))</f>
        <v/>
      </c>
      <c r="E83" s="175" t="str">
        <f>IF(B83="","",IF(ISNA(VLOOKUP($B83,'B-1 Site Hedge Baseline'!$B$1:$L$257,5,FALSE)),"",(VLOOKUP($B83,'B-1 Site Hedge Baseline'!$B$1:$L$257,5,FALSE))))</f>
        <v/>
      </c>
      <c r="F83" s="175" t="str">
        <f>IF(B83="","",IF(ISNA(VLOOKUP($B83,'B-1 Site Hedge Baseline'!$B$1:$L$257,6,FALSE)),"",(VLOOKUP($B83,'B-1 Site Hedge Baseline'!$B$1:$L$257,6,FALSE))))</f>
        <v/>
      </c>
      <c r="G83" s="175" t="str">
        <f>IF(B83="","",IF(ISNA(VLOOKUP($B83,'B-1 Site Hedge Baseline'!$B$1:$L$257,7,FALSE)),"",(VLOOKUP($B83,'B-1 Site Hedge Baseline'!$B$1:$L$257,7,FALSE))))</f>
        <v/>
      </c>
      <c r="H83" s="175" t="str">
        <f>IF(B83="","",IF(ISNA(VLOOKUP($B83,'B-1 Site Hedge Baseline'!$B$1:$L$257,8,FALSE)),"",(VLOOKUP($B83,'B-1 Site Hedge Baseline'!$B$1:$L$257,8,FALSE))))</f>
        <v/>
      </c>
      <c r="I83" s="175" t="str">
        <f>IF(B83="","",IF(ISNA(VLOOKUP($B83,'B-1 Site Hedge Baseline'!$B$1:$L$257,10,FALSE)),"",(VLOOKUP($B83,'B-1 Site Hedge Baseline'!$B$1:$L$257,10,FALSE))))</f>
        <v/>
      </c>
      <c r="J83" s="175" t="str">
        <f>IF(B83="","",IF(ISNA(VLOOKUP($B83,'B-1 Site Hedge Baseline'!$B$1:$L$257,11,FALSE)),"",(VLOOKUP($B83,'B-1 Site Hedge Baseline'!$B$1:$L$257,11,FALSE))))</f>
        <v/>
      </c>
      <c r="K83" s="175" t="str">
        <f>IF(B83="","",IF(ISNA(VLOOKUP($B83,'B-1 Site Hedge Baseline'!$B$1:$U$257,13,FALSE)),"",(VLOOKUP($B83,'B-1 Site Hedge Baseline'!$B$1:$U$257,13,FALSE))))</f>
        <v/>
      </c>
      <c r="L83" s="176" t="str">
        <f>IF(B83="","",IF(ISNA(VLOOKUP($B83,'B-1 Site Hedge Baseline'!$B$1:$U$257,12,FALSE)),"",(VLOOKUP($B83,'B-1 Site Hedge Baseline'!$B$1:$U$257,12,FALSE))))</f>
        <v/>
      </c>
      <c r="M83" s="637"/>
      <c r="N83" s="171" t="str">
        <f>IFERROR(IF(B83="","",INDEX('G-6 Hedgerow Data'!$AN$3:$AZ$15,MATCH(C83,'G-6 Hedgerow Data'!$AM$3:$AM$15,0),MATCH(M83,'G-6 Hedgerow Data'!$AN$2:$AZ$2,0))),"")</f>
        <v/>
      </c>
      <c r="O83" s="172" t="str">
        <f t="shared" si="7"/>
        <v/>
      </c>
      <c r="P83" s="642" t="str">
        <f>IF(B83="","",VLOOKUP(B83,'B-1 Site Hedge Baseline'!$B$10:T328,16,FALSE))</f>
        <v/>
      </c>
      <c r="Q83" s="171" t="str">
        <f>IF(M83="","",VLOOKUP(M83,'G-6 Hedgerow Data'!$B$2:$AG$15,2,FALSE))</f>
        <v/>
      </c>
      <c r="R83" s="172" t="str">
        <f>IF(M83="","",VLOOKUP(M83,'G-6 Hedgerow Data'!$B$2:$AG$15,3,FALSE))</f>
        <v/>
      </c>
      <c r="S83" s="189"/>
      <c r="T83" s="269" t="str">
        <f>IFERROR(VLOOKUP(S83,'G-1 All Habitats'!$Z$2:$AA$9,2,FALSE),"")</f>
        <v/>
      </c>
      <c r="U83" s="186"/>
      <c r="V83" s="175" t="str">
        <f>IF(U83="","",IF(VLOOKUP(U83,'G-3 Multipliers'!$L$3:$N$6,2,FALSE)=0,"Spatial Data Missing",VLOOKUP(U83,'G-3 Multipliers'!$L$3:$N$6,2,FALSE)))</f>
        <v/>
      </c>
      <c r="W83" s="176" t="str">
        <f>IF(U83="","",IF(VLOOKUP(U83,'G-3 Multipliers'!$L$3:$N$6,3,FALSE)=0,"Spatial Data Missing",VLOOKUP(U83,'G-3 Multipliers'!$L$3:$N$6,3,FALSE)))</f>
        <v/>
      </c>
      <c r="X83" s="171" t="str">
        <f>IFERROR(IF(OR(LEFT(O83,5)="Error",LEFT(N83,5)="Error",T83="Error"),"Check Data",IF(F83&lt;R83,INDEX('G-6 Hedgerow Data'!$S$3:$AE$14,MATCH(C83,'G-6 Hedgerow Data'!$B$3:$B$14,0),MATCH(M83,'G-6 Hedgerow Data'!$S$2:$AE$2,0)),INDEX('G-6 Hedgerow Data'!$K$3:$Q$14,MATCH(M83,'G-6 Hedgerow Data'!$B$3:$B$14,0),MATCH(O83,'G-6 Hedgerow Data'!$K$2:$Q$2,0)))),"")</f>
        <v/>
      </c>
      <c r="Y83" s="261"/>
      <c r="Z83" s="261"/>
      <c r="AA83" s="179" t="str">
        <f t="shared" si="10"/>
        <v/>
      </c>
      <c r="AB83" s="262" t="str">
        <f t="shared" si="11"/>
        <v/>
      </c>
      <c r="AC83" s="263" t="str">
        <f t="shared" si="8"/>
        <v/>
      </c>
      <c r="AD83" s="239" t="str">
        <f>IF(M83="","",VLOOKUP(M83,'G-6 Hedgerow Data'!$B$3:$AG$15,31,FALSE))</f>
        <v/>
      </c>
      <c r="AE83" s="179" t="str">
        <f t="shared" si="12"/>
        <v/>
      </c>
      <c r="AF83" s="179" t="str">
        <f t="shared" si="13"/>
        <v/>
      </c>
      <c r="AG83" s="176" t="str">
        <f>IFERROR(IF(O83="","",VLOOKUP(AD83,'G-3 Multipliers'!$P$3:$Q$6,2,FALSE)),"")</f>
        <v/>
      </c>
      <c r="AH83" s="207" t="str">
        <f t="shared" si="9"/>
        <v/>
      </c>
      <c r="AI83" s="336"/>
      <c r="AJ83" s="181"/>
      <c r="AT83" s="35" t="str">
        <f>IFERROR(INDEX('G-6 Hedgerow Data'!$BJ$3:$BJ$15,MATCH(M83,'G-6 Hedgerow Data'!$B$3:$B$15,0)),"")</f>
        <v/>
      </c>
    </row>
    <row r="84" spans="2:46" ht="13.8" x14ac:dyDescent="0.25">
      <c r="B84" s="259" t="str">
        <f>'B-1 Site Hedge Baseline'!AK82</f>
        <v/>
      </c>
      <c r="C84" s="175" t="str">
        <f>IF(B84="","",IF(ISNA(VLOOKUP($B84,'B-1 Site Hedge Baseline'!$B$1:$L$257,3,FALSE)),"",(VLOOKUP($B84,'B-1 Site Hedge Baseline'!$B$1:$L$257,3,FALSE))))</f>
        <v/>
      </c>
      <c r="D84" s="175" t="str">
        <f>IF(B84="","",IF(ISNA(VLOOKUP($B84,'B-1 Site Hedge Baseline'!$B$1:$L$257,4,FALSE)),"",(VLOOKUP($B84,'B-1 Site Hedge Baseline'!$B$1:$L$257,4,FALSE))))</f>
        <v/>
      </c>
      <c r="E84" s="175" t="str">
        <f>IF(B84="","",IF(ISNA(VLOOKUP($B84,'B-1 Site Hedge Baseline'!$B$1:$L$257,5,FALSE)),"",(VLOOKUP($B84,'B-1 Site Hedge Baseline'!$B$1:$L$257,5,FALSE))))</f>
        <v/>
      </c>
      <c r="F84" s="175" t="str">
        <f>IF(B84="","",IF(ISNA(VLOOKUP($B84,'B-1 Site Hedge Baseline'!$B$1:$L$257,6,FALSE)),"",(VLOOKUP($B84,'B-1 Site Hedge Baseline'!$B$1:$L$257,6,FALSE))))</f>
        <v/>
      </c>
      <c r="G84" s="175" t="str">
        <f>IF(B84="","",IF(ISNA(VLOOKUP($B84,'B-1 Site Hedge Baseline'!$B$1:$L$257,7,FALSE)),"",(VLOOKUP($B84,'B-1 Site Hedge Baseline'!$B$1:$L$257,7,FALSE))))</f>
        <v/>
      </c>
      <c r="H84" s="175" t="str">
        <f>IF(B84="","",IF(ISNA(VLOOKUP($B84,'B-1 Site Hedge Baseline'!$B$1:$L$257,8,FALSE)),"",(VLOOKUP($B84,'B-1 Site Hedge Baseline'!$B$1:$L$257,8,FALSE))))</f>
        <v/>
      </c>
      <c r="I84" s="175" t="str">
        <f>IF(B84="","",IF(ISNA(VLOOKUP($B84,'B-1 Site Hedge Baseline'!$B$1:$L$257,10,FALSE)),"",(VLOOKUP($B84,'B-1 Site Hedge Baseline'!$B$1:$L$257,10,FALSE))))</f>
        <v/>
      </c>
      <c r="J84" s="175" t="str">
        <f>IF(B84="","",IF(ISNA(VLOOKUP($B84,'B-1 Site Hedge Baseline'!$B$1:$L$257,11,FALSE)),"",(VLOOKUP($B84,'B-1 Site Hedge Baseline'!$B$1:$L$257,11,FALSE))))</f>
        <v/>
      </c>
      <c r="K84" s="175" t="str">
        <f>IF(B84="","",IF(ISNA(VLOOKUP($B84,'B-1 Site Hedge Baseline'!$B$1:$U$257,13,FALSE)),"",(VLOOKUP($B84,'B-1 Site Hedge Baseline'!$B$1:$U$257,13,FALSE))))</f>
        <v/>
      </c>
      <c r="L84" s="176" t="str">
        <f>IF(B84="","",IF(ISNA(VLOOKUP($B84,'B-1 Site Hedge Baseline'!$B$1:$U$257,12,FALSE)),"",(VLOOKUP($B84,'B-1 Site Hedge Baseline'!$B$1:$U$257,12,FALSE))))</f>
        <v/>
      </c>
      <c r="M84" s="637"/>
      <c r="N84" s="171" t="str">
        <f>IFERROR(IF(B84="","",INDEX('G-6 Hedgerow Data'!$AN$3:$AZ$15,MATCH(C84,'G-6 Hedgerow Data'!$AM$3:$AM$15,0),MATCH(M84,'G-6 Hedgerow Data'!$AN$2:$AZ$2,0))),"")</f>
        <v/>
      </c>
      <c r="O84" s="172" t="str">
        <f t="shared" si="7"/>
        <v/>
      </c>
      <c r="P84" s="642" t="str">
        <f>IF(B84="","",VLOOKUP(B84,'B-1 Site Hedge Baseline'!$B$10:T329,16,FALSE))</f>
        <v/>
      </c>
      <c r="Q84" s="171" t="str">
        <f>IF(M84="","",VLOOKUP(M84,'G-6 Hedgerow Data'!$B$2:$AG$15,2,FALSE))</f>
        <v/>
      </c>
      <c r="R84" s="172" t="str">
        <f>IF(M84="","",VLOOKUP(M84,'G-6 Hedgerow Data'!$B$2:$AG$15,3,FALSE))</f>
        <v/>
      </c>
      <c r="S84" s="189"/>
      <c r="T84" s="269" t="str">
        <f>IFERROR(VLOOKUP(S84,'G-1 All Habitats'!$Z$2:$AA$9,2,FALSE),"")</f>
        <v/>
      </c>
      <c r="U84" s="186"/>
      <c r="V84" s="175" t="str">
        <f>IF(U84="","",IF(VLOOKUP(U84,'G-3 Multipliers'!$L$3:$N$6,2,FALSE)=0,"Spatial Data Missing",VLOOKUP(U84,'G-3 Multipliers'!$L$3:$N$6,2,FALSE)))</f>
        <v/>
      </c>
      <c r="W84" s="176" t="str">
        <f>IF(U84="","",IF(VLOOKUP(U84,'G-3 Multipliers'!$L$3:$N$6,3,FALSE)=0,"Spatial Data Missing",VLOOKUP(U84,'G-3 Multipliers'!$L$3:$N$6,3,FALSE)))</f>
        <v/>
      </c>
      <c r="X84" s="171" t="str">
        <f>IFERROR(IF(OR(LEFT(O84,5)="Error",LEFT(N84,5)="Error",T84="Error"),"Check Data",IF(F84&lt;R84,INDEX('G-6 Hedgerow Data'!$S$3:$AE$14,MATCH(C84,'G-6 Hedgerow Data'!$B$3:$B$14,0),MATCH(M84,'G-6 Hedgerow Data'!$S$2:$AE$2,0)),INDEX('G-6 Hedgerow Data'!$K$3:$Q$14,MATCH(M84,'G-6 Hedgerow Data'!$B$3:$B$14,0),MATCH(O84,'G-6 Hedgerow Data'!$K$2:$Q$2,0)))),"")</f>
        <v/>
      </c>
      <c r="Y84" s="261"/>
      <c r="Z84" s="261"/>
      <c r="AA84" s="179" t="str">
        <f t="shared" si="10"/>
        <v/>
      </c>
      <c r="AB84" s="262" t="str">
        <f t="shared" si="11"/>
        <v/>
      </c>
      <c r="AC84" s="263" t="str">
        <f t="shared" si="8"/>
        <v/>
      </c>
      <c r="AD84" s="239" t="str">
        <f>IF(M84="","",VLOOKUP(M84,'G-6 Hedgerow Data'!$B$3:$AG$15,31,FALSE))</f>
        <v/>
      </c>
      <c r="AE84" s="179" t="str">
        <f t="shared" si="12"/>
        <v/>
      </c>
      <c r="AF84" s="179" t="str">
        <f t="shared" si="13"/>
        <v/>
      </c>
      <c r="AG84" s="176" t="str">
        <f>IFERROR(IF(O84="","",VLOOKUP(AD84,'G-3 Multipliers'!$P$3:$Q$6,2,FALSE)),"")</f>
        <v/>
      </c>
      <c r="AH84" s="207" t="str">
        <f t="shared" si="9"/>
        <v/>
      </c>
      <c r="AI84" s="336"/>
      <c r="AJ84" s="181"/>
      <c r="AT84" s="35" t="str">
        <f>IFERROR(INDEX('G-6 Hedgerow Data'!$BJ$3:$BJ$15,MATCH(M84,'G-6 Hedgerow Data'!$B$3:$B$15,0)),"")</f>
        <v/>
      </c>
    </row>
    <row r="85" spans="2:46" ht="13.8" x14ac:dyDescent="0.25">
      <c r="B85" s="259" t="str">
        <f>'B-1 Site Hedge Baseline'!AK83</f>
        <v/>
      </c>
      <c r="C85" s="175" t="str">
        <f>IF(B85="","",IF(ISNA(VLOOKUP($B85,'B-1 Site Hedge Baseline'!$B$1:$L$257,3,FALSE)),"",(VLOOKUP($B85,'B-1 Site Hedge Baseline'!$B$1:$L$257,3,FALSE))))</f>
        <v/>
      </c>
      <c r="D85" s="175" t="str">
        <f>IF(B85="","",IF(ISNA(VLOOKUP($B85,'B-1 Site Hedge Baseline'!$B$1:$L$257,4,FALSE)),"",(VLOOKUP($B85,'B-1 Site Hedge Baseline'!$B$1:$L$257,4,FALSE))))</f>
        <v/>
      </c>
      <c r="E85" s="175" t="str">
        <f>IF(B85="","",IF(ISNA(VLOOKUP($B85,'B-1 Site Hedge Baseline'!$B$1:$L$257,5,FALSE)),"",(VLOOKUP($B85,'B-1 Site Hedge Baseline'!$B$1:$L$257,5,FALSE))))</f>
        <v/>
      </c>
      <c r="F85" s="175" t="str">
        <f>IF(B85="","",IF(ISNA(VLOOKUP($B85,'B-1 Site Hedge Baseline'!$B$1:$L$257,6,FALSE)),"",(VLOOKUP($B85,'B-1 Site Hedge Baseline'!$B$1:$L$257,6,FALSE))))</f>
        <v/>
      </c>
      <c r="G85" s="175" t="str">
        <f>IF(B85="","",IF(ISNA(VLOOKUP($B85,'B-1 Site Hedge Baseline'!$B$1:$L$257,7,FALSE)),"",(VLOOKUP($B85,'B-1 Site Hedge Baseline'!$B$1:$L$257,7,FALSE))))</f>
        <v/>
      </c>
      <c r="H85" s="175" t="str">
        <f>IF(B85="","",IF(ISNA(VLOOKUP($B85,'B-1 Site Hedge Baseline'!$B$1:$L$257,8,FALSE)),"",(VLOOKUP($B85,'B-1 Site Hedge Baseline'!$B$1:$L$257,8,FALSE))))</f>
        <v/>
      </c>
      <c r="I85" s="175" t="str">
        <f>IF(B85="","",IF(ISNA(VLOOKUP($B85,'B-1 Site Hedge Baseline'!$B$1:$L$257,10,FALSE)),"",(VLOOKUP($B85,'B-1 Site Hedge Baseline'!$B$1:$L$257,10,FALSE))))</f>
        <v/>
      </c>
      <c r="J85" s="175" t="str">
        <f>IF(B85="","",IF(ISNA(VLOOKUP($B85,'B-1 Site Hedge Baseline'!$B$1:$L$257,11,FALSE)),"",(VLOOKUP($B85,'B-1 Site Hedge Baseline'!$B$1:$L$257,11,FALSE))))</f>
        <v/>
      </c>
      <c r="K85" s="175" t="str">
        <f>IF(B85="","",IF(ISNA(VLOOKUP($B85,'B-1 Site Hedge Baseline'!$B$1:$U$257,13,FALSE)),"",(VLOOKUP($B85,'B-1 Site Hedge Baseline'!$B$1:$U$257,13,FALSE))))</f>
        <v/>
      </c>
      <c r="L85" s="176" t="str">
        <f>IF(B85="","",IF(ISNA(VLOOKUP($B85,'B-1 Site Hedge Baseline'!$B$1:$U$257,12,FALSE)),"",(VLOOKUP($B85,'B-1 Site Hedge Baseline'!$B$1:$U$257,12,FALSE))))</f>
        <v/>
      </c>
      <c r="M85" s="637"/>
      <c r="N85" s="171" t="str">
        <f>IFERROR(IF(B85="","",INDEX('G-6 Hedgerow Data'!$AN$3:$AZ$15,MATCH(C85,'G-6 Hedgerow Data'!$AM$3:$AM$15,0),MATCH(M85,'G-6 Hedgerow Data'!$AN$2:$AZ$2,0))),"")</f>
        <v/>
      </c>
      <c r="O85" s="172" t="str">
        <f t="shared" si="7"/>
        <v/>
      </c>
      <c r="P85" s="642" t="str">
        <f>IF(B85="","",VLOOKUP(B85,'B-1 Site Hedge Baseline'!$B$10:T330,16,FALSE))</f>
        <v/>
      </c>
      <c r="Q85" s="171" t="str">
        <f>IF(M85="","",VLOOKUP(M85,'G-6 Hedgerow Data'!$B$2:$AG$15,2,FALSE))</f>
        <v/>
      </c>
      <c r="R85" s="172" t="str">
        <f>IF(M85="","",VLOOKUP(M85,'G-6 Hedgerow Data'!$B$2:$AG$15,3,FALSE))</f>
        <v/>
      </c>
      <c r="S85" s="189"/>
      <c r="T85" s="269" t="str">
        <f>IFERROR(VLOOKUP(S85,'G-1 All Habitats'!$Z$2:$AA$9,2,FALSE),"")</f>
        <v/>
      </c>
      <c r="U85" s="186"/>
      <c r="V85" s="175" t="str">
        <f>IF(U85="","",IF(VLOOKUP(U85,'G-3 Multipliers'!$L$3:$N$6,2,FALSE)=0,"Spatial Data Missing",VLOOKUP(U85,'G-3 Multipliers'!$L$3:$N$6,2,FALSE)))</f>
        <v/>
      </c>
      <c r="W85" s="176" t="str">
        <f>IF(U85="","",IF(VLOOKUP(U85,'G-3 Multipliers'!$L$3:$N$6,3,FALSE)=0,"Spatial Data Missing",VLOOKUP(U85,'G-3 Multipliers'!$L$3:$N$6,3,FALSE)))</f>
        <v/>
      </c>
      <c r="X85" s="171" t="str">
        <f>IFERROR(IF(OR(LEFT(O85,5)="Error",LEFT(N85,5)="Error",T85="Error"),"Check Data",IF(F85&lt;R85,INDEX('G-6 Hedgerow Data'!$S$3:$AE$14,MATCH(C85,'G-6 Hedgerow Data'!$B$3:$B$14,0),MATCH(M85,'G-6 Hedgerow Data'!$S$2:$AE$2,0)),INDEX('G-6 Hedgerow Data'!$K$3:$Q$14,MATCH(M85,'G-6 Hedgerow Data'!$B$3:$B$14,0),MATCH(O85,'G-6 Hedgerow Data'!$K$2:$Q$2,0)))),"")</f>
        <v/>
      </c>
      <c r="Y85" s="261"/>
      <c r="Z85" s="261"/>
      <c r="AA85" s="179" t="str">
        <f t="shared" si="10"/>
        <v/>
      </c>
      <c r="AB85" s="262" t="str">
        <f t="shared" si="11"/>
        <v/>
      </c>
      <c r="AC85" s="263" t="str">
        <f t="shared" si="8"/>
        <v/>
      </c>
      <c r="AD85" s="239" t="str">
        <f>IF(M85="","",VLOOKUP(M85,'G-6 Hedgerow Data'!$B$3:$AG$15,31,FALSE))</f>
        <v/>
      </c>
      <c r="AE85" s="179" t="str">
        <f t="shared" si="12"/>
        <v/>
      </c>
      <c r="AF85" s="179" t="str">
        <f t="shared" si="13"/>
        <v/>
      </c>
      <c r="AG85" s="176" t="str">
        <f>IFERROR(IF(O85="","",VLOOKUP(AD85,'G-3 Multipliers'!$P$3:$Q$6,2,FALSE)),"")</f>
        <v/>
      </c>
      <c r="AH85" s="207" t="str">
        <f t="shared" si="9"/>
        <v/>
      </c>
      <c r="AI85" s="336"/>
      <c r="AJ85" s="181"/>
      <c r="AT85" s="35" t="str">
        <f>IFERROR(INDEX('G-6 Hedgerow Data'!$BJ$3:$BJ$15,MATCH(M85,'G-6 Hedgerow Data'!$B$3:$B$15,0)),"")</f>
        <v/>
      </c>
    </row>
    <row r="86" spans="2:46" ht="13.8" x14ac:dyDescent="0.25">
      <c r="B86" s="259" t="str">
        <f>'B-1 Site Hedge Baseline'!AK84</f>
        <v/>
      </c>
      <c r="C86" s="175" t="str">
        <f>IF(B86="","",IF(ISNA(VLOOKUP($B86,'B-1 Site Hedge Baseline'!$B$1:$L$257,3,FALSE)),"",(VLOOKUP($B86,'B-1 Site Hedge Baseline'!$B$1:$L$257,3,FALSE))))</f>
        <v/>
      </c>
      <c r="D86" s="175" t="str">
        <f>IF(B86="","",IF(ISNA(VLOOKUP($B86,'B-1 Site Hedge Baseline'!$B$1:$L$257,4,FALSE)),"",(VLOOKUP($B86,'B-1 Site Hedge Baseline'!$B$1:$L$257,4,FALSE))))</f>
        <v/>
      </c>
      <c r="E86" s="175" t="str">
        <f>IF(B86="","",IF(ISNA(VLOOKUP($B86,'B-1 Site Hedge Baseline'!$B$1:$L$257,5,FALSE)),"",(VLOOKUP($B86,'B-1 Site Hedge Baseline'!$B$1:$L$257,5,FALSE))))</f>
        <v/>
      </c>
      <c r="F86" s="175" t="str">
        <f>IF(B86="","",IF(ISNA(VLOOKUP($B86,'B-1 Site Hedge Baseline'!$B$1:$L$257,6,FALSE)),"",(VLOOKUP($B86,'B-1 Site Hedge Baseline'!$B$1:$L$257,6,FALSE))))</f>
        <v/>
      </c>
      <c r="G86" s="175" t="str">
        <f>IF(B86="","",IF(ISNA(VLOOKUP($B86,'B-1 Site Hedge Baseline'!$B$1:$L$257,7,FALSE)),"",(VLOOKUP($B86,'B-1 Site Hedge Baseline'!$B$1:$L$257,7,FALSE))))</f>
        <v/>
      </c>
      <c r="H86" s="175" t="str">
        <f>IF(B86="","",IF(ISNA(VLOOKUP($B86,'B-1 Site Hedge Baseline'!$B$1:$L$257,8,FALSE)),"",(VLOOKUP($B86,'B-1 Site Hedge Baseline'!$B$1:$L$257,8,FALSE))))</f>
        <v/>
      </c>
      <c r="I86" s="175" t="str">
        <f>IF(B86="","",IF(ISNA(VLOOKUP($B86,'B-1 Site Hedge Baseline'!$B$1:$L$257,10,FALSE)),"",(VLOOKUP($B86,'B-1 Site Hedge Baseline'!$B$1:$L$257,10,FALSE))))</f>
        <v/>
      </c>
      <c r="J86" s="175" t="str">
        <f>IF(B86="","",IF(ISNA(VLOOKUP($B86,'B-1 Site Hedge Baseline'!$B$1:$L$257,11,FALSE)),"",(VLOOKUP($B86,'B-1 Site Hedge Baseline'!$B$1:$L$257,11,FALSE))))</f>
        <v/>
      </c>
      <c r="K86" s="175" t="str">
        <f>IF(B86="","",IF(ISNA(VLOOKUP($B86,'B-1 Site Hedge Baseline'!$B$1:$U$257,13,FALSE)),"",(VLOOKUP($B86,'B-1 Site Hedge Baseline'!$B$1:$U$257,13,FALSE))))</f>
        <v/>
      </c>
      <c r="L86" s="176" t="str">
        <f>IF(B86="","",IF(ISNA(VLOOKUP($B86,'B-1 Site Hedge Baseline'!$B$1:$U$257,12,FALSE)),"",(VLOOKUP($B86,'B-1 Site Hedge Baseline'!$B$1:$U$257,12,FALSE))))</f>
        <v/>
      </c>
      <c r="M86" s="637"/>
      <c r="N86" s="171" t="str">
        <f>IFERROR(IF(B86="","",INDEX('G-6 Hedgerow Data'!$AN$3:$AZ$15,MATCH(C86,'G-6 Hedgerow Data'!$AM$3:$AM$15,0),MATCH(M86,'G-6 Hedgerow Data'!$AN$2:$AZ$2,0))),"")</f>
        <v/>
      </c>
      <c r="O86" s="172" t="str">
        <f t="shared" si="7"/>
        <v/>
      </c>
      <c r="P86" s="642" t="str">
        <f>IF(B86="","",VLOOKUP(B86,'B-1 Site Hedge Baseline'!$B$10:T331,16,FALSE))</f>
        <v/>
      </c>
      <c r="Q86" s="171" t="str">
        <f>IF(M86="","",VLOOKUP(M86,'G-6 Hedgerow Data'!$B$2:$AG$15,2,FALSE))</f>
        <v/>
      </c>
      <c r="R86" s="172" t="str">
        <f>IF(M86="","",VLOOKUP(M86,'G-6 Hedgerow Data'!$B$2:$AG$15,3,FALSE))</f>
        <v/>
      </c>
      <c r="S86" s="189"/>
      <c r="T86" s="269" t="str">
        <f>IFERROR(VLOOKUP(S86,'G-1 All Habitats'!$Z$2:$AA$9,2,FALSE),"")</f>
        <v/>
      </c>
      <c r="U86" s="186"/>
      <c r="V86" s="175" t="str">
        <f>IF(U86="","",IF(VLOOKUP(U86,'G-3 Multipliers'!$L$3:$N$6,2,FALSE)=0,"Spatial Data Missing",VLOOKUP(U86,'G-3 Multipliers'!$L$3:$N$6,2,FALSE)))</f>
        <v/>
      </c>
      <c r="W86" s="176" t="str">
        <f>IF(U86="","",IF(VLOOKUP(U86,'G-3 Multipliers'!$L$3:$N$6,3,FALSE)=0,"Spatial Data Missing",VLOOKUP(U86,'G-3 Multipliers'!$L$3:$N$6,3,FALSE)))</f>
        <v/>
      </c>
      <c r="X86" s="171" t="str">
        <f>IFERROR(IF(OR(LEFT(O86,5)="Error",LEFT(N86,5)="Error",T86="Error"),"Check Data",IF(F86&lt;R86,INDEX('G-6 Hedgerow Data'!$S$3:$AE$14,MATCH(C86,'G-6 Hedgerow Data'!$B$3:$B$14,0),MATCH(M86,'G-6 Hedgerow Data'!$S$2:$AE$2,0)),INDEX('G-6 Hedgerow Data'!$K$3:$Q$14,MATCH(M86,'G-6 Hedgerow Data'!$B$3:$B$14,0),MATCH(O86,'G-6 Hedgerow Data'!$K$2:$Q$2,0)))),"")</f>
        <v/>
      </c>
      <c r="Y86" s="261"/>
      <c r="Z86" s="261"/>
      <c r="AA86" s="179" t="str">
        <f t="shared" si="10"/>
        <v/>
      </c>
      <c r="AB86" s="262" t="str">
        <f t="shared" si="11"/>
        <v/>
      </c>
      <c r="AC86" s="263" t="str">
        <f t="shared" si="8"/>
        <v/>
      </c>
      <c r="AD86" s="239" t="str">
        <f>IF(M86="","",VLOOKUP(M86,'G-6 Hedgerow Data'!$B$3:$AG$15,31,FALSE))</f>
        <v/>
      </c>
      <c r="AE86" s="179" t="str">
        <f t="shared" si="12"/>
        <v/>
      </c>
      <c r="AF86" s="179" t="str">
        <f t="shared" si="13"/>
        <v/>
      </c>
      <c r="AG86" s="176" t="str">
        <f>IFERROR(IF(O86="","",VLOOKUP(AD86,'G-3 Multipliers'!$P$3:$Q$6,2,FALSE)),"")</f>
        <v/>
      </c>
      <c r="AH86" s="207" t="str">
        <f t="shared" si="9"/>
        <v/>
      </c>
      <c r="AI86" s="336"/>
      <c r="AJ86" s="181"/>
      <c r="AT86" s="35" t="str">
        <f>IFERROR(INDEX('G-6 Hedgerow Data'!$BJ$3:$BJ$15,MATCH(M86,'G-6 Hedgerow Data'!$B$3:$B$15,0)),"")</f>
        <v/>
      </c>
    </row>
    <row r="87" spans="2:46" ht="13.8" x14ac:dyDescent="0.25">
      <c r="B87" s="259" t="str">
        <f>'B-1 Site Hedge Baseline'!AK85</f>
        <v/>
      </c>
      <c r="C87" s="175" t="str">
        <f>IF(B87="","",IF(ISNA(VLOOKUP($B87,'B-1 Site Hedge Baseline'!$B$1:$L$257,3,FALSE)),"",(VLOOKUP($B87,'B-1 Site Hedge Baseline'!$B$1:$L$257,3,FALSE))))</f>
        <v/>
      </c>
      <c r="D87" s="175" t="str">
        <f>IF(B87="","",IF(ISNA(VLOOKUP($B87,'B-1 Site Hedge Baseline'!$B$1:$L$257,4,FALSE)),"",(VLOOKUP($B87,'B-1 Site Hedge Baseline'!$B$1:$L$257,4,FALSE))))</f>
        <v/>
      </c>
      <c r="E87" s="175" t="str">
        <f>IF(B87="","",IF(ISNA(VLOOKUP($B87,'B-1 Site Hedge Baseline'!$B$1:$L$257,5,FALSE)),"",(VLOOKUP($B87,'B-1 Site Hedge Baseline'!$B$1:$L$257,5,FALSE))))</f>
        <v/>
      </c>
      <c r="F87" s="175" t="str">
        <f>IF(B87="","",IF(ISNA(VLOOKUP($B87,'B-1 Site Hedge Baseline'!$B$1:$L$257,6,FALSE)),"",(VLOOKUP($B87,'B-1 Site Hedge Baseline'!$B$1:$L$257,6,FALSE))))</f>
        <v/>
      </c>
      <c r="G87" s="175" t="str">
        <f>IF(B87="","",IF(ISNA(VLOOKUP($B87,'B-1 Site Hedge Baseline'!$B$1:$L$257,7,FALSE)),"",(VLOOKUP($B87,'B-1 Site Hedge Baseline'!$B$1:$L$257,7,FALSE))))</f>
        <v/>
      </c>
      <c r="H87" s="175" t="str">
        <f>IF(B87="","",IF(ISNA(VLOOKUP($B87,'B-1 Site Hedge Baseline'!$B$1:$L$257,8,FALSE)),"",(VLOOKUP($B87,'B-1 Site Hedge Baseline'!$B$1:$L$257,8,FALSE))))</f>
        <v/>
      </c>
      <c r="I87" s="175" t="str">
        <f>IF(B87="","",IF(ISNA(VLOOKUP($B87,'B-1 Site Hedge Baseline'!$B$1:$L$257,10,FALSE)),"",(VLOOKUP($B87,'B-1 Site Hedge Baseline'!$B$1:$L$257,10,FALSE))))</f>
        <v/>
      </c>
      <c r="J87" s="175" t="str">
        <f>IF(B87="","",IF(ISNA(VLOOKUP($B87,'B-1 Site Hedge Baseline'!$B$1:$L$257,11,FALSE)),"",(VLOOKUP($B87,'B-1 Site Hedge Baseline'!$B$1:$L$257,11,FALSE))))</f>
        <v/>
      </c>
      <c r="K87" s="175" t="str">
        <f>IF(B87="","",IF(ISNA(VLOOKUP($B87,'B-1 Site Hedge Baseline'!$B$1:$U$257,13,FALSE)),"",(VLOOKUP($B87,'B-1 Site Hedge Baseline'!$B$1:$U$257,13,FALSE))))</f>
        <v/>
      </c>
      <c r="L87" s="176" t="str">
        <f>IF(B87="","",IF(ISNA(VLOOKUP($B87,'B-1 Site Hedge Baseline'!$B$1:$U$257,12,FALSE)),"",(VLOOKUP($B87,'B-1 Site Hedge Baseline'!$B$1:$U$257,12,FALSE))))</f>
        <v/>
      </c>
      <c r="M87" s="637"/>
      <c r="N87" s="171" t="str">
        <f>IFERROR(IF(B87="","",INDEX('G-6 Hedgerow Data'!$AN$3:$AZ$15,MATCH(C87,'G-6 Hedgerow Data'!$AM$3:$AM$15,0),MATCH(M87,'G-6 Hedgerow Data'!$AN$2:$AZ$2,0))),"")</f>
        <v/>
      </c>
      <c r="O87" s="172" t="str">
        <f t="shared" si="7"/>
        <v/>
      </c>
      <c r="P87" s="642" t="str">
        <f>IF(B87="","",VLOOKUP(B87,'B-1 Site Hedge Baseline'!$B$10:T332,16,FALSE))</f>
        <v/>
      </c>
      <c r="Q87" s="171" t="str">
        <f>IF(M87="","",VLOOKUP(M87,'G-6 Hedgerow Data'!$B$2:$AG$15,2,FALSE))</f>
        <v/>
      </c>
      <c r="R87" s="172" t="str">
        <f>IF(M87="","",VLOOKUP(M87,'G-6 Hedgerow Data'!$B$2:$AG$15,3,FALSE))</f>
        <v/>
      </c>
      <c r="S87" s="189"/>
      <c r="T87" s="269" t="str">
        <f>IFERROR(VLOOKUP(S87,'G-1 All Habitats'!$Z$2:$AA$9,2,FALSE),"")</f>
        <v/>
      </c>
      <c r="U87" s="186"/>
      <c r="V87" s="175" t="str">
        <f>IF(U87="","",IF(VLOOKUP(U87,'G-3 Multipliers'!$L$3:$N$6,2,FALSE)=0,"Spatial Data Missing",VLOOKUP(U87,'G-3 Multipliers'!$L$3:$N$6,2,FALSE)))</f>
        <v/>
      </c>
      <c r="W87" s="176" t="str">
        <f>IF(U87="","",IF(VLOOKUP(U87,'G-3 Multipliers'!$L$3:$N$6,3,FALSE)=0,"Spatial Data Missing",VLOOKUP(U87,'G-3 Multipliers'!$L$3:$N$6,3,FALSE)))</f>
        <v/>
      </c>
      <c r="X87" s="171" t="str">
        <f>IFERROR(IF(OR(LEFT(O87,5)="Error",LEFT(N87,5)="Error",T87="Error"),"Check Data",IF(F87&lt;R87,INDEX('G-6 Hedgerow Data'!$S$3:$AE$14,MATCH(C87,'G-6 Hedgerow Data'!$B$3:$B$14,0),MATCH(M87,'G-6 Hedgerow Data'!$S$2:$AE$2,0)),INDEX('G-6 Hedgerow Data'!$K$3:$Q$14,MATCH(M87,'G-6 Hedgerow Data'!$B$3:$B$14,0),MATCH(O87,'G-6 Hedgerow Data'!$K$2:$Q$2,0)))),"")</f>
        <v/>
      </c>
      <c r="Y87" s="261"/>
      <c r="Z87" s="261"/>
      <c r="AA87" s="179" t="str">
        <f t="shared" si="10"/>
        <v/>
      </c>
      <c r="AB87" s="262" t="str">
        <f t="shared" si="11"/>
        <v/>
      </c>
      <c r="AC87" s="263" t="str">
        <f t="shared" si="8"/>
        <v/>
      </c>
      <c r="AD87" s="239" t="str">
        <f>IF(M87="","",VLOOKUP(M87,'G-6 Hedgerow Data'!$B$3:$AG$15,31,FALSE))</f>
        <v/>
      </c>
      <c r="AE87" s="179" t="str">
        <f t="shared" si="12"/>
        <v/>
      </c>
      <c r="AF87" s="179" t="str">
        <f t="shared" si="13"/>
        <v/>
      </c>
      <c r="AG87" s="176" t="str">
        <f>IFERROR(IF(O87="","",VLOOKUP(AD87,'G-3 Multipliers'!$P$3:$Q$6,2,FALSE)),"")</f>
        <v/>
      </c>
      <c r="AH87" s="207" t="str">
        <f t="shared" si="9"/>
        <v/>
      </c>
      <c r="AI87" s="336"/>
      <c r="AJ87" s="181"/>
      <c r="AT87" s="35" t="str">
        <f>IFERROR(INDEX('G-6 Hedgerow Data'!$BJ$3:$BJ$15,MATCH(M87,'G-6 Hedgerow Data'!$B$3:$B$15,0)),"")</f>
        <v/>
      </c>
    </row>
    <row r="88" spans="2:46" ht="13.8" x14ac:dyDescent="0.25">
      <c r="B88" s="259" t="str">
        <f>'B-1 Site Hedge Baseline'!AK86</f>
        <v/>
      </c>
      <c r="C88" s="175" t="str">
        <f>IF(B88="","",IF(ISNA(VLOOKUP($B88,'B-1 Site Hedge Baseline'!$B$1:$L$257,3,FALSE)),"",(VLOOKUP($B88,'B-1 Site Hedge Baseline'!$B$1:$L$257,3,FALSE))))</f>
        <v/>
      </c>
      <c r="D88" s="175" t="str">
        <f>IF(B88="","",IF(ISNA(VLOOKUP($B88,'B-1 Site Hedge Baseline'!$B$1:$L$257,4,FALSE)),"",(VLOOKUP($B88,'B-1 Site Hedge Baseline'!$B$1:$L$257,4,FALSE))))</f>
        <v/>
      </c>
      <c r="E88" s="175" t="str">
        <f>IF(B88="","",IF(ISNA(VLOOKUP($B88,'B-1 Site Hedge Baseline'!$B$1:$L$257,5,FALSE)),"",(VLOOKUP($B88,'B-1 Site Hedge Baseline'!$B$1:$L$257,5,FALSE))))</f>
        <v/>
      </c>
      <c r="F88" s="175" t="str">
        <f>IF(B88="","",IF(ISNA(VLOOKUP($B88,'B-1 Site Hedge Baseline'!$B$1:$L$257,6,FALSE)),"",(VLOOKUP($B88,'B-1 Site Hedge Baseline'!$B$1:$L$257,6,FALSE))))</f>
        <v/>
      </c>
      <c r="G88" s="175" t="str">
        <f>IF(B88="","",IF(ISNA(VLOOKUP($B88,'B-1 Site Hedge Baseline'!$B$1:$L$257,7,FALSE)),"",(VLOOKUP($B88,'B-1 Site Hedge Baseline'!$B$1:$L$257,7,FALSE))))</f>
        <v/>
      </c>
      <c r="H88" s="175" t="str">
        <f>IF(B88="","",IF(ISNA(VLOOKUP($B88,'B-1 Site Hedge Baseline'!$B$1:$L$257,8,FALSE)),"",(VLOOKUP($B88,'B-1 Site Hedge Baseline'!$B$1:$L$257,8,FALSE))))</f>
        <v/>
      </c>
      <c r="I88" s="175" t="str">
        <f>IF(B88="","",IF(ISNA(VLOOKUP($B88,'B-1 Site Hedge Baseline'!$B$1:$L$257,10,FALSE)),"",(VLOOKUP($B88,'B-1 Site Hedge Baseline'!$B$1:$L$257,10,FALSE))))</f>
        <v/>
      </c>
      <c r="J88" s="175" t="str">
        <f>IF(B88="","",IF(ISNA(VLOOKUP($B88,'B-1 Site Hedge Baseline'!$B$1:$L$257,11,FALSE)),"",(VLOOKUP($B88,'B-1 Site Hedge Baseline'!$B$1:$L$257,11,FALSE))))</f>
        <v/>
      </c>
      <c r="K88" s="175" t="str">
        <f>IF(B88="","",IF(ISNA(VLOOKUP($B88,'B-1 Site Hedge Baseline'!$B$1:$U$257,13,FALSE)),"",(VLOOKUP($B88,'B-1 Site Hedge Baseline'!$B$1:$U$257,13,FALSE))))</f>
        <v/>
      </c>
      <c r="L88" s="176" t="str">
        <f>IF(B88="","",IF(ISNA(VLOOKUP($B88,'B-1 Site Hedge Baseline'!$B$1:$U$257,12,FALSE)),"",(VLOOKUP($B88,'B-1 Site Hedge Baseline'!$B$1:$U$257,12,FALSE))))</f>
        <v/>
      </c>
      <c r="M88" s="637"/>
      <c r="N88" s="171" t="str">
        <f>IFERROR(IF(B88="","",INDEX('G-6 Hedgerow Data'!$AN$3:$AZ$15,MATCH(C88,'G-6 Hedgerow Data'!$AM$3:$AM$15,0),MATCH(M88,'G-6 Hedgerow Data'!$AN$2:$AZ$2,0))),"")</f>
        <v/>
      </c>
      <c r="O88" s="172" t="str">
        <f t="shared" si="7"/>
        <v/>
      </c>
      <c r="P88" s="642" t="str">
        <f>IF(B88="","",VLOOKUP(B88,'B-1 Site Hedge Baseline'!$B$10:T333,16,FALSE))</f>
        <v/>
      </c>
      <c r="Q88" s="171" t="str">
        <f>IF(M88="","",VLOOKUP(M88,'G-6 Hedgerow Data'!$B$2:$AG$15,2,FALSE))</f>
        <v/>
      </c>
      <c r="R88" s="172" t="str">
        <f>IF(M88="","",VLOOKUP(M88,'G-6 Hedgerow Data'!$B$2:$AG$15,3,FALSE))</f>
        <v/>
      </c>
      <c r="S88" s="189"/>
      <c r="T88" s="269" t="str">
        <f>IFERROR(VLOOKUP(S88,'G-1 All Habitats'!$Z$2:$AA$9,2,FALSE),"")</f>
        <v/>
      </c>
      <c r="U88" s="186"/>
      <c r="V88" s="175" t="str">
        <f>IF(U88="","",IF(VLOOKUP(U88,'G-3 Multipliers'!$L$3:$N$6,2,FALSE)=0,"Spatial Data Missing",VLOOKUP(U88,'G-3 Multipliers'!$L$3:$N$6,2,FALSE)))</f>
        <v/>
      </c>
      <c r="W88" s="176" t="str">
        <f>IF(U88="","",IF(VLOOKUP(U88,'G-3 Multipliers'!$L$3:$N$6,3,FALSE)=0,"Spatial Data Missing",VLOOKUP(U88,'G-3 Multipliers'!$L$3:$N$6,3,FALSE)))</f>
        <v/>
      </c>
      <c r="X88" s="171" t="str">
        <f>IFERROR(IF(OR(LEFT(O88,5)="Error",LEFT(N88,5)="Error",T88="Error"),"Check Data",IF(F88&lt;R88,INDEX('G-6 Hedgerow Data'!$S$3:$AE$14,MATCH(C88,'G-6 Hedgerow Data'!$B$3:$B$14,0),MATCH(M88,'G-6 Hedgerow Data'!$S$2:$AE$2,0)),INDEX('G-6 Hedgerow Data'!$K$3:$Q$14,MATCH(M88,'G-6 Hedgerow Data'!$B$3:$B$14,0),MATCH(O88,'G-6 Hedgerow Data'!$K$2:$Q$2,0)))),"")</f>
        <v/>
      </c>
      <c r="Y88" s="261"/>
      <c r="Z88" s="261"/>
      <c r="AA88" s="179" t="str">
        <f t="shared" si="10"/>
        <v/>
      </c>
      <c r="AB88" s="262" t="str">
        <f t="shared" si="11"/>
        <v/>
      </c>
      <c r="AC88" s="263" t="str">
        <f t="shared" si="8"/>
        <v/>
      </c>
      <c r="AD88" s="239" t="str">
        <f>IF(M88="","",VLOOKUP(M88,'G-6 Hedgerow Data'!$B$3:$AG$15,31,FALSE))</f>
        <v/>
      </c>
      <c r="AE88" s="179" t="str">
        <f t="shared" si="12"/>
        <v/>
      </c>
      <c r="AF88" s="179" t="str">
        <f t="shared" si="13"/>
        <v/>
      </c>
      <c r="AG88" s="176" t="str">
        <f>IFERROR(IF(O88="","",VLOOKUP(AD88,'G-3 Multipliers'!$P$3:$Q$6,2,FALSE)),"")</f>
        <v/>
      </c>
      <c r="AH88" s="207" t="str">
        <f t="shared" si="9"/>
        <v/>
      </c>
      <c r="AI88" s="336"/>
      <c r="AJ88" s="181"/>
      <c r="AT88" s="35" t="str">
        <f>IFERROR(INDEX('G-6 Hedgerow Data'!$BJ$3:$BJ$15,MATCH(M88,'G-6 Hedgerow Data'!$B$3:$B$15,0)),"")</f>
        <v/>
      </c>
    </row>
    <row r="89" spans="2:46" ht="13.8" x14ac:dyDescent="0.25">
      <c r="B89" s="259" t="str">
        <f>'B-1 Site Hedge Baseline'!AK87</f>
        <v/>
      </c>
      <c r="C89" s="175" t="str">
        <f>IF(B89="","",IF(ISNA(VLOOKUP($B89,'B-1 Site Hedge Baseline'!$B$1:$L$257,3,FALSE)),"",(VLOOKUP($B89,'B-1 Site Hedge Baseline'!$B$1:$L$257,3,FALSE))))</f>
        <v/>
      </c>
      <c r="D89" s="175" t="str">
        <f>IF(B89="","",IF(ISNA(VLOOKUP($B89,'B-1 Site Hedge Baseline'!$B$1:$L$257,4,FALSE)),"",(VLOOKUP($B89,'B-1 Site Hedge Baseline'!$B$1:$L$257,4,FALSE))))</f>
        <v/>
      </c>
      <c r="E89" s="175" t="str">
        <f>IF(B89="","",IF(ISNA(VLOOKUP($B89,'B-1 Site Hedge Baseline'!$B$1:$L$257,5,FALSE)),"",(VLOOKUP($B89,'B-1 Site Hedge Baseline'!$B$1:$L$257,5,FALSE))))</f>
        <v/>
      </c>
      <c r="F89" s="175" t="str">
        <f>IF(B89="","",IF(ISNA(VLOOKUP($B89,'B-1 Site Hedge Baseline'!$B$1:$L$257,6,FALSE)),"",(VLOOKUP($B89,'B-1 Site Hedge Baseline'!$B$1:$L$257,6,FALSE))))</f>
        <v/>
      </c>
      <c r="G89" s="175" t="str">
        <f>IF(B89="","",IF(ISNA(VLOOKUP($B89,'B-1 Site Hedge Baseline'!$B$1:$L$257,7,FALSE)),"",(VLOOKUP($B89,'B-1 Site Hedge Baseline'!$B$1:$L$257,7,FALSE))))</f>
        <v/>
      </c>
      <c r="H89" s="175" t="str">
        <f>IF(B89="","",IF(ISNA(VLOOKUP($B89,'B-1 Site Hedge Baseline'!$B$1:$L$257,8,FALSE)),"",(VLOOKUP($B89,'B-1 Site Hedge Baseline'!$B$1:$L$257,8,FALSE))))</f>
        <v/>
      </c>
      <c r="I89" s="175" t="str">
        <f>IF(B89="","",IF(ISNA(VLOOKUP($B89,'B-1 Site Hedge Baseline'!$B$1:$L$257,10,FALSE)),"",(VLOOKUP($B89,'B-1 Site Hedge Baseline'!$B$1:$L$257,10,FALSE))))</f>
        <v/>
      </c>
      <c r="J89" s="175" t="str">
        <f>IF(B89="","",IF(ISNA(VLOOKUP($B89,'B-1 Site Hedge Baseline'!$B$1:$L$257,11,FALSE)),"",(VLOOKUP($B89,'B-1 Site Hedge Baseline'!$B$1:$L$257,11,FALSE))))</f>
        <v/>
      </c>
      <c r="K89" s="175" t="str">
        <f>IF(B89="","",IF(ISNA(VLOOKUP($B89,'B-1 Site Hedge Baseline'!$B$1:$U$257,13,FALSE)),"",(VLOOKUP($B89,'B-1 Site Hedge Baseline'!$B$1:$U$257,13,FALSE))))</f>
        <v/>
      </c>
      <c r="L89" s="176" t="str">
        <f>IF(B89="","",IF(ISNA(VLOOKUP($B89,'B-1 Site Hedge Baseline'!$B$1:$U$257,12,FALSE)),"",(VLOOKUP($B89,'B-1 Site Hedge Baseline'!$B$1:$U$257,12,FALSE))))</f>
        <v/>
      </c>
      <c r="M89" s="637"/>
      <c r="N89" s="171" t="str">
        <f>IFERROR(IF(B89="","",INDEX('G-6 Hedgerow Data'!$AN$3:$AZ$15,MATCH(C89,'G-6 Hedgerow Data'!$AM$3:$AM$15,0),MATCH(M89,'G-6 Hedgerow Data'!$AN$2:$AZ$2,0))),"")</f>
        <v/>
      </c>
      <c r="O89" s="172" t="str">
        <f t="shared" si="7"/>
        <v/>
      </c>
      <c r="P89" s="642" t="str">
        <f>IF(B89="","",VLOOKUP(B89,'B-1 Site Hedge Baseline'!$B$10:T334,16,FALSE))</f>
        <v/>
      </c>
      <c r="Q89" s="171" t="str">
        <f>IF(M89="","",VLOOKUP(M89,'G-6 Hedgerow Data'!$B$2:$AG$15,2,FALSE))</f>
        <v/>
      </c>
      <c r="R89" s="172" t="str">
        <f>IF(M89="","",VLOOKUP(M89,'G-6 Hedgerow Data'!$B$2:$AG$15,3,FALSE))</f>
        <v/>
      </c>
      <c r="S89" s="189"/>
      <c r="T89" s="269" t="str">
        <f>IFERROR(VLOOKUP(S89,'G-1 All Habitats'!$Z$2:$AA$9,2,FALSE),"")</f>
        <v/>
      </c>
      <c r="U89" s="186"/>
      <c r="V89" s="175" t="str">
        <f>IF(U89="","",IF(VLOOKUP(U89,'G-3 Multipliers'!$L$3:$N$6,2,FALSE)=0,"Spatial Data Missing",VLOOKUP(U89,'G-3 Multipliers'!$L$3:$N$6,2,FALSE)))</f>
        <v/>
      </c>
      <c r="W89" s="176" t="str">
        <f>IF(U89="","",IF(VLOOKUP(U89,'G-3 Multipliers'!$L$3:$N$6,3,FALSE)=0,"Spatial Data Missing",VLOOKUP(U89,'G-3 Multipliers'!$L$3:$N$6,3,FALSE)))</f>
        <v/>
      </c>
      <c r="X89" s="171" t="str">
        <f>IFERROR(IF(OR(LEFT(O89,5)="Error",LEFT(N89,5)="Error",T89="Error"),"Check Data",IF(F89&lt;R89,INDEX('G-6 Hedgerow Data'!$S$3:$AE$14,MATCH(C89,'G-6 Hedgerow Data'!$B$3:$B$14,0),MATCH(M89,'G-6 Hedgerow Data'!$S$2:$AE$2,0)),INDEX('G-6 Hedgerow Data'!$K$3:$Q$14,MATCH(M89,'G-6 Hedgerow Data'!$B$3:$B$14,0),MATCH(O89,'G-6 Hedgerow Data'!$K$2:$Q$2,0)))),"")</f>
        <v/>
      </c>
      <c r="Y89" s="261"/>
      <c r="Z89" s="261"/>
      <c r="AA89" s="179" t="str">
        <f t="shared" si="10"/>
        <v/>
      </c>
      <c r="AB89" s="262" t="str">
        <f t="shared" si="11"/>
        <v/>
      </c>
      <c r="AC89" s="263" t="str">
        <f t="shared" si="8"/>
        <v/>
      </c>
      <c r="AD89" s="239" t="str">
        <f>IF(M89="","",VLOOKUP(M89,'G-6 Hedgerow Data'!$B$3:$AG$15,31,FALSE))</f>
        <v/>
      </c>
      <c r="AE89" s="179" t="str">
        <f t="shared" si="12"/>
        <v/>
      </c>
      <c r="AF89" s="179" t="str">
        <f t="shared" si="13"/>
        <v/>
      </c>
      <c r="AG89" s="176" t="str">
        <f>IFERROR(IF(O89="","",VLOOKUP(AD89,'G-3 Multipliers'!$P$3:$Q$6,2,FALSE)),"")</f>
        <v/>
      </c>
      <c r="AH89" s="207" t="str">
        <f t="shared" si="9"/>
        <v/>
      </c>
      <c r="AI89" s="336"/>
      <c r="AJ89" s="181"/>
      <c r="AT89" s="35" t="str">
        <f>IFERROR(INDEX('G-6 Hedgerow Data'!$BJ$3:$BJ$15,MATCH(M89,'G-6 Hedgerow Data'!$B$3:$B$15,0)),"")</f>
        <v/>
      </c>
    </row>
    <row r="90" spans="2:46" ht="13.8" x14ac:dyDescent="0.25">
      <c r="B90" s="259" t="str">
        <f>'B-1 Site Hedge Baseline'!AK88</f>
        <v/>
      </c>
      <c r="C90" s="175" t="str">
        <f>IF(B90="","",IF(ISNA(VLOOKUP($B90,'B-1 Site Hedge Baseline'!$B$1:$L$257,3,FALSE)),"",(VLOOKUP($B90,'B-1 Site Hedge Baseline'!$B$1:$L$257,3,FALSE))))</f>
        <v/>
      </c>
      <c r="D90" s="175" t="str">
        <f>IF(B90="","",IF(ISNA(VLOOKUP($B90,'B-1 Site Hedge Baseline'!$B$1:$L$257,4,FALSE)),"",(VLOOKUP($B90,'B-1 Site Hedge Baseline'!$B$1:$L$257,4,FALSE))))</f>
        <v/>
      </c>
      <c r="E90" s="175" t="str">
        <f>IF(B90="","",IF(ISNA(VLOOKUP($B90,'B-1 Site Hedge Baseline'!$B$1:$L$257,5,FALSE)),"",(VLOOKUP($B90,'B-1 Site Hedge Baseline'!$B$1:$L$257,5,FALSE))))</f>
        <v/>
      </c>
      <c r="F90" s="175" t="str">
        <f>IF(B90="","",IF(ISNA(VLOOKUP($B90,'B-1 Site Hedge Baseline'!$B$1:$L$257,6,FALSE)),"",(VLOOKUP($B90,'B-1 Site Hedge Baseline'!$B$1:$L$257,6,FALSE))))</f>
        <v/>
      </c>
      <c r="G90" s="175" t="str">
        <f>IF(B90="","",IF(ISNA(VLOOKUP($B90,'B-1 Site Hedge Baseline'!$B$1:$L$257,7,FALSE)),"",(VLOOKUP($B90,'B-1 Site Hedge Baseline'!$B$1:$L$257,7,FALSE))))</f>
        <v/>
      </c>
      <c r="H90" s="175" t="str">
        <f>IF(B90="","",IF(ISNA(VLOOKUP($B90,'B-1 Site Hedge Baseline'!$B$1:$L$257,8,FALSE)),"",(VLOOKUP($B90,'B-1 Site Hedge Baseline'!$B$1:$L$257,8,FALSE))))</f>
        <v/>
      </c>
      <c r="I90" s="175" t="str">
        <f>IF(B90="","",IF(ISNA(VLOOKUP($B90,'B-1 Site Hedge Baseline'!$B$1:$L$257,10,FALSE)),"",(VLOOKUP($B90,'B-1 Site Hedge Baseline'!$B$1:$L$257,10,FALSE))))</f>
        <v/>
      </c>
      <c r="J90" s="175" t="str">
        <f>IF(B90="","",IF(ISNA(VLOOKUP($B90,'B-1 Site Hedge Baseline'!$B$1:$L$257,11,FALSE)),"",(VLOOKUP($B90,'B-1 Site Hedge Baseline'!$B$1:$L$257,11,FALSE))))</f>
        <v/>
      </c>
      <c r="K90" s="175" t="str">
        <f>IF(B90="","",IF(ISNA(VLOOKUP($B90,'B-1 Site Hedge Baseline'!$B$1:$U$257,13,FALSE)),"",(VLOOKUP($B90,'B-1 Site Hedge Baseline'!$B$1:$U$257,13,FALSE))))</f>
        <v/>
      </c>
      <c r="L90" s="176" t="str">
        <f>IF(B90="","",IF(ISNA(VLOOKUP($B90,'B-1 Site Hedge Baseline'!$B$1:$U$257,12,FALSE)),"",(VLOOKUP($B90,'B-1 Site Hedge Baseline'!$B$1:$U$257,12,FALSE))))</f>
        <v/>
      </c>
      <c r="M90" s="637"/>
      <c r="N90" s="171" t="str">
        <f>IFERROR(IF(B90="","",INDEX('G-6 Hedgerow Data'!$AN$3:$AZ$15,MATCH(C90,'G-6 Hedgerow Data'!$AM$3:$AM$15,0),MATCH(M90,'G-6 Hedgerow Data'!$AN$2:$AZ$2,0))),"")</f>
        <v/>
      </c>
      <c r="O90" s="172" t="str">
        <f t="shared" si="7"/>
        <v/>
      </c>
      <c r="P90" s="642" t="str">
        <f>IF(B90="","",VLOOKUP(B90,'B-1 Site Hedge Baseline'!$B$10:T335,16,FALSE))</f>
        <v/>
      </c>
      <c r="Q90" s="171" t="str">
        <f>IF(M90="","",VLOOKUP(M90,'G-6 Hedgerow Data'!$B$2:$AG$15,2,FALSE))</f>
        <v/>
      </c>
      <c r="R90" s="172" t="str">
        <f>IF(M90="","",VLOOKUP(M90,'G-6 Hedgerow Data'!$B$2:$AG$15,3,FALSE))</f>
        <v/>
      </c>
      <c r="S90" s="189"/>
      <c r="T90" s="269" t="str">
        <f>IFERROR(VLOOKUP(S90,'G-1 All Habitats'!$Z$2:$AA$9,2,FALSE),"")</f>
        <v/>
      </c>
      <c r="U90" s="186"/>
      <c r="V90" s="175" t="str">
        <f>IF(U90="","",IF(VLOOKUP(U90,'G-3 Multipliers'!$L$3:$N$6,2,FALSE)=0,"Spatial Data Missing",VLOOKUP(U90,'G-3 Multipliers'!$L$3:$N$6,2,FALSE)))</f>
        <v/>
      </c>
      <c r="W90" s="176" t="str">
        <f>IF(U90="","",IF(VLOOKUP(U90,'G-3 Multipliers'!$L$3:$N$6,3,FALSE)=0,"Spatial Data Missing",VLOOKUP(U90,'G-3 Multipliers'!$L$3:$N$6,3,FALSE)))</f>
        <v/>
      </c>
      <c r="X90" s="171" t="str">
        <f>IFERROR(IF(OR(LEFT(O90,5)="Error",LEFT(N90,5)="Error",T90="Error"),"Check Data",IF(F90&lt;R90,INDEX('G-6 Hedgerow Data'!$S$3:$AE$14,MATCH(C90,'G-6 Hedgerow Data'!$B$3:$B$14,0),MATCH(M90,'G-6 Hedgerow Data'!$S$2:$AE$2,0)),INDEX('G-6 Hedgerow Data'!$K$3:$Q$14,MATCH(M90,'G-6 Hedgerow Data'!$B$3:$B$14,0),MATCH(O90,'G-6 Hedgerow Data'!$K$2:$Q$2,0)))),"")</f>
        <v/>
      </c>
      <c r="Y90" s="261"/>
      <c r="Z90" s="261"/>
      <c r="AA90" s="179" t="str">
        <f t="shared" si="10"/>
        <v/>
      </c>
      <c r="AB90" s="262" t="str">
        <f t="shared" si="11"/>
        <v/>
      </c>
      <c r="AC90" s="263" t="str">
        <f t="shared" si="8"/>
        <v/>
      </c>
      <c r="AD90" s="239" t="str">
        <f>IF(M90="","",VLOOKUP(M90,'G-6 Hedgerow Data'!$B$3:$AG$15,31,FALSE))</f>
        <v/>
      </c>
      <c r="AE90" s="179" t="str">
        <f t="shared" si="12"/>
        <v/>
      </c>
      <c r="AF90" s="179" t="str">
        <f t="shared" si="13"/>
        <v/>
      </c>
      <c r="AG90" s="176" t="str">
        <f>IFERROR(IF(O90="","",VLOOKUP(AD90,'G-3 Multipliers'!$P$3:$Q$6,2,FALSE)),"")</f>
        <v/>
      </c>
      <c r="AH90" s="207" t="str">
        <f t="shared" si="9"/>
        <v/>
      </c>
      <c r="AI90" s="336"/>
      <c r="AJ90" s="181"/>
      <c r="AT90" s="35" t="str">
        <f>IFERROR(INDEX('G-6 Hedgerow Data'!$BJ$3:$BJ$15,MATCH(M90,'G-6 Hedgerow Data'!$B$3:$B$15,0)),"")</f>
        <v/>
      </c>
    </row>
    <row r="91" spans="2:46" ht="13.8" x14ac:dyDescent="0.25">
      <c r="B91" s="259" t="str">
        <f>'B-1 Site Hedge Baseline'!AK89</f>
        <v/>
      </c>
      <c r="C91" s="175" t="str">
        <f>IF(B91="","",IF(ISNA(VLOOKUP($B91,'B-1 Site Hedge Baseline'!$B$1:$L$257,3,FALSE)),"",(VLOOKUP($B91,'B-1 Site Hedge Baseline'!$B$1:$L$257,3,FALSE))))</f>
        <v/>
      </c>
      <c r="D91" s="175" t="str">
        <f>IF(B91="","",IF(ISNA(VLOOKUP($B91,'B-1 Site Hedge Baseline'!$B$1:$L$257,4,FALSE)),"",(VLOOKUP($B91,'B-1 Site Hedge Baseline'!$B$1:$L$257,4,FALSE))))</f>
        <v/>
      </c>
      <c r="E91" s="175" t="str">
        <f>IF(B91="","",IF(ISNA(VLOOKUP($B91,'B-1 Site Hedge Baseline'!$B$1:$L$257,5,FALSE)),"",(VLOOKUP($B91,'B-1 Site Hedge Baseline'!$B$1:$L$257,5,FALSE))))</f>
        <v/>
      </c>
      <c r="F91" s="175" t="str">
        <f>IF(B91="","",IF(ISNA(VLOOKUP($B91,'B-1 Site Hedge Baseline'!$B$1:$L$257,6,FALSE)),"",(VLOOKUP($B91,'B-1 Site Hedge Baseline'!$B$1:$L$257,6,FALSE))))</f>
        <v/>
      </c>
      <c r="G91" s="175" t="str">
        <f>IF(B91="","",IF(ISNA(VLOOKUP($B91,'B-1 Site Hedge Baseline'!$B$1:$L$257,7,FALSE)),"",(VLOOKUP($B91,'B-1 Site Hedge Baseline'!$B$1:$L$257,7,FALSE))))</f>
        <v/>
      </c>
      <c r="H91" s="175" t="str">
        <f>IF(B91="","",IF(ISNA(VLOOKUP($B91,'B-1 Site Hedge Baseline'!$B$1:$L$257,8,FALSE)),"",(VLOOKUP($B91,'B-1 Site Hedge Baseline'!$B$1:$L$257,8,FALSE))))</f>
        <v/>
      </c>
      <c r="I91" s="175" t="str">
        <f>IF(B91="","",IF(ISNA(VLOOKUP($B91,'B-1 Site Hedge Baseline'!$B$1:$L$257,10,FALSE)),"",(VLOOKUP($B91,'B-1 Site Hedge Baseline'!$B$1:$L$257,10,FALSE))))</f>
        <v/>
      </c>
      <c r="J91" s="175" t="str">
        <f>IF(B91="","",IF(ISNA(VLOOKUP($B91,'B-1 Site Hedge Baseline'!$B$1:$L$257,11,FALSE)),"",(VLOOKUP($B91,'B-1 Site Hedge Baseline'!$B$1:$L$257,11,FALSE))))</f>
        <v/>
      </c>
      <c r="K91" s="175" t="str">
        <f>IF(B91="","",IF(ISNA(VLOOKUP($B91,'B-1 Site Hedge Baseline'!$B$1:$U$257,13,FALSE)),"",(VLOOKUP($B91,'B-1 Site Hedge Baseline'!$B$1:$U$257,13,FALSE))))</f>
        <v/>
      </c>
      <c r="L91" s="176" t="str">
        <f>IF(B91="","",IF(ISNA(VLOOKUP($B91,'B-1 Site Hedge Baseline'!$B$1:$U$257,12,FALSE)),"",(VLOOKUP($B91,'B-1 Site Hedge Baseline'!$B$1:$U$257,12,FALSE))))</f>
        <v/>
      </c>
      <c r="M91" s="637"/>
      <c r="N91" s="171" t="str">
        <f>IFERROR(IF(B91="","",INDEX('G-6 Hedgerow Data'!$AN$3:$AZ$15,MATCH(C91,'G-6 Hedgerow Data'!$AM$3:$AM$15,0),MATCH(M91,'G-6 Hedgerow Data'!$AN$2:$AZ$2,0))),"")</f>
        <v/>
      </c>
      <c r="O91" s="172" t="str">
        <f t="shared" si="7"/>
        <v/>
      </c>
      <c r="P91" s="642" t="str">
        <f>IF(B91="","",VLOOKUP(B91,'B-1 Site Hedge Baseline'!$B$10:T336,16,FALSE))</f>
        <v/>
      </c>
      <c r="Q91" s="171" t="str">
        <f>IF(M91="","",VLOOKUP(M91,'G-6 Hedgerow Data'!$B$2:$AG$15,2,FALSE))</f>
        <v/>
      </c>
      <c r="R91" s="172" t="str">
        <f>IF(M91="","",VLOOKUP(M91,'G-6 Hedgerow Data'!$B$2:$AG$15,3,FALSE))</f>
        <v/>
      </c>
      <c r="S91" s="189"/>
      <c r="T91" s="269" t="str">
        <f>IFERROR(VLOOKUP(S91,'G-1 All Habitats'!$Z$2:$AA$9,2,FALSE),"")</f>
        <v/>
      </c>
      <c r="U91" s="186"/>
      <c r="V91" s="175" t="str">
        <f>IF(U91="","",IF(VLOOKUP(U91,'G-3 Multipliers'!$L$3:$N$6,2,FALSE)=0,"Spatial Data Missing",VLOOKUP(U91,'G-3 Multipliers'!$L$3:$N$6,2,FALSE)))</f>
        <v/>
      </c>
      <c r="W91" s="176" t="str">
        <f>IF(U91="","",IF(VLOOKUP(U91,'G-3 Multipliers'!$L$3:$N$6,3,FALSE)=0,"Spatial Data Missing",VLOOKUP(U91,'G-3 Multipliers'!$L$3:$N$6,3,FALSE)))</f>
        <v/>
      </c>
      <c r="X91" s="171" t="str">
        <f>IFERROR(IF(OR(LEFT(O91,5)="Error",LEFT(N91,5)="Error",T91="Error"),"Check Data",IF(F91&lt;R91,INDEX('G-6 Hedgerow Data'!$S$3:$AE$14,MATCH(C91,'G-6 Hedgerow Data'!$B$3:$B$14,0),MATCH(M91,'G-6 Hedgerow Data'!$S$2:$AE$2,0)),INDEX('G-6 Hedgerow Data'!$K$3:$Q$14,MATCH(M91,'G-6 Hedgerow Data'!$B$3:$B$14,0),MATCH(O91,'G-6 Hedgerow Data'!$K$2:$Q$2,0)))),"")</f>
        <v/>
      </c>
      <c r="Y91" s="261"/>
      <c r="Z91" s="261"/>
      <c r="AA91" s="179" t="str">
        <f t="shared" si="10"/>
        <v/>
      </c>
      <c r="AB91" s="262" t="str">
        <f t="shared" si="11"/>
        <v/>
      </c>
      <c r="AC91" s="263" t="str">
        <f t="shared" si="8"/>
        <v/>
      </c>
      <c r="AD91" s="239" t="str">
        <f>IF(M91="","",VLOOKUP(M91,'G-6 Hedgerow Data'!$B$3:$AG$15,31,FALSE))</f>
        <v/>
      </c>
      <c r="AE91" s="179" t="str">
        <f t="shared" si="12"/>
        <v/>
      </c>
      <c r="AF91" s="179" t="str">
        <f t="shared" si="13"/>
        <v/>
      </c>
      <c r="AG91" s="176" t="str">
        <f>IFERROR(IF(O91="","",VLOOKUP(AD91,'G-3 Multipliers'!$P$3:$Q$6,2,FALSE)),"")</f>
        <v/>
      </c>
      <c r="AH91" s="207" t="str">
        <f t="shared" si="9"/>
        <v/>
      </c>
      <c r="AI91" s="336"/>
      <c r="AJ91" s="181"/>
      <c r="AT91" s="35" t="str">
        <f>IFERROR(INDEX('G-6 Hedgerow Data'!$BJ$3:$BJ$15,MATCH(M91,'G-6 Hedgerow Data'!$B$3:$B$15,0)),"")</f>
        <v/>
      </c>
    </row>
    <row r="92" spans="2:46" ht="13.8" x14ac:dyDescent="0.25">
      <c r="B92" s="259" t="str">
        <f>'B-1 Site Hedge Baseline'!AK90</f>
        <v/>
      </c>
      <c r="C92" s="175" t="str">
        <f>IF(B92="","",IF(ISNA(VLOOKUP($B92,'B-1 Site Hedge Baseline'!$B$1:$L$257,3,FALSE)),"",(VLOOKUP($B92,'B-1 Site Hedge Baseline'!$B$1:$L$257,3,FALSE))))</f>
        <v/>
      </c>
      <c r="D92" s="175" t="str">
        <f>IF(B92="","",IF(ISNA(VLOOKUP($B92,'B-1 Site Hedge Baseline'!$B$1:$L$257,4,FALSE)),"",(VLOOKUP($B92,'B-1 Site Hedge Baseline'!$B$1:$L$257,4,FALSE))))</f>
        <v/>
      </c>
      <c r="E92" s="175" t="str">
        <f>IF(B92="","",IF(ISNA(VLOOKUP($B92,'B-1 Site Hedge Baseline'!$B$1:$L$257,5,FALSE)),"",(VLOOKUP($B92,'B-1 Site Hedge Baseline'!$B$1:$L$257,5,FALSE))))</f>
        <v/>
      </c>
      <c r="F92" s="175" t="str">
        <f>IF(B92="","",IF(ISNA(VLOOKUP($B92,'B-1 Site Hedge Baseline'!$B$1:$L$257,6,FALSE)),"",(VLOOKUP($B92,'B-1 Site Hedge Baseline'!$B$1:$L$257,6,FALSE))))</f>
        <v/>
      </c>
      <c r="G92" s="175" t="str">
        <f>IF(B92="","",IF(ISNA(VLOOKUP($B92,'B-1 Site Hedge Baseline'!$B$1:$L$257,7,FALSE)),"",(VLOOKUP($B92,'B-1 Site Hedge Baseline'!$B$1:$L$257,7,FALSE))))</f>
        <v/>
      </c>
      <c r="H92" s="175" t="str">
        <f>IF(B92="","",IF(ISNA(VLOOKUP($B92,'B-1 Site Hedge Baseline'!$B$1:$L$257,8,FALSE)),"",(VLOOKUP($B92,'B-1 Site Hedge Baseline'!$B$1:$L$257,8,FALSE))))</f>
        <v/>
      </c>
      <c r="I92" s="175" t="str">
        <f>IF(B92="","",IF(ISNA(VLOOKUP($B92,'B-1 Site Hedge Baseline'!$B$1:$L$257,10,FALSE)),"",(VLOOKUP($B92,'B-1 Site Hedge Baseline'!$B$1:$L$257,10,FALSE))))</f>
        <v/>
      </c>
      <c r="J92" s="175" t="str">
        <f>IF(B92="","",IF(ISNA(VLOOKUP($B92,'B-1 Site Hedge Baseline'!$B$1:$L$257,11,FALSE)),"",(VLOOKUP($B92,'B-1 Site Hedge Baseline'!$B$1:$L$257,11,FALSE))))</f>
        <v/>
      </c>
      <c r="K92" s="175" t="str">
        <f>IF(B92="","",IF(ISNA(VLOOKUP($B92,'B-1 Site Hedge Baseline'!$B$1:$U$257,13,FALSE)),"",(VLOOKUP($B92,'B-1 Site Hedge Baseline'!$B$1:$U$257,13,FALSE))))</f>
        <v/>
      </c>
      <c r="L92" s="176" t="str">
        <f>IF(B92="","",IF(ISNA(VLOOKUP($B92,'B-1 Site Hedge Baseline'!$B$1:$U$257,12,FALSE)),"",(VLOOKUP($B92,'B-1 Site Hedge Baseline'!$B$1:$U$257,12,FALSE))))</f>
        <v/>
      </c>
      <c r="M92" s="637"/>
      <c r="N92" s="171" t="str">
        <f>IFERROR(IF(B92="","",INDEX('G-6 Hedgerow Data'!$AN$3:$AZ$15,MATCH(C92,'G-6 Hedgerow Data'!$AM$3:$AM$15,0),MATCH(M92,'G-6 Hedgerow Data'!$AN$2:$AZ$2,0))),"")</f>
        <v/>
      </c>
      <c r="O92" s="172" t="str">
        <f t="shared" si="7"/>
        <v/>
      </c>
      <c r="P92" s="642" t="str">
        <f>IF(B92="","",VLOOKUP(B92,'B-1 Site Hedge Baseline'!$B$10:T337,16,FALSE))</f>
        <v/>
      </c>
      <c r="Q92" s="171" t="str">
        <f>IF(M92="","",VLOOKUP(M92,'G-6 Hedgerow Data'!$B$2:$AG$15,2,FALSE))</f>
        <v/>
      </c>
      <c r="R92" s="172" t="str">
        <f>IF(M92="","",VLOOKUP(M92,'G-6 Hedgerow Data'!$B$2:$AG$15,3,FALSE))</f>
        <v/>
      </c>
      <c r="S92" s="189"/>
      <c r="T92" s="269" t="str">
        <f>IFERROR(VLOOKUP(S92,'G-1 All Habitats'!$Z$2:$AA$9,2,FALSE),"")</f>
        <v/>
      </c>
      <c r="U92" s="186"/>
      <c r="V92" s="175" t="str">
        <f>IF(U92="","",IF(VLOOKUP(U92,'G-3 Multipliers'!$L$3:$N$6,2,FALSE)=0,"Spatial Data Missing",VLOOKUP(U92,'G-3 Multipliers'!$L$3:$N$6,2,FALSE)))</f>
        <v/>
      </c>
      <c r="W92" s="176" t="str">
        <f>IF(U92="","",IF(VLOOKUP(U92,'G-3 Multipliers'!$L$3:$N$6,3,FALSE)=0,"Spatial Data Missing",VLOOKUP(U92,'G-3 Multipliers'!$L$3:$N$6,3,FALSE)))</f>
        <v/>
      </c>
      <c r="X92" s="171" t="str">
        <f>IFERROR(IF(OR(LEFT(O92,5)="Error",LEFT(N92,5)="Error",T92="Error"),"Check Data",IF(F92&lt;R92,INDEX('G-6 Hedgerow Data'!$S$3:$AE$14,MATCH(C92,'G-6 Hedgerow Data'!$B$3:$B$14,0),MATCH(M92,'G-6 Hedgerow Data'!$S$2:$AE$2,0)),INDEX('G-6 Hedgerow Data'!$K$3:$Q$14,MATCH(M92,'G-6 Hedgerow Data'!$B$3:$B$14,0),MATCH(O92,'G-6 Hedgerow Data'!$K$2:$Q$2,0)))),"")</f>
        <v/>
      </c>
      <c r="Y92" s="261"/>
      <c r="Z92" s="261"/>
      <c r="AA92" s="179" t="str">
        <f t="shared" si="10"/>
        <v/>
      </c>
      <c r="AB92" s="262" t="str">
        <f t="shared" si="11"/>
        <v/>
      </c>
      <c r="AC92" s="263" t="str">
        <f t="shared" si="8"/>
        <v/>
      </c>
      <c r="AD92" s="239" t="str">
        <f>IF(M92="","",VLOOKUP(M92,'G-6 Hedgerow Data'!$B$3:$AG$15,31,FALSE))</f>
        <v/>
      </c>
      <c r="AE92" s="179" t="str">
        <f t="shared" si="12"/>
        <v/>
      </c>
      <c r="AF92" s="179" t="str">
        <f t="shared" si="13"/>
        <v/>
      </c>
      <c r="AG92" s="176" t="str">
        <f>IFERROR(IF(O92="","",VLOOKUP(AD92,'G-3 Multipliers'!$P$3:$Q$6,2,FALSE)),"")</f>
        <v/>
      </c>
      <c r="AH92" s="207" t="str">
        <f t="shared" si="9"/>
        <v/>
      </c>
      <c r="AI92" s="336"/>
      <c r="AJ92" s="181"/>
      <c r="AT92" s="35" t="str">
        <f>IFERROR(INDEX('G-6 Hedgerow Data'!$BJ$3:$BJ$15,MATCH(M92,'G-6 Hedgerow Data'!$B$3:$B$15,0)),"")</f>
        <v/>
      </c>
    </row>
    <row r="93" spans="2:46" ht="13.8" x14ac:dyDescent="0.25">
      <c r="B93" s="259" t="str">
        <f>'B-1 Site Hedge Baseline'!AK91</f>
        <v/>
      </c>
      <c r="C93" s="175" t="str">
        <f>IF(B93="","",IF(ISNA(VLOOKUP($B93,'B-1 Site Hedge Baseline'!$B$1:$L$257,3,FALSE)),"",(VLOOKUP($B93,'B-1 Site Hedge Baseline'!$B$1:$L$257,3,FALSE))))</f>
        <v/>
      </c>
      <c r="D93" s="175" t="str">
        <f>IF(B93="","",IF(ISNA(VLOOKUP($B93,'B-1 Site Hedge Baseline'!$B$1:$L$257,4,FALSE)),"",(VLOOKUP($B93,'B-1 Site Hedge Baseline'!$B$1:$L$257,4,FALSE))))</f>
        <v/>
      </c>
      <c r="E93" s="175" t="str">
        <f>IF(B93="","",IF(ISNA(VLOOKUP($B93,'B-1 Site Hedge Baseline'!$B$1:$L$257,5,FALSE)),"",(VLOOKUP($B93,'B-1 Site Hedge Baseline'!$B$1:$L$257,5,FALSE))))</f>
        <v/>
      </c>
      <c r="F93" s="175" t="str">
        <f>IF(B93="","",IF(ISNA(VLOOKUP($B93,'B-1 Site Hedge Baseline'!$B$1:$L$257,6,FALSE)),"",(VLOOKUP($B93,'B-1 Site Hedge Baseline'!$B$1:$L$257,6,FALSE))))</f>
        <v/>
      </c>
      <c r="G93" s="175" t="str">
        <f>IF(B93="","",IF(ISNA(VLOOKUP($B93,'B-1 Site Hedge Baseline'!$B$1:$L$257,7,FALSE)),"",(VLOOKUP($B93,'B-1 Site Hedge Baseline'!$B$1:$L$257,7,FALSE))))</f>
        <v/>
      </c>
      <c r="H93" s="175" t="str">
        <f>IF(B93="","",IF(ISNA(VLOOKUP($B93,'B-1 Site Hedge Baseline'!$B$1:$L$257,8,FALSE)),"",(VLOOKUP($B93,'B-1 Site Hedge Baseline'!$B$1:$L$257,8,FALSE))))</f>
        <v/>
      </c>
      <c r="I93" s="175" t="str">
        <f>IF(B93="","",IF(ISNA(VLOOKUP($B93,'B-1 Site Hedge Baseline'!$B$1:$L$257,10,FALSE)),"",(VLOOKUP($B93,'B-1 Site Hedge Baseline'!$B$1:$L$257,10,FALSE))))</f>
        <v/>
      </c>
      <c r="J93" s="175" t="str">
        <f>IF(B93="","",IF(ISNA(VLOOKUP($B93,'B-1 Site Hedge Baseline'!$B$1:$L$257,11,FALSE)),"",(VLOOKUP($B93,'B-1 Site Hedge Baseline'!$B$1:$L$257,11,FALSE))))</f>
        <v/>
      </c>
      <c r="K93" s="175" t="str">
        <f>IF(B93="","",IF(ISNA(VLOOKUP($B93,'B-1 Site Hedge Baseline'!$B$1:$U$257,13,FALSE)),"",(VLOOKUP($B93,'B-1 Site Hedge Baseline'!$B$1:$U$257,13,FALSE))))</f>
        <v/>
      </c>
      <c r="L93" s="176" t="str">
        <f>IF(B93="","",IF(ISNA(VLOOKUP($B93,'B-1 Site Hedge Baseline'!$B$1:$U$257,12,FALSE)),"",(VLOOKUP($B93,'B-1 Site Hedge Baseline'!$B$1:$U$257,12,FALSE))))</f>
        <v/>
      </c>
      <c r="M93" s="637"/>
      <c r="N93" s="171" t="str">
        <f>IFERROR(IF(B93="","",INDEX('G-6 Hedgerow Data'!$AN$3:$AZ$15,MATCH(C93,'G-6 Hedgerow Data'!$AM$3:$AM$15,0),MATCH(M93,'G-6 Hedgerow Data'!$AN$2:$AZ$2,0))),"")</f>
        <v/>
      </c>
      <c r="O93" s="172" t="str">
        <f t="shared" si="7"/>
        <v/>
      </c>
      <c r="P93" s="642" t="str">
        <f>IF(B93="","",VLOOKUP(B93,'B-1 Site Hedge Baseline'!$B$10:T338,16,FALSE))</f>
        <v/>
      </c>
      <c r="Q93" s="171" t="str">
        <f>IF(M93="","",VLOOKUP(M93,'G-6 Hedgerow Data'!$B$2:$AG$15,2,FALSE))</f>
        <v/>
      </c>
      <c r="R93" s="172" t="str">
        <f>IF(M93="","",VLOOKUP(M93,'G-6 Hedgerow Data'!$B$2:$AG$15,3,FALSE))</f>
        <v/>
      </c>
      <c r="S93" s="189"/>
      <c r="T93" s="269" t="str">
        <f>IFERROR(VLOOKUP(S93,'G-1 All Habitats'!$Z$2:$AA$9,2,FALSE),"")</f>
        <v/>
      </c>
      <c r="U93" s="186"/>
      <c r="V93" s="175" t="str">
        <f>IF(U93="","",IF(VLOOKUP(U93,'G-3 Multipliers'!$L$3:$N$6,2,FALSE)=0,"Spatial Data Missing",VLOOKUP(U93,'G-3 Multipliers'!$L$3:$N$6,2,FALSE)))</f>
        <v/>
      </c>
      <c r="W93" s="176" t="str">
        <f>IF(U93="","",IF(VLOOKUP(U93,'G-3 Multipliers'!$L$3:$N$6,3,FALSE)=0,"Spatial Data Missing",VLOOKUP(U93,'G-3 Multipliers'!$L$3:$N$6,3,FALSE)))</f>
        <v/>
      </c>
      <c r="X93" s="171" t="str">
        <f>IFERROR(IF(OR(LEFT(O93,5)="Error",LEFT(N93,5)="Error",T93="Error"),"Check Data",IF(F93&lt;R93,INDEX('G-6 Hedgerow Data'!$S$3:$AE$14,MATCH(C93,'G-6 Hedgerow Data'!$B$3:$B$14,0),MATCH(M93,'G-6 Hedgerow Data'!$S$2:$AE$2,0)),INDEX('G-6 Hedgerow Data'!$K$3:$Q$14,MATCH(M93,'G-6 Hedgerow Data'!$B$3:$B$14,0),MATCH(O93,'G-6 Hedgerow Data'!$K$2:$Q$2,0)))),"")</f>
        <v/>
      </c>
      <c r="Y93" s="261"/>
      <c r="Z93" s="261"/>
      <c r="AA93" s="179" t="str">
        <f t="shared" si="10"/>
        <v/>
      </c>
      <c r="AB93" s="262" t="str">
        <f t="shared" si="11"/>
        <v/>
      </c>
      <c r="AC93" s="263" t="str">
        <f t="shared" si="8"/>
        <v/>
      </c>
      <c r="AD93" s="239" t="str">
        <f>IF(M93="","",VLOOKUP(M93,'G-6 Hedgerow Data'!$B$3:$AG$15,31,FALSE))</f>
        <v/>
      </c>
      <c r="AE93" s="179" t="str">
        <f t="shared" si="12"/>
        <v/>
      </c>
      <c r="AF93" s="179" t="str">
        <f t="shared" si="13"/>
        <v/>
      </c>
      <c r="AG93" s="176" t="str">
        <f>IFERROR(IF(O93="","",VLOOKUP(AD93,'G-3 Multipliers'!$P$3:$Q$6,2,FALSE)),"")</f>
        <v/>
      </c>
      <c r="AH93" s="207" t="str">
        <f t="shared" si="9"/>
        <v/>
      </c>
      <c r="AI93" s="336"/>
      <c r="AJ93" s="181"/>
      <c r="AT93" s="35" t="str">
        <f>IFERROR(INDEX('G-6 Hedgerow Data'!$BJ$3:$BJ$15,MATCH(M93,'G-6 Hedgerow Data'!$B$3:$B$15,0)),"")</f>
        <v/>
      </c>
    </row>
    <row r="94" spans="2:46" ht="13.8" x14ac:dyDescent="0.25">
      <c r="B94" s="259" t="str">
        <f>'B-1 Site Hedge Baseline'!AK92</f>
        <v/>
      </c>
      <c r="C94" s="175" t="str">
        <f>IF(B94="","",IF(ISNA(VLOOKUP($B94,'B-1 Site Hedge Baseline'!$B$1:$L$257,3,FALSE)),"",(VLOOKUP($B94,'B-1 Site Hedge Baseline'!$B$1:$L$257,3,FALSE))))</f>
        <v/>
      </c>
      <c r="D94" s="175" t="str">
        <f>IF(B94="","",IF(ISNA(VLOOKUP($B94,'B-1 Site Hedge Baseline'!$B$1:$L$257,4,FALSE)),"",(VLOOKUP($B94,'B-1 Site Hedge Baseline'!$B$1:$L$257,4,FALSE))))</f>
        <v/>
      </c>
      <c r="E94" s="175" t="str">
        <f>IF(B94="","",IF(ISNA(VLOOKUP($B94,'B-1 Site Hedge Baseline'!$B$1:$L$257,5,FALSE)),"",(VLOOKUP($B94,'B-1 Site Hedge Baseline'!$B$1:$L$257,5,FALSE))))</f>
        <v/>
      </c>
      <c r="F94" s="175" t="str">
        <f>IF(B94="","",IF(ISNA(VLOOKUP($B94,'B-1 Site Hedge Baseline'!$B$1:$L$257,6,FALSE)),"",(VLOOKUP($B94,'B-1 Site Hedge Baseline'!$B$1:$L$257,6,FALSE))))</f>
        <v/>
      </c>
      <c r="G94" s="175" t="str">
        <f>IF(B94="","",IF(ISNA(VLOOKUP($B94,'B-1 Site Hedge Baseline'!$B$1:$L$257,7,FALSE)),"",(VLOOKUP($B94,'B-1 Site Hedge Baseline'!$B$1:$L$257,7,FALSE))))</f>
        <v/>
      </c>
      <c r="H94" s="175" t="str">
        <f>IF(B94="","",IF(ISNA(VLOOKUP($B94,'B-1 Site Hedge Baseline'!$B$1:$L$257,8,FALSE)),"",(VLOOKUP($B94,'B-1 Site Hedge Baseline'!$B$1:$L$257,8,FALSE))))</f>
        <v/>
      </c>
      <c r="I94" s="175" t="str">
        <f>IF(B94="","",IF(ISNA(VLOOKUP($B94,'B-1 Site Hedge Baseline'!$B$1:$L$257,10,FALSE)),"",(VLOOKUP($B94,'B-1 Site Hedge Baseline'!$B$1:$L$257,10,FALSE))))</f>
        <v/>
      </c>
      <c r="J94" s="175" t="str">
        <f>IF(B94="","",IF(ISNA(VLOOKUP($B94,'B-1 Site Hedge Baseline'!$B$1:$L$257,11,FALSE)),"",(VLOOKUP($B94,'B-1 Site Hedge Baseline'!$B$1:$L$257,11,FALSE))))</f>
        <v/>
      </c>
      <c r="K94" s="175" t="str">
        <f>IF(B94="","",IF(ISNA(VLOOKUP($B94,'B-1 Site Hedge Baseline'!$B$1:$U$257,13,FALSE)),"",(VLOOKUP($B94,'B-1 Site Hedge Baseline'!$B$1:$U$257,13,FALSE))))</f>
        <v/>
      </c>
      <c r="L94" s="176" t="str">
        <f>IF(B94="","",IF(ISNA(VLOOKUP($B94,'B-1 Site Hedge Baseline'!$B$1:$U$257,12,FALSE)),"",(VLOOKUP($B94,'B-1 Site Hedge Baseline'!$B$1:$U$257,12,FALSE))))</f>
        <v/>
      </c>
      <c r="M94" s="637"/>
      <c r="N94" s="171" t="str">
        <f>IFERROR(IF(B94="","",INDEX('G-6 Hedgerow Data'!$AN$3:$AZ$15,MATCH(C94,'G-6 Hedgerow Data'!$AM$3:$AM$15,0),MATCH(M94,'G-6 Hedgerow Data'!$AN$2:$AZ$2,0))),"")</f>
        <v/>
      </c>
      <c r="O94" s="172" t="str">
        <f t="shared" si="7"/>
        <v/>
      </c>
      <c r="P94" s="642" t="str">
        <f>IF(B94="","",VLOOKUP(B94,'B-1 Site Hedge Baseline'!$B$10:T339,16,FALSE))</f>
        <v/>
      </c>
      <c r="Q94" s="171" t="str">
        <f>IF(M94="","",VLOOKUP(M94,'G-6 Hedgerow Data'!$B$2:$AG$15,2,FALSE))</f>
        <v/>
      </c>
      <c r="R94" s="172" t="str">
        <f>IF(M94="","",VLOOKUP(M94,'G-6 Hedgerow Data'!$B$2:$AG$15,3,FALSE))</f>
        <v/>
      </c>
      <c r="S94" s="189"/>
      <c r="T94" s="269" t="str">
        <f>IFERROR(VLOOKUP(S94,'G-1 All Habitats'!$Z$2:$AA$9,2,FALSE),"")</f>
        <v/>
      </c>
      <c r="U94" s="186"/>
      <c r="V94" s="175" t="str">
        <f>IF(U94="","",IF(VLOOKUP(U94,'G-3 Multipliers'!$L$3:$N$6,2,FALSE)=0,"Spatial Data Missing",VLOOKUP(U94,'G-3 Multipliers'!$L$3:$N$6,2,FALSE)))</f>
        <v/>
      </c>
      <c r="W94" s="176" t="str">
        <f>IF(U94="","",IF(VLOOKUP(U94,'G-3 Multipliers'!$L$3:$N$6,3,FALSE)=0,"Spatial Data Missing",VLOOKUP(U94,'G-3 Multipliers'!$L$3:$N$6,3,FALSE)))</f>
        <v/>
      </c>
      <c r="X94" s="171" t="str">
        <f>IFERROR(IF(OR(LEFT(O94,5)="Error",LEFT(N94,5)="Error",T94="Error"),"Check Data",IF(F94&lt;R94,INDEX('G-6 Hedgerow Data'!$S$3:$AE$14,MATCH(C94,'G-6 Hedgerow Data'!$B$3:$B$14,0),MATCH(M94,'G-6 Hedgerow Data'!$S$2:$AE$2,0)),INDEX('G-6 Hedgerow Data'!$K$3:$Q$14,MATCH(M94,'G-6 Hedgerow Data'!$B$3:$B$14,0),MATCH(O94,'G-6 Hedgerow Data'!$K$2:$Q$2,0)))),"")</f>
        <v/>
      </c>
      <c r="Y94" s="261"/>
      <c r="Z94" s="261"/>
      <c r="AA94" s="179" t="str">
        <f t="shared" si="10"/>
        <v/>
      </c>
      <c r="AB94" s="262" t="str">
        <f t="shared" si="11"/>
        <v/>
      </c>
      <c r="AC94" s="263" t="str">
        <f t="shared" si="8"/>
        <v/>
      </c>
      <c r="AD94" s="239" t="str">
        <f>IF(M94="","",VLOOKUP(M94,'G-6 Hedgerow Data'!$B$3:$AG$15,31,FALSE))</f>
        <v/>
      </c>
      <c r="AE94" s="179" t="str">
        <f t="shared" si="12"/>
        <v/>
      </c>
      <c r="AF94" s="179" t="str">
        <f t="shared" si="13"/>
        <v/>
      </c>
      <c r="AG94" s="176" t="str">
        <f>IFERROR(IF(O94="","",VLOOKUP(AD94,'G-3 Multipliers'!$P$3:$Q$6,2,FALSE)),"")</f>
        <v/>
      </c>
      <c r="AH94" s="207" t="str">
        <f t="shared" si="9"/>
        <v/>
      </c>
      <c r="AI94" s="336"/>
      <c r="AJ94" s="181"/>
      <c r="AT94" s="35" t="str">
        <f>IFERROR(INDEX('G-6 Hedgerow Data'!$BJ$3:$BJ$15,MATCH(M94,'G-6 Hedgerow Data'!$B$3:$B$15,0)),"")</f>
        <v/>
      </c>
    </row>
    <row r="95" spans="2:46" ht="13.8" x14ac:dyDescent="0.25">
      <c r="B95" s="259" t="str">
        <f>'B-1 Site Hedge Baseline'!AK93</f>
        <v/>
      </c>
      <c r="C95" s="175" t="str">
        <f>IF(B95="","",IF(ISNA(VLOOKUP($B95,'B-1 Site Hedge Baseline'!$B$1:$L$257,3,FALSE)),"",(VLOOKUP($B95,'B-1 Site Hedge Baseline'!$B$1:$L$257,3,FALSE))))</f>
        <v/>
      </c>
      <c r="D95" s="175" t="str">
        <f>IF(B95="","",IF(ISNA(VLOOKUP($B95,'B-1 Site Hedge Baseline'!$B$1:$L$257,4,FALSE)),"",(VLOOKUP($B95,'B-1 Site Hedge Baseline'!$B$1:$L$257,4,FALSE))))</f>
        <v/>
      </c>
      <c r="E95" s="175" t="str">
        <f>IF(B95="","",IF(ISNA(VLOOKUP($B95,'B-1 Site Hedge Baseline'!$B$1:$L$257,5,FALSE)),"",(VLOOKUP($B95,'B-1 Site Hedge Baseline'!$B$1:$L$257,5,FALSE))))</f>
        <v/>
      </c>
      <c r="F95" s="175" t="str">
        <f>IF(B95="","",IF(ISNA(VLOOKUP($B95,'B-1 Site Hedge Baseline'!$B$1:$L$257,6,FALSE)),"",(VLOOKUP($B95,'B-1 Site Hedge Baseline'!$B$1:$L$257,6,FALSE))))</f>
        <v/>
      </c>
      <c r="G95" s="175" t="str">
        <f>IF(B95="","",IF(ISNA(VLOOKUP($B95,'B-1 Site Hedge Baseline'!$B$1:$L$257,7,FALSE)),"",(VLOOKUP($B95,'B-1 Site Hedge Baseline'!$B$1:$L$257,7,FALSE))))</f>
        <v/>
      </c>
      <c r="H95" s="175" t="str">
        <f>IF(B95="","",IF(ISNA(VLOOKUP($B95,'B-1 Site Hedge Baseline'!$B$1:$L$257,8,FALSE)),"",(VLOOKUP($B95,'B-1 Site Hedge Baseline'!$B$1:$L$257,8,FALSE))))</f>
        <v/>
      </c>
      <c r="I95" s="175" t="str">
        <f>IF(B95="","",IF(ISNA(VLOOKUP($B95,'B-1 Site Hedge Baseline'!$B$1:$L$257,10,FALSE)),"",(VLOOKUP($B95,'B-1 Site Hedge Baseline'!$B$1:$L$257,10,FALSE))))</f>
        <v/>
      </c>
      <c r="J95" s="175" t="str">
        <f>IF(B95="","",IF(ISNA(VLOOKUP($B95,'B-1 Site Hedge Baseline'!$B$1:$L$257,11,FALSE)),"",(VLOOKUP($B95,'B-1 Site Hedge Baseline'!$B$1:$L$257,11,FALSE))))</f>
        <v/>
      </c>
      <c r="K95" s="175" t="str">
        <f>IF(B95="","",IF(ISNA(VLOOKUP($B95,'B-1 Site Hedge Baseline'!$B$1:$U$257,13,FALSE)),"",(VLOOKUP($B95,'B-1 Site Hedge Baseline'!$B$1:$U$257,13,FALSE))))</f>
        <v/>
      </c>
      <c r="L95" s="176" t="str">
        <f>IF(B95="","",IF(ISNA(VLOOKUP($B95,'B-1 Site Hedge Baseline'!$B$1:$U$257,12,FALSE)),"",(VLOOKUP($B95,'B-1 Site Hedge Baseline'!$B$1:$U$257,12,FALSE))))</f>
        <v/>
      </c>
      <c r="M95" s="637"/>
      <c r="N95" s="171" t="str">
        <f>IFERROR(IF(B95="","",INDEX('G-6 Hedgerow Data'!$AN$3:$AZ$15,MATCH(C95,'G-6 Hedgerow Data'!$AM$3:$AM$15,0),MATCH(M95,'G-6 Hedgerow Data'!$AN$2:$AZ$2,0))),"")</f>
        <v/>
      </c>
      <c r="O95" s="172" t="str">
        <f t="shared" si="7"/>
        <v/>
      </c>
      <c r="P95" s="642" t="str">
        <f>IF(B95="","",VLOOKUP(B95,'B-1 Site Hedge Baseline'!$B$10:T340,16,FALSE))</f>
        <v/>
      </c>
      <c r="Q95" s="171" t="str">
        <f>IF(M95="","",VLOOKUP(M95,'G-6 Hedgerow Data'!$B$2:$AG$15,2,FALSE))</f>
        <v/>
      </c>
      <c r="R95" s="172" t="str">
        <f>IF(M95="","",VLOOKUP(M95,'G-6 Hedgerow Data'!$B$2:$AG$15,3,FALSE))</f>
        <v/>
      </c>
      <c r="S95" s="189"/>
      <c r="T95" s="269" t="str">
        <f>IFERROR(VLOOKUP(S95,'G-1 All Habitats'!$Z$2:$AA$9,2,FALSE),"")</f>
        <v/>
      </c>
      <c r="U95" s="186"/>
      <c r="V95" s="175" t="str">
        <f>IF(U95="","",IF(VLOOKUP(U95,'G-3 Multipliers'!$L$3:$N$6,2,FALSE)=0,"Spatial Data Missing",VLOOKUP(U95,'G-3 Multipliers'!$L$3:$N$6,2,FALSE)))</f>
        <v/>
      </c>
      <c r="W95" s="176" t="str">
        <f>IF(U95="","",IF(VLOOKUP(U95,'G-3 Multipliers'!$L$3:$N$6,3,FALSE)=0,"Spatial Data Missing",VLOOKUP(U95,'G-3 Multipliers'!$L$3:$N$6,3,FALSE)))</f>
        <v/>
      </c>
      <c r="X95" s="171" t="str">
        <f>IFERROR(IF(OR(LEFT(O95,5)="Error",LEFT(N95,5)="Error",T95="Error"),"Check Data",IF(F95&lt;R95,INDEX('G-6 Hedgerow Data'!$S$3:$AE$14,MATCH(C95,'G-6 Hedgerow Data'!$B$3:$B$14,0),MATCH(M95,'G-6 Hedgerow Data'!$S$2:$AE$2,0)),INDEX('G-6 Hedgerow Data'!$K$3:$Q$14,MATCH(M95,'G-6 Hedgerow Data'!$B$3:$B$14,0),MATCH(O95,'G-6 Hedgerow Data'!$K$2:$Q$2,0)))),"")</f>
        <v/>
      </c>
      <c r="Y95" s="261"/>
      <c r="Z95" s="261"/>
      <c r="AA95" s="179" t="str">
        <f t="shared" si="10"/>
        <v/>
      </c>
      <c r="AB95" s="262" t="str">
        <f t="shared" si="11"/>
        <v/>
      </c>
      <c r="AC95" s="263" t="str">
        <f t="shared" si="8"/>
        <v/>
      </c>
      <c r="AD95" s="239" t="str">
        <f>IF(M95="","",VLOOKUP(M95,'G-6 Hedgerow Data'!$B$3:$AG$15,31,FALSE))</f>
        <v/>
      </c>
      <c r="AE95" s="179" t="str">
        <f t="shared" si="12"/>
        <v/>
      </c>
      <c r="AF95" s="179" t="str">
        <f t="shared" si="13"/>
        <v/>
      </c>
      <c r="AG95" s="176" t="str">
        <f>IFERROR(IF(O95="","",VLOOKUP(AD95,'G-3 Multipliers'!$P$3:$Q$6,2,FALSE)),"")</f>
        <v/>
      </c>
      <c r="AH95" s="207" t="str">
        <f t="shared" si="9"/>
        <v/>
      </c>
      <c r="AI95" s="336"/>
      <c r="AJ95" s="181"/>
      <c r="AT95" s="35" t="str">
        <f>IFERROR(INDEX('G-6 Hedgerow Data'!$BJ$3:$BJ$15,MATCH(M95,'G-6 Hedgerow Data'!$B$3:$B$15,0)),"")</f>
        <v/>
      </c>
    </row>
    <row r="96" spans="2:46" ht="13.8" x14ac:dyDescent="0.25">
      <c r="B96" s="259" t="str">
        <f>'B-1 Site Hedge Baseline'!AK94</f>
        <v/>
      </c>
      <c r="C96" s="175" t="str">
        <f>IF(B96="","",IF(ISNA(VLOOKUP($B96,'B-1 Site Hedge Baseline'!$B$1:$L$257,3,FALSE)),"",(VLOOKUP($B96,'B-1 Site Hedge Baseline'!$B$1:$L$257,3,FALSE))))</f>
        <v/>
      </c>
      <c r="D96" s="175" t="str">
        <f>IF(B96="","",IF(ISNA(VLOOKUP($B96,'B-1 Site Hedge Baseline'!$B$1:$L$257,4,FALSE)),"",(VLOOKUP($B96,'B-1 Site Hedge Baseline'!$B$1:$L$257,4,FALSE))))</f>
        <v/>
      </c>
      <c r="E96" s="175" t="str">
        <f>IF(B96="","",IF(ISNA(VLOOKUP($B96,'B-1 Site Hedge Baseline'!$B$1:$L$257,5,FALSE)),"",(VLOOKUP($B96,'B-1 Site Hedge Baseline'!$B$1:$L$257,5,FALSE))))</f>
        <v/>
      </c>
      <c r="F96" s="175" t="str">
        <f>IF(B96="","",IF(ISNA(VLOOKUP($B96,'B-1 Site Hedge Baseline'!$B$1:$L$257,6,FALSE)),"",(VLOOKUP($B96,'B-1 Site Hedge Baseline'!$B$1:$L$257,6,FALSE))))</f>
        <v/>
      </c>
      <c r="G96" s="175" t="str">
        <f>IF(B96="","",IF(ISNA(VLOOKUP($B96,'B-1 Site Hedge Baseline'!$B$1:$L$257,7,FALSE)),"",(VLOOKUP($B96,'B-1 Site Hedge Baseline'!$B$1:$L$257,7,FALSE))))</f>
        <v/>
      </c>
      <c r="H96" s="175" t="str">
        <f>IF(B96="","",IF(ISNA(VLOOKUP($B96,'B-1 Site Hedge Baseline'!$B$1:$L$257,8,FALSE)),"",(VLOOKUP($B96,'B-1 Site Hedge Baseline'!$B$1:$L$257,8,FALSE))))</f>
        <v/>
      </c>
      <c r="I96" s="175" t="str">
        <f>IF(B96="","",IF(ISNA(VLOOKUP($B96,'B-1 Site Hedge Baseline'!$B$1:$L$257,10,FALSE)),"",(VLOOKUP($B96,'B-1 Site Hedge Baseline'!$B$1:$L$257,10,FALSE))))</f>
        <v/>
      </c>
      <c r="J96" s="175" t="str">
        <f>IF(B96="","",IF(ISNA(VLOOKUP($B96,'B-1 Site Hedge Baseline'!$B$1:$L$257,11,FALSE)),"",(VLOOKUP($B96,'B-1 Site Hedge Baseline'!$B$1:$L$257,11,FALSE))))</f>
        <v/>
      </c>
      <c r="K96" s="175" t="str">
        <f>IF(B96="","",IF(ISNA(VLOOKUP($B96,'B-1 Site Hedge Baseline'!$B$1:$U$257,13,FALSE)),"",(VLOOKUP($B96,'B-1 Site Hedge Baseline'!$B$1:$U$257,13,FALSE))))</f>
        <v/>
      </c>
      <c r="L96" s="176" t="str">
        <f>IF(B96="","",IF(ISNA(VLOOKUP($B96,'B-1 Site Hedge Baseline'!$B$1:$U$257,12,FALSE)),"",(VLOOKUP($B96,'B-1 Site Hedge Baseline'!$B$1:$U$257,12,FALSE))))</f>
        <v/>
      </c>
      <c r="M96" s="637"/>
      <c r="N96" s="171" t="str">
        <f>IFERROR(IF(B96="","",INDEX('G-6 Hedgerow Data'!$AN$3:$AZ$15,MATCH(C96,'G-6 Hedgerow Data'!$AM$3:$AM$15,0),MATCH(M96,'G-6 Hedgerow Data'!$AN$2:$AZ$2,0))),"")</f>
        <v/>
      </c>
      <c r="O96" s="172" t="str">
        <f t="shared" si="7"/>
        <v/>
      </c>
      <c r="P96" s="642" t="str">
        <f>IF(B96="","",VLOOKUP(B96,'B-1 Site Hedge Baseline'!$B$10:T341,16,FALSE))</f>
        <v/>
      </c>
      <c r="Q96" s="171" t="str">
        <f>IF(M96="","",VLOOKUP(M96,'G-6 Hedgerow Data'!$B$2:$AG$15,2,FALSE))</f>
        <v/>
      </c>
      <c r="R96" s="172" t="str">
        <f>IF(M96="","",VLOOKUP(M96,'G-6 Hedgerow Data'!$B$2:$AG$15,3,FALSE))</f>
        <v/>
      </c>
      <c r="S96" s="189"/>
      <c r="T96" s="269" t="str">
        <f>IFERROR(VLOOKUP(S96,'G-1 All Habitats'!$Z$2:$AA$9,2,FALSE),"")</f>
        <v/>
      </c>
      <c r="U96" s="186"/>
      <c r="V96" s="175" t="str">
        <f>IF(U96="","",IF(VLOOKUP(U96,'G-3 Multipliers'!$L$3:$N$6,2,FALSE)=0,"Spatial Data Missing",VLOOKUP(U96,'G-3 Multipliers'!$L$3:$N$6,2,FALSE)))</f>
        <v/>
      </c>
      <c r="W96" s="176" t="str">
        <f>IF(U96="","",IF(VLOOKUP(U96,'G-3 Multipliers'!$L$3:$N$6,3,FALSE)=0,"Spatial Data Missing",VLOOKUP(U96,'G-3 Multipliers'!$L$3:$N$6,3,FALSE)))</f>
        <v/>
      </c>
      <c r="X96" s="171" t="str">
        <f>IFERROR(IF(OR(LEFT(O96,5)="Error",LEFT(N96,5)="Error",T96="Error"),"Check Data",IF(F96&lt;R96,INDEX('G-6 Hedgerow Data'!$S$3:$AE$14,MATCH(C96,'G-6 Hedgerow Data'!$B$3:$B$14,0),MATCH(M96,'G-6 Hedgerow Data'!$S$2:$AE$2,0)),INDEX('G-6 Hedgerow Data'!$K$3:$Q$14,MATCH(M96,'G-6 Hedgerow Data'!$B$3:$B$14,0),MATCH(O96,'G-6 Hedgerow Data'!$K$2:$Q$2,0)))),"")</f>
        <v/>
      </c>
      <c r="Y96" s="261"/>
      <c r="Z96" s="261"/>
      <c r="AA96" s="179" t="str">
        <f t="shared" si="10"/>
        <v/>
      </c>
      <c r="AB96" s="262" t="str">
        <f t="shared" si="11"/>
        <v/>
      </c>
      <c r="AC96" s="263" t="str">
        <f t="shared" si="8"/>
        <v/>
      </c>
      <c r="AD96" s="239" t="str">
        <f>IF(M96="","",VLOOKUP(M96,'G-6 Hedgerow Data'!$B$3:$AG$15,31,FALSE))</f>
        <v/>
      </c>
      <c r="AE96" s="179" t="str">
        <f t="shared" si="12"/>
        <v/>
      </c>
      <c r="AF96" s="179" t="str">
        <f t="shared" si="13"/>
        <v/>
      </c>
      <c r="AG96" s="176" t="str">
        <f>IFERROR(IF(O96="","",VLOOKUP(AD96,'G-3 Multipliers'!$P$3:$Q$6,2,FALSE)),"")</f>
        <v/>
      </c>
      <c r="AH96" s="207" t="str">
        <f t="shared" si="9"/>
        <v/>
      </c>
      <c r="AI96" s="336"/>
      <c r="AJ96" s="181"/>
      <c r="AT96" s="35" t="str">
        <f>IFERROR(INDEX('G-6 Hedgerow Data'!$BJ$3:$BJ$15,MATCH(M96,'G-6 Hedgerow Data'!$B$3:$B$15,0)),"")</f>
        <v/>
      </c>
    </row>
    <row r="97" spans="2:46" ht="13.8" x14ac:dyDescent="0.25">
      <c r="B97" s="259" t="str">
        <f>'B-1 Site Hedge Baseline'!AK95</f>
        <v/>
      </c>
      <c r="C97" s="175" t="str">
        <f>IF(B97="","",IF(ISNA(VLOOKUP($B97,'B-1 Site Hedge Baseline'!$B$1:$L$257,3,FALSE)),"",(VLOOKUP($B97,'B-1 Site Hedge Baseline'!$B$1:$L$257,3,FALSE))))</f>
        <v/>
      </c>
      <c r="D97" s="175" t="str">
        <f>IF(B97="","",IF(ISNA(VLOOKUP($B97,'B-1 Site Hedge Baseline'!$B$1:$L$257,4,FALSE)),"",(VLOOKUP($B97,'B-1 Site Hedge Baseline'!$B$1:$L$257,4,FALSE))))</f>
        <v/>
      </c>
      <c r="E97" s="175" t="str">
        <f>IF(B97="","",IF(ISNA(VLOOKUP($B97,'B-1 Site Hedge Baseline'!$B$1:$L$257,5,FALSE)),"",(VLOOKUP($B97,'B-1 Site Hedge Baseline'!$B$1:$L$257,5,FALSE))))</f>
        <v/>
      </c>
      <c r="F97" s="175" t="str">
        <f>IF(B97="","",IF(ISNA(VLOOKUP($B97,'B-1 Site Hedge Baseline'!$B$1:$L$257,6,FALSE)),"",(VLOOKUP($B97,'B-1 Site Hedge Baseline'!$B$1:$L$257,6,FALSE))))</f>
        <v/>
      </c>
      <c r="G97" s="175" t="str">
        <f>IF(B97="","",IF(ISNA(VLOOKUP($B97,'B-1 Site Hedge Baseline'!$B$1:$L$257,7,FALSE)),"",(VLOOKUP($B97,'B-1 Site Hedge Baseline'!$B$1:$L$257,7,FALSE))))</f>
        <v/>
      </c>
      <c r="H97" s="175" t="str">
        <f>IF(B97="","",IF(ISNA(VLOOKUP($B97,'B-1 Site Hedge Baseline'!$B$1:$L$257,8,FALSE)),"",(VLOOKUP($B97,'B-1 Site Hedge Baseline'!$B$1:$L$257,8,FALSE))))</f>
        <v/>
      </c>
      <c r="I97" s="175" t="str">
        <f>IF(B97="","",IF(ISNA(VLOOKUP($B97,'B-1 Site Hedge Baseline'!$B$1:$L$257,10,FALSE)),"",(VLOOKUP($B97,'B-1 Site Hedge Baseline'!$B$1:$L$257,10,FALSE))))</f>
        <v/>
      </c>
      <c r="J97" s="175" t="str">
        <f>IF(B97="","",IF(ISNA(VLOOKUP($B97,'B-1 Site Hedge Baseline'!$B$1:$L$257,11,FALSE)),"",(VLOOKUP($B97,'B-1 Site Hedge Baseline'!$B$1:$L$257,11,FALSE))))</f>
        <v/>
      </c>
      <c r="K97" s="175" t="str">
        <f>IF(B97="","",IF(ISNA(VLOOKUP($B97,'B-1 Site Hedge Baseline'!$B$1:$U$257,13,FALSE)),"",(VLOOKUP($B97,'B-1 Site Hedge Baseline'!$B$1:$U$257,13,FALSE))))</f>
        <v/>
      </c>
      <c r="L97" s="176" t="str">
        <f>IF(B97="","",IF(ISNA(VLOOKUP($B97,'B-1 Site Hedge Baseline'!$B$1:$U$257,12,FALSE)),"",(VLOOKUP($B97,'B-1 Site Hedge Baseline'!$B$1:$U$257,12,FALSE))))</f>
        <v/>
      </c>
      <c r="M97" s="637"/>
      <c r="N97" s="171" t="str">
        <f>IFERROR(IF(B97="","",INDEX('G-6 Hedgerow Data'!$AN$3:$AZ$15,MATCH(C97,'G-6 Hedgerow Data'!$AM$3:$AM$15,0),MATCH(M97,'G-6 Hedgerow Data'!$AN$2:$AZ$2,0))),"")</f>
        <v/>
      </c>
      <c r="O97" s="172" t="str">
        <f t="shared" si="7"/>
        <v/>
      </c>
      <c r="P97" s="642" t="str">
        <f>IF(B97="","",VLOOKUP(B97,'B-1 Site Hedge Baseline'!$B$10:T342,16,FALSE))</f>
        <v/>
      </c>
      <c r="Q97" s="171" t="str">
        <f>IF(M97="","",VLOOKUP(M97,'G-6 Hedgerow Data'!$B$2:$AG$15,2,FALSE))</f>
        <v/>
      </c>
      <c r="R97" s="172" t="str">
        <f>IF(M97="","",VLOOKUP(M97,'G-6 Hedgerow Data'!$B$2:$AG$15,3,FALSE))</f>
        <v/>
      </c>
      <c r="S97" s="189"/>
      <c r="T97" s="269" t="str">
        <f>IFERROR(VLOOKUP(S97,'G-1 All Habitats'!$Z$2:$AA$9,2,FALSE),"")</f>
        <v/>
      </c>
      <c r="U97" s="186"/>
      <c r="V97" s="175" t="str">
        <f>IF(U97="","",IF(VLOOKUP(U97,'G-3 Multipliers'!$L$3:$N$6,2,FALSE)=0,"Spatial Data Missing",VLOOKUP(U97,'G-3 Multipliers'!$L$3:$N$6,2,FALSE)))</f>
        <v/>
      </c>
      <c r="W97" s="176" t="str">
        <f>IF(U97="","",IF(VLOOKUP(U97,'G-3 Multipliers'!$L$3:$N$6,3,FALSE)=0,"Spatial Data Missing",VLOOKUP(U97,'G-3 Multipliers'!$L$3:$N$6,3,FALSE)))</f>
        <v/>
      </c>
      <c r="X97" s="171" t="str">
        <f>IFERROR(IF(OR(LEFT(O97,5)="Error",LEFT(N97,5)="Error",T97="Error"),"Check Data",IF(F97&lt;R97,INDEX('G-6 Hedgerow Data'!$S$3:$AE$14,MATCH(C97,'G-6 Hedgerow Data'!$B$3:$B$14,0),MATCH(M97,'G-6 Hedgerow Data'!$S$2:$AE$2,0)),INDEX('G-6 Hedgerow Data'!$K$3:$Q$14,MATCH(M97,'G-6 Hedgerow Data'!$B$3:$B$14,0),MATCH(O97,'G-6 Hedgerow Data'!$K$2:$Q$2,0)))),"")</f>
        <v/>
      </c>
      <c r="Y97" s="261"/>
      <c r="Z97" s="261"/>
      <c r="AA97" s="179" t="str">
        <f t="shared" si="10"/>
        <v/>
      </c>
      <c r="AB97" s="262" t="str">
        <f t="shared" si="11"/>
        <v/>
      </c>
      <c r="AC97" s="263" t="str">
        <f t="shared" si="8"/>
        <v/>
      </c>
      <c r="AD97" s="239" t="str">
        <f>IF(M97="","",VLOOKUP(M97,'G-6 Hedgerow Data'!$B$3:$AG$15,31,FALSE))</f>
        <v/>
      </c>
      <c r="AE97" s="179" t="str">
        <f t="shared" si="12"/>
        <v/>
      </c>
      <c r="AF97" s="179" t="str">
        <f t="shared" si="13"/>
        <v/>
      </c>
      <c r="AG97" s="176" t="str">
        <f>IFERROR(IF(O97="","",VLOOKUP(AD97,'G-3 Multipliers'!$P$3:$Q$6,2,FALSE)),"")</f>
        <v/>
      </c>
      <c r="AH97" s="207" t="str">
        <f t="shared" si="9"/>
        <v/>
      </c>
      <c r="AI97" s="336"/>
      <c r="AJ97" s="181"/>
      <c r="AT97" s="35" t="str">
        <f>IFERROR(INDEX('G-6 Hedgerow Data'!$BJ$3:$BJ$15,MATCH(M97,'G-6 Hedgerow Data'!$B$3:$B$15,0)),"")</f>
        <v/>
      </c>
    </row>
    <row r="98" spans="2:46" ht="13.8" x14ac:dyDescent="0.25">
      <c r="B98" s="259" t="str">
        <f>'B-1 Site Hedge Baseline'!AK96</f>
        <v/>
      </c>
      <c r="C98" s="175" t="str">
        <f>IF(B98="","",IF(ISNA(VLOOKUP($B98,'B-1 Site Hedge Baseline'!$B$1:$L$257,3,FALSE)),"",(VLOOKUP($B98,'B-1 Site Hedge Baseline'!$B$1:$L$257,3,FALSE))))</f>
        <v/>
      </c>
      <c r="D98" s="175" t="str">
        <f>IF(B98="","",IF(ISNA(VLOOKUP($B98,'B-1 Site Hedge Baseline'!$B$1:$L$257,4,FALSE)),"",(VLOOKUP($B98,'B-1 Site Hedge Baseline'!$B$1:$L$257,4,FALSE))))</f>
        <v/>
      </c>
      <c r="E98" s="175" t="str">
        <f>IF(B98="","",IF(ISNA(VLOOKUP($B98,'B-1 Site Hedge Baseline'!$B$1:$L$257,5,FALSE)),"",(VLOOKUP($B98,'B-1 Site Hedge Baseline'!$B$1:$L$257,5,FALSE))))</f>
        <v/>
      </c>
      <c r="F98" s="175" t="str">
        <f>IF(B98="","",IF(ISNA(VLOOKUP($B98,'B-1 Site Hedge Baseline'!$B$1:$L$257,6,FALSE)),"",(VLOOKUP($B98,'B-1 Site Hedge Baseline'!$B$1:$L$257,6,FALSE))))</f>
        <v/>
      </c>
      <c r="G98" s="175" t="str">
        <f>IF(B98="","",IF(ISNA(VLOOKUP($B98,'B-1 Site Hedge Baseline'!$B$1:$L$257,7,FALSE)),"",(VLOOKUP($B98,'B-1 Site Hedge Baseline'!$B$1:$L$257,7,FALSE))))</f>
        <v/>
      </c>
      <c r="H98" s="175" t="str">
        <f>IF(B98="","",IF(ISNA(VLOOKUP($B98,'B-1 Site Hedge Baseline'!$B$1:$L$257,8,FALSE)),"",(VLOOKUP($B98,'B-1 Site Hedge Baseline'!$B$1:$L$257,8,FALSE))))</f>
        <v/>
      </c>
      <c r="I98" s="175" t="str">
        <f>IF(B98="","",IF(ISNA(VLOOKUP($B98,'B-1 Site Hedge Baseline'!$B$1:$L$257,10,FALSE)),"",(VLOOKUP($B98,'B-1 Site Hedge Baseline'!$B$1:$L$257,10,FALSE))))</f>
        <v/>
      </c>
      <c r="J98" s="175" t="str">
        <f>IF(B98="","",IF(ISNA(VLOOKUP($B98,'B-1 Site Hedge Baseline'!$B$1:$L$257,11,FALSE)),"",(VLOOKUP($B98,'B-1 Site Hedge Baseline'!$B$1:$L$257,11,FALSE))))</f>
        <v/>
      </c>
      <c r="K98" s="175" t="str">
        <f>IF(B98="","",IF(ISNA(VLOOKUP($B98,'B-1 Site Hedge Baseline'!$B$1:$U$257,13,FALSE)),"",(VLOOKUP($B98,'B-1 Site Hedge Baseline'!$B$1:$U$257,13,FALSE))))</f>
        <v/>
      </c>
      <c r="L98" s="176" t="str">
        <f>IF(B98="","",IF(ISNA(VLOOKUP($B98,'B-1 Site Hedge Baseline'!$B$1:$U$257,12,FALSE)),"",(VLOOKUP($B98,'B-1 Site Hedge Baseline'!$B$1:$U$257,12,FALSE))))</f>
        <v/>
      </c>
      <c r="M98" s="637"/>
      <c r="N98" s="171" t="str">
        <f>IFERROR(IF(B98="","",INDEX('G-6 Hedgerow Data'!$AN$3:$AZ$15,MATCH(C98,'G-6 Hedgerow Data'!$AM$3:$AM$15,0),MATCH(M98,'G-6 Hedgerow Data'!$AN$2:$AZ$2,0))),"")</f>
        <v/>
      </c>
      <c r="O98" s="172" t="str">
        <f t="shared" si="7"/>
        <v/>
      </c>
      <c r="P98" s="642" t="str">
        <f>IF(B98="","",VLOOKUP(B98,'B-1 Site Hedge Baseline'!$B$10:T343,16,FALSE))</f>
        <v/>
      </c>
      <c r="Q98" s="171" t="str">
        <f>IF(M98="","",VLOOKUP(M98,'G-6 Hedgerow Data'!$B$2:$AG$15,2,FALSE))</f>
        <v/>
      </c>
      <c r="R98" s="172" t="str">
        <f>IF(M98="","",VLOOKUP(M98,'G-6 Hedgerow Data'!$B$2:$AG$15,3,FALSE))</f>
        <v/>
      </c>
      <c r="S98" s="189"/>
      <c r="T98" s="269" t="str">
        <f>IFERROR(VLOOKUP(S98,'G-1 All Habitats'!$Z$2:$AA$9,2,FALSE),"")</f>
        <v/>
      </c>
      <c r="U98" s="186"/>
      <c r="V98" s="175" t="str">
        <f>IF(U98="","",IF(VLOOKUP(U98,'G-3 Multipliers'!$L$3:$N$6,2,FALSE)=0,"Spatial Data Missing",VLOOKUP(U98,'G-3 Multipliers'!$L$3:$N$6,2,FALSE)))</f>
        <v/>
      </c>
      <c r="W98" s="176" t="str">
        <f>IF(U98="","",IF(VLOOKUP(U98,'G-3 Multipliers'!$L$3:$N$6,3,FALSE)=0,"Spatial Data Missing",VLOOKUP(U98,'G-3 Multipliers'!$L$3:$N$6,3,FALSE)))</f>
        <v/>
      </c>
      <c r="X98" s="171" t="str">
        <f>IFERROR(IF(OR(LEFT(O98,5)="Error",LEFT(N98,5)="Error",T98="Error"),"Check Data",IF(F98&lt;R98,INDEX('G-6 Hedgerow Data'!$S$3:$AE$14,MATCH(C98,'G-6 Hedgerow Data'!$B$3:$B$14,0),MATCH(M98,'G-6 Hedgerow Data'!$S$2:$AE$2,0)),INDEX('G-6 Hedgerow Data'!$K$3:$Q$14,MATCH(M98,'G-6 Hedgerow Data'!$B$3:$B$14,0),MATCH(O98,'G-6 Hedgerow Data'!$K$2:$Q$2,0)))),"")</f>
        <v/>
      </c>
      <c r="Y98" s="261"/>
      <c r="Z98" s="261"/>
      <c r="AA98" s="179" t="str">
        <f t="shared" si="10"/>
        <v/>
      </c>
      <c r="AB98" s="262" t="str">
        <f t="shared" si="11"/>
        <v/>
      </c>
      <c r="AC98" s="263" t="str">
        <f t="shared" si="8"/>
        <v/>
      </c>
      <c r="AD98" s="239" t="str">
        <f>IF(M98="","",VLOOKUP(M98,'G-6 Hedgerow Data'!$B$3:$AG$15,31,FALSE))</f>
        <v/>
      </c>
      <c r="AE98" s="179" t="str">
        <f t="shared" si="12"/>
        <v/>
      </c>
      <c r="AF98" s="179" t="str">
        <f t="shared" si="13"/>
        <v/>
      </c>
      <c r="AG98" s="176" t="str">
        <f>IFERROR(IF(O98="","",VLOOKUP(AD98,'G-3 Multipliers'!$P$3:$Q$6,2,FALSE)),"")</f>
        <v/>
      </c>
      <c r="AH98" s="207" t="str">
        <f t="shared" si="9"/>
        <v/>
      </c>
      <c r="AI98" s="336"/>
      <c r="AJ98" s="181"/>
      <c r="AT98" s="35" t="str">
        <f>IFERROR(INDEX('G-6 Hedgerow Data'!$BJ$3:$BJ$15,MATCH(M98,'G-6 Hedgerow Data'!$B$3:$B$15,0)),"")</f>
        <v/>
      </c>
    </row>
    <row r="99" spans="2:46" ht="13.8" x14ac:dyDescent="0.25">
      <c r="B99" s="259" t="str">
        <f>'B-1 Site Hedge Baseline'!AK97</f>
        <v/>
      </c>
      <c r="C99" s="175" t="str">
        <f>IF(B99="","",IF(ISNA(VLOOKUP($B99,'B-1 Site Hedge Baseline'!$B$1:$L$257,3,FALSE)),"",(VLOOKUP($B99,'B-1 Site Hedge Baseline'!$B$1:$L$257,3,FALSE))))</f>
        <v/>
      </c>
      <c r="D99" s="175" t="str">
        <f>IF(B99="","",IF(ISNA(VLOOKUP($B99,'B-1 Site Hedge Baseline'!$B$1:$L$257,4,FALSE)),"",(VLOOKUP($B99,'B-1 Site Hedge Baseline'!$B$1:$L$257,4,FALSE))))</f>
        <v/>
      </c>
      <c r="E99" s="175" t="str">
        <f>IF(B99="","",IF(ISNA(VLOOKUP($B99,'B-1 Site Hedge Baseline'!$B$1:$L$257,5,FALSE)),"",(VLOOKUP($B99,'B-1 Site Hedge Baseline'!$B$1:$L$257,5,FALSE))))</f>
        <v/>
      </c>
      <c r="F99" s="175" t="str">
        <f>IF(B99="","",IF(ISNA(VLOOKUP($B99,'B-1 Site Hedge Baseline'!$B$1:$L$257,6,FALSE)),"",(VLOOKUP($B99,'B-1 Site Hedge Baseline'!$B$1:$L$257,6,FALSE))))</f>
        <v/>
      </c>
      <c r="G99" s="175" t="str">
        <f>IF(B99="","",IF(ISNA(VLOOKUP($B99,'B-1 Site Hedge Baseline'!$B$1:$L$257,7,FALSE)),"",(VLOOKUP($B99,'B-1 Site Hedge Baseline'!$B$1:$L$257,7,FALSE))))</f>
        <v/>
      </c>
      <c r="H99" s="175" t="str">
        <f>IF(B99="","",IF(ISNA(VLOOKUP($B99,'B-1 Site Hedge Baseline'!$B$1:$L$257,8,FALSE)),"",(VLOOKUP($B99,'B-1 Site Hedge Baseline'!$B$1:$L$257,8,FALSE))))</f>
        <v/>
      </c>
      <c r="I99" s="175" t="str">
        <f>IF(B99="","",IF(ISNA(VLOOKUP($B99,'B-1 Site Hedge Baseline'!$B$1:$L$257,10,FALSE)),"",(VLOOKUP($B99,'B-1 Site Hedge Baseline'!$B$1:$L$257,10,FALSE))))</f>
        <v/>
      </c>
      <c r="J99" s="175" t="str">
        <f>IF(B99="","",IF(ISNA(VLOOKUP($B99,'B-1 Site Hedge Baseline'!$B$1:$L$257,11,FALSE)),"",(VLOOKUP($B99,'B-1 Site Hedge Baseline'!$B$1:$L$257,11,FALSE))))</f>
        <v/>
      </c>
      <c r="K99" s="175" t="str">
        <f>IF(B99="","",IF(ISNA(VLOOKUP($B99,'B-1 Site Hedge Baseline'!$B$1:$U$257,13,FALSE)),"",(VLOOKUP($B99,'B-1 Site Hedge Baseline'!$B$1:$U$257,13,FALSE))))</f>
        <v/>
      </c>
      <c r="L99" s="176" t="str">
        <f>IF(B99="","",IF(ISNA(VLOOKUP($B99,'B-1 Site Hedge Baseline'!$B$1:$U$257,12,FALSE)),"",(VLOOKUP($B99,'B-1 Site Hedge Baseline'!$B$1:$U$257,12,FALSE))))</f>
        <v/>
      </c>
      <c r="M99" s="637"/>
      <c r="N99" s="171" t="str">
        <f>IFERROR(IF(B99="","",INDEX('G-6 Hedgerow Data'!$AN$3:$AZ$15,MATCH(C99,'G-6 Hedgerow Data'!$AM$3:$AM$15,0),MATCH(M99,'G-6 Hedgerow Data'!$AN$2:$AZ$2,0))),"")</f>
        <v/>
      </c>
      <c r="O99" s="172" t="str">
        <f t="shared" si="7"/>
        <v/>
      </c>
      <c r="P99" s="642" t="str">
        <f>IF(B99="","",VLOOKUP(B99,'B-1 Site Hedge Baseline'!$B$10:T344,16,FALSE))</f>
        <v/>
      </c>
      <c r="Q99" s="171" t="str">
        <f>IF(M99="","",VLOOKUP(M99,'G-6 Hedgerow Data'!$B$2:$AG$15,2,FALSE))</f>
        <v/>
      </c>
      <c r="R99" s="172" t="str">
        <f>IF(M99="","",VLOOKUP(M99,'G-6 Hedgerow Data'!$B$2:$AG$15,3,FALSE))</f>
        <v/>
      </c>
      <c r="S99" s="189"/>
      <c r="T99" s="269" t="str">
        <f>IFERROR(VLOOKUP(S99,'G-1 All Habitats'!$Z$2:$AA$9,2,FALSE),"")</f>
        <v/>
      </c>
      <c r="U99" s="186"/>
      <c r="V99" s="175" t="str">
        <f>IF(U99="","",IF(VLOOKUP(U99,'G-3 Multipliers'!$L$3:$N$6,2,FALSE)=0,"Spatial Data Missing",VLOOKUP(U99,'G-3 Multipliers'!$L$3:$N$6,2,FALSE)))</f>
        <v/>
      </c>
      <c r="W99" s="176" t="str">
        <f>IF(U99="","",IF(VLOOKUP(U99,'G-3 Multipliers'!$L$3:$N$6,3,FALSE)=0,"Spatial Data Missing",VLOOKUP(U99,'G-3 Multipliers'!$L$3:$N$6,3,FALSE)))</f>
        <v/>
      </c>
      <c r="X99" s="171" t="str">
        <f>IFERROR(IF(OR(LEFT(O99,5)="Error",LEFT(N99,5)="Error",T99="Error"),"Check Data",IF(F99&lt;R99,INDEX('G-6 Hedgerow Data'!$S$3:$AE$14,MATCH(C99,'G-6 Hedgerow Data'!$B$3:$B$14,0),MATCH(M99,'G-6 Hedgerow Data'!$S$2:$AE$2,0)),INDEX('G-6 Hedgerow Data'!$K$3:$Q$14,MATCH(M99,'G-6 Hedgerow Data'!$B$3:$B$14,0),MATCH(O99,'G-6 Hedgerow Data'!$K$2:$Q$2,0)))),"")</f>
        <v/>
      </c>
      <c r="Y99" s="261"/>
      <c r="Z99" s="261"/>
      <c r="AA99" s="179" t="str">
        <f t="shared" si="10"/>
        <v/>
      </c>
      <c r="AB99" s="262" t="str">
        <f t="shared" si="11"/>
        <v/>
      </c>
      <c r="AC99" s="263" t="str">
        <f t="shared" si="8"/>
        <v/>
      </c>
      <c r="AD99" s="239" t="str">
        <f>IF(M99="","",VLOOKUP(M99,'G-6 Hedgerow Data'!$B$3:$AG$15,31,FALSE))</f>
        <v/>
      </c>
      <c r="AE99" s="179" t="str">
        <f t="shared" si="12"/>
        <v/>
      </c>
      <c r="AF99" s="179" t="str">
        <f t="shared" si="13"/>
        <v/>
      </c>
      <c r="AG99" s="176" t="str">
        <f>IFERROR(IF(O99="","",VLOOKUP(AD99,'G-3 Multipliers'!$P$3:$Q$6,2,FALSE)),"")</f>
        <v/>
      </c>
      <c r="AH99" s="207" t="str">
        <f t="shared" si="9"/>
        <v/>
      </c>
      <c r="AI99" s="336"/>
      <c r="AJ99" s="181"/>
      <c r="AT99" s="35" t="str">
        <f>IFERROR(INDEX('G-6 Hedgerow Data'!$BJ$3:$BJ$15,MATCH(M99,'G-6 Hedgerow Data'!$B$3:$B$15,0)),"")</f>
        <v/>
      </c>
    </row>
    <row r="100" spans="2:46" ht="13.8" x14ac:dyDescent="0.25">
      <c r="B100" s="259" t="str">
        <f>'B-1 Site Hedge Baseline'!AK98</f>
        <v/>
      </c>
      <c r="C100" s="175" t="str">
        <f>IF(B100="","",IF(ISNA(VLOOKUP($B100,'B-1 Site Hedge Baseline'!$B$1:$L$257,3,FALSE)),"",(VLOOKUP($B100,'B-1 Site Hedge Baseline'!$B$1:$L$257,3,FALSE))))</f>
        <v/>
      </c>
      <c r="D100" s="175" t="str">
        <f>IF(B100="","",IF(ISNA(VLOOKUP($B100,'B-1 Site Hedge Baseline'!$B$1:$L$257,4,FALSE)),"",(VLOOKUP($B100,'B-1 Site Hedge Baseline'!$B$1:$L$257,4,FALSE))))</f>
        <v/>
      </c>
      <c r="E100" s="175" t="str">
        <f>IF(B100="","",IF(ISNA(VLOOKUP($B100,'B-1 Site Hedge Baseline'!$B$1:$L$257,5,FALSE)),"",(VLOOKUP($B100,'B-1 Site Hedge Baseline'!$B$1:$L$257,5,FALSE))))</f>
        <v/>
      </c>
      <c r="F100" s="175" t="str">
        <f>IF(B100="","",IF(ISNA(VLOOKUP($B100,'B-1 Site Hedge Baseline'!$B$1:$L$257,6,FALSE)),"",(VLOOKUP($B100,'B-1 Site Hedge Baseline'!$B$1:$L$257,6,FALSE))))</f>
        <v/>
      </c>
      <c r="G100" s="175" t="str">
        <f>IF(B100="","",IF(ISNA(VLOOKUP($B100,'B-1 Site Hedge Baseline'!$B$1:$L$257,7,FALSE)),"",(VLOOKUP($B100,'B-1 Site Hedge Baseline'!$B$1:$L$257,7,FALSE))))</f>
        <v/>
      </c>
      <c r="H100" s="175" t="str">
        <f>IF(B100="","",IF(ISNA(VLOOKUP($B100,'B-1 Site Hedge Baseline'!$B$1:$L$257,8,FALSE)),"",(VLOOKUP($B100,'B-1 Site Hedge Baseline'!$B$1:$L$257,8,FALSE))))</f>
        <v/>
      </c>
      <c r="I100" s="175" t="str">
        <f>IF(B100="","",IF(ISNA(VLOOKUP($B100,'B-1 Site Hedge Baseline'!$B$1:$L$257,10,FALSE)),"",(VLOOKUP($B100,'B-1 Site Hedge Baseline'!$B$1:$L$257,10,FALSE))))</f>
        <v/>
      </c>
      <c r="J100" s="175" t="str">
        <f>IF(B100="","",IF(ISNA(VLOOKUP($B100,'B-1 Site Hedge Baseline'!$B$1:$L$257,11,FALSE)),"",(VLOOKUP($B100,'B-1 Site Hedge Baseline'!$B$1:$L$257,11,FALSE))))</f>
        <v/>
      </c>
      <c r="K100" s="175" t="str">
        <f>IF(B100="","",IF(ISNA(VLOOKUP($B100,'B-1 Site Hedge Baseline'!$B$1:$U$257,13,FALSE)),"",(VLOOKUP($B100,'B-1 Site Hedge Baseline'!$B$1:$U$257,13,FALSE))))</f>
        <v/>
      </c>
      <c r="L100" s="176" t="str">
        <f>IF(B100="","",IF(ISNA(VLOOKUP($B100,'B-1 Site Hedge Baseline'!$B$1:$U$257,12,FALSE)),"",(VLOOKUP($B100,'B-1 Site Hedge Baseline'!$B$1:$U$257,12,FALSE))))</f>
        <v/>
      </c>
      <c r="M100" s="637"/>
      <c r="N100" s="171" t="str">
        <f>IFERROR(IF(B100="","",INDEX('G-6 Hedgerow Data'!$AN$3:$AZ$15,MATCH(C100,'G-6 Hedgerow Data'!$AM$3:$AM$15,0),MATCH(M100,'G-6 Hedgerow Data'!$AN$2:$AZ$2,0))),"")</f>
        <v/>
      </c>
      <c r="O100" s="172" t="str">
        <f t="shared" si="7"/>
        <v/>
      </c>
      <c r="P100" s="642" t="str">
        <f>IF(B100="","",VLOOKUP(B100,'B-1 Site Hedge Baseline'!$B$10:T345,16,FALSE))</f>
        <v/>
      </c>
      <c r="Q100" s="171" t="str">
        <f>IF(M100="","",VLOOKUP(M100,'G-6 Hedgerow Data'!$B$2:$AG$15,2,FALSE))</f>
        <v/>
      </c>
      <c r="R100" s="172" t="str">
        <f>IF(M100="","",VLOOKUP(M100,'G-6 Hedgerow Data'!$B$2:$AG$15,3,FALSE))</f>
        <v/>
      </c>
      <c r="S100" s="189"/>
      <c r="T100" s="269" t="str">
        <f>IFERROR(VLOOKUP(S100,'G-1 All Habitats'!$Z$2:$AA$9,2,FALSE),"")</f>
        <v/>
      </c>
      <c r="U100" s="186"/>
      <c r="V100" s="175" t="str">
        <f>IF(U100="","",IF(VLOOKUP(U100,'G-3 Multipliers'!$L$3:$N$6,2,FALSE)=0,"Spatial Data Missing",VLOOKUP(U100,'G-3 Multipliers'!$L$3:$N$6,2,FALSE)))</f>
        <v/>
      </c>
      <c r="W100" s="176" t="str">
        <f>IF(U100="","",IF(VLOOKUP(U100,'G-3 Multipliers'!$L$3:$N$6,3,FALSE)=0,"Spatial Data Missing",VLOOKUP(U100,'G-3 Multipliers'!$L$3:$N$6,3,FALSE)))</f>
        <v/>
      </c>
      <c r="X100" s="171" t="str">
        <f>IFERROR(IF(OR(LEFT(O100,5)="Error",LEFT(N100,5)="Error",T100="Error"),"Check Data",IF(F100&lt;R100,INDEX('G-6 Hedgerow Data'!$S$3:$AE$14,MATCH(C100,'G-6 Hedgerow Data'!$B$3:$B$14,0),MATCH(M100,'G-6 Hedgerow Data'!$S$2:$AE$2,0)),INDEX('G-6 Hedgerow Data'!$K$3:$Q$14,MATCH(M100,'G-6 Hedgerow Data'!$B$3:$B$14,0),MATCH(O100,'G-6 Hedgerow Data'!$K$2:$Q$2,0)))),"")</f>
        <v/>
      </c>
      <c r="Y100" s="261"/>
      <c r="Z100" s="261"/>
      <c r="AA100" s="179" t="str">
        <f t="shared" si="10"/>
        <v/>
      </c>
      <c r="AB100" s="262" t="str">
        <f t="shared" si="11"/>
        <v/>
      </c>
      <c r="AC100" s="263" t="str">
        <f t="shared" si="8"/>
        <v/>
      </c>
      <c r="AD100" s="239" t="str">
        <f>IF(M100="","",VLOOKUP(M100,'G-6 Hedgerow Data'!$B$3:$AG$15,31,FALSE))</f>
        <v/>
      </c>
      <c r="AE100" s="179" t="str">
        <f t="shared" si="12"/>
        <v/>
      </c>
      <c r="AF100" s="179" t="str">
        <f t="shared" si="13"/>
        <v/>
      </c>
      <c r="AG100" s="176" t="str">
        <f>IFERROR(IF(O100="","",VLOOKUP(AD100,'G-3 Multipliers'!$P$3:$Q$6,2,FALSE)),"")</f>
        <v/>
      </c>
      <c r="AH100" s="207" t="str">
        <f t="shared" si="9"/>
        <v/>
      </c>
      <c r="AI100" s="336"/>
      <c r="AJ100" s="181"/>
      <c r="AT100" s="35" t="str">
        <f>IFERROR(INDEX('G-6 Hedgerow Data'!$BJ$3:$BJ$15,MATCH(M100,'G-6 Hedgerow Data'!$B$3:$B$15,0)),"")</f>
        <v/>
      </c>
    </row>
    <row r="101" spans="2:46" ht="13.8" x14ac:dyDescent="0.25">
      <c r="B101" s="259" t="str">
        <f>'B-1 Site Hedge Baseline'!AK99</f>
        <v/>
      </c>
      <c r="C101" s="175" t="str">
        <f>IF(B101="","",IF(ISNA(VLOOKUP($B101,'B-1 Site Hedge Baseline'!$B$1:$L$257,3,FALSE)),"",(VLOOKUP($B101,'B-1 Site Hedge Baseline'!$B$1:$L$257,3,FALSE))))</f>
        <v/>
      </c>
      <c r="D101" s="175" t="str">
        <f>IF(B101="","",IF(ISNA(VLOOKUP($B101,'B-1 Site Hedge Baseline'!$B$1:$L$257,4,FALSE)),"",(VLOOKUP($B101,'B-1 Site Hedge Baseline'!$B$1:$L$257,4,FALSE))))</f>
        <v/>
      </c>
      <c r="E101" s="175" t="str">
        <f>IF(B101="","",IF(ISNA(VLOOKUP($B101,'B-1 Site Hedge Baseline'!$B$1:$L$257,5,FALSE)),"",(VLOOKUP($B101,'B-1 Site Hedge Baseline'!$B$1:$L$257,5,FALSE))))</f>
        <v/>
      </c>
      <c r="F101" s="175" t="str">
        <f>IF(B101="","",IF(ISNA(VLOOKUP($B101,'B-1 Site Hedge Baseline'!$B$1:$L$257,6,FALSE)),"",(VLOOKUP($B101,'B-1 Site Hedge Baseline'!$B$1:$L$257,6,FALSE))))</f>
        <v/>
      </c>
      <c r="G101" s="175" t="str">
        <f>IF(B101="","",IF(ISNA(VLOOKUP($B101,'B-1 Site Hedge Baseline'!$B$1:$L$257,7,FALSE)),"",(VLOOKUP($B101,'B-1 Site Hedge Baseline'!$B$1:$L$257,7,FALSE))))</f>
        <v/>
      </c>
      <c r="H101" s="175" t="str">
        <f>IF(B101="","",IF(ISNA(VLOOKUP($B101,'B-1 Site Hedge Baseline'!$B$1:$L$257,8,FALSE)),"",(VLOOKUP($B101,'B-1 Site Hedge Baseline'!$B$1:$L$257,8,FALSE))))</f>
        <v/>
      </c>
      <c r="I101" s="175" t="str">
        <f>IF(B101="","",IF(ISNA(VLOOKUP($B101,'B-1 Site Hedge Baseline'!$B$1:$L$257,10,FALSE)),"",(VLOOKUP($B101,'B-1 Site Hedge Baseline'!$B$1:$L$257,10,FALSE))))</f>
        <v/>
      </c>
      <c r="J101" s="175" t="str">
        <f>IF(B101="","",IF(ISNA(VLOOKUP($B101,'B-1 Site Hedge Baseline'!$B$1:$L$257,11,FALSE)),"",(VLOOKUP($B101,'B-1 Site Hedge Baseline'!$B$1:$L$257,11,FALSE))))</f>
        <v/>
      </c>
      <c r="K101" s="175" t="str">
        <f>IF(B101="","",IF(ISNA(VLOOKUP($B101,'B-1 Site Hedge Baseline'!$B$1:$U$257,13,FALSE)),"",(VLOOKUP($B101,'B-1 Site Hedge Baseline'!$B$1:$U$257,13,FALSE))))</f>
        <v/>
      </c>
      <c r="L101" s="176" t="str">
        <f>IF(B101="","",IF(ISNA(VLOOKUP($B101,'B-1 Site Hedge Baseline'!$B$1:$U$257,12,FALSE)),"",(VLOOKUP($B101,'B-1 Site Hedge Baseline'!$B$1:$U$257,12,FALSE))))</f>
        <v/>
      </c>
      <c r="M101" s="637"/>
      <c r="N101" s="171" t="str">
        <f>IFERROR(IF(B101="","",INDEX('G-6 Hedgerow Data'!$AN$3:$AZ$15,MATCH(C101,'G-6 Hedgerow Data'!$AM$3:$AM$15,0),MATCH(M101,'G-6 Hedgerow Data'!$AN$2:$AZ$2,0))),"")</f>
        <v/>
      </c>
      <c r="O101" s="172" t="str">
        <f t="shared" si="7"/>
        <v/>
      </c>
      <c r="P101" s="642" t="str">
        <f>IF(B101="","",VLOOKUP(B101,'B-1 Site Hedge Baseline'!$B$10:T346,16,FALSE))</f>
        <v/>
      </c>
      <c r="Q101" s="171" t="str">
        <f>IF(M101="","",VLOOKUP(M101,'G-6 Hedgerow Data'!$B$2:$AG$15,2,FALSE))</f>
        <v/>
      </c>
      <c r="R101" s="172" t="str">
        <f>IF(M101="","",VLOOKUP(M101,'G-6 Hedgerow Data'!$B$2:$AG$15,3,FALSE))</f>
        <v/>
      </c>
      <c r="S101" s="189"/>
      <c r="T101" s="269" t="str">
        <f>IFERROR(VLOOKUP(S101,'G-1 All Habitats'!$Z$2:$AA$9,2,FALSE),"")</f>
        <v/>
      </c>
      <c r="U101" s="186"/>
      <c r="V101" s="175" t="str">
        <f>IF(U101="","",IF(VLOOKUP(U101,'G-3 Multipliers'!$L$3:$N$6,2,FALSE)=0,"Spatial Data Missing",VLOOKUP(U101,'G-3 Multipliers'!$L$3:$N$6,2,FALSE)))</f>
        <v/>
      </c>
      <c r="W101" s="176" t="str">
        <f>IF(U101="","",IF(VLOOKUP(U101,'G-3 Multipliers'!$L$3:$N$6,3,FALSE)=0,"Spatial Data Missing",VLOOKUP(U101,'G-3 Multipliers'!$L$3:$N$6,3,FALSE)))</f>
        <v/>
      </c>
      <c r="X101" s="171" t="str">
        <f>IFERROR(IF(OR(LEFT(O101,5)="Error",LEFT(N101,5)="Error",T101="Error"),"Check Data",IF(F101&lt;R101,INDEX('G-6 Hedgerow Data'!$S$3:$AE$14,MATCH(C101,'G-6 Hedgerow Data'!$B$3:$B$14,0),MATCH(M101,'G-6 Hedgerow Data'!$S$2:$AE$2,0)),INDEX('G-6 Hedgerow Data'!$K$3:$Q$14,MATCH(M101,'G-6 Hedgerow Data'!$B$3:$B$14,0),MATCH(O101,'G-6 Hedgerow Data'!$K$2:$Q$2,0)))),"")</f>
        <v/>
      </c>
      <c r="Y101" s="261"/>
      <c r="Z101" s="261"/>
      <c r="AA101" s="179" t="str">
        <f t="shared" si="10"/>
        <v/>
      </c>
      <c r="AB101" s="262" t="str">
        <f t="shared" si="11"/>
        <v/>
      </c>
      <c r="AC101" s="263" t="str">
        <f t="shared" si="8"/>
        <v/>
      </c>
      <c r="AD101" s="239" t="str">
        <f>IF(M101="","",VLOOKUP(M101,'G-6 Hedgerow Data'!$B$3:$AG$15,31,FALSE))</f>
        <v/>
      </c>
      <c r="AE101" s="179" t="str">
        <f t="shared" si="12"/>
        <v/>
      </c>
      <c r="AF101" s="179" t="str">
        <f t="shared" si="13"/>
        <v/>
      </c>
      <c r="AG101" s="176" t="str">
        <f>IFERROR(IF(O101="","",VLOOKUP(AD101,'G-3 Multipliers'!$P$3:$Q$6,2,FALSE)),"")</f>
        <v/>
      </c>
      <c r="AH101" s="207" t="str">
        <f t="shared" si="9"/>
        <v/>
      </c>
      <c r="AI101" s="336"/>
      <c r="AJ101" s="181"/>
      <c r="AT101" s="35" t="str">
        <f>IFERROR(INDEX('G-6 Hedgerow Data'!$BJ$3:$BJ$15,MATCH(M101,'G-6 Hedgerow Data'!$B$3:$B$15,0)),"")</f>
        <v/>
      </c>
    </row>
    <row r="102" spans="2:46" ht="13.8" x14ac:dyDescent="0.25">
      <c r="B102" s="259" t="str">
        <f>'B-1 Site Hedge Baseline'!AK100</f>
        <v/>
      </c>
      <c r="C102" s="175" t="str">
        <f>IF(B102="","",IF(ISNA(VLOOKUP($B102,'B-1 Site Hedge Baseline'!$B$1:$L$257,3,FALSE)),"",(VLOOKUP($B102,'B-1 Site Hedge Baseline'!$B$1:$L$257,3,FALSE))))</f>
        <v/>
      </c>
      <c r="D102" s="175" t="str">
        <f>IF(B102="","",IF(ISNA(VLOOKUP($B102,'B-1 Site Hedge Baseline'!$B$1:$L$257,4,FALSE)),"",(VLOOKUP($B102,'B-1 Site Hedge Baseline'!$B$1:$L$257,4,FALSE))))</f>
        <v/>
      </c>
      <c r="E102" s="175" t="str">
        <f>IF(B102="","",IF(ISNA(VLOOKUP($B102,'B-1 Site Hedge Baseline'!$B$1:$L$257,5,FALSE)),"",(VLOOKUP($B102,'B-1 Site Hedge Baseline'!$B$1:$L$257,5,FALSE))))</f>
        <v/>
      </c>
      <c r="F102" s="175" t="str">
        <f>IF(B102="","",IF(ISNA(VLOOKUP($B102,'B-1 Site Hedge Baseline'!$B$1:$L$257,6,FALSE)),"",(VLOOKUP($B102,'B-1 Site Hedge Baseline'!$B$1:$L$257,6,FALSE))))</f>
        <v/>
      </c>
      <c r="G102" s="175" t="str">
        <f>IF(B102="","",IF(ISNA(VLOOKUP($B102,'B-1 Site Hedge Baseline'!$B$1:$L$257,7,FALSE)),"",(VLOOKUP($B102,'B-1 Site Hedge Baseline'!$B$1:$L$257,7,FALSE))))</f>
        <v/>
      </c>
      <c r="H102" s="175" t="str">
        <f>IF(B102="","",IF(ISNA(VLOOKUP($B102,'B-1 Site Hedge Baseline'!$B$1:$L$257,8,FALSE)),"",(VLOOKUP($B102,'B-1 Site Hedge Baseline'!$B$1:$L$257,8,FALSE))))</f>
        <v/>
      </c>
      <c r="I102" s="175" t="str">
        <f>IF(B102="","",IF(ISNA(VLOOKUP($B102,'B-1 Site Hedge Baseline'!$B$1:$L$257,10,FALSE)),"",(VLOOKUP($B102,'B-1 Site Hedge Baseline'!$B$1:$L$257,10,FALSE))))</f>
        <v/>
      </c>
      <c r="J102" s="175" t="str">
        <f>IF(B102="","",IF(ISNA(VLOOKUP($B102,'B-1 Site Hedge Baseline'!$B$1:$L$257,11,FALSE)),"",(VLOOKUP($B102,'B-1 Site Hedge Baseline'!$B$1:$L$257,11,FALSE))))</f>
        <v/>
      </c>
      <c r="K102" s="175" t="str">
        <f>IF(B102="","",IF(ISNA(VLOOKUP($B102,'B-1 Site Hedge Baseline'!$B$1:$U$257,13,FALSE)),"",(VLOOKUP($B102,'B-1 Site Hedge Baseline'!$B$1:$U$257,13,FALSE))))</f>
        <v/>
      </c>
      <c r="L102" s="176" t="str">
        <f>IF(B102="","",IF(ISNA(VLOOKUP($B102,'B-1 Site Hedge Baseline'!$B$1:$U$257,12,FALSE)),"",(VLOOKUP($B102,'B-1 Site Hedge Baseline'!$B$1:$U$257,12,FALSE))))</f>
        <v/>
      </c>
      <c r="M102" s="637"/>
      <c r="N102" s="171" t="str">
        <f>IFERROR(IF(B102="","",INDEX('G-6 Hedgerow Data'!$AN$3:$AZ$15,MATCH(C102,'G-6 Hedgerow Data'!$AM$3:$AM$15,0),MATCH(M102,'G-6 Hedgerow Data'!$AN$2:$AZ$2,0))),"")</f>
        <v/>
      </c>
      <c r="O102" s="172" t="str">
        <f t="shared" si="7"/>
        <v/>
      </c>
      <c r="P102" s="642" t="str">
        <f>IF(B102="","",VLOOKUP(B102,'B-1 Site Hedge Baseline'!$B$10:T347,16,FALSE))</f>
        <v/>
      </c>
      <c r="Q102" s="171" t="str">
        <f>IF(M102="","",VLOOKUP(M102,'G-6 Hedgerow Data'!$B$2:$AG$15,2,FALSE))</f>
        <v/>
      </c>
      <c r="R102" s="172" t="str">
        <f>IF(M102="","",VLOOKUP(M102,'G-6 Hedgerow Data'!$B$2:$AG$15,3,FALSE))</f>
        <v/>
      </c>
      <c r="S102" s="189"/>
      <c r="T102" s="269" t="str">
        <f>IFERROR(VLOOKUP(S102,'G-1 All Habitats'!$Z$2:$AA$9,2,FALSE),"")</f>
        <v/>
      </c>
      <c r="U102" s="186"/>
      <c r="V102" s="175" t="str">
        <f>IF(U102="","",IF(VLOOKUP(U102,'G-3 Multipliers'!$L$3:$N$6,2,FALSE)=0,"Spatial Data Missing",VLOOKUP(U102,'G-3 Multipliers'!$L$3:$N$6,2,FALSE)))</f>
        <v/>
      </c>
      <c r="W102" s="176" t="str">
        <f>IF(U102="","",IF(VLOOKUP(U102,'G-3 Multipliers'!$L$3:$N$6,3,FALSE)=0,"Spatial Data Missing",VLOOKUP(U102,'G-3 Multipliers'!$L$3:$N$6,3,FALSE)))</f>
        <v/>
      </c>
      <c r="X102" s="171" t="str">
        <f>IFERROR(IF(OR(LEFT(O102,5)="Error",LEFT(N102,5)="Error",T102="Error"),"Check Data",IF(F102&lt;R102,INDEX('G-6 Hedgerow Data'!$S$3:$AE$14,MATCH(C102,'G-6 Hedgerow Data'!$B$3:$B$14,0),MATCH(M102,'G-6 Hedgerow Data'!$S$2:$AE$2,0)),INDEX('G-6 Hedgerow Data'!$K$3:$Q$14,MATCH(M102,'G-6 Hedgerow Data'!$B$3:$B$14,0),MATCH(O102,'G-6 Hedgerow Data'!$K$2:$Q$2,0)))),"")</f>
        <v/>
      </c>
      <c r="Y102" s="261"/>
      <c r="Z102" s="261"/>
      <c r="AA102" s="179" t="str">
        <f t="shared" si="10"/>
        <v/>
      </c>
      <c r="AB102" s="262" t="str">
        <f t="shared" si="11"/>
        <v/>
      </c>
      <c r="AC102" s="263" t="str">
        <f t="shared" si="8"/>
        <v/>
      </c>
      <c r="AD102" s="239" t="str">
        <f>IF(M102="","",VLOOKUP(M102,'G-6 Hedgerow Data'!$B$3:$AG$15,31,FALSE))</f>
        <v/>
      </c>
      <c r="AE102" s="179" t="str">
        <f t="shared" si="12"/>
        <v/>
      </c>
      <c r="AF102" s="179" t="str">
        <f t="shared" si="13"/>
        <v/>
      </c>
      <c r="AG102" s="176" t="str">
        <f>IFERROR(IF(O102="","",VLOOKUP(AD102,'G-3 Multipliers'!$P$3:$Q$6,2,FALSE)),"")</f>
        <v/>
      </c>
      <c r="AH102" s="207" t="str">
        <f t="shared" si="9"/>
        <v/>
      </c>
      <c r="AI102" s="336"/>
      <c r="AJ102" s="181"/>
      <c r="AT102" s="35" t="str">
        <f>IFERROR(INDEX('G-6 Hedgerow Data'!$BJ$3:$BJ$15,MATCH(M102,'G-6 Hedgerow Data'!$B$3:$B$15,0)),"")</f>
        <v/>
      </c>
    </row>
    <row r="103" spans="2:46" ht="13.8" x14ac:dyDescent="0.25">
      <c r="B103" s="259" t="str">
        <f>'B-1 Site Hedge Baseline'!AK101</f>
        <v/>
      </c>
      <c r="C103" s="175" t="str">
        <f>IF(B103="","",IF(ISNA(VLOOKUP($B103,'B-1 Site Hedge Baseline'!$B$1:$L$257,3,FALSE)),"",(VLOOKUP($B103,'B-1 Site Hedge Baseline'!$B$1:$L$257,3,FALSE))))</f>
        <v/>
      </c>
      <c r="D103" s="175" t="str">
        <f>IF(B103="","",IF(ISNA(VLOOKUP($B103,'B-1 Site Hedge Baseline'!$B$1:$L$257,4,FALSE)),"",(VLOOKUP($B103,'B-1 Site Hedge Baseline'!$B$1:$L$257,4,FALSE))))</f>
        <v/>
      </c>
      <c r="E103" s="175" t="str">
        <f>IF(B103="","",IF(ISNA(VLOOKUP($B103,'B-1 Site Hedge Baseline'!$B$1:$L$257,5,FALSE)),"",(VLOOKUP($B103,'B-1 Site Hedge Baseline'!$B$1:$L$257,5,FALSE))))</f>
        <v/>
      </c>
      <c r="F103" s="175" t="str">
        <f>IF(B103="","",IF(ISNA(VLOOKUP($B103,'B-1 Site Hedge Baseline'!$B$1:$L$257,6,FALSE)),"",(VLOOKUP($B103,'B-1 Site Hedge Baseline'!$B$1:$L$257,6,FALSE))))</f>
        <v/>
      </c>
      <c r="G103" s="175" t="str">
        <f>IF(B103="","",IF(ISNA(VLOOKUP($B103,'B-1 Site Hedge Baseline'!$B$1:$L$257,7,FALSE)),"",(VLOOKUP($B103,'B-1 Site Hedge Baseline'!$B$1:$L$257,7,FALSE))))</f>
        <v/>
      </c>
      <c r="H103" s="175" t="str">
        <f>IF(B103="","",IF(ISNA(VLOOKUP($B103,'B-1 Site Hedge Baseline'!$B$1:$L$257,8,FALSE)),"",(VLOOKUP($B103,'B-1 Site Hedge Baseline'!$B$1:$L$257,8,FALSE))))</f>
        <v/>
      </c>
      <c r="I103" s="175" t="str">
        <f>IF(B103="","",IF(ISNA(VLOOKUP($B103,'B-1 Site Hedge Baseline'!$B$1:$L$257,10,FALSE)),"",(VLOOKUP($B103,'B-1 Site Hedge Baseline'!$B$1:$L$257,10,FALSE))))</f>
        <v/>
      </c>
      <c r="J103" s="175" t="str">
        <f>IF(B103="","",IF(ISNA(VLOOKUP($B103,'B-1 Site Hedge Baseline'!$B$1:$L$257,11,FALSE)),"",(VLOOKUP($B103,'B-1 Site Hedge Baseline'!$B$1:$L$257,11,FALSE))))</f>
        <v/>
      </c>
      <c r="K103" s="175" t="str">
        <f>IF(B103="","",IF(ISNA(VLOOKUP($B103,'B-1 Site Hedge Baseline'!$B$1:$U$257,13,FALSE)),"",(VLOOKUP($B103,'B-1 Site Hedge Baseline'!$B$1:$U$257,13,FALSE))))</f>
        <v/>
      </c>
      <c r="L103" s="176" t="str">
        <f>IF(B103="","",IF(ISNA(VLOOKUP($B103,'B-1 Site Hedge Baseline'!$B$1:$U$257,12,FALSE)),"",(VLOOKUP($B103,'B-1 Site Hedge Baseline'!$B$1:$U$257,12,FALSE))))</f>
        <v/>
      </c>
      <c r="M103" s="637"/>
      <c r="N103" s="171" t="str">
        <f>IFERROR(IF(B103="","",INDEX('G-6 Hedgerow Data'!$AN$3:$AZ$15,MATCH(C103,'G-6 Hedgerow Data'!$AM$3:$AM$15,0),MATCH(M103,'G-6 Hedgerow Data'!$AN$2:$AZ$2,0))),"")</f>
        <v/>
      </c>
      <c r="O103" s="172" t="str">
        <f t="shared" si="7"/>
        <v/>
      </c>
      <c r="P103" s="642" t="str">
        <f>IF(B103="","",VLOOKUP(B103,'B-1 Site Hedge Baseline'!$B$10:T348,16,FALSE))</f>
        <v/>
      </c>
      <c r="Q103" s="171" t="str">
        <f>IF(M103="","",VLOOKUP(M103,'G-6 Hedgerow Data'!$B$2:$AG$15,2,FALSE))</f>
        <v/>
      </c>
      <c r="R103" s="172" t="str">
        <f>IF(M103="","",VLOOKUP(M103,'G-6 Hedgerow Data'!$B$2:$AG$15,3,FALSE))</f>
        <v/>
      </c>
      <c r="S103" s="189"/>
      <c r="T103" s="269" t="str">
        <f>IFERROR(VLOOKUP(S103,'G-1 All Habitats'!$Z$2:$AA$9,2,FALSE),"")</f>
        <v/>
      </c>
      <c r="U103" s="186"/>
      <c r="V103" s="175" t="str">
        <f>IF(U103="","",IF(VLOOKUP(U103,'G-3 Multipliers'!$L$3:$N$6,2,FALSE)=0,"Spatial Data Missing",VLOOKUP(U103,'G-3 Multipliers'!$L$3:$N$6,2,FALSE)))</f>
        <v/>
      </c>
      <c r="W103" s="176" t="str">
        <f>IF(U103="","",IF(VLOOKUP(U103,'G-3 Multipliers'!$L$3:$N$6,3,FALSE)=0,"Spatial Data Missing",VLOOKUP(U103,'G-3 Multipliers'!$L$3:$N$6,3,FALSE)))</f>
        <v/>
      </c>
      <c r="X103" s="171" t="str">
        <f>IFERROR(IF(OR(LEFT(O103,5)="Error",LEFT(N103,5)="Error",T103="Error"),"Check Data",IF(F103&lt;R103,INDEX('G-6 Hedgerow Data'!$S$3:$AE$14,MATCH(C103,'G-6 Hedgerow Data'!$B$3:$B$14,0),MATCH(M103,'G-6 Hedgerow Data'!$S$2:$AE$2,0)),INDEX('G-6 Hedgerow Data'!$K$3:$Q$14,MATCH(M103,'G-6 Hedgerow Data'!$B$3:$B$14,0),MATCH(O103,'G-6 Hedgerow Data'!$K$2:$Q$2,0)))),"")</f>
        <v/>
      </c>
      <c r="Y103" s="261"/>
      <c r="Z103" s="261"/>
      <c r="AA103" s="179" t="str">
        <f t="shared" si="10"/>
        <v/>
      </c>
      <c r="AB103" s="262" t="str">
        <f t="shared" si="11"/>
        <v/>
      </c>
      <c r="AC103" s="263" t="str">
        <f t="shared" si="8"/>
        <v/>
      </c>
      <c r="AD103" s="239" t="str">
        <f>IF(M103="","",VLOOKUP(M103,'G-6 Hedgerow Data'!$B$3:$AG$15,31,FALSE))</f>
        <v/>
      </c>
      <c r="AE103" s="179" t="str">
        <f t="shared" si="12"/>
        <v/>
      </c>
      <c r="AF103" s="179" t="str">
        <f t="shared" si="13"/>
        <v/>
      </c>
      <c r="AG103" s="176" t="str">
        <f>IFERROR(IF(O103="","",VLOOKUP(AD103,'G-3 Multipliers'!$P$3:$Q$6,2,FALSE)),"")</f>
        <v/>
      </c>
      <c r="AH103" s="207" t="str">
        <f t="shared" si="9"/>
        <v/>
      </c>
      <c r="AI103" s="336"/>
      <c r="AJ103" s="181"/>
      <c r="AT103" s="35" t="str">
        <f>IFERROR(INDEX('G-6 Hedgerow Data'!$BJ$3:$BJ$15,MATCH(M103,'G-6 Hedgerow Data'!$B$3:$B$15,0)),"")</f>
        <v/>
      </c>
    </row>
    <row r="104" spans="2:46" ht="13.8" x14ac:dyDescent="0.25">
      <c r="B104" s="259" t="str">
        <f>'B-1 Site Hedge Baseline'!AK102</f>
        <v/>
      </c>
      <c r="C104" s="175" t="str">
        <f>IF(B104="","",IF(ISNA(VLOOKUP($B104,'B-1 Site Hedge Baseline'!$B$1:$L$257,3,FALSE)),"",(VLOOKUP($B104,'B-1 Site Hedge Baseline'!$B$1:$L$257,3,FALSE))))</f>
        <v/>
      </c>
      <c r="D104" s="175" t="str">
        <f>IF(B104="","",IF(ISNA(VLOOKUP($B104,'B-1 Site Hedge Baseline'!$B$1:$L$257,4,FALSE)),"",(VLOOKUP($B104,'B-1 Site Hedge Baseline'!$B$1:$L$257,4,FALSE))))</f>
        <v/>
      </c>
      <c r="E104" s="175" t="str">
        <f>IF(B104="","",IF(ISNA(VLOOKUP($B104,'B-1 Site Hedge Baseline'!$B$1:$L$257,5,FALSE)),"",(VLOOKUP($B104,'B-1 Site Hedge Baseline'!$B$1:$L$257,5,FALSE))))</f>
        <v/>
      </c>
      <c r="F104" s="175" t="str">
        <f>IF(B104="","",IF(ISNA(VLOOKUP($B104,'B-1 Site Hedge Baseline'!$B$1:$L$257,6,FALSE)),"",(VLOOKUP($B104,'B-1 Site Hedge Baseline'!$B$1:$L$257,6,FALSE))))</f>
        <v/>
      </c>
      <c r="G104" s="175" t="str">
        <f>IF(B104="","",IF(ISNA(VLOOKUP($B104,'B-1 Site Hedge Baseline'!$B$1:$L$257,7,FALSE)),"",(VLOOKUP($B104,'B-1 Site Hedge Baseline'!$B$1:$L$257,7,FALSE))))</f>
        <v/>
      </c>
      <c r="H104" s="175" t="str">
        <f>IF(B104="","",IF(ISNA(VLOOKUP($B104,'B-1 Site Hedge Baseline'!$B$1:$L$257,8,FALSE)),"",(VLOOKUP($B104,'B-1 Site Hedge Baseline'!$B$1:$L$257,8,FALSE))))</f>
        <v/>
      </c>
      <c r="I104" s="175" t="str">
        <f>IF(B104="","",IF(ISNA(VLOOKUP($B104,'B-1 Site Hedge Baseline'!$B$1:$L$257,10,FALSE)),"",(VLOOKUP($B104,'B-1 Site Hedge Baseline'!$B$1:$L$257,10,FALSE))))</f>
        <v/>
      </c>
      <c r="J104" s="175" t="str">
        <f>IF(B104="","",IF(ISNA(VLOOKUP($B104,'B-1 Site Hedge Baseline'!$B$1:$L$257,11,FALSE)),"",(VLOOKUP($B104,'B-1 Site Hedge Baseline'!$B$1:$L$257,11,FALSE))))</f>
        <v/>
      </c>
      <c r="K104" s="175" t="str">
        <f>IF(B104="","",IF(ISNA(VLOOKUP($B104,'B-1 Site Hedge Baseline'!$B$1:$U$257,13,FALSE)),"",(VLOOKUP($B104,'B-1 Site Hedge Baseline'!$B$1:$U$257,13,FALSE))))</f>
        <v/>
      </c>
      <c r="L104" s="176" t="str">
        <f>IF(B104="","",IF(ISNA(VLOOKUP($B104,'B-1 Site Hedge Baseline'!$B$1:$U$257,12,FALSE)),"",(VLOOKUP($B104,'B-1 Site Hedge Baseline'!$B$1:$U$257,12,FALSE))))</f>
        <v/>
      </c>
      <c r="M104" s="637"/>
      <c r="N104" s="171" t="str">
        <f>IFERROR(IF(B104="","",INDEX('G-6 Hedgerow Data'!$AN$3:$AZ$15,MATCH(C104,'G-6 Hedgerow Data'!$AM$3:$AM$15,0),MATCH(M104,'G-6 Hedgerow Data'!$AN$2:$AZ$2,0))),"")</f>
        <v/>
      </c>
      <c r="O104" s="172" t="str">
        <f t="shared" si="7"/>
        <v/>
      </c>
      <c r="P104" s="642" t="str">
        <f>IF(B104="","",VLOOKUP(B104,'B-1 Site Hedge Baseline'!$B$10:T349,16,FALSE))</f>
        <v/>
      </c>
      <c r="Q104" s="171" t="str">
        <f>IF(M104="","",VLOOKUP(M104,'G-6 Hedgerow Data'!$B$2:$AG$15,2,FALSE))</f>
        <v/>
      </c>
      <c r="R104" s="172" t="str">
        <f>IF(M104="","",VLOOKUP(M104,'G-6 Hedgerow Data'!$B$2:$AG$15,3,FALSE))</f>
        <v/>
      </c>
      <c r="S104" s="189"/>
      <c r="T104" s="269" t="str">
        <f>IFERROR(VLOOKUP(S104,'G-1 All Habitats'!$Z$2:$AA$9,2,FALSE),"")</f>
        <v/>
      </c>
      <c r="U104" s="186"/>
      <c r="V104" s="175" t="str">
        <f>IF(U104="","",IF(VLOOKUP(U104,'G-3 Multipliers'!$L$3:$N$6,2,FALSE)=0,"Spatial Data Missing",VLOOKUP(U104,'G-3 Multipliers'!$L$3:$N$6,2,FALSE)))</f>
        <v/>
      </c>
      <c r="W104" s="176" t="str">
        <f>IF(U104="","",IF(VLOOKUP(U104,'G-3 Multipliers'!$L$3:$N$6,3,FALSE)=0,"Spatial Data Missing",VLOOKUP(U104,'G-3 Multipliers'!$L$3:$N$6,3,FALSE)))</f>
        <v/>
      </c>
      <c r="X104" s="171" t="str">
        <f>IFERROR(IF(OR(LEFT(O104,5)="Error",LEFT(N104,5)="Error",T104="Error"),"Check Data",IF(F104&lt;R104,INDEX('G-6 Hedgerow Data'!$S$3:$AE$14,MATCH(C104,'G-6 Hedgerow Data'!$B$3:$B$14,0),MATCH(M104,'G-6 Hedgerow Data'!$S$2:$AE$2,0)),INDEX('G-6 Hedgerow Data'!$K$3:$Q$14,MATCH(M104,'G-6 Hedgerow Data'!$B$3:$B$14,0),MATCH(O104,'G-6 Hedgerow Data'!$K$2:$Q$2,0)))),"")</f>
        <v/>
      </c>
      <c r="Y104" s="261"/>
      <c r="Z104" s="261"/>
      <c r="AA104" s="179" t="str">
        <f t="shared" si="10"/>
        <v/>
      </c>
      <c r="AB104" s="262" t="str">
        <f t="shared" si="11"/>
        <v/>
      </c>
      <c r="AC104" s="263" t="str">
        <f t="shared" si="8"/>
        <v/>
      </c>
      <c r="AD104" s="239" t="str">
        <f>IF(M104="","",VLOOKUP(M104,'G-6 Hedgerow Data'!$B$3:$AG$15,31,FALSE))</f>
        <v/>
      </c>
      <c r="AE104" s="179" t="str">
        <f t="shared" si="12"/>
        <v/>
      </c>
      <c r="AF104" s="179" t="str">
        <f t="shared" si="13"/>
        <v/>
      </c>
      <c r="AG104" s="176" t="str">
        <f>IFERROR(IF(O104="","",VLOOKUP(AD104,'G-3 Multipliers'!$P$3:$Q$6,2,FALSE)),"")</f>
        <v/>
      </c>
      <c r="AH104" s="207" t="str">
        <f t="shared" si="9"/>
        <v/>
      </c>
      <c r="AI104" s="336"/>
      <c r="AJ104" s="181"/>
      <c r="AT104" s="35" t="str">
        <f>IFERROR(INDEX('G-6 Hedgerow Data'!$BJ$3:$BJ$15,MATCH(M104,'G-6 Hedgerow Data'!$B$3:$B$15,0)),"")</f>
        <v/>
      </c>
    </row>
    <row r="105" spans="2:46" ht="13.8" x14ac:dyDescent="0.25">
      <c r="B105" s="259" t="str">
        <f>'B-1 Site Hedge Baseline'!AK103</f>
        <v/>
      </c>
      <c r="C105" s="175" t="str">
        <f>IF(B105="","",IF(ISNA(VLOOKUP($B105,'B-1 Site Hedge Baseline'!$B$1:$L$257,3,FALSE)),"",(VLOOKUP($B105,'B-1 Site Hedge Baseline'!$B$1:$L$257,3,FALSE))))</f>
        <v/>
      </c>
      <c r="D105" s="175" t="str">
        <f>IF(B105="","",IF(ISNA(VLOOKUP($B105,'B-1 Site Hedge Baseline'!$B$1:$L$257,4,FALSE)),"",(VLOOKUP($B105,'B-1 Site Hedge Baseline'!$B$1:$L$257,4,FALSE))))</f>
        <v/>
      </c>
      <c r="E105" s="175" t="str">
        <f>IF(B105="","",IF(ISNA(VLOOKUP($B105,'B-1 Site Hedge Baseline'!$B$1:$L$257,5,FALSE)),"",(VLOOKUP($B105,'B-1 Site Hedge Baseline'!$B$1:$L$257,5,FALSE))))</f>
        <v/>
      </c>
      <c r="F105" s="175" t="str">
        <f>IF(B105="","",IF(ISNA(VLOOKUP($B105,'B-1 Site Hedge Baseline'!$B$1:$L$257,6,FALSE)),"",(VLOOKUP($B105,'B-1 Site Hedge Baseline'!$B$1:$L$257,6,FALSE))))</f>
        <v/>
      </c>
      <c r="G105" s="175" t="str">
        <f>IF(B105="","",IF(ISNA(VLOOKUP($B105,'B-1 Site Hedge Baseline'!$B$1:$L$257,7,FALSE)),"",(VLOOKUP($B105,'B-1 Site Hedge Baseline'!$B$1:$L$257,7,FALSE))))</f>
        <v/>
      </c>
      <c r="H105" s="175" t="str">
        <f>IF(B105="","",IF(ISNA(VLOOKUP($B105,'B-1 Site Hedge Baseline'!$B$1:$L$257,8,FALSE)),"",(VLOOKUP($B105,'B-1 Site Hedge Baseline'!$B$1:$L$257,8,FALSE))))</f>
        <v/>
      </c>
      <c r="I105" s="175" t="str">
        <f>IF(B105="","",IF(ISNA(VLOOKUP($B105,'B-1 Site Hedge Baseline'!$B$1:$L$257,10,FALSE)),"",(VLOOKUP($B105,'B-1 Site Hedge Baseline'!$B$1:$L$257,10,FALSE))))</f>
        <v/>
      </c>
      <c r="J105" s="175" t="str">
        <f>IF(B105="","",IF(ISNA(VLOOKUP($B105,'B-1 Site Hedge Baseline'!$B$1:$L$257,11,FALSE)),"",(VLOOKUP($B105,'B-1 Site Hedge Baseline'!$B$1:$L$257,11,FALSE))))</f>
        <v/>
      </c>
      <c r="K105" s="175" t="str">
        <f>IF(B105="","",IF(ISNA(VLOOKUP($B105,'B-1 Site Hedge Baseline'!$B$1:$U$257,13,FALSE)),"",(VLOOKUP($B105,'B-1 Site Hedge Baseline'!$B$1:$U$257,13,FALSE))))</f>
        <v/>
      </c>
      <c r="L105" s="176" t="str">
        <f>IF(B105="","",IF(ISNA(VLOOKUP($B105,'B-1 Site Hedge Baseline'!$B$1:$U$257,12,FALSE)),"",(VLOOKUP($B105,'B-1 Site Hedge Baseline'!$B$1:$U$257,12,FALSE))))</f>
        <v/>
      </c>
      <c r="M105" s="637"/>
      <c r="N105" s="171" t="str">
        <f>IFERROR(IF(B105="","",INDEX('G-6 Hedgerow Data'!$AN$3:$AZ$15,MATCH(C105,'G-6 Hedgerow Data'!$AM$3:$AM$15,0),MATCH(M105,'G-6 Hedgerow Data'!$AN$2:$AZ$2,0))),"")</f>
        <v/>
      </c>
      <c r="O105" s="172" t="str">
        <f t="shared" si="7"/>
        <v/>
      </c>
      <c r="P105" s="642" t="str">
        <f>IF(B105="","",VLOOKUP(B105,'B-1 Site Hedge Baseline'!$B$10:T350,16,FALSE))</f>
        <v/>
      </c>
      <c r="Q105" s="171" t="str">
        <f>IF(M105="","",VLOOKUP(M105,'G-6 Hedgerow Data'!$B$2:$AG$15,2,FALSE))</f>
        <v/>
      </c>
      <c r="R105" s="172" t="str">
        <f>IF(M105="","",VLOOKUP(M105,'G-6 Hedgerow Data'!$B$2:$AG$15,3,FALSE))</f>
        <v/>
      </c>
      <c r="S105" s="189"/>
      <c r="T105" s="269" t="str">
        <f>IFERROR(VLOOKUP(S105,'G-1 All Habitats'!$Z$2:$AA$9,2,FALSE),"")</f>
        <v/>
      </c>
      <c r="U105" s="186"/>
      <c r="V105" s="175" t="str">
        <f>IF(U105="","",IF(VLOOKUP(U105,'G-3 Multipliers'!$L$3:$N$6,2,FALSE)=0,"Spatial Data Missing",VLOOKUP(U105,'G-3 Multipliers'!$L$3:$N$6,2,FALSE)))</f>
        <v/>
      </c>
      <c r="W105" s="176" t="str">
        <f>IF(U105="","",IF(VLOOKUP(U105,'G-3 Multipliers'!$L$3:$N$6,3,FALSE)=0,"Spatial Data Missing",VLOOKUP(U105,'G-3 Multipliers'!$L$3:$N$6,3,FALSE)))</f>
        <v/>
      </c>
      <c r="X105" s="171" t="str">
        <f>IFERROR(IF(OR(LEFT(O105,5)="Error",LEFT(N105,5)="Error",T105="Error"),"Check Data",IF(F105&lt;R105,INDEX('G-6 Hedgerow Data'!$S$3:$AE$14,MATCH(C105,'G-6 Hedgerow Data'!$B$3:$B$14,0),MATCH(M105,'G-6 Hedgerow Data'!$S$2:$AE$2,0)),INDEX('G-6 Hedgerow Data'!$K$3:$Q$14,MATCH(M105,'G-6 Hedgerow Data'!$B$3:$B$14,0),MATCH(O105,'G-6 Hedgerow Data'!$K$2:$Q$2,0)))),"")</f>
        <v/>
      </c>
      <c r="Y105" s="261"/>
      <c r="Z105" s="261"/>
      <c r="AA105" s="179" t="str">
        <f t="shared" si="10"/>
        <v/>
      </c>
      <c r="AB105" s="262" t="str">
        <f t="shared" si="11"/>
        <v/>
      </c>
      <c r="AC105" s="263" t="str">
        <f t="shared" si="8"/>
        <v/>
      </c>
      <c r="AD105" s="239" t="str">
        <f>IF(M105="","",VLOOKUP(M105,'G-6 Hedgerow Data'!$B$3:$AG$15,31,FALSE))</f>
        <v/>
      </c>
      <c r="AE105" s="179" t="str">
        <f t="shared" si="12"/>
        <v/>
      </c>
      <c r="AF105" s="179" t="str">
        <f t="shared" si="13"/>
        <v/>
      </c>
      <c r="AG105" s="176" t="str">
        <f>IFERROR(IF(O105="","",VLOOKUP(AD105,'G-3 Multipliers'!$P$3:$Q$6,2,FALSE)),"")</f>
        <v/>
      </c>
      <c r="AH105" s="207" t="str">
        <f t="shared" si="9"/>
        <v/>
      </c>
      <c r="AI105" s="336"/>
      <c r="AJ105" s="181"/>
      <c r="AT105" s="35" t="str">
        <f>IFERROR(INDEX('G-6 Hedgerow Data'!$BJ$3:$BJ$15,MATCH(M105,'G-6 Hedgerow Data'!$B$3:$B$15,0)),"")</f>
        <v/>
      </c>
    </row>
    <row r="106" spans="2:46" ht="13.8" x14ac:dyDescent="0.25">
      <c r="B106" s="259" t="str">
        <f>'B-1 Site Hedge Baseline'!AK104</f>
        <v/>
      </c>
      <c r="C106" s="175" t="str">
        <f>IF(B106="","",IF(ISNA(VLOOKUP($B106,'B-1 Site Hedge Baseline'!$B$1:$L$257,3,FALSE)),"",(VLOOKUP($B106,'B-1 Site Hedge Baseline'!$B$1:$L$257,3,FALSE))))</f>
        <v/>
      </c>
      <c r="D106" s="175" t="str">
        <f>IF(B106="","",IF(ISNA(VLOOKUP($B106,'B-1 Site Hedge Baseline'!$B$1:$L$257,4,FALSE)),"",(VLOOKUP($B106,'B-1 Site Hedge Baseline'!$B$1:$L$257,4,FALSE))))</f>
        <v/>
      </c>
      <c r="E106" s="175" t="str">
        <f>IF(B106="","",IF(ISNA(VLOOKUP($B106,'B-1 Site Hedge Baseline'!$B$1:$L$257,5,FALSE)),"",(VLOOKUP($B106,'B-1 Site Hedge Baseline'!$B$1:$L$257,5,FALSE))))</f>
        <v/>
      </c>
      <c r="F106" s="175" t="str">
        <f>IF(B106="","",IF(ISNA(VLOOKUP($B106,'B-1 Site Hedge Baseline'!$B$1:$L$257,6,FALSE)),"",(VLOOKUP($B106,'B-1 Site Hedge Baseline'!$B$1:$L$257,6,FALSE))))</f>
        <v/>
      </c>
      <c r="G106" s="175" t="str">
        <f>IF(B106="","",IF(ISNA(VLOOKUP($B106,'B-1 Site Hedge Baseline'!$B$1:$L$257,7,FALSE)),"",(VLOOKUP($B106,'B-1 Site Hedge Baseline'!$B$1:$L$257,7,FALSE))))</f>
        <v/>
      </c>
      <c r="H106" s="175" t="str">
        <f>IF(B106="","",IF(ISNA(VLOOKUP($B106,'B-1 Site Hedge Baseline'!$B$1:$L$257,8,FALSE)),"",(VLOOKUP($B106,'B-1 Site Hedge Baseline'!$B$1:$L$257,8,FALSE))))</f>
        <v/>
      </c>
      <c r="I106" s="175" t="str">
        <f>IF(B106="","",IF(ISNA(VLOOKUP($B106,'B-1 Site Hedge Baseline'!$B$1:$L$257,10,FALSE)),"",(VLOOKUP($B106,'B-1 Site Hedge Baseline'!$B$1:$L$257,10,FALSE))))</f>
        <v/>
      </c>
      <c r="J106" s="175" t="str">
        <f>IF(B106="","",IF(ISNA(VLOOKUP($B106,'B-1 Site Hedge Baseline'!$B$1:$L$257,11,FALSE)),"",(VLOOKUP($B106,'B-1 Site Hedge Baseline'!$B$1:$L$257,11,FALSE))))</f>
        <v/>
      </c>
      <c r="K106" s="175" t="str">
        <f>IF(B106="","",IF(ISNA(VLOOKUP($B106,'B-1 Site Hedge Baseline'!$B$1:$U$257,13,FALSE)),"",(VLOOKUP($B106,'B-1 Site Hedge Baseline'!$B$1:$U$257,13,FALSE))))</f>
        <v/>
      </c>
      <c r="L106" s="176" t="str">
        <f>IF(B106="","",IF(ISNA(VLOOKUP($B106,'B-1 Site Hedge Baseline'!$B$1:$U$257,12,FALSE)),"",(VLOOKUP($B106,'B-1 Site Hedge Baseline'!$B$1:$U$257,12,FALSE))))</f>
        <v/>
      </c>
      <c r="M106" s="637"/>
      <c r="N106" s="171" t="str">
        <f>IFERROR(IF(B106="","",INDEX('G-6 Hedgerow Data'!$AN$3:$AZ$15,MATCH(C106,'G-6 Hedgerow Data'!$AM$3:$AM$15,0),MATCH(M106,'G-6 Hedgerow Data'!$AN$2:$AZ$2,0))),"")</f>
        <v/>
      </c>
      <c r="O106" s="172" t="str">
        <f t="shared" si="7"/>
        <v/>
      </c>
      <c r="P106" s="642" t="str">
        <f>IF(B106="","",VLOOKUP(B106,'B-1 Site Hedge Baseline'!$B$10:T351,16,FALSE))</f>
        <v/>
      </c>
      <c r="Q106" s="171" t="str">
        <f>IF(M106="","",VLOOKUP(M106,'G-6 Hedgerow Data'!$B$2:$AG$15,2,FALSE))</f>
        <v/>
      </c>
      <c r="R106" s="172" t="str">
        <f>IF(M106="","",VLOOKUP(M106,'G-6 Hedgerow Data'!$B$2:$AG$15,3,FALSE))</f>
        <v/>
      </c>
      <c r="S106" s="189"/>
      <c r="T106" s="269" t="str">
        <f>IFERROR(VLOOKUP(S106,'G-1 All Habitats'!$Z$2:$AA$9,2,FALSE),"")</f>
        <v/>
      </c>
      <c r="U106" s="186"/>
      <c r="V106" s="175" t="str">
        <f>IF(U106="","",IF(VLOOKUP(U106,'G-3 Multipliers'!$L$3:$N$6,2,FALSE)=0,"Spatial Data Missing",VLOOKUP(U106,'G-3 Multipliers'!$L$3:$N$6,2,FALSE)))</f>
        <v/>
      </c>
      <c r="W106" s="176" t="str">
        <f>IF(U106="","",IF(VLOOKUP(U106,'G-3 Multipliers'!$L$3:$N$6,3,FALSE)=0,"Spatial Data Missing",VLOOKUP(U106,'G-3 Multipliers'!$L$3:$N$6,3,FALSE)))</f>
        <v/>
      </c>
      <c r="X106" s="171" t="str">
        <f>IFERROR(IF(OR(LEFT(O106,5)="Error",LEFT(N106,5)="Error",T106="Error"),"Check Data",IF(F106&lt;R106,INDEX('G-6 Hedgerow Data'!$S$3:$AE$14,MATCH(C106,'G-6 Hedgerow Data'!$B$3:$B$14,0),MATCH(M106,'G-6 Hedgerow Data'!$S$2:$AE$2,0)),INDEX('G-6 Hedgerow Data'!$K$3:$Q$14,MATCH(M106,'G-6 Hedgerow Data'!$B$3:$B$14,0),MATCH(O106,'G-6 Hedgerow Data'!$K$2:$Q$2,0)))),"")</f>
        <v/>
      </c>
      <c r="Y106" s="261"/>
      <c r="Z106" s="261"/>
      <c r="AA106" s="179" t="str">
        <f t="shared" si="10"/>
        <v/>
      </c>
      <c r="AB106" s="262" t="str">
        <f t="shared" si="11"/>
        <v/>
      </c>
      <c r="AC106" s="263" t="str">
        <f t="shared" si="8"/>
        <v/>
      </c>
      <c r="AD106" s="239" t="str">
        <f>IF(M106="","",VLOOKUP(M106,'G-6 Hedgerow Data'!$B$3:$AG$15,31,FALSE))</f>
        <v/>
      </c>
      <c r="AE106" s="179" t="str">
        <f t="shared" si="12"/>
        <v/>
      </c>
      <c r="AF106" s="179" t="str">
        <f t="shared" si="13"/>
        <v/>
      </c>
      <c r="AG106" s="176" t="str">
        <f>IFERROR(IF(O106="","",VLOOKUP(AD106,'G-3 Multipliers'!$P$3:$Q$6,2,FALSE)),"")</f>
        <v/>
      </c>
      <c r="AH106" s="207" t="str">
        <f t="shared" si="9"/>
        <v/>
      </c>
      <c r="AI106" s="336"/>
      <c r="AJ106" s="181"/>
      <c r="AT106" s="35" t="str">
        <f>IFERROR(INDEX('G-6 Hedgerow Data'!$BJ$3:$BJ$15,MATCH(M106,'G-6 Hedgerow Data'!$B$3:$B$15,0)),"")</f>
        <v/>
      </c>
    </row>
    <row r="107" spans="2:46" ht="13.8" x14ac:dyDescent="0.25">
      <c r="B107" s="259" t="str">
        <f>'B-1 Site Hedge Baseline'!AK105</f>
        <v/>
      </c>
      <c r="C107" s="175" t="str">
        <f>IF(B107="","",IF(ISNA(VLOOKUP($B107,'B-1 Site Hedge Baseline'!$B$1:$L$257,3,FALSE)),"",(VLOOKUP($B107,'B-1 Site Hedge Baseline'!$B$1:$L$257,3,FALSE))))</f>
        <v/>
      </c>
      <c r="D107" s="175" t="str">
        <f>IF(B107="","",IF(ISNA(VLOOKUP($B107,'B-1 Site Hedge Baseline'!$B$1:$L$257,4,FALSE)),"",(VLOOKUP($B107,'B-1 Site Hedge Baseline'!$B$1:$L$257,4,FALSE))))</f>
        <v/>
      </c>
      <c r="E107" s="175" t="str">
        <f>IF(B107="","",IF(ISNA(VLOOKUP($B107,'B-1 Site Hedge Baseline'!$B$1:$L$257,5,FALSE)),"",(VLOOKUP($B107,'B-1 Site Hedge Baseline'!$B$1:$L$257,5,FALSE))))</f>
        <v/>
      </c>
      <c r="F107" s="175" t="str">
        <f>IF(B107="","",IF(ISNA(VLOOKUP($B107,'B-1 Site Hedge Baseline'!$B$1:$L$257,6,FALSE)),"",(VLOOKUP($B107,'B-1 Site Hedge Baseline'!$B$1:$L$257,6,FALSE))))</f>
        <v/>
      </c>
      <c r="G107" s="175" t="str">
        <f>IF(B107="","",IF(ISNA(VLOOKUP($B107,'B-1 Site Hedge Baseline'!$B$1:$L$257,7,FALSE)),"",(VLOOKUP($B107,'B-1 Site Hedge Baseline'!$B$1:$L$257,7,FALSE))))</f>
        <v/>
      </c>
      <c r="H107" s="175" t="str">
        <f>IF(B107="","",IF(ISNA(VLOOKUP($B107,'B-1 Site Hedge Baseline'!$B$1:$L$257,8,FALSE)),"",(VLOOKUP($B107,'B-1 Site Hedge Baseline'!$B$1:$L$257,8,FALSE))))</f>
        <v/>
      </c>
      <c r="I107" s="175" t="str">
        <f>IF(B107="","",IF(ISNA(VLOOKUP($B107,'B-1 Site Hedge Baseline'!$B$1:$L$257,10,FALSE)),"",(VLOOKUP($B107,'B-1 Site Hedge Baseline'!$B$1:$L$257,10,FALSE))))</f>
        <v/>
      </c>
      <c r="J107" s="175" t="str">
        <f>IF(B107="","",IF(ISNA(VLOOKUP($B107,'B-1 Site Hedge Baseline'!$B$1:$L$257,11,FALSE)),"",(VLOOKUP($B107,'B-1 Site Hedge Baseline'!$B$1:$L$257,11,FALSE))))</f>
        <v/>
      </c>
      <c r="K107" s="175" t="str">
        <f>IF(B107="","",IF(ISNA(VLOOKUP($B107,'B-1 Site Hedge Baseline'!$B$1:$U$257,13,FALSE)),"",(VLOOKUP($B107,'B-1 Site Hedge Baseline'!$B$1:$U$257,13,FALSE))))</f>
        <v/>
      </c>
      <c r="L107" s="176" t="str">
        <f>IF(B107="","",IF(ISNA(VLOOKUP($B107,'B-1 Site Hedge Baseline'!$B$1:$U$257,12,FALSE)),"",(VLOOKUP($B107,'B-1 Site Hedge Baseline'!$B$1:$U$257,12,FALSE))))</f>
        <v/>
      </c>
      <c r="M107" s="637"/>
      <c r="N107" s="171" t="str">
        <f>IFERROR(IF(B107="","",INDEX('G-6 Hedgerow Data'!$AN$3:$AZ$15,MATCH(C107,'G-6 Hedgerow Data'!$AM$3:$AM$15,0),MATCH(M107,'G-6 Hedgerow Data'!$AN$2:$AZ$2,0))),"")</f>
        <v/>
      </c>
      <c r="O107" s="172" t="str">
        <f t="shared" si="7"/>
        <v/>
      </c>
      <c r="P107" s="642" t="str">
        <f>IF(B107="","",VLOOKUP(B107,'B-1 Site Hedge Baseline'!$B$10:T352,16,FALSE))</f>
        <v/>
      </c>
      <c r="Q107" s="171" t="str">
        <f>IF(M107="","",VLOOKUP(M107,'G-6 Hedgerow Data'!$B$2:$AG$15,2,FALSE))</f>
        <v/>
      </c>
      <c r="R107" s="172" t="str">
        <f>IF(M107="","",VLOOKUP(M107,'G-6 Hedgerow Data'!$B$2:$AG$15,3,FALSE))</f>
        <v/>
      </c>
      <c r="S107" s="189"/>
      <c r="T107" s="269" t="str">
        <f>IFERROR(VLOOKUP(S107,'G-1 All Habitats'!$Z$2:$AA$9,2,FALSE),"")</f>
        <v/>
      </c>
      <c r="U107" s="186"/>
      <c r="V107" s="175" t="str">
        <f>IF(U107="","",IF(VLOOKUP(U107,'G-3 Multipliers'!$L$3:$N$6,2,FALSE)=0,"Spatial Data Missing",VLOOKUP(U107,'G-3 Multipliers'!$L$3:$N$6,2,FALSE)))</f>
        <v/>
      </c>
      <c r="W107" s="176" t="str">
        <f>IF(U107="","",IF(VLOOKUP(U107,'G-3 Multipliers'!$L$3:$N$6,3,FALSE)=0,"Spatial Data Missing",VLOOKUP(U107,'G-3 Multipliers'!$L$3:$N$6,3,FALSE)))</f>
        <v/>
      </c>
      <c r="X107" s="171" t="str">
        <f>IFERROR(IF(OR(LEFT(O107,5)="Error",LEFT(N107,5)="Error",T107="Error"),"Check Data",IF(F107&lt;R107,INDEX('G-6 Hedgerow Data'!$S$3:$AE$14,MATCH(C107,'G-6 Hedgerow Data'!$B$3:$B$14,0),MATCH(M107,'G-6 Hedgerow Data'!$S$2:$AE$2,0)),INDEX('G-6 Hedgerow Data'!$K$3:$Q$14,MATCH(M107,'G-6 Hedgerow Data'!$B$3:$B$14,0),MATCH(O107,'G-6 Hedgerow Data'!$K$2:$Q$2,0)))),"")</f>
        <v/>
      </c>
      <c r="Y107" s="261"/>
      <c r="Z107" s="261"/>
      <c r="AA107" s="179" t="str">
        <f t="shared" si="10"/>
        <v/>
      </c>
      <c r="AB107" s="262" t="str">
        <f t="shared" si="11"/>
        <v/>
      </c>
      <c r="AC107" s="263" t="str">
        <f t="shared" si="8"/>
        <v/>
      </c>
      <c r="AD107" s="239" t="str">
        <f>IF(M107="","",VLOOKUP(M107,'G-6 Hedgerow Data'!$B$3:$AG$15,31,FALSE))</f>
        <v/>
      </c>
      <c r="AE107" s="179" t="str">
        <f t="shared" si="12"/>
        <v/>
      </c>
      <c r="AF107" s="179" t="str">
        <f t="shared" si="13"/>
        <v/>
      </c>
      <c r="AG107" s="176" t="str">
        <f>IFERROR(IF(O107="","",VLOOKUP(AD107,'G-3 Multipliers'!$P$3:$Q$6,2,FALSE)),"")</f>
        <v/>
      </c>
      <c r="AH107" s="207" t="str">
        <f t="shared" si="9"/>
        <v/>
      </c>
      <c r="AI107" s="336"/>
      <c r="AJ107" s="181"/>
      <c r="AT107" s="35" t="str">
        <f>IFERROR(INDEX('G-6 Hedgerow Data'!$BJ$3:$BJ$15,MATCH(M107,'G-6 Hedgerow Data'!$B$3:$B$15,0)),"")</f>
        <v/>
      </c>
    </row>
    <row r="108" spans="2:46" ht="13.8" x14ac:dyDescent="0.25">
      <c r="B108" s="259" t="str">
        <f>'B-1 Site Hedge Baseline'!AK106</f>
        <v/>
      </c>
      <c r="C108" s="175" t="str">
        <f>IF(B108="","",IF(ISNA(VLOOKUP($B108,'B-1 Site Hedge Baseline'!$B$1:$L$257,3,FALSE)),"",(VLOOKUP($B108,'B-1 Site Hedge Baseline'!$B$1:$L$257,3,FALSE))))</f>
        <v/>
      </c>
      <c r="D108" s="175" t="str">
        <f>IF(B108="","",IF(ISNA(VLOOKUP($B108,'B-1 Site Hedge Baseline'!$B$1:$L$257,4,FALSE)),"",(VLOOKUP($B108,'B-1 Site Hedge Baseline'!$B$1:$L$257,4,FALSE))))</f>
        <v/>
      </c>
      <c r="E108" s="175" t="str">
        <f>IF(B108="","",IF(ISNA(VLOOKUP($B108,'B-1 Site Hedge Baseline'!$B$1:$L$257,5,FALSE)),"",(VLOOKUP($B108,'B-1 Site Hedge Baseline'!$B$1:$L$257,5,FALSE))))</f>
        <v/>
      </c>
      <c r="F108" s="175" t="str">
        <f>IF(B108="","",IF(ISNA(VLOOKUP($B108,'B-1 Site Hedge Baseline'!$B$1:$L$257,6,FALSE)),"",(VLOOKUP($B108,'B-1 Site Hedge Baseline'!$B$1:$L$257,6,FALSE))))</f>
        <v/>
      </c>
      <c r="G108" s="175" t="str">
        <f>IF(B108="","",IF(ISNA(VLOOKUP($B108,'B-1 Site Hedge Baseline'!$B$1:$L$257,7,FALSE)),"",(VLOOKUP($B108,'B-1 Site Hedge Baseline'!$B$1:$L$257,7,FALSE))))</f>
        <v/>
      </c>
      <c r="H108" s="175" t="str">
        <f>IF(B108="","",IF(ISNA(VLOOKUP($B108,'B-1 Site Hedge Baseline'!$B$1:$L$257,8,FALSE)),"",(VLOOKUP($B108,'B-1 Site Hedge Baseline'!$B$1:$L$257,8,FALSE))))</f>
        <v/>
      </c>
      <c r="I108" s="175" t="str">
        <f>IF(B108="","",IF(ISNA(VLOOKUP($B108,'B-1 Site Hedge Baseline'!$B$1:$L$257,10,FALSE)),"",(VLOOKUP($B108,'B-1 Site Hedge Baseline'!$B$1:$L$257,10,FALSE))))</f>
        <v/>
      </c>
      <c r="J108" s="175" t="str">
        <f>IF(B108="","",IF(ISNA(VLOOKUP($B108,'B-1 Site Hedge Baseline'!$B$1:$L$257,11,FALSE)),"",(VLOOKUP($B108,'B-1 Site Hedge Baseline'!$B$1:$L$257,11,FALSE))))</f>
        <v/>
      </c>
      <c r="K108" s="175" t="str">
        <f>IF(B108="","",IF(ISNA(VLOOKUP($B108,'B-1 Site Hedge Baseline'!$B$1:$U$257,13,FALSE)),"",(VLOOKUP($B108,'B-1 Site Hedge Baseline'!$B$1:$U$257,13,FALSE))))</f>
        <v/>
      </c>
      <c r="L108" s="176" t="str">
        <f>IF(B108="","",IF(ISNA(VLOOKUP($B108,'B-1 Site Hedge Baseline'!$B$1:$U$257,12,FALSE)),"",(VLOOKUP($B108,'B-1 Site Hedge Baseline'!$B$1:$U$257,12,FALSE))))</f>
        <v/>
      </c>
      <c r="M108" s="637"/>
      <c r="N108" s="171" t="str">
        <f>IFERROR(IF(B108="","",INDEX('G-6 Hedgerow Data'!$AN$3:$AZ$15,MATCH(C108,'G-6 Hedgerow Data'!$AM$3:$AM$15,0),MATCH(M108,'G-6 Hedgerow Data'!$AN$2:$AZ$2,0))),"")</f>
        <v/>
      </c>
      <c r="O108" s="172" t="str">
        <f t="shared" si="7"/>
        <v/>
      </c>
      <c r="P108" s="642" t="str">
        <f>IF(B108="","",VLOOKUP(B108,'B-1 Site Hedge Baseline'!$B$10:T353,16,FALSE))</f>
        <v/>
      </c>
      <c r="Q108" s="171" t="str">
        <f>IF(M108="","",VLOOKUP(M108,'G-6 Hedgerow Data'!$B$2:$AG$15,2,FALSE))</f>
        <v/>
      </c>
      <c r="R108" s="172" t="str">
        <f>IF(M108="","",VLOOKUP(M108,'G-6 Hedgerow Data'!$B$2:$AG$15,3,FALSE))</f>
        <v/>
      </c>
      <c r="S108" s="189"/>
      <c r="T108" s="269" t="str">
        <f>IFERROR(VLOOKUP(S108,'G-1 All Habitats'!$Z$2:$AA$9,2,FALSE),"")</f>
        <v/>
      </c>
      <c r="U108" s="186"/>
      <c r="V108" s="175" t="str">
        <f>IF(U108="","",IF(VLOOKUP(U108,'G-3 Multipliers'!$L$3:$N$6,2,FALSE)=0,"Spatial Data Missing",VLOOKUP(U108,'G-3 Multipliers'!$L$3:$N$6,2,FALSE)))</f>
        <v/>
      </c>
      <c r="W108" s="176" t="str">
        <f>IF(U108="","",IF(VLOOKUP(U108,'G-3 Multipliers'!$L$3:$N$6,3,FALSE)=0,"Spatial Data Missing",VLOOKUP(U108,'G-3 Multipliers'!$L$3:$N$6,3,FALSE)))</f>
        <v/>
      </c>
      <c r="X108" s="171" t="str">
        <f>IFERROR(IF(OR(LEFT(O108,5)="Error",LEFT(N108,5)="Error",T108="Error"),"Check Data",IF(F108&lt;R108,INDEX('G-6 Hedgerow Data'!$S$3:$AE$14,MATCH(C108,'G-6 Hedgerow Data'!$B$3:$B$14,0),MATCH(M108,'G-6 Hedgerow Data'!$S$2:$AE$2,0)),INDEX('G-6 Hedgerow Data'!$K$3:$Q$14,MATCH(M108,'G-6 Hedgerow Data'!$B$3:$B$14,0),MATCH(O108,'G-6 Hedgerow Data'!$K$2:$Q$2,0)))),"")</f>
        <v/>
      </c>
      <c r="Y108" s="261"/>
      <c r="Z108" s="261"/>
      <c r="AA108" s="179" t="str">
        <f t="shared" si="10"/>
        <v/>
      </c>
      <c r="AB108" s="262" t="str">
        <f t="shared" si="11"/>
        <v/>
      </c>
      <c r="AC108" s="263" t="str">
        <f t="shared" si="8"/>
        <v/>
      </c>
      <c r="AD108" s="239" t="str">
        <f>IF(M108="","",VLOOKUP(M108,'G-6 Hedgerow Data'!$B$3:$AG$15,31,FALSE))</f>
        <v/>
      </c>
      <c r="AE108" s="179" t="str">
        <f t="shared" si="12"/>
        <v/>
      </c>
      <c r="AF108" s="179" t="str">
        <f t="shared" si="13"/>
        <v/>
      </c>
      <c r="AG108" s="176" t="str">
        <f>IFERROR(IF(O108="","",VLOOKUP(AD108,'G-3 Multipliers'!$P$3:$Q$6,2,FALSE)),"")</f>
        <v/>
      </c>
      <c r="AH108" s="207" t="str">
        <f t="shared" si="9"/>
        <v/>
      </c>
      <c r="AI108" s="336"/>
      <c r="AJ108" s="181"/>
      <c r="AT108" s="35" t="str">
        <f>IFERROR(INDEX('G-6 Hedgerow Data'!$BJ$3:$BJ$15,MATCH(M108,'G-6 Hedgerow Data'!$B$3:$B$15,0)),"")</f>
        <v/>
      </c>
    </row>
    <row r="109" spans="2:46" ht="13.8" x14ac:dyDescent="0.25">
      <c r="B109" s="259" t="str">
        <f>'B-1 Site Hedge Baseline'!AK107</f>
        <v/>
      </c>
      <c r="C109" s="175" t="str">
        <f>IF(B109="","",IF(ISNA(VLOOKUP($B109,'B-1 Site Hedge Baseline'!$B$1:$L$257,3,FALSE)),"",(VLOOKUP($B109,'B-1 Site Hedge Baseline'!$B$1:$L$257,3,FALSE))))</f>
        <v/>
      </c>
      <c r="D109" s="175" t="str">
        <f>IF(B109="","",IF(ISNA(VLOOKUP($B109,'B-1 Site Hedge Baseline'!$B$1:$L$257,4,FALSE)),"",(VLOOKUP($B109,'B-1 Site Hedge Baseline'!$B$1:$L$257,4,FALSE))))</f>
        <v/>
      </c>
      <c r="E109" s="175" t="str">
        <f>IF(B109="","",IF(ISNA(VLOOKUP($B109,'B-1 Site Hedge Baseline'!$B$1:$L$257,5,FALSE)),"",(VLOOKUP($B109,'B-1 Site Hedge Baseline'!$B$1:$L$257,5,FALSE))))</f>
        <v/>
      </c>
      <c r="F109" s="175" t="str">
        <f>IF(B109="","",IF(ISNA(VLOOKUP($B109,'B-1 Site Hedge Baseline'!$B$1:$L$257,6,FALSE)),"",(VLOOKUP($B109,'B-1 Site Hedge Baseline'!$B$1:$L$257,6,FALSE))))</f>
        <v/>
      </c>
      <c r="G109" s="175" t="str">
        <f>IF(B109="","",IF(ISNA(VLOOKUP($B109,'B-1 Site Hedge Baseline'!$B$1:$L$257,7,FALSE)),"",(VLOOKUP($B109,'B-1 Site Hedge Baseline'!$B$1:$L$257,7,FALSE))))</f>
        <v/>
      </c>
      <c r="H109" s="175" t="str">
        <f>IF(B109="","",IF(ISNA(VLOOKUP($B109,'B-1 Site Hedge Baseline'!$B$1:$L$257,8,FALSE)),"",(VLOOKUP($B109,'B-1 Site Hedge Baseline'!$B$1:$L$257,8,FALSE))))</f>
        <v/>
      </c>
      <c r="I109" s="175" t="str">
        <f>IF(B109="","",IF(ISNA(VLOOKUP($B109,'B-1 Site Hedge Baseline'!$B$1:$L$257,10,FALSE)),"",(VLOOKUP($B109,'B-1 Site Hedge Baseline'!$B$1:$L$257,10,FALSE))))</f>
        <v/>
      </c>
      <c r="J109" s="175" t="str">
        <f>IF(B109="","",IF(ISNA(VLOOKUP($B109,'B-1 Site Hedge Baseline'!$B$1:$L$257,11,FALSE)),"",(VLOOKUP($B109,'B-1 Site Hedge Baseline'!$B$1:$L$257,11,FALSE))))</f>
        <v/>
      </c>
      <c r="K109" s="175" t="str">
        <f>IF(B109="","",IF(ISNA(VLOOKUP($B109,'B-1 Site Hedge Baseline'!$B$1:$U$257,13,FALSE)),"",(VLOOKUP($B109,'B-1 Site Hedge Baseline'!$B$1:$U$257,13,FALSE))))</f>
        <v/>
      </c>
      <c r="L109" s="176" t="str">
        <f>IF(B109="","",IF(ISNA(VLOOKUP($B109,'B-1 Site Hedge Baseline'!$B$1:$U$257,12,FALSE)),"",(VLOOKUP($B109,'B-1 Site Hedge Baseline'!$B$1:$U$257,12,FALSE))))</f>
        <v/>
      </c>
      <c r="M109" s="637"/>
      <c r="N109" s="171" t="str">
        <f>IFERROR(IF(B109="","",INDEX('G-6 Hedgerow Data'!$AN$3:$AZ$15,MATCH(C109,'G-6 Hedgerow Data'!$AM$3:$AM$15,0),MATCH(M109,'G-6 Hedgerow Data'!$AN$2:$AZ$2,0))),"")</f>
        <v/>
      </c>
      <c r="O109" s="172" t="str">
        <f t="shared" si="7"/>
        <v/>
      </c>
      <c r="P109" s="642" t="str">
        <f>IF(B109="","",VLOOKUP(B109,'B-1 Site Hedge Baseline'!$B$10:T354,16,FALSE))</f>
        <v/>
      </c>
      <c r="Q109" s="171" t="str">
        <f>IF(M109="","",VLOOKUP(M109,'G-6 Hedgerow Data'!$B$2:$AG$15,2,FALSE))</f>
        <v/>
      </c>
      <c r="R109" s="172" t="str">
        <f>IF(M109="","",VLOOKUP(M109,'G-6 Hedgerow Data'!$B$2:$AG$15,3,FALSE))</f>
        <v/>
      </c>
      <c r="S109" s="189"/>
      <c r="T109" s="269" t="str">
        <f>IFERROR(VLOOKUP(S109,'G-1 All Habitats'!$Z$2:$AA$9,2,FALSE),"")</f>
        <v/>
      </c>
      <c r="U109" s="186"/>
      <c r="V109" s="175" t="str">
        <f>IF(U109="","",IF(VLOOKUP(U109,'G-3 Multipliers'!$L$3:$N$6,2,FALSE)=0,"Spatial Data Missing",VLOOKUP(U109,'G-3 Multipliers'!$L$3:$N$6,2,FALSE)))</f>
        <v/>
      </c>
      <c r="W109" s="176" t="str">
        <f>IF(U109="","",IF(VLOOKUP(U109,'G-3 Multipliers'!$L$3:$N$6,3,FALSE)=0,"Spatial Data Missing",VLOOKUP(U109,'G-3 Multipliers'!$L$3:$N$6,3,FALSE)))</f>
        <v/>
      </c>
      <c r="X109" s="171" t="str">
        <f>IFERROR(IF(OR(LEFT(O109,5)="Error",LEFT(N109,5)="Error",T109="Error"),"Check Data",IF(F109&lt;R109,INDEX('G-6 Hedgerow Data'!$S$3:$AE$14,MATCH(C109,'G-6 Hedgerow Data'!$B$3:$B$14,0),MATCH(M109,'G-6 Hedgerow Data'!$S$2:$AE$2,0)),INDEX('G-6 Hedgerow Data'!$K$3:$Q$14,MATCH(M109,'G-6 Hedgerow Data'!$B$3:$B$14,0),MATCH(O109,'G-6 Hedgerow Data'!$K$2:$Q$2,0)))),"")</f>
        <v/>
      </c>
      <c r="Y109" s="261"/>
      <c r="Z109" s="261"/>
      <c r="AA109" s="179" t="str">
        <f t="shared" si="10"/>
        <v/>
      </c>
      <c r="AB109" s="262" t="str">
        <f t="shared" si="11"/>
        <v/>
      </c>
      <c r="AC109" s="263" t="str">
        <f t="shared" si="8"/>
        <v/>
      </c>
      <c r="AD109" s="239" t="str">
        <f>IF(M109="","",VLOOKUP(M109,'G-6 Hedgerow Data'!$B$3:$AG$15,31,FALSE))</f>
        <v/>
      </c>
      <c r="AE109" s="179" t="str">
        <f t="shared" si="12"/>
        <v/>
      </c>
      <c r="AF109" s="179" t="str">
        <f t="shared" si="13"/>
        <v/>
      </c>
      <c r="AG109" s="176" t="str">
        <f>IFERROR(IF(O109="","",VLOOKUP(AD109,'G-3 Multipliers'!$P$3:$Q$6,2,FALSE)),"")</f>
        <v/>
      </c>
      <c r="AH109" s="207" t="str">
        <f t="shared" si="9"/>
        <v/>
      </c>
      <c r="AI109" s="336"/>
      <c r="AJ109" s="181"/>
      <c r="AT109" s="35" t="str">
        <f>IFERROR(INDEX('G-6 Hedgerow Data'!$BJ$3:$BJ$15,MATCH(M109,'G-6 Hedgerow Data'!$B$3:$B$15,0)),"")</f>
        <v/>
      </c>
    </row>
    <row r="110" spans="2:46" ht="13.8" x14ac:dyDescent="0.25">
      <c r="B110" s="259" t="str">
        <f>'B-1 Site Hedge Baseline'!AK108</f>
        <v/>
      </c>
      <c r="C110" s="175" t="str">
        <f>IF(B110="","",IF(ISNA(VLOOKUP($B110,'B-1 Site Hedge Baseline'!$B$1:$L$257,3,FALSE)),"",(VLOOKUP($B110,'B-1 Site Hedge Baseline'!$B$1:$L$257,3,FALSE))))</f>
        <v/>
      </c>
      <c r="D110" s="175" t="str">
        <f>IF(B110="","",IF(ISNA(VLOOKUP($B110,'B-1 Site Hedge Baseline'!$B$1:$L$257,4,FALSE)),"",(VLOOKUP($B110,'B-1 Site Hedge Baseline'!$B$1:$L$257,4,FALSE))))</f>
        <v/>
      </c>
      <c r="E110" s="175" t="str">
        <f>IF(B110="","",IF(ISNA(VLOOKUP($B110,'B-1 Site Hedge Baseline'!$B$1:$L$257,5,FALSE)),"",(VLOOKUP($B110,'B-1 Site Hedge Baseline'!$B$1:$L$257,5,FALSE))))</f>
        <v/>
      </c>
      <c r="F110" s="175" t="str">
        <f>IF(B110="","",IF(ISNA(VLOOKUP($B110,'B-1 Site Hedge Baseline'!$B$1:$L$257,6,FALSE)),"",(VLOOKUP($B110,'B-1 Site Hedge Baseline'!$B$1:$L$257,6,FALSE))))</f>
        <v/>
      </c>
      <c r="G110" s="175" t="str">
        <f>IF(B110="","",IF(ISNA(VLOOKUP($B110,'B-1 Site Hedge Baseline'!$B$1:$L$257,7,FALSE)),"",(VLOOKUP($B110,'B-1 Site Hedge Baseline'!$B$1:$L$257,7,FALSE))))</f>
        <v/>
      </c>
      <c r="H110" s="175" t="str">
        <f>IF(B110="","",IF(ISNA(VLOOKUP($B110,'B-1 Site Hedge Baseline'!$B$1:$L$257,8,FALSE)),"",(VLOOKUP($B110,'B-1 Site Hedge Baseline'!$B$1:$L$257,8,FALSE))))</f>
        <v/>
      </c>
      <c r="I110" s="175" t="str">
        <f>IF(B110="","",IF(ISNA(VLOOKUP($B110,'B-1 Site Hedge Baseline'!$B$1:$L$257,10,FALSE)),"",(VLOOKUP($B110,'B-1 Site Hedge Baseline'!$B$1:$L$257,10,FALSE))))</f>
        <v/>
      </c>
      <c r="J110" s="175" t="str">
        <f>IF(B110="","",IF(ISNA(VLOOKUP($B110,'B-1 Site Hedge Baseline'!$B$1:$L$257,11,FALSE)),"",(VLOOKUP($B110,'B-1 Site Hedge Baseline'!$B$1:$L$257,11,FALSE))))</f>
        <v/>
      </c>
      <c r="K110" s="175" t="str">
        <f>IF(B110="","",IF(ISNA(VLOOKUP($B110,'B-1 Site Hedge Baseline'!$B$1:$U$257,13,FALSE)),"",(VLOOKUP($B110,'B-1 Site Hedge Baseline'!$B$1:$U$257,13,FALSE))))</f>
        <v/>
      </c>
      <c r="L110" s="176" t="str">
        <f>IF(B110="","",IF(ISNA(VLOOKUP($B110,'B-1 Site Hedge Baseline'!$B$1:$U$257,12,FALSE)),"",(VLOOKUP($B110,'B-1 Site Hedge Baseline'!$B$1:$U$257,12,FALSE))))</f>
        <v/>
      </c>
      <c r="M110" s="637"/>
      <c r="N110" s="171" t="str">
        <f>IFERROR(IF(B110="","",INDEX('G-6 Hedgerow Data'!$AN$3:$AZ$15,MATCH(C110,'G-6 Hedgerow Data'!$AM$3:$AM$15,0),MATCH(M110,'G-6 Hedgerow Data'!$AN$2:$AZ$2,0))),"")</f>
        <v/>
      </c>
      <c r="O110" s="172" t="str">
        <f t="shared" si="7"/>
        <v/>
      </c>
      <c r="P110" s="642" t="str">
        <f>IF(B110="","",VLOOKUP(B110,'B-1 Site Hedge Baseline'!$B$10:T355,16,FALSE))</f>
        <v/>
      </c>
      <c r="Q110" s="171" t="str">
        <f>IF(M110="","",VLOOKUP(M110,'G-6 Hedgerow Data'!$B$2:$AG$15,2,FALSE))</f>
        <v/>
      </c>
      <c r="R110" s="172" t="str">
        <f>IF(M110="","",VLOOKUP(M110,'G-6 Hedgerow Data'!$B$2:$AG$15,3,FALSE))</f>
        <v/>
      </c>
      <c r="S110" s="189"/>
      <c r="T110" s="269" t="str">
        <f>IFERROR(VLOOKUP(S110,'G-1 All Habitats'!$Z$2:$AA$9,2,FALSE),"")</f>
        <v/>
      </c>
      <c r="U110" s="186"/>
      <c r="V110" s="175" t="str">
        <f>IF(U110="","",IF(VLOOKUP(U110,'G-3 Multipliers'!$L$3:$N$6,2,FALSE)=0,"Spatial Data Missing",VLOOKUP(U110,'G-3 Multipliers'!$L$3:$N$6,2,FALSE)))</f>
        <v/>
      </c>
      <c r="W110" s="176" t="str">
        <f>IF(U110="","",IF(VLOOKUP(U110,'G-3 Multipliers'!$L$3:$N$6,3,FALSE)=0,"Spatial Data Missing",VLOOKUP(U110,'G-3 Multipliers'!$L$3:$N$6,3,FALSE)))</f>
        <v/>
      </c>
      <c r="X110" s="171" t="str">
        <f>IFERROR(IF(OR(LEFT(O110,5)="Error",LEFT(N110,5)="Error",T110="Error"),"Check Data",IF(F110&lt;R110,INDEX('G-6 Hedgerow Data'!$S$3:$AE$14,MATCH(C110,'G-6 Hedgerow Data'!$B$3:$B$14,0),MATCH(M110,'G-6 Hedgerow Data'!$S$2:$AE$2,0)),INDEX('G-6 Hedgerow Data'!$K$3:$Q$14,MATCH(M110,'G-6 Hedgerow Data'!$B$3:$B$14,0),MATCH(O110,'G-6 Hedgerow Data'!$K$2:$Q$2,0)))),"")</f>
        <v/>
      </c>
      <c r="Y110" s="261"/>
      <c r="Z110" s="261"/>
      <c r="AA110" s="179" t="str">
        <f t="shared" si="10"/>
        <v/>
      </c>
      <c r="AB110" s="262" t="str">
        <f t="shared" si="11"/>
        <v/>
      </c>
      <c r="AC110" s="263" t="str">
        <f t="shared" si="8"/>
        <v/>
      </c>
      <c r="AD110" s="239" t="str">
        <f>IF(M110="","",VLOOKUP(M110,'G-6 Hedgerow Data'!$B$3:$AG$15,31,FALSE))</f>
        <v/>
      </c>
      <c r="AE110" s="179" t="str">
        <f t="shared" si="12"/>
        <v/>
      </c>
      <c r="AF110" s="179" t="str">
        <f t="shared" si="13"/>
        <v/>
      </c>
      <c r="AG110" s="176" t="str">
        <f>IFERROR(IF(O110="","",VLOOKUP(AD110,'G-3 Multipliers'!$P$3:$Q$6,2,FALSE)),"")</f>
        <v/>
      </c>
      <c r="AH110" s="207" t="str">
        <f t="shared" si="9"/>
        <v/>
      </c>
      <c r="AI110" s="336"/>
      <c r="AJ110" s="181"/>
      <c r="AT110" s="35" t="str">
        <f>IFERROR(INDEX('G-6 Hedgerow Data'!$BJ$3:$BJ$15,MATCH(M110,'G-6 Hedgerow Data'!$B$3:$B$15,0)),"")</f>
        <v/>
      </c>
    </row>
    <row r="111" spans="2:46" ht="13.8" x14ac:dyDescent="0.25">
      <c r="B111" s="259" t="str">
        <f>'B-1 Site Hedge Baseline'!AK109</f>
        <v/>
      </c>
      <c r="C111" s="175" t="str">
        <f>IF(B111="","",IF(ISNA(VLOOKUP($B111,'B-1 Site Hedge Baseline'!$B$1:$L$257,3,FALSE)),"",(VLOOKUP($B111,'B-1 Site Hedge Baseline'!$B$1:$L$257,3,FALSE))))</f>
        <v/>
      </c>
      <c r="D111" s="175" t="str">
        <f>IF(B111="","",IF(ISNA(VLOOKUP($B111,'B-1 Site Hedge Baseline'!$B$1:$L$257,4,FALSE)),"",(VLOOKUP($B111,'B-1 Site Hedge Baseline'!$B$1:$L$257,4,FALSE))))</f>
        <v/>
      </c>
      <c r="E111" s="175" t="str">
        <f>IF(B111="","",IF(ISNA(VLOOKUP($B111,'B-1 Site Hedge Baseline'!$B$1:$L$257,5,FALSE)),"",(VLOOKUP($B111,'B-1 Site Hedge Baseline'!$B$1:$L$257,5,FALSE))))</f>
        <v/>
      </c>
      <c r="F111" s="175" t="str">
        <f>IF(B111="","",IF(ISNA(VLOOKUP($B111,'B-1 Site Hedge Baseline'!$B$1:$L$257,6,FALSE)),"",(VLOOKUP($B111,'B-1 Site Hedge Baseline'!$B$1:$L$257,6,FALSE))))</f>
        <v/>
      </c>
      <c r="G111" s="175" t="str">
        <f>IF(B111="","",IF(ISNA(VLOOKUP($B111,'B-1 Site Hedge Baseline'!$B$1:$L$257,7,FALSE)),"",(VLOOKUP($B111,'B-1 Site Hedge Baseline'!$B$1:$L$257,7,FALSE))))</f>
        <v/>
      </c>
      <c r="H111" s="175" t="str">
        <f>IF(B111="","",IF(ISNA(VLOOKUP($B111,'B-1 Site Hedge Baseline'!$B$1:$L$257,8,FALSE)),"",(VLOOKUP($B111,'B-1 Site Hedge Baseline'!$B$1:$L$257,8,FALSE))))</f>
        <v/>
      </c>
      <c r="I111" s="175" t="str">
        <f>IF(B111="","",IF(ISNA(VLOOKUP($B111,'B-1 Site Hedge Baseline'!$B$1:$L$257,10,FALSE)),"",(VLOOKUP($B111,'B-1 Site Hedge Baseline'!$B$1:$L$257,10,FALSE))))</f>
        <v/>
      </c>
      <c r="J111" s="175" t="str">
        <f>IF(B111="","",IF(ISNA(VLOOKUP($B111,'B-1 Site Hedge Baseline'!$B$1:$L$257,11,FALSE)),"",(VLOOKUP($B111,'B-1 Site Hedge Baseline'!$B$1:$L$257,11,FALSE))))</f>
        <v/>
      </c>
      <c r="K111" s="175" t="str">
        <f>IF(B111="","",IF(ISNA(VLOOKUP($B111,'B-1 Site Hedge Baseline'!$B$1:$U$257,13,FALSE)),"",(VLOOKUP($B111,'B-1 Site Hedge Baseline'!$B$1:$U$257,13,FALSE))))</f>
        <v/>
      </c>
      <c r="L111" s="176" t="str">
        <f>IF(B111="","",IF(ISNA(VLOOKUP($B111,'B-1 Site Hedge Baseline'!$B$1:$U$257,12,FALSE)),"",(VLOOKUP($B111,'B-1 Site Hedge Baseline'!$B$1:$U$257,12,FALSE))))</f>
        <v/>
      </c>
      <c r="M111" s="637"/>
      <c r="N111" s="171" t="str">
        <f>IFERROR(IF(B111="","",INDEX('G-6 Hedgerow Data'!$AN$3:$AZ$15,MATCH(C111,'G-6 Hedgerow Data'!$AM$3:$AM$15,0),MATCH(M111,'G-6 Hedgerow Data'!$AN$2:$AZ$2,0))),"")</f>
        <v/>
      </c>
      <c r="O111" s="172" t="str">
        <f t="shared" si="7"/>
        <v/>
      </c>
      <c r="P111" s="642" t="str">
        <f>IF(B111="","",VLOOKUP(B111,'B-1 Site Hedge Baseline'!$B$10:T356,16,FALSE))</f>
        <v/>
      </c>
      <c r="Q111" s="171" t="str">
        <f>IF(M111="","",VLOOKUP(M111,'G-6 Hedgerow Data'!$B$2:$AG$15,2,FALSE))</f>
        <v/>
      </c>
      <c r="R111" s="172" t="str">
        <f>IF(M111="","",VLOOKUP(M111,'G-6 Hedgerow Data'!$B$2:$AG$15,3,FALSE))</f>
        <v/>
      </c>
      <c r="S111" s="189"/>
      <c r="T111" s="269" t="str">
        <f>IFERROR(VLOOKUP(S111,'G-1 All Habitats'!$Z$2:$AA$9,2,FALSE),"")</f>
        <v/>
      </c>
      <c r="U111" s="186"/>
      <c r="V111" s="175" t="str">
        <f>IF(U111="","",IF(VLOOKUP(U111,'G-3 Multipliers'!$L$3:$N$6,2,FALSE)=0,"Spatial Data Missing",VLOOKUP(U111,'G-3 Multipliers'!$L$3:$N$6,2,FALSE)))</f>
        <v/>
      </c>
      <c r="W111" s="176" t="str">
        <f>IF(U111="","",IF(VLOOKUP(U111,'G-3 Multipliers'!$L$3:$N$6,3,FALSE)=0,"Spatial Data Missing",VLOOKUP(U111,'G-3 Multipliers'!$L$3:$N$6,3,FALSE)))</f>
        <v/>
      </c>
      <c r="X111" s="171" t="str">
        <f>IFERROR(IF(OR(LEFT(O111,5)="Error",LEFT(N111,5)="Error",T111="Error"),"Check Data",IF(F111&lt;R111,INDEX('G-6 Hedgerow Data'!$S$3:$AE$14,MATCH(C111,'G-6 Hedgerow Data'!$B$3:$B$14,0),MATCH(M111,'G-6 Hedgerow Data'!$S$2:$AE$2,0)),INDEX('G-6 Hedgerow Data'!$K$3:$Q$14,MATCH(M111,'G-6 Hedgerow Data'!$B$3:$B$14,0),MATCH(O111,'G-6 Hedgerow Data'!$K$2:$Q$2,0)))),"")</f>
        <v/>
      </c>
      <c r="Y111" s="261"/>
      <c r="Z111" s="261"/>
      <c r="AA111" s="179" t="str">
        <f t="shared" si="10"/>
        <v/>
      </c>
      <c r="AB111" s="262" t="str">
        <f t="shared" si="11"/>
        <v/>
      </c>
      <c r="AC111" s="263" t="str">
        <f t="shared" si="8"/>
        <v/>
      </c>
      <c r="AD111" s="239" t="str">
        <f>IF(M111="","",VLOOKUP(M111,'G-6 Hedgerow Data'!$B$3:$AG$15,31,FALSE))</f>
        <v/>
      </c>
      <c r="AE111" s="179" t="str">
        <f t="shared" si="12"/>
        <v/>
      </c>
      <c r="AF111" s="179" t="str">
        <f t="shared" si="13"/>
        <v/>
      </c>
      <c r="AG111" s="176" t="str">
        <f>IFERROR(IF(O111="","",VLOOKUP(AD111,'G-3 Multipliers'!$P$3:$Q$6,2,FALSE)),"")</f>
        <v/>
      </c>
      <c r="AH111" s="207" t="str">
        <f t="shared" si="9"/>
        <v/>
      </c>
      <c r="AI111" s="336"/>
      <c r="AJ111" s="181"/>
      <c r="AT111" s="35" t="str">
        <f>IFERROR(INDEX('G-6 Hedgerow Data'!$BJ$3:$BJ$15,MATCH(M111,'G-6 Hedgerow Data'!$B$3:$B$15,0)),"")</f>
        <v/>
      </c>
    </row>
    <row r="112" spans="2:46" ht="13.8" x14ac:dyDescent="0.25">
      <c r="B112" s="259" t="str">
        <f>'B-1 Site Hedge Baseline'!AK110</f>
        <v/>
      </c>
      <c r="C112" s="175" t="str">
        <f>IF(B112="","",IF(ISNA(VLOOKUP($B112,'B-1 Site Hedge Baseline'!$B$1:$L$257,3,FALSE)),"",(VLOOKUP($B112,'B-1 Site Hedge Baseline'!$B$1:$L$257,3,FALSE))))</f>
        <v/>
      </c>
      <c r="D112" s="175" t="str">
        <f>IF(B112="","",IF(ISNA(VLOOKUP($B112,'B-1 Site Hedge Baseline'!$B$1:$L$257,4,FALSE)),"",(VLOOKUP($B112,'B-1 Site Hedge Baseline'!$B$1:$L$257,4,FALSE))))</f>
        <v/>
      </c>
      <c r="E112" s="175" t="str">
        <f>IF(B112="","",IF(ISNA(VLOOKUP($B112,'B-1 Site Hedge Baseline'!$B$1:$L$257,5,FALSE)),"",(VLOOKUP($B112,'B-1 Site Hedge Baseline'!$B$1:$L$257,5,FALSE))))</f>
        <v/>
      </c>
      <c r="F112" s="175" t="str">
        <f>IF(B112="","",IF(ISNA(VLOOKUP($B112,'B-1 Site Hedge Baseline'!$B$1:$L$257,6,FALSE)),"",(VLOOKUP($B112,'B-1 Site Hedge Baseline'!$B$1:$L$257,6,FALSE))))</f>
        <v/>
      </c>
      <c r="G112" s="175" t="str">
        <f>IF(B112="","",IF(ISNA(VLOOKUP($B112,'B-1 Site Hedge Baseline'!$B$1:$L$257,7,FALSE)),"",(VLOOKUP($B112,'B-1 Site Hedge Baseline'!$B$1:$L$257,7,FALSE))))</f>
        <v/>
      </c>
      <c r="H112" s="175" t="str">
        <f>IF(B112="","",IF(ISNA(VLOOKUP($B112,'B-1 Site Hedge Baseline'!$B$1:$L$257,8,FALSE)),"",(VLOOKUP($B112,'B-1 Site Hedge Baseline'!$B$1:$L$257,8,FALSE))))</f>
        <v/>
      </c>
      <c r="I112" s="175" t="str">
        <f>IF(B112="","",IF(ISNA(VLOOKUP($B112,'B-1 Site Hedge Baseline'!$B$1:$L$257,10,FALSE)),"",(VLOOKUP($B112,'B-1 Site Hedge Baseline'!$B$1:$L$257,10,FALSE))))</f>
        <v/>
      </c>
      <c r="J112" s="175" t="str">
        <f>IF(B112="","",IF(ISNA(VLOOKUP($B112,'B-1 Site Hedge Baseline'!$B$1:$L$257,11,FALSE)),"",(VLOOKUP($B112,'B-1 Site Hedge Baseline'!$B$1:$L$257,11,FALSE))))</f>
        <v/>
      </c>
      <c r="K112" s="175" t="str">
        <f>IF(B112="","",IF(ISNA(VLOOKUP($B112,'B-1 Site Hedge Baseline'!$B$1:$U$257,13,FALSE)),"",(VLOOKUP($B112,'B-1 Site Hedge Baseline'!$B$1:$U$257,13,FALSE))))</f>
        <v/>
      </c>
      <c r="L112" s="176" t="str">
        <f>IF(B112="","",IF(ISNA(VLOOKUP($B112,'B-1 Site Hedge Baseline'!$B$1:$U$257,12,FALSE)),"",(VLOOKUP($B112,'B-1 Site Hedge Baseline'!$B$1:$U$257,12,FALSE))))</f>
        <v/>
      </c>
      <c r="M112" s="637"/>
      <c r="N112" s="171" t="str">
        <f>IFERROR(IF(B112="","",INDEX('G-6 Hedgerow Data'!$AN$3:$AZ$15,MATCH(C112,'G-6 Hedgerow Data'!$AM$3:$AM$15,0),MATCH(M112,'G-6 Hedgerow Data'!$AN$2:$AZ$2,0))),"")</f>
        <v/>
      </c>
      <c r="O112" s="172" t="str">
        <f t="shared" si="7"/>
        <v/>
      </c>
      <c r="P112" s="642" t="str">
        <f>IF(B112="","",VLOOKUP(B112,'B-1 Site Hedge Baseline'!$B$10:T357,16,FALSE))</f>
        <v/>
      </c>
      <c r="Q112" s="171" t="str">
        <f>IF(M112="","",VLOOKUP(M112,'G-6 Hedgerow Data'!$B$2:$AG$15,2,FALSE))</f>
        <v/>
      </c>
      <c r="R112" s="172" t="str">
        <f>IF(M112="","",VLOOKUP(M112,'G-6 Hedgerow Data'!$B$2:$AG$15,3,FALSE))</f>
        <v/>
      </c>
      <c r="S112" s="189"/>
      <c r="T112" s="269" t="str">
        <f>IFERROR(VLOOKUP(S112,'G-1 All Habitats'!$Z$2:$AA$9,2,FALSE),"")</f>
        <v/>
      </c>
      <c r="U112" s="186"/>
      <c r="V112" s="175" t="str">
        <f>IF(U112="","",IF(VLOOKUP(U112,'G-3 Multipliers'!$L$3:$N$6,2,FALSE)=0,"Spatial Data Missing",VLOOKUP(U112,'G-3 Multipliers'!$L$3:$N$6,2,FALSE)))</f>
        <v/>
      </c>
      <c r="W112" s="176" t="str">
        <f>IF(U112="","",IF(VLOOKUP(U112,'G-3 Multipliers'!$L$3:$N$6,3,FALSE)=0,"Spatial Data Missing",VLOOKUP(U112,'G-3 Multipliers'!$L$3:$N$6,3,FALSE)))</f>
        <v/>
      </c>
      <c r="X112" s="171" t="str">
        <f>IFERROR(IF(OR(LEFT(O112,5)="Error",LEFT(N112,5)="Error",T112="Error"),"Check Data",IF(F112&lt;R112,INDEX('G-6 Hedgerow Data'!$S$3:$AE$14,MATCH(C112,'G-6 Hedgerow Data'!$B$3:$B$14,0),MATCH(M112,'G-6 Hedgerow Data'!$S$2:$AE$2,0)),INDEX('G-6 Hedgerow Data'!$K$3:$Q$14,MATCH(M112,'G-6 Hedgerow Data'!$B$3:$B$14,0),MATCH(O112,'G-6 Hedgerow Data'!$K$2:$Q$2,0)))),"")</f>
        <v/>
      </c>
      <c r="Y112" s="261"/>
      <c r="Z112" s="261"/>
      <c r="AA112" s="179" t="str">
        <f t="shared" si="10"/>
        <v/>
      </c>
      <c r="AB112" s="262" t="str">
        <f t="shared" si="11"/>
        <v/>
      </c>
      <c r="AC112" s="263" t="str">
        <f t="shared" si="8"/>
        <v/>
      </c>
      <c r="AD112" s="239" t="str">
        <f>IF(M112="","",VLOOKUP(M112,'G-6 Hedgerow Data'!$B$3:$AG$15,31,FALSE))</f>
        <v/>
      </c>
      <c r="AE112" s="179" t="str">
        <f t="shared" si="12"/>
        <v/>
      </c>
      <c r="AF112" s="179" t="str">
        <f t="shared" si="13"/>
        <v/>
      </c>
      <c r="AG112" s="176" t="str">
        <f>IFERROR(IF(O112="","",VLOOKUP(AD112,'G-3 Multipliers'!$P$3:$Q$6,2,FALSE)),"")</f>
        <v/>
      </c>
      <c r="AH112" s="207" t="str">
        <f t="shared" si="9"/>
        <v/>
      </c>
      <c r="AI112" s="336"/>
      <c r="AJ112" s="181"/>
      <c r="AT112" s="35" t="str">
        <f>IFERROR(INDEX('G-6 Hedgerow Data'!$BJ$3:$BJ$15,MATCH(M112,'G-6 Hedgerow Data'!$B$3:$B$15,0)),"")</f>
        <v/>
      </c>
    </row>
    <row r="113" spans="2:46" ht="13.8" x14ac:dyDescent="0.25">
      <c r="B113" s="259" t="str">
        <f>'B-1 Site Hedge Baseline'!AK111</f>
        <v/>
      </c>
      <c r="C113" s="175" t="str">
        <f>IF(B113="","",IF(ISNA(VLOOKUP($B113,'B-1 Site Hedge Baseline'!$B$1:$L$257,3,FALSE)),"",(VLOOKUP($B113,'B-1 Site Hedge Baseline'!$B$1:$L$257,3,FALSE))))</f>
        <v/>
      </c>
      <c r="D113" s="175" t="str">
        <f>IF(B113="","",IF(ISNA(VLOOKUP($B113,'B-1 Site Hedge Baseline'!$B$1:$L$257,4,FALSE)),"",(VLOOKUP($B113,'B-1 Site Hedge Baseline'!$B$1:$L$257,4,FALSE))))</f>
        <v/>
      </c>
      <c r="E113" s="175" t="str">
        <f>IF(B113="","",IF(ISNA(VLOOKUP($B113,'B-1 Site Hedge Baseline'!$B$1:$L$257,5,FALSE)),"",(VLOOKUP($B113,'B-1 Site Hedge Baseline'!$B$1:$L$257,5,FALSE))))</f>
        <v/>
      </c>
      <c r="F113" s="175" t="str">
        <f>IF(B113="","",IF(ISNA(VLOOKUP($B113,'B-1 Site Hedge Baseline'!$B$1:$L$257,6,FALSE)),"",(VLOOKUP($B113,'B-1 Site Hedge Baseline'!$B$1:$L$257,6,FALSE))))</f>
        <v/>
      </c>
      <c r="G113" s="175" t="str">
        <f>IF(B113="","",IF(ISNA(VLOOKUP($B113,'B-1 Site Hedge Baseline'!$B$1:$L$257,7,FALSE)),"",(VLOOKUP($B113,'B-1 Site Hedge Baseline'!$B$1:$L$257,7,FALSE))))</f>
        <v/>
      </c>
      <c r="H113" s="175" t="str">
        <f>IF(B113="","",IF(ISNA(VLOOKUP($B113,'B-1 Site Hedge Baseline'!$B$1:$L$257,8,FALSE)),"",(VLOOKUP($B113,'B-1 Site Hedge Baseline'!$B$1:$L$257,8,FALSE))))</f>
        <v/>
      </c>
      <c r="I113" s="175" t="str">
        <f>IF(B113="","",IF(ISNA(VLOOKUP($B113,'B-1 Site Hedge Baseline'!$B$1:$L$257,10,FALSE)),"",(VLOOKUP($B113,'B-1 Site Hedge Baseline'!$B$1:$L$257,10,FALSE))))</f>
        <v/>
      </c>
      <c r="J113" s="175" t="str">
        <f>IF(B113="","",IF(ISNA(VLOOKUP($B113,'B-1 Site Hedge Baseline'!$B$1:$L$257,11,FALSE)),"",(VLOOKUP($B113,'B-1 Site Hedge Baseline'!$B$1:$L$257,11,FALSE))))</f>
        <v/>
      </c>
      <c r="K113" s="175" t="str">
        <f>IF(B113="","",IF(ISNA(VLOOKUP($B113,'B-1 Site Hedge Baseline'!$B$1:$U$257,13,FALSE)),"",(VLOOKUP($B113,'B-1 Site Hedge Baseline'!$B$1:$U$257,13,FALSE))))</f>
        <v/>
      </c>
      <c r="L113" s="176" t="str">
        <f>IF(B113="","",IF(ISNA(VLOOKUP($B113,'B-1 Site Hedge Baseline'!$B$1:$U$257,12,FALSE)),"",(VLOOKUP($B113,'B-1 Site Hedge Baseline'!$B$1:$U$257,12,FALSE))))</f>
        <v/>
      </c>
      <c r="M113" s="637"/>
      <c r="N113" s="171" t="str">
        <f>IFERROR(IF(B113="","",INDEX('G-6 Hedgerow Data'!$AN$3:$AZ$15,MATCH(C113,'G-6 Hedgerow Data'!$AM$3:$AM$15,0),MATCH(M113,'G-6 Hedgerow Data'!$AN$2:$AZ$2,0))),"")</f>
        <v/>
      </c>
      <c r="O113" s="172" t="str">
        <f t="shared" si="7"/>
        <v/>
      </c>
      <c r="P113" s="642" t="str">
        <f>IF(B113="","",VLOOKUP(B113,'B-1 Site Hedge Baseline'!$B$10:T358,16,FALSE))</f>
        <v/>
      </c>
      <c r="Q113" s="171" t="str">
        <f>IF(M113="","",VLOOKUP(M113,'G-6 Hedgerow Data'!$B$2:$AG$15,2,FALSE))</f>
        <v/>
      </c>
      <c r="R113" s="172" t="str">
        <f>IF(M113="","",VLOOKUP(M113,'G-6 Hedgerow Data'!$B$2:$AG$15,3,FALSE))</f>
        <v/>
      </c>
      <c r="S113" s="189"/>
      <c r="T113" s="269" t="str">
        <f>IFERROR(VLOOKUP(S113,'G-1 All Habitats'!$Z$2:$AA$9,2,FALSE),"")</f>
        <v/>
      </c>
      <c r="U113" s="186"/>
      <c r="V113" s="175" t="str">
        <f>IF(U113="","",IF(VLOOKUP(U113,'G-3 Multipliers'!$L$3:$N$6,2,FALSE)=0,"Spatial Data Missing",VLOOKUP(U113,'G-3 Multipliers'!$L$3:$N$6,2,FALSE)))</f>
        <v/>
      </c>
      <c r="W113" s="176" t="str">
        <f>IF(U113="","",IF(VLOOKUP(U113,'G-3 Multipliers'!$L$3:$N$6,3,FALSE)=0,"Spatial Data Missing",VLOOKUP(U113,'G-3 Multipliers'!$L$3:$N$6,3,FALSE)))</f>
        <v/>
      </c>
      <c r="X113" s="171" t="str">
        <f>IFERROR(IF(OR(LEFT(O113,5)="Error",LEFT(N113,5)="Error",T113="Error"),"Check Data",IF(F113&lt;R113,INDEX('G-6 Hedgerow Data'!$S$3:$AE$14,MATCH(C113,'G-6 Hedgerow Data'!$B$3:$B$14,0),MATCH(M113,'G-6 Hedgerow Data'!$S$2:$AE$2,0)),INDEX('G-6 Hedgerow Data'!$K$3:$Q$14,MATCH(M113,'G-6 Hedgerow Data'!$B$3:$B$14,0),MATCH(O113,'G-6 Hedgerow Data'!$K$2:$Q$2,0)))),"")</f>
        <v/>
      </c>
      <c r="Y113" s="261"/>
      <c r="Z113" s="261"/>
      <c r="AA113" s="179" t="str">
        <f t="shared" si="10"/>
        <v/>
      </c>
      <c r="AB113" s="262" t="str">
        <f t="shared" si="11"/>
        <v/>
      </c>
      <c r="AC113" s="263" t="str">
        <f t="shared" si="8"/>
        <v/>
      </c>
      <c r="AD113" s="239" t="str">
        <f>IF(M113="","",VLOOKUP(M113,'G-6 Hedgerow Data'!$B$3:$AG$15,31,FALSE))</f>
        <v/>
      </c>
      <c r="AE113" s="179" t="str">
        <f t="shared" si="12"/>
        <v/>
      </c>
      <c r="AF113" s="179" t="str">
        <f t="shared" si="13"/>
        <v/>
      </c>
      <c r="AG113" s="176" t="str">
        <f>IFERROR(IF(O113="","",VLOOKUP(AD113,'G-3 Multipliers'!$P$3:$Q$6,2,FALSE)),"")</f>
        <v/>
      </c>
      <c r="AH113" s="207" t="str">
        <f t="shared" si="9"/>
        <v/>
      </c>
      <c r="AI113" s="336"/>
      <c r="AJ113" s="181"/>
      <c r="AT113" s="35" t="str">
        <f>IFERROR(INDEX('G-6 Hedgerow Data'!$BJ$3:$BJ$15,MATCH(M113,'G-6 Hedgerow Data'!$B$3:$B$15,0)),"")</f>
        <v/>
      </c>
    </row>
    <row r="114" spans="2:46" ht="13.8" x14ac:dyDescent="0.25">
      <c r="B114" s="259" t="str">
        <f>'B-1 Site Hedge Baseline'!AK112</f>
        <v/>
      </c>
      <c r="C114" s="175" t="str">
        <f>IF(B114="","",IF(ISNA(VLOOKUP($B114,'B-1 Site Hedge Baseline'!$B$1:$L$257,3,FALSE)),"",(VLOOKUP($B114,'B-1 Site Hedge Baseline'!$B$1:$L$257,3,FALSE))))</f>
        <v/>
      </c>
      <c r="D114" s="175" t="str">
        <f>IF(B114="","",IF(ISNA(VLOOKUP($B114,'B-1 Site Hedge Baseline'!$B$1:$L$257,4,FALSE)),"",(VLOOKUP($B114,'B-1 Site Hedge Baseline'!$B$1:$L$257,4,FALSE))))</f>
        <v/>
      </c>
      <c r="E114" s="175" t="str">
        <f>IF(B114="","",IF(ISNA(VLOOKUP($B114,'B-1 Site Hedge Baseline'!$B$1:$L$257,5,FALSE)),"",(VLOOKUP($B114,'B-1 Site Hedge Baseline'!$B$1:$L$257,5,FALSE))))</f>
        <v/>
      </c>
      <c r="F114" s="175" t="str">
        <f>IF(B114="","",IF(ISNA(VLOOKUP($B114,'B-1 Site Hedge Baseline'!$B$1:$L$257,6,FALSE)),"",(VLOOKUP($B114,'B-1 Site Hedge Baseline'!$B$1:$L$257,6,FALSE))))</f>
        <v/>
      </c>
      <c r="G114" s="175" t="str">
        <f>IF(B114="","",IF(ISNA(VLOOKUP($B114,'B-1 Site Hedge Baseline'!$B$1:$L$257,7,FALSE)),"",(VLOOKUP($B114,'B-1 Site Hedge Baseline'!$B$1:$L$257,7,FALSE))))</f>
        <v/>
      </c>
      <c r="H114" s="175" t="str">
        <f>IF(B114="","",IF(ISNA(VLOOKUP($B114,'B-1 Site Hedge Baseline'!$B$1:$L$257,8,FALSE)),"",(VLOOKUP($B114,'B-1 Site Hedge Baseline'!$B$1:$L$257,8,FALSE))))</f>
        <v/>
      </c>
      <c r="I114" s="175" t="str">
        <f>IF(B114="","",IF(ISNA(VLOOKUP($B114,'B-1 Site Hedge Baseline'!$B$1:$L$257,10,FALSE)),"",(VLOOKUP($B114,'B-1 Site Hedge Baseline'!$B$1:$L$257,10,FALSE))))</f>
        <v/>
      </c>
      <c r="J114" s="175" t="str">
        <f>IF(B114="","",IF(ISNA(VLOOKUP($B114,'B-1 Site Hedge Baseline'!$B$1:$L$257,11,FALSE)),"",(VLOOKUP($B114,'B-1 Site Hedge Baseline'!$B$1:$L$257,11,FALSE))))</f>
        <v/>
      </c>
      <c r="K114" s="175" t="str">
        <f>IF(B114="","",IF(ISNA(VLOOKUP($B114,'B-1 Site Hedge Baseline'!$B$1:$U$257,13,FALSE)),"",(VLOOKUP($B114,'B-1 Site Hedge Baseline'!$B$1:$U$257,13,FALSE))))</f>
        <v/>
      </c>
      <c r="L114" s="176" t="str">
        <f>IF(B114="","",IF(ISNA(VLOOKUP($B114,'B-1 Site Hedge Baseline'!$B$1:$U$257,12,FALSE)),"",(VLOOKUP($B114,'B-1 Site Hedge Baseline'!$B$1:$U$257,12,FALSE))))</f>
        <v/>
      </c>
      <c r="M114" s="637"/>
      <c r="N114" s="171" t="str">
        <f>IFERROR(IF(B114="","",INDEX('G-6 Hedgerow Data'!$AN$3:$AZ$15,MATCH(C114,'G-6 Hedgerow Data'!$AM$3:$AM$15,0),MATCH(M114,'G-6 Hedgerow Data'!$AN$2:$AZ$2,0))),"")</f>
        <v/>
      </c>
      <c r="O114" s="172" t="str">
        <f t="shared" si="7"/>
        <v/>
      </c>
      <c r="P114" s="642" t="str">
        <f>IF(B114="","",VLOOKUP(B114,'B-1 Site Hedge Baseline'!$B$10:T359,16,FALSE))</f>
        <v/>
      </c>
      <c r="Q114" s="171" t="str">
        <f>IF(M114="","",VLOOKUP(M114,'G-6 Hedgerow Data'!$B$2:$AG$15,2,FALSE))</f>
        <v/>
      </c>
      <c r="R114" s="172" t="str">
        <f>IF(M114="","",VLOOKUP(M114,'G-6 Hedgerow Data'!$B$2:$AG$15,3,FALSE))</f>
        <v/>
      </c>
      <c r="S114" s="189"/>
      <c r="T114" s="269" t="str">
        <f>IFERROR(VLOOKUP(S114,'G-1 All Habitats'!$Z$2:$AA$9,2,FALSE),"")</f>
        <v/>
      </c>
      <c r="U114" s="186"/>
      <c r="V114" s="175" t="str">
        <f>IF(U114="","",IF(VLOOKUP(U114,'G-3 Multipliers'!$L$3:$N$6,2,FALSE)=0,"Spatial Data Missing",VLOOKUP(U114,'G-3 Multipliers'!$L$3:$N$6,2,FALSE)))</f>
        <v/>
      </c>
      <c r="W114" s="176" t="str">
        <f>IF(U114="","",IF(VLOOKUP(U114,'G-3 Multipliers'!$L$3:$N$6,3,FALSE)=0,"Spatial Data Missing",VLOOKUP(U114,'G-3 Multipliers'!$L$3:$N$6,3,FALSE)))</f>
        <v/>
      </c>
      <c r="X114" s="171" t="str">
        <f>IFERROR(IF(OR(LEFT(O114,5)="Error",LEFT(N114,5)="Error",T114="Error"),"Check Data",IF(F114&lt;R114,INDEX('G-6 Hedgerow Data'!$S$3:$AE$14,MATCH(C114,'G-6 Hedgerow Data'!$B$3:$B$14,0),MATCH(M114,'G-6 Hedgerow Data'!$S$2:$AE$2,0)),INDEX('G-6 Hedgerow Data'!$K$3:$Q$14,MATCH(M114,'G-6 Hedgerow Data'!$B$3:$B$14,0),MATCH(O114,'G-6 Hedgerow Data'!$K$2:$Q$2,0)))),"")</f>
        <v/>
      </c>
      <c r="Y114" s="261"/>
      <c r="Z114" s="261"/>
      <c r="AA114" s="179" t="str">
        <f t="shared" si="10"/>
        <v/>
      </c>
      <c r="AB114" s="262" t="str">
        <f t="shared" si="11"/>
        <v/>
      </c>
      <c r="AC114" s="263" t="str">
        <f t="shared" si="8"/>
        <v/>
      </c>
      <c r="AD114" s="239" t="str">
        <f>IF(M114="","",VLOOKUP(M114,'G-6 Hedgerow Data'!$B$3:$AG$15,31,FALSE))</f>
        <v/>
      </c>
      <c r="AE114" s="179" t="str">
        <f t="shared" si="12"/>
        <v/>
      </c>
      <c r="AF114" s="179" t="str">
        <f t="shared" si="13"/>
        <v/>
      </c>
      <c r="AG114" s="176" t="str">
        <f>IFERROR(IF(O114="","",VLOOKUP(AD114,'G-3 Multipliers'!$P$3:$Q$6,2,FALSE)),"")</f>
        <v/>
      </c>
      <c r="AH114" s="207" t="str">
        <f t="shared" si="9"/>
        <v/>
      </c>
      <c r="AI114" s="336"/>
      <c r="AJ114" s="181"/>
      <c r="AT114" s="35" t="str">
        <f>IFERROR(INDEX('G-6 Hedgerow Data'!$BJ$3:$BJ$15,MATCH(M114,'G-6 Hedgerow Data'!$B$3:$B$15,0)),"")</f>
        <v/>
      </c>
    </row>
    <row r="115" spans="2:46" ht="13.8" x14ac:dyDescent="0.25">
      <c r="B115" s="259" t="str">
        <f>'B-1 Site Hedge Baseline'!AK113</f>
        <v/>
      </c>
      <c r="C115" s="175" t="str">
        <f>IF(B115="","",IF(ISNA(VLOOKUP($B115,'B-1 Site Hedge Baseline'!$B$1:$L$257,3,FALSE)),"",(VLOOKUP($B115,'B-1 Site Hedge Baseline'!$B$1:$L$257,3,FALSE))))</f>
        <v/>
      </c>
      <c r="D115" s="175" t="str">
        <f>IF(B115="","",IF(ISNA(VLOOKUP($B115,'B-1 Site Hedge Baseline'!$B$1:$L$257,4,FALSE)),"",(VLOOKUP($B115,'B-1 Site Hedge Baseline'!$B$1:$L$257,4,FALSE))))</f>
        <v/>
      </c>
      <c r="E115" s="175" t="str">
        <f>IF(B115="","",IF(ISNA(VLOOKUP($B115,'B-1 Site Hedge Baseline'!$B$1:$L$257,5,FALSE)),"",(VLOOKUP($B115,'B-1 Site Hedge Baseline'!$B$1:$L$257,5,FALSE))))</f>
        <v/>
      </c>
      <c r="F115" s="175" t="str">
        <f>IF(B115="","",IF(ISNA(VLOOKUP($B115,'B-1 Site Hedge Baseline'!$B$1:$L$257,6,FALSE)),"",(VLOOKUP($B115,'B-1 Site Hedge Baseline'!$B$1:$L$257,6,FALSE))))</f>
        <v/>
      </c>
      <c r="G115" s="175" t="str">
        <f>IF(B115="","",IF(ISNA(VLOOKUP($B115,'B-1 Site Hedge Baseline'!$B$1:$L$257,7,FALSE)),"",(VLOOKUP($B115,'B-1 Site Hedge Baseline'!$B$1:$L$257,7,FALSE))))</f>
        <v/>
      </c>
      <c r="H115" s="175" t="str">
        <f>IF(B115="","",IF(ISNA(VLOOKUP($B115,'B-1 Site Hedge Baseline'!$B$1:$L$257,8,FALSE)),"",(VLOOKUP($B115,'B-1 Site Hedge Baseline'!$B$1:$L$257,8,FALSE))))</f>
        <v/>
      </c>
      <c r="I115" s="175" t="str">
        <f>IF(B115="","",IF(ISNA(VLOOKUP($B115,'B-1 Site Hedge Baseline'!$B$1:$L$257,10,FALSE)),"",(VLOOKUP($B115,'B-1 Site Hedge Baseline'!$B$1:$L$257,10,FALSE))))</f>
        <v/>
      </c>
      <c r="J115" s="175" t="str">
        <f>IF(B115="","",IF(ISNA(VLOOKUP($B115,'B-1 Site Hedge Baseline'!$B$1:$L$257,11,FALSE)),"",(VLOOKUP($B115,'B-1 Site Hedge Baseline'!$B$1:$L$257,11,FALSE))))</f>
        <v/>
      </c>
      <c r="K115" s="175" t="str">
        <f>IF(B115="","",IF(ISNA(VLOOKUP($B115,'B-1 Site Hedge Baseline'!$B$1:$U$257,13,FALSE)),"",(VLOOKUP($B115,'B-1 Site Hedge Baseline'!$B$1:$U$257,13,FALSE))))</f>
        <v/>
      </c>
      <c r="L115" s="176" t="str">
        <f>IF(B115="","",IF(ISNA(VLOOKUP($B115,'B-1 Site Hedge Baseline'!$B$1:$U$257,12,FALSE)),"",(VLOOKUP($B115,'B-1 Site Hedge Baseline'!$B$1:$U$257,12,FALSE))))</f>
        <v/>
      </c>
      <c r="M115" s="637"/>
      <c r="N115" s="171" t="str">
        <f>IFERROR(IF(B115="","",INDEX('G-6 Hedgerow Data'!$AN$3:$AZ$15,MATCH(C115,'G-6 Hedgerow Data'!$AM$3:$AM$15,0),MATCH(M115,'G-6 Hedgerow Data'!$AN$2:$AZ$2,0))),"")</f>
        <v/>
      </c>
      <c r="O115" s="172" t="str">
        <f t="shared" si="7"/>
        <v/>
      </c>
      <c r="P115" s="642" t="str">
        <f>IF(B115="","",VLOOKUP(B115,'B-1 Site Hedge Baseline'!$B$10:T360,16,FALSE))</f>
        <v/>
      </c>
      <c r="Q115" s="171" t="str">
        <f>IF(M115="","",VLOOKUP(M115,'G-6 Hedgerow Data'!$B$2:$AG$15,2,FALSE))</f>
        <v/>
      </c>
      <c r="R115" s="172" t="str">
        <f>IF(M115="","",VLOOKUP(M115,'G-6 Hedgerow Data'!$B$2:$AG$15,3,FALSE))</f>
        <v/>
      </c>
      <c r="S115" s="189"/>
      <c r="T115" s="269" t="str">
        <f>IFERROR(VLOOKUP(S115,'G-1 All Habitats'!$Z$2:$AA$9,2,FALSE),"")</f>
        <v/>
      </c>
      <c r="U115" s="186"/>
      <c r="V115" s="175" t="str">
        <f>IF(U115="","",IF(VLOOKUP(U115,'G-3 Multipliers'!$L$3:$N$6,2,FALSE)=0,"Spatial Data Missing",VLOOKUP(U115,'G-3 Multipliers'!$L$3:$N$6,2,FALSE)))</f>
        <v/>
      </c>
      <c r="W115" s="176" t="str">
        <f>IF(U115="","",IF(VLOOKUP(U115,'G-3 Multipliers'!$L$3:$N$6,3,FALSE)=0,"Spatial Data Missing",VLOOKUP(U115,'G-3 Multipliers'!$L$3:$N$6,3,FALSE)))</f>
        <v/>
      </c>
      <c r="X115" s="171" t="str">
        <f>IFERROR(IF(OR(LEFT(O115,5)="Error",LEFT(N115,5)="Error",T115="Error"),"Check Data",IF(F115&lt;R115,INDEX('G-6 Hedgerow Data'!$S$3:$AE$14,MATCH(C115,'G-6 Hedgerow Data'!$B$3:$B$14,0),MATCH(M115,'G-6 Hedgerow Data'!$S$2:$AE$2,0)),INDEX('G-6 Hedgerow Data'!$K$3:$Q$14,MATCH(M115,'G-6 Hedgerow Data'!$B$3:$B$14,0),MATCH(O115,'G-6 Hedgerow Data'!$K$2:$Q$2,0)))),"")</f>
        <v/>
      </c>
      <c r="Y115" s="261"/>
      <c r="Z115" s="261"/>
      <c r="AA115" s="179" t="str">
        <f t="shared" si="10"/>
        <v/>
      </c>
      <c r="AB115" s="262" t="str">
        <f t="shared" si="11"/>
        <v/>
      </c>
      <c r="AC115" s="263" t="str">
        <f t="shared" si="8"/>
        <v/>
      </c>
      <c r="AD115" s="239" t="str">
        <f>IF(M115="","",VLOOKUP(M115,'G-6 Hedgerow Data'!$B$3:$AG$15,31,FALSE))</f>
        <v/>
      </c>
      <c r="AE115" s="179" t="str">
        <f t="shared" si="12"/>
        <v/>
      </c>
      <c r="AF115" s="179" t="str">
        <f t="shared" si="13"/>
        <v/>
      </c>
      <c r="AG115" s="176" t="str">
        <f>IFERROR(IF(O115="","",VLOOKUP(AD115,'G-3 Multipliers'!$P$3:$Q$6,2,FALSE)),"")</f>
        <v/>
      </c>
      <c r="AH115" s="207" t="str">
        <f t="shared" si="9"/>
        <v/>
      </c>
      <c r="AI115" s="336"/>
      <c r="AJ115" s="181"/>
      <c r="AT115" s="35" t="str">
        <f>IFERROR(INDEX('G-6 Hedgerow Data'!$BJ$3:$BJ$15,MATCH(M115,'G-6 Hedgerow Data'!$B$3:$B$15,0)),"")</f>
        <v/>
      </c>
    </row>
    <row r="116" spans="2:46" ht="13.8" x14ac:dyDescent="0.25">
      <c r="B116" s="259" t="str">
        <f>'B-1 Site Hedge Baseline'!AK114</f>
        <v/>
      </c>
      <c r="C116" s="175" t="str">
        <f>IF(B116="","",IF(ISNA(VLOOKUP($B116,'B-1 Site Hedge Baseline'!$B$1:$L$257,3,FALSE)),"",(VLOOKUP($B116,'B-1 Site Hedge Baseline'!$B$1:$L$257,3,FALSE))))</f>
        <v/>
      </c>
      <c r="D116" s="175" t="str">
        <f>IF(B116="","",IF(ISNA(VLOOKUP($B116,'B-1 Site Hedge Baseline'!$B$1:$L$257,4,FALSE)),"",(VLOOKUP($B116,'B-1 Site Hedge Baseline'!$B$1:$L$257,4,FALSE))))</f>
        <v/>
      </c>
      <c r="E116" s="175" t="str">
        <f>IF(B116="","",IF(ISNA(VLOOKUP($B116,'B-1 Site Hedge Baseline'!$B$1:$L$257,5,FALSE)),"",(VLOOKUP($B116,'B-1 Site Hedge Baseline'!$B$1:$L$257,5,FALSE))))</f>
        <v/>
      </c>
      <c r="F116" s="175" t="str">
        <f>IF(B116="","",IF(ISNA(VLOOKUP($B116,'B-1 Site Hedge Baseline'!$B$1:$L$257,6,FALSE)),"",(VLOOKUP($B116,'B-1 Site Hedge Baseline'!$B$1:$L$257,6,FALSE))))</f>
        <v/>
      </c>
      <c r="G116" s="175" t="str">
        <f>IF(B116="","",IF(ISNA(VLOOKUP($B116,'B-1 Site Hedge Baseline'!$B$1:$L$257,7,FALSE)),"",(VLOOKUP($B116,'B-1 Site Hedge Baseline'!$B$1:$L$257,7,FALSE))))</f>
        <v/>
      </c>
      <c r="H116" s="175" t="str">
        <f>IF(B116="","",IF(ISNA(VLOOKUP($B116,'B-1 Site Hedge Baseline'!$B$1:$L$257,8,FALSE)),"",(VLOOKUP($B116,'B-1 Site Hedge Baseline'!$B$1:$L$257,8,FALSE))))</f>
        <v/>
      </c>
      <c r="I116" s="175" t="str">
        <f>IF(B116="","",IF(ISNA(VLOOKUP($B116,'B-1 Site Hedge Baseline'!$B$1:$L$257,10,FALSE)),"",(VLOOKUP($B116,'B-1 Site Hedge Baseline'!$B$1:$L$257,10,FALSE))))</f>
        <v/>
      </c>
      <c r="J116" s="175" t="str">
        <f>IF(B116="","",IF(ISNA(VLOOKUP($B116,'B-1 Site Hedge Baseline'!$B$1:$L$257,11,FALSE)),"",(VLOOKUP($B116,'B-1 Site Hedge Baseline'!$B$1:$L$257,11,FALSE))))</f>
        <v/>
      </c>
      <c r="K116" s="175" t="str">
        <f>IF(B116="","",IF(ISNA(VLOOKUP($B116,'B-1 Site Hedge Baseline'!$B$1:$U$257,13,FALSE)),"",(VLOOKUP($B116,'B-1 Site Hedge Baseline'!$B$1:$U$257,13,FALSE))))</f>
        <v/>
      </c>
      <c r="L116" s="176" t="str">
        <f>IF(B116="","",IF(ISNA(VLOOKUP($B116,'B-1 Site Hedge Baseline'!$B$1:$U$257,12,FALSE)),"",(VLOOKUP($B116,'B-1 Site Hedge Baseline'!$B$1:$U$257,12,FALSE))))</f>
        <v/>
      </c>
      <c r="M116" s="637"/>
      <c r="N116" s="171" t="str">
        <f>IFERROR(IF(B116="","",INDEX('G-6 Hedgerow Data'!$AN$3:$AZ$15,MATCH(C116,'G-6 Hedgerow Data'!$AM$3:$AM$15,0),MATCH(M116,'G-6 Hedgerow Data'!$AN$2:$AZ$2,0))),"")</f>
        <v/>
      </c>
      <c r="O116" s="172" t="str">
        <f t="shared" si="7"/>
        <v/>
      </c>
      <c r="P116" s="642" t="str">
        <f>IF(B116="","",VLOOKUP(B116,'B-1 Site Hedge Baseline'!$B$10:T361,16,FALSE))</f>
        <v/>
      </c>
      <c r="Q116" s="171" t="str">
        <f>IF(M116="","",VLOOKUP(M116,'G-6 Hedgerow Data'!$B$2:$AG$15,2,FALSE))</f>
        <v/>
      </c>
      <c r="R116" s="172" t="str">
        <f>IF(M116="","",VLOOKUP(M116,'G-6 Hedgerow Data'!$B$2:$AG$15,3,FALSE))</f>
        <v/>
      </c>
      <c r="S116" s="189"/>
      <c r="T116" s="269" t="str">
        <f>IFERROR(VLOOKUP(S116,'G-1 All Habitats'!$Z$2:$AA$9,2,FALSE),"")</f>
        <v/>
      </c>
      <c r="U116" s="186"/>
      <c r="V116" s="175" t="str">
        <f>IF(U116="","",IF(VLOOKUP(U116,'G-3 Multipliers'!$L$3:$N$6,2,FALSE)=0,"Spatial Data Missing",VLOOKUP(U116,'G-3 Multipliers'!$L$3:$N$6,2,FALSE)))</f>
        <v/>
      </c>
      <c r="W116" s="176" t="str">
        <f>IF(U116="","",IF(VLOOKUP(U116,'G-3 Multipliers'!$L$3:$N$6,3,FALSE)=0,"Spatial Data Missing",VLOOKUP(U116,'G-3 Multipliers'!$L$3:$N$6,3,FALSE)))</f>
        <v/>
      </c>
      <c r="X116" s="171" t="str">
        <f>IFERROR(IF(OR(LEFT(O116,5)="Error",LEFT(N116,5)="Error",T116="Error"),"Check Data",IF(F116&lt;R116,INDEX('G-6 Hedgerow Data'!$S$3:$AE$14,MATCH(C116,'G-6 Hedgerow Data'!$B$3:$B$14,0),MATCH(M116,'G-6 Hedgerow Data'!$S$2:$AE$2,0)),INDEX('G-6 Hedgerow Data'!$K$3:$Q$14,MATCH(M116,'G-6 Hedgerow Data'!$B$3:$B$14,0),MATCH(O116,'G-6 Hedgerow Data'!$K$2:$Q$2,0)))),"")</f>
        <v/>
      </c>
      <c r="Y116" s="261"/>
      <c r="Z116" s="261"/>
      <c r="AA116" s="179" t="str">
        <f t="shared" si="10"/>
        <v/>
      </c>
      <c r="AB116" s="262" t="str">
        <f t="shared" si="11"/>
        <v/>
      </c>
      <c r="AC116" s="263" t="str">
        <f t="shared" si="8"/>
        <v/>
      </c>
      <c r="AD116" s="239" t="str">
        <f>IF(M116="","",VLOOKUP(M116,'G-6 Hedgerow Data'!$B$3:$AG$15,31,FALSE))</f>
        <v/>
      </c>
      <c r="AE116" s="179" t="str">
        <f t="shared" si="12"/>
        <v/>
      </c>
      <c r="AF116" s="179" t="str">
        <f t="shared" si="13"/>
        <v/>
      </c>
      <c r="AG116" s="176" t="str">
        <f>IFERROR(IF(O116="","",VLOOKUP(AD116,'G-3 Multipliers'!$P$3:$Q$6,2,FALSE)),"")</f>
        <v/>
      </c>
      <c r="AH116" s="207" t="str">
        <f t="shared" si="9"/>
        <v/>
      </c>
      <c r="AI116" s="336"/>
      <c r="AJ116" s="181"/>
      <c r="AT116" s="35" t="str">
        <f>IFERROR(INDEX('G-6 Hedgerow Data'!$BJ$3:$BJ$15,MATCH(M116,'G-6 Hedgerow Data'!$B$3:$B$15,0)),"")</f>
        <v/>
      </c>
    </row>
    <row r="117" spans="2:46" ht="13.8" x14ac:dyDescent="0.25">
      <c r="B117" s="259" t="str">
        <f>'B-1 Site Hedge Baseline'!AK115</f>
        <v/>
      </c>
      <c r="C117" s="175" t="str">
        <f>IF(B117="","",IF(ISNA(VLOOKUP($B117,'B-1 Site Hedge Baseline'!$B$1:$L$257,3,FALSE)),"",(VLOOKUP($B117,'B-1 Site Hedge Baseline'!$B$1:$L$257,3,FALSE))))</f>
        <v/>
      </c>
      <c r="D117" s="175" t="str">
        <f>IF(B117="","",IF(ISNA(VLOOKUP($B117,'B-1 Site Hedge Baseline'!$B$1:$L$257,4,FALSE)),"",(VLOOKUP($B117,'B-1 Site Hedge Baseline'!$B$1:$L$257,4,FALSE))))</f>
        <v/>
      </c>
      <c r="E117" s="175" t="str">
        <f>IF(B117="","",IF(ISNA(VLOOKUP($B117,'B-1 Site Hedge Baseline'!$B$1:$L$257,5,FALSE)),"",(VLOOKUP($B117,'B-1 Site Hedge Baseline'!$B$1:$L$257,5,FALSE))))</f>
        <v/>
      </c>
      <c r="F117" s="175" t="str">
        <f>IF(B117="","",IF(ISNA(VLOOKUP($B117,'B-1 Site Hedge Baseline'!$B$1:$L$257,6,FALSE)),"",(VLOOKUP($B117,'B-1 Site Hedge Baseline'!$B$1:$L$257,6,FALSE))))</f>
        <v/>
      </c>
      <c r="G117" s="175" t="str">
        <f>IF(B117="","",IF(ISNA(VLOOKUP($B117,'B-1 Site Hedge Baseline'!$B$1:$L$257,7,FALSE)),"",(VLOOKUP($B117,'B-1 Site Hedge Baseline'!$B$1:$L$257,7,FALSE))))</f>
        <v/>
      </c>
      <c r="H117" s="175" t="str">
        <f>IF(B117="","",IF(ISNA(VLOOKUP($B117,'B-1 Site Hedge Baseline'!$B$1:$L$257,8,FALSE)),"",(VLOOKUP($B117,'B-1 Site Hedge Baseline'!$B$1:$L$257,8,FALSE))))</f>
        <v/>
      </c>
      <c r="I117" s="175" t="str">
        <f>IF(B117="","",IF(ISNA(VLOOKUP($B117,'B-1 Site Hedge Baseline'!$B$1:$L$257,10,FALSE)),"",(VLOOKUP($B117,'B-1 Site Hedge Baseline'!$B$1:$L$257,10,FALSE))))</f>
        <v/>
      </c>
      <c r="J117" s="175" t="str">
        <f>IF(B117="","",IF(ISNA(VLOOKUP($B117,'B-1 Site Hedge Baseline'!$B$1:$L$257,11,FALSE)),"",(VLOOKUP($B117,'B-1 Site Hedge Baseline'!$B$1:$L$257,11,FALSE))))</f>
        <v/>
      </c>
      <c r="K117" s="175" t="str">
        <f>IF(B117="","",IF(ISNA(VLOOKUP($B117,'B-1 Site Hedge Baseline'!$B$1:$U$257,13,FALSE)),"",(VLOOKUP($B117,'B-1 Site Hedge Baseline'!$B$1:$U$257,13,FALSE))))</f>
        <v/>
      </c>
      <c r="L117" s="176" t="str">
        <f>IF(B117="","",IF(ISNA(VLOOKUP($B117,'B-1 Site Hedge Baseline'!$B$1:$U$257,12,FALSE)),"",(VLOOKUP($B117,'B-1 Site Hedge Baseline'!$B$1:$U$257,12,FALSE))))</f>
        <v/>
      </c>
      <c r="M117" s="637"/>
      <c r="N117" s="171" t="str">
        <f>IFERROR(IF(B117="","",INDEX('G-6 Hedgerow Data'!$AN$3:$AZ$15,MATCH(C117,'G-6 Hedgerow Data'!$AM$3:$AM$15,0),MATCH(M117,'G-6 Hedgerow Data'!$AN$2:$AZ$2,0))),"")</f>
        <v/>
      </c>
      <c r="O117" s="172" t="str">
        <f t="shared" si="7"/>
        <v/>
      </c>
      <c r="P117" s="642" t="str">
        <f>IF(B117="","",VLOOKUP(B117,'B-1 Site Hedge Baseline'!$B$10:T362,16,FALSE))</f>
        <v/>
      </c>
      <c r="Q117" s="171" t="str">
        <f>IF(M117="","",VLOOKUP(M117,'G-6 Hedgerow Data'!$B$2:$AG$15,2,FALSE))</f>
        <v/>
      </c>
      <c r="R117" s="172" t="str">
        <f>IF(M117="","",VLOOKUP(M117,'G-6 Hedgerow Data'!$B$2:$AG$15,3,FALSE))</f>
        <v/>
      </c>
      <c r="S117" s="189"/>
      <c r="T117" s="269" t="str">
        <f>IFERROR(VLOOKUP(S117,'G-1 All Habitats'!$Z$2:$AA$9,2,FALSE),"")</f>
        <v/>
      </c>
      <c r="U117" s="186"/>
      <c r="V117" s="175" t="str">
        <f>IF(U117="","",IF(VLOOKUP(U117,'G-3 Multipliers'!$L$3:$N$6,2,FALSE)=0,"Spatial Data Missing",VLOOKUP(U117,'G-3 Multipliers'!$L$3:$N$6,2,FALSE)))</f>
        <v/>
      </c>
      <c r="W117" s="176" t="str">
        <f>IF(U117="","",IF(VLOOKUP(U117,'G-3 Multipliers'!$L$3:$N$6,3,FALSE)=0,"Spatial Data Missing",VLOOKUP(U117,'G-3 Multipliers'!$L$3:$N$6,3,FALSE)))</f>
        <v/>
      </c>
      <c r="X117" s="171" t="str">
        <f>IFERROR(IF(OR(LEFT(O117,5)="Error",LEFT(N117,5)="Error",T117="Error"),"Check Data",IF(F117&lt;R117,INDEX('G-6 Hedgerow Data'!$S$3:$AE$14,MATCH(C117,'G-6 Hedgerow Data'!$B$3:$B$14,0),MATCH(M117,'G-6 Hedgerow Data'!$S$2:$AE$2,0)),INDEX('G-6 Hedgerow Data'!$K$3:$Q$14,MATCH(M117,'G-6 Hedgerow Data'!$B$3:$B$14,0),MATCH(O117,'G-6 Hedgerow Data'!$K$2:$Q$2,0)))),"")</f>
        <v/>
      </c>
      <c r="Y117" s="261"/>
      <c r="Z117" s="261"/>
      <c r="AA117" s="179" t="str">
        <f t="shared" si="10"/>
        <v/>
      </c>
      <c r="AB117" s="262" t="str">
        <f t="shared" si="11"/>
        <v/>
      </c>
      <c r="AC117" s="263" t="str">
        <f t="shared" si="8"/>
        <v/>
      </c>
      <c r="AD117" s="239" t="str">
        <f>IF(M117="","",VLOOKUP(M117,'G-6 Hedgerow Data'!$B$3:$AG$15,31,FALSE))</f>
        <v/>
      </c>
      <c r="AE117" s="179" t="str">
        <f t="shared" si="12"/>
        <v/>
      </c>
      <c r="AF117" s="179" t="str">
        <f t="shared" si="13"/>
        <v/>
      </c>
      <c r="AG117" s="176" t="str">
        <f>IFERROR(IF(O117="","",VLOOKUP(AD117,'G-3 Multipliers'!$P$3:$Q$6,2,FALSE)),"")</f>
        <v/>
      </c>
      <c r="AH117" s="207" t="str">
        <f t="shared" si="9"/>
        <v/>
      </c>
      <c r="AI117" s="336"/>
      <c r="AJ117" s="181"/>
      <c r="AT117" s="35" t="str">
        <f>IFERROR(INDEX('G-6 Hedgerow Data'!$BJ$3:$BJ$15,MATCH(M117,'G-6 Hedgerow Data'!$B$3:$B$15,0)),"")</f>
        <v/>
      </c>
    </row>
    <row r="118" spans="2:46" ht="13.8" x14ac:dyDescent="0.25">
      <c r="B118" s="259" t="str">
        <f>'B-1 Site Hedge Baseline'!AK116</f>
        <v/>
      </c>
      <c r="C118" s="175" t="str">
        <f>IF(B118="","",IF(ISNA(VLOOKUP($B118,'B-1 Site Hedge Baseline'!$B$1:$L$257,3,FALSE)),"",(VLOOKUP($B118,'B-1 Site Hedge Baseline'!$B$1:$L$257,3,FALSE))))</f>
        <v/>
      </c>
      <c r="D118" s="175" t="str">
        <f>IF(B118="","",IF(ISNA(VLOOKUP($B118,'B-1 Site Hedge Baseline'!$B$1:$L$257,4,FALSE)),"",(VLOOKUP($B118,'B-1 Site Hedge Baseline'!$B$1:$L$257,4,FALSE))))</f>
        <v/>
      </c>
      <c r="E118" s="175" t="str">
        <f>IF(B118="","",IF(ISNA(VLOOKUP($B118,'B-1 Site Hedge Baseline'!$B$1:$L$257,5,FALSE)),"",(VLOOKUP($B118,'B-1 Site Hedge Baseline'!$B$1:$L$257,5,FALSE))))</f>
        <v/>
      </c>
      <c r="F118" s="175" t="str">
        <f>IF(B118="","",IF(ISNA(VLOOKUP($B118,'B-1 Site Hedge Baseline'!$B$1:$L$257,6,FALSE)),"",(VLOOKUP($B118,'B-1 Site Hedge Baseline'!$B$1:$L$257,6,FALSE))))</f>
        <v/>
      </c>
      <c r="G118" s="175" t="str">
        <f>IF(B118="","",IF(ISNA(VLOOKUP($B118,'B-1 Site Hedge Baseline'!$B$1:$L$257,7,FALSE)),"",(VLOOKUP($B118,'B-1 Site Hedge Baseline'!$B$1:$L$257,7,FALSE))))</f>
        <v/>
      </c>
      <c r="H118" s="175" t="str">
        <f>IF(B118="","",IF(ISNA(VLOOKUP($B118,'B-1 Site Hedge Baseline'!$B$1:$L$257,8,FALSE)),"",(VLOOKUP($B118,'B-1 Site Hedge Baseline'!$B$1:$L$257,8,FALSE))))</f>
        <v/>
      </c>
      <c r="I118" s="175" t="str">
        <f>IF(B118="","",IF(ISNA(VLOOKUP($B118,'B-1 Site Hedge Baseline'!$B$1:$L$257,10,FALSE)),"",(VLOOKUP($B118,'B-1 Site Hedge Baseline'!$B$1:$L$257,10,FALSE))))</f>
        <v/>
      </c>
      <c r="J118" s="175" t="str">
        <f>IF(B118="","",IF(ISNA(VLOOKUP($B118,'B-1 Site Hedge Baseline'!$B$1:$L$257,11,FALSE)),"",(VLOOKUP($B118,'B-1 Site Hedge Baseline'!$B$1:$L$257,11,FALSE))))</f>
        <v/>
      </c>
      <c r="K118" s="175" t="str">
        <f>IF(B118="","",IF(ISNA(VLOOKUP($B118,'B-1 Site Hedge Baseline'!$B$1:$U$257,13,FALSE)),"",(VLOOKUP($B118,'B-1 Site Hedge Baseline'!$B$1:$U$257,13,FALSE))))</f>
        <v/>
      </c>
      <c r="L118" s="176" t="str">
        <f>IF(B118="","",IF(ISNA(VLOOKUP($B118,'B-1 Site Hedge Baseline'!$B$1:$U$257,12,FALSE)),"",(VLOOKUP($B118,'B-1 Site Hedge Baseline'!$B$1:$U$257,12,FALSE))))</f>
        <v/>
      </c>
      <c r="M118" s="637"/>
      <c r="N118" s="171" t="str">
        <f>IFERROR(IF(B118="","",INDEX('G-6 Hedgerow Data'!$AN$3:$AZ$15,MATCH(C118,'G-6 Hedgerow Data'!$AM$3:$AM$15,0),MATCH(M118,'G-6 Hedgerow Data'!$AN$2:$AZ$2,0))),"")</f>
        <v/>
      </c>
      <c r="O118" s="172" t="str">
        <f t="shared" si="7"/>
        <v/>
      </c>
      <c r="P118" s="642" t="str">
        <f>IF(B118="","",VLOOKUP(B118,'B-1 Site Hedge Baseline'!$B$10:T363,16,FALSE))</f>
        <v/>
      </c>
      <c r="Q118" s="171" t="str">
        <f>IF(M118="","",VLOOKUP(M118,'G-6 Hedgerow Data'!$B$2:$AG$15,2,FALSE))</f>
        <v/>
      </c>
      <c r="R118" s="172" t="str">
        <f>IF(M118="","",VLOOKUP(M118,'G-6 Hedgerow Data'!$B$2:$AG$15,3,FALSE))</f>
        <v/>
      </c>
      <c r="S118" s="189"/>
      <c r="T118" s="269" t="str">
        <f>IFERROR(VLOOKUP(S118,'G-1 All Habitats'!$Z$2:$AA$9,2,FALSE),"")</f>
        <v/>
      </c>
      <c r="U118" s="186"/>
      <c r="V118" s="175" t="str">
        <f>IF(U118="","",IF(VLOOKUP(U118,'G-3 Multipliers'!$L$3:$N$6,2,FALSE)=0,"Spatial Data Missing",VLOOKUP(U118,'G-3 Multipliers'!$L$3:$N$6,2,FALSE)))</f>
        <v/>
      </c>
      <c r="W118" s="176" t="str">
        <f>IF(U118="","",IF(VLOOKUP(U118,'G-3 Multipliers'!$L$3:$N$6,3,FALSE)=0,"Spatial Data Missing",VLOOKUP(U118,'G-3 Multipliers'!$L$3:$N$6,3,FALSE)))</f>
        <v/>
      </c>
      <c r="X118" s="171" t="str">
        <f>IFERROR(IF(OR(LEFT(O118,5)="Error",LEFT(N118,5)="Error",T118="Error"),"Check Data",IF(F118&lt;R118,INDEX('G-6 Hedgerow Data'!$S$3:$AE$14,MATCH(C118,'G-6 Hedgerow Data'!$B$3:$B$14,0),MATCH(M118,'G-6 Hedgerow Data'!$S$2:$AE$2,0)),INDEX('G-6 Hedgerow Data'!$K$3:$Q$14,MATCH(M118,'G-6 Hedgerow Data'!$B$3:$B$14,0),MATCH(O118,'G-6 Hedgerow Data'!$K$2:$Q$2,0)))),"")</f>
        <v/>
      </c>
      <c r="Y118" s="261"/>
      <c r="Z118" s="261"/>
      <c r="AA118" s="179" t="str">
        <f t="shared" si="10"/>
        <v/>
      </c>
      <c r="AB118" s="262" t="str">
        <f t="shared" si="11"/>
        <v/>
      </c>
      <c r="AC118" s="263" t="str">
        <f t="shared" si="8"/>
        <v/>
      </c>
      <c r="AD118" s="239" t="str">
        <f>IF(M118="","",VLOOKUP(M118,'G-6 Hedgerow Data'!$B$3:$AG$15,31,FALSE))</f>
        <v/>
      </c>
      <c r="AE118" s="179" t="str">
        <f t="shared" si="12"/>
        <v/>
      </c>
      <c r="AF118" s="179" t="str">
        <f t="shared" si="13"/>
        <v/>
      </c>
      <c r="AG118" s="176" t="str">
        <f>IFERROR(IF(O118="","",VLOOKUP(AD118,'G-3 Multipliers'!$P$3:$Q$6,2,FALSE)),"")</f>
        <v/>
      </c>
      <c r="AH118" s="207" t="str">
        <f t="shared" si="9"/>
        <v/>
      </c>
      <c r="AI118" s="336"/>
      <c r="AJ118" s="181"/>
      <c r="AT118" s="35" t="str">
        <f>IFERROR(INDEX('G-6 Hedgerow Data'!$BJ$3:$BJ$15,MATCH(M118,'G-6 Hedgerow Data'!$B$3:$B$15,0)),"")</f>
        <v/>
      </c>
    </row>
    <row r="119" spans="2:46" ht="13.8" x14ac:dyDescent="0.25">
      <c r="B119" s="259" t="str">
        <f>'B-1 Site Hedge Baseline'!AK117</f>
        <v/>
      </c>
      <c r="C119" s="175" t="str">
        <f>IF(B119="","",IF(ISNA(VLOOKUP($B119,'B-1 Site Hedge Baseline'!$B$1:$L$257,3,FALSE)),"",(VLOOKUP($B119,'B-1 Site Hedge Baseline'!$B$1:$L$257,3,FALSE))))</f>
        <v/>
      </c>
      <c r="D119" s="175" t="str">
        <f>IF(B119="","",IF(ISNA(VLOOKUP($B119,'B-1 Site Hedge Baseline'!$B$1:$L$257,4,FALSE)),"",(VLOOKUP($B119,'B-1 Site Hedge Baseline'!$B$1:$L$257,4,FALSE))))</f>
        <v/>
      </c>
      <c r="E119" s="175" t="str">
        <f>IF(B119="","",IF(ISNA(VLOOKUP($B119,'B-1 Site Hedge Baseline'!$B$1:$L$257,5,FALSE)),"",(VLOOKUP($B119,'B-1 Site Hedge Baseline'!$B$1:$L$257,5,FALSE))))</f>
        <v/>
      </c>
      <c r="F119" s="175" t="str">
        <f>IF(B119="","",IF(ISNA(VLOOKUP($B119,'B-1 Site Hedge Baseline'!$B$1:$L$257,6,FALSE)),"",(VLOOKUP($B119,'B-1 Site Hedge Baseline'!$B$1:$L$257,6,FALSE))))</f>
        <v/>
      </c>
      <c r="G119" s="175" t="str">
        <f>IF(B119="","",IF(ISNA(VLOOKUP($B119,'B-1 Site Hedge Baseline'!$B$1:$L$257,7,FALSE)),"",(VLOOKUP($B119,'B-1 Site Hedge Baseline'!$B$1:$L$257,7,FALSE))))</f>
        <v/>
      </c>
      <c r="H119" s="175" t="str">
        <f>IF(B119="","",IF(ISNA(VLOOKUP($B119,'B-1 Site Hedge Baseline'!$B$1:$L$257,8,FALSE)),"",(VLOOKUP($B119,'B-1 Site Hedge Baseline'!$B$1:$L$257,8,FALSE))))</f>
        <v/>
      </c>
      <c r="I119" s="175" t="str">
        <f>IF(B119="","",IF(ISNA(VLOOKUP($B119,'B-1 Site Hedge Baseline'!$B$1:$L$257,10,FALSE)),"",(VLOOKUP($B119,'B-1 Site Hedge Baseline'!$B$1:$L$257,10,FALSE))))</f>
        <v/>
      </c>
      <c r="J119" s="175" t="str">
        <f>IF(B119="","",IF(ISNA(VLOOKUP($B119,'B-1 Site Hedge Baseline'!$B$1:$L$257,11,FALSE)),"",(VLOOKUP($B119,'B-1 Site Hedge Baseline'!$B$1:$L$257,11,FALSE))))</f>
        <v/>
      </c>
      <c r="K119" s="175" t="str">
        <f>IF(B119="","",IF(ISNA(VLOOKUP($B119,'B-1 Site Hedge Baseline'!$B$1:$U$257,13,FALSE)),"",(VLOOKUP($B119,'B-1 Site Hedge Baseline'!$B$1:$U$257,13,FALSE))))</f>
        <v/>
      </c>
      <c r="L119" s="176" t="str">
        <f>IF(B119="","",IF(ISNA(VLOOKUP($B119,'B-1 Site Hedge Baseline'!$B$1:$U$257,12,FALSE)),"",(VLOOKUP($B119,'B-1 Site Hedge Baseline'!$B$1:$U$257,12,FALSE))))</f>
        <v/>
      </c>
      <c r="M119" s="637"/>
      <c r="N119" s="171" t="str">
        <f>IFERROR(IF(B119="","",INDEX('G-6 Hedgerow Data'!$AN$3:$AZ$15,MATCH(C119,'G-6 Hedgerow Data'!$AM$3:$AM$15,0),MATCH(M119,'G-6 Hedgerow Data'!$AN$2:$AZ$2,0))),"")</f>
        <v/>
      </c>
      <c r="O119" s="172" t="str">
        <f t="shared" si="7"/>
        <v/>
      </c>
      <c r="P119" s="642" t="str">
        <f>IF(B119="","",VLOOKUP(B119,'B-1 Site Hedge Baseline'!$B$10:T364,16,FALSE))</f>
        <v/>
      </c>
      <c r="Q119" s="171" t="str">
        <f>IF(M119="","",VLOOKUP(M119,'G-6 Hedgerow Data'!$B$2:$AG$15,2,FALSE))</f>
        <v/>
      </c>
      <c r="R119" s="172" t="str">
        <f>IF(M119="","",VLOOKUP(M119,'G-6 Hedgerow Data'!$B$2:$AG$15,3,FALSE))</f>
        <v/>
      </c>
      <c r="S119" s="189"/>
      <c r="T119" s="269" t="str">
        <f>IFERROR(VLOOKUP(S119,'G-1 All Habitats'!$Z$2:$AA$9,2,FALSE),"")</f>
        <v/>
      </c>
      <c r="U119" s="186"/>
      <c r="V119" s="175" t="str">
        <f>IF(U119="","",IF(VLOOKUP(U119,'G-3 Multipliers'!$L$3:$N$6,2,FALSE)=0,"Spatial Data Missing",VLOOKUP(U119,'G-3 Multipliers'!$L$3:$N$6,2,FALSE)))</f>
        <v/>
      </c>
      <c r="W119" s="176" t="str">
        <f>IF(U119="","",IF(VLOOKUP(U119,'G-3 Multipliers'!$L$3:$N$6,3,FALSE)=0,"Spatial Data Missing",VLOOKUP(U119,'G-3 Multipliers'!$L$3:$N$6,3,FALSE)))</f>
        <v/>
      </c>
      <c r="X119" s="171" t="str">
        <f>IFERROR(IF(OR(LEFT(O119,5)="Error",LEFT(N119,5)="Error",T119="Error"),"Check Data",IF(F119&lt;R119,INDEX('G-6 Hedgerow Data'!$S$3:$AE$14,MATCH(C119,'G-6 Hedgerow Data'!$B$3:$B$14,0),MATCH(M119,'G-6 Hedgerow Data'!$S$2:$AE$2,0)),INDEX('G-6 Hedgerow Data'!$K$3:$Q$14,MATCH(M119,'G-6 Hedgerow Data'!$B$3:$B$14,0),MATCH(O119,'G-6 Hedgerow Data'!$K$2:$Q$2,0)))),"")</f>
        <v/>
      </c>
      <c r="Y119" s="261"/>
      <c r="Z119" s="261"/>
      <c r="AA119" s="179" t="str">
        <f t="shared" si="10"/>
        <v/>
      </c>
      <c r="AB119" s="262" t="str">
        <f t="shared" si="11"/>
        <v/>
      </c>
      <c r="AC119" s="263" t="str">
        <f t="shared" si="8"/>
        <v/>
      </c>
      <c r="AD119" s="239" t="str">
        <f>IF(M119="","",VLOOKUP(M119,'G-6 Hedgerow Data'!$B$3:$AG$15,31,FALSE))</f>
        <v/>
      </c>
      <c r="AE119" s="179" t="str">
        <f t="shared" si="12"/>
        <v/>
      </c>
      <c r="AF119" s="179" t="str">
        <f t="shared" si="13"/>
        <v/>
      </c>
      <c r="AG119" s="176" t="str">
        <f>IFERROR(IF(O119="","",VLOOKUP(AD119,'G-3 Multipliers'!$P$3:$Q$6,2,FALSE)),"")</f>
        <v/>
      </c>
      <c r="AH119" s="207" t="str">
        <f t="shared" si="9"/>
        <v/>
      </c>
      <c r="AI119" s="336"/>
      <c r="AJ119" s="181"/>
      <c r="AT119" s="35" t="str">
        <f>IFERROR(INDEX('G-6 Hedgerow Data'!$BJ$3:$BJ$15,MATCH(M119,'G-6 Hedgerow Data'!$B$3:$B$15,0)),"")</f>
        <v/>
      </c>
    </row>
    <row r="120" spans="2:46" ht="13.8" x14ac:dyDescent="0.25">
      <c r="B120" s="259" t="str">
        <f>'B-1 Site Hedge Baseline'!AK118</f>
        <v/>
      </c>
      <c r="C120" s="175" t="str">
        <f>IF(B120="","",IF(ISNA(VLOOKUP($B120,'B-1 Site Hedge Baseline'!$B$1:$L$257,3,FALSE)),"",(VLOOKUP($B120,'B-1 Site Hedge Baseline'!$B$1:$L$257,3,FALSE))))</f>
        <v/>
      </c>
      <c r="D120" s="175" t="str">
        <f>IF(B120="","",IF(ISNA(VLOOKUP($B120,'B-1 Site Hedge Baseline'!$B$1:$L$257,4,FALSE)),"",(VLOOKUP($B120,'B-1 Site Hedge Baseline'!$B$1:$L$257,4,FALSE))))</f>
        <v/>
      </c>
      <c r="E120" s="175" t="str">
        <f>IF(B120="","",IF(ISNA(VLOOKUP($B120,'B-1 Site Hedge Baseline'!$B$1:$L$257,5,FALSE)),"",(VLOOKUP($B120,'B-1 Site Hedge Baseline'!$B$1:$L$257,5,FALSE))))</f>
        <v/>
      </c>
      <c r="F120" s="175" t="str">
        <f>IF(B120="","",IF(ISNA(VLOOKUP($B120,'B-1 Site Hedge Baseline'!$B$1:$L$257,6,FALSE)),"",(VLOOKUP($B120,'B-1 Site Hedge Baseline'!$B$1:$L$257,6,FALSE))))</f>
        <v/>
      </c>
      <c r="G120" s="175" t="str">
        <f>IF(B120="","",IF(ISNA(VLOOKUP($B120,'B-1 Site Hedge Baseline'!$B$1:$L$257,7,FALSE)),"",(VLOOKUP($B120,'B-1 Site Hedge Baseline'!$B$1:$L$257,7,FALSE))))</f>
        <v/>
      </c>
      <c r="H120" s="175" t="str">
        <f>IF(B120="","",IF(ISNA(VLOOKUP($B120,'B-1 Site Hedge Baseline'!$B$1:$L$257,8,FALSE)),"",(VLOOKUP($B120,'B-1 Site Hedge Baseline'!$B$1:$L$257,8,FALSE))))</f>
        <v/>
      </c>
      <c r="I120" s="175" t="str">
        <f>IF(B120="","",IF(ISNA(VLOOKUP($B120,'B-1 Site Hedge Baseline'!$B$1:$L$257,10,FALSE)),"",(VLOOKUP($B120,'B-1 Site Hedge Baseline'!$B$1:$L$257,10,FALSE))))</f>
        <v/>
      </c>
      <c r="J120" s="175" t="str">
        <f>IF(B120="","",IF(ISNA(VLOOKUP($B120,'B-1 Site Hedge Baseline'!$B$1:$L$257,11,FALSE)),"",(VLOOKUP($B120,'B-1 Site Hedge Baseline'!$B$1:$L$257,11,FALSE))))</f>
        <v/>
      </c>
      <c r="K120" s="175" t="str">
        <f>IF(B120="","",IF(ISNA(VLOOKUP($B120,'B-1 Site Hedge Baseline'!$B$1:$U$257,13,FALSE)),"",(VLOOKUP($B120,'B-1 Site Hedge Baseline'!$B$1:$U$257,13,FALSE))))</f>
        <v/>
      </c>
      <c r="L120" s="176" t="str">
        <f>IF(B120="","",IF(ISNA(VLOOKUP($B120,'B-1 Site Hedge Baseline'!$B$1:$U$257,12,FALSE)),"",(VLOOKUP($B120,'B-1 Site Hedge Baseline'!$B$1:$U$257,12,FALSE))))</f>
        <v/>
      </c>
      <c r="M120" s="637"/>
      <c r="N120" s="171" t="str">
        <f>IFERROR(IF(B120="","",INDEX('G-6 Hedgerow Data'!$AN$3:$AZ$15,MATCH(C120,'G-6 Hedgerow Data'!$AM$3:$AM$15,0),MATCH(M120,'G-6 Hedgerow Data'!$AN$2:$AZ$2,0))),"")</f>
        <v/>
      </c>
      <c r="O120" s="172" t="str">
        <f t="shared" si="7"/>
        <v/>
      </c>
      <c r="P120" s="642" t="str">
        <f>IF(B120="","",VLOOKUP(B120,'B-1 Site Hedge Baseline'!$B$10:T365,16,FALSE))</f>
        <v/>
      </c>
      <c r="Q120" s="171" t="str">
        <f>IF(M120="","",VLOOKUP(M120,'G-6 Hedgerow Data'!$B$2:$AG$15,2,FALSE))</f>
        <v/>
      </c>
      <c r="R120" s="172" t="str">
        <f>IF(M120="","",VLOOKUP(M120,'G-6 Hedgerow Data'!$B$2:$AG$15,3,FALSE))</f>
        <v/>
      </c>
      <c r="S120" s="189"/>
      <c r="T120" s="269" t="str">
        <f>IFERROR(VLOOKUP(S120,'G-1 All Habitats'!$Z$2:$AA$9,2,FALSE),"")</f>
        <v/>
      </c>
      <c r="U120" s="186"/>
      <c r="V120" s="175" t="str">
        <f>IF(U120="","",IF(VLOOKUP(U120,'G-3 Multipliers'!$L$3:$N$6,2,FALSE)=0,"Spatial Data Missing",VLOOKUP(U120,'G-3 Multipliers'!$L$3:$N$6,2,FALSE)))</f>
        <v/>
      </c>
      <c r="W120" s="176" t="str">
        <f>IF(U120="","",IF(VLOOKUP(U120,'G-3 Multipliers'!$L$3:$N$6,3,FALSE)=0,"Spatial Data Missing",VLOOKUP(U120,'G-3 Multipliers'!$L$3:$N$6,3,FALSE)))</f>
        <v/>
      </c>
      <c r="X120" s="171" t="str">
        <f>IFERROR(IF(OR(LEFT(O120,5)="Error",LEFT(N120,5)="Error",T120="Error"),"Check Data",IF(F120&lt;R120,INDEX('G-6 Hedgerow Data'!$S$3:$AE$14,MATCH(C120,'G-6 Hedgerow Data'!$B$3:$B$14,0),MATCH(M120,'G-6 Hedgerow Data'!$S$2:$AE$2,0)),INDEX('G-6 Hedgerow Data'!$K$3:$Q$14,MATCH(M120,'G-6 Hedgerow Data'!$B$3:$B$14,0),MATCH(O120,'G-6 Hedgerow Data'!$K$2:$Q$2,0)))),"")</f>
        <v/>
      </c>
      <c r="Y120" s="261"/>
      <c r="Z120" s="261"/>
      <c r="AA120" s="179" t="str">
        <f t="shared" si="10"/>
        <v/>
      </c>
      <c r="AB120" s="262" t="str">
        <f t="shared" si="11"/>
        <v/>
      </c>
      <c r="AC120" s="263" t="str">
        <f t="shared" si="8"/>
        <v/>
      </c>
      <c r="AD120" s="239" t="str">
        <f>IF(M120="","",VLOOKUP(M120,'G-6 Hedgerow Data'!$B$3:$AG$15,31,FALSE))</f>
        <v/>
      </c>
      <c r="AE120" s="179" t="str">
        <f t="shared" si="12"/>
        <v/>
      </c>
      <c r="AF120" s="179" t="str">
        <f t="shared" si="13"/>
        <v/>
      </c>
      <c r="AG120" s="176" t="str">
        <f>IFERROR(IF(O120="","",VLOOKUP(AD120,'G-3 Multipliers'!$P$3:$Q$6,2,FALSE)),"")</f>
        <v/>
      </c>
      <c r="AH120" s="207" t="str">
        <f t="shared" si="9"/>
        <v/>
      </c>
      <c r="AI120" s="336"/>
      <c r="AJ120" s="181"/>
      <c r="AT120" s="35" t="str">
        <f>IFERROR(INDEX('G-6 Hedgerow Data'!$BJ$3:$BJ$15,MATCH(M120,'G-6 Hedgerow Data'!$B$3:$B$15,0)),"")</f>
        <v/>
      </c>
    </row>
    <row r="121" spans="2:46" ht="13.8" x14ac:dyDescent="0.25">
      <c r="B121" s="259" t="str">
        <f>'B-1 Site Hedge Baseline'!AK119</f>
        <v/>
      </c>
      <c r="C121" s="175" t="str">
        <f>IF(B121="","",IF(ISNA(VLOOKUP($B121,'B-1 Site Hedge Baseline'!$B$1:$L$257,3,FALSE)),"",(VLOOKUP($B121,'B-1 Site Hedge Baseline'!$B$1:$L$257,3,FALSE))))</f>
        <v/>
      </c>
      <c r="D121" s="175" t="str">
        <f>IF(B121="","",IF(ISNA(VLOOKUP($B121,'B-1 Site Hedge Baseline'!$B$1:$L$257,4,FALSE)),"",(VLOOKUP($B121,'B-1 Site Hedge Baseline'!$B$1:$L$257,4,FALSE))))</f>
        <v/>
      </c>
      <c r="E121" s="175" t="str">
        <f>IF(B121="","",IF(ISNA(VLOOKUP($B121,'B-1 Site Hedge Baseline'!$B$1:$L$257,5,FALSE)),"",(VLOOKUP($B121,'B-1 Site Hedge Baseline'!$B$1:$L$257,5,FALSE))))</f>
        <v/>
      </c>
      <c r="F121" s="175" t="str">
        <f>IF(B121="","",IF(ISNA(VLOOKUP($B121,'B-1 Site Hedge Baseline'!$B$1:$L$257,6,FALSE)),"",(VLOOKUP($B121,'B-1 Site Hedge Baseline'!$B$1:$L$257,6,FALSE))))</f>
        <v/>
      </c>
      <c r="G121" s="175" t="str">
        <f>IF(B121="","",IF(ISNA(VLOOKUP($B121,'B-1 Site Hedge Baseline'!$B$1:$L$257,7,FALSE)),"",(VLOOKUP($B121,'B-1 Site Hedge Baseline'!$B$1:$L$257,7,FALSE))))</f>
        <v/>
      </c>
      <c r="H121" s="175" t="str">
        <f>IF(B121="","",IF(ISNA(VLOOKUP($B121,'B-1 Site Hedge Baseline'!$B$1:$L$257,8,FALSE)),"",(VLOOKUP($B121,'B-1 Site Hedge Baseline'!$B$1:$L$257,8,FALSE))))</f>
        <v/>
      </c>
      <c r="I121" s="175" t="str">
        <f>IF(B121="","",IF(ISNA(VLOOKUP($B121,'B-1 Site Hedge Baseline'!$B$1:$L$257,10,FALSE)),"",(VLOOKUP($B121,'B-1 Site Hedge Baseline'!$B$1:$L$257,10,FALSE))))</f>
        <v/>
      </c>
      <c r="J121" s="175" t="str">
        <f>IF(B121="","",IF(ISNA(VLOOKUP($B121,'B-1 Site Hedge Baseline'!$B$1:$L$257,11,FALSE)),"",(VLOOKUP($B121,'B-1 Site Hedge Baseline'!$B$1:$L$257,11,FALSE))))</f>
        <v/>
      </c>
      <c r="K121" s="175" t="str">
        <f>IF(B121="","",IF(ISNA(VLOOKUP($B121,'B-1 Site Hedge Baseline'!$B$1:$U$257,13,FALSE)),"",(VLOOKUP($B121,'B-1 Site Hedge Baseline'!$B$1:$U$257,13,FALSE))))</f>
        <v/>
      </c>
      <c r="L121" s="176" t="str">
        <f>IF(B121="","",IF(ISNA(VLOOKUP($B121,'B-1 Site Hedge Baseline'!$B$1:$U$257,12,FALSE)),"",(VLOOKUP($B121,'B-1 Site Hedge Baseline'!$B$1:$U$257,12,FALSE))))</f>
        <v/>
      </c>
      <c r="M121" s="637"/>
      <c r="N121" s="171" t="str">
        <f>IFERROR(IF(B121="","",INDEX('G-6 Hedgerow Data'!$AN$3:$AZ$15,MATCH(C121,'G-6 Hedgerow Data'!$AM$3:$AM$15,0),MATCH(M121,'G-6 Hedgerow Data'!$AN$2:$AZ$2,0))),"")</f>
        <v/>
      </c>
      <c r="O121" s="172" t="str">
        <f t="shared" si="7"/>
        <v/>
      </c>
      <c r="P121" s="642" t="str">
        <f>IF(B121="","",VLOOKUP(B121,'B-1 Site Hedge Baseline'!$B$10:T366,16,FALSE))</f>
        <v/>
      </c>
      <c r="Q121" s="171" t="str">
        <f>IF(M121="","",VLOOKUP(M121,'G-6 Hedgerow Data'!$B$2:$AG$15,2,FALSE))</f>
        <v/>
      </c>
      <c r="R121" s="172" t="str">
        <f>IF(M121="","",VLOOKUP(M121,'G-6 Hedgerow Data'!$B$2:$AG$15,3,FALSE))</f>
        <v/>
      </c>
      <c r="S121" s="189"/>
      <c r="T121" s="269" t="str">
        <f>IFERROR(VLOOKUP(S121,'G-1 All Habitats'!$Z$2:$AA$9,2,FALSE),"")</f>
        <v/>
      </c>
      <c r="U121" s="186"/>
      <c r="V121" s="175" t="str">
        <f>IF(U121="","",IF(VLOOKUP(U121,'G-3 Multipliers'!$L$3:$N$6,2,FALSE)=0,"Spatial Data Missing",VLOOKUP(U121,'G-3 Multipliers'!$L$3:$N$6,2,FALSE)))</f>
        <v/>
      </c>
      <c r="W121" s="176" t="str">
        <f>IF(U121="","",IF(VLOOKUP(U121,'G-3 Multipliers'!$L$3:$N$6,3,FALSE)=0,"Spatial Data Missing",VLOOKUP(U121,'G-3 Multipliers'!$L$3:$N$6,3,FALSE)))</f>
        <v/>
      </c>
      <c r="X121" s="171" t="str">
        <f>IFERROR(IF(OR(LEFT(O121,5)="Error",LEFT(N121,5)="Error",T121="Error"),"Check Data",IF(F121&lt;R121,INDEX('G-6 Hedgerow Data'!$S$3:$AE$14,MATCH(C121,'G-6 Hedgerow Data'!$B$3:$B$14,0),MATCH(M121,'G-6 Hedgerow Data'!$S$2:$AE$2,0)),INDEX('G-6 Hedgerow Data'!$K$3:$Q$14,MATCH(M121,'G-6 Hedgerow Data'!$B$3:$B$14,0),MATCH(O121,'G-6 Hedgerow Data'!$K$2:$Q$2,0)))),"")</f>
        <v/>
      </c>
      <c r="Y121" s="261"/>
      <c r="Z121" s="261"/>
      <c r="AA121" s="179" t="str">
        <f t="shared" si="10"/>
        <v/>
      </c>
      <c r="AB121" s="262" t="str">
        <f t="shared" si="11"/>
        <v/>
      </c>
      <c r="AC121" s="263" t="str">
        <f t="shared" si="8"/>
        <v/>
      </c>
      <c r="AD121" s="239" t="str">
        <f>IF(M121="","",VLOOKUP(M121,'G-6 Hedgerow Data'!$B$3:$AG$15,31,FALSE))</f>
        <v/>
      </c>
      <c r="AE121" s="179" t="str">
        <f t="shared" si="12"/>
        <v/>
      </c>
      <c r="AF121" s="179" t="str">
        <f t="shared" si="13"/>
        <v/>
      </c>
      <c r="AG121" s="176" t="str">
        <f>IFERROR(IF(O121="","",VLOOKUP(AD121,'G-3 Multipliers'!$P$3:$Q$6,2,FALSE)),"")</f>
        <v/>
      </c>
      <c r="AH121" s="207" t="str">
        <f t="shared" si="9"/>
        <v/>
      </c>
      <c r="AI121" s="336"/>
      <c r="AJ121" s="181"/>
      <c r="AT121" s="35" t="str">
        <f>IFERROR(INDEX('G-6 Hedgerow Data'!$BJ$3:$BJ$15,MATCH(M121,'G-6 Hedgerow Data'!$B$3:$B$15,0)),"")</f>
        <v/>
      </c>
    </row>
    <row r="122" spans="2:46" ht="13.8" x14ac:dyDescent="0.25">
      <c r="B122" s="259" t="str">
        <f>'B-1 Site Hedge Baseline'!AK120</f>
        <v/>
      </c>
      <c r="C122" s="175" t="str">
        <f>IF(B122="","",IF(ISNA(VLOOKUP($B122,'B-1 Site Hedge Baseline'!$B$1:$L$257,3,FALSE)),"",(VLOOKUP($B122,'B-1 Site Hedge Baseline'!$B$1:$L$257,3,FALSE))))</f>
        <v/>
      </c>
      <c r="D122" s="175" t="str">
        <f>IF(B122="","",IF(ISNA(VLOOKUP($B122,'B-1 Site Hedge Baseline'!$B$1:$L$257,4,FALSE)),"",(VLOOKUP($B122,'B-1 Site Hedge Baseline'!$B$1:$L$257,4,FALSE))))</f>
        <v/>
      </c>
      <c r="E122" s="175" t="str">
        <f>IF(B122="","",IF(ISNA(VLOOKUP($B122,'B-1 Site Hedge Baseline'!$B$1:$L$257,5,FALSE)),"",(VLOOKUP($B122,'B-1 Site Hedge Baseline'!$B$1:$L$257,5,FALSE))))</f>
        <v/>
      </c>
      <c r="F122" s="175" t="str">
        <f>IF(B122="","",IF(ISNA(VLOOKUP($B122,'B-1 Site Hedge Baseline'!$B$1:$L$257,6,FALSE)),"",(VLOOKUP($B122,'B-1 Site Hedge Baseline'!$B$1:$L$257,6,FALSE))))</f>
        <v/>
      </c>
      <c r="G122" s="175" t="str">
        <f>IF(B122="","",IF(ISNA(VLOOKUP($B122,'B-1 Site Hedge Baseline'!$B$1:$L$257,7,FALSE)),"",(VLOOKUP($B122,'B-1 Site Hedge Baseline'!$B$1:$L$257,7,FALSE))))</f>
        <v/>
      </c>
      <c r="H122" s="175" t="str">
        <f>IF(B122="","",IF(ISNA(VLOOKUP($B122,'B-1 Site Hedge Baseline'!$B$1:$L$257,8,FALSE)),"",(VLOOKUP($B122,'B-1 Site Hedge Baseline'!$B$1:$L$257,8,FALSE))))</f>
        <v/>
      </c>
      <c r="I122" s="175" t="str">
        <f>IF(B122="","",IF(ISNA(VLOOKUP($B122,'B-1 Site Hedge Baseline'!$B$1:$L$257,10,FALSE)),"",(VLOOKUP($B122,'B-1 Site Hedge Baseline'!$B$1:$L$257,10,FALSE))))</f>
        <v/>
      </c>
      <c r="J122" s="175" t="str">
        <f>IF(B122="","",IF(ISNA(VLOOKUP($B122,'B-1 Site Hedge Baseline'!$B$1:$L$257,11,FALSE)),"",(VLOOKUP($B122,'B-1 Site Hedge Baseline'!$B$1:$L$257,11,FALSE))))</f>
        <v/>
      </c>
      <c r="K122" s="175" t="str">
        <f>IF(B122="","",IF(ISNA(VLOOKUP($B122,'B-1 Site Hedge Baseline'!$B$1:$U$257,13,FALSE)),"",(VLOOKUP($B122,'B-1 Site Hedge Baseline'!$B$1:$U$257,13,FALSE))))</f>
        <v/>
      </c>
      <c r="L122" s="176" t="str">
        <f>IF(B122="","",IF(ISNA(VLOOKUP($B122,'B-1 Site Hedge Baseline'!$B$1:$U$257,12,FALSE)),"",(VLOOKUP($B122,'B-1 Site Hedge Baseline'!$B$1:$U$257,12,FALSE))))</f>
        <v/>
      </c>
      <c r="M122" s="637"/>
      <c r="N122" s="171" t="str">
        <f>IFERROR(IF(B122="","",INDEX('G-6 Hedgerow Data'!$AN$3:$AZ$15,MATCH(C122,'G-6 Hedgerow Data'!$AM$3:$AM$15,0),MATCH(M122,'G-6 Hedgerow Data'!$AN$2:$AZ$2,0))),"")</f>
        <v/>
      </c>
      <c r="O122" s="172" t="str">
        <f t="shared" si="7"/>
        <v/>
      </c>
      <c r="P122" s="642" t="str">
        <f>IF(B122="","",VLOOKUP(B122,'B-1 Site Hedge Baseline'!$B$10:T367,16,FALSE))</f>
        <v/>
      </c>
      <c r="Q122" s="171" t="str">
        <f>IF(M122="","",VLOOKUP(M122,'G-6 Hedgerow Data'!$B$2:$AG$15,2,FALSE))</f>
        <v/>
      </c>
      <c r="R122" s="172" t="str">
        <f>IF(M122="","",VLOOKUP(M122,'G-6 Hedgerow Data'!$B$2:$AG$15,3,FALSE))</f>
        <v/>
      </c>
      <c r="S122" s="189"/>
      <c r="T122" s="269" t="str">
        <f>IFERROR(VLOOKUP(S122,'G-1 All Habitats'!$Z$2:$AA$9,2,FALSE),"")</f>
        <v/>
      </c>
      <c r="U122" s="186"/>
      <c r="V122" s="175" t="str">
        <f>IF(U122="","",IF(VLOOKUP(U122,'G-3 Multipliers'!$L$3:$N$6,2,FALSE)=0,"Spatial Data Missing",VLOOKUP(U122,'G-3 Multipliers'!$L$3:$N$6,2,FALSE)))</f>
        <v/>
      </c>
      <c r="W122" s="176" t="str">
        <f>IF(U122="","",IF(VLOOKUP(U122,'G-3 Multipliers'!$L$3:$N$6,3,FALSE)=0,"Spatial Data Missing",VLOOKUP(U122,'G-3 Multipliers'!$L$3:$N$6,3,FALSE)))</f>
        <v/>
      </c>
      <c r="X122" s="171" t="str">
        <f>IFERROR(IF(OR(LEFT(O122,5)="Error",LEFT(N122,5)="Error",T122="Error"),"Check Data",IF(F122&lt;R122,INDEX('G-6 Hedgerow Data'!$S$3:$AE$14,MATCH(C122,'G-6 Hedgerow Data'!$B$3:$B$14,0),MATCH(M122,'G-6 Hedgerow Data'!$S$2:$AE$2,0)),INDEX('G-6 Hedgerow Data'!$K$3:$Q$14,MATCH(M122,'G-6 Hedgerow Data'!$B$3:$B$14,0),MATCH(O122,'G-6 Hedgerow Data'!$K$2:$Q$2,0)))),"")</f>
        <v/>
      </c>
      <c r="Y122" s="261"/>
      <c r="Z122" s="261"/>
      <c r="AA122" s="179" t="str">
        <f t="shared" si="10"/>
        <v/>
      </c>
      <c r="AB122" s="262" t="str">
        <f t="shared" si="11"/>
        <v/>
      </c>
      <c r="AC122" s="263" t="str">
        <f t="shared" si="8"/>
        <v/>
      </c>
      <c r="AD122" s="239" t="str">
        <f>IF(M122="","",VLOOKUP(M122,'G-6 Hedgerow Data'!$B$3:$AG$15,31,FALSE))</f>
        <v/>
      </c>
      <c r="AE122" s="179" t="str">
        <f t="shared" si="12"/>
        <v/>
      </c>
      <c r="AF122" s="179" t="str">
        <f t="shared" si="13"/>
        <v/>
      </c>
      <c r="AG122" s="176" t="str">
        <f>IFERROR(IF(O122="","",VLOOKUP(AD122,'G-3 Multipliers'!$P$3:$Q$6,2,FALSE)),"")</f>
        <v/>
      </c>
      <c r="AH122" s="207" t="str">
        <f t="shared" si="9"/>
        <v/>
      </c>
      <c r="AI122" s="336"/>
      <c r="AJ122" s="181"/>
      <c r="AT122" s="35" t="str">
        <f>IFERROR(INDEX('G-6 Hedgerow Data'!$BJ$3:$BJ$15,MATCH(M122,'G-6 Hedgerow Data'!$B$3:$B$15,0)),"")</f>
        <v/>
      </c>
    </row>
    <row r="123" spans="2:46" ht="13.8" x14ac:dyDescent="0.25">
      <c r="B123" s="259" t="str">
        <f>'B-1 Site Hedge Baseline'!AK121</f>
        <v/>
      </c>
      <c r="C123" s="175" t="str">
        <f>IF(B123="","",IF(ISNA(VLOOKUP($B123,'B-1 Site Hedge Baseline'!$B$1:$L$257,3,FALSE)),"",(VLOOKUP($B123,'B-1 Site Hedge Baseline'!$B$1:$L$257,3,FALSE))))</f>
        <v/>
      </c>
      <c r="D123" s="175" t="str">
        <f>IF(B123="","",IF(ISNA(VLOOKUP($B123,'B-1 Site Hedge Baseline'!$B$1:$L$257,4,FALSE)),"",(VLOOKUP($B123,'B-1 Site Hedge Baseline'!$B$1:$L$257,4,FALSE))))</f>
        <v/>
      </c>
      <c r="E123" s="175" t="str">
        <f>IF(B123="","",IF(ISNA(VLOOKUP($B123,'B-1 Site Hedge Baseline'!$B$1:$L$257,5,FALSE)),"",(VLOOKUP($B123,'B-1 Site Hedge Baseline'!$B$1:$L$257,5,FALSE))))</f>
        <v/>
      </c>
      <c r="F123" s="175" t="str">
        <f>IF(B123="","",IF(ISNA(VLOOKUP($B123,'B-1 Site Hedge Baseline'!$B$1:$L$257,6,FALSE)),"",(VLOOKUP($B123,'B-1 Site Hedge Baseline'!$B$1:$L$257,6,FALSE))))</f>
        <v/>
      </c>
      <c r="G123" s="175" t="str">
        <f>IF(B123="","",IF(ISNA(VLOOKUP($B123,'B-1 Site Hedge Baseline'!$B$1:$L$257,7,FALSE)),"",(VLOOKUP($B123,'B-1 Site Hedge Baseline'!$B$1:$L$257,7,FALSE))))</f>
        <v/>
      </c>
      <c r="H123" s="175" t="str">
        <f>IF(B123="","",IF(ISNA(VLOOKUP($B123,'B-1 Site Hedge Baseline'!$B$1:$L$257,8,FALSE)),"",(VLOOKUP($B123,'B-1 Site Hedge Baseline'!$B$1:$L$257,8,FALSE))))</f>
        <v/>
      </c>
      <c r="I123" s="175" t="str">
        <f>IF(B123="","",IF(ISNA(VLOOKUP($B123,'B-1 Site Hedge Baseline'!$B$1:$L$257,10,FALSE)),"",(VLOOKUP($B123,'B-1 Site Hedge Baseline'!$B$1:$L$257,10,FALSE))))</f>
        <v/>
      </c>
      <c r="J123" s="175" t="str">
        <f>IF(B123="","",IF(ISNA(VLOOKUP($B123,'B-1 Site Hedge Baseline'!$B$1:$L$257,11,FALSE)),"",(VLOOKUP($B123,'B-1 Site Hedge Baseline'!$B$1:$L$257,11,FALSE))))</f>
        <v/>
      </c>
      <c r="K123" s="175" t="str">
        <f>IF(B123="","",IF(ISNA(VLOOKUP($B123,'B-1 Site Hedge Baseline'!$B$1:$U$257,13,FALSE)),"",(VLOOKUP($B123,'B-1 Site Hedge Baseline'!$B$1:$U$257,13,FALSE))))</f>
        <v/>
      </c>
      <c r="L123" s="176" t="str">
        <f>IF(B123="","",IF(ISNA(VLOOKUP($B123,'B-1 Site Hedge Baseline'!$B$1:$U$257,12,FALSE)),"",(VLOOKUP($B123,'B-1 Site Hedge Baseline'!$B$1:$U$257,12,FALSE))))</f>
        <v/>
      </c>
      <c r="M123" s="637"/>
      <c r="N123" s="171" t="str">
        <f>IFERROR(IF(B123="","",INDEX('G-6 Hedgerow Data'!$AN$3:$AZ$15,MATCH(C123,'G-6 Hedgerow Data'!$AM$3:$AM$15,0),MATCH(M123,'G-6 Hedgerow Data'!$AN$2:$AZ$2,0))),"")</f>
        <v/>
      </c>
      <c r="O123" s="172" t="str">
        <f t="shared" si="7"/>
        <v/>
      </c>
      <c r="P123" s="642" t="str">
        <f>IF(B123="","",VLOOKUP(B123,'B-1 Site Hedge Baseline'!$B$10:T368,16,FALSE))</f>
        <v/>
      </c>
      <c r="Q123" s="171" t="str">
        <f>IF(M123="","",VLOOKUP(M123,'G-6 Hedgerow Data'!$B$2:$AG$15,2,FALSE))</f>
        <v/>
      </c>
      <c r="R123" s="172" t="str">
        <f>IF(M123="","",VLOOKUP(M123,'G-6 Hedgerow Data'!$B$2:$AG$15,3,FALSE))</f>
        <v/>
      </c>
      <c r="S123" s="189"/>
      <c r="T123" s="269" t="str">
        <f>IFERROR(VLOOKUP(S123,'G-1 All Habitats'!$Z$2:$AA$9,2,FALSE),"")</f>
        <v/>
      </c>
      <c r="U123" s="186"/>
      <c r="V123" s="175" t="str">
        <f>IF(U123="","",IF(VLOOKUP(U123,'G-3 Multipliers'!$L$3:$N$6,2,FALSE)=0,"Spatial Data Missing",VLOOKUP(U123,'G-3 Multipliers'!$L$3:$N$6,2,FALSE)))</f>
        <v/>
      </c>
      <c r="W123" s="176" t="str">
        <f>IF(U123="","",IF(VLOOKUP(U123,'G-3 Multipliers'!$L$3:$N$6,3,FALSE)=0,"Spatial Data Missing",VLOOKUP(U123,'G-3 Multipliers'!$L$3:$N$6,3,FALSE)))</f>
        <v/>
      </c>
      <c r="X123" s="171" t="str">
        <f>IFERROR(IF(OR(LEFT(O123,5)="Error",LEFT(N123,5)="Error",T123="Error"),"Check Data",IF(F123&lt;R123,INDEX('G-6 Hedgerow Data'!$S$3:$AE$14,MATCH(C123,'G-6 Hedgerow Data'!$B$3:$B$14,0),MATCH(M123,'G-6 Hedgerow Data'!$S$2:$AE$2,0)),INDEX('G-6 Hedgerow Data'!$K$3:$Q$14,MATCH(M123,'G-6 Hedgerow Data'!$B$3:$B$14,0),MATCH(O123,'G-6 Hedgerow Data'!$K$2:$Q$2,0)))),"")</f>
        <v/>
      </c>
      <c r="Y123" s="261"/>
      <c r="Z123" s="261"/>
      <c r="AA123" s="179" t="str">
        <f t="shared" si="10"/>
        <v/>
      </c>
      <c r="AB123" s="262" t="str">
        <f t="shared" si="11"/>
        <v/>
      </c>
      <c r="AC123" s="263" t="str">
        <f t="shared" si="8"/>
        <v/>
      </c>
      <c r="AD123" s="239" t="str">
        <f>IF(M123="","",VLOOKUP(M123,'G-6 Hedgerow Data'!$B$3:$AG$15,31,FALSE))</f>
        <v/>
      </c>
      <c r="AE123" s="179" t="str">
        <f t="shared" si="12"/>
        <v/>
      </c>
      <c r="AF123" s="179" t="str">
        <f t="shared" si="13"/>
        <v/>
      </c>
      <c r="AG123" s="176" t="str">
        <f>IFERROR(IF(O123="","",VLOOKUP(AD123,'G-3 Multipliers'!$P$3:$Q$6,2,FALSE)),"")</f>
        <v/>
      </c>
      <c r="AH123" s="207" t="str">
        <f t="shared" si="9"/>
        <v/>
      </c>
      <c r="AI123" s="336"/>
      <c r="AJ123" s="181"/>
      <c r="AT123" s="35" t="str">
        <f>IFERROR(INDEX('G-6 Hedgerow Data'!$BJ$3:$BJ$15,MATCH(M123,'G-6 Hedgerow Data'!$B$3:$B$15,0)),"")</f>
        <v/>
      </c>
    </row>
    <row r="124" spans="2:46" ht="13.8" x14ac:dyDescent="0.25">
      <c r="B124" s="259" t="str">
        <f>'B-1 Site Hedge Baseline'!AK122</f>
        <v/>
      </c>
      <c r="C124" s="175" t="str">
        <f>IF(B124="","",IF(ISNA(VLOOKUP($B124,'B-1 Site Hedge Baseline'!$B$1:$L$257,3,FALSE)),"",(VLOOKUP($B124,'B-1 Site Hedge Baseline'!$B$1:$L$257,3,FALSE))))</f>
        <v/>
      </c>
      <c r="D124" s="175" t="str">
        <f>IF(B124="","",IF(ISNA(VLOOKUP($B124,'B-1 Site Hedge Baseline'!$B$1:$L$257,4,FALSE)),"",(VLOOKUP($B124,'B-1 Site Hedge Baseline'!$B$1:$L$257,4,FALSE))))</f>
        <v/>
      </c>
      <c r="E124" s="175" t="str">
        <f>IF(B124="","",IF(ISNA(VLOOKUP($B124,'B-1 Site Hedge Baseline'!$B$1:$L$257,5,FALSE)),"",(VLOOKUP($B124,'B-1 Site Hedge Baseline'!$B$1:$L$257,5,FALSE))))</f>
        <v/>
      </c>
      <c r="F124" s="175" t="str">
        <f>IF(B124="","",IF(ISNA(VLOOKUP($B124,'B-1 Site Hedge Baseline'!$B$1:$L$257,6,FALSE)),"",(VLOOKUP($B124,'B-1 Site Hedge Baseline'!$B$1:$L$257,6,FALSE))))</f>
        <v/>
      </c>
      <c r="G124" s="175" t="str">
        <f>IF(B124="","",IF(ISNA(VLOOKUP($B124,'B-1 Site Hedge Baseline'!$B$1:$L$257,7,FALSE)),"",(VLOOKUP($B124,'B-1 Site Hedge Baseline'!$B$1:$L$257,7,FALSE))))</f>
        <v/>
      </c>
      <c r="H124" s="175" t="str">
        <f>IF(B124="","",IF(ISNA(VLOOKUP($B124,'B-1 Site Hedge Baseline'!$B$1:$L$257,8,FALSE)),"",(VLOOKUP($B124,'B-1 Site Hedge Baseline'!$B$1:$L$257,8,FALSE))))</f>
        <v/>
      </c>
      <c r="I124" s="175" t="str">
        <f>IF(B124="","",IF(ISNA(VLOOKUP($B124,'B-1 Site Hedge Baseline'!$B$1:$L$257,10,FALSE)),"",(VLOOKUP($B124,'B-1 Site Hedge Baseline'!$B$1:$L$257,10,FALSE))))</f>
        <v/>
      </c>
      <c r="J124" s="175" t="str">
        <f>IF(B124="","",IF(ISNA(VLOOKUP($B124,'B-1 Site Hedge Baseline'!$B$1:$L$257,11,FALSE)),"",(VLOOKUP($B124,'B-1 Site Hedge Baseline'!$B$1:$L$257,11,FALSE))))</f>
        <v/>
      </c>
      <c r="K124" s="175" t="str">
        <f>IF(B124="","",IF(ISNA(VLOOKUP($B124,'B-1 Site Hedge Baseline'!$B$1:$U$257,13,FALSE)),"",(VLOOKUP($B124,'B-1 Site Hedge Baseline'!$B$1:$U$257,13,FALSE))))</f>
        <v/>
      </c>
      <c r="L124" s="176" t="str">
        <f>IF(B124="","",IF(ISNA(VLOOKUP($B124,'B-1 Site Hedge Baseline'!$B$1:$U$257,12,FALSE)),"",(VLOOKUP($B124,'B-1 Site Hedge Baseline'!$B$1:$U$257,12,FALSE))))</f>
        <v/>
      </c>
      <c r="M124" s="637"/>
      <c r="N124" s="171" t="str">
        <f>IFERROR(IF(B124="","",INDEX('G-6 Hedgerow Data'!$AN$3:$AZ$15,MATCH(C124,'G-6 Hedgerow Data'!$AM$3:$AM$15,0),MATCH(M124,'G-6 Hedgerow Data'!$AN$2:$AZ$2,0))),"")</f>
        <v/>
      </c>
      <c r="O124" s="172" t="str">
        <f t="shared" si="7"/>
        <v/>
      </c>
      <c r="P124" s="642" t="str">
        <f>IF(B124="","",VLOOKUP(B124,'B-1 Site Hedge Baseline'!$B$10:T369,16,FALSE))</f>
        <v/>
      </c>
      <c r="Q124" s="171" t="str">
        <f>IF(M124="","",VLOOKUP(M124,'G-6 Hedgerow Data'!$B$2:$AG$15,2,FALSE))</f>
        <v/>
      </c>
      <c r="R124" s="172" t="str">
        <f>IF(M124="","",VLOOKUP(M124,'G-6 Hedgerow Data'!$B$2:$AG$15,3,FALSE))</f>
        <v/>
      </c>
      <c r="S124" s="189"/>
      <c r="T124" s="269" t="str">
        <f>IFERROR(VLOOKUP(S124,'G-1 All Habitats'!$Z$2:$AA$9,2,FALSE),"")</f>
        <v/>
      </c>
      <c r="U124" s="186"/>
      <c r="V124" s="175" t="str">
        <f>IF(U124="","",IF(VLOOKUP(U124,'G-3 Multipliers'!$L$3:$N$6,2,FALSE)=0,"Spatial Data Missing",VLOOKUP(U124,'G-3 Multipliers'!$L$3:$N$6,2,FALSE)))</f>
        <v/>
      </c>
      <c r="W124" s="176" t="str">
        <f>IF(U124="","",IF(VLOOKUP(U124,'G-3 Multipliers'!$L$3:$N$6,3,FALSE)=0,"Spatial Data Missing",VLOOKUP(U124,'G-3 Multipliers'!$L$3:$N$6,3,FALSE)))</f>
        <v/>
      </c>
      <c r="X124" s="171" t="str">
        <f>IFERROR(IF(OR(LEFT(O124,5)="Error",LEFT(N124,5)="Error",T124="Error"),"Check Data",IF(F124&lt;R124,INDEX('G-6 Hedgerow Data'!$S$3:$AE$14,MATCH(C124,'G-6 Hedgerow Data'!$B$3:$B$14,0),MATCH(M124,'G-6 Hedgerow Data'!$S$2:$AE$2,0)),INDEX('G-6 Hedgerow Data'!$K$3:$Q$14,MATCH(M124,'G-6 Hedgerow Data'!$B$3:$B$14,0),MATCH(O124,'G-6 Hedgerow Data'!$K$2:$Q$2,0)))),"")</f>
        <v/>
      </c>
      <c r="Y124" s="261"/>
      <c r="Z124" s="261"/>
      <c r="AA124" s="179" t="str">
        <f t="shared" si="10"/>
        <v/>
      </c>
      <c r="AB124" s="262" t="str">
        <f t="shared" si="11"/>
        <v/>
      </c>
      <c r="AC124" s="263" t="str">
        <f t="shared" si="8"/>
        <v/>
      </c>
      <c r="AD124" s="239" t="str">
        <f>IF(M124="","",VLOOKUP(M124,'G-6 Hedgerow Data'!$B$3:$AG$15,31,FALSE))</f>
        <v/>
      </c>
      <c r="AE124" s="179" t="str">
        <f t="shared" si="12"/>
        <v/>
      </c>
      <c r="AF124" s="179" t="str">
        <f t="shared" si="13"/>
        <v/>
      </c>
      <c r="AG124" s="176" t="str">
        <f>IFERROR(IF(O124="","",VLOOKUP(AD124,'G-3 Multipliers'!$P$3:$Q$6,2,FALSE)),"")</f>
        <v/>
      </c>
      <c r="AH124" s="207" t="str">
        <f t="shared" si="9"/>
        <v/>
      </c>
      <c r="AI124" s="336"/>
      <c r="AJ124" s="181"/>
      <c r="AT124" s="35" t="str">
        <f>IFERROR(INDEX('G-6 Hedgerow Data'!$BJ$3:$BJ$15,MATCH(M124,'G-6 Hedgerow Data'!$B$3:$B$15,0)),"")</f>
        <v/>
      </c>
    </row>
    <row r="125" spans="2:46" ht="13.8" x14ac:dyDescent="0.25">
      <c r="B125" s="259" t="str">
        <f>'B-1 Site Hedge Baseline'!AK123</f>
        <v/>
      </c>
      <c r="C125" s="175" t="str">
        <f>IF(B125="","",IF(ISNA(VLOOKUP($B125,'B-1 Site Hedge Baseline'!$B$1:$L$257,3,FALSE)),"",(VLOOKUP($B125,'B-1 Site Hedge Baseline'!$B$1:$L$257,3,FALSE))))</f>
        <v/>
      </c>
      <c r="D125" s="175" t="str">
        <f>IF(B125="","",IF(ISNA(VLOOKUP($B125,'B-1 Site Hedge Baseline'!$B$1:$L$257,4,FALSE)),"",(VLOOKUP($B125,'B-1 Site Hedge Baseline'!$B$1:$L$257,4,FALSE))))</f>
        <v/>
      </c>
      <c r="E125" s="175" t="str">
        <f>IF(B125="","",IF(ISNA(VLOOKUP($B125,'B-1 Site Hedge Baseline'!$B$1:$L$257,5,FALSE)),"",(VLOOKUP($B125,'B-1 Site Hedge Baseline'!$B$1:$L$257,5,FALSE))))</f>
        <v/>
      </c>
      <c r="F125" s="175" t="str">
        <f>IF(B125="","",IF(ISNA(VLOOKUP($B125,'B-1 Site Hedge Baseline'!$B$1:$L$257,6,FALSE)),"",(VLOOKUP($B125,'B-1 Site Hedge Baseline'!$B$1:$L$257,6,FALSE))))</f>
        <v/>
      </c>
      <c r="G125" s="175" t="str">
        <f>IF(B125="","",IF(ISNA(VLOOKUP($B125,'B-1 Site Hedge Baseline'!$B$1:$L$257,7,FALSE)),"",(VLOOKUP($B125,'B-1 Site Hedge Baseline'!$B$1:$L$257,7,FALSE))))</f>
        <v/>
      </c>
      <c r="H125" s="175" t="str">
        <f>IF(B125="","",IF(ISNA(VLOOKUP($B125,'B-1 Site Hedge Baseline'!$B$1:$L$257,8,FALSE)),"",(VLOOKUP($B125,'B-1 Site Hedge Baseline'!$B$1:$L$257,8,FALSE))))</f>
        <v/>
      </c>
      <c r="I125" s="175" t="str">
        <f>IF(B125="","",IF(ISNA(VLOOKUP($B125,'B-1 Site Hedge Baseline'!$B$1:$L$257,10,FALSE)),"",(VLOOKUP($B125,'B-1 Site Hedge Baseline'!$B$1:$L$257,10,FALSE))))</f>
        <v/>
      </c>
      <c r="J125" s="175" t="str">
        <f>IF(B125="","",IF(ISNA(VLOOKUP($B125,'B-1 Site Hedge Baseline'!$B$1:$L$257,11,FALSE)),"",(VLOOKUP($B125,'B-1 Site Hedge Baseline'!$B$1:$L$257,11,FALSE))))</f>
        <v/>
      </c>
      <c r="K125" s="175" t="str">
        <f>IF(B125="","",IF(ISNA(VLOOKUP($B125,'B-1 Site Hedge Baseline'!$B$1:$U$257,13,FALSE)),"",(VLOOKUP($B125,'B-1 Site Hedge Baseline'!$B$1:$U$257,13,FALSE))))</f>
        <v/>
      </c>
      <c r="L125" s="176" t="str">
        <f>IF(B125="","",IF(ISNA(VLOOKUP($B125,'B-1 Site Hedge Baseline'!$B$1:$U$257,12,FALSE)),"",(VLOOKUP($B125,'B-1 Site Hedge Baseline'!$B$1:$U$257,12,FALSE))))</f>
        <v/>
      </c>
      <c r="M125" s="637"/>
      <c r="N125" s="171" t="str">
        <f>IFERROR(IF(B125="","",INDEX('G-6 Hedgerow Data'!$AN$3:$AZ$15,MATCH(C125,'G-6 Hedgerow Data'!$AM$3:$AM$15,0),MATCH(M125,'G-6 Hedgerow Data'!$AN$2:$AZ$2,0))),"")</f>
        <v/>
      </c>
      <c r="O125" s="172" t="str">
        <f t="shared" si="7"/>
        <v/>
      </c>
      <c r="P125" s="642" t="str">
        <f>IF(B125="","",VLOOKUP(B125,'B-1 Site Hedge Baseline'!$B$10:T370,16,FALSE))</f>
        <v/>
      </c>
      <c r="Q125" s="171" t="str">
        <f>IF(M125="","",VLOOKUP(M125,'G-6 Hedgerow Data'!$B$2:$AG$15,2,FALSE))</f>
        <v/>
      </c>
      <c r="R125" s="172" t="str">
        <f>IF(M125="","",VLOOKUP(M125,'G-6 Hedgerow Data'!$B$2:$AG$15,3,FALSE))</f>
        <v/>
      </c>
      <c r="S125" s="189"/>
      <c r="T125" s="269" t="str">
        <f>IFERROR(VLOOKUP(S125,'G-1 All Habitats'!$Z$2:$AA$9,2,FALSE),"")</f>
        <v/>
      </c>
      <c r="U125" s="186"/>
      <c r="V125" s="175" t="str">
        <f>IF(U125="","",IF(VLOOKUP(U125,'G-3 Multipliers'!$L$3:$N$6,2,FALSE)=0,"Spatial Data Missing",VLOOKUP(U125,'G-3 Multipliers'!$L$3:$N$6,2,FALSE)))</f>
        <v/>
      </c>
      <c r="W125" s="176" t="str">
        <f>IF(U125="","",IF(VLOOKUP(U125,'G-3 Multipliers'!$L$3:$N$6,3,FALSE)=0,"Spatial Data Missing",VLOOKUP(U125,'G-3 Multipliers'!$L$3:$N$6,3,FALSE)))</f>
        <v/>
      </c>
      <c r="X125" s="171" t="str">
        <f>IFERROR(IF(OR(LEFT(O125,5)="Error",LEFT(N125,5)="Error",T125="Error"),"Check Data",IF(F125&lt;R125,INDEX('G-6 Hedgerow Data'!$S$3:$AE$14,MATCH(C125,'G-6 Hedgerow Data'!$B$3:$B$14,0),MATCH(M125,'G-6 Hedgerow Data'!$S$2:$AE$2,0)),INDEX('G-6 Hedgerow Data'!$K$3:$Q$14,MATCH(M125,'G-6 Hedgerow Data'!$B$3:$B$14,0),MATCH(O125,'G-6 Hedgerow Data'!$K$2:$Q$2,0)))),"")</f>
        <v/>
      </c>
      <c r="Y125" s="261"/>
      <c r="Z125" s="261"/>
      <c r="AA125" s="179" t="str">
        <f t="shared" si="10"/>
        <v/>
      </c>
      <c r="AB125" s="262" t="str">
        <f t="shared" si="11"/>
        <v/>
      </c>
      <c r="AC125" s="263" t="str">
        <f t="shared" si="8"/>
        <v/>
      </c>
      <c r="AD125" s="239" t="str">
        <f>IF(M125="","",VLOOKUP(M125,'G-6 Hedgerow Data'!$B$3:$AG$15,31,FALSE))</f>
        <v/>
      </c>
      <c r="AE125" s="179" t="str">
        <f t="shared" si="12"/>
        <v/>
      </c>
      <c r="AF125" s="179" t="str">
        <f t="shared" si="13"/>
        <v/>
      </c>
      <c r="AG125" s="176" t="str">
        <f>IFERROR(IF(O125="","",VLOOKUP(AD125,'G-3 Multipliers'!$P$3:$Q$6,2,FALSE)),"")</f>
        <v/>
      </c>
      <c r="AH125" s="207" t="str">
        <f t="shared" si="9"/>
        <v/>
      </c>
      <c r="AI125" s="336"/>
      <c r="AJ125" s="181"/>
      <c r="AT125" s="35" t="str">
        <f>IFERROR(INDEX('G-6 Hedgerow Data'!$BJ$3:$BJ$15,MATCH(M125,'G-6 Hedgerow Data'!$B$3:$B$15,0)),"")</f>
        <v/>
      </c>
    </row>
    <row r="126" spans="2:46" ht="13.8" x14ac:dyDescent="0.25">
      <c r="B126" s="259" t="str">
        <f>'B-1 Site Hedge Baseline'!AK124</f>
        <v/>
      </c>
      <c r="C126" s="175" t="str">
        <f>IF(B126="","",IF(ISNA(VLOOKUP($B126,'B-1 Site Hedge Baseline'!$B$1:$L$257,3,FALSE)),"",(VLOOKUP($B126,'B-1 Site Hedge Baseline'!$B$1:$L$257,3,FALSE))))</f>
        <v/>
      </c>
      <c r="D126" s="175" t="str">
        <f>IF(B126="","",IF(ISNA(VLOOKUP($B126,'B-1 Site Hedge Baseline'!$B$1:$L$257,4,FALSE)),"",(VLOOKUP($B126,'B-1 Site Hedge Baseline'!$B$1:$L$257,4,FALSE))))</f>
        <v/>
      </c>
      <c r="E126" s="175" t="str">
        <f>IF(B126="","",IF(ISNA(VLOOKUP($B126,'B-1 Site Hedge Baseline'!$B$1:$L$257,5,FALSE)),"",(VLOOKUP($B126,'B-1 Site Hedge Baseline'!$B$1:$L$257,5,FALSE))))</f>
        <v/>
      </c>
      <c r="F126" s="175" t="str">
        <f>IF(B126="","",IF(ISNA(VLOOKUP($B126,'B-1 Site Hedge Baseline'!$B$1:$L$257,6,FALSE)),"",(VLOOKUP($B126,'B-1 Site Hedge Baseline'!$B$1:$L$257,6,FALSE))))</f>
        <v/>
      </c>
      <c r="G126" s="175" t="str">
        <f>IF(B126="","",IF(ISNA(VLOOKUP($B126,'B-1 Site Hedge Baseline'!$B$1:$L$257,7,FALSE)),"",(VLOOKUP($B126,'B-1 Site Hedge Baseline'!$B$1:$L$257,7,FALSE))))</f>
        <v/>
      </c>
      <c r="H126" s="175" t="str">
        <f>IF(B126="","",IF(ISNA(VLOOKUP($B126,'B-1 Site Hedge Baseline'!$B$1:$L$257,8,FALSE)),"",(VLOOKUP($B126,'B-1 Site Hedge Baseline'!$B$1:$L$257,8,FALSE))))</f>
        <v/>
      </c>
      <c r="I126" s="175" t="str">
        <f>IF(B126="","",IF(ISNA(VLOOKUP($B126,'B-1 Site Hedge Baseline'!$B$1:$L$257,10,FALSE)),"",(VLOOKUP($B126,'B-1 Site Hedge Baseline'!$B$1:$L$257,10,FALSE))))</f>
        <v/>
      </c>
      <c r="J126" s="175" t="str">
        <f>IF(B126="","",IF(ISNA(VLOOKUP($B126,'B-1 Site Hedge Baseline'!$B$1:$L$257,11,FALSE)),"",(VLOOKUP($B126,'B-1 Site Hedge Baseline'!$B$1:$L$257,11,FALSE))))</f>
        <v/>
      </c>
      <c r="K126" s="175" t="str">
        <f>IF(B126="","",IF(ISNA(VLOOKUP($B126,'B-1 Site Hedge Baseline'!$B$1:$U$257,13,FALSE)),"",(VLOOKUP($B126,'B-1 Site Hedge Baseline'!$B$1:$U$257,13,FALSE))))</f>
        <v/>
      </c>
      <c r="L126" s="176" t="str">
        <f>IF(B126="","",IF(ISNA(VLOOKUP($B126,'B-1 Site Hedge Baseline'!$B$1:$U$257,12,FALSE)),"",(VLOOKUP($B126,'B-1 Site Hedge Baseline'!$B$1:$U$257,12,FALSE))))</f>
        <v/>
      </c>
      <c r="M126" s="637"/>
      <c r="N126" s="171" t="str">
        <f>IFERROR(IF(B126="","",INDEX('G-6 Hedgerow Data'!$AN$3:$AZ$15,MATCH(C126,'G-6 Hedgerow Data'!$AM$3:$AM$15,0),MATCH(M126,'G-6 Hedgerow Data'!$AN$2:$AZ$2,0))),"")</f>
        <v/>
      </c>
      <c r="O126" s="172" t="str">
        <f t="shared" si="7"/>
        <v/>
      </c>
      <c r="P126" s="642" t="str">
        <f>IF(B126="","",VLOOKUP(B126,'B-1 Site Hedge Baseline'!$B$10:T371,16,FALSE))</f>
        <v/>
      </c>
      <c r="Q126" s="171" t="str">
        <f>IF(M126="","",VLOOKUP(M126,'G-6 Hedgerow Data'!$B$2:$AG$15,2,FALSE))</f>
        <v/>
      </c>
      <c r="R126" s="172" t="str">
        <f>IF(M126="","",VLOOKUP(M126,'G-6 Hedgerow Data'!$B$2:$AG$15,3,FALSE))</f>
        <v/>
      </c>
      <c r="S126" s="189"/>
      <c r="T126" s="269" t="str">
        <f>IFERROR(VLOOKUP(S126,'G-1 All Habitats'!$Z$2:$AA$9,2,FALSE),"")</f>
        <v/>
      </c>
      <c r="U126" s="186"/>
      <c r="V126" s="175" t="str">
        <f>IF(U126="","",IF(VLOOKUP(U126,'G-3 Multipliers'!$L$3:$N$6,2,FALSE)=0,"Spatial Data Missing",VLOOKUP(U126,'G-3 Multipliers'!$L$3:$N$6,2,FALSE)))</f>
        <v/>
      </c>
      <c r="W126" s="176" t="str">
        <f>IF(U126="","",IF(VLOOKUP(U126,'G-3 Multipliers'!$L$3:$N$6,3,FALSE)=0,"Spatial Data Missing",VLOOKUP(U126,'G-3 Multipliers'!$L$3:$N$6,3,FALSE)))</f>
        <v/>
      </c>
      <c r="X126" s="171" t="str">
        <f>IFERROR(IF(OR(LEFT(O126,5)="Error",LEFT(N126,5)="Error",T126="Error"),"Check Data",IF(F126&lt;R126,INDEX('G-6 Hedgerow Data'!$S$3:$AE$14,MATCH(C126,'G-6 Hedgerow Data'!$B$3:$B$14,0),MATCH(M126,'G-6 Hedgerow Data'!$S$2:$AE$2,0)),INDEX('G-6 Hedgerow Data'!$K$3:$Q$14,MATCH(M126,'G-6 Hedgerow Data'!$B$3:$B$14,0),MATCH(O126,'G-6 Hedgerow Data'!$K$2:$Q$2,0)))),"")</f>
        <v/>
      </c>
      <c r="Y126" s="261"/>
      <c r="Z126" s="261"/>
      <c r="AA126" s="179" t="str">
        <f t="shared" si="10"/>
        <v/>
      </c>
      <c r="AB126" s="262" t="str">
        <f t="shared" si="11"/>
        <v/>
      </c>
      <c r="AC126" s="263" t="str">
        <f t="shared" si="8"/>
        <v/>
      </c>
      <c r="AD126" s="239" t="str">
        <f>IF(M126="","",VLOOKUP(M126,'G-6 Hedgerow Data'!$B$3:$AG$15,31,FALSE))</f>
        <v/>
      </c>
      <c r="AE126" s="179" t="str">
        <f t="shared" si="12"/>
        <v/>
      </c>
      <c r="AF126" s="179" t="str">
        <f t="shared" si="13"/>
        <v/>
      </c>
      <c r="AG126" s="176" t="str">
        <f>IFERROR(IF(O126="","",VLOOKUP(AD126,'G-3 Multipliers'!$P$3:$Q$6,2,FALSE)),"")</f>
        <v/>
      </c>
      <c r="AH126" s="207" t="str">
        <f t="shared" si="9"/>
        <v/>
      </c>
      <c r="AI126" s="336"/>
      <c r="AJ126" s="181"/>
      <c r="AT126" s="35" t="str">
        <f>IFERROR(INDEX('G-6 Hedgerow Data'!$BJ$3:$BJ$15,MATCH(M126,'G-6 Hedgerow Data'!$B$3:$B$15,0)),"")</f>
        <v/>
      </c>
    </row>
    <row r="127" spans="2:46" ht="13.8" x14ac:dyDescent="0.25">
      <c r="B127" s="259" t="str">
        <f>'B-1 Site Hedge Baseline'!AK125</f>
        <v/>
      </c>
      <c r="C127" s="175" t="str">
        <f>IF(B127="","",IF(ISNA(VLOOKUP($B127,'B-1 Site Hedge Baseline'!$B$1:$L$257,3,FALSE)),"",(VLOOKUP($B127,'B-1 Site Hedge Baseline'!$B$1:$L$257,3,FALSE))))</f>
        <v/>
      </c>
      <c r="D127" s="175" t="str">
        <f>IF(B127="","",IF(ISNA(VLOOKUP($B127,'B-1 Site Hedge Baseline'!$B$1:$L$257,4,FALSE)),"",(VLOOKUP($B127,'B-1 Site Hedge Baseline'!$B$1:$L$257,4,FALSE))))</f>
        <v/>
      </c>
      <c r="E127" s="175" t="str">
        <f>IF(B127="","",IF(ISNA(VLOOKUP($B127,'B-1 Site Hedge Baseline'!$B$1:$L$257,5,FALSE)),"",(VLOOKUP($B127,'B-1 Site Hedge Baseline'!$B$1:$L$257,5,FALSE))))</f>
        <v/>
      </c>
      <c r="F127" s="175" t="str">
        <f>IF(B127="","",IF(ISNA(VLOOKUP($B127,'B-1 Site Hedge Baseline'!$B$1:$L$257,6,FALSE)),"",(VLOOKUP($B127,'B-1 Site Hedge Baseline'!$B$1:$L$257,6,FALSE))))</f>
        <v/>
      </c>
      <c r="G127" s="175" t="str">
        <f>IF(B127="","",IF(ISNA(VLOOKUP($B127,'B-1 Site Hedge Baseline'!$B$1:$L$257,7,FALSE)),"",(VLOOKUP($B127,'B-1 Site Hedge Baseline'!$B$1:$L$257,7,FALSE))))</f>
        <v/>
      </c>
      <c r="H127" s="175" t="str">
        <f>IF(B127="","",IF(ISNA(VLOOKUP($B127,'B-1 Site Hedge Baseline'!$B$1:$L$257,8,FALSE)),"",(VLOOKUP($B127,'B-1 Site Hedge Baseline'!$B$1:$L$257,8,FALSE))))</f>
        <v/>
      </c>
      <c r="I127" s="175" t="str">
        <f>IF(B127="","",IF(ISNA(VLOOKUP($B127,'B-1 Site Hedge Baseline'!$B$1:$L$257,10,FALSE)),"",(VLOOKUP($B127,'B-1 Site Hedge Baseline'!$B$1:$L$257,10,FALSE))))</f>
        <v/>
      </c>
      <c r="J127" s="175" t="str">
        <f>IF(B127="","",IF(ISNA(VLOOKUP($B127,'B-1 Site Hedge Baseline'!$B$1:$L$257,11,FALSE)),"",(VLOOKUP($B127,'B-1 Site Hedge Baseline'!$B$1:$L$257,11,FALSE))))</f>
        <v/>
      </c>
      <c r="K127" s="175" t="str">
        <f>IF(B127="","",IF(ISNA(VLOOKUP($B127,'B-1 Site Hedge Baseline'!$B$1:$U$257,13,FALSE)),"",(VLOOKUP($B127,'B-1 Site Hedge Baseline'!$B$1:$U$257,13,FALSE))))</f>
        <v/>
      </c>
      <c r="L127" s="176" t="str">
        <f>IF(B127="","",IF(ISNA(VLOOKUP($B127,'B-1 Site Hedge Baseline'!$B$1:$U$257,12,FALSE)),"",(VLOOKUP($B127,'B-1 Site Hedge Baseline'!$B$1:$U$257,12,FALSE))))</f>
        <v/>
      </c>
      <c r="M127" s="637"/>
      <c r="N127" s="171" t="str">
        <f>IFERROR(IF(B127="","",INDEX('G-6 Hedgerow Data'!$AN$3:$AZ$15,MATCH(C127,'G-6 Hedgerow Data'!$AM$3:$AM$15,0),MATCH(M127,'G-6 Hedgerow Data'!$AN$2:$AZ$2,0))),"")</f>
        <v/>
      </c>
      <c r="O127" s="172" t="str">
        <f t="shared" si="7"/>
        <v/>
      </c>
      <c r="P127" s="642" t="str">
        <f>IF(B127="","",VLOOKUP(B127,'B-1 Site Hedge Baseline'!$B$10:T372,16,FALSE))</f>
        <v/>
      </c>
      <c r="Q127" s="171" t="str">
        <f>IF(M127="","",VLOOKUP(M127,'G-6 Hedgerow Data'!$B$2:$AG$15,2,FALSE))</f>
        <v/>
      </c>
      <c r="R127" s="172" t="str">
        <f>IF(M127="","",VLOOKUP(M127,'G-6 Hedgerow Data'!$B$2:$AG$15,3,FALSE))</f>
        <v/>
      </c>
      <c r="S127" s="189"/>
      <c r="T127" s="269" t="str">
        <f>IFERROR(VLOOKUP(S127,'G-1 All Habitats'!$Z$2:$AA$9,2,FALSE),"")</f>
        <v/>
      </c>
      <c r="U127" s="186"/>
      <c r="V127" s="175" t="str">
        <f>IF(U127="","",IF(VLOOKUP(U127,'G-3 Multipliers'!$L$3:$N$6,2,FALSE)=0,"Spatial Data Missing",VLOOKUP(U127,'G-3 Multipliers'!$L$3:$N$6,2,FALSE)))</f>
        <v/>
      </c>
      <c r="W127" s="176" t="str">
        <f>IF(U127="","",IF(VLOOKUP(U127,'G-3 Multipliers'!$L$3:$N$6,3,FALSE)=0,"Spatial Data Missing",VLOOKUP(U127,'G-3 Multipliers'!$L$3:$N$6,3,FALSE)))</f>
        <v/>
      </c>
      <c r="X127" s="171" t="str">
        <f>IFERROR(IF(OR(LEFT(O127,5)="Error",LEFT(N127,5)="Error",T127="Error"),"Check Data",IF(F127&lt;R127,INDEX('G-6 Hedgerow Data'!$S$3:$AE$14,MATCH(C127,'G-6 Hedgerow Data'!$B$3:$B$14,0),MATCH(M127,'G-6 Hedgerow Data'!$S$2:$AE$2,0)),INDEX('G-6 Hedgerow Data'!$K$3:$Q$14,MATCH(M127,'G-6 Hedgerow Data'!$B$3:$B$14,0),MATCH(O127,'G-6 Hedgerow Data'!$K$2:$Q$2,0)))),"")</f>
        <v/>
      </c>
      <c r="Y127" s="261"/>
      <c r="Z127" s="261"/>
      <c r="AA127" s="179" t="str">
        <f t="shared" si="10"/>
        <v/>
      </c>
      <c r="AB127" s="262" t="str">
        <f t="shared" si="11"/>
        <v/>
      </c>
      <c r="AC127" s="263" t="str">
        <f t="shared" si="8"/>
        <v/>
      </c>
      <c r="AD127" s="239" t="str">
        <f>IF(M127="","",VLOOKUP(M127,'G-6 Hedgerow Data'!$B$3:$AG$15,31,FALSE))</f>
        <v/>
      </c>
      <c r="AE127" s="179" t="str">
        <f t="shared" si="12"/>
        <v/>
      </c>
      <c r="AF127" s="179" t="str">
        <f t="shared" si="13"/>
        <v/>
      </c>
      <c r="AG127" s="176" t="str">
        <f>IFERROR(IF(O127="","",VLOOKUP(AD127,'G-3 Multipliers'!$P$3:$Q$6,2,FALSE)),"")</f>
        <v/>
      </c>
      <c r="AH127" s="207" t="str">
        <f t="shared" si="9"/>
        <v/>
      </c>
      <c r="AI127" s="336"/>
      <c r="AJ127" s="181"/>
      <c r="AT127" s="35" t="str">
        <f>IFERROR(INDEX('G-6 Hedgerow Data'!$BJ$3:$BJ$15,MATCH(M127,'G-6 Hedgerow Data'!$B$3:$B$15,0)),"")</f>
        <v/>
      </c>
    </row>
    <row r="128" spans="2:46" ht="13.8" x14ac:dyDescent="0.25">
      <c r="B128" s="259" t="str">
        <f>'B-1 Site Hedge Baseline'!AK126</f>
        <v/>
      </c>
      <c r="C128" s="175" t="str">
        <f>IF(B128="","",IF(ISNA(VLOOKUP($B128,'B-1 Site Hedge Baseline'!$B$1:$L$257,3,FALSE)),"",(VLOOKUP($B128,'B-1 Site Hedge Baseline'!$B$1:$L$257,3,FALSE))))</f>
        <v/>
      </c>
      <c r="D128" s="175" t="str">
        <f>IF(B128="","",IF(ISNA(VLOOKUP($B128,'B-1 Site Hedge Baseline'!$B$1:$L$257,4,FALSE)),"",(VLOOKUP($B128,'B-1 Site Hedge Baseline'!$B$1:$L$257,4,FALSE))))</f>
        <v/>
      </c>
      <c r="E128" s="175" t="str">
        <f>IF(B128="","",IF(ISNA(VLOOKUP($B128,'B-1 Site Hedge Baseline'!$B$1:$L$257,5,FALSE)),"",(VLOOKUP($B128,'B-1 Site Hedge Baseline'!$B$1:$L$257,5,FALSE))))</f>
        <v/>
      </c>
      <c r="F128" s="175" t="str">
        <f>IF(B128="","",IF(ISNA(VLOOKUP($B128,'B-1 Site Hedge Baseline'!$B$1:$L$257,6,FALSE)),"",(VLOOKUP($B128,'B-1 Site Hedge Baseline'!$B$1:$L$257,6,FALSE))))</f>
        <v/>
      </c>
      <c r="G128" s="175" t="str">
        <f>IF(B128="","",IF(ISNA(VLOOKUP($B128,'B-1 Site Hedge Baseline'!$B$1:$L$257,7,FALSE)),"",(VLOOKUP($B128,'B-1 Site Hedge Baseline'!$B$1:$L$257,7,FALSE))))</f>
        <v/>
      </c>
      <c r="H128" s="175" t="str">
        <f>IF(B128="","",IF(ISNA(VLOOKUP($B128,'B-1 Site Hedge Baseline'!$B$1:$L$257,8,FALSE)),"",(VLOOKUP($B128,'B-1 Site Hedge Baseline'!$B$1:$L$257,8,FALSE))))</f>
        <v/>
      </c>
      <c r="I128" s="175" t="str">
        <f>IF(B128="","",IF(ISNA(VLOOKUP($B128,'B-1 Site Hedge Baseline'!$B$1:$L$257,10,FALSE)),"",(VLOOKUP($B128,'B-1 Site Hedge Baseline'!$B$1:$L$257,10,FALSE))))</f>
        <v/>
      </c>
      <c r="J128" s="175" t="str">
        <f>IF(B128="","",IF(ISNA(VLOOKUP($B128,'B-1 Site Hedge Baseline'!$B$1:$L$257,11,FALSE)),"",(VLOOKUP($B128,'B-1 Site Hedge Baseline'!$B$1:$L$257,11,FALSE))))</f>
        <v/>
      </c>
      <c r="K128" s="175" t="str">
        <f>IF(B128="","",IF(ISNA(VLOOKUP($B128,'B-1 Site Hedge Baseline'!$B$1:$U$257,13,FALSE)),"",(VLOOKUP($B128,'B-1 Site Hedge Baseline'!$B$1:$U$257,13,FALSE))))</f>
        <v/>
      </c>
      <c r="L128" s="176" t="str">
        <f>IF(B128="","",IF(ISNA(VLOOKUP($B128,'B-1 Site Hedge Baseline'!$B$1:$U$257,12,FALSE)),"",(VLOOKUP($B128,'B-1 Site Hedge Baseline'!$B$1:$U$257,12,FALSE))))</f>
        <v/>
      </c>
      <c r="M128" s="637"/>
      <c r="N128" s="171" t="str">
        <f>IFERROR(IF(B128="","",INDEX('G-6 Hedgerow Data'!$AN$3:$AZ$15,MATCH(C128,'G-6 Hedgerow Data'!$AM$3:$AM$15,0),MATCH(M128,'G-6 Hedgerow Data'!$AN$2:$AZ$2,0))),"")</f>
        <v/>
      </c>
      <c r="O128" s="172" t="str">
        <f t="shared" si="7"/>
        <v/>
      </c>
      <c r="P128" s="642" t="str">
        <f>IF(B128="","",VLOOKUP(B128,'B-1 Site Hedge Baseline'!$B$10:T373,16,FALSE))</f>
        <v/>
      </c>
      <c r="Q128" s="171" t="str">
        <f>IF(M128="","",VLOOKUP(M128,'G-6 Hedgerow Data'!$B$2:$AG$15,2,FALSE))</f>
        <v/>
      </c>
      <c r="R128" s="172" t="str">
        <f>IF(M128="","",VLOOKUP(M128,'G-6 Hedgerow Data'!$B$2:$AG$15,3,FALSE))</f>
        <v/>
      </c>
      <c r="S128" s="189"/>
      <c r="T128" s="269" t="str">
        <f>IFERROR(VLOOKUP(S128,'G-1 All Habitats'!$Z$2:$AA$9,2,FALSE),"")</f>
        <v/>
      </c>
      <c r="U128" s="186"/>
      <c r="V128" s="175" t="str">
        <f>IF(U128="","",IF(VLOOKUP(U128,'G-3 Multipliers'!$L$3:$N$6,2,FALSE)=0,"Spatial Data Missing",VLOOKUP(U128,'G-3 Multipliers'!$L$3:$N$6,2,FALSE)))</f>
        <v/>
      </c>
      <c r="W128" s="176" t="str">
        <f>IF(U128="","",IF(VLOOKUP(U128,'G-3 Multipliers'!$L$3:$N$6,3,FALSE)=0,"Spatial Data Missing",VLOOKUP(U128,'G-3 Multipliers'!$L$3:$N$6,3,FALSE)))</f>
        <v/>
      </c>
      <c r="X128" s="171" t="str">
        <f>IFERROR(IF(OR(LEFT(O128,5)="Error",LEFT(N128,5)="Error",T128="Error"),"Check Data",IF(F128&lt;R128,INDEX('G-6 Hedgerow Data'!$S$3:$AE$14,MATCH(C128,'G-6 Hedgerow Data'!$B$3:$B$14,0),MATCH(M128,'G-6 Hedgerow Data'!$S$2:$AE$2,0)),INDEX('G-6 Hedgerow Data'!$K$3:$Q$14,MATCH(M128,'G-6 Hedgerow Data'!$B$3:$B$14,0),MATCH(O128,'G-6 Hedgerow Data'!$K$2:$Q$2,0)))),"")</f>
        <v/>
      </c>
      <c r="Y128" s="261"/>
      <c r="Z128" s="261"/>
      <c r="AA128" s="179" t="str">
        <f t="shared" si="10"/>
        <v/>
      </c>
      <c r="AB128" s="262" t="str">
        <f t="shared" si="11"/>
        <v/>
      </c>
      <c r="AC128" s="263" t="str">
        <f t="shared" si="8"/>
        <v/>
      </c>
      <c r="AD128" s="239" t="str">
        <f>IF(M128="","",VLOOKUP(M128,'G-6 Hedgerow Data'!$B$3:$AG$15,31,FALSE))</f>
        <v/>
      </c>
      <c r="AE128" s="179" t="str">
        <f t="shared" si="12"/>
        <v/>
      </c>
      <c r="AF128" s="179" t="str">
        <f t="shared" si="13"/>
        <v/>
      </c>
      <c r="AG128" s="176" t="str">
        <f>IFERROR(IF(O128="","",VLOOKUP(AD128,'G-3 Multipliers'!$P$3:$Q$6,2,FALSE)),"")</f>
        <v/>
      </c>
      <c r="AH128" s="207" t="str">
        <f t="shared" si="9"/>
        <v/>
      </c>
      <c r="AI128" s="336"/>
      <c r="AJ128" s="181"/>
      <c r="AT128" s="35" t="str">
        <f>IFERROR(INDEX('G-6 Hedgerow Data'!$BJ$3:$BJ$15,MATCH(M128,'G-6 Hedgerow Data'!$B$3:$B$15,0)),"")</f>
        <v/>
      </c>
    </row>
    <row r="129" spans="2:46" ht="13.8" x14ac:dyDescent="0.25">
      <c r="B129" s="259" t="str">
        <f>'B-1 Site Hedge Baseline'!AK127</f>
        <v/>
      </c>
      <c r="C129" s="175" t="str">
        <f>IF(B129="","",IF(ISNA(VLOOKUP($B129,'B-1 Site Hedge Baseline'!$B$1:$L$257,3,FALSE)),"",(VLOOKUP($B129,'B-1 Site Hedge Baseline'!$B$1:$L$257,3,FALSE))))</f>
        <v/>
      </c>
      <c r="D129" s="175" t="str">
        <f>IF(B129="","",IF(ISNA(VLOOKUP($B129,'B-1 Site Hedge Baseline'!$B$1:$L$257,4,FALSE)),"",(VLOOKUP($B129,'B-1 Site Hedge Baseline'!$B$1:$L$257,4,FALSE))))</f>
        <v/>
      </c>
      <c r="E129" s="175" t="str">
        <f>IF(B129="","",IF(ISNA(VLOOKUP($B129,'B-1 Site Hedge Baseline'!$B$1:$L$257,5,FALSE)),"",(VLOOKUP($B129,'B-1 Site Hedge Baseline'!$B$1:$L$257,5,FALSE))))</f>
        <v/>
      </c>
      <c r="F129" s="175" t="str">
        <f>IF(B129="","",IF(ISNA(VLOOKUP($B129,'B-1 Site Hedge Baseline'!$B$1:$L$257,6,FALSE)),"",(VLOOKUP($B129,'B-1 Site Hedge Baseline'!$B$1:$L$257,6,FALSE))))</f>
        <v/>
      </c>
      <c r="G129" s="175" t="str">
        <f>IF(B129="","",IF(ISNA(VLOOKUP($B129,'B-1 Site Hedge Baseline'!$B$1:$L$257,7,FALSE)),"",(VLOOKUP($B129,'B-1 Site Hedge Baseline'!$B$1:$L$257,7,FALSE))))</f>
        <v/>
      </c>
      <c r="H129" s="175" t="str">
        <f>IF(B129="","",IF(ISNA(VLOOKUP($B129,'B-1 Site Hedge Baseline'!$B$1:$L$257,8,FALSE)),"",(VLOOKUP($B129,'B-1 Site Hedge Baseline'!$B$1:$L$257,8,FALSE))))</f>
        <v/>
      </c>
      <c r="I129" s="175" t="str">
        <f>IF(B129="","",IF(ISNA(VLOOKUP($B129,'B-1 Site Hedge Baseline'!$B$1:$L$257,10,FALSE)),"",(VLOOKUP($B129,'B-1 Site Hedge Baseline'!$B$1:$L$257,10,FALSE))))</f>
        <v/>
      </c>
      <c r="J129" s="175" t="str">
        <f>IF(B129="","",IF(ISNA(VLOOKUP($B129,'B-1 Site Hedge Baseline'!$B$1:$L$257,11,FALSE)),"",(VLOOKUP($B129,'B-1 Site Hedge Baseline'!$B$1:$L$257,11,FALSE))))</f>
        <v/>
      </c>
      <c r="K129" s="175" t="str">
        <f>IF(B129="","",IF(ISNA(VLOOKUP($B129,'B-1 Site Hedge Baseline'!$B$1:$U$257,13,FALSE)),"",(VLOOKUP($B129,'B-1 Site Hedge Baseline'!$B$1:$U$257,13,FALSE))))</f>
        <v/>
      </c>
      <c r="L129" s="176" t="str">
        <f>IF(B129="","",IF(ISNA(VLOOKUP($B129,'B-1 Site Hedge Baseline'!$B$1:$U$257,12,FALSE)),"",(VLOOKUP($B129,'B-1 Site Hedge Baseline'!$B$1:$U$257,12,FALSE))))</f>
        <v/>
      </c>
      <c r="M129" s="637"/>
      <c r="N129" s="171" t="str">
        <f>IFERROR(IF(B129="","",INDEX('G-6 Hedgerow Data'!$AN$3:$AZ$15,MATCH(C129,'G-6 Hedgerow Data'!$AM$3:$AM$15,0),MATCH(M129,'G-6 Hedgerow Data'!$AN$2:$AZ$2,0))),"")</f>
        <v/>
      </c>
      <c r="O129" s="172" t="str">
        <f t="shared" si="7"/>
        <v/>
      </c>
      <c r="P129" s="642" t="str">
        <f>IF(B129="","",VLOOKUP(B129,'B-1 Site Hedge Baseline'!$B$10:T374,16,FALSE))</f>
        <v/>
      </c>
      <c r="Q129" s="171" t="str">
        <f>IF(M129="","",VLOOKUP(M129,'G-6 Hedgerow Data'!$B$2:$AG$15,2,FALSE))</f>
        <v/>
      </c>
      <c r="R129" s="172" t="str">
        <f>IF(M129="","",VLOOKUP(M129,'G-6 Hedgerow Data'!$B$2:$AG$15,3,FALSE))</f>
        <v/>
      </c>
      <c r="S129" s="189"/>
      <c r="T129" s="269" t="str">
        <f>IFERROR(VLOOKUP(S129,'G-1 All Habitats'!$Z$2:$AA$9,2,FALSE),"")</f>
        <v/>
      </c>
      <c r="U129" s="186"/>
      <c r="V129" s="175" t="str">
        <f>IF(U129="","",IF(VLOOKUP(U129,'G-3 Multipliers'!$L$3:$N$6,2,FALSE)=0,"Spatial Data Missing",VLOOKUP(U129,'G-3 Multipliers'!$L$3:$N$6,2,FALSE)))</f>
        <v/>
      </c>
      <c r="W129" s="176" t="str">
        <f>IF(U129="","",IF(VLOOKUP(U129,'G-3 Multipliers'!$L$3:$N$6,3,FALSE)=0,"Spatial Data Missing",VLOOKUP(U129,'G-3 Multipliers'!$L$3:$N$6,3,FALSE)))</f>
        <v/>
      </c>
      <c r="X129" s="171" t="str">
        <f>IFERROR(IF(OR(LEFT(O129,5)="Error",LEFT(N129,5)="Error",T129="Error"),"Check Data",IF(F129&lt;R129,INDEX('G-6 Hedgerow Data'!$S$3:$AE$14,MATCH(C129,'G-6 Hedgerow Data'!$B$3:$B$14,0),MATCH(M129,'G-6 Hedgerow Data'!$S$2:$AE$2,0)),INDEX('G-6 Hedgerow Data'!$K$3:$Q$14,MATCH(M129,'G-6 Hedgerow Data'!$B$3:$B$14,0),MATCH(O129,'G-6 Hedgerow Data'!$K$2:$Q$2,0)))),"")</f>
        <v/>
      </c>
      <c r="Y129" s="261"/>
      <c r="Z129" s="261"/>
      <c r="AA129" s="179" t="str">
        <f t="shared" si="10"/>
        <v/>
      </c>
      <c r="AB129" s="262" t="str">
        <f t="shared" si="11"/>
        <v/>
      </c>
      <c r="AC129" s="263" t="str">
        <f t="shared" si="8"/>
        <v/>
      </c>
      <c r="AD129" s="239" t="str">
        <f>IF(M129="","",VLOOKUP(M129,'G-6 Hedgerow Data'!$B$3:$AG$15,31,FALSE))</f>
        <v/>
      </c>
      <c r="AE129" s="179" t="str">
        <f t="shared" si="12"/>
        <v/>
      </c>
      <c r="AF129" s="179" t="str">
        <f t="shared" si="13"/>
        <v/>
      </c>
      <c r="AG129" s="176" t="str">
        <f>IFERROR(IF(O129="","",VLOOKUP(AD129,'G-3 Multipliers'!$P$3:$Q$6,2,FALSE)),"")</f>
        <v/>
      </c>
      <c r="AH129" s="207" t="str">
        <f t="shared" si="9"/>
        <v/>
      </c>
      <c r="AI129" s="336"/>
      <c r="AJ129" s="181"/>
      <c r="AT129" s="35" t="str">
        <f>IFERROR(INDEX('G-6 Hedgerow Data'!$BJ$3:$BJ$15,MATCH(M129,'G-6 Hedgerow Data'!$B$3:$B$15,0)),"")</f>
        <v/>
      </c>
    </row>
    <row r="130" spans="2:46" ht="13.8" x14ac:dyDescent="0.25">
      <c r="B130" s="259" t="str">
        <f>'B-1 Site Hedge Baseline'!AK128</f>
        <v/>
      </c>
      <c r="C130" s="175" t="str">
        <f>IF(B130="","",IF(ISNA(VLOOKUP($B130,'B-1 Site Hedge Baseline'!$B$1:$L$257,3,FALSE)),"",(VLOOKUP($B130,'B-1 Site Hedge Baseline'!$B$1:$L$257,3,FALSE))))</f>
        <v/>
      </c>
      <c r="D130" s="175" t="str">
        <f>IF(B130="","",IF(ISNA(VLOOKUP($B130,'B-1 Site Hedge Baseline'!$B$1:$L$257,4,FALSE)),"",(VLOOKUP($B130,'B-1 Site Hedge Baseline'!$B$1:$L$257,4,FALSE))))</f>
        <v/>
      </c>
      <c r="E130" s="175" t="str">
        <f>IF(B130="","",IF(ISNA(VLOOKUP($B130,'B-1 Site Hedge Baseline'!$B$1:$L$257,5,FALSE)),"",(VLOOKUP($B130,'B-1 Site Hedge Baseline'!$B$1:$L$257,5,FALSE))))</f>
        <v/>
      </c>
      <c r="F130" s="175" t="str">
        <f>IF(B130="","",IF(ISNA(VLOOKUP($B130,'B-1 Site Hedge Baseline'!$B$1:$L$257,6,FALSE)),"",(VLOOKUP($B130,'B-1 Site Hedge Baseline'!$B$1:$L$257,6,FALSE))))</f>
        <v/>
      </c>
      <c r="G130" s="175" t="str">
        <f>IF(B130="","",IF(ISNA(VLOOKUP($B130,'B-1 Site Hedge Baseline'!$B$1:$L$257,7,FALSE)),"",(VLOOKUP($B130,'B-1 Site Hedge Baseline'!$B$1:$L$257,7,FALSE))))</f>
        <v/>
      </c>
      <c r="H130" s="175" t="str">
        <f>IF(B130="","",IF(ISNA(VLOOKUP($B130,'B-1 Site Hedge Baseline'!$B$1:$L$257,8,FALSE)),"",(VLOOKUP($B130,'B-1 Site Hedge Baseline'!$B$1:$L$257,8,FALSE))))</f>
        <v/>
      </c>
      <c r="I130" s="175" t="str">
        <f>IF(B130="","",IF(ISNA(VLOOKUP($B130,'B-1 Site Hedge Baseline'!$B$1:$L$257,10,FALSE)),"",(VLOOKUP($B130,'B-1 Site Hedge Baseline'!$B$1:$L$257,10,FALSE))))</f>
        <v/>
      </c>
      <c r="J130" s="175" t="str">
        <f>IF(B130="","",IF(ISNA(VLOOKUP($B130,'B-1 Site Hedge Baseline'!$B$1:$L$257,11,FALSE)),"",(VLOOKUP($B130,'B-1 Site Hedge Baseline'!$B$1:$L$257,11,FALSE))))</f>
        <v/>
      </c>
      <c r="K130" s="175" t="str">
        <f>IF(B130="","",IF(ISNA(VLOOKUP($B130,'B-1 Site Hedge Baseline'!$B$1:$U$257,13,FALSE)),"",(VLOOKUP($B130,'B-1 Site Hedge Baseline'!$B$1:$U$257,13,FALSE))))</f>
        <v/>
      </c>
      <c r="L130" s="176" t="str">
        <f>IF(B130="","",IF(ISNA(VLOOKUP($B130,'B-1 Site Hedge Baseline'!$B$1:$U$257,12,FALSE)),"",(VLOOKUP($B130,'B-1 Site Hedge Baseline'!$B$1:$U$257,12,FALSE))))</f>
        <v/>
      </c>
      <c r="M130" s="637"/>
      <c r="N130" s="171" t="str">
        <f>IFERROR(IF(B130="","",INDEX('G-6 Hedgerow Data'!$AN$3:$AZ$15,MATCH(C130,'G-6 Hedgerow Data'!$AM$3:$AM$15,0),MATCH(M130,'G-6 Hedgerow Data'!$AN$2:$AZ$2,0))),"")</f>
        <v/>
      </c>
      <c r="O130" s="172" t="str">
        <f t="shared" si="7"/>
        <v/>
      </c>
      <c r="P130" s="642" t="str">
        <f>IF(B130="","",VLOOKUP(B130,'B-1 Site Hedge Baseline'!$B$10:T375,16,FALSE))</f>
        <v/>
      </c>
      <c r="Q130" s="171" t="str">
        <f>IF(M130="","",VLOOKUP(M130,'G-6 Hedgerow Data'!$B$2:$AG$15,2,FALSE))</f>
        <v/>
      </c>
      <c r="R130" s="172" t="str">
        <f>IF(M130="","",VLOOKUP(M130,'G-6 Hedgerow Data'!$B$2:$AG$15,3,FALSE))</f>
        <v/>
      </c>
      <c r="S130" s="189"/>
      <c r="T130" s="269" t="str">
        <f>IFERROR(VLOOKUP(S130,'G-1 All Habitats'!$Z$2:$AA$9,2,FALSE),"")</f>
        <v/>
      </c>
      <c r="U130" s="186"/>
      <c r="V130" s="175" t="str">
        <f>IF(U130="","",IF(VLOOKUP(U130,'G-3 Multipliers'!$L$3:$N$6,2,FALSE)=0,"Spatial Data Missing",VLOOKUP(U130,'G-3 Multipliers'!$L$3:$N$6,2,FALSE)))</f>
        <v/>
      </c>
      <c r="W130" s="176" t="str">
        <f>IF(U130="","",IF(VLOOKUP(U130,'G-3 Multipliers'!$L$3:$N$6,3,FALSE)=0,"Spatial Data Missing",VLOOKUP(U130,'G-3 Multipliers'!$L$3:$N$6,3,FALSE)))</f>
        <v/>
      </c>
      <c r="X130" s="171" t="str">
        <f>IFERROR(IF(OR(LEFT(O130,5)="Error",LEFT(N130,5)="Error",T130="Error"),"Check Data",IF(F130&lt;R130,INDEX('G-6 Hedgerow Data'!$S$3:$AE$14,MATCH(C130,'G-6 Hedgerow Data'!$B$3:$B$14,0),MATCH(M130,'G-6 Hedgerow Data'!$S$2:$AE$2,0)),INDEX('G-6 Hedgerow Data'!$K$3:$Q$14,MATCH(M130,'G-6 Hedgerow Data'!$B$3:$B$14,0),MATCH(O130,'G-6 Hedgerow Data'!$K$2:$Q$2,0)))),"")</f>
        <v/>
      </c>
      <c r="Y130" s="261"/>
      <c r="Z130" s="261"/>
      <c r="AA130" s="179" t="str">
        <f t="shared" si="10"/>
        <v/>
      </c>
      <c r="AB130" s="262" t="str">
        <f t="shared" si="11"/>
        <v/>
      </c>
      <c r="AC130" s="263" t="str">
        <f t="shared" si="8"/>
        <v/>
      </c>
      <c r="AD130" s="239" t="str">
        <f>IF(M130="","",VLOOKUP(M130,'G-6 Hedgerow Data'!$B$3:$AG$15,31,FALSE))</f>
        <v/>
      </c>
      <c r="AE130" s="179" t="str">
        <f t="shared" si="12"/>
        <v/>
      </c>
      <c r="AF130" s="179" t="str">
        <f t="shared" si="13"/>
        <v/>
      </c>
      <c r="AG130" s="176" t="str">
        <f>IFERROR(IF(O130="","",VLOOKUP(AD130,'G-3 Multipliers'!$P$3:$Q$6,2,FALSE)),"")</f>
        <v/>
      </c>
      <c r="AH130" s="207" t="str">
        <f t="shared" si="9"/>
        <v/>
      </c>
      <c r="AI130" s="336"/>
      <c r="AJ130" s="181"/>
      <c r="AT130" s="35" t="str">
        <f>IFERROR(INDEX('G-6 Hedgerow Data'!$BJ$3:$BJ$15,MATCH(M130,'G-6 Hedgerow Data'!$B$3:$B$15,0)),"")</f>
        <v/>
      </c>
    </row>
    <row r="131" spans="2:46" ht="13.8" x14ac:dyDescent="0.25">
      <c r="B131" s="259" t="str">
        <f>'B-1 Site Hedge Baseline'!AK129</f>
        <v/>
      </c>
      <c r="C131" s="175" t="str">
        <f>IF(B131="","",IF(ISNA(VLOOKUP($B131,'B-1 Site Hedge Baseline'!$B$1:$L$257,3,FALSE)),"",(VLOOKUP($B131,'B-1 Site Hedge Baseline'!$B$1:$L$257,3,FALSE))))</f>
        <v/>
      </c>
      <c r="D131" s="175" t="str">
        <f>IF(B131="","",IF(ISNA(VLOOKUP($B131,'B-1 Site Hedge Baseline'!$B$1:$L$257,4,FALSE)),"",(VLOOKUP($B131,'B-1 Site Hedge Baseline'!$B$1:$L$257,4,FALSE))))</f>
        <v/>
      </c>
      <c r="E131" s="175" t="str">
        <f>IF(B131="","",IF(ISNA(VLOOKUP($B131,'B-1 Site Hedge Baseline'!$B$1:$L$257,5,FALSE)),"",(VLOOKUP($B131,'B-1 Site Hedge Baseline'!$B$1:$L$257,5,FALSE))))</f>
        <v/>
      </c>
      <c r="F131" s="175" t="str">
        <f>IF(B131="","",IF(ISNA(VLOOKUP($B131,'B-1 Site Hedge Baseline'!$B$1:$L$257,6,FALSE)),"",(VLOOKUP($B131,'B-1 Site Hedge Baseline'!$B$1:$L$257,6,FALSE))))</f>
        <v/>
      </c>
      <c r="G131" s="175" t="str">
        <f>IF(B131="","",IF(ISNA(VLOOKUP($B131,'B-1 Site Hedge Baseline'!$B$1:$L$257,7,FALSE)),"",(VLOOKUP($B131,'B-1 Site Hedge Baseline'!$B$1:$L$257,7,FALSE))))</f>
        <v/>
      </c>
      <c r="H131" s="175" t="str">
        <f>IF(B131="","",IF(ISNA(VLOOKUP($B131,'B-1 Site Hedge Baseline'!$B$1:$L$257,8,FALSE)),"",(VLOOKUP($B131,'B-1 Site Hedge Baseline'!$B$1:$L$257,8,FALSE))))</f>
        <v/>
      </c>
      <c r="I131" s="175" t="str">
        <f>IF(B131="","",IF(ISNA(VLOOKUP($B131,'B-1 Site Hedge Baseline'!$B$1:$L$257,10,FALSE)),"",(VLOOKUP($B131,'B-1 Site Hedge Baseline'!$B$1:$L$257,10,FALSE))))</f>
        <v/>
      </c>
      <c r="J131" s="175" t="str">
        <f>IF(B131="","",IF(ISNA(VLOOKUP($B131,'B-1 Site Hedge Baseline'!$B$1:$L$257,11,FALSE)),"",(VLOOKUP($B131,'B-1 Site Hedge Baseline'!$B$1:$L$257,11,FALSE))))</f>
        <v/>
      </c>
      <c r="K131" s="175" t="str">
        <f>IF(B131="","",IF(ISNA(VLOOKUP($B131,'B-1 Site Hedge Baseline'!$B$1:$U$257,13,FALSE)),"",(VLOOKUP($B131,'B-1 Site Hedge Baseline'!$B$1:$U$257,13,FALSE))))</f>
        <v/>
      </c>
      <c r="L131" s="176" t="str">
        <f>IF(B131="","",IF(ISNA(VLOOKUP($B131,'B-1 Site Hedge Baseline'!$B$1:$U$257,12,FALSE)),"",(VLOOKUP($B131,'B-1 Site Hedge Baseline'!$B$1:$U$257,12,FALSE))))</f>
        <v/>
      </c>
      <c r="M131" s="637"/>
      <c r="N131" s="171" t="str">
        <f>IFERROR(IF(B131="","",INDEX('G-6 Hedgerow Data'!$AN$3:$AZ$15,MATCH(C131,'G-6 Hedgerow Data'!$AM$3:$AM$15,0),MATCH(M131,'G-6 Hedgerow Data'!$AN$2:$AZ$2,0))),"")</f>
        <v/>
      </c>
      <c r="O131" s="172" t="str">
        <f t="shared" si="7"/>
        <v/>
      </c>
      <c r="P131" s="642" t="str">
        <f>IF(B131="","",VLOOKUP(B131,'B-1 Site Hedge Baseline'!$B$10:T376,16,FALSE))</f>
        <v/>
      </c>
      <c r="Q131" s="171" t="str">
        <f>IF(M131="","",VLOOKUP(M131,'G-6 Hedgerow Data'!$B$2:$AG$15,2,FALSE))</f>
        <v/>
      </c>
      <c r="R131" s="172" t="str">
        <f>IF(M131="","",VLOOKUP(M131,'G-6 Hedgerow Data'!$B$2:$AG$15,3,FALSE))</f>
        <v/>
      </c>
      <c r="S131" s="189"/>
      <c r="T131" s="269" t="str">
        <f>IFERROR(VLOOKUP(S131,'G-1 All Habitats'!$Z$2:$AA$9,2,FALSE),"")</f>
        <v/>
      </c>
      <c r="U131" s="186"/>
      <c r="V131" s="175" t="str">
        <f>IF(U131="","",IF(VLOOKUP(U131,'G-3 Multipliers'!$L$3:$N$6,2,FALSE)=0,"Spatial Data Missing",VLOOKUP(U131,'G-3 Multipliers'!$L$3:$N$6,2,FALSE)))</f>
        <v/>
      </c>
      <c r="W131" s="176" t="str">
        <f>IF(U131="","",IF(VLOOKUP(U131,'G-3 Multipliers'!$L$3:$N$6,3,FALSE)=0,"Spatial Data Missing",VLOOKUP(U131,'G-3 Multipliers'!$L$3:$N$6,3,FALSE)))</f>
        <v/>
      </c>
      <c r="X131" s="171" t="str">
        <f>IFERROR(IF(OR(LEFT(O131,5)="Error",LEFT(N131,5)="Error",T131="Error"),"Check Data",IF(F131&lt;R131,INDEX('G-6 Hedgerow Data'!$S$3:$AE$14,MATCH(C131,'G-6 Hedgerow Data'!$B$3:$B$14,0),MATCH(M131,'G-6 Hedgerow Data'!$S$2:$AE$2,0)),INDEX('G-6 Hedgerow Data'!$K$3:$Q$14,MATCH(M131,'G-6 Hedgerow Data'!$B$3:$B$14,0),MATCH(O131,'G-6 Hedgerow Data'!$K$2:$Q$2,0)))),"")</f>
        <v/>
      </c>
      <c r="Y131" s="261"/>
      <c r="Z131" s="261"/>
      <c r="AA131" s="179" t="str">
        <f t="shared" si="10"/>
        <v/>
      </c>
      <c r="AB131" s="262" t="str">
        <f t="shared" si="11"/>
        <v/>
      </c>
      <c r="AC131" s="263" t="str">
        <f t="shared" si="8"/>
        <v/>
      </c>
      <c r="AD131" s="239" t="str">
        <f>IF(M131="","",VLOOKUP(M131,'G-6 Hedgerow Data'!$B$3:$AG$15,31,FALSE))</f>
        <v/>
      </c>
      <c r="AE131" s="179" t="str">
        <f t="shared" si="12"/>
        <v/>
      </c>
      <c r="AF131" s="179" t="str">
        <f t="shared" si="13"/>
        <v/>
      </c>
      <c r="AG131" s="176" t="str">
        <f>IFERROR(IF(O131="","",VLOOKUP(AD131,'G-3 Multipliers'!$P$3:$Q$6,2,FALSE)),"")</f>
        <v/>
      </c>
      <c r="AH131" s="207" t="str">
        <f t="shared" si="9"/>
        <v/>
      </c>
      <c r="AI131" s="336"/>
      <c r="AJ131" s="181"/>
      <c r="AT131" s="35" t="str">
        <f>IFERROR(INDEX('G-6 Hedgerow Data'!$BJ$3:$BJ$15,MATCH(M131,'G-6 Hedgerow Data'!$B$3:$B$15,0)),"")</f>
        <v/>
      </c>
    </row>
    <row r="132" spans="2:46" ht="13.8" x14ac:dyDescent="0.25">
      <c r="B132" s="259" t="str">
        <f>'B-1 Site Hedge Baseline'!AK130</f>
        <v/>
      </c>
      <c r="C132" s="175" t="str">
        <f>IF(B132="","",IF(ISNA(VLOOKUP($B132,'B-1 Site Hedge Baseline'!$B$1:$L$257,3,FALSE)),"",(VLOOKUP($B132,'B-1 Site Hedge Baseline'!$B$1:$L$257,3,FALSE))))</f>
        <v/>
      </c>
      <c r="D132" s="175" t="str">
        <f>IF(B132="","",IF(ISNA(VLOOKUP($B132,'B-1 Site Hedge Baseline'!$B$1:$L$257,4,FALSE)),"",(VLOOKUP($B132,'B-1 Site Hedge Baseline'!$B$1:$L$257,4,FALSE))))</f>
        <v/>
      </c>
      <c r="E132" s="175" t="str">
        <f>IF(B132="","",IF(ISNA(VLOOKUP($B132,'B-1 Site Hedge Baseline'!$B$1:$L$257,5,FALSE)),"",(VLOOKUP($B132,'B-1 Site Hedge Baseline'!$B$1:$L$257,5,FALSE))))</f>
        <v/>
      </c>
      <c r="F132" s="175" t="str">
        <f>IF(B132="","",IF(ISNA(VLOOKUP($B132,'B-1 Site Hedge Baseline'!$B$1:$L$257,6,FALSE)),"",(VLOOKUP($B132,'B-1 Site Hedge Baseline'!$B$1:$L$257,6,FALSE))))</f>
        <v/>
      </c>
      <c r="G132" s="175" t="str">
        <f>IF(B132="","",IF(ISNA(VLOOKUP($B132,'B-1 Site Hedge Baseline'!$B$1:$L$257,7,FALSE)),"",(VLOOKUP($B132,'B-1 Site Hedge Baseline'!$B$1:$L$257,7,FALSE))))</f>
        <v/>
      </c>
      <c r="H132" s="175" t="str">
        <f>IF(B132="","",IF(ISNA(VLOOKUP($B132,'B-1 Site Hedge Baseline'!$B$1:$L$257,8,FALSE)),"",(VLOOKUP($B132,'B-1 Site Hedge Baseline'!$B$1:$L$257,8,FALSE))))</f>
        <v/>
      </c>
      <c r="I132" s="175" t="str">
        <f>IF(B132="","",IF(ISNA(VLOOKUP($B132,'B-1 Site Hedge Baseline'!$B$1:$L$257,10,FALSE)),"",(VLOOKUP($B132,'B-1 Site Hedge Baseline'!$B$1:$L$257,10,FALSE))))</f>
        <v/>
      </c>
      <c r="J132" s="175" t="str">
        <f>IF(B132="","",IF(ISNA(VLOOKUP($B132,'B-1 Site Hedge Baseline'!$B$1:$L$257,11,FALSE)),"",(VLOOKUP($B132,'B-1 Site Hedge Baseline'!$B$1:$L$257,11,FALSE))))</f>
        <v/>
      </c>
      <c r="K132" s="175" t="str">
        <f>IF(B132="","",IF(ISNA(VLOOKUP($B132,'B-1 Site Hedge Baseline'!$B$1:$U$257,13,FALSE)),"",(VLOOKUP($B132,'B-1 Site Hedge Baseline'!$B$1:$U$257,13,FALSE))))</f>
        <v/>
      </c>
      <c r="L132" s="176" t="str">
        <f>IF(B132="","",IF(ISNA(VLOOKUP($B132,'B-1 Site Hedge Baseline'!$B$1:$U$257,12,FALSE)),"",(VLOOKUP($B132,'B-1 Site Hedge Baseline'!$B$1:$U$257,12,FALSE))))</f>
        <v/>
      </c>
      <c r="M132" s="637"/>
      <c r="N132" s="171" t="str">
        <f>IFERROR(IF(B132="","",INDEX('G-6 Hedgerow Data'!$AN$3:$AZ$15,MATCH(C132,'G-6 Hedgerow Data'!$AM$3:$AM$15,0),MATCH(M132,'G-6 Hedgerow Data'!$AN$2:$AZ$2,0))),"")</f>
        <v/>
      </c>
      <c r="O132" s="172" t="str">
        <f t="shared" si="7"/>
        <v/>
      </c>
      <c r="P132" s="642" t="str">
        <f>IF(B132="","",VLOOKUP(B132,'B-1 Site Hedge Baseline'!$B$10:T377,16,FALSE))</f>
        <v/>
      </c>
      <c r="Q132" s="171" t="str">
        <f>IF(M132="","",VLOOKUP(M132,'G-6 Hedgerow Data'!$B$2:$AG$15,2,FALSE))</f>
        <v/>
      </c>
      <c r="R132" s="172" t="str">
        <f>IF(M132="","",VLOOKUP(M132,'G-6 Hedgerow Data'!$B$2:$AG$15,3,FALSE))</f>
        <v/>
      </c>
      <c r="S132" s="189"/>
      <c r="T132" s="269" t="str">
        <f>IFERROR(VLOOKUP(S132,'G-1 All Habitats'!$Z$2:$AA$9,2,FALSE),"")</f>
        <v/>
      </c>
      <c r="U132" s="186"/>
      <c r="V132" s="175" t="str">
        <f>IF(U132="","",IF(VLOOKUP(U132,'G-3 Multipliers'!$L$3:$N$6,2,FALSE)=0,"Spatial Data Missing",VLOOKUP(U132,'G-3 Multipliers'!$L$3:$N$6,2,FALSE)))</f>
        <v/>
      </c>
      <c r="W132" s="176" t="str">
        <f>IF(U132="","",IF(VLOOKUP(U132,'G-3 Multipliers'!$L$3:$N$6,3,FALSE)=0,"Spatial Data Missing",VLOOKUP(U132,'G-3 Multipliers'!$L$3:$N$6,3,FALSE)))</f>
        <v/>
      </c>
      <c r="X132" s="171" t="str">
        <f>IFERROR(IF(OR(LEFT(O132,5)="Error",LEFT(N132,5)="Error",T132="Error"),"Check Data",IF(F132&lt;R132,INDEX('G-6 Hedgerow Data'!$S$3:$AE$14,MATCH(C132,'G-6 Hedgerow Data'!$B$3:$B$14,0),MATCH(M132,'G-6 Hedgerow Data'!$S$2:$AE$2,0)),INDEX('G-6 Hedgerow Data'!$K$3:$Q$14,MATCH(M132,'G-6 Hedgerow Data'!$B$3:$B$14,0),MATCH(O132,'G-6 Hedgerow Data'!$K$2:$Q$2,0)))),"")</f>
        <v/>
      </c>
      <c r="Y132" s="261"/>
      <c r="Z132" s="261"/>
      <c r="AA132" s="179" t="str">
        <f t="shared" si="10"/>
        <v/>
      </c>
      <c r="AB132" s="262" t="str">
        <f t="shared" si="11"/>
        <v/>
      </c>
      <c r="AC132" s="263" t="str">
        <f t="shared" si="8"/>
        <v/>
      </c>
      <c r="AD132" s="239" t="str">
        <f>IF(M132="","",VLOOKUP(M132,'G-6 Hedgerow Data'!$B$3:$AG$15,31,FALSE))</f>
        <v/>
      </c>
      <c r="AE132" s="179" t="str">
        <f t="shared" si="12"/>
        <v/>
      </c>
      <c r="AF132" s="179" t="str">
        <f t="shared" si="13"/>
        <v/>
      </c>
      <c r="AG132" s="176" t="str">
        <f>IFERROR(IF(O132="","",VLOOKUP(AD132,'G-3 Multipliers'!$P$3:$Q$6,2,FALSE)),"")</f>
        <v/>
      </c>
      <c r="AH132" s="207" t="str">
        <f t="shared" si="9"/>
        <v/>
      </c>
      <c r="AI132" s="336"/>
      <c r="AJ132" s="181"/>
      <c r="AT132" s="35" t="str">
        <f>IFERROR(INDEX('G-6 Hedgerow Data'!$BJ$3:$BJ$15,MATCH(M132,'G-6 Hedgerow Data'!$B$3:$B$15,0)),"")</f>
        <v/>
      </c>
    </row>
    <row r="133" spans="2:46" ht="13.8" x14ac:dyDescent="0.25">
      <c r="B133" s="259" t="str">
        <f>'B-1 Site Hedge Baseline'!AK131</f>
        <v/>
      </c>
      <c r="C133" s="175" t="str">
        <f>IF(B133="","",IF(ISNA(VLOOKUP($B133,'B-1 Site Hedge Baseline'!$B$1:$L$257,3,FALSE)),"",(VLOOKUP($B133,'B-1 Site Hedge Baseline'!$B$1:$L$257,3,FALSE))))</f>
        <v/>
      </c>
      <c r="D133" s="175" t="str">
        <f>IF(B133="","",IF(ISNA(VLOOKUP($B133,'B-1 Site Hedge Baseline'!$B$1:$L$257,4,FALSE)),"",(VLOOKUP($B133,'B-1 Site Hedge Baseline'!$B$1:$L$257,4,FALSE))))</f>
        <v/>
      </c>
      <c r="E133" s="175" t="str">
        <f>IF(B133="","",IF(ISNA(VLOOKUP($B133,'B-1 Site Hedge Baseline'!$B$1:$L$257,5,FALSE)),"",(VLOOKUP($B133,'B-1 Site Hedge Baseline'!$B$1:$L$257,5,FALSE))))</f>
        <v/>
      </c>
      <c r="F133" s="175" t="str">
        <f>IF(B133="","",IF(ISNA(VLOOKUP($B133,'B-1 Site Hedge Baseline'!$B$1:$L$257,6,FALSE)),"",(VLOOKUP($B133,'B-1 Site Hedge Baseline'!$B$1:$L$257,6,FALSE))))</f>
        <v/>
      </c>
      <c r="G133" s="175" t="str">
        <f>IF(B133="","",IF(ISNA(VLOOKUP($B133,'B-1 Site Hedge Baseline'!$B$1:$L$257,7,FALSE)),"",(VLOOKUP($B133,'B-1 Site Hedge Baseline'!$B$1:$L$257,7,FALSE))))</f>
        <v/>
      </c>
      <c r="H133" s="175" t="str">
        <f>IF(B133="","",IF(ISNA(VLOOKUP($B133,'B-1 Site Hedge Baseline'!$B$1:$L$257,8,FALSE)),"",(VLOOKUP($B133,'B-1 Site Hedge Baseline'!$B$1:$L$257,8,FALSE))))</f>
        <v/>
      </c>
      <c r="I133" s="175" t="str">
        <f>IF(B133="","",IF(ISNA(VLOOKUP($B133,'B-1 Site Hedge Baseline'!$B$1:$L$257,10,FALSE)),"",(VLOOKUP($B133,'B-1 Site Hedge Baseline'!$B$1:$L$257,10,FALSE))))</f>
        <v/>
      </c>
      <c r="J133" s="175" t="str">
        <f>IF(B133="","",IF(ISNA(VLOOKUP($B133,'B-1 Site Hedge Baseline'!$B$1:$L$257,11,FALSE)),"",(VLOOKUP($B133,'B-1 Site Hedge Baseline'!$B$1:$L$257,11,FALSE))))</f>
        <v/>
      </c>
      <c r="K133" s="175" t="str">
        <f>IF(B133="","",IF(ISNA(VLOOKUP($B133,'B-1 Site Hedge Baseline'!$B$1:$U$257,13,FALSE)),"",(VLOOKUP($B133,'B-1 Site Hedge Baseline'!$B$1:$U$257,13,FALSE))))</f>
        <v/>
      </c>
      <c r="L133" s="176" t="str">
        <f>IF(B133="","",IF(ISNA(VLOOKUP($B133,'B-1 Site Hedge Baseline'!$B$1:$U$257,12,FALSE)),"",(VLOOKUP($B133,'B-1 Site Hedge Baseline'!$B$1:$U$257,12,FALSE))))</f>
        <v/>
      </c>
      <c r="M133" s="637"/>
      <c r="N133" s="171" t="str">
        <f>IFERROR(IF(B133="","",INDEX('G-6 Hedgerow Data'!$AN$3:$AZ$15,MATCH(C133,'G-6 Hedgerow Data'!$AM$3:$AM$15,0),MATCH(M133,'G-6 Hedgerow Data'!$AN$2:$AZ$2,0))),"")</f>
        <v/>
      </c>
      <c r="O133" s="172" t="str">
        <f t="shared" si="7"/>
        <v/>
      </c>
      <c r="P133" s="642" t="str">
        <f>IF(B133="","",VLOOKUP(B133,'B-1 Site Hedge Baseline'!$B$10:T378,16,FALSE))</f>
        <v/>
      </c>
      <c r="Q133" s="171" t="str">
        <f>IF(M133="","",VLOOKUP(M133,'G-6 Hedgerow Data'!$B$2:$AG$15,2,FALSE))</f>
        <v/>
      </c>
      <c r="R133" s="172" t="str">
        <f>IF(M133="","",VLOOKUP(M133,'G-6 Hedgerow Data'!$B$2:$AG$15,3,FALSE))</f>
        <v/>
      </c>
      <c r="S133" s="189"/>
      <c r="T133" s="269" t="str">
        <f>IFERROR(VLOOKUP(S133,'G-1 All Habitats'!$Z$2:$AA$9,2,FALSE),"")</f>
        <v/>
      </c>
      <c r="U133" s="186"/>
      <c r="V133" s="175" t="str">
        <f>IF(U133="","",IF(VLOOKUP(U133,'G-3 Multipliers'!$L$3:$N$6,2,FALSE)=0,"Spatial Data Missing",VLOOKUP(U133,'G-3 Multipliers'!$L$3:$N$6,2,FALSE)))</f>
        <v/>
      </c>
      <c r="W133" s="176" t="str">
        <f>IF(U133="","",IF(VLOOKUP(U133,'G-3 Multipliers'!$L$3:$N$6,3,FALSE)=0,"Spatial Data Missing",VLOOKUP(U133,'G-3 Multipliers'!$L$3:$N$6,3,FALSE)))</f>
        <v/>
      </c>
      <c r="X133" s="171" t="str">
        <f>IFERROR(IF(OR(LEFT(O133,5)="Error",LEFT(N133,5)="Error",T133="Error"),"Check Data",IF(F133&lt;R133,INDEX('G-6 Hedgerow Data'!$S$3:$AE$14,MATCH(C133,'G-6 Hedgerow Data'!$B$3:$B$14,0),MATCH(M133,'G-6 Hedgerow Data'!$S$2:$AE$2,0)),INDEX('G-6 Hedgerow Data'!$K$3:$Q$14,MATCH(M133,'G-6 Hedgerow Data'!$B$3:$B$14,0),MATCH(O133,'G-6 Hedgerow Data'!$K$2:$Q$2,0)))),"")</f>
        <v/>
      </c>
      <c r="Y133" s="261"/>
      <c r="Z133" s="261"/>
      <c r="AA133" s="179" t="str">
        <f t="shared" si="10"/>
        <v/>
      </c>
      <c r="AB133" s="262" t="str">
        <f t="shared" si="11"/>
        <v/>
      </c>
      <c r="AC133" s="263" t="str">
        <f t="shared" si="8"/>
        <v/>
      </c>
      <c r="AD133" s="239" t="str">
        <f>IF(M133="","",VLOOKUP(M133,'G-6 Hedgerow Data'!$B$3:$AG$15,31,FALSE))</f>
        <v/>
      </c>
      <c r="AE133" s="179" t="str">
        <f t="shared" si="12"/>
        <v/>
      </c>
      <c r="AF133" s="179" t="str">
        <f t="shared" si="13"/>
        <v/>
      </c>
      <c r="AG133" s="176" t="str">
        <f>IFERROR(IF(O133="","",VLOOKUP(AD133,'G-3 Multipliers'!$P$3:$Q$6,2,FALSE)),"")</f>
        <v/>
      </c>
      <c r="AH133" s="207" t="str">
        <f t="shared" si="9"/>
        <v/>
      </c>
      <c r="AI133" s="336"/>
      <c r="AJ133" s="181"/>
      <c r="AT133" s="35" t="str">
        <f>IFERROR(INDEX('G-6 Hedgerow Data'!$BJ$3:$BJ$15,MATCH(M133,'G-6 Hedgerow Data'!$B$3:$B$15,0)),"")</f>
        <v/>
      </c>
    </row>
    <row r="134" spans="2:46" ht="13.8" x14ac:dyDescent="0.25">
      <c r="B134" s="259" t="str">
        <f>'B-1 Site Hedge Baseline'!AK132</f>
        <v/>
      </c>
      <c r="C134" s="175" t="str">
        <f>IF(B134="","",IF(ISNA(VLOOKUP($B134,'B-1 Site Hedge Baseline'!$B$1:$L$257,3,FALSE)),"",(VLOOKUP($B134,'B-1 Site Hedge Baseline'!$B$1:$L$257,3,FALSE))))</f>
        <v/>
      </c>
      <c r="D134" s="175" t="str">
        <f>IF(B134="","",IF(ISNA(VLOOKUP($B134,'B-1 Site Hedge Baseline'!$B$1:$L$257,4,FALSE)),"",(VLOOKUP($B134,'B-1 Site Hedge Baseline'!$B$1:$L$257,4,FALSE))))</f>
        <v/>
      </c>
      <c r="E134" s="175" t="str">
        <f>IF(B134="","",IF(ISNA(VLOOKUP($B134,'B-1 Site Hedge Baseline'!$B$1:$L$257,5,FALSE)),"",(VLOOKUP($B134,'B-1 Site Hedge Baseline'!$B$1:$L$257,5,FALSE))))</f>
        <v/>
      </c>
      <c r="F134" s="175" t="str">
        <f>IF(B134="","",IF(ISNA(VLOOKUP($B134,'B-1 Site Hedge Baseline'!$B$1:$L$257,6,FALSE)),"",(VLOOKUP($B134,'B-1 Site Hedge Baseline'!$B$1:$L$257,6,FALSE))))</f>
        <v/>
      </c>
      <c r="G134" s="175" t="str">
        <f>IF(B134="","",IF(ISNA(VLOOKUP($B134,'B-1 Site Hedge Baseline'!$B$1:$L$257,7,FALSE)),"",(VLOOKUP($B134,'B-1 Site Hedge Baseline'!$B$1:$L$257,7,FALSE))))</f>
        <v/>
      </c>
      <c r="H134" s="175" t="str">
        <f>IF(B134="","",IF(ISNA(VLOOKUP($B134,'B-1 Site Hedge Baseline'!$B$1:$L$257,8,FALSE)),"",(VLOOKUP($B134,'B-1 Site Hedge Baseline'!$B$1:$L$257,8,FALSE))))</f>
        <v/>
      </c>
      <c r="I134" s="175" t="str">
        <f>IF(B134="","",IF(ISNA(VLOOKUP($B134,'B-1 Site Hedge Baseline'!$B$1:$L$257,10,FALSE)),"",(VLOOKUP($B134,'B-1 Site Hedge Baseline'!$B$1:$L$257,10,FALSE))))</f>
        <v/>
      </c>
      <c r="J134" s="175" t="str">
        <f>IF(B134="","",IF(ISNA(VLOOKUP($B134,'B-1 Site Hedge Baseline'!$B$1:$L$257,11,FALSE)),"",(VLOOKUP($B134,'B-1 Site Hedge Baseline'!$B$1:$L$257,11,FALSE))))</f>
        <v/>
      </c>
      <c r="K134" s="175" t="str">
        <f>IF(B134="","",IF(ISNA(VLOOKUP($B134,'B-1 Site Hedge Baseline'!$B$1:$U$257,13,FALSE)),"",(VLOOKUP($B134,'B-1 Site Hedge Baseline'!$B$1:$U$257,13,FALSE))))</f>
        <v/>
      </c>
      <c r="L134" s="176" t="str">
        <f>IF(B134="","",IF(ISNA(VLOOKUP($B134,'B-1 Site Hedge Baseline'!$B$1:$U$257,12,FALSE)),"",(VLOOKUP($B134,'B-1 Site Hedge Baseline'!$B$1:$U$257,12,FALSE))))</f>
        <v/>
      </c>
      <c r="M134" s="637"/>
      <c r="N134" s="171" t="str">
        <f>IFERROR(IF(B134="","",INDEX('G-6 Hedgerow Data'!$AN$3:$AZ$15,MATCH(C134,'G-6 Hedgerow Data'!$AM$3:$AM$15,0),MATCH(M134,'G-6 Hedgerow Data'!$AN$2:$AZ$2,0))),"")</f>
        <v/>
      </c>
      <c r="O134" s="172" t="str">
        <f t="shared" si="7"/>
        <v/>
      </c>
      <c r="P134" s="642" t="str">
        <f>IF(B134="","",VLOOKUP(B134,'B-1 Site Hedge Baseline'!$B$10:T379,16,FALSE))</f>
        <v/>
      </c>
      <c r="Q134" s="171" t="str">
        <f>IF(M134="","",VLOOKUP(M134,'G-6 Hedgerow Data'!$B$2:$AG$15,2,FALSE))</f>
        <v/>
      </c>
      <c r="R134" s="172" t="str">
        <f>IF(M134="","",VLOOKUP(M134,'G-6 Hedgerow Data'!$B$2:$AG$15,3,FALSE))</f>
        <v/>
      </c>
      <c r="S134" s="189"/>
      <c r="T134" s="269" t="str">
        <f>IFERROR(VLOOKUP(S134,'G-1 All Habitats'!$Z$2:$AA$9,2,FALSE),"")</f>
        <v/>
      </c>
      <c r="U134" s="186"/>
      <c r="V134" s="175" t="str">
        <f>IF(U134="","",IF(VLOOKUP(U134,'G-3 Multipliers'!$L$3:$N$6,2,FALSE)=0,"Spatial Data Missing",VLOOKUP(U134,'G-3 Multipliers'!$L$3:$N$6,2,FALSE)))</f>
        <v/>
      </c>
      <c r="W134" s="176" t="str">
        <f>IF(U134="","",IF(VLOOKUP(U134,'G-3 Multipliers'!$L$3:$N$6,3,FALSE)=0,"Spatial Data Missing",VLOOKUP(U134,'G-3 Multipliers'!$L$3:$N$6,3,FALSE)))</f>
        <v/>
      </c>
      <c r="X134" s="171" t="str">
        <f>IFERROR(IF(OR(LEFT(O134,5)="Error",LEFT(N134,5)="Error",T134="Error"),"Check Data",IF(F134&lt;R134,INDEX('G-6 Hedgerow Data'!$S$3:$AE$14,MATCH(C134,'G-6 Hedgerow Data'!$B$3:$B$14,0),MATCH(M134,'G-6 Hedgerow Data'!$S$2:$AE$2,0)),INDEX('G-6 Hedgerow Data'!$K$3:$Q$14,MATCH(M134,'G-6 Hedgerow Data'!$B$3:$B$14,0),MATCH(O134,'G-6 Hedgerow Data'!$K$2:$Q$2,0)))),"")</f>
        <v/>
      </c>
      <c r="Y134" s="261"/>
      <c r="Z134" s="261"/>
      <c r="AA134" s="179" t="str">
        <f t="shared" si="10"/>
        <v/>
      </c>
      <c r="AB134" s="262" t="str">
        <f t="shared" si="11"/>
        <v/>
      </c>
      <c r="AC134" s="263" t="str">
        <f t="shared" si="8"/>
        <v/>
      </c>
      <c r="AD134" s="239" t="str">
        <f>IF(M134="","",VLOOKUP(M134,'G-6 Hedgerow Data'!$B$3:$AG$15,31,FALSE))</f>
        <v/>
      </c>
      <c r="AE134" s="179" t="str">
        <f t="shared" si="12"/>
        <v/>
      </c>
      <c r="AF134" s="179" t="str">
        <f t="shared" si="13"/>
        <v/>
      </c>
      <c r="AG134" s="176" t="str">
        <f>IFERROR(IF(O134="","",VLOOKUP(AD134,'G-3 Multipliers'!$P$3:$Q$6,2,FALSE)),"")</f>
        <v/>
      </c>
      <c r="AH134" s="207" t="str">
        <f t="shared" si="9"/>
        <v/>
      </c>
      <c r="AI134" s="336"/>
      <c r="AJ134" s="181"/>
      <c r="AT134" s="35" t="str">
        <f>IFERROR(INDEX('G-6 Hedgerow Data'!$BJ$3:$BJ$15,MATCH(M134,'G-6 Hedgerow Data'!$B$3:$B$15,0)),"")</f>
        <v/>
      </c>
    </row>
    <row r="135" spans="2:46" ht="13.8" x14ac:dyDescent="0.25">
      <c r="B135" s="259" t="str">
        <f>'B-1 Site Hedge Baseline'!AK133</f>
        <v/>
      </c>
      <c r="C135" s="175" t="str">
        <f>IF(B135="","",IF(ISNA(VLOOKUP($B135,'B-1 Site Hedge Baseline'!$B$1:$L$257,3,FALSE)),"",(VLOOKUP($B135,'B-1 Site Hedge Baseline'!$B$1:$L$257,3,FALSE))))</f>
        <v/>
      </c>
      <c r="D135" s="175" t="str">
        <f>IF(B135="","",IF(ISNA(VLOOKUP($B135,'B-1 Site Hedge Baseline'!$B$1:$L$257,4,FALSE)),"",(VLOOKUP($B135,'B-1 Site Hedge Baseline'!$B$1:$L$257,4,FALSE))))</f>
        <v/>
      </c>
      <c r="E135" s="175" t="str">
        <f>IF(B135="","",IF(ISNA(VLOOKUP($B135,'B-1 Site Hedge Baseline'!$B$1:$L$257,5,FALSE)),"",(VLOOKUP($B135,'B-1 Site Hedge Baseline'!$B$1:$L$257,5,FALSE))))</f>
        <v/>
      </c>
      <c r="F135" s="175" t="str">
        <f>IF(B135="","",IF(ISNA(VLOOKUP($B135,'B-1 Site Hedge Baseline'!$B$1:$L$257,6,FALSE)),"",(VLOOKUP($B135,'B-1 Site Hedge Baseline'!$B$1:$L$257,6,FALSE))))</f>
        <v/>
      </c>
      <c r="G135" s="175" t="str">
        <f>IF(B135="","",IF(ISNA(VLOOKUP($B135,'B-1 Site Hedge Baseline'!$B$1:$L$257,7,FALSE)),"",(VLOOKUP($B135,'B-1 Site Hedge Baseline'!$B$1:$L$257,7,FALSE))))</f>
        <v/>
      </c>
      <c r="H135" s="175" t="str">
        <f>IF(B135="","",IF(ISNA(VLOOKUP($B135,'B-1 Site Hedge Baseline'!$B$1:$L$257,8,FALSE)),"",(VLOOKUP($B135,'B-1 Site Hedge Baseline'!$B$1:$L$257,8,FALSE))))</f>
        <v/>
      </c>
      <c r="I135" s="175" t="str">
        <f>IF(B135="","",IF(ISNA(VLOOKUP($B135,'B-1 Site Hedge Baseline'!$B$1:$L$257,10,FALSE)),"",(VLOOKUP($B135,'B-1 Site Hedge Baseline'!$B$1:$L$257,10,FALSE))))</f>
        <v/>
      </c>
      <c r="J135" s="175" t="str">
        <f>IF(B135="","",IF(ISNA(VLOOKUP($B135,'B-1 Site Hedge Baseline'!$B$1:$L$257,11,FALSE)),"",(VLOOKUP($B135,'B-1 Site Hedge Baseline'!$B$1:$L$257,11,FALSE))))</f>
        <v/>
      </c>
      <c r="K135" s="175" t="str">
        <f>IF(B135="","",IF(ISNA(VLOOKUP($B135,'B-1 Site Hedge Baseline'!$B$1:$U$257,13,FALSE)),"",(VLOOKUP($B135,'B-1 Site Hedge Baseline'!$B$1:$U$257,13,FALSE))))</f>
        <v/>
      </c>
      <c r="L135" s="176" t="str">
        <f>IF(B135="","",IF(ISNA(VLOOKUP($B135,'B-1 Site Hedge Baseline'!$B$1:$U$257,12,FALSE)),"",(VLOOKUP($B135,'B-1 Site Hedge Baseline'!$B$1:$U$257,12,FALSE))))</f>
        <v/>
      </c>
      <c r="M135" s="637"/>
      <c r="N135" s="171" t="str">
        <f>IFERROR(IF(B135="","",INDEX('G-6 Hedgerow Data'!$AN$3:$AZ$15,MATCH(C135,'G-6 Hedgerow Data'!$AM$3:$AM$15,0),MATCH(M135,'G-6 Hedgerow Data'!$AN$2:$AZ$2,0))),"")</f>
        <v/>
      </c>
      <c r="O135" s="172" t="str">
        <f t="shared" si="7"/>
        <v/>
      </c>
      <c r="P135" s="642" t="str">
        <f>IF(B135="","",VLOOKUP(B135,'B-1 Site Hedge Baseline'!$B$10:T380,16,FALSE))</f>
        <v/>
      </c>
      <c r="Q135" s="171" t="str">
        <f>IF(M135="","",VLOOKUP(M135,'G-6 Hedgerow Data'!$B$2:$AG$15,2,FALSE))</f>
        <v/>
      </c>
      <c r="R135" s="172" t="str">
        <f>IF(M135="","",VLOOKUP(M135,'G-6 Hedgerow Data'!$B$2:$AG$15,3,FALSE))</f>
        <v/>
      </c>
      <c r="S135" s="189"/>
      <c r="T135" s="269" t="str">
        <f>IFERROR(VLOOKUP(S135,'G-1 All Habitats'!$Z$2:$AA$9,2,FALSE),"")</f>
        <v/>
      </c>
      <c r="U135" s="186"/>
      <c r="V135" s="175" t="str">
        <f>IF(U135="","",IF(VLOOKUP(U135,'G-3 Multipliers'!$L$3:$N$6,2,FALSE)=0,"Spatial Data Missing",VLOOKUP(U135,'G-3 Multipliers'!$L$3:$N$6,2,FALSE)))</f>
        <v/>
      </c>
      <c r="W135" s="176" t="str">
        <f>IF(U135="","",IF(VLOOKUP(U135,'G-3 Multipliers'!$L$3:$N$6,3,FALSE)=0,"Spatial Data Missing",VLOOKUP(U135,'G-3 Multipliers'!$L$3:$N$6,3,FALSE)))</f>
        <v/>
      </c>
      <c r="X135" s="171" t="str">
        <f>IFERROR(IF(OR(LEFT(O135,5)="Error",LEFT(N135,5)="Error",T135="Error"),"Check Data",IF(F135&lt;R135,INDEX('G-6 Hedgerow Data'!$S$3:$AE$14,MATCH(C135,'G-6 Hedgerow Data'!$B$3:$B$14,0),MATCH(M135,'G-6 Hedgerow Data'!$S$2:$AE$2,0)),INDEX('G-6 Hedgerow Data'!$K$3:$Q$14,MATCH(M135,'G-6 Hedgerow Data'!$B$3:$B$14,0),MATCH(O135,'G-6 Hedgerow Data'!$K$2:$Q$2,0)))),"")</f>
        <v/>
      </c>
      <c r="Y135" s="261"/>
      <c r="Z135" s="261"/>
      <c r="AA135" s="179" t="str">
        <f t="shared" si="10"/>
        <v/>
      </c>
      <c r="AB135" s="262" t="str">
        <f t="shared" si="11"/>
        <v/>
      </c>
      <c r="AC135" s="263" t="str">
        <f t="shared" si="8"/>
        <v/>
      </c>
      <c r="AD135" s="239" t="str">
        <f>IF(M135="","",VLOOKUP(M135,'G-6 Hedgerow Data'!$B$3:$AG$15,31,FALSE))</f>
        <v/>
      </c>
      <c r="AE135" s="179" t="str">
        <f t="shared" si="12"/>
        <v/>
      </c>
      <c r="AF135" s="179" t="str">
        <f t="shared" si="13"/>
        <v/>
      </c>
      <c r="AG135" s="176" t="str">
        <f>IFERROR(IF(O135="","",VLOOKUP(AD135,'G-3 Multipliers'!$P$3:$Q$6,2,FALSE)),"")</f>
        <v/>
      </c>
      <c r="AH135" s="207" t="str">
        <f t="shared" si="9"/>
        <v/>
      </c>
      <c r="AI135" s="336"/>
      <c r="AJ135" s="181"/>
      <c r="AT135" s="35" t="str">
        <f>IFERROR(INDEX('G-6 Hedgerow Data'!$BJ$3:$BJ$15,MATCH(M135,'G-6 Hedgerow Data'!$B$3:$B$15,0)),"")</f>
        <v/>
      </c>
    </row>
    <row r="136" spans="2:46" ht="13.8" x14ac:dyDescent="0.25">
      <c r="B136" s="259" t="str">
        <f>'B-1 Site Hedge Baseline'!AK134</f>
        <v/>
      </c>
      <c r="C136" s="175" t="str">
        <f>IF(B136="","",IF(ISNA(VLOOKUP($B136,'B-1 Site Hedge Baseline'!$B$1:$L$257,3,FALSE)),"",(VLOOKUP($B136,'B-1 Site Hedge Baseline'!$B$1:$L$257,3,FALSE))))</f>
        <v/>
      </c>
      <c r="D136" s="175" t="str">
        <f>IF(B136="","",IF(ISNA(VLOOKUP($B136,'B-1 Site Hedge Baseline'!$B$1:$L$257,4,FALSE)),"",(VLOOKUP($B136,'B-1 Site Hedge Baseline'!$B$1:$L$257,4,FALSE))))</f>
        <v/>
      </c>
      <c r="E136" s="175" t="str">
        <f>IF(B136="","",IF(ISNA(VLOOKUP($B136,'B-1 Site Hedge Baseline'!$B$1:$L$257,5,FALSE)),"",(VLOOKUP($B136,'B-1 Site Hedge Baseline'!$B$1:$L$257,5,FALSE))))</f>
        <v/>
      </c>
      <c r="F136" s="175" t="str">
        <f>IF(B136="","",IF(ISNA(VLOOKUP($B136,'B-1 Site Hedge Baseline'!$B$1:$L$257,6,FALSE)),"",(VLOOKUP($B136,'B-1 Site Hedge Baseline'!$B$1:$L$257,6,FALSE))))</f>
        <v/>
      </c>
      <c r="G136" s="175" t="str">
        <f>IF(B136="","",IF(ISNA(VLOOKUP($B136,'B-1 Site Hedge Baseline'!$B$1:$L$257,7,FALSE)),"",(VLOOKUP($B136,'B-1 Site Hedge Baseline'!$B$1:$L$257,7,FALSE))))</f>
        <v/>
      </c>
      <c r="H136" s="175" t="str">
        <f>IF(B136="","",IF(ISNA(VLOOKUP($B136,'B-1 Site Hedge Baseline'!$B$1:$L$257,8,FALSE)),"",(VLOOKUP($B136,'B-1 Site Hedge Baseline'!$B$1:$L$257,8,FALSE))))</f>
        <v/>
      </c>
      <c r="I136" s="175" t="str">
        <f>IF(B136="","",IF(ISNA(VLOOKUP($B136,'B-1 Site Hedge Baseline'!$B$1:$L$257,10,FALSE)),"",(VLOOKUP($B136,'B-1 Site Hedge Baseline'!$B$1:$L$257,10,FALSE))))</f>
        <v/>
      </c>
      <c r="J136" s="175" t="str">
        <f>IF(B136="","",IF(ISNA(VLOOKUP($B136,'B-1 Site Hedge Baseline'!$B$1:$L$257,11,FALSE)),"",(VLOOKUP($B136,'B-1 Site Hedge Baseline'!$B$1:$L$257,11,FALSE))))</f>
        <v/>
      </c>
      <c r="K136" s="175" t="str">
        <f>IF(B136="","",IF(ISNA(VLOOKUP($B136,'B-1 Site Hedge Baseline'!$B$1:$U$257,13,FALSE)),"",(VLOOKUP($B136,'B-1 Site Hedge Baseline'!$B$1:$U$257,13,FALSE))))</f>
        <v/>
      </c>
      <c r="L136" s="176" t="str">
        <f>IF(B136="","",IF(ISNA(VLOOKUP($B136,'B-1 Site Hedge Baseline'!$B$1:$U$257,12,FALSE)),"",(VLOOKUP($B136,'B-1 Site Hedge Baseline'!$B$1:$U$257,12,FALSE))))</f>
        <v/>
      </c>
      <c r="M136" s="637"/>
      <c r="N136" s="171" t="str">
        <f>IFERROR(IF(B136="","",INDEX('G-6 Hedgerow Data'!$AN$3:$AZ$15,MATCH(C136,'G-6 Hedgerow Data'!$AM$3:$AM$15,0),MATCH(M136,'G-6 Hedgerow Data'!$AN$2:$AZ$2,0))),"")</f>
        <v/>
      </c>
      <c r="O136" s="172" t="str">
        <f t="shared" si="7"/>
        <v/>
      </c>
      <c r="P136" s="642" t="str">
        <f>IF(B136="","",VLOOKUP(B136,'B-1 Site Hedge Baseline'!$B$10:T381,16,FALSE))</f>
        <v/>
      </c>
      <c r="Q136" s="171" t="str">
        <f>IF(M136="","",VLOOKUP(M136,'G-6 Hedgerow Data'!$B$2:$AG$15,2,FALSE))</f>
        <v/>
      </c>
      <c r="R136" s="172" t="str">
        <f>IF(M136="","",VLOOKUP(M136,'G-6 Hedgerow Data'!$B$2:$AG$15,3,FALSE))</f>
        <v/>
      </c>
      <c r="S136" s="189"/>
      <c r="T136" s="269" t="str">
        <f>IFERROR(VLOOKUP(S136,'G-1 All Habitats'!$Z$2:$AA$9,2,FALSE),"")</f>
        <v/>
      </c>
      <c r="U136" s="186"/>
      <c r="V136" s="175" t="str">
        <f>IF(U136="","",IF(VLOOKUP(U136,'G-3 Multipliers'!$L$3:$N$6,2,FALSE)=0,"Spatial Data Missing",VLOOKUP(U136,'G-3 Multipliers'!$L$3:$N$6,2,FALSE)))</f>
        <v/>
      </c>
      <c r="W136" s="176" t="str">
        <f>IF(U136="","",IF(VLOOKUP(U136,'G-3 Multipliers'!$L$3:$N$6,3,FALSE)=0,"Spatial Data Missing",VLOOKUP(U136,'G-3 Multipliers'!$L$3:$N$6,3,FALSE)))</f>
        <v/>
      </c>
      <c r="X136" s="171" t="str">
        <f>IFERROR(IF(OR(LEFT(O136,5)="Error",LEFT(N136,5)="Error",T136="Error"),"Check Data",IF(F136&lt;R136,INDEX('G-6 Hedgerow Data'!$S$3:$AE$14,MATCH(C136,'G-6 Hedgerow Data'!$B$3:$B$14,0),MATCH(M136,'G-6 Hedgerow Data'!$S$2:$AE$2,0)),INDEX('G-6 Hedgerow Data'!$K$3:$Q$14,MATCH(M136,'G-6 Hedgerow Data'!$B$3:$B$14,0),MATCH(O136,'G-6 Hedgerow Data'!$K$2:$Q$2,0)))),"")</f>
        <v/>
      </c>
      <c r="Y136" s="261"/>
      <c r="Z136" s="261"/>
      <c r="AA136" s="179" t="str">
        <f t="shared" si="10"/>
        <v/>
      </c>
      <c r="AB136" s="262" t="str">
        <f t="shared" si="11"/>
        <v/>
      </c>
      <c r="AC136" s="263" t="str">
        <f t="shared" si="8"/>
        <v/>
      </c>
      <c r="AD136" s="239" t="str">
        <f>IF(M136="","",VLOOKUP(M136,'G-6 Hedgerow Data'!$B$3:$AG$15,31,FALSE))</f>
        <v/>
      </c>
      <c r="AE136" s="179" t="str">
        <f t="shared" si="12"/>
        <v/>
      </c>
      <c r="AF136" s="179" t="str">
        <f t="shared" si="13"/>
        <v/>
      </c>
      <c r="AG136" s="176" t="str">
        <f>IFERROR(IF(O136="","",VLOOKUP(AD136,'G-3 Multipliers'!$P$3:$Q$6,2,FALSE)),"")</f>
        <v/>
      </c>
      <c r="AH136" s="207" t="str">
        <f t="shared" si="9"/>
        <v/>
      </c>
      <c r="AI136" s="336"/>
      <c r="AJ136" s="181"/>
      <c r="AT136" s="35" t="str">
        <f>IFERROR(INDEX('G-6 Hedgerow Data'!$BJ$3:$BJ$15,MATCH(M136,'G-6 Hedgerow Data'!$B$3:$B$15,0)),"")</f>
        <v/>
      </c>
    </row>
    <row r="137" spans="2:46" ht="13.8" x14ac:dyDescent="0.25">
      <c r="B137" s="259" t="str">
        <f>'B-1 Site Hedge Baseline'!AK135</f>
        <v/>
      </c>
      <c r="C137" s="175" t="str">
        <f>IF(B137="","",IF(ISNA(VLOOKUP($B137,'B-1 Site Hedge Baseline'!$B$1:$L$257,3,FALSE)),"",(VLOOKUP($B137,'B-1 Site Hedge Baseline'!$B$1:$L$257,3,FALSE))))</f>
        <v/>
      </c>
      <c r="D137" s="175" t="str">
        <f>IF(B137="","",IF(ISNA(VLOOKUP($B137,'B-1 Site Hedge Baseline'!$B$1:$L$257,4,FALSE)),"",(VLOOKUP($B137,'B-1 Site Hedge Baseline'!$B$1:$L$257,4,FALSE))))</f>
        <v/>
      </c>
      <c r="E137" s="175" t="str">
        <f>IF(B137="","",IF(ISNA(VLOOKUP($B137,'B-1 Site Hedge Baseline'!$B$1:$L$257,5,FALSE)),"",(VLOOKUP($B137,'B-1 Site Hedge Baseline'!$B$1:$L$257,5,FALSE))))</f>
        <v/>
      </c>
      <c r="F137" s="175" t="str">
        <f>IF(B137="","",IF(ISNA(VLOOKUP($B137,'B-1 Site Hedge Baseline'!$B$1:$L$257,6,FALSE)),"",(VLOOKUP($B137,'B-1 Site Hedge Baseline'!$B$1:$L$257,6,FALSE))))</f>
        <v/>
      </c>
      <c r="G137" s="175" t="str">
        <f>IF(B137="","",IF(ISNA(VLOOKUP($B137,'B-1 Site Hedge Baseline'!$B$1:$L$257,7,FALSE)),"",(VLOOKUP($B137,'B-1 Site Hedge Baseline'!$B$1:$L$257,7,FALSE))))</f>
        <v/>
      </c>
      <c r="H137" s="175" t="str">
        <f>IF(B137="","",IF(ISNA(VLOOKUP($B137,'B-1 Site Hedge Baseline'!$B$1:$L$257,8,FALSE)),"",(VLOOKUP($B137,'B-1 Site Hedge Baseline'!$B$1:$L$257,8,FALSE))))</f>
        <v/>
      </c>
      <c r="I137" s="175" t="str">
        <f>IF(B137="","",IF(ISNA(VLOOKUP($B137,'B-1 Site Hedge Baseline'!$B$1:$L$257,10,FALSE)),"",(VLOOKUP($B137,'B-1 Site Hedge Baseline'!$B$1:$L$257,10,FALSE))))</f>
        <v/>
      </c>
      <c r="J137" s="175" t="str">
        <f>IF(B137="","",IF(ISNA(VLOOKUP($B137,'B-1 Site Hedge Baseline'!$B$1:$L$257,11,FALSE)),"",(VLOOKUP($B137,'B-1 Site Hedge Baseline'!$B$1:$L$257,11,FALSE))))</f>
        <v/>
      </c>
      <c r="K137" s="175" t="str">
        <f>IF(B137="","",IF(ISNA(VLOOKUP($B137,'B-1 Site Hedge Baseline'!$B$1:$U$257,13,FALSE)),"",(VLOOKUP($B137,'B-1 Site Hedge Baseline'!$B$1:$U$257,13,FALSE))))</f>
        <v/>
      </c>
      <c r="L137" s="176" t="str">
        <f>IF(B137="","",IF(ISNA(VLOOKUP($B137,'B-1 Site Hedge Baseline'!$B$1:$U$257,12,FALSE)),"",(VLOOKUP($B137,'B-1 Site Hedge Baseline'!$B$1:$U$257,12,FALSE))))</f>
        <v/>
      </c>
      <c r="M137" s="637"/>
      <c r="N137" s="171" t="str">
        <f>IFERROR(IF(B137="","",INDEX('G-6 Hedgerow Data'!$AN$3:$AZ$15,MATCH(C137,'G-6 Hedgerow Data'!$AM$3:$AM$15,0),MATCH(M137,'G-6 Hedgerow Data'!$AN$2:$AZ$2,0))),"")</f>
        <v/>
      </c>
      <c r="O137" s="172" t="str">
        <f t="shared" si="7"/>
        <v/>
      </c>
      <c r="P137" s="642" t="str">
        <f>IF(B137="","",VLOOKUP(B137,'B-1 Site Hedge Baseline'!$B$10:T382,16,FALSE))</f>
        <v/>
      </c>
      <c r="Q137" s="171" t="str">
        <f>IF(M137="","",VLOOKUP(M137,'G-6 Hedgerow Data'!$B$2:$AG$15,2,FALSE))</f>
        <v/>
      </c>
      <c r="R137" s="172" t="str">
        <f>IF(M137="","",VLOOKUP(M137,'G-6 Hedgerow Data'!$B$2:$AG$15,3,FALSE))</f>
        <v/>
      </c>
      <c r="S137" s="189"/>
      <c r="T137" s="269" t="str">
        <f>IFERROR(VLOOKUP(S137,'G-1 All Habitats'!$Z$2:$AA$9,2,FALSE),"")</f>
        <v/>
      </c>
      <c r="U137" s="186"/>
      <c r="V137" s="175" t="str">
        <f>IF(U137="","",IF(VLOOKUP(U137,'G-3 Multipliers'!$L$3:$N$6,2,FALSE)=0,"Spatial Data Missing",VLOOKUP(U137,'G-3 Multipliers'!$L$3:$N$6,2,FALSE)))</f>
        <v/>
      </c>
      <c r="W137" s="176" t="str">
        <f>IF(U137="","",IF(VLOOKUP(U137,'G-3 Multipliers'!$L$3:$N$6,3,FALSE)=0,"Spatial Data Missing",VLOOKUP(U137,'G-3 Multipliers'!$L$3:$N$6,3,FALSE)))</f>
        <v/>
      </c>
      <c r="X137" s="171" t="str">
        <f>IFERROR(IF(OR(LEFT(O137,5)="Error",LEFT(N137,5)="Error",T137="Error"),"Check Data",IF(F137&lt;R137,INDEX('G-6 Hedgerow Data'!$S$3:$AE$14,MATCH(C137,'G-6 Hedgerow Data'!$B$3:$B$14,0),MATCH(M137,'G-6 Hedgerow Data'!$S$2:$AE$2,0)),INDEX('G-6 Hedgerow Data'!$K$3:$Q$14,MATCH(M137,'G-6 Hedgerow Data'!$B$3:$B$14,0),MATCH(O137,'G-6 Hedgerow Data'!$K$2:$Q$2,0)))),"")</f>
        <v/>
      </c>
      <c r="Y137" s="261"/>
      <c r="Z137" s="261"/>
      <c r="AA137" s="179" t="str">
        <f t="shared" si="10"/>
        <v/>
      </c>
      <c r="AB137" s="262" t="str">
        <f t="shared" si="11"/>
        <v/>
      </c>
      <c r="AC137" s="263" t="str">
        <f t="shared" si="8"/>
        <v/>
      </c>
      <c r="AD137" s="239" t="str">
        <f>IF(M137="","",VLOOKUP(M137,'G-6 Hedgerow Data'!$B$3:$AG$15,31,FALSE))</f>
        <v/>
      </c>
      <c r="AE137" s="179" t="str">
        <f t="shared" si="12"/>
        <v/>
      </c>
      <c r="AF137" s="179" t="str">
        <f t="shared" si="13"/>
        <v/>
      </c>
      <c r="AG137" s="176" t="str">
        <f>IFERROR(IF(O137="","",VLOOKUP(AD137,'G-3 Multipliers'!$P$3:$Q$6,2,FALSE)),"")</f>
        <v/>
      </c>
      <c r="AH137" s="207" t="str">
        <f t="shared" si="9"/>
        <v/>
      </c>
      <c r="AI137" s="336"/>
      <c r="AJ137" s="181"/>
      <c r="AT137" s="35" t="str">
        <f>IFERROR(INDEX('G-6 Hedgerow Data'!$BJ$3:$BJ$15,MATCH(M137,'G-6 Hedgerow Data'!$B$3:$B$15,0)),"")</f>
        <v/>
      </c>
    </row>
    <row r="138" spans="2:46" ht="13.8" x14ac:dyDescent="0.25">
      <c r="B138" s="259" t="str">
        <f>'B-1 Site Hedge Baseline'!AK136</f>
        <v/>
      </c>
      <c r="C138" s="175" t="str">
        <f>IF(B138="","",IF(ISNA(VLOOKUP($B138,'B-1 Site Hedge Baseline'!$B$1:$L$257,3,FALSE)),"",(VLOOKUP($B138,'B-1 Site Hedge Baseline'!$B$1:$L$257,3,FALSE))))</f>
        <v/>
      </c>
      <c r="D138" s="175" t="str">
        <f>IF(B138="","",IF(ISNA(VLOOKUP($B138,'B-1 Site Hedge Baseline'!$B$1:$L$257,4,FALSE)),"",(VLOOKUP($B138,'B-1 Site Hedge Baseline'!$B$1:$L$257,4,FALSE))))</f>
        <v/>
      </c>
      <c r="E138" s="175" t="str">
        <f>IF(B138="","",IF(ISNA(VLOOKUP($B138,'B-1 Site Hedge Baseline'!$B$1:$L$257,5,FALSE)),"",(VLOOKUP($B138,'B-1 Site Hedge Baseline'!$B$1:$L$257,5,FALSE))))</f>
        <v/>
      </c>
      <c r="F138" s="175" t="str">
        <f>IF(B138="","",IF(ISNA(VLOOKUP($B138,'B-1 Site Hedge Baseline'!$B$1:$L$257,6,FALSE)),"",(VLOOKUP($B138,'B-1 Site Hedge Baseline'!$B$1:$L$257,6,FALSE))))</f>
        <v/>
      </c>
      <c r="G138" s="175" t="str">
        <f>IF(B138="","",IF(ISNA(VLOOKUP($B138,'B-1 Site Hedge Baseline'!$B$1:$L$257,7,FALSE)),"",(VLOOKUP($B138,'B-1 Site Hedge Baseline'!$B$1:$L$257,7,FALSE))))</f>
        <v/>
      </c>
      <c r="H138" s="175" t="str">
        <f>IF(B138="","",IF(ISNA(VLOOKUP($B138,'B-1 Site Hedge Baseline'!$B$1:$L$257,8,FALSE)),"",(VLOOKUP($B138,'B-1 Site Hedge Baseline'!$B$1:$L$257,8,FALSE))))</f>
        <v/>
      </c>
      <c r="I138" s="175" t="str">
        <f>IF(B138="","",IF(ISNA(VLOOKUP($B138,'B-1 Site Hedge Baseline'!$B$1:$L$257,10,FALSE)),"",(VLOOKUP($B138,'B-1 Site Hedge Baseline'!$B$1:$L$257,10,FALSE))))</f>
        <v/>
      </c>
      <c r="J138" s="175" t="str">
        <f>IF(B138="","",IF(ISNA(VLOOKUP($B138,'B-1 Site Hedge Baseline'!$B$1:$L$257,11,FALSE)),"",(VLOOKUP($B138,'B-1 Site Hedge Baseline'!$B$1:$L$257,11,FALSE))))</f>
        <v/>
      </c>
      <c r="K138" s="175" t="str">
        <f>IF(B138="","",IF(ISNA(VLOOKUP($B138,'B-1 Site Hedge Baseline'!$B$1:$U$257,13,FALSE)),"",(VLOOKUP($B138,'B-1 Site Hedge Baseline'!$B$1:$U$257,13,FALSE))))</f>
        <v/>
      </c>
      <c r="L138" s="176" t="str">
        <f>IF(B138="","",IF(ISNA(VLOOKUP($B138,'B-1 Site Hedge Baseline'!$B$1:$U$257,12,FALSE)),"",(VLOOKUP($B138,'B-1 Site Hedge Baseline'!$B$1:$U$257,12,FALSE))))</f>
        <v/>
      </c>
      <c r="M138" s="637"/>
      <c r="N138" s="171" t="str">
        <f>IFERROR(IF(B138="","",INDEX('G-6 Hedgerow Data'!$AN$3:$AZ$15,MATCH(C138,'G-6 Hedgerow Data'!$AM$3:$AM$15,0),MATCH(M138,'G-6 Hedgerow Data'!$AN$2:$AZ$2,0))),"")</f>
        <v/>
      </c>
      <c r="O138" s="172" t="str">
        <f t="shared" si="7"/>
        <v/>
      </c>
      <c r="P138" s="642" t="str">
        <f>IF(B138="","",VLOOKUP(B138,'B-1 Site Hedge Baseline'!$B$10:T383,16,FALSE))</f>
        <v/>
      </c>
      <c r="Q138" s="171" t="str">
        <f>IF(M138="","",VLOOKUP(M138,'G-6 Hedgerow Data'!$B$2:$AG$15,2,FALSE))</f>
        <v/>
      </c>
      <c r="R138" s="172" t="str">
        <f>IF(M138="","",VLOOKUP(M138,'G-6 Hedgerow Data'!$B$2:$AG$15,3,FALSE))</f>
        <v/>
      </c>
      <c r="S138" s="189"/>
      <c r="T138" s="269" t="str">
        <f>IFERROR(VLOOKUP(S138,'G-1 All Habitats'!$Z$2:$AA$9,2,FALSE),"")</f>
        <v/>
      </c>
      <c r="U138" s="186"/>
      <c r="V138" s="175" t="str">
        <f>IF(U138="","",IF(VLOOKUP(U138,'G-3 Multipliers'!$L$3:$N$6,2,FALSE)=0,"Spatial Data Missing",VLOOKUP(U138,'G-3 Multipliers'!$L$3:$N$6,2,FALSE)))</f>
        <v/>
      </c>
      <c r="W138" s="176" t="str">
        <f>IF(U138="","",IF(VLOOKUP(U138,'G-3 Multipliers'!$L$3:$N$6,3,FALSE)=0,"Spatial Data Missing",VLOOKUP(U138,'G-3 Multipliers'!$L$3:$N$6,3,FALSE)))</f>
        <v/>
      </c>
      <c r="X138" s="171" t="str">
        <f>IFERROR(IF(OR(LEFT(O138,5)="Error",LEFT(N138,5)="Error",T138="Error"),"Check Data",IF(F138&lt;R138,INDEX('G-6 Hedgerow Data'!$S$3:$AE$14,MATCH(C138,'G-6 Hedgerow Data'!$B$3:$B$14,0),MATCH(M138,'G-6 Hedgerow Data'!$S$2:$AE$2,0)),INDEX('G-6 Hedgerow Data'!$K$3:$Q$14,MATCH(M138,'G-6 Hedgerow Data'!$B$3:$B$14,0),MATCH(O138,'G-6 Hedgerow Data'!$K$2:$Q$2,0)))),"")</f>
        <v/>
      </c>
      <c r="Y138" s="261"/>
      <c r="Z138" s="261"/>
      <c r="AA138" s="179" t="str">
        <f t="shared" si="10"/>
        <v/>
      </c>
      <c r="AB138" s="262" t="str">
        <f t="shared" si="11"/>
        <v/>
      </c>
      <c r="AC138" s="263" t="str">
        <f t="shared" si="8"/>
        <v/>
      </c>
      <c r="AD138" s="239" t="str">
        <f>IF(M138="","",VLOOKUP(M138,'G-6 Hedgerow Data'!$B$3:$AG$15,31,FALSE))</f>
        <v/>
      </c>
      <c r="AE138" s="179" t="str">
        <f t="shared" si="12"/>
        <v/>
      </c>
      <c r="AF138" s="179" t="str">
        <f t="shared" si="13"/>
        <v/>
      </c>
      <c r="AG138" s="176" t="str">
        <f>IFERROR(IF(O138="","",VLOOKUP(AD138,'G-3 Multipliers'!$P$3:$Q$6,2,FALSE)),"")</f>
        <v/>
      </c>
      <c r="AH138" s="207" t="str">
        <f t="shared" si="9"/>
        <v/>
      </c>
      <c r="AI138" s="336"/>
      <c r="AJ138" s="181"/>
      <c r="AT138" s="35" t="str">
        <f>IFERROR(INDEX('G-6 Hedgerow Data'!$BJ$3:$BJ$15,MATCH(M138,'G-6 Hedgerow Data'!$B$3:$B$15,0)),"")</f>
        <v/>
      </c>
    </row>
    <row r="139" spans="2:46" ht="13.8" x14ac:dyDescent="0.25">
      <c r="B139" s="259" t="str">
        <f>'B-1 Site Hedge Baseline'!AK137</f>
        <v/>
      </c>
      <c r="C139" s="175" t="str">
        <f>IF(B139="","",IF(ISNA(VLOOKUP($B139,'B-1 Site Hedge Baseline'!$B$1:$L$257,3,FALSE)),"",(VLOOKUP($B139,'B-1 Site Hedge Baseline'!$B$1:$L$257,3,FALSE))))</f>
        <v/>
      </c>
      <c r="D139" s="175" t="str">
        <f>IF(B139="","",IF(ISNA(VLOOKUP($B139,'B-1 Site Hedge Baseline'!$B$1:$L$257,4,FALSE)),"",(VLOOKUP($B139,'B-1 Site Hedge Baseline'!$B$1:$L$257,4,FALSE))))</f>
        <v/>
      </c>
      <c r="E139" s="175" t="str">
        <f>IF(B139="","",IF(ISNA(VLOOKUP($B139,'B-1 Site Hedge Baseline'!$B$1:$L$257,5,FALSE)),"",(VLOOKUP($B139,'B-1 Site Hedge Baseline'!$B$1:$L$257,5,FALSE))))</f>
        <v/>
      </c>
      <c r="F139" s="175" t="str">
        <f>IF(B139="","",IF(ISNA(VLOOKUP($B139,'B-1 Site Hedge Baseline'!$B$1:$L$257,6,FALSE)),"",(VLOOKUP($B139,'B-1 Site Hedge Baseline'!$B$1:$L$257,6,FALSE))))</f>
        <v/>
      </c>
      <c r="G139" s="175" t="str">
        <f>IF(B139="","",IF(ISNA(VLOOKUP($B139,'B-1 Site Hedge Baseline'!$B$1:$L$257,7,FALSE)),"",(VLOOKUP($B139,'B-1 Site Hedge Baseline'!$B$1:$L$257,7,FALSE))))</f>
        <v/>
      </c>
      <c r="H139" s="175" t="str">
        <f>IF(B139="","",IF(ISNA(VLOOKUP($B139,'B-1 Site Hedge Baseline'!$B$1:$L$257,8,FALSE)),"",(VLOOKUP($B139,'B-1 Site Hedge Baseline'!$B$1:$L$257,8,FALSE))))</f>
        <v/>
      </c>
      <c r="I139" s="175" t="str">
        <f>IF(B139="","",IF(ISNA(VLOOKUP($B139,'B-1 Site Hedge Baseline'!$B$1:$L$257,10,FALSE)),"",(VLOOKUP($B139,'B-1 Site Hedge Baseline'!$B$1:$L$257,10,FALSE))))</f>
        <v/>
      </c>
      <c r="J139" s="175" t="str">
        <f>IF(B139="","",IF(ISNA(VLOOKUP($B139,'B-1 Site Hedge Baseline'!$B$1:$L$257,11,FALSE)),"",(VLOOKUP($B139,'B-1 Site Hedge Baseline'!$B$1:$L$257,11,FALSE))))</f>
        <v/>
      </c>
      <c r="K139" s="175" t="str">
        <f>IF(B139="","",IF(ISNA(VLOOKUP($B139,'B-1 Site Hedge Baseline'!$B$1:$U$257,13,FALSE)),"",(VLOOKUP($B139,'B-1 Site Hedge Baseline'!$B$1:$U$257,13,FALSE))))</f>
        <v/>
      </c>
      <c r="L139" s="176" t="str">
        <f>IF(B139="","",IF(ISNA(VLOOKUP($B139,'B-1 Site Hedge Baseline'!$B$1:$U$257,12,FALSE)),"",(VLOOKUP($B139,'B-1 Site Hedge Baseline'!$B$1:$U$257,12,FALSE))))</f>
        <v/>
      </c>
      <c r="M139" s="637"/>
      <c r="N139" s="171" t="str">
        <f>IFERROR(IF(B139="","",INDEX('G-6 Hedgerow Data'!$AN$3:$AZ$15,MATCH(C139,'G-6 Hedgerow Data'!$AM$3:$AM$15,0),MATCH(M139,'G-6 Hedgerow Data'!$AN$2:$AZ$2,0))),"")</f>
        <v/>
      </c>
      <c r="O139" s="172" t="str">
        <f t="shared" si="7"/>
        <v/>
      </c>
      <c r="P139" s="642" t="str">
        <f>IF(B139="","",VLOOKUP(B139,'B-1 Site Hedge Baseline'!$B$10:T384,16,FALSE))</f>
        <v/>
      </c>
      <c r="Q139" s="171" t="str">
        <f>IF(M139="","",VLOOKUP(M139,'G-6 Hedgerow Data'!$B$2:$AG$15,2,FALSE))</f>
        <v/>
      </c>
      <c r="R139" s="172" t="str">
        <f>IF(M139="","",VLOOKUP(M139,'G-6 Hedgerow Data'!$B$2:$AG$15,3,FALSE))</f>
        <v/>
      </c>
      <c r="S139" s="189"/>
      <c r="T139" s="269" t="str">
        <f>IFERROR(VLOOKUP(S139,'G-1 All Habitats'!$Z$2:$AA$9,2,FALSE),"")</f>
        <v/>
      </c>
      <c r="U139" s="186"/>
      <c r="V139" s="175" t="str">
        <f>IF(U139="","",IF(VLOOKUP(U139,'G-3 Multipliers'!$L$3:$N$6,2,FALSE)=0,"Spatial Data Missing",VLOOKUP(U139,'G-3 Multipliers'!$L$3:$N$6,2,FALSE)))</f>
        <v/>
      </c>
      <c r="W139" s="176" t="str">
        <f>IF(U139="","",IF(VLOOKUP(U139,'G-3 Multipliers'!$L$3:$N$6,3,FALSE)=0,"Spatial Data Missing",VLOOKUP(U139,'G-3 Multipliers'!$L$3:$N$6,3,FALSE)))</f>
        <v/>
      </c>
      <c r="X139" s="171" t="str">
        <f>IFERROR(IF(OR(LEFT(O139,5)="Error",LEFT(N139,5)="Error",T139="Error"),"Check Data",IF(F139&lt;R139,INDEX('G-6 Hedgerow Data'!$S$3:$AE$14,MATCH(C139,'G-6 Hedgerow Data'!$B$3:$B$14,0),MATCH(M139,'G-6 Hedgerow Data'!$S$2:$AE$2,0)),INDEX('G-6 Hedgerow Data'!$K$3:$Q$14,MATCH(M139,'G-6 Hedgerow Data'!$B$3:$B$14,0),MATCH(O139,'G-6 Hedgerow Data'!$K$2:$Q$2,0)))),"")</f>
        <v/>
      </c>
      <c r="Y139" s="261"/>
      <c r="Z139" s="261"/>
      <c r="AA139" s="179" t="str">
        <f t="shared" si="10"/>
        <v/>
      </c>
      <c r="AB139" s="262" t="str">
        <f t="shared" si="11"/>
        <v/>
      </c>
      <c r="AC139" s="263" t="str">
        <f t="shared" si="8"/>
        <v/>
      </c>
      <c r="AD139" s="239" t="str">
        <f>IF(M139="","",VLOOKUP(M139,'G-6 Hedgerow Data'!$B$3:$AG$15,31,FALSE))</f>
        <v/>
      </c>
      <c r="AE139" s="179" t="str">
        <f t="shared" si="12"/>
        <v/>
      </c>
      <c r="AF139" s="179" t="str">
        <f t="shared" si="13"/>
        <v/>
      </c>
      <c r="AG139" s="176" t="str">
        <f>IFERROR(IF(O139="","",VLOOKUP(AD139,'G-3 Multipliers'!$P$3:$Q$6,2,FALSE)),"")</f>
        <v/>
      </c>
      <c r="AH139" s="207" t="str">
        <f t="shared" si="9"/>
        <v/>
      </c>
      <c r="AI139" s="336"/>
      <c r="AJ139" s="181"/>
      <c r="AT139" s="35" t="str">
        <f>IFERROR(INDEX('G-6 Hedgerow Data'!$BJ$3:$BJ$15,MATCH(M139,'G-6 Hedgerow Data'!$B$3:$B$15,0)),"")</f>
        <v/>
      </c>
    </row>
    <row r="140" spans="2:46" ht="13.8" x14ac:dyDescent="0.25">
      <c r="B140" s="259" t="str">
        <f>'B-1 Site Hedge Baseline'!AK138</f>
        <v/>
      </c>
      <c r="C140" s="175" t="str">
        <f>IF(B140="","",IF(ISNA(VLOOKUP($B140,'B-1 Site Hedge Baseline'!$B$1:$L$257,3,FALSE)),"",(VLOOKUP($B140,'B-1 Site Hedge Baseline'!$B$1:$L$257,3,FALSE))))</f>
        <v/>
      </c>
      <c r="D140" s="175" t="str">
        <f>IF(B140="","",IF(ISNA(VLOOKUP($B140,'B-1 Site Hedge Baseline'!$B$1:$L$257,4,FALSE)),"",(VLOOKUP($B140,'B-1 Site Hedge Baseline'!$B$1:$L$257,4,FALSE))))</f>
        <v/>
      </c>
      <c r="E140" s="175" t="str">
        <f>IF(B140="","",IF(ISNA(VLOOKUP($B140,'B-1 Site Hedge Baseline'!$B$1:$L$257,5,FALSE)),"",(VLOOKUP($B140,'B-1 Site Hedge Baseline'!$B$1:$L$257,5,FALSE))))</f>
        <v/>
      </c>
      <c r="F140" s="175" t="str">
        <f>IF(B140="","",IF(ISNA(VLOOKUP($B140,'B-1 Site Hedge Baseline'!$B$1:$L$257,6,FALSE)),"",(VLOOKUP($B140,'B-1 Site Hedge Baseline'!$B$1:$L$257,6,FALSE))))</f>
        <v/>
      </c>
      <c r="G140" s="175" t="str">
        <f>IF(B140="","",IF(ISNA(VLOOKUP($B140,'B-1 Site Hedge Baseline'!$B$1:$L$257,7,FALSE)),"",(VLOOKUP($B140,'B-1 Site Hedge Baseline'!$B$1:$L$257,7,FALSE))))</f>
        <v/>
      </c>
      <c r="H140" s="175" t="str">
        <f>IF(B140="","",IF(ISNA(VLOOKUP($B140,'B-1 Site Hedge Baseline'!$B$1:$L$257,8,FALSE)),"",(VLOOKUP($B140,'B-1 Site Hedge Baseline'!$B$1:$L$257,8,FALSE))))</f>
        <v/>
      </c>
      <c r="I140" s="175" t="str">
        <f>IF(B140="","",IF(ISNA(VLOOKUP($B140,'B-1 Site Hedge Baseline'!$B$1:$L$257,10,FALSE)),"",(VLOOKUP($B140,'B-1 Site Hedge Baseline'!$B$1:$L$257,10,FALSE))))</f>
        <v/>
      </c>
      <c r="J140" s="175" t="str">
        <f>IF(B140="","",IF(ISNA(VLOOKUP($B140,'B-1 Site Hedge Baseline'!$B$1:$L$257,11,FALSE)),"",(VLOOKUP($B140,'B-1 Site Hedge Baseline'!$B$1:$L$257,11,FALSE))))</f>
        <v/>
      </c>
      <c r="K140" s="175" t="str">
        <f>IF(B140="","",IF(ISNA(VLOOKUP($B140,'B-1 Site Hedge Baseline'!$B$1:$U$257,13,FALSE)),"",(VLOOKUP($B140,'B-1 Site Hedge Baseline'!$B$1:$U$257,13,FALSE))))</f>
        <v/>
      </c>
      <c r="L140" s="176" t="str">
        <f>IF(B140="","",IF(ISNA(VLOOKUP($B140,'B-1 Site Hedge Baseline'!$B$1:$U$257,12,FALSE)),"",(VLOOKUP($B140,'B-1 Site Hedge Baseline'!$B$1:$U$257,12,FALSE))))</f>
        <v/>
      </c>
      <c r="M140" s="637"/>
      <c r="N140" s="171" t="str">
        <f>IFERROR(IF(B140="","",INDEX('G-6 Hedgerow Data'!$AN$3:$AZ$15,MATCH(C140,'G-6 Hedgerow Data'!$AM$3:$AM$15,0),MATCH(M140,'G-6 Hedgerow Data'!$AN$2:$AZ$2,0))),"")</f>
        <v/>
      </c>
      <c r="O140" s="172" t="str">
        <f t="shared" ref="O140:O203" si="14">IFERROR(IF(B140="","",IF(AND(LEFT(C140,55)&lt;&gt;LEFT(M140,55),N140="High - High"),"Error - Not like for like",IF(AND(LEFT(C140,55)&lt;&gt;LEFT(M140,55),N140="Medium - Medium"),"Error - Not like for like",IF(H140&gt;T140,"Error - Can not reduce condition",IF(AND(F140=R140,H140=T140),"Error - No enhancement",IF(AND(C140&lt;&gt;M140,F140&lt;R140),"Lower Distinctiveness Habitat"&amp;" - "&amp;S140,G140&amp;" - "&amp;S140)))))),"")</f>
        <v/>
      </c>
      <c r="P140" s="642" t="str">
        <f>IF(B140="","",VLOOKUP(B140,'B-1 Site Hedge Baseline'!$B$10:T385,16,FALSE))</f>
        <v/>
      </c>
      <c r="Q140" s="171" t="str">
        <f>IF(M140="","",VLOOKUP(M140,'G-6 Hedgerow Data'!$B$2:$AG$15,2,FALSE))</f>
        <v/>
      </c>
      <c r="R140" s="172" t="str">
        <f>IF(M140="","",VLOOKUP(M140,'G-6 Hedgerow Data'!$B$2:$AG$15,3,FALSE))</f>
        <v/>
      </c>
      <c r="S140" s="189"/>
      <c r="T140" s="269" t="str">
        <f>IFERROR(VLOOKUP(S140,'G-1 All Habitats'!$Z$2:$AA$9,2,FALSE),"")</f>
        <v/>
      </c>
      <c r="U140" s="186"/>
      <c r="V140" s="175" t="str">
        <f>IF(U140="","",IF(VLOOKUP(U140,'G-3 Multipliers'!$L$3:$N$6,2,FALSE)=0,"Spatial Data Missing",VLOOKUP(U140,'G-3 Multipliers'!$L$3:$N$6,2,FALSE)))</f>
        <v/>
      </c>
      <c r="W140" s="176" t="str">
        <f>IF(U140="","",IF(VLOOKUP(U140,'G-3 Multipliers'!$L$3:$N$6,3,FALSE)=0,"Spatial Data Missing",VLOOKUP(U140,'G-3 Multipliers'!$L$3:$N$6,3,FALSE)))</f>
        <v/>
      </c>
      <c r="X140" s="171" t="str">
        <f>IFERROR(IF(OR(LEFT(O140,5)="Error",LEFT(N140,5)="Error",T140="Error"),"Check Data",IF(F140&lt;R140,INDEX('G-6 Hedgerow Data'!$S$3:$AE$14,MATCH(C140,'G-6 Hedgerow Data'!$B$3:$B$14,0),MATCH(M140,'G-6 Hedgerow Data'!$S$2:$AE$2,0)),INDEX('G-6 Hedgerow Data'!$K$3:$Q$14,MATCH(M140,'G-6 Hedgerow Data'!$B$3:$B$14,0),MATCH(O140,'G-6 Hedgerow Data'!$K$2:$Q$2,0)))),"")</f>
        <v/>
      </c>
      <c r="Y140" s="261"/>
      <c r="Z140" s="261"/>
      <c r="AA140" s="179" t="str">
        <f t="shared" si="10"/>
        <v/>
      </c>
      <c r="AB140" s="262" t="str">
        <f t="shared" si="11"/>
        <v/>
      </c>
      <c r="AC140" s="263" t="str">
        <f t="shared" ref="AC140:AC203" si="15">IF(OR(S140="",M140=""),"",IF(LEFT(AB140,5)="Error","Check Data",IF(AB140="Check Data","Check Data",VLOOKUP(AB140,TemporalMultipliers,3,FALSE))))</f>
        <v/>
      </c>
      <c r="AD140" s="239" t="str">
        <f>IF(M140="","",VLOOKUP(M140,'G-6 Hedgerow Data'!$B$3:$AG$15,31,FALSE))</f>
        <v/>
      </c>
      <c r="AE140" s="179" t="str">
        <f t="shared" si="12"/>
        <v/>
      </c>
      <c r="AF140" s="179" t="str">
        <f t="shared" si="13"/>
        <v/>
      </c>
      <c r="AG140" s="176" t="str">
        <f>IFERROR(IF(O140="","",VLOOKUP(AD140,'G-3 Multipliers'!$P$3:$Q$6,2,FALSE)),"")</f>
        <v/>
      </c>
      <c r="AH140" s="207" t="str">
        <f t="shared" ref="AH140:AH203" si="16">IFERROR(IF(OR(M140="",S140="",U140=""),"",(((((P140*R140*T140)-(P140*F140*H140))*(AG140*AC140))+(P140*F140*H140))*(W140))),"")</f>
        <v/>
      </c>
      <c r="AI140" s="336"/>
      <c r="AJ140" s="181"/>
      <c r="AT140" s="35" t="str">
        <f>IFERROR(INDEX('G-6 Hedgerow Data'!$BJ$3:$BJ$15,MATCH(M140,'G-6 Hedgerow Data'!$B$3:$B$15,0)),"")</f>
        <v/>
      </c>
    </row>
    <row r="141" spans="2:46" ht="13.8" x14ac:dyDescent="0.25">
      <c r="B141" s="259" t="str">
        <f>'B-1 Site Hedge Baseline'!AK139</f>
        <v/>
      </c>
      <c r="C141" s="175" t="str">
        <f>IF(B141="","",IF(ISNA(VLOOKUP($B141,'B-1 Site Hedge Baseline'!$B$1:$L$257,3,FALSE)),"",(VLOOKUP($B141,'B-1 Site Hedge Baseline'!$B$1:$L$257,3,FALSE))))</f>
        <v/>
      </c>
      <c r="D141" s="175" t="str">
        <f>IF(B141="","",IF(ISNA(VLOOKUP($B141,'B-1 Site Hedge Baseline'!$B$1:$L$257,4,FALSE)),"",(VLOOKUP($B141,'B-1 Site Hedge Baseline'!$B$1:$L$257,4,FALSE))))</f>
        <v/>
      </c>
      <c r="E141" s="175" t="str">
        <f>IF(B141="","",IF(ISNA(VLOOKUP($B141,'B-1 Site Hedge Baseline'!$B$1:$L$257,5,FALSE)),"",(VLOOKUP($B141,'B-1 Site Hedge Baseline'!$B$1:$L$257,5,FALSE))))</f>
        <v/>
      </c>
      <c r="F141" s="175" t="str">
        <f>IF(B141="","",IF(ISNA(VLOOKUP($B141,'B-1 Site Hedge Baseline'!$B$1:$L$257,6,FALSE)),"",(VLOOKUP($B141,'B-1 Site Hedge Baseline'!$B$1:$L$257,6,FALSE))))</f>
        <v/>
      </c>
      <c r="G141" s="175" t="str">
        <f>IF(B141="","",IF(ISNA(VLOOKUP($B141,'B-1 Site Hedge Baseline'!$B$1:$L$257,7,FALSE)),"",(VLOOKUP($B141,'B-1 Site Hedge Baseline'!$B$1:$L$257,7,FALSE))))</f>
        <v/>
      </c>
      <c r="H141" s="175" t="str">
        <f>IF(B141="","",IF(ISNA(VLOOKUP($B141,'B-1 Site Hedge Baseline'!$B$1:$L$257,8,FALSE)),"",(VLOOKUP($B141,'B-1 Site Hedge Baseline'!$B$1:$L$257,8,FALSE))))</f>
        <v/>
      </c>
      <c r="I141" s="175" t="str">
        <f>IF(B141="","",IF(ISNA(VLOOKUP($B141,'B-1 Site Hedge Baseline'!$B$1:$L$257,10,FALSE)),"",(VLOOKUP($B141,'B-1 Site Hedge Baseline'!$B$1:$L$257,10,FALSE))))</f>
        <v/>
      </c>
      <c r="J141" s="175" t="str">
        <f>IF(B141="","",IF(ISNA(VLOOKUP($B141,'B-1 Site Hedge Baseline'!$B$1:$L$257,11,FALSE)),"",(VLOOKUP($B141,'B-1 Site Hedge Baseline'!$B$1:$L$257,11,FALSE))))</f>
        <v/>
      </c>
      <c r="K141" s="175" t="str">
        <f>IF(B141="","",IF(ISNA(VLOOKUP($B141,'B-1 Site Hedge Baseline'!$B$1:$U$257,13,FALSE)),"",(VLOOKUP($B141,'B-1 Site Hedge Baseline'!$B$1:$U$257,13,FALSE))))</f>
        <v/>
      </c>
      <c r="L141" s="176" t="str">
        <f>IF(B141="","",IF(ISNA(VLOOKUP($B141,'B-1 Site Hedge Baseline'!$B$1:$U$257,12,FALSE)),"",(VLOOKUP($B141,'B-1 Site Hedge Baseline'!$B$1:$U$257,12,FALSE))))</f>
        <v/>
      </c>
      <c r="M141" s="637"/>
      <c r="N141" s="171" t="str">
        <f>IFERROR(IF(B141="","",INDEX('G-6 Hedgerow Data'!$AN$3:$AZ$15,MATCH(C141,'G-6 Hedgerow Data'!$AM$3:$AM$15,0),MATCH(M141,'G-6 Hedgerow Data'!$AN$2:$AZ$2,0))),"")</f>
        <v/>
      </c>
      <c r="O141" s="172" t="str">
        <f t="shared" si="14"/>
        <v/>
      </c>
      <c r="P141" s="642" t="str">
        <f>IF(B141="","",VLOOKUP(B141,'B-1 Site Hedge Baseline'!$B$10:T386,16,FALSE))</f>
        <v/>
      </c>
      <c r="Q141" s="171" t="str">
        <f>IF(M141="","",VLOOKUP(M141,'G-6 Hedgerow Data'!$B$2:$AG$15,2,FALSE))</f>
        <v/>
      </c>
      <c r="R141" s="172" t="str">
        <f>IF(M141="","",VLOOKUP(M141,'G-6 Hedgerow Data'!$B$2:$AG$15,3,FALSE))</f>
        <v/>
      </c>
      <c r="S141" s="189"/>
      <c r="T141" s="269" t="str">
        <f>IFERROR(VLOOKUP(S141,'G-1 All Habitats'!$Z$2:$AA$9,2,FALSE),"")</f>
        <v/>
      </c>
      <c r="U141" s="186"/>
      <c r="V141" s="175" t="str">
        <f>IF(U141="","",IF(VLOOKUP(U141,'G-3 Multipliers'!$L$3:$N$6,2,FALSE)=0,"Spatial Data Missing",VLOOKUP(U141,'G-3 Multipliers'!$L$3:$N$6,2,FALSE)))</f>
        <v/>
      </c>
      <c r="W141" s="176" t="str">
        <f>IF(U141="","",IF(VLOOKUP(U141,'G-3 Multipliers'!$L$3:$N$6,3,FALSE)=0,"Spatial Data Missing",VLOOKUP(U141,'G-3 Multipliers'!$L$3:$N$6,3,FALSE)))</f>
        <v/>
      </c>
      <c r="X141" s="171" t="str">
        <f>IFERROR(IF(OR(LEFT(O141,5)="Error",LEFT(N141,5)="Error",T141="Error"),"Check Data",IF(F141&lt;R141,INDEX('G-6 Hedgerow Data'!$S$3:$AE$14,MATCH(C141,'G-6 Hedgerow Data'!$B$3:$B$14,0),MATCH(M141,'G-6 Hedgerow Data'!$S$2:$AE$2,0)),INDEX('G-6 Hedgerow Data'!$K$3:$Q$14,MATCH(M141,'G-6 Hedgerow Data'!$B$3:$B$14,0),MATCH(O141,'G-6 Hedgerow Data'!$K$2:$Q$2,0)))),"")</f>
        <v/>
      </c>
      <c r="Y141" s="261"/>
      <c r="Z141" s="261"/>
      <c r="AA141" s="179" t="str">
        <f t="shared" ref="AA141:AA204" si="17">IF(X141="Check Data","Check Data",IF(M141="","",IF(AND(Y141&gt;0,Z141&gt;0),"Error -both advance and delayed habitat creation",IF(AND(OR(Y141="Habitat already in target condition",X141&lt;=Y141),Z141=0),"Check details - Is there evidence that habitat has reached target condition?",IF(X141="","",IF(Y141&gt;0,"Check details - Is there evidence habitat creation started/in place?",IF(Z141&gt;0,"Check details- Delay in starting habitat in required condition?","Standard time to target condition applied")))))))</f>
        <v/>
      </c>
      <c r="AB141" s="262" t="str">
        <f t="shared" ref="AB141:AB204" si="18">IF(X141="","",IF(AA141="Check Data","Check Data",IF(Y141="30+",0,IF(Z141="30+","30+",IF(X141+Z141&gt;30,"30+",IF(LEFT(AA141,5)="Error","Check Data",IF(X141+Z141-Y141&gt;0,X141+Z141-Y141,IF(X141-Y141&lt;=0,0,))))))))</f>
        <v/>
      </c>
      <c r="AC141" s="263" t="str">
        <f t="shared" si="15"/>
        <v/>
      </c>
      <c r="AD141" s="239" t="str">
        <f>IF(M141="","",VLOOKUP(M141,'G-6 Hedgerow Data'!$B$3:$AG$15,31,FALSE))</f>
        <v/>
      </c>
      <c r="AE141" s="179" t="str">
        <f t="shared" ref="AE141:AE204" si="19">IF(M141="","",IF(OR(LEFT(AA141,5)="Error",AA141="Check Data"),"Check Data",IF(X141="","",IF($AA141="Check details - Is there evidence that habitat has reached target condition?","Low Difficulty - only applicable if all habitat created before losses","Standard difficulty applied"))))</f>
        <v/>
      </c>
      <c r="AF141" s="179" t="str">
        <f t="shared" ref="AF141:AF204" si="20">(IF(AND(AE141="Standard difficulty applied",X141&gt;Y141),AD141,IF(AND(AE141="Low Difficulty - only applicable if all habitat created before losses",Y141&gt;=X141),"Low",AD141)))</f>
        <v/>
      </c>
      <c r="AG141" s="176" t="str">
        <f>IFERROR(IF(O141="","",VLOOKUP(AD141,'G-3 Multipliers'!$P$3:$Q$6,2,FALSE)),"")</f>
        <v/>
      </c>
      <c r="AH141" s="207" t="str">
        <f t="shared" si="16"/>
        <v/>
      </c>
      <c r="AI141" s="336"/>
      <c r="AJ141" s="181"/>
      <c r="AT141" s="35" t="str">
        <f>IFERROR(INDEX('G-6 Hedgerow Data'!$BJ$3:$BJ$15,MATCH(M141,'G-6 Hedgerow Data'!$B$3:$B$15,0)),"")</f>
        <v/>
      </c>
    </row>
    <row r="142" spans="2:46" ht="13.8" x14ac:dyDescent="0.25">
      <c r="B142" s="259" t="str">
        <f>'B-1 Site Hedge Baseline'!AK140</f>
        <v/>
      </c>
      <c r="C142" s="175" t="str">
        <f>IF(B142="","",IF(ISNA(VLOOKUP($B142,'B-1 Site Hedge Baseline'!$B$1:$L$257,3,FALSE)),"",(VLOOKUP($B142,'B-1 Site Hedge Baseline'!$B$1:$L$257,3,FALSE))))</f>
        <v/>
      </c>
      <c r="D142" s="175" t="str">
        <f>IF(B142="","",IF(ISNA(VLOOKUP($B142,'B-1 Site Hedge Baseline'!$B$1:$L$257,4,FALSE)),"",(VLOOKUP($B142,'B-1 Site Hedge Baseline'!$B$1:$L$257,4,FALSE))))</f>
        <v/>
      </c>
      <c r="E142" s="175" t="str">
        <f>IF(B142="","",IF(ISNA(VLOOKUP($B142,'B-1 Site Hedge Baseline'!$B$1:$L$257,5,FALSE)),"",(VLOOKUP($B142,'B-1 Site Hedge Baseline'!$B$1:$L$257,5,FALSE))))</f>
        <v/>
      </c>
      <c r="F142" s="175" t="str">
        <f>IF(B142="","",IF(ISNA(VLOOKUP($B142,'B-1 Site Hedge Baseline'!$B$1:$L$257,6,FALSE)),"",(VLOOKUP($B142,'B-1 Site Hedge Baseline'!$B$1:$L$257,6,FALSE))))</f>
        <v/>
      </c>
      <c r="G142" s="175" t="str">
        <f>IF(B142="","",IF(ISNA(VLOOKUP($B142,'B-1 Site Hedge Baseline'!$B$1:$L$257,7,FALSE)),"",(VLOOKUP($B142,'B-1 Site Hedge Baseline'!$B$1:$L$257,7,FALSE))))</f>
        <v/>
      </c>
      <c r="H142" s="175" t="str">
        <f>IF(B142="","",IF(ISNA(VLOOKUP($B142,'B-1 Site Hedge Baseline'!$B$1:$L$257,8,FALSE)),"",(VLOOKUP($B142,'B-1 Site Hedge Baseline'!$B$1:$L$257,8,FALSE))))</f>
        <v/>
      </c>
      <c r="I142" s="175" t="str">
        <f>IF(B142="","",IF(ISNA(VLOOKUP($B142,'B-1 Site Hedge Baseline'!$B$1:$L$257,10,FALSE)),"",(VLOOKUP($B142,'B-1 Site Hedge Baseline'!$B$1:$L$257,10,FALSE))))</f>
        <v/>
      </c>
      <c r="J142" s="175" t="str">
        <f>IF(B142="","",IF(ISNA(VLOOKUP($B142,'B-1 Site Hedge Baseline'!$B$1:$L$257,11,FALSE)),"",(VLOOKUP($B142,'B-1 Site Hedge Baseline'!$B$1:$L$257,11,FALSE))))</f>
        <v/>
      </c>
      <c r="K142" s="175" t="str">
        <f>IF(B142="","",IF(ISNA(VLOOKUP($B142,'B-1 Site Hedge Baseline'!$B$1:$U$257,13,FALSE)),"",(VLOOKUP($B142,'B-1 Site Hedge Baseline'!$B$1:$U$257,13,FALSE))))</f>
        <v/>
      </c>
      <c r="L142" s="176" t="str">
        <f>IF(B142="","",IF(ISNA(VLOOKUP($B142,'B-1 Site Hedge Baseline'!$B$1:$U$257,12,FALSE)),"",(VLOOKUP($B142,'B-1 Site Hedge Baseline'!$B$1:$U$257,12,FALSE))))</f>
        <v/>
      </c>
      <c r="M142" s="637"/>
      <c r="N142" s="171" t="str">
        <f>IFERROR(IF(B142="","",INDEX('G-6 Hedgerow Data'!$AN$3:$AZ$15,MATCH(C142,'G-6 Hedgerow Data'!$AM$3:$AM$15,0),MATCH(M142,'G-6 Hedgerow Data'!$AN$2:$AZ$2,0))),"")</f>
        <v/>
      </c>
      <c r="O142" s="172" t="str">
        <f t="shared" si="14"/>
        <v/>
      </c>
      <c r="P142" s="642" t="str">
        <f>IF(B142="","",VLOOKUP(B142,'B-1 Site Hedge Baseline'!$B$10:T387,16,FALSE))</f>
        <v/>
      </c>
      <c r="Q142" s="171" t="str">
        <f>IF(M142="","",VLOOKUP(M142,'G-6 Hedgerow Data'!$B$2:$AG$15,2,FALSE))</f>
        <v/>
      </c>
      <c r="R142" s="172" t="str">
        <f>IF(M142="","",VLOOKUP(M142,'G-6 Hedgerow Data'!$B$2:$AG$15,3,FALSE))</f>
        <v/>
      </c>
      <c r="S142" s="189"/>
      <c r="T142" s="269" t="str">
        <f>IFERROR(VLOOKUP(S142,'G-1 All Habitats'!$Z$2:$AA$9,2,FALSE),"")</f>
        <v/>
      </c>
      <c r="U142" s="186"/>
      <c r="V142" s="175" t="str">
        <f>IF(U142="","",IF(VLOOKUP(U142,'G-3 Multipliers'!$L$3:$N$6,2,FALSE)=0,"Spatial Data Missing",VLOOKUP(U142,'G-3 Multipliers'!$L$3:$N$6,2,FALSE)))</f>
        <v/>
      </c>
      <c r="W142" s="176" t="str">
        <f>IF(U142="","",IF(VLOOKUP(U142,'G-3 Multipliers'!$L$3:$N$6,3,FALSE)=0,"Spatial Data Missing",VLOOKUP(U142,'G-3 Multipliers'!$L$3:$N$6,3,FALSE)))</f>
        <v/>
      </c>
      <c r="X142" s="171" t="str">
        <f>IFERROR(IF(OR(LEFT(O142,5)="Error",LEFT(N142,5)="Error",T142="Error"),"Check Data",IF(F142&lt;R142,INDEX('G-6 Hedgerow Data'!$S$3:$AE$14,MATCH(C142,'G-6 Hedgerow Data'!$B$3:$B$14,0),MATCH(M142,'G-6 Hedgerow Data'!$S$2:$AE$2,0)),INDEX('G-6 Hedgerow Data'!$K$3:$Q$14,MATCH(M142,'G-6 Hedgerow Data'!$B$3:$B$14,0),MATCH(O142,'G-6 Hedgerow Data'!$K$2:$Q$2,0)))),"")</f>
        <v/>
      </c>
      <c r="Y142" s="261"/>
      <c r="Z142" s="261"/>
      <c r="AA142" s="179" t="str">
        <f t="shared" si="17"/>
        <v/>
      </c>
      <c r="AB142" s="262" t="str">
        <f t="shared" si="18"/>
        <v/>
      </c>
      <c r="AC142" s="263" t="str">
        <f t="shared" si="15"/>
        <v/>
      </c>
      <c r="AD142" s="239" t="str">
        <f>IF(M142="","",VLOOKUP(M142,'G-6 Hedgerow Data'!$B$3:$AG$15,31,FALSE))</f>
        <v/>
      </c>
      <c r="AE142" s="179" t="str">
        <f t="shared" si="19"/>
        <v/>
      </c>
      <c r="AF142" s="179" t="str">
        <f t="shared" si="20"/>
        <v/>
      </c>
      <c r="AG142" s="176" t="str">
        <f>IFERROR(IF(O142="","",VLOOKUP(AD142,'G-3 Multipliers'!$P$3:$Q$6,2,FALSE)),"")</f>
        <v/>
      </c>
      <c r="AH142" s="207" t="str">
        <f t="shared" si="16"/>
        <v/>
      </c>
      <c r="AI142" s="336"/>
      <c r="AJ142" s="181"/>
      <c r="AT142" s="35" t="str">
        <f>IFERROR(INDEX('G-6 Hedgerow Data'!$BJ$3:$BJ$15,MATCH(M142,'G-6 Hedgerow Data'!$B$3:$B$15,0)),"")</f>
        <v/>
      </c>
    </row>
    <row r="143" spans="2:46" ht="13.8" x14ac:dyDescent="0.25">
      <c r="B143" s="259" t="str">
        <f>'B-1 Site Hedge Baseline'!AK141</f>
        <v/>
      </c>
      <c r="C143" s="175" t="str">
        <f>IF(B143="","",IF(ISNA(VLOOKUP($B143,'B-1 Site Hedge Baseline'!$B$1:$L$257,3,FALSE)),"",(VLOOKUP($B143,'B-1 Site Hedge Baseline'!$B$1:$L$257,3,FALSE))))</f>
        <v/>
      </c>
      <c r="D143" s="175" t="str">
        <f>IF(B143="","",IF(ISNA(VLOOKUP($B143,'B-1 Site Hedge Baseline'!$B$1:$L$257,4,FALSE)),"",(VLOOKUP($B143,'B-1 Site Hedge Baseline'!$B$1:$L$257,4,FALSE))))</f>
        <v/>
      </c>
      <c r="E143" s="175" t="str">
        <f>IF(B143="","",IF(ISNA(VLOOKUP($B143,'B-1 Site Hedge Baseline'!$B$1:$L$257,5,FALSE)),"",(VLOOKUP($B143,'B-1 Site Hedge Baseline'!$B$1:$L$257,5,FALSE))))</f>
        <v/>
      </c>
      <c r="F143" s="175" t="str">
        <f>IF(B143="","",IF(ISNA(VLOOKUP($B143,'B-1 Site Hedge Baseline'!$B$1:$L$257,6,FALSE)),"",(VLOOKUP($B143,'B-1 Site Hedge Baseline'!$B$1:$L$257,6,FALSE))))</f>
        <v/>
      </c>
      <c r="G143" s="175" t="str">
        <f>IF(B143="","",IF(ISNA(VLOOKUP($B143,'B-1 Site Hedge Baseline'!$B$1:$L$257,7,FALSE)),"",(VLOOKUP($B143,'B-1 Site Hedge Baseline'!$B$1:$L$257,7,FALSE))))</f>
        <v/>
      </c>
      <c r="H143" s="175" t="str">
        <f>IF(B143="","",IF(ISNA(VLOOKUP($B143,'B-1 Site Hedge Baseline'!$B$1:$L$257,8,FALSE)),"",(VLOOKUP($B143,'B-1 Site Hedge Baseline'!$B$1:$L$257,8,FALSE))))</f>
        <v/>
      </c>
      <c r="I143" s="175" t="str">
        <f>IF(B143="","",IF(ISNA(VLOOKUP($B143,'B-1 Site Hedge Baseline'!$B$1:$L$257,10,FALSE)),"",(VLOOKUP($B143,'B-1 Site Hedge Baseline'!$B$1:$L$257,10,FALSE))))</f>
        <v/>
      </c>
      <c r="J143" s="175" t="str">
        <f>IF(B143="","",IF(ISNA(VLOOKUP($B143,'B-1 Site Hedge Baseline'!$B$1:$L$257,11,FALSE)),"",(VLOOKUP($B143,'B-1 Site Hedge Baseline'!$B$1:$L$257,11,FALSE))))</f>
        <v/>
      </c>
      <c r="K143" s="175" t="str">
        <f>IF(B143="","",IF(ISNA(VLOOKUP($B143,'B-1 Site Hedge Baseline'!$B$1:$U$257,13,FALSE)),"",(VLOOKUP($B143,'B-1 Site Hedge Baseline'!$B$1:$U$257,13,FALSE))))</f>
        <v/>
      </c>
      <c r="L143" s="176" t="str">
        <f>IF(B143="","",IF(ISNA(VLOOKUP($B143,'B-1 Site Hedge Baseline'!$B$1:$U$257,12,FALSE)),"",(VLOOKUP($B143,'B-1 Site Hedge Baseline'!$B$1:$U$257,12,FALSE))))</f>
        <v/>
      </c>
      <c r="M143" s="637"/>
      <c r="N143" s="171" t="str">
        <f>IFERROR(IF(B143="","",INDEX('G-6 Hedgerow Data'!$AN$3:$AZ$15,MATCH(C143,'G-6 Hedgerow Data'!$AM$3:$AM$15,0),MATCH(M143,'G-6 Hedgerow Data'!$AN$2:$AZ$2,0))),"")</f>
        <v/>
      </c>
      <c r="O143" s="172" t="str">
        <f t="shared" si="14"/>
        <v/>
      </c>
      <c r="P143" s="642" t="str">
        <f>IF(B143="","",VLOOKUP(B143,'B-1 Site Hedge Baseline'!$B$10:T388,16,FALSE))</f>
        <v/>
      </c>
      <c r="Q143" s="171" t="str">
        <f>IF(M143="","",VLOOKUP(M143,'G-6 Hedgerow Data'!$B$2:$AG$15,2,FALSE))</f>
        <v/>
      </c>
      <c r="R143" s="172" t="str">
        <f>IF(M143="","",VLOOKUP(M143,'G-6 Hedgerow Data'!$B$2:$AG$15,3,FALSE))</f>
        <v/>
      </c>
      <c r="S143" s="189"/>
      <c r="T143" s="269" t="str">
        <f>IFERROR(VLOOKUP(S143,'G-1 All Habitats'!$Z$2:$AA$9,2,FALSE),"")</f>
        <v/>
      </c>
      <c r="U143" s="186"/>
      <c r="V143" s="175" t="str">
        <f>IF(U143="","",IF(VLOOKUP(U143,'G-3 Multipliers'!$L$3:$N$6,2,FALSE)=0,"Spatial Data Missing",VLOOKUP(U143,'G-3 Multipliers'!$L$3:$N$6,2,FALSE)))</f>
        <v/>
      </c>
      <c r="W143" s="176" t="str">
        <f>IF(U143="","",IF(VLOOKUP(U143,'G-3 Multipliers'!$L$3:$N$6,3,FALSE)=0,"Spatial Data Missing",VLOOKUP(U143,'G-3 Multipliers'!$L$3:$N$6,3,FALSE)))</f>
        <v/>
      </c>
      <c r="X143" s="171" t="str">
        <f>IFERROR(IF(OR(LEFT(O143,5)="Error",LEFT(N143,5)="Error",T143="Error"),"Check Data",IF(F143&lt;R143,INDEX('G-6 Hedgerow Data'!$S$3:$AE$14,MATCH(C143,'G-6 Hedgerow Data'!$B$3:$B$14,0),MATCH(M143,'G-6 Hedgerow Data'!$S$2:$AE$2,0)),INDEX('G-6 Hedgerow Data'!$K$3:$Q$14,MATCH(M143,'G-6 Hedgerow Data'!$B$3:$B$14,0),MATCH(O143,'G-6 Hedgerow Data'!$K$2:$Q$2,0)))),"")</f>
        <v/>
      </c>
      <c r="Y143" s="261"/>
      <c r="Z143" s="261"/>
      <c r="AA143" s="179" t="str">
        <f t="shared" si="17"/>
        <v/>
      </c>
      <c r="AB143" s="262" t="str">
        <f t="shared" si="18"/>
        <v/>
      </c>
      <c r="AC143" s="263" t="str">
        <f t="shared" si="15"/>
        <v/>
      </c>
      <c r="AD143" s="239" t="str">
        <f>IF(M143="","",VLOOKUP(M143,'G-6 Hedgerow Data'!$B$3:$AG$15,31,FALSE))</f>
        <v/>
      </c>
      <c r="AE143" s="179" t="str">
        <f t="shared" si="19"/>
        <v/>
      </c>
      <c r="AF143" s="179" t="str">
        <f t="shared" si="20"/>
        <v/>
      </c>
      <c r="AG143" s="176" t="str">
        <f>IFERROR(IF(O143="","",VLOOKUP(AD143,'G-3 Multipliers'!$P$3:$Q$6,2,FALSE)),"")</f>
        <v/>
      </c>
      <c r="AH143" s="207" t="str">
        <f t="shared" si="16"/>
        <v/>
      </c>
      <c r="AI143" s="336"/>
      <c r="AJ143" s="181"/>
      <c r="AT143" s="35" t="str">
        <f>IFERROR(INDEX('G-6 Hedgerow Data'!$BJ$3:$BJ$15,MATCH(M143,'G-6 Hedgerow Data'!$B$3:$B$15,0)),"")</f>
        <v/>
      </c>
    </row>
    <row r="144" spans="2:46" ht="13.8" x14ac:dyDescent="0.25">
      <c r="B144" s="259" t="str">
        <f>'B-1 Site Hedge Baseline'!AK142</f>
        <v/>
      </c>
      <c r="C144" s="175" t="str">
        <f>IF(B144="","",IF(ISNA(VLOOKUP($B144,'B-1 Site Hedge Baseline'!$B$1:$L$257,3,FALSE)),"",(VLOOKUP($B144,'B-1 Site Hedge Baseline'!$B$1:$L$257,3,FALSE))))</f>
        <v/>
      </c>
      <c r="D144" s="175" t="str">
        <f>IF(B144="","",IF(ISNA(VLOOKUP($B144,'B-1 Site Hedge Baseline'!$B$1:$L$257,4,FALSE)),"",(VLOOKUP($B144,'B-1 Site Hedge Baseline'!$B$1:$L$257,4,FALSE))))</f>
        <v/>
      </c>
      <c r="E144" s="175" t="str">
        <f>IF(B144="","",IF(ISNA(VLOOKUP($B144,'B-1 Site Hedge Baseline'!$B$1:$L$257,5,FALSE)),"",(VLOOKUP($B144,'B-1 Site Hedge Baseline'!$B$1:$L$257,5,FALSE))))</f>
        <v/>
      </c>
      <c r="F144" s="175" t="str">
        <f>IF(B144="","",IF(ISNA(VLOOKUP($B144,'B-1 Site Hedge Baseline'!$B$1:$L$257,6,FALSE)),"",(VLOOKUP($B144,'B-1 Site Hedge Baseline'!$B$1:$L$257,6,FALSE))))</f>
        <v/>
      </c>
      <c r="G144" s="175" t="str">
        <f>IF(B144="","",IF(ISNA(VLOOKUP($B144,'B-1 Site Hedge Baseline'!$B$1:$L$257,7,FALSE)),"",(VLOOKUP($B144,'B-1 Site Hedge Baseline'!$B$1:$L$257,7,FALSE))))</f>
        <v/>
      </c>
      <c r="H144" s="175" t="str">
        <f>IF(B144="","",IF(ISNA(VLOOKUP($B144,'B-1 Site Hedge Baseline'!$B$1:$L$257,8,FALSE)),"",(VLOOKUP($B144,'B-1 Site Hedge Baseline'!$B$1:$L$257,8,FALSE))))</f>
        <v/>
      </c>
      <c r="I144" s="175" t="str">
        <f>IF(B144="","",IF(ISNA(VLOOKUP($B144,'B-1 Site Hedge Baseline'!$B$1:$L$257,10,FALSE)),"",(VLOOKUP($B144,'B-1 Site Hedge Baseline'!$B$1:$L$257,10,FALSE))))</f>
        <v/>
      </c>
      <c r="J144" s="175" t="str">
        <f>IF(B144="","",IF(ISNA(VLOOKUP($B144,'B-1 Site Hedge Baseline'!$B$1:$L$257,11,FALSE)),"",(VLOOKUP($B144,'B-1 Site Hedge Baseline'!$B$1:$L$257,11,FALSE))))</f>
        <v/>
      </c>
      <c r="K144" s="175" t="str">
        <f>IF(B144="","",IF(ISNA(VLOOKUP($B144,'B-1 Site Hedge Baseline'!$B$1:$U$257,13,FALSE)),"",(VLOOKUP($B144,'B-1 Site Hedge Baseline'!$B$1:$U$257,13,FALSE))))</f>
        <v/>
      </c>
      <c r="L144" s="176" t="str">
        <f>IF(B144="","",IF(ISNA(VLOOKUP($B144,'B-1 Site Hedge Baseline'!$B$1:$U$257,12,FALSE)),"",(VLOOKUP($B144,'B-1 Site Hedge Baseline'!$B$1:$U$257,12,FALSE))))</f>
        <v/>
      </c>
      <c r="M144" s="637"/>
      <c r="N144" s="171" t="str">
        <f>IFERROR(IF(B144="","",INDEX('G-6 Hedgerow Data'!$AN$3:$AZ$15,MATCH(C144,'G-6 Hedgerow Data'!$AM$3:$AM$15,0),MATCH(M144,'G-6 Hedgerow Data'!$AN$2:$AZ$2,0))),"")</f>
        <v/>
      </c>
      <c r="O144" s="172" t="str">
        <f t="shared" si="14"/>
        <v/>
      </c>
      <c r="P144" s="642" t="str">
        <f>IF(B144="","",VLOOKUP(B144,'B-1 Site Hedge Baseline'!$B$10:T389,16,FALSE))</f>
        <v/>
      </c>
      <c r="Q144" s="171" t="str">
        <f>IF(M144="","",VLOOKUP(M144,'G-6 Hedgerow Data'!$B$2:$AG$15,2,FALSE))</f>
        <v/>
      </c>
      <c r="R144" s="172" t="str">
        <f>IF(M144="","",VLOOKUP(M144,'G-6 Hedgerow Data'!$B$2:$AG$15,3,FALSE))</f>
        <v/>
      </c>
      <c r="S144" s="189"/>
      <c r="T144" s="269" t="str">
        <f>IFERROR(VLOOKUP(S144,'G-1 All Habitats'!$Z$2:$AA$9,2,FALSE),"")</f>
        <v/>
      </c>
      <c r="U144" s="186"/>
      <c r="V144" s="175" t="str">
        <f>IF(U144="","",IF(VLOOKUP(U144,'G-3 Multipliers'!$L$3:$N$6,2,FALSE)=0,"Spatial Data Missing",VLOOKUP(U144,'G-3 Multipliers'!$L$3:$N$6,2,FALSE)))</f>
        <v/>
      </c>
      <c r="W144" s="176" t="str">
        <f>IF(U144="","",IF(VLOOKUP(U144,'G-3 Multipliers'!$L$3:$N$6,3,FALSE)=0,"Spatial Data Missing",VLOOKUP(U144,'G-3 Multipliers'!$L$3:$N$6,3,FALSE)))</f>
        <v/>
      </c>
      <c r="X144" s="171" t="str">
        <f>IFERROR(IF(OR(LEFT(O144,5)="Error",LEFT(N144,5)="Error",T144="Error"),"Check Data",IF(F144&lt;R144,INDEX('G-6 Hedgerow Data'!$S$3:$AE$14,MATCH(C144,'G-6 Hedgerow Data'!$B$3:$B$14,0),MATCH(M144,'G-6 Hedgerow Data'!$S$2:$AE$2,0)),INDEX('G-6 Hedgerow Data'!$K$3:$Q$14,MATCH(M144,'G-6 Hedgerow Data'!$B$3:$B$14,0),MATCH(O144,'G-6 Hedgerow Data'!$K$2:$Q$2,0)))),"")</f>
        <v/>
      </c>
      <c r="Y144" s="261"/>
      <c r="Z144" s="261"/>
      <c r="AA144" s="179" t="str">
        <f t="shared" si="17"/>
        <v/>
      </c>
      <c r="AB144" s="262" t="str">
        <f t="shared" si="18"/>
        <v/>
      </c>
      <c r="AC144" s="263" t="str">
        <f t="shared" si="15"/>
        <v/>
      </c>
      <c r="AD144" s="239" t="str">
        <f>IF(M144="","",VLOOKUP(M144,'G-6 Hedgerow Data'!$B$3:$AG$15,31,FALSE))</f>
        <v/>
      </c>
      <c r="AE144" s="179" t="str">
        <f t="shared" si="19"/>
        <v/>
      </c>
      <c r="AF144" s="179" t="str">
        <f t="shared" si="20"/>
        <v/>
      </c>
      <c r="AG144" s="176" t="str">
        <f>IFERROR(IF(O144="","",VLOOKUP(AD144,'G-3 Multipliers'!$P$3:$Q$6,2,FALSE)),"")</f>
        <v/>
      </c>
      <c r="AH144" s="207" t="str">
        <f t="shared" si="16"/>
        <v/>
      </c>
      <c r="AI144" s="336"/>
      <c r="AJ144" s="181"/>
      <c r="AT144" s="35" t="str">
        <f>IFERROR(INDEX('G-6 Hedgerow Data'!$BJ$3:$BJ$15,MATCH(M144,'G-6 Hedgerow Data'!$B$3:$B$15,0)),"")</f>
        <v/>
      </c>
    </row>
    <row r="145" spans="2:46" ht="13.8" x14ac:dyDescent="0.25">
      <c r="B145" s="259" t="str">
        <f>'B-1 Site Hedge Baseline'!AK143</f>
        <v/>
      </c>
      <c r="C145" s="175" t="str">
        <f>IF(B145="","",IF(ISNA(VLOOKUP($B145,'B-1 Site Hedge Baseline'!$B$1:$L$257,3,FALSE)),"",(VLOOKUP($B145,'B-1 Site Hedge Baseline'!$B$1:$L$257,3,FALSE))))</f>
        <v/>
      </c>
      <c r="D145" s="175" t="str">
        <f>IF(B145="","",IF(ISNA(VLOOKUP($B145,'B-1 Site Hedge Baseline'!$B$1:$L$257,4,FALSE)),"",(VLOOKUP($B145,'B-1 Site Hedge Baseline'!$B$1:$L$257,4,FALSE))))</f>
        <v/>
      </c>
      <c r="E145" s="175" t="str">
        <f>IF(B145="","",IF(ISNA(VLOOKUP($B145,'B-1 Site Hedge Baseline'!$B$1:$L$257,5,FALSE)),"",(VLOOKUP($B145,'B-1 Site Hedge Baseline'!$B$1:$L$257,5,FALSE))))</f>
        <v/>
      </c>
      <c r="F145" s="175" t="str">
        <f>IF(B145="","",IF(ISNA(VLOOKUP($B145,'B-1 Site Hedge Baseline'!$B$1:$L$257,6,FALSE)),"",(VLOOKUP($B145,'B-1 Site Hedge Baseline'!$B$1:$L$257,6,FALSE))))</f>
        <v/>
      </c>
      <c r="G145" s="175" t="str">
        <f>IF(B145="","",IF(ISNA(VLOOKUP($B145,'B-1 Site Hedge Baseline'!$B$1:$L$257,7,FALSE)),"",(VLOOKUP($B145,'B-1 Site Hedge Baseline'!$B$1:$L$257,7,FALSE))))</f>
        <v/>
      </c>
      <c r="H145" s="175" t="str">
        <f>IF(B145="","",IF(ISNA(VLOOKUP($B145,'B-1 Site Hedge Baseline'!$B$1:$L$257,8,FALSE)),"",(VLOOKUP($B145,'B-1 Site Hedge Baseline'!$B$1:$L$257,8,FALSE))))</f>
        <v/>
      </c>
      <c r="I145" s="175" t="str">
        <f>IF(B145="","",IF(ISNA(VLOOKUP($B145,'B-1 Site Hedge Baseline'!$B$1:$L$257,10,FALSE)),"",(VLOOKUP($B145,'B-1 Site Hedge Baseline'!$B$1:$L$257,10,FALSE))))</f>
        <v/>
      </c>
      <c r="J145" s="175" t="str">
        <f>IF(B145="","",IF(ISNA(VLOOKUP($B145,'B-1 Site Hedge Baseline'!$B$1:$L$257,11,FALSE)),"",(VLOOKUP($B145,'B-1 Site Hedge Baseline'!$B$1:$L$257,11,FALSE))))</f>
        <v/>
      </c>
      <c r="K145" s="175" t="str">
        <f>IF(B145="","",IF(ISNA(VLOOKUP($B145,'B-1 Site Hedge Baseline'!$B$1:$U$257,13,FALSE)),"",(VLOOKUP($B145,'B-1 Site Hedge Baseline'!$B$1:$U$257,13,FALSE))))</f>
        <v/>
      </c>
      <c r="L145" s="176" t="str">
        <f>IF(B145="","",IF(ISNA(VLOOKUP($B145,'B-1 Site Hedge Baseline'!$B$1:$U$257,12,FALSE)),"",(VLOOKUP($B145,'B-1 Site Hedge Baseline'!$B$1:$U$257,12,FALSE))))</f>
        <v/>
      </c>
      <c r="M145" s="637"/>
      <c r="N145" s="171" t="str">
        <f>IFERROR(IF(B145="","",INDEX('G-6 Hedgerow Data'!$AN$3:$AZ$15,MATCH(C145,'G-6 Hedgerow Data'!$AM$3:$AM$15,0),MATCH(M145,'G-6 Hedgerow Data'!$AN$2:$AZ$2,0))),"")</f>
        <v/>
      </c>
      <c r="O145" s="172" t="str">
        <f t="shared" si="14"/>
        <v/>
      </c>
      <c r="P145" s="642" t="str">
        <f>IF(B145="","",VLOOKUP(B145,'B-1 Site Hedge Baseline'!$B$10:T390,16,FALSE))</f>
        <v/>
      </c>
      <c r="Q145" s="171" t="str">
        <f>IF(M145="","",VLOOKUP(M145,'G-6 Hedgerow Data'!$B$2:$AG$15,2,FALSE))</f>
        <v/>
      </c>
      <c r="R145" s="172" t="str">
        <f>IF(M145="","",VLOOKUP(M145,'G-6 Hedgerow Data'!$B$2:$AG$15,3,FALSE))</f>
        <v/>
      </c>
      <c r="S145" s="189"/>
      <c r="T145" s="269" t="str">
        <f>IFERROR(VLOOKUP(S145,'G-1 All Habitats'!$Z$2:$AA$9,2,FALSE),"")</f>
        <v/>
      </c>
      <c r="U145" s="186"/>
      <c r="V145" s="175" t="str">
        <f>IF(U145="","",IF(VLOOKUP(U145,'G-3 Multipliers'!$L$3:$N$6,2,FALSE)=0,"Spatial Data Missing",VLOOKUP(U145,'G-3 Multipliers'!$L$3:$N$6,2,FALSE)))</f>
        <v/>
      </c>
      <c r="W145" s="176" t="str">
        <f>IF(U145="","",IF(VLOOKUP(U145,'G-3 Multipliers'!$L$3:$N$6,3,FALSE)=0,"Spatial Data Missing",VLOOKUP(U145,'G-3 Multipliers'!$L$3:$N$6,3,FALSE)))</f>
        <v/>
      </c>
      <c r="X145" s="171" t="str">
        <f>IFERROR(IF(OR(LEFT(O145,5)="Error",LEFT(N145,5)="Error",T145="Error"),"Check Data",IF(F145&lt;R145,INDEX('G-6 Hedgerow Data'!$S$3:$AE$14,MATCH(C145,'G-6 Hedgerow Data'!$B$3:$B$14,0),MATCH(M145,'G-6 Hedgerow Data'!$S$2:$AE$2,0)),INDEX('G-6 Hedgerow Data'!$K$3:$Q$14,MATCH(M145,'G-6 Hedgerow Data'!$B$3:$B$14,0),MATCH(O145,'G-6 Hedgerow Data'!$K$2:$Q$2,0)))),"")</f>
        <v/>
      </c>
      <c r="Y145" s="261"/>
      <c r="Z145" s="261"/>
      <c r="AA145" s="179" t="str">
        <f t="shared" si="17"/>
        <v/>
      </c>
      <c r="AB145" s="262" t="str">
        <f t="shared" si="18"/>
        <v/>
      </c>
      <c r="AC145" s="263" t="str">
        <f t="shared" si="15"/>
        <v/>
      </c>
      <c r="AD145" s="239" t="str">
        <f>IF(M145="","",VLOOKUP(M145,'G-6 Hedgerow Data'!$B$3:$AG$15,31,FALSE))</f>
        <v/>
      </c>
      <c r="AE145" s="179" t="str">
        <f t="shared" si="19"/>
        <v/>
      </c>
      <c r="AF145" s="179" t="str">
        <f t="shared" si="20"/>
        <v/>
      </c>
      <c r="AG145" s="176" t="str">
        <f>IFERROR(IF(O145="","",VLOOKUP(AD145,'G-3 Multipliers'!$P$3:$Q$6,2,FALSE)),"")</f>
        <v/>
      </c>
      <c r="AH145" s="207" t="str">
        <f t="shared" si="16"/>
        <v/>
      </c>
      <c r="AI145" s="336"/>
      <c r="AJ145" s="181"/>
      <c r="AT145" s="35" t="str">
        <f>IFERROR(INDEX('G-6 Hedgerow Data'!$BJ$3:$BJ$15,MATCH(M145,'G-6 Hedgerow Data'!$B$3:$B$15,0)),"")</f>
        <v/>
      </c>
    </row>
    <row r="146" spans="2:46" ht="13.8" x14ac:dyDescent="0.25">
      <c r="B146" s="259" t="str">
        <f>'B-1 Site Hedge Baseline'!AK144</f>
        <v/>
      </c>
      <c r="C146" s="175" t="str">
        <f>IF(B146="","",IF(ISNA(VLOOKUP($B146,'B-1 Site Hedge Baseline'!$B$1:$L$257,3,FALSE)),"",(VLOOKUP($B146,'B-1 Site Hedge Baseline'!$B$1:$L$257,3,FALSE))))</f>
        <v/>
      </c>
      <c r="D146" s="175" t="str">
        <f>IF(B146="","",IF(ISNA(VLOOKUP($B146,'B-1 Site Hedge Baseline'!$B$1:$L$257,4,FALSE)),"",(VLOOKUP($B146,'B-1 Site Hedge Baseline'!$B$1:$L$257,4,FALSE))))</f>
        <v/>
      </c>
      <c r="E146" s="175" t="str">
        <f>IF(B146="","",IF(ISNA(VLOOKUP($B146,'B-1 Site Hedge Baseline'!$B$1:$L$257,5,FALSE)),"",(VLOOKUP($B146,'B-1 Site Hedge Baseline'!$B$1:$L$257,5,FALSE))))</f>
        <v/>
      </c>
      <c r="F146" s="175" t="str">
        <f>IF(B146="","",IF(ISNA(VLOOKUP($B146,'B-1 Site Hedge Baseline'!$B$1:$L$257,6,FALSE)),"",(VLOOKUP($B146,'B-1 Site Hedge Baseline'!$B$1:$L$257,6,FALSE))))</f>
        <v/>
      </c>
      <c r="G146" s="175" t="str">
        <f>IF(B146="","",IF(ISNA(VLOOKUP($B146,'B-1 Site Hedge Baseline'!$B$1:$L$257,7,FALSE)),"",(VLOOKUP($B146,'B-1 Site Hedge Baseline'!$B$1:$L$257,7,FALSE))))</f>
        <v/>
      </c>
      <c r="H146" s="175" t="str">
        <f>IF(B146="","",IF(ISNA(VLOOKUP($B146,'B-1 Site Hedge Baseline'!$B$1:$L$257,8,FALSE)),"",(VLOOKUP($B146,'B-1 Site Hedge Baseline'!$B$1:$L$257,8,FALSE))))</f>
        <v/>
      </c>
      <c r="I146" s="175" t="str">
        <f>IF(B146="","",IF(ISNA(VLOOKUP($B146,'B-1 Site Hedge Baseline'!$B$1:$L$257,10,FALSE)),"",(VLOOKUP($B146,'B-1 Site Hedge Baseline'!$B$1:$L$257,10,FALSE))))</f>
        <v/>
      </c>
      <c r="J146" s="175" t="str">
        <f>IF(B146="","",IF(ISNA(VLOOKUP($B146,'B-1 Site Hedge Baseline'!$B$1:$L$257,11,FALSE)),"",(VLOOKUP($B146,'B-1 Site Hedge Baseline'!$B$1:$L$257,11,FALSE))))</f>
        <v/>
      </c>
      <c r="K146" s="175" t="str">
        <f>IF(B146="","",IF(ISNA(VLOOKUP($B146,'B-1 Site Hedge Baseline'!$B$1:$U$257,13,FALSE)),"",(VLOOKUP($B146,'B-1 Site Hedge Baseline'!$B$1:$U$257,13,FALSE))))</f>
        <v/>
      </c>
      <c r="L146" s="176" t="str">
        <f>IF(B146="","",IF(ISNA(VLOOKUP($B146,'B-1 Site Hedge Baseline'!$B$1:$U$257,12,FALSE)),"",(VLOOKUP($B146,'B-1 Site Hedge Baseline'!$B$1:$U$257,12,FALSE))))</f>
        <v/>
      </c>
      <c r="M146" s="637"/>
      <c r="N146" s="171" t="str">
        <f>IFERROR(IF(B146="","",INDEX('G-6 Hedgerow Data'!$AN$3:$AZ$15,MATCH(C146,'G-6 Hedgerow Data'!$AM$3:$AM$15,0),MATCH(M146,'G-6 Hedgerow Data'!$AN$2:$AZ$2,0))),"")</f>
        <v/>
      </c>
      <c r="O146" s="172" t="str">
        <f t="shared" si="14"/>
        <v/>
      </c>
      <c r="P146" s="642" t="str">
        <f>IF(B146="","",VLOOKUP(B146,'B-1 Site Hedge Baseline'!$B$10:T391,16,FALSE))</f>
        <v/>
      </c>
      <c r="Q146" s="171" t="str">
        <f>IF(M146="","",VLOOKUP(M146,'G-6 Hedgerow Data'!$B$2:$AG$15,2,FALSE))</f>
        <v/>
      </c>
      <c r="R146" s="172" t="str">
        <f>IF(M146="","",VLOOKUP(M146,'G-6 Hedgerow Data'!$B$2:$AG$15,3,FALSE))</f>
        <v/>
      </c>
      <c r="S146" s="189"/>
      <c r="T146" s="269" t="str">
        <f>IFERROR(VLOOKUP(S146,'G-1 All Habitats'!$Z$2:$AA$9,2,FALSE),"")</f>
        <v/>
      </c>
      <c r="U146" s="186"/>
      <c r="V146" s="175" t="str">
        <f>IF(U146="","",IF(VLOOKUP(U146,'G-3 Multipliers'!$L$3:$N$6,2,FALSE)=0,"Spatial Data Missing",VLOOKUP(U146,'G-3 Multipliers'!$L$3:$N$6,2,FALSE)))</f>
        <v/>
      </c>
      <c r="W146" s="176" t="str">
        <f>IF(U146="","",IF(VLOOKUP(U146,'G-3 Multipliers'!$L$3:$N$6,3,FALSE)=0,"Spatial Data Missing",VLOOKUP(U146,'G-3 Multipliers'!$L$3:$N$6,3,FALSE)))</f>
        <v/>
      </c>
      <c r="X146" s="171" t="str">
        <f>IFERROR(IF(OR(LEFT(O146,5)="Error",LEFT(N146,5)="Error",T146="Error"),"Check Data",IF(F146&lt;R146,INDEX('G-6 Hedgerow Data'!$S$3:$AE$14,MATCH(C146,'G-6 Hedgerow Data'!$B$3:$B$14,0),MATCH(M146,'G-6 Hedgerow Data'!$S$2:$AE$2,0)),INDEX('G-6 Hedgerow Data'!$K$3:$Q$14,MATCH(M146,'G-6 Hedgerow Data'!$B$3:$B$14,0),MATCH(O146,'G-6 Hedgerow Data'!$K$2:$Q$2,0)))),"")</f>
        <v/>
      </c>
      <c r="Y146" s="261"/>
      <c r="Z146" s="261"/>
      <c r="AA146" s="179" t="str">
        <f t="shared" si="17"/>
        <v/>
      </c>
      <c r="AB146" s="262" t="str">
        <f t="shared" si="18"/>
        <v/>
      </c>
      <c r="AC146" s="263" t="str">
        <f t="shared" si="15"/>
        <v/>
      </c>
      <c r="AD146" s="239" t="str">
        <f>IF(M146="","",VLOOKUP(M146,'G-6 Hedgerow Data'!$B$3:$AG$15,31,FALSE))</f>
        <v/>
      </c>
      <c r="AE146" s="179" t="str">
        <f t="shared" si="19"/>
        <v/>
      </c>
      <c r="AF146" s="179" t="str">
        <f t="shared" si="20"/>
        <v/>
      </c>
      <c r="AG146" s="176" t="str">
        <f>IFERROR(IF(O146="","",VLOOKUP(AD146,'G-3 Multipliers'!$P$3:$Q$6,2,FALSE)),"")</f>
        <v/>
      </c>
      <c r="AH146" s="207" t="str">
        <f t="shared" si="16"/>
        <v/>
      </c>
      <c r="AI146" s="336"/>
      <c r="AJ146" s="181"/>
      <c r="AT146" s="35" t="str">
        <f>IFERROR(INDEX('G-6 Hedgerow Data'!$BJ$3:$BJ$15,MATCH(M146,'G-6 Hedgerow Data'!$B$3:$B$15,0)),"")</f>
        <v/>
      </c>
    </row>
    <row r="147" spans="2:46" ht="13.8" x14ac:dyDescent="0.25">
      <c r="B147" s="259" t="str">
        <f>'B-1 Site Hedge Baseline'!AK145</f>
        <v/>
      </c>
      <c r="C147" s="175" t="str">
        <f>IF(B147="","",IF(ISNA(VLOOKUP($B147,'B-1 Site Hedge Baseline'!$B$1:$L$257,3,FALSE)),"",(VLOOKUP($B147,'B-1 Site Hedge Baseline'!$B$1:$L$257,3,FALSE))))</f>
        <v/>
      </c>
      <c r="D147" s="175" t="str">
        <f>IF(B147="","",IF(ISNA(VLOOKUP($B147,'B-1 Site Hedge Baseline'!$B$1:$L$257,4,FALSE)),"",(VLOOKUP($B147,'B-1 Site Hedge Baseline'!$B$1:$L$257,4,FALSE))))</f>
        <v/>
      </c>
      <c r="E147" s="175" t="str">
        <f>IF(B147="","",IF(ISNA(VLOOKUP($B147,'B-1 Site Hedge Baseline'!$B$1:$L$257,5,FALSE)),"",(VLOOKUP($B147,'B-1 Site Hedge Baseline'!$B$1:$L$257,5,FALSE))))</f>
        <v/>
      </c>
      <c r="F147" s="175" t="str">
        <f>IF(B147="","",IF(ISNA(VLOOKUP($B147,'B-1 Site Hedge Baseline'!$B$1:$L$257,6,FALSE)),"",(VLOOKUP($B147,'B-1 Site Hedge Baseline'!$B$1:$L$257,6,FALSE))))</f>
        <v/>
      </c>
      <c r="G147" s="175" t="str">
        <f>IF(B147="","",IF(ISNA(VLOOKUP($B147,'B-1 Site Hedge Baseline'!$B$1:$L$257,7,FALSE)),"",(VLOOKUP($B147,'B-1 Site Hedge Baseline'!$B$1:$L$257,7,FALSE))))</f>
        <v/>
      </c>
      <c r="H147" s="175" t="str">
        <f>IF(B147="","",IF(ISNA(VLOOKUP($B147,'B-1 Site Hedge Baseline'!$B$1:$L$257,8,FALSE)),"",(VLOOKUP($B147,'B-1 Site Hedge Baseline'!$B$1:$L$257,8,FALSE))))</f>
        <v/>
      </c>
      <c r="I147" s="175" t="str">
        <f>IF(B147="","",IF(ISNA(VLOOKUP($B147,'B-1 Site Hedge Baseline'!$B$1:$L$257,10,FALSE)),"",(VLOOKUP($B147,'B-1 Site Hedge Baseline'!$B$1:$L$257,10,FALSE))))</f>
        <v/>
      </c>
      <c r="J147" s="175" t="str">
        <f>IF(B147="","",IF(ISNA(VLOOKUP($B147,'B-1 Site Hedge Baseline'!$B$1:$L$257,11,FALSE)),"",(VLOOKUP($B147,'B-1 Site Hedge Baseline'!$B$1:$L$257,11,FALSE))))</f>
        <v/>
      </c>
      <c r="K147" s="175" t="str">
        <f>IF(B147="","",IF(ISNA(VLOOKUP($B147,'B-1 Site Hedge Baseline'!$B$1:$U$257,13,FALSE)),"",(VLOOKUP($B147,'B-1 Site Hedge Baseline'!$B$1:$U$257,13,FALSE))))</f>
        <v/>
      </c>
      <c r="L147" s="176" t="str">
        <f>IF(B147="","",IF(ISNA(VLOOKUP($B147,'B-1 Site Hedge Baseline'!$B$1:$U$257,12,FALSE)),"",(VLOOKUP($B147,'B-1 Site Hedge Baseline'!$B$1:$U$257,12,FALSE))))</f>
        <v/>
      </c>
      <c r="M147" s="637"/>
      <c r="N147" s="171" t="str">
        <f>IFERROR(IF(B147="","",INDEX('G-6 Hedgerow Data'!$AN$3:$AZ$15,MATCH(C147,'G-6 Hedgerow Data'!$AM$3:$AM$15,0),MATCH(M147,'G-6 Hedgerow Data'!$AN$2:$AZ$2,0))),"")</f>
        <v/>
      </c>
      <c r="O147" s="172" t="str">
        <f t="shared" si="14"/>
        <v/>
      </c>
      <c r="P147" s="642" t="str">
        <f>IF(B147="","",VLOOKUP(B147,'B-1 Site Hedge Baseline'!$B$10:T392,16,FALSE))</f>
        <v/>
      </c>
      <c r="Q147" s="171" t="str">
        <f>IF(M147="","",VLOOKUP(M147,'G-6 Hedgerow Data'!$B$2:$AG$15,2,FALSE))</f>
        <v/>
      </c>
      <c r="R147" s="172" t="str">
        <f>IF(M147="","",VLOOKUP(M147,'G-6 Hedgerow Data'!$B$2:$AG$15,3,FALSE))</f>
        <v/>
      </c>
      <c r="S147" s="189"/>
      <c r="T147" s="269" t="str">
        <f>IFERROR(VLOOKUP(S147,'G-1 All Habitats'!$Z$2:$AA$9,2,FALSE),"")</f>
        <v/>
      </c>
      <c r="U147" s="186"/>
      <c r="V147" s="175" t="str">
        <f>IF(U147="","",IF(VLOOKUP(U147,'G-3 Multipliers'!$L$3:$N$6,2,FALSE)=0,"Spatial Data Missing",VLOOKUP(U147,'G-3 Multipliers'!$L$3:$N$6,2,FALSE)))</f>
        <v/>
      </c>
      <c r="W147" s="176" t="str">
        <f>IF(U147="","",IF(VLOOKUP(U147,'G-3 Multipliers'!$L$3:$N$6,3,FALSE)=0,"Spatial Data Missing",VLOOKUP(U147,'G-3 Multipliers'!$L$3:$N$6,3,FALSE)))</f>
        <v/>
      </c>
      <c r="X147" s="171" t="str">
        <f>IFERROR(IF(OR(LEFT(O147,5)="Error",LEFT(N147,5)="Error",T147="Error"),"Check Data",IF(F147&lt;R147,INDEX('G-6 Hedgerow Data'!$S$3:$AE$14,MATCH(C147,'G-6 Hedgerow Data'!$B$3:$B$14,0),MATCH(M147,'G-6 Hedgerow Data'!$S$2:$AE$2,0)),INDEX('G-6 Hedgerow Data'!$K$3:$Q$14,MATCH(M147,'G-6 Hedgerow Data'!$B$3:$B$14,0),MATCH(O147,'G-6 Hedgerow Data'!$K$2:$Q$2,0)))),"")</f>
        <v/>
      </c>
      <c r="Y147" s="261"/>
      <c r="Z147" s="261"/>
      <c r="AA147" s="179" t="str">
        <f t="shared" si="17"/>
        <v/>
      </c>
      <c r="AB147" s="262" t="str">
        <f t="shared" si="18"/>
        <v/>
      </c>
      <c r="AC147" s="263" t="str">
        <f t="shared" si="15"/>
        <v/>
      </c>
      <c r="AD147" s="239" t="str">
        <f>IF(M147="","",VLOOKUP(M147,'G-6 Hedgerow Data'!$B$3:$AG$15,31,FALSE))</f>
        <v/>
      </c>
      <c r="AE147" s="179" t="str">
        <f t="shared" si="19"/>
        <v/>
      </c>
      <c r="AF147" s="179" t="str">
        <f t="shared" si="20"/>
        <v/>
      </c>
      <c r="AG147" s="176" t="str">
        <f>IFERROR(IF(O147="","",VLOOKUP(AD147,'G-3 Multipliers'!$P$3:$Q$6,2,FALSE)),"")</f>
        <v/>
      </c>
      <c r="AH147" s="207" t="str">
        <f t="shared" si="16"/>
        <v/>
      </c>
      <c r="AI147" s="336"/>
      <c r="AJ147" s="181"/>
      <c r="AT147" s="35" t="str">
        <f>IFERROR(INDEX('G-6 Hedgerow Data'!$BJ$3:$BJ$15,MATCH(M147,'G-6 Hedgerow Data'!$B$3:$B$15,0)),"")</f>
        <v/>
      </c>
    </row>
    <row r="148" spans="2:46" ht="13.8" x14ac:dyDescent="0.25">
      <c r="B148" s="259" t="str">
        <f>'B-1 Site Hedge Baseline'!AK146</f>
        <v/>
      </c>
      <c r="C148" s="175" t="str">
        <f>IF(B148="","",IF(ISNA(VLOOKUP($B148,'B-1 Site Hedge Baseline'!$B$1:$L$257,3,FALSE)),"",(VLOOKUP($B148,'B-1 Site Hedge Baseline'!$B$1:$L$257,3,FALSE))))</f>
        <v/>
      </c>
      <c r="D148" s="175" t="str">
        <f>IF(B148="","",IF(ISNA(VLOOKUP($B148,'B-1 Site Hedge Baseline'!$B$1:$L$257,4,FALSE)),"",(VLOOKUP($B148,'B-1 Site Hedge Baseline'!$B$1:$L$257,4,FALSE))))</f>
        <v/>
      </c>
      <c r="E148" s="175" t="str">
        <f>IF(B148="","",IF(ISNA(VLOOKUP($B148,'B-1 Site Hedge Baseline'!$B$1:$L$257,5,FALSE)),"",(VLOOKUP($B148,'B-1 Site Hedge Baseline'!$B$1:$L$257,5,FALSE))))</f>
        <v/>
      </c>
      <c r="F148" s="175" t="str">
        <f>IF(B148="","",IF(ISNA(VLOOKUP($B148,'B-1 Site Hedge Baseline'!$B$1:$L$257,6,FALSE)),"",(VLOOKUP($B148,'B-1 Site Hedge Baseline'!$B$1:$L$257,6,FALSE))))</f>
        <v/>
      </c>
      <c r="G148" s="175" t="str">
        <f>IF(B148="","",IF(ISNA(VLOOKUP($B148,'B-1 Site Hedge Baseline'!$B$1:$L$257,7,FALSE)),"",(VLOOKUP($B148,'B-1 Site Hedge Baseline'!$B$1:$L$257,7,FALSE))))</f>
        <v/>
      </c>
      <c r="H148" s="175" t="str">
        <f>IF(B148="","",IF(ISNA(VLOOKUP($B148,'B-1 Site Hedge Baseline'!$B$1:$L$257,8,FALSE)),"",(VLOOKUP($B148,'B-1 Site Hedge Baseline'!$B$1:$L$257,8,FALSE))))</f>
        <v/>
      </c>
      <c r="I148" s="175" t="str">
        <f>IF(B148="","",IF(ISNA(VLOOKUP($B148,'B-1 Site Hedge Baseline'!$B$1:$L$257,10,FALSE)),"",(VLOOKUP($B148,'B-1 Site Hedge Baseline'!$B$1:$L$257,10,FALSE))))</f>
        <v/>
      </c>
      <c r="J148" s="175" t="str">
        <f>IF(B148="","",IF(ISNA(VLOOKUP($B148,'B-1 Site Hedge Baseline'!$B$1:$L$257,11,FALSE)),"",(VLOOKUP($B148,'B-1 Site Hedge Baseline'!$B$1:$L$257,11,FALSE))))</f>
        <v/>
      </c>
      <c r="K148" s="175" t="str">
        <f>IF(B148="","",IF(ISNA(VLOOKUP($B148,'B-1 Site Hedge Baseline'!$B$1:$U$257,13,FALSE)),"",(VLOOKUP($B148,'B-1 Site Hedge Baseline'!$B$1:$U$257,13,FALSE))))</f>
        <v/>
      </c>
      <c r="L148" s="176" t="str">
        <f>IF(B148="","",IF(ISNA(VLOOKUP($B148,'B-1 Site Hedge Baseline'!$B$1:$U$257,12,FALSE)),"",(VLOOKUP($B148,'B-1 Site Hedge Baseline'!$B$1:$U$257,12,FALSE))))</f>
        <v/>
      </c>
      <c r="M148" s="637"/>
      <c r="N148" s="171" t="str">
        <f>IFERROR(IF(B148="","",INDEX('G-6 Hedgerow Data'!$AN$3:$AZ$15,MATCH(C148,'G-6 Hedgerow Data'!$AM$3:$AM$15,0),MATCH(M148,'G-6 Hedgerow Data'!$AN$2:$AZ$2,0))),"")</f>
        <v/>
      </c>
      <c r="O148" s="172" t="str">
        <f t="shared" si="14"/>
        <v/>
      </c>
      <c r="P148" s="642" t="str">
        <f>IF(B148="","",VLOOKUP(B148,'B-1 Site Hedge Baseline'!$B$10:T393,16,FALSE))</f>
        <v/>
      </c>
      <c r="Q148" s="171" t="str">
        <f>IF(M148="","",VLOOKUP(M148,'G-6 Hedgerow Data'!$B$2:$AG$15,2,FALSE))</f>
        <v/>
      </c>
      <c r="R148" s="172" t="str">
        <f>IF(M148="","",VLOOKUP(M148,'G-6 Hedgerow Data'!$B$2:$AG$15,3,FALSE))</f>
        <v/>
      </c>
      <c r="S148" s="189"/>
      <c r="T148" s="269" t="str">
        <f>IFERROR(VLOOKUP(S148,'G-1 All Habitats'!$Z$2:$AA$9,2,FALSE),"")</f>
        <v/>
      </c>
      <c r="U148" s="186"/>
      <c r="V148" s="175" t="str">
        <f>IF(U148="","",IF(VLOOKUP(U148,'G-3 Multipliers'!$L$3:$N$6,2,FALSE)=0,"Spatial Data Missing",VLOOKUP(U148,'G-3 Multipliers'!$L$3:$N$6,2,FALSE)))</f>
        <v/>
      </c>
      <c r="W148" s="176" t="str">
        <f>IF(U148="","",IF(VLOOKUP(U148,'G-3 Multipliers'!$L$3:$N$6,3,FALSE)=0,"Spatial Data Missing",VLOOKUP(U148,'G-3 Multipliers'!$L$3:$N$6,3,FALSE)))</f>
        <v/>
      </c>
      <c r="X148" s="171" t="str">
        <f>IFERROR(IF(OR(LEFT(O148,5)="Error",LEFT(N148,5)="Error",T148="Error"),"Check Data",IF(F148&lt;R148,INDEX('G-6 Hedgerow Data'!$S$3:$AE$14,MATCH(C148,'G-6 Hedgerow Data'!$B$3:$B$14,0),MATCH(M148,'G-6 Hedgerow Data'!$S$2:$AE$2,0)),INDEX('G-6 Hedgerow Data'!$K$3:$Q$14,MATCH(M148,'G-6 Hedgerow Data'!$B$3:$B$14,0),MATCH(O148,'G-6 Hedgerow Data'!$K$2:$Q$2,0)))),"")</f>
        <v/>
      </c>
      <c r="Y148" s="261"/>
      <c r="Z148" s="261"/>
      <c r="AA148" s="179" t="str">
        <f t="shared" si="17"/>
        <v/>
      </c>
      <c r="AB148" s="262" t="str">
        <f t="shared" si="18"/>
        <v/>
      </c>
      <c r="AC148" s="263" t="str">
        <f t="shared" si="15"/>
        <v/>
      </c>
      <c r="AD148" s="239" t="str">
        <f>IF(M148="","",VLOOKUP(M148,'G-6 Hedgerow Data'!$B$3:$AG$15,31,FALSE))</f>
        <v/>
      </c>
      <c r="AE148" s="179" t="str">
        <f t="shared" si="19"/>
        <v/>
      </c>
      <c r="AF148" s="179" t="str">
        <f t="shared" si="20"/>
        <v/>
      </c>
      <c r="AG148" s="176" t="str">
        <f>IFERROR(IF(O148="","",VLOOKUP(AD148,'G-3 Multipliers'!$P$3:$Q$6,2,FALSE)),"")</f>
        <v/>
      </c>
      <c r="AH148" s="207" t="str">
        <f t="shared" si="16"/>
        <v/>
      </c>
      <c r="AI148" s="336"/>
      <c r="AJ148" s="181"/>
      <c r="AT148" s="35" t="str">
        <f>IFERROR(INDEX('G-6 Hedgerow Data'!$BJ$3:$BJ$15,MATCH(M148,'G-6 Hedgerow Data'!$B$3:$B$15,0)),"")</f>
        <v/>
      </c>
    </row>
    <row r="149" spans="2:46" ht="13.8" x14ac:dyDescent="0.25">
      <c r="B149" s="259" t="str">
        <f>'B-1 Site Hedge Baseline'!AK147</f>
        <v/>
      </c>
      <c r="C149" s="175" t="str">
        <f>IF(B149="","",IF(ISNA(VLOOKUP($B149,'B-1 Site Hedge Baseline'!$B$1:$L$257,3,FALSE)),"",(VLOOKUP($B149,'B-1 Site Hedge Baseline'!$B$1:$L$257,3,FALSE))))</f>
        <v/>
      </c>
      <c r="D149" s="175" t="str">
        <f>IF(B149="","",IF(ISNA(VLOOKUP($B149,'B-1 Site Hedge Baseline'!$B$1:$L$257,4,FALSE)),"",(VLOOKUP($B149,'B-1 Site Hedge Baseline'!$B$1:$L$257,4,FALSE))))</f>
        <v/>
      </c>
      <c r="E149" s="175" t="str">
        <f>IF(B149="","",IF(ISNA(VLOOKUP($B149,'B-1 Site Hedge Baseline'!$B$1:$L$257,5,FALSE)),"",(VLOOKUP($B149,'B-1 Site Hedge Baseline'!$B$1:$L$257,5,FALSE))))</f>
        <v/>
      </c>
      <c r="F149" s="175" t="str">
        <f>IF(B149="","",IF(ISNA(VLOOKUP($B149,'B-1 Site Hedge Baseline'!$B$1:$L$257,6,FALSE)),"",(VLOOKUP($B149,'B-1 Site Hedge Baseline'!$B$1:$L$257,6,FALSE))))</f>
        <v/>
      </c>
      <c r="G149" s="175" t="str">
        <f>IF(B149="","",IF(ISNA(VLOOKUP($B149,'B-1 Site Hedge Baseline'!$B$1:$L$257,7,FALSE)),"",(VLOOKUP($B149,'B-1 Site Hedge Baseline'!$B$1:$L$257,7,FALSE))))</f>
        <v/>
      </c>
      <c r="H149" s="175" t="str">
        <f>IF(B149="","",IF(ISNA(VLOOKUP($B149,'B-1 Site Hedge Baseline'!$B$1:$L$257,8,FALSE)),"",(VLOOKUP($B149,'B-1 Site Hedge Baseline'!$B$1:$L$257,8,FALSE))))</f>
        <v/>
      </c>
      <c r="I149" s="175" t="str">
        <f>IF(B149="","",IF(ISNA(VLOOKUP($B149,'B-1 Site Hedge Baseline'!$B$1:$L$257,10,FALSE)),"",(VLOOKUP($B149,'B-1 Site Hedge Baseline'!$B$1:$L$257,10,FALSE))))</f>
        <v/>
      </c>
      <c r="J149" s="175" t="str">
        <f>IF(B149="","",IF(ISNA(VLOOKUP($B149,'B-1 Site Hedge Baseline'!$B$1:$L$257,11,FALSE)),"",(VLOOKUP($B149,'B-1 Site Hedge Baseline'!$B$1:$L$257,11,FALSE))))</f>
        <v/>
      </c>
      <c r="K149" s="175" t="str">
        <f>IF(B149="","",IF(ISNA(VLOOKUP($B149,'B-1 Site Hedge Baseline'!$B$1:$U$257,13,FALSE)),"",(VLOOKUP($B149,'B-1 Site Hedge Baseline'!$B$1:$U$257,13,FALSE))))</f>
        <v/>
      </c>
      <c r="L149" s="176" t="str">
        <f>IF(B149="","",IF(ISNA(VLOOKUP($B149,'B-1 Site Hedge Baseline'!$B$1:$U$257,12,FALSE)),"",(VLOOKUP($B149,'B-1 Site Hedge Baseline'!$B$1:$U$257,12,FALSE))))</f>
        <v/>
      </c>
      <c r="M149" s="637"/>
      <c r="N149" s="171" t="str">
        <f>IFERROR(IF(B149="","",INDEX('G-6 Hedgerow Data'!$AN$3:$AZ$15,MATCH(C149,'G-6 Hedgerow Data'!$AM$3:$AM$15,0),MATCH(M149,'G-6 Hedgerow Data'!$AN$2:$AZ$2,0))),"")</f>
        <v/>
      </c>
      <c r="O149" s="172" t="str">
        <f t="shared" si="14"/>
        <v/>
      </c>
      <c r="P149" s="642" t="str">
        <f>IF(B149="","",VLOOKUP(B149,'B-1 Site Hedge Baseline'!$B$10:T394,16,FALSE))</f>
        <v/>
      </c>
      <c r="Q149" s="171" t="str">
        <f>IF(M149="","",VLOOKUP(M149,'G-6 Hedgerow Data'!$B$2:$AG$15,2,FALSE))</f>
        <v/>
      </c>
      <c r="R149" s="172" t="str">
        <f>IF(M149="","",VLOOKUP(M149,'G-6 Hedgerow Data'!$B$2:$AG$15,3,FALSE))</f>
        <v/>
      </c>
      <c r="S149" s="189"/>
      <c r="T149" s="269" t="str">
        <f>IFERROR(VLOOKUP(S149,'G-1 All Habitats'!$Z$2:$AA$9,2,FALSE),"")</f>
        <v/>
      </c>
      <c r="U149" s="186"/>
      <c r="V149" s="175" t="str">
        <f>IF(U149="","",IF(VLOOKUP(U149,'G-3 Multipliers'!$L$3:$N$6,2,FALSE)=0,"Spatial Data Missing",VLOOKUP(U149,'G-3 Multipliers'!$L$3:$N$6,2,FALSE)))</f>
        <v/>
      </c>
      <c r="W149" s="176" t="str">
        <f>IF(U149="","",IF(VLOOKUP(U149,'G-3 Multipliers'!$L$3:$N$6,3,FALSE)=0,"Spatial Data Missing",VLOOKUP(U149,'G-3 Multipliers'!$L$3:$N$6,3,FALSE)))</f>
        <v/>
      </c>
      <c r="X149" s="171" t="str">
        <f>IFERROR(IF(OR(LEFT(O149,5)="Error",LEFT(N149,5)="Error",T149="Error"),"Check Data",IF(F149&lt;R149,INDEX('G-6 Hedgerow Data'!$S$3:$AE$14,MATCH(C149,'G-6 Hedgerow Data'!$B$3:$B$14,0),MATCH(M149,'G-6 Hedgerow Data'!$S$2:$AE$2,0)),INDEX('G-6 Hedgerow Data'!$K$3:$Q$14,MATCH(M149,'G-6 Hedgerow Data'!$B$3:$B$14,0),MATCH(O149,'G-6 Hedgerow Data'!$K$2:$Q$2,0)))),"")</f>
        <v/>
      </c>
      <c r="Y149" s="261"/>
      <c r="Z149" s="261"/>
      <c r="AA149" s="179" t="str">
        <f t="shared" si="17"/>
        <v/>
      </c>
      <c r="AB149" s="262" t="str">
        <f t="shared" si="18"/>
        <v/>
      </c>
      <c r="AC149" s="263" t="str">
        <f t="shared" si="15"/>
        <v/>
      </c>
      <c r="AD149" s="239" t="str">
        <f>IF(M149="","",VLOOKUP(M149,'G-6 Hedgerow Data'!$B$3:$AG$15,31,FALSE))</f>
        <v/>
      </c>
      <c r="AE149" s="179" t="str">
        <f t="shared" si="19"/>
        <v/>
      </c>
      <c r="AF149" s="179" t="str">
        <f t="shared" si="20"/>
        <v/>
      </c>
      <c r="AG149" s="176" t="str">
        <f>IFERROR(IF(O149="","",VLOOKUP(AD149,'G-3 Multipliers'!$P$3:$Q$6,2,FALSE)),"")</f>
        <v/>
      </c>
      <c r="AH149" s="207" t="str">
        <f t="shared" si="16"/>
        <v/>
      </c>
      <c r="AI149" s="336"/>
      <c r="AJ149" s="181"/>
      <c r="AT149" s="35" t="str">
        <f>IFERROR(INDEX('G-6 Hedgerow Data'!$BJ$3:$BJ$15,MATCH(M149,'G-6 Hedgerow Data'!$B$3:$B$15,0)),"")</f>
        <v/>
      </c>
    </row>
    <row r="150" spans="2:46" ht="13.8" x14ac:dyDescent="0.25">
      <c r="B150" s="259" t="str">
        <f>'B-1 Site Hedge Baseline'!AK148</f>
        <v/>
      </c>
      <c r="C150" s="175" t="str">
        <f>IF(B150="","",IF(ISNA(VLOOKUP($B150,'B-1 Site Hedge Baseline'!$B$1:$L$257,3,FALSE)),"",(VLOOKUP($B150,'B-1 Site Hedge Baseline'!$B$1:$L$257,3,FALSE))))</f>
        <v/>
      </c>
      <c r="D150" s="175" t="str">
        <f>IF(B150="","",IF(ISNA(VLOOKUP($B150,'B-1 Site Hedge Baseline'!$B$1:$L$257,4,FALSE)),"",(VLOOKUP($B150,'B-1 Site Hedge Baseline'!$B$1:$L$257,4,FALSE))))</f>
        <v/>
      </c>
      <c r="E150" s="175" t="str">
        <f>IF(B150="","",IF(ISNA(VLOOKUP($B150,'B-1 Site Hedge Baseline'!$B$1:$L$257,5,FALSE)),"",(VLOOKUP($B150,'B-1 Site Hedge Baseline'!$B$1:$L$257,5,FALSE))))</f>
        <v/>
      </c>
      <c r="F150" s="175" t="str">
        <f>IF(B150="","",IF(ISNA(VLOOKUP($B150,'B-1 Site Hedge Baseline'!$B$1:$L$257,6,FALSE)),"",(VLOOKUP($B150,'B-1 Site Hedge Baseline'!$B$1:$L$257,6,FALSE))))</f>
        <v/>
      </c>
      <c r="G150" s="175" t="str">
        <f>IF(B150="","",IF(ISNA(VLOOKUP($B150,'B-1 Site Hedge Baseline'!$B$1:$L$257,7,FALSE)),"",(VLOOKUP($B150,'B-1 Site Hedge Baseline'!$B$1:$L$257,7,FALSE))))</f>
        <v/>
      </c>
      <c r="H150" s="175" t="str">
        <f>IF(B150="","",IF(ISNA(VLOOKUP($B150,'B-1 Site Hedge Baseline'!$B$1:$L$257,8,FALSE)),"",(VLOOKUP($B150,'B-1 Site Hedge Baseline'!$B$1:$L$257,8,FALSE))))</f>
        <v/>
      </c>
      <c r="I150" s="175" t="str">
        <f>IF(B150="","",IF(ISNA(VLOOKUP($B150,'B-1 Site Hedge Baseline'!$B$1:$L$257,10,FALSE)),"",(VLOOKUP($B150,'B-1 Site Hedge Baseline'!$B$1:$L$257,10,FALSE))))</f>
        <v/>
      </c>
      <c r="J150" s="175" t="str">
        <f>IF(B150="","",IF(ISNA(VLOOKUP($B150,'B-1 Site Hedge Baseline'!$B$1:$L$257,11,FALSE)),"",(VLOOKUP($B150,'B-1 Site Hedge Baseline'!$B$1:$L$257,11,FALSE))))</f>
        <v/>
      </c>
      <c r="K150" s="175" t="str">
        <f>IF(B150="","",IF(ISNA(VLOOKUP($B150,'B-1 Site Hedge Baseline'!$B$1:$U$257,13,FALSE)),"",(VLOOKUP($B150,'B-1 Site Hedge Baseline'!$B$1:$U$257,13,FALSE))))</f>
        <v/>
      </c>
      <c r="L150" s="176" t="str">
        <f>IF(B150="","",IF(ISNA(VLOOKUP($B150,'B-1 Site Hedge Baseline'!$B$1:$U$257,12,FALSE)),"",(VLOOKUP($B150,'B-1 Site Hedge Baseline'!$B$1:$U$257,12,FALSE))))</f>
        <v/>
      </c>
      <c r="M150" s="637"/>
      <c r="N150" s="171" t="str">
        <f>IFERROR(IF(B150="","",INDEX('G-6 Hedgerow Data'!$AN$3:$AZ$15,MATCH(C150,'G-6 Hedgerow Data'!$AM$3:$AM$15,0),MATCH(M150,'G-6 Hedgerow Data'!$AN$2:$AZ$2,0))),"")</f>
        <v/>
      </c>
      <c r="O150" s="172" t="str">
        <f t="shared" si="14"/>
        <v/>
      </c>
      <c r="P150" s="642" t="str">
        <f>IF(B150="","",VLOOKUP(B150,'B-1 Site Hedge Baseline'!$B$10:T395,16,FALSE))</f>
        <v/>
      </c>
      <c r="Q150" s="171" t="str">
        <f>IF(M150="","",VLOOKUP(M150,'G-6 Hedgerow Data'!$B$2:$AG$15,2,FALSE))</f>
        <v/>
      </c>
      <c r="R150" s="172" t="str">
        <f>IF(M150="","",VLOOKUP(M150,'G-6 Hedgerow Data'!$B$2:$AG$15,3,FALSE))</f>
        <v/>
      </c>
      <c r="S150" s="189"/>
      <c r="T150" s="269" t="str">
        <f>IFERROR(VLOOKUP(S150,'G-1 All Habitats'!$Z$2:$AA$9,2,FALSE),"")</f>
        <v/>
      </c>
      <c r="U150" s="186"/>
      <c r="V150" s="175" t="str">
        <f>IF(U150="","",IF(VLOOKUP(U150,'G-3 Multipliers'!$L$3:$N$6,2,FALSE)=0,"Spatial Data Missing",VLOOKUP(U150,'G-3 Multipliers'!$L$3:$N$6,2,FALSE)))</f>
        <v/>
      </c>
      <c r="W150" s="176" t="str">
        <f>IF(U150="","",IF(VLOOKUP(U150,'G-3 Multipliers'!$L$3:$N$6,3,FALSE)=0,"Spatial Data Missing",VLOOKUP(U150,'G-3 Multipliers'!$L$3:$N$6,3,FALSE)))</f>
        <v/>
      </c>
      <c r="X150" s="171" t="str">
        <f>IFERROR(IF(OR(LEFT(O150,5)="Error",LEFT(N150,5)="Error",T150="Error"),"Check Data",IF(F150&lt;R150,INDEX('G-6 Hedgerow Data'!$S$3:$AE$14,MATCH(C150,'G-6 Hedgerow Data'!$B$3:$B$14,0),MATCH(M150,'G-6 Hedgerow Data'!$S$2:$AE$2,0)),INDEX('G-6 Hedgerow Data'!$K$3:$Q$14,MATCH(M150,'G-6 Hedgerow Data'!$B$3:$B$14,0),MATCH(O150,'G-6 Hedgerow Data'!$K$2:$Q$2,0)))),"")</f>
        <v/>
      </c>
      <c r="Y150" s="261"/>
      <c r="Z150" s="261"/>
      <c r="AA150" s="179" t="str">
        <f t="shared" si="17"/>
        <v/>
      </c>
      <c r="AB150" s="262" t="str">
        <f t="shared" si="18"/>
        <v/>
      </c>
      <c r="AC150" s="263" t="str">
        <f t="shared" si="15"/>
        <v/>
      </c>
      <c r="AD150" s="239" t="str">
        <f>IF(M150="","",VLOOKUP(M150,'G-6 Hedgerow Data'!$B$3:$AG$15,31,FALSE))</f>
        <v/>
      </c>
      <c r="AE150" s="179" t="str">
        <f t="shared" si="19"/>
        <v/>
      </c>
      <c r="AF150" s="179" t="str">
        <f t="shared" si="20"/>
        <v/>
      </c>
      <c r="AG150" s="176" t="str">
        <f>IFERROR(IF(O150="","",VLOOKUP(AD150,'G-3 Multipliers'!$P$3:$Q$6,2,FALSE)),"")</f>
        <v/>
      </c>
      <c r="AH150" s="207" t="str">
        <f t="shared" si="16"/>
        <v/>
      </c>
      <c r="AI150" s="336"/>
      <c r="AJ150" s="181"/>
      <c r="AT150" s="35" t="str">
        <f>IFERROR(INDEX('G-6 Hedgerow Data'!$BJ$3:$BJ$15,MATCH(M150,'G-6 Hedgerow Data'!$B$3:$B$15,0)),"")</f>
        <v/>
      </c>
    </row>
    <row r="151" spans="2:46" ht="13.8" x14ac:dyDescent="0.25">
      <c r="B151" s="259" t="str">
        <f>'B-1 Site Hedge Baseline'!AK149</f>
        <v/>
      </c>
      <c r="C151" s="175" t="str">
        <f>IF(B151="","",IF(ISNA(VLOOKUP($B151,'B-1 Site Hedge Baseline'!$B$1:$L$257,3,FALSE)),"",(VLOOKUP($B151,'B-1 Site Hedge Baseline'!$B$1:$L$257,3,FALSE))))</f>
        <v/>
      </c>
      <c r="D151" s="175" t="str">
        <f>IF(B151="","",IF(ISNA(VLOOKUP($B151,'B-1 Site Hedge Baseline'!$B$1:$L$257,4,FALSE)),"",(VLOOKUP($B151,'B-1 Site Hedge Baseline'!$B$1:$L$257,4,FALSE))))</f>
        <v/>
      </c>
      <c r="E151" s="175" t="str">
        <f>IF(B151="","",IF(ISNA(VLOOKUP($B151,'B-1 Site Hedge Baseline'!$B$1:$L$257,5,FALSE)),"",(VLOOKUP($B151,'B-1 Site Hedge Baseline'!$B$1:$L$257,5,FALSE))))</f>
        <v/>
      </c>
      <c r="F151" s="175" t="str">
        <f>IF(B151="","",IF(ISNA(VLOOKUP($B151,'B-1 Site Hedge Baseline'!$B$1:$L$257,6,FALSE)),"",(VLOOKUP($B151,'B-1 Site Hedge Baseline'!$B$1:$L$257,6,FALSE))))</f>
        <v/>
      </c>
      <c r="G151" s="175" t="str">
        <f>IF(B151="","",IF(ISNA(VLOOKUP($B151,'B-1 Site Hedge Baseline'!$B$1:$L$257,7,FALSE)),"",(VLOOKUP($B151,'B-1 Site Hedge Baseline'!$B$1:$L$257,7,FALSE))))</f>
        <v/>
      </c>
      <c r="H151" s="175" t="str">
        <f>IF(B151="","",IF(ISNA(VLOOKUP($B151,'B-1 Site Hedge Baseline'!$B$1:$L$257,8,FALSE)),"",(VLOOKUP($B151,'B-1 Site Hedge Baseline'!$B$1:$L$257,8,FALSE))))</f>
        <v/>
      </c>
      <c r="I151" s="175" t="str">
        <f>IF(B151="","",IF(ISNA(VLOOKUP($B151,'B-1 Site Hedge Baseline'!$B$1:$L$257,10,FALSE)),"",(VLOOKUP($B151,'B-1 Site Hedge Baseline'!$B$1:$L$257,10,FALSE))))</f>
        <v/>
      </c>
      <c r="J151" s="175" t="str">
        <f>IF(B151="","",IF(ISNA(VLOOKUP($B151,'B-1 Site Hedge Baseline'!$B$1:$L$257,11,FALSE)),"",(VLOOKUP($B151,'B-1 Site Hedge Baseline'!$B$1:$L$257,11,FALSE))))</f>
        <v/>
      </c>
      <c r="K151" s="175" t="str">
        <f>IF(B151="","",IF(ISNA(VLOOKUP($B151,'B-1 Site Hedge Baseline'!$B$1:$U$257,13,FALSE)),"",(VLOOKUP($B151,'B-1 Site Hedge Baseline'!$B$1:$U$257,13,FALSE))))</f>
        <v/>
      </c>
      <c r="L151" s="176" t="str">
        <f>IF(B151="","",IF(ISNA(VLOOKUP($B151,'B-1 Site Hedge Baseline'!$B$1:$U$257,12,FALSE)),"",(VLOOKUP($B151,'B-1 Site Hedge Baseline'!$B$1:$U$257,12,FALSE))))</f>
        <v/>
      </c>
      <c r="M151" s="637"/>
      <c r="N151" s="171" t="str">
        <f>IFERROR(IF(B151="","",INDEX('G-6 Hedgerow Data'!$AN$3:$AZ$15,MATCH(C151,'G-6 Hedgerow Data'!$AM$3:$AM$15,0),MATCH(M151,'G-6 Hedgerow Data'!$AN$2:$AZ$2,0))),"")</f>
        <v/>
      </c>
      <c r="O151" s="172" t="str">
        <f t="shared" si="14"/>
        <v/>
      </c>
      <c r="P151" s="642" t="str">
        <f>IF(B151="","",VLOOKUP(B151,'B-1 Site Hedge Baseline'!$B$10:T396,16,FALSE))</f>
        <v/>
      </c>
      <c r="Q151" s="171" t="str">
        <f>IF(M151="","",VLOOKUP(M151,'G-6 Hedgerow Data'!$B$2:$AG$15,2,FALSE))</f>
        <v/>
      </c>
      <c r="R151" s="172" t="str">
        <f>IF(M151="","",VLOOKUP(M151,'G-6 Hedgerow Data'!$B$2:$AG$15,3,FALSE))</f>
        <v/>
      </c>
      <c r="S151" s="189"/>
      <c r="T151" s="269" t="str">
        <f>IFERROR(VLOOKUP(S151,'G-1 All Habitats'!$Z$2:$AA$9,2,FALSE),"")</f>
        <v/>
      </c>
      <c r="U151" s="186"/>
      <c r="V151" s="175" t="str">
        <f>IF(U151="","",IF(VLOOKUP(U151,'G-3 Multipliers'!$L$3:$N$6,2,FALSE)=0,"Spatial Data Missing",VLOOKUP(U151,'G-3 Multipliers'!$L$3:$N$6,2,FALSE)))</f>
        <v/>
      </c>
      <c r="W151" s="176" t="str">
        <f>IF(U151="","",IF(VLOOKUP(U151,'G-3 Multipliers'!$L$3:$N$6,3,FALSE)=0,"Spatial Data Missing",VLOOKUP(U151,'G-3 Multipliers'!$L$3:$N$6,3,FALSE)))</f>
        <v/>
      </c>
      <c r="X151" s="171" t="str">
        <f>IFERROR(IF(OR(LEFT(O151,5)="Error",LEFT(N151,5)="Error",T151="Error"),"Check Data",IF(F151&lt;R151,INDEX('G-6 Hedgerow Data'!$S$3:$AE$14,MATCH(C151,'G-6 Hedgerow Data'!$B$3:$B$14,0),MATCH(M151,'G-6 Hedgerow Data'!$S$2:$AE$2,0)),INDEX('G-6 Hedgerow Data'!$K$3:$Q$14,MATCH(M151,'G-6 Hedgerow Data'!$B$3:$B$14,0),MATCH(O151,'G-6 Hedgerow Data'!$K$2:$Q$2,0)))),"")</f>
        <v/>
      </c>
      <c r="Y151" s="261"/>
      <c r="Z151" s="261"/>
      <c r="AA151" s="179" t="str">
        <f t="shared" si="17"/>
        <v/>
      </c>
      <c r="AB151" s="262" t="str">
        <f t="shared" si="18"/>
        <v/>
      </c>
      <c r="AC151" s="263" t="str">
        <f t="shared" si="15"/>
        <v/>
      </c>
      <c r="AD151" s="239" t="str">
        <f>IF(M151="","",VLOOKUP(M151,'G-6 Hedgerow Data'!$B$3:$AG$15,31,FALSE))</f>
        <v/>
      </c>
      <c r="AE151" s="179" t="str">
        <f t="shared" si="19"/>
        <v/>
      </c>
      <c r="AF151" s="179" t="str">
        <f t="shared" si="20"/>
        <v/>
      </c>
      <c r="AG151" s="176" t="str">
        <f>IFERROR(IF(O151="","",VLOOKUP(AD151,'G-3 Multipliers'!$P$3:$Q$6,2,FALSE)),"")</f>
        <v/>
      </c>
      <c r="AH151" s="207" t="str">
        <f t="shared" si="16"/>
        <v/>
      </c>
      <c r="AI151" s="336"/>
      <c r="AJ151" s="181"/>
      <c r="AT151" s="35" t="str">
        <f>IFERROR(INDEX('G-6 Hedgerow Data'!$BJ$3:$BJ$15,MATCH(M151,'G-6 Hedgerow Data'!$B$3:$B$15,0)),"")</f>
        <v/>
      </c>
    </row>
    <row r="152" spans="2:46" ht="13.8" x14ac:dyDescent="0.25">
      <c r="B152" s="259" t="str">
        <f>'B-1 Site Hedge Baseline'!AK150</f>
        <v/>
      </c>
      <c r="C152" s="175" t="str">
        <f>IF(B152="","",IF(ISNA(VLOOKUP($B152,'B-1 Site Hedge Baseline'!$B$1:$L$257,3,FALSE)),"",(VLOOKUP($B152,'B-1 Site Hedge Baseline'!$B$1:$L$257,3,FALSE))))</f>
        <v/>
      </c>
      <c r="D152" s="175" t="str">
        <f>IF(B152="","",IF(ISNA(VLOOKUP($B152,'B-1 Site Hedge Baseline'!$B$1:$L$257,4,FALSE)),"",(VLOOKUP($B152,'B-1 Site Hedge Baseline'!$B$1:$L$257,4,FALSE))))</f>
        <v/>
      </c>
      <c r="E152" s="175" t="str">
        <f>IF(B152="","",IF(ISNA(VLOOKUP($B152,'B-1 Site Hedge Baseline'!$B$1:$L$257,5,FALSE)),"",(VLOOKUP($B152,'B-1 Site Hedge Baseline'!$B$1:$L$257,5,FALSE))))</f>
        <v/>
      </c>
      <c r="F152" s="175" t="str">
        <f>IF(B152="","",IF(ISNA(VLOOKUP($B152,'B-1 Site Hedge Baseline'!$B$1:$L$257,6,FALSE)),"",(VLOOKUP($B152,'B-1 Site Hedge Baseline'!$B$1:$L$257,6,FALSE))))</f>
        <v/>
      </c>
      <c r="G152" s="175" t="str">
        <f>IF(B152="","",IF(ISNA(VLOOKUP($B152,'B-1 Site Hedge Baseline'!$B$1:$L$257,7,FALSE)),"",(VLOOKUP($B152,'B-1 Site Hedge Baseline'!$B$1:$L$257,7,FALSE))))</f>
        <v/>
      </c>
      <c r="H152" s="175" t="str">
        <f>IF(B152="","",IF(ISNA(VLOOKUP($B152,'B-1 Site Hedge Baseline'!$B$1:$L$257,8,FALSE)),"",(VLOOKUP($B152,'B-1 Site Hedge Baseline'!$B$1:$L$257,8,FALSE))))</f>
        <v/>
      </c>
      <c r="I152" s="175" t="str">
        <f>IF(B152="","",IF(ISNA(VLOOKUP($B152,'B-1 Site Hedge Baseline'!$B$1:$L$257,10,FALSE)),"",(VLOOKUP($B152,'B-1 Site Hedge Baseline'!$B$1:$L$257,10,FALSE))))</f>
        <v/>
      </c>
      <c r="J152" s="175" t="str">
        <f>IF(B152="","",IF(ISNA(VLOOKUP($B152,'B-1 Site Hedge Baseline'!$B$1:$L$257,11,FALSE)),"",(VLOOKUP($B152,'B-1 Site Hedge Baseline'!$B$1:$L$257,11,FALSE))))</f>
        <v/>
      </c>
      <c r="K152" s="175" t="str">
        <f>IF(B152="","",IF(ISNA(VLOOKUP($B152,'B-1 Site Hedge Baseline'!$B$1:$U$257,13,FALSE)),"",(VLOOKUP($B152,'B-1 Site Hedge Baseline'!$B$1:$U$257,13,FALSE))))</f>
        <v/>
      </c>
      <c r="L152" s="176" t="str">
        <f>IF(B152="","",IF(ISNA(VLOOKUP($B152,'B-1 Site Hedge Baseline'!$B$1:$U$257,12,FALSE)),"",(VLOOKUP($B152,'B-1 Site Hedge Baseline'!$B$1:$U$257,12,FALSE))))</f>
        <v/>
      </c>
      <c r="M152" s="637"/>
      <c r="N152" s="171" t="str">
        <f>IFERROR(IF(B152="","",INDEX('G-6 Hedgerow Data'!$AN$3:$AZ$15,MATCH(C152,'G-6 Hedgerow Data'!$AM$3:$AM$15,0),MATCH(M152,'G-6 Hedgerow Data'!$AN$2:$AZ$2,0))),"")</f>
        <v/>
      </c>
      <c r="O152" s="172" t="str">
        <f t="shared" si="14"/>
        <v/>
      </c>
      <c r="P152" s="642" t="str">
        <f>IF(B152="","",VLOOKUP(B152,'B-1 Site Hedge Baseline'!$B$10:T397,16,FALSE))</f>
        <v/>
      </c>
      <c r="Q152" s="171" t="str">
        <f>IF(M152="","",VLOOKUP(M152,'G-6 Hedgerow Data'!$B$2:$AG$15,2,FALSE))</f>
        <v/>
      </c>
      <c r="R152" s="172" t="str">
        <f>IF(M152="","",VLOOKUP(M152,'G-6 Hedgerow Data'!$B$2:$AG$15,3,FALSE))</f>
        <v/>
      </c>
      <c r="S152" s="189"/>
      <c r="T152" s="269" t="str">
        <f>IFERROR(VLOOKUP(S152,'G-1 All Habitats'!$Z$2:$AA$9,2,FALSE),"")</f>
        <v/>
      </c>
      <c r="U152" s="186"/>
      <c r="V152" s="175" t="str">
        <f>IF(U152="","",IF(VLOOKUP(U152,'G-3 Multipliers'!$L$3:$N$6,2,FALSE)=0,"Spatial Data Missing",VLOOKUP(U152,'G-3 Multipliers'!$L$3:$N$6,2,FALSE)))</f>
        <v/>
      </c>
      <c r="W152" s="176" t="str">
        <f>IF(U152="","",IF(VLOOKUP(U152,'G-3 Multipliers'!$L$3:$N$6,3,FALSE)=0,"Spatial Data Missing",VLOOKUP(U152,'G-3 Multipliers'!$L$3:$N$6,3,FALSE)))</f>
        <v/>
      </c>
      <c r="X152" s="171" t="str">
        <f>IFERROR(IF(OR(LEFT(O152,5)="Error",LEFT(N152,5)="Error",T152="Error"),"Check Data",IF(F152&lt;R152,INDEX('G-6 Hedgerow Data'!$S$3:$AE$14,MATCH(C152,'G-6 Hedgerow Data'!$B$3:$B$14,0),MATCH(M152,'G-6 Hedgerow Data'!$S$2:$AE$2,0)),INDEX('G-6 Hedgerow Data'!$K$3:$Q$14,MATCH(M152,'G-6 Hedgerow Data'!$B$3:$B$14,0),MATCH(O152,'G-6 Hedgerow Data'!$K$2:$Q$2,0)))),"")</f>
        <v/>
      </c>
      <c r="Y152" s="261"/>
      <c r="Z152" s="261"/>
      <c r="AA152" s="179" t="str">
        <f t="shared" si="17"/>
        <v/>
      </c>
      <c r="AB152" s="262" t="str">
        <f t="shared" si="18"/>
        <v/>
      </c>
      <c r="AC152" s="263" t="str">
        <f t="shared" si="15"/>
        <v/>
      </c>
      <c r="AD152" s="239" t="str">
        <f>IF(M152="","",VLOOKUP(M152,'G-6 Hedgerow Data'!$B$3:$AG$15,31,FALSE))</f>
        <v/>
      </c>
      <c r="AE152" s="179" t="str">
        <f t="shared" si="19"/>
        <v/>
      </c>
      <c r="AF152" s="179" t="str">
        <f t="shared" si="20"/>
        <v/>
      </c>
      <c r="AG152" s="176" t="str">
        <f>IFERROR(IF(O152="","",VLOOKUP(AD152,'G-3 Multipliers'!$P$3:$Q$6,2,FALSE)),"")</f>
        <v/>
      </c>
      <c r="AH152" s="207" t="str">
        <f t="shared" si="16"/>
        <v/>
      </c>
      <c r="AI152" s="336"/>
      <c r="AJ152" s="181"/>
      <c r="AT152" s="35" t="str">
        <f>IFERROR(INDEX('G-6 Hedgerow Data'!$BJ$3:$BJ$15,MATCH(M152,'G-6 Hedgerow Data'!$B$3:$B$15,0)),"")</f>
        <v/>
      </c>
    </row>
    <row r="153" spans="2:46" ht="13.8" x14ac:dyDescent="0.25">
      <c r="B153" s="259" t="str">
        <f>'B-1 Site Hedge Baseline'!AK151</f>
        <v/>
      </c>
      <c r="C153" s="175" t="str">
        <f>IF(B153="","",IF(ISNA(VLOOKUP($B153,'B-1 Site Hedge Baseline'!$B$1:$L$257,3,FALSE)),"",(VLOOKUP($B153,'B-1 Site Hedge Baseline'!$B$1:$L$257,3,FALSE))))</f>
        <v/>
      </c>
      <c r="D153" s="175" t="str">
        <f>IF(B153="","",IF(ISNA(VLOOKUP($B153,'B-1 Site Hedge Baseline'!$B$1:$L$257,4,FALSE)),"",(VLOOKUP($B153,'B-1 Site Hedge Baseline'!$B$1:$L$257,4,FALSE))))</f>
        <v/>
      </c>
      <c r="E153" s="175" t="str">
        <f>IF(B153="","",IF(ISNA(VLOOKUP($B153,'B-1 Site Hedge Baseline'!$B$1:$L$257,5,FALSE)),"",(VLOOKUP($B153,'B-1 Site Hedge Baseline'!$B$1:$L$257,5,FALSE))))</f>
        <v/>
      </c>
      <c r="F153" s="175" t="str">
        <f>IF(B153="","",IF(ISNA(VLOOKUP($B153,'B-1 Site Hedge Baseline'!$B$1:$L$257,6,FALSE)),"",(VLOOKUP($B153,'B-1 Site Hedge Baseline'!$B$1:$L$257,6,FALSE))))</f>
        <v/>
      </c>
      <c r="G153" s="175" t="str">
        <f>IF(B153="","",IF(ISNA(VLOOKUP($B153,'B-1 Site Hedge Baseline'!$B$1:$L$257,7,FALSE)),"",(VLOOKUP($B153,'B-1 Site Hedge Baseline'!$B$1:$L$257,7,FALSE))))</f>
        <v/>
      </c>
      <c r="H153" s="175" t="str">
        <f>IF(B153="","",IF(ISNA(VLOOKUP($B153,'B-1 Site Hedge Baseline'!$B$1:$L$257,8,FALSE)),"",(VLOOKUP($B153,'B-1 Site Hedge Baseline'!$B$1:$L$257,8,FALSE))))</f>
        <v/>
      </c>
      <c r="I153" s="175" t="str">
        <f>IF(B153="","",IF(ISNA(VLOOKUP($B153,'B-1 Site Hedge Baseline'!$B$1:$L$257,10,FALSE)),"",(VLOOKUP($B153,'B-1 Site Hedge Baseline'!$B$1:$L$257,10,FALSE))))</f>
        <v/>
      </c>
      <c r="J153" s="175" t="str">
        <f>IF(B153="","",IF(ISNA(VLOOKUP($B153,'B-1 Site Hedge Baseline'!$B$1:$L$257,11,FALSE)),"",(VLOOKUP($B153,'B-1 Site Hedge Baseline'!$B$1:$L$257,11,FALSE))))</f>
        <v/>
      </c>
      <c r="K153" s="175" t="str">
        <f>IF(B153="","",IF(ISNA(VLOOKUP($B153,'B-1 Site Hedge Baseline'!$B$1:$U$257,13,FALSE)),"",(VLOOKUP($B153,'B-1 Site Hedge Baseline'!$B$1:$U$257,13,FALSE))))</f>
        <v/>
      </c>
      <c r="L153" s="176" t="str">
        <f>IF(B153="","",IF(ISNA(VLOOKUP($B153,'B-1 Site Hedge Baseline'!$B$1:$U$257,12,FALSE)),"",(VLOOKUP($B153,'B-1 Site Hedge Baseline'!$B$1:$U$257,12,FALSE))))</f>
        <v/>
      </c>
      <c r="M153" s="637"/>
      <c r="N153" s="171" t="str">
        <f>IFERROR(IF(B153="","",INDEX('G-6 Hedgerow Data'!$AN$3:$AZ$15,MATCH(C153,'G-6 Hedgerow Data'!$AM$3:$AM$15,0),MATCH(M153,'G-6 Hedgerow Data'!$AN$2:$AZ$2,0))),"")</f>
        <v/>
      </c>
      <c r="O153" s="172" t="str">
        <f t="shared" si="14"/>
        <v/>
      </c>
      <c r="P153" s="642" t="str">
        <f>IF(B153="","",VLOOKUP(B153,'B-1 Site Hedge Baseline'!$B$10:T398,16,FALSE))</f>
        <v/>
      </c>
      <c r="Q153" s="171" t="str">
        <f>IF(M153="","",VLOOKUP(M153,'G-6 Hedgerow Data'!$B$2:$AG$15,2,FALSE))</f>
        <v/>
      </c>
      <c r="R153" s="172" t="str">
        <f>IF(M153="","",VLOOKUP(M153,'G-6 Hedgerow Data'!$B$2:$AG$15,3,FALSE))</f>
        <v/>
      </c>
      <c r="S153" s="189"/>
      <c r="T153" s="269" t="str">
        <f>IFERROR(VLOOKUP(S153,'G-1 All Habitats'!$Z$2:$AA$9,2,FALSE),"")</f>
        <v/>
      </c>
      <c r="U153" s="186"/>
      <c r="V153" s="175" t="str">
        <f>IF(U153="","",IF(VLOOKUP(U153,'G-3 Multipliers'!$L$3:$N$6,2,FALSE)=0,"Spatial Data Missing",VLOOKUP(U153,'G-3 Multipliers'!$L$3:$N$6,2,FALSE)))</f>
        <v/>
      </c>
      <c r="W153" s="176" t="str">
        <f>IF(U153="","",IF(VLOOKUP(U153,'G-3 Multipliers'!$L$3:$N$6,3,FALSE)=0,"Spatial Data Missing",VLOOKUP(U153,'G-3 Multipliers'!$L$3:$N$6,3,FALSE)))</f>
        <v/>
      </c>
      <c r="X153" s="171" t="str">
        <f>IFERROR(IF(OR(LEFT(O153,5)="Error",LEFT(N153,5)="Error",T153="Error"),"Check Data",IF(F153&lt;R153,INDEX('G-6 Hedgerow Data'!$S$3:$AE$14,MATCH(C153,'G-6 Hedgerow Data'!$B$3:$B$14,0),MATCH(M153,'G-6 Hedgerow Data'!$S$2:$AE$2,0)),INDEX('G-6 Hedgerow Data'!$K$3:$Q$14,MATCH(M153,'G-6 Hedgerow Data'!$B$3:$B$14,0),MATCH(O153,'G-6 Hedgerow Data'!$K$2:$Q$2,0)))),"")</f>
        <v/>
      </c>
      <c r="Y153" s="261"/>
      <c r="Z153" s="261"/>
      <c r="AA153" s="179" t="str">
        <f t="shared" si="17"/>
        <v/>
      </c>
      <c r="AB153" s="262" t="str">
        <f t="shared" si="18"/>
        <v/>
      </c>
      <c r="AC153" s="263" t="str">
        <f t="shared" si="15"/>
        <v/>
      </c>
      <c r="AD153" s="239" t="str">
        <f>IF(M153="","",VLOOKUP(M153,'G-6 Hedgerow Data'!$B$3:$AG$15,31,FALSE))</f>
        <v/>
      </c>
      <c r="AE153" s="179" t="str">
        <f t="shared" si="19"/>
        <v/>
      </c>
      <c r="AF153" s="179" t="str">
        <f t="shared" si="20"/>
        <v/>
      </c>
      <c r="AG153" s="176" t="str">
        <f>IFERROR(IF(O153="","",VLOOKUP(AD153,'G-3 Multipliers'!$P$3:$Q$6,2,FALSE)),"")</f>
        <v/>
      </c>
      <c r="AH153" s="207" t="str">
        <f t="shared" si="16"/>
        <v/>
      </c>
      <c r="AI153" s="336"/>
      <c r="AJ153" s="181"/>
      <c r="AT153" s="35" t="str">
        <f>IFERROR(INDEX('G-6 Hedgerow Data'!$BJ$3:$BJ$15,MATCH(M153,'G-6 Hedgerow Data'!$B$3:$B$15,0)),"")</f>
        <v/>
      </c>
    </row>
    <row r="154" spans="2:46" ht="13.8" x14ac:dyDescent="0.25">
      <c r="B154" s="259" t="str">
        <f>'B-1 Site Hedge Baseline'!AK152</f>
        <v/>
      </c>
      <c r="C154" s="175" t="str">
        <f>IF(B154="","",IF(ISNA(VLOOKUP($B154,'B-1 Site Hedge Baseline'!$B$1:$L$257,3,FALSE)),"",(VLOOKUP($B154,'B-1 Site Hedge Baseline'!$B$1:$L$257,3,FALSE))))</f>
        <v/>
      </c>
      <c r="D154" s="175" t="str">
        <f>IF(B154="","",IF(ISNA(VLOOKUP($B154,'B-1 Site Hedge Baseline'!$B$1:$L$257,4,FALSE)),"",(VLOOKUP($B154,'B-1 Site Hedge Baseline'!$B$1:$L$257,4,FALSE))))</f>
        <v/>
      </c>
      <c r="E154" s="175" t="str">
        <f>IF(B154="","",IF(ISNA(VLOOKUP($B154,'B-1 Site Hedge Baseline'!$B$1:$L$257,5,FALSE)),"",(VLOOKUP($B154,'B-1 Site Hedge Baseline'!$B$1:$L$257,5,FALSE))))</f>
        <v/>
      </c>
      <c r="F154" s="175" t="str">
        <f>IF(B154="","",IF(ISNA(VLOOKUP($B154,'B-1 Site Hedge Baseline'!$B$1:$L$257,6,FALSE)),"",(VLOOKUP($B154,'B-1 Site Hedge Baseline'!$B$1:$L$257,6,FALSE))))</f>
        <v/>
      </c>
      <c r="G154" s="175" t="str">
        <f>IF(B154="","",IF(ISNA(VLOOKUP($B154,'B-1 Site Hedge Baseline'!$B$1:$L$257,7,FALSE)),"",(VLOOKUP($B154,'B-1 Site Hedge Baseline'!$B$1:$L$257,7,FALSE))))</f>
        <v/>
      </c>
      <c r="H154" s="175" t="str">
        <f>IF(B154="","",IF(ISNA(VLOOKUP($B154,'B-1 Site Hedge Baseline'!$B$1:$L$257,8,FALSE)),"",(VLOOKUP($B154,'B-1 Site Hedge Baseline'!$B$1:$L$257,8,FALSE))))</f>
        <v/>
      </c>
      <c r="I154" s="175" t="str">
        <f>IF(B154="","",IF(ISNA(VLOOKUP($B154,'B-1 Site Hedge Baseline'!$B$1:$L$257,10,FALSE)),"",(VLOOKUP($B154,'B-1 Site Hedge Baseline'!$B$1:$L$257,10,FALSE))))</f>
        <v/>
      </c>
      <c r="J154" s="175" t="str">
        <f>IF(B154="","",IF(ISNA(VLOOKUP($B154,'B-1 Site Hedge Baseline'!$B$1:$L$257,11,FALSE)),"",(VLOOKUP($B154,'B-1 Site Hedge Baseline'!$B$1:$L$257,11,FALSE))))</f>
        <v/>
      </c>
      <c r="K154" s="175" t="str">
        <f>IF(B154="","",IF(ISNA(VLOOKUP($B154,'B-1 Site Hedge Baseline'!$B$1:$U$257,13,FALSE)),"",(VLOOKUP($B154,'B-1 Site Hedge Baseline'!$B$1:$U$257,13,FALSE))))</f>
        <v/>
      </c>
      <c r="L154" s="176" t="str">
        <f>IF(B154="","",IF(ISNA(VLOOKUP($B154,'B-1 Site Hedge Baseline'!$B$1:$U$257,12,FALSE)),"",(VLOOKUP($B154,'B-1 Site Hedge Baseline'!$B$1:$U$257,12,FALSE))))</f>
        <v/>
      </c>
      <c r="M154" s="637"/>
      <c r="N154" s="171" t="str">
        <f>IFERROR(IF(B154="","",INDEX('G-6 Hedgerow Data'!$AN$3:$AZ$15,MATCH(C154,'G-6 Hedgerow Data'!$AM$3:$AM$15,0),MATCH(M154,'G-6 Hedgerow Data'!$AN$2:$AZ$2,0))),"")</f>
        <v/>
      </c>
      <c r="O154" s="172" t="str">
        <f t="shared" si="14"/>
        <v/>
      </c>
      <c r="P154" s="642" t="str">
        <f>IF(B154="","",VLOOKUP(B154,'B-1 Site Hedge Baseline'!$B$10:T399,16,FALSE))</f>
        <v/>
      </c>
      <c r="Q154" s="171" t="str">
        <f>IF(M154="","",VLOOKUP(M154,'G-6 Hedgerow Data'!$B$2:$AG$15,2,FALSE))</f>
        <v/>
      </c>
      <c r="R154" s="172" t="str">
        <f>IF(M154="","",VLOOKUP(M154,'G-6 Hedgerow Data'!$B$2:$AG$15,3,FALSE))</f>
        <v/>
      </c>
      <c r="S154" s="189"/>
      <c r="T154" s="269" t="str">
        <f>IFERROR(VLOOKUP(S154,'G-1 All Habitats'!$Z$2:$AA$9,2,FALSE),"")</f>
        <v/>
      </c>
      <c r="U154" s="186"/>
      <c r="V154" s="175" t="str">
        <f>IF(U154="","",IF(VLOOKUP(U154,'G-3 Multipliers'!$L$3:$N$6,2,FALSE)=0,"Spatial Data Missing",VLOOKUP(U154,'G-3 Multipliers'!$L$3:$N$6,2,FALSE)))</f>
        <v/>
      </c>
      <c r="W154" s="176" t="str">
        <f>IF(U154="","",IF(VLOOKUP(U154,'G-3 Multipliers'!$L$3:$N$6,3,FALSE)=0,"Spatial Data Missing",VLOOKUP(U154,'G-3 Multipliers'!$L$3:$N$6,3,FALSE)))</f>
        <v/>
      </c>
      <c r="X154" s="171" t="str">
        <f>IFERROR(IF(OR(LEFT(O154,5)="Error",LEFT(N154,5)="Error",T154="Error"),"Check Data",IF(F154&lt;R154,INDEX('G-6 Hedgerow Data'!$S$3:$AE$14,MATCH(C154,'G-6 Hedgerow Data'!$B$3:$B$14,0),MATCH(M154,'G-6 Hedgerow Data'!$S$2:$AE$2,0)),INDEX('G-6 Hedgerow Data'!$K$3:$Q$14,MATCH(M154,'G-6 Hedgerow Data'!$B$3:$B$14,0),MATCH(O154,'G-6 Hedgerow Data'!$K$2:$Q$2,0)))),"")</f>
        <v/>
      </c>
      <c r="Y154" s="261"/>
      <c r="Z154" s="261"/>
      <c r="AA154" s="179" t="str">
        <f t="shared" si="17"/>
        <v/>
      </c>
      <c r="AB154" s="262" t="str">
        <f t="shared" si="18"/>
        <v/>
      </c>
      <c r="AC154" s="263" t="str">
        <f t="shared" si="15"/>
        <v/>
      </c>
      <c r="AD154" s="239" t="str">
        <f>IF(M154="","",VLOOKUP(M154,'G-6 Hedgerow Data'!$B$3:$AG$15,31,FALSE))</f>
        <v/>
      </c>
      <c r="AE154" s="179" t="str">
        <f t="shared" si="19"/>
        <v/>
      </c>
      <c r="AF154" s="179" t="str">
        <f t="shared" si="20"/>
        <v/>
      </c>
      <c r="AG154" s="176" t="str">
        <f>IFERROR(IF(O154="","",VLOOKUP(AD154,'G-3 Multipliers'!$P$3:$Q$6,2,FALSE)),"")</f>
        <v/>
      </c>
      <c r="AH154" s="207" t="str">
        <f t="shared" si="16"/>
        <v/>
      </c>
      <c r="AI154" s="336"/>
      <c r="AJ154" s="181"/>
      <c r="AT154" s="35" t="str">
        <f>IFERROR(INDEX('G-6 Hedgerow Data'!$BJ$3:$BJ$15,MATCH(M154,'G-6 Hedgerow Data'!$B$3:$B$15,0)),"")</f>
        <v/>
      </c>
    </row>
    <row r="155" spans="2:46" ht="13.8" x14ac:dyDescent="0.25">
      <c r="B155" s="259" t="str">
        <f>'B-1 Site Hedge Baseline'!AK153</f>
        <v/>
      </c>
      <c r="C155" s="175" t="str">
        <f>IF(B155="","",IF(ISNA(VLOOKUP($B155,'B-1 Site Hedge Baseline'!$B$1:$L$257,3,FALSE)),"",(VLOOKUP($B155,'B-1 Site Hedge Baseline'!$B$1:$L$257,3,FALSE))))</f>
        <v/>
      </c>
      <c r="D155" s="175" t="str">
        <f>IF(B155="","",IF(ISNA(VLOOKUP($B155,'B-1 Site Hedge Baseline'!$B$1:$L$257,4,FALSE)),"",(VLOOKUP($B155,'B-1 Site Hedge Baseline'!$B$1:$L$257,4,FALSE))))</f>
        <v/>
      </c>
      <c r="E155" s="175" t="str">
        <f>IF(B155="","",IF(ISNA(VLOOKUP($B155,'B-1 Site Hedge Baseline'!$B$1:$L$257,5,FALSE)),"",(VLOOKUP($B155,'B-1 Site Hedge Baseline'!$B$1:$L$257,5,FALSE))))</f>
        <v/>
      </c>
      <c r="F155" s="175" t="str">
        <f>IF(B155="","",IF(ISNA(VLOOKUP($B155,'B-1 Site Hedge Baseline'!$B$1:$L$257,6,FALSE)),"",(VLOOKUP($B155,'B-1 Site Hedge Baseline'!$B$1:$L$257,6,FALSE))))</f>
        <v/>
      </c>
      <c r="G155" s="175" t="str">
        <f>IF(B155="","",IF(ISNA(VLOOKUP($B155,'B-1 Site Hedge Baseline'!$B$1:$L$257,7,FALSE)),"",(VLOOKUP($B155,'B-1 Site Hedge Baseline'!$B$1:$L$257,7,FALSE))))</f>
        <v/>
      </c>
      <c r="H155" s="175" t="str">
        <f>IF(B155="","",IF(ISNA(VLOOKUP($B155,'B-1 Site Hedge Baseline'!$B$1:$L$257,8,FALSE)),"",(VLOOKUP($B155,'B-1 Site Hedge Baseline'!$B$1:$L$257,8,FALSE))))</f>
        <v/>
      </c>
      <c r="I155" s="175" t="str">
        <f>IF(B155="","",IF(ISNA(VLOOKUP($B155,'B-1 Site Hedge Baseline'!$B$1:$L$257,10,FALSE)),"",(VLOOKUP($B155,'B-1 Site Hedge Baseline'!$B$1:$L$257,10,FALSE))))</f>
        <v/>
      </c>
      <c r="J155" s="175" t="str">
        <f>IF(B155="","",IF(ISNA(VLOOKUP($B155,'B-1 Site Hedge Baseline'!$B$1:$L$257,11,FALSE)),"",(VLOOKUP($B155,'B-1 Site Hedge Baseline'!$B$1:$L$257,11,FALSE))))</f>
        <v/>
      </c>
      <c r="K155" s="175" t="str">
        <f>IF(B155="","",IF(ISNA(VLOOKUP($B155,'B-1 Site Hedge Baseline'!$B$1:$U$257,13,FALSE)),"",(VLOOKUP($B155,'B-1 Site Hedge Baseline'!$B$1:$U$257,13,FALSE))))</f>
        <v/>
      </c>
      <c r="L155" s="176" t="str">
        <f>IF(B155="","",IF(ISNA(VLOOKUP($B155,'B-1 Site Hedge Baseline'!$B$1:$U$257,12,FALSE)),"",(VLOOKUP($B155,'B-1 Site Hedge Baseline'!$B$1:$U$257,12,FALSE))))</f>
        <v/>
      </c>
      <c r="M155" s="637"/>
      <c r="N155" s="171" t="str">
        <f>IFERROR(IF(B155="","",INDEX('G-6 Hedgerow Data'!$AN$3:$AZ$15,MATCH(C155,'G-6 Hedgerow Data'!$AM$3:$AM$15,0),MATCH(M155,'G-6 Hedgerow Data'!$AN$2:$AZ$2,0))),"")</f>
        <v/>
      </c>
      <c r="O155" s="172" t="str">
        <f t="shared" si="14"/>
        <v/>
      </c>
      <c r="P155" s="642" t="str">
        <f>IF(B155="","",VLOOKUP(B155,'B-1 Site Hedge Baseline'!$B$10:T400,16,FALSE))</f>
        <v/>
      </c>
      <c r="Q155" s="171" t="str">
        <f>IF(M155="","",VLOOKUP(M155,'G-6 Hedgerow Data'!$B$2:$AG$15,2,FALSE))</f>
        <v/>
      </c>
      <c r="R155" s="172" t="str">
        <f>IF(M155="","",VLOOKUP(M155,'G-6 Hedgerow Data'!$B$2:$AG$15,3,FALSE))</f>
        <v/>
      </c>
      <c r="S155" s="189"/>
      <c r="T155" s="269" t="str">
        <f>IFERROR(VLOOKUP(S155,'G-1 All Habitats'!$Z$2:$AA$9,2,FALSE),"")</f>
        <v/>
      </c>
      <c r="U155" s="186"/>
      <c r="V155" s="175" t="str">
        <f>IF(U155="","",IF(VLOOKUP(U155,'G-3 Multipliers'!$L$3:$N$6,2,FALSE)=0,"Spatial Data Missing",VLOOKUP(U155,'G-3 Multipliers'!$L$3:$N$6,2,FALSE)))</f>
        <v/>
      </c>
      <c r="W155" s="176" t="str">
        <f>IF(U155="","",IF(VLOOKUP(U155,'G-3 Multipliers'!$L$3:$N$6,3,FALSE)=0,"Spatial Data Missing",VLOOKUP(U155,'G-3 Multipliers'!$L$3:$N$6,3,FALSE)))</f>
        <v/>
      </c>
      <c r="X155" s="171" t="str">
        <f>IFERROR(IF(OR(LEFT(O155,5)="Error",LEFT(N155,5)="Error",T155="Error"),"Check Data",IF(F155&lt;R155,INDEX('G-6 Hedgerow Data'!$S$3:$AE$14,MATCH(C155,'G-6 Hedgerow Data'!$B$3:$B$14,0),MATCH(M155,'G-6 Hedgerow Data'!$S$2:$AE$2,0)),INDEX('G-6 Hedgerow Data'!$K$3:$Q$14,MATCH(M155,'G-6 Hedgerow Data'!$B$3:$B$14,0),MATCH(O155,'G-6 Hedgerow Data'!$K$2:$Q$2,0)))),"")</f>
        <v/>
      </c>
      <c r="Y155" s="261"/>
      <c r="Z155" s="261"/>
      <c r="AA155" s="179" t="str">
        <f t="shared" si="17"/>
        <v/>
      </c>
      <c r="AB155" s="262" t="str">
        <f t="shared" si="18"/>
        <v/>
      </c>
      <c r="AC155" s="263" t="str">
        <f t="shared" si="15"/>
        <v/>
      </c>
      <c r="AD155" s="239" t="str">
        <f>IF(M155="","",VLOOKUP(M155,'G-6 Hedgerow Data'!$B$3:$AG$15,31,FALSE))</f>
        <v/>
      </c>
      <c r="AE155" s="179" t="str">
        <f t="shared" si="19"/>
        <v/>
      </c>
      <c r="AF155" s="179" t="str">
        <f t="shared" si="20"/>
        <v/>
      </c>
      <c r="AG155" s="176" t="str">
        <f>IFERROR(IF(O155="","",VLOOKUP(AD155,'G-3 Multipliers'!$P$3:$Q$6,2,FALSE)),"")</f>
        <v/>
      </c>
      <c r="AH155" s="207" t="str">
        <f t="shared" si="16"/>
        <v/>
      </c>
      <c r="AI155" s="336"/>
      <c r="AJ155" s="181"/>
      <c r="AT155" s="35" t="str">
        <f>IFERROR(INDEX('G-6 Hedgerow Data'!$BJ$3:$BJ$15,MATCH(M155,'G-6 Hedgerow Data'!$B$3:$B$15,0)),"")</f>
        <v/>
      </c>
    </row>
    <row r="156" spans="2:46" ht="13.8" x14ac:dyDescent="0.25">
      <c r="B156" s="259" t="str">
        <f>'B-1 Site Hedge Baseline'!AK154</f>
        <v/>
      </c>
      <c r="C156" s="175" t="str">
        <f>IF(B156="","",IF(ISNA(VLOOKUP($B156,'B-1 Site Hedge Baseline'!$B$1:$L$257,3,FALSE)),"",(VLOOKUP($B156,'B-1 Site Hedge Baseline'!$B$1:$L$257,3,FALSE))))</f>
        <v/>
      </c>
      <c r="D156" s="175" t="str">
        <f>IF(B156="","",IF(ISNA(VLOOKUP($B156,'B-1 Site Hedge Baseline'!$B$1:$L$257,4,FALSE)),"",(VLOOKUP($B156,'B-1 Site Hedge Baseline'!$B$1:$L$257,4,FALSE))))</f>
        <v/>
      </c>
      <c r="E156" s="175" t="str">
        <f>IF(B156="","",IF(ISNA(VLOOKUP($B156,'B-1 Site Hedge Baseline'!$B$1:$L$257,5,FALSE)),"",(VLOOKUP($B156,'B-1 Site Hedge Baseline'!$B$1:$L$257,5,FALSE))))</f>
        <v/>
      </c>
      <c r="F156" s="175" t="str">
        <f>IF(B156="","",IF(ISNA(VLOOKUP($B156,'B-1 Site Hedge Baseline'!$B$1:$L$257,6,FALSE)),"",(VLOOKUP($B156,'B-1 Site Hedge Baseline'!$B$1:$L$257,6,FALSE))))</f>
        <v/>
      </c>
      <c r="G156" s="175" t="str">
        <f>IF(B156="","",IF(ISNA(VLOOKUP($B156,'B-1 Site Hedge Baseline'!$B$1:$L$257,7,FALSE)),"",(VLOOKUP($B156,'B-1 Site Hedge Baseline'!$B$1:$L$257,7,FALSE))))</f>
        <v/>
      </c>
      <c r="H156" s="175" t="str">
        <f>IF(B156="","",IF(ISNA(VLOOKUP($B156,'B-1 Site Hedge Baseline'!$B$1:$L$257,8,FALSE)),"",(VLOOKUP($B156,'B-1 Site Hedge Baseline'!$B$1:$L$257,8,FALSE))))</f>
        <v/>
      </c>
      <c r="I156" s="175" t="str">
        <f>IF(B156="","",IF(ISNA(VLOOKUP($B156,'B-1 Site Hedge Baseline'!$B$1:$L$257,10,FALSE)),"",(VLOOKUP($B156,'B-1 Site Hedge Baseline'!$B$1:$L$257,10,FALSE))))</f>
        <v/>
      </c>
      <c r="J156" s="175" t="str">
        <f>IF(B156="","",IF(ISNA(VLOOKUP($B156,'B-1 Site Hedge Baseline'!$B$1:$L$257,11,FALSE)),"",(VLOOKUP($B156,'B-1 Site Hedge Baseline'!$B$1:$L$257,11,FALSE))))</f>
        <v/>
      </c>
      <c r="K156" s="175" t="str">
        <f>IF(B156="","",IF(ISNA(VLOOKUP($B156,'B-1 Site Hedge Baseline'!$B$1:$U$257,13,FALSE)),"",(VLOOKUP($B156,'B-1 Site Hedge Baseline'!$B$1:$U$257,13,FALSE))))</f>
        <v/>
      </c>
      <c r="L156" s="176" t="str">
        <f>IF(B156="","",IF(ISNA(VLOOKUP($B156,'B-1 Site Hedge Baseline'!$B$1:$U$257,12,FALSE)),"",(VLOOKUP($B156,'B-1 Site Hedge Baseline'!$B$1:$U$257,12,FALSE))))</f>
        <v/>
      </c>
      <c r="M156" s="637"/>
      <c r="N156" s="171" t="str">
        <f>IFERROR(IF(B156="","",INDEX('G-6 Hedgerow Data'!$AN$3:$AZ$15,MATCH(C156,'G-6 Hedgerow Data'!$AM$3:$AM$15,0),MATCH(M156,'G-6 Hedgerow Data'!$AN$2:$AZ$2,0))),"")</f>
        <v/>
      </c>
      <c r="O156" s="172" t="str">
        <f t="shared" si="14"/>
        <v/>
      </c>
      <c r="P156" s="642" t="str">
        <f>IF(B156="","",VLOOKUP(B156,'B-1 Site Hedge Baseline'!$B$10:T401,16,FALSE))</f>
        <v/>
      </c>
      <c r="Q156" s="171" t="str">
        <f>IF(M156="","",VLOOKUP(M156,'G-6 Hedgerow Data'!$B$2:$AG$15,2,FALSE))</f>
        <v/>
      </c>
      <c r="R156" s="172" t="str">
        <f>IF(M156="","",VLOOKUP(M156,'G-6 Hedgerow Data'!$B$2:$AG$15,3,FALSE))</f>
        <v/>
      </c>
      <c r="S156" s="189"/>
      <c r="T156" s="269" t="str">
        <f>IFERROR(VLOOKUP(S156,'G-1 All Habitats'!$Z$2:$AA$9,2,FALSE),"")</f>
        <v/>
      </c>
      <c r="U156" s="186"/>
      <c r="V156" s="175" t="str">
        <f>IF(U156="","",IF(VLOOKUP(U156,'G-3 Multipliers'!$L$3:$N$6,2,FALSE)=0,"Spatial Data Missing",VLOOKUP(U156,'G-3 Multipliers'!$L$3:$N$6,2,FALSE)))</f>
        <v/>
      </c>
      <c r="W156" s="176" t="str">
        <f>IF(U156="","",IF(VLOOKUP(U156,'G-3 Multipliers'!$L$3:$N$6,3,FALSE)=0,"Spatial Data Missing",VLOOKUP(U156,'G-3 Multipliers'!$L$3:$N$6,3,FALSE)))</f>
        <v/>
      </c>
      <c r="X156" s="171" t="str">
        <f>IFERROR(IF(OR(LEFT(O156,5)="Error",LEFT(N156,5)="Error",T156="Error"),"Check Data",IF(F156&lt;R156,INDEX('G-6 Hedgerow Data'!$S$3:$AE$14,MATCH(C156,'G-6 Hedgerow Data'!$B$3:$B$14,0),MATCH(M156,'G-6 Hedgerow Data'!$S$2:$AE$2,0)),INDEX('G-6 Hedgerow Data'!$K$3:$Q$14,MATCH(M156,'G-6 Hedgerow Data'!$B$3:$B$14,0),MATCH(O156,'G-6 Hedgerow Data'!$K$2:$Q$2,0)))),"")</f>
        <v/>
      </c>
      <c r="Y156" s="261"/>
      <c r="Z156" s="261"/>
      <c r="AA156" s="179" t="str">
        <f t="shared" si="17"/>
        <v/>
      </c>
      <c r="AB156" s="262" t="str">
        <f t="shared" si="18"/>
        <v/>
      </c>
      <c r="AC156" s="263" t="str">
        <f t="shared" si="15"/>
        <v/>
      </c>
      <c r="AD156" s="239" t="str">
        <f>IF(M156="","",VLOOKUP(M156,'G-6 Hedgerow Data'!$B$3:$AG$15,31,FALSE))</f>
        <v/>
      </c>
      <c r="AE156" s="179" t="str">
        <f t="shared" si="19"/>
        <v/>
      </c>
      <c r="AF156" s="179" t="str">
        <f t="shared" si="20"/>
        <v/>
      </c>
      <c r="AG156" s="176" t="str">
        <f>IFERROR(IF(O156="","",VLOOKUP(AD156,'G-3 Multipliers'!$P$3:$Q$6,2,FALSE)),"")</f>
        <v/>
      </c>
      <c r="AH156" s="207" t="str">
        <f t="shared" si="16"/>
        <v/>
      </c>
      <c r="AI156" s="336"/>
      <c r="AJ156" s="181"/>
      <c r="AT156" s="35" t="str">
        <f>IFERROR(INDEX('G-6 Hedgerow Data'!$BJ$3:$BJ$15,MATCH(M156,'G-6 Hedgerow Data'!$B$3:$B$15,0)),"")</f>
        <v/>
      </c>
    </row>
    <row r="157" spans="2:46" ht="13.8" x14ac:dyDescent="0.25">
      <c r="B157" s="259" t="str">
        <f>'B-1 Site Hedge Baseline'!AK155</f>
        <v/>
      </c>
      <c r="C157" s="175" t="str">
        <f>IF(B157="","",IF(ISNA(VLOOKUP($B157,'B-1 Site Hedge Baseline'!$B$1:$L$257,3,FALSE)),"",(VLOOKUP($B157,'B-1 Site Hedge Baseline'!$B$1:$L$257,3,FALSE))))</f>
        <v/>
      </c>
      <c r="D157" s="175" t="str">
        <f>IF(B157="","",IF(ISNA(VLOOKUP($B157,'B-1 Site Hedge Baseline'!$B$1:$L$257,4,FALSE)),"",(VLOOKUP($B157,'B-1 Site Hedge Baseline'!$B$1:$L$257,4,FALSE))))</f>
        <v/>
      </c>
      <c r="E157" s="175" t="str">
        <f>IF(B157="","",IF(ISNA(VLOOKUP($B157,'B-1 Site Hedge Baseline'!$B$1:$L$257,5,FALSE)),"",(VLOOKUP($B157,'B-1 Site Hedge Baseline'!$B$1:$L$257,5,FALSE))))</f>
        <v/>
      </c>
      <c r="F157" s="175" t="str">
        <f>IF(B157="","",IF(ISNA(VLOOKUP($B157,'B-1 Site Hedge Baseline'!$B$1:$L$257,6,FALSE)),"",(VLOOKUP($B157,'B-1 Site Hedge Baseline'!$B$1:$L$257,6,FALSE))))</f>
        <v/>
      </c>
      <c r="G157" s="175" t="str">
        <f>IF(B157="","",IF(ISNA(VLOOKUP($B157,'B-1 Site Hedge Baseline'!$B$1:$L$257,7,FALSE)),"",(VLOOKUP($B157,'B-1 Site Hedge Baseline'!$B$1:$L$257,7,FALSE))))</f>
        <v/>
      </c>
      <c r="H157" s="175" t="str">
        <f>IF(B157="","",IF(ISNA(VLOOKUP($B157,'B-1 Site Hedge Baseline'!$B$1:$L$257,8,FALSE)),"",(VLOOKUP($B157,'B-1 Site Hedge Baseline'!$B$1:$L$257,8,FALSE))))</f>
        <v/>
      </c>
      <c r="I157" s="175" t="str">
        <f>IF(B157="","",IF(ISNA(VLOOKUP($B157,'B-1 Site Hedge Baseline'!$B$1:$L$257,10,FALSE)),"",(VLOOKUP($B157,'B-1 Site Hedge Baseline'!$B$1:$L$257,10,FALSE))))</f>
        <v/>
      </c>
      <c r="J157" s="175" t="str">
        <f>IF(B157="","",IF(ISNA(VLOOKUP($B157,'B-1 Site Hedge Baseline'!$B$1:$L$257,11,FALSE)),"",(VLOOKUP($B157,'B-1 Site Hedge Baseline'!$B$1:$L$257,11,FALSE))))</f>
        <v/>
      </c>
      <c r="K157" s="175" t="str">
        <f>IF(B157="","",IF(ISNA(VLOOKUP($B157,'B-1 Site Hedge Baseline'!$B$1:$U$257,13,FALSE)),"",(VLOOKUP($B157,'B-1 Site Hedge Baseline'!$B$1:$U$257,13,FALSE))))</f>
        <v/>
      </c>
      <c r="L157" s="176" t="str">
        <f>IF(B157="","",IF(ISNA(VLOOKUP($B157,'B-1 Site Hedge Baseline'!$B$1:$U$257,12,FALSE)),"",(VLOOKUP($B157,'B-1 Site Hedge Baseline'!$B$1:$U$257,12,FALSE))))</f>
        <v/>
      </c>
      <c r="M157" s="637"/>
      <c r="N157" s="171" t="str">
        <f>IFERROR(IF(B157="","",INDEX('G-6 Hedgerow Data'!$AN$3:$AZ$15,MATCH(C157,'G-6 Hedgerow Data'!$AM$3:$AM$15,0),MATCH(M157,'G-6 Hedgerow Data'!$AN$2:$AZ$2,0))),"")</f>
        <v/>
      </c>
      <c r="O157" s="172" t="str">
        <f t="shared" si="14"/>
        <v/>
      </c>
      <c r="P157" s="642" t="str">
        <f>IF(B157="","",VLOOKUP(B157,'B-1 Site Hedge Baseline'!$B$10:T402,16,FALSE))</f>
        <v/>
      </c>
      <c r="Q157" s="171" t="str">
        <f>IF(M157="","",VLOOKUP(M157,'G-6 Hedgerow Data'!$B$2:$AG$15,2,FALSE))</f>
        <v/>
      </c>
      <c r="R157" s="172" t="str">
        <f>IF(M157="","",VLOOKUP(M157,'G-6 Hedgerow Data'!$B$2:$AG$15,3,FALSE))</f>
        <v/>
      </c>
      <c r="S157" s="189"/>
      <c r="T157" s="269" t="str">
        <f>IFERROR(VLOOKUP(S157,'G-1 All Habitats'!$Z$2:$AA$9,2,FALSE),"")</f>
        <v/>
      </c>
      <c r="U157" s="186"/>
      <c r="V157" s="175" t="str">
        <f>IF(U157="","",IF(VLOOKUP(U157,'G-3 Multipliers'!$L$3:$N$6,2,FALSE)=0,"Spatial Data Missing",VLOOKUP(U157,'G-3 Multipliers'!$L$3:$N$6,2,FALSE)))</f>
        <v/>
      </c>
      <c r="W157" s="176" t="str">
        <f>IF(U157="","",IF(VLOOKUP(U157,'G-3 Multipliers'!$L$3:$N$6,3,FALSE)=0,"Spatial Data Missing",VLOOKUP(U157,'G-3 Multipliers'!$L$3:$N$6,3,FALSE)))</f>
        <v/>
      </c>
      <c r="X157" s="171" t="str">
        <f>IFERROR(IF(OR(LEFT(O157,5)="Error",LEFT(N157,5)="Error",T157="Error"),"Check Data",IF(F157&lt;R157,INDEX('G-6 Hedgerow Data'!$S$3:$AE$14,MATCH(C157,'G-6 Hedgerow Data'!$B$3:$B$14,0),MATCH(M157,'G-6 Hedgerow Data'!$S$2:$AE$2,0)),INDEX('G-6 Hedgerow Data'!$K$3:$Q$14,MATCH(M157,'G-6 Hedgerow Data'!$B$3:$B$14,0),MATCH(O157,'G-6 Hedgerow Data'!$K$2:$Q$2,0)))),"")</f>
        <v/>
      </c>
      <c r="Y157" s="261"/>
      <c r="Z157" s="261"/>
      <c r="AA157" s="179" t="str">
        <f t="shared" si="17"/>
        <v/>
      </c>
      <c r="AB157" s="262" t="str">
        <f t="shared" si="18"/>
        <v/>
      </c>
      <c r="AC157" s="263" t="str">
        <f t="shared" si="15"/>
        <v/>
      </c>
      <c r="AD157" s="239" t="str">
        <f>IF(M157="","",VLOOKUP(M157,'G-6 Hedgerow Data'!$B$3:$AG$15,31,FALSE))</f>
        <v/>
      </c>
      <c r="AE157" s="179" t="str">
        <f t="shared" si="19"/>
        <v/>
      </c>
      <c r="AF157" s="179" t="str">
        <f t="shared" si="20"/>
        <v/>
      </c>
      <c r="AG157" s="176" t="str">
        <f>IFERROR(IF(O157="","",VLOOKUP(AD157,'G-3 Multipliers'!$P$3:$Q$6,2,FALSE)),"")</f>
        <v/>
      </c>
      <c r="AH157" s="207" t="str">
        <f t="shared" si="16"/>
        <v/>
      </c>
      <c r="AI157" s="336"/>
      <c r="AJ157" s="181"/>
      <c r="AT157" s="35" t="str">
        <f>IFERROR(INDEX('G-6 Hedgerow Data'!$BJ$3:$BJ$15,MATCH(M157,'G-6 Hedgerow Data'!$B$3:$B$15,0)),"")</f>
        <v/>
      </c>
    </row>
    <row r="158" spans="2:46" ht="13.8" x14ac:dyDescent="0.25">
      <c r="B158" s="259" t="str">
        <f>'B-1 Site Hedge Baseline'!AK156</f>
        <v/>
      </c>
      <c r="C158" s="175" t="str">
        <f>IF(B158="","",IF(ISNA(VLOOKUP($B158,'B-1 Site Hedge Baseline'!$B$1:$L$257,3,FALSE)),"",(VLOOKUP($B158,'B-1 Site Hedge Baseline'!$B$1:$L$257,3,FALSE))))</f>
        <v/>
      </c>
      <c r="D158" s="175" t="str">
        <f>IF(B158="","",IF(ISNA(VLOOKUP($B158,'B-1 Site Hedge Baseline'!$B$1:$L$257,4,FALSE)),"",(VLOOKUP($B158,'B-1 Site Hedge Baseline'!$B$1:$L$257,4,FALSE))))</f>
        <v/>
      </c>
      <c r="E158" s="175" t="str">
        <f>IF(B158="","",IF(ISNA(VLOOKUP($B158,'B-1 Site Hedge Baseline'!$B$1:$L$257,5,FALSE)),"",(VLOOKUP($B158,'B-1 Site Hedge Baseline'!$B$1:$L$257,5,FALSE))))</f>
        <v/>
      </c>
      <c r="F158" s="175" t="str">
        <f>IF(B158="","",IF(ISNA(VLOOKUP($B158,'B-1 Site Hedge Baseline'!$B$1:$L$257,6,FALSE)),"",(VLOOKUP($B158,'B-1 Site Hedge Baseline'!$B$1:$L$257,6,FALSE))))</f>
        <v/>
      </c>
      <c r="G158" s="175" t="str">
        <f>IF(B158="","",IF(ISNA(VLOOKUP($B158,'B-1 Site Hedge Baseline'!$B$1:$L$257,7,FALSE)),"",(VLOOKUP($B158,'B-1 Site Hedge Baseline'!$B$1:$L$257,7,FALSE))))</f>
        <v/>
      </c>
      <c r="H158" s="175" t="str">
        <f>IF(B158="","",IF(ISNA(VLOOKUP($B158,'B-1 Site Hedge Baseline'!$B$1:$L$257,8,FALSE)),"",(VLOOKUP($B158,'B-1 Site Hedge Baseline'!$B$1:$L$257,8,FALSE))))</f>
        <v/>
      </c>
      <c r="I158" s="175" t="str">
        <f>IF(B158="","",IF(ISNA(VLOOKUP($B158,'B-1 Site Hedge Baseline'!$B$1:$L$257,10,FALSE)),"",(VLOOKUP($B158,'B-1 Site Hedge Baseline'!$B$1:$L$257,10,FALSE))))</f>
        <v/>
      </c>
      <c r="J158" s="175" t="str">
        <f>IF(B158="","",IF(ISNA(VLOOKUP($B158,'B-1 Site Hedge Baseline'!$B$1:$L$257,11,FALSE)),"",(VLOOKUP($B158,'B-1 Site Hedge Baseline'!$B$1:$L$257,11,FALSE))))</f>
        <v/>
      </c>
      <c r="K158" s="175" t="str">
        <f>IF(B158="","",IF(ISNA(VLOOKUP($B158,'B-1 Site Hedge Baseline'!$B$1:$U$257,13,FALSE)),"",(VLOOKUP($B158,'B-1 Site Hedge Baseline'!$B$1:$U$257,13,FALSE))))</f>
        <v/>
      </c>
      <c r="L158" s="176" t="str">
        <f>IF(B158="","",IF(ISNA(VLOOKUP($B158,'B-1 Site Hedge Baseline'!$B$1:$U$257,12,FALSE)),"",(VLOOKUP($B158,'B-1 Site Hedge Baseline'!$B$1:$U$257,12,FALSE))))</f>
        <v/>
      </c>
      <c r="M158" s="637"/>
      <c r="N158" s="171" t="str">
        <f>IFERROR(IF(B158="","",INDEX('G-6 Hedgerow Data'!$AN$3:$AZ$15,MATCH(C158,'G-6 Hedgerow Data'!$AM$3:$AM$15,0),MATCH(M158,'G-6 Hedgerow Data'!$AN$2:$AZ$2,0))),"")</f>
        <v/>
      </c>
      <c r="O158" s="172" t="str">
        <f t="shared" si="14"/>
        <v/>
      </c>
      <c r="P158" s="642" t="str">
        <f>IF(B158="","",VLOOKUP(B158,'B-1 Site Hedge Baseline'!$B$10:T403,16,FALSE))</f>
        <v/>
      </c>
      <c r="Q158" s="171" t="str">
        <f>IF(M158="","",VLOOKUP(M158,'G-6 Hedgerow Data'!$B$2:$AG$15,2,FALSE))</f>
        <v/>
      </c>
      <c r="R158" s="172" t="str">
        <f>IF(M158="","",VLOOKUP(M158,'G-6 Hedgerow Data'!$B$2:$AG$15,3,FALSE))</f>
        <v/>
      </c>
      <c r="S158" s="189"/>
      <c r="T158" s="269" t="str">
        <f>IFERROR(VLOOKUP(S158,'G-1 All Habitats'!$Z$2:$AA$9,2,FALSE),"")</f>
        <v/>
      </c>
      <c r="U158" s="186"/>
      <c r="V158" s="175" t="str">
        <f>IF(U158="","",IF(VLOOKUP(U158,'G-3 Multipliers'!$L$3:$N$6,2,FALSE)=0,"Spatial Data Missing",VLOOKUP(U158,'G-3 Multipliers'!$L$3:$N$6,2,FALSE)))</f>
        <v/>
      </c>
      <c r="W158" s="176" t="str">
        <f>IF(U158="","",IF(VLOOKUP(U158,'G-3 Multipliers'!$L$3:$N$6,3,FALSE)=0,"Spatial Data Missing",VLOOKUP(U158,'G-3 Multipliers'!$L$3:$N$6,3,FALSE)))</f>
        <v/>
      </c>
      <c r="X158" s="171" t="str">
        <f>IFERROR(IF(OR(LEFT(O158,5)="Error",LEFT(N158,5)="Error",T158="Error"),"Check Data",IF(F158&lt;R158,INDEX('G-6 Hedgerow Data'!$S$3:$AE$14,MATCH(C158,'G-6 Hedgerow Data'!$B$3:$B$14,0),MATCH(M158,'G-6 Hedgerow Data'!$S$2:$AE$2,0)),INDEX('G-6 Hedgerow Data'!$K$3:$Q$14,MATCH(M158,'G-6 Hedgerow Data'!$B$3:$B$14,0),MATCH(O158,'G-6 Hedgerow Data'!$K$2:$Q$2,0)))),"")</f>
        <v/>
      </c>
      <c r="Y158" s="261"/>
      <c r="Z158" s="261"/>
      <c r="AA158" s="179" t="str">
        <f t="shared" si="17"/>
        <v/>
      </c>
      <c r="AB158" s="262" t="str">
        <f t="shared" si="18"/>
        <v/>
      </c>
      <c r="AC158" s="263" t="str">
        <f t="shared" si="15"/>
        <v/>
      </c>
      <c r="AD158" s="239" t="str">
        <f>IF(M158="","",VLOOKUP(M158,'G-6 Hedgerow Data'!$B$3:$AG$15,31,FALSE))</f>
        <v/>
      </c>
      <c r="AE158" s="179" t="str">
        <f t="shared" si="19"/>
        <v/>
      </c>
      <c r="AF158" s="179" t="str">
        <f t="shared" si="20"/>
        <v/>
      </c>
      <c r="AG158" s="176" t="str">
        <f>IFERROR(IF(O158="","",VLOOKUP(AD158,'G-3 Multipliers'!$P$3:$Q$6,2,FALSE)),"")</f>
        <v/>
      </c>
      <c r="AH158" s="207" t="str">
        <f t="shared" si="16"/>
        <v/>
      </c>
      <c r="AI158" s="336"/>
      <c r="AJ158" s="181"/>
      <c r="AT158" s="35" t="str">
        <f>IFERROR(INDEX('G-6 Hedgerow Data'!$BJ$3:$BJ$15,MATCH(M158,'G-6 Hedgerow Data'!$B$3:$B$15,0)),"")</f>
        <v/>
      </c>
    </row>
    <row r="159" spans="2:46" ht="13.8" x14ac:dyDescent="0.25">
      <c r="B159" s="259" t="str">
        <f>'B-1 Site Hedge Baseline'!AK157</f>
        <v/>
      </c>
      <c r="C159" s="175" t="str">
        <f>IF(B159="","",IF(ISNA(VLOOKUP($B159,'B-1 Site Hedge Baseline'!$B$1:$L$257,3,FALSE)),"",(VLOOKUP($B159,'B-1 Site Hedge Baseline'!$B$1:$L$257,3,FALSE))))</f>
        <v/>
      </c>
      <c r="D159" s="175" t="str">
        <f>IF(B159="","",IF(ISNA(VLOOKUP($B159,'B-1 Site Hedge Baseline'!$B$1:$L$257,4,FALSE)),"",(VLOOKUP($B159,'B-1 Site Hedge Baseline'!$B$1:$L$257,4,FALSE))))</f>
        <v/>
      </c>
      <c r="E159" s="175" t="str">
        <f>IF(B159="","",IF(ISNA(VLOOKUP($B159,'B-1 Site Hedge Baseline'!$B$1:$L$257,5,FALSE)),"",(VLOOKUP($B159,'B-1 Site Hedge Baseline'!$B$1:$L$257,5,FALSE))))</f>
        <v/>
      </c>
      <c r="F159" s="175" t="str">
        <f>IF(B159="","",IF(ISNA(VLOOKUP($B159,'B-1 Site Hedge Baseline'!$B$1:$L$257,6,FALSE)),"",(VLOOKUP($B159,'B-1 Site Hedge Baseline'!$B$1:$L$257,6,FALSE))))</f>
        <v/>
      </c>
      <c r="G159" s="175" t="str">
        <f>IF(B159="","",IF(ISNA(VLOOKUP($B159,'B-1 Site Hedge Baseline'!$B$1:$L$257,7,FALSE)),"",(VLOOKUP($B159,'B-1 Site Hedge Baseline'!$B$1:$L$257,7,FALSE))))</f>
        <v/>
      </c>
      <c r="H159" s="175" t="str">
        <f>IF(B159="","",IF(ISNA(VLOOKUP($B159,'B-1 Site Hedge Baseline'!$B$1:$L$257,8,FALSE)),"",(VLOOKUP($B159,'B-1 Site Hedge Baseline'!$B$1:$L$257,8,FALSE))))</f>
        <v/>
      </c>
      <c r="I159" s="175" t="str">
        <f>IF(B159="","",IF(ISNA(VLOOKUP($B159,'B-1 Site Hedge Baseline'!$B$1:$L$257,10,FALSE)),"",(VLOOKUP($B159,'B-1 Site Hedge Baseline'!$B$1:$L$257,10,FALSE))))</f>
        <v/>
      </c>
      <c r="J159" s="175" t="str">
        <f>IF(B159="","",IF(ISNA(VLOOKUP($B159,'B-1 Site Hedge Baseline'!$B$1:$L$257,11,FALSE)),"",(VLOOKUP($B159,'B-1 Site Hedge Baseline'!$B$1:$L$257,11,FALSE))))</f>
        <v/>
      </c>
      <c r="K159" s="175" t="str">
        <f>IF(B159="","",IF(ISNA(VLOOKUP($B159,'B-1 Site Hedge Baseline'!$B$1:$U$257,13,FALSE)),"",(VLOOKUP($B159,'B-1 Site Hedge Baseline'!$B$1:$U$257,13,FALSE))))</f>
        <v/>
      </c>
      <c r="L159" s="176" t="str">
        <f>IF(B159="","",IF(ISNA(VLOOKUP($B159,'B-1 Site Hedge Baseline'!$B$1:$U$257,12,FALSE)),"",(VLOOKUP($B159,'B-1 Site Hedge Baseline'!$B$1:$U$257,12,FALSE))))</f>
        <v/>
      </c>
      <c r="M159" s="637"/>
      <c r="N159" s="171" t="str">
        <f>IFERROR(IF(B159="","",INDEX('G-6 Hedgerow Data'!$AN$3:$AZ$15,MATCH(C159,'G-6 Hedgerow Data'!$AM$3:$AM$15,0),MATCH(M159,'G-6 Hedgerow Data'!$AN$2:$AZ$2,0))),"")</f>
        <v/>
      </c>
      <c r="O159" s="172" t="str">
        <f t="shared" si="14"/>
        <v/>
      </c>
      <c r="P159" s="642" t="str">
        <f>IF(B159="","",VLOOKUP(B159,'B-1 Site Hedge Baseline'!$B$10:T404,16,FALSE))</f>
        <v/>
      </c>
      <c r="Q159" s="171" t="str">
        <f>IF(M159="","",VLOOKUP(M159,'G-6 Hedgerow Data'!$B$2:$AG$15,2,FALSE))</f>
        <v/>
      </c>
      <c r="R159" s="172" t="str">
        <f>IF(M159="","",VLOOKUP(M159,'G-6 Hedgerow Data'!$B$2:$AG$15,3,FALSE))</f>
        <v/>
      </c>
      <c r="S159" s="189"/>
      <c r="T159" s="269" t="str">
        <f>IFERROR(VLOOKUP(S159,'G-1 All Habitats'!$Z$2:$AA$9,2,FALSE),"")</f>
        <v/>
      </c>
      <c r="U159" s="186"/>
      <c r="V159" s="175" t="str">
        <f>IF(U159="","",IF(VLOOKUP(U159,'G-3 Multipliers'!$L$3:$N$6,2,FALSE)=0,"Spatial Data Missing",VLOOKUP(U159,'G-3 Multipliers'!$L$3:$N$6,2,FALSE)))</f>
        <v/>
      </c>
      <c r="W159" s="176" t="str">
        <f>IF(U159="","",IF(VLOOKUP(U159,'G-3 Multipliers'!$L$3:$N$6,3,FALSE)=0,"Spatial Data Missing",VLOOKUP(U159,'G-3 Multipliers'!$L$3:$N$6,3,FALSE)))</f>
        <v/>
      </c>
      <c r="X159" s="171" t="str">
        <f>IFERROR(IF(OR(LEFT(O159,5)="Error",LEFT(N159,5)="Error",T159="Error"),"Check Data",IF(F159&lt;R159,INDEX('G-6 Hedgerow Data'!$S$3:$AE$14,MATCH(C159,'G-6 Hedgerow Data'!$B$3:$B$14,0),MATCH(M159,'G-6 Hedgerow Data'!$S$2:$AE$2,0)),INDEX('G-6 Hedgerow Data'!$K$3:$Q$14,MATCH(M159,'G-6 Hedgerow Data'!$B$3:$B$14,0),MATCH(O159,'G-6 Hedgerow Data'!$K$2:$Q$2,0)))),"")</f>
        <v/>
      </c>
      <c r="Y159" s="261"/>
      <c r="Z159" s="261"/>
      <c r="AA159" s="179" t="str">
        <f t="shared" si="17"/>
        <v/>
      </c>
      <c r="AB159" s="262" t="str">
        <f t="shared" si="18"/>
        <v/>
      </c>
      <c r="AC159" s="263" t="str">
        <f t="shared" si="15"/>
        <v/>
      </c>
      <c r="AD159" s="239" t="str">
        <f>IF(M159="","",VLOOKUP(M159,'G-6 Hedgerow Data'!$B$3:$AG$15,31,FALSE))</f>
        <v/>
      </c>
      <c r="AE159" s="179" t="str">
        <f t="shared" si="19"/>
        <v/>
      </c>
      <c r="AF159" s="179" t="str">
        <f t="shared" si="20"/>
        <v/>
      </c>
      <c r="AG159" s="176" t="str">
        <f>IFERROR(IF(O159="","",VLOOKUP(AD159,'G-3 Multipliers'!$P$3:$Q$6,2,FALSE)),"")</f>
        <v/>
      </c>
      <c r="AH159" s="207" t="str">
        <f t="shared" si="16"/>
        <v/>
      </c>
      <c r="AI159" s="336"/>
      <c r="AJ159" s="181"/>
      <c r="AT159" s="35" t="str">
        <f>IFERROR(INDEX('G-6 Hedgerow Data'!$BJ$3:$BJ$15,MATCH(M159,'G-6 Hedgerow Data'!$B$3:$B$15,0)),"")</f>
        <v/>
      </c>
    </row>
    <row r="160" spans="2:46" ht="13.8" x14ac:dyDescent="0.25">
      <c r="B160" s="259" t="str">
        <f>'B-1 Site Hedge Baseline'!AK158</f>
        <v/>
      </c>
      <c r="C160" s="175" t="str">
        <f>IF(B160="","",IF(ISNA(VLOOKUP($B160,'B-1 Site Hedge Baseline'!$B$1:$L$257,3,FALSE)),"",(VLOOKUP($B160,'B-1 Site Hedge Baseline'!$B$1:$L$257,3,FALSE))))</f>
        <v/>
      </c>
      <c r="D160" s="175" t="str">
        <f>IF(B160="","",IF(ISNA(VLOOKUP($B160,'B-1 Site Hedge Baseline'!$B$1:$L$257,4,FALSE)),"",(VLOOKUP($B160,'B-1 Site Hedge Baseline'!$B$1:$L$257,4,FALSE))))</f>
        <v/>
      </c>
      <c r="E160" s="175" t="str">
        <f>IF(B160="","",IF(ISNA(VLOOKUP($B160,'B-1 Site Hedge Baseline'!$B$1:$L$257,5,FALSE)),"",(VLOOKUP($B160,'B-1 Site Hedge Baseline'!$B$1:$L$257,5,FALSE))))</f>
        <v/>
      </c>
      <c r="F160" s="175" t="str">
        <f>IF(B160="","",IF(ISNA(VLOOKUP($B160,'B-1 Site Hedge Baseline'!$B$1:$L$257,6,FALSE)),"",(VLOOKUP($B160,'B-1 Site Hedge Baseline'!$B$1:$L$257,6,FALSE))))</f>
        <v/>
      </c>
      <c r="G160" s="175" t="str">
        <f>IF(B160="","",IF(ISNA(VLOOKUP($B160,'B-1 Site Hedge Baseline'!$B$1:$L$257,7,FALSE)),"",(VLOOKUP($B160,'B-1 Site Hedge Baseline'!$B$1:$L$257,7,FALSE))))</f>
        <v/>
      </c>
      <c r="H160" s="175" t="str">
        <f>IF(B160="","",IF(ISNA(VLOOKUP($B160,'B-1 Site Hedge Baseline'!$B$1:$L$257,8,FALSE)),"",(VLOOKUP($B160,'B-1 Site Hedge Baseline'!$B$1:$L$257,8,FALSE))))</f>
        <v/>
      </c>
      <c r="I160" s="175" t="str">
        <f>IF(B160="","",IF(ISNA(VLOOKUP($B160,'B-1 Site Hedge Baseline'!$B$1:$L$257,10,FALSE)),"",(VLOOKUP($B160,'B-1 Site Hedge Baseline'!$B$1:$L$257,10,FALSE))))</f>
        <v/>
      </c>
      <c r="J160" s="175" t="str">
        <f>IF(B160="","",IF(ISNA(VLOOKUP($B160,'B-1 Site Hedge Baseline'!$B$1:$L$257,11,FALSE)),"",(VLOOKUP($B160,'B-1 Site Hedge Baseline'!$B$1:$L$257,11,FALSE))))</f>
        <v/>
      </c>
      <c r="K160" s="175" t="str">
        <f>IF(B160="","",IF(ISNA(VLOOKUP($B160,'B-1 Site Hedge Baseline'!$B$1:$U$257,13,FALSE)),"",(VLOOKUP($B160,'B-1 Site Hedge Baseline'!$B$1:$U$257,13,FALSE))))</f>
        <v/>
      </c>
      <c r="L160" s="176" t="str">
        <f>IF(B160="","",IF(ISNA(VLOOKUP($B160,'B-1 Site Hedge Baseline'!$B$1:$U$257,12,FALSE)),"",(VLOOKUP($B160,'B-1 Site Hedge Baseline'!$B$1:$U$257,12,FALSE))))</f>
        <v/>
      </c>
      <c r="M160" s="637"/>
      <c r="N160" s="171" t="str">
        <f>IFERROR(IF(B160="","",INDEX('G-6 Hedgerow Data'!$AN$3:$AZ$15,MATCH(C160,'G-6 Hedgerow Data'!$AM$3:$AM$15,0),MATCH(M160,'G-6 Hedgerow Data'!$AN$2:$AZ$2,0))),"")</f>
        <v/>
      </c>
      <c r="O160" s="172" t="str">
        <f t="shared" si="14"/>
        <v/>
      </c>
      <c r="P160" s="642" t="str">
        <f>IF(B160="","",VLOOKUP(B160,'B-1 Site Hedge Baseline'!$B$10:T405,16,FALSE))</f>
        <v/>
      </c>
      <c r="Q160" s="171" t="str">
        <f>IF(M160="","",VLOOKUP(M160,'G-6 Hedgerow Data'!$B$2:$AG$15,2,FALSE))</f>
        <v/>
      </c>
      <c r="R160" s="172" t="str">
        <f>IF(M160="","",VLOOKUP(M160,'G-6 Hedgerow Data'!$B$2:$AG$15,3,FALSE))</f>
        <v/>
      </c>
      <c r="S160" s="189"/>
      <c r="T160" s="269" t="str">
        <f>IFERROR(VLOOKUP(S160,'G-1 All Habitats'!$Z$2:$AA$9,2,FALSE),"")</f>
        <v/>
      </c>
      <c r="U160" s="186"/>
      <c r="V160" s="175" t="str">
        <f>IF(U160="","",IF(VLOOKUP(U160,'G-3 Multipliers'!$L$3:$N$6,2,FALSE)=0,"Spatial Data Missing",VLOOKUP(U160,'G-3 Multipliers'!$L$3:$N$6,2,FALSE)))</f>
        <v/>
      </c>
      <c r="W160" s="176" t="str">
        <f>IF(U160="","",IF(VLOOKUP(U160,'G-3 Multipliers'!$L$3:$N$6,3,FALSE)=0,"Spatial Data Missing",VLOOKUP(U160,'G-3 Multipliers'!$L$3:$N$6,3,FALSE)))</f>
        <v/>
      </c>
      <c r="X160" s="171" t="str">
        <f>IFERROR(IF(OR(LEFT(O160,5)="Error",LEFT(N160,5)="Error",T160="Error"),"Check Data",IF(F160&lt;R160,INDEX('G-6 Hedgerow Data'!$S$3:$AE$14,MATCH(C160,'G-6 Hedgerow Data'!$B$3:$B$14,0),MATCH(M160,'G-6 Hedgerow Data'!$S$2:$AE$2,0)),INDEX('G-6 Hedgerow Data'!$K$3:$Q$14,MATCH(M160,'G-6 Hedgerow Data'!$B$3:$B$14,0),MATCH(O160,'G-6 Hedgerow Data'!$K$2:$Q$2,0)))),"")</f>
        <v/>
      </c>
      <c r="Y160" s="261"/>
      <c r="Z160" s="261"/>
      <c r="AA160" s="179" t="str">
        <f t="shared" si="17"/>
        <v/>
      </c>
      <c r="AB160" s="262" t="str">
        <f t="shared" si="18"/>
        <v/>
      </c>
      <c r="AC160" s="263" t="str">
        <f t="shared" si="15"/>
        <v/>
      </c>
      <c r="AD160" s="239" t="str">
        <f>IF(M160="","",VLOOKUP(M160,'G-6 Hedgerow Data'!$B$3:$AG$15,31,FALSE))</f>
        <v/>
      </c>
      <c r="AE160" s="179" t="str">
        <f t="shared" si="19"/>
        <v/>
      </c>
      <c r="AF160" s="179" t="str">
        <f t="shared" si="20"/>
        <v/>
      </c>
      <c r="AG160" s="176" t="str">
        <f>IFERROR(IF(O160="","",VLOOKUP(AD160,'G-3 Multipliers'!$P$3:$Q$6,2,FALSE)),"")</f>
        <v/>
      </c>
      <c r="AH160" s="207" t="str">
        <f t="shared" si="16"/>
        <v/>
      </c>
      <c r="AI160" s="336"/>
      <c r="AJ160" s="181"/>
      <c r="AT160" s="35" t="str">
        <f>IFERROR(INDEX('G-6 Hedgerow Data'!$BJ$3:$BJ$15,MATCH(M160,'G-6 Hedgerow Data'!$B$3:$B$15,0)),"")</f>
        <v/>
      </c>
    </row>
    <row r="161" spans="2:46" ht="13.8" x14ac:dyDescent="0.25">
      <c r="B161" s="259" t="str">
        <f>'B-1 Site Hedge Baseline'!AK159</f>
        <v/>
      </c>
      <c r="C161" s="175" t="str">
        <f>IF(B161="","",IF(ISNA(VLOOKUP($B161,'B-1 Site Hedge Baseline'!$B$1:$L$257,3,FALSE)),"",(VLOOKUP($B161,'B-1 Site Hedge Baseline'!$B$1:$L$257,3,FALSE))))</f>
        <v/>
      </c>
      <c r="D161" s="175" t="str">
        <f>IF(B161="","",IF(ISNA(VLOOKUP($B161,'B-1 Site Hedge Baseline'!$B$1:$L$257,4,FALSE)),"",(VLOOKUP($B161,'B-1 Site Hedge Baseline'!$B$1:$L$257,4,FALSE))))</f>
        <v/>
      </c>
      <c r="E161" s="175" t="str">
        <f>IF(B161="","",IF(ISNA(VLOOKUP($B161,'B-1 Site Hedge Baseline'!$B$1:$L$257,5,FALSE)),"",(VLOOKUP($B161,'B-1 Site Hedge Baseline'!$B$1:$L$257,5,FALSE))))</f>
        <v/>
      </c>
      <c r="F161" s="175" t="str">
        <f>IF(B161="","",IF(ISNA(VLOOKUP($B161,'B-1 Site Hedge Baseline'!$B$1:$L$257,6,FALSE)),"",(VLOOKUP($B161,'B-1 Site Hedge Baseline'!$B$1:$L$257,6,FALSE))))</f>
        <v/>
      </c>
      <c r="G161" s="175" t="str">
        <f>IF(B161="","",IF(ISNA(VLOOKUP($B161,'B-1 Site Hedge Baseline'!$B$1:$L$257,7,FALSE)),"",(VLOOKUP($B161,'B-1 Site Hedge Baseline'!$B$1:$L$257,7,FALSE))))</f>
        <v/>
      </c>
      <c r="H161" s="175" t="str">
        <f>IF(B161="","",IF(ISNA(VLOOKUP($B161,'B-1 Site Hedge Baseline'!$B$1:$L$257,8,FALSE)),"",(VLOOKUP($B161,'B-1 Site Hedge Baseline'!$B$1:$L$257,8,FALSE))))</f>
        <v/>
      </c>
      <c r="I161" s="175" t="str">
        <f>IF(B161="","",IF(ISNA(VLOOKUP($B161,'B-1 Site Hedge Baseline'!$B$1:$L$257,10,FALSE)),"",(VLOOKUP($B161,'B-1 Site Hedge Baseline'!$B$1:$L$257,10,FALSE))))</f>
        <v/>
      </c>
      <c r="J161" s="175" t="str">
        <f>IF(B161="","",IF(ISNA(VLOOKUP($B161,'B-1 Site Hedge Baseline'!$B$1:$L$257,11,FALSE)),"",(VLOOKUP($B161,'B-1 Site Hedge Baseline'!$B$1:$L$257,11,FALSE))))</f>
        <v/>
      </c>
      <c r="K161" s="175" t="str">
        <f>IF(B161="","",IF(ISNA(VLOOKUP($B161,'B-1 Site Hedge Baseline'!$B$1:$U$257,13,FALSE)),"",(VLOOKUP($B161,'B-1 Site Hedge Baseline'!$B$1:$U$257,13,FALSE))))</f>
        <v/>
      </c>
      <c r="L161" s="176" t="str">
        <f>IF(B161="","",IF(ISNA(VLOOKUP($B161,'B-1 Site Hedge Baseline'!$B$1:$U$257,12,FALSE)),"",(VLOOKUP($B161,'B-1 Site Hedge Baseline'!$B$1:$U$257,12,FALSE))))</f>
        <v/>
      </c>
      <c r="M161" s="637"/>
      <c r="N161" s="171" t="str">
        <f>IFERROR(IF(B161="","",INDEX('G-6 Hedgerow Data'!$AN$3:$AZ$15,MATCH(C161,'G-6 Hedgerow Data'!$AM$3:$AM$15,0),MATCH(M161,'G-6 Hedgerow Data'!$AN$2:$AZ$2,0))),"")</f>
        <v/>
      </c>
      <c r="O161" s="172" t="str">
        <f t="shared" si="14"/>
        <v/>
      </c>
      <c r="P161" s="642" t="str">
        <f>IF(B161="","",VLOOKUP(B161,'B-1 Site Hedge Baseline'!$B$10:T406,16,FALSE))</f>
        <v/>
      </c>
      <c r="Q161" s="171" t="str">
        <f>IF(M161="","",VLOOKUP(M161,'G-6 Hedgerow Data'!$B$2:$AG$15,2,FALSE))</f>
        <v/>
      </c>
      <c r="R161" s="172" t="str">
        <f>IF(M161="","",VLOOKUP(M161,'G-6 Hedgerow Data'!$B$2:$AG$15,3,FALSE))</f>
        <v/>
      </c>
      <c r="S161" s="189"/>
      <c r="T161" s="269" t="str">
        <f>IFERROR(VLOOKUP(S161,'G-1 All Habitats'!$Z$2:$AA$9,2,FALSE),"")</f>
        <v/>
      </c>
      <c r="U161" s="186"/>
      <c r="V161" s="175" t="str">
        <f>IF(U161="","",IF(VLOOKUP(U161,'G-3 Multipliers'!$L$3:$N$6,2,FALSE)=0,"Spatial Data Missing",VLOOKUP(U161,'G-3 Multipliers'!$L$3:$N$6,2,FALSE)))</f>
        <v/>
      </c>
      <c r="W161" s="176" t="str">
        <f>IF(U161="","",IF(VLOOKUP(U161,'G-3 Multipliers'!$L$3:$N$6,3,FALSE)=0,"Spatial Data Missing",VLOOKUP(U161,'G-3 Multipliers'!$L$3:$N$6,3,FALSE)))</f>
        <v/>
      </c>
      <c r="X161" s="171" t="str">
        <f>IFERROR(IF(OR(LEFT(O161,5)="Error",LEFT(N161,5)="Error",T161="Error"),"Check Data",IF(F161&lt;R161,INDEX('G-6 Hedgerow Data'!$S$3:$AE$14,MATCH(C161,'G-6 Hedgerow Data'!$B$3:$B$14,0),MATCH(M161,'G-6 Hedgerow Data'!$S$2:$AE$2,0)),INDEX('G-6 Hedgerow Data'!$K$3:$Q$14,MATCH(M161,'G-6 Hedgerow Data'!$B$3:$B$14,0),MATCH(O161,'G-6 Hedgerow Data'!$K$2:$Q$2,0)))),"")</f>
        <v/>
      </c>
      <c r="Y161" s="261"/>
      <c r="Z161" s="261"/>
      <c r="AA161" s="179" t="str">
        <f t="shared" si="17"/>
        <v/>
      </c>
      <c r="AB161" s="262" t="str">
        <f t="shared" si="18"/>
        <v/>
      </c>
      <c r="AC161" s="263" t="str">
        <f t="shared" si="15"/>
        <v/>
      </c>
      <c r="AD161" s="239" t="str">
        <f>IF(M161="","",VLOOKUP(M161,'G-6 Hedgerow Data'!$B$3:$AG$15,31,FALSE))</f>
        <v/>
      </c>
      <c r="AE161" s="179" t="str">
        <f t="shared" si="19"/>
        <v/>
      </c>
      <c r="AF161" s="179" t="str">
        <f t="shared" si="20"/>
        <v/>
      </c>
      <c r="AG161" s="176" t="str">
        <f>IFERROR(IF(O161="","",VLOOKUP(AD161,'G-3 Multipliers'!$P$3:$Q$6,2,FALSE)),"")</f>
        <v/>
      </c>
      <c r="AH161" s="207" t="str">
        <f t="shared" si="16"/>
        <v/>
      </c>
      <c r="AI161" s="336"/>
      <c r="AJ161" s="181"/>
      <c r="AT161" s="35" t="str">
        <f>IFERROR(INDEX('G-6 Hedgerow Data'!$BJ$3:$BJ$15,MATCH(M161,'G-6 Hedgerow Data'!$B$3:$B$15,0)),"")</f>
        <v/>
      </c>
    </row>
    <row r="162" spans="2:46" ht="13.8" x14ac:dyDescent="0.25">
      <c r="B162" s="259" t="str">
        <f>'B-1 Site Hedge Baseline'!AK160</f>
        <v/>
      </c>
      <c r="C162" s="175" t="str">
        <f>IF(B162="","",IF(ISNA(VLOOKUP($B162,'B-1 Site Hedge Baseline'!$B$1:$L$257,3,FALSE)),"",(VLOOKUP($B162,'B-1 Site Hedge Baseline'!$B$1:$L$257,3,FALSE))))</f>
        <v/>
      </c>
      <c r="D162" s="175" t="str">
        <f>IF(B162="","",IF(ISNA(VLOOKUP($B162,'B-1 Site Hedge Baseline'!$B$1:$L$257,4,FALSE)),"",(VLOOKUP($B162,'B-1 Site Hedge Baseline'!$B$1:$L$257,4,FALSE))))</f>
        <v/>
      </c>
      <c r="E162" s="175" t="str">
        <f>IF(B162="","",IF(ISNA(VLOOKUP($B162,'B-1 Site Hedge Baseline'!$B$1:$L$257,5,FALSE)),"",(VLOOKUP($B162,'B-1 Site Hedge Baseline'!$B$1:$L$257,5,FALSE))))</f>
        <v/>
      </c>
      <c r="F162" s="175" t="str">
        <f>IF(B162="","",IF(ISNA(VLOOKUP($B162,'B-1 Site Hedge Baseline'!$B$1:$L$257,6,FALSE)),"",(VLOOKUP($B162,'B-1 Site Hedge Baseline'!$B$1:$L$257,6,FALSE))))</f>
        <v/>
      </c>
      <c r="G162" s="175" t="str">
        <f>IF(B162="","",IF(ISNA(VLOOKUP($B162,'B-1 Site Hedge Baseline'!$B$1:$L$257,7,FALSE)),"",(VLOOKUP($B162,'B-1 Site Hedge Baseline'!$B$1:$L$257,7,FALSE))))</f>
        <v/>
      </c>
      <c r="H162" s="175" t="str">
        <f>IF(B162="","",IF(ISNA(VLOOKUP($B162,'B-1 Site Hedge Baseline'!$B$1:$L$257,8,FALSE)),"",(VLOOKUP($B162,'B-1 Site Hedge Baseline'!$B$1:$L$257,8,FALSE))))</f>
        <v/>
      </c>
      <c r="I162" s="175" t="str">
        <f>IF(B162="","",IF(ISNA(VLOOKUP($B162,'B-1 Site Hedge Baseline'!$B$1:$L$257,10,FALSE)),"",(VLOOKUP($B162,'B-1 Site Hedge Baseline'!$B$1:$L$257,10,FALSE))))</f>
        <v/>
      </c>
      <c r="J162" s="175" t="str">
        <f>IF(B162="","",IF(ISNA(VLOOKUP($B162,'B-1 Site Hedge Baseline'!$B$1:$L$257,11,FALSE)),"",(VLOOKUP($B162,'B-1 Site Hedge Baseline'!$B$1:$L$257,11,FALSE))))</f>
        <v/>
      </c>
      <c r="K162" s="175" t="str">
        <f>IF(B162="","",IF(ISNA(VLOOKUP($B162,'B-1 Site Hedge Baseline'!$B$1:$U$257,13,FALSE)),"",(VLOOKUP($B162,'B-1 Site Hedge Baseline'!$B$1:$U$257,13,FALSE))))</f>
        <v/>
      </c>
      <c r="L162" s="176" t="str">
        <f>IF(B162="","",IF(ISNA(VLOOKUP($B162,'B-1 Site Hedge Baseline'!$B$1:$U$257,12,FALSE)),"",(VLOOKUP($B162,'B-1 Site Hedge Baseline'!$B$1:$U$257,12,FALSE))))</f>
        <v/>
      </c>
      <c r="M162" s="637"/>
      <c r="N162" s="171" t="str">
        <f>IFERROR(IF(B162="","",INDEX('G-6 Hedgerow Data'!$AN$3:$AZ$15,MATCH(C162,'G-6 Hedgerow Data'!$AM$3:$AM$15,0),MATCH(M162,'G-6 Hedgerow Data'!$AN$2:$AZ$2,0))),"")</f>
        <v/>
      </c>
      <c r="O162" s="172" t="str">
        <f t="shared" si="14"/>
        <v/>
      </c>
      <c r="P162" s="642" t="str">
        <f>IF(B162="","",VLOOKUP(B162,'B-1 Site Hedge Baseline'!$B$10:T407,16,FALSE))</f>
        <v/>
      </c>
      <c r="Q162" s="171" t="str">
        <f>IF(M162="","",VLOOKUP(M162,'G-6 Hedgerow Data'!$B$2:$AG$15,2,FALSE))</f>
        <v/>
      </c>
      <c r="R162" s="172" t="str">
        <f>IF(M162="","",VLOOKUP(M162,'G-6 Hedgerow Data'!$B$2:$AG$15,3,FALSE))</f>
        <v/>
      </c>
      <c r="S162" s="189"/>
      <c r="T162" s="269" t="str">
        <f>IFERROR(VLOOKUP(S162,'G-1 All Habitats'!$Z$2:$AA$9,2,FALSE),"")</f>
        <v/>
      </c>
      <c r="U162" s="186"/>
      <c r="V162" s="175" t="str">
        <f>IF(U162="","",IF(VLOOKUP(U162,'G-3 Multipliers'!$L$3:$N$6,2,FALSE)=0,"Spatial Data Missing",VLOOKUP(U162,'G-3 Multipliers'!$L$3:$N$6,2,FALSE)))</f>
        <v/>
      </c>
      <c r="W162" s="176" t="str">
        <f>IF(U162="","",IF(VLOOKUP(U162,'G-3 Multipliers'!$L$3:$N$6,3,FALSE)=0,"Spatial Data Missing",VLOOKUP(U162,'G-3 Multipliers'!$L$3:$N$6,3,FALSE)))</f>
        <v/>
      </c>
      <c r="X162" s="171" t="str">
        <f>IFERROR(IF(OR(LEFT(O162,5)="Error",LEFT(N162,5)="Error",T162="Error"),"Check Data",IF(F162&lt;R162,INDEX('G-6 Hedgerow Data'!$S$3:$AE$14,MATCH(C162,'G-6 Hedgerow Data'!$B$3:$B$14,0),MATCH(M162,'G-6 Hedgerow Data'!$S$2:$AE$2,0)),INDEX('G-6 Hedgerow Data'!$K$3:$Q$14,MATCH(M162,'G-6 Hedgerow Data'!$B$3:$B$14,0),MATCH(O162,'G-6 Hedgerow Data'!$K$2:$Q$2,0)))),"")</f>
        <v/>
      </c>
      <c r="Y162" s="261"/>
      <c r="Z162" s="261"/>
      <c r="AA162" s="179" t="str">
        <f t="shared" si="17"/>
        <v/>
      </c>
      <c r="AB162" s="262" t="str">
        <f t="shared" si="18"/>
        <v/>
      </c>
      <c r="AC162" s="263" t="str">
        <f t="shared" si="15"/>
        <v/>
      </c>
      <c r="AD162" s="239" t="str">
        <f>IF(M162="","",VLOOKUP(M162,'G-6 Hedgerow Data'!$B$3:$AG$15,31,FALSE))</f>
        <v/>
      </c>
      <c r="AE162" s="179" t="str">
        <f t="shared" si="19"/>
        <v/>
      </c>
      <c r="AF162" s="179" t="str">
        <f t="shared" si="20"/>
        <v/>
      </c>
      <c r="AG162" s="176" t="str">
        <f>IFERROR(IF(O162="","",VLOOKUP(AD162,'G-3 Multipliers'!$P$3:$Q$6,2,FALSE)),"")</f>
        <v/>
      </c>
      <c r="AH162" s="207" t="str">
        <f t="shared" si="16"/>
        <v/>
      </c>
      <c r="AI162" s="336"/>
      <c r="AJ162" s="181"/>
      <c r="AT162" s="35" t="str">
        <f>IFERROR(INDEX('G-6 Hedgerow Data'!$BJ$3:$BJ$15,MATCH(M162,'G-6 Hedgerow Data'!$B$3:$B$15,0)),"")</f>
        <v/>
      </c>
    </row>
    <row r="163" spans="2:46" ht="13.8" x14ac:dyDescent="0.25">
      <c r="B163" s="259" t="str">
        <f>'B-1 Site Hedge Baseline'!AK161</f>
        <v/>
      </c>
      <c r="C163" s="175" t="str">
        <f>IF(B163="","",IF(ISNA(VLOOKUP($B163,'B-1 Site Hedge Baseline'!$B$1:$L$257,3,FALSE)),"",(VLOOKUP($B163,'B-1 Site Hedge Baseline'!$B$1:$L$257,3,FALSE))))</f>
        <v/>
      </c>
      <c r="D163" s="175" t="str">
        <f>IF(B163="","",IF(ISNA(VLOOKUP($B163,'B-1 Site Hedge Baseline'!$B$1:$L$257,4,FALSE)),"",(VLOOKUP($B163,'B-1 Site Hedge Baseline'!$B$1:$L$257,4,FALSE))))</f>
        <v/>
      </c>
      <c r="E163" s="175" t="str">
        <f>IF(B163="","",IF(ISNA(VLOOKUP($B163,'B-1 Site Hedge Baseline'!$B$1:$L$257,5,FALSE)),"",(VLOOKUP($B163,'B-1 Site Hedge Baseline'!$B$1:$L$257,5,FALSE))))</f>
        <v/>
      </c>
      <c r="F163" s="175" t="str">
        <f>IF(B163="","",IF(ISNA(VLOOKUP($B163,'B-1 Site Hedge Baseline'!$B$1:$L$257,6,FALSE)),"",(VLOOKUP($B163,'B-1 Site Hedge Baseline'!$B$1:$L$257,6,FALSE))))</f>
        <v/>
      </c>
      <c r="G163" s="175" t="str">
        <f>IF(B163="","",IF(ISNA(VLOOKUP($B163,'B-1 Site Hedge Baseline'!$B$1:$L$257,7,FALSE)),"",(VLOOKUP($B163,'B-1 Site Hedge Baseline'!$B$1:$L$257,7,FALSE))))</f>
        <v/>
      </c>
      <c r="H163" s="175" t="str">
        <f>IF(B163="","",IF(ISNA(VLOOKUP($B163,'B-1 Site Hedge Baseline'!$B$1:$L$257,8,FALSE)),"",(VLOOKUP($B163,'B-1 Site Hedge Baseline'!$B$1:$L$257,8,FALSE))))</f>
        <v/>
      </c>
      <c r="I163" s="175" t="str">
        <f>IF(B163="","",IF(ISNA(VLOOKUP($B163,'B-1 Site Hedge Baseline'!$B$1:$L$257,10,FALSE)),"",(VLOOKUP($B163,'B-1 Site Hedge Baseline'!$B$1:$L$257,10,FALSE))))</f>
        <v/>
      </c>
      <c r="J163" s="175" t="str">
        <f>IF(B163="","",IF(ISNA(VLOOKUP($B163,'B-1 Site Hedge Baseline'!$B$1:$L$257,11,FALSE)),"",(VLOOKUP($B163,'B-1 Site Hedge Baseline'!$B$1:$L$257,11,FALSE))))</f>
        <v/>
      </c>
      <c r="K163" s="175" t="str">
        <f>IF(B163="","",IF(ISNA(VLOOKUP($B163,'B-1 Site Hedge Baseline'!$B$1:$U$257,13,FALSE)),"",(VLOOKUP($B163,'B-1 Site Hedge Baseline'!$B$1:$U$257,13,FALSE))))</f>
        <v/>
      </c>
      <c r="L163" s="176" t="str">
        <f>IF(B163="","",IF(ISNA(VLOOKUP($B163,'B-1 Site Hedge Baseline'!$B$1:$U$257,12,FALSE)),"",(VLOOKUP($B163,'B-1 Site Hedge Baseline'!$B$1:$U$257,12,FALSE))))</f>
        <v/>
      </c>
      <c r="M163" s="637"/>
      <c r="N163" s="171" t="str">
        <f>IFERROR(IF(B163="","",INDEX('G-6 Hedgerow Data'!$AN$3:$AZ$15,MATCH(C163,'G-6 Hedgerow Data'!$AM$3:$AM$15,0),MATCH(M163,'G-6 Hedgerow Data'!$AN$2:$AZ$2,0))),"")</f>
        <v/>
      </c>
      <c r="O163" s="172" t="str">
        <f t="shared" si="14"/>
        <v/>
      </c>
      <c r="P163" s="642" t="str">
        <f>IF(B163="","",VLOOKUP(B163,'B-1 Site Hedge Baseline'!$B$10:T408,16,FALSE))</f>
        <v/>
      </c>
      <c r="Q163" s="171" t="str">
        <f>IF(M163="","",VLOOKUP(M163,'G-6 Hedgerow Data'!$B$2:$AG$15,2,FALSE))</f>
        <v/>
      </c>
      <c r="R163" s="172" t="str">
        <f>IF(M163="","",VLOOKUP(M163,'G-6 Hedgerow Data'!$B$2:$AG$15,3,FALSE))</f>
        <v/>
      </c>
      <c r="S163" s="189"/>
      <c r="T163" s="269" t="str">
        <f>IFERROR(VLOOKUP(S163,'G-1 All Habitats'!$Z$2:$AA$9,2,FALSE),"")</f>
        <v/>
      </c>
      <c r="U163" s="186"/>
      <c r="V163" s="175" t="str">
        <f>IF(U163="","",IF(VLOOKUP(U163,'G-3 Multipliers'!$L$3:$N$6,2,FALSE)=0,"Spatial Data Missing",VLOOKUP(U163,'G-3 Multipliers'!$L$3:$N$6,2,FALSE)))</f>
        <v/>
      </c>
      <c r="W163" s="176" t="str">
        <f>IF(U163="","",IF(VLOOKUP(U163,'G-3 Multipliers'!$L$3:$N$6,3,FALSE)=0,"Spatial Data Missing",VLOOKUP(U163,'G-3 Multipliers'!$L$3:$N$6,3,FALSE)))</f>
        <v/>
      </c>
      <c r="X163" s="171" t="str">
        <f>IFERROR(IF(OR(LEFT(O163,5)="Error",LEFT(N163,5)="Error",T163="Error"),"Check Data",IF(F163&lt;R163,INDEX('G-6 Hedgerow Data'!$S$3:$AE$14,MATCH(C163,'G-6 Hedgerow Data'!$B$3:$B$14,0),MATCH(M163,'G-6 Hedgerow Data'!$S$2:$AE$2,0)),INDEX('G-6 Hedgerow Data'!$K$3:$Q$14,MATCH(M163,'G-6 Hedgerow Data'!$B$3:$B$14,0),MATCH(O163,'G-6 Hedgerow Data'!$K$2:$Q$2,0)))),"")</f>
        <v/>
      </c>
      <c r="Y163" s="261"/>
      <c r="Z163" s="261"/>
      <c r="AA163" s="179" t="str">
        <f t="shared" si="17"/>
        <v/>
      </c>
      <c r="AB163" s="262" t="str">
        <f t="shared" si="18"/>
        <v/>
      </c>
      <c r="AC163" s="263" t="str">
        <f t="shared" si="15"/>
        <v/>
      </c>
      <c r="AD163" s="239" t="str">
        <f>IF(M163="","",VLOOKUP(M163,'G-6 Hedgerow Data'!$B$3:$AG$15,31,FALSE))</f>
        <v/>
      </c>
      <c r="AE163" s="179" t="str">
        <f t="shared" si="19"/>
        <v/>
      </c>
      <c r="AF163" s="179" t="str">
        <f t="shared" si="20"/>
        <v/>
      </c>
      <c r="AG163" s="176" t="str">
        <f>IFERROR(IF(O163="","",VLOOKUP(AD163,'G-3 Multipliers'!$P$3:$Q$6,2,FALSE)),"")</f>
        <v/>
      </c>
      <c r="AH163" s="207" t="str">
        <f t="shared" si="16"/>
        <v/>
      </c>
      <c r="AI163" s="336"/>
      <c r="AJ163" s="181"/>
      <c r="AT163" s="35" t="str">
        <f>IFERROR(INDEX('G-6 Hedgerow Data'!$BJ$3:$BJ$15,MATCH(M163,'G-6 Hedgerow Data'!$B$3:$B$15,0)),"")</f>
        <v/>
      </c>
    </row>
    <row r="164" spans="2:46" ht="13.8" x14ac:dyDescent="0.25">
      <c r="B164" s="259" t="str">
        <f>'B-1 Site Hedge Baseline'!AK162</f>
        <v/>
      </c>
      <c r="C164" s="175" t="str">
        <f>IF(B164="","",IF(ISNA(VLOOKUP($B164,'B-1 Site Hedge Baseline'!$B$1:$L$257,3,FALSE)),"",(VLOOKUP($B164,'B-1 Site Hedge Baseline'!$B$1:$L$257,3,FALSE))))</f>
        <v/>
      </c>
      <c r="D164" s="175" t="str">
        <f>IF(B164="","",IF(ISNA(VLOOKUP($B164,'B-1 Site Hedge Baseline'!$B$1:$L$257,4,FALSE)),"",(VLOOKUP($B164,'B-1 Site Hedge Baseline'!$B$1:$L$257,4,FALSE))))</f>
        <v/>
      </c>
      <c r="E164" s="175" t="str">
        <f>IF(B164="","",IF(ISNA(VLOOKUP($B164,'B-1 Site Hedge Baseline'!$B$1:$L$257,5,FALSE)),"",(VLOOKUP($B164,'B-1 Site Hedge Baseline'!$B$1:$L$257,5,FALSE))))</f>
        <v/>
      </c>
      <c r="F164" s="175" t="str">
        <f>IF(B164="","",IF(ISNA(VLOOKUP($B164,'B-1 Site Hedge Baseline'!$B$1:$L$257,6,FALSE)),"",(VLOOKUP($B164,'B-1 Site Hedge Baseline'!$B$1:$L$257,6,FALSE))))</f>
        <v/>
      </c>
      <c r="G164" s="175" t="str">
        <f>IF(B164="","",IF(ISNA(VLOOKUP($B164,'B-1 Site Hedge Baseline'!$B$1:$L$257,7,FALSE)),"",(VLOOKUP($B164,'B-1 Site Hedge Baseline'!$B$1:$L$257,7,FALSE))))</f>
        <v/>
      </c>
      <c r="H164" s="175" t="str">
        <f>IF(B164="","",IF(ISNA(VLOOKUP($B164,'B-1 Site Hedge Baseline'!$B$1:$L$257,8,FALSE)),"",(VLOOKUP($B164,'B-1 Site Hedge Baseline'!$B$1:$L$257,8,FALSE))))</f>
        <v/>
      </c>
      <c r="I164" s="175" t="str">
        <f>IF(B164="","",IF(ISNA(VLOOKUP($B164,'B-1 Site Hedge Baseline'!$B$1:$L$257,10,FALSE)),"",(VLOOKUP($B164,'B-1 Site Hedge Baseline'!$B$1:$L$257,10,FALSE))))</f>
        <v/>
      </c>
      <c r="J164" s="175" t="str">
        <f>IF(B164="","",IF(ISNA(VLOOKUP($B164,'B-1 Site Hedge Baseline'!$B$1:$L$257,11,FALSE)),"",(VLOOKUP($B164,'B-1 Site Hedge Baseline'!$B$1:$L$257,11,FALSE))))</f>
        <v/>
      </c>
      <c r="K164" s="175" t="str">
        <f>IF(B164="","",IF(ISNA(VLOOKUP($B164,'B-1 Site Hedge Baseline'!$B$1:$U$257,13,FALSE)),"",(VLOOKUP($B164,'B-1 Site Hedge Baseline'!$B$1:$U$257,13,FALSE))))</f>
        <v/>
      </c>
      <c r="L164" s="176" t="str">
        <f>IF(B164="","",IF(ISNA(VLOOKUP($B164,'B-1 Site Hedge Baseline'!$B$1:$U$257,12,FALSE)),"",(VLOOKUP($B164,'B-1 Site Hedge Baseline'!$B$1:$U$257,12,FALSE))))</f>
        <v/>
      </c>
      <c r="M164" s="637"/>
      <c r="N164" s="171" t="str">
        <f>IFERROR(IF(B164="","",INDEX('G-6 Hedgerow Data'!$AN$3:$AZ$15,MATCH(C164,'G-6 Hedgerow Data'!$AM$3:$AM$15,0),MATCH(M164,'G-6 Hedgerow Data'!$AN$2:$AZ$2,0))),"")</f>
        <v/>
      </c>
      <c r="O164" s="172" t="str">
        <f t="shared" si="14"/>
        <v/>
      </c>
      <c r="P164" s="642" t="str">
        <f>IF(B164="","",VLOOKUP(B164,'B-1 Site Hedge Baseline'!$B$10:T409,16,FALSE))</f>
        <v/>
      </c>
      <c r="Q164" s="171" t="str">
        <f>IF(M164="","",VLOOKUP(M164,'G-6 Hedgerow Data'!$B$2:$AG$15,2,FALSE))</f>
        <v/>
      </c>
      <c r="R164" s="172" t="str">
        <f>IF(M164="","",VLOOKUP(M164,'G-6 Hedgerow Data'!$B$2:$AG$15,3,FALSE))</f>
        <v/>
      </c>
      <c r="S164" s="189"/>
      <c r="T164" s="269" t="str">
        <f>IFERROR(VLOOKUP(S164,'G-1 All Habitats'!$Z$2:$AA$9,2,FALSE),"")</f>
        <v/>
      </c>
      <c r="U164" s="186"/>
      <c r="V164" s="175" t="str">
        <f>IF(U164="","",IF(VLOOKUP(U164,'G-3 Multipliers'!$L$3:$N$6,2,FALSE)=0,"Spatial Data Missing",VLOOKUP(U164,'G-3 Multipliers'!$L$3:$N$6,2,FALSE)))</f>
        <v/>
      </c>
      <c r="W164" s="176" t="str">
        <f>IF(U164="","",IF(VLOOKUP(U164,'G-3 Multipliers'!$L$3:$N$6,3,FALSE)=0,"Spatial Data Missing",VLOOKUP(U164,'G-3 Multipliers'!$L$3:$N$6,3,FALSE)))</f>
        <v/>
      </c>
      <c r="X164" s="171" t="str">
        <f>IFERROR(IF(OR(LEFT(O164,5)="Error",LEFT(N164,5)="Error",T164="Error"),"Check Data",IF(F164&lt;R164,INDEX('G-6 Hedgerow Data'!$S$3:$AE$14,MATCH(C164,'G-6 Hedgerow Data'!$B$3:$B$14,0),MATCH(M164,'G-6 Hedgerow Data'!$S$2:$AE$2,0)),INDEX('G-6 Hedgerow Data'!$K$3:$Q$14,MATCH(M164,'G-6 Hedgerow Data'!$B$3:$B$14,0),MATCH(O164,'G-6 Hedgerow Data'!$K$2:$Q$2,0)))),"")</f>
        <v/>
      </c>
      <c r="Y164" s="261"/>
      <c r="Z164" s="261"/>
      <c r="AA164" s="179" t="str">
        <f t="shared" si="17"/>
        <v/>
      </c>
      <c r="AB164" s="262" t="str">
        <f t="shared" si="18"/>
        <v/>
      </c>
      <c r="AC164" s="263" t="str">
        <f t="shared" si="15"/>
        <v/>
      </c>
      <c r="AD164" s="239" t="str">
        <f>IF(M164="","",VLOOKUP(M164,'G-6 Hedgerow Data'!$B$3:$AG$15,31,FALSE))</f>
        <v/>
      </c>
      <c r="AE164" s="179" t="str">
        <f t="shared" si="19"/>
        <v/>
      </c>
      <c r="AF164" s="179" t="str">
        <f t="shared" si="20"/>
        <v/>
      </c>
      <c r="AG164" s="176" t="str">
        <f>IFERROR(IF(O164="","",VLOOKUP(AD164,'G-3 Multipliers'!$P$3:$Q$6,2,FALSE)),"")</f>
        <v/>
      </c>
      <c r="AH164" s="207" t="str">
        <f t="shared" si="16"/>
        <v/>
      </c>
      <c r="AI164" s="336"/>
      <c r="AJ164" s="181"/>
      <c r="AT164" s="35" t="str">
        <f>IFERROR(INDEX('G-6 Hedgerow Data'!$BJ$3:$BJ$15,MATCH(M164,'G-6 Hedgerow Data'!$B$3:$B$15,0)),"")</f>
        <v/>
      </c>
    </row>
    <row r="165" spans="2:46" ht="13.8" x14ac:dyDescent="0.25">
      <c r="B165" s="259" t="str">
        <f>'B-1 Site Hedge Baseline'!AK163</f>
        <v/>
      </c>
      <c r="C165" s="175" t="str">
        <f>IF(B165="","",IF(ISNA(VLOOKUP($B165,'B-1 Site Hedge Baseline'!$B$1:$L$257,3,FALSE)),"",(VLOOKUP($B165,'B-1 Site Hedge Baseline'!$B$1:$L$257,3,FALSE))))</f>
        <v/>
      </c>
      <c r="D165" s="175" t="str">
        <f>IF(B165="","",IF(ISNA(VLOOKUP($B165,'B-1 Site Hedge Baseline'!$B$1:$L$257,4,FALSE)),"",(VLOOKUP($B165,'B-1 Site Hedge Baseline'!$B$1:$L$257,4,FALSE))))</f>
        <v/>
      </c>
      <c r="E165" s="175" t="str">
        <f>IF(B165="","",IF(ISNA(VLOOKUP($B165,'B-1 Site Hedge Baseline'!$B$1:$L$257,5,FALSE)),"",(VLOOKUP($B165,'B-1 Site Hedge Baseline'!$B$1:$L$257,5,FALSE))))</f>
        <v/>
      </c>
      <c r="F165" s="175" t="str">
        <f>IF(B165="","",IF(ISNA(VLOOKUP($B165,'B-1 Site Hedge Baseline'!$B$1:$L$257,6,FALSE)),"",(VLOOKUP($B165,'B-1 Site Hedge Baseline'!$B$1:$L$257,6,FALSE))))</f>
        <v/>
      </c>
      <c r="G165" s="175" t="str">
        <f>IF(B165="","",IF(ISNA(VLOOKUP($B165,'B-1 Site Hedge Baseline'!$B$1:$L$257,7,FALSE)),"",(VLOOKUP($B165,'B-1 Site Hedge Baseline'!$B$1:$L$257,7,FALSE))))</f>
        <v/>
      </c>
      <c r="H165" s="175" t="str">
        <f>IF(B165="","",IF(ISNA(VLOOKUP($B165,'B-1 Site Hedge Baseline'!$B$1:$L$257,8,FALSE)),"",(VLOOKUP($B165,'B-1 Site Hedge Baseline'!$B$1:$L$257,8,FALSE))))</f>
        <v/>
      </c>
      <c r="I165" s="175" t="str">
        <f>IF(B165="","",IF(ISNA(VLOOKUP($B165,'B-1 Site Hedge Baseline'!$B$1:$L$257,10,FALSE)),"",(VLOOKUP($B165,'B-1 Site Hedge Baseline'!$B$1:$L$257,10,FALSE))))</f>
        <v/>
      </c>
      <c r="J165" s="175" t="str">
        <f>IF(B165="","",IF(ISNA(VLOOKUP($B165,'B-1 Site Hedge Baseline'!$B$1:$L$257,11,FALSE)),"",(VLOOKUP($B165,'B-1 Site Hedge Baseline'!$B$1:$L$257,11,FALSE))))</f>
        <v/>
      </c>
      <c r="K165" s="175" t="str">
        <f>IF(B165="","",IF(ISNA(VLOOKUP($B165,'B-1 Site Hedge Baseline'!$B$1:$U$257,13,FALSE)),"",(VLOOKUP($B165,'B-1 Site Hedge Baseline'!$B$1:$U$257,13,FALSE))))</f>
        <v/>
      </c>
      <c r="L165" s="176" t="str">
        <f>IF(B165="","",IF(ISNA(VLOOKUP($B165,'B-1 Site Hedge Baseline'!$B$1:$U$257,12,FALSE)),"",(VLOOKUP($B165,'B-1 Site Hedge Baseline'!$B$1:$U$257,12,FALSE))))</f>
        <v/>
      </c>
      <c r="M165" s="637"/>
      <c r="N165" s="171" t="str">
        <f>IFERROR(IF(B165="","",INDEX('G-6 Hedgerow Data'!$AN$3:$AZ$15,MATCH(C165,'G-6 Hedgerow Data'!$AM$3:$AM$15,0),MATCH(M165,'G-6 Hedgerow Data'!$AN$2:$AZ$2,0))),"")</f>
        <v/>
      </c>
      <c r="O165" s="172" t="str">
        <f t="shared" si="14"/>
        <v/>
      </c>
      <c r="P165" s="642" t="str">
        <f>IF(B165="","",VLOOKUP(B165,'B-1 Site Hedge Baseline'!$B$10:T410,16,FALSE))</f>
        <v/>
      </c>
      <c r="Q165" s="171" t="str">
        <f>IF(M165="","",VLOOKUP(M165,'G-6 Hedgerow Data'!$B$2:$AG$15,2,FALSE))</f>
        <v/>
      </c>
      <c r="R165" s="172" t="str">
        <f>IF(M165="","",VLOOKUP(M165,'G-6 Hedgerow Data'!$B$2:$AG$15,3,FALSE))</f>
        <v/>
      </c>
      <c r="S165" s="189"/>
      <c r="T165" s="269" t="str">
        <f>IFERROR(VLOOKUP(S165,'G-1 All Habitats'!$Z$2:$AA$9,2,FALSE),"")</f>
        <v/>
      </c>
      <c r="U165" s="186"/>
      <c r="V165" s="175" t="str">
        <f>IF(U165="","",IF(VLOOKUP(U165,'G-3 Multipliers'!$L$3:$N$6,2,FALSE)=0,"Spatial Data Missing",VLOOKUP(U165,'G-3 Multipliers'!$L$3:$N$6,2,FALSE)))</f>
        <v/>
      </c>
      <c r="W165" s="176" t="str">
        <f>IF(U165="","",IF(VLOOKUP(U165,'G-3 Multipliers'!$L$3:$N$6,3,FALSE)=0,"Spatial Data Missing",VLOOKUP(U165,'G-3 Multipliers'!$L$3:$N$6,3,FALSE)))</f>
        <v/>
      </c>
      <c r="X165" s="171" t="str">
        <f>IFERROR(IF(OR(LEFT(O165,5)="Error",LEFT(N165,5)="Error",T165="Error"),"Check Data",IF(F165&lt;R165,INDEX('G-6 Hedgerow Data'!$S$3:$AE$14,MATCH(C165,'G-6 Hedgerow Data'!$B$3:$B$14,0),MATCH(M165,'G-6 Hedgerow Data'!$S$2:$AE$2,0)),INDEX('G-6 Hedgerow Data'!$K$3:$Q$14,MATCH(M165,'G-6 Hedgerow Data'!$B$3:$B$14,0),MATCH(O165,'G-6 Hedgerow Data'!$K$2:$Q$2,0)))),"")</f>
        <v/>
      </c>
      <c r="Y165" s="261"/>
      <c r="Z165" s="261"/>
      <c r="AA165" s="179" t="str">
        <f t="shared" si="17"/>
        <v/>
      </c>
      <c r="AB165" s="262" t="str">
        <f t="shared" si="18"/>
        <v/>
      </c>
      <c r="AC165" s="263" t="str">
        <f t="shared" si="15"/>
        <v/>
      </c>
      <c r="AD165" s="239" t="str">
        <f>IF(M165="","",VLOOKUP(M165,'G-6 Hedgerow Data'!$B$3:$AG$15,31,FALSE))</f>
        <v/>
      </c>
      <c r="AE165" s="179" t="str">
        <f t="shared" si="19"/>
        <v/>
      </c>
      <c r="AF165" s="179" t="str">
        <f t="shared" si="20"/>
        <v/>
      </c>
      <c r="AG165" s="176" t="str">
        <f>IFERROR(IF(O165="","",VLOOKUP(AD165,'G-3 Multipliers'!$P$3:$Q$6,2,FALSE)),"")</f>
        <v/>
      </c>
      <c r="AH165" s="207" t="str">
        <f t="shared" si="16"/>
        <v/>
      </c>
      <c r="AI165" s="336"/>
      <c r="AJ165" s="181"/>
      <c r="AT165" s="35" t="str">
        <f>IFERROR(INDEX('G-6 Hedgerow Data'!$BJ$3:$BJ$15,MATCH(M165,'G-6 Hedgerow Data'!$B$3:$B$15,0)),"")</f>
        <v/>
      </c>
    </row>
    <row r="166" spans="2:46" ht="13.8" x14ac:dyDescent="0.25">
      <c r="B166" s="259" t="str">
        <f>'B-1 Site Hedge Baseline'!AK164</f>
        <v/>
      </c>
      <c r="C166" s="175" t="str">
        <f>IF(B166="","",IF(ISNA(VLOOKUP($B166,'B-1 Site Hedge Baseline'!$B$1:$L$257,3,FALSE)),"",(VLOOKUP($B166,'B-1 Site Hedge Baseline'!$B$1:$L$257,3,FALSE))))</f>
        <v/>
      </c>
      <c r="D166" s="175" t="str">
        <f>IF(B166="","",IF(ISNA(VLOOKUP($B166,'B-1 Site Hedge Baseline'!$B$1:$L$257,4,FALSE)),"",(VLOOKUP($B166,'B-1 Site Hedge Baseline'!$B$1:$L$257,4,FALSE))))</f>
        <v/>
      </c>
      <c r="E166" s="175" t="str">
        <f>IF(B166="","",IF(ISNA(VLOOKUP($B166,'B-1 Site Hedge Baseline'!$B$1:$L$257,5,FALSE)),"",(VLOOKUP($B166,'B-1 Site Hedge Baseline'!$B$1:$L$257,5,FALSE))))</f>
        <v/>
      </c>
      <c r="F166" s="175" t="str">
        <f>IF(B166="","",IF(ISNA(VLOOKUP($B166,'B-1 Site Hedge Baseline'!$B$1:$L$257,6,FALSE)),"",(VLOOKUP($B166,'B-1 Site Hedge Baseline'!$B$1:$L$257,6,FALSE))))</f>
        <v/>
      </c>
      <c r="G166" s="175" t="str">
        <f>IF(B166="","",IF(ISNA(VLOOKUP($B166,'B-1 Site Hedge Baseline'!$B$1:$L$257,7,FALSE)),"",(VLOOKUP($B166,'B-1 Site Hedge Baseline'!$B$1:$L$257,7,FALSE))))</f>
        <v/>
      </c>
      <c r="H166" s="175" t="str">
        <f>IF(B166="","",IF(ISNA(VLOOKUP($B166,'B-1 Site Hedge Baseline'!$B$1:$L$257,8,FALSE)),"",(VLOOKUP($B166,'B-1 Site Hedge Baseline'!$B$1:$L$257,8,FALSE))))</f>
        <v/>
      </c>
      <c r="I166" s="175" t="str">
        <f>IF(B166="","",IF(ISNA(VLOOKUP($B166,'B-1 Site Hedge Baseline'!$B$1:$L$257,10,FALSE)),"",(VLOOKUP($B166,'B-1 Site Hedge Baseline'!$B$1:$L$257,10,FALSE))))</f>
        <v/>
      </c>
      <c r="J166" s="175" t="str">
        <f>IF(B166="","",IF(ISNA(VLOOKUP($B166,'B-1 Site Hedge Baseline'!$B$1:$L$257,11,FALSE)),"",(VLOOKUP($B166,'B-1 Site Hedge Baseline'!$B$1:$L$257,11,FALSE))))</f>
        <v/>
      </c>
      <c r="K166" s="175" t="str">
        <f>IF(B166="","",IF(ISNA(VLOOKUP($B166,'B-1 Site Hedge Baseline'!$B$1:$U$257,13,FALSE)),"",(VLOOKUP($B166,'B-1 Site Hedge Baseline'!$B$1:$U$257,13,FALSE))))</f>
        <v/>
      </c>
      <c r="L166" s="176" t="str">
        <f>IF(B166="","",IF(ISNA(VLOOKUP($B166,'B-1 Site Hedge Baseline'!$B$1:$U$257,12,FALSE)),"",(VLOOKUP($B166,'B-1 Site Hedge Baseline'!$B$1:$U$257,12,FALSE))))</f>
        <v/>
      </c>
      <c r="M166" s="637"/>
      <c r="N166" s="171" t="str">
        <f>IFERROR(IF(B166="","",INDEX('G-6 Hedgerow Data'!$AN$3:$AZ$15,MATCH(C166,'G-6 Hedgerow Data'!$AM$3:$AM$15,0),MATCH(M166,'G-6 Hedgerow Data'!$AN$2:$AZ$2,0))),"")</f>
        <v/>
      </c>
      <c r="O166" s="172" t="str">
        <f t="shared" si="14"/>
        <v/>
      </c>
      <c r="P166" s="642" t="str">
        <f>IF(B166="","",VLOOKUP(B166,'B-1 Site Hedge Baseline'!$B$10:T411,16,FALSE))</f>
        <v/>
      </c>
      <c r="Q166" s="171" t="str">
        <f>IF(M166="","",VLOOKUP(M166,'G-6 Hedgerow Data'!$B$2:$AG$15,2,FALSE))</f>
        <v/>
      </c>
      <c r="R166" s="172" t="str">
        <f>IF(M166="","",VLOOKUP(M166,'G-6 Hedgerow Data'!$B$2:$AG$15,3,FALSE))</f>
        <v/>
      </c>
      <c r="S166" s="189"/>
      <c r="T166" s="269" t="str">
        <f>IFERROR(VLOOKUP(S166,'G-1 All Habitats'!$Z$2:$AA$9,2,FALSE),"")</f>
        <v/>
      </c>
      <c r="U166" s="186"/>
      <c r="V166" s="175" t="str">
        <f>IF(U166="","",IF(VLOOKUP(U166,'G-3 Multipliers'!$L$3:$N$6,2,FALSE)=0,"Spatial Data Missing",VLOOKUP(U166,'G-3 Multipliers'!$L$3:$N$6,2,FALSE)))</f>
        <v/>
      </c>
      <c r="W166" s="176" t="str">
        <f>IF(U166="","",IF(VLOOKUP(U166,'G-3 Multipliers'!$L$3:$N$6,3,FALSE)=0,"Spatial Data Missing",VLOOKUP(U166,'G-3 Multipliers'!$L$3:$N$6,3,FALSE)))</f>
        <v/>
      </c>
      <c r="X166" s="171" t="str">
        <f>IFERROR(IF(OR(LEFT(O166,5)="Error",LEFT(N166,5)="Error",T166="Error"),"Check Data",IF(F166&lt;R166,INDEX('G-6 Hedgerow Data'!$S$3:$AE$14,MATCH(C166,'G-6 Hedgerow Data'!$B$3:$B$14,0),MATCH(M166,'G-6 Hedgerow Data'!$S$2:$AE$2,0)),INDEX('G-6 Hedgerow Data'!$K$3:$Q$14,MATCH(M166,'G-6 Hedgerow Data'!$B$3:$B$14,0),MATCH(O166,'G-6 Hedgerow Data'!$K$2:$Q$2,0)))),"")</f>
        <v/>
      </c>
      <c r="Y166" s="261"/>
      <c r="Z166" s="261"/>
      <c r="AA166" s="179" t="str">
        <f t="shared" si="17"/>
        <v/>
      </c>
      <c r="AB166" s="262" t="str">
        <f t="shared" si="18"/>
        <v/>
      </c>
      <c r="AC166" s="263" t="str">
        <f t="shared" si="15"/>
        <v/>
      </c>
      <c r="AD166" s="239" t="str">
        <f>IF(M166="","",VLOOKUP(M166,'G-6 Hedgerow Data'!$B$3:$AG$15,31,FALSE))</f>
        <v/>
      </c>
      <c r="AE166" s="179" t="str">
        <f t="shared" si="19"/>
        <v/>
      </c>
      <c r="AF166" s="179" t="str">
        <f t="shared" si="20"/>
        <v/>
      </c>
      <c r="AG166" s="176" t="str">
        <f>IFERROR(IF(O166="","",VLOOKUP(AD166,'G-3 Multipliers'!$P$3:$Q$6,2,FALSE)),"")</f>
        <v/>
      </c>
      <c r="AH166" s="207" t="str">
        <f t="shared" si="16"/>
        <v/>
      </c>
      <c r="AI166" s="336"/>
      <c r="AJ166" s="181"/>
      <c r="AT166" s="35" t="str">
        <f>IFERROR(INDEX('G-6 Hedgerow Data'!$BJ$3:$BJ$15,MATCH(M166,'G-6 Hedgerow Data'!$B$3:$B$15,0)),"")</f>
        <v/>
      </c>
    </row>
    <row r="167" spans="2:46" ht="13.8" x14ac:dyDescent="0.25">
      <c r="B167" s="259" t="str">
        <f>'B-1 Site Hedge Baseline'!AK165</f>
        <v/>
      </c>
      <c r="C167" s="175" t="str">
        <f>IF(B167="","",IF(ISNA(VLOOKUP($B167,'B-1 Site Hedge Baseline'!$B$1:$L$257,3,FALSE)),"",(VLOOKUP($B167,'B-1 Site Hedge Baseline'!$B$1:$L$257,3,FALSE))))</f>
        <v/>
      </c>
      <c r="D167" s="175" t="str">
        <f>IF(B167="","",IF(ISNA(VLOOKUP($B167,'B-1 Site Hedge Baseline'!$B$1:$L$257,4,FALSE)),"",(VLOOKUP($B167,'B-1 Site Hedge Baseline'!$B$1:$L$257,4,FALSE))))</f>
        <v/>
      </c>
      <c r="E167" s="175" t="str">
        <f>IF(B167="","",IF(ISNA(VLOOKUP($B167,'B-1 Site Hedge Baseline'!$B$1:$L$257,5,FALSE)),"",(VLOOKUP($B167,'B-1 Site Hedge Baseline'!$B$1:$L$257,5,FALSE))))</f>
        <v/>
      </c>
      <c r="F167" s="175" t="str">
        <f>IF(B167="","",IF(ISNA(VLOOKUP($B167,'B-1 Site Hedge Baseline'!$B$1:$L$257,6,FALSE)),"",(VLOOKUP($B167,'B-1 Site Hedge Baseline'!$B$1:$L$257,6,FALSE))))</f>
        <v/>
      </c>
      <c r="G167" s="175" t="str">
        <f>IF(B167="","",IF(ISNA(VLOOKUP($B167,'B-1 Site Hedge Baseline'!$B$1:$L$257,7,FALSE)),"",(VLOOKUP($B167,'B-1 Site Hedge Baseline'!$B$1:$L$257,7,FALSE))))</f>
        <v/>
      </c>
      <c r="H167" s="175" t="str">
        <f>IF(B167="","",IF(ISNA(VLOOKUP($B167,'B-1 Site Hedge Baseline'!$B$1:$L$257,8,FALSE)),"",(VLOOKUP($B167,'B-1 Site Hedge Baseline'!$B$1:$L$257,8,FALSE))))</f>
        <v/>
      </c>
      <c r="I167" s="175" t="str">
        <f>IF(B167="","",IF(ISNA(VLOOKUP($B167,'B-1 Site Hedge Baseline'!$B$1:$L$257,10,FALSE)),"",(VLOOKUP($B167,'B-1 Site Hedge Baseline'!$B$1:$L$257,10,FALSE))))</f>
        <v/>
      </c>
      <c r="J167" s="175" t="str">
        <f>IF(B167="","",IF(ISNA(VLOOKUP($B167,'B-1 Site Hedge Baseline'!$B$1:$L$257,11,FALSE)),"",(VLOOKUP($B167,'B-1 Site Hedge Baseline'!$B$1:$L$257,11,FALSE))))</f>
        <v/>
      </c>
      <c r="K167" s="175" t="str">
        <f>IF(B167="","",IF(ISNA(VLOOKUP($B167,'B-1 Site Hedge Baseline'!$B$1:$U$257,13,FALSE)),"",(VLOOKUP($B167,'B-1 Site Hedge Baseline'!$B$1:$U$257,13,FALSE))))</f>
        <v/>
      </c>
      <c r="L167" s="176" t="str">
        <f>IF(B167="","",IF(ISNA(VLOOKUP($B167,'B-1 Site Hedge Baseline'!$B$1:$U$257,12,FALSE)),"",(VLOOKUP($B167,'B-1 Site Hedge Baseline'!$B$1:$U$257,12,FALSE))))</f>
        <v/>
      </c>
      <c r="M167" s="637"/>
      <c r="N167" s="171" t="str">
        <f>IFERROR(IF(B167="","",INDEX('G-6 Hedgerow Data'!$AN$3:$AZ$15,MATCH(C167,'G-6 Hedgerow Data'!$AM$3:$AM$15,0),MATCH(M167,'G-6 Hedgerow Data'!$AN$2:$AZ$2,0))),"")</f>
        <v/>
      </c>
      <c r="O167" s="172" t="str">
        <f t="shared" si="14"/>
        <v/>
      </c>
      <c r="P167" s="642" t="str">
        <f>IF(B167="","",VLOOKUP(B167,'B-1 Site Hedge Baseline'!$B$10:T412,16,FALSE))</f>
        <v/>
      </c>
      <c r="Q167" s="171" t="str">
        <f>IF(M167="","",VLOOKUP(M167,'G-6 Hedgerow Data'!$B$2:$AG$15,2,FALSE))</f>
        <v/>
      </c>
      <c r="R167" s="172" t="str">
        <f>IF(M167="","",VLOOKUP(M167,'G-6 Hedgerow Data'!$B$2:$AG$15,3,FALSE))</f>
        <v/>
      </c>
      <c r="S167" s="189"/>
      <c r="T167" s="269" t="str">
        <f>IFERROR(VLOOKUP(S167,'G-1 All Habitats'!$Z$2:$AA$9,2,FALSE),"")</f>
        <v/>
      </c>
      <c r="U167" s="186"/>
      <c r="V167" s="175" t="str">
        <f>IF(U167="","",IF(VLOOKUP(U167,'G-3 Multipliers'!$L$3:$N$6,2,FALSE)=0,"Spatial Data Missing",VLOOKUP(U167,'G-3 Multipliers'!$L$3:$N$6,2,FALSE)))</f>
        <v/>
      </c>
      <c r="W167" s="176" t="str">
        <f>IF(U167="","",IF(VLOOKUP(U167,'G-3 Multipliers'!$L$3:$N$6,3,FALSE)=0,"Spatial Data Missing",VLOOKUP(U167,'G-3 Multipliers'!$L$3:$N$6,3,FALSE)))</f>
        <v/>
      </c>
      <c r="X167" s="171" t="str">
        <f>IFERROR(IF(OR(LEFT(O167,5)="Error",LEFT(N167,5)="Error",T167="Error"),"Check Data",IF(F167&lt;R167,INDEX('G-6 Hedgerow Data'!$S$3:$AE$14,MATCH(C167,'G-6 Hedgerow Data'!$B$3:$B$14,0),MATCH(M167,'G-6 Hedgerow Data'!$S$2:$AE$2,0)),INDEX('G-6 Hedgerow Data'!$K$3:$Q$14,MATCH(M167,'G-6 Hedgerow Data'!$B$3:$B$14,0),MATCH(O167,'G-6 Hedgerow Data'!$K$2:$Q$2,0)))),"")</f>
        <v/>
      </c>
      <c r="Y167" s="261"/>
      <c r="Z167" s="261"/>
      <c r="AA167" s="179" t="str">
        <f t="shared" si="17"/>
        <v/>
      </c>
      <c r="AB167" s="262" t="str">
        <f t="shared" si="18"/>
        <v/>
      </c>
      <c r="AC167" s="263" t="str">
        <f t="shared" si="15"/>
        <v/>
      </c>
      <c r="AD167" s="239" t="str">
        <f>IF(M167="","",VLOOKUP(M167,'G-6 Hedgerow Data'!$B$3:$AG$15,31,FALSE))</f>
        <v/>
      </c>
      <c r="AE167" s="179" t="str">
        <f t="shared" si="19"/>
        <v/>
      </c>
      <c r="AF167" s="179" t="str">
        <f t="shared" si="20"/>
        <v/>
      </c>
      <c r="AG167" s="176" t="str">
        <f>IFERROR(IF(O167="","",VLOOKUP(AD167,'G-3 Multipliers'!$P$3:$Q$6,2,FALSE)),"")</f>
        <v/>
      </c>
      <c r="AH167" s="207" t="str">
        <f t="shared" si="16"/>
        <v/>
      </c>
      <c r="AI167" s="336"/>
      <c r="AJ167" s="181"/>
      <c r="AT167" s="35" t="str">
        <f>IFERROR(INDEX('G-6 Hedgerow Data'!$BJ$3:$BJ$15,MATCH(M167,'G-6 Hedgerow Data'!$B$3:$B$15,0)),"")</f>
        <v/>
      </c>
    </row>
    <row r="168" spans="2:46" ht="13.8" x14ac:dyDescent="0.25">
      <c r="B168" s="259" t="str">
        <f>'B-1 Site Hedge Baseline'!AK166</f>
        <v/>
      </c>
      <c r="C168" s="175" t="str">
        <f>IF(B168="","",IF(ISNA(VLOOKUP($B168,'B-1 Site Hedge Baseline'!$B$1:$L$257,3,FALSE)),"",(VLOOKUP($B168,'B-1 Site Hedge Baseline'!$B$1:$L$257,3,FALSE))))</f>
        <v/>
      </c>
      <c r="D168" s="175" t="str">
        <f>IF(B168="","",IF(ISNA(VLOOKUP($B168,'B-1 Site Hedge Baseline'!$B$1:$L$257,4,FALSE)),"",(VLOOKUP($B168,'B-1 Site Hedge Baseline'!$B$1:$L$257,4,FALSE))))</f>
        <v/>
      </c>
      <c r="E168" s="175" t="str">
        <f>IF(B168="","",IF(ISNA(VLOOKUP($B168,'B-1 Site Hedge Baseline'!$B$1:$L$257,5,FALSE)),"",(VLOOKUP($B168,'B-1 Site Hedge Baseline'!$B$1:$L$257,5,FALSE))))</f>
        <v/>
      </c>
      <c r="F168" s="175" t="str">
        <f>IF(B168="","",IF(ISNA(VLOOKUP($B168,'B-1 Site Hedge Baseline'!$B$1:$L$257,6,FALSE)),"",(VLOOKUP($B168,'B-1 Site Hedge Baseline'!$B$1:$L$257,6,FALSE))))</f>
        <v/>
      </c>
      <c r="G168" s="175" t="str">
        <f>IF(B168="","",IF(ISNA(VLOOKUP($B168,'B-1 Site Hedge Baseline'!$B$1:$L$257,7,FALSE)),"",(VLOOKUP($B168,'B-1 Site Hedge Baseline'!$B$1:$L$257,7,FALSE))))</f>
        <v/>
      </c>
      <c r="H168" s="175" t="str">
        <f>IF(B168="","",IF(ISNA(VLOOKUP($B168,'B-1 Site Hedge Baseline'!$B$1:$L$257,8,FALSE)),"",(VLOOKUP($B168,'B-1 Site Hedge Baseline'!$B$1:$L$257,8,FALSE))))</f>
        <v/>
      </c>
      <c r="I168" s="175" t="str">
        <f>IF(B168="","",IF(ISNA(VLOOKUP($B168,'B-1 Site Hedge Baseline'!$B$1:$L$257,10,FALSE)),"",(VLOOKUP($B168,'B-1 Site Hedge Baseline'!$B$1:$L$257,10,FALSE))))</f>
        <v/>
      </c>
      <c r="J168" s="175" t="str">
        <f>IF(B168="","",IF(ISNA(VLOOKUP($B168,'B-1 Site Hedge Baseline'!$B$1:$L$257,11,FALSE)),"",(VLOOKUP($B168,'B-1 Site Hedge Baseline'!$B$1:$L$257,11,FALSE))))</f>
        <v/>
      </c>
      <c r="K168" s="175" t="str">
        <f>IF(B168="","",IF(ISNA(VLOOKUP($B168,'B-1 Site Hedge Baseline'!$B$1:$U$257,13,FALSE)),"",(VLOOKUP($B168,'B-1 Site Hedge Baseline'!$B$1:$U$257,13,FALSE))))</f>
        <v/>
      </c>
      <c r="L168" s="176" t="str">
        <f>IF(B168="","",IF(ISNA(VLOOKUP($B168,'B-1 Site Hedge Baseline'!$B$1:$U$257,12,FALSE)),"",(VLOOKUP($B168,'B-1 Site Hedge Baseline'!$B$1:$U$257,12,FALSE))))</f>
        <v/>
      </c>
      <c r="M168" s="637"/>
      <c r="N168" s="171" t="str">
        <f>IFERROR(IF(B168="","",INDEX('G-6 Hedgerow Data'!$AN$3:$AZ$15,MATCH(C168,'G-6 Hedgerow Data'!$AM$3:$AM$15,0),MATCH(M168,'G-6 Hedgerow Data'!$AN$2:$AZ$2,0))),"")</f>
        <v/>
      </c>
      <c r="O168" s="172" t="str">
        <f t="shared" si="14"/>
        <v/>
      </c>
      <c r="P168" s="642" t="str">
        <f>IF(B168="","",VLOOKUP(B168,'B-1 Site Hedge Baseline'!$B$10:T413,16,FALSE))</f>
        <v/>
      </c>
      <c r="Q168" s="171" t="str">
        <f>IF(M168="","",VLOOKUP(M168,'G-6 Hedgerow Data'!$B$2:$AG$15,2,FALSE))</f>
        <v/>
      </c>
      <c r="R168" s="172" t="str">
        <f>IF(M168="","",VLOOKUP(M168,'G-6 Hedgerow Data'!$B$2:$AG$15,3,FALSE))</f>
        <v/>
      </c>
      <c r="S168" s="189"/>
      <c r="T168" s="269" t="str">
        <f>IFERROR(VLOOKUP(S168,'G-1 All Habitats'!$Z$2:$AA$9,2,FALSE),"")</f>
        <v/>
      </c>
      <c r="U168" s="186"/>
      <c r="V168" s="175" t="str">
        <f>IF(U168="","",IF(VLOOKUP(U168,'G-3 Multipliers'!$L$3:$N$6,2,FALSE)=0,"Spatial Data Missing",VLOOKUP(U168,'G-3 Multipliers'!$L$3:$N$6,2,FALSE)))</f>
        <v/>
      </c>
      <c r="W168" s="176" t="str">
        <f>IF(U168="","",IF(VLOOKUP(U168,'G-3 Multipliers'!$L$3:$N$6,3,FALSE)=0,"Spatial Data Missing",VLOOKUP(U168,'G-3 Multipliers'!$L$3:$N$6,3,FALSE)))</f>
        <v/>
      </c>
      <c r="X168" s="171" t="str">
        <f>IFERROR(IF(OR(LEFT(O168,5)="Error",LEFT(N168,5)="Error",T168="Error"),"Check Data",IF(F168&lt;R168,INDEX('G-6 Hedgerow Data'!$S$3:$AE$14,MATCH(C168,'G-6 Hedgerow Data'!$B$3:$B$14,0),MATCH(M168,'G-6 Hedgerow Data'!$S$2:$AE$2,0)),INDEX('G-6 Hedgerow Data'!$K$3:$Q$14,MATCH(M168,'G-6 Hedgerow Data'!$B$3:$B$14,0),MATCH(O168,'G-6 Hedgerow Data'!$K$2:$Q$2,0)))),"")</f>
        <v/>
      </c>
      <c r="Y168" s="261"/>
      <c r="Z168" s="261"/>
      <c r="AA168" s="179" t="str">
        <f t="shared" si="17"/>
        <v/>
      </c>
      <c r="AB168" s="262" t="str">
        <f t="shared" si="18"/>
        <v/>
      </c>
      <c r="AC168" s="263" t="str">
        <f t="shared" si="15"/>
        <v/>
      </c>
      <c r="AD168" s="239" t="str">
        <f>IF(M168="","",VLOOKUP(M168,'G-6 Hedgerow Data'!$B$3:$AG$15,31,FALSE))</f>
        <v/>
      </c>
      <c r="AE168" s="179" t="str">
        <f t="shared" si="19"/>
        <v/>
      </c>
      <c r="AF168" s="179" t="str">
        <f t="shared" si="20"/>
        <v/>
      </c>
      <c r="AG168" s="176" t="str">
        <f>IFERROR(IF(O168="","",VLOOKUP(AD168,'G-3 Multipliers'!$P$3:$Q$6,2,FALSE)),"")</f>
        <v/>
      </c>
      <c r="AH168" s="207" t="str">
        <f t="shared" si="16"/>
        <v/>
      </c>
      <c r="AI168" s="336"/>
      <c r="AJ168" s="181"/>
      <c r="AT168" s="35" t="str">
        <f>IFERROR(INDEX('G-6 Hedgerow Data'!$BJ$3:$BJ$15,MATCH(M168,'G-6 Hedgerow Data'!$B$3:$B$15,0)),"")</f>
        <v/>
      </c>
    </row>
    <row r="169" spans="2:46" ht="13.8" x14ac:dyDescent="0.25">
      <c r="B169" s="259" t="str">
        <f>'B-1 Site Hedge Baseline'!AK167</f>
        <v/>
      </c>
      <c r="C169" s="175" t="str">
        <f>IF(B169="","",IF(ISNA(VLOOKUP($B169,'B-1 Site Hedge Baseline'!$B$1:$L$257,3,FALSE)),"",(VLOOKUP($B169,'B-1 Site Hedge Baseline'!$B$1:$L$257,3,FALSE))))</f>
        <v/>
      </c>
      <c r="D169" s="175" t="str">
        <f>IF(B169="","",IF(ISNA(VLOOKUP($B169,'B-1 Site Hedge Baseline'!$B$1:$L$257,4,FALSE)),"",(VLOOKUP($B169,'B-1 Site Hedge Baseline'!$B$1:$L$257,4,FALSE))))</f>
        <v/>
      </c>
      <c r="E169" s="175" t="str">
        <f>IF(B169="","",IF(ISNA(VLOOKUP($B169,'B-1 Site Hedge Baseline'!$B$1:$L$257,5,FALSE)),"",(VLOOKUP($B169,'B-1 Site Hedge Baseline'!$B$1:$L$257,5,FALSE))))</f>
        <v/>
      </c>
      <c r="F169" s="175" t="str">
        <f>IF(B169="","",IF(ISNA(VLOOKUP($B169,'B-1 Site Hedge Baseline'!$B$1:$L$257,6,FALSE)),"",(VLOOKUP($B169,'B-1 Site Hedge Baseline'!$B$1:$L$257,6,FALSE))))</f>
        <v/>
      </c>
      <c r="G169" s="175" t="str">
        <f>IF(B169="","",IF(ISNA(VLOOKUP($B169,'B-1 Site Hedge Baseline'!$B$1:$L$257,7,FALSE)),"",(VLOOKUP($B169,'B-1 Site Hedge Baseline'!$B$1:$L$257,7,FALSE))))</f>
        <v/>
      </c>
      <c r="H169" s="175" t="str">
        <f>IF(B169="","",IF(ISNA(VLOOKUP($B169,'B-1 Site Hedge Baseline'!$B$1:$L$257,8,FALSE)),"",(VLOOKUP($B169,'B-1 Site Hedge Baseline'!$B$1:$L$257,8,FALSE))))</f>
        <v/>
      </c>
      <c r="I169" s="175" t="str">
        <f>IF(B169="","",IF(ISNA(VLOOKUP($B169,'B-1 Site Hedge Baseline'!$B$1:$L$257,10,FALSE)),"",(VLOOKUP($B169,'B-1 Site Hedge Baseline'!$B$1:$L$257,10,FALSE))))</f>
        <v/>
      </c>
      <c r="J169" s="175" t="str">
        <f>IF(B169="","",IF(ISNA(VLOOKUP($B169,'B-1 Site Hedge Baseline'!$B$1:$L$257,11,FALSE)),"",(VLOOKUP($B169,'B-1 Site Hedge Baseline'!$B$1:$L$257,11,FALSE))))</f>
        <v/>
      </c>
      <c r="K169" s="175" t="str">
        <f>IF(B169="","",IF(ISNA(VLOOKUP($B169,'B-1 Site Hedge Baseline'!$B$1:$U$257,13,FALSE)),"",(VLOOKUP($B169,'B-1 Site Hedge Baseline'!$B$1:$U$257,13,FALSE))))</f>
        <v/>
      </c>
      <c r="L169" s="176" t="str">
        <f>IF(B169="","",IF(ISNA(VLOOKUP($B169,'B-1 Site Hedge Baseline'!$B$1:$U$257,12,FALSE)),"",(VLOOKUP($B169,'B-1 Site Hedge Baseline'!$B$1:$U$257,12,FALSE))))</f>
        <v/>
      </c>
      <c r="M169" s="637"/>
      <c r="N169" s="171" t="str">
        <f>IFERROR(IF(B169="","",INDEX('G-6 Hedgerow Data'!$AN$3:$AZ$15,MATCH(C169,'G-6 Hedgerow Data'!$AM$3:$AM$15,0),MATCH(M169,'G-6 Hedgerow Data'!$AN$2:$AZ$2,0))),"")</f>
        <v/>
      </c>
      <c r="O169" s="172" t="str">
        <f t="shared" si="14"/>
        <v/>
      </c>
      <c r="P169" s="642" t="str">
        <f>IF(B169="","",VLOOKUP(B169,'B-1 Site Hedge Baseline'!$B$10:T414,16,FALSE))</f>
        <v/>
      </c>
      <c r="Q169" s="171" t="str">
        <f>IF(M169="","",VLOOKUP(M169,'G-6 Hedgerow Data'!$B$2:$AG$15,2,FALSE))</f>
        <v/>
      </c>
      <c r="R169" s="172" t="str">
        <f>IF(M169="","",VLOOKUP(M169,'G-6 Hedgerow Data'!$B$2:$AG$15,3,FALSE))</f>
        <v/>
      </c>
      <c r="S169" s="189"/>
      <c r="T169" s="269" t="str">
        <f>IFERROR(VLOOKUP(S169,'G-1 All Habitats'!$Z$2:$AA$9,2,FALSE),"")</f>
        <v/>
      </c>
      <c r="U169" s="186"/>
      <c r="V169" s="175" t="str">
        <f>IF(U169="","",IF(VLOOKUP(U169,'G-3 Multipliers'!$L$3:$N$6,2,FALSE)=0,"Spatial Data Missing",VLOOKUP(U169,'G-3 Multipliers'!$L$3:$N$6,2,FALSE)))</f>
        <v/>
      </c>
      <c r="W169" s="176" t="str">
        <f>IF(U169="","",IF(VLOOKUP(U169,'G-3 Multipliers'!$L$3:$N$6,3,FALSE)=0,"Spatial Data Missing",VLOOKUP(U169,'G-3 Multipliers'!$L$3:$N$6,3,FALSE)))</f>
        <v/>
      </c>
      <c r="X169" s="171" t="str">
        <f>IFERROR(IF(OR(LEFT(O169,5)="Error",LEFT(N169,5)="Error",T169="Error"),"Check Data",IF(F169&lt;R169,INDEX('G-6 Hedgerow Data'!$S$3:$AE$14,MATCH(C169,'G-6 Hedgerow Data'!$B$3:$B$14,0),MATCH(M169,'G-6 Hedgerow Data'!$S$2:$AE$2,0)),INDEX('G-6 Hedgerow Data'!$K$3:$Q$14,MATCH(M169,'G-6 Hedgerow Data'!$B$3:$B$14,0),MATCH(O169,'G-6 Hedgerow Data'!$K$2:$Q$2,0)))),"")</f>
        <v/>
      </c>
      <c r="Y169" s="261"/>
      <c r="Z169" s="261"/>
      <c r="AA169" s="179" t="str">
        <f t="shared" si="17"/>
        <v/>
      </c>
      <c r="AB169" s="262" t="str">
        <f t="shared" si="18"/>
        <v/>
      </c>
      <c r="AC169" s="263" t="str">
        <f t="shared" si="15"/>
        <v/>
      </c>
      <c r="AD169" s="239" t="str">
        <f>IF(M169="","",VLOOKUP(M169,'G-6 Hedgerow Data'!$B$3:$AG$15,31,FALSE))</f>
        <v/>
      </c>
      <c r="AE169" s="179" t="str">
        <f t="shared" si="19"/>
        <v/>
      </c>
      <c r="AF169" s="179" t="str">
        <f t="shared" si="20"/>
        <v/>
      </c>
      <c r="AG169" s="176" t="str">
        <f>IFERROR(IF(O169="","",VLOOKUP(AD169,'G-3 Multipliers'!$P$3:$Q$6,2,FALSE)),"")</f>
        <v/>
      </c>
      <c r="AH169" s="207" t="str">
        <f t="shared" si="16"/>
        <v/>
      </c>
      <c r="AI169" s="336"/>
      <c r="AJ169" s="181"/>
      <c r="AT169" s="35" t="str">
        <f>IFERROR(INDEX('G-6 Hedgerow Data'!$BJ$3:$BJ$15,MATCH(M169,'G-6 Hedgerow Data'!$B$3:$B$15,0)),"")</f>
        <v/>
      </c>
    </row>
    <row r="170" spans="2:46" ht="13.8" x14ac:dyDescent="0.25">
      <c r="B170" s="259" t="str">
        <f>'B-1 Site Hedge Baseline'!AK168</f>
        <v/>
      </c>
      <c r="C170" s="175" t="str">
        <f>IF(B170="","",IF(ISNA(VLOOKUP($B170,'B-1 Site Hedge Baseline'!$B$1:$L$257,3,FALSE)),"",(VLOOKUP($B170,'B-1 Site Hedge Baseline'!$B$1:$L$257,3,FALSE))))</f>
        <v/>
      </c>
      <c r="D170" s="175" t="str">
        <f>IF(B170="","",IF(ISNA(VLOOKUP($B170,'B-1 Site Hedge Baseline'!$B$1:$L$257,4,FALSE)),"",(VLOOKUP($B170,'B-1 Site Hedge Baseline'!$B$1:$L$257,4,FALSE))))</f>
        <v/>
      </c>
      <c r="E170" s="175" t="str">
        <f>IF(B170="","",IF(ISNA(VLOOKUP($B170,'B-1 Site Hedge Baseline'!$B$1:$L$257,5,FALSE)),"",(VLOOKUP($B170,'B-1 Site Hedge Baseline'!$B$1:$L$257,5,FALSE))))</f>
        <v/>
      </c>
      <c r="F170" s="175" t="str">
        <f>IF(B170="","",IF(ISNA(VLOOKUP($B170,'B-1 Site Hedge Baseline'!$B$1:$L$257,6,FALSE)),"",(VLOOKUP($B170,'B-1 Site Hedge Baseline'!$B$1:$L$257,6,FALSE))))</f>
        <v/>
      </c>
      <c r="G170" s="175" t="str">
        <f>IF(B170="","",IF(ISNA(VLOOKUP($B170,'B-1 Site Hedge Baseline'!$B$1:$L$257,7,FALSE)),"",(VLOOKUP($B170,'B-1 Site Hedge Baseline'!$B$1:$L$257,7,FALSE))))</f>
        <v/>
      </c>
      <c r="H170" s="175" t="str">
        <f>IF(B170="","",IF(ISNA(VLOOKUP($B170,'B-1 Site Hedge Baseline'!$B$1:$L$257,8,FALSE)),"",(VLOOKUP($B170,'B-1 Site Hedge Baseline'!$B$1:$L$257,8,FALSE))))</f>
        <v/>
      </c>
      <c r="I170" s="175" t="str">
        <f>IF(B170="","",IF(ISNA(VLOOKUP($B170,'B-1 Site Hedge Baseline'!$B$1:$L$257,10,FALSE)),"",(VLOOKUP($B170,'B-1 Site Hedge Baseline'!$B$1:$L$257,10,FALSE))))</f>
        <v/>
      </c>
      <c r="J170" s="175" t="str">
        <f>IF(B170="","",IF(ISNA(VLOOKUP($B170,'B-1 Site Hedge Baseline'!$B$1:$L$257,11,FALSE)),"",(VLOOKUP($B170,'B-1 Site Hedge Baseline'!$B$1:$L$257,11,FALSE))))</f>
        <v/>
      </c>
      <c r="K170" s="175" t="str">
        <f>IF(B170="","",IF(ISNA(VLOOKUP($B170,'B-1 Site Hedge Baseline'!$B$1:$U$257,13,FALSE)),"",(VLOOKUP($B170,'B-1 Site Hedge Baseline'!$B$1:$U$257,13,FALSE))))</f>
        <v/>
      </c>
      <c r="L170" s="176" t="str">
        <f>IF(B170="","",IF(ISNA(VLOOKUP($B170,'B-1 Site Hedge Baseline'!$B$1:$U$257,12,FALSE)),"",(VLOOKUP($B170,'B-1 Site Hedge Baseline'!$B$1:$U$257,12,FALSE))))</f>
        <v/>
      </c>
      <c r="M170" s="637"/>
      <c r="N170" s="171" t="str">
        <f>IFERROR(IF(B170="","",INDEX('G-6 Hedgerow Data'!$AN$3:$AZ$15,MATCH(C170,'G-6 Hedgerow Data'!$AM$3:$AM$15,0),MATCH(M170,'G-6 Hedgerow Data'!$AN$2:$AZ$2,0))),"")</f>
        <v/>
      </c>
      <c r="O170" s="172" t="str">
        <f t="shared" si="14"/>
        <v/>
      </c>
      <c r="P170" s="642" t="str">
        <f>IF(B170="","",VLOOKUP(B170,'B-1 Site Hedge Baseline'!$B$10:T415,16,FALSE))</f>
        <v/>
      </c>
      <c r="Q170" s="171" t="str">
        <f>IF(M170="","",VLOOKUP(M170,'G-6 Hedgerow Data'!$B$2:$AG$15,2,FALSE))</f>
        <v/>
      </c>
      <c r="R170" s="172" t="str">
        <f>IF(M170="","",VLOOKUP(M170,'G-6 Hedgerow Data'!$B$2:$AG$15,3,FALSE))</f>
        <v/>
      </c>
      <c r="S170" s="189"/>
      <c r="T170" s="269" t="str">
        <f>IFERROR(VLOOKUP(S170,'G-1 All Habitats'!$Z$2:$AA$9,2,FALSE),"")</f>
        <v/>
      </c>
      <c r="U170" s="186"/>
      <c r="V170" s="175" t="str">
        <f>IF(U170="","",IF(VLOOKUP(U170,'G-3 Multipliers'!$L$3:$N$6,2,FALSE)=0,"Spatial Data Missing",VLOOKUP(U170,'G-3 Multipliers'!$L$3:$N$6,2,FALSE)))</f>
        <v/>
      </c>
      <c r="W170" s="176" t="str">
        <f>IF(U170="","",IF(VLOOKUP(U170,'G-3 Multipliers'!$L$3:$N$6,3,FALSE)=0,"Spatial Data Missing",VLOOKUP(U170,'G-3 Multipliers'!$L$3:$N$6,3,FALSE)))</f>
        <v/>
      </c>
      <c r="X170" s="171" t="str">
        <f>IFERROR(IF(OR(LEFT(O170,5)="Error",LEFT(N170,5)="Error",T170="Error"),"Check Data",IF(F170&lt;R170,INDEX('G-6 Hedgerow Data'!$S$3:$AE$14,MATCH(C170,'G-6 Hedgerow Data'!$B$3:$B$14,0),MATCH(M170,'G-6 Hedgerow Data'!$S$2:$AE$2,0)),INDEX('G-6 Hedgerow Data'!$K$3:$Q$14,MATCH(M170,'G-6 Hedgerow Data'!$B$3:$B$14,0),MATCH(O170,'G-6 Hedgerow Data'!$K$2:$Q$2,0)))),"")</f>
        <v/>
      </c>
      <c r="Y170" s="261"/>
      <c r="Z170" s="261"/>
      <c r="AA170" s="179" t="str">
        <f t="shared" si="17"/>
        <v/>
      </c>
      <c r="AB170" s="262" t="str">
        <f t="shared" si="18"/>
        <v/>
      </c>
      <c r="AC170" s="263" t="str">
        <f t="shared" si="15"/>
        <v/>
      </c>
      <c r="AD170" s="239" t="str">
        <f>IF(M170="","",VLOOKUP(M170,'G-6 Hedgerow Data'!$B$3:$AG$15,31,FALSE))</f>
        <v/>
      </c>
      <c r="AE170" s="179" t="str">
        <f t="shared" si="19"/>
        <v/>
      </c>
      <c r="AF170" s="179" t="str">
        <f t="shared" si="20"/>
        <v/>
      </c>
      <c r="AG170" s="176" t="str">
        <f>IFERROR(IF(O170="","",VLOOKUP(AD170,'G-3 Multipliers'!$P$3:$Q$6,2,FALSE)),"")</f>
        <v/>
      </c>
      <c r="AH170" s="207" t="str">
        <f t="shared" si="16"/>
        <v/>
      </c>
      <c r="AI170" s="336"/>
      <c r="AJ170" s="181"/>
      <c r="AT170" s="35" t="str">
        <f>IFERROR(INDEX('G-6 Hedgerow Data'!$BJ$3:$BJ$15,MATCH(M170,'G-6 Hedgerow Data'!$B$3:$B$15,0)),"")</f>
        <v/>
      </c>
    </row>
    <row r="171" spans="2:46" ht="13.8" x14ac:dyDescent="0.25">
      <c r="B171" s="259" t="str">
        <f>'B-1 Site Hedge Baseline'!AK169</f>
        <v/>
      </c>
      <c r="C171" s="175" t="str">
        <f>IF(B171="","",IF(ISNA(VLOOKUP($B171,'B-1 Site Hedge Baseline'!$B$1:$L$257,3,FALSE)),"",(VLOOKUP($B171,'B-1 Site Hedge Baseline'!$B$1:$L$257,3,FALSE))))</f>
        <v/>
      </c>
      <c r="D171" s="175" t="str">
        <f>IF(B171="","",IF(ISNA(VLOOKUP($B171,'B-1 Site Hedge Baseline'!$B$1:$L$257,4,FALSE)),"",(VLOOKUP($B171,'B-1 Site Hedge Baseline'!$B$1:$L$257,4,FALSE))))</f>
        <v/>
      </c>
      <c r="E171" s="175" t="str">
        <f>IF(B171="","",IF(ISNA(VLOOKUP($B171,'B-1 Site Hedge Baseline'!$B$1:$L$257,5,FALSE)),"",(VLOOKUP($B171,'B-1 Site Hedge Baseline'!$B$1:$L$257,5,FALSE))))</f>
        <v/>
      </c>
      <c r="F171" s="175" t="str">
        <f>IF(B171="","",IF(ISNA(VLOOKUP($B171,'B-1 Site Hedge Baseline'!$B$1:$L$257,6,FALSE)),"",(VLOOKUP($B171,'B-1 Site Hedge Baseline'!$B$1:$L$257,6,FALSE))))</f>
        <v/>
      </c>
      <c r="G171" s="175" t="str">
        <f>IF(B171="","",IF(ISNA(VLOOKUP($B171,'B-1 Site Hedge Baseline'!$B$1:$L$257,7,FALSE)),"",(VLOOKUP($B171,'B-1 Site Hedge Baseline'!$B$1:$L$257,7,FALSE))))</f>
        <v/>
      </c>
      <c r="H171" s="175" t="str">
        <f>IF(B171="","",IF(ISNA(VLOOKUP($B171,'B-1 Site Hedge Baseline'!$B$1:$L$257,8,FALSE)),"",(VLOOKUP($B171,'B-1 Site Hedge Baseline'!$B$1:$L$257,8,FALSE))))</f>
        <v/>
      </c>
      <c r="I171" s="175" t="str">
        <f>IF(B171="","",IF(ISNA(VLOOKUP($B171,'B-1 Site Hedge Baseline'!$B$1:$L$257,10,FALSE)),"",(VLOOKUP($B171,'B-1 Site Hedge Baseline'!$B$1:$L$257,10,FALSE))))</f>
        <v/>
      </c>
      <c r="J171" s="175" t="str">
        <f>IF(B171="","",IF(ISNA(VLOOKUP($B171,'B-1 Site Hedge Baseline'!$B$1:$L$257,11,FALSE)),"",(VLOOKUP($B171,'B-1 Site Hedge Baseline'!$B$1:$L$257,11,FALSE))))</f>
        <v/>
      </c>
      <c r="K171" s="175" t="str">
        <f>IF(B171="","",IF(ISNA(VLOOKUP($B171,'B-1 Site Hedge Baseline'!$B$1:$U$257,13,FALSE)),"",(VLOOKUP($B171,'B-1 Site Hedge Baseline'!$B$1:$U$257,13,FALSE))))</f>
        <v/>
      </c>
      <c r="L171" s="176" t="str">
        <f>IF(B171="","",IF(ISNA(VLOOKUP($B171,'B-1 Site Hedge Baseline'!$B$1:$U$257,12,FALSE)),"",(VLOOKUP($B171,'B-1 Site Hedge Baseline'!$B$1:$U$257,12,FALSE))))</f>
        <v/>
      </c>
      <c r="M171" s="637"/>
      <c r="N171" s="171" t="str">
        <f>IFERROR(IF(B171="","",INDEX('G-6 Hedgerow Data'!$AN$3:$AZ$15,MATCH(C171,'G-6 Hedgerow Data'!$AM$3:$AM$15,0),MATCH(M171,'G-6 Hedgerow Data'!$AN$2:$AZ$2,0))),"")</f>
        <v/>
      </c>
      <c r="O171" s="172" t="str">
        <f t="shared" si="14"/>
        <v/>
      </c>
      <c r="P171" s="642" t="str">
        <f>IF(B171="","",VLOOKUP(B171,'B-1 Site Hedge Baseline'!$B$10:T416,16,FALSE))</f>
        <v/>
      </c>
      <c r="Q171" s="171" t="str">
        <f>IF(M171="","",VLOOKUP(M171,'G-6 Hedgerow Data'!$B$2:$AG$15,2,FALSE))</f>
        <v/>
      </c>
      <c r="R171" s="172" t="str">
        <f>IF(M171="","",VLOOKUP(M171,'G-6 Hedgerow Data'!$B$2:$AG$15,3,FALSE))</f>
        <v/>
      </c>
      <c r="S171" s="189"/>
      <c r="T171" s="269" t="str">
        <f>IFERROR(VLOOKUP(S171,'G-1 All Habitats'!$Z$2:$AA$9,2,FALSE),"")</f>
        <v/>
      </c>
      <c r="U171" s="186"/>
      <c r="V171" s="175" t="str">
        <f>IF(U171="","",IF(VLOOKUP(U171,'G-3 Multipliers'!$L$3:$N$6,2,FALSE)=0,"Spatial Data Missing",VLOOKUP(U171,'G-3 Multipliers'!$L$3:$N$6,2,FALSE)))</f>
        <v/>
      </c>
      <c r="W171" s="176" t="str">
        <f>IF(U171="","",IF(VLOOKUP(U171,'G-3 Multipliers'!$L$3:$N$6,3,FALSE)=0,"Spatial Data Missing",VLOOKUP(U171,'G-3 Multipliers'!$L$3:$N$6,3,FALSE)))</f>
        <v/>
      </c>
      <c r="X171" s="171" t="str">
        <f>IFERROR(IF(OR(LEFT(O171,5)="Error",LEFT(N171,5)="Error",T171="Error"),"Check Data",IF(F171&lt;R171,INDEX('G-6 Hedgerow Data'!$S$3:$AE$14,MATCH(C171,'G-6 Hedgerow Data'!$B$3:$B$14,0),MATCH(M171,'G-6 Hedgerow Data'!$S$2:$AE$2,0)),INDEX('G-6 Hedgerow Data'!$K$3:$Q$14,MATCH(M171,'G-6 Hedgerow Data'!$B$3:$B$14,0),MATCH(O171,'G-6 Hedgerow Data'!$K$2:$Q$2,0)))),"")</f>
        <v/>
      </c>
      <c r="Y171" s="261"/>
      <c r="Z171" s="261"/>
      <c r="AA171" s="179" t="str">
        <f t="shared" si="17"/>
        <v/>
      </c>
      <c r="AB171" s="262" t="str">
        <f t="shared" si="18"/>
        <v/>
      </c>
      <c r="AC171" s="263" t="str">
        <f t="shared" si="15"/>
        <v/>
      </c>
      <c r="AD171" s="239" t="str">
        <f>IF(M171="","",VLOOKUP(M171,'G-6 Hedgerow Data'!$B$3:$AG$15,31,FALSE))</f>
        <v/>
      </c>
      <c r="AE171" s="179" t="str">
        <f t="shared" si="19"/>
        <v/>
      </c>
      <c r="AF171" s="179" t="str">
        <f t="shared" si="20"/>
        <v/>
      </c>
      <c r="AG171" s="176" t="str">
        <f>IFERROR(IF(O171="","",VLOOKUP(AD171,'G-3 Multipliers'!$P$3:$Q$6,2,FALSE)),"")</f>
        <v/>
      </c>
      <c r="AH171" s="207" t="str">
        <f t="shared" si="16"/>
        <v/>
      </c>
      <c r="AI171" s="336"/>
      <c r="AJ171" s="181"/>
      <c r="AT171" s="35" t="str">
        <f>IFERROR(INDEX('G-6 Hedgerow Data'!$BJ$3:$BJ$15,MATCH(M171,'G-6 Hedgerow Data'!$B$3:$B$15,0)),"")</f>
        <v/>
      </c>
    </row>
    <row r="172" spans="2:46" ht="13.8" x14ac:dyDescent="0.25">
      <c r="B172" s="259" t="str">
        <f>'B-1 Site Hedge Baseline'!AK170</f>
        <v/>
      </c>
      <c r="C172" s="175" t="str">
        <f>IF(B172="","",IF(ISNA(VLOOKUP($B172,'B-1 Site Hedge Baseline'!$B$1:$L$257,3,FALSE)),"",(VLOOKUP($B172,'B-1 Site Hedge Baseline'!$B$1:$L$257,3,FALSE))))</f>
        <v/>
      </c>
      <c r="D172" s="175" t="str">
        <f>IF(B172="","",IF(ISNA(VLOOKUP($B172,'B-1 Site Hedge Baseline'!$B$1:$L$257,4,FALSE)),"",(VLOOKUP($B172,'B-1 Site Hedge Baseline'!$B$1:$L$257,4,FALSE))))</f>
        <v/>
      </c>
      <c r="E172" s="175" t="str">
        <f>IF(B172="","",IF(ISNA(VLOOKUP($B172,'B-1 Site Hedge Baseline'!$B$1:$L$257,5,FALSE)),"",(VLOOKUP($B172,'B-1 Site Hedge Baseline'!$B$1:$L$257,5,FALSE))))</f>
        <v/>
      </c>
      <c r="F172" s="175" t="str">
        <f>IF(B172="","",IF(ISNA(VLOOKUP($B172,'B-1 Site Hedge Baseline'!$B$1:$L$257,6,FALSE)),"",(VLOOKUP($B172,'B-1 Site Hedge Baseline'!$B$1:$L$257,6,FALSE))))</f>
        <v/>
      </c>
      <c r="G172" s="175" t="str">
        <f>IF(B172="","",IF(ISNA(VLOOKUP($B172,'B-1 Site Hedge Baseline'!$B$1:$L$257,7,FALSE)),"",(VLOOKUP($B172,'B-1 Site Hedge Baseline'!$B$1:$L$257,7,FALSE))))</f>
        <v/>
      </c>
      <c r="H172" s="175" t="str">
        <f>IF(B172="","",IF(ISNA(VLOOKUP($B172,'B-1 Site Hedge Baseline'!$B$1:$L$257,8,FALSE)),"",(VLOOKUP($B172,'B-1 Site Hedge Baseline'!$B$1:$L$257,8,FALSE))))</f>
        <v/>
      </c>
      <c r="I172" s="175" t="str">
        <f>IF(B172="","",IF(ISNA(VLOOKUP($B172,'B-1 Site Hedge Baseline'!$B$1:$L$257,10,FALSE)),"",(VLOOKUP($B172,'B-1 Site Hedge Baseline'!$B$1:$L$257,10,FALSE))))</f>
        <v/>
      </c>
      <c r="J172" s="175" t="str">
        <f>IF(B172="","",IF(ISNA(VLOOKUP($B172,'B-1 Site Hedge Baseline'!$B$1:$L$257,11,FALSE)),"",(VLOOKUP($B172,'B-1 Site Hedge Baseline'!$B$1:$L$257,11,FALSE))))</f>
        <v/>
      </c>
      <c r="K172" s="175" t="str">
        <f>IF(B172="","",IF(ISNA(VLOOKUP($B172,'B-1 Site Hedge Baseline'!$B$1:$U$257,13,FALSE)),"",(VLOOKUP($B172,'B-1 Site Hedge Baseline'!$B$1:$U$257,13,FALSE))))</f>
        <v/>
      </c>
      <c r="L172" s="176" t="str">
        <f>IF(B172="","",IF(ISNA(VLOOKUP($B172,'B-1 Site Hedge Baseline'!$B$1:$U$257,12,FALSE)),"",(VLOOKUP($B172,'B-1 Site Hedge Baseline'!$B$1:$U$257,12,FALSE))))</f>
        <v/>
      </c>
      <c r="M172" s="637"/>
      <c r="N172" s="171" t="str">
        <f>IFERROR(IF(B172="","",INDEX('G-6 Hedgerow Data'!$AN$3:$AZ$15,MATCH(C172,'G-6 Hedgerow Data'!$AM$3:$AM$15,0),MATCH(M172,'G-6 Hedgerow Data'!$AN$2:$AZ$2,0))),"")</f>
        <v/>
      </c>
      <c r="O172" s="172" t="str">
        <f t="shared" si="14"/>
        <v/>
      </c>
      <c r="P172" s="642" t="str">
        <f>IF(B172="","",VLOOKUP(B172,'B-1 Site Hedge Baseline'!$B$10:T417,16,FALSE))</f>
        <v/>
      </c>
      <c r="Q172" s="171" t="str">
        <f>IF(M172="","",VLOOKUP(M172,'G-6 Hedgerow Data'!$B$2:$AG$15,2,FALSE))</f>
        <v/>
      </c>
      <c r="R172" s="172" t="str">
        <f>IF(M172="","",VLOOKUP(M172,'G-6 Hedgerow Data'!$B$2:$AG$15,3,FALSE))</f>
        <v/>
      </c>
      <c r="S172" s="189"/>
      <c r="T172" s="269" t="str">
        <f>IFERROR(VLOOKUP(S172,'G-1 All Habitats'!$Z$2:$AA$9,2,FALSE),"")</f>
        <v/>
      </c>
      <c r="U172" s="186"/>
      <c r="V172" s="175" t="str">
        <f>IF(U172="","",IF(VLOOKUP(U172,'G-3 Multipliers'!$L$3:$N$6,2,FALSE)=0,"Spatial Data Missing",VLOOKUP(U172,'G-3 Multipliers'!$L$3:$N$6,2,FALSE)))</f>
        <v/>
      </c>
      <c r="W172" s="176" t="str">
        <f>IF(U172="","",IF(VLOOKUP(U172,'G-3 Multipliers'!$L$3:$N$6,3,FALSE)=0,"Spatial Data Missing",VLOOKUP(U172,'G-3 Multipliers'!$L$3:$N$6,3,FALSE)))</f>
        <v/>
      </c>
      <c r="X172" s="171" t="str">
        <f>IFERROR(IF(OR(LEFT(O172,5)="Error",LEFT(N172,5)="Error",T172="Error"),"Check Data",IF(F172&lt;R172,INDEX('G-6 Hedgerow Data'!$S$3:$AE$14,MATCH(C172,'G-6 Hedgerow Data'!$B$3:$B$14,0),MATCH(M172,'G-6 Hedgerow Data'!$S$2:$AE$2,0)),INDEX('G-6 Hedgerow Data'!$K$3:$Q$14,MATCH(M172,'G-6 Hedgerow Data'!$B$3:$B$14,0),MATCH(O172,'G-6 Hedgerow Data'!$K$2:$Q$2,0)))),"")</f>
        <v/>
      </c>
      <c r="Y172" s="261"/>
      <c r="Z172" s="261"/>
      <c r="AA172" s="179" t="str">
        <f t="shared" si="17"/>
        <v/>
      </c>
      <c r="AB172" s="262" t="str">
        <f t="shared" si="18"/>
        <v/>
      </c>
      <c r="AC172" s="263" t="str">
        <f t="shared" si="15"/>
        <v/>
      </c>
      <c r="AD172" s="239" t="str">
        <f>IF(M172="","",VLOOKUP(M172,'G-6 Hedgerow Data'!$B$3:$AG$15,31,FALSE))</f>
        <v/>
      </c>
      <c r="AE172" s="179" t="str">
        <f t="shared" si="19"/>
        <v/>
      </c>
      <c r="AF172" s="179" t="str">
        <f t="shared" si="20"/>
        <v/>
      </c>
      <c r="AG172" s="176" t="str">
        <f>IFERROR(IF(O172="","",VLOOKUP(AD172,'G-3 Multipliers'!$P$3:$Q$6,2,FALSE)),"")</f>
        <v/>
      </c>
      <c r="AH172" s="207" t="str">
        <f t="shared" si="16"/>
        <v/>
      </c>
      <c r="AI172" s="336"/>
      <c r="AJ172" s="181"/>
      <c r="AT172" s="35" t="str">
        <f>IFERROR(INDEX('G-6 Hedgerow Data'!$BJ$3:$BJ$15,MATCH(M172,'G-6 Hedgerow Data'!$B$3:$B$15,0)),"")</f>
        <v/>
      </c>
    </row>
    <row r="173" spans="2:46" ht="13.8" x14ac:dyDescent="0.25">
      <c r="B173" s="259" t="str">
        <f>'B-1 Site Hedge Baseline'!AK171</f>
        <v/>
      </c>
      <c r="C173" s="175" t="str">
        <f>IF(B173="","",IF(ISNA(VLOOKUP($B173,'B-1 Site Hedge Baseline'!$B$1:$L$257,3,FALSE)),"",(VLOOKUP($B173,'B-1 Site Hedge Baseline'!$B$1:$L$257,3,FALSE))))</f>
        <v/>
      </c>
      <c r="D173" s="175" t="str">
        <f>IF(B173="","",IF(ISNA(VLOOKUP($B173,'B-1 Site Hedge Baseline'!$B$1:$L$257,4,FALSE)),"",(VLOOKUP($B173,'B-1 Site Hedge Baseline'!$B$1:$L$257,4,FALSE))))</f>
        <v/>
      </c>
      <c r="E173" s="175" t="str">
        <f>IF(B173="","",IF(ISNA(VLOOKUP($B173,'B-1 Site Hedge Baseline'!$B$1:$L$257,5,FALSE)),"",(VLOOKUP($B173,'B-1 Site Hedge Baseline'!$B$1:$L$257,5,FALSE))))</f>
        <v/>
      </c>
      <c r="F173" s="175" t="str">
        <f>IF(B173="","",IF(ISNA(VLOOKUP($B173,'B-1 Site Hedge Baseline'!$B$1:$L$257,6,FALSE)),"",(VLOOKUP($B173,'B-1 Site Hedge Baseline'!$B$1:$L$257,6,FALSE))))</f>
        <v/>
      </c>
      <c r="G173" s="175" t="str">
        <f>IF(B173="","",IF(ISNA(VLOOKUP($B173,'B-1 Site Hedge Baseline'!$B$1:$L$257,7,FALSE)),"",(VLOOKUP($B173,'B-1 Site Hedge Baseline'!$B$1:$L$257,7,FALSE))))</f>
        <v/>
      </c>
      <c r="H173" s="175" t="str">
        <f>IF(B173="","",IF(ISNA(VLOOKUP($B173,'B-1 Site Hedge Baseline'!$B$1:$L$257,8,FALSE)),"",(VLOOKUP($B173,'B-1 Site Hedge Baseline'!$B$1:$L$257,8,FALSE))))</f>
        <v/>
      </c>
      <c r="I173" s="175" t="str">
        <f>IF(B173="","",IF(ISNA(VLOOKUP($B173,'B-1 Site Hedge Baseline'!$B$1:$L$257,10,FALSE)),"",(VLOOKUP($B173,'B-1 Site Hedge Baseline'!$B$1:$L$257,10,FALSE))))</f>
        <v/>
      </c>
      <c r="J173" s="175" t="str">
        <f>IF(B173="","",IF(ISNA(VLOOKUP($B173,'B-1 Site Hedge Baseline'!$B$1:$L$257,11,FALSE)),"",(VLOOKUP($B173,'B-1 Site Hedge Baseline'!$B$1:$L$257,11,FALSE))))</f>
        <v/>
      </c>
      <c r="K173" s="175" t="str">
        <f>IF(B173="","",IF(ISNA(VLOOKUP($B173,'B-1 Site Hedge Baseline'!$B$1:$U$257,13,FALSE)),"",(VLOOKUP($B173,'B-1 Site Hedge Baseline'!$B$1:$U$257,13,FALSE))))</f>
        <v/>
      </c>
      <c r="L173" s="176" t="str">
        <f>IF(B173="","",IF(ISNA(VLOOKUP($B173,'B-1 Site Hedge Baseline'!$B$1:$U$257,12,FALSE)),"",(VLOOKUP($B173,'B-1 Site Hedge Baseline'!$B$1:$U$257,12,FALSE))))</f>
        <v/>
      </c>
      <c r="M173" s="637"/>
      <c r="N173" s="171" t="str">
        <f>IFERROR(IF(B173="","",INDEX('G-6 Hedgerow Data'!$AN$3:$AZ$15,MATCH(C173,'G-6 Hedgerow Data'!$AM$3:$AM$15,0),MATCH(M173,'G-6 Hedgerow Data'!$AN$2:$AZ$2,0))),"")</f>
        <v/>
      </c>
      <c r="O173" s="172" t="str">
        <f t="shared" si="14"/>
        <v/>
      </c>
      <c r="P173" s="642" t="str">
        <f>IF(B173="","",VLOOKUP(B173,'B-1 Site Hedge Baseline'!$B$10:T418,16,FALSE))</f>
        <v/>
      </c>
      <c r="Q173" s="171" t="str">
        <f>IF(M173="","",VLOOKUP(M173,'G-6 Hedgerow Data'!$B$2:$AG$15,2,FALSE))</f>
        <v/>
      </c>
      <c r="R173" s="172" t="str">
        <f>IF(M173="","",VLOOKUP(M173,'G-6 Hedgerow Data'!$B$2:$AG$15,3,FALSE))</f>
        <v/>
      </c>
      <c r="S173" s="189"/>
      <c r="T173" s="269" t="str">
        <f>IFERROR(VLOOKUP(S173,'G-1 All Habitats'!$Z$2:$AA$9,2,FALSE),"")</f>
        <v/>
      </c>
      <c r="U173" s="186"/>
      <c r="V173" s="175" t="str">
        <f>IF(U173="","",IF(VLOOKUP(U173,'G-3 Multipliers'!$L$3:$N$6,2,FALSE)=0,"Spatial Data Missing",VLOOKUP(U173,'G-3 Multipliers'!$L$3:$N$6,2,FALSE)))</f>
        <v/>
      </c>
      <c r="W173" s="176" t="str">
        <f>IF(U173="","",IF(VLOOKUP(U173,'G-3 Multipliers'!$L$3:$N$6,3,FALSE)=0,"Spatial Data Missing",VLOOKUP(U173,'G-3 Multipliers'!$L$3:$N$6,3,FALSE)))</f>
        <v/>
      </c>
      <c r="X173" s="171" t="str">
        <f>IFERROR(IF(OR(LEFT(O173,5)="Error",LEFT(N173,5)="Error",T173="Error"),"Check Data",IF(F173&lt;R173,INDEX('G-6 Hedgerow Data'!$S$3:$AE$14,MATCH(C173,'G-6 Hedgerow Data'!$B$3:$B$14,0),MATCH(M173,'G-6 Hedgerow Data'!$S$2:$AE$2,0)),INDEX('G-6 Hedgerow Data'!$K$3:$Q$14,MATCH(M173,'G-6 Hedgerow Data'!$B$3:$B$14,0),MATCH(O173,'G-6 Hedgerow Data'!$K$2:$Q$2,0)))),"")</f>
        <v/>
      </c>
      <c r="Y173" s="261"/>
      <c r="Z173" s="261"/>
      <c r="AA173" s="179" t="str">
        <f t="shared" si="17"/>
        <v/>
      </c>
      <c r="AB173" s="262" t="str">
        <f t="shared" si="18"/>
        <v/>
      </c>
      <c r="AC173" s="263" t="str">
        <f t="shared" si="15"/>
        <v/>
      </c>
      <c r="AD173" s="239" t="str">
        <f>IF(M173="","",VLOOKUP(M173,'G-6 Hedgerow Data'!$B$3:$AG$15,31,FALSE))</f>
        <v/>
      </c>
      <c r="AE173" s="179" t="str">
        <f t="shared" si="19"/>
        <v/>
      </c>
      <c r="AF173" s="179" t="str">
        <f t="shared" si="20"/>
        <v/>
      </c>
      <c r="AG173" s="176" t="str">
        <f>IFERROR(IF(O173="","",VLOOKUP(AD173,'G-3 Multipliers'!$P$3:$Q$6,2,FALSE)),"")</f>
        <v/>
      </c>
      <c r="AH173" s="207" t="str">
        <f t="shared" si="16"/>
        <v/>
      </c>
      <c r="AI173" s="336"/>
      <c r="AJ173" s="181"/>
      <c r="AT173" s="35" t="str">
        <f>IFERROR(INDEX('G-6 Hedgerow Data'!$BJ$3:$BJ$15,MATCH(M173,'G-6 Hedgerow Data'!$B$3:$B$15,0)),"")</f>
        <v/>
      </c>
    </row>
    <row r="174" spans="2:46" ht="13.8" x14ac:dyDescent="0.25">
      <c r="B174" s="259" t="str">
        <f>'B-1 Site Hedge Baseline'!AK172</f>
        <v/>
      </c>
      <c r="C174" s="175" t="str">
        <f>IF(B174="","",IF(ISNA(VLOOKUP($B174,'B-1 Site Hedge Baseline'!$B$1:$L$257,3,FALSE)),"",(VLOOKUP($B174,'B-1 Site Hedge Baseline'!$B$1:$L$257,3,FALSE))))</f>
        <v/>
      </c>
      <c r="D174" s="175" t="str">
        <f>IF(B174="","",IF(ISNA(VLOOKUP($B174,'B-1 Site Hedge Baseline'!$B$1:$L$257,4,FALSE)),"",(VLOOKUP($B174,'B-1 Site Hedge Baseline'!$B$1:$L$257,4,FALSE))))</f>
        <v/>
      </c>
      <c r="E174" s="175" t="str">
        <f>IF(B174="","",IF(ISNA(VLOOKUP($B174,'B-1 Site Hedge Baseline'!$B$1:$L$257,5,FALSE)),"",(VLOOKUP($B174,'B-1 Site Hedge Baseline'!$B$1:$L$257,5,FALSE))))</f>
        <v/>
      </c>
      <c r="F174" s="175" t="str">
        <f>IF(B174="","",IF(ISNA(VLOOKUP($B174,'B-1 Site Hedge Baseline'!$B$1:$L$257,6,FALSE)),"",(VLOOKUP($B174,'B-1 Site Hedge Baseline'!$B$1:$L$257,6,FALSE))))</f>
        <v/>
      </c>
      <c r="G174" s="175" t="str">
        <f>IF(B174="","",IF(ISNA(VLOOKUP($B174,'B-1 Site Hedge Baseline'!$B$1:$L$257,7,FALSE)),"",(VLOOKUP($B174,'B-1 Site Hedge Baseline'!$B$1:$L$257,7,FALSE))))</f>
        <v/>
      </c>
      <c r="H174" s="175" t="str">
        <f>IF(B174="","",IF(ISNA(VLOOKUP($B174,'B-1 Site Hedge Baseline'!$B$1:$L$257,8,FALSE)),"",(VLOOKUP($B174,'B-1 Site Hedge Baseline'!$B$1:$L$257,8,FALSE))))</f>
        <v/>
      </c>
      <c r="I174" s="175" t="str">
        <f>IF(B174="","",IF(ISNA(VLOOKUP($B174,'B-1 Site Hedge Baseline'!$B$1:$L$257,10,FALSE)),"",(VLOOKUP($B174,'B-1 Site Hedge Baseline'!$B$1:$L$257,10,FALSE))))</f>
        <v/>
      </c>
      <c r="J174" s="175" t="str">
        <f>IF(B174="","",IF(ISNA(VLOOKUP($B174,'B-1 Site Hedge Baseline'!$B$1:$L$257,11,FALSE)),"",(VLOOKUP($B174,'B-1 Site Hedge Baseline'!$B$1:$L$257,11,FALSE))))</f>
        <v/>
      </c>
      <c r="K174" s="175" t="str">
        <f>IF(B174="","",IF(ISNA(VLOOKUP($B174,'B-1 Site Hedge Baseline'!$B$1:$U$257,13,FALSE)),"",(VLOOKUP($B174,'B-1 Site Hedge Baseline'!$B$1:$U$257,13,FALSE))))</f>
        <v/>
      </c>
      <c r="L174" s="176" t="str">
        <f>IF(B174="","",IF(ISNA(VLOOKUP($B174,'B-1 Site Hedge Baseline'!$B$1:$U$257,12,FALSE)),"",(VLOOKUP($B174,'B-1 Site Hedge Baseline'!$B$1:$U$257,12,FALSE))))</f>
        <v/>
      </c>
      <c r="M174" s="637"/>
      <c r="N174" s="171" t="str">
        <f>IFERROR(IF(B174="","",INDEX('G-6 Hedgerow Data'!$AN$3:$AZ$15,MATCH(C174,'G-6 Hedgerow Data'!$AM$3:$AM$15,0),MATCH(M174,'G-6 Hedgerow Data'!$AN$2:$AZ$2,0))),"")</f>
        <v/>
      </c>
      <c r="O174" s="172" t="str">
        <f t="shared" si="14"/>
        <v/>
      </c>
      <c r="P174" s="642" t="str">
        <f>IF(B174="","",VLOOKUP(B174,'B-1 Site Hedge Baseline'!$B$10:T419,16,FALSE))</f>
        <v/>
      </c>
      <c r="Q174" s="171" t="str">
        <f>IF(M174="","",VLOOKUP(M174,'G-6 Hedgerow Data'!$B$2:$AG$15,2,FALSE))</f>
        <v/>
      </c>
      <c r="R174" s="172" t="str">
        <f>IF(M174="","",VLOOKUP(M174,'G-6 Hedgerow Data'!$B$2:$AG$15,3,FALSE))</f>
        <v/>
      </c>
      <c r="S174" s="189"/>
      <c r="T174" s="269" t="str">
        <f>IFERROR(VLOOKUP(S174,'G-1 All Habitats'!$Z$2:$AA$9,2,FALSE),"")</f>
        <v/>
      </c>
      <c r="U174" s="186"/>
      <c r="V174" s="175" t="str">
        <f>IF(U174="","",IF(VLOOKUP(U174,'G-3 Multipliers'!$L$3:$N$6,2,FALSE)=0,"Spatial Data Missing",VLOOKUP(U174,'G-3 Multipliers'!$L$3:$N$6,2,FALSE)))</f>
        <v/>
      </c>
      <c r="W174" s="176" t="str">
        <f>IF(U174="","",IF(VLOOKUP(U174,'G-3 Multipliers'!$L$3:$N$6,3,FALSE)=0,"Spatial Data Missing",VLOOKUP(U174,'G-3 Multipliers'!$L$3:$N$6,3,FALSE)))</f>
        <v/>
      </c>
      <c r="X174" s="171" t="str">
        <f>IFERROR(IF(OR(LEFT(O174,5)="Error",LEFT(N174,5)="Error",T174="Error"),"Check Data",IF(F174&lt;R174,INDEX('G-6 Hedgerow Data'!$S$3:$AE$14,MATCH(C174,'G-6 Hedgerow Data'!$B$3:$B$14,0),MATCH(M174,'G-6 Hedgerow Data'!$S$2:$AE$2,0)),INDEX('G-6 Hedgerow Data'!$K$3:$Q$14,MATCH(M174,'G-6 Hedgerow Data'!$B$3:$B$14,0),MATCH(O174,'G-6 Hedgerow Data'!$K$2:$Q$2,0)))),"")</f>
        <v/>
      </c>
      <c r="Y174" s="261"/>
      <c r="Z174" s="261"/>
      <c r="AA174" s="179" t="str">
        <f t="shared" si="17"/>
        <v/>
      </c>
      <c r="AB174" s="262" t="str">
        <f t="shared" si="18"/>
        <v/>
      </c>
      <c r="AC174" s="263" t="str">
        <f t="shared" si="15"/>
        <v/>
      </c>
      <c r="AD174" s="239" t="str">
        <f>IF(M174="","",VLOOKUP(M174,'G-6 Hedgerow Data'!$B$3:$AG$15,31,FALSE))</f>
        <v/>
      </c>
      <c r="AE174" s="179" t="str">
        <f t="shared" si="19"/>
        <v/>
      </c>
      <c r="AF174" s="179" t="str">
        <f t="shared" si="20"/>
        <v/>
      </c>
      <c r="AG174" s="176" t="str">
        <f>IFERROR(IF(O174="","",VLOOKUP(AD174,'G-3 Multipliers'!$P$3:$Q$6,2,FALSE)),"")</f>
        <v/>
      </c>
      <c r="AH174" s="207" t="str">
        <f t="shared" si="16"/>
        <v/>
      </c>
      <c r="AI174" s="336"/>
      <c r="AJ174" s="181"/>
      <c r="AT174" s="35" t="str">
        <f>IFERROR(INDEX('G-6 Hedgerow Data'!$BJ$3:$BJ$15,MATCH(M174,'G-6 Hedgerow Data'!$B$3:$B$15,0)),"")</f>
        <v/>
      </c>
    </row>
    <row r="175" spans="2:46" ht="13.8" x14ac:dyDescent="0.25">
      <c r="B175" s="259" t="str">
        <f>'B-1 Site Hedge Baseline'!AK173</f>
        <v/>
      </c>
      <c r="C175" s="175" t="str">
        <f>IF(B175="","",IF(ISNA(VLOOKUP($B175,'B-1 Site Hedge Baseline'!$B$1:$L$257,3,FALSE)),"",(VLOOKUP($B175,'B-1 Site Hedge Baseline'!$B$1:$L$257,3,FALSE))))</f>
        <v/>
      </c>
      <c r="D175" s="175" t="str">
        <f>IF(B175="","",IF(ISNA(VLOOKUP($B175,'B-1 Site Hedge Baseline'!$B$1:$L$257,4,FALSE)),"",(VLOOKUP($B175,'B-1 Site Hedge Baseline'!$B$1:$L$257,4,FALSE))))</f>
        <v/>
      </c>
      <c r="E175" s="175" t="str">
        <f>IF(B175="","",IF(ISNA(VLOOKUP($B175,'B-1 Site Hedge Baseline'!$B$1:$L$257,5,FALSE)),"",(VLOOKUP($B175,'B-1 Site Hedge Baseline'!$B$1:$L$257,5,FALSE))))</f>
        <v/>
      </c>
      <c r="F175" s="175" t="str">
        <f>IF(B175="","",IF(ISNA(VLOOKUP($B175,'B-1 Site Hedge Baseline'!$B$1:$L$257,6,FALSE)),"",(VLOOKUP($B175,'B-1 Site Hedge Baseline'!$B$1:$L$257,6,FALSE))))</f>
        <v/>
      </c>
      <c r="G175" s="175" t="str">
        <f>IF(B175="","",IF(ISNA(VLOOKUP($B175,'B-1 Site Hedge Baseline'!$B$1:$L$257,7,FALSE)),"",(VLOOKUP($B175,'B-1 Site Hedge Baseline'!$B$1:$L$257,7,FALSE))))</f>
        <v/>
      </c>
      <c r="H175" s="175" t="str">
        <f>IF(B175="","",IF(ISNA(VLOOKUP($B175,'B-1 Site Hedge Baseline'!$B$1:$L$257,8,FALSE)),"",(VLOOKUP($B175,'B-1 Site Hedge Baseline'!$B$1:$L$257,8,FALSE))))</f>
        <v/>
      </c>
      <c r="I175" s="175" t="str">
        <f>IF(B175="","",IF(ISNA(VLOOKUP($B175,'B-1 Site Hedge Baseline'!$B$1:$L$257,10,FALSE)),"",(VLOOKUP($B175,'B-1 Site Hedge Baseline'!$B$1:$L$257,10,FALSE))))</f>
        <v/>
      </c>
      <c r="J175" s="175" t="str">
        <f>IF(B175="","",IF(ISNA(VLOOKUP($B175,'B-1 Site Hedge Baseline'!$B$1:$L$257,11,FALSE)),"",(VLOOKUP($B175,'B-1 Site Hedge Baseline'!$B$1:$L$257,11,FALSE))))</f>
        <v/>
      </c>
      <c r="K175" s="175" t="str">
        <f>IF(B175="","",IF(ISNA(VLOOKUP($B175,'B-1 Site Hedge Baseline'!$B$1:$U$257,13,FALSE)),"",(VLOOKUP($B175,'B-1 Site Hedge Baseline'!$B$1:$U$257,13,FALSE))))</f>
        <v/>
      </c>
      <c r="L175" s="176" t="str">
        <f>IF(B175="","",IF(ISNA(VLOOKUP($B175,'B-1 Site Hedge Baseline'!$B$1:$U$257,12,FALSE)),"",(VLOOKUP($B175,'B-1 Site Hedge Baseline'!$B$1:$U$257,12,FALSE))))</f>
        <v/>
      </c>
      <c r="M175" s="637"/>
      <c r="N175" s="171" t="str">
        <f>IFERROR(IF(B175="","",INDEX('G-6 Hedgerow Data'!$AN$3:$AZ$15,MATCH(C175,'G-6 Hedgerow Data'!$AM$3:$AM$15,0),MATCH(M175,'G-6 Hedgerow Data'!$AN$2:$AZ$2,0))),"")</f>
        <v/>
      </c>
      <c r="O175" s="172" t="str">
        <f t="shared" si="14"/>
        <v/>
      </c>
      <c r="P175" s="642" t="str">
        <f>IF(B175="","",VLOOKUP(B175,'B-1 Site Hedge Baseline'!$B$10:T420,16,FALSE))</f>
        <v/>
      </c>
      <c r="Q175" s="171" t="str">
        <f>IF(M175="","",VLOOKUP(M175,'G-6 Hedgerow Data'!$B$2:$AG$15,2,FALSE))</f>
        <v/>
      </c>
      <c r="R175" s="172" t="str">
        <f>IF(M175="","",VLOOKUP(M175,'G-6 Hedgerow Data'!$B$2:$AG$15,3,FALSE))</f>
        <v/>
      </c>
      <c r="S175" s="189"/>
      <c r="T175" s="269" t="str">
        <f>IFERROR(VLOOKUP(S175,'G-1 All Habitats'!$Z$2:$AA$9,2,FALSE),"")</f>
        <v/>
      </c>
      <c r="U175" s="186"/>
      <c r="V175" s="175" t="str">
        <f>IF(U175="","",IF(VLOOKUP(U175,'G-3 Multipliers'!$L$3:$N$6,2,FALSE)=0,"Spatial Data Missing",VLOOKUP(U175,'G-3 Multipliers'!$L$3:$N$6,2,FALSE)))</f>
        <v/>
      </c>
      <c r="W175" s="176" t="str">
        <f>IF(U175="","",IF(VLOOKUP(U175,'G-3 Multipliers'!$L$3:$N$6,3,FALSE)=0,"Spatial Data Missing",VLOOKUP(U175,'G-3 Multipliers'!$L$3:$N$6,3,FALSE)))</f>
        <v/>
      </c>
      <c r="X175" s="171" t="str">
        <f>IFERROR(IF(OR(LEFT(O175,5)="Error",LEFT(N175,5)="Error",T175="Error"),"Check Data",IF(F175&lt;R175,INDEX('G-6 Hedgerow Data'!$S$3:$AE$14,MATCH(C175,'G-6 Hedgerow Data'!$B$3:$B$14,0),MATCH(M175,'G-6 Hedgerow Data'!$S$2:$AE$2,0)),INDEX('G-6 Hedgerow Data'!$K$3:$Q$14,MATCH(M175,'G-6 Hedgerow Data'!$B$3:$B$14,0),MATCH(O175,'G-6 Hedgerow Data'!$K$2:$Q$2,0)))),"")</f>
        <v/>
      </c>
      <c r="Y175" s="261"/>
      <c r="Z175" s="261"/>
      <c r="AA175" s="179" t="str">
        <f t="shared" si="17"/>
        <v/>
      </c>
      <c r="AB175" s="262" t="str">
        <f t="shared" si="18"/>
        <v/>
      </c>
      <c r="AC175" s="263" t="str">
        <f t="shared" si="15"/>
        <v/>
      </c>
      <c r="AD175" s="239" t="str">
        <f>IF(M175="","",VLOOKUP(M175,'G-6 Hedgerow Data'!$B$3:$AG$15,31,FALSE))</f>
        <v/>
      </c>
      <c r="AE175" s="179" t="str">
        <f t="shared" si="19"/>
        <v/>
      </c>
      <c r="AF175" s="179" t="str">
        <f t="shared" si="20"/>
        <v/>
      </c>
      <c r="AG175" s="176" t="str">
        <f>IFERROR(IF(O175="","",VLOOKUP(AD175,'G-3 Multipliers'!$P$3:$Q$6,2,FALSE)),"")</f>
        <v/>
      </c>
      <c r="AH175" s="207" t="str">
        <f t="shared" si="16"/>
        <v/>
      </c>
      <c r="AI175" s="336"/>
      <c r="AJ175" s="181"/>
      <c r="AT175" s="35" t="str">
        <f>IFERROR(INDEX('G-6 Hedgerow Data'!$BJ$3:$BJ$15,MATCH(M175,'G-6 Hedgerow Data'!$B$3:$B$15,0)),"")</f>
        <v/>
      </c>
    </row>
    <row r="176" spans="2:46" ht="13.8" x14ac:dyDescent="0.25">
      <c r="B176" s="259" t="str">
        <f>'B-1 Site Hedge Baseline'!AK174</f>
        <v/>
      </c>
      <c r="C176" s="175" t="str">
        <f>IF(B176="","",IF(ISNA(VLOOKUP($B176,'B-1 Site Hedge Baseline'!$B$1:$L$257,3,FALSE)),"",(VLOOKUP($B176,'B-1 Site Hedge Baseline'!$B$1:$L$257,3,FALSE))))</f>
        <v/>
      </c>
      <c r="D176" s="175" t="str">
        <f>IF(B176="","",IF(ISNA(VLOOKUP($B176,'B-1 Site Hedge Baseline'!$B$1:$L$257,4,FALSE)),"",(VLOOKUP($B176,'B-1 Site Hedge Baseline'!$B$1:$L$257,4,FALSE))))</f>
        <v/>
      </c>
      <c r="E176" s="175" t="str">
        <f>IF(B176="","",IF(ISNA(VLOOKUP($B176,'B-1 Site Hedge Baseline'!$B$1:$L$257,5,FALSE)),"",(VLOOKUP($B176,'B-1 Site Hedge Baseline'!$B$1:$L$257,5,FALSE))))</f>
        <v/>
      </c>
      <c r="F176" s="175" t="str">
        <f>IF(B176="","",IF(ISNA(VLOOKUP($B176,'B-1 Site Hedge Baseline'!$B$1:$L$257,6,FALSE)),"",(VLOOKUP($B176,'B-1 Site Hedge Baseline'!$B$1:$L$257,6,FALSE))))</f>
        <v/>
      </c>
      <c r="G176" s="175" t="str">
        <f>IF(B176="","",IF(ISNA(VLOOKUP($B176,'B-1 Site Hedge Baseline'!$B$1:$L$257,7,FALSE)),"",(VLOOKUP($B176,'B-1 Site Hedge Baseline'!$B$1:$L$257,7,FALSE))))</f>
        <v/>
      </c>
      <c r="H176" s="175" t="str">
        <f>IF(B176="","",IF(ISNA(VLOOKUP($B176,'B-1 Site Hedge Baseline'!$B$1:$L$257,8,FALSE)),"",(VLOOKUP($B176,'B-1 Site Hedge Baseline'!$B$1:$L$257,8,FALSE))))</f>
        <v/>
      </c>
      <c r="I176" s="175" t="str">
        <f>IF(B176="","",IF(ISNA(VLOOKUP($B176,'B-1 Site Hedge Baseline'!$B$1:$L$257,10,FALSE)),"",(VLOOKUP($B176,'B-1 Site Hedge Baseline'!$B$1:$L$257,10,FALSE))))</f>
        <v/>
      </c>
      <c r="J176" s="175" t="str">
        <f>IF(B176="","",IF(ISNA(VLOOKUP($B176,'B-1 Site Hedge Baseline'!$B$1:$L$257,11,FALSE)),"",(VLOOKUP($B176,'B-1 Site Hedge Baseline'!$B$1:$L$257,11,FALSE))))</f>
        <v/>
      </c>
      <c r="K176" s="175" t="str">
        <f>IF(B176="","",IF(ISNA(VLOOKUP($B176,'B-1 Site Hedge Baseline'!$B$1:$U$257,13,FALSE)),"",(VLOOKUP($B176,'B-1 Site Hedge Baseline'!$B$1:$U$257,13,FALSE))))</f>
        <v/>
      </c>
      <c r="L176" s="176" t="str">
        <f>IF(B176="","",IF(ISNA(VLOOKUP($B176,'B-1 Site Hedge Baseline'!$B$1:$U$257,12,FALSE)),"",(VLOOKUP($B176,'B-1 Site Hedge Baseline'!$B$1:$U$257,12,FALSE))))</f>
        <v/>
      </c>
      <c r="M176" s="637"/>
      <c r="N176" s="171" t="str">
        <f>IFERROR(IF(B176="","",INDEX('G-6 Hedgerow Data'!$AN$3:$AZ$15,MATCH(C176,'G-6 Hedgerow Data'!$AM$3:$AM$15,0),MATCH(M176,'G-6 Hedgerow Data'!$AN$2:$AZ$2,0))),"")</f>
        <v/>
      </c>
      <c r="O176" s="172" t="str">
        <f t="shared" si="14"/>
        <v/>
      </c>
      <c r="P176" s="642" t="str">
        <f>IF(B176="","",VLOOKUP(B176,'B-1 Site Hedge Baseline'!$B$10:T421,16,FALSE))</f>
        <v/>
      </c>
      <c r="Q176" s="171" t="str">
        <f>IF(M176="","",VLOOKUP(M176,'G-6 Hedgerow Data'!$B$2:$AG$15,2,FALSE))</f>
        <v/>
      </c>
      <c r="R176" s="172" t="str">
        <f>IF(M176="","",VLOOKUP(M176,'G-6 Hedgerow Data'!$B$2:$AG$15,3,FALSE))</f>
        <v/>
      </c>
      <c r="S176" s="189"/>
      <c r="T176" s="269" t="str">
        <f>IFERROR(VLOOKUP(S176,'G-1 All Habitats'!$Z$2:$AA$9,2,FALSE),"")</f>
        <v/>
      </c>
      <c r="U176" s="186"/>
      <c r="V176" s="175" t="str">
        <f>IF(U176="","",IF(VLOOKUP(U176,'G-3 Multipliers'!$L$3:$N$6,2,FALSE)=0,"Spatial Data Missing",VLOOKUP(U176,'G-3 Multipliers'!$L$3:$N$6,2,FALSE)))</f>
        <v/>
      </c>
      <c r="W176" s="176" t="str">
        <f>IF(U176="","",IF(VLOOKUP(U176,'G-3 Multipliers'!$L$3:$N$6,3,FALSE)=0,"Spatial Data Missing",VLOOKUP(U176,'G-3 Multipliers'!$L$3:$N$6,3,FALSE)))</f>
        <v/>
      </c>
      <c r="X176" s="171" t="str">
        <f>IFERROR(IF(OR(LEFT(O176,5)="Error",LEFT(N176,5)="Error",T176="Error"),"Check Data",IF(F176&lt;R176,INDEX('G-6 Hedgerow Data'!$S$3:$AE$14,MATCH(C176,'G-6 Hedgerow Data'!$B$3:$B$14,0),MATCH(M176,'G-6 Hedgerow Data'!$S$2:$AE$2,0)),INDEX('G-6 Hedgerow Data'!$K$3:$Q$14,MATCH(M176,'G-6 Hedgerow Data'!$B$3:$B$14,0),MATCH(O176,'G-6 Hedgerow Data'!$K$2:$Q$2,0)))),"")</f>
        <v/>
      </c>
      <c r="Y176" s="261"/>
      <c r="Z176" s="261"/>
      <c r="AA176" s="179" t="str">
        <f t="shared" si="17"/>
        <v/>
      </c>
      <c r="AB176" s="262" t="str">
        <f t="shared" si="18"/>
        <v/>
      </c>
      <c r="AC176" s="263" t="str">
        <f t="shared" si="15"/>
        <v/>
      </c>
      <c r="AD176" s="239" t="str">
        <f>IF(M176="","",VLOOKUP(M176,'G-6 Hedgerow Data'!$B$3:$AG$15,31,FALSE))</f>
        <v/>
      </c>
      <c r="AE176" s="179" t="str">
        <f t="shared" si="19"/>
        <v/>
      </c>
      <c r="AF176" s="179" t="str">
        <f t="shared" si="20"/>
        <v/>
      </c>
      <c r="AG176" s="176" t="str">
        <f>IFERROR(IF(O176="","",VLOOKUP(AD176,'G-3 Multipliers'!$P$3:$Q$6,2,FALSE)),"")</f>
        <v/>
      </c>
      <c r="AH176" s="207" t="str">
        <f t="shared" si="16"/>
        <v/>
      </c>
      <c r="AI176" s="336"/>
      <c r="AJ176" s="181"/>
      <c r="AT176" s="35" t="str">
        <f>IFERROR(INDEX('G-6 Hedgerow Data'!$BJ$3:$BJ$15,MATCH(M176,'G-6 Hedgerow Data'!$B$3:$B$15,0)),"")</f>
        <v/>
      </c>
    </row>
    <row r="177" spans="2:46" ht="13.8" x14ac:dyDescent="0.25">
      <c r="B177" s="259" t="str">
        <f>'B-1 Site Hedge Baseline'!AK175</f>
        <v/>
      </c>
      <c r="C177" s="175" t="str">
        <f>IF(B177="","",IF(ISNA(VLOOKUP($B177,'B-1 Site Hedge Baseline'!$B$1:$L$257,3,FALSE)),"",(VLOOKUP($B177,'B-1 Site Hedge Baseline'!$B$1:$L$257,3,FALSE))))</f>
        <v/>
      </c>
      <c r="D177" s="175" t="str">
        <f>IF(B177="","",IF(ISNA(VLOOKUP($B177,'B-1 Site Hedge Baseline'!$B$1:$L$257,4,FALSE)),"",(VLOOKUP($B177,'B-1 Site Hedge Baseline'!$B$1:$L$257,4,FALSE))))</f>
        <v/>
      </c>
      <c r="E177" s="175" t="str">
        <f>IF(B177="","",IF(ISNA(VLOOKUP($B177,'B-1 Site Hedge Baseline'!$B$1:$L$257,5,FALSE)),"",(VLOOKUP($B177,'B-1 Site Hedge Baseline'!$B$1:$L$257,5,FALSE))))</f>
        <v/>
      </c>
      <c r="F177" s="175" t="str">
        <f>IF(B177="","",IF(ISNA(VLOOKUP($B177,'B-1 Site Hedge Baseline'!$B$1:$L$257,6,FALSE)),"",(VLOOKUP($B177,'B-1 Site Hedge Baseline'!$B$1:$L$257,6,FALSE))))</f>
        <v/>
      </c>
      <c r="G177" s="175" t="str">
        <f>IF(B177="","",IF(ISNA(VLOOKUP($B177,'B-1 Site Hedge Baseline'!$B$1:$L$257,7,FALSE)),"",(VLOOKUP($B177,'B-1 Site Hedge Baseline'!$B$1:$L$257,7,FALSE))))</f>
        <v/>
      </c>
      <c r="H177" s="175" t="str">
        <f>IF(B177="","",IF(ISNA(VLOOKUP($B177,'B-1 Site Hedge Baseline'!$B$1:$L$257,8,FALSE)),"",(VLOOKUP($B177,'B-1 Site Hedge Baseline'!$B$1:$L$257,8,FALSE))))</f>
        <v/>
      </c>
      <c r="I177" s="175" t="str">
        <f>IF(B177="","",IF(ISNA(VLOOKUP($B177,'B-1 Site Hedge Baseline'!$B$1:$L$257,10,FALSE)),"",(VLOOKUP($B177,'B-1 Site Hedge Baseline'!$B$1:$L$257,10,FALSE))))</f>
        <v/>
      </c>
      <c r="J177" s="175" t="str">
        <f>IF(B177="","",IF(ISNA(VLOOKUP($B177,'B-1 Site Hedge Baseline'!$B$1:$L$257,11,FALSE)),"",(VLOOKUP($B177,'B-1 Site Hedge Baseline'!$B$1:$L$257,11,FALSE))))</f>
        <v/>
      </c>
      <c r="K177" s="175" t="str">
        <f>IF(B177="","",IF(ISNA(VLOOKUP($B177,'B-1 Site Hedge Baseline'!$B$1:$U$257,13,FALSE)),"",(VLOOKUP($B177,'B-1 Site Hedge Baseline'!$B$1:$U$257,13,FALSE))))</f>
        <v/>
      </c>
      <c r="L177" s="176" t="str">
        <f>IF(B177="","",IF(ISNA(VLOOKUP($B177,'B-1 Site Hedge Baseline'!$B$1:$U$257,12,FALSE)),"",(VLOOKUP($B177,'B-1 Site Hedge Baseline'!$B$1:$U$257,12,FALSE))))</f>
        <v/>
      </c>
      <c r="M177" s="637"/>
      <c r="N177" s="171" t="str">
        <f>IFERROR(IF(B177="","",INDEX('G-6 Hedgerow Data'!$AN$3:$AZ$15,MATCH(C177,'G-6 Hedgerow Data'!$AM$3:$AM$15,0),MATCH(M177,'G-6 Hedgerow Data'!$AN$2:$AZ$2,0))),"")</f>
        <v/>
      </c>
      <c r="O177" s="172" t="str">
        <f t="shared" si="14"/>
        <v/>
      </c>
      <c r="P177" s="642" t="str">
        <f>IF(B177="","",VLOOKUP(B177,'B-1 Site Hedge Baseline'!$B$10:T422,16,FALSE))</f>
        <v/>
      </c>
      <c r="Q177" s="171" t="str">
        <f>IF(M177="","",VLOOKUP(M177,'G-6 Hedgerow Data'!$B$2:$AG$15,2,FALSE))</f>
        <v/>
      </c>
      <c r="R177" s="172" t="str">
        <f>IF(M177="","",VLOOKUP(M177,'G-6 Hedgerow Data'!$B$2:$AG$15,3,FALSE))</f>
        <v/>
      </c>
      <c r="S177" s="189"/>
      <c r="T177" s="269" t="str">
        <f>IFERROR(VLOOKUP(S177,'G-1 All Habitats'!$Z$2:$AA$9,2,FALSE),"")</f>
        <v/>
      </c>
      <c r="U177" s="186"/>
      <c r="V177" s="175" t="str">
        <f>IF(U177="","",IF(VLOOKUP(U177,'G-3 Multipliers'!$L$3:$N$6,2,FALSE)=0,"Spatial Data Missing",VLOOKUP(U177,'G-3 Multipliers'!$L$3:$N$6,2,FALSE)))</f>
        <v/>
      </c>
      <c r="W177" s="176" t="str">
        <f>IF(U177="","",IF(VLOOKUP(U177,'G-3 Multipliers'!$L$3:$N$6,3,FALSE)=0,"Spatial Data Missing",VLOOKUP(U177,'G-3 Multipliers'!$L$3:$N$6,3,FALSE)))</f>
        <v/>
      </c>
      <c r="X177" s="171" t="str">
        <f>IFERROR(IF(OR(LEFT(O177,5)="Error",LEFT(N177,5)="Error",T177="Error"),"Check Data",IF(F177&lt;R177,INDEX('G-6 Hedgerow Data'!$S$3:$AE$14,MATCH(C177,'G-6 Hedgerow Data'!$B$3:$B$14,0),MATCH(M177,'G-6 Hedgerow Data'!$S$2:$AE$2,0)),INDEX('G-6 Hedgerow Data'!$K$3:$Q$14,MATCH(M177,'G-6 Hedgerow Data'!$B$3:$B$14,0),MATCH(O177,'G-6 Hedgerow Data'!$K$2:$Q$2,0)))),"")</f>
        <v/>
      </c>
      <c r="Y177" s="261"/>
      <c r="Z177" s="261"/>
      <c r="AA177" s="179" t="str">
        <f t="shared" si="17"/>
        <v/>
      </c>
      <c r="AB177" s="262" t="str">
        <f t="shared" si="18"/>
        <v/>
      </c>
      <c r="AC177" s="263" t="str">
        <f t="shared" si="15"/>
        <v/>
      </c>
      <c r="AD177" s="239" t="str">
        <f>IF(M177="","",VLOOKUP(M177,'G-6 Hedgerow Data'!$B$3:$AG$15,31,FALSE))</f>
        <v/>
      </c>
      <c r="AE177" s="179" t="str">
        <f t="shared" si="19"/>
        <v/>
      </c>
      <c r="AF177" s="179" t="str">
        <f t="shared" si="20"/>
        <v/>
      </c>
      <c r="AG177" s="176" t="str">
        <f>IFERROR(IF(O177="","",VLOOKUP(AD177,'G-3 Multipliers'!$P$3:$Q$6,2,FALSE)),"")</f>
        <v/>
      </c>
      <c r="AH177" s="207" t="str">
        <f t="shared" si="16"/>
        <v/>
      </c>
      <c r="AI177" s="336"/>
      <c r="AJ177" s="181"/>
      <c r="AT177" s="35" t="str">
        <f>IFERROR(INDEX('G-6 Hedgerow Data'!$BJ$3:$BJ$15,MATCH(M177,'G-6 Hedgerow Data'!$B$3:$B$15,0)),"")</f>
        <v/>
      </c>
    </row>
    <row r="178" spans="2:46" ht="13.8" x14ac:dyDescent="0.25">
      <c r="B178" s="259" t="str">
        <f>'B-1 Site Hedge Baseline'!AK176</f>
        <v/>
      </c>
      <c r="C178" s="175" t="str">
        <f>IF(B178="","",IF(ISNA(VLOOKUP($B178,'B-1 Site Hedge Baseline'!$B$1:$L$257,3,FALSE)),"",(VLOOKUP($B178,'B-1 Site Hedge Baseline'!$B$1:$L$257,3,FALSE))))</f>
        <v/>
      </c>
      <c r="D178" s="175" t="str">
        <f>IF(B178="","",IF(ISNA(VLOOKUP($B178,'B-1 Site Hedge Baseline'!$B$1:$L$257,4,FALSE)),"",(VLOOKUP($B178,'B-1 Site Hedge Baseline'!$B$1:$L$257,4,FALSE))))</f>
        <v/>
      </c>
      <c r="E178" s="175" t="str">
        <f>IF(B178="","",IF(ISNA(VLOOKUP($B178,'B-1 Site Hedge Baseline'!$B$1:$L$257,5,FALSE)),"",(VLOOKUP($B178,'B-1 Site Hedge Baseline'!$B$1:$L$257,5,FALSE))))</f>
        <v/>
      </c>
      <c r="F178" s="175" t="str">
        <f>IF(B178="","",IF(ISNA(VLOOKUP($B178,'B-1 Site Hedge Baseline'!$B$1:$L$257,6,FALSE)),"",(VLOOKUP($B178,'B-1 Site Hedge Baseline'!$B$1:$L$257,6,FALSE))))</f>
        <v/>
      </c>
      <c r="G178" s="175" t="str">
        <f>IF(B178="","",IF(ISNA(VLOOKUP($B178,'B-1 Site Hedge Baseline'!$B$1:$L$257,7,FALSE)),"",(VLOOKUP($B178,'B-1 Site Hedge Baseline'!$B$1:$L$257,7,FALSE))))</f>
        <v/>
      </c>
      <c r="H178" s="175" t="str">
        <f>IF(B178="","",IF(ISNA(VLOOKUP($B178,'B-1 Site Hedge Baseline'!$B$1:$L$257,8,FALSE)),"",(VLOOKUP($B178,'B-1 Site Hedge Baseline'!$B$1:$L$257,8,FALSE))))</f>
        <v/>
      </c>
      <c r="I178" s="175" t="str">
        <f>IF(B178="","",IF(ISNA(VLOOKUP($B178,'B-1 Site Hedge Baseline'!$B$1:$L$257,10,FALSE)),"",(VLOOKUP($B178,'B-1 Site Hedge Baseline'!$B$1:$L$257,10,FALSE))))</f>
        <v/>
      </c>
      <c r="J178" s="175" t="str">
        <f>IF(B178="","",IF(ISNA(VLOOKUP($B178,'B-1 Site Hedge Baseline'!$B$1:$L$257,11,FALSE)),"",(VLOOKUP($B178,'B-1 Site Hedge Baseline'!$B$1:$L$257,11,FALSE))))</f>
        <v/>
      </c>
      <c r="K178" s="175" t="str">
        <f>IF(B178="","",IF(ISNA(VLOOKUP($B178,'B-1 Site Hedge Baseline'!$B$1:$U$257,13,FALSE)),"",(VLOOKUP($B178,'B-1 Site Hedge Baseline'!$B$1:$U$257,13,FALSE))))</f>
        <v/>
      </c>
      <c r="L178" s="176" t="str">
        <f>IF(B178="","",IF(ISNA(VLOOKUP($B178,'B-1 Site Hedge Baseline'!$B$1:$U$257,12,FALSE)),"",(VLOOKUP($B178,'B-1 Site Hedge Baseline'!$B$1:$U$257,12,FALSE))))</f>
        <v/>
      </c>
      <c r="M178" s="637"/>
      <c r="N178" s="171" t="str">
        <f>IFERROR(IF(B178="","",INDEX('G-6 Hedgerow Data'!$AN$3:$AZ$15,MATCH(C178,'G-6 Hedgerow Data'!$AM$3:$AM$15,0),MATCH(M178,'G-6 Hedgerow Data'!$AN$2:$AZ$2,0))),"")</f>
        <v/>
      </c>
      <c r="O178" s="172" t="str">
        <f t="shared" si="14"/>
        <v/>
      </c>
      <c r="P178" s="642" t="str">
        <f>IF(B178="","",VLOOKUP(B178,'B-1 Site Hedge Baseline'!$B$10:T423,16,FALSE))</f>
        <v/>
      </c>
      <c r="Q178" s="171" t="str">
        <f>IF(M178="","",VLOOKUP(M178,'G-6 Hedgerow Data'!$B$2:$AG$15,2,FALSE))</f>
        <v/>
      </c>
      <c r="R178" s="172" t="str">
        <f>IF(M178="","",VLOOKUP(M178,'G-6 Hedgerow Data'!$B$2:$AG$15,3,FALSE))</f>
        <v/>
      </c>
      <c r="S178" s="189"/>
      <c r="T178" s="269" t="str">
        <f>IFERROR(VLOOKUP(S178,'G-1 All Habitats'!$Z$2:$AA$9,2,FALSE),"")</f>
        <v/>
      </c>
      <c r="U178" s="186"/>
      <c r="V178" s="175" t="str">
        <f>IF(U178="","",IF(VLOOKUP(U178,'G-3 Multipliers'!$L$3:$N$6,2,FALSE)=0,"Spatial Data Missing",VLOOKUP(U178,'G-3 Multipliers'!$L$3:$N$6,2,FALSE)))</f>
        <v/>
      </c>
      <c r="W178" s="176" t="str">
        <f>IF(U178="","",IF(VLOOKUP(U178,'G-3 Multipliers'!$L$3:$N$6,3,FALSE)=0,"Spatial Data Missing",VLOOKUP(U178,'G-3 Multipliers'!$L$3:$N$6,3,FALSE)))</f>
        <v/>
      </c>
      <c r="X178" s="171" t="str">
        <f>IFERROR(IF(OR(LEFT(O178,5)="Error",LEFT(N178,5)="Error",T178="Error"),"Check Data",IF(F178&lt;R178,INDEX('G-6 Hedgerow Data'!$S$3:$AE$14,MATCH(C178,'G-6 Hedgerow Data'!$B$3:$B$14,0),MATCH(M178,'G-6 Hedgerow Data'!$S$2:$AE$2,0)),INDEX('G-6 Hedgerow Data'!$K$3:$Q$14,MATCH(M178,'G-6 Hedgerow Data'!$B$3:$B$14,0),MATCH(O178,'G-6 Hedgerow Data'!$K$2:$Q$2,0)))),"")</f>
        <v/>
      </c>
      <c r="Y178" s="261"/>
      <c r="Z178" s="261"/>
      <c r="AA178" s="179" t="str">
        <f t="shared" si="17"/>
        <v/>
      </c>
      <c r="AB178" s="262" t="str">
        <f t="shared" si="18"/>
        <v/>
      </c>
      <c r="AC178" s="263" t="str">
        <f t="shared" si="15"/>
        <v/>
      </c>
      <c r="AD178" s="239" t="str">
        <f>IF(M178="","",VLOOKUP(M178,'G-6 Hedgerow Data'!$B$3:$AG$15,31,FALSE))</f>
        <v/>
      </c>
      <c r="AE178" s="179" t="str">
        <f t="shared" si="19"/>
        <v/>
      </c>
      <c r="AF178" s="179" t="str">
        <f t="shared" si="20"/>
        <v/>
      </c>
      <c r="AG178" s="176" t="str">
        <f>IFERROR(IF(O178="","",VLOOKUP(AD178,'G-3 Multipliers'!$P$3:$Q$6,2,FALSE)),"")</f>
        <v/>
      </c>
      <c r="AH178" s="207" t="str">
        <f t="shared" si="16"/>
        <v/>
      </c>
      <c r="AI178" s="336"/>
      <c r="AJ178" s="181"/>
      <c r="AT178" s="35" t="str">
        <f>IFERROR(INDEX('G-6 Hedgerow Data'!$BJ$3:$BJ$15,MATCH(M178,'G-6 Hedgerow Data'!$B$3:$B$15,0)),"")</f>
        <v/>
      </c>
    </row>
    <row r="179" spans="2:46" ht="13.8" x14ac:dyDescent="0.25">
      <c r="B179" s="259" t="str">
        <f>'B-1 Site Hedge Baseline'!AK177</f>
        <v/>
      </c>
      <c r="C179" s="175" t="str">
        <f>IF(B179="","",IF(ISNA(VLOOKUP($B179,'B-1 Site Hedge Baseline'!$B$1:$L$257,3,FALSE)),"",(VLOOKUP($B179,'B-1 Site Hedge Baseline'!$B$1:$L$257,3,FALSE))))</f>
        <v/>
      </c>
      <c r="D179" s="175" t="str">
        <f>IF(B179="","",IF(ISNA(VLOOKUP($B179,'B-1 Site Hedge Baseline'!$B$1:$L$257,4,FALSE)),"",(VLOOKUP($B179,'B-1 Site Hedge Baseline'!$B$1:$L$257,4,FALSE))))</f>
        <v/>
      </c>
      <c r="E179" s="175" t="str">
        <f>IF(B179="","",IF(ISNA(VLOOKUP($B179,'B-1 Site Hedge Baseline'!$B$1:$L$257,5,FALSE)),"",(VLOOKUP($B179,'B-1 Site Hedge Baseline'!$B$1:$L$257,5,FALSE))))</f>
        <v/>
      </c>
      <c r="F179" s="175" t="str">
        <f>IF(B179="","",IF(ISNA(VLOOKUP($B179,'B-1 Site Hedge Baseline'!$B$1:$L$257,6,FALSE)),"",(VLOOKUP($B179,'B-1 Site Hedge Baseline'!$B$1:$L$257,6,FALSE))))</f>
        <v/>
      </c>
      <c r="G179" s="175" t="str">
        <f>IF(B179="","",IF(ISNA(VLOOKUP($B179,'B-1 Site Hedge Baseline'!$B$1:$L$257,7,FALSE)),"",(VLOOKUP($B179,'B-1 Site Hedge Baseline'!$B$1:$L$257,7,FALSE))))</f>
        <v/>
      </c>
      <c r="H179" s="175" t="str">
        <f>IF(B179="","",IF(ISNA(VLOOKUP($B179,'B-1 Site Hedge Baseline'!$B$1:$L$257,8,FALSE)),"",(VLOOKUP($B179,'B-1 Site Hedge Baseline'!$B$1:$L$257,8,FALSE))))</f>
        <v/>
      </c>
      <c r="I179" s="175" t="str">
        <f>IF(B179="","",IF(ISNA(VLOOKUP($B179,'B-1 Site Hedge Baseline'!$B$1:$L$257,10,FALSE)),"",(VLOOKUP($B179,'B-1 Site Hedge Baseline'!$B$1:$L$257,10,FALSE))))</f>
        <v/>
      </c>
      <c r="J179" s="175" t="str">
        <f>IF(B179="","",IF(ISNA(VLOOKUP($B179,'B-1 Site Hedge Baseline'!$B$1:$L$257,11,FALSE)),"",(VLOOKUP($B179,'B-1 Site Hedge Baseline'!$B$1:$L$257,11,FALSE))))</f>
        <v/>
      </c>
      <c r="K179" s="175" t="str">
        <f>IF(B179="","",IF(ISNA(VLOOKUP($B179,'B-1 Site Hedge Baseline'!$B$1:$U$257,13,FALSE)),"",(VLOOKUP($B179,'B-1 Site Hedge Baseline'!$B$1:$U$257,13,FALSE))))</f>
        <v/>
      </c>
      <c r="L179" s="176" t="str">
        <f>IF(B179="","",IF(ISNA(VLOOKUP($B179,'B-1 Site Hedge Baseline'!$B$1:$U$257,12,FALSE)),"",(VLOOKUP($B179,'B-1 Site Hedge Baseline'!$B$1:$U$257,12,FALSE))))</f>
        <v/>
      </c>
      <c r="M179" s="637"/>
      <c r="N179" s="171" t="str">
        <f>IFERROR(IF(B179="","",INDEX('G-6 Hedgerow Data'!$AN$3:$AZ$15,MATCH(C179,'G-6 Hedgerow Data'!$AM$3:$AM$15,0),MATCH(M179,'G-6 Hedgerow Data'!$AN$2:$AZ$2,0))),"")</f>
        <v/>
      </c>
      <c r="O179" s="172" t="str">
        <f t="shared" si="14"/>
        <v/>
      </c>
      <c r="P179" s="642" t="str">
        <f>IF(B179="","",VLOOKUP(B179,'B-1 Site Hedge Baseline'!$B$10:T424,16,FALSE))</f>
        <v/>
      </c>
      <c r="Q179" s="171" t="str">
        <f>IF(M179="","",VLOOKUP(M179,'G-6 Hedgerow Data'!$B$2:$AG$15,2,FALSE))</f>
        <v/>
      </c>
      <c r="R179" s="172" t="str">
        <f>IF(M179="","",VLOOKUP(M179,'G-6 Hedgerow Data'!$B$2:$AG$15,3,FALSE))</f>
        <v/>
      </c>
      <c r="S179" s="189"/>
      <c r="T179" s="269" t="str">
        <f>IFERROR(VLOOKUP(S179,'G-1 All Habitats'!$Z$2:$AA$9,2,FALSE),"")</f>
        <v/>
      </c>
      <c r="U179" s="186"/>
      <c r="V179" s="175" t="str">
        <f>IF(U179="","",IF(VLOOKUP(U179,'G-3 Multipliers'!$L$3:$N$6,2,FALSE)=0,"Spatial Data Missing",VLOOKUP(U179,'G-3 Multipliers'!$L$3:$N$6,2,FALSE)))</f>
        <v/>
      </c>
      <c r="W179" s="176" t="str">
        <f>IF(U179="","",IF(VLOOKUP(U179,'G-3 Multipliers'!$L$3:$N$6,3,FALSE)=0,"Spatial Data Missing",VLOOKUP(U179,'G-3 Multipliers'!$L$3:$N$6,3,FALSE)))</f>
        <v/>
      </c>
      <c r="X179" s="171" t="str">
        <f>IFERROR(IF(OR(LEFT(O179,5)="Error",LEFT(N179,5)="Error",T179="Error"),"Check Data",IF(F179&lt;R179,INDEX('G-6 Hedgerow Data'!$S$3:$AE$14,MATCH(C179,'G-6 Hedgerow Data'!$B$3:$B$14,0),MATCH(M179,'G-6 Hedgerow Data'!$S$2:$AE$2,0)),INDEX('G-6 Hedgerow Data'!$K$3:$Q$14,MATCH(M179,'G-6 Hedgerow Data'!$B$3:$B$14,0),MATCH(O179,'G-6 Hedgerow Data'!$K$2:$Q$2,0)))),"")</f>
        <v/>
      </c>
      <c r="Y179" s="261"/>
      <c r="Z179" s="261"/>
      <c r="AA179" s="179" t="str">
        <f t="shared" si="17"/>
        <v/>
      </c>
      <c r="AB179" s="262" t="str">
        <f t="shared" si="18"/>
        <v/>
      </c>
      <c r="AC179" s="263" t="str">
        <f t="shared" si="15"/>
        <v/>
      </c>
      <c r="AD179" s="239" t="str">
        <f>IF(M179="","",VLOOKUP(M179,'G-6 Hedgerow Data'!$B$3:$AG$15,31,FALSE))</f>
        <v/>
      </c>
      <c r="AE179" s="179" t="str">
        <f t="shared" si="19"/>
        <v/>
      </c>
      <c r="AF179" s="179" t="str">
        <f t="shared" si="20"/>
        <v/>
      </c>
      <c r="AG179" s="176" t="str">
        <f>IFERROR(IF(O179="","",VLOOKUP(AD179,'G-3 Multipliers'!$P$3:$Q$6,2,FALSE)),"")</f>
        <v/>
      </c>
      <c r="AH179" s="207" t="str">
        <f t="shared" si="16"/>
        <v/>
      </c>
      <c r="AI179" s="336"/>
      <c r="AJ179" s="181"/>
      <c r="AT179" s="35" t="str">
        <f>IFERROR(INDEX('G-6 Hedgerow Data'!$BJ$3:$BJ$15,MATCH(M179,'G-6 Hedgerow Data'!$B$3:$B$15,0)),"")</f>
        <v/>
      </c>
    </row>
    <row r="180" spans="2:46" ht="13.8" x14ac:dyDescent="0.25">
      <c r="B180" s="259" t="str">
        <f>'B-1 Site Hedge Baseline'!AK178</f>
        <v/>
      </c>
      <c r="C180" s="175" t="str">
        <f>IF(B180="","",IF(ISNA(VLOOKUP($B180,'B-1 Site Hedge Baseline'!$B$1:$L$257,3,FALSE)),"",(VLOOKUP($B180,'B-1 Site Hedge Baseline'!$B$1:$L$257,3,FALSE))))</f>
        <v/>
      </c>
      <c r="D180" s="175" t="str">
        <f>IF(B180="","",IF(ISNA(VLOOKUP($B180,'B-1 Site Hedge Baseline'!$B$1:$L$257,4,FALSE)),"",(VLOOKUP($B180,'B-1 Site Hedge Baseline'!$B$1:$L$257,4,FALSE))))</f>
        <v/>
      </c>
      <c r="E180" s="175" t="str">
        <f>IF(B180="","",IF(ISNA(VLOOKUP($B180,'B-1 Site Hedge Baseline'!$B$1:$L$257,5,FALSE)),"",(VLOOKUP($B180,'B-1 Site Hedge Baseline'!$B$1:$L$257,5,FALSE))))</f>
        <v/>
      </c>
      <c r="F180" s="175" t="str">
        <f>IF(B180="","",IF(ISNA(VLOOKUP($B180,'B-1 Site Hedge Baseline'!$B$1:$L$257,6,FALSE)),"",(VLOOKUP($B180,'B-1 Site Hedge Baseline'!$B$1:$L$257,6,FALSE))))</f>
        <v/>
      </c>
      <c r="G180" s="175" t="str">
        <f>IF(B180="","",IF(ISNA(VLOOKUP($B180,'B-1 Site Hedge Baseline'!$B$1:$L$257,7,FALSE)),"",(VLOOKUP($B180,'B-1 Site Hedge Baseline'!$B$1:$L$257,7,FALSE))))</f>
        <v/>
      </c>
      <c r="H180" s="175" t="str">
        <f>IF(B180="","",IF(ISNA(VLOOKUP($B180,'B-1 Site Hedge Baseline'!$B$1:$L$257,8,FALSE)),"",(VLOOKUP($B180,'B-1 Site Hedge Baseline'!$B$1:$L$257,8,FALSE))))</f>
        <v/>
      </c>
      <c r="I180" s="175" t="str">
        <f>IF(B180="","",IF(ISNA(VLOOKUP($B180,'B-1 Site Hedge Baseline'!$B$1:$L$257,10,FALSE)),"",(VLOOKUP($B180,'B-1 Site Hedge Baseline'!$B$1:$L$257,10,FALSE))))</f>
        <v/>
      </c>
      <c r="J180" s="175" t="str">
        <f>IF(B180="","",IF(ISNA(VLOOKUP($B180,'B-1 Site Hedge Baseline'!$B$1:$L$257,11,FALSE)),"",(VLOOKUP($B180,'B-1 Site Hedge Baseline'!$B$1:$L$257,11,FALSE))))</f>
        <v/>
      </c>
      <c r="K180" s="175" t="str">
        <f>IF(B180="","",IF(ISNA(VLOOKUP($B180,'B-1 Site Hedge Baseline'!$B$1:$U$257,13,FALSE)),"",(VLOOKUP($B180,'B-1 Site Hedge Baseline'!$B$1:$U$257,13,FALSE))))</f>
        <v/>
      </c>
      <c r="L180" s="176" t="str">
        <f>IF(B180="","",IF(ISNA(VLOOKUP($B180,'B-1 Site Hedge Baseline'!$B$1:$U$257,12,FALSE)),"",(VLOOKUP($B180,'B-1 Site Hedge Baseline'!$B$1:$U$257,12,FALSE))))</f>
        <v/>
      </c>
      <c r="M180" s="637"/>
      <c r="N180" s="171" t="str">
        <f>IFERROR(IF(B180="","",INDEX('G-6 Hedgerow Data'!$AN$3:$AZ$15,MATCH(C180,'G-6 Hedgerow Data'!$AM$3:$AM$15,0),MATCH(M180,'G-6 Hedgerow Data'!$AN$2:$AZ$2,0))),"")</f>
        <v/>
      </c>
      <c r="O180" s="172" t="str">
        <f t="shared" si="14"/>
        <v/>
      </c>
      <c r="P180" s="642" t="str">
        <f>IF(B180="","",VLOOKUP(B180,'B-1 Site Hedge Baseline'!$B$10:T425,16,FALSE))</f>
        <v/>
      </c>
      <c r="Q180" s="171" t="str">
        <f>IF(M180="","",VLOOKUP(M180,'G-6 Hedgerow Data'!$B$2:$AG$15,2,FALSE))</f>
        <v/>
      </c>
      <c r="R180" s="172" t="str">
        <f>IF(M180="","",VLOOKUP(M180,'G-6 Hedgerow Data'!$B$2:$AG$15,3,FALSE))</f>
        <v/>
      </c>
      <c r="S180" s="189"/>
      <c r="T180" s="269" t="str">
        <f>IFERROR(VLOOKUP(S180,'G-1 All Habitats'!$Z$2:$AA$9,2,FALSE),"")</f>
        <v/>
      </c>
      <c r="U180" s="186"/>
      <c r="V180" s="175" t="str">
        <f>IF(U180="","",IF(VLOOKUP(U180,'G-3 Multipliers'!$L$3:$N$6,2,FALSE)=0,"Spatial Data Missing",VLOOKUP(U180,'G-3 Multipliers'!$L$3:$N$6,2,FALSE)))</f>
        <v/>
      </c>
      <c r="W180" s="176" t="str">
        <f>IF(U180="","",IF(VLOOKUP(U180,'G-3 Multipliers'!$L$3:$N$6,3,FALSE)=0,"Spatial Data Missing",VLOOKUP(U180,'G-3 Multipliers'!$L$3:$N$6,3,FALSE)))</f>
        <v/>
      </c>
      <c r="X180" s="171" t="str">
        <f>IFERROR(IF(OR(LEFT(O180,5)="Error",LEFT(N180,5)="Error",T180="Error"),"Check Data",IF(F180&lt;R180,INDEX('G-6 Hedgerow Data'!$S$3:$AE$14,MATCH(C180,'G-6 Hedgerow Data'!$B$3:$B$14,0),MATCH(M180,'G-6 Hedgerow Data'!$S$2:$AE$2,0)),INDEX('G-6 Hedgerow Data'!$K$3:$Q$14,MATCH(M180,'G-6 Hedgerow Data'!$B$3:$B$14,0),MATCH(O180,'G-6 Hedgerow Data'!$K$2:$Q$2,0)))),"")</f>
        <v/>
      </c>
      <c r="Y180" s="261"/>
      <c r="Z180" s="261"/>
      <c r="AA180" s="179" t="str">
        <f t="shared" si="17"/>
        <v/>
      </c>
      <c r="AB180" s="262" t="str">
        <f t="shared" si="18"/>
        <v/>
      </c>
      <c r="AC180" s="263" t="str">
        <f t="shared" si="15"/>
        <v/>
      </c>
      <c r="AD180" s="239" t="str">
        <f>IF(M180="","",VLOOKUP(M180,'G-6 Hedgerow Data'!$B$3:$AG$15,31,FALSE))</f>
        <v/>
      </c>
      <c r="AE180" s="179" t="str">
        <f t="shared" si="19"/>
        <v/>
      </c>
      <c r="AF180" s="179" t="str">
        <f t="shared" si="20"/>
        <v/>
      </c>
      <c r="AG180" s="176" t="str">
        <f>IFERROR(IF(O180="","",VLOOKUP(AD180,'G-3 Multipliers'!$P$3:$Q$6,2,FALSE)),"")</f>
        <v/>
      </c>
      <c r="AH180" s="207" t="str">
        <f t="shared" si="16"/>
        <v/>
      </c>
      <c r="AI180" s="336"/>
      <c r="AJ180" s="181"/>
      <c r="AT180" s="35" t="str">
        <f>IFERROR(INDEX('G-6 Hedgerow Data'!$BJ$3:$BJ$15,MATCH(M180,'G-6 Hedgerow Data'!$B$3:$B$15,0)),"")</f>
        <v/>
      </c>
    </row>
    <row r="181" spans="2:46" ht="13.8" x14ac:dyDescent="0.25">
      <c r="B181" s="259" t="str">
        <f>'B-1 Site Hedge Baseline'!AK179</f>
        <v/>
      </c>
      <c r="C181" s="175" t="str">
        <f>IF(B181="","",IF(ISNA(VLOOKUP($B181,'B-1 Site Hedge Baseline'!$B$1:$L$257,3,FALSE)),"",(VLOOKUP($B181,'B-1 Site Hedge Baseline'!$B$1:$L$257,3,FALSE))))</f>
        <v/>
      </c>
      <c r="D181" s="175" t="str">
        <f>IF(B181="","",IF(ISNA(VLOOKUP($B181,'B-1 Site Hedge Baseline'!$B$1:$L$257,4,FALSE)),"",(VLOOKUP($B181,'B-1 Site Hedge Baseline'!$B$1:$L$257,4,FALSE))))</f>
        <v/>
      </c>
      <c r="E181" s="175" t="str">
        <f>IF(B181="","",IF(ISNA(VLOOKUP($B181,'B-1 Site Hedge Baseline'!$B$1:$L$257,5,FALSE)),"",(VLOOKUP($B181,'B-1 Site Hedge Baseline'!$B$1:$L$257,5,FALSE))))</f>
        <v/>
      </c>
      <c r="F181" s="175" t="str">
        <f>IF(B181="","",IF(ISNA(VLOOKUP($B181,'B-1 Site Hedge Baseline'!$B$1:$L$257,6,FALSE)),"",(VLOOKUP($B181,'B-1 Site Hedge Baseline'!$B$1:$L$257,6,FALSE))))</f>
        <v/>
      </c>
      <c r="G181" s="175" t="str">
        <f>IF(B181="","",IF(ISNA(VLOOKUP($B181,'B-1 Site Hedge Baseline'!$B$1:$L$257,7,FALSE)),"",(VLOOKUP($B181,'B-1 Site Hedge Baseline'!$B$1:$L$257,7,FALSE))))</f>
        <v/>
      </c>
      <c r="H181" s="175" t="str">
        <f>IF(B181="","",IF(ISNA(VLOOKUP($B181,'B-1 Site Hedge Baseline'!$B$1:$L$257,8,FALSE)),"",(VLOOKUP($B181,'B-1 Site Hedge Baseline'!$B$1:$L$257,8,FALSE))))</f>
        <v/>
      </c>
      <c r="I181" s="175" t="str">
        <f>IF(B181="","",IF(ISNA(VLOOKUP($B181,'B-1 Site Hedge Baseline'!$B$1:$L$257,10,FALSE)),"",(VLOOKUP($B181,'B-1 Site Hedge Baseline'!$B$1:$L$257,10,FALSE))))</f>
        <v/>
      </c>
      <c r="J181" s="175" t="str">
        <f>IF(B181="","",IF(ISNA(VLOOKUP($B181,'B-1 Site Hedge Baseline'!$B$1:$L$257,11,FALSE)),"",(VLOOKUP($B181,'B-1 Site Hedge Baseline'!$B$1:$L$257,11,FALSE))))</f>
        <v/>
      </c>
      <c r="K181" s="175" t="str">
        <f>IF(B181="","",IF(ISNA(VLOOKUP($B181,'B-1 Site Hedge Baseline'!$B$1:$U$257,13,FALSE)),"",(VLOOKUP($B181,'B-1 Site Hedge Baseline'!$B$1:$U$257,13,FALSE))))</f>
        <v/>
      </c>
      <c r="L181" s="176" t="str">
        <f>IF(B181="","",IF(ISNA(VLOOKUP($B181,'B-1 Site Hedge Baseline'!$B$1:$U$257,12,FALSE)),"",(VLOOKUP($B181,'B-1 Site Hedge Baseline'!$B$1:$U$257,12,FALSE))))</f>
        <v/>
      </c>
      <c r="M181" s="637"/>
      <c r="N181" s="171" t="str">
        <f>IFERROR(IF(B181="","",INDEX('G-6 Hedgerow Data'!$AN$3:$AZ$15,MATCH(C181,'G-6 Hedgerow Data'!$AM$3:$AM$15,0),MATCH(M181,'G-6 Hedgerow Data'!$AN$2:$AZ$2,0))),"")</f>
        <v/>
      </c>
      <c r="O181" s="172" t="str">
        <f t="shared" si="14"/>
        <v/>
      </c>
      <c r="P181" s="642" t="str">
        <f>IF(B181="","",VLOOKUP(B181,'B-1 Site Hedge Baseline'!$B$10:T426,16,FALSE))</f>
        <v/>
      </c>
      <c r="Q181" s="171" t="str">
        <f>IF(M181="","",VLOOKUP(M181,'G-6 Hedgerow Data'!$B$2:$AG$15,2,FALSE))</f>
        <v/>
      </c>
      <c r="R181" s="172" t="str">
        <f>IF(M181="","",VLOOKUP(M181,'G-6 Hedgerow Data'!$B$2:$AG$15,3,FALSE))</f>
        <v/>
      </c>
      <c r="S181" s="189"/>
      <c r="T181" s="269" t="str">
        <f>IFERROR(VLOOKUP(S181,'G-1 All Habitats'!$Z$2:$AA$9,2,FALSE),"")</f>
        <v/>
      </c>
      <c r="U181" s="186"/>
      <c r="V181" s="175" t="str">
        <f>IF(U181="","",IF(VLOOKUP(U181,'G-3 Multipliers'!$L$3:$N$6,2,FALSE)=0,"Spatial Data Missing",VLOOKUP(U181,'G-3 Multipliers'!$L$3:$N$6,2,FALSE)))</f>
        <v/>
      </c>
      <c r="W181" s="176" t="str">
        <f>IF(U181="","",IF(VLOOKUP(U181,'G-3 Multipliers'!$L$3:$N$6,3,FALSE)=0,"Spatial Data Missing",VLOOKUP(U181,'G-3 Multipliers'!$L$3:$N$6,3,FALSE)))</f>
        <v/>
      </c>
      <c r="X181" s="171" t="str">
        <f>IFERROR(IF(OR(LEFT(O181,5)="Error",LEFT(N181,5)="Error",T181="Error"),"Check Data",IF(F181&lt;R181,INDEX('G-6 Hedgerow Data'!$S$3:$AE$14,MATCH(C181,'G-6 Hedgerow Data'!$B$3:$B$14,0),MATCH(M181,'G-6 Hedgerow Data'!$S$2:$AE$2,0)),INDEX('G-6 Hedgerow Data'!$K$3:$Q$14,MATCH(M181,'G-6 Hedgerow Data'!$B$3:$B$14,0),MATCH(O181,'G-6 Hedgerow Data'!$K$2:$Q$2,0)))),"")</f>
        <v/>
      </c>
      <c r="Y181" s="261"/>
      <c r="Z181" s="261"/>
      <c r="AA181" s="179" t="str">
        <f t="shared" si="17"/>
        <v/>
      </c>
      <c r="AB181" s="262" t="str">
        <f t="shared" si="18"/>
        <v/>
      </c>
      <c r="AC181" s="263" t="str">
        <f t="shared" si="15"/>
        <v/>
      </c>
      <c r="AD181" s="239" t="str">
        <f>IF(M181="","",VLOOKUP(M181,'G-6 Hedgerow Data'!$B$3:$AG$15,31,FALSE))</f>
        <v/>
      </c>
      <c r="AE181" s="179" t="str">
        <f t="shared" si="19"/>
        <v/>
      </c>
      <c r="AF181" s="179" t="str">
        <f t="shared" si="20"/>
        <v/>
      </c>
      <c r="AG181" s="176" t="str">
        <f>IFERROR(IF(O181="","",VLOOKUP(AD181,'G-3 Multipliers'!$P$3:$Q$6,2,FALSE)),"")</f>
        <v/>
      </c>
      <c r="AH181" s="207" t="str">
        <f t="shared" si="16"/>
        <v/>
      </c>
      <c r="AI181" s="336"/>
      <c r="AJ181" s="181"/>
      <c r="AT181" s="35" t="str">
        <f>IFERROR(INDEX('G-6 Hedgerow Data'!$BJ$3:$BJ$15,MATCH(M181,'G-6 Hedgerow Data'!$B$3:$B$15,0)),"")</f>
        <v/>
      </c>
    </row>
    <row r="182" spans="2:46" ht="13.8" x14ac:dyDescent="0.25">
      <c r="B182" s="259" t="str">
        <f>'B-1 Site Hedge Baseline'!AK180</f>
        <v/>
      </c>
      <c r="C182" s="175" t="str">
        <f>IF(B182="","",IF(ISNA(VLOOKUP($B182,'B-1 Site Hedge Baseline'!$B$1:$L$257,3,FALSE)),"",(VLOOKUP($B182,'B-1 Site Hedge Baseline'!$B$1:$L$257,3,FALSE))))</f>
        <v/>
      </c>
      <c r="D182" s="175" t="str">
        <f>IF(B182="","",IF(ISNA(VLOOKUP($B182,'B-1 Site Hedge Baseline'!$B$1:$L$257,4,FALSE)),"",(VLOOKUP($B182,'B-1 Site Hedge Baseline'!$B$1:$L$257,4,FALSE))))</f>
        <v/>
      </c>
      <c r="E182" s="175" t="str">
        <f>IF(B182="","",IF(ISNA(VLOOKUP($B182,'B-1 Site Hedge Baseline'!$B$1:$L$257,5,FALSE)),"",(VLOOKUP($B182,'B-1 Site Hedge Baseline'!$B$1:$L$257,5,FALSE))))</f>
        <v/>
      </c>
      <c r="F182" s="175" t="str">
        <f>IF(B182="","",IF(ISNA(VLOOKUP($B182,'B-1 Site Hedge Baseline'!$B$1:$L$257,6,FALSE)),"",(VLOOKUP($B182,'B-1 Site Hedge Baseline'!$B$1:$L$257,6,FALSE))))</f>
        <v/>
      </c>
      <c r="G182" s="175" t="str">
        <f>IF(B182="","",IF(ISNA(VLOOKUP($B182,'B-1 Site Hedge Baseline'!$B$1:$L$257,7,FALSE)),"",(VLOOKUP($B182,'B-1 Site Hedge Baseline'!$B$1:$L$257,7,FALSE))))</f>
        <v/>
      </c>
      <c r="H182" s="175" t="str">
        <f>IF(B182="","",IF(ISNA(VLOOKUP($B182,'B-1 Site Hedge Baseline'!$B$1:$L$257,8,FALSE)),"",(VLOOKUP($B182,'B-1 Site Hedge Baseline'!$B$1:$L$257,8,FALSE))))</f>
        <v/>
      </c>
      <c r="I182" s="175" t="str">
        <f>IF(B182="","",IF(ISNA(VLOOKUP($B182,'B-1 Site Hedge Baseline'!$B$1:$L$257,10,FALSE)),"",(VLOOKUP($B182,'B-1 Site Hedge Baseline'!$B$1:$L$257,10,FALSE))))</f>
        <v/>
      </c>
      <c r="J182" s="175" t="str">
        <f>IF(B182="","",IF(ISNA(VLOOKUP($B182,'B-1 Site Hedge Baseline'!$B$1:$L$257,11,FALSE)),"",(VLOOKUP($B182,'B-1 Site Hedge Baseline'!$B$1:$L$257,11,FALSE))))</f>
        <v/>
      </c>
      <c r="K182" s="175" t="str">
        <f>IF(B182="","",IF(ISNA(VLOOKUP($B182,'B-1 Site Hedge Baseline'!$B$1:$U$257,13,FALSE)),"",(VLOOKUP($B182,'B-1 Site Hedge Baseline'!$B$1:$U$257,13,FALSE))))</f>
        <v/>
      </c>
      <c r="L182" s="176" t="str">
        <f>IF(B182="","",IF(ISNA(VLOOKUP($B182,'B-1 Site Hedge Baseline'!$B$1:$U$257,12,FALSE)),"",(VLOOKUP($B182,'B-1 Site Hedge Baseline'!$B$1:$U$257,12,FALSE))))</f>
        <v/>
      </c>
      <c r="M182" s="637"/>
      <c r="N182" s="171" t="str">
        <f>IFERROR(IF(B182="","",INDEX('G-6 Hedgerow Data'!$AN$3:$AZ$15,MATCH(C182,'G-6 Hedgerow Data'!$AM$3:$AM$15,0),MATCH(M182,'G-6 Hedgerow Data'!$AN$2:$AZ$2,0))),"")</f>
        <v/>
      </c>
      <c r="O182" s="172" t="str">
        <f t="shared" si="14"/>
        <v/>
      </c>
      <c r="P182" s="642" t="str">
        <f>IF(B182="","",VLOOKUP(B182,'B-1 Site Hedge Baseline'!$B$10:T427,16,FALSE))</f>
        <v/>
      </c>
      <c r="Q182" s="171" t="str">
        <f>IF(M182="","",VLOOKUP(M182,'G-6 Hedgerow Data'!$B$2:$AG$15,2,FALSE))</f>
        <v/>
      </c>
      <c r="R182" s="172" t="str">
        <f>IF(M182="","",VLOOKUP(M182,'G-6 Hedgerow Data'!$B$2:$AG$15,3,FALSE))</f>
        <v/>
      </c>
      <c r="S182" s="189"/>
      <c r="T182" s="269" t="str">
        <f>IFERROR(VLOOKUP(S182,'G-1 All Habitats'!$Z$2:$AA$9,2,FALSE),"")</f>
        <v/>
      </c>
      <c r="U182" s="186"/>
      <c r="V182" s="175" t="str">
        <f>IF(U182="","",IF(VLOOKUP(U182,'G-3 Multipliers'!$L$3:$N$6,2,FALSE)=0,"Spatial Data Missing",VLOOKUP(U182,'G-3 Multipliers'!$L$3:$N$6,2,FALSE)))</f>
        <v/>
      </c>
      <c r="W182" s="176" t="str">
        <f>IF(U182="","",IF(VLOOKUP(U182,'G-3 Multipliers'!$L$3:$N$6,3,FALSE)=0,"Spatial Data Missing",VLOOKUP(U182,'G-3 Multipliers'!$L$3:$N$6,3,FALSE)))</f>
        <v/>
      </c>
      <c r="X182" s="171" t="str">
        <f>IFERROR(IF(OR(LEFT(O182,5)="Error",LEFT(N182,5)="Error",T182="Error"),"Check Data",IF(F182&lt;R182,INDEX('G-6 Hedgerow Data'!$S$3:$AE$14,MATCH(C182,'G-6 Hedgerow Data'!$B$3:$B$14,0),MATCH(M182,'G-6 Hedgerow Data'!$S$2:$AE$2,0)),INDEX('G-6 Hedgerow Data'!$K$3:$Q$14,MATCH(M182,'G-6 Hedgerow Data'!$B$3:$B$14,0),MATCH(O182,'G-6 Hedgerow Data'!$K$2:$Q$2,0)))),"")</f>
        <v/>
      </c>
      <c r="Y182" s="261"/>
      <c r="Z182" s="261"/>
      <c r="AA182" s="179" t="str">
        <f t="shared" si="17"/>
        <v/>
      </c>
      <c r="AB182" s="262" t="str">
        <f t="shared" si="18"/>
        <v/>
      </c>
      <c r="AC182" s="263" t="str">
        <f t="shared" si="15"/>
        <v/>
      </c>
      <c r="AD182" s="239" t="str">
        <f>IF(M182="","",VLOOKUP(M182,'G-6 Hedgerow Data'!$B$3:$AG$15,31,FALSE))</f>
        <v/>
      </c>
      <c r="AE182" s="179" t="str">
        <f t="shared" si="19"/>
        <v/>
      </c>
      <c r="AF182" s="179" t="str">
        <f t="shared" si="20"/>
        <v/>
      </c>
      <c r="AG182" s="176" t="str">
        <f>IFERROR(IF(O182="","",VLOOKUP(AD182,'G-3 Multipliers'!$P$3:$Q$6,2,FALSE)),"")</f>
        <v/>
      </c>
      <c r="AH182" s="207" t="str">
        <f t="shared" si="16"/>
        <v/>
      </c>
      <c r="AI182" s="336"/>
      <c r="AJ182" s="181"/>
      <c r="AT182" s="35" t="str">
        <f>IFERROR(INDEX('G-6 Hedgerow Data'!$BJ$3:$BJ$15,MATCH(M182,'G-6 Hedgerow Data'!$B$3:$B$15,0)),"")</f>
        <v/>
      </c>
    </row>
    <row r="183" spans="2:46" ht="13.8" x14ac:dyDescent="0.25">
      <c r="B183" s="259" t="str">
        <f>'B-1 Site Hedge Baseline'!AK181</f>
        <v/>
      </c>
      <c r="C183" s="175" t="str">
        <f>IF(B183="","",IF(ISNA(VLOOKUP($B183,'B-1 Site Hedge Baseline'!$B$1:$L$257,3,FALSE)),"",(VLOOKUP($B183,'B-1 Site Hedge Baseline'!$B$1:$L$257,3,FALSE))))</f>
        <v/>
      </c>
      <c r="D183" s="175" t="str">
        <f>IF(B183="","",IF(ISNA(VLOOKUP($B183,'B-1 Site Hedge Baseline'!$B$1:$L$257,4,FALSE)),"",(VLOOKUP($B183,'B-1 Site Hedge Baseline'!$B$1:$L$257,4,FALSE))))</f>
        <v/>
      </c>
      <c r="E183" s="175" t="str">
        <f>IF(B183="","",IF(ISNA(VLOOKUP($B183,'B-1 Site Hedge Baseline'!$B$1:$L$257,5,FALSE)),"",(VLOOKUP($B183,'B-1 Site Hedge Baseline'!$B$1:$L$257,5,FALSE))))</f>
        <v/>
      </c>
      <c r="F183" s="175" t="str">
        <f>IF(B183="","",IF(ISNA(VLOOKUP($B183,'B-1 Site Hedge Baseline'!$B$1:$L$257,6,FALSE)),"",(VLOOKUP($B183,'B-1 Site Hedge Baseline'!$B$1:$L$257,6,FALSE))))</f>
        <v/>
      </c>
      <c r="G183" s="175" t="str">
        <f>IF(B183="","",IF(ISNA(VLOOKUP($B183,'B-1 Site Hedge Baseline'!$B$1:$L$257,7,FALSE)),"",(VLOOKUP($B183,'B-1 Site Hedge Baseline'!$B$1:$L$257,7,FALSE))))</f>
        <v/>
      </c>
      <c r="H183" s="175" t="str">
        <f>IF(B183="","",IF(ISNA(VLOOKUP($B183,'B-1 Site Hedge Baseline'!$B$1:$L$257,8,FALSE)),"",(VLOOKUP($B183,'B-1 Site Hedge Baseline'!$B$1:$L$257,8,FALSE))))</f>
        <v/>
      </c>
      <c r="I183" s="175" t="str">
        <f>IF(B183="","",IF(ISNA(VLOOKUP($B183,'B-1 Site Hedge Baseline'!$B$1:$L$257,10,FALSE)),"",(VLOOKUP($B183,'B-1 Site Hedge Baseline'!$B$1:$L$257,10,FALSE))))</f>
        <v/>
      </c>
      <c r="J183" s="175" t="str">
        <f>IF(B183="","",IF(ISNA(VLOOKUP($B183,'B-1 Site Hedge Baseline'!$B$1:$L$257,11,FALSE)),"",(VLOOKUP($B183,'B-1 Site Hedge Baseline'!$B$1:$L$257,11,FALSE))))</f>
        <v/>
      </c>
      <c r="K183" s="175" t="str">
        <f>IF(B183="","",IF(ISNA(VLOOKUP($B183,'B-1 Site Hedge Baseline'!$B$1:$U$257,13,FALSE)),"",(VLOOKUP($B183,'B-1 Site Hedge Baseline'!$B$1:$U$257,13,FALSE))))</f>
        <v/>
      </c>
      <c r="L183" s="176" t="str">
        <f>IF(B183="","",IF(ISNA(VLOOKUP($B183,'B-1 Site Hedge Baseline'!$B$1:$U$257,12,FALSE)),"",(VLOOKUP($B183,'B-1 Site Hedge Baseline'!$B$1:$U$257,12,FALSE))))</f>
        <v/>
      </c>
      <c r="M183" s="637"/>
      <c r="N183" s="171" t="str">
        <f>IFERROR(IF(B183="","",INDEX('G-6 Hedgerow Data'!$AN$3:$AZ$15,MATCH(C183,'G-6 Hedgerow Data'!$AM$3:$AM$15,0),MATCH(M183,'G-6 Hedgerow Data'!$AN$2:$AZ$2,0))),"")</f>
        <v/>
      </c>
      <c r="O183" s="172" t="str">
        <f t="shared" si="14"/>
        <v/>
      </c>
      <c r="P183" s="642" t="str">
        <f>IF(B183="","",VLOOKUP(B183,'B-1 Site Hedge Baseline'!$B$10:T428,16,FALSE))</f>
        <v/>
      </c>
      <c r="Q183" s="171" t="str">
        <f>IF(M183="","",VLOOKUP(M183,'G-6 Hedgerow Data'!$B$2:$AG$15,2,FALSE))</f>
        <v/>
      </c>
      <c r="R183" s="172" t="str">
        <f>IF(M183="","",VLOOKUP(M183,'G-6 Hedgerow Data'!$B$2:$AG$15,3,FALSE))</f>
        <v/>
      </c>
      <c r="S183" s="189"/>
      <c r="T183" s="269" t="str">
        <f>IFERROR(VLOOKUP(S183,'G-1 All Habitats'!$Z$2:$AA$9,2,FALSE),"")</f>
        <v/>
      </c>
      <c r="U183" s="186"/>
      <c r="V183" s="175" t="str">
        <f>IF(U183="","",IF(VLOOKUP(U183,'G-3 Multipliers'!$L$3:$N$6,2,FALSE)=0,"Spatial Data Missing",VLOOKUP(U183,'G-3 Multipliers'!$L$3:$N$6,2,FALSE)))</f>
        <v/>
      </c>
      <c r="W183" s="176" t="str">
        <f>IF(U183="","",IF(VLOOKUP(U183,'G-3 Multipliers'!$L$3:$N$6,3,FALSE)=0,"Spatial Data Missing",VLOOKUP(U183,'G-3 Multipliers'!$L$3:$N$6,3,FALSE)))</f>
        <v/>
      </c>
      <c r="X183" s="171" t="str">
        <f>IFERROR(IF(OR(LEFT(O183,5)="Error",LEFT(N183,5)="Error",T183="Error"),"Check Data",IF(F183&lt;R183,INDEX('G-6 Hedgerow Data'!$S$3:$AE$14,MATCH(C183,'G-6 Hedgerow Data'!$B$3:$B$14,0),MATCH(M183,'G-6 Hedgerow Data'!$S$2:$AE$2,0)),INDEX('G-6 Hedgerow Data'!$K$3:$Q$14,MATCH(M183,'G-6 Hedgerow Data'!$B$3:$B$14,0),MATCH(O183,'G-6 Hedgerow Data'!$K$2:$Q$2,0)))),"")</f>
        <v/>
      </c>
      <c r="Y183" s="261"/>
      <c r="Z183" s="261"/>
      <c r="AA183" s="179" t="str">
        <f t="shared" si="17"/>
        <v/>
      </c>
      <c r="AB183" s="262" t="str">
        <f t="shared" si="18"/>
        <v/>
      </c>
      <c r="AC183" s="263" t="str">
        <f t="shared" si="15"/>
        <v/>
      </c>
      <c r="AD183" s="239" t="str">
        <f>IF(M183="","",VLOOKUP(M183,'G-6 Hedgerow Data'!$B$3:$AG$15,31,FALSE))</f>
        <v/>
      </c>
      <c r="AE183" s="179" t="str">
        <f t="shared" si="19"/>
        <v/>
      </c>
      <c r="AF183" s="179" t="str">
        <f t="shared" si="20"/>
        <v/>
      </c>
      <c r="AG183" s="176" t="str">
        <f>IFERROR(IF(O183="","",VLOOKUP(AD183,'G-3 Multipliers'!$P$3:$Q$6,2,FALSE)),"")</f>
        <v/>
      </c>
      <c r="AH183" s="207" t="str">
        <f t="shared" si="16"/>
        <v/>
      </c>
      <c r="AI183" s="336"/>
      <c r="AJ183" s="181"/>
      <c r="AT183" s="35" t="str">
        <f>IFERROR(INDEX('G-6 Hedgerow Data'!$BJ$3:$BJ$15,MATCH(M183,'G-6 Hedgerow Data'!$B$3:$B$15,0)),"")</f>
        <v/>
      </c>
    </row>
    <row r="184" spans="2:46" ht="13.8" x14ac:dyDescent="0.25">
      <c r="B184" s="259" t="str">
        <f>'B-1 Site Hedge Baseline'!AK182</f>
        <v/>
      </c>
      <c r="C184" s="175" t="str">
        <f>IF(B184="","",IF(ISNA(VLOOKUP($B184,'B-1 Site Hedge Baseline'!$B$1:$L$257,3,FALSE)),"",(VLOOKUP($B184,'B-1 Site Hedge Baseline'!$B$1:$L$257,3,FALSE))))</f>
        <v/>
      </c>
      <c r="D184" s="175" t="str">
        <f>IF(B184="","",IF(ISNA(VLOOKUP($B184,'B-1 Site Hedge Baseline'!$B$1:$L$257,4,FALSE)),"",(VLOOKUP($B184,'B-1 Site Hedge Baseline'!$B$1:$L$257,4,FALSE))))</f>
        <v/>
      </c>
      <c r="E184" s="175" t="str">
        <f>IF(B184="","",IF(ISNA(VLOOKUP($B184,'B-1 Site Hedge Baseline'!$B$1:$L$257,5,FALSE)),"",(VLOOKUP($B184,'B-1 Site Hedge Baseline'!$B$1:$L$257,5,FALSE))))</f>
        <v/>
      </c>
      <c r="F184" s="175" t="str">
        <f>IF(B184="","",IF(ISNA(VLOOKUP($B184,'B-1 Site Hedge Baseline'!$B$1:$L$257,6,FALSE)),"",(VLOOKUP($B184,'B-1 Site Hedge Baseline'!$B$1:$L$257,6,FALSE))))</f>
        <v/>
      </c>
      <c r="G184" s="175" t="str">
        <f>IF(B184="","",IF(ISNA(VLOOKUP($B184,'B-1 Site Hedge Baseline'!$B$1:$L$257,7,FALSE)),"",(VLOOKUP($B184,'B-1 Site Hedge Baseline'!$B$1:$L$257,7,FALSE))))</f>
        <v/>
      </c>
      <c r="H184" s="175" t="str">
        <f>IF(B184="","",IF(ISNA(VLOOKUP($B184,'B-1 Site Hedge Baseline'!$B$1:$L$257,8,FALSE)),"",(VLOOKUP($B184,'B-1 Site Hedge Baseline'!$B$1:$L$257,8,FALSE))))</f>
        <v/>
      </c>
      <c r="I184" s="175" t="str">
        <f>IF(B184="","",IF(ISNA(VLOOKUP($B184,'B-1 Site Hedge Baseline'!$B$1:$L$257,10,FALSE)),"",(VLOOKUP($B184,'B-1 Site Hedge Baseline'!$B$1:$L$257,10,FALSE))))</f>
        <v/>
      </c>
      <c r="J184" s="175" t="str">
        <f>IF(B184="","",IF(ISNA(VLOOKUP($B184,'B-1 Site Hedge Baseline'!$B$1:$L$257,11,FALSE)),"",(VLOOKUP($B184,'B-1 Site Hedge Baseline'!$B$1:$L$257,11,FALSE))))</f>
        <v/>
      </c>
      <c r="K184" s="175" t="str">
        <f>IF(B184="","",IF(ISNA(VLOOKUP($B184,'B-1 Site Hedge Baseline'!$B$1:$U$257,13,FALSE)),"",(VLOOKUP($B184,'B-1 Site Hedge Baseline'!$B$1:$U$257,13,FALSE))))</f>
        <v/>
      </c>
      <c r="L184" s="176" t="str">
        <f>IF(B184="","",IF(ISNA(VLOOKUP($B184,'B-1 Site Hedge Baseline'!$B$1:$U$257,12,FALSE)),"",(VLOOKUP($B184,'B-1 Site Hedge Baseline'!$B$1:$U$257,12,FALSE))))</f>
        <v/>
      </c>
      <c r="M184" s="637"/>
      <c r="N184" s="171" t="str">
        <f>IFERROR(IF(B184="","",INDEX('G-6 Hedgerow Data'!$AN$3:$AZ$15,MATCH(C184,'G-6 Hedgerow Data'!$AM$3:$AM$15,0),MATCH(M184,'G-6 Hedgerow Data'!$AN$2:$AZ$2,0))),"")</f>
        <v/>
      </c>
      <c r="O184" s="172" t="str">
        <f t="shared" si="14"/>
        <v/>
      </c>
      <c r="P184" s="642" t="str">
        <f>IF(B184="","",VLOOKUP(B184,'B-1 Site Hedge Baseline'!$B$10:T429,16,FALSE))</f>
        <v/>
      </c>
      <c r="Q184" s="171" t="str">
        <f>IF(M184="","",VLOOKUP(M184,'G-6 Hedgerow Data'!$B$2:$AG$15,2,FALSE))</f>
        <v/>
      </c>
      <c r="R184" s="172" t="str">
        <f>IF(M184="","",VLOOKUP(M184,'G-6 Hedgerow Data'!$B$2:$AG$15,3,FALSE))</f>
        <v/>
      </c>
      <c r="S184" s="189"/>
      <c r="T184" s="269" t="str">
        <f>IFERROR(VLOOKUP(S184,'G-1 All Habitats'!$Z$2:$AA$9,2,FALSE),"")</f>
        <v/>
      </c>
      <c r="U184" s="186"/>
      <c r="V184" s="175" t="str">
        <f>IF(U184="","",IF(VLOOKUP(U184,'G-3 Multipliers'!$L$3:$N$6,2,FALSE)=0,"Spatial Data Missing",VLOOKUP(U184,'G-3 Multipliers'!$L$3:$N$6,2,FALSE)))</f>
        <v/>
      </c>
      <c r="W184" s="176" t="str">
        <f>IF(U184="","",IF(VLOOKUP(U184,'G-3 Multipliers'!$L$3:$N$6,3,FALSE)=0,"Spatial Data Missing",VLOOKUP(U184,'G-3 Multipliers'!$L$3:$N$6,3,FALSE)))</f>
        <v/>
      </c>
      <c r="X184" s="171" t="str">
        <f>IFERROR(IF(OR(LEFT(O184,5)="Error",LEFT(N184,5)="Error",T184="Error"),"Check Data",IF(F184&lt;R184,INDEX('G-6 Hedgerow Data'!$S$3:$AE$14,MATCH(C184,'G-6 Hedgerow Data'!$B$3:$B$14,0),MATCH(M184,'G-6 Hedgerow Data'!$S$2:$AE$2,0)),INDEX('G-6 Hedgerow Data'!$K$3:$Q$14,MATCH(M184,'G-6 Hedgerow Data'!$B$3:$B$14,0),MATCH(O184,'G-6 Hedgerow Data'!$K$2:$Q$2,0)))),"")</f>
        <v/>
      </c>
      <c r="Y184" s="261"/>
      <c r="Z184" s="261"/>
      <c r="AA184" s="179" t="str">
        <f t="shared" si="17"/>
        <v/>
      </c>
      <c r="AB184" s="262" t="str">
        <f t="shared" si="18"/>
        <v/>
      </c>
      <c r="AC184" s="263" t="str">
        <f t="shared" si="15"/>
        <v/>
      </c>
      <c r="AD184" s="239" t="str">
        <f>IF(M184="","",VLOOKUP(M184,'G-6 Hedgerow Data'!$B$3:$AG$15,31,FALSE))</f>
        <v/>
      </c>
      <c r="AE184" s="179" t="str">
        <f t="shared" si="19"/>
        <v/>
      </c>
      <c r="AF184" s="179" t="str">
        <f t="shared" si="20"/>
        <v/>
      </c>
      <c r="AG184" s="176" t="str">
        <f>IFERROR(IF(O184="","",VLOOKUP(AD184,'G-3 Multipliers'!$P$3:$Q$6,2,FALSE)),"")</f>
        <v/>
      </c>
      <c r="AH184" s="207" t="str">
        <f t="shared" si="16"/>
        <v/>
      </c>
      <c r="AI184" s="336"/>
      <c r="AJ184" s="181"/>
      <c r="AT184" s="35" t="str">
        <f>IFERROR(INDEX('G-6 Hedgerow Data'!$BJ$3:$BJ$15,MATCH(M184,'G-6 Hedgerow Data'!$B$3:$B$15,0)),"")</f>
        <v/>
      </c>
    </row>
    <row r="185" spans="2:46" ht="13.8" x14ac:dyDescent="0.25">
      <c r="B185" s="259" t="str">
        <f>'B-1 Site Hedge Baseline'!AK183</f>
        <v/>
      </c>
      <c r="C185" s="175" t="str">
        <f>IF(B185="","",IF(ISNA(VLOOKUP($B185,'B-1 Site Hedge Baseline'!$B$1:$L$257,3,FALSE)),"",(VLOOKUP($B185,'B-1 Site Hedge Baseline'!$B$1:$L$257,3,FALSE))))</f>
        <v/>
      </c>
      <c r="D185" s="175" t="str">
        <f>IF(B185="","",IF(ISNA(VLOOKUP($B185,'B-1 Site Hedge Baseline'!$B$1:$L$257,4,FALSE)),"",(VLOOKUP($B185,'B-1 Site Hedge Baseline'!$B$1:$L$257,4,FALSE))))</f>
        <v/>
      </c>
      <c r="E185" s="175" t="str">
        <f>IF(B185="","",IF(ISNA(VLOOKUP($B185,'B-1 Site Hedge Baseline'!$B$1:$L$257,5,FALSE)),"",(VLOOKUP($B185,'B-1 Site Hedge Baseline'!$B$1:$L$257,5,FALSE))))</f>
        <v/>
      </c>
      <c r="F185" s="175" t="str">
        <f>IF(B185="","",IF(ISNA(VLOOKUP($B185,'B-1 Site Hedge Baseline'!$B$1:$L$257,6,FALSE)),"",(VLOOKUP($B185,'B-1 Site Hedge Baseline'!$B$1:$L$257,6,FALSE))))</f>
        <v/>
      </c>
      <c r="G185" s="175" t="str">
        <f>IF(B185="","",IF(ISNA(VLOOKUP($B185,'B-1 Site Hedge Baseline'!$B$1:$L$257,7,FALSE)),"",(VLOOKUP($B185,'B-1 Site Hedge Baseline'!$B$1:$L$257,7,FALSE))))</f>
        <v/>
      </c>
      <c r="H185" s="175" t="str">
        <f>IF(B185="","",IF(ISNA(VLOOKUP($B185,'B-1 Site Hedge Baseline'!$B$1:$L$257,8,FALSE)),"",(VLOOKUP($B185,'B-1 Site Hedge Baseline'!$B$1:$L$257,8,FALSE))))</f>
        <v/>
      </c>
      <c r="I185" s="175" t="str">
        <f>IF(B185="","",IF(ISNA(VLOOKUP($B185,'B-1 Site Hedge Baseline'!$B$1:$L$257,10,FALSE)),"",(VLOOKUP($B185,'B-1 Site Hedge Baseline'!$B$1:$L$257,10,FALSE))))</f>
        <v/>
      </c>
      <c r="J185" s="175" t="str">
        <f>IF(B185="","",IF(ISNA(VLOOKUP($B185,'B-1 Site Hedge Baseline'!$B$1:$L$257,11,FALSE)),"",(VLOOKUP($B185,'B-1 Site Hedge Baseline'!$B$1:$L$257,11,FALSE))))</f>
        <v/>
      </c>
      <c r="K185" s="175" t="str">
        <f>IF(B185="","",IF(ISNA(VLOOKUP($B185,'B-1 Site Hedge Baseline'!$B$1:$U$257,13,FALSE)),"",(VLOOKUP($B185,'B-1 Site Hedge Baseline'!$B$1:$U$257,13,FALSE))))</f>
        <v/>
      </c>
      <c r="L185" s="176" t="str">
        <f>IF(B185="","",IF(ISNA(VLOOKUP($B185,'B-1 Site Hedge Baseline'!$B$1:$U$257,12,FALSE)),"",(VLOOKUP($B185,'B-1 Site Hedge Baseline'!$B$1:$U$257,12,FALSE))))</f>
        <v/>
      </c>
      <c r="M185" s="637"/>
      <c r="N185" s="171" t="str">
        <f>IFERROR(IF(B185="","",INDEX('G-6 Hedgerow Data'!$AN$3:$AZ$15,MATCH(C185,'G-6 Hedgerow Data'!$AM$3:$AM$15,0),MATCH(M185,'G-6 Hedgerow Data'!$AN$2:$AZ$2,0))),"")</f>
        <v/>
      </c>
      <c r="O185" s="172" t="str">
        <f t="shared" si="14"/>
        <v/>
      </c>
      <c r="P185" s="642" t="str">
        <f>IF(B185="","",VLOOKUP(B185,'B-1 Site Hedge Baseline'!$B$10:T430,16,FALSE))</f>
        <v/>
      </c>
      <c r="Q185" s="171" t="str">
        <f>IF(M185="","",VLOOKUP(M185,'G-6 Hedgerow Data'!$B$2:$AG$15,2,FALSE))</f>
        <v/>
      </c>
      <c r="R185" s="172" t="str">
        <f>IF(M185="","",VLOOKUP(M185,'G-6 Hedgerow Data'!$B$2:$AG$15,3,FALSE))</f>
        <v/>
      </c>
      <c r="S185" s="189"/>
      <c r="T185" s="269" t="str">
        <f>IFERROR(VLOOKUP(S185,'G-1 All Habitats'!$Z$2:$AA$9,2,FALSE),"")</f>
        <v/>
      </c>
      <c r="U185" s="186"/>
      <c r="V185" s="175" t="str">
        <f>IF(U185="","",IF(VLOOKUP(U185,'G-3 Multipliers'!$L$3:$N$6,2,FALSE)=0,"Spatial Data Missing",VLOOKUP(U185,'G-3 Multipliers'!$L$3:$N$6,2,FALSE)))</f>
        <v/>
      </c>
      <c r="W185" s="176" t="str">
        <f>IF(U185="","",IF(VLOOKUP(U185,'G-3 Multipliers'!$L$3:$N$6,3,FALSE)=0,"Spatial Data Missing",VLOOKUP(U185,'G-3 Multipliers'!$L$3:$N$6,3,FALSE)))</f>
        <v/>
      </c>
      <c r="X185" s="171" t="str">
        <f>IFERROR(IF(OR(LEFT(O185,5)="Error",LEFT(N185,5)="Error",T185="Error"),"Check Data",IF(F185&lt;R185,INDEX('G-6 Hedgerow Data'!$S$3:$AE$14,MATCH(C185,'G-6 Hedgerow Data'!$B$3:$B$14,0),MATCH(M185,'G-6 Hedgerow Data'!$S$2:$AE$2,0)),INDEX('G-6 Hedgerow Data'!$K$3:$Q$14,MATCH(M185,'G-6 Hedgerow Data'!$B$3:$B$14,0),MATCH(O185,'G-6 Hedgerow Data'!$K$2:$Q$2,0)))),"")</f>
        <v/>
      </c>
      <c r="Y185" s="261"/>
      <c r="Z185" s="261"/>
      <c r="AA185" s="179" t="str">
        <f t="shared" si="17"/>
        <v/>
      </c>
      <c r="AB185" s="262" t="str">
        <f t="shared" si="18"/>
        <v/>
      </c>
      <c r="AC185" s="263" t="str">
        <f t="shared" si="15"/>
        <v/>
      </c>
      <c r="AD185" s="239" t="str">
        <f>IF(M185="","",VLOOKUP(M185,'G-6 Hedgerow Data'!$B$3:$AG$15,31,FALSE))</f>
        <v/>
      </c>
      <c r="AE185" s="179" t="str">
        <f t="shared" si="19"/>
        <v/>
      </c>
      <c r="AF185" s="179" t="str">
        <f t="shared" si="20"/>
        <v/>
      </c>
      <c r="AG185" s="176" t="str">
        <f>IFERROR(IF(O185="","",VLOOKUP(AD185,'G-3 Multipliers'!$P$3:$Q$6,2,FALSE)),"")</f>
        <v/>
      </c>
      <c r="AH185" s="207" t="str">
        <f t="shared" si="16"/>
        <v/>
      </c>
      <c r="AI185" s="336"/>
      <c r="AJ185" s="181"/>
      <c r="AT185" s="35" t="str">
        <f>IFERROR(INDEX('G-6 Hedgerow Data'!$BJ$3:$BJ$15,MATCH(M185,'G-6 Hedgerow Data'!$B$3:$B$15,0)),"")</f>
        <v/>
      </c>
    </row>
    <row r="186" spans="2:46" ht="13.8" x14ac:dyDescent="0.25">
      <c r="B186" s="259" t="str">
        <f>'B-1 Site Hedge Baseline'!AK184</f>
        <v/>
      </c>
      <c r="C186" s="175" t="str">
        <f>IF(B186="","",IF(ISNA(VLOOKUP($B186,'B-1 Site Hedge Baseline'!$B$1:$L$257,3,FALSE)),"",(VLOOKUP($B186,'B-1 Site Hedge Baseline'!$B$1:$L$257,3,FALSE))))</f>
        <v/>
      </c>
      <c r="D186" s="175" t="str">
        <f>IF(B186="","",IF(ISNA(VLOOKUP($B186,'B-1 Site Hedge Baseline'!$B$1:$L$257,4,FALSE)),"",(VLOOKUP($B186,'B-1 Site Hedge Baseline'!$B$1:$L$257,4,FALSE))))</f>
        <v/>
      </c>
      <c r="E186" s="175" t="str">
        <f>IF(B186="","",IF(ISNA(VLOOKUP($B186,'B-1 Site Hedge Baseline'!$B$1:$L$257,5,FALSE)),"",(VLOOKUP($B186,'B-1 Site Hedge Baseline'!$B$1:$L$257,5,FALSE))))</f>
        <v/>
      </c>
      <c r="F186" s="175" t="str">
        <f>IF(B186="","",IF(ISNA(VLOOKUP($B186,'B-1 Site Hedge Baseline'!$B$1:$L$257,6,FALSE)),"",(VLOOKUP($B186,'B-1 Site Hedge Baseline'!$B$1:$L$257,6,FALSE))))</f>
        <v/>
      </c>
      <c r="G186" s="175" t="str">
        <f>IF(B186="","",IF(ISNA(VLOOKUP($B186,'B-1 Site Hedge Baseline'!$B$1:$L$257,7,FALSE)),"",(VLOOKUP($B186,'B-1 Site Hedge Baseline'!$B$1:$L$257,7,FALSE))))</f>
        <v/>
      </c>
      <c r="H186" s="175" t="str">
        <f>IF(B186="","",IF(ISNA(VLOOKUP($B186,'B-1 Site Hedge Baseline'!$B$1:$L$257,8,FALSE)),"",(VLOOKUP($B186,'B-1 Site Hedge Baseline'!$B$1:$L$257,8,FALSE))))</f>
        <v/>
      </c>
      <c r="I186" s="175" t="str">
        <f>IF(B186="","",IF(ISNA(VLOOKUP($B186,'B-1 Site Hedge Baseline'!$B$1:$L$257,10,FALSE)),"",(VLOOKUP($B186,'B-1 Site Hedge Baseline'!$B$1:$L$257,10,FALSE))))</f>
        <v/>
      </c>
      <c r="J186" s="175" t="str">
        <f>IF(B186="","",IF(ISNA(VLOOKUP($B186,'B-1 Site Hedge Baseline'!$B$1:$L$257,11,FALSE)),"",(VLOOKUP($B186,'B-1 Site Hedge Baseline'!$B$1:$L$257,11,FALSE))))</f>
        <v/>
      </c>
      <c r="K186" s="175" t="str">
        <f>IF(B186="","",IF(ISNA(VLOOKUP($B186,'B-1 Site Hedge Baseline'!$B$1:$U$257,13,FALSE)),"",(VLOOKUP($B186,'B-1 Site Hedge Baseline'!$B$1:$U$257,13,FALSE))))</f>
        <v/>
      </c>
      <c r="L186" s="176" t="str">
        <f>IF(B186="","",IF(ISNA(VLOOKUP($B186,'B-1 Site Hedge Baseline'!$B$1:$U$257,12,FALSE)),"",(VLOOKUP($B186,'B-1 Site Hedge Baseline'!$B$1:$U$257,12,FALSE))))</f>
        <v/>
      </c>
      <c r="M186" s="637"/>
      <c r="N186" s="171" t="str">
        <f>IFERROR(IF(B186="","",INDEX('G-6 Hedgerow Data'!$AN$3:$AZ$15,MATCH(C186,'G-6 Hedgerow Data'!$AM$3:$AM$15,0),MATCH(M186,'G-6 Hedgerow Data'!$AN$2:$AZ$2,0))),"")</f>
        <v/>
      </c>
      <c r="O186" s="172" t="str">
        <f t="shared" si="14"/>
        <v/>
      </c>
      <c r="P186" s="642" t="str">
        <f>IF(B186="","",VLOOKUP(B186,'B-1 Site Hedge Baseline'!$B$10:T431,16,FALSE))</f>
        <v/>
      </c>
      <c r="Q186" s="171" t="str">
        <f>IF(M186="","",VLOOKUP(M186,'G-6 Hedgerow Data'!$B$2:$AG$15,2,FALSE))</f>
        <v/>
      </c>
      <c r="R186" s="172" t="str">
        <f>IF(M186="","",VLOOKUP(M186,'G-6 Hedgerow Data'!$B$2:$AG$15,3,FALSE))</f>
        <v/>
      </c>
      <c r="S186" s="189"/>
      <c r="T186" s="269" t="str">
        <f>IFERROR(VLOOKUP(S186,'G-1 All Habitats'!$Z$2:$AA$9,2,FALSE),"")</f>
        <v/>
      </c>
      <c r="U186" s="186"/>
      <c r="V186" s="175" t="str">
        <f>IF(U186="","",IF(VLOOKUP(U186,'G-3 Multipliers'!$L$3:$N$6,2,FALSE)=0,"Spatial Data Missing",VLOOKUP(U186,'G-3 Multipliers'!$L$3:$N$6,2,FALSE)))</f>
        <v/>
      </c>
      <c r="W186" s="176" t="str">
        <f>IF(U186="","",IF(VLOOKUP(U186,'G-3 Multipliers'!$L$3:$N$6,3,FALSE)=0,"Spatial Data Missing",VLOOKUP(U186,'G-3 Multipliers'!$L$3:$N$6,3,FALSE)))</f>
        <v/>
      </c>
      <c r="X186" s="171" t="str">
        <f>IFERROR(IF(OR(LEFT(O186,5)="Error",LEFT(N186,5)="Error",T186="Error"),"Check Data",IF(F186&lt;R186,INDEX('G-6 Hedgerow Data'!$S$3:$AE$14,MATCH(C186,'G-6 Hedgerow Data'!$B$3:$B$14,0),MATCH(M186,'G-6 Hedgerow Data'!$S$2:$AE$2,0)),INDEX('G-6 Hedgerow Data'!$K$3:$Q$14,MATCH(M186,'G-6 Hedgerow Data'!$B$3:$B$14,0),MATCH(O186,'G-6 Hedgerow Data'!$K$2:$Q$2,0)))),"")</f>
        <v/>
      </c>
      <c r="Y186" s="261"/>
      <c r="Z186" s="261"/>
      <c r="AA186" s="179" t="str">
        <f t="shared" si="17"/>
        <v/>
      </c>
      <c r="AB186" s="262" t="str">
        <f t="shared" si="18"/>
        <v/>
      </c>
      <c r="AC186" s="263" t="str">
        <f t="shared" si="15"/>
        <v/>
      </c>
      <c r="AD186" s="239" t="str">
        <f>IF(M186="","",VLOOKUP(M186,'G-6 Hedgerow Data'!$B$3:$AG$15,31,FALSE))</f>
        <v/>
      </c>
      <c r="AE186" s="179" t="str">
        <f t="shared" si="19"/>
        <v/>
      </c>
      <c r="AF186" s="179" t="str">
        <f t="shared" si="20"/>
        <v/>
      </c>
      <c r="AG186" s="176" t="str">
        <f>IFERROR(IF(O186="","",VLOOKUP(AD186,'G-3 Multipliers'!$P$3:$Q$6,2,FALSE)),"")</f>
        <v/>
      </c>
      <c r="AH186" s="207" t="str">
        <f t="shared" si="16"/>
        <v/>
      </c>
      <c r="AI186" s="336"/>
      <c r="AJ186" s="181"/>
      <c r="AT186" s="35" t="str">
        <f>IFERROR(INDEX('G-6 Hedgerow Data'!$BJ$3:$BJ$15,MATCH(M186,'G-6 Hedgerow Data'!$B$3:$B$15,0)),"")</f>
        <v/>
      </c>
    </row>
    <row r="187" spans="2:46" ht="13.8" x14ac:dyDescent="0.25">
      <c r="B187" s="259" t="str">
        <f>'B-1 Site Hedge Baseline'!AK185</f>
        <v/>
      </c>
      <c r="C187" s="175" t="str">
        <f>IF(B187="","",IF(ISNA(VLOOKUP($B187,'B-1 Site Hedge Baseline'!$B$1:$L$257,3,FALSE)),"",(VLOOKUP($B187,'B-1 Site Hedge Baseline'!$B$1:$L$257,3,FALSE))))</f>
        <v/>
      </c>
      <c r="D187" s="175" t="str">
        <f>IF(B187="","",IF(ISNA(VLOOKUP($B187,'B-1 Site Hedge Baseline'!$B$1:$L$257,4,FALSE)),"",(VLOOKUP($B187,'B-1 Site Hedge Baseline'!$B$1:$L$257,4,FALSE))))</f>
        <v/>
      </c>
      <c r="E187" s="175" t="str">
        <f>IF(B187="","",IF(ISNA(VLOOKUP($B187,'B-1 Site Hedge Baseline'!$B$1:$L$257,5,FALSE)),"",(VLOOKUP($B187,'B-1 Site Hedge Baseline'!$B$1:$L$257,5,FALSE))))</f>
        <v/>
      </c>
      <c r="F187" s="175" t="str">
        <f>IF(B187="","",IF(ISNA(VLOOKUP($B187,'B-1 Site Hedge Baseline'!$B$1:$L$257,6,FALSE)),"",(VLOOKUP($B187,'B-1 Site Hedge Baseline'!$B$1:$L$257,6,FALSE))))</f>
        <v/>
      </c>
      <c r="G187" s="175" t="str">
        <f>IF(B187="","",IF(ISNA(VLOOKUP($B187,'B-1 Site Hedge Baseline'!$B$1:$L$257,7,FALSE)),"",(VLOOKUP($B187,'B-1 Site Hedge Baseline'!$B$1:$L$257,7,FALSE))))</f>
        <v/>
      </c>
      <c r="H187" s="175" t="str">
        <f>IF(B187="","",IF(ISNA(VLOOKUP($B187,'B-1 Site Hedge Baseline'!$B$1:$L$257,8,FALSE)),"",(VLOOKUP($B187,'B-1 Site Hedge Baseline'!$B$1:$L$257,8,FALSE))))</f>
        <v/>
      </c>
      <c r="I187" s="175" t="str">
        <f>IF(B187="","",IF(ISNA(VLOOKUP($B187,'B-1 Site Hedge Baseline'!$B$1:$L$257,10,FALSE)),"",(VLOOKUP($B187,'B-1 Site Hedge Baseline'!$B$1:$L$257,10,FALSE))))</f>
        <v/>
      </c>
      <c r="J187" s="175" t="str">
        <f>IF(B187="","",IF(ISNA(VLOOKUP($B187,'B-1 Site Hedge Baseline'!$B$1:$L$257,11,FALSE)),"",(VLOOKUP($B187,'B-1 Site Hedge Baseline'!$B$1:$L$257,11,FALSE))))</f>
        <v/>
      </c>
      <c r="K187" s="175" t="str">
        <f>IF(B187="","",IF(ISNA(VLOOKUP($B187,'B-1 Site Hedge Baseline'!$B$1:$U$257,13,FALSE)),"",(VLOOKUP($B187,'B-1 Site Hedge Baseline'!$B$1:$U$257,13,FALSE))))</f>
        <v/>
      </c>
      <c r="L187" s="176" t="str">
        <f>IF(B187="","",IF(ISNA(VLOOKUP($B187,'B-1 Site Hedge Baseline'!$B$1:$U$257,12,FALSE)),"",(VLOOKUP($B187,'B-1 Site Hedge Baseline'!$B$1:$U$257,12,FALSE))))</f>
        <v/>
      </c>
      <c r="M187" s="637"/>
      <c r="N187" s="171" t="str">
        <f>IFERROR(IF(B187="","",INDEX('G-6 Hedgerow Data'!$AN$3:$AZ$15,MATCH(C187,'G-6 Hedgerow Data'!$AM$3:$AM$15,0),MATCH(M187,'G-6 Hedgerow Data'!$AN$2:$AZ$2,0))),"")</f>
        <v/>
      </c>
      <c r="O187" s="172" t="str">
        <f t="shared" si="14"/>
        <v/>
      </c>
      <c r="P187" s="642" t="str">
        <f>IF(B187="","",VLOOKUP(B187,'B-1 Site Hedge Baseline'!$B$10:T432,16,FALSE))</f>
        <v/>
      </c>
      <c r="Q187" s="171" t="str">
        <f>IF(M187="","",VLOOKUP(M187,'G-6 Hedgerow Data'!$B$2:$AG$15,2,FALSE))</f>
        <v/>
      </c>
      <c r="R187" s="172" t="str">
        <f>IF(M187="","",VLOOKUP(M187,'G-6 Hedgerow Data'!$B$2:$AG$15,3,FALSE))</f>
        <v/>
      </c>
      <c r="S187" s="189"/>
      <c r="T187" s="269" t="str">
        <f>IFERROR(VLOOKUP(S187,'G-1 All Habitats'!$Z$2:$AA$9,2,FALSE),"")</f>
        <v/>
      </c>
      <c r="U187" s="186"/>
      <c r="V187" s="175" t="str">
        <f>IF(U187="","",IF(VLOOKUP(U187,'G-3 Multipliers'!$L$3:$N$6,2,FALSE)=0,"Spatial Data Missing",VLOOKUP(U187,'G-3 Multipliers'!$L$3:$N$6,2,FALSE)))</f>
        <v/>
      </c>
      <c r="W187" s="176" t="str">
        <f>IF(U187="","",IF(VLOOKUP(U187,'G-3 Multipliers'!$L$3:$N$6,3,FALSE)=0,"Spatial Data Missing",VLOOKUP(U187,'G-3 Multipliers'!$L$3:$N$6,3,FALSE)))</f>
        <v/>
      </c>
      <c r="X187" s="171" t="str">
        <f>IFERROR(IF(OR(LEFT(O187,5)="Error",LEFT(N187,5)="Error",T187="Error"),"Check Data",IF(F187&lt;R187,INDEX('G-6 Hedgerow Data'!$S$3:$AE$14,MATCH(C187,'G-6 Hedgerow Data'!$B$3:$B$14,0),MATCH(M187,'G-6 Hedgerow Data'!$S$2:$AE$2,0)),INDEX('G-6 Hedgerow Data'!$K$3:$Q$14,MATCH(M187,'G-6 Hedgerow Data'!$B$3:$B$14,0),MATCH(O187,'G-6 Hedgerow Data'!$K$2:$Q$2,0)))),"")</f>
        <v/>
      </c>
      <c r="Y187" s="261"/>
      <c r="Z187" s="261"/>
      <c r="AA187" s="179" t="str">
        <f t="shared" si="17"/>
        <v/>
      </c>
      <c r="AB187" s="262" t="str">
        <f t="shared" si="18"/>
        <v/>
      </c>
      <c r="AC187" s="263" t="str">
        <f t="shared" si="15"/>
        <v/>
      </c>
      <c r="AD187" s="239" t="str">
        <f>IF(M187="","",VLOOKUP(M187,'G-6 Hedgerow Data'!$B$3:$AG$15,31,FALSE))</f>
        <v/>
      </c>
      <c r="AE187" s="179" t="str">
        <f t="shared" si="19"/>
        <v/>
      </c>
      <c r="AF187" s="179" t="str">
        <f t="shared" si="20"/>
        <v/>
      </c>
      <c r="AG187" s="176" t="str">
        <f>IFERROR(IF(O187="","",VLOOKUP(AD187,'G-3 Multipliers'!$P$3:$Q$6,2,FALSE)),"")</f>
        <v/>
      </c>
      <c r="AH187" s="207" t="str">
        <f t="shared" si="16"/>
        <v/>
      </c>
      <c r="AI187" s="336"/>
      <c r="AJ187" s="181"/>
      <c r="AT187" s="35" t="str">
        <f>IFERROR(INDEX('G-6 Hedgerow Data'!$BJ$3:$BJ$15,MATCH(M187,'G-6 Hedgerow Data'!$B$3:$B$15,0)),"")</f>
        <v/>
      </c>
    </row>
    <row r="188" spans="2:46" ht="13.8" x14ac:dyDescent="0.25">
      <c r="B188" s="259" t="str">
        <f>'B-1 Site Hedge Baseline'!AK186</f>
        <v/>
      </c>
      <c r="C188" s="175" t="str">
        <f>IF(B188="","",IF(ISNA(VLOOKUP($B188,'B-1 Site Hedge Baseline'!$B$1:$L$257,3,FALSE)),"",(VLOOKUP($B188,'B-1 Site Hedge Baseline'!$B$1:$L$257,3,FALSE))))</f>
        <v/>
      </c>
      <c r="D188" s="175" t="str">
        <f>IF(B188="","",IF(ISNA(VLOOKUP($B188,'B-1 Site Hedge Baseline'!$B$1:$L$257,4,FALSE)),"",(VLOOKUP($B188,'B-1 Site Hedge Baseline'!$B$1:$L$257,4,FALSE))))</f>
        <v/>
      </c>
      <c r="E188" s="175" t="str">
        <f>IF(B188="","",IF(ISNA(VLOOKUP($B188,'B-1 Site Hedge Baseline'!$B$1:$L$257,5,FALSE)),"",(VLOOKUP($B188,'B-1 Site Hedge Baseline'!$B$1:$L$257,5,FALSE))))</f>
        <v/>
      </c>
      <c r="F188" s="175" t="str">
        <f>IF(B188="","",IF(ISNA(VLOOKUP($B188,'B-1 Site Hedge Baseline'!$B$1:$L$257,6,FALSE)),"",(VLOOKUP($B188,'B-1 Site Hedge Baseline'!$B$1:$L$257,6,FALSE))))</f>
        <v/>
      </c>
      <c r="G188" s="175" t="str">
        <f>IF(B188="","",IF(ISNA(VLOOKUP($B188,'B-1 Site Hedge Baseline'!$B$1:$L$257,7,FALSE)),"",(VLOOKUP($B188,'B-1 Site Hedge Baseline'!$B$1:$L$257,7,FALSE))))</f>
        <v/>
      </c>
      <c r="H188" s="175" t="str">
        <f>IF(B188="","",IF(ISNA(VLOOKUP($B188,'B-1 Site Hedge Baseline'!$B$1:$L$257,8,FALSE)),"",(VLOOKUP($B188,'B-1 Site Hedge Baseline'!$B$1:$L$257,8,FALSE))))</f>
        <v/>
      </c>
      <c r="I188" s="175" t="str">
        <f>IF(B188="","",IF(ISNA(VLOOKUP($B188,'B-1 Site Hedge Baseline'!$B$1:$L$257,10,FALSE)),"",(VLOOKUP($B188,'B-1 Site Hedge Baseline'!$B$1:$L$257,10,FALSE))))</f>
        <v/>
      </c>
      <c r="J188" s="175" t="str">
        <f>IF(B188="","",IF(ISNA(VLOOKUP($B188,'B-1 Site Hedge Baseline'!$B$1:$L$257,11,FALSE)),"",(VLOOKUP($B188,'B-1 Site Hedge Baseline'!$B$1:$L$257,11,FALSE))))</f>
        <v/>
      </c>
      <c r="K188" s="175" t="str">
        <f>IF(B188="","",IF(ISNA(VLOOKUP($B188,'B-1 Site Hedge Baseline'!$B$1:$U$257,13,FALSE)),"",(VLOOKUP($B188,'B-1 Site Hedge Baseline'!$B$1:$U$257,13,FALSE))))</f>
        <v/>
      </c>
      <c r="L188" s="176" t="str">
        <f>IF(B188="","",IF(ISNA(VLOOKUP($B188,'B-1 Site Hedge Baseline'!$B$1:$U$257,12,FALSE)),"",(VLOOKUP($B188,'B-1 Site Hedge Baseline'!$B$1:$U$257,12,FALSE))))</f>
        <v/>
      </c>
      <c r="M188" s="637"/>
      <c r="N188" s="171" t="str">
        <f>IFERROR(IF(B188="","",INDEX('G-6 Hedgerow Data'!$AN$3:$AZ$15,MATCH(C188,'G-6 Hedgerow Data'!$AM$3:$AM$15,0),MATCH(M188,'G-6 Hedgerow Data'!$AN$2:$AZ$2,0))),"")</f>
        <v/>
      </c>
      <c r="O188" s="172" t="str">
        <f t="shared" si="14"/>
        <v/>
      </c>
      <c r="P188" s="642" t="str">
        <f>IF(B188="","",VLOOKUP(B188,'B-1 Site Hedge Baseline'!$B$10:T433,16,FALSE))</f>
        <v/>
      </c>
      <c r="Q188" s="171" t="str">
        <f>IF(M188="","",VLOOKUP(M188,'G-6 Hedgerow Data'!$B$2:$AG$15,2,FALSE))</f>
        <v/>
      </c>
      <c r="R188" s="172" t="str">
        <f>IF(M188="","",VLOOKUP(M188,'G-6 Hedgerow Data'!$B$2:$AG$15,3,FALSE))</f>
        <v/>
      </c>
      <c r="S188" s="189"/>
      <c r="T188" s="269" t="str">
        <f>IFERROR(VLOOKUP(S188,'G-1 All Habitats'!$Z$2:$AA$9,2,FALSE),"")</f>
        <v/>
      </c>
      <c r="U188" s="186"/>
      <c r="V188" s="175" t="str">
        <f>IF(U188="","",IF(VLOOKUP(U188,'G-3 Multipliers'!$L$3:$N$6,2,FALSE)=0,"Spatial Data Missing",VLOOKUP(U188,'G-3 Multipliers'!$L$3:$N$6,2,FALSE)))</f>
        <v/>
      </c>
      <c r="W188" s="176" t="str">
        <f>IF(U188="","",IF(VLOOKUP(U188,'G-3 Multipliers'!$L$3:$N$6,3,FALSE)=0,"Spatial Data Missing",VLOOKUP(U188,'G-3 Multipliers'!$L$3:$N$6,3,FALSE)))</f>
        <v/>
      </c>
      <c r="X188" s="171" t="str">
        <f>IFERROR(IF(OR(LEFT(O188,5)="Error",LEFT(N188,5)="Error",T188="Error"),"Check Data",IF(F188&lt;R188,INDEX('G-6 Hedgerow Data'!$S$3:$AE$14,MATCH(C188,'G-6 Hedgerow Data'!$B$3:$B$14,0),MATCH(M188,'G-6 Hedgerow Data'!$S$2:$AE$2,0)),INDEX('G-6 Hedgerow Data'!$K$3:$Q$14,MATCH(M188,'G-6 Hedgerow Data'!$B$3:$B$14,0),MATCH(O188,'G-6 Hedgerow Data'!$K$2:$Q$2,0)))),"")</f>
        <v/>
      </c>
      <c r="Y188" s="261"/>
      <c r="Z188" s="261"/>
      <c r="AA188" s="179" t="str">
        <f t="shared" si="17"/>
        <v/>
      </c>
      <c r="AB188" s="262" t="str">
        <f t="shared" si="18"/>
        <v/>
      </c>
      <c r="AC188" s="263" t="str">
        <f t="shared" si="15"/>
        <v/>
      </c>
      <c r="AD188" s="239" t="str">
        <f>IF(M188="","",VLOOKUP(M188,'G-6 Hedgerow Data'!$B$3:$AG$15,31,FALSE))</f>
        <v/>
      </c>
      <c r="AE188" s="179" t="str">
        <f t="shared" si="19"/>
        <v/>
      </c>
      <c r="AF188" s="179" t="str">
        <f t="shared" si="20"/>
        <v/>
      </c>
      <c r="AG188" s="176" t="str">
        <f>IFERROR(IF(O188="","",VLOOKUP(AD188,'G-3 Multipliers'!$P$3:$Q$6,2,FALSE)),"")</f>
        <v/>
      </c>
      <c r="AH188" s="207" t="str">
        <f t="shared" si="16"/>
        <v/>
      </c>
      <c r="AI188" s="336"/>
      <c r="AJ188" s="181"/>
      <c r="AT188" s="35" t="str">
        <f>IFERROR(INDEX('G-6 Hedgerow Data'!$BJ$3:$BJ$15,MATCH(M188,'G-6 Hedgerow Data'!$B$3:$B$15,0)),"")</f>
        <v/>
      </c>
    </row>
    <row r="189" spans="2:46" ht="13.8" x14ac:dyDescent="0.25">
      <c r="B189" s="259" t="str">
        <f>'B-1 Site Hedge Baseline'!AK187</f>
        <v/>
      </c>
      <c r="C189" s="175" t="str">
        <f>IF(B189="","",IF(ISNA(VLOOKUP($B189,'B-1 Site Hedge Baseline'!$B$1:$L$257,3,FALSE)),"",(VLOOKUP($B189,'B-1 Site Hedge Baseline'!$B$1:$L$257,3,FALSE))))</f>
        <v/>
      </c>
      <c r="D189" s="175" t="str">
        <f>IF(B189="","",IF(ISNA(VLOOKUP($B189,'B-1 Site Hedge Baseline'!$B$1:$L$257,4,FALSE)),"",(VLOOKUP($B189,'B-1 Site Hedge Baseline'!$B$1:$L$257,4,FALSE))))</f>
        <v/>
      </c>
      <c r="E189" s="175" t="str">
        <f>IF(B189="","",IF(ISNA(VLOOKUP($B189,'B-1 Site Hedge Baseline'!$B$1:$L$257,5,FALSE)),"",(VLOOKUP($B189,'B-1 Site Hedge Baseline'!$B$1:$L$257,5,FALSE))))</f>
        <v/>
      </c>
      <c r="F189" s="175" t="str">
        <f>IF(B189="","",IF(ISNA(VLOOKUP($B189,'B-1 Site Hedge Baseline'!$B$1:$L$257,6,FALSE)),"",(VLOOKUP($B189,'B-1 Site Hedge Baseline'!$B$1:$L$257,6,FALSE))))</f>
        <v/>
      </c>
      <c r="G189" s="175" t="str">
        <f>IF(B189="","",IF(ISNA(VLOOKUP($B189,'B-1 Site Hedge Baseline'!$B$1:$L$257,7,FALSE)),"",(VLOOKUP($B189,'B-1 Site Hedge Baseline'!$B$1:$L$257,7,FALSE))))</f>
        <v/>
      </c>
      <c r="H189" s="175" t="str">
        <f>IF(B189="","",IF(ISNA(VLOOKUP($B189,'B-1 Site Hedge Baseline'!$B$1:$L$257,8,FALSE)),"",(VLOOKUP($B189,'B-1 Site Hedge Baseline'!$B$1:$L$257,8,FALSE))))</f>
        <v/>
      </c>
      <c r="I189" s="175" t="str">
        <f>IF(B189="","",IF(ISNA(VLOOKUP($B189,'B-1 Site Hedge Baseline'!$B$1:$L$257,10,FALSE)),"",(VLOOKUP($B189,'B-1 Site Hedge Baseline'!$B$1:$L$257,10,FALSE))))</f>
        <v/>
      </c>
      <c r="J189" s="175" t="str">
        <f>IF(B189="","",IF(ISNA(VLOOKUP($B189,'B-1 Site Hedge Baseline'!$B$1:$L$257,11,FALSE)),"",(VLOOKUP($B189,'B-1 Site Hedge Baseline'!$B$1:$L$257,11,FALSE))))</f>
        <v/>
      </c>
      <c r="K189" s="175" t="str">
        <f>IF(B189="","",IF(ISNA(VLOOKUP($B189,'B-1 Site Hedge Baseline'!$B$1:$U$257,13,FALSE)),"",(VLOOKUP($B189,'B-1 Site Hedge Baseline'!$B$1:$U$257,13,FALSE))))</f>
        <v/>
      </c>
      <c r="L189" s="176" t="str">
        <f>IF(B189="","",IF(ISNA(VLOOKUP($B189,'B-1 Site Hedge Baseline'!$B$1:$U$257,12,FALSE)),"",(VLOOKUP($B189,'B-1 Site Hedge Baseline'!$B$1:$U$257,12,FALSE))))</f>
        <v/>
      </c>
      <c r="M189" s="637"/>
      <c r="N189" s="171" t="str">
        <f>IFERROR(IF(B189="","",INDEX('G-6 Hedgerow Data'!$AN$3:$AZ$15,MATCH(C189,'G-6 Hedgerow Data'!$AM$3:$AM$15,0),MATCH(M189,'G-6 Hedgerow Data'!$AN$2:$AZ$2,0))),"")</f>
        <v/>
      </c>
      <c r="O189" s="172" t="str">
        <f t="shared" si="14"/>
        <v/>
      </c>
      <c r="P189" s="642" t="str">
        <f>IF(B189="","",VLOOKUP(B189,'B-1 Site Hedge Baseline'!$B$10:T434,16,FALSE))</f>
        <v/>
      </c>
      <c r="Q189" s="171" t="str">
        <f>IF(M189="","",VLOOKUP(M189,'G-6 Hedgerow Data'!$B$2:$AG$15,2,FALSE))</f>
        <v/>
      </c>
      <c r="R189" s="172" t="str">
        <f>IF(M189="","",VLOOKUP(M189,'G-6 Hedgerow Data'!$B$2:$AG$15,3,FALSE))</f>
        <v/>
      </c>
      <c r="S189" s="189"/>
      <c r="T189" s="269" t="str">
        <f>IFERROR(VLOOKUP(S189,'G-1 All Habitats'!$Z$2:$AA$9,2,FALSE),"")</f>
        <v/>
      </c>
      <c r="U189" s="186"/>
      <c r="V189" s="175" t="str">
        <f>IF(U189="","",IF(VLOOKUP(U189,'G-3 Multipliers'!$L$3:$N$6,2,FALSE)=0,"Spatial Data Missing",VLOOKUP(U189,'G-3 Multipliers'!$L$3:$N$6,2,FALSE)))</f>
        <v/>
      </c>
      <c r="W189" s="176" t="str">
        <f>IF(U189="","",IF(VLOOKUP(U189,'G-3 Multipliers'!$L$3:$N$6,3,FALSE)=0,"Spatial Data Missing",VLOOKUP(U189,'G-3 Multipliers'!$L$3:$N$6,3,FALSE)))</f>
        <v/>
      </c>
      <c r="X189" s="171" t="str">
        <f>IFERROR(IF(OR(LEFT(O189,5)="Error",LEFT(N189,5)="Error",T189="Error"),"Check Data",IF(F189&lt;R189,INDEX('G-6 Hedgerow Data'!$S$3:$AE$14,MATCH(C189,'G-6 Hedgerow Data'!$B$3:$B$14,0),MATCH(M189,'G-6 Hedgerow Data'!$S$2:$AE$2,0)),INDEX('G-6 Hedgerow Data'!$K$3:$Q$14,MATCH(M189,'G-6 Hedgerow Data'!$B$3:$B$14,0),MATCH(O189,'G-6 Hedgerow Data'!$K$2:$Q$2,0)))),"")</f>
        <v/>
      </c>
      <c r="Y189" s="261"/>
      <c r="Z189" s="261"/>
      <c r="AA189" s="179" t="str">
        <f t="shared" si="17"/>
        <v/>
      </c>
      <c r="AB189" s="262" t="str">
        <f t="shared" si="18"/>
        <v/>
      </c>
      <c r="AC189" s="263" t="str">
        <f t="shared" si="15"/>
        <v/>
      </c>
      <c r="AD189" s="239" t="str">
        <f>IF(M189="","",VLOOKUP(M189,'G-6 Hedgerow Data'!$B$3:$AG$15,31,FALSE))</f>
        <v/>
      </c>
      <c r="AE189" s="179" t="str">
        <f t="shared" si="19"/>
        <v/>
      </c>
      <c r="AF189" s="179" t="str">
        <f t="shared" si="20"/>
        <v/>
      </c>
      <c r="AG189" s="176" t="str">
        <f>IFERROR(IF(O189="","",VLOOKUP(AD189,'G-3 Multipliers'!$P$3:$Q$6,2,FALSE)),"")</f>
        <v/>
      </c>
      <c r="AH189" s="207" t="str">
        <f t="shared" si="16"/>
        <v/>
      </c>
      <c r="AI189" s="336"/>
      <c r="AJ189" s="181"/>
      <c r="AT189" s="35" t="str">
        <f>IFERROR(INDEX('G-6 Hedgerow Data'!$BJ$3:$BJ$15,MATCH(M189,'G-6 Hedgerow Data'!$B$3:$B$15,0)),"")</f>
        <v/>
      </c>
    </row>
    <row r="190" spans="2:46" ht="13.8" x14ac:dyDescent="0.25">
      <c r="B190" s="259" t="str">
        <f>'B-1 Site Hedge Baseline'!AK188</f>
        <v/>
      </c>
      <c r="C190" s="175" t="str">
        <f>IF(B190="","",IF(ISNA(VLOOKUP($B190,'B-1 Site Hedge Baseline'!$B$1:$L$257,3,FALSE)),"",(VLOOKUP($B190,'B-1 Site Hedge Baseline'!$B$1:$L$257,3,FALSE))))</f>
        <v/>
      </c>
      <c r="D190" s="175" t="str">
        <f>IF(B190="","",IF(ISNA(VLOOKUP($B190,'B-1 Site Hedge Baseline'!$B$1:$L$257,4,FALSE)),"",(VLOOKUP($B190,'B-1 Site Hedge Baseline'!$B$1:$L$257,4,FALSE))))</f>
        <v/>
      </c>
      <c r="E190" s="175" t="str">
        <f>IF(B190="","",IF(ISNA(VLOOKUP($B190,'B-1 Site Hedge Baseline'!$B$1:$L$257,5,FALSE)),"",(VLOOKUP($B190,'B-1 Site Hedge Baseline'!$B$1:$L$257,5,FALSE))))</f>
        <v/>
      </c>
      <c r="F190" s="175" t="str">
        <f>IF(B190="","",IF(ISNA(VLOOKUP($B190,'B-1 Site Hedge Baseline'!$B$1:$L$257,6,FALSE)),"",(VLOOKUP($B190,'B-1 Site Hedge Baseline'!$B$1:$L$257,6,FALSE))))</f>
        <v/>
      </c>
      <c r="G190" s="175" t="str">
        <f>IF(B190="","",IF(ISNA(VLOOKUP($B190,'B-1 Site Hedge Baseline'!$B$1:$L$257,7,FALSE)),"",(VLOOKUP($B190,'B-1 Site Hedge Baseline'!$B$1:$L$257,7,FALSE))))</f>
        <v/>
      </c>
      <c r="H190" s="175" t="str">
        <f>IF(B190="","",IF(ISNA(VLOOKUP($B190,'B-1 Site Hedge Baseline'!$B$1:$L$257,8,FALSE)),"",(VLOOKUP($B190,'B-1 Site Hedge Baseline'!$B$1:$L$257,8,FALSE))))</f>
        <v/>
      </c>
      <c r="I190" s="175" t="str">
        <f>IF(B190="","",IF(ISNA(VLOOKUP($B190,'B-1 Site Hedge Baseline'!$B$1:$L$257,10,FALSE)),"",(VLOOKUP($B190,'B-1 Site Hedge Baseline'!$B$1:$L$257,10,FALSE))))</f>
        <v/>
      </c>
      <c r="J190" s="175" t="str">
        <f>IF(B190="","",IF(ISNA(VLOOKUP($B190,'B-1 Site Hedge Baseline'!$B$1:$L$257,11,FALSE)),"",(VLOOKUP($B190,'B-1 Site Hedge Baseline'!$B$1:$L$257,11,FALSE))))</f>
        <v/>
      </c>
      <c r="K190" s="175" t="str">
        <f>IF(B190="","",IF(ISNA(VLOOKUP($B190,'B-1 Site Hedge Baseline'!$B$1:$U$257,13,FALSE)),"",(VLOOKUP($B190,'B-1 Site Hedge Baseline'!$B$1:$U$257,13,FALSE))))</f>
        <v/>
      </c>
      <c r="L190" s="176" t="str">
        <f>IF(B190="","",IF(ISNA(VLOOKUP($B190,'B-1 Site Hedge Baseline'!$B$1:$U$257,12,FALSE)),"",(VLOOKUP($B190,'B-1 Site Hedge Baseline'!$B$1:$U$257,12,FALSE))))</f>
        <v/>
      </c>
      <c r="M190" s="637"/>
      <c r="N190" s="171" t="str">
        <f>IFERROR(IF(B190="","",INDEX('G-6 Hedgerow Data'!$AN$3:$AZ$15,MATCH(C190,'G-6 Hedgerow Data'!$AM$3:$AM$15,0),MATCH(M190,'G-6 Hedgerow Data'!$AN$2:$AZ$2,0))),"")</f>
        <v/>
      </c>
      <c r="O190" s="172" t="str">
        <f t="shared" si="14"/>
        <v/>
      </c>
      <c r="P190" s="642" t="str">
        <f>IF(B190="","",VLOOKUP(B190,'B-1 Site Hedge Baseline'!$B$10:T435,16,FALSE))</f>
        <v/>
      </c>
      <c r="Q190" s="171" t="str">
        <f>IF(M190="","",VLOOKUP(M190,'G-6 Hedgerow Data'!$B$2:$AG$15,2,FALSE))</f>
        <v/>
      </c>
      <c r="R190" s="172" t="str">
        <f>IF(M190="","",VLOOKUP(M190,'G-6 Hedgerow Data'!$B$2:$AG$15,3,FALSE))</f>
        <v/>
      </c>
      <c r="S190" s="189"/>
      <c r="T190" s="269" t="str">
        <f>IFERROR(VLOOKUP(S190,'G-1 All Habitats'!$Z$2:$AA$9,2,FALSE),"")</f>
        <v/>
      </c>
      <c r="U190" s="186"/>
      <c r="V190" s="175" t="str">
        <f>IF(U190="","",IF(VLOOKUP(U190,'G-3 Multipliers'!$L$3:$N$6,2,FALSE)=0,"Spatial Data Missing",VLOOKUP(U190,'G-3 Multipliers'!$L$3:$N$6,2,FALSE)))</f>
        <v/>
      </c>
      <c r="W190" s="176" t="str">
        <f>IF(U190="","",IF(VLOOKUP(U190,'G-3 Multipliers'!$L$3:$N$6,3,FALSE)=0,"Spatial Data Missing",VLOOKUP(U190,'G-3 Multipliers'!$L$3:$N$6,3,FALSE)))</f>
        <v/>
      </c>
      <c r="X190" s="171" t="str">
        <f>IFERROR(IF(OR(LEFT(O190,5)="Error",LEFT(N190,5)="Error",T190="Error"),"Check Data",IF(F190&lt;R190,INDEX('G-6 Hedgerow Data'!$S$3:$AE$14,MATCH(C190,'G-6 Hedgerow Data'!$B$3:$B$14,0),MATCH(M190,'G-6 Hedgerow Data'!$S$2:$AE$2,0)),INDEX('G-6 Hedgerow Data'!$K$3:$Q$14,MATCH(M190,'G-6 Hedgerow Data'!$B$3:$B$14,0),MATCH(O190,'G-6 Hedgerow Data'!$K$2:$Q$2,0)))),"")</f>
        <v/>
      </c>
      <c r="Y190" s="261"/>
      <c r="Z190" s="261"/>
      <c r="AA190" s="179" t="str">
        <f t="shared" si="17"/>
        <v/>
      </c>
      <c r="AB190" s="262" t="str">
        <f t="shared" si="18"/>
        <v/>
      </c>
      <c r="AC190" s="263" t="str">
        <f t="shared" si="15"/>
        <v/>
      </c>
      <c r="AD190" s="239" t="str">
        <f>IF(M190="","",VLOOKUP(M190,'G-6 Hedgerow Data'!$B$3:$AG$15,31,FALSE))</f>
        <v/>
      </c>
      <c r="AE190" s="179" t="str">
        <f t="shared" si="19"/>
        <v/>
      </c>
      <c r="AF190" s="179" t="str">
        <f t="shared" si="20"/>
        <v/>
      </c>
      <c r="AG190" s="176" t="str">
        <f>IFERROR(IF(O190="","",VLOOKUP(AD190,'G-3 Multipliers'!$P$3:$Q$6,2,FALSE)),"")</f>
        <v/>
      </c>
      <c r="AH190" s="207" t="str">
        <f t="shared" si="16"/>
        <v/>
      </c>
      <c r="AI190" s="336"/>
      <c r="AJ190" s="181"/>
      <c r="AT190" s="35" t="str">
        <f>IFERROR(INDEX('G-6 Hedgerow Data'!$BJ$3:$BJ$15,MATCH(M190,'G-6 Hedgerow Data'!$B$3:$B$15,0)),"")</f>
        <v/>
      </c>
    </row>
    <row r="191" spans="2:46" ht="13.8" x14ac:dyDescent="0.25">
      <c r="B191" s="259" t="str">
        <f>'B-1 Site Hedge Baseline'!AK189</f>
        <v/>
      </c>
      <c r="C191" s="175" t="str">
        <f>IF(B191="","",IF(ISNA(VLOOKUP($B191,'B-1 Site Hedge Baseline'!$B$1:$L$257,3,FALSE)),"",(VLOOKUP($B191,'B-1 Site Hedge Baseline'!$B$1:$L$257,3,FALSE))))</f>
        <v/>
      </c>
      <c r="D191" s="175" t="str">
        <f>IF(B191="","",IF(ISNA(VLOOKUP($B191,'B-1 Site Hedge Baseline'!$B$1:$L$257,4,FALSE)),"",(VLOOKUP($B191,'B-1 Site Hedge Baseline'!$B$1:$L$257,4,FALSE))))</f>
        <v/>
      </c>
      <c r="E191" s="175" t="str">
        <f>IF(B191="","",IF(ISNA(VLOOKUP($B191,'B-1 Site Hedge Baseline'!$B$1:$L$257,5,FALSE)),"",(VLOOKUP($B191,'B-1 Site Hedge Baseline'!$B$1:$L$257,5,FALSE))))</f>
        <v/>
      </c>
      <c r="F191" s="175" t="str">
        <f>IF(B191="","",IF(ISNA(VLOOKUP($B191,'B-1 Site Hedge Baseline'!$B$1:$L$257,6,FALSE)),"",(VLOOKUP($B191,'B-1 Site Hedge Baseline'!$B$1:$L$257,6,FALSE))))</f>
        <v/>
      </c>
      <c r="G191" s="175" t="str">
        <f>IF(B191="","",IF(ISNA(VLOOKUP($B191,'B-1 Site Hedge Baseline'!$B$1:$L$257,7,FALSE)),"",(VLOOKUP($B191,'B-1 Site Hedge Baseline'!$B$1:$L$257,7,FALSE))))</f>
        <v/>
      </c>
      <c r="H191" s="175" t="str">
        <f>IF(B191="","",IF(ISNA(VLOOKUP($B191,'B-1 Site Hedge Baseline'!$B$1:$L$257,8,FALSE)),"",(VLOOKUP($B191,'B-1 Site Hedge Baseline'!$B$1:$L$257,8,FALSE))))</f>
        <v/>
      </c>
      <c r="I191" s="175" t="str">
        <f>IF(B191="","",IF(ISNA(VLOOKUP($B191,'B-1 Site Hedge Baseline'!$B$1:$L$257,10,FALSE)),"",(VLOOKUP($B191,'B-1 Site Hedge Baseline'!$B$1:$L$257,10,FALSE))))</f>
        <v/>
      </c>
      <c r="J191" s="175" t="str">
        <f>IF(B191="","",IF(ISNA(VLOOKUP($B191,'B-1 Site Hedge Baseline'!$B$1:$L$257,11,FALSE)),"",(VLOOKUP($B191,'B-1 Site Hedge Baseline'!$B$1:$L$257,11,FALSE))))</f>
        <v/>
      </c>
      <c r="K191" s="175" t="str">
        <f>IF(B191="","",IF(ISNA(VLOOKUP($B191,'B-1 Site Hedge Baseline'!$B$1:$U$257,13,FALSE)),"",(VLOOKUP($B191,'B-1 Site Hedge Baseline'!$B$1:$U$257,13,FALSE))))</f>
        <v/>
      </c>
      <c r="L191" s="176" t="str">
        <f>IF(B191="","",IF(ISNA(VLOOKUP($B191,'B-1 Site Hedge Baseline'!$B$1:$U$257,12,FALSE)),"",(VLOOKUP($B191,'B-1 Site Hedge Baseline'!$B$1:$U$257,12,FALSE))))</f>
        <v/>
      </c>
      <c r="M191" s="637"/>
      <c r="N191" s="171" t="str">
        <f>IFERROR(IF(B191="","",INDEX('G-6 Hedgerow Data'!$AN$3:$AZ$15,MATCH(C191,'G-6 Hedgerow Data'!$AM$3:$AM$15,0),MATCH(M191,'G-6 Hedgerow Data'!$AN$2:$AZ$2,0))),"")</f>
        <v/>
      </c>
      <c r="O191" s="172" t="str">
        <f t="shared" si="14"/>
        <v/>
      </c>
      <c r="P191" s="642" t="str">
        <f>IF(B191="","",VLOOKUP(B191,'B-1 Site Hedge Baseline'!$B$10:T436,16,FALSE))</f>
        <v/>
      </c>
      <c r="Q191" s="171" t="str">
        <f>IF(M191="","",VLOOKUP(M191,'G-6 Hedgerow Data'!$B$2:$AG$15,2,FALSE))</f>
        <v/>
      </c>
      <c r="R191" s="172" t="str">
        <f>IF(M191="","",VLOOKUP(M191,'G-6 Hedgerow Data'!$B$2:$AG$15,3,FALSE))</f>
        <v/>
      </c>
      <c r="S191" s="189"/>
      <c r="T191" s="269" t="str">
        <f>IFERROR(VLOOKUP(S191,'G-1 All Habitats'!$Z$2:$AA$9,2,FALSE),"")</f>
        <v/>
      </c>
      <c r="U191" s="186"/>
      <c r="V191" s="175" t="str">
        <f>IF(U191="","",IF(VLOOKUP(U191,'G-3 Multipliers'!$L$3:$N$6,2,FALSE)=0,"Spatial Data Missing",VLOOKUP(U191,'G-3 Multipliers'!$L$3:$N$6,2,FALSE)))</f>
        <v/>
      </c>
      <c r="W191" s="176" t="str">
        <f>IF(U191="","",IF(VLOOKUP(U191,'G-3 Multipliers'!$L$3:$N$6,3,FALSE)=0,"Spatial Data Missing",VLOOKUP(U191,'G-3 Multipliers'!$L$3:$N$6,3,FALSE)))</f>
        <v/>
      </c>
      <c r="X191" s="171" t="str">
        <f>IFERROR(IF(OR(LEFT(O191,5)="Error",LEFT(N191,5)="Error",T191="Error"),"Check Data",IF(F191&lt;R191,INDEX('G-6 Hedgerow Data'!$S$3:$AE$14,MATCH(C191,'G-6 Hedgerow Data'!$B$3:$B$14,0),MATCH(M191,'G-6 Hedgerow Data'!$S$2:$AE$2,0)),INDEX('G-6 Hedgerow Data'!$K$3:$Q$14,MATCH(M191,'G-6 Hedgerow Data'!$B$3:$B$14,0),MATCH(O191,'G-6 Hedgerow Data'!$K$2:$Q$2,0)))),"")</f>
        <v/>
      </c>
      <c r="Y191" s="261"/>
      <c r="Z191" s="261"/>
      <c r="AA191" s="179" t="str">
        <f t="shared" si="17"/>
        <v/>
      </c>
      <c r="AB191" s="262" t="str">
        <f t="shared" si="18"/>
        <v/>
      </c>
      <c r="AC191" s="263" t="str">
        <f t="shared" si="15"/>
        <v/>
      </c>
      <c r="AD191" s="239" t="str">
        <f>IF(M191="","",VLOOKUP(M191,'G-6 Hedgerow Data'!$B$3:$AG$15,31,FALSE))</f>
        <v/>
      </c>
      <c r="AE191" s="179" t="str">
        <f t="shared" si="19"/>
        <v/>
      </c>
      <c r="AF191" s="179" t="str">
        <f t="shared" si="20"/>
        <v/>
      </c>
      <c r="AG191" s="176" t="str">
        <f>IFERROR(IF(O191="","",VLOOKUP(AD191,'G-3 Multipliers'!$P$3:$Q$6,2,FALSE)),"")</f>
        <v/>
      </c>
      <c r="AH191" s="207" t="str">
        <f t="shared" si="16"/>
        <v/>
      </c>
      <c r="AI191" s="336"/>
      <c r="AJ191" s="181"/>
      <c r="AT191" s="35" t="str">
        <f>IFERROR(INDEX('G-6 Hedgerow Data'!$BJ$3:$BJ$15,MATCH(M191,'G-6 Hedgerow Data'!$B$3:$B$15,0)),"")</f>
        <v/>
      </c>
    </row>
    <row r="192" spans="2:46" ht="13.8" x14ac:dyDescent="0.25">
      <c r="B192" s="259" t="str">
        <f>'B-1 Site Hedge Baseline'!AK190</f>
        <v/>
      </c>
      <c r="C192" s="175" t="str">
        <f>IF(B192="","",IF(ISNA(VLOOKUP($B192,'B-1 Site Hedge Baseline'!$B$1:$L$257,3,FALSE)),"",(VLOOKUP($B192,'B-1 Site Hedge Baseline'!$B$1:$L$257,3,FALSE))))</f>
        <v/>
      </c>
      <c r="D192" s="175" t="str">
        <f>IF(B192="","",IF(ISNA(VLOOKUP($B192,'B-1 Site Hedge Baseline'!$B$1:$L$257,4,FALSE)),"",(VLOOKUP($B192,'B-1 Site Hedge Baseline'!$B$1:$L$257,4,FALSE))))</f>
        <v/>
      </c>
      <c r="E192" s="175" t="str">
        <f>IF(B192="","",IF(ISNA(VLOOKUP($B192,'B-1 Site Hedge Baseline'!$B$1:$L$257,5,FALSE)),"",(VLOOKUP($B192,'B-1 Site Hedge Baseline'!$B$1:$L$257,5,FALSE))))</f>
        <v/>
      </c>
      <c r="F192" s="175" t="str">
        <f>IF(B192="","",IF(ISNA(VLOOKUP($B192,'B-1 Site Hedge Baseline'!$B$1:$L$257,6,FALSE)),"",(VLOOKUP($B192,'B-1 Site Hedge Baseline'!$B$1:$L$257,6,FALSE))))</f>
        <v/>
      </c>
      <c r="G192" s="175" t="str">
        <f>IF(B192="","",IF(ISNA(VLOOKUP($B192,'B-1 Site Hedge Baseline'!$B$1:$L$257,7,FALSE)),"",(VLOOKUP($B192,'B-1 Site Hedge Baseline'!$B$1:$L$257,7,FALSE))))</f>
        <v/>
      </c>
      <c r="H192" s="175" t="str">
        <f>IF(B192="","",IF(ISNA(VLOOKUP($B192,'B-1 Site Hedge Baseline'!$B$1:$L$257,8,FALSE)),"",(VLOOKUP($B192,'B-1 Site Hedge Baseline'!$B$1:$L$257,8,FALSE))))</f>
        <v/>
      </c>
      <c r="I192" s="175" t="str">
        <f>IF(B192="","",IF(ISNA(VLOOKUP($B192,'B-1 Site Hedge Baseline'!$B$1:$L$257,10,FALSE)),"",(VLOOKUP($B192,'B-1 Site Hedge Baseline'!$B$1:$L$257,10,FALSE))))</f>
        <v/>
      </c>
      <c r="J192" s="175" t="str">
        <f>IF(B192="","",IF(ISNA(VLOOKUP($B192,'B-1 Site Hedge Baseline'!$B$1:$L$257,11,FALSE)),"",(VLOOKUP($B192,'B-1 Site Hedge Baseline'!$B$1:$L$257,11,FALSE))))</f>
        <v/>
      </c>
      <c r="K192" s="175" t="str">
        <f>IF(B192="","",IF(ISNA(VLOOKUP($B192,'B-1 Site Hedge Baseline'!$B$1:$U$257,13,FALSE)),"",(VLOOKUP($B192,'B-1 Site Hedge Baseline'!$B$1:$U$257,13,FALSE))))</f>
        <v/>
      </c>
      <c r="L192" s="176" t="str">
        <f>IF(B192="","",IF(ISNA(VLOOKUP($B192,'B-1 Site Hedge Baseline'!$B$1:$U$257,12,FALSE)),"",(VLOOKUP($B192,'B-1 Site Hedge Baseline'!$B$1:$U$257,12,FALSE))))</f>
        <v/>
      </c>
      <c r="M192" s="637"/>
      <c r="N192" s="171" t="str">
        <f>IFERROR(IF(B192="","",INDEX('G-6 Hedgerow Data'!$AN$3:$AZ$15,MATCH(C192,'G-6 Hedgerow Data'!$AM$3:$AM$15,0),MATCH(M192,'G-6 Hedgerow Data'!$AN$2:$AZ$2,0))),"")</f>
        <v/>
      </c>
      <c r="O192" s="172" t="str">
        <f t="shared" si="14"/>
        <v/>
      </c>
      <c r="P192" s="642" t="str">
        <f>IF(B192="","",VLOOKUP(B192,'B-1 Site Hedge Baseline'!$B$10:T437,16,FALSE))</f>
        <v/>
      </c>
      <c r="Q192" s="171" t="str">
        <f>IF(M192="","",VLOOKUP(M192,'G-6 Hedgerow Data'!$B$2:$AG$15,2,FALSE))</f>
        <v/>
      </c>
      <c r="R192" s="172" t="str">
        <f>IF(M192="","",VLOOKUP(M192,'G-6 Hedgerow Data'!$B$2:$AG$15,3,FALSE))</f>
        <v/>
      </c>
      <c r="S192" s="189"/>
      <c r="T192" s="269" t="str">
        <f>IFERROR(VLOOKUP(S192,'G-1 All Habitats'!$Z$2:$AA$9,2,FALSE),"")</f>
        <v/>
      </c>
      <c r="U192" s="186"/>
      <c r="V192" s="175" t="str">
        <f>IF(U192="","",IF(VLOOKUP(U192,'G-3 Multipliers'!$L$3:$N$6,2,FALSE)=0,"Spatial Data Missing",VLOOKUP(U192,'G-3 Multipliers'!$L$3:$N$6,2,FALSE)))</f>
        <v/>
      </c>
      <c r="W192" s="176" t="str">
        <f>IF(U192="","",IF(VLOOKUP(U192,'G-3 Multipliers'!$L$3:$N$6,3,FALSE)=0,"Spatial Data Missing",VLOOKUP(U192,'G-3 Multipliers'!$L$3:$N$6,3,FALSE)))</f>
        <v/>
      </c>
      <c r="X192" s="171" t="str">
        <f>IFERROR(IF(OR(LEFT(O192,5)="Error",LEFT(N192,5)="Error",T192="Error"),"Check Data",IF(F192&lt;R192,INDEX('G-6 Hedgerow Data'!$S$3:$AE$14,MATCH(C192,'G-6 Hedgerow Data'!$B$3:$B$14,0),MATCH(M192,'G-6 Hedgerow Data'!$S$2:$AE$2,0)),INDEX('G-6 Hedgerow Data'!$K$3:$Q$14,MATCH(M192,'G-6 Hedgerow Data'!$B$3:$B$14,0),MATCH(O192,'G-6 Hedgerow Data'!$K$2:$Q$2,0)))),"")</f>
        <v/>
      </c>
      <c r="Y192" s="261"/>
      <c r="Z192" s="261"/>
      <c r="AA192" s="179" t="str">
        <f t="shared" si="17"/>
        <v/>
      </c>
      <c r="AB192" s="262" t="str">
        <f t="shared" si="18"/>
        <v/>
      </c>
      <c r="AC192" s="263" t="str">
        <f t="shared" si="15"/>
        <v/>
      </c>
      <c r="AD192" s="239" t="str">
        <f>IF(M192="","",VLOOKUP(M192,'G-6 Hedgerow Data'!$B$3:$AG$15,31,FALSE))</f>
        <v/>
      </c>
      <c r="AE192" s="179" t="str">
        <f t="shared" si="19"/>
        <v/>
      </c>
      <c r="AF192" s="179" t="str">
        <f t="shared" si="20"/>
        <v/>
      </c>
      <c r="AG192" s="176" t="str">
        <f>IFERROR(IF(O192="","",VLOOKUP(AD192,'G-3 Multipliers'!$P$3:$Q$6,2,FALSE)),"")</f>
        <v/>
      </c>
      <c r="AH192" s="207" t="str">
        <f t="shared" si="16"/>
        <v/>
      </c>
      <c r="AI192" s="336"/>
      <c r="AJ192" s="181"/>
      <c r="AT192" s="35" t="str">
        <f>IFERROR(INDEX('G-6 Hedgerow Data'!$BJ$3:$BJ$15,MATCH(M192,'G-6 Hedgerow Data'!$B$3:$B$15,0)),"")</f>
        <v/>
      </c>
    </row>
    <row r="193" spans="2:46" ht="13.8" x14ac:dyDescent="0.25">
      <c r="B193" s="259" t="str">
        <f>'B-1 Site Hedge Baseline'!AK191</f>
        <v/>
      </c>
      <c r="C193" s="175" t="str">
        <f>IF(B193="","",IF(ISNA(VLOOKUP($B193,'B-1 Site Hedge Baseline'!$B$1:$L$257,3,FALSE)),"",(VLOOKUP($B193,'B-1 Site Hedge Baseline'!$B$1:$L$257,3,FALSE))))</f>
        <v/>
      </c>
      <c r="D193" s="175" t="str">
        <f>IF(B193="","",IF(ISNA(VLOOKUP($B193,'B-1 Site Hedge Baseline'!$B$1:$L$257,4,FALSE)),"",(VLOOKUP($B193,'B-1 Site Hedge Baseline'!$B$1:$L$257,4,FALSE))))</f>
        <v/>
      </c>
      <c r="E193" s="175" t="str">
        <f>IF(B193="","",IF(ISNA(VLOOKUP($B193,'B-1 Site Hedge Baseline'!$B$1:$L$257,5,FALSE)),"",(VLOOKUP($B193,'B-1 Site Hedge Baseline'!$B$1:$L$257,5,FALSE))))</f>
        <v/>
      </c>
      <c r="F193" s="175" t="str">
        <f>IF(B193="","",IF(ISNA(VLOOKUP($B193,'B-1 Site Hedge Baseline'!$B$1:$L$257,6,FALSE)),"",(VLOOKUP($B193,'B-1 Site Hedge Baseline'!$B$1:$L$257,6,FALSE))))</f>
        <v/>
      </c>
      <c r="G193" s="175" t="str">
        <f>IF(B193="","",IF(ISNA(VLOOKUP($B193,'B-1 Site Hedge Baseline'!$B$1:$L$257,7,FALSE)),"",(VLOOKUP($B193,'B-1 Site Hedge Baseline'!$B$1:$L$257,7,FALSE))))</f>
        <v/>
      </c>
      <c r="H193" s="175" t="str">
        <f>IF(B193="","",IF(ISNA(VLOOKUP($B193,'B-1 Site Hedge Baseline'!$B$1:$L$257,8,FALSE)),"",(VLOOKUP($B193,'B-1 Site Hedge Baseline'!$B$1:$L$257,8,FALSE))))</f>
        <v/>
      </c>
      <c r="I193" s="175" t="str">
        <f>IF(B193="","",IF(ISNA(VLOOKUP($B193,'B-1 Site Hedge Baseline'!$B$1:$L$257,10,FALSE)),"",(VLOOKUP($B193,'B-1 Site Hedge Baseline'!$B$1:$L$257,10,FALSE))))</f>
        <v/>
      </c>
      <c r="J193" s="175" t="str">
        <f>IF(B193="","",IF(ISNA(VLOOKUP($B193,'B-1 Site Hedge Baseline'!$B$1:$L$257,11,FALSE)),"",(VLOOKUP($B193,'B-1 Site Hedge Baseline'!$B$1:$L$257,11,FALSE))))</f>
        <v/>
      </c>
      <c r="K193" s="175" t="str">
        <f>IF(B193="","",IF(ISNA(VLOOKUP($B193,'B-1 Site Hedge Baseline'!$B$1:$U$257,13,FALSE)),"",(VLOOKUP($B193,'B-1 Site Hedge Baseline'!$B$1:$U$257,13,FALSE))))</f>
        <v/>
      </c>
      <c r="L193" s="176" t="str">
        <f>IF(B193="","",IF(ISNA(VLOOKUP($B193,'B-1 Site Hedge Baseline'!$B$1:$U$257,12,FALSE)),"",(VLOOKUP($B193,'B-1 Site Hedge Baseline'!$B$1:$U$257,12,FALSE))))</f>
        <v/>
      </c>
      <c r="M193" s="637"/>
      <c r="N193" s="171" t="str">
        <f>IFERROR(IF(B193="","",INDEX('G-6 Hedgerow Data'!$AN$3:$AZ$15,MATCH(C193,'G-6 Hedgerow Data'!$AM$3:$AM$15,0),MATCH(M193,'G-6 Hedgerow Data'!$AN$2:$AZ$2,0))),"")</f>
        <v/>
      </c>
      <c r="O193" s="172" t="str">
        <f t="shared" si="14"/>
        <v/>
      </c>
      <c r="P193" s="642" t="str">
        <f>IF(B193="","",VLOOKUP(B193,'B-1 Site Hedge Baseline'!$B$10:T438,16,FALSE))</f>
        <v/>
      </c>
      <c r="Q193" s="171" t="str">
        <f>IF(M193="","",VLOOKUP(M193,'G-6 Hedgerow Data'!$B$2:$AG$15,2,FALSE))</f>
        <v/>
      </c>
      <c r="R193" s="172" t="str">
        <f>IF(M193="","",VLOOKUP(M193,'G-6 Hedgerow Data'!$B$2:$AG$15,3,FALSE))</f>
        <v/>
      </c>
      <c r="S193" s="189"/>
      <c r="T193" s="269" t="str">
        <f>IFERROR(VLOOKUP(S193,'G-1 All Habitats'!$Z$2:$AA$9,2,FALSE),"")</f>
        <v/>
      </c>
      <c r="U193" s="186"/>
      <c r="V193" s="175" t="str">
        <f>IF(U193="","",IF(VLOOKUP(U193,'G-3 Multipliers'!$L$3:$N$6,2,FALSE)=0,"Spatial Data Missing",VLOOKUP(U193,'G-3 Multipliers'!$L$3:$N$6,2,FALSE)))</f>
        <v/>
      </c>
      <c r="W193" s="176" t="str">
        <f>IF(U193="","",IF(VLOOKUP(U193,'G-3 Multipliers'!$L$3:$N$6,3,FALSE)=0,"Spatial Data Missing",VLOOKUP(U193,'G-3 Multipliers'!$L$3:$N$6,3,FALSE)))</f>
        <v/>
      </c>
      <c r="X193" s="171" t="str">
        <f>IFERROR(IF(OR(LEFT(O193,5)="Error",LEFT(N193,5)="Error",T193="Error"),"Check Data",IF(F193&lt;R193,INDEX('G-6 Hedgerow Data'!$S$3:$AE$14,MATCH(C193,'G-6 Hedgerow Data'!$B$3:$B$14,0),MATCH(M193,'G-6 Hedgerow Data'!$S$2:$AE$2,0)),INDEX('G-6 Hedgerow Data'!$K$3:$Q$14,MATCH(M193,'G-6 Hedgerow Data'!$B$3:$B$14,0),MATCH(O193,'G-6 Hedgerow Data'!$K$2:$Q$2,0)))),"")</f>
        <v/>
      </c>
      <c r="Y193" s="261"/>
      <c r="Z193" s="261"/>
      <c r="AA193" s="179" t="str">
        <f t="shared" si="17"/>
        <v/>
      </c>
      <c r="AB193" s="262" t="str">
        <f t="shared" si="18"/>
        <v/>
      </c>
      <c r="AC193" s="263" t="str">
        <f t="shared" si="15"/>
        <v/>
      </c>
      <c r="AD193" s="239" t="str">
        <f>IF(M193="","",VLOOKUP(M193,'G-6 Hedgerow Data'!$B$3:$AG$15,31,FALSE))</f>
        <v/>
      </c>
      <c r="AE193" s="179" t="str">
        <f t="shared" si="19"/>
        <v/>
      </c>
      <c r="AF193" s="179" t="str">
        <f t="shared" si="20"/>
        <v/>
      </c>
      <c r="AG193" s="176" t="str">
        <f>IFERROR(IF(O193="","",VLOOKUP(AD193,'G-3 Multipliers'!$P$3:$Q$6,2,FALSE)),"")</f>
        <v/>
      </c>
      <c r="AH193" s="207" t="str">
        <f t="shared" si="16"/>
        <v/>
      </c>
      <c r="AI193" s="336"/>
      <c r="AJ193" s="181"/>
      <c r="AT193" s="35" t="str">
        <f>IFERROR(INDEX('G-6 Hedgerow Data'!$BJ$3:$BJ$15,MATCH(M193,'G-6 Hedgerow Data'!$B$3:$B$15,0)),"")</f>
        <v/>
      </c>
    </row>
    <row r="194" spans="2:46" ht="13.8" x14ac:dyDescent="0.25">
      <c r="B194" s="259" t="str">
        <f>'B-1 Site Hedge Baseline'!AK192</f>
        <v/>
      </c>
      <c r="C194" s="175" t="str">
        <f>IF(B194="","",IF(ISNA(VLOOKUP($B194,'B-1 Site Hedge Baseline'!$B$1:$L$257,3,FALSE)),"",(VLOOKUP($B194,'B-1 Site Hedge Baseline'!$B$1:$L$257,3,FALSE))))</f>
        <v/>
      </c>
      <c r="D194" s="175" t="str">
        <f>IF(B194="","",IF(ISNA(VLOOKUP($B194,'B-1 Site Hedge Baseline'!$B$1:$L$257,4,FALSE)),"",(VLOOKUP($B194,'B-1 Site Hedge Baseline'!$B$1:$L$257,4,FALSE))))</f>
        <v/>
      </c>
      <c r="E194" s="175" t="str">
        <f>IF(B194="","",IF(ISNA(VLOOKUP($B194,'B-1 Site Hedge Baseline'!$B$1:$L$257,5,FALSE)),"",(VLOOKUP($B194,'B-1 Site Hedge Baseline'!$B$1:$L$257,5,FALSE))))</f>
        <v/>
      </c>
      <c r="F194" s="175" t="str">
        <f>IF(B194="","",IF(ISNA(VLOOKUP($B194,'B-1 Site Hedge Baseline'!$B$1:$L$257,6,FALSE)),"",(VLOOKUP($B194,'B-1 Site Hedge Baseline'!$B$1:$L$257,6,FALSE))))</f>
        <v/>
      </c>
      <c r="G194" s="175" t="str">
        <f>IF(B194="","",IF(ISNA(VLOOKUP($B194,'B-1 Site Hedge Baseline'!$B$1:$L$257,7,FALSE)),"",(VLOOKUP($B194,'B-1 Site Hedge Baseline'!$B$1:$L$257,7,FALSE))))</f>
        <v/>
      </c>
      <c r="H194" s="175" t="str">
        <f>IF(B194="","",IF(ISNA(VLOOKUP($B194,'B-1 Site Hedge Baseline'!$B$1:$L$257,8,FALSE)),"",(VLOOKUP($B194,'B-1 Site Hedge Baseline'!$B$1:$L$257,8,FALSE))))</f>
        <v/>
      </c>
      <c r="I194" s="175" t="str">
        <f>IF(B194="","",IF(ISNA(VLOOKUP($B194,'B-1 Site Hedge Baseline'!$B$1:$L$257,10,FALSE)),"",(VLOOKUP($B194,'B-1 Site Hedge Baseline'!$B$1:$L$257,10,FALSE))))</f>
        <v/>
      </c>
      <c r="J194" s="175" t="str">
        <f>IF(B194="","",IF(ISNA(VLOOKUP($B194,'B-1 Site Hedge Baseline'!$B$1:$L$257,11,FALSE)),"",(VLOOKUP($B194,'B-1 Site Hedge Baseline'!$B$1:$L$257,11,FALSE))))</f>
        <v/>
      </c>
      <c r="K194" s="175" t="str">
        <f>IF(B194="","",IF(ISNA(VLOOKUP($B194,'B-1 Site Hedge Baseline'!$B$1:$U$257,13,FALSE)),"",(VLOOKUP($B194,'B-1 Site Hedge Baseline'!$B$1:$U$257,13,FALSE))))</f>
        <v/>
      </c>
      <c r="L194" s="176" t="str">
        <f>IF(B194="","",IF(ISNA(VLOOKUP($B194,'B-1 Site Hedge Baseline'!$B$1:$U$257,12,FALSE)),"",(VLOOKUP($B194,'B-1 Site Hedge Baseline'!$B$1:$U$257,12,FALSE))))</f>
        <v/>
      </c>
      <c r="M194" s="637"/>
      <c r="N194" s="171" t="str">
        <f>IFERROR(IF(B194="","",INDEX('G-6 Hedgerow Data'!$AN$3:$AZ$15,MATCH(C194,'G-6 Hedgerow Data'!$AM$3:$AM$15,0),MATCH(M194,'G-6 Hedgerow Data'!$AN$2:$AZ$2,0))),"")</f>
        <v/>
      </c>
      <c r="O194" s="172" t="str">
        <f t="shared" si="14"/>
        <v/>
      </c>
      <c r="P194" s="642" t="str">
        <f>IF(B194="","",VLOOKUP(B194,'B-1 Site Hedge Baseline'!$B$10:T439,16,FALSE))</f>
        <v/>
      </c>
      <c r="Q194" s="171" t="str">
        <f>IF(M194="","",VLOOKUP(M194,'G-6 Hedgerow Data'!$B$2:$AG$15,2,FALSE))</f>
        <v/>
      </c>
      <c r="R194" s="172" t="str">
        <f>IF(M194="","",VLOOKUP(M194,'G-6 Hedgerow Data'!$B$2:$AG$15,3,FALSE))</f>
        <v/>
      </c>
      <c r="S194" s="189"/>
      <c r="T194" s="269" t="str">
        <f>IFERROR(VLOOKUP(S194,'G-1 All Habitats'!$Z$2:$AA$9,2,FALSE),"")</f>
        <v/>
      </c>
      <c r="U194" s="186"/>
      <c r="V194" s="175" t="str">
        <f>IF(U194="","",IF(VLOOKUP(U194,'G-3 Multipliers'!$L$3:$N$6,2,FALSE)=0,"Spatial Data Missing",VLOOKUP(U194,'G-3 Multipliers'!$L$3:$N$6,2,FALSE)))</f>
        <v/>
      </c>
      <c r="W194" s="176" t="str">
        <f>IF(U194="","",IF(VLOOKUP(U194,'G-3 Multipliers'!$L$3:$N$6,3,FALSE)=0,"Spatial Data Missing",VLOOKUP(U194,'G-3 Multipliers'!$L$3:$N$6,3,FALSE)))</f>
        <v/>
      </c>
      <c r="X194" s="171" t="str">
        <f>IFERROR(IF(OR(LEFT(O194,5)="Error",LEFT(N194,5)="Error",T194="Error"),"Check Data",IF(F194&lt;R194,INDEX('G-6 Hedgerow Data'!$S$3:$AE$14,MATCH(C194,'G-6 Hedgerow Data'!$B$3:$B$14,0),MATCH(M194,'G-6 Hedgerow Data'!$S$2:$AE$2,0)),INDEX('G-6 Hedgerow Data'!$K$3:$Q$14,MATCH(M194,'G-6 Hedgerow Data'!$B$3:$B$14,0),MATCH(O194,'G-6 Hedgerow Data'!$K$2:$Q$2,0)))),"")</f>
        <v/>
      </c>
      <c r="Y194" s="261"/>
      <c r="Z194" s="261"/>
      <c r="AA194" s="179" t="str">
        <f t="shared" si="17"/>
        <v/>
      </c>
      <c r="AB194" s="262" t="str">
        <f t="shared" si="18"/>
        <v/>
      </c>
      <c r="AC194" s="263" t="str">
        <f t="shared" si="15"/>
        <v/>
      </c>
      <c r="AD194" s="239" t="str">
        <f>IF(M194="","",VLOOKUP(M194,'G-6 Hedgerow Data'!$B$3:$AG$15,31,FALSE))</f>
        <v/>
      </c>
      <c r="AE194" s="179" t="str">
        <f t="shared" si="19"/>
        <v/>
      </c>
      <c r="AF194" s="179" t="str">
        <f t="shared" si="20"/>
        <v/>
      </c>
      <c r="AG194" s="176" t="str">
        <f>IFERROR(IF(O194="","",VLOOKUP(AD194,'G-3 Multipliers'!$P$3:$Q$6,2,FALSE)),"")</f>
        <v/>
      </c>
      <c r="AH194" s="207" t="str">
        <f t="shared" si="16"/>
        <v/>
      </c>
      <c r="AI194" s="336"/>
      <c r="AJ194" s="181"/>
      <c r="AT194" s="35" t="str">
        <f>IFERROR(INDEX('G-6 Hedgerow Data'!$BJ$3:$BJ$15,MATCH(M194,'G-6 Hedgerow Data'!$B$3:$B$15,0)),"")</f>
        <v/>
      </c>
    </row>
    <row r="195" spans="2:46" ht="13.8" x14ac:dyDescent="0.25">
      <c r="B195" s="259" t="str">
        <f>'B-1 Site Hedge Baseline'!AK193</f>
        <v/>
      </c>
      <c r="C195" s="175" t="str">
        <f>IF(B195="","",IF(ISNA(VLOOKUP($B195,'B-1 Site Hedge Baseline'!$B$1:$L$257,3,FALSE)),"",(VLOOKUP($B195,'B-1 Site Hedge Baseline'!$B$1:$L$257,3,FALSE))))</f>
        <v/>
      </c>
      <c r="D195" s="175" t="str">
        <f>IF(B195="","",IF(ISNA(VLOOKUP($B195,'B-1 Site Hedge Baseline'!$B$1:$L$257,4,FALSE)),"",(VLOOKUP($B195,'B-1 Site Hedge Baseline'!$B$1:$L$257,4,FALSE))))</f>
        <v/>
      </c>
      <c r="E195" s="175" t="str">
        <f>IF(B195="","",IF(ISNA(VLOOKUP($B195,'B-1 Site Hedge Baseline'!$B$1:$L$257,5,FALSE)),"",(VLOOKUP($B195,'B-1 Site Hedge Baseline'!$B$1:$L$257,5,FALSE))))</f>
        <v/>
      </c>
      <c r="F195" s="175" t="str">
        <f>IF(B195="","",IF(ISNA(VLOOKUP($B195,'B-1 Site Hedge Baseline'!$B$1:$L$257,6,FALSE)),"",(VLOOKUP($B195,'B-1 Site Hedge Baseline'!$B$1:$L$257,6,FALSE))))</f>
        <v/>
      </c>
      <c r="G195" s="175" t="str">
        <f>IF(B195="","",IF(ISNA(VLOOKUP($B195,'B-1 Site Hedge Baseline'!$B$1:$L$257,7,FALSE)),"",(VLOOKUP($B195,'B-1 Site Hedge Baseline'!$B$1:$L$257,7,FALSE))))</f>
        <v/>
      </c>
      <c r="H195" s="175" t="str">
        <f>IF(B195="","",IF(ISNA(VLOOKUP($B195,'B-1 Site Hedge Baseline'!$B$1:$L$257,8,FALSE)),"",(VLOOKUP($B195,'B-1 Site Hedge Baseline'!$B$1:$L$257,8,FALSE))))</f>
        <v/>
      </c>
      <c r="I195" s="175" t="str">
        <f>IF(B195="","",IF(ISNA(VLOOKUP($B195,'B-1 Site Hedge Baseline'!$B$1:$L$257,10,FALSE)),"",(VLOOKUP($B195,'B-1 Site Hedge Baseline'!$B$1:$L$257,10,FALSE))))</f>
        <v/>
      </c>
      <c r="J195" s="175" t="str">
        <f>IF(B195="","",IF(ISNA(VLOOKUP($B195,'B-1 Site Hedge Baseline'!$B$1:$L$257,11,FALSE)),"",(VLOOKUP($B195,'B-1 Site Hedge Baseline'!$B$1:$L$257,11,FALSE))))</f>
        <v/>
      </c>
      <c r="K195" s="175" t="str">
        <f>IF(B195="","",IF(ISNA(VLOOKUP($B195,'B-1 Site Hedge Baseline'!$B$1:$U$257,13,FALSE)),"",(VLOOKUP($B195,'B-1 Site Hedge Baseline'!$B$1:$U$257,13,FALSE))))</f>
        <v/>
      </c>
      <c r="L195" s="176" t="str">
        <f>IF(B195="","",IF(ISNA(VLOOKUP($B195,'B-1 Site Hedge Baseline'!$B$1:$U$257,12,FALSE)),"",(VLOOKUP($B195,'B-1 Site Hedge Baseline'!$B$1:$U$257,12,FALSE))))</f>
        <v/>
      </c>
      <c r="M195" s="637"/>
      <c r="N195" s="171" t="str">
        <f>IFERROR(IF(B195="","",INDEX('G-6 Hedgerow Data'!$AN$3:$AZ$15,MATCH(C195,'G-6 Hedgerow Data'!$AM$3:$AM$15,0),MATCH(M195,'G-6 Hedgerow Data'!$AN$2:$AZ$2,0))),"")</f>
        <v/>
      </c>
      <c r="O195" s="172" t="str">
        <f t="shared" si="14"/>
        <v/>
      </c>
      <c r="P195" s="642" t="str">
        <f>IF(B195="","",VLOOKUP(B195,'B-1 Site Hedge Baseline'!$B$10:T440,16,FALSE))</f>
        <v/>
      </c>
      <c r="Q195" s="171" t="str">
        <f>IF(M195="","",VLOOKUP(M195,'G-6 Hedgerow Data'!$B$2:$AG$15,2,FALSE))</f>
        <v/>
      </c>
      <c r="R195" s="172" t="str">
        <f>IF(M195="","",VLOOKUP(M195,'G-6 Hedgerow Data'!$B$2:$AG$15,3,FALSE))</f>
        <v/>
      </c>
      <c r="S195" s="189"/>
      <c r="T195" s="269" t="str">
        <f>IFERROR(VLOOKUP(S195,'G-1 All Habitats'!$Z$2:$AA$9,2,FALSE),"")</f>
        <v/>
      </c>
      <c r="U195" s="186"/>
      <c r="V195" s="175" t="str">
        <f>IF(U195="","",IF(VLOOKUP(U195,'G-3 Multipliers'!$L$3:$N$6,2,FALSE)=0,"Spatial Data Missing",VLOOKUP(U195,'G-3 Multipliers'!$L$3:$N$6,2,FALSE)))</f>
        <v/>
      </c>
      <c r="W195" s="176" t="str">
        <f>IF(U195="","",IF(VLOOKUP(U195,'G-3 Multipliers'!$L$3:$N$6,3,FALSE)=0,"Spatial Data Missing",VLOOKUP(U195,'G-3 Multipliers'!$L$3:$N$6,3,FALSE)))</f>
        <v/>
      </c>
      <c r="X195" s="171" t="str">
        <f>IFERROR(IF(OR(LEFT(O195,5)="Error",LEFT(N195,5)="Error",T195="Error"),"Check Data",IF(F195&lt;R195,INDEX('G-6 Hedgerow Data'!$S$3:$AE$14,MATCH(C195,'G-6 Hedgerow Data'!$B$3:$B$14,0),MATCH(M195,'G-6 Hedgerow Data'!$S$2:$AE$2,0)),INDEX('G-6 Hedgerow Data'!$K$3:$Q$14,MATCH(M195,'G-6 Hedgerow Data'!$B$3:$B$14,0),MATCH(O195,'G-6 Hedgerow Data'!$K$2:$Q$2,0)))),"")</f>
        <v/>
      </c>
      <c r="Y195" s="261"/>
      <c r="Z195" s="261"/>
      <c r="AA195" s="179" t="str">
        <f t="shared" si="17"/>
        <v/>
      </c>
      <c r="AB195" s="262" t="str">
        <f t="shared" si="18"/>
        <v/>
      </c>
      <c r="AC195" s="263" t="str">
        <f t="shared" si="15"/>
        <v/>
      </c>
      <c r="AD195" s="239" t="str">
        <f>IF(M195="","",VLOOKUP(M195,'G-6 Hedgerow Data'!$B$3:$AG$15,31,FALSE))</f>
        <v/>
      </c>
      <c r="AE195" s="179" t="str">
        <f t="shared" si="19"/>
        <v/>
      </c>
      <c r="AF195" s="179" t="str">
        <f t="shared" si="20"/>
        <v/>
      </c>
      <c r="AG195" s="176" t="str">
        <f>IFERROR(IF(O195="","",VLOOKUP(AD195,'G-3 Multipliers'!$P$3:$Q$6,2,FALSE)),"")</f>
        <v/>
      </c>
      <c r="AH195" s="207" t="str">
        <f t="shared" si="16"/>
        <v/>
      </c>
      <c r="AI195" s="336"/>
      <c r="AJ195" s="181"/>
      <c r="AT195" s="35" t="str">
        <f>IFERROR(INDEX('G-6 Hedgerow Data'!$BJ$3:$BJ$15,MATCH(M195,'G-6 Hedgerow Data'!$B$3:$B$15,0)),"")</f>
        <v/>
      </c>
    </row>
    <row r="196" spans="2:46" ht="13.8" x14ac:dyDescent="0.25">
      <c r="B196" s="259" t="str">
        <f>'B-1 Site Hedge Baseline'!AK194</f>
        <v/>
      </c>
      <c r="C196" s="175" t="str">
        <f>IF(B196="","",IF(ISNA(VLOOKUP($B196,'B-1 Site Hedge Baseline'!$B$1:$L$257,3,FALSE)),"",(VLOOKUP($B196,'B-1 Site Hedge Baseline'!$B$1:$L$257,3,FALSE))))</f>
        <v/>
      </c>
      <c r="D196" s="175" t="str">
        <f>IF(B196="","",IF(ISNA(VLOOKUP($B196,'B-1 Site Hedge Baseline'!$B$1:$L$257,4,FALSE)),"",(VLOOKUP($B196,'B-1 Site Hedge Baseline'!$B$1:$L$257,4,FALSE))))</f>
        <v/>
      </c>
      <c r="E196" s="175" t="str">
        <f>IF(B196="","",IF(ISNA(VLOOKUP($B196,'B-1 Site Hedge Baseline'!$B$1:$L$257,5,FALSE)),"",(VLOOKUP($B196,'B-1 Site Hedge Baseline'!$B$1:$L$257,5,FALSE))))</f>
        <v/>
      </c>
      <c r="F196" s="175" t="str">
        <f>IF(B196="","",IF(ISNA(VLOOKUP($B196,'B-1 Site Hedge Baseline'!$B$1:$L$257,6,FALSE)),"",(VLOOKUP($B196,'B-1 Site Hedge Baseline'!$B$1:$L$257,6,FALSE))))</f>
        <v/>
      </c>
      <c r="G196" s="175" t="str">
        <f>IF(B196="","",IF(ISNA(VLOOKUP($B196,'B-1 Site Hedge Baseline'!$B$1:$L$257,7,FALSE)),"",(VLOOKUP($B196,'B-1 Site Hedge Baseline'!$B$1:$L$257,7,FALSE))))</f>
        <v/>
      </c>
      <c r="H196" s="175" t="str">
        <f>IF(B196="","",IF(ISNA(VLOOKUP($B196,'B-1 Site Hedge Baseline'!$B$1:$L$257,8,FALSE)),"",(VLOOKUP($B196,'B-1 Site Hedge Baseline'!$B$1:$L$257,8,FALSE))))</f>
        <v/>
      </c>
      <c r="I196" s="175" t="str">
        <f>IF(B196="","",IF(ISNA(VLOOKUP($B196,'B-1 Site Hedge Baseline'!$B$1:$L$257,10,FALSE)),"",(VLOOKUP($B196,'B-1 Site Hedge Baseline'!$B$1:$L$257,10,FALSE))))</f>
        <v/>
      </c>
      <c r="J196" s="175" t="str">
        <f>IF(B196="","",IF(ISNA(VLOOKUP($B196,'B-1 Site Hedge Baseline'!$B$1:$L$257,11,FALSE)),"",(VLOOKUP($B196,'B-1 Site Hedge Baseline'!$B$1:$L$257,11,FALSE))))</f>
        <v/>
      </c>
      <c r="K196" s="175" t="str">
        <f>IF(B196="","",IF(ISNA(VLOOKUP($B196,'B-1 Site Hedge Baseline'!$B$1:$U$257,13,FALSE)),"",(VLOOKUP($B196,'B-1 Site Hedge Baseline'!$B$1:$U$257,13,FALSE))))</f>
        <v/>
      </c>
      <c r="L196" s="176" t="str">
        <f>IF(B196="","",IF(ISNA(VLOOKUP($B196,'B-1 Site Hedge Baseline'!$B$1:$U$257,12,FALSE)),"",(VLOOKUP($B196,'B-1 Site Hedge Baseline'!$B$1:$U$257,12,FALSE))))</f>
        <v/>
      </c>
      <c r="M196" s="637"/>
      <c r="N196" s="171" t="str">
        <f>IFERROR(IF(B196="","",INDEX('G-6 Hedgerow Data'!$AN$3:$AZ$15,MATCH(C196,'G-6 Hedgerow Data'!$AM$3:$AM$15,0),MATCH(M196,'G-6 Hedgerow Data'!$AN$2:$AZ$2,0))),"")</f>
        <v/>
      </c>
      <c r="O196" s="172" t="str">
        <f t="shared" si="14"/>
        <v/>
      </c>
      <c r="P196" s="642" t="str">
        <f>IF(B196="","",VLOOKUP(B196,'B-1 Site Hedge Baseline'!$B$10:T441,16,FALSE))</f>
        <v/>
      </c>
      <c r="Q196" s="171" t="str">
        <f>IF(M196="","",VLOOKUP(M196,'G-6 Hedgerow Data'!$B$2:$AG$15,2,FALSE))</f>
        <v/>
      </c>
      <c r="R196" s="172" t="str">
        <f>IF(M196="","",VLOOKUP(M196,'G-6 Hedgerow Data'!$B$2:$AG$15,3,FALSE))</f>
        <v/>
      </c>
      <c r="S196" s="189"/>
      <c r="T196" s="269" t="str">
        <f>IFERROR(VLOOKUP(S196,'G-1 All Habitats'!$Z$2:$AA$9,2,FALSE),"")</f>
        <v/>
      </c>
      <c r="U196" s="186"/>
      <c r="V196" s="175" t="str">
        <f>IF(U196="","",IF(VLOOKUP(U196,'G-3 Multipliers'!$L$3:$N$6,2,FALSE)=0,"Spatial Data Missing",VLOOKUP(U196,'G-3 Multipliers'!$L$3:$N$6,2,FALSE)))</f>
        <v/>
      </c>
      <c r="W196" s="176" t="str">
        <f>IF(U196="","",IF(VLOOKUP(U196,'G-3 Multipliers'!$L$3:$N$6,3,FALSE)=0,"Spatial Data Missing",VLOOKUP(U196,'G-3 Multipliers'!$L$3:$N$6,3,FALSE)))</f>
        <v/>
      </c>
      <c r="X196" s="171" t="str">
        <f>IFERROR(IF(OR(LEFT(O196,5)="Error",LEFT(N196,5)="Error",T196="Error"),"Check Data",IF(F196&lt;R196,INDEX('G-6 Hedgerow Data'!$S$3:$AE$14,MATCH(C196,'G-6 Hedgerow Data'!$B$3:$B$14,0),MATCH(M196,'G-6 Hedgerow Data'!$S$2:$AE$2,0)),INDEX('G-6 Hedgerow Data'!$K$3:$Q$14,MATCH(M196,'G-6 Hedgerow Data'!$B$3:$B$14,0),MATCH(O196,'G-6 Hedgerow Data'!$K$2:$Q$2,0)))),"")</f>
        <v/>
      </c>
      <c r="Y196" s="261"/>
      <c r="Z196" s="261"/>
      <c r="AA196" s="179" t="str">
        <f t="shared" si="17"/>
        <v/>
      </c>
      <c r="AB196" s="262" t="str">
        <f t="shared" si="18"/>
        <v/>
      </c>
      <c r="AC196" s="263" t="str">
        <f t="shared" si="15"/>
        <v/>
      </c>
      <c r="AD196" s="239" t="str">
        <f>IF(M196="","",VLOOKUP(M196,'G-6 Hedgerow Data'!$B$3:$AG$15,31,FALSE))</f>
        <v/>
      </c>
      <c r="AE196" s="179" t="str">
        <f t="shared" si="19"/>
        <v/>
      </c>
      <c r="AF196" s="179" t="str">
        <f t="shared" si="20"/>
        <v/>
      </c>
      <c r="AG196" s="176" t="str">
        <f>IFERROR(IF(O196="","",VLOOKUP(AD196,'G-3 Multipliers'!$P$3:$Q$6,2,FALSE)),"")</f>
        <v/>
      </c>
      <c r="AH196" s="207" t="str">
        <f t="shared" si="16"/>
        <v/>
      </c>
      <c r="AI196" s="336"/>
      <c r="AJ196" s="181"/>
      <c r="AT196" s="35" t="str">
        <f>IFERROR(INDEX('G-6 Hedgerow Data'!$BJ$3:$BJ$15,MATCH(M196,'G-6 Hedgerow Data'!$B$3:$B$15,0)),"")</f>
        <v/>
      </c>
    </row>
    <row r="197" spans="2:46" ht="13.8" x14ac:dyDescent="0.25">
      <c r="B197" s="259" t="str">
        <f>'B-1 Site Hedge Baseline'!AK195</f>
        <v/>
      </c>
      <c r="C197" s="175" t="str">
        <f>IF(B197="","",IF(ISNA(VLOOKUP($B197,'B-1 Site Hedge Baseline'!$B$1:$L$257,3,FALSE)),"",(VLOOKUP($B197,'B-1 Site Hedge Baseline'!$B$1:$L$257,3,FALSE))))</f>
        <v/>
      </c>
      <c r="D197" s="175" t="str">
        <f>IF(B197="","",IF(ISNA(VLOOKUP($B197,'B-1 Site Hedge Baseline'!$B$1:$L$257,4,FALSE)),"",(VLOOKUP($B197,'B-1 Site Hedge Baseline'!$B$1:$L$257,4,FALSE))))</f>
        <v/>
      </c>
      <c r="E197" s="175" t="str">
        <f>IF(B197="","",IF(ISNA(VLOOKUP($B197,'B-1 Site Hedge Baseline'!$B$1:$L$257,5,FALSE)),"",(VLOOKUP($B197,'B-1 Site Hedge Baseline'!$B$1:$L$257,5,FALSE))))</f>
        <v/>
      </c>
      <c r="F197" s="175" t="str">
        <f>IF(B197="","",IF(ISNA(VLOOKUP($B197,'B-1 Site Hedge Baseline'!$B$1:$L$257,6,FALSE)),"",(VLOOKUP($B197,'B-1 Site Hedge Baseline'!$B$1:$L$257,6,FALSE))))</f>
        <v/>
      </c>
      <c r="G197" s="175" t="str">
        <f>IF(B197="","",IF(ISNA(VLOOKUP($B197,'B-1 Site Hedge Baseline'!$B$1:$L$257,7,FALSE)),"",(VLOOKUP($B197,'B-1 Site Hedge Baseline'!$B$1:$L$257,7,FALSE))))</f>
        <v/>
      </c>
      <c r="H197" s="175" t="str">
        <f>IF(B197="","",IF(ISNA(VLOOKUP($B197,'B-1 Site Hedge Baseline'!$B$1:$L$257,8,FALSE)),"",(VLOOKUP($B197,'B-1 Site Hedge Baseline'!$B$1:$L$257,8,FALSE))))</f>
        <v/>
      </c>
      <c r="I197" s="175" t="str">
        <f>IF(B197="","",IF(ISNA(VLOOKUP($B197,'B-1 Site Hedge Baseline'!$B$1:$L$257,10,FALSE)),"",(VLOOKUP($B197,'B-1 Site Hedge Baseline'!$B$1:$L$257,10,FALSE))))</f>
        <v/>
      </c>
      <c r="J197" s="175" t="str">
        <f>IF(B197="","",IF(ISNA(VLOOKUP($B197,'B-1 Site Hedge Baseline'!$B$1:$L$257,11,FALSE)),"",(VLOOKUP($B197,'B-1 Site Hedge Baseline'!$B$1:$L$257,11,FALSE))))</f>
        <v/>
      </c>
      <c r="K197" s="175" t="str">
        <f>IF(B197="","",IF(ISNA(VLOOKUP($B197,'B-1 Site Hedge Baseline'!$B$1:$U$257,13,FALSE)),"",(VLOOKUP($B197,'B-1 Site Hedge Baseline'!$B$1:$U$257,13,FALSE))))</f>
        <v/>
      </c>
      <c r="L197" s="176" t="str">
        <f>IF(B197="","",IF(ISNA(VLOOKUP($B197,'B-1 Site Hedge Baseline'!$B$1:$U$257,12,FALSE)),"",(VLOOKUP($B197,'B-1 Site Hedge Baseline'!$B$1:$U$257,12,FALSE))))</f>
        <v/>
      </c>
      <c r="M197" s="637"/>
      <c r="N197" s="171" t="str">
        <f>IFERROR(IF(B197="","",INDEX('G-6 Hedgerow Data'!$AN$3:$AZ$15,MATCH(C197,'G-6 Hedgerow Data'!$AM$3:$AM$15,0),MATCH(M197,'G-6 Hedgerow Data'!$AN$2:$AZ$2,0))),"")</f>
        <v/>
      </c>
      <c r="O197" s="172" t="str">
        <f t="shared" si="14"/>
        <v/>
      </c>
      <c r="P197" s="642" t="str">
        <f>IF(B197="","",VLOOKUP(B197,'B-1 Site Hedge Baseline'!$B$10:T442,16,FALSE))</f>
        <v/>
      </c>
      <c r="Q197" s="171" t="str">
        <f>IF(M197="","",VLOOKUP(M197,'G-6 Hedgerow Data'!$B$2:$AG$15,2,FALSE))</f>
        <v/>
      </c>
      <c r="R197" s="172" t="str">
        <f>IF(M197="","",VLOOKUP(M197,'G-6 Hedgerow Data'!$B$2:$AG$15,3,FALSE))</f>
        <v/>
      </c>
      <c r="S197" s="189"/>
      <c r="T197" s="269" t="str">
        <f>IFERROR(VLOOKUP(S197,'G-1 All Habitats'!$Z$2:$AA$9,2,FALSE),"")</f>
        <v/>
      </c>
      <c r="U197" s="186"/>
      <c r="V197" s="175" t="str">
        <f>IF(U197="","",IF(VLOOKUP(U197,'G-3 Multipliers'!$L$3:$N$6,2,FALSE)=0,"Spatial Data Missing",VLOOKUP(U197,'G-3 Multipliers'!$L$3:$N$6,2,FALSE)))</f>
        <v/>
      </c>
      <c r="W197" s="176" t="str">
        <f>IF(U197="","",IF(VLOOKUP(U197,'G-3 Multipliers'!$L$3:$N$6,3,FALSE)=0,"Spatial Data Missing",VLOOKUP(U197,'G-3 Multipliers'!$L$3:$N$6,3,FALSE)))</f>
        <v/>
      </c>
      <c r="X197" s="171" t="str">
        <f>IFERROR(IF(OR(LEFT(O197,5)="Error",LEFT(N197,5)="Error",T197="Error"),"Check Data",IF(F197&lt;R197,INDEX('G-6 Hedgerow Data'!$S$3:$AE$14,MATCH(C197,'G-6 Hedgerow Data'!$B$3:$B$14,0),MATCH(M197,'G-6 Hedgerow Data'!$S$2:$AE$2,0)),INDEX('G-6 Hedgerow Data'!$K$3:$Q$14,MATCH(M197,'G-6 Hedgerow Data'!$B$3:$B$14,0),MATCH(O197,'G-6 Hedgerow Data'!$K$2:$Q$2,0)))),"")</f>
        <v/>
      </c>
      <c r="Y197" s="261"/>
      <c r="Z197" s="261"/>
      <c r="AA197" s="179" t="str">
        <f t="shared" si="17"/>
        <v/>
      </c>
      <c r="AB197" s="262" t="str">
        <f t="shared" si="18"/>
        <v/>
      </c>
      <c r="AC197" s="263" t="str">
        <f t="shared" si="15"/>
        <v/>
      </c>
      <c r="AD197" s="239" t="str">
        <f>IF(M197="","",VLOOKUP(M197,'G-6 Hedgerow Data'!$B$3:$AG$15,31,FALSE))</f>
        <v/>
      </c>
      <c r="AE197" s="179" t="str">
        <f t="shared" si="19"/>
        <v/>
      </c>
      <c r="AF197" s="179" t="str">
        <f t="shared" si="20"/>
        <v/>
      </c>
      <c r="AG197" s="176" t="str">
        <f>IFERROR(IF(O197="","",VLOOKUP(AD197,'G-3 Multipliers'!$P$3:$Q$6,2,FALSE)),"")</f>
        <v/>
      </c>
      <c r="AH197" s="207" t="str">
        <f t="shared" si="16"/>
        <v/>
      </c>
      <c r="AI197" s="336"/>
      <c r="AJ197" s="181"/>
      <c r="AT197" s="35" t="str">
        <f>IFERROR(INDEX('G-6 Hedgerow Data'!$BJ$3:$BJ$15,MATCH(M197,'G-6 Hedgerow Data'!$B$3:$B$15,0)),"")</f>
        <v/>
      </c>
    </row>
    <row r="198" spans="2:46" ht="13.8" x14ac:dyDescent="0.25">
      <c r="B198" s="259" t="str">
        <f>'B-1 Site Hedge Baseline'!AK196</f>
        <v/>
      </c>
      <c r="C198" s="175" t="str">
        <f>IF(B198="","",IF(ISNA(VLOOKUP($B198,'B-1 Site Hedge Baseline'!$B$1:$L$257,3,FALSE)),"",(VLOOKUP($B198,'B-1 Site Hedge Baseline'!$B$1:$L$257,3,FALSE))))</f>
        <v/>
      </c>
      <c r="D198" s="175" t="str">
        <f>IF(B198="","",IF(ISNA(VLOOKUP($B198,'B-1 Site Hedge Baseline'!$B$1:$L$257,4,FALSE)),"",(VLOOKUP($B198,'B-1 Site Hedge Baseline'!$B$1:$L$257,4,FALSE))))</f>
        <v/>
      </c>
      <c r="E198" s="175" t="str">
        <f>IF(B198="","",IF(ISNA(VLOOKUP($B198,'B-1 Site Hedge Baseline'!$B$1:$L$257,5,FALSE)),"",(VLOOKUP($B198,'B-1 Site Hedge Baseline'!$B$1:$L$257,5,FALSE))))</f>
        <v/>
      </c>
      <c r="F198" s="175" t="str">
        <f>IF(B198="","",IF(ISNA(VLOOKUP($B198,'B-1 Site Hedge Baseline'!$B$1:$L$257,6,FALSE)),"",(VLOOKUP($B198,'B-1 Site Hedge Baseline'!$B$1:$L$257,6,FALSE))))</f>
        <v/>
      </c>
      <c r="G198" s="175" t="str">
        <f>IF(B198="","",IF(ISNA(VLOOKUP($B198,'B-1 Site Hedge Baseline'!$B$1:$L$257,7,FALSE)),"",(VLOOKUP($B198,'B-1 Site Hedge Baseline'!$B$1:$L$257,7,FALSE))))</f>
        <v/>
      </c>
      <c r="H198" s="175" t="str">
        <f>IF(B198="","",IF(ISNA(VLOOKUP($B198,'B-1 Site Hedge Baseline'!$B$1:$L$257,8,FALSE)),"",(VLOOKUP($B198,'B-1 Site Hedge Baseline'!$B$1:$L$257,8,FALSE))))</f>
        <v/>
      </c>
      <c r="I198" s="175" t="str">
        <f>IF(B198="","",IF(ISNA(VLOOKUP($B198,'B-1 Site Hedge Baseline'!$B$1:$L$257,10,FALSE)),"",(VLOOKUP($B198,'B-1 Site Hedge Baseline'!$B$1:$L$257,10,FALSE))))</f>
        <v/>
      </c>
      <c r="J198" s="175" t="str">
        <f>IF(B198="","",IF(ISNA(VLOOKUP($B198,'B-1 Site Hedge Baseline'!$B$1:$L$257,11,FALSE)),"",(VLOOKUP($B198,'B-1 Site Hedge Baseline'!$B$1:$L$257,11,FALSE))))</f>
        <v/>
      </c>
      <c r="K198" s="175" t="str">
        <f>IF(B198="","",IF(ISNA(VLOOKUP($B198,'B-1 Site Hedge Baseline'!$B$1:$U$257,13,FALSE)),"",(VLOOKUP($B198,'B-1 Site Hedge Baseline'!$B$1:$U$257,13,FALSE))))</f>
        <v/>
      </c>
      <c r="L198" s="176" t="str">
        <f>IF(B198="","",IF(ISNA(VLOOKUP($B198,'B-1 Site Hedge Baseline'!$B$1:$U$257,12,FALSE)),"",(VLOOKUP($B198,'B-1 Site Hedge Baseline'!$B$1:$U$257,12,FALSE))))</f>
        <v/>
      </c>
      <c r="M198" s="637"/>
      <c r="N198" s="171" t="str">
        <f>IFERROR(IF(B198="","",INDEX('G-6 Hedgerow Data'!$AN$3:$AZ$15,MATCH(C198,'G-6 Hedgerow Data'!$AM$3:$AM$15,0),MATCH(M198,'G-6 Hedgerow Data'!$AN$2:$AZ$2,0))),"")</f>
        <v/>
      </c>
      <c r="O198" s="172" t="str">
        <f t="shared" si="14"/>
        <v/>
      </c>
      <c r="P198" s="642" t="str">
        <f>IF(B198="","",VLOOKUP(B198,'B-1 Site Hedge Baseline'!$B$10:T443,16,FALSE))</f>
        <v/>
      </c>
      <c r="Q198" s="171" t="str">
        <f>IF(M198="","",VLOOKUP(M198,'G-6 Hedgerow Data'!$B$2:$AG$15,2,FALSE))</f>
        <v/>
      </c>
      <c r="R198" s="172" t="str">
        <f>IF(M198="","",VLOOKUP(M198,'G-6 Hedgerow Data'!$B$2:$AG$15,3,FALSE))</f>
        <v/>
      </c>
      <c r="S198" s="189"/>
      <c r="T198" s="269" t="str">
        <f>IFERROR(VLOOKUP(S198,'G-1 All Habitats'!$Z$2:$AA$9,2,FALSE),"")</f>
        <v/>
      </c>
      <c r="U198" s="186"/>
      <c r="V198" s="175" t="str">
        <f>IF(U198="","",IF(VLOOKUP(U198,'G-3 Multipliers'!$L$3:$N$6,2,FALSE)=0,"Spatial Data Missing",VLOOKUP(U198,'G-3 Multipliers'!$L$3:$N$6,2,FALSE)))</f>
        <v/>
      </c>
      <c r="W198" s="176" t="str">
        <f>IF(U198="","",IF(VLOOKUP(U198,'G-3 Multipliers'!$L$3:$N$6,3,FALSE)=0,"Spatial Data Missing",VLOOKUP(U198,'G-3 Multipliers'!$L$3:$N$6,3,FALSE)))</f>
        <v/>
      </c>
      <c r="X198" s="171" t="str">
        <f>IFERROR(IF(OR(LEFT(O198,5)="Error",LEFT(N198,5)="Error",T198="Error"),"Check Data",IF(F198&lt;R198,INDEX('G-6 Hedgerow Data'!$S$3:$AE$14,MATCH(C198,'G-6 Hedgerow Data'!$B$3:$B$14,0),MATCH(M198,'G-6 Hedgerow Data'!$S$2:$AE$2,0)),INDEX('G-6 Hedgerow Data'!$K$3:$Q$14,MATCH(M198,'G-6 Hedgerow Data'!$B$3:$B$14,0),MATCH(O198,'G-6 Hedgerow Data'!$K$2:$Q$2,0)))),"")</f>
        <v/>
      </c>
      <c r="Y198" s="261"/>
      <c r="Z198" s="261"/>
      <c r="AA198" s="179" t="str">
        <f t="shared" si="17"/>
        <v/>
      </c>
      <c r="AB198" s="262" t="str">
        <f t="shared" si="18"/>
        <v/>
      </c>
      <c r="AC198" s="263" t="str">
        <f t="shared" si="15"/>
        <v/>
      </c>
      <c r="AD198" s="239" t="str">
        <f>IF(M198="","",VLOOKUP(M198,'G-6 Hedgerow Data'!$B$3:$AG$15,31,FALSE))</f>
        <v/>
      </c>
      <c r="AE198" s="179" t="str">
        <f t="shared" si="19"/>
        <v/>
      </c>
      <c r="AF198" s="179" t="str">
        <f t="shared" si="20"/>
        <v/>
      </c>
      <c r="AG198" s="176" t="str">
        <f>IFERROR(IF(O198="","",VLOOKUP(AD198,'G-3 Multipliers'!$P$3:$Q$6,2,FALSE)),"")</f>
        <v/>
      </c>
      <c r="AH198" s="207" t="str">
        <f t="shared" si="16"/>
        <v/>
      </c>
      <c r="AI198" s="336"/>
      <c r="AJ198" s="181"/>
      <c r="AT198" s="35" t="str">
        <f>IFERROR(INDEX('G-6 Hedgerow Data'!$BJ$3:$BJ$15,MATCH(M198,'G-6 Hedgerow Data'!$B$3:$B$15,0)),"")</f>
        <v/>
      </c>
    </row>
    <row r="199" spans="2:46" ht="13.8" x14ac:dyDescent="0.25">
      <c r="B199" s="259" t="str">
        <f>'B-1 Site Hedge Baseline'!AK197</f>
        <v/>
      </c>
      <c r="C199" s="175" t="str">
        <f>IF(B199="","",IF(ISNA(VLOOKUP($B199,'B-1 Site Hedge Baseline'!$B$1:$L$257,3,FALSE)),"",(VLOOKUP($B199,'B-1 Site Hedge Baseline'!$B$1:$L$257,3,FALSE))))</f>
        <v/>
      </c>
      <c r="D199" s="175" t="str">
        <f>IF(B199="","",IF(ISNA(VLOOKUP($B199,'B-1 Site Hedge Baseline'!$B$1:$L$257,4,FALSE)),"",(VLOOKUP($B199,'B-1 Site Hedge Baseline'!$B$1:$L$257,4,FALSE))))</f>
        <v/>
      </c>
      <c r="E199" s="175" t="str">
        <f>IF(B199="","",IF(ISNA(VLOOKUP($B199,'B-1 Site Hedge Baseline'!$B$1:$L$257,5,FALSE)),"",(VLOOKUP($B199,'B-1 Site Hedge Baseline'!$B$1:$L$257,5,FALSE))))</f>
        <v/>
      </c>
      <c r="F199" s="175" t="str">
        <f>IF(B199="","",IF(ISNA(VLOOKUP($B199,'B-1 Site Hedge Baseline'!$B$1:$L$257,6,FALSE)),"",(VLOOKUP($B199,'B-1 Site Hedge Baseline'!$B$1:$L$257,6,FALSE))))</f>
        <v/>
      </c>
      <c r="G199" s="175" t="str">
        <f>IF(B199="","",IF(ISNA(VLOOKUP($B199,'B-1 Site Hedge Baseline'!$B$1:$L$257,7,FALSE)),"",(VLOOKUP($B199,'B-1 Site Hedge Baseline'!$B$1:$L$257,7,FALSE))))</f>
        <v/>
      </c>
      <c r="H199" s="175" t="str">
        <f>IF(B199="","",IF(ISNA(VLOOKUP($B199,'B-1 Site Hedge Baseline'!$B$1:$L$257,8,FALSE)),"",(VLOOKUP($B199,'B-1 Site Hedge Baseline'!$B$1:$L$257,8,FALSE))))</f>
        <v/>
      </c>
      <c r="I199" s="175" t="str">
        <f>IF(B199="","",IF(ISNA(VLOOKUP($B199,'B-1 Site Hedge Baseline'!$B$1:$L$257,10,FALSE)),"",(VLOOKUP($B199,'B-1 Site Hedge Baseline'!$B$1:$L$257,10,FALSE))))</f>
        <v/>
      </c>
      <c r="J199" s="175" t="str">
        <f>IF(B199="","",IF(ISNA(VLOOKUP($B199,'B-1 Site Hedge Baseline'!$B$1:$L$257,11,FALSE)),"",(VLOOKUP($B199,'B-1 Site Hedge Baseline'!$B$1:$L$257,11,FALSE))))</f>
        <v/>
      </c>
      <c r="K199" s="175" t="str">
        <f>IF(B199="","",IF(ISNA(VLOOKUP($B199,'B-1 Site Hedge Baseline'!$B$1:$U$257,13,FALSE)),"",(VLOOKUP($B199,'B-1 Site Hedge Baseline'!$B$1:$U$257,13,FALSE))))</f>
        <v/>
      </c>
      <c r="L199" s="176" t="str">
        <f>IF(B199="","",IF(ISNA(VLOOKUP($B199,'B-1 Site Hedge Baseline'!$B$1:$U$257,12,FALSE)),"",(VLOOKUP($B199,'B-1 Site Hedge Baseline'!$B$1:$U$257,12,FALSE))))</f>
        <v/>
      </c>
      <c r="M199" s="637"/>
      <c r="N199" s="171" t="str">
        <f>IFERROR(IF(B199="","",INDEX('G-6 Hedgerow Data'!$AN$3:$AZ$15,MATCH(C199,'G-6 Hedgerow Data'!$AM$3:$AM$15,0),MATCH(M199,'G-6 Hedgerow Data'!$AN$2:$AZ$2,0))),"")</f>
        <v/>
      </c>
      <c r="O199" s="172" t="str">
        <f t="shared" si="14"/>
        <v/>
      </c>
      <c r="P199" s="642" t="str">
        <f>IF(B199="","",VLOOKUP(B199,'B-1 Site Hedge Baseline'!$B$10:T444,16,FALSE))</f>
        <v/>
      </c>
      <c r="Q199" s="171" t="str">
        <f>IF(M199="","",VLOOKUP(M199,'G-6 Hedgerow Data'!$B$2:$AG$15,2,FALSE))</f>
        <v/>
      </c>
      <c r="R199" s="172" t="str">
        <f>IF(M199="","",VLOOKUP(M199,'G-6 Hedgerow Data'!$B$2:$AG$15,3,FALSE))</f>
        <v/>
      </c>
      <c r="S199" s="189"/>
      <c r="T199" s="269" t="str">
        <f>IFERROR(VLOOKUP(S199,'G-1 All Habitats'!$Z$2:$AA$9,2,FALSE),"")</f>
        <v/>
      </c>
      <c r="U199" s="186"/>
      <c r="V199" s="175" t="str">
        <f>IF(U199="","",IF(VLOOKUP(U199,'G-3 Multipliers'!$L$3:$N$6,2,FALSE)=0,"Spatial Data Missing",VLOOKUP(U199,'G-3 Multipliers'!$L$3:$N$6,2,FALSE)))</f>
        <v/>
      </c>
      <c r="W199" s="176" t="str">
        <f>IF(U199="","",IF(VLOOKUP(U199,'G-3 Multipliers'!$L$3:$N$6,3,FALSE)=0,"Spatial Data Missing",VLOOKUP(U199,'G-3 Multipliers'!$L$3:$N$6,3,FALSE)))</f>
        <v/>
      </c>
      <c r="X199" s="171" t="str">
        <f>IFERROR(IF(OR(LEFT(O199,5)="Error",LEFT(N199,5)="Error",T199="Error"),"Check Data",IF(F199&lt;R199,INDEX('G-6 Hedgerow Data'!$S$3:$AE$14,MATCH(C199,'G-6 Hedgerow Data'!$B$3:$B$14,0),MATCH(M199,'G-6 Hedgerow Data'!$S$2:$AE$2,0)),INDEX('G-6 Hedgerow Data'!$K$3:$Q$14,MATCH(M199,'G-6 Hedgerow Data'!$B$3:$B$14,0),MATCH(O199,'G-6 Hedgerow Data'!$K$2:$Q$2,0)))),"")</f>
        <v/>
      </c>
      <c r="Y199" s="261"/>
      <c r="Z199" s="261"/>
      <c r="AA199" s="179" t="str">
        <f t="shared" si="17"/>
        <v/>
      </c>
      <c r="AB199" s="262" t="str">
        <f t="shared" si="18"/>
        <v/>
      </c>
      <c r="AC199" s="263" t="str">
        <f t="shared" si="15"/>
        <v/>
      </c>
      <c r="AD199" s="239" t="str">
        <f>IF(M199="","",VLOOKUP(M199,'G-6 Hedgerow Data'!$B$3:$AG$15,31,FALSE))</f>
        <v/>
      </c>
      <c r="AE199" s="179" t="str">
        <f t="shared" si="19"/>
        <v/>
      </c>
      <c r="AF199" s="179" t="str">
        <f t="shared" si="20"/>
        <v/>
      </c>
      <c r="AG199" s="176" t="str">
        <f>IFERROR(IF(O199="","",VLOOKUP(AD199,'G-3 Multipliers'!$P$3:$Q$6,2,FALSE)),"")</f>
        <v/>
      </c>
      <c r="AH199" s="207" t="str">
        <f t="shared" si="16"/>
        <v/>
      </c>
      <c r="AI199" s="336"/>
      <c r="AJ199" s="181"/>
      <c r="AT199" s="35" t="str">
        <f>IFERROR(INDEX('G-6 Hedgerow Data'!$BJ$3:$BJ$15,MATCH(M199,'G-6 Hedgerow Data'!$B$3:$B$15,0)),"")</f>
        <v/>
      </c>
    </row>
    <row r="200" spans="2:46" ht="13.8" x14ac:dyDescent="0.25">
      <c r="B200" s="259" t="str">
        <f>'B-1 Site Hedge Baseline'!AK198</f>
        <v/>
      </c>
      <c r="C200" s="175" t="str">
        <f>IF(B200="","",IF(ISNA(VLOOKUP($B200,'B-1 Site Hedge Baseline'!$B$1:$L$257,3,FALSE)),"",(VLOOKUP($B200,'B-1 Site Hedge Baseline'!$B$1:$L$257,3,FALSE))))</f>
        <v/>
      </c>
      <c r="D200" s="175" t="str">
        <f>IF(B200="","",IF(ISNA(VLOOKUP($B200,'B-1 Site Hedge Baseline'!$B$1:$L$257,4,FALSE)),"",(VLOOKUP($B200,'B-1 Site Hedge Baseline'!$B$1:$L$257,4,FALSE))))</f>
        <v/>
      </c>
      <c r="E200" s="175" t="str">
        <f>IF(B200="","",IF(ISNA(VLOOKUP($B200,'B-1 Site Hedge Baseline'!$B$1:$L$257,5,FALSE)),"",(VLOOKUP($B200,'B-1 Site Hedge Baseline'!$B$1:$L$257,5,FALSE))))</f>
        <v/>
      </c>
      <c r="F200" s="175" t="str">
        <f>IF(B200="","",IF(ISNA(VLOOKUP($B200,'B-1 Site Hedge Baseline'!$B$1:$L$257,6,FALSE)),"",(VLOOKUP($B200,'B-1 Site Hedge Baseline'!$B$1:$L$257,6,FALSE))))</f>
        <v/>
      </c>
      <c r="G200" s="175" t="str">
        <f>IF(B200="","",IF(ISNA(VLOOKUP($B200,'B-1 Site Hedge Baseline'!$B$1:$L$257,7,FALSE)),"",(VLOOKUP($B200,'B-1 Site Hedge Baseline'!$B$1:$L$257,7,FALSE))))</f>
        <v/>
      </c>
      <c r="H200" s="175" t="str">
        <f>IF(B200="","",IF(ISNA(VLOOKUP($B200,'B-1 Site Hedge Baseline'!$B$1:$L$257,8,FALSE)),"",(VLOOKUP($B200,'B-1 Site Hedge Baseline'!$B$1:$L$257,8,FALSE))))</f>
        <v/>
      </c>
      <c r="I200" s="175" t="str">
        <f>IF(B200="","",IF(ISNA(VLOOKUP($B200,'B-1 Site Hedge Baseline'!$B$1:$L$257,10,FALSE)),"",(VLOOKUP($B200,'B-1 Site Hedge Baseline'!$B$1:$L$257,10,FALSE))))</f>
        <v/>
      </c>
      <c r="J200" s="175" t="str">
        <f>IF(B200="","",IF(ISNA(VLOOKUP($B200,'B-1 Site Hedge Baseline'!$B$1:$L$257,11,FALSE)),"",(VLOOKUP($B200,'B-1 Site Hedge Baseline'!$B$1:$L$257,11,FALSE))))</f>
        <v/>
      </c>
      <c r="K200" s="175" t="str">
        <f>IF(B200="","",IF(ISNA(VLOOKUP($B200,'B-1 Site Hedge Baseline'!$B$1:$U$257,13,FALSE)),"",(VLOOKUP($B200,'B-1 Site Hedge Baseline'!$B$1:$U$257,13,FALSE))))</f>
        <v/>
      </c>
      <c r="L200" s="176" t="str">
        <f>IF(B200="","",IF(ISNA(VLOOKUP($B200,'B-1 Site Hedge Baseline'!$B$1:$U$257,12,FALSE)),"",(VLOOKUP($B200,'B-1 Site Hedge Baseline'!$B$1:$U$257,12,FALSE))))</f>
        <v/>
      </c>
      <c r="M200" s="637"/>
      <c r="N200" s="171" t="str">
        <f>IFERROR(IF(B200="","",INDEX('G-6 Hedgerow Data'!$AN$3:$AZ$15,MATCH(C200,'G-6 Hedgerow Data'!$AM$3:$AM$15,0),MATCH(M200,'G-6 Hedgerow Data'!$AN$2:$AZ$2,0))),"")</f>
        <v/>
      </c>
      <c r="O200" s="172" t="str">
        <f t="shared" si="14"/>
        <v/>
      </c>
      <c r="P200" s="642" t="str">
        <f>IF(B200="","",VLOOKUP(B200,'B-1 Site Hedge Baseline'!$B$10:T445,16,FALSE))</f>
        <v/>
      </c>
      <c r="Q200" s="171" t="str">
        <f>IF(M200="","",VLOOKUP(M200,'G-6 Hedgerow Data'!$B$2:$AG$15,2,FALSE))</f>
        <v/>
      </c>
      <c r="R200" s="172" t="str">
        <f>IF(M200="","",VLOOKUP(M200,'G-6 Hedgerow Data'!$B$2:$AG$15,3,FALSE))</f>
        <v/>
      </c>
      <c r="S200" s="189"/>
      <c r="T200" s="269" t="str">
        <f>IFERROR(VLOOKUP(S200,'G-1 All Habitats'!$Z$2:$AA$9,2,FALSE),"")</f>
        <v/>
      </c>
      <c r="U200" s="186"/>
      <c r="V200" s="175" t="str">
        <f>IF(U200="","",IF(VLOOKUP(U200,'G-3 Multipliers'!$L$3:$N$6,2,FALSE)=0,"Spatial Data Missing",VLOOKUP(U200,'G-3 Multipliers'!$L$3:$N$6,2,FALSE)))</f>
        <v/>
      </c>
      <c r="W200" s="176" t="str">
        <f>IF(U200="","",IF(VLOOKUP(U200,'G-3 Multipliers'!$L$3:$N$6,3,FALSE)=0,"Spatial Data Missing",VLOOKUP(U200,'G-3 Multipliers'!$L$3:$N$6,3,FALSE)))</f>
        <v/>
      </c>
      <c r="X200" s="171" t="str">
        <f>IFERROR(IF(OR(LEFT(O200,5)="Error",LEFT(N200,5)="Error",T200="Error"),"Check Data",IF(F200&lt;R200,INDEX('G-6 Hedgerow Data'!$S$3:$AE$14,MATCH(C200,'G-6 Hedgerow Data'!$B$3:$B$14,0),MATCH(M200,'G-6 Hedgerow Data'!$S$2:$AE$2,0)),INDEX('G-6 Hedgerow Data'!$K$3:$Q$14,MATCH(M200,'G-6 Hedgerow Data'!$B$3:$B$14,0),MATCH(O200,'G-6 Hedgerow Data'!$K$2:$Q$2,0)))),"")</f>
        <v/>
      </c>
      <c r="Y200" s="261"/>
      <c r="Z200" s="261"/>
      <c r="AA200" s="179" t="str">
        <f t="shared" si="17"/>
        <v/>
      </c>
      <c r="AB200" s="262" t="str">
        <f t="shared" si="18"/>
        <v/>
      </c>
      <c r="AC200" s="263" t="str">
        <f t="shared" si="15"/>
        <v/>
      </c>
      <c r="AD200" s="239" t="str">
        <f>IF(M200="","",VLOOKUP(M200,'G-6 Hedgerow Data'!$B$3:$AG$15,31,FALSE))</f>
        <v/>
      </c>
      <c r="AE200" s="179" t="str">
        <f t="shared" si="19"/>
        <v/>
      </c>
      <c r="AF200" s="179" t="str">
        <f t="shared" si="20"/>
        <v/>
      </c>
      <c r="AG200" s="176" t="str">
        <f>IFERROR(IF(O200="","",VLOOKUP(AD200,'G-3 Multipliers'!$P$3:$Q$6,2,FALSE)),"")</f>
        <v/>
      </c>
      <c r="AH200" s="207" t="str">
        <f t="shared" si="16"/>
        <v/>
      </c>
      <c r="AI200" s="336"/>
      <c r="AJ200" s="181"/>
      <c r="AT200" s="35" t="str">
        <f>IFERROR(INDEX('G-6 Hedgerow Data'!$BJ$3:$BJ$15,MATCH(M200,'G-6 Hedgerow Data'!$B$3:$B$15,0)),"")</f>
        <v/>
      </c>
    </row>
    <row r="201" spans="2:46" ht="13.8" x14ac:dyDescent="0.25">
      <c r="B201" s="259" t="str">
        <f>'B-1 Site Hedge Baseline'!AK199</f>
        <v/>
      </c>
      <c r="C201" s="175" t="str">
        <f>IF(B201="","",IF(ISNA(VLOOKUP($B201,'B-1 Site Hedge Baseline'!$B$1:$L$257,3,FALSE)),"",(VLOOKUP($B201,'B-1 Site Hedge Baseline'!$B$1:$L$257,3,FALSE))))</f>
        <v/>
      </c>
      <c r="D201" s="175" t="str">
        <f>IF(B201="","",IF(ISNA(VLOOKUP($B201,'B-1 Site Hedge Baseline'!$B$1:$L$257,4,FALSE)),"",(VLOOKUP($B201,'B-1 Site Hedge Baseline'!$B$1:$L$257,4,FALSE))))</f>
        <v/>
      </c>
      <c r="E201" s="175" t="str">
        <f>IF(B201="","",IF(ISNA(VLOOKUP($B201,'B-1 Site Hedge Baseline'!$B$1:$L$257,5,FALSE)),"",(VLOOKUP($B201,'B-1 Site Hedge Baseline'!$B$1:$L$257,5,FALSE))))</f>
        <v/>
      </c>
      <c r="F201" s="175" t="str">
        <f>IF(B201="","",IF(ISNA(VLOOKUP($B201,'B-1 Site Hedge Baseline'!$B$1:$L$257,6,FALSE)),"",(VLOOKUP($B201,'B-1 Site Hedge Baseline'!$B$1:$L$257,6,FALSE))))</f>
        <v/>
      </c>
      <c r="G201" s="175" t="str">
        <f>IF(B201="","",IF(ISNA(VLOOKUP($B201,'B-1 Site Hedge Baseline'!$B$1:$L$257,7,FALSE)),"",(VLOOKUP($B201,'B-1 Site Hedge Baseline'!$B$1:$L$257,7,FALSE))))</f>
        <v/>
      </c>
      <c r="H201" s="175" t="str">
        <f>IF(B201="","",IF(ISNA(VLOOKUP($B201,'B-1 Site Hedge Baseline'!$B$1:$L$257,8,FALSE)),"",(VLOOKUP($B201,'B-1 Site Hedge Baseline'!$B$1:$L$257,8,FALSE))))</f>
        <v/>
      </c>
      <c r="I201" s="175" t="str">
        <f>IF(B201="","",IF(ISNA(VLOOKUP($B201,'B-1 Site Hedge Baseline'!$B$1:$L$257,10,FALSE)),"",(VLOOKUP($B201,'B-1 Site Hedge Baseline'!$B$1:$L$257,10,FALSE))))</f>
        <v/>
      </c>
      <c r="J201" s="175" t="str">
        <f>IF(B201="","",IF(ISNA(VLOOKUP($B201,'B-1 Site Hedge Baseline'!$B$1:$L$257,11,FALSE)),"",(VLOOKUP($B201,'B-1 Site Hedge Baseline'!$B$1:$L$257,11,FALSE))))</f>
        <v/>
      </c>
      <c r="K201" s="175" t="str">
        <f>IF(B201="","",IF(ISNA(VLOOKUP($B201,'B-1 Site Hedge Baseline'!$B$1:$U$257,13,FALSE)),"",(VLOOKUP($B201,'B-1 Site Hedge Baseline'!$B$1:$U$257,13,FALSE))))</f>
        <v/>
      </c>
      <c r="L201" s="176" t="str">
        <f>IF(B201="","",IF(ISNA(VLOOKUP($B201,'B-1 Site Hedge Baseline'!$B$1:$U$257,12,FALSE)),"",(VLOOKUP($B201,'B-1 Site Hedge Baseline'!$B$1:$U$257,12,FALSE))))</f>
        <v/>
      </c>
      <c r="M201" s="637"/>
      <c r="N201" s="171" t="str">
        <f>IFERROR(IF(B201="","",INDEX('G-6 Hedgerow Data'!$AN$3:$AZ$15,MATCH(C201,'G-6 Hedgerow Data'!$AM$3:$AM$15,0),MATCH(M201,'G-6 Hedgerow Data'!$AN$2:$AZ$2,0))),"")</f>
        <v/>
      </c>
      <c r="O201" s="172" t="str">
        <f t="shared" si="14"/>
        <v/>
      </c>
      <c r="P201" s="642" t="str">
        <f>IF(B201="","",VLOOKUP(B201,'B-1 Site Hedge Baseline'!$B$10:T446,16,FALSE))</f>
        <v/>
      </c>
      <c r="Q201" s="171" t="str">
        <f>IF(M201="","",VLOOKUP(M201,'G-6 Hedgerow Data'!$B$2:$AG$15,2,FALSE))</f>
        <v/>
      </c>
      <c r="R201" s="172" t="str">
        <f>IF(M201="","",VLOOKUP(M201,'G-6 Hedgerow Data'!$B$2:$AG$15,3,FALSE))</f>
        <v/>
      </c>
      <c r="S201" s="189"/>
      <c r="T201" s="269" t="str">
        <f>IFERROR(VLOOKUP(S201,'G-1 All Habitats'!$Z$2:$AA$9,2,FALSE),"")</f>
        <v/>
      </c>
      <c r="U201" s="186"/>
      <c r="V201" s="175" t="str">
        <f>IF(U201="","",IF(VLOOKUP(U201,'G-3 Multipliers'!$L$3:$N$6,2,FALSE)=0,"Spatial Data Missing",VLOOKUP(U201,'G-3 Multipliers'!$L$3:$N$6,2,FALSE)))</f>
        <v/>
      </c>
      <c r="W201" s="176" t="str">
        <f>IF(U201="","",IF(VLOOKUP(U201,'G-3 Multipliers'!$L$3:$N$6,3,FALSE)=0,"Spatial Data Missing",VLOOKUP(U201,'G-3 Multipliers'!$L$3:$N$6,3,FALSE)))</f>
        <v/>
      </c>
      <c r="X201" s="171" t="str">
        <f>IFERROR(IF(OR(LEFT(O201,5)="Error",LEFT(N201,5)="Error",T201="Error"),"Check Data",IF(F201&lt;R201,INDEX('G-6 Hedgerow Data'!$S$3:$AE$14,MATCH(C201,'G-6 Hedgerow Data'!$B$3:$B$14,0),MATCH(M201,'G-6 Hedgerow Data'!$S$2:$AE$2,0)),INDEX('G-6 Hedgerow Data'!$K$3:$Q$14,MATCH(M201,'G-6 Hedgerow Data'!$B$3:$B$14,0),MATCH(O201,'G-6 Hedgerow Data'!$K$2:$Q$2,0)))),"")</f>
        <v/>
      </c>
      <c r="Y201" s="261"/>
      <c r="Z201" s="261"/>
      <c r="AA201" s="179" t="str">
        <f t="shared" si="17"/>
        <v/>
      </c>
      <c r="AB201" s="262" t="str">
        <f t="shared" si="18"/>
        <v/>
      </c>
      <c r="AC201" s="263" t="str">
        <f t="shared" si="15"/>
        <v/>
      </c>
      <c r="AD201" s="239" t="str">
        <f>IF(M201="","",VLOOKUP(M201,'G-6 Hedgerow Data'!$B$3:$AG$15,31,FALSE))</f>
        <v/>
      </c>
      <c r="AE201" s="179" t="str">
        <f t="shared" si="19"/>
        <v/>
      </c>
      <c r="AF201" s="179" t="str">
        <f t="shared" si="20"/>
        <v/>
      </c>
      <c r="AG201" s="176" t="str">
        <f>IFERROR(IF(O201="","",VLOOKUP(AD201,'G-3 Multipliers'!$P$3:$Q$6,2,FALSE)),"")</f>
        <v/>
      </c>
      <c r="AH201" s="207" t="str">
        <f t="shared" si="16"/>
        <v/>
      </c>
      <c r="AI201" s="336"/>
      <c r="AJ201" s="181"/>
      <c r="AT201" s="35" t="str">
        <f>IFERROR(INDEX('G-6 Hedgerow Data'!$BJ$3:$BJ$15,MATCH(M201,'G-6 Hedgerow Data'!$B$3:$B$15,0)),"")</f>
        <v/>
      </c>
    </row>
    <row r="202" spans="2:46" ht="13.8" x14ac:dyDescent="0.25">
      <c r="B202" s="259" t="str">
        <f>'B-1 Site Hedge Baseline'!AK200</f>
        <v/>
      </c>
      <c r="C202" s="175" t="str">
        <f>IF(B202="","",IF(ISNA(VLOOKUP($B202,'B-1 Site Hedge Baseline'!$B$1:$L$257,3,FALSE)),"",(VLOOKUP($B202,'B-1 Site Hedge Baseline'!$B$1:$L$257,3,FALSE))))</f>
        <v/>
      </c>
      <c r="D202" s="175" t="str">
        <f>IF(B202="","",IF(ISNA(VLOOKUP($B202,'B-1 Site Hedge Baseline'!$B$1:$L$257,4,FALSE)),"",(VLOOKUP($B202,'B-1 Site Hedge Baseline'!$B$1:$L$257,4,FALSE))))</f>
        <v/>
      </c>
      <c r="E202" s="175" t="str">
        <f>IF(B202="","",IF(ISNA(VLOOKUP($B202,'B-1 Site Hedge Baseline'!$B$1:$L$257,5,FALSE)),"",(VLOOKUP($B202,'B-1 Site Hedge Baseline'!$B$1:$L$257,5,FALSE))))</f>
        <v/>
      </c>
      <c r="F202" s="175" t="str">
        <f>IF(B202="","",IF(ISNA(VLOOKUP($B202,'B-1 Site Hedge Baseline'!$B$1:$L$257,6,FALSE)),"",(VLOOKUP($B202,'B-1 Site Hedge Baseline'!$B$1:$L$257,6,FALSE))))</f>
        <v/>
      </c>
      <c r="G202" s="175" t="str">
        <f>IF(B202="","",IF(ISNA(VLOOKUP($B202,'B-1 Site Hedge Baseline'!$B$1:$L$257,7,FALSE)),"",(VLOOKUP($B202,'B-1 Site Hedge Baseline'!$B$1:$L$257,7,FALSE))))</f>
        <v/>
      </c>
      <c r="H202" s="175" t="str">
        <f>IF(B202="","",IF(ISNA(VLOOKUP($B202,'B-1 Site Hedge Baseline'!$B$1:$L$257,8,FALSE)),"",(VLOOKUP($B202,'B-1 Site Hedge Baseline'!$B$1:$L$257,8,FALSE))))</f>
        <v/>
      </c>
      <c r="I202" s="175" t="str">
        <f>IF(B202="","",IF(ISNA(VLOOKUP($B202,'B-1 Site Hedge Baseline'!$B$1:$L$257,10,FALSE)),"",(VLOOKUP($B202,'B-1 Site Hedge Baseline'!$B$1:$L$257,10,FALSE))))</f>
        <v/>
      </c>
      <c r="J202" s="175" t="str">
        <f>IF(B202="","",IF(ISNA(VLOOKUP($B202,'B-1 Site Hedge Baseline'!$B$1:$L$257,11,FALSE)),"",(VLOOKUP($B202,'B-1 Site Hedge Baseline'!$B$1:$L$257,11,FALSE))))</f>
        <v/>
      </c>
      <c r="K202" s="175" t="str">
        <f>IF(B202="","",IF(ISNA(VLOOKUP($B202,'B-1 Site Hedge Baseline'!$B$1:$U$257,13,FALSE)),"",(VLOOKUP($B202,'B-1 Site Hedge Baseline'!$B$1:$U$257,13,FALSE))))</f>
        <v/>
      </c>
      <c r="L202" s="176" t="str">
        <f>IF(B202="","",IF(ISNA(VLOOKUP($B202,'B-1 Site Hedge Baseline'!$B$1:$U$257,12,FALSE)),"",(VLOOKUP($B202,'B-1 Site Hedge Baseline'!$B$1:$U$257,12,FALSE))))</f>
        <v/>
      </c>
      <c r="M202" s="637"/>
      <c r="N202" s="171" t="str">
        <f>IFERROR(IF(B202="","",INDEX('G-6 Hedgerow Data'!$AN$3:$AZ$15,MATCH(C202,'G-6 Hedgerow Data'!$AM$3:$AM$15,0),MATCH(M202,'G-6 Hedgerow Data'!$AN$2:$AZ$2,0))),"")</f>
        <v/>
      </c>
      <c r="O202" s="172" t="str">
        <f t="shared" si="14"/>
        <v/>
      </c>
      <c r="P202" s="642" t="str">
        <f>IF(B202="","",VLOOKUP(B202,'B-1 Site Hedge Baseline'!$B$10:T447,16,FALSE))</f>
        <v/>
      </c>
      <c r="Q202" s="171" t="str">
        <f>IF(M202="","",VLOOKUP(M202,'G-6 Hedgerow Data'!$B$2:$AG$15,2,FALSE))</f>
        <v/>
      </c>
      <c r="R202" s="172" t="str">
        <f>IF(M202="","",VLOOKUP(M202,'G-6 Hedgerow Data'!$B$2:$AG$15,3,FALSE))</f>
        <v/>
      </c>
      <c r="S202" s="189"/>
      <c r="T202" s="269" t="str">
        <f>IFERROR(VLOOKUP(S202,'G-1 All Habitats'!$Z$2:$AA$9,2,FALSE),"")</f>
        <v/>
      </c>
      <c r="U202" s="186"/>
      <c r="V202" s="175" t="str">
        <f>IF(U202="","",IF(VLOOKUP(U202,'G-3 Multipliers'!$L$3:$N$6,2,FALSE)=0,"Spatial Data Missing",VLOOKUP(U202,'G-3 Multipliers'!$L$3:$N$6,2,FALSE)))</f>
        <v/>
      </c>
      <c r="W202" s="176" t="str">
        <f>IF(U202="","",IF(VLOOKUP(U202,'G-3 Multipliers'!$L$3:$N$6,3,FALSE)=0,"Spatial Data Missing",VLOOKUP(U202,'G-3 Multipliers'!$L$3:$N$6,3,FALSE)))</f>
        <v/>
      </c>
      <c r="X202" s="171" t="str">
        <f>IFERROR(IF(OR(LEFT(O202,5)="Error",LEFT(N202,5)="Error",T202="Error"),"Check Data",IF(F202&lt;R202,INDEX('G-6 Hedgerow Data'!$S$3:$AE$14,MATCH(C202,'G-6 Hedgerow Data'!$B$3:$B$14,0),MATCH(M202,'G-6 Hedgerow Data'!$S$2:$AE$2,0)),INDEX('G-6 Hedgerow Data'!$K$3:$Q$14,MATCH(M202,'G-6 Hedgerow Data'!$B$3:$B$14,0),MATCH(O202,'G-6 Hedgerow Data'!$K$2:$Q$2,0)))),"")</f>
        <v/>
      </c>
      <c r="Y202" s="261"/>
      <c r="Z202" s="261"/>
      <c r="AA202" s="179" t="str">
        <f t="shared" si="17"/>
        <v/>
      </c>
      <c r="AB202" s="262" t="str">
        <f t="shared" si="18"/>
        <v/>
      </c>
      <c r="AC202" s="263" t="str">
        <f t="shared" si="15"/>
        <v/>
      </c>
      <c r="AD202" s="239" t="str">
        <f>IF(M202="","",VLOOKUP(M202,'G-6 Hedgerow Data'!$B$3:$AG$15,31,FALSE))</f>
        <v/>
      </c>
      <c r="AE202" s="179" t="str">
        <f t="shared" si="19"/>
        <v/>
      </c>
      <c r="AF202" s="179" t="str">
        <f t="shared" si="20"/>
        <v/>
      </c>
      <c r="AG202" s="176" t="str">
        <f>IFERROR(IF(O202="","",VLOOKUP(AD202,'G-3 Multipliers'!$P$3:$Q$6,2,FALSE)),"")</f>
        <v/>
      </c>
      <c r="AH202" s="207" t="str">
        <f t="shared" si="16"/>
        <v/>
      </c>
      <c r="AI202" s="336"/>
      <c r="AJ202" s="181"/>
      <c r="AT202" s="35" t="str">
        <f>IFERROR(INDEX('G-6 Hedgerow Data'!$BJ$3:$BJ$15,MATCH(M202,'G-6 Hedgerow Data'!$B$3:$B$15,0)),"")</f>
        <v/>
      </c>
    </row>
    <row r="203" spans="2:46" ht="13.8" x14ac:dyDescent="0.25">
      <c r="B203" s="259" t="str">
        <f>'B-1 Site Hedge Baseline'!AK201</f>
        <v/>
      </c>
      <c r="C203" s="175" t="str">
        <f>IF(B203="","",IF(ISNA(VLOOKUP($B203,'B-1 Site Hedge Baseline'!$B$1:$L$257,3,FALSE)),"",(VLOOKUP($B203,'B-1 Site Hedge Baseline'!$B$1:$L$257,3,FALSE))))</f>
        <v/>
      </c>
      <c r="D203" s="175" t="str">
        <f>IF(B203="","",IF(ISNA(VLOOKUP($B203,'B-1 Site Hedge Baseline'!$B$1:$L$257,4,FALSE)),"",(VLOOKUP($B203,'B-1 Site Hedge Baseline'!$B$1:$L$257,4,FALSE))))</f>
        <v/>
      </c>
      <c r="E203" s="175" t="str">
        <f>IF(B203="","",IF(ISNA(VLOOKUP($B203,'B-1 Site Hedge Baseline'!$B$1:$L$257,5,FALSE)),"",(VLOOKUP($B203,'B-1 Site Hedge Baseline'!$B$1:$L$257,5,FALSE))))</f>
        <v/>
      </c>
      <c r="F203" s="175" t="str">
        <f>IF(B203="","",IF(ISNA(VLOOKUP($B203,'B-1 Site Hedge Baseline'!$B$1:$L$257,6,FALSE)),"",(VLOOKUP($B203,'B-1 Site Hedge Baseline'!$B$1:$L$257,6,FALSE))))</f>
        <v/>
      </c>
      <c r="G203" s="175" t="str">
        <f>IF(B203="","",IF(ISNA(VLOOKUP($B203,'B-1 Site Hedge Baseline'!$B$1:$L$257,7,FALSE)),"",(VLOOKUP($B203,'B-1 Site Hedge Baseline'!$B$1:$L$257,7,FALSE))))</f>
        <v/>
      </c>
      <c r="H203" s="175" t="str">
        <f>IF(B203="","",IF(ISNA(VLOOKUP($B203,'B-1 Site Hedge Baseline'!$B$1:$L$257,8,FALSE)),"",(VLOOKUP($B203,'B-1 Site Hedge Baseline'!$B$1:$L$257,8,FALSE))))</f>
        <v/>
      </c>
      <c r="I203" s="175" t="str">
        <f>IF(B203="","",IF(ISNA(VLOOKUP($B203,'B-1 Site Hedge Baseline'!$B$1:$L$257,10,FALSE)),"",(VLOOKUP($B203,'B-1 Site Hedge Baseline'!$B$1:$L$257,10,FALSE))))</f>
        <v/>
      </c>
      <c r="J203" s="175" t="str">
        <f>IF(B203="","",IF(ISNA(VLOOKUP($B203,'B-1 Site Hedge Baseline'!$B$1:$L$257,11,FALSE)),"",(VLOOKUP($B203,'B-1 Site Hedge Baseline'!$B$1:$L$257,11,FALSE))))</f>
        <v/>
      </c>
      <c r="K203" s="175" t="str">
        <f>IF(B203="","",IF(ISNA(VLOOKUP($B203,'B-1 Site Hedge Baseline'!$B$1:$U$257,13,FALSE)),"",(VLOOKUP($B203,'B-1 Site Hedge Baseline'!$B$1:$U$257,13,FALSE))))</f>
        <v/>
      </c>
      <c r="L203" s="176" t="str">
        <f>IF(B203="","",IF(ISNA(VLOOKUP($B203,'B-1 Site Hedge Baseline'!$B$1:$U$257,12,FALSE)),"",(VLOOKUP($B203,'B-1 Site Hedge Baseline'!$B$1:$U$257,12,FALSE))))</f>
        <v/>
      </c>
      <c r="M203" s="637"/>
      <c r="N203" s="171" t="str">
        <f>IFERROR(IF(B203="","",INDEX('G-6 Hedgerow Data'!$AN$3:$AZ$15,MATCH(C203,'G-6 Hedgerow Data'!$AM$3:$AM$15,0),MATCH(M203,'G-6 Hedgerow Data'!$AN$2:$AZ$2,0))),"")</f>
        <v/>
      </c>
      <c r="O203" s="172" t="str">
        <f t="shared" si="14"/>
        <v/>
      </c>
      <c r="P203" s="642" t="str">
        <f>IF(B203="","",VLOOKUP(B203,'B-1 Site Hedge Baseline'!$B$10:T448,16,FALSE))</f>
        <v/>
      </c>
      <c r="Q203" s="171" t="str">
        <f>IF(M203="","",VLOOKUP(M203,'G-6 Hedgerow Data'!$B$2:$AG$15,2,FALSE))</f>
        <v/>
      </c>
      <c r="R203" s="172" t="str">
        <f>IF(M203="","",VLOOKUP(M203,'G-6 Hedgerow Data'!$B$2:$AG$15,3,FALSE))</f>
        <v/>
      </c>
      <c r="S203" s="189"/>
      <c r="T203" s="269" t="str">
        <f>IFERROR(VLOOKUP(S203,'G-1 All Habitats'!$Z$2:$AA$9,2,FALSE),"")</f>
        <v/>
      </c>
      <c r="U203" s="186"/>
      <c r="V203" s="175" t="str">
        <f>IF(U203="","",IF(VLOOKUP(U203,'G-3 Multipliers'!$L$3:$N$6,2,FALSE)=0,"Spatial Data Missing",VLOOKUP(U203,'G-3 Multipliers'!$L$3:$N$6,2,FALSE)))</f>
        <v/>
      </c>
      <c r="W203" s="176" t="str">
        <f>IF(U203="","",IF(VLOOKUP(U203,'G-3 Multipliers'!$L$3:$N$6,3,FALSE)=0,"Spatial Data Missing",VLOOKUP(U203,'G-3 Multipliers'!$L$3:$N$6,3,FALSE)))</f>
        <v/>
      </c>
      <c r="X203" s="171" t="str">
        <f>IFERROR(IF(OR(LEFT(O203,5)="Error",LEFT(N203,5)="Error",T203="Error"),"Check Data",IF(F203&lt;R203,INDEX('G-6 Hedgerow Data'!$S$3:$AE$14,MATCH(C203,'G-6 Hedgerow Data'!$B$3:$B$14,0),MATCH(M203,'G-6 Hedgerow Data'!$S$2:$AE$2,0)),INDEX('G-6 Hedgerow Data'!$K$3:$Q$14,MATCH(M203,'G-6 Hedgerow Data'!$B$3:$B$14,0),MATCH(O203,'G-6 Hedgerow Data'!$K$2:$Q$2,0)))),"")</f>
        <v/>
      </c>
      <c r="Y203" s="261"/>
      <c r="Z203" s="261"/>
      <c r="AA203" s="179" t="str">
        <f t="shared" si="17"/>
        <v/>
      </c>
      <c r="AB203" s="262" t="str">
        <f t="shared" si="18"/>
        <v/>
      </c>
      <c r="AC203" s="263" t="str">
        <f t="shared" si="15"/>
        <v/>
      </c>
      <c r="AD203" s="239" t="str">
        <f>IF(M203="","",VLOOKUP(M203,'G-6 Hedgerow Data'!$B$3:$AG$15,31,FALSE))</f>
        <v/>
      </c>
      <c r="AE203" s="179" t="str">
        <f t="shared" si="19"/>
        <v/>
      </c>
      <c r="AF203" s="179" t="str">
        <f t="shared" si="20"/>
        <v/>
      </c>
      <c r="AG203" s="176" t="str">
        <f>IFERROR(IF(O203="","",VLOOKUP(AD203,'G-3 Multipliers'!$P$3:$Q$6,2,FALSE)),"")</f>
        <v/>
      </c>
      <c r="AH203" s="207" t="str">
        <f t="shared" si="16"/>
        <v/>
      </c>
      <c r="AI203" s="336"/>
      <c r="AJ203" s="181"/>
      <c r="AT203" s="35" t="str">
        <f>IFERROR(INDEX('G-6 Hedgerow Data'!$BJ$3:$BJ$15,MATCH(M203,'G-6 Hedgerow Data'!$B$3:$B$15,0)),"")</f>
        <v/>
      </c>
    </row>
    <row r="204" spans="2:46" ht="13.8" x14ac:dyDescent="0.25">
      <c r="B204" s="259" t="str">
        <f>'B-1 Site Hedge Baseline'!AK202</f>
        <v/>
      </c>
      <c r="C204" s="175" t="str">
        <f>IF(B204="","",IF(ISNA(VLOOKUP($B204,'B-1 Site Hedge Baseline'!$B$1:$L$257,3,FALSE)),"",(VLOOKUP($B204,'B-1 Site Hedge Baseline'!$B$1:$L$257,3,FALSE))))</f>
        <v/>
      </c>
      <c r="D204" s="175" t="str">
        <f>IF(B204="","",IF(ISNA(VLOOKUP($B204,'B-1 Site Hedge Baseline'!$B$1:$L$257,4,FALSE)),"",(VLOOKUP($B204,'B-1 Site Hedge Baseline'!$B$1:$L$257,4,FALSE))))</f>
        <v/>
      </c>
      <c r="E204" s="175" t="str">
        <f>IF(B204="","",IF(ISNA(VLOOKUP($B204,'B-1 Site Hedge Baseline'!$B$1:$L$257,5,FALSE)),"",(VLOOKUP($B204,'B-1 Site Hedge Baseline'!$B$1:$L$257,5,FALSE))))</f>
        <v/>
      </c>
      <c r="F204" s="175" t="str">
        <f>IF(B204="","",IF(ISNA(VLOOKUP($B204,'B-1 Site Hedge Baseline'!$B$1:$L$257,6,FALSE)),"",(VLOOKUP($B204,'B-1 Site Hedge Baseline'!$B$1:$L$257,6,FALSE))))</f>
        <v/>
      </c>
      <c r="G204" s="175" t="str">
        <f>IF(B204="","",IF(ISNA(VLOOKUP($B204,'B-1 Site Hedge Baseline'!$B$1:$L$257,7,FALSE)),"",(VLOOKUP($B204,'B-1 Site Hedge Baseline'!$B$1:$L$257,7,FALSE))))</f>
        <v/>
      </c>
      <c r="H204" s="175" t="str">
        <f>IF(B204="","",IF(ISNA(VLOOKUP($B204,'B-1 Site Hedge Baseline'!$B$1:$L$257,8,FALSE)),"",(VLOOKUP($B204,'B-1 Site Hedge Baseline'!$B$1:$L$257,8,FALSE))))</f>
        <v/>
      </c>
      <c r="I204" s="175" t="str">
        <f>IF(B204="","",IF(ISNA(VLOOKUP($B204,'B-1 Site Hedge Baseline'!$B$1:$L$257,10,FALSE)),"",(VLOOKUP($B204,'B-1 Site Hedge Baseline'!$B$1:$L$257,10,FALSE))))</f>
        <v/>
      </c>
      <c r="J204" s="175" t="str">
        <f>IF(B204="","",IF(ISNA(VLOOKUP($B204,'B-1 Site Hedge Baseline'!$B$1:$L$257,11,FALSE)),"",(VLOOKUP($B204,'B-1 Site Hedge Baseline'!$B$1:$L$257,11,FALSE))))</f>
        <v/>
      </c>
      <c r="K204" s="175" t="str">
        <f>IF(B204="","",IF(ISNA(VLOOKUP($B204,'B-1 Site Hedge Baseline'!$B$1:$U$257,13,FALSE)),"",(VLOOKUP($B204,'B-1 Site Hedge Baseline'!$B$1:$U$257,13,FALSE))))</f>
        <v/>
      </c>
      <c r="L204" s="176" t="str">
        <f>IF(B204="","",IF(ISNA(VLOOKUP($B204,'B-1 Site Hedge Baseline'!$B$1:$U$257,12,FALSE)),"",(VLOOKUP($B204,'B-1 Site Hedge Baseline'!$B$1:$U$257,12,FALSE))))</f>
        <v/>
      </c>
      <c r="M204" s="637"/>
      <c r="N204" s="171" t="str">
        <f>IFERROR(IF(B204="","",INDEX('G-6 Hedgerow Data'!$AN$3:$AZ$15,MATCH(C204,'G-6 Hedgerow Data'!$AM$3:$AM$15,0),MATCH(M204,'G-6 Hedgerow Data'!$AN$2:$AZ$2,0))),"")</f>
        <v/>
      </c>
      <c r="O204" s="172" t="str">
        <f t="shared" ref="O204:O257" si="21">IFERROR(IF(B204="","",IF(AND(LEFT(C204,55)&lt;&gt;LEFT(M204,55),N204="High - High"),"Error - Not like for like",IF(AND(LEFT(C204,55)&lt;&gt;LEFT(M204,55),N204="Medium - Medium"),"Error - Not like for like",IF(H204&gt;T204,"Error - Can not reduce condition",IF(AND(F204=R204,H204=T204),"Error - No enhancement",IF(AND(C204&lt;&gt;M204,F204&lt;R204),"Lower Distinctiveness Habitat"&amp;" - "&amp;S204,G204&amp;" - "&amp;S204)))))),"")</f>
        <v/>
      </c>
      <c r="P204" s="642" t="str">
        <f>IF(B204="","",VLOOKUP(B204,'B-1 Site Hedge Baseline'!$B$10:T449,16,FALSE))</f>
        <v/>
      </c>
      <c r="Q204" s="171" t="str">
        <f>IF(M204="","",VLOOKUP(M204,'G-6 Hedgerow Data'!$B$2:$AG$15,2,FALSE))</f>
        <v/>
      </c>
      <c r="R204" s="172" t="str">
        <f>IF(M204="","",VLOOKUP(M204,'G-6 Hedgerow Data'!$B$2:$AG$15,3,FALSE))</f>
        <v/>
      </c>
      <c r="S204" s="189"/>
      <c r="T204" s="269" t="str">
        <f>IFERROR(VLOOKUP(S204,'G-1 All Habitats'!$Z$2:$AA$9,2,FALSE),"")</f>
        <v/>
      </c>
      <c r="U204" s="186"/>
      <c r="V204" s="175" t="str">
        <f>IF(U204="","",IF(VLOOKUP(U204,'G-3 Multipliers'!$L$3:$N$6,2,FALSE)=0,"Spatial Data Missing",VLOOKUP(U204,'G-3 Multipliers'!$L$3:$N$6,2,FALSE)))</f>
        <v/>
      </c>
      <c r="W204" s="176" t="str">
        <f>IF(U204="","",IF(VLOOKUP(U204,'G-3 Multipliers'!$L$3:$N$6,3,FALSE)=0,"Spatial Data Missing",VLOOKUP(U204,'G-3 Multipliers'!$L$3:$N$6,3,FALSE)))</f>
        <v/>
      </c>
      <c r="X204" s="171" t="str">
        <f>IFERROR(IF(OR(LEFT(O204,5)="Error",LEFT(N204,5)="Error",T204="Error"),"Check Data",IF(F204&lt;R204,INDEX('G-6 Hedgerow Data'!$S$3:$AE$14,MATCH(C204,'G-6 Hedgerow Data'!$B$3:$B$14,0),MATCH(M204,'G-6 Hedgerow Data'!$S$2:$AE$2,0)),INDEX('G-6 Hedgerow Data'!$K$3:$Q$14,MATCH(M204,'G-6 Hedgerow Data'!$B$3:$B$14,0),MATCH(O204,'G-6 Hedgerow Data'!$K$2:$Q$2,0)))),"")</f>
        <v/>
      </c>
      <c r="Y204" s="261"/>
      <c r="Z204" s="261"/>
      <c r="AA204" s="179" t="str">
        <f t="shared" si="17"/>
        <v/>
      </c>
      <c r="AB204" s="262" t="str">
        <f t="shared" si="18"/>
        <v/>
      </c>
      <c r="AC204" s="263" t="str">
        <f t="shared" ref="AC204:AC257" si="22">IF(OR(S204="",M204=""),"",IF(LEFT(AB204,5)="Error","Check Data",IF(AB204="Check Data","Check Data",VLOOKUP(AB204,TemporalMultipliers,3,FALSE))))</f>
        <v/>
      </c>
      <c r="AD204" s="239" t="str">
        <f>IF(M204="","",VLOOKUP(M204,'G-6 Hedgerow Data'!$B$3:$AG$15,31,FALSE))</f>
        <v/>
      </c>
      <c r="AE204" s="179" t="str">
        <f t="shared" si="19"/>
        <v/>
      </c>
      <c r="AF204" s="179" t="str">
        <f t="shared" si="20"/>
        <v/>
      </c>
      <c r="AG204" s="176" t="str">
        <f>IFERROR(IF(O204="","",VLOOKUP(AD204,'G-3 Multipliers'!$P$3:$Q$6,2,FALSE)),"")</f>
        <v/>
      </c>
      <c r="AH204" s="207" t="str">
        <f t="shared" ref="AH204:AH257" si="23">IFERROR(IF(OR(M204="",S204="",U204=""),"",(((((P204*R204*T204)-(P204*F204*H204))*(AG204*AC204))+(P204*F204*H204))*(W204))),"")</f>
        <v/>
      </c>
      <c r="AI204" s="336"/>
      <c r="AJ204" s="181"/>
      <c r="AT204" s="35" t="str">
        <f>IFERROR(INDEX('G-6 Hedgerow Data'!$BJ$3:$BJ$15,MATCH(M204,'G-6 Hedgerow Data'!$B$3:$B$15,0)),"")</f>
        <v/>
      </c>
    </row>
    <row r="205" spans="2:46" ht="13.8" x14ac:dyDescent="0.25">
      <c r="B205" s="259" t="str">
        <f>'B-1 Site Hedge Baseline'!AK203</f>
        <v/>
      </c>
      <c r="C205" s="175" t="str">
        <f>IF(B205="","",IF(ISNA(VLOOKUP($B205,'B-1 Site Hedge Baseline'!$B$1:$L$257,3,FALSE)),"",(VLOOKUP($B205,'B-1 Site Hedge Baseline'!$B$1:$L$257,3,FALSE))))</f>
        <v/>
      </c>
      <c r="D205" s="175" t="str">
        <f>IF(B205="","",IF(ISNA(VLOOKUP($B205,'B-1 Site Hedge Baseline'!$B$1:$L$257,4,FALSE)),"",(VLOOKUP($B205,'B-1 Site Hedge Baseline'!$B$1:$L$257,4,FALSE))))</f>
        <v/>
      </c>
      <c r="E205" s="175" t="str">
        <f>IF(B205="","",IF(ISNA(VLOOKUP($B205,'B-1 Site Hedge Baseline'!$B$1:$L$257,5,FALSE)),"",(VLOOKUP($B205,'B-1 Site Hedge Baseline'!$B$1:$L$257,5,FALSE))))</f>
        <v/>
      </c>
      <c r="F205" s="175" t="str">
        <f>IF(B205="","",IF(ISNA(VLOOKUP($B205,'B-1 Site Hedge Baseline'!$B$1:$L$257,6,FALSE)),"",(VLOOKUP($B205,'B-1 Site Hedge Baseline'!$B$1:$L$257,6,FALSE))))</f>
        <v/>
      </c>
      <c r="G205" s="175" t="str">
        <f>IF(B205="","",IF(ISNA(VLOOKUP($B205,'B-1 Site Hedge Baseline'!$B$1:$L$257,7,FALSE)),"",(VLOOKUP($B205,'B-1 Site Hedge Baseline'!$B$1:$L$257,7,FALSE))))</f>
        <v/>
      </c>
      <c r="H205" s="175" t="str">
        <f>IF(B205="","",IF(ISNA(VLOOKUP($B205,'B-1 Site Hedge Baseline'!$B$1:$L$257,8,FALSE)),"",(VLOOKUP($B205,'B-1 Site Hedge Baseline'!$B$1:$L$257,8,FALSE))))</f>
        <v/>
      </c>
      <c r="I205" s="175" t="str">
        <f>IF(B205="","",IF(ISNA(VLOOKUP($B205,'B-1 Site Hedge Baseline'!$B$1:$L$257,10,FALSE)),"",(VLOOKUP($B205,'B-1 Site Hedge Baseline'!$B$1:$L$257,10,FALSE))))</f>
        <v/>
      </c>
      <c r="J205" s="175" t="str">
        <f>IF(B205="","",IF(ISNA(VLOOKUP($B205,'B-1 Site Hedge Baseline'!$B$1:$L$257,11,FALSE)),"",(VLOOKUP($B205,'B-1 Site Hedge Baseline'!$B$1:$L$257,11,FALSE))))</f>
        <v/>
      </c>
      <c r="K205" s="175" t="str">
        <f>IF(B205="","",IF(ISNA(VLOOKUP($B205,'B-1 Site Hedge Baseline'!$B$1:$U$257,13,FALSE)),"",(VLOOKUP($B205,'B-1 Site Hedge Baseline'!$B$1:$U$257,13,FALSE))))</f>
        <v/>
      </c>
      <c r="L205" s="176" t="str">
        <f>IF(B205="","",IF(ISNA(VLOOKUP($B205,'B-1 Site Hedge Baseline'!$B$1:$U$257,12,FALSE)),"",(VLOOKUP($B205,'B-1 Site Hedge Baseline'!$B$1:$U$257,12,FALSE))))</f>
        <v/>
      </c>
      <c r="M205" s="637"/>
      <c r="N205" s="171" t="str">
        <f>IFERROR(IF(B205="","",INDEX('G-6 Hedgerow Data'!$AN$3:$AZ$15,MATCH(C205,'G-6 Hedgerow Data'!$AM$3:$AM$15,0),MATCH(M205,'G-6 Hedgerow Data'!$AN$2:$AZ$2,0))),"")</f>
        <v/>
      </c>
      <c r="O205" s="172" t="str">
        <f t="shared" si="21"/>
        <v/>
      </c>
      <c r="P205" s="642" t="str">
        <f>IF(B205="","",VLOOKUP(B205,'B-1 Site Hedge Baseline'!$B$10:T450,16,FALSE))</f>
        <v/>
      </c>
      <c r="Q205" s="171" t="str">
        <f>IF(M205="","",VLOOKUP(M205,'G-6 Hedgerow Data'!$B$2:$AG$15,2,FALSE))</f>
        <v/>
      </c>
      <c r="R205" s="172" t="str">
        <f>IF(M205="","",VLOOKUP(M205,'G-6 Hedgerow Data'!$B$2:$AG$15,3,FALSE))</f>
        <v/>
      </c>
      <c r="S205" s="189"/>
      <c r="T205" s="269" t="str">
        <f>IFERROR(VLOOKUP(S205,'G-1 All Habitats'!$Z$2:$AA$9,2,FALSE),"")</f>
        <v/>
      </c>
      <c r="U205" s="186"/>
      <c r="V205" s="175" t="str">
        <f>IF(U205="","",IF(VLOOKUP(U205,'G-3 Multipliers'!$L$3:$N$6,2,FALSE)=0,"Spatial Data Missing",VLOOKUP(U205,'G-3 Multipliers'!$L$3:$N$6,2,FALSE)))</f>
        <v/>
      </c>
      <c r="W205" s="176" t="str">
        <f>IF(U205="","",IF(VLOOKUP(U205,'G-3 Multipliers'!$L$3:$N$6,3,FALSE)=0,"Spatial Data Missing",VLOOKUP(U205,'G-3 Multipliers'!$L$3:$N$6,3,FALSE)))</f>
        <v/>
      </c>
      <c r="X205" s="171" t="str">
        <f>IFERROR(IF(OR(LEFT(O205,5)="Error",LEFT(N205,5)="Error",T205="Error"),"Check Data",IF(F205&lt;R205,INDEX('G-6 Hedgerow Data'!$S$3:$AE$14,MATCH(C205,'G-6 Hedgerow Data'!$B$3:$B$14,0),MATCH(M205,'G-6 Hedgerow Data'!$S$2:$AE$2,0)),INDEX('G-6 Hedgerow Data'!$K$3:$Q$14,MATCH(M205,'G-6 Hedgerow Data'!$B$3:$B$14,0),MATCH(O205,'G-6 Hedgerow Data'!$K$2:$Q$2,0)))),"")</f>
        <v/>
      </c>
      <c r="Y205" s="261"/>
      <c r="Z205" s="261"/>
      <c r="AA205" s="179" t="str">
        <f t="shared" ref="AA205:AA257" si="24">IF(X205="Check Data","Check Data",IF(M205="","",IF(AND(Y205&gt;0,Z205&gt;0),"Error -both advance and delayed habitat creation",IF(AND(OR(Y205="Habitat already in target condition",X205&lt;=Y205),Z205=0),"Check details - Is there evidence that habitat has reached target condition?",IF(X205="","",IF(Y205&gt;0,"Check details - Is there evidence habitat creation started/in place?",IF(Z205&gt;0,"Check details- Delay in starting habitat in required condition?","Standard time to target condition applied")))))))</f>
        <v/>
      </c>
      <c r="AB205" s="262" t="str">
        <f t="shared" ref="AB205:AB257" si="25">IF(X205="","",IF(AA205="Check Data","Check Data",IF(Y205="30+",0,IF(Z205="30+","30+",IF(X205+Z205&gt;30,"30+",IF(LEFT(AA205,5)="Error","Check Data",IF(X205+Z205-Y205&gt;0,X205+Z205-Y205,IF(X205-Y205&lt;=0,0,))))))))</f>
        <v/>
      </c>
      <c r="AC205" s="263" t="str">
        <f t="shared" si="22"/>
        <v/>
      </c>
      <c r="AD205" s="239" t="str">
        <f>IF(M205="","",VLOOKUP(M205,'G-6 Hedgerow Data'!$B$3:$AG$15,31,FALSE))</f>
        <v/>
      </c>
      <c r="AE205" s="179" t="str">
        <f t="shared" ref="AE205:AE257" si="26">IF(M205="","",IF(OR(LEFT(AA205,5)="Error",AA205="Check Data"),"Check Data",IF(X205="","",IF($AA205="Check details - Is there evidence that habitat has reached target condition?","Low Difficulty - only applicable if all habitat created before losses","Standard difficulty applied"))))</f>
        <v/>
      </c>
      <c r="AF205" s="179" t="str">
        <f t="shared" ref="AF205:AF257" si="27">(IF(AND(AE205="Standard difficulty applied",X205&gt;Y205),AD205,IF(AND(AE205="Low Difficulty - only applicable if all habitat created before losses",Y205&gt;=X205),"Low",AD205)))</f>
        <v/>
      </c>
      <c r="AG205" s="176" t="str">
        <f>IFERROR(IF(O205="","",VLOOKUP(AD205,'G-3 Multipliers'!$P$3:$Q$6,2,FALSE)),"")</f>
        <v/>
      </c>
      <c r="AH205" s="207" t="str">
        <f t="shared" si="23"/>
        <v/>
      </c>
      <c r="AI205" s="336"/>
      <c r="AJ205" s="181"/>
      <c r="AT205" s="35" t="str">
        <f>IFERROR(INDEX('G-6 Hedgerow Data'!$BJ$3:$BJ$15,MATCH(M205,'G-6 Hedgerow Data'!$B$3:$B$15,0)),"")</f>
        <v/>
      </c>
    </row>
    <row r="206" spans="2:46" ht="13.8" x14ac:dyDescent="0.25">
      <c r="B206" s="259" t="str">
        <f>'B-1 Site Hedge Baseline'!AK204</f>
        <v/>
      </c>
      <c r="C206" s="175" t="str">
        <f>IF(B206="","",IF(ISNA(VLOOKUP($B206,'B-1 Site Hedge Baseline'!$B$1:$L$257,3,FALSE)),"",(VLOOKUP($B206,'B-1 Site Hedge Baseline'!$B$1:$L$257,3,FALSE))))</f>
        <v/>
      </c>
      <c r="D206" s="175" t="str">
        <f>IF(B206="","",IF(ISNA(VLOOKUP($B206,'B-1 Site Hedge Baseline'!$B$1:$L$257,4,FALSE)),"",(VLOOKUP($B206,'B-1 Site Hedge Baseline'!$B$1:$L$257,4,FALSE))))</f>
        <v/>
      </c>
      <c r="E206" s="175" t="str">
        <f>IF(B206="","",IF(ISNA(VLOOKUP($B206,'B-1 Site Hedge Baseline'!$B$1:$L$257,5,FALSE)),"",(VLOOKUP($B206,'B-1 Site Hedge Baseline'!$B$1:$L$257,5,FALSE))))</f>
        <v/>
      </c>
      <c r="F206" s="175" t="str">
        <f>IF(B206="","",IF(ISNA(VLOOKUP($B206,'B-1 Site Hedge Baseline'!$B$1:$L$257,6,FALSE)),"",(VLOOKUP($B206,'B-1 Site Hedge Baseline'!$B$1:$L$257,6,FALSE))))</f>
        <v/>
      </c>
      <c r="G206" s="175" t="str">
        <f>IF(B206="","",IF(ISNA(VLOOKUP($B206,'B-1 Site Hedge Baseline'!$B$1:$L$257,7,FALSE)),"",(VLOOKUP($B206,'B-1 Site Hedge Baseline'!$B$1:$L$257,7,FALSE))))</f>
        <v/>
      </c>
      <c r="H206" s="175" t="str">
        <f>IF(B206="","",IF(ISNA(VLOOKUP($B206,'B-1 Site Hedge Baseline'!$B$1:$L$257,8,FALSE)),"",(VLOOKUP($B206,'B-1 Site Hedge Baseline'!$B$1:$L$257,8,FALSE))))</f>
        <v/>
      </c>
      <c r="I206" s="175" t="str">
        <f>IF(B206="","",IF(ISNA(VLOOKUP($B206,'B-1 Site Hedge Baseline'!$B$1:$L$257,10,FALSE)),"",(VLOOKUP($B206,'B-1 Site Hedge Baseline'!$B$1:$L$257,10,FALSE))))</f>
        <v/>
      </c>
      <c r="J206" s="175" t="str">
        <f>IF(B206="","",IF(ISNA(VLOOKUP($B206,'B-1 Site Hedge Baseline'!$B$1:$L$257,11,FALSE)),"",(VLOOKUP($B206,'B-1 Site Hedge Baseline'!$B$1:$L$257,11,FALSE))))</f>
        <v/>
      </c>
      <c r="K206" s="175" t="str">
        <f>IF(B206="","",IF(ISNA(VLOOKUP($B206,'B-1 Site Hedge Baseline'!$B$1:$U$257,13,FALSE)),"",(VLOOKUP($B206,'B-1 Site Hedge Baseline'!$B$1:$U$257,13,FALSE))))</f>
        <v/>
      </c>
      <c r="L206" s="176" t="str">
        <f>IF(B206="","",IF(ISNA(VLOOKUP($B206,'B-1 Site Hedge Baseline'!$B$1:$U$257,12,FALSE)),"",(VLOOKUP($B206,'B-1 Site Hedge Baseline'!$B$1:$U$257,12,FALSE))))</f>
        <v/>
      </c>
      <c r="M206" s="637"/>
      <c r="N206" s="171" t="str">
        <f>IFERROR(IF(B206="","",INDEX('G-6 Hedgerow Data'!$AN$3:$AZ$15,MATCH(C206,'G-6 Hedgerow Data'!$AM$3:$AM$15,0),MATCH(M206,'G-6 Hedgerow Data'!$AN$2:$AZ$2,0))),"")</f>
        <v/>
      </c>
      <c r="O206" s="172" t="str">
        <f t="shared" si="21"/>
        <v/>
      </c>
      <c r="P206" s="642" t="str">
        <f>IF(B206="","",VLOOKUP(B206,'B-1 Site Hedge Baseline'!$B$10:T451,16,FALSE))</f>
        <v/>
      </c>
      <c r="Q206" s="171" t="str">
        <f>IF(M206="","",VLOOKUP(M206,'G-6 Hedgerow Data'!$B$2:$AG$15,2,FALSE))</f>
        <v/>
      </c>
      <c r="R206" s="172" t="str">
        <f>IF(M206="","",VLOOKUP(M206,'G-6 Hedgerow Data'!$B$2:$AG$15,3,FALSE))</f>
        <v/>
      </c>
      <c r="S206" s="189"/>
      <c r="T206" s="269" t="str">
        <f>IFERROR(VLOOKUP(S206,'G-1 All Habitats'!$Z$2:$AA$9,2,FALSE),"")</f>
        <v/>
      </c>
      <c r="U206" s="186"/>
      <c r="V206" s="175" t="str">
        <f>IF(U206="","",IF(VLOOKUP(U206,'G-3 Multipliers'!$L$3:$N$6,2,FALSE)=0,"Spatial Data Missing",VLOOKUP(U206,'G-3 Multipliers'!$L$3:$N$6,2,FALSE)))</f>
        <v/>
      </c>
      <c r="W206" s="176" t="str">
        <f>IF(U206="","",IF(VLOOKUP(U206,'G-3 Multipliers'!$L$3:$N$6,3,FALSE)=0,"Spatial Data Missing",VLOOKUP(U206,'G-3 Multipliers'!$L$3:$N$6,3,FALSE)))</f>
        <v/>
      </c>
      <c r="X206" s="171" t="str">
        <f>IFERROR(IF(OR(LEFT(O206,5)="Error",LEFT(N206,5)="Error",T206="Error"),"Check Data",IF(F206&lt;R206,INDEX('G-6 Hedgerow Data'!$S$3:$AE$14,MATCH(C206,'G-6 Hedgerow Data'!$B$3:$B$14,0),MATCH(M206,'G-6 Hedgerow Data'!$S$2:$AE$2,0)),INDEX('G-6 Hedgerow Data'!$K$3:$Q$14,MATCH(M206,'G-6 Hedgerow Data'!$B$3:$B$14,0),MATCH(O206,'G-6 Hedgerow Data'!$K$2:$Q$2,0)))),"")</f>
        <v/>
      </c>
      <c r="Y206" s="261"/>
      <c r="Z206" s="261"/>
      <c r="AA206" s="179" t="str">
        <f t="shared" si="24"/>
        <v/>
      </c>
      <c r="AB206" s="262" t="str">
        <f t="shared" si="25"/>
        <v/>
      </c>
      <c r="AC206" s="263" t="str">
        <f t="shared" si="22"/>
        <v/>
      </c>
      <c r="AD206" s="239" t="str">
        <f>IF(M206="","",VLOOKUP(M206,'G-6 Hedgerow Data'!$B$3:$AG$15,31,FALSE))</f>
        <v/>
      </c>
      <c r="AE206" s="179" t="str">
        <f t="shared" si="26"/>
        <v/>
      </c>
      <c r="AF206" s="179" t="str">
        <f t="shared" si="27"/>
        <v/>
      </c>
      <c r="AG206" s="176" t="str">
        <f>IFERROR(IF(O206="","",VLOOKUP(AD206,'G-3 Multipliers'!$P$3:$Q$6,2,FALSE)),"")</f>
        <v/>
      </c>
      <c r="AH206" s="207" t="str">
        <f t="shared" si="23"/>
        <v/>
      </c>
      <c r="AI206" s="336"/>
      <c r="AJ206" s="181"/>
      <c r="AT206" s="35" t="str">
        <f>IFERROR(INDEX('G-6 Hedgerow Data'!$BJ$3:$BJ$15,MATCH(M206,'G-6 Hedgerow Data'!$B$3:$B$15,0)),"")</f>
        <v/>
      </c>
    </row>
    <row r="207" spans="2:46" ht="13.8" x14ac:dyDescent="0.25">
      <c r="B207" s="259" t="str">
        <f>'B-1 Site Hedge Baseline'!AK205</f>
        <v/>
      </c>
      <c r="C207" s="175" t="str">
        <f>IF(B207="","",IF(ISNA(VLOOKUP($B207,'B-1 Site Hedge Baseline'!$B$1:$L$257,3,FALSE)),"",(VLOOKUP($B207,'B-1 Site Hedge Baseline'!$B$1:$L$257,3,FALSE))))</f>
        <v/>
      </c>
      <c r="D207" s="175" t="str">
        <f>IF(B207="","",IF(ISNA(VLOOKUP($B207,'B-1 Site Hedge Baseline'!$B$1:$L$257,4,FALSE)),"",(VLOOKUP($B207,'B-1 Site Hedge Baseline'!$B$1:$L$257,4,FALSE))))</f>
        <v/>
      </c>
      <c r="E207" s="175" t="str">
        <f>IF(B207="","",IF(ISNA(VLOOKUP($B207,'B-1 Site Hedge Baseline'!$B$1:$L$257,5,FALSE)),"",(VLOOKUP($B207,'B-1 Site Hedge Baseline'!$B$1:$L$257,5,FALSE))))</f>
        <v/>
      </c>
      <c r="F207" s="175" t="str">
        <f>IF(B207="","",IF(ISNA(VLOOKUP($B207,'B-1 Site Hedge Baseline'!$B$1:$L$257,6,FALSE)),"",(VLOOKUP($B207,'B-1 Site Hedge Baseline'!$B$1:$L$257,6,FALSE))))</f>
        <v/>
      </c>
      <c r="G207" s="175" t="str">
        <f>IF(B207="","",IF(ISNA(VLOOKUP($B207,'B-1 Site Hedge Baseline'!$B$1:$L$257,7,FALSE)),"",(VLOOKUP($B207,'B-1 Site Hedge Baseline'!$B$1:$L$257,7,FALSE))))</f>
        <v/>
      </c>
      <c r="H207" s="175" t="str">
        <f>IF(B207="","",IF(ISNA(VLOOKUP($B207,'B-1 Site Hedge Baseline'!$B$1:$L$257,8,FALSE)),"",(VLOOKUP($B207,'B-1 Site Hedge Baseline'!$B$1:$L$257,8,FALSE))))</f>
        <v/>
      </c>
      <c r="I207" s="175" t="str">
        <f>IF(B207="","",IF(ISNA(VLOOKUP($B207,'B-1 Site Hedge Baseline'!$B$1:$L$257,10,FALSE)),"",(VLOOKUP($B207,'B-1 Site Hedge Baseline'!$B$1:$L$257,10,FALSE))))</f>
        <v/>
      </c>
      <c r="J207" s="175" t="str">
        <f>IF(B207="","",IF(ISNA(VLOOKUP($B207,'B-1 Site Hedge Baseline'!$B$1:$L$257,11,FALSE)),"",(VLOOKUP($B207,'B-1 Site Hedge Baseline'!$B$1:$L$257,11,FALSE))))</f>
        <v/>
      </c>
      <c r="K207" s="175" t="str">
        <f>IF(B207="","",IF(ISNA(VLOOKUP($B207,'B-1 Site Hedge Baseline'!$B$1:$U$257,13,FALSE)),"",(VLOOKUP($B207,'B-1 Site Hedge Baseline'!$B$1:$U$257,13,FALSE))))</f>
        <v/>
      </c>
      <c r="L207" s="176" t="str">
        <f>IF(B207="","",IF(ISNA(VLOOKUP($B207,'B-1 Site Hedge Baseline'!$B$1:$U$257,12,FALSE)),"",(VLOOKUP($B207,'B-1 Site Hedge Baseline'!$B$1:$U$257,12,FALSE))))</f>
        <v/>
      </c>
      <c r="M207" s="637"/>
      <c r="N207" s="171" t="str">
        <f>IFERROR(IF(B207="","",INDEX('G-6 Hedgerow Data'!$AN$3:$AZ$15,MATCH(C207,'G-6 Hedgerow Data'!$AM$3:$AM$15,0),MATCH(M207,'G-6 Hedgerow Data'!$AN$2:$AZ$2,0))),"")</f>
        <v/>
      </c>
      <c r="O207" s="172" t="str">
        <f t="shared" si="21"/>
        <v/>
      </c>
      <c r="P207" s="642" t="str">
        <f>IF(B207="","",VLOOKUP(B207,'B-1 Site Hedge Baseline'!$B$10:T452,16,FALSE))</f>
        <v/>
      </c>
      <c r="Q207" s="171" t="str">
        <f>IF(M207="","",VLOOKUP(M207,'G-6 Hedgerow Data'!$B$2:$AG$15,2,FALSE))</f>
        <v/>
      </c>
      <c r="R207" s="172" t="str">
        <f>IF(M207="","",VLOOKUP(M207,'G-6 Hedgerow Data'!$B$2:$AG$15,3,FALSE))</f>
        <v/>
      </c>
      <c r="S207" s="189"/>
      <c r="T207" s="269" t="str">
        <f>IFERROR(VLOOKUP(S207,'G-1 All Habitats'!$Z$2:$AA$9,2,FALSE),"")</f>
        <v/>
      </c>
      <c r="U207" s="186"/>
      <c r="V207" s="175" t="str">
        <f>IF(U207="","",IF(VLOOKUP(U207,'G-3 Multipliers'!$L$3:$N$6,2,FALSE)=0,"Spatial Data Missing",VLOOKUP(U207,'G-3 Multipliers'!$L$3:$N$6,2,FALSE)))</f>
        <v/>
      </c>
      <c r="W207" s="176" t="str">
        <f>IF(U207="","",IF(VLOOKUP(U207,'G-3 Multipliers'!$L$3:$N$6,3,FALSE)=0,"Spatial Data Missing",VLOOKUP(U207,'G-3 Multipliers'!$L$3:$N$6,3,FALSE)))</f>
        <v/>
      </c>
      <c r="X207" s="171" t="str">
        <f>IFERROR(IF(OR(LEFT(O207,5)="Error",LEFT(N207,5)="Error",T207="Error"),"Check Data",IF(F207&lt;R207,INDEX('G-6 Hedgerow Data'!$S$3:$AE$14,MATCH(C207,'G-6 Hedgerow Data'!$B$3:$B$14,0),MATCH(M207,'G-6 Hedgerow Data'!$S$2:$AE$2,0)),INDEX('G-6 Hedgerow Data'!$K$3:$Q$14,MATCH(M207,'G-6 Hedgerow Data'!$B$3:$B$14,0),MATCH(O207,'G-6 Hedgerow Data'!$K$2:$Q$2,0)))),"")</f>
        <v/>
      </c>
      <c r="Y207" s="261"/>
      <c r="Z207" s="261"/>
      <c r="AA207" s="179" t="str">
        <f t="shared" si="24"/>
        <v/>
      </c>
      <c r="AB207" s="262" t="str">
        <f t="shared" si="25"/>
        <v/>
      </c>
      <c r="AC207" s="263" t="str">
        <f t="shared" si="22"/>
        <v/>
      </c>
      <c r="AD207" s="239" t="str">
        <f>IF(M207="","",VLOOKUP(M207,'G-6 Hedgerow Data'!$B$3:$AG$15,31,FALSE))</f>
        <v/>
      </c>
      <c r="AE207" s="179" t="str">
        <f t="shared" si="26"/>
        <v/>
      </c>
      <c r="AF207" s="179" t="str">
        <f t="shared" si="27"/>
        <v/>
      </c>
      <c r="AG207" s="176" t="str">
        <f>IFERROR(IF(O207="","",VLOOKUP(AD207,'G-3 Multipliers'!$P$3:$Q$6,2,FALSE)),"")</f>
        <v/>
      </c>
      <c r="AH207" s="207" t="str">
        <f t="shared" si="23"/>
        <v/>
      </c>
      <c r="AI207" s="336"/>
      <c r="AJ207" s="181"/>
      <c r="AT207" s="35" t="str">
        <f>IFERROR(INDEX('G-6 Hedgerow Data'!$BJ$3:$BJ$15,MATCH(M207,'G-6 Hedgerow Data'!$B$3:$B$15,0)),"")</f>
        <v/>
      </c>
    </row>
    <row r="208" spans="2:46" ht="13.8" x14ac:dyDescent="0.25">
      <c r="B208" s="259" t="str">
        <f>'B-1 Site Hedge Baseline'!AK206</f>
        <v/>
      </c>
      <c r="C208" s="175" t="str">
        <f>IF(B208="","",IF(ISNA(VLOOKUP($B208,'B-1 Site Hedge Baseline'!$B$1:$L$257,3,FALSE)),"",(VLOOKUP($B208,'B-1 Site Hedge Baseline'!$B$1:$L$257,3,FALSE))))</f>
        <v/>
      </c>
      <c r="D208" s="175" t="str">
        <f>IF(B208="","",IF(ISNA(VLOOKUP($B208,'B-1 Site Hedge Baseline'!$B$1:$L$257,4,FALSE)),"",(VLOOKUP($B208,'B-1 Site Hedge Baseline'!$B$1:$L$257,4,FALSE))))</f>
        <v/>
      </c>
      <c r="E208" s="175" t="str">
        <f>IF(B208="","",IF(ISNA(VLOOKUP($B208,'B-1 Site Hedge Baseline'!$B$1:$L$257,5,FALSE)),"",(VLOOKUP($B208,'B-1 Site Hedge Baseline'!$B$1:$L$257,5,FALSE))))</f>
        <v/>
      </c>
      <c r="F208" s="175" t="str">
        <f>IF(B208="","",IF(ISNA(VLOOKUP($B208,'B-1 Site Hedge Baseline'!$B$1:$L$257,6,FALSE)),"",(VLOOKUP($B208,'B-1 Site Hedge Baseline'!$B$1:$L$257,6,FALSE))))</f>
        <v/>
      </c>
      <c r="G208" s="175" t="str">
        <f>IF(B208="","",IF(ISNA(VLOOKUP($B208,'B-1 Site Hedge Baseline'!$B$1:$L$257,7,FALSE)),"",(VLOOKUP($B208,'B-1 Site Hedge Baseline'!$B$1:$L$257,7,FALSE))))</f>
        <v/>
      </c>
      <c r="H208" s="175" t="str">
        <f>IF(B208="","",IF(ISNA(VLOOKUP($B208,'B-1 Site Hedge Baseline'!$B$1:$L$257,8,FALSE)),"",(VLOOKUP($B208,'B-1 Site Hedge Baseline'!$B$1:$L$257,8,FALSE))))</f>
        <v/>
      </c>
      <c r="I208" s="175" t="str">
        <f>IF(B208="","",IF(ISNA(VLOOKUP($B208,'B-1 Site Hedge Baseline'!$B$1:$L$257,10,FALSE)),"",(VLOOKUP($B208,'B-1 Site Hedge Baseline'!$B$1:$L$257,10,FALSE))))</f>
        <v/>
      </c>
      <c r="J208" s="175" t="str">
        <f>IF(B208="","",IF(ISNA(VLOOKUP($B208,'B-1 Site Hedge Baseline'!$B$1:$L$257,11,FALSE)),"",(VLOOKUP($B208,'B-1 Site Hedge Baseline'!$B$1:$L$257,11,FALSE))))</f>
        <v/>
      </c>
      <c r="K208" s="175" t="str">
        <f>IF(B208="","",IF(ISNA(VLOOKUP($B208,'B-1 Site Hedge Baseline'!$B$1:$U$257,13,FALSE)),"",(VLOOKUP($B208,'B-1 Site Hedge Baseline'!$B$1:$U$257,13,FALSE))))</f>
        <v/>
      </c>
      <c r="L208" s="176" t="str">
        <f>IF(B208="","",IF(ISNA(VLOOKUP($B208,'B-1 Site Hedge Baseline'!$B$1:$U$257,12,FALSE)),"",(VLOOKUP($B208,'B-1 Site Hedge Baseline'!$B$1:$U$257,12,FALSE))))</f>
        <v/>
      </c>
      <c r="M208" s="637"/>
      <c r="N208" s="171" t="str">
        <f>IFERROR(IF(B208="","",INDEX('G-6 Hedgerow Data'!$AN$3:$AZ$15,MATCH(C208,'G-6 Hedgerow Data'!$AM$3:$AM$15,0),MATCH(M208,'G-6 Hedgerow Data'!$AN$2:$AZ$2,0))),"")</f>
        <v/>
      </c>
      <c r="O208" s="172" t="str">
        <f t="shared" si="21"/>
        <v/>
      </c>
      <c r="P208" s="642" t="str">
        <f>IF(B208="","",VLOOKUP(B208,'B-1 Site Hedge Baseline'!$B$10:T453,16,FALSE))</f>
        <v/>
      </c>
      <c r="Q208" s="171" t="str">
        <f>IF(M208="","",VLOOKUP(M208,'G-6 Hedgerow Data'!$B$2:$AG$15,2,FALSE))</f>
        <v/>
      </c>
      <c r="R208" s="172" t="str">
        <f>IF(M208="","",VLOOKUP(M208,'G-6 Hedgerow Data'!$B$2:$AG$15,3,FALSE))</f>
        <v/>
      </c>
      <c r="S208" s="189"/>
      <c r="T208" s="269" t="str">
        <f>IFERROR(VLOOKUP(S208,'G-1 All Habitats'!$Z$2:$AA$9,2,FALSE),"")</f>
        <v/>
      </c>
      <c r="U208" s="186"/>
      <c r="V208" s="175" t="str">
        <f>IF(U208="","",IF(VLOOKUP(U208,'G-3 Multipliers'!$L$3:$N$6,2,FALSE)=0,"Spatial Data Missing",VLOOKUP(U208,'G-3 Multipliers'!$L$3:$N$6,2,FALSE)))</f>
        <v/>
      </c>
      <c r="W208" s="176" t="str">
        <f>IF(U208="","",IF(VLOOKUP(U208,'G-3 Multipliers'!$L$3:$N$6,3,FALSE)=0,"Spatial Data Missing",VLOOKUP(U208,'G-3 Multipliers'!$L$3:$N$6,3,FALSE)))</f>
        <v/>
      </c>
      <c r="X208" s="171" t="str">
        <f>IFERROR(IF(OR(LEFT(O208,5)="Error",LEFT(N208,5)="Error",T208="Error"),"Check Data",IF(F208&lt;R208,INDEX('G-6 Hedgerow Data'!$S$3:$AE$14,MATCH(C208,'G-6 Hedgerow Data'!$B$3:$B$14,0),MATCH(M208,'G-6 Hedgerow Data'!$S$2:$AE$2,0)),INDEX('G-6 Hedgerow Data'!$K$3:$Q$14,MATCH(M208,'G-6 Hedgerow Data'!$B$3:$B$14,0),MATCH(O208,'G-6 Hedgerow Data'!$K$2:$Q$2,0)))),"")</f>
        <v/>
      </c>
      <c r="Y208" s="261"/>
      <c r="Z208" s="261"/>
      <c r="AA208" s="179" t="str">
        <f t="shared" si="24"/>
        <v/>
      </c>
      <c r="AB208" s="262" t="str">
        <f t="shared" si="25"/>
        <v/>
      </c>
      <c r="AC208" s="263" t="str">
        <f t="shared" si="22"/>
        <v/>
      </c>
      <c r="AD208" s="239" t="str">
        <f>IF(M208="","",VLOOKUP(M208,'G-6 Hedgerow Data'!$B$3:$AG$15,31,FALSE))</f>
        <v/>
      </c>
      <c r="AE208" s="179" t="str">
        <f t="shared" si="26"/>
        <v/>
      </c>
      <c r="AF208" s="179" t="str">
        <f t="shared" si="27"/>
        <v/>
      </c>
      <c r="AG208" s="176" t="str">
        <f>IFERROR(IF(O208="","",VLOOKUP(AD208,'G-3 Multipliers'!$P$3:$Q$6,2,FALSE)),"")</f>
        <v/>
      </c>
      <c r="AH208" s="207" t="str">
        <f t="shared" si="23"/>
        <v/>
      </c>
      <c r="AI208" s="336"/>
      <c r="AJ208" s="181"/>
      <c r="AT208" s="35" t="str">
        <f>IFERROR(INDEX('G-6 Hedgerow Data'!$BJ$3:$BJ$15,MATCH(M208,'G-6 Hedgerow Data'!$B$3:$B$15,0)),"")</f>
        <v/>
      </c>
    </row>
    <row r="209" spans="2:46" ht="13.8" x14ac:dyDescent="0.25">
      <c r="B209" s="259" t="str">
        <f>'B-1 Site Hedge Baseline'!AK207</f>
        <v/>
      </c>
      <c r="C209" s="175" t="str">
        <f>IF(B209="","",IF(ISNA(VLOOKUP($B209,'B-1 Site Hedge Baseline'!$B$1:$L$257,3,FALSE)),"",(VLOOKUP($B209,'B-1 Site Hedge Baseline'!$B$1:$L$257,3,FALSE))))</f>
        <v/>
      </c>
      <c r="D209" s="175" t="str">
        <f>IF(B209="","",IF(ISNA(VLOOKUP($B209,'B-1 Site Hedge Baseline'!$B$1:$L$257,4,FALSE)),"",(VLOOKUP($B209,'B-1 Site Hedge Baseline'!$B$1:$L$257,4,FALSE))))</f>
        <v/>
      </c>
      <c r="E209" s="175" t="str">
        <f>IF(B209="","",IF(ISNA(VLOOKUP($B209,'B-1 Site Hedge Baseline'!$B$1:$L$257,5,FALSE)),"",(VLOOKUP($B209,'B-1 Site Hedge Baseline'!$B$1:$L$257,5,FALSE))))</f>
        <v/>
      </c>
      <c r="F209" s="175" t="str">
        <f>IF(B209="","",IF(ISNA(VLOOKUP($B209,'B-1 Site Hedge Baseline'!$B$1:$L$257,6,FALSE)),"",(VLOOKUP($B209,'B-1 Site Hedge Baseline'!$B$1:$L$257,6,FALSE))))</f>
        <v/>
      </c>
      <c r="G209" s="175" t="str">
        <f>IF(B209="","",IF(ISNA(VLOOKUP($B209,'B-1 Site Hedge Baseline'!$B$1:$L$257,7,FALSE)),"",(VLOOKUP($B209,'B-1 Site Hedge Baseline'!$B$1:$L$257,7,FALSE))))</f>
        <v/>
      </c>
      <c r="H209" s="175" t="str">
        <f>IF(B209="","",IF(ISNA(VLOOKUP($B209,'B-1 Site Hedge Baseline'!$B$1:$L$257,8,FALSE)),"",(VLOOKUP($B209,'B-1 Site Hedge Baseline'!$B$1:$L$257,8,FALSE))))</f>
        <v/>
      </c>
      <c r="I209" s="175" t="str">
        <f>IF(B209="","",IF(ISNA(VLOOKUP($B209,'B-1 Site Hedge Baseline'!$B$1:$L$257,10,FALSE)),"",(VLOOKUP($B209,'B-1 Site Hedge Baseline'!$B$1:$L$257,10,FALSE))))</f>
        <v/>
      </c>
      <c r="J209" s="175" t="str">
        <f>IF(B209="","",IF(ISNA(VLOOKUP($B209,'B-1 Site Hedge Baseline'!$B$1:$L$257,11,FALSE)),"",(VLOOKUP($B209,'B-1 Site Hedge Baseline'!$B$1:$L$257,11,FALSE))))</f>
        <v/>
      </c>
      <c r="K209" s="175" t="str">
        <f>IF(B209="","",IF(ISNA(VLOOKUP($B209,'B-1 Site Hedge Baseline'!$B$1:$U$257,13,FALSE)),"",(VLOOKUP($B209,'B-1 Site Hedge Baseline'!$B$1:$U$257,13,FALSE))))</f>
        <v/>
      </c>
      <c r="L209" s="176" t="str">
        <f>IF(B209="","",IF(ISNA(VLOOKUP($B209,'B-1 Site Hedge Baseline'!$B$1:$U$257,12,FALSE)),"",(VLOOKUP($B209,'B-1 Site Hedge Baseline'!$B$1:$U$257,12,FALSE))))</f>
        <v/>
      </c>
      <c r="M209" s="637"/>
      <c r="N209" s="171" t="str">
        <f>IFERROR(IF(B209="","",INDEX('G-6 Hedgerow Data'!$AN$3:$AZ$15,MATCH(C209,'G-6 Hedgerow Data'!$AM$3:$AM$15,0),MATCH(M209,'G-6 Hedgerow Data'!$AN$2:$AZ$2,0))),"")</f>
        <v/>
      </c>
      <c r="O209" s="172" t="str">
        <f t="shared" si="21"/>
        <v/>
      </c>
      <c r="P209" s="642" t="str">
        <f>IF(B209="","",VLOOKUP(B209,'B-1 Site Hedge Baseline'!$B$10:T454,16,FALSE))</f>
        <v/>
      </c>
      <c r="Q209" s="171" t="str">
        <f>IF(M209="","",VLOOKUP(M209,'G-6 Hedgerow Data'!$B$2:$AG$15,2,FALSE))</f>
        <v/>
      </c>
      <c r="R209" s="172" t="str">
        <f>IF(M209="","",VLOOKUP(M209,'G-6 Hedgerow Data'!$B$2:$AG$15,3,FALSE))</f>
        <v/>
      </c>
      <c r="S209" s="189"/>
      <c r="T209" s="269" t="str">
        <f>IFERROR(VLOOKUP(S209,'G-1 All Habitats'!$Z$2:$AA$9,2,FALSE),"")</f>
        <v/>
      </c>
      <c r="U209" s="186"/>
      <c r="V209" s="175" t="str">
        <f>IF(U209="","",IF(VLOOKUP(U209,'G-3 Multipliers'!$L$3:$N$6,2,FALSE)=0,"Spatial Data Missing",VLOOKUP(U209,'G-3 Multipliers'!$L$3:$N$6,2,FALSE)))</f>
        <v/>
      </c>
      <c r="W209" s="176" t="str">
        <f>IF(U209="","",IF(VLOOKUP(U209,'G-3 Multipliers'!$L$3:$N$6,3,FALSE)=0,"Spatial Data Missing",VLOOKUP(U209,'G-3 Multipliers'!$L$3:$N$6,3,FALSE)))</f>
        <v/>
      </c>
      <c r="X209" s="171" t="str">
        <f>IFERROR(IF(OR(LEFT(O209,5)="Error",LEFT(N209,5)="Error",T209="Error"),"Check Data",IF(F209&lt;R209,INDEX('G-6 Hedgerow Data'!$S$3:$AE$14,MATCH(C209,'G-6 Hedgerow Data'!$B$3:$B$14,0),MATCH(M209,'G-6 Hedgerow Data'!$S$2:$AE$2,0)),INDEX('G-6 Hedgerow Data'!$K$3:$Q$14,MATCH(M209,'G-6 Hedgerow Data'!$B$3:$B$14,0),MATCH(O209,'G-6 Hedgerow Data'!$K$2:$Q$2,0)))),"")</f>
        <v/>
      </c>
      <c r="Y209" s="261"/>
      <c r="Z209" s="261"/>
      <c r="AA209" s="179" t="str">
        <f t="shared" si="24"/>
        <v/>
      </c>
      <c r="AB209" s="262" t="str">
        <f t="shared" si="25"/>
        <v/>
      </c>
      <c r="AC209" s="263" t="str">
        <f t="shared" si="22"/>
        <v/>
      </c>
      <c r="AD209" s="239" t="str">
        <f>IF(M209="","",VLOOKUP(M209,'G-6 Hedgerow Data'!$B$3:$AG$15,31,FALSE))</f>
        <v/>
      </c>
      <c r="AE209" s="179" t="str">
        <f t="shared" si="26"/>
        <v/>
      </c>
      <c r="AF209" s="179" t="str">
        <f t="shared" si="27"/>
        <v/>
      </c>
      <c r="AG209" s="176" t="str">
        <f>IFERROR(IF(O209="","",VLOOKUP(AD209,'G-3 Multipliers'!$P$3:$Q$6,2,FALSE)),"")</f>
        <v/>
      </c>
      <c r="AH209" s="207" t="str">
        <f t="shared" si="23"/>
        <v/>
      </c>
      <c r="AI209" s="336"/>
      <c r="AJ209" s="181"/>
      <c r="AT209" s="35" t="str">
        <f>IFERROR(INDEX('G-6 Hedgerow Data'!$BJ$3:$BJ$15,MATCH(M209,'G-6 Hedgerow Data'!$B$3:$B$15,0)),"")</f>
        <v/>
      </c>
    </row>
    <row r="210" spans="2:46" ht="13.8" x14ac:dyDescent="0.25">
      <c r="B210" s="259" t="str">
        <f>'B-1 Site Hedge Baseline'!AK208</f>
        <v/>
      </c>
      <c r="C210" s="175" t="str">
        <f>IF(B210="","",IF(ISNA(VLOOKUP($B210,'B-1 Site Hedge Baseline'!$B$1:$L$257,3,FALSE)),"",(VLOOKUP($B210,'B-1 Site Hedge Baseline'!$B$1:$L$257,3,FALSE))))</f>
        <v/>
      </c>
      <c r="D210" s="175" t="str">
        <f>IF(B210="","",IF(ISNA(VLOOKUP($B210,'B-1 Site Hedge Baseline'!$B$1:$L$257,4,FALSE)),"",(VLOOKUP($B210,'B-1 Site Hedge Baseline'!$B$1:$L$257,4,FALSE))))</f>
        <v/>
      </c>
      <c r="E210" s="175" t="str">
        <f>IF(B210="","",IF(ISNA(VLOOKUP($B210,'B-1 Site Hedge Baseline'!$B$1:$L$257,5,FALSE)),"",(VLOOKUP($B210,'B-1 Site Hedge Baseline'!$B$1:$L$257,5,FALSE))))</f>
        <v/>
      </c>
      <c r="F210" s="175" t="str">
        <f>IF(B210="","",IF(ISNA(VLOOKUP($B210,'B-1 Site Hedge Baseline'!$B$1:$L$257,6,FALSE)),"",(VLOOKUP($B210,'B-1 Site Hedge Baseline'!$B$1:$L$257,6,FALSE))))</f>
        <v/>
      </c>
      <c r="G210" s="175" t="str">
        <f>IF(B210="","",IF(ISNA(VLOOKUP($B210,'B-1 Site Hedge Baseline'!$B$1:$L$257,7,FALSE)),"",(VLOOKUP($B210,'B-1 Site Hedge Baseline'!$B$1:$L$257,7,FALSE))))</f>
        <v/>
      </c>
      <c r="H210" s="175" t="str">
        <f>IF(B210="","",IF(ISNA(VLOOKUP($B210,'B-1 Site Hedge Baseline'!$B$1:$L$257,8,FALSE)),"",(VLOOKUP($B210,'B-1 Site Hedge Baseline'!$B$1:$L$257,8,FALSE))))</f>
        <v/>
      </c>
      <c r="I210" s="175" t="str">
        <f>IF(B210="","",IF(ISNA(VLOOKUP($B210,'B-1 Site Hedge Baseline'!$B$1:$L$257,10,FALSE)),"",(VLOOKUP($B210,'B-1 Site Hedge Baseline'!$B$1:$L$257,10,FALSE))))</f>
        <v/>
      </c>
      <c r="J210" s="175" t="str">
        <f>IF(B210="","",IF(ISNA(VLOOKUP($B210,'B-1 Site Hedge Baseline'!$B$1:$L$257,11,FALSE)),"",(VLOOKUP($B210,'B-1 Site Hedge Baseline'!$B$1:$L$257,11,FALSE))))</f>
        <v/>
      </c>
      <c r="K210" s="175" t="str">
        <f>IF(B210="","",IF(ISNA(VLOOKUP($B210,'B-1 Site Hedge Baseline'!$B$1:$U$257,13,FALSE)),"",(VLOOKUP($B210,'B-1 Site Hedge Baseline'!$B$1:$U$257,13,FALSE))))</f>
        <v/>
      </c>
      <c r="L210" s="176" t="str">
        <f>IF(B210="","",IF(ISNA(VLOOKUP($B210,'B-1 Site Hedge Baseline'!$B$1:$U$257,12,FALSE)),"",(VLOOKUP($B210,'B-1 Site Hedge Baseline'!$B$1:$U$257,12,FALSE))))</f>
        <v/>
      </c>
      <c r="M210" s="637"/>
      <c r="N210" s="171" t="str">
        <f>IFERROR(IF(B210="","",INDEX('G-6 Hedgerow Data'!$AN$3:$AZ$15,MATCH(C210,'G-6 Hedgerow Data'!$AM$3:$AM$15,0),MATCH(M210,'G-6 Hedgerow Data'!$AN$2:$AZ$2,0))),"")</f>
        <v/>
      </c>
      <c r="O210" s="172" t="str">
        <f t="shared" si="21"/>
        <v/>
      </c>
      <c r="P210" s="642" t="str">
        <f>IF(B210="","",VLOOKUP(B210,'B-1 Site Hedge Baseline'!$B$10:T455,16,FALSE))</f>
        <v/>
      </c>
      <c r="Q210" s="171" t="str">
        <f>IF(M210="","",VLOOKUP(M210,'G-6 Hedgerow Data'!$B$2:$AG$15,2,FALSE))</f>
        <v/>
      </c>
      <c r="R210" s="172" t="str">
        <f>IF(M210="","",VLOOKUP(M210,'G-6 Hedgerow Data'!$B$2:$AG$15,3,FALSE))</f>
        <v/>
      </c>
      <c r="S210" s="189"/>
      <c r="T210" s="269" t="str">
        <f>IFERROR(VLOOKUP(S210,'G-1 All Habitats'!$Z$2:$AA$9,2,FALSE),"")</f>
        <v/>
      </c>
      <c r="U210" s="186"/>
      <c r="V210" s="175" t="str">
        <f>IF(U210="","",IF(VLOOKUP(U210,'G-3 Multipliers'!$L$3:$N$6,2,FALSE)=0,"Spatial Data Missing",VLOOKUP(U210,'G-3 Multipliers'!$L$3:$N$6,2,FALSE)))</f>
        <v/>
      </c>
      <c r="W210" s="176" t="str">
        <f>IF(U210="","",IF(VLOOKUP(U210,'G-3 Multipliers'!$L$3:$N$6,3,FALSE)=0,"Spatial Data Missing",VLOOKUP(U210,'G-3 Multipliers'!$L$3:$N$6,3,FALSE)))</f>
        <v/>
      </c>
      <c r="X210" s="171" t="str">
        <f>IFERROR(IF(OR(LEFT(O210,5)="Error",LEFT(N210,5)="Error",T210="Error"),"Check Data",IF(F210&lt;R210,INDEX('G-6 Hedgerow Data'!$S$3:$AE$14,MATCH(C210,'G-6 Hedgerow Data'!$B$3:$B$14,0),MATCH(M210,'G-6 Hedgerow Data'!$S$2:$AE$2,0)),INDEX('G-6 Hedgerow Data'!$K$3:$Q$14,MATCH(M210,'G-6 Hedgerow Data'!$B$3:$B$14,0),MATCH(O210,'G-6 Hedgerow Data'!$K$2:$Q$2,0)))),"")</f>
        <v/>
      </c>
      <c r="Y210" s="261"/>
      <c r="Z210" s="261"/>
      <c r="AA210" s="179" t="str">
        <f t="shared" si="24"/>
        <v/>
      </c>
      <c r="AB210" s="262" t="str">
        <f t="shared" si="25"/>
        <v/>
      </c>
      <c r="AC210" s="263" t="str">
        <f t="shared" si="22"/>
        <v/>
      </c>
      <c r="AD210" s="239" t="str">
        <f>IF(M210="","",VLOOKUP(M210,'G-6 Hedgerow Data'!$B$3:$AG$15,31,FALSE))</f>
        <v/>
      </c>
      <c r="AE210" s="179" t="str">
        <f t="shared" si="26"/>
        <v/>
      </c>
      <c r="AF210" s="179" t="str">
        <f t="shared" si="27"/>
        <v/>
      </c>
      <c r="AG210" s="176" t="str">
        <f>IFERROR(IF(O210="","",VLOOKUP(AD210,'G-3 Multipliers'!$P$3:$Q$6,2,FALSE)),"")</f>
        <v/>
      </c>
      <c r="AH210" s="207" t="str">
        <f t="shared" si="23"/>
        <v/>
      </c>
      <c r="AI210" s="336"/>
      <c r="AJ210" s="181"/>
      <c r="AT210" s="35" t="str">
        <f>IFERROR(INDEX('G-6 Hedgerow Data'!$BJ$3:$BJ$15,MATCH(M210,'G-6 Hedgerow Data'!$B$3:$B$15,0)),"")</f>
        <v/>
      </c>
    </row>
    <row r="211" spans="2:46" ht="13.8" x14ac:dyDescent="0.25">
      <c r="B211" s="259" t="str">
        <f>'B-1 Site Hedge Baseline'!AK209</f>
        <v/>
      </c>
      <c r="C211" s="175" t="str">
        <f>IF(B211="","",IF(ISNA(VLOOKUP($B211,'B-1 Site Hedge Baseline'!$B$1:$L$257,3,FALSE)),"",(VLOOKUP($B211,'B-1 Site Hedge Baseline'!$B$1:$L$257,3,FALSE))))</f>
        <v/>
      </c>
      <c r="D211" s="175" t="str">
        <f>IF(B211="","",IF(ISNA(VLOOKUP($B211,'B-1 Site Hedge Baseline'!$B$1:$L$257,4,FALSE)),"",(VLOOKUP($B211,'B-1 Site Hedge Baseline'!$B$1:$L$257,4,FALSE))))</f>
        <v/>
      </c>
      <c r="E211" s="175" t="str">
        <f>IF(B211="","",IF(ISNA(VLOOKUP($B211,'B-1 Site Hedge Baseline'!$B$1:$L$257,5,FALSE)),"",(VLOOKUP($B211,'B-1 Site Hedge Baseline'!$B$1:$L$257,5,FALSE))))</f>
        <v/>
      </c>
      <c r="F211" s="175" t="str">
        <f>IF(B211="","",IF(ISNA(VLOOKUP($B211,'B-1 Site Hedge Baseline'!$B$1:$L$257,6,FALSE)),"",(VLOOKUP($B211,'B-1 Site Hedge Baseline'!$B$1:$L$257,6,FALSE))))</f>
        <v/>
      </c>
      <c r="G211" s="175" t="str">
        <f>IF(B211="","",IF(ISNA(VLOOKUP($B211,'B-1 Site Hedge Baseline'!$B$1:$L$257,7,FALSE)),"",(VLOOKUP($B211,'B-1 Site Hedge Baseline'!$B$1:$L$257,7,FALSE))))</f>
        <v/>
      </c>
      <c r="H211" s="175" t="str">
        <f>IF(B211="","",IF(ISNA(VLOOKUP($B211,'B-1 Site Hedge Baseline'!$B$1:$L$257,8,FALSE)),"",(VLOOKUP($B211,'B-1 Site Hedge Baseline'!$B$1:$L$257,8,FALSE))))</f>
        <v/>
      </c>
      <c r="I211" s="175" t="str">
        <f>IF(B211="","",IF(ISNA(VLOOKUP($B211,'B-1 Site Hedge Baseline'!$B$1:$L$257,10,FALSE)),"",(VLOOKUP($B211,'B-1 Site Hedge Baseline'!$B$1:$L$257,10,FALSE))))</f>
        <v/>
      </c>
      <c r="J211" s="175" t="str">
        <f>IF(B211="","",IF(ISNA(VLOOKUP($B211,'B-1 Site Hedge Baseline'!$B$1:$L$257,11,FALSE)),"",(VLOOKUP($B211,'B-1 Site Hedge Baseline'!$B$1:$L$257,11,FALSE))))</f>
        <v/>
      </c>
      <c r="K211" s="175" t="str">
        <f>IF(B211="","",IF(ISNA(VLOOKUP($B211,'B-1 Site Hedge Baseline'!$B$1:$U$257,13,FALSE)),"",(VLOOKUP($B211,'B-1 Site Hedge Baseline'!$B$1:$U$257,13,FALSE))))</f>
        <v/>
      </c>
      <c r="L211" s="176" t="str">
        <f>IF(B211="","",IF(ISNA(VLOOKUP($B211,'B-1 Site Hedge Baseline'!$B$1:$U$257,12,FALSE)),"",(VLOOKUP($B211,'B-1 Site Hedge Baseline'!$B$1:$U$257,12,FALSE))))</f>
        <v/>
      </c>
      <c r="M211" s="637"/>
      <c r="N211" s="171" t="str">
        <f>IFERROR(IF(B211="","",INDEX('G-6 Hedgerow Data'!$AN$3:$AZ$15,MATCH(C211,'G-6 Hedgerow Data'!$AM$3:$AM$15,0),MATCH(M211,'G-6 Hedgerow Data'!$AN$2:$AZ$2,0))),"")</f>
        <v/>
      </c>
      <c r="O211" s="172" t="str">
        <f t="shared" si="21"/>
        <v/>
      </c>
      <c r="P211" s="642" t="str">
        <f>IF(B211="","",VLOOKUP(B211,'B-1 Site Hedge Baseline'!$B$10:T456,16,FALSE))</f>
        <v/>
      </c>
      <c r="Q211" s="171" t="str">
        <f>IF(M211="","",VLOOKUP(M211,'G-6 Hedgerow Data'!$B$2:$AG$15,2,FALSE))</f>
        <v/>
      </c>
      <c r="R211" s="172" t="str">
        <f>IF(M211="","",VLOOKUP(M211,'G-6 Hedgerow Data'!$B$2:$AG$15,3,FALSE))</f>
        <v/>
      </c>
      <c r="S211" s="189"/>
      <c r="T211" s="269" t="str">
        <f>IFERROR(VLOOKUP(S211,'G-1 All Habitats'!$Z$2:$AA$9,2,FALSE),"")</f>
        <v/>
      </c>
      <c r="U211" s="186"/>
      <c r="V211" s="175" t="str">
        <f>IF(U211="","",IF(VLOOKUP(U211,'G-3 Multipliers'!$L$3:$N$6,2,FALSE)=0,"Spatial Data Missing",VLOOKUP(U211,'G-3 Multipliers'!$L$3:$N$6,2,FALSE)))</f>
        <v/>
      </c>
      <c r="W211" s="176" t="str">
        <f>IF(U211="","",IF(VLOOKUP(U211,'G-3 Multipliers'!$L$3:$N$6,3,FALSE)=0,"Spatial Data Missing",VLOOKUP(U211,'G-3 Multipliers'!$L$3:$N$6,3,FALSE)))</f>
        <v/>
      </c>
      <c r="X211" s="171" t="str">
        <f>IFERROR(IF(OR(LEFT(O211,5)="Error",LEFT(N211,5)="Error",T211="Error"),"Check Data",IF(F211&lt;R211,INDEX('G-6 Hedgerow Data'!$S$3:$AE$14,MATCH(C211,'G-6 Hedgerow Data'!$B$3:$B$14,0),MATCH(M211,'G-6 Hedgerow Data'!$S$2:$AE$2,0)),INDEX('G-6 Hedgerow Data'!$K$3:$Q$14,MATCH(M211,'G-6 Hedgerow Data'!$B$3:$B$14,0),MATCH(O211,'G-6 Hedgerow Data'!$K$2:$Q$2,0)))),"")</f>
        <v/>
      </c>
      <c r="Y211" s="261"/>
      <c r="Z211" s="261"/>
      <c r="AA211" s="179" t="str">
        <f t="shared" si="24"/>
        <v/>
      </c>
      <c r="AB211" s="262" t="str">
        <f t="shared" si="25"/>
        <v/>
      </c>
      <c r="AC211" s="263" t="str">
        <f t="shared" si="22"/>
        <v/>
      </c>
      <c r="AD211" s="239" t="str">
        <f>IF(M211="","",VLOOKUP(M211,'G-6 Hedgerow Data'!$B$3:$AG$15,31,FALSE))</f>
        <v/>
      </c>
      <c r="AE211" s="179" t="str">
        <f t="shared" si="26"/>
        <v/>
      </c>
      <c r="AF211" s="179" t="str">
        <f t="shared" si="27"/>
        <v/>
      </c>
      <c r="AG211" s="176" t="str">
        <f>IFERROR(IF(O211="","",VLOOKUP(AD211,'G-3 Multipliers'!$P$3:$Q$6,2,FALSE)),"")</f>
        <v/>
      </c>
      <c r="AH211" s="207" t="str">
        <f t="shared" si="23"/>
        <v/>
      </c>
      <c r="AI211" s="336"/>
      <c r="AJ211" s="181"/>
      <c r="AT211" s="35" t="str">
        <f>IFERROR(INDEX('G-6 Hedgerow Data'!$BJ$3:$BJ$15,MATCH(M211,'G-6 Hedgerow Data'!$B$3:$B$15,0)),"")</f>
        <v/>
      </c>
    </row>
    <row r="212" spans="2:46" ht="13.8" x14ac:dyDescent="0.25">
      <c r="B212" s="259" t="str">
        <f>'B-1 Site Hedge Baseline'!AK210</f>
        <v/>
      </c>
      <c r="C212" s="175" t="str">
        <f>IF(B212="","",IF(ISNA(VLOOKUP($B212,'B-1 Site Hedge Baseline'!$B$1:$L$257,3,FALSE)),"",(VLOOKUP($B212,'B-1 Site Hedge Baseline'!$B$1:$L$257,3,FALSE))))</f>
        <v/>
      </c>
      <c r="D212" s="175" t="str">
        <f>IF(B212="","",IF(ISNA(VLOOKUP($B212,'B-1 Site Hedge Baseline'!$B$1:$L$257,4,FALSE)),"",(VLOOKUP($B212,'B-1 Site Hedge Baseline'!$B$1:$L$257,4,FALSE))))</f>
        <v/>
      </c>
      <c r="E212" s="175" t="str">
        <f>IF(B212="","",IF(ISNA(VLOOKUP($B212,'B-1 Site Hedge Baseline'!$B$1:$L$257,5,FALSE)),"",(VLOOKUP($B212,'B-1 Site Hedge Baseline'!$B$1:$L$257,5,FALSE))))</f>
        <v/>
      </c>
      <c r="F212" s="175" t="str">
        <f>IF(B212="","",IF(ISNA(VLOOKUP($B212,'B-1 Site Hedge Baseline'!$B$1:$L$257,6,FALSE)),"",(VLOOKUP($B212,'B-1 Site Hedge Baseline'!$B$1:$L$257,6,FALSE))))</f>
        <v/>
      </c>
      <c r="G212" s="175" t="str">
        <f>IF(B212="","",IF(ISNA(VLOOKUP($B212,'B-1 Site Hedge Baseline'!$B$1:$L$257,7,FALSE)),"",(VLOOKUP($B212,'B-1 Site Hedge Baseline'!$B$1:$L$257,7,FALSE))))</f>
        <v/>
      </c>
      <c r="H212" s="175" t="str">
        <f>IF(B212="","",IF(ISNA(VLOOKUP($B212,'B-1 Site Hedge Baseline'!$B$1:$L$257,8,FALSE)),"",(VLOOKUP($B212,'B-1 Site Hedge Baseline'!$B$1:$L$257,8,FALSE))))</f>
        <v/>
      </c>
      <c r="I212" s="175" t="str">
        <f>IF(B212="","",IF(ISNA(VLOOKUP($B212,'B-1 Site Hedge Baseline'!$B$1:$L$257,10,FALSE)),"",(VLOOKUP($B212,'B-1 Site Hedge Baseline'!$B$1:$L$257,10,FALSE))))</f>
        <v/>
      </c>
      <c r="J212" s="175" t="str">
        <f>IF(B212="","",IF(ISNA(VLOOKUP($B212,'B-1 Site Hedge Baseline'!$B$1:$L$257,11,FALSE)),"",(VLOOKUP($B212,'B-1 Site Hedge Baseline'!$B$1:$L$257,11,FALSE))))</f>
        <v/>
      </c>
      <c r="K212" s="175" t="str">
        <f>IF(B212="","",IF(ISNA(VLOOKUP($B212,'B-1 Site Hedge Baseline'!$B$1:$U$257,13,FALSE)),"",(VLOOKUP($B212,'B-1 Site Hedge Baseline'!$B$1:$U$257,13,FALSE))))</f>
        <v/>
      </c>
      <c r="L212" s="176" t="str">
        <f>IF(B212="","",IF(ISNA(VLOOKUP($B212,'B-1 Site Hedge Baseline'!$B$1:$U$257,12,FALSE)),"",(VLOOKUP($B212,'B-1 Site Hedge Baseline'!$B$1:$U$257,12,FALSE))))</f>
        <v/>
      </c>
      <c r="M212" s="637"/>
      <c r="N212" s="171" t="str">
        <f>IFERROR(IF(B212="","",INDEX('G-6 Hedgerow Data'!$AN$3:$AZ$15,MATCH(C212,'G-6 Hedgerow Data'!$AM$3:$AM$15,0),MATCH(M212,'G-6 Hedgerow Data'!$AN$2:$AZ$2,0))),"")</f>
        <v/>
      </c>
      <c r="O212" s="172" t="str">
        <f t="shared" si="21"/>
        <v/>
      </c>
      <c r="P212" s="642" t="str">
        <f>IF(B212="","",VLOOKUP(B212,'B-1 Site Hedge Baseline'!$B$10:T457,16,FALSE))</f>
        <v/>
      </c>
      <c r="Q212" s="171" t="str">
        <f>IF(M212="","",VLOOKUP(M212,'G-6 Hedgerow Data'!$B$2:$AG$15,2,FALSE))</f>
        <v/>
      </c>
      <c r="R212" s="172" t="str">
        <f>IF(M212="","",VLOOKUP(M212,'G-6 Hedgerow Data'!$B$2:$AG$15,3,FALSE))</f>
        <v/>
      </c>
      <c r="S212" s="189"/>
      <c r="T212" s="269" t="str">
        <f>IFERROR(VLOOKUP(S212,'G-1 All Habitats'!$Z$2:$AA$9,2,FALSE),"")</f>
        <v/>
      </c>
      <c r="U212" s="186"/>
      <c r="V212" s="175" t="str">
        <f>IF(U212="","",IF(VLOOKUP(U212,'G-3 Multipliers'!$L$3:$N$6,2,FALSE)=0,"Spatial Data Missing",VLOOKUP(U212,'G-3 Multipliers'!$L$3:$N$6,2,FALSE)))</f>
        <v/>
      </c>
      <c r="W212" s="176" t="str">
        <f>IF(U212="","",IF(VLOOKUP(U212,'G-3 Multipliers'!$L$3:$N$6,3,FALSE)=0,"Spatial Data Missing",VLOOKUP(U212,'G-3 Multipliers'!$L$3:$N$6,3,FALSE)))</f>
        <v/>
      </c>
      <c r="X212" s="171" t="str">
        <f>IFERROR(IF(OR(LEFT(O212,5)="Error",LEFT(N212,5)="Error",T212="Error"),"Check Data",IF(F212&lt;R212,INDEX('G-6 Hedgerow Data'!$S$3:$AE$14,MATCH(C212,'G-6 Hedgerow Data'!$B$3:$B$14,0),MATCH(M212,'G-6 Hedgerow Data'!$S$2:$AE$2,0)),INDEX('G-6 Hedgerow Data'!$K$3:$Q$14,MATCH(M212,'G-6 Hedgerow Data'!$B$3:$B$14,0),MATCH(O212,'G-6 Hedgerow Data'!$K$2:$Q$2,0)))),"")</f>
        <v/>
      </c>
      <c r="Y212" s="261"/>
      <c r="Z212" s="261"/>
      <c r="AA212" s="179" t="str">
        <f t="shared" si="24"/>
        <v/>
      </c>
      <c r="AB212" s="262" t="str">
        <f t="shared" si="25"/>
        <v/>
      </c>
      <c r="AC212" s="263" t="str">
        <f t="shared" si="22"/>
        <v/>
      </c>
      <c r="AD212" s="239" t="str">
        <f>IF(M212="","",VLOOKUP(M212,'G-6 Hedgerow Data'!$B$3:$AG$15,31,FALSE))</f>
        <v/>
      </c>
      <c r="AE212" s="179" t="str">
        <f t="shared" si="26"/>
        <v/>
      </c>
      <c r="AF212" s="179" t="str">
        <f t="shared" si="27"/>
        <v/>
      </c>
      <c r="AG212" s="176" t="str">
        <f>IFERROR(IF(O212="","",VLOOKUP(AD212,'G-3 Multipliers'!$P$3:$Q$6,2,FALSE)),"")</f>
        <v/>
      </c>
      <c r="AH212" s="207" t="str">
        <f t="shared" si="23"/>
        <v/>
      </c>
      <c r="AI212" s="336"/>
      <c r="AJ212" s="181"/>
      <c r="AT212" s="35" t="str">
        <f>IFERROR(INDEX('G-6 Hedgerow Data'!$BJ$3:$BJ$15,MATCH(M212,'G-6 Hedgerow Data'!$B$3:$B$15,0)),"")</f>
        <v/>
      </c>
    </row>
    <row r="213" spans="2:46" ht="13.8" x14ac:dyDescent="0.25">
      <c r="B213" s="259" t="str">
        <f>'B-1 Site Hedge Baseline'!AK211</f>
        <v/>
      </c>
      <c r="C213" s="175" t="str">
        <f>IF(B213="","",IF(ISNA(VLOOKUP($B213,'B-1 Site Hedge Baseline'!$B$1:$L$257,3,FALSE)),"",(VLOOKUP($B213,'B-1 Site Hedge Baseline'!$B$1:$L$257,3,FALSE))))</f>
        <v/>
      </c>
      <c r="D213" s="175" t="str">
        <f>IF(B213="","",IF(ISNA(VLOOKUP($B213,'B-1 Site Hedge Baseline'!$B$1:$L$257,4,FALSE)),"",(VLOOKUP($B213,'B-1 Site Hedge Baseline'!$B$1:$L$257,4,FALSE))))</f>
        <v/>
      </c>
      <c r="E213" s="175" t="str">
        <f>IF(B213="","",IF(ISNA(VLOOKUP($B213,'B-1 Site Hedge Baseline'!$B$1:$L$257,5,FALSE)),"",(VLOOKUP($B213,'B-1 Site Hedge Baseline'!$B$1:$L$257,5,FALSE))))</f>
        <v/>
      </c>
      <c r="F213" s="175" t="str">
        <f>IF(B213="","",IF(ISNA(VLOOKUP($B213,'B-1 Site Hedge Baseline'!$B$1:$L$257,6,FALSE)),"",(VLOOKUP($B213,'B-1 Site Hedge Baseline'!$B$1:$L$257,6,FALSE))))</f>
        <v/>
      </c>
      <c r="G213" s="175" t="str">
        <f>IF(B213="","",IF(ISNA(VLOOKUP($B213,'B-1 Site Hedge Baseline'!$B$1:$L$257,7,FALSE)),"",(VLOOKUP($B213,'B-1 Site Hedge Baseline'!$B$1:$L$257,7,FALSE))))</f>
        <v/>
      </c>
      <c r="H213" s="175" t="str">
        <f>IF(B213="","",IF(ISNA(VLOOKUP($B213,'B-1 Site Hedge Baseline'!$B$1:$L$257,8,FALSE)),"",(VLOOKUP($B213,'B-1 Site Hedge Baseline'!$B$1:$L$257,8,FALSE))))</f>
        <v/>
      </c>
      <c r="I213" s="175" t="str">
        <f>IF(B213="","",IF(ISNA(VLOOKUP($B213,'B-1 Site Hedge Baseline'!$B$1:$L$257,10,FALSE)),"",(VLOOKUP($B213,'B-1 Site Hedge Baseline'!$B$1:$L$257,10,FALSE))))</f>
        <v/>
      </c>
      <c r="J213" s="175" t="str">
        <f>IF(B213="","",IF(ISNA(VLOOKUP($B213,'B-1 Site Hedge Baseline'!$B$1:$L$257,11,FALSE)),"",(VLOOKUP($B213,'B-1 Site Hedge Baseline'!$B$1:$L$257,11,FALSE))))</f>
        <v/>
      </c>
      <c r="K213" s="175" t="str">
        <f>IF(B213="","",IF(ISNA(VLOOKUP($B213,'B-1 Site Hedge Baseline'!$B$1:$U$257,13,FALSE)),"",(VLOOKUP($B213,'B-1 Site Hedge Baseline'!$B$1:$U$257,13,FALSE))))</f>
        <v/>
      </c>
      <c r="L213" s="176" t="str">
        <f>IF(B213="","",IF(ISNA(VLOOKUP($B213,'B-1 Site Hedge Baseline'!$B$1:$U$257,12,FALSE)),"",(VLOOKUP($B213,'B-1 Site Hedge Baseline'!$B$1:$U$257,12,FALSE))))</f>
        <v/>
      </c>
      <c r="M213" s="637"/>
      <c r="N213" s="171" t="str">
        <f>IFERROR(IF(B213="","",INDEX('G-6 Hedgerow Data'!$AN$3:$AZ$15,MATCH(C213,'G-6 Hedgerow Data'!$AM$3:$AM$15,0),MATCH(M213,'G-6 Hedgerow Data'!$AN$2:$AZ$2,0))),"")</f>
        <v/>
      </c>
      <c r="O213" s="172" t="str">
        <f t="shared" si="21"/>
        <v/>
      </c>
      <c r="P213" s="642" t="str">
        <f>IF(B213="","",VLOOKUP(B213,'B-1 Site Hedge Baseline'!$B$10:T458,16,FALSE))</f>
        <v/>
      </c>
      <c r="Q213" s="171" t="str">
        <f>IF(M213="","",VLOOKUP(M213,'G-6 Hedgerow Data'!$B$2:$AG$15,2,FALSE))</f>
        <v/>
      </c>
      <c r="R213" s="172" t="str">
        <f>IF(M213="","",VLOOKUP(M213,'G-6 Hedgerow Data'!$B$2:$AG$15,3,FALSE))</f>
        <v/>
      </c>
      <c r="S213" s="189"/>
      <c r="T213" s="269" t="str">
        <f>IFERROR(VLOOKUP(S213,'G-1 All Habitats'!$Z$2:$AA$9,2,FALSE),"")</f>
        <v/>
      </c>
      <c r="U213" s="186"/>
      <c r="V213" s="175" t="str">
        <f>IF(U213="","",IF(VLOOKUP(U213,'G-3 Multipliers'!$L$3:$N$6,2,FALSE)=0,"Spatial Data Missing",VLOOKUP(U213,'G-3 Multipliers'!$L$3:$N$6,2,FALSE)))</f>
        <v/>
      </c>
      <c r="W213" s="176" t="str">
        <f>IF(U213="","",IF(VLOOKUP(U213,'G-3 Multipliers'!$L$3:$N$6,3,FALSE)=0,"Spatial Data Missing",VLOOKUP(U213,'G-3 Multipliers'!$L$3:$N$6,3,FALSE)))</f>
        <v/>
      </c>
      <c r="X213" s="171" t="str">
        <f>IFERROR(IF(OR(LEFT(O213,5)="Error",LEFT(N213,5)="Error",T213="Error"),"Check Data",IF(F213&lt;R213,INDEX('G-6 Hedgerow Data'!$S$3:$AE$14,MATCH(C213,'G-6 Hedgerow Data'!$B$3:$B$14,0),MATCH(M213,'G-6 Hedgerow Data'!$S$2:$AE$2,0)),INDEX('G-6 Hedgerow Data'!$K$3:$Q$14,MATCH(M213,'G-6 Hedgerow Data'!$B$3:$B$14,0),MATCH(O213,'G-6 Hedgerow Data'!$K$2:$Q$2,0)))),"")</f>
        <v/>
      </c>
      <c r="Y213" s="261"/>
      <c r="Z213" s="261"/>
      <c r="AA213" s="179" t="str">
        <f t="shared" si="24"/>
        <v/>
      </c>
      <c r="AB213" s="262" t="str">
        <f t="shared" si="25"/>
        <v/>
      </c>
      <c r="AC213" s="263" t="str">
        <f t="shared" si="22"/>
        <v/>
      </c>
      <c r="AD213" s="239" t="str">
        <f>IF(M213="","",VLOOKUP(M213,'G-6 Hedgerow Data'!$B$3:$AG$15,31,FALSE))</f>
        <v/>
      </c>
      <c r="AE213" s="179" t="str">
        <f t="shared" si="26"/>
        <v/>
      </c>
      <c r="AF213" s="179" t="str">
        <f t="shared" si="27"/>
        <v/>
      </c>
      <c r="AG213" s="176" t="str">
        <f>IFERROR(IF(O213="","",VLOOKUP(AD213,'G-3 Multipliers'!$P$3:$Q$6,2,FALSE)),"")</f>
        <v/>
      </c>
      <c r="AH213" s="207" t="str">
        <f t="shared" si="23"/>
        <v/>
      </c>
      <c r="AI213" s="336"/>
      <c r="AJ213" s="181"/>
      <c r="AT213" s="35" t="str">
        <f>IFERROR(INDEX('G-6 Hedgerow Data'!$BJ$3:$BJ$15,MATCH(M213,'G-6 Hedgerow Data'!$B$3:$B$15,0)),"")</f>
        <v/>
      </c>
    </row>
    <row r="214" spans="2:46" ht="13.8" x14ac:dyDescent="0.25">
      <c r="B214" s="259" t="str">
        <f>'B-1 Site Hedge Baseline'!AK212</f>
        <v/>
      </c>
      <c r="C214" s="175" t="str">
        <f>IF(B214="","",IF(ISNA(VLOOKUP($B214,'B-1 Site Hedge Baseline'!$B$1:$L$257,3,FALSE)),"",(VLOOKUP($B214,'B-1 Site Hedge Baseline'!$B$1:$L$257,3,FALSE))))</f>
        <v/>
      </c>
      <c r="D214" s="175" t="str">
        <f>IF(B214="","",IF(ISNA(VLOOKUP($B214,'B-1 Site Hedge Baseline'!$B$1:$L$257,4,FALSE)),"",(VLOOKUP($B214,'B-1 Site Hedge Baseline'!$B$1:$L$257,4,FALSE))))</f>
        <v/>
      </c>
      <c r="E214" s="175" t="str">
        <f>IF(B214="","",IF(ISNA(VLOOKUP($B214,'B-1 Site Hedge Baseline'!$B$1:$L$257,5,FALSE)),"",(VLOOKUP($B214,'B-1 Site Hedge Baseline'!$B$1:$L$257,5,FALSE))))</f>
        <v/>
      </c>
      <c r="F214" s="175" t="str">
        <f>IF(B214="","",IF(ISNA(VLOOKUP($B214,'B-1 Site Hedge Baseline'!$B$1:$L$257,6,FALSE)),"",(VLOOKUP($B214,'B-1 Site Hedge Baseline'!$B$1:$L$257,6,FALSE))))</f>
        <v/>
      </c>
      <c r="G214" s="175" t="str">
        <f>IF(B214="","",IF(ISNA(VLOOKUP($B214,'B-1 Site Hedge Baseline'!$B$1:$L$257,7,FALSE)),"",(VLOOKUP($B214,'B-1 Site Hedge Baseline'!$B$1:$L$257,7,FALSE))))</f>
        <v/>
      </c>
      <c r="H214" s="175" t="str">
        <f>IF(B214="","",IF(ISNA(VLOOKUP($B214,'B-1 Site Hedge Baseline'!$B$1:$L$257,8,FALSE)),"",(VLOOKUP($B214,'B-1 Site Hedge Baseline'!$B$1:$L$257,8,FALSE))))</f>
        <v/>
      </c>
      <c r="I214" s="175" t="str">
        <f>IF(B214="","",IF(ISNA(VLOOKUP($B214,'B-1 Site Hedge Baseline'!$B$1:$L$257,10,FALSE)),"",(VLOOKUP($B214,'B-1 Site Hedge Baseline'!$B$1:$L$257,10,FALSE))))</f>
        <v/>
      </c>
      <c r="J214" s="175" t="str">
        <f>IF(B214="","",IF(ISNA(VLOOKUP($B214,'B-1 Site Hedge Baseline'!$B$1:$L$257,11,FALSE)),"",(VLOOKUP($B214,'B-1 Site Hedge Baseline'!$B$1:$L$257,11,FALSE))))</f>
        <v/>
      </c>
      <c r="K214" s="175" t="str">
        <f>IF(B214="","",IF(ISNA(VLOOKUP($B214,'B-1 Site Hedge Baseline'!$B$1:$U$257,13,FALSE)),"",(VLOOKUP($B214,'B-1 Site Hedge Baseline'!$B$1:$U$257,13,FALSE))))</f>
        <v/>
      </c>
      <c r="L214" s="176" t="str">
        <f>IF(B214="","",IF(ISNA(VLOOKUP($B214,'B-1 Site Hedge Baseline'!$B$1:$U$257,12,FALSE)),"",(VLOOKUP($B214,'B-1 Site Hedge Baseline'!$B$1:$U$257,12,FALSE))))</f>
        <v/>
      </c>
      <c r="M214" s="637"/>
      <c r="N214" s="171" t="str">
        <f>IFERROR(IF(B214="","",INDEX('G-6 Hedgerow Data'!$AN$3:$AZ$15,MATCH(C214,'G-6 Hedgerow Data'!$AM$3:$AM$15,0),MATCH(M214,'G-6 Hedgerow Data'!$AN$2:$AZ$2,0))),"")</f>
        <v/>
      </c>
      <c r="O214" s="172" t="str">
        <f t="shared" si="21"/>
        <v/>
      </c>
      <c r="P214" s="642" t="str">
        <f>IF(B214="","",VLOOKUP(B214,'B-1 Site Hedge Baseline'!$B$10:T459,16,FALSE))</f>
        <v/>
      </c>
      <c r="Q214" s="171" t="str">
        <f>IF(M214="","",VLOOKUP(M214,'G-6 Hedgerow Data'!$B$2:$AG$15,2,FALSE))</f>
        <v/>
      </c>
      <c r="R214" s="172" t="str">
        <f>IF(M214="","",VLOOKUP(M214,'G-6 Hedgerow Data'!$B$2:$AG$15,3,FALSE))</f>
        <v/>
      </c>
      <c r="S214" s="189"/>
      <c r="T214" s="269" t="str">
        <f>IFERROR(VLOOKUP(S214,'G-1 All Habitats'!$Z$2:$AA$9,2,FALSE),"")</f>
        <v/>
      </c>
      <c r="U214" s="186"/>
      <c r="V214" s="175" t="str">
        <f>IF(U214="","",IF(VLOOKUP(U214,'G-3 Multipliers'!$L$3:$N$6,2,FALSE)=0,"Spatial Data Missing",VLOOKUP(U214,'G-3 Multipliers'!$L$3:$N$6,2,FALSE)))</f>
        <v/>
      </c>
      <c r="W214" s="176" t="str">
        <f>IF(U214="","",IF(VLOOKUP(U214,'G-3 Multipliers'!$L$3:$N$6,3,FALSE)=0,"Spatial Data Missing",VLOOKUP(U214,'G-3 Multipliers'!$L$3:$N$6,3,FALSE)))</f>
        <v/>
      </c>
      <c r="X214" s="171" t="str">
        <f>IFERROR(IF(OR(LEFT(O214,5)="Error",LEFT(N214,5)="Error",T214="Error"),"Check Data",IF(F214&lt;R214,INDEX('G-6 Hedgerow Data'!$S$3:$AE$14,MATCH(C214,'G-6 Hedgerow Data'!$B$3:$B$14,0),MATCH(M214,'G-6 Hedgerow Data'!$S$2:$AE$2,0)),INDEX('G-6 Hedgerow Data'!$K$3:$Q$14,MATCH(M214,'G-6 Hedgerow Data'!$B$3:$B$14,0),MATCH(O214,'G-6 Hedgerow Data'!$K$2:$Q$2,0)))),"")</f>
        <v/>
      </c>
      <c r="Y214" s="261"/>
      <c r="Z214" s="261"/>
      <c r="AA214" s="179" t="str">
        <f t="shared" si="24"/>
        <v/>
      </c>
      <c r="AB214" s="262" t="str">
        <f t="shared" si="25"/>
        <v/>
      </c>
      <c r="AC214" s="263" t="str">
        <f t="shared" si="22"/>
        <v/>
      </c>
      <c r="AD214" s="239" t="str">
        <f>IF(M214="","",VLOOKUP(M214,'G-6 Hedgerow Data'!$B$3:$AG$15,31,FALSE))</f>
        <v/>
      </c>
      <c r="AE214" s="179" t="str">
        <f t="shared" si="26"/>
        <v/>
      </c>
      <c r="AF214" s="179" t="str">
        <f t="shared" si="27"/>
        <v/>
      </c>
      <c r="AG214" s="176" t="str">
        <f>IFERROR(IF(O214="","",VLOOKUP(AD214,'G-3 Multipliers'!$P$3:$Q$6,2,FALSE)),"")</f>
        <v/>
      </c>
      <c r="AH214" s="207" t="str">
        <f t="shared" si="23"/>
        <v/>
      </c>
      <c r="AI214" s="336"/>
      <c r="AJ214" s="181"/>
      <c r="AT214" s="35" t="str">
        <f>IFERROR(INDEX('G-6 Hedgerow Data'!$BJ$3:$BJ$15,MATCH(M214,'G-6 Hedgerow Data'!$B$3:$B$15,0)),"")</f>
        <v/>
      </c>
    </row>
    <row r="215" spans="2:46" ht="13.8" x14ac:dyDescent="0.25">
      <c r="B215" s="259" t="str">
        <f>'B-1 Site Hedge Baseline'!AK213</f>
        <v/>
      </c>
      <c r="C215" s="175" t="str">
        <f>IF(B215="","",IF(ISNA(VLOOKUP($B215,'B-1 Site Hedge Baseline'!$B$1:$L$257,3,FALSE)),"",(VLOOKUP($B215,'B-1 Site Hedge Baseline'!$B$1:$L$257,3,FALSE))))</f>
        <v/>
      </c>
      <c r="D215" s="175" t="str">
        <f>IF(B215="","",IF(ISNA(VLOOKUP($B215,'B-1 Site Hedge Baseline'!$B$1:$L$257,4,FALSE)),"",(VLOOKUP($B215,'B-1 Site Hedge Baseline'!$B$1:$L$257,4,FALSE))))</f>
        <v/>
      </c>
      <c r="E215" s="175" t="str">
        <f>IF(B215="","",IF(ISNA(VLOOKUP($B215,'B-1 Site Hedge Baseline'!$B$1:$L$257,5,FALSE)),"",(VLOOKUP($B215,'B-1 Site Hedge Baseline'!$B$1:$L$257,5,FALSE))))</f>
        <v/>
      </c>
      <c r="F215" s="175" t="str">
        <f>IF(B215="","",IF(ISNA(VLOOKUP($B215,'B-1 Site Hedge Baseline'!$B$1:$L$257,6,FALSE)),"",(VLOOKUP($B215,'B-1 Site Hedge Baseline'!$B$1:$L$257,6,FALSE))))</f>
        <v/>
      </c>
      <c r="G215" s="175" t="str">
        <f>IF(B215="","",IF(ISNA(VLOOKUP($B215,'B-1 Site Hedge Baseline'!$B$1:$L$257,7,FALSE)),"",(VLOOKUP($B215,'B-1 Site Hedge Baseline'!$B$1:$L$257,7,FALSE))))</f>
        <v/>
      </c>
      <c r="H215" s="175" t="str">
        <f>IF(B215="","",IF(ISNA(VLOOKUP($B215,'B-1 Site Hedge Baseline'!$B$1:$L$257,8,FALSE)),"",(VLOOKUP($B215,'B-1 Site Hedge Baseline'!$B$1:$L$257,8,FALSE))))</f>
        <v/>
      </c>
      <c r="I215" s="175" t="str">
        <f>IF(B215="","",IF(ISNA(VLOOKUP($B215,'B-1 Site Hedge Baseline'!$B$1:$L$257,10,FALSE)),"",(VLOOKUP($B215,'B-1 Site Hedge Baseline'!$B$1:$L$257,10,FALSE))))</f>
        <v/>
      </c>
      <c r="J215" s="175" t="str">
        <f>IF(B215="","",IF(ISNA(VLOOKUP($B215,'B-1 Site Hedge Baseline'!$B$1:$L$257,11,FALSE)),"",(VLOOKUP($B215,'B-1 Site Hedge Baseline'!$B$1:$L$257,11,FALSE))))</f>
        <v/>
      </c>
      <c r="K215" s="175" t="str">
        <f>IF(B215="","",IF(ISNA(VLOOKUP($B215,'B-1 Site Hedge Baseline'!$B$1:$U$257,13,FALSE)),"",(VLOOKUP($B215,'B-1 Site Hedge Baseline'!$B$1:$U$257,13,FALSE))))</f>
        <v/>
      </c>
      <c r="L215" s="176" t="str">
        <f>IF(B215="","",IF(ISNA(VLOOKUP($B215,'B-1 Site Hedge Baseline'!$B$1:$U$257,12,FALSE)),"",(VLOOKUP($B215,'B-1 Site Hedge Baseline'!$B$1:$U$257,12,FALSE))))</f>
        <v/>
      </c>
      <c r="M215" s="637"/>
      <c r="N215" s="171" t="str">
        <f>IFERROR(IF(B215="","",INDEX('G-6 Hedgerow Data'!$AN$3:$AZ$15,MATCH(C215,'G-6 Hedgerow Data'!$AM$3:$AM$15,0),MATCH(M215,'G-6 Hedgerow Data'!$AN$2:$AZ$2,0))),"")</f>
        <v/>
      </c>
      <c r="O215" s="172" t="str">
        <f t="shared" si="21"/>
        <v/>
      </c>
      <c r="P215" s="642" t="str">
        <f>IF(B215="","",VLOOKUP(B215,'B-1 Site Hedge Baseline'!$B$10:T460,16,FALSE))</f>
        <v/>
      </c>
      <c r="Q215" s="171" t="str">
        <f>IF(M215="","",VLOOKUP(M215,'G-6 Hedgerow Data'!$B$2:$AG$15,2,FALSE))</f>
        <v/>
      </c>
      <c r="R215" s="172" t="str">
        <f>IF(M215="","",VLOOKUP(M215,'G-6 Hedgerow Data'!$B$2:$AG$15,3,FALSE))</f>
        <v/>
      </c>
      <c r="S215" s="189"/>
      <c r="T215" s="269" t="str">
        <f>IFERROR(VLOOKUP(S215,'G-1 All Habitats'!$Z$2:$AA$9,2,FALSE),"")</f>
        <v/>
      </c>
      <c r="U215" s="186"/>
      <c r="V215" s="175" t="str">
        <f>IF(U215="","",IF(VLOOKUP(U215,'G-3 Multipliers'!$L$3:$N$6,2,FALSE)=0,"Spatial Data Missing",VLOOKUP(U215,'G-3 Multipliers'!$L$3:$N$6,2,FALSE)))</f>
        <v/>
      </c>
      <c r="W215" s="176" t="str">
        <f>IF(U215="","",IF(VLOOKUP(U215,'G-3 Multipliers'!$L$3:$N$6,3,FALSE)=0,"Spatial Data Missing",VLOOKUP(U215,'G-3 Multipliers'!$L$3:$N$6,3,FALSE)))</f>
        <v/>
      </c>
      <c r="X215" s="171" t="str">
        <f>IFERROR(IF(OR(LEFT(O215,5)="Error",LEFT(N215,5)="Error",T215="Error"),"Check Data",IF(F215&lt;R215,INDEX('G-6 Hedgerow Data'!$S$3:$AE$14,MATCH(C215,'G-6 Hedgerow Data'!$B$3:$B$14,0),MATCH(M215,'G-6 Hedgerow Data'!$S$2:$AE$2,0)),INDEX('G-6 Hedgerow Data'!$K$3:$Q$14,MATCH(M215,'G-6 Hedgerow Data'!$B$3:$B$14,0),MATCH(O215,'G-6 Hedgerow Data'!$K$2:$Q$2,0)))),"")</f>
        <v/>
      </c>
      <c r="Y215" s="261"/>
      <c r="Z215" s="261"/>
      <c r="AA215" s="179" t="str">
        <f t="shared" si="24"/>
        <v/>
      </c>
      <c r="AB215" s="262" t="str">
        <f t="shared" si="25"/>
        <v/>
      </c>
      <c r="AC215" s="263" t="str">
        <f t="shared" si="22"/>
        <v/>
      </c>
      <c r="AD215" s="239" t="str">
        <f>IF(M215="","",VLOOKUP(M215,'G-6 Hedgerow Data'!$B$3:$AG$15,31,FALSE))</f>
        <v/>
      </c>
      <c r="AE215" s="179" t="str">
        <f t="shared" si="26"/>
        <v/>
      </c>
      <c r="AF215" s="179" t="str">
        <f t="shared" si="27"/>
        <v/>
      </c>
      <c r="AG215" s="176" t="str">
        <f>IFERROR(IF(O215="","",VLOOKUP(AD215,'G-3 Multipliers'!$P$3:$Q$6,2,FALSE)),"")</f>
        <v/>
      </c>
      <c r="AH215" s="207" t="str">
        <f t="shared" si="23"/>
        <v/>
      </c>
      <c r="AI215" s="336"/>
      <c r="AJ215" s="181"/>
      <c r="AT215" s="35" t="str">
        <f>IFERROR(INDEX('G-6 Hedgerow Data'!$BJ$3:$BJ$15,MATCH(M215,'G-6 Hedgerow Data'!$B$3:$B$15,0)),"")</f>
        <v/>
      </c>
    </row>
    <row r="216" spans="2:46" ht="13.8" x14ac:dyDescent="0.25">
      <c r="B216" s="259" t="str">
        <f>'B-1 Site Hedge Baseline'!AK214</f>
        <v/>
      </c>
      <c r="C216" s="175" t="str">
        <f>IF(B216="","",IF(ISNA(VLOOKUP($B216,'B-1 Site Hedge Baseline'!$B$1:$L$257,3,FALSE)),"",(VLOOKUP($B216,'B-1 Site Hedge Baseline'!$B$1:$L$257,3,FALSE))))</f>
        <v/>
      </c>
      <c r="D216" s="175" t="str">
        <f>IF(B216="","",IF(ISNA(VLOOKUP($B216,'B-1 Site Hedge Baseline'!$B$1:$L$257,4,FALSE)),"",(VLOOKUP($B216,'B-1 Site Hedge Baseline'!$B$1:$L$257,4,FALSE))))</f>
        <v/>
      </c>
      <c r="E216" s="175" t="str">
        <f>IF(B216="","",IF(ISNA(VLOOKUP($B216,'B-1 Site Hedge Baseline'!$B$1:$L$257,5,FALSE)),"",(VLOOKUP($B216,'B-1 Site Hedge Baseline'!$B$1:$L$257,5,FALSE))))</f>
        <v/>
      </c>
      <c r="F216" s="175" t="str">
        <f>IF(B216="","",IF(ISNA(VLOOKUP($B216,'B-1 Site Hedge Baseline'!$B$1:$L$257,6,FALSE)),"",(VLOOKUP($B216,'B-1 Site Hedge Baseline'!$B$1:$L$257,6,FALSE))))</f>
        <v/>
      </c>
      <c r="G216" s="175" t="str">
        <f>IF(B216="","",IF(ISNA(VLOOKUP($B216,'B-1 Site Hedge Baseline'!$B$1:$L$257,7,FALSE)),"",(VLOOKUP($B216,'B-1 Site Hedge Baseline'!$B$1:$L$257,7,FALSE))))</f>
        <v/>
      </c>
      <c r="H216" s="175" t="str">
        <f>IF(B216="","",IF(ISNA(VLOOKUP($B216,'B-1 Site Hedge Baseline'!$B$1:$L$257,8,FALSE)),"",(VLOOKUP($B216,'B-1 Site Hedge Baseline'!$B$1:$L$257,8,FALSE))))</f>
        <v/>
      </c>
      <c r="I216" s="175" t="str">
        <f>IF(B216="","",IF(ISNA(VLOOKUP($B216,'B-1 Site Hedge Baseline'!$B$1:$L$257,10,FALSE)),"",(VLOOKUP($B216,'B-1 Site Hedge Baseline'!$B$1:$L$257,10,FALSE))))</f>
        <v/>
      </c>
      <c r="J216" s="175" t="str">
        <f>IF(B216="","",IF(ISNA(VLOOKUP($B216,'B-1 Site Hedge Baseline'!$B$1:$L$257,11,FALSE)),"",(VLOOKUP($B216,'B-1 Site Hedge Baseline'!$B$1:$L$257,11,FALSE))))</f>
        <v/>
      </c>
      <c r="K216" s="175" t="str">
        <f>IF(B216="","",IF(ISNA(VLOOKUP($B216,'B-1 Site Hedge Baseline'!$B$1:$U$257,13,FALSE)),"",(VLOOKUP($B216,'B-1 Site Hedge Baseline'!$B$1:$U$257,13,FALSE))))</f>
        <v/>
      </c>
      <c r="L216" s="176" t="str">
        <f>IF(B216="","",IF(ISNA(VLOOKUP($B216,'B-1 Site Hedge Baseline'!$B$1:$U$257,12,FALSE)),"",(VLOOKUP($B216,'B-1 Site Hedge Baseline'!$B$1:$U$257,12,FALSE))))</f>
        <v/>
      </c>
      <c r="M216" s="637"/>
      <c r="N216" s="171" t="str">
        <f>IFERROR(IF(B216="","",INDEX('G-6 Hedgerow Data'!$AN$3:$AZ$15,MATCH(C216,'G-6 Hedgerow Data'!$AM$3:$AM$15,0),MATCH(M216,'G-6 Hedgerow Data'!$AN$2:$AZ$2,0))),"")</f>
        <v/>
      </c>
      <c r="O216" s="172" t="str">
        <f t="shared" si="21"/>
        <v/>
      </c>
      <c r="P216" s="642" t="str">
        <f>IF(B216="","",VLOOKUP(B216,'B-1 Site Hedge Baseline'!$B$10:T461,16,FALSE))</f>
        <v/>
      </c>
      <c r="Q216" s="171" t="str">
        <f>IF(M216="","",VLOOKUP(M216,'G-6 Hedgerow Data'!$B$2:$AG$15,2,FALSE))</f>
        <v/>
      </c>
      <c r="R216" s="172" t="str">
        <f>IF(M216="","",VLOOKUP(M216,'G-6 Hedgerow Data'!$B$2:$AG$15,3,FALSE))</f>
        <v/>
      </c>
      <c r="S216" s="189"/>
      <c r="T216" s="269" t="str">
        <f>IFERROR(VLOOKUP(S216,'G-1 All Habitats'!$Z$2:$AA$9,2,FALSE),"")</f>
        <v/>
      </c>
      <c r="U216" s="186"/>
      <c r="V216" s="175" t="str">
        <f>IF(U216="","",IF(VLOOKUP(U216,'G-3 Multipliers'!$L$3:$N$6,2,FALSE)=0,"Spatial Data Missing",VLOOKUP(U216,'G-3 Multipliers'!$L$3:$N$6,2,FALSE)))</f>
        <v/>
      </c>
      <c r="W216" s="176" t="str">
        <f>IF(U216="","",IF(VLOOKUP(U216,'G-3 Multipliers'!$L$3:$N$6,3,FALSE)=0,"Spatial Data Missing",VLOOKUP(U216,'G-3 Multipliers'!$L$3:$N$6,3,FALSE)))</f>
        <v/>
      </c>
      <c r="X216" s="171" t="str">
        <f>IFERROR(IF(OR(LEFT(O216,5)="Error",LEFT(N216,5)="Error",T216="Error"),"Check Data",IF(F216&lt;R216,INDEX('G-6 Hedgerow Data'!$S$3:$AE$14,MATCH(C216,'G-6 Hedgerow Data'!$B$3:$B$14,0),MATCH(M216,'G-6 Hedgerow Data'!$S$2:$AE$2,0)),INDEX('G-6 Hedgerow Data'!$K$3:$Q$14,MATCH(M216,'G-6 Hedgerow Data'!$B$3:$B$14,0),MATCH(O216,'G-6 Hedgerow Data'!$K$2:$Q$2,0)))),"")</f>
        <v/>
      </c>
      <c r="Y216" s="261"/>
      <c r="Z216" s="261"/>
      <c r="AA216" s="179" t="str">
        <f t="shared" si="24"/>
        <v/>
      </c>
      <c r="AB216" s="262" t="str">
        <f t="shared" si="25"/>
        <v/>
      </c>
      <c r="AC216" s="263" t="str">
        <f t="shared" si="22"/>
        <v/>
      </c>
      <c r="AD216" s="239" t="str">
        <f>IF(M216="","",VLOOKUP(M216,'G-6 Hedgerow Data'!$B$3:$AG$15,31,FALSE))</f>
        <v/>
      </c>
      <c r="AE216" s="179" t="str">
        <f t="shared" si="26"/>
        <v/>
      </c>
      <c r="AF216" s="179" t="str">
        <f t="shared" si="27"/>
        <v/>
      </c>
      <c r="AG216" s="176" t="str">
        <f>IFERROR(IF(O216="","",VLOOKUP(AD216,'G-3 Multipliers'!$P$3:$Q$6,2,FALSE)),"")</f>
        <v/>
      </c>
      <c r="AH216" s="207" t="str">
        <f t="shared" si="23"/>
        <v/>
      </c>
      <c r="AI216" s="336"/>
      <c r="AJ216" s="181"/>
      <c r="AT216" s="35" t="str">
        <f>IFERROR(INDEX('G-6 Hedgerow Data'!$BJ$3:$BJ$15,MATCH(M216,'G-6 Hedgerow Data'!$B$3:$B$15,0)),"")</f>
        <v/>
      </c>
    </row>
    <row r="217" spans="2:46" ht="13.8" x14ac:dyDescent="0.25">
      <c r="B217" s="259" t="str">
        <f>'B-1 Site Hedge Baseline'!AK215</f>
        <v/>
      </c>
      <c r="C217" s="175" t="str">
        <f>IF(B217="","",IF(ISNA(VLOOKUP($B217,'B-1 Site Hedge Baseline'!$B$1:$L$257,3,FALSE)),"",(VLOOKUP($B217,'B-1 Site Hedge Baseline'!$B$1:$L$257,3,FALSE))))</f>
        <v/>
      </c>
      <c r="D217" s="175" t="str">
        <f>IF(B217="","",IF(ISNA(VLOOKUP($B217,'B-1 Site Hedge Baseline'!$B$1:$L$257,4,FALSE)),"",(VLOOKUP($B217,'B-1 Site Hedge Baseline'!$B$1:$L$257,4,FALSE))))</f>
        <v/>
      </c>
      <c r="E217" s="175" t="str">
        <f>IF(B217="","",IF(ISNA(VLOOKUP($B217,'B-1 Site Hedge Baseline'!$B$1:$L$257,5,FALSE)),"",(VLOOKUP($B217,'B-1 Site Hedge Baseline'!$B$1:$L$257,5,FALSE))))</f>
        <v/>
      </c>
      <c r="F217" s="175" t="str">
        <f>IF(B217="","",IF(ISNA(VLOOKUP($B217,'B-1 Site Hedge Baseline'!$B$1:$L$257,6,FALSE)),"",(VLOOKUP($B217,'B-1 Site Hedge Baseline'!$B$1:$L$257,6,FALSE))))</f>
        <v/>
      </c>
      <c r="G217" s="175" t="str">
        <f>IF(B217="","",IF(ISNA(VLOOKUP($B217,'B-1 Site Hedge Baseline'!$B$1:$L$257,7,FALSE)),"",(VLOOKUP($B217,'B-1 Site Hedge Baseline'!$B$1:$L$257,7,FALSE))))</f>
        <v/>
      </c>
      <c r="H217" s="175" t="str">
        <f>IF(B217="","",IF(ISNA(VLOOKUP($B217,'B-1 Site Hedge Baseline'!$B$1:$L$257,8,FALSE)),"",(VLOOKUP($B217,'B-1 Site Hedge Baseline'!$B$1:$L$257,8,FALSE))))</f>
        <v/>
      </c>
      <c r="I217" s="175" t="str">
        <f>IF(B217="","",IF(ISNA(VLOOKUP($B217,'B-1 Site Hedge Baseline'!$B$1:$L$257,10,FALSE)),"",(VLOOKUP($B217,'B-1 Site Hedge Baseline'!$B$1:$L$257,10,FALSE))))</f>
        <v/>
      </c>
      <c r="J217" s="175" t="str">
        <f>IF(B217="","",IF(ISNA(VLOOKUP($B217,'B-1 Site Hedge Baseline'!$B$1:$L$257,11,FALSE)),"",(VLOOKUP($B217,'B-1 Site Hedge Baseline'!$B$1:$L$257,11,FALSE))))</f>
        <v/>
      </c>
      <c r="K217" s="175" t="str">
        <f>IF(B217="","",IF(ISNA(VLOOKUP($B217,'B-1 Site Hedge Baseline'!$B$1:$U$257,13,FALSE)),"",(VLOOKUP($B217,'B-1 Site Hedge Baseline'!$B$1:$U$257,13,FALSE))))</f>
        <v/>
      </c>
      <c r="L217" s="176" t="str">
        <f>IF(B217="","",IF(ISNA(VLOOKUP($B217,'B-1 Site Hedge Baseline'!$B$1:$U$257,12,FALSE)),"",(VLOOKUP($B217,'B-1 Site Hedge Baseline'!$B$1:$U$257,12,FALSE))))</f>
        <v/>
      </c>
      <c r="M217" s="637"/>
      <c r="N217" s="171" t="str">
        <f>IFERROR(IF(B217="","",INDEX('G-6 Hedgerow Data'!$AN$3:$AZ$15,MATCH(C217,'G-6 Hedgerow Data'!$AM$3:$AM$15,0),MATCH(M217,'G-6 Hedgerow Data'!$AN$2:$AZ$2,0))),"")</f>
        <v/>
      </c>
      <c r="O217" s="172" t="str">
        <f t="shared" si="21"/>
        <v/>
      </c>
      <c r="P217" s="642" t="str">
        <f>IF(B217="","",VLOOKUP(B217,'B-1 Site Hedge Baseline'!$B$10:T462,16,FALSE))</f>
        <v/>
      </c>
      <c r="Q217" s="171" t="str">
        <f>IF(M217="","",VLOOKUP(M217,'G-6 Hedgerow Data'!$B$2:$AG$15,2,FALSE))</f>
        <v/>
      </c>
      <c r="R217" s="172" t="str">
        <f>IF(M217="","",VLOOKUP(M217,'G-6 Hedgerow Data'!$B$2:$AG$15,3,FALSE))</f>
        <v/>
      </c>
      <c r="S217" s="189"/>
      <c r="T217" s="269" t="str">
        <f>IFERROR(VLOOKUP(S217,'G-1 All Habitats'!$Z$2:$AA$9,2,FALSE),"")</f>
        <v/>
      </c>
      <c r="U217" s="186"/>
      <c r="V217" s="175" t="str">
        <f>IF(U217="","",IF(VLOOKUP(U217,'G-3 Multipliers'!$L$3:$N$6,2,FALSE)=0,"Spatial Data Missing",VLOOKUP(U217,'G-3 Multipliers'!$L$3:$N$6,2,FALSE)))</f>
        <v/>
      </c>
      <c r="W217" s="176" t="str">
        <f>IF(U217="","",IF(VLOOKUP(U217,'G-3 Multipliers'!$L$3:$N$6,3,FALSE)=0,"Spatial Data Missing",VLOOKUP(U217,'G-3 Multipliers'!$L$3:$N$6,3,FALSE)))</f>
        <v/>
      </c>
      <c r="X217" s="171" t="str">
        <f>IFERROR(IF(OR(LEFT(O217,5)="Error",LEFT(N217,5)="Error",T217="Error"),"Check Data",IF(F217&lt;R217,INDEX('G-6 Hedgerow Data'!$S$3:$AE$14,MATCH(C217,'G-6 Hedgerow Data'!$B$3:$B$14,0),MATCH(M217,'G-6 Hedgerow Data'!$S$2:$AE$2,0)),INDEX('G-6 Hedgerow Data'!$K$3:$Q$14,MATCH(M217,'G-6 Hedgerow Data'!$B$3:$B$14,0),MATCH(O217,'G-6 Hedgerow Data'!$K$2:$Q$2,0)))),"")</f>
        <v/>
      </c>
      <c r="Y217" s="261"/>
      <c r="Z217" s="261"/>
      <c r="AA217" s="179" t="str">
        <f t="shared" si="24"/>
        <v/>
      </c>
      <c r="AB217" s="262" t="str">
        <f t="shared" si="25"/>
        <v/>
      </c>
      <c r="AC217" s="263" t="str">
        <f t="shared" si="22"/>
        <v/>
      </c>
      <c r="AD217" s="239" t="str">
        <f>IF(M217="","",VLOOKUP(M217,'G-6 Hedgerow Data'!$B$3:$AG$15,31,FALSE))</f>
        <v/>
      </c>
      <c r="AE217" s="179" t="str">
        <f t="shared" si="26"/>
        <v/>
      </c>
      <c r="AF217" s="179" t="str">
        <f t="shared" si="27"/>
        <v/>
      </c>
      <c r="AG217" s="176" t="str">
        <f>IFERROR(IF(O217="","",VLOOKUP(AD217,'G-3 Multipliers'!$P$3:$Q$6,2,FALSE)),"")</f>
        <v/>
      </c>
      <c r="AH217" s="207" t="str">
        <f t="shared" si="23"/>
        <v/>
      </c>
      <c r="AI217" s="336"/>
      <c r="AJ217" s="181"/>
      <c r="AT217" s="35" t="str">
        <f>IFERROR(INDEX('G-6 Hedgerow Data'!$BJ$3:$BJ$15,MATCH(M217,'G-6 Hedgerow Data'!$B$3:$B$15,0)),"")</f>
        <v/>
      </c>
    </row>
    <row r="218" spans="2:46" ht="13.8" x14ac:dyDescent="0.25">
      <c r="B218" s="259" t="str">
        <f>'B-1 Site Hedge Baseline'!AK216</f>
        <v/>
      </c>
      <c r="C218" s="175" t="str">
        <f>IF(B218="","",IF(ISNA(VLOOKUP($B218,'B-1 Site Hedge Baseline'!$B$1:$L$257,3,FALSE)),"",(VLOOKUP($B218,'B-1 Site Hedge Baseline'!$B$1:$L$257,3,FALSE))))</f>
        <v/>
      </c>
      <c r="D218" s="175" t="str">
        <f>IF(B218="","",IF(ISNA(VLOOKUP($B218,'B-1 Site Hedge Baseline'!$B$1:$L$257,4,FALSE)),"",(VLOOKUP($B218,'B-1 Site Hedge Baseline'!$B$1:$L$257,4,FALSE))))</f>
        <v/>
      </c>
      <c r="E218" s="175" t="str">
        <f>IF(B218="","",IF(ISNA(VLOOKUP($B218,'B-1 Site Hedge Baseline'!$B$1:$L$257,5,FALSE)),"",(VLOOKUP($B218,'B-1 Site Hedge Baseline'!$B$1:$L$257,5,FALSE))))</f>
        <v/>
      </c>
      <c r="F218" s="175" t="str">
        <f>IF(B218="","",IF(ISNA(VLOOKUP($B218,'B-1 Site Hedge Baseline'!$B$1:$L$257,6,FALSE)),"",(VLOOKUP($B218,'B-1 Site Hedge Baseline'!$B$1:$L$257,6,FALSE))))</f>
        <v/>
      </c>
      <c r="G218" s="175" t="str">
        <f>IF(B218="","",IF(ISNA(VLOOKUP($B218,'B-1 Site Hedge Baseline'!$B$1:$L$257,7,FALSE)),"",(VLOOKUP($B218,'B-1 Site Hedge Baseline'!$B$1:$L$257,7,FALSE))))</f>
        <v/>
      </c>
      <c r="H218" s="175" t="str">
        <f>IF(B218="","",IF(ISNA(VLOOKUP($B218,'B-1 Site Hedge Baseline'!$B$1:$L$257,8,FALSE)),"",(VLOOKUP($B218,'B-1 Site Hedge Baseline'!$B$1:$L$257,8,FALSE))))</f>
        <v/>
      </c>
      <c r="I218" s="175" t="str">
        <f>IF(B218="","",IF(ISNA(VLOOKUP($B218,'B-1 Site Hedge Baseline'!$B$1:$L$257,10,FALSE)),"",(VLOOKUP($B218,'B-1 Site Hedge Baseline'!$B$1:$L$257,10,FALSE))))</f>
        <v/>
      </c>
      <c r="J218" s="175" t="str">
        <f>IF(B218="","",IF(ISNA(VLOOKUP($B218,'B-1 Site Hedge Baseline'!$B$1:$L$257,11,FALSE)),"",(VLOOKUP($B218,'B-1 Site Hedge Baseline'!$B$1:$L$257,11,FALSE))))</f>
        <v/>
      </c>
      <c r="K218" s="175" t="str">
        <f>IF(B218="","",IF(ISNA(VLOOKUP($B218,'B-1 Site Hedge Baseline'!$B$1:$U$257,13,FALSE)),"",(VLOOKUP($B218,'B-1 Site Hedge Baseline'!$B$1:$U$257,13,FALSE))))</f>
        <v/>
      </c>
      <c r="L218" s="176" t="str">
        <f>IF(B218="","",IF(ISNA(VLOOKUP($B218,'B-1 Site Hedge Baseline'!$B$1:$U$257,12,FALSE)),"",(VLOOKUP($B218,'B-1 Site Hedge Baseline'!$B$1:$U$257,12,FALSE))))</f>
        <v/>
      </c>
      <c r="M218" s="637"/>
      <c r="N218" s="171" t="str">
        <f>IFERROR(IF(B218="","",INDEX('G-6 Hedgerow Data'!$AN$3:$AZ$15,MATCH(C218,'G-6 Hedgerow Data'!$AM$3:$AM$15,0),MATCH(M218,'G-6 Hedgerow Data'!$AN$2:$AZ$2,0))),"")</f>
        <v/>
      </c>
      <c r="O218" s="172" t="str">
        <f t="shared" si="21"/>
        <v/>
      </c>
      <c r="P218" s="642" t="str">
        <f>IF(B218="","",VLOOKUP(B218,'B-1 Site Hedge Baseline'!$B$10:T463,16,FALSE))</f>
        <v/>
      </c>
      <c r="Q218" s="171" t="str">
        <f>IF(M218="","",VLOOKUP(M218,'G-6 Hedgerow Data'!$B$2:$AG$15,2,FALSE))</f>
        <v/>
      </c>
      <c r="R218" s="172" t="str">
        <f>IF(M218="","",VLOOKUP(M218,'G-6 Hedgerow Data'!$B$2:$AG$15,3,FALSE))</f>
        <v/>
      </c>
      <c r="S218" s="189"/>
      <c r="T218" s="269" t="str">
        <f>IFERROR(VLOOKUP(S218,'G-1 All Habitats'!$Z$2:$AA$9,2,FALSE),"")</f>
        <v/>
      </c>
      <c r="U218" s="186"/>
      <c r="V218" s="175" t="str">
        <f>IF(U218="","",IF(VLOOKUP(U218,'G-3 Multipliers'!$L$3:$N$6,2,FALSE)=0,"Spatial Data Missing",VLOOKUP(U218,'G-3 Multipliers'!$L$3:$N$6,2,FALSE)))</f>
        <v/>
      </c>
      <c r="W218" s="176" t="str">
        <f>IF(U218="","",IF(VLOOKUP(U218,'G-3 Multipliers'!$L$3:$N$6,3,FALSE)=0,"Spatial Data Missing",VLOOKUP(U218,'G-3 Multipliers'!$L$3:$N$6,3,FALSE)))</f>
        <v/>
      </c>
      <c r="X218" s="171" t="str">
        <f>IFERROR(IF(OR(LEFT(O218,5)="Error",LEFT(N218,5)="Error",T218="Error"),"Check Data",IF(F218&lt;R218,INDEX('G-6 Hedgerow Data'!$S$3:$AE$14,MATCH(C218,'G-6 Hedgerow Data'!$B$3:$B$14,0),MATCH(M218,'G-6 Hedgerow Data'!$S$2:$AE$2,0)),INDEX('G-6 Hedgerow Data'!$K$3:$Q$14,MATCH(M218,'G-6 Hedgerow Data'!$B$3:$B$14,0),MATCH(O218,'G-6 Hedgerow Data'!$K$2:$Q$2,0)))),"")</f>
        <v/>
      </c>
      <c r="Y218" s="261"/>
      <c r="Z218" s="261"/>
      <c r="AA218" s="179" t="str">
        <f t="shared" si="24"/>
        <v/>
      </c>
      <c r="AB218" s="262" t="str">
        <f t="shared" si="25"/>
        <v/>
      </c>
      <c r="AC218" s="263" t="str">
        <f t="shared" si="22"/>
        <v/>
      </c>
      <c r="AD218" s="239" t="str">
        <f>IF(M218="","",VLOOKUP(M218,'G-6 Hedgerow Data'!$B$3:$AG$15,31,FALSE))</f>
        <v/>
      </c>
      <c r="AE218" s="179" t="str">
        <f t="shared" si="26"/>
        <v/>
      </c>
      <c r="AF218" s="179" t="str">
        <f t="shared" si="27"/>
        <v/>
      </c>
      <c r="AG218" s="176" t="str">
        <f>IFERROR(IF(O218="","",VLOOKUP(AD218,'G-3 Multipliers'!$P$3:$Q$6,2,FALSE)),"")</f>
        <v/>
      </c>
      <c r="AH218" s="207" t="str">
        <f t="shared" si="23"/>
        <v/>
      </c>
      <c r="AI218" s="336"/>
      <c r="AJ218" s="181"/>
      <c r="AT218" s="35" t="str">
        <f>IFERROR(INDEX('G-6 Hedgerow Data'!$BJ$3:$BJ$15,MATCH(M218,'G-6 Hedgerow Data'!$B$3:$B$15,0)),"")</f>
        <v/>
      </c>
    </row>
    <row r="219" spans="2:46" ht="13.8" x14ac:dyDescent="0.25">
      <c r="B219" s="259" t="str">
        <f>'B-1 Site Hedge Baseline'!AK217</f>
        <v/>
      </c>
      <c r="C219" s="175" t="str">
        <f>IF(B219="","",IF(ISNA(VLOOKUP($B219,'B-1 Site Hedge Baseline'!$B$1:$L$257,3,FALSE)),"",(VLOOKUP($B219,'B-1 Site Hedge Baseline'!$B$1:$L$257,3,FALSE))))</f>
        <v/>
      </c>
      <c r="D219" s="175" t="str">
        <f>IF(B219="","",IF(ISNA(VLOOKUP($B219,'B-1 Site Hedge Baseline'!$B$1:$L$257,4,FALSE)),"",(VLOOKUP($B219,'B-1 Site Hedge Baseline'!$B$1:$L$257,4,FALSE))))</f>
        <v/>
      </c>
      <c r="E219" s="175" t="str">
        <f>IF(B219="","",IF(ISNA(VLOOKUP($B219,'B-1 Site Hedge Baseline'!$B$1:$L$257,5,FALSE)),"",(VLOOKUP($B219,'B-1 Site Hedge Baseline'!$B$1:$L$257,5,FALSE))))</f>
        <v/>
      </c>
      <c r="F219" s="175" t="str">
        <f>IF(B219="","",IF(ISNA(VLOOKUP($B219,'B-1 Site Hedge Baseline'!$B$1:$L$257,6,FALSE)),"",(VLOOKUP($B219,'B-1 Site Hedge Baseline'!$B$1:$L$257,6,FALSE))))</f>
        <v/>
      </c>
      <c r="G219" s="175" t="str">
        <f>IF(B219="","",IF(ISNA(VLOOKUP($B219,'B-1 Site Hedge Baseline'!$B$1:$L$257,7,FALSE)),"",(VLOOKUP($B219,'B-1 Site Hedge Baseline'!$B$1:$L$257,7,FALSE))))</f>
        <v/>
      </c>
      <c r="H219" s="175" t="str">
        <f>IF(B219="","",IF(ISNA(VLOOKUP($B219,'B-1 Site Hedge Baseline'!$B$1:$L$257,8,FALSE)),"",(VLOOKUP($B219,'B-1 Site Hedge Baseline'!$B$1:$L$257,8,FALSE))))</f>
        <v/>
      </c>
      <c r="I219" s="175" t="str">
        <f>IF(B219="","",IF(ISNA(VLOOKUP($B219,'B-1 Site Hedge Baseline'!$B$1:$L$257,10,FALSE)),"",(VLOOKUP($B219,'B-1 Site Hedge Baseline'!$B$1:$L$257,10,FALSE))))</f>
        <v/>
      </c>
      <c r="J219" s="175" t="str">
        <f>IF(B219="","",IF(ISNA(VLOOKUP($B219,'B-1 Site Hedge Baseline'!$B$1:$L$257,11,FALSE)),"",(VLOOKUP($B219,'B-1 Site Hedge Baseline'!$B$1:$L$257,11,FALSE))))</f>
        <v/>
      </c>
      <c r="K219" s="175" t="str">
        <f>IF(B219="","",IF(ISNA(VLOOKUP($B219,'B-1 Site Hedge Baseline'!$B$1:$U$257,13,FALSE)),"",(VLOOKUP($B219,'B-1 Site Hedge Baseline'!$B$1:$U$257,13,FALSE))))</f>
        <v/>
      </c>
      <c r="L219" s="176" t="str">
        <f>IF(B219="","",IF(ISNA(VLOOKUP($B219,'B-1 Site Hedge Baseline'!$B$1:$U$257,12,FALSE)),"",(VLOOKUP($B219,'B-1 Site Hedge Baseline'!$B$1:$U$257,12,FALSE))))</f>
        <v/>
      </c>
      <c r="M219" s="637"/>
      <c r="N219" s="171" t="str">
        <f>IFERROR(IF(B219="","",INDEX('G-6 Hedgerow Data'!$AN$3:$AZ$15,MATCH(C219,'G-6 Hedgerow Data'!$AM$3:$AM$15,0),MATCH(M219,'G-6 Hedgerow Data'!$AN$2:$AZ$2,0))),"")</f>
        <v/>
      </c>
      <c r="O219" s="172" t="str">
        <f t="shared" si="21"/>
        <v/>
      </c>
      <c r="P219" s="642" t="str">
        <f>IF(B219="","",VLOOKUP(B219,'B-1 Site Hedge Baseline'!$B$10:T464,16,FALSE))</f>
        <v/>
      </c>
      <c r="Q219" s="171" t="str">
        <f>IF(M219="","",VLOOKUP(M219,'G-6 Hedgerow Data'!$B$2:$AG$15,2,FALSE))</f>
        <v/>
      </c>
      <c r="R219" s="172" t="str">
        <f>IF(M219="","",VLOOKUP(M219,'G-6 Hedgerow Data'!$B$2:$AG$15,3,FALSE))</f>
        <v/>
      </c>
      <c r="S219" s="189"/>
      <c r="T219" s="269" t="str">
        <f>IFERROR(VLOOKUP(S219,'G-1 All Habitats'!$Z$2:$AA$9,2,FALSE),"")</f>
        <v/>
      </c>
      <c r="U219" s="186"/>
      <c r="V219" s="175" t="str">
        <f>IF(U219="","",IF(VLOOKUP(U219,'G-3 Multipliers'!$L$3:$N$6,2,FALSE)=0,"Spatial Data Missing",VLOOKUP(U219,'G-3 Multipliers'!$L$3:$N$6,2,FALSE)))</f>
        <v/>
      </c>
      <c r="W219" s="176" t="str">
        <f>IF(U219="","",IF(VLOOKUP(U219,'G-3 Multipliers'!$L$3:$N$6,3,FALSE)=0,"Spatial Data Missing",VLOOKUP(U219,'G-3 Multipliers'!$L$3:$N$6,3,FALSE)))</f>
        <v/>
      </c>
      <c r="X219" s="171" t="str">
        <f>IFERROR(IF(OR(LEFT(O219,5)="Error",LEFT(N219,5)="Error",T219="Error"),"Check Data",IF(F219&lt;R219,INDEX('G-6 Hedgerow Data'!$S$3:$AE$14,MATCH(C219,'G-6 Hedgerow Data'!$B$3:$B$14,0),MATCH(M219,'G-6 Hedgerow Data'!$S$2:$AE$2,0)),INDEX('G-6 Hedgerow Data'!$K$3:$Q$14,MATCH(M219,'G-6 Hedgerow Data'!$B$3:$B$14,0),MATCH(O219,'G-6 Hedgerow Data'!$K$2:$Q$2,0)))),"")</f>
        <v/>
      </c>
      <c r="Y219" s="261"/>
      <c r="Z219" s="261"/>
      <c r="AA219" s="179" t="str">
        <f t="shared" si="24"/>
        <v/>
      </c>
      <c r="AB219" s="262" t="str">
        <f t="shared" si="25"/>
        <v/>
      </c>
      <c r="AC219" s="263" t="str">
        <f t="shared" si="22"/>
        <v/>
      </c>
      <c r="AD219" s="239" t="str">
        <f>IF(M219="","",VLOOKUP(M219,'G-6 Hedgerow Data'!$B$3:$AG$15,31,FALSE))</f>
        <v/>
      </c>
      <c r="AE219" s="179" t="str">
        <f t="shared" si="26"/>
        <v/>
      </c>
      <c r="AF219" s="179" t="str">
        <f t="shared" si="27"/>
        <v/>
      </c>
      <c r="AG219" s="176" t="str">
        <f>IFERROR(IF(O219="","",VLOOKUP(AD219,'G-3 Multipliers'!$P$3:$Q$6,2,FALSE)),"")</f>
        <v/>
      </c>
      <c r="AH219" s="207" t="str">
        <f t="shared" si="23"/>
        <v/>
      </c>
      <c r="AI219" s="336"/>
      <c r="AJ219" s="181"/>
      <c r="AT219" s="35" t="str">
        <f>IFERROR(INDEX('G-6 Hedgerow Data'!$BJ$3:$BJ$15,MATCH(M219,'G-6 Hedgerow Data'!$B$3:$B$15,0)),"")</f>
        <v/>
      </c>
    </row>
    <row r="220" spans="2:46" ht="13.8" x14ac:dyDescent="0.25">
      <c r="B220" s="259" t="str">
        <f>'B-1 Site Hedge Baseline'!AK218</f>
        <v/>
      </c>
      <c r="C220" s="175" t="str">
        <f>IF(B220="","",IF(ISNA(VLOOKUP($B220,'B-1 Site Hedge Baseline'!$B$1:$L$257,3,FALSE)),"",(VLOOKUP($B220,'B-1 Site Hedge Baseline'!$B$1:$L$257,3,FALSE))))</f>
        <v/>
      </c>
      <c r="D220" s="175" t="str">
        <f>IF(B220="","",IF(ISNA(VLOOKUP($B220,'B-1 Site Hedge Baseline'!$B$1:$L$257,4,FALSE)),"",(VLOOKUP($B220,'B-1 Site Hedge Baseline'!$B$1:$L$257,4,FALSE))))</f>
        <v/>
      </c>
      <c r="E220" s="175" t="str">
        <f>IF(B220="","",IF(ISNA(VLOOKUP($B220,'B-1 Site Hedge Baseline'!$B$1:$L$257,5,FALSE)),"",(VLOOKUP($B220,'B-1 Site Hedge Baseline'!$B$1:$L$257,5,FALSE))))</f>
        <v/>
      </c>
      <c r="F220" s="175" t="str">
        <f>IF(B220="","",IF(ISNA(VLOOKUP($B220,'B-1 Site Hedge Baseline'!$B$1:$L$257,6,FALSE)),"",(VLOOKUP($B220,'B-1 Site Hedge Baseline'!$B$1:$L$257,6,FALSE))))</f>
        <v/>
      </c>
      <c r="G220" s="175" t="str">
        <f>IF(B220="","",IF(ISNA(VLOOKUP($B220,'B-1 Site Hedge Baseline'!$B$1:$L$257,7,FALSE)),"",(VLOOKUP($B220,'B-1 Site Hedge Baseline'!$B$1:$L$257,7,FALSE))))</f>
        <v/>
      </c>
      <c r="H220" s="175" t="str">
        <f>IF(B220="","",IF(ISNA(VLOOKUP($B220,'B-1 Site Hedge Baseline'!$B$1:$L$257,8,FALSE)),"",(VLOOKUP($B220,'B-1 Site Hedge Baseline'!$B$1:$L$257,8,FALSE))))</f>
        <v/>
      </c>
      <c r="I220" s="175" t="str">
        <f>IF(B220="","",IF(ISNA(VLOOKUP($B220,'B-1 Site Hedge Baseline'!$B$1:$L$257,10,FALSE)),"",(VLOOKUP($B220,'B-1 Site Hedge Baseline'!$B$1:$L$257,10,FALSE))))</f>
        <v/>
      </c>
      <c r="J220" s="175" t="str">
        <f>IF(B220="","",IF(ISNA(VLOOKUP($B220,'B-1 Site Hedge Baseline'!$B$1:$L$257,11,FALSE)),"",(VLOOKUP($B220,'B-1 Site Hedge Baseline'!$B$1:$L$257,11,FALSE))))</f>
        <v/>
      </c>
      <c r="K220" s="175" t="str">
        <f>IF(B220="","",IF(ISNA(VLOOKUP($B220,'B-1 Site Hedge Baseline'!$B$1:$U$257,13,FALSE)),"",(VLOOKUP($B220,'B-1 Site Hedge Baseline'!$B$1:$U$257,13,FALSE))))</f>
        <v/>
      </c>
      <c r="L220" s="176" t="str">
        <f>IF(B220="","",IF(ISNA(VLOOKUP($B220,'B-1 Site Hedge Baseline'!$B$1:$U$257,12,FALSE)),"",(VLOOKUP($B220,'B-1 Site Hedge Baseline'!$B$1:$U$257,12,FALSE))))</f>
        <v/>
      </c>
      <c r="M220" s="637"/>
      <c r="N220" s="171" t="str">
        <f>IFERROR(IF(B220="","",INDEX('G-6 Hedgerow Data'!$AN$3:$AZ$15,MATCH(C220,'G-6 Hedgerow Data'!$AM$3:$AM$15,0),MATCH(M220,'G-6 Hedgerow Data'!$AN$2:$AZ$2,0))),"")</f>
        <v/>
      </c>
      <c r="O220" s="172" t="str">
        <f t="shared" si="21"/>
        <v/>
      </c>
      <c r="P220" s="642" t="str">
        <f>IF(B220="","",VLOOKUP(B220,'B-1 Site Hedge Baseline'!$B$10:T465,16,FALSE))</f>
        <v/>
      </c>
      <c r="Q220" s="171" t="str">
        <f>IF(M220="","",VLOOKUP(M220,'G-6 Hedgerow Data'!$B$2:$AG$15,2,FALSE))</f>
        <v/>
      </c>
      <c r="R220" s="172" t="str">
        <f>IF(M220="","",VLOOKUP(M220,'G-6 Hedgerow Data'!$B$2:$AG$15,3,FALSE))</f>
        <v/>
      </c>
      <c r="S220" s="189"/>
      <c r="T220" s="269" t="str">
        <f>IFERROR(VLOOKUP(S220,'G-1 All Habitats'!$Z$2:$AA$9,2,FALSE),"")</f>
        <v/>
      </c>
      <c r="U220" s="186"/>
      <c r="V220" s="175" t="str">
        <f>IF(U220="","",IF(VLOOKUP(U220,'G-3 Multipliers'!$L$3:$N$6,2,FALSE)=0,"Spatial Data Missing",VLOOKUP(U220,'G-3 Multipliers'!$L$3:$N$6,2,FALSE)))</f>
        <v/>
      </c>
      <c r="W220" s="176" t="str">
        <f>IF(U220="","",IF(VLOOKUP(U220,'G-3 Multipliers'!$L$3:$N$6,3,FALSE)=0,"Spatial Data Missing",VLOOKUP(U220,'G-3 Multipliers'!$L$3:$N$6,3,FALSE)))</f>
        <v/>
      </c>
      <c r="X220" s="171" t="str">
        <f>IFERROR(IF(OR(LEFT(O220,5)="Error",LEFT(N220,5)="Error",T220="Error"),"Check Data",IF(F220&lt;R220,INDEX('G-6 Hedgerow Data'!$S$3:$AE$14,MATCH(C220,'G-6 Hedgerow Data'!$B$3:$B$14,0),MATCH(M220,'G-6 Hedgerow Data'!$S$2:$AE$2,0)),INDEX('G-6 Hedgerow Data'!$K$3:$Q$14,MATCH(M220,'G-6 Hedgerow Data'!$B$3:$B$14,0),MATCH(O220,'G-6 Hedgerow Data'!$K$2:$Q$2,0)))),"")</f>
        <v/>
      </c>
      <c r="Y220" s="261"/>
      <c r="Z220" s="261"/>
      <c r="AA220" s="179" t="str">
        <f t="shared" si="24"/>
        <v/>
      </c>
      <c r="AB220" s="262" t="str">
        <f t="shared" si="25"/>
        <v/>
      </c>
      <c r="AC220" s="263" t="str">
        <f t="shared" si="22"/>
        <v/>
      </c>
      <c r="AD220" s="239" t="str">
        <f>IF(M220="","",VLOOKUP(M220,'G-6 Hedgerow Data'!$B$3:$AG$15,31,FALSE))</f>
        <v/>
      </c>
      <c r="AE220" s="179" t="str">
        <f t="shared" si="26"/>
        <v/>
      </c>
      <c r="AF220" s="179" t="str">
        <f t="shared" si="27"/>
        <v/>
      </c>
      <c r="AG220" s="176" t="str">
        <f>IFERROR(IF(O220="","",VLOOKUP(AD220,'G-3 Multipliers'!$P$3:$Q$6,2,FALSE)),"")</f>
        <v/>
      </c>
      <c r="AH220" s="207" t="str">
        <f t="shared" si="23"/>
        <v/>
      </c>
      <c r="AI220" s="336"/>
      <c r="AJ220" s="181"/>
      <c r="AT220" s="35" t="str">
        <f>IFERROR(INDEX('G-6 Hedgerow Data'!$BJ$3:$BJ$15,MATCH(M220,'G-6 Hedgerow Data'!$B$3:$B$15,0)),"")</f>
        <v/>
      </c>
    </row>
    <row r="221" spans="2:46" ht="13.8" x14ac:dyDescent="0.25">
      <c r="B221" s="259" t="str">
        <f>'B-1 Site Hedge Baseline'!AK219</f>
        <v/>
      </c>
      <c r="C221" s="175" t="str">
        <f>IF(B221="","",IF(ISNA(VLOOKUP($B221,'B-1 Site Hedge Baseline'!$B$1:$L$257,3,FALSE)),"",(VLOOKUP($B221,'B-1 Site Hedge Baseline'!$B$1:$L$257,3,FALSE))))</f>
        <v/>
      </c>
      <c r="D221" s="175" t="str">
        <f>IF(B221="","",IF(ISNA(VLOOKUP($B221,'B-1 Site Hedge Baseline'!$B$1:$L$257,4,FALSE)),"",(VLOOKUP($B221,'B-1 Site Hedge Baseline'!$B$1:$L$257,4,FALSE))))</f>
        <v/>
      </c>
      <c r="E221" s="175" t="str">
        <f>IF(B221="","",IF(ISNA(VLOOKUP($B221,'B-1 Site Hedge Baseline'!$B$1:$L$257,5,FALSE)),"",(VLOOKUP($B221,'B-1 Site Hedge Baseline'!$B$1:$L$257,5,FALSE))))</f>
        <v/>
      </c>
      <c r="F221" s="175" t="str">
        <f>IF(B221="","",IF(ISNA(VLOOKUP($B221,'B-1 Site Hedge Baseline'!$B$1:$L$257,6,FALSE)),"",(VLOOKUP($B221,'B-1 Site Hedge Baseline'!$B$1:$L$257,6,FALSE))))</f>
        <v/>
      </c>
      <c r="G221" s="175" t="str">
        <f>IF(B221="","",IF(ISNA(VLOOKUP($B221,'B-1 Site Hedge Baseline'!$B$1:$L$257,7,FALSE)),"",(VLOOKUP($B221,'B-1 Site Hedge Baseline'!$B$1:$L$257,7,FALSE))))</f>
        <v/>
      </c>
      <c r="H221" s="175" t="str">
        <f>IF(B221="","",IF(ISNA(VLOOKUP($B221,'B-1 Site Hedge Baseline'!$B$1:$L$257,8,FALSE)),"",(VLOOKUP($B221,'B-1 Site Hedge Baseline'!$B$1:$L$257,8,FALSE))))</f>
        <v/>
      </c>
      <c r="I221" s="175" t="str">
        <f>IF(B221="","",IF(ISNA(VLOOKUP($B221,'B-1 Site Hedge Baseline'!$B$1:$L$257,10,FALSE)),"",(VLOOKUP($B221,'B-1 Site Hedge Baseline'!$B$1:$L$257,10,FALSE))))</f>
        <v/>
      </c>
      <c r="J221" s="175" t="str">
        <f>IF(B221="","",IF(ISNA(VLOOKUP($B221,'B-1 Site Hedge Baseline'!$B$1:$L$257,11,FALSE)),"",(VLOOKUP($B221,'B-1 Site Hedge Baseline'!$B$1:$L$257,11,FALSE))))</f>
        <v/>
      </c>
      <c r="K221" s="175" t="str">
        <f>IF(B221="","",IF(ISNA(VLOOKUP($B221,'B-1 Site Hedge Baseline'!$B$1:$U$257,13,FALSE)),"",(VLOOKUP($B221,'B-1 Site Hedge Baseline'!$B$1:$U$257,13,FALSE))))</f>
        <v/>
      </c>
      <c r="L221" s="176" t="str">
        <f>IF(B221="","",IF(ISNA(VLOOKUP($B221,'B-1 Site Hedge Baseline'!$B$1:$U$257,12,FALSE)),"",(VLOOKUP($B221,'B-1 Site Hedge Baseline'!$B$1:$U$257,12,FALSE))))</f>
        <v/>
      </c>
      <c r="M221" s="637"/>
      <c r="N221" s="171" t="str">
        <f>IFERROR(IF(B221="","",INDEX('G-6 Hedgerow Data'!$AN$3:$AZ$15,MATCH(C221,'G-6 Hedgerow Data'!$AM$3:$AM$15,0),MATCH(M221,'G-6 Hedgerow Data'!$AN$2:$AZ$2,0))),"")</f>
        <v/>
      </c>
      <c r="O221" s="172" t="str">
        <f t="shared" si="21"/>
        <v/>
      </c>
      <c r="P221" s="642" t="str">
        <f>IF(B221="","",VLOOKUP(B221,'B-1 Site Hedge Baseline'!$B$10:T466,16,FALSE))</f>
        <v/>
      </c>
      <c r="Q221" s="171" t="str">
        <f>IF(M221="","",VLOOKUP(M221,'G-6 Hedgerow Data'!$B$2:$AG$15,2,FALSE))</f>
        <v/>
      </c>
      <c r="R221" s="172" t="str">
        <f>IF(M221="","",VLOOKUP(M221,'G-6 Hedgerow Data'!$B$2:$AG$15,3,FALSE))</f>
        <v/>
      </c>
      <c r="S221" s="189"/>
      <c r="T221" s="269" t="str">
        <f>IFERROR(VLOOKUP(S221,'G-1 All Habitats'!$Z$2:$AA$9,2,FALSE),"")</f>
        <v/>
      </c>
      <c r="U221" s="186"/>
      <c r="V221" s="175" t="str">
        <f>IF(U221="","",IF(VLOOKUP(U221,'G-3 Multipliers'!$L$3:$N$6,2,FALSE)=0,"Spatial Data Missing",VLOOKUP(U221,'G-3 Multipliers'!$L$3:$N$6,2,FALSE)))</f>
        <v/>
      </c>
      <c r="W221" s="176" t="str">
        <f>IF(U221="","",IF(VLOOKUP(U221,'G-3 Multipliers'!$L$3:$N$6,3,FALSE)=0,"Spatial Data Missing",VLOOKUP(U221,'G-3 Multipliers'!$L$3:$N$6,3,FALSE)))</f>
        <v/>
      </c>
      <c r="X221" s="171" t="str">
        <f>IFERROR(IF(OR(LEFT(O221,5)="Error",LEFT(N221,5)="Error",T221="Error"),"Check Data",IF(F221&lt;R221,INDEX('G-6 Hedgerow Data'!$S$3:$AE$14,MATCH(C221,'G-6 Hedgerow Data'!$B$3:$B$14,0),MATCH(M221,'G-6 Hedgerow Data'!$S$2:$AE$2,0)),INDEX('G-6 Hedgerow Data'!$K$3:$Q$14,MATCH(M221,'G-6 Hedgerow Data'!$B$3:$B$14,0),MATCH(O221,'G-6 Hedgerow Data'!$K$2:$Q$2,0)))),"")</f>
        <v/>
      </c>
      <c r="Y221" s="261"/>
      <c r="Z221" s="261"/>
      <c r="AA221" s="179" t="str">
        <f t="shared" si="24"/>
        <v/>
      </c>
      <c r="AB221" s="262" t="str">
        <f t="shared" si="25"/>
        <v/>
      </c>
      <c r="AC221" s="263" t="str">
        <f t="shared" si="22"/>
        <v/>
      </c>
      <c r="AD221" s="239" t="str">
        <f>IF(M221="","",VLOOKUP(M221,'G-6 Hedgerow Data'!$B$3:$AG$15,31,FALSE))</f>
        <v/>
      </c>
      <c r="AE221" s="179" t="str">
        <f t="shared" si="26"/>
        <v/>
      </c>
      <c r="AF221" s="179" t="str">
        <f t="shared" si="27"/>
        <v/>
      </c>
      <c r="AG221" s="176" t="str">
        <f>IFERROR(IF(O221="","",VLOOKUP(AD221,'G-3 Multipliers'!$P$3:$Q$6,2,FALSE)),"")</f>
        <v/>
      </c>
      <c r="AH221" s="207" t="str">
        <f t="shared" si="23"/>
        <v/>
      </c>
      <c r="AI221" s="336"/>
      <c r="AJ221" s="181"/>
      <c r="AT221" s="35" t="str">
        <f>IFERROR(INDEX('G-6 Hedgerow Data'!$BJ$3:$BJ$15,MATCH(M221,'G-6 Hedgerow Data'!$B$3:$B$15,0)),"")</f>
        <v/>
      </c>
    </row>
    <row r="222" spans="2:46" ht="13.8" x14ac:dyDescent="0.25">
      <c r="B222" s="259" t="str">
        <f>'B-1 Site Hedge Baseline'!AK220</f>
        <v/>
      </c>
      <c r="C222" s="175" t="str">
        <f>IF(B222="","",IF(ISNA(VLOOKUP($B222,'B-1 Site Hedge Baseline'!$B$1:$L$257,3,FALSE)),"",(VLOOKUP($B222,'B-1 Site Hedge Baseline'!$B$1:$L$257,3,FALSE))))</f>
        <v/>
      </c>
      <c r="D222" s="175" t="str">
        <f>IF(B222="","",IF(ISNA(VLOOKUP($B222,'B-1 Site Hedge Baseline'!$B$1:$L$257,4,FALSE)),"",(VLOOKUP($B222,'B-1 Site Hedge Baseline'!$B$1:$L$257,4,FALSE))))</f>
        <v/>
      </c>
      <c r="E222" s="175" t="str">
        <f>IF(B222="","",IF(ISNA(VLOOKUP($B222,'B-1 Site Hedge Baseline'!$B$1:$L$257,5,FALSE)),"",(VLOOKUP($B222,'B-1 Site Hedge Baseline'!$B$1:$L$257,5,FALSE))))</f>
        <v/>
      </c>
      <c r="F222" s="175" t="str">
        <f>IF(B222="","",IF(ISNA(VLOOKUP($B222,'B-1 Site Hedge Baseline'!$B$1:$L$257,6,FALSE)),"",(VLOOKUP($B222,'B-1 Site Hedge Baseline'!$B$1:$L$257,6,FALSE))))</f>
        <v/>
      </c>
      <c r="G222" s="175" t="str">
        <f>IF(B222="","",IF(ISNA(VLOOKUP($B222,'B-1 Site Hedge Baseline'!$B$1:$L$257,7,FALSE)),"",(VLOOKUP($B222,'B-1 Site Hedge Baseline'!$B$1:$L$257,7,FALSE))))</f>
        <v/>
      </c>
      <c r="H222" s="175" t="str">
        <f>IF(B222="","",IF(ISNA(VLOOKUP($B222,'B-1 Site Hedge Baseline'!$B$1:$L$257,8,FALSE)),"",(VLOOKUP($B222,'B-1 Site Hedge Baseline'!$B$1:$L$257,8,FALSE))))</f>
        <v/>
      </c>
      <c r="I222" s="175" t="str">
        <f>IF(B222="","",IF(ISNA(VLOOKUP($B222,'B-1 Site Hedge Baseline'!$B$1:$L$257,10,FALSE)),"",(VLOOKUP($B222,'B-1 Site Hedge Baseline'!$B$1:$L$257,10,FALSE))))</f>
        <v/>
      </c>
      <c r="J222" s="175" t="str">
        <f>IF(B222="","",IF(ISNA(VLOOKUP($B222,'B-1 Site Hedge Baseline'!$B$1:$L$257,11,FALSE)),"",(VLOOKUP($B222,'B-1 Site Hedge Baseline'!$B$1:$L$257,11,FALSE))))</f>
        <v/>
      </c>
      <c r="K222" s="175" t="str">
        <f>IF(B222="","",IF(ISNA(VLOOKUP($B222,'B-1 Site Hedge Baseline'!$B$1:$U$257,13,FALSE)),"",(VLOOKUP($B222,'B-1 Site Hedge Baseline'!$B$1:$U$257,13,FALSE))))</f>
        <v/>
      </c>
      <c r="L222" s="176" t="str">
        <f>IF(B222="","",IF(ISNA(VLOOKUP($B222,'B-1 Site Hedge Baseline'!$B$1:$U$257,12,FALSE)),"",(VLOOKUP($B222,'B-1 Site Hedge Baseline'!$B$1:$U$257,12,FALSE))))</f>
        <v/>
      </c>
      <c r="M222" s="637"/>
      <c r="N222" s="171" t="str">
        <f>IFERROR(IF(B222="","",INDEX('G-6 Hedgerow Data'!$AN$3:$AZ$15,MATCH(C222,'G-6 Hedgerow Data'!$AM$3:$AM$15,0),MATCH(M222,'G-6 Hedgerow Data'!$AN$2:$AZ$2,0))),"")</f>
        <v/>
      </c>
      <c r="O222" s="172" t="str">
        <f t="shared" si="21"/>
        <v/>
      </c>
      <c r="P222" s="642" t="str">
        <f>IF(B222="","",VLOOKUP(B222,'B-1 Site Hedge Baseline'!$B$10:T467,16,FALSE))</f>
        <v/>
      </c>
      <c r="Q222" s="171" t="str">
        <f>IF(M222="","",VLOOKUP(M222,'G-6 Hedgerow Data'!$B$2:$AG$15,2,FALSE))</f>
        <v/>
      </c>
      <c r="R222" s="172" t="str">
        <f>IF(M222="","",VLOOKUP(M222,'G-6 Hedgerow Data'!$B$2:$AG$15,3,FALSE))</f>
        <v/>
      </c>
      <c r="S222" s="189"/>
      <c r="T222" s="269" t="str">
        <f>IFERROR(VLOOKUP(S222,'G-1 All Habitats'!$Z$2:$AA$9,2,FALSE),"")</f>
        <v/>
      </c>
      <c r="U222" s="186"/>
      <c r="V222" s="175" t="str">
        <f>IF(U222="","",IF(VLOOKUP(U222,'G-3 Multipliers'!$L$3:$N$6,2,FALSE)=0,"Spatial Data Missing",VLOOKUP(U222,'G-3 Multipliers'!$L$3:$N$6,2,FALSE)))</f>
        <v/>
      </c>
      <c r="W222" s="176" t="str">
        <f>IF(U222="","",IF(VLOOKUP(U222,'G-3 Multipliers'!$L$3:$N$6,3,FALSE)=0,"Spatial Data Missing",VLOOKUP(U222,'G-3 Multipliers'!$L$3:$N$6,3,FALSE)))</f>
        <v/>
      </c>
      <c r="X222" s="171" t="str">
        <f>IFERROR(IF(OR(LEFT(O222,5)="Error",LEFT(N222,5)="Error",T222="Error"),"Check Data",IF(F222&lt;R222,INDEX('G-6 Hedgerow Data'!$S$3:$AE$14,MATCH(C222,'G-6 Hedgerow Data'!$B$3:$B$14,0),MATCH(M222,'G-6 Hedgerow Data'!$S$2:$AE$2,0)),INDEX('G-6 Hedgerow Data'!$K$3:$Q$14,MATCH(M222,'G-6 Hedgerow Data'!$B$3:$B$14,0),MATCH(O222,'G-6 Hedgerow Data'!$K$2:$Q$2,0)))),"")</f>
        <v/>
      </c>
      <c r="Y222" s="261"/>
      <c r="Z222" s="261"/>
      <c r="AA222" s="179" t="str">
        <f t="shared" si="24"/>
        <v/>
      </c>
      <c r="AB222" s="262" t="str">
        <f t="shared" si="25"/>
        <v/>
      </c>
      <c r="AC222" s="263" t="str">
        <f t="shared" si="22"/>
        <v/>
      </c>
      <c r="AD222" s="239" t="str">
        <f>IF(M222="","",VLOOKUP(M222,'G-6 Hedgerow Data'!$B$3:$AG$15,31,FALSE))</f>
        <v/>
      </c>
      <c r="AE222" s="179" t="str">
        <f t="shared" si="26"/>
        <v/>
      </c>
      <c r="AF222" s="179" t="str">
        <f t="shared" si="27"/>
        <v/>
      </c>
      <c r="AG222" s="176" t="str">
        <f>IFERROR(IF(O222="","",VLOOKUP(AD222,'G-3 Multipliers'!$P$3:$Q$6,2,FALSE)),"")</f>
        <v/>
      </c>
      <c r="AH222" s="207" t="str">
        <f t="shared" si="23"/>
        <v/>
      </c>
      <c r="AI222" s="336"/>
      <c r="AJ222" s="181"/>
      <c r="AT222" s="35" t="str">
        <f>IFERROR(INDEX('G-6 Hedgerow Data'!$BJ$3:$BJ$15,MATCH(M222,'G-6 Hedgerow Data'!$B$3:$B$15,0)),"")</f>
        <v/>
      </c>
    </row>
    <row r="223" spans="2:46" ht="13.8" x14ac:dyDescent="0.25">
      <c r="B223" s="259" t="str">
        <f>'B-1 Site Hedge Baseline'!AK221</f>
        <v/>
      </c>
      <c r="C223" s="175" t="str">
        <f>IF(B223="","",IF(ISNA(VLOOKUP($B223,'B-1 Site Hedge Baseline'!$B$1:$L$257,3,FALSE)),"",(VLOOKUP($B223,'B-1 Site Hedge Baseline'!$B$1:$L$257,3,FALSE))))</f>
        <v/>
      </c>
      <c r="D223" s="175" t="str">
        <f>IF(B223="","",IF(ISNA(VLOOKUP($B223,'B-1 Site Hedge Baseline'!$B$1:$L$257,4,FALSE)),"",(VLOOKUP($B223,'B-1 Site Hedge Baseline'!$B$1:$L$257,4,FALSE))))</f>
        <v/>
      </c>
      <c r="E223" s="175" t="str">
        <f>IF(B223="","",IF(ISNA(VLOOKUP($B223,'B-1 Site Hedge Baseline'!$B$1:$L$257,5,FALSE)),"",(VLOOKUP($B223,'B-1 Site Hedge Baseline'!$B$1:$L$257,5,FALSE))))</f>
        <v/>
      </c>
      <c r="F223" s="175" t="str">
        <f>IF(B223="","",IF(ISNA(VLOOKUP($B223,'B-1 Site Hedge Baseline'!$B$1:$L$257,6,FALSE)),"",(VLOOKUP($B223,'B-1 Site Hedge Baseline'!$B$1:$L$257,6,FALSE))))</f>
        <v/>
      </c>
      <c r="G223" s="175" t="str">
        <f>IF(B223="","",IF(ISNA(VLOOKUP($B223,'B-1 Site Hedge Baseline'!$B$1:$L$257,7,FALSE)),"",(VLOOKUP($B223,'B-1 Site Hedge Baseline'!$B$1:$L$257,7,FALSE))))</f>
        <v/>
      </c>
      <c r="H223" s="175" t="str">
        <f>IF(B223="","",IF(ISNA(VLOOKUP($B223,'B-1 Site Hedge Baseline'!$B$1:$L$257,8,FALSE)),"",(VLOOKUP($B223,'B-1 Site Hedge Baseline'!$B$1:$L$257,8,FALSE))))</f>
        <v/>
      </c>
      <c r="I223" s="175" t="str">
        <f>IF(B223="","",IF(ISNA(VLOOKUP($B223,'B-1 Site Hedge Baseline'!$B$1:$L$257,10,FALSE)),"",(VLOOKUP($B223,'B-1 Site Hedge Baseline'!$B$1:$L$257,10,FALSE))))</f>
        <v/>
      </c>
      <c r="J223" s="175" t="str">
        <f>IF(B223="","",IF(ISNA(VLOOKUP($B223,'B-1 Site Hedge Baseline'!$B$1:$L$257,11,FALSE)),"",(VLOOKUP($B223,'B-1 Site Hedge Baseline'!$B$1:$L$257,11,FALSE))))</f>
        <v/>
      </c>
      <c r="K223" s="175" t="str">
        <f>IF(B223="","",IF(ISNA(VLOOKUP($B223,'B-1 Site Hedge Baseline'!$B$1:$U$257,13,FALSE)),"",(VLOOKUP($B223,'B-1 Site Hedge Baseline'!$B$1:$U$257,13,FALSE))))</f>
        <v/>
      </c>
      <c r="L223" s="176" t="str">
        <f>IF(B223="","",IF(ISNA(VLOOKUP($B223,'B-1 Site Hedge Baseline'!$B$1:$U$257,12,FALSE)),"",(VLOOKUP($B223,'B-1 Site Hedge Baseline'!$B$1:$U$257,12,FALSE))))</f>
        <v/>
      </c>
      <c r="M223" s="637"/>
      <c r="N223" s="171" t="str">
        <f>IFERROR(IF(B223="","",INDEX('G-6 Hedgerow Data'!$AN$3:$AZ$15,MATCH(C223,'G-6 Hedgerow Data'!$AM$3:$AM$15,0),MATCH(M223,'G-6 Hedgerow Data'!$AN$2:$AZ$2,0))),"")</f>
        <v/>
      </c>
      <c r="O223" s="172" t="str">
        <f t="shared" si="21"/>
        <v/>
      </c>
      <c r="P223" s="642" t="str">
        <f>IF(B223="","",VLOOKUP(B223,'B-1 Site Hedge Baseline'!$B$10:T468,16,FALSE))</f>
        <v/>
      </c>
      <c r="Q223" s="171" t="str">
        <f>IF(M223="","",VLOOKUP(M223,'G-6 Hedgerow Data'!$B$2:$AG$15,2,FALSE))</f>
        <v/>
      </c>
      <c r="R223" s="172" t="str">
        <f>IF(M223="","",VLOOKUP(M223,'G-6 Hedgerow Data'!$B$2:$AG$15,3,FALSE))</f>
        <v/>
      </c>
      <c r="S223" s="189"/>
      <c r="T223" s="269" t="str">
        <f>IFERROR(VLOOKUP(S223,'G-1 All Habitats'!$Z$2:$AA$9,2,FALSE),"")</f>
        <v/>
      </c>
      <c r="U223" s="186"/>
      <c r="V223" s="175" t="str">
        <f>IF(U223="","",IF(VLOOKUP(U223,'G-3 Multipliers'!$L$3:$N$6,2,FALSE)=0,"Spatial Data Missing",VLOOKUP(U223,'G-3 Multipliers'!$L$3:$N$6,2,FALSE)))</f>
        <v/>
      </c>
      <c r="W223" s="176" t="str">
        <f>IF(U223="","",IF(VLOOKUP(U223,'G-3 Multipliers'!$L$3:$N$6,3,FALSE)=0,"Spatial Data Missing",VLOOKUP(U223,'G-3 Multipliers'!$L$3:$N$6,3,FALSE)))</f>
        <v/>
      </c>
      <c r="X223" s="171" t="str">
        <f>IFERROR(IF(OR(LEFT(O223,5)="Error",LEFT(N223,5)="Error",T223="Error"),"Check Data",IF(F223&lt;R223,INDEX('G-6 Hedgerow Data'!$S$3:$AE$14,MATCH(C223,'G-6 Hedgerow Data'!$B$3:$B$14,0),MATCH(M223,'G-6 Hedgerow Data'!$S$2:$AE$2,0)),INDEX('G-6 Hedgerow Data'!$K$3:$Q$14,MATCH(M223,'G-6 Hedgerow Data'!$B$3:$B$14,0),MATCH(O223,'G-6 Hedgerow Data'!$K$2:$Q$2,0)))),"")</f>
        <v/>
      </c>
      <c r="Y223" s="261"/>
      <c r="Z223" s="261"/>
      <c r="AA223" s="179" t="str">
        <f t="shared" si="24"/>
        <v/>
      </c>
      <c r="AB223" s="262" t="str">
        <f t="shared" si="25"/>
        <v/>
      </c>
      <c r="AC223" s="263" t="str">
        <f t="shared" si="22"/>
        <v/>
      </c>
      <c r="AD223" s="239" t="str">
        <f>IF(M223="","",VLOOKUP(M223,'G-6 Hedgerow Data'!$B$3:$AG$15,31,FALSE))</f>
        <v/>
      </c>
      <c r="AE223" s="179" t="str">
        <f t="shared" si="26"/>
        <v/>
      </c>
      <c r="AF223" s="179" t="str">
        <f t="shared" si="27"/>
        <v/>
      </c>
      <c r="AG223" s="176" t="str">
        <f>IFERROR(IF(O223="","",VLOOKUP(AD223,'G-3 Multipliers'!$P$3:$Q$6,2,FALSE)),"")</f>
        <v/>
      </c>
      <c r="AH223" s="207" t="str">
        <f t="shared" si="23"/>
        <v/>
      </c>
      <c r="AI223" s="336"/>
      <c r="AJ223" s="181"/>
      <c r="AT223" s="35" t="str">
        <f>IFERROR(INDEX('G-6 Hedgerow Data'!$BJ$3:$BJ$15,MATCH(M223,'G-6 Hedgerow Data'!$B$3:$B$15,0)),"")</f>
        <v/>
      </c>
    </row>
    <row r="224" spans="2:46" ht="13.8" x14ac:dyDescent="0.25">
      <c r="B224" s="259" t="str">
        <f>'B-1 Site Hedge Baseline'!AK222</f>
        <v/>
      </c>
      <c r="C224" s="175" t="str">
        <f>IF(B224="","",IF(ISNA(VLOOKUP($B224,'B-1 Site Hedge Baseline'!$B$1:$L$257,3,FALSE)),"",(VLOOKUP($B224,'B-1 Site Hedge Baseline'!$B$1:$L$257,3,FALSE))))</f>
        <v/>
      </c>
      <c r="D224" s="175" t="str">
        <f>IF(B224="","",IF(ISNA(VLOOKUP($B224,'B-1 Site Hedge Baseline'!$B$1:$L$257,4,FALSE)),"",(VLOOKUP($B224,'B-1 Site Hedge Baseline'!$B$1:$L$257,4,FALSE))))</f>
        <v/>
      </c>
      <c r="E224" s="175" t="str">
        <f>IF(B224="","",IF(ISNA(VLOOKUP($B224,'B-1 Site Hedge Baseline'!$B$1:$L$257,5,FALSE)),"",(VLOOKUP($B224,'B-1 Site Hedge Baseline'!$B$1:$L$257,5,FALSE))))</f>
        <v/>
      </c>
      <c r="F224" s="175" t="str">
        <f>IF(B224="","",IF(ISNA(VLOOKUP($B224,'B-1 Site Hedge Baseline'!$B$1:$L$257,6,FALSE)),"",(VLOOKUP($B224,'B-1 Site Hedge Baseline'!$B$1:$L$257,6,FALSE))))</f>
        <v/>
      </c>
      <c r="G224" s="175" t="str">
        <f>IF(B224="","",IF(ISNA(VLOOKUP($B224,'B-1 Site Hedge Baseline'!$B$1:$L$257,7,FALSE)),"",(VLOOKUP($B224,'B-1 Site Hedge Baseline'!$B$1:$L$257,7,FALSE))))</f>
        <v/>
      </c>
      <c r="H224" s="175" t="str">
        <f>IF(B224="","",IF(ISNA(VLOOKUP($B224,'B-1 Site Hedge Baseline'!$B$1:$L$257,8,FALSE)),"",(VLOOKUP($B224,'B-1 Site Hedge Baseline'!$B$1:$L$257,8,FALSE))))</f>
        <v/>
      </c>
      <c r="I224" s="175" t="str">
        <f>IF(B224="","",IF(ISNA(VLOOKUP($B224,'B-1 Site Hedge Baseline'!$B$1:$L$257,10,FALSE)),"",(VLOOKUP($B224,'B-1 Site Hedge Baseline'!$B$1:$L$257,10,FALSE))))</f>
        <v/>
      </c>
      <c r="J224" s="175" t="str">
        <f>IF(B224="","",IF(ISNA(VLOOKUP($B224,'B-1 Site Hedge Baseline'!$B$1:$L$257,11,FALSE)),"",(VLOOKUP($B224,'B-1 Site Hedge Baseline'!$B$1:$L$257,11,FALSE))))</f>
        <v/>
      </c>
      <c r="K224" s="175" t="str">
        <f>IF(B224="","",IF(ISNA(VLOOKUP($B224,'B-1 Site Hedge Baseline'!$B$1:$U$257,13,FALSE)),"",(VLOOKUP($B224,'B-1 Site Hedge Baseline'!$B$1:$U$257,13,FALSE))))</f>
        <v/>
      </c>
      <c r="L224" s="176" t="str">
        <f>IF(B224="","",IF(ISNA(VLOOKUP($B224,'B-1 Site Hedge Baseline'!$B$1:$U$257,12,FALSE)),"",(VLOOKUP($B224,'B-1 Site Hedge Baseline'!$B$1:$U$257,12,FALSE))))</f>
        <v/>
      </c>
      <c r="M224" s="637"/>
      <c r="N224" s="171" t="str">
        <f>IFERROR(IF(B224="","",INDEX('G-6 Hedgerow Data'!$AN$3:$AZ$15,MATCH(C224,'G-6 Hedgerow Data'!$AM$3:$AM$15,0),MATCH(M224,'G-6 Hedgerow Data'!$AN$2:$AZ$2,0))),"")</f>
        <v/>
      </c>
      <c r="O224" s="172" t="str">
        <f t="shared" si="21"/>
        <v/>
      </c>
      <c r="P224" s="642" t="str">
        <f>IF(B224="","",VLOOKUP(B224,'B-1 Site Hedge Baseline'!$B$10:T469,16,FALSE))</f>
        <v/>
      </c>
      <c r="Q224" s="171" t="str">
        <f>IF(M224="","",VLOOKUP(M224,'G-6 Hedgerow Data'!$B$2:$AG$15,2,FALSE))</f>
        <v/>
      </c>
      <c r="R224" s="172" t="str">
        <f>IF(M224="","",VLOOKUP(M224,'G-6 Hedgerow Data'!$B$2:$AG$15,3,FALSE))</f>
        <v/>
      </c>
      <c r="S224" s="189"/>
      <c r="T224" s="269" t="str">
        <f>IFERROR(VLOOKUP(S224,'G-1 All Habitats'!$Z$2:$AA$9,2,FALSE),"")</f>
        <v/>
      </c>
      <c r="U224" s="186"/>
      <c r="V224" s="175" t="str">
        <f>IF(U224="","",IF(VLOOKUP(U224,'G-3 Multipliers'!$L$3:$N$6,2,FALSE)=0,"Spatial Data Missing",VLOOKUP(U224,'G-3 Multipliers'!$L$3:$N$6,2,FALSE)))</f>
        <v/>
      </c>
      <c r="W224" s="176" t="str">
        <f>IF(U224="","",IF(VLOOKUP(U224,'G-3 Multipliers'!$L$3:$N$6,3,FALSE)=0,"Spatial Data Missing",VLOOKUP(U224,'G-3 Multipliers'!$L$3:$N$6,3,FALSE)))</f>
        <v/>
      </c>
      <c r="X224" s="171" t="str">
        <f>IFERROR(IF(OR(LEFT(O224,5)="Error",LEFT(N224,5)="Error",T224="Error"),"Check Data",IF(F224&lt;R224,INDEX('G-6 Hedgerow Data'!$S$3:$AE$14,MATCH(C224,'G-6 Hedgerow Data'!$B$3:$B$14,0),MATCH(M224,'G-6 Hedgerow Data'!$S$2:$AE$2,0)),INDEX('G-6 Hedgerow Data'!$K$3:$Q$14,MATCH(M224,'G-6 Hedgerow Data'!$B$3:$B$14,0),MATCH(O224,'G-6 Hedgerow Data'!$K$2:$Q$2,0)))),"")</f>
        <v/>
      </c>
      <c r="Y224" s="261"/>
      <c r="Z224" s="261"/>
      <c r="AA224" s="179" t="str">
        <f t="shared" si="24"/>
        <v/>
      </c>
      <c r="AB224" s="262" t="str">
        <f t="shared" si="25"/>
        <v/>
      </c>
      <c r="AC224" s="263" t="str">
        <f t="shared" si="22"/>
        <v/>
      </c>
      <c r="AD224" s="239" t="str">
        <f>IF(M224="","",VLOOKUP(M224,'G-6 Hedgerow Data'!$B$3:$AG$15,31,FALSE))</f>
        <v/>
      </c>
      <c r="AE224" s="179" t="str">
        <f t="shared" si="26"/>
        <v/>
      </c>
      <c r="AF224" s="179" t="str">
        <f t="shared" si="27"/>
        <v/>
      </c>
      <c r="AG224" s="176" t="str">
        <f>IFERROR(IF(O224="","",VLOOKUP(AD224,'G-3 Multipliers'!$P$3:$Q$6,2,FALSE)),"")</f>
        <v/>
      </c>
      <c r="AH224" s="207" t="str">
        <f t="shared" si="23"/>
        <v/>
      </c>
      <c r="AI224" s="336"/>
      <c r="AJ224" s="181"/>
      <c r="AT224" s="35" t="str">
        <f>IFERROR(INDEX('G-6 Hedgerow Data'!$BJ$3:$BJ$15,MATCH(M224,'G-6 Hedgerow Data'!$B$3:$B$15,0)),"")</f>
        <v/>
      </c>
    </row>
    <row r="225" spans="2:46" ht="13.8" x14ac:dyDescent="0.25">
      <c r="B225" s="259" t="str">
        <f>'B-1 Site Hedge Baseline'!AK223</f>
        <v/>
      </c>
      <c r="C225" s="175" t="str">
        <f>IF(B225="","",IF(ISNA(VLOOKUP($B225,'B-1 Site Hedge Baseline'!$B$1:$L$257,3,FALSE)),"",(VLOOKUP($B225,'B-1 Site Hedge Baseline'!$B$1:$L$257,3,FALSE))))</f>
        <v/>
      </c>
      <c r="D225" s="175" t="str">
        <f>IF(B225="","",IF(ISNA(VLOOKUP($B225,'B-1 Site Hedge Baseline'!$B$1:$L$257,4,FALSE)),"",(VLOOKUP($B225,'B-1 Site Hedge Baseline'!$B$1:$L$257,4,FALSE))))</f>
        <v/>
      </c>
      <c r="E225" s="175" t="str">
        <f>IF(B225="","",IF(ISNA(VLOOKUP($B225,'B-1 Site Hedge Baseline'!$B$1:$L$257,5,FALSE)),"",(VLOOKUP($B225,'B-1 Site Hedge Baseline'!$B$1:$L$257,5,FALSE))))</f>
        <v/>
      </c>
      <c r="F225" s="175" t="str">
        <f>IF(B225="","",IF(ISNA(VLOOKUP($B225,'B-1 Site Hedge Baseline'!$B$1:$L$257,6,FALSE)),"",(VLOOKUP($B225,'B-1 Site Hedge Baseline'!$B$1:$L$257,6,FALSE))))</f>
        <v/>
      </c>
      <c r="G225" s="175" t="str">
        <f>IF(B225="","",IF(ISNA(VLOOKUP($B225,'B-1 Site Hedge Baseline'!$B$1:$L$257,7,FALSE)),"",(VLOOKUP($B225,'B-1 Site Hedge Baseline'!$B$1:$L$257,7,FALSE))))</f>
        <v/>
      </c>
      <c r="H225" s="175" t="str">
        <f>IF(B225="","",IF(ISNA(VLOOKUP($B225,'B-1 Site Hedge Baseline'!$B$1:$L$257,8,FALSE)),"",(VLOOKUP($B225,'B-1 Site Hedge Baseline'!$B$1:$L$257,8,FALSE))))</f>
        <v/>
      </c>
      <c r="I225" s="175" t="str">
        <f>IF(B225="","",IF(ISNA(VLOOKUP($B225,'B-1 Site Hedge Baseline'!$B$1:$L$257,10,FALSE)),"",(VLOOKUP($B225,'B-1 Site Hedge Baseline'!$B$1:$L$257,10,FALSE))))</f>
        <v/>
      </c>
      <c r="J225" s="175" t="str">
        <f>IF(B225="","",IF(ISNA(VLOOKUP($B225,'B-1 Site Hedge Baseline'!$B$1:$L$257,11,FALSE)),"",(VLOOKUP($B225,'B-1 Site Hedge Baseline'!$B$1:$L$257,11,FALSE))))</f>
        <v/>
      </c>
      <c r="K225" s="175" t="str">
        <f>IF(B225="","",IF(ISNA(VLOOKUP($B225,'B-1 Site Hedge Baseline'!$B$1:$U$257,13,FALSE)),"",(VLOOKUP($B225,'B-1 Site Hedge Baseline'!$B$1:$U$257,13,FALSE))))</f>
        <v/>
      </c>
      <c r="L225" s="176" t="str">
        <f>IF(B225="","",IF(ISNA(VLOOKUP($B225,'B-1 Site Hedge Baseline'!$B$1:$U$257,12,FALSE)),"",(VLOOKUP($B225,'B-1 Site Hedge Baseline'!$B$1:$U$257,12,FALSE))))</f>
        <v/>
      </c>
      <c r="M225" s="637"/>
      <c r="N225" s="171" t="str">
        <f>IFERROR(IF(B225="","",INDEX('G-6 Hedgerow Data'!$AN$3:$AZ$15,MATCH(C225,'G-6 Hedgerow Data'!$AM$3:$AM$15,0),MATCH(M225,'G-6 Hedgerow Data'!$AN$2:$AZ$2,0))),"")</f>
        <v/>
      </c>
      <c r="O225" s="172" t="str">
        <f t="shared" si="21"/>
        <v/>
      </c>
      <c r="P225" s="642" t="str">
        <f>IF(B225="","",VLOOKUP(B225,'B-1 Site Hedge Baseline'!$B$10:T470,16,FALSE))</f>
        <v/>
      </c>
      <c r="Q225" s="171" t="str">
        <f>IF(M225="","",VLOOKUP(M225,'G-6 Hedgerow Data'!$B$2:$AG$15,2,FALSE))</f>
        <v/>
      </c>
      <c r="R225" s="172" t="str">
        <f>IF(M225="","",VLOOKUP(M225,'G-6 Hedgerow Data'!$B$2:$AG$15,3,FALSE))</f>
        <v/>
      </c>
      <c r="S225" s="189"/>
      <c r="T225" s="269" t="str">
        <f>IFERROR(VLOOKUP(S225,'G-1 All Habitats'!$Z$2:$AA$9,2,FALSE),"")</f>
        <v/>
      </c>
      <c r="U225" s="186"/>
      <c r="V225" s="175" t="str">
        <f>IF(U225="","",IF(VLOOKUP(U225,'G-3 Multipliers'!$L$3:$N$6,2,FALSE)=0,"Spatial Data Missing",VLOOKUP(U225,'G-3 Multipliers'!$L$3:$N$6,2,FALSE)))</f>
        <v/>
      </c>
      <c r="W225" s="176" t="str">
        <f>IF(U225="","",IF(VLOOKUP(U225,'G-3 Multipliers'!$L$3:$N$6,3,FALSE)=0,"Spatial Data Missing",VLOOKUP(U225,'G-3 Multipliers'!$L$3:$N$6,3,FALSE)))</f>
        <v/>
      </c>
      <c r="X225" s="171" t="str">
        <f>IFERROR(IF(OR(LEFT(O225,5)="Error",LEFT(N225,5)="Error",T225="Error"),"Check Data",IF(F225&lt;R225,INDEX('G-6 Hedgerow Data'!$S$3:$AE$14,MATCH(C225,'G-6 Hedgerow Data'!$B$3:$B$14,0),MATCH(M225,'G-6 Hedgerow Data'!$S$2:$AE$2,0)),INDEX('G-6 Hedgerow Data'!$K$3:$Q$14,MATCH(M225,'G-6 Hedgerow Data'!$B$3:$B$14,0),MATCH(O225,'G-6 Hedgerow Data'!$K$2:$Q$2,0)))),"")</f>
        <v/>
      </c>
      <c r="Y225" s="261"/>
      <c r="Z225" s="261"/>
      <c r="AA225" s="179" t="str">
        <f t="shared" si="24"/>
        <v/>
      </c>
      <c r="AB225" s="262" t="str">
        <f t="shared" si="25"/>
        <v/>
      </c>
      <c r="AC225" s="263" t="str">
        <f t="shared" si="22"/>
        <v/>
      </c>
      <c r="AD225" s="239" t="str">
        <f>IF(M225="","",VLOOKUP(M225,'G-6 Hedgerow Data'!$B$3:$AG$15,31,FALSE))</f>
        <v/>
      </c>
      <c r="AE225" s="179" t="str">
        <f t="shared" si="26"/>
        <v/>
      </c>
      <c r="AF225" s="179" t="str">
        <f t="shared" si="27"/>
        <v/>
      </c>
      <c r="AG225" s="176" t="str">
        <f>IFERROR(IF(O225="","",VLOOKUP(AD225,'G-3 Multipliers'!$P$3:$Q$6,2,FALSE)),"")</f>
        <v/>
      </c>
      <c r="AH225" s="207" t="str">
        <f t="shared" si="23"/>
        <v/>
      </c>
      <c r="AI225" s="336"/>
      <c r="AJ225" s="181"/>
      <c r="AT225" s="35" t="str">
        <f>IFERROR(INDEX('G-6 Hedgerow Data'!$BJ$3:$BJ$15,MATCH(M225,'G-6 Hedgerow Data'!$B$3:$B$15,0)),"")</f>
        <v/>
      </c>
    </row>
    <row r="226" spans="2:46" ht="13.8" x14ac:dyDescent="0.25">
      <c r="B226" s="259" t="str">
        <f>'B-1 Site Hedge Baseline'!AK224</f>
        <v/>
      </c>
      <c r="C226" s="175" t="str">
        <f>IF(B226="","",IF(ISNA(VLOOKUP($B226,'B-1 Site Hedge Baseline'!$B$1:$L$257,3,FALSE)),"",(VLOOKUP($B226,'B-1 Site Hedge Baseline'!$B$1:$L$257,3,FALSE))))</f>
        <v/>
      </c>
      <c r="D226" s="175" t="str">
        <f>IF(B226="","",IF(ISNA(VLOOKUP($B226,'B-1 Site Hedge Baseline'!$B$1:$L$257,4,FALSE)),"",(VLOOKUP($B226,'B-1 Site Hedge Baseline'!$B$1:$L$257,4,FALSE))))</f>
        <v/>
      </c>
      <c r="E226" s="175" t="str">
        <f>IF(B226="","",IF(ISNA(VLOOKUP($B226,'B-1 Site Hedge Baseline'!$B$1:$L$257,5,FALSE)),"",(VLOOKUP($B226,'B-1 Site Hedge Baseline'!$B$1:$L$257,5,FALSE))))</f>
        <v/>
      </c>
      <c r="F226" s="175" t="str">
        <f>IF(B226="","",IF(ISNA(VLOOKUP($B226,'B-1 Site Hedge Baseline'!$B$1:$L$257,6,FALSE)),"",(VLOOKUP($B226,'B-1 Site Hedge Baseline'!$B$1:$L$257,6,FALSE))))</f>
        <v/>
      </c>
      <c r="G226" s="175" t="str">
        <f>IF(B226="","",IF(ISNA(VLOOKUP($B226,'B-1 Site Hedge Baseline'!$B$1:$L$257,7,FALSE)),"",(VLOOKUP($B226,'B-1 Site Hedge Baseline'!$B$1:$L$257,7,FALSE))))</f>
        <v/>
      </c>
      <c r="H226" s="175" t="str">
        <f>IF(B226="","",IF(ISNA(VLOOKUP($B226,'B-1 Site Hedge Baseline'!$B$1:$L$257,8,FALSE)),"",(VLOOKUP($B226,'B-1 Site Hedge Baseline'!$B$1:$L$257,8,FALSE))))</f>
        <v/>
      </c>
      <c r="I226" s="175" t="str">
        <f>IF(B226="","",IF(ISNA(VLOOKUP($B226,'B-1 Site Hedge Baseline'!$B$1:$L$257,10,FALSE)),"",(VLOOKUP($B226,'B-1 Site Hedge Baseline'!$B$1:$L$257,10,FALSE))))</f>
        <v/>
      </c>
      <c r="J226" s="175" t="str">
        <f>IF(B226="","",IF(ISNA(VLOOKUP($B226,'B-1 Site Hedge Baseline'!$B$1:$L$257,11,FALSE)),"",(VLOOKUP($B226,'B-1 Site Hedge Baseline'!$B$1:$L$257,11,FALSE))))</f>
        <v/>
      </c>
      <c r="K226" s="175" t="str">
        <f>IF(B226="","",IF(ISNA(VLOOKUP($B226,'B-1 Site Hedge Baseline'!$B$1:$U$257,13,FALSE)),"",(VLOOKUP($B226,'B-1 Site Hedge Baseline'!$B$1:$U$257,13,FALSE))))</f>
        <v/>
      </c>
      <c r="L226" s="176" t="str">
        <f>IF(B226="","",IF(ISNA(VLOOKUP($B226,'B-1 Site Hedge Baseline'!$B$1:$U$257,12,FALSE)),"",(VLOOKUP($B226,'B-1 Site Hedge Baseline'!$B$1:$U$257,12,FALSE))))</f>
        <v/>
      </c>
      <c r="M226" s="637"/>
      <c r="N226" s="171" t="str">
        <f>IFERROR(IF(B226="","",INDEX('G-6 Hedgerow Data'!$AN$3:$AZ$15,MATCH(C226,'G-6 Hedgerow Data'!$AM$3:$AM$15,0),MATCH(M226,'G-6 Hedgerow Data'!$AN$2:$AZ$2,0))),"")</f>
        <v/>
      </c>
      <c r="O226" s="172" t="str">
        <f t="shared" si="21"/>
        <v/>
      </c>
      <c r="P226" s="642" t="str">
        <f>IF(B226="","",VLOOKUP(B226,'B-1 Site Hedge Baseline'!$B$10:T471,16,FALSE))</f>
        <v/>
      </c>
      <c r="Q226" s="171" t="str">
        <f>IF(M226="","",VLOOKUP(M226,'G-6 Hedgerow Data'!$B$2:$AG$15,2,FALSE))</f>
        <v/>
      </c>
      <c r="R226" s="172" t="str">
        <f>IF(M226="","",VLOOKUP(M226,'G-6 Hedgerow Data'!$B$2:$AG$15,3,FALSE))</f>
        <v/>
      </c>
      <c r="S226" s="189"/>
      <c r="T226" s="269" t="str">
        <f>IFERROR(VLOOKUP(S226,'G-1 All Habitats'!$Z$2:$AA$9,2,FALSE),"")</f>
        <v/>
      </c>
      <c r="U226" s="186"/>
      <c r="V226" s="175" t="str">
        <f>IF(U226="","",IF(VLOOKUP(U226,'G-3 Multipliers'!$L$3:$N$6,2,FALSE)=0,"Spatial Data Missing",VLOOKUP(U226,'G-3 Multipliers'!$L$3:$N$6,2,FALSE)))</f>
        <v/>
      </c>
      <c r="W226" s="176" t="str">
        <f>IF(U226="","",IF(VLOOKUP(U226,'G-3 Multipliers'!$L$3:$N$6,3,FALSE)=0,"Spatial Data Missing",VLOOKUP(U226,'G-3 Multipliers'!$L$3:$N$6,3,FALSE)))</f>
        <v/>
      </c>
      <c r="X226" s="171" t="str">
        <f>IFERROR(IF(OR(LEFT(O226,5)="Error",LEFT(N226,5)="Error",T226="Error"),"Check Data",IF(F226&lt;R226,INDEX('G-6 Hedgerow Data'!$S$3:$AE$14,MATCH(C226,'G-6 Hedgerow Data'!$B$3:$B$14,0),MATCH(M226,'G-6 Hedgerow Data'!$S$2:$AE$2,0)),INDEX('G-6 Hedgerow Data'!$K$3:$Q$14,MATCH(M226,'G-6 Hedgerow Data'!$B$3:$B$14,0),MATCH(O226,'G-6 Hedgerow Data'!$K$2:$Q$2,0)))),"")</f>
        <v/>
      </c>
      <c r="Y226" s="261"/>
      <c r="Z226" s="261"/>
      <c r="AA226" s="179" t="str">
        <f t="shared" si="24"/>
        <v/>
      </c>
      <c r="AB226" s="262" t="str">
        <f t="shared" si="25"/>
        <v/>
      </c>
      <c r="AC226" s="263" t="str">
        <f t="shared" si="22"/>
        <v/>
      </c>
      <c r="AD226" s="239" t="str">
        <f>IF(M226="","",VLOOKUP(M226,'G-6 Hedgerow Data'!$B$3:$AG$15,31,FALSE))</f>
        <v/>
      </c>
      <c r="AE226" s="179" t="str">
        <f t="shared" si="26"/>
        <v/>
      </c>
      <c r="AF226" s="179" t="str">
        <f t="shared" si="27"/>
        <v/>
      </c>
      <c r="AG226" s="176" t="str">
        <f>IFERROR(IF(O226="","",VLOOKUP(AD226,'G-3 Multipliers'!$P$3:$Q$6,2,FALSE)),"")</f>
        <v/>
      </c>
      <c r="AH226" s="207" t="str">
        <f t="shared" si="23"/>
        <v/>
      </c>
      <c r="AI226" s="336"/>
      <c r="AJ226" s="181"/>
      <c r="AT226" s="35" t="str">
        <f>IFERROR(INDEX('G-6 Hedgerow Data'!$BJ$3:$BJ$15,MATCH(M226,'G-6 Hedgerow Data'!$B$3:$B$15,0)),"")</f>
        <v/>
      </c>
    </row>
    <row r="227" spans="2:46" ht="13.8" x14ac:dyDescent="0.25">
      <c r="B227" s="259" t="str">
        <f>'B-1 Site Hedge Baseline'!AK225</f>
        <v/>
      </c>
      <c r="C227" s="175" t="str">
        <f>IF(B227="","",IF(ISNA(VLOOKUP($B227,'B-1 Site Hedge Baseline'!$B$1:$L$257,3,FALSE)),"",(VLOOKUP($B227,'B-1 Site Hedge Baseline'!$B$1:$L$257,3,FALSE))))</f>
        <v/>
      </c>
      <c r="D227" s="175" t="str">
        <f>IF(B227="","",IF(ISNA(VLOOKUP($B227,'B-1 Site Hedge Baseline'!$B$1:$L$257,4,FALSE)),"",(VLOOKUP($B227,'B-1 Site Hedge Baseline'!$B$1:$L$257,4,FALSE))))</f>
        <v/>
      </c>
      <c r="E227" s="175" t="str">
        <f>IF(B227="","",IF(ISNA(VLOOKUP($B227,'B-1 Site Hedge Baseline'!$B$1:$L$257,5,FALSE)),"",(VLOOKUP($B227,'B-1 Site Hedge Baseline'!$B$1:$L$257,5,FALSE))))</f>
        <v/>
      </c>
      <c r="F227" s="175" t="str">
        <f>IF(B227="","",IF(ISNA(VLOOKUP($B227,'B-1 Site Hedge Baseline'!$B$1:$L$257,6,FALSE)),"",(VLOOKUP($B227,'B-1 Site Hedge Baseline'!$B$1:$L$257,6,FALSE))))</f>
        <v/>
      </c>
      <c r="G227" s="175" t="str">
        <f>IF(B227="","",IF(ISNA(VLOOKUP($B227,'B-1 Site Hedge Baseline'!$B$1:$L$257,7,FALSE)),"",(VLOOKUP($B227,'B-1 Site Hedge Baseline'!$B$1:$L$257,7,FALSE))))</f>
        <v/>
      </c>
      <c r="H227" s="175" t="str">
        <f>IF(B227="","",IF(ISNA(VLOOKUP($B227,'B-1 Site Hedge Baseline'!$B$1:$L$257,8,FALSE)),"",(VLOOKUP($B227,'B-1 Site Hedge Baseline'!$B$1:$L$257,8,FALSE))))</f>
        <v/>
      </c>
      <c r="I227" s="175" t="str">
        <f>IF(B227="","",IF(ISNA(VLOOKUP($B227,'B-1 Site Hedge Baseline'!$B$1:$L$257,10,FALSE)),"",(VLOOKUP($B227,'B-1 Site Hedge Baseline'!$B$1:$L$257,10,FALSE))))</f>
        <v/>
      </c>
      <c r="J227" s="175" t="str">
        <f>IF(B227="","",IF(ISNA(VLOOKUP($B227,'B-1 Site Hedge Baseline'!$B$1:$L$257,11,FALSE)),"",(VLOOKUP($B227,'B-1 Site Hedge Baseline'!$B$1:$L$257,11,FALSE))))</f>
        <v/>
      </c>
      <c r="K227" s="175" t="str">
        <f>IF(B227="","",IF(ISNA(VLOOKUP($B227,'B-1 Site Hedge Baseline'!$B$1:$U$257,13,FALSE)),"",(VLOOKUP($B227,'B-1 Site Hedge Baseline'!$B$1:$U$257,13,FALSE))))</f>
        <v/>
      </c>
      <c r="L227" s="176" t="str">
        <f>IF(B227="","",IF(ISNA(VLOOKUP($B227,'B-1 Site Hedge Baseline'!$B$1:$U$257,12,FALSE)),"",(VLOOKUP($B227,'B-1 Site Hedge Baseline'!$B$1:$U$257,12,FALSE))))</f>
        <v/>
      </c>
      <c r="M227" s="637"/>
      <c r="N227" s="171" t="str">
        <f>IFERROR(IF(B227="","",INDEX('G-6 Hedgerow Data'!$AN$3:$AZ$15,MATCH(C227,'G-6 Hedgerow Data'!$AM$3:$AM$15,0),MATCH(M227,'G-6 Hedgerow Data'!$AN$2:$AZ$2,0))),"")</f>
        <v/>
      </c>
      <c r="O227" s="172" t="str">
        <f t="shared" si="21"/>
        <v/>
      </c>
      <c r="P227" s="642" t="str">
        <f>IF(B227="","",VLOOKUP(B227,'B-1 Site Hedge Baseline'!$B$10:T472,16,FALSE))</f>
        <v/>
      </c>
      <c r="Q227" s="171" t="str">
        <f>IF(M227="","",VLOOKUP(M227,'G-6 Hedgerow Data'!$B$2:$AG$15,2,FALSE))</f>
        <v/>
      </c>
      <c r="R227" s="172" t="str">
        <f>IF(M227="","",VLOOKUP(M227,'G-6 Hedgerow Data'!$B$2:$AG$15,3,FALSE))</f>
        <v/>
      </c>
      <c r="S227" s="189"/>
      <c r="T227" s="269" t="str">
        <f>IFERROR(VLOOKUP(S227,'G-1 All Habitats'!$Z$2:$AA$9,2,FALSE),"")</f>
        <v/>
      </c>
      <c r="U227" s="186"/>
      <c r="V227" s="175" t="str">
        <f>IF(U227="","",IF(VLOOKUP(U227,'G-3 Multipliers'!$L$3:$N$6,2,FALSE)=0,"Spatial Data Missing",VLOOKUP(U227,'G-3 Multipliers'!$L$3:$N$6,2,FALSE)))</f>
        <v/>
      </c>
      <c r="W227" s="176" t="str">
        <f>IF(U227="","",IF(VLOOKUP(U227,'G-3 Multipliers'!$L$3:$N$6,3,FALSE)=0,"Spatial Data Missing",VLOOKUP(U227,'G-3 Multipliers'!$L$3:$N$6,3,FALSE)))</f>
        <v/>
      </c>
      <c r="X227" s="171" t="str">
        <f>IFERROR(IF(OR(LEFT(O227,5)="Error",LEFT(N227,5)="Error",T227="Error"),"Check Data",IF(F227&lt;R227,INDEX('G-6 Hedgerow Data'!$S$3:$AE$14,MATCH(C227,'G-6 Hedgerow Data'!$B$3:$B$14,0),MATCH(M227,'G-6 Hedgerow Data'!$S$2:$AE$2,0)),INDEX('G-6 Hedgerow Data'!$K$3:$Q$14,MATCH(M227,'G-6 Hedgerow Data'!$B$3:$B$14,0),MATCH(O227,'G-6 Hedgerow Data'!$K$2:$Q$2,0)))),"")</f>
        <v/>
      </c>
      <c r="Y227" s="261"/>
      <c r="Z227" s="261"/>
      <c r="AA227" s="179" t="str">
        <f t="shared" si="24"/>
        <v/>
      </c>
      <c r="AB227" s="262" t="str">
        <f t="shared" si="25"/>
        <v/>
      </c>
      <c r="AC227" s="263" t="str">
        <f t="shared" si="22"/>
        <v/>
      </c>
      <c r="AD227" s="239" t="str">
        <f>IF(M227="","",VLOOKUP(M227,'G-6 Hedgerow Data'!$B$3:$AG$15,31,FALSE))</f>
        <v/>
      </c>
      <c r="AE227" s="179" t="str">
        <f t="shared" si="26"/>
        <v/>
      </c>
      <c r="AF227" s="179" t="str">
        <f t="shared" si="27"/>
        <v/>
      </c>
      <c r="AG227" s="176" t="str">
        <f>IFERROR(IF(O227="","",VLOOKUP(AD227,'G-3 Multipliers'!$P$3:$Q$6,2,FALSE)),"")</f>
        <v/>
      </c>
      <c r="AH227" s="207" t="str">
        <f t="shared" si="23"/>
        <v/>
      </c>
      <c r="AI227" s="336"/>
      <c r="AJ227" s="181"/>
      <c r="AT227" s="35" t="str">
        <f>IFERROR(INDEX('G-6 Hedgerow Data'!$BJ$3:$BJ$15,MATCH(M227,'G-6 Hedgerow Data'!$B$3:$B$15,0)),"")</f>
        <v/>
      </c>
    </row>
    <row r="228" spans="2:46" ht="13.8" x14ac:dyDescent="0.25">
      <c r="B228" s="259" t="str">
        <f>'B-1 Site Hedge Baseline'!AK226</f>
        <v/>
      </c>
      <c r="C228" s="175" t="str">
        <f>IF(B228="","",IF(ISNA(VLOOKUP($B228,'B-1 Site Hedge Baseline'!$B$1:$L$257,3,FALSE)),"",(VLOOKUP($B228,'B-1 Site Hedge Baseline'!$B$1:$L$257,3,FALSE))))</f>
        <v/>
      </c>
      <c r="D228" s="175" t="str">
        <f>IF(B228="","",IF(ISNA(VLOOKUP($B228,'B-1 Site Hedge Baseline'!$B$1:$L$257,4,FALSE)),"",(VLOOKUP($B228,'B-1 Site Hedge Baseline'!$B$1:$L$257,4,FALSE))))</f>
        <v/>
      </c>
      <c r="E228" s="175" t="str">
        <f>IF(B228="","",IF(ISNA(VLOOKUP($B228,'B-1 Site Hedge Baseline'!$B$1:$L$257,5,FALSE)),"",(VLOOKUP($B228,'B-1 Site Hedge Baseline'!$B$1:$L$257,5,FALSE))))</f>
        <v/>
      </c>
      <c r="F228" s="175" t="str">
        <f>IF(B228="","",IF(ISNA(VLOOKUP($B228,'B-1 Site Hedge Baseline'!$B$1:$L$257,6,FALSE)),"",(VLOOKUP($B228,'B-1 Site Hedge Baseline'!$B$1:$L$257,6,FALSE))))</f>
        <v/>
      </c>
      <c r="G228" s="175" t="str">
        <f>IF(B228="","",IF(ISNA(VLOOKUP($B228,'B-1 Site Hedge Baseline'!$B$1:$L$257,7,FALSE)),"",(VLOOKUP($B228,'B-1 Site Hedge Baseline'!$B$1:$L$257,7,FALSE))))</f>
        <v/>
      </c>
      <c r="H228" s="175" t="str">
        <f>IF(B228="","",IF(ISNA(VLOOKUP($B228,'B-1 Site Hedge Baseline'!$B$1:$L$257,8,FALSE)),"",(VLOOKUP($B228,'B-1 Site Hedge Baseline'!$B$1:$L$257,8,FALSE))))</f>
        <v/>
      </c>
      <c r="I228" s="175" t="str">
        <f>IF(B228="","",IF(ISNA(VLOOKUP($B228,'B-1 Site Hedge Baseline'!$B$1:$L$257,10,FALSE)),"",(VLOOKUP($B228,'B-1 Site Hedge Baseline'!$B$1:$L$257,10,FALSE))))</f>
        <v/>
      </c>
      <c r="J228" s="175" t="str">
        <f>IF(B228="","",IF(ISNA(VLOOKUP($B228,'B-1 Site Hedge Baseline'!$B$1:$L$257,11,FALSE)),"",(VLOOKUP($B228,'B-1 Site Hedge Baseline'!$B$1:$L$257,11,FALSE))))</f>
        <v/>
      </c>
      <c r="K228" s="175" t="str">
        <f>IF(B228="","",IF(ISNA(VLOOKUP($B228,'B-1 Site Hedge Baseline'!$B$1:$U$257,13,FALSE)),"",(VLOOKUP($B228,'B-1 Site Hedge Baseline'!$B$1:$U$257,13,FALSE))))</f>
        <v/>
      </c>
      <c r="L228" s="176" t="str">
        <f>IF(B228="","",IF(ISNA(VLOOKUP($B228,'B-1 Site Hedge Baseline'!$B$1:$U$257,12,FALSE)),"",(VLOOKUP($B228,'B-1 Site Hedge Baseline'!$B$1:$U$257,12,FALSE))))</f>
        <v/>
      </c>
      <c r="M228" s="637"/>
      <c r="N228" s="171" t="str">
        <f>IFERROR(IF(B228="","",INDEX('G-6 Hedgerow Data'!$AN$3:$AZ$15,MATCH(C228,'G-6 Hedgerow Data'!$AM$3:$AM$15,0),MATCH(M228,'G-6 Hedgerow Data'!$AN$2:$AZ$2,0))),"")</f>
        <v/>
      </c>
      <c r="O228" s="172" t="str">
        <f t="shared" si="21"/>
        <v/>
      </c>
      <c r="P228" s="642" t="str">
        <f>IF(B228="","",VLOOKUP(B228,'B-1 Site Hedge Baseline'!$B$10:T473,16,FALSE))</f>
        <v/>
      </c>
      <c r="Q228" s="171" t="str">
        <f>IF(M228="","",VLOOKUP(M228,'G-6 Hedgerow Data'!$B$2:$AG$15,2,FALSE))</f>
        <v/>
      </c>
      <c r="R228" s="172" t="str">
        <f>IF(M228="","",VLOOKUP(M228,'G-6 Hedgerow Data'!$B$2:$AG$15,3,FALSE))</f>
        <v/>
      </c>
      <c r="S228" s="189"/>
      <c r="T228" s="269" t="str">
        <f>IFERROR(VLOOKUP(S228,'G-1 All Habitats'!$Z$2:$AA$9,2,FALSE),"")</f>
        <v/>
      </c>
      <c r="U228" s="186"/>
      <c r="V228" s="175" t="str">
        <f>IF(U228="","",IF(VLOOKUP(U228,'G-3 Multipliers'!$L$3:$N$6,2,FALSE)=0,"Spatial Data Missing",VLOOKUP(U228,'G-3 Multipliers'!$L$3:$N$6,2,FALSE)))</f>
        <v/>
      </c>
      <c r="W228" s="176" t="str">
        <f>IF(U228="","",IF(VLOOKUP(U228,'G-3 Multipliers'!$L$3:$N$6,3,FALSE)=0,"Spatial Data Missing",VLOOKUP(U228,'G-3 Multipliers'!$L$3:$N$6,3,FALSE)))</f>
        <v/>
      </c>
      <c r="X228" s="171" t="str">
        <f>IFERROR(IF(OR(LEFT(O228,5)="Error",LEFT(N228,5)="Error",T228="Error"),"Check Data",IF(F228&lt;R228,INDEX('G-6 Hedgerow Data'!$S$3:$AE$14,MATCH(C228,'G-6 Hedgerow Data'!$B$3:$B$14,0),MATCH(M228,'G-6 Hedgerow Data'!$S$2:$AE$2,0)),INDEX('G-6 Hedgerow Data'!$K$3:$Q$14,MATCH(M228,'G-6 Hedgerow Data'!$B$3:$B$14,0),MATCH(O228,'G-6 Hedgerow Data'!$K$2:$Q$2,0)))),"")</f>
        <v/>
      </c>
      <c r="Y228" s="261"/>
      <c r="Z228" s="261"/>
      <c r="AA228" s="179" t="str">
        <f t="shared" si="24"/>
        <v/>
      </c>
      <c r="AB228" s="262" t="str">
        <f t="shared" si="25"/>
        <v/>
      </c>
      <c r="AC228" s="263" t="str">
        <f t="shared" si="22"/>
        <v/>
      </c>
      <c r="AD228" s="239" t="str">
        <f>IF(M228="","",VLOOKUP(M228,'G-6 Hedgerow Data'!$B$3:$AG$15,31,FALSE))</f>
        <v/>
      </c>
      <c r="AE228" s="179" t="str">
        <f t="shared" si="26"/>
        <v/>
      </c>
      <c r="AF228" s="179" t="str">
        <f t="shared" si="27"/>
        <v/>
      </c>
      <c r="AG228" s="176" t="str">
        <f>IFERROR(IF(O228="","",VLOOKUP(AD228,'G-3 Multipliers'!$P$3:$Q$6,2,FALSE)),"")</f>
        <v/>
      </c>
      <c r="AH228" s="207" t="str">
        <f t="shared" si="23"/>
        <v/>
      </c>
      <c r="AI228" s="336"/>
      <c r="AJ228" s="181"/>
      <c r="AT228" s="35" t="str">
        <f>IFERROR(INDEX('G-6 Hedgerow Data'!$BJ$3:$BJ$15,MATCH(M228,'G-6 Hedgerow Data'!$B$3:$B$15,0)),"")</f>
        <v/>
      </c>
    </row>
    <row r="229" spans="2:46" ht="13.8" x14ac:dyDescent="0.25">
      <c r="B229" s="259" t="str">
        <f>'B-1 Site Hedge Baseline'!AK227</f>
        <v/>
      </c>
      <c r="C229" s="175" t="str">
        <f>IF(B229="","",IF(ISNA(VLOOKUP($B229,'B-1 Site Hedge Baseline'!$B$1:$L$257,3,FALSE)),"",(VLOOKUP($B229,'B-1 Site Hedge Baseline'!$B$1:$L$257,3,FALSE))))</f>
        <v/>
      </c>
      <c r="D229" s="175" t="str">
        <f>IF(B229="","",IF(ISNA(VLOOKUP($B229,'B-1 Site Hedge Baseline'!$B$1:$L$257,4,FALSE)),"",(VLOOKUP($B229,'B-1 Site Hedge Baseline'!$B$1:$L$257,4,FALSE))))</f>
        <v/>
      </c>
      <c r="E229" s="175" t="str">
        <f>IF(B229="","",IF(ISNA(VLOOKUP($B229,'B-1 Site Hedge Baseline'!$B$1:$L$257,5,FALSE)),"",(VLOOKUP($B229,'B-1 Site Hedge Baseline'!$B$1:$L$257,5,FALSE))))</f>
        <v/>
      </c>
      <c r="F229" s="175" t="str">
        <f>IF(B229="","",IF(ISNA(VLOOKUP($B229,'B-1 Site Hedge Baseline'!$B$1:$L$257,6,FALSE)),"",(VLOOKUP($B229,'B-1 Site Hedge Baseline'!$B$1:$L$257,6,FALSE))))</f>
        <v/>
      </c>
      <c r="G229" s="175" t="str">
        <f>IF(B229="","",IF(ISNA(VLOOKUP($B229,'B-1 Site Hedge Baseline'!$B$1:$L$257,7,FALSE)),"",(VLOOKUP($B229,'B-1 Site Hedge Baseline'!$B$1:$L$257,7,FALSE))))</f>
        <v/>
      </c>
      <c r="H229" s="175" t="str">
        <f>IF(B229="","",IF(ISNA(VLOOKUP($B229,'B-1 Site Hedge Baseline'!$B$1:$L$257,8,FALSE)),"",(VLOOKUP($B229,'B-1 Site Hedge Baseline'!$B$1:$L$257,8,FALSE))))</f>
        <v/>
      </c>
      <c r="I229" s="175" t="str">
        <f>IF(B229="","",IF(ISNA(VLOOKUP($B229,'B-1 Site Hedge Baseline'!$B$1:$L$257,10,FALSE)),"",(VLOOKUP($B229,'B-1 Site Hedge Baseline'!$B$1:$L$257,10,FALSE))))</f>
        <v/>
      </c>
      <c r="J229" s="175" t="str">
        <f>IF(B229="","",IF(ISNA(VLOOKUP($B229,'B-1 Site Hedge Baseline'!$B$1:$L$257,11,FALSE)),"",(VLOOKUP($B229,'B-1 Site Hedge Baseline'!$B$1:$L$257,11,FALSE))))</f>
        <v/>
      </c>
      <c r="K229" s="175" t="str">
        <f>IF(B229="","",IF(ISNA(VLOOKUP($B229,'B-1 Site Hedge Baseline'!$B$1:$U$257,13,FALSE)),"",(VLOOKUP($B229,'B-1 Site Hedge Baseline'!$B$1:$U$257,13,FALSE))))</f>
        <v/>
      </c>
      <c r="L229" s="176" t="str">
        <f>IF(B229="","",IF(ISNA(VLOOKUP($B229,'B-1 Site Hedge Baseline'!$B$1:$U$257,12,FALSE)),"",(VLOOKUP($B229,'B-1 Site Hedge Baseline'!$B$1:$U$257,12,FALSE))))</f>
        <v/>
      </c>
      <c r="M229" s="637"/>
      <c r="N229" s="171" t="str">
        <f>IFERROR(IF(B229="","",INDEX('G-6 Hedgerow Data'!$AN$3:$AZ$15,MATCH(C229,'G-6 Hedgerow Data'!$AM$3:$AM$15,0),MATCH(M229,'G-6 Hedgerow Data'!$AN$2:$AZ$2,0))),"")</f>
        <v/>
      </c>
      <c r="O229" s="172" t="str">
        <f t="shared" si="21"/>
        <v/>
      </c>
      <c r="P229" s="642" t="str">
        <f>IF(B229="","",VLOOKUP(B229,'B-1 Site Hedge Baseline'!$B$10:T474,16,FALSE))</f>
        <v/>
      </c>
      <c r="Q229" s="171" t="str">
        <f>IF(M229="","",VLOOKUP(M229,'G-6 Hedgerow Data'!$B$2:$AG$15,2,FALSE))</f>
        <v/>
      </c>
      <c r="R229" s="172" t="str">
        <f>IF(M229="","",VLOOKUP(M229,'G-6 Hedgerow Data'!$B$2:$AG$15,3,FALSE))</f>
        <v/>
      </c>
      <c r="S229" s="189"/>
      <c r="T229" s="269" t="str">
        <f>IFERROR(VLOOKUP(S229,'G-1 All Habitats'!$Z$2:$AA$9,2,FALSE),"")</f>
        <v/>
      </c>
      <c r="U229" s="186"/>
      <c r="V229" s="175" t="str">
        <f>IF(U229="","",IF(VLOOKUP(U229,'G-3 Multipliers'!$L$3:$N$6,2,FALSE)=0,"Spatial Data Missing",VLOOKUP(U229,'G-3 Multipliers'!$L$3:$N$6,2,FALSE)))</f>
        <v/>
      </c>
      <c r="W229" s="176" t="str">
        <f>IF(U229="","",IF(VLOOKUP(U229,'G-3 Multipliers'!$L$3:$N$6,3,FALSE)=0,"Spatial Data Missing",VLOOKUP(U229,'G-3 Multipliers'!$L$3:$N$6,3,FALSE)))</f>
        <v/>
      </c>
      <c r="X229" s="171" t="str">
        <f>IFERROR(IF(OR(LEFT(O229,5)="Error",LEFT(N229,5)="Error",T229="Error"),"Check Data",IF(F229&lt;R229,INDEX('G-6 Hedgerow Data'!$S$3:$AE$14,MATCH(C229,'G-6 Hedgerow Data'!$B$3:$B$14,0),MATCH(M229,'G-6 Hedgerow Data'!$S$2:$AE$2,0)),INDEX('G-6 Hedgerow Data'!$K$3:$Q$14,MATCH(M229,'G-6 Hedgerow Data'!$B$3:$B$14,0),MATCH(O229,'G-6 Hedgerow Data'!$K$2:$Q$2,0)))),"")</f>
        <v/>
      </c>
      <c r="Y229" s="261"/>
      <c r="Z229" s="261"/>
      <c r="AA229" s="179" t="str">
        <f t="shared" si="24"/>
        <v/>
      </c>
      <c r="AB229" s="262" t="str">
        <f t="shared" si="25"/>
        <v/>
      </c>
      <c r="AC229" s="263" t="str">
        <f t="shared" si="22"/>
        <v/>
      </c>
      <c r="AD229" s="239" t="str">
        <f>IF(M229="","",VLOOKUP(M229,'G-6 Hedgerow Data'!$B$3:$AG$15,31,FALSE))</f>
        <v/>
      </c>
      <c r="AE229" s="179" t="str">
        <f t="shared" si="26"/>
        <v/>
      </c>
      <c r="AF229" s="179" t="str">
        <f t="shared" si="27"/>
        <v/>
      </c>
      <c r="AG229" s="176" t="str">
        <f>IFERROR(IF(O229="","",VLOOKUP(AD229,'G-3 Multipliers'!$P$3:$Q$6,2,FALSE)),"")</f>
        <v/>
      </c>
      <c r="AH229" s="207" t="str">
        <f t="shared" si="23"/>
        <v/>
      </c>
      <c r="AI229" s="336"/>
      <c r="AJ229" s="181"/>
      <c r="AT229" s="35" t="str">
        <f>IFERROR(INDEX('G-6 Hedgerow Data'!$BJ$3:$BJ$15,MATCH(M229,'G-6 Hedgerow Data'!$B$3:$B$15,0)),"")</f>
        <v/>
      </c>
    </row>
    <row r="230" spans="2:46" ht="13.8" x14ac:dyDescent="0.25">
      <c r="B230" s="259" t="str">
        <f>'B-1 Site Hedge Baseline'!AK228</f>
        <v/>
      </c>
      <c r="C230" s="175" t="str">
        <f>IF(B230="","",IF(ISNA(VLOOKUP($B230,'B-1 Site Hedge Baseline'!$B$1:$L$257,3,FALSE)),"",(VLOOKUP($B230,'B-1 Site Hedge Baseline'!$B$1:$L$257,3,FALSE))))</f>
        <v/>
      </c>
      <c r="D230" s="175" t="str">
        <f>IF(B230="","",IF(ISNA(VLOOKUP($B230,'B-1 Site Hedge Baseline'!$B$1:$L$257,4,FALSE)),"",(VLOOKUP($B230,'B-1 Site Hedge Baseline'!$B$1:$L$257,4,FALSE))))</f>
        <v/>
      </c>
      <c r="E230" s="175" t="str">
        <f>IF(B230="","",IF(ISNA(VLOOKUP($B230,'B-1 Site Hedge Baseline'!$B$1:$L$257,5,FALSE)),"",(VLOOKUP($B230,'B-1 Site Hedge Baseline'!$B$1:$L$257,5,FALSE))))</f>
        <v/>
      </c>
      <c r="F230" s="175" t="str">
        <f>IF(B230="","",IF(ISNA(VLOOKUP($B230,'B-1 Site Hedge Baseline'!$B$1:$L$257,6,FALSE)),"",(VLOOKUP($B230,'B-1 Site Hedge Baseline'!$B$1:$L$257,6,FALSE))))</f>
        <v/>
      </c>
      <c r="G230" s="175" t="str">
        <f>IF(B230="","",IF(ISNA(VLOOKUP($B230,'B-1 Site Hedge Baseline'!$B$1:$L$257,7,FALSE)),"",(VLOOKUP($B230,'B-1 Site Hedge Baseline'!$B$1:$L$257,7,FALSE))))</f>
        <v/>
      </c>
      <c r="H230" s="175" t="str">
        <f>IF(B230="","",IF(ISNA(VLOOKUP($B230,'B-1 Site Hedge Baseline'!$B$1:$L$257,8,FALSE)),"",(VLOOKUP($B230,'B-1 Site Hedge Baseline'!$B$1:$L$257,8,FALSE))))</f>
        <v/>
      </c>
      <c r="I230" s="175" t="str">
        <f>IF(B230="","",IF(ISNA(VLOOKUP($B230,'B-1 Site Hedge Baseline'!$B$1:$L$257,10,FALSE)),"",(VLOOKUP($B230,'B-1 Site Hedge Baseline'!$B$1:$L$257,10,FALSE))))</f>
        <v/>
      </c>
      <c r="J230" s="175" t="str">
        <f>IF(B230="","",IF(ISNA(VLOOKUP($B230,'B-1 Site Hedge Baseline'!$B$1:$L$257,11,FALSE)),"",(VLOOKUP($B230,'B-1 Site Hedge Baseline'!$B$1:$L$257,11,FALSE))))</f>
        <v/>
      </c>
      <c r="K230" s="175" t="str">
        <f>IF(B230="","",IF(ISNA(VLOOKUP($B230,'B-1 Site Hedge Baseline'!$B$1:$U$257,13,FALSE)),"",(VLOOKUP($B230,'B-1 Site Hedge Baseline'!$B$1:$U$257,13,FALSE))))</f>
        <v/>
      </c>
      <c r="L230" s="176" t="str">
        <f>IF(B230="","",IF(ISNA(VLOOKUP($B230,'B-1 Site Hedge Baseline'!$B$1:$U$257,12,FALSE)),"",(VLOOKUP($B230,'B-1 Site Hedge Baseline'!$B$1:$U$257,12,FALSE))))</f>
        <v/>
      </c>
      <c r="M230" s="637"/>
      <c r="N230" s="171" t="str">
        <f>IFERROR(IF(B230="","",INDEX('G-6 Hedgerow Data'!$AN$3:$AZ$15,MATCH(C230,'G-6 Hedgerow Data'!$AM$3:$AM$15,0),MATCH(M230,'G-6 Hedgerow Data'!$AN$2:$AZ$2,0))),"")</f>
        <v/>
      </c>
      <c r="O230" s="172" t="str">
        <f t="shared" si="21"/>
        <v/>
      </c>
      <c r="P230" s="642" t="str">
        <f>IF(B230="","",VLOOKUP(B230,'B-1 Site Hedge Baseline'!$B$10:T475,16,FALSE))</f>
        <v/>
      </c>
      <c r="Q230" s="171" t="str">
        <f>IF(M230="","",VLOOKUP(M230,'G-6 Hedgerow Data'!$B$2:$AG$15,2,FALSE))</f>
        <v/>
      </c>
      <c r="R230" s="172" t="str">
        <f>IF(M230="","",VLOOKUP(M230,'G-6 Hedgerow Data'!$B$2:$AG$15,3,FALSE))</f>
        <v/>
      </c>
      <c r="S230" s="189"/>
      <c r="T230" s="269" t="str">
        <f>IFERROR(VLOOKUP(S230,'G-1 All Habitats'!$Z$2:$AA$9,2,FALSE),"")</f>
        <v/>
      </c>
      <c r="U230" s="186"/>
      <c r="V230" s="175" t="str">
        <f>IF(U230="","",IF(VLOOKUP(U230,'G-3 Multipliers'!$L$3:$N$6,2,FALSE)=0,"Spatial Data Missing",VLOOKUP(U230,'G-3 Multipliers'!$L$3:$N$6,2,FALSE)))</f>
        <v/>
      </c>
      <c r="W230" s="176" t="str">
        <f>IF(U230="","",IF(VLOOKUP(U230,'G-3 Multipliers'!$L$3:$N$6,3,FALSE)=0,"Spatial Data Missing",VLOOKUP(U230,'G-3 Multipliers'!$L$3:$N$6,3,FALSE)))</f>
        <v/>
      </c>
      <c r="X230" s="171" t="str">
        <f>IFERROR(IF(OR(LEFT(O230,5)="Error",LEFT(N230,5)="Error",T230="Error"),"Check Data",IF(F230&lt;R230,INDEX('G-6 Hedgerow Data'!$S$3:$AE$14,MATCH(C230,'G-6 Hedgerow Data'!$B$3:$B$14,0),MATCH(M230,'G-6 Hedgerow Data'!$S$2:$AE$2,0)),INDEX('G-6 Hedgerow Data'!$K$3:$Q$14,MATCH(M230,'G-6 Hedgerow Data'!$B$3:$B$14,0),MATCH(O230,'G-6 Hedgerow Data'!$K$2:$Q$2,0)))),"")</f>
        <v/>
      </c>
      <c r="Y230" s="261"/>
      <c r="Z230" s="261"/>
      <c r="AA230" s="179" t="str">
        <f t="shared" si="24"/>
        <v/>
      </c>
      <c r="AB230" s="262" t="str">
        <f t="shared" si="25"/>
        <v/>
      </c>
      <c r="AC230" s="263" t="str">
        <f t="shared" si="22"/>
        <v/>
      </c>
      <c r="AD230" s="239" t="str">
        <f>IF(M230="","",VLOOKUP(M230,'G-6 Hedgerow Data'!$B$3:$AG$15,31,FALSE))</f>
        <v/>
      </c>
      <c r="AE230" s="179" t="str">
        <f t="shared" si="26"/>
        <v/>
      </c>
      <c r="AF230" s="179" t="str">
        <f t="shared" si="27"/>
        <v/>
      </c>
      <c r="AG230" s="176" t="str">
        <f>IFERROR(IF(O230="","",VLOOKUP(AD230,'G-3 Multipliers'!$P$3:$Q$6,2,FALSE)),"")</f>
        <v/>
      </c>
      <c r="AH230" s="207" t="str">
        <f t="shared" si="23"/>
        <v/>
      </c>
      <c r="AI230" s="336"/>
      <c r="AJ230" s="181"/>
      <c r="AT230" s="35" t="str">
        <f>IFERROR(INDEX('G-6 Hedgerow Data'!$BJ$3:$BJ$15,MATCH(M230,'G-6 Hedgerow Data'!$B$3:$B$15,0)),"")</f>
        <v/>
      </c>
    </row>
    <row r="231" spans="2:46" ht="13.8" x14ac:dyDescent="0.25">
      <c r="B231" s="259" t="str">
        <f>'B-1 Site Hedge Baseline'!AK229</f>
        <v/>
      </c>
      <c r="C231" s="175" t="str">
        <f>IF(B231="","",IF(ISNA(VLOOKUP($B231,'B-1 Site Hedge Baseline'!$B$1:$L$257,3,FALSE)),"",(VLOOKUP($B231,'B-1 Site Hedge Baseline'!$B$1:$L$257,3,FALSE))))</f>
        <v/>
      </c>
      <c r="D231" s="175" t="str">
        <f>IF(B231="","",IF(ISNA(VLOOKUP($B231,'B-1 Site Hedge Baseline'!$B$1:$L$257,4,FALSE)),"",(VLOOKUP($B231,'B-1 Site Hedge Baseline'!$B$1:$L$257,4,FALSE))))</f>
        <v/>
      </c>
      <c r="E231" s="175" t="str">
        <f>IF(B231="","",IF(ISNA(VLOOKUP($B231,'B-1 Site Hedge Baseline'!$B$1:$L$257,5,FALSE)),"",(VLOOKUP($B231,'B-1 Site Hedge Baseline'!$B$1:$L$257,5,FALSE))))</f>
        <v/>
      </c>
      <c r="F231" s="175" t="str">
        <f>IF(B231="","",IF(ISNA(VLOOKUP($B231,'B-1 Site Hedge Baseline'!$B$1:$L$257,6,FALSE)),"",(VLOOKUP($B231,'B-1 Site Hedge Baseline'!$B$1:$L$257,6,FALSE))))</f>
        <v/>
      </c>
      <c r="G231" s="175" t="str">
        <f>IF(B231="","",IF(ISNA(VLOOKUP($B231,'B-1 Site Hedge Baseline'!$B$1:$L$257,7,FALSE)),"",(VLOOKUP($B231,'B-1 Site Hedge Baseline'!$B$1:$L$257,7,FALSE))))</f>
        <v/>
      </c>
      <c r="H231" s="175" t="str">
        <f>IF(B231="","",IF(ISNA(VLOOKUP($B231,'B-1 Site Hedge Baseline'!$B$1:$L$257,8,FALSE)),"",(VLOOKUP($B231,'B-1 Site Hedge Baseline'!$B$1:$L$257,8,FALSE))))</f>
        <v/>
      </c>
      <c r="I231" s="175" t="str">
        <f>IF(B231="","",IF(ISNA(VLOOKUP($B231,'B-1 Site Hedge Baseline'!$B$1:$L$257,10,FALSE)),"",(VLOOKUP($B231,'B-1 Site Hedge Baseline'!$B$1:$L$257,10,FALSE))))</f>
        <v/>
      </c>
      <c r="J231" s="175" t="str">
        <f>IF(B231="","",IF(ISNA(VLOOKUP($B231,'B-1 Site Hedge Baseline'!$B$1:$L$257,11,FALSE)),"",(VLOOKUP($B231,'B-1 Site Hedge Baseline'!$B$1:$L$257,11,FALSE))))</f>
        <v/>
      </c>
      <c r="K231" s="175" t="str">
        <f>IF(B231="","",IF(ISNA(VLOOKUP($B231,'B-1 Site Hedge Baseline'!$B$1:$U$257,13,FALSE)),"",(VLOOKUP($B231,'B-1 Site Hedge Baseline'!$B$1:$U$257,13,FALSE))))</f>
        <v/>
      </c>
      <c r="L231" s="176" t="str">
        <f>IF(B231="","",IF(ISNA(VLOOKUP($B231,'B-1 Site Hedge Baseline'!$B$1:$U$257,12,FALSE)),"",(VLOOKUP($B231,'B-1 Site Hedge Baseline'!$B$1:$U$257,12,FALSE))))</f>
        <v/>
      </c>
      <c r="M231" s="637"/>
      <c r="N231" s="171" t="str">
        <f>IFERROR(IF(B231="","",INDEX('G-6 Hedgerow Data'!$AN$3:$AZ$15,MATCH(C231,'G-6 Hedgerow Data'!$AM$3:$AM$15,0),MATCH(M231,'G-6 Hedgerow Data'!$AN$2:$AZ$2,0))),"")</f>
        <v/>
      </c>
      <c r="O231" s="172" t="str">
        <f t="shared" si="21"/>
        <v/>
      </c>
      <c r="P231" s="642" t="str">
        <f>IF(B231="","",VLOOKUP(B231,'B-1 Site Hedge Baseline'!$B$10:T476,16,FALSE))</f>
        <v/>
      </c>
      <c r="Q231" s="171" t="str">
        <f>IF(M231="","",VLOOKUP(M231,'G-6 Hedgerow Data'!$B$2:$AG$15,2,FALSE))</f>
        <v/>
      </c>
      <c r="R231" s="172" t="str">
        <f>IF(M231="","",VLOOKUP(M231,'G-6 Hedgerow Data'!$B$2:$AG$15,3,FALSE))</f>
        <v/>
      </c>
      <c r="S231" s="189"/>
      <c r="T231" s="269" t="str">
        <f>IFERROR(VLOOKUP(S231,'G-1 All Habitats'!$Z$2:$AA$9,2,FALSE),"")</f>
        <v/>
      </c>
      <c r="U231" s="186"/>
      <c r="V231" s="175" t="str">
        <f>IF(U231="","",IF(VLOOKUP(U231,'G-3 Multipliers'!$L$3:$N$6,2,FALSE)=0,"Spatial Data Missing",VLOOKUP(U231,'G-3 Multipliers'!$L$3:$N$6,2,FALSE)))</f>
        <v/>
      </c>
      <c r="W231" s="176" t="str">
        <f>IF(U231="","",IF(VLOOKUP(U231,'G-3 Multipliers'!$L$3:$N$6,3,FALSE)=0,"Spatial Data Missing",VLOOKUP(U231,'G-3 Multipliers'!$L$3:$N$6,3,FALSE)))</f>
        <v/>
      </c>
      <c r="X231" s="171" t="str">
        <f>IFERROR(IF(OR(LEFT(O231,5)="Error",LEFT(N231,5)="Error",T231="Error"),"Check Data",IF(F231&lt;R231,INDEX('G-6 Hedgerow Data'!$S$3:$AE$14,MATCH(C231,'G-6 Hedgerow Data'!$B$3:$B$14,0),MATCH(M231,'G-6 Hedgerow Data'!$S$2:$AE$2,0)),INDEX('G-6 Hedgerow Data'!$K$3:$Q$14,MATCH(M231,'G-6 Hedgerow Data'!$B$3:$B$14,0),MATCH(O231,'G-6 Hedgerow Data'!$K$2:$Q$2,0)))),"")</f>
        <v/>
      </c>
      <c r="Y231" s="261"/>
      <c r="Z231" s="261"/>
      <c r="AA231" s="179" t="str">
        <f t="shared" si="24"/>
        <v/>
      </c>
      <c r="AB231" s="262" t="str">
        <f t="shared" si="25"/>
        <v/>
      </c>
      <c r="AC231" s="263" t="str">
        <f t="shared" si="22"/>
        <v/>
      </c>
      <c r="AD231" s="239" t="str">
        <f>IF(M231="","",VLOOKUP(M231,'G-6 Hedgerow Data'!$B$3:$AG$15,31,FALSE))</f>
        <v/>
      </c>
      <c r="AE231" s="179" t="str">
        <f t="shared" si="26"/>
        <v/>
      </c>
      <c r="AF231" s="179" t="str">
        <f t="shared" si="27"/>
        <v/>
      </c>
      <c r="AG231" s="176" t="str">
        <f>IFERROR(IF(O231="","",VLOOKUP(AD231,'G-3 Multipliers'!$P$3:$Q$6,2,FALSE)),"")</f>
        <v/>
      </c>
      <c r="AH231" s="207" t="str">
        <f t="shared" si="23"/>
        <v/>
      </c>
      <c r="AI231" s="336"/>
      <c r="AJ231" s="181"/>
      <c r="AT231" s="35" t="str">
        <f>IFERROR(INDEX('G-6 Hedgerow Data'!$BJ$3:$BJ$15,MATCH(M231,'G-6 Hedgerow Data'!$B$3:$B$15,0)),"")</f>
        <v/>
      </c>
    </row>
    <row r="232" spans="2:46" ht="13.8" x14ac:dyDescent="0.25">
      <c r="B232" s="259" t="str">
        <f>'B-1 Site Hedge Baseline'!AK230</f>
        <v/>
      </c>
      <c r="C232" s="175" t="str">
        <f>IF(B232="","",IF(ISNA(VLOOKUP($B232,'B-1 Site Hedge Baseline'!$B$1:$L$257,3,FALSE)),"",(VLOOKUP($B232,'B-1 Site Hedge Baseline'!$B$1:$L$257,3,FALSE))))</f>
        <v/>
      </c>
      <c r="D232" s="175" t="str">
        <f>IF(B232="","",IF(ISNA(VLOOKUP($B232,'B-1 Site Hedge Baseline'!$B$1:$L$257,4,FALSE)),"",(VLOOKUP($B232,'B-1 Site Hedge Baseline'!$B$1:$L$257,4,FALSE))))</f>
        <v/>
      </c>
      <c r="E232" s="175" t="str">
        <f>IF(B232="","",IF(ISNA(VLOOKUP($B232,'B-1 Site Hedge Baseline'!$B$1:$L$257,5,FALSE)),"",(VLOOKUP($B232,'B-1 Site Hedge Baseline'!$B$1:$L$257,5,FALSE))))</f>
        <v/>
      </c>
      <c r="F232" s="175" t="str">
        <f>IF(B232="","",IF(ISNA(VLOOKUP($B232,'B-1 Site Hedge Baseline'!$B$1:$L$257,6,FALSE)),"",(VLOOKUP($B232,'B-1 Site Hedge Baseline'!$B$1:$L$257,6,FALSE))))</f>
        <v/>
      </c>
      <c r="G232" s="175" t="str">
        <f>IF(B232="","",IF(ISNA(VLOOKUP($B232,'B-1 Site Hedge Baseline'!$B$1:$L$257,7,FALSE)),"",(VLOOKUP($B232,'B-1 Site Hedge Baseline'!$B$1:$L$257,7,FALSE))))</f>
        <v/>
      </c>
      <c r="H232" s="175" t="str">
        <f>IF(B232="","",IF(ISNA(VLOOKUP($B232,'B-1 Site Hedge Baseline'!$B$1:$L$257,8,FALSE)),"",(VLOOKUP($B232,'B-1 Site Hedge Baseline'!$B$1:$L$257,8,FALSE))))</f>
        <v/>
      </c>
      <c r="I232" s="175" t="str">
        <f>IF(B232="","",IF(ISNA(VLOOKUP($B232,'B-1 Site Hedge Baseline'!$B$1:$L$257,10,FALSE)),"",(VLOOKUP($B232,'B-1 Site Hedge Baseline'!$B$1:$L$257,10,FALSE))))</f>
        <v/>
      </c>
      <c r="J232" s="175" t="str">
        <f>IF(B232="","",IF(ISNA(VLOOKUP($B232,'B-1 Site Hedge Baseline'!$B$1:$L$257,11,FALSE)),"",(VLOOKUP($B232,'B-1 Site Hedge Baseline'!$B$1:$L$257,11,FALSE))))</f>
        <v/>
      </c>
      <c r="K232" s="175" t="str">
        <f>IF(B232="","",IF(ISNA(VLOOKUP($B232,'B-1 Site Hedge Baseline'!$B$1:$U$257,13,FALSE)),"",(VLOOKUP($B232,'B-1 Site Hedge Baseline'!$B$1:$U$257,13,FALSE))))</f>
        <v/>
      </c>
      <c r="L232" s="176" t="str">
        <f>IF(B232="","",IF(ISNA(VLOOKUP($B232,'B-1 Site Hedge Baseline'!$B$1:$U$257,12,FALSE)),"",(VLOOKUP($B232,'B-1 Site Hedge Baseline'!$B$1:$U$257,12,FALSE))))</f>
        <v/>
      </c>
      <c r="M232" s="637"/>
      <c r="N232" s="171" t="str">
        <f>IFERROR(IF(B232="","",INDEX('G-6 Hedgerow Data'!$AN$3:$AZ$15,MATCH(C232,'G-6 Hedgerow Data'!$AM$3:$AM$15,0),MATCH(M232,'G-6 Hedgerow Data'!$AN$2:$AZ$2,0))),"")</f>
        <v/>
      </c>
      <c r="O232" s="172" t="str">
        <f t="shared" si="21"/>
        <v/>
      </c>
      <c r="P232" s="642" t="str">
        <f>IF(B232="","",VLOOKUP(B232,'B-1 Site Hedge Baseline'!$B$10:T477,16,FALSE))</f>
        <v/>
      </c>
      <c r="Q232" s="171" t="str">
        <f>IF(M232="","",VLOOKUP(M232,'G-6 Hedgerow Data'!$B$2:$AG$15,2,FALSE))</f>
        <v/>
      </c>
      <c r="R232" s="172" t="str">
        <f>IF(M232="","",VLOOKUP(M232,'G-6 Hedgerow Data'!$B$2:$AG$15,3,FALSE))</f>
        <v/>
      </c>
      <c r="S232" s="189"/>
      <c r="T232" s="269" t="str">
        <f>IFERROR(VLOOKUP(S232,'G-1 All Habitats'!$Z$2:$AA$9,2,FALSE),"")</f>
        <v/>
      </c>
      <c r="U232" s="186"/>
      <c r="V232" s="175" t="str">
        <f>IF(U232="","",IF(VLOOKUP(U232,'G-3 Multipliers'!$L$3:$N$6,2,FALSE)=0,"Spatial Data Missing",VLOOKUP(U232,'G-3 Multipliers'!$L$3:$N$6,2,FALSE)))</f>
        <v/>
      </c>
      <c r="W232" s="176" t="str">
        <f>IF(U232="","",IF(VLOOKUP(U232,'G-3 Multipliers'!$L$3:$N$6,3,FALSE)=0,"Spatial Data Missing",VLOOKUP(U232,'G-3 Multipliers'!$L$3:$N$6,3,FALSE)))</f>
        <v/>
      </c>
      <c r="X232" s="171" t="str">
        <f>IFERROR(IF(OR(LEFT(O232,5)="Error",LEFT(N232,5)="Error",T232="Error"),"Check Data",IF(F232&lt;R232,INDEX('G-6 Hedgerow Data'!$S$3:$AE$14,MATCH(C232,'G-6 Hedgerow Data'!$B$3:$B$14,0),MATCH(M232,'G-6 Hedgerow Data'!$S$2:$AE$2,0)),INDEX('G-6 Hedgerow Data'!$K$3:$Q$14,MATCH(M232,'G-6 Hedgerow Data'!$B$3:$B$14,0),MATCH(O232,'G-6 Hedgerow Data'!$K$2:$Q$2,0)))),"")</f>
        <v/>
      </c>
      <c r="Y232" s="261"/>
      <c r="Z232" s="261"/>
      <c r="AA232" s="179" t="str">
        <f t="shared" si="24"/>
        <v/>
      </c>
      <c r="AB232" s="262" t="str">
        <f t="shared" si="25"/>
        <v/>
      </c>
      <c r="AC232" s="263" t="str">
        <f t="shared" si="22"/>
        <v/>
      </c>
      <c r="AD232" s="239" t="str">
        <f>IF(M232="","",VLOOKUP(M232,'G-6 Hedgerow Data'!$B$3:$AG$15,31,FALSE))</f>
        <v/>
      </c>
      <c r="AE232" s="179" t="str">
        <f t="shared" si="26"/>
        <v/>
      </c>
      <c r="AF232" s="179" t="str">
        <f t="shared" si="27"/>
        <v/>
      </c>
      <c r="AG232" s="176" t="str">
        <f>IFERROR(IF(O232="","",VLOOKUP(AD232,'G-3 Multipliers'!$P$3:$Q$6,2,FALSE)),"")</f>
        <v/>
      </c>
      <c r="AH232" s="207" t="str">
        <f t="shared" si="23"/>
        <v/>
      </c>
      <c r="AI232" s="336"/>
      <c r="AJ232" s="181"/>
      <c r="AT232" s="35" t="str">
        <f>IFERROR(INDEX('G-6 Hedgerow Data'!$BJ$3:$BJ$15,MATCH(M232,'G-6 Hedgerow Data'!$B$3:$B$15,0)),"")</f>
        <v/>
      </c>
    </row>
    <row r="233" spans="2:46" ht="13.8" x14ac:dyDescent="0.25">
      <c r="B233" s="259" t="str">
        <f>'B-1 Site Hedge Baseline'!AK231</f>
        <v/>
      </c>
      <c r="C233" s="175" t="str">
        <f>IF(B233="","",IF(ISNA(VLOOKUP($B233,'B-1 Site Hedge Baseline'!$B$1:$L$257,3,FALSE)),"",(VLOOKUP($B233,'B-1 Site Hedge Baseline'!$B$1:$L$257,3,FALSE))))</f>
        <v/>
      </c>
      <c r="D233" s="175" t="str">
        <f>IF(B233="","",IF(ISNA(VLOOKUP($B233,'B-1 Site Hedge Baseline'!$B$1:$L$257,4,FALSE)),"",(VLOOKUP($B233,'B-1 Site Hedge Baseline'!$B$1:$L$257,4,FALSE))))</f>
        <v/>
      </c>
      <c r="E233" s="175" t="str">
        <f>IF(B233="","",IF(ISNA(VLOOKUP($B233,'B-1 Site Hedge Baseline'!$B$1:$L$257,5,FALSE)),"",(VLOOKUP($B233,'B-1 Site Hedge Baseline'!$B$1:$L$257,5,FALSE))))</f>
        <v/>
      </c>
      <c r="F233" s="175" t="str">
        <f>IF(B233="","",IF(ISNA(VLOOKUP($B233,'B-1 Site Hedge Baseline'!$B$1:$L$257,6,FALSE)),"",(VLOOKUP($B233,'B-1 Site Hedge Baseline'!$B$1:$L$257,6,FALSE))))</f>
        <v/>
      </c>
      <c r="G233" s="175" t="str">
        <f>IF(B233="","",IF(ISNA(VLOOKUP($B233,'B-1 Site Hedge Baseline'!$B$1:$L$257,7,FALSE)),"",(VLOOKUP($B233,'B-1 Site Hedge Baseline'!$B$1:$L$257,7,FALSE))))</f>
        <v/>
      </c>
      <c r="H233" s="175" t="str">
        <f>IF(B233="","",IF(ISNA(VLOOKUP($B233,'B-1 Site Hedge Baseline'!$B$1:$L$257,8,FALSE)),"",(VLOOKUP($B233,'B-1 Site Hedge Baseline'!$B$1:$L$257,8,FALSE))))</f>
        <v/>
      </c>
      <c r="I233" s="175" t="str">
        <f>IF(B233="","",IF(ISNA(VLOOKUP($B233,'B-1 Site Hedge Baseline'!$B$1:$L$257,10,FALSE)),"",(VLOOKUP($B233,'B-1 Site Hedge Baseline'!$B$1:$L$257,10,FALSE))))</f>
        <v/>
      </c>
      <c r="J233" s="175" t="str">
        <f>IF(B233="","",IF(ISNA(VLOOKUP($B233,'B-1 Site Hedge Baseline'!$B$1:$L$257,11,FALSE)),"",(VLOOKUP($B233,'B-1 Site Hedge Baseline'!$B$1:$L$257,11,FALSE))))</f>
        <v/>
      </c>
      <c r="K233" s="175" t="str">
        <f>IF(B233="","",IF(ISNA(VLOOKUP($B233,'B-1 Site Hedge Baseline'!$B$1:$U$257,13,FALSE)),"",(VLOOKUP($B233,'B-1 Site Hedge Baseline'!$B$1:$U$257,13,FALSE))))</f>
        <v/>
      </c>
      <c r="L233" s="176" t="str">
        <f>IF(B233="","",IF(ISNA(VLOOKUP($B233,'B-1 Site Hedge Baseline'!$B$1:$U$257,12,FALSE)),"",(VLOOKUP($B233,'B-1 Site Hedge Baseline'!$B$1:$U$257,12,FALSE))))</f>
        <v/>
      </c>
      <c r="M233" s="637"/>
      <c r="N233" s="171" t="str">
        <f>IFERROR(IF(B233="","",INDEX('G-6 Hedgerow Data'!$AN$3:$AZ$15,MATCH(C233,'G-6 Hedgerow Data'!$AM$3:$AM$15,0),MATCH(M233,'G-6 Hedgerow Data'!$AN$2:$AZ$2,0))),"")</f>
        <v/>
      </c>
      <c r="O233" s="172" t="str">
        <f t="shared" si="21"/>
        <v/>
      </c>
      <c r="P233" s="642" t="str">
        <f>IF(B233="","",VLOOKUP(B233,'B-1 Site Hedge Baseline'!$B$10:T478,16,FALSE))</f>
        <v/>
      </c>
      <c r="Q233" s="171" t="str">
        <f>IF(M233="","",VLOOKUP(M233,'G-6 Hedgerow Data'!$B$2:$AG$15,2,FALSE))</f>
        <v/>
      </c>
      <c r="R233" s="172" t="str">
        <f>IF(M233="","",VLOOKUP(M233,'G-6 Hedgerow Data'!$B$2:$AG$15,3,FALSE))</f>
        <v/>
      </c>
      <c r="S233" s="189"/>
      <c r="T233" s="269" t="str">
        <f>IFERROR(VLOOKUP(S233,'G-1 All Habitats'!$Z$2:$AA$9,2,FALSE),"")</f>
        <v/>
      </c>
      <c r="U233" s="186"/>
      <c r="V233" s="175" t="str">
        <f>IF(U233="","",IF(VLOOKUP(U233,'G-3 Multipliers'!$L$3:$N$6,2,FALSE)=0,"Spatial Data Missing",VLOOKUP(U233,'G-3 Multipliers'!$L$3:$N$6,2,FALSE)))</f>
        <v/>
      </c>
      <c r="W233" s="176" t="str">
        <f>IF(U233="","",IF(VLOOKUP(U233,'G-3 Multipliers'!$L$3:$N$6,3,FALSE)=0,"Spatial Data Missing",VLOOKUP(U233,'G-3 Multipliers'!$L$3:$N$6,3,FALSE)))</f>
        <v/>
      </c>
      <c r="X233" s="171" t="str">
        <f>IFERROR(IF(OR(LEFT(O233,5)="Error",LEFT(N233,5)="Error",T233="Error"),"Check Data",IF(F233&lt;R233,INDEX('G-6 Hedgerow Data'!$S$3:$AE$14,MATCH(C233,'G-6 Hedgerow Data'!$B$3:$B$14,0),MATCH(M233,'G-6 Hedgerow Data'!$S$2:$AE$2,0)),INDEX('G-6 Hedgerow Data'!$K$3:$Q$14,MATCH(M233,'G-6 Hedgerow Data'!$B$3:$B$14,0),MATCH(O233,'G-6 Hedgerow Data'!$K$2:$Q$2,0)))),"")</f>
        <v/>
      </c>
      <c r="Y233" s="261"/>
      <c r="Z233" s="261"/>
      <c r="AA233" s="179" t="str">
        <f t="shared" si="24"/>
        <v/>
      </c>
      <c r="AB233" s="262" t="str">
        <f t="shared" si="25"/>
        <v/>
      </c>
      <c r="AC233" s="263" t="str">
        <f t="shared" si="22"/>
        <v/>
      </c>
      <c r="AD233" s="239" t="str">
        <f>IF(M233="","",VLOOKUP(M233,'G-6 Hedgerow Data'!$B$3:$AG$15,31,FALSE))</f>
        <v/>
      </c>
      <c r="AE233" s="179" t="str">
        <f t="shared" si="26"/>
        <v/>
      </c>
      <c r="AF233" s="179" t="str">
        <f t="shared" si="27"/>
        <v/>
      </c>
      <c r="AG233" s="176" t="str">
        <f>IFERROR(IF(O233="","",VLOOKUP(AD233,'G-3 Multipliers'!$P$3:$Q$6,2,FALSE)),"")</f>
        <v/>
      </c>
      <c r="AH233" s="207" t="str">
        <f t="shared" si="23"/>
        <v/>
      </c>
      <c r="AI233" s="336"/>
      <c r="AJ233" s="181"/>
      <c r="AT233" s="35" t="str">
        <f>IFERROR(INDEX('G-6 Hedgerow Data'!$BJ$3:$BJ$15,MATCH(M233,'G-6 Hedgerow Data'!$B$3:$B$15,0)),"")</f>
        <v/>
      </c>
    </row>
    <row r="234" spans="2:46" ht="13.8" x14ac:dyDescent="0.25">
      <c r="B234" s="259" t="str">
        <f>'B-1 Site Hedge Baseline'!AK232</f>
        <v/>
      </c>
      <c r="C234" s="175" t="str">
        <f>IF(B234="","",IF(ISNA(VLOOKUP($B234,'B-1 Site Hedge Baseline'!$B$1:$L$257,3,FALSE)),"",(VLOOKUP($B234,'B-1 Site Hedge Baseline'!$B$1:$L$257,3,FALSE))))</f>
        <v/>
      </c>
      <c r="D234" s="175" t="str">
        <f>IF(B234="","",IF(ISNA(VLOOKUP($B234,'B-1 Site Hedge Baseline'!$B$1:$L$257,4,FALSE)),"",(VLOOKUP($B234,'B-1 Site Hedge Baseline'!$B$1:$L$257,4,FALSE))))</f>
        <v/>
      </c>
      <c r="E234" s="175" t="str">
        <f>IF(B234="","",IF(ISNA(VLOOKUP($B234,'B-1 Site Hedge Baseline'!$B$1:$L$257,5,FALSE)),"",(VLOOKUP($B234,'B-1 Site Hedge Baseline'!$B$1:$L$257,5,FALSE))))</f>
        <v/>
      </c>
      <c r="F234" s="175" t="str">
        <f>IF(B234="","",IF(ISNA(VLOOKUP($B234,'B-1 Site Hedge Baseline'!$B$1:$L$257,6,FALSE)),"",(VLOOKUP($B234,'B-1 Site Hedge Baseline'!$B$1:$L$257,6,FALSE))))</f>
        <v/>
      </c>
      <c r="G234" s="175" t="str">
        <f>IF(B234="","",IF(ISNA(VLOOKUP($B234,'B-1 Site Hedge Baseline'!$B$1:$L$257,7,FALSE)),"",(VLOOKUP($B234,'B-1 Site Hedge Baseline'!$B$1:$L$257,7,FALSE))))</f>
        <v/>
      </c>
      <c r="H234" s="175" t="str">
        <f>IF(B234="","",IF(ISNA(VLOOKUP($B234,'B-1 Site Hedge Baseline'!$B$1:$L$257,8,FALSE)),"",(VLOOKUP($B234,'B-1 Site Hedge Baseline'!$B$1:$L$257,8,FALSE))))</f>
        <v/>
      </c>
      <c r="I234" s="175" t="str">
        <f>IF(B234="","",IF(ISNA(VLOOKUP($B234,'B-1 Site Hedge Baseline'!$B$1:$L$257,10,FALSE)),"",(VLOOKUP($B234,'B-1 Site Hedge Baseline'!$B$1:$L$257,10,FALSE))))</f>
        <v/>
      </c>
      <c r="J234" s="175" t="str">
        <f>IF(B234="","",IF(ISNA(VLOOKUP($B234,'B-1 Site Hedge Baseline'!$B$1:$L$257,11,FALSE)),"",(VLOOKUP($B234,'B-1 Site Hedge Baseline'!$B$1:$L$257,11,FALSE))))</f>
        <v/>
      </c>
      <c r="K234" s="175" t="str">
        <f>IF(B234="","",IF(ISNA(VLOOKUP($B234,'B-1 Site Hedge Baseline'!$B$1:$U$257,13,FALSE)),"",(VLOOKUP($B234,'B-1 Site Hedge Baseline'!$B$1:$U$257,13,FALSE))))</f>
        <v/>
      </c>
      <c r="L234" s="176" t="str">
        <f>IF(B234="","",IF(ISNA(VLOOKUP($B234,'B-1 Site Hedge Baseline'!$B$1:$U$257,12,FALSE)),"",(VLOOKUP($B234,'B-1 Site Hedge Baseline'!$B$1:$U$257,12,FALSE))))</f>
        <v/>
      </c>
      <c r="M234" s="637"/>
      <c r="N234" s="171" t="str">
        <f>IFERROR(IF(B234="","",INDEX('G-6 Hedgerow Data'!$AN$3:$AZ$15,MATCH(C234,'G-6 Hedgerow Data'!$AM$3:$AM$15,0),MATCH(M234,'G-6 Hedgerow Data'!$AN$2:$AZ$2,0))),"")</f>
        <v/>
      </c>
      <c r="O234" s="172" t="str">
        <f t="shared" si="21"/>
        <v/>
      </c>
      <c r="P234" s="642" t="str">
        <f>IF(B234="","",VLOOKUP(B234,'B-1 Site Hedge Baseline'!$B$10:T479,16,FALSE))</f>
        <v/>
      </c>
      <c r="Q234" s="171" t="str">
        <f>IF(M234="","",VLOOKUP(M234,'G-6 Hedgerow Data'!$B$2:$AG$15,2,FALSE))</f>
        <v/>
      </c>
      <c r="R234" s="172" t="str">
        <f>IF(M234="","",VLOOKUP(M234,'G-6 Hedgerow Data'!$B$2:$AG$15,3,FALSE))</f>
        <v/>
      </c>
      <c r="S234" s="189"/>
      <c r="T234" s="269" t="str">
        <f>IFERROR(VLOOKUP(S234,'G-1 All Habitats'!$Z$2:$AA$9,2,FALSE),"")</f>
        <v/>
      </c>
      <c r="U234" s="186"/>
      <c r="V234" s="175" t="str">
        <f>IF(U234="","",IF(VLOOKUP(U234,'G-3 Multipliers'!$L$3:$N$6,2,FALSE)=0,"Spatial Data Missing",VLOOKUP(U234,'G-3 Multipliers'!$L$3:$N$6,2,FALSE)))</f>
        <v/>
      </c>
      <c r="W234" s="176" t="str">
        <f>IF(U234="","",IF(VLOOKUP(U234,'G-3 Multipliers'!$L$3:$N$6,3,FALSE)=0,"Spatial Data Missing",VLOOKUP(U234,'G-3 Multipliers'!$L$3:$N$6,3,FALSE)))</f>
        <v/>
      </c>
      <c r="X234" s="171" t="str">
        <f>IFERROR(IF(OR(LEFT(O234,5)="Error",LEFT(N234,5)="Error",T234="Error"),"Check Data",IF(F234&lt;R234,INDEX('G-6 Hedgerow Data'!$S$3:$AE$14,MATCH(C234,'G-6 Hedgerow Data'!$B$3:$B$14,0),MATCH(M234,'G-6 Hedgerow Data'!$S$2:$AE$2,0)),INDEX('G-6 Hedgerow Data'!$K$3:$Q$14,MATCH(M234,'G-6 Hedgerow Data'!$B$3:$B$14,0),MATCH(O234,'G-6 Hedgerow Data'!$K$2:$Q$2,0)))),"")</f>
        <v/>
      </c>
      <c r="Y234" s="261"/>
      <c r="Z234" s="261"/>
      <c r="AA234" s="179" t="str">
        <f t="shared" si="24"/>
        <v/>
      </c>
      <c r="AB234" s="262" t="str">
        <f t="shared" si="25"/>
        <v/>
      </c>
      <c r="AC234" s="263" t="str">
        <f t="shared" si="22"/>
        <v/>
      </c>
      <c r="AD234" s="239" t="str">
        <f>IF(M234="","",VLOOKUP(M234,'G-6 Hedgerow Data'!$B$3:$AG$15,31,FALSE))</f>
        <v/>
      </c>
      <c r="AE234" s="179" t="str">
        <f t="shared" si="26"/>
        <v/>
      </c>
      <c r="AF234" s="179" t="str">
        <f t="shared" si="27"/>
        <v/>
      </c>
      <c r="AG234" s="176" t="str">
        <f>IFERROR(IF(O234="","",VLOOKUP(AD234,'G-3 Multipliers'!$P$3:$Q$6,2,FALSE)),"")</f>
        <v/>
      </c>
      <c r="AH234" s="207" t="str">
        <f t="shared" si="23"/>
        <v/>
      </c>
      <c r="AI234" s="336"/>
      <c r="AJ234" s="181"/>
      <c r="AT234" s="35" t="str">
        <f>IFERROR(INDEX('G-6 Hedgerow Data'!$BJ$3:$BJ$15,MATCH(M234,'G-6 Hedgerow Data'!$B$3:$B$15,0)),"")</f>
        <v/>
      </c>
    </row>
    <row r="235" spans="2:46" ht="13.8" x14ac:dyDescent="0.25">
      <c r="B235" s="259" t="str">
        <f>'B-1 Site Hedge Baseline'!AK233</f>
        <v/>
      </c>
      <c r="C235" s="175" t="str">
        <f>IF(B235="","",IF(ISNA(VLOOKUP($B235,'B-1 Site Hedge Baseline'!$B$1:$L$257,3,FALSE)),"",(VLOOKUP($B235,'B-1 Site Hedge Baseline'!$B$1:$L$257,3,FALSE))))</f>
        <v/>
      </c>
      <c r="D235" s="175" t="str">
        <f>IF(B235="","",IF(ISNA(VLOOKUP($B235,'B-1 Site Hedge Baseline'!$B$1:$L$257,4,FALSE)),"",(VLOOKUP($B235,'B-1 Site Hedge Baseline'!$B$1:$L$257,4,FALSE))))</f>
        <v/>
      </c>
      <c r="E235" s="175" t="str">
        <f>IF(B235="","",IF(ISNA(VLOOKUP($B235,'B-1 Site Hedge Baseline'!$B$1:$L$257,5,FALSE)),"",(VLOOKUP($B235,'B-1 Site Hedge Baseline'!$B$1:$L$257,5,FALSE))))</f>
        <v/>
      </c>
      <c r="F235" s="175" t="str">
        <f>IF(B235="","",IF(ISNA(VLOOKUP($B235,'B-1 Site Hedge Baseline'!$B$1:$L$257,6,FALSE)),"",(VLOOKUP($B235,'B-1 Site Hedge Baseline'!$B$1:$L$257,6,FALSE))))</f>
        <v/>
      </c>
      <c r="G235" s="175" t="str">
        <f>IF(B235="","",IF(ISNA(VLOOKUP($B235,'B-1 Site Hedge Baseline'!$B$1:$L$257,7,FALSE)),"",(VLOOKUP($B235,'B-1 Site Hedge Baseline'!$B$1:$L$257,7,FALSE))))</f>
        <v/>
      </c>
      <c r="H235" s="175" t="str">
        <f>IF(B235="","",IF(ISNA(VLOOKUP($B235,'B-1 Site Hedge Baseline'!$B$1:$L$257,8,FALSE)),"",(VLOOKUP($B235,'B-1 Site Hedge Baseline'!$B$1:$L$257,8,FALSE))))</f>
        <v/>
      </c>
      <c r="I235" s="175" t="str">
        <f>IF(B235="","",IF(ISNA(VLOOKUP($B235,'B-1 Site Hedge Baseline'!$B$1:$L$257,10,FALSE)),"",(VLOOKUP($B235,'B-1 Site Hedge Baseline'!$B$1:$L$257,10,FALSE))))</f>
        <v/>
      </c>
      <c r="J235" s="175" t="str">
        <f>IF(B235="","",IF(ISNA(VLOOKUP($B235,'B-1 Site Hedge Baseline'!$B$1:$L$257,11,FALSE)),"",(VLOOKUP($B235,'B-1 Site Hedge Baseline'!$B$1:$L$257,11,FALSE))))</f>
        <v/>
      </c>
      <c r="K235" s="175" t="str">
        <f>IF(B235="","",IF(ISNA(VLOOKUP($B235,'B-1 Site Hedge Baseline'!$B$1:$U$257,13,FALSE)),"",(VLOOKUP($B235,'B-1 Site Hedge Baseline'!$B$1:$U$257,13,FALSE))))</f>
        <v/>
      </c>
      <c r="L235" s="176" t="str">
        <f>IF(B235="","",IF(ISNA(VLOOKUP($B235,'B-1 Site Hedge Baseline'!$B$1:$U$257,12,FALSE)),"",(VLOOKUP($B235,'B-1 Site Hedge Baseline'!$B$1:$U$257,12,FALSE))))</f>
        <v/>
      </c>
      <c r="M235" s="637"/>
      <c r="N235" s="171" t="str">
        <f>IFERROR(IF(B235="","",INDEX('G-6 Hedgerow Data'!$AN$3:$AZ$15,MATCH(C235,'G-6 Hedgerow Data'!$AM$3:$AM$15,0),MATCH(M235,'G-6 Hedgerow Data'!$AN$2:$AZ$2,0))),"")</f>
        <v/>
      </c>
      <c r="O235" s="172" t="str">
        <f t="shared" si="21"/>
        <v/>
      </c>
      <c r="P235" s="642" t="str">
        <f>IF(B235="","",VLOOKUP(B235,'B-1 Site Hedge Baseline'!$B$10:T480,16,FALSE))</f>
        <v/>
      </c>
      <c r="Q235" s="171" t="str">
        <f>IF(M235="","",VLOOKUP(M235,'G-6 Hedgerow Data'!$B$2:$AG$15,2,FALSE))</f>
        <v/>
      </c>
      <c r="R235" s="172" t="str">
        <f>IF(M235="","",VLOOKUP(M235,'G-6 Hedgerow Data'!$B$2:$AG$15,3,FALSE))</f>
        <v/>
      </c>
      <c r="S235" s="189"/>
      <c r="T235" s="269" t="str">
        <f>IFERROR(VLOOKUP(S235,'G-1 All Habitats'!$Z$2:$AA$9,2,FALSE),"")</f>
        <v/>
      </c>
      <c r="U235" s="186"/>
      <c r="V235" s="175" t="str">
        <f>IF(U235="","",IF(VLOOKUP(U235,'G-3 Multipliers'!$L$3:$N$6,2,FALSE)=0,"Spatial Data Missing",VLOOKUP(U235,'G-3 Multipliers'!$L$3:$N$6,2,FALSE)))</f>
        <v/>
      </c>
      <c r="W235" s="176" t="str">
        <f>IF(U235="","",IF(VLOOKUP(U235,'G-3 Multipliers'!$L$3:$N$6,3,FALSE)=0,"Spatial Data Missing",VLOOKUP(U235,'G-3 Multipliers'!$L$3:$N$6,3,FALSE)))</f>
        <v/>
      </c>
      <c r="X235" s="171" t="str">
        <f>IFERROR(IF(OR(LEFT(O235,5)="Error",LEFT(N235,5)="Error",T235="Error"),"Check Data",IF(F235&lt;R235,INDEX('G-6 Hedgerow Data'!$S$3:$AE$14,MATCH(C235,'G-6 Hedgerow Data'!$B$3:$B$14,0),MATCH(M235,'G-6 Hedgerow Data'!$S$2:$AE$2,0)),INDEX('G-6 Hedgerow Data'!$K$3:$Q$14,MATCH(M235,'G-6 Hedgerow Data'!$B$3:$B$14,0),MATCH(O235,'G-6 Hedgerow Data'!$K$2:$Q$2,0)))),"")</f>
        <v/>
      </c>
      <c r="Y235" s="261"/>
      <c r="Z235" s="261"/>
      <c r="AA235" s="179" t="str">
        <f t="shared" si="24"/>
        <v/>
      </c>
      <c r="AB235" s="262" t="str">
        <f t="shared" si="25"/>
        <v/>
      </c>
      <c r="AC235" s="263" t="str">
        <f t="shared" si="22"/>
        <v/>
      </c>
      <c r="AD235" s="239" t="str">
        <f>IF(M235="","",VLOOKUP(M235,'G-6 Hedgerow Data'!$B$3:$AG$15,31,FALSE))</f>
        <v/>
      </c>
      <c r="AE235" s="179" t="str">
        <f t="shared" si="26"/>
        <v/>
      </c>
      <c r="AF235" s="179" t="str">
        <f t="shared" si="27"/>
        <v/>
      </c>
      <c r="AG235" s="176" t="str">
        <f>IFERROR(IF(O235="","",VLOOKUP(AD235,'G-3 Multipliers'!$P$3:$Q$6,2,FALSE)),"")</f>
        <v/>
      </c>
      <c r="AH235" s="207" t="str">
        <f t="shared" si="23"/>
        <v/>
      </c>
      <c r="AI235" s="336"/>
      <c r="AJ235" s="181"/>
      <c r="AT235" s="35" t="str">
        <f>IFERROR(INDEX('G-6 Hedgerow Data'!$BJ$3:$BJ$15,MATCH(M235,'G-6 Hedgerow Data'!$B$3:$B$15,0)),"")</f>
        <v/>
      </c>
    </row>
    <row r="236" spans="2:46" ht="13.8" x14ac:dyDescent="0.25">
      <c r="B236" s="259" t="str">
        <f>'B-1 Site Hedge Baseline'!AK234</f>
        <v/>
      </c>
      <c r="C236" s="175" t="str">
        <f>IF(B236="","",IF(ISNA(VLOOKUP($B236,'B-1 Site Hedge Baseline'!$B$1:$L$257,3,FALSE)),"",(VLOOKUP($B236,'B-1 Site Hedge Baseline'!$B$1:$L$257,3,FALSE))))</f>
        <v/>
      </c>
      <c r="D236" s="175" t="str">
        <f>IF(B236="","",IF(ISNA(VLOOKUP($B236,'B-1 Site Hedge Baseline'!$B$1:$L$257,4,FALSE)),"",(VLOOKUP($B236,'B-1 Site Hedge Baseline'!$B$1:$L$257,4,FALSE))))</f>
        <v/>
      </c>
      <c r="E236" s="175" t="str">
        <f>IF(B236="","",IF(ISNA(VLOOKUP($B236,'B-1 Site Hedge Baseline'!$B$1:$L$257,5,FALSE)),"",(VLOOKUP($B236,'B-1 Site Hedge Baseline'!$B$1:$L$257,5,FALSE))))</f>
        <v/>
      </c>
      <c r="F236" s="175" t="str">
        <f>IF(B236="","",IF(ISNA(VLOOKUP($B236,'B-1 Site Hedge Baseline'!$B$1:$L$257,6,FALSE)),"",(VLOOKUP($B236,'B-1 Site Hedge Baseline'!$B$1:$L$257,6,FALSE))))</f>
        <v/>
      </c>
      <c r="G236" s="175" t="str">
        <f>IF(B236="","",IF(ISNA(VLOOKUP($B236,'B-1 Site Hedge Baseline'!$B$1:$L$257,7,FALSE)),"",(VLOOKUP($B236,'B-1 Site Hedge Baseline'!$B$1:$L$257,7,FALSE))))</f>
        <v/>
      </c>
      <c r="H236" s="175" t="str">
        <f>IF(B236="","",IF(ISNA(VLOOKUP($B236,'B-1 Site Hedge Baseline'!$B$1:$L$257,8,FALSE)),"",(VLOOKUP($B236,'B-1 Site Hedge Baseline'!$B$1:$L$257,8,FALSE))))</f>
        <v/>
      </c>
      <c r="I236" s="175" t="str">
        <f>IF(B236="","",IF(ISNA(VLOOKUP($B236,'B-1 Site Hedge Baseline'!$B$1:$L$257,10,FALSE)),"",(VLOOKUP($B236,'B-1 Site Hedge Baseline'!$B$1:$L$257,10,FALSE))))</f>
        <v/>
      </c>
      <c r="J236" s="175" t="str">
        <f>IF(B236="","",IF(ISNA(VLOOKUP($B236,'B-1 Site Hedge Baseline'!$B$1:$L$257,11,FALSE)),"",(VLOOKUP($B236,'B-1 Site Hedge Baseline'!$B$1:$L$257,11,FALSE))))</f>
        <v/>
      </c>
      <c r="K236" s="175" t="str">
        <f>IF(B236="","",IF(ISNA(VLOOKUP($B236,'B-1 Site Hedge Baseline'!$B$1:$U$257,13,FALSE)),"",(VLOOKUP($B236,'B-1 Site Hedge Baseline'!$B$1:$U$257,13,FALSE))))</f>
        <v/>
      </c>
      <c r="L236" s="176" t="str">
        <f>IF(B236="","",IF(ISNA(VLOOKUP($B236,'B-1 Site Hedge Baseline'!$B$1:$U$257,12,FALSE)),"",(VLOOKUP($B236,'B-1 Site Hedge Baseline'!$B$1:$U$257,12,FALSE))))</f>
        <v/>
      </c>
      <c r="M236" s="637"/>
      <c r="N236" s="171" t="str">
        <f>IFERROR(IF(B236="","",INDEX('G-6 Hedgerow Data'!$AN$3:$AZ$15,MATCH(C236,'G-6 Hedgerow Data'!$AM$3:$AM$15,0),MATCH(M236,'G-6 Hedgerow Data'!$AN$2:$AZ$2,0))),"")</f>
        <v/>
      </c>
      <c r="O236" s="172" t="str">
        <f t="shared" si="21"/>
        <v/>
      </c>
      <c r="P236" s="642" t="str">
        <f>IF(B236="","",VLOOKUP(B236,'B-1 Site Hedge Baseline'!$B$10:T481,16,FALSE))</f>
        <v/>
      </c>
      <c r="Q236" s="171" t="str">
        <f>IF(M236="","",VLOOKUP(M236,'G-6 Hedgerow Data'!$B$2:$AG$15,2,FALSE))</f>
        <v/>
      </c>
      <c r="R236" s="172" t="str">
        <f>IF(M236="","",VLOOKUP(M236,'G-6 Hedgerow Data'!$B$2:$AG$15,3,FALSE))</f>
        <v/>
      </c>
      <c r="S236" s="189"/>
      <c r="T236" s="269" t="str">
        <f>IFERROR(VLOOKUP(S236,'G-1 All Habitats'!$Z$2:$AA$9,2,FALSE),"")</f>
        <v/>
      </c>
      <c r="U236" s="186"/>
      <c r="V236" s="175" t="str">
        <f>IF(U236="","",IF(VLOOKUP(U236,'G-3 Multipliers'!$L$3:$N$6,2,FALSE)=0,"Spatial Data Missing",VLOOKUP(U236,'G-3 Multipliers'!$L$3:$N$6,2,FALSE)))</f>
        <v/>
      </c>
      <c r="W236" s="176" t="str">
        <f>IF(U236="","",IF(VLOOKUP(U236,'G-3 Multipliers'!$L$3:$N$6,3,FALSE)=0,"Spatial Data Missing",VLOOKUP(U236,'G-3 Multipliers'!$L$3:$N$6,3,FALSE)))</f>
        <v/>
      </c>
      <c r="X236" s="171" t="str">
        <f>IFERROR(IF(OR(LEFT(O236,5)="Error",LEFT(N236,5)="Error",T236="Error"),"Check Data",IF(F236&lt;R236,INDEX('G-6 Hedgerow Data'!$S$3:$AE$14,MATCH(C236,'G-6 Hedgerow Data'!$B$3:$B$14,0),MATCH(M236,'G-6 Hedgerow Data'!$S$2:$AE$2,0)),INDEX('G-6 Hedgerow Data'!$K$3:$Q$14,MATCH(M236,'G-6 Hedgerow Data'!$B$3:$B$14,0),MATCH(O236,'G-6 Hedgerow Data'!$K$2:$Q$2,0)))),"")</f>
        <v/>
      </c>
      <c r="Y236" s="261"/>
      <c r="Z236" s="261"/>
      <c r="AA236" s="179" t="str">
        <f t="shared" si="24"/>
        <v/>
      </c>
      <c r="AB236" s="262" t="str">
        <f t="shared" si="25"/>
        <v/>
      </c>
      <c r="AC236" s="263" t="str">
        <f t="shared" si="22"/>
        <v/>
      </c>
      <c r="AD236" s="239" t="str">
        <f>IF(M236="","",VLOOKUP(M236,'G-6 Hedgerow Data'!$B$3:$AG$15,31,FALSE))</f>
        <v/>
      </c>
      <c r="AE236" s="179" t="str">
        <f t="shared" si="26"/>
        <v/>
      </c>
      <c r="AF236" s="179" t="str">
        <f t="shared" si="27"/>
        <v/>
      </c>
      <c r="AG236" s="176" t="str">
        <f>IFERROR(IF(O236="","",VLOOKUP(AD236,'G-3 Multipliers'!$P$3:$Q$6,2,FALSE)),"")</f>
        <v/>
      </c>
      <c r="AH236" s="207" t="str">
        <f t="shared" si="23"/>
        <v/>
      </c>
      <c r="AI236" s="336"/>
      <c r="AJ236" s="181"/>
      <c r="AT236" s="35" t="str">
        <f>IFERROR(INDEX('G-6 Hedgerow Data'!$BJ$3:$BJ$15,MATCH(M236,'G-6 Hedgerow Data'!$B$3:$B$15,0)),"")</f>
        <v/>
      </c>
    </row>
    <row r="237" spans="2:46" ht="13.8" x14ac:dyDescent="0.25">
      <c r="B237" s="259" t="str">
        <f>'B-1 Site Hedge Baseline'!AK235</f>
        <v/>
      </c>
      <c r="C237" s="175" t="str">
        <f>IF(B237="","",IF(ISNA(VLOOKUP($B237,'B-1 Site Hedge Baseline'!$B$1:$L$257,3,FALSE)),"",(VLOOKUP($B237,'B-1 Site Hedge Baseline'!$B$1:$L$257,3,FALSE))))</f>
        <v/>
      </c>
      <c r="D237" s="175" t="str">
        <f>IF(B237="","",IF(ISNA(VLOOKUP($B237,'B-1 Site Hedge Baseline'!$B$1:$L$257,4,FALSE)),"",(VLOOKUP($B237,'B-1 Site Hedge Baseline'!$B$1:$L$257,4,FALSE))))</f>
        <v/>
      </c>
      <c r="E237" s="175" t="str">
        <f>IF(B237="","",IF(ISNA(VLOOKUP($B237,'B-1 Site Hedge Baseline'!$B$1:$L$257,5,FALSE)),"",(VLOOKUP($B237,'B-1 Site Hedge Baseline'!$B$1:$L$257,5,FALSE))))</f>
        <v/>
      </c>
      <c r="F237" s="175" t="str">
        <f>IF(B237="","",IF(ISNA(VLOOKUP($B237,'B-1 Site Hedge Baseline'!$B$1:$L$257,6,FALSE)),"",(VLOOKUP($B237,'B-1 Site Hedge Baseline'!$B$1:$L$257,6,FALSE))))</f>
        <v/>
      </c>
      <c r="G237" s="175" t="str">
        <f>IF(B237="","",IF(ISNA(VLOOKUP($B237,'B-1 Site Hedge Baseline'!$B$1:$L$257,7,FALSE)),"",(VLOOKUP($B237,'B-1 Site Hedge Baseline'!$B$1:$L$257,7,FALSE))))</f>
        <v/>
      </c>
      <c r="H237" s="175" t="str">
        <f>IF(B237="","",IF(ISNA(VLOOKUP($B237,'B-1 Site Hedge Baseline'!$B$1:$L$257,8,FALSE)),"",(VLOOKUP($B237,'B-1 Site Hedge Baseline'!$B$1:$L$257,8,FALSE))))</f>
        <v/>
      </c>
      <c r="I237" s="175" t="str">
        <f>IF(B237="","",IF(ISNA(VLOOKUP($B237,'B-1 Site Hedge Baseline'!$B$1:$L$257,10,FALSE)),"",(VLOOKUP($B237,'B-1 Site Hedge Baseline'!$B$1:$L$257,10,FALSE))))</f>
        <v/>
      </c>
      <c r="J237" s="175" t="str">
        <f>IF(B237="","",IF(ISNA(VLOOKUP($B237,'B-1 Site Hedge Baseline'!$B$1:$L$257,11,FALSE)),"",(VLOOKUP($B237,'B-1 Site Hedge Baseline'!$B$1:$L$257,11,FALSE))))</f>
        <v/>
      </c>
      <c r="K237" s="175" t="str">
        <f>IF(B237="","",IF(ISNA(VLOOKUP($B237,'B-1 Site Hedge Baseline'!$B$1:$U$257,13,FALSE)),"",(VLOOKUP($B237,'B-1 Site Hedge Baseline'!$B$1:$U$257,13,FALSE))))</f>
        <v/>
      </c>
      <c r="L237" s="176" t="str">
        <f>IF(B237="","",IF(ISNA(VLOOKUP($B237,'B-1 Site Hedge Baseline'!$B$1:$U$257,12,FALSE)),"",(VLOOKUP($B237,'B-1 Site Hedge Baseline'!$B$1:$U$257,12,FALSE))))</f>
        <v/>
      </c>
      <c r="M237" s="637"/>
      <c r="N237" s="171" t="str">
        <f>IFERROR(IF(B237="","",INDEX('G-6 Hedgerow Data'!$AN$3:$AZ$15,MATCH(C237,'G-6 Hedgerow Data'!$AM$3:$AM$15,0),MATCH(M237,'G-6 Hedgerow Data'!$AN$2:$AZ$2,0))),"")</f>
        <v/>
      </c>
      <c r="O237" s="172" t="str">
        <f t="shared" si="21"/>
        <v/>
      </c>
      <c r="P237" s="642" t="str">
        <f>IF(B237="","",VLOOKUP(B237,'B-1 Site Hedge Baseline'!$B$10:T482,16,FALSE))</f>
        <v/>
      </c>
      <c r="Q237" s="171" t="str">
        <f>IF(M237="","",VLOOKUP(M237,'G-6 Hedgerow Data'!$B$2:$AG$15,2,FALSE))</f>
        <v/>
      </c>
      <c r="R237" s="172" t="str">
        <f>IF(M237="","",VLOOKUP(M237,'G-6 Hedgerow Data'!$B$2:$AG$15,3,FALSE))</f>
        <v/>
      </c>
      <c r="S237" s="189"/>
      <c r="T237" s="269" t="str">
        <f>IFERROR(VLOOKUP(S237,'G-1 All Habitats'!$Z$2:$AA$9,2,FALSE),"")</f>
        <v/>
      </c>
      <c r="U237" s="186"/>
      <c r="V237" s="175" t="str">
        <f>IF(U237="","",IF(VLOOKUP(U237,'G-3 Multipliers'!$L$3:$N$6,2,FALSE)=0,"Spatial Data Missing",VLOOKUP(U237,'G-3 Multipliers'!$L$3:$N$6,2,FALSE)))</f>
        <v/>
      </c>
      <c r="W237" s="176" t="str">
        <f>IF(U237="","",IF(VLOOKUP(U237,'G-3 Multipliers'!$L$3:$N$6,3,FALSE)=0,"Spatial Data Missing",VLOOKUP(U237,'G-3 Multipliers'!$L$3:$N$6,3,FALSE)))</f>
        <v/>
      </c>
      <c r="X237" s="171" t="str">
        <f>IFERROR(IF(OR(LEFT(O237,5)="Error",LEFT(N237,5)="Error",T237="Error"),"Check Data",IF(F237&lt;R237,INDEX('G-6 Hedgerow Data'!$S$3:$AE$14,MATCH(C237,'G-6 Hedgerow Data'!$B$3:$B$14,0),MATCH(M237,'G-6 Hedgerow Data'!$S$2:$AE$2,0)),INDEX('G-6 Hedgerow Data'!$K$3:$Q$14,MATCH(M237,'G-6 Hedgerow Data'!$B$3:$B$14,0),MATCH(O237,'G-6 Hedgerow Data'!$K$2:$Q$2,0)))),"")</f>
        <v/>
      </c>
      <c r="Y237" s="261"/>
      <c r="Z237" s="261"/>
      <c r="AA237" s="179" t="str">
        <f t="shared" si="24"/>
        <v/>
      </c>
      <c r="AB237" s="262" t="str">
        <f t="shared" si="25"/>
        <v/>
      </c>
      <c r="AC237" s="263" t="str">
        <f t="shared" si="22"/>
        <v/>
      </c>
      <c r="AD237" s="239" t="str">
        <f>IF(M237="","",VLOOKUP(M237,'G-6 Hedgerow Data'!$B$3:$AG$15,31,FALSE))</f>
        <v/>
      </c>
      <c r="AE237" s="179" t="str">
        <f t="shared" si="26"/>
        <v/>
      </c>
      <c r="AF237" s="179" t="str">
        <f t="shared" si="27"/>
        <v/>
      </c>
      <c r="AG237" s="176" t="str">
        <f>IFERROR(IF(O237="","",VLOOKUP(AD237,'G-3 Multipliers'!$P$3:$Q$6,2,FALSE)),"")</f>
        <v/>
      </c>
      <c r="AH237" s="207" t="str">
        <f t="shared" si="23"/>
        <v/>
      </c>
      <c r="AI237" s="336"/>
      <c r="AJ237" s="181"/>
      <c r="AT237" s="35" t="str">
        <f>IFERROR(INDEX('G-6 Hedgerow Data'!$BJ$3:$BJ$15,MATCH(M237,'G-6 Hedgerow Data'!$B$3:$B$15,0)),"")</f>
        <v/>
      </c>
    </row>
    <row r="238" spans="2:46" ht="13.8" x14ac:dyDescent="0.25">
      <c r="B238" s="259" t="str">
        <f>'B-1 Site Hedge Baseline'!AK236</f>
        <v/>
      </c>
      <c r="C238" s="175" t="str">
        <f>IF(B238="","",IF(ISNA(VLOOKUP($B238,'B-1 Site Hedge Baseline'!$B$1:$L$257,3,FALSE)),"",(VLOOKUP($B238,'B-1 Site Hedge Baseline'!$B$1:$L$257,3,FALSE))))</f>
        <v/>
      </c>
      <c r="D238" s="175" t="str">
        <f>IF(B238="","",IF(ISNA(VLOOKUP($B238,'B-1 Site Hedge Baseline'!$B$1:$L$257,4,FALSE)),"",(VLOOKUP($B238,'B-1 Site Hedge Baseline'!$B$1:$L$257,4,FALSE))))</f>
        <v/>
      </c>
      <c r="E238" s="175" t="str">
        <f>IF(B238="","",IF(ISNA(VLOOKUP($B238,'B-1 Site Hedge Baseline'!$B$1:$L$257,5,FALSE)),"",(VLOOKUP($B238,'B-1 Site Hedge Baseline'!$B$1:$L$257,5,FALSE))))</f>
        <v/>
      </c>
      <c r="F238" s="175" t="str">
        <f>IF(B238="","",IF(ISNA(VLOOKUP($B238,'B-1 Site Hedge Baseline'!$B$1:$L$257,6,FALSE)),"",(VLOOKUP($B238,'B-1 Site Hedge Baseline'!$B$1:$L$257,6,FALSE))))</f>
        <v/>
      </c>
      <c r="G238" s="175" t="str">
        <f>IF(B238="","",IF(ISNA(VLOOKUP($B238,'B-1 Site Hedge Baseline'!$B$1:$L$257,7,FALSE)),"",(VLOOKUP($B238,'B-1 Site Hedge Baseline'!$B$1:$L$257,7,FALSE))))</f>
        <v/>
      </c>
      <c r="H238" s="175" t="str">
        <f>IF(B238="","",IF(ISNA(VLOOKUP($B238,'B-1 Site Hedge Baseline'!$B$1:$L$257,8,FALSE)),"",(VLOOKUP($B238,'B-1 Site Hedge Baseline'!$B$1:$L$257,8,FALSE))))</f>
        <v/>
      </c>
      <c r="I238" s="175" t="str">
        <f>IF(B238="","",IF(ISNA(VLOOKUP($B238,'B-1 Site Hedge Baseline'!$B$1:$L$257,10,FALSE)),"",(VLOOKUP($B238,'B-1 Site Hedge Baseline'!$B$1:$L$257,10,FALSE))))</f>
        <v/>
      </c>
      <c r="J238" s="175" t="str">
        <f>IF(B238="","",IF(ISNA(VLOOKUP($B238,'B-1 Site Hedge Baseline'!$B$1:$L$257,11,FALSE)),"",(VLOOKUP($B238,'B-1 Site Hedge Baseline'!$B$1:$L$257,11,FALSE))))</f>
        <v/>
      </c>
      <c r="K238" s="175" t="str">
        <f>IF(B238="","",IF(ISNA(VLOOKUP($B238,'B-1 Site Hedge Baseline'!$B$1:$U$257,13,FALSE)),"",(VLOOKUP($B238,'B-1 Site Hedge Baseline'!$B$1:$U$257,13,FALSE))))</f>
        <v/>
      </c>
      <c r="L238" s="176" t="str">
        <f>IF(B238="","",IF(ISNA(VLOOKUP($B238,'B-1 Site Hedge Baseline'!$B$1:$U$257,12,FALSE)),"",(VLOOKUP($B238,'B-1 Site Hedge Baseline'!$B$1:$U$257,12,FALSE))))</f>
        <v/>
      </c>
      <c r="M238" s="637"/>
      <c r="N238" s="171" t="str">
        <f>IFERROR(IF(B238="","",INDEX('G-6 Hedgerow Data'!$AN$3:$AZ$15,MATCH(C238,'G-6 Hedgerow Data'!$AM$3:$AM$15,0),MATCH(M238,'G-6 Hedgerow Data'!$AN$2:$AZ$2,0))),"")</f>
        <v/>
      </c>
      <c r="O238" s="172" t="str">
        <f t="shared" si="21"/>
        <v/>
      </c>
      <c r="P238" s="642" t="str">
        <f>IF(B238="","",VLOOKUP(B238,'B-1 Site Hedge Baseline'!$B$10:T483,16,FALSE))</f>
        <v/>
      </c>
      <c r="Q238" s="171" t="str">
        <f>IF(M238="","",VLOOKUP(M238,'G-6 Hedgerow Data'!$B$2:$AG$15,2,FALSE))</f>
        <v/>
      </c>
      <c r="R238" s="172" t="str">
        <f>IF(M238="","",VLOOKUP(M238,'G-6 Hedgerow Data'!$B$2:$AG$15,3,FALSE))</f>
        <v/>
      </c>
      <c r="S238" s="189"/>
      <c r="T238" s="269" t="str">
        <f>IFERROR(VLOOKUP(S238,'G-1 All Habitats'!$Z$2:$AA$9,2,FALSE),"")</f>
        <v/>
      </c>
      <c r="U238" s="186"/>
      <c r="V238" s="175" t="str">
        <f>IF(U238="","",IF(VLOOKUP(U238,'G-3 Multipliers'!$L$3:$N$6,2,FALSE)=0,"Spatial Data Missing",VLOOKUP(U238,'G-3 Multipliers'!$L$3:$N$6,2,FALSE)))</f>
        <v/>
      </c>
      <c r="W238" s="176" t="str">
        <f>IF(U238="","",IF(VLOOKUP(U238,'G-3 Multipliers'!$L$3:$N$6,3,FALSE)=0,"Spatial Data Missing",VLOOKUP(U238,'G-3 Multipliers'!$L$3:$N$6,3,FALSE)))</f>
        <v/>
      </c>
      <c r="X238" s="171" t="str">
        <f>IFERROR(IF(OR(LEFT(O238,5)="Error",LEFT(N238,5)="Error",T238="Error"),"Check Data",IF(F238&lt;R238,INDEX('G-6 Hedgerow Data'!$S$3:$AE$14,MATCH(C238,'G-6 Hedgerow Data'!$B$3:$B$14,0),MATCH(M238,'G-6 Hedgerow Data'!$S$2:$AE$2,0)),INDEX('G-6 Hedgerow Data'!$K$3:$Q$14,MATCH(M238,'G-6 Hedgerow Data'!$B$3:$B$14,0),MATCH(O238,'G-6 Hedgerow Data'!$K$2:$Q$2,0)))),"")</f>
        <v/>
      </c>
      <c r="Y238" s="261"/>
      <c r="Z238" s="261"/>
      <c r="AA238" s="179" t="str">
        <f t="shared" si="24"/>
        <v/>
      </c>
      <c r="AB238" s="262" t="str">
        <f t="shared" si="25"/>
        <v/>
      </c>
      <c r="AC238" s="263" t="str">
        <f t="shared" si="22"/>
        <v/>
      </c>
      <c r="AD238" s="239" t="str">
        <f>IF(M238="","",VLOOKUP(M238,'G-6 Hedgerow Data'!$B$3:$AG$15,31,FALSE))</f>
        <v/>
      </c>
      <c r="AE238" s="179" t="str">
        <f t="shared" si="26"/>
        <v/>
      </c>
      <c r="AF238" s="179" t="str">
        <f t="shared" si="27"/>
        <v/>
      </c>
      <c r="AG238" s="176" t="str">
        <f>IFERROR(IF(O238="","",VLOOKUP(AD238,'G-3 Multipliers'!$P$3:$Q$6,2,FALSE)),"")</f>
        <v/>
      </c>
      <c r="AH238" s="207" t="str">
        <f t="shared" si="23"/>
        <v/>
      </c>
      <c r="AI238" s="336"/>
      <c r="AJ238" s="181"/>
      <c r="AT238" s="35" t="str">
        <f>IFERROR(INDEX('G-6 Hedgerow Data'!$BJ$3:$BJ$15,MATCH(M238,'G-6 Hedgerow Data'!$B$3:$B$15,0)),"")</f>
        <v/>
      </c>
    </row>
    <row r="239" spans="2:46" ht="13.8" x14ac:dyDescent="0.25">
      <c r="B239" s="259" t="str">
        <f>'B-1 Site Hedge Baseline'!AK237</f>
        <v/>
      </c>
      <c r="C239" s="175" t="str">
        <f>IF(B239="","",IF(ISNA(VLOOKUP($B239,'B-1 Site Hedge Baseline'!$B$1:$L$257,3,FALSE)),"",(VLOOKUP($B239,'B-1 Site Hedge Baseline'!$B$1:$L$257,3,FALSE))))</f>
        <v/>
      </c>
      <c r="D239" s="175" t="str">
        <f>IF(B239="","",IF(ISNA(VLOOKUP($B239,'B-1 Site Hedge Baseline'!$B$1:$L$257,4,FALSE)),"",(VLOOKUP($B239,'B-1 Site Hedge Baseline'!$B$1:$L$257,4,FALSE))))</f>
        <v/>
      </c>
      <c r="E239" s="175" t="str">
        <f>IF(B239="","",IF(ISNA(VLOOKUP($B239,'B-1 Site Hedge Baseline'!$B$1:$L$257,5,FALSE)),"",(VLOOKUP($B239,'B-1 Site Hedge Baseline'!$B$1:$L$257,5,FALSE))))</f>
        <v/>
      </c>
      <c r="F239" s="175" t="str">
        <f>IF(B239="","",IF(ISNA(VLOOKUP($B239,'B-1 Site Hedge Baseline'!$B$1:$L$257,6,FALSE)),"",(VLOOKUP($B239,'B-1 Site Hedge Baseline'!$B$1:$L$257,6,FALSE))))</f>
        <v/>
      </c>
      <c r="G239" s="175" t="str">
        <f>IF(B239="","",IF(ISNA(VLOOKUP($B239,'B-1 Site Hedge Baseline'!$B$1:$L$257,7,FALSE)),"",(VLOOKUP($B239,'B-1 Site Hedge Baseline'!$B$1:$L$257,7,FALSE))))</f>
        <v/>
      </c>
      <c r="H239" s="175" t="str">
        <f>IF(B239="","",IF(ISNA(VLOOKUP($B239,'B-1 Site Hedge Baseline'!$B$1:$L$257,8,FALSE)),"",(VLOOKUP($B239,'B-1 Site Hedge Baseline'!$B$1:$L$257,8,FALSE))))</f>
        <v/>
      </c>
      <c r="I239" s="175" t="str">
        <f>IF(B239="","",IF(ISNA(VLOOKUP($B239,'B-1 Site Hedge Baseline'!$B$1:$L$257,10,FALSE)),"",(VLOOKUP($B239,'B-1 Site Hedge Baseline'!$B$1:$L$257,10,FALSE))))</f>
        <v/>
      </c>
      <c r="J239" s="175" t="str">
        <f>IF(B239="","",IF(ISNA(VLOOKUP($B239,'B-1 Site Hedge Baseline'!$B$1:$L$257,11,FALSE)),"",(VLOOKUP($B239,'B-1 Site Hedge Baseline'!$B$1:$L$257,11,FALSE))))</f>
        <v/>
      </c>
      <c r="K239" s="175" t="str">
        <f>IF(B239="","",IF(ISNA(VLOOKUP($B239,'B-1 Site Hedge Baseline'!$B$1:$U$257,13,FALSE)),"",(VLOOKUP($B239,'B-1 Site Hedge Baseline'!$B$1:$U$257,13,FALSE))))</f>
        <v/>
      </c>
      <c r="L239" s="176" t="str">
        <f>IF(B239="","",IF(ISNA(VLOOKUP($B239,'B-1 Site Hedge Baseline'!$B$1:$U$257,12,FALSE)),"",(VLOOKUP($B239,'B-1 Site Hedge Baseline'!$B$1:$U$257,12,FALSE))))</f>
        <v/>
      </c>
      <c r="M239" s="637"/>
      <c r="N239" s="171" t="str">
        <f>IFERROR(IF(B239="","",INDEX('G-6 Hedgerow Data'!$AN$3:$AZ$15,MATCH(C239,'G-6 Hedgerow Data'!$AM$3:$AM$15,0),MATCH(M239,'G-6 Hedgerow Data'!$AN$2:$AZ$2,0))),"")</f>
        <v/>
      </c>
      <c r="O239" s="172" t="str">
        <f t="shared" si="21"/>
        <v/>
      </c>
      <c r="P239" s="642" t="str">
        <f>IF(B239="","",VLOOKUP(B239,'B-1 Site Hedge Baseline'!$B$10:T484,16,FALSE))</f>
        <v/>
      </c>
      <c r="Q239" s="171" t="str">
        <f>IF(M239="","",VLOOKUP(M239,'G-6 Hedgerow Data'!$B$2:$AG$15,2,FALSE))</f>
        <v/>
      </c>
      <c r="R239" s="172" t="str">
        <f>IF(M239="","",VLOOKUP(M239,'G-6 Hedgerow Data'!$B$2:$AG$15,3,FALSE))</f>
        <v/>
      </c>
      <c r="S239" s="189"/>
      <c r="T239" s="269" t="str">
        <f>IFERROR(VLOOKUP(S239,'G-1 All Habitats'!$Z$2:$AA$9,2,FALSE),"")</f>
        <v/>
      </c>
      <c r="U239" s="186"/>
      <c r="V239" s="175" t="str">
        <f>IF(U239="","",IF(VLOOKUP(U239,'G-3 Multipliers'!$L$3:$N$6,2,FALSE)=0,"Spatial Data Missing",VLOOKUP(U239,'G-3 Multipliers'!$L$3:$N$6,2,FALSE)))</f>
        <v/>
      </c>
      <c r="W239" s="176" t="str">
        <f>IF(U239="","",IF(VLOOKUP(U239,'G-3 Multipliers'!$L$3:$N$6,3,FALSE)=0,"Spatial Data Missing",VLOOKUP(U239,'G-3 Multipliers'!$L$3:$N$6,3,FALSE)))</f>
        <v/>
      </c>
      <c r="X239" s="171" t="str">
        <f>IFERROR(IF(OR(LEFT(O239,5)="Error",LEFT(N239,5)="Error",T239="Error"),"Check Data",IF(F239&lt;R239,INDEX('G-6 Hedgerow Data'!$S$3:$AE$14,MATCH(C239,'G-6 Hedgerow Data'!$B$3:$B$14,0),MATCH(M239,'G-6 Hedgerow Data'!$S$2:$AE$2,0)),INDEX('G-6 Hedgerow Data'!$K$3:$Q$14,MATCH(M239,'G-6 Hedgerow Data'!$B$3:$B$14,0),MATCH(O239,'G-6 Hedgerow Data'!$K$2:$Q$2,0)))),"")</f>
        <v/>
      </c>
      <c r="Y239" s="261"/>
      <c r="Z239" s="261"/>
      <c r="AA239" s="179" t="str">
        <f t="shared" si="24"/>
        <v/>
      </c>
      <c r="AB239" s="262" t="str">
        <f t="shared" si="25"/>
        <v/>
      </c>
      <c r="AC239" s="263" t="str">
        <f t="shared" si="22"/>
        <v/>
      </c>
      <c r="AD239" s="239" t="str">
        <f>IF(M239="","",VLOOKUP(M239,'G-6 Hedgerow Data'!$B$3:$AG$15,31,FALSE))</f>
        <v/>
      </c>
      <c r="AE239" s="179" t="str">
        <f t="shared" si="26"/>
        <v/>
      </c>
      <c r="AF239" s="179" t="str">
        <f t="shared" si="27"/>
        <v/>
      </c>
      <c r="AG239" s="176" t="str">
        <f>IFERROR(IF(O239="","",VLOOKUP(AD239,'G-3 Multipliers'!$P$3:$Q$6,2,FALSE)),"")</f>
        <v/>
      </c>
      <c r="AH239" s="207" t="str">
        <f t="shared" si="23"/>
        <v/>
      </c>
      <c r="AI239" s="336"/>
      <c r="AJ239" s="181"/>
      <c r="AT239" s="35" t="str">
        <f>IFERROR(INDEX('G-6 Hedgerow Data'!$BJ$3:$BJ$15,MATCH(M239,'G-6 Hedgerow Data'!$B$3:$B$15,0)),"")</f>
        <v/>
      </c>
    </row>
    <row r="240" spans="2:46" ht="13.8" x14ac:dyDescent="0.25">
      <c r="B240" s="259" t="str">
        <f>'B-1 Site Hedge Baseline'!AK238</f>
        <v/>
      </c>
      <c r="C240" s="175" t="str">
        <f>IF(B240="","",IF(ISNA(VLOOKUP($B240,'B-1 Site Hedge Baseline'!$B$1:$L$257,3,FALSE)),"",(VLOOKUP($B240,'B-1 Site Hedge Baseline'!$B$1:$L$257,3,FALSE))))</f>
        <v/>
      </c>
      <c r="D240" s="175" t="str">
        <f>IF(B240="","",IF(ISNA(VLOOKUP($B240,'B-1 Site Hedge Baseline'!$B$1:$L$257,4,FALSE)),"",(VLOOKUP($B240,'B-1 Site Hedge Baseline'!$B$1:$L$257,4,FALSE))))</f>
        <v/>
      </c>
      <c r="E240" s="175" t="str">
        <f>IF(B240="","",IF(ISNA(VLOOKUP($B240,'B-1 Site Hedge Baseline'!$B$1:$L$257,5,FALSE)),"",(VLOOKUP($B240,'B-1 Site Hedge Baseline'!$B$1:$L$257,5,FALSE))))</f>
        <v/>
      </c>
      <c r="F240" s="175" t="str">
        <f>IF(B240="","",IF(ISNA(VLOOKUP($B240,'B-1 Site Hedge Baseline'!$B$1:$L$257,6,FALSE)),"",(VLOOKUP($B240,'B-1 Site Hedge Baseline'!$B$1:$L$257,6,FALSE))))</f>
        <v/>
      </c>
      <c r="G240" s="175" t="str">
        <f>IF(B240="","",IF(ISNA(VLOOKUP($B240,'B-1 Site Hedge Baseline'!$B$1:$L$257,7,FALSE)),"",(VLOOKUP($B240,'B-1 Site Hedge Baseline'!$B$1:$L$257,7,FALSE))))</f>
        <v/>
      </c>
      <c r="H240" s="175" t="str">
        <f>IF(B240="","",IF(ISNA(VLOOKUP($B240,'B-1 Site Hedge Baseline'!$B$1:$L$257,8,FALSE)),"",(VLOOKUP($B240,'B-1 Site Hedge Baseline'!$B$1:$L$257,8,FALSE))))</f>
        <v/>
      </c>
      <c r="I240" s="175" t="str">
        <f>IF(B240="","",IF(ISNA(VLOOKUP($B240,'B-1 Site Hedge Baseline'!$B$1:$L$257,10,FALSE)),"",(VLOOKUP($B240,'B-1 Site Hedge Baseline'!$B$1:$L$257,10,FALSE))))</f>
        <v/>
      </c>
      <c r="J240" s="175" t="str">
        <f>IF(B240="","",IF(ISNA(VLOOKUP($B240,'B-1 Site Hedge Baseline'!$B$1:$L$257,11,FALSE)),"",(VLOOKUP($B240,'B-1 Site Hedge Baseline'!$B$1:$L$257,11,FALSE))))</f>
        <v/>
      </c>
      <c r="K240" s="175" t="str">
        <f>IF(B240="","",IF(ISNA(VLOOKUP($B240,'B-1 Site Hedge Baseline'!$B$1:$U$257,13,FALSE)),"",(VLOOKUP($B240,'B-1 Site Hedge Baseline'!$B$1:$U$257,13,FALSE))))</f>
        <v/>
      </c>
      <c r="L240" s="176" t="str">
        <f>IF(B240="","",IF(ISNA(VLOOKUP($B240,'B-1 Site Hedge Baseline'!$B$1:$U$257,12,FALSE)),"",(VLOOKUP($B240,'B-1 Site Hedge Baseline'!$B$1:$U$257,12,FALSE))))</f>
        <v/>
      </c>
      <c r="M240" s="637"/>
      <c r="N240" s="171" t="str">
        <f>IFERROR(IF(B240="","",INDEX('G-6 Hedgerow Data'!$AN$3:$AZ$15,MATCH(C240,'G-6 Hedgerow Data'!$AM$3:$AM$15,0),MATCH(M240,'G-6 Hedgerow Data'!$AN$2:$AZ$2,0))),"")</f>
        <v/>
      </c>
      <c r="O240" s="172" t="str">
        <f t="shared" si="21"/>
        <v/>
      </c>
      <c r="P240" s="642" t="str">
        <f>IF(B240="","",VLOOKUP(B240,'B-1 Site Hedge Baseline'!$B$10:T485,16,FALSE))</f>
        <v/>
      </c>
      <c r="Q240" s="171" t="str">
        <f>IF(M240="","",VLOOKUP(M240,'G-6 Hedgerow Data'!$B$2:$AG$15,2,FALSE))</f>
        <v/>
      </c>
      <c r="R240" s="172" t="str">
        <f>IF(M240="","",VLOOKUP(M240,'G-6 Hedgerow Data'!$B$2:$AG$15,3,FALSE))</f>
        <v/>
      </c>
      <c r="S240" s="189"/>
      <c r="T240" s="269" t="str">
        <f>IFERROR(VLOOKUP(S240,'G-1 All Habitats'!$Z$2:$AA$9,2,FALSE),"")</f>
        <v/>
      </c>
      <c r="U240" s="186"/>
      <c r="V240" s="175" t="str">
        <f>IF(U240="","",IF(VLOOKUP(U240,'G-3 Multipliers'!$L$3:$N$6,2,FALSE)=0,"Spatial Data Missing",VLOOKUP(U240,'G-3 Multipliers'!$L$3:$N$6,2,FALSE)))</f>
        <v/>
      </c>
      <c r="W240" s="176" t="str">
        <f>IF(U240="","",IF(VLOOKUP(U240,'G-3 Multipliers'!$L$3:$N$6,3,FALSE)=0,"Spatial Data Missing",VLOOKUP(U240,'G-3 Multipliers'!$L$3:$N$6,3,FALSE)))</f>
        <v/>
      </c>
      <c r="X240" s="171" t="str">
        <f>IFERROR(IF(OR(LEFT(O240,5)="Error",LEFT(N240,5)="Error",T240="Error"),"Check Data",IF(F240&lt;R240,INDEX('G-6 Hedgerow Data'!$S$3:$AE$14,MATCH(C240,'G-6 Hedgerow Data'!$B$3:$B$14,0),MATCH(M240,'G-6 Hedgerow Data'!$S$2:$AE$2,0)),INDEX('G-6 Hedgerow Data'!$K$3:$Q$14,MATCH(M240,'G-6 Hedgerow Data'!$B$3:$B$14,0),MATCH(O240,'G-6 Hedgerow Data'!$K$2:$Q$2,0)))),"")</f>
        <v/>
      </c>
      <c r="Y240" s="261"/>
      <c r="Z240" s="261"/>
      <c r="AA240" s="179" t="str">
        <f t="shared" si="24"/>
        <v/>
      </c>
      <c r="AB240" s="262" t="str">
        <f t="shared" si="25"/>
        <v/>
      </c>
      <c r="AC240" s="263" t="str">
        <f t="shared" si="22"/>
        <v/>
      </c>
      <c r="AD240" s="239" t="str">
        <f>IF(M240="","",VLOOKUP(M240,'G-6 Hedgerow Data'!$B$3:$AG$15,31,FALSE))</f>
        <v/>
      </c>
      <c r="AE240" s="179" t="str">
        <f t="shared" si="26"/>
        <v/>
      </c>
      <c r="AF240" s="179" t="str">
        <f t="shared" si="27"/>
        <v/>
      </c>
      <c r="AG240" s="176" t="str">
        <f>IFERROR(IF(O240="","",VLOOKUP(AD240,'G-3 Multipliers'!$P$3:$Q$6,2,FALSE)),"")</f>
        <v/>
      </c>
      <c r="AH240" s="207" t="str">
        <f t="shared" si="23"/>
        <v/>
      </c>
      <c r="AI240" s="336"/>
      <c r="AJ240" s="181"/>
      <c r="AT240" s="35" t="str">
        <f>IFERROR(INDEX('G-6 Hedgerow Data'!$BJ$3:$BJ$15,MATCH(M240,'G-6 Hedgerow Data'!$B$3:$B$15,0)),"")</f>
        <v/>
      </c>
    </row>
    <row r="241" spans="2:46" ht="13.8" x14ac:dyDescent="0.25">
      <c r="B241" s="259" t="str">
        <f>'B-1 Site Hedge Baseline'!AK239</f>
        <v/>
      </c>
      <c r="C241" s="175" t="str">
        <f>IF(B241="","",IF(ISNA(VLOOKUP($B241,'B-1 Site Hedge Baseline'!$B$1:$L$257,3,FALSE)),"",(VLOOKUP($B241,'B-1 Site Hedge Baseline'!$B$1:$L$257,3,FALSE))))</f>
        <v/>
      </c>
      <c r="D241" s="175" t="str">
        <f>IF(B241="","",IF(ISNA(VLOOKUP($B241,'B-1 Site Hedge Baseline'!$B$1:$L$257,4,FALSE)),"",(VLOOKUP($B241,'B-1 Site Hedge Baseline'!$B$1:$L$257,4,FALSE))))</f>
        <v/>
      </c>
      <c r="E241" s="175" t="str">
        <f>IF(B241="","",IF(ISNA(VLOOKUP($B241,'B-1 Site Hedge Baseline'!$B$1:$L$257,5,FALSE)),"",(VLOOKUP($B241,'B-1 Site Hedge Baseline'!$B$1:$L$257,5,FALSE))))</f>
        <v/>
      </c>
      <c r="F241" s="175" t="str">
        <f>IF(B241="","",IF(ISNA(VLOOKUP($B241,'B-1 Site Hedge Baseline'!$B$1:$L$257,6,FALSE)),"",(VLOOKUP($B241,'B-1 Site Hedge Baseline'!$B$1:$L$257,6,FALSE))))</f>
        <v/>
      </c>
      <c r="G241" s="175" t="str">
        <f>IF(B241="","",IF(ISNA(VLOOKUP($B241,'B-1 Site Hedge Baseline'!$B$1:$L$257,7,FALSE)),"",(VLOOKUP($B241,'B-1 Site Hedge Baseline'!$B$1:$L$257,7,FALSE))))</f>
        <v/>
      </c>
      <c r="H241" s="175" t="str">
        <f>IF(B241="","",IF(ISNA(VLOOKUP($B241,'B-1 Site Hedge Baseline'!$B$1:$L$257,8,FALSE)),"",(VLOOKUP($B241,'B-1 Site Hedge Baseline'!$B$1:$L$257,8,FALSE))))</f>
        <v/>
      </c>
      <c r="I241" s="175" t="str">
        <f>IF(B241="","",IF(ISNA(VLOOKUP($B241,'B-1 Site Hedge Baseline'!$B$1:$L$257,10,FALSE)),"",(VLOOKUP($B241,'B-1 Site Hedge Baseline'!$B$1:$L$257,10,FALSE))))</f>
        <v/>
      </c>
      <c r="J241" s="175" t="str">
        <f>IF(B241="","",IF(ISNA(VLOOKUP($B241,'B-1 Site Hedge Baseline'!$B$1:$L$257,11,FALSE)),"",(VLOOKUP($B241,'B-1 Site Hedge Baseline'!$B$1:$L$257,11,FALSE))))</f>
        <v/>
      </c>
      <c r="K241" s="175" t="str">
        <f>IF(B241="","",IF(ISNA(VLOOKUP($B241,'B-1 Site Hedge Baseline'!$B$1:$U$257,13,FALSE)),"",(VLOOKUP($B241,'B-1 Site Hedge Baseline'!$B$1:$U$257,13,FALSE))))</f>
        <v/>
      </c>
      <c r="L241" s="176" t="str">
        <f>IF(B241="","",IF(ISNA(VLOOKUP($B241,'B-1 Site Hedge Baseline'!$B$1:$U$257,12,FALSE)),"",(VLOOKUP($B241,'B-1 Site Hedge Baseline'!$B$1:$U$257,12,FALSE))))</f>
        <v/>
      </c>
      <c r="M241" s="637"/>
      <c r="N241" s="171" t="str">
        <f>IFERROR(IF(B241="","",INDEX('G-6 Hedgerow Data'!$AN$3:$AZ$15,MATCH(C241,'G-6 Hedgerow Data'!$AM$3:$AM$15,0),MATCH(M241,'G-6 Hedgerow Data'!$AN$2:$AZ$2,0))),"")</f>
        <v/>
      </c>
      <c r="O241" s="172" t="str">
        <f t="shared" si="21"/>
        <v/>
      </c>
      <c r="P241" s="642" t="str">
        <f>IF(B241="","",VLOOKUP(B241,'B-1 Site Hedge Baseline'!$B$10:T486,16,FALSE))</f>
        <v/>
      </c>
      <c r="Q241" s="171" t="str">
        <f>IF(M241="","",VLOOKUP(M241,'G-6 Hedgerow Data'!$B$2:$AG$15,2,FALSE))</f>
        <v/>
      </c>
      <c r="R241" s="172" t="str">
        <f>IF(M241="","",VLOOKUP(M241,'G-6 Hedgerow Data'!$B$2:$AG$15,3,FALSE))</f>
        <v/>
      </c>
      <c r="S241" s="189"/>
      <c r="T241" s="269" t="str">
        <f>IFERROR(VLOOKUP(S241,'G-1 All Habitats'!$Z$2:$AA$9,2,FALSE),"")</f>
        <v/>
      </c>
      <c r="U241" s="186"/>
      <c r="V241" s="175" t="str">
        <f>IF(U241="","",IF(VLOOKUP(U241,'G-3 Multipliers'!$L$3:$N$6,2,FALSE)=0,"Spatial Data Missing",VLOOKUP(U241,'G-3 Multipliers'!$L$3:$N$6,2,FALSE)))</f>
        <v/>
      </c>
      <c r="W241" s="176" t="str">
        <f>IF(U241="","",IF(VLOOKUP(U241,'G-3 Multipliers'!$L$3:$N$6,3,FALSE)=0,"Spatial Data Missing",VLOOKUP(U241,'G-3 Multipliers'!$L$3:$N$6,3,FALSE)))</f>
        <v/>
      </c>
      <c r="X241" s="171" t="str">
        <f>IFERROR(IF(OR(LEFT(O241,5)="Error",LEFT(N241,5)="Error",T241="Error"),"Check Data",IF(F241&lt;R241,INDEX('G-6 Hedgerow Data'!$S$3:$AE$14,MATCH(C241,'G-6 Hedgerow Data'!$B$3:$B$14,0),MATCH(M241,'G-6 Hedgerow Data'!$S$2:$AE$2,0)),INDEX('G-6 Hedgerow Data'!$K$3:$Q$14,MATCH(M241,'G-6 Hedgerow Data'!$B$3:$B$14,0),MATCH(O241,'G-6 Hedgerow Data'!$K$2:$Q$2,0)))),"")</f>
        <v/>
      </c>
      <c r="Y241" s="261"/>
      <c r="Z241" s="261"/>
      <c r="AA241" s="179" t="str">
        <f t="shared" si="24"/>
        <v/>
      </c>
      <c r="AB241" s="262" t="str">
        <f t="shared" si="25"/>
        <v/>
      </c>
      <c r="AC241" s="263" t="str">
        <f t="shared" si="22"/>
        <v/>
      </c>
      <c r="AD241" s="239" t="str">
        <f>IF(M241="","",VLOOKUP(M241,'G-6 Hedgerow Data'!$B$3:$AG$15,31,FALSE))</f>
        <v/>
      </c>
      <c r="AE241" s="179" t="str">
        <f t="shared" si="26"/>
        <v/>
      </c>
      <c r="AF241" s="179" t="str">
        <f t="shared" si="27"/>
        <v/>
      </c>
      <c r="AG241" s="176" t="str">
        <f>IFERROR(IF(O241="","",VLOOKUP(AD241,'G-3 Multipliers'!$P$3:$Q$6,2,FALSE)),"")</f>
        <v/>
      </c>
      <c r="AH241" s="207" t="str">
        <f t="shared" si="23"/>
        <v/>
      </c>
      <c r="AI241" s="336"/>
      <c r="AJ241" s="181"/>
      <c r="AT241" s="35" t="str">
        <f>IFERROR(INDEX('G-6 Hedgerow Data'!$BJ$3:$BJ$15,MATCH(M241,'G-6 Hedgerow Data'!$B$3:$B$15,0)),"")</f>
        <v/>
      </c>
    </row>
    <row r="242" spans="2:46" ht="13.8" x14ac:dyDescent="0.25">
      <c r="B242" s="259" t="str">
        <f>'B-1 Site Hedge Baseline'!AK240</f>
        <v/>
      </c>
      <c r="C242" s="175" t="str">
        <f>IF(B242="","",IF(ISNA(VLOOKUP($B242,'B-1 Site Hedge Baseline'!$B$1:$L$257,3,FALSE)),"",(VLOOKUP($B242,'B-1 Site Hedge Baseline'!$B$1:$L$257,3,FALSE))))</f>
        <v/>
      </c>
      <c r="D242" s="175" t="str">
        <f>IF(B242="","",IF(ISNA(VLOOKUP($B242,'B-1 Site Hedge Baseline'!$B$1:$L$257,4,FALSE)),"",(VLOOKUP($B242,'B-1 Site Hedge Baseline'!$B$1:$L$257,4,FALSE))))</f>
        <v/>
      </c>
      <c r="E242" s="175" t="str">
        <f>IF(B242="","",IF(ISNA(VLOOKUP($B242,'B-1 Site Hedge Baseline'!$B$1:$L$257,5,FALSE)),"",(VLOOKUP($B242,'B-1 Site Hedge Baseline'!$B$1:$L$257,5,FALSE))))</f>
        <v/>
      </c>
      <c r="F242" s="175" t="str">
        <f>IF(B242="","",IF(ISNA(VLOOKUP($B242,'B-1 Site Hedge Baseline'!$B$1:$L$257,6,FALSE)),"",(VLOOKUP($B242,'B-1 Site Hedge Baseline'!$B$1:$L$257,6,FALSE))))</f>
        <v/>
      </c>
      <c r="G242" s="175" t="str">
        <f>IF(B242="","",IF(ISNA(VLOOKUP($B242,'B-1 Site Hedge Baseline'!$B$1:$L$257,7,FALSE)),"",(VLOOKUP($B242,'B-1 Site Hedge Baseline'!$B$1:$L$257,7,FALSE))))</f>
        <v/>
      </c>
      <c r="H242" s="175" t="str">
        <f>IF(B242="","",IF(ISNA(VLOOKUP($B242,'B-1 Site Hedge Baseline'!$B$1:$L$257,8,FALSE)),"",(VLOOKUP($B242,'B-1 Site Hedge Baseline'!$B$1:$L$257,8,FALSE))))</f>
        <v/>
      </c>
      <c r="I242" s="175" t="str">
        <f>IF(B242="","",IF(ISNA(VLOOKUP($B242,'B-1 Site Hedge Baseline'!$B$1:$L$257,10,FALSE)),"",(VLOOKUP($B242,'B-1 Site Hedge Baseline'!$B$1:$L$257,10,FALSE))))</f>
        <v/>
      </c>
      <c r="J242" s="175" t="str">
        <f>IF(B242="","",IF(ISNA(VLOOKUP($B242,'B-1 Site Hedge Baseline'!$B$1:$L$257,11,FALSE)),"",(VLOOKUP($B242,'B-1 Site Hedge Baseline'!$B$1:$L$257,11,FALSE))))</f>
        <v/>
      </c>
      <c r="K242" s="175" t="str">
        <f>IF(B242="","",IF(ISNA(VLOOKUP($B242,'B-1 Site Hedge Baseline'!$B$1:$U$257,13,FALSE)),"",(VLOOKUP($B242,'B-1 Site Hedge Baseline'!$B$1:$U$257,13,FALSE))))</f>
        <v/>
      </c>
      <c r="L242" s="176" t="str">
        <f>IF(B242="","",IF(ISNA(VLOOKUP($B242,'B-1 Site Hedge Baseline'!$B$1:$U$257,12,FALSE)),"",(VLOOKUP($B242,'B-1 Site Hedge Baseline'!$B$1:$U$257,12,FALSE))))</f>
        <v/>
      </c>
      <c r="M242" s="637"/>
      <c r="N242" s="171" t="str">
        <f>IFERROR(IF(B242="","",INDEX('G-6 Hedgerow Data'!$AN$3:$AZ$15,MATCH(C242,'G-6 Hedgerow Data'!$AM$3:$AM$15,0),MATCH(M242,'G-6 Hedgerow Data'!$AN$2:$AZ$2,0))),"")</f>
        <v/>
      </c>
      <c r="O242" s="172" t="str">
        <f t="shared" si="21"/>
        <v/>
      </c>
      <c r="P242" s="642" t="str">
        <f>IF(B242="","",VLOOKUP(B242,'B-1 Site Hedge Baseline'!$B$10:T487,16,FALSE))</f>
        <v/>
      </c>
      <c r="Q242" s="171" t="str">
        <f>IF(M242="","",VLOOKUP(M242,'G-6 Hedgerow Data'!$B$2:$AG$15,2,FALSE))</f>
        <v/>
      </c>
      <c r="R242" s="172" t="str">
        <f>IF(M242="","",VLOOKUP(M242,'G-6 Hedgerow Data'!$B$2:$AG$15,3,FALSE))</f>
        <v/>
      </c>
      <c r="S242" s="189"/>
      <c r="T242" s="269" t="str">
        <f>IFERROR(VLOOKUP(S242,'G-1 All Habitats'!$Z$2:$AA$9,2,FALSE),"")</f>
        <v/>
      </c>
      <c r="U242" s="186"/>
      <c r="V242" s="175" t="str">
        <f>IF(U242="","",IF(VLOOKUP(U242,'G-3 Multipliers'!$L$3:$N$6,2,FALSE)=0,"Spatial Data Missing",VLOOKUP(U242,'G-3 Multipliers'!$L$3:$N$6,2,FALSE)))</f>
        <v/>
      </c>
      <c r="W242" s="176" t="str">
        <f>IF(U242="","",IF(VLOOKUP(U242,'G-3 Multipliers'!$L$3:$N$6,3,FALSE)=0,"Spatial Data Missing",VLOOKUP(U242,'G-3 Multipliers'!$L$3:$N$6,3,FALSE)))</f>
        <v/>
      </c>
      <c r="X242" s="171" t="str">
        <f>IFERROR(IF(OR(LEFT(O242,5)="Error",LEFT(N242,5)="Error",T242="Error"),"Check Data",IF(F242&lt;R242,INDEX('G-6 Hedgerow Data'!$S$3:$AE$14,MATCH(C242,'G-6 Hedgerow Data'!$B$3:$B$14,0),MATCH(M242,'G-6 Hedgerow Data'!$S$2:$AE$2,0)),INDEX('G-6 Hedgerow Data'!$K$3:$Q$14,MATCH(M242,'G-6 Hedgerow Data'!$B$3:$B$14,0),MATCH(O242,'G-6 Hedgerow Data'!$K$2:$Q$2,0)))),"")</f>
        <v/>
      </c>
      <c r="Y242" s="261"/>
      <c r="Z242" s="261"/>
      <c r="AA242" s="179" t="str">
        <f t="shared" si="24"/>
        <v/>
      </c>
      <c r="AB242" s="262" t="str">
        <f t="shared" si="25"/>
        <v/>
      </c>
      <c r="AC242" s="263" t="str">
        <f t="shared" si="22"/>
        <v/>
      </c>
      <c r="AD242" s="239" t="str">
        <f>IF(M242="","",VLOOKUP(M242,'G-6 Hedgerow Data'!$B$3:$AG$15,31,FALSE))</f>
        <v/>
      </c>
      <c r="AE242" s="179" t="str">
        <f t="shared" si="26"/>
        <v/>
      </c>
      <c r="AF242" s="179" t="str">
        <f t="shared" si="27"/>
        <v/>
      </c>
      <c r="AG242" s="176" t="str">
        <f>IFERROR(IF(O242="","",VLOOKUP(AD242,'G-3 Multipliers'!$P$3:$Q$6,2,FALSE)),"")</f>
        <v/>
      </c>
      <c r="AH242" s="207" t="str">
        <f t="shared" si="23"/>
        <v/>
      </c>
      <c r="AI242" s="336"/>
      <c r="AJ242" s="181"/>
      <c r="AT242" s="35" t="str">
        <f>IFERROR(INDEX('G-6 Hedgerow Data'!$BJ$3:$BJ$15,MATCH(M242,'G-6 Hedgerow Data'!$B$3:$B$15,0)),"")</f>
        <v/>
      </c>
    </row>
    <row r="243" spans="2:46" ht="13.8" x14ac:dyDescent="0.25">
      <c r="B243" s="259" t="str">
        <f>'B-1 Site Hedge Baseline'!AK241</f>
        <v/>
      </c>
      <c r="C243" s="175" t="str">
        <f>IF(B243="","",IF(ISNA(VLOOKUP($B243,'B-1 Site Hedge Baseline'!$B$1:$L$257,3,FALSE)),"",(VLOOKUP($B243,'B-1 Site Hedge Baseline'!$B$1:$L$257,3,FALSE))))</f>
        <v/>
      </c>
      <c r="D243" s="175" t="str">
        <f>IF(B243="","",IF(ISNA(VLOOKUP($B243,'B-1 Site Hedge Baseline'!$B$1:$L$257,4,FALSE)),"",(VLOOKUP($B243,'B-1 Site Hedge Baseline'!$B$1:$L$257,4,FALSE))))</f>
        <v/>
      </c>
      <c r="E243" s="175" t="str">
        <f>IF(B243="","",IF(ISNA(VLOOKUP($B243,'B-1 Site Hedge Baseline'!$B$1:$L$257,5,FALSE)),"",(VLOOKUP($B243,'B-1 Site Hedge Baseline'!$B$1:$L$257,5,FALSE))))</f>
        <v/>
      </c>
      <c r="F243" s="175" t="str">
        <f>IF(B243="","",IF(ISNA(VLOOKUP($B243,'B-1 Site Hedge Baseline'!$B$1:$L$257,6,FALSE)),"",(VLOOKUP($B243,'B-1 Site Hedge Baseline'!$B$1:$L$257,6,FALSE))))</f>
        <v/>
      </c>
      <c r="G243" s="175" t="str">
        <f>IF(B243="","",IF(ISNA(VLOOKUP($B243,'B-1 Site Hedge Baseline'!$B$1:$L$257,7,FALSE)),"",(VLOOKUP($B243,'B-1 Site Hedge Baseline'!$B$1:$L$257,7,FALSE))))</f>
        <v/>
      </c>
      <c r="H243" s="175" t="str">
        <f>IF(B243="","",IF(ISNA(VLOOKUP($B243,'B-1 Site Hedge Baseline'!$B$1:$L$257,8,FALSE)),"",(VLOOKUP($B243,'B-1 Site Hedge Baseline'!$B$1:$L$257,8,FALSE))))</f>
        <v/>
      </c>
      <c r="I243" s="175" t="str">
        <f>IF(B243="","",IF(ISNA(VLOOKUP($B243,'B-1 Site Hedge Baseline'!$B$1:$L$257,10,FALSE)),"",(VLOOKUP($B243,'B-1 Site Hedge Baseline'!$B$1:$L$257,10,FALSE))))</f>
        <v/>
      </c>
      <c r="J243" s="175" t="str">
        <f>IF(B243="","",IF(ISNA(VLOOKUP($B243,'B-1 Site Hedge Baseline'!$B$1:$L$257,11,FALSE)),"",(VLOOKUP($B243,'B-1 Site Hedge Baseline'!$B$1:$L$257,11,FALSE))))</f>
        <v/>
      </c>
      <c r="K243" s="175" t="str">
        <f>IF(B243="","",IF(ISNA(VLOOKUP($B243,'B-1 Site Hedge Baseline'!$B$1:$U$257,13,FALSE)),"",(VLOOKUP($B243,'B-1 Site Hedge Baseline'!$B$1:$U$257,13,FALSE))))</f>
        <v/>
      </c>
      <c r="L243" s="176" t="str">
        <f>IF(B243="","",IF(ISNA(VLOOKUP($B243,'B-1 Site Hedge Baseline'!$B$1:$U$257,12,FALSE)),"",(VLOOKUP($B243,'B-1 Site Hedge Baseline'!$B$1:$U$257,12,FALSE))))</f>
        <v/>
      </c>
      <c r="M243" s="637"/>
      <c r="N243" s="171" t="str">
        <f>IFERROR(IF(B243="","",INDEX('G-6 Hedgerow Data'!$AN$3:$AZ$15,MATCH(C243,'G-6 Hedgerow Data'!$AM$3:$AM$15,0),MATCH(M243,'G-6 Hedgerow Data'!$AN$2:$AZ$2,0))),"")</f>
        <v/>
      </c>
      <c r="O243" s="172" t="str">
        <f t="shared" si="21"/>
        <v/>
      </c>
      <c r="P243" s="642" t="str">
        <f>IF(B243="","",VLOOKUP(B243,'B-1 Site Hedge Baseline'!$B$10:T488,16,FALSE))</f>
        <v/>
      </c>
      <c r="Q243" s="171" t="str">
        <f>IF(M243="","",VLOOKUP(M243,'G-6 Hedgerow Data'!$B$2:$AG$15,2,FALSE))</f>
        <v/>
      </c>
      <c r="R243" s="172" t="str">
        <f>IF(M243="","",VLOOKUP(M243,'G-6 Hedgerow Data'!$B$2:$AG$15,3,FALSE))</f>
        <v/>
      </c>
      <c r="S243" s="189"/>
      <c r="T243" s="269" t="str">
        <f>IFERROR(VLOOKUP(S243,'G-1 All Habitats'!$Z$2:$AA$9,2,FALSE),"")</f>
        <v/>
      </c>
      <c r="U243" s="186"/>
      <c r="V243" s="175" t="str">
        <f>IF(U243="","",IF(VLOOKUP(U243,'G-3 Multipliers'!$L$3:$N$6,2,FALSE)=0,"Spatial Data Missing",VLOOKUP(U243,'G-3 Multipliers'!$L$3:$N$6,2,FALSE)))</f>
        <v/>
      </c>
      <c r="W243" s="176" t="str">
        <f>IF(U243="","",IF(VLOOKUP(U243,'G-3 Multipliers'!$L$3:$N$6,3,FALSE)=0,"Spatial Data Missing",VLOOKUP(U243,'G-3 Multipliers'!$L$3:$N$6,3,FALSE)))</f>
        <v/>
      </c>
      <c r="X243" s="171" t="str">
        <f>IFERROR(IF(OR(LEFT(O243,5)="Error",LEFT(N243,5)="Error",T243="Error"),"Check Data",IF(F243&lt;R243,INDEX('G-6 Hedgerow Data'!$S$3:$AE$14,MATCH(C243,'G-6 Hedgerow Data'!$B$3:$B$14,0),MATCH(M243,'G-6 Hedgerow Data'!$S$2:$AE$2,0)),INDEX('G-6 Hedgerow Data'!$K$3:$Q$14,MATCH(M243,'G-6 Hedgerow Data'!$B$3:$B$14,0),MATCH(O243,'G-6 Hedgerow Data'!$K$2:$Q$2,0)))),"")</f>
        <v/>
      </c>
      <c r="Y243" s="261"/>
      <c r="Z243" s="261"/>
      <c r="AA243" s="179" t="str">
        <f t="shared" si="24"/>
        <v/>
      </c>
      <c r="AB243" s="262" t="str">
        <f t="shared" si="25"/>
        <v/>
      </c>
      <c r="AC243" s="263" t="str">
        <f t="shared" si="22"/>
        <v/>
      </c>
      <c r="AD243" s="239" t="str">
        <f>IF(M243="","",VLOOKUP(M243,'G-6 Hedgerow Data'!$B$3:$AG$15,31,FALSE))</f>
        <v/>
      </c>
      <c r="AE243" s="179" t="str">
        <f t="shared" si="26"/>
        <v/>
      </c>
      <c r="AF243" s="179" t="str">
        <f t="shared" si="27"/>
        <v/>
      </c>
      <c r="AG243" s="176" t="str">
        <f>IFERROR(IF(O243="","",VLOOKUP(AD243,'G-3 Multipliers'!$P$3:$Q$6,2,FALSE)),"")</f>
        <v/>
      </c>
      <c r="AH243" s="207" t="str">
        <f t="shared" si="23"/>
        <v/>
      </c>
      <c r="AI243" s="336"/>
      <c r="AJ243" s="181"/>
      <c r="AT243" s="35" t="str">
        <f>IFERROR(INDEX('G-6 Hedgerow Data'!$BJ$3:$BJ$15,MATCH(M243,'G-6 Hedgerow Data'!$B$3:$B$15,0)),"")</f>
        <v/>
      </c>
    </row>
    <row r="244" spans="2:46" ht="13.8" x14ac:dyDescent="0.25">
      <c r="B244" s="259" t="str">
        <f>'B-1 Site Hedge Baseline'!AK242</f>
        <v/>
      </c>
      <c r="C244" s="175" t="str">
        <f>IF(B244="","",IF(ISNA(VLOOKUP($B244,'B-1 Site Hedge Baseline'!$B$1:$L$257,3,FALSE)),"",(VLOOKUP($B244,'B-1 Site Hedge Baseline'!$B$1:$L$257,3,FALSE))))</f>
        <v/>
      </c>
      <c r="D244" s="175" t="str">
        <f>IF(B244="","",IF(ISNA(VLOOKUP($B244,'B-1 Site Hedge Baseline'!$B$1:$L$257,4,FALSE)),"",(VLOOKUP($B244,'B-1 Site Hedge Baseline'!$B$1:$L$257,4,FALSE))))</f>
        <v/>
      </c>
      <c r="E244" s="175" t="str">
        <f>IF(B244="","",IF(ISNA(VLOOKUP($B244,'B-1 Site Hedge Baseline'!$B$1:$L$257,5,FALSE)),"",(VLOOKUP($B244,'B-1 Site Hedge Baseline'!$B$1:$L$257,5,FALSE))))</f>
        <v/>
      </c>
      <c r="F244" s="175" t="str">
        <f>IF(B244="","",IF(ISNA(VLOOKUP($B244,'B-1 Site Hedge Baseline'!$B$1:$L$257,6,FALSE)),"",(VLOOKUP($B244,'B-1 Site Hedge Baseline'!$B$1:$L$257,6,FALSE))))</f>
        <v/>
      </c>
      <c r="G244" s="175" t="str">
        <f>IF(B244="","",IF(ISNA(VLOOKUP($B244,'B-1 Site Hedge Baseline'!$B$1:$L$257,7,FALSE)),"",(VLOOKUP($B244,'B-1 Site Hedge Baseline'!$B$1:$L$257,7,FALSE))))</f>
        <v/>
      </c>
      <c r="H244" s="175" t="str">
        <f>IF(B244="","",IF(ISNA(VLOOKUP($B244,'B-1 Site Hedge Baseline'!$B$1:$L$257,8,FALSE)),"",(VLOOKUP($B244,'B-1 Site Hedge Baseline'!$B$1:$L$257,8,FALSE))))</f>
        <v/>
      </c>
      <c r="I244" s="175" t="str">
        <f>IF(B244="","",IF(ISNA(VLOOKUP($B244,'B-1 Site Hedge Baseline'!$B$1:$L$257,10,FALSE)),"",(VLOOKUP($B244,'B-1 Site Hedge Baseline'!$B$1:$L$257,10,FALSE))))</f>
        <v/>
      </c>
      <c r="J244" s="175" t="str">
        <f>IF(B244="","",IF(ISNA(VLOOKUP($B244,'B-1 Site Hedge Baseline'!$B$1:$L$257,11,FALSE)),"",(VLOOKUP($B244,'B-1 Site Hedge Baseline'!$B$1:$L$257,11,FALSE))))</f>
        <v/>
      </c>
      <c r="K244" s="175" t="str">
        <f>IF(B244="","",IF(ISNA(VLOOKUP($B244,'B-1 Site Hedge Baseline'!$B$1:$U$257,13,FALSE)),"",(VLOOKUP($B244,'B-1 Site Hedge Baseline'!$B$1:$U$257,13,FALSE))))</f>
        <v/>
      </c>
      <c r="L244" s="176" t="str">
        <f>IF(B244="","",IF(ISNA(VLOOKUP($B244,'B-1 Site Hedge Baseline'!$B$1:$U$257,12,FALSE)),"",(VLOOKUP($B244,'B-1 Site Hedge Baseline'!$B$1:$U$257,12,FALSE))))</f>
        <v/>
      </c>
      <c r="M244" s="637"/>
      <c r="N244" s="171" t="str">
        <f>IFERROR(IF(B244="","",INDEX('G-6 Hedgerow Data'!$AN$3:$AZ$15,MATCH(C244,'G-6 Hedgerow Data'!$AM$3:$AM$15,0),MATCH(M244,'G-6 Hedgerow Data'!$AN$2:$AZ$2,0))),"")</f>
        <v/>
      </c>
      <c r="O244" s="172" t="str">
        <f t="shared" si="21"/>
        <v/>
      </c>
      <c r="P244" s="642" t="str">
        <f>IF(B244="","",VLOOKUP(B244,'B-1 Site Hedge Baseline'!$B$10:T489,16,FALSE))</f>
        <v/>
      </c>
      <c r="Q244" s="171" t="str">
        <f>IF(M244="","",VLOOKUP(M244,'G-6 Hedgerow Data'!$B$2:$AG$15,2,FALSE))</f>
        <v/>
      </c>
      <c r="R244" s="172" t="str">
        <f>IF(M244="","",VLOOKUP(M244,'G-6 Hedgerow Data'!$B$2:$AG$15,3,FALSE))</f>
        <v/>
      </c>
      <c r="S244" s="189"/>
      <c r="T244" s="269" t="str">
        <f>IFERROR(VLOOKUP(S244,'G-1 All Habitats'!$Z$2:$AA$9,2,FALSE),"")</f>
        <v/>
      </c>
      <c r="U244" s="186"/>
      <c r="V244" s="175" t="str">
        <f>IF(U244="","",IF(VLOOKUP(U244,'G-3 Multipliers'!$L$3:$N$6,2,FALSE)=0,"Spatial Data Missing",VLOOKUP(U244,'G-3 Multipliers'!$L$3:$N$6,2,FALSE)))</f>
        <v/>
      </c>
      <c r="W244" s="176" t="str">
        <f>IF(U244="","",IF(VLOOKUP(U244,'G-3 Multipliers'!$L$3:$N$6,3,FALSE)=0,"Spatial Data Missing",VLOOKUP(U244,'G-3 Multipliers'!$L$3:$N$6,3,FALSE)))</f>
        <v/>
      </c>
      <c r="X244" s="171" t="str">
        <f>IFERROR(IF(OR(LEFT(O244,5)="Error",LEFT(N244,5)="Error",T244="Error"),"Check Data",IF(F244&lt;R244,INDEX('G-6 Hedgerow Data'!$S$3:$AE$14,MATCH(C244,'G-6 Hedgerow Data'!$B$3:$B$14,0),MATCH(M244,'G-6 Hedgerow Data'!$S$2:$AE$2,0)),INDEX('G-6 Hedgerow Data'!$K$3:$Q$14,MATCH(M244,'G-6 Hedgerow Data'!$B$3:$B$14,0),MATCH(O244,'G-6 Hedgerow Data'!$K$2:$Q$2,0)))),"")</f>
        <v/>
      </c>
      <c r="Y244" s="261"/>
      <c r="Z244" s="261"/>
      <c r="AA244" s="179" t="str">
        <f t="shared" si="24"/>
        <v/>
      </c>
      <c r="AB244" s="262" t="str">
        <f t="shared" si="25"/>
        <v/>
      </c>
      <c r="AC244" s="263" t="str">
        <f t="shared" si="22"/>
        <v/>
      </c>
      <c r="AD244" s="239" t="str">
        <f>IF(M244="","",VLOOKUP(M244,'G-6 Hedgerow Data'!$B$3:$AG$15,31,FALSE))</f>
        <v/>
      </c>
      <c r="AE244" s="179" t="str">
        <f t="shared" si="26"/>
        <v/>
      </c>
      <c r="AF244" s="179" t="str">
        <f t="shared" si="27"/>
        <v/>
      </c>
      <c r="AG244" s="176" t="str">
        <f>IFERROR(IF(O244="","",VLOOKUP(AD244,'G-3 Multipliers'!$P$3:$Q$6,2,FALSE)),"")</f>
        <v/>
      </c>
      <c r="AH244" s="207" t="str">
        <f t="shared" si="23"/>
        <v/>
      </c>
      <c r="AI244" s="336"/>
      <c r="AJ244" s="181"/>
      <c r="AT244" s="35" t="str">
        <f>IFERROR(INDEX('G-6 Hedgerow Data'!$BJ$3:$BJ$15,MATCH(M244,'G-6 Hedgerow Data'!$B$3:$B$15,0)),"")</f>
        <v/>
      </c>
    </row>
    <row r="245" spans="2:46" ht="13.8" x14ac:dyDescent="0.25">
      <c r="B245" s="259" t="str">
        <f>'B-1 Site Hedge Baseline'!AK243</f>
        <v/>
      </c>
      <c r="C245" s="175" t="str">
        <f>IF(B245="","",IF(ISNA(VLOOKUP($B245,'B-1 Site Hedge Baseline'!$B$1:$L$257,3,FALSE)),"",(VLOOKUP($B245,'B-1 Site Hedge Baseline'!$B$1:$L$257,3,FALSE))))</f>
        <v/>
      </c>
      <c r="D245" s="175" t="str">
        <f>IF(B245="","",IF(ISNA(VLOOKUP($B245,'B-1 Site Hedge Baseline'!$B$1:$L$257,4,FALSE)),"",(VLOOKUP($B245,'B-1 Site Hedge Baseline'!$B$1:$L$257,4,FALSE))))</f>
        <v/>
      </c>
      <c r="E245" s="175" t="str">
        <f>IF(B245="","",IF(ISNA(VLOOKUP($B245,'B-1 Site Hedge Baseline'!$B$1:$L$257,5,FALSE)),"",(VLOOKUP($B245,'B-1 Site Hedge Baseline'!$B$1:$L$257,5,FALSE))))</f>
        <v/>
      </c>
      <c r="F245" s="175" t="str">
        <f>IF(B245="","",IF(ISNA(VLOOKUP($B245,'B-1 Site Hedge Baseline'!$B$1:$L$257,6,FALSE)),"",(VLOOKUP($B245,'B-1 Site Hedge Baseline'!$B$1:$L$257,6,FALSE))))</f>
        <v/>
      </c>
      <c r="G245" s="175" t="str">
        <f>IF(B245="","",IF(ISNA(VLOOKUP($B245,'B-1 Site Hedge Baseline'!$B$1:$L$257,7,FALSE)),"",(VLOOKUP($B245,'B-1 Site Hedge Baseline'!$B$1:$L$257,7,FALSE))))</f>
        <v/>
      </c>
      <c r="H245" s="175" t="str">
        <f>IF(B245="","",IF(ISNA(VLOOKUP($B245,'B-1 Site Hedge Baseline'!$B$1:$L$257,8,FALSE)),"",(VLOOKUP($B245,'B-1 Site Hedge Baseline'!$B$1:$L$257,8,FALSE))))</f>
        <v/>
      </c>
      <c r="I245" s="175" t="str">
        <f>IF(B245="","",IF(ISNA(VLOOKUP($B245,'B-1 Site Hedge Baseline'!$B$1:$L$257,10,FALSE)),"",(VLOOKUP($B245,'B-1 Site Hedge Baseline'!$B$1:$L$257,10,FALSE))))</f>
        <v/>
      </c>
      <c r="J245" s="175" t="str">
        <f>IF(B245="","",IF(ISNA(VLOOKUP($B245,'B-1 Site Hedge Baseline'!$B$1:$L$257,11,FALSE)),"",(VLOOKUP($B245,'B-1 Site Hedge Baseline'!$B$1:$L$257,11,FALSE))))</f>
        <v/>
      </c>
      <c r="K245" s="175" t="str">
        <f>IF(B245="","",IF(ISNA(VLOOKUP($B245,'B-1 Site Hedge Baseline'!$B$1:$U$257,13,FALSE)),"",(VLOOKUP($B245,'B-1 Site Hedge Baseline'!$B$1:$U$257,13,FALSE))))</f>
        <v/>
      </c>
      <c r="L245" s="176" t="str">
        <f>IF(B245="","",IF(ISNA(VLOOKUP($B245,'B-1 Site Hedge Baseline'!$B$1:$U$257,12,FALSE)),"",(VLOOKUP($B245,'B-1 Site Hedge Baseline'!$B$1:$U$257,12,FALSE))))</f>
        <v/>
      </c>
      <c r="M245" s="637"/>
      <c r="N245" s="171" t="str">
        <f>IFERROR(IF(B245="","",INDEX('G-6 Hedgerow Data'!$AN$3:$AZ$15,MATCH(C245,'G-6 Hedgerow Data'!$AM$3:$AM$15,0),MATCH(M245,'G-6 Hedgerow Data'!$AN$2:$AZ$2,0))),"")</f>
        <v/>
      </c>
      <c r="O245" s="172" t="str">
        <f t="shared" si="21"/>
        <v/>
      </c>
      <c r="P245" s="642" t="str">
        <f>IF(B245="","",VLOOKUP(B245,'B-1 Site Hedge Baseline'!$B$10:T490,16,FALSE))</f>
        <v/>
      </c>
      <c r="Q245" s="171" t="str">
        <f>IF(M245="","",VLOOKUP(M245,'G-6 Hedgerow Data'!$B$2:$AG$15,2,FALSE))</f>
        <v/>
      </c>
      <c r="R245" s="172" t="str">
        <f>IF(M245="","",VLOOKUP(M245,'G-6 Hedgerow Data'!$B$2:$AG$15,3,FALSE))</f>
        <v/>
      </c>
      <c r="S245" s="189"/>
      <c r="T245" s="269" t="str">
        <f>IFERROR(VLOOKUP(S245,'G-1 All Habitats'!$Z$2:$AA$9,2,FALSE),"")</f>
        <v/>
      </c>
      <c r="U245" s="186"/>
      <c r="V245" s="175" t="str">
        <f>IF(U245="","",IF(VLOOKUP(U245,'G-3 Multipliers'!$L$3:$N$6,2,FALSE)=0,"Spatial Data Missing",VLOOKUP(U245,'G-3 Multipliers'!$L$3:$N$6,2,FALSE)))</f>
        <v/>
      </c>
      <c r="W245" s="176" t="str">
        <f>IF(U245="","",IF(VLOOKUP(U245,'G-3 Multipliers'!$L$3:$N$6,3,FALSE)=0,"Spatial Data Missing",VLOOKUP(U245,'G-3 Multipliers'!$L$3:$N$6,3,FALSE)))</f>
        <v/>
      </c>
      <c r="X245" s="171" t="str">
        <f>IFERROR(IF(OR(LEFT(O245,5)="Error",LEFT(N245,5)="Error",T245="Error"),"Check Data",IF(F245&lt;R245,INDEX('G-6 Hedgerow Data'!$S$3:$AE$14,MATCH(C245,'G-6 Hedgerow Data'!$B$3:$B$14,0),MATCH(M245,'G-6 Hedgerow Data'!$S$2:$AE$2,0)),INDEX('G-6 Hedgerow Data'!$K$3:$Q$14,MATCH(M245,'G-6 Hedgerow Data'!$B$3:$B$14,0),MATCH(O245,'G-6 Hedgerow Data'!$K$2:$Q$2,0)))),"")</f>
        <v/>
      </c>
      <c r="Y245" s="261"/>
      <c r="Z245" s="261"/>
      <c r="AA245" s="179" t="str">
        <f t="shared" si="24"/>
        <v/>
      </c>
      <c r="AB245" s="262" t="str">
        <f t="shared" si="25"/>
        <v/>
      </c>
      <c r="AC245" s="263" t="str">
        <f t="shared" si="22"/>
        <v/>
      </c>
      <c r="AD245" s="239" t="str">
        <f>IF(M245="","",VLOOKUP(M245,'G-6 Hedgerow Data'!$B$3:$AG$15,31,FALSE))</f>
        <v/>
      </c>
      <c r="AE245" s="179" t="str">
        <f t="shared" si="26"/>
        <v/>
      </c>
      <c r="AF245" s="179" t="str">
        <f t="shared" si="27"/>
        <v/>
      </c>
      <c r="AG245" s="176" t="str">
        <f>IFERROR(IF(O245="","",VLOOKUP(AD245,'G-3 Multipliers'!$P$3:$Q$6,2,FALSE)),"")</f>
        <v/>
      </c>
      <c r="AH245" s="207" t="str">
        <f t="shared" si="23"/>
        <v/>
      </c>
      <c r="AI245" s="336"/>
      <c r="AJ245" s="181"/>
      <c r="AT245" s="35" t="str">
        <f>IFERROR(INDEX('G-6 Hedgerow Data'!$BJ$3:$BJ$15,MATCH(M245,'G-6 Hedgerow Data'!$B$3:$B$15,0)),"")</f>
        <v/>
      </c>
    </row>
    <row r="246" spans="2:46" ht="13.8" x14ac:dyDescent="0.25">
      <c r="B246" s="259" t="str">
        <f>'B-1 Site Hedge Baseline'!AK244</f>
        <v/>
      </c>
      <c r="C246" s="175" t="str">
        <f>IF(B246="","",IF(ISNA(VLOOKUP($B246,'B-1 Site Hedge Baseline'!$B$1:$L$257,3,FALSE)),"",(VLOOKUP($B246,'B-1 Site Hedge Baseline'!$B$1:$L$257,3,FALSE))))</f>
        <v/>
      </c>
      <c r="D246" s="175" t="str">
        <f>IF(B246="","",IF(ISNA(VLOOKUP($B246,'B-1 Site Hedge Baseline'!$B$1:$L$257,4,FALSE)),"",(VLOOKUP($B246,'B-1 Site Hedge Baseline'!$B$1:$L$257,4,FALSE))))</f>
        <v/>
      </c>
      <c r="E246" s="175" t="str">
        <f>IF(B246="","",IF(ISNA(VLOOKUP($B246,'B-1 Site Hedge Baseline'!$B$1:$L$257,5,FALSE)),"",(VLOOKUP($B246,'B-1 Site Hedge Baseline'!$B$1:$L$257,5,FALSE))))</f>
        <v/>
      </c>
      <c r="F246" s="175" t="str">
        <f>IF(B246="","",IF(ISNA(VLOOKUP($B246,'B-1 Site Hedge Baseline'!$B$1:$L$257,6,FALSE)),"",(VLOOKUP($B246,'B-1 Site Hedge Baseline'!$B$1:$L$257,6,FALSE))))</f>
        <v/>
      </c>
      <c r="G246" s="175" t="str">
        <f>IF(B246="","",IF(ISNA(VLOOKUP($B246,'B-1 Site Hedge Baseline'!$B$1:$L$257,7,FALSE)),"",(VLOOKUP($B246,'B-1 Site Hedge Baseline'!$B$1:$L$257,7,FALSE))))</f>
        <v/>
      </c>
      <c r="H246" s="175" t="str">
        <f>IF(B246="","",IF(ISNA(VLOOKUP($B246,'B-1 Site Hedge Baseline'!$B$1:$L$257,8,FALSE)),"",(VLOOKUP($B246,'B-1 Site Hedge Baseline'!$B$1:$L$257,8,FALSE))))</f>
        <v/>
      </c>
      <c r="I246" s="175" t="str">
        <f>IF(B246="","",IF(ISNA(VLOOKUP($B246,'B-1 Site Hedge Baseline'!$B$1:$L$257,10,FALSE)),"",(VLOOKUP($B246,'B-1 Site Hedge Baseline'!$B$1:$L$257,10,FALSE))))</f>
        <v/>
      </c>
      <c r="J246" s="175" t="str">
        <f>IF(B246="","",IF(ISNA(VLOOKUP($B246,'B-1 Site Hedge Baseline'!$B$1:$L$257,11,FALSE)),"",(VLOOKUP($B246,'B-1 Site Hedge Baseline'!$B$1:$L$257,11,FALSE))))</f>
        <v/>
      </c>
      <c r="K246" s="175" t="str">
        <f>IF(B246="","",IF(ISNA(VLOOKUP($B246,'B-1 Site Hedge Baseline'!$B$1:$U$257,13,FALSE)),"",(VLOOKUP($B246,'B-1 Site Hedge Baseline'!$B$1:$U$257,13,FALSE))))</f>
        <v/>
      </c>
      <c r="L246" s="176" t="str">
        <f>IF(B246="","",IF(ISNA(VLOOKUP($B246,'B-1 Site Hedge Baseline'!$B$1:$U$257,12,FALSE)),"",(VLOOKUP($B246,'B-1 Site Hedge Baseline'!$B$1:$U$257,12,FALSE))))</f>
        <v/>
      </c>
      <c r="M246" s="637"/>
      <c r="N246" s="171" t="str">
        <f>IFERROR(IF(B246="","",INDEX('G-6 Hedgerow Data'!$AN$3:$AZ$15,MATCH(C246,'G-6 Hedgerow Data'!$AM$3:$AM$15,0),MATCH(M246,'G-6 Hedgerow Data'!$AN$2:$AZ$2,0))),"")</f>
        <v/>
      </c>
      <c r="O246" s="172" t="str">
        <f t="shared" si="21"/>
        <v/>
      </c>
      <c r="P246" s="642" t="str">
        <f>IF(B246="","",VLOOKUP(B246,'B-1 Site Hedge Baseline'!$B$10:T491,16,FALSE))</f>
        <v/>
      </c>
      <c r="Q246" s="171" t="str">
        <f>IF(M246="","",VLOOKUP(M246,'G-6 Hedgerow Data'!$B$2:$AG$15,2,FALSE))</f>
        <v/>
      </c>
      <c r="R246" s="172" t="str">
        <f>IF(M246="","",VLOOKUP(M246,'G-6 Hedgerow Data'!$B$2:$AG$15,3,FALSE))</f>
        <v/>
      </c>
      <c r="S246" s="189"/>
      <c r="T246" s="269" t="str">
        <f>IFERROR(VLOOKUP(S246,'G-1 All Habitats'!$Z$2:$AA$9,2,FALSE),"")</f>
        <v/>
      </c>
      <c r="U246" s="186"/>
      <c r="V246" s="175" t="str">
        <f>IF(U246="","",IF(VLOOKUP(U246,'G-3 Multipliers'!$L$3:$N$6,2,FALSE)=0,"Spatial Data Missing",VLOOKUP(U246,'G-3 Multipliers'!$L$3:$N$6,2,FALSE)))</f>
        <v/>
      </c>
      <c r="W246" s="176" t="str">
        <f>IF(U246="","",IF(VLOOKUP(U246,'G-3 Multipliers'!$L$3:$N$6,3,FALSE)=0,"Spatial Data Missing",VLOOKUP(U246,'G-3 Multipliers'!$L$3:$N$6,3,FALSE)))</f>
        <v/>
      </c>
      <c r="X246" s="171" t="str">
        <f>IFERROR(IF(OR(LEFT(O246,5)="Error",LEFT(N246,5)="Error",T246="Error"),"Check Data",IF(F246&lt;R246,INDEX('G-6 Hedgerow Data'!$S$3:$AE$14,MATCH(C246,'G-6 Hedgerow Data'!$B$3:$B$14,0),MATCH(M246,'G-6 Hedgerow Data'!$S$2:$AE$2,0)),INDEX('G-6 Hedgerow Data'!$K$3:$Q$14,MATCH(M246,'G-6 Hedgerow Data'!$B$3:$B$14,0),MATCH(O246,'G-6 Hedgerow Data'!$K$2:$Q$2,0)))),"")</f>
        <v/>
      </c>
      <c r="Y246" s="261"/>
      <c r="Z246" s="261"/>
      <c r="AA246" s="179" t="str">
        <f t="shared" si="24"/>
        <v/>
      </c>
      <c r="AB246" s="262" t="str">
        <f t="shared" si="25"/>
        <v/>
      </c>
      <c r="AC246" s="263" t="str">
        <f t="shared" si="22"/>
        <v/>
      </c>
      <c r="AD246" s="239" t="str">
        <f>IF(M246="","",VLOOKUP(M246,'G-6 Hedgerow Data'!$B$3:$AG$15,31,FALSE))</f>
        <v/>
      </c>
      <c r="AE246" s="179" t="str">
        <f t="shared" si="26"/>
        <v/>
      </c>
      <c r="AF246" s="179" t="str">
        <f t="shared" si="27"/>
        <v/>
      </c>
      <c r="AG246" s="176" t="str">
        <f>IFERROR(IF(O246="","",VLOOKUP(AD246,'G-3 Multipliers'!$P$3:$Q$6,2,FALSE)),"")</f>
        <v/>
      </c>
      <c r="AH246" s="207" t="str">
        <f t="shared" si="23"/>
        <v/>
      </c>
      <c r="AI246" s="336"/>
      <c r="AJ246" s="181"/>
      <c r="AT246" s="35" t="str">
        <f>IFERROR(INDEX('G-6 Hedgerow Data'!$BJ$3:$BJ$15,MATCH(M246,'G-6 Hedgerow Data'!$B$3:$B$15,0)),"")</f>
        <v/>
      </c>
    </row>
    <row r="247" spans="2:46" ht="13.8" x14ac:dyDescent="0.25">
      <c r="B247" s="259" t="str">
        <f>'B-1 Site Hedge Baseline'!AK245</f>
        <v/>
      </c>
      <c r="C247" s="175" t="str">
        <f>IF(B247="","",IF(ISNA(VLOOKUP($B247,'B-1 Site Hedge Baseline'!$B$1:$L$257,3,FALSE)),"",(VLOOKUP($B247,'B-1 Site Hedge Baseline'!$B$1:$L$257,3,FALSE))))</f>
        <v/>
      </c>
      <c r="D247" s="175" t="str">
        <f>IF(B247="","",IF(ISNA(VLOOKUP($B247,'B-1 Site Hedge Baseline'!$B$1:$L$257,4,FALSE)),"",(VLOOKUP($B247,'B-1 Site Hedge Baseline'!$B$1:$L$257,4,FALSE))))</f>
        <v/>
      </c>
      <c r="E247" s="175" t="str">
        <f>IF(B247="","",IF(ISNA(VLOOKUP($B247,'B-1 Site Hedge Baseline'!$B$1:$L$257,5,FALSE)),"",(VLOOKUP($B247,'B-1 Site Hedge Baseline'!$B$1:$L$257,5,FALSE))))</f>
        <v/>
      </c>
      <c r="F247" s="175" t="str">
        <f>IF(B247="","",IF(ISNA(VLOOKUP($B247,'B-1 Site Hedge Baseline'!$B$1:$L$257,6,FALSE)),"",(VLOOKUP($B247,'B-1 Site Hedge Baseline'!$B$1:$L$257,6,FALSE))))</f>
        <v/>
      </c>
      <c r="G247" s="175" t="str">
        <f>IF(B247="","",IF(ISNA(VLOOKUP($B247,'B-1 Site Hedge Baseline'!$B$1:$L$257,7,FALSE)),"",(VLOOKUP($B247,'B-1 Site Hedge Baseline'!$B$1:$L$257,7,FALSE))))</f>
        <v/>
      </c>
      <c r="H247" s="175" t="str">
        <f>IF(B247="","",IF(ISNA(VLOOKUP($B247,'B-1 Site Hedge Baseline'!$B$1:$L$257,8,FALSE)),"",(VLOOKUP($B247,'B-1 Site Hedge Baseline'!$B$1:$L$257,8,FALSE))))</f>
        <v/>
      </c>
      <c r="I247" s="175" t="str">
        <f>IF(B247="","",IF(ISNA(VLOOKUP($B247,'B-1 Site Hedge Baseline'!$B$1:$L$257,10,FALSE)),"",(VLOOKUP($B247,'B-1 Site Hedge Baseline'!$B$1:$L$257,10,FALSE))))</f>
        <v/>
      </c>
      <c r="J247" s="175" t="str">
        <f>IF(B247="","",IF(ISNA(VLOOKUP($B247,'B-1 Site Hedge Baseline'!$B$1:$L$257,11,FALSE)),"",(VLOOKUP($B247,'B-1 Site Hedge Baseline'!$B$1:$L$257,11,FALSE))))</f>
        <v/>
      </c>
      <c r="K247" s="175" t="str">
        <f>IF(B247="","",IF(ISNA(VLOOKUP($B247,'B-1 Site Hedge Baseline'!$B$1:$U$257,13,FALSE)),"",(VLOOKUP($B247,'B-1 Site Hedge Baseline'!$B$1:$U$257,13,FALSE))))</f>
        <v/>
      </c>
      <c r="L247" s="176" t="str">
        <f>IF(B247="","",IF(ISNA(VLOOKUP($B247,'B-1 Site Hedge Baseline'!$B$1:$U$257,12,FALSE)),"",(VLOOKUP($B247,'B-1 Site Hedge Baseline'!$B$1:$U$257,12,FALSE))))</f>
        <v/>
      </c>
      <c r="M247" s="637"/>
      <c r="N247" s="171" t="str">
        <f>IFERROR(IF(B247="","",INDEX('G-6 Hedgerow Data'!$AN$3:$AZ$15,MATCH(C247,'G-6 Hedgerow Data'!$AM$3:$AM$15,0),MATCH(M247,'G-6 Hedgerow Data'!$AN$2:$AZ$2,0))),"")</f>
        <v/>
      </c>
      <c r="O247" s="172" t="str">
        <f t="shared" si="21"/>
        <v/>
      </c>
      <c r="P247" s="642" t="str">
        <f>IF(B247="","",VLOOKUP(B247,'B-1 Site Hedge Baseline'!$B$10:T492,16,FALSE))</f>
        <v/>
      </c>
      <c r="Q247" s="171" t="str">
        <f>IF(M247="","",VLOOKUP(M247,'G-6 Hedgerow Data'!$B$2:$AG$15,2,FALSE))</f>
        <v/>
      </c>
      <c r="R247" s="172" t="str">
        <f>IF(M247="","",VLOOKUP(M247,'G-6 Hedgerow Data'!$B$2:$AG$15,3,FALSE))</f>
        <v/>
      </c>
      <c r="S247" s="189"/>
      <c r="T247" s="269" t="str">
        <f>IFERROR(VLOOKUP(S247,'G-1 All Habitats'!$Z$2:$AA$9,2,FALSE),"")</f>
        <v/>
      </c>
      <c r="U247" s="186"/>
      <c r="V247" s="175" t="str">
        <f>IF(U247="","",IF(VLOOKUP(U247,'G-3 Multipliers'!$L$3:$N$6,2,FALSE)=0,"Spatial Data Missing",VLOOKUP(U247,'G-3 Multipliers'!$L$3:$N$6,2,FALSE)))</f>
        <v/>
      </c>
      <c r="W247" s="176" t="str">
        <f>IF(U247="","",IF(VLOOKUP(U247,'G-3 Multipliers'!$L$3:$N$6,3,FALSE)=0,"Spatial Data Missing",VLOOKUP(U247,'G-3 Multipliers'!$L$3:$N$6,3,FALSE)))</f>
        <v/>
      </c>
      <c r="X247" s="171" t="str">
        <f>IFERROR(IF(OR(LEFT(O247,5)="Error",LEFT(N247,5)="Error",T247="Error"),"Check Data",IF(F247&lt;R247,INDEX('G-6 Hedgerow Data'!$S$3:$AE$14,MATCH(C247,'G-6 Hedgerow Data'!$B$3:$B$14,0),MATCH(M247,'G-6 Hedgerow Data'!$S$2:$AE$2,0)),INDEX('G-6 Hedgerow Data'!$K$3:$Q$14,MATCH(M247,'G-6 Hedgerow Data'!$B$3:$B$14,0),MATCH(O247,'G-6 Hedgerow Data'!$K$2:$Q$2,0)))),"")</f>
        <v/>
      </c>
      <c r="Y247" s="261"/>
      <c r="Z247" s="261"/>
      <c r="AA247" s="179" t="str">
        <f t="shared" si="24"/>
        <v/>
      </c>
      <c r="AB247" s="262" t="str">
        <f t="shared" si="25"/>
        <v/>
      </c>
      <c r="AC247" s="263" t="str">
        <f t="shared" si="22"/>
        <v/>
      </c>
      <c r="AD247" s="239" t="str">
        <f>IF(M247="","",VLOOKUP(M247,'G-6 Hedgerow Data'!$B$3:$AG$15,31,FALSE))</f>
        <v/>
      </c>
      <c r="AE247" s="179" t="str">
        <f t="shared" si="26"/>
        <v/>
      </c>
      <c r="AF247" s="179" t="str">
        <f t="shared" si="27"/>
        <v/>
      </c>
      <c r="AG247" s="176" t="str">
        <f>IFERROR(IF(O247="","",VLOOKUP(AD247,'G-3 Multipliers'!$P$3:$Q$6,2,FALSE)),"")</f>
        <v/>
      </c>
      <c r="AH247" s="207" t="str">
        <f t="shared" si="23"/>
        <v/>
      </c>
      <c r="AI247" s="336"/>
      <c r="AJ247" s="181"/>
      <c r="AT247" s="35" t="str">
        <f>IFERROR(INDEX('G-6 Hedgerow Data'!$BJ$3:$BJ$15,MATCH(M247,'G-6 Hedgerow Data'!$B$3:$B$15,0)),"")</f>
        <v/>
      </c>
    </row>
    <row r="248" spans="2:46" ht="13.8" x14ac:dyDescent="0.25">
      <c r="B248" s="259" t="str">
        <f>'B-1 Site Hedge Baseline'!AK246</f>
        <v/>
      </c>
      <c r="C248" s="175" t="str">
        <f>IF(B248="","",IF(ISNA(VLOOKUP($B248,'B-1 Site Hedge Baseline'!$B$1:$L$257,3,FALSE)),"",(VLOOKUP($B248,'B-1 Site Hedge Baseline'!$B$1:$L$257,3,FALSE))))</f>
        <v/>
      </c>
      <c r="D248" s="175" t="str">
        <f>IF(B248="","",IF(ISNA(VLOOKUP($B248,'B-1 Site Hedge Baseline'!$B$1:$L$257,4,FALSE)),"",(VLOOKUP($B248,'B-1 Site Hedge Baseline'!$B$1:$L$257,4,FALSE))))</f>
        <v/>
      </c>
      <c r="E248" s="175" t="str">
        <f>IF(B248="","",IF(ISNA(VLOOKUP($B248,'B-1 Site Hedge Baseline'!$B$1:$L$257,5,FALSE)),"",(VLOOKUP($B248,'B-1 Site Hedge Baseline'!$B$1:$L$257,5,FALSE))))</f>
        <v/>
      </c>
      <c r="F248" s="175" t="str">
        <f>IF(B248="","",IF(ISNA(VLOOKUP($B248,'B-1 Site Hedge Baseline'!$B$1:$L$257,6,FALSE)),"",(VLOOKUP($B248,'B-1 Site Hedge Baseline'!$B$1:$L$257,6,FALSE))))</f>
        <v/>
      </c>
      <c r="G248" s="175" t="str">
        <f>IF(B248="","",IF(ISNA(VLOOKUP($B248,'B-1 Site Hedge Baseline'!$B$1:$L$257,7,FALSE)),"",(VLOOKUP($B248,'B-1 Site Hedge Baseline'!$B$1:$L$257,7,FALSE))))</f>
        <v/>
      </c>
      <c r="H248" s="175" t="str">
        <f>IF(B248="","",IF(ISNA(VLOOKUP($B248,'B-1 Site Hedge Baseline'!$B$1:$L$257,8,FALSE)),"",(VLOOKUP($B248,'B-1 Site Hedge Baseline'!$B$1:$L$257,8,FALSE))))</f>
        <v/>
      </c>
      <c r="I248" s="175" t="str">
        <f>IF(B248="","",IF(ISNA(VLOOKUP($B248,'B-1 Site Hedge Baseline'!$B$1:$L$257,10,FALSE)),"",(VLOOKUP($B248,'B-1 Site Hedge Baseline'!$B$1:$L$257,10,FALSE))))</f>
        <v/>
      </c>
      <c r="J248" s="175" t="str">
        <f>IF(B248="","",IF(ISNA(VLOOKUP($B248,'B-1 Site Hedge Baseline'!$B$1:$L$257,11,FALSE)),"",(VLOOKUP($B248,'B-1 Site Hedge Baseline'!$B$1:$L$257,11,FALSE))))</f>
        <v/>
      </c>
      <c r="K248" s="175" t="str">
        <f>IF(B248="","",IF(ISNA(VLOOKUP($B248,'B-1 Site Hedge Baseline'!$B$1:$U$257,13,FALSE)),"",(VLOOKUP($B248,'B-1 Site Hedge Baseline'!$B$1:$U$257,13,FALSE))))</f>
        <v/>
      </c>
      <c r="L248" s="176" t="str">
        <f>IF(B248="","",IF(ISNA(VLOOKUP($B248,'B-1 Site Hedge Baseline'!$B$1:$U$257,12,FALSE)),"",(VLOOKUP($B248,'B-1 Site Hedge Baseline'!$B$1:$U$257,12,FALSE))))</f>
        <v/>
      </c>
      <c r="M248" s="637"/>
      <c r="N248" s="171" t="str">
        <f>IFERROR(IF(B248="","",INDEX('G-6 Hedgerow Data'!$AN$3:$AZ$15,MATCH(C248,'G-6 Hedgerow Data'!$AM$3:$AM$15,0),MATCH(M248,'G-6 Hedgerow Data'!$AN$2:$AZ$2,0))),"")</f>
        <v/>
      </c>
      <c r="O248" s="172" t="str">
        <f t="shared" si="21"/>
        <v/>
      </c>
      <c r="P248" s="642" t="str">
        <f>IF(B248="","",VLOOKUP(B248,'B-1 Site Hedge Baseline'!$B$10:T493,16,FALSE))</f>
        <v/>
      </c>
      <c r="Q248" s="171" t="str">
        <f>IF(M248="","",VLOOKUP(M248,'G-6 Hedgerow Data'!$B$2:$AG$15,2,FALSE))</f>
        <v/>
      </c>
      <c r="R248" s="172" t="str">
        <f>IF(M248="","",VLOOKUP(M248,'G-6 Hedgerow Data'!$B$2:$AG$15,3,FALSE))</f>
        <v/>
      </c>
      <c r="S248" s="189"/>
      <c r="T248" s="269" t="str">
        <f>IFERROR(VLOOKUP(S248,'G-1 All Habitats'!$Z$2:$AA$9,2,FALSE),"")</f>
        <v/>
      </c>
      <c r="U248" s="186"/>
      <c r="V248" s="175" t="str">
        <f>IF(U248="","",IF(VLOOKUP(U248,'G-3 Multipliers'!$L$3:$N$6,2,FALSE)=0,"Spatial Data Missing",VLOOKUP(U248,'G-3 Multipliers'!$L$3:$N$6,2,FALSE)))</f>
        <v/>
      </c>
      <c r="W248" s="176" t="str">
        <f>IF(U248="","",IF(VLOOKUP(U248,'G-3 Multipliers'!$L$3:$N$6,3,FALSE)=0,"Spatial Data Missing",VLOOKUP(U248,'G-3 Multipliers'!$L$3:$N$6,3,FALSE)))</f>
        <v/>
      </c>
      <c r="X248" s="171" t="str">
        <f>IFERROR(IF(OR(LEFT(O248,5)="Error",LEFT(N248,5)="Error",T248="Error"),"Check Data",IF(F248&lt;R248,INDEX('G-6 Hedgerow Data'!$S$3:$AE$14,MATCH(C248,'G-6 Hedgerow Data'!$B$3:$B$14,0),MATCH(M248,'G-6 Hedgerow Data'!$S$2:$AE$2,0)),INDEX('G-6 Hedgerow Data'!$K$3:$Q$14,MATCH(M248,'G-6 Hedgerow Data'!$B$3:$B$14,0),MATCH(O248,'G-6 Hedgerow Data'!$K$2:$Q$2,0)))),"")</f>
        <v/>
      </c>
      <c r="Y248" s="261"/>
      <c r="Z248" s="261"/>
      <c r="AA248" s="179" t="str">
        <f t="shared" si="24"/>
        <v/>
      </c>
      <c r="AB248" s="262" t="str">
        <f t="shared" si="25"/>
        <v/>
      </c>
      <c r="AC248" s="263" t="str">
        <f t="shared" si="22"/>
        <v/>
      </c>
      <c r="AD248" s="239" t="str">
        <f>IF(M248="","",VLOOKUP(M248,'G-6 Hedgerow Data'!$B$3:$AG$15,31,FALSE))</f>
        <v/>
      </c>
      <c r="AE248" s="179" t="str">
        <f t="shared" si="26"/>
        <v/>
      </c>
      <c r="AF248" s="179" t="str">
        <f t="shared" si="27"/>
        <v/>
      </c>
      <c r="AG248" s="176" t="str">
        <f>IFERROR(IF(O248="","",VLOOKUP(AD248,'G-3 Multipliers'!$P$3:$Q$6,2,FALSE)),"")</f>
        <v/>
      </c>
      <c r="AH248" s="207" t="str">
        <f t="shared" si="23"/>
        <v/>
      </c>
      <c r="AI248" s="336"/>
      <c r="AJ248" s="181"/>
      <c r="AT248" s="35" t="str">
        <f>IFERROR(INDEX('G-6 Hedgerow Data'!$BJ$3:$BJ$15,MATCH(M248,'G-6 Hedgerow Data'!$B$3:$B$15,0)),"")</f>
        <v/>
      </c>
    </row>
    <row r="249" spans="2:46" ht="13.8" x14ac:dyDescent="0.25">
      <c r="B249" s="259" t="str">
        <f>'B-1 Site Hedge Baseline'!AK247</f>
        <v/>
      </c>
      <c r="C249" s="175" t="str">
        <f>IF(B249="","",IF(ISNA(VLOOKUP($B249,'B-1 Site Hedge Baseline'!$B$1:$L$257,3,FALSE)),"",(VLOOKUP($B249,'B-1 Site Hedge Baseline'!$B$1:$L$257,3,FALSE))))</f>
        <v/>
      </c>
      <c r="D249" s="175" t="str">
        <f>IF(B249="","",IF(ISNA(VLOOKUP($B249,'B-1 Site Hedge Baseline'!$B$1:$L$257,4,FALSE)),"",(VLOOKUP($B249,'B-1 Site Hedge Baseline'!$B$1:$L$257,4,FALSE))))</f>
        <v/>
      </c>
      <c r="E249" s="175" t="str">
        <f>IF(B249="","",IF(ISNA(VLOOKUP($B249,'B-1 Site Hedge Baseline'!$B$1:$L$257,5,FALSE)),"",(VLOOKUP($B249,'B-1 Site Hedge Baseline'!$B$1:$L$257,5,FALSE))))</f>
        <v/>
      </c>
      <c r="F249" s="175" t="str">
        <f>IF(B249="","",IF(ISNA(VLOOKUP($B249,'B-1 Site Hedge Baseline'!$B$1:$L$257,6,FALSE)),"",(VLOOKUP($B249,'B-1 Site Hedge Baseline'!$B$1:$L$257,6,FALSE))))</f>
        <v/>
      </c>
      <c r="G249" s="175" t="str">
        <f>IF(B249="","",IF(ISNA(VLOOKUP($B249,'B-1 Site Hedge Baseline'!$B$1:$L$257,7,FALSE)),"",(VLOOKUP($B249,'B-1 Site Hedge Baseline'!$B$1:$L$257,7,FALSE))))</f>
        <v/>
      </c>
      <c r="H249" s="175" t="str">
        <f>IF(B249="","",IF(ISNA(VLOOKUP($B249,'B-1 Site Hedge Baseline'!$B$1:$L$257,8,FALSE)),"",(VLOOKUP($B249,'B-1 Site Hedge Baseline'!$B$1:$L$257,8,FALSE))))</f>
        <v/>
      </c>
      <c r="I249" s="175" t="str">
        <f>IF(B249="","",IF(ISNA(VLOOKUP($B249,'B-1 Site Hedge Baseline'!$B$1:$L$257,10,FALSE)),"",(VLOOKUP($B249,'B-1 Site Hedge Baseline'!$B$1:$L$257,10,FALSE))))</f>
        <v/>
      </c>
      <c r="J249" s="175" t="str">
        <f>IF(B249="","",IF(ISNA(VLOOKUP($B249,'B-1 Site Hedge Baseline'!$B$1:$L$257,11,FALSE)),"",(VLOOKUP($B249,'B-1 Site Hedge Baseline'!$B$1:$L$257,11,FALSE))))</f>
        <v/>
      </c>
      <c r="K249" s="175" t="str">
        <f>IF(B249="","",IF(ISNA(VLOOKUP($B249,'B-1 Site Hedge Baseline'!$B$1:$U$257,13,FALSE)),"",(VLOOKUP($B249,'B-1 Site Hedge Baseline'!$B$1:$U$257,13,FALSE))))</f>
        <v/>
      </c>
      <c r="L249" s="176" t="str">
        <f>IF(B249="","",IF(ISNA(VLOOKUP($B249,'B-1 Site Hedge Baseline'!$B$1:$U$257,12,FALSE)),"",(VLOOKUP($B249,'B-1 Site Hedge Baseline'!$B$1:$U$257,12,FALSE))))</f>
        <v/>
      </c>
      <c r="M249" s="637"/>
      <c r="N249" s="171" t="str">
        <f>IFERROR(IF(B249="","",INDEX('G-6 Hedgerow Data'!$AN$3:$AZ$15,MATCH(C249,'G-6 Hedgerow Data'!$AM$3:$AM$15,0),MATCH(M249,'G-6 Hedgerow Data'!$AN$2:$AZ$2,0))),"")</f>
        <v/>
      </c>
      <c r="O249" s="172" t="str">
        <f t="shared" si="21"/>
        <v/>
      </c>
      <c r="P249" s="642" t="str">
        <f>IF(B249="","",VLOOKUP(B249,'B-1 Site Hedge Baseline'!$B$10:T494,16,FALSE))</f>
        <v/>
      </c>
      <c r="Q249" s="171" t="str">
        <f>IF(M249="","",VLOOKUP(M249,'G-6 Hedgerow Data'!$B$2:$AG$15,2,FALSE))</f>
        <v/>
      </c>
      <c r="R249" s="172" t="str">
        <f>IF(M249="","",VLOOKUP(M249,'G-6 Hedgerow Data'!$B$2:$AG$15,3,FALSE))</f>
        <v/>
      </c>
      <c r="S249" s="189"/>
      <c r="T249" s="269" t="str">
        <f>IFERROR(VLOOKUP(S249,'G-1 All Habitats'!$Z$2:$AA$9,2,FALSE),"")</f>
        <v/>
      </c>
      <c r="U249" s="186"/>
      <c r="V249" s="175" t="str">
        <f>IF(U249="","",IF(VLOOKUP(U249,'G-3 Multipliers'!$L$3:$N$6,2,FALSE)=0,"Spatial Data Missing",VLOOKUP(U249,'G-3 Multipliers'!$L$3:$N$6,2,FALSE)))</f>
        <v/>
      </c>
      <c r="W249" s="176" t="str">
        <f>IF(U249="","",IF(VLOOKUP(U249,'G-3 Multipliers'!$L$3:$N$6,3,FALSE)=0,"Spatial Data Missing",VLOOKUP(U249,'G-3 Multipliers'!$L$3:$N$6,3,FALSE)))</f>
        <v/>
      </c>
      <c r="X249" s="171" t="str">
        <f>IFERROR(IF(OR(LEFT(O249,5)="Error",LEFT(N249,5)="Error",T249="Error"),"Check Data",IF(F249&lt;R249,INDEX('G-6 Hedgerow Data'!$S$3:$AE$14,MATCH(C249,'G-6 Hedgerow Data'!$B$3:$B$14,0),MATCH(M249,'G-6 Hedgerow Data'!$S$2:$AE$2,0)),INDEX('G-6 Hedgerow Data'!$K$3:$Q$14,MATCH(M249,'G-6 Hedgerow Data'!$B$3:$B$14,0),MATCH(O249,'G-6 Hedgerow Data'!$K$2:$Q$2,0)))),"")</f>
        <v/>
      </c>
      <c r="Y249" s="261"/>
      <c r="Z249" s="261"/>
      <c r="AA249" s="179" t="str">
        <f t="shared" si="24"/>
        <v/>
      </c>
      <c r="AB249" s="262" t="str">
        <f t="shared" si="25"/>
        <v/>
      </c>
      <c r="AC249" s="263" t="str">
        <f t="shared" si="22"/>
        <v/>
      </c>
      <c r="AD249" s="239" t="str">
        <f>IF(M249="","",VLOOKUP(M249,'G-6 Hedgerow Data'!$B$3:$AG$15,31,FALSE))</f>
        <v/>
      </c>
      <c r="AE249" s="179" t="str">
        <f t="shared" si="26"/>
        <v/>
      </c>
      <c r="AF249" s="179" t="str">
        <f t="shared" si="27"/>
        <v/>
      </c>
      <c r="AG249" s="176" t="str">
        <f>IFERROR(IF(O249="","",VLOOKUP(AD249,'G-3 Multipliers'!$P$3:$Q$6,2,FALSE)),"")</f>
        <v/>
      </c>
      <c r="AH249" s="207" t="str">
        <f t="shared" si="23"/>
        <v/>
      </c>
      <c r="AI249" s="336"/>
      <c r="AJ249" s="181"/>
      <c r="AT249" s="35" t="str">
        <f>IFERROR(INDEX('G-6 Hedgerow Data'!$BJ$3:$BJ$15,MATCH(M249,'G-6 Hedgerow Data'!$B$3:$B$15,0)),"")</f>
        <v/>
      </c>
    </row>
    <row r="250" spans="2:46" ht="13.8" x14ac:dyDescent="0.25">
      <c r="B250" s="259" t="str">
        <f>'B-1 Site Hedge Baseline'!AK248</f>
        <v/>
      </c>
      <c r="C250" s="175" t="str">
        <f>IF(B250="","",IF(ISNA(VLOOKUP($B250,'B-1 Site Hedge Baseline'!$B$1:$L$257,3,FALSE)),"",(VLOOKUP($B250,'B-1 Site Hedge Baseline'!$B$1:$L$257,3,FALSE))))</f>
        <v/>
      </c>
      <c r="D250" s="175" t="str">
        <f>IF(B250="","",IF(ISNA(VLOOKUP($B250,'B-1 Site Hedge Baseline'!$B$1:$L$257,4,FALSE)),"",(VLOOKUP($B250,'B-1 Site Hedge Baseline'!$B$1:$L$257,4,FALSE))))</f>
        <v/>
      </c>
      <c r="E250" s="175" t="str">
        <f>IF(B250="","",IF(ISNA(VLOOKUP($B250,'B-1 Site Hedge Baseline'!$B$1:$L$257,5,FALSE)),"",(VLOOKUP($B250,'B-1 Site Hedge Baseline'!$B$1:$L$257,5,FALSE))))</f>
        <v/>
      </c>
      <c r="F250" s="175" t="str">
        <f>IF(B250="","",IF(ISNA(VLOOKUP($B250,'B-1 Site Hedge Baseline'!$B$1:$L$257,6,FALSE)),"",(VLOOKUP($B250,'B-1 Site Hedge Baseline'!$B$1:$L$257,6,FALSE))))</f>
        <v/>
      </c>
      <c r="G250" s="175" t="str">
        <f>IF(B250="","",IF(ISNA(VLOOKUP($B250,'B-1 Site Hedge Baseline'!$B$1:$L$257,7,FALSE)),"",(VLOOKUP($B250,'B-1 Site Hedge Baseline'!$B$1:$L$257,7,FALSE))))</f>
        <v/>
      </c>
      <c r="H250" s="175" t="str">
        <f>IF(B250="","",IF(ISNA(VLOOKUP($B250,'B-1 Site Hedge Baseline'!$B$1:$L$257,8,FALSE)),"",(VLOOKUP($B250,'B-1 Site Hedge Baseline'!$B$1:$L$257,8,FALSE))))</f>
        <v/>
      </c>
      <c r="I250" s="175" t="str">
        <f>IF(B250="","",IF(ISNA(VLOOKUP($B250,'B-1 Site Hedge Baseline'!$B$1:$L$257,10,FALSE)),"",(VLOOKUP($B250,'B-1 Site Hedge Baseline'!$B$1:$L$257,10,FALSE))))</f>
        <v/>
      </c>
      <c r="J250" s="175" t="str">
        <f>IF(B250="","",IF(ISNA(VLOOKUP($B250,'B-1 Site Hedge Baseline'!$B$1:$L$257,11,FALSE)),"",(VLOOKUP($B250,'B-1 Site Hedge Baseline'!$B$1:$L$257,11,FALSE))))</f>
        <v/>
      </c>
      <c r="K250" s="175" t="str">
        <f>IF(B250="","",IF(ISNA(VLOOKUP($B250,'B-1 Site Hedge Baseline'!$B$1:$U$257,13,FALSE)),"",(VLOOKUP($B250,'B-1 Site Hedge Baseline'!$B$1:$U$257,13,FALSE))))</f>
        <v/>
      </c>
      <c r="L250" s="176" t="str">
        <f>IF(B250="","",IF(ISNA(VLOOKUP($B250,'B-1 Site Hedge Baseline'!$B$1:$U$257,12,FALSE)),"",(VLOOKUP($B250,'B-1 Site Hedge Baseline'!$B$1:$U$257,12,FALSE))))</f>
        <v/>
      </c>
      <c r="M250" s="637"/>
      <c r="N250" s="171" t="str">
        <f>IFERROR(IF(B250="","",INDEX('G-6 Hedgerow Data'!$AN$3:$AZ$15,MATCH(C250,'G-6 Hedgerow Data'!$AM$3:$AM$15,0),MATCH(M250,'G-6 Hedgerow Data'!$AN$2:$AZ$2,0))),"")</f>
        <v/>
      </c>
      <c r="O250" s="172" t="str">
        <f t="shared" si="21"/>
        <v/>
      </c>
      <c r="P250" s="642" t="str">
        <f>IF(B250="","",VLOOKUP(B250,'B-1 Site Hedge Baseline'!$B$10:T495,16,FALSE))</f>
        <v/>
      </c>
      <c r="Q250" s="171" t="str">
        <f>IF(M250="","",VLOOKUP(M250,'G-6 Hedgerow Data'!$B$2:$AG$15,2,FALSE))</f>
        <v/>
      </c>
      <c r="R250" s="172" t="str">
        <f>IF(M250="","",VLOOKUP(M250,'G-6 Hedgerow Data'!$B$2:$AG$15,3,FALSE))</f>
        <v/>
      </c>
      <c r="S250" s="189"/>
      <c r="T250" s="269" t="str">
        <f>IFERROR(VLOOKUP(S250,'G-1 All Habitats'!$Z$2:$AA$9,2,FALSE),"")</f>
        <v/>
      </c>
      <c r="U250" s="186"/>
      <c r="V250" s="175" t="str">
        <f>IF(U250="","",IF(VLOOKUP(U250,'G-3 Multipliers'!$L$3:$N$6,2,FALSE)=0,"Spatial Data Missing",VLOOKUP(U250,'G-3 Multipliers'!$L$3:$N$6,2,FALSE)))</f>
        <v/>
      </c>
      <c r="W250" s="176" t="str">
        <f>IF(U250="","",IF(VLOOKUP(U250,'G-3 Multipliers'!$L$3:$N$6,3,FALSE)=0,"Spatial Data Missing",VLOOKUP(U250,'G-3 Multipliers'!$L$3:$N$6,3,FALSE)))</f>
        <v/>
      </c>
      <c r="X250" s="171" t="str">
        <f>IFERROR(IF(OR(LEFT(O250,5)="Error",LEFT(N250,5)="Error",T250="Error"),"Check Data",IF(F250&lt;R250,INDEX('G-6 Hedgerow Data'!$S$3:$AE$14,MATCH(C250,'G-6 Hedgerow Data'!$B$3:$B$14,0),MATCH(M250,'G-6 Hedgerow Data'!$S$2:$AE$2,0)),INDEX('G-6 Hedgerow Data'!$K$3:$Q$14,MATCH(M250,'G-6 Hedgerow Data'!$B$3:$B$14,0),MATCH(O250,'G-6 Hedgerow Data'!$K$2:$Q$2,0)))),"")</f>
        <v/>
      </c>
      <c r="Y250" s="261"/>
      <c r="Z250" s="261"/>
      <c r="AA250" s="179" t="str">
        <f t="shared" si="24"/>
        <v/>
      </c>
      <c r="AB250" s="262" t="str">
        <f t="shared" si="25"/>
        <v/>
      </c>
      <c r="AC250" s="263" t="str">
        <f t="shared" si="22"/>
        <v/>
      </c>
      <c r="AD250" s="239" t="str">
        <f>IF(M250="","",VLOOKUP(M250,'G-6 Hedgerow Data'!$B$3:$AG$15,31,FALSE))</f>
        <v/>
      </c>
      <c r="AE250" s="179" t="str">
        <f t="shared" si="26"/>
        <v/>
      </c>
      <c r="AF250" s="179" t="str">
        <f t="shared" si="27"/>
        <v/>
      </c>
      <c r="AG250" s="176" t="str">
        <f>IFERROR(IF(O250="","",VLOOKUP(AD250,'G-3 Multipliers'!$P$3:$Q$6,2,FALSE)),"")</f>
        <v/>
      </c>
      <c r="AH250" s="207" t="str">
        <f t="shared" si="23"/>
        <v/>
      </c>
      <c r="AI250" s="336"/>
      <c r="AJ250" s="181"/>
      <c r="AT250" s="35" t="str">
        <f>IFERROR(INDEX('G-6 Hedgerow Data'!$BJ$3:$BJ$15,MATCH(M250,'G-6 Hedgerow Data'!$B$3:$B$15,0)),"")</f>
        <v/>
      </c>
    </row>
    <row r="251" spans="2:46" ht="13.8" x14ac:dyDescent="0.25">
      <c r="B251" s="259" t="str">
        <f>'B-1 Site Hedge Baseline'!AK249</f>
        <v/>
      </c>
      <c r="C251" s="175" t="str">
        <f>IF(B251="","",IF(ISNA(VLOOKUP($B251,'B-1 Site Hedge Baseline'!$B$1:$L$257,3,FALSE)),"",(VLOOKUP($B251,'B-1 Site Hedge Baseline'!$B$1:$L$257,3,FALSE))))</f>
        <v/>
      </c>
      <c r="D251" s="175" t="str">
        <f>IF(B251="","",IF(ISNA(VLOOKUP($B251,'B-1 Site Hedge Baseline'!$B$1:$L$257,4,FALSE)),"",(VLOOKUP($B251,'B-1 Site Hedge Baseline'!$B$1:$L$257,4,FALSE))))</f>
        <v/>
      </c>
      <c r="E251" s="175" t="str">
        <f>IF(B251="","",IF(ISNA(VLOOKUP($B251,'B-1 Site Hedge Baseline'!$B$1:$L$257,5,FALSE)),"",(VLOOKUP($B251,'B-1 Site Hedge Baseline'!$B$1:$L$257,5,FALSE))))</f>
        <v/>
      </c>
      <c r="F251" s="175" t="str">
        <f>IF(B251="","",IF(ISNA(VLOOKUP($B251,'B-1 Site Hedge Baseline'!$B$1:$L$257,6,FALSE)),"",(VLOOKUP($B251,'B-1 Site Hedge Baseline'!$B$1:$L$257,6,FALSE))))</f>
        <v/>
      </c>
      <c r="G251" s="175" t="str">
        <f>IF(B251="","",IF(ISNA(VLOOKUP($B251,'B-1 Site Hedge Baseline'!$B$1:$L$257,7,FALSE)),"",(VLOOKUP($B251,'B-1 Site Hedge Baseline'!$B$1:$L$257,7,FALSE))))</f>
        <v/>
      </c>
      <c r="H251" s="175" t="str">
        <f>IF(B251="","",IF(ISNA(VLOOKUP($B251,'B-1 Site Hedge Baseline'!$B$1:$L$257,8,FALSE)),"",(VLOOKUP($B251,'B-1 Site Hedge Baseline'!$B$1:$L$257,8,FALSE))))</f>
        <v/>
      </c>
      <c r="I251" s="175" t="str">
        <f>IF(B251="","",IF(ISNA(VLOOKUP($B251,'B-1 Site Hedge Baseline'!$B$1:$L$257,10,FALSE)),"",(VLOOKUP($B251,'B-1 Site Hedge Baseline'!$B$1:$L$257,10,FALSE))))</f>
        <v/>
      </c>
      <c r="J251" s="175" t="str">
        <f>IF(B251="","",IF(ISNA(VLOOKUP($B251,'B-1 Site Hedge Baseline'!$B$1:$L$257,11,FALSE)),"",(VLOOKUP($B251,'B-1 Site Hedge Baseline'!$B$1:$L$257,11,FALSE))))</f>
        <v/>
      </c>
      <c r="K251" s="175" t="str">
        <f>IF(B251="","",IF(ISNA(VLOOKUP($B251,'B-1 Site Hedge Baseline'!$B$1:$U$257,13,FALSE)),"",(VLOOKUP($B251,'B-1 Site Hedge Baseline'!$B$1:$U$257,13,FALSE))))</f>
        <v/>
      </c>
      <c r="L251" s="176" t="str">
        <f>IF(B251="","",IF(ISNA(VLOOKUP($B251,'B-1 Site Hedge Baseline'!$B$1:$U$257,12,FALSE)),"",(VLOOKUP($B251,'B-1 Site Hedge Baseline'!$B$1:$U$257,12,FALSE))))</f>
        <v/>
      </c>
      <c r="M251" s="637"/>
      <c r="N251" s="171" t="str">
        <f>IFERROR(IF(B251="","",INDEX('G-6 Hedgerow Data'!$AN$3:$AZ$15,MATCH(C251,'G-6 Hedgerow Data'!$AM$3:$AM$15,0),MATCH(M251,'G-6 Hedgerow Data'!$AN$2:$AZ$2,0))),"")</f>
        <v/>
      </c>
      <c r="O251" s="172" t="str">
        <f t="shared" si="21"/>
        <v/>
      </c>
      <c r="P251" s="642" t="str">
        <f>IF(B251="","",VLOOKUP(B251,'B-1 Site Hedge Baseline'!$B$10:T496,16,FALSE))</f>
        <v/>
      </c>
      <c r="Q251" s="171" t="str">
        <f>IF(M251="","",VLOOKUP(M251,'G-6 Hedgerow Data'!$B$2:$AG$15,2,FALSE))</f>
        <v/>
      </c>
      <c r="R251" s="172" t="str">
        <f>IF(M251="","",VLOOKUP(M251,'G-6 Hedgerow Data'!$B$2:$AG$15,3,FALSE))</f>
        <v/>
      </c>
      <c r="S251" s="189"/>
      <c r="T251" s="269" t="str">
        <f>IFERROR(VLOOKUP(S251,'G-1 All Habitats'!$Z$2:$AA$9,2,FALSE),"")</f>
        <v/>
      </c>
      <c r="U251" s="186"/>
      <c r="V251" s="175" t="str">
        <f>IF(U251="","",IF(VLOOKUP(U251,'G-3 Multipliers'!$L$3:$N$6,2,FALSE)=0,"Spatial Data Missing",VLOOKUP(U251,'G-3 Multipliers'!$L$3:$N$6,2,FALSE)))</f>
        <v/>
      </c>
      <c r="W251" s="176" t="str">
        <f>IF(U251="","",IF(VLOOKUP(U251,'G-3 Multipliers'!$L$3:$N$6,3,FALSE)=0,"Spatial Data Missing",VLOOKUP(U251,'G-3 Multipliers'!$L$3:$N$6,3,FALSE)))</f>
        <v/>
      </c>
      <c r="X251" s="171" t="str">
        <f>IFERROR(IF(OR(LEFT(O251,5)="Error",LEFT(N251,5)="Error",T251="Error"),"Check Data",IF(F251&lt;R251,INDEX('G-6 Hedgerow Data'!$S$3:$AE$14,MATCH(C251,'G-6 Hedgerow Data'!$B$3:$B$14,0),MATCH(M251,'G-6 Hedgerow Data'!$S$2:$AE$2,0)),INDEX('G-6 Hedgerow Data'!$K$3:$Q$14,MATCH(M251,'G-6 Hedgerow Data'!$B$3:$B$14,0),MATCH(O251,'G-6 Hedgerow Data'!$K$2:$Q$2,0)))),"")</f>
        <v/>
      </c>
      <c r="Y251" s="261"/>
      <c r="Z251" s="261"/>
      <c r="AA251" s="179" t="str">
        <f t="shared" si="24"/>
        <v/>
      </c>
      <c r="AB251" s="262" t="str">
        <f t="shared" si="25"/>
        <v/>
      </c>
      <c r="AC251" s="263" t="str">
        <f t="shared" si="22"/>
        <v/>
      </c>
      <c r="AD251" s="239" t="str">
        <f>IF(M251="","",VLOOKUP(M251,'G-6 Hedgerow Data'!$B$3:$AG$15,31,FALSE))</f>
        <v/>
      </c>
      <c r="AE251" s="179" t="str">
        <f t="shared" si="26"/>
        <v/>
      </c>
      <c r="AF251" s="179" t="str">
        <f t="shared" si="27"/>
        <v/>
      </c>
      <c r="AG251" s="176" t="str">
        <f>IFERROR(IF(O251="","",VLOOKUP(AD251,'G-3 Multipliers'!$P$3:$Q$6,2,FALSE)),"")</f>
        <v/>
      </c>
      <c r="AH251" s="207" t="str">
        <f t="shared" si="23"/>
        <v/>
      </c>
      <c r="AI251" s="336"/>
      <c r="AJ251" s="181"/>
      <c r="AT251" s="35" t="str">
        <f>IFERROR(INDEX('G-6 Hedgerow Data'!$BJ$3:$BJ$15,MATCH(M251,'G-6 Hedgerow Data'!$B$3:$B$15,0)),"")</f>
        <v/>
      </c>
    </row>
    <row r="252" spans="2:46" ht="13.8" x14ac:dyDescent="0.25">
      <c r="B252" s="259" t="str">
        <f>'B-1 Site Hedge Baseline'!AK250</f>
        <v/>
      </c>
      <c r="C252" s="175" t="str">
        <f>IF(B252="","",IF(ISNA(VLOOKUP($B252,'B-1 Site Hedge Baseline'!$B$1:$L$257,3,FALSE)),"",(VLOOKUP($B252,'B-1 Site Hedge Baseline'!$B$1:$L$257,3,FALSE))))</f>
        <v/>
      </c>
      <c r="D252" s="175" t="str">
        <f>IF(B252="","",IF(ISNA(VLOOKUP($B252,'B-1 Site Hedge Baseline'!$B$1:$L$257,4,FALSE)),"",(VLOOKUP($B252,'B-1 Site Hedge Baseline'!$B$1:$L$257,4,FALSE))))</f>
        <v/>
      </c>
      <c r="E252" s="175" t="str">
        <f>IF(B252="","",IF(ISNA(VLOOKUP($B252,'B-1 Site Hedge Baseline'!$B$1:$L$257,5,FALSE)),"",(VLOOKUP($B252,'B-1 Site Hedge Baseline'!$B$1:$L$257,5,FALSE))))</f>
        <v/>
      </c>
      <c r="F252" s="175" t="str">
        <f>IF(B252="","",IF(ISNA(VLOOKUP($B252,'B-1 Site Hedge Baseline'!$B$1:$L$257,6,FALSE)),"",(VLOOKUP($B252,'B-1 Site Hedge Baseline'!$B$1:$L$257,6,FALSE))))</f>
        <v/>
      </c>
      <c r="G252" s="175" t="str">
        <f>IF(B252="","",IF(ISNA(VLOOKUP($B252,'B-1 Site Hedge Baseline'!$B$1:$L$257,7,FALSE)),"",(VLOOKUP($B252,'B-1 Site Hedge Baseline'!$B$1:$L$257,7,FALSE))))</f>
        <v/>
      </c>
      <c r="H252" s="175" t="str">
        <f>IF(B252="","",IF(ISNA(VLOOKUP($B252,'B-1 Site Hedge Baseline'!$B$1:$L$257,8,FALSE)),"",(VLOOKUP($B252,'B-1 Site Hedge Baseline'!$B$1:$L$257,8,FALSE))))</f>
        <v/>
      </c>
      <c r="I252" s="175" t="str">
        <f>IF(B252="","",IF(ISNA(VLOOKUP($B252,'B-1 Site Hedge Baseline'!$B$1:$L$257,10,FALSE)),"",(VLOOKUP($B252,'B-1 Site Hedge Baseline'!$B$1:$L$257,10,FALSE))))</f>
        <v/>
      </c>
      <c r="J252" s="175" t="str">
        <f>IF(B252="","",IF(ISNA(VLOOKUP($B252,'B-1 Site Hedge Baseline'!$B$1:$L$257,11,FALSE)),"",(VLOOKUP($B252,'B-1 Site Hedge Baseline'!$B$1:$L$257,11,FALSE))))</f>
        <v/>
      </c>
      <c r="K252" s="175" t="str">
        <f>IF(B252="","",IF(ISNA(VLOOKUP($B252,'B-1 Site Hedge Baseline'!$B$1:$U$257,13,FALSE)),"",(VLOOKUP($B252,'B-1 Site Hedge Baseline'!$B$1:$U$257,13,FALSE))))</f>
        <v/>
      </c>
      <c r="L252" s="176" t="str">
        <f>IF(B252="","",IF(ISNA(VLOOKUP($B252,'B-1 Site Hedge Baseline'!$B$1:$U$257,12,FALSE)),"",(VLOOKUP($B252,'B-1 Site Hedge Baseline'!$B$1:$U$257,12,FALSE))))</f>
        <v/>
      </c>
      <c r="M252" s="637"/>
      <c r="N252" s="171" t="str">
        <f>IFERROR(IF(B252="","",INDEX('G-6 Hedgerow Data'!$AN$3:$AZ$15,MATCH(C252,'G-6 Hedgerow Data'!$AM$3:$AM$15,0),MATCH(M252,'G-6 Hedgerow Data'!$AN$2:$AZ$2,0))),"")</f>
        <v/>
      </c>
      <c r="O252" s="172" t="str">
        <f t="shared" si="21"/>
        <v/>
      </c>
      <c r="P252" s="642" t="str">
        <f>IF(B252="","",VLOOKUP(B252,'B-1 Site Hedge Baseline'!$B$10:T497,16,FALSE))</f>
        <v/>
      </c>
      <c r="Q252" s="171" t="str">
        <f>IF(M252="","",VLOOKUP(M252,'G-6 Hedgerow Data'!$B$2:$AG$15,2,FALSE))</f>
        <v/>
      </c>
      <c r="R252" s="172" t="str">
        <f>IF(M252="","",VLOOKUP(M252,'G-6 Hedgerow Data'!$B$2:$AG$15,3,FALSE))</f>
        <v/>
      </c>
      <c r="S252" s="189"/>
      <c r="T252" s="269" t="str">
        <f>IFERROR(VLOOKUP(S252,'G-1 All Habitats'!$Z$2:$AA$9,2,FALSE),"")</f>
        <v/>
      </c>
      <c r="U252" s="186"/>
      <c r="V252" s="175" t="str">
        <f>IF(U252="","",IF(VLOOKUP(U252,'G-3 Multipliers'!$L$3:$N$6,2,FALSE)=0,"Spatial Data Missing",VLOOKUP(U252,'G-3 Multipliers'!$L$3:$N$6,2,FALSE)))</f>
        <v/>
      </c>
      <c r="W252" s="176" t="str">
        <f>IF(U252="","",IF(VLOOKUP(U252,'G-3 Multipliers'!$L$3:$N$6,3,FALSE)=0,"Spatial Data Missing",VLOOKUP(U252,'G-3 Multipliers'!$L$3:$N$6,3,FALSE)))</f>
        <v/>
      </c>
      <c r="X252" s="171" t="str">
        <f>IFERROR(IF(OR(LEFT(O252,5)="Error",LEFT(N252,5)="Error",T252="Error"),"Check Data",IF(F252&lt;R252,INDEX('G-6 Hedgerow Data'!$S$3:$AE$14,MATCH(C252,'G-6 Hedgerow Data'!$B$3:$B$14,0),MATCH(M252,'G-6 Hedgerow Data'!$S$2:$AE$2,0)),INDEX('G-6 Hedgerow Data'!$K$3:$Q$14,MATCH(M252,'G-6 Hedgerow Data'!$B$3:$B$14,0),MATCH(O252,'G-6 Hedgerow Data'!$K$2:$Q$2,0)))),"")</f>
        <v/>
      </c>
      <c r="Y252" s="261"/>
      <c r="Z252" s="261"/>
      <c r="AA252" s="179" t="str">
        <f t="shared" si="24"/>
        <v/>
      </c>
      <c r="AB252" s="262" t="str">
        <f t="shared" si="25"/>
        <v/>
      </c>
      <c r="AC252" s="263" t="str">
        <f t="shared" si="22"/>
        <v/>
      </c>
      <c r="AD252" s="239" t="str">
        <f>IF(M252="","",VLOOKUP(M252,'G-6 Hedgerow Data'!$B$3:$AG$15,31,FALSE))</f>
        <v/>
      </c>
      <c r="AE252" s="179" t="str">
        <f t="shared" si="26"/>
        <v/>
      </c>
      <c r="AF252" s="179" t="str">
        <f t="shared" si="27"/>
        <v/>
      </c>
      <c r="AG252" s="176" t="str">
        <f>IFERROR(IF(O252="","",VLOOKUP(AD252,'G-3 Multipliers'!$P$3:$Q$6,2,FALSE)),"")</f>
        <v/>
      </c>
      <c r="AH252" s="207" t="str">
        <f t="shared" si="23"/>
        <v/>
      </c>
      <c r="AI252" s="336"/>
      <c r="AJ252" s="181"/>
      <c r="AT252" s="35" t="str">
        <f>IFERROR(INDEX('G-6 Hedgerow Data'!$BJ$3:$BJ$15,MATCH(M252,'G-6 Hedgerow Data'!$B$3:$B$15,0)),"")</f>
        <v/>
      </c>
    </row>
    <row r="253" spans="2:46" ht="13.8" x14ac:dyDescent="0.25">
      <c r="B253" s="259" t="str">
        <f>'B-1 Site Hedge Baseline'!AK251</f>
        <v/>
      </c>
      <c r="C253" s="175" t="str">
        <f>IF(B253="","",IF(ISNA(VLOOKUP($B253,'B-1 Site Hedge Baseline'!$B$1:$L$257,3,FALSE)),"",(VLOOKUP($B253,'B-1 Site Hedge Baseline'!$B$1:$L$257,3,FALSE))))</f>
        <v/>
      </c>
      <c r="D253" s="175" t="str">
        <f>IF(B253="","",IF(ISNA(VLOOKUP($B253,'B-1 Site Hedge Baseline'!$B$1:$L$257,4,FALSE)),"",(VLOOKUP($B253,'B-1 Site Hedge Baseline'!$B$1:$L$257,4,FALSE))))</f>
        <v/>
      </c>
      <c r="E253" s="175" t="str">
        <f>IF(B253="","",IF(ISNA(VLOOKUP($B253,'B-1 Site Hedge Baseline'!$B$1:$L$257,5,FALSE)),"",(VLOOKUP($B253,'B-1 Site Hedge Baseline'!$B$1:$L$257,5,FALSE))))</f>
        <v/>
      </c>
      <c r="F253" s="175" t="str">
        <f>IF(B253="","",IF(ISNA(VLOOKUP($B253,'B-1 Site Hedge Baseline'!$B$1:$L$257,6,FALSE)),"",(VLOOKUP($B253,'B-1 Site Hedge Baseline'!$B$1:$L$257,6,FALSE))))</f>
        <v/>
      </c>
      <c r="G253" s="175" t="str">
        <f>IF(B253="","",IF(ISNA(VLOOKUP($B253,'B-1 Site Hedge Baseline'!$B$1:$L$257,7,FALSE)),"",(VLOOKUP($B253,'B-1 Site Hedge Baseline'!$B$1:$L$257,7,FALSE))))</f>
        <v/>
      </c>
      <c r="H253" s="175" t="str">
        <f>IF(B253="","",IF(ISNA(VLOOKUP($B253,'B-1 Site Hedge Baseline'!$B$1:$L$257,8,FALSE)),"",(VLOOKUP($B253,'B-1 Site Hedge Baseline'!$B$1:$L$257,8,FALSE))))</f>
        <v/>
      </c>
      <c r="I253" s="175" t="str">
        <f>IF(B253="","",IF(ISNA(VLOOKUP($B253,'B-1 Site Hedge Baseline'!$B$1:$L$257,10,FALSE)),"",(VLOOKUP($B253,'B-1 Site Hedge Baseline'!$B$1:$L$257,10,FALSE))))</f>
        <v/>
      </c>
      <c r="J253" s="175" t="str">
        <f>IF(B253="","",IF(ISNA(VLOOKUP($B253,'B-1 Site Hedge Baseline'!$B$1:$L$257,11,FALSE)),"",(VLOOKUP($B253,'B-1 Site Hedge Baseline'!$B$1:$L$257,11,FALSE))))</f>
        <v/>
      </c>
      <c r="K253" s="175" t="str">
        <f>IF(B253="","",IF(ISNA(VLOOKUP($B253,'B-1 Site Hedge Baseline'!$B$1:$U$257,13,FALSE)),"",(VLOOKUP($B253,'B-1 Site Hedge Baseline'!$B$1:$U$257,13,FALSE))))</f>
        <v/>
      </c>
      <c r="L253" s="176" t="str">
        <f>IF(B253="","",IF(ISNA(VLOOKUP($B253,'B-1 Site Hedge Baseline'!$B$1:$U$257,12,FALSE)),"",(VLOOKUP($B253,'B-1 Site Hedge Baseline'!$B$1:$U$257,12,FALSE))))</f>
        <v/>
      </c>
      <c r="M253" s="637"/>
      <c r="N253" s="171" t="str">
        <f>IFERROR(IF(B253="","",INDEX('G-6 Hedgerow Data'!$AN$3:$AZ$15,MATCH(C253,'G-6 Hedgerow Data'!$AM$3:$AM$15,0),MATCH(M253,'G-6 Hedgerow Data'!$AN$2:$AZ$2,0))),"")</f>
        <v/>
      </c>
      <c r="O253" s="172" t="str">
        <f t="shared" si="21"/>
        <v/>
      </c>
      <c r="P253" s="642" t="str">
        <f>IF(B253="","",VLOOKUP(B253,'B-1 Site Hedge Baseline'!$B$10:T498,16,FALSE))</f>
        <v/>
      </c>
      <c r="Q253" s="171" t="str">
        <f>IF(M253="","",VLOOKUP(M253,'G-6 Hedgerow Data'!$B$2:$AG$15,2,FALSE))</f>
        <v/>
      </c>
      <c r="R253" s="172" t="str">
        <f>IF(M253="","",VLOOKUP(M253,'G-6 Hedgerow Data'!$B$2:$AG$15,3,FALSE))</f>
        <v/>
      </c>
      <c r="S253" s="189"/>
      <c r="T253" s="269" t="str">
        <f>IFERROR(VLOOKUP(S253,'G-1 All Habitats'!$Z$2:$AA$9,2,FALSE),"")</f>
        <v/>
      </c>
      <c r="U253" s="186"/>
      <c r="V253" s="175" t="str">
        <f>IF(U253="","",IF(VLOOKUP(U253,'G-3 Multipliers'!$L$3:$N$6,2,FALSE)=0,"Spatial Data Missing",VLOOKUP(U253,'G-3 Multipliers'!$L$3:$N$6,2,FALSE)))</f>
        <v/>
      </c>
      <c r="W253" s="176" t="str">
        <f>IF(U253="","",IF(VLOOKUP(U253,'G-3 Multipliers'!$L$3:$N$6,3,FALSE)=0,"Spatial Data Missing",VLOOKUP(U253,'G-3 Multipliers'!$L$3:$N$6,3,FALSE)))</f>
        <v/>
      </c>
      <c r="X253" s="171" t="str">
        <f>IFERROR(IF(OR(LEFT(O253,5)="Error",LEFT(N253,5)="Error",T253="Error"),"Check Data",IF(F253&lt;R253,INDEX('G-6 Hedgerow Data'!$S$3:$AE$14,MATCH(C253,'G-6 Hedgerow Data'!$B$3:$B$14,0),MATCH(M253,'G-6 Hedgerow Data'!$S$2:$AE$2,0)),INDEX('G-6 Hedgerow Data'!$K$3:$Q$14,MATCH(M253,'G-6 Hedgerow Data'!$B$3:$B$14,0),MATCH(O253,'G-6 Hedgerow Data'!$K$2:$Q$2,0)))),"")</f>
        <v/>
      </c>
      <c r="Y253" s="261"/>
      <c r="Z253" s="261"/>
      <c r="AA253" s="179" t="str">
        <f t="shared" si="24"/>
        <v/>
      </c>
      <c r="AB253" s="262" t="str">
        <f t="shared" si="25"/>
        <v/>
      </c>
      <c r="AC253" s="263" t="str">
        <f t="shared" si="22"/>
        <v/>
      </c>
      <c r="AD253" s="239" t="str">
        <f>IF(M253="","",VLOOKUP(M253,'G-6 Hedgerow Data'!$B$3:$AG$15,31,FALSE))</f>
        <v/>
      </c>
      <c r="AE253" s="179" t="str">
        <f t="shared" si="26"/>
        <v/>
      </c>
      <c r="AF253" s="179" t="str">
        <f t="shared" si="27"/>
        <v/>
      </c>
      <c r="AG253" s="176" t="str">
        <f>IFERROR(IF(O253="","",VLOOKUP(AD253,'G-3 Multipliers'!$P$3:$Q$6,2,FALSE)),"")</f>
        <v/>
      </c>
      <c r="AH253" s="207" t="str">
        <f t="shared" si="23"/>
        <v/>
      </c>
      <c r="AI253" s="336"/>
      <c r="AJ253" s="181"/>
      <c r="AT253" s="35" t="str">
        <f>IFERROR(INDEX('G-6 Hedgerow Data'!$BJ$3:$BJ$15,MATCH(M253,'G-6 Hedgerow Data'!$B$3:$B$15,0)),"")</f>
        <v/>
      </c>
    </row>
    <row r="254" spans="2:46" ht="13.8" x14ac:dyDescent="0.25">
      <c r="B254" s="259" t="str">
        <f>'B-1 Site Hedge Baseline'!AK252</f>
        <v/>
      </c>
      <c r="C254" s="175" t="str">
        <f>IF(B254="","",IF(ISNA(VLOOKUP($B254,'B-1 Site Hedge Baseline'!$B$1:$L$257,3,FALSE)),"",(VLOOKUP($B254,'B-1 Site Hedge Baseline'!$B$1:$L$257,3,FALSE))))</f>
        <v/>
      </c>
      <c r="D254" s="175" t="str">
        <f>IF(B254="","",IF(ISNA(VLOOKUP($B254,'B-1 Site Hedge Baseline'!$B$1:$L$257,4,FALSE)),"",(VLOOKUP($B254,'B-1 Site Hedge Baseline'!$B$1:$L$257,4,FALSE))))</f>
        <v/>
      </c>
      <c r="E254" s="175" t="str">
        <f>IF(B254="","",IF(ISNA(VLOOKUP($B254,'B-1 Site Hedge Baseline'!$B$1:$L$257,5,FALSE)),"",(VLOOKUP($B254,'B-1 Site Hedge Baseline'!$B$1:$L$257,5,FALSE))))</f>
        <v/>
      </c>
      <c r="F254" s="175" t="str">
        <f>IF(B254="","",IF(ISNA(VLOOKUP($B254,'B-1 Site Hedge Baseline'!$B$1:$L$257,6,FALSE)),"",(VLOOKUP($B254,'B-1 Site Hedge Baseline'!$B$1:$L$257,6,FALSE))))</f>
        <v/>
      </c>
      <c r="G254" s="175" t="str">
        <f>IF(B254="","",IF(ISNA(VLOOKUP($B254,'B-1 Site Hedge Baseline'!$B$1:$L$257,7,FALSE)),"",(VLOOKUP($B254,'B-1 Site Hedge Baseline'!$B$1:$L$257,7,FALSE))))</f>
        <v/>
      </c>
      <c r="H254" s="175" t="str">
        <f>IF(B254="","",IF(ISNA(VLOOKUP($B254,'B-1 Site Hedge Baseline'!$B$1:$L$257,8,FALSE)),"",(VLOOKUP($B254,'B-1 Site Hedge Baseline'!$B$1:$L$257,8,FALSE))))</f>
        <v/>
      </c>
      <c r="I254" s="175" t="str">
        <f>IF(B254="","",IF(ISNA(VLOOKUP($B254,'B-1 Site Hedge Baseline'!$B$1:$L$257,10,FALSE)),"",(VLOOKUP($B254,'B-1 Site Hedge Baseline'!$B$1:$L$257,10,FALSE))))</f>
        <v/>
      </c>
      <c r="J254" s="175" t="str">
        <f>IF(B254="","",IF(ISNA(VLOOKUP($B254,'B-1 Site Hedge Baseline'!$B$1:$L$257,11,FALSE)),"",(VLOOKUP($B254,'B-1 Site Hedge Baseline'!$B$1:$L$257,11,FALSE))))</f>
        <v/>
      </c>
      <c r="K254" s="175" t="str">
        <f>IF(B254="","",IF(ISNA(VLOOKUP($B254,'B-1 Site Hedge Baseline'!$B$1:$U$257,13,FALSE)),"",(VLOOKUP($B254,'B-1 Site Hedge Baseline'!$B$1:$U$257,13,FALSE))))</f>
        <v/>
      </c>
      <c r="L254" s="176" t="str">
        <f>IF(B254="","",IF(ISNA(VLOOKUP($B254,'B-1 Site Hedge Baseline'!$B$1:$U$257,12,FALSE)),"",(VLOOKUP($B254,'B-1 Site Hedge Baseline'!$B$1:$U$257,12,FALSE))))</f>
        <v/>
      </c>
      <c r="M254" s="637"/>
      <c r="N254" s="171" t="str">
        <f>IFERROR(IF(B254="","",INDEX('G-6 Hedgerow Data'!$AN$3:$AZ$15,MATCH(C254,'G-6 Hedgerow Data'!$AM$3:$AM$15,0),MATCH(M254,'G-6 Hedgerow Data'!$AN$2:$AZ$2,0))),"")</f>
        <v/>
      </c>
      <c r="O254" s="172" t="str">
        <f t="shared" si="21"/>
        <v/>
      </c>
      <c r="P254" s="642" t="str">
        <f>IF(B254="","",VLOOKUP(B254,'B-1 Site Hedge Baseline'!$B$10:T499,16,FALSE))</f>
        <v/>
      </c>
      <c r="Q254" s="171" t="str">
        <f>IF(M254="","",VLOOKUP(M254,'G-6 Hedgerow Data'!$B$2:$AG$15,2,FALSE))</f>
        <v/>
      </c>
      <c r="R254" s="172" t="str">
        <f>IF(M254="","",VLOOKUP(M254,'G-6 Hedgerow Data'!$B$2:$AG$15,3,FALSE))</f>
        <v/>
      </c>
      <c r="S254" s="189"/>
      <c r="T254" s="269" t="str">
        <f>IFERROR(VLOOKUP(S254,'G-1 All Habitats'!$Z$2:$AA$9,2,FALSE),"")</f>
        <v/>
      </c>
      <c r="U254" s="186"/>
      <c r="V254" s="175" t="str">
        <f>IF(U254="","",IF(VLOOKUP(U254,'G-3 Multipliers'!$L$3:$N$6,2,FALSE)=0,"Spatial Data Missing",VLOOKUP(U254,'G-3 Multipliers'!$L$3:$N$6,2,FALSE)))</f>
        <v/>
      </c>
      <c r="W254" s="176" t="str">
        <f>IF(U254="","",IF(VLOOKUP(U254,'G-3 Multipliers'!$L$3:$N$6,3,FALSE)=0,"Spatial Data Missing",VLOOKUP(U254,'G-3 Multipliers'!$L$3:$N$6,3,FALSE)))</f>
        <v/>
      </c>
      <c r="X254" s="171" t="str">
        <f>IFERROR(IF(OR(LEFT(O254,5)="Error",LEFT(N254,5)="Error",T254="Error"),"Check Data",IF(F254&lt;R254,INDEX('G-6 Hedgerow Data'!$S$3:$AE$14,MATCH(C254,'G-6 Hedgerow Data'!$B$3:$B$14,0),MATCH(M254,'G-6 Hedgerow Data'!$S$2:$AE$2,0)),INDEX('G-6 Hedgerow Data'!$K$3:$Q$14,MATCH(M254,'G-6 Hedgerow Data'!$B$3:$B$14,0),MATCH(O254,'G-6 Hedgerow Data'!$K$2:$Q$2,0)))),"")</f>
        <v/>
      </c>
      <c r="Y254" s="261"/>
      <c r="Z254" s="261"/>
      <c r="AA254" s="179" t="str">
        <f t="shared" si="24"/>
        <v/>
      </c>
      <c r="AB254" s="262" t="str">
        <f t="shared" si="25"/>
        <v/>
      </c>
      <c r="AC254" s="263" t="str">
        <f t="shared" si="22"/>
        <v/>
      </c>
      <c r="AD254" s="239" t="str">
        <f>IF(M254="","",VLOOKUP(M254,'G-6 Hedgerow Data'!$B$3:$AG$15,31,FALSE))</f>
        <v/>
      </c>
      <c r="AE254" s="179" t="str">
        <f t="shared" si="26"/>
        <v/>
      </c>
      <c r="AF254" s="179" t="str">
        <f t="shared" si="27"/>
        <v/>
      </c>
      <c r="AG254" s="176" t="str">
        <f>IFERROR(IF(O254="","",VLOOKUP(AD254,'G-3 Multipliers'!$P$3:$Q$6,2,FALSE)),"")</f>
        <v/>
      </c>
      <c r="AH254" s="207" t="str">
        <f t="shared" si="23"/>
        <v/>
      </c>
      <c r="AI254" s="336"/>
      <c r="AJ254" s="181"/>
      <c r="AT254" s="35" t="str">
        <f>IFERROR(INDEX('G-6 Hedgerow Data'!$BJ$3:$BJ$15,MATCH(M254,'G-6 Hedgerow Data'!$B$3:$B$15,0)),"")</f>
        <v/>
      </c>
    </row>
    <row r="255" spans="2:46" ht="13.8" x14ac:dyDescent="0.25">
      <c r="B255" s="259" t="str">
        <f>'B-1 Site Hedge Baseline'!AK253</f>
        <v/>
      </c>
      <c r="C255" s="175" t="str">
        <f>IF(B255="","",IF(ISNA(VLOOKUP($B255,'B-1 Site Hedge Baseline'!$B$1:$L$257,3,FALSE)),"",(VLOOKUP($B255,'B-1 Site Hedge Baseline'!$B$1:$L$257,3,FALSE))))</f>
        <v/>
      </c>
      <c r="D255" s="175" t="str">
        <f>IF(B255="","",IF(ISNA(VLOOKUP($B255,'B-1 Site Hedge Baseline'!$B$1:$L$257,4,FALSE)),"",(VLOOKUP($B255,'B-1 Site Hedge Baseline'!$B$1:$L$257,4,FALSE))))</f>
        <v/>
      </c>
      <c r="E255" s="175" t="str">
        <f>IF(B255="","",IF(ISNA(VLOOKUP($B255,'B-1 Site Hedge Baseline'!$B$1:$L$257,5,FALSE)),"",(VLOOKUP($B255,'B-1 Site Hedge Baseline'!$B$1:$L$257,5,FALSE))))</f>
        <v/>
      </c>
      <c r="F255" s="175" t="str">
        <f>IF(B255="","",IF(ISNA(VLOOKUP($B255,'B-1 Site Hedge Baseline'!$B$1:$L$257,6,FALSE)),"",(VLOOKUP($B255,'B-1 Site Hedge Baseline'!$B$1:$L$257,6,FALSE))))</f>
        <v/>
      </c>
      <c r="G255" s="175" t="str">
        <f>IF(B255="","",IF(ISNA(VLOOKUP($B255,'B-1 Site Hedge Baseline'!$B$1:$L$257,7,FALSE)),"",(VLOOKUP($B255,'B-1 Site Hedge Baseline'!$B$1:$L$257,7,FALSE))))</f>
        <v/>
      </c>
      <c r="H255" s="175" t="str">
        <f>IF(B255="","",IF(ISNA(VLOOKUP($B255,'B-1 Site Hedge Baseline'!$B$1:$L$257,8,FALSE)),"",(VLOOKUP($B255,'B-1 Site Hedge Baseline'!$B$1:$L$257,8,FALSE))))</f>
        <v/>
      </c>
      <c r="I255" s="175" t="str">
        <f>IF(B255="","",IF(ISNA(VLOOKUP($B255,'B-1 Site Hedge Baseline'!$B$1:$L$257,10,FALSE)),"",(VLOOKUP($B255,'B-1 Site Hedge Baseline'!$B$1:$L$257,10,FALSE))))</f>
        <v/>
      </c>
      <c r="J255" s="175" t="str">
        <f>IF(B255="","",IF(ISNA(VLOOKUP($B255,'B-1 Site Hedge Baseline'!$B$1:$L$257,11,FALSE)),"",(VLOOKUP($B255,'B-1 Site Hedge Baseline'!$B$1:$L$257,11,FALSE))))</f>
        <v/>
      </c>
      <c r="K255" s="175" t="str">
        <f>IF(B255="","",IF(ISNA(VLOOKUP($B255,'B-1 Site Hedge Baseline'!$B$1:$U$257,13,FALSE)),"",(VLOOKUP($B255,'B-1 Site Hedge Baseline'!$B$1:$U$257,13,FALSE))))</f>
        <v/>
      </c>
      <c r="L255" s="176" t="str">
        <f>IF(B255="","",IF(ISNA(VLOOKUP($B255,'B-1 Site Hedge Baseline'!$B$1:$U$257,12,FALSE)),"",(VLOOKUP($B255,'B-1 Site Hedge Baseline'!$B$1:$U$257,12,FALSE))))</f>
        <v/>
      </c>
      <c r="M255" s="637"/>
      <c r="N255" s="171" t="str">
        <f>IFERROR(IF(B255="","",INDEX('G-6 Hedgerow Data'!$AN$3:$AZ$15,MATCH(C255,'G-6 Hedgerow Data'!$AM$3:$AM$15,0),MATCH(M255,'G-6 Hedgerow Data'!$AN$2:$AZ$2,0))),"")</f>
        <v/>
      </c>
      <c r="O255" s="172" t="str">
        <f t="shared" si="21"/>
        <v/>
      </c>
      <c r="P255" s="642" t="str">
        <f>IF(B255="","",VLOOKUP(B255,'B-1 Site Hedge Baseline'!$B$10:T500,16,FALSE))</f>
        <v/>
      </c>
      <c r="Q255" s="171" t="str">
        <f>IF(M255="","",VLOOKUP(M255,'G-6 Hedgerow Data'!$B$2:$AG$15,2,FALSE))</f>
        <v/>
      </c>
      <c r="R255" s="172" t="str">
        <f>IF(M255="","",VLOOKUP(M255,'G-6 Hedgerow Data'!$B$2:$AG$15,3,FALSE))</f>
        <v/>
      </c>
      <c r="S255" s="189"/>
      <c r="T255" s="269" t="str">
        <f>IFERROR(VLOOKUP(S255,'G-1 All Habitats'!$Z$2:$AA$9,2,FALSE),"")</f>
        <v/>
      </c>
      <c r="U255" s="186"/>
      <c r="V255" s="175" t="str">
        <f>IF(U255="","",IF(VLOOKUP(U255,'G-3 Multipliers'!$L$3:$N$6,2,FALSE)=0,"Spatial Data Missing",VLOOKUP(U255,'G-3 Multipliers'!$L$3:$N$6,2,FALSE)))</f>
        <v/>
      </c>
      <c r="W255" s="176" t="str">
        <f>IF(U255="","",IF(VLOOKUP(U255,'G-3 Multipliers'!$L$3:$N$6,3,FALSE)=0,"Spatial Data Missing",VLOOKUP(U255,'G-3 Multipliers'!$L$3:$N$6,3,FALSE)))</f>
        <v/>
      </c>
      <c r="X255" s="171" t="str">
        <f>IFERROR(IF(OR(LEFT(O255,5)="Error",LEFT(N255,5)="Error",T255="Error"),"Check Data",IF(F255&lt;R255,INDEX('G-6 Hedgerow Data'!$S$3:$AE$14,MATCH(C255,'G-6 Hedgerow Data'!$B$3:$B$14,0),MATCH(M255,'G-6 Hedgerow Data'!$S$2:$AE$2,0)),INDEX('G-6 Hedgerow Data'!$K$3:$Q$14,MATCH(M255,'G-6 Hedgerow Data'!$B$3:$B$14,0),MATCH(O255,'G-6 Hedgerow Data'!$K$2:$Q$2,0)))),"")</f>
        <v/>
      </c>
      <c r="Y255" s="261"/>
      <c r="Z255" s="261"/>
      <c r="AA255" s="179" t="str">
        <f t="shared" si="24"/>
        <v/>
      </c>
      <c r="AB255" s="262" t="str">
        <f t="shared" si="25"/>
        <v/>
      </c>
      <c r="AC255" s="263" t="str">
        <f t="shared" si="22"/>
        <v/>
      </c>
      <c r="AD255" s="239" t="str">
        <f>IF(M255="","",VLOOKUP(M255,'G-6 Hedgerow Data'!$B$3:$AG$15,31,FALSE))</f>
        <v/>
      </c>
      <c r="AE255" s="179" t="str">
        <f t="shared" si="26"/>
        <v/>
      </c>
      <c r="AF255" s="179" t="str">
        <f t="shared" si="27"/>
        <v/>
      </c>
      <c r="AG255" s="176" t="str">
        <f>IFERROR(IF(O255="","",VLOOKUP(AD255,'G-3 Multipliers'!$P$3:$Q$6,2,FALSE)),"")</f>
        <v/>
      </c>
      <c r="AH255" s="207" t="str">
        <f t="shared" si="23"/>
        <v/>
      </c>
      <c r="AI255" s="336"/>
      <c r="AJ255" s="181"/>
      <c r="AT255" s="35" t="str">
        <f>IFERROR(INDEX('G-6 Hedgerow Data'!$BJ$3:$BJ$15,MATCH(M255,'G-6 Hedgerow Data'!$B$3:$B$15,0)),"")</f>
        <v/>
      </c>
    </row>
    <row r="256" spans="2:46" ht="13.8" x14ac:dyDescent="0.25">
      <c r="B256" s="259" t="str">
        <f>'B-1 Site Hedge Baseline'!AK254</f>
        <v/>
      </c>
      <c r="C256" s="175" t="str">
        <f>IF(B256="","",IF(ISNA(VLOOKUP($B256,'B-1 Site Hedge Baseline'!$B$1:$L$257,3,FALSE)),"",(VLOOKUP($B256,'B-1 Site Hedge Baseline'!$B$1:$L$257,3,FALSE))))</f>
        <v/>
      </c>
      <c r="D256" s="175" t="str">
        <f>IF(B256="","",IF(ISNA(VLOOKUP($B256,'B-1 Site Hedge Baseline'!$B$1:$L$257,4,FALSE)),"",(VLOOKUP($B256,'B-1 Site Hedge Baseline'!$B$1:$L$257,4,FALSE))))</f>
        <v/>
      </c>
      <c r="E256" s="175" t="str">
        <f>IF(B256="","",IF(ISNA(VLOOKUP($B256,'B-1 Site Hedge Baseline'!$B$1:$L$257,5,FALSE)),"",(VLOOKUP($B256,'B-1 Site Hedge Baseline'!$B$1:$L$257,5,FALSE))))</f>
        <v/>
      </c>
      <c r="F256" s="175" t="str">
        <f>IF(B256="","",IF(ISNA(VLOOKUP($B256,'B-1 Site Hedge Baseline'!$B$1:$L$257,6,FALSE)),"",(VLOOKUP($B256,'B-1 Site Hedge Baseline'!$B$1:$L$257,6,FALSE))))</f>
        <v/>
      </c>
      <c r="G256" s="175" t="str">
        <f>IF(B256="","",IF(ISNA(VLOOKUP($B256,'B-1 Site Hedge Baseline'!$B$1:$L$257,7,FALSE)),"",(VLOOKUP($B256,'B-1 Site Hedge Baseline'!$B$1:$L$257,7,FALSE))))</f>
        <v/>
      </c>
      <c r="H256" s="175" t="str">
        <f>IF(B256="","",IF(ISNA(VLOOKUP($B256,'B-1 Site Hedge Baseline'!$B$1:$L$257,8,FALSE)),"",(VLOOKUP($B256,'B-1 Site Hedge Baseline'!$B$1:$L$257,8,FALSE))))</f>
        <v/>
      </c>
      <c r="I256" s="175" t="str">
        <f>IF(B256="","",IF(ISNA(VLOOKUP($B256,'B-1 Site Hedge Baseline'!$B$1:$L$257,10,FALSE)),"",(VLOOKUP($B256,'B-1 Site Hedge Baseline'!$B$1:$L$257,10,FALSE))))</f>
        <v/>
      </c>
      <c r="J256" s="175" t="str">
        <f>IF(B256="","",IF(ISNA(VLOOKUP($B256,'B-1 Site Hedge Baseline'!$B$1:$L$257,11,FALSE)),"",(VLOOKUP($B256,'B-1 Site Hedge Baseline'!$B$1:$L$257,11,FALSE))))</f>
        <v/>
      </c>
      <c r="K256" s="175" t="str">
        <f>IF(B256="","",IF(ISNA(VLOOKUP($B256,'B-1 Site Hedge Baseline'!$B$1:$U$257,13,FALSE)),"",(VLOOKUP($B256,'B-1 Site Hedge Baseline'!$B$1:$U$257,13,FALSE))))</f>
        <v/>
      </c>
      <c r="L256" s="176" t="str">
        <f>IF(B256="","",IF(ISNA(VLOOKUP($B256,'B-1 Site Hedge Baseline'!$B$1:$U$257,12,FALSE)),"",(VLOOKUP($B256,'B-1 Site Hedge Baseline'!$B$1:$U$257,12,FALSE))))</f>
        <v/>
      </c>
      <c r="M256" s="637"/>
      <c r="N256" s="171" t="str">
        <f>IFERROR(IF(B256="","",INDEX('G-6 Hedgerow Data'!$AN$3:$AZ$15,MATCH(C256,'G-6 Hedgerow Data'!$AM$3:$AM$15,0),MATCH(M256,'G-6 Hedgerow Data'!$AN$2:$AZ$2,0))),"")</f>
        <v/>
      </c>
      <c r="O256" s="172" t="str">
        <f t="shared" si="21"/>
        <v/>
      </c>
      <c r="P256" s="642" t="str">
        <f>IF(B256="","",VLOOKUP(B256,'B-1 Site Hedge Baseline'!$B$10:T501,16,FALSE))</f>
        <v/>
      </c>
      <c r="Q256" s="171" t="str">
        <f>IF(M256="","",VLOOKUP(M256,'G-6 Hedgerow Data'!$B$2:$AG$15,2,FALSE))</f>
        <v/>
      </c>
      <c r="R256" s="172" t="str">
        <f>IF(M256="","",VLOOKUP(M256,'G-6 Hedgerow Data'!$B$2:$AG$15,3,FALSE))</f>
        <v/>
      </c>
      <c r="S256" s="189"/>
      <c r="T256" s="269" t="str">
        <f>IFERROR(VLOOKUP(S256,'G-1 All Habitats'!$Z$2:$AA$9,2,FALSE),"")</f>
        <v/>
      </c>
      <c r="U256" s="186"/>
      <c r="V256" s="175" t="str">
        <f>IF(U256="","",IF(VLOOKUP(U256,'G-3 Multipliers'!$L$3:$N$6,2,FALSE)=0,"Spatial Data Missing",VLOOKUP(U256,'G-3 Multipliers'!$L$3:$N$6,2,FALSE)))</f>
        <v/>
      </c>
      <c r="W256" s="176" t="str">
        <f>IF(U256="","",IF(VLOOKUP(U256,'G-3 Multipliers'!$L$3:$N$6,3,FALSE)=0,"Spatial Data Missing",VLOOKUP(U256,'G-3 Multipliers'!$L$3:$N$6,3,FALSE)))</f>
        <v/>
      </c>
      <c r="X256" s="171" t="str">
        <f>IFERROR(IF(OR(LEFT(O256,5)="Error",LEFT(N256,5)="Error",T256="Error"),"Check Data",IF(F256&lt;R256,INDEX('G-6 Hedgerow Data'!$S$3:$AE$14,MATCH(C256,'G-6 Hedgerow Data'!$B$3:$B$14,0),MATCH(M256,'G-6 Hedgerow Data'!$S$2:$AE$2,0)),INDEX('G-6 Hedgerow Data'!$K$3:$Q$14,MATCH(M256,'G-6 Hedgerow Data'!$B$3:$B$14,0),MATCH(O256,'G-6 Hedgerow Data'!$K$2:$Q$2,0)))),"")</f>
        <v/>
      </c>
      <c r="Y256" s="261"/>
      <c r="Z256" s="261"/>
      <c r="AA256" s="179" t="str">
        <f t="shared" si="24"/>
        <v/>
      </c>
      <c r="AB256" s="262" t="str">
        <f t="shared" si="25"/>
        <v/>
      </c>
      <c r="AC256" s="263" t="str">
        <f t="shared" si="22"/>
        <v/>
      </c>
      <c r="AD256" s="239" t="str">
        <f>IF(M256="","",VLOOKUP(M256,'G-6 Hedgerow Data'!$B$3:$AG$15,31,FALSE))</f>
        <v/>
      </c>
      <c r="AE256" s="179" t="str">
        <f t="shared" si="26"/>
        <v/>
      </c>
      <c r="AF256" s="179" t="str">
        <f t="shared" si="27"/>
        <v/>
      </c>
      <c r="AG256" s="176" t="str">
        <f>IFERROR(IF(O256="","",VLOOKUP(AD256,'G-3 Multipliers'!$P$3:$Q$6,2,FALSE)),"")</f>
        <v/>
      </c>
      <c r="AH256" s="207" t="str">
        <f t="shared" si="23"/>
        <v/>
      </c>
      <c r="AI256" s="336"/>
      <c r="AJ256" s="181"/>
      <c r="AT256" s="35" t="str">
        <f>IFERROR(INDEX('G-6 Hedgerow Data'!$BJ$3:$BJ$15,MATCH(M256,'G-6 Hedgerow Data'!$B$3:$B$15,0)),"")</f>
        <v/>
      </c>
    </row>
    <row r="257" spans="2:46" ht="14.4" thickBot="1" x14ac:dyDescent="0.3">
      <c r="B257" s="267" t="str">
        <f>'B-1 Site Hedge Baseline'!AK255</f>
        <v/>
      </c>
      <c r="C257" s="194" t="str">
        <f>IF(B257="","",IF(ISNA(VLOOKUP($B257,'B-1 Site Hedge Baseline'!$B$1:$L$257,3,FALSE)),"",(VLOOKUP($B257,'B-1 Site Hedge Baseline'!$B$1:$L$257,3,FALSE))))</f>
        <v/>
      </c>
      <c r="D257" s="194" t="str">
        <f>IF(B257="","",IF(ISNA(VLOOKUP($B257,'B-1 Site Hedge Baseline'!$B$1:$L$257,4,FALSE)),"",(VLOOKUP($B257,'B-1 Site Hedge Baseline'!$B$1:$L$257,4,FALSE))))</f>
        <v/>
      </c>
      <c r="E257" s="194" t="str">
        <f>IF(B257="","",IF(ISNA(VLOOKUP($B257,'B-1 Site Hedge Baseline'!$B$1:$L$257,5,FALSE)),"",(VLOOKUP($B257,'B-1 Site Hedge Baseline'!$B$1:$L$257,5,FALSE))))</f>
        <v/>
      </c>
      <c r="F257" s="194" t="str">
        <f>IF(B257="","",IF(ISNA(VLOOKUP($B257,'B-1 Site Hedge Baseline'!$B$1:$L$257,6,FALSE)),"",(VLOOKUP($B257,'B-1 Site Hedge Baseline'!$B$1:$L$257,6,FALSE))))</f>
        <v/>
      </c>
      <c r="G257" s="194" t="str">
        <f>IF(B257="","",IF(ISNA(VLOOKUP($B257,'B-1 Site Hedge Baseline'!$B$1:$L$257,7,FALSE)),"",(VLOOKUP($B257,'B-1 Site Hedge Baseline'!$B$1:$L$257,7,FALSE))))</f>
        <v/>
      </c>
      <c r="H257" s="194" t="str">
        <f>IF(B257="","",IF(ISNA(VLOOKUP($B257,'B-1 Site Hedge Baseline'!$B$1:$L$257,8,FALSE)),"",(VLOOKUP($B257,'B-1 Site Hedge Baseline'!$B$1:$L$257,8,FALSE))))</f>
        <v/>
      </c>
      <c r="I257" s="194" t="str">
        <f>IF(B257="","",IF(ISNA(VLOOKUP($B257,'B-1 Site Hedge Baseline'!$B$1:$L$257,10,FALSE)),"",(VLOOKUP($B257,'B-1 Site Hedge Baseline'!$B$1:$L$257,10,FALSE))))</f>
        <v/>
      </c>
      <c r="J257" s="194" t="str">
        <f>IF(B257="","",IF(ISNA(VLOOKUP($B257,'B-1 Site Hedge Baseline'!$B$1:$L$257,11,FALSE)),"",(VLOOKUP($B257,'B-1 Site Hedge Baseline'!$B$1:$L$257,11,FALSE))))</f>
        <v/>
      </c>
      <c r="K257" s="194" t="str">
        <f>IF(B257="","",IF(ISNA(VLOOKUP($B257,'B-1 Site Hedge Baseline'!$B$1:$U$257,13,FALSE)),"",(VLOOKUP($B257,'B-1 Site Hedge Baseline'!$B$1:$U$257,13,FALSE))))</f>
        <v/>
      </c>
      <c r="L257" s="195" t="str">
        <f>IF(B257="","",IF(ISNA(VLOOKUP($B257,'B-1 Site Hedge Baseline'!$B$1:$U$257,12,FALSE)),"",(VLOOKUP($B257,'B-1 Site Hedge Baseline'!$B$1:$U$257,12,FALSE))))</f>
        <v/>
      </c>
      <c r="M257" s="638"/>
      <c r="N257" s="248" t="str">
        <f>IFERROR(IF(B257="","",INDEX('G-6 Hedgerow Data'!$AN$3:$AZ$15,MATCH(C257,'G-6 Hedgerow Data'!$AM$3:$AM$15,0),MATCH(M257,'G-6 Hedgerow Data'!$AN$2:$AZ$2,0))),"")</f>
        <v/>
      </c>
      <c r="O257" s="195" t="str">
        <f t="shared" si="21"/>
        <v/>
      </c>
      <c r="P257" s="643" t="str">
        <f>IF(B257="","",VLOOKUP(B257,'B-1 Site Hedge Baseline'!$B$10:T502,16,FALSE))</f>
        <v/>
      </c>
      <c r="Q257" s="248" t="str">
        <f>IF(M257="","",VLOOKUP(M257,'G-6 Hedgerow Data'!$B$2:$AG$15,2,FALSE))</f>
        <v/>
      </c>
      <c r="R257" s="172" t="str">
        <f>IF(M257="","",VLOOKUP(M257,'G-6 Hedgerow Data'!$B$2:$AG$15,3,FALSE))</f>
        <v/>
      </c>
      <c r="S257" s="396"/>
      <c r="T257" s="195" t="str">
        <f>IFERROR(VLOOKUP(S257,'G-1 All Habitats'!$Z$2:$AA$9,2,FALSE),"")</f>
        <v/>
      </c>
      <c r="U257" s="193"/>
      <c r="V257" s="194" t="str">
        <f>IF(U257="","",IF(VLOOKUP(U257,'G-3 Multipliers'!$L$3:$N$6,2,FALSE)=0,"Spatial Data Missing",VLOOKUP(U257,'G-3 Multipliers'!$L$3:$N$6,2,FALSE)))</f>
        <v/>
      </c>
      <c r="W257" s="195" t="str">
        <f>IF(U257="","",IF(VLOOKUP(U257,'G-3 Multipliers'!$L$3:$N$6,3,FALSE)=0,"Spatial Data Missing",VLOOKUP(U257,'G-3 Multipliers'!$L$3:$N$6,3,FALSE)))</f>
        <v/>
      </c>
      <c r="X257" s="248" t="str">
        <f>IFERROR(IF(OR(LEFT(O257,5)="Error",LEFT(N257,5)="Error",T257="Error"),"Check Data",IF(F257&lt;R257,INDEX('G-6 Hedgerow Data'!$S$3:$AE$14,MATCH(C257,'G-6 Hedgerow Data'!$B$3:$B$14,0),MATCH(M257,'G-6 Hedgerow Data'!$S$2:$AE$2,0)),INDEX('G-6 Hedgerow Data'!$K$3:$Q$14,MATCH(M257,'G-6 Hedgerow Data'!$B$3:$B$14,0),MATCH(O257,'G-6 Hedgerow Data'!$K$2:$Q$2,0)))),"")</f>
        <v/>
      </c>
      <c r="Y257" s="261"/>
      <c r="Z257" s="279"/>
      <c r="AA257" s="194" t="str">
        <f t="shared" si="24"/>
        <v/>
      </c>
      <c r="AB257" s="251" t="str">
        <f t="shared" si="25"/>
        <v/>
      </c>
      <c r="AC257" s="398" t="str">
        <f t="shared" si="22"/>
        <v/>
      </c>
      <c r="AD257" s="248" t="str">
        <f>IF(M257="","",VLOOKUP(M257,'G-6 Hedgerow Data'!$B$3:$AG$15,31,FALSE))</f>
        <v/>
      </c>
      <c r="AE257" s="179" t="str">
        <f t="shared" si="26"/>
        <v/>
      </c>
      <c r="AF257" s="179" t="str">
        <f t="shared" si="27"/>
        <v/>
      </c>
      <c r="AG257" s="195" t="str">
        <f>IFERROR(IF(O257="","",VLOOKUP(AD257,'G-3 Multipliers'!$P$3:$Q$6,2,FALSE)),"")</f>
        <v/>
      </c>
      <c r="AH257" s="392" t="str">
        <f t="shared" si="23"/>
        <v/>
      </c>
      <c r="AI257" s="197"/>
      <c r="AJ257" s="198"/>
      <c r="AT257" s="35" t="str">
        <f>IFERROR(INDEX('G-6 Hedgerow Data'!$BJ$3:$BJ$15,MATCH(M257,'G-6 Hedgerow Data'!$B$3:$B$15,0)),"")</f>
        <v/>
      </c>
    </row>
    <row r="258" spans="2:46" ht="14.4" thickBot="1" x14ac:dyDescent="0.3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664"/>
      <c r="P258" s="200">
        <f>SUM(P12:P257)</f>
        <v>0</v>
      </c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663"/>
      <c r="AG258" s="663"/>
      <c r="AH258" s="200">
        <f>SUM(AH12:AH257)</f>
        <v>0</v>
      </c>
      <c r="AI258" s="51"/>
      <c r="AJ258" s="51"/>
    </row>
    <row r="259" spans="2:46" ht="13.8" x14ac:dyDescent="0.25"/>
    <row r="260" spans="2:46" ht="13.8" x14ac:dyDescent="0.25"/>
    <row r="261" spans="2:46" ht="13.8" x14ac:dyDescent="0.25"/>
    <row r="262" spans="2:46" ht="13.8" x14ac:dyDescent="0.25"/>
    <row r="263" spans="2:46" ht="13.8" x14ac:dyDescent="0.25"/>
    <row r="264" spans="2:46" ht="13.8" x14ac:dyDescent="0.25"/>
    <row r="265" spans="2:46" ht="13.8" x14ac:dyDescent="0.25"/>
    <row r="266" spans="2:46" ht="13.8" x14ac:dyDescent="0.25"/>
  </sheetData>
  <sheetProtection algorithmName="SHA-512" hashValue="0awh2MoJblXAHoL6ESUJf3GVz9O/4fRx+FQ/QkiSFZzXRXp8uJYvxwLNoePbT4/aFq84sDwozMwkXj70ktmiJA==" saltValue="z6jPDevh5Va3x9RmlroZPw==" spinCount="100000" sheet="1" objects="1" scenarios="1"/>
  <dataConsolidate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5">
    <mergeCell ref="AH10:AH11"/>
    <mergeCell ref="AI10:AJ10"/>
    <mergeCell ref="C10:L10"/>
    <mergeCell ref="U10:W10"/>
    <mergeCell ref="B2:D2"/>
    <mergeCell ref="B3:D4"/>
    <mergeCell ref="M9:AG9"/>
    <mergeCell ref="X10:AC10"/>
    <mergeCell ref="AD10:AG10"/>
    <mergeCell ref="N10:O10"/>
    <mergeCell ref="P10:P11"/>
    <mergeCell ref="M10:M11"/>
    <mergeCell ref="Q10:R10"/>
    <mergeCell ref="S10:T10"/>
    <mergeCell ref="X2:AC4"/>
  </mergeCells>
  <conditionalFormatting sqref="AH258">
    <cfRule type="containsText" dxfId="112" priority="23" operator="containsText" text="Existing Value Not Required">
      <formula>NOT(ISERROR(SEARCH("Existing Value Not Required",AH258)))</formula>
    </cfRule>
    <cfRule type="containsText" dxfId="111" priority="24" operator="containsText" text="Existing Value Required">
      <formula>NOT(ISERROR(SEARCH("Existing Value Required",AH258)))</formula>
    </cfRule>
  </conditionalFormatting>
  <conditionalFormatting sqref="AH12:AH257">
    <cfRule type="containsText" dxfId="110" priority="19" operator="containsText" text="Existing Value Not Required">
      <formula>NOT(ISERROR(SEARCH("Existing Value Not Required",AH12)))</formula>
    </cfRule>
    <cfRule type="containsText" dxfId="109" priority="20" operator="containsText" text="Existing Value Required">
      <formula>NOT(ISERROR(SEARCH("Existing Value Required",AH12)))</formula>
    </cfRule>
  </conditionalFormatting>
  <conditionalFormatting sqref="L12:L257">
    <cfRule type="cellIs" dxfId="108" priority="16" operator="equal">
      <formula>"Same distinctiveness band or better"</formula>
    </cfRule>
    <cfRule type="cellIs" dxfId="107" priority="17" operator="equal">
      <formula>"Like for like or better"</formula>
    </cfRule>
    <cfRule type="cellIs" dxfId="106" priority="18" operator="equal">
      <formula>"Like for Like"</formula>
    </cfRule>
  </conditionalFormatting>
  <conditionalFormatting sqref="N12:N257">
    <cfRule type="beginsWith" dxfId="105" priority="15" operator="beginsWith" text="Error">
      <formula>LEFT(N12,LEN("Error"))="Error"</formula>
    </cfRule>
  </conditionalFormatting>
  <conditionalFormatting sqref="O12:O257">
    <cfRule type="beginsWith" dxfId="104" priority="14" operator="beginsWith" text="Error">
      <formula>LEFT(O12,LEN("Error"))="Error"</formula>
    </cfRule>
  </conditionalFormatting>
  <conditionalFormatting sqref="V12:V257">
    <cfRule type="containsText" dxfId="103" priority="13" operator="containsText" text="Spatial">
      <formula>NOT(ISERROR(SEARCH("Spatial",V12)))</formula>
    </cfRule>
  </conditionalFormatting>
  <conditionalFormatting sqref="W12:W257">
    <cfRule type="containsText" dxfId="102" priority="12" operator="containsText" text="Spatial">
      <formula>NOT(ISERROR(SEARCH("Spatial",W12)))</formula>
    </cfRule>
  </conditionalFormatting>
  <conditionalFormatting sqref="X12:X257">
    <cfRule type="containsText" dxfId="101" priority="10" operator="containsText" text="Error">
      <formula>NOT(ISERROR(SEARCH("Error",X12)))</formula>
    </cfRule>
    <cfRule type="containsText" dxfId="100" priority="11" operator="containsText" text="Check">
      <formula>NOT(ISERROR(SEARCH("Check",X12)))</formula>
    </cfRule>
  </conditionalFormatting>
  <conditionalFormatting sqref="AA12:AA257">
    <cfRule type="containsText" dxfId="99" priority="8" operator="containsText" text="Error">
      <formula>NOT(ISERROR(SEARCH("Error",AA12)))</formula>
    </cfRule>
    <cfRule type="containsText" dxfId="98" priority="9" operator="containsText" text="Check">
      <formula>NOT(ISERROR(SEARCH("Check",AA12)))</formula>
    </cfRule>
  </conditionalFormatting>
  <conditionalFormatting sqref="AB12:AB257">
    <cfRule type="containsText" dxfId="97" priority="6" operator="containsText" text="Error">
      <formula>NOT(ISERROR(SEARCH("Error",AB12)))</formula>
    </cfRule>
    <cfRule type="containsText" dxfId="96" priority="7" operator="containsText" text="Check">
      <formula>NOT(ISERROR(SEARCH("Check",AB12)))</formula>
    </cfRule>
  </conditionalFormatting>
  <conditionalFormatting sqref="AC12:AC257">
    <cfRule type="containsText" dxfId="95" priority="4" operator="containsText" text="Error">
      <formula>NOT(ISERROR(SEARCH("Error",AC12)))</formula>
    </cfRule>
    <cfRule type="containsText" dxfId="94" priority="5" operator="containsText" text="Check">
      <formula>NOT(ISERROR(SEARCH("Check",AC12)))</formula>
    </cfRule>
  </conditionalFormatting>
  <conditionalFormatting sqref="AE12:AE257">
    <cfRule type="beginsWith" dxfId="93" priority="2" operator="beginsWith" text="No - Low Difficulty">
      <formula>LEFT(AE12,LEN("No - Low Difficulty"))="No - Low Difficulty"</formula>
    </cfRule>
    <cfRule type="containsText" dxfId="92" priority="3" operator="containsText" text="Check">
      <formula>NOT(ISERROR(SEARCH("Check",AE12)))</formula>
    </cfRule>
  </conditionalFormatting>
  <conditionalFormatting sqref="X5:AB6 X2">
    <cfRule type="containsText" dxfId="91" priority="1" operator="containsText" text="Note">
      <formula>NOT(ISERROR(SEARCH("Note",X2)))</formula>
    </cfRule>
  </conditionalFormatting>
  <dataValidations count="1">
    <dataValidation type="list" allowBlank="1" showInputMessage="1" showErrorMessage="1" sqref="S12:S257" xr:uid="{00000000-0002-0000-1400-000000000000}">
      <formula1>INDIRECT(AT12)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400-000001000000}">
          <x14:formula1>
            <xm:f>'G-6 Hedgerow Data'!$B$3:$B$15</xm:f>
          </x14:formula1>
          <xm:sqref>M12:M257</xm:sqref>
        </x14:dataValidation>
        <x14:dataValidation type="list" allowBlank="1" showInputMessage="1" showErrorMessage="1" xr:uid="{00000000-0002-0000-1400-000002000000}">
          <x14:formula1>
            <xm:f>'G-3 Multipliers'!$L$4:$L$6</xm:f>
          </x14:formula1>
          <xm:sqref>U12:U257</xm:sqref>
        </x14:dataValidation>
        <x14:dataValidation type="list" allowBlank="1" showInputMessage="1" showErrorMessage="1" xr:uid="{00000000-0002-0000-1400-000003000000}">
          <x14:formula1>
            <xm:f>'G-4 Temporal multipliers'!$A$41:$A$72</xm:f>
          </x14:formula1>
          <xm:sqref>Y12:Z257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0">
    <tabColor theme="9"/>
  </sheetPr>
  <dimension ref="A1:AK272"/>
  <sheetViews>
    <sheetView showGridLines="0" showRowColHeaders="0" zoomScaleNormal="100" workbookViewId="0">
      <pane ySplit="9" topLeftCell="A10" activePane="bottomLeft" state="frozen"/>
      <selection activeCell="B18" sqref="B18:I19"/>
      <selection pane="bottomLeft" activeCell="H24" sqref="H24"/>
    </sheetView>
  </sheetViews>
  <sheetFormatPr defaultColWidth="0" defaultRowHeight="0" customHeight="1" zeroHeight="1" x14ac:dyDescent="0.25"/>
  <cols>
    <col min="1" max="1" width="5" style="35" customWidth="1"/>
    <col min="2" max="2" width="11.44140625" style="35" customWidth="1"/>
    <col min="3" max="3" width="9.5546875" style="35" bestFit="1" customWidth="1"/>
    <col min="4" max="4" width="53.6640625" style="35" bestFit="1" customWidth="1"/>
    <col min="5" max="5" width="8.88671875" style="35" customWidth="1"/>
    <col min="6" max="6" width="17.5546875" style="35" customWidth="1"/>
    <col min="7" max="7" width="8.44140625" style="35" customWidth="1"/>
    <col min="8" max="8" width="11.6640625" style="35" bestFit="1" customWidth="1"/>
    <col min="9" max="9" width="8.6640625" style="35" customWidth="1"/>
    <col min="10" max="10" width="41.6640625" style="35" customWidth="1"/>
    <col min="11" max="11" width="14.5546875" style="35" customWidth="1"/>
    <col min="12" max="12" width="11.88671875" style="35" customWidth="1"/>
    <col min="13" max="13" width="21.109375" style="35" bestFit="1" customWidth="1"/>
    <col min="14" max="14" width="13.109375" style="35" customWidth="1"/>
    <col min="15" max="15" width="3.6640625" style="35" customWidth="1"/>
    <col min="16" max="16" width="10.33203125" style="35" bestFit="1" customWidth="1"/>
    <col min="17" max="17" width="11.6640625" style="35" customWidth="1"/>
    <col min="18" max="18" width="10.5546875" style="35" customWidth="1"/>
    <col min="19" max="19" width="11.6640625" style="35" customWidth="1"/>
    <col min="20" max="20" width="13.5546875" style="35" customWidth="1"/>
    <col min="21" max="21" width="8.33203125" style="35" customWidth="1"/>
    <col min="22" max="22" width="23.109375" style="35" bestFit="1" customWidth="1"/>
    <col min="23" max="23" width="23.44140625" style="35" bestFit="1" customWidth="1"/>
    <col min="24" max="27" width="8.88671875" style="35" customWidth="1"/>
    <col min="28" max="28" width="19.5546875" style="35" hidden="1" customWidth="1"/>
    <col min="29" max="30" width="8.88671875" style="35" hidden="1"/>
    <col min="31" max="31" width="9.33203125" style="35" hidden="1" customWidth="1"/>
    <col min="32" max="32" width="10.44140625" style="35" hidden="1" customWidth="1"/>
    <col min="33" max="33" width="8.88671875" style="35" hidden="1"/>
    <col min="34" max="34" width="12.44140625" style="35" hidden="1" customWidth="1"/>
    <col min="35" max="35" width="8.88671875" style="35" hidden="1"/>
    <col min="36" max="36" width="9.33203125" style="35" hidden="1" customWidth="1"/>
    <col min="37" max="37" width="10.44140625" style="35" hidden="1" customWidth="1"/>
    <col min="38" max="16384" width="8.88671875" style="35" hidden="1"/>
  </cols>
  <sheetData>
    <row r="1" spans="2:37" ht="15.75" customHeight="1" thickBot="1" x14ac:dyDescent="0.3"/>
    <row r="2" spans="2:37" ht="15.75" customHeight="1" thickBot="1" x14ac:dyDescent="0.3">
      <c r="B2" s="785" t="str">
        <f>IF(Start!$F$12="","",Start!$F$12)</f>
        <v>7948: Anglia Square, Norwich</v>
      </c>
      <c r="C2" s="786"/>
      <c r="D2" s="787"/>
    </row>
    <row r="3" spans="2:37" ht="15.75" customHeight="1" x14ac:dyDescent="0.25">
      <c r="B3" s="770" t="str">
        <f ca="1">MID(CELL("filename",A1),FIND("]",CELL("filename",A1))+1,256)</f>
        <v>E-1 Off Site Hedge Baseline</v>
      </c>
      <c r="C3" s="771"/>
      <c r="D3" s="772"/>
    </row>
    <row r="4" spans="2:37" ht="15.75" customHeight="1" thickBot="1" x14ac:dyDescent="0.3">
      <c r="B4" s="773"/>
      <c r="C4" s="774"/>
      <c r="D4" s="775"/>
    </row>
    <row r="5" spans="2:37" ht="37.950000000000003" customHeight="1" x14ac:dyDescent="0.25"/>
    <row r="6" spans="2:37" ht="28.95" customHeight="1" x14ac:dyDescent="0.25"/>
    <row r="7" spans="2:37" ht="15.75" customHeight="1" thickBot="1" x14ac:dyDescent="0.3">
      <c r="B7" s="159"/>
      <c r="C7" s="159"/>
      <c r="D7" s="158"/>
    </row>
    <row r="8" spans="2:37" s="46" customFormat="1" ht="28.2" thickBot="1" x14ac:dyDescent="0.3">
      <c r="B8" s="44"/>
      <c r="C8" s="1011" t="s">
        <v>1031</v>
      </c>
      <c r="D8" s="1012"/>
      <c r="E8" s="1013"/>
      <c r="F8" s="1011" t="s">
        <v>981</v>
      </c>
      <c r="G8" s="1013"/>
      <c r="H8" s="1011" t="s">
        <v>982</v>
      </c>
      <c r="I8" s="1013"/>
      <c r="J8" s="1011" t="s">
        <v>362</v>
      </c>
      <c r="K8" s="1012"/>
      <c r="L8" s="1013"/>
      <c r="M8" s="1014" t="s">
        <v>1019</v>
      </c>
      <c r="N8" s="205" t="s">
        <v>1010</v>
      </c>
      <c r="O8" s="165"/>
      <c r="P8" s="1038" t="s">
        <v>1021</v>
      </c>
      <c r="Q8" s="1040"/>
      <c r="R8" s="1040"/>
      <c r="S8" s="1040"/>
      <c r="T8" s="1040"/>
      <c r="U8" s="1039"/>
      <c r="V8" s="1038" t="s">
        <v>145</v>
      </c>
      <c r="W8" s="1039"/>
    </row>
    <row r="9" spans="2:37" ht="42" thickBot="1" x14ac:dyDescent="0.3">
      <c r="B9" s="162" t="s">
        <v>840</v>
      </c>
      <c r="C9" s="272" t="s">
        <v>1030</v>
      </c>
      <c r="D9" s="272" t="s">
        <v>308</v>
      </c>
      <c r="E9" s="273" t="s">
        <v>369</v>
      </c>
      <c r="F9" s="561" t="s">
        <v>127</v>
      </c>
      <c r="G9" s="273" t="s">
        <v>140</v>
      </c>
      <c r="H9" s="561" t="s">
        <v>141</v>
      </c>
      <c r="I9" s="273" t="s">
        <v>140</v>
      </c>
      <c r="J9" s="561" t="s">
        <v>362</v>
      </c>
      <c r="K9" s="272" t="s">
        <v>362</v>
      </c>
      <c r="L9" s="273" t="s">
        <v>983</v>
      </c>
      <c r="M9" s="1041"/>
      <c r="N9" s="286" t="s">
        <v>1011</v>
      </c>
      <c r="O9" s="165"/>
      <c r="P9" s="625" t="s">
        <v>1012</v>
      </c>
      <c r="Q9" s="626" t="s">
        <v>1013</v>
      </c>
      <c r="R9" s="627" t="s">
        <v>1014</v>
      </c>
      <c r="S9" s="627" t="s">
        <v>1015</v>
      </c>
      <c r="T9" s="627" t="s">
        <v>1016</v>
      </c>
      <c r="U9" s="628" t="s">
        <v>1017</v>
      </c>
      <c r="V9" s="625" t="s">
        <v>991</v>
      </c>
      <c r="W9" s="628" t="s">
        <v>992</v>
      </c>
      <c r="AB9" s="158" t="s">
        <v>1298</v>
      </c>
      <c r="AE9" s="188" t="s">
        <v>800</v>
      </c>
      <c r="AF9" s="188" t="s">
        <v>801</v>
      </c>
      <c r="AH9" s="188" t="s">
        <v>804</v>
      </c>
      <c r="AJ9" s="188" t="s">
        <v>800</v>
      </c>
      <c r="AK9" s="188" t="s">
        <v>801</v>
      </c>
    </row>
    <row r="10" spans="2:37" ht="13.8" x14ac:dyDescent="0.25">
      <c r="B10" s="168">
        <v>1</v>
      </c>
      <c r="C10" s="275"/>
      <c r="D10" s="275"/>
      <c r="E10" s="185"/>
      <c r="F10" s="171" t="str">
        <f>IF(D10="","",VLOOKUP(D10,'G-6 Hedgerow Data'!$B$2:$AG$15,2,FALSE))</f>
        <v/>
      </c>
      <c r="G10" s="172" t="str">
        <f>IF(D10="","",VLOOKUP(D10,'G-6 Hedgerow Data'!$B$2:$AG$15,3,FALSE))</f>
        <v/>
      </c>
      <c r="H10" s="79"/>
      <c r="I10" s="172" t="str">
        <f>IFERROR(IF(AND(F10="V.Low",OR(H10="Good",H10="Moderate")),"Error",VLOOKUP(H10,'G-1 All Habitats'!$Z$2:$AA$9,2,FALSE)),"")</f>
        <v/>
      </c>
      <c r="J10" s="186"/>
      <c r="K10" s="175" t="str">
        <f>IF(J10="","",IF(VLOOKUP(J10,'G-3 Multipliers'!$L$3:$N$6,2,FALSE)=0,"Spatial Data Missing",VLOOKUP(J10,'G-3 Multipliers'!$L$3:$N$6,2,FALSE)))</f>
        <v/>
      </c>
      <c r="L10" s="176" t="str">
        <f>IF(J10="","",IF(VLOOKUP(J10,'G-3 Multipliers'!$L$3:$N$6,3,FALSE)=0,"Spatial Data Missing",VLOOKUP(J10,'G-3 Multipliers'!$L$3:$N$6,3,FALSE)))</f>
        <v/>
      </c>
      <c r="M10" s="177" t="str">
        <f>IF(D10="","",VLOOKUP(D10,'G-6 Hedgerow Data'!$B$1:$AH$15,33,FALSE))</f>
        <v/>
      </c>
      <c r="N10" s="207" t="str">
        <f>IFERROR(E10*G10*I10*L10,"")</f>
        <v/>
      </c>
      <c r="O10" s="44"/>
      <c r="P10" s="79"/>
      <c r="Q10" s="82"/>
      <c r="R10" s="179" t="str">
        <f>IFERROR(P10*G10*I10*L10,"")</f>
        <v/>
      </c>
      <c r="S10" s="179" t="str">
        <f>IFERROR(Q10*G10*I10*L10,"")</f>
        <v/>
      </c>
      <c r="T10" s="208" t="str">
        <f>IF(D10="","",IF(E10&lt;P10+Q10,"Error in Lengths",E10-P10-Q10))</f>
        <v/>
      </c>
      <c r="U10" s="209" t="str">
        <f>IF(OR(E10="",N10=""),"",IF(E10&lt;P10+Q10,"Error in Lengths",N10-R10-S10))</f>
        <v/>
      </c>
      <c r="V10" s="180"/>
      <c r="W10" s="181"/>
      <c r="AB10" s="35" t="str">
        <f>IFERROR(INDEX('G-6 Hedgerow Data'!$BJ$3:$BJ$15,MATCH(D10,'G-6 Hedgerow Data'!$B$3:$B$15,0)),"")</f>
        <v/>
      </c>
      <c r="AE10" s="188" t="str">
        <f t="shared" ref="AE10:AE73" si="0">IF(D10="","",IF(P10&gt;0,TRUE,FALSE))</f>
        <v/>
      </c>
      <c r="AF10" s="188" t="str">
        <f t="shared" ref="AF10:AF73" si="1">IF(D10="","",IF(Q10&gt;0,TRUE,FALSE))</f>
        <v/>
      </c>
      <c r="AH10" s="188">
        <v>1</v>
      </c>
      <c r="AJ10" s="188" t="str">
        <f t="array" ref="AJ10">IFERROR(INDEX($AH$10:$AH$258, MATCH(0, IF(TRUE=$AE$10:$AE$258, COUNTIF($AJ9:$AJ$9, $AH$10:$AH$258), ""), 0)),"")</f>
        <v/>
      </c>
      <c r="AK10" s="188" t="str">
        <f t="array" ref="AK10">IFERROR(INDEX($AH$10:$AH$258, MATCH(0, IF(TRUE=$AF$10:$AF$258, COUNTIF($AK9:$AK$9, $AH$10:$AH$258), ""), 0)),"")</f>
        <v/>
      </c>
    </row>
    <row r="11" spans="2:37" ht="13.8" x14ac:dyDescent="0.25">
      <c r="B11" s="168">
        <v>2</v>
      </c>
      <c r="C11" s="275"/>
      <c r="D11" s="275"/>
      <c r="E11" s="185"/>
      <c r="F11" s="171" t="str">
        <f>IF(D11="","",VLOOKUP(D11,'G-6 Hedgerow Data'!$B$2:$AG$15,2,FALSE))</f>
        <v/>
      </c>
      <c r="G11" s="172" t="str">
        <f>IF(D11="","",VLOOKUP(D11,'G-6 Hedgerow Data'!$B$2:$AG$15,3,FALSE))</f>
        <v/>
      </c>
      <c r="H11" s="79"/>
      <c r="I11" s="172" t="str">
        <f>IFERROR(IF(AND(F11="V.Low",OR(H11="Good",H11="Moderate")),"Error",VLOOKUP(H11,'G-1 All Habitats'!$Z$2:$AA$9,2,FALSE)),"")</f>
        <v/>
      </c>
      <c r="J11" s="186"/>
      <c r="K11" s="175" t="str">
        <f>IF(J11="","",IF(VLOOKUP(J11,'G-3 Multipliers'!$L$3:$N$6,2,FALSE)=0,"Spatial Data Missing",VLOOKUP(J11,'G-3 Multipliers'!$L$3:$N$6,2,FALSE)))</f>
        <v/>
      </c>
      <c r="L11" s="176" t="str">
        <f>IF(J11="","",IF(VLOOKUP(J11,'G-3 Multipliers'!$L$3:$N$6,3,FALSE)=0,"Spatial Data Missing",VLOOKUP(J11,'G-3 Multipliers'!$L$3:$N$6,3,FALSE)))</f>
        <v/>
      </c>
      <c r="M11" s="177" t="str">
        <f>IF(D11="","",VLOOKUP(D11,'G-6 Hedgerow Data'!$B$1:$AH$15,33,FALSE))</f>
        <v/>
      </c>
      <c r="N11" s="207" t="str">
        <f t="shared" ref="N11:N74" si="2">IFERROR(E11*G11*I11*L11,"")</f>
        <v/>
      </c>
      <c r="O11" s="44"/>
      <c r="P11" s="79"/>
      <c r="Q11" s="82"/>
      <c r="R11" s="179" t="str">
        <f t="shared" ref="R11:R74" si="3">IFERROR(P11*G11*I11*L11,"")</f>
        <v/>
      </c>
      <c r="S11" s="179" t="str">
        <f t="shared" ref="S11:S74" si="4">IFERROR(Q11*G11*I11*L11,"")</f>
        <v/>
      </c>
      <c r="T11" s="208" t="str">
        <f t="shared" ref="T11:T74" si="5">IF(D11="","",IF(E11&lt;P11+Q11,"Error in Lengths",E11-P11-Q11))</f>
        <v/>
      </c>
      <c r="U11" s="209" t="str">
        <f t="shared" ref="U11:U74" si="6">IF(OR(E11="",N11=""),"",IF(E11&lt;P11+Q11,"Error in Lengths",N11-R11-S11))</f>
        <v/>
      </c>
      <c r="V11" s="182"/>
      <c r="W11" s="183"/>
      <c r="AB11" s="35" t="str">
        <f>IFERROR(INDEX('G-6 Hedgerow Data'!$BJ$3:$BJ$15,MATCH(D11,'G-6 Hedgerow Data'!$B$3:$B$15,0)),"")</f>
        <v/>
      </c>
      <c r="AE11" s="188" t="str">
        <f t="shared" si="0"/>
        <v/>
      </c>
      <c r="AF11" s="188" t="str">
        <f t="shared" si="1"/>
        <v/>
      </c>
      <c r="AH11" s="188">
        <v>2</v>
      </c>
      <c r="AJ11" s="188" t="str">
        <f t="array" ref="AJ11">IFERROR(INDEX($AH$10:$AH$258, MATCH(0, IF(TRUE=$AE$10:$AE$258, COUNTIF($AJ$9:$AJ10, $AH$10:$AH$258), ""), 0)),"")</f>
        <v/>
      </c>
      <c r="AK11" s="188" t="str">
        <f t="array" ref="AK11">IFERROR(INDEX($AH$10:$AH$258, MATCH(0, IF(TRUE=$AF$10:$AF$258, COUNTIF($AK$9:$AK10, $AH$10:$AH$258), ""), 0)),"")</f>
        <v/>
      </c>
    </row>
    <row r="12" spans="2:37" ht="13.8" x14ac:dyDescent="0.25">
      <c r="B12" s="168">
        <v>3</v>
      </c>
      <c r="C12" s="275"/>
      <c r="D12" s="275"/>
      <c r="E12" s="185"/>
      <c r="F12" s="171" t="str">
        <f>IF(D12="","",VLOOKUP(D12,'G-6 Hedgerow Data'!$B$2:$AG$15,2,FALSE))</f>
        <v/>
      </c>
      <c r="G12" s="172" t="str">
        <f>IF(D12="","",VLOOKUP(D12,'G-6 Hedgerow Data'!$B$2:$AG$15,3,FALSE))</f>
        <v/>
      </c>
      <c r="H12" s="79"/>
      <c r="I12" s="172" t="str">
        <f>IFERROR(IF(AND(F12="V.Low",OR(H12="Good",H12="Moderate")),"Error",VLOOKUP(H12,'G-1 All Habitats'!$Z$2:$AA$9,2,FALSE)),"")</f>
        <v/>
      </c>
      <c r="J12" s="186"/>
      <c r="K12" s="175" t="str">
        <f>IF(J12="","",IF(VLOOKUP(J12,'G-3 Multipliers'!$L$3:$N$6,2,FALSE)=0,"Spatial Data Missing",VLOOKUP(J12,'G-3 Multipliers'!$L$3:$N$6,2,FALSE)))</f>
        <v/>
      </c>
      <c r="L12" s="176" t="str">
        <f>IF(J12="","",IF(VLOOKUP(J12,'G-3 Multipliers'!$L$3:$N$6,3,FALSE)=0,"Spatial Data Missing",VLOOKUP(J12,'G-3 Multipliers'!$L$3:$N$6,3,FALSE)))</f>
        <v/>
      </c>
      <c r="M12" s="177" t="str">
        <f>IF(D12="","",VLOOKUP(D12,'G-6 Hedgerow Data'!$B$1:$AH$15,33,FALSE))</f>
        <v/>
      </c>
      <c r="N12" s="207" t="str">
        <f t="shared" si="2"/>
        <v/>
      </c>
      <c r="O12" s="44"/>
      <c r="P12" s="79"/>
      <c r="Q12" s="82"/>
      <c r="R12" s="179" t="str">
        <f t="shared" si="3"/>
        <v/>
      </c>
      <c r="S12" s="179" t="str">
        <f t="shared" si="4"/>
        <v/>
      </c>
      <c r="T12" s="208" t="str">
        <f t="shared" si="5"/>
        <v/>
      </c>
      <c r="U12" s="209" t="str">
        <f t="shared" si="6"/>
        <v/>
      </c>
      <c r="V12" s="182"/>
      <c r="W12" s="183"/>
      <c r="AB12" s="35" t="str">
        <f>IFERROR(INDEX('G-6 Hedgerow Data'!$BJ$3:$BJ$15,MATCH(D12,'G-6 Hedgerow Data'!$B$3:$B$15,0)),"")</f>
        <v/>
      </c>
      <c r="AE12" s="188" t="str">
        <f t="shared" si="0"/>
        <v/>
      </c>
      <c r="AF12" s="188" t="str">
        <f t="shared" si="1"/>
        <v/>
      </c>
      <c r="AH12" s="188">
        <v>3</v>
      </c>
      <c r="AJ12" s="188" t="str">
        <f t="array" ref="AJ12">IFERROR(INDEX($AH$10:$AH$258, MATCH(0, IF(TRUE=$AE$10:$AE$258, COUNTIF($AJ$9:$AJ11, $AH$10:$AH$258), ""), 0)),"")</f>
        <v/>
      </c>
      <c r="AK12" s="188" t="str">
        <f t="array" ref="AK12">IFERROR(INDEX($AH$10:$AH$258, MATCH(0, IF(TRUE=$AF$10:$AF$258, COUNTIF($AK$9:$AK11, $AH$10:$AH$258), ""), 0)),"")</f>
        <v/>
      </c>
    </row>
    <row r="13" spans="2:37" ht="13.8" x14ac:dyDescent="0.25">
      <c r="B13" s="168">
        <v>4</v>
      </c>
      <c r="C13" s="275"/>
      <c r="D13" s="275"/>
      <c r="E13" s="185"/>
      <c r="F13" s="171" t="str">
        <f>IF(D13="","",VLOOKUP(D13,'G-6 Hedgerow Data'!$B$2:$AG$15,2,FALSE))</f>
        <v/>
      </c>
      <c r="G13" s="172" t="str">
        <f>IF(D13="","",VLOOKUP(D13,'G-6 Hedgerow Data'!$B$2:$AG$15,3,FALSE))</f>
        <v/>
      </c>
      <c r="H13" s="79"/>
      <c r="I13" s="172" t="str">
        <f>IFERROR(IF(AND(F13="V.Low",OR(H13="Good",H13="Moderate")),"Error",VLOOKUP(H13,'G-1 All Habitats'!$Z$2:$AA$9,2,FALSE)),"")</f>
        <v/>
      </c>
      <c r="J13" s="186"/>
      <c r="K13" s="175" t="str">
        <f>IF(J13="","",IF(VLOOKUP(J13,'G-3 Multipliers'!$L$3:$N$6,2,FALSE)=0,"Spatial Data Missing",VLOOKUP(J13,'G-3 Multipliers'!$L$3:$N$6,2,FALSE)))</f>
        <v/>
      </c>
      <c r="L13" s="176" t="str">
        <f>IF(J13="","",IF(VLOOKUP(J13,'G-3 Multipliers'!$L$3:$N$6,3,FALSE)=0,"Spatial Data Missing",VLOOKUP(J13,'G-3 Multipliers'!$L$3:$N$6,3,FALSE)))</f>
        <v/>
      </c>
      <c r="M13" s="177" t="str">
        <f>IF(D13="","",VLOOKUP(D13,'G-6 Hedgerow Data'!$B$1:$AH$15,33,FALSE))</f>
        <v/>
      </c>
      <c r="N13" s="207" t="str">
        <f t="shared" si="2"/>
        <v/>
      </c>
      <c r="O13" s="44"/>
      <c r="P13" s="79"/>
      <c r="Q13" s="82"/>
      <c r="R13" s="179" t="str">
        <f t="shared" si="3"/>
        <v/>
      </c>
      <c r="S13" s="179" t="str">
        <f t="shared" si="4"/>
        <v/>
      </c>
      <c r="T13" s="208" t="str">
        <f t="shared" si="5"/>
        <v/>
      </c>
      <c r="U13" s="209" t="str">
        <f t="shared" si="6"/>
        <v/>
      </c>
      <c r="V13" s="182"/>
      <c r="W13" s="183"/>
      <c r="AB13" s="35" t="str">
        <f>IFERROR(INDEX('G-6 Hedgerow Data'!$BJ$3:$BJ$15,MATCH(D13,'G-6 Hedgerow Data'!$B$3:$B$15,0)),"")</f>
        <v/>
      </c>
      <c r="AE13" s="188" t="str">
        <f t="shared" si="0"/>
        <v/>
      </c>
      <c r="AF13" s="188" t="str">
        <f t="shared" si="1"/>
        <v/>
      </c>
      <c r="AH13" s="188">
        <v>4</v>
      </c>
      <c r="AJ13" s="188" t="str">
        <f t="array" ref="AJ13">IFERROR(INDEX($AH$10:$AH$258, MATCH(0, IF(TRUE=$AE$10:$AE$258, COUNTIF($AJ$9:$AJ12, $AH$10:$AH$258), ""), 0)),"")</f>
        <v/>
      </c>
      <c r="AK13" s="188" t="str">
        <f t="array" ref="AK13">IFERROR(INDEX($AH$10:$AH$258, MATCH(0, IF(TRUE=$AF$10:$AF$258, COUNTIF($AK$9:$AK12, $AH$10:$AH$258), ""), 0)),"")</f>
        <v/>
      </c>
    </row>
    <row r="14" spans="2:37" ht="13.8" x14ac:dyDescent="0.25">
      <c r="B14" s="168">
        <v>5</v>
      </c>
      <c r="C14" s="275"/>
      <c r="D14" s="275"/>
      <c r="E14" s="185"/>
      <c r="F14" s="171" t="str">
        <f>IF(D14="","",VLOOKUP(D14,'G-6 Hedgerow Data'!$B$2:$AG$15,2,FALSE))</f>
        <v/>
      </c>
      <c r="G14" s="172" t="str">
        <f>IF(D14="","",VLOOKUP(D14,'G-6 Hedgerow Data'!$B$2:$AG$15,3,FALSE))</f>
        <v/>
      </c>
      <c r="H14" s="173"/>
      <c r="I14" s="172" t="str">
        <f>IFERROR(IF(AND(F14="V.Low",OR(H14="Good",H14="Moderate")),"Error",VLOOKUP(H14,'G-1 All Habitats'!$Z$2:$AA$9,2,FALSE)),"")</f>
        <v/>
      </c>
      <c r="J14" s="186"/>
      <c r="K14" s="175" t="str">
        <f>IF(J14="","",IF(VLOOKUP(J14,'G-3 Multipliers'!$L$3:$N$6,2,FALSE)=0,"Spatial Data Missing",VLOOKUP(J14,'G-3 Multipliers'!$L$3:$N$6,2,FALSE)))</f>
        <v/>
      </c>
      <c r="L14" s="176" t="str">
        <f>IF(J14="","",IF(VLOOKUP(J14,'G-3 Multipliers'!$L$3:$N$6,3,FALSE)=0,"Spatial Data Missing",VLOOKUP(J14,'G-3 Multipliers'!$L$3:$N$6,3,FALSE)))</f>
        <v/>
      </c>
      <c r="M14" s="177" t="str">
        <f>IF(D14="","",VLOOKUP(D14,'G-6 Hedgerow Data'!$B$1:$AH$15,33,FALSE))</f>
        <v/>
      </c>
      <c r="N14" s="207" t="str">
        <f t="shared" si="2"/>
        <v/>
      </c>
      <c r="O14" s="44"/>
      <c r="P14" s="79"/>
      <c r="Q14" s="82"/>
      <c r="R14" s="179" t="str">
        <f t="shared" si="3"/>
        <v/>
      </c>
      <c r="S14" s="179" t="str">
        <f t="shared" si="4"/>
        <v/>
      </c>
      <c r="T14" s="208" t="str">
        <f t="shared" si="5"/>
        <v/>
      </c>
      <c r="U14" s="209" t="str">
        <f t="shared" si="6"/>
        <v/>
      </c>
      <c r="V14" s="182"/>
      <c r="W14" s="183"/>
      <c r="AB14" s="35" t="str">
        <f>IFERROR(INDEX('G-6 Hedgerow Data'!$BJ$3:$BJ$15,MATCH(D14,'G-6 Hedgerow Data'!$B$3:$B$15,0)),"")</f>
        <v/>
      </c>
      <c r="AE14" s="188" t="str">
        <f t="shared" si="0"/>
        <v/>
      </c>
      <c r="AF14" s="188" t="str">
        <f t="shared" si="1"/>
        <v/>
      </c>
      <c r="AH14" s="188">
        <v>5</v>
      </c>
      <c r="AJ14" s="188" t="str">
        <f t="array" ref="AJ14">IFERROR(INDEX($AH$10:$AH$258, MATCH(0, IF(TRUE=$AE$10:$AE$258, COUNTIF($AJ$9:$AJ13, $AH$10:$AH$258), ""), 0)),"")</f>
        <v/>
      </c>
      <c r="AK14" s="188" t="str">
        <f t="array" ref="AK14">IFERROR(INDEX($AH$10:$AH$258, MATCH(0, IF(TRUE=$AF$10:$AF$258, COUNTIF($AK$9:$AK13, $AH$10:$AH$258), ""), 0)),"")</f>
        <v/>
      </c>
    </row>
    <row r="15" spans="2:37" ht="13.8" x14ac:dyDescent="0.25">
      <c r="B15" s="168">
        <v>6</v>
      </c>
      <c r="C15" s="275"/>
      <c r="D15" s="275"/>
      <c r="E15" s="185"/>
      <c r="F15" s="171" t="str">
        <f>IF(D15="","",VLOOKUP(D15,'G-6 Hedgerow Data'!$B$2:$AG$15,2,FALSE))</f>
        <v/>
      </c>
      <c r="G15" s="172" t="str">
        <f>IF(D15="","",VLOOKUP(D15,'G-6 Hedgerow Data'!$B$2:$AG$15,3,FALSE))</f>
        <v/>
      </c>
      <c r="H15" s="173"/>
      <c r="I15" s="172" t="str">
        <f>IFERROR(IF(AND(F15="V.Low",OR(H15="Good",H15="Moderate")),"Error",VLOOKUP(H15,'G-1 All Habitats'!$Z$2:$AA$9,2,FALSE)),"")</f>
        <v/>
      </c>
      <c r="J15" s="186"/>
      <c r="K15" s="175" t="str">
        <f>IF(J15="","",IF(VLOOKUP(J15,'G-3 Multipliers'!$L$3:$N$6,2,FALSE)=0,"Spatial Data Missing",VLOOKUP(J15,'G-3 Multipliers'!$L$3:$N$6,2,FALSE)))</f>
        <v/>
      </c>
      <c r="L15" s="176" t="str">
        <f>IF(J15="","",IF(VLOOKUP(J15,'G-3 Multipliers'!$L$3:$N$6,3,FALSE)=0,"Spatial Data Missing",VLOOKUP(J15,'G-3 Multipliers'!$L$3:$N$6,3,FALSE)))</f>
        <v/>
      </c>
      <c r="M15" s="177" t="str">
        <f>IF(D15="","",VLOOKUP(D15,'G-6 Hedgerow Data'!$B$1:$AH$15,33,FALSE))</f>
        <v/>
      </c>
      <c r="N15" s="207" t="str">
        <f t="shared" si="2"/>
        <v/>
      </c>
      <c r="O15" s="44"/>
      <c r="P15" s="173"/>
      <c r="Q15" s="189"/>
      <c r="R15" s="179" t="str">
        <f t="shared" si="3"/>
        <v/>
      </c>
      <c r="S15" s="179" t="str">
        <f t="shared" si="4"/>
        <v/>
      </c>
      <c r="T15" s="208" t="str">
        <f t="shared" si="5"/>
        <v/>
      </c>
      <c r="U15" s="209" t="str">
        <f t="shared" si="6"/>
        <v/>
      </c>
      <c r="V15" s="182"/>
      <c r="W15" s="183"/>
      <c r="AB15" s="35" t="str">
        <f>IFERROR(INDEX('G-6 Hedgerow Data'!$BJ$3:$BJ$15,MATCH(D15,'G-6 Hedgerow Data'!$B$3:$B$15,0)),"")</f>
        <v/>
      </c>
      <c r="AE15" s="188" t="str">
        <f t="shared" si="0"/>
        <v/>
      </c>
      <c r="AF15" s="188" t="str">
        <f t="shared" si="1"/>
        <v/>
      </c>
      <c r="AH15" s="188">
        <v>6</v>
      </c>
      <c r="AJ15" s="188" t="str">
        <f t="array" ref="AJ15">IFERROR(INDEX($AH$10:$AH$258, MATCH(0, IF(TRUE=$AE$10:$AE$258, COUNTIF($AJ$9:$AJ14, $AH$10:$AH$258), ""), 0)),"")</f>
        <v/>
      </c>
      <c r="AK15" s="188" t="str">
        <f t="array" ref="AK15">IFERROR(INDEX($AH$10:$AH$258, MATCH(0, IF(TRUE=$AF$10:$AF$258, COUNTIF($AK$9:$AK14, $AH$10:$AH$258), ""), 0)),"")</f>
        <v/>
      </c>
    </row>
    <row r="16" spans="2:37" ht="13.8" x14ac:dyDescent="0.25">
      <c r="B16" s="168">
        <v>7</v>
      </c>
      <c r="C16" s="275"/>
      <c r="D16" s="275"/>
      <c r="E16" s="185"/>
      <c r="F16" s="171" t="str">
        <f>IF(D16="","",VLOOKUP(D16,'G-6 Hedgerow Data'!$B$2:$AG$15,2,FALSE))</f>
        <v/>
      </c>
      <c r="G16" s="172" t="str">
        <f>IF(D16="","",VLOOKUP(D16,'G-6 Hedgerow Data'!$B$2:$AG$15,3,FALSE))</f>
        <v/>
      </c>
      <c r="H16" s="173"/>
      <c r="I16" s="172" t="str">
        <f>IFERROR(IF(AND(F16="V.Low",OR(H16="Good",H16="Moderate")),"Error",VLOOKUP(H16,'G-1 All Habitats'!$Z$2:$AA$9,2,FALSE)),"")</f>
        <v/>
      </c>
      <c r="J16" s="186"/>
      <c r="K16" s="175" t="str">
        <f>IF(J16="","",IF(VLOOKUP(J16,'G-3 Multipliers'!$L$3:$N$6,2,FALSE)=0,"Spatial Data Missing",VLOOKUP(J16,'G-3 Multipliers'!$L$3:$N$6,2,FALSE)))</f>
        <v/>
      </c>
      <c r="L16" s="176" t="str">
        <f>IF(J16="","",IF(VLOOKUP(J16,'G-3 Multipliers'!$L$3:$N$6,3,FALSE)=0,"Spatial Data Missing",VLOOKUP(J16,'G-3 Multipliers'!$L$3:$N$6,3,FALSE)))</f>
        <v/>
      </c>
      <c r="M16" s="177" t="str">
        <f>IF(D16="","",VLOOKUP(D16,'G-6 Hedgerow Data'!$B$1:$AH$15,33,FALSE))</f>
        <v/>
      </c>
      <c r="N16" s="207" t="str">
        <f t="shared" si="2"/>
        <v/>
      </c>
      <c r="O16" s="44"/>
      <c r="P16" s="173"/>
      <c r="Q16" s="189"/>
      <c r="R16" s="179" t="str">
        <f t="shared" si="3"/>
        <v/>
      </c>
      <c r="S16" s="179" t="str">
        <f t="shared" si="4"/>
        <v/>
      </c>
      <c r="T16" s="208" t="str">
        <f t="shared" si="5"/>
        <v/>
      </c>
      <c r="U16" s="209" t="str">
        <f t="shared" si="6"/>
        <v/>
      </c>
      <c r="V16" s="182"/>
      <c r="W16" s="183"/>
      <c r="AB16" s="35" t="str">
        <f>IFERROR(INDEX('G-6 Hedgerow Data'!$BJ$3:$BJ$15,MATCH(D16,'G-6 Hedgerow Data'!$B$3:$B$15,0)),"")</f>
        <v/>
      </c>
      <c r="AE16" s="188" t="str">
        <f t="shared" si="0"/>
        <v/>
      </c>
      <c r="AF16" s="188" t="str">
        <f t="shared" si="1"/>
        <v/>
      </c>
      <c r="AH16" s="188">
        <v>7</v>
      </c>
      <c r="AJ16" s="188" t="str">
        <f t="array" ref="AJ16">IFERROR(INDEX($AH$10:$AH$258, MATCH(0, IF(TRUE=$AE$10:$AE$258, COUNTIF($AJ$9:$AJ15, $AH$10:$AH$258), ""), 0)),"")</f>
        <v/>
      </c>
      <c r="AK16" s="188" t="str">
        <f t="array" ref="AK16">IFERROR(INDEX($AH$10:$AH$258, MATCH(0, IF(TRUE=$AF$10:$AF$258, COUNTIF($AK$9:$AK15, $AH$10:$AH$258), ""), 0)),"")</f>
        <v/>
      </c>
    </row>
    <row r="17" spans="2:37" ht="13.8" x14ac:dyDescent="0.25">
      <c r="B17" s="168">
        <v>8</v>
      </c>
      <c r="C17" s="275"/>
      <c r="D17" s="275"/>
      <c r="E17" s="185"/>
      <c r="F17" s="171" t="str">
        <f>IF(D17="","",VLOOKUP(D17,'G-6 Hedgerow Data'!$B$2:$AG$15,2,FALSE))</f>
        <v/>
      </c>
      <c r="G17" s="172" t="str">
        <f>IF(D17="","",VLOOKUP(D17,'G-6 Hedgerow Data'!$B$2:$AG$15,3,FALSE))</f>
        <v/>
      </c>
      <c r="H17" s="173"/>
      <c r="I17" s="172" t="str">
        <f>IFERROR(IF(AND(F17="V.Low",OR(H17="Good",H17="Moderate")),"Error",VLOOKUP(H17,'G-1 All Habitats'!$Z$2:$AA$9,2,FALSE)),"")</f>
        <v/>
      </c>
      <c r="J17" s="186"/>
      <c r="K17" s="175" t="str">
        <f>IF(J17="","",IF(VLOOKUP(J17,'G-3 Multipliers'!$L$3:$N$6,2,FALSE)=0,"Spatial Data Missing",VLOOKUP(J17,'G-3 Multipliers'!$L$3:$N$6,2,FALSE)))</f>
        <v/>
      </c>
      <c r="L17" s="176" t="str">
        <f>IF(J17="","",IF(VLOOKUP(J17,'G-3 Multipliers'!$L$3:$N$6,3,FALSE)=0,"Spatial Data Missing",VLOOKUP(J17,'G-3 Multipliers'!$L$3:$N$6,3,FALSE)))</f>
        <v/>
      </c>
      <c r="M17" s="177" t="str">
        <f>IF(D17="","",VLOOKUP(D17,'G-6 Hedgerow Data'!$B$1:$AH$15,33,FALSE))</f>
        <v/>
      </c>
      <c r="N17" s="207" t="str">
        <f t="shared" si="2"/>
        <v/>
      </c>
      <c r="O17" s="44"/>
      <c r="P17" s="173"/>
      <c r="Q17" s="189"/>
      <c r="R17" s="179" t="str">
        <f t="shared" si="3"/>
        <v/>
      </c>
      <c r="S17" s="179" t="str">
        <f t="shared" si="4"/>
        <v/>
      </c>
      <c r="T17" s="208" t="str">
        <f t="shared" si="5"/>
        <v/>
      </c>
      <c r="U17" s="209" t="str">
        <f t="shared" si="6"/>
        <v/>
      </c>
      <c r="V17" s="182"/>
      <c r="W17" s="183"/>
      <c r="AB17" s="35" t="str">
        <f>IFERROR(INDEX('G-6 Hedgerow Data'!$BJ$3:$BJ$15,MATCH(D17,'G-6 Hedgerow Data'!$B$3:$B$15,0)),"")</f>
        <v/>
      </c>
      <c r="AE17" s="188" t="str">
        <f t="shared" si="0"/>
        <v/>
      </c>
      <c r="AF17" s="188" t="str">
        <f t="shared" si="1"/>
        <v/>
      </c>
      <c r="AH17" s="188">
        <v>8</v>
      </c>
      <c r="AJ17" s="188" t="str">
        <f t="array" ref="AJ17">IFERROR(INDEX($AH$10:$AH$258, MATCH(0, IF(TRUE=$AE$10:$AE$258, COUNTIF($AJ$9:$AJ16, $AH$10:$AH$258), ""), 0)),"")</f>
        <v/>
      </c>
      <c r="AK17" s="188" t="str">
        <f t="array" ref="AK17">IFERROR(INDEX($AH$10:$AH$258, MATCH(0, IF(TRUE=$AF$10:$AF$258, COUNTIF($AK$9:$AK16, $AH$10:$AH$258), ""), 0)),"")</f>
        <v/>
      </c>
    </row>
    <row r="18" spans="2:37" ht="13.8" x14ac:dyDescent="0.25">
      <c r="B18" s="168">
        <v>9</v>
      </c>
      <c r="C18" s="275"/>
      <c r="D18" s="275"/>
      <c r="E18" s="185"/>
      <c r="F18" s="171" t="str">
        <f>IF(D18="","",VLOOKUP(D18,'G-6 Hedgerow Data'!$B$2:$AG$15,2,FALSE))</f>
        <v/>
      </c>
      <c r="G18" s="172" t="str">
        <f>IF(D18="","",VLOOKUP(D18,'G-6 Hedgerow Data'!$B$2:$AG$15,3,FALSE))</f>
        <v/>
      </c>
      <c r="H18" s="173"/>
      <c r="I18" s="172" t="str">
        <f>IFERROR(IF(AND(F18="V.Low",OR(H18="Good",H18="Moderate")),"Error",VLOOKUP(H18,'G-1 All Habitats'!$Z$2:$AA$9,2,FALSE)),"")</f>
        <v/>
      </c>
      <c r="J18" s="186"/>
      <c r="K18" s="175" t="str">
        <f>IF(J18="","",IF(VLOOKUP(J18,'G-3 Multipliers'!$L$3:$N$6,2,FALSE)=0,"Spatial Data Missing",VLOOKUP(J18,'G-3 Multipliers'!$L$3:$N$6,2,FALSE)))</f>
        <v/>
      </c>
      <c r="L18" s="176" t="str">
        <f>IF(J18="","",IF(VLOOKUP(J18,'G-3 Multipliers'!$L$3:$N$6,3,FALSE)=0,"Spatial Data Missing",VLOOKUP(J18,'G-3 Multipliers'!$L$3:$N$6,3,FALSE)))</f>
        <v/>
      </c>
      <c r="M18" s="177" t="str">
        <f>IF(D18="","",VLOOKUP(D18,'G-6 Hedgerow Data'!$B$1:$AH$15,33,FALSE))</f>
        <v/>
      </c>
      <c r="N18" s="207" t="str">
        <f t="shared" si="2"/>
        <v/>
      </c>
      <c r="O18" s="44"/>
      <c r="P18" s="173"/>
      <c r="Q18" s="189"/>
      <c r="R18" s="179" t="str">
        <f t="shared" si="3"/>
        <v/>
      </c>
      <c r="S18" s="179" t="str">
        <f t="shared" si="4"/>
        <v/>
      </c>
      <c r="T18" s="208" t="str">
        <f t="shared" si="5"/>
        <v/>
      </c>
      <c r="U18" s="209" t="str">
        <f t="shared" si="6"/>
        <v/>
      </c>
      <c r="V18" s="182"/>
      <c r="W18" s="183"/>
      <c r="AB18" s="35" t="str">
        <f>IFERROR(INDEX('G-6 Hedgerow Data'!$BJ$3:$BJ$15,MATCH(D18,'G-6 Hedgerow Data'!$B$3:$B$15,0)),"")</f>
        <v/>
      </c>
      <c r="AE18" s="188" t="str">
        <f t="shared" si="0"/>
        <v/>
      </c>
      <c r="AF18" s="188" t="str">
        <f t="shared" si="1"/>
        <v/>
      </c>
      <c r="AH18" s="188">
        <v>9</v>
      </c>
      <c r="AJ18" s="188" t="str">
        <f t="array" ref="AJ18">IFERROR(INDEX($AH$10:$AH$258, MATCH(0, IF(TRUE=$AE$10:$AE$258, COUNTIF($AJ$9:$AJ17, $AH$10:$AH$258), ""), 0)),"")</f>
        <v/>
      </c>
      <c r="AK18" s="188" t="str">
        <f t="array" ref="AK18">IFERROR(INDEX($AH$10:$AH$258, MATCH(0, IF(TRUE=$AF$10:$AF$258, COUNTIF($AK$9:$AK17, $AH$10:$AH$258), ""), 0)),"")</f>
        <v/>
      </c>
    </row>
    <row r="19" spans="2:37" ht="13.8" x14ac:dyDescent="0.25">
      <c r="B19" s="168">
        <v>10</v>
      </c>
      <c r="C19" s="275"/>
      <c r="D19" s="275"/>
      <c r="E19" s="185"/>
      <c r="F19" s="171" t="str">
        <f>IF(D19="","",VLOOKUP(D19,'G-6 Hedgerow Data'!$B$2:$AG$15,2,FALSE))</f>
        <v/>
      </c>
      <c r="G19" s="172" t="str">
        <f>IF(D19="","",VLOOKUP(D19,'G-6 Hedgerow Data'!$B$2:$AG$15,3,FALSE))</f>
        <v/>
      </c>
      <c r="H19" s="173"/>
      <c r="I19" s="172" t="str">
        <f>IFERROR(IF(AND(F19="V.Low",OR(H19="Good",H19="Moderate")),"Error",VLOOKUP(H19,'G-1 All Habitats'!$Z$2:$AA$9,2,FALSE)),"")</f>
        <v/>
      </c>
      <c r="J19" s="186"/>
      <c r="K19" s="175" t="str">
        <f>IF(J19="","",IF(VLOOKUP(J19,'G-3 Multipliers'!$L$3:$N$6,2,FALSE)=0,"Spatial Data Missing",VLOOKUP(J19,'G-3 Multipliers'!$L$3:$N$6,2,FALSE)))</f>
        <v/>
      </c>
      <c r="L19" s="176" t="str">
        <f>IF(J19="","",IF(VLOOKUP(J19,'G-3 Multipliers'!$L$3:$N$6,3,FALSE)=0,"Spatial Data Missing",VLOOKUP(J19,'G-3 Multipliers'!$L$3:$N$6,3,FALSE)))</f>
        <v/>
      </c>
      <c r="M19" s="177" t="str">
        <f>IF(D19="","",VLOOKUP(D19,'G-6 Hedgerow Data'!$B$1:$AH$15,33,FALSE))</f>
        <v/>
      </c>
      <c r="N19" s="207" t="str">
        <f t="shared" si="2"/>
        <v/>
      </c>
      <c r="O19" s="44"/>
      <c r="P19" s="173"/>
      <c r="Q19" s="189"/>
      <c r="R19" s="179" t="str">
        <f t="shared" si="3"/>
        <v/>
      </c>
      <c r="S19" s="179" t="str">
        <f t="shared" si="4"/>
        <v/>
      </c>
      <c r="T19" s="208" t="str">
        <f t="shared" si="5"/>
        <v/>
      </c>
      <c r="U19" s="209" t="str">
        <f t="shared" si="6"/>
        <v/>
      </c>
      <c r="V19" s="182"/>
      <c r="W19" s="183"/>
      <c r="AB19" s="35" t="str">
        <f>IFERROR(INDEX('G-6 Hedgerow Data'!$BJ$3:$BJ$15,MATCH(D19,'G-6 Hedgerow Data'!$B$3:$B$15,0)),"")</f>
        <v/>
      </c>
      <c r="AE19" s="188" t="str">
        <f t="shared" si="0"/>
        <v/>
      </c>
      <c r="AF19" s="188" t="str">
        <f t="shared" si="1"/>
        <v/>
      </c>
      <c r="AH19" s="188">
        <v>10</v>
      </c>
      <c r="AJ19" s="188" t="str">
        <f t="array" ref="AJ19">IFERROR(INDEX($AH$10:$AH$258, MATCH(0, IF(TRUE=$AE$10:$AE$258, COUNTIF($AJ$9:$AJ18, $AH$10:$AH$258), ""), 0)),"")</f>
        <v/>
      </c>
      <c r="AK19" s="188" t="str">
        <f t="array" ref="AK19">IFERROR(INDEX($AH$10:$AH$258, MATCH(0, IF(TRUE=$AF$10:$AF$258, COUNTIF($AK$9:$AK18, $AH$10:$AH$258), ""), 0)),"")</f>
        <v/>
      </c>
    </row>
    <row r="20" spans="2:37" ht="13.8" x14ac:dyDescent="0.25">
      <c r="B20" s="168">
        <v>11</v>
      </c>
      <c r="C20" s="275"/>
      <c r="D20" s="275"/>
      <c r="E20" s="185"/>
      <c r="F20" s="171" t="str">
        <f>IF(D20="","",VLOOKUP(D20,'G-6 Hedgerow Data'!$B$2:$AG$15,2,FALSE))</f>
        <v/>
      </c>
      <c r="G20" s="172" t="str">
        <f>IF(D20="","",VLOOKUP(D20,'G-6 Hedgerow Data'!$B$2:$AG$15,3,FALSE))</f>
        <v/>
      </c>
      <c r="H20" s="173"/>
      <c r="I20" s="172" t="str">
        <f>IFERROR(IF(AND(F20="V.Low",OR(H20="Good",H20="Moderate")),"Error",VLOOKUP(H20,'G-1 All Habitats'!$Z$2:$AA$9,2,FALSE)),"")</f>
        <v/>
      </c>
      <c r="J20" s="186"/>
      <c r="K20" s="175" t="str">
        <f>IF(J20="","",IF(VLOOKUP(J20,'G-3 Multipliers'!$L$3:$N$6,2,FALSE)=0,"Spatial Data Missing",VLOOKUP(J20,'G-3 Multipliers'!$L$3:$N$6,2,FALSE)))</f>
        <v/>
      </c>
      <c r="L20" s="176" t="str">
        <f>IF(J20="","",IF(VLOOKUP(J20,'G-3 Multipliers'!$L$3:$N$6,3,FALSE)=0,"Spatial Data Missing",VLOOKUP(J20,'G-3 Multipliers'!$L$3:$N$6,3,FALSE)))</f>
        <v/>
      </c>
      <c r="M20" s="177" t="str">
        <f>IF(D20="","",VLOOKUP(D20,'G-6 Hedgerow Data'!$B$1:$AH$15,33,FALSE))</f>
        <v/>
      </c>
      <c r="N20" s="207" t="str">
        <f t="shared" si="2"/>
        <v/>
      </c>
      <c r="O20" s="44"/>
      <c r="P20" s="173"/>
      <c r="Q20" s="189"/>
      <c r="R20" s="179" t="str">
        <f t="shared" si="3"/>
        <v/>
      </c>
      <c r="S20" s="179" t="str">
        <f t="shared" si="4"/>
        <v/>
      </c>
      <c r="T20" s="208" t="str">
        <f t="shared" si="5"/>
        <v/>
      </c>
      <c r="U20" s="209" t="str">
        <f t="shared" si="6"/>
        <v/>
      </c>
      <c r="V20" s="182"/>
      <c r="W20" s="183"/>
      <c r="AB20" s="35" t="str">
        <f>IFERROR(INDEX('G-6 Hedgerow Data'!$BJ$3:$BJ$15,MATCH(D20,'G-6 Hedgerow Data'!$B$3:$B$15,0)),"")</f>
        <v/>
      </c>
      <c r="AE20" s="188" t="str">
        <f t="shared" si="0"/>
        <v/>
      </c>
      <c r="AF20" s="188" t="str">
        <f t="shared" si="1"/>
        <v/>
      </c>
      <c r="AH20" s="188">
        <v>11</v>
      </c>
      <c r="AJ20" s="188" t="str">
        <f t="array" ref="AJ20">IFERROR(INDEX($AH$10:$AH$258, MATCH(0, IF(TRUE=$AE$10:$AE$258, COUNTIF($AJ$9:$AJ19, $AH$10:$AH$258), ""), 0)),"")</f>
        <v/>
      </c>
      <c r="AK20" s="188" t="str">
        <f t="array" ref="AK20">IFERROR(INDEX($AH$10:$AH$258, MATCH(0, IF(TRUE=$AF$10:$AF$258, COUNTIF($AK$9:$AK19, $AH$10:$AH$258), ""), 0)),"")</f>
        <v/>
      </c>
    </row>
    <row r="21" spans="2:37" ht="13.8" x14ac:dyDescent="0.25">
      <c r="B21" s="168">
        <v>12</v>
      </c>
      <c r="C21" s="275"/>
      <c r="D21" s="275"/>
      <c r="E21" s="185"/>
      <c r="F21" s="171" t="str">
        <f>IF(D21="","",VLOOKUP(D21,'G-6 Hedgerow Data'!$B$2:$AG$15,2,FALSE))</f>
        <v/>
      </c>
      <c r="G21" s="172" t="str">
        <f>IF(D21="","",VLOOKUP(D21,'G-6 Hedgerow Data'!$B$2:$AG$15,3,FALSE))</f>
        <v/>
      </c>
      <c r="H21" s="173"/>
      <c r="I21" s="172" t="str">
        <f>IFERROR(IF(AND(F21="V.Low",OR(H21="Good",H21="Moderate")),"Error",VLOOKUP(H21,'G-1 All Habitats'!$Z$2:$AA$9,2,FALSE)),"")</f>
        <v/>
      </c>
      <c r="J21" s="186"/>
      <c r="K21" s="175" t="str">
        <f>IF(J21="","",IF(VLOOKUP(J21,'G-3 Multipliers'!$L$3:$N$6,2,FALSE)=0,"Spatial Data Missing",VLOOKUP(J21,'G-3 Multipliers'!$L$3:$N$6,2,FALSE)))</f>
        <v/>
      </c>
      <c r="L21" s="176" t="str">
        <f>IF(J21="","",IF(VLOOKUP(J21,'G-3 Multipliers'!$L$3:$N$6,3,FALSE)=0,"Spatial Data Missing",VLOOKUP(J21,'G-3 Multipliers'!$L$3:$N$6,3,FALSE)))</f>
        <v/>
      </c>
      <c r="M21" s="177" t="str">
        <f>IF(D21="","",VLOOKUP(D21,'G-6 Hedgerow Data'!$B$1:$AH$15,33,FALSE))</f>
        <v/>
      </c>
      <c r="N21" s="207" t="str">
        <f t="shared" si="2"/>
        <v/>
      </c>
      <c r="O21" s="44"/>
      <c r="P21" s="173"/>
      <c r="Q21" s="189"/>
      <c r="R21" s="179" t="str">
        <f t="shared" si="3"/>
        <v/>
      </c>
      <c r="S21" s="179" t="str">
        <f t="shared" si="4"/>
        <v/>
      </c>
      <c r="T21" s="208" t="str">
        <f t="shared" si="5"/>
        <v/>
      </c>
      <c r="U21" s="209" t="str">
        <f t="shared" si="6"/>
        <v/>
      </c>
      <c r="V21" s="182"/>
      <c r="W21" s="183"/>
      <c r="AB21" s="35" t="str">
        <f>IFERROR(INDEX('G-6 Hedgerow Data'!$BJ$3:$BJ$15,MATCH(D21,'G-6 Hedgerow Data'!$B$3:$B$15,0)),"")</f>
        <v/>
      </c>
      <c r="AE21" s="188" t="str">
        <f t="shared" si="0"/>
        <v/>
      </c>
      <c r="AF21" s="188" t="str">
        <f t="shared" si="1"/>
        <v/>
      </c>
      <c r="AH21" s="188">
        <v>12</v>
      </c>
      <c r="AJ21" s="188" t="str">
        <f t="array" ref="AJ21">IFERROR(INDEX($AH$10:$AH$258, MATCH(0, IF(TRUE=$AE$10:$AE$258, COUNTIF($AJ$9:$AJ20, $AH$10:$AH$258), ""), 0)),"")</f>
        <v/>
      </c>
      <c r="AK21" s="188" t="str">
        <f t="array" ref="AK21">IFERROR(INDEX($AH$10:$AH$258, MATCH(0, IF(TRUE=$AF$10:$AF$258, COUNTIF($AK$9:$AK20, $AH$10:$AH$258), ""), 0)),"")</f>
        <v/>
      </c>
    </row>
    <row r="22" spans="2:37" ht="13.8" x14ac:dyDescent="0.25">
      <c r="B22" s="168">
        <v>13</v>
      </c>
      <c r="C22" s="275"/>
      <c r="D22" s="275"/>
      <c r="E22" s="185"/>
      <c r="F22" s="171" t="str">
        <f>IF(D22="","",VLOOKUP(D22,'G-6 Hedgerow Data'!$B$2:$AG$15,2,FALSE))</f>
        <v/>
      </c>
      <c r="G22" s="172" t="str">
        <f>IF(D22="","",VLOOKUP(D22,'G-6 Hedgerow Data'!$B$2:$AG$15,3,FALSE))</f>
        <v/>
      </c>
      <c r="H22" s="173"/>
      <c r="I22" s="172" t="str">
        <f>IFERROR(IF(AND(F22="V.Low",OR(H22="Good",H22="Moderate")),"Error",VLOOKUP(H22,'G-1 All Habitats'!$Z$2:$AA$9,2,FALSE)),"")</f>
        <v/>
      </c>
      <c r="J22" s="186"/>
      <c r="K22" s="175" t="str">
        <f>IF(J22="","",IF(VLOOKUP(J22,'G-3 Multipliers'!$L$3:$N$6,2,FALSE)=0,"Spatial Data Missing",VLOOKUP(J22,'G-3 Multipliers'!$L$3:$N$6,2,FALSE)))</f>
        <v/>
      </c>
      <c r="L22" s="176" t="str">
        <f>IF(J22="","",IF(VLOOKUP(J22,'G-3 Multipliers'!$L$3:$N$6,3,FALSE)=0,"Spatial Data Missing",VLOOKUP(J22,'G-3 Multipliers'!$L$3:$N$6,3,FALSE)))</f>
        <v/>
      </c>
      <c r="M22" s="177" t="str">
        <f>IF(D22="","",VLOOKUP(D22,'G-6 Hedgerow Data'!$B$1:$AH$15,33,FALSE))</f>
        <v/>
      </c>
      <c r="N22" s="207" t="str">
        <f t="shared" si="2"/>
        <v/>
      </c>
      <c r="O22" s="44"/>
      <c r="P22" s="173"/>
      <c r="Q22" s="189"/>
      <c r="R22" s="179" t="str">
        <f t="shared" si="3"/>
        <v/>
      </c>
      <c r="S22" s="179" t="str">
        <f t="shared" si="4"/>
        <v/>
      </c>
      <c r="T22" s="208" t="str">
        <f t="shared" si="5"/>
        <v/>
      </c>
      <c r="U22" s="209" t="str">
        <f t="shared" si="6"/>
        <v/>
      </c>
      <c r="V22" s="182"/>
      <c r="W22" s="183"/>
      <c r="AB22" s="35" t="str">
        <f>IFERROR(INDEX('G-6 Hedgerow Data'!$BJ$3:$BJ$15,MATCH(D22,'G-6 Hedgerow Data'!$B$3:$B$15,0)),"")</f>
        <v/>
      </c>
      <c r="AE22" s="188" t="str">
        <f t="shared" si="0"/>
        <v/>
      </c>
      <c r="AF22" s="188" t="str">
        <f t="shared" si="1"/>
        <v/>
      </c>
      <c r="AH22" s="188">
        <v>13</v>
      </c>
      <c r="AJ22" s="188" t="str">
        <f t="array" ref="AJ22">IFERROR(INDEX($AH$10:$AH$258, MATCH(0, IF(TRUE=$AE$10:$AE$258, COUNTIF($AJ$9:$AJ21, $AH$10:$AH$258), ""), 0)),"")</f>
        <v/>
      </c>
      <c r="AK22" s="188" t="str">
        <f t="array" ref="AK22">IFERROR(INDEX($AH$10:$AH$258, MATCH(0, IF(TRUE=$AF$10:$AF$258, COUNTIF($AK$9:$AK21, $AH$10:$AH$258), ""), 0)),"")</f>
        <v/>
      </c>
    </row>
    <row r="23" spans="2:37" ht="13.8" x14ac:dyDescent="0.25">
      <c r="B23" s="168">
        <v>14</v>
      </c>
      <c r="C23" s="275"/>
      <c r="D23" s="275"/>
      <c r="E23" s="185"/>
      <c r="F23" s="171" t="str">
        <f>IF(D23="","",VLOOKUP(D23,'G-6 Hedgerow Data'!$B$2:$AG$15,2,FALSE))</f>
        <v/>
      </c>
      <c r="G23" s="172" t="str">
        <f>IF(D23="","",VLOOKUP(D23,'G-6 Hedgerow Data'!$B$2:$AG$15,3,FALSE))</f>
        <v/>
      </c>
      <c r="H23" s="173"/>
      <c r="I23" s="172" t="str">
        <f>IFERROR(IF(AND(F23="V.Low",OR(H23="Good",H23="Moderate")),"Error",VLOOKUP(H23,'G-1 All Habitats'!$Z$2:$AA$9,2,FALSE)),"")</f>
        <v/>
      </c>
      <c r="J23" s="186"/>
      <c r="K23" s="175" t="str">
        <f>IF(J23="","",IF(VLOOKUP(J23,'G-3 Multipliers'!$L$3:$N$6,2,FALSE)=0,"Spatial Data Missing",VLOOKUP(J23,'G-3 Multipliers'!$L$3:$N$6,2,FALSE)))</f>
        <v/>
      </c>
      <c r="L23" s="176" t="str">
        <f>IF(J23="","",IF(VLOOKUP(J23,'G-3 Multipliers'!$L$3:$N$6,3,FALSE)=0,"Spatial Data Missing",VLOOKUP(J23,'G-3 Multipliers'!$L$3:$N$6,3,FALSE)))</f>
        <v/>
      </c>
      <c r="M23" s="177" t="str">
        <f>IF(D23="","",VLOOKUP(D23,'G-6 Hedgerow Data'!$B$1:$AH$15,33,FALSE))</f>
        <v/>
      </c>
      <c r="N23" s="207" t="str">
        <f t="shared" si="2"/>
        <v/>
      </c>
      <c r="O23" s="44"/>
      <c r="P23" s="173"/>
      <c r="Q23" s="189"/>
      <c r="R23" s="179" t="str">
        <f t="shared" si="3"/>
        <v/>
      </c>
      <c r="S23" s="179" t="str">
        <f t="shared" si="4"/>
        <v/>
      </c>
      <c r="T23" s="208" t="str">
        <f t="shared" si="5"/>
        <v/>
      </c>
      <c r="U23" s="209" t="str">
        <f t="shared" si="6"/>
        <v/>
      </c>
      <c r="V23" s="182"/>
      <c r="W23" s="183"/>
      <c r="AB23" s="35" t="str">
        <f>IFERROR(INDEX('G-6 Hedgerow Data'!$BJ$3:$BJ$15,MATCH(D23,'G-6 Hedgerow Data'!$B$3:$B$15,0)),"")</f>
        <v/>
      </c>
      <c r="AE23" s="188" t="str">
        <f t="shared" si="0"/>
        <v/>
      </c>
      <c r="AF23" s="188" t="str">
        <f t="shared" si="1"/>
        <v/>
      </c>
      <c r="AH23" s="188">
        <v>14</v>
      </c>
      <c r="AJ23" s="188" t="str">
        <f t="array" ref="AJ23">IFERROR(INDEX($AH$10:$AH$258, MATCH(0, IF(TRUE=$AE$10:$AE$258, COUNTIF($AJ$9:$AJ22, $AH$10:$AH$258), ""), 0)),"")</f>
        <v/>
      </c>
      <c r="AK23" s="188" t="str">
        <f t="array" ref="AK23">IFERROR(INDEX($AH$10:$AH$258, MATCH(0, IF(TRUE=$AF$10:$AF$258, COUNTIF($AK$9:$AK22, $AH$10:$AH$258), ""), 0)),"")</f>
        <v/>
      </c>
    </row>
    <row r="24" spans="2:37" ht="13.8" x14ac:dyDescent="0.25">
      <c r="B24" s="168">
        <v>15</v>
      </c>
      <c r="C24" s="275"/>
      <c r="D24" s="275"/>
      <c r="E24" s="185"/>
      <c r="F24" s="171" t="str">
        <f>IF(D24="","",VLOOKUP(D24,'G-6 Hedgerow Data'!$B$2:$AG$15,2,FALSE))</f>
        <v/>
      </c>
      <c r="G24" s="172" t="str">
        <f>IF(D24="","",VLOOKUP(D24,'G-6 Hedgerow Data'!$B$2:$AG$15,3,FALSE))</f>
        <v/>
      </c>
      <c r="H24" s="173"/>
      <c r="I24" s="172" t="str">
        <f>IFERROR(IF(AND(F24="V.Low",OR(H24="Good",H24="Moderate")),"Error",VLOOKUP(H24,'G-1 All Habitats'!$Z$2:$AA$9,2,FALSE)),"")</f>
        <v/>
      </c>
      <c r="J24" s="186"/>
      <c r="K24" s="175" t="str">
        <f>IF(J24="","",IF(VLOOKUP(J24,'G-3 Multipliers'!$L$3:$N$6,2,FALSE)=0,"Spatial Data Missing",VLOOKUP(J24,'G-3 Multipliers'!$L$3:$N$6,2,FALSE)))</f>
        <v/>
      </c>
      <c r="L24" s="176" t="str">
        <f>IF(J24="","",IF(VLOOKUP(J24,'G-3 Multipliers'!$L$3:$N$6,3,FALSE)=0,"Spatial Data Missing",VLOOKUP(J24,'G-3 Multipliers'!$L$3:$N$6,3,FALSE)))</f>
        <v/>
      </c>
      <c r="M24" s="177" t="str">
        <f>IF(D24="","",VLOOKUP(D24,'G-6 Hedgerow Data'!$B$1:$AH$15,33,FALSE))</f>
        <v/>
      </c>
      <c r="N24" s="207" t="str">
        <f t="shared" si="2"/>
        <v/>
      </c>
      <c r="O24" s="44"/>
      <c r="P24" s="173"/>
      <c r="Q24" s="189"/>
      <c r="R24" s="179" t="str">
        <f t="shared" si="3"/>
        <v/>
      </c>
      <c r="S24" s="179" t="str">
        <f t="shared" si="4"/>
        <v/>
      </c>
      <c r="T24" s="208" t="str">
        <f t="shared" si="5"/>
        <v/>
      </c>
      <c r="U24" s="209" t="str">
        <f t="shared" si="6"/>
        <v/>
      </c>
      <c r="V24" s="182"/>
      <c r="W24" s="183"/>
      <c r="AB24" s="35" t="str">
        <f>IFERROR(INDEX('G-6 Hedgerow Data'!$BJ$3:$BJ$15,MATCH(D24,'G-6 Hedgerow Data'!$B$3:$B$15,0)),"")</f>
        <v/>
      </c>
      <c r="AE24" s="188" t="str">
        <f t="shared" si="0"/>
        <v/>
      </c>
      <c r="AF24" s="188" t="str">
        <f t="shared" si="1"/>
        <v/>
      </c>
      <c r="AH24" s="188">
        <v>15</v>
      </c>
      <c r="AJ24" s="188" t="str">
        <f t="array" ref="AJ24">IFERROR(INDEX($AH$10:$AH$258, MATCH(0, IF(TRUE=$AE$10:$AE$258, COUNTIF($AJ$9:$AJ23, $AH$10:$AH$258), ""), 0)),"")</f>
        <v/>
      </c>
      <c r="AK24" s="188" t="str">
        <f t="array" ref="AK24">IFERROR(INDEX($AH$10:$AH$258, MATCH(0, IF(TRUE=$AF$10:$AF$258, COUNTIF($AK$9:$AK23, $AH$10:$AH$258), ""), 0)),"")</f>
        <v/>
      </c>
    </row>
    <row r="25" spans="2:37" ht="13.8" x14ac:dyDescent="0.25">
      <c r="B25" s="168">
        <v>16</v>
      </c>
      <c r="C25" s="275"/>
      <c r="D25" s="275"/>
      <c r="E25" s="185"/>
      <c r="F25" s="171" t="str">
        <f>IF(D25="","",VLOOKUP(D25,'G-6 Hedgerow Data'!$B$2:$AG$15,2,FALSE))</f>
        <v/>
      </c>
      <c r="G25" s="172" t="str">
        <f>IF(D25="","",VLOOKUP(D25,'G-6 Hedgerow Data'!$B$2:$AG$15,3,FALSE))</f>
        <v/>
      </c>
      <c r="H25" s="173"/>
      <c r="I25" s="172" t="str">
        <f>IFERROR(IF(AND(F25="V.Low",OR(H25="Good",H25="Moderate")),"Error",VLOOKUP(H25,'G-1 All Habitats'!$Z$2:$AA$9,2,FALSE)),"")</f>
        <v/>
      </c>
      <c r="J25" s="186"/>
      <c r="K25" s="175" t="str">
        <f>IF(J25="","",IF(VLOOKUP(J25,'G-3 Multipliers'!$L$3:$N$6,2,FALSE)=0,"Spatial Data Missing",VLOOKUP(J25,'G-3 Multipliers'!$L$3:$N$6,2,FALSE)))</f>
        <v/>
      </c>
      <c r="L25" s="176" t="str">
        <f>IF(J25="","",IF(VLOOKUP(J25,'G-3 Multipliers'!$L$3:$N$6,3,FALSE)=0,"Spatial Data Missing",VLOOKUP(J25,'G-3 Multipliers'!$L$3:$N$6,3,FALSE)))</f>
        <v/>
      </c>
      <c r="M25" s="177" t="str">
        <f>IF(D25="","",VLOOKUP(D25,'G-6 Hedgerow Data'!$B$1:$AH$15,33,FALSE))</f>
        <v/>
      </c>
      <c r="N25" s="207" t="str">
        <f t="shared" si="2"/>
        <v/>
      </c>
      <c r="O25" s="44"/>
      <c r="P25" s="173"/>
      <c r="Q25" s="189"/>
      <c r="R25" s="179" t="str">
        <f t="shared" si="3"/>
        <v/>
      </c>
      <c r="S25" s="179" t="str">
        <f t="shared" si="4"/>
        <v/>
      </c>
      <c r="T25" s="208" t="str">
        <f t="shared" si="5"/>
        <v/>
      </c>
      <c r="U25" s="209" t="str">
        <f t="shared" si="6"/>
        <v/>
      </c>
      <c r="V25" s="182"/>
      <c r="W25" s="183"/>
      <c r="AB25" s="35" t="str">
        <f>IFERROR(INDEX('G-6 Hedgerow Data'!$BJ$3:$BJ$15,MATCH(D25,'G-6 Hedgerow Data'!$B$3:$B$15,0)),"")</f>
        <v/>
      </c>
      <c r="AE25" s="188" t="str">
        <f t="shared" si="0"/>
        <v/>
      </c>
      <c r="AF25" s="188" t="str">
        <f t="shared" si="1"/>
        <v/>
      </c>
      <c r="AH25" s="188">
        <v>16</v>
      </c>
      <c r="AJ25" s="188" t="str">
        <f t="array" ref="AJ25">IFERROR(INDEX($AH$10:$AH$258, MATCH(0, IF(TRUE=$AE$10:$AE$258, COUNTIF($AJ$9:$AJ24, $AH$10:$AH$258), ""), 0)),"")</f>
        <v/>
      </c>
      <c r="AK25" s="188" t="str">
        <f t="array" ref="AK25">IFERROR(INDEX($AH$10:$AH$258, MATCH(0, IF(TRUE=$AF$10:$AF$258, COUNTIF($AK$9:$AK24, $AH$10:$AH$258), ""), 0)),"")</f>
        <v/>
      </c>
    </row>
    <row r="26" spans="2:37" ht="13.8" x14ac:dyDescent="0.25">
      <c r="B26" s="168">
        <v>17</v>
      </c>
      <c r="C26" s="275"/>
      <c r="D26" s="275"/>
      <c r="E26" s="185"/>
      <c r="F26" s="171" t="str">
        <f>IF(D26="","",VLOOKUP(D26,'G-6 Hedgerow Data'!$B$2:$AG$15,2,FALSE))</f>
        <v/>
      </c>
      <c r="G26" s="172" t="str">
        <f>IF(D26="","",VLOOKUP(D26,'G-6 Hedgerow Data'!$B$2:$AG$15,3,FALSE))</f>
        <v/>
      </c>
      <c r="H26" s="173"/>
      <c r="I26" s="172" t="str">
        <f>IFERROR(IF(AND(F26="V.Low",OR(H26="Good",H26="Moderate")),"Error",VLOOKUP(H26,'G-1 All Habitats'!$Z$2:$AA$9,2,FALSE)),"")</f>
        <v/>
      </c>
      <c r="J26" s="186"/>
      <c r="K26" s="175" t="str">
        <f>IF(J26="","",IF(VLOOKUP(J26,'G-3 Multipliers'!$L$3:$N$6,2,FALSE)=0,"Spatial Data Missing",VLOOKUP(J26,'G-3 Multipliers'!$L$3:$N$6,2,FALSE)))</f>
        <v/>
      </c>
      <c r="L26" s="176" t="str">
        <f>IF(J26="","",IF(VLOOKUP(J26,'G-3 Multipliers'!$L$3:$N$6,3,FALSE)=0,"Spatial Data Missing",VLOOKUP(J26,'G-3 Multipliers'!$L$3:$N$6,3,FALSE)))</f>
        <v/>
      </c>
      <c r="M26" s="177" t="str">
        <f>IF(D26="","",VLOOKUP(D26,'G-6 Hedgerow Data'!$B$1:$AH$15,33,FALSE))</f>
        <v/>
      </c>
      <c r="N26" s="207" t="str">
        <f t="shared" si="2"/>
        <v/>
      </c>
      <c r="O26" s="44"/>
      <c r="P26" s="173"/>
      <c r="Q26" s="189"/>
      <c r="R26" s="179" t="str">
        <f t="shared" si="3"/>
        <v/>
      </c>
      <c r="S26" s="179" t="str">
        <f t="shared" si="4"/>
        <v/>
      </c>
      <c r="T26" s="208" t="str">
        <f t="shared" si="5"/>
        <v/>
      </c>
      <c r="U26" s="209" t="str">
        <f t="shared" si="6"/>
        <v/>
      </c>
      <c r="V26" s="182"/>
      <c r="W26" s="183"/>
      <c r="AB26" s="35" t="str">
        <f>IFERROR(INDEX('G-6 Hedgerow Data'!$BJ$3:$BJ$15,MATCH(D26,'G-6 Hedgerow Data'!$B$3:$B$15,0)),"")</f>
        <v/>
      </c>
      <c r="AE26" s="188" t="str">
        <f t="shared" si="0"/>
        <v/>
      </c>
      <c r="AF26" s="188" t="str">
        <f t="shared" si="1"/>
        <v/>
      </c>
      <c r="AH26" s="188">
        <v>17</v>
      </c>
      <c r="AJ26" s="188" t="str">
        <f t="array" ref="AJ26">IFERROR(INDEX($AH$10:$AH$258, MATCH(0, IF(TRUE=$AE$10:$AE$258, COUNTIF($AJ$9:$AJ25, $AH$10:$AH$258), ""), 0)),"")</f>
        <v/>
      </c>
      <c r="AK26" s="188" t="str">
        <f t="array" ref="AK26">IFERROR(INDEX($AH$10:$AH$258, MATCH(0, IF(TRUE=$AF$10:$AF$258, COUNTIF($AK$9:$AK25, $AH$10:$AH$258), ""), 0)),"")</f>
        <v/>
      </c>
    </row>
    <row r="27" spans="2:37" ht="13.8" x14ac:dyDescent="0.25">
      <c r="B27" s="168">
        <v>18</v>
      </c>
      <c r="C27" s="275"/>
      <c r="D27" s="275"/>
      <c r="E27" s="185"/>
      <c r="F27" s="171" t="str">
        <f>IF(D27="","",VLOOKUP(D27,'G-6 Hedgerow Data'!$B$2:$AG$15,2,FALSE))</f>
        <v/>
      </c>
      <c r="G27" s="172" t="str">
        <f>IF(D27="","",VLOOKUP(D27,'G-6 Hedgerow Data'!$B$2:$AG$15,3,FALSE))</f>
        <v/>
      </c>
      <c r="H27" s="173"/>
      <c r="I27" s="172" t="str">
        <f>IFERROR(IF(AND(F27="V.Low",OR(H27="Good",H27="Moderate")),"Error",VLOOKUP(H27,'G-1 All Habitats'!$Z$2:$AA$9,2,FALSE)),"")</f>
        <v/>
      </c>
      <c r="J27" s="186"/>
      <c r="K27" s="175" t="str">
        <f>IF(J27="","",IF(VLOOKUP(J27,'G-3 Multipliers'!$L$3:$N$6,2,FALSE)=0,"Spatial Data Missing",VLOOKUP(J27,'G-3 Multipliers'!$L$3:$N$6,2,FALSE)))</f>
        <v/>
      </c>
      <c r="L27" s="176" t="str">
        <f>IF(J27="","",IF(VLOOKUP(J27,'G-3 Multipliers'!$L$3:$N$6,3,FALSE)=0,"Spatial Data Missing",VLOOKUP(J27,'G-3 Multipliers'!$L$3:$N$6,3,FALSE)))</f>
        <v/>
      </c>
      <c r="M27" s="177" t="str">
        <f>IF(D27="","",VLOOKUP(D27,'G-6 Hedgerow Data'!$B$1:$AH$15,33,FALSE))</f>
        <v/>
      </c>
      <c r="N27" s="207" t="str">
        <f t="shared" si="2"/>
        <v/>
      </c>
      <c r="O27" s="44"/>
      <c r="P27" s="173"/>
      <c r="Q27" s="189"/>
      <c r="R27" s="179" t="str">
        <f t="shared" si="3"/>
        <v/>
      </c>
      <c r="S27" s="179" t="str">
        <f t="shared" si="4"/>
        <v/>
      </c>
      <c r="T27" s="208" t="str">
        <f t="shared" si="5"/>
        <v/>
      </c>
      <c r="U27" s="209" t="str">
        <f t="shared" si="6"/>
        <v/>
      </c>
      <c r="V27" s="182"/>
      <c r="W27" s="183"/>
      <c r="AB27" s="35" t="str">
        <f>IFERROR(INDEX('G-6 Hedgerow Data'!$BJ$3:$BJ$15,MATCH(D27,'G-6 Hedgerow Data'!$B$3:$B$15,0)),"")</f>
        <v/>
      </c>
      <c r="AE27" s="188" t="str">
        <f t="shared" si="0"/>
        <v/>
      </c>
      <c r="AF27" s="188" t="str">
        <f t="shared" si="1"/>
        <v/>
      </c>
      <c r="AH27" s="188">
        <v>18</v>
      </c>
      <c r="AJ27" s="188" t="str">
        <f t="array" ref="AJ27">IFERROR(INDEX($AH$10:$AH$258, MATCH(0, IF(TRUE=$AE$10:$AE$258, COUNTIF($AJ$9:$AJ26, $AH$10:$AH$258), ""), 0)),"")</f>
        <v/>
      </c>
      <c r="AK27" s="188" t="str">
        <f t="array" ref="AK27">IFERROR(INDEX($AH$10:$AH$258, MATCH(0, IF(TRUE=$AF$10:$AF$258, COUNTIF($AK$9:$AK26, $AH$10:$AH$258), ""), 0)),"")</f>
        <v/>
      </c>
    </row>
    <row r="28" spans="2:37" ht="13.8" x14ac:dyDescent="0.25">
      <c r="B28" s="168">
        <v>19</v>
      </c>
      <c r="C28" s="275"/>
      <c r="D28" s="275"/>
      <c r="E28" s="185"/>
      <c r="F28" s="171" t="str">
        <f>IF(D28="","",VLOOKUP(D28,'G-6 Hedgerow Data'!$B$2:$AG$15,2,FALSE))</f>
        <v/>
      </c>
      <c r="G28" s="172" t="str">
        <f>IF(D28="","",VLOOKUP(D28,'G-6 Hedgerow Data'!$B$2:$AG$15,3,FALSE))</f>
        <v/>
      </c>
      <c r="H28" s="173"/>
      <c r="I28" s="172" t="str">
        <f>IFERROR(IF(AND(F28="V.Low",OR(H28="Good",H28="Moderate")),"Error",VLOOKUP(H28,'G-1 All Habitats'!$Z$2:$AA$9,2,FALSE)),"")</f>
        <v/>
      </c>
      <c r="J28" s="186"/>
      <c r="K28" s="175" t="str">
        <f>IF(J28="","",IF(VLOOKUP(J28,'G-3 Multipliers'!$L$3:$N$6,2,FALSE)=0,"Spatial Data Missing",VLOOKUP(J28,'G-3 Multipliers'!$L$3:$N$6,2,FALSE)))</f>
        <v/>
      </c>
      <c r="L28" s="176" t="str">
        <f>IF(J28="","",IF(VLOOKUP(J28,'G-3 Multipliers'!$L$3:$N$6,3,FALSE)=0,"Spatial Data Missing",VLOOKUP(J28,'G-3 Multipliers'!$L$3:$N$6,3,FALSE)))</f>
        <v/>
      </c>
      <c r="M28" s="177" t="str">
        <f>IF(D28="","",VLOOKUP(D28,'G-6 Hedgerow Data'!$B$1:$AH$15,33,FALSE))</f>
        <v/>
      </c>
      <c r="N28" s="207" t="str">
        <f t="shared" si="2"/>
        <v/>
      </c>
      <c r="O28" s="44"/>
      <c r="P28" s="173"/>
      <c r="Q28" s="189"/>
      <c r="R28" s="179" t="str">
        <f t="shared" si="3"/>
        <v/>
      </c>
      <c r="S28" s="179" t="str">
        <f t="shared" si="4"/>
        <v/>
      </c>
      <c r="T28" s="208" t="str">
        <f t="shared" si="5"/>
        <v/>
      </c>
      <c r="U28" s="209" t="str">
        <f t="shared" si="6"/>
        <v/>
      </c>
      <c r="V28" s="182"/>
      <c r="W28" s="183"/>
      <c r="AB28" s="35" t="str">
        <f>IFERROR(INDEX('G-6 Hedgerow Data'!$BJ$3:$BJ$15,MATCH(D28,'G-6 Hedgerow Data'!$B$3:$B$15,0)),"")</f>
        <v/>
      </c>
      <c r="AE28" s="188" t="str">
        <f t="shared" si="0"/>
        <v/>
      </c>
      <c r="AF28" s="188" t="str">
        <f t="shared" si="1"/>
        <v/>
      </c>
      <c r="AH28" s="188">
        <v>19</v>
      </c>
      <c r="AJ28" s="188" t="str">
        <f t="array" ref="AJ28">IFERROR(INDEX($AH$10:$AH$258, MATCH(0, IF(TRUE=$AE$10:$AE$258, COUNTIF($AJ$9:$AJ27, $AH$10:$AH$258), ""), 0)),"")</f>
        <v/>
      </c>
      <c r="AK28" s="188" t="str">
        <f t="array" ref="AK28">IFERROR(INDEX($AH$10:$AH$258, MATCH(0, IF(TRUE=$AF$10:$AF$258, COUNTIF($AK$9:$AK27, $AH$10:$AH$258), ""), 0)),"")</f>
        <v/>
      </c>
    </row>
    <row r="29" spans="2:37" ht="13.8" x14ac:dyDescent="0.25">
      <c r="B29" s="168">
        <v>20</v>
      </c>
      <c r="C29" s="275"/>
      <c r="D29" s="275"/>
      <c r="E29" s="185"/>
      <c r="F29" s="171" t="str">
        <f>IF(D29="","",VLOOKUP(D29,'G-6 Hedgerow Data'!$B$2:$AG$15,2,FALSE))</f>
        <v/>
      </c>
      <c r="G29" s="172" t="str">
        <f>IF(D29="","",VLOOKUP(D29,'G-6 Hedgerow Data'!$B$2:$AG$15,3,FALSE))</f>
        <v/>
      </c>
      <c r="H29" s="173"/>
      <c r="I29" s="172" t="str">
        <f>IFERROR(IF(AND(F29="V.Low",OR(H29="Good",H29="Moderate")),"Error",VLOOKUP(H29,'G-1 All Habitats'!$Z$2:$AA$9,2,FALSE)),"")</f>
        <v/>
      </c>
      <c r="J29" s="186"/>
      <c r="K29" s="175" t="str">
        <f>IF(J29="","",IF(VLOOKUP(J29,'G-3 Multipliers'!$L$3:$N$6,2,FALSE)=0,"Spatial Data Missing",VLOOKUP(J29,'G-3 Multipliers'!$L$3:$N$6,2,FALSE)))</f>
        <v/>
      </c>
      <c r="L29" s="176" t="str">
        <f>IF(J29="","",IF(VLOOKUP(J29,'G-3 Multipliers'!$L$3:$N$6,3,FALSE)=0,"Spatial Data Missing",VLOOKUP(J29,'G-3 Multipliers'!$L$3:$N$6,3,FALSE)))</f>
        <v/>
      </c>
      <c r="M29" s="177" t="str">
        <f>IF(D29="","",VLOOKUP(D29,'G-6 Hedgerow Data'!$B$1:$AH$15,33,FALSE))</f>
        <v/>
      </c>
      <c r="N29" s="207" t="str">
        <f t="shared" si="2"/>
        <v/>
      </c>
      <c r="O29" s="44"/>
      <c r="P29" s="173"/>
      <c r="Q29" s="189"/>
      <c r="R29" s="179" t="str">
        <f t="shared" si="3"/>
        <v/>
      </c>
      <c r="S29" s="179" t="str">
        <f t="shared" si="4"/>
        <v/>
      </c>
      <c r="T29" s="208" t="str">
        <f t="shared" si="5"/>
        <v/>
      </c>
      <c r="U29" s="209" t="str">
        <f t="shared" si="6"/>
        <v/>
      </c>
      <c r="V29" s="182"/>
      <c r="W29" s="183"/>
      <c r="AB29" s="35" t="str">
        <f>IFERROR(INDEX('G-6 Hedgerow Data'!$BJ$3:$BJ$15,MATCH(D29,'G-6 Hedgerow Data'!$B$3:$B$15,0)),"")</f>
        <v/>
      </c>
      <c r="AE29" s="188" t="str">
        <f t="shared" si="0"/>
        <v/>
      </c>
      <c r="AF29" s="188" t="str">
        <f t="shared" si="1"/>
        <v/>
      </c>
      <c r="AH29" s="188">
        <v>20</v>
      </c>
      <c r="AJ29" s="188" t="str">
        <f t="array" ref="AJ29">IFERROR(INDEX($AH$10:$AH$258, MATCH(0, IF(TRUE=$AE$10:$AE$258, COUNTIF($AJ$9:$AJ28, $AH$10:$AH$258), ""), 0)),"")</f>
        <v/>
      </c>
      <c r="AK29" s="188" t="str">
        <f t="array" ref="AK29">IFERROR(INDEX($AH$10:$AH$258, MATCH(0, IF(TRUE=$AF$10:$AF$258, COUNTIF($AK$9:$AK28, $AH$10:$AH$258), ""), 0)),"")</f>
        <v/>
      </c>
    </row>
    <row r="30" spans="2:37" ht="13.8" x14ac:dyDescent="0.25">
      <c r="B30" s="168">
        <v>21</v>
      </c>
      <c r="C30" s="275"/>
      <c r="D30" s="275"/>
      <c r="E30" s="185"/>
      <c r="F30" s="171" t="str">
        <f>IF(D30="","",VLOOKUP(D30,'G-6 Hedgerow Data'!$B$2:$AG$15,2,FALSE))</f>
        <v/>
      </c>
      <c r="G30" s="172" t="str">
        <f>IF(D30="","",VLOOKUP(D30,'G-6 Hedgerow Data'!$B$2:$AG$15,3,FALSE))</f>
        <v/>
      </c>
      <c r="H30" s="173"/>
      <c r="I30" s="172" t="str">
        <f>IFERROR(IF(AND(F30="V.Low",OR(H30="Good",H30="Moderate")),"Error",VLOOKUP(H30,'G-1 All Habitats'!$Z$2:$AA$9,2,FALSE)),"")</f>
        <v/>
      </c>
      <c r="J30" s="186"/>
      <c r="K30" s="175" t="str">
        <f>IF(J30="","",IF(VLOOKUP(J30,'G-3 Multipliers'!$L$3:$N$6,2,FALSE)=0,"Spatial Data Missing",VLOOKUP(J30,'G-3 Multipliers'!$L$3:$N$6,2,FALSE)))</f>
        <v/>
      </c>
      <c r="L30" s="176" t="str">
        <f>IF(J30="","",IF(VLOOKUP(J30,'G-3 Multipliers'!$L$3:$N$6,3,FALSE)=0,"Spatial Data Missing",VLOOKUP(J30,'G-3 Multipliers'!$L$3:$N$6,3,FALSE)))</f>
        <v/>
      </c>
      <c r="M30" s="177" t="str">
        <f>IF(D30="","",VLOOKUP(D30,'G-6 Hedgerow Data'!$B$1:$AH$15,33,FALSE))</f>
        <v/>
      </c>
      <c r="N30" s="207" t="str">
        <f t="shared" si="2"/>
        <v/>
      </c>
      <c r="O30" s="44"/>
      <c r="P30" s="173"/>
      <c r="Q30" s="189"/>
      <c r="R30" s="179" t="str">
        <f t="shared" si="3"/>
        <v/>
      </c>
      <c r="S30" s="179" t="str">
        <f t="shared" si="4"/>
        <v/>
      </c>
      <c r="T30" s="208" t="str">
        <f t="shared" si="5"/>
        <v/>
      </c>
      <c r="U30" s="209" t="str">
        <f t="shared" si="6"/>
        <v/>
      </c>
      <c r="V30" s="182"/>
      <c r="W30" s="183"/>
      <c r="AB30" s="35" t="str">
        <f>IFERROR(INDEX('G-6 Hedgerow Data'!$BJ$3:$BJ$15,MATCH(D30,'G-6 Hedgerow Data'!$B$3:$B$15,0)),"")</f>
        <v/>
      </c>
      <c r="AE30" s="188" t="str">
        <f t="shared" si="0"/>
        <v/>
      </c>
      <c r="AF30" s="188" t="str">
        <f t="shared" si="1"/>
        <v/>
      </c>
      <c r="AH30" s="188">
        <v>21</v>
      </c>
      <c r="AJ30" s="188" t="str">
        <f t="array" ref="AJ30">IFERROR(INDEX($AH$10:$AH$258, MATCH(0, IF(TRUE=$AE$10:$AE$258, COUNTIF($AJ$9:$AJ29, $AH$10:$AH$258), ""), 0)),"")</f>
        <v/>
      </c>
      <c r="AK30" s="188" t="str">
        <f t="array" ref="AK30">IFERROR(INDEX($AH$10:$AH$258, MATCH(0, IF(TRUE=$AF$10:$AF$258, COUNTIF($AK$9:$AK29, $AH$10:$AH$258), ""), 0)),"")</f>
        <v/>
      </c>
    </row>
    <row r="31" spans="2:37" ht="13.8" x14ac:dyDescent="0.25">
      <c r="B31" s="168">
        <v>22</v>
      </c>
      <c r="C31" s="275"/>
      <c r="D31" s="275"/>
      <c r="E31" s="185"/>
      <c r="F31" s="171" t="str">
        <f>IF(D31="","",VLOOKUP(D31,'G-6 Hedgerow Data'!$B$2:$AG$15,2,FALSE))</f>
        <v/>
      </c>
      <c r="G31" s="172" t="str">
        <f>IF(D31="","",VLOOKUP(D31,'G-6 Hedgerow Data'!$B$2:$AG$15,3,FALSE))</f>
        <v/>
      </c>
      <c r="H31" s="173"/>
      <c r="I31" s="172" t="str">
        <f>IFERROR(IF(AND(F31="V.Low",OR(H31="Good",H31="Moderate")),"Error",VLOOKUP(H31,'G-1 All Habitats'!$Z$2:$AA$9,2,FALSE)),"")</f>
        <v/>
      </c>
      <c r="J31" s="186"/>
      <c r="K31" s="175" t="str">
        <f>IF(J31="","",IF(VLOOKUP(J31,'G-3 Multipliers'!$L$3:$N$6,2,FALSE)=0,"Spatial Data Missing",VLOOKUP(J31,'G-3 Multipliers'!$L$3:$N$6,2,FALSE)))</f>
        <v/>
      </c>
      <c r="L31" s="176" t="str">
        <f>IF(J31="","",IF(VLOOKUP(J31,'G-3 Multipliers'!$L$3:$N$6,3,FALSE)=0,"Spatial Data Missing",VLOOKUP(J31,'G-3 Multipliers'!$L$3:$N$6,3,FALSE)))</f>
        <v/>
      </c>
      <c r="M31" s="177" t="str">
        <f>IF(D31="","",VLOOKUP(D31,'G-6 Hedgerow Data'!$B$1:$AH$15,33,FALSE))</f>
        <v/>
      </c>
      <c r="N31" s="207" t="str">
        <f t="shared" si="2"/>
        <v/>
      </c>
      <c r="O31" s="44"/>
      <c r="P31" s="173"/>
      <c r="Q31" s="189"/>
      <c r="R31" s="179" t="str">
        <f t="shared" si="3"/>
        <v/>
      </c>
      <c r="S31" s="179" t="str">
        <f t="shared" si="4"/>
        <v/>
      </c>
      <c r="T31" s="208" t="str">
        <f t="shared" si="5"/>
        <v/>
      </c>
      <c r="U31" s="209" t="str">
        <f t="shared" si="6"/>
        <v/>
      </c>
      <c r="V31" s="182"/>
      <c r="W31" s="183"/>
      <c r="AB31" s="35" t="str">
        <f>IFERROR(INDEX('G-6 Hedgerow Data'!$BJ$3:$BJ$15,MATCH(D31,'G-6 Hedgerow Data'!$B$3:$B$15,0)),"")</f>
        <v/>
      </c>
      <c r="AE31" s="188" t="str">
        <f t="shared" si="0"/>
        <v/>
      </c>
      <c r="AF31" s="188" t="str">
        <f t="shared" si="1"/>
        <v/>
      </c>
      <c r="AH31" s="188">
        <v>22</v>
      </c>
      <c r="AJ31" s="188" t="str">
        <f t="array" ref="AJ31">IFERROR(INDEX($AH$10:$AH$258, MATCH(0, IF(TRUE=$AE$10:$AE$258, COUNTIF($AJ$9:$AJ30, $AH$10:$AH$258), ""), 0)),"")</f>
        <v/>
      </c>
      <c r="AK31" s="188" t="str">
        <f t="array" ref="AK31">IFERROR(INDEX($AH$10:$AH$258, MATCH(0, IF(TRUE=$AF$10:$AF$258, COUNTIF($AK$9:$AK30, $AH$10:$AH$258), ""), 0)),"")</f>
        <v/>
      </c>
    </row>
    <row r="32" spans="2:37" ht="13.8" x14ac:dyDescent="0.25">
      <c r="B32" s="168">
        <v>23</v>
      </c>
      <c r="C32" s="275"/>
      <c r="D32" s="275"/>
      <c r="E32" s="185"/>
      <c r="F32" s="171" t="str">
        <f>IF(D32="","",VLOOKUP(D32,'G-6 Hedgerow Data'!$B$2:$AG$15,2,FALSE))</f>
        <v/>
      </c>
      <c r="G32" s="172" t="str">
        <f>IF(D32="","",VLOOKUP(D32,'G-6 Hedgerow Data'!$B$2:$AG$15,3,FALSE))</f>
        <v/>
      </c>
      <c r="H32" s="173"/>
      <c r="I32" s="172" t="str">
        <f>IFERROR(IF(AND(F32="V.Low",OR(H32="Good",H32="Moderate")),"Error",VLOOKUP(H32,'G-1 All Habitats'!$Z$2:$AA$9,2,FALSE)),"")</f>
        <v/>
      </c>
      <c r="J32" s="186"/>
      <c r="K32" s="175" t="str">
        <f>IF(J32="","",IF(VLOOKUP(J32,'G-3 Multipliers'!$L$3:$N$6,2,FALSE)=0,"Spatial Data Missing",VLOOKUP(J32,'G-3 Multipliers'!$L$3:$N$6,2,FALSE)))</f>
        <v/>
      </c>
      <c r="L32" s="176" t="str">
        <f>IF(J32="","",IF(VLOOKUP(J32,'G-3 Multipliers'!$L$3:$N$6,3,FALSE)=0,"Spatial Data Missing",VLOOKUP(J32,'G-3 Multipliers'!$L$3:$N$6,3,FALSE)))</f>
        <v/>
      </c>
      <c r="M32" s="177" t="str">
        <f>IF(D32="","",VLOOKUP(D32,'G-6 Hedgerow Data'!$B$1:$AH$15,33,FALSE))</f>
        <v/>
      </c>
      <c r="N32" s="207" t="str">
        <f t="shared" si="2"/>
        <v/>
      </c>
      <c r="O32" s="44"/>
      <c r="P32" s="173"/>
      <c r="Q32" s="189"/>
      <c r="R32" s="179" t="str">
        <f t="shared" si="3"/>
        <v/>
      </c>
      <c r="S32" s="179" t="str">
        <f t="shared" si="4"/>
        <v/>
      </c>
      <c r="T32" s="208" t="str">
        <f t="shared" si="5"/>
        <v/>
      </c>
      <c r="U32" s="209" t="str">
        <f t="shared" si="6"/>
        <v/>
      </c>
      <c r="V32" s="182"/>
      <c r="W32" s="183"/>
      <c r="AB32" s="35" t="str">
        <f>IFERROR(INDEX('G-6 Hedgerow Data'!$BJ$3:$BJ$15,MATCH(D32,'G-6 Hedgerow Data'!$B$3:$B$15,0)),"")</f>
        <v/>
      </c>
      <c r="AE32" s="188" t="str">
        <f t="shared" si="0"/>
        <v/>
      </c>
      <c r="AF32" s="188" t="str">
        <f t="shared" si="1"/>
        <v/>
      </c>
      <c r="AH32" s="188">
        <v>23</v>
      </c>
      <c r="AJ32" s="188" t="str">
        <f t="array" ref="AJ32">IFERROR(INDEX($AH$10:$AH$258, MATCH(0, IF(TRUE=$AE$10:$AE$258, COUNTIF($AJ$9:$AJ31, $AH$10:$AH$258), ""), 0)),"")</f>
        <v/>
      </c>
      <c r="AK32" s="188" t="str">
        <f t="array" ref="AK32">IFERROR(INDEX($AH$10:$AH$258, MATCH(0, IF(TRUE=$AF$10:$AF$258, COUNTIF($AK$9:$AK31, $AH$10:$AH$258), ""), 0)),"")</f>
        <v/>
      </c>
    </row>
    <row r="33" spans="2:37" ht="13.8" x14ac:dyDescent="0.25">
      <c r="B33" s="168">
        <v>24</v>
      </c>
      <c r="C33" s="275"/>
      <c r="D33" s="275"/>
      <c r="E33" s="185"/>
      <c r="F33" s="171" t="str">
        <f>IF(D33="","",VLOOKUP(D33,'G-6 Hedgerow Data'!$B$2:$AG$15,2,FALSE))</f>
        <v/>
      </c>
      <c r="G33" s="172" t="str">
        <f>IF(D33="","",VLOOKUP(D33,'G-6 Hedgerow Data'!$B$2:$AG$15,3,FALSE))</f>
        <v/>
      </c>
      <c r="H33" s="173"/>
      <c r="I33" s="172" t="str">
        <f>IFERROR(IF(AND(F33="V.Low",OR(H33="Good",H33="Moderate")),"Error",VLOOKUP(H33,'G-1 All Habitats'!$Z$2:$AA$9,2,FALSE)),"")</f>
        <v/>
      </c>
      <c r="J33" s="186"/>
      <c r="K33" s="175" t="str">
        <f>IF(J33="","",IF(VLOOKUP(J33,'G-3 Multipliers'!$L$3:$N$6,2,FALSE)=0,"Spatial Data Missing",VLOOKUP(J33,'G-3 Multipliers'!$L$3:$N$6,2,FALSE)))</f>
        <v/>
      </c>
      <c r="L33" s="176" t="str">
        <f>IF(J33="","",IF(VLOOKUP(J33,'G-3 Multipliers'!$L$3:$N$6,3,FALSE)=0,"Spatial Data Missing",VLOOKUP(J33,'G-3 Multipliers'!$L$3:$N$6,3,FALSE)))</f>
        <v/>
      </c>
      <c r="M33" s="177" t="str">
        <f>IF(D33="","",VLOOKUP(D33,'G-6 Hedgerow Data'!$B$1:$AH$15,33,FALSE))</f>
        <v/>
      </c>
      <c r="N33" s="207" t="str">
        <f t="shared" si="2"/>
        <v/>
      </c>
      <c r="O33" s="44"/>
      <c r="P33" s="173"/>
      <c r="Q33" s="189"/>
      <c r="R33" s="179" t="str">
        <f t="shared" si="3"/>
        <v/>
      </c>
      <c r="S33" s="179" t="str">
        <f t="shared" si="4"/>
        <v/>
      </c>
      <c r="T33" s="208" t="str">
        <f t="shared" si="5"/>
        <v/>
      </c>
      <c r="U33" s="209" t="str">
        <f t="shared" si="6"/>
        <v/>
      </c>
      <c r="V33" s="182"/>
      <c r="W33" s="183"/>
      <c r="AB33" s="35" t="str">
        <f>IFERROR(INDEX('G-6 Hedgerow Data'!$BJ$3:$BJ$15,MATCH(D33,'G-6 Hedgerow Data'!$B$3:$B$15,0)),"")</f>
        <v/>
      </c>
      <c r="AE33" s="188" t="str">
        <f t="shared" si="0"/>
        <v/>
      </c>
      <c r="AF33" s="188" t="str">
        <f t="shared" si="1"/>
        <v/>
      </c>
      <c r="AH33" s="188">
        <v>24</v>
      </c>
      <c r="AJ33" s="188" t="str">
        <f t="array" ref="AJ33">IFERROR(INDEX($AH$10:$AH$258, MATCH(0, IF(TRUE=$AE$10:$AE$258, COUNTIF($AJ$9:$AJ32, $AH$10:$AH$258), ""), 0)),"")</f>
        <v/>
      </c>
      <c r="AK33" s="188" t="str">
        <f t="array" ref="AK33">IFERROR(INDEX($AH$10:$AH$258, MATCH(0, IF(TRUE=$AF$10:$AF$258, COUNTIF($AK$9:$AK32, $AH$10:$AH$258), ""), 0)),"")</f>
        <v/>
      </c>
    </row>
    <row r="34" spans="2:37" ht="13.8" x14ac:dyDescent="0.25">
      <c r="B34" s="168">
        <v>25</v>
      </c>
      <c r="C34" s="275"/>
      <c r="D34" s="275"/>
      <c r="E34" s="185"/>
      <c r="F34" s="171" t="str">
        <f>IF(D34="","",VLOOKUP(D34,'G-6 Hedgerow Data'!$B$2:$AG$15,2,FALSE))</f>
        <v/>
      </c>
      <c r="G34" s="172" t="str">
        <f>IF(D34="","",VLOOKUP(D34,'G-6 Hedgerow Data'!$B$2:$AG$15,3,FALSE))</f>
        <v/>
      </c>
      <c r="H34" s="173"/>
      <c r="I34" s="172" t="str">
        <f>IFERROR(IF(AND(F34="V.Low",OR(H34="Good",H34="Moderate")),"Error",VLOOKUP(H34,'G-1 All Habitats'!$Z$2:$AA$9,2,FALSE)),"")</f>
        <v/>
      </c>
      <c r="J34" s="186"/>
      <c r="K34" s="175" t="str">
        <f>IF(J34="","",IF(VLOOKUP(J34,'G-3 Multipliers'!$L$3:$N$6,2,FALSE)=0,"Spatial Data Missing",VLOOKUP(J34,'G-3 Multipliers'!$L$3:$N$6,2,FALSE)))</f>
        <v/>
      </c>
      <c r="L34" s="176" t="str">
        <f>IF(J34="","",IF(VLOOKUP(J34,'G-3 Multipliers'!$L$3:$N$6,3,FALSE)=0,"Spatial Data Missing",VLOOKUP(J34,'G-3 Multipliers'!$L$3:$N$6,3,FALSE)))</f>
        <v/>
      </c>
      <c r="M34" s="177" t="str">
        <f>IF(D34="","",VLOOKUP(D34,'G-6 Hedgerow Data'!$B$1:$AH$15,33,FALSE))</f>
        <v/>
      </c>
      <c r="N34" s="207" t="str">
        <f t="shared" si="2"/>
        <v/>
      </c>
      <c r="O34" s="44"/>
      <c r="P34" s="173"/>
      <c r="Q34" s="189"/>
      <c r="R34" s="179" t="str">
        <f t="shared" si="3"/>
        <v/>
      </c>
      <c r="S34" s="179" t="str">
        <f t="shared" si="4"/>
        <v/>
      </c>
      <c r="T34" s="208" t="str">
        <f t="shared" si="5"/>
        <v/>
      </c>
      <c r="U34" s="209" t="str">
        <f t="shared" si="6"/>
        <v/>
      </c>
      <c r="V34" s="182"/>
      <c r="W34" s="183"/>
      <c r="AB34" s="35" t="str">
        <f>IFERROR(INDEX('G-6 Hedgerow Data'!$BJ$3:$BJ$15,MATCH(D34,'G-6 Hedgerow Data'!$B$3:$B$15,0)),"")</f>
        <v/>
      </c>
      <c r="AE34" s="188" t="str">
        <f t="shared" si="0"/>
        <v/>
      </c>
      <c r="AF34" s="188" t="str">
        <f t="shared" si="1"/>
        <v/>
      </c>
      <c r="AH34" s="188">
        <v>25</v>
      </c>
      <c r="AJ34" s="188" t="str">
        <f t="array" ref="AJ34">IFERROR(INDEX($AH$10:$AH$258, MATCH(0, IF(TRUE=$AE$10:$AE$258, COUNTIF($AJ$9:$AJ33, $AH$10:$AH$258), ""), 0)),"")</f>
        <v/>
      </c>
      <c r="AK34" s="188" t="str">
        <f t="array" ref="AK34">IFERROR(INDEX($AH$10:$AH$258, MATCH(0, IF(TRUE=$AF$10:$AF$258, COUNTIF($AK$9:$AK33, $AH$10:$AH$258), ""), 0)),"")</f>
        <v/>
      </c>
    </row>
    <row r="35" spans="2:37" ht="13.8" x14ac:dyDescent="0.25">
      <c r="B35" s="168">
        <v>26</v>
      </c>
      <c r="C35" s="275"/>
      <c r="D35" s="275"/>
      <c r="E35" s="185"/>
      <c r="F35" s="171" t="str">
        <f>IF(D35="","",VLOOKUP(D35,'G-6 Hedgerow Data'!$B$2:$AG$15,2,FALSE))</f>
        <v/>
      </c>
      <c r="G35" s="172" t="str">
        <f>IF(D35="","",VLOOKUP(D35,'G-6 Hedgerow Data'!$B$2:$AG$15,3,FALSE))</f>
        <v/>
      </c>
      <c r="H35" s="173"/>
      <c r="I35" s="172" t="str">
        <f>IFERROR(IF(AND(F35="V.Low",OR(H35="Good",H35="Moderate")),"Error",VLOOKUP(H35,'G-1 All Habitats'!$Z$2:$AA$9,2,FALSE)),"")</f>
        <v/>
      </c>
      <c r="J35" s="186"/>
      <c r="K35" s="175" t="str">
        <f>IF(J35="","",IF(VLOOKUP(J35,'G-3 Multipliers'!$L$3:$N$6,2,FALSE)=0,"Spatial Data Missing",VLOOKUP(J35,'G-3 Multipliers'!$L$3:$N$6,2,FALSE)))</f>
        <v/>
      </c>
      <c r="L35" s="176" t="str">
        <f>IF(J35="","",IF(VLOOKUP(J35,'G-3 Multipliers'!$L$3:$N$6,3,FALSE)=0,"Spatial Data Missing",VLOOKUP(J35,'G-3 Multipliers'!$L$3:$N$6,3,FALSE)))</f>
        <v/>
      </c>
      <c r="M35" s="177" t="str">
        <f>IF(D35="","",VLOOKUP(D35,'G-6 Hedgerow Data'!$B$1:$AH$15,33,FALSE))</f>
        <v/>
      </c>
      <c r="N35" s="207" t="str">
        <f t="shared" si="2"/>
        <v/>
      </c>
      <c r="O35" s="44"/>
      <c r="P35" s="173"/>
      <c r="Q35" s="189"/>
      <c r="R35" s="179" t="str">
        <f t="shared" si="3"/>
        <v/>
      </c>
      <c r="S35" s="179" t="str">
        <f t="shared" si="4"/>
        <v/>
      </c>
      <c r="T35" s="208" t="str">
        <f t="shared" si="5"/>
        <v/>
      </c>
      <c r="U35" s="209" t="str">
        <f t="shared" si="6"/>
        <v/>
      </c>
      <c r="V35" s="182"/>
      <c r="W35" s="183"/>
      <c r="AB35" s="35" t="str">
        <f>IFERROR(INDEX('G-6 Hedgerow Data'!$BJ$3:$BJ$15,MATCH(D35,'G-6 Hedgerow Data'!$B$3:$B$15,0)),"")</f>
        <v/>
      </c>
      <c r="AE35" s="188" t="str">
        <f t="shared" si="0"/>
        <v/>
      </c>
      <c r="AF35" s="188" t="str">
        <f t="shared" si="1"/>
        <v/>
      </c>
      <c r="AH35" s="188">
        <v>26</v>
      </c>
      <c r="AJ35" s="188" t="str">
        <f t="array" ref="AJ35">IFERROR(INDEX($AH$10:$AH$258, MATCH(0, IF(TRUE=$AE$10:$AE$258, COUNTIF($AJ$9:$AJ34, $AH$10:$AH$258), ""), 0)),"")</f>
        <v/>
      </c>
      <c r="AK35" s="188" t="str">
        <f t="array" ref="AK35">IFERROR(INDEX($AH$10:$AH$258, MATCH(0, IF(TRUE=$AF$10:$AF$258, COUNTIF($AK$9:$AK34, $AH$10:$AH$258), ""), 0)),"")</f>
        <v/>
      </c>
    </row>
    <row r="36" spans="2:37" ht="13.8" x14ac:dyDescent="0.25">
      <c r="B36" s="168">
        <v>27</v>
      </c>
      <c r="C36" s="275"/>
      <c r="D36" s="275"/>
      <c r="E36" s="185"/>
      <c r="F36" s="171" t="str">
        <f>IF(D36="","",VLOOKUP(D36,'G-6 Hedgerow Data'!$B$2:$AG$15,2,FALSE))</f>
        <v/>
      </c>
      <c r="G36" s="172" t="str">
        <f>IF(D36="","",VLOOKUP(D36,'G-6 Hedgerow Data'!$B$2:$AG$15,3,FALSE))</f>
        <v/>
      </c>
      <c r="H36" s="173"/>
      <c r="I36" s="172" t="str">
        <f>IFERROR(IF(AND(F36="V.Low",OR(H36="Good",H36="Moderate")),"Error",VLOOKUP(H36,'G-1 All Habitats'!$Z$2:$AA$9,2,FALSE)),"")</f>
        <v/>
      </c>
      <c r="J36" s="186"/>
      <c r="K36" s="175" t="str">
        <f>IF(J36="","",IF(VLOOKUP(J36,'G-3 Multipliers'!$L$3:$N$6,2,FALSE)=0,"Spatial Data Missing",VLOOKUP(J36,'G-3 Multipliers'!$L$3:$N$6,2,FALSE)))</f>
        <v/>
      </c>
      <c r="L36" s="176" t="str">
        <f>IF(J36="","",IF(VLOOKUP(J36,'G-3 Multipliers'!$L$3:$N$6,3,FALSE)=0,"Spatial Data Missing",VLOOKUP(J36,'G-3 Multipliers'!$L$3:$N$6,3,FALSE)))</f>
        <v/>
      </c>
      <c r="M36" s="177" t="str">
        <f>IF(D36="","",VLOOKUP(D36,'G-6 Hedgerow Data'!$B$1:$AH$15,33,FALSE))</f>
        <v/>
      </c>
      <c r="N36" s="207" t="str">
        <f t="shared" si="2"/>
        <v/>
      </c>
      <c r="O36" s="44"/>
      <c r="P36" s="173"/>
      <c r="Q36" s="189"/>
      <c r="R36" s="179" t="str">
        <f t="shared" si="3"/>
        <v/>
      </c>
      <c r="S36" s="179" t="str">
        <f t="shared" si="4"/>
        <v/>
      </c>
      <c r="T36" s="208" t="str">
        <f t="shared" si="5"/>
        <v/>
      </c>
      <c r="U36" s="209" t="str">
        <f t="shared" si="6"/>
        <v/>
      </c>
      <c r="V36" s="182"/>
      <c r="W36" s="183"/>
      <c r="AB36" s="35" t="str">
        <f>IFERROR(INDEX('G-6 Hedgerow Data'!$BJ$3:$BJ$15,MATCH(D36,'G-6 Hedgerow Data'!$B$3:$B$15,0)),"")</f>
        <v/>
      </c>
      <c r="AE36" s="188" t="str">
        <f t="shared" si="0"/>
        <v/>
      </c>
      <c r="AF36" s="188" t="str">
        <f t="shared" si="1"/>
        <v/>
      </c>
      <c r="AH36" s="188">
        <v>27</v>
      </c>
      <c r="AJ36" s="188" t="str">
        <f t="array" ref="AJ36">IFERROR(INDEX($AH$10:$AH$258, MATCH(0, IF(TRUE=$AE$10:$AE$258, COUNTIF($AJ$9:$AJ35, $AH$10:$AH$258), ""), 0)),"")</f>
        <v/>
      </c>
      <c r="AK36" s="188" t="str">
        <f t="array" ref="AK36">IFERROR(INDEX($AH$10:$AH$258, MATCH(0, IF(TRUE=$AF$10:$AF$258, COUNTIF($AK$9:$AK35, $AH$10:$AH$258), ""), 0)),"")</f>
        <v/>
      </c>
    </row>
    <row r="37" spans="2:37" ht="13.8" x14ac:dyDescent="0.25">
      <c r="B37" s="168">
        <v>28</v>
      </c>
      <c r="C37" s="275"/>
      <c r="D37" s="275"/>
      <c r="E37" s="185"/>
      <c r="F37" s="171" t="str">
        <f>IF(D37="","",VLOOKUP(D37,'G-6 Hedgerow Data'!$B$2:$AG$15,2,FALSE))</f>
        <v/>
      </c>
      <c r="G37" s="172" t="str">
        <f>IF(D37="","",VLOOKUP(D37,'G-6 Hedgerow Data'!$B$2:$AG$15,3,FALSE))</f>
        <v/>
      </c>
      <c r="H37" s="173"/>
      <c r="I37" s="172" t="str">
        <f>IFERROR(IF(AND(F37="V.Low",OR(H37="Good",H37="Moderate")),"Error",VLOOKUP(H37,'G-1 All Habitats'!$Z$2:$AA$9,2,FALSE)),"")</f>
        <v/>
      </c>
      <c r="J37" s="186"/>
      <c r="K37" s="175" t="str">
        <f>IF(J37="","",IF(VLOOKUP(J37,'G-3 Multipliers'!$L$3:$N$6,2,FALSE)=0,"Spatial Data Missing",VLOOKUP(J37,'G-3 Multipliers'!$L$3:$N$6,2,FALSE)))</f>
        <v/>
      </c>
      <c r="L37" s="176" t="str">
        <f>IF(J37="","",IF(VLOOKUP(J37,'G-3 Multipliers'!$L$3:$N$6,3,FALSE)=0,"Spatial Data Missing",VLOOKUP(J37,'G-3 Multipliers'!$L$3:$N$6,3,FALSE)))</f>
        <v/>
      </c>
      <c r="M37" s="177" t="str">
        <f>IF(D37="","",VLOOKUP(D37,'G-6 Hedgerow Data'!$B$1:$AH$15,33,FALSE))</f>
        <v/>
      </c>
      <c r="N37" s="207" t="str">
        <f t="shared" si="2"/>
        <v/>
      </c>
      <c r="O37" s="44"/>
      <c r="P37" s="173"/>
      <c r="Q37" s="189"/>
      <c r="R37" s="179" t="str">
        <f t="shared" si="3"/>
        <v/>
      </c>
      <c r="S37" s="179" t="str">
        <f t="shared" si="4"/>
        <v/>
      </c>
      <c r="T37" s="208" t="str">
        <f t="shared" si="5"/>
        <v/>
      </c>
      <c r="U37" s="209" t="str">
        <f t="shared" si="6"/>
        <v/>
      </c>
      <c r="V37" s="182"/>
      <c r="W37" s="183"/>
      <c r="AB37" s="35" t="str">
        <f>IFERROR(INDEX('G-6 Hedgerow Data'!$BJ$3:$BJ$15,MATCH(D37,'G-6 Hedgerow Data'!$B$3:$B$15,0)),"")</f>
        <v/>
      </c>
      <c r="AE37" s="188" t="str">
        <f t="shared" si="0"/>
        <v/>
      </c>
      <c r="AF37" s="188" t="str">
        <f t="shared" si="1"/>
        <v/>
      </c>
      <c r="AH37" s="188">
        <v>28</v>
      </c>
      <c r="AJ37" s="188" t="str">
        <f t="array" ref="AJ37">IFERROR(INDEX($AH$10:$AH$258, MATCH(0, IF(TRUE=$AE$10:$AE$258, COUNTIF($AJ$9:$AJ36, $AH$10:$AH$258), ""), 0)),"")</f>
        <v/>
      </c>
      <c r="AK37" s="188" t="str">
        <f t="array" ref="AK37">IFERROR(INDEX($AH$10:$AH$258, MATCH(0, IF(TRUE=$AF$10:$AF$258, COUNTIF($AK$9:$AK36, $AH$10:$AH$258), ""), 0)),"")</f>
        <v/>
      </c>
    </row>
    <row r="38" spans="2:37" ht="13.8" x14ac:dyDescent="0.25">
      <c r="B38" s="168">
        <v>29</v>
      </c>
      <c r="C38" s="275"/>
      <c r="D38" s="275"/>
      <c r="E38" s="185"/>
      <c r="F38" s="171" t="str">
        <f>IF(D38="","",VLOOKUP(D38,'G-6 Hedgerow Data'!$B$2:$AG$15,2,FALSE))</f>
        <v/>
      </c>
      <c r="G38" s="172" t="str">
        <f>IF(D38="","",VLOOKUP(D38,'G-6 Hedgerow Data'!$B$2:$AG$15,3,FALSE))</f>
        <v/>
      </c>
      <c r="H38" s="173"/>
      <c r="I38" s="172" t="str">
        <f>IFERROR(IF(AND(F38="V.Low",OR(H38="Good",H38="Moderate")),"Error",VLOOKUP(H38,'G-1 All Habitats'!$Z$2:$AA$9,2,FALSE)),"")</f>
        <v/>
      </c>
      <c r="J38" s="186"/>
      <c r="K38" s="175" t="str">
        <f>IF(J38="","",IF(VLOOKUP(J38,'G-3 Multipliers'!$L$3:$N$6,2,FALSE)=0,"Spatial Data Missing",VLOOKUP(J38,'G-3 Multipliers'!$L$3:$N$6,2,FALSE)))</f>
        <v/>
      </c>
      <c r="L38" s="176" t="str">
        <f>IF(J38="","",IF(VLOOKUP(J38,'G-3 Multipliers'!$L$3:$N$6,3,FALSE)=0,"Spatial Data Missing",VLOOKUP(J38,'G-3 Multipliers'!$L$3:$N$6,3,FALSE)))</f>
        <v/>
      </c>
      <c r="M38" s="177" t="str">
        <f>IF(D38="","",VLOOKUP(D38,'G-6 Hedgerow Data'!$B$1:$AH$15,33,FALSE))</f>
        <v/>
      </c>
      <c r="N38" s="207" t="str">
        <f t="shared" si="2"/>
        <v/>
      </c>
      <c r="O38" s="44"/>
      <c r="P38" s="173"/>
      <c r="Q38" s="189"/>
      <c r="R38" s="179" t="str">
        <f t="shared" si="3"/>
        <v/>
      </c>
      <c r="S38" s="179" t="str">
        <f t="shared" si="4"/>
        <v/>
      </c>
      <c r="T38" s="208" t="str">
        <f t="shared" si="5"/>
        <v/>
      </c>
      <c r="U38" s="209" t="str">
        <f t="shared" si="6"/>
        <v/>
      </c>
      <c r="V38" s="182"/>
      <c r="W38" s="183"/>
      <c r="AB38" s="35" t="str">
        <f>IFERROR(INDEX('G-6 Hedgerow Data'!$BJ$3:$BJ$15,MATCH(D38,'G-6 Hedgerow Data'!$B$3:$B$15,0)),"")</f>
        <v/>
      </c>
      <c r="AE38" s="188" t="str">
        <f t="shared" si="0"/>
        <v/>
      </c>
      <c r="AF38" s="188" t="str">
        <f t="shared" si="1"/>
        <v/>
      </c>
      <c r="AH38" s="188">
        <v>29</v>
      </c>
      <c r="AJ38" s="188" t="str">
        <f t="array" ref="AJ38">IFERROR(INDEX($AH$10:$AH$258, MATCH(0, IF(TRUE=$AE$10:$AE$258, COUNTIF($AJ$9:$AJ37, $AH$10:$AH$258), ""), 0)),"")</f>
        <v/>
      </c>
      <c r="AK38" s="188" t="str">
        <f t="array" ref="AK38">IFERROR(INDEX($AH$10:$AH$258, MATCH(0, IF(TRUE=$AF$10:$AF$258, COUNTIF($AK$9:$AK37, $AH$10:$AH$258), ""), 0)),"")</f>
        <v/>
      </c>
    </row>
    <row r="39" spans="2:37" ht="13.8" x14ac:dyDescent="0.25">
      <c r="B39" s="168">
        <v>30</v>
      </c>
      <c r="C39" s="275"/>
      <c r="D39" s="275"/>
      <c r="E39" s="185"/>
      <c r="F39" s="171" t="str">
        <f>IF(D39="","",VLOOKUP(D39,'G-6 Hedgerow Data'!$B$2:$AG$15,2,FALSE))</f>
        <v/>
      </c>
      <c r="G39" s="172" t="str">
        <f>IF(D39="","",VLOOKUP(D39,'G-6 Hedgerow Data'!$B$2:$AG$15,3,FALSE))</f>
        <v/>
      </c>
      <c r="H39" s="173"/>
      <c r="I39" s="172" t="str">
        <f>IFERROR(IF(AND(F39="V.Low",OR(H39="Good",H39="Moderate")),"Error",VLOOKUP(H39,'G-1 All Habitats'!$Z$2:$AA$9,2,FALSE)),"")</f>
        <v/>
      </c>
      <c r="J39" s="186"/>
      <c r="K39" s="175" t="str">
        <f>IF(J39="","",IF(VLOOKUP(J39,'G-3 Multipliers'!$L$3:$N$6,2,FALSE)=0,"Spatial Data Missing",VLOOKUP(J39,'G-3 Multipliers'!$L$3:$N$6,2,FALSE)))</f>
        <v/>
      </c>
      <c r="L39" s="176" t="str">
        <f>IF(J39="","",IF(VLOOKUP(J39,'G-3 Multipliers'!$L$3:$N$6,3,FALSE)=0,"Spatial Data Missing",VLOOKUP(J39,'G-3 Multipliers'!$L$3:$N$6,3,FALSE)))</f>
        <v/>
      </c>
      <c r="M39" s="177" t="str">
        <f>IF(D39="","",VLOOKUP(D39,'G-6 Hedgerow Data'!$B$1:$AH$15,33,FALSE))</f>
        <v/>
      </c>
      <c r="N39" s="207" t="str">
        <f t="shared" si="2"/>
        <v/>
      </c>
      <c r="O39" s="44"/>
      <c r="P39" s="173"/>
      <c r="Q39" s="189"/>
      <c r="R39" s="179" t="str">
        <f t="shared" si="3"/>
        <v/>
      </c>
      <c r="S39" s="179" t="str">
        <f t="shared" si="4"/>
        <v/>
      </c>
      <c r="T39" s="208" t="str">
        <f t="shared" si="5"/>
        <v/>
      </c>
      <c r="U39" s="209" t="str">
        <f t="shared" si="6"/>
        <v/>
      </c>
      <c r="V39" s="182"/>
      <c r="W39" s="183"/>
      <c r="AB39" s="35" t="str">
        <f>IFERROR(INDEX('G-6 Hedgerow Data'!$BJ$3:$BJ$15,MATCH(D39,'G-6 Hedgerow Data'!$B$3:$B$15,0)),"")</f>
        <v/>
      </c>
      <c r="AE39" s="188" t="str">
        <f t="shared" si="0"/>
        <v/>
      </c>
      <c r="AF39" s="188" t="str">
        <f t="shared" si="1"/>
        <v/>
      </c>
      <c r="AH39" s="188">
        <v>30</v>
      </c>
      <c r="AJ39" s="188" t="str">
        <f t="array" ref="AJ39">IFERROR(INDEX($AH$10:$AH$258, MATCH(0, IF(TRUE=$AE$10:$AE$258, COUNTIF($AJ$9:$AJ38, $AH$10:$AH$258), ""), 0)),"")</f>
        <v/>
      </c>
      <c r="AK39" s="188" t="str">
        <f t="array" ref="AK39">IFERROR(INDEX($AH$10:$AH$258, MATCH(0, IF(TRUE=$AF$10:$AF$258, COUNTIF($AK$9:$AK38, $AH$10:$AH$258), ""), 0)),"")</f>
        <v/>
      </c>
    </row>
    <row r="40" spans="2:37" ht="13.8" x14ac:dyDescent="0.25">
      <c r="B40" s="168">
        <v>31</v>
      </c>
      <c r="C40" s="275"/>
      <c r="D40" s="275"/>
      <c r="E40" s="185"/>
      <c r="F40" s="171" t="str">
        <f>IF(D40="","",VLOOKUP(D40,'G-6 Hedgerow Data'!$B$2:$AG$15,2,FALSE))</f>
        <v/>
      </c>
      <c r="G40" s="172" t="str">
        <f>IF(D40="","",VLOOKUP(D40,'G-6 Hedgerow Data'!$B$2:$AG$15,3,FALSE))</f>
        <v/>
      </c>
      <c r="H40" s="173"/>
      <c r="I40" s="172" t="str">
        <f>IFERROR(IF(AND(F40="V.Low",OR(H40="Good",H40="Moderate")),"Error",VLOOKUP(H40,'G-1 All Habitats'!$Z$2:$AA$9,2,FALSE)),"")</f>
        <v/>
      </c>
      <c r="J40" s="186"/>
      <c r="K40" s="175" t="str">
        <f>IF(J40="","",IF(VLOOKUP(J40,'G-3 Multipliers'!$L$3:$N$6,2,FALSE)=0,"Spatial Data Missing",VLOOKUP(J40,'G-3 Multipliers'!$L$3:$N$6,2,FALSE)))</f>
        <v/>
      </c>
      <c r="L40" s="176" t="str">
        <f>IF(J40="","",IF(VLOOKUP(J40,'G-3 Multipliers'!$L$3:$N$6,3,FALSE)=0,"Spatial Data Missing",VLOOKUP(J40,'G-3 Multipliers'!$L$3:$N$6,3,FALSE)))</f>
        <v/>
      </c>
      <c r="M40" s="177" t="str">
        <f>IF(D40="","",VLOOKUP(D40,'G-6 Hedgerow Data'!$B$1:$AH$15,33,FALSE))</f>
        <v/>
      </c>
      <c r="N40" s="207" t="str">
        <f t="shared" si="2"/>
        <v/>
      </c>
      <c r="O40" s="44"/>
      <c r="P40" s="173"/>
      <c r="Q40" s="189"/>
      <c r="R40" s="179" t="str">
        <f t="shared" si="3"/>
        <v/>
      </c>
      <c r="S40" s="179" t="str">
        <f t="shared" si="4"/>
        <v/>
      </c>
      <c r="T40" s="208" t="str">
        <f t="shared" si="5"/>
        <v/>
      </c>
      <c r="U40" s="209" t="str">
        <f t="shared" si="6"/>
        <v/>
      </c>
      <c r="V40" s="182"/>
      <c r="W40" s="183"/>
      <c r="AB40" s="35" t="str">
        <f>IFERROR(INDEX('G-6 Hedgerow Data'!$BJ$3:$BJ$15,MATCH(D40,'G-6 Hedgerow Data'!$B$3:$B$15,0)),"")</f>
        <v/>
      </c>
      <c r="AE40" s="188" t="str">
        <f t="shared" si="0"/>
        <v/>
      </c>
      <c r="AF40" s="188" t="str">
        <f t="shared" si="1"/>
        <v/>
      </c>
      <c r="AH40" s="188">
        <v>31</v>
      </c>
      <c r="AJ40" s="188" t="str">
        <f t="array" ref="AJ40">IFERROR(INDEX($AH$10:$AH$258, MATCH(0, IF(TRUE=$AE$10:$AE$258, COUNTIF($AJ$9:$AJ39, $AH$10:$AH$258), ""), 0)),"")</f>
        <v/>
      </c>
      <c r="AK40" s="188" t="str">
        <f t="array" ref="AK40">IFERROR(INDEX($AH$10:$AH$258, MATCH(0, IF(TRUE=$AF$10:$AF$258, COUNTIF($AK$9:$AK39, $AH$10:$AH$258), ""), 0)),"")</f>
        <v/>
      </c>
    </row>
    <row r="41" spans="2:37" ht="13.8" x14ac:dyDescent="0.25">
      <c r="B41" s="168">
        <v>32</v>
      </c>
      <c r="C41" s="275"/>
      <c r="D41" s="275"/>
      <c r="E41" s="185"/>
      <c r="F41" s="171" t="str">
        <f>IF(D41="","",VLOOKUP(D41,'G-6 Hedgerow Data'!$B$2:$AG$15,2,FALSE))</f>
        <v/>
      </c>
      <c r="G41" s="172" t="str">
        <f>IF(D41="","",VLOOKUP(D41,'G-6 Hedgerow Data'!$B$2:$AG$15,3,FALSE))</f>
        <v/>
      </c>
      <c r="H41" s="173"/>
      <c r="I41" s="172" t="str">
        <f>IFERROR(IF(AND(F41="V.Low",OR(H41="Good",H41="Moderate")),"Error",VLOOKUP(H41,'G-1 All Habitats'!$Z$2:$AA$9,2,FALSE)),"")</f>
        <v/>
      </c>
      <c r="J41" s="186"/>
      <c r="K41" s="175" t="str">
        <f>IF(J41="","",IF(VLOOKUP(J41,'G-3 Multipliers'!$L$3:$N$6,2,FALSE)=0,"Spatial Data Missing",VLOOKUP(J41,'G-3 Multipliers'!$L$3:$N$6,2,FALSE)))</f>
        <v/>
      </c>
      <c r="L41" s="176" t="str">
        <f>IF(J41="","",IF(VLOOKUP(J41,'G-3 Multipliers'!$L$3:$N$6,3,FALSE)=0,"Spatial Data Missing",VLOOKUP(J41,'G-3 Multipliers'!$L$3:$N$6,3,FALSE)))</f>
        <v/>
      </c>
      <c r="M41" s="177" t="str">
        <f>IF(D41="","",VLOOKUP(D41,'G-6 Hedgerow Data'!$B$1:$AH$15,33,FALSE))</f>
        <v/>
      </c>
      <c r="N41" s="207" t="str">
        <f t="shared" si="2"/>
        <v/>
      </c>
      <c r="O41" s="44"/>
      <c r="P41" s="173"/>
      <c r="Q41" s="189"/>
      <c r="R41" s="179" t="str">
        <f t="shared" si="3"/>
        <v/>
      </c>
      <c r="S41" s="179" t="str">
        <f t="shared" si="4"/>
        <v/>
      </c>
      <c r="T41" s="208" t="str">
        <f t="shared" si="5"/>
        <v/>
      </c>
      <c r="U41" s="209" t="str">
        <f t="shared" si="6"/>
        <v/>
      </c>
      <c r="V41" s="182"/>
      <c r="W41" s="183"/>
      <c r="AB41" s="35" t="str">
        <f>IFERROR(INDEX('G-6 Hedgerow Data'!$BJ$3:$BJ$15,MATCH(D41,'G-6 Hedgerow Data'!$B$3:$B$15,0)),"")</f>
        <v/>
      </c>
      <c r="AE41" s="188" t="str">
        <f t="shared" si="0"/>
        <v/>
      </c>
      <c r="AF41" s="188" t="str">
        <f t="shared" si="1"/>
        <v/>
      </c>
      <c r="AH41" s="188">
        <v>32</v>
      </c>
      <c r="AJ41" s="188" t="str">
        <f t="array" ref="AJ41">IFERROR(INDEX($AH$10:$AH$258, MATCH(0, IF(TRUE=$AE$10:$AE$258, COUNTIF($AJ$9:$AJ40, $AH$10:$AH$258), ""), 0)),"")</f>
        <v/>
      </c>
      <c r="AK41" s="188" t="str">
        <f t="array" ref="AK41">IFERROR(INDEX($AH$10:$AH$258, MATCH(0, IF(TRUE=$AF$10:$AF$258, COUNTIF($AK$9:$AK40, $AH$10:$AH$258), ""), 0)),"")</f>
        <v/>
      </c>
    </row>
    <row r="42" spans="2:37" ht="13.8" x14ac:dyDescent="0.25">
      <c r="B42" s="168">
        <v>33</v>
      </c>
      <c r="C42" s="275"/>
      <c r="D42" s="275"/>
      <c r="E42" s="185"/>
      <c r="F42" s="171" t="str">
        <f>IF(D42="","",VLOOKUP(D42,'G-6 Hedgerow Data'!$B$2:$AG$15,2,FALSE))</f>
        <v/>
      </c>
      <c r="G42" s="172" t="str">
        <f>IF(D42="","",VLOOKUP(D42,'G-6 Hedgerow Data'!$B$2:$AG$15,3,FALSE))</f>
        <v/>
      </c>
      <c r="H42" s="173"/>
      <c r="I42" s="172" t="str">
        <f>IFERROR(IF(AND(F42="V.Low",OR(H42="Good",H42="Moderate")),"Error",VLOOKUP(H42,'G-1 All Habitats'!$Z$2:$AA$9,2,FALSE)),"")</f>
        <v/>
      </c>
      <c r="J42" s="186"/>
      <c r="K42" s="175" t="str">
        <f>IF(J42="","",IF(VLOOKUP(J42,'G-3 Multipliers'!$L$3:$N$6,2,FALSE)=0,"Spatial Data Missing",VLOOKUP(J42,'G-3 Multipliers'!$L$3:$N$6,2,FALSE)))</f>
        <v/>
      </c>
      <c r="L42" s="176" t="str">
        <f>IF(J42="","",IF(VLOOKUP(J42,'G-3 Multipliers'!$L$3:$N$6,3,FALSE)=0,"Spatial Data Missing",VLOOKUP(J42,'G-3 Multipliers'!$L$3:$N$6,3,FALSE)))</f>
        <v/>
      </c>
      <c r="M42" s="177" t="str">
        <f>IF(D42="","",VLOOKUP(D42,'G-6 Hedgerow Data'!$B$1:$AH$15,33,FALSE))</f>
        <v/>
      </c>
      <c r="N42" s="207" t="str">
        <f t="shared" si="2"/>
        <v/>
      </c>
      <c r="O42" s="44"/>
      <c r="P42" s="173"/>
      <c r="Q42" s="189"/>
      <c r="R42" s="179" t="str">
        <f t="shared" si="3"/>
        <v/>
      </c>
      <c r="S42" s="179" t="str">
        <f t="shared" si="4"/>
        <v/>
      </c>
      <c r="T42" s="208" t="str">
        <f t="shared" si="5"/>
        <v/>
      </c>
      <c r="U42" s="209" t="str">
        <f t="shared" si="6"/>
        <v/>
      </c>
      <c r="V42" s="182"/>
      <c r="W42" s="183"/>
      <c r="AB42" s="35" t="str">
        <f>IFERROR(INDEX('G-6 Hedgerow Data'!$BJ$3:$BJ$15,MATCH(D42,'G-6 Hedgerow Data'!$B$3:$B$15,0)),"")</f>
        <v/>
      </c>
      <c r="AE42" s="188" t="str">
        <f t="shared" si="0"/>
        <v/>
      </c>
      <c r="AF42" s="188" t="str">
        <f t="shared" si="1"/>
        <v/>
      </c>
      <c r="AH42" s="188">
        <v>33</v>
      </c>
      <c r="AJ42" s="188" t="str">
        <f t="array" ref="AJ42">IFERROR(INDEX($AH$10:$AH$258, MATCH(0, IF(TRUE=$AE$10:$AE$258, COUNTIF($AJ$9:$AJ41, $AH$10:$AH$258), ""), 0)),"")</f>
        <v/>
      </c>
      <c r="AK42" s="188" t="str">
        <f t="array" ref="AK42">IFERROR(INDEX($AH$10:$AH$258, MATCH(0, IF(TRUE=$AF$10:$AF$258, COUNTIF($AK$9:$AK41, $AH$10:$AH$258), ""), 0)),"")</f>
        <v/>
      </c>
    </row>
    <row r="43" spans="2:37" ht="13.8" x14ac:dyDescent="0.25">
      <c r="B43" s="168">
        <v>34</v>
      </c>
      <c r="C43" s="275"/>
      <c r="D43" s="275"/>
      <c r="E43" s="185"/>
      <c r="F43" s="171" t="str">
        <f>IF(D43="","",VLOOKUP(D43,'G-6 Hedgerow Data'!$B$2:$AG$15,2,FALSE))</f>
        <v/>
      </c>
      <c r="G43" s="172" t="str">
        <f>IF(D43="","",VLOOKUP(D43,'G-6 Hedgerow Data'!$B$2:$AG$15,3,FALSE))</f>
        <v/>
      </c>
      <c r="H43" s="173"/>
      <c r="I43" s="172" t="str">
        <f>IFERROR(IF(AND(F43="V.Low",OR(H43="Good",H43="Moderate")),"Error",VLOOKUP(H43,'G-1 All Habitats'!$Z$2:$AA$9,2,FALSE)),"")</f>
        <v/>
      </c>
      <c r="J43" s="186"/>
      <c r="K43" s="175" t="str">
        <f>IF(J43="","",IF(VLOOKUP(J43,'G-3 Multipliers'!$L$3:$N$6,2,FALSE)=0,"Spatial Data Missing",VLOOKUP(J43,'G-3 Multipliers'!$L$3:$N$6,2,FALSE)))</f>
        <v/>
      </c>
      <c r="L43" s="176" t="str">
        <f>IF(J43="","",IF(VLOOKUP(J43,'G-3 Multipliers'!$L$3:$N$6,3,FALSE)=0,"Spatial Data Missing",VLOOKUP(J43,'G-3 Multipliers'!$L$3:$N$6,3,FALSE)))</f>
        <v/>
      </c>
      <c r="M43" s="177" t="str">
        <f>IF(D43="","",VLOOKUP(D43,'G-6 Hedgerow Data'!$B$1:$AH$15,33,FALSE))</f>
        <v/>
      </c>
      <c r="N43" s="207" t="str">
        <f t="shared" si="2"/>
        <v/>
      </c>
      <c r="O43" s="44"/>
      <c r="P43" s="173"/>
      <c r="Q43" s="189"/>
      <c r="R43" s="179" t="str">
        <f t="shared" si="3"/>
        <v/>
      </c>
      <c r="S43" s="179" t="str">
        <f t="shared" si="4"/>
        <v/>
      </c>
      <c r="T43" s="208" t="str">
        <f t="shared" si="5"/>
        <v/>
      </c>
      <c r="U43" s="209" t="str">
        <f t="shared" si="6"/>
        <v/>
      </c>
      <c r="V43" s="182"/>
      <c r="W43" s="183"/>
      <c r="AB43" s="35" t="str">
        <f>IFERROR(INDEX('G-6 Hedgerow Data'!$BJ$3:$BJ$15,MATCH(D43,'G-6 Hedgerow Data'!$B$3:$B$15,0)),"")</f>
        <v/>
      </c>
      <c r="AE43" s="188" t="str">
        <f t="shared" si="0"/>
        <v/>
      </c>
      <c r="AF43" s="188" t="str">
        <f t="shared" si="1"/>
        <v/>
      </c>
      <c r="AH43" s="188">
        <v>34</v>
      </c>
      <c r="AJ43" s="188" t="str">
        <f t="array" ref="AJ43">IFERROR(INDEX($AH$10:$AH$258, MATCH(0, IF(TRUE=$AE$10:$AE$258, COUNTIF($AJ$9:$AJ42, $AH$10:$AH$258), ""), 0)),"")</f>
        <v/>
      </c>
      <c r="AK43" s="188" t="str">
        <f t="array" ref="AK43">IFERROR(INDEX($AH$10:$AH$258, MATCH(0, IF(TRUE=$AF$10:$AF$258, COUNTIF($AK$9:$AK42, $AH$10:$AH$258), ""), 0)),"")</f>
        <v/>
      </c>
    </row>
    <row r="44" spans="2:37" ht="13.8" x14ac:dyDescent="0.25">
      <c r="B44" s="168">
        <v>35</v>
      </c>
      <c r="C44" s="275"/>
      <c r="D44" s="275"/>
      <c r="E44" s="185"/>
      <c r="F44" s="171" t="str">
        <f>IF(D44="","",VLOOKUP(D44,'G-6 Hedgerow Data'!$B$2:$AG$15,2,FALSE))</f>
        <v/>
      </c>
      <c r="G44" s="172" t="str">
        <f>IF(D44="","",VLOOKUP(D44,'G-6 Hedgerow Data'!$B$2:$AG$15,3,FALSE))</f>
        <v/>
      </c>
      <c r="H44" s="173"/>
      <c r="I44" s="172" t="str">
        <f>IFERROR(IF(AND(F44="V.Low",OR(H44="Good",H44="Moderate")),"Error",VLOOKUP(H44,'G-1 All Habitats'!$Z$2:$AA$9,2,FALSE)),"")</f>
        <v/>
      </c>
      <c r="J44" s="186"/>
      <c r="K44" s="175" t="str">
        <f>IF(J44="","",IF(VLOOKUP(J44,'G-3 Multipliers'!$L$3:$N$6,2,FALSE)=0,"Spatial Data Missing",VLOOKUP(J44,'G-3 Multipliers'!$L$3:$N$6,2,FALSE)))</f>
        <v/>
      </c>
      <c r="L44" s="176" t="str">
        <f>IF(J44="","",IF(VLOOKUP(J44,'G-3 Multipliers'!$L$3:$N$6,3,FALSE)=0,"Spatial Data Missing",VLOOKUP(J44,'G-3 Multipliers'!$L$3:$N$6,3,FALSE)))</f>
        <v/>
      </c>
      <c r="M44" s="177" t="str">
        <f>IF(D44="","",VLOOKUP(D44,'G-6 Hedgerow Data'!$B$1:$AH$15,33,FALSE))</f>
        <v/>
      </c>
      <c r="N44" s="207" t="str">
        <f t="shared" si="2"/>
        <v/>
      </c>
      <c r="O44" s="44"/>
      <c r="P44" s="173"/>
      <c r="Q44" s="189"/>
      <c r="R44" s="179" t="str">
        <f t="shared" si="3"/>
        <v/>
      </c>
      <c r="S44" s="179" t="str">
        <f t="shared" si="4"/>
        <v/>
      </c>
      <c r="T44" s="208" t="str">
        <f t="shared" si="5"/>
        <v/>
      </c>
      <c r="U44" s="209" t="str">
        <f t="shared" si="6"/>
        <v/>
      </c>
      <c r="V44" s="182"/>
      <c r="W44" s="183"/>
      <c r="AB44" s="35" t="str">
        <f>IFERROR(INDEX('G-6 Hedgerow Data'!$BJ$3:$BJ$15,MATCH(D44,'G-6 Hedgerow Data'!$B$3:$B$15,0)),"")</f>
        <v/>
      </c>
      <c r="AE44" s="188" t="str">
        <f t="shared" si="0"/>
        <v/>
      </c>
      <c r="AF44" s="188" t="str">
        <f t="shared" si="1"/>
        <v/>
      </c>
      <c r="AH44" s="188">
        <v>35</v>
      </c>
      <c r="AJ44" s="188" t="str">
        <f t="array" ref="AJ44">IFERROR(INDEX($AH$10:$AH$258, MATCH(0, IF(TRUE=$AE$10:$AE$258, COUNTIF($AJ$9:$AJ43, $AH$10:$AH$258), ""), 0)),"")</f>
        <v/>
      </c>
      <c r="AK44" s="188" t="str">
        <f t="array" ref="AK44">IFERROR(INDEX($AH$10:$AH$258, MATCH(0, IF(TRUE=$AF$10:$AF$258, COUNTIF($AK$9:$AK43, $AH$10:$AH$258), ""), 0)),"")</f>
        <v/>
      </c>
    </row>
    <row r="45" spans="2:37" ht="13.8" x14ac:dyDescent="0.25">
      <c r="B45" s="168">
        <v>36</v>
      </c>
      <c r="C45" s="275"/>
      <c r="D45" s="275"/>
      <c r="E45" s="185"/>
      <c r="F45" s="171" t="str">
        <f>IF(D45="","",VLOOKUP(D45,'G-6 Hedgerow Data'!$B$2:$AG$15,2,FALSE))</f>
        <v/>
      </c>
      <c r="G45" s="172" t="str">
        <f>IF(D45="","",VLOOKUP(D45,'G-6 Hedgerow Data'!$B$2:$AG$15,3,FALSE))</f>
        <v/>
      </c>
      <c r="H45" s="173"/>
      <c r="I45" s="172" t="str">
        <f>IFERROR(IF(AND(F45="V.Low",OR(H45="Good",H45="Moderate")),"Error",VLOOKUP(H45,'G-1 All Habitats'!$Z$2:$AA$9,2,FALSE)),"")</f>
        <v/>
      </c>
      <c r="J45" s="186"/>
      <c r="K45" s="175" t="str">
        <f>IF(J45="","",IF(VLOOKUP(J45,'G-3 Multipliers'!$L$3:$N$6,2,FALSE)=0,"Spatial Data Missing",VLOOKUP(J45,'G-3 Multipliers'!$L$3:$N$6,2,FALSE)))</f>
        <v/>
      </c>
      <c r="L45" s="176" t="str">
        <f>IF(J45="","",IF(VLOOKUP(J45,'G-3 Multipliers'!$L$3:$N$6,3,FALSE)=0,"Spatial Data Missing",VLOOKUP(J45,'G-3 Multipliers'!$L$3:$N$6,3,FALSE)))</f>
        <v/>
      </c>
      <c r="M45" s="177" t="str">
        <f>IF(D45="","",VLOOKUP(D45,'G-6 Hedgerow Data'!$B$1:$AH$15,33,FALSE))</f>
        <v/>
      </c>
      <c r="N45" s="207" t="str">
        <f t="shared" si="2"/>
        <v/>
      </c>
      <c r="O45" s="44"/>
      <c r="P45" s="173"/>
      <c r="Q45" s="189"/>
      <c r="R45" s="179" t="str">
        <f t="shared" si="3"/>
        <v/>
      </c>
      <c r="S45" s="179" t="str">
        <f t="shared" si="4"/>
        <v/>
      </c>
      <c r="T45" s="208" t="str">
        <f t="shared" si="5"/>
        <v/>
      </c>
      <c r="U45" s="209" t="str">
        <f t="shared" si="6"/>
        <v/>
      </c>
      <c r="V45" s="182"/>
      <c r="W45" s="183"/>
      <c r="AB45" s="35" t="str">
        <f>IFERROR(INDEX('G-6 Hedgerow Data'!$BJ$3:$BJ$15,MATCH(D45,'G-6 Hedgerow Data'!$B$3:$B$15,0)),"")</f>
        <v/>
      </c>
      <c r="AE45" s="188" t="str">
        <f t="shared" si="0"/>
        <v/>
      </c>
      <c r="AF45" s="188" t="str">
        <f t="shared" si="1"/>
        <v/>
      </c>
      <c r="AH45" s="188">
        <v>36</v>
      </c>
      <c r="AJ45" s="188" t="str">
        <f t="array" ref="AJ45">IFERROR(INDEX($AH$10:$AH$258, MATCH(0, IF(TRUE=$AE$10:$AE$258, COUNTIF($AJ$9:$AJ44, $AH$10:$AH$258), ""), 0)),"")</f>
        <v/>
      </c>
      <c r="AK45" s="188" t="str">
        <f t="array" ref="AK45">IFERROR(INDEX($AH$10:$AH$258, MATCH(0, IF(TRUE=$AF$10:$AF$258, COUNTIF($AK$9:$AK44, $AH$10:$AH$258), ""), 0)),"")</f>
        <v/>
      </c>
    </row>
    <row r="46" spans="2:37" ht="13.8" x14ac:dyDescent="0.25">
      <c r="B46" s="168">
        <v>37</v>
      </c>
      <c r="C46" s="275"/>
      <c r="D46" s="275"/>
      <c r="E46" s="185"/>
      <c r="F46" s="171" t="str">
        <f>IF(D46="","",VLOOKUP(D46,'G-6 Hedgerow Data'!$B$2:$AG$15,2,FALSE))</f>
        <v/>
      </c>
      <c r="G46" s="172" t="str">
        <f>IF(D46="","",VLOOKUP(D46,'G-6 Hedgerow Data'!$B$2:$AG$15,3,FALSE))</f>
        <v/>
      </c>
      <c r="H46" s="173"/>
      <c r="I46" s="172" t="str">
        <f>IFERROR(IF(AND(F46="V.Low",OR(H46="Good",H46="Moderate")),"Error",VLOOKUP(H46,'G-1 All Habitats'!$Z$2:$AA$9,2,FALSE)),"")</f>
        <v/>
      </c>
      <c r="J46" s="186"/>
      <c r="K46" s="175" t="str">
        <f>IF(J46="","",IF(VLOOKUP(J46,'G-3 Multipliers'!$L$3:$N$6,2,FALSE)=0,"Spatial Data Missing",VLOOKUP(J46,'G-3 Multipliers'!$L$3:$N$6,2,FALSE)))</f>
        <v/>
      </c>
      <c r="L46" s="176" t="str">
        <f>IF(J46="","",IF(VLOOKUP(J46,'G-3 Multipliers'!$L$3:$N$6,3,FALSE)=0,"Spatial Data Missing",VLOOKUP(J46,'G-3 Multipliers'!$L$3:$N$6,3,FALSE)))</f>
        <v/>
      </c>
      <c r="M46" s="177" t="str">
        <f>IF(D46="","",VLOOKUP(D46,'G-6 Hedgerow Data'!$B$1:$AH$15,33,FALSE))</f>
        <v/>
      </c>
      <c r="N46" s="207" t="str">
        <f t="shared" si="2"/>
        <v/>
      </c>
      <c r="O46" s="44"/>
      <c r="P46" s="173"/>
      <c r="Q46" s="189"/>
      <c r="R46" s="179" t="str">
        <f t="shared" si="3"/>
        <v/>
      </c>
      <c r="S46" s="179" t="str">
        <f t="shared" si="4"/>
        <v/>
      </c>
      <c r="T46" s="208" t="str">
        <f t="shared" si="5"/>
        <v/>
      </c>
      <c r="U46" s="209" t="str">
        <f t="shared" si="6"/>
        <v/>
      </c>
      <c r="V46" s="182"/>
      <c r="W46" s="183"/>
      <c r="AB46" s="35" t="str">
        <f>IFERROR(INDEX('G-6 Hedgerow Data'!$BJ$3:$BJ$15,MATCH(D46,'G-6 Hedgerow Data'!$B$3:$B$15,0)),"")</f>
        <v/>
      </c>
      <c r="AE46" s="188" t="str">
        <f t="shared" si="0"/>
        <v/>
      </c>
      <c r="AF46" s="188" t="str">
        <f t="shared" si="1"/>
        <v/>
      </c>
      <c r="AH46" s="188">
        <v>37</v>
      </c>
      <c r="AJ46" s="188" t="str">
        <f t="array" ref="AJ46">IFERROR(INDEX($AH$10:$AH$258, MATCH(0, IF(TRUE=$AE$10:$AE$258, COUNTIF($AJ$9:$AJ45, $AH$10:$AH$258), ""), 0)),"")</f>
        <v/>
      </c>
      <c r="AK46" s="188" t="str">
        <f t="array" ref="AK46">IFERROR(INDEX($AH$10:$AH$258, MATCH(0, IF(TRUE=$AF$10:$AF$258, COUNTIF($AK$9:$AK45, $AH$10:$AH$258), ""), 0)),"")</f>
        <v/>
      </c>
    </row>
    <row r="47" spans="2:37" ht="13.8" x14ac:dyDescent="0.25">
      <c r="B47" s="168">
        <v>38</v>
      </c>
      <c r="C47" s="275"/>
      <c r="D47" s="275"/>
      <c r="E47" s="185"/>
      <c r="F47" s="171" t="str">
        <f>IF(D47="","",VLOOKUP(D47,'G-6 Hedgerow Data'!$B$2:$AG$15,2,FALSE))</f>
        <v/>
      </c>
      <c r="G47" s="172" t="str">
        <f>IF(D47="","",VLOOKUP(D47,'G-6 Hedgerow Data'!$B$2:$AG$15,3,FALSE))</f>
        <v/>
      </c>
      <c r="H47" s="173"/>
      <c r="I47" s="172" t="str">
        <f>IFERROR(IF(AND(F47="V.Low",OR(H47="Good",H47="Moderate")),"Error",VLOOKUP(H47,'G-1 All Habitats'!$Z$2:$AA$9,2,FALSE)),"")</f>
        <v/>
      </c>
      <c r="J47" s="186"/>
      <c r="K47" s="175" t="str">
        <f>IF(J47="","",IF(VLOOKUP(J47,'G-3 Multipliers'!$L$3:$N$6,2,FALSE)=0,"Spatial Data Missing",VLOOKUP(J47,'G-3 Multipliers'!$L$3:$N$6,2,FALSE)))</f>
        <v/>
      </c>
      <c r="L47" s="176" t="str">
        <f>IF(J47="","",IF(VLOOKUP(J47,'G-3 Multipliers'!$L$3:$N$6,3,FALSE)=0,"Spatial Data Missing",VLOOKUP(J47,'G-3 Multipliers'!$L$3:$N$6,3,FALSE)))</f>
        <v/>
      </c>
      <c r="M47" s="177" t="str">
        <f>IF(D47="","",VLOOKUP(D47,'G-6 Hedgerow Data'!$B$1:$AH$15,33,FALSE))</f>
        <v/>
      </c>
      <c r="N47" s="207" t="str">
        <f t="shared" si="2"/>
        <v/>
      </c>
      <c r="O47" s="44"/>
      <c r="P47" s="173"/>
      <c r="Q47" s="189"/>
      <c r="R47" s="179" t="str">
        <f t="shared" si="3"/>
        <v/>
      </c>
      <c r="S47" s="179" t="str">
        <f t="shared" si="4"/>
        <v/>
      </c>
      <c r="T47" s="208" t="str">
        <f t="shared" si="5"/>
        <v/>
      </c>
      <c r="U47" s="209" t="str">
        <f t="shared" si="6"/>
        <v/>
      </c>
      <c r="V47" s="182"/>
      <c r="W47" s="183"/>
      <c r="AB47" s="35" t="str">
        <f>IFERROR(INDEX('G-6 Hedgerow Data'!$BJ$3:$BJ$15,MATCH(D47,'G-6 Hedgerow Data'!$B$3:$B$15,0)),"")</f>
        <v/>
      </c>
      <c r="AE47" s="188" t="str">
        <f t="shared" si="0"/>
        <v/>
      </c>
      <c r="AF47" s="188" t="str">
        <f t="shared" si="1"/>
        <v/>
      </c>
      <c r="AH47" s="188">
        <v>38</v>
      </c>
      <c r="AJ47" s="188" t="str">
        <f t="array" ref="AJ47">IFERROR(INDEX($AH$10:$AH$258, MATCH(0, IF(TRUE=$AE$10:$AE$258, COUNTIF($AJ$9:$AJ46, $AH$10:$AH$258), ""), 0)),"")</f>
        <v/>
      </c>
      <c r="AK47" s="188" t="str">
        <f t="array" ref="AK47">IFERROR(INDEX($AH$10:$AH$258, MATCH(0, IF(TRUE=$AF$10:$AF$258, COUNTIF($AK$9:$AK46, $AH$10:$AH$258), ""), 0)),"")</f>
        <v/>
      </c>
    </row>
    <row r="48" spans="2:37" ht="13.8" x14ac:dyDescent="0.25">
      <c r="B48" s="168">
        <v>39</v>
      </c>
      <c r="C48" s="275"/>
      <c r="D48" s="275"/>
      <c r="E48" s="185"/>
      <c r="F48" s="171" t="str">
        <f>IF(D48="","",VLOOKUP(D48,'G-6 Hedgerow Data'!$B$2:$AG$15,2,FALSE))</f>
        <v/>
      </c>
      <c r="G48" s="172" t="str">
        <f>IF(D48="","",VLOOKUP(D48,'G-6 Hedgerow Data'!$B$2:$AG$15,3,FALSE))</f>
        <v/>
      </c>
      <c r="H48" s="173"/>
      <c r="I48" s="172" t="str">
        <f>IFERROR(IF(AND(F48="V.Low",OR(H48="Good",H48="Moderate")),"Error",VLOOKUP(H48,'G-1 All Habitats'!$Z$2:$AA$9,2,FALSE)),"")</f>
        <v/>
      </c>
      <c r="J48" s="186"/>
      <c r="K48" s="175" t="str">
        <f>IF(J48="","",IF(VLOOKUP(J48,'G-3 Multipliers'!$L$3:$N$6,2,FALSE)=0,"Spatial Data Missing",VLOOKUP(J48,'G-3 Multipliers'!$L$3:$N$6,2,FALSE)))</f>
        <v/>
      </c>
      <c r="L48" s="176" t="str">
        <f>IF(J48="","",IF(VLOOKUP(J48,'G-3 Multipliers'!$L$3:$N$6,3,FALSE)=0,"Spatial Data Missing",VLOOKUP(J48,'G-3 Multipliers'!$L$3:$N$6,3,FALSE)))</f>
        <v/>
      </c>
      <c r="M48" s="177" t="str">
        <f>IF(D48="","",VLOOKUP(D48,'G-6 Hedgerow Data'!$B$1:$AH$15,33,FALSE))</f>
        <v/>
      </c>
      <c r="N48" s="207" t="str">
        <f t="shared" si="2"/>
        <v/>
      </c>
      <c r="O48" s="44"/>
      <c r="P48" s="173"/>
      <c r="Q48" s="189"/>
      <c r="R48" s="179" t="str">
        <f t="shared" si="3"/>
        <v/>
      </c>
      <c r="S48" s="179" t="str">
        <f t="shared" si="4"/>
        <v/>
      </c>
      <c r="T48" s="208" t="str">
        <f t="shared" si="5"/>
        <v/>
      </c>
      <c r="U48" s="209" t="str">
        <f t="shared" si="6"/>
        <v/>
      </c>
      <c r="V48" s="182"/>
      <c r="W48" s="183"/>
      <c r="AB48" s="35" t="str">
        <f>IFERROR(INDEX('G-6 Hedgerow Data'!$BJ$3:$BJ$15,MATCH(D48,'G-6 Hedgerow Data'!$B$3:$B$15,0)),"")</f>
        <v/>
      </c>
      <c r="AE48" s="188" t="str">
        <f t="shared" si="0"/>
        <v/>
      </c>
      <c r="AF48" s="188" t="str">
        <f t="shared" si="1"/>
        <v/>
      </c>
      <c r="AH48" s="188">
        <v>39</v>
      </c>
      <c r="AJ48" s="188" t="str">
        <f t="array" ref="AJ48">IFERROR(INDEX($AH$10:$AH$258, MATCH(0, IF(TRUE=$AE$10:$AE$258, COUNTIF($AJ$9:$AJ47, $AH$10:$AH$258), ""), 0)),"")</f>
        <v/>
      </c>
      <c r="AK48" s="188" t="str">
        <f t="array" ref="AK48">IFERROR(INDEX($AH$10:$AH$258, MATCH(0, IF(TRUE=$AF$10:$AF$258, COUNTIF($AK$9:$AK47, $AH$10:$AH$258), ""), 0)),"")</f>
        <v/>
      </c>
    </row>
    <row r="49" spans="2:37" ht="13.8" x14ac:dyDescent="0.25">
      <c r="B49" s="168">
        <v>40</v>
      </c>
      <c r="C49" s="275"/>
      <c r="D49" s="275"/>
      <c r="E49" s="185"/>
      <c r="F49" s="171" t="str">
        <f>IF(D49="","",VLOOKUP(D49,'G-6 Hedgerow Data'!$B$2:$AG$15,2,FALSE))</f>
        <v/>
      </c>
      <c r="G49" s="172" t="str">
        <f>IF(D49="","",VLOOKUP(D49,'G-6 Hedgerow Data'!$B$2:$AG$15,3,FALSE))</f>
        <v/>
      </c>
      <c r="H49" s="173"/>
      <c r="I49" s="172" t="str">
        <f>IFERROR(IF(AND(F49="V.Low",OR(H49="Good",H49="Moderate")),"Error",VLOOKUP(H49,'G-1 All Habitats'!$Z$2:$AA$9,2,FALSE)),"")</f>
        <v/>
      </c>
      <c r="J49" s="186"/>
      <c r="K49" s="175" t="str">
        <f>IF(J49="","",IF(VLOOKUP(J49,'G-3 Multipliers'!$L$3:$N$6,2,FALSE)=0,"Spatial Data Missing",VLOOKUP(J49,'G-3 Multipliers'!$L$3:$N$6,2,FALSE)))</f>
        <v/>
      </c>
      <c r="L49" s="176" t="str">
        <f>IF(J49="","",IF(VLOOKUP(J49,'G-3 Multipliers'!$L$3:$N$6,3,FALSE)=0,"Spatial Data Missing",VLOOKUP(J49,'G-3 Multipliers'!$L$3:$N$6,3,FALSE)))</f>
        <v/>
      </c>
      <c r="M49" s="177" t="str">
        <f>IF(D49="","",VLOOKUP(D49,'G-6 Hedgerow Data'!$B$1:$AH$15,33,FALSE))</f>
        <v/>
      </c>
      <c r="N49" s="207" t="str">
        <f t="shared" si="2"/>
        <v/>
      </c>
      <c r="O49" s="44"/>
      <c r="P49" s="173"/>
      <c r="Q49" s="189"/>
      <c r="R49" s="179" t="str">
        <f t="shared" si="3"/>
        <v/>
      </c>
      <c r="S49" s="179" t="str">
        <f t="shared" si="4"/>
        <v/>
      </c>
      <c r="T49" s="208" t="str">
        <f t="shared" si="5"/>
        <v/>
      </c>
      <c r="U49" s="209" t="str">
        <f t="shared" si="6"/>
        <v/>
      </c>
      <c r="V49" s="182"/>
      <c r="W49" s="183"/>
      <c r="AB49" s="35" t="str">
        <f>IFERROR(INDEX('G-6 Hedgerow Data'!$BJ$3:$BJ$15,MATCH(D49,'G-6 Hedgerow Data'!$B$3:$B$15,0)),"")</f>
        <v/>
      </c>
      <c r="AE49" s="188" t="str">
        <f t="shared" si="0"/>
        <v/>
      </c>
      <c r="AF49" s="188" t="str">
        <f t="shared" si="1"/>
        <v/>
      </c>
      <c r="AH49" s="188">
        <v>40</v>
      </c>
      <c r="AJ49" s="188" t="str">
        <f t="array" ref="AJ49">IFERROR(INDEX($AH$10:$AH$258, MATCH(0, IF(TRUE=$AE$10:$AE$258, COUNTIF($AJ$9:$AJ48, $AH$10:$AH$258), ""), 0)),"")</f>
        <v/>
      </c>
      <c r="AK49" s="188" t="str">
        <f t="array" ref="AK49">IFERROR(INDEX($AH$10:$AH$258, MATCH(0, IF(TRUE=$AF$10:$AF$258, COUNTIF($AK$9:$AK48, $AH$10:$AH$258), ""), 0)),"")</f>
        <v/>
      </c>
    </row>
    <row r="50" spans="2:37" ht="13.8" x14ac:dyDescent="0.25">
      <c r="B50" s="168">
        <v>41</v>
      </c>
      <c r="C50" s="275"/>
      <c r="D50" s="275"/>
      <c r="E50" s="185"/>
      <c r="F50" s="171" t="str">
        <f>IF(D50="","",VLOOKUP(D50,'G-6 Hedgerow Data'!$B$2:$AG$15,2,FALSE))</f>
        <v/>
      </c>
      <c r="G50" s="172" t="str">
        <f>IF(D50="","",VLOOKUP(D50,'G-6 Hedgerow Data'!$B$2:$AG$15,3,FALSE))</f>
        <v/>
      </c>
      <c r="H50" s="173"/>
      <c r="I50" s="172" t="str">
        <f>IFERROR(IF(AND(F50="V.Low",OR(H50="Good",H50="Moderate")),"Error",VLOOKUP(H50,'G-1 All Habitats'!$Z$2:$AA$9,2,FALSE)),"")</f>
        <v/>
      </c>
      <c r="J50" s="186"/>
      <c r="K50" s="175" t="str">
        <f>IF(J50="","",IF(VLOOKUP(J50,'G-3 Multipliers'!$L$3:$N$6,2,FALSE)=0,"Spatial Data Missing",VLOOKUP(J50,'G-3 Multipliers'!$L$3:$N$6,2,FALSE)))</f>
        <v/>
      </c>
      <c r="L50" s="176" t="str">
        <f>IF(J50="","",IF(VLOOKUP(J50,'G-3 Multipliers'!$L$3:$N$6,3,FALSE)=0,"Spatial Data Missing",VLOOKUP(J50,'G-3 Multipliers'!$L$3:$N$6,3,FALSE)))</f>
        <v/>
      </c>
      <c r="M50" s="177" t="str">
        <f>IF(D50="","",VLOOKUP(D50,'G-6 Hedgerow Data'!$B$1:$AH$15,33,FALSE))</f>
        <v/>
      </c>
      <c r="N50" s="207" t="str">
        <f t="shared" si="2"/>
        <v/>
      </c>
      <c r="O50" s="44"/>
      <c r="P50" s="173"/>
      <c r="Q50" s="189"/>
      <c r="R50" s="179" t="str">
        <f t="shared" si="3"/>
        <v/>
      </c>
      <c r="S50" s="179" t="str">
        <f t="shared" si="4"/>
        <v/>
      </c>
      <c r="T50" s="208" t="str">
        <f t="shared" si="5"/>
        <v/>
      </c>
      <c r="U50" s="209" t="str">
        <f t="shared" si="6"/>
        <v/>
      </c>
      <c r="V50" s="182"/>
      <c r="W50" s="183"/>
      <c r="AB50" s="35" t="str">
        <f>IFERROR(INDEX('G-6 Hedgerow Data'!$BJ$3:$BJ$15,MATCH(D50,'G-6 Hedgerow Data'!$B$3:$B$15,0)),"")</f>
        <v/>
      </c>
      <c r="AE50" s="188" t="str">
        <f t="shared" si="0"/>
        <v/>
      </c>
      <c r="AF50" s="188" t="str">
        <f t="shared" si="1"/>
        <v/>
      </c>
      <c r="AH50" s="188">
        <v>41</v>
      </c>
      <c r="AJ50" s="188" t="str">
        <f t="array" ref="AJ50">IFERROR(INDEX($AH$10:$AH$258, MATCH(0, IF(TRUE=$AE$10:$AE$258, COUNTIF($AJ$9:$AJ49, $AH$10:$AH$258), ""), 0)),"")</f>
        <v/>
      </c>
      <c r="AK50" s="188" t="str">
        <f t="array" ref="AK50">IFERROR(INDEX($AH$10:$AH$258, MATCH(0, IF(TRUE=$AF$10:$AF$258, COUNTIF($AK$9:$AK49, $AH$10:$AH$258), ""), 0)),"")</f>
        <v/>
      </c>
    </row>
    <row r="51" spans="2:37" ht="13.8" x14ac:dyDescent="0.25">
      <c r="B51" s="168">
        <v>42</v>
      </c>
      <c r="C51" s="275"/>
      <c r="D51" s="275"/>
      <c r="E51" s="185"/>
      <c r="F51" s="171" t="str">
        <f>IF(D51="","",VLOOKUP(D51,'G-6 Hedgerow Data'!$B$2:$AG$15,2,FALSE))</f>
        <v/>
      </c>
      <c r="G51" s="172" t="str">
        <f>IF(D51="","",VLOOKUP(D51,'G-6 Hedgerow Data'!$B$2:$AG$15,3,FALSE))</f>
        <v/>
      </c>
      <c r="H51" s="173"/>
      <c r="I51" s="172" t="str">
        <f>IFERROR(IF(AND(F51="V.Low",OR(H51="Good",H51="Moderate")),"Error",VLOOKUP(H51,'G-1 All Habitats'!$Z$2:$AA$9,2,FALSE)),"")</f>
        <v/>
      </c>
      <c r="J51" s="186"/>
      <c r="K51" s="175" t="str">
        <f>IF(J51="","",IF(VLOOKUP(J51,'G-3 Multipliers'!$L$3:$N$6,2,FALSE)=0,"Spatial Data Missing",VLOOKUP(J51,'G-3 Multipliers'!$L$3:$N$6,2,FALSE)))</f>
        <v/>
      </c>
      <c r="L51" s="176" t="str">
        <f>IF(J51="","",IF(VLOOKUP(J51,'G-3 Multipliers'!$L$3:$N$6,3,FALSE)=0,"Spatial Data Missing",VLOOKUP(J51,'G-3 Multipliers'!$L$3:$N$6,3,FALSE)))</f>
        <v/>
      </c>
      <c r="M51" s="177" t="str">
        <f>IF(D51="","",VLOOKUP(D51,'G-6 Hedgerow Data'!$B$1:$AH$15,33,FALSE))</f>
        <v/>
      </c>
      <c r="N51" s="207" t="str">
        <f t="shared" si="2"/>
        <v/>
      </c>
      <c r="O51" s="44"/>
      <c r="P51" s="173"/>
      <c r="Q51" s="189"/>
      <c r="R51" s="179" t="str">
        <f t="shared" si="3"/>
        <v/>
      </c>
      <c r="S51" s="179" t="str">
        <f t="shared" si="4"/>
        <v/>
      </c>
      <c r="T51" s="208" t="str">
        <f t="shared" si="5"/>
        <v/>
      </c>
      <c r="U51" s="209" t="str">
        <f t="shared" si="6"/>
        <v/>
      </c>
      <c r="V51" s="182"/>
      <c r="W51" s="183"/>
      <c r="AB51" s="35" t="str">
        <f>IFERROR(INDEX('G-6 Hedgerow Data'!$BJ$3:$BJ$15,MATCH(D51,'G-6 Hedgerow Data'!$B$3:$B$15,0)),"")</f>
        <v/>
      </c>
      <c r="AE51" s="188" t="str">
        <f t="shared" si="0"/>
        <v/>
      </c>
      <c r="AF51" s="188" t="str">
        <f t="shared" si="1"/>
        <v/>
      </c>
      <c r="AH51" s="188">
        <v>42</v>
      </c>
      <c r="AJ51" s="188" t="str">
        <f t="array" ref="AJ51">IFERROR(INDEX($AH$10:$AH$258, MATCH(0, IF(TRUE=$AE$10:$AE$258, COUNTIF($AJ$9:$AJ50, $AH$10:$AH$258), ""), 0)),"")</f>
        <v/>
      </c>
      <c r="AK51" s="188" t="str">
        <f t="array" ref="AK51">IFERROR(INDEX($AH$10:$AH$258, MATCH(0, IF(TRUE=$AF$10:$AF$258, COUNTIF($AK$9:$AK50, $AH$10:$AH$258), ""), 0)),"")</f>
        <v/>
      </c>
    </row>
    <row r="52" spans="2:37" ht="13.8" x14ac:dyDescent="0.25">
      <c r="B52" s="168">
        <v>43</v>
      </c>
      <c r="C52" s="275"/>
      <c r="D52" s="275"/>
      <c r="E52" s="185"/>
      <c r="F52" s="171" t="str">
        <f>IF(D52="","",VLOOKUP(D52,'G-6 Hedgerow Data'!$B$2:$AG$15,2,FALSE))</f>
        <v/>
      </c>
      <c r="G52" s="172" t="str">
        <f>IF(D52="","",VLOOKUP(D52,'G-6 Hedgerow Data'!$B$2:$AG$15,3,FALSE))</f>
        <v/>
      </c>
      <c r="H52" s="173"/>
      <c r="I52" s="172" t="str">
        <f>IFERROR(IF(AND(F52="V.Low",OR(H52="Good",H52="Moderate")),"Error",VLOOKUP(H52,'G-1 All Habitats'!$Z$2:$AA$9,2,FALSE)),"")</f>
        <v/>
      </c>
      <c r="J52" s="186"/>
      <c r="K52" s="175" t="str">
        <f>IF(J52="","",IF(VLOOKUP(J52,'G-3 Multipliers'!$L$3:$N$6,2,FALSE)=0,"Spatial Data Missing",VLOOKUP(J52,'G-3 Multipliers'!$L$3:$N$6,2,FALSE)))</f>
        <v/>
      </c>
      <c r="L52" s="176" t="str">
        <f>IF(J52="","",IF(VLOOKUP(J52,'G-3 Multipliers'!$L$3:$N$6,3,FALSE)=0,"Spatial Data Missing",VLOOKUP(J52,'G-3 Multipliers'!$L$3:$N$6,3,FALSE)))</f>
        <v/>
      </c>
      <c r="M52" s="177" t="str">
        <f>IF(D52="","",VLOOKUP(D52,'G-6 Hedgerow Data'!$B$1:$AH$15,33,FALSE))</f>
        <v/>
      </c>
      <c r="N52" s="207" t="str">
        <f t="shared" si="2"/>
        <v/>
      </c>
      <c r="O52" s="44"/>
      <c r="P52" s="173"/>
      <c r="Q52" s="189"/>
      <c r="R52" s="179" t="str">
        <f t="shared" si="3"/>
        <v/>
      </c>
      <c r="S52" s="179" t="str">
        <f t="shared" si="4"/>
        <v/>
      </c>
      <c r="T52" s="208" t="str">
        <f t="shared" si="5"/>
        <v/>
      </c>
      <c r="U52" s="209" t="str">
        <f t="shared" si="6"/>
        <v/>
      </c>
      <c r="V52" s="182"/>
      <c r="W52" s="183"/>
      <c r="AB52" s="35" t="str">
        <f>IFERROR(INDEX('G-6 Hedgerow Data'!$BJ$3:$BJ$15,MATCH(D52,'G-6 Hedgerow Data'!$B$3:$B$15,0)),"")</f>
        <v/>
      </c>
      <c r="AE52" s="188" t="str">
        <f t="shared" si="0"/>
        <v/>
      </c>
      <c r="AF52" s="188" t="str">
        <f t="shared" si="1"/>
        <v/>
      </c>
      <c r="AH52" s="188">
        <v>43</v>
      </c>
      <c r="AJ52" s="188" t="str">
        <f t="array" ref="AJ52">IFERROR(INDEX($AH$10:$AH$258, MATCH(0, IF(TRUE=$AE$10:$AE$258, COUNTIF($AJ$9:$AJ51, $AH$10:$AH$258), ""), 0)),"")</f>
        <v/>
      </c>
      <c r="AK52" s="188" t="str">
        <f t="array" ref="AK52">IFERROR(INDEX($AH$10:$AH$258, MATCH(0, IF(TRUE=$AF$10:$AF$258, COUNTIF($AK$9:$AK51, $AH$10:$AH$258), ""), 0)),"")</f>
        <v/>
      </c>
    </row>
    <row r="53" spans="2:37" ht="13.8" x14ac:dyDescent="0.25">
      <c r="B53" s="168">
        <v>44</v>
      </c>
      <c r="C53" s="275"/>
      <c r="D53" s="275"/>
      <c r="E53" s="185"/>
      <c r="F53" s="171" t="str">
        <f>IF(D53="","",VLOOKUP(D53,'G-6 Hedgerow Data'!$B$2:$AG$15,2,FALSE))</f>
        <v/>
      </c>
      <c r="G53" s="172" t="str">
        <f>IF(D53="","",VLOOKUP(D53,'G-6 Hedgerow Data'!$B$2:$AG$15,3,FALSE))</f>
        <v/>
      </c>
      <c r="H53" s="173"/>
      <c r="I53" s="172" t="str">
        <f>IFERROR(IF(AND(F53="V.Low",OR(H53="Good",H53="Moderate")),"Error",VLOOKUP(H53,'G-1 All Habitats'!$Z$2:$AA$9,2,FALSE)),"")</f>
        <v/>
      </c>
      <c r="J53" s="186"/>
      <c r="K53" s="175" t="str">
        <f>IF(J53="","",IF(VLOOKUP(J53,'G-3 Multipliers'!$L$3:$N$6,2,FALSE)=0,"Spatial Data Missing",VLOOKUP(J53,'G-3 Multipliers'!$L$3:$N$6,2,FALSE)))</f>
        <v/>
      </c>
      <c r="L53" s="176" t="str">
        <f>IF(J53="","",IF(VLOOKUP(J53,'G-3 Multipliers'!$L$3:$N$6,3,FALSE)=0,"Spatial Data Missing",VLOOKUP(J53,'G-3 Multipliers'!$L$3:$N$6,3,FALSE)))</f>
        <v/>
      </c>
      <c r="M53" s="177" t="str">
        <f>IF(D53="","",VLOOKUP(D53,'G-6 Hedgerow Data'!$B$1:$AH$15,33,FALSE))</f>
        <v/>
      </c>
      <c r="N53" s="207" t="str">
        <f t="shared" si="2"/>
        <v/>
      </c>
      <c r="O53" s="44"/>
      <c r="P53" s="173"/>
      <c r="Q53" s="189"/>
      <c r="R53" s="179" t="str">
        <f t="shared" si="3"/>
        <v/>
      </c>
      <c r="S53" s="179" t="str">
        <f t="shared" si="4"/>
        <v/>
      </c>
      <c r="T53" s="208" t="str">
        <f t="shared" si="5"/>
        <v/>
      </c>
      <c r="U53" s="209" t="str">
        <f t="shared" si="6"/>
        <v/>
      </c>
      <c r="V53" s="182"/>
      <c r="W53" s="183"/>
      <c r="AB53" s="35" t="str">
        <f>IFERROR(INDEX('G-6 Hedgerow Data'!$BJ$3:$BJ$15,MATCH(D53,'G-6 Hedgerow Data'!$B$3:$B$15,0)),"")</f>
        <v/>
      </c>
      <c r="AE53" s="188" t="str">
        <f t="shared" si="0"/>
        <v/>
      </c>
      <c r="AF53" s="188" t="str">
        <f t="shared" si="1"/>
        <v/>
      </c>
      <c r="AH53" s="188">
        <v>44</v>
      </c>
      <c r="AJ53" s="188" t="str">
        <f t="array" ref="AJ53">IFERROR(INDEX($AH$10:$AH$258, MATCH(0, IF(TRUE=$AE$10:$AE$258, COUNTIF($AJ$9:$AJ52, $AH$10:$AH$258), ""), 0)),"")</f>
        <v/>
      </c>
      <c r="AK53" s="188" t="str">
        <f t="array" ref="AK53">IFERROR(INDEX($AH$10:$AH$258, MATCH(0, IF(TRUE=$AF$10:$AF$258, COUNTIF($AK$9:$AK52, $AH$10:$AH$258), ""), 0)),"")</f>
        <v/>
      </c>
    </row>
    <row r="54" spans="2:37" ht="13.8" x14ac:dyDescent="0.25">
      <c r="B54" s="168">
        <v>45</v>
      </c>
      <c r="C54" s="275"/>
      <c r="D54" s="275"/>
      <c r="E54" s="185"/>
      <c r="F54" s="171" t="str">
        <f>IF(D54="","",VLOOKUP(D54,'G-6 Hedgerow Data'!$B$2:$AG$15,2,FALSE))</f>
        <v/>
      </c>
      <c r="G54" s="172" t="str">
        <f>IF(D54="","",VLOOKUP(D54,'G-6 Hedgerow Data'!$B$2:$AG$15,3,FALSE))</f>
        <v/>
      </c>
      <c r="H54" s="173"/>
      <c r="I54" s="172" t="str">
        <f>IFERROR(IF(AND(F54="V.Low",OR(H54="Good",H54="Moderate")),"Error",VLOOKUP(H54,'G-1 All Habitats'!$Z$2:$AA$9,2,FALSE)),"")</f>
        <v/>
      </c>
      <c r="J54" s="186"/>
      <c r="K54" s="175" t="str">
        <f>IF(J54="","",IF(VLOOKUP(J54,'G-3 Multipliers'!$L$3:$N$6,2,FALSE)=0,"Spatial Data Missing",VLOOKUP(J54,'G-3 Multipliers'!$L$3:$N$6,2,FALSE)))</f>
        <v/>
      </c>
      <c r="L54" s="176" t="str">
        <f>IF(J54="","",IF(VLOOKUP(J54,'G-3 Multipliers'!$L$3:$N$6,3,FALSE)=0,"Spatial Data Missing",VLOOKUP(J54,'G-3 Multipliers'!$L$3:$N$6,3,FALSE)))</f>
        <v/>
      </c>
      <c r="M54" s="177" t="str">
        <f>IF(D54="","",VLOOKUP(D54,'G-6 Hedgerow Data'!$B$1:$AH$15,33,FALSE))</f>
        <v/>
      </c>
      <c r="N54" s="207" t="str">
        <f t="shared" si="2"/>
        <v/>
      </c>
      <c r="O54" s="44"/>
      <c r="P54" s="173"/>
      <c r="Q54" s="189"/>
      <c r="R54" s="179" t="str">
        <f t="shared" si="3"/>
        <v/>
      </c>
      <c r="S54" s="179" t="str">
        <f t="shared" si="4"/>
        <v/>
      </c>
      <c r="T54" s="208" t="str">
        <f t="shared" si="5"/>
        <v/>
      </c>
      <c r="U54" s="209" t="str">
        <f t="shared" si="6"/>
        <v/>
      </c>
      <c r="V54" s="182"/>
      <c r="W54" s="183"/>
      <c r="AB54" s="35" t="str">
        <f>IFERROR(INDEX('G-6 Hedgerow Data'!$BJ$3:$BJ$15,MATCH(D54,'G-6 Hedgerow Data'!$B$3:$B$15,0)),"")</f>
        <v/>
      </c>
      <c r="AE54" s="188" t="str">
        <f t="shared" si="0"/>
        <v/>
      </c>
      <c r="AF54" s="188" t="str">
        <f t="shared" si="1"/>
        <v/>
      </c>
      <c r="AH54" s="188">
        <v>45</v>
      </c>
      <c r="AJ54" s="188" t="str">
        <f t="array" ref="AJ54">IFERROR(INDEX($AH$10:$AH$258, MATCH(0, IF(TRUE=$AE$10:$AE$258, COUNTIF($AJ$9:$AJ53, $AH$10:$AH$258), ""), 0)),"")</f>
        <v/>
      </c>
      <c r="AK54" s="188" t="str">
        <f t="array" ref="AK54">IFERROR(INDEX($AH$10:$AH$258, MATCH(0, IF(TRUE=$AF$10:$AF$258, COUNTIF($AK$9:$AK53, $AH$10:$AH$258), ""), 0)),"")</f>
        <v/>
      </c>
    </row>
    <row r="55" spans="2:37" ht="13.8" x14ac:dyDescent="0.25">
      <c r="B55" s="168">
        <v>46</v>
      </c>
      <c r="C55" s="275"/>
      <c r="D55" s="275"/>
      <c r="E55" s="185"/>
      <c r="F55" s="171" t="str">
        <f>IF(D55="","",VLOOKUP(D55,'G-6 Hedgerow Data'!$B$2:$AG$15,2,FALSE))</f>
        <v/>
      </c>
      <c r="G55" s="172" t="str">
        <f>IF(D55="","",VLOOKUP(D55,'G-6 Hedgerow Data'!$B$2:$AG$15,3,FALSE))</f>
        <v/>
      </c>
      <c r="H55" s="173"/>
      <c r="I55" s="172" t="str">
        <f>IFERROR(IF(AND(F55="V.Low",OR(H55="Good",H55="Moderate")),"Error",VLOOKUP(H55,'G-1 All Habitats'!$Z$2:$AA$9,2,FALSE)),"")</f>
        <v/>
      </c>
      <c r="J55" s="186"/>
      <c r="K55" s="175" t="str">
        <f>IF(J55="","",IF(VLOOKUP(J55,'G-3 Multipliers'!$L$3:$N$6,2,FALSE)=0,"Spatial Data Missing",VLOOKUP(J55,'G-3 Multipliers'!$L$3:$N$6,2,FALSE)))</f>
        <v/>
      </c>
      <c r="L55" s="176" t="str">
        <f>IF(J55="","",IF(VLOOKUP(J55,'G-3 Multipliers'!$L$3:$N$6,3,FALSE)=0,"Spatial Data Missing",VLOOKUP(J55,'G-3 Multipliers'!$L$3:$N$6,3,FALSE)))</f>
        <v/>
      </c>
      <c r="M55" s="177" t="str">
        <f>IF(D55="","",VLOOKUP(D55,'G-6 Hedgerow Data'!$B$1:$AH$15,33,FALSE))</f>
        <v/>
      </c>
      <c r="N55" s="207" t="str">
        <f t="shared" si="2"/>
        <v/>
      </c>
      <c r="O55" s="44"/>
      <c r="P55" s="173"/>
      <c r="Q55" s="189"/>
      <c r="R55" s="179" t="str">
        <f t="shared" si="3"/>
        <v/>
      </c>
      <c r="S55" s="179" t="str">
        <f t="shared" si="4"/>
        <v/>
      </c>
      <c r="T55" s="208" t="str">
        <f t="shared" si="5"/>
        <v/>
      </c>
      <c r="U55" s="209" t="str">
        <f t="shared" si="6"/>
        <v/>
      </c>
      <c r="V55" s="182"/>
      <c r="W55" s="183"/>
      <c r="AB55" s="35" t="str">
        <f>IFERROR(INDEX('G-6 Hedgerow Data'!$BJ$3:$BJ$15,MATCH(D55,'G-6 Hedgerow Data'!$B$3:$B$15,0)),"")</f>
        <v/>
      </c>
      <c r="AE55" s="188" t="str">
        <f t="shared" si="0"/>
        <v/>
      </c>
      <c r="AF55" s="188" t="str">
        <f t="shared" si="1"/>
        <v/>
      </c>
      <c r="AH55" s="188">
        <v>46</v>
      </c>
      <c r="AJ55" s="188" t="str">
        <f t="array" ref="AJ55">IFERROR(INDEX($AH$10:$AH$258, MATCH(0, IF(TRUE=$AE$10:$AE$258, COUNTIF($AJ$9:$AJ54, $AH$10:$AH$258), ""), 0)),"")</f>
        <v/>
      </c>
      <c r="AK55" s="188" t="str">
        <f t="array" ref="AK55">IFERROR(INDEX($AH$10:$AH$258, MATCH(0, IF(TRUE=$AF$10:$AF$258, COUNTIF($AK$9:$AK54, $AH$10:$AH$258), ""), 0)),"")</f>
        <v/>
      </c>
    </row>
    <row r="56" spans="2:37" ht="13.8" x14ac:dyDescent="0.25">
      <c r="B56" s="168">
        <v>47</v>
      </c>
      <c r="C56" s="275"/>
      <c r="D56" s="275"/>
      <c r="E56" s="185"/>
      <c r="F56" s="171" t="str">
        <f>IF(D56="","",VLOOKUP(D56,'G-6 Hedgerow Data'!$B$2:$AG$15,2,FALSE))</f>
        <v/>
      </c>
      <c r="G56" s="172" t="str">
        <f>IF(D56="","",VLOOKUP(D56,'G-6 Hedgerow Data'!$B$2:$AG$15,3,FALSE))</f>
        <v/>
      </c>
      <c r="H56" s="173"/>
      <c r="I56" s="172" t="str">
        <f>IFERROR(IF(AND(F56="V.Low",OR(H56="Good",H56="Moderate")),"Error",VLOOKUP(H56,'G-1 All Habitats'!$Z$2:$AA$9,2,FALSE)),"")</f>
        <v/>
      </c>
      <c r="J56" s="186"/>
      <c r="K56" s="175" t="str">
        <f>IF(J56="","",IF(VLOOKUP(J56,'G-3 Multipliers'!$L$3:$N$6,2,FALSE)=0,"Spatial Data Missing",VLOOKUP(J56,'G-3 Multipliers'!$L$3:$N$6,2,FALSE)))</f>
        <v/>
      </c>
      <c r="L56" s="176" t="str">
        <f>IF(J56="","",IF(VLOOKUP(J56,'G-3 Multipliers'!$L$3:$N$6,3,FALSE)=0,"Spatial Data Missing",VLOOKUP(J56,'G-3 Multipliers'!$L$3:$N$6,3,FALSE)))</f>
        <v/>
      </c>
      <c r="M56" s="177" t="str">
        <f>IF(D56="","",VLOOKUP(D56,'G-6 Hedgerow Data'!$B$1:$AH$15,33,FALSE))</f>
        <v/>
      </c>
      <c r="N56" s="207" t="str">
        <f t="shared" si="2"/>
        <v/>
      </c>
      <c r="O56" s="44"/>
      <c r="P56" s="173"/>
      <c r="Q56" s="189"/>
      <c r="R56" s="179" t="str">
        <f t="shared" si="3"/>
        <v/>
      </c>
      <c r="S56" s="179" t="str">
        <f t="shared" si="4"/>
        <v/>
      </c>
      <c r="T56" s="208" t="str">
        <f t="shared" si="5"/>
        <v/>
      </c>
      <c r="U56" s="209" t="str">
        <f t="shared" si="6"/>
        <v/>
      </c>
      <c r="V56" s="182"/>
      <c r="W56" s="183"/>
      <c r="AB56" s="35" t="str">
        <f>IFERROR(INDEX('G-6 Hedgerow Data'!$BJ$3:$BJ$15,MATCH(D56,'G-6 Hedgerow Data'!$B$3:$B$15,0)),"")</f>
        <v/>
      </c>
      <c r="AE56" s="188" t="str">
        <f t="shared" si="0"/>
        <v/>
      </c>
      <c r="AF56" s="188" t="str">
        <f t="shared" si="1"/>
        <v/>
      </c>
      <c r="AH56" s="188">
        <v>47</v>
      </c>
      <c r="AJ56" s="188" t="str">
        <f t="array" ref="AJ56">IFERROR(INDEX($AH$10:$AH$258, MATCH(0, IF(TRUE=$AE$10:$AE$258, COUNTIF($AJ$9:$AJ55, $AH$10:$AH$258), ""), 0)),"")</f>
        <v/>
      </c>
      <c r="AK56" s="188" t="str">
        <f t="array" ref="AK56">IFERROR(INDEX($AH$10:$AH$258, MATCH(0, IF(TRUE=$AF$10:$AF$258, COUNTIF($AK$9:$AK55, $AH$10:$AH$258), ""), 0)),"")</f>
        <v/>
      </c>
    </row>
    <row r="57" spans="2:37" ht="13.8" x14ac:dyDescent="0.25">
      <c r="B57" s="168">
        <v>48</v>
      </c>
      <c r="C57" s="275"/>
      <c r="D57" s="275"/>
      <c r="E57" s="185"/>
      <c r="F57" s="171" t="str">
        <f>IF(D57="","",VLOOKUP(D57,'G-6 Hedgerow Data'!$B$2:$AG$15,2,FALSE))</f>
        <v/>
      </c>
      <c r="G57" s="172" t="str">
        <f>IF(D57="","",VLOOKUP(D57,'G-6 Hedgerow Data'!$B$2:$AG$15,3,FALSE))</f>
        <v/>
      </c>
      <c r="H57" s="173"/>
      <c r="I57" s="172" t="str">
        <f>IFERROR(IF(AND(F57="V.Low",OR(H57="Good",H57="Moderate")),"Error",VLOOKUP(H57,'G-1 All Habitats'!$Z$2:$AA$9,2,FALSE)),"")</f>
        <v/>
      </c>
      <c r="J57" s="186"/>
      <c r="K57" s="175" t="str">
        <f>IF(J57="","",IF(VLOOKUP(J57,'G-3 Multipliers'!$L$3:$N$6,2,FALSE)=0,"Spatial Data Missing",VLOOKUP(J57,'G-3 Multipliers'!$L$3:$N$6,2,FALSE)))</f>
        <v/>
      </c>
      <c r="L57" s="176" t="str">
        <f>IF(J57="","",IF(VLOOKUP(J57,'G-3 Multipliers'!$L$3:$N$6,3,FALSE)=0,"Spatial Data Missing",VLOOKUP(J57,'G-3 Multipliers'!$L$3:$N$6,3,FALSE)))</f>
        <v/>
      </c>
      <c r="M57" s="177" t="str">
        <f>IF(D57="","",VLOOKUP(D57,'G-6 Hedgerow Data'!$B$1:$AH$15,33,FALSE))</f>
        <v/>
      </c>
      <c r="N57" s="207" t="str">
        <f t="shared" si="2"/>
        <v/>
      </c>
      <c r="O57" s="44"/>
      <c r="P57" s="173"/>
      <c r="Q57" s="189"/>
      <c r="R57" s="179" t="str">
        <f t="shared" si="3"/>
        <v/>
      </c>
      <c r="S57" s="179" t="str">
        <f t="shared" si="4"/>
        <v/>
      </c>
      <c r="T57" s="208" t="str">
        <f t="shared" si="5"/>
        <v/>
      </c>
      <c r="U57" s="209" t="str">
        <f t="shared" si="6"/>
        <v/>
      </c>
      <c r="V57" s="182"/>
      <c r="W57" s="183"/>
      <c r="AB57" s="35" t="str">
        <f>IFERROR(INDEX('G-6 Hedgerow Data'!$BJ$3:$BJ$15,MATCH(D57,'G-6 Hedgerow Data'!$B$3:$B$15,0)),"")</f>
        <v/>
      </c>
      <c r="AE57" s="188" t="str">
        <f t="shared" si="0"/>
        <v/>
      </c>
      <c r="AF57" s="188" t="str">
        <f t="shared" si="1"/>
        <v/>
      </c>
      <c r="AH57" s="188">
        <v>48</v>
      </c>
      <c r="AJ57" s="188" t="str">
        <f t="array" ref="AJ57">IFERROR(INDEX($AH$10:$AH$258, MATCH(0, IF(TRUE=$AE$10:$AE$258, COUNTIF($AJ$9:$AJ56, $AH$10:$AH$258), ""), 0)),"")</f>
        <v/>
      </c>
      <c r="AK57" s="188" t="str">
        <f t="array" ref="AK57">IFERROR(INDEX($AH$10:$AH$258, MATCH(0, IF(TRUE=$AF$10:$AF$258, COUNTIF($AK$9:$AK56, $AH$10:$AH$258), ""), 0)),"")</f>
        <v/>
      </c>
    </row>
    <row r="58" spans="2:37" ht="13.8" x14ac:dyDescent="0.25">
      <c r="B58" s="168">
        <v>49</v>
      </c>
      <c r="C58" s="275"/>
      <c r="D58" s="275"/>
      <c r="E58" s="185"/>
      <c r="F58" s="171" t="str">
        <f>IF(D58="","",VLOOKUP(D58,'G-6 Hedgerow Data'!$B$2:$AG$15,2,FALSE))</f>
        <v/>
      </c>
      <c r="G58" s="172" t="str">
        <f>IF(D58="","",VLOOKUP(D58,'G-6 Hedgerow Data'!$B$2:$AG$15,3,FALSE))</f>
        <v/>
      </c>
      <c r="H58" s="173"/>
      <c r="I58" s="172" t="str">
        <f>IFERROR(IF(AND(F58="V.Low",OR(H58="Good",H58="Moderate")),"Error",VLOOKUP(H58,'G-1 All Habitats'!$Z$2:$AA$9,2,FALSE)),"")</f>
        <v/>
      </c>
      <c r="J58" s="186"/>
      <c r="K58" s="175" t="str">
        <f>IF(J58="","",IF(VLOOKUP(J58,'G-3 Multipliers'!$L$3:$N$6,2,FALSE)=0,"Spatial Data Missing",VLOOKUP(J58,'G-3 Multipliers'!$L$3:$N$6,2,FALSE)))</f>
        <v/>
      </c>
      <c r="L58" s="176" t="str">
        <f>IF(J58="","",IF(VLOOKUP(J58,'G-3 Multipliers'!$L$3:$N$6,3,FALSE)=0,"Spatial Data Missing",VLOOKUP(J58,'G-3 Multipliers'!$L$3:$N$6,3,FALSE)))</f>
        <v/>
      </c>
      <c r="M58" s="177" t="str">
        <f>IF(D58="","",VLOOKUP(D58,'G-6 Hedgerow Data'!$B$1:$AH$15,33,FALSE))</f>
        <v/>
      </c>
      <c r="N58" s="207" t="str">
        <f t="shared" si="2"/>
        <v/>
      </c>
      <c r="O58" s="44"/>
      <c r="P58" s="173"/>
      <c r="Q58" s="189"/>
      <c r="R58" s="179" t="str">
        <f t="shared" si="3"/>
        <v/>
      </c>
      <c r="S58" s="179" t="str">
        <f t="shared" si="4"/>
        <v/>
      </c>
      <c r="T58" s="208" t="str">
        <f t="shared" si="5"/>
        <v/>
      </c>
      <c r="U58" s="209" t="str">
        <f t="shared" si="6"/>
        <v/>
      </c>
      <c r="V58" s="182"/>
      <c r="W58" s="183"/>
      <c r="AB58" s="35" t="str">
        <f>IFERROR(INDEX('G-6 Hedgerow Data'!$BJ$3:$BJ$15,MATCH(D58,'G-6 Hedgerow Data'!$B$3:$B$15,0)),"")</f>
        <v/>
      </c>
      <c r="AE58" s="188" t="str">
        <f t="shared" si="0"/>
        <v/>
      </c>
      <c r="AF58" s="188" t="str">
        <f t="shared" si="1"/>
        <v/>
      </c>
      <c r="AH58" s="188">
        <v>49</v>
      </c>
      <c r="AJ58" s="188" t="str">
        <f t="array" ref="AJ58">IFERROR(INDEX($AH$10:$AH$258, MATCH(0, IF(TRUE=$AE$10:$AE$258, COUNTIF($AJ$9:$AJ57, $AH$10:$AH$258), ""), 0)),"")</f>
        <v/>
      </c>
      <c r="AK58" s="188" t="str">
        <f t="array" ref="AK58">IFERROR(INDEX($AH$10:$AH$258, MATCH(0, IF(TRUE=$AF$10:$AF$258, COUNTIF($AK$9:$AK57, $AH$10:$AH$258), ""), 0)),"")</f>
        <v/>
      </c>
    </row>
    <row r="59" spans="2:37" ht="13.8" x14ac:dyDescent="0.25">
      <c r="B59" s="168">
        <v>50</v>
      </c>
      <c r="C59" s="275"/>
      <c r="D59" s="275"/>
      <c r="E59" s="185"/>
      <c r="F59" s="171" t="str">
        <f>IF(D59="","",VLOOKUP(D59,'G-6 Hedgerow Data'!$B$2:$AG$15,2,FALSE))</f>
        <v/>
      </c>
      <c r="G59" s="172" t="str">
        <f>IF(D59="","",VLOOKUP(D59,'G-6 Hedgerow Data'!$B$2:$AG$15,3,FALSE))</f>
        <v/>
      </c>
      <c r="H59" s="173"/>
      <c r="I59" s="172" t="str">
        <f>IFERROR(IF(AND(F59="V.Low",OR(H59="Good",H59="Moderate")),"Error",VLOOKUP(H59,'G-1 All Habitats'!$Z$2:$AA$9,2,FALSE)),"")</f>
        <v/>
      </c>
      <c r="J59" s="186"/>
      <c r="K59" s="175" t="str">
        <f>IF(J59="","",IF(VLOOKUP(J59,'G-3 Multipliers'!$L$3:$N$6,2,FALSE)=0,"Spatial Data Missing",VLOOKUP(J59,'G-3 Multipliers'!$L$3:$N$6,2,FALSE)))</f>
        <v/>
      </c>
      <c r="L59" s="176" t="str">
        <f>IF(J59="","",IF(VLOOKUP(J59,'G-3 Multipliers'!$L$3:$N$6,3,FALSE)=0,"Spatial Data Missing",VLOOKUP(J59,'G-3 Multipliers'!$L$3:$N$6,3,FALSE)))</f>
        <v/>
      </c>
      <c r="M59" s="177" t="str">
        <f>IF(D59="","",VLOOKUP(D59,'G-6 Hedgerow Data'!$B$1:$AH$15,33,FALSE))</f>
        <v/>
      </c>
      <c r="N59" s="207" t="str">
        <f t="shared" si="2"/>
        <v/>
      </c>
      <c r="O59" s="44"/>
      <c r="P59" s="173"/>
      <c r="Q59" s="189"/>
      <c r="R59" s="179" t="str">
        <f t="shared" si="3"/>
        <v/>
      </c>
      <c r="S59" s="179" t="str">
        <f t="shared" si="4"/>
        <v/>
      </c>
      <c r="T59" s="208" t="str">
        <f t="shared" si="5"/>
        <v/>
      </c>
      <c r="U59" s="209" t="str">
        <f t="shared" si="6"/>
        <v/>
      </c>
      <c r="V59" s="182"/>
      <c r="W59" s="183"/>
      <c r="AB59" s="35" t="str">
        <f>IFERROR(INDEX('G-6 Hedgerow Data'!$BJ$3:$BJ$15,MATCH(D59,'G-6 Hedgerow Data'!$B$3:$B$15,0)),"")</f>
        <v/>
      </c>
      <c r="AE59" s="188" t="str">
        <f t="shared" si="0"/>
        <v/>
      </c>
      <c r="AF59" s="188" t="str">
        <f t="shared" si="1"/>
        <v/>
      </c>
      <c r="AH59" s="188">
        <v>50</v>
      </c>
      <c r="AJ59" s="188" t="str">
        <f t="array" ref="AJ59">IFERROR(INDEX($AH$10:$AH$258, MATCH(0, IF(TRUE=$AE$10:$AE$258, COUNTIF($AJ$9:$AJ58, $AH$10:$AH$258), ""), 0)),"")</f>
        <v/>
      </c>
      <c r="AK59" s="188" t="str">
        <f t="array" ref="AK59">IFERROR(INDEX($AH$10:$AH$258, MATCH(0, IF(TRUE=$AF$10:$AF$258, COUNTIF($AK$9:$AK58, $AH$10:$AH$258), ""), 0)),"")</f>
        <v/>
      </c>
    </row>
    <row r="60" spans="2:37" ht="13.8" x14ac:dyDescent="0.25">
      <c r="B60" s="168">
        <v>51</v>
      </c>
      <c r="C60" s="275"/>
      <c r="D60" s="275"/>
      <c r="E60" s="185"/>
      <c r="F60" s="171" t="str">
        <f>IF(D60="","",VLOOKUP(D60,'G-6 Hedgerow Data'!$B$2:$AG$15,2,FALSE))</f>
        <v/>
      </c>
      <c r="G60" s="172" t="str">
        <f>IF(D60="","",VLOOKUP(D60,'G-6 Hedgerow Data'!$B$2:$AG$15,3,FALSE))</f>
        <v/>
      </c>
      <c r="H60" s="173"/>
      <c r="I60" s="172" t="str">
        <f>IFERROR(IF(AND(F60="V.Low",OR(H60="Good",H60="Moderate")),"Error",VLOOKUP(H60,'G-1 All Habitats'!$Z$2:$AA$9,2,FALSE)),"")</f>
        <v/>
      </c>
      <c r="J60" s="186"/>
      <c r="K60" s="175" t="str">
        <f>IF(J60="","",IF(VLOOKUP(J60,'G-3 Multipliers'!$L$3:$N$6,2,FALSE)=0,"Spatial Data Missing",VLOOKUP(J60,'G-3 Multipliers'!$L$3:$N$6,2,FALSE)))</f>
        <v/>
      </c>
      <c r="L60" s="176" t="str">
        <f>IF(J60="","",IF(VLOOKUP(J60,'G-3 Multipliers'!$L$3:$N$6,3,FALSE)=0,"Spatial Data Missing",VLOOKUP(J60,'G-3 Multipliers'!$L$3:$N$6,3,FALSE)))</f>
        <v/>
      </c>
      <c r="M60" s="177" t="str">
        <f>IF(D60="","",VLOOKUP(D60,'G-6 Hedgerow Data'!$B$1:$AH$15,33,FALSE))</f>
        <v/>
      </c>
      <c r="N60" s="207" t="str">
        <f t="shared" si="2"/>
        <v/>
      </c>
      <c r="O60" s="44"/>
      <c r="P60" s="173"/>
      <c r="Q60" s="189"/>
      <c r="R60" s="179" t="str">
        <f t="shared" si="3"/>
        <v/>
      </c>
      <c r="S60" s="179" t="str">
        <f t="shared" si="4"/>
        <v/>
      </c>
      <c r="T60" s="208" t="str">
        <f t="shared" si="5"/>
        <v/>
      </c>
      <c r="U60" s="209" t="str">
        <f t="shared" si="6"/>
        <v/>
      </c>
      <c r="V60" s="182"/>
      <c r="W60" s="183"/>
      <c r="AB60" s="35" t="str">
        <f>IFERROR(INDEX('G-6 Hedgerow Data'!$BJ$3:$BJ$15,MATCH(D60,'G-6 Hedgerow Data'!$B$3:$B$15,0)),"")</f>
        <v/>
      </c>
      <c r="AE60" s="188" t="str">
        <f t="shared" si="0"/>
        <v/>
      </c>
      <c r="AF60" s="188" t="str">
        <f t="shared" si="1"/>
        <v/>
      </c>
      <c r="AH60" s="188">
        <v>51</v>
      </c>
      <c r="AJ60" s="188" t="str">
        <f t="array" ref="AJ60">IFERROR(INDEX($AH$10:$AH$258, MATCH(0, IF(TRUE=$AE$10:$AE$258, COUNTIF($AJ$9:$AJ59, $AH$10:$AH$258), ""), 0)),"")</f>
        <v/>
      </c>
      <c r="AK60" s="188" t="str">
        <f t="array" ref="AK60">IFERROR(INDEX($AH$10:$AH$258, MATCH(0, IF(TRUE=$AF$10:$AF$258, COUNTIF($AK$9:$AK59, $AH$10:$AH$258), ""), 0)),"")</f>
        <v/>
      </c>
    </row>
    <row r="61" spans="2:37" ht="13.8" x14ac:dyDescent="0.25">
      <c r="B61" s="168">
        <v>52</v>
      </c>
      <c r="C61" s="275"/>
      <c r="D61" s="275"/>
      <c r="E61" s="185"/>
      <c r="F61" s="171" t="str">
        <f>IF(D61="","",VLOOKUP(D61,'G-6 Hedgerow Data'!$B$2:$AG$15,2,FALSE))</f>
        <v/>
      </c>
      <c r="G61" s="172" t="str">
        <f>IF(D61="","",VLOOKUP(D61,'G-6 Hedgerow Data'!$B$2:$AG$15,3,FALSE))</f>
        <v/>
      </c>
      <c r="H61" s="173"/>
      <c r="I61" s="172" t="str">
        <f>IFERROR(IF(AND(F61="V.Low",OR(H61="Good",H61="Moderate")),"Error",VLOOKUP(H61,'G-1 All Habitats'!$Z$2:$AA$9,2,FALSE)),"")</f>
        <v/>
      </c>
      <c r="J61" s="186"/>
      <c r="K61" s="175" t="str">
        <f>IF(J61="","",IF(VLOOKUP(J61,'G-3 Multipliers'!$L$3:$N$6,2,FALSE)=0,"Spatial Data Missing",VLOOKUP(J61,'G-3 Multipliers'!$L$3:$N$6,2,FALSE)))</f>
        <v/>
      </c>
      <c r="L61" s="176" t="str">
        <f>IF(J61="","",IF(VLOOKUP(J61,'G-3 Multipliers'!$L$3:$N$6,3,FALSE)=0,"Spatial Data Missing",VLOOKUP(J61,'G-3 Multipliers'!$L$3:$N$6,3,FALSE)))</f>
        <v/>
      </c>
      <c r="M61" s="177" t="str">
        <f>IF(D61="","",VLOOKUP(D61,'G-6 Hedgerow Data'!$B$1:$AH$15,33,FALSE))</f>
        <v/>
      </c>
      <c r="N61" s="207" t="str">
        <f t="shared" si="2"/>
        <v/>
      </c>
      <c r="O61" s="44"/>
      <c r="P61" s="173"/>
      <c r="Q61" s="189"/>
      <c r="R61" s="179" t="str">
        <f t="shared" si="3"/>
        <v/>
      </c>
      <c r="S61" s="179" t="str">
        <f t="shared" si="4"/>
        <v/>
      </c>
      <c r="T61" s="208" t="str">
        <f t="shared" si="5"/>
        <v/>
      </c>
      <c r="U61" s="209" t="str">
        <f t="shared" si="6"/>
        <v/>
      </c>
      <c r="V61" s="182"/>
      <c r="W61" s="183"/>
      <c r="AB61" s="35" t="str">
        <f>IFERROR(INDEX('G-6 Hedgerow Data'!$BJ$3:$BJ$15,MATCH(D61,'G-6 Hedgerow Data'!$B$3:$B$15,0)),"")</f>
        <v/>
      </c>
      <c r="AE61" s="188" t="str">
        <f t="shared" si="0"/>
        <v/>
      </c>
      <c r="AF61" s="188" t="str">
        <f t="shared" si="1"/>
        <v/>
      </c>
      <c r="AH61" s="188">
        <v>52</v>
      </c>
      <c r="AJ61" s="188" t="str">
        <f t="array" ref="AJ61">IFERROR(INDEX($AH$10:$AH$258, MATCH(0, IF(TRUE=$AE$10:$AE$258, COUNTIF($AJ$9:$AJ60, $AH$10:$AH$258), ""), 0)),"")</f>
        <v/>
      </c>
      <c r="AK61" s="188" t="str">
        <f t="array" ref="AK61">IFERROR(INDEX($AH$10:$AH$258, MATCH(0, IF(TRUE=$AF$10:$AF$258, COUNTIF($AK$9:$AK60, $AH$10:$AH$258), ""), 0)),"")</f>
        <v/>
      </c>
    </row>
    <row r="62" spans="2:37" ht="13.8" x14ac:dyDescent="0.25">
      <c r="B62" s="168">
        <v>53</v>
      </c>
      <c r="C62" s="275"/>
      <c r="D62" s="275"/>
      <c r="E62" s="185"/>
      <c r="F62" s="171" t="str">
        <f>IF(D62="","",VLOOKUP(D62,'G-6 Hedgerow Data'!$B$2:$AG$15,2,FALSE))</f>
        <v/>
      </c>
      <c r="G62" s="172" t="str">
        <f>IF(D62="","",VLOOKUP(D62,'G-6 Hedgerow Data'!$B$2:$AG$15,3,FALSE))</f>
        <v/>
      </c>
      <c r="H62" s="173"/>
      <c r="I62" s="172" t="str">
        <f>IFERROR(IF(AND(F62="V.Low",OR(H62="Good",H62="Moderate")),"Error",VLOOKUP(H62,'G-1 All Habitats'!$Z$2:$AA$9,2,FALSE)),"")</f>
        <v/>
      </c>
      <c r="J62" s="186"/>
      <c r="K62" s="175" t="str">
        <f>IF(J62="","",IF(VLOOKUP(J62,'G-3 Multipliers'!$L$3:$N$6,2,FALSE)=0,"Spatial Data Missing",VLOOKUP(J62,'G-3 Multipliers'!$L$3:$N$6,2,FALSE)))</f>
        <v/>
      </c>
      <c r="L62" s="176" t="str">
        <f>IF(J62="","",IF(VLOOKUP(J62,'G-3 Multipliers'!$L$3:$N$6,3,FALSE)=0,"Spatial Data Missing",VLOOKUP(J62,'G-3 Multipliers'!$L$3:$N$6,3,FALSE)))</f>
        <v/>
      </c>
      <c r="M62" s="177" t="str">
        <f>IF(D62="","",VLOOKUP(D62,'G-6 Hedgerow Data'!$B$1:$AH$15,33,FALSE))</f>
        <v/>
      </c>
      <c r="N62" s="207" t="str">
        <f t="shared" si="2"/>
        <v/>
      </c>
      <c r="O62" s="44"/>
      <c r="P62" s="173"/>
      <c r="Q62" s="189"/>
      <c r="R62" s="179" t="str">
        <f t="shared" si="3"/>
        <v/>
      </c>
      <c r="S62" s="179" t="str">
        <f t="shared" si="4"/>
        <v/>
      </c>
      <c r="T62" s="208" t="str">
        <f t="shared" si="5"/>
        <v/>
      </c>
      <c r="U62" s="209" t="str">
        <f t="shared" si="6"/>
        <v/>
      </c>
      <c r="V62" s="182"/>
      <c r="W62" s="183"/>
      <c r="AB62" s="35" t="str">
        <f>IFERROR(INDEX('G-6 Hedgerow Data'!$BJ$3:$BJ$15,MATCH(D62,'G-6 Hedgerow Data'!$B$3:$B$15,0)),"")</f>
        <v/>
      </c>
      <c r="AE62" s="188" t="str">
        <f t="shared" si="0"/>
        <v/>
      </c>
      <c r="AF62" s="188" t="str">
        <f t="shared" si="1"/>
        <v/>
      </c>
      <c r="AH62" s="188">
        <v>53</v>
      </c>
      <c r="AJ62" s="188" t="str">
        <f t="array" ref="AJ62">IFERROR(INDEX($AH$10:$AH$258, MATCH(0, IF(TRUE=$AE$10:$AE$258, COUNTIF($AJ$9:$AJ61, $AH$10:$AH$258), ""), 0)),"")</f>
        <v/>
      </c>
      <c r="AK62" s="188" t="str">
        <f t="array" ref="AK62">IFERROR(INDEX($AH$10:$AH$258, MATCH(0, IF(TRUE=$AF$10:$AF$258, COUNTIF($AK$9:$AK61, $AH$10:$AH$258), ""), 0)),"")</f>
        <v/>
      </c>
    </row>
    <row r="63" spans="2:37" ht="13.8" x14ac:dyDescent="0.25">
      <c r="B63" s="168">
        <v>54</v>
      </c>
      <c r="C63" s="275"/>
      <c r="D63" s="275"/>
      <c r="E63" s="185"/>
      <c r="F63" s="171" t="str">
        <f>IF(D63="","",VLOOKUP(D63,'G-6 Hedgerow Data'!$B$2:$AG$15,2,FALSE))</f>
        <v/>
      </c>
      <c r="G63" s="172" t="str">
        <f>IF(D63="","",VLOOKUP(D63,'G-6 Hedgerow Data'!$B$2:$AG$15,3,FALSE))</f>
        <v/>
      </c>
      <c r="H63" s="173"/>
      <c r="I63" s="172" t="str">
        <f>IFERROR(IF(AND(F63="V.Low",OR(H63="Good",H63="Moderate")),"Error",VLOOKUP(H63,'G-1 All Habitats'!$Z$2:$AA$9,2,FALSE)),"")</f>
        <v/>
      </c>
      <c r="J63" s="186"/>
      <c r="K63" s="175" t="str">
        <f>IF(J63="","",IF(VLOOKUP(J63,'G-3 Multipliers'!$L$3:$N$6,2,FALSE)=0,"Spatial Data Missing",VLOOKUP(J63,'G-3 Multipliers'!$L$3:$N$6,2,FALSE)))</f>
        <v/>
      </c>
      <c r="L63" s="176" t="str">
        <f>IF(J63="","",IF(VLOOKUP(J63,'G-3 Multipliers'!$L$3:$N$6,3,FALSE)=0,"Spatial Data Missing",VLOOKUP(J63,'G-3 Multipliers'!$L$3:$N$6,3,FALSE)))</f>
        <v/>
      </c>
      <c r="M63" s="177" t="str">
        <f>IF(D63="","",VLOOKUP(D63,'G-6 Hedgerow Data'!$B$1:$AH$15,33,FALSE))</f>
        <v/>
      </c>
      <c r="N63" s="207" t="str">
        <f t="shared" si="2"/>
        <v/>
      </c>
      <c r="O63" s="44"/>
      <c r="P63" s="173"/>
      <c r="Q63" s="189"/>
      <c r="R63" s="179" t="str">
        <f t="shared" si="3"/>
        <v/>
      </c>
      <c r="S63" s="179" t="str">
        <f t="shared" si="4"/>
        <v/>
      </c>
      <c r="T63" s="208" t="str">
        <f t="shared" si="5"/>
        <v/>
      </c>
      <c r="U63" s="209" t="str">
        <f t="shared" si="6"/>
        <v/>
      </c>
      <c r="V63" s="182"/>
      <c r="W63" s="183"/>
      <c r="AB63" s="35" t="str">
        <f>IFERROR(INDEX('G-6 Hedgerow Data'!$BJ$3:$BJ$15,MATCH(D63,'G-6 Hedgerow Data'!$B$3:$B$15,0)),"")</f>
        <v/>
      </c>
      <c r="AE63" s="188" t="str">
        <f t="shared" si="0"/>
        <v/>
      </c>
      <c r="AF63" s="188" t="str">
        <f t="shared" si="1"/>
        <v/>
      </c>
      <c r="AH63" s="188">
        <v>54</v>
      </c>
      <c r="AJ63" s="188" t="str">
        <f t="array" ref="AJ63">IFERROR(INDEX($AH$10:$AH$258, MATCH(0, IF(TRUE=$AE$10:$AE$258, COUNTIF($AJ$9:$AJ62, $AH$10:$AH$258), ""), 0)),"")</f>
        <v/>
      </c>
      <c r="AK63" s="188" t="str">
        <f t="array" ref="AK63">IFERROR(INDEX($AH$10:$AH$258, MATCH(0, IF(TRUE=$AF$10:$AF$258, COUNTIF($AK$9:$AK62, $AH$10:$AH$258), ""), 0)),"")</f>
        <v/>
      </c>
    </row>
    <row r="64" spans="2:37" ht="13.8" x14ac:dyDescent="0.25">
      <c r="B64" s="168">
        <v>55</v>
      </c>
      <c r="C64" s="275"/>
      <c r="D64" s="275"/>
      <c r="E64" s="185"/>
      <c r="F64" s="171" t="str">
        <f>IF(D64="","",VLOOKUP(D64,'G-6 Hedgerow Data'!$B$2:$AG$15,2,FALSE))</f>
        <v/>
      </c>
      <c r="G64" s="172" t="str">
        <f>IF(D64="","",VLOOKUP(D64,'G-6 Hedgerow Data'!$B$2:$AG$15,3,FALSE))</f>
        <v/>
      </c>
      <c r="H64" s="173"/>
      <c r="I64" s="172" t="str">
        <f>IFERROR(IF(AND(F64="V.Low",OR(H64="Good",H64="Moderate")),"Error",VLOOKUP(H64,'G-1 All Habitats'!$Z$2:$AA$9,2,FALSE)),"")</f>
        <v/>
      </c>
      <c r="J64" s="186"/>
      <c r="K64" s="175" t="str">
        <f>IF(J64="","",IF(VLOOKUP(J64,'G-3 Multipliers'!$L$3:$N$6,2,FALSE)=0,"Spatial Data Missing",VLOOKUP(J64,'G-3 Multipliers'!$L$3:$N$6,2,FALSE)))</f>
        <v/>
      </c>
      <c r="L64" s="176" t="str">
        <f>IF(J64="","",IF(VLOOKUP(J64,'G-3 Multipliers'!$L$3:$N$6,3,FALSE)=0,"Spatial Data Missing",VLOOKUP(J64,'G-3 Multipliers'!$L$3:$N$6,3,FALSE)))</f>
        <v/>
      </c>
      <c r="M64" s="177" t="str">
        <f>IF(D64="","",VLOOKUP(D64,'G-6 Hedgerow Data'!$B$1:$AH$15,33,FALSE))</f>
        <v/>
      </c>
      <c r="N64" s="207" t="str">
        <f t="shared" si="2"/>
        <v/>
      </c>
      <c r="O64" s="44"/>
      <c r="P64" s="173"/>
      <c r="Q64" s="189"/>
      <c r="R64" s="179" t="str">
        <f t="shared" si="3"/>
        <v/>
      </c>
      <c r="S64" s="179" t="str">
        <f t="shared" si="4"/>
        <v/>
      </c>
      <c r="T64" s="208" t="str">
        <f t="shared" si="5"/>
        <v/>
      </c>
      <c r="U64" s="209" t="str">
        <f t="shared" si="6"/>
        <v/>
      </c>
      <c r="V64" s="182"/>
      <c r="W64" s="183"/>
      <c r="AB64" s="35" t="str">
        <f>IFERROR(INDEX('G-6 Hedgerow Data'!$BJ$3:$BJ$15,MATCH(D64,'G-6 Hedgerow Data'!$B$3:$B$15,0)),"")</f>
        <v/>
      </c>
      <c r="AE64" s="188" t="str">
        <f t="shared" si="0"/>
        <v/>
      </c>
      <c r="AF64" s="188" t="str">
        <f t="shared" si="1"/>
        <v/>
      </c>
      <c r="AH64" s="188">
        <v>55</v>
      </c>
      <c r="AJ64" s="188" t="str">
        <f t="array" ref="AJ64">IFERROR(INDEX($AH$10:$AH$258, MATCH(0, IF(TRUE=$AE$10:$AE$258, COUNTIF($AJ$9:$AJ63, $AH$10:$AH$258), ""), 0)),"")</f>
        <v/>
      </c>
      <c r="AK64" s="188" t="str">
        <f t="array" ref="AK64">IFERROR(INDEX($AH$10:$AH$258, MATCH(0, IF(TRUE=$AF$10:$AF$258, COUNTIF($AK$9:$AK63, $AH$10:$AH$258), ""), 0)),"")</f>
        <v/>
      </c>
    </row>
    <row r="65" spans="2:37" ht="13.8" x14ac:dyDescent="0.25">
      <c r="B65" s="168">
        <v>56</v>
      </c>
      <c r="C65" s="275"/>
      <c r="D65" s="275"/>
      <c r="E65" s="185"/>
      <c r="F65" s="171" t="str">
        <f>IF(D65="","",VLOOKUP(D65,'G-6 Hedgerow Data'!$B$2:$AG$15,2,FALSE))</f>
        <v/>
      </c>
      <c r="G65" s="172" t="str">
        <f>IF(D65="","",VLOOKUP(D65,'G-6 Hedgerow Data'!$B$2:$AG$15,3,FALSE))</f>
        <v/>
      </c>
      <c r="H65" s="173"/>
      <c r="I65" s="172" t="str">
        <f>IFERROR(IF(AND(F65="V.Low",OR(H65="Good",H65="Moderate")),"Error",VLOOKUP(H65,'G-1 All Habitats'!$Z$2:$AA$9,2,FALSE)),"")</f>
        <v/>
      </c>
      <c r="J65" s="186"/>
      <c r="K65" s="175" t="str">
        <f>IF(J65="","",IF(VLOOKUP(J65,'G-3 Multipliers'!$L$3:$N$6,2,FALSE)=0,"Spatial Data Missing",VLOOKUP(J65,'G-3 Multipliers'!$L$3:$N$6,2,FALSE)))</f>
        <v/>
      </c>
      <c r="L65" s="176" t="str">
        <f>IF(J65="","",IF(VLOOKUP(J65,'G-3 Multipliers'!$L$3:$N$6,3,FALSE)=0,"Spatial Data Missing",VLOOKUP(J65,'G-3 Multipliers'!$L$3:$N$6,3,FALSE)))</f>
        <v/>
      </c>
      <c r="M65" s="177" t="str">
        <f>IF(D65="","",VLOOKUP(D65,'G-6 Hedgerow Data'!$B$1:$AH$15,33,FALSE))</f>
        <v/>
      </c>
      <c r="N65" s="207" t="str">
        <f t="shared" si="2"/>
        <v/>
      </c>
      <c r="O65" s="44"/>
      <c r="P65" s="173"/>
      <c r="Q65" s="189"/>
      <c r="R65" s="179" t="str">
        <f t="shared" si="3"/>
        <v/>
      </c>
      <c r="S65" s="179" t="str">
        <f t="shared" si="4"/>
        <v/>
      </c>
      <c r="T65" s="208" t="str">
        <f t="shared" si="5"/>
        <v/>
      </c>
      <c r="U65" s="209" t="str">
        <f t="shared" si="6"/>
        <v/>
      </c>
      <c r="V65" s="182"/>
      <c r="W65" s="183"/>
      <c r="AB65" s="35" t="str">
        <f>IFERROR(INDEX('G-6 Hedgerow Data'!$BJ$3:$BJ$15,MATCH(D65,'G-6 Hedgerow Data'!$B$3:$B$15,0)),"")</f>
        <v/>
      </c>
      <c r="AE65" s="188" t="str">
        <f t="shared" si="0"/>
        <v/>
      </c>
      <c r="AF65" s="188" t="str">
        <f t="shared" si="1"/>
        <v/>
      </c>
      <c r="AH65" s="188">
        <v>56</v>
      </c>
      <c r="AJ65" s="188" t="str">
        <f t="array" ref="AJ65">IFERROR(INDEX($AH$10:$AH$258, MATCH(0, IF(TRUE=$AE$10:$AE$258, COUNTIF($AJ$9:$AJ64, $AH$10:$AH$258), ""), 0)),"")</f>
        <v/>
      </c>
      <c r="AK65" s="188" t="str">
        <f t="array" ref="AK65">IFERROR(INDEX($AH$10:$AH$258, MATCH(0, IF(TRUE=$AF$10:$AF$258, COUNTIF($AK$9:$AK64, $AH$10:$AH$258), ""), 0)),"")</f>
        <v/>
      </c>
    </row>
    <row r="66" spans="2:37" ht="13.8" x14ac:dyDescent="0.25">
      <c r="B66" s="168">
        <v>57</v>
      </c>
      <c r="C66" s="275"/>
      <c r="D66" s="275"/>
      <c r="E66" s="185"/>
      <c r="F66" s="171" t="str">
        <f>IF(D66="","",VLOOKUP(D66,'G-6 Hedgerow Data'!$B$2:$AG$15,2,FALSE))</f>
        <v/>
      </c>
      <c r="G66" s="172" t="str">
        <f>IF(D66="","",VLOOKUP(D66,'G-6 Hedgerow Data'!$B$2:$AG$15,3,FALSE))</f>
        <v/>
      </c>
      <c r="H66" s="173"/>
      <c r="I66" s="172" t="str">
        <f>IFERROR(IF(AND(F66="V.Low",OR(H66="Good",H66="Moderate")),"Error",VLOOKUP(H66,'G-1 All Habitats'!$Z$2:$AA$9,2,FALSE)),"")</f>
        <v/>
      </c>
      <c r="J66" s="186"/>
      <c r="K66" s="175" t="str">
        <f>IF(J66="","",IF(VLOOKUP(J66,'G-3 Multipliers'!$L$3:$N$6,2,FALSE)=0,"Spatial Data Missing",VLOOKUP(J66,'G-3 Multipliers'!$L$3:$N$6,2,FALSE)))</f>
        <v/>
      </c>
      <c r="L66" s="176" t="str">
        <f>IF(J66="","",IF(VLOOKUP(J66,'G-3 Multipliers'!$L$3:$N$6,3,FALSE)=0,"Spatial Data Missing",VLOOKUP(J66,'G-3 Multipliers'!$L$3:$N$6,3,FALSE)))</f>
        <v/>
      </c>
      <c r="M66" s="177" t="str">
        <f>IF(D66="","",VLOOKUP(D66,'G-6 Hedgerow Data'!$B$1:$AH$15,33,FALSE))</f>
        <v/>
      </c>
      <c r="N66" s="207" t="str">
        <f t="shared" si="2"/>
        <v/>
      </c>
      <c r="O66" s="44"/>
      <c r="P66" s="173"/>
      <c r="Q66" s="189"/>
      <c r="R66" s="179" t="str">
        <f t="shared" si="3"/>
        <v/>
      </c>
      <c r="S66" s="179" t="str">
        <f t="shared" si="4"/>
        <v/>
      </c>
      <c r="T66" s="208" t="str">
        <f t="shared" si="5"/>
        <v/>
      </c>
      <c r="U66" s="209" t="str">
        <f t="shared" si="6"/>
        <v/>
      </c>
      <c r="V66" s="182"/>
      <c r="W66" s="183"/>
      <c r="AB66" s="35" t="str">
        <f>IFERROR(INDEX('G-6 Hedgerow Data'!$BJ$3:$BJ$15,MATCH(D66,'G-6 Hedgerow Data'!$B$3:$B$15,0)),"")</f>
        <v/>
      </c>
      <c r="AE66" s="188" t="str">
        <f t="shared" si="0"/>
        <v/>
      </c>
      <c r="AF66" s="188" t="str">
        <f t="shared" si="1"/>
        <v/>
      </c>
      <c r="AH66" s="188">
        <v>57</v>
      </c>
      <c r="AJ66" s="188" t="str">
        <f t="array" ref="AJ66">IFERROR(INDEX($AH$10:$AH$258, MATCH(0, IF(TRUE=$AE$10:$AE$258, COUNTIF($AJ$9:$AJ65, $AH$10:$AH$258), ""), 0)),"")</f>
        <v/>
      </c>
      <c r="AK66" s="188" t="str">
        <f t="array" ref="AK66">IFERROR(INDEX($AH$10:$AH$258, MATCH(0, IF(TRUE=$AF$10:$AF$258, COUNTIF($AK$9:$AK65, $AH$10:$AH$258), ""), 0)),"")</f>
        <v/>
      </c>
    </row>
    <row r="67" spans="2:37" ht="13.8" x14ac:dyDescent="0.25">
      <c r="B67" s="168">
        <v>58</v>
      </c>
      <c r="C67" s="275"/>
      <c r="D67" s="275"/>
      <c r="E67" s="185"/>
      <c r="F67" s="171" t="str">
        <f>IF(D67="","",VLOOKUP(D67,'G-6 Hedgerow Data'!$B$2:$AG$15,2,FALSE))</f>
        <v/>
      </c>
      <c r="G67" s="172" t="str">
        <f>IF(D67="","",VLOOKUP(D67,'G-6 Hedgerow Data'!$B$2:$AG$15,3,FALSE))</f>
        <v/>
      </c>
      <c r="H67" s="173"/>
      <c r="I67" s="172" t="str">
        <f>IFERROR(IF(AND(F67="V.Low",OR(H67="Good",H67="Moderate")),"Error",VLOOKUP(H67,'G-1 All Habitats'!$Z$2:$AA$9,2,FALSE)),"")</f>
        <v/>
      </c>
      <c r="J67" s="186"/>
      <c r="K67" s="175" t="str">
        <f>IF(J67="","",IF(VLOOKUP(J67,'G-3 Multipliers'!$L$3:$N$6,2,FALSE)=0,"Spatial Data Missing",VLOOKUP(J67,'G-3 Multipliers'!$L$3:$N$6,2,FALSE)))</f>
        <v/>
      </c>
      <c r="L67" s="176" t="str">
        <f>IF(J67="","",IF(VLOOKUP(J67,'G-3 Multipliers'!$L$3:$N$6,3,FALSE)=0,"Spatial Data Missing",VLOOKUP(J67,'G-3 Multipliers'!$L$3:$N$6,3,FALSE)))</f>
        <v/>
      </c>
      <c r="M67" s="177" t="str">
        <f>IF(D67="","",VLOOKUP(D67,'G-6 Hedgerow Data'!$B$1:$AH$15,33,FALSE))</f>
        <v/>
      </c>
      <c r="N67" s="207" t="str">
        <f t="shared" si="2"/>
        <v/>
      </c>
      <c r="O67" s="44"/>
      <c r="P67" s="173"/>
      <c r="Q67" s="189"/>
      <c r="R67" s="179" t="str">
        <f t="shared" si="3"/>
        <v/>
      </c>
      <c r="S67" s="179" t="str">
        <f t="shared" si="4"/>
        <v/>
      </c>
      <c r="T67" s="208" t="str">
        <f t="shared" si="5"/>
        <v/>
      </c>
      <c r="U67" s="209" t="str">
        <f t="shared" si="6"/>
        <v/>
      </c>
      <c r="V67" s="182"/>
      <c r="W67" s="183"/>
      <c r="AB67" s="35" t="str">
        <f>IFERROR(INDEX('G-6 Hedgerow Data'!$BJ$3:$BJ$15,MATCH(D67,'G-6 Hedgerow Data'!$B$3:$B$15,0)),"")</f>
        <v/>
      </c>
      <c r="AE67" s="188" t="str">
        <f t="shared" si="0"/>
        <v/>
      </c>
      <c r="AF67" s="188" t="str">
        <f t="shared" si="1"/>
        <v/>
      </c>
      <c r="AH67" s="188">
        <v>58</v>
      </c>
      <c r="AJ67" s="188" t="str">
        <f t="array" ref="AJ67">IFERROR(INDEX($AH$10:$AH$258, MATCH(0, IF(TRUE=$AE$10:$AE$258, COUNTIF($AJ$9:$AJ66, $AH$10:$AH$258), ""), 0)),"")</f>
        <v/>
      </c>
      <c r="AK67" s="188" t="str">
        <f t="array" ref="AK67">IFERROR(INDEX($AH$10:$AH$258, MATCH(0, IF(TRUE=$AF$10:$AF$258, COUNTIF($AK$9:$AK66, $AH$10:$AH$258), ""), 0)),"")</f>
        <v/>
      </c>
    </row>
    <row r="68" spans="2:37" ht="13.8" x14ac:dyDescent="0.25">
      <c r="B68" s="168">
        <v>59</v>
      </c>
      <c r="C68" s="275"/>
      <c r="D68" s="275"/>
      <c r="E68" s="185"/>
      <c r="F68" s="171" t="str">
        <f>IF(D68="","",VLOOKUP(D68,'G-6 Hedgerow Data'!$B$2:$AG$15,2,FALSE))</f>
        <v/>
      </c>
      <c r="G68" s="172" t="str">
        <f>IF(D68="","",VLOOKUP(D68,'G-6 Hedgerow Data'!$B$2:$AG$15,3,FALSE))</f>
        <v/>
      </c>
      <c r="H68" s="173"/>
      <c r="I68" s="172" t="str">
        <f>IFERROR(IF(AND(F68="V.Low",OR(H68="Good",H68="Moderate")),"Error",VLOOKUP(H68,'G-1 All Habitats'!$Z$2:$AA$9,2,FALSE)),"")</f>
        <v/>
      </c>
      <c r="J68" s="186"/>
      <c r="K68" s="175" t="str">
        <f>IF(J68="","",IF(VLOOKUP(J68,'G-3 Multipliers'!$L$3:$N$6,2,FALSE)=0,"Spatial Data Missing",VLOOKUP(J68,'G-3 Multipliers'!$L$3:$N$6,2,FALSE)))</f>
        <v/>
      </c>
      <c r="L68" s="176" t="str">
        <f>IF(J68="","",IF(VLOOKUP(J68,'G-3 Multipliers'!$L$3:$N$6,3,FALSE)=0,"Spatial Data Missing",VLOOKUP(J68,'G-3 Multipliers'!$L$3:$N$6,3,FALSE)))</f>
        <v/>
      </c>
      <c r="M68" s="177" t="str">
        <f>IF(D68="","",VLOOKUP(D68,'G-6 Hedgerow Data'!$B$1:$AH$15,33,FALSE))</f>
        <v/>
      </c>
      <c r="N68" s="207" t="str">
        <f t="shared" si="2"/>
        <v/>
      </c>
      <c r="O68" s="44"/>
      <c r="P68" s="173"/>
      <c r="Q68" s="189"/>
      <c r="R68" s="179" t="str">
        <f t="shared" si="3"/>
        <v/>
      </c>
      <c r="S68" s="179" t="str">
        <f t="shared" si="4"/>
        <v/>
      </c>
      <c r="T68" s="208" t="str">
        <f t="shared" si="5"/>
        <v/>
      </c>
      <c r="U68" s="209" t="str">
        <f t="shared" si="6"/>
        <v/>
      </c>
      <c r="V68" s="182"/>
      <c r="W68" s="183"/>
      <c r="AB68" s="35" t="str">
        <f>IFERROR(INDEX('G-6 Hedgerow Data'!$BJ$3:$BJ$15,MATCH(D68,'G-6 Hedgerow Data'!$B$3:$B$15,0)),"")</f>
        <v/>
      </c>
      <c r="AE68" s="188" t="str">
        <f t="shared" si="0"/>
        <v/>
      </c>
      <c r="AF68" s="188" t="str">
        <f t="shared" si="1"/>
        <v/>
      </c>
      <c r="AH68" s="188">
        <v>59</v>
      </c>
      <c r="AJ68" s="188" t="str">
        <f t="array" ref="AJ68">IFERROR(INDEX($AH$10:$AH$258, MATCH(0, IF(TRUE=$AE$10:$AE$258, COUNTIF($AJ$9:$AJ67, $AH$10:$AH$258), ""), 0)),"")</f>
        <v/>
      </c>
      <c r="AK68" s="188" t="str">
        <f t="array" ref="AK68">IFERROR(INDEX($AH$10:$AH$258, MATCH(0, IF(TRUE=$AF$10:$AF$258, COUNTIF($AK$9:$AK67, $AH$10:$AH$258), ""), 0)),"")</f>
        <v/>
      </c>
    </row>
    <row r="69" spans="2:37" ht="13.8" x14ac:dyDescent="0.25">
      <c r="B69" s="168">
        <v>60</v>
      </c>
      <c r="C69" s="275"/>
      <c r="D69" s="275"/>
      <c r="E69" s="185"/>
      <c r="F69" s="171" t="str">
        <f>IF(D69="","",VLOOKUP(D69,'G-6 Hedgerow Data'!$B$2:$AG$15,2,FALSE))</f>
        <v/>
      </c>
      <c r="G69" s="172" t="str">
        <f>IF(D69="","",VLOOKUP(D69,'G-6 Hedgerow Data'!$B$2:$AG$15,3,FALSE))</f>
        <v/>
      </c>
      <c r="H69" s="173"/>
      <c r="I69" s="172" t="str">
        <f>IFERROR(IF(AND(F69="V.Low",OR(H69="Good",H69="Moderate")),"Error",VLOOKUP(H69,'G-1 All Habitats'!$Z$2:$AA$9,2,FALSE)),"")</f>
        <v/>
      </c>
      <c r="J69" s="186"/>
      <c r="K69" s="175" t="str">
        <f>IF(J69="","",IF(VLOOKUP(J69,'G-3 Multipliers'!$L$3:$N$6,2,FALSE)=0,"Spatial Data Missing",VLOOKUP(J69,'G-3 Multipliers'!$L$3:$N$6,2,FALSE)))</f>
        <v/>
      </c>
      <c r="L69" s="176" t="str">
        <f>IF(J69="","",IF(VLOOKUP(J69,'G-3 Multipliers'!$L$3:$N$6,3,FALSE)=0,"Spatial Data Missing",VLOOKUP(J69,'G-3 Multipliers'!$L$3:$N$6,3,FALSE)))</f>
        <v/>
      </c>
      <c r="M69" s="177" t="str">
        <f>IF(D69="","",VLOOKUP(D69,'G-6 Hedgerow Data'!$B$1:$AH$15,33,FALSE))</f>
        <v/>
      </c>
      <c r="N69" s="207" t="str">
        <f t="shared" si="2"/>
        <v/>
      </c>
      <c r="O69" s="44"/>
      <c r="P69" s="173"/>
      <c r="Q69" s="189"/>
      <c r="R69" s="179" t="str">
        <f t="shared" si="3"/>
        <v/>
      </c>
      <c r="S69" s="179" t="str">
        <f t="shared" si="4"/>
        <v/>
      </c>
      <c r="T69" s="208" t="str">
        <f t="shared" si="5"/>
        <v/>
      </c>
      <c r="U69" s="209" t="str">
        <f t="shared" si="6"/>
        <v/>
      </c>
      <c r="V69" s="182"/>
      <c r="W69" s="183"/>
      <c r="AB69" s="35" t="str">
        <f>IFERROR(INDEX('G-6 Hedgerow Data'!$BJ$3:$BJ$15,MATCH(D69,'G-6 Hedgerow Data'!$B$3:$B$15,0)),"")</f>
        <v/>
      </c>
      <c r="AE69" s="188" t="str">
        <f t="shared" si="0"/>
        <v/>
      </c>
      <c r="AF69" s="188" t="str">
        <f t="shared" si="1"/>
        <v/>
      </c>
      <c r="AH69" s="188">
        <v>60</v>
      </c>
      <c r="AJ69" s="188" t="str">
        <f t="array" ref="AJ69">IFERROR(INDEX($AH$10:$AH$258, MATCH(0, IF(TRUE=$AE$10:$AE$258, COUNTIF($AJ$9:$AJ68, $AH$10:$AH$258), ""), 0)),"")</f>
        <v/>
      </c>
      <c r="AK69" s="188" t="str">
        <f t="array" ref="AK69">IFERROR(INDEX($AH$10:$AH$258, MATCH(0, IF(TRUE=$AF$10:$AF$258, COUNTIF($AK$9:$AK68, $AH$10:$AH$258), ""), 0)),"")</f>
        <v/>
      </c>
    </row>
    <row r="70" spans="2:37" ht="13.8" x14ac:dyDescent="0.25">
      <c r="B70" s="168">
        <v>61</v>
      </c>
      <c r="C70" s="275"/>
      <c r="D70" s="275"/>
      <c r="E70" s="185"/>
      <c r="F70" s="171" t="str">
        <f>IF(D70="","",VLOOKUP(D70,'G-6 Hedgerow Data'!$B$2:$AG$15,2,FALSE))</f>
        <v/>
      </c>
      <c r="G70" s="172" t="str">
        <f>IF(D70="","",VLOOKUP(D70,'G-6 Hedgerow Data'!$B$2:$AG$15,3,FALSE))</f>
        <v/>
      </c>
      <c r="H70" s="173"/>
      <c r="I70" s="172" t="str">
        <f>IFERROR(IF(AND(F70="V.Low",OR(H70="Good",H70="Moderate")),"Error",VLOOKUP(H70,'G-1 All Habitats'!$Z$2:$AA$9,2,FALSE)),"")</f>
        <v/>
      </c>
      <c r="J70" s="186"/>
      <c r="K70" s="175" t="str">
        <f>IF(J70="","",IF(VLOOKUP(J70,'G-3 Multipliers'!$L$3:$N$6,2,FALSE)=0,"Spatial Data Missing",VLOOKUP(J70,'G-3 Multipliers'!$L$3:$N$6,2,FALSE)))</f>
        <v/>
      </c>
      <c r="L70" s="176" t="str">
        <f>IF(J70="","",IF(VLOOKUP(J70,'G-3 Multipliers'!$L$3:$N$6,3,FALSE)=0,"Spatial Data Missing",VLOOKUP(J70,'G-3 Multipliers'!$L$3:$N$6,3,FALSE)))</f>
        <v/>
      </c>
      <c r="M70" s="177" t="str">
        <f>IF(D70="","",VLOOKUP(D70,'G-6 Hedgerow Data'!$B$1:$AH$15,33,FALSE))</f>
        <v/>
      </c>
      <c r="N70" s="207" t="str">
        <f t="shared" si="2"/>
        <v/>
      </c>
      <c r="O70" s="44"/>
      <c r="P70" s="173"/>
      <c r="Q70" s="189"/>
      <c r="R70" s="179" t="str">
        <f t="shared" si="3"/>
        <v/>
      </c>
      <c r="S70" s="179" t="str">
        <f t="shared" si="4"/>
        <v/>
      </c>
      <c r="T70" s="208" t="str">
        <f t="shared" si="5"/>
        <v/>
      </c>
      <c r="U70" s="209" t="str">
        <f t="shared" si="6"/>
        <v/>
      </c>
      <c r="V70" s="182"/>
      <c r="W70" s="183"/>
      <c r="AB70" s="35" t="str">
        <f>IFERROR(INDEX('G-6 Hedgerow Data'!$BJ$3:$BJ$15,MATCH(D70,'G-6 Hedgerow Data'!$B$3:$B$15,0)),"")</f>
        <v/>
      </c>
      <c r="AE70" s="188" t="str">
        <f t="shared" si="0"/>
        <v/>
      </c>
      <c r="AF70" s="188" t="str">
        <f t="shared" si="1"/>
        <v/>
      </c>
      <c r="AH70" s="188">
        <v>61</v>
      </c>
      <c r="AJ70" s="188" t="str">
        <f t="array" ref="AJ70">IFERROR(INDEX($AH$10:$AH$258, MATCH(0, IF(TRUE=$AE$10:$AE$258, COUNTIF($AJ$9:$AJ69, $AH$10:$AH$258), ""), 0)),"")</f>
        <v/>
      </c>
      <c r="AK70" s="188" t="str">
        <f t="array" ref="AK70">IFERROR(INDEX($AH$10:$AH$258, MATCH(0, IF(TRUE=$AF$10:$AF$258, COUNTIF($AK$9:$AK69, $AH$10:$AH$258), ""), 0)),"")</f>
        <v/>
      </c>
    </row>
    <row r="71" spans="2:37" ht="13.8" x14ac:dyDescent="0.25">
      <c r="B71" s="168">
        <v>62</v>
      </c>
      <c r="C71" s="275"/>
      <c r="D71" s="275"/>
      <c r="E71" s="185"/>
      <c r="F71" s="171" t="str">
        <f>IF(D71="","",VLOOKUP(D71,'G-6 Hedgerow Data'!$B$2:$AG$15,2,FALSE))</f>
        <v/>
      </c>
      <c r="G71" s="172" t="str">
        <f>IF(D71="","",VLOOKUP(D71,'G-6 Hedgerow Data'!$B$2:$AG$15,3,FALSE))</f>
        <v/>
      </c>
      <c r="H71" s="173"/>
      <c r="I71" s="172" t="str">
        <f>IFERROR(IF(AND(F71="V.Low",OR(H71="Good",H71="Moderate")),"Error",VLOOKUP(H71,'G-1 All Habitats'!$Z$2:$AA$9,2,FALSE)),"")</f>
        <v/>
      </c>
      <c r="J71" s="186"/>
      <c r="K71" s="175" t="str">
        <f>IF(J71="","",IF(VLOOKUP(J71,'G-3 Multipliers'!$L$3:$N$6,2,FALSE)=0,"Spatial Data Missing",VLOOKUP(J71,'G-3 Multipliers'!$L$3:$N$6,2,FALSE)))</f>
        <v/>
      </c>
      <c r="L71" s="176" t="str">
        <f>IF(J71="","",IF(VLOOKUP(J71,'G-3 Multipliers'!$L$3:$N$6,3,FALSE)=0,"Spatial Data Missing",VLOOKUP(J71,'G-3 Multipliers'!$L$3:$N$6,3,FALSE)))</f>
        <v/>
      </c>
      <c r="M71" s="177" t="str">
        <f>IF(D71="","",VLOOKUP(D71,'G-6 Hedgerow Data'!$B$1:$AH$15,33,FALSE))</f>
        <v/>
      </c>
      <c r="N71" s="207" t="str">
        <f t="shared" si="2"/>
        <v/>
      </c>
      <c r="O71" s="44"/>
      <c r="P71" s="173"/>
      <c r="Q71" s="189"/>
      <c r="R71" s="179" t="str">
        <f t="shared" si="3"/>
        <v/>
      </c>
      <c r="S71" s="179" t="str">
        <f t="shared" si="4"/>
        <v/>
      </c>
      <c r="T71" s="208" t="str">
        <f t="shared" si="5"/>
        <v/>
      </c>
      <c r="U71" s="209" t="str">
        <f t="shared" si="6"/>
        <v/>
      </c>
      <c r="V71" s="182"/>
      <c r="W71" s="183"/>
      <c r="AB71" s="35" t="str">
        <f>IFERROR(INDEX('G-6 Hedgerow Data'!$BJ$3:$BJ$15,MATCH(D71,'G-6 Hedgerow Data'!$B$3:$B$15,0)),"")</f>
        <v/>
      </c>
      <c r="AE71" s="188" t="str">
        <f t="shared" si="0"/>
        <v/>
      </c>
      <c r="AF71" s="188" t="str">
        <f t="shared" si="1"/>
        <v/>
      </c>
      <c r="AH71" s="188">
        <v>62</v>
      </c>
      <c r="AJ71" s="188" t="str">
        <f t="array" ref="AJ71">IFERROR(INDEX($AH$10:$AH$258, MATCH(0, IF(TRUE=$AE$10:$AE$258, COUNTIF($AJ$9:$AJ70, $AH$10:$AH$258), ""), 0)),"")</f>
        <v/>
      </c>
      <c r="AK71" s="188" t="str">
        <f t="array" ref="AK71">IFERROR(INDEX($AH$10:$AH$258, MATCH(0, IF(TRUE=$AF$10:$AF$258, COUNTIF($AK$9:$AK70, $AH$10:$AH$258), ""), 0)),"")</f>
        <v/>
      </c>
    </row>
    <row r="72" spans="2:37" ht="13.8" x14ac:dyDescent="0.25">
      <c r="B72" s="168">
        <v>63</v>
      </c>
      <c r="C72" s="275"/>
      <c r="D72" s="275"/>
      <c r="E72" s="185"/>
      <c r="F72" s="171" t="str">
        <f>IF(D72="","",VLOOKUP(D72,'G-6 Hedgerow Data'!$B$2:$AG$15,2,FALSE))</f>
        <v/>
      </c>
      <c r="G72" s="172" t="str">
        <f>IF(D72="","",VLOOKUP(D72,'G-6 Hedgerow Data'!$B$2:$AG$15,3,FALSE))</f>
        <v/>
      </c>
      <c r="H72" s="173"/>
      <c r="I72" s="172" t="str">
        <f>IFERROR(IF(AND(F72="V.Low",OR(H72="Good",H72="Moderate")),"Error",VLOOKUP(H72,'G-1 All Habitats'!$Z$2:$AA$9,2,FALSE)),"")</f>
        <v/>
      </c>
      <c r="J72" s="186"/>
      <c r="K72" s="175" t="str">
        <f>IF(J72="","",IF(VLOOKUP(J72,'G-3 Multipliers'!$L$3:$N$6,2,FALSE)=0,"Spatial Data Missing",VLOOKUP(J72,'G-3 Multipliers'!$L$3:$N$6,2,FALSE)))</f>
        <v/>
      </c>
      <c r="L72" s="176" t="str">
        <f>IF(J72="","",IF(VLOOKUP(J72,'G-3 Multipliers'!$L$3:$N$6,3,FALSE)=0,"Spatial Data Missing",VLOOKUP(J72,'G-3 Multipliers'!$L$3:$N$6,3,FALSE)))</f>
        <v/>
      </c>
      <c r="M72" s="177" t="str">
        <f>IF(D72="","",VLOOKUP(D72,'G-6 Hedgerow Data'!$B$1:$AH$15,33,FALSE))</f>
        <v/>
      </c>
      <c r="N72" s="207" t="str">
        <f t="shared" si="2"/>
        <v/>
      </c>
      <c r="O72" s="44"/>
      <c r="P72" s="173"/>
      <c r="Q72" s="189"/>
      <c r="R72" s="179" t="str">
        <f t="shared" si="3"/>
        <v/>
      </c>
      <c r="S72" s="179" t="str">
        <f t="shared" si="4"/>
        <v/>
      </c>
      <c r="T72" s="208" t="str">
        <f t="shared" si="5"/>
        <v/>
      </c>
      <c r="U72" s="209" t="str">
        <f t="shared" si="6"/>
        <v/>
      </c>
      <c r="V72" s="182"/>
      <c r="W72" s="183"/>
      <c r="AB72" s="35" t="str">
        <f>IFERROR(INDEX('G-6 Hedgerow Data'!$BJ$3:$BJ$15,MATCH(D72,'G-6 Hedgerow Data'!$B$3:$B$15,0)),"")</f>
        <v/>
      </c>
      <c r="AE72" s="188" t="str">
        <f t="shared" si="0"/>
        <v/>
      </c>
      <c r="AF72" s="188" t="str">
        <f t="shared" si="1"/>
        <v/>
      </c>
      <c r="AH72" s="188">
        <v>63</v>
      </c>
      <c r="AJ72" s="188" t="str">
        <f t="array" ref="AJ72">IFERROR(INDEX($AH$10:$AH$258, MATCH(0, IF(TRUE=$AE$10:$AE$258, COUNTIF($AJ$9:$AJ71, $AH$10:$AH$258), ""), 0)),"")</f>
        <v/>
      </c>
      <c r="AK72" s="188" t="str">
        <f t="array" ref="AK72">IFERROR(INDEX($AH$10:$AH$258, MATCH(0, IF(TRUE=$AF$10:$AF$258, COUNTIF($AK$9:$AK71, $AH$10:$AH$258), ""), 0)),"")</f>
        <v/>
      </c>
    </row>
    <row r="73" spans="2:37" ht="13.8" x14ac:dyDescent="0.25">
      <c r="B73" s="168">
        <v>64</v>
      </c>
      <c r="C73" s="275"/>
      <c r="D73" s="275"/>
      <c r="E73" s="185"/>
      <c r="F73" s="171" t="str">
        <f>IF(D73="","",VLOOKUP(D73,'G-6 Hedgerow Data'!$B$2:$AG$15,2,FALSE))</f>
        <v/>
      </c>
      <c r="G73" s="172" t="str">
        <f>IF(D73="","",VLOOKUP(D73,'G-6 Hedgerow Data'!$B$2:$AG$15,3,FALSE))</f>
        <v/>
      </c>
      <c r="H73" s="173"/>
      <c r="I73" s="172" t="str">
        <f>IFERROR(IF(AND(F73="V.Low",OR(H73="Good",H73="Moderate")),"Error",VLOOKUP(H73,'G-1 All Habitats'!$Z$2:$AA$9,2,FALSE)),"")</f>
        <v/>
      </c>
      <c r="J73" s="186"/>
      <c r="K73" s="175" t="str">
        <f>IF(J73="","",IF(VLOOKUP(J73,'G-3 Multipliers'!$L$3:$N$6,2,FALSE)=0,"Spatial Data Missing",VLOOKUP(J73,'G-3 Multipliers'!$L$3:$N$6,2,FALSE)))</f>
        <v/>
      </c>
      <c r="L73" s="176" t="str">
        <f>IF(J73="","",IF(VLOOKUP(J73,'G-3 Multipliers'!$L$3:$N$6,3,FALSE)=0,"Spatial Data Missing",VLOOKUP(J73,'G-3 Multipliers'!$L$3:$N$6,3,FALSE)))</f>
        <v/>
      </c>
      <c r="M73" s="177" t="str">
        <f>IF(D73="","",VLOOKUP(D73,'G-6 Hedgerow Data'!$B$1:$AH$15,33,FALSE))</f>
        <v/>
      </c>
      <c r="N73" s="207" t="str">
        <f t="shared" si="2"/>
        <v/>
      </c>
      <c r="O73" s="44"/>
      <c r="P73" s="173"/>
      <c r="Q73" s="189"/>
      <c r="R73" s="179" t="str">
        <f t="shared" si="3"/>
        <v/>
      </c>
      <c r="S73" s="179" t="str">
        <f t="shared" si="4"/>
        <v/>
      </c>
      <c r="T73" s="208" t="str">
        <f t="shared" si="5"/>
        <v/>
      </c>
      <c r="U73" s="209" t="str">
        <f t="shared" si="6"/>
        <v/>
      </c>
      <c r="V73" s="182"/>
      <c r="W73" s="183"/>
      <c r="AB73" s="35" t="str">
        <f>IFERROR(INDEX('G-6 Hedgerow Data'!$BJ$3:$BJ$15,MATCH(D73,'G-6 Hedgerow Data'!$B$3:$B$15,0)),"")</f>
        <v/>
      </c>
      <c r="AE73" s="188" t="str">
        <f t="shared" si="0"/>
        <v/>
      </c>
      <c r="AF73" s="188" t="str">
        <f t="shared" si="1"/>
        <v/>
      </c>
      <c r="AH73" s="188">
        <v>64</v>
      </c>
      <c r="AJ73" s="188" t="str">
        <f t="array" ref="AJ73">IFERROR(INDEX($AH$10:$AH$258, MATCH(0, IF(TRUE=$AE$10:$AE$258, COUNTIF($AJ$9:$AJ72, $AH$10:$AH$258), ""), 0)),"")</f>
        <v/>
      </c>
      <c r="AK73" s="188" t="str">
        <f t="array" ref="AK73">IFERROR(INDEX($AH$10:$AH$258, MATCH(0, IF(TRUE=$AF$10:$AF$258, COUNTIF($AK$9:$AK72, $AH$10:$AH$258), ""), 0)),"")</f>
        <v/>
      </c>
    </row>
    <row r="74" spans="2:37" ht="13.8" x14ac:dyDescent="0.25">
      <c r="B74" s="168">
        <v>65</v>
      </c>
      <c r="C74" s="275"/>
      <c r="D74" s="275"/>
      <c r="E74" s="185"/>
      <c r="F74" s="171" t="str">
        <f>IF(D74="","",VLOOKUP(D74,'G-6 Hedgerow Data'!$B$2:$AG$15,2,FALSE))</f>
        <v/>
      </c>
      <c r="G74" s="172" t="str">
        <f>IF(D74="","",VLOOKUP(D74,'G-6 Hedgerow Data'!$B$2:$AG$15,3,FALSE))</f>
        <v/>
      </c>
      <c r="H74" s="173"/>
      <c r="I74" s="172" t="str">
        <f>IFERROR(IF(AND(F74="V.Low",OR(H74="Good",H74="Moderate")),"Error",VLOOKUP(H74,'G-1 All Habitats'!$Z$2:$AA$9,2,FALSE)),"")</f>
        <v/>
      </c>
      <c r="J74" s="186"/>
      <c r="K74" s="175" t="str">
        <f>IF(J74="","",IF(VLOOKUP(J74,'G-3 Multipliers'!$L$3:$N$6,2,FALSE)=0,"Spatial Data Missing",VLOOKUP(J74,'G-3 Multipliers'!$L$3:$N$6,2,FALSE)))</f>
        <v/>
      </c>
      <c r="L74" s="176" t="str">
        <f>IF(J74="","",IF(VLOOKUP(J74,'G-3 Multipliers'!$L$3:$N$6,3,FALSE)=0,"Spatial Data Missing",VLOOKUP(J74,'G-3 Multipliers'!$L$3:$N$6,3,FALSE)))</f>
        <v/>
      </c>
      <c r="M74" s="177" t="str">
        <f>IF(D74="","",VLOOKUP(D74,'G-6 Hedgerow Data'!$B$1:$AH$15,33,FALSE))</f>
        <v/>
      </c>
      <c r="N74" s="207" t="str">
        <f t="shared" si="2"/>
        <v/>
      </c>
      <c r="O74" s="44"/>
      <c r="P74" s="173"/>
      <c r="Q74" s="189"/>
      <c r="R74" s="179" t="str">
        <f t="shared" si="3"/>
        <v/>
      </c>
      <c r="S74" s="179" t="str">
        <f t="shared" si="4"/>
        <v/>
      </c>
      <c r="T74" s="208" t="str">
        <f t="shared" si="5"/>
        <v/>
      </c>
      <c r="U74" s="209" t="str">
        <f t="shared" si="6"/>
        <v/>
      </c>
      <c r="V74" s="182"/>
      <c r="W74" s="183"/>
      <c r="AB74" s="35" t="str">
        <f>IFERROR(INDEX('G-6 Hedgerow Data'!$BJ$3:$BJ$15,MATCH(D74,'G-6 Hedgerow Data'!$B$3:$B$15,0)),"")</f>
        <v/>
      </c>
      <c r="AE74" s="188" t="str">
        <f t="shared" ref="AE74:AE137" si="7">IF(D74="","",IF(P74&gt;0,TRUE,FALSE))</f>
        <v/>
      </c>
      <c r="AF74" s="188" t="str">
        <f t="shared" ref="AF74:AF137" si="8">IF(D74="","",IF(Q74&gt;0,TRUE,FALSE))</f>
        <v/>
      </c>
      <c r="AH74" s="188">
        <v>65</v>
      </c>
      <c r="AJ74" s="188" t="str">
        <f t="array" ref="AJ74">IFERROR(INDEX($AH$10:$AH$258, MATCH(0, IF(TRUE=$AE$10:$AE$258, COUNTIF($AJ$9:$AJ73, $AH$10:$AH$258), ""), 0)),"")</f>
        <v/>
      </c>
      <c r="AK74" s="188" t="str">
        <f t="array" ref="AK74">IFERROR(INDEX($AH$10:$AH$258, MATCH(0, IF(TRUE=$AF$10:$AF$258, COUNTIF($AK$9:$AK73, $AH$10:$AH$258), ""), 0)),"")</f>
        <v/>
      </c>
    </row>
    <row r="75" spans="2:37" ht="13.8" x14ac:dyDescent="0.25">
      <c r="B75" s="168">
        <v>66</v>
      </c>
      <c r="C75" s="275"/>
      <c r="D75" s="275"/>
      <c r="E75" s="185"/>
      <c r="F75" s="171" t="str">
        <f>IF(D75="","",VLOOKUP(D75,'G-6 Hedgerow Data'!$B$2:$AG$15,2,FALSE))</f>
        <v/>
      </c>
      <c r="G75" s="172" t="str">
        <f>IF(D75="","",VLOOKUP(D75,'G-6 Hedgerow Data'!$B$2:$AG$15,3,FALSE))</f>
        <v/>
      </c>
      <c r="H75" s="173"/>
      <c r="I75" s="172" t="str">
        <f>IFERROR(IF(AND(F75="V.Low",OR(H75="Good",H75="Moderate")),"Error",VLOOKUP(H75,'G-1 All Habitats'!$Z$2:$AA$9,2,FALSE)),"")</f>
        <v/>
      </c>
      <c r="J75" s="186"/>
      <c r="K75" s="175" t="str">
        <f>IF(J75="","",IF(VLOOKUP(J75,'G-3 Multipliers'!$L$3:$N$6,2,FALSE)=0,"Spatial Data Missing",VLOOKUP(J75,'G-3 Multipliers'!$L$3:$N$6,2,FALSE)))</f>
        <v/>
      </c>
      <c r="L75" s="176" t="str">
        <f>IF(J75="","",IF(VLOOKUP(J75,'G-3 Multipliers'!$L$3:$N$6,3,FALSE)=0,"Spatial Data Missing",VLOOKUP(J75,'G-3 Multipliers'!$L$3:$N$6,3,FALSE)))</f>
        <v/>
      </c>
      <c r="M75" s="177" t="str">
        <f>IF(D75="","",VLOOKUP(D75,'G-6 Hedgerow Data'!$B$1:$AH$15,33,FALSE))</f>
        <v/>
      </c>
      <c r="N75" s="207" t="str">
        <f t="shared" ref="N75:N138" si="9">IFERROR(E75*G75*I75*L75,"")</f>
        <v/>
      </c>
      <c r="O75" s="44"/>
      <c r="P75" s="173"/>
      <c r="Q75" s="189"/>
      <c r="R75" s="179" t="str">
        <f t="shared" ref="R75:R138" si="10">IFERROR(P75*G75*I75*L75,"")</f>
        <v/>
      </c>
      <c r="S75" s="179" t="str">
        <f t="shared" ref="S75:S138" si="11">IFERROR(Q75*G75*I75*L75,"")</f>
        <v/>
      </c>
      <c r="T75" s="208" t="str">
        <f t="shared" ref="T75:T138" si="12">IF(D75="","",IF(E75&lt;P75+Q75,"Error in Lengths",E75-P75-Q75))</f>
        <v/>
      </c>
      <c r="U75" s="209" t="str">
        <f t="shared" ref="U75:U138" si="13">IF(OR(E75="",N75=""),"",IF(E75&lt;P75+Q75,"Error in Lengths",N75-R75-S75))</f>
        <v/>
      </c>
      <c r="V75" s="182"/>
      <c r="W75" s="183"/>
      <c r="AB75" s="35" t="str">
        <f>IFERROR(INDEX('G-6 Hedgerow Data'!$BJ$3:$BJ$15,MATCH(D75,'G-6 Hedgerow Data'!$B$3:$B$15,0)),"")</f>
        <v/>
      </c>
      <c r="AE75" s="188" t="str">
        <f t="shared" si="7"/>
        <v/>
      </c>
      <c r="AF75" s="188" t="str">
        <f t="shared" si="8"/>
        <v/>
      </c>
      <c r="AH75" s="188">
        <v>66</v>
      </c>
      <c r="AJ75" s="188" t="str">
        <f t="array" ref="AJ75">IFERROR(INDEX($AH$10:$AH$258, MATCH(0, IF(TRUE=$AE$10:$AE$258, COUNTIF($AJ$9:$AJ74, $AH$10:$AH$258), ""), 0)),"")</f>
        <v/>
      </c>
      <c r="AK75" s="188" t="str">
        <f t="array" ref="AK75">IFERROR(INDEX($AH$10:$AH$258, MATCH(0, IF(TRUE=$AF$10:$AF$258, COUNTIF($AK$9:$AK74, $AH$10:$AH$258), ""), 0)),"")</f>
        <v/>
      </c>
    </row>
    <row r="76" spans="2:37" ht="13.8" x14ac:dyDescent="0.25">
      <c r="B76" s="168">
        <v>67</v>
      </c>
      <c r="C76" s="275"/>
      <c r="D76" s="275"/>
      <c r="E76" s="185"/>
      <c r="F76" s="171" t="str">
        <f>IF(D76="","",VLOOKUP(D76,'G-6 Hedgerow Data'!$B$2:$AG$15,2,FALSE))</f>
        <v/>
      </c>
      <c r="G76" s="172" t="str">
        <f>IF(D76="","",VLOOKUP(D76,'G-6 Hedgerow Data'!$B$2:$AG$15,3,FALSE))</f>
        <v/>
      </c>
      <c r="H76" s="173"/>
      <c r="I76" s="172" t="str">
        <f>IFERROR(IF(AND(F76="V.Low",OR(H76="Good",H76="Moderate")),"Error",VLOOKUP(H76,'G-1 All Habitats'!$Z$2:$AA$9,2,FALSE)),"")</f>
        <v/>
      </c>
      <c r="J76" s="186"/>
      <c r="K76" s="175" t="str">
        <f>IF(J76="","",IF(VLOOKUP(J76,'G-3 Multipliers'!$L$3:$N$6,2,FALSE)=0,"Spatial Data Missing",VLOOKUP(J76,'G-3 Multipliers'!$L$3:$N$6,2,FALSE)))</f>
        <v/>
      </c>
      <c r="L76" s="176" t="str">
        <f>IF(J76="","",IF(VLOOKUP(J76,'G-3 Multipliers'!$L$3:$N$6,3,FALSE)=0,"Spatial Data Missing",VLOOKUP(J76,'G-3 Multipliers'!$L$3:$N$6,3,FALSE)))</f>
        <v/>
      </c>
      <c r="M76" s="177" t="str">
        <f>IF(D76="","",VLOOKUP(D76,'G-6 Hedgerow Data'!$B$1:$AH$15,33,FALSE))</f>
        <v/>
      </c>
      <c r="N76" s="207" t="str">
        <f t="shared" si="9"/>
        <v/>
      </c>
      <c r="O76" s="44"/>
      <c r="P76" s="173"/>
      <c r="Q76" s="189"/>
      <c r="R76" s="179" t="str">
        <f t="shared" si="10"/>
        <v/>
      </c>
      <c r="S76" s="179" t="str">
        <f t="shared" si="11"/>
        <v/>
      </c>
      <c r="T76" s="208" t="str">
        <f t="shared" si="12"/>
        <v/>
      </c>
      <c r="U76" s="209" t="str">
        <f t="shared" si="13"/>
        <v/>
      </c>
      <c r="V76" s="182"/>
      <c r="W76" s="183"/>
      <c r="AB76" s="35" t="str">
        <f>IFERROR(INDEX('G-6 Hedgerow Data'!$BJ$3:$BJ$15,MATCH(D76,'G-6 Hedgerow Data'!$B$3:$B$15,0)),"")</f>
        <v/>
      </c>
      <c r="AE76" s="188" t="str">
        <f t="shared" si="7"/>
        <v/>
      </c>
      <c r="AF76" s="188" t="str">
        <f t="shared" si="8"/>
        <v/>
      </c>
      <c r="AH76" s="188">
        <v>67</v>
      </c>
      <c r="AJ76" s="188" t="str">
        <f t="array" ref="AJ76">IFERROR(INDEX($AH$10:$AH$258, MATCH(0, IF(TRUE=$AE$10:$AE$258, COUNTIF($AJ$9:$AJ75, $AH$10:$AH$258), ""), 0)),"")</f>
        <v/>
      </c>
      <c r="AK76" s="188" t="str">
        <f t="array" ref="AK76">IFERROR(INDEX($AH$10:$AH$258, MATCH(0, IF(TRUE=$AF$10:$AF$258, COUNTIF($AK$9:$AK75, $AH$10:$AH$258), ""), 0)),"")</f>
        <v/>
      </c>
    </row>
    <row r="77" spans="2:37" ht="13.8" x14ac:dyDescent="0.25">
      <c r="B77" s="168">
        <v>68</v>
      </c>
      <c r="C77" s="275"/>
      <c r="D77" s="275"/>
      <c r="E77" s="185"/>
      <c r="F77" s="171" t="str">
        <f>IF(D77="","",VLOOKUP(D77,'G-6 Hedgerow Data'!$B$2:$AG$15,2,FALSE))</f>
        <v/>
      </c>
      <c r="G77" s="172" t="str">
        <f>IF(D77="","",VLOOKUP(D77,'G-6 Hedgerow Data'!$B$2:$AG$15,3,FALSE))</f>
        <v/>
      </c>
      <c r="H77" s="173"/>
      <c r="I77" s="172" t="str">
        <f>IFERROR(IF(AND(F77="V.Low",OR(H77="Good",H77="Moderate")),"Error",VLOOKUP(H77,'G-1 All Habitats'!$Z$2:$AA$9,2,FALSE)),"")</f>
        <v/>
      </c>
      <c r="J77" s="186"/>
      <c r="K77" s="175" t="str">
        <f>IF(J77="","",IF(VLOOKUP(J77,'G-3 Multipliers'!$L$3:$N$6,2,FALSE)=0,"Spatial Data Missing",VLOOKUP(J77,'G-3 Multipliers'!$L$3:$N$6,2,FALSE)))</f>
        <v/>
      </c>
      <c r="L77" s="176" t="str">
        <f>IF(J77="","",IF(VLOOKUP(J77,'G-3 Multipliers'!$L$3:$N$6,3,FALSE)=0,"Spatial Data Missing",VLOOKUP(J77,'G-3 Multipliers'!$L$3:$N$6,3,FALSE)))</f>
        <v/>
      </c>
      <c r="M77" s="177" t="str">
        <f>IF(D77="","",VLOOKUP(D77,'G-6 Hedgerow Data'!$B$1:$AH$15,33,FALSE))</f>
        <v/>
      </c>
      <c r="N77" s="207" t="str">
        <f t="shared" si="9"/>
        <v/>
      </c>
      <c r="O77" s="44"/>
      <c r="P77" s="173"/>
      <c r="Q77" s="189"/>
      <c r="R77" s="179" t="str">
        <f t="shared" si="10"/>
        <v/>
      </c>
      <c r="S77" s="179" t="str">
        <f t="shared" si="11"/>
        <v/>
      </c>
      <c r="T77" s="208" t="str">
        <f t="shared" si="12"/>
        <v/>
      </c>
      <c r="U77" s="209" t="str">
        <f t="shared" si="13"/>
        <v/>
      </c>
      <c r="V77" s="182"/>
      <c r="W77" s="183"/>
      <c r="AB77" s="35" t="str">
        <f>IFERROR(INDEX('G-6 Hedgerow Data'!$BJ$3:$BJ$15,MATCH(D77,'G-6 Hedgerow Data'!$B$3:$B$15,0)),"")</f>
        <v/>
      </c>
      <c r="AE77" s="188" t="str">
        <f t="shared" si="7"/>
        <v/>
      </c>
      <c r="AF77" s="188" t="str">
        <f t="shared" si="8"/>
        <v/>
      </c>
      <c r="AH77" s="188">
        <v>68</v>
      </c>
      <c r="AJ77" s="188" t="str">
        <f t="array" ref="AJ77">IFERROR(INDEX($AH$10:$AH$258, MATCH(0, IF(TRUE=$AE$10:$AE$258, COUNTIF($AJ$9:$AJ76, $AH$10:$AH$258), ""), 0)),"")</f>
        <v/>
      </c>
      <c r="AK77" s="188" t="str">
        <f t="array" ref="AK77">IFERROR(INDEX($AH$10:$AH$258, MATCH(0, IF(TRUE=$AF$10:$AF$258, COUNTIF($AK$9:$AK76, $AH$10:$AH$258), ""), 0)),"")</f>
        <v/>
      </c>
    </row>
    <row r="78" spans="2:37" ht="13.8" x14ac:dyDescent="0.25">
      <c r="B78" s="168">
        <v>69</v>
      </c>
      <c r="C78" s="275"/>
      <c r="D78" s="275"/>
      <c r="E78" s="185"/>
      <c r="F78" s="171" t="str">
        <f>IF(D78="","",VLOOKUP(D78,'G-6 Hedgerow Data'!$B$2:$AG$15,2,FALSE))</f>
        <v/>
      </c>
      <c r="G78" s="172" t="str">
        <f>IF(D78="","",VLOOKUP(D78,'G-6 Hedgerow Data'!$B$2:$AG$15,3,FALSE))</f>
        <v/>
      </c>
      <c r="H78" s="173"/>
      <c r="I78" s="172" t="str">
        <f>IFERROR(IF(AND(F78="V.Low",OR(H78="Good",H78="Moderate")),"Error",VLOOKUP(H78,'G-1 All Habitats'!$Z$2:$AA$9,2,FALSE)),"")</f>
        <v/>
      </c>
      <c r="J78" s="186"/>
      <c r="K78" s="175" t="str">
        <f>IF(J78="","",IF(VLOOKUP(J78,'G-3 Multipliers'!$L$3:$N$6,2,FALSE)=0,"Spatial Data Missing",VLOOKUP(J78,'G-3 Multipliers'!$L$3:$N$6,2,FALSE)))</f>
        <v/>
      </c>
      <c r="L78" s="176" t="str">
        <f>IF(J78="","",IF(VLOOKUP(J78,'G-3 Multipliers'!$L$3:$N$6,3,FALSE)=0,"Spatial Data Missing",VLOOKUP(J78,'G-3 Multipliers'!$L$3:$N$6,3,FALSE)))</f>
        <v/>
      </c>
      <c r="M78" s="177" t="str">
        <f>IF(D78="","",VLOOKUP(D78,'G-6 Hedgerow Data'!$B$1:$AH$15,33,FALSE))</f>
        <v/>
      </c>
      <c r="N78" s="207" t="str">
        <f t="shared" si="9"/>
        <v/>
      </c>
      <c r="O78" s="44"/>
      <c r="P78" s="173"/>
      <c r="Q78" s="189"/>
      <c r="R78" s="179" t="str">
        <f t="shared" si="10"/>
        <v/>
      </c>
      <c r="S78" s="179" t="str">
        <f t="shared" si="11"/>
        <v/>
      </c>
      <c r="T78" s="208" t="str">
        <f t="shared" si="12"/>
        <v/>
      </c>
      <c r="U78" s="209" t="str">
        <f t="shared" si="13"/>
        <v/>
      </c>
      <c r="V78" s="182"/>
      <c r="W78" s="183"/>
      <c r="AB78" s="35" t="str">
        <f>IFERROR(INDEX('G-6 Hedgerow Data'!$BJ$3:$BJ$15,MATCH(D78,'G-6 Hedgerow Data'!$B$3:$B$15,0)),"")</f>
        <v/>
      </c>
      <c r="AE78" s="188" t="str">
        <f t="shared" si="7"/>
        <v/>
      </c>
      <c r="AF78" s="188" t="str">
        <f t="shared" si="8"/>
        <v/>
      </c>
      <c r="AH78" s="188">
        <v>69</v>
      </c>
      <c r="AJ78" s="188" t="str">
        <f t="array" ref="AJ78">IFERROR(INDEX($AH$10:$AH$258, MATCH(0, IF(TRUE=$AE$10:$AE$258, COUNTIF($AJ$9:$AJ77, $AH$10:$AH$258), ""), 0)),"")</f>
        <v/>
      </c>
      <c r="AK78" s="188" t="str">
        <f t="array" ref="AK78">IFERROR(INDEX($AH$10:$AH$258, MATCH(0, IF(TRUE=$AF$10:$AF$258, COUNTIF($AK$9:$AK77, $AH$10:$AH$258), ""), 0)),"")</f>
        <v/>
      </c>
    </row>
    <row r="79" spans="2:37" ht="13.8" x14ac:dyDescent="0.25">
      <c r="B79" s="168">
        <v>70</v>
      </c>
      <c r="C79" s="275"/>
      <c r="D79" s="275"/>
      <c r="E79" s="185"/>
      <c r="F79" s="171" t="str">
        <f>IF(D79="","",VLOOKUP(D79,'G-6 Hedgerow Data'!$B$2:$AG$15,2,FALSE))</f>
        <v/>
      </c>
      <c r="G79" s="172" t="str">
        <f>IF(D79="","",VLOOKUP(D79,'G-6 Hedgerow Data'!$B$2:$AG$15,3,FALSE))</f>
        <v/>
      </c>
      <c r="H79" s="173"/>
      <c r="I79" s="172" t="str">
        <f>IFERROR(IF(AND(F79="V.Low",OR(H79="Good",H79="Moderate")),"Error",VLOOKUP(H79,'G-1 All Habitats'!$Z$2:$AA$9,2,FALSE)),"")</f>
        <v/>
      </c>
      <c r="J79" s="186"/>
      <c r="K79" s="175" t="str">
        <f>IF(J79="","",IF(VLOOKUP(J79,'G-3 Multipliers'!$L$3:$N$6,2,FALSE)=0,"Spatial Data Missing",VLOOKUP(J79,'G-3 Multipliers'!$L$3:$N$6,2,FALSE)))</f>
        <v/>
      </c>
      <c r="L79" s="176" t="str">
        <f>IF(J79="","",IF(VLOOKUP(J79,'G-3 Multipliers'!$L$3:$N$6,3,FALSE)=0,"Spatial Data Missing",VLOOKUP(J79,'G-3 Multipliers'!$L$3:$N$6,3,FALSE)))</f>
        <v/>
      </c>
      <c r="M79" s="177" t="str">
        <f>IF(D79="","",VLOOKUP(D79,'G-6 Hedgerow Data'!$B$1:$AH$15,33,FALSE))</f>
        <v/>
      </c>
      <c r="N79" s="207" t="str">
        <f t="shared" si="9"/>
        <v/>
      </c>
      <c r="O79" s="44"/>
      <c r="P79" s="173"/>
      <c r="Q79" s="189"/>
      <c r="R79" s="179" t="str">
        <f t="shared" si="10"/>
        <v/>
      </c>
      <c r="S79" s="179" t="str">
        <f t="shared" si="11"/>
        <v/>
      </c>
      <c r="T79" s="208" t="str">
        <f t="shared" si="12"/>
        <v/>
      </c>
      <c r="U79" s="209" t="str">
        <f t="shared" si="13"/>
        <v/>
      </c>
      <c r="V79" s="182"/>
      <c r="W79" s="183"/>
      <c r="AB79" s="35" t="str">
        <f>IFERROR(INDEX('G-6 Hedgerow Data'!$BJ$3:$BJ$15,MATCH(D79,'G-6 Hedgerow Data'!$B$3:$B$15,0)),"")</f>
        <v/>
      </c>
      <c r="AE79" s="188" t="str">
        <f t="shared" si="7"/>
        <v/>
      </c>
      <c r="AF79" s="188" t="str">
        <f t="shared" si="8"/>
        <v/>
      </c>
      <c r="AH79" s="188">
        <v>70</v>
      </c>
      <c r="AJ79" s="188" t="str">
        <f t="array" ref="AJ79">IFERROR(INDEX($AH$10:$AH$258, MATCH(0, IF(TRUE=$AE$10:$AE$258, COUNTIF($AJ$9:$AJ78, $AH$10:$AH$258), ""), 0)),"")</f>
        <v/>
      </c>
      <c r="AK79" s="188" t="str">
        <f t="array" ref="AK79">IFERROR(INDEX($AH$10:$AH$258, MATCH(0, IF(TRUE=$AF$10:$AF$258, COUNTIF($AK$9:$AK78, $AH$10:$AH$258), ""), 0)),"")</f>
        <v/>
      </c>
    </row>
    <row r="80" spans="2:37" ht="13.8" x14ac:dyDescent="0.25">
      <c r="B80" s="168">
        <v>71</v>
      </c>
      <c r="C80" s="275"/>
      <c r="D80" s="275"/>
      <c r="E80" s="185"/>
      <c r="F80" s="171" t="str">
        <f>IF(D80="","",VLOOKUP(D80,'G-6 Hedgerow Data'!$B$2:$AG$15,2,FALSE))</f>
        <v/>
      </c>
      <c r="G80" s="172" t="str">
        <f>IF(D80="","",VLOOKUP(D80,'G-6 Hedgerow Data'!$B$2:$AG$15,3,FALSE))</f>
        <v/>
      </c>
      <c r="H80" s="173"/>
      <c r="I80" s="172" t="str">
        <f>IFERROR(IF(AND(F80="V.Low",OR(H80="Good",H80="Moderate")),"Error",VLOOKUP(H80,'G-1 All Habitats'!$Z$2:$AA$9,2,FALSE)),"")</f>
        <v/>
      </c>
      <c r="J80" s="186"/>
      <c r="K80" s="175" t="str">
        <f>IF(J80="","",IF(VLOOKUP(J80,'G-3 Multipliers'!$L$3:$N$6,2,FALSE)=0,"Spatial Data Missing",VLOOKUP(J80,'G-3 Multipliers'!$L$3:$N$6,2,FALSE)))</f>
        <v/>
      </c>
      <c r="L80" s="176" t="str">
        <f>IF(J80="","",IF(VLOOKUP(J80,'G-3 Multipliers'!$L$3:$N$6,3,FALSE)=0,"Spatial Data Missing",VLOOKUP(J80,'G-3 Multipliers'!$L$3:$N$6,3,FALSE)))</f>
        <v/>
      </c>
      <c r="M80" s="177" t="str">
        <f>IF(D80="","",VLOOKUP(D80,'G-6 Hedgerow Data'!$B$1:$AH$15,33,FALSE))</f>
        <v/>
      </c>
      <c r="N80" s="207" t="str">
        <f t="shared" si="9"/>
        <v/>
      </c>
      <c r="O80" s="44"/>
      <c r="P80" s="173"/>
      <c r="Q80" s="189"/>
      <c r="R80" s="179" t="str">
        <f t="shared" si="10"/>
        <v/>
      </c>
      <c r="S80" s="179" t="str">
        <f t="shared" si="11"/>
        <v/>
      </c>
      <c r="T80" s="208" t="str">
        <f t="shared" si="12"/>
        <v/>
      </c>
      <c r="U80" s="209" t="str">
        <f t="shared" si="13"/>
        <v/>
      </c>
      <c r="V80" s="182"/>
      <c r="W80" s="183"/>
      <c r="AB80" s="35" t="str">
        <f>IFERROR(INDEX('G-6 Hedgerow Data'!$BJ$3:$BJ$15,MATCH(D80,'G-6 Hedgerow Data'!$B$3:$B$15,0)),"")</f>
        <v/>
      </c>
      <c r="AE80" s="188" t="str">
        <f t="shared" si="7"/>
        <v/>
      </c>
      <c r="AF80" s="188" t="str">
        <f t="shared" si="8"/>
        <v/>
      </c>
      <c r="AH80" s="188">
        <v>71</v>
      </c>
      <c r="AJ80" s="188" t="str">
        <f t="array" ref="AJ80">IFERROR(INDEX($AH$10:$AH$258, MATCH(0, IF(TRUE=$AE$10:$AE$258, COUNTIF($AJ$9:$AJ79, $AH$10:$AH$258), ""), 0)),"")</f>
        <v/>
      </c>
      <c r="AK80" s="188" t="str">
        <f t="array" ref="AK80">IFERROR(INDEX($AH$10:$AH$258, MATCH(0, IF(TRUE=$AF$10:$AF$258, COUNTIF($AK$9:$AK79, $AH$10:$AH$258), ""), 0)),"")</f>
        <v/>
      </c>
    </row>
    <row r="81" spans="2:37" ht="13.8" x14ac:dyDescent="0.25">
      <c r="B81" s="168">
        <v>72</v>
      </c>
      <c r="C81" s="275"/>
      <c r="D81" s="275"/>
      <c r="E81" s="185"/>
      <c r="F81" s="171" t="str">
        <f>IF(D81="","",VLOOKUP(D81,'G-6 Hedgerow Data'!$B$2:$AG$15,2,FALSE))</f>
        <v/>
      </c>
      <c r="G81" s="172" t="str">
        <f>IF(D81="","",VLOOKUP(D81,'G-6 Hedgerow Data'!$B$2:$AG$15,3,FALSE))</f>
        <v/>
      </c>
      <c r="H81" s="173"/>
      <c r="I81" s="172" t="str">
        <f>IFERROR(IF(AND(F81="V.Low",OR(H81="Good",H81="Moderate")),"Error",VLOOKUP(H81,'G-1 All Habitats'!$Z$2:$AA$9,2,FALSE)),"")</f>
        <v/>
      </c>
      <c r="J81" s="186"/>
      <c r="K81" s="175" t="str">
        <f>IF(J81="","",IF(VLOOKUP(J81,'G-3 Multipliers'!$L$3:$N$6,2,FALSE)=0,"Spatial Data Missing",VLOOKUP(J81,'G-3 Multipliers'!$L$3:$N$6,2,FALSE)))</f>
        <v/>
      </c>
      <c r="L81" s="176" t="str">
        <f>IF(J81="","",IF(VLOOKUP(J81,'G-3 Multipliers'!$L$3:$N$6,3,FALSE)=0,"Spatial Data Missing",VLOOKUP(J81,'G-3 Multipliers'!$L$3:$N$6,3,FALSE)))</f>
        <v/>
      </c>
      <c r="M81" s="177" t="str">
        <f>IF(D81="","",VLOOKUP(D81,'G-6 Hedgerow Data'!$B$1:$AH$15,33,FALSE))</f>
        <v/>
      </c>
      <c r="N81" s="207" t="str">
        <f t="shared" si="9"/>
        <v/>
      </c>
      <c r="O81" s="44"/>
      <c r="P81" s="173"/>
      <c r="Q81" s="189"/>
      <c r="R81" s="179" t="str">
        <f t="shared" si="10"/>
        <v/>
      </c>
      <c r="S81" s="179" t="str">
        <f t="shared" si="11"/>
        <v/>
      </c>
      <c r="T81" s="208" t="str">
        <f t="shared" si="12"/>
        <v/>
      </c>
      <c r="U81" s="209" t="str">
        <f t="shared" si="13"/>
        <v/>
      </c>
      <c r="V81" s="182"/>
      <c r="W81" s="183"/>
      <c r="AB81" s="35" t="str">
        <f>IFERROR(INDEX('G-6 Hedgerow Data'!$BJ$3:$BJ$15,MATCH(D81,'G-6 Hedgerow Data'!$B$3:$B$15,0)),"")</f>
        <v/>
      </c>
      <c r="AE81" s="188" t="str">
        <f t="shared" si="7"/>
        <v/>
      </c>
      <c r="AF81" s="188" t="str">
        <f t="shared" si="8"/>
        <v/>
      </c>
      <c r="AH81" s="188">
        <v>72</v>
      </c>
      <c r="AJ81" s="188" t="str">
        <f t="array" ref="AJ81">IFERROR(INDEX($AH$10:$AH$258, MATCH(0, IF(TRUE=$AE$10:$AE$258, COUNTIF($AJ$9:$AJ80, $AH$10:$AH$258), ""), 0)),"")</f>
        <v/>
      </c>
      <c r="AK81" s="188" t="str">
        <f t="array" ref="AK81">IFERROR(INDEX($AH$10:$AH$258, MATCH(0, IF(TRUE=$AF$10:$AF$258, COUNTIF($AK$9:$AK80, $AH$10:$AH$258), ""), 0)),"")</f>
        <v/>
      </c>
    </row>
    <row r="82" spans="2:37" ht="13.8" x14ac:dyDescent="0.25">
      <c r="B82" s="168">
        <v>73</v>
      </c>
      <c r="C82" s="275"/>
      <c r="D82" s="275"/>
      <c r="E82" s="185"/>
      <c r="F82" s="171" t="str">
        <f>IF(D82="","",VLOOKUP(D82,'G-6 Hedgerow Data'!$B$2:$AG$15,2,FALSE))</f>
        <v/>
      </c>
      <c r="G82" s="172" t="str">
        <f>IF(D82="","",VLOOKUP(D82,'G-6 Hedgerow Data'!$B$2:$AG$15,3,FALSE))</f>
        <v/>
      </c>
      <c r="H82" s="173"/>
      <c r="I82" s="172" t="str">
        <f>IFERROR(IF(AND(F82="V.Low",OR(H82="Good",H82="Moderate")),"Error",VLOOKUP(H82,'G-1 All Habitats'!$Z$2:$AA$9,2,FALSE)),"")</f>
        <v/>
      </c>
      <c r="J82" s="186"/>
      <c r="K82" s="175" t="str">
        <f>IF(J82="","",IF(VLOOKUP(J82,'G-3 Multipliers'!$L$3:$N$6,2,FALSE)=0,"Spatial Data Missing",VLOOKUP(J82,'G-3 Multipliers'!$L$3:$N$6,2,FALSE)))</f>
        <v/>
      </c>
      <c r="L82" s="176" t="str">
        <f>IF(J82="","",IF(VLOOKUP(J82,'G-3 Multipliers'!$L$3:$N$6,3,FALSE)=0,"Spatial Data Missing",VLOOKUP(J82,'G-3 Multipliers'!$L$3:$N$6,3,FALSE)))</f>
        <v/>
      </c>
      <c r="M82" s="177" t="str">
        <f>IF(D82="","",VLOOKUP(D82,'G-6 Hedgerow Data'!$B$1:$AH$15,33,FALSE))</f>
        <v/>
      </c>
      <c r="N82" s="207" t="str">
        <f t="shared" si="9"/>
        <v/>
      </c>
      <c r="O82" s="44"/>
      <c r="P82" s="173"/>
      <c r="Q82" s="189"/>
      <c r="R82" s="179" t="str">
        <f t="shared" si="10"/>
        <v/>
      </c>
      <c r="S82" s="179" t="str">
        <f t="shared" si="11"/>
        <v/>
      </c>
      <c r="T82" s="208" t="str">
        <f t="shared" si="12"/>
        <v/>
      </c>
      <c r="U82" s="209" t="str">
        <f t="shared" si="13"/>
        <v/>
      </c>
      <c r="V82" s="182"/>
      <c r="W82" s="183"/>
      <c r="AB82" s="35" t="str">
        <f>IFERROR(INDEX('G-6 Hedgerow Data'!$BJ$3:$BJ$15,MATCH(D82,'G-6 Hedgerow Data'!$B$3:$B$15,0)),"")</f>
        <v/>
      </c>
      <c r="AE82" s="188" t="str">
        <f t="shared" si="7"/>
        <v/>
      </c>
      <c r="AF82" s="188" t="str">
        <f t="shared" si="8"/>
        <v/>
      </c>
      <c r="AH82" s="188">
        <v>73</v>
      </c>
      <c r="AJ82" s="188" t="str">
        <f t="array" ref="AJ82">IFERROR(INDEX($AH$10:$AH$258, MATCH(0, IF(TRUE=$AE$10:$AE$258, COUNTIF($AJ$9:$AJ81, $AH$10:$AH$258), ""), 0)),"")</f>
        <v/>
      </c>
      <c r="AK82" s="188" t="str">
        <f t="array" ref="AK82">IFERROR(INDEX($AH$10:$AH$258, MATCH(0, IF(TRUE=$AF$10:$AF$258, COUNTIF($AK$9:$AK81, $AH$10:$AH$258), ""), 0)),"")</f>
        <v/>
      </c>
    </row>
    <row r="83" spans="2:37" ht="13.8" x14ac:dyDescent="0.25">
      <c r="B83" s="168">
        <v>74</v>
      </c>
      <c r="C83" s="275"/>
      <c r="D83" s="275"/>
      <c r="E83" s="185"/>
      <c r="F83" s="171" t="str">
        <f>IF(D83="","",VLOOKUP(D83,'G-6 Hedgerow Data'!$B$2:$AG$15,2,FALSE))</f>
        <v/>
      </c>
      <c r="G83" s="172" t="str">
        <f>IF(D83="","",VLOOKUP(D83,'G-6 Hedgerow Data'!$B$2:$AG$15,3,FALSE))</f>
        <v/>
      </c>
      <c r="H83" s="173"/>
      <c r="I83" s="172" t="str">
        <f>IFERROR(IF(AND(F83="V.Low",OR(H83="Good",H83="Moderate")),"Error",VLOOKUP(H83,'G-1 All Habitats'!$Z$2:$AA$9,2,FALSE)),"")</f>
        <v/>
      </c>
      <c r="J83" s="186"/>
      <c r="K83" s="175" t="str">
        <f>IF(J83="","",IF(VLOOKUP(J83,'G-3 Multipliers'!$L$3:$N$6,2,FALSE)=0,"Spatial Data Missing",VLOOKUP(J83,'G-3 Multipliers'!$L$3:$N$6,2,FALSE)))</f>
        <v/>
      </c>
      <c r="L83" s="176" t="str">
        <f>IF(J83="","",IF(VLOOKUP(J83,'G-3 Multipliers'!$L$3:$N$6,3,FALSE)=0,"Spatial Data Missing",VLOOKUP(J83,'G-3 Multipliers'!$L$3:$N$6,3,FALSE)))</f>
        <v/>
      </c>
      <c r="M83" s="177" t="str">
        <f>IF(D83="","",VLOOKUP(D83,'G-6 Hedgerow Data'!$B$1:$AH$15,33,FALSE))</f>
        <v/>
      </c>
      <c r="N83" s="207" t="str">
        <f t="shared" si="9"/>
        <v/>
      </c>
      <c r="O83" s="44"/>
      <c r="P83" s="173"/>
      <c r="Q83" s="189"/>
      <c r="R83" s="179" t="str">
        <f t="shared" si="10"/>
        <v/>
      </c>
      <c r="S83" s="179" t="str">
        <f t="shared" si="11"/>
        <v/>
      </c>
      <c r="T83" s="208" t="str">
        <f t="shared" si="12"/>
        <v/>
      </c>
      <c r="U83" s="209" t="str">
        <f t="shared" si="13"/>
        <v/>
      </c>
      <c r="V83" s="182"/>
      <c r="W83" s="183"/>
      <c r="AB83" s="35" t="str">
        <f>IFERROR(INDEX('G-6 Hedgerow Data'!$BJ$3:$BJ$15,MATCH(D83,'G-6 Hedgerow Data'!$B$3:$B$15,0)),"")</f>
        <v/>
      </c>
      <c r="AE83" s="188" t="str">
        <f t="shared" si="7"/>
        <v/>
      </c>
      <c r="AF83" s="188" t="str">
        <f t="shared" si="8"/>
        <v/>
      </c>
      <c r="AH83" s="188">
        <v>74</v>
      </c>
      <c r="AJ83" s="188" t="str">
        <f t="array" ref="AJ83">IFERROR(INDEX($AH$10:$AH$258, MATCH(0, IF(TRUE=$AE$10:$AE$258, COUNTIF($AJ$9:$AJ82, $AH$10:$AH$258), ""), 0)),"")</f>
        <v/>
      </c>
      <c r="AK83" s="188" t="str">
        <f t="array" ref="AK83">IFERROR(INDEX($AH$10:$AH$258, MATCH(0, IF(TRUE=$AF$10:$AF$258, COUNTIF($AK$9:$AK82, $AH$10:$AH$258), ""), 0)),"")</f>
        <v/>
      </c>
    </row>
    <row r="84" spans="2:37" ht="13.8" x14ac:dyDescent="0.25">
      <c r="B84" s="168">
        <v>75</v>
      </c>
      <c r="C84" s="275"/>
      <c r="D84" s="275"/>
      <c r="E84" s="185"/>
      <c r="F84" s="171" t="str">
        <f>IF(D84="","",VLOOKUP(D84,'G-6 Hedgerow Data'!$B$2:$AG$15,2,FALSE))</f>
        <v/>
      </c>
      <c r="G84" s="172" t="str">
        <f>IF(D84="","",VLOOKUP(D84,'G-6 Hedgerow Data'!$B$2:$AG$15,3,FALSE))</f>
        <v/>
      </c>
      <c r="H84" s="173"/>
      <c r="I84" s="172" t="str">
        <f>IFERROR(IF(AND(F84="V.Low",OR(H84="Good",H84="Moderate")),"Error",VLOOKUP(H84,'G-1 All Habitats'!$Z$2:$AA$9,2,FALSE)),"")</f>
        <v/>
      </c>
      <c r="J84" s="186"/>
      <c r="K84" s="175" t="str">
        <f>IF(J84="","",IF(VLOOKUP(J84,'G-3 Multipliers'!$L$3:$N$6,2,FALSE)=0,"Spatial Data Missing",VLOOKUP(J84,'G-3 Multipliers'!$L$3:$N$6,2,FALSE)))</f>
        <v/>
      </c>
      <c r="L84" s="176" t="str">
        <f>IF(J84="","",IF(VLOOKUP(J84,'G-3 Multipliers'!$L$3:$N$6,3,FALSE)=0,"Spatial Data Missing",VLOOKUP(J84,'G-3 Multipliers'!$L$3:$N$6,3,FALSE)))</f>
        <v/>
      </c>
      <c r="M84" s="177" t="str">
        <f>IF(D84="","",VLOOKUP(D84,'G-6 Hedgerow Data'!$B$1:$AH$15,33,FALSE))</f>
        <v/>
      </c>
      <c r="N84" s="207" t="str">
        <f t="shared" si="9"/>
        <v/>
      </c>
      <c r="O84" s="44"/>
      <c r="P84" s="173"/>
      <c r="Q84" s="189"/>
      <c r="R84" s="179" t="str">
        <f t="shared" si="10"/>
        <v/>
      </c>
      <c r="S84" s="179" t="str">
        <f t="shared" si="11"/>
        <v/>
      </c>
      <c r="T84" s="208" t="str">
        <f t="shared" si="12"/>
        <v/>
      </c>
      <c r="U84" s="209" t="str">
        <f t="shared" si="13"/>
        <v/>
      </c>
      <c r="V84" s="182"/>
      <c r="W84" s="183"/>
      <c r="AB84" s="35" t="str">
        <f>IFERROR(INDEX('G-6 Hedgerow Data'!$BJ$3:$BJ$15,MATCH(D84,'G-6 Hedgerow Data'!$B$3:$B$15,0)),"")</f>
        <v/>
      </c>
      <c r="AE84" s="188" t="str">
        <f t="shared" si="7"/>
        <v/>
      </c>
      <c r="AF84" s="188" t="str">
        <f t="shared" si="8"/>
        <v/>
      </c>
      <c r="AH84" s="188">
        <v>75</v>
      </c>
      <c r="AJ84" s="188" t="str">
        <f t="array" ref="AJ84">IFERROR(INDEX($AH$10:$AH$258, MATCH(0, IF(TRUE=$AE$10:$AE$258, COUNTIF($AJ$9:$AJ83, $AH$10:$AH$258), ""), 0)),"")</f>
        <v/>
      </c>
      <c r="AK84" s="188" t="str">
        <f t="array" ref="AK84">IFERROR(INDEX($AH$10:$AH$258, MATCH(0, IF(TRUE=$AF$10:$AF$258, COUNTIF($AK$9:$AK83, $AH$10:$AH$258), ""), 0)),"")</f>
        <v/>
      </c>
    </row>
    <row r="85" spans="2:37" ht="13.8" x14ac:dyDescent="0.25">
      <c r="B85" s="168">
        <v>76</v>
      </c>
      <c r="C85" s="275"/>
      <c r="D85" s="275"/>
      <c r="E85" s="185"/>
      <c r="F85" s="171" t="str">
        <f>IF(D85="","",VLOOKUP(D85,'G-6 Hedgerow Data'!$B$2:$AG$15,2,FALSE))</f>
        <v/>
      </c>
      <c r="G85" s="172" t="str">
        <f>IF(D85="","",VLOOKUP(D85,'G-6 Hedgerow Data'!$B$2:$AG$15,3,FALSE))</f>
        <v/>
      </c>
      <c r="H85" s="173"/>
      <c r="I85" s="172" t="str">
        <f>IFERROR(IF(AND(F85="V.Low",OR(H85="Good",H85="Moderate")),"Error",VLOOKUP(H85,'G-1 All Habitats'!$Z$2:$AA$9,2,FALSE)),"")</f>
        <v/>
      </c>
      <c r="J85" s="186"/>
      <c r="K85" s="175" t="str">
        <f>IF(J85="","",IF(VLOOKUP(J85,'G-3 Multipliers'!$L$3:$N$6,2,FALSE)=0,"Spatial Data Missing",VLOOKUP(J85,'G-3 Multipliers'!$L$3:$N$6,2,FALSE)))</f>
        <v/>
      </c>
      <c r="L85" s="176" t="str">
        <f>IF(J85="","",IF(VLOOKUP(J85,'G-3 Multipliers'!$L$3:$N$6,3,FALSE)=0,"Spatial Data Missing",VLOOKUP(J85,'G-3 Multipliers'!$L$3:$N$6,3,FALSE)))</f>
        <v/>
      </c>
      <c r="M85" s="177" t="str">
        <f>IF(D85="","",VLOOKUP(D85,'G-6 Hedgerow Data'!$B$1:$AH$15,33,FALSE))</f>
        <v/>
      </c>
      <c r="N85" s="207" t="str">
        <f t="shared" si="9"/>
        <v/>
      </c>
      <c r="O85" s="44"/>
      <c r="P85" s="173"/>
      <c r="Q85" s="189"/>
      <c r="R85" s="179" t="str">
        <f t="shared" si="10"/>
        <v/>
      </c>
      <c r="S85" s="179" t="str">
        <f t="shared" si="11"/>
        <v/>
      </c>
      <c r="T85" s="208" t="str">
        <f t="shared" si="12"/>
        <v/>
      </c>
      <c r="U85" s="209" t="str">
        <f t="shared" si="13"/>
        <v/>
      </c>
      <c r="V85" s="182"/>
      <c r="W85" s="183"/>
      <c r="AB85" s="35" t="str">
        <f>IFERROR(INDEX('G-6 Hedgerow Data'!$BJ$3:$BJ$15,MATCH(D85,'G-6 Hedgerow Data'!$B$3:$B$15,0)),"")</f>
        <v/>
      </c>
      <c r="AE85" s="188" t="str">
        <f t="shared" si="7"/>
        <v/>
      </c>
      <c r="AF85" s="188" t="str">
        <f t="shared" si="8"/>
        <v/>
      </c>
      <c r="AH85" s="188">
        <v>76</v>
      </c>
      <c r="AJ85" s="188" t="str">
        <f t="array" ref="AJ85">IFERROR(INDEX($AH$10:$AH$258, MATCH(0, IF(TRUE=$AE$10:$AE$258, COUNTIF($AJ$9:$AJ84, $AH$10:$AH$258), ""), 0)),"")</f>
        <v/>
      </c>
      <c r="AK85" s="188" t="str">
        <f t="array" ref="AK85">IFERROR(INDEX($AH$10:$AH$258, MATCH(0, IF(TRUE=$AF$10:$AF$258, COUNTIF($AK$9:$AK84, $AH$10:$AH$258), ""), 0)),"")</f>
        <v/>
      </c>
    </row>
    <row r="86" spans="2:37" ht="13.8" x14ac:dyDescent="0.25">
      <c r="B86" s="168">
        <v>77</v>
      </c>
      <c r="C86" s="275"/>
      <c r="D86" s="275"/>
      <c r="E86" s="185"/>
      <c r="F86" s="171" t="str">
        <f>IF(D86="","",VLOOKUP(D86,'G-6 Hedgerow Data'!$B$2:$AG$15,2,FALSE))</f>
        <v/>
      </c>
      <c r="G86" s="172" t="str">
        <f>IF(D86="","",VLOOKUP(D86,'G-6 Hedgerow Data'!$B$2:$AG$15,3,FALSE))</f>
        <v/>
      </c>
      <c r="H86" s="173"/>
      <c r="I86" s="172" t="str">
        <f>IFERROR(IF(AND(F86="V.Low",OR(H86="Good",H86="Moderate")),"Error",VLOOKUP(H86,'G-1 All Habitats'!$Z$2:$AA$9,2,FALSE)),"")</f>
        <v/>
      </c>
      <c r="J86" s="186"/>
      <c r="K86" s="175" t="str">
        <f>IF(J86="","",IF(VLOOKUP(J86,'G-3 Multipliers'!$L$3:$N$6,2,FALSE)=0,"Spatial Data Missing",VLOOKUP(J86,'G-3 Multipliers'!$L$3:$N$6,2,FALSE)))</f>
        <v/>
      </c>
      <c r="L86" s="176" t="str">
        <f>IF(J86="","",IF(VLOOKUP(J86,'G-3 Multipliers'!$L$3:$N$6,3,FALSE)=0,"Spatial Data Missing",VLOOKUP(J86,'G-3 Multipliers'!$L$3:$N$6,3,FALSE)))</f>
        <v/>
      </c>
      <c r="M86" s="177" t="str">
        <f>IF(D86="","",VLOOKUP(D86,'G-6 Hedgerow Data'!$B$1:$AH$15,33,FALSE))</f>
        <v/>
      </c>
      <c r="N86" s="207" t="str">
        <f t="shared" si="9"/>
        <v/>
      </c>
      <c r="O86" s="44"/>
      <c r="P86" s="173"/>
      <c r="Q86" s="189"/>
      <c r="R86" s="179" t="str">
        <f t="shared" si="10"/>
        <v/>
      </c>
      <c r="S86" s="179" t="str">
        <f t="shared" si="11"/>
        <v/>
      </c>
      <c r="T86" s="208" t="str">
        <f t="shared" si="12"/>
        <v/>
      </c>
      <c r="U86" s="209" t="str">
        <f t="shared" si="13"/>
        <v/>
      </c>
      <c r="V86" s="182"/>
      <c r="W86" s="183"/>
      <c r="AB86" s="35" t="str">
        <f>IFERROR(INDEX('G-6 Hedgerow Data'!$BJ$3:$BJ$15,MATCH(D86,'G-6 Hedgerow Data'!$B$3:$B$15,0)),"")</f>
        <v/>
      </c>
      <c r="AE86" s="188" t="str">
        <f t="shared" si="7"/>
        <v/>
      </c>
      <c r="AF86" s="188" t="str">
        <f t="shared" si="8"/>
        <v/>
      </c>
      <c r="AH86" s="188">
        <v>77</v>
      </c>
      <c r="AJ86" s="188" t="str">
        <f t="array" ref="AJ86">IFERROR(INDEX($AH$10:$AH$258, MATCH(0, IF(TRUE=$AE$10:$AE$258, COUNTIF($AJ$9:$AJ85, $AH$10:$AH$258), ""), 0)),"")</f>
        <v/>
      </c>
      <c r="AK86" s="188" t="str">
        <f t="array" ref="AK86">IFERROR(INDEX($AH$10:$AH$258, MATCH(0, IF(TRUE=$AF$10:$AF$258, COUNTIF($AK$9:$AK85, $AH$10:$AH$258), ""), 0)),"")</f>
        <v/>
      </c>
    </row>
    <row r="87" spans="2:37" ht="13.8" x14ac:dyDescent="0.25">
      <c r="B87" s="168">
        <v>78</v>
      </c>
      <c r="C87" s="275"/>
      <c r="D87" s="275"/>
      <c r="E87" s="185"/>
      <c r="F87" s="171" t="str">
        <f>IF(D87="","",VLOOKUP(D87,'G-6 Hedgerow Data'!$B$2:$AG$15,2,FALSE))</f>
        <v/>
      </c>
      <c r="G87" s="172" t="str">
        <f>IF(D87="","",VLOOKUP(D87,'G-6 Hedgerow Data'!$B$2:$AG$15,3,FALSE))</f>
        <v/>
      </c>
      <c r="H87" s="173"/>
      <c r="I87" s="172" t="str">
        <f>IFERROR(IF(AND(F87="V.Low",OR(H87="Good",H87="Moderate")),"Error",VLOOKUP(H87,'G-1 All Habitats'!$Z$2:$AA$9,2,FALSE)),"")</f>
        <v/>
      </c>
      <c r="J87" s="186"/>
      <c r="K87" s="175" t="str">
        <f>IF(J87="","",IF(VLOOKUP(J87,'G-3 Multipliers'!$L$3:$N$6,2,FALSE)=0,"Spatial Data Missing",VLOOKUP(J87,'G-3 Multipliers'!$L$3:$N$6,2,FALSE)))</f>
        <v/>
      </c>
      <c r="L87" s="176" t="str">
        <f>IF(J87="","",IF(VLOOKUP(J87,'G-3 Multipliers'!$L$3:$N$6,3,FALSE)=0,"Spatial Data Missing",VLOOKUP(J87,'G-3 Multipliers'!$L$3:$N$6,3,FALSE)))</f>
        <v/>
      </c>
      <c r="M87" s="177" t="str">
        <f>IF(D87="","",VLOOKUP(D87,'G-6 Hedgerow Data'!$B$1:$AH$15,33,FALSE))</f>
        <v/>
      </c>
      <c r="N87" s="207" t="str">
        <f t="shared" si="9"/>
        <v/>
      </c>
      <c r="O87" s="44"/>
      <c r="P87" s="173"/>
      <c r="Q87" s="189"/>
      <c r="R87" s="179" t="str">
        <f t="shared" si="10"/>
        <v/>
      </c>
      <c r="S87" s="179" t="str">
        <f t="shared" si="11"/>
        <v/>
      </c>
      <c r="T87" s="208" t="str">
        <f t="shared" si="12"/>
        <v/>
      </c>
      <c r="U87" s="209" t="str">
        <f t="shared" si="13"/>
        <v/>
      </c>
      <c r="V87" s="182"/>
      <c r="W87" s="183"/>
      <c r="AB87" s="35" t="str">
        <f>IFERROR(INDEX('G-6 Hedgerow Data'!$BJ$3:$BJ$15,MATCH(D87,'G-6 Hedgerow Data'!$B$3:$B$15,0)),"")</f>
        <v/>
      </c>
      <c r="AE87" s="188" t="str">
        <f t="shared" si="7"/>
        <v/>
      </c>
      <c r="AF87" s="188" t="str">
        <f t="shared" si="8"/>
        <v/>
      </c>
      <c r="AH87" s="188">
        <v>78</v>
      </c>
      <c r="AJ87" s="188" t="str">
        <f t="array" ref="AJ87">IFERROR(INDEX($AH$10:$AH$258, MATCH(0, IF(TRUE=$AE$10:$AE$258, COUNTIF($AJ$9:$AJ86, $AH$10:$AH$258), ""), 0)),"")</f>
        <v/>
      </c>
      <c r="AK87" s="188" t="str">
        <f t="array" ref="AK87">IFERROR(INDEX($AH$10:$AH$258, MATCH(0, IF(TRUE=$AF$10:$AF$258, COUNTIF($AK$9:$AK86, $AH$10:$AH$258), ""), 0)),"")</f>
        <v/>
      </c>
    </row>
    <row r="88" spans="2:37" ht="13.8" x14ac:dyDescent="0.25">
      <c r="B88" s="168">
        <v>79</v>
      </c>
      <c r="C88" s="275"/>
      <c r="D88" s="275"/>
      <c r="E88" s="185"/>
      <c r="F88" s="171" t="str">
        <f>IF(D88="","",VLOOKUP(D88,'G-6 Hedgerow Data'!$B$2:$AG$15,2,FALSE))</f>
        <v/>
      </c>
      <c r="G88" s="172" t="str">
        <f>IF(D88="","",VLOOKUP(D88,'G-6 Hedgerow Data'!$B$2:$AG$15,3,FALSE))</f>
        <v/>
      </c>
      <c r="H88" s="173"/>
      <c r="I88" s="172" t="str">
        <f>IFERROR(IF(AND(F88="V.Low",OR(H88="Good",H88="Moderate")),"Error",VLOOKUP(H88,'G-1 All Habitats'!$Z$2:$AA$9,2,FALSE)),"")</f>
        <v/>
      </c>
      <c r="J88" s="186"/>
      <c r="K88" s="175" t="str">
        <f>IF(J88="","",IF(VLOOKUP(J88,'G-3 Multipliers'!$L$3:$N$6,2,FALSE)=0,"Spatial Data Missing",VLOOKUP(J88,'G-3 Multipliers'!$L$3:$N$6,2,FALSE)))</f>
        <v/>
      </c>
      <c r="L88" s="176" t="str">
        <f>IF(J88="","",IF(VLOOKUP(J88,'G-3 Multipliers'!$L$3:$N$6,3,FALSE)=0,"Spatial Data Missing",VLOOKUP(J88,'G-3 Multipliers'!$L$3:$N$6,3,FALSE)))</f>
        <v/>
      </c>
      <c r="M88" s="177" t="str">
        <f>IF(D88="","",VLOOKUP(D88,'G-6 Hedgerow Data'!$B$1:$AH$15,33,FALSE))</f>
        <v/>
      </c>
      <c r="N88" s="207" t="str">
        <f t="shared" si="9"/>
        <v/>
      </c>
      <c r="O88" s="44"/>
      <c r="P88" s="173"/>
      <c r="Q88" s="189"/>
      <c r="R88" s="179" t="str">
        <f t="shared" si="10"/>
        <v/>
      </c>
      <c r="S88" s="179" t="str">
        <f t="shared" si="11"/>
        <v/>
      </c>
      <c r="T88" s="208" t="str">
        <f t="shared" si="12"/>
        <v/>
      </c>
      <c r="U88" s="209" t="str">
        <f t="shared" si="13"/>
        <v/>
      </c>
      <c r="V88" s="182"/>
      <c r="W88" s="183"/>
      <c r="AB88" s="35" t="str">
        <f>IFERROR(INDEX('G-6 Hedgerow Data'!$BJ$3:$BJ$15,MATCH(D88,'G-6 Hedgerow Data'!$B$3:$B$15,0)),"")</f>
        <v/>
      </c>
      <c r="AE88" s="188" t="str">
        <f t="shared" si="7"/>
        <v/>
      </c>
      <c r="AF88" s="188" t="str">
        <f t="shared" si="8"/>
        <v/>
      </c>
      <c r="AH88" s="188">
        <v>79</v>
      </c>
      <c r="AJ88" s="188" t="str">
        <f t="array" ref="AJ88">IFERROR(INDEX($AH$10:$AH$258, MATCH(0, IF(TRUE=$AE$10:$AE$258, COUNTIF($AJ$9:$AJ87, $AH$10:$AH$258), ""), 0)),"")</f>
        <v/>
      </c>
      <c r="AK88" s="188" t="str">
        <f t="array" ref="AK88">IFERROR(INDEX($AH$10:$AH$258, MATCH(0, IF(TRUE=$AF$10:$AF$258, COUNTIF($AK$9:$AK87, $AH$10:$AH$258), ""), 0)),"")</f>
        <v/>
      </c>
    </row>
    <row r="89" spans="2:37" ht="13.8" x14ac:dyDescent="0.25">
      <c r="B89" s="168">
        <v>80</v>
      </c>
      <c r="C89" s="275"/>
      <c r="D89" s="275"/>
      <c r="E89" s="185"/>
      <c r="F89" s="171" t="str">
        <f>IF(D89="","",VLOOKUP(D89,'G-6 Hedgerow Data'!$B$2:$AG$15,2,FALSE))</f>
        <v/>
      </c>
      <c r="G89" s="172" t="str">
        <f>IF(D89="","",VLOOKUP(D89,'G-6 Hedgerow Data'!$B$2:$AG$15,3,FALSE))</f>
        <v/>
      </c>
      <c r="H89" s="173"/>
      <c r="I89" s="172" t="str">
        <f>IFERROR(IF(AND(F89="V.Low",OR(H89="Good",H89="Moderate")),"Error",VLOOKUP(H89,'G-1 All Habitats'!$Z$2:$AA$9,2,FALSE)),"")</f>
        <v/>
      </c>
      <c r="J89" s="186"/>
      <c r="K89" s="175" t="str">
        <f>IF(J89="","",IF(VLOOKUP(J89,'G-3 Multipliers'!$L$3:$N$6,2,FALSE)=0,"Spatial Data Missing",VLOOKUP(J89,'G-3 Multipliers'!$L$3:$N$6,2,FALSE)))</f>
        <v/>
      </c>
      <c r="L89" s="176" t="str">
        <f>IF(J89="","",IF(VLOOKUP(J89,'G-3 Multipliers'!$L$3:$N$6,3,FALSE)=0,"Spatial Data Missing",VLOOKUP(J89,'G-3 Multipliers'!$L$3:$N$6,3,FALSE)))</f>
        <v/>
      </c>
      <c r="M89" s="177" t="str">
        <f>IF(D89="","",VLOOKUP(D89,'G-6 Hedgerow Data'!$B$1:$AH$15,33,FALSE))</f>
        <v/>
      </c>
      <c r="N89" s="207" t="str">
        <f t="shared" si="9"/>
        <v/>
      </c>
      <c r="O89" s="44"/>
      <c r="P89" s="173"/>
      <c r="Q89" s="189"/>
      <c r="R89" s="179" t="str">
        <f t="shared" si="10"/>
        <v/>
      </c>
      <c r="S89" s="179" t="str">
        <f t="shared" si="11"/>
        <v/>
      </c>
      <c r="T89" s="208" t="str">
        <f t="shared" si="12"/>
        <v/>
      </c>
      <c r="U89" s="209" t="str">
        <f t="shared" si="13"/>
        <v/>
      </c>
      <c r="V89" s="182"/>
      <c r="W89" s="183"/>
      <c r="AB89" s="35" t="str">
        <f>IFERROR(INDEX('G-6 Hedgerow Data'!$BJ$3:$BJ$15,MATCH(D89,'G-6 Hedgerow Data'!$B$3:$B$15,0)),"")</f>
        <v/>
      </c>
      <c r="AE89" s="188" t="str">
        <f t="shared" si="7"/>
        <v/>
      </c>
      <c r="AF89" s="188" t="str">
        <f t="shared" si="8"/>
        <v/>
      </c>
      <c r="AH89" s="188">
        <v>80</v>
      </c>
      <c r="AJ89" s="188" t="str">
        <f t="array" ref="AJ89">IFERROR(INDEX($AH$10:$AH$258, MATCH(0, IF(TRUE=$AE$10:$AE$258, COUNTIF($AJ$9:$AJ88, $AH$10:$AH$258), ""), 0)),"")</f>
        <v/>
      </c>
      <c r="AK89" s="188" t="str">
        <f t="array" ref="AK89">IFERROR(INDEX($AH$10:$AH$258, MATCH(0, IF(TRUE=$AF$10:$AF$258, COUNTIF($AK$9:$AK88, $AH$10:$AH$258), ""), 0)),"")</f>
        <v/>
      </c>
    </row>
    <row r="90" spans="2:37" ht="13.8" x14ac:dyDescent="0.25">
      <c r="B90" s="168">
        <v>81</v>
      </c>
      <c r="C90" s="275"/>
      <c r="D90" s="275"/>
      <c r="E90" s="185"/>
      <c r="F90" s="171" t="str">
        <f>IF(D90="","",VLOOKUP(D90,'G-6 Hedgerow Data'!$B$2:$AG$15,2,FALSE))</f>
        <v/>
      </c>
      <c r="G90" s="172" t="str">
        <f>IF(D90="","",VLOOKUP(D90,'G-6 Hedgerow Data'!$B$2:$AG$15,3,FALSE))</f>
        <v/>
      </c>
      <c r="H90" s="173"/>
      <c r="I90" s="172" t="str">
        <f>IFERROR(IF(AND(F90="V.Low",OR(H90="Good",H90="Moderate")),"Error",VLOOKUP(H90,'G-1 All Habitats'!$Z$2:$AA$9,2,FALSE)),"")</f>
        <v/>
      </c>
      <c r="J90" s="186"/>
      <c r="K90" s="175" t="str">
        <f>IF(J90="","",IF(VLOOKUP(J90,'G-3 Multipliers'!$L$3:$N$6,2,FALSE)=0,"Spatial Data Missing",VLOOKUP(J90,'G-3 Multipliers'!$L$3:$N$6,2,FALSE)))</f>
        <v/>
      </c>
      <c r="L90" s="176" t="str">
        <f>IF(J90="","",IF(VLOOKUP(J90,'G-3 Multipliers'!$L$3:$N$6,3,FALSE)=0,"Spatial Data Missing",VLOOKUP(J90,'G-3 Multipliers'!$L$3:$N$6,3,FALSE)))</f>
        <v/>
      </c>
      <c r="M90" s="177" t="str">
        <f>IF(D90="","",VLOOKUP(D90,'G-6 Hedgerow Data'!$B$1:$AH$15,33,FALSE))</f>
        <v/>
      </c>
      <c r="N90" s="207" t="str">
        <f t="shared" si="9"/>
        <v/>
      </c>
      <c r="O90" s="44"/>
      <c r="P90" s="173"/>
      <c r="Q90" s="189"/>
      <c r="R90" s="179" t="str">
        <f t="shared" si="10"/>
        <v/>
      </c>
      <c r="S90" s="179" t="str">
        <f t="shared" si="11"/>
        <v/>
      </c>
      <c r="T90" s="208" t="str">
        <f t="shared" si="12"/>
        <v/>
      </c>
      <c r="U90" s="209" t="str">
        <f t="shared" si="13"/>
        <v/>
      </c>
      <c r="V90" s="182"/>
      <c r="W90" s="183"/>
      <c r="AB90" s="35" t="str">
        <f>IFERROR(INDEX('G-6 Hedgerow Data'!$BJ$3:$BJ$15,MATCH(D90,'G-6 Hedgerow Data'!$B$3:$B$15,0)),"")</f>
        <v/>
      </c>
      <c r="AE90" s="188" t="str">
        <f t="shared" si="7"/>
        <v/>
      </c>
      <c r="AF90" s="188" t="str">
        <f t="shared" si="8"/>
        <v/>
      </c>
      <c r="AH90" s="188">
        <v>81</v>
      </c>
      <c r="AJ90" s="188" t="str">
        <f t="array" ref="AJ90">IFERROR(INDEX($AH$10:$AH$258, MATCH(0, IF(TRUE=$AE$10:$AE$258, COUNTIF($AJ$9:$AJ89, $AH$10:$AH$258), ""), 0)),"")</f>
        <v/>
      </c>
      <c r="AK90" s="188" t="str">
        <f t="array" ref="AK90">IFERROR(INDEX($AH$10:$AH$258, MATCH(0, IF(TRUE=$AF$10:$AF$258, COUNTIF($AK$9:$AK89, $AH$10:$AH$258), ""), 0)),"")</f>
        <v/>
      </c>
    </row>
    <row r="91" spans="2:37" ht="13.8" x14ac:dyDescent="0.25">
      <c r="B91" s="168">
        <v>82</v>
      </c>
      <c r="C91" s="275"/>
      <c r="D91" s="275"/>
      <c r="E91" s="185"/>
      <c r="F91" s="171" t="str">
        <f>IF(D91="","",VLOOKUP(D91,'G-6 Hedgerow Data'!$B$2:$AG$15,2,FALSE))</f>
        <v/>
      </c>
      <c r="G91" s="172" t="str">
        <f>IF(D91="","",VLOOKUP(D91,'G-6 Hedgerow Data'!$B$2:$AG$15,3,FALSE))</f>
        <v/>
      </c>
      <c r="H91" s="173"/>
      <c r="I91" s="172" t="str">
        <f>IFERROR(IF(AND(F91="V.Low",OR(H91="Good",H91="Moderate")),"Error",VLOOKUP(H91,'G-1 All Habitats'!$Z$2:$AA$9,2,FALSE)),"")</f>
        <v/>
      </c>
      <c r="J91" s="186"/>
      <c r="K91" s="175" t="str">
        <f>IF(J91="","",IF(VLOOKUP(J91,'G-3 Multipliers'!$L$3:$N$6,2,FALSE)=0,"Spatial Data Missing",VLOOKUP(J91,'G-3 Multipliers'!$L$3:$N$6,2,FALSE)))</f>
        <v/>
      </c>
      <c r="L91" s="176" t="str">
        <f>IF(J91="","",IF(VLOOKUP(J91,'G-3 Multipliers'!$L$3:$N$6,3,FALSE)=0,"Spatial Data Missing",VLOOKUP(J91,'G-3 Multipliers'!$L$3:$N$6,3,FALSE)))</f>
        <v/>
      </c>
      <c r="M91" s="177" t="str">
        <f>IF(D91="","",VLOOKUP(D91,'G-6 Hedgerow Data'!$B$1:$AH$15,33,FALSE))</f>
        <v/>
      </c>
      <c r="N91" s="207" t="str">
        <f t="shared" si="9"/>
        <v/>
      </c>
      <c r="O91" s="44"/>
      <c r="P91" s="173"/>
      <c r="Q91" s="189"/>
      <c r="R91" s="179" t="str">
        <f t="shared" si="10"/>
        <v/>
      </c>
      <c r="S91" s="179" t="str">
        <f t="shared" si="11"/>
        <v/>
      </c>
      <c r="T91" s="208" t="str">
        <f t="shared" si="12"/>
        <v/>
      </c>
      <c r="U91" s="209" t="str">
        <f t="shared" si="13"/>
        <v/>
      </c>
      <c r="V91" s="182"/>
      <c r="W91" s="183"/>
      <c r="AB91" s="35" t="str">
        <f>IFERROR(INDEX('G-6 Hedgerow Data'!$BJ$3:$BJ$15,MATCH(D91,'G-6 Hedgerow Data'!$B$3:$B$15,0)),"")</f>
        <v/>
      </c>
      <c r="AE91" s="188" t="str">
        <f t="shared" si="7"/>
        <v/>
      </c>
      <c r="AF91" s="188" t="str">
        <f t="shared" si="8"/>
        <v/>
      </c>
      <c r="AH91" s="188">
        <v>82</v>
      </c>
      <c r="AJ91" s="188" t="str">
        <f t="array" ref="AJ91">IFERROR(INDEX($AH$10:$AH$258, MATCH(0, IF(TRUE=$AE$10:$AE$258, COUNTIF($AJ$9:$AJ90, $AH$10:$AH$258), ""), 0)),"")</f>
        <v/>
      </c>
      <c r="AK91" s="188" t="str">
        <f t="array" ref="AK91">IFERROR(INDEX($AH$10:$AH$258, MATCH(0, IF(TRUE=$AF$10:$AF$258, COUNTIF($AK$9:$AK90, $AH$10:$AH$258), ""), 0)),"")</f>
        <v/>
      </c>
    </row>
    <row r="92" spans="2:37" ht="13.8" x14ac:dyDescent="0.25">
      <c r="B92" s="168">
        <v>83</v>
      </c>
      <c r="C92" s="275"/>
      <c r="D92" s="275"/>
      <c r="E92" s="185"/>
      <c r="F92" s="171" t="str">
        <f>IF(D92="","",VLOOKUP(D92,'G-6 Hedgerow Data'!$B$2:$AG$15,2,FALSE))</f>
        <v/>
      </c>
      <c r="G92" s="172" t="str">
        <f>IF(D92="","",VLOOKUP(D92,'G-6 Hedgerow Data'!$B$2:$AG$15,3,FALSE))</f>
        <v/>
      </c>
      <c r="H92" s="173"/>
      <c r="I92" s="172" t="str">
        <f>IFERROR(IF(AND(F92="V.Low",OR(H92="Good",H92="Moderate")),"Error",VLOOKUP(H92,'G-1 All Habitats'!$Z$2:$AA$9,2,FALSE)),"")</f>
        <v/>
      </c>
      <c r="J92" s="186"/>
      <c r="K92" s="175" t="str">
        <f>IF(J92="","",IF(VLOOKUP(J92,'G-3 Multipliers'!$L$3:$N$6,2,FALSE)=0,"Spatial Data Missing",VLOOKUP(J92,'G-3 Multipliers'!$L$3:$N$6,2,FALSE)))</f>
        <v/>
      </c>
      <c r="L92" s="176" t="str">
        <f>IF(J92="","",IF(VLOOKUP(J92,'G-3 Multipliers'!$L$3:$N$6,3,FALSE)=0,"Spatial Data Missing",VLOOKUP(J92,'G-3 Multipliers'!$L$3:$N$6,3,FALSE)))</f>
        <v/>
      </c>
      <c r="M92" s="177" t="str">
        <f>IF(D92="","",VLOOKUP(D92,'G-6 Hedgerow Data'!$B$1:$AH$15,33,FALSE))</f>
        <v/>
      </c>
      <c r="N92" s="207" t="str">
        <f t="shared" si="9"/>
        <v/>
      </c>
      <c r="O92" s="44"/>
      <c r="P92" s="173"/>
      <c r="Q92" s="189"/>
      <c r="R92" s="179" t="str">
        <f t="shared" si="10"/>
        <v/>
      </c>
      <c r="S92" s="179" t="str">
        <f t="shared" si="11"/>
        <v/>
      </c>
      <c r="T92" s="208" t="str">
        <f t="shared" si="12"/>
        <v/>
      </c>
      <c r="U92" s="209" t="str">
        <f t="shared" si="13"/>
        <v/>
      </c>
      <c r="V92" s="182"/>
      <c r="W92" s="183"/>
      <c r="AB92" s="35" t="str">
        <f>IFERROR(INDEX('G-6 Hedgerow Data'!$BJ$3:$BJ$15,MATCH(D92,'G-6 Hedgerow Data'!$B$3:$B$15,0)),"")</f>
        <v/>
      </c>
      <c r="AE92" s="188" t="str">
        <f t="shared" si="7"/>
        <v/>
      </c>
      <c r="AF92" s="188" t="str">
        <f t="shared" si="8"/>
        <v/>
      </c>
      <c r="AH92" s="188">
        <v>83</v>
      </c>
      <c r="AJ92" s="188" t="str">
        <f t="array" ref="AJ92">IFERROR(INDEX($AH$10:$AH$258, MATCH(0, IF(TRUE=$AE$10:$AE$258, COUNTIF($AJ$9:$AJ91, $AH$10:$AH$258), ""), 0)),"")</f>
        <v/>
      </c>
      <c r="AK92" s="188" t="str">
        <f t="array" ref="AK92">IFERROR(INDEX($AH$10:$AH$258, MATCH(0, IF(TRUE=$AF$10:$AF$258, COUNTIF($AK$9:$AK91, $AH$10:$AH$258), ""), 0)),"")</f>
        <v/>
      </c>
    </row>
    <row r="93" spans="2:37" ht="13.8" x14ac:dyDescent="0.25">
      <c r="B93" s="168">
        <v>84</v>
      </c>
      <c r="C93" s="275"/>
      <c r="D93" s="275"/>
      <c r="E93" s="185"/>
      <c r="F93" s="171" t="str">
        <f>IF(D93="","",VLOOKUP(D93,'G-6 Hedgerow Data'!$B$2:$AG$15,2,FALSE))</f>
        <v/>
      </c>
      <c r="G93" s="172" t="str">
        <f>IF(D93="","",VLOOKUP(D93,'G-6 Hedgerow Data'!$B$2:$AG$15,3,FALSE))</f>
        <v/>
      </c>
      <c r="H93" s="173"/>
      <c r="I93" s="172" t="str">
        <f>IFERROR(IF(AND(F93="V.Low",OR(H93="Good",H93="Moderate")),"Error",VLOOKUP(H93,'G-1 All Habitats'!$Z$2:$AA$9,2,FALSE)),"")</f>
        <v/>
      </c>
      <c r="J93" s="186"/>
      <c r="K93" s="175" t="str">
        <f>IF(J93="","",IF(VLOOKUP(J93,'G-3 Multipliers'!$L$3:$N$6,2,FALSE)=0,"Spatial Data Missing",VLOOKUP(J93,'G-3 Multipliers'!$L$3:$N$6,2,FALSE)))</f>
        <v/>
      </c>
      <c r="L93" s="176" t="str">
        <f>IF(J93="","",IF(VLOOKUP(J93,'G-3 Multipliers'!$L$3:$N$6,3,FALSE)=0,"Spatial Data Missing",VLOOKUP(J93,'G-3 Multipliers'!$L$3:$N$6,3,FALSE)))</f>
        <v/>
      </c>
      <c r="M93" s="177" t="str">
        <f>IF(D93="","",VLOOKUP(D93,'G-6 Hedgerow Data'!$B$1:$AH$15,33,FALSE))</f>
        <v/>
      </c>
      <c r="N93" s="207" t="str">
        <f t="shared" si="9"/>
        <v/>
      </c>
      <c r="O93" s="44"/>
      <c r="P93" s="173"/>
      <c r="Q93" s="189"/>
      <c r="R93" s="179" t="str">
        <f t="shared" si="10"/>
        <v/>
      </c>
      <c r="S93" s="179" t="str">
        <f t="shared" si="11"/>
        <v/>
      </c>
      <c r="T93" s="208" t="str">
        <f t="shared" si="12"/>
        <v/>
      </c>
      <c r="U93" s="209" t="str">
        <f t="shared" si="13"/>
        <v/>
      </c>
      <c r="V93" s="182"/>
      <c r="W93" s="183"/>
      <c r="AB93" s="35" t="str">
        <f>IFERROR(INDEX('G-6 Hedgerow Data'!$BJ$3:$BJ$15,MATCH(D93,'G-6 Hedgerow Data'!$B$3:$B$15,0)),"")</f>
        <v/>
      </c>
      <c r="AE93" s="188" t="str">
        <f t="shared" si="7"/>
        <v/>
      </c>
      <c r="AF93" s="188" t="str">
        <f t="shared" si="8"/>
        <v/>
      </c>
      <c r="AH93" s="188">
        <v>84</v>
      </c>
      <c r="AJ93" s="188" t="str">
        <f t="array" ref="AJ93">IFERROR(INDEX($AH$10:$AH$258, MATCH(0, IF(TRUE=$AE$10:$AE$258, COUNTIF($AJ$9:$AJ92, $AH$10:$AH$258), ""), 0)),"")</f>
        <v/>
      </c>
      <c r="AK93" s="188" t="str">
        <f t="array" ref="AK93">IFERROR(INDEX($AH$10:$AH$258, MATCH(0, IF(TRUE=$AF$10:$AF$258, COUNTIF($AK$9:$AK92, $AH$10:$AH$258), ""), 0)),"")</f>
        <v/>
      </c>
    </row>
    <row r="94" spans="2:37" ht="13.8" x14ac:dyDescent="0.25">
      <c r="B94" s="168">
        <v>85</v>
      </c>
      <c r="C94" s="275"/>
      <c r="D94" s="275"/>
      <c r="E94" s="185"/>
      <c r="F94" s="171" t="str">
        <f>IF(D94="","",VLOOKUP(D94,'G-6 Hedgerow Data'!$B$2:$AG$15,2,FALSE))</f>
        <v/>
      </c>
      <c r="G94" s="172" t="str">
        <f>IF(D94="","",VLOOKUP(D94,'G-6 Hedgerow Data'!$B$2:$AG$15,3,FALSE))</f>
        <v/>
      </c>
      <c r="H94" s="173"/>
      <c r="I94" s="172" t="str">
        <f>IFERROR(IF(AND(F94="V.Low",OR(H94="Good",H94="Moderate")),"Error",VLOOKUP(H94,'G-1 All Habitats'!$Z$2:$AA$9,2,FALSE)),"")</f>
        <v/>
      </c>
      <c r="J94" s="186"/>
      <c r="K94" s="175" t="str">
        <f>IF(J94="","",IF(VLOOKUP(J94,'G-3 Multipliers'!$L$3:$N$6,2,FALSE)=0,"Spatial Data Missing",VLOOKUP(J94,'G-3 Multipliers'!$L$3:$N$6,2,FALSE)))</f>
        <v/>
      </c>
      <c r="L94" s="176" t="str">
        <f>IF(J94="","",IF(VLOOKUP(J94,'G-3 Multipliers'!$L$3:$N$6,3,FALSE)=0,"Spatial Data Missing",VLOOKUP(J94,'G-3 Multipliers'!$L$3:$N$6,3,FALSE)))</f>
        <v/>
      </c>
      <c r="M94" s="177" t="str">
        <f>IF(D94="","",VLOOKUP(D94,'G-6 Hedgerow Data'!$B$1:$AH$15,33,FALSE))</f>
        <v/>
      </c>
      <c r="N94" s="207" t="str">
        <f t="shared" si="9"/>
        <v/>
      </c>
      <c r="O94" s="44"/>
      <c r="P94" s="173"/>
      <c r="Q94" s="189"/>
      <c r="R94" s="179" t="str">
        <f t="shared" si="10"/>
        <v/>
      </c>
      <c r="S94" s="179" t="str">
        <f t="shared" si="11"/>
        <v/>
      </c>
      <c r="T94" s="208" t="str">
        <f t="shared" si="12"/>
        <v/>
      </c>
      <c r="U94" s="209" t="str">
        <f t="shared" si="13"/>
        <v/>
      </c>
      <c r="V94" s="182"/>
      <c r="W94" s="183"/>
      <c r="AB94" s="35" t="str">
        <f>IFERROR(INDEX('G-6 Hedgerow Data'!$BJ$3:$BJ$15,MATCH(D94,'G-6 Hedgerow Data'!$B$3:$B$15,0)),"")</f>
        <v/>
      </c>
      <c r="AE94" s="188" t="str">
        <f t="shared" si="7"/>
        <v/>
      </c>
      <c r="AF94" s="188" t="str">
        <f t="shared" si="8"/>
        <v/>
      </c>
      <c r="AH94" s="188">
        <v>85</v>
      </c>
      <c r="AJ94" s="188" t="str">
        <f t="array" ref="AJ94">IFERROR(INDEX($AH$10:$AH$258, MATCH(0, IF(TRUE=$AE$10:$AE$258, COUNTIF($AJ$9:$AJ93, $AH$10:$AH$258), ""), 0)),"")</f>
        <v/>
      </c>
      <c r="AK94" s="188" t="str">
        <f t="array" ref="AK94">IFERROR(INDEX($AH$10:$AH$258, MATCH(0, IF(TRUE=$AF$10:$AF$258, COUNTIF($AK$9:$AK93, $AH$10:$AH$258), ""), 0)),"")</f>
        <v/>
      </c>
    </row>
    <row r="95" spans="2:37" ht="13.8" x14ac:dyDescent="0.25">
      <c r="B95" s="168">
        <v>86</v>
      </c>
      <c r="C95" s="275"/>
      <c r="D95" s="275"/>
      <c r="E95" s="185"/>
      <c r="F95" s="171" t="str">
        <f>IF(D95="","",VLOOKUP(D95,'G-6 Hedgerow Data'!$B$2:$AG$15,2,FALSE))</f>
        <v/>
      </c>
      <c r="G95" s="172" t="str">
        <f>IF(D95="","",VLOOKUP(D95,'G-6 Hedgerow Data'!$B$2:$AG$15,3,FALSE))</f>
        <v/>
      </c>
      <c r="H95" s="173"/>
      <c r="I95" s="172" t="str">
        <f>IFERROR(IF(AND(F95="V.Low",OR(H95="Good",H95="Moderate")),"Error",VLOOKUP(H95,'G-1 All Habitats'!$Z$2:$AA$9,2,FALSE)),"")</f>
        <v/>
      </c>
      <c r="J95" s="186"/>
      <c r="K95" s="175" t="str">
        <f>IF(J95="","",IF(VLOOKUP(J95,'G-3 Multipliers'!$L$3:$N$6,2,FALSE)=0,"Spatial Data Missing",VLOOKUP(J95,'G-3 Multipliers'!$L$3:$N$6,2,FALSE)))</f>
        <v/>
      </c>
      <c r="L95" s="176" t="str">
        <f>IF(J95="","",IF(VLOOKUP(J95,'G-3 Multipliers'!$L$3:$N$6,3,FALSE)=0,"Spatial Data Missing",VLOOKUP(J95,'G-3 Multipliers'!$L$3:$N$6,3,FALSE)))</f>
        <v/>
      </c>
      <c r="M95" s="177" t="str">
        <f>IF(D95="","",VLOOKUP(D95,'G-6 Hedgerow Data'!$B$1:$AH$15,33,FALSE))</f>
        <v/>
      </c>
      <c r="N95" s="207" t="str">
        <f t="shared" si="9"/>
        <v/>
      </c>
      <c r="O95" s="44"/>
      <c r="P95" s="173"/>
      <c r="Q95" s="189"/>
      <c r="R95" s="179" t="str">
        <f t="shared" si="10"/>
        <v/>
      </c>
      <c r="S95" s="179" t="str">
        <f t="shared" si="11"/>
        <v/>
      </c>
      <c r="T95" s="208" t="str">
        <f t="shared" si="12"/>
        <v/>
      </c>
      <c r="U95" s="209" t="str">
        <f t="shared" si="13"/>
        <v/>
      </c>
      <c r="V95" s="182"/>
      <c r="W95" s="183"/>
      <c r="AB95" s="35" t="str">
        <f>IFERROR(INDEX('G-6 Hedgerow Data'!$BJ$3:$BJ$15,MATCH(D95,'G-6 Hedgerow Data'!$B$3:$B$15,0)),"")</f>
        <v/>
      </c>
      <c r="AE95" s="188" t="str">
        <f t="shared" si="7"/>
        <v/>
      </c>
      <c r="AF95" s="188" t="str">
        <f t="shared" si="8"/>
        <v/>
      </c>
      <c r="AH95" s="188">
        <v>86</v>
      </c>
      <c r="AJ95" s="188" t="str">
        <f t="array" ref="AJ95">IFERROR(INDEX($AH$10:$AH$258, MATCH(0, IF(TRUE=$AE$10:$AE$258, COUNTIF($AJ$9:$AJ94, $AH$10:$AH$258), ""), 0)),"")</f>
        <v/>
      </c>
      <c r="AK95" s="188" t="str">
        <f t="array" ref="AK95">IFERROR(INDEX($AH$10:$AH$258, MATCH(0, IF(TRUE=$AF$10:$AF$258, COUNTIF($AK$9:$AK94, $AH$10:$AH$258), ""), 0)),"")</f>
        <v/>
      </c>
    </row>
    <row r="96" spans="2:37" ht="13.8" x14ac:dyDescent="0.25">
      <c r="B96" s="168">
        <v>87</v>
      </c>
      <c r="C96" s="275"/>
      <c r="D96" s="275"/>
      <c r="E96" s="185"/>
      <c r="F96" s="171" t="str">
        <f>IF(D96="","",VLOOKUP(D96,'G-6 Hedgerow Data'!$B$2:$AG$15,2,FALSE))</f>
        <v/>
      </c>
      <c r="G96" s="172" t="str">
        <f>IF(D96="","",VLOOKUP(D96,'G-6 Hedgerow Data'!$B$2:$AG$15,3,FALSE))</f>
        <v/>
      </c>
      <c r="H96" s="173"/>
      <c r="I96" s="172" t="str">
        <f>IFERROR(IF(AND(F96="V.Low",OR(H96="Good",H96="Moderate")),"Error",VLOOKUP(H96,'G-1 All Habitats'!$Z$2:$AA$9,2,FALSE)),"")</f>
        <v/>
      </c>
      <c r="J96" s="186"/>
      <c r="K96" s="175" t="str">
        <f>IF(J96="","",IF(VLOOKUP(J96,'G-3 Multipliers'!$L$3:$N$6,2,FALSE)=0,"Spatial Data Missing",VLOOKUP(J96,'G-3 Multipliers'!$L$3:$N$6,2,FALSE)))</f>
        <v/>
      </c>
      <c r="L96" s="176" t="str">
        <f>IF(J96="","",IF(VLOOKUP(J96,'G-3 Multipliers'!$L$3:$N$6,3,FALSE)=0,"Spatial Data Missing",VLOOKUP(J96,'G-3 Multipliers'!$L$3:$N$6,3,FALSE)))</f>
        <v/>
      </c>
      <c r="M96" s="177" t="str">
        <f>IF(D96="","",VLOOKUP(D96,'G-6 Hedgerow Data'!$B$1:$AH$15,33,FALSE))</f>
        <v/>
      </c>
      <c r="N96" s="207" t="str">
        <f t="shared" si="9"/>
        <v/>
      </c>
      <c r="O96" s="44"/>
      <c r="P96" s="173"/>
      <c r="Q96" s="189"/>
      <c r="R96" s="179" t="str">
        <f t="shared" si="10"/>
        <v/>
      </c>
      <c r="S96" s="179" t="str">
        <f t="shared" si="11"/>
        <v/>
      </c>
      <c r="T96" s="208" t="str">
        <f t="shared" si="12"/>
        <v/>
      </c>
      <c r="U96" s="209" t="str">
        <f t="shared" si="13"/>
        <v/>
      </c>
      <c r="V96" s="182"/>
      <c r="W96" s="183"/>
      <c r="AB96" s="35" t="str">
        <f>IFERROR(INDEX('G-6 Hedgerow Data'!$BJ$3:$BJ$15,MATCH(D96,'G-6 Hedgerow Data'!$B$3:$B$15,0)),"")</f>
        <v/>
      </c>
      <c r="AE96" s="188" t="str">
        <f t="shared" si="7"/>
        <v/>
      </c>
      <c r="AF96" s="188" t="str">
        <f t="shared" si="8"/>
        <v/>
      </c>
      <c r="AH96" s="188">
        <v>87</v>
      </c>
      <c r="AJ96" s="188" t="str">
        <f t="array" ref="AJ96">IFERROR(INDEX($AH$10:$AH$258, MATCH(0, IF(TRUE=$AE$10:$AE$258, COUNTIF($AJ$9:$AJ95, $AH$10:$AH$258), ""), 0)),"")</f>
        <v/>
      </c>
      <c r="AK96" s="188" t="str">
        <f t="array" ref="AK96">IFERROR(INDEX($AH$10:$AH$258, MATCH(0, IF(TRUE=$AF$10:$AF$258, COUNTIF($AK$9:$AK95, $AH$10:$AH$258), ""), 0)),"")</f>
        <v/>
      </c>
    </row>
    <row r="97" spans="2:37" ht="13.8" x14ac:dyDescent="0.25">
      <c r="B97" s="168">
        <v>88</v>
      </c>
      <c r="C97" s="275"/>
      <c r="D97" s="275"/>
      <c r="E97" s="185"/>
      <c r="F97" s="171" t="str">
        <f>IF(D97="","",VLOOKUP(D97,'G-6 Hedgerow Data'!$B$2:$AG$15,2,FALSE))</f>
        <v/>
      </c>
      <c r="G97" s="172" t="str">
        <f>IF(D97="","",VLOOKUP(D97,'G-6 Hedgerow Data'!$B$2:$AG$15,3,FALSE))</f>
        <v/>
      </c>
      <c r="H97" s="173"/>
      <c r="I97" s="172" t="str">
        <f>IFERROR(IF(AND(F97="V.Low",OR(H97="Good",H97="Moderate")),"Error",VLOOKUP(H97,'G-1 All Habitats'!$Z$2:$AA$9,2,FALSE)),"")</f>
        <v/>
      </c>
      <c r="J97" s="186"/>
      <c r="K97" s="175" t="str">
        <f>IF(J97="","",IF(VLOOKUP(J97,'G-3 Multipliers'!$L$3:$N$6,2,FALSE)=0,"Spatial Data Missing",VLOOKUP(J97,'G-3 Multipliers'!$L$3:$N$6,2,FALSE)))</f>
        <v/>
      </c>
      <c r="L97" s="176" t="str">
        <f>IF(J97="","",IF(VLOOKUP(J97,'G-3 Multipliers'!$L$3:$N$6,3,FALSE)=0,"Spatial Data Missing",VLOOKUP(J97,'G-3 Multipliers'!$L$3:$N$6,3,FALSE)))</f>
        <v/>
      </c>
      <c r="M97" s="177" t="str">
        <f>IF(D97="","",VLOOKUP(D97,'G-6 Hedgerow Data'!$B$1:$AH$15,33,FALSE))</f>
        <v/>
      </c>
      <c r="N97" s="207" t="str">
        <f t="shared" si="9"/>
        <v/>
      </c>
      <c r="O97" s="44"/>
      <c r="P97" s="173"/>
      <c r="Q97" s="189"/>
      <c r="R97" s="179" t="str">
        <f t="shared" si="10"/>
        <v/>
      </c>
      <c r="S97" s="179" t="str">
        <f t="shared" si="11"/>
        <v/>
      </c>
      <c r="T97" s="208" t="str">
        <f t="shared" si="12"/>
        <v/>
      </c>
      <c r="U97" s="209" t="str">
        <f t="shared" si="13"/>
        <v/>
      </c>
      <c r="V97" s="182"/>
      <c r="W97" s="183"/>
      <c r="AB97" s="35" t="str">
        <f>IFERROR(INDEX('G-6 Hedgerow Data'!$BJ$3:$BJ$15,MATCH(D97,'G-6 Hedgerow Data'!$B$3:$B$15,0)),"")</f>
        <v/>
      </c>
      <c r="AE97" s="188" t="str">
        <f t="shared" si="7"/>
        <v/>
      </c>
      <c r="AF97" s="188" t="str">
        <f t="shared" si="8"/>
        <v/>
      </c>
      <c r="AH97" s="188">
        <v>88</v>
      </c>
      <c r="AJ97" s="188" t="str">
        <f t="array" ref="AJ97">IFERROR(INDEX($AH$10:$AH$258, MATCH(0, IF(TRUE=$AE$10:$AE$258, COUNTIF($AJ$9:$AJ96, $AH$10:$AH$258), ""), 0)),"")</f>
        <v/>
      </c>
      <c r="AK97" s="188" t="str">
        <f t="array" ref="AK97">IFERROR(INDEX($AH$10:$AH$258, MATCH(0, IF(TRUE=$AF$10:$AF$258, COUNTIF($AK$9:$AK96, $AH$10:$AH$258), ""), 0)),"")</f>
        <v/>
      </c>
    </row>
    <row r="98" spans="2:37" ht="13.8" x14ac:dyDescent="0.25">
      <c r="B98" s="168">
        <v>89</v>
      </c>
      <c r="C98" s="275"/>
      <c r="D98" s="275"/>
      <c r="E98" s="185"/>
      <c r="F98" s="171" t="str">
        <f>IF(D98="","",VLOOKUP(D98,'G-6 Hedgerow Data'!$B$2:$AG$15,2,FALSE))</f>
        <v/>
      </c>
      <c r="G98" s="172" t="str">
        <f>IF(D98="","",VLOOKUP(D98,'G-6 Hedgerow Data'!$B$2:$AG$15,3,FALSE))</f>
        <v/>
      </c>
      <c r="H98" s="173"/>
      <c r="I98" s="172" t="str">
        <f>IFERROR(IF(AND(F98="V.Low",OR(H98="Good",H98="Moderate")),"Error",VLOOKUP(H98,'G-1 All Habitats'!$Z$2:$AA$9,2,FALSE)),"")</f>
        <v/>
      </c>
      <c r="J98" s="186"/>
      <c r="K98" s="175" t="str">
        <f>IF(J98="","",IF(VLOOKUP(J98,'G-3 Multipliers'!$L$3:$N$6,2,FALSE)=0,"Spatial Data Missing",VLOOKUP(J98,'G-3 Multipliers'!$L$3:$N$6,2,FALSE)))</f>
        <v/>
      </c>
      <c r="L98" s="176" t="str">
        <f>IF(J98="","",IF(VLOOKUP(J98,'G-3 Multipliers'!$L$3:$N$6,3,FALSE)=0,"Spatial Data Missing",VLOOKUP(J98,'G-3 Multipliers'!$L$3:$N$6,3,FALSE)))</f>
        <v/>
      </c>
      <c r="M98" s="177" t="str">
        <f>IF(D98="","",VLOOKUP(D98,'G-6 Hedgerow Data'!$B$1:$AH$15,33,FALSE))</f>
        <v/>
      </c>
      <c r="N98" s="207" t="str">
        <f t="shared" si="9"/>
        <v/>
      </c>
      <c r="O98" s="44"/>
      <c r="P98" s="173"/>
      <c r="Q98" s="189"/>
      <c r="R98" s="179" t="str">
        <f t="shared" si="10"/>
        <v/>
      </c>
      <c r="S98" s="179" t="str">
        <f t="shared" si="11"/>
        <v/>
      </c>
      <c r="T98" s="208" t="str">
        <f t="shared" si="12"/>
        <v/>
      </c>
      <c r="U98" s="209" t="str">
        <f t="shared" si="13"/>
        <v/>
      </c>
      <c r="V98" s="182"/>
      <c r="W98" s="183"/>
      <c r="AB98" s="35" t="str">
        <f>IFERROR(INDEX('G-6 Hedgerow Data'!$BJ$3:$BJ$15,MATCH(D98,'G-6 Hedgerow Data'!$B$3:$B$15,0)),"")</f>
        <v/>
      </c>
      <c r="AE98" s="188" t="str">
        <f t="shared" si="7"/>
        <v/>
      </c>
      <c r="AF98" s="188" t="str">
        <f t="shared" si="8"/>
        <v/>
      </c>
      <c r="AH98" s="188">
        <v>89</v>
      </c>
      <c r="AJ98" s="188" t="str">
        <f t="array" ref="AJ98">IFERROR(INDEX($AH$10:$AH$258, MATCH(0, IF(TRUE=$AE$10:$AE$258, COUNTIF($AJ$9:$AJ97, $AH$10:$AH$258), ""), 0)),"")</f>
        <v/>
      </c>
      <c r="AK98" s="188" t="str">
        <f t="array" ref="AK98">IFERROR(INDEX($AH$10:$AH$258, MATCH(0, IF(TRUE=$AF$10:$AF$258, COUNTIF($AK$9:$AK97, $AH$10:$AH$258), ""), 0)),"")</f>
        <v/>
      </c>
    </row>
    <row r="99" spans="2:37" ht="13.8" x14ac:dyDescent="0.25">
      <c r="B99" s="168">
        <v>90</v>
      </c>
      <c r="C99" s="275"/>
      <c r="D99" s="275"/>
      <c r="E99" s="185"/>
      <c r="F99" s="171" t="str">
        <f>IF(D99="","",VLOOKUP(D99,'G-6 Hedgerow Data'!$B$2:$AG$15,2,FALSE))</f>
        <v/>
      </c>
      <c r="G99" s="172" t="str">
        <f>IF(D99="","",VLOOKUP(D99,'G-6 Hedgerow Data'!$B$2:$AG$15,3,FALSE))</f>
        <v/>
      </c>
      <c r="H99" s="173"/>
      <c r="I99" s="172" t="str">
        <f>IFERROR(IF(AND(F99="V.Low",OR(H99="Good",H99="Moderate")),"Error",VLOOKUP(H99,'G-1 All Habitats'!$Z$2:$AA$9,2,FALSE)),"")</f>
        <v/>
      </c>
      <c r="J99" s="186"/>
      <c r="K99" s="175" t="str">
        <f>IF(J99="","",IF(VLOOKUP(J99,'G-3 Multipliers'!$L$3:$N$6,2,FALSE)=0,"Spatial Data Missing",VLOOKUP(J99,'G-3 Multipliers'!$L$3:$N$6,2,FALSE)))</f>
        <v/>
      </c>
      <c r="L99" s="176" t="str">
        <f>IF(J99="","",IF(VLOOKUP(J99,'G-3 Multipliers'!$L$3:$N$6,3,FALSE)=0,"Spatial Data Missing",VLOOKUP(J99,'G-3 Multipliers'!$L$3:$N$6,3,FALSE)))</f>
        <v/>
      </c>
      <c r="M99" s="177" t="str">
        <f>IF(D99="","",VLOOKUP(D99,'G-6 Hedgerow Data'!$B$1:$AH$15,33,FALSE))</f>
        <v/>
      </c>
      <c r="N99" s="207" t="str">
        <f t="shared" si="9"/>
        <v/>
      </c>
      <c r="O99" s="44"/>
      <c r="P99" s="173"/>
      <c r="Q99" s="189"/>
      <c r="R99" s="179" t="str">
        <f t="shared" si="10"/>
        <v/>
      </c>
      <c r="S99" s="179" t="str">
        <f t="shared" si="11"/>
        <v/>
      </c>
      <c r="T99" s="208" t="str">
        <f t="shared" si="12"/>
        <v/>
      </c>
      <c r="U99" s="209" t="str">
        <f t="shared" si="13"/>
        <v/>
      </c>
      <c r="V99" s="182"/>
      <c r="W99" s="183"/>
      <c r="AB99" s="35" t="str">
        <f>IFERROR(INDEX('G-6 Hedgerow Data'!$BJ$3:$BJ$15,MATCH(D99,'G-6 Hedgerow Data'!$B$3:$B$15,0)),"")</f>
        <v/>
      </c>
      <c r="AE99" s="188" t="str">
        <f t="shared" si="7"/>
        <v/>
      </c>
      <c r="AF99" s="188" t="str">
        <f t="shared" si="8"/>
        <v/>
      </c>
      <c r="AH99" s="188">
        <v>90</v>
      </c>
      <c r="AJ99" s="188" t="str">
        <f t="array" ref="AJ99">IFERROR(INDEX($AH$10:$AH$258, MATCH(0, IF(TRUE=$AE$10:$AE$258, COUNTIF($AJ$9:$AJ98, $AH$10:$AH$258), ""), 0)),"")</f>
        <v/>
      </c>
      <c r="AK99" s="188" t="str">
        <f t="array" ref="AK99">IFERROR(INDEX($AH$10:$AH$258, MATCH(0, IF(TRUE=$AF$10:$AF$258, COUNTIF($AK$9:$AK98, $AH$10:$AH$258), ""), 0)),"")</f>
        <v/>
      </c>
    </row>
    <row r="100" spans="2:37" ht="13.8" x14ac:dyDescent="0.25">
      <c r="B100" s="168">
        <v>91</v>
      </c>
      <c r="C100" s="275"/>
      <c r="D100" s="275"/>
      <c r="E100" s="185"/>
      <c r="F100" s="171" t="str">
        <f>IF(D100="","",VLOOKUP(D100,'G-6 Hedgerow Data'!$B$2:$AG$15,2,FALSE))</f>
        <v/>
      </c>
      <c r="G100" s="172" t="str">
        <f>IF(D100="","",VLOOKUP(D100,'G-6 Hedgerow Data'!$B$2:$AG$15,3,FALSE))</f>
        <v/>
      </c>
      <c r="H100" s="173"/>
      <c r="I100" s="172" t="str">
        <f>IFERROR(IF(AND(F100="V.Low",OR(H100="Good",H100="Moderate")),"Error",VLOOKUP(H100,'G-1 All Habitats'!$Z$2:$AA$9,2,FALSE)),"")</f>
        <v/>
      </c>
      <c r="J100" s="186"/>
      <c r="K100" s="175" t="str">
        <f>IF(J100="","",IF(VLOOKUP(J100,'G-3 Multipliers'!$L$3:$N$6,2,FALSE)=0,"Spatial Data Missing",VLOOKUP(J100,'G-3 Multipliers'!$L$3:$N$6,2,FALSE)))</f>
        <v/>
      </c>
      <c r="L100" s="176" t="str">
        <f>IF(J100="","",IF(VLOOKUP(J100,'G-3 Multipliers'!$L$3:$N$6,3,FALSE)=0,"Spatial Data Missing",VLOOKUP(J100,'G-3 Multipliers'!$L$3:$N$6,3,FALSE)))</f>
        <v/>
      </c>
      <c r="M100" s="177" t="str">
        <f>IF(D100="","",VLOOKUP(D100,'G-6 Hedgerow Data'!$B$1:$AH$15,33,FALSE))</f>
        <v/>
      </c>
      <c r="N100" s="207" t="str">
        <f t="shared" si="9"/>
        <v/>
      </c>
      <c r="O100" s="44"/>
      <c r="P100" s="173"/>
      <c r="Q100" s="189"/>
      <c r="R100" s="179" t="str">
        <f t="shared" si="10"/>
        <v/>
      </c>
      <c r="S100" s="179" t="str">
        <f t="shared" si="11"/>
        <v/>
      </c>
      <c r="T100" s="208" t="str">
        <f t="shared" si="12"/>
        <v/>
      </c>
      <c r="U100" s="209" t="str">
        <f t="shared" si="13"/>
        <v/>
      </c>
      <c r="V100" s="182"/>
      <c r="W100" s="183"/>
      <c r="AB100" s="35" t="str">
        <f>IFERROR(INDEX('G-6 Hedgerow Data'!$BJ$3:$BJ$15,MATCH(D100,'G-6 Hedgerow Data'!$B$3:$B$15,0)),"")</f>
        <v/>
      </c>
      <c r="AE100" s="188" t="str">
        <f t="shared" si="7"/>
        <v/>
      </c>
      <c r="AF100" s="188" t="str">
        <f t="shared" si="8"/>
        <v/>
      </c>
      <c r="AH100" s="188">
        <v>91</v>
      </c>
      <c r="AJ100" s="188" t="str">
        <f t="array" ref="AJ100">IFERROR(INDEX($AH$10:$AH$258, MATCH(0, IF(TRUE=$AE$10:$AE$258, COUNTIF($AJ$9:$AJ99, $AH$10:$AH$258), ""), 0)),"")</f>
        <v/>
      </c>
      <c r="AK100" s="188" t="str">
        <f t="array" ref="AK100">IFERROR(INDEX($AH$10:$AH$258, MATCH(0, IF(TRUE=$AF$10:$AF$258, COUNTIF($AK$9:$AK99, $AH$10:$AH$258), ""), 0)),"")</f>
        <v/>
      </c>
    </row>
    <row r="101" spans="2:37" ht="13.8" x14ac:dyDescent="0.25">
      <c r="B101" s="168">
        <v>92</v>
      </c>
      <c r="C101" s="275"/>
      <c r="D101" s="275"/>
      <c r="E101" s="185"/>
      <c r="F101" s="171" t="str">
        <f>IF(D101="","",VLOOKUP(D101,'G-6 Hedgerow Data'!$B$2:$AG$15,2,FALSE))</f>
        <v/>
      </c>
      <c r="G101" s="172" t="str">
        <f>IF(D101="","",VLOOKUP(D101,'G-6 Hedgerow Data'!$B$2:$AG$15,3,FALSE))</f>
        <v/>
      </c>
      <c r="H101" s="173"/>
      <c r="I101" s="172" t="str">
        <f>IFERROR(IF(AND(F101="V.Low",OR(H101="Good",H101="Moderate")),"Error",VLOOKUP(H101,'G-1 All Habitats'!$Z$2:$AA$9,2,FALSE)),"")</f>
        <v/>
      </c>
      <c r="J101" s="186"/>
      <c r="K101" s="175" t="str">
        <f>IF(J101="","",IF(VLOOKUP(J101,'G-3 Multipliers'!$L$3:$N$6,2,FALSE)=0,"Spatial Data Missing",VLOOKUP(J101,'G-3 Multipliers'!$L$3:$N$6,2,FALSE)))</f>
        <v/>
      </c>
      <c r="L101" s="176" t="str">
        <f>IF(J101="","",IF(VLOOKUP(J101,'G-3 Multipliers'!$L$3:$N$6,3,FALSE)=0,"Spatial Data Missing",VLOOKUP(J101,'G-3 Multipliers'!$L$3:$N$6,3,FALSE)))</f>
        <v/>
      </c>
      <c r="M101" s="177" t="str">
        <f>IF(D101="","",VLOOKUP(D101,'G-6 Hedgerow Data'!$B$1:$AH$15,33,FALSE))</f>
        <v/>
      </c>
      <c r="N101" s="207" t="str">
        <f t="shared" si="9"/>
        <v/>
      </c>
      <c r="O101" s="44"/>
      <c r="P101" s="173"/>
      <c r="Q101" s="189"/>
      <c r="R101" s="179" t="str">
        <f t="shared" si="10"/>
        <v/>
      </c>
      <c r="S101" s="179" t="str">
        <f t="shared" si="11"/>
        <v/>
      </c>
      <c r="T101" s="208" t="str">
        <f t="shared" si="12"/>
        <v/>
      </c>
      <c r="U101" s="209" t="str">
        <f t="shared" si="13"/>
        <v/>
      </c>
      <c r="V101" s="182"/>
      <c r="W101" s="183"/>
      <c r="AB101" s="35" t="str">
        <f>IFERROR(INDEX('G-6 Hedgerow Data'!$BJ$3:$BJ$15,MATCH(D101,'G-6 Hedgerow Data'!$B$3:$B$15,0)),"")</f>
        <v/>
      </c>
      <c r="AE101" s="188" t="str">
        <f t="shared" si="7"/>
        <v/>
      </c>
      <c r="AF101" s="188" t="str">
        <f t="shared" si="8"/>
        <v/>
      </c>
      <c r="AH101" s="188">
        <v>92</v>
      </c>
      <c r="AJ101" s="188" t="str">
        <f t="array" ref="AJ101">IFERROR(INDEX($AH$10:$AH$258, MATCH(0, IF(TRUE=$AE$10:$AE$258, COUNTIF($AJ$9:$AJ100, $AH$10:$AH$258), ""), 0)),"")</f>
        <v/>
      </c>
      <c r="AK101" s="188" t="str">
        <f t="array" ref="AK101">IFERROR(INDEX($AH$10:$AH$258, MATCH(0, IF(TRUE=$AF$10:$AF$258, COUNTIF($AK$9:$AK100, $AH$10:$AH$258), ""), 0)),"")</f>
        <v/>
      </c>
    </row>
    <row r="102" spans="2:37" ht="13.8" x14ac:dyDescent="0.25">
      <c r="B102" s="168">
        <v>93</v>
      </c>
      <c r="C102" s="275"/>
      <c r="D102" s="275"/>
      <c r="E102" s="185"/>
      <c r="F102" s="171" t="str">
        <f>IF(D102="","",VLOOKUP(D102,'G-6 Hedgerow Data'!$B$2:$AG$15,2,FALSE))</f>
        <v/>
      </c>
      <c r="G102" s="172" t="str">
        <f>IF(D102="","",VLOOKUP(D102,'G-6 Hedgerow Data'!$B$2:$AG$15,3,FALSE))</f>
        <v/>
      </c>
      <c r="H102" s="173"/>
      <c r="I102" s="172" t="str">
        <f>IFERROR(IF(AND(F102="V.Low",OR(H102="Good",H102="Moderate")),"Error",VLOOKUP(H102,'G-1 All Habitats'!$Z$2:$AA$9,2,FALSE)),"")</f>
        <v/>
      </c>
      <c r="J102" s="186"/>
      <c r="K102" s="175" t="str">
        <f>IF(J102="","",IF(VLOOKUP(J102,'G-3 Multipliers'!$L$3:$N$6,2,FALSE)=0,"Spatial Data Missing",VLOOKUP(J102,'G-3 Multipliers'!$L$3:$N$6,2,FALSE)))</f>
        <v/>
      </c>
      <c r="L102" s="176" t="str">
        <f>IF(J102="","",IF(VLOOKUP(J102,'G-3 Multipliers'!$L$3:$N$6,3,FALSE)=0,"Spatial Data Missing",VLOOKUP(J102,'G-3 Multipliers'!$L$3:$N$6,3,FALSE)))</f>
        <v/>
      </c>
      <c r="M102" s="177" t="str">
        <f>IF(D102="","",VLOOKUP(D102,'G-6 Hedgerow Data'!$B$1:$AH$15,33,FALSE))</f>
        <v/>
      </c>
      <c r="N102" s="207" t="str">
        <f t="shared" si="9"/>
        <v/>
      </c>
      <c r="O102" s="44"/>
      <c r="P102" s="173"/>
      <c r="Q102" s="189"/>
      <c r="R102" s="179" t="str">
        <f t="shared" si="10"/>
        <v/>
      </c>
      <c r="S102" s="179" t="str">
        <f t="shared" si="11"/>
        <v/>
      </c>
      <c r="T102" s="208" t="str">
        <f t="shared" si="12"/>
        <v/>
      </c>
      <c r="U102" s="209" t="str">
        <f t="shared" si="13"/>
        <v/>
      </c>
      <c r="V102" s="182"/>
      <c r="W102" s="183"/>
      <c r="AB102" s="35" t="str">
        <f>IFERROR(INDEX('G-6 Hedgerow Data'!$BJ$3:$BJ$15,MATCH(D102,'G-6 Hedgerow Data'!$B$3:$B$15,0)),"")</f>
        <v/>
      </c>
      <c r="AE102" s="188" t="str">
        <f t="shared" si="7"/>
        <v/>
      </c>
      <c r="AF102" s="188" t="str">
        <f t="shared" si="8"/>
        <v/>
      </c>
      <c r="AH102" s="188">
        <v>93</v>
      </c>
      <c r="AJ102" s="188" t="str">
        <f t="array" ref="AJ102">IFERROR(INDEX($AH$10:$AH$258, MATCH(0, IF(TRUE=$AE$10:$AE$258, COUNTIF($AJ$9:$AJ101, $AH$10:$AH$258), ""), 0)),"")</f>
        <v/>
      </c>
      <c r="AK102" s="188" t="str">
        <f t="array" ref="AK102">IFERROR(INDEX($AH$10:$AH$258, MATCH(0, IF(TRUE=$AF$10:$AF$258, COUNTIF($AK$9:$AK101, $AH$10:$AH$258), ""), 0)),"")</f>
        <v/>
      </c>
    </row>
    <row r="103" spans="2:37" ht="13.8" x14ac:dyDescent="0.25">
      <c r="B103" s="168">
        <v>94</v>
      </c>
      <c r="C103" s="275"/>
      <c r="D103" s="275"/>
      <c r="E103" s="185"/>
      <c r="F103" s="171" t="str">
        <f>IF(D103="","",VLOOKUP(D103,'G-6 Hedgerow Data'!$B$2:$AG$15,2,FALSE))</f>
        <v/>
      </c>
      <c r="G103" s="172" t="str">
        <f>IF(D103="","",VLOOKUP(D103,'G-6 Hedgerow Data'!$B$2:$AG$15,3,FALSE))</f>
        <v/>
      </c>
      <c r="H103" s="173"/>
      <c r="I103" s="172" t="str">
        <f>IFERROR(IF(AND(F103="V.Low",OR(H103="Good",H103="Moderate")),"Error",VLOOKUP(H103,'G-1 All Habitats'!$Z$2:$AA$9,2,FALSE)),"")</f>
        <v/>
      </c>
      <c r="J103" s="186"/>
      <c r="K103" s="175" t="str">
        <f>IF(J103="","",IF(VLOOKUP(J103,'G-3 Multipliers'!$L$3:$N$6,2,FALSE)=0,"Spatial Data Missing",VLOOKUP(J103,'G-3 Multipliers'!$L$3:$N$6,2,FALSE)))</f>
        <v/>
      </c>
      <c r="L103" s="176" t="str">
        <f>IF(J103="","",IF(VLOOKUP(J103,'G-3 Multipliers'!$L$3:$N$6,3,FALSE)=0,"Spatial Data Missing",VLOOKUP(J103,'G-3 Multipliers'!$L$3:$N$6,3,FALSE)))</f>
        <v/>
      </c>
      <c r="M103" s="177" t="str">
        <f>IF(D103="","",VLOOKUP(D103,'G-6 Hedgerow Data'!$B$1:$AH$15,33,FALSE))</f>
        <v/>
      </c>
      <c r="N103" s="207" t="str">
        <f t="shared" si="9"/>
        <v/>
      </c>
      <c r="O103" s="44"/>
      <c r="P103" s="173"/>
      <c r="Q103" s="189"/>
      <c r="R103" s="179" t="str">
        <f t="shared" si="10"/>
        <v/>
      </c>
      <c r="S103" s="179" t="str">
        <f t="shared" si="11"/>
        <v/>
      </c>
      <c r="T103" s="208" t="str">
        <f t="shared" si="12"/>
        <v/>
      </c>
      <c r="U103" s="209" t="str">
        <f t="shared" si="13"/>
        <v/>
      </c>
      <c r="V103" s="182"/>
      <c r="W103" s="183"/>
      <c r="AB103" s="35" t="str">
        <f>IFERROR(INDEX('G-6 Hedgerow Data'!$BJ$3:$BJ$15,MATCH(D103,'G-6 Hedgerow Data'!$B$3:$B$15,0)),"")</f>
        <v/>
      </c>
      <c r="AE103" s="188" t="str">
        <f t="shared" si="7"/>
        <v/>
      </c>
      <c r="AF103" s="188" t="str">
        <f t="shared" si="8"/>
        <v/>
      </c>
      <c r="AH103" s="188">
        <v>94</v>
      </c>
      <c r="AJ103" s="188" t="str">
        <f t="array" ref="AJ103">IFERROR(INDEX($AH$10:$AH$258, MATCH(0, IF(TRUE=$AE$10:$AE$258, COUNTIF($AJ$9:$AJ102, $AH$10:$AH$258), ""), 0)),"")</f>
        <v/>
      </c>
      <c r="AK103" s="188" t="str">
        <f t="array" ref="AK103">IFERROR(INDEX($AH$10:$AH$258, MATCH(0, IF(TRUE=$AF$10:$AF$258, COUNTIF($AK$9:$AK102, $AH$10:$AH$258), ""), 0)),"")</f>
        <v/>
      </c>
    </row>
    <row r="104" spans="2:37" ht="13.8" x14ac:dyDescent="0.25">
      <c r="B104" s="168">
        <v>95</v>
      </c>
      <c r="C104" s="275"/>
      <c r="D104" s="275"/>
      <c r="E104" s="185"/>
      <c r="F104" s="171" t="str">
        <f>IF(D104="","",VLOOKUP(D104,'G-6 Hedgerow Data'!$B$2:$AG$15,2,FALSE))</f>
        <v/>
      </c>
      <c r="G104" s="172" t="str">
        <f>IF(D104="","",VLOOKUP(D104,'G-6 Hedgerow Data'!$B$2:$AG$15,3,FALSE))</f>
        <v/>
      </c>
      <c r="H104" s="173"/>
      <c r="I104" s="172" t="str">
        <f>IFERROR(IF(AND(F104="V.Low",OR(H104="Good",H104="Moderate")),"Error",VLOOKUP(H104,'G-1 All Habitats'!$Z$2:$AA$9,2,FALSE)),"")</f>
        <v/>
      </c>
      <c r="J104" s="186"/>
      <c r="K104" s="175" t="str">
        <f>IF(J104="","",IF(VLOOKUP(J104,'G-3 Multipliers'!$L$3:$N$6,2,FALSE)=0,"Spatial Data Missing",VLOOKUP(J104,'G-3 Multipliers'!$L$3:$N$6,2,FALSE)))</f>
        <v/>
      </c>
      <c r="L104" s="176" t="str">
        <f>IF(J104="","",IF(VLOOKUP(J104,'G-3 Multipliers'!$L$3:$N$6,3,FALSE)=0,"Spatial Data Missing",VLOOKUP(J104,'G-3 Multipliers'!$L$3:$N$6,3,FALSE)))</f>
        <v/>
      </c>
      <c r="M104" s="177" t="str">
        <f>IF(D104="","",VLOOKUP(D104,'G-6 Hedgerow Data'!$B$1:$AH$15,33,FALSE))</f>
        <v/>
      </c>
      <c r="N104" s="207" t="str">
        <f t="shared" si="9"/>
        <v/>
      </c>
      <c r="O104" s="44"/>
      <c r="P104" s="173"/>
      <c r="Q104" s="189"/>
      <c r="R104" s="179" t="str">
        <f t="shared" si="10"/>
        <v/>
      </c>
      <c r="S104" s="179" t="str">
        <f t="shared" si="11"/>
        <v/>
      </c>
      <c r="T104" s="208" t="str">
        <f t="shared" si="12"/>
        <v/>
      </c>
      <c r="U104" s="209" t="str">
        <f t="shared" si="13"/>
        <v/>
      </c>
      <c r="V104" s="182"/>
      <c r="W104" s="183"/>
      <c r="AB104" s="35" t="str">
        <f>IFERROR(INDEX('G-6 Hedgerow Data'!$BJ$3:$BJ$15,MATCH(D104,'G-6 Hedgerow Data'!$B$3:$B$15,0)),"")</f>
        <v/>
      </c>
      <c r="AE104" s="188" t="str">
        <f t="shared" si="7"/>
        <v/>
      </c>
      <c r="AF104" s="188" t="str">
        <f t="shared" si="8"/>
        <v/>
      </c>
      <c r="AH104" s="188">
        <v>95</v>
      </c>
      <c r="AJ104" s="188" t="str">
        <f t="array" ref="AJ104">IFERROR(INDEX($AH$10:$AH$258, MATCH(0, IF(TRUE=$AE$10:$AE$258, COUNTIF($AJ$9:$AJ103, $AH$10:$AH$258), ""), 0)),"")</f>
        <v/>
      </c>
      <c r="AK104" s="188" t="str">
        <f t="array" ref="AK104">IFERROR(INDEX($AH$10:$AH$258, MATCH(0, IF(TRUE=$AF$10:$AF$258, COUNTIF($AK$9:$AK103, $AH$10:$AH$258), ""), 0)),"")</f>
        <v/>
      </c>
    </row>
    <row r="105" spans="2:37" ht="13.8" x14ac:dyDescent="0.25">
      <c r="B105" s="168">
        <v>96</v>
      </c>
      <c r="C105" s="275"/>
      <c r="D105" s="275"/>
      <c r="E105" s="185"/>
      <c r="F105" s="171" t="str">
        <f>IF(D105="","",VLOOKUP(D105,'G-6 Hedgerow Data'!$B$2:$AG$15,2,FALSE))</f>
        <v/>
      </c>
      <c r="G105" s="172" t="str">
        <f>IF(D105="","",VLOOKUP(D105,'G-6 Hedgerow Data'!$B$2:$AG$15,3,FALSE))</f>
        <v/>
      </c>
      <c r="H105" s="173"/>
      <c r="I105" s="172" t="str">
        <f>IFERROR(IF(AND(F105="V.Low",OR(H105="Good",H105="Moderate")),"Error",VLOOKUP(H105,'G-1 All Habitats'!$Z$2:$AA$9,2,FALSE)),"")</f>
        <v/>
      </c>
      <c r="J105" s="186"/>
      <c r="K105" s="175" t="str">
        <f>IF(J105="","",IF(VLOOKUP(J105,'G-3 Multipliers'!$L$3:$N$6,2,FALSE)=0,"Spatial Data Missing",VLOOKUP(J105,'G-3 Multipliers'!$L$3:$N$6,2,FALSE)))</f>
        <v/>
      </c>
      <c r="L105" s="176" t="str">
        <f>IF(J105="","",IF(VLOOKUP(J105,'G-3 Multipliers'!$L$3:$N$6,3,FALSE)=0,"Spatial Data Missing",VLOOKUP(J105,'G-3 Multipliers'!$L$3:$N$6,3,FALSE)))</f>
        <v/>
      </c>
      <c r="M105" s="177" t="str">
        <f>IF(D105="","",VLOOKUP(D105,'G-6 Hedgerow Data'!$B$1:$AH$15,33,FALSE))</f>
        <v/>
      </c>
      <c r="N105" s="207" t="str">
        <f t="shared" si="9"/>
        <v/>
      </c>
      <c r="O105" s="44"/>
      <c r="P105" s="173"/>
      <c r="Q105" s="189"/>
      <c r="R105" s="179" t="str">
        <f t="shared" si="10"/>
        <v/>
      </c>
      <c r="S105" s="179" t="str">
        <f t="shared" si="11"/>
        <v/>
      </c>
      <c r="T105" s="208" t="str">
        <f t="shared" si="12"/>
        <v/>
      </c>
      <c r="U105" s="209" t="str">
        <f t="shared" si="13"/>
        <v/>
      </c>
      <c r="V105" s="182"/>
      <c r="W105" s="183"/>
      <c r="AB105" s="35" t="str">
        <f>IFERROR(INDEX('G-6 Hedgerow Data'!$BJ$3:$BJ$15,MATCH(D105,'G-6 Hedgerow Data'!$B$3:$B$15,0)),"")</f>
        <v/>
      </c>
      <c r="AE105" s="188" t="str">
        <f t="shared" si="7"/>
        <v/>
      </c>
      <c r="AF105" s="188" t="str">
        <f t="shared" si="8"/>
        <v/>
      </c>
      <c r="AH105" s="188">
        <v>96</v>
      </c>
      <c r="AJ105" s="188" t="str">
        <f t="array" ref="AJ105">IFERROR(INDEX($AH$10:$AH$258, MATCH(0, IF(TRUE=$AE$10:$AE$258, COUNTIF($AJ$9:$AJ104, $AH$10:$AH$258), ""), 0)),"")</f>
        <v/>
      </c>
      <c r="AK105" s="188" t="str">
        <f t="array" ref="AK105">IFERROR(INDEX($AH$10:$AH$258, MATCH(0, IF(TRUE=$AF$10:$AF$258, COUNTIF($AK$9:$AK104, $AH$10:$AH$258), ""), 0)),"")</f>
        <v/>
      </c>
    </row>
    <row r="106" spans="2:37" ht="13.8" x14ac:dyDescent="0.25">
      <c r="B106" s="168">
        <v>97</v>
      </c>
      <c r="C106" s="275"/>
      <c r="D106" s="275"/>
      <c r="E106" s="185"/>
      <c r="F106" s="171" t="str">
        <f>IF(D106="","",VLOOKUP(D106,'G-6 Hedgerow Data'!$B$2:$AG$15,2,FALSE))</f>
        <v/>
      </c>
      <c r="G106" s="172" t="str">
        <f>IF(D106="","",VLOOKUP(D106,'G-6 Hedgerow Data'!$B$2:$AG$15,3,FALSE))</f>
        <v/>
      </c>
      <c r="H106" s="173"/>
      <c r="I106" s="172" t="str">
        <f>IFERROR(IF(AND(F106="V.Low",OR(H106="Good",H106="Moderate")),"Error",VLOOKUP(H106,'G-1 All Habitats'!$Z$2:$AA$9,2,FALSE)),"")</f>
        <v/>
      </c>
      <c r="J106" s="186"/>
      <c r="K106" s="175" t="str">
        <f>IF(J106="","",IF(VLOOKUP(J106,'G-3 Multipliers'!$L$3:$N$6,2,FALSE)=0,"Spatial Data Missing",VLOOKUP(J106,'G-3 Multipliers'!$L$3:$N$6,2,FALSE)))</f>
        <v/>
      </c>
      <c r="L106" s="176" t="str">
        <f>IF(J106="","",IF(VLOOKUP(J106,'G-3 Multipliers'!$L$3:$N$6,3,FALSE)=0,"Spatial Data Missing",VLOOKUP(J106,'G-3 Multipliers'!$L$3:$N$6,3,FALSE)))</f>
        <v/>
      </c>
      <c r="M106" s="177" t="str">
        <f>IF(D106="","",VLOOKUP(D106,'G-6 Hedgerow Data'!$B$1:$AH$15,33,FALSE))</f>
        <v/>
      </c>
      <c r="N106" s="207" t="str">
        <f t="shared" si="9"/>
        <v/>
      </c>
      <c r="O106" s="44"/>
      <c r="P106" s="173"/>
      <c r="Q106" s="189"/>
      <c r="R106" s="179" t="str">
        <f t="shared" si="10"/>
        <v/>
      </c>
      <c r="S106" s="179" t="str">
        <f t="shared" si="11"/>
        <v/>
      </c>
      <c r="T106" s="208" t="str">
        <f t="shared" si="12"/>
        <v/>
      </c>
      <c r="U106" s="209" t="str">
        <f t="shared" si="13"/>
        <v/>
      </c>
      <c r="V106" s="182"/>
      <c r="W106" s="183"/>
      <c r="AB106" s="35" t="str">
        <f>IFERROR(INDEX('G-6 Hedgerow Data'!$BJ$3:$BJ$15,MATCH(D106,'G-6 Hedgerow Data'!$B$3:$B$15,0)),"")</f>
        <v/>
      </c>
      <c r="AE106" s="188" t="str">
        <f t="shared" si="7"/>
        <v/>
      </c>
      <c r="AF106" s="188" t="str">
        <f t="shared" si="8"/>
        <v/>
      </c>
      <c r="AH106" s="188">
        <v>97</v>
      </c>
      <c r="AJ106" s="188" t="str">
        <f t="array" ref="AJ106">IFERROR(INDEX($AH$10:$AH$258, MATCH(0, IF(TRUE=$AE$10:$AE$258, COUNTIF($AJ$9:$AJ105, $AH$10:$AH$258), ""), 0)),"")</f>
        <v/>
      </c>
      <c r="AK106" s="188" t="str">
        <f t="array" ref="AK106">IFERROR(INDEX($AH$10:$AH$258, MATCH(0, IF(TRUE=$AF$10:$AF$258, COUNTIF($AK$9:$AK105, $AH$10:$AH$258), ""), 0)),"")</f>
        <v/>
      </c>
    </row>
    <row r="107" spans="2:37" ht="13.8" x14ac:dyDescent="0.25">
      <c r="B107" s="168">
        <v>98</v>
      </c>
      <c r="C107" s="275"/>
      <c r="D107" s="275"/>
      <c r="E107" s="185"/>
      <c r="F107" s="171" t="str">
        <f>IF(D107="","",VLOOKUP(D107,'G-6 Hedgerow Data'!$B$2:$AG$15,2,FALSE))</f>
        <v/>
      </c>
      <c r="G107" s="172" t="str">
        <f>IF(D107="","",VLOOKUP(D107,'G-6 Hedgerow Data'!$B$2:$AG$15,3,FALSE))</f>
        <v/>
      </c>
      <c r="H107" s="173"/>
      <c r="I107" s="172" t="str">
        <f>IFERROR(IF(AND(F107="V.Low",OR(H107="Good",H107="Moderate")),"Error",VLOOKUP(H107,'G-1 All Habitats'!$Z$2:$AA$9,2,FALSE)),"")</f>
        <v/>
      </c>
      <c r="J107" s="186"/>
      <c r="K107" s="175" t="str">
        <f>IF(J107="","",IF(VLOOKUP(J107,'G-3 Multipliers'!$L$3:$N$6,2,FALSE)=0,"Spatial Data Missing",VLOOKUP(J107,'G-3 Multipliers'!$L$3:$N$6,2,FALSE)))</f>
        <v/>
      </c>
      <c r="L107" s="176" t="str">
        <f>IF(J107="","",IF(VLOOKUP(J107,'G-3 Multipliers'!$L$3:$N$6,3,FALSE)=0,"Spatial Data Missing",VLOOKUP(J107,'G-3 Multipliers'!$L$3:$N$6,3,FALSE)))</f>
        <v/>
      </c>
      <c r="M107" s="177" t="str">
        <f>IF(D107="","",VLOOKUP(D107,'G-6 Hedgerow Data'!$B$1:$AH$15,33,FALSE))</f>
        <v/>
      </c>
      <c r="N107" s="207" t="str">
        <f t="shared" si="9"/>
        <v/>
      </c>
      <c r="O107" s="44"/>
      <c r="P107" s="173"/>
      <c r="Q107" s="189"/>
      <c r="R107" s="179" t="str">
        <f t="shared" si="10"/>
        <v/>
      </c>
      <c r="S107" s="179" t="str">
        <f t="shared" si="11"/>
        <v/>
      </c>
      <c r="T107" s="208" t="str">
        <f t="shared" si="12"/>
        <v/>
      </c>
      <c r="U107" s="209" t="str">
        <f t="shared" si="13"/>
        <v/>
      </c>
      <c r="V107" s="182"/>
      <c r="W107" s="183"/>
      <c r="AB107" s="35" t="str">
        <f>IFERROR(INDEX('G-6 Hedgerow Data'!$BJ$3:$BJ$15,MATCH(D107,'G-6 Hedgerow Data'!$B$3:$B$15,0)),"")</f>
        <v/>
      </c>
      <c r="AE107" s="188" t="str">
        <f t="shared" si="7"/>
        <v/>
      </c>
      <c r="AF107" s="188" t="str">
        <f t="shared" si="8"/>
        <v/>
      </c>
      <c r="AH107" s="188">
        <v>98</v>
      </c>
      <c r="AJ107" s="188" t="str">
        <f t="array" ref="AJ107">IFERROR(INDEX($AH$10:$AH$258, MATCH(0, IF(TRUE=$AE$10:$AE$258, COUNTIF($AJ$9:$AJ106, $AH$10:$AH$258), ""), 0)),"")</f>
        <v/>
      </c>
      <c r="AK107" s="188" t="str">
        <f t="array" ref="AK107">IFERROR(INDEX($AH$10:$AH$258, MATCH(0, IF(TRUE=$AF$10:$AF$258, COUNTIF($AK$9:$AK106, $AH$10:$AH$258), ""), 0)),"")</f>
        <v/>
      </c>
    </row>
    <row r="108" spans="2:37" ht="13.8" x14ac:dyDescent="0.25">
      <c r="B108" s="168">
        <v>99</v>
      </c>
      <c r="C108" s="275"/>
      <c r="D108" s="275"/>
      <c r="E108" s="185"/>
      <c r="F108" s="171" t="str">
        <f>IF(D108="","",VLOOKUP(D108,'G-6 Hedgerow Data'!$B$2:$AG$15,2,FALSE))</f>
        <v/>
      </c>
      <c r="G108" s="172" t="str">
        <f>IF(D108="","",VLOOKUP(D108,'G-6 Hedgerow Data'!$B$2:$AG$15,3,FALSE))</f>
        <v/>
      </c>
      <c r="H108" s="173"/>
      <c r="I108" s="172" t="str">
        <f>IFERROR(IF(AND(F108="V.Low",OR(H108="Good",H108="Moderate")),"Error",VLOOKUP(H108,'G-1 All Habitats'!$Z$2:$AA$9,2,FALSE)),"")</f>
        <v/>
      </c>
      <c r="J108" s="186"/>
      <c r="K108" s="175" t="str">
        <f>IF(J108="","",IF(VLOOKUP(J108,'G-3 Multipliers'!$L$3:$N$6,2,FALSE)=0,"Spatial Data Missing",VLOOKUP(J108,'G-3 Multipliers'!$L$3:$N$6,2,FALSE)))</f>
        <v/>
      </c>
      <c r="L108" s="176" t="str">
        <f>IF(J108="","",IF(VLOOKUP(J108,'G-3 Multipliers'!$L$3:$N$6,3,FALSE)=0,"Spatial Data Missing",VLOOKUP(J108,'G-3 Multipliers'!$L$3:$N$6,3,FALSE)))</f>
        <v/>
      </c>
      <c r="M108" s="177" t="str">
        <f>IF(D108="","",VLOOKUP(D108,'G-6 Hedgerow Data'!$B$1:$AH$15,33,FALSE))</f>
        <v/>
      </c>
      <c r="N108" s="207" t="str">
        <f t="shared" si="9"/>
        <v/>
      </c>
      <c r="O108" s="44"/>
      <c r="P108" s="173"/>
      <c r="Q108" s="189"/>
      <c r="R108" s="179" t="str">
        <f t="shared" si="10"/>
        <v/>
      </c>
      <c r="S108" s="179" t="str">
        <f t="shared" si="11"/>
        <v/>
      </c>
      <c r="T108" s="208" t="str">
        <f t="shared" si="12"/>
        <v/>
      </c>
      <c r="U108" s="209" t="str">
        <f t="shared" si="13"/>
        <v/>
      </c>
      <c r="V108" s="182"/>
      <c r="W108" s="183"/>
      <c r="AB108" s="35" t="str">
        <f>IFERROR(INDEX('G-6 Hedgerow Data'!$BJ$3:$BJ$15,MATCH(D108,'G-6 Hedgerow Data'!$B$3:$B$15,0)),"")</f>
        <v/>
      </c>
      <c r="AE108" s="188" t="str">
        <f t="shared" si="7"/>
        <v/>
      </c>
      <c r="AF108" s="188" t="str">
        <f t="shared" si="8"/>
        <v/>
      </c>
      <c r="AH108" s="188">
        <v>99</v>
      </c>
      <c r="AJ108" s="188" t="str">
        <f t="array" ref="AJ108">IFERROR(INDEX($AH$10:$AH$258, MATCH(0, IF(TRUE=$AE$10:$AE$258, COUNTIF($AJ$9:$AJ107, $AH$10:$AH$258), ""), 0)),"")</f>
        <v/>
      </c>
      <c r="AK108" s="188" t="str">
        <f t="array" ref="AK108">IFERROR(INDEX($AH$10:$AH$258, MATCH(0, IF(TRUE=$AF$10:$AF$258, COUNTIF($AK$9:$AK107, $AH$10:$AH$258), ""), 0)),"")</f>
        <v/>
      </c>
    </row>
    <row r="109" spans="2:37" ht="13.8" x14ac:dyDescent="0.25">
      <c r="B109" s="168">
        <v>100</v>
      </c>
      <c r="C109" s="275"/>
      <c r="D109" s="275"/>
      <c r="E109" s="185"/>
      <c r="F109" s="171" t="str">
        <f>IF(D109="","",VLOOKUP(D109,'G-6 Hedgerow Data'!$B$2:$AG$15,2,FALSE))</f>
        <v/>
      </c>
      <c r="G109" s="172" t="str">
        <f>IF(D109="","",VLOOKUP(D109,'G-6 Hedgerow Data'!$B$2:$AG$15,3,FALSE))</f>
        <v/>
      </c>
      <c r="H109" s="173"/>
      <c r="I109" s="172" t="str">
        <f>IFERROR(IF(AND(F109="V.Low",OR(H109="Good",H109="Moderate")),"Error",VLOOKUP(H109,'G-1 All Habitats'!$Z$2:$AA$9,2,FALSE)),"")</f>
        <v/>
      </c>
      <c r="J109" s="186"/>
      <c r="K109" s="175" t="str">
        <f>IF(J109="","",IF(VLOOKUP(J109,'G-3 Multipliers'!$L$3:$N$6,2,FALSE)=0,"Spatial Data Missing",VLOOKUP(J109,'G-3 Multipliers'!$L$3:$N$6,2,FALSE)))</f>
        <v/>
      </c>
      <c r="L109" s="176" t="str">
        <f>IF(J109="","",IF(VLOOKUP(J109,'G-3 Multipliers'!$L$3:$N$6,3,FALSE)=0,"Spatial Data Missing",VLOOKUP(J109,'G-3 Multipliers'!$L$3:$N$6,3,FALSE)))</f>
        <v/>
      </c>
      <c r="M109" s="177" t="str">
        <f>IF(D109="","",VLOOKUP(D109,'G-6 Hedgerow Data'!$B$1:$AH$15,33,FALSE))</f>
        <v/>
      </c>
      <c r="N109" s="207" t="str">
        <f t="shared" si="9"/>
        <v/>
      </c>
      <c r="O109" s="44"/>
      <c r="P109" s="173"/>
      <c r="Q109" s="189"/>
      <c r="R109" s="179" t="str">
        <f t="shared" si="10"/>
        <v/>
      </c>
      <c r="S109" s="179" t="str">
        <f t="shared" si="11"/>
        <v/>
      </c>
      <c r="T109" s="208" t="str">
        <f t="shared" si="12"/>
        <v/>
      </c>
      <c r="U109" s="209" t="str">
        <f t="shared" si="13"/>
        <v/>
      </c>
      <c r="V109" s="182"/>
      <c r="W109" s="183"/>
      <c r="AB109" s="35" t="str">
        <f>IFERROR(INDEX('G-6 Hedgerow Data'!$BJ$3:$BJ$15,MATCH(D109,'G-6 Hedgerow Data'!$B$3:$B$15,0)),"")</f>
        <v/>
      </c>
      <c r="AE109" s="188" t="str">
        <f t="shared" si="7"/>
        <v/>
      </c>
      <c r="AF109" s="188" t="str">
        <f t="shared" si="8"/>
        <v/>
      </c>
      <c r="AH109" s="188">
        <v>100</v>
      </c>
      <c r="AJ109" s="188" t="str">
        <f t="array" ref="AJ109">IFERROR(INDEX($AH$10:$AH$258, MATCH(0, IF(TRUE=$AE$10:$AE$258, COUNTIF($AJ$9:$AJ108, $AH$10:$AH$258), ""), 0)),"")</f>
        <v/>
      </c>
      <c r="AK109" s="188" t="str">
        <f t="array" ref="AK109">IFERROR(INDEX($AH$10:$AH$258, MATCH(0, IF(TRUE=$AF$10:$AF$258, COUNTIF($AK$9:$AK108, $AH$10:$AH$258), ""), 0)),"")</f>
        <v/>
      </c>
    </row>
    <row r="110" spans="2:37" ht="13.8" x14ac:dyDescent="0.25">
      <c r="B110" s="168">
        <v>101</v>
      </c>
      <c r="C110" s="275"/>
      <c r="D110" s="275"/>
      <c r="E110" s="185"/>
      <c r="F110" s="171" t="str">
        <f>IF(D110="","",VLOOKUP(D110,'G-6 Hedgerow Data'!$B$2:$AG$15,2,FALSE))</f>
        <v/>
      </c>
      <c r="G110" s="172" t="str">
        <f>IF(D110="","",VLOOKUP(D110,'G-6 Hedgerow Data'!$B$2:$AG$15,3,FALSE))</f>
        <v/>
      </c>
      <c r="H110" s="173"/>
      <c r="I110" s="172" t="str">
        <f>IFERROR(IF(AND(F110="V.Low",OR(H110="Good",H110="Moderate")),"Error",VLOOKUP(H110,'G-1 All Habitats'!$Z$2:$AA$9,2,FALSE)),"")</f>
        <v/>
      </c>
      <c r="J110" s="186"/>
      <c r="K110" s="175" t="str">
        <f>IF(J110="","",IF(VLOOKUP(J110,'G-3 Multipliers'!$L$3:$N$6,2,FALSE)=0,"Spatial Data Missing",VLOOKUP(J110,'G-3 Multipliers'!$L$3:$N$6,2,FALSE)))</f>
        <v/>
      </c>
      <c r="L110" s="176" t="str">
        <f>IF(J110="","",IF(VLOOKUP(J110,'G-3 Multipliers'!$L$3:$N$6,3,FALSE)=0,"Spatial Data Missing",VLOOKUP(J110,'G-3 Multipliers'!$L$3:$N$6,3,FALSE)))</f>
        <v/>
      </c>
      <c r="M110" s="177" t="str">
        <f>IF(D110="","",VLOOKUP(D110,'G-6 Hedgerow Data'!$B$1:$AH$15,33,FALSE))</f>
        <v/>
      </c>
      <c r="N110" s="207" t="str">
        <f t="shared" si="9"/>
        <v/>
      </c>
      <c r="O110" s="44"/>
      <c r="P110" s="173"/>
      <c r="Q110" s="189"/>
      <c r="R110" s="179" t="str">
        <f t="shared" si="10"/>
        <v/>
      </c>
      <c r="S110" s="179" t="str">
        <f t="shared" si="11"/>
        <v/>
      </c>
      <c r="T110" s="208" t="str">
        <f t="shared" si="12"/>
        <v/>
      </c>
      <c r="U110" s="209" t="str">
        <f t="shared" si="13"/>
        <v/>
      </c>
      <c r="V110" s="182"/>
      <c r="W110" s="183"/>
      <c r="AB110" s="35" t="str">
        <f>IFERROR(INDEX('G-6 Hedgerow Data'!$BJ$3:$BJ$15,MATCH(D110,'G-6 Hedgerow Data'!$B$3:$B$15,0)),"")</f>
        <v/>
      </c>
      <c r="AE110" s="188" t="str">
        <f t="shared" si="7"/>
        <v/>
      </c>
      <c r="AF110" s="188" t="str">
        <f t="shared" si="8"/>
        <v/>
      </c>
      <c r="AH110" s="188">
        <v>101</v>
      </c>
      <c r="AJ110" s="188" t="str">
        <f t="array" ref="AJ110">IFERROR(INDEX($AH$10:$AH$258, MATCH(0, IF(TRUE=$AE$10:$AE$258, COUNTIF($AJ$9:$AJ109, $AH$10:$AH$258), ""), 0)),"")</f>
        <v/>
      </c>
      <c r="AK110" s="188" t="str">
        <f t="array" ref="AK110">IFERROR(INDEX($AH$10:$AH$258, MATCH(0, IF(TRUE=$AF$10:$AF$258, COUNTIF($AK$9:$AK109, $AH$10:$AH$258), ""), 0)),"")</f>
        <v/>
      </c>
    </row>
    <row r="111" spans="2:37" ht="13.8" x14ac:dyDescent="0.25">
      <c r="B111" s="168">
        <v>102</v>
      </c>
      <c r="C111" s="275"/>
      <c r="D111" s="275"/>
      <c r="E111" s="185"/>
      <c r="F111" s="171" t="str">
        <f>IF(D111="","",VLOOKUP(D111,'G-6 Hedgerow Data'!$B$2:$AG$15,2,FALSE))</f>
        <v/>
      </c>
      <c r="G111" s="172" t="str">
        <f>IF(D111="","",VLOOKUP(D111,'G-6 Hedgerow Data'!$B$2:$AG$15,3,FALSE))</f>
        <v/>
      </c>
      <c r="H111" s="173"/>
      <c r="I111" s="172" t="str">
        <f>IFERROR(IF(AND(F111="V.Low",OR(H111="Good",H111="Moderate")),"Error",VLOOKUP(H111,'G-1 All Habitats'!$Z$2:$AA$9,2,FALSE)),"")</f>
        <v/>
      </c>
      <c r="J111" s="186"/>
      <c r="K111" s="175" t="str">
        <f>IF(J111="","",IF(VLOOKUP(J111,'G-3 Multipliers'!$L$3:$N$6,2,FALSE)=0,"Spatial Data Missing",VLOOKUP(J111,'G-3 Multipliers'!$L$3:$N$6,2,FALSE)))</f>
        <v/>
      </c>
      <c r="L111" s="176" t="str">
        <f>IF(J111="","",IF(VLOOKUP(J111,'G-3 Multipliers'!$L$3:$N$6,3,FALSE)=0,"Spatial Data Missing",VLOOKUP(J111,'G-3 Multipliers'!$L$3:$N$6,3,FALSE)))</f>
        <v/>
      </c>
      <c r="M111" s="177" t="str">
        <f>IF(D111="","",VLOOKUP(D111,'G-6 Hedgerow Data'!$B$1:$AH$15,33,FALSE))</f>
        <v/>
      </c>
      <c r="N111" s="207" t="str">
        <f t="shared" si="9"/>
        <v/>
      </c>
      <c r="O111" s="44"/>
      <c r="P111" s="173"/>
      <c r="Q111" s="189"/>
      <c r="R111" s="179" t="str">
        <f t="shared" si="10"/>
        <v/>
      </c>
      <c r="S111" s="179" t="str">
        <f t="shared" si="11"/>
        <v/>
      </c>
      <c r="T111" s="208" t="str">
        <f t="shared" si="12"/>
        <v/>
      </c>
      <c r="U111" s="209" t="str">
        <f t="shared" si="13"/>
        <v/>
      </c>
      <c r="V111" s="182"/>
      <c r="W111" s="183"/>
      <c r="AB111" s="35" t="str">
        <f>IFERROR(INDEX('G-6 Hedgerow Data'!$BJ$3:$BJ$15,MATCH(D111,'G-6 Hedgerow Data'!$B$3:$B$15,0)),"")</f>
        <v/>
      </c>
      <c r="AE111" s="188" t="str">
        <f t="shared" si="7"/>
        <v/>
      </c>
      <c r="AF111" s="188" t="str">
        <f t="shared" si="8"/>
        <v/>
      </c>
      <c r="AH111" s="188">
        <v>102</v>
      </c>
      <c r="AJ111" s="188" t="str">
        <f t="array" ref="AJ111">IFERROR(INDEX($AH$10:$AH$258, MATCH(0, IF(TRUE=$AE$10:$AE$258, COUNTIF($AJ$9:$AJ110, $AH$10:$AH$258), ""), 0)),"")</f>
        <v/>
      </c>
      <c r="AK111" s="188" t="str">
        <f t="array" ref="AK111">IFERROR(INDEX($AH$10:$AH$258, MATCH(0, IF(TRUE=$AF$10:$AF$258, COUNTIF($AK$9:$AK110, $AH$10:$AH$258), ""), 0)),"")</f>
        <v/>
      </c>
    </row>
    <row r="112" spans="2:37" ht="13.8" x14ac:dyDescent="0.25">
      <c r="B112" s="168">
        <v>103</v>
      </c>
      <c r="C112" s="275"/>
      <c r="D112" s="275"/>
      <c r="E112" s="185"/>
      <c r="F112" s="171" t="str">
        <f>IF(D112="","",VLOOKUP(D112,'G-6 Hedgerow Data'!$B$2:$AG$15,2,FALSE))</f>
        <v/>
      </c>
      <c r="G112" s="172" t="str">
        <f>IF(D112="","",VLOOKUP(D112,'G-6 Hedgerow Data'!$B$2:$AG$15,3,FALSE))</f>
        <v/>
      </c>
      <c r="H112" s="173"/>
      <c r="I112" s="172" t="str">
        <f>IFERROR(IF(AND(F112="V.Low",OR(H112="Good",H112="Moderate")),"Error",VLOOKUP(H112,'G-1 All Habitats'!$Z$2:$AA$9,2,FALSE)),"")</f>
        <v/>
      </c>
      <c r="J112" s="186"/>
      <c r="K112" s="175" t="str">
        <f>IF(J112="","",IF(VLOOKUP(J112,'G-3 Multipliers'!$L$3:$N$6,2,FALSE)=0,"Spatial Data Missing",VLOOKUP(J112,'G-3 Multipliers'!$L$3:$N$6,2,FALSE)))</f>
        <v/>
      </c>
      <c r="L112" s="176" t="str">
        <f>IF(J112="","",IF(VLOOKUP(J112,'G-3 Multipliers'!$L$3:$N$6,3,FALSE)=0,"Spatial Data Missing",VLOOKUP(J112,'G-3 Multipliers'!$L$3:$N$6,3,FALSE)))</f>
        <v/>
      </c>
      <c r="M112" s="177" t="str">
        <f>IF(D112="","",VLOOKUP(D112,'G-6 Hedgerow Data'!$B$1:$AH$15,33,FALSE))</f>
        <v/>
      </c>
      <c r="N112" s="207" t="str">
        <f t="shared" si="9"/>
        <v/>
      </c>
      <c r="O112" s="44"/>
      <c r="P112" s="173"/>
      <c r="Q112" s="189"/>
      <c r="R112" s="179" t="str">
        <f t="shared" si="10"/>
        <v/>
      </c>
      <c r="S112" s="179" t="str">
        <f t="shared" si="11"/>
        <v/>
      </c>
      <c r="T112" s="208" t="str">
        <f t="shared" si="12"/>
        <v/>
      </c>
      <c r="U112" s="209" t="str">
        <f t="shared" si="13"/>
        <v/>
      </c>
      <c r="V112" s="182"/>
      <c r="W112" s="183"/>
      <c r="AB112" s="35" t="str">
        <f>IFERROR(INDEX('G-6 Hedgerow Data'!$BJ$3:$BJ$15,MATCH(D112,'G-6 Hedgerow Data'!$B$3:$B$15,0)),"")</f>
        <v/>
      </c>
      <c r="AE112" s="188" t="str">
        <f t="shared" si="7"/>
        <v/>
      </c>
      <c r="AF112" s="188" t="str">
        <f t="shared" si="8"/>
        <v/>
      </c>
      <c r="AH112" s="188">
        <v>103</v>
      </c>
      <c r="AJ112" s="188" t="str">
        <f t="array" ref="AJ112">IFERROR(INDEX($AH$10:$AH$258, MATCH(0, IF(TRUE=$AE$10:$AE$258, COUNTIF($AJ$9:$AJ111, $AH$10:$AH$258), ""), 0)),"")</f>
        <v/>
      </c>
      <c r="AK112" s="188" t="str">
        <f t="array" ref="AK112">IFERROR(INDEX($AH$10:$AH$258, MATCH(0, IF(TRUE=$AF$10:$AF$258, COUNTIF($AK$9:$AK111, $AH$10:$AH$258), ""), 0)),"")</f>
        <v/>
      </c>
    </row>
    <row r="113" spans="2:37" ht="13.8" x14ac:dyDescent="0.25">
      <c r="B113" s="168">
        <v>104</v>
      </c>
      <c r="C113" s="275"/>
      <c r="D113" s="275"/>
      <c r="E113" s="185"/>
      <c r="F113" s="171" t="str">
        <f>IF(D113="","",VLOOKUP(D113,'G-6 Hedgerow Data'!$B$2:$AG$15,2,FALSE))</f>
        <v/>
      </c>
      <c r="G113" s="172" t="str">
        <f>IF(D113="","",VLOOKUP(D113,'G-6 Hedgerow Data'!$B$2:$AG$15,3,FALSE))</f>
        <v/>
      </c>
      <c r="H113" s="173"/>
      <c r="I113" s="172" t="str">
        <f>IFERROR(IF(AND(F113="V.Low",OR(H113="Good",H113="Moderate")),"Error",VLOOKUP(H113,'G-1 All Habitats'!$Z$2:$AA$9,2,FALSE)),"")</f>
        <v/>
      </c>
      <c r="J113" s="186"/>
      <c r="K113" s="175" t="str">
        <f>IF(J113="","",IF(VLOOKUP(J113,'G-3 Multipliers'!$L$3:$N$6,2,FALSE)=0,"Spatial Data Missing",VLOOKUP(J113,'G-3 Multipliers'!$L$3:$N$6,2,FALSE)))</f>
        <v/>
      </c>
      <c r="L113" s="176" t="str">
        <f>IF(J113="","",IF(VLOOKUP(J113,'G-3 Multipliers'!$L$3:$N$6,3,FALSE)=0,"Spatial Data Missing",VLOOKUP(J113,'G-3 Multipliers'!$L$3:$N$6,3,FALSE)))</f>
        <v/>
      </c>
      <c r="M113" s="177" t="str">
        <f>IF(D113="","",VLOOKUP(D113,'G-6 Hedgerow Data'!$B$1:$AH$15,33,FALSE))</f>
        <v/>
      </c>
      <c r="N113" s="207" t="str">
        <f t="shared" si="9"/>
        <v/>
      </c>
      <c r="O113" s="44"/>
      <c r="P113" s="173"/>
      <c r="Q113" s="189"/>
      <c r="R113" s="179" t="str">
        <f t="shared" si="10"/>
        <v/>
      </c>
      <c r="S113" s="179" t="str">
        <f t="shared" si="11"/>
        <v/>
      </c>
      <c r="T113" s="208" t="str">
        <f t="shared" si="12"/>
        <v/>
      </c>
      <c r="U113" s="209" t="str">
        <f t="shared" si="13"/>
        <v/>
      </c>
      <c r="V113" s="182"/>
      <c r="W113" s="183"/>
      <c r="AB113" s="35" t="str">
        <f>IFERROR(INDEX('G-6 Hedgerow Data'!$BJ$3:$BJ$15,MATCH(D113,'G-6 Hedgerow Data'!$B$3:$B$15,0)),"")</f>
        <v/>
      </c>
      <c r="AE113" s="188" t="str">
        <f t="shared" si="7"/>
        <v/>
      </c>
      <c r="AF113" s="188" t="str">
        <f t="shared" si="8"/>
        <v/>
      </c>
      <c r="AH113" s="188">
        <v>104</v>
      </c>
      <c r="AJ113" s="188" t="str">
        <f t="array" ref="AJ113">IFERROR(INDEX($AH$10:$AH$258, MATCH(0, IF(TRUE=$AE$10:$AE$258, COUNTIF($AJ$9:$AJ112, $AH$10:$AH$258), ""), 0)),"")</f>
        <v/>
      </c>
      <c r="AK113" s="188" t="str">
        <f t="array" ref="AK113">IFERROR(INDEX($AH$10:$AH$258, MATCH(0, IF(TRUE=$AF$10:$AF$258, COUNTIF($AK$9:$AK112, $AH$10:$AH$258), ""), 0)),"")</f>
        <v/>
      </c>
    </row>
    <row r="114" spans="2:37" ht="13.8" x14ac:dyDescent="0.25">
      <c r="B114" s="168">
        <v>105</v>
      </c>
      <c r="C114" s="275"/>
      <c r="D114" s="275"/>
      <c r="E114" s="185"/>
      <c r="F114" s="171" t="str">
        <f>IF(D114="","",VLOOKUP(D114,'G-6 Hedgerow Data'!$B$2:$AG$15,2,FALSE))</f>
        <v/>
      </c>
      <c r="G114" s="172" t="str">
        <f>IF(D114="","",VLOOKUP(D114,'G-6 Hedgerow Data'!$B$2:$AG$15,3,FALSE))</f>
        <v/>
      </c>
      <c r="H114" s="173"/>
      <c r="I114" s="172" t="str">
        <f>IFERROR(IF(AND(F114="V.Low",OR(H114="Good",H114="Moderate")),"Error",VLOOKUP(H114,'G-1 All Habitats'!$Z$2:$AA$9,2,FALSE)),"")</f>
        <v/>
      </c>
      <c r="J114" s="186"/>
      <c r="K114" s="175" t="str">
        <f>IF(J114="","",IF(VLOOKUP(J114,'G-3 Multipliers'!$L$3:$N$6,2,FALSE)=0,"Spatial Data Missing",VLOOKUP(J114,'G-3 Multipliers'!$L$3:$N$6,2,FALSE)))</f>
        <v/>
      </c>
      <c r="L114" s="176" t="str">
        <f>IF(J114="","",IF(VLOOKUP(J114,'G-3 Multipliers'!$L$3:$N$6,3,FALSE)=0,"Spatial Data Missing",VLOOKUP(J114,'G-3 Multipliers'!$L$3:$N$6,3,FALSE)))</f>
        <v/>
      </c>
      <c r="M114" s="177" t="str">
        <f>IF(D114="","",VLOOKUP(D114,'G-6 Hedgerow Data'!$B$1:$AH$15,33,FALSE))</f>
        <v/>
      </c>
      <c r="N114" s="207" t="str">
        <f t="shared" si="9"/>
        <v/>
      </c>
      <c r="O114" s="44"/>
      <c r="P114" s="173"/>
      <c r="Q114" s="189"/>
      <c r="R114" s="179" t="str">
        <f t="shared" si="10"/>
        <v/>
      </c>
      <c r="S114" s="179" t="str">
        <f t="shared" si="11"/>
        <v/>
      </c>
      <c r="T114" s="208" t="str">
        <f t="shared" si="12"/>
        <v/>
      </c>
      <c r="U114" s="209" t="str">
        <f t="shared" si="13"/>
        <v/>
      </c>
      <c r="V114" s="182"/>
      <c r="W114" s="183"/>
      <c r="AB114" s="35" t="str">
        <f>IFERROR(INDEX('G-6 Hedgerow Data'!$BJ$3:$BJ$15,MATCH(D114,'G-6 Hedgerow Data'!$B$3:$B$15,0)),"")</f>
        <v/>
      </c>
      <c r="AE114" s="188" t="str">
        <f t="shared" si="7"/>
        <v/>
      </c>
      <c r="AF114" s="188" t="str">
        <f t="shared" si="8"/>
        <v/>
      </c>
      <c r="AH114" s="188">
        <v>105</v>
      </c>
      <c r="AJ114" s="188" t="str">
        <f t="array" ref="AJ114">IFERROR(INDEX($AH$10:$AH$258, MATCH(0, IF(TRUE=$AE$10:$AE$258, COUNTIF($AJ$9:$AJ113, $AH$10:$AH$258), ""), 0)),"")</f>
        <v/>
      </c>
      <c r="AK114" s="188" t="str">
        <f t="array" ref="AK114">IFERROR(INDEX($AH$10:$AH$258, MATCH(0, IF(TRUE=$AF$10:$AF$258, COUNTIF($AK$9:$AK113, $AH$10:$AH$258), ""), 0)),"")</f>
        <v/>
      </c>
    </row>
    <row r="115" spans="2:37" ht="13.8" x14ac:dyDescent="0.25">
      <c r="B115" s="168">
        <v>106</v>
      </c>
      <c r="C115" s="275"/>
      <c r="D115" s="275"/>
      <c r="E115" s="185"/>
      <c r="F115" s="171" t="str">
        <f>IF(D115="","",VLOOKUP(D115,'G-6 Hedgerow Data'!$B$2:$AG$15,2,FALSE))</f>
        <v/>
      </c>
      <c r="G115" s="172" t="str">
        <f>IF(D115="","",VLOOKUP(D115,'G-6 Hedgerow Data'!$B$2:$AG$15,3,FALSE))</f>
        <v/>
      </c>
      <c r="H115" s="173"/>
      <c r="I115" s="172" t="str">
        <f>IFERROR(IF(AND(F115="V.Low",OR(H115="Good",H115="Moderate")),"Error",VLOOKUP(H115,'G-1 All Habitats'!$Z$2:$AA$9,2,FALSE)),"")</f>
        <v/>
      </c>
      <c r="J115" s="186"/>
      <c r="K115" s="175" t="str">
        <f>IF(J115="","",IF(VLOOKUP(J115,'G-3 Multipliers'!$L$3:$N$6,2,FALSE)=0,"Spatial Data Missing",VLOOKUP(J115,'G-3 Multipliers'!$L$3:$N$6,2,FALSE)))</f>
        <v/>
      </c>
      <c r="L115" s="176" t="str">
        <f>IF(J115="","",IF(VLOOKUP(J115,'G-3 Multipliers'!$L$3:$N$6,3,FALSE)=0,"Spatial Data Missing",VLOOKUP(J115,'G-3 Multipliers'!$L$3:$N$6,3,FALSE)))</f>
        <v/>
      </c>
      <c r="M115" s="177" t="str">
        <f>IF(D115="","",VLOOKUP(D115,'G-6 Hedgerow Data'!$B$1:$AH$15,33,FALSE))</f>
        <v/>
      </c>
      <c r="N115" s="207" t="str">
        <f t="shared" si="9"/>
        <v/>
      </c>
      <c r="O115" s="44"/>
      <c r="P115" s="173"/>
      <c r="Q115" s="189"/>
      <c r="R115" s="179" t="str">
        <f t="shared" si="10"/>
        <v/>
      </c>
      <c r="S115" s="179" t="str">
        <f t="shared" si="11"/>
        <v/>
      </c>
      <c r="T115" s="208" t="str">
        <f t="shared" si="12"/>
        <v/>
      </c>
      <c r="U115" s="209" t="str">
        <f t="shared" si="13"/>
        <v/>
      </c>
      <c r="V115" s="182"/>
      <c r="W115" s="183"/>
      <c r="AB115" s="35" t="str">
        <f>IFERROR(INDEX('G-6 Hedgerow Data'!$BJ$3:$BJ$15,MATCH(D115,'G-6 Hedgerow Data'!$B$3:$B$15,0)),"")</f>
        <v/>
      </c>
      <c r="AE115" s="188" t="str">
        <f t="shared" si="7"/>
        <v/>
      </c>
      <c r="AF115" s="188" t="str">
        <f t="shared" si="8"/>
        <v/>
      </c>
      <c r="AH115" s="188">
        <v>106</v>
      </c>
      <c r="AJ115" s="188" t="str">
        <f t="array" ref="AJ115">IFERROR(INDEX($AH$10:$AH$258, MATCH(0, IF(TRUE=$AE$10:$AE$258, COUNTIF($AJ$9:$AJ114, $AH$10:$AH$258), ""), 0)),"")</f>
        <v/>
      </c>
      <c r="AK115" s="188" t="str">
        <f t="array" ref="AK115">IFERROR(INDEX($AH$10:$AH$258, MATCH(0, IF(TRUE=$AF$10:$AF$258, COUNTIF($AK$9:$AK114, $AH$10:$AH$258), ""), 0)),"")</f>
        <v/>
      </c>
    </row>
    <row r="116" spans="2:37" ht="13.8" x14ac:dyDescent="0.25">
      <c r="B116" s="168">
        <v>107</v>
      </c>
      <c r="C116" s="275"/>
      <c r="D116" s="275"/>
      <c r="E116" s="185"/>
      <c r="F116" s="171" t="str">
        <f>IF(D116="","",VLOOKUP(D116,'G-6 Hedgerow Data'!$B$2:$AG$15,2,FALSE))</f>
        <v/>
      </c>
      <c r="G116" s="172" t="str">
        <f>IF(D116="","",VLOOKUP(D116,'G-6 Hedgerow Data'!$B$2:$AG$15,3,FALSE))</f>
        <v/>
      </c>
      <c r="H116" s="173"/>
      <c r="I116" s="172" t="str">
        <f>IFERROR(IF(AND(F116="V.Low",OR(H116="Good",H116="Moderate")),"Error",VLOOKUP(H116,'G-1 All Habitats'!$Z$2:$AA$9,2,FALSE)),"")</f>
        <v/>
      </c>
      <c r="J116" s="186"/>
      <c r="K116" s="175" t="str">
        <f>IF(J116="","",IF(VLOOKUP(J116,'G-3 Multipliers'!$L$3:$N$6,2,FALSE)=0,"Spatial Data Missing",VLOOKUP(J116,'G-3 Multipliers'!$L$3:$N$6,2,FALSE)))</f>
        <v/>
      </c>
      <c r="L116" s="176" t="str">
        <f>IF(J116="","",IF(VLOOKUP(J116,'G-3 Multipliers'!$L$3:$N$6,3,FALSE)=0,"Spatial Data Missing",VLOOKUP(J116,'G-3 Multipliers'!$L$3:$N$6,3,FALSE)))</f>
        <v/>
      </c>
      <c r="M116" s="177" t="str">
        <f>IF(D116="","",VLOOKUP(D116,'G-6 Hedgerow Data'!$B$1:$AH$15,33,FALSE))</f>
        <v/>
      </c>
      <c r="N116" s="207" t="str">
        <f t="shared" si="9"/>
        <v/>
      </c>
      <c r="O116" s="44"/>
      <c r="P116" s="173"/>
      <c r="Q116" s="189"/>
      <c r="R116" s="179" t="str">
        <f t="shared" si="10"/>
        <v/>
      </c>
      <c r="S116" s="179" t="str">
        <f t="shared" si="11"/>
        <v/>
      </c>
      <c r="T116" s="208" t="str">
        <f t="shared" si="12"/>
        <v/>
      </c>
      <c r="U116" s="209" t="str">
        <f t="shared" si="13"/>
        <v/>
      </c>
      <c r="V116" s="182"/>
      <c r="W116" s="183"/>
      <c r="AB116" s="35" t="str">
        <f>IFERROR(INDEX('G-6 Hedgerow Data'!$BJ$3:$BJ$15,MATCH(D116,'G-6 Hedgerow Data'!$B$3:$B$15,0)),"")</f>
        <v/>
      </c>
      <c r="AE116" s="188" t="str">
        <f t="shared" si="7"/>
        <v/>
      </c>
      <c r="AF116" s="188" t="str">
        <f t="shared" si="8"/>
        <v/>
      </c>
      <c r="AH116" s="188">
        <v>107</v>
      </c>
      <c r="AJ116" s="188" t="str">
        <f t="array" ref="AJ116">IFERROR(INDEX($AH$10:$AH$258, MATCH(0, IF(TRUE=$AE$10:$AE$258, COUNTIF($AJ$9:$AJ115, $AH$10:$AH$258), ""), 0)),"")</f>
        <v/>
      </c>
      <c r="AK116" s="188" t="str">
        <f t="array" ref="AK116">IFERROR(INDEX($AH$10:$AH$258, MATCH(0, IF(TRUE=$AF$10:$AF$258, COUNTIF($AK$9:$AK115, $AH$10:$AH$258), ""), 0)),"")</f>
        <v/>
      </c>
    </row>
    <row r="117" spans="2:37" ht="13.8" x14ac:dyDescent="0.25">
      <c r="B117" s="168">
        <v>108</v>
      </c>
      <c r="C117" s="275"/>
      <c r="D117" s="275"/>
      <c r="E117" s="185"/>
      <c r="F117" s="171" t="str">
        <f>IF(D117="","",VLOOKUP(D117,'G-6 Hedgerow Data'!$B$2:$AG$15,2,FALSE))</f>
        <v/>
      </c>
      <c r="G117" s="172" t="str">
        <f>IF(D117="","",VLOOKUP(D117,'G-6 Hedgerow Data'!$B$2:$AG$15,3,FALSE))</f>
        <v/>
      </c>
      <c r="H117" s="173"/>
      <c r="I117" s="172" t="str">
        <f>IFERROR(IF(AND(F117="V.Low",OR(H117="Good",H117="Moderate")),"Error",VLOOKUP(H117,'G-1 All Habitats'!$Z$2:$AA$9,2,FALSE)),"")</f>
        <v/>
      </c>
      <c r="J117" s="186"/>
      <c r="K117" s="175" t="str">
        <f>IF(J117="","",IF(VLOOKUP(J117,'G-3 Multipliers'!$L$3:$N$6,2,FALSE)=0,"Spatial Data Missing",VLOOKUP(J117,'G-3 Multipliers'!$L$3:$N$6,2,FALSE)))</f>
        <v/>
      </c>
      <c r="L117" s="176" t="str">
        <f>IF(J117="","",IF(VLOOKUP(J117,'G-3 Multipliers'!$L$3:$N$6,3,FALSE)=0,"Spatial Data Missing",VLOOKUP(J117,'G-3 Multipliers'!$L$3:$N$6,3,FALSE)))</f>
        <v/>
      </c>
      <c r="M117" s="177" t="str">
        <f>IF(D117="","",VLOOKUP(D117,'G-6 Hedgerow Data'!$B$1:$AH$15,33,FALSE))</f>
        <v/>
      </c>
      <c r="N117" s="207" t="str">
        <f t="shared" si="9"/>
        <v/>
      </c>
      <c r="O117" s="44"/>
      <c r="P117" s="173"/>
      <c r="Q117" s="189"/>
      <c r="R117" s="179" t="str">
        <f t="shared" si="10"/>
        <v/>
      </c>
      <c r="S117" s="179" t="str">
        <f t="shared" si="11"/>
        <v/>
      </c>
      <c r="T117" s="208" t="str">
        <f t="shared" si="12"/>
        <v/>
      </c>
      <c r="U117" s="209" t="str">
        <f t="shared" si="13"/>
        <v/>
      </c>
      <c r="V117" s="182"/>
      <c r="W117" s="183"/>
      <c r="AB117" s="35" t="str">
        <f>IFERROR(INDEX('G-6 Hedgerow Data'!$BJ$3:$BJ$15,MATCH(D117,'G-6 Hedgerow Data'!$B$3:$B$15,0)),"")</f>
        <v/>
      </c>
      <c r="AE117" s="188" t="str">
        <f t="shared" si="7"/>
        <v/>
      </c>
      <c r="AF117" s="188" t="str">
        <f t="shared" si="8"/>
        <v/>
      </c>
      <c r="AH117" s="188">
        <v>108</v>
      </c>
      <c r="AJ117" s="188" t="str">
        <f t="array" ref="AJ117">IFERROR(INDEX($AH$10:$AH$258, MATCH(0, IF(TRUE=$AE$10:$AE$258, COUNTIF($AJ$9:$AJ116, $AH$10:$AH$258), ""), 0)),"")</f>
        <v/>
      </c>
      <c r="AK117" s="188" t="str">
        <f t="array" ref="AK117">IFERROR(INDEX($AH$10:$AH$258, MATCH(0, IF(TRUE=$AF$10:$AF$258, COUNTIF($AK$9:$AK116, $AH$10:$AH$258), ""), 0)),"")</f>
        <v/>
      </c>
    </row>
    <row r="118" spans="2:37" ht="13.8" x14ac:dyDescent="0.25">
      <c r="B118" s="168">
        <v>109</v>
      </c>
      <c r="C118" s="275"/>
      <c r="D118" s="275"/>
      <c r="E118" s="185"/>
      <c r="F118" s="171" t="str">
        <f>IF(D118="","",VLOOKUP(D118,'G-6 Hedgerow Data'!$B$2:$AG$15,2,FALSE))</f>
        <v/>
      </c>
      <c r="G118" s="172" t="str">
        <f>IF(D118="","",VLOOKUP(D118,'G-6 Hedgerow Data'!$B$2:$AG$15,3,FALSE))</f>
        <v/>
      </c>
      <c r="H118" s="173"/>
      <c r="I118" s="172" t="str">
        <f>IFERROR(IF(AND(F118="V.Low",OR(H118="Good",H118="Moderate")),"Error",VLOOKUP(H118,'G-1 All Habitats'!$Z$2:$AA$9,2,FALSE)),"")</f>
        <v/>
      </c>
      <c r="J118" s="186"/>
      <c r="K118" s="175" t="str">
        <f>IF(J118="","",IF(VLOOKUP(J118,'G-3 Multipliers'!$L$3:$N$6,2,FALSE)=0,"Spatial Data Missing",VLOOKUP(J118,'G-3 Multipliers'!$L$3:$N$6,2,FALSE)))</f>
        <v/>
      </c>
      <c r="L118" s="176" t="str">
        <f>IF(J118="","",IF(VLOOKUP(J118,'G-3 Multipliers'!$L$3:$N$6,3,FALSE)=0,"Spatial Data Missing",VLOOKUP(J118,'G-3 Multipliers'!$L$3:$N$6,3,FALSE)))</f>
        <v/>
      </c>
      <c r="M118" s="177" t="str">
        <f>IF(D118="","",VLOOKUP(D118,'G-6 Hedgerow Data'!$B$1:$AH$15,33,FALSE))</f>
        <v/>
      </c>
      <c r="N118" s="207" t="str">
        <f t="shared" si="9"/>
        <v/>
      </c>
      <c r="O118" s="44"/>
      <c r="P118" s="173"/>
      <c r="Q118" s="189"/>
      <c r="R118" s="179" t="str">
        <f t="shared" si="10"/>
        <v/>
      </c>
      <c r="S118" s="179" t="str">
        <f t="shared" si="11"/>
        <v/>
      </c>
      <c r="T118" s="208" t="str">
        <f t="shared" si="12"/>
        <v/>
      </c>
      <c r="U118" s="209" t="str">
        <f t="shared" si="13"/>
        <v/>
      </c>
      <c r="V118" s="182"/>
      <c r="W118" s="183"/>
      <c r="AB118" s="35" t="str">
        <f>IFERROR(INDEX('G-6 Hedgerow Data'!$BJ$3:$BJ$15,MATCH(D118,'G-6 Hedgerow Data'!$B$3:$B$15,0)),"")</f>
        <v/>
      </c>
      <c r="AE118" s="188" t="str">
        <f t="shared" si="7"/>
        <v/>
      </c>
      <c r="AF118" s="188" t="str">
        <f t="shared" si="8"/>
        <v/>
      </c>
      <c r="AH118" s="188">
        <v>109</v>
      </c>
      <c r="AJ118" s="188" t="str">
        <f t="array" ref="AJ118">IFERROR(INDEX($AH$10:$AH$258, MATCH(0, IF(TRUE=$AE$10:$AE$258, COUNTIF($AJ$9:$AJ117, $AH$10:$AH$258), ""), 0)),"")</f>
        <v/>
      </c>
      <c r="AK118" s="188" t="str">
        <f t="array" ref="AK118">IFERROR(INDEX($AH$10:$AH$258, MATCH(0, IF(TRUE=$AF$10:$AF$258, COUNTIF($AK$9:$AK117, $AH$10:$AH$258), ""), 0)),"")</f>
        <v/>
      </c>
    </row>
    <row r="119" spans="2:37" ht="13.8" x14ac:dyDescent="0.25">
      <c r="B119" s="168">
        <v>110</v>
      </c>
      <c r="C119" s="275"/>
      <c r="D119" s="275"/>
      <c r="E119" s="185"/>
      <c r="F119" s="171" t="str">
        <f>IF(D119="","",VLOOKUP(D119,'G-6 Hedgerow Data'!$B$2:$AG$15,2,FALSE))</f>
        <v/>
      </c>
      <c r="G119" s="172" t="str">
        <f>IF(D119="","",VLOOKUP(D119,'G-6 Hedgerow Data'!$B$2:$AG$15,3,FALSE))</f>
        <v/>
      </c>
      <c r="H119" s="173"/>
      <c r="I119" s="172" t="str">
        <f>IFERROR(IF(AND(F119="V.Low",OR(H119="Good",H119="Moderate")),"Error",VLOOKUP(H119,'G-1 All Habitats'!$Z$2:$AA$9,2,FALSE)),"")</f>
        <v/>
      </c>
      <c r="J119" s="186"/>
      <c r="K119" s="175" t="str">
        <f>IF(J119="","",IF(VLOOKUP(J119,'G-3 Multipliers'!$L$3:$N$6,2,FALSE)=0,"Spatial Data Missing",VLOOKUP(J119,'G-3 Multipliers'!$L$3:$N$6,2,FALSE)))</f>
        <v/>
      </c>
      <c r="L119" s="176" t="str">
        <f>IF(J119="","",IF(VLOOKUP(J119,'G-3 Multipliers'!$L$3:$N$6,3,FALSE)=0,"Spatial Data Missing",VLOOKUP(J119,'G-3 Multipliers'!$L$3:$N$6,3,FALSE)))</f>
        <v/>
      </c>
      <c r="M119" s="177" t="str">
        <f>IF(D119="","",VLOOKUP(D119,'G-6 Hedgerow Data'!$B$1:$AH$15,33,FALSE))</f>
        <v/>
      </c>
      <c r="N119" s="207" t="str">
        <f t="shared" si="9"/>
        <v/>
      </c>
      <c r="O119" s="44"/>
      <c r="P119" s="173"/>
      <c r="Q119" s="189"/>
      <c r="R119" s="179" t="str">
        <f t="shared" si="10"/>
        <v/>
      </c>
      <c r="S119" s="179" t="str">
        <f t="shared" si="11"/>
        <v/>
      </c>
      <c r="T119" s="208" t="str">
        <f t="shared" si="12"/>
        <v/>
      </c>
      <c r="U119" s="209" t="str">
        <f t="shared" si="13"/>
        <v/>
      </c>
      <c r="V119" s="182"/>
      <c r="W119" s="183"/>
      <c r="AB119" s="35" t="str">
        <f>IFERROR(INDEX('G-6 Hedgerow Data'!$BJ$3:$BJ$15,MATCH(D119,'G-6 Hedgerow Data'!$B$3:$B$15,0)),"")</f>
        <v/>
      </c>
      <c r="AE119" s="188" t="str">
        <f t="shared" si="7"/>
        <v/>
      </c>
      <c r="AF119" s="188" t="str">
        <f t="shared" si="8"/>
        <v/>
      </c>
      <c r="AH119" s="188">
        <v>110</v>
      </c>
      <c r="AJ119" s="188" t="str">
        <f t="array" ref="AJ119">IFERROR(INDEX($AH$10:$AH$258, MATCH(0, IF(TRUE=$AE$10:$AE$258, COUNTIF($AJ$9:$AJ118, $AH$10:$AH$258), ""), 0)),"")</f>
        <v/>
      </c>
      <c r="AK119" s="188" t="str">
        <f t="array" ref="AK119">IFERROR(INDEX($AH$10:$AH$258, MATCH(0, IF(TRUE=$AF$10:$AF$258, COUNTIF($AK$9:$AK118, $AH$10:$AH$258), ""), 0)),"")</f>
        <v/>
      </c>
    </row>
    <row r="120" spans="2:37" ht="13.8" x14ac:dyDescent="0.25">
      <c r="B120" s="168">
        <v>111</v>
      </c>
      <c r="C120" s="275"/>
      <c r="D120" s="275"/>
      <c r="E120" s="185"/>
      <c r="F120" s="171" t="str">
        <f>IF(D120="","",VLOOKUP(D120,'G-6 Hedgerow Data'!$B$2:$AG$15,2,FALSE))</f>
        <v/>
      </c>
      <c r="G120" s="172" t="str">
        <f>IF(D120="","",VLOOKUP(D120,'G-6 Hedgerow Data'!$B$2:$AG$15,3,FALSE))</f>
        <v/>
      </c>
      <c r="H120" s="173"/>
      <c r="I120" s="172" t="str">
        <f>IFERROR(IF(AND(F120="V.Low",OR(H120="Good",H120="Moderate")),"Error",VLOOKUP(H120,'G-1 All Habitats'!$Z$2:$AA$9,2,FALSE)),"")</f>
        <v/>
      </c>
      <c r="J120" s="186"/>
      <c r="K120" s="175" t="str">
        <f>IF(J120="","",IF(VLOOKUP(J120,'G-3 Multipliers'!$L$3:$N$6,2,FALSE)=0,"Spatial Data Missing",VLOOKUP(J120,'G-3 Multipliers'!$L$3:$N$6,2,FALSE)))</f>
        <v/>
      </c>
      <c r="L120" s="176" t="str">
        <f>IF(J120="","",IF(VLOOKUP(J120,'G-3 Multipliers'!$L$3:$N$6,3,FALSE)=0,"Spatial Data Missing",VLOOKUP(J120,'G-3 Multipliers'!$L$3:$N$6,3,FALSE)))</f>
        <v/>
      </c>
      <c r="M120" s="177" t="str">
        <f>IF(D120="","",VLOOKUP(D120,'G-6 Hedgerow Data'!$B$1:$AH$15,33,FALSE))</f>
        <v/>
      </c>
      <c r="N120" s="207" t="str">
        <f t="shared" si="9"/>
        <v/>
      </c>
      <c r="O120" s="44"/>
      <c r="P120" s="173"/>
      <c r="Q120" s="189"/>
      <c r="R120" s="179" t="str">
        <f t="shared" si="10"/>
        <v/>
      </c>
      <c r="S120" s="179" t="str">
        <f t="shared" si="11"/>
        <v/>
      </c>
      <c r="T120" s="208" t="str">
        <f t="shared" si="12"/>
        <v/>
      </c>
      <c r="U120" s="209" t="str">
        <f t="shared" si="13"/>
        <v/>
      </c>
      <c r="V120" s="182"/>
      <c r="W120" s="183"/>
      <c r="AB120" s="35" t="str">
        <f>IFERROR(INDEX('G-6 Hedgerow Data'!$BJ$3:$BJ$15,MATCH(D120,'G-6 Hedgerow Data'!$B$3:$B$15,0)),"")</f>
        <v/>
      </c>
      <c r="AE120" s="188" t="str">
        <f t="shared" si="7"/>
        <v/>
      </c>
      <c r="AF120" s="188" t="str">
        <f t="shared" si="8"/>
        <v/>
      </c>
      <c r="AH120" s="188">
        <v>111</v>
      </c>
      <c r="AJ120" s="188" t="str">
        <f t="array" ref="AJ120">IFERROR(INDEX($AH$10:$AH$258, MATCH(0, IF(TRUE=$AE$10:$AE$258, COUNTIF($AJ$9:$AJ119, $AH$10:$AH$258), ""), 0)),"")</f>
        <v/>
      </c>
      <c r="AK120" s="188" t="str">
        <f t="array" ref="AK120">IFERROR(INDEX($AH$10:$AH$258, MATCH(0, IF(TRUE=$AF$10:$AF$258, COUNTIF($AK$9:$AK119, $AH$10:$AH$258), ""), 0)),"")</f>
        <v/>
      </c>
    </row>
    <row r="121" spans="2:37" ht="13.8" x14ac:dyDescent="0.25">
      <c r="B121" s="168">
        <v>112</v>
      </c>
      <c r="C121" s="275"/>
      <c r="D121" s="275"/>
      <c r="E121" s="185"/>
      <c r="F121" s="171" t="str">
        <f>IF(D121="","",VLOOKUP(D121,'G-6 Hedgerow Data'!$B$2:$AG$15,2,FALSE))</f>
        <v/>
      </c>
      <c r="G121" s="172" t="str">
        <f>IF(D121="","",VLOOKUP(D121,'G-6 Hedgerow Data'!$B$2:$AG$15,3,FALSE))</f>
        <v/>
      </c>
      <c r="H121" s="173"/>
      <c r="I121" s="172" t="str">
        <f>IFERROR(IF(AND(F121="V.Low",OR(H121="Good",H121="Moderate")),"Error",VLOOKUP(H121,'G-1 All Habitats'!$Z$2:$AA$9,2,FALSE)),"")</f>
        <v/>
      </c>
      <c r="J121" s="186"/>
      <c r="K121" s="175" t="str">
        <f>IF(J121="","",IF(VLOOKUP(J121,'G-3 Multipliers'!$L$3:$N$6,2,FALSE)=0,"Spatial Data Missing",VLOOKUP(J121,'G-3 Multipliers'!$L$3:$N$6,2,FALSE)))</f>
        <v/>
      </c>
      <c r="L121" s="176" t="str">
        <f>IF(J121="","",IF(VLOOKUP(J121,'G-3 Multipliers'!$L$3:$N$6,3,FALSE)=0,"Spatial Data Missing",VLOOKUP(J121,'G-3 Multipliers'!$L$3:$N$6,3,FALSE)))</f>
        <v/>
      </c>
      <c r="M121" s="177" t="str">
        <f>IF(D121="","",VLOOKUP(D121,'G-6 Hedgerow Data'!$B$1:$AH$15,33,FALSE))</f>
        <v/>
      </c>
      <c r="N121" s="207" t="str">
        <f t="shared" si="9"/>
        <v/>
      </c>
      <c r="O121" s="44"/>
      <c r="P121" s="173"/>
      <c r="Q121" s="189"/>
      <c r="R121" s="179" t="str">
        <f t="shared" si="10"/>
        <v/>
      </c>
      <c r="S121" s="179" t="str">
        <f t="shared" si="11"/>
        <v/>
      </c>
      <c r="T121" s="208" t="str">
        <f t="shared" si="12"/>
        <v/>
      </c>
      <c r="U121" s="209" t="str">
        <f t="shared" si="13"/>
        <v/>
      </c>
      <c r="V121" s="182"/>
      <c r="W121" s="183"/>
      <c r="AB121" s="35" t="str">
        <f>IFERROR(INDEX('G-6 Hedgerow Data'!$BJ$3:$BJ$15,MATCH(D121,'G-6 Hedgerow Data'!$B$3:$B$15,0)),"")</f>
        <v/>
      </c>
      <c r="AE121" s="188" t="str">
        <f t="shared" si="7"/>
        <v/>
      </c>
      <c r="AF121" s="188" t="str">
        <f t="shared" si="8"/>
        <v/>
      </c>
      <c r="AH121" s="188">
        <v>112</v>
      </c>
      <c r="AJ121" s="188" t="str">
        <f t="array" ref="AJ121">IFERROR(INDEX($AH$10:$AH$258, MATCH(0, IF(TRUE=$AE$10:$AE$258, COUNTIF($AJ$9:$AJ120, $AH$10:$AH$258), ""), 0)),"")</f>
        <v/>
      </c>
      <c r="AK121" s="188" t="str">
        <f t="array" ref="AK121">IFERROR(INDEX($AH$10:$AH$258, MATCH(0, IF(TRUE=$AF$10:$AF$258, COUNTIF($AK$9:$AK120, $AH$10:$AH$258), ""), 0)),"")</f>
        <v/>
      </c>
    </row>
    <row r="122" spans="2:37" ht="13.8" x14ac:dyDescent="0.25">
      <c r="B122" s="168">
        <v>113</v>
      </c>
      <c r="C122" s="275"/>
      <c r="D122" s="275"/>
      <c r="E122" s="185"/>
      <c r="F122" s="171" t="str">
        <f>IF(D122="","",VLOOKUP(D122,'G-6 Hedgerow Data'!$B$2:$AG$15,2,FALSE))</f>
        <v/>
      </c>
      <c r="G122" s="172" t="str">
        <f>IF(D122="","",VLOOKUP(D122,'G-6 Hedgerow Data'!$B$2:$AG$15,3,FALSE))</f>
        <v/>
      </c>
      <c r="H122" s="173"/>
      <c r="I122" s="172" t="str">
        <f>IFERROR(IF(AND(F122="V.Low",OR(H122="Good",H122="Moderate")),"Error",VLOOKUP(H122,'G-1 All Habitats'!$Z$2:$AA$9,2,FALSE)),"")</f>
        <v/>
      </c>
      <c r="J122" s="186"/>
      <c r="K122" s="175" t="str">
        <f>IF(J122="","",IF(VLOOKUP(J122,'G-3 Multipliers'!$L$3:$N$6,2,FALSE)=0,"Spatial Data Missing",VLOOKUP(J122,'G-3 Multipliers'!$L$3:$N$6,2,FALSE)))</f>
        <v/>
      </c>
      <c r="L122" s="176" t="str">
        <f>IF(J122="","",IF(VLOOKUP(J122,'G-3 Multipliers'!$L$3:$N$6,3,FALSE)=0,"Spatial Data Missing",VLOOKUP(J122,'G-3 Multipliers'!$L$3:$N$6,3,FALSE)))</f>
        <v/>
      </c>
      <c r="M122" s="177" t="str">
        <f>IF(D122="","",VLOOKUP(D122,'G-6 Hedgerow Data'!$B$1:$AH$15,33,FALSE))</f>
        <v/>
      </c>
      <c r="N122" s="207" t="str">
        <f t="shared" si="9"/>
        <v/>
      </c>
      <c r="O122" s="44"/>
      <c r="P122" s="173"/>
      <c r="Q122" s="189"/>
      <c r="R122" s="179" t="str">
        <f t="shared" si="10"/>
        <v/>
      </c>
      <c r="S122" s="179" t="str">
        <f t="shared" si="11"/>
        <v/>
      </c>
      <c r="T122" s="208" t="str">
        <f t="shared" si="12"/>
        <v/>
      </c>
      <c r="U122" s="209" t="str">
        <f t="shared" si="13"/>
        <v/>
      </c>
      <c r="V122" s="182"/>
      <c r="W122" s="183"/>
      <c r="AB122" s="35" t="str">
        <f>IFERROR(INDEX('G-6 Hedgerow Data'!$BJ$3:$BJ$15,MATCH(D122,'G-6 Hedgerow Data'!$B$3:$B$15,0)),"")</f>
        <v/>
      </c>
      <c r="AE122" s="188" t="str">
        <f t="shared" si="7"/>
        <v/>
      </c>
      <c r="AF122" s="188" t="str">
        <f t="shared" si="8"/>
        <v/>
      </c>
      <c r="AH122" s="188">
        <v>113</v>
      </c>
      <c r="AJ122" s="188" t="str">
        <f t="array" ref="AJ122">IFERROR(INDEX($AH$10:$AH$258, MATCH(0, IF(TRUE=$AE$10:$AE$258, COUNTIF($AJ$9:$AJ121, $AH$10:$AH$258), ""), 0)),"")</f>
        <v/>
      </c>
      <c r="AK122" s="188" t="str">
        <f t="array" ref="AK122">IFERROR(INDEX($AH$10:$AH$258, MATCH(0, IF(TRUE=$AF$10:$AF$258, COUNTIF($AK$9:$AK121, $AH$10:$AH$258), ""), 0)),"")</f>
        <v/>
      </c>
    </row>
    <row r="123" spans="2:37" ht="13.8" x14ac:dyDescent="0.25">
      <c r="B123" s="168">
        <v>114</v>
      </c>
      <c r="C123" s="275"/>
      <c r="D123" s="275"/>
      <c r="E123" s="185"/>
      <c r="F123" s="171" t="str">
        <f>IF(D123="","",VLOOKUP(D123,'G-6 Hedgerow Data'!$B$2:$AG$15,2,FALSE))</f>
        <v/>
      </c>
      <c r="G123" s="172" t="str">
        <f>IF(D123="","",VLOOKUP(D123,'G-6 Hedgerow Data'!$B$2:$AG$15,3,FALSE))</f>
        <v/>
      </c>
      <c r="H123" s="173"/>
      <c r="I123" s="172" t="str">
        <f>IFERROR(IF(AND(F123="V.Low",OR(H123="Good",H123="Moderate")),"Error",VLOOKUP(H123,'G-1 All Habitats'!$Z$2:$AA$9,2,FALSE)),"")</f>
        <v/>
      </c>
      <c r="J123" s="186"/>
      <c r="K123" s="175" t="str">
        <f>IF(J123="","",IF(VLOOKUP(J123,'G-3 Multipliers'!$L$3:$N$6,2,FALSE)=0,"Spatial Data Missing",VLOOKUP(J123,'G-3 Multipliers'!$L$3:$N$6,2,FALSE)))</f>
        <v/>
      </c>
      <c r="L123" s="176" t="str">
        <f>IF(J123="","",IF(VLOOKUP(J123,'G-3 Multipliers'!$L$3:$N$6,3,FALSE)=0,"Spatial Data Missing",VLOOKUP(J123,'G-3 Multipliers'!$L$3:$N$6,3,FALSE)))</f>
        <v/>
      </c>
      <c r="M123" s="177" t="str">
        <f>IF(D123="","",VLOOKUP(D123,'G-6 Hedgerow Data'!$B$1:$AH$15,33,FALSE))</f>
        <v/>
      </c>
      <c r="N123" s="207" t="str">
        <f t="shared" si="9"/>
        <v/>
      </c>
      <c r="O123" s="44"/>
      <c r="P123" s="173"/>
      <c r="Q123" s="189"/>
      <c r="R123" s="179" t="str">
        <f t="shared" si="10"/>
        <v/>
      </c>
      <c r="S123" s="179" t="str">
        <f t="shared" si="11"/>
        <v/>
      </c>
      <c r="T123" s="208" t="str">
        <f t="shared" si="12"/>
        <v/>
      </c>
      <c r="U123" s="209" t="str">
        <f t="shared" si="13"/>
        <v/>
      </c>
      <c r="V123" s="182"/>
      <c r="W123" s="183"/>
      <c r="AB123" s="35" t="str">
        <f>IFERROR(INDEX('G-6 Hedgerow Data'!$BJ$3:$BJ$15,MATCH(D123,'G-6 Hedgerow Data'!$B$3:$B$15,0)),"")</f>
        <v/>
      </c>
      <c r="AE123" s="188" t="str">
        <f t="shared" si="7"/>
        <v/>
      </c>
      <c r="AF123" s="188" t="str">
        <f t="shared" si="8"/>
        <v/>
      </c>
      <c r="AH123" s="188">
        <v>114</v>
      </c>
      <c r="AJ123" s="188" t="str">
        <f t="array" ref="AJ123">IFERROR(INDEX($AH$10:$AH$258, MATCH(0, IF(TRUE=$AE$10:$AE$258, COUNTIF($AJ$9:$AJ122, $AH$10:$AH$258), ""), 0)),"")</f>
        <v/>
      </c>
      <c r="AK123" s="188" t="str">
        <f t="array" ref="AK123">IFERROR(INDEX($AH$10:$AH$258, MATCH(0, IF(TRUE=$AF$10:$AF$258, COUNTIF($AK$9:$AK122, $AH$10:$AH$258), ""), 0)),"")</f>
        <v/>
      </c>
    </row>
    <row r="124" spans="2:37" ht="13.8" x14ac:dyDescent="0.25">
      <c r="B124" s="168">
        <v>115</v>
      </c>
      <c r="C124" s="275"/>
      <c r="D124" s="275"/>
      <c r="E124" s="185"/>
      <c r="F124" s="171" t="str">
        <f>IF(D124="","",VLOOKUP(D124,'G-6 Hedgerow Data'!$B$2:$AG$15,2,FALSE))</f>
        <v/>
      </c>
      <c r="G124" s="172" t="str">
        <f>IF(D124="","",VLOOKUP(D124,'G-6 Hedgerow Data'!$B$2:$AG$15,3,FALSE))</f>
        <v/>
      </c>
      <c r="H124" s="173"/>
      <c r="I124" s="172" t="str">
        <f>IFERROR(IF(AND(F124="V.Low",OR(H124="Good",H124="Moderate")),"Error",VLOOKUP(H124,'G-1 All Habitats'!$Z$2:$AA$9,2,FALSE)),"")</f>
        <v/>
      </c>
      <c r="J124" s="186"/>
      <c r="K124" s="175" t="str">
        <f>IF(J124="","",IF(VLOOKUP(J124,'G-3 Multipliers'!$L$3:$N$6,2,FALSE)=0,"Spatial Data Missing",VLOOKUP(J124,'G-3 Multipliers'!$L$3:$N$6,2,FALSE)))</f>
        <v/>
      </c>
      <c r="L124" s="176" t="str">
        <f>IF(J124="","",IF(VLOOKUP(J124,'G-3 Multipliers'!$L$3:$N$6,3,FALSE)=0,"Spatial Data Missing",VLOOKUP(J124,'G-3 Multipliers'!$L$3:$N$6,3,FALSE)))</f>
        <v/>
      </c>
      <c r="M124" s="177" t="str">
        <f>IF(D124="","",VLOOKUP(D124,'G-6 Hedgerow Data'!$B$1:$AH$15,33,FALSE))</f>
        <v/>
      </c>
      <c r="N124" s="207" t="str">
        <f t="shared" si="9"/>
        <v/>
      </c>
      <c r="O124" s="44"/>
      <c r="P124" s="173"/>
      <c r="Q124" s="189"/>
      <c r="R124" s="179" t="str">
        <f t="shared" si="10"/>
        <v/>
      </c>
      <c r="S124" s="179" t="str">
        <f t="shared" si="11"/>
        <v/>
      </c>
      <c r="T124" s="208" t="str">
        <f t="shared" si="12"/>
        <v/>
      </c>
      <c r="U124" s="209" t="str">
        <f t="shared" si="13"/>
        <v/>
      </c>
      <c r="V124" s="182"/>
      <c r="W124" s="183"/>
      <c r="AB124" s="35" t="str">
        <f>IFERROR(INDEX('G-6 Hedgerow Data'!$BJ$3:$BJ$15,MATCH(D124,'G-6 Hedgerow Data'!$B$3:$B$15,0)),"")</f>
        <v/>
      </c>
      <c r="AE124" s="188" t="str">
        <f t="shared" si="7"/>
        <v/>
      </c>
      <c r="AF124" s="188" t="str">
        <f t="shared" si="8"/>
        <v/>
      </c>
      <c r="AH124" s="188">
        <v>115</v>
      </c>
      <c r="AJ124" s="188" t="str">
        <f t="array" ref="AJ124">IFERROR(INDEX($AH$10:$AH$258, MATCH(0, IF(TRUE=$AE$10:$AE$258, COUNTIF($AJ$9:$AJ123, $AH$10:$AH$258), ""), 0)),"")</f>
        <v/>
      </c>
      <c r="AK124" s="188" t="str">
        <f t="array" ref="AK124">IFERROR(INDEX($AH$10:$AH$258, MATCH(0, IF(TRUE=$AF$10:$AF$258, COUNTIF($AK$9:$AK123, $AH$10:$AH$258), ""), 0)),"")</f>
        <v/>
      </c>
    </row>
    <row r="125" spans="2:37" ht="13.8" x14ac:dyDescent="0.25">
      <c r="B125" s="168">
        <v>116</v>
      </c>
      <c r="C125" s="275"/>
      <c r="D125" s="275"/>
      <c r="E125" s="185"/>
      <c r="F125" s="171" t="str">
        <f>IF(D125="","",VLOOKUP(D125,'G-6 Hedgerow Data'!$B$2:$AG$15,2,FALSE))</f>
        <v/>
      </c>
      <c r="G125" s="172" t="str">
        <f>IF(D125="","",VLOOKUP(D125,'G-6 Hedgerow Data'!$B$2:$AG$15,3,FALSE))</f>
        <v/>
      </c>
      <c r="H125" s="173"/>
      <c r="I125" s="172" t="str">
        <f>IFERROR(IF(AND(F125="V.Low",OR(H125="Good",H125="Moderate")),"Error",VLOOKUP(H125,'G-1 All Habitats'!$Z$2:$AA$9,2,FALSE)),"")</f>
        <v/>
      </c>
      <c r="J125" s="186"/>
      <c r="K125" s="175" t="str">
        <f>IF(J125="","",IF(VLOOKUP(J125,'G-3 Multipliers'!$L$3:$N$6,2,FALSE)=0,"Spatial Data Missing",VLOOKUP(J125,'G-3 Multipliers'!$L$3:$N$6,2,FALSE)))</f>
        <v/>
      </c>
      <c r="L125" s="176" t="str">
        <f>IF(J125="","",IF(VLOOKUP(J125,'G-3 Multipliers'!$L$3:$N$6,3,FALSE)=0,"Spatial Data Missing",VLOOKUP(J125,'G-3 Multipliers'!$L$3:$N$6,3,FALSE)))</f>
        <v/>
      </c>
      <c r="M125" s="177" t="str">
        <f>IF(D125="","",VLOOKUP(D125,'G-6 Hedgerow Data'!$B$1:$AH$15,33,FALSE))</f>
        <v/>
      </c>
      <c r="N125" s="207" t="str">
        <f t="shared" si="9"/>
        <v/>
      </c>
      <c r="O125" s="44"/>
      <c r="P125" s="173"/>
      <c r="Q125" s="189"/>
      <c r="R125" s="179" t="str">
        <f t="shared" si="10"/>
        <v/>
      </c>
      <c r="S125" s="179" t="str">
        <f t="shared" si="11"/>
        <v/>
      </c>
      <c r="T125" s="208" t="str">
        <f t="shared" si="12"/>
        <v/>
      </c>
      <c r="U125" s="209" t="str">
        <f t="shared" si="13"/>
        <v/>
      </c>
      <c r="V125" s="182"/>
      <c r="W125" s="183"/>
      <c r="AB125" s="35" t="str">
        <f>IFERROR(INDEX('G-6 Hedgerow Data'!$BJ$3:$BJ$15,MATCH(D125,'G-6 Hedgerow Data'!$B$3:$B$15,0)),"")</f>
        <v/>
      </c>
      <c r="AE125" s="188" t="str">
        <f t="shared" si="7"/>
        <v/>
      </c>
      <c r="AF125" s="188" t="str">
        <f t="shared" si="8"/>
        <v/>
      </c>
      <c r="AH125" s="188">
        <v>116</v>
      </c>
      <c r="AJ125" s="188" t="str">
        <f t="array" ref="AJ125">IFERROR(INDEX($AH$10:$AH$258, MATCH(0, IF(TRUE=$AE$10:$AE$258, COUNTIF($AJ$9:$AJ124, $AH$10:$AH$258), ""), 0)),"")</f>
        <v/>
      </c>
      <c r="AK125" s="188" t="str">
        <f t="array" ref="AK125">IFERROR(INDEX($AH$10:$AH$258, MATCH(0, IF(TRUE=$AF$10:$AF$258, COUNTIF($AK$9:$AK124, $AH$10:$AH$258), ""), 0)),"")</f>
        <v/>
      </c>
    </row>
    <row r="126" spans="2:37" ht="13.8" x14ac:dyDescent="0.25">
      <c r="B126" s="168">
        <v>117</v>
      </c>
      <c r="C126" s="275"/>
      <c r="D126" s="275"/>
      <c r="E126" s="185"/>
      <c r="F126" s="171" t="str">
        <f>IF(D126="","",VLOOKUP(D126,'G-6 Hedgerow Data'!$B$2:$AG$15,2,FALSE))</f>
        <v/>
      </c>
      <c r="G126" s="172" t="str">
        <f>IF(D126="","",VLOOKUP(D126,'G-6 Hedgerow Data'!$B$2:$AG$15,3,FALSE))</f>
        <v/>
      </c>
      <c r="H126" s="173"/>
      <c r="I126" s="172" t="str">
        <f>IFERROR(IF(AND(F126="V.Low",OR(H126="Good",H126="Moderate")),"Error",VLOOKUP(H126,'G-1 All Habitats'!$Z$2:$AA$9,2,FALSE)),"")</f>
        <v/>
      </c>
      <c r="J126" s="186"/>
      <c r="K126" s="175" t="str">
        <f>IF(J126="","",IF(VLOOKUP(J126,'G-3 Multipliers'!$L$3:$N$6,2,FALSE)=0,"Spatial Data Missing",VLOOKUP(J126,'G-3 Multipliers'!$L$3:$N$6,2,FALSE)))</f>
        <v/>
      </c>
      <c r="L126" s="176" t="str">
        <f>IF(J126="","",IF(VLOOKUP(J126,'G-3 Multipliers'!$L$3:$N$6,3,FALSE)=0,"Spatial Data Missing",VLOOKUP(J126,'G-3 Multipliers'!$L$3:$N$6,3,FALSE)))</f>
        <v/>
      </c>
      <c r="M126" s="177" t="str">
        <f>IF(D126="","",VLOOKUP(D126,'G-6 Hedgerow Data'!$B$1:$AH$15,33,FALSE))</f>
        <v/>
      </c>
      <c r="N126" s="207" t="str">
        <f t="shared" si="9"/>
        <v/>
      </c>
      <c r="O126" s="44"/>
      <c r="P126" s="173"/>
      <c r="Q126" s="189"/>
      <c r="R126" s="179" t="str">
        <f t="shared" si="10"/>
        <v/>
      </c>
      <c r="S126" s="179" t="str">
        <f t="shared" si="11"/>
        <v/>
      </c>
      <c r="T126" s="208" t="str">
        <f t="shared" si="12"/>
        <v/>
      </c>
      <c r="U126" s="209" t="str">
        <f t="shared" si="13"/>
        <v/>
      </c>
      <c r="V126" s="182"/>
      <c r="W126" s="183"/>
      <c r="AB126" s="35" t="str">
        <f>IFERROR(INDEX('G-6 Hedgerow Data'!$BJ$3:$BJ$15,MATCH(D126,'G-6 Hedgerow Data'!$B$3:$B$15,0)),"")</f>
        <v/>
      </c>
      <c r="AE126" s="188" t="str">
        <f t="shared" si="7"/>
        <v/>
      </c>
      <c r="AF126" s="188" t="str">
        <f t="shared" si="8"/>
        <v/>
      </c>
      <c r="AH126" s="188">
        <v>117</v>
      </c>
      <c r="AJ126" s="188" t="str">
        <f t="array" ref="AJ126">IFERROR(INDEX($AH$10:$AH$258, MATCH(0, IF(TRUE=$AE$10:$AE$258, COUNTIF($AJ$9:$AJ125, $AH$10:$AH$258), ""), 0)),"")</f>
        <v/>
      </c>
      <c r="AK126" s="188" t="str">
        <f t="array" ref="AK126">IFERROR(INDEX($AH$10:$AH$258, MATCH(0, IF(TRUE=$AF$10:$AF$258, COUNTIF($AK$9:$AK125, $AH$10:$AH$258), ""), 0)),"")</f>
        <v/>
      </c>
    </row>
    <row r="127" spans="2:37" ht="13.8" x14ac:dyDescent="0.25">
      <c r="B127" s="168">
        <v>118</v>
      </c>
      <c r="C127" s="275"/>
      <c r="D127" s="275"/>
      <c r="E127" s="185"/>
      <c r="F127" s="171" t="str">
        <f>IF(D127="","",VLOOKUP(D127,'G-6 Hedgerow Data'!$B$2:$AG$15,2,FALSE))</f>
        <v/>
      </c>
      <c r="G127" s="172" t="str">
        <f>IF(D127="","",VLOOKUP(D127,'G-6 Hedgerow Data'!$B$2:$AG$15,3,FALSE))</f>
        <v/>
      </c>
      <c r="H127" s="173"/>
      <c r="I127" s="172" t="str">
        <f>IFERROR(IF(AND(F127="V.Low",OR(H127="Good",H127="Moderate")),"Error",VLOOKUP(H127,'G-1 All Habitats'!$Z$2:$AA$9,2,FALSE)),"")</f>
        <v/>
      </c>
      <c r="J127" s="186"/>
      <c r="K127" s="175" t="str">
        <f>IF(J127="","",IF(VLOOKUP(J127,'G-3 Multipliers'!$L$3:$N$6,2,FALSE)=0,"Spatial Data Missing",VLOOKUP(J127,'G-3 Multipliers'!$L$3:$N$6,2,FALSE)))</f>
        <v/>
      </c>
      <c r="L127" s="176" t="str">
        <f>IF(J127="","",IF(VLOOKUP(J127,'G-3 Multipliers'!$L$3:$N$6,3,FALSE)=0,"Spatial Data Missing",VLOOKUP(J127,'G-3 Multipliers'!$L$3:$N$6,3,FALSE)))</f>
        <v/>
      </c>
      <c r="M127" s="177" t="str">
        <f>IF(D127="","",VLOOKUP(D127,'G-6 Hedgerow Data'!$B$1:$AH$15,33,FALSE))</f>
        <v/>
      </c>
      <c r="N127" s="207" t="str">
        <f t="shared" si="9"/>
        <v/>
      </c>
      <c r="O127" s="44"/>
      <c r="P127" s="173"/>
      <c r="Q127" s="189"/>
      <c r="R127" s="179" t="str">
        <f t="shared" si="10"/>
        <v/>
      </c>
      <c r="S127" s="179" t="str">
        <f t="shared" si="11"/>
        <v/>
      </c>
      <c r="T127" s="208" t="str">
        <f t="shared" si="12"/>
        <v/>
      </c>
      <c r="U127" s="209" t="str">
        <f t="shared" si="13"/>
        <v/>
      </c>
      <c r="V127" s="182"/>
      <c r="W127" s="183"/>
      <c r="AB127" s="35" t="str">
        <f>IFERROR(INDEX('G-6 Hedgerow Data'!$BJ$3:$BJ$15,MATCH(D127,'G-6 Hedgerow Data'!$B$3:$B$15,0)),"")</f>
        <v/>
      </c>
      <c r="AE127" s="188" t="str">
        <f t="shared" si="7"/>
        <v/>
      </c>
      <c r="AF127" s="188" t="str">
        <f t="shared" si="8"/>
        <v/>
      </c>
      <c r="AH127" s="188">
        <v>118</v>
      </c>
      <c r="AJ127" s="188" t="str">
        <f t="array" ref="AJ127">IFERROR(INDEX($AH$10:$AH$258, MATCH(0, IF(TRUE=$AE$10:$AE$258, COUNTIF($AJ$9:$AJ126, $AH$10:$AH$258), ""), 0)),"")</f>
        <v/>
      </c>
      <c r="AK127" s="188" t="str">
        <f t="array" ref="AK127">IFERROR(INDEX($AH$10:$AH$258, MATCH(0, IF(TRUE=$AF$10:$AF$258, COUNTIF($AK$9:$AK126, $AH$10:$AH$258), ""), 0)),"")</f>
        <v/>
      </c>
    </row>
    <row r="128" spans="2:37" ht="13.8" x14ac:dyDescent="0.25">
      <c r="B128" s="168">
        <v>119</v>
      </c>
      <c r="C128" s="275"/>
      <c r="D128" s="275"/>
      <c r="E128" s="185"/>
      <c r="F128" s="171" t="str">
        <f>IF(D128="","",VLOOKUP(D128,'G-6 Hedgerow Data'!$B$2:$AG$15,2,FALSE))</f>
        <v/>
      </c>
      <c r="G128" s="172" t="str">
        <f>IF(D128="","",VLOOKUP(D128,'G-6 Hedgerow Data'!$B$2:$AG$15,3,FALSE))</f>
        <v/>
      </c>
      <c r="H128" s="173"/>
      <c r="I128" s="172" t="str">
        <f>IFERROR(IF(AND(F128="V.Low",OR(H128="Good",H128="Moderate")),"Error",VLOOKUP(H128,'G-1 All Habitats'!$Z$2:$AA$9,2,FALSE)),"")</f>
        <v/>
      </c>
      <c r="J128" s="186"/>
      <c r="K128" s="175" t="str">
        <f>IF(J128="","",IF(VLOOKUP(J128,'G-3 Multipliers'!$L$3:$N$6,2,FALSE)=0,"Spatial Data Missing",VLOOKUP(J128,'G-3 Multipliers'!$L$3:$N$6,2,FALSE)))</f>
        <v/>
      </c>
      <c r="L128" s="176" t="str">
        <f>IF(J128="","",IF(VLOOKUP(J128,'G-3 Multipliers'!$L$3:$N$6,3,FALSE)=0,"Spatial Data Missing",VLOOKUP(J128,'G-3 Multipliers'!$L$3:$N$6,3,FALSE)))</f>
        <v/>
      </c>
      <c r="M128" s="177" t="str">
        <f>IF(D128="","",VLOOKUP(D128,'G-6 Hedgerow Data'!$B$1:$AH$15,33,FALSE))</f>
        <v/>
      </c>
      <c r="N128" s="207" t="str">
        <f t="shared" si="9"/>
        <v/>
      </c>
      <c r="O128" s="44"/>
      <c r="P128" s="173"/>
      <c r="Q128" s="189"/>
      <c r="R128" s="179" t="str">
        <f t="shared" si="10"/>
        <v/>
      </c>
      <c r="S128" s="179" t="str">
        <f t="shared" si="11"/>
        <v/>
      </c>
      <c r="T128" s="208" t="str">
        <f t="shared" si="12"/>
        <v/>
      </c>
      <c r="U128" s="209" t="str">
        <f t="shared" si="13"/>
        <v/>
      </c>
      <c r="V128" s="182"/>
      <c r="W128" s="183"/>
      <c r="AB128" s="35" t="str">
        <f>IFERROR(INDEX('G-6 Hedgerow Data'!$BJ$3:$BJ$15,MATCH(D128,'G-6 Hedgerow Data'!$B$3:$B$15,0)),"")</f>
        <v/>
      </c>
      <c r="AE128" s="188" t="str">
        <f t="shared" si="7"/>
        <v/>
      </c>
      <c r="AF128" s="188" t="str">
        <f t="shared" si="8"/>
        <v/>
      </c>
      <c r="AH128" s="188">
        <v>119</v>
      </c>
      <c r="AJ128" s="188" t="str">
        <f t="array" ref="AJ128">IFERROR(INDEX($AH$10:$AH$258, MATCH(0, IF(TRUE=$AE$10:$AE$258, COUNTIF($AJ$9:$AJ127, $AH$10:$AH$258), ""), 0)),"")</f>
        <v/>
      </c>
      <c r="AK128" s="188" t="str">
        <f t="array" ref="AK128">IFERROR(INDEX($AH$10:$AH$258, MATCH(0, IF(TRUE=$AF$10:$AF$258, COUNTIF($AK$9:$AK127, $AH$10:$AH$258), ""), 0)),"")</f>
        <v/>
      </c>
    </row>
    <row r="129" spans="2:37" ht="13.8" x14ac:dyDescent="0.25">
      <c r="B129" s="168">
        <v>120</v>
      </c>
      <c r="C129" s="275"/>
      <c r="D129" s="275"/>
      <c r="E129" s="185"/>
      <c r="F129" s="171" t="str">
        <f>IF(D129="","",VLOOKUP(D129,'G-6 Hedgerow Data'!$B$2:$AG$15,2,FALSE))</f>
        <v/>
      </c>
      <c r="G129" s="172" t="str">
        <f>IF(D129="","",VLOOKUP(D129,'G-6 Hedgerow Data'!$B$2:$AG$15,3,FALSE))</f>
        <v/>
      </c>
      <c r="H129" s="173"/>
      <c r="I129" s="172" t="str">
        <f>IFERROR(IF(AND(F129="V.Low",OR(H129="Good",H129="Moderate")),"Error",VLOOKUP(H129,'G-1 All Habitats'!$Z$2:$AA$9,2,FALSE)),"")</f>
        <v/>
      </c>
      <c r="J129" s="186"/>
      <c r="K129" s="175" t="str">
        <f>IF(J129="","",IF(VLOOKUP(J129,'G-3 Multipliers'!$L$3:$N$6,2,FALSE)=0,"Spatial Data Missing",VLOOKUP(J129,'G-3 Multipliers'!$L$3:$N$6,2,FALSE)))</f>
        <v/>
      </c>
      <c r="L129" s="176" t="str">
        <f>IF(J129="","",IF(VLOOKUP(J129,'G-3 Multipliers'!$L$3:$N$6,3,FALSE)=0,"Spatial Data Missing",VLOOKUP(J129,'G-3 Multipliers'!$L$3:$N$6,3,FALSE)))</f>
        <v/>
      </c>
      <c r="M129" s="177" t="str">
        <f>IF(D129="","",VLOOKUP(D129,'G-6 Hedgerow Data'!$B$1:$AH$15,33,FALSE))</f>
        <v/>
      </c>
      <c r="N129" s="207" t="str">
        <f t="shared" si="9"/>
        <v/>
      </c>
      <c r="O129" s="44"/>
      <c r="P129" s="173"/>
      <c r="Q129" s="189"/>
      <c r="R129" s="179" t="str">
        <f t="shared" si="10"/>
        <v/>
      </c>
      <c r="S129" s="179" t="str">
        <f t="shared" si="11"/>
        <v/>
      </c>
      <c r="T129" s="208" t="str">
        <f t="shared" si="12"/>
        <v/>
      </c>
      <c r="U129" s="209" t="str">
        <f t="shared" si="13"/>
        <v/>
      </c>
      <c r="V129" s="182"/>
      <c r="W129" s="183"/>
      <c r="AB129" s="35" t="str">
        <f>IFERROR(INDEX('G-6 Hedgerow Data'!$BJ$3:$BJ$15,MATCH(D129,'G-6 Hedgerow Data'!$B$3:$B$15,0)),"")</f>
        <v/>
      </c>
      <c r="AE129" s="188" t="str">
        <f t="shared" si="7"/>
        <v/>
      </c>
      <c r="AF129" s="188" t="str">
        <f t="shared" si="8"/>
        <v/>
      </c>
      <c r="AH129" s="188">
        <v>120</v>
      </c>
      <c r="AJ129" s="188" t="str">
        <f t="array" ref="AJ129">IFERROR(INDEX($AH$10:$AH$258, MATCH(0, IF(TRUE=$AE$10:$AE$258, COUNTIF($AJ$9:$AJ128, $AH$10:$AH$258), ""), 0)),"")</f>
        <v/>
      </c>
      <c r="AK129" s="188" t="str">
        <f t="array" ref="AK129">IFERROR(INDEX($AH$10:$AH$258, MATCH(0, IF(TRUE=$AF$10:$AF$258, COUNTIF($AK$9:$AK128, $AH$10:$AH$258), ""), 0)),"")</f>
        <v/>
      </c>
    </row>
    <row r="130" spans="2:37" ht="13.8" x14ac:dyDescent="0.25">
      <c r="B130" s="168">
        <v>121</v>
      </c>
      <c r="C130" s="275"/>
      <c r="D130" s="275"/>
      <c r="E130" s="185"/>
      <c r="F130" s="171" t="str">
        <f>IF(D130="","",VLOOKUP(D130,'G-6 Hedgerow Data'!$B$2:$AG$15,2,FALSE))</f>
        <v/>
      </c>
      <c r="G130" s="172" t="str">
        <f>IF(D130="","",VLOOKUP(D130,'G-6 Hedgerow Data'!$B$2:$AG$15,3,FALSE))</f>
        <v/>
      </c>
      <c r="H130" s="173"/>
      <c r="I130" s="172" t="str">
        <f>IFERROR(IF(AND(F130="V.Low",OR(H130="Good",H130="Moderate")),"Error",VLOOKUP(H130,'G-1 All Habitats'!$Z$2:$AA$9,2,FALSE)),"")</f>
        <v/>
      </c>
      <c r="J130" s="186"/>
      <c r="K130" s="175" t="str">
        <f>IF(J130="","",IF(VLOOKUP(J130,'G-3 Multipliers'!$L$3:$N$6,2,FALSE)=0,"Spatial Data Missing",VLOOKUP(J130,'G-3 Multipliers'!$L$3:$N$6,2,FALSE)))</f>
        <v/>
      </c>
      <c r="L130" s="176" t="str">
        <f>IF(J130="","",IF(VLOOKUP(J130,'G-3 Multipliers'!$L$3:$N$6,3,FALSE)=0,"Spatial Data Missing",VLOOKUP(J130,'G-3 Multipliers'!$L$3:$N$6,3,FALSE)))</f>
        <v/>
      </c>
      <c r="M130" s="177" t="str">
        <f>IF(D130="","",VLOOKUP(D130,'G-6 Hedgerow Data'!$B$1:$AH$15,33,FALSE))</f>
        <v/>
      </c>
      <c r="N130" s="207" t="str">
        <f t="shared" si="9"/>
        <v/>
      </c>
      <c r="O130" s="44"/>
      <c r="P130" s="173"/>
      <c r="Q130" s="189"/>
      <c r="R130" s="179" t="str">
        <f t="shared" si="10"/>
        <v/>
      </c>
      <c r="S130" s="179" t="str">
        <f t="shared" si="11"/>
        <v/>
      </c>
      <c r="T130" s="208" t="str">
        <f t="shared" si="12"/>
        <v/>
      </c>
      <c r="U130" s="209" t="str">
        <f t="shared" si="13"/>
        <v/>
      </c>
      <c r="V130" s="182"/>
      <c r="W130" s="183"/>
      <c r="AB130" s="35" t="str">
        <f>IFERROR(INDEX('G-6 Hedgerow Data'!$BJ$3:$BJ$15,MATCH(D130,'G-6 Hedgerow Data'!$B$3:$B$15,0)),"")</f>
        <v/>
      </c>
      <c r="AE130" s="188" t="str">
        <f t="shared" si="7"/>
        <v/>
      </c>
      <c r="AF130" s="188" t="str">
        <f t="shared" si="8"/>
        <v/>
      </c>
      <c r="AH130" s="188">
        <v>121</v>
      </c>
      <c r="AJ130" s="188" t="str">
        <f t="array" ref="AJ130">IFERROR(INDEX($AH$10:$AH$258, MATCH(0, IF(TRUE=$AE$10:$AE$258, COUNTIF($AJ$9:$AJ129, $AH$10:$AH$258), ""), 0)),"")</f>
        <v/>
      </c>
      <c r="AK130" s="188" t="str">
        <f t="array" ref="AK130">IFERROR(INDEX($AH$10:$AH$258, MATCH(0, IF(TRUE=$AF$10:$AF$258, COUNTIF($AK$9:$AK129, $AH$10:$AH$258), ""), 0)),"")</f>
        <v/>
      </c>
    </row>
    <row r="131" spans="2:37" ht="13.8" x14ac:dyDescent="0.25">
      <c r="B131" s="168">
        <v>122</v>
      </c>
      <c r="C131" s="275"/>
      <c r="D131" s="275"/>
      <c r="E131" s="185"/>
      <c r="F131" s="171" t="str">
        <f>IF(D131="","",VLOOKUP(D131,'G-6 Hedgerow Data'!$B$2:$AG$15,2,FALSE))</f>
        <v/>
      </c>
      <c r="G131" s="172" t="str">
        <f>IF(D131="","",VLOOKUP(D131,'G-6 Hedgerow Data'!$B$2:$AG$15,3,FALSE))</f>
        <v/>
      </c>
      <c r="H131" s="173"/>
      <c r="I131" s="172" t="str">
        <f>IFERROR(IF(AND(F131="V.Low",OR(H131="Good",H131="Moderate")),"Error",VLOOKUP(H131,'G-1 All Habitats'!$Z$2:$AA$9,2,FALSE)),"")</f>
        <v/>
      </c>
      <c r="J131" s="186"/>
      <c r="K131" s="175" t="str">
        <f>IF(J131="","",IF(VLOOKUP(J131,'G-3 Multipliers'!$L$3:$N$6,2,FALSE)=0,"Spatial Data Missing",VLOOKUP(J131,'G-3 Multipliers'!$L$3:$N$6,2,FALSE)))</f>
        <v/>
      </c>
      <c r="L131" s="176" t="str">
        <f>IF(J131="","",IF(VLOOKUP(J131,'G-3 Multipliers'!$L$3:$N$6,3,FALSE)=0,"Spatial Data Missing",VLOOKUP(J131,'G-3 Multipliers'!$L$3:$N$6,3,FALSE)))</f>
        <v/>
      </c>
      <c r="M131" s="177" t="str">
        <f>IF(D131="","",VLOOKUP(D131,'G-6 Hedgerow Data'!$B$1:$AH$15,33,FALSE))</f>
        <v/>
      </c>
      <c r="N131" s="207" t="str">
        <f t="shared" si="9"/>
        <v/>
      </c>
      <c r="O131" s="44"/>
      <c r="P131" s="173"/>
      <c r="Q131" s="189"/>
      <c r="R131" s="179" t="str">
        <f t="shared" si="10"/>
        <v/>
      </c>
      <c r="S131" s="179" t="str">
        <f t="shared" si="11"/>
        <v/>
      </c>
      <c r="T131" s="208" t="str">
        <f t="shared" si="12"/>
        <v/>
      </c>
      <c r="U131" s="209" t="str">
        <f t="shared" si="13"/>
        <v/>
      </c>
      <c r="V131" s="182"/>
      <c r="W131" s="183"/>
      <c r="AB131" s="35" t="str">
        <f>IFERROR(INDEX('G-6 Hedgerow Data'!$BJ$3:$BJ$15,MATCH(D131,'G-6 Hedgerow Data'!$B$3:$B$15,0)),"")</f>
        <v/>
      </c>
      <c r="AE131" s="188" t="str">
        <f t="shared" si="7"/>
        <v/>
      </c>
      <c r="AF131" s="188" t="str">
        <f t="shared" si="8"/>
        <v/>
      </c>
      <c r="AH131" s="188">
        <v>122</v>
      </c>
      <c r="AJ131" s="188" t="str">
        <f t="array" ref="AJ131">IFERROR(INDEX($AH$10:$AH$258, MATCH(0, IF(TRUE=$AE$10:$AE$258, COUNTIF($AJ$9:$AJ130, $AH$10:$AH$258), ""), 0)),"")</f>
        <v/>
      </c>
      <c r="AK131" s="188" t="str">
        <f t="array" ref="AK131">IFERROR(INDEX($AH$10:$AH$258, MATCH(0, IF(TRUE=$AF$10:$AF$258, COUNTIF($AK$9:$AK130, $AH$10:$AH$258), ""), 0)),"")</f>
        <v/>
      </c>
    </row>
    <row r="132" spans="2:37" ht="13.8" x14ac:dyDescent="0.25">
      <c r="B132" s="168">
        <v>123</v>
      </c>
      <c r="C132" s="275"/>
      <c r="D132" s="275"/>
      <c r="E132" s="185"/>
      <c r="F132" s="171" t="str">
        <f>IF(D132="","",VLOOKUP(D132,'G-6 Hedgerow Data'!$B$2:$AG$15,2,FALSE))</f>
        <v/>
      </c>
      <c r="G132" s="172" t="str">
        <f>IF(D132="","",VLOOKUP(D132,'G-6 Hedgerow Data'!$B$2:$AG$15,3,FALSE))</f>
        <v/>
      </c>
      <c r="H132" s="173"/>
      <c r="I132" s="172" t="str">
        <f>IFERROR(IF(AND(F132="V.Low",OR(H132="Good",H132="Moderate")),"Error",VLOOKUP(H132,'G-1 All Habitats'!$Z$2:$AA$9,2,FALSE)),"")</f>
        <v/>
      </c>
      <c r="J132" s="186"/>
      <c r="K132" s="175" t="str">
        <f>IF(J132="","",IF(VLOOKUP(J132,'G-3 Multipliers'!$L$3:$N$6,2,FALSE)=0,"Spatial Data Missing",VLOOKUP(J132,'G-3 Multipliers'!$L$3:$N$6,2,FALSE)))</f>
        <v/>
      </c>
      <c r="L132" s="176" t="str">
        <f>IF(J132="","",IF(VLOOKUP(J132,'G-3 Multipliers'!$L$3:$N$6,3,FALSE)=0,"Spatial Data Missing",VLOOKUP(J132,'G-3 Multipliers'!$L$3:$N$6,3,FALSE)))</f>
        <v/>
      </c>
      <c r="M132" s="177" t="str">
        <f>IF(D132="","",VLOOKUP(D132,'G-6 Hedgerow Data'!$B$1:$AH$15,33,FALSE))</f>
        <v/>
      </c>
      <c r="N132" s="207" t="str">
        <f t="shared" si="9"/>
        <v/>
      </c>
      <c r="O132" s="44"/>
      <c r="P132" s="173"/>
      <c r="Q132" s="189"/>
      <c r="R132" s="179" t="str">
        <f t="shared" si="10"/>
        <v/>
      </c>
      <c r="S132" s="179" t="str">
        <f t="shared" si="11"/>
        <v/>
      </c>
      <c r="T132" s="208" t="str">
        <f t="shared" si="12"/>
        <v/>
      </c>
      <c r="U132" s="209" t="str">
        <f t="shared" si="13"/>
        <v/>
      </c>
      <c r="V132" s="182"/>
      <c r="W132" s="183"/>
      <c r="AB132" s="35" t="str">
        <f>IFERROR(INDEX('G-6 Hedgerow Data'!$BJ$3:$BJ$15,MATCH(D132,'G-6 Hedgerow Data'!$B$3:$B$15,0)),"")</f>
        <v/>
      </c>
      <c r="AE132" s="188" t="str">
        <f t="shared" si="7"/>
        <v/>
      </c>
      <c r="AF132" s="188" t="str">
        <f t="shared" si="8"/>
        <v/>
      </c>
      <c r="AH132" s="188">
        <v>123</v>
      </c>
      <c r="AJ132" s="188" t="str">
        <f t="array" ref="AJ132">IFERROR(INDEX($AH$10:$AH$258, MATCH(0, IF(TRUE=$AE$10:$AE$258, COUNTIF($AJ$9:$AJ131, $AH$10:$AH$258), ""), 0)),"")</f>
        <v/>
      </c>
      <c r="AK132" s="188" t="str">
        <f t="array" ref="AK132">IFERROR(INDEX($AH$10:$AH$258, MATCH(0, IF(TRUE=$AF$10:$AF$258, COUNTIF($AK$9:$AK131, $AH$10:$AH$258), ""), 0)),"")</f>
        <v/>
      </c>
    </row>
    <row r="133" spans="2:37" ht="13.8" x14ac:dyDescent="0.25">
      <c r="B133" s="168">
        <v>124</v>
      </c>
      <c r="C133" s="275"/>
      <c r="D133" s="275"/>
      <c r="E133" s="185"/>
      <c r="F133" s="171" t="str">
        <f>IF(D133="","",VLOOKUP(D133,'G-6 Hedgerow Data'!$B$2:$AG$15,2,FALSE))</f>
        <v/>
      </c>
      <c r="G133" s="172" t="str">
        <f>IF(D133="","",VLOOKUP(D133,'G-6 Hedgerow Data'!$B$2:$AG$15,3,FALSE))</f>
        <v/>
      </c>
      <c r="H133" s="173"/>
      <c r="I133" s="172" t="str">
        <f>IFERROR(IF(AND(F133="V.Low",OR(H133="Good",H133="Moderate")),"Error",VLOOKUP(H133,'G-1 All Habitats'!$Z$2:$AA$9,2,FALSE)),"")</f>
        <v/>
      </c>
      <c r="J133" s="186"/>
      <c r="K133" s="175" t="str">
        <f>IF(J133="","",IF(VLOOKUP(J133,'G-3 Multipliers'!$L$3:$N$6,2,FALSE)=0,"Spatial Data Missing",VLOOKUP(J133,'G-3 Multipliers'!$L$3:$N$6,2,FALSE)))</f>
        <v/>
      </c>
      <c r="L133" s="176" t="str">
        <f>IF(J133="","",IF(VLOOKUP(J133,'G-3 Multipliers'!$L$3:$N$6,3,FALSE)=0,"Spatial Data Missing",VLOOKUP(J133,'G-3 Multipliers'!$L$3:$N$6,3,FALSE)))</f>
        <v/>
      </c>
      <c r="M133" s="177" t="str">
        <f>IF(D133="","",VLOOKUP(D133,'G-6 Hedgerow Data'!$B$1:$AH$15,33,FALSE))</f>
        <v/>
      </c>
      <c r="N133" s="207" t="str">
        <f t="shared" si="9"/>
        <v/>
      </c>
      <c r="O133" s="44"/>
      <c r="P133" s="173"/>
      <c r="Q133" s="189"/>
      <c r="R133" s="179" t="str">
        <f t="shared" si="10"/>
        <v/>
      </c>
      <c r="S133" s="179" t="str">
        <f t="shared" si="11"/>
        <v/>
      </c>
      <c r="T133" s="208" t="str">
        <f t="shared" si="12"/>
        <v/>
      </c>
      <c r="U133" s="209" t="str">
        <f t="shared" si="13"/>
        <v/>
      </c>
      <c r="V133" s="182"/>
      <c r="W133" s="183"/>
      <c r="AB133" s="35" t="str">
        <f>IFERROR(INDEX('G-6 Hedgerow Data'!$BJ$3:$BJ$15,MATCH(D133,'G-6 Hedgerow Data'!$B$3:$B$15,0)),"")</f>
        <v/>
      </c>
      <c r="AE133" s="188" t="str">
        <f t="shared" si="7"/>
        <v/>
      </c>
      <c r="AF133" s="188" t="str">
        <f t="shared" si="8"/>
        <v/>
      </c>
      <c r="AH133" s="188">
        <v>124</v>
      </c>
      <c r="AJ133" s="188" t="str">
        <f t="array" ref="AJ133">IFERROR(INDEX($AH$10:$AH$258, MATCH(0, IF(TRUE=$AE$10:$AE$258, COUNTIF($AJ$9:$AJ132, $AH$10:$AH$258), ""), 0)),"")</f>
        <v/>
      </c>
      <c r="AK133" s="188" t="str">
        <f t="array" ref="AK133">IFERROR(INDEX($AH$10:$AH$258, MATCH(0, IF(TRUE=$AF$10:$AF$258, COUNTIF($AK$9:$AK132, $AH$10:$AH$258), ""), 0)),"")</f>
        <v/>
      </c>
    </row>
    <row r="134" spans="2:37" ht="13.8" x14ac:dyDescent="0.25">
      <c r="B134" s="168">
        <v>125</v>
      </c>
      <c r="C134" s="275"/>
      <c r="D134" s="275"/>
      <c r="E134" s="185"/>
      <c r="F134" s="171" t="str">
        <f>IF(D134="","",VLOOKUP(D134,'G-6 Hedgerow Data'!$B$2:$AG$15,2,FALSE))</f>
        <v/>
      </c>
      <c r="G134" s="172" t="str">
        <f>IF(D134="","",VLOOKUP(D134,'G-6 Hedgerow Data'!$B$2:$AG$15,3,FALSE))</f>
        <v/>
      </c>
      <c r="H134" s="173"/>
      <c r="I134" s="172" t="str">
        <f>IFERROR(IF(AND(F134="V.Low",OR(H134="Good",H134="Moderate")),"Error",VLOOKUP(H134,'G-1 All Habitats'!$Z$2:$AA$9,2,FALSE)),"")</f>
        <v/>
      </c>
      <c r="J134" s="186"/>
      <c r="K134" s="175" t="str">
        <f>IF(J134="","",IF(VLOOKUP(J134,'G-3 Multipliers'!$L$3:$N$6,2,FALSE)=0,"Spatial Data Missing",VLOOKUP(J134,'G-3 Multipliers'!$L$3:$N$6,2,FALSE)))</f>
        <v/>
      </c>
      <c r="L134" s="176" t="str">
        <f>IF(J134="","",IF(VLOOKUP(J134,'G-3 Multipliers'!$L$3:$N$6,3,FALSE)=0,"Spatial Data Missing",VLOOKUP(J134,'G-3 Multipliers'!$L$3:$N$6,3,FALSE)))</f>
        <v/>
      </c>
      <c r="M134" s="177" t="str">
        <f>IF(D134="","",VLOOKUP(D134,'G-6 Hedgerow Data'!$B$1:$AH$15,33,FALSE))</f>
        <v/>
      </c>
      <c r="N134" s="207" t="str">
        <f t="shared" si="9"/>
        <v/>
      </c>
      <c r="O134" s="44"/>
      <c r="P134" s="173"/>
      <c r="Q134" s="189"/>
      <c r="R134" s="179" t="str">
        <f t="shared" si="10"/>
        <v/>
      </c>
      <c r="S134" s="179" t="str">
        <f t="shared" si="11"/>
        <v/>
      </c>
      <c r="T134" s="208" t="str">
        <f t="shared" si="12"/>
        <v/>
      </c>
      <c r="U134" s="209" t="str">
        <f t="shared" si="13"/>
        <v/>
      </c>
      <c r="V134" s="182"/>
      <c r="W134" s="183"/>
      <c r="AB134" s="35" t="str">
        <f>IFERROR(INDEX('G-6 Hedgerow Data'!$BJ$3:$BJ$15,MATCH(D134,'G-6 Hedgerow Data'!$B$3:$B$15,0)),"")</f>
        <v/>
      </c>
      <c r="AE134" s="188" t="str">
        <f t="shared" si="7"/>
        <v/>
      </c>
      <c r="AF134" s="188" t="str">
        <f t="shared" si="8"/>
        <v/>
      </c>
      <c r="AH134" s="188">
        <v>125</v>
      </c>
      <c r="AJ134" s="188" t="str">
        <f t="array" ref="AJ134">IFERROR(INDEX($AH$10:$AH$258, MATCH(0, IF(TRUE=$AE$10:$AE$258, COUNTIF($AJ$9:$AJ133, $AH$10:$AH$258), ""), 0)),"")</f>
        <v/>
      </c>
      <c r="AK134" s="188" t="str">
        <f t="array" ref="AK134">IFERROR(INDEX($AH$10:$AH$258, MATCH(0, IF(TRUE=$AF$10:$AF$258, COUNTIF($AK$9:$AK133, $AH$10:$AH$258), ""), 0)),"")</f>
        <v/>
      </c>
    </row>
    <row r="135" spans="2:37" ht="13.8" x14ac:dyDescent="0.25">
      <c r="B135" s="168">
        <v>126</v>
      </c>
      <c r="C135" s="275"/>
      <c r="D135" s="275"/>
      <c r="E135" s="185"/>
      <c r="F135" s="171" t="str">
        <f>IF(D135="","",VLOOKUP(D135,'G-6 Hedgerow Data'!$B$2:$AG$15,2,FALSE))</f>
        <v/>
      </c>
      <c r="G135" s="172" t="str">
        <f>IF(D135="","",VLOOKUP(D135,'G-6 Hedgerow Data'!$B$2:$AG$15,3,FALSE))</f>
        <v/>
      </c>
      <c r="H135" s="173"/>
      <c r="I135" s="172" t="str">
        <f>IFERROR(IF(AND(F135="V.Low",OR(H135="Good",H135="Moderate")),"Error",VLOOKUP(H135,'G-1 All Habitats'!$Z$2:$AA$9,2,FALSE)),"")</f>
        <v/>
      </c>
      <c r="J135" s="186"/>
      <c r="K135" s="175" t="str">
        <f>IF(J135="","",IF(VLOOKUP(J135,'G-3 Multipliers'!$L$3:$N$6,2,FALSE)=0,"Spatial Data Missing",VLOOKUP(J135,'G-3 Multipliers'!$L$3:$N$6,2,FALSE)))</f>
        <v/>
      </c>
      <c r="L135" s="176" t="str">
        <f>IF(J135="","",IF(VLOOKUP(J135,'G-3 Multipliers'!$L$3:$N$6,3,FALSE)=0,"Spatial Data Missing",VLOOKUP(J135,'G-3 Multipliers'!$L$3:$N$6,3,FALSE)))</f>
        <v/>
      </c>
      <c r="M135" s="177" t="str">
        <f>IF(D135="","",VLOOKUP(D135,'G-6 Hedgerow Data'!$B$1:$AH$15,33,FALSE))</f>
        <v/>
      </c>
      <c r="N135" s="207" t="str">
        <f t="shared" si="9"/>
        <v/>
      </c>
      <c r="O135" s="44"/>
      <c r="P135" s="173"/>
      <c r="Q135" s="189"/>
      <c r="R135" s="179" t="str">
        <f t="shared" si="10"/>
        <v/>
      </c>
      <c r="S135" s="179" t="str">
        <f t="shared" si="11"/>
        <v/>
      </c>
      <c r="T135" s="208" t="str">
        <f t="shared" si="12"/>
        <v/>
      </c>
      <c r="U135" s="209" t="str">
        <f t="shared" si="13"/>
        <v/>
      </c>
      <c r="V135" s="182"/>
      <c r="W135" s="183"/>
      <c r="AB135" s="35" t="str">
        <f>IFERROR(INDEX('G-6 Hedgerow Data'!$BJ$3:$BJ$15,MATCH(D135,'G-6 Hedgerow Data'!$B$3:$B$15,0)),"")</f>
        <v/>
      </c>
      <c r="AE135" s="188" t="str">
        <f t="shared" si="7"/>
        <v/>
      </c>
      <c r="AF135" s="188" t="str">
        <f t="shared" si="8"/>
        <v/>
      </c>
      <c r="AH135" s="188">
        <v>126</v>
      </c>
      <c r="AJ135" s="188" t="str">
        <f t="array" ref="AJ135">IFERROR(INDEX($AH$10:$AH$258, MATCH(0, IF(TRUE=$AE$10:$AE$258, COUNTIF($AJ$9:$AJ134, $AH$10:$AH$258), ""), 0)),"")</f>
        <v/>
      </c>
      <c r="AK135" s="188" t="str">
        <f t="array" ref="AK135">IFERROR(INDEX($AH$10:$AH$258, MATCH(0, IF(TRUE=$AF$10:$AF$258, COUNTIF($AK$9:$AK134, $AH$10:$AH$258), ""), 0)),"")</f>
        <v/>
      </c>
    </row>
    <row r="136" spans="2:37" ht="13.8" x14ac:dyDescent="0.25">
      <c r="B136" s="168">
        <v>127</v>
      </c>
      <c r="C136" s="275"/>
      <c r="D136" s="275"/>
      <c r="E136" s="185"/>
      <c r="F136" s="171" t="str">
        <f>IF(D136="","",VLOOKUP(D136,'G-6 Hedgerow Data'!$B$2:$AG$15,2,FALSE))</f>
        <v/>
      </c>
      <c r="G136" s="172" t="str">
        <f>IF(D136="","",VLOOKUP(D136,'G-6 Hedgerow Data'!$B$2:$AG$15,3,FALSE))</f>
        <v/>
      </c>
      <c r="H136" s="173"/>
      <c r="I136" s="172" t="str">
        <f>IFERROR(IF(AND(F136="V.Low",OR(H136="Good",H136="Moderate")),"Error",VLOOKUP(H136,'G-1 All Habitats'!$Z$2:$AA$9,2,FALSE)),"")</f>
        <v/>
      </c>
      <c r="J136" s="186"/>
      <c r="K136" s="175" t="str">
        <f>IF(J136="","",IF(VLOOKUP(J136,'G-3 Multipliers'!$L$3:$N$6,2,FALSE)=0,"Spatial Data Missing",VLOOKUP(J136,'G-3 Multipliers'!$L$3:$N$6,2,FALSE)))</f>
        <v/>
      </c>
      <c r="L136" s="176" t="str">
        <f>IF(J136="","",IF(VLOOKUP(J136,'G-3 Multipliers'!$L$3:$N$6,3,FALSE)=0,"Spatial Data Missing",VLOOKUP(J136,'G-3 Multipliers'!$L$3:$N$6,3,FALSE)))</f>
        <v/>
      </c>
      <c r="M136" s="177" t="str">
        <f>IF(D136="","",VLOOKUP(D136,'G-6 Hedgerow Data'!$B$1:$AH$15,33,FALSE))</f>
        <v/>
      </c>
      <c r="N136" s="207" t="str">
        <f t="shared" si="9"/>
        <v/>
      </c>
      <c r="O136" s="44"/>
      <c r="P136" s="173"/>
      <c r="Q136" s="189"/>
      <c r="R136" s="179" t="str">
        <f t="shared" si="10"/>
        <v/>
      </c>
      <c r="S136" s="179" t="str">
        <f t="shared" si="11"/>
        <v/>
      </c>
      <c r="T136" s="208" t="str">
        <f t="shared" si="12"/>
        <v/>
      </c>
      <c r="U136" s="209" t="str">
        <f t="shared" si="13"/>
        <v/>
      </c>
      <c r="V136" s="182"/>
      <c r="W136" s="183"/>
      <c r="AB136" s="35" t="str">
        <f>IFERROR(INDEX('G-6 Hedgerow Data'!$BJ$3:$BJ$15,MATCH(D136,'G-6 Hedgerow Data'!$B$3:$B$15,0)),"")</f>
        <v/>
      </c>
      <c r="AE136" s="188" t="str">
        <f t="shared" si="7"/>
        <v/>
      </c>
      <c r="AF136" s="188" t="str">
        <f t="shared" si="8"/>
        <v/>
      </c>
      <c r="AH136" s="188">
        <v>127</v>
      </c>
      <c r="AJ136" s="188" t="str">
        <f t="array" ref="AJ136">IFERROR(INDEX($AH$10:$AH$258, MATCH(0, IF(TRUE=$AE$10:$AE$258, COUNTIF($AJ$9:$AJ135, $AH$10:$AH$258), ""), 0)),"")</f>
        <v/>
      </c>
      <c r="AK136" s="188" t="str">
        <f t="array" ref="AK136">IFERROR(INDEX($AH$10:$AH$258, MATCH(0, IF(TRUE=$AF$10:$AF$258, COUNTIF($AK$9:$AK135, $AH$10:$AH$258), ""), 0)),"")</f>
        <v/>
      </c>
    </row>
    <row r="137" spans="2:37" ht="13.8" x14ac:dyDescent="0.25">
      <c r="B137" s="168">
        <v>128</v>
      </c>
      <c r="C137" s="275"/>
      <c r="D137" s="275"/>
      <c r="E137" s="185"/>
      <c r="F137" s="171" t="str">
        <f>IF(D137="","",VLOOKUP(D137,'G-6 Hedgerow Data'!$B$2:$AG$15,2,FALSE))</f>
        <v/>
      </c>
      <c r="G137" s="172" t="str">
        <f>IF(D137="","",VLOOKUP(D137,'G-6 Hedgerow Data'!$B$2:$AG$15,3,FALSE))</f>
        <v/>
      </c>
      <c r="H137" s="173"/>
      <c r="I137" s="172" t="str">
        <f>IFERROR(IF(AND(F137="V.Low",OR(H137="Good",H137="Moderate")),"Error",VLOOKUP(H137,'G-1 All Habitats'!$Z$2:$AA$9,2,FALSE)),"")</f>
        <v/>
      </c>
      <c r="J137" s="186"/>
      <c r="K137" s="175" t="str">
        <f>IF(J137="","",IF(VLOOKUP(J137,'G-3 Multipliers'!$L$3:$N$6,2,FALSE)=0,"Spatial Data Missing",VLOOKUP(J137,'G-3 Multipliers'!$L$3:$N$6,2,FALSE)))</f>
        <v/>
      </c>
      <c r="L137" s="176" t="str">
        <f>IF(J137="","",IF(VLOOKUP(J137,'G-3 Multipliers'!$L$3:$N$6,3,FALSE)=0,"Spatial Data Missing",VLOOKUP(J137,'G-3 Multipliers'!$L$3:$N$6,3,FALSE)))</f>
        <v/>
      </c>
      <c r="M137" s="177" t="str">
        <f>IF(D137="","",VLOOKUP(D137,'G-6 Hedgerow Data'!$B$1:$AH$15,33,FALSE))</f>
        <v/>
      </c>
      <c r="N137" s="207" t="str">
        <f t="shared" si="9"/>
        <v/>
      </c>
      <c r="O137" s="44"/>
      <c r="P137" s="173"/>
      <c r="Q137" s="189"/>
      <c r="R137" s="179" t="str">
        <f t="shared" si="10"/>
        <v/>
      </c>
      <c r="S137" s="179" t="str">
        <f t="shared" si="11"/>
        <v/>
      </c>
      <c r="T137" s="208" t="str">
        <f t="shared" si="12"/>
        <v/>
      </c>
      <c r="U137" s="209" t="str">
        <f t="shared" si="13"/>
        <v/>
      </c>
      <c r="V137" s="182"/>
      <c r="W137" s="183"/>
      <c r="AB137" s="35" t="str">
        <f>IFERROR(INDEX('G-6 Hedgerow Data'!$BJ$3:$BJ$15,MATCH(D137,'G-6 Hedgerow Data'!$B$3:$B$15,0)),"")</f>
        <v/>
      </c>
      <c r="AE137" s="188" t="str">
        <f t="shared" si="7"/>
        <v/>
      </c>
      <c r="AF137" s="188" t="str">
        <f t="shared" si="8"/>
        <v/>
      </c>
      <c r="AH137" s="188">
        <v>128</v>
      </c>
      <c r="AJ137" s="188" t="str">
        <f t="array" ref="AJ137">IFERROR(INDEX($AH$10:$AH$258, MATCH(0, IF(TRUE=$AE$10:$AE$258, COUNTIF($AJ$9:$AJ136, $AH$10:$AH$258), ""), 0)),"")</f>
        <v/>
      </c>
      <c r="AK137" s="188" t="str">
        <f t="array" ref="AK137">IFERROR(INDEX($AH$10:$AH$258, MATCH(0, IF(TRUE=$AF$10:$AF$258, COUNTIF($AK$9:$AK136, $AH$10:$AH$258), ""), 0)),"")</f>
        <v/>
      </c>
    </row>
    <row r="138" spans="2:37" ht="13.8" x14ac:dyDescent="0.25">
      <c r="B138" s="168">
        <v>129</v>
      </c>
      <c r="C138" s="275"/>
      <c r="D138" s="275"/>
      <c r="E138" s="185"/>
      <c r="F138" s="171" t="str">
        <f>IF(D138="","",VLOOKUP(D138,'G-6 Hedgerow Data'!$B$2:$AG$15,2,FALSE))</f>
        <v/>
      </c>
      <c r="G138" s="172" t="str">
        <f>IF(D138="","",VLOOKUP(D138,'G-6 Hedgerow Data'!$B$2:$AG$15,3,FALSE))</f>
        <v/>
      </c>
      <c r="H138" s="173"/>
      <c r="I138" s="172" t="str">
        <f>IFERROR(IF(AND(F138="V.Low",OR(H138="Good",H138="Moderate")),"Error",VLOOKUP(H138,'G-1 All Habitats'!$Z$2:$AA$9,2,FALSE)),"")</f>
        <v/>
      </c>
      <c r="J138" s="186"/>
      <c r="K138" s="175" t="str">
        <f>IF(J138="","",IF(VLOOKUP(J138,'G-3 Multipliers'!$L$3:$N$6,2,FALSE)=0,"Spatial Data Missing",VLOOKUP(J138,'G-3 Multipliers'!$L$3:$N$6,2,FALSE)))</f>
        <v/>
      </c>
      <c r="L138" s="176" t="str">
        <f>IF(J138="","",IF(VLOOKUP(J138,'G-3 Multipliers'!$L$3:$N$6,3,FALSE)=0,"Spatial Data Missing",VLOOKUP(J138,'G-3 Multipliers'!$L$3:$N$6,3,FALSE)))</f>
        <v/>
      </c>
      <c r="M138" s="177" t="str">
        <f>IF(D138="","",VLOOKUP(D138,'G-6 Hedgerow Data'!$B$1:$AH$15,33,FALSE))</f>
        <v/>
      </c>
      <c r="N138" s="207" t="str">
        <f t="shared" si="9"/>
        <v/>
      </c>
      <c r="O138" s="44"/>
      <c r="P138" s="173"/>
      <c r="Q138" s="189"/>
      <c r="R138" s="179" t="str">
        <f t="shared" si="10"/>
        <v/>
      </c>
      <c r="S138" s="179" t="str">
        <f t="shared" si="11"/>
        <v/>
      </c>
      <c r="T138" s="208" t="str">
        <f t="shared" si="12"/>
        <v/>
      </c>
      <c r="U138" s="209" t="str">
        <f t="shared" si="13"/>
        <v/>
      </c>
      <c r="V138" s="182"/>
      <c r="W138" s="183"/>
      <c r="AB138" s="35" t="str">
        <f>IFERROR(INDEX('G-6 Hedgerow Data'!$BJ$3:$BJ$15,MATCH(D138,'G-6 Hedgerow Data'!$B$3:$B$15,0)),"")</f>
        <v/>
      </c>
      <c r="AE138" s="188" t="str">
        <f t="shared" ref="AE138:AE201" si="14">IF(D138="","",IF(P138&gt;0,TRUE,FALSE))</f>
        <v/>
      </c>
      <c r="AF138" s="188" t="str">
        <f t="shared" ref="AF138:AF201" si="15">IF(D138="","",IF(Q138&gt;0,TRUE,FALSE))</f>
        <v/>
      </c>
      <c r="AH138" s="188">
        <v>129</v>
      </c>
      <c r="AJ138" s="188" t="str">
        <f t="array" ref="AJ138">IFERROR(INDEX($AH$10:$AH$258, MATCH(0, IF(TRUE=$AE$10:$AE$258, COUNTIF($AJ$9:$AJ137, $AH$10:$AH$258), ""), 0)),"")</f>
        <v/>
      </c>
      <c r="AK138" s="188" t="str">
        <f t="array" ref="AK138">IFERROR(INDEX($AH$10:$AH$258, MATCH(0, IF(TRUE=$AF$10:$AF$258, COUNTIF($AK$9:$AK137, $AH$10:$AH$258), ""), 0)),"")</f>
        <v/>
      </c>
    </row>
    <row r="139" spans="2:37" ht="13.8" x14ac:dyDescent="0.25">
      <c r="B139" s="168">
        <v>130</v>
      </c>
      <c r="C139" s="275"/>
      <c r="D139" s="275"/>
      <c r="E139" s="185"/>
      <c r="F139" s="171" t="str">
        <f>IF(D139="","",VLOOKUP(D139,'G-6 Hedgerow Data'!$B$2:$AG$15,2,FALSE))</f>
        <v/>
      </c>
      <c r="G139" s="172" t="str">
        <f>IF(D139="","",VLOOKUP(D139,'G-6 Hedgerow Data'!$B$2:$AG$15,3,FALSE))</f>
        <v/>
      </c>
      <c r="H139" s="173"/>
      <c r="I139" s="172" t="str">
        <f>IFERROR(IF(AND(F139="V.Low",OR(H139="Good",H139="Moderate")),"Error",VLOOKUP(H139,'G-1 All Habitats'!$Z$2:$AA$9,2,FALSE)),"")</f>
        <v/>
      </c>
      <c r="J139" s="186"/>
      <c r="K139" s="175" t="str">
        <f>IF(J139="","",IF(VLOOKUP(J139,'G-3 Multipliers'!$L$3:$N$6,2,FALSE)=0,"Spatial Data Missing",VLOOKUP(J139,'G-3 Multipliers'!$L$3:$N$6,2,FALSE)))</f>
        <v/>
      </c>
      <c r="L139" s="176" t="str">
        <f>IF(J139="","",IF(VLOOKUP(J139,'G-3 Multipliers'!$L$3:$N$6,3,FALSE)=0,"Spatial Data Missing",VLOOKUP(J139,'G-3 Multipliers'!$L$3:$N$6,3,FALSE)))</f>
        <v/>
      </c>
      <c r="M139" s="177" t="str">
        <f>IF(D139="","",VLOOKUP(D139,'G-6 Hedgerow Data'!$B$1:$AH$15,33,FALSE))</f>
        <v/>
      </c>
      <c r="N139" s="207" t="str">
        <f t="shared" ref="N139:N202" si="16">IFERROR(E139*G139*I139*L139,"")</f>
        <v/>
      </c>
      <c r="O139" s="44"/>
      <c r="P139" s="173"/>
      <c r="Q139" s="189"/>
      <c r="R139" s="179" t="str">
        <f t="shared" ref="R139:R202" si="17">IFERROR(P139*G139*I139*L139,"")</f>
        <v/>
      </c>
      <c r="S139" s="179" t="str">
        <f t="shared" ref="S139:S202" si="18">IFERROR(Q139*G139*I139*L139,"")</f>
        <v/>
      </c>
      <c r="T139" s="208" t="str">
        <f t="shared" ref="T139:T202" si="19">IF(D139="","",IF(E139&lt;P139+Q139,"Error in Lengths",E139-P139-Q139))</f>
        <v/>
      </c>
      <c r="U139" s="209" t="str">
        <f t="shared" ref="U139:U202" si="20">IF(OR(E139="",N139=""),"",IF(E139&lt;P139+Q139,"Error in Lengths",N139-R139-S139))</f>
        <v/>
      </c>
      <c r="V139" s="182"/>
      <c r="W139" s="183"/>
      <c r="AB139" s="35" t="str">
        <f>IFERROR(INDEX('G-6 Hedgerow Data'!$BJ$3:$BJ$15,MATCH(D139,'G-6 Hedgerow Data'!$B$3:$B$15,0)),"")</f>
        <v/>
      </c>
      <c r="AE139" s="188" t="str">
        <f t="shared" si="14"/>
        <v/>
      </c>
      <c r="AF139" s="188" t="str">
        <f t="shared" si="15"/>
        <v/>
      </c>
      <c r="AH139" s="188">
        <v>130</v>
      </c>
      <c r="AJ139" s="188" t="str">
        <f t="array" ref="AJ139">IFERROR(INDEX($AH$10:$AH$258, MATCH(0, IF(TRUE=$AE$10:$AE$258, COUNTIF($AJ$9:$AJ138, $AH$10:$AH$258), ""), 0)),"")</f>
        <v/>
      </c>
      <c r="AK139" s="188" t="str">
        <f t="array" ref="AK139">IFERROR(INDEX($AH$10:$AH$258, MATCH(0, IF(TRUE=$AF$10:$AF$258, COUNTIF($AK$9:$AK138, $AH$10:$AH$258), ""), 0)),"")</f>
        <v/>
      </c>
    </row>
    <row r="140" spans="2:37" ht="13.8" x14ac:dyDescent="0.25">
      <c r="B140" s="168">
        <v>131</v>
      </c>
      <c r="C140" s="275"/>
      <c r="D140" s="275"/>
      <c r="E140" s="185"/>
      <c r="F140" s="171" t="str">
        <f>IF(D140="","",VLOOKUP(D140,'G-6 Hedgerow Data'!$B$2:$AG$15,2,FALSE))</f>
        <v/>
      </c>
      <c r="G140" s="172" t="str">
        <f>IF(D140="","",VLOOKUP(D140,'G-6 Hedgerow Data'!$B$2:$AG$15,3,FALSE))</f>
        <v/>
      </c>
      <c r="H140" s="173"/>
      <c r="I140" s="172" t="str">
        <f>IFERROR(IF(AND(F140="V.Low",OR(H140="Good",H140="Moderate")),"Error",VLOOKUP(H140,'G-1 All Habitats'!$Z$2:$AA$9,2,FALSE)),"")</f>
        <v/>
      </c>
      <c r="J140" s="186"/>
      <c r="K140" s="175" t="str">
        <f>IF(J140="","",IF(VLOOKUP(J140,'G-3 Multipliers'!$L$3:$N$6,2,FALSE)=0,"Spatial Data Missing",VLOOKUP(J140,'G-3 Multipliers'!$L$3:$N$6,2,FALSE)))</f>
        <v/>
      </c>
      <c r="L140" s="176" t="str">
        <f>IF(J140="","",IF(VLOOKUP(J140,'G-3 Multipliers'!$L$3:$N$6,3,FALSE)=0,"Spatial Data Missing",VLOOKUP(J140,'G-3 Multipliers'!$L$3:$N$6,3,FALSE)))</f>
        <v/>
      </c>
      <c r="M140" s="177" t="str">
        <f>IF(D140="","",VLOOKUP(D140,'G-6 Hedgerow Data'!$B$1:$AH$15,33,FALSE))</f>
        <v/>
      </c>
      <c r="N140" s="207" t="str">
        <f t="shared" si="16"/>
        <v/>
      </c>
      <c r="O140" s="44"/>
      <c r="P140" s="173"/>
      <c r="Q140" s="189"/>
      <c r="R140" s="179" t="str">
        <f t="shared" si="17"/>
        <v/>
      </c>
      <c r="S140" s="179" t="str">
        <f t="shared" si="18"/>
        <v/>
      </c>
      <c r="T140" s="208" t="str">
        <f t="shared" si="19"/>
        <v/>
      </c>
      <c r="U140" s="209" t="str">
        <f t="shared" si="20"/>
        <v/>
      </c>
      <c r="V140" s="182"/>
      <c r="W140" s="183"/>
      <c r="AB140" s="35" t="str">
        <f>IFERROR(INDEX('G-6 Hedgerow Data'!$BJ$3:$BJ$15,MATCH(D140,'G-6 Hedgerow Data'!$B$3:$B$15,0)),"")</f>
        <v/>
      </c>
      <c r="AE140" s="188" t="str">
        <f t="shared" si="14"/>
        <v/>
      </c>
      <c r="AF140" s="188" t="str">
        <f t="shared" si="15"/>
        <v/>
      </c>
      <c r="AH140" s="188">
        <v>131</v>
      </c>
      <c r="AJ140" s="188" t="str">
        <f t="array" ref="AJ140">IFERROR(INDEX($AH$10:$AH$258, MATCH(0, IF(TRUE=$AE$10:$AE$258, COUNTIF($AJ$9:$AJ139, $AH$10:$AH$258), ""), 0)),"")</f>
        <v/>
      </c>
      <c r="AK140" s="188" t="str">
        <f t="array" ref="AK140">IFERROR(INDEX($AH$10:$AH$258, MATCH(0, IF(TRUE=$AF$10:$AF$258, COUNTIF($AK$9:$AK139, $AH$10:$AH$258), ""), 0)),"")</f>
        <v/>
      </c>
    </row>
    <row r="141" spans="2:37" ht="13.8" x14ac:dyDescent="0.25">
      <c r="B141" s="168">
        <v>132</v>
      </c>
      <c r="C141" s="275"/>
      <c r="D141" s="275"/>
      <c r="E141" s="185"/>
      <c r="F141" s="171" t="str">
        <f>IF(D141="","",VLOOKUP(D141,'G-6 Hedgerow Data'!$B$2:$AG$15,2,FALSE))</f>
        <v/>
      </c>
      <c r="G141" s="172" t="str">
        <f>IF(D141="","",VLOOKUP(D141,'G-6 Hedgerow Data'!$B$2:$AG$15,3,FALSE))</f>
        <v/>
      </c>
      <c r="H141" s="173"/>
      <c r="I141" s="172" t="str">
        <f>IFERROR(IF(AND(F141="V.Low",OR(H141="Good",H141="Moderate")),"Error",VLOOKUP(H141,'G-1 All Habitats'!$Z$2:$AA$9,2,FALSE)),"")</f>
        <v/>
      </c>
      <c r="J141" s="186"/>
      <c r="K141" s="175" t="str">
        <f>IF(J141="","",IF(VLOOKUP(J141,'G-3 Multipliers'!$L$3:$N$6,2,FALSE)=0,"Spatial Data Missing",VLOOKUP(J141,'G-3 Multipliers'!$L$3:$N$6,2,FALSE)))</f>
        <v/>
      </c>
      <c r="L141" s="176" t="str">
        <f>IF(J141="","",IF(VLOOKUP(J141,'G-3 Multipliers'!$L$3:$N$6,3,FALSE)=0,"Spatial Data Missing",VLOOKUP(J141,'G-3 Multipliers'!$L$3:$N$6,3,FALSE)))</f>
        <v/>
      </c>
      <c r="M141" s="177" t="str">
        <f>IF(D141="","",VLOOKUP(D141,'G-6 Hedgerow Data'!$B$1:$AH$15,33,FALSE))</f>
        <v/>
      </c>
      <c r="N141" s="207" t="str">
        <f t="shared" si="16"/>
        <v/>
      </c>
      <c r="O141" s="44"/>
      <c r="P141" s="173"/>
      <c r="Q141" s="189"/>
      <c r="R141" s="179" t="str">
        <f t="shared" si="17"/>
        <v/>
      </c>
      <c r="S141" s="179" t="str">
        <f t="shared" si="18"/>
        <v/>
      </c>
      <c r="T141" s="208" t="str">
        <f t="shared" si="19"/>
        <v/>
      </c>
      <c r="U141" s="209" t="str">
        <f t="shared" si="20"/>
        <v/>
      </c>
      <c r="V141" s="182"/>
      <c r="W141" s="183"/>
      <c r="AB141" s="35" t="str">
        <f>IFERROR(INDEX('G-6 Hedgerow Data'!$BJ$3:$BJ$15,MATCH(D141,'G-6 Hedgerow Data'!$B$3:$B$15,0)),"")</f>
        <v/>
      </c>
      <c r="AE141" s="188" t="str">
        <f t="shared" si="14"/>
        <v/>
      </c>
      <c r="AF141" s="188" t="str">
        <f t="shared" si="15"/>
        <v/>
      </c>
      <c r="AH141" s="188">
        <v>132</v>
      </c>
      <c r="AJ141" s="188" t="str">
        <f t="array" ref="AJ141">IFERROR(INDEX($AH$10:$AH$258, MATCH(0, IF(TRUE=$AE$10:$AE$258, COUNTIF($AJ$9:$AJ140, $AH$10:$AH$258), ""), 0)),"")</f>
        <v/>
      </c>
      <c r="AK141" s="188" t="str">
        <f t="array" ref="AK141">IFERROR(INDEX($AH$10:$AH$258, MATCH(0, IF(TRUE=$AF$10:$AF$258, COUNTIF($AK$9:$AK140, $AH$10:$AH$258), ""), 0)),"")</f>
        <v/>
      </c>
    </row>
    <row r="142" spans="2:37" ht="13.8" x14ac:dyDescent="0.25">
      <c r="B142" s="168">
        <v>133</v>
      </c>
      <c r="C142" s="275"/>
      <c r="D142" s="275"/>
      <c r="E142" s="185"/>
      <c r="F142" s="171" t="str">
        <f>IF(D142="","",VLOOKUP(D142,'G-6 Hedgerow Data'!$B$2:$AG$15,2,FALSE))</f>
        <v/>
      </c>
      <c r="G142" s="172" t="str">
        <f>IF(D142="","",VLOOKUP(D142,'G-6 Hedgerow Data'!$B$2:$AG$15,3,FALSE))</f>
        <v/>
      </c>
      <c r="H142" s="173"/>
      <c r="I142" s="172" t="str">
        <f>IFERROR(IF(AND(F142="V.Low",OR(H142="Good",H142="Moderate")),"Error",VLOOKUP(H142,'G-1 All Habitats'!$Z$2:$AA$9,2,FALSE)),"")</f>
        <v/>
      </c>
      <c r="J142" s="186"/>
      <c r="K142" s="175" t="str">
        <f>IF(J142="","",IF(VLOOKUP(J142,'G-3 Multipliers'!$L$3:$N$6,2,FALSE)=0,"Spatial Data Missing",VLOOKUP(J142,'G-3 Multipliers'!$L$3:$N$6,2,FALSE)))</f>
        <v/>
      </c>
      <c r="L142" s="176" t="str">
        <f>IF(J142="","",IF(VLOOKUP(J142,'G-3 Multipliers'!$L$3:$N$6,3,FALSE)=0,"Spatial Data Missing",VLOOKUP(J142,'G-3 Multipliers'!$L$3:$N$6,3,FALSE)))</f>
        <v/>
      </c>
      <c r="M142" s="177" t="str">
        <f>IF(D142="","",VLOOKUP(D142,'G-6 Hedgerow Data'!$B$1:$AH$15,33,FALSE))</f>
        <v/>
      </c>
      <c r="N142" s="207" t="str">
        <f t="shared" si="16"/>
        <v/>
      </c>
      <c r="O142" s="44"/>
      <c r="P142" s="173"/>
      <c r="Q142" s="189"/>
      <c r="R142" s="179" t="str">
        <f t="shared" si="17"/>
        <v/>
      </c>
      <c r="S142" s="179" t="str">
        <f t="shared" si="18"/>
        <v/>
      </c>
      <c r="T142" s="208" t="str">
        <f t="shared" si="19"/>
        <v/>
      </c>
      <c r="U142" s="209" t="str">
        <f t="shared" si="20"/>
        <v/>
      </c>
      <c r="V142" s="182"/>
      <c r="W142" s="183"/>
      <c r="AB142" s="35" t="str">
        <f>IFERROR(INDEX('G-6 Hedgerow Data'!$BJ$3:$BJ$15,MATCH(D142,'G-6 Hedgerow Data'!$B$3:$B$15,0)),"")</f>
        <v/>
      </c>
      <c r="AE142" s="188" t="str">
        <f t="shared" si="14"/>
        <v/>
      </c>
      <c r="AF142" s="188" t="str">
        <f t="shared" si="15"/>
        <v/>
      </c>
      <c r="AH142" s="188">
        <v>133</v>
      </c>
      <c r="AJ142" s="188" t="str">
        <f t="array" ref="AJ142">IFERROR(INDEX($AH$10:$AH$258, MATCH(0, IF(TRUE=$AE$10:$AE$258, COUNTIF($AJ$9:$AJ141, $AH$10:$AH$258), ""), 0)),"")</f>
        <v/>
      </c>
      <c r="AK142" s="188" t="str">
        <f t="array" ref="AK142">IFERROR(INDEX($AH$10:$AH$258, MATCH(0, IF(TRUE=$AF$10:$AF$258, COUNTIF($AK$9:$AK141, $AH$10:$AH$258), ""), 0)),"")</f>
        <v/>
      </c>
    </row>
    <row r="143" spans="2:37" ht="13.8" x14ac:dyDescent="0.25">
      <c r="B143" s="168">
        <v>134</v>
      </c>
      <c r="C143" s="275"/>
      <c r="D143" s="275"/>
      <c r="E143" s="185"/>
      <c r="F143" s="171" t="str">
        <f>IF(D143="","",VLOOKUP(D143,'G-6 Hedgerow Data'!$B$2:$AG$15,2,FALSE))</f>
        <v/>
      </c>
      <c r="G143" s="172" t="str">
        <f>IF(D143="","",VLOOKUP(D143,'G-6 Hedgerow Data'!$B$2:$AG$15,3,FALSE))</f>
        <v/>
      </c>
      <c r="H143" s="173"/>
      <c r="I143" s="172" t="str">
        <f>IFERROR(IF(AND(F143="V.Low",OR(H143="Good",H143="Moderate")),"Error",VLOOKUP(H143,'G-1 All Habitats'!$Z$2:$AA$9,2,FALSE)),"")</f>
        <v/>
      </c>
      <c r="J143" s="186"/>
      <c r="K143" s="175" t="str">
        <f>IF(J143="","",IF(VLOOKUP(J143,'G-3 Multipliers'!$L$3:$N$6,2,FALSE)=0,"Spatial Data Missing",VLOOKUP(J143,'G-3 Multipliers'!$L$3:$N$6,2,FALSE)))</f>
        <v/>
      </c>
      <c r="L143" s="176" t="str">
        <f>IF(J143="","",IF(VLOOKUP(J143,'G-3 Multipliers'!$L$3:$N$6,3,FALSE)=0,"Spatial Data Missing",VLOOKUP(J143,'G-3 Multipliers'!$L$3:$N$6,3,FALSE)))</f>
        <v/>
      </c>
      <c r="M143" s="177" t="str">
        <f>IF(D143="","",VLOOKUP(D143,'G-6 Hedgerow Data'!$B$1:$AH$15,33,FALSE))</f>
        <v/>
      </c>
      <c r="N143" s="207" t="str">
        <f t="shared" si="16"/>
        <v/>
      </c>
      <c r="O143" s="44"/>
      <c r="P143" s="173"/>
      <c r="Q143" s="189"/>
      <c r="R143" s="179" t="str">
        <f t="shared" si="17"/>
        <v/>
      </c>
      <c r="S143" s="179" t="str">
        <f t="shared" si="18"/>
        <v/>
      </c>
      <c r="T143" s="208" t="str">
        <f t="shared" si="19"/>
        <v/>
      </c>
      <c r="U143" s="209" t="str">
        <f t="shared" si="20"/>
        <v/>
      </c>
      <c r="V143" s="182"/>
      <c r="W143" s="183"/>
      <c r="AB143" s="35" t="str">
        <f>IFERROR(INDEX('G-6 Hedgerow Data'!$BJ$3:$BJ$15,MATCH(D143,'G-6 Hedgerow Data'!$B$3:$B$15,0)),"")</f>
        <v/>
      </c>
      <c r="AE143" s="188" t="str">
        <f t="shared" si="14"/>
        <v/>
      </c>
      <c r="AF143" s="188" t="str">
        <f t="shared" si="15"/>
        <v/>
      </c>
      <c r="AH143" s="188">
        <v>134</v>
      </c>
      <c r="AJ143" s="188" t="str">
        <f t="array" ref="AJ143">IFERROR(INDEX($AH$10:$AH$258, MATCH(0, IF(TRUE=$AE$10:$AE$258, COUNTIF($AJ$9:$AJ142, $AH$10:$AH$258), ""), 0)),"")</f>
        <v/>
      </c>
      <c r="AK143" s="188" t="str">
        <f t="array" ref="AK143">IFERROR(INDEX($AH$10:$AH$258, MATCH(0, IF(TRUE=$AF$10:$AF$258, COUNTIF($AK$9:$AK142, $AH$10:$AH$258), ""), 0)),"")</f>
        <v/>
      </c>
    </row>
    <row r="144" spans="2:37" ht="13.8" x14ac:dyDescent="0.25">
      <c r="B144" s="168">
        <v>135</v>
      </c>
      <c r="C144" s="275"/>
      <c r="D144" s="275"/>
      <c r="E144" s="185"/>
      <c r="F144" s="171" t="str">
        <f>IF(D144="","",VLOOKUP(D144,'G-6 Hedgerow Data'!$B$2:$AG$15,2,FALSE))</f>
        <v/>
      </c>
      <c r="G144" s="172" t="str">
        <f>IF(D144="","",VLOOKUP(D144,'G-6 Hedgerow Data'!$B$2:$AG$15,3,FALSE))</f>
        <v/>
      </c>
      <c r="H144" s="173"/>
      <c r="I144" s="172" t="str">
        <f>IFERROR(IF(AND(F144="V.Low",OR(H144="Good",H144="Moderate")),"Error",VLOOKUP(H144,'G-1 All Habitats'!$Z$2:$AA$9,2,FALSE)),"")</f>
        <v/>
      </c>
      <c r="J144" s="186"/>
      <c r="K144" s="175" t="str">
        <f>IF(J144="","",IF(VLOOKUP(J144,'G-3 Multipliers'!$L$3:$N$6,2,FALSE)=0,"Spatial Data Missing",VLOOKUP(J144,'G-3 Multipliers'!$L$3:$N$6,2,FALSE)))</f>
        <v/>
      </c>
      <c r="L144" s="176" t="str">
        <f>IF(J144="","",IF(VLOOKUP(J144,'G-3 Multipliers'!$L$3:$N$6,3,FALSE)=0,"Spatial Data Missing",VLOOKUP(J144,'G-3 Multipliers'!$L$3:$N$6,3,FALSE)))</f>
        <v/>
      </c>
      <c r="M144" s="177" t="str">
        <f>IF(D144="","",VLOOKUP(D144,'G-6 Hedgerow Data'!$B$1:$AH$15,33,FALSE))</f>
        <v/>
      </c>
      <c r="N144" s="207" t="str">
        <f t="shared" si="16"/>
        <v/>
      </c>
      <c r="O144" s="44"/>
      <c r="P144" s="173"/>
      <c r="Q144" s="189"/>
      <c r="R144" s="179" t="str">
        <f t="shared" si="17"/>
        <v/>
      </c>
      <c r="S144" s="179" t="str">
        <f t="shared" si="18"/>
        <v/>
      </c>
      <c r="T144" s="208" t="str">
        <f t="shared" si="19"/>
        <v/>
      </c>
      <c r="U144" s="209" t="str">
        <f t="shared" si="20"/>
        <v/>
      </c>
      <c r="V144" s="182"/>
      <c r="W144" s="183"/>
      <c r="AB144" s="35" t="str">
        <f>IFERROR(INDEX('G-6 Hedgerow Data'!$BJ$3:$BJ$15,MATCH(D144,'G-6 Hedgerow Data'!$B$3:$B$15,0)),"")</f>
        <v/>
      </c>
      <c r="AE144" s="188" t="str">
        <f t="shared" si="14"/>
        <v/>
      </c>
      <c r="AF144" s="188" t="str">
        <f t="shared" si="15"/>
        <v/>
      </c>
      <c r="AH144" s="188">
        <v>135</v>
      </c>
      <c r="AJ144" s="188" t="str">
        <f t="array" ref="AJ144">IFERROR(INDEX($AH$10:$AH$258, MATCH(0, IF(TRUE=$AE$10:$AE$258, COUNTIF($AJ$9:$AJ143, $AH$10:$AH$258), ""), 0)),"")</f>
        <v/>
      </c>
      <c r="AK144" s="188" t="str">
        <f t="array" ref="AK144">IFERROR(INDEX($AH$10:$AH$258, MATCH(0, IF(TRUE=$AF$10:$AF$258, COUNTIF($AK$9:$AK143, $AH$10:$AH$258), ""), 0)),"")</f>
        <v/>
      </c>
    </row>
    <row r="145" spans="2:37" ht="13.8" x14ac:dyDescent="0.25">
      <c r="B145" s="168">
        <v>136</v>
      </c>
      <c r="C145" s="275"/>
      <c r="D145" s="275"/>
      <c r="E145" s="185"/>
      <c r="F145" s="171" t="str">
        <f>IF(D145="","",VLOOKUP(D145,'G-6 Hedgerow Data'!$B$2:$AG$15,2,FALSE))</f>
        <v/>
      </c>
      <c r="G145" s="172" t="str">
        <f>IF(D145="","",VLOOKUP(D145,'G-6 Hedgerow Data'!$B$2:$AG$15,3,FALSE))</f>
        <v/>
      </c>
      <c r="H145" s="173"/>
      <c r="I145" s="172" t="str">
        <f>IFERROR(IF(AND(F145="V.Low",OR(H145="Good",H145="Moderate")),"Error",VLOOKUP(H145,'G-1 All Habitats'!$Z$2:$AA$9,2,FALSE)),"")</f>
        <v/>
      </c>
      <c r="J145" s="186"/>
      <c r="K145" s="175" t="str">
        <f>IF(J145="","",IF(VLOOKUP(J145,'G-3 Multipliers'!$L$3:$N$6,2,FALSE)=0,"Spatial Data Missing",VLOOKUP(J145,'G-3 Multipliers'!$L$3:$N$6,2,FALSE)))</f>
        <v/>
      </c>
      <c r="L145" s="176" t="str">
        <f>IF(J145="","",IF(VLOOKUP(J145,'G-3 Multipliers'!$L$3:$N$6,3,FALSE)=0,"Spatial Data Missing",VLOOKUP(J145,'G-3 Multipliers'!$L$3:$N$6,3,FALSE)))</f>
        <v/>
      </c>
      <c r="M145" s="177" t="str">
        <f>IF(D145="","",VLOOKUP(D145,'G-6 Hedgerow Data'!$B$1:$AH$15,33,FALSE))</f>
        <v/>
      </c>
      <c r="N145" s="207" t="str">
        <f t="shared" si="16"/>
        <v/>
      </c>
      <c r="O145" s="44"/>
      <c r="P145" s="173"/>
      <c r="Q145" s="189"/>
      <c r="R145" s="179" t="str">
        <f t="shared" si="17"/>
        <v/>
      </c>
      <c r="S145" s="179" t="str">
        <f t="shared" si="18"/>
        <v/>
      </c>
      <c r="T145" s="208" t="str">
        <f t="shared" si="19"/>
        <v/>
      </c>
      <c r="U145" s="209" t="str">
        <f t="shared" si="20"/>
        <v/>
      </c>
      <c r="V145" s="182"/>
      <c r="W145" s="183"/>
      <c r="AB145" s="35" t="str">
        <f>IFERROR(INDEX('G-6 Hedgerow Data'!$BJ$3:$BJ$15,MATCH(D145,'G-6 Hedgerow Data'!$B$3:$B$15,0)),"")</f>
        <v/>
      </c>
      <c r="AE145" s="188" t="str">
        <f t="shared" si="14"/>
        <v/>
      </c>
      <c r="AF145" s="188" t="str">
        <f t="shared" si="15"/>
        <v/>
      </c>
      <c r="AH145" s="188">
        <v>136</v>
      </c>
      <c r="AJ145" s="188" t="str">
        <f t="array" ref="AJ145">IFERROR(INDEX($AH$10:$AH$258, MATCH(0, IF(TRUE=$AE$10:$AE$258, COUNTIF($AJ$9:$AJ144, $AH$10:$AH$258), ""), 0)),"")</f>
        <v/>
      </c>
      <c r="AK145" s="188" t="str">
        <f t="array" ref="AK145">IFERROR(INDEX($AH$10:$AH$258, MATCH(0, IF(TRUE=$AF$10:$AF$258, COUNTIF($AK$9:$AK144, $AH$10:$AH$258), ""), 0)),"")</f>
        <v/>
      </c>
    </row>
    <row r="146" spans="2:37" ht="13.8" x14ac:dyDescent="0.25">
      <c r="B146" s="168">
        <v>137</v>
      </c>
      <c r="C146" s="275"/>
      <c r="D146" s="275"/>
      <c r="E146" s="185"/>
      <c r="F146" s="171" t="str">
        <f>IF(D146="","",VLOOKUP(D146,'G-6 Hedgerow Data'!$B$2:$AG$15,2,FALSE))</f>
        <v/>
      </c>
      <c r="G146" s="172" t="str">
        <f>IF(D146="","",VLOOKUP(D146,'G-6 Hedgerow Data'!$B$2:$AG$15,3,FALSE))</f>
        <v/>
      </c>
      <c r="H146" s="173"/>
      <c r="I146" s="172" t="str">
        <f>IFERROR(IF(AND(F146="V.Low",OR(H146="Good",H146="Moderate")),"Error",VLOOKUP(H146,'G-1 All Habitats'!$Z$2:$AA$9,2,FALSE)),"")</f>
        <v/>
      </c>
      <c r="J146" s="186"/>
      <c r="K146" s="175" t="str">
        <f>IF(J146="","",IF(VLOOKUP(J146,'G-3 Multipliers'!$L$3:$N$6,2,FALSE)=0,"Spatial Data Missing",VLOOKUP(J146,'G-3 Multipliers'!$L$3:$N$6,2,FALSE)))</f>
        <v/>
      </c>
      <c r="L146" s="176" t="str">
        <f>IF(J146="","",IF(VLOOKUP(J146,'G-3 Multipliers'!$L$3:$N$6,3,FALSE)=0,"Spatial Data Missing",VLOOKUP(J146,'G-3 Multipliers'!$L$3:$N$6,3,FALSE)))</f>
        <v/>
      </c>
      <c r="M146" s="177" t="str">
        <f>IF(D146="","",VLOOKUP(D146,'G-6 Hedgerow Data'!$B$1:$AH$15,33,FALSE))</f>
        <v/>
      </c>
      <c r="N146" s="207" t="str">
        <f t="shared" si="16"/>
        <v/>
      </c>
      <c r="O146" s="44"/>
      <c r="P146" s="173"/>
      <c r="Q146" s="189"/>
      <c r="R146" s="179" t="str">
        <f t="shared" si="17"/>
        <v/>
      </c>
      <c r="S146" s="179" t="str">
        <f t="shared" si="18"/>
        <v/>
      </c>
      <c r="T146" s="208" t="str">
        <f t="shared" si="19"/>
        <v/>
      </c>
      <c r="U146" s="209" t="str">
        <f t="shared" si="20"/>
        <v/>
      </c>
      <c r="V146" s="182"/>
      <c r="W146" s="183"/>
      <c r="AB146" s="35" t="str">
        <f>IFERROR(INDEX('G-6 Hedgerow Data'!$BJ$3:$BJ$15,MATCH(D146,'G-6 Hedgerow Data'!$B$3:$B$15,0)),"")</f>
        <v/>
      </c>
      <c r="AE146" s="188" t="str">
        <f t="shared" si="14"/>
        <v/>
      </c>
      <c r="AF146" s="188" t="str">
        <f t="shared" si="15"/>
        <v/>
      </c>
      <c r="AH146" s="188">
        <v>137</v>
      </c>
      <c r="AJ146" s="188" t="str">
        <f t="array" ref="AJ146">IFERROR(INDEX($AH$10:$AH$258, MATCH(0, IF(TRUE=$AE$10:$AE$258, COUNTIF($AJ$9:$AJ145, $AH$10:$AH$258), ""), 0)),"")</f>
        <v/>
      </c>
      <c r="AK146" s="188" t="str">
        <f t="array" ref="AK146">IFERROR(INDEX($AH$10:$AH$258, MATCH(0, IF(TRUE=$AF$10:$AF$258, COUNTIF($AK$9:$AK145, $AH$10:$AH$258), ""), 0)),"")</f>
        <v/>
      </c>
    </row>
    <row r="147" spans="2:37" ht="13.8" x14ac:dyDescent="0.25">
      <c r="B147" s="168">
        <v>138</v>
      </c>
      <c r="C147" s="275"/>
      <c r="D147" s="275"/>
      <c r="E147" s="185"/>
      <c r="F147" s="171" t="str">
        <f>IF(D147="","",VLOOKUP(D147,'G-6 Hedgerow Data'!$B$2:$AG$15,2,FALSE))</f>
        <v/>
      </c>
      <c r="G147" s="172" t="str">
        <f>IF(D147="","",VLOOKUP(D147,'G-6 Hedgerow Data'!$B$2:$AG$15,3,FALSE))</f>
        <v/>
      </c>
      <c r="H147" s="173"/>
      <c r="I147" s="172" t="str">
        <f>IFERROR(IF(AND(F147="V.Low",OR(H147="Good",H147="Moderate")),"Error",VLOOKUP(H147,'G-1 All Habitats'!$Z$2:$AA$9,2,FALSE)),"")</f>
        <v/>
      </c>
      <c r="J147" s="186"/>
      <c r="K147" s="175" t="str">
        <f>IF(J147="","",IF(VLOOKUP(J147,'G-3 Multipliers'!$L$3:$N$6,2,FALSE)=0,"Spatial Data Missing",VLOOKUP(J147,'G-3 Multipliers'!$L$3:$N$6,2,FALSE)))</f>
        <v/>
      </c>
      <c r="L147" s="176" t="str">
        <f>IF(J147="","",IF(VLOOKUP(J147,'G-3 Multipliers'!$L$3:$N$6,3,FALSE)=0,"Spatial Data Missing",VLOOKUP(J147,'G-3 Multipliers'!$L$3:$N$6,3,FALSE)))</f>
        <v/>
      </c>
      <c r="M147" s="177" t="str">
        <f>IF(D147="","",VLOOKUP(D147,'G-6 Hedgerow Data'!$B$1:$AH$15,33,FALSE))</f>
        <v/>
      </c>
      <c r="N147" s="207" t="str">
        <f t="shared" si="16"/>
        <v/>
      </c>
      <c r="O147" s="44"/>
      <c r="P147" s="173"/>
      <c r="Q147" s="189"/>
      <c r="R147" s="179" t="str">
        <f t="shared" si="17"/>
        <v/>
      </c>
      <c r="S147" s="179" t="str">
        <f t="shared" si="18"/>
        <v/>
      </c>
      <c r="T147" s="208" t="str">
        <f t="shared" si="19"/>
        <v/>
      </c>
      <c r="U147" s="209" t="str">
        <f t="shared" si="20"/>
        <v/>
      </c>
      <c r="V147" s="182"/>
      <c r="W147" s="183"/>
      <c r="AB147" s="35" t="str">
        <f>IFERROR(INDEX('G-6 Hedgerow Data'!$BJ$3:$BJ$15,MATCH(D147,'G-6 Hedgerow Data'!$B$3:$B$15,0)),"")</f>
        <v/>
      </c>
      <c r="AE147" s="188" t="str">
        <f t="shared" si="14"/>
        <v/>
      </c>
      <c r="AF147" s="188" t="str">
        <f t="shared" si="15"/>
        <v/>
      </c>
      <c r="AH147" s="188">
        <v>138</v>
      </c>
      <c r="AJ147" s="188" t="str">
        <f t="array" ref="AJ147">IFERROR(INDEX($AH$10:$AH$258, MATCH(0, IF(TRUE=$AE$10:$AE$258, COUNTIF($AJ$9:$AJ146, $AH$10:$AH$258), ""), 0)),"")</f>
        <v/>
      </c>
      <c r="AK147" s="188" t="str">
        <f t="array" ref="AK147">IFERROR(INDEX($AH$10:$AH$258, MATCH(0, IF(TRUE=$AF$10:$AF$258, COUNTIF($AK$9:$AK146, $AH$10:$AH$258), ""), 0)),"")</f>
        <v/>
      </c>
    </row>
    <row r="148" spans="2:37" ht="13.8" x14ac:dyDescent="0.25">
      <c r="B148" s="168">
        <v>139</v>
      </c>
      <c r="C148" s="275"/>
      <c r="D148" s="275"/>
      <c r="E148" s="185"/>
      <c r="F148" s="171" t="str">
        <f>IF(D148="","",VLOOKUP(D148,'G-6 Hedgerow Data'!$B$2:$AG$15,2,FALSE))</f>
        <v/>
      </c>
      <c r="G148" s="172" t="str">
        <f>IF(D148="","",VLOOKUP(D148,'G-6 Hedgerow Data'!$B$2:$AG$15,3,FALSE))</f>
        <v/>
      </c>
      <c r="H148" s="173"/>
      <c r="I148" s="172" t="str">
        <f>IFERROR(IF(AND(F148="V.Low",OR(H148="Good",H148="Moderate")),"Error",VLOOKUP(H148,'G-1 All Habitats'!$Z$2:$AA$9,2,FALSE)),"")</f>
        <v/>
      </c>
      <c r="J148" s="186"/>
      <c r="K148" s="175" t="str">
        <f>IF(J148="","",IF(VLOOKUP(J148,'G-3 Multipliers'!$L$3:$N$6,2,FALSE)=0,"Spatial Data Missing",VLOOKUP(J148,'G-3 Multipliers'!$L$3:$N$6,2,FALSE)))</f>
        <v/>
      </c>
      <c r="L148" s="176" t="str">
        <f>IF(J148="","",IF(VLOOKUP(J148,'G-3 Multipliers'!$L$3:$N$6,3,FALSE)=0,"Spatial Data Missing",VLOOKUP(J148,'G-3 Multipliers'!$L$3:$N$6,3,FALSE)))</f>
        <v/>
      </c>
      <c r="M148" s="177" t="str">
        <f>IF(D148="","",VLOOKUP(D148,'G-6 Hedgerow Data'!$B$1:$AH$15,33,FALSE))</f>
        <v/>
      </c>
      <c r="N148" s="207" t="str">
        <f t="shared" si="16"/>
        <v/>
      </c>
      <c r="O148" s="44"/>
      <c r="P148" s="173"/>
      <c r="Q148" s="189"/>
      <c r="R148" s="179" t="str">
        <f t="shared" si="17"/>
        <v/>
      </c>
      <c r="S148" s="179" t="str">
        <f t="shared" si="18"/>
        <v/>
      </c>
      <c r="T148" s="208" t="str">
        <f t="shared" si="19"/>
        <v/>
      </c>
      <c r="U148" s="209" t="str">
        <f t="shared" si="20"/>
        <v/>
      </c>
      <c r="V148" s="182"/>
      <c r="W148" s="183"/>
      <c r="AB148" s="35" t="str">
        <f>IFERROR(INDEX('G-6 Hedgerow Data'!$BJ$3:$BJ$15,MATCH(D148,'G-6 Hedgerow Data'!$B$3:$B$15,0)),"")</f>
        <v/>
      </c>
      <c r="AE148" s="188" t="str">
        <f t="shared" si="14"/>
        <v/>
      </c>
      <c r="AF148" s="188" t="str">
        <f t="shared" si="15"/>
        <v/>
      </c>
      <c r="AH148" s="188">
        <v>139</v>
      </c>
      <c r="AJ148" s="188" t="str">
        <f t="array" ref="AJ148">IFERROR(INDEX($AH$10:$AH$258, MATCH(0, IF(TRUE=$AE$10:$AE$258, COUNTIF($AJ$9:$AJ147, $AH$10:$AH$258), ""), 0)),"")</f>
        <v/>
      </c>
      <c r="AK148" s="188" t="str">
        <f t="array" ref="AK148">IFERROR(INDEX($AH$10:$AH$258, MATCH(0, IF(TRUE=$AF$10:$AF$258, COUNTIF($AK$9:$AK147, $AH$10:$AH$258), ""), 0)),"")</f>
        <v/>
      </c>
    </row>
    <row r="149" spans="2:37" ht="13.8" x14ac:dyDescent="0.25">
      <c r="B149" s="168">
        <v>140</v>
      </c>
      <c r="C149" s="275"/>
      <c r="D149" s="275"/>
      <c r="E149" s="185"/>
      <c r="F149" s="171" t="str">
        <f>IF(D149="","",VLOOKUP(D149,'G-6 Hedgerow Data'!$B$2:$AG$15,2,FALSE))</f>
        <v/>
      </c>
      <c r="G149" s="172" t="str">
        <f>IF(D149="","",VLOOKUP(D149,'G-6 Hedgerow Data'!$B$2:$AG$15,3,FALSE))</f>
        <v/>
      </c>
      <c r="H149" s="173"/>
      <c r="I149" s="172" t="str">
        <f>IFERROR(IF(AND(F149="V.Low",OR(H149="Good",H149="Moderate")),"Error",VLOOKUP(H149,'G-1 All Habitats'!$Z$2:$AA$9,2,FALSE)),"")</f>
        <v/>
      </c>
      <c r="J149" s="186"/>
      <c r="K149" s="175" t="str">
        <f>IF(J149="","",IF(VLOOKUP(J149,'G-3 Multipliers'!$L$3:$N$6,2,FALSE)=0,"Spatial Data Missing",VLOOKUP(J149,'G-3 Multipliers'!$L$3:$N$6,2,FALSE)))</f>
        <v/>
      </c>
      <c r="L149" s="176" t="str">
        <f>IF(J149="","",IF(VLOOKUP(J149,'G-3 Multipliers'!$L$3:$N$6,3,FALSE)=0,"Spatial Data Missing",VLOOKUP(J149,'G-3 Multipliers'!$L$3:$N$6,3,FALSE)))</f>
        <v/>
      </c>
      <c r="M149" s="177" t="str">
        <f>IF(D149="","",VLOOKUP(D149,'G-6 Hedgerow Data'!$B$1:$AH$15,33,FALSE))</f>
        <v/>
      </c>
      <c r="N149" s="207" t="str">
        <f t="shared" si="16"/>
        <v/>
      </c>
      <c r="O149" s="44"/>
      <c r="P149" s="173"/>
      <c r="Q149" s="189"/>
      <c r="R149" s="179" t="str">
        <f t="shared" si="17"/>
        <v/>
      </c>
      <c r="S149" s="179" t="str">
        <f t="shared" si="18"/>
        <v/>
      </c>
      <c r="T149" s="208" t="str">
        <f t="shared" si="19"/>
        <v/>
      </c>
      <c r="U149" s="209" t="str">
        <f t="shared" si="20"/>
        <v/>
      </c>
      <c r="V149" s="182"/>
      <c r="W149" s="183"/>
      <c r="AB149" s="35" t="str">
        <f>IFERROR(INDEX('G-6 Hedgerow Data'!$BJ$3:$BJ$15,MATCH(D149,'G-6 Hedgerow Data'!$B$3:$B$15,0)),"")</f>
        <v/>
      </c>
      <c r="AE149" s="188" t="str">
        <f t="shared" si="14"/>
        <v/>
      </c>
      <c r="AF149" s="188" t="str">
        <f t="shared" si="15"/>
        <v/>
      </c>
      <c r="AH149" s="188">
        <v>140</v>
      </c>
      <c r="AJ149" s="188" t="str">
        <f t="array" ref="AJ149">IFERROR(INDEX($AH$10:$AH$258, MATCH(0, IF(TRUE=$AE$10:$AE$258, COUNTIF($AJ$9:$AJ148, $AH$10:$AH$258), ""), 0)),"")</f>
        <v/>
      </c>
      <c r="AK149" s="188" t="str">
        <f t="array" ref="AK149">IFERROR(INDEX($AH$10:$AH$258, MATCH(0, IF(TRUE=$AF$10:$AF$258, COUNTIF($AK$9:$AK148, $AH$10:$AH$258), ""), 0)),"")</f>
        <v/>
      </c>
    </row>
    <row r="150" spans="2:37" ht="13.8" x14ac:dyDescent="0.25">
      <c r="B150" s="168">
        <v>141</v>
      </c>
      <c r="C150" s="275"/>
      <c r="D150" s="275"/>
      <c r="E150" s="185"/>
      <c r="F150" s="171" t="str">
        <f>IF(D150="","",VLOOKUP(D150,'G-6 Hedgerow Data'!$B$2:$AG$15,2,FALSE))</f>
        <v/>
      </c>
      <c r="G150" s="172" t="str">
        <f>IF(D150="","",VLOOKUP(D150,'G-6 Hedgerow Data'!$B$2:$AG$15,3,FALSE))</f>
        <v/>
      </c>
      <c r="H150" s="173"/>
      <c r="I150" s="172" t="str">
        <f>IFERROR(IF(AND(F150="V.Low",OR(H150="Good",H150="Moderate")),"Error",VLOOKUP(H150,'G-1 All Habitats'!$Z$2:$AA$9,2,FALSE)),"")</f>
        <v/>
      </c>
      <c r="J150" s="186"/>
      <c r="K150" s="175" t="str">
        <f>IF(J150="","",IF(VLOOKUP(J150,'G-3 Multipliers'!$L$3:$N$6,2,FALSE)=0,"Spatial Data Missing",VLOOKUP(J150,'G-3 Multipliers'!$L$3:$N$6,2,FALSE)))</f>
        <v/>
      </c>
      <c r="L150" s="176" t="str">
        <f>IF(J150="","",IF(VLOOKUP(J150,'G-3 Multipliers'!$L$3:$N$6,3,FALSE)=0,"Spatial Data Missing",VLOOKUP(J150,'G-3 Multipliers'!$L$3:$N$6,3,FALSE)))</f>
        <v/>
      </c>
      <c r="M150" s="177" t="str">
        <f>IF(D150="","",VLOOKUP(D150,'G-6 Hedgerow Data'!$B$1:$AH$15,33,FALSE))</f>
        <v/>
      </c>
      <c r="N150" s="207" t="str">
        <f t="shared" si="16"/>
        <v/>
      </c>
      <c r="O150" s="44"/>
      <c r="P150" s="173"/>
      <c r="Q150" s="189"/>
      <c r="R150" s="179" t="str">
        <f t="shared" si="17"/>
        <v/>
      </c>
      <c r="S150" s="179" t="str">
        <f t="shared" si="18"/>
        <v/>
      </c>
      <c r="T150" s="208" t="str">
        <f t="shared" si="19"/>
        <v/>
      </c>
      <c r="U150" s="209" t="str">
        <f t="shared" si="20"/>
        <v/>
      </c>
      <c r="V150" s="182"/>
      <c r="W150" s="183"/>
      <c r="AB150" s="35" t="str">
        <f>IFERROR(INDEX('G-6 Hedgerow Data'!$BJ$3:$BJ$15,MATCH(D150,'G-6 Hedgerow Data'!$B$3:$B$15,0)),"")</f>
        <v/>
      </c>
      <c r="AE150" s="188" t="str">
        <f t="shared" si="14"/>
        <v/>
      </c>
      <c r="AF150" s="188" t="str">
        <f t="shared" si="15"/>
        <v/>
      </c>
      <c r="AH150" s="188">
        <v>141</v>
      </c>
      <c r="AJ150" s="188" t="str">
        <f t="array" ref="AJ150">IFERROR(INDEX($AH$10:$AH$258, MATCH(0, IF(TRUE=$AE$10:$AE$258, COUNTIF($AJ$9:$AJ149, $AH$10:$AH$258), ""), 0)),"")</f>
        <v/>
      </c>
      <c r="AK150" s="188" t="str">
        <f t="array" ref="AK150">IFERROR(INDEX($AH$10:$AH$258, MATCH(0, IF(TRUE=$AF$10:$AF$258, COUNTIF($AK$9:$AK149, $AH$10:$AH$258), ""), 0)),"")</f>
        <v/>
      </c>
    </row>
    <row r="151" spans="2:37" ht="13.8" x14ac:dyDescent="0.25">
      <c r="B151" s="168">
        <v>142</v>
      </c>
      <c r="C151" s="275"/>
      <c r="D151" s="275"/>
      <c r="E151" s="185"/>
      <c r="F151" s="171" t="str">
        <f>IF(D151="","",VLOOKUP(D151,'G-6 Hedgerow Data'!$B$2:$AG$15,2,FALSE))</f>
        <v/>
      </c>
      <c r="G151" s="172" t="str">
        <f>IF(D151="","",VLOOKUP(D151,'G-6 Hedgerow Data'!$B$2:$AG$15,3,FALSE))</f>
        <v/>
      </c>
      <c r="H151" s="173"/>
      <c r="I151" s="172" t="str">
        <f>IFERROR(IF(AND(F151="V.Low",OR(H151="Good",H151="Moderate")),"Error",VLOOKUP(H151,'G-1 All Habitats'!$Z$2:$AA$9,2,FALSE)),"")</f>
        <v/>
      </c>
      <c r="J151" s="186"/>
      <c r="K151" s="175" t="str">
        <f>IF(J151="","",IF(VLOOKUP(J151,'G-3 Multipliers'!$L$3:$N$6,2,FALSE)=0,"Spatial Data Missing",VLOOKUP(J151,'G-3 Multipliers'!$L$3:$N$6,2,FALSE)))</f>
        <v/>
      </c>
      <c r="L151" s="176" t="str">
        <f>IF(J151="","",IF(VLOOKUP(J151,'G-3 Multipliers'!$L$3:$N$6,3,FALSE)=0,"Spatial Data Missing",VLOOKUP(J151,'G-3 Multipliers'!$L$3:$N$6,3,FALSE)))</f>
        <v/>
      </c>
      <c r="M151" s="177" t="str">
        <f>IF(D151="","",VLOOKUP(D151,'G-6 Hedgerow Data'!$B$1:$AH$15,33,FALSE))</f>
        <v/>
      </c>
      <c r="N151" s="207" t="str">
        <f t="shared" si="16"/>
        <v/>
      </c>
      <c r="O151" s="44"/>
      <c r="P151" s="173"/>
      <c r="Q151" s="189"/>
      <c r="R151" s="179" t="str">
        <f t="shared" si="17"/>
        <v/>
      </c>
      <c r="S151" s="179" t="str">
        <f t="shared" si="18"/>
        <v/>
      </c>
      <c r="T151" s="208" t="str">
        <f t="shared" si="19"/>
        <v/>
      </c>
      <c r="U151" s="209" t="str">
        <f t="shared" si="20"/>
        <v/>
      </c>
      <c r="V151" s="182"/>
      <c r="W151" s="183"/>
      <c r="AB151" s="35" t="str">
        <f>IFERROR(INDEX('G-6 Hedgerow Data'!$BJ$3:$BJ$15,MATCH(D151,'G-6 Hedgerow Data'!$B$3:$B$15,0)),"")</f>
        <v/>
      </c>
      <c r="AE151" s="188" t="str">
        <f t="shared" si="14"/>
        <v/>
      </c>
      <c r="AF151" s="188" t="str">
        <f t="shared" si="15"/>
        <v/>
      </c>
      <c r="AH151" s="188">
        <v>142</v>
      </c>
      <c r="AJ151" s="188" t="str">
        <f t="array" ref="AJ151">IFERROR(INDEX($AH$10:$AH$258, MATCH(0, IF(TRUE=$AE$10:$AE$258, COUNTIF($AJ$9:$AJ150, $AH$10:$AH$258), ""), 0)),"")</f>
        <v/>
      </c>
      <c r="AK151" s="188" t="str">
        <f t="array" ref="AK151">IFERROR(INDEX($AH$10:$AH$258, MATCH(0, IF(TRUE=$AF$10:$AF$258, COUNTIF($AK$9:$AK150, $AH$10:$AH$258), ""), 0)),"")</f>
        <v/>
      </c>
    </row>
    <row r="152" spans="2:37" ht="13.8" x14ac:dyDescent="0.25">
      <c r="B152" s="168">
        <v>143</v>
      </c>
      <c r="C152" s="275"/>
      <c r="D152" s="275"/>
      <c r="E152" s="185"/>
      <c r="F152" s="171" t="str">
        <f>IF(D152="","",VLOOKUP(D152,'G-6 Hedgerow Data'!$B$2:$AG$15,2,FALSE))</f>
        <v/>
      </c>
      <c r="G152" s="172" t="str">
        <f>IF(D152="","",VLOOKUP(D152,'G-6 Hedgerow Data'!$B$2:$AG$15,3,FALSE))</f>
        <v/>
      </c>
      <c r="H152" s="173"/>
      <c r="I152" s="172" t="str">
        <f>IFERROR(IF(AND(F152="V.Low",OR(H152="Good",H152="Moderate")),"Error",VLOOKUP(H152,'G-1 All Habitats'!$Z$2:$AA$9,2,FALSE)),"")</f>
        <v/>
      </c>
      <c r="J152" s="186"/>
      <c r="K152" s="175" t="str">
        <f>IF(J152="","",IF(VLOOKUP(J152,'G-3 Multipliers'!$L$3:$N$6,2,FALSE)=0,"Spatial Data Missing",VLOOKUP(J152,'G-3 Multipliers'!$L$3:$N$6,2,FALSE)))</f>
        <v/>
      </c>
      <c r="L152" s="176" t="str">
        <f>IF(J152="","",IF(VLOOKUP(J152,'G-3 Multipliers'!$L$3:$N$6,3,FALSE)=0,"Spatial Data Missing",VLOOKUP(J152,'G-3 Multipliers'!$L$3:$N$6,3,FALSE)))</f>
        <v/>
      </c>
      <c r="M152" s="177" t="str">
        <f>IF(D152="","",VLOOKUP(D152,'G-6 Hedgerow Data'!$B$1:$AH$15,33,FALSE))</f>
        <v/>
      </c>
      <c r="N152" s="207" t="str">
        <f t="shared" si="16"/>
        <v/>
      </c>
      <c r="O152" s="44"/>
      <c r="P152" s="173"/>
      <c r="Q152" s="189"/>
      <c r="R152" s="179" t="str">
        <f t="shared" si="17"/>
        <v/>
      </c>
      <c r="S152" s="179" t="str">
        <f t="shared" si="18"/>
        <v/>
      </c>
      <c r="T152" s="208" t="str">
        <f t="shared" si="19"/>
        <v/>
      </c>
      <c r="U152" s="209" t="str">
        <f t="shared" si="20"/>
        <v/>
      </c>
      <c r="V152" s="182"/>
      <c r="W152" s="183"/>
      <c r="AB152" s="35" t="str">
        <f>IFERROR(INDEX('G-6 Hedgerow Data'!$BJ$3:$BJ$15,MATCH(D152,'G-6 Hedgerow Data'!$B$3:$B$15,0)),"")</f>
        <v/>
      </c>
      <c r="AE152" s="188" t="str">
        <f t="shared" si="14"/>
        <v/>
      </c>
      <c r="AF152" s="188" t="str">
        <f t="shared" si="15"/>
        <v/>
      </c>
      <c r="AH152" s="188">
        <v>143</v>
      </c>
      <c r="AJ152" s="188" t="str">
        <f t="array" ref="AJ152">IFERROR(INDEX($AH$10:$AH$258, MATCH(0, IF(TRUE=$AE$10:$AE$258, COUNTIF($AJ$9:$AJ151, $AH$10:$AH$258), ""), 0)),"")</f>
        <v/>
      </c>
      <c r="AK152" s="188" t="str">
        <f t="array" ref="AK152">IFERROR(INDEX($AH$10:$AH$258, MATCH(0, IF(TRUE=$AF$10:$AF$258, COUNTIF($AK$9:$AK151, $AH$10:$AH$258), ""), 0)),"")</f>
        <v/>
      </c>
    </row>
    <row r="153" spans="2:37" ht="13.8" x14ac:dyDescent="0.25">
      <c r="B153" s="168">
        <v>144</v>
      </c>
      <c r="C153" s="275"/>
      <c r="D153" s="275"/>
      <c r="E153" s="185"/>
      <c r="F153" s="171" t="str">
        <f>IF(D153="","",VLOOKUP(D153,'G-6 Hedgerow Data'!$B$2:$AG$15,2,FALSE))</f>
        <v/>
      </c>
      <c r="G153" s="172" t="str">
        <f>IF(D153="","",VLOOKUP(D153,'G-6 Hedgerow Data'!$B$2:$AG$15,3,FALSE))</f>
        <v/>
      </c>
      <c r="H153" s="173"/>
      <c r="I153" s="172" t="str">
        <f>IFERROR(IF(AND(F153="V.Low",OR(H153="Good",H153="Moderate")),"Error",VLOOKUP(H153,'G-1 All Habitats'!$Z$2:$AA$9,2,FALSE)),"")</f>
        <v/>
      </c>
      <c r="J153" s="186"/>
      <c r="K153" s="175" t="str">
        <f>IF(J153="","",IF(VLOOKUP(J153,'G-3 Multipliers'!$L$3:$N$6,2,FALSE)=0,"Spatial Data Missing",VLOOKUP(J153,'G-3 Multipliers'!$L$3:$N$6,2,FALSE)))</f>
        <v/>
      </c>
      <c r="L153" s="176" t="str">
        <f>IF(J153="","",IF(VLOOKUP(J153,'G-3 Multipliers'!$L$3:$N$6,3,FALSE)=0,"Spatial Data Missing",VLOOKUP(J153,'G-3 Multipliers'!$L$3:$N$6,3,FALSE)))</f>
        <v/>
      </c>
      <c r="M153" s="177" t="str">
        <f>IF(D153="","",VLOOKUP(D153,'G-6 Hedgerow Data'!$B$1:$AH$15,33,FALSE))</f>
        <v/>
      </c>
      <c r="N153" s="207" t="str">
        <f t="shared" si="16"/>
        <v/>
      </c>
      <c r="O153" s="44"/>
      <c r="P153" s="173"/>
      <c r="Q153" s="189"/>
      <c r="R153" s="179" t="str">
        <f t="shared" si="17"/>
        <v/>
      </c>
      <c r="S153" s="179" t="str">
        <f t="shared" si="18"/>
        <v/>
      </c>
      <c r="T153" s="208" t="str">
        <f t="shared" si="19"/>
        <v/>
      </c>
      <c r="U153" s="209" t="str">
        <f t="shared" si="20"/>
        <v/>
      </c>
      <c r="V153" s="182"/>
      <c r="W153" s="183"/>
      <c r="AB153" s="35" t="str">
        <f>IFERROR(INDEX('G-6 Hedgerow Data'!$BJ$3:$BJ$15,MATCH(D153,'G-6 Hedgerow Data'!$B$3:$B$15,0)),"")</f>
        <v/>
      </c>
      <c r="AE153" s="188" t="str">
        <f t="shared" si="14"/>
        <v/>
      </c>
      <c r="AF153" s="188" t="str">
        <f t="shared" si="15"/>
        <v/>
      </c>
      <c r="AH153" s="188">
        <v>144</v>
      </c>
      <c r="AJ153" s="188" t="str">
        <f t="array" ref="AJ153">IFERROR(INDEX($AH$10:$AH$258, MATCH(0, IF(TRUE=$AE$10:$AE$258, COUNTIF($AJ$9:$AJ152, $AH$10:$AH$258), ""), 0)),"")</f>
        <v/>
      </c>
      <c r="AK153" s="188" t="str">
        <f t="array" ref="AK153">IFERROR(INDEX($AH$10:$AH$258, MATCH(0, IF(TRUE=$AF$10:$AF$258, COUNTIF($AK$9:$AK152, $AH$10:$AH$258), ""), 0)),"")</f>
        <v/>
      </c>
    </row>
    <row r="154" spans="2:37" ht="13.8" x14ac:dyDescent="0.25">
      <c r="B154" s="168">
        <v>145</v>
      </c>
      <c r="C154" s="275"/>
      <c r="D154" s="275"/>
      <c r="E154" s="185"/>
      <c r="F154" s="171" t="str">
        <f>IF(D154="","",VLOOKUP(D154,'G-6 Hedgerow Data'!$B$2:$AG$15,2,FALSE))</f>
        <v/>
      </c>
      <c r="G154" s="172" t="str">
        <f>IF(D154="","",VLOOKUP(D154,'G-6 Hedgerow Data'!$B$2:$AG$15,3,FALSE))</f>
        <v/>
      </c>
      <c r="H154" s="173"/>
      <c r="I154" s="172" t="str">
        <f>IFERROR(IF(AND(F154="V.Low",OR(H154="Good",H154="Moderate")),"Error",VLOOKUP(H154,'G-1 All Habitats'!$Z$2:$AA$9,2,FALSE)),"")</f>
        <v/>
      </c>
      <c r="J154" s="186"/>
      <c r="K154" s="175" t="str">
        <f>IF(J154="","",IF(VLOOKUP(J154,'G-3 Multipliers'!$L$3:$N$6,2,FALSE)=0,"Spatial Data Missing",VLOOKUP(J154,'G-3 Multipliers'!$L$3:$N$6,2,FALSE)))</f>
        <v/>
      </c>
      <c r="L154" s="176" t="str">
        <f>IF(J154="","",IF(VLOOKUP(J154,'G-3 Multipliers'!$L$3:$N$6,3,FALSE)=0,"Spatial Data Missing",VLOOKUP(J154,'G-3 Multipliers'!$L$3:$N$6,3,FALSE)))</f>
        <v/>
      </c>
      <c r="M154" s="177" t="str">
        <f>IF(D154="","",VLOOKUP(D154,'G-6 Hedgerow Data'!$B$1:$AH$15,33,FALSE))</f>
        <v/>
      </c>
      <c r="N154" s="207" t="str">
        <f t="shared" si="16"/>
        <v/>
      </c>
      <c r="O154" s="44"/>
      <c r="P154" s="173"/>
      <c r="Q154" s="189"/>
      <c r="R154" s="179" t="str">
        <f t="shared" si="17"/>
        <v/>
      </c>
      <c r="S154" s="179" t="str">
        <f t="shared" si="18"/>
        <v/>
      </c>
      <c r="T154" s="208" t="str">
        <f t="shared" si="19"/>
        <v/>
      </c>
      <c r="U154" s="209" t="str">
        <f t="shared" si="20"/>
        <v/>
      </c>
      <c r="V154" s="182"/>
      <c r="W154" s="183"/>
      <c r="AB154" s="35" t="str">
        <f>IFERROR(INDEX('G-6 Hedgerow Data'!$BJ$3:$BJ$15,MATCH(D154,'G-6 Hedgerow Data'!$B$3:$B$15,0)),"")</f>
        <v/>
      </c>
      <c r="AE154" s="188" t="str">
        <f t="shared" si="14"/>
        <v/>
      </c>
      <c r="AF154" s="188" t="str">
        <f t="shared" si="15"/>
        <v/>
      </c>
      <c r="AH154" s="188">
        <v>145</v>
      </c>
      <c r="AJ154" s="188" t="str">
        <f t="array" ref="AJ154">IFERROR(INDEX($AH$10:$AH$258, MATCH(0, IF(TRUE=$AE$10:$AE$258, COUNTIF($AJ$9:$AJ153, $AH$10:$AH$258), ""), 0)),"")</f>
        <v/>
      </c>
      <c r="AK154" s="188" t="str">
        <f t="array" ref="AK154">IFERROR(INDEX($AH$10:$AH$258, MATCH(0, IF(TRUE=$AF$10:$AF$258, COUNTIF($AK$9:$AK153, $AH$10:$AH$258), ""), 0)),"")</f>
        <v/>
      </c>
    </row>
    <row r="155" spans="2:37" ht="13.8" x14ac:dyDescent="0.25">
      <c r="B155" s="168">
        <v>146</v>
      </c>
      <c r="C155" s="275"/>
      <c r="D155" s="275"/>
      <c r="E155" s="185"/>
      <c r="F155" s="171" t="str">
        <f>IF(D155="","",VLOOKUP(D155,'G-6 Hedgerow Data'!$B$2:$AG$15,2,FALSE))</f>
        <v/>
      </c>
      <c r="G155" s="172" t="str">
        <f>IF(D155="","",VLOOKUP(D155,'G-6 Hedgerow Data'!$B$2:$AG$15,3,FALSE))</f>
        <v/>
      </c>
      <c r="H155" s="173"/>
      <c r="I155" s="172" t="str">
        <f>IFERROR(IF(AND(F155="V.Low",OR(H155="Good",H155="Moderate")),"Error",VLOOKUP(H155,'G-1 All Habitats'!$Z$2:$AA$9,2,FALSE)),"")</f>
        <v/>
      </c>
      <c r="J155" s="186"/>
      <c r="K155" s="175" t="str">
        <f>IF(J155="","",IF(VLOOKUP(J155,'G-3 Multipliers'!$L$3:$N$6,2,FALSE)=0,"Spatial Data Missing",VLOOKUP(J155,'G-3 Multipliers'!$L$3:$N$6,2,FALSE)))</f>
        <v/>
      </c>
      <c r="L155" s="176" t="str">
        <f>IF(J155="","",IF(VLOOKUP(J155,'G-3 Multipliers'!$L$3:$N$6,3,FALSE)=0,"Spatial Data Missing",VLOOKUP(J155,'G-3 Multipliers'!$L$3:$N$6,3,FALSE)))</f>
        <v/>
      </c>
      <c r="M155" s="177" t="str">
        <f>IF(D155="","",VLOOKUP(D155,'G-6 Hedgerow Data'!$B$1:$AH$15,33,FALSE))</f>
        <v/>
      </c>
      <c r="N155" s="207" t="str">
        <f t="shared" si="16"/>
        <v/>
      </c>
      <c r="O155" s="44"/>
      <c r="P155" s="173"/>
      <c r="Q155" s="189"/>
      <c r="R155" s="179" t="str">
        <f t="shared" si="17"/>
        <v/>
      </c>
      <c r="S155" s="179" t="str">
        <f t="shared" si="18"/>
        <v/>
      </c>
      <c r="T155" s="208" t="str">
        <f t="shared" si="19"/>
        <v/>
      </c>
      <c r="U155" s="209" t="str">
        <f t="shared" si="20"/>
        <v/>
      </c>
      <c r="V155" s="182"/>
      <c r="W155" s="183"/>
      <c r="AB155" s="35" t="str">
        <f>IFERROR(INDEX('G-6 Hedgerow Data'!$BJ$3:$BJ$15,MATCH(D155,'G-6 Hedgerow Data'!$B$3:$B$15,0)),"")</f>
        <v/>
      </c>
      <c r="AE155" s="188" t="str">
        <f t="shared" si="14"/>
        <v/>
      </c>
      <c r="AF155" s="188" t="str">
        <f t="shared" si="15"/>
        <v/>
      </c>
      <c r="AH155" s="188">
        <v>146</v>
      </c>
      <c r="AJ155" s="188" t="str">
        <f t="array" ref="AJ155">IFERROR(INDEX($AH$10:$AH$258, MATCH(0, IF(TRUE=$AE$10:$AE$258, COUNTIF($AJ$9:$AJ154, $AH$10:$AH$258), ""), 0)),"")</f>
        <v/>
      </c>
      <c r="AK155" s="188" t="str">
        <f t="array" ref="AK155">IFERROR(INDEX($AH$10:$AH$258, MATCH(0, IF(TRUE=$AF$10:$AF$258, COUNTIF($AK$9:$AK154, $AH$10:$AH$258), ""), 0)),"")</f>
        <v/>
      </c>
    </row>
    <row r="156" spans="2:37" ht="13.8" x14ac:dyDescent="0.25">
      <c r="B156" s="168">
        <v>147</v>
      </c>
      <c r="C156" s="275"/>
      <c r="D156" s="275"/>
      <c r="E156" s="185"/>
      <c r="F156" s="171" t="str">
        <f>IF(D156="","",VLOOKUP(D156,'G-6 Hedgerow Data'!$B$2:$AG$15,2,FALSE))</f>
        <v/>
      </c>
      <c r="G156" s="172" t="str">
        <f>IF(D156="","",VLOOKUP(D156,'G-6 Hedgerow Data'!$B$2:$AG$15,3,FALSE))</f>
        <v/>
      </c>
      <c r="H156" s="173"/>
      <c r="I156" s="172" t="str">
        <f>IFERROR(IF(AND(F156="V.Low",OR(H156="Good",H156="Moderate")),"Error",VLOOKUP(H156,'G-1 All Habitats'!$Z$2:$AA$9,2,FALSE)),"")</f>
        <v/>
      </c>
      <c r="J156" s="186"/>
      <c r="K156" s="175" t="str">
        <f>IF(J156="","",IF(VLOOKUP(J156,'G-3 Multipliers'!$L$3:$N$6,2,FALSE)=0,"Spatial Data Missing",VLOOKUP(J156,'G-3 Multipliers'!$L$3:$N$6,2,FALSE)))</f>
        <v/>
      </c>
      <c r="L156" s="176" t="str">
        <f>IF(J156="","",IF(VLOOKUP(J156,'G-3 Multipliers'!$L$3:$N$6,3,FALSE)=0,"Spatial Data Missing",VLOOKUP(J156,'G-3 Multipliers'!$L$3:$N$6,3,FALSE)))</f>
        <v/>
      </c>
      <c r="M156" s="177" t="str">
        <f>IF(D156="","",VLOOKUP(D156,'G-6 Hedgerow Data'!$B$1:$AH$15,33,FALSE))</f>
        <v/>
      </c>
      <c r="N156" s="207" t="str">
        <f t="shared" si="16"/>
        <v/>
      </c>
      <c r="O156" s="44"/>
      <c r="P156" s="173"/>
      <c r="Q156" s="189"/>
      <c r="R156" s="179" t="str">
        <f t="shared" si="17"/>
        <v/>
      </c>
      <c r="S156" s="179" t="str">
        <f t="shared" si="18"/>
        <v/>
      </c>
      <c r="T156" s="208" t="str">
        <f t="shared" si="19"/>
        <v/>
      </c>
      <c r="U156" s="209" t="str">
        <f t="shared" si="20"/>
        <v/>
      </c>
      <c r="V156" s="182"/>
      <c r="W156" s="183"/>
      <c r="AB156" s="35" t="str">
        <f>IFERROR(INDEX('G-6 Hedgerow Data'!$BJ$3:$BJ$15,MATCH(D156,'G-6 Hedgerow Data'!$B$3:$B$15,0)),"")</f>
        <v/>
      </c>
      <c r="AE156" s="188" t="str">
        <f t="shared" si="14"/>
        <v/>
      </c>
      <c r="AF156" s="188" t="str">
        <f t="shared" si="15"/>
        <v/>
      </c>
      <c r="AH156" s="188">
        <v>147</v>
      </c>
      <c r="AJ156" s="188" t="str">
        <f t="array" ref="AJ156">IFERROR(INDEX($AH$10:$AH$258, MATCH(0, IF(TRUE=$AE$10:$AE$258, COUNTIF($AJ$9:$AJ155, $AH$10:$AH$258), ""), 0)),"")</f>
        <v/>
      </c>
      <c r="AK156" s="188" t="str">
        <f t="array" ref="AK156">IFERROR(INDEX($AH$10:$AH$258, MATCH(0, IF(TRUE=$AF$10:$AF$258, COUNTIF($AK$9:$AK155, $AH$10:$AH$258), ""), 0)),"")</f>
        <v/>
      </c>
    </row>
    <row r="157" spans="2:37" ht="13.8" x14ac:dyDescent="0.25">
      <c r="B157" s="168">
        <v>148</v>
      </c>
      <c r="C157" s="275"/>
      <c r="D157" s="275"/>
      <c r="E157" s="185"/>
      <c r="F157" s="171" t="str">
        <f>IF(D157="","",VLOOKUP(D157,'G-6 Hedgerow Data'!$B$2:$AG$15,2,FALSE))</f>
        <v/>
      </c>
      <c r="G157" s="172" t="str">
        <f>IF(D157="","",VLOOKUP(D157,'G-6 Hedgerow Data'!$B$2:$AG$15,3,FALSE))</f>
        <v/>
      </c>
      <c r="H157" s="173"/>
      <c r="I157" s="172" t="str">
        <f>IFERROR(IF(AND(F157="V.Low",OR(H157="Good",H157="Moderate")),"Error",VLOOKUP(H157,'G-1 All Habitats'!$Z$2:$AA$9,2,FALSE)),"")</f>
        <v/>
      </c>
      <c r="J157" s="186"/>
      <c r="K157" s="175" t="str">
        <f>IF(J157="","",IF(VLOOKUP(J157,'G-3 Multipliers'!$L$3:$N$6,2,FALSE)=0,"Spatial Data Missing",VLOOKUP(J157,'G-3 Multipliers'!$L$3:$N$6,2,FALSE)))</f>
        <v/>
      </c>
      <c r="L157" s="176" t="str">
        <f>IF(J157="","",IF(VLOOKUP(J157,'G-3 Multipliers'!$L$3:$N$6,3,FALSE)=0,"Spatial Data Missing",VLOOKUP(J157,'G-3 Multipliers'!$L$3:$N$6,3,FALSE)))</f>
        <v/>
      </c>
      <c r="M157" s="177" t="str">
        <f>IF(D157="","",VLOOKUP(D157,'G-6 Hedgerow Data'!$B$1:$AH$15,33,FALSE))</f>
        <v/>
      </c>
      <c r="N157" s="207" t="str">
        <f t="shared" si="16"/>
        <v/>
      </c>
      <c r="O157" s="44"/>
      <c r="P157" s="173"/>
      <c r="Q157" s="189"/>
      <c r="R157" s="179" t="str">
        <f t="shared" si="17"/>
        <v/>
      </c>
      <c r="S157" s="179" t="str">
        <f t="shared" si="18"/>
        <v/>
      </c>
      <c r="T157" s="208" t="str">
        <f t="shared" si="19"/>
        <v/>
      </c>
      <c r="U157" s="209" t="str">
        <f t="shared" si="20"/>
        <v/>
      </c>
      <c r="V157" s="182"/>
      <c r="W157" s="183"/>
      <c r="AB157" s="35" t="str">
        <f>IFERROR(INDEX('G-6 Hedgerow Data'!$BJ$3:$BJ$15,MATCH(D157,'G-6 Hedgerow Data'!$B$3:$B$15,0)),"")</f>
        <v/>
      </c>
      <c r="AE157" s="188" t="str">
        <f t="shared" si="14"/>
        <v/>
      </c>
      <c r="AF157" s="188" t="str">
        <f t="shared" si="15"/>
        <v/>
      </c>
      <c r="AH157" s="188">
        <v>148</v>
      </c>
      <c r="AJ157" s="188" t="str">
        <f t="array" ref="AJ157">IFERROR(INDEX($AH$10:$AH$258, MATCH(0, IF(TRUE=$AE$10:$AE$258, COUNTIF($AJ$9:$AJ156, $AH$10:$AH$258), ""), 0)),"")</f>
        <v/>
      </c>
      <c r="AK157" s="188" t="str">
        <f t="array" ref="AK157">IFERROR(INDEX($AH$10:$AH$258, MATCH(0, IF(TRUE=$AF$10:$AF$258, COUNTIF($AK$9:$AK156, $AH$10:$AH$258), ""), 0)),"")</f>
        <v/>
      </c>
    </row>
    <row r="158" spans="2:37" ht="13.8" x14ac:dyDescent="0.25">
      <c r="B158" s="168">
        <v>149</v>
      </c>
      <c r="C158" s="275"/>
      <c r="D158" s="275"/>
      <c r="E158" s="185"/>
      <c r="F158" s="171" t="str">
        <f>IF(D158="","",VLOOKUP(D158,'G-6 Hedgerow Data'!$B$2:$AG$15,2,FALSE))</f>
        <v/>
      </c>
      <c r="G158" s="172" t="str">
        <f>IF(D158="","",VLOOKUP(D158,'G-6 Hedgerow Data'!$B$2:$AG$15,3,FALSE))</f>
        <v/>
      </c>
      <c r="H158" s="173"/>
      <c r="I158" s="172" t="str">
        <f>IFERROR(IF(AND(F158="V.Low",OR(H158="Good",H158="Moderate")),"Error",VLOOKUP(H158,'G-1 All Habitats'!$Z$2:$AA$9,2,FALSE)),"")</f>
        <v/>
      </c>
      <c r="J158" s="186"/>
      <c r="K158" s="175" t="str">
        <f>IF(J158="","",IF(VLOOKUP(J158,'G-3 Multipliers'!$L$3:$N$6,2,FALSE)=0,"Spatial Data Missing",VLOOKUP(J158,'G-3 Multipliers'!$L$3:$N$6,2,FALSE)))</f>
        <v/>
      </c>
      <c r="L158" s="176" t="str">
        <f>IF(J158="","",IF(VLOOKUP(J158,'G-3 Multipliers'!$L$3:$N$6,3,FALSE)=0,"Spatial Data Missing",VLOOKUP(J158,'G-3 Multipliers'!$L$3:$N$6,3,FALSE)))</f>
        <v/>
      </c>
      <c r="M158" s="177" t="str">
        <f>IF(D158="","",VLOOKUP(D158,'G-6 Hedgerow Data'!$B$1:$AH$15,33,FALSE))</f>
        <v/>
      </c>
      <c r="N158" s="207" t="str">
        <f t="shared" si="16"/>
        <v/>
      </c>
      <c r="O158" s="44"/>
      <c r="P158" s="173"/>
      <c r="Q158" s="189"/>
      <c r="R158" s="179" t="str">
        <f t="shared" si="17"/>
        <v/>
      </c>
      <c r="S158" s="179" t="str">
        <f t="shared" si="18"/>
        <v/>
      </c>
      <c r="T158" s="208" t="str">
        <f t="shared" si="19"/>
        <v/>
      </c>
      <c r="U158" s="209" t="str">
        <f t="shared" si="20"/>
        <v/>
      </c>
      <c r="V158" s="182"/>
      <c r="W158" s="183"/>
      <c r="AB158" s="35" t="str">
        <f>IFERROR(INDEX('G-6 Hedgerow Data'!$BJ$3:$BJ$15,MATCH(D158,'G-6 Hedgerow Data'!$B$3:$B$15,0)),"")</f>
        <v/>
      </c>
      <c r="AE158" s="188" t="str">
        <f t="shared" si="14"/>
        <v/>
      </c>
      <c r="AF158" s="188" t="str">
        <f t="shared" si="15"/>
        <v/>
      </c>
      <c r="AH158" s="188">
        <v>149</v>
      </c>
      <c r="AJ158" s="188" t="str">
        <f t="array" ref="AJ158">IFERROR(INDEX($AH$10:$AH$258, MATCH(0, IF(TRUE=$AE$10:$AE$258, COUNTIF($AJ$9:$AJ157, $AH$10:$AH$258), ""), 0)),"")</f>
        <v/>
      </c>
      <c r="AK158" s="188" t="str">
        <f t="array" ref="AK158">IFERROR(INDEX($AH$10:$AH$258, MATCH(0, IF(TRUE=$AF$10:$AF$258, COUNTIF($AK$9:$AK157, $AH$10:$AH$258), ""), 0)),"")</f>
        <v/>
      </c>
    </row>
    <row r="159" spans="2:37" ht="13.8" x14ac:dyDescent="0.25">
      <c r="B159" s="168">
        <v>150</v>
      </c>
      <c r="C159" s="275"/>
      <c r="D159" s="275"/>
      <c r="E159" s="185"/>
      <c r="F159" s="171" t="str">
        <f>IF(D159="","",VLOOKUP(D159,'G-6 Hedgerow Data'!$B$2:$AG$15,2,FALSE))</f>
        <v/>
      </c>
      <c r="G159" s="172" t="str">
        <f>IF(D159="","",VLOOKUP(D159,'G-6 Hedgerow Data'!$B$2:$AG$15,3,FALSE))</f>
        <v/>
      </c>
      <c r="H159" s="173"/>
      <c r="I159" s="172" t="str">
        <f>IFERROR(IF(AND(F159="V.Low",OR(H159="Good",H159="Moderate")),"Error",VLOOKUP(H159,'G-1 All Habitats'!$Z$2:$AA$9,2,FALSE)),"")</f>
        <v/>
      </c>
      <c r="J159" s="186"/>
      <c r="K159" s="175" t="str">
        <f>IF(J159="","",IF(VLOOKUP(J159,'G-3 Multipliers'!$L$3:$N$6,2,FALSE)=0,"Spatial Data Missing",VLOOKUP(J159,'G-3 Multipliers'!$L$3:$N$6,2,FALSE)))</f>
        <v/>
      </c>
      <c r="L159" s="176" t="str">
        <f>IF(J159="","",IF(VLOOKUP(J159,'G-3 Multipliers'!$L$3:$N$6,3,FALSE)=0,"Spatial Data Missing",VLOOKUP(J159,'G-3 Multipliers'!$L$3:$N$6,3,FALSE)))</f>
        <v/>
      </c>
      <c r="M159" s="177" t="str">
        <f>IF(D159="","",VLOOKUP(D159,'G-6 Hedgerow Data'!$B$1:$AH$15,33,FALSE))</f>
        <v/>
      </c>
      <c r="N159" s="207" t="str">
        <f t="shared" si="16"/>
        <v/>
      </c>
      <c r="O159" s="44"/>
      <c r="P159" s="173"/>
      <c r="Q159" s="189"/>
      <c r="R159" s="179" t="str">
        <f t="shared" si="17"/>
        <v/>
      </c>
      <c r="S159" s="179" t="str">
        <f t="shared" si="18"/>
        <v/>
      </c>
      <c r="T159" s="208" t="str">
        <f t="shared" si="19"/>
        <v/>
      </c>
      <c r="U159" s="209" t="str">
        <f t="shared" si="20"/>
        <v/>
      </c>
      <c r="V159" s="182"/>
      <c r="W159" s="183"/>
      <c r="AB159" s="35" t="str">
        <f>IFERROR(INDEX('G-6 Hedgerow Data'!$BJ$3:$BJ$15,MATCH(D159,'G-6 Hedgerow Data'!$B$3:$B$15,0)),"")</f>
        <v/>
      </c>
      <c r="AE159" s="188" t="str">
        <f t="shared" si="14"/>
        <v/>
      </c>
      <c r="AF159" s="188" t="str">
        <f t="shared" si="15"/>
        <v/>
      </c>
      <c r="AH159" s="188">
        <v>150</v>
      </c>
      <c r="AJ159" s="188" t="str">
        <f t="array" ref="AJ159">IFERROR(INDEX($AH$10:$AH$258, MATCH(0, IF(TRUE=$AE$10:$AE$258, COUNTIF($AJ$9:$AJ158, $AH$10:$AH$258), ""), 0)),"")</f>
        <v/>
      </c>
      <c r="AK159" s="188" t="str">
        <f t="array" ref="AK159">IFERROR(INDEX($AH$10:$AH$258, MATCH(0, IF(TRUE=$AF$10:$AF$258, COUNTIF($AK$9:$AK158, $AH$10:$AH$258), ""), 0)),"")</f>
        <v/>
      </c>
    </row>
    <row r="160" spans="2:37" ht="13.8" x14ac:dyDescent="0.25">
      <c r="B160" s="168">
        <v>151</v>
      </c>
      <c r="C160" s="275"/>
      <c r="D160" s="275"/>
      <c r="E160" s="185"/>
      <c r="F160" s="171" t="str">
        <f>IF(D160="","",VLOOKUP(D160,'G-6 Hedgerow Data'!$B$2:$AG$15,2,FALSE))</f>
        <v/>
      </c>
      <c r="G160" s="172" t="str">
        <f>IF(D160="","",VLOOKUP(D160,'G-6 Hedgerow Data'!$B$2:$AG$15,3,FALSE))</f>
        <v/>
      </c>
      <c r="H160" s="173"/>
      <c r="I160" s="172" t="str">
        <f>IFERROR(IF(AND(F160="V.Low",OR(H160="Good",H160="Moderate")),"Error",VLOOKUP(H160,'G-1 All Habitats'!$Z$2:$AA$9,2,FALSE)),"")</f>
        <v/>
      </c>
      <c r="J160" s="186"/>
      <c r="K160" s="175" t="str">
        <f>IF(J160="","",IF(VLOOKUP(J160,'G-3 Multipliers'!$L$3:$N$6,2,FALSE)=0,"Spatial Data Missing",VLOOKUP(J160,'G-3 Multipliers'!$L$3:$N$6,2,FALSE)))</f>
        <v/>
      </c>
      <c r="L160" s="176" t="str">
        <f>IF(J160="","",IF(VLOOKUP(J160,'G-3 Multipliers'!$L$3:$N$6,3,FALSE)=0,"Spatial Data Missing",VLOOKUP(J160,'G-3 Multipliers'!$L$3:$N$6,3,FALSE)))</f>
        <v/>
      </c>
      <c r="M160" s="177" t="str">
        <f>IF(D160="","",VLOOKUP(D160,'G-6 Hedgerow Data'!$B$1:$AH$15,33,FALSE))</f>
        <v/>
      </c>
      <c r="N160" s="207" t="str">
        <f t="shared" si="16"/>
        <v/>
      </c>
      <c r="O160" s="44"/>
      <c r="P160" s="173"/>
      <c r="Q160" s="189"/>
      <c r="R160" s="179" t="str">
        <f t="shared" si="17"/>
        <v/>
      </c>
      <c r="S160" s="179" t="str">
        <f t="shared" si="18"/>
        <v/>
      </c>
      <c r="T160" s="208" t="str">
        <f t="shared" si="19"/>
        <v/>
      </c>
      <c r="U160" s="209" t="str">
        <f t="shared" si="20"/>
        <v/>
      </c>
      <c r="V160" s="182"/>
      <c r="W160" s="183"/>
      <c r="AB160" s="35" t="str">
        <f>IFERROR(INDEX('G-6 Hedgerow Data'!$BJ$3:$BJ$15,MATCH(D160,'G-6 Hedgerow Data'!$B$3:$B$15,0)),"")</f>
        <v/>
      </c>
      <c r="AE160" s="188" t="str">
        <f t="shared" si="14"/>
        <v/>
      </c>
      <c r="AF160" s="188" t="str">
        <f t="shared" si="15"/>
        <v/>
      </c>
      <c r="AH160" s="188">
        <v>151</v>
      </c>
      <c r="AJ160" s="188" t="str">
        <f t="array" ref="AJ160">IFERROR(INDEX($AH$10:$AH$258, MATCH(0, IF(TRUE=$AE$10:$AE$258, COUNTIF($AJ$9:$AJ159, $AH$10:$AH$258), ""), 0)),"")</f>
        <v/>
      </c>
      <c r="AK160" s="188" t="str">
        <f t="array" ref="AK160">IFERROR(INDEX($AH$10:$AH$258, MATCH(0, IF(TRUE=$AF$10:$AF$258, COUNTIF($AK$9:$AK159, $AH$10:$AH$258), ""), 0)),"")</f>
        <v/>
      </c>
    </row>
    <row r="161" spans="2:37" ht="13.8" x14ac:dyDescent="0.25">
      <c r="B161" s="168">
        <v>152</v>
      </c>
      <c r="C161" s="275"/>
      <c r="D161" s="275"/>
      <c r="E161" s="185"/>
      <c r="F161" s="171" t="str">
        <f>IF(D161="","",VLOOKUP(D161,'G-6 Hedgerow Data'!$B$2:$AG$15,2,FALSE))</f>
        <v/>
      </c>
      <c r="G161" s="172" t="str">
        <f>IF(D161="","",VLOOKUP(D161,'G-6 Hedgerow Data'!$B$2:$AG$15,3,FALSE))</f>
        <v/>
      </c>
      <c r="H161" s="173"/>
      <c r="I161" s="172" t="str">
        <f>IFERROR(IF(AND(F161="V.Low",OR(H161="Good",H161="Moderate")),"Error",VLOOKUP(H161,'G-1 All Habitats'!$Z$2:$AA$9,2,FALSE)),"")</f>
        <v/>
      </c>
      <c r="J161" s="186"/>
      <c r="K161" s="175" t="str">
        <f>IF(J161="","",IF(VLOOKUP(J161,'G-3 Multipliers'!$L$3:$N$6,2,FALSE)=0,"Spatial Data Missing",VLOOKUP(J161,'G-3 Multipliers'!$L$3:$N$6,2,FALSE)))</f>
        <v/>
      </c>
      <c r="L161" s="176" t="str">
        <f>IF(J161="","",IF(VLOOKUP(J161,'G-3 Multipliers'!$L$3:$N$6,3,FALSE)=0,"Spatial Data Missing",VLOOKUP(J161,'G-3 Multipliers'!$L$3:$N$6,3,FALSE)))</f>
        <v/>
      </c>
      <c r="M161" s="177" t="str">
        <f>IF(D161="","",VLOOKUP(D161,'G-6 Hedgerow Data'!$B$1:$AH$15,33,FALSE))</f>
        <v/>
      </c>
      <c r="N161" s="207" t="str">
        <f t="shared" si="16"/>
        <v/>
      </c>
      <c r="O161" s="44"/>
      <c r="P161" s="173"/>
      <c r="Q161" s="189"/>
      <c r="R161" s="179" t="str">
        <f t="shared" si="17"/>
        <v/>
      </c>
      <c r="S161" s="179" t="str">
        <f t="shared" si="18"/>
        <v/>
      </c>
      <c r="T161" s="208" t="str">
        <f t="shared" si="19"/>
        <v/>
      </c>
      <c r="U161" s="209" t="str">
        <f t="shared" si="20"/>
        <v/>
      </c>
      <c r="V161" s="182"/>
      <c r="W161" s="183"/>
      <c r="AB161" s="35" t="str">
        <f>IFERROR(INDEX('G-6 Hedgerow Data'!$BJ$3:$BJ$15,MATCH(D161,'G-6 Hedgerow Data'!$B$3:$B$15,0)),"")</f>
        <v/>
      </c>
      <c r="AE161" s="188" t="str">
        <f t="shared" si="14"/>
        <v/>
      </c>
      <c r="AF161" s="188" t="str">
        <f t="shared" si="15"/>
        <v/>
      </c>
      <c r="AH161" s="188">
        <v>152</v>
      </c>
      <c r="AJ161" s="188" t="str">
        <f t="array" ref="AJ161">IFERROR(INDEX($AH$10:$AH$258, MATCH(0, IF(TRUE=$AE$10:$AE$258, COUNTIF($AJ$9:$AJ160, $AH$10:$AH$258), ""), 0)),"")</f>
        <v/>
      </c>
      <c r="AK161" s="188" t="str">
        <f t="array" ref="AK161">IFERROR(INDEX($AH$10:$AH$258, MATCH(0, IF(TRUE=$AF$10:$AF$258, COUNTIF($AK$9:$AK160, $AH$10:$AH$258), ""), 0)),"")</f>
        <v/>
      </c>
    </row>
    <row r="162" spans="2:37" ht="13.8" x14ac:dyDescent="0.25">
      <c r="B162" s="168">
        <v>153</v>
      </c>
      <c r="C162" s="275"/>
      <c r="D162" s="275"/>
      <c r="E162" s="185"/>
      <c r="F162" s="171" t="str">
        <f>IF(D162="","",VLOOKUP(D162,'G-6 Hedgerow Data'!$B$2:$AG$15,2,FALSE))</f>
        <v/>
      </c>
      <c r="G162" s="172" t="str">
        <f>IF(D162="","",VLOOKUP(D162,'G-6 Hedgerow Data'!$B$2:$AG$15,3,FALSE))</f>
        <v/>
      </c>
      <c r="H162" s="173"/>
      <c r="I162" s="172" t="str">
        <f>IFERROR(IF(AND(F162="V.Low",OR(H162="Good",H162="Moderate")),"Error",VLOOKUP(H162,'G-1 All Habitats'!$Z$2:$AA$9,2,FALSE)),"")</f>
        <v/>
      </c>
      <c r="J162" s="186"/>
      <c r="K162" s="175" t="str">
        <f>IF(J162="","",IF(VLOOKUP(J162,'G-3 Multipliers'!$L$3:$N$6,2,FALSE)=0,"Spatial Data Missing",VLOOKUP(J162,'G-3 Multipliers'!$L$3:$N$6,2,FALSE)))</f>
        <v/>
      </c>
      <c r="L162" s="176" t="str">
        <f>IF(J162="","",IF(VLOOKUP(J162,'G-3 Multipliers'!$L$3:$N$6,3,FALSE)=0,"Spatial Data Missing",VLOOKUP(J162,'G-3 Multipliers'!$L$3:$N$6,3,FALSE)))</f>
        <v/>
      </c>
      <c r="M162" s="177" t="str">
        <f>IF(D162="","",VLOOKUP(D162,'G-6 Hedgerow Data'!$B$1:$AH$15,33,FALSE))</f>
        <v/>
      </c>
      <c r="N162" s="207" t="str">
        <f t="shared" si="16"/>
        <v/>
      </c>
      <c r="O162" s="44"/>
      <c r="P162" s="173"/>
      <c r="Q162" s="189"/>
      <c r="R162" s="179" t="str">
        <f t="shared" si="17"/>
        <v/>
      </c>
      <c r="S162" s="179" t="str">
        <f t="shared" si="18"/>
        <v/>
      </c>
      <c r="T162" s="208" t="str">
        <f t="shared" si="19"/>
        <v/>
      </c>
      <c r="U162" s="209" t="str">
        <f t="shared" si="20"/>
        <v/>
      </c>
      <c r="V162" s="182"/>
      <c r="W162" s="183"/>
      <c r="AB162" s="35" t="str">
        <f>IFERROR(INDEX('G-6 Hedgerow Data'!$BJ$3:$BJ$15,MATCH(D162,'G-6 Hedgerow Data'!$B$3:$B$15,0)),"")</f>
        <v/>
      </c>
      <c r="AE162" s="188" t="str">
        <f t="shared" si="14"/>
        <v/>
      </c>
      <c r="AF162" s="188" t="str">
        <f t="shared" si="15"/>
        <v/>
      </c>
      <c r="AH162" s="188">
        <v>153</v>
      </c>
      <c r="AJ162" s="188" t="str">
        <f t="array" ref="AJ162">IFERROR(INDEX($AH$10:$AH$258, MATCH(0, IF(TRUE=$AE$10:$AE$258, COUNTIF($AJ$9:$AJ161, $AH$10:$AH$258), ""), 0)),"")</f>
        <v/>
      </c>
      <c r="AK162" s="188" t="str">
        <f t="array" ref="AK162">IFERROR(INDEX($AH$10:$AH$258, MATCH(0, IF(TRUE=$AF$10:$AF$258, COUNTIF($AK$9:$AK161, $AH$10:$AH$258), ""), 0)),"")</f>
        <v/>
      </c>
    </row>
    <row r="163" spans="2:37" ht="13.8" x14ac:dyDescent="0.25">
      <c r="B163" s="168">
        <v>154</v>
      </c>
      <c r="C163" s="275"/>
      <c r="D163" s="275"/>
      <c r="E163" s="185"/>
      <c r="F163" s="171" t="str">
        <f>IF(D163="","",VLOOKUP(D163,'G-6 Hedgerow Data'!$B$2:$AG$15,2,FALSE))</f>
        <v/>
      </c>
      <c r="G163" s="172" t="str">
        <f>IF(D163="","",VLOOKUP(D163,'G-6 Hedgerow Data'!$B$2:$AG$15,3,FALSE))</f>
        <v/>
      </c>
      <c r="H163" s="173"/>
      <c r="I163" s="172" t="str">
        <f>IFERROR(IF(AND(F163="V.Low",OR(H163="Good",H163="Moderate")),"Error",VLOOKUP(H163,'G-1 All Habitats'!$Z$2:$AA$9,2,FALSE)),"")</f>
        <v/>
      </c>
      <c r="J163" s="186"/>
      <c r="K163" s="175" t="str">
        <f>IF(J163="","",IF(VLOOKUP(J163,'G-3 Multipliers'!$L$3:$N$6,2,FALSE)=0,"Spatial Data Missing",VLOOKUP(J163,'G-3 Multipliers'!$L$3:$N$6,2,FALSE)))</f>
        <v/>
      </c>
      <c r="L163" s="176" t="str">
        <f>IF(J163="","",IF(VLOOKUP(J163,'G-3 Multipliers'!$L$3:$N$6,3,FALSE)=0,"Spatial Data Missing",VLOOKUP(J163,'G-3 Multipliers'!$L$3:$N$6,3,FALSE)))</f>
        <v/>
      </c>
      <c r="M163" s="177" t="str">
        <f>IF(D163="","",VLOOKUP(D163,'G-6 Hedgerow Data'!$B$1:$AH$15,33,FALSE))</f>
        <v/>
      </c>
      <c r="N163" s="207" t="str">
        <f t="shared" si="16"/>
        <v/>
      </c>
      <c r="O163" s="44"/>
      <c r="P163" s="173"/>
      <c r="Q163" s="189"/>
      <c r="R163" s="179" t="str">
        <f t="shared" si="17"/>
        <v/>
      </c>
      <c r="S163" s="179" t="str">
        <f t="shared" si="18"/>
        <v/>
      </c>
      <c r="T163" s="208" t="str">
        <f t="shared" si="19"/>
        <v/>
      </c>
      <c r="U163" s="209" t="str">
        <f t="shared" si="20"/>
        <v/>
      </c>
      <c r="V163" s="182"/>
      <c r="W163" s="183"/>
      <c r="AB163" s="35" t="str">
        <f>IFERROR(INDEX('G-6 Hedgerow Data'!$BJ$3:$BJ$15,MATCH(D163,'G-6 Hedgerow Data'!$B$3:$B$15,0)),"")</f>
        <v/>
      </c>
      <c r="AE163" s="188" t="str">
        <f t="shared" si="14"/>
        <v/>
      </c>
      <c r="AF163" s="188" t="str">
        <f t="shared" si="15"/>
        <v/>
      </c>
      <c r="AH163" s="188">
        <v>154</v>
      </c>
      <c r="AJ163" s="188" t="str">
        <f t="array" ref="AJ163">IFERROR(INDEX($AH$10:$AH$258, MATCH(0, IF(TRUE=$AE$10:$AE$258, COUNTIF($AJ$9:$AJ162, $AH$10:$AH$258), ""), 0)),"")</f>
        <v/>
      </c>
      <c r="AK163" s="188" t="str">
        <f t="array" ref="AK163">IFERROR(INDEX($AH$10:$AH$258, MATCH(0, IF(TRUE=$AF$10:$AF$258, COUNTIF($AK$9:$AK162, $AH$10:$AH$258), ""), 0)),"")</f>
        <v/>
      </c>
    </row>
    <row r="164" spans="2:37" ht="13.8" x14ac:dyDescent="0.25">
      <c r="B164" s="168">
        <v>155</v>
      </c>
      <c r="C164" s="275"/>
      <c r="D164" s="275"/>
      <c r="E164" s="185"/>
      <c r="F164" s="171" t="str">
        <f>IF(D164="","",VLOOKUP(D164,'G-6 Hedgerow Data'!$B$2:$AG$15,2,FALSE))</f>
        <v/>
      </c>
      <c r="G164" s="172" t="str">
        <f>IF(D164="","",VLOOKUP(D164,'G-6 Hedgerow Data'!$B$2:$AG$15,3,FALSE))</f>
        <v/>
      </c>
      <c r="H164" s="173"/>
      <c r="I164" s="172" t="str">
        <f>IFERROR(IF(AND(F164="V.Low",OR(H164="Good",H164="Moderate")),"Error",VLOOKUP(H164,'G-1 All Habitats'!$Z$2:$AA$9,2,FALSE)),"")</f>
        <v/>
      </c>
      <c r="J164" s="186"/>
      <c r="K164" s="175" t="str">
        <f>IF(J164="","",IF(VLOOKUP(J164,'G-3 Multipliers'!$L$3:$N$6,2,FALSE)=0,"Spatial Data Missing",VLOOKUP(J164,'G-3 Multipliers'!$L$3:$N$6,2,FALSE)))</f>
        <v/>
      </c>
      <c r="L164" s="176" t="str">
        <f>IF(J164="","",IF(VLOOKUP(J164,'G-3 Multipliers'!$L$3:$N$6,3,FALSE)=0,"Spatial Data Missing",VLOOKUP(J164,'G-3 Multipliers'!$L$3:$N$6,3,FALSE)))</f>
        <v/>
      </c>
      <c r="M164" s="177" t="str">
        <f>IF(D164="","",VLOOKUP(D164,'G-6 Hedgerow Data'!$B$1:$AH$15,33,FALSE))</f>
        <v/>
      </c>
      <c r="N164" s="207" t="str">
        <f t="shared" si="16"/>
        <v/>
      </c>
      <c r="O164" s="44"/>
      <c r="P164" s="173"/>
      <c r="Q164" s="189"/>
      <c r="R164" s="179" t="str">
        <f t="shared" si="17"/>
        <v/>
      </c>
      <c r="S164" s="179" t="str">
        <f t="shared" si="18"/>
        <v/>
      </c>
      <c r="T164" s="208" t="str">
        <f t="shared" si="19"/>
        <v/>
      </c>
      <c r="U164" s="209" t="str">
        <f t="shared" si="20"/>
        <v/>
      </c>
      <c r="V164" s="182"/>
      <c r="W164" s="183"/>
      <c r="AB164" s="35" t="str">
        <f>IFERROR(INDEX('G-6 Hedgerow Data'!$BJ$3:$BJ$15,MATCH(D164,'G-6 Hedgerow Data'!$B$3:$B$15,0)),"")</f>
        <v/>
      </c>
      <c r="AE164" s="188" t="str">
        <f t="shared" si="14"/>
        <v/>
      </c>
      <c r="AF164" s="188" t="str">
        <f t="shared" si="15"/>
        <v/>
      </c>
      <c r="AH164" s="188">
        <v>155</v>
      </c>
      <c r="AJ164" s="188" t="str">
        <f t="array" ref="AJ164">IFERROR(INDEX($AH$10:$AH$258, MATCH(0, IF(TRUE=$AE$10:$AE$258, COUNTIF($AJ$9:$AJ163, $AH$10:$AH$258), ""), 0)),"")</f>
        <v/>
      </c>
      <c r="AK164" s="188" t="str">
        <f t="array" ref="AK164">IFERROR(INDEX($AH$10:$AH$258, MATCH(0, IF(TRUE=$AF$10:$AF$258, COUNTIF($AK$9:$AK163, $AH$10:$AH$258), ""), 0)),"")</f>
        <v/>
      </c>
    </row>
    <row r="165" spans="2:37" ht="13.8" x14ac:dyDescent="0.25">
      <c r="B165" s="168">
        <v>156</v>
      </c>
      <c r="C165" s="275"/>
      <c r="D165" s="275"/>
      <c r="E165" s="185"/>
      <c r="F165" s="171" t="str">
        <f>IF(D165="","",VLOOKUP(D165,'G-6 Hedgerow Data'!$B$2:$AG$15,2,FALSE))</f>
        <v/>
      </c>
      <c r="G165" s="172" t="str">
        <f>IF(D165="","",VLOOKUP(D165,'G-6 Hedgerow Data'!$B$2:$AG$15,3,FALSE))</f>
        <v/>
      </c>
      <c r="H165" s="173"/>
      <c r="I165" s="172" t="str">
        <f>IFERROR(IF(AND(F165="V.Low",OR(H165="Good",H165="Moderate")),"Error",VLOOKUP(H165,'G-1 All Habitats'!$Z$2:$AA$9,2,FALSE)),"")</f>
        <v/>
      </c>
      <c r="J165" s="186"/>
      <c r="K165" s="175" t="str">
        <f>IF(J165="","",IF(VLOOKUP(J165,'G-3 Multipliers'!$L$3:$N$6,2,FALSE)=0,"Spatial Data Missing",VLOOKUP(J165,'G-3 Multipliers'!$L$3:$N$6,2,FALSE)))</f>
        <v/>
      </c>
      <c r="L165" s="176" t="str">
        <f>IF(J165="","",IF(VLOOKUP(J165,'G-3 Multipliers'!$L$3:$N$6,3,FALSE)=0,"Spatial Data Missing",VLOOKUP(J165,'G-3 Multipliers'!$L$3:$N$6,3,FALSE)))</f>
        <v/>
      </c>
      <c r="M165" s="177" t="str">
        <f>IF(D165="","",VLOOKUP(D165,'G-6 Hedgerow Data'!$B$1:$AH$15,33,FALSE))</f>
        <v/>
      </c>
      <c r="N165" s="207" t="str">
        <f t="shared" si="16"/>
        <v/>
      </c>
      <c r="O165" s="44"/>
      <c r="P165" s="173"/>
      <c r="Q165" s="189"/>
      <c r="R165" s="179" t="str">
        <f t="shared" si="17"/>
        <v/>
      </c>
      <c r="S165" s="179" t="str">
        <f t="shared" si="18"/>
        <v/>
      </c>
      <c r="T165" s="208" t="str">
        <f t="shared" si="19"/>
        <v/>
      </c>
      <c r="U165" s="209" t="str">
        <f t="shared" si="20"/>
        <v/>
      </c>
      <c r="V165" s="182"/>
      <c r="W165" s="183"/>
      <c r="AB165" s="35" t="str">
        <f>IFERROR(INDEX('G-6 Hedgerow Data'!$BJ$3:$BJ$15,MATCH(D165,'G-6 Hedgerow Data'!$B$3:$B$15,0)),"")</f>
        <v/>
      </c>
      <c r="AE165" s="188" t="str">
        <f t="shared" si="14"/>
        <v/>
      </c>
      <c r="AF165" s="188" t="str">
        <f t="shared" si="15"/>
        <v/>
      </c>
      <c r="AH165" s="188">
        <v>156</v>
      </c>
      <c r="AJ165" s="188" t="str">
        <f t="array" ref="AJ165">IFERROR(INDEX($AH$10:$AH$258, MATCH(0, IF(TRUE=$AE$10:$AE$258, COUNTIF($AJ$9:$AJ164, $AH$10:$AH$258), ""), 0)),"")</f>
        <v/>
      </c>
      <c r="AK165" s="188" t="str">
        <f t="array" ref="AK165">IFERROR(INDEX($AH$10:$AH$258, MATCH(0, IF(TRUE=$AF$10:$AF$258, COUNTIF($AK$9:$AK164, $AH$10:$AH$258), ""), 0)),"")</f>
        <v/>
      </c>
    </row>
    <row r="166" spans="2:37" ht="13.8" x14ac:dyDescent="0.25">
      <c r="B166" s="168">
        <v>157</v>
      </c>
      <c r="C166" s="275"/>
      <c r="D166" s="275"/>
      <c r="E166" s="185"/>
      <c r="F166" s="171" t="str">
        <f>IF(D166="","",VLOOKUP(D166,'G-6 Hedgerow Data'!$B$2:$AG$15,2,FALSE))</f>
        <v/>
      </c>
      <c r="G166" s="172" t="str">
        <f>IF(D166="","",VLOOKUP(D166,'G-6 Hedgerow Data'!$B$2:$AG$15,3,FALSE))</f>
        <v/>
      </c>
      <c r="H166" s="173"/>
      <c r="I166" s="172" t="str">
        <f>IFERROR(IF(AND(F166="V.Low",OR(H166="Good",H166="Moderate")),"Error",VLOOKUP(H166,'G-1 All Habitats'!$Z$2:$AA$9,2,FALSE)),"")</f>
        <v/>
      </c>
      <c r="J166" s="186"/>
      <c r="K166" s="175" t="str">
        <f>IF(J166="","",IF(VLOOKUP(J166,'G-3 Multipliers'!$L$3:$N$6,2,FALSE)=0,"Spatial Data Missing",VLOOKUP(J166,'G-3 Multipliers'!$L$3:$N$6,2,FALSE)))</f>
        <v/>
      </c>
      <c r="L166" s="176" t="str">
        <f>IF(J166="","",IF(VLOOKUP(J166,'G-3 Multipliers'!$L$3:$N$6,3,FALSE)=0,"Spatial Data Missing",VLOOKUP(J166,'G-3 Multipliers'!$L$3:$N$6,3,FALSE)))</f>
        <v/>
      </c>
      <c r="M166" s="177" t="str">
        <f>IF(D166="","",VLOOKUP(D166,'G-6 Hedgerow Data'!$B$1:$AH$15,33,FALSE))</f>
        <v/>
      </c>
      <c r="N166" s="207" t="str">
        <f t="shared" si="16"/>
        <v/>
      </c>
      <c r="O166" s="44"/>
      <c r="P166" s="173"/>
      <c r="Q166" s="189"/>
      <c r="R166" s="179" t="str">
        <f t="shared" si="17"/>
        <v/>
      </c>
      <c r="S166" s="179" t="str">
        <f t="shared" si="18"/>
        <v/>
      </c>
      <c r="T166" s="208" t="str">
        <f t="shared" si="19"/>
        <v/>
      </c>
      <c r="U166" s="209" t="str">
        <f t="shared" si="20"/>
        <v/>
      </c>
      <c r="V166" s="182"/>
      <c r="W166" s="183"/>
      <c r="AB166" s="35" t="str">
        <f>IFERROR(INDEX('G-6 Hedgerow Data'!$BJ$3:$BJ$15,MATCH(D166,'G-6 Hedgerow Data'!$B$3:$B$15,0)),"")</f>
        <v/>
      </c>
      <c r="AE166" s="188" t="str">
        <f t="shared" si="14"/>
        <v/>
      </c>
      <c r="AF166" s="188" t="str">
        <f t="shared" si="15"/>
        <v/>
      </c>
      <c r="AH166" s="188">
        <v>157</v>
      </c>
      <c r="AJ166" s="188" t="str">
        <f t="array" ref="AJ166">IFERROR(INDEX($AH$10:$AH$258, MATCH(0, IF(TRUE=$AE$10:$AE$258, COUNTIF($AJ$9:$AJ165, $AH$10:$AH$258), ""), 0)),"")</f>
        <v/>
      </c>
      <c r="AK166" s="188" t="str">
        <f t="array" ref="AK166">IFERROR(INDEX($AH$10:$AH$258, MATCH(0, IF(TRUE=$AF$10:$AF$258, COUNTIF($AK$9:$AK165, $AH$10:$AH$258), ""), 0)),"")</f>
        <v/>
      </c>
    </row>
    <row r="167" spans="2:37" ht="13.8" x14ac:dyDescent="0.25">
      <c r="B167" s="168">
        <v>158</v>
      </c>
      <c r="C167" s="275"/>
      <c r="D167" s="275"/>
      <c r="E167" s="185"/>
      <c r="F167" s="171" t="str">
        <f>IF(D167="","",VLOOKUP(D167,'G-6 Hedgerow Data'!$B$2:$AG$15,2,FALSE))</f>
        <v/>
      </c>
      <c r="G167" s="172" t="str">
        <f>IF(D167="","",VLOOKUP(D167,'G-6 Hedgerow Data'!$B$2:$AG$15,3,FALSE))</f>
        <v/>
      </c>
      <c r="H167" s="173"/>
      <c r="I167" s="172" t="str">
        <f>IFERROR(IF(AND(F167="V.Low",OR(H167="Good",H167="Moderate")),"Error",VLOOKUP(H167,'G-1 All Habitats'!$Z$2:$AA$9,2,FALSE)),"")</f>
        <v/>
      </c>
      <c r="J167" s="186"/>
      <c r="K167" s="175" t="str">
        <f>IF(J167="","",IF(VLOOKUP(J167,'G-3 Multipliers'!$L$3:$N$6,2,FALSE)=0,"Spatial Data Missing",VLOOKUP(J167,'G-3 Multipliers'!$L$3:$N$6,2,FALSE)))</f>
        <v/>
      </c>
      <c r="L167" s="176" t="str">
        <f>IF(J167="","",IF(VLOOKUP(J167,'G-3 Multipliers'!$L$3:$N$6,3,FALSE)=0,"Spatial Data Missing",VLOOKUP(J167,'G-3 Multipliers'!$L$3:$N$6,3,FALSE)))</f>
        <v/>
      </c>
      <c r="M167" s="177" t="str">
        <f>IF(D167="","",VLOOKUP(D167,'G-6 Hedgerow Data'!$B$1:$AH$15,33,FALSE))</f>
        <v/>
      </c>
      <c r="N167" s="207" t="str">
        <f t="shared" si="16"/>
        <v/>
      </c>
      <c r="O167" s="44"/>
      <c r="P167" s="173"/>
      <c r="Q167" s="189"/>
      <c r="R167" s="179" t="str">
        <f t="shared" si="17"/>
        <v/>
      </c>
      <c r="S167" s="179" t="str">
        <f t="shared" si="18"/>
        <v/>
      </c>
      <c r="T167" s="208" t="str">
        <f t="shared" si="19"/>
        <v/>
      </c>
      <c r="U167" s="209" t="str">
        <f t="shared" si="20"/>
        <v/>
      </c>
      <c r="V167" s="182"/>
      <c r="W167" s="183"/>
      <c r="AB167" s="35" t="str">
        <f>IFERROR(INDEX('G-6 Hedgerow Data'!$BJ$3:$BJ$15,MATCH(D167,'G-6 Hedgerow Data'!$B$3:$B$15,0)),"")</f>
        <v/>
      </c>
      <c r="AE167" s="188" t="str">
        <f t="shared" si="14"/>
        <v/>
      </c>
      <c r="AF167" s="188" t="str">
        <f t="shared" si="15"/>
        <v/>
      </c>
      <c r="AH167" s="188">
        <v>158</v>
      </c>
      <c r="AJ167" s="188" t="str">
        <f t="array" ref="AJ167">IFERROR(INDEX($AH$10:$AH$258, MATCH(0, IF(TRUE=$AE$10:$AE$258, COUNTIF($AJ$9:$AJ166, $AH$10:$AH$258), ""), 0)),"")</f>
        <v/>
      </c>
      <c r="AK167" s="188" t="str">
        <f t="array" ref="AK167">IFERROR(INDEX($AH$10:$AH$258, MATCH(0, IF(TRUE=$AF$10:$AF$258, COUNTIF($AK$9:$AK166, $AH$10:$AH$258), ""), 0)),"")</f>
        <v/>
      </c>
    </row>
    <row r="168" spans="2:37" ht="13.8" x14ac:dyDescent="0.25">
      <c r="B168" s="168">
        <v>159</v>
      </c>
      <c r="C168" s="275"/>
      <c r="D168" s="275"/>
      <c r="E168" s="185"/>
      <c r="F168" s="171" t="str">
        <f>IF(D168="","",VLOOKUP(D168,'G-6 Hedgerow Data'!$B$2:$AG$15,2,FALSE))</f>
        <v/>
      </c>
      <c r="G168" s="172" t="str">
        <f>IF(D168="","",VLOOKUP(D168,'G-6 Hedgerow Data'!$B$2:$AG$15,3,FALSE))</f>
        <v/>
      </c>
      <c r="H168" s="173"/>
      <c r="I168" s="172" t="str">
        <f>IFERROR(IF(AND(F168="V.Low",OR(H168="Good",H168="Moderate")),"Error",VLOOKUP(H168,'G-1 All Habitats'!$Z$2:$AA$9,2,FALSE)),"")</f>
        <v/>
      </c>
      <c r="J168" s="186"/>
      <c r="K168" s="175" t="str">
        <f>IF(J168="","",IF(VLOOKUP(J168,'G-3 Multipliers'!$L$3:$N$6,2,FALSE)=0,"Spatial Data Missing",VLOOKUP(J168,'G-3 Multipliers'!$L$3:$N$6,2,FALSE)))</f>
        <v/>
      </c>
      <c r="L168" s="176" t="str">
        <f>IF(J168="","",IF(VLOOKUP(J168,'G-3 Multipliers'!$L$3:$N$6,3,FALSE)=0,"Spatial Data Missing",VLOOKUP(J168,'G-3 Multipliers'!$L$3:$N$6,3,FALSE)))</f>
        <v/>
      </c>
      <c r="M168" s="177" t="str">
        <f>IF(D168="","",VLOOKUP(D168,'G-6 Hedgerow Data'!$B$1:$AH$15,33,FALSE))</f>
        <v/>
      </c>
      <c r="N168" s="207" t="str">
        <f t="shared" si="16"/>
        <v/>
      </c>
      <c r="O168" s="44"/>
      <c r="P168" s="173"/>
      <c r="Q168" s="189"/>
      <c r="R168" s="179" t="str">
        <f t="shared" si="17"/>
        <v/>
      </c>
      <c r="S168" s="179" t="str">
        <f t="shared" si="18"/>
        <v/>
      </c>
      <c r="T168" s="208" t="str">
        <f t="shared" si="19"/>
        <v/>
      </c>
      <c r="U168" s="209" t="str">
        <f t="shared" si="20"/>
        <v/>
      </c>
      <c r="V168" s="182"/>
      <c r="W168" s="183"/>
      <c r="AB168" s="35" t="str">
        <f>IFERROR(INDEX('G-6 Hedgerow Data'!$BJ$3:$BJ$15,MATCH(D168,'G-6 Hedgerow Data'!$B$3:$B$15,0)),"")</f>
        <v/>
      </c>
      <c r="AE168" s="188" t="str">
        <f t="shared" si="14"/>
        <v/>
      </c>
      <c r="AF168" s="188" t="str">
        <f t="shared" si="15"/>
        <v/>
      </c>
      <c r="AH168" s="188">
        <v>159</v>
      </c>
      <c r="AJ168" s="188" t="str">
        <f t="array" ref="AJ168">IFERROR(INDEX($AH$10:$AH$258, MATCH(0, IF(TRUE=$AE$10:$AE$258, COUNTIF($AJ$9:$AJ167, $AH$10:$AH$258), ""), 0)),"")</f>
        <v/>
      </c>
      <c r="AK168" s="188" t="str">
        <f t="array" ref="AK168">IFERROR(INDEX($AH$10:$AH$258, MATCH(0, IF(TRUE=$AF$10:$AF$258, COUNTIF($AK$9:$AK167, $AH$10:$AH$258), ""), 0)),"")</f>
        <v/>
      </c>
    </row>
    <row r="169" spans="2:37" ht="13.8" x14ac:dyDescent="0.25">
      <c r="B169" s="168">
        <v>160</v>
      </c>
      <c r="C169" s="275"/>
      <c r="D169" s="275"/>
      <c r="E169" s="185"/>
      <c r="F169" s="171" t="str">
        <f>IF(D169="","",VLOOKUP(D169,'G-6 Hedgerow Data'!$B$2:$AG$15,2,FALSE))</f>
        <v/>
      </c>
      <c r="G169" s="172" t="str">
        <f>IF(D169="","",VLOOKUP(D169,'G-6 Hedgerow Data'!$B$2:$AG$15,3,FALSE))</f>
        <v/>
      </c>
      <c r="H169" s="173"/>
      <c r="I169" s="172" t="str">
        <f>IFERROR(IF(AND(F169="V.Low",OR(H169="Good",H169="Moderate")),"Error",VLOOKUP(H169,'G-1 All Habitats'!$Z$2:$AA$9,2,FALSE)),"")</f>
        <v/>
      </c>
      <c r="J169" s="186"/>
      <c r="K169" s="175" t="str">
        <f>IF(J169="","",IF(VLOOKUP(J169,'G-3 Multipliers'!$L$3:$N$6,2,FALSE)=0,"Spatial Data Missing",VLOOKUP(J169,'G-3 Multipliers'!$L$3:$N$6,2,FALSE)))</f>
        <v/>
      </c>
      <c r="L169" s="176" t="str">
        <f>IF(J169="","",IF(VLOOKUP(J169,'G-3 Multipliers'!$L$3:$N$6,3,FALSE)=0,"Spatial Data Missing",VLOOKUP(J169,'G-3 Multipliers'!$L$3:$N$6,3,FALSE)))</f>
        <v/>
      </c>
      <c r="M169" s="177" t="str">
        <f>IF(D169="","",VLOOKUP(D169,'G-6 Hedgerow Data'!$B$1:$AH$15,33,FALSE))</f>
        <v/>
      </c>
      <c r="N169" s="207" t="str">
        <f t="shared" si="16"/>
        <v/>
      </c>
      <c r="O169" s="44"/>
      <c r="P169" s="173"/>
      <c r="Q169" s="189"/>
      <c r="R169" s="179" t="str">
        <f t="shared" si="17"/>
        <v/>
      </c>
      <c r="S169" s="179" t="str">
        <f t="shared" si="18"/>
        <v/>
      </c>
      <c r="T169" s="208" t="str">
        <f t="shared" si="19"/>
        <v/>
      </c>
      <c r="U169" s="209" t="str">
        <f t="shared" si="20"/>
        <v/>
      </c>
      <c r="V169" s="182"/>
      <c r="W169" s="183"/>
      <c r="AB169" s="35" t="str">
        <f>IFERROR(INDEX('G-6 Hedgerow Data'!$BJ$3:$BJ$15,MATCH(D169,'G-6 Hedgerow Data'!$B$3:$B$15,0)),"")</f>
        <v/>
      </c>
      <c r="AE169" s="188" t="str">
        <f t="shared" si="14"/>
        <v/>
      </c>
      <c r="AF169" s="188" t="str">
        <f t="shared" si="15"/>
        <v/>
      </c>
      <c r="AH169" s="188">
        <v>160</v>
      </c>
      <c r="AJ169" s="188" t="str">
        <f t="array" ref="AJ169">IFERROR(INDEX($AH$10:$AH$258, MATCH(0, IF(TRUE=$AE$10:$AE$258, COUNTIF($AJ$9:$AJ168, $AH$10:$AH$258), ""), 0)),"")</f>
        <v/>
      </c>
      <c r="AK169" s="188" t="str">
        <f t="array" ref="AK169">IFERROR(INDEX($AH$10:$AH$258, MATCH(0, IF(TRUE=$AF$10:$AF$258, COUNTIF($AK$9:$AK168, $AH$10:$AH$258), ""), 0)),"")</f>
        <v/>
      </c>
    </row>
    <row r="170" spans="2:37" ht="13.8" x14ac:dyDescent="0.25">
      <c r="B170" s="168">
        <v>161</v>
      </c>
      <c r="C170" s="275"/>
      <c r="D170" s="275"/>
      <c r="E170" s="185"/>
      <c r="F170" s="171" t="str">
        <f>IF(D170="","",VLOOKUP(D170,'G-6 Hedgerow Data'!$B$2:$AG$15,2,FALSE))</f>
        <v/>
      </c>
      <c r="G170" s="172" t="str">
        <f>IF(D170="","",VLOOKUP(D170,'G-6 Hedgerow Data'!$B$2:$AG$15,3,FALSE))</f>
        <v/>
      </c>
      <c r="H170" s="173"/>
      <c r="I170" s="172" t="str">
        <f>IFERROR(IF(AND(F170="V.Low",OR(H170="Good",H170="Moderate")),"Error",VLOOKUP(H170,'G-1 All Habitats'!$Z$2:$AA$9,2,FALSE)),"")</f>
        <v/>
      </c>
      <c r="J170" s="186"/>
      <c r="K170" s="175" t="str">
        <f>IF(J170="","",IF(VLOOKUP(J170,'G-3 Multipliers'!$L$3:$N$6,2,FALSE)=0,"Spatial Data Missing",VLOOKUP(J170,'G-3 Multipliers'!$L$3:$N$6,2,FALSE)))</f>
        <v/>
      </c>
      <c r="L170" s="176" t="str">
        <f>IF(J170="","",IF(VLOOKUP(J170,'G-3 Multipliers'!$L$3:$N$6,3,FALSE)=0,"Spatial Data Missing",VLOOKUP(J170,'G-3 Multipliers'!$L$3:$N$6,3,FALSE)))</f>
        <v/>
      </c>
      <c r="M170" s="177" t="str">
        <f>IF(D170="","",VLOOKUP(D170,'G-6 Hedgerow Data'!$B$1:$AH$15,33,FALSE))</f>
        <v/>
      </c>
      <c r="N170" s="207" t="str">
        <f t="shared" si="16"/>
        <v/>
      </c>
      <c r="O170" s="44"/>
      <c r="P170" s="173"/>
      <c r="Q170" s="189"/>
      <c r="R170" s="179" t="str">
        <f t="shared" si="17"/>
        <v/>
      </c>
      <c r="S170" s="179" t="str">
        <f t="shared" si="18"/>
        <v/>
      </c>
      <c r="T170" s="208" t="str">
        <f t="shared" si="19"/>
        <v/>
      </c>
      <c r="U170" s="209" t="str">
        <f t="shared" si="20"/>
        <v/>
      </c>
      <c r="V170" s="182"/>
      <c r="W170" s="183"/>
      <c r="AB170" s="35" t="str">
        <f>IFERROR(INDEX('G-6 Hedgerow Data'!$BJ$3:$BJ$15,MATCH(D170,'G-6 Hedgerow Data'!$B$3:$B$15,0)),"")</f>
        <v/>
      </c>
      <c r="AE170" s="188" t="str">
        <f t="shared" si="14"/>
        <v/>
      </c>
      <c r="AF170" s="188" t="str">
        <f t="shared" si="15"/>
        <v/>
      </c>
      <c r="AH170" s="188">
        <v>161</v>
      </c>
      <c r="AJ170" s="188" t="str">
        <f t="array" ref="AJ170">IFERROR(INDEX($AH$10:$AH$258, MATCH(0, IF(TRUE=$AE$10:$AE$258, COUNTIF($AJ$9:$AJ169, $AH$10:$AH$258), ""), 0)),"")</f>
        <v/>
      </c>
      <c r="AK170" s="188" t="str">
        <f t="array" ref="AK170">IFERROR(INDEX($AH$10:$AH$258, MATCH(0, IF(TRUE=$AF$10:$AF$258, COUNTIF($AK$9:$AK169, $AH$10:$AH$258), ""), 0)),"")</f>
        <v/>
      </c>
    </row>
    <row r="171" spans="2:37" ht="13.8" x14ac:dyDescent="0.25">
      <c r="B171" s="168">
        <v>162</v>
      </c>
      <c r="C171" s="275"/>
      <c r="D171" s="275"/>
      <c r="E171" s="185"/>
      <c r="F171" s="171" t="str">
        <f>IF(D171="","",VLOOKUP(D171,'G-6 Hedgerow Data'!$B$2:$AG$15,2,FALSE))</f>
        <v/>
      </c>
      <c r="G171" s="172" t="str">
        <f>IF(D171="","",VLOOKUP(D171,'G-6 Hedgerow Data'!$B$2:$AG$15,3,FALSE))</f>
        <v/>
      </c>
      <c r="H171" s="173"/>
      <c r="I171" s="172" t="str">
        <f>IFERROR(IF(AND(F171="V.Low",OR(H171="Good",H171="Moderate")),"Error",VLOOKUP(H171,'G-1 All Habitats'!$Z$2:$AA$9,2,FALSE)),"")</f>
        <v/>
      </c>
      <c r="J171" s="186"/>
      <c r="K171" s="175" t="str">
        <f>IF(J171="","",IF(VLOOKUP(J171,'G-3 Multipliers'!$L$3:$N$6,2,FALSE)=0,"Spatial Data Missing",VLOOKUP(J171,'G-3 Multipliers'!$L$3:$N$6,2,FALSE)))</f>
        <v/>
      </c>
      <c r="L171" s="176" t="str">
        <f>IF(J171="","",IF(VLOOKUP(J171,'G-3 Multipliers'!$L$3:$N$6,3,FALSE)=0,"Spatial Data Missing",VLOOKUP(J171,'G-3 Multipliers'!$L$3:$N$6,3,FALSE)))</f>
        <v/>
      </c>
      <c r="M171" s="177" t="str">
        <f>IF(D171="","",VLOOKUP(D171,'G-6 Hedgerow Data'!$B$1:$AH$15,33,FALSE))</f>
        <v/>
      </c>
      <c r="N171" s="207" t="str">
        <f t="shared" si="16"/>
        <v/>
      </c>
      <c r="O171" s="44"/>
      <c r="P171" s="173"/>
      <c r="Q171" s="189"/>
      <c r="R171" s="179" t="str">
        <f t="shared" si="17"/>
        <v/>
      </c>
      <c r="S171" s="179" t="str">
        <f t="shared" si="18"/>
        <v/>
      </c>
      <c r="T171" s="208" t="str">
        <f t="shared" si="19"/>
        <v/>
      </c>
      <c r="U171" s="209" t="str">
        <f t="shared" si="20"/>
        <v/>
      </c>
      <c r="V171" s="182"/>
      <c r="W171" s="183"/>
      <c r="AB171" s="35" t="str">
        <f>IFERROR(INDEX('G-6 Hedgerow Data'!$BJ$3:$BJ$15,MATCH(D171,'G-6 Hedgerow Data'!$B$3:$B$15,0)),"")</f>
        <v/>
      </c>
      <c r="AE171" s="188" t="str">
        <f t="shared" si="14"/>
        <v/>
      </c>
      <c r="AF171" s="188" t="str">
        <f t="shared" si="15"/>
        <v/>
      </c>
      <c r="AH171" s="188">
        <v>162</v>
      </c>
      <c r="AJ171" s="188" t="str">
        <f t="array" ref="AJ171">IFERROR(INDEX($AH$10:$AH$258, MATCH(0, IF(TRUE=$AE$10:$AE$258, COUNTIF($AJ$9:$AJ170, $AH$10:$AH$258), ""), 0)),"")</f>
        <v/>
      </c>
      <c r="AK171" s="188" t="str">
        <f t="array" ref="AK171">IFERROR(INDEX($AH$10:$AH$258, MATCH(0, IF(TRUE=$AF$10:$AF$258, COUNTIF($AK$9:$AK170, $AH$10:$AH$258), ""), 0)),"")</f>
        <v/>
      </c>
    </row>
    <row r="172" spans="2:37" ht="13.8" x14ac:dyDescent="0.25">
      <c r="B172" s="168">
        <v>163</v>
      </c>
      <c r="C172" s="275"/>
      <c r="D172" s="275"/>
      <c r="E172" s="185"/>
      <c r="F172" s="171" t="str">
        <f>IF(D172="","",VLOOKUP(D172,'G-6 Hedgerow Data'!$B$2:$AG$15,2,FALSE))</f>
        <v/>
      </c>
      <c r="G172" s="172" t="str">
        <f>IF(D172="","",VLOOKUP(D172,'G-6 Hedgerow Data'!$B$2:$AG$15,3,FALSE))</f>
        <v/>
      </c>
      <c r="H172" s="173"/>
      <c r="I172" s="172" t="str">
        <f>IFERROR(IF(AND(F172="V.Low",OR(H172="Good",H172="Moderate")),"Error",VLOOKUP(H172,'G-1 All Habitats'!$Z$2:$AA$9,2,FALSE)),"")</f>
        <v/>
      </c>
      <c r="J172" s="186"/>
      <c r="K172" s="175" t="str">
        <f>IF(J172="","",IF(VLOOKUP(J172,'G-3 Multipliers'!$L$3:$N$6,2,FALSE)=0,"Spatial Data Missing",VLOOKUP(J172,'G-3 Multipliers'!$L$3:$N$6,2,FALSE)))</f>
        <v/>
      </c>
      <c r="L172" s="176" t="str">
        <f>IF(J172="","",IF(VLOOKUP(J172,'G-3 Multipliers'!$L$3:$N$6,3,FALSE)=0,"Spatial Data Missing",VLOOKUP(J172,'G-3 Multipliers'!$L$3:$N$6,3,FALSE)))</f>
        <v/>
      </c>
      <c r="M172" s="177" t="str">
        <f>IF(D172="","",VLOOKUP(D172,'G-6 Hedgerow Data'!$B$1:$AH$15,33,FALSE))</f>
        <v/>
      </c>
      <c r="N172" s="207" t="str">
        <f t="shared" si="16"/>
        <v/>
      </c>
      <c r="O172" s="44"/>
      <c r="P172" s="173"/>
      <c r="Q172" s="189"/>
      <c r="R172" s="179" t="str">
        <f t="shared" si="17"/>
        <v/>
      </c>
      <c r="S172" s="179" t="str">
        <f t="shared" si="18"/>
        <v/>
      </c>
      <c r="T172" s="208" t="str">
        <f t="shared" si="19"/>
        <v/>
      </c>
      <c r="U172" s="209" t="str">
        <f t="shared" si="20"/>
        <v/>
      </c>
      <c r="V172" s="182"/>
      <c r="W172" s="183"/>
      <c r="AB172" s="35" t="str">
        <f>IFERROR(INDEX('G-6 Hedgerow Data'!$BJ$3:$BJ$15,MATCH(D172,'G-6 Hedgerow Data'!$B$3:$B$15,0)),"")</f>
        <v/>
      </c>
      <c r="AE172" s="188" t="str">
        <f t="shared" si="14"/>
        <v/>
      </c>
      <c r="AF172" s="188" t="str">
        <f t="shared" si="15"/>
        <v/>
      </c>
      <c r="AH172" s="188">
        <v>163</v>
      </c>
      <c r="AJ172" s="188" t="str">
        <f t="array" ref="AJ172">IFERROR(INDEX($AH$10:$AH$258, MATCH(0, IF(TRUE=$AE$10:$AE$258, COUNTIF($AJ$9:$AJ171, $AH$10:$AH$258), ""), 0)),"")</f>
        <v/>
      </c>
      <c r="AK172" s="188" t="str">
        <f t="array" ref="AK172">IFERROR(INDEX($AH$10:$AH$258, MATCH(0, IF(TRUE=$AF$10:$AF$258, COUNTIF($AK$9:$AK171, $AH$10:$AH$258), ""), 0)),"")</f>
        <v/>
      </c>
    </row>
    <row r="173" spans="2:37" ht="13.8" x14ac:dyDescent="0.25">
      <c r="B173" s="168">
        <v>164</v>
      </c>
      <c r="C173" s="275"/>
      <c r="D173" s="275"/>
      <c r="E173" s="185"/>
      <c r="F173" s="171" t="str">
        <f>IF(D173="","",VLOOKUP(D173,'G-6 Hedgerow Data'!$B$2:$AG$15,2,FALSE))</f>
        <v/>
      </c>
      <c r="G173" s="172" t="str">
        <f>IF(D173="","",VLOOKUP(D173,'G-6 Hedgerow Data'!$B$2:$AG$15,3,FALSE))</f>
        <v/>
      </c>
      <c r="H173" s="173"/>
      <c r="I173" s="172" t="str">
        <f>IFERROR(IF(AND(F173="V.Low",OR(H173="Good",H173="Moderate")),"Error",VLOOKUP(H173,'G-1 All Habitats'!$Z$2:$AA$9,2,FALSE)),"")</f>
        <v/>
      </c>
      <c r="J173" s="186"/>
      <c r="K173" s="175" t="str">
        <f>IF(J173="","",IF(VLOOKUP(J173,'G-3 Multipliers'!$L$3:$N$6,2,FALSE)=0,"Spatial Data Missing",VLOOKUP(J173,'G-3 Multipliers'!$L$3:$N$6,2,FALSE)))</f>
        <v/>
      </c>
      <c r="L173" s="176" t="str">
        <f>IF(J173="","",IF(VLOOKUP(J173,'G-3 Multipliers'!$L$3:$N$6,3,FALSE)=0,"Spatial Data Missing",VLOOKUP(J173,'G-3 Multipliers'!$L$3:$N$6,3,FALSE)))</f>
        <v/>
      </c>
      <c r="M173" s="177" t="str">
        <f>IF(D173="","",VLOOKUP(D173,'G-6 Hedgerow Data'!$B$1:$AH$15,33,FALSE))</f>
        <v/>
      </c>
      <c r="N173" s="207" t="str">
        <f t="shared" si="16"/>
        <v/>
      </c>
      <c r="O173" s="44"/>
      <c r="P173" s="173"/>
      <c r="Q173" s="189"/>
      <c r="R173" s="179" t="str">
        <f t="shared" si="17"/>
        <v/>
      </c>
      <c r="S173" s="179" t="str">
        <f t="shared" si="18"/>
        <v/>
      </c>
      <c r="T173" s="208" t="str">
        <f t="shared" si="19"/>
        <v/>
      </c>
      <c r="U173" s="209" t="str">
        <f t="shared" si="20"/>
        <v/>
      </c>
      <c r="V173" s="182"/>
      <c r="W173" s="183"/>
      <c r="AB173" s="35" t="str">
        <f>IFERROR(INDEX('G-6 Hedgerow Data'!$BJ$3:$BJ$15,MATCH(D173,'G-6 Hedgerow Data'!$B$3:$B$15,0)),"")</f>
        <v/>
      </c>
      <c r="AE173" s="188" t="str">
        <f t="shared" si="14"/>
        <v/>
      </c>
      <c r="AF173" s="188" t="str">
        <f t="shared" si="15"/>
        <v/>
      </c>
      <c r="AH173" s="188">
        <v>164</v>
      </c>
      <c r="AJ173" s="188" t="str">
        <f t="array" ref="AJ173">IFERROR(INDEX($AH$10:$AH$258, MATCH(0, IF(TRUE=$AE$10:$AE$258, COUNTIF($AJ$9:$AJ172, $AH$10:$AH$258), ""), 0)),"")</f>
        <v/>
      </c>
      <c r="AK173" s="188" t="str">
        <f t="array" ref="AK173">IFERROR(INDEX($AH$10:$AH$258, MATCH(0, IF(TRUE=$AF$10:$AF$258, COUNTIF($AK$9:$AK172, $AH$10:$AH$258), ""), 0)),"")</f>
        <v/>
      </c>
    </row>
    <row r="174" spans="2:37" ht="13.8" x14ac:dyDescent="0.25">
      <c r="B174" s="168">
        <v>165</v>
      </c>
      <c r="C174" s="275"/>
      <c r="D174" s="275"/>
      <c r="E174" s="185"/>
      <c r="F174" s="171" t="str">
        <f>IF(D174="","",VLOOKUP(D174,'G-6 Hedgerow Data'!$B$2:$AG$15,2,FALSE))</f>
        <v/>
      </c>
      <c r="G174" s="172" t="str">
        <f>IF(D174="","",VLOOKUP(D174,'G-6 Hedgerow Data'!$B$2:$AG$15,3,FALSE))</f>
        <v/>
      </c>
      <c r="H174" s="173"/>
      <c r="I174" s="172" t="str">
        <f>IFERROR(IF(AND(F174="V.Low",OR(H174="Good",H174="Moderate")),"Error",VLOOKUP(H174,'G-1 All Habitats'!$Z$2:$AA$9,2,FALSE)),"")</f>
        <v/>
      </c>
      <c r="J174" s="186"/>
      <c r="K174" s="175" t="str">
        <f>IF(J174="","",IF(VLOOKUP(J174,'G-3 Multipliers'!$L$3:$N$6,2,FALSE)=0,"Spatial Data Missing",VLOOKUP(J174,'G-3 Multipliers'!$L$3:$N$6,2,FALSE)))</f>
        <v/>
      </c>
      <c r="L174" s="176" t="str">
        <f>IF(J174="","",IF(VLOOKUP(J174,'G-3 Multipliers'!$L$3:$N$6,3,FALSE)=0,"Spatial Data Missing",VLOOKUP(J174,'G-3 Multipliers'!$L$3:$N$6,3,FALSE)))</f>
        <v/>
      </c>
      <c r="M174" s="177" t="str">
        <f>IF(D174="","",VLOOKUP(D174,'G-6 Hedgerow Data'!$B$1:$AH$15,33,FALSE))</f>
        <v/>
      </c>
      <c r="N174" s="207" t="str">
        <f t="shared" si="16"/>
        <v/>
      </c>
      <c r="O174" s="44"/>
      <c r="P174" s="173"/>
      <c r="Q174" s="189"/>
      <c r="R174" s="179" t="str">
        <f t="shared" si="17"/>
        <v/>
      </c>
      <c r="S174" s="179" t="str">
        <f t="shared" si="18"/>
        <v/>
      </c>
      <c r="T174" s="208" t="str">
        <f t="shared" si="19"/>
        <v/>
      </c>
      <c r="U174" s="209" t="str">
        <f t="shared" si="20"/>
        <v/>
      </c>
      <c r="V174" s="182"/>
      <c r="W174" s="183"/>
      <c r="AB174" s="35" t="str">
        <f>IFERROR(INDEX('G-6 Hedgerow Data'!$BJ$3:$BJ$15,MATCH(D174,'G-6 Hedgerow Data'!$B$3:$B$15,0)),"")</f>
        <v/>
      </c>
      <c r="AE174" s="188" t="str">
        <f t="shared" si="14"/>
        <v/>
      </c>
      <c r="AF174" s="188" t="str">
        <f t="shared" si="15"/>
        <v/>
      </c>
      <c r="AH174" s="188">
        <v>165</v>
      </c>
      <c r="AJ174" s="188" t="str">
        <f t="array" ref="AJ174">IFERROR(INDEX($AH$10:$AH$258, MATCH(0, IF(TRUE=$AE$10:$AE$258, COUNTIF($AJ$9:$AJ173, $AH$10:$AH$258), ""), 0)),"")</f>
        <v/>
      </c>
      <c r="AK174" s="188" t="str">
        <f t="array" ref="AK174">IFERROR(INDEX($AH$10:$AH$258, MATCH(0, IF(TRUE=$AF$10:$AF$258, COUNTIF($AK$9:$AK173, $AH$10:$AH$258), ""), 0)),"")</f>
        <v/>
      </c>
    </row>
    <row r="175" spans="2:37" ht="13.8" x14ac:dyDescent="0.25">
      <c r="B175" s="168">
        <v>166</v>
      </c>
      <c r="C175" s="275"/>
      <c r="D175" s="275"/>
      <c r="E175" s="185"/>
      <c r="F175" s="171" t="str">
        <f>IF(D175="","",VLOOKUP(D175,'G-6 Hedgerow Data'!$B$2:$AG$15,2,FALSE))</f>
        <v/>
      </c>
      <c r="G175" s="172" t="str">
        <f>IF(D175="","",VLOOKUP(D175,'G-6 Hedgerow Data'!$B$2:$AG$15,3,FALSE))</f>
        <v/>
      </c>
      <c r="H175" s="173"/>
      <c r="I175" s="172" t="str">
        <f>IFERROR(IF(AND(F175="V.Low",OR(H175="Good",H175="Moderate")),"Error",VLOOKUP(H175,'G-1 All Habitats'!$Z$2:$AA$9,2,FALSE)),"")</f>
        <v/>
      </c>
      <c r="J175" s="186"/>
      <c r="K175" s="175" t="str">
        <f>IF(J175="","",IF(VLOOKUP(J175,'G-3 Multipliers'!$L$3:$N$6,2,FALSE)=0,"Spatial Data Missing",VLOOKUP(J175,'G-3 Multipliers'!$L$3:$N$6,2,FALSE)))</f>
        <v/>
      </c>
      <c r="L175" s="176" t="str">
        <f>IF(J175="","",IF(VLOOKUP(J175,'G-3 Multipliers'!$L$3:$N$6,3,FALSE)=0,"Spatial Data Missing",VLOOKUP(J175,'G-3 Multipliers'!$L$3:$N$6,3,FALSE)))</f>
        <v/>
      </c>
      <c r="M175" s="177" t="str">
        <f>IF(D175="","",VLOOKUP(D175,'G-6 Hedgerow Data'!$B$1:$AH$15,33,FALSE))</f>
        <v/>
      </c>
      <c r="N175" s="207" t="str">
        <f t="shared" si="16"/>
        <v/>
      </c>
      <c r="O175" s="44"/>
      <c r="P175" s="173"/>
      <c r="Q175" s="189"/>
      <c r="R175" s="179" t="str">
        <f t="shared" si="17"/>
        <v/>
      </c>
      <c r="S175" s="179" t="str">
        <f t="shared" si="18"/>
        <v/>
      </c>
      <c r="T175" s="208" t="str">
        <f t="shared" si="19"/>
        <v/>
      </c>
      <c r="U175" s="209" t="str">
        <f t="shared" si="20"/>
        <v/>
      </c>
      <c r="V175" s="182"/>
      <c r="W175" s="183"/>
      <c r="AB175" s="35" t="str">
        <f>IFERROR(INDEX('G-6 Hedgerow Data'!$BJ$3:$BJ$15,MATCH(D175,'G-6 Hedgerow Data'!$B$3:$B$15,0)),"")</f>
        <v/>
      </c>
      <c r="AE175" s="188" t="str">
        <f t="shared" si="14"/>
        <v/>
      </c>
      <c r="AF175" s="188" t="str">
        <f t="shared" si="15"/>
        <v/>
      </c>
      <c r="AH175" s="188">
        <v>166</v>
      </c>
      <c r="AJ175" s="188" t="str">
        <f t="array" ref="AJ175">IFERROR(INDEX($AH$10:$AH$258, MATCH(0, IF(TRUE=$AE$10:$AE$258, COUNTIF($AJ$9:$AJ174, $AH$10:$AH$258), ""), 0)),"")</f>
        <v/>
      </c>
      <c r="AK175" s="188" t="str">
        <f t="array" ref="AK175">IFERROR(INDEX($AH$10:$AH$258, MATCH(0, IF(TRUE=$AF$10:$AF$258, COUNTIF($AK$9:$AK174, $AH$10:$AH$258), ""), 0)),"")</f>
        <v/>
      </c>
    </row>
    <row r="176" spans="2:37" ht="13.8" x14ac:dyDescent="0.25">
      <c r="B176" s="168">
        <v>167</v>
      </c>
      <c r="C176" s="275"/>
      <c r="D176" s="275"/>
      <c r="E176" s="185"/>
      <c r="F176" s="171" t="str">
        <f>IF(D176="","",VLOOKUP(D176,'G-6 Hedgerow Data'!$B$2:$AG$15,2,FALSE))</f>
        <v/>
      </c>
      <c r="G176" s="172" t="str">
        <f>IF(D176="","",VLOOKUP(D176,'G-6 Hedgerow Data'!$B$2:$AG$15,3,FALSE))</f>
        <v/>
      </c>
      <c r="H176" s="173"/>
      <c r="I176" s="172" t="str">
        <f>IFERROR(IF(AND(F176="V.Low",OR(H176="Good",H176="Moderate")),"Error",VLOOKUP(H176,'G-1 All Habitats'!$Z$2:$AA$9,2,FALSE)),"")</f>
        <v/>
      </c>
      <c r="J176" s="186"/>
      <c r="K176" s="175" t="str">
        <f>IF(J176="","",IF(VLOOKUP(J176,'G-3 Multipliers'!$L$3:$N$6,2,FALSE)=0,"Spatial Data Missing",VLOOKUP(J176,'G-3 Multipliers'!$L$3:$N$6,2,FALSE)))</f>
        <v/>
      </c>
      <c r="L176" s="176" t="str">
        <f>IF(J176="","",IF(VLOOKUP(J176,'G-3 Multipliers'!$L$3:$N$6,3,FALSE)=0,"Spatial Data Missing",VLOOKUP(J176,'G-3 Multipliers'!$L$3:$N$6,3,FALSE)))</f>
        <v/>
      </c>
      <c r="M176" s="177" t="str">
        <f>IF(D176="","",VLOOKUP(D176,'G-6 Hedgerow Data'!$B$1:$AH$15,33,FALSE))</f>
        <v/>
      </c>
      <c r="N176" s="207" t="str">
        <f t="shared" si="16"/>
        <v/>
      </c>
      <c r="O176" s="44"/>
      <c r="P176" s="173"/>
      <c r="Q176" s="189"/>
      <c r="R176" s="179" t="str">
        <f t="shared" si="17"/>
        <v/>
      </c>
      <c r="S176" s="179" t="str">
        <f t="shared" si="18"/>
        <v/>
      </c>
      <c r="T176" s="208" t="str">
        <f t="shared" si="19"/>
        <v/>
      </c>
      <c r="U176" s="209" t="str">
        <f t="shared" si="20"/>
        <v/>
      </c>
      <c r="V176" s="182"/>
      <c r="W176" s="183"/>
      <c r="AB176" s="35" t="str">
        <f>IFERROR(INDEX('G-6 Hedgerow Data'!$BJ$3:$BJ$15,MATCH(D176,'G-6 Hedgerow Data'!$B$3:$B$15,0)),"")</f>
        <v/>
      </c>
      <c r="AE176" s="188" t="str">
        <f t="shared" si="14"/>
        <v/>
      </c>
      <c r="AF176" s="188" t="str">
        <f t="shared" si="15"/>
        <v/>
      </c>
      <c r="AH176" s="188">
        <v>167</v>
      </c>
      <c r="AJ176" s="188" t="str">
        <f t="array" ref="AJ176">IFERROR(INDEX($AH$10:$AH$258, MATCH(0, IF(TRUE=$AE$10:$AE$258, COUNTIF($AJ$9:$AJ175, $AH$10:$AH$258), ""), 0)),"")</f>
        <v/>
      </c>
      <c r="AK176" s="188" t="str">
        <f t="array" ref="AK176">IFERROR(INDEX($AH$10:$AH$258, MATCH(0, IF(TRUE=$AF$10:$AF$258, COUNTIF($AK$9:$AK175, $AH$10:$AH$258), ""), 0)),"")</f>
        <v/>
      </c>
    </row>
    <row r="177" spans="2:37" ht="13.8" x14ac:dyDescent="0.25">
      <c r="B177" s="168">
        <v>168</v>
      </c>
      <c r="C177" s="275"/>
      <c r="D177" s="275"/>
      <c r="E177" s="185"/>
      <c r="F177" s="171" t="str">
        <f>IF(D177="","",VLOOKUP(D177,'G-6 Hedgerow Data'!$B$2:$AG$15,2,FALSE))</f>
        <v/>
      </c>
      <c r="G177" s="172" t="str">
        <f>IF(D177="","",VLOOKUP(D177,'G-6 Hedgerow Data'!$B$2:$AG$15,3,FALSE))</f>
        <v/>
      </c>
      <c r="H177" s="173"/>
      <c r="I177" s="172" t="str">
        <f>IFERROR(IF(AND(F177="V.Low",OR(H177="Good",H177="Moderate")),"Error",VLOOKUP(H177,'G-1 All Habitats'!$Z$2:$AA$9,2,FALSE)),"")</f>
        <v/>
      </c>
      <c r="J177" s="186"/>
      <c r="K177" s="175" t="str">
        <f>IF(J177="","",IF(VLOOKUP(J177,'G-3 Multipliers'!$L$3:$N$6,2,FALSE)=0,"Spatial Data Missing",VLOOKUP(J177,'G-3 Multipliers'!$L$3:$N$6,2,FALSE)))</f>
        <v/>
      </c>
      <c r="L177" s="176" t="str">
        <f>IF(J177="","",IF(VLOOKUP(J177,'G-3 Multipliers'!$L$3:$N$6,3,FALSE)=0,"Spatial Data Missing",VLOOKUP(J177,'G-3 Multipliers'!$L$3:$N$6,3,FALSE)))</f>
        <v/>
      </c>
      <c r="M177" s="177" t="str">
        <f>IF(D177="","",VLOOKUP(D177,'G-6 Hedgerow Data'!$B$1:$AH$15,33,FALSE))</f>
        <v/>
      </c>
      <c r="N177" s="207" t="str">
        <f t="shared" si="16"/>
        <v/>
      </c>
      <c r="O177" s="44"/>
      <c r="P177" s="173"/>
      <c r="Q177" s="189"/>
      <c r="R177" s="179" t="str">
        <f t="shared" si="17"/>
        <v/>
      </c>
      <c r="S177" s="179" t="str">
        <f t="shared" si="18"/>
        <v/>
      </c>
      <c r="T177" s="208" t="str">
        <f t="shared" si="19"/>
        <v/>
      </c>
      <c r="U177" s="209" t="str">
        <f t="shared" si="20"/>
        <v/>
      </c>
      <c r="V177" s="182"/>
      <c r="W177" s="183"/>
      <c r="AB177" s="35" t="str">
        <f>IFERROR(INDEX('G-6 Hedgerow Data'!$BJ$3:$BJ$15,MATCH(D177,'G-6 Hedgerow Data'!$B$3:$B$15,0)),"")</f>
        <v/>
      </c>
      <c r="AE177" s="188" t="str">
        <f t="shared" si="14"/>
        <v/>
      </c>
      <c r="AF177" s="188" t="str">
        <f t="shared" si="15"/>
        <v/>
      </c>
      <c r="AH177" s="188">
        <v>168</v>
      </c>
      <c r="AJ177" s="188" t="str">
        <f t="array" ref="AJ177">IFERROR(INDEX($AH$10:$AH$258, MATCH(0, IF(TRUE=$AE$10:$AE$258, COUNTIF($AJ$9:$AJ176, $AH$10:$AH$258), ""), 0)),"")</f>
        <v/>
      </c>
      <c r="AK177" s="188" t="str">
        <f t="array" ref="AK177">IFERROR(INDEX($AH$10:$AH$258, MATCH(0, IF(TRUE=$AF$10:$AF$258, COUNTIF($AK$9:$AK176, $AH$10:$AH$258), ""), 0)),"")</f>
        <v/>
      </c>
    </row>
    <row r="178" spans="2:37" ht="13.8" x14ac:dyDescent="0.25">
      <c r="B178" s="168">
        <v>169</v>
      </c>
      <c r="C178" s="275"/>
      <c r="D178" s="275"/>
      <c r="E178" s="185"/>
      <c r="F178" s="171" t="str">
        <f>IF(D178="","",VLOOKUP(D178,'G-6 Hedgerow Data'!$B$2:$AG$15,2,FALSE))</f>
        <v/>
      </c>
      <c r="G178" s="172" t="str">
        <f>IF(D178="","",VLOOKUP(D178,'G-6 Hedgerow Data'!$B$2:$AG$15,3,FALSE))</f>
        <v/>
      </c>
      <c r="H178" s="173"/>
      <c r="I178" s="172" t="str">
        <f>IFERROR(IF(AND(F178="V.Low",OR(H178="Good",H178="Moderate")),"Error",VLOOKUP(H178,'G-1 All Habitats'!$Z$2:$AA$9,2,FALSE)),"")</f>
        <v/>
      </c>
      <c r="J178" s="186"/>
      <c r="K178" s="175" t="str">
        <f>IF(J178="","",IF(VLOOKUP(J178,'G-3 Multipliers'!$L$3:$N$6,2,FALSE)=0,"Spatial Data Missing",VLOOKUP(J178,'G-3 Multipliers'!$L$3:$N$6,2,FALSE)))</f>
        <v/>
      </c>
      <c r="L178" s="176" t="str">
        <f>IF(J178="","",IF(VLOOKUP(J178,'G-3 Multipliers'!$L$3:$N$6,3,FALSE)=0,"Spatial Data Missing",VLOOKUP(J178,'G-3 Multipliers'!$L$3:$N$6,3,FALSE)))</f>
        <v/>
      </c>
      <c r="M178" s="177" t="str">
        <f>IF(D178="","",VLOOKUP(D178,'G-6 Hedgerow Data'!$B$1:$AH$15,33,FALSE))</f>
        <v/>
      </c>
      <c r="N178" s="207" t="str">
        <f t="shared" si="16"/>
        <v/>
      </c>
      <c r="O178" s="44"/>
      <c r="P178" s="173"/>
      <c r="Q178" s="189"/>
      <c r="R178" s="179" t="str">
        <f t="shared" si="17"/>
        <v/>
      </c>
      <c r="S178" s="179" t="str">
        <f t="shared" si="18"/>
        <v/>
      </c>
      <c r="T178" s="208" t="str">
        <f t="shared" si="19"/>
        <v/>
      </c>
      <c r="U178" s="209" t="str">
        <f t="shared" si="20"/>
        <v/>
      </c>
      <c r="V178" s="182"/>
      <c r="W178" s="183"/>
      <c r="AB178" s="35" t="str">
        <f>IFERROR(INDEX('G-6 Hedgerow Data'!$BJ$3:$BJ$15,MATCH(D178,'G-6 Hedgerow Data'!$B$3:$B$15,0)),"")</f>
        <v/>
      </c>
      <c r="AE178" s="188" t="str">
        <f t="shared" si="14"/>
        <v/>
      </c>
      <c r="AF178" s="188" t="str">
        <f t="shared" si="15"/>
        <v/>
      </c>
      <c r="AH178" s="188">
        <v>169</v>
      </c>
      <c r="AJ178" s="188" t="str">
        <f t="array" ref="AJ178">IFERROR(INDEX($AH$10:$AH$258, MATCH(0, IF(TRUE=$AE$10:$AE$258, COUNTIF($AJ$9:$AJ177, $AH$10:$AH$258), ""), 0)),"")</f>
        <v/>
      </c>
      <c r="AK178" s="188" t="str">
        <f t="array" ref="AK178">IFERROR(INDEX($AH$10:$AH$258, MATCH(0, IF(TRUE=$AF$10:$AF$258, COUNTIF($AK$9:$AK177, $AH$10:$AH$258), ""), 0)),"")</f>
        <v/>
      </c>
    </row>
    <row r="179" spans="2:37" ht="13.8" x14ac:dyDescent="0.25">
      <c r="B179" s="168">
        <v>170</v>
      </c>
      <c r="C179" s="275"/>
      <c r="D179" s="275"/>
      <c r="E179" s="185"/>
      <c r="F179" s="171" t="str">
        <f>IF(D179="","",VLOOKUP(D179,'G-6 Hedgerow Data'!$B$2:$AG$15,2,FALSE))</f>
        <v/>
      </c>
      <c r="G179" s="172" t="str">
        <f>IF(D179="","",VLOOKUP(D179,'G-6 Hedgerow Data'!$B$2:$AG$15,3,FALSE))</f>
        <v/>
      </c>
      <c r="H179" s="173"/>
      <c r="I179" s="172" t="str">
        <f>IFERROR(IF(AND(F179="V.Low",OR(H179="Good",H179="Moderate")),"Error",VLOOKUP(H179,'G-1 All Habitats'!$Z$2:$AA$9,2,FALSE)),"")</f>
        <v/>
      </c>
      <c r="J179" s="186"/>
      <c r="K179" s="175" t="str">
        <f>IF(J179="","",IF(VLOOKUP(J179,'G-3 Multipliers'!$L$3:$N$6,2,FALSE)=0,"Spatial Data Missing",VLOOKUP(J179,'G-3 Multipliers'!$L$3:$N$6,2,FALSE)))</f>
        <v/>
      </c>
      <c r="L179" s="176" t="str">
        <f>IF(J179="","",IF(VLOOKUP(J179,'G-3 Multipliers'!$L$3:$N$6,3,FALSE)=0,"Spatial Data Missing",VLOOKUP(J179,'G-3 Multipliers'!$L$3:$N$6,3,FALSE)))</f>
        <v/>
      </c>
      <c r="M179" s="177" t="str">
        <f>IF(D179="","",VLOOKUP(D179,'G-6 Hedgerow Data'!$B$1:$AH$15,33,FALSE))</f>
        <v/>
      </c>
      <c r="N179" s="207" t="str">
        <f t="shared" si="16"/>
        <v/>
      </c>
      <c r="O179" s="44"/>
      <c r="P179" s="173"/>
      <c r="Q179" s="189"/>
      <c r="R179" s="179" t="str">
        <f t="shared" si="17"/>
        <v/>
      </c>
      <c r="S179" s="179" t="str">
        <f t="shared" si="18"/>
        <v/>
      </c>
      <c r="T179" s="208" t="str">
        <f t="shared" si="19"/>
        <v/>
      </c>
      <c r="U179" s="209" t="str">
        <f t="shared" si="20"/>
        <v/>
      </c>
      <c r="V179" s="182"/>
      <c r="W179" s="183"/>
      <c r="AB179" s="35" t="str">
        <f>IFERROR(INDEX('G-6 Hedgerow Data'!$BJ$3:$BJ$15,MATCH(D179,'G-6 Hedgerow Data'!$B$3:$B$15,0)),"")</f>
        <v/>
      </c>
      <c r="AE179" s="188" t="str">
        <f t="shared" si="14"/>
        <v/>
      </c>
      <c r="AF179" s="188" t="str">
        <f t="shared" si="15"/>
        <v/>
      </c>
      <c r="AH179" s="188">
        <v>170</v>
      </c>
      <c r="AJ179" s="188" t="str">
        <f t="array" ref="AJ179">IFERROR(INDEX($AH$10:$AH$258, MATCH(0, IF(TRUE=$AE$10:$AE$258, COUNTIF($AJ$9:$AJ178, $AH$10:$AH$258), ""), 0)),"")</f>
        <v/>
      </c>
      <c r="AK179" s="188" t="str">
        <f t="array" ref="AK179">IFERROR(INDEX($AH$10:$AH$258, MATCH(0, IF(TRUE=$AF$10:$AF$258, COUNTIF($AK$9:$AK178, $AH$10:$AH$258), ""), 0)),"")</f>
        <v/>
      </c>
    </row>
    <row r="180" spans="2:37" ht="13.8" x14ac:dyDescent="0.25">
      <c r="B180" s="168">
        <v>171</v>
      </c>
      <c r="C180" s="275"/>
      <c r="D180" s="275"/>
      <c r="E180" s="185"/>
      <c r="F180" s="171" t="str">
        <f>IF(D180="","",VLOOKUP(D180,'G-6 Hedgerow Data'!$B$2:$AG$15,2,FALSE))</f>
        <v/>
      </c>
      <c r="G180" s="172" t="str">
        <f>IF(D180="","",VLOOKUP(D180,'G-6 Hedgerow Data'!$B$2:$AG$15,3,FALSE))</f>
        <v/>
      </c>
      <c r="H180" s="173"/>
      <c r="I180" s="172" t="str">
        <f>IFERROR(IF(AND(F180="V.Low",OR(H180="Good",H180="Moderate")),"Error",VLOOKUP(H180,'G-1 All Habitats'!$Z$2:$AA$9,2,FALSE)),"")</f>
        <v/>
      </c>
      <c r="J180" s="186"/>
      <c r="K180" s="175" t="str">
        <f>IF(J180="","",IF(VLOOKUP(J180,'G-3 Multipliers'!$L$3:$N$6,2,FALSE)=0,"Spatial Data Missing",VLOOKUP(J180,'G-3 Multipliers'!$L$3:$N$6,2,FALSE)))</f>
        <v/>
      </c>
      <c r="L180" s="176" t="str">
        <f>IF(J180="","",IF(VLOOKUP(J180,'G-3 Multipliers'!$L$3:$N$6,3,FALSE)=0,"Spatial Data Missing",VLOOKUP(J180,'G-3 Multipliers'!$L$3:$N$6,3,FALSE)))</f>
        <v/>
      </c>
      <c r="M180" s="177" t="str">
        <f>IF(D180="","",VLOOKUP(D180,'G-6 Hedgerow Data'!$B$1:$AH$15,33,FALSE))</f>
        <v/>
      </c>
      <c r="N180" s="207" t="str">
        <f t="shared" si="16"/>
        <v/>
      </c>
      <c r="O180" s="44"/>
      <c r="P180" s="173"/>
      <c r="Q180" s="189"/>
      <c r="R180" s="179" t="str">
        <f t="shared" si="17"/>
        <v/>
      </c>
      <c r="S180" s="179" t="str">
        <f t="shared" si="18"/>
        <v/>
      </c>
      <c r="T180" s="208" t="str">
        <f t="shared" si="19"/>
        <v/>
      </c>
      <c r="U180" s="209" t="str">
        <f t="shared" si="20"/>
        <v/>
      </c>
      <c r="V180" s="182"/>
      <c r="W180" s="183"/>
      <c r="AB180" s="35" t="str">
        <f>IFERROR(INDEX('G-6 Hedgerow Data'!$BJ$3:$BJ$15,MATCH(D180,'G-6 Hedgerow Data'!$B$3:$B$15,0)),"")</f>
        <v/>
      </c>
      <c r="AE180" s="188" t="str">
        <f t="shared" si="14"/>
        <v/>
      </c>
      <c r="AF180" s="188" t="str">
        <f t="shared" si="15"/>
        <v/>
      </c>
      <c r="AH180" s="188">
        <v>171</v>
      </c>
      <c r="AJ180" s="188" t="str">
        <f t="array" ref="AJ180">IFERROR(INDEX($AH$10:$AH$258, MATCH(0, IF(TRUE=$AE$10:$AE$258, COUNTIF($AJ$9:$AJ179, $AH$10:$AH$258), ""), 0)),"")</f>
        <v/>
      </c>
      <c r="AK180" s="188" t="str">
        <f t="array" ref="AK180">IFERROR(INDEX($AH$10:$AH$258, MATCH(0, IF(TRUE=$AF$10:$AF$258, COUNTIF($AK$9:$AK179, $AH$10:$AH$258), ""), 0)),"")</f>
        <v/>
      </c>
    </row>
    <row r="181" spans="2:37" ht="13.8" x14ac:dyDescent="0.25">
      <c r="B181" s="168">
        <v>172</v>
      </c>
      <c r="C181" s="275"/>
      <c r="D181" s="275"/>
      <c r="E181" s="185"/>
      <c r="F181" s="171" t="str">
        <f>IF(D181="","",VLOOKUP(D181,'G-6 Hedgerow Data'!$B$2:$AG$15,2,FALSE))</f>
        <v/>
      </c>
      <c r="G181" s="172" t="str">
        <f>IF(D181="","",VLOOKUP(D181,'G-6 Hedgerow Data'!$B$2:$AG$15,3,FALSE))</f>
        <v/>
      </c>
      <c r="H181" s="173"/>
      <c r="I181" s="172" t="str">
        <f>IFERROR(IF(AND(F181="V.Low",OR(H181="Good",H181="Moderate")),"Error",VLOOKUP(H181,'G-1 All Habitats'!$Z$2:$AA$9,2,FALSE)),"")</f>
        <v/>
      </c>
      <c r="J181" s="186"/>
      <c r="K181" s="175" t="str">
        <f>IF(J181="","",IF(VLOOKUP(J181,'G-3 Multipliers'!$L$3:$N$6,2,FALSE)=0,"Spatial Data Missing",VLOOKUP(J181,'G-3 Multipliers'!$L$3:$N$6,2,FALSE)))</f>
        <v/>
      </c>
      <c r="L181" s="176" t="str">
        <f>IF(J181="","",IF(VLOOKUP(J181,'G-3 Multipliers'!$L$3:$N$6,3,FALSE)=0,"Spatial Data Missing",VLOOKUP(J181,'G-3 Multipliers'!$L$3:$N$6,3,FALSE)))</f>
        <v/>
      </c>
      <c r="M181" s="177" t="str">
        <f>IF(D181="","",VLOOKUP(D181,'G-6 Hedgerow Data'!$B$1:$AH$15,33,FALSE))</f>
        <v/>
      </c>
      <c r="N181" s="207" t="str">
        <f t="shared" si="16"/>
        <v/>
      </c>
      <c r="O181" s="44"/>
      <c r="P181" s="173"/>
      <c r="Q181" s="189"/>
      <c r="R181" s="179" t="str">
        <f t="shared" si="17"/>
        <v/>
      </c>
      <c r="S181" s="179" t="str">
        <f t="shared" si="18"/>
        <v/>
      </c>
      <c r="T181" s="208" t="str">
        <f t="shared" si="19"/>
        <v/>
      </c>
      <c r="U181" s="209" t="str">
        <f t="shared" si="20"/>
        <v/>
      </c>
      <c r="V181" s="182"/>
      <c r="W181" s="183"/>
      <c r="AB181" s="35" t="str">
        <f>IFERROR(INDEX('G-6 Hedgerow Data'!$BJ$3:$BJ$15,MATCH(D181,'G-6 Hedgerow Data'!$B$3:$B$15,0)),"")</f>
        <v/>
      </c>
      <c r="AE181" s="188" t="str">
        <f t="shared" si="14"/>
        <v/>
      </c>
      <c r="AF181" s="188" t="str">
        <f t="shared" si="15"/>
        <v/>
      </c>
      <c r="AH181" s="188">
        <v>172</v>
      </c>
      <c r="AJ181" s="188" t="str">
        <f t="array" ref="AJ181">IFERROR(INDEX($AH$10:$AH$258, MATCH(0, IF(TRUE=$AE$10:$AE$258, COUNTIF($AJ$9:$AJ180, $AH$10:$AH$258), ""), 0)),"")</f>
        <v/>
      </c>
      <c r="AK181" s="188" t="str">
        <f t="array" ref="AK181">IFERROR(INDEX($AH$10:$AH$258, MATCH(0, IF(TRUE=$AF$10:$AF$258, COUNTIF($AK$9:$AK180, $AH$10:$AH$258), ""), 0)),"")</f>
        <v/>
      </c>
    </row>
    <row r="182" spans="2:37" ht="13.8" x14ac:dyDescent="0.25">
      <c r="B182" s="168">
        <v>173</v>
      </c>
      <c r="C182" s="275"/>
      <c r="D182" s="275"/>
      <c r="E182" s="185"/>
      <c r="F182" s="171" t="str">
        <f>IF(D182="","",VLOOKUP(D182,'G-6 Hedgerow Data'!$B$2:$AG$15,2,FALSE))</f>
        <v/>
      </c>
      <c r="G182" s="172" t="str">
        <f>IF(D182="","",VLOOKUP(D182,'G-6 Hedgerow Data'!$B$2:$AG$15,3,FALSE))</f>
        <v/>
      </c>
      <c r="H182" s="173"/>
      <c r="I182" s="172" t="str">
        <f>IFERROR(IF(AND(F182="V.Low",OR(H182="Good",H182="Moderate")),"Error",VLOOKUP(H182,'G-1 All Habitats'!$Z$2:$AA$9,2,FALSE)),"")</f>
        <v/>
      </c>
      <c r="J182" s="186"/>
      <c r="K182" s="175" t="str">
        <f>IF(J182="","",IF(VLOOKUP(J182,'G-3 Multipliers'!$L$3:$N$6,2,FALSE)=0,"Spatial Data Missing",VLOOKUP(J182,'G-3 Multipliers'!$L$3:$N$6,2,FALSE)))</f>
        <v/>
      </c>
      <c r="L182" s="176" t="str">
        <f>IF(J182="","",IF(VLOOKUP(J182,'G-3 Multipliers'!$L$3:$N$6,3,FALSE)=0,"Spatial Data Missing",VLOOKUP(J182,'G-3 Multipliers'!$L$3:$N$6,3,FALSE)))</f>
        <v/>
      </c>
      <c r="M182" s="177" t="str">
        <f>IF(D182="","",VLOOKUP(D182,'G-6 Hedgerow Data'!$B$1:$AH$15,33,FALSE))</f>
        <v/>
      </c>
      <c r="N182" s="207" t="str">
        <f t="shared" si="16"/>
        <v/>
      </c>
      <c r="O182" s="44"/>
      <c r="P182" s="173"/>
      <c r="Q182" s="189"/>
      <c r="R182" s="179" t="str">
        <f t="shared" si="17"/>
        <v/>
      </c>
      <c r="S182" s="179" t="str">
        <f t="shared" si="18"/>
        <v/>
      </c>
      <c r="T182" s="208" t="str">
        <f t="shared" si="19"/>
        <v/>
      </c>
      <c r="U182" s="209" t="str">
        <f t="shared" si="20"/>
        <v/>
      </c>
      <c r="V182" s="182"/>
      <c r="W182" s="183"/>
      <c r="AB182" s="35" t="str">
        <f>IFERROR(INDEX('G-6 Hedgerow Data'!$BJ$3:$BJ$15,MATCH(D182,'G-6 Hedgerow Data'!$B$3:$B$15,0)),"")</f>
        <v/>
      </c>
      <c r="AE182" s="188" t="str">
        <f t="shared" si="14"/>
        <v/>
      </c>
      <c r="AF182" s="188" t="str">
        <f t="shared" si="15"/>
        <v/>
      </c>
      <c r="AH182" s="188">
        <v>173</v>
      </c>
      <c r="AJ182" s="188" t="str">
        <f t="array" ref="AJ182">IFERROR(INDEX($AH$10:$AH$258, MATCH(0, IF(TRUE=$AE$10:$AE$258, COUNTIF($AJ$9:$AJ181, $AH$10:$AH$258), ""), 0)),"")</f>
        <v/>
      </c>
      <c r="AK182" s="188" t="str">
        <f t="array" ref="AK182">IFERROR(INDEX($AH$10:$AH$258, MATCH(0, IF(TRUE=$AF$10:$AF$258, COUNTIF($AK$9:$AK181, $AH$10:$AH$258), ""), 0)),"")</f>
        <v/>
      </c>
    </row>
    <row r="183" spans="2:37" ht="13.8" x14ac:dyDescent="0.25">
      <c r="B183" s="168">
        <v>174</v>
      </c>
      <c r="C183" s="275"/>
      <c r="D183" s="275"/>
      <c r="E183" s="185"/>
      <c r="F183" s="171" t="str">
        <f>IF(D183="","",VLOOKUP(D183,'G-6 Hedgerow Data'!$B$2:$AG$15,2,FALSE))</f>
        <v/>
      </c>
      <c r="G183" s="172" t="str">
        <f>IF(D183="","",VLOOKUP(D183,'G-6 Hedgerow Data'!$B$2:$AG$15,3,FALSE))</f>
        <v/>
      </c>
      <c r="H183" s="173"/>
      <c r="I183" s="172" t="str">
        <f>IFERROR(IF(AND(F183="V.Low",OR(H183="Good",H183="Moderate")),"Error",VLOOKUP(H183,'G-1 All Habitats'!$Z$2:$AA$9,2,FALSE)),"")</f>
        <v/>
      </c>
      <c r="J183" s="186"/>
      <c r="K183" s="175" t="str">
        <f>IF(J183="","",IF(VLOOKUP(J183,'G-3 Multipliers'!$L$3:$N$6,2,FALSE)=0,"Spatial Data Missing",VLOOKUP(J183,'G-3 Multipliers'!$L$3:$N$6,2,FALSE)))</f>
        <v/>
      </c>
      <c r="L183" s="176" t="str">
        <f>IF(J183="","",IF(VLOOKUP(J183,'G-3 Multipliers'!$L$3:$N$6,3,FALSE)=0,"Spatial Data Missing",VLOOKUP(J183,'G-3 Multipliers'!$L$3:$N$6,3,FALSE)))</f>
        <v/>
      </c>
      <c r="M183" s="177" t="str">
        <f>IF(D183="","",VLOOKUP(D183,'G-6 Hedgerow Data'!$B$1:$AH$15,33,FALSE))</f>
        <v/>
      </c>
      <c r="N183" s="207" t="str">
        <f t="shared" si="16"/>
        <v/>
      </c>
      <c r="O183" s="44"/>
      <c r="P183" s="173"/>
      <c r="Q183" s="189"/>
      <c r="R183" s="179" t="str">
        <f t="shared" si="17"/>
        <v/>
      </c>
      <c r="S183" s="179" t="str">
        <f t="shared" si="18"/>
        <v/>
      </c>
      <c r="T183" s="208" t="str">
        <f t="shared" si="19"/>
        <v/>
      </c>
      <c r="U183" s="209" t="str">
        <f t="shared" si="20"/>
        <v/>
      </c>
      <c r="V183" s="182"/>
      <c r="W183" s="183"/>
      <c r="AB183" s="35" t="str">
        <f>IFERROR(INDEX('G-6 Hedgerow Data'!$BJ$3:$BJ$15,MATCH(D183,'G-6 Hedgerow Data'!$B$3:$B$15,0)),"")</f>
        <v/>
      </c>
      <c r="AE183" s="188" t="str">
        <f t="shared" si="14"/>
        <v/>
      </c>
      <c r="AF183" s="188" t="str">
        <f t="shared" si="15"/>
        <v/>
      </c>
      <c r="AH183" s="188">
        <v>174</v>
      </c>
      <c r="AJ183" s="188" t="str">
        <f t="array" ref="AJ183">IFERROR(INDEX($AH$10:$AH$258, MATCH(0, IF(TRUE=$AE$10:$AE$258, COUNTIF($AJ$9:$AJ182, $AH$10:$AH$258), ""), 0)),"")</f>
        <v/>
      </c>
      <c r="AK183" s="188" t="str">
        <f t="array" ref="AK183">IFERROR(INDEX($AH$10:$AH$258, MATCH(0, IF(TRUE=$AF$10:$AF$258, COUNTIF($AK$9:$AK182, $AH$10:$AH$258), ""), 0)),"")</f>
        <v/>
      </c>
    </row>
    <row r="184" spans="2:37" ht="13.8" x14ac:dyDescent="0.25">
      <c r="B184" s="168">
        <v>175</v>
      </c>
      <c r="C184" s="275"/>
      <c r="D184" s="275"/>
      <c r="E184" s="185"/>
      <c r="F184" s="171" t="str">
        <f>IF(D184="","",VLOOKUP(D184,'G-6 Hedgerow Data'!$B$2:$AG$15,2,FALSE))</f>
        <v/>
      </c>
      <c r="G184" s="172" t="str">
        <f>IF(D184="","",VLOOKUP(D184,'G-6 Hedgerow Data'!$B$2:$AG$15,3,FALSE))</f>
        <v/>
      </c>
      <c r="H184" s="173"/>
      <c r="I184" s="172" t="str">
        <f>IFERROR(IF(AND(F184="V.Low",OR(H184="Good",H184="Moderate")),"Error",VLOOKUP(H184,'G-1 All Habitats'!$Z$2:$AA$9,2,FALSE)),"")</f>
        <v/>
      </c>
      <c r="J184" s="186"/>
      <c r="K184" s="175" t="str">
        <f>IF(J184="","",IF(VLOOKUP(J184,'G-3 Multipliers'!$L$3:$N$6,2,FALSE)=0,"Spatial Data Missing",VLOOKUP(J184,'G-3 Multipliers'!$L$3:$N$6,2,FALSE)))</f>
        <v/>
      </c>
      <c r="L184" s="176" t="str">
        <f>IF(J184="","",IF(VLOOKUP(J184,'G-3 Multipliers'!$L$3:$N$6,3,FALSE)=0,"Spatial Data Missing",VLOOKUP(J184,'G-3 Multipliers'!$L$3:$N$6,3,FALSE)))</f>
        <v/>
      </c>
      <c r="M184" s="177" t="str">
        <f>IF(D184="","",VLOOKUP(D184,'G-6 Hedgerow Data'!$B$1:$AH$15,33,FALSE))</f>
        <v/>
      </c>
      <c r="N184" s="207" t="str">
        <f t="shared" si="16"/>
        <v/>
      </c>
      <c r="O184" s="44"/>
      <c r="P184" s="173"/>
      <c r="Q184" s="189"/>
      <c r="R184" s="179" t="str">
        <f t="shared" si="17"/>
        <v/>
      </c>
      <c r="S184" s="179" t="str">
        <f t="shared" si="18"/>
        <v/>
      </c>
      <c r="T184" s="208" t="str">
        <f t="shared" si="19"/>
        <v/>
      </c>
      <c r="U184" s="209" t="str">
        <f t="shared" si="20"/>
        <v/>
      </c>
      <c r="V184" s="182"/>
      <c r="W184" s="183"/>
      <c r="AB184" s="35" t="str">
        <f>IFERROR(INDEX('G-6 Hedgerow Data'!$BJ$3:$BJ$15,MATCH(D184,'G-6 Hedgerow Data'!$B$3:$B$15,0)),"")</f>
        <v/>
      </c>
      <c r="AE184" s="188" t="str">
        <f t="shared" si="14"/>
        <v/>
      </c>
      <c r="AF184" s="188" t="str">
        <f t="shared" si="15"/>
        <v/>
      </c>
      <c r="AH184" s="188">
        <v>175</v>
      </c>
      <c r="AJ184" s="188" t="str">
        <f t="array" ref="AJ184">IFERROR(INDEX($AH$10:$AH$258, MATCH(0, IF(TRUE=$AE$10:$AE$258, COUNTIF($AJ$9:$AJ183, $AH$10:$AH$258), ""), 0)),"")</f>
        <v/>
      </c>
      <c r="AK184" s="188" t="str">
        <f t="array" ref="AK184">IFERROR(INDEX($AH$10:$AH$258, MATCH(0, IF(TRUE=$AF$10:$AF$258, COUNTIF($AK$9:$AK183, $AH$10:$AH$258), ""), 0)),"")</f>
        <v/>
      </c>
    </row>
    <row r="185" spans="2:37" ht="13.8" x14ac:dyDescent="0.25">
      <c r="B185" s="168">
        <v>176</v>
      </c>
      <c r="C185" s="275"/>
      <c r="D185" s="275"/>
      <c r="E185" s="185"/>
      <c r="F185" s="171" t="str">
        <f>IF(D185="","",VLOOKUP(D185,'G-6 Hedgerow Data'!$B$2:$AG$15,2,FALSE))</f>
        <v/>
      </c>
      <c r="G185" s="172" t="str">
        <f>IF(D185="","",VLOOKUP(D185,'G-6 Hedgerow Data'!$B$2:$AG$15,3,FALSE))</f>
        <v/>
      </c>
      <c r="H185" s="173"/>
      <c r="I185" s="172" t="str">
        <f>IFERROR(IF(AND(F185="V.Low",OR(H185="Good",H185="Moderate")),"Error",VLOOKUP(H185,'G-1 All Habitats'!$Z$2:$AA$9,2,FALSE)),"")</f>
        <v/>
      </c>
      <c r="J185" s="186"/>
      <c r="K185" s="175" t="str">
        <f>IF(J185="","",IF(VLOOKUP(J185,'G-3 Multipliers'!$L$3:$N$6,2,FALSE)=0,"Spatial Data Missing",VLOOKUP(J185,'G-3 Multipliers'!$L$3:$N$6,2,FALSE)))</f>
        <v/>
      </c>
      <c r="L185" s="176" t="str">
        <f>IF(J185="","",IF(VLOOKUP(J185,'G-3 Multipliers'!$L$3:$N$6,3,FALSE)=0,"Spatial Data Missing",VLOOKUP(J185,'G-3 Multipliers'!$L$3:$N$6,3,FALSE)))</f>
        <v/>
      </c>
      <c r="M185" s="177" t="str">
        <f>IF(D185="","",VLOOKUP(D185,'G-6 Hedgerow Data'!$B$1:$AH$15,33,FALSE))</f>
        <v/>
      </c>
      <c r="N185" s="207" t="str">
        <f t="shared" si="16"/>
        <v/>
      </c>
      <c r="O185" s="44"/>
      <c r="P185" s="173"/>
      <c r="Q185" s="189"/>
      <c r="R185" s="179" t="str">
        <f t="shared" si="17"/>
        <v/>
      </c>
      <c r="S185" s="179" t="str">
        <f t="shared" si="18"/>
        <v/>
      </c>
      <c r="T185" s="208" t="str">
        <f t="shared" si="19"/>
        <v/>
      </c>
      <c r="U185" s="209" t="str">
        <f t="shared" si="20"/>
        <v/>
      </c>
      <c r="V185" s="182"/>
      <c r="W185" s="183"/>
      <c r="AB185" s="35" t="str">
        <f>IFERROR(INDEX('G-6 Hedgerow Data'!$BJ$3:$BJ$15,MATCH(D185,'G-6 Hedgerow Data'!$B$3:$B$15,0)),"")</f>
        <v/>
      </c>
      <c r="AE185" s="188" t="str">
        <f t="shared" si="14"/>
        <v/>
      </c>
      <c r="AF185" s="188" t="str">
        <f t="shared" si="15"/>
        <v/>
      </c>
      <c r="AH185" s="188">
        <v>176</v>
      </c>
      <c r="AJ185" s="188" t="str">
        <f t="array" ref="AJ185">IFERROR(INDEX($AH$10:$AH$258, MATCH(0, IF(TRUE=$AE$10:$AE$258, COUNTIF($AJ$9:$AJ184, $AH$10:$AH$258), ""), 0)),"")</f>
        <v/>
      </c>
      <c r="AK185" s="188" t="str">
        <f t="array" ref="AK185">IFERROR(INDEX($AH$10:$AH$258, MATCH(0, IF(TRUE=$AF$10:$AF$258, COUNTIF($AK$9:$AK184, $AH$10:$AH$258), ""), 0)),"")</f>
        <v/>
      </c>
    </row>
    <row r="186" spans="2:37" ht="13.8" x14ac:dyDescent="0.25">
      <c r="B186" s="168">
        <v>177</v>
      </c>
      <c r="C186" s="275"/>
      <c r="D186" s="275"/>
      <c r="E186" s="185"/>
      <c r="F186" s="171" t="str">
        <f>IF(D186="","",VLOOKUP(D186,'G-6 Hedgerow Data'!$B$2:$AG$15,2,FALSE))</f>
        <v/>
      </c>
      <c r="G186" s="172" t="str">
        <f>IF(D186="","",VLOOKUP(D186,'G-6 Hedgerow Data'!$B$2:$AG$15,3,FALSE))</f>
        <v/>
      </c>
      <c r="H186" s="173"/>
      <c r="I186" s="172" t="str">
        <f>IFERROR(IF(AND(F186="V.Low",OR(H186="Good",H186="Moderate")),"Error",VLOOKUP(H186,'G-1 All Habitats'!$Z$2:$AA$9,2,FALSE)),"")</f>
        <v/>
      </c>
      <c r="J186" s="186"/>
      <c r="K186" s="175" t="str">
        <f>IF(J186="","",IF(VLOOKUP(J186,'G-3 Multipliers'!$L$3:$N$6,2,FALSE)=0,"Spatial Data Missing",VLOOKUP(J186,'G-3 Multipliers'!$L$3:$N$6,2,FALSE)))</f>
        <v/>
      </c>
      <c r="L186" s="176" t="str">
        <f>IF(J186="","",IF(VLOOKUP(J186,'G-3 Multipliers'!$L$3:$N$6,3,FALSE)=0,"Spatial Data Missing",VLOOKUP(J186,'G-3 Multipliers'!$L$3:$N$6,3,FALSE)))</f>
        <v/>
      </c>
      <c r="M186" s="177" t="str">
        <f>IF(D186="","",VLOOKUP(D186,'G-6 Hedgerow Data'!$B$1:$AH$15,33,FALSE))</f>
        <v/>
      </c>
      <c r="N186" s="207" t="str">
        <f t="shared" si="16"/>
        <v/>
      </c>
      <c r="O186" s="44"/>
      <c r="P186" s="173"/>
      <c r="Q186" s="189"/>
      <c r="R186" s="179" t="str">
        <f t="shared" si="17"/>
        <v/>
      </c>
      <c r="S186" s="179" t="str">
        <f t="shared" si="18"/>
        <v/>
      </c>
      <c r="T186" s="208" t="str">
        <f t="shared" si="19"/>
        <v/>
      </c>
      <c r="U186" s="209" t="str">
        <f t="shared" si="20"/>
        <v/>
      </c>
      <c r="V186" s="182"/>
      <c r="W186" s="183"/>
      <c r="AB186" s="35" t="str">
        <f>IFERROR(INDEX('G-6 Hedgerow Data'!$BJ$3:$BJ$15,MATCH(D186,'G-6 Hedgerow Data'!$B$3:$B$15,0)),"")</f>
        <v/>
      </c>
      <c r="AE186" s="188" t="str">
        <f t="shared" si="14"/>
        <v/>
      </c>
      <c r="AF186" s="188" t="str">
        <f t="shared" si="15"/>
        <v/>
      </c>
      <c r="AH186" s="188">
        <v>177</v>
      </c>
      <c r="AJ186" s="188" t="str">
        <f t="array" ref="AJ186">IFERROR(INDEX($AH$10:$AH$258, MATCH(0, IF(TRUE=$AE$10:$AE$258, COUNTIF($AJ$9:$AJ185, $AH$10:$AH$258), ""), 0)),"")</f>
        <v/>
      </c>
      <c r="AK186" s="188" t="str">
        <f t="array" ref="AK186">IFERROR(INDEX($AH$10:$AH$258, MATCH(0, IF(TRUE=$AF$10:$AF$258, COUNTIF($AK$9:$AK185, $AH$10:$AH$258), ""), 0)),"")</f>
        <v/>
      </c>
    </row>
    <row r="187" spans="2:37" ht="13.8" x14ac:dyDescent="0.25">
      <c r="B187" s="168">
        <v>178</v>
      </c>
      <c r="C187" s="275"/>
      <c r="D187" s="275"/>
      <c r="E187" s="185"/>
      <c r="F187" s="171" t="str">
        <f>IF(D187="","",VLOOKUP(D187,'G-6 Hedgerow Data'!$B$2:$AG$15,2,FALSE))</f>
        <v/>
      </c>
      <c r="G187" s="172" t="str">
        <f>IF(D187="","",VLOOKUP(D187,'G-6 Hedgerow Data'!$B$2:$AG$15,3,FALSE))</f>
        <v/>
      </c>
      <c r="H187" s="173"/>
      <c r="I187" s="172" t="str">
        <f>IFERROR(IF(AND(F187="V.Low",OR(H187="Good",H187="Moderate")),"Error",VLOOKUP(H187,'G-1 All Habitats'!$Z$2:$AA$9,2,FALSE)),"")</f>
        <v/>
      </c>
      <c r="J187" s="186"/>
      <c r="K187" s="175" t="str">
        <f>IF(J187="","",IF(VLOOKUP(J187,'G-3 Multipliers'!$L$3:$N$6,2,FALSE)=0,"Spatial Data Missing",VLOOKUP(J187,'G-3 Multipliers'!$L$3:$N$6,2,FALSE)))</f>
        <v/>
      </c>
      <c r="L187" s="176" t="str">
        <f>IF(J187="","",IF(VLOOKUP(J187,'G-3 Multipliers'!$L$3:$N$6,3,FALSE)=0,"Spatial Data Missing",VLOOKUP(J187,'G-3 Multipliers'!$L$3:$N$6,3,FALSE)))</f>
        <v/>
      </c>
      <c r="M187" s="177" t="str">
        <f>IF(D187="","",VLOOKUP(D187,'G-6 Hedgerow Data'!$B$1:$AH$15,33,FALSE))</f>
        <v/>
      </c>
      <c r="N187" s="207" t="str">
        <f t="shared" si="16"/>
        <v/>
      </c>
      <c r="O187" s="44"/>
      <c r="P187" s="173"/>
      <c r="Q187" s="189"/>
      <c r="R187" s="179" t="str">
        <f t="shared" si="17"/>
        <v/>
      </c>
      <c r="S187" s="179" t="str">
        <f t="shared" si="18"/>
        <v/>
      </c>
      <c r="T187" s="208" t="str">
        <f t="shared" si="19"/>
        <v/>
      </c>
      <c r="U187" s="209" t="str">
        <f t="shared" si="20"/>
        <v/>
      </c>
      <c r="V187" s="182"/>
      <c r="W187" s="183"/>
      <c r="AB187" s="35" t="str">
        <f>IFERROR(INDEX('G-6 Hedgerow Data'!$BJ$3:$BJ$15,MATCH(D187,'G-6 Hedgerow Data'!$B$3:$B$15,0)),"")</f>
        <v/>
      </c>
      <c r="AE187" s="188" t="str">
        <f t="shared" si="14"/>
        <v/>
      </c>
      <c r="AF187" s="188" t="str">
        <f t="shared" si="15"/>
        <v/>
      </c>
      <c r="AH187" s="188">
        <v>178</v>
      </c>
      <c r="AJ187" s="188" t="str">
        <f t="array" ref="AJ187">IFERROR(INDEX($AH$10:$AH$258, MATCH(0, IF(TRUE=$AE$10:$AE$258, COUNTIF($AJ$9:$AJ186, $AH$10:$AH$258), ""), 0)),"")</f>
        <v/>
      </c>
      <c r="AK187" s="188" t="str">
        <f t="array" ref="AK187">IFERROR(INDEX($AH$10:$AH$258, MATCH(0, IF(TRUE=$AF$10:$AF$258, COUNTIF($AK$9:$AK186, $AH$10:$AH$258), ""), 0)),"")</f>
        <v/>
      </c>
    </row>
    <row r="188" spans="2:37" ht="13.8" x14ac:dyDescent="0.25">
      <c r="B188" s="168">
        <v>179</v>
      </c>
      <c r="C188" s="275"/>
      <c r="D188" s="275"/>
      <c r="E188" s="185"/>
      <c r="F188" s="171" t="str">
        <f>IF(D188="","",VLOOKUP(D188,'G-6 Hedgerow Data'!$B$2:$AG$15,2,FALSE))</f>
        <v/>
      </c>
      <c r="G188" s="172" t="str">
        <f>IF(D188="","",VLOOKUP(D188,'G-6 Hedgerow Data'!$B$2:$AG$15,3,FALSE))</f>
        <v/>
      </c>
      <c r="H188" s="173"/>
      <c r="I188" s="172" t="str">
        <f>IFERROR(IF(AND(F188="V.Low",OR(H188="Good",H188="Moderate")),"Error",VLOOKUP(H188,'G-1 All Habitats'!$Z$2:$AA$9,2,FALSE)),"")</f>
        <v/>
      </c>
      <c r="J188" s="186"/>
      <c r="K188" s="175" t="str">
        <f>IF(J188="","",IF(VLOOKUP(J188,'G-3 Multipliers'!$L$3:$N$6,2,FALSE)=0,"Spatial Data Missing",VLOOKUP(J188,'G-3 Multipliers'!$L$3:$N$6,2,FALSE)))</f>
        <v/>
      </c>
      <c r="L188" s="176" t="str">
        <f>IF(J188="","",IF(VLOOKUP(J188,'G-3 Multipliers'!$L$3:$N$6,3,FALSE)=0,"Spatial Data Missing",VLOOKUP(J188,'G-3 Multipliers'!$L$3:$N$6,3,FALSE)))</f>
        <v/>
      </c>
      <c r="M188" s="177" t="str">
        <f>IF(D188="","",VLOOKUP(D188,'G-6 Hedgerow Data'!$B$1:$AH$15,33,FALSE))</f>
        <v/>
      </c>
      <c r="N188" s="207" t="str">
        <f t="shared" si="16"/>
        <v/>
      </c>
      <c r="O188" s="44"/>
      <c r="P188" s="173"/>
      <c r="Q188" s="189"/>
      <c r="R188" s="179" t="str">
        <f t="shared" si="17"/>
        <v/>
      </c>
      <c r="S188" s="179" t="str">
        <f t="shared" si="18"/>
        <v/>
      </c>
      <c r="T188" s="208" t="str">
        <f t="shared" si="19"/>
        <v/>
      </c>
      <c r="U188" s="209" t="str">
        <f t="shared" si="20"/>
        <v/>
      </c>
      <c r="V188" s="182"/>
      <c r="W188" s="183"/>
      <c r="AB188" s="35" t="str">
        <f>IFERROR(INDEX('G-6 Hedgerow Data'!$BJ$3:$BJ$15,MATCH(D188,'G-6 Hedgerow Data'!$B$3:$B$15,0)),"")</f>
        <v/>
      </c>
      <c r="AE188" s="188" t="str">
        <f t="shared" si="14"/>
        <v/>
      </c>
      <c r="AF188" s="188" t="str">
        <f t="shared" si="15"/>
        <v/>
      </c>
      <c r="AH188" s="188">
        <v>179</v>
      </c>
      <c r="AJ188" s="188" t="str">
        <f t="array" ref="AJ188">IFERROR(INDEX($AH$10:$AH$258, MATCH(0, IF(TRUE=$AE$10:$AE$258, COUNTIF($AJ$9:$AJ187, $AH$10:$AH$258), ""), 0)),"")</f>
        <v/>
      </c>
      <c r="AK188" s="188" t="str">
        <f t="array" ref="AK188">IFERROR(INDEX($AH$10:$AH$258, MATCH(0, IF(TRUE=$AF$10:$AF$258, COUNTIF($AK$9:$AK187, $AH$10:$AH$258), ""), 0)),"")</f>
        <v/>
      </c>
    </row>
    <row r="189" spans="2:37" ht="13.8" x14ac:dyDescent="0.25">
      <c r="B189" s="168">
        <v>180</v>
      </c>
      <c r="C189" s="275"/>
      <c r="D189" s="275"/>
      <c r="E189" s="185"/>
      <c r="F189" s="171" t="str">
        <f>IF(D189="","",VLOOKUP(D189,'G-6 Hedgerow Data'!$B$2:$AG$15,2,FALSE))</f>
        <v/>
      </c>
      <c r="G189" s="172" t="str">
        <f>IF(D189="","",VLOOKUP(D189,'G-6 Hedgerow Data'!$B$2:$AG$15,3,FALSE))</f>
        <v/>
      </c>
      <c r="H189" s="173"/>
      <c r="I189" s="172" t="str">
        <f>IFERROR(IF(AND(F189="V.Low",OR(H189="Good",H189="Moderate")),"Error",VLOOKUP(H189,'G-1 All Habitats'!$Z$2:$AA$9,2,FALSE)),"")</f>
        <v/>
      </c>
      <c r="J189" s="186"/>
      <c r="K189" s="175" t="str">
        <f>IF(J189="","",IF(VLOOKUP(J189,'G-3 Multipliers'!$L$3:$N$6,2,FALSE)=0,"Spatial Data Missing",VLOOKUP(J189,'G-3 Multipliers'!$L$3:$N$6,2,FALSE)))</f>
        <v/>
      </c>
      <c r="L189" s="176" t="str">
        <f>IF(J189="","",IF(VLOOKUP(J189,'G-3 Multipliers'!$L$3:$N$6,3,FALSE)=0,"Spatial Data Missing",VLOOKUP(J189,'G-3 Multipliers'!$L$3:$N$6,3,FALSE)))</f>
        <v/>
      </c>
      <c r="M189" s="177" t="str">
        <f>IF(D189="","",VLOOKUP(D189,'G-6 Hedgerow Data'!$B$1:$AH$15,33,FALSE))</f>
        <v/>
      </c>
      <c r="N189" s="207" t="str">
        <f t="shared" si="16"/>
        <v/>
      </c>
      <c r="O189" s="44"/>
      <c r="P189" s="173"/>
      <c r="Q189" s="189"/>
      <c r="R189" s="179" t="str">
        <f t="shared" si="17"/>
        <v/>
      </c>
      <c r="S189" s="179" t="str">
        <f t="shared" si="18"/>
        <v/>
      </c>
      <c r="T189" s="208" t="str">
        <f t="shared" si="19"/>
        <v/>
      </c>
      <c r="U189" s="209" t="str">
        <f t="shared" si="20"/>
        <v/>
      </c>
      <c r="V189" s="182"/>
      <c r="W189" s="183"/>
      <c r="AB189" s="35" t="str">
        <f>IFERROR(INDEX('G-6 Hedgerow Data'!$BJ$3:$BJ$15,MATCH(D189,'G-6 Hedgerow Data'!$B$3:$B$15,0)),"")</f>
        <v/>
      </c>
      <c r="AE189" s="188" t="str">
        <f t="shared" si="14"/>
        <v/>
      </c>
      <c r="AF189" s="188" t="str">
        <f t="shared" si="15"/>
        <v/>
      </c>
      <c r="AH189" s="188">
        <v>180</v>
      </c>
      <c r="AJ189" s="188" t="str">
        <f t="array" ref="AJ189">IFERROR(INDEX($AH$10:$AH$258, MATCH(0, IF(TRUE=$AE$10:$AE$258, COUNTIF($AJ$9:$AJ188, $AH$10:$AH$258), ""), 0)),"")</f>
        <v/>
      </c>
      <c r="AK189" s="188" t="str">
        <f t="array" ref="AK189">IFERROR(INDEX($AH$10:$AH$258, MATCH(0, IF(TRUE=$AF$10:$AF$258, COUNTIF($AK$9:$AK188, $AH$10:$AH$258), ""), 0)),"")</f>
        <v/>
      </c>
    </row>
    <row r="190" spans="2:37" ht="13.8" x14ac:dyDescent="0.25">
      <c r="B190" s="168">
        <v>181</v>
      </c>
      <c r="C190" s="275"/>
      <c r="D190" s="275"/>
      <c r="E190" s="185"/>
      <c r="F190" s="171" t="str">
        <f>IF(D190="","",VLOOKUP(D190,'G-6 Hedgerow Data'!$B$2:$AG$15,2,FALSE))</f>
        <v/>
      </c>
      <c r="G190" s="172" t="str">
        <f>IF(D190="","",VLOOKUP(D190,'G-6 Hedgerow Data'!$B$2:$AG$15,3,FALSE))</f>
        <v/>
      </c>
      <c r="H190" s="173"/>
      <c r="I190" s="172" t="str">
        <f>IFERROR(IF(AND(F190="V.Low",OR(H190="Good",H190="Moderate")),"Error",VLOOKUP(H190,'G-1 All Habitats'!$Z$2:$AA$9,2,FALSE)),"")</f>
        <v/>
      </c>
      <c r="J190" s="186"/>
      <c r="K190" s="175" t="str">
        <f>IF(J190="","",IF(VLOOKUP(J190,'G-3 Multipliers'!$L$3:$N$6,2,FALSE)=0,"Spatial Data Missing",VLOOKUP(J190,'G-3 Multipliers'!$L$3:$N$6,2,FALSE)))</f>
        <v/>
      </c>
      <c r="L190" s="176" t="str">
        <f>IF(J190="","",IF(VLOOKUP(J190,'G-3 Multipliers'!$L$3:$N$6,3,FALSE)=0,"Spatial Data Missing",VLOOKUP(J190,'G-3 Multipliers'!$L$3:$N$6,3,FALSE)))</f>
        <v/>
      </c>
      <c r="M190" s="177" t="str">
        <f>IF(D190="","",VLOOKUP(D190,'G-6 Hedgerow Data'!$B$1:$AH$15,33,FALSE))</f>
        <v/>
      </c>
      <c r="N190" s="207" t="str">
        <f t="shared" si="16"/>
        <v/>
      </c>
      <c r="O190" s="44"/>
      <c r="P190" s="173"/>
      <c r="Q190" s="189"/>
      <c r="R190" s="179" t="str">
        <f t="shared" si="17"/>
        <v/>
      </c>
      <c r="S190" s="179" t="str">
        <f t="shared" si="18"/>
        <v/>
      </c>
      <c r="T190" s="208" t="str">
        <f t="shared" si="19"/>
        <v/>
      </c>
      <c r="U190" s="209" t="str">
        <f t="shared" si="20"/>
        <v/>
      </c>
      <c r="V190" s="182"/>
      <c r="W190" s="183"/>
      <c r="AB190" s="35" t="str">
        <f>IFERROR(INDEX('G-6 Hedgerow Data'!$BJ$3:$BJ$15,MATCH(D190,'G-6 Hedgerow Data'!$B$3:$B$15,0)),"")</f>
        <v/>
      </c>
      <c r="AE190" s="188" t="str">
        <f t="shared" si="14"/>
        <v/>
      </c>
      <c r="AF190" s="188" t="str">
        <f t="shared" si="15"/>
        <v/>
      </c>
      <c r="AH190" s="188">
        <v>181</v>
      </c>
      <c r="AJ190" s="188" t="str">
        <f t="array" ref="AJ190">IFERROR(INDEX($AH$10:$AH$258, MATCH(0, IF(TRUE=$AE$10:$AE$258, COUNTIF($AJ$9:$AJ189, $AH$10:$AH$258), ""), 0)),"")</f>
        <v/>
      </c>
      <c r="AK190" s="188" t="str">
        <f t="array" ref="AK190">IFERROR(INDEX($AH$10:$AH$258, MATCH(0, IF(TRUE=$AF$10:$AF$258, COUNTIF($AK$9:$AK189, $AH$10:$AH$258), ""), 0)),"")</f>
        <v/>
      </c>
    </row>
    <row r="191" spans="2:37" ht="13.8" x14ac:dyDescent="0.25">
      <c r="B191" s="168">
        <v>182</v>
      </c>
      <c r="C191" s="275"/>
      <c r="D191" s="275"/>
      <c r="E191" s="185"/>
      <c r="F191" s="171" t="str">
        <f>IF(D191="","",VLOOKUP(D191,'G-6 Hedgerow Data'!$B$2:$AG$15,2,FALSE))</f>
        <v/>
      </c>
      <c r="G191" s="172" t="str">
        <f>IF(D191="","",VLOOKUP(D191,'G-6 Hedgerow Data'!$B$2:$AG$15,3,FALSE))</f>
        <v/>
      </c>
      <c r="H191" s="173"/>
      <c r="I191" s="172" t="str">
        <f>IFERROR(IF(AND(F191="V.Low",OR(H191="Good",H191="Moderate")),"Error",VLOOKUP(H191,'G-1 All Habitats'!$Z$2:$AA$9,2,FALSE)),"")</f>
        <v/>
      </c>
      <c r="J191" s="186"/>
      <c r="K191" s="175" t="str">
        <f>IF(J191="","",IF(VLOOKUP(J191,'G-3 Multipliers'!$L$3:$N$6,2,FALSE)=0,"Spatial Data Missing",VLOOKUP(J191,'G-3 Multipliers'!$L$3:$N$6,2,FALSE)))</f>
        <v/>
      </c>
      <c r="L191" s="176" t="str">
        <f>IF(J191="","",IF(VLOOKUP(J191,'G-3 Multipliers'!$L$3:$N$6,3,FALSE)=0,"Spatial Data Missing",VLOOKUP(J191,'G-3 Multipliers'!$L$3:$N$6,3,FALSE)))</f>
        <v/>
      </c>
      <c r="M191" s="177" t="str">
        <f>IF(D191="","",VLOOKUP(D191,'G-6 Hedgerow Data'!$B$1:$AH$15,33,FALSE))</f>
        <v/>
      </c>
      <c r="N191" s="207" t="str">
        <f t="shared" si="16"/>
        <v/>
      </c>
      <c r="O191" s="44"/>
      <c r="P191" s="173"/>
      <c r="Q191" s="189"/>
      <c r="R191" s="179" t="str">
        <f t="shared" si="17"/>
        <v/>
      </c>
      <c r="S191" s="179" t="str">
        <f t="shared" si="18"/>
        <v/>
      </c>
      <c r="T191" s="208" t="str">
        <f t="shared" si="19"/>
        <v/>
      </c>
      <c r="U191" s="209" t="str">
        <f t="shared" si="20"/>
        <v/>
      </c>
      <c r="V191" s="182"/>
      <c r="W191" s="183"/>
      <c r="AB191" s="35" t="str">
        <f>IFERROR(INDEX('G-6 Hedgerow Data'!$BJ$3:$BJ$15,MATCH(D191,'G-6 Hedgerow Data'!$B$3:$B$15,0)),"")</f>
        <v/>
      </c>
      <c r="AE191" s="188" t="str">
        <f t="shared" si="14"/>
        <v/>
      </c>
      <c r="AF191" s="188" t="str">
        <f t="shared" si="15"/>
        <v/>
      </c>
      <c r="AH191" s="188">
        <v>182</v>
      </c>
      <c r="AJ191" s="188" t="str">
        <f t="array" ref="AJ191">IFERROR(INDEX($AH$10:$AH$258, MATCH(0, IF(TRUE=$AE$10:$AE$258, COUNTIF($AJ$9:$AJ190, $AH$10:$AH$258), ""), 0)),"")</f>
        <v/>
      </c>
      <c r="AK191" s="188" t="str">
        <f t="array" ref="AK191">IFERROR(INDEX($AH$10:$AH$258, MATCH(0, IF(TRUE=$AF$10:$AF$258, COUNTIF($AK$9:$AK190, $AH$10:$AH$258), ""), 0)),"")</f>
        <v/>
      </c>
    </row>
    <row r="192" spans="2:37" ht="13.8" x14ac:dyDescent="0.25">
      <c r="B192" s="168">
        <v>183</v>
      </c>
      <c r="C192" s="275"/>
      <c r="D192" s="275"/>
      <c r="E192" s="185"/>
      <c r="F192" s="171" t="str">
        <f>IF(D192="","",VLOOKUP(D192,'G-6 Hedgerow Data'!$B$2:$AG$15,2,FALSE))</f>
        <v/>
      </c>
      <c r="G192" s="172" t="str">
        <f>IF(D192="","",VLOOKUP(D192,'G-6 Hedgerow Data'!$B$2:$AG$15,3,FALSE))</f>
        <v/>
      </c>
      <c r="H192" s="173"/>
      <c r="I192" s="172" t="str">
        <f>IFERROR(IF(AND(F192="V.Low",OR(H192="Good",H192="Moderate")),"Error",VLOOKUP(H192,'G-1 All Habitats'!$Z$2:$AA$9,2,FALSE)),"")</f>
        <v/>
      </c>
      <c r="J192" s="186"/>
      <c r="K192" s="175" t="str">
        <f>IF(J192="","",IF(VLOOKUP(J192,'G-3 Multipliers'!$L$3:$N$6,2,FALSE)=0,"Spatial Data Missing",VLOOKUP(J192,'G-3 Multipliers'!$L$3:$N$6,2,FALSE)))</f>
        <v/>
      </c>
      <c r="L192" s="176" t="str">
        <f>IF(J192="","",IF(VLOOKUP(J192,'G-3 Multipliers'!$L$3:$N$6,3,FALSE)=0,"Spatial Data Missing",VLOOKUP(J192,'G-3 Multipliers'!$L$3:$N$6,3,FALSE)))</f>
        <v/>
      </c>
      <c r="M192" s="177" t="str">
        <f>IF(D192="","",VLOOKUP(D192,'G-6 Hedgerow Data'!$B$1:$AH$15,33,FALSE))</f>
        <v/>
      </c>
      <c r="N192" s="207" t="str">
        <f t="shared" si="16"/>
        <v/>
      </c>
      <c r="O192" s="44"/>
      <c r="P192" s="173"/>
      <c r="Q192" s="189"/>
      <c r="R192" s="179" t="str">
        <f t="shared" si="17"/>
        <v/>
      </c>
      <c r="S192" s="179" t="str">
        <f t="shared" si="18"/>
        <v/>
      </c>
      <c r="T192" s="208" t="str">
        <f t="shared" si="19"/>
        <v/>
      </c>
      <c r="U192" s="209" t="str">
        <f t="shared" si="20"/>
        <v/>
      </c>
      <c r="V192" s="182"/>
      <c r="W192" s="183"/>
      <c r="AB192" s="35" t="str">
        <f>IFERROR(INDEX('G-6 Hedgerow Data'!$BJ$3:$BJ$15,MATCH(D192,'G-6 Hedgerow Data'!$B$3:$B$15,0)),"")</f>
        <v/>
      </c>
      <c r="AE192" s="188" t="str">
        <f t="shared" si="14"/>
        <v/>
      </c>
      <c r="AF192" s="188" t="str">
        <f t="shared" si="15"/>
        <v/>
      </c>
      <c r="AH192" s="188">
        <v>183</v>
      </c>
      <c r="AJ192" s="188" t="str">
        <f t="array" ref="AJ192">IFERROR(INDEX($AH$10:$AH$258, MATCH(0, IF(TRUE=$AE$10:$AE$258, COUNTIF($AJ$9:$AJ191, $AH$10:$AH$258), ""), 0)),"")</f>
        <v/>
      </c>
      <c r="AK192" s="188" t="str">
        <f t="array" ref="AK192">IFERROR(INDEX($AH$10:$AH$258, MATCH(0, IF(TRUE=$AF$10:$AF$258, COUNTIF($AK$9:$AK191, $AH$10:$AH$258), ""), 0)),"")</f>
        <v/>
      </c>
    </row>
    <row r="193" spans="2:37" ht="13.8" x14ac:dyDescent="0.25">
      <c r="B193" s="168">
        <v>184</v>
      </c>
      <c r="C193" s="275"/>
      <c r="D193" s="275"/>
      <c r="E193" s="185"/>
      <c r="F193" s="171" t="str">
        <f>IF(D193="","",VLOOKUP(D193,'G-6 Hedgerow Data'!$B$2:$AG$15,2,FALSE))</f>
        <v/>
      </c>
      <c r="G193" s="172" t="str">
        <f>IF(D193="","",VLOOKUP(D193,'G-6 Hedgerow Data'!$B$2:$AG$15,3,FALSE))</f>
        <v/>
      </c>
      <c r="H193" s="173"/>
      <c r="I193" s="172" t="str">
        <f>IFERROR(IF(AND(F193="V.Low",OR(H193="Good",H193="Moderate")),"Error",VLOOKUP(H193,'G-1 All Habitats'!$Z$2:$AA$9,2,FALSE)),"")</f>
        <v/>
      </c>
      <c r="J193" s="186"/>
      <c r="K193" s="175" t="str">
        <f>IF(J193="","",IF(VLOOKUP(J193,'G-3 Multipliers'!$L$3:$N$6,2,FALSE)=0,"Spatial Data Missing",VLOOKUP(J193,'G-3 Multipliers'!$L$3:$N$6,2,FALSE)))</f>
        <v/>
      </c>
      <c r="L193" s="176" t="str">
        <f>IF(J193="","",IF(VLOOKUP(J193,'G-3 Multipliers'!$L$3:$N$6,3,FALSE)=0,"Spatial Data Missing",VLOOKUP(J193,'G-3 Multipliers'!$L$3:$N$6,3,FALSE)))</f>
        <v/>
      </c>
      <c r="M193" s="177" t="str">
        <f>IF(D193="","",VLOOKUP(D193,'G-6 Hedgerow Data'!$B$1:$AH$15,33,FALSE))</f>
        <v/>
      </c>
      <c r="N193" s="207" t="str">
        <f t="shared" si="16"/>
        <v/>
      </c>
      <c r="O193" s="44"/>
      <c r="P193" s="173"/>
      <c r="Q193" s="189"/>
      <c r="R193" s="179" t="str">
        <f t="shared" si="17"/>
        <v/>
      </c>
      <c r="S193" s="179" t="str">
        <f t="shared" si="18"/>
        <v/>
      </c>
      <c r="T193" s="208" t="str">
        <f t="shared" si="19"/>
        <v/>
      </c>
      <c r="U193" s="209" t="str">
        <f t="shared" si="20"/>
        <v/>
      </c>
      <c r="V193" s="182"/>
      <c r="W193" s="183"/>
      <c r="AB193" s="35" t="str">
        <f>IFERROR(INDEX('G-6 Hedgerow Data'!$BJ$3:$BJ$15,MATCH(D193,'G-6 Hedgerow Data'!$B$3:$B$15,0)),"")</f>
        <v/>
      </c>
      <c r="AE193" s="188" t="str">
        <f t="shared" si="14"/>
        <v/>
      </c>
      <c r="AF193" s="188" t="str">
        <f t="shared" si="15"/>
        <v/>
      </c>
      <c r="AH193" s="188">
        <v>184</v>
      </c>
      <c r="AJ193" s="188" t="str">
        <f t="array" ref="AJ193">IFERROR(INDEX($AH$10:$AH$258, MATCH(0, IF(TRUE=$AE$10:$AE$258, COUNTIF($AJ$9:$AJ192, $AH$10:$AH$258), ""), 0)),"")</f>
        <v/>
      </c>
      <c r="AK193" s="188" t="str">
        <f t="array" ref="AK193">IFERROR(INDEX($AH$10:$AH$258, MATCH(0, IF(TRUE=$AF$10:$AF$258, COUNTIF($AK$9:$AK192, $AH$10:$AH$258), ""), 0)),"")</f>
        <v/>
      </c>
    </row>
    <row r="194" spans="2:37" ht="13.8" x14ac:dyDescent="0.25">
      <c r="B194" s="168">
        <v>185</v>
      </c>
      <c r="C194" s="275"/>
      <c r="D194" s="275"/>
      <c r="E194" s="185"/>
      <c r="F194" s="171" t="str">
        <f>IF(D194="","",VLOOKUP(D194,'G-6 Hedgerow Data'!$B$2:$AG$15,2,FALSE))</f>
        <v/>
      </c>
      <c r="G194" s="172" t="str">
        <f>IF(D194="","",VLOOKUP(D194,'G-6 Hedgerow Data'!$B$2:$AG$15,3,FALSE))</f>
        <v/>
      </c>
      <c r="H194" s="173"/>
      <c r="I194" s="172" t="str">
        <f>IFERROR(IF(AND(F194="V.Low",OR(H194="Good",H194="Moderate")),"Error",VLOOKUP(H194,'G-1 All Habitats'!$Z$2:$AA$9,2,FALSE)),"")</f>
        <v/>
      </c>
      <c r="J194" s="186"/>
      <c r="K194" s="175" t="str">
        <f>IF(J194="","",IF(VLOOKUP(J194,'G-3 Multipliers'!$L$3:$N$6,2,FALSE)=0,"Spatial Data Missing",VLOOKUP(J194,'G-3 Multipliers'!$L$3:$N$6,2,FALSE)))</f>
        <v/>
      </c>
      <c r="L194" s="176" t="str">
        <f>IF(J194="","",IF(VLOOKUP(J194,'G-3 Multipliers'!$L$3:$N$6,3,FALSE)=0,"Spatial Data Missing",VLOOKUP(J194,'G-3 Multipliers'!$L$3:$N$6,3,FALSE)))</f>
        <v/>
      </c>
      <c r="M194" s="177" t="str">
        <f>IF(D194="","",VLOOKUP(D194,'G-6 Hedgerow Data'!$B$1:$AH$15,33,FALSE))</f>
        <v/>
      </c>
      <c r="N194" s="207" t="str">
        <f t="shared" si="16"/>
        <v/>
      </c>
      <c r="O194" s="44"/>
      <c r="P194" s="173"/>
      <c r="Q194" s="189"/>
      <c r="R194" s="179" t="str">
        <f t="shared" si="17"/>
        <v/>
      </c>
      <c r="S194" s="179" t="str">
        <f t="shared" si="18"/>
        <v/>
      </c>
      <c r="T194" s="208" t="str">
        <f t="shared" si="19"/>
        <v/>
      </c>
      <c r="U194" s="209" t="str">
        <f t="shared" si="20"/>
        <v/>
      </c>
      <c r="V194" s="182"/>
      <c r="W194" s="183"/>
      <c r="AB194" s="35" t="str">
        <f>IFERROR(INDEX('G-6 Hedgerow Data'!$BJ$3:$BJ$15,MATCH(D194,'G-6 Hedgerow Data'!$B$3:$B$15,0)),"")</f>
        <v/>
      </c>
      <c r="AE194" s="188" t="str">
        <f t="shared" si="14"/>
        <v/>
      </c>
      <c r="AF194" s="188" t="str">
        <f t="shared" si="15"/>
        <v/>
      </c>
      <c r="AH194" s="188">
        <v>185</v>
      </c>
      <c r="AJ194" s="188" t="str">
        <f t="array" ref="AJ194">IFERROR(INDEX($AH$10:$AH$258, MATCH(0, IF(TRUE=$AE$10:$AE$258, COUNTIF($AJ$9:$AJ193, $AH$10:$AH$258), ""), 0)),"")</f>
        <v/>
      </c>
      <c r="AK194" s="188" t="str">
        <f t="array" ref="AK194">IFERROR(INDEX($AH$10:$AH$258, MATCH(0, IF(TRUE=$AF$10:$AF$258, COUNTIF($AK$9:$AK193, $AH$10:$AH$258), ""), 0)),"")</f>
        <v/>
      </c>
    </row>
    <row r="195" spans="2:37" ht="13.8" x14ac:dyDescent="0.25">
      <c r="B195" s="168">
        <v>186</v>
      </c>
      <c r="C195" s="275"/>
      <c r="D195" s="275"/>
      <c r="E195" s="185"/>
      <c r="F195" s="171" t="str">
        <f>IF(D195="","",VLOOKUP(D195,'G-6 Hedgerow Data'!$B$2:$AG$15,2,FALSE))</f>
        <v/>
      </c>
      <c r="G195" s="172" t="str">
        <f>IF(D195="","",VLOOKUP(D195,'G-6 Hedgerow Data'!$B$2:$AG$15,3,FALSE))</f>
        <v/>
      </c>
      <c r="H195" s="173"/>
      <c r="I195" s="172" t="str">
        <f>IFERROR(IF(AND(F195="V.Low",OR(H195="Good",H195="Moderate")),"Error",VLOOKUP(H195,'G-1 All Habitats'!$Z$2:$AA$9,2,FALSE)),"")</f>
        <v/>
      </c>
      <c r="J195" s="186"/>
      <c r="K195" s="175" t="str">
        <f>IF(J195="","",IF(VLOOKUP(J195,'G-3 Multipliers'!$L$3:$N$6,2,FALSE)=0,"Spatial Data Missing",VLOOKUP(J195,'G-3 Multipliers'!$L$3:$N$6,2,FALSE)))</f>
        <v/>
      </c>
      <c r="L195" s="176" t="str">
        <f>IF(J195="","",IF(VLOOKUP(J195,'G-3 Multipliers'!$L$3:$N$6,3,FALSE)=0,"Spatial Data Missing",VLOOKUP(J195,'G-3 Multipliers'!$L$3:$N$6,3,FALSE)))</f>
        <v/>
      </c>
      <c r="M195" s="177" t="str">
        <f>IF(D195="","",VLOOKUP(D195,'G-6 Hedgerow Data'!$B$1:$AH$15,33,FALSE))</f>
        <v/>
      </c>
      <c r="N195" s="207" t="str">
        <f t="shared" si="16"/>
        <v/>
      </c>
      <c r="O195" s="44"/>
      <c r="P195" s="173"/>
      <c r="Q195" s="189"/>
      <c r="R195" s="179" t="str">
        <f t="shared" si="17"/>
        <v/>
      </c>
      <c r="S195" s="179" t="str">
        <f t="shared" si="18"/>
        <v/>
      </c>
      <c r="T195" s="208" t="str">
        <f t="shared" si="19"/>
        <v/>
      </c>
      <c r="U195" s="209" t="str">
        <f t="shared" si="20"/>
        <v/>
      </c>
      <c r="V195" s="182"/>
      <c r="W195" s="183"/>
      <c r="AB195" s="35" t="str">
        <f>IFERROR(INDEX('G-6 Hedgerow Data'!$BJ$3:$BJ$15,MATCH(D195,'G-6 Hedgerow Data'!$B$3:$B$15,0)),"")</f>
        <v/>
      </c>
      <c r="AE195" s="188" t="str">
        <f t="shared" si="14"/>
        <v/>
      </c>
      <c r="AF195" s="188" t="str">
        <f t="shared" si="15"/>
        <v/>
      </c>
      <c r="AH195" s="188">
        <v>186</v>
      </c>
      <c r="AJ195" s="188" t="str">
        <f t="array" ref="AJ195">IFERROR(INDEX($AH$10:$AH$258, MATCH(0, IF(TRUE=$AE$10:$AE$258, COUNTIF($AJ$9:$AJ194, $AH$10:$AH$258), ""), 0)),"")</f>
        <v/>
      </c>
      <c r="AK195" s="188" t="str">
        <f t="array" ref="AK195">IFERROR(INDEX($AH$10:$AH$258, MATCH(0, IF(TRUE=$AF$10:$AF$258, COUNTIF($AK$9:$AK194, $AH$10:$AH$258), ""), 0)),"")</f>
        <v/>
      </c>
    </row>
    <row r="196" spans="2:37" ht="13.8" x14ac:dyDescent="0.25">
      <c r="B196" s="168">
        <v>187</v>
      </c>
      <c r="C196" s="275"/>
      <c r="D196" s="275"/>
      <c r="E196" s="185"/>
      <c r="F196" s="171" t="str">
        <f>IF(D196="","",VLOOKUP(D196,'G-6 Hedgerow Data'!$B$2:$AG$15,2,FALSE))</f>
        <v/>
      </c>
      <c r="G196" s="172" t="str">
        <f>IF(D196="","",VLOOKUP(D196,'G-6 Hedgerow Data'!$B$2:$AG$15,3,FALSE))</f>
        <v/>
      </c>
      <c r="H196" s="173"/>
      <c r="I196" s="172" t="str">
        <f>IFERROR(IF(AND(F196="V.Low",OR(H196="Good",H196="Moderate")),"Error",VLOOKUP(H196,'G-1 All Habitats'!$Z$2:$AA$9,2,FALSE)),"")</f>
        <v/>
      </c>
      <c r="J196" s="186"/>
      <c r="K196" s="175" t="str">
        <f>IF(J196="","",IF(VLOOKUP(J196,'G-3 Multipliers'!$L$3:$N$6,2,FALSE)=0,"Spatial Data Missing",VLOOKUP(J196,'G-3 Multipliers'!$L$3:$N$6,2,FALSE)))</f>
        <v/>
      </c>
      <c r="L196" s="176" t="str">
        <f>IF(J196="","",IF(VLOOKUP(J196,'G-3 Multipliers'!$L$3:$N$6,3,FALSE)=0,"Spatial Data Missing",VLOOKUP(J196,'G-3 Multipliers'!$L$3:$N$6,3,FALSE)))</f>
        <v/>
      </c>
      <c r="M196" s="177" t="str">
        <f>IF(D196="","",VLOOKUP(D196,'G-6 Hedgerow Data'!$B$1:$AH$15,33,FALSE))</f>
        <v/>
      </c>
      <c r="N196" s="207" t="str">
        <f t="shared" si="16"/>
        <v/>
      </c>
      <c r="O196" s="44"/>
      <c r="P196" s="173"/>
      <c r="Q196" s="189"/>
      <c r="R196" s="179" t="str">
        <f t="shared" si="17"/>
        <v/>
      </c>
      <c r="S196" s="179" t="str">
        <f t="shared" si="18"/>
        <v/>
      </c>
      <c r="T196" s="208" t="str">
        <f t="shared" si="19"/>
        <v/>
      </c>
      <c r="U196" s="209" t="str">
        <f t="shared" si="20"/>
        <v/>
      </c>
      <c r="V196" s="182"/>
      <c r="W196" s="183"/>
      <c r="AB196" s="35" t="str">
        <f>IFERROR(INDEX('G-6 Hedgerow Data'!$BJ$3:$BJ$15,MATCH(D196,'G-6 Hedgerow Data'!$B$3:$B$15,0)),"")</f>
        <v/>
      </c>
      <c r="AE196" s="188" t="str">
        <f t="shared" si="14"/>
        <v/>
      </c>
      <c r="AF196" s="188" t="str">
        <f t="shared" si="15"/>
        <v/>
      </c>
      <c r="AH196" s="188">
        <v>187</v>
      </c>
      <c r="AJ196" s="188" t="str">
        <f t="array" ref="AJ196">IFERROR(INDEX($AH$10:$AH$258, MATCH(0, IF(TRUE=$AE$10:$AE$258, COUNTIF($AJ$9:$AJ195, $AH$10:$AH$258), ""), 0)),"")</f>
        <v/>
      </c>
      <c r="AK196" s="188" t="str">
        <f t="array" ref="AK196">IFERROR(INDEX($AH$10:$AH$258, MATCH(0, IF(TRUE=$AF$10:$AF$258, COUNTIF($AK$9:$AK195, $AH$10:$AH$258), ""), 0)),"")</f>
        <v/>
      </c>
    </row>
    <row r="197" spans="2:37" ht="13.8" x14ac:dyDescent="0.25">
      <c r="B197" s="168">
        <v>188</v>
      </c>
      <c r="C197" s="275"/>
      <c r="D197" s="275"/>
      <c r="E197" s="185"/>
      <c r="F197" s="171" t="str">
        <f>IF(D197="","",VLOOKUP(D197,'G-6 Hedgerow Data'!$B$2:$AG$15,2,FALSE))</f>
        <v/>
      </c>
      <c r="G197" s="172" t="str">
        <f>IF(D197="","",VLOOKUP(D197,'G-6 Hedgerow Data'!$B$2:$AG$15,3,FALSE))</f>
        <v/>
      </c>
      <c r="H197" s="173"/>
      <c r="I197" s="172" t="str">
        <f>IFERROR(IF(AND(F197="V.Low",OR(H197="Good",H197="Moderate")),"Error",VLOOKUP(H197,'G-1 All Habitats'!$Z$2:$AA$9,2,FALSE)),"")</f>
        <v/>
      </c>
      <c r="J197" s="186"/>
      <c r="K197" s="175" t="str">
        <f>IF(J197="","",IF(VLOOKUP(J197,'G-3 Multipliers'!$L$3:$N$6,2,FALSE)=0,"Spatial Data Missing",VLOOKUP(J197,'G-3 Multipliers'!$L$3:$N$6,2,FALSE)))</f>
        <v/>
      </c>
      <c r="L197" s="176" t="str">
        <f>IF(J197="","",IF(VLOOKUP(J197,'G-3 Multipliers'!$L$3:$N$6,3,FALSE)=0,"Spatial Data Missing",VLOOKUP(J197,'G-3 Multipliers'!$L$3:$N$6,3,FALSE)))</f>
        <v/>
      </c>
      <c r="M197" s="177" t="str">
        <f>IF(D197="","",VLOOKUP(D197,'G-6 Hedgerow Data'!$B$1:$AH$15,33,FALSE))</f>
        <v/>
      </c>
      <c r="N197" s="207" t="str">
        <f t="shared" si="16"/>
        <v/>
      </c>
      <c r="O197" s="44"/>
      <c r="P197" s="173"/>
      <c r="Q197" s="189"/>
      <c r="R197" s="179" t="str">
        <f t="shared" si="17"/>
        <v/>
      </c>
      <c r="S197" s="179" t="str">
        <f t="shared" si="18"/>
        <v/>
      </c>
      <c r="T197" s="208" t="str">
        <f t="shared" si="19"/>
        <v/>
      </c>
      <c r="U197" s="209" t="str">
        <f t="shared" si="20"/>
        <v/>
      </c>
      <c r="V197" s="182"/>
      <c r="W197" s="183"/>
      <c r="AB197" s="35" t="str">
        <f>IFERROR(INDEX('G-6 Hedgerow Data'!$BJ$3:$BJ$15,MATCH(D197,'G-6 Hedgerow Data'!$B$3:$B$15,0)),"")</f>
        <v/>
      </c>
      <c r="AE197" s="188" t="str">
        <f t="shared" si="14"/>
        <v/>
      </c>
      <c r="AF197" s="188" t="str">
        <f t="shared" si="15"/>
        <v/>
      </c>
      <c r="AH197" s="188">
        <v>188</v>
      </c>
      <c r="AJ197" s="188" t="str">
        <f t="array" ref="AJ197">IFERROR(INDEX($AH$10:$AH$258, MATCH(0, IF(TRUE=$AE$10:$AE$258, COUNTIF($AJ$9:$AJ196, $AH$10:$AH$258), ""), 0)),"")</f>
        <v/>
      </c>
      <c r="AK197" s="188" t="str">
        <f t="array" ref="AK197">IFERROR(INDEX($AH$10:$AH$258, MATCH(0, IF(TRUE=$AF$10:$AF$258, COUNTIF($AK$9:$AK196, $AH$10:$AH$258), ""), 0)),"")</f>
        <v/>
      </c>
    </row>
    <row r="198" spans="2:37" ht="13.8" x14ac:dyDescent="0.25">
      <c r="B198" s="168">
        <v>189</v>
      </c>
      <c r="C198" s="275"/>
      <c r="D198" s="275"/>
      <c r="E198" s="185"/>
      <c r="F198" s="171" t="str">
        <f>IF(D198="","",VLOOKUP(D198,'G-6 Hedgerow Data'!$B$2:$AG$15,2,FALSE))</f>
        <v/>
      </c>
      <c r="G198" s="172" t="str">
        <f>IF(D198="","",VLOOKUP(D198,'G-6 Hedgerow Data'!$B$2:$AG$15,3,FALSE))</f>
        <v/>
      </c>
      <c r="H198" s="173"/>
      <c r="I198" s="172" t="str">
        <f>IFERROR(IF(AND(F198="V.Low",OR(H198="Good",H198="Moderate")),"Error",VLOOKUP(H198,'G-1 All Habitats'!$Z$2:$AA$9,2,FALSE)),"")</f>
        <v/>
      </c>
      <c r="J198" s="186"/>
      <c r="K198" s="175" t="str">
        <f>IF(J198="","",IF(VLOOKUP(J198,'G-3 Multipliers'!$L$3:$N$6,2,FALSE)=0,"Spatial Data Missing",VLOOKUP(J198,'G-3 Multipliers'!$L$3:$N$6,2,FALSE)))</f>
        <v/>
      </c>
      <c r="L198" s="176" t="str">
        <f>IF(J198="","",IF(VLOOKUP(J198,'G-3 Multipliers'!$L$3:$N$6,3,FALSE)=0,"Spatial Data Missing",VLOOKUP(J198,'G-3 Multipliers'!$L$3:$N$6,3,FALSE)))</f>
        <v/>
      </c>
      <c r="M198" s="177" t="str">
        <f>IF(D198="","",VLOOKUP(D198,'G-6 Hedgerow Data'!$B$1:$AH$15,33,FALSE))</f>
        <v/>
      </c>
      <c r="N198" s="207" t="str">
        <f t="shared" si="16"/>
        <v/>
      </c>
      <c r="O198" s="44"/>
      <c r="P198" s="173"/>
      <c r="Q198" s="189"/>
      <c r="R198" s="179" t="str">
        <f t="shared" si="17"/>
        <v/>
      </c>
      <c r="S198" s="179" t="str">
        <f t="shared" si="18"/>
        <v/>
      </c>
      <c r="T198" s="208" t="str">
        <f t="shared" si="19"/>
        <v/>
      </c>
      <c r="U198" s="209" t="str">
        <f t="shared" si="20"/>
        <v/>
      </c>
      <c r="V198" s="182"/>
      <c r="W198" s="183"/>
      <c r="AB198" s="35" t="str">
        <f>IFERROR(INDEX('G-6 Hedgerow Data'!$BJ$3:$BJ$15,MATCH(D198,'G-6 Hedgerow Data'!$B$3:$B$15,0)),"")</f>
        <v/>
      </c>
      <c r="AE198" s="188" t="str">
        <f t="shared" si="14"/>
        <v/>
      </c>
      <c r="AF198" s="188" t="str">
        <f t="shared" si="15"/>
        <v/>
      </c>
      <c r="AH198" s="188">
        <v>189</v>
      </c>
      <c r="AJ198" s="188" t="str">
        <f t="array" ref="AJ198">IFERROR(INDEX($AH$10:$AH$258, MATCH(0, IF(TRUE=$AE$10:$AE$258, COUNTIF($AJ$9:$AJ197, $AH$10:$AH$258), ""), 0)),"")</f>
        <v/>
      </c>
      <c r="AK198" s="188" t="str">
        <f t="array" ref="AK198">IFERROR(INDEX($AH$10:$AH$258, MATCH(0, IF(TRUE=$AF$10:$AF$258, COUNTIF($AK$9:$AK197, $AH$10:$AH$258), ""), 0)),"")</f>
        <v/>
      </c>
    </row>
    <row r="199" spans="2:37" ht="13.8" x14ac:dyDescent="0.25">
      <c r="B199" s="168">
        <v>190</v>
      </c>
      <c r="C199" s="275"/>
      <c r="D199" s="275"/>
      <c r="E199" s="185"/>
      <c r="F199" s="171" t="str">
        <f>IF(D199="","",VLOOKUP(D199,'G-6 Hedgerow Data'!$B$2:$AG$15,2,FALSE))</f>
        <v/>
      </c>
      <c r="G199" s="172" t="str">
        <f>IF(D199="","",VLOOKUP(D199,'G-6 Hedgerow Data'!$B$2:$AG$15,3,FALSE))</f>
        <v/>
      </c>
      <c r="H199" s="173"/>
      <c r="I199" s="172" t="str">
        <f>IFERROR(IF(AND(F199="V.Low",OR(H199="Good",H199="Moderate")),"Error",VLOOKUP(H199,'G-1 All Habitats'!$Z$2:$AA$9,2,FALSE)),"")</f>
        <v/>
      </c>
      <c r="J199" s="186"/>
      <c r="K199" s="175" t="str">
        <f>IF(J199="","",IF(VLOOKUP(J199,'G-3 Multipliers'!$L$3:$N$6,2,FALSE)=0,"Spatial Data Missing",VLOOKUP(J199,'G-3 Multipliers'!$L$3:$N$6,2,FALSE)))</f>
        <v/>
      </c>
      <c r="L199" s="176" t="str">
        <f>IF(J199="","",IF(VLOOKUP(J199,'G-3 Multipliers'!$L$3:$N$6,3,FALSE)=0,"Spatial Data Missing",VLOOKUP(J199,'G-3 Multipliers'!$L$3:$N$6,3,FALSE)))</f>
        <v/>
      </c>
      <c r="M199" s="177" t="str">
        <f>IF(D199="","",VLOOKUP(D199,'G-6 Hedgerow Data'!$B$1:$AH$15,33,FALSE))</f>
        <v/>
      </c>
      <c r="N199" s="207" t="str">
        <f t="shared" si="16"/>
        <v/>
      </c>
      <c r="O199" s="44"/>
      <c r="P199" s="173"/>
      <c r="Q199" s="189"/>
      <c r="R199" s="179" t="str">
        <f t="shared" si="17"/>
        <v/>
      </c>
      <c r="S199" s="179" t="str">
        <f t="shared" si="18"/>
        <v/>
      </c>
      <c r="T199" s="208" t="str">
        <f t="shared" si="19"/>
        <v/>
      </c>
      <c r="U199" s="209" t="str">
        <f t="shared" si="20"/>
        <v/>
      </c>
      <c r="V199" s="182"/>
      <c r="W199" s="183"/>
      <c r="AB199" s="35" t="str">
        <f>IFERROR(INDEX('G-6 Hedgerow Data'!$BJ$3:$BJ$15,MATCH(D199,'G-6 Hedgerow Data'!$B$3:$B$15,0)),"")</f>
        <v/>
      </c>
      <c r="AE199" s="188" t="str">
        <f t="shared" si="14"/>
        <v/>
      </c>
      <c r="AF199" s="188" t="str">
        <f t="shared" si="15"/>
        <v/>
      </c>
      <c r="AH199" s="188">
        <v>190</v>
      </c>
      <c r="AJ199" s="188" t="str">
        <f t="array" ref="AJ199">IFERROR(INDEX($AH$10:$AH$258, MATCH(0, IF(TRUE=$AE$10:$AE$258, COUNTIF($AJ$9:$AJ198, $AH$10:$AH$258), ""), 0)),"")</f>
        <v/>
      </c>
      <c r="AK199" s="188" t="str">
        <f t="array" ref="AK199">IFERROR(INDEX($AH$10:$AH$258, MATCH(0, IF(TRUE=$AF$10:$AF$258, COUNTIF($AK$9:$AK198, $AH$10:$AH$258), ""), 0)),"")</f>
        <v/>
      </c>
    </row>
    <row r="200" spans="2:37" ht="13.8" x14ac:dyDescent="0.25">
      <c r="B200" s="168">
        <v>191</v>
      </c>
      <c r="C200" s="275"/>
      <c r="D200" s="275"/>
      <c r="E200" s="185"/>
      <c r="F200" s="171" t="str">
        <f>IF(D200="","",VLOOKUP(D200,'G-6 Hedgerow Data'!$B$2:$AG$15,2,FALSE))</f>
        <v/>
      </c>
      <c r="G200" s="172" t="str">
        <f>IF(D200="","",VLOOKUP(D200,'G-6 Hedgerow Data'!$B$2:$AG$15,3,FALSE))</f>
        <v/>
      </c>
      <c r="H200" s="173"/>
      <c r="I200" s="172" t="str">
        <f>IFERROR(IF(AND(F200="V.Low",OR(H200="Good",H200="Moderate")),"Error",VLOOKUP(H200,'G-1 All Habitats'!$Z$2:$AA$9,2,FALSE)),"")</f>
        <v/>
      </c>
      <c r="J200" s="186"/>
      <c r="K200" s="175" t="str">
        <f>IF(J200="","",IF(VLOOKUP(J200,'G-3 Multipliers'!$L$3:$N$6,2,FALSE)=0,"Spatial Data Missing",VLOOKUP(J200,'G-3 Multipliers'!$L$3:$N$6,2,FALSE)))</f>
        <v/>
      </c>
      <c r="L200" s="176" t="str">
        <f>IF(J200="","",IF(VLOOKUP(J200,'G-3 Multipliers'!$L$3:$N$6,3,FALSE)=0,"Spatial Data Missing",VLOOKUP(J200,'G-3 Multipliers'!$L$3:$N$6,3,FALSE)))</f>
        <v/>
      </c>
      <c r="M200" s="177" t="str">
        <f>IF(D200="","",VLOOKUP(D200,'G-6 Hedgerow Data'!$B$1:$AH$15,33,FALSE))</f>
        <v/>
      </c>
      <c r="N200" s="207" t="str">
        <f t="shared" si="16"/>
        <v/>
      </c>
      <c r="O200" s="44"/>
      <c r="P200" s="173"/>
      <c r="Q200" s="189"/>
      <c r="R200" s="179" t="str">
        <f t="shared" si="17"/>
        <v/>
      </c>
      <c r="S200" s="179" t="str">
        <f t="shared" si="18"/>
        <v/>
      </c>
      <c r="T200" s="208" t="str">
        <f t="shared" si="19"/>
        <v/>
      </c>
      <c r="U200" s="209" t="str">
        <f t="shared" si="20"/>
        <v/>
      </c>
      <c r="V200" s="182"/>
      <c r="W200" s="183"/>
      <c r="AB200" s="35" t="str">
        <f>IFERROR(INDEX('G-6 Hedgerow Data'!$BJ$3:$BJ$15,MATCH(D200,'G-6 Hedgerow Data'!$B$3:$B$15,0)),"")</f>
        <v/>
      </c>
      <c r="AE200" s="188" t="str">
        <f t="shared" si="14"/>
        <v/>
      </c>
      <c r="AF200" s="188" t="str">
        <f t="shared" si="15"/>
        <v/>
      </c>
      <c r="AH200" s="188">
        <v>191</v>
      </c>
      <c r="AJ200" s="188" t="str">
        <f t="array" ref="AJ200">IFERROR(INDEX($AH$10:$AH$258, MATCH(0, IF(TRUE=$AE$10:$AE$258, COUNTIF($AJ$9:$AJ199, $AH$10:$AH$258), ""), 0)),"")</f>
        <v/>
      </c>
      <c r="AK200" s="188" t="str">
        <f t="array" ref="AK200">IFERROR(INDEX($AH$10:$AH$258, MATCH(0, IF(TRUE=$AF$10:$AF$258, COUNTIF($AK$9:$AK199, $AH$10:$AH$258), ""), 0)),"")</f>
        <v/>
      </c>
    </row>
    <row r="201" spans="2:37" ht="13.8" x14ac:dyDescent="0.25">
      <c r="B201" s="168">
        <v>192</v>
      </c>
      <c r="C201" s="275"/>
      <c r="D201" s="275"/>
      <c r="E201" s="185"/>
      <c r="F201" s="171" t="str">
        <f>IF(D201="","",VLOOKUP(D201,'G-6 Hedgerow Data'!$B$2:$AG$15,2,FALSE))</f>
        <v/>
      </c>
      <c r="G201" s="172" t="str">
        <f>IF(D201="","",VLOOKUP(D201,'G-6 Hedgerow Data'!$B$2:$AG$15,3,FALSE))</f>
        <v/>
      </c>
      <c r="H201" s="173"/>
      <c r="I201" s="172" t="str">
        <f>IFERROR(IF(AND(F201="V.Low",OR(H201="Good",H201="Moderate")),"Error",VLOOKUP(H201,'G-1 All Habitats'!$Z$2:$AA$9,2,FALSE)),"")</f>
        <v/>
      </c>
      <c r="J201" s="186"/>
      <c r="K201" s="175" t="str">
        <f>IF(J201="","",IF(VLOOKUP(J201,'G-3 Multipliers'!$L$3:$N$6,2,FALSE)=0,"Spatial Data Missing",VLOOKUP(J201,'G-3 Multipliers'!$L$3:$N$6,2,FALSE)))</f>
        <v/>
      </c>
      <c r="L201" s="176" t="str">
        <f>IF(J201="","",IF(VLOOKUP(J201,'G-3 Multipliers'!$L$3:$N$6,3,FALSE)=0,"Spatial Data Missing",VLOOKUP(J201,'G-3 Multipliers'!$L$3:$N$6,3,FALSE)))</f>
        <v/>
      </c>
      <c r="M201" s="177" t="str">
        <f>IF(D201="","",VLOOKUP(D201,'G-6 Hedgerow Data'!$B$1:$AH$15,33,FALSE))</f>
        <v/>
      </c>
      <c r="N201" s="207" t="str">
        <f t="shared" si="16"/>
        <v/>
      </c>
      <c r="O201" s="44"/>
      <c r="P201" s="173"/>
      <c r="Q201" s="189"/>
      <c r="R201" s="179" t="str">
        <f t="shared" si="17"/>
        <v/>
      </c>
      <c r="S201" s="179" t="str">
        <f t="shared" si="18"/>
        <v/>
      </c>
      <c r="T201" s="208" t="str">
        <f t="shared" si="19"/>
        <v/>
      </c>
      <c r="U201" s="209" t="str">
        <f t="shared" si="20"/>
        <v/>
      </c>
      <c r="V201" s="182"/>
      <c r="W201" s="183"/>
      <c r="AB201" s="35" t="str">
        <f>IFERROR(INDEX('G-6 Hedgerow Data'!$BJ$3:$BJ$15,MATCH(D201,'G-6 Hedgerow Data'!$B$3:$B$15,0)),"")</f>
        <v/>
      </c>
      <c r="AE201" s="188" t="str">
        <f t="shared" si="14"/>
        <v/>
      </c>
      <c r="AF201" s="188" t="str">
        <f t="shared" si="15"/>
        <v/>
      </c>
      <c r="AH201" s="188">
        <v>192</v>
      </c>
      <c r="AJ201" s="188" t="str">
        <f t="array" ref="AJ201">IFERROR(INDEX($AH$10:$AH$258, MATCH(0, IF(TRUE=$AE$10:$AE$258, COUNTIF($AJ$9:$AJ200, $AH$10:$AH$258), ""), 0)),"")</f>
        <v/>
      </c>
      <c r="AK201" s="188" t="str">
        <f t="array" ref="AK201">IFERROR(INDEX($AH$10:$AH$258, MATCH(0, IF(TRUE=$AF$10:$AF$258, COUNTIF($AK$9:$AK200, $AH$10:$AH$258), ""), 0)),"")</f>
        <v/>
      </c>
    </row>
    <row r="202" spans="2:37" ht="13.8" x14ac:dyDescent="0.25">
      <c r="B202" s="168">
        <v>193</v>
      </c>
      <c r="C202" s="275"/>
      <c r="D202" s="275"/>
      <c r="E202" s="185"/>
      <c r="F202" s="171" t="str">
        <f>IF(D202="","",VLOOKUP(D202,'G-6 Hedgerow Data'!$B$2:$AG$15,2,FALSE))</f>
        <v/>
      </c>
      <c r="G202" s="172" t="str">
        <f>IF(D202="","",VLOOKUP(D202,'G-6 Hedgerow Data'!$B$2:$AG$15,3,FALSE))</f>
        <v/>
      </c>
      <c r="H202" s="173"/>
      <c r="I202" s="172" t="str">
        <f>IFERROR(IF(AND(F202="V.Low",OR(H202="Good",H202="Moderate")),"Error",VLOOKUP(H202,'G-1 All Habitats'!$Z$2:$AA$9,2,FALSE)),"")</f>
        <v/>
      </c>
      <c r="J202" s="186"/>
      <c r="K202" s="175" t="str">
        <f>IF(J202="","",IF(VLOOKUP(J202,'G-3 Multipliers'!$L$3:$N$6,2,FALSE)=0,"Spatial Data Missing",VLOOKUP(J202,'G-3 Multipliers'!$L$3:$N$6,2,FALSE)))</f>
        <v/>
      </c>
      <c r="L202" s="176" t="str">
        <f>IF(J202="","",IF(VLOOKUP(J202,'G-3 Multipliers'!$L$3:$N$6,3,FALSE)=0,"Spatial Data Missing",VLOOKUP(J202,'G-3 Multipliers'!$L$3:$N$6,3,FALSE)))</f>
        <v/>
      </c>
      <c r="M202" s="177" t="str">
        <f>IF(D202="","",VLOOKUP(D202,'G-6 Hedgerow Data'!$B$1:$AH$15,33,FALSE))</f>
        <v/>
      </c>
      <c r="N202" s="207" t="str">
        <f t="shared" si="16"/>
        <v/>
      </c>
      <c r="O202" s="44"/>
      <c r="P202" s="173"/>
      <c r="Q202" s="189"/>
      <c r="R202" s="179" t="str">
        <f t="shared" si="17"/>
        <v/>
      </c>
      <c r="S202" s="179" t="str">
        <f t="shared" si="18"/>
        <v/>
      </c>
      <c r="T202" s="208" t="str">
        <f t="shared" si="19"/>
        <v/>
      </c>
      <c r="U202" s="209" t="str">
        <f t="shared" si="20"/>
        <v/>
      </c>
      <c r="V202" s="182"/>
      <c r="W202" s="183"/>
      <c r="AB202" s="35" t="str">
        <f>IFERROR(INDEX('G-6 Hedgerow Data'!$BJ$3:$BJ$15,MATCH(D202,'G-6 Hedgerow Data'!$B$3:$B$15,0)),"")</f>
        <v/>
      </c>
      <c r="AE202" s="188" t="str">
        <f t="shared" ref="AE202:AE257" si="21">IF(D202="","",IF(P202&gt;0,TRUE,FALSE))</f>
        <v/>
      </c>
      <c r="AF202" s="188" t="str">
        <f t="shared" ref="AF202:AF257" si="22">IF(D202="","",IF(Q202&gt;0,TRUE,FALSE))</f>
        <v/>
      </c>
      <c r="AH202" s="188">
        <v>193</v>
      </c>
      <c r="AJ202" s="188" t="str">
        <f t="array" ref="AJ202">IFERROR(INDEX($AH$10:$AH$258, MATCH(0, IF(TRUE=$AE$10:$AE$258, COUNTIF($AJ$9:$AJ201, $AH$10:$AH$258), ""), 0)),"")</f>
        <v/>
      </c>
      <c r="AK202" s="188" t="str">
        <f t="array" ref="AK202">IFERROR(INDEX($AH$10:$AH$258, MATCH(0, IF(TRUE=$AF$10:$AF$258, COUNTIF($AK$9:$AK201, $AH$10:$AH$258), ""), 0)),"")</f>
        <v/>
      </c>
    </row>
    <row r="203" spans="2:37" ht="13.8" x14ac:dyDescent="0.25">
      <c r="B203" s="168">
        <v>194</v>
      </c>
      <c r="C203" s="275"/>
      <c r="D203" s="275"/>
      <c r="E203" s="185"/>
      <c r="F203" s="171" t="str">
        <f>IF(D203="","",VLOOKUP(D203,'G-6 Hedgerow Data'!$B$2:$AG$15,2,FALSE))</f>
        <v/>
      </c>
      <c r="G203" s="172" t="str">
        <f>IF(D203="","",VLOOKUP(D203,'G-6 Hedgerow Data'!$B$2:$AG$15,3,FALSE))</f>
        <v/>
      </c>
      <c r="H203" s="173"/>
      <c r="I203" s="172" t="str">
        <f>IFERROR(IF(AND(F203="V.Low",OR(H203="Good",H203="Moderate")),"Error",VLOOKUP(H203,'G-1 All Habitats'!$Z$2:$AA$9,2,FALSE)),"")</f>
        <v/>
      </c>
      <c r="J203" s="186"/>
      <c r="K203" s="175" t="str">
        <f>IF(J203="","",IF(VLOOKUP(J203,'G-3 Multipliers'!$L$3:$N$6,2,FALSE)=0,"Spatial Data Missing",VLOOKUP(J203,'G-3 Multipliers'!$L$3:$N$6,2,FALSE)))</f>
        <v/>
      </c>
      <c r="L203" s="176" t="str">
        <f>IF(J203="","",IF(VLOOKUP(J203,'G-3 Multipliers'!$L$3:$N$6,3,FALSE)=0,"Spatial Data Missing",VLOOKUP(J203,'G-3 Multipliers'!$L$3:$N$6,3,FALSE)))</f>
        <v/>
      </c>
      <c r="M203" s="177" t="str">
        <f>IF(D203="","",VLOOKUP(D203,'G-6 Hedgerow Data'!$B$1:$AH$15,33,FALSE))</f>
        <v/>
      </c>
      <c r="N203" s="207" t="str">
        <f t="shared" ref="N203:N257" si="23">IFERROR(E203*G203*I203*L203,"")</f>
        <v/>
      </c>
      <c r="O203" s="44"/>
      <c r="P203" s="173"/>
      <c r="Q203" s="189"/>
      <c r="R203" s="179" t="str">
        <f t="shared" ref="R203:R257" si="24">IFERROR(P203*G203*I203*L203,"")</f>
        <v/>
      </c>
      <c r="S203" s="179" t="str">
        <f t="shared" ref="S203:S257" si="25">IFERROR(Q203*G203*I203*L203,"")</f>
        <v/>
      </c>
      <c r="T203" s="208" t="str">
        <f t="shared" ref="T203:T257" si="26">IF(D203="","",IF(E203&lt;P203+Q203,"Error in Lengths",E203-P203-Q203))</f>
        <v/>
      </c>
      <c r="U203" s="209" t="str">
        <f t="shared" ref="U203:U257" si="27">IF(OR(E203="",N203=""),"",IF(E203&lt;P203+Q203,"Error in Lengths",N203-R203-S203))</f>
        <v/>
      </c>
      <c r="V203" s="182"/>
      <c r="W203" s="183"/>
      <c r="AB203" s="35" t="str">
        <f>IFERROR(INDEX('G-6 Hedgerow Data'!$BJ$3:$BJ$15,MATCH(D203,'G-6 Hedgerow Data'!$B$3:$B$15,0)),"")</f>
        <v/>
      </c>
      <c r="AE203" s="188" t="str">
        <f t="shared" si="21"/>
        <v/>
      </c>
      <c r="AF203" s="188" t="str">
        <f t="shared" si="22"/>
        <v/>
      </c>
      <c r="AH203" s="188">
        <v>194</v>
      </c>
      <c r="AJ203" s="188" t="str">
        <f t="array" ref="AJ203">IFERROR(INDEX($AH$10:$AH$258, MATCH(0, IF(TRUE=$AE$10:$AE$258, COUNTIF($AJ$9:$AJ202, $AH$10:$AH$258), ""), 0)),"")</f>
        <v/>
      </c>
      <c r="AK203" s="188" t="str">
        <f t="array" ref="AK203">IFERROR(INDEX($AH$10:$AH$258, MATCH(0, IF(TRUE=$AF$10:$AF$258, COUNTIF($AK$9:$AK202, $AH$10:$AH$258), ""), 0)),"")</f>
        <v/>
      </c>
    </row>
    <row r="204" spans="2:37" ht="13.8" x14ac:dyDescent="0.25">
      <c r="B204" s="168">
        <v>195</v>
      </c>
      <c r="C204" s="275"/>
      <c r="D204" s="275"/>
      <c r="E204" s="185"/>
      <c r="F204" s="171" t="str">
        <f>IF(D204="","",VLOOKUP(D204,'G-6 Hedgerow Data'!$B$2:$AG$15,2,FALSE))</f>
        <v/>
      </c>
      <c r="G204" s="172" t="str">
        <f>IF(D204="","",VLOOKUP(D204,'G-6 Hedgerow Data'!$B$2:$AG$15,3,FALSE))</f>
        <v/>
      </c>
      <c r="H204" s="173"/>
      <c r="I204" s="172" t="str">
        <f>IFERROR(IF(AND(F204="V.Low",OR(H204="Good",H204="Moderate")),"Error",VLOOKUP(H204,'G-1 All Habitats'!$Z$2:$AA$9,2,FALSE)),"")</f>
        <v/>
      </c>
      <c r="J204" s="186"/>
      <c r="K204" s="175" t="str">
        <f>IF(J204="","",IF(VLOOKUP(J204,'G-3 Multipliers'!$L$3:$N$6,2,FALSE)=0,"Spatial Data Missing",VLOOKUP(J204,'G-3 Multipliers'!$L$3:$N$6,2,FALSE)))</f>
        <v/>
      </c>
      <c r="L204" s="176" t="str">
        <f>IF(J204="","",IF(VLOOKUP(J204,'G-3 Multipliers'!$L$3:$N$6,3,FALSE)=0,"Spatial Data Missing",VLOOKUP(J204,'G-3 Multipliers'!$L$3:$N$6,3,FALSE)))</f>
        <v/>
      </c>
      <c r="M204" s="177" t="str">
        <f>IF(D204="","",VLOOKUP(D204,'G-6 Hedgerow Data'!$B$1:$AH$15,33,FALSE))</f>
        <v/>
      </c>
      <c r="N204" s="207" t="str">
        <f t="shared" si="23"/>
        <v/>
      </c>
      <c r="O204" s="44"/>
      <c r="P204" s="173"/>
      <c r="Q204" s="189"/>
      <c r="R204" s="179" t="str">
        <f t="shared" si="24"/>
        <v/>
      </c>
      <c r="S204" s="179" t="str">
        <f t="shared" si="25"/>
        <v/>
      </c>
      <c r="T204" s="208" t="str">
        <f t="shared" si="26"/>
        <v/>
      </c>
      <c r="U204" s="209" t="str">
        <f t="shared" si="27"/>
        <v/>
      </c>
      <c r="V204" s="182"/>
      <c r="W204" s="183"/>
      <c r="AB204" s="35" t="str">
        <f>IFERROR(INDEX('G-6 Hedgerow Data'!$BJ$3:$BJ$15,MATCH(D204,'G-6 Hedgerow Data'!$B$3:$B$15,0)),"")</f>
        <v/>
      </c>
      <c r="AE204" s="188" t="str">
        <f t="shared" si="21"/>
        <v/>
      </c>
      <c r="AF204" s="188" t="str">
        <f t="shared" si="22"/>
        <v/>
      </c>
      <c r="AH204" s="188">
        <v>195</v>
      </c>
      <c r="AJ204" s="188" t="str">
        <f t="array" ref="AJ204">IFERROR(INDEX($AH$10:$AH$258, MATCH(0, IF(TRUE=$AE$10:$AE$258, COUNTIF($AJ$9:$AJ203, $AH$10:$AH$258), ""), 0)),"")</f>
        <v/>
      </c>
      <c r="AK204" s="188" t="str">
        <f t="array" ref="AK204">IFERROR(INDEX($AH$10:$AH$258, MATCH(0, IF(TRUE=$AF$10:$AF$258, COUNTIF($AK$9:$AK203, $AH$10:$AH$258), ""), 0)),"")</f>
        <v/>
      </c>
    </row>
    <row r="205" spans="2:37" ht="13.8" x14ac:dyDescent="0.25">
      <c r="B205" s="168">
        <v>196</v>
      </c>
      <c r="C205" s="275"/>
      <c r="D205" s="275"/>
      <c r="E205" s="185"/>
      <c r="F205" s="171" t="str">
        <f>IF(D205="","",VLOOKUP(D205,'G-6 Hedgerow Data'!$B$2:$AG$15,2,FALSE))</f>
        <v/>
      </c>
      <c r="G205" s="172" t="str">
        <f>IF(D205="","",VLOOKUP(D205,'G-6 Hedgerow Data'!$B$2:$AG$15,3,FALSE))</f>
        <v/>
      </c>
      <c r="H205" s="173"/>
      <c r="I205" s="172" t="str">
        <f>IFERROR(IF(AND(F205="V.Low",OR(H205="Good",H205="Moderate")),"Error",VLOOKUP(H205,'G-1 All Habitats'!$Z$2:$AA$9,2,FALSE)),"")</f>
        <v/>
      </c>
      <c r="J205" s="186"/>
      <c r="K205" s="175" t="str">
        <f>IF(J205="","",IF(VLOOKUP(J205,'G-3 Multipliers'!$L$3:$N$6,2,FALSE)=0,"Spatial Data Missing",VLOOKUP(J205,'G-3 Multipliers'!$L$3:$N$6,2,FALSE)))</f>
        <v/>
      </c>
      <c r="L205" s="176" t="str">
        <f>IF(J205="","",IF(VLOOKUP(J205,'G-3 Multipliers'!$L$3:$N$6,3,FALSE)=0,"Spatial Data Missing",VLOOKUP(J205,'G-3 Multipliers'!$L$3:$N$6,3,FALSE)))</f>
        <v/>
      </c>
      <c r="M205" s="177" t="str">
        <f>IF(D205="","",VLOOKUP(D205,'G-6 Hedgerow Data'!$B$1:$AH$15,33,FALSE))</f>
        <v/>
      </c>
      <c r="N205" s="207" t="str">
        <f t="shared" si="23"/>
        <v/>
      </c>
      <c r="O205" s="44"/>
      <c r="P205" s="173"/>
      <c r="Q205" s="189"/>
      <c r="R205" s="179" t="str">
        <f t="shared" si="24"/>
        <v/>
      </c>
      <c r="S205" s="179" t="str">
        <f t="shared" si="25"/>
        <v/>
      </c>
      <c r="T205" s="208" t="str">
        <f t="shared" si="26"/>
        <v/>
      </c>
      <c r="U205" s="209" t="str">
        <f t="shared" si="27"/>
        <v/>
      </c>
      <c r="V205" s="182"/>
      <c r="W205" s="183"/>
      <c r="AB205" s="35" t="str">
        <f>IFERROR(INDEX('G-6 Hedgerow Data'!$BJ$3:$BJ$15,MATCH(D205,'G-6 Hedgerow Data'!$B$3:$B$15,0)),"")</f>
        <v/>
      </c>
      <c r="AE205" s="188" t="str">
        <f t="shared" si="21"/>
        <v/>
      </c>
      <c r="AF205" s="188" t="str">
        <f t="shared" si="22"/>
        <v/>
      </c>
      <c r="AH205" s="188">
        <v>196</v>
      </c>
      <c r="AJ205" s="188" t="str">
        <f t="array" ref="AJ205">IFERROR(INDEX($AH$10:$AH$258, MATCH(0, IF(TRUE=$AE$10:$AE$258, COUNTIF($AJ$9:$AJ204, $AH$10:$AH$258), ""), 0)),"")</f>
        <v/>
      </c>
      <c r="AK205" s="188" t="str">
        <f t="array" ref="AK205">IFERROR(INDEX($AH$10:$AH$258, MATCH(0, IF(TRUE=$AF$10:$AF$258, COUNTIF($AK$9:$AK204, $AH$10:$AH$258), ""), 0)),"")</f>
        <v/>
      </c>
    </row>
    <row r="206" spans="2:37" ht="13.8" x14ac:dyDescent="0.25">
      <c r="B206" s="168">
        <v>197</v>
      </c>
      <c r="C206" s="275"/>
      <c r="D206" s="275"/>
      <c r="E206" s="185"/>
      <c r="F206" s="171" t="str">
        <f>IF(D206="","",VLOOKUP(D206,'G-6 Hedgerow Data'!$B$2:$AG$15,2,FALSE))</f>
        <v/>
      </c>
      <c r="G206" s="172" t="str">
        <f>IF(D206="","",VLOOKUP(D206,'G-6 Hedgerow Data'!$B$2:$AG$15,3,FALSE))</f>
        <v/>
      </c>
      <c r="H206" s="173"/>
      <c r="I206" s="172" t="str">
        <f>IFERROR(IF(AND(F206="V.Low",OR(H206="Good",H206="Moderate")),"Error",VLOOKUP(H206,'G-1 All Habitats'!$Z$2:$AA$9,2,FALSE)),"")</f>
        <v/>
      </c>
      <c r="J206" s="186"/>
      <c r="K206" s="175" t="str">
        <f>IF(J206="","",IF(VLOOKUP(J206,'G-3 Multipliers'!$L$3:$N$6,2,FALSE)=0,"Spatial Data Missing",VLOOKUP(J206,'G-3 Multipliers'!$L$3:$N$6,2,FALSE)))</f>
        <v/>
      </c>
      <c r="L206" s="176" t="str">
        <f>IF(J206="","",IF(VLOOKUP(J206,'G-3 Multipliers'!$L$3:$N$6,3,FALSE)=0,"Spatial Data Missing",VLOOKUP(J206,'G-3 Multipliers'!$L$3:$N$6,3,FALSE)))</f>
        <v/>
      </c>
      <c r="M206" s="177" t="str">
        <f>IF(D206="","",VLOOKUP(D206,'G-6 Hedgerow Data'!$B$1:$AH$15,33,FALSE))</f>
        <v/>
      </c>
      <c r="N206" s="207" t="str">
        <f t="shared" si="23"/>
        <v/>
      </c>
      <c r="O206" s="44"/>
      <c r="P206" s="173"/>
      <c r="Q206" s="189"/>
      <c r="R206" s="179" t="str">
        <f t="shared" si="24"/>
        <v/>
      </c>
      <c r="S206" s="179" t="str">
        <f t="shared" si="25"/>
        <v/>
      </c>
      <c r="T206" s="208" t="str">
        <f t="shared" si="26"/>
        <v/>
      </c>
      <c r="U206" s="209" t="str">
        <f t="shared" si="27"/>
        <v/>
      </c>
      <c r="V206" s="182"/>
      <c r="W206" s="183"/>
      <c r="AB206" s="35" t="str">
        <f>IFERROR(INDEX('G-6 Hedgerow Data'!$BJ$3:$BJ$15,MATCH(D206,'G-6 Hedgerow Data'!$B$3:$B$15,0)),"")</f>
        <v/>
      </c>
      <c r="AE206" s="188" t="str">
        <f t="shared" si="21"/>
        <v/>
      </c>
      <c r="AF206" s="188" t="str">
        <f t="shared" si="22"/>
        <v/>
      </c>
      <c r="AH206" s="188">
        <v>197</v>
      </c>
      <c r="AJ206" s="188" t="str">
        <f t="array" ref="AJ206">IFERROR(INDEX($AH$10:$AH$258, MATCH(0, IF(TRUE=$AE$10:$AE$258, COUNTIF($AJ$9:$AJ205, $AH$10:$AH$258), ""), 0)),"")</f>
        <v/>
      </c>
      <c r="AK206" s="188" t="str">
        <f t="array" ref="AK206">IFERROR(INDEX($AH$10:$AH$258, MATCH(0, IF(TRUE=$AF$10:$AF$258, COUNTIF($AK$9:$AK205, $AH$10:$AH$258), ""), 0)),"")</f>
        <v/>
      </c>
    </row>
    <row r="207" spans="2:37" ht="13.8" x14ac:dyDescent="0.25">
      <c r="B207" s="168">
        <v>198</v>
      </c>
      <c r="C207" s="275"/>
      <c r="D207" s="275"/>
      <c r="E207" s="185"/>
      <c r="F207" s="171" t="str">
        <f>IF(D207="","",VLOOKUP(D207,'G-6 Hedgerow Data'!$B$2:$AG$15,2,FALSE))</f>
        <v/>
      </c>
      <c r="G207" s="172" t="str">
        <f>IF(D207="","",VLOOKUP(D207,'G-6 Hedgerow Data'!$B$2:$AG$15,3,FALSE))</f>
        <v/>
      </c>
      <c r="H207" s="173"/>
      <c r="I207" s="172" t="str">
        <f>IFERROR(IF(AND(F207="V.Low",OR(H207="Good",H207="Moderate")),"Error",VLOOKUP(H207,'G-1 All Habitats'!$Z$2:$AA$9,2,FALSE)),"")</f>
        <v/>
      </c>
      <c r="J207" s="186"/>
      <c r="K207" s="175" t="str">
        <f>IF(J207="","",IF(VLOOKUP(J207,'G-3 Multipliers'!$L$3:$N$6,2,FALSE)=0,"Spatial Data Missing",VLOOKUP(J207,'G-3 Multipliers'!$L$3:$N$6,2,FALSE)))</f>
        <v/>
      </c>
      <c r="L207" s="176" t="str">
        <f>IF(J207="","",IF(VLOOKUP(J207,'G-3 Multipliers'!$L$3:$N$6,3,FALSE)=0,"Spatial Data Missing",VLOOKUP(J207,'G-3 Multipliers'!$L$3:$N$6,3,FALSE)))</f>
        <v/>
      </c>
      <c r="M207" s="177" t="str">
        <f>IF(D207="","",VLOOKUP(D207,'G-6 Hedgerow Data'!$B$1:$AH$15,33,FALSE))</f>
        <v/>
      </c>
      <c r="N207" s="207" t="str">
        <f t="shared" si="23"/>
        <v/>
      </c>
      <c r="O207" s="44"/>
      <c r="P207" s="173"/>
      <c r="Q207" s="189"/>
      <c r="R207" s="179" t="str">
        <f t="shared" si="24"/>
        <v/>
      </c>
      <c r="S207" s="179" t="str">
        <f t="shared" si="25"/>
        <v/>
      </c>
      <c r="T207" s="208" t="str">
        <f t="shared" si="26"/>
        <v/>
      </c>
      <c r="U207" s="209" t="str">
        <f t="shared" si="27"/>
        <v/>
      </c>
      <c r="V207" s="182"/>
      <c r="W207" s="183"/>
      <c r="AB207" s="35" t="str">
        <f>IFERROR(INDEX('G-6 Hedgerow Data'!$BJ$3:$BJ$15,MATCH(D207,'G-6 Hedgerow Data'!$B$3:$B$15,0)),"")</f>
        <v/>
      </c>
      <c r="AE207" s="188" t="str">
        <f t="shared" si="21"/>
        <v/>
      </c>
      <c r="AF207" s="188" t="str">
        <f t="shared" si="22"/>
        <v/>
      </c>
      <c r="AH207" s="188">
        <v>198</v>
      </c>
      <c r="AJ207" s="188" t="str">
        <f t="array" ref="AJ207">IFERROR(INDEX($AH$10:$AH$258, MATCH(0, IF(TRUE=$AE$10:$AE$258, COUNTIF($AJ$9:$AJ206, $AH$10:$AH$258), ""), 0)),"")</f>
        <v/>
      </c>
      <c r="AK207" s="188" t="str">
        <f t="array" ref="AK207">IFERROR(INDEX($AH$10:$AH$258, MATCH(0, IF(TRUE=$AF$10:$AF$258, COUNTIF($AK$9:$AK206, $AH$10:$AH$258), ""), 0)),"")</f>
        <v/>
      </c>
    </row>
    <row r="208" spans="2:37" ht="13.8" x14ac:dyDescent="0.25">
      <c r="B208" s="168">
        <v>199</v>
      </c>
      <c r="C208" s="275"/>
      <c r="D208" s="275"/>
      <c r="E208" s="185"/>
      <c r="F208" s="171" t="str">
        <f>IF(D208="","",VLOOKUP(D208,'G-6 Hedgerow Data'!$B$2:$AG$15,2,FALSE))</f>
        <v/>
      </c>
      <c r="G208" s="172" t="str">
        <f>IF(D208="","",VLOOKUP(D208,'G-6 Hedgerow Data'!$B$2:$AG$15,3,FALSE))</f>
        <v/>
      </c>
      <c r="H208" s="173"/>
      <c r="I208" s="172" t="str">
        <f>IFERROR(IF(AND(F208="V.Low",OR(H208="Good",H208="Moderate")),"Error",VLOOKUP(H208,'G-1 All Habitats'!$Z$2:$AA$9,2,FALSE)),"")</f>
        <v/>
      </c>
      <c r="J208" s="186"/>
      <c r="K208" s="175" t="str">
        <f>IF(J208="","",IF(VLOOKUP(J208,'G-3 Multipliers'!$L$3:$N$6,2,FALSE)=0,"Spatial Data Missing",VLOOKUP(J208,'G-3 Multipliers'!$L$3:$N$6,2,FALSE)))</f>
        <v/>
      </c>
      <c r="L208" s="176" t="str">
        <f>IF(J208="","",IF(VLOOKUP(J208,'G-3 Multipliers'!$L$3:$N$6,3,FALSE)=0,"Spatial Data Missing",VLOOKUP(J208,'G-3 Multipliers'!$L$3:$N$6,3,FALSE)))</f>
        <v/>
      </c>
      <c r="M208" s="177" t="str">
        <f>IF(D208="","",VLOOKUP(D208,'G-6 Hedgerow Data'!$B$1:$AH$15,33,FALSE))</f>
        <v/>
      </c>
      <c r="N208" s="207" t="str">
        <f t="shared" si="23"/>
        <v/>
      </c>
      <c r="O208" s="44"/>
      <c r="P208" s="173"/>
      <c r="Q208" s="189"/>
      <c r="R208" s="179" t="str">
        <f t="shared" si="24"/>
        <v/>
      </c>
      <c r="S208" s="179" t="str">
        <f t="shared" si="25"/>
        <v/>
      </c>
      <c r="T208" s="208" t="str">
        <f t="shared" si="26"/>
        <v/>
      </c>
      <c r="U208" s="209" t="str">
        <f t="shared" si="27"/>
        <v/>
      </c>
      <c r="V208" s="182"/>
      <c r="W208" s="183"/>
      <c r="AB208" s="35" t="str">
        <f>IFERROR(INDEX('G-6 Hedgerow Data'!$BJ$3:$BJ$15,MATCH(D208,'G-6 Hedgerow Data'!$B$3:$B$15,0)),"")</f>
        <v/>
      </c>
      <c r="AE208" s="188" t="str">
        <f t="shared" si="21"/>
        <v/>
      </c>
      <c r="AF208" s="188" t="str">
        <f t="shared" si="22"/>
        <v/>
      </c>
      <c r="AH208" s="188">
        <v>199</v>
      </c>
      <c r="AJ208" s="188" t="str">
        <f t="array" ref="AJ208">IFERROR(INDEX($AH$10:$AH$258, MATCH(0, IF(TRUE=$AE$10:$AE$258, COUNTIF($AJ$9:$AJ207, $AH$10:$AH$258), ""), 0)),"")</f>
        <v/>
      </c>
      <c r="AK208" s="188" t="str">
        <f t="array" ref="AK208">IFERROR(INDEX($AH$10:$AH$258, MATCH(0, IF(TRUE=$AF$10:$AF$258, COUNTIF($AK$9:$AK207, $AH$10:$AH$258), ""), 0)),"")</f>
        <v/>
      </c>
    </row>
    <row r="209" spans="2:37" ht="13.8" x14ac:dyDescent="0.25">
      <c r="B209" s="168">
        <v>200</v>
      </c>
      <c r="C209" s="275"/>
      <c r="D209" s="275"/>
      <c r="E209" s="185"/>
      <c r="F209" s="171" t="str">
        <f>IF(D209="","",VLOOKUP(D209,'G-6 Hedgerow Data'!$B$2:$AG$15,2,FALSE))</f>
        <v/>
      </c>
      <c r="G209" s="172" t="str">
        <f>IF(D209="","",VLOOKUP(D209,'G-6 Hedgerow Data'!$B$2:$AG$15,3,FALSE))</f>
        <v/>
      </c>
      <c r="H209" s="173"/>
      <c r="I209" s="172" t="str">
        <f>IFERROR(IF(AND(F209="V.Low",OR(H209="Good",H209="Moderate")),"Error",VLOOKUP(H209,'G-1 All Habitats'!$Z$2:$AA$9,2,FALSE)),"")</f>
        <v/>
      </c>
      <c r="J209" s="186"/>
      <c r="K209" s="175" t="str">
        <f>IF(J209="","",IF(VLOOKUP(J209,'G-3 Multipliers'!$L$3:$N$6,2,FALSE)=0,"Spatial Data Missing",VLOOKUP(J209,'G-3 Multipliers'!$L$3:$N$6,2,FALSE)))</f>
        <v/>
      </c>
      <c r="L209" s="176" t="str">
        <f>IF(J209="","",IF(VLOOKUP(J209,'G-3 Multipliers'!$L$3:$N$6,3,FALSE)=0,"Spatial Data Missing",VLOOKUP(J209,'G-3 Multipliers'!$L$3:$N$6,3,FALSE)))</f>
        <v/>
      </c>
      <c r="M209" s="177" t="str">
        <f>IF(D209="","",VLOOKUP(D209,'G-6 Hedgerow Data'!$B$1:$AH$15,33,FALSE))</f>
        <v/>
      </c>
      <c r="N209" s="207" t="str">
        <f t="shared" si="23"/>
        <v/>
      </c>
      <c r="O209" s="44"/>
      <c r="P209" s="173"/>
      <c r="Q209" s="189"/>
      <c r="R209" s="179" t="str">
        <f t="shared" si="24"/>
        <v/>
      </c>
      <c r="S209" s="179" t="str">
        <f t="shared" si="25"/>
        <v/>
      </c>
      <c r="T209" s="208" t="str">
        <f t="shared" si="26"/>
        <v/>
      </c>
      <c r="U209" s="209" t="str">
        <f t="shared" si="27"/>
        <v/>
      </c>
      <c r="V209" s="182"/>
      <c r="W209" s="183"/>
      <c r="AB209" s="35" t="str">
        <f>IFERROR(INDEX('G-6 Hedgerow Data'!$BJ$3:$BJ$15,MATCH(D209,'G-6 Hedgerow Data'!$B$3:$B$15,0)),"")</f>
        <v/>
      </c>
      <c r="AE209" s="188" t="str">
        <f t="shared" si="21"/>
        <v/>
      </c>
      <c r="AF209" s="188" t="str">
        <f t="shared" si="22"/>
        <v/>
      </c>
      <c r="AH209" s="188">
        <v>200</v>
      </c>
      <c r="AJ209" s="188" t="str">
        <f t="array" ref="AJ209">IFERROR(INDEX($AH$10:$AH$258, MATCH(0, IF(TRUE=$AE$10:$AE$258, COUNTIF($AJ$9:$AJ208, $AH$10:$AH$258), ""), 0)),"")</f>
        <v/>
      </c>
      <c r="AK209" s="188" t="str">
        <f t="array" ref="AK209">IFERROR(INDEX($AH$10:$AH$258, MATCH(0, IF(TRUE=$AF$10:$AF$258, COUNTIF($AK$9:$AK208, $AH$10:$AH$258), ""), 0)),"")</f>
        <v/>
      </c>
    </row>
    <row r="210" spans="2:37" ht="13.8" x14ac:dyDescent="0.25">
      <c r="B210" s="168">
        <v>201</v>
      </c>
      <c r="C210" s="275"/>
      <c r="D210" s="275"/>
      <c r="E210" s="185"/>
      <c r="F210" s="171" t="str">
        <f>IF(D210="","",VLOOKUP(D210,'G-6 Hedgerow Data'!$B$2:$AG$15,2,FALSE))</f>
        <v/>
      </c>
      <c r="G210" s="172" t="str">
        <f>IF(D210="","",VLOOKUP(D210,'G-6 Hedgerow Data'!$B$2:$AG$15,3,FALSE))</f>
        <v/>
      </c>
      <c r="H210" s="173"/>
      <c r="I210" s="172" t="str">
        <f>IFERROR(IF(AND(F210="V.Low",OR(H210="Good",H210="Moderate")),"Error",VLOOKUP(H210,'G-1 All Habitats'!$Z$2:$AA$9,2,FALSE)),"")</f>
        <v/>
      </c>
      <c r="J210" s="186"/>
      <c r="K210" s="175" t="str">
        <f>IF(J210="","",IF(VLOOKUP(J210,'G-3 Multipliers'!$L$3:$N$6,2,FALSE)=0,"Spatial Data Missing",VLOOKUP(J210,'G-3 Multipliers'!$L$3:$N$6,2,FALSE)))</f>
        <v/>
      </c>
      <c r="L210" s="176" t="str">
        <f>IF(J210="","",IF(VLOOKUP(J210,'G-3 Multipliers'!$L$3:$N$6,3,FALSE)=0,"Spatial Data Missing",VLOOKUP(J210,'G-3 Multipliers'!$L$3:$N$6,3,FALSE)))</f>
        <v/>
      </c>
      <c r="M210" s="177" t="str">
        <f>IF(D210="","",VLOOKUP(D210,'G-6 Hedgerow Data'!$B$1:$AH$15,33,FALSE))</f>
        <v/>
      </c>
      <c r="N210" s="207" t="str">
        <f t="shared" si="23"/>
        <v/>
      </c>
      <c r="O210" s="44"/>
      <c r="P210" s="173"/>
      <c r="Q210" s="189"/>
      <c r="R210" s="179" t="str">
        <f t="shared" si="24"/>
        <v/>
      </c>
      <c r="S210" s="179" t="str">
        <f t="shared" si="25"/>
        <v/>
      </c>
      <c r="T210" s="208" t="str">
        <f t="shared" si="26"/>
        <v/>
      </c>
      <c r="U210" s="209" t="str">
        <f t="shared" si="27"/>
        <v/>
      </c>
      <c r="V210" s="182"/>
      <c r="W210" s="183"/>
      <c r="AB210" s="35" t="str">
        <f>IFERROR(INDEX('G-6 Hedgerow Data'!$BJ$3:$BJ$15,MATCH(D210,'G-6 Hedgerow Data'!$B$3:$B$15,0)),"")</f>
        <v/>
      </c>
      <c r="AE210" s="188" t="str">
        <f t="shared" si="21"/>
        <v/>
      </c>
      <c r="AF210" s="188" t="str">
        <f t="shared" si="22"/>
        <v/>
      </c>
      <c r="AH210" s="188">
        <v>201</v>
      </c>
      <c r="AJ210" s="188" t="str">
        <f t="array" ref="AJ210">IFERROR(INDEX($AH$10:$AH$258, MATCH(0, IF(TRUE=$AE$10:$AE$258, COUNTIF($AJ$9:$AJ209, $AH$10:$AH$258), ""), 0)),"")</f>
        <v/>
      </c>
      <c r="AK210" s="188" t="str">
        <f t="array" ref="AK210">IFERROR(INDEX($AH$10:$AH$258, MATCH(0, IF(TRUE=$AF$10:$AF$258, COUNTIF($AK$9:$AK209, $AH$10:$AH$258), ""), 0)),"")</f>
        <v/>
      </c>
    </row>
    <row r="211" spans="2:37" ht="13.8" x14ac:dyDescent="0.25">
      <c r="B211" s="168">
        <v>202</v>
      </c>
      <c r="C211" s="275"/>
      <c r="D211" s="275"/>
      <c r="E211" s="185"/>
      <c r="F211" s="171" t="str">
        <f>IF(D211="","",VLOOKUP(D211,'G-6 Hedgerow Data'!$B$2:$AG$15,2,FALSE))</f>
        <v/>
      </c>
      <c r="G211" s="172" t="str">
        <f>IF(D211="","",VLOOKUP(D211,'G-6 Hedgerow Data'!$B$2:$AG$15,3,FALSE))</f>
        <v/>
      </c>
      <c r="H211" s="173"/>
      <c r="I211" s="172" t="str">
        <f>IFERROR(IF(AND(F211="V.Low",OR(H211="Good",H211="Moderate")),"Error",VLOOKUP(H211,'G-1 All Habitats'!$Z$2:$AA$9,2,FALSE)),"")</f>
        <v/>
      </c>
      <c r="J211" s="186"/>
      <c r="K211" s="175" t="str">
        <f>IF(J211="","",IF(VLOOKUP(J211,'G-3 Multipliers'!$L$3:$N$6,2,FALSE)=0,"Spatial Data Missing",VLOOKUP(J211,'G-3 Multipliers'!$L$3:$N$6,2,FALSE)))</f>
        <v/>
      </c>
      <c r="L211" s="176" t="str">
        <f>IF(J211="","",IF(VLOOKUP(J211,'G-3 Multipliers'!$L$3:$N$6,3,FALSE)=0,"Spatial Data Missing",VLOOKUP(J211,'G-3 Multipliers'!$L$3:$N$6,3,FALSE)))</f>
        <v/>
      </c>
      <c r="M211" s="177" t="str">
        <f>IF(D211="","",VLOOKUP(D211,'G-6 Hedgerow Data'!$B$1:$AH$15,33,FALSE))</f>
        <v/>
      </c>
      <c r="N211" s="207" t="str">
        <f t="shared" si="23"/>
        <v/>
      </c>
      <c r="O211" s="44"/>
      <c r="P211" s="173"/>
      <c r="Q211" s="189"/>
      <c r="R211" s="179" t="str">
        <f t="shared" si="24"/>
        <v/>
      </c>
      <c r="S211" s="179" t="str">
        <f t="shared" si="25"/>
        <v/>
      </c>
      <c r="T211" s="208" t="str">
        <f t="shared" si="26"/>
        <v/>
      </c>
      <c r="U211" s="209" t="str">
        <f t="shared" si="27"/>
        <v/>
      </c>
      <c r="V211" s="182"/>
      <c r="W211" s="183"/>
      <c r="AB211" s="35" t="str">
        <f>IFERROR(INDEX('G-6 Hedgerow Data'!$BJ$3:$BJ$15,MATCH(D211,'G-6 Hedgerow Data'!$B$3:$B$15,0)),"")</f>
        <v/>
      </c>
      <c r="AE211" s="188" t="str">
        <f t="shared" si="21"/>
        <v/>
      </c>
      <c r="AF211" s="188" t="str">
        <f t="shared" si="22"/>
        <v/>
      </c>
      <c r="AH211" s="188">
        <v>202</v>
      </c>
      <c r="AJ211" s="188" t="str">
        <f t="array" ref="AJ211">IFERROR(INDEX($AH$10:$AH$258, MATCH(0, IF(TRUE=$AE$10:$AE$258, COUNTIF($AJ$9:$AJ210, $AH$10:$AH$258), ""), 0)),"")</f>
        <v/>
      </c>
      <c r="AK211" s="188" t="str">
        <f t="array" ref="AK211">IFERROR(INDEX($AH$10:$AH$258, MATCH(0, IF(TRUE=$AF$10:$AF$258, COUNTIF($AK$9:$AK210, $AH$10:$AH$258), ""), 0)),"")</f>
        <v/>
      </c>
    </row>
    <row r="212" spans="2:37" ht="13.8" x14ac:dyDescent="0.25">
      <c r="B212" s="168">
        <v>203</v>
      </c>
      <c r="C212" s="275"/>
      <c r="D212" s="275"/>
      <c r="E212" s="185"/>
      <c r="F212" s="171" t="str">
        <f>IF(D212="","",VLOOKUP(D212,'G-6 Hedgerow Data'!$B$2:$AG$15,2,FALSE))</f>
        <v/>
      </c>
      <c r="G212" s="172" t="str">
        <f>IF(D212="","",VLOOKUP(D212,'G-6 Hedgerow Data'!$B$2:$AG$15,3,FALSE))</f>
        <v/>
      </c>
      <c r="H212" s="173"/>
      <c r="I212" s="172" t="str">
        <f>IFERROR(IF(AND(F212="V.Low",OR(H212="Good",H212="Moderate")),"Error",VLOOKUP(H212,'G-1 All Habitats'!$Z$2:$AA$9,2,FALSE)),"")</f>
        <v/>
      </c>
      <c r="J212" s="186"/>
      <c r="K212" s="175" t="str">
        <f>IF(J212="","",IF(VLOOKUP(J212,'G-3 Multipliers'!$L$3:$N$6,2,FALSE)=0,"Spatial Data Missing",VLOOKUP(J212,'G-3 Multipliers'!$L$3:$N$6,2,FALSE)))</f>
        <v/>
      </c>
      <c r="L212" s="176" t="str">
        <f>IF(J212="","",IF(VLOOKUP(J212,'G-3 Multipliers'!$L$3:$N$6,3,FALSE)=0,"Spatial Data Missing",VLOOKUP(J212,'G-3 Multipliers'!$L$3:$N$6,3,FALSE)))</f>
        <v/>
      </c>
      <c r="M212" s="177" t="str">
        <f>IF(D212="","",VLOOKUP(D212,'G-6 Hedgerow Data'!$B$1:$AH$15,33,FALSE))</f>
        <v/>
      </c>
      <c r="N212" s="207" t="str">
        <f t="shared" si="23"/>
        <v/>
      </c>
      <c r="O212" s="44"/>
      <c r="P212" s="173"/>
      <c r="Q212" s="189"/>
      <c r="R212" s="179" t="str">
        <f t="shared" si="24"/>
        <v/>
      </c>
      <c r="S212" s="179" t="str">
        <f t="shared" si="25"/>
        <v/>
      </c>
      <c r="T212" s="208" t="str">
        <f t="shared" si="26"/>
        <v/>
      </c>
      <c r="U212" s="209" t="str">
        <f t="shared" si="27"/>
        <v/>
      </c>
      <c r="V212" s="182"/>
      <c r="W212" s="183"/>
      <c r="AB212" s="35" t="str">
        <f>IFERROR(INDEX('G-6 Hedgerow Data'!$BJ$3:$BJ$15,MATCH(D212,'G-6 Hedgerow Data'!$B$3:$B$15,0)),"")</f>
        <v/>
      </c>
      <c r="AE212" s="188" t="str">
        <f t="shared" si="21"/>
        <v/>
      </c>
      <c r="AF212" s="188" t="str">
        <f t="shared" si="22"/>
        <v/>
      </c>
      <c r="AH212" s="188">
        <v>203</v>
      </c>
      <c r="AJ212" s="188" t="str">
        <f t="array" ref="AJ212">IFERROR(INDEX($AH$10:$AH$258, MATCH(0, IF(TRUE=$AE$10:$AE$258, COUNTIF($AJ$9:$AJ211, $AH$10:$AH$258), ""), 0)),"")</f>
        <v/>
      </c>
      <c r="AK212" s="188" t="str">
        <f t="array" ref="AK212">IFERROR(INDEX($AH$10:$AH$258, MATCH(0, IF(TRUE=$AF$10:$AF$258, COUNTIF($AK$9:$AK211, $AH$10:$AH$258), ""), 0)),"")</f>
        <v/>
      </c>
    </row>
    <row r="213" spans="2:37" ht="13.8" x14ac:dyDescent="0.25">
      <c r="B213" s="168">
        <v>204</v>
      </c>
      <c r="C213" s="275"/>
      <c r="D213" s="275"/>
      <c r="E213" s="185"/>
      <c r="F213" s="171" t="str">
        <f>IF(D213="","",VLOOKUP(D213,'G-6 Hedgerow Data'!$B$2:$AG$15,2,FALSE))</f>
        <v/>
      </c>
      <c r="G213" s="172" t="str">
        <f>IF(D213="","",VLOOKUP(D213,'G-6 Hedgerow Data'!$B$2:$AG$15,3,FALSE))</f>
        <v/>
      </c>
      <c r="H213" s="173"/>
      <c r="I213" s="172" t="str">
        <f>IFERROR(IF(AND(F213="V.Low",OR(H213="Good",H213="Moderate")),"Error",VLOOKUP(H213,'G-1 All Habitats'!$Z$2:$AA$9,2,FALSE)),"")</f>
        <v/>
      </c>
      <c r="J213" s="186"/>
      <c r="K213" s="175" t="str">
        <f>IF(J213="","",IF(VLOOKUP(J213,'G-3 Multipliers'!$L$3:$N$6,2,FALSE)=0,"Spatial Data Missing",VLOOKUP(J213,'G-3 Multipliers'!$L$3:$N$6,2,FALSE)))</f>
        <v/>
      </c>
      <c r="L213" s="176" t="str">
        <f>IF(J213="","",IF(VLOOKUP(J213,'G-3 Multipliers'!$L$3:$N$6,3,FALSE)=0,"Spatial Data Missing",VLOOKUP(J213,'G-3 Multipliers'!$L$3:$N$6,3,FALSE)))</f>
        <v/>
      </c>
      <c r="M213" s="177" t="str">
        <f>IF(D213="","",VLOOKUP(D213,'G-6 Hedgerow Data'!$B$1:$AH$15,33,FALSE))</f>
        <v/>
      </c>
      <c r="N213" s="207" t="str">
        <f t="shared" si="23"/>
        <v/>
      </c>
      <c r="O213" s="44"/>
      <c r="P213" s="173"/>
      <c r="Q213" s="189"/>
      <c r="R213" s="179" t="str">
        <f t="shared" si="24"/>
        <v/>
      </c>
      <c r="S213" s="179" t="str">
        <f t="shared" si="25"/>
        <v/>
      </c>
      <c r="T213" s="208" t="str">
        <f t="shared" si="26"/>
        <v/>
      </c>
      <c r="U213" s="209" t="str">
        <f t="shared" si="27"/>
        <v/>
      </c>
      <c r="V213" s="182"/>
      <c r="W213" s="183"/>
      <c r="AB213" s="35" t="str">
        <f>IFERROR(INDEX('G-6 Hedgerow Data'!$BJ$3:$BJ$15,MATCH(D213,'G-6 Hedgerow Data'!$B$3:$B$15,0)),"")</f>
        <v/>
      </c>
      <c r="AE213" s="188" t="str">
        <f t="shared" si="21"/>
        <v/>
      </c>
      <c r="AF213" s="188" t="str">
        <f t="shared" si="22"/>
        <v/>
      </c>
      <c r="AH213" s="188">
        <v>204</v>
      </c>
      <c r="AJ213" s="188" t="str">
        <f t="array" ref="AJ213">IFERROR(INDEX($AH$10:$AH$258, MATCH(0, IF(TRUE=$AE$10:$AE$258, COUNTIF($AJ$9:$AJ212, $AH$10:$AH$258), ""), 0)),"")</f>
        <v/>
      </c>
      <c r="AK213" s="188" t="str">
        <f t="array" ref="AK213">IFERROR(INDEX($AH$10:$AH$258, MATCH(0, IF(TRUE=$AF$10:$AF$258, COUNTIF($AK$9:$AK212, $AH$10:$AH$258), ""), 0)),"")</f>
        <v/>
      </c>
    </row>
    <row r="214" spans="2:37" ht="13.8" x14ac:dyDescent="0.25">
      <c r="B214" s="168">
        <v>205</v>
      </c>
      <c r="C214" s="275"/>
      <c r="D214" s="275"/>
      <c r="E214" s="185"/>
      <c r="F214" s="171" t="str">
        <f>IF(D214="","",VLOOKUP(D214,'G-6 Hedgerow Data'!$B$2:$AG$15,2,FALSE))</f>
        <v/>
      </c>
      <c r="G214" s="172" t="str">
        <f>IF(D214="","",VLOOKUP(D214,'G-6 Hedgerow Data'!$B$2:$AG$15,3,FALSE))</f>
        <v/>
      </c>
      <c r="H214" s="173"/>
      <c r="I214" s="172" t="str">
        <f>IFERROR(IF(AND(F214="V.Low",OR(H214="Good",H214="Moderate")),"Error",VLOOKUP(H214,'G-1 All Habitats'!$Z$2:$AA$9,2,FALSE)),"")</f>
        <v/>
      </c>
      <c r="J214" s="186"/>
      <c r="K214" s="175" t="str">
        <f>IF(J214="","",IF(VLOOKUP(J214,'G-3 Multipliers'!$L$3:$N$6,2,FALSE)=0,"Spatial Data Missing",VLOOKUP(J214,'G-3 Multipliers'!$L$3:$N$6,2,FALSE)))</f>
        <v/>
      </c>
      <c r="L214" s="176" t="str">
        <f>IF(J214="","",IF(VLOOKUP(J214,'G-3 Multipliers'!$L$3:$N$6,3,FALSE)=0,"Spatial Data Missing",VLOOKUP(J214,'G-3 Multipliers'!$L$3:$N$6,3,FALSE)))</f>
        <v/>
      </c>
      <c r="M214" s="177" t="str">
        <f>IF(D214="","",VLOOKUP(D214,'G-6 Hedgerow Data'!$B$1:$AH$15,33,FALSE))</f>
        <v/>
      </c>
      <c r="N214" s="207" t="str">
        <f t="shared" si="23"/>
        <v/>
      </c>
      <c r="O214" s="44"/>
      <c r="P214" s="173"/>
      <c r="Q214" s="189"/>
      <c r="R214" s="179" t="str">
        <f t="shared" si="24"/>
        <v/>
      </c>
      <c r="S214" s="179" t="str">
        <f t="shared" si="25"/>
        <v/>
      </c>
      <c r="T214" s="208" t="str">
        <f t="shared" si="26"/>
        <v/>
      </c>
      <c r="U214" s="209" t="str">
        <f t="shared" si="27"/>
        <v/>
      </c>
      <c r="V214" s="182"/>
      <c r="W214" s="183"/>
      <c r="AB214" s="35" t="str">
        <f>IFERROR(INDEX('G-6 Hedgerow Data'!$BJ$3:$BJ$15,MATCH(D214,'G-6 Hedgerow Data'!$B$3:$B$15,0)),"")</f>
        <v/>
      </c>
      <c r="AE214" s="188" t="str">
        <f t="shared" si="21"/>
        <v/>
      </c>
      <c r="AF214" s="188" t="str">
        <f t="shared" si="22"/>
        <v/>
      </c>
      <c r="AH214" s="188">
        <v>205</v>
      </c>
      <c r="AJ214" s="188" t="str">
        <f t="array" ref="AJ214">IFERROR(INDEX($AH$10:$AH$258, MATCH(0, IF(TRUE=$AE$10:$AE$258, COUNTIF($AJ$9:$AJ213, $AH$10:$AH$258), ""), 0)),"")</f>
        <v/>
      </c>
      <c r="AK214" s="188" t="str">
        <f t="array" ref="AK214">IFERROR(INDEX($AH$10:$AH$258, MATCH(0, IF(TRUE=$AF$10:$AF$258, COUNTIF($AK$9:$AK213, $AH$10:$AH$258), ""), 0)),"")</f>
        <v/>
      </c>
    </row>
    <row r="215" spans="2:37" ht="13.8" x14ac:dyDescent="0.25">
      <c r="B215" s="168">
        <v>206</v>
      </c>
      <c r="C215" s="275"/>
      <c r="D215" s="275"/>
      <c r="E215" s="185"/>
      <c r="F215" s="171" t="str">
        <f>IF(D215="","",VLOOKUP(D215,'G-6 Hedgerow Data'!$B$2:$AG$15,2,FALSE))</f>
        <v/>
      </c>
      <c r="G215" s="172" t="str">
        <f>IF(D215="","",VLOOKUP(D215,'G-6 Hedgerow Data'!$B$2:$AG$15,3,FALSE))</f>
        <v/>
      </c>
      <c r="H215" s="173"/>
      <c r="I215" s="172" t="str">
        <f>IFERROR(IF(AND(F215="V.Low",OR(H215="Good",H215="Moderate")),"Error",VLOOKUP(H215,'G-1 All Habitats'!$Z$2:$AA$9,2,FALSE)),"")</f>
        <v/>
      </c>
      <c r="J215" s="186"/>
      <c r="K215" s="175" t="str">
        <f>IF(J215="","",IF(VLOOKUP(J215,'G-3 Multipliers'!$L$3:$N$6,2,FALSE)=0,"Spatial Data Missing",VLOOKUP(J215,'G-3 Multipliers'!$L$3:$N$6,2,FALSE)))</f>
        <v/>
      </c>
      <c r="L215" s="176" t="str">
        <f>IF(J215="","",IF(VLOOKUP(J215,'G-3 Multipliers'!$L$3:$N$6,3,FALSE)=0,"Spatial Data Missing",VLOOKUP(J215,'G-3 Multipliers'!$L$3:$N$6,3,FALSE)))</f>
        <v/>
      </c>
      <c r="M215" s="177" t="str">
        <f>IF(D215="","",VLOOKUP(D215,'G-6 Hedgerow Data'!$B$1:$AH$15,33,FALSE))</f>
        <v/>
      </c>
      <c r="N215" s="207" t="str">
        <f t="shared" si="23"/>
        <v/>
      </c>
      <c r="O215" s="44"/>
      <c r="P215" s="173"/>
      <c r="Q215" s="189"/>
      <c r="R215" s="179" t="str">
        <f t="shared" si="24"/>
        <v/>
      </c>
      <c r="S215" s="179" t="str">
        <f t="shared" si="25"/>
        <v/>
      </c>
      <c r="T215" s="208" t="str">
        <f t="shared" si="26"/>
        <v/>
      </c>
      <c r="U215" s="209" t="str">
        <f t="shared" si="27"/>
        <v/>
      </c>
      <c r="V215" s="182"/>
      <c r="W215" s="183"/>
      <c r="AB215" s="35" t="str">
        <f>IFERROR(INDEX('G-6 Hedgerow Data'!$BJ$3:$BJ$15,MATCH(D215,'G-6 Hedgerow Data'!$B$3:$B$15,0)),"")</f>
        <v/>
      </c>
      <c r="AE215" s="188" t="str">
        <f t="shared" si="21"/>
        <v/>
      </c>
      <c r="AF215" s="188" t="str">
        <f t="shared" si="22"/>
        <v/>
      </c>
      <c r="AH215" s="188">
        <v>206</v>
      </c>
      <c r="AJ215" s="188" t="str">
        <f t="array" ref="AJ215">IFERROR(INDEX($AH$10:$AH$258, MATCH(0, IF(TRUE=$AE$10:$AE$258, COUNTIF($AJ$9:$AJ214, $AH$10:$AH$258), ""), 0)),"")</f>
        <v/>
      </c>
      <c r="AK215" s="188" t="str">
        <f t="array" ref="AK215">IFERROR(INDEX($AH$10:$AH$258, MATCH(0, IF(TRUE=$AF$10:$AF$258, COUNTIF($AK$9:$AK214, $AH$10:$AH$258), ""), 0)),"")</f>
        <v/>
      </c>
    </row>
    <row r="216" spans="2:37" ht="13.8" x14ac:dyDescent="0.25">
      <c r="B216" s="168">
        <v>207</v>
      </c>
      <c r="C216" s="275"/>
      <c r="D216" s="275"/>
      <c r="E216" s="185"/>
      <c r="F216" s="171" t="str">
        <f>IF(D216="","",VLOOKUP(D216,'G-6 Hedgerow Data'!$B$2:$AG$15,2,FALSE))</f>
        <v/>
      </c>
      <c r="G216" s="172" t="str">
        <f>IF(D216="","",VLOOKUP(D216,'G-6 Hedgerow Data'!$B$2:$AG$15,3,FALSE))</f>
        <v/>
      </c>
      <c r="H216" s="173"/>
      <c r="I216" s="172" t="str">
        <f>IFERROR(IF(AND(F216="V.Low",OR(H216="Good",H216="Moderate")),"Error",VLOOKUP(H216,'G-1 All Habitats'!$Z$2:$AA$9,2,FALSE)),"")</f>
        <v/>
      </c>
      <c r="J216" s="186"/>
      <c r="K216" s="175" t="str">
        <f>IF(J216="","",IF(VLOOKUP(J216,'G-3 Multipliers'!$L$3:$N$6,2,FALSE)=0,"Spatial Data Missing",VLOOKUP(J216,'G-3 Multipliers'!$L$3:$N$6,2,FALSE)))</f>
        <v/>
      </c>
      <c r="L216" s="176" t="str">
        <f>IF(J216="","",IF(VLOOKUP(J216,'G-3 Multipliers'!$L$3:$N$6,3,FALSE)=0,"Spatial Data Missing",VLOOKUP(J216,'G-3 Multipliers'!$L$3:$N$6,3,FALSE)))</f>
        <v/>
      </c>
      <c r="M216" s="177" t="str">
        <f>IF(D216="","",VLOOKUP(D216,'G-6 Hedgerow Data'!$B$1:$AH$15,33,FALSE))</f>
        <v/>
      </c>
      <c r="N216" s="207" t="str">
        <f t="shared" si="23"/>
        <v/>
      </c>
      <c r="O216" s="44"/>
      <c r="P216" s="173"/>
      <c r="Q216" s="189"/>
      <c r="R216" s="179" t="str">
        <f t="shared" si="24"/>
        <v/>
      </c>
      <c r="S216" s="179" t="str">
        <f t="shared" si="25"/>
        <v/>
      </c>
      <c r="T216" s="208" t="str">
        <f t="shared" si="26"/>
        <v/>
      </c>
      <c r="U216" s="209" t="str">
        <f t="shared" si="27"/>
        <v/>
      </c>
      <c r="V216" s="182"/>
      <c r="W216" s="183"/>
      <c r="AB216" s="35" t="str">
        <f>IFERROR(INDEX('G-6 Hedgerow Data'!$BJ$3:$BJ$15,MATCH(D216,'G-6 Hedgerow Data'!$B$3:$B$15,0)),"")</f>
        <v/>
      </c>
      <c r="AE216" s="188" t="str">
        <f t="shared" si="21"/>
        <v/>
      </c>
      <c r="AF216" s="188" t="str">
        <f t="shared" si="22"/>
        <v/>
      </c>
      <c r="AH216" s="188">
        <v>207</v>
      </c>
      <c r="AJ216" s="188" t="str">
        <f t="array" ref="AJ216">IFERROR(INDEX($AH$10:$AH$258, MATCH(0, IF(TRUE=$AE$10:$AE$258, COUNTIF($AJ$9:$AJ215, $AH$10:$AH$258), ""), 0)),"")</f>
        <v/>
      </c>
      <c r="AK216" s="188" t="str">
        <f t="array" ref="AK216">IFERROR(INDEX($AH$10:$AH$258, MATCH(0, IF(TRUE=$AF$10:$AF$258, COUNTIF($AK$9:$AK215, $AH$10:$AH$258), ""), 0)),"")</f>
        <v/>
      </c>
    </row>
    <row r="217" spans="2:37" ht="13.8" x14ac:dyDescent="0.25">
      <c r="B217" s="168">
        <v>208</v>
      </c>
      <c r="C217" s="275"/>
      <c r="D217" s="275"/>
      <c r="E217" s="185"/>
      <c r="F217" s="171" t="str">
        <f>IF(D217="","",VLOOKUP(D217,'G-6 Hedgerow Data'!$B$2:$AG$15,2,FALSE))</f>
        <v/>
      </c>
      <c r="G217" s="172" t="str">
        <f>IF(D217="","",VLOOKUP(D217,'G-6 Hedgerow Data'!$B$2:$AG$15,3,FALSE))</f>
        <v/>
      </c>
      <c r="H217" s="173"/>
      <c r="I217" s="172" t="str">
        <f>IFERROR(IF(AND(F217="V.Low",OR(H217="Good",H217="Moderate")),"Error",VLOOKUP(H217,'G-1 All Habitats'!$Z$2:$AA$9,2,FALSE)),"")</f>
        <v/>
      </c>
      <c r="J217" s="186"/>
      <c r="K217" s="175" t="str">
        <f>IF(J217="","",IF(VLOOKUP(J217,'G-3 Multipliers'!$L$3:$N$6,2,FALSE)=0,"Spatial Data Missing",VLOOKUP(J217,'G-3 Multipliers'!$L$3:$N$6,2,FALSE)))</f>
        <v/>
      </c>
      <c r="L217" s="176" t="str">
        <f>IF(J217="","",IF(VLOOKUP(J217,'G-3 Multipliers'!$L$3:$N$6,3,FALSE)=0,"Spatial Data Missing",VLOOKUP(J217,'G-3 Multipliers'!$L$3:$N$6,3,FALSE)))</f>
        <v/>
      </c>
      <c r="M217" s="177" t="str">
        <f>IF(D217="","",VLOOKUP(D217,'G-6 Hedgerow Data'!$B$1:$AH$15,33,FALSE))</f>
        <v/>
      </c>
      <c r="N217" s="207" t="str">
        <f t="shared" si="23"/>
        <v/>
      </c>
      <c r="O217" s="44"/>
      <c r="P217" s="173"/>
      <c r="Q217" s="189"/>
      <c r="R217" s="179" t="str">
        <f t="shared" si="24"/>
        <v/>
      </c>
      <c r="S217" s="179" t="str">
        <f t="shared" si="25"/>
        <v/>
      </c>
      <c r="T217" s="208" t="str">
        <f t="shared" si="26"/>
        <v/>
      </c>
      <c r="U217" s="209" t="str">
        <f t="shared" si="27"/>
        <v/>
      </c>
      <c r="V217" s="182"/>
      <c r="W217" s="183"/>
      <c r="AB217" s="35" t="str">
        <f>IFERROR(INDEX('G-6 Hedgerow Data'!$BJ$3:$BJ$15,MATCH(D217,'G-6 Hedgerow Data'!$B$3:$B$15,0)),"")</f>
        <v/>
      </c>
      <c r="AE217" s="188" t="str">
        <f t="shared" si="21"/>
        <v/>
      </c>
      <c r="AF217" s="188" t="str">
        <f t="shared" si="22"/>
        <v/>
      </c>
      <c r="AH217" s="188">
        <v>208</v>
      </c>
      <c r="AJ217" s="188" t="str">
        <f t="array" ref="AJ217">IFERROR(INDEX($AH$10:$AH$258, MATCH(0, IF(TRUE=$AE$10:$AE$258, COUNTIF($AJ$9:$AJ216, $AH$10:$AH$258), ""), 0)),"")</f>
        <v/>
      </c>
      <c r="AK217" s="188" t="str">
        <f t="array" ref="AK217">IFERROR(INDEX($AH$10:$AH$258, MATCH(0, IF(TRUE=$AF$10:$AF$258, COUNTIF($AK$9:$AK216, $AH$10:$AH$258), ""), 0)),"")</f>
        <v/>
      </c>
    </row>
    <row r="218" spans="2:37" ht="13.8" x14ac:dyDescent="0.25">
      <c r="B218" s="168">
        <v>209</v>
      </c>
      <c r="C218" s="275"/>
      <c r="D218" s="275"/>
      <c r="E218" s="185"/>
      <c r="F218" s="171" t="str">
        <f>IF(D218="","",VLOOKUP(D218,'G-6 Hedgerow Data'!$B$2:$AG$15,2,FALSE))</f>
        <v/>
      </c>
      <c r="G218" s="172" t="str">
        <f>IF(D218="","",VLOOKUP(D218,'G-6 Hedgerow Data'!$B$2:$AG$15,3,FALSE))</f>
        <v/>
      </c>
      <c r="H218" s="173"/>
      <c r="I218" s="172" t="str">
        <f>IFERROR(IF(AND(F218="V.Low",OR(H218="Good",H218="Moderate")),"Error",VLOOKUP(H218,'G-1 All Habitats'!$Z$2:$AA$9,2,FALSE)),"")</f>
        <v/>
      </c>
      <c r="J218" s="186"/>
      <c r="K218" s="175" t="str">
        <f>IF(J218="","",IF(VLOOKUP(J218,'G-3 Multipliers'!$L$3:$N$6,2,FALSE)=0,"Spatial Data Missing",VLOOKUP(J218,'G-3 Multipliers'!$L$3:$N$6,2,FALSE)))</f>
        <v/>
      </c>
      <c r="L218" s="176" t="str">
        <f>IF(J218="","",IF(VLOOKUP(J218,'G-3 Multipliers'!$L$3:$N$6,3,FALSE)=0,"Spatial Data Missing",VLOOKUP(J218,'G-3 Multipliers'!$L$3:$N$6,3,FALSE)))</f>
        <v/>
      </c>
      <c r="M218" s="177" t="str">
        <f>IF(D218="","",VLOOKUP(D218,'G-6 Hedgerow Data'!$B$1:$AH$15,33,FALSE))</f>
        <v/>
      </c>
      <c r="N218" s="207" t="str">
        <f t="shared" si="23"/>
        <v/>
      </c>
      <c r="O218" s="44"/>
      <c r="P218" s="173"/>
      <c r="Q218" s="189"/>
      <c r="R218" s="179" t="str">
        <f t="shared" si="24"/>
        <v/>
      </c>
      <c r="S218" s="179" t="str">
        <f t="shared" si="25"/>
        <v/>
      </c>
      <c r="T218" s="208" t="str">
        <f t="shared" si="26"/>
        <v/>
      </c>
      <c r="U218" s="209" t="str">
        <f t="shared" si="27"/>
        <v/>
      </c>
      <c r="V218" s="182"/>
      <c r="W218" s="183"/>
      <c r="AB218" s="35" t="str">
        <f>IFERROR(INDEX('G-6 Hedgerow Data'!$BJ$3:$BJ$15,MATCH(D218,'G-6 Hedgerow Data'!$B$3:$B$15,0)),"")</f>
        <v/>
      </c>
      <c r="AE218" s="188" t="str">
        <f t="shared" si="21"/>
        <v/>
      </c>
      <c r="AF218" s="188" t="str">
        <f t="shared" si="22"/>
        <v/>
      </c>
      <c r="AH218" s="188">
        <v>209</v>
      </c>
      <c r="AJ218" s="188" t="str">
        <f t="array" ref="AJ218">IFERROR(INDEX($AH$10:$AH$258, MATCH(0, IF(TRUE=$AE$10:$AE$258, COUNTIF($AJ$9:$AJ217, $AH$10:$AH$258), ""), 0)),"")</f>
        <v/>
      </c>
      <c r="AK218" s="188" t="str">
        <f t="array" ref="AK218">IFERROR(INDEX($AH$10:$AH$258, MATCH(0, IF(TRUE=$AF$10:$AF$258, COUNTIF($AK$9:$AK217, $AH$10:$AH$258), ""), 0)),"")</f>
        <v/>
      </c>
    </row>
    <row r="219" spans="2:37" ht="13.8" x14ac:dyDescent="0.25">
      <c r="B219" s="168">
        <v>210</v>
      </c>
      <c r="C219" s="275"/>
      <c r="D219" s="275"/>
      <c r="E219" s="185"/>
      <c r="F219" s="171" t="str">
        <f>IF(D219="","",VLOOKUP(D219,'G-6 Hedgerow Data'!$B$2:$AG$15,2,FALSE))</f>
        <v/>
      </c>
      <c r="G219" s="172" t="str">
        <f>IF(D219="","",VLOOKUP(D219,'G-6 Hedgerow Data'!$B$2:$AG$15,3,FALSE))</f>
        <v/>
      </c>
      <c r="H219" s="173"/>
      <c r="I219" s="172" t="str">
        <f>IFERROR(IF(AND(F219="V.Low",OR(H219="Good",H219="Moderate")),"Error",VLOOKUP(H219,'G-1 All Habitats'!$Z$2:$AA$9,2,FALSE)),"")</f>
        <v/>
      </c>
      <c r="J219" s="186"/>
      <c r="K219" s="175" t="str">
        <f>IF(J219="","",IF(VLOOKUP(J219,'G-3 Multipliers'!$L$3:$N$6,2,FALSE)=0,"Spatial Data Missing",VLOOKUP(J219,'G-3 Multipliers'!$L$3:$N$6,2,FALSE)))</f>
        <v/>
      </c>
      <c r="L219" s="176" t="str">
        <f>IF(J219="","",IF(VLOOKUP(J219,'G-3 Multipliers'!$L$3:$N$6,3,FALSE)=0,"Spatial Data Missing",VLOOKUP(J219,'G-3 Multipliers'!$L$3:$N$6,3,FALSE)))</f>
        <v/>
      </c>
      <c r="M219" s="177" t="str">
        <f>IF(D219="","",VLOOKUP(D219,'G-6 Hedgerow Data'!$B$1:$AH$15,33,FALSE))</f>
        <v/>
      </c>
      <c r="N219" s="207" t="str">
        <f t="shared" si="23"/>
        <v/>
      </c>
      <c r="O219" s="44"/>
      <c r="P219" s="173"/>
      <c r="Q219" s="189"/>
      <c r="R219" s="179" t="str">
        <f t="shared" si="24"/>
        <v/>
      </c>
      <c r="S219" s="179" t="str">
        <f t="shared" si="25"/>
        <v/>
      </c>
      <c r="T219" s="208" t="str">
        <f t="shared" si="26"/>
        <v/>
      </c>
      <c r="U219" s="209" t="str">
        <f t="shared" si="27"/>
        <v/>
      </c>
      <c r="V219" s="182"/>
      <c r="W219" s="183"/>
      <c r="AB219" s="35" t="str">
        <f>IFERROR(INDEX('G-6 Hedgerow Data'!$BJ$3:$BJ$15,MATCH(D219,'G-6 Hedgerow Data'!$B$3:$B$15,0)),"")</f>
        <v/>
      </c>
      <c r="AE219" s="188" t="str">
        <f t="shared" si="21"/>
        <v/>
      </c>
      <c r="AF219" s="188" t="str">
        <f t="shared" si="22"/>
        <v/>
      </c>
      <c r="AH219" s="188">
        <v>210</v>
      </c>
      <c r="AJ219" s="188" t="str">
        <f t="array" ref="AJ219">IFERROR(INDEX($AH$10:$AH$258, MATCH(0, IF(TRUE=$AE$10:$AE$258, COUNTIF($AJ$9:$AJ218, $AH$10:$AH$258), ""), 0)),"")</f>
        <v/>
      </c>
      <c r="AK219" s="188" t="str">
        <f t="array" ref="AK219">IFERROR(INDEX($AH$10:$AH$258, MATCH(0, IF(TRUE=$AF$10:$AF$258, COUNTIF($AK$9:$AK218, $AH$10:$AH$258), ""), 0)),"")</f>
        <v/>
      </c>
    </row>
    <row r="220" spans="2:37" ht="13.8" x14ac:dyDescent="0.25">
      <c r="B220" s="168">
        <v>211</v>
      </c>
      <c r="C220" s="275"/>
      <c r="D220" s="275"/>
      <c r="E220" s="185"/>
      <c r="F220" s="171" t="str">
        <f>IF(D220="","",VLOOKUP(D220,'G-6 Hedgerow Data'!$B$2:$AG$15,2,FALSE))</f>
        <v/>
      </c>
      <c r="G220" s="172" t="str">
        <f>IF(D220="","",VLOOKUP(D220,'G-6 Hedgerow Data'!$B$2:$AG$15,3,FALSE))</f>
        <v/>
      </c>
      <c r="H220" s="173"/>
      <c r="I220" s="172" t="str">
        <f>IFERROR(IF(AND(F220="V.Low",OR(H220="Good",H220="Moderate")),"Error",VLOOKUP(H220,'G-1 All Habitats'!$Z$2:$AA$9,2,FALSE)),"")</f>
        <v/>
      </c>
      <c r="J220" s="186"/>
      <c r="K220" s="175" t="str">
        <f>IF(J220="","",IF(VLOOKUP(J220,'G-3 Multipliers'!$L$3:$N$6,2,FALSE)=0,"Spatial Data Missing",VLOOKUP(J220,'G-3 Multipliers'!$L$3:$N$6,2,FALSE)))</f>
        <v/>
      </c>
      <c r="L220" s="176" t="str">
        <f>IF(J220="","",IF(VLOOKUP(J220,'G-3 Multipliers'!$L$3:$N$6,3,FALSE)=0,"Spatial Data Missing",VLOOKUP(J220,'G-3 Multipliers'!$L$3:$N$6,3,FALSE)))</f>
        <v/>
      </c>
      <c r="M220" s="177" t="str">
        <f>IF(D220="","",VLOOKUP(D220,'G-6 Hedgerow Data'!$B$1:$AH$15,33,FALSE))</f>
        <v/>
      </c>
      <c r="N220" s="207" t="str">
        <f t="shared" si="23"/>
        <v/>
      </c>
      <c r="O220" s="44"/>
      <c r="P220" s="173"/>
      <c r="Q220" s="189"/>
      <c r="R220" s="179" t="str">
        <f t="shared" si="24"/>
        <v/>
      </c>
      <c r="S220" s="179" t="str">
        <f t="shared" si="25"/>
        <v/>
      </c>
      <c r="T220" s="208" t="str">
        <f t="shared" si="26"/>
        <v/>
      </c>
      <c r="U220" s="209" t="str">
        <f t="shared" si="27"/>
        <v/>
      </c>
      <c r="V220" s="182"/>
      <c r="W220" s="183"/>
      <c r="AB220" s="35" t="str">
        <f>IFERROR(INDEX('G-6 Hedgerow Data'!$BJ$3:$BJ$15,MATCH(D220,'G-6 Hedgerow Data'!$B$3:$B$15,0)),"")</f>
        <v/>
      </c>
      <c r="AE220" s="188" t="str">
        <f t="shared" si="21"/>
        <v/>
      </c>
      <c r="AF220" s="188" t="str">
        <f t="shared" si="22"/>
        <v/>
      </c>
      <c r="AH220" s="188">
        <v>211</v>
      </c>
      <c r="AJ220" s="188" t="str">
        <f t="array" ref="AJ220">IFERROR(INDEX($AH$10:$AH$258, MATCH(0, IF(TRUE=$AE$10:$AE$258, COUNTIF($AJ$9:$AJ219, $AH$10:$AH$258), ""), 0)),"")</f>
        <v/>
      </c>
      <c r="AK220" s="188" t="str">
        <f t="array" ref="AK220">IFERROR(INDEX($AH$10:$AH$258, MATCH(0, IF(TRUE=$AF$10:$AF$258, COUNTIF($AK$9:$AK219, $AH$10:$AH$258), ""), 0)),"")</f>
        <v/>
      </c>
    </row>
    <row r="221" spans="2:37" ht="13.8" x14ac:dyDescent="0.25">
      <c r="B221" s="168">
        <v>212</v>
      </c>
      <c r="C221" s="275"/>
      <c r="D221" s="275"/>
      <c r="E221" s="185"/>
      <c r="F221" s="171" t="str">
        <f>IF(D221="","",VLOOKUP(D221,'G-6 Hedgerow Data'!$B$2:$AG$15,2,FALSE))</f>
        <v/>
      </c>
      <c r="G221" s="172" t="str">
        <f>IF(D221="","",VLOOKUP(D221,'G-6 Hedgerow Data'!$B$2:$AG$15,3,FALSE))</f>
        <v/>
      </c>
      <c r="H221" s="173"/>
      <c r="I221" s="172" t="str">
        <f>IFERROR(IF(AND(F221="V.Low",OR(H221="Good",H221="Moderate")),"Error",VLOOKUP(H221,'G-1 All Habitats'!$Z$2:$AA$9,2,FALSE)),"")</f>
        <v/>
      </c>
      <c r="J221" s="186"/>
      <c r="K221" s="175" t="str">
        <f>IF(J221="","",IF(VLOOKUP(J221,'G-3 Multipliers'!$L$3:$N$6,2,FALSE)=0,"Spatial Data Missing",VLOOKUP(J221,'G-3 Multipliers'!$L$3:$N$6,2,FALSE)))</f>
        <v/>
      </c>
      <c r="L221" s="176" t="str">
        <f>IF(J221="","",IF(VLOOKUP(J221,'G-3 Multipliers'!$L$3:$N$6,3,FALSE)=0,"Spatial Data Missing",VLOOKUP(J221,'G-3 Multipliers'!$L$3:$N$6,3,FALSE)))</f>
        <v/>
      </c>
      <c r="M221" s="177" t="str">
        <f>IF(D221="","",VLOOKUP(D221,'G-6 Hedgerow Data'!$B$1:$AH$15,33,FALSE))</f>
        <v/>
      </c>
      <c r="N221" s="207" t="str">
        <f t="shared" si="23"/>
        <v/>
      </c>
      <c r="O221" s="44"/>
      <c r="P221" s="173"/>
      <c r="Q221" s="189"/>
      <c r="R221" s="179" t="str">
        <f t="shared" si="24"/>
        <v/>
      </c>
      <c r="S221" s="179" t="str">
        <f t="shared" si="25"/>
        <v/>
      </c>
      <c r="T221" s="208" t="str">
        <f t="shared" si="26"/>
        <v/>
      </c>
      <c r="U221" s="209" t="str">
        <f t="shared" si="27"/>
        <v/>
      </c>
      <c r="V221" s="182"/>
      <c r="W221" s="183"/>
      <c r="AB221" s="35" t="str">
        <f>IFERROR(INDEX('G-6 Hedgerow Data'!$BJ$3:$BJ$15,MATCH(D221,'G-6 Hedgerow Data'!$B$3:$B$15,0)),"")</f>
        <v/>
      </c>
      <c r="AE221" s="188" t="str">
        <f t="shared" si="21"/>
        <v/>
      </c>
      <c r="AF221" s="188" t="str">
        <f t="shared" si="22"/>
        <v/>
      </c>
      <c r="AH221" s="188">
        <v>212</v>
      </c>
      <c r="AJ221" s="188" t="str">
        <f t="array" ref="AJ221">IFERROR(INDEX($AH$10:$AH$258, MATCH(0, IF(TRUE=$AE$10:$AE$258, COUNTIF($AJ$9:$AJ220, $AH$10:$AH$258), ""), 0)),"")</f>
        <v/>
      </c>
      <c r="AK221" s="188" t="str">
        <f t="array" ref="AK221">IFERROR(INDEX($AH$10:$AH$258, MATCH(0, IF(TRUE=$AF$10:$AF$258, COUNTIF($AK$9:$AK220, $AH$10:$AH$258), ""), 0)),"")</f>
        <v/>
      </c>
    </row>
    <row r="222" spans="2:37" ht="13.8" x14ac:dyDescent="0.25">
      <c r="B222" s="168">
        <v>213</v>
      </c>
      <c r="C222" s="275"/>
      <c r="D222" s="275"/>
      <c r="E222" s="185"/>
      <c r="F222" s="171" t="str">
        <f>IF(D222="","",VLOOKUP(D222,'G-6 Hedgerow Data'!$B$2:$AG$15,2,FALSE))</f>
        <v/>
      </c>
      <c r="G222" s="172" t="str">
        <f>IF(D222="","",VLOOKUP(D222,'G-6 Hedgerow Data'!$B$2:$AG$15,3,FALSE))</f>
        <v/>
      </c>
      <c r="H222" s="173"/>
      <c r="I222" s="172" t="str">
        <f>IFERROR(IF(AND(F222="V.Low",OR(H222="Good",H222="Moderate")),"Error",VLOOKUP(H222,'G-1 All Habitats'!$Z$2:$AA$9,2,FALSE)),"")</f>
        <v/>
      </c>
      <c r="J222" s="186"/>
      <c r="K222" s="175" t="str">
        <f>IF(J222="","",IF(VLOOKUP(J222,'G-3 Multipliers'!$L$3:$N$6,2,FALSE)=0,"Spatial Data Missing",VLOOKUP(J222,'G-3 Multipliers'!$L$3:$N$6,2,FALSE)))</f>
        <v/>
      </c>
      <c r="L222" s="176" t="str">
        <f>IF(J222="","",IF(VLOOKUP(J222,'G-3 Multipliers'!$L$3:$N$6,3,FALSE)=0,"Spatial Data Missing",VLOOKUP(J222,'G-3 Multipliers'!$L$3:$N$6,3,FALSE)))</f>
        <v/>
      </c>
      <c r="M222" s="177" t="str">
        <f>IF(D222="","",VLOOKUP(D222,'G-6 Hedgerow Data'!$B$1:$AH$15,33,FALSE))</f>
        <v/>
      </c>
      <c r="N222" s="207" t="str">
        <f t="shared" si="23"/>
        <v/>
      </c>
      <c r="O222" s="44"/>
      <c r="P222" s="173"/>
      <c r="Q222" s="189"/>
      <c r="R222" s="179" t="str">
        <f t="shared" si="24"/>
        <v/>
      </c>
      <c r="S222" s="179" t="str">
        <f t="shared" si="25"/>
        <v/>
      </c>
      <c r="T222" s="208" t="str">
        <f t="shared" si="26"/>
        <v/>
      </c>
      <c r="U222" s="209" t="str">
        <f t="shared" si="27"/>
        <v/>
      </c>
      <c r="V222" s="182"/>
      <c r="W222" s="183"/>
      <c r="AB222" s="35" t="str">
        <f>IFERROR(INDEX('G-6 Hedgerow Data'!$BJ$3:$BJ$15,MATCH(D222,'G-6 Hedgerow Data'!$B$3:$B$15,0)),"")</f>
        <v/>
      </c>
      <c r="AE222" s="188" t="str">
        <f t="shared" si="21"/>
        <v/>
      </c>
      <c r="AF222" s="188" t="str">
        <f t="shared" si="22"/>
        <v/>
      </c>
      <c r="AH222" s="188">
        <v>213</v>
      </c>
      <c r="AJ222" s="188" t="str">
        <f t="array" ref="AJ222">IFERROR(INDEX($AH$10:$AH$258, MATCH(0, IF(TRUE=$AE$10:$AE$258, COUNTIF($AJ$9:$AJ221, $AH$10:$AH$258), ""), 0)),"")</f>
        <v/>
      </c>
      <c r="AK222" s="188" t="str">
        <f t="array" ref="AK222">IFERROR(INDEX($AH$10:$AH$258, MATCH(0, IF(TRUE=$AF$10:$AF$258, COUNTIF($AK$9:$AK221, $AH$10:$AH$258), ""), 0)),"")</f>
        <v/>
      </c>
    </row>
    <row r="223" spans="2:37" ht="13.8" x14ac:dyDescent="0.25">
      <c r="B223" s="168">
        <v>214</v>
      </c>
      <c r="C223" s="275"/>
      <c r="D223" s="275"/>
      <c r="E223" s="185"/>
      <c r="F223" s="171" t="str">
        <f>IF(D223="","",VLOOKUP(D223,'G-6 Hedgerow Data'!$B$2:$AG$15,2,FALSE))</f>
        <v/>
      </c>
      <c r="G223" s="172" t="str">
        <f>IF(D223="","",VLOOKUP(D223,'G-6 Hedgerow Data'!$B$2:$AG$15,3,FALSE))</f>
        <v/>
      </c>
      <c r="H223" s="173"/>
      <c r="I223" s="172" t="str">
        <f>IFERROR(IF(AND(F223="V.Low",OR(H223="Good",H223="Moderate")),"Error",VLOOKUP(H223,'G-1 All Habitats'!$Z$2:$AA$9,2,FALSE)),"")</f>
        <v/>
      </c>
      <c r="J223" s="186"/>
      <c r="K223" s="175" t="str">
        <f>IF(J223="","",IF(VLOOKUP(J223,'G-3 Multipliers'!$L$3:$N$6,2,FALSE)=0,"Spatial Data Missing",VLOOKUP(J223,'G-3 Multipliers'!$L$3:$N$6,2,FALSE)))</f>
        <v/>
      </c>
      <c r="L223" s="176" t="str">
        <f>IF(J223="","",IF(VLOOKUP(J223,'G-3 Multipliers'!$L$3:$N$6,3,FALSE)=0,"Spatial Data Missing",VLOOKUP(J223,'G-3 Multipliers'!$L$3:$N$6,3,FALSE)))</f>
        <v/>
      </c>
      <c r="M223" s="177" t="str">
        <f>IF(D223="","",VLOOKUP(D223,'G-6 Hedgerow Data'!$B$1:$AH$15,33,FALSE))</f>
        <v/>
      </c>
      <c r="N223" s="207" t="str">
        <f t="shared" si="23"/>
        <v/>
      </c>
      <c r="O223" s="44"/>
      <c r="P223" s="173"/>
      <c r="Q223" s="189"/>
      <c r="R223" s="179" t="str">
        <f t="shared" si="24"/>
        <v/>
      </c>
      <c r="S223" s="179" t="str">
        <f t="shared" si="25"/>
        <v/>
      </c>
      <c r="T223" s="208" t="str">
        <f t="shared" si="26"/>
        <v/>
      </c>
      <c r="U223" s="209" t="str">
        <f t="shared" si="27"/>
        <v/>
      </c>
      <c r="V223" s="182"/>
      <c r="W223" s="183"/>
      <c r="AB223" s="35" t="str">
        <f>IFERROR(INDEX('G-6 Hedgerow Data'!$BJ$3:$BJ$15,MATCH(D223,'G-6 Hedgerow Data'!$B$3:$B$15,0)),"")</f>
        <v/>
      </c>
      <c r="AE223" s="188" t="str">
        <f t="shared" si="21"/>
        <v/>
      </c>
      <c r="AF223" s="188" t="str">
        <f t="shared" si="22"/>
        <v/>
      </c>
      <c r="AH223" s="188">
        <v>214</v>
      </c>
      <c r="AJ223" s="188" t="str">
        <f t="array" ref="AJ223">IFERROR(INDEX($AH$10:$AH$258, MATCH(0, IF(TRUE=$AE$10:$AE$258, COUNTIF($AJ$9:$AJ222, $AH$10:$AH$258), ""), 0)),"")</f>
        <v/>
      </c>
      <c r="AK223" s="188" t="str">
        <f t="array" ref="AK223">IFERROR(INDEX($AH$10:$AH$258, MATCH(0, IF(TRUE=$AF$10:$AF$258, COUNTIF($AK$9:$AK222, $AH$10:$AH$258), ""), 0)),"")</f>
        <v/>
      </c>
    </row>
    <row r="224" spans="2:37" ht="13.8" x14ac:dyDescent="0.25">
      <c r="B224" s="168">
        <v>215</v>
      </c>
      <c r="C224" s="275"/>
      <c r="D224" s="275"/>
      <c r="E224" s="185"/>
      <c r="F224" s="171" t="str">
        <f>IF(D224="","",VLOOKUP(D224,'G-6 Hedgerow Data'!$B$2:$AG$15,2,FALSE))</f>
        <v/>
      </c>
      <c r="G224" s="172" t="str">
        <f>IF(D224="","",VLOOKUP(D224,'G-6 Hedgerow Data'!$B$2:$AG$15,3,FALSE))</f>
        <v/>
      </c>
      <c r="H224" s="173"/>
      <c r="I224" s="172" t="str">
        <f>IFERROR(IF(AND(F224="V.Low",OR(H224="Good",H224="Moderate")),"Error",VLOOKUP(H224,'G-1 All Habitats'!$Z$2:$AA$9,2,FALSE)),"")</f>
        <v/>
      </c>
      <c r="J224" s="186"/>
      <c r="K224" s="175" t="str">
        <f>IF(J224="","",IF(VLOOKUP(J224,'G-3 Multipliers'!$L$3:$N$6,2,FALSE)=0,"Spatial Data Missing",VLOOKUP(J224,'G-3 Multipliers'!$L$3:$N$6,2,FALSE)))</f>
        <v/>
      </c>
      <c r="L224" s="176" t="str">
        <f>IF(J224="","",IF(VLOOKUP(J224,'G-3 Multipliers'!$L$3:$N$6,3,FALSE)=0,"Spatial Data Missing",VLOOKUP(J224,'G-3 Multipliers'!$L$3:$N$6,3,FALSE)))</f>
        <v/>
      </c>
      <c r="M224" s="177" t="str">
        <f>IF(D224="","",VLOOKUP(D224,'G-6 Hedgerow Data'!$B$1:$AH$15,33,FALSE))</f>
        <v/>
      </c>
      <c r="N224" s="207" t="str">
        <f t="shared" si="23"/>
        <v/>
      </c>
      <c r="O224" s="44"/>
      <c r="P224" s="173"/>
      <c r="Q224" s="189"/>
      <c r="R224" s="179" t="str">
        <f t="shared" si="24"/>
        <v/>
      </c>
      <c r="S224" s="179" t="str">
        <f t="shared" si="25"/>
        <v/>
      </c>
      <c r="T224" s="208" t="str">
        <f t="shared" si="26"/>
        <v/>
      </c>
      <c r="U224" s="209" t="str">
        <f t="shared" si="27"/>
        <v/>
      </c>
      <c r="V224" s="182"/>
      <c r="W224" s="183"/>
      <c r="AB224" s="35" t="str">
        <f>IFERROR(INDEX('G-6 Hedgerow Data'!$BJ$3:$BJ$15,MATCH(D224,'G-6 Hedgerow Data'!$B$3:$B$15,0)),"")</f>
        <v/>
      </c>
      <c r="AE224" s="188" t="str">
        <f t="shared" si="21"/>
        <v/>
      </c>
      <c r="AF224" s="188" t="str">
        <f t="shared" si="22"/>
        <v/>
      </c>
      <c r="AH224" s="188">
        <v>215</v>
      </c>
      <c r="AJ224" s="188" t="str">
        <f t="array" ref="AJ224">IFERROR(INDEX($AH$10:$AH$258, MATCH(0, IF(TRUE=$AE$10:$AE$258, COUNTIF($AJ$9:$AJ223, $AH$10:$AH$258), ""), 0)),"")</f>
        <v/>
      </c>
      <c r="AK224" s="188" t="str">
        <f t="array" ref="AK224">IFERROR(INDEX($AH$10:$AH$258, MATCH(0, IF(TRUE=$AF$10:$AF$258, COUNTIF($AK$9:$AK223, $AH$10:$AH$258), ""), 0)),"")</f>
        <v/>
      </c>
    </row>
    <row r="225" spans="2:37" ht="13.8" x14ac:dyDescent="0.25">
      <c r="B225" s="168">
        <v>216</v>
      </c>
      <c r="C225" s="275"/>
      <c r="D225" s="275"/>
      <c r="E225" s="185"/>
      <c r="F225" s="171" t="str">
        <f>IF(D225="","",VLOOKUP(D225,'G-6 Hedgerow Data'!$B$2:$AG$15,2,FALSE))</f>
        <v/>
      </c>
      <c r="G225" s="172" t="str">
        <f>IF(D225="","",VLOOKUP(D225,'G-6 Hedgerow Data'!$B$2:$AG$15,3,FALSE))</f>
        <v/>
      </c>
      <c r="H225" s="173"/>
      <c r="I225" s="172" t="str">
        <f>IFERROR(IF(AND(F225="V.Low",OR(H225="Good",H225="Moderate")),"Error",VLOOKUP(H225,'G-1 All Habitats'!$Z$2:$AA$9,2,FALSE)),"")</f>
        <v/>
      </c>
      <c r="J225" s="186"/>
      <c r="K225" s="175" t="str">
        <f>IF(J225="","",IF(VLOOKUP(J225,'G-3 Multipliers'!$L$3:$N$6,2,FALSE)=0,"Spatial Data Missing",VLOOKUP(J225,'G-3 Multipliers'!$L$3:$N$6,2,FALSE)))</f>
        <v/>
      </c>
      <c r="L225" s="176" t="str">
        <f>IF(J225="","",IF(VLOOKUP(J225,'G-3 Multipliers'!$L$3:$N$6,3,FALSE)=0,"Spatial Data Missing",VLOOKUP(J225,'G-3 Multipliers'!$L$3:$N$6,3,FALSE)))</f>
        <v/>
      </c>
      <c r="M225" s="177" t="str">
        <f>IF(D225="","",VLOOKUP(D225,'G-6 Hedgerow Data'!$B$1:$AH$15,33,FALSE))</f>
        <v/>
      </c>
      <c r="N225" s="207" t="str">
        <f t="shared" si="23"/>
        <v/>
      </c>
      <c r="O225" s="44"/>
      <c r="P225" s="173"/>
      <c r="Q225" s="189"/>
      <c r="R225" s="179" t="str">
        <f t="shared" si="24"/>
        <v/>
      </c>
      <c r="S225" s="179" t="str">
        <f t="shared" si="25"/>
        <v/>
      </c>
      <c r="T225" s="208" t="str">
        <f t="shared" si="26"/>
        <v/>
      </c>
      <c r="U225" s="209" t="str">
        <f t="shared" si="27"/>
        <v/>
      </c>
      <c r="V225" s="182"/>
      <c r="W225" s="183"/>
      <c r="AB225" s="35" t="str">
        <f>IFERROR(INDEX('G-6 Hedgerow Data'!$BJ$3:$BJ$15,MATCH(D225,'G-6 Hedgerow Data'!$B$3:$B$15,0)),"")</f>
        <v/>
      </c>
      <c r="AE225" s="188" t="str">
        <f t="shared" si="21"/>
        <v/>
      </c>
      <c r="AF225" s="188" t="str">
        <f t="shared" si="22"/>
        <v/>
      </c>
      <c r="AH225" s="188">
        <v>216</v>
      </c>
      <c r="AJ225" s="188" t="str">
        <f t="array" ref="AJ225">IFERROR(INDEX($AH$10:$AH$258, MATCH(0, IF(TRUE=$AE$10:$AE$258, COUNTIF($AJ$9:$AJ224, $AH$10:$AH$258), ""), 0)),"")</f>
        <v/>
      </c>
      <c r="AK225" s="188" t="str">
        <f t="array" ref="AK225">IFERROR(INDEX($AH$10:$AH$258, MATCH(0, IF(TRUE=$AF$10:$AF$258, COUNTIF($AK$9:$AK224, $AH$10:$AH$258), ""), 0)),"")</f>
        <v/>
      </c>
    </row>
    <row r="226" spans="2:37" ht="13.8" x14ac:dyDescent="0.25">
      <c r="B226" s="168">
        <v>217</v>
      </c>
      <c r="C226" s="275"/>
      <c r="D226" s="275"/>
      <c r="E226" s="185"/>
      <c r="F226" s="171" t="str">
        <f>IF(D226="","",VLOOKUP(D226,'G-6 Hedgerow Data'!$B$2:$AG$15,2,FALSE))</f>
        <v/>
      </c>
      <c r="G226" s="172" t="str">
        <f>IF(D226="","",VLOOKUP(D226,'G-6 Hedgerow Data'!$B$2:$AG$15,3,FALSE))</f>
        <v/>
      </c>
      <c r="H226" s="173"/>
      <c r="I226" s="172" t="str">
        <f>IFERROR(IF(AND(F226="V.Low",OR(H226="Good",H226="Moderate")),"Error",VLOOKUP(H226,'G-1 All Habitats'!$Z$2:$AA$9,2,FALSE)),"")</f>
        <v/>
      </c>
      <c r="J226" s="186"/>
      <c r="K226" s="175" t="str">
        <f>IF(J226="","",IF(VLOOKUP(J226,'G-3 Multipliers'!$L$3:$N$6,2,FALSE)=0,"Spatial Data Missing",VLOOKUP(J226,'G-3 Multipliers'!$L$3:$N$6,2,FALSE)))</f>
        <v/>
      </c>
      <c r="L226" s="176" t="str">
        <f>IF(J226="","",IF(VLOOKUP(J226,'G-3 Multipliers'!$L$3:$N$6,3,FALSE)=0,"Spatial Data Missing",VLOOKUP(J226,'G-3 Multipliers'!$L$3:$N$6,3,FALSE)))</f>
        <v/>
      </c>
      <c r="M226" s="177" t="str">
        <f>IF(D226="","",VLOOKUP(D226,'G-6 Hedgerow Data'!$B$1:$AH$15,33,FALSE))</f>
        <v/>
      </c>
      <c r="N226" s="207" t="str">
        <f t="shared" si="23"/>
        <v/>
      </c>
      <c r="O226" s="44"/>
      <c r="P226" s="173"/>
      <c r="Q226" s="189"/>
      <c r="R226" s="179" t="str">
        <f t="shared" si="24"/>
        <v/>
      </c>
      <c r="S226" s="179" t="str">
        <f t="shared" si="25"/>
        <v/>
      </c>
      <c r="T226" s="208" t="str">
        <f t="shared" si="26"/>
        <v/>
      </c>
      <c r="U226" s="209" t="str">
        <f t="shared" si="27"/>
        <v/>
      </c>
      <c r="V226" s="182"/>
      <c r="W226" s="183"/>
      <c r="AB226" s="35" t="str">
        <f>IFERROR(INDEX('G-6 Hedgerow Data'!$BJ$3:$BJ$15,MATCH(D226,'G-6 Hedgerow Data'!$B$3:$B$15,0)),"")</f>
        <v/>
      </c>
      <c r="AE226" s="188" t="str">
        <f t="shared" si="21"/>
        <v/>
      </c>
      <c r="AF226" s="188" t="str">
        <f t="shared" si="22"/>
        <v/>
      </c>
      <c r="AH226" s="188">
        <v>217</v>
      </c>
      <c r="AJ226" s="188" t="str">
        <f t="array" ref="AJ226">IFERROR(INDEX($AH$10:$AH$258, MATCH(0, IF(TRUE=$AE$10:$AE$258, COUNTIF($AJ$9:$AJ225, $AH$10:$AH$258), ""), 0)),"")</f>
        <v/>
      </c>
      <c r="AK226" s="188" t="str">
        <f t="array" ref="AK226">IFERROR(INDEX($AH$10:$AH$258, MATCH(0, IF(TRUE=$AF$10:$AF$258, COUNTIF($AK$9:$AK225, $AH$10:$AH$258), ""), 0)),"")</f>
        <v/>
      </c>
    </row>
    <row r="227" spans="2:37" ht="13.8" x14ac:dyDescent="0.25">
      <c r="B227" s="168">
        <v>218</v>
      </c>
      <c r="C227" s="275"/>
      <c r="D227" s="275"/>
      <c r="E227" s="185"/>
      <c r="F227" s="171" t="str">
        <f>IF(D227="","",VLOOKUP(D227,'G-6 Hedgerow Data'!$B$2:$AG$15,2,FALSE))</f>
        <v/>
      </c>
      <c r="G227" s="172" t="str">
        <f>IF(D227="","",VLOOKUP(D227,'G-6 Hedgerow Data'!$B$2:$AG$15,3,FALSE))</f>
        <v/>
      </c>
      <c r="H227" s="173"/>
      <c r="I227" s="172" t="str">
        <f>IFERROR(IF(AND(F227="V.Low",OR(H227="Good",H227="Moderate")),"Error",VLOOKUP(H227,'G-1 All Habitats'!$Z$2:$AA$9,2,FALSE)),"")</f>
        <v/>
      </c>
      <c r="J227" s="186"/>
      <c r="K227" s="175" t="str">
        <f>IF(J227="","",IF(VLOOKUP(J227,'G-3 Multipliers'!$L$3:$N$6,2,FALSE)=0,"Spatial Data Missing",VLOOKUP(J227,'G-3 Multipliers'!$L$3:$N$6,2,FALSE)))</f>
        <v/>
      </c>
      <c r="L227" s="176" t="str">
        <f>IF(J227="","",IF(VLOOKUP(J227,'G-3 Multipliers'!$L$3:$N$6,3,FALSE)=0,"Spatial Data Missing",VLOOKUP(J227,'G-3 Multipliers'!$L$3:$N$6,3,FALSE)))</f>
        <v/>
      </c>
      <c r="M227" s="177" t="str">
        <f>IF(D227="","",VLOOKUP(D227,'G-6 Hedgerow Data'!$B$1:$AH$15,33,FALSE))</f>
        <v/>
      </c>
      <c r="N227" s="207" t="str">
        <f t="shared" si="23"/>
        <v/>
      </c>
      <c r="O227" s="44"/>
      <c r="P227" s="173"/>
      <c r="Q227" s="189"/>
      <c r="R227" s="179" t="str">
        <f t="shared" si="24"/>
        <v/>
      </c>
      <c r="S227" s="179" t="str">
        <f t="shared" si="25"/>
        <v/>
      </c>
      <c r="T227" s="208" t="str">
        <f t="shared" si="26"/>
        <v/>
      </c>
      <c r="U227" s="209" t="str">
        <f t="shared" si="27"/>
        <v/>
      </c>
      <c r="V227" s="182"/>
      <c r="W227" s="183"/>
      <c r="AB227" s="35" t="str">
        <f>IFERROR(INDEX('G-6 Hedgerow Data'!$BJ$3:$BJ$15,MATCH(D227,'G-6 Hedgerow Data'!$B$3:$B$15,0)),"")</f>
        <v/>
      </c>
      <c r="AE227" s="188" t="str">
        <f t="shared" si="21"/>
        <v/>
      </c>
      <c r="AF227" s="188" t="str">
        <f t="shared" si="22"/>
        <v/>
      </c>
      <c r="AH227" s="188">
        <v>218</v>
      </c>
      <c r="AJ227" s="188" t="str">
        <f t="array" ref="AJ227">IFERROR(INDEX($AH$10:$AH$258, MATCH(0, IF(TRUE=$AE$10:$AE$258, COUNTIF($AJ$9:$AJ226, $AH$10:$AH$258), ""), 0)),"")</f>
        <v/>
      </c>
      <c r="AK227" s="188" t="str">
        <f t="array" ref="AK227">IFERROR(INDEX($AH$10:$AH$258, MATCH(0, IF(TRUE=$AF$10:$AF$258, COUNTIF($AK$9:$AK226, $AH$10:$AH$258), ""), 0)),"")</f>
        <v/>
      </c>
    </row>
    <row r="228" spans="2:37" ht="13.8" x14ac:dyDescent="0.25">
      <c r="B228" s="168">
        <v>219</v>
      </c>
      <c r="C228" s="275"/>
      <c r="D228" s="275"/>
      <c r="E228" s="185"/>
      <c r="F228" s="171" t="str">
        <f>IF(D228="","",VLOOKUP(D228,'G-6 Hedgerow Data'!$B$2:$AG$15,2,FALSE))</f>
        <v/>
      </c>
      <c r="G228" s="172" t="str">
        <f>IF(D228="","",VLOOKUP(D228,'G-6 Hedgerow Data'!$B$2:$AG$15,3,FALSE))</f>
        <v/>
      </c>
      <c r="H228" s="173"/>
      <c r="I228" s="172" t="str">
        <f>IFERROR(IF(AND(F228="V.Low",OR(H228="Good",H228="Moderate")),"Error",VLOOKUP(H228,'G-1 All Habitats'!$Z$2:$AA$9,2,FALSE)),"")</f>
        <v/>
      </c>
      <c r="J228" s="186"/>
      <c r="K228" s="175" t="str">
        <f>IF(J228="","",IF(VLOOKUP(J228,'G-3 Multipliers'!$L$3:$N$6,2,FALSE)=0,"Spatial Data Missing",VLOOKUP(J228,'G-3 Multipliers'!$L$3:$N$6,2,FALSE)))</f>
        <v/>
      </c>
      <c r="L228" s="176" t="str">
        <f>IF(J228="","",IF(VLOOKUP(J228,'G-3 Multipliers'!$L$3:$N$6,3,FALSE)=0,"Spatial Data Missing",VLOOKUP(J228,'G-3 Multipliers'!$L$3:$N$6,3,FALSE)))</f>
        <v/>
      </c>
      <c r="M228" s="177" t="str">
        <f>IF(D228="","",VLOOKUP(D228,'G-6 Hedgerow Data'!$B$1:$AH$15,33,FALSE))</f>
        <v/>
      </c>
      <c r="N228" s="207" t="str">
        <f t="shared" si="23"/>
        <v/>
      </c>
      <c r="O228" s="44"/>
      <c r="P228" s="173"/>
      <c r="Q228" s="189"/>
      <c r="R228" s="179" t="str">
        <f t="shared" si="24"/>
        <v/>
      </c>
      <c r="S228" s="179" t="str">
        <f t="shared" si="25"/>
        <v/>
      </c>
      <c r="T228" s="208" t="str">
        <f t="shared" si="26"/>
        <v/>
      </c>
      <c r="U228" s="209" t="str">
        <f t="shared" si="27"/>
        <v/>
      </c>
      <c r="V228" s="182"/>
      <c r="W228" s="183"/>
      <c r="AB228" s="35" t="str">
        <f>IFERROR(INDEX('G-6 Hedgerow Data'!$BJ$3:$BJ$15,MATCH(D228,'G-6 Hedgerow Data'!$B$3:$B$15,0)),"")</f>
        <v/>
      </c>
      <c r="AE228" s="188" t="str">
        <f t="shared" si="21"/>
        <v/>
      </c>
      <c r="AF228" s="188" t="str">
        <f t="shared" si="22"/>
        <v/>
      </c>
      <c r="AH228" s="188">
        <v>219</v>
      </c>
      <c r="AJ228" s="188" t="str">
        <f t="array" ref="AJ228">IFERROR(INDEX($AH$10:$AH$258, MATCH(0, IF(TRUE=$AE$10:$AE$258, COUNTIF($AJ$9:$AJ227, $AH$10:$AH$258), ""), 0)),"")</f>
        <v/>
      </c>
      <c r="AK228" s="188" t="str">
        <f t="array" ref="AK228">IFERROR(INDEX($AH$10:$AH$258, MATCH(0, IF(TRUE=$AF$10:$AF$258, COUNTIF($AK$9:$AK227, $AH$10:$AH$258), ""), 0)),"")</f>
        <v/>
      </c>
    </row>
    <row r="229" spans="2:37" ht="13.8" x14ac:dyDescent="0.25">
      <c r="B229" s="168">
        <v>220</v>
      </c>
      <c r="C229" s="275"/>
      <c r="D229" s="275"/>
      <c r="E229" s="185"/>
      <c r="F229" s="171" t="str">
        <f>IF(D229="","",VLOOKUP(D229,'G-6 Hedgerow Data'!$B$2:$AG$15,2,FALSE))</f>
        <v/>
      </c>
      <c r="G229" s="172" t="str">
        <f>IF(D229="","",VLOOKUP(D229,'G-6 Hedgerow Data'!$B$2:$AG$15,3,FALSE))</f>
        <v/>
      </c>
      <c r="H229" s="173"/>
      <c r="I229" s="172" t="str">
        <f>IFERROR(IF(AND(F229="V.Low",OR(H229="Good",H229="Moderate")),"Error",VLOOKUP(H229,'G-1 All Habitats'!$Z$2:$AA$9,2,FALSE)),"")</f>
        <v/>
      </c>
      <c r="J229" s="186"/>
      <c r="K229" s="175" t="str">
        <f>IF(J229="","",IF(VLOOKUP(J229,'G-3 Multipliers'!$L$3:$N$6,2,FALSE)=0,"Spatial Data Missing",VLOOKUP(J229,'G-3 Multipliers'!$L$3:$N$6,2,FALSE)))</f>
        <v/>
      </c>
      <c r="L229" s="176" t="str">
        <f>IF(J229="","",IF(VLOOKUP(J229,'G-3 Multipliers'!$L$3:$N$6,3,FALSE)=0,"Spatial Data Missing",VLOOKUP(J229,'G-3 Multipliers'!$L$3:$N$6,3,FALSE)))</f>
        <v/>
      </c>
      <c r="M229" s="177" t="str">
        <f>IF(D229="","",VLOOKUP(D229,'G-6 Hedgerow Data'!$B$1:$AH$15,33,FALSE))</f>
        <v/>
      </c>
      <c r="N229" s="207" t="str">
        <f t="shared" si="23"/>
        <v/>
      </c>
      <c r="O229" s="44"/>
      <c r="P229" s="173"/>
      <c r="Q229" s="189"/>
      <c r="R229" s="179" t="str">
        <f t="shared" si="24"/>
        <v/>
      </c>
      <c r="S229" s="179" t="str">
        <f t="shared" si="25"/>
        <v/>
      </c>
      <c r="T229" s="208" t="str">
        <f t="shared" si="26"/>
        <v/>
      </c>
      <c r="U229" s="209" t="str">
        <f t="shared" si="27"/>
        <v/>
      </c>
      <c r="V229" s="182"/>
      <c r="W229" s="183"/>
      <c r="AB229" s="35" t="str">
        <f>IFERROR(INDEX('G-6 Hedgerow Data'!$BJ$3:$BJ$15,MATCH(D229,'G-6 Hedgerow Data'!$B$3:$B$15,0)),"")</f>
        <v/>
      </c>
      <c r="AE229" s="188" t="str">
        <f t="shared" si="21"/>
        <v/>
      </c>
      <c r="AF229" s="188" t="str">
        <f t="shared" si="22"/>
        <v/>
      </c>
      <c r="AH229" s="188">
        <v>220</v>
      </c>
      <c r="AJ229" s="188" t="str">
        <f t="array" ref="AJ229">IFERROR(INDEX($AH$10:$AH$258, MATCH(0, IF(TRUE=$AE$10:$AE$258, COUNTIF($AJ$9:$AJ228, $AH$10:$AH$258), ""), 0)),"")</f>
        <v/>
      </c>
      <c r="AK229" s="188" t="str">
        <f t="array" ref="AK229">IFERROR(INDEX($AH$10:$AH$258, MATCH(0, IF(TRUE=$AF$10:$AF$258, COUNTIF($AK$9:$AK228, $AH$10:$AH$258), ""), 0)),"")</f>
        <v/>
      </c>
    </row>
    <row r="230" spans="2:37" ht="13.8" x14ac:dyDescent="0.25">
      <c r="B230" s="168">
        <v>221</v>
      </c>
      <c r="C230" s="275"/>
      <c r="D230" s="275"/>
      <c r="E230" s="185"/>
      <c r="F230" s="171" t="str">
        <f>IF(D230="","",VLOOKUP(D230,'G-6 Hedgerow Data'!$B$2:$AG$15,2,FALSE))</f>
        <v/>
      </c>
      <c r="G230" s="172" t="str">
        <f>IF(D230="","",VLOOKUP(D230,'G-6 Hedgerow Data'!$B$2:$AG$15,3,FALSE))</f>
        <v/>
      </c>
      <c r="H230" s="173"/>
      <c r="I230" s="172" t="str">
        <f>IFERROR(IF(AND(F230="V.Low",OR(H230="Good",H230="Moderate")),"Error",VLOOKUP(H230,'G-1 All Habitats'!$Z$2:$AA$9,2,FALSE)),"")</f>
        <v/>
      </c>
      <c r="J230" s="186"/>
      <c r="K230" s="175" t="str">
        <f>IF(J230="","",IF(VLOOKUP(J230,'G-3 Multipliers'!$L$3:$N$6,2,FALSE)=0,"Spatial Data Missing",VLOOKUP(J230,'G-3 Multipliers'!$L$3:$N$6,2,FALSE)))</f>
        <v/>
      </c>
      <c r="L230" s="176" t="str">
        <f>IF(J230="","",IF(VLOOKUP(J230,'G-3 Multipliers'!$L$3:$N$6,3,FALSE)=0,"Spatial Data Missing",VLOOKUP(J230,'G-3 Multipliers'!$L$3:$N$6,3,FALSE)))</f>
        <v/>
      </c>
      <c r="M230" s="177" t="str">
        <f>IF(D230="","",VLOOKUP(D230,'G-6 Hedgerow Data'!$B$1:$AH$15,33,FALSE))</f>
        <v/>
      </c>
      <c r="N230" s="207" t="str">
        <f t="shared" si="23"/>
        <v/>
      </c>
      <c r="O230" s="44"/>
      <c r="P230" s="173"/>
      <c r="Q230" s="189"/>
      <c r="R230" s="179" t="str">
        <f t="shared" si="24"/>
        <v/>
      </c>
      <c r="S230" s="179" t="str">
        <f t="shared" si="25"/>
        <v/>
      </c>
      <c r="T230" s="208" t="str">
        <f t="shared" si="26"/>
        <v/>
      </c>
      <c r="U230" s="209" t="str">
        <f t="shared" si="27"/>
        <v/>
      </c>
      <c r="V230" s="182"/>
      <c r="W230" s="183"/>
      <c r="AB230" s="35" t="str">
        <f>IFERROR(INDEX('G-6 Hedgerow Data'!$BJ$3:$BJ$15,MATCH(D230,'G-6 Hedgerow Data'!$B$3:$B$15,0)),"")</f>
        <v/>
      </c>
      <c r="AE230" s="188" t="str">
        <f t="shared" si="21"/>
        <v/>
      </c>
      <c r="AF230" s="188" t="str">
        <f t="shared" si="22"/>
        <v/>
      </c>
      <c r="AH230" s="188">
        <v>221</v>
      </c>
      <c r="AJ230" s="188" t="str">
        <f t="array" ref="AJ230">IFERROR(INDEX($AH$10:$AH$258, MATCH(0, IF(TRUE=$AE$10:$AE$258, COUNTIF($AJ$9:$AJ229, $AH$10:$AH$258), ""), 0)),"")</f>
        <v/>
      </c>
      <c r="AK230" s="188" t="str">
        <f t="array" ref="AK230">IFERROR(INDEX($AH$10:$AH$258, MATCH(0, IF(TRUE=$AF$10:$AF$258, COUNTIF($AK$9:$AK229, $AH$10:$AH$258), ""), 0)),"")</f>
        <v/>
      </c>
    </row>
    <row r="231" spans="2:37" ht="13.8" x14ac:dyDescent="0.25">
      <c r="B231" s="168">
        <v>222</v>
      </c>
      <c r="C231" s="275"/>
      <c r="D231" s="275"/>
      <c r="E231" s="185"/>
      <c r="F231" s="171" t="str">
        <f>IF(D231="","",VLOOKUP(D231,'G-6 Hedgerow Data'!$B$2:$AG$15,2,FALSE))</f>
        <v/>
      </c>
      <c r="G231" s="172" t="str">
        <f>IF(D231="","",VLOOKUP(D231,'G-6 Hedgerow Data'!$B$2:$AG$15,3,FALSE))</f>
        <v/>
      </c>
      <c r="H231" s="173"/>
      <c r="I231" s="172" t="str">
        <f>IFERROR(IF(AND(F231="V.Low",OR(H231="Good",H231="Moderate")),"Error",VLOOKUP(H231,'G-1 All Habitats'!$Z$2:$AA$9,2,FALSE)),"")</f>
        <v/>
      </c>
      <c r="J231" s="186"/>
      <c r="K231" s="175" t="str">
        <f>IF(J231="","",IF(VLOOKUP(J231,'G-3 Multipliers'!$L$3:$N$6,2,FALSE)=0,"Spatial Data Missing",VLOOKUP(J231,'G-3 Multipliers'!$L$3:$N$6,2,FALSE)))</f>
        <v/>
      </c>
      <c r="L231" s="176" t="str">
        <f>IF(J231="","",IF(VLOOKUP(J231,'G-3 Multipliers'!$L$3:$N$6,3,FALSE)=0,"Spatial Data Missing",VLOOKUP(J231,'G-3 Multipliers'!$L$3:$N$6,3,FALSE)))</f>
        <v/>
      </c>
      <c r="M231" s="177" t="str">
        <f>IF(D231="","",VLOOKUP(D231,'G-6 Hedgerow Data'!$B$1:$AH$15,33,FALSE))</f>
        <v/>
      </c>
      <c r="N231" s="207" t="str">
        <f t="shared" si="23"/>
        <v/>
      </c>
      <c r="O231" s="44"/>
      <c r="P231" s="173"/>
      <c r="Q231" s="189"/>
      <c r="R231" s="179" t="str">
        <f t="shared" si="24"/>
        <v/>
      </c>
      <c r="S231" s="179" t="str">
        <f t="shared" si="25"/>
        <v/>
      </c>
      <c r="T231" s="208" t="str">
        <f t="shared" si="26"/>
        <v/>
      </c>
      <c r="U231" s="209" t="str">
        <f t="shared" si="27"/>
        <v/>
      </c>
      <c r="V231" s="182"/>
      <c r="W231" s="183"/>
      <c r="AB231" s="35" t="str">
        <f>IFERROR(INDEX('G-6 Hedgerow Data'!$BJ$3:$BJ$15,MATCH(D231,'G-6 Hedgerow Data'!$B$3:$B$15,0)),"")</f>
        <v/>
      </c>
      <c r="AE231" s="188" t="str">
        <f t="shared" si="21"/>
        <v/>
      </c>
      <c r="AF231" s="188" t="str">
        <f t="shared" si="22"/>
        <v/>
      </c>
      <c r="AH231" s="188">
        <v>222</v>
      </c>
      <c r="AJ231" s="188" t="str">
        <f t="array" ref="AJ231">IFERROR(INDEX($AH$10:$AH$258, MATCH(0, IF(TRUE=$AE$10:$AE$258, COUNTIF($AJ$9:$AJ230, $AH$10:$AH$258), ""), 0)),"")</f>
        <v/>
      </c>
      <c r="AK231" s="188" t="str">
        <f t="array" ref="AK231">IFERROR(INDEX($AH$10:$AH$258, MATCH(0, IF(TRUE=$AF$10:$AF$258, COUNTIF($AK$9:$AK230, $AH$10:$AH$258), ""), 0)),"")</f>
        <v/>
      </c>
    </row>
    <row r="232" spans="2:37" ht="13.8" x14ac:dyDescent="0.25">
      <c r="B232" s="168">
        <v>223</v>
      </c>
      <c r="C232" s="275"/>
      <c r="D232" s="275"/>
      <c r="E232" s="185"/>
      <c r="F232" s="171" t="str">
        <f>IF(D232="","",VLOOKUP(D232,'G-6 Hedgerow Data'!$B$2:$AG$15,2,FALSE))</f>
        <v/>
      </c>
      <c r="G232" s="172" t="str">
        <f>IF(D232="","",VLOOKUP(D232,'G-6 Hedgerow Data'!$B$2:$AG$15,3,FALSE))</f>
        <v/>
      </c>
      <c r="H232" s="173"/>
      <c r="I232" s="172" t="str">
        <f>IFERROR(IF(AND(F232="V.Low",OR(H232="Good",H232="Moderate")),"Error",VLOOKUP(H232,'G-1 All Habitats'!$Z$2:$AA$9,2,FALSE)),"")</f>
        <v/>
      </c>
      <c r="J232" s="186"/>
      <c r="K232" s="175" t="str">
        <f>IF(J232="","",IF(VLOOKUP(J232,'G-3 Multipliers'!$L$3:$N$6,2,FALSE)=0,"Spatial Data Missing",VLOOKUP(J232,'G-3 Multipliers'!$L$3:$N$6,2,FALSE)))</f>
        <v/>
      </c>
      <c r="L232" s="176" t="str">
        <f>IF(J232="","",IF(VLOOKUP(J232,'G-3 Multipliers'!$L$3:$N$6,3,FALSE)=0,"Spatial Data Missing",VLOOKUP(J232,'G-3 Multipliers'!$L$3:$N$6,3,FALSE)))</f>
        <v/>
      </c>
      <c r="M232" s="177" t="str">
        <f>IF(D232="","",VLOOKUP(D232,'G-6 Hedgerow Data'!$B$1:$AH$15,33,FALSE))</f>
        <v/>
      </c>
      <c r="N232" s="207" t="str">
        <f t="shared" si="23"/>
        <v/>
      </c>
      <c r="O232" s="44"/>
      <c r="P232" s="173"/>
      <c r="Q232" s="189"/>
      <c r="R232" s="179" t="str">
        <f t="shared" si="24"/>
        <v/>
      </c>
      <c r="S232" s="179" t="str">
        <f t="shared" si="25"/>
        <v/>
      </c>
      <c r="T232" s="208" t="str">
        <f t="shared" si="26"/>
        <v/>
      </c>
      <c r="U232" s="209" t="str">
        <f t="shared" si="27"/>
        <v/>
      </c>
      <c r="V232" s="182"/>
      <c r="W232" s="183"/>
      <c r="AB232" s="35" t="str">
        <f>IFERROR(INDEX('G-6 Hedgerow Data'!$BJ$3:$BJ$15,MATCH(D232,'G-6 Hedgerow Data'!$B$3:$B$15,0)),"")</f>
        <v/>
      </c>
      <c r="AE232" s="188" t="str">
        <f t="shared" si="21"/>
        <v/>
      </c>
      <c r="AF232" s="188" t="str">
        <f t="shared" si="22"/>
        <v/>
      </c>
      <c r="AH232" s="188">
        <v>223</v>
      </c>
      <c r="AJ232" s="188" t="str">
        <f t="array" ref="AJ232">IFERROR(INDEX($AH$10:$AH$258, MATCH(0, IF(TRUE=$AE$10:$AE$258, COUNTIF($AJ$9:$AJ231, $AH$10:$AH$258), ""), 0)),"")</f>
        <v/>
      </c>
      <c r="AK232" s="188" t="str">
        <f t="array" ref="AK232">IFERROR(INDEX($AH$10:$AH$258, MATCH(0, IF(TRUE=$AF$10:$AF$258, COUNTIF($AK$9:$AK231, $AH$10:$AH$258), ""), 0)),"")</f>
        <v/>
      </c>
    </row>
    <row r="233" spans="2:37" ht="13.8" x14ac:dyDescent="0.25">
      <c r="B233" s="168">
        <v>224</v>
      </c>
      <c r="C233" s="275"/>
      <c r="D233" s="275"/>
      <c r="E233" s="185"/>
      <c r="F233" s="171" t="str">
        <f>IF(D233="","",VLOOKUP(D233,'G-6 Hedgerow Data'!$B$2:$AG$15,2,FALSE))</f>
        <v/>
      </c>
      <c r="G233" s="172" t="str">
        <f>IF(D233="","",VLOOKUP(D233,'G-6 Hedgerow Data'!$B$2:$AG$15,3,FALSE))</f>
        <v/>
      </c>
      <c r="H233" s="173"/>
      <c r="I233" s="172" t="str">
        <f>IFERROR(IF(AND(F233="V.Low",OR(H233="Good",H233="Moderate")),"Error",VLOOKUP(H233,'G-1 All Habitats'!$Z$2:$AA$9,2,FALSE)),"")</f>
        <v/>
      </c>
      <c r="J233" s="186"/>
      <c r="K233" s="175" t="str">
        <f>IF(J233="","",IF(VLOOKUP(J233,'G-3 Multipliers'!$L$3:$N$6,2,FALSE)=0,"Spatial Data Missing",VLOOKUP(J233,'G-3 Multipliers'!$L$3:$N$6,2,FALSE)))</f>
        <v/>
      </c>
      <c r="L233" s="176" t="str">
        <f>IF(J233="","",IF(VLOOKUP(J233,'G-3 Multipliers'!$L$3:$N$6,3,FALSE)=0,"Spatial Data Missing",VLOOKUP(J233,'G-3 Multipliers'!$L$3:$N$6,3,FALSE)))</f>
        <v/>
      </c>
      <c r="M233" s="177" t="str">
        <f>IF(D233="","",VLOOKUP(D233,'G-6 Hedgerow Data'!$B$1:$AH$15,33,FALSE))</f>
        <v/>
      </c>
      <c r="N233" s="207" t="str">
        <f t="shared" si="23"/>
        <v/>
      </c>
      <c r="O233" s="44"/>
      <c r="P233" s="173"/>
      <c r="Q233" s="189"/>
      <c r="R233" s="179" t="str">
        <f t="shared" si="24"/>
        <v/>
      </c>
      <c r="S233" s="179" t="str">
        <f t="shared" si="25"/>
        <v/>
      </c>
      <c r="T233" s="208" t="str">
        <f t="shared" si="26"/>
        <v/>
      </c>
      <c r="U233" s="209" t="str">
        <f t="shared" si="27"/>
        <v/>
      </c>
      <c r="V233" s="182"/>
      <c r="W233" s="183"/>
      <c r="AB233" s="35" t="str">
        <f>IFERROR(INDEX('G-6 Hedgerow Data'!$BJ$3:$BJ$15,MATCH(D233,'G-6 Hedgerow Data'!$B$3:$B$15,0)),"")</f>
        <v/>
      </c>
      <c r="AE233" s="188" t="str">
        <f t="shared" si="21"/>
        <v/>
      </c>
      <c r="AF233" s="188" t="str">
        <f t="shared" si="22"/>
        <v/>
      </c>
      <c r="AH233" s="188">
        <v>224</v>
      </c>
      <c r="AJ233" s="188" t="str">
        <f t="array" ref="AJ233">IFERROR(INDEX($AH$10:$AH$258, MATCH(0, IF(TRUE=$AE$10:$AE$258, COUNTIF($AJ$9:$AJ232, $AH$10:$AH$258), ""), 0)),"")</f>
        <v/>
      </c>
      <c r="AK233" s="188" t="str">
        <f t="array" ref="AK233">IFERROR(INDEX($AH$10:$AH$258, MATCH(0, IF(TRUE=$AF$10:$AF$258, COUNTIF($AK$9:$AK232, $AH$10:$AH$258), ""), 0)),"")</f>
        <v/>
      </c>
    </row>
    <row r="234" spans="2:37" ht="13.8" x14ac:dyDescent="0.25">
      <c r="B234" s="168">
        <v>225</v>
      </c>
      <c r="C234" s="275"/>
      <c r="D234" s="275"/>
      <c r="E234" s="185"/>
      <c r="F234" s="171" t="str">
        <f>IF(D234="","",VLOOKUP(D234,'G-6 Hedgerow Data'!$B$2:$AG$15,2,FALSE))</f>
        <v/>
      </c>
      <c r="G234" s="172" t="str">
        <f>IF(D234="","",VLOOKUP(D234,'G-6 Hedgerow Data'!$B$2:$AG$15,3,FALSE))</f>
        <v/>
      </c>
      <c r="H234" s="173"/>
      <c r="I234" s="172" t="str">
        <f>IFERROR(IF(AND(F234="V.Low",OR(H234="Good",H234="Moderate")),"Error",VLOOKUP(H234,'G-1 All Habitats'!$Z$2:$AA$9,2,FALSE)),"")</f>
        <v/>
      </c>
      <c r="J234" s="186"/>
      <c r="K234" s="175" t="str">
        <f>IF(J234="","",IF(VLOOKUP(J234,'G-3 Multipliers'!$L$3:$N$6,2,FALSE)=0,"Spatial Data Missing",VLOOKUP(J234,'G-3 Multipliers'!$L$3:$N$6,2,FALSE)))</f>
        <v/>
      </c>
      <c r="L234" s="176" t="str">
        <f>IF(J234="","",IF(VLOOKUP(J234,'G-3 Multipliers'!$L$3:$N$6,3,FALSE)=0,"Spatial Data Missing",VLOOKUP(J234,'G-3 Multipliers'!$L$3:$N$6,3,FALSE)))</f>
        <v/>
      </c>
      <c r="M234" s="177" t="str">
        <f>IF(D234="","",VLOOKUP(D234,'G-6 Hedgerow Data'!$B$1:$AH$15,33,FALSE))</f>
        <v/>
      </c>
      <c r="N234" s="207" t="str">
        <f t="shared" si="23"/>
        <v/>
      </c>
      <c r="O234" s="44"/>
      <c r="P234" s="173"/>
      <c r="Q234" s="189"/>
      <c r="R234" s="179" t="str">
        <f t="shared" si="24"/>
        <v/>
      </c>
      <c r="S234" s="179" t="str">
        <f t="shared" si="25"/>
        <v/>
      </c>
      <c r="T234" s="208" t="str">
        <f t="shared" si="26"/>
        <v/>
      </c>
      <c r="U234" s="209" t="str">
        <f t="shared" si="27"/>
        <v/>
      </c>
      <c r="V234" s="182"/>
      <c r="W234" s="183"/>
      <c r="AB234" s="35" t="str">
        <f>IFERROR(INDEX('G-6 Hedgerow Data'!$BJ$3:$BJ$15,MATCH(D234,'G-6 Hedgerow Data'!$B$3:$B$15,0)),"")</f>
        <v/>
      </c>
      <c r="AE234" s="188" t="str">
        <f t="shared" si="21"/>
        <v/>
      </c>
      <c r="AF234" s="188" t="str">
        <f t="shared" si="22"/>
        <v/>
      </c>
      <c r="AH234" s="188">
        <v>225</v>
      </c>
      <c r="AJ234" s="188" t="str">
        <f t="array" ref="AJ234">IFERROR(INDEX($AH$10:$AH$258, MATCH(0, IF(TRUE=$AE$10:$AE$258, COUNTIF($AJ$9:$AJ233, $AH$10:$AH$258), ""), 0)),"")</f>
        <v/>
      </c>
      <c r="AK234" s="188" t="str">
        <f t="array" ref="AK234">IFERROR(INDEX($AH$10:$AH$258, MATCH(0, IF(TRUE=$AF$10:$AF$258, COUNTIF($AK$9:$AK233, $AH$10:$AH$258), ""), 0)),"")</f>
        <v/>
      </c>
    </row>
    <row r="235" spans="2:37" ht="13.8" x14ac:dyDescent="0.25">
      <c r="B235" s="168">
        <v>226</v>
      </c>
      <c r="C235" s="275"/>
      <c r="D235" s="275"/>
      <c r="E235" s="185"/>
      <c r="F235" s="171" t="str">
        <f>IF(D235="","",VLOOKUP(D235,'G-6 Hedgerow Data'!$B$2:$AG$15,2,FALSE))</f>
        <v/>
      </c>
      <c r="G235" s="172" t="str">
        <f>IF(D235="","",VLOOKUP(D235,'G-6 Hedgerow Data'!$B$2:$AG$15,3,FALSE))</f>
        <v/>
      </c>
      <c r="H235" s="173"/>
      <c r="I235" s="172" t="str">
        <f>IFERROR(IF(AND(F235="V.Low",OR(H235="Good",H235="Moderate")),"Error",VLOOKUP(H235,'G-1 All Habitats'!$Z$2:$AA$9,2,FALSE)),"")</f>
        <v/>
      </c>
      <c r="J235" s="186"/>
      <c r="K235" s="175" t="str">
        <f>IF(J235="","",IF(VLOOKUP(J235,'G-3 Multipliers'!$L$3:$N$6,2,FALSE)=0,"Spatial Data Missing",VLOOKUP(J235,'G-3 Multipliers'!$L$3:$N$6,2,FALSE)))</f>
        <v/>
      </c>
      <c r="L235" s="176" t="str">
        <f>IF(J235="","",IF(VLOOKUP(J235,'G-3 Multipliers'!$L$3:$N$6,3,FALSE)=0,"Spatial Data Missing",VLOOKUP(J235,'G-3 Multipliers'!$L$3:$N$6,3,FALSE)))</f>
        <v/>
      </c>
      <c r="M235" s="177" t="str">
        <f>IF(D235="","",VLOOKUP(D235,'G-6 Hedgerow Data'!$B$1:$AH$15,33,FALSE))</f>
        <v/>
      </c>
      <c r="N235" s="207" t="str">
        <f t="shared" si="23"/>
        <v/>
      </c>
      <c r="O235" s="44"/>
      <c r="P235" s="173"/>
      <c r="Q235" s="189"/>
      <c r="R235" s="179" t="str">
        <f t="shared" si="24"/>
        <v/>
      </c>
      <c r="S235" s="179" t="str">
        <f t="shared" si="25"/>
        <v/>
      </c>
      <c r="T235" s="208" t="str">
        <f t="shared" si="26"/>
        <v/>
      </c>
      <c r="U235" s="209" t="str">
        <f t="shared" si="27"/>
        <v/>
      </c>
      <c r="V235" s="182"/>
      <c r="W235" s="183"/>
      <c r="AB235" s="35" t="str">
        <f>IFERROR(INDEX('G-6 Hedgerow Data'!$BJ$3:$BJ$15,MATCH(D235,'G-6 Hedgerow Data'!$B$3:$B$15,0)),"")</f>
        <v/>
      </c>
      <c r="AE235" s="188" t="str">
        <f t="shared" si="21"/>
        <v/>
      </c>
      <c r="AF235" s="188" t="str">
        <f t="shared" si="22"/>
        <v/>
      </c>
      <c r="AH235" s="188">
        <v>226</v>
      </c>
      <c r="AJ235" s="188" t="str">
        <f t="array" ref="AJ235">IFERROR(INDEX($AH$10:$AH$258, MATCH(0, IF(TRUE=$AE$10:$AE$258, COUNTIF($AJ$9:$AJ234, $AH$10:$AH$258), ""), 0)),"")</f>
        <v/>
      </c>
      <c r="AK235" s="188" t="str">
        <f t="array" ref="AK235">IFERROR(INDEX($AH$10:$AH$258, MATCH(0, IF(TRUE=$AF$10:$AF$258, COUNTIF($AK$9:$AK234, $AH$10:$AH$258), ""), 0)),"")</f>
        <v/>
      </c>
    </row>
    <row r="236" spans="2:37" ht="13.8" x14ac:dyDescent="0.25">
      <c r="B236" s="168">
        <v>227</v>
      </c>
      <c r="C236" s="275"/>
      <c r="D236" s="275"/>
      <c r="E236" s="185"/>
      <c r="F236" s="171" t="str">
        <f>IF(D236="","",VLOOKUP(D236,'G-6 Hedgerow Data'!$B$2:$AG$15,2,FALSE))</f>
        <v/>
      </c>
      <c r="G236" s="172" t="str">
        <f>IF(D236="","",VLOOKUP(D236,'G-6 Hedgerow Data'!$B$2:$AG$15,3,FALSE))</f>
        <v/>
      </c>
      <c r="H236" s="173"/>
      <c r="I236" s="172" t="str">
        <f>IFERROR(IF(AND(F236="V.Low",OR(H236="Good",H236="Moderate")),"Error",VLOOKUP(H236,'G-1 All Habitats'!$Z$2:$AA$9,2,FALSE)),"")</f>
        <v/>
      </c>
      <c r="J236" s="186"/>
      <c r="K236" s="175" t="str">
        <f>IF(J236="","",IF(VLOOKUP(J236,'G-3 Multipliers'!$L$3:$N$6,2,FALSE)=0,"Spatial Data Missing",VLOOKUP(J236,'G-3 Multipliers'!$L$3:$N$6,2,FALSE)))</f>
        <v/>
      </c>
      <c r="L236" s="176" t="str">
        <f>IF(J236="","",IF(VLOOKUP(J236,'G-3 Multipliers'!$L$3:$N$6,3,FALSE)=0,"Spatial Data Missing",VLOOKUP(J236,'G-3 Multipliers'!$L$3:$N$6,3,FALSE)))</f>
        <v/>
      </c>
      <c r="M236" s="177" t="str">
        <f>IF(D236="","",VLOOKUP(D236,'G-6 Hedgerow Data'!$B$1:$AH$15,33,FALSE))</f>
        <v/>
      </c>
      <c r="N236" s="207" t="str">
        <f t="shared" si="23"/>
        <v/>
      </c>
      <c r="O236" s="44"/>
      <c r="P236" s="173"/>
      <c r="Q236" s="189"/>
      <c r="R236" s="179" t="str">
        <f t="shared" si="24"/>
        <v/>
      </c>
      <c r="S236" s="179" t="str">
        <f t="shared" si="25"/>
        <v/>
      </c>
      <c r="T236" s="208" t="str">
        <f t="shared" si="26"/>
        <v/>
      </c>
      <c r="U236" s="209" t="str">
        <f t="shared" si="27"/>
        <v/>
      </c>
      <c r="V236" s="182"/>
      <c r="W236" s="183"/>
      <c r="AB236" s="35" t="str">
        <f>IFERROR(INDEX('G-6 Hedgerow Data'!$BJ$3:$BJ$15,MATCH(D236,'G-6 Hedgerow Data'!$B$3:$B$15,0)),"")</f>
        <v/>
      </c>
      <c r="AE236" s="188" t="str">
        <f t="shared" si="21"/>
        <v/>
      </c>
      <c r="AF236" s="188" t="str">
        <f t="shared" si="22"/>
        <v/>
      </c>
      <c r="AH236" s="188">
        <v>227</v>
      </c>
      <c r="AJ236" s="188" t="str">
        <f t="array" ref="AJ236">IFERROR(INDEX($AH$10:$AH$258, MATCH(0, IF(TRUE=$AE$10:$AE$258, COUNTIF($AJ$9:$AJ235, $AH$10:$AH$258), ""), 0)),"")</f>
        <v/>
      </c>
      <c r="AK236" s="188" t="str">
        <f t="array" ref="AK236">IFERROR(INDEX($AH$10:$AH$258, MATCH(0, IF(TRUE=$AF$10:$AF$258, COUNTIF($AK$9:$AK235, $AH$10:$AH$258), ""), 0)),"")</f>
        <v/>
      </c>
    </row>
    <row r="237" spans="2:37" ht="13.8" x14ac:dyDescent="0.25">
      <c r="B237" s="168">
        <v>228</v>
      </c>
      <c r="C237" s="275"/>
      <c r="D237" s="275"/>
      <c r="E237" s="185"/>
      <c r="F237" s="171" t="str">
        <f>IF(D237="","",VLOOKUP(D237,'G-6 Hedgerow Data'!$B$2:$AG$15,2,FALSE))</f>
        <v/>
      </c>
      <c r="G237" s="172" t="str">
        <f>IF(D237="","",VLOOKUP(D237,'G-6 Hedgerow Data'!$B$2:$AG$15,3,FALSE))</f>
        <v/>
      </c>
      <c r="H237" s="173"/>
      <c r="I237" s="172" t="str">
        <f>IFERROR(IF(AND(F237="V.Low",OR(H237="Good",H237="Moderate")),"Error",VLOOKUP(H237,'G-1 All Habitats'!$Z$2:$AA$9,2,FALSE)),"")</f>
        <v/>
      </c>
      <c r="J237" s="186"/>
      <c r="K237" s="175" t="str">
        <f>IF(J237="","",IF(VLOOKUP(J237,'G-3 Multipliers'!$L$3:$N$6,2,FALSE)=0,"Spatial Data Missing",VLOOKUP(J237,'G-3 Multipliers'!$L$3:$N$6,2,FALSE)))</f>
        <v/>
      </c>
      <c r="L237" s="176" t="str">
        <f>IF(J237="","",IF(VLOOKUP(J237,'G-3 Multipliers'!$L$3:$N$6,3,FALSE)=0,"Spatial Data Missing",VLOOKUP(J237,'G-3 Multipliers'!$L$3:$N$6,3,FALSE)))</f>
        <v/>
      </c>
      <c r="M237" s="177" t="str">
        <f>IF(D237="","",VLOOKUP(D237,'G-6 Hedgerow Data'!$B$1:$AH$15,33,FALSE))</f>
        <v/>
      </c>
      <c r="N237" s="207" t="str">
        <f t="shared" si="23"/>
        <v/>
      </c>
      <c r="O237" s="44"/>
      <c r="P237" s="173"/>
      <c r="Q237" s="189"/>
      <c r="R237" s="179" t="str">
        <f t="shared" si="24"/>
        <v/>
      </c>
      <c r="S237" s="179" t="str">
        <f t="shared" si="25"/>
        <v/>
      </c>
      <c r="T237" s="208" t="str">
        <f t="shared" si="26"/>
        <v/>
      </c>
      <c r="U237" s="209" t="str">
        <f t="shared" si="27"/>
        <v/>
      </c>
      <c r="V237" s="182"/>
      <c r="W237" s="183"/>
      <c r="AB237" s="35" t="str">
        <f>IFERROR(INDEX('G-6 Hedgerow Data'!$BJ$3:$BJ$15,MATCH(D237,'G-6 Hedgerow Data'!$B$3:$B$15,0)),"")</f>
        <v/>
      </c>
      <c r="AE237" s="188" t="str">
        <f t="shared" si="21"/>
        <v/>
      </c>
      <c r="AF237" s="188" t="str">
        <f t="shared" si="22"/>
        <v/>
      </c>
      <c r="AH237" s="188">
        <v>228</v>
      </c>
      <c r="AJ237" s="188" t="str">
        <f t="array" ref="AJ237">IFERROR(INDEX($AH$10:$AH$258, MATCH(0, IF(TRUE=$AE$10:$AE$258, COUNTIF($AJ$9:$AJ236, $AH$10:$AH$258), ""), 0)),"")</f>
        <v/>
      </c>
      <c r="AK237" s="188" t="str">
        <f t="array" ref="AK237">IFERROR(INDEX($AH$10:$AH$258, MATCH(0, IF(TRUE=$AF$10:$AF$258, COUNTIF($AK$9:$AK236, $AH$10:$AH$258), ""), 0)),"")</f>
        <v/>
      </c>
    </row>
    <row r="238" spans="2:37" ht="13.8" x14ac:dyDescent="0.25">
      <c r="B238" s="168">
        <v>229</v>
      </c>
      <c r="C238" s="275"/>
      <c r="D238" s="275"/>
      <c r="E238" s="185"/>
      <c r="F238" s="171" t="str">
        <f>IF(D238="","",VLOOKUP(D238,'G-6 Hedgerow Data'!$B$2:$AG$15,2,FALSE))</f>
        <v/>
      </c>
      <c r="G238" s="172" t="str">
        <f>IF(D238="","",VLOOKUP(D238,'G-6 Hedgerow Data'!$B$2:$AG$15,3,FALSE))</f>
        <v/>
      </c>
      <c r="H238" s="173"/>
      <c r="I238" s="172" t="str">
        <f>IFERROR(IF(AND(F238="V.Low",OR(H238="Good",H238="Moderate")),"Error",VLOOKUP(H238,'G-1 All Habitats'!$Z$2:$AA$9,2,FALSE)),"")</f>
        <v/>
      </c>
      <c r="J238" s="186"/>
      <c r="K238" s="175" t="str">
        <f>IF(J238="","",IF(VLOOKUP(J238,'G-3 Multipliers'!$L$3:$N$6,2,FALSE)=0,"Spatial Data Missing",VLOOKUP(J238,'G-3 Multipliers'!$L$3:$N$6,2,FALSE)))</f>
        <v/>
      </c>
      <c r="L238" s="176" t="str">
        <f>IF(J238="","",IF(VLOOKUP(J238,'G-3 Multipliers'!$L$3:$N$6,3,FALSE)=0,"Spatial Data Missing",VLOOKUP(J238,'G-3 Multipliers'!$L$3:$N$6,3,FALSE)))</f>
        <v/>
      </c>
      <c r="M238" s="177" t="str">
        <f>IF(D238="","",VLOOKUP(D238,'G-6 Hedgerow Data'!$B$1:$AH$15,33,FALSE))</f>
        <v/>
      </c>
      <c r="N238" s="207" t="str">
        <f t="shared" si="23"/>
        <v/>
      </c>
      <c r="O238" s="44"/>
      <c r="P238" s="173"/>
      <c r="Q238" s="189"/>
      <c r="R238" s="179" t="str">
        <f t="shared" si="24"/>
        <v/>
      </c>
      <c r="S238" s="179" t="str">
        <f t="shared" si="25"/>
        <v/>
      </c>
      <c r="T238" s="208" t="str">
        <f t="shared" si="26"/>
        <v/>
      </c>
      <c r="U238" s="209" t="str">
        <f t="shared" si="27"/>
        <v/>
      </c>
      <c r="V238" s="182"/>
      <c r="W238" s="183"/>
      <c r="AB238" s="35" t="str">
        <f>IFERROR(INDEX('G-6 Hedgerow Data'!$BJ$3:$BJ$15,MATCH(D238,'G-6 Hedgerow Data'!$B$3:$B$15,0)),"")</f>
        <v/>
      </c>
      <c r="AE238" s="188" t="str">
        <f t="shared" si="21"/>
        <v/>
      </c>
      <c r="AF238" s="188" t="str">
        <f t="shared" si="22"/>
        <v/>
      </c>
      <c r="AH238" s="188">
        <v>229</v>
      </c>
      <c r="AJ238" s="188" t="str">
        <f t="array" ref="AJ238">IFERROR(INDEX($AH$10:$AH$258, MATCH(0, IF(TRUE=$AE$10:$AE$258, COUNTIF($AJ$9:$AJ237, $AH$10:$AH$258), ""), 0)),"")</f>
        <v/>
      </c>
      <c r="AK238" s="188" t="str">
        <f t="array" ref="AK238">IFERROR(INDEX($AH$10:$AH$258, MATCH(0, IF(TRUE=$AF$10:$AF$258, COUNTIF($AK$9:$AK237, $AH$10:$AH$258), ""), 0)),"")</f>
        <v/>
      </c>
    </row>
    <row r="239" spans="2:37" ht="13.8" x14ac:dyDescent="0.25">
      <c r="B239" s="168">
        <v>230</v>
      </c>
      <c r="C239" s="275"/>
      <c r="D239" s="275"/>
      <c r="E239" s="185"/>
      <c r="F239" s="171" t="str">
        <f>IF(D239="","",VLOOKUP(D239,'G-6 Hedgerow Data'!$B$2:$AG$15,2,FALSE))</f>
        <v/>
      </c>
      <c r="G239" s="172" t="str">
        <f>IF(D239="","",VLOOKUP(D239,'G-6 Hedgerow Data'!$B$2:$AG$15,3,FALSE))</f>
        <v/>
      </c>
      <c r="H239" s="173"/>
      <c r="I239" s="172" t="str">
        <f>IFERROR(IF(AND(F239="V.Low",OR(H239="Good",H239="Moderate")),"Error",VLOOKUP(H239,'G-1 All Habitats'!$Z$2:$AA$9,2,FALSE)),"")</f>
        <v/>
      </c>
      <c r="J239" s="186"/>
      <c r="K239" s="175" t="str">
        <f>IF(J239="","",IF(VLOOKUP(J239,'G-3 Multipliers'!$L$3:$N$6,2,FALSE)=0,"Spatial Data Missing",VLOOKUP(J239,'G-3 Multipliers'!$L$3:$N$6,2,FALSE)))</f>
        <v/>
      </c>
      <c r="L239" s="176" t="str">
        <f>IF(J239="","",IF(VLOOKUP(J239,'G-3 Multipliers'!$L$3:$N$6,3,FALSE)=0,"Spatial Data Missing",VLOOKUP(J239,'G-3 Multipliers'!$L$3:$N$6,3,FALSE)))</f>
        <v/>
      </c>
      <c r="M239" s="177" t="str">
        <f>IF(D239="","",VLOOKUP(D239,'G-6 Hedgerow Data'!$B$1:$AH$15,33,FALSE))</f>
        <v/>
      </c>
      <c r="N239" s="207" t="str">
        <f t="shared" si="23"/>
        <v/>
      </c>
      <c r="O239" s="44"/>
      <c r="P239" s="173"/>
      <c r="Q239" s="189"/>
      <c r="R239" s="179" t="str">
        <f t="shared" si="24"/>
        <v/>
      </c>
      <c r="S239" s="179" t="str">
        <f t="shared" si="25"/>
        <v/>
      </c>
      <c r="T239" s="208" t="str">
        <f t="shared" si="26"/>
        <v/>
      </c>
      <c r="U239" s="209" t="str">
        <f t="shared" si="27"/>
        <v/>
      </c>
      <c r="V239" s="182"/>
      <c r="W239" s="183"/>
      <c r="AB239" s="35" t="str">
        <f>IFERROR(INDEX('G-6 Hedgerow Data'!$BJ$3:$BJ$15,MATCH(D239,'G-6 Hedgerow Data'!$B$3:$B$15,0)),"")</f>
        <v/>
      </c>
      <c r="AE239" s="188" t="str">
        <f t="shared" si="21"/>
        <v/>
      </c>
      <c r="AF239" s="188" t="str">
        <f t="shared" si="22"/>
        <v/>
      </c>
      <c r="AH239" s="188">
        <v>230</v>
      </c>
      <c r="AJ239" s="188" t="str">
        <f t="array" ref="AJ239">IFERROR(INDEX($AH$10:$AH$258, MATCH(0, IF(TRUE=$AE$10:$AE$258, COUNTIF($AJ$9:$AJ238, $AH$10:$AH$258), ""), 0)),"")</f>
        <v/>
      </c>
      <c r="AK239" s="188" t="str">
        <f t="array" ref="AK239">IFERROR(INDEX($AH$10:$AH$258, MATCH(0, IF(TRUE=$AF$10:$AF$258, COUNTIF($AK$9:$AK238, $AH$10:$AH$258), ""), 0)),"")</f>
        <v/>
      </c>
    </row>
    <row r="240" spans="2:37" ht="13.8" x14ac:dyDescent="0.25">
      <c r="B240" s="168">
        <v>231</v>
      </c>
      <c r="C240" s="275"/>
      <c r="D240" s="275"/>
      <c r="E240" s="185"/>
      <c r="F240" s="171" t="str">
        <f>IF(D240="","",VLOOKUP(D240,'G-6 Hedgerow Data'!$B$2:$AG$15,2,FALSE))</f>
        <v/>
      </c>
      <c r="G240" s="172" t="str">
        <f>IF(D240="","",VLOOKUP(D240,'G-6 Hedgerow Data'!$B$2:$AG$15,3,FALSE))</f>
        <v/>
      </c>
      <c r="H240" s="173"/>
      <c r="I240" s="172" t="str">
        <f>IFERROR(IF(AND(F240="V.Low",OR(H240="Good",H240="Moderate")),"Error",VLOOKUP(H240,'G-1 All Habitats'!$Z$2:$AA$9,2,FALSE)),"")</f>
        <v/>
      </c>
      <c r="J240" s="186"/>
      <c r="K240" s="175" t="str">
        <f>IF(J240="","",IF(VLOOKUP(J240,'G-3 Multipliers'!$L$3:$N$6,2,FALSE)=0,"Spatial Data Missing",VLOOKUP(J240,'G-3 Multipliers'!$L$3:$N$6,2,FALSE)))</f>
        <v/>
      </c>
      <c r="L240" s="176" t="str">
        <f>IF(J240="","",IF(VLOOKUP(J240,'G-3 Multipliers'!$L$3:$N$6,3,FALSE)=0,"Spatial Data Missing",VLOOKUP(J240,'G-3 Multipliers'!$L$3:$N$6,3,FALSE)))</f>
        <v/>
      </c>
      <c r="M240" s="177" t="str">
        <f>IF(D240="","",VLOOKUP(D240,'G-6 Hedgerow Data'!$B$1:$AH$15,33,FALSE))</f>
        <v/>
      </c>
      <c r="N240" s="207" t="str">
        <f t="shared" si="23"/>
        <v/>
      </c>
      <c r="O240" s="44"/>
      <c r="P240" s="173"/>
      <c r="Q240" s="189"/>
      <c r="R240" s="179" t="str">
        <f t="shared" si="24"/>
        <v/>
      </c>
      <c r="S240" s="179" t="str">
        <f t="shared" si="25"/>
        <v/>
      </c>
      <c r="T240" s="208" t="str">
        <f t="shared" si="26"/>
        <v/>
      </c>
      <c r="U240" s="209" t="str">
        <f t="shared" si="27"/>
        <v/>
      </c>
      <c r="V240" s="182"/>
      <c r="W240" s="183"/>
      <c r="AB240" s="35" t="str">
        <f>IFERROR(INDEX('G-6 Hedgerow Data'!$BJ$3:$BJ$15,MATCH(D240,'G-6 Hedgerow Data'!$B$3:$B$15,0)),"")</f>
        <v/>
      </c>
      <c r="AE240" s="188" t="str">
        <f t="shared" si="21"/>
        <v/>
      </c>
      <c r="AF240" s="188" t="str">
        <f t="shared" si="22"/>
        <v/>
      </c>
      <c r="AH240" s="188">
        <v>231</v>
      </c>
      <c r="AJ240" s="188" t="str">
        <f t="array" ref="AJ240">IFERROR(INDEX($AH$10:$AH$258, MATCH(0, IF(TRUE=$AE$10:$AE$258, COUNTIF($AJ$9:$AJ239, $AH$10:$AH$258), ""), 0)),"")</f>
        <v/>
      </c>
      <c r="AK240" s="188" t="str">
        <f t="array" ref="AK240">IFERROR(INDEX($AH$10:$AH$258, MATCH(0, IF(TRUE=$AF$10:$AF$258, COUNTIF($AK$9:$AK239, $AH$10:$AH$258), ""), 0)),"")</f>
        <v/>
      </c>
    </row>
    <row r="241" spans="2:37" ht="13.8" x14ac:dyDescent="0.25">
      <c r="B241" s="168">
        <v>232</v>
      </c>
      <c r="C241" s="275"/>
      <c r="D241" s="275"/>
      <c r="E241" s="185"/>
      <c r="F241" s="171" t="str">
        <f>IF(D241="","",VLOOKUP(D241,'G-6 Hedgerow Data'!$B$2:$AG$15,2,FALSE))</f>
        <v/>
      </c>
      <c r="G241" s="172" t="str">
        <f>IF(D241="","",VLOOKUP(D241,'G-6 Hedgerow Data'!$B$2:$AG$15,3,FALSE))</f>
        <v/>
      </c>
      <c r="H241" s="173"/>
      <c r="I241" s="172" t="str">
        <f>IFERROR(IF(AND(F241="V.Low",OR(H241="Good",H241="Moderate")),"Error",VLOOKUP(H241,'G-1 All Habitats'!$Z$2:$AA$9,2,FALSE)),"")</f>
        <v/>
      </c>
      <c r="J241" s="186"/>
      <c r="K241" s="175" t="str">
        <f>IF(J241="","",IF(VLOOKUP(J241,'G-3 Multipliers'!$L$3:$N$6,2,FALSE)=0,"Spatial Data Missing",VLOOKUP(J241,'G-3 Multipliers'!$L$3:$N$6,2,FALSE)))</f>
        <v/>
      </c>
      <c r="L241" s="176" t="str">
        <f>IF(J241="","",IF(VLOOKUP(J241,'G-3 Multipliers'!$L$3:$N$6,3,FALSE)=0,"Spatial Data Missing",VLOOKUP(J241,'G-3 Multipliers'!$L$3:$N$6,3,FALSE)))</f>
        <v/>
      </c>
      <c r="M241" s="177" t="str">
        <f>IF(D241="","",VLOOKUP(D241,'G-6 Hedgerow Data'!$B$1:$AH$15,33,FALSE))</f>
        <v/>
      </c>
      <c r="N241" s="207" t="str">
        <f t="shared" si="23"/>
        <v/>
      </c>
      <c r="O241" s="44"/>
      <c r="P241" s="173"/>
      <c r="Q241" s="189"/>
      <c r="R241" s="179" t="str">
        <f t="shared" si="24"/>
        <v/>
      </c>
      <c r="S241" s="179" t="str">
        <f t="shared" si="25"/>
        <v/>
      </c>
      <c r="T241" s="208" t="str">
        <f t="shared" si="26"/>
        <v/>
      </c>
      <c r="U241" s="209" t="str">
        <f t="shared" si="27"/>
        <v/>
      </c>
      <c r="V241" s="182"/>
      <c r="W241" s="183"/>
      <c r="AB241" s="35" t="str">
        <f>IFERROR(INDEX('G-6 Hedgerow Data'!$BJ$3:$BJ$15,MATCH(D241,'G-6 Hedgerow Data'!$B$3:$B$15,0)),"")</f>
        <v/>
      </c>
      <c r="AE241" s="188" t="str">
        <f t="shared" si="21"/>
        <v/>
      </c>
      <c r="AF241" s="188" t="str">
        <f t="shared" si="22"/>
        <v/>
      </c>
      <c r="AH241" s="188">
        <v>232</v>
      </c>
      <c r="AJ241" s="188" t="str">
        <f t="array" ref="AJ241">IFERROR(INDEX($AH$10:$AH$258, MATCH(0, IF(TRUE=$AE$10:$AE$258, COUNTIF($AJ$9:$AJ240, $AH$10:$AH$258), ""), 0)),"")</f>
        <v/>
      </c>
      <c r="AK241" s="188" t="str">
        <f t="array" ref="AK241">IFERROR(INDEX($AH$10:$AH$258, MATCH(0, IF(TRUE=$AF$10:$AF$258, COUNTIF($AK$9:$AK240, $AH$10:$AH$258), ""), 0)),"")</f>
        <v/>
      </c>
    </row>
    <row r="242" spans="2:37" ht="13.8" x14ac:dyDescent="0.25">
      <c r="B242" s="168">
        <v>233</v>
      </c>
      <c r="C242" s="275"/>
      <c r="D242" s="275"/>
      <c r="E242" s="185"/>
      <c r="F242" s="171" t="str">
        <f>IF(D242="","",VLOOKUP(D242,'G-6 Hedgerow Data'!$B$2:$AG$15,2,FALSE))</f>
        <v/>
      </c>
      <c r="G242" s="172" t="str">
        <f>IF(D242="","",VLOOKUP(D242,'G-6 Hedgerow Data'!$B$2:$AG$15,3,FALSE))</f>
        <v/>
      </c>
      <c r="H242" s="173"/>
      <c r="I242" s="172" t="str">
        <f>IFERROR(IF(AND(F242="V.Low",OR(H242="Good",H242="Moderate")),"Error",VLOOKUP(H242,'G-1 All Habitats'!$Z$2:$AA$9,2,FALSE)),"")</f>
        <v/>
      </c>
      <c r="J242" s="186"/>
      <c r="K242" s="175" t="str">
        <f>IF(J242="","",IF(VLOOKUP(J242,'G-3 Multipliers'!$L$3:$N$6,2,FALSE)=0,"Spatial Data Missing",VLOOKUP(J242,'G-3 Multipliers'!$L$3:$N$6,2,FALSE)))</f>
        <v/>
      </c>
      <c r="L242" s="176" t="str">
        <f>IF(J242="","",IF(VLOOKUP(J242,'G-3 Multipliers'!$L$3:$N$6,3,FALSE)=0,"Spatial Data Missing",VLOOKUP(J242,'G-3 Multipliers'!$L$3:$N$6,3,FALSE)))</f>
        <v/>
      </c>
      <c r="M242" s="177" t="str">
        <f>IF(D242="","",VLOOKUP(D242,'G-6 Hedgerow Data'!$B$1:$AH$15,33,FALSE))</f>
        <v/>
      </c>
      <c r="N242" s="207" t="str">
        <f t="shared" si="23"/>
        <v/>
      </c>
      <c r="O242" s="44"/>
      <c r="P242" s="173"/>
      <c r="Q242" s="189"/>
      <c r="R242" s="179" t="str">
        <f t="shared" si="24"/>
        <v/>
      </c>
      <c r="S242" s="179" t="str">
        <f t="shared" si="25"/>
        <v/>
      </c>
      <c r="T242" s="208" t="str">
        <f t="shared" si="26"/>
        <v/>
      </c>
      <c r="U242" s="209" t="str">
        <f t="shared" si="27"/>
        <v/>
      </c>
      <c r="V242" s="182"/>
      <c r="W242" s="183"/>
      <c r="AB242" s="35" t="str">
        <f>IFERROR(INDEX('G-6 Hedgerow Data'!$BJ$3:$BJ$15,MATCH(D242,'G-6 Hedgerow Data'!$B$3:$B$15,0)),"")</f>
        <v/>
      </c>
      <c r="AE242" s="188" t="str">
        <f t="shared" si="21"/>
        <v/>
      </c>
      <c r="AF242" s="188" t="str">
        <f t="shared" si="22"/>
        <v/>
      </c>
      <c r="AH242" s="188">
        <v>233</v>
      </c>
      <c r="AJ242" s="188" t="str">
        <f t="array" ref="AJ242">IFERROR(INDEX($AH$10:$AH$258, MATCH(0, IF(TRUE=$AE$10:$AE$258, COUNTIF($AJ$9:$AJ241, $AH$10:$AH$258), ""), 0)),"")</f>
        <v/>
      </c>
      <c r="AK242" s="188" t="str">
        <f t="array" ref="AK242">IFERROR(INDEX($AH$10:$AH$258, MATCH(0, IF(TRUE=$AF$10:$AF$258, COUNTIF($AK$9:$AK241, $AH$10:$AH$258), ""), 0)),"")</f>
        <v/>
      </c>
    </row>
    <row r="243" spans="2:37" ht="13.8" x14ac:dyDescent="0.25">
      <c r="B243" s="168">
        <v>234</v>
      </c>
      <c r="C243" s="275"/>
      <c r="D243" s="275"/>
      <c r="E243" s="185"/>
      <c r="F243" s="171" t="str">
        <f>IF(D243="","",VLOOKUP(D243,'G-6 Hedgerow Data'!$B$2:$AG$15,2,FALSE))</f>
        <v/>
      </c>
      <c r="G243" s="172" t="str">
        <f>IF(D243="","",VLOOKUP(D243,'G-6 Hedgerow Data'!$B$2:$AG$15,3,FALSE))</f>
        <v/>
      </c>
      <c r="H243" s="173"/>
      <c r="I243" s="172" t="str">
        <f>IFERROR(IF(AND(F243="V.Low",OR(H243="Good",H243="Moderate")),"Error",VLOOKUP(H243,'G-1 All Habitats'!$Z$2:$AA$9,2,FALSE)),"")</f>
        <v/>
      </c>
      <c r="J243" s="186"/>
      <c r="K243" s="175" t="str">
        <f>IF(J243="","",IF(VLOOKUP(J243,'G-3 Multipliers'!$L$3:$N$6,2,FALSE)=0,"Spatial Data Missing",VLOOKUP(J243,'G-3 Multipliers'!$L$3:$N$6,2,FALSE)))</f>
        <v/>
      </c>
      <c r="L243" s="176" t="str">
        <f>IF(J243="","",IF(VLOOKUP(J243,'G-3 Multipliers'!$L$3:$N$6,3,FALSE)=0,"Spatial Data Missing",VLOOKUP(J243,'G-3 Multipliers'!$L$3:$N$6,3,FALSE)))</f>
        <v/>
      </c>
      <c r="M243" s="177" t="str">
        <f>IF(D243="","",VLOOKUP(D243,'G-6 Hedgerow Data'!$B$1:$AH$15,33,FALSE))</f>
        <v/>
      </c>
      <c r="N243" s="207" t="str">
        <f t="shared" si="23"/>
        <v/>
      </c>
      <c r="O243" s="44"/>
      <c r="P243" s="173"/>
      <c r="Q243" s="189"/>
      <c r="R243" s="179" t="str">
        <f t="shared" si="24"/>
        <v/>
      </c>
      <c r="S243" s="179" t="str">
        <f t="shared" si="25"/>
        <v/>
      </c>
      <c r="T243" s="208" t="str">
        <f t="shared" si="26"/>
        <v/>
      </c>
      <c r="U243" s="209" t="str">
        <f t="shared" si="27"/>
        <v/>
      </c>
      <c r="V243" s="182"/>
      <c r="W243" s="183"/>
      <c r="AB243" s="35" t="str">
        <f>IFERROR(INDEX('G-6 Hedgerow Data'!$BJ$3:$BJ$15,MATCH(D243,'G-6 Hedgerow Data'!$B$3:$B$15,0)),"")</f>
        <v/>
      </c>
      <c r="AE243" s="188" t="str">
        <f t="shared" si="21"/>
        <v/>
      </c>
      <c r="AF243" s="188" t="str">
        <f t="shared" si="22"/>
        <v/>
      </c>
      <c r="AH243" s="188">
        <v>234</v>
      </c>
      <c r="AJ243" s="188" t="str">
        <f t="array" ref="AJ243">IFERROR(INDEX($AH$10:$AH$258, MATCH(0, IF(TRUE=$AE$10:$AE$258, COUNTIF($AJ$9:$AJ242, $AH$10:$AH$258), ""), 0)),"")</f>
        <v/>
      </c>
      <c r="AK243" s="188" t="str">
        <f t="array" ref="AK243">IFERROR(INDEX($AH$10:$AH$258, MATCH(0, IF(TRUE=$AF$10:$AF$258, COUNTIF($AK$9:$AK242, $AH$10:$AH$258), ""), 0)),"")</f>
        <v/>
      </c>
    </row>
    <row r="244" spans="2:37" ht="13.8" x14ac:dyDescent="0.25">
      <c r="B244" s="168">
        <v>235</v>
      </c>
      <c r="C244" s="275"/>
      <c r="D244" s="275"/>
      <c r="E244" s="185"/>
      <c r="F244" s="171" t="str">
        <f>IF(D244="","",VLOOKUP(D244,'G-6 Hedgerow Data'!$B$2:$AG$15,2,FALSE))</f>
        <v/>
      </c>
      <c r="G244" s="172" t="str">
        <f>IF(D244="","",VLOOKUP(D244,'G-6 Hedgerow Data'!$B$2:$AG$15,3,FALSE))</f>
        <v/>
      </c>
      <c r="H244" s="173"/>
      <c r="I244" s="172" t="str">
        <f>IFERROR(IF(AND(F244="V.Low",OR(H244="Good",H244="Moderate")),"Error",VLOOKUP(H244,'G-1 All Habitats'!$Z$2:$AA$9,2,FALSE)),"")</f>
        <v/>
      </c>
      <c r="J244" s="186"/>
      <c r="K244" s="175" t="str">
        <f>IF(J244="","",IF(VLOOKUP(J244,'G-3 Multipliers'!$L$3:$N$6,2,FALSE)=0,"Spatial Data Missing",VLOOKUP(J244,'G-3 Multipliers'!$L$3:$N$6,2,FALSE)))</f>
        <v/>
      </c>
      <c r="L244" s="176" t="str">
        <f>IF(J244="","",IF(VLOOKUP(J244,'G-3 Multipliers'!$L$3:$N$6,3,FALSE)=0,"Spatial Data Missing",VLOOKUP(J244,'G-3 Multipliers'!$L$3:$N$6,3,FALSE)))</f>
        <v/>
      </c>
      <c r="M244" s="177" t="str">
        <f>IF(D244="","",VLOOKUP(D244,'G-6 Hedgerow Data'!$B$1:$AH$15,33,FALSE))</f>
        <v/>
      </c>
      <c r="N244" s="207" t="str">
        <f t="shared" si="23"/>
        <v/>
      </c>
      <c r="O244" s="44"/>
      <c r="P244" s="173"/>
      <c r="Q244" s="189"/>
      <c r="R244" s="179" t="str">
        <f t="shared" si="24"/>
        <v/>
      </c>
      <c r="S244" s="179" t="str">
        <f t="shared" si="25"/>
        <v/>
      </c>
      <c r="T244" s="208" t="str">
        <f t="shared" si="26"/>
        <v/>
      </c>
      <c r="U244" s="209" t="str">
        <f t="shared" si="27"/>
        <v/>
      </c>
      <c r="V244" s="182"/>
      <c r="W244" s="183"/>
      <c r="AB244" s="35" t="str">
        <f>IFERROR(INDEX('G-6 Hedgerow Data'!$BJ$3:$BJ$15,MATCH(D244,'G-6 Hedgerow Data'!$B$3:$B$15,0)),"")</f>
        <v/>
      </c>
      <c r="AE244" s="188" t="str">
        <f t="shared" si="21"/>
        <v/>
      </c>
      <c r="AF244" s="188" t="str">
        <f t="shared" si="22"/>
        <v/>
      </c>
      <c r="AH244" s="188">
        <v>235</v>
      </c>
      <c r="AJ244" s="188" t="str">
        <f t="array" ref="AJ244">IFERROR(INDEX($AH$10:$AH$258, MATCH(0, IF(TRUE=$AE$10:$AE$258, COUNTIF($AJ$9:$AJ243, $AH$10:$AH$258), ""), 0)),"")</f>
        <v/>
      </c>
      <c r="AK244" s="188" t="str">
        <f t="array" ref="AK244">IFERROR(INDEX($AH$10:$AH$258, MATCH(0, IF(TRUE=$AF$10:$AF$258, COUNTIF($AK$9:$AK243, $AH$10:$AH$258), ""), 0)),"")</f>
        <v/>
      </c>
    </row>
    <row r="245" spans="2:37" ht="13.8" x14ac:dyDescent="0.25">
      <c r="B245" s="168">
        <v>236</v>
      </c>
      <c r="C245" s="275"/>
      <c r="D245" s="275"/>
      <c r="E245" s="185"/>
      <c r="F245" s="171" t="str">
        <f>IF(D245="","",VLOOKUP(D245,'G-6 Hedgerow Data'!$B$2:$AG$15,2,FALSE))</f>
        <v/>
      </c>
      <c r="G245" s="172" t="str">
        <f>IF(D245="","",VLOOKUP(D245,'G-6 Hedgerow Data'!$B$2:$AG$15,3,FALSE))</f>
        <v/>
      </c>
      <c r="H245" s="173"/>
      <c r="I245" s="172" t="str">
        <f>IFERROR(IF(AND(F245="V.Low",OR(H245="Good",H245="Moderate")),"Error",VLOOKUP(H245,'G-1 All Habitats'!$Z$2:$AA$9,2,FALSE)),"")</f>
        <v/>
      </c>
      <c r="J245" s="186"/>
      <c r="K245" s="175" t="str">
        <f>IF(J245="","",IF(VLOOKUP(J245,'G-3 Multipliers'!$L$3:$N$6,2,FALSE)=0,"Spatial Data Missing",VLOOKUP(J245,'G-3 Multipliers'!$L$3:$N$6,2,FALSE)))</f>
        <v/>
      </c>
      <c r="L245" s="176" t="str">
        <f>IF(J245="","",IF(VLOOKUP(J245,'G-3 Multipliers'!$L$3:$N$6,3,FALSE)=0,"Spatial Data Missing",VLOOKUP(J245,'G-3 Multipliers'!$L$3:$N$6,3,FALSE)))</f>
        <v/>
      </c>
      <c r="M245" s="177" t="str">
        <f>IF(D245="","",VLOOKUP(D245,'G-6 Hedgerow Data'!$B$1:$AH$15,33,FALSE))</f>
        <v/>
      </c>
      <c r="N245" s="207" t="str">
        <f t="shared" si="23"/>
        <v/>
      </c>
      <c r="O245" s="44"/>
      <c r="P245" s="173"/>
      <c r="Q245" s="189"/>
      <c r="R245" s="179" t="str">
        <f t="shared" si="24"/>
        <v/>
      </c>
      <c r="S245" s="179" t="str">
        <f t="shared" si="25"/>
        <v/>
      </c>
      <c r="T245" s="208" t="str">
        <f t="shared" si="26"/>
        <v/>
      </c>
      <c r="U245" s="209" t="str">
        <f t="shared" si="27"/>
        <v/>
      </c>
      <c r="V245" s="182"/>
      <c r="W245" s="183"/>
      <c r="AB245" s="35" t="str">
        <f>IFERROR(INDEX('G-6 Hedgerow Data'!$BJ$3:$BJ$15,MATCH(D245,'G-6 Hedgerow Data'!$B$3:$B$15,0)),"")</f>
        <v/>
      </c>
      <c r="AE245" s="188" t="str">
        <f t="shared" si="21"/>
        <v/>
      </c>
      <c r="AF245" s="188" t="str">
        <f t="shared" si="22"/>
        <v/>
      </c>
      <c r="AH245" s="188">
        <v>236</v>
      </c>
      <c r="AJ245" s="188" t="str">
        <f t="array" ref="AJ245">IFERROR(INDEX($AH$10:$AH$258, MATCH(0, IF(TRUE=$AE$10:$AE$258, COUNTIF($AJ$9:$AJ244, $AH$10:$AH$258), ""), 0)),"")</f>
        <v/>
      </c>
      <c r="AK245" s="188" t="str">
        <f t="array" ref="AK245">IFERROR(INDEX($AH$10:$AH$258, MATCH(0, IF(TRUE=$AF$10:$AF$258, COUNTIF($AK$9:$AK244, $AH$10:$AH$258), ""), 0)),"")</f>
        <v/>
      </c>
    </row>
    <row r="246" spans="2:37" ht="13.8" x14ac:dyDescent="0.25">
      <c r="B246" s="168">
        <v>237</v>
      </c>
      <c r="C246" s="275"/>
      <c r="D246" s="275"/>
      <c r="E246" s="185"/>
      <c r="F246" s="171" t="str">
        <f>IF(D246="","",VLOOKUP(D246,'G-6 Hedgerow Data'!$B$2:$AG$15,2,FALSE))</f>
        <v/>
      </c>
      <c r="G246" s="172" t="str">
        <f>IF(D246="","",VLOOKUP(D246,'G-6 Hedgerow Data'!$B$2:$AG$15,3,FALSE))</f>
        <v/>
      </c>
      <c r="H246" s="173"/>
      <c r="I246" s="172" t="str">
        <f>IFERROR(IF(AND(F246="V.Low",OR(H246="Good",H246="Moderate")),"Error",VLOOKUP(H246,'G-1 All Habitats'!$Z$2:$AA$9,2,FALSE)),"")</f>
        <v/>
      </c>
      <c r="J246" s="186"/>
      <c r="K246" s="175" t="str">
        <f>IF(J246="","",IF(VLOOKUP(J246,'G-3 Multipliers'!$L$3:$N$6,2,FALSE)=0,"Spatial Data Missing",VLOOKUP(J246,'G-3 Multipliers'!$L$3:$N$6,2,FALSE)))</f>
        <v/>
      </c>
      <c r="L246" s="176" t="str">
        <f>IF(J246="","",IF(VLOOKUP(J246,'G-3 Multipliers'!$L$3:$N$6,3,FALSE)=0,"Spatial Data Missing",VLOOKUP(J246,'G-3 Multipliers'!$L$3:$N$6,3,FALSE)))</f>
        <v/>
      </c>
      <c r="M246" s="177" t="str">
        <f>IF(D246="","",VLOOKUP(D246,'G-6 Hedgerow Data'!$B$1:$AH$15,33,FALSE))</f>
        <v/>
      </c>
      <c r="N246" s="207" t="str">
        <f t="shared" si="23"/>
        <v/>
      </c>
      <c r="O246" s="44"/>
      <c r="P246" s="173"/>
      <c r="Q246" s="189"/>
      <c r="R246" s="179" t="str">
        <f t="shared" si="24"/>
        <v/>
      </c>
      <c r="S246" s="179" t="str">
        <f t="shared" si="25"/>
        <v/>
      </c>
      <c r="T246" s="208" t="str">
        <f t="shared" si="26"/>
        <v/>
      </c>
      <c r="U246" s="209" t="str">
        <f t="shared" si="27"/>
        <v/>
      </c>
      <c r="V246" s="182"/>
      <c r="W246" s="183"/>
      <c r="AB246" s="35" t="str">
        <f>IFERROR(INDEX('G-6 Hedgerow Data'!$BJ$3:$BJ$15,MATCH(D246,'G-6 Hedgerow Data'!$B$3:$B$15,0)),"")</f>
        <v/>
      </c>
      <c r="AE246" s="188" t="str">
        <f t="shared" si="21"/>
        <v/>
      </c>
      <c r="AF246" s="188" t="str">
        <f t="shared" si="22"/>
        <v/>
      </c>
      <c r="AH246" s="188">
        <v>237</v>
      </c>
      <c r="AJ246" s="188" t="str">
        <f t="array" ref="AJ246">IFERROR(INDEX($AH$10:$AH$258, MATCH(0, IF(TRUE=$AE$10:$AE$258, COUNTIF($AJ$9:$AJ245, $AH$10:$AH$258), ""), 0)),"")</f>
        <v/>
      </c>
      <c r="AK246" s="188" t="str">
        <f t="array" ref="AK246">IFERROR(INDEX($AH$10:$AH$258, MATCH(0, IF(TRUE=$AF$10:$AF$258, COUNTIF($AK$9:$AK245, $AH$10:$AH$258), ""), 0)),"")</f>
        <v/>
      </c>
    </row>
    <row r="247" spans="2:37" ht="13.8" x14ac:dyDescent="0.25">
      <c r="B247" s="168">
        <v>238</v>
      </c>
      <c r="C247" s="275"/>
      <c r="D247" s="275"/>
      <c r="E247" s="185"/>
      <c r="F247" s="171" t="str">
        <f>IF(D247="","",VLOOKUP(D247,'G-6 Hedgerow Data'!$B$2:$AG$15,2,FALSE))</f>
        <v/>
      </c>
      <c r="G247" s="172" t="str">
        <f>IF(D247="","",VLOOKUP(D247,'G-6 Hedgerow Data'!$B$2:$AG$15,3,FALSE))</f>
        <v/>
      </c>
      <c r="H247" s="173"/>
      <c r="I247" s="172" t="str">
        <f>IFERROR(IF(AND(F247="V.Low",OR(H247="Good",H247="Moderate")),"Error",VLOOKUP(H247,'G-1 All Habitats'!$Z$2:$AA$9,2,FALSE)),"")</f>
        <v/>
      </c>
      <c r="J247" s="186"/>
      <c r="K247" s="175" t="str">
        <f>IF(J247="","",IF(VLOOKUP(J247,'G-3 Multipliers'!$L$3:$N$6,2,FALSE)=0,"Spatial Data Missing",VLOOKUP(J247,'G-3 Multipliers'!$L$3:$N$6,2,FALSE)))</f>
        <v/>
      </c>
      <c r="L247" s="176" t="str">
        <f>IF(J247="","",IF(VLOOKUP(J247,'G-3 Multipliers'!$L$3:$N$6,3,FALSE)=0,"Spatial Data Missing",VLOOKUP(J247,'G-3 Multipliers'!$L$3:$N$6,3,FALSE)))</f>
        <v/>
      </c>
      <c r="M247" s="177" t="str">
        <f>IF(D247="","",VLOOKUP(D247,'G-6 Hedgerow Data'!$B$1:$AH$15,33,FALSE))</f>
        <v/>
      </c>
      <c r="N247" s="207" t="str">
        <f t="shared" si="23"/>
        <v/>
      </c>
      <c r="O247" s="44"/>
      <c r="P247" s="173"/>
      <c r="Q247" s="189"/>
      <c r="R247" s="179" t="str">
        <f t="shared" si="24"/>
        <v/>
      </c>
      <c r="S247" s="179" t="str">
        <f t="shared" si="25"/>
        <v/>
      </c>
      <c r="T247" s="208" t="str">
        <f t="shared" si="26"/>
        <v/>
      </c>
      <c r="U247" s="209" t="str">
        <f t="shared" si="27"/>
        <v/>
      </c>
      <c r="V247" s="182"/>
      <c r="W247" s="183"/>
      <c r="AB247" s="35" t="str">
        <f>IFERROR(INDEX('G-6 Hedgerow Data'!$BJ$3:$BJ$15,MATCH(D247,'G-6 Hedgerow Data'!$B$3:$B$15,0)),"")</f>
        <v/>
      </c>
      <c r="AE247" s="188" t="str">
        <f t="shared" si="21"/>
        <v/>
      </c>
      <c r="AF247" s="188" t="str">
        <f t="shared" si="22"/>
        <v/>
      </c>
      <c r="AH247" s="188">
        <v>238</v>
      </c>
      <c r="AJ247" s="188" t="str">
        <f t="array" ref="AJ247">IFERROR(INDEX($AH$10:$AH$258, MATCH(0, IF(TRUE=$AE$10:$AE$258, COUNTIF($AJ$9:$AJ246, $AH$10:$AH$258), ""), 0)),"")</f>
        <v/>
      </c>
      <c r="AK247" s="188" t="str">
        <f t="array" ref="AK247">IFERROR(INDEX($AH$10:$AH$258, MATCH(0, IF(TRUE=$AF$10:$AF$258, COUNTIF($AK$9:$AK246, $AH$10:$AH$258), ""), 0)),"")</f>
        <v/>
      </c>
    </row>
    <row r="248" spans="2:37" ht="13.8" x14ac:dyDescent="0.25">
      <c r="B248" s="168">
        <v>239</v>
      </c>
      <c r="C248" s="275"/>
      <c r="D248" s="275"/>
      <c r="E248" s="185"/>
      <c r="F248" s="171" t="str">
        <f>IF(D248="","",VLOOKUP(D248,'G-6 Hedgerow Data'!$B$2:$AG$15,2,FALSE))</f>
        <v/>
      </c>
      <c r="G248" s="172" t="str">
        <f>IF(D248="","",VLOOKUP(D248,'G-6 Hedgerow Data'!$B$2:$AG$15,3,FALSE))</f>
        <v/>
      </c>
      <c r="H248" s="173"/>
      <c r="I248" s="172" t="str">
        <f>IFERROR(IF(AND(F248="V.Low",OR(H248="Good",H248="Moderate")),"Error",VLOOKUP(H248,'G-1 All Habitats'!$Z$2:$AA$9,2,FALSE)),"")</f>
        <v/>
      </c>
      <c r="J248" s="186"/>
      <c r="K248" s="175" t="str">
        <f>IF(J248="","",IF(VLOOKUP(J248,'G-3 Multipliers'!$L$3:$N$6,2,FALSE)=0,"Spatial Data Missing",VLOOKUP(J248,'G-3 Multipliers'!$L$3:$N$6,2,FALSE)))</f>
        <v/>
      </c>
      <c r="L248" s="176" t="str">
        <f>IF(J248="","",IF(VLOOKUP(J248,'G-3 Multipliers'!$L$3:$N$6,3,FALSE)=0,"Spatial Data Missing",VLOOKUP(J248,'G-3 Multipliers'!$L$3:$N$6,3,FALSE)))</f>
        <v/>
      </c>
      <c r="M248" s="177" t="str">
        <f>IF(D248="","",VLOOKUP(D248,'G-6 Hedgerow Data'!$B$1:$AH$15,33,FALSE))</f>
        <v/>
      </c>
      <c r="N248" s="207" t="str">
        <f t="shared" si="23"/>
        <v/>
      </c>
      <c r="O248" s="44"/>
      <c r="P248" s="173"/>
      <c r="Q248" s="189"/>
      <c r="R248" s="179" t="str">
        <f t="shared" si="24"/>
        <v/>
      </c>
      <c r="S248" s="179" t="str">
        <f t="shared" si="25"/>
        <v/>
      </c>
      <c r="T248" s="208" t="str">
        <f t="shared" si="26"/>
        <v/>
      </c>
      <c r="U248" s="209" t="str">
        <f t="shared" si="27"/>
        <v/>
      </c>
      <c r="V248" s="182"/>
      <c r="W248" s="183"/>
      <c r="AB248" s="35" t="str">
        <f>IFERROR(INDEX('G-6 Hedgerow Data'!$BJ$3:$BJ$15,MATCH(D248,'G-6 Hedgerow Data'!$B$3:$B$15,0)),"")</f>
        <v/>
      </c>
      <c r="AE248" s="188" t="str">
        <f t="shared" si="21"/>
        <v/>
      </c>
      <c r="AF248" s="188" t="str">
        <f t="shared" si="22"/>
        <v/>
      </c>
      <c r="AH248" s="188">
        <v>239</v>
      </c>
      <c r="AJ248" s="188" t="str">
        <f t="array" ref="AJ248">IFERROR(INDEX($AH$10:$AH$258, MATCH(0, IF(TRUE=$AE$10:$AE$258, COUNTIF($AJ$9:$AJ247, $AH$10:$AH$258), ""), 0)),"")</f>
        <v/>
      </c>
      <c r="AK248" s="188" t="str">
        <f t="array" ref="AK248">IFERROR(INDEX($AH$10:$AH$258, MATCH(0, IF(TRUE=$AF$10:$AF$258, COUNTIF($AK$9:$AK247, $AH$10:$AH$258), ""), 0)),"")</f>
        <v/>
      </c>
    </row>
    <row r="249" spans="2:37" ht="13.8" x14ac:dyDescent="0.25">
      <c r="B249" s="168">
        <v>240</v>
      </c>
      <c r="C249" s="275"/>
      <c r="D249" s="275"/>
      <c r="E249" s="185"/>
      <c r="F249" s="171" t="str">
        <f>IF(D249="","",VLOOKUP(D249,'G-6 Hedgerow Data'!$B$2:$AG$15,2,FALSE))</f>
        <v/>
      </c>
      <c r="G249" s="172" t="str">
        <f>IF(D249="","",VLOOKUP(D249,'G-6 Hedgerow Data'!$B$2:$AG$15,3,FALSE))</f>
        <v/>
      </c>
      <c r="H249" s="173"/>
      <c r="I249" s="172" t="str">
        <f>IFERROR(IF(AND(F249="V.Low",OR(H249="Good",H249="Moderate")),"Error",VLOOKUP(H249,'G-1 All Habitats'!$Z$2:$AA$9,2,FALSE)),"")</f>
        <v/>
      </c>
      <c r="J249" s="186"/>
      <c r="K249" s="175" t="str">
        <f>IF(J249="","",IF(VLOOKUP(J249,'G-3 Multipliers'!$L$3:$N$6,2,FALSE)=0,"Spatial Data Missing",VLOOKUP(J249,'G-3 Multipliers'!$L$3:$N$6,2,FALSE)))</f>
        <v/>
      </c>
      <c r="L249" s="176" t="str">
        <f>IF(J249="","",IF(VLOOKUP(J249,'G-3 Multipliers'!$L$3:$N$6,3,FALSE)=0,"Spatial Data Missing",VLOOKUP(J249,'G-3 Multipliers'!$L$3:$N$6,3,FALSE)))</f>
        <v/>
      </c>
      <c r="M249" s="177" t="str">
        <f>IF(D249="","",VLOOKUP(D249,'G-6 Hedgerow Data'!$B$1:$AH$15,33,FALSE))</f>
        <v/>
      </c>
      <c r="N249" s="207" t="str">
        <f t="shared" si="23"/>
        <v/>
      </c>
      <c r="O249" s="44"/>
      <c r="P249" s="173"/>
      <c r="Q249" s="189"/>
      <c r="R249" s="179" t="str">
        <f t="shared" si="24"/>
        <v/>
      </c>
      <c r="S249" s="179" t="str">
        <f t="shared" si="25"/>
        <v/>
      </c>
      <c r="T249" s="208" t="str">
        <f t="shared" si="26"/>
        <v/>
      </c>
      <c r="U249" s="209" t="str">
        <f t="shared" si="27"/>
        <v/>
      </c>
      <c r="V249" s="182"/>
      <c r="W249" s="183"/>
      <c r="AB249" s="35" t="str">
        <f>IFERROR(INDEX('G-6 Hedgerow Data'!$BJ$3:$BJ$15,MATCH(D249,'G-6 Hedgerow Data'!$B$3:$B$15,0)),"")</f>
        <v/>
      </c>
      <c r="AE249" s="188" t="str">
        <f t="shared" si="21"/>
        <v/>
      </c>
      <c r="AF249" s="188" t="str">
        <f t="shared" si="22"/>
        <v/>
      </c>
      <c r="AH249" s="188">
        <v>240</v>
      </c>
      <c r="AJ249" s="188" t="str">
        <f t="array" ref="AJ249">IFERROR(INDEX($AH$10:$AH$258, MATCH(0, IF(TRUE=$AE$10:$AE$258, COUNTIF($AJ$9:$AJ248, $AH$10:$AH$258), ""), 0)),"")</f>
        <v/>
      </c>
      <c r="AK249" s="188" t="str">
        <f t="array" ref="AK249">IFERROR(INDEX($AH$10:$AH$258, MATCH(0, IF(TRUE=$AF$10:$AF$258, COUNTIF($AK$9:$AK248, $AH$10:$AH$258), ""), 0)),"")</f>
        <v/>
      </c>
    </row>
    <row r="250" spans="2:37" ht="13.8" x14ac:dyDescent="0.25">
      <c r="B250" s="168">
        <v>241</v>
      </c>
      <c r="C250" s="275"/>
      <c r="D250" s="275"/>
      <c r="E250" s="185"/>
      <c r="F250" s="171" t="str">
        <f>IF(D250="","",VLOOKUP(D250,'G-6 Hedgerow Data'!$B$2:$AG$15,2,FALSE))</f>
        <v/>
      </c>
      <c r="G250" s="172" t="str">
        <f>IF(D250="","",VLOOKUP(D250,'G-6 Hedgerow Data'!$B$2:$AG$15,3,FALSE))</f>
        <v/>
      </c>
      <c r="H250" s="173"/>
      <c r="I250" s="172" t="str">
        <f>IFERROR(IF(AND(F250="V.Low",OR(H250="Good",H250="Moderate")),"Error",VLOOKUP(H250,'G-1 All Habitats'!$Z$2:$AA$9,2,FALSE)),"")</f>
        <v/>
      </c>
      <c r="J250" s="186"/>
      <c r="K250" s="175" t="str">
        <f>IF(J250="","",IF(VLOOKUP(J250,'G-3 Multipliers'!$L$3:$N$6,2,FALSE)=0,"Spatial Data Missing",VLOOKUP(J250,'G-3 Multipliers'!$L$3:$N$6,2,FALSE)))</f>
        <v/>
      </c>
      <c r="L250" s="176" t="str">
        <f>IF(J250="","",IF(VLOOKUP(J250,'G-3 Multipliers'!$L$3:$N$6,3,FALSE)=0,"Spatial Data Missing",VLOOKUP(J250,'G-3 Multipliers'!$L$3:$N$6,3,FALSE)))</f>
        <v/>
      </c>
      <c r="M250" s="177" t="str">
        <f>IF(D250="","",VLOOKUP(D250,'G-6 Hedgerow Data'!$B$1:$AH$15,33,FALSE))</f>
        <v/>
      </c>
      <c r="N250" s="207" t="str">
        <f t="shared" si="23"/>
        <v/>
      </c>
      <c r="O250" s="44"/>
      <c r="P250" s="173"/>
      <c r="Q250" s="189"/>
      <c r="R250" s="179" t="str">
        <f t="shared" si="24"/>
        <v/>
      </c>
      <c r="S250" s="179" t="str">
        <f t="shared" si="25"/>
        <v/>
      </c>
      <c r="T250" s="208" t="str">
        <f t="shared" si="26"/>
        <v/>
      </c>
      <c r="U250" s="209" t="str">
        <f t="shared" si="27"/>
        <v/>
      </c>
      <c r="V250" s="182"/>
      <c r="W250" s="183"/>
      <c r="AB250" s="35" t="str">
        <f>IFERROR(INDEX('G-6 Hedgerow Data'!$BJ$3:$BJ$15,MATCH(D250,'G-6 Hedgerow Data'!$B$3:$B$15,0)),"")</f>
        <v/>
      </c>
      <c r="AE250" s="188" t="str">
        <f t="shared" si="21"/>
        <v/>
      </c>
      <c r="AF250" s="188" t="str">
        <f t="shared" si="22"/>
        <v/>
      </c>
      <c r="AH250" s="188">
        <v>241</v>
      </c>
      <c r="AJ250" s="188" t="str">
        <f t="array" ref="AJ250">IFERROR(INDEX($AH$10:$AH$258, MATCH(0, IF(TRUE=$AE$10:$AE$258, COUNTIF($AJ$9:$AJ249, $AH$10:$AH$258), ""), 0)),"")</f>
        <v/>
      </c>
      <c r="AK250" s="188" t="str">
        <f t="array" ref="AK250">IFERROR(INDEX($AH$10:$AH$258, MATCH(0, IF(TRUE=$AF$10:$AF$258, COUNTIF($AK$9:$AK249, $AH$10:$AH$258), ""), 0)),"")</f>
        <v/>
      </c>
    </row>
    <row r="251" spans="2:37" ht="13.8" x14ac:dyDescent="0.25">
      <c r="B251" s="168">
        <v>242</v>
      </c>
      <c r="C251" s="275"/>
      <c r="D251" s="275"/>
      <c r="E251" s="185"/>
      <c r="F251" s="171" t="str">
        <f>IF(D251="","",VLOOKUP(D251,'G-6 Hedgerow Data'!$B$2:$AG$15,2,FALSE))</f>
        <v/>
      </c>
      <c r="G251" s="172" t="str">
        <f>IF(D251="","",VLOOKUP(D251,'G-6 Hedgerow Data'!$B$2:$AG$15,3,FALSE))</f>
        <v/>
      </c>
      <c r="H251" s="173"/>
      <c r="I251" s="172" t="str">
        <f>IFERROR(IF(AND(F251="V.Low",OR(H251="Good",H251="Moderate")),"Error",VLOOKUP(H251,'G-1 All Habitats'!$Z$2:$AA$9,2,FALSE)),"")</f>
        <v/>
      </c>
      <c r="J251" s="186"/>
      <c r="K251" s="175" t="str">
        <f>IF(J251="","",IF(VLOOKUP(J251,'G-3 Multipliers'!$L$3:$N$6,2,FALSE)=0,"Spatial Data Missing",VLOOKUP(J251,'G-3 Multipliers'!$L$3:$N$6,2,FALSE)))</f>
        <v/>
      </c>
      <c r="L251" s="176" t="str">
        <f>IF(J251="","",IF(VLOOKUP(J251,'G-3 Multipliers'!$L$3:$N$6,3,FALSE)=0,"Spatial Data Missing",VLOOKUP(J251,'G-3 Multipliers'!$L$3:$N$6,3,FALSE)))</f>
        <v/>
      </c>
      <c r="M251" s="177" t="str">
        <f>IF(D251="","",VLOOKUP(D251,'G-6 Hedgerow Data'!$B$1:$AH$15,33,FALSE))</f>
        <v/>
      </c>
      <c r="N251" s="207" t="str">
        <f t="shared" si="23"/>
        <v/>
      </c>
      <c r="O251" s="44"/>
      <c r="P251" s="173"/>
      <c r="Q251" s="189"/>
      <c r="R251" s="179" t="str">
        <f t="shared" si="24"/>
        <v/>
      </c>
      <c r="S251" s="179" t="str">
        <f t="shared" si="25"/>
        <v/>
      </c>
      <c r="T251" s="208" t="str">
        <f t="shared" si="26"/>
        <v/>
      </c>
      <c r="U251" s="209" t="str">
        <f t="shared" si="27"/>
        <v/>
      </c>
      <c r="V251" s="182"/>
      <c r="W251" s="183"/>
      <c r="AB251" s="35" t="str">
        <f>IFERROR(INDEX('G-6 Hedgerow Data'!$BJ$3:$BJ$15,MATCH(D251,'G-6 Hedgerow Data'!$B$3:$B$15,0)),"")</f>
        <v/>
      </c>
      <c r="AE251" s="188" t="str">
        <f t="shared" si="21"/>
        <v/>
      </c>
      <c r="AF251" s="188" t="str">
        <f t="shared" si="22"/>
        <v/>
      </c>
      <c r="AH251" s="188">
        <v>242</v>
      </c>
      <c r="AJ251" s="188" t="str">
        <f t="array" ref="AJ251">IFERROR(INDEX($AH$10:$AH$258, MATCH(0, IF(TRUE=$AE$10:$AE$258, COUNTIF($AJ$9:$AJ250, $AH$10:$AH$258), ""), 0)),"")</f>
        <v/>
      </c>
      <c r="AK251" s="188" t="str">
        <f t="array" ref="AK251">IFERROR(INDEX($AH$10:$AH$258, MATCH(0, IF(TRUE=$AF$10:$AF$258, COUNTIF($AK$9:$AK250, $AH$10:$AH$258), ""), 0)),"")</f>
        <v/>
      </c>
    </row>
    <row r="252" spans="2:37" ht="13.8" x14ac:dyDescent="0.25">
      <c r="B252" s="168">
        <v>243</v>
      </c>
      <c r="C252" s="275"/>
      <c r="D252" s="275"/>
      <c r="E252" s="185"/>
      <c r="F252" s="171" t="str">
        <f>IF(D252="","",VLOOKUP(D252,'G-6 Hedgerow Data'!$B$2:$AG$15,2,FALSE))</f>
        <v/>
      </c>
      <c r="G252" s="172" t="str">
        <f>IF(D252="","",VLOOKUP(D252,'G-6 Hedgerow Data'!$B$2:$AG$15,3,FALSE))</f>
        <v/>
      </c>
      <c r="H252" s="173"/>
      <c r="I252" s="172" t="str">
        <f>IFERROR(IF(AND(F252="V.Low",OR(H252="Good",H252="Moderate")),"Error",VLOOKUP(H252,'G-1 All Habitats'!$Z$2:$AA$9,2,FALSE)),"")</f>
        <v/>
      </c>
      <c r="J252" s="186"/>
      <c r="K252" s="175" t="str">
        <f>IF(J252="","",IF(VLOOKUP(J252,'G-3 Multipliers'!$L$3:$N$6,2,FALSE)=0,"Spatial Data Missing",VLOOKUP(J252,'G-3 Multipliers'!$L$3:$N$6,2,FALSE)))</f>
        <v/>
      </c>
      <c r="L252" s="176" t="str">
        <f>IF(J252="","",IF(VLOOKUP(J252,'G-3 Multipliers'!$L$3:$N$6,3,FALSE)=0,"Spatial Data Missing",VLOOKUP(J252,'G-3 Multipliers'!$L$3:$N$6,3,FALSE)))</f>
        <v/>
      </c>
      <c r="M252" s="177" t="str">
        <f>IF(D252="","",VLOOKUP(D252,'G-6 Hedgerow Data'!$B$1:$AH$15,33,FALSE))</f>
        <v/>
      </c>
      <c r="N252" s="207" t="str">
        <f t="shared" si="23"/>
        <v/>
      </c>
      <c r="O252" s="44"/>
      <c r="P252" s="173"/>
      <c r="Q252" s="189"/>
      <c r="R252" s="179" t="str">
        <f t="shared" si="24"/>
        <v/>
      </c>
      <c r="S252" s="179" t="str">
        <f t="shared" si="25"/>
        <v/>
      </c>
      <c r="T252" s="208" t="str">
        <f t="shared" si="26"/>
        <v/>
      </c>
      <c r="U252" s="209" t="str">
        <f t="shared" si="27"/>
        <v/>
      </c>
      <c r="V252" s="182"/>
      <c r="W252" s="183"/>
      <c r="AB252" s="35" t="str">
        <f>IFERROR(INDEX('G-6 Hedgerow Data'!$BJ$3:$BJ$15,MATCH(D252,'G-6 Hedgerow Data'!$B$3:$B$15,0)),"")</f>
        <v/>
      </c>
      <c r="AE252" s="188" t="str">
        <f t="shared" si="21"/>
        <v/>
      </c>
      <c r="AF252" s="188" t="str">
        <f t="shared" si="22"/>
        <v/>
      </c>
      <c r="AH252" s="188">
        <v>243</v>
      </c>
      <c r="AJ252" s="188" t="str">
        <f t="array" ref="AJ252">IFERROR(INDEX($AH$10:$AH$258, MATCH(0, IF(TRUE=$AE$10:$AE$258, COUNTIF($AJ$9:$AJ251, $AH$10:$AH$258), ""), 0)),"")</f>
        <v/>
      </c>
      <c r="AK252" s="188" t="str">
        <f t="array" ref="AK252">IFERROR(INDEX($AH$10:$AH$258, MATCH(0, IF(TRUE=$AF$10:$AF$258, COUNTIF($AK$9:$AK251, $AH$10:$AH$258), ""), 0)),"")</f>
        <v/>
      </c>
    </row>
    <row r="253" spans="2:37" ht="13.8" x14ac:dyDescent="0.25">
      <c r="B253" s="168">
        <v>244</v>
      </c>
      <c r="C253" s="275"/>
      <c r="D253" s="275"/>
      <c r="E253" s="185"/>
      <c r="F253" s="171" t="str">
        <f>IF(D253="","",VLOOKUP(D253,'G-6 Hedgerow Data'!$B$2:$AG$15,2,FALSE))</f>
        <v/>
      </c>
      <c r="G253" s="172" t="str">
        <f>IF(D253="","",VLOOKUP(D253,'G-6 Hedgerow Data'!$B$2:$AG$15,3,FALSE))</f>
        <v/>
      </c>
      <c r="H253" s="173"/>
      <c r="I253" s="172" t="str">
        <f>IFERROR(IF(AND(F253="V.Low",OR(H253="Good",H253="Moderate")),"Error",VLOOKUP(H253,'G-1 All Habitats'!$Z$2:$AA$9,2,FALSE)),"")</f>
        <v/>
      </c>
      <c r="J253" s="186"/>
      <c r="K253" s="175" t="str">
        <f>IF(J253="","",IF(VLOOKUP(J253,'G-3 Multipliers'!$L$3:$N$6,2,FALSE)=0,"Spatial Data Missing",VLOOKUP(J253,'G-3 Multipliers'!$L$3:$N$6,2,FALSE)))</f>
        <v/>
      </c>
      <c r="L253" s="176" t="str">
        <f>IF(J253="","",IF(VLOOKUP(J253,'G-3 Multipliers'!$L$3:$N$6,3,FALSE)=0,"Spatial Data Missing",VLOOKUP(J253,'G-3 Multipliers'!$L$3:$N$6,3,FALSE)))</f>
        <v/>
      </c>
      <c r="M253" s="177" t="str">
        <f>IF(D253="","",VLOOKUP(D253,'G-6 Hedgerow Data'!$B$1:$AH$15,33,FALSE))</f>
        <v/>
      </c>
      <c r="N253" s="207" t="str">
        <f t="shared" si="23"/>
        <v/>
      </c>
      <c r="O253" s="44"/>
      <c r="P253" s="173"/>
      <c r="Q253" s="189"/>
      <c r="R253" s="179" t="str">
        <f t="shared" si="24"/>
        <v/>
      </c>
      <c r="S253" s="179" t="str">
        <f t="shared" si="25"/>
        <v/>
      </c>
      <c r="T253" s="208" t="str">
        <f t="shared" si="26"/>
        <v/>
      </c>
      <c r="U253" s="209" t="str">
        <f t="shared" si="27"/>
        <v/>
      </c>
      <c r="V253" s="182"/>
      <c r="W253" s="183"/>
      <c r="AB253" s="35" t="str">
        <f>IFERROR(INDEX('G-6 Hedgerow Data'!$BJ$3:$BJ$15,MATCH(D253,'G-6 Hedgerow Data'!$B$3:$B$15,0)),"")</f>
        <v/>
      </c>
      <c r="AE253" s="188" t="str">
        <f t="shared" si="21"/>
        <v/>
      </c>
      <c r="AF253" s="188" t="str">
        <f t="shared" si="22"/>
        <v/>
      </c>
      <c r="AH253" s="188">
        <v>244</v>
      </c>
      <c r="AJ253" s="188" t="str">
        <f t="array" ref="AJ253">IFERROR(INDEX($AH$10:$AH$258, MATCH(0, IF(TRUE=$AE$10:$AE$258, COUNTIF($AJ$9:$AJ252, $AH$10:$AH$258), ""), 0)),"")</f>
        <v/>
      </c>
      <c r="AK253" s="188" t="str">
        <f t="array" ref="AK253">IFERROR(INDEX($AH$10:$AH$258, MATCH(0, IF(TRUE=$AF$10:$AF$258, COUNTIF($AK$9:$AK252, $AH$10:$AH$258), ""), 0)),"")</f>
        <v/>
      </c>
    </row>
    <row r="254" spans="2:37" ht="13.8" x14ac:dyDescent="0.25">
      <c r="B254" s="168">
        <v>245</v>
      </c>
      <c r="C254" s="275"/>
      <c r="D254" s="275"/>
      <c r="E254" s="185"/>
      <c r="F254" s="171" t="str">
        <f>IF(D254="","",VLOOKUP(D254,'G-6 Hedgerow Data'!$B$2:$AG$15,2,FALSE))</f>
        <v/>
      </c>
      <c r="G254" s="172" t="str">
        <f>IF(D254="","",VLOOKUP(D254,'G-6 Hedgerow Data'!$B$2:$AG$15,3,FALSE))</f>
        <v/>
      </c>
      <c r="H254" s="173"/>
      <c r="I254" s="172" t="str">
        <f>IFERROR(IF(AND(F254="V.Low",OR(H254="Good",H254="Moderate")),"Error",VLOOKUP(H254,'G-1 All Habitats'!$Z$2:$AA$9,2,FALSE)),"")</f>
        <v/>
      </c>
      <c r="J254" s="186"/>
      <c r="K254" s="175" t="str">
        <f>IF(J254="","",IF(VLOOKUP(J254,'G-3 Multipliers'!$L$3:$N$6,2,FALSE)=0,"Spatial Data Missing",VLOOKUP(J254,'G-3 Multipliers'!$L$3:$N$6,2,FALSE)))</f>
        <v/>
      </c>
      <c r="L254" s="176" t="str">
        <f>IF(J254="","",IF(VLOOKUP(J254,'G-3 Multipliers'!$L$3:$N$6,3,FALSE)=0,"Spatial Data Missing",VLOOKUP(J254,'G-3 Multipliers'!$L$3:$N$6,3,FALSE)))</f>
        <v/>
      </c>
      <c r="M254" s="177" t="str">
        <f>IF(D254="","",VLOOKUP(D254,'G-6 Hedgerow Data'!$B$1:$AH$15,33,FALSE))</f>
        <v/>
      </c>
      <c r="N254" s="207" t="str">
        <f t="shared" si="23"/>
        <v/>
      </c>
      <c r="O254" s="44"/>
      <c r="P254" s="173"/>
      <c r="Q254" s="189"/>
      <c r="R254" s="179" t="str">
        <f t="shared" si="24"/>
        <v/>
      </c>
      <c r="S254" s="179" t="str">
        <f t="shared" si="25"/>
        <v/>
      </c>
      <c r="T254" s="208" t="str">
        <f t="shared" si="26"/>
        <v/>
      </c>
      <c r="U254" s="209" t="str">
        <f t="shared" si="27"/>
        <v/>
      </c>
      <c r="V254" s="182"/>
      <c r="W254" s="183"/>
      <c r="AB254" s="35" t="str">
        <f>IFERROR(INDEX('G-6 Hedgerow Data'!$BJ$3:$BJ$15,MATCH(D254,'G-6 Hedgerow Data'!$B$3:$B$15,0)),"")</f>
        <v/>
      </c>
      <c r="AE254" s="188" t="str">
        <f t="shared" si="21"/>
        <v/>
      </c>
      <c r="AF254" s="188" t="str">
        <f t="shared" si="22"/>
        <v/>
      </c>
      <c r="AH254" s="188">
        <v>245</v>
      </c>
      <c r="AJ254" s="188" t="str">
        <f t="array" ref="AJ254">IFERROR(INDEX($AH$10:$AH$258, MATCH(0, IF(TRUE=$AE$10:$AE$258, COUNTIF($AJ$9:$AJ253, $AH$10:$AH$258), ""), 0)),"")</f>
        <v/>
      </c>
      <c r="AK254" s="188" t="str">
        <f t="array" ref="AK254">IFERROR(INDEX($AH$10:$AH$258, MATCH(0, IF(TRUE=$AF$10:$AF$258, COUNTIF($AK$9:$AK253, $AH$10:$AH$258), ""), 0)),"")</f>
        <v/>
      </c>
    </row>
    <row r="255" spans="2:37" ht="13.8" x14ac:dyDescent="0.25">
      <c r="B255" s="168">
        <v>246</v>
      </c>
      <c r="C255" s="275"/>
      <c r="D255" s="275"/>
      <c r="E255" s="185"/>
      <c r="F255" s="171" t="str">
        <f>IF(D255="","",VLOOKUP(D255,'G-6 Hedgerow Data'!$B$2:$AG$15,2,FALSE))</f>
        <v/>
      </c>
      <c r="G255" s="172" t="str">
        <f>IF(D255="","",VLOOKUP(D255,'G-6 Hedgerow Data'!$B$2:$AG$15,3,FALSE))</f>
        <v/>
      </c>
      <c r="H255" s="173"/>
      <c r="I255" s="172" t="str">
        <f>IFERROR(IF(AND(F255="V.Low",OR(H255="Good",H255="Moderate")),"Error",VLOOKUP(H255,'G-1 All Habitats'!$Z$2:$AA$9,2,FALSE)),"")</f>
        <v/>
      </c>
      <c r="J255" s="186"/>
      <c r="K255" s="175" t="str">
        <f>IF(J255="","",IF(VLOOKUP(J255,'G-3 Multipliers'!$L$3:$N$6,2,FALSE)=0,"Spatial Data Missing",VLOOKUP(J255,'G-3 Multipliers'!$L$3:$N$6,2,FALSE)))</f>
        <v/>
      </c>
      <c r="L255" s="176" t="str">
        <f>IF(J255="","",IF(VLOOKUP(J255,'G-3 Multipliers'!$L$3:$N$6,3,FALSE)=0,"Spatial Data Missing",VLOOKUP(J255,'G-3 Multipliers'!$L$3:$N$6,3,FALSE)))</f>
        <v/>
      </c>
      <c r="M255" s="177" t="str">
        <f>IF(D255="","",VLOOKUP(D255,'G-6 Hedgerow Data'!$B$1:$AH$15,33,FALSE))</f>
        <v/>
      </c>
      <c r="N255" s="207" t="str">
        <f t="shared" si="23"/>
        <v/>
      </c>
      <c r="O255" s="44"/>
      <c r="P255" s="173"/>
      <c r="Q255" s="189"/>
      <c r="R255" s="179" t="str">
        <f t="shared" si="24"/>
        <v/>
      </c>
      <c r="S255" s="179" t="str">
        <f t="shared" si="25"/>
        <v/>
      </c>
      <c r="T255" s="208" t="str">
        <f t="shared" si="26"/>
        <v/>
      </c>
      <c r="U255" s="209" t="str">
        <f t="shared" si="27"/>
        <v/>
      </c>
      <c r="V255" s="182"/>
      <c r="W255" s="183"/>
      <c r="AB255" s="35" t="str">
        <f>IFERROR(INDEX('G-6 Hedgerow Data'!$BJ$3:$BJ$15,MATCH(D255,'G-6 Hedgerow Data'!$B$3:$B$15,0)),"")</f>
        <v/>
      </c>
      <c r="AE255" s="188" t="str">
        <f t="shared" si="21"/>
        <v/>
      </c>
      <c r="AF255" s="188" t="str">
        <f t="shared" si="22"/>
        <v/>
      </c>
      <c r="AH255" s="188">
        <v>246</v>
      </c>
      <c r="AJ255" s="188" t="str">
        <f t="array" ref="AJ255">IFERROR(INDEX($AH$10:$AH$258, MATCH(0, IF(TRUE=$AE$10:$AE$258, COUNTIF($AJ$9:$AJ254, $AH$10:$AH$258), ""), 0)),"")</f>
        <v/>
      </c>
      <c r="AK255" s="188" t="str">
        <f t="array" ref="AK255">IFERROR(INDEX($AH$10:$AH$258, MATCH(0, IF(TRUE=$AF$10:$AF$258, COUNTIF($AK$9:$AK254, $AH$10:$AH$258), ""), 0)),"")</f>
        <v/>
      </c>
    </row>
    <row r="256" spans="2:37" ht="13.8" x14ac:dyDescent="0.25">
      <c r="B256" s="168">
        <v>247</v>
      </c>
      <c r="C256" s="275"/>
      <c r="D256" s="275"/>
      <c r="E256" s="185"/>
      <c r="F256" s="171" t="str">
        <f>IF(D256="","",VLOOKUP(D256,'G-6 Hedgerow Data'!$B$2:$AG$15,2,FALSE))</f>
        <v/>
      </c>
      <c r="G256" s="172" t="str">
        <f>IF(D256="","",VLOOKUP(D256,'G-6 Hedgerow Data'!$B$2:$AG$15,3,FALSE))</f>
        <v/>
      </c>
      <c r="H256" s="173"/>
      <c r="I256" s="172" t="str">
        <f>IFERROR(IF(AND(F256="V.Low",OR(H256="Good",H256="Moderate")),"Error",VLOOKUP(H256,'G-1 All Habitats'!$Z$2:$AA$9,2,FALSE)),"")</f>
        <v/>
      </c>
      <c r="J256" s="186"/>
      <c r="K256" s="175" t="str">
        <f>IF(J256="","",IF(VLOOKUP(J256,'G-3 Multipliers'!$L$3:$N$6,2,FALSE)=0,"Spatial Data Missing",VLOOKUP(J256,'G-3 Multipliers'!$L$3:$N$6,2,FALSE)))</f>
        <v/>
      </c>
      <c r="L256" s="176" t="str">
        <f>IF(J256="","",IF(VLOOKUP(J256,'G-3 Multipliers'!$L$3:$N$6,3,FALSE)=0,"Spatial Data Missing",VLOOKUP(J256,'G-3 Multipliers'!$L$3:$N$6,3,FALSE)))</f>
        <v/>
      </c>
      <c r="M256" s="177" t="str">
        <f>IF(D256="","",VLOOKUP(D256,'G-6 Hedgerow Data'!$B$1:$AH$15,33,FALSE))</f>
        <v/>
      </c>
      <c r="N256" s="207" t="str">
        <f t="shared" si="23"/>
        <v/>
      </c>
      <c r="O256" s="44"/>
      <c r="P256" s="173"/>
      <c r="Q256" s="189"/>
      <c r="R256" s="179" t="str">
        <f t="shared" si="24"/>
        <v/>
      </c>
      <c r="S256" s="179" t="str">
        <f t="shared" si="25"/>
        <v/>
      </c>
      <c r="T256" s="208" t="str">
        <f t="shared" si="26"/>
        <v/>
      </c>
      <c r="U256" s="209" t="str">
        <f t="shared" si="27"/>
        <v/>
      </c>
      <c r="V256" s="182"/>
      <c r="W256" s="183"/>
      <c r="AB256" s="35" t="str">
        <f>IFERROR(INDEX('G-6 Hedgerow Data'!$BJ$3:$BJ$15,MATCH(D256,'G-6 Hedgerow Data'!$B$3:$B$15,0)),"")</f>
        <v/>
      </c>
      <c r="AE256" s="188" t="str">
        <f t="shared" si="21"/>
        <v/>
      </c>
      <c r="AF256" s="188" t="str">
        <f t="shared" si="22"/>
        <v/>
      </c>
      <c r="AH256" s="188">
        <v>247</v>
      </c>
      <c r="AJ256" s="188" t="str">
        <f t="array" ref="AJ256">IFERROR(INDEX($AH$10:$AH$258, MATCH(0, IF(TRUE=$AE$10:$AE$258, COUNTIF($AJ$9:$AJ255, $AH$10:$AH$258), ""), 0)),"")</f>
        <v/>
      </c>
      <c r="AK256" s="188" t="str">
        <f t="array" ref="AK256">IFERROR(INDEX($AH$10:$AH$258, MATCH(0, IF(TRUE=$AF$10:$AF$258, COUNTIF($AK$9:$AK255, $AH$10:$AH$258), ""), 0)),"")</f>
        <v/>
      </c>
    </row>
    <row r="257" spans="2:37" ht="14.4" thickBot="1" x14ac:dyDescent="0.3">
      <c r="B257" s="190">
        <v>248</v>
      </c>
      <c r="C257" s="279"/>
      <c r="D257" s="279"/>
      <c r="E257" s="192"/>
      <c r="F257" s="171" t="str">
        <f>IF(D257="","",VLOOKUP(D257,'G-6 Hedgerow Data'!$B$2:$AG$15,2,FALSE))</f>
        <v/>
      </c>
      <c r="G257" s="172" t="str">
        <f>IF(D257="","",VLOOKUP(D257,'G-6 Hedgerow Data'!$B$2:$AG$15,3,FALSE))</f>
        <v/>
      </c>
      <c r="H257" s="173"/>
      <c r="I257" s="172" t="str">
        <f>IFERROR(IF(AND(F257="V.Low",OR(H257="Good",H257="Moderate")),"Error",VLOOKUP(H257,'G-1 All Habitats'!$Z$2:$AA$9,2,FALSE)),"")</f>
        <v/>
      </c>
      <c r="J257" s="193"/>
      <c r="K257" s="194" t="str">
        <f>IF(J257="","",IF(VLOOKUP(J257,'G-3 Multipliers'!$L$3:$N$6,2,FALSE)=0,"Spatial Data Missing",VLOOKUP(J257,'G-3 Multipliers'!$L$3:$N$6,2,FALSE)))</f>
        <v/>
      </c>
      <c r="L257" s="195" t="str">
        <f>IF(J257="","",IF(VLOOKUP(J257,'G-3 Multipliers'!$L$3:$N$6,3,FALSE)=0,"Spatial Data Missing",VLOOKUP(J257,'G-3 Multipliers'!$L$3:$N$6,3,FALSE)))</f>
        <v/>
      </c>
      <c r="M257" s="177" t="str">
        <f>IF(D257="","",VLOOKUP(D257,'G-6 Hedgerow Data'!$B$1:$AH$15,33,FALSE))</f>
        <v/>
      </c>
      <c r="N257" s="207" t="str">
        <f t="shared" si="23"/>
        <v/>
      </c>
      <c r="O257" s="44"/>
      <c r="P257" s="629"/>
      <c r="Q257" s="630"/>
      <c r="R257" s="196" t="str">
        <f t="shared" si="24"/>
        <v/>
      </c>
      <c r="S257" s="196" t="str">
        <f t="shared" si="25"/>
        <v/>
      </c>
      <c r="T257" s="208" t="str">
        <f t="shared" si="26"/>
        <v/>
      </c>
      <c r="U257" s="209" t="str">
        <f t="shared" si="27"/>
        <v/>
      </c>
      <c r="V257" s="197"/>
      <c r="W257" s="198"/>
      <c r="AB257" s="35" t="str">
        <f>IFERROR(INDEX('G-6 Hedgerow Data'!$BJ$3:$BJ$15,MATCH(D257,'G-6 Hedgerow Data'!$B$3:$B$15,0)),"")</f>
        <v/>
      </c>
      <c r="AE257" s="188" t="str">
        <f t="shared" si="21"/>
        <v/>
      </c>
      <c r="AF257" s="188" t="str">
        <f t="shared" si="22"/>
        <v/>
      </c>
      <c r="AH257" s="188">
        <v>248</v>
      </c>
      <c r="AJ257" s="188" t="str">
        <f t="array" ref="AJ257">IFERROR(INDEX($AH$10:$AH$258, MATCH(0, IF(TRUE=$AE$10:$AE$258, COUNTIF($AJ$9:$AJ256, $AH$10:$AH$258), ""), 0)),"")</f>
        <v/>
      </c>
      <c r="AK257" s="188" t="str">
        <f t="array" ref="AK257">IFERROR(INDEX($AH$10:$AH$258, MATCH(0, IF(TRUE=$AF$10:$AF$258, COUNTIF($AK$9:$AK256, $AH$10:$AH$258), ""), 0)),"")</f>
        <v/>
      </c>
    </row>
    <row r="258" spans="2:37" ht="14.4" thickBot="1" x14ac:dyDescent="0.3">
      <c r="D258" s="696"/>
      <c r="E258" s="697">
        <f>SUM(E10:E257)</f>
        <v>0</v>
      </c>
      <c r="M258" s="698"/>
      <c r="N258" s="648">
        <f>SUM(N10:N257)</f>
        <v>0</v>
      </c>
      <c r="O258" s="201"/>
      <c r="P258" s="202">
        <f t="shared" ref="P258:U258" si="28">SUM(P10:P257)</f>
        <v>0</v>
      </c>
      <c r="Q258" s="203">
        <f t="shared" si="28"/>
        <v>0</v>
      </c>
      <c r="R258" s="203">
        <f t="shared" si="28"/>
        <v>0</v>
      </c>
      <c r="S258" s="203">
        <f t="shared" si="28"/>
        <v>0</v>
      </c>
      <c r="T258" s="203">
        <f t="shared" si="28"/>
        <v>0</v>
      </c>
      <c r="U258" s="204">
        <f t="shared" si="28"/>
        <v>0</v>
      </c>
    </row>
    <row r="259" spans="2:37" ht="13.8" x14ac:dyDescent="0.25">
      <c r="O259" s="201"/>
      <c r="P259" s="201"/>
      <c r="Q259" s="201"/>
      <c r="R259" s="201"/>
      <c r="S259" s="201"/>
      <c r="T259" s="201"/>
      <c r="U259" s="201"/>
    </row>
    <row r="260" spans="2:37" ht="13.8" x14ac:dyDescent="0.25">
      <c r="B260" s="159"/>
      <c r="C260" s="159"/>
    </row>
    <row r="261" spans="2:37" ht="13.8" x14ac:dyDescent="0.25">
      <c r="B261" s="159"/>
      <c r="C261" s="159"/>
    </row>
    <row r="262" spans="2:37" ht="13.8" x14ac:dyDescent="0.25">
      <c r="B262" s="159"/>
      <c r="C262" s="159"/>
    </row>
    <row r="263" spans="2:37" ht="13.8" x14ac:dyDescent="0.25">
      <c r="B263" s="159"/>
      <c r="C263" s="159"/>
    </row>
    <row r="264" spans="2:37" ht="13.8" x14ac:dyDescent="0.25">
      <c r="B264" s="159"/>
      <c r="C264" s="159"/>
    </row>
    <row r="265" spans="2:37" ht="13.8" x14ac:dyDescent="0.25">
      <c r="B265" s="159"/>
      <c r="C265" s="159"/>
    </row>
    <row r="266" spans="2:37" ht="13.8" x14ac:dyDescent="0.25">
      <c r="B266" s="159"/>
      <c r="C266" s="159"/>
    </row>
    <row r="267" spans="2:37" ht="13.8" hidden="1" x14ac:dyDescent="0.25">
      <c r="B267" s="159"/>
      <c r="C267" s="159"/>
    </row>
    <row r="268" spans="2:37" ht="13.8" hidden="1" x14ac:dyDescent="0.25">
      <c r="B268" s="159"/>
      <c r="C268" s="159"/>
    </row>
    <row r="269" spans="2:37" ht="13.8" hidden="1" x14ac:dyDescent="0.25">
      <c r="B269" s="159"/>
      <c r="C269" s="159"/>
    </row>
    <row r="270" spans="2:37" ht="13.8" hidden="1" x14ac:dyDescent="0.25">
      <c r="B270" s="159"/>
      <c r="C270" s="159"/>
    </row>
    <row r="271" spans="2:37" ht="13.8" hidden="1" x14ac:dyDescent="0.25">
      <c r="B271" s="159"/>
      <c r="C271" s="159"/>
    </row>
    <row r="272" spans="2:37" ht="13.8" hidden="1" x14ac:dyDescent="0.25">
      <c r="B272" s="159"/>
      <c r="C272" s="159"/>
    </row>
  </sheetData>
  <sheetProtection algorithmName="SHA-512" hashValue="ZQXifGJeHCFpH7GrFcaL3usb1aWLYIKP5nIWvpv3LAJBF16iaBNyzaPHCsKINu3Y8VakOGa47fcdVGVukGdrsQ==" saltValue="Wdv+NIXVaicCTPXsFEF9wA==" spinCount="100000" sheet="1" objects="1" scenarios="1"/>
  <customSheetViews>
    <customSheetView guid="{8BDA793C-C9C5-4FC6-A0A5-F1109F6D4F22}" state="hidden">
      <pane ySplit="9" topLeftCell="A10" activePane="bottomLeft" state="frozen"/>
      <selection pane="bottomLeft" activeCell="D14" sqref="D14"/>
    </customSheetView>
  </customSheetViews>
  <mergeCells count="9">
    <mergeCell ref="B2:D2"/>
    <mergeCell ref="V8:W8"/>
    <mergeCell ref="C8:E8"/>
    <mergeCell ref="F8:G8"/>
    <mergeCell ref="H8:I8"/>
    <mergeCell ref="B3:D4"/>
    <mergeCell ref="J8:L8"/>
    <mergeCell ref="P8:U8"/>
    <mergeCell ref="M8:M9"/>
  </mergeCells>
  <conditionalFormatting sqref="I10:I257">
    <cfRule type="containsText" dxfId="90" priority="6" operator="containsText" text="Error">
      <formula>NOT(ISERROR(SEARCH("Error",I10)))</formula>
    </cfRule>
  </conditionalFormatting>
  <conditionalFormatting sqref="J9:L257">
    <cfRule type="containsText" dxfId="89" priority="5" operator="containsText" text="Spatial">
      <formula>NOT(ISERROR(SEARCH("Spatial",J9)))</formula>
    </cfRule>
  </conditionalFormatting>
  <conditionalFormatting sqref="M10:M257">
    <cfRule type="cellIs" dxfId="88" priority="2" operator="equal">
      <formula>"Like for like or better"</formula>
    </cfRule>
    <cfRule type="cellIs" dxfId="87" priority="3" operator="equal">
      <formula>"Like for like"</formula>
    </cfRule>
    <cfRule type="containsText" dxfId="86" priority="4" operator="containsText" text="Same distinctiveness">
      <formula>NOT(ISERROR(SEARCH("Same distinctiveness",M10)))</formula>
    </cfRule>
  </conditionalFormatting>
  <conditionalFormatting sqref="T10:U257">
    <cfRule type="containsText" dxfId="85" priority="1" operator="containsText" text="Error">
      <formula>NOT(ISERROR(SEARCH("Error",T10)))</formula>
    </cfRule>
  </conditionalFormatting>
  <dataValidations count="1">
    <dataValidation type="list" allowBlank="1" showInputMessage="1" showErrorMessage="1" sqref="H10:H257" xr:uid="{00000000-0002-0000-1100-000000000000}">
      <formula1>INDIRECT(AB10)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1000000}">
          <x14:formula1>
            <xm:f>'G-6 Hedgerow Data'!$B$3:$B$15</xm:f>
          </x14:formula1>
          <xm:sqref>D10:D257</xm:sqref>
        </x14:dataValidation>
        <x14:dataValidation type="list" allowBlank="1" showErrorMessage="1" prompt=" _x000a_" xr:uid="{00000000-0002-0000-1100-000002000000}">
          <x14:formula1>
            <xm:f>'G-3 Multipliers'!$L$4:$L$6</xm:f>
          </x14:formula1>
          <xm:sqref>J10:J257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3">
    <tabColor theme="9"/>
  </sheetPr>
  <dimension ref="A1:AJ268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G25" sqref="G25"/>
    </sheetView>
  </sheetViews>
  <sheetFormatPr defaultColWidth="0" defaultRowHeight="0" customHeight="1" zeroHeight="1" x14ac:dyDescent="0.25"/>
  <cols>
    <col min="1" max="1" width="2.88671875" style="35" customWidth="1"/>
    <col min="2" max="2" width="11.33203125" style="35" customWidth="1"/>
    <col min="3" max="3" width="9.33203125" style="35" customWidth="1"/>
    <col min="4" max="4" width="60.6640625" style="35" customWidth="1"/>
    <col min="5" max="5" width="10.33203125" style="35" customWidth="1"/>
    <col min="6" max="6" width="19.109375" style="35" customWidth="1"/>
    <col min="7" max="7" width="11.88671875" style="35" customWidth="1"/>
    <col min="8" max="8" width="11.5546875" style="35" customWidth="1"/>
    <col min="9" max="9" width="12.5546875" style="35" customWidth="1"/>
    <col min="10" max="10" width="41.6640625" style="35" customWidth="1"/>
    <col min="11" max="11" width="15.44140625" style="35" customWidth="1"/>
    <col min="12" max="12" width="12.33203125" style="35" customWidth="1"/>
    <col min="13" max="13" width="67.6640625" style="35" customWidth="1"/>
    <col min="14" max="14" width="12.33203125" style="35" customWidth="1"/>
    <col min="15" max="17" width="17.6640625" style="35" customWidth="1"/>
    <col min="18" max="18" width="23.88671875" style="35" customWidth="1"/>
    <col min="19" max="19" width="17.6640625" style="35" customWidth="1"/>
    <col min="20" max="20" width="15.33203125" style="35" customWidth="1"/>
    <col min="21" max="21" width="10.6640625" style="35" customWidth="1"/>
    <col min="22" max="22" width="25.33203125" style="35" customWidth="1"/>
    <col min="23" max="23" width="10.6640625" style="35" customWidth="1"/>
    <col min="24" max="24" width="12.5546875" style="35" customWidth="1"/>
    <col min="25" max="25" width="12.6640625" style="35" customWidth="1"/>
    <col min="26" max="27" width="42.5546875" style="35" customWidth="1"/>
    <col min="28" max="32" width="8.88671875" style="35" customWidth="1"/>
    <col min="33" max="33" width="15.88671875" style="35" hidden="1" customWidth="1"/>
    <col min="34" max="35" width="8.88671875" style="35" hidden="1" customWidth="1"/>
    <col min="36" max="36" width="0" style="35" hidden="1" customWidth="1"/>
    <col min="37" max="16384" width="8.88671875" style="35" hidden="1"/>
  </cols>
  <sheetData>
    <row r="1" spans="2:33" ht="15.75" customHeight="1" thickBot="1" x14ac:dyDescent="0.3"/>
    <row r="2" spans="2:33" ht="15.75" customHeight="1" thickBot="1" x14ac:dyDescent="0.3">
      <c r="B2" s="785" t="str">
        <f>IF(Start!$F$12="","",Start!$F$12)</f>
        <v>7948: Anglia Square, Norwich</v>
      </c>
      <c r="C2" s="786"/>
      <c r="D2" s="786"/>
      <c r="E2" s="787"/>
      <c r="O2" s="958" t="str">
        <f>IF(OR(COUNTIF($O$12:O259,"*30+*")&gt;0,COUNTIF($S$12:S259,"*30+*")&gt;0),"Note; Habitat selected has a time to target condition greater than 30 years. Non standard agreement may be required.","")</f>
        <v/>
      </c>
      <c r="P2" s="958"/>
      <c r="Q2" s="958"/>
      <c r="R2" s="958"/>
      <c r="S2" s="958"/>
      <c r="T2" s="958"/>
    </row>
    <row r="3" spans="2:33" ht="15.75" customHeight="1" thickBot="1" x14ac:dyDescent="0.3">
      <c r="B3" s="1016" t="str">
        <f ca="1">MID(CELL("filename",A1),FIND("]",CELL("filename",A1))+1,256)</f>
        <v>E-2 Off Site Hedge Creation</v>
      </c>
      <c r="C3" s="1017"/>
      <c r="D3" s="1017"/>
      <c r="E3" s="1018"/>
      <c r="O3" s="958"/>
      <c r="P3" s="958"/>
      <c r="Q3" s="958"/>
      <c r="R3" s="958"/>
      <c r="S3" s="958"/>
      <c r="T3" s="958"/>
    </row>
    <row r="4" spans="2:33" ht="15.75" customHeight="1" thickBot="1" x14ac:dyDescent="0.3">
      <c r="B4" s="1016"/>
      <c r="C4" s="1017"/>
      <c r="D4" s="1017"/>
      <c r="E4" s="1018"/>
      <c r="O4" s="958"/>
      <c r="P4" s="958"/>
      <c r="Q4" s="958"/>
      <c r="R4" s="958"/>
      <c r="S4" s="958"/>
      <c r="T4" s="958"/>
    </row>
    <row r="5" spans="2:33" ht="15.75" customHeight="1" x14ac:dyDescent="0.25">
      <c r="O5" s="958"/>
      <c r="P5" s="958"/>
      <c r="Q5" s="958"/>
      <c r="R5" s="958"/>
      <c r="S5" s="958"/>
      <c r="T5" s="958"/>
    </row>
    <row r="6" spans="2:33" ht="15.75" customHeight="1" x14ac:dyDescent="0.25">
      <c r="O6" s="622"/>
      <c r="P6" s="622"/>
      <c r="Q6" s="622"/>
      <c r="R6" s="622"/>
      <c r="S6" s="622"/>
    </row>
    <row r="7" spans="2:33" ht="15.75" customHeight="1" x14ac:dyDescent="0.25">
      <c r="B7" s="159"/>
      <c r="C7" s="159"/>
    </row>
    <row r="8" spans="2:33" ht="13.8" x14ac:dyDescent="0.25"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V8" s="158"/>
      <c r="W8" s="158"/>
      <c r="X8" s="158"/>
    </row>
    <row r="9" spans="2:33" ht="15.75" customHeight="1" thickBot="1" x14ac:dyDescent="0.3">
      <c r="J9" s="158"/>
      <c r="K9" s="158"/>
      <c r="L9" s="158"/>
      <c r="M9" s="165"/>
      <c r="N9" s="165"/>
      <c r="O9" s="271"/>
      <c r="P9" s="271"/>
      <c r="Q9" s="271"/>
      <c r="R9" s="271"/>
      <c r="S9" s="271"/>
      <c r="T9" s="271"/>
      <c r="U9" s="271"/>
      <c r="V9" s="271"/>
      <c r="W9" s="271"/>
      <c r="X9" s="271"/>
    </row>
    <row r="10" spans="2:33" s="46" customFormat="1" ht="30" customHeight="1" thickBot="1" x14ac:dyDescent="0.3">
      <c r="B10" s="44"/>
      <c r="C10" s="44"/>
      <c r="D10" s="1011" t="s">
        <v>1079</v>
      </c>
      <c r="E10" s="1013"/>
      <c r="F10" s="1011" t="s">
        <v>981</v>
      </c>
      <c r="G10" s="1013"/>
      <c r="H10" s="1012" t="s">
        <v>982</v>
      </c>
      <c r="I10" s="1013"/>
      <c r="J10" s="1011" t="s">
        <v>362</v>
      </c>
      <c r="K10" s="1012"/>
      <c r="L10" s="1013"/>
      <c r="M10" s="1011" t="s">
        <v>1027</v>
      </c>
      <c r="N10" s="1013"/>
      <c r="O10" s="1011" t="s">
        <v>988</v>
      </c>
      <c r="P10" s="1012"/>
      <c r="Q10" s="1012"/>
      <c r="R10" s="1012"/>
      <c r="S10" s="1012"/>
      <c r="T10" s="1013"/>
      <c r="U10" s="1011" t="s">
        <v>1293</v>
      </c>
      <c r="V10" s="1012"/>
      <c r="W10" s="1012"/>
      <c r="X10" s="1013"/>
      <c r="Y10" s="1014" t="s">
        <v>1033</v>
      </c>
      <c r="Z10" s="1011" t="s">
        <v>145</v>
      </c>
      <c r="AA10" s="1013"/>
    </row>
    <row r="11" spans="2:33" ht="55.2" x14ac:dyDescent="0.25">
      <c r="B11" s="162" t="s">
        <v>840</v>
      </c>
      <c r="C11" s="163" t="s">
        <v>370</v>
      </c>
      <c r="D11" s="272" t="s">
        <v>1032</v>
      </c>
      <c r="E11" s="273" t="s">
        <v>369</v>
      </c>
      <c r="F11" s="633" t="s">
        <v>127</v>
      </c>
      <c r="G11" s="634" t="s">
        <v>140</v>
      </c>
      <c r="H11" s="635" t="s">
        <v>141</v>
      </c>
      <c r="I11" s="634" t="s">
        <v>140</v>
      </c>
      <c r="J11" s="561" t="s">
        <v>362</v>
      </c>
      <c r="K11" s="272" t="s">
        <v>362</v>
      </c>
      <c r="L11" s="273" t="s">
        <v>983</v>
      </c>
      <c r="M11" s="561" t="s">
        <v>1028</v>
      </c>
      <c r="N11" s="273" t="s">
        <v>1027</v>
      </c>
      <c r="O11" s="561" t="s">
        <v>1200</v>
      </c>
      <c r="P11" s="272" t="s">
        <v>1177</v>
      </c>
      <c r="Q11" s="272" t="s">
        <v>1178</v>
      </c>
      <c r="R11" s="272" t="s">
        <v>1179</v>
      </c>
      <c r="S11" s="272" t="s">
        <v>1183</v>
      </c>
      <c r="T11" s="273" t="s">
        <v>1201</v>
      </c>
      <c r="U11" s="561" t="s">
        <v>1186</v>
      </c>
      <c r="V11" s="272" t="s">
        <v>1490</v>
      </c>
      <c r="W11" s="272" t="s">
        <v>1187</v>
      </c>
      <c r="X11" s="273" t="s">
        <v>1182</v>
      </c>
      <c r="Y11" s="1043"/>
      <c r="Z11" s="168" t="s">
        <v>991</v>
      </c>
      <c r="AA11" s="552" t="s">
        <v>992</v>
      </c>
      <c r="AG11" s="158" t="s">
        <v>1298</v>
      </c>
    </row>
    <row r="12" spans="2:33" ht="13.8" x14ac:dyDescent="0.25">
      <c r="B12" s="272">
        <v>1</v>
      </c>
      <c r="C12" s="394"/>
      <c r="D12" s="94"/>
      <c r="E12" s="94"/>
      <c r="F12" s="171" t="str">
        <f>IF(D12="","",VLOOKUP(D12,'G-6 Hedgerow Data'!$B$2:$AG$15,2,FALSE))</f>
        <v/>
      </c>
      <c r="G12" s="176" t="str">
        <f>IF(D12="","",VLOOKUP(D12,'G-6 Hedgerow Data'!$B$2:$AG$15,3,FALSE))</f>
        <v/>
      </c>
      <c r="H12" s="82"/>
      <c r="I12" s="172" t="str">
        <f>IFERROR(IF(AND(F12="V.Low",OR(H12="Good",H12="Moderate")),"Error",VLOOKUP(H12,'G-1 All Habitats'!$Z$2:$AA$9,2,FALSE)),"")</f>
        <v/>
      </c>
      <c r="J12" s="174"/>
      <c r="K12" s="175" t="str">
        <f>IF(J12="","",IF(VLOOKUP(J12,'G-3 Multipliers'!$L$3:$N$6,2,FALSE)=0,"Spatial Data Missing",VLOOKUP(J12,'G-3 Multipliers'!$L$3:$N$6,2,FALSE)))</f>
        <v/>
      </c>
      <c r="L12" s="176" t="str">
        <f>IF(J12="","",IF(VLOOKUP(J12,'G-3 Multipliers'!$L$3:$N$6,3,FALSE)=0,"Spatial Data Missing",VLOOKUP(J12,'G-3 Multipliers'!$L$3:$N$6,3,FALSE)))</f>
        <v/>
      </c>
      <c r="M12" s="266"/>
      <c r="N12" s="172" t="str">
        <f>IF(M12="","",IF(VLOOKUP(M12,'G-3 Multipliers'!$S$3:$T$6,2,FALSE)=0,"Spatial Data Missing",VLOOKUP(M12,'G-3 Multipliers'!$S$3:$T$6,2,FALSE)))</f>
        <v/>
      </c>
      <c r="O12" s="171" t="str">
        <f>IF(OR(D12="",H12=""),"",(INDEX('G-6 Hedgerow Data'!$E$3:$I$15,MATCH(D12,'G-6 Hedgerow Data'!$B$3:$B$15,0),MATCH(H12,'G-6 Hedgerow Data'!$E$2:$I$2,0))))</f>
        <v/>
      </c>
      <c r="P12" s="261"/>
      <c r="Q12" s="261"/>
      <c r="R12" s="179" t="str">
        <f>IF(D12="","",IF(AND(P12&gt;0,Q12&gt;0),"Error -both advance and delayed habitat creation",IF(AND(OR(P12="Habitat already in target condition",O12&lt;=P12),Q12=0),"Check details - Is there evidence that habitat has reached target condition?",IF(O12="","",IF(P12&gt;0,"Check details - Is there evidence habitat creation started/in place?",IF(Q12&gt;0,"Check details- Delay in starting habitat in required condition?","Standard time to target condition applied"))))))</f>
        <v/>
      </c>
      <c r="S12" s="262" t="str">
        <f>IF(O12="","",IF(LEFT(R12,5)="Error","Check Data",IF(OR(P12="30+",P12="Habitat already in target condition"),0,IF(Q12="30+","30+",IF(AND(O12="30+",OR(P12="",P12=0)),"30+",IF(AND(O12="30+",P12&gt;0),32-P12,IF(O12+Q12&gt;30,"30+",IF(O12+Q12-P12&gt;0,O12+Q12-P12,IF(O12-P12&lt;0,0,O12+Q12-P12)))))))))</f>
        <v/>
      </c>
      <c r="T12" s="263" t="str">
        <f t="shared" ref="T12:T75" si="0">IF(D12="","",IF(LEFT(R12,5)="Error","Check Data",VLOOKUP(S12,TemporalMultipliers,3,FALSE)))</f>
        <v/>
      </c>
      <c r="U12" s="239" t="str">
        <f>IF(D12="","",VLOOKUP(D12,'G-6 Hedgerow Data'!$B$3:$AG$15,31,FALSE))</f>
        <v/>
      </c>
      <c r="V12" s="175" t="str">
        <f>IF(D12="","",IF(S12="Check Data","Check Data",IF(H12="","",IF($R12="Check details - Is there evidence that habitat has reached target condition?","Low Difficulty - only applicable if all habitat created before losses","Standard difficulty applied"))))</f>
        <v/>
      </c>
      <c r="W12" s="175" t="str">
        <f>(IF(AND(V12="Standard difficulty applied",O12&gt;P12),U12,IF(AND(V12="Low Difficulty - only applicable if all habitat created before losses",P12&gt;=O12),"Low",U12)))</f>
        <v/>
      </c>
      <c r="X12" s="176" t="str">
        <f>IF(F12="","",VLOOKUP(U12,'G-3 Multipliers'!$P$3:$Q$6,2,FALSE))</f>
        <v/>
      </c>
      <c r="Y12" s="274" t="str">
        <f>IFERROR(E12*G12*I12*L12*T12*X12*N12,"")</f>
        <v/>
      </c>
      <c r="Z12" s="180"/>
      <c r="AA12" s="181"/>
      <c r="AG12" s="35" t="str">
        <f>IFERROR(INDEX('G-6 Hedgerow Data'!$BJ$3:$BJ$15,MATCH(D12,'G-6 Hedgerow Data'!$B$3:$B$15,0)),"")</f>
        <v/>
      </c>
    </row>
    <row r="13" spans="2:33" ht="13.8" x14ac:dyDescent="0.25">
      <c r="B13" s="128">
        <v>2</v>
      </c>
      <c r="C13" s="394"/>
      <c r="D13" s="91"/>
      <c r="E13" s="91"/>
      <c r="F13" s="171" t="str">
        <f>IF(D13="","",VLOOKUP(D13,'G-6 Hedgerow Data'!$B$2:$AG$15,2,FALSE))</f>
        <v/>
      </c>
      <c r="G13" s="176" t="str">
        <f>IF(D13="","",VLOOKUP(D13,'G-6 Hedgerow Data'!$B$2:$AG$15,3,FALSE))</f>
        <v/>
      </c>
      <c r="H13" s="82"/>
      <c r="I13" s="172" t="str">
        <f>IFERROR(IF(AND(F13="V.Low",OR(H13="Good",H13="Moderate")),"Error",VLOOKUP(H13,'G-1 All Habitats'!$Z$2:$AA$9,2,FALSE)),"")</f>
        <v/>
      </c>
      <c r="J13" s="174"/>
      <c r="K13" s="175" t="str">
        <f>IF(J13="","",IF(VLOOKUP(J13,'G-3 Multipliers'!$L$3:$N$6,2,FALSE)=0,"Spatial Data Missing",VLOOKUP(J13,'G-3 Multipliers'!$L$3:$N$6,2,FALSE)))</f>
        <v/>
      </c>
      <c r="L13" s="176" t="str">
        <f>IF(J13="","",IF(VLOOKUP(J13,'G-3 Multipliers'!$L$3:$N$6,3,FALSE)=0,"Spatial Data Missing",VLOOKUP(J13,'G-3 Multipliers'!$L$3:$N$6,3,FALSE)))</f>
        <v/>
      </c>
      <c r="M13" s="266"/>
      <c r="N13" s="172" t="str">
        <f>IF(M13="","",IF(VLOOKUP(M13,'G-3 Multipliers'!$S$3:$T$6,2,FALSE)=0,"Spatial Data Missing",VLOOKUP(M13,'G-3 Multipliers'!$S$3:$T$6,2,FALSE)))</f>
        <v/>
      </c>
      <c r="O13" s="171" t="str">
        <f>IF(OR(D13="",H13=""),"",(INDEX('G-6 Hedgerow Data'!$E$3:$I$15,MATCH(D13,'G-6 Hedgerow Data'!$B$3:$B$15,0),MATCH(H13,'G-6 Hedgerow Data'!$E$2:$I$2,0))))</f>
        <v/>
      </c>
      <c r="P13" s="261"/>
      <c r="Q13" s="261"/>
      <c r="R13" s="179" t="str">
        <f t="shared" ref="R13:R76" si="1">IF(D13="","",IF(AND(P13&gt;0,Q13&gt;0),"Error -both advance and delayed habitat creation",IF(AND(OR(P13="Habitat already in target condition",O13&lt;=P13),Q13=0),"Check details - Is there evidence that habitat has reached target condition?",IF(O13="","",IF(P13&gt;0,"Check details - Is there evidence habitat creation started/in place?",IF(Q13&gt;0,"Check details- Delay in starting habitat in required condition?","Standard time to target condition applied"))))))</f>
        <v/>
      </c>
      <c r="S13" s="262" t="str">
        <f t="shared" ref="S13:S76" si="2">IF(O13="","",IF(LEFT(R13,5)="Error","Check Data",IF(OR(P13="30+",P13="Habitat already in target condition"),0,IF(Q13="30+","30+",IF(AND(O13="30+",OR(P13="",P13=0)),"30+",IF(AND(O13="30+",P13&gt;0),32-P13,IF(O13+Q13&gt;30,"30+",IF(O13+Q13-P13&gt;0,O13+Q13-P13,IF(O13-P13&lt;0,0,O13+Q13-P13)))))))))</f>
        <v/>
      </c>
      <c r="T13" s="263" t="str">
        <f t="shared" si="0"/>
        <v/>
      </c>
      <c r="U13" s="239" t="str">
        <f>IF(D13="","",VLOOKUP(D13,'G-6 Hedgerow Data'!$B$3:$AG$15,31,FALSE))</f>
        <v/>
      </c>
      <c r="V13" s="175" t="str">
        <f t="shared" ref="V13:V76" si="3">IF(D13="","",IF(S13="Check Data","Check Data",IF(H13="","",IF($R13="Check details - Is there evidence that habitat has reached target condition?","Low Difficulty - only applicable if all habitat created before losses","Standard difficulty applied"))))</f>
        <v/>
      </c>
      <c r="W13" s="175" t="str">
        <f t="shared" ref="W13:W76" si="4">(IF(AND(V13="Standard difficulty applied",O13&gt;P13),U13,IF(AND(V13="Low Difficulty - only applicable if all habitat created before losses",P13&gt;=O13),"Low",U13)))</f>
        <v/>
      </c>
      <c r="X13" s="176" t="str">
        <f>IF(F13="","",VLOOKUP(U13,'G-3 Multipliers'!$P$3:$Q$6,2,FALSE))</f>
        <v/>
      </c>
      <c r="Y13" s="274" t="str">
        <f t="shared" ref="Y13:Y76" si="5">IFERROR(E13*G13*I13*L13*T13*X13*N13,"")</f>
        <v/>
      </c>
      <c r="Z13" s="180"/>
      <c r="AA13" s="181"/>
      <c r="AG13" s="35" t="str">
        <f>IFERROR(INDEX('G-6 Hedgerow Data'!$BJ$3:$BJ$15,MATCH(D13,'G-6 Hedgerow Data'!$B$3:$B$15,0)),"")</f>
        <v/>
      </c>
    </row>
    <row r="14" spans="2:33" ht="13.8" x14ac:dyDescent="0.25">
      <c r="B14" s="128">
        <v>3</v>
      </c>
      <c r="C14" s="394"/>
      <c r="D14" s="91"/>
      <c r="E14" s="91"/>
      <c r="F14" s="171" t="str">
        <f>IF(D14="","",VLOOKUP(D14,'G-6 Hedgerow Data'!$B$2:$AG$15,2,FALSE))</f>
        <v/>
      </c>
      <c r="G14" s="176" t="str">
        <f>IF(D14="","",VLOOKUP(D14,'G-6 Hedgerow Data'!$B$2:$AG$15,3,FALSE))</f>
        <v/>
      </c>
      <c r="H14" s="82"/>
      <c r="I14" s="172" t="str">
        <f>IFERROR(IF(AND(F14="V.Low",OR(H14="Good",H14="Moderate")),"Error",VLOOKUP(H14,'G-1 All Habitats'!$Z$2:$AA$9,2,FALSE)),"")</f>
        <v/>
      </c>
      <c r="J14" s="174"/>
      <c r="K14" s="175" t="str">
        <f>IF(J14="","",IF(VLOOKUP(J14,'G-3 Multipliers'!$L$3:$N$6,2,FALSE)=0,"Spatial Data Missing",VLOOKUP(J14,'G-3 Multipliers'!$L$3:$N$6,2,FALSE)))</f>
        <v/>
      </c>
      <c r="L14" s="176" t="str">
        <f>IF(J14="","",IF(VLOOKUP(J14,'G-3 Multipliers'!$L$3:$N$6,3,FALSE)=0,"Spatial Data Missing",VLOOKUP(J14,'G-3 Multipliers'!$L$3:$N$6,3,FALSE)))</f>
        <v/>
      </c>
      <c r="M14" s="266"/>
      <c r="N14" s="172" t="str">
        <f>IF(M14="","",IF(VLOOKUP(M14,'G-3 Multipliers'!$S$3:$T$6,2,FALSE)=0,"Spatial Data Missing",VLOOKUP(M14,'G-3 Multipliers'!$S$3:$T$6,2,FALSE)))</f>
        <v/>
      </c>
      <c r="O14" s="171" t="str">
        <f>IF(OR(D14="",H14=""),"",(INDEX('G-6 Hedgerow Data'!$E$3:$I$15,MATCH(D14,'G-6 Hedgerow Data'!$B$3:$B$15,0),MATCH(H14,'G-6 Hedgerow Data'!$E$2:$I$2,0))))</f>
        <v/>
      </c>
      <c r="P14" s="261"/>
      <c r="Q14" s="261"/>
      <c r="R14" s="179" t="str">
        <f t="shared" si="1"/>
        <v/>
      </c>
      <c r="S14" s="262" t="str">
        <f t="shared" si="2"/>
        <v/>
      </c>
      <c r="T14" s="263" t="str">
        <f t="shared" si="0"/>
        <v/>
      </c>
      <c r="U14" s="239" t="str">
        <f>IF(D14="","",VLOOKUP(D14,'G-6 Hedgerow Data'!$B$3:$AG$15,31,FALSE))</f>
        <v/>
      </c>
      <c r="V14" s="175" t="str">
        <f t="shared" si="3"/>
        <v/>
      </c>
      <c r="W14" s="175" t="str">
        <f t="shared" si="4"/>
        <v/>
      </c>
      <c r="X14" s="176" t="str">
        <f>IF(F14="","",VLOOKUP(U14,'G-3 Multipliers'!$P$3:$Q$6,2,FALSE))</f>
        <v/>
      </c>
      <c r="Y14" s="274" t="str">
        <f t="shared" si="5"/>
        <v/>
      </c>
      <c r="Z14" s="180"/>
      <c r="AA14" s="181"/>
      <c r="AG14" s="35" t="str">
        <f>IFERROR(INDEX('G-6 Hedgerow Data'!$BJ$3:$BJ$15,MATCH(D14,'G-6 Hedgerow Data'!$B$3:$B$15,0)),"")</f>
        <v/>
      </c>
    </row>
    <row r="15" spans="2:33" ht="13.8" x14ac:dyDescent="0.25">
      <c r="B15" s="128">
        <v>4</v>
      </c>
      <c r="C15" s="394"/>
      <c r="D15" s="91"/>
      <c r="E15" s="91"/>
      <c r="F15" s="171" t="str">
        <f>IF(D15="","",VLOOKUP(D15,'G-6 Hedgerow Data'!$B$2:$AG$15,2,FALSE))</f>
        <v/>
      </c>
      <c r="G15" s="176" t="str">
        <f>IF(D15="","",VLOOKUP(D15,'G-6 Hedgerow Data'!$B$2:$AG$15,3,FALSE))</f>
        <v/>
      </c>
      <c r="H15" s="82"/>
      <c r="I15" s="172" t="str">
        <f>IFERROR(IF(AND(F15="V.Low",OR(H15="Good",H15="Moderate")),"Error",VLOOKUP(H15,'G-1 All Habitats'!$Z$2:$AA$9,2,FALSE)),"")</f>
        <v/>
      </c>
      <c r="J15" s="174"/>
      <c r="K15" s="175" t="str">
        <f>IF(J15="","",IF(VLOOKUP(J15,'G-3 Multipliers'!$L$3:$N$6,2,FALSE)=0,"Spatial Data Missing",VLOOKUP(J15,'G-3 Multipliers'!$L$3:$N$6,2,FALSE)))</f>
        <v/>
      </c>
      <c r="L15" s="176" t="str">
        <f>IF(J15="","",IF(VLOOKUP(J15,'G-3 Multipliers'!$L$3:$N$6,3,FALSE)=0,"Spatial Data Missing",VLOOKUP(J15,'G-3 Multipliers'!$L$3:$N$6,3,FALSE)))</f>
        <v/>
      </c>
      <c r="M15" s="266"/>
      <c r="N15" s="172" t="str">
        <f>IF(M15="","",IF(VLOOKUP(M15,'G-3 Multipliers'!$S$3:$T$6,2,FALSE)=0,"Spatial Data Missing",VLOOKUP(M15,'G-3 Multipliers'!$S$3:$T$6,2,FALSE)))</f>
        <v/>
      </c>
      <c r="O15" s="171" t="str">
        <f>IF(OR(D15="",H15=""),"",(INDEX('G-6 Hedgerow Data'!$E$3:$I$15,MATCH(D15,'G-6 Hedgerow Data'!$B$3:$B$15,0),MATCH(H15,'G-6 Hedgerow Data'!$E$2:$I$2,0))))</f>
        <v/>
      </c>
      <c r="P15" s="261"/>
      <c r="Q15" s="261"/>
      <c r="R15" s="179" t="str">
        <f t="shared" si="1"/>
        <v/>
      </c>
      <c r="S15" s="262" t="str">
        <f t="shared" si="2"/>
        <v/>
      </c>
      <c r="T15" s="263" t="str">
        <f t="shared" si="0"/>
        <v/>
      </c>
      <c r="U15" s="239" t="str">
        <f>IF(D15="","",VLOOKUP(D15,'G-6 Hedgerow Data'!$B$3:$AG$15,31,FALSE))</f>
        <v/>
      </c>
      <c r="V15" s="175" t="str">
        <f t="shared" si="3"/>
        <v/>
      </c>
      <c r="W15" s="175" t="str">
        <f t="shared" si="4"/>
        <v/>
      </c>
      <c r="X15" s="176" t="str">
        <f>IF(F15="","",VLOOKUP(U15,'G-3 Multipliers'!$P$3:$Q$6,2,FALSE))</f>
        <v/>
      </c>
      <c r="Y15" s="274" t="str">
        <f t="shared" si="5"/>
        <v/>
      </c>
      <c r="Z15" s="180"/>
      <c r="AA15" s="181"/>
      <c r="AG15" s="35" t="str">
        <f>IFERROR(INDEX('G-6 Hedgerow Data'!$BJ$3:$BJ$15,MATCH(D15,'G-6 Hedgerow Data'!$B$3:$B$15,0)),"")</f>
        <v/>
      </c>
    </row>
    <row r="16" spans="2:33" ht="13.8" x14ac:dyDescent="0.25">
      <c r="B16" s="128">
        <v>5</v>
      </c>
      <c r="C16" s="394"/>
      <c r="D16" s="91"/>
      <c r="E16" s="275"/>
      <c r="F16" s="171" t="str">
        <f>IF(D16="","",VLOOKUP(D16,'G-6 Hedgerow Data'!$B$2:$AG$15,2,FALSE))</f>
        <v/>
      </c>
      <c r="G16" s="176" t="str">
        <f>IF(D16="","",VLOOKUP(D16,'G-6 Hedgerow Data'!$B$2:$AG$15,3,FALSE))</f>
        <v/>
      </c>
      <c r="H16" s="82"/>
      <c r="I16" s="172" t="str">
        <f>IFERROR(IF(AND(F16="V.Low",OR(H16="Good",H16="Moderate")),"Error",VLOOKUP(H16,'G-1 All Habitats'!$Z$2:$AA$9,2,FALSE)),"")</f>
        <v/>
      </c>
      <c r="J16" s="174"/>
      <c r="K16" s="175" t="str">
        <f>IF(J16="","",IF(VLOOKUP(J16,'G-3 Multipliers'!$L$3:$N$6,2,FALSE)=0,"Spatial Data Missing",VLOOKUP(J16,'G-3 Multipliers'!$L$3:$N$6,2,FALSE)))</f>
        <v/>
      </c>
      <c r="L16" s="176" t="str">
        <f>IF(J16="","",IF(VLOOKUP(J16,'G-3 Multipliers'!$L$3:$N$6,3,FALSE)=0,"Spatial Data Missing",VLOOKUP(J16,'G-3 Multipliers'!$L$3:$N$6,3,FALSE)))</f>
        <v/>
      </c>
      <c r="M16" s="266"/>
      <c r="N16" s="172" t="str">
        <f>IF(M16="","",IF(VLOOKUP(M16,'G-3 Multipliers'!$S$3:$T$6,2,FALSE)=0,"Spatial Data Missing",VLOOKUP(M16,'G-3 Multipliers'!$S$3:$T$6,2,FALSE)))</f>
        <v/>
      </c>
      <c r="O16" s="171" t="str">
        <f>IF(OR(D16="",H16=""),"",(INDEX('G-6 Hedgerow Data'!$E$3:$I$15,MATCH(D16,'G-6 Hedgerow Data'!$B$3:$B$15,0),MATCH(H16,'G-6 Hedgerow Data'!$E$2:$I$2,0))))</f>
        <v/>
      </c>
      <c r="P16" s="261"/>
      <c r="Q16" s="261"/>
      <c r="R16" s="179" t="str">
        <f t="shared" si="1"/>
        <v/>
      </c>
      <c r="S16" s="262" t="str">
        <f t="shared" si="2"/>
        <v/>
      </c>
      <c r="T16" s="263" t="str">
        <f t="shared" si="0"/>
        <v/>
      </c>
      <c r="U16" s="239" t="str">
        <f>IF(D16="","",VLOOKUP(D16,'G-6 Hedgerow Data'!$B$3:$AG$15,31,FALSE))</f>
        <v/>
      </c>
      <c r="V16" s="175" t="str">
        <f t="shared" si="3"/>
        <v/>
      </c>
      <c r="W16" s="175" t="str">
        <f t="shared" si="4"/>
        <v/>
      </c>
      <c r="X16" s="176" t="str">
        <f>IF(F16="","",VLOOKUP(U16,'G-3 Multipliers'!$P$3:$Q$6,2,FALSE))</f>
        <v/>
      </c>
      <c r="Y16" s="274" t="str">
        <f t="shared" si="5"/>
        <v/>
      </c>
      <c r="Z16" s="180"/>
      <c r="AA16" s="181"/>
      <c r="AG16" s="35" t="str">
        <f>IFERROR(INDEX('G-6 Hedgerow Data'!$BJ$3:$BJ$15,MATCH(D16,'G-6 Hedgerow Data'!$B$3:$B$15,0)),"")</f>
        <v/>
      </c>
    </row>
    <row r="17" spans="2:33" ht="13.8" x14ac:dyDescent="0.25">
      <c r="B17" s="128">
        <v>6</v>
      </c>
      <c r="C17" s="394"/>
      <c r="D17" s="91"/>
      <c r="E17" s="275"/>
      <c r="F17" s="171" t="str">
        <f>IF(D17="","",VLOOKUP(D17,'G-6 Hedgerow Data'!$B$2:$AG$15,2,FALSE))</f>
        <v/>
      </c>
      <c r="G17" s="176" t="str">
        <f>IF(D17="","",VLOOKUP(D17,'G-6 Hedgerow Data'!$B$2:$AG$15,3,FALSE))</f>
        <v/>
      </c>
      <c r="H17" s="189"/>
      <c r="I17" s="172" t="str">
        <f>IFERROR(IF(AND(F17="V.Low",OR(H17="Good",H17="Moderate")),"Error",VLOOKUP(H17,'G-1 All Habitats'!$Z$2:$AA$9,2,FALSE)),"")</f>
        <v/>
      </c>
      <c r="J17" s="186"/>
      <c r="K17" s="175" t="str">
        <f>IF(J17="","",IF(VLOOKUP(J17,'G-3 Multipliers'!$L$3:$N$6,2,FALSE)=0,"Spatial Data Missing",VLOOKUP(J17,'G-3 Multipliers'!$L$3:$N$6,2,FALSE)))</f>
        <v/>
      </c>
      <c r="L17" s="176" t="str">
        <f>IF(J17="","",IF(VLOOKUP(J17,'G-3 Multipliers'!$L$3:$N$6,3,FALSE)=0,"Spatial Data Missing",VLOOKUP(J17,'G-3 Multipliers'!$L$3:$N$6,3,FALSE)))</f>
        <v/>
      </c>
      <c r="M17" s="266"/>
      <c r="N17" s="172" t="str">
        <f>IF(M17="","",IF(VLOOKUP(M17,'G-3 Multipliers'!$S$3:$T$6,2,FALSE)=0,"Spatial Data Missing",VLOOKUP(M17,'G-3 Multipliers'!$S$3:$T$6,2,FALSE)))</f>
        <v/>
      </c>
      <c r="O17" s="171" t="str">
        <f>IF(OR(D17="",H17=""),"",(INDEX('G-6 Hedgerow Data'!$E$3:$I$15,MATCH(D17,'G-6 Hedgerow Data'!$B$3:$B$15,0),MATCH(H17,'G-6 Hedgerow Data'!$E$2:$I$2,0))))</f>
        <v/>
      </c>
      <c r="P17" s="261"/>
      <c r="Q17" s="261"/>
      <c r="R17" s="179" t="str">
        <f t="shared" si="1"/>
        <v/>
      </c>
      <c r="S17" s="262" t="str">
        <f t="shared" si="2"/>
        <v/>
      </c>
      <c r="T17" s="263" t="str">
        <f t="shared" si="0"/>
        <v/>
      </c>
      <c r="U17" s="239" t="str">
        <f>IF(D17="","",VLOOKUP(D17,'G-6 Hedgerow Data'!$B$3:$AG$15,31,FALSE))</f>
        <v/>
      </c>
      <c r="V17" s="175" t="str">
        <f t="shared" si="3"/>
        <v/>
      </c>
      <c r="W17" s="175" t="str">
        <f t="shared" si="4"/>
        <v/>
      </c>
      <c r="X17" s="176" t="str">
        <f>IF(F17="","",VLOOKUP(U17,'G-3 Multipliers'!$P$3:$Q$6,2,FALSE))</f>
        <v/>
      </c>
      <c r="Y17" s="274" t="str">
        <f t="shared" si="5"/>
        <v/>
      </c>
      <c r="Z17" s="180"/>
      <c r="AA17" s="181"/>
      <c r="AG17" s="35" t="str">
        <f>IFERROR(INDEX('G-6 Hedgerow Data'!$BJ$3:$BJ$15,MATCH(D17,'G-6 Hedgerow Data'!$B$3:$B$15,0)),"")</f>
        <v/>
      </c>
    </row>
    <row r="18" spans="2:33" ht="15" customHeight="1" x14ac:dyDescent="0.25">
      <c r="B18" s="128">
        <v>7</v>
      </c>
      <c r="C18" s="394"/>
      <c r="D18" s="91"/>
      <c r="E18" s="275"/>
      <c r="F18" s="171" t="str">
        <f>IF(D18="","",VLOOKUP(D18,'G-6 Hedgerow Data'!$B$2:$AG$15,2,FALSE))</f>
        <v/>
      </c>
      <c r="G18" s="176" t="str">
        <f>IF(D18="","",VLOOKUP(D18,'G-6 Hedgerow Data'!$B$2:$AG$15,3,FALSE))</f>
        <v/>
      </c>
      <c r="H18" s="189"/>
      <c r="I18" s="172" t="str">
        <f>IFERROR(IF(AND(F18="V.Low",OR(H18="Good",H18="Moderate")),"Error",VLOOKUP(H18,'G-1 All Habitats'!$Z$2:$AA$9,2,FALSE)),"")</f>
        <v/>
      </c>
      <c r="J18" s="186"/>
      <c r="K18" s="175" t="str">
        <f>IF(J18="","",IF(VLOOKUP(J18,'G-3 Multipliers'!$L$3:$N$6,2,FALSE)=0,"Spatial Data Missing",VLOOKUP(J18,'G-3 Multipliers'!$L$3:$N$6,2,FALSE)))</f>
        <v/>
      </c>
      <c r="L18" s="176" t="str">
        <f>IF(J18="","",IF(VLOOKUP(J18,'G-3 Multipliers'!$L$3:$N$6,3,FALSE)=0,"Spatial Data Missing",VLOOKUP(J18,'G-3 Multipliers'!$L$3:$N$6,3,FALSE)))</f>
        <v/>
      </c>
      <c r="M18" s="266"/>
      <c r="N18" s="172" t="str">
        <f>IF(M18="","",IF(VLOOKUP(M18,'G-3 Multipliers'!$S$3:$T$6,2,FALSE)=0,"Spatial Data Missing",VLOOKUP(M18,'G-3 Multipliers'!$S$3:$T$6,2,FALSE)))</f>
        <v/>
      </c>
      <c r="O18" s="171" t="str">
        <f>IF(OR(D18="",H18=""),"",(INDEX('G-6 Hedgerow Data'!$E$3:$I$15,MATCH(D18,'G-6 Hedgerow Data'!$B$3:$B$15,0),MATCH(H18,'G-6 Hedgerow Data'!$E$2:$I$2,0))))</f>
        <v/>
      </c>
      <c r="P18" s="261"/>
      <c r="Q18" s="261"/>
      <c r="R18" s="179" t="str">
        <f t="shared" si="1"/>
        <v/>
      </c>
      <c r="S18" s="262" t="str">
        <f t="shared" si="2"/>
        <v/>
      </c>
      <c r="T18" s="263" t="str">
        <f t="shared" si="0"/>
        <v/>
      </c>
      <c r="U18" s="239" t="str">
        <f>IF(D18="","",VLOOKUP(D18,'G-6 Hedgerow Data'!$B$3:$AG$15,31,FALSE))</f>
        <v/>
      </c>
      <c r="V18" s="175" t="str">
        <f t="shared" si="3"/>
        <v/>
      </c>
      <c r="W18" s="175" t="str">
        <f t="shared" si="4"/>
        <v/>
      </c>
      <c r="X18" s="176" t="str">
        <f>IF(F18="","",VLOOKUP(U18,'G-3 Multipliers'!$P$3:$Q$6,2,FALSE))</f>
        <v/>
      </c>
      <c r="Y18" s="274" t="str">
        <f t="shared" si="5"/>
        <v/>
      </c>
      <c r="Z18" s="180"/>
      <c r="AA18" s="181"/>
      <c r="AG18" s="35" t="str">
        <f>IFERROR(INDEX('G-6 Hedgerow Data'!$BJ$3:$BJ$15,MATCH(D18,'G-6 Hedgerow Data'!$B$3:$B$15,0)),"")</f>
        <v/>
      </c>
    </row>
    <row r="19" spans="2:33" ht="15" customHeight="1" x14ac:dyDescent="0.25">
      <c r="B19" s="128">
        <v>8</v>
      </c>
      <c r="C19" s="394"/>
      <c r="D19" s="275"/>
      <c r="E19" s="275"/>
      <c r="F19" s="171" t="str">
        <f>IF(D19="","",VLOOKUP(D19,'G-6 Hedgerow Data'!$B$2:$AG$15,2,FALSE))</f>
        <v/>
      </c>
      <c r="G19" s="176" t="str">
        <f>IF(D19="","",VLOOKUP(D19,'G-6 Hedgerow Data'!$B$2:$AG$15,3,FALSE))</f>
        <v/>
      </c>
      <c r="H19" s="189"/>
      <c r="I19" s="172" t="str">
        <f>IFERROR(IF(AND(F19="V.Low",OR(H19="Good",H19="Moderate")),"Error",VLOOKUP(H19,'G-1 All Habitats'!$Z$2:$AA$9,2,FALSE)),"")</f>
        <v/>
      </c>
      <c r="J19" s="186"/>
      <c r="K19" s="175" t="str">
        <f>IF(J19="","",IF(VLOOKUP(J19,'G-3 Multipliers'!$L$3:$N$6,2,FALSE)=0,"Spatial Data Missing",VLOOKUP(J19,'G-3 Multipliers'!$L$3:$N$6,2,FALSE)))</f>
        <v/>
      </c>
      <c r="L19" s="176" t="str">
        <f>IF(J19="","",IF(VLOOKUP(J19,'G-3 Multipliers'!$L$3:$N$6,3,FALSE)=0,"Spatial Data Missing",VLOOKUP(J19,'G-3 Multipliers'!$L$3:$N$6,3,FALSE)))</f>
        <v/>
      </c>
      <c r="M19" s="266"/>
      <c r="N19" s="172" t="str">
        <f>IF(M19="","",IF(VLOOKUP(M19,'G-3 Multipliers'!$S$3:$T$6,2,FALSE)=0,"Spatial Data Missing",VLOOKUP(M19,'G-3 Multipliers'!$S$3:$T$6,2,FALSE)))</f>
        <v/>
      </c>
      <c r="O19" s="171" t="str">
        <f>IF(OR(D19="",H19=""),"",(INDEX('G-6 Hedgerow Data'!$E$3:$I$15,MATCH(D19,'G-6 Hedgerow Data'!$B$3:$B$15,0),MATCH(H19,'G-6 Hedgerow Data'!$E$2:$I$2,0))))</f>
        <v/>
      </c>
      <c r="P19" s="261"/>
      <c r="Q19" s="261"/>
      <c r="R19" s="179" t="str">
        <f t="shared" si="1"/>
        <v/>
      </c>
      <c r="S19" s="262" t="str">
        <f t="shared" si="2"/>
        <v/>
      </c>
      <c r="T19" s="263" t="str">
        <f t="shared" si="0"/>
        <v/>
      </c>
      <c r="U19" s="239" t="str">
        <f>IF(D19="","",VLOOKUP(D19,'G-6 Hedgerow Data'!$B$3:$AG$15,31,FALSE))</f>
        <v/>
      </c>
      <c r="V19" s="175" t="str">
        <f t="shared" si="3"/>
        <v/>
      </c>
      <c r="W19" s="175" t="str">
        <f t="shared" si="4"/>
        <v/>
      </c>
      <c r="X19" s="176" t="str">
        <f>IF(F19="","",VLOOKUP(U19,'G-3 Multipliers'!$P$3:$Q$6,2,FALSE))</f>
        <v/>
      </c>
      <c r="Y19" s="274" t="str">
        <f t="shared" si="5"/>
        <v/>
      </c>
      <c r="Z19" s="180"/>
      <c r="AA19" s="181"/>
      <c r="AG19" s="35" t="str">
        <f>IFERROR(INDEX('G-6 Hedgerow Data'!$BJ$3:$BJ$15,MATCH(D19,'G-6 Hedgerow Data'!$B$3:$B$15,0)),"")</f>
        <v/>
      </c>
    </row>
    <row r="20" spans="2:33" ht="15" customHeight="1" x14ac:dyDescent="0.25">
      <c r="B20" s="128">
        <v>9</v>
      </c>
      <c r="C20" s="394"/>
      <c r="D20" s="275"/>
      <c r="E20" s="275"/>
      <c r="F20" s="171" t="str">
        <f>IF(D20="","",VLOOKUP(D20,'G-6 Hedgerow Data'!$B$2:$AG$15,2,FALSE))</f>
        <v/>
      </c>
      <c r="G20" s="176" t="str">
        <f>IF(D20="","",VLOOKUP(D20,'G-6 Hedgerow Data'!$B$2:$AG$15,3,FALSE))</f>
        <v/>
      </c>
      <c r="H20" s="189"/>
      <c r="I20" s="172" t="str">
        <f>IFERROR(IF(AND(F20="V.Low",OR(H20="Good",H20="Moderate")),"Error",VLOOKUP(H20,'G-1 All Habitats'!$Z$2:$AA$9,2,FALSE)),"")</f>
        <v/>
      </c>
      <c r="J20" s="186"/>
      <c r="K20" s="175" t="str">
        <f>IF(J20="","",IF(VLOOKUP(J20,'G-3 Multipliers'!$L$3:$N$6,2,FALSE)=0,"Spatial Data Missing",VLOOKUP(J20,'G-3 Multipliers'!$L$3:$N$6,2,FALSE)))</f>
        <v/>
      </c>
      <c r="L20" s="176" t="str">
        <f>IF(J20="","",IF(VLOOKUP(J20,'G-3 Multipliers'!$L$3:$N$6,3,FALSE)=0,"Spatial Data Missing",VLOOKUP(J20,'G-3 Multipliers'!$L$3:$N$6,3,FALSE)))</f>
        <v/>
      </c>
      <c r="M20" s="266"/>
      <c r="N20" s="172" t="str">
        <f>IF(M20="","",IF(VLOOKUP(M20,'G-3 Multipliers'!$S$3:$T$6,2,FALSE)=0,"Spatial Data Missing",VLOOKUP(M20,'G-3 Multipliers'!$S$3:$T$6,2,FALSE)))</f>
        <v/>
      </c>
      <c r="O20" s="171" t="str">
        <f>IF(OR(D20="",H20=""),"",(INDEX('G-6 Hedgerow Data'!$E$3:$I$15,MATCH(D20,'G-6 Hedgerow Data'!$B$3:$B$15,0),MATCH(H20,'G-6 Hedgerow Data'!$E$2:$I$2,0))))</f>
        <v/>
      </c>
      <c r="P20" s="261"/>
      <c r="Q20" s="261"/>
      <c r="R20" s="179" t="str">
        <f t="shared" si="1"/>
        <v/>
      </c>
      <c r="S20" s="262" t="str">
        <f t="shared" si="2"/>
        <v/>
      </c>
      <c r="T20" s="263" t="str">
        <f t="shared" si="0"/>
        <v/>
      </c>
      <c r="U20" s="239" t="str">
        <f>IF(D20="","",VLOOKUP(D20,'G-6 Hedgerow Data'!$B$3:$AG$15,31,FALSE))</f>
        <v/>
      </c>
      <c r="V20" s="175" t="str">
        <f t="shared" si="3"/>
        <v/>
      </c>
      <c r="W20" s="175" t="str">
        <f t="shared" si="4"/>
        <v/>
      </c>
      <c r="X20" s="176" t="str">
        <f>IF(F20="","",VLOOKUP(U20,'G-3 Multipliers'!$P$3:$Q$6,2,FALSE))</f>
        <v/>
      </c>
      <c r="Y20" s="274" t="str">
        <f t="shared" si="5"/>
        <v/>
      </c>
      <c r="Z20" s="180"/>
      <c r="AA20" s="181"/>
      <c r="AG20" s="35" t="str">
        <f>IFERROR(INDEX('G-6 Hedgerow Data'!$BJ$3:$BJ$15,MATCH(D20,'G-6 Hedgerow Data'!$B$3:$B$15,0)),"")</f>
        <v/>
      </c>
    </row>
    <row r="21" spans="2:33" ht="15" customHeight="1" x14ac:dyDescent="0.25">
      <c r="B21" s="128">
        <v>10</v>
      </c>
      <c r="C21" s="394"/>
      <c r="D21" s="275"/>
      <c r="E21" s="275"/>
      <c r="F21" s="171" t="str">
        <f>IF(D21="","",VLOOKUP(D21,'G-6 Hedgerow Data'!$B$2:$AG$15,2,FALSE))</f>
        <v/>
      </c>
      <c r="G21" s="176" t="str">
        <f>IF(D21="","",VLOOKUP(D21,'G-6 Hedgerow Data'!$B$2:$AG$15,3,FALSE))</f>
        <v/>
      </c>
      <c r="H21" s="189"/>
      <c r="I21" s="172" t="str">
        <f>IFERROR(IF(AND(F21="V.Low",OR(H21="Good",H21="Moderate")),"Error",VLOOKUP(H21,'G-1 All Habitats'!$Z$2:$AA$9,2,FALSE)),"")</f>
        <v/>
      </c>
      <c r="J21" s="186"/>
      <c r="K21" s="175" t="str">
        <f>IF(J21="","",IF(VLOOKUP(J21,'G-3 Multipliers'!$L$3:$N$6,2,FALSE)=0,"Spatial Data Missing",VLOOKUP(J21,'G-3 Multipliers'!$L$3:$N$6,2,FALSE)))</f>
        <v/>
      </c>
      <c r="L21" s="176" t="str">
        <f>IF(J21="","",IF(VLOOKUP(J21,'G-3 Multipliers'!$L$3:$N$6,3,FALSE)=0,"Spatial Data Missing",VLOOKUP(J21,'G-3 Multipliers'!$L$3:$N$6,3,FALSE)))</f>
        <v/>
      </c>
      <c r="M21" s="266"/>
      <c r="N21" s="172" t="str">
        <f>IF(M21="","",IF(VLOOKUP(M21,'G-3 Multipliers'!$S$3:$T$6,2,FALSE)=0,"Spatial Data Missing",VLOOKUP(M21,'G-3 Multipliers'!$S$3:$T$6,2,FALSE)))</f>
        <v/>
      </c>
      <c r="O21" s="171" t="str">
        <f>IF(OR(D21="",H21=""),"",(INDEX('G-6 Hedgerow Data'!$E$3:$I$15,MATCH(D21,'G-6 Hedgerow Data'!$B$3:$B$15,0),MATCH(H21,'G-6 Hedgerow Data'!$E$2:$I$2,0))))</f>
        <v/>
      </c>
      <c r="P21" s="261"/>
      <c r="Q21" s="261"/>
      <c r="R21" s="179" t="str">
        <f t="shared" si="1"/>
        <v/>
      </c>
      <c r="S21" s="262" t="str">
        <f t="shared" si="2"/>
        <v/>
      </c>
      <c r="T21" s="263" t="str">
        <f t="shared" si="0"/>
        <v/>
      </c>
      <c r="U21" s="239" t="str">
        <f>IF(D21="","",VLOOKUP(D21,'G-6 Hedgerow Data'!$B$3:$AG$15,31,FALSE))</f>
        <v/>
      </c>
      <c r="V21" s="175" t="str">
        <f t="shared" si="3"/>
        <v/>
      </c>
      <c r="W21" s="175" t="str">
        <f t="shared" si="4"/>
        <v/>
      </c>
      <c r="X21" s="176" t="str">
        <f>IF(F21="","",VLOOKUP(U21,'G-3 Multipliers'!$P$3:$Q$6,2,FALSE))</f>
        <v/>
      </c>
      <c r="Y21" s="274" t="str">
        <f t="shared" si="5"/>
        <v/>
      </c>
      <c r="Z21" s="180"/>
      <c r="AA21" s="181"/>
      <c r="AG21" s="35" t="str">
        <f>IFERROR(INDEX('G-6 Hedgerow Data'!$BJ$3:$BJ$15,MATCH(D21,'G-6 Hedgerow Data'!$B$3:$B$15,0)),"")</f>
        <v/>
      </c>
    </row>
    <row r="22" spans="2:33" ht="15" customHeight="1" x14ac:dyDescent="0.25">
      <c r="B22" s="128">
        <v>11</v>
      </c>
      <c r="C22" s="394"/>
      <c r="D22" s="275"/>
      <c r="E22" s="275"/>
      <c r="F22" s="171" t="str">
        <f>IF(D22="","",VLOOKUP(D22,'G-6 Hedgerow Data'!$B$2:$AG$15,2,FALSE))</f>
        <v/>
      </c>
      <c r="G22" s="176" t="str">
        <f>IF(D22="","",VLOOKUP(D22,'G-6 Hedgerow Data'!$B$2:$AG$15,3,FALSE))</f>
        <v/>
      </c>
      <c r="H22" s="189"/>
      <c r="I22" s="172" t="str">
        <f>IFERROR(IF(AND(F22="V.Low",OR(H22="Good",H22="Moderate")),"Error",VLOOKUP(H22,'G-1 All Habitats'!$Z$2:$AA$9,2,FALSE)),"")</f>
        <v/>
      </c>
      <c r="J22" s="186"/>
      <c r="K22" s="175" t="str">
        <f>IF(J22="","",IF(VLOOKUP(J22,'G-3 Multipliers'!$L$3:$N$6,2,FALSE)=0,"Spatial Data Missing",VLOOKUP(J22,'G-3 Multipliers'!$L$3:$N$6,2,FALSE)))</f>
        <v/>
      </c>
      <c r="L22" s="176" t="str">
        <f>IF(J22="","",IF(VLOOKUP(J22,'G-3 Multipliers'!$L$3:$N$6,3,FALSE)=0,"Spatial Data Missing",VLOOKUP(J22,'G-3 Multipliers'!$L$3:$N$6,3,FALSE)))</f>
        <v/>
      </c>
      <c r="M22" s="266"/>
      <c r="N22" s="172" t="str">
        <f>IF(M22="","",IF(VLOOKUP(M22,'G-3 Multipliers'!$S$3:$T$6,2,FALSE)=0,"Spatial Data Missing",VLOOKUP(M22,'G-3 Multipliers'!$S$3:$T$6,2,FALSE)))</f>
        <v/>
      </c>
      <c r="O22" s="171" t="str">
        <f>IF(OR(D22="",H22=""),"",(INDEX('G-6 Hedgerow Data'!$E$3:$I$15,MATCH(D22,'G-6 Hedgerow Data'!$B$3:$B$15,0),MATCH(H22,'G-6 Hedgerow Data'!$E$2:$I$2,0))))</f>
        <v/>
      </c>
      <c r="P22" s="261"/>
      <c r="Q22" s="261"/>
      <c r="R22" s="179" t="str">
        <f t="shared" si="1"/>
        <v/>
      </c>
      <c r="S22" s="262" t="str">
        <f t="shared" si="2"/>
        <v/>
      </c>
      <c r="T22" s="263" t="str">
        <f t="shared" si="0"/>
        <v/>
      </c>
      <c r="U22" s="239" t="str">
        <f>IF(D22="","",VLOOKUP(D22,'G-6 Hedgerow Data'!$B$3:$AG$15,31,FALSE))</f>
        <v/>
      </c>
      <c r="V22" s="175" t="str">
        <f t="shared" si="3"/>
        <v/>
      </c>
      <c r="W22" s="175" t="str">
        <f t="shared" si="4"/>
        <v/>
      </c>
      <c r="X22" s="176" t="str">
        <f>IF(F22="","",VLOOKUP(U22,'G-3 Multipliers'!$P$3:$Q$6,2,FALSE))</f>
        <v/>
      </c>
      <c r="Y22" s="274" t="str">
        <f t="shared" si="5"/>
        <v/>
      </c>
      <c r="Z22" s="180"/>
      <c r="AA22" s="181"/>
      <c r="AG22" s="35" t="str">
        <f>IFERROR(INDEX('G-6 Hedgerow Data'!$BJ$3:$BJ$15,MATCH(D22,'G-6 Hedgerow Data'!$B$3:$B$15,0)),"")</f>
        <v/>
      </c>
    </row>
    <row r="23" spans="2:33" ht="15" customHeight="1" x14ac:dyDescent="0.25">
      <c r="B23" s="128">
        <v>12</v>
      </c>
      <c r="C23" s="394"/>
      <c r="D23" s="275"/>
      <c r="E23" s="275"/>
      <c r="F23" s="171" t="str">
        <f>IF(D23="","",VLOOKUP(D23,'G-6 Hedgerow Data'!$B$2:$AG$15,2,FALSE))</f>
        <v/>
      </c>
      <c r="G23" s="176" t="str">
        <f>IF(D23="","",VLOOKUP(D23,'G-6 Hedgerow Data'!$B$2:$AG$15,3,FALSE))</f>
        <v/>
      </c>
      <c r="H23" s="189"/>
      <c r="I23" s="172" t="str">
        <f>IFERROR(IF(AND(F23="V.Low",OR(H23="Good",H23="Moderate")),"Error",VLOOKUP(H23,'G-1 All Habitats'!$Z$2:$AA$9,2,FALSE)),"")</f>
        <v/>
      </c>
      <c r="J23" s="186"/>
      <c r="K23" s="175" t="str">
        <f>IF(J23="","",IF(VLOOKUP(J23,'G-3 Multipliers'!$L$3:$N$6,2,FALSE)=0,"Spatial Data Missing",VLOOKUP(J23,'G-3 Multipliers'!$L$3:$N$6,2,FALSE)))</f>
        <v/>
      </c>
      <c r="L23" s="176" t="str">
        <f>IF(J23="","",IF(VLOOKUP(J23,'G-3 Multipliers'!$L$3:$N$6,3,FALSE)=0,"Spatial Data Missing",VLOOKUP(J23,'G-3 Multipliers'!$L$3:$N$6,3,FALSE)))</f>
        <v/>
      </c>
      <c r="M23" s="266"/>
      <c r="N23" s="172" t="str">
        <f>IF(M23="","",IF(VLOOKUP(M23,'G-3 Multipliers'!$S$3:$T$6,2,FALSE)=0,"Spatial Data Missing",VLOOKUP(M23,'G-3 Multipliers'!$S$3:$T$6,2,FALSE)))</f>
        <v/>
      </c>
      <c r="O23" s="171" t="str">
        <f>IF(OR(D23="",H23=""),"",(INDEX('G-6 Hedgerow Data'!$E$3:$I$15,MATCH(D23,'G-6 Hedgerow Data'!$B$3:$B$15,0),MATCH(H23,'G-6 Hedgerow Data'!$E$2:$I$2,0))))</f>
        <v/>
      </c>
      <c r="P23" s="261"/>
      <c r="Q23" s="261"/>
      <c r="R23" s="179" t="str">
        <f t="shared" si="1"/>
        <v/>
      </c>
      <c r="S23" s="262" t="str">
        <f t="shared" si="2"/>
        <v/>
      </c>
      <c r="T23" s="263" t="str">
        <f t="shared" si="0"/>
        <v/>
      </c>
      <c r="U23" s="239" t="str">
        <f>IF(D23="","",VLOOKUP(D23,'G-6 Hedgerow Data'!$B$3:$AG$15,31,FALSE))</f>
        <v/>
      </c>
      <c r="V23" s="175" t="str">
        <f t="shared" si="3"/>
        <v/>
      </c>
      <c r="W23" s="175" t="str">
        <f t="shared" si="4"/>
        <v/>
      </c>
      <c r="X23" s="176" t="str">
        <f>IF(F23="","",VLOOKUP(U23,'G-3 Multipliers'!$P$3:$Q$6,2,FALSE))</f>
        <v/>
      </c>
      <c r="Y23" s="274" t="str">
        <f t="shared" si="5"/>
        <v/>
      </c>
      <c r="Z23" s="180"/>
      <c r="AA23" s="181"/>
      <c r="AG23" s="35" t="str">
        <f>IFERROR(INDEX('G-6 Hedgerow Data'!$BJ$3:$BJ$15,MATCH(D23,'G-6 Hedgerow Data'!$B$3:$B$15,0)),"")</f>
        <v/>
      </c>
    </row>
    <row r="24" spans="2:33" ht="15" customHeight="1" x14ac:dyDescent="0.25">
      <c r="B24" s="128">
        <v>13</v>
      </c>
      <c r="C24" s="394"/>
      <c r="D24" s="275"/>
      <c r="E24" s="275"/>
      <c r="F24" s="171" t="str">
        <f>IF(D24="","",VLOOKUP(D24,'G-6 Hedgerow Data'!$B$2:$AG$15,2,FALSE))</f>
        <v/>
      </c>
      <c r="G24" s="176" t="str">
        <f>IF(D24="","",VLOOKUP(D24,'G-6 Hedgerow Data'!$B$2:$AG$15,3,FALSE))</f>
        <v/>
      </c>
      <c r="H24" s="189"/>
      <c r="I24" s="172" t="str">
        <f>IFERROR(IF(AND(F24="V.Low",OR(H24="Good",H24="Moderate")),"Error",VLOOKUP(H24,'G-1 All Habitats'!$Z$2:$AA$9,2,FALSE)),"")</f>
        <v/>
      </c>
      <c r="J24" s="186"/>
      <c r="K24" s="175" t="str">
        <f>IF(J24="","",IF(VLOOKUP(J24,'G-3 Multipliers'!$L$3:$N$6,2,FALSE)=0,"Spatial Data Missing",VLOOKUP(J24,'G-3 Multipliers'!$L$3:$N$6,2,FALSE)))</f>
        <v/>
      </c>
      <c r="L24" s="176" t="str">
        <f>IF(J24="","",IF(VLOOKUP(J24,'G-3 Multipliers'!$L$3:$N$6,3,FALSE)=0,"Spatial Data Missing",VLOOKUP(J24,'G-3 Multipliers'!$L$3:$N$6,3,FALSE)))</f>
        <v/>
      </c>
      <c r="M24" s="266"/>
      <c r="N24" s="172" t="str">
        <f>IF(M24="","",IF(VLOOKUP(M24,'G-3 Multipliers'!$S$3:$T$6,2,FALSE)=0,"Spatial Data Missing",VLOOKUP(M24,'G-3 Multipliers'!$S$3:$T$6,2,FALSE)))</f>
        <v/>
      </c>
      <c r="O24" s="171" t="str">
        <f>IF(OR(D24="",H24=""),"",(INDEX('G-6 Hedgerow Data'!$E$3:$I$15,MATCH(D24,'G-6 Hedgerow Data'!$B$3:$B$15,0),MATCH(H24,'G-6 Hedgerow Data'!$E$2:$I$2,0))))</f>
        <v/>
      </c>
      <c r="P24" s="261"/>
      <c r="Q24" s="261"/>
      <c r="R24" s="179" t="str">
        <f t="shared" si="1"/>
        <v/>
      </c>
      <c r="S24" s="262" t="str">
        <f t="shared" si="2"/>
        <v/>
      </c>
      <c r="T24" s="263" t="str">
        <f t="shared" si="0"/>
        <v/>
      </c>
      <c r="U24" s="239" t="str">
        <f>IF(D24="","",VLOOKUP(D24,'G-6 Hedgerow Data'!$B$3:$AG$15,31,FALSE))</f>
        <v/>
      </c>
      <c r="V24" s="175" t="str">
        <f t="shared" si="3"/>
        <v/>
      </c>
      <c r="W24" s="175" t="str">
        <f t="shared" si="4"/>
        <v/>
      </c>
      <c r="X24" s="176" t="str">
        <f>IF(F24="","",VLOOKUP(U24,'G-3 Multipliers'!$P$3:$Q$6,2,FALSE))</f>
        <v/>
      </c>
      <c r="Y24" s="274" t="str">
        <f t="shared" si="5"/>
        <v/>
      </c>
      <c r="Z24" s="180"/>
      <c r="AA24" s="181"/>
      <c r="AG24" s="35" t="str">
        <f>IFERROR(INDEX('G-6 Hedgerow Data'!$BJ$3:$BJ$15,MATCH(D24,'G-6 Hedgerow Data'!$B$3:$B$15,0)),"")</f>
        <v/>
      </c>
    </row>
    <row r="25" spans="2:33" ht="15" customHeight="1" x14ac:dyDescent="0.25">
      <c r="B25" s="128">
        <v>14</v>
      </c>
      <c r="C25" s="394"/>
      <c r="D25" s="275"/>
      <c r="E25" s="275"/>
      <c r="F25" s="171" t="str">
        <f>IF(D25="","",VLOOKUP(D25,'G-6 Hedgerow Data'!$B$2:$AG$15,2,FALSE))</f>
        <v/>
      </c>
      <c r="G25" s="176" t="str">
        <f>IF(D25="","",VLOOKUP(D25,'G-6 Hedgerow Data'!$B$2:$AG$15,3,FALSE))</f>
        <v/>
      </c>
      <c r="H25" s="189"/>
      <c r="I25" s="172" t="str">
        <f>IFERROR(IF(AND(F25="V.Low",OR(H25="Good",H25="Moderate")),"Error",VLOOKUP(H25,'G-1 All Habitats'!$Z$2:$AA$9,2,FALSE)),"")</f>
        <v/>
      </c>
      <c r="J25" s="186"/>
      <c r="K25" s="175" t="str">
        <f>IF(J25="","",IF(VLOOKUP(J25,'G-3 Multipliers'!$L$3:$N$6,2,FALSE)=0,"Spatial Data Missing",VLOOKUP(J25,'G-3 Multipliers'!$L$3:$N$6,2,FALSE)))</f>
        <v/>
      </c>
      <c r="L25" s="176" t="str">
        <f>IF(J25="","",IF(VLOOKUP(J25,'G-3 Multipliers'!$L$3:$N$6,3,FALSE)=0,"Spatial Data Missing",VLOOKUP(J25,'G-3 Multipliers'!$L$3:$N$6,3,FALSE)))</f>
        <v/>
      </c>
      <c r="M25" s="266"/>
      <c r="N25" s="172" t="str">
        <f>IF(M25="","",IF(VLOOKUP(M25,'G-3 Multipliers'!$S$3:$T$6,2,FALSE)=0,"Spatial Data Missing",VLOOKUP(M25,'G-3 Multipliers'!$S$3:$T$6,2,FALSE)))</f>
        <v/>
      </c>
      <c r="O25" s="171" t="str">
        <f>IF(OR(D25="",H25=""),"",(INDEX('G-6 Hedgerow Data'!$E$3:$I$15,MATCH(D25,'G-6 Hedgerow Data'!$B$3:$B$15,0),MATCH(H25,'G-6 Hedgerow Data'!$E$2:$I$2,0))))</f>
        <v/>
      </c>
      <c r="P25" s="261"/>
      <c r="Q25" s="261"/>
      <c r="R25" s="179" t="str">
        <f t="shared" si="1"/>
        <v/>
      </c>
      <c r="S25" s="262" t="str">
        <f t="shared" si="2"/>
        <v/>
      </c>
      <c r="T25" s="263" t="str">
        <f t="shared" si="0"/>
        <v/>
      </c>
      <c r="U25" s="239" t="str">
        <f>IF(D25="","",VLOOKUP(D25,'G-6 Hedgerow Data'!$B$3:$AG$15,31,FALSE))</f>
        <v/>
      </c>
      <c r="V25" s="175" t="str">
        <f t="shared" si="3"/>
        <v/>
      </c>
      <c r="W25" s="175" t="str">
        <f t="shared" si="4"/>
        <v/>
      </c>
      <c r="X25" s="176" t="str">
        <f>IF(F25="","",VLOOKUP(U25,'G-3 Multipliers'!$P$3:$Q$6,2,FALSE))</f>
        <v/>
      </c>
      <c r="Y25" s="274" t="str">
        <f t="shared" si="5"/>
        <v/>
      </c>
      <c r="Z25" s="180"/>
      <c r="AA25" s="181"/>
      <c r="AG25" s="35" t="str">
        <f>IFERROR(INDEX('G-6 Hedgerow Data'!$BJ$3:$BJ$15,MATCH(D25,'G-6 Hedgerow Data'!$B$3:$B$15,0)),"")</f>
        <v/>
      </c>
    </row>
    <row r="26" spans="2:33" ht="15" customHeight="1" x14ac:dyDescent="0.25">
      <c r="B26" s="128">
        <v>15</v>
      </c>
      <c r="C26" s="394"/>
      <c r="D26" s="275"/>
      <c r="E26" s="275"/>
      <c r="F26" s="171" t="str">
        <f>IF(D26="","",VLOOKUP(D26,'G-6 Hedgerow Data'!$B$2:$AG$15,2,FALSE))</f>
        <v/>
      </c>
      <c r="G26" s="176" t="str">
        <f>IF(D26="","",VLOOKUP(D26,'G-6 Hedgerow Data'!$B$2:$AG$15,3,FALSE))</f>
        <v/>
      </c>
      <c r="H26" s="189"/>
      <c r="I26" s="172" t="str">
        <f>IFERROR(IF(AND(F26="V.Low",OR(H26="Good",H26="Moderate")),"Error",VLOOKUP(H26,'G-1 All Habitats'!$Z$2:$AA$9,2,FALSE)),"")</f>
        <v/>
      </c>
      <c r="J26" s="186"/>
      <c r="K26" s="175" t="str">
        <f>IF(J26="","",IF(VLOOKUP(J26,'G-3 Multipliers'!$L$3:$N$6,2,FALSE)=0,"Spatial Data Missing",VLOOKUP(J26,'G-3 Multipliers'!$L$3:$N$6,2,FALSE)))</f>
        <v/>
      </c>
      <c r="L26" s="176" t="str">
        <f>IF(J26="","",IF(VLOOKUP(J26,'G-3 Multipliers'!$L$3:$N$6,3,FALSE)=0,"Spatial Data Missing",VLOOKUP(J26,'G-3 Multipliers'!$L$3:$N$6,3,FALSE)))</f>
        <v/>
      </c>
      <c r="M26" s="266"/>
      <c r="N26" s="172" t="str">
        <f>IF(M26="","",IF(VLOOKUP(M26,'G-3 Multipliers'!$S$3:$T$6,2,FALSE)=0,"Spatial Data Missing",VLOOKUP(M26,'G-3 Multipliers'!$S$3:$T$6,2,FALSE)))</f>
        <v/>
      </c>
      <c r="O26" s="171" t="str">
        <f>IF(OR(D26="",H26=""),"",(INDEX('G-6 Hedgerow Data'!$E$3:$I$15,MATCH(D26,'G-6 Hedgerow Data'!$B$3:$B$15,0),MATCH(H26,'G-6 Hedgerow Data'!$E$2:$I$2,0))))</f>
        <v/>
      </c>
      <c r="P26" s="261"/>
      <c r="Q26" s="261"/>
      <c r="R26" s="179" t="str">
        <f t="shared" si="1"/>
        <v/>
      </c>
      <c r="S26" s="262" t="str">
        <f t="shared" si="2"/>
        <v/>
      </c>
      <c r="T26" s="263" t="str">
        <f t="shared" si="0"/>
        <v/>
      </c>
      <c r="U26" s="239" t="str">
        <f>IF(D26="","",VLOOKUP(D26,'G-6 Hedgerow Data'!$B$3:$AG$15,31,FALSE))</f>
        <v/>
      </c>
      <c r="V26" s="175" t="str">
        <f t="shared" si="3"/>
        <v/>
      </c>
      <c r="W26" s="175" t="str">
        <f t="shared" si="4"/>
        <v/>
      </c>
      <c r="X26" s="176" t="str">
        <f>IF(F26="","",VLOOKUP(U26,'G-3 Multipliers'!$P$3:$Q$6,2,FALSE))</f>
        <v/>
      </c>
      <c r="Y26" s="274" t="str">
        <f t="shared" si="5"/>
        <v/>
      </c>
      <c r="Z26" s="180"/>
      <c r="AA26" s="181"/>
      <c r="AG26" s="35" t="str">
        <f>IFERROR(INDEX('G-6 Hedgerow Data'!$BJ$3:$BJ$15,MATCH(D26,'G-6 Hedgerow Data'!$B$3:$B$15,0)),"")</f>
        <v/>
      </c>
    </row>
    <row r="27" spans="2:33" ht="15" customHeight="1" x14ac:dyDescent="0.25">
      <c r="B27" s="128">
        <v>16</v>
      </c>
      <c r="C27" s="394"/>
      <c r="D27" s="275"/>
      <c r="E27" s="275"/>
      <c r="F27" s="171" t="str">
        <f>IF(D27="","",VLOOKUP(D27,'G-6 Hedgerow Data'!$B$2:$AG$15,2,FALSE))</f>
        <v/>
      </c>
      <c r="G27" s="176" t="str">
        <f>IF(D27="","",VLOOKUP(D27,'G-6 Hedgerow Data'!$B$2:$AG$15,3,FALSE))</f>
        <v/>
      </c>
      <c r="H27" s="189"/>
      <c r="I27" s="172" t="str">
        <f>IFERROR(IF(AND(F27="V.Low",OR(H27="Good",H27="Moderate")),"Error",VLOOKUP(H27,'G-1 All Habitats'!$Z$2:$AA$9,2,FALSE)),"")</f>
        <v/>
      </c>
      <c r="J27" s="186"/>
      <c r="K27" s="175" t="str">
        <f>IF(J27="","",IF(VLOOKUP(J27,'G-3 Multipliers'!$L$3:$N$6,2,FALSE)=0,"Spatial Data Missing",VLOOKUP(J27,'G-3 Multipliers'!$L$3:$N$6,2,FALSE)))</f>
        <v/>
      </c>
      <c r="L27" s="176" t="str">
        <f>IF(J27="","",IF(VLOOKUP(J27,'G-3 Multipliers'!$L$3:$N$6,3,FALSE)=0,"Spatial Data Missing",VLOOKUP(J27,'G-3 Multipliers'!$L$3:$N$6,3,FALSE)))</f>
        <v/>
      </c>
      <c r="M27" s="266"/>
      <c r="N27" s="172" t="str">
        <f>IF(M27="","",IF(VLOOKUP(M27,'G-3 Multipliers'!$S$3:$T$6,2,FALSE)=0,"Spatial Data Missing",VLOOKUP(M27,'G-3 Multipliers'!$S$3:$T$6,2,FALSE)))</f>
        <v/>
      </c>
      <c r="O27" s="171" t="str">
        <f>IF(OR(D27="",H27=""),"",(INDEX('G-6 Hedgerow Data'!$E$3:$I$15,MATCH(D27,'G-6 Hedgerow Data'!$B$3:$B$15,0),MATCH(H27,'G-6 Hedgerow Data'!$E$2:$I$2,0))))</f>
        <v/>
      </c>
      <c r="P27" s="261"/>
      <c r="Q27" s="261"/>
      <c r="R27" s="179" t="str">
        <f t="shared" si="1"/>
        <v/>
      </c>
      <c r="S27" s="262" t="str">
        <f t="shared" si="2"/>
        <v/>
      </c>
      <c r="T27" s="263" t="str">
        <f t="shared" si="0"/>
        <v/>
      </c>
      <c r="U27" s="239" t="str">
        <f>IF(D27="","",VLOOKUP(D27,'G-6 Hedgerow Data'!$B$3:$AG$15,31,FALSE))</f>
        <v/>
      </c>
      <c r="V27" s="175" t="str">
        <f t="shared" si="3"/>
        <v/>
      </c>
      <c r="W27" s="175" t="str">
        <f t="shared" si="4"/>
        <v/>
      </c>
      <c r="X27" s="176" t="str">
        <f>IF(F27="","",VLOOKUP(U27,'G-3 Multipliers'!$P$3:$Q$6,2,FALSE))</f>
        <v/>
      </c>
      <c r="Y27" s="274" t="str">
        <f t="shared" si="5"/>
        <v/>
      </c>
      <c r="Z27" s="180"/>
      <c r="AA27" s="181"/>
      <c r="AG27" s="35" t="str">
        <f>IFERROR(INDEX('G-6 Hedgerow Data'!$BJ$3:$BJ$15,MATCH(D27,'G-6 Hedgerow Data'!$B$3:$B$15,0)),"")</f>
        <v/>
      </c>
    </row>
    <row r="28" spans="2:33" ht="15" customHeight="1" x14ac:dyDescent="0.25">
      <c r="B28" s="128">
        <v>17</v>
      </c>
      <c r="C28" s="394"/>
      <c r="D28" s="275"/>
      <c r="E28" s="275"/>
      <c r="F28" s="171" t="str">
        <f>IF(D28="","",VLOOKUP(D28,'G-6 Hedgerow Data'!$B$2:$AG$15,2,FALSE))</f>
        <v/>
      </c>
      <c r="G28" s="176" t="str">
        <f>IF(D28="","",VLOOKUP(D28,'G-6 Hedgerow Data'!$B$2:$AG$15,3,FALSE))</f>
        <v/>
      </c>
      <c r="H28" s="189"/>
      <c r="I28" s="172" t="str">
        <f>IFERROR(IF(AND(F28="V.Low",OR(H28="Good",H28="Moderate")),"Error",VLOOKUP(H28,'G-1 All Habitats'!$Z$2:$AA$9,2,FALSE)),"")</f>
        <v/>
      </c>
      <c r="J28" s="186"/>
      <c r="K28" s="175" t="str">
        <f>IF(J28="","",IF(VLOOKUP(J28,'G-3 Multipliers'!$L$3:$N$6,2,FALSE)=0,"Spatial Data Missing",VLOOKUP(J28,'G-3 Multipliers'!$L$3:$N$6,2,FALSE)))</f>
        <v/>
      </c>
      <c r="L28" s="176" t="str">
        <f>IF(J28="","",IF(VLOOKUP(J28,'G-3 Multipliers'!$L$3:$N$6,3,FALSE)=0,"Spatial Data Missing",VLOOKUP(J28,'G-3 Multipliers'!$L$3:$N$6,3,FALSE)))</f>
        <v/>
      </c>
      <c r="M28" s="266"/>
      <c r="N28" s="172" t="str">
        <f>IF(M28="","",IF(VLOOKUP(M28,'G-3 Multipliers'!$S$3:$T$6,2,FALSE)=0,"Spatial Data Missing",VLOOKUP(M28,'G-3 Multipliers'!$S$3:$T$6,2,FALSE)))</f>
        <v/>
      </c>
      <c r="O28" s="171" t="str">
        <f>IF(OR(D28="",H28=""),"",(INDEX('G-6 Hedgerow Data'!$E$3:$I$15,MATCH(D28,'G-6 Hedgerow Data'!$B$3:$B$15,0),MATCH(H28,'G-6 Hedgerow Data'!$E$2:$I$2,0))))</f>
        <v/>
      </c>
      <c r="P28" s="261"/>
      <c r="Q28" s="261"/>
      <c r="R28" s="179" t="str">
        <f t="shared" si="1"/>
        <v/>
      </c>
      <c r="S28" s="262" t="str">
        <f t="shared" si="2"/>
        <v/>
      </c>
      <c r="T28" s="263" t="str">
        <f t="shared" si="0"/>
        <v/>
      </c>
      <c r="U28" s="239" t="str">
        <f>IF(D28="","",VLOOKUP(D28,'G-6 Hedgerow Data'!$B$3:$AG$15,31,FALSE))</f>
        <v/>
      </c>
      <c r="V28" s="175" t="str">
        <f t="shared" si="3"/>
        <v/>
      </c>
      <c r="W28" s="175" t="str">
        <f t="shared" si="4"/>
        <v/>
      </c>
      <c r="X28" s="176" t="str">
        <f>IF(F28="","",VLOOKUP(U28,'G-3 Multipliers'!$P$3:$Q$6,2,FALSE))</f>
        <v/>
      </c>
      <c r="Y28" s="274" t="str">
        <f t="shared" si="5"/>
        <v/>
      </c>
      <c r="Z28" s="180"/>
      <c r="AA28" s="181"/>
      <c r="AG28" s="35" t="str">
        <f>IFERROR(INDEX('G-6 Hedgerow Data'!$BJ$3:$BJ$15,MATCH(D28,'G-6 Hedgerow Data'!$B$3:$B$15,0)),"")</f>
        <v/>
      </c>
    </row>
    <row r="29" spans="2:33" ht="15" customHeight="1" x14ac:dyDescent="0.25">
      <c r="B29" s="128">
        <v>18</v>
      </c>
      <c r="C29" s="394"/>
      <c r="D29" s="275"/>
      <c r="E29" s="275"/>
      <c r="F29" s="171" t="str">
        <f>IF(D29="","",VLOOKUP(D29,'G-6 Hedgerow Data'!$B$2:$AG$15,2,FALSE))</f>
        <v/>
      </c>
      <c r="G29" s="176" t="str">
        <f>IF(D29="","",VLOOKUP(D29,'G-6 Hedgerow Data'!$B$2:$AG$15,3,FALSE))</f>
        <v/>
      </c>
      <c r="H29" s="189"/>
      <c r="I29" s="172" t="str">
        <f>IFERROR(IF(AND(F29="V.Low",OR(H29="Good",H29="Moderate")),"Error",VLOOKUP(H29,'G-1 All Habitats'!$Z$2:$AA$9,2,FALSE)),"")</f>
        <v/>
      </c>
      <c r="J29" s="186"/>
      <c r="K29" s="175" t="str">
        <f>IF(J29="","",IF(VLOOKUP(J29,'G-3 Multipliers'!$L$3:$N$6,2,FALSE)=0,"Spatial Data Missing",VLOOKUP(J29,'G-3 Multipliers'!$L$3:$N$6,2,FALSE)))</f>
        <v/>
      </c>
      <c r="L29" s="176" t="str">
        <f>IF(J29="","",IF(VLOOKUP(J29,'G-3 Multipliers'!$L$3:$N$6,3,FALSE)=0,"Spatial Data Missing",VLOOKUP(J29,'G-3 Multipliers'!$L$3:$N$6,3,FALSE)))</f>
        <v/>
      </c>
      <c r="M29" s="266"/>
      <c r="N29" s="172" t="str">
        <f>IF(M29="","",IF(VLOOKUP(M29,'G-3 Multipliers'!$S$3:$T$6,2,FALSE)=0,"Spatial Data Missing",VLOOKUP(M29,'G-3 Multipliers'!$S$3:$T$6,2,FALSE)))</f>
        <v/>
      </c>
      <c r="O29" s="171" t="str">
        <f>IF(OR(D29="",H29=""),"",(INDEX('G-6 Hedgerow Data'!$E$3:$I$15,MATCH(D29,'G-6 Hedgerow Data'!$B$3:$B$15,0),MATCH(H29,'G-6 Hedgerow Data'!$E$2:$I$2,0))))</f>
        <v/>
      </c>
      <c r="P29" s="261"/>
      <c r="Q29" s="261"/>
      <c r="R29" s="179" t="str">
        <f t="shared" si="1"/>
        <v/>
      </c>
      <c r="S29" s="262" t="str">
        <f t="shared" si="2"/>
        <v/>
      </c>
      <c r="T29" s="263" t="str">
        <f t="shared" si="0"/>
        <v/>
      </c>
      <c r="U29" s="239" t="str">
        <f>IF(D29="","",VLOOKUP(D29,'G-6 Hedgerow Data'!$B$3:$AG$15,31,FALSE))</f>
        <v/>
      </c>
      <c r="V29" s="175" t="str">
        <f t="shared" si="3"/>
        <v/>
      </c>
      <c r="W29" s="175" t="str">
        <f t="shared" si="4"/>
        <v/>
      </c>
      <c r="X29" s="176" t="str">
        <f>IF(F29="","",VLOOKUP(U29,'G-3 Multipliers'!$P$3:$Q$6,2,FALSE))</f>
        <v/>
      </c>
      <c r="Y29" s="274" t="str">
        <f t="shared" si="5"/>
        <v/>
      </c>
      <c r="Z29" s="180"/>
      <c r="AA29" s="181"/>
      <c r="AG29" s="35" t="str">
        <f>IFERROR(INDEX('G-6 Hedgerow Data'!$BJ$3:$BJ$15,MATCH(D29,'G-6 Hedgerow Data'!$B$3:$B$15,0)),"")</f>
        <v/>
      </c>
    </row>
    <row r="30" spans="2:33" ht="15" customHeight="1" x14ac:dyDescent="0.25">
      <c r="B30" s="128">
        <v>19</v>
      </c>
      <c r="C30" s="394"/>
      <c r="D30" s="275"/>
      <c r="E30" s="275"/>
      <c r="F30" s="171" t="str">
        <f>IF(D30="","",VLOOKUP(D30,'G-6 Hedgerow Data'!$B$2:$AG$15,2,FALSE))</f>
        <v/>
      </c>
      <c r="G30" s="176" t="str">
        <f>IF(D30="","",VLOOKUP(D30,'G-6 Hedgerow Data'!$B$2:$AG$15,3,FALSE))</f>
        <v/>
      </c>
      <c r="H30" s="189"/>
      <c r="I30" s="172" t="str">
        <f>IFERROR(IF(AND(F30="V.Low",OR(H30="Good",H30="Moderate")),"Error",VLOOKUP(H30,'G-1 All Habitats'!$Z$2:$AA$9,2,FALSE)),"")</f>
        <v/>
      </c>
      <c r="J30" s="186"/>
      <c r="K30" s="175" t="str">
        <f>IF(J30="","",IF(VLOOKUP(J30,'G-3 Multipliers'!$L$3:$N$6,2,FALSE)=0,"Spatial Data Missing",VLOOKUP(J30,'G-3 Multipliers'!$L$3:$N$6,2,FALSE)))</f>
        <v/>
      </c>
      <c r="L30" s="176" t="str">
        <f>IF(J30="","",IF(VLOOKUP(J30,'G-3 Multipliers'!$L$3:$N$6,3,FALSE)=0,"Spatial Data Missing",VLOOKUP(J30,'G-3 Multipliers'!$L$3:$N$6,3,FALSE)))</f>
        <v/>
      </c>
      <c r="M30" s="266"/>
      <c r="N30" s="172" t="str">
        <f>IF(M30="","",IF(VLOOKUP(M30,'G-3 Multipliers'!$S$3:$T$6,2,FALSE)=0,"Spatial Data Missing",VLOOKUP(M30,'G-3 Multipliers'!$S$3:$T$6,2,FALSE)))</f>
        <v/>
      </c>
      <c r="O30" s="171" t="str">
        <f>IF(OR(D30="",H30=""),"",(INDEX('G-6 Hedgerow Data'!$E$3:$I$15,MATCH(D30,'G-6 Hedgerow Data'!$B$3:$B$15,0),MATCH(H30,'G-6 Hedgerow Data'!$E$2:$I$2,0))))</f>
        <v/>
      </c>
      <c r="P30" s="261"/>
      <c r="Q30" s="261"/>
      <c r="R30" s="179" t="str">
        <f t="shared" si="1"/>
        <v/>
      </c>
      <c r="S30" s="262" t="str">
        <f t="shared" si="2"/>
        <v/>
      </c>
      <c r="T30" s="263" t="str">
        <f t="shared" si="0"/>
        <v/>
      </c>
      <c r="U30" s="239" t="str">
        <f>IF(D30="","",VLOOKUP(D30,'G-6 Hedgerow Data'!$B$3:$AG$15,31,FALSE))</f>
        <v/>
      </c>
      <c r="V30" s="175" t="str">
        <f t="shared" si="3"/>
        <v/>
      </c>
      <c r="W30" s="175" t="str">
        <f t="shared" si="4"/>
        <v/>
      </c>
      <c r="X30" s="176" t="str">
        <f>IF(F30="","",VLOOKUP(U30,'G-3 Multipliers'!$P$3:$Q$6,2,FALSE))</f>
        <v/>
      </c>
      <c r="Y30" s="274" t="str">
        <f t="shared" si="5"/>
        <v/>
      </c>
      <c r="Z30" s="180"/>
      <c r="AA30" s="181"/>
      <c r="AG30" s="35" t="str">
        <f>IFERROR(INDEX('G-6 Hedgerow Data'!$BJ$3:$BJ$15,MATCH(D30,'G-6 Hedgerow Data'!$B$3:$B$15,0)),"")</f>
        <v/>
      </c>
    </row>
    <row r="31" spans="2:33" ht="15" customHeight="1" x14ac:dyDescent="0.25">
      <c r="B31" s="128">
        <v>20</v>
      </c>
      <c r="C31" s="394"/>
      <c r="D31" s="275"/>
      <c r="E31" s="275"/>
      <c r="F31" s="171" t="str">
        <f>IF(D31="","",VLOOKUP(D31,'G-6 Hedgerow Data'!$B$2:$AG$15,2,FALSE))</f>
        <v/>
      </c>
      <c r="G31" s="176" t="str">
        <f>IF(D31="","",VLOOKUP(D31,'G-6 Hedgerow Data'!$B$2:$AG$15,3,FALSE))</f>
        <v/>
      </c>
      <c r="H31" s="189"/>
      <c r="I31" s="172" t="str">
        <f>IFERROR(IF(AND(F31="V.Low",OR(H31="Good",H31="Moderate")),"Error",VLOOKUP(H31,'G-1 All Habitats'!$Z$2:$AA$9,2,FALSE)),"")</f>
        <v/>
      </c>
      <c r="J31" s="186"/>
      <c r="K31" s="175" t="str">
        <f>IF(J31="","",IF(VLOOKUP(J31,'G-3 Multipliers'!$L$3:$N$6,2,FALSE)=0,"Spatial Data Missing",VLOOKUP(J31,'G-3 Multipliers'!$L$3:$N$6,2,FALSE)))</f>
        <v/>
      </c>
      <c r="L31" s="176" t="str">
        <f>IF(J31="","",IF(VLOOKUP(J31,'G-3 Multipliers'!$L$3:$N$6,3,FALSE)=0,"Spatial Data Missing",VLOOKUP(J31,'G-3 Multipliers'!$L$3:$N$6,3,FALSE)))</f>
        <v/>
      </c>
      <c r="M31" s="266"/>
      <c r="N31" s="172" t="str">
        <f>IF(M31="","",IF(VLOOKUP(M31,'G-3 Multipliers'!$S$3:$T$6,2,FALSE)=0,"Spatial Data Missing",VLOOKUP(M31,'G-3 Multipliers'!$S$3:$T$6,2,FALSE)))</f>
        <v/>
      </c>
      <c r="O31" s="171" t="str">
        <f>IF(OR(D31="",H31=""),"",(INDEX('G-6 Hedgerow Data'!$E$3:$I$15,MATCH(D31,'G-6 Hedgerow Data'!$B$3:$B$15,0),MATCH(H31,'G-6 Hedgerow Data'!$E$2:$I$2,0))))</f>
        <v/>
      </c>
      <c r="P31" s="261"/>
      <c r="Q31" s="261"/>
      <c r="R31" s="179" t="str">
        <f t="shared" si="1"/>
        <v/>
      </c>
      <c r="S31" s="262" t="str">
        <f t="shared" si="2"/>
        <v/>
      </c>
      <c r="T31" s="263" t="str">
        <f t="shared" si="0"/>
        <v/>
      </c>
      <c r="U31" s="239" t="str">
        <f>IF(D31="","",VLOOKUP(D31,'G-6 Hedgerow Data'!$B$3:$AG$15,31,FALSE))</f>
        <v/>
      </c>
      <c r="V31" s="175" t="str">
        <f t="shared" si="3"/>
        <v/>
      </c>
      <c r="W31" s="175" t="str">
        <f t="shared" si="4"/>
        <v/>
      </c>
      <c r="X31" s="176" t="str">
        <f>IF(F31="","",VLOOKUP(U31,'G-3 Multipliers'!$P$3:$Q$6,2,FALSE))</f>
        <v/>
      </c>
      <c r="Y31" s="274" t="str">
        <f t="shared" si="5"/>
        <v/>
      </c>
      <c r="Z31" s="180"/>
      <c r="AA31" s="181"/>
      <c r="AG31" s="35" t="str">
        <f>IFERROR(INDEX('G-6 Hedgerow Data'!$BJ$3:$BJ$15,MATCH(D31,'G-6 Hedgerow Data'!$B$3:$B$15,0)),"")</f>
        <v/>
      </c>
    </row>
    <row r="32" spans="2:33" ht="15" customHeight="1" x14ac:dyDescent="0.25">
      <c r="B32" s="128">
        <v>21</v>
      </c>
      <c r="C32" s="394"/>
      <c r="D32" s="275"/>
      <c r="E32" s="275"/>
      <c r="F32" s="171" t="str">
        <f>IF(D32="","",VLOOKUP(D32,'G-6 Hedgerow Data'!$B$2:$AG$15,2,FALSE))</f>
        <v/>
      </c>
      <c r="G32" s="176" t="str">
        <f>IF(D32="","",VLOOKUP(D32,'G-6 Hedgerow Data'!$B$2:$AG$15,3,FALSE))</f>
        <v/>
      </c>
      <c r="H32" s="189"/>
      <c r="I32" s="172" t="str">
        <f>IFERROR(IF(AND(F32="V.Low",OR(H32="Good",H32="Moderate")),"Error",VLOOKUP(H32,'G-1 All Habitats'!$Z$2:$AA$9,2,FALSE)),"")</f>
        <v/>
      </c>
      <c r="J32" s="186"/>
      <c r="K32" s="175" t="str">
        <f>IF(J32="","",IF(VLOOKUP(J32,'G-3 Multipliers'!$L$3:$N$6,2,FALSE)=0,"Spatial Data Missing",VLOOKUP(J32,'G-3 Multipliers'!$L$3:$N$6,2,FALSE)))</f>
        <v/>
      </c>
      <c r="L32" s="176" t="str">
        <f>IF(J32="","",IF(VLOOKUP(J32,'G-3 Multipliers'!$L$3:$N$6,3,FALSE)=0,"Spatial Data Missing",VLOOKUP(J32,'G-3 Multipliers'!$L$3:$N$6,3,FALSE)))</f>
        <v/>
      </c>
      <c r="M32" s="266"/>
      <c r="N32" s="172" t="str">
        <f>IF(M32="","",IF(VLOOKUP(M32,'G-3 Multipliers'!$S$3:$T$6,2,FALSE)=0,"Spatial Data Missing",VLOOKUP(M32,'G-3 Multipliers'!$S$3:$T$6,2,FALSE)))</f>
        <v/>
      </c>
      <c r="O32" s="171" t="str">
        <f>IF(OR(D32="",H32=""),"",(INDEX('G-6 Hedgerow Data'!$E$3:$I$15,MATCH(D32,'G-6 Hedgerow Data'!$B$3:$B$15,0),MATCH(H32,'G-6 Hedgerow Data'!$E$2:$I$2,0))))</f>
        <v/>
      </c>
      <c r="P32" s="261"/>
      <c r="Q32" s="261"/>
      <c r="R32" s="179" t="str">
        <f t="shared" si="1"/>
        <v/>
      </c>
      <c r="S32" s="262" t="str">
        <f t="shared" si="2"/>
        <v/>
      </c>
      <c r="T32" s="263" t="str">
        <f t="shared" si="0"/>
        <v/>
      </c>
      <c r="U32" s="239" t="str">
        <f>IF(D32="","",VLOOKUP(D32,'G-6 Hedgerow Data'!$B$3:$AG$15,31,FALSE))</f>
        <v/>
      </c>
      <c r="V32" s="175" t="str">
        <f t="shared" si="3"/>
        <v/>
      </c>
      <c r="W32" s="175" t="str">
        <f t="shared" si="4"/>
        <v/>
      </c>
      <c r="X32" s="176" t="str">
        <f>IF(F32="","",VLOOKUP(U32,'G-3 Multipliers'!$P$3:$Q$6,2,FALSE))</f>
        <v/>
      </c>
      <c r="Y32" s="274" t="str">
        <f t="shared" si="5"/>
        <v/>
      </c>
      <c r="Z32" s="180"/>
      <c r="AA32" s="181"/>
      <c r="AG32" s="35" t="str">
        <f>IFERROR(INDEX('G-6 Hedgerow Data'!$BJ$3:$BJ$15,MATCH(D32,'G-6 Hedgerow Data'!$B$3:$B$15,0)),"")</f>
        <v/>
      </c>
    </row>
    <row r="33" spans="2:33" ht="15" customHeight="1" x14ac:dyDescent="0.25">
      <c r="B33" s="128">
        <v>22</v>
      </c>
      <c r="C33" s="394"/>
      <c r="D33" s="275"/>
      <c r="E33" s="275"/>
      <c r="F33" s="171" t="str">
        <f>IF(D33="","",VLOOKUP(D33,'G-6 Hedgerow Data'!$B$2:$AG$15,2,FALSE))</f>
        <v/>
      </c>
      <c r="G33" s="176" t="str">
        <f>IF(D33="","",VLOOKUP(D33,'G-6 Hedgerow Data'!$B$2:$AG$15,3,FALSE))</f>
        <v/>
      </c>
      <c r="H33" s="189"/>
      <c r="I33" s="172" t="str">
        <f>IFERROR(IF(AND(F33="V.Low",OR(H33="Good",H33="Moderate")),"Error",VLOOKUP(H33,'G-1 All Habitats'!$Z$2:$AA$9,2,FALSE)),"")</f>
        <v/>
      </c>
      <c r="J33" s="186"/>
      <c r="K33" s="175" t="str">
        <f>IF(J33="","",IF(VLOOKUP(J33,'G-3 Multipliers'!$L$3:$N$6,2,FALSE)=0,"Spatial Data Missing",VLOOKUP(J33,'G-3 Multipliers'!$L$3:$N$6,2,FALSE)))</f>
        <v/>
      </c>
      <c r="L33" s="176" t="str">
        <f>IF(J33="","",IF(VLOOKUP(J33,'G-3 Multipliers'!$L$3:$N$6,3,FALSE)=0,"Spatial Data Missing",VLOOKUP(J33,'G-3 Multipliers'!$L$3:$N$6,3,FALSE)))</f>
        <v/>
      </c>
      <c r="M33" s="266"/>
      <c r="N33" s="172" t="str">
        <f>IF(M33="","",IF(VLOOKUP(M33,'G-3 Multipliers'!$S$3:$T$6,2,FALSE)=0,"Spatial Data Missing",VLOOKUP(M33,'G-3 Multipliers'!$S$3:$T$6,2,FALSE)))</f>
        <v/>
      </c>
      <c r="O33" s="171" t="str">
        <f>IF(OR(D33="",H33=""),"",(INDEX('G-6 Hedgerow Data'!$E$3:$I$15,MATCH(D33,'G-6 Hedgerow Data'!$B$3:$B$15,0),MATCH(H33,'G-6 Hedgerow Data'!$E$2:$I$2,0))))</f>
        <v/>
      </c>
      <c r="P33" s="261"/>
      <c r="Q33" s="261"/>
      <c r="R33" s="179" t="str">
        <f t="shared" si="1"/>
        <v/>
      </c>
      <c r="S33" s="262" t="str">
        <f t="shared" si="2"/>
        <v/>
      </c>
      <c r="T33" s="263" t="str">
        <f t="shared" si="0"/>
        <v/>
      </c>
      <c r="U33" s="239" t="str">
        <f>IF(D33="","",VLOOKUP(D33,'G-6 Hedgerow Data'!$B$3:$AG$15,31,FALSE))</f>
        <v/>
      </c>
      <c r="V33" s="175" t="str">
        <f t="shared" si="3"/>
        <v/>
      </c>
      <c r="W33" s="175" t="str">
        <f t="shared" si="4"/>
        <v/>
      </c>
      <c r="X33" s="176" t="str">
        <f>IF(F33="","",VLOOKUP(U33,'G-3 Multipliers'!$P$3:$Q$6,2,FALSE))</f>
        <v/>
      </c>
      <c r="Y33" s="274" t="str">
        <f t="shared" si="5"/>
        <v/>
      </c>
      <c r="Z33" s="180"/>
      <c r="AA33" s="181"/>
      <c r="AG33" s="35" t="str">
        <f>IFERROR(INDEX('G-6 Hedgerow Data'!$BJ$3:$BJ$15,MATCH(D33,'G-6 Hedgerow Data'!$B$3:$B$15,0)),"")</f>
        <v/>
      </c>
    </row>
    <row r="34" spans="2:33" ht="15" customHeight="1" x14ac:dyDescent="0.25">
      <c r="B34" s="128">
        <v>23</v>
      </c>
      <c r="C34" s="394"/>
      <c r="D34" s="275"/>
      <c r="E34" s="275"/>
      <c r="F34" s="171" t="str">
        <f>IF(D34="","",VLOOKUP(D34,'G-6 Hedgerow Data'!$B$2:$AG$15,2,FALSE))</f>
        <v/>
      </c>
      <c r="G34" s="176" t="str">
        <f>IF(D34="","",VLOOKUP(D34,'G-6 Hedgerow Data'!$B$2:$AG$15,3,FALSE))</f>
        <v/>
      </c>
      <c r="H34" s="189"/>
      <c r="I34" s="172" t="str">
        <f>IFERROR(IF(AND(F34="V.Low",OR(H34="Good",H34="Moderate")),"Error",VLOOKUP(H34,'G-1 All Habitats'!$Z$2:$AA$9,2,FALSE)),"")</f>
        <v/>
      </c>
      <c r="J34" s="186"/>
      <c r="K34" s="175" t="str">
        <f>IF(J34="","",IF(VLOOKUP(J34,'G-3 Multipliers'!$L$3:$N$6,2,FALSE)=0,"Spatial Data Missing",VLOOKUP(J34,'G-3 Multipliers'!$L$3:$N$6,2,FALSE)))</f>
        <v/>
      </c>
      <c r="L34" s="176" t="str">
        <f>IF(J34="","",IF(VLOOKUP(J34,'G-3 Multipliers'!$L$3:$N$6,3,FALSE)=0,"Spatial Data Missing",VLOOKUP(J34,'G-3 Multipliers'!$L$3:$N$6,3,FALSE)))</f>
        <v/>
      </c>
      <c r="M34" s="266"/>
      <c r="N34" s="172" t="str">
        <f>IF(M34="","",IF(VLOOKUP(M34,'G-3 Multipliers'!$S$3:$T$6,2,FALSE)=0,"Spatial Data Missing",VLOOKUP(M34,'G-3 Multipliers'!$S$3:$T$6,2,FALSE)))</f>
        <v/>
      </c>
      <c r="O34" s="171" t="str">
        <f>IF(OR(D34="",H34=""),"",(INDEX('G-6 Hedgerow Data'!$E$3:$I$15,MATCH(D34,'G-6 Hedgerow Data'!$B$3:$B$15,0),MATCH(H34,'G-6 Hedgerow Data'!$E$2:$I$2,0))))</f>
        <v/>
      </c>
      <c r="P34" s="261"/>
      <c r="Q34" s="261"/>
      <c r="R34" s="179" t="str">
        <f t="shared" si="1"/>
        <v/>
      </c>
      <c r="S34" s="262" t="str">
        <f t="shared" si="2"/>
        <v/>
      </c>
      <c r="T34" s="263" t="str">
        <f t="shared" si="0"/>
        <v/>
      </c>
      <c r="U34" s="239" t="str">
        <f>IF(D34="","",VLOOKUP(D34,'G-6 Hedgerow Data'!$B$3:$AG$15,31,FALSE))</f>
        <v/>
      </c>
      <c r="V34" s="175" t="str">
        <f t="shared" si="3"/>
        <v/>
      </c>
      <c r="W34" s="175" t="str">
        <f t="shared" si="4"/>
        <v/>
      </c>
      <c r="X34" s="176" t="str">
        <f>IF(F34="","",VLOOKUP(U34,'G-3 Multipliers'!$P$3:$Q$6,2,FALSE))</f>
        <v/>
      </c>
      <c r="Y34" s="274" t="str">
        <f t="shared" si="5"/>
        <v/>
      </c>
      <c r="Z34" s="180"/>
      <c r="AA34" s="181"/>
      <c r="AG34" s="35" t="str">
        <f>IFERROR(INDEX('G-6 Hedgerow Data'!$BJ$3:$BJ$15,MATCH(D34,'G-6 Hedgerow Data'!$B$3:$B$15,0)),"")</f>
        <v/>
      </c>
    </row>
    <row r="35" spans="2:33" ht="15" customHeight="1" x14ac:dyDescent="0.25">
      <c r="B35" s="128">
        <v>24</v>
      </c>
      <c r="C35" s="394"/>
      <c r="D35" s="275"/>
      <c r="E35" s="275"/>
      <c r="F35" s="171" t="str">
        <f>IF(D35="","",VLOOKUP(D35,'G-6 Hedgerow Data'!$B$2:$AG$15,2,FALSE))</f>
        <v/>
      </c>
      <c r="G35" s="176" t="str">
        <f>IF(D35="","",VLOOKUP(D35,'G-6 Hedgerow Data'!$B$2:$AG$15,3,FALSE))</f>
        <v/>
      </c>
      <c r="H35" s="189"/>
      <c r="I35" s="172" t="str">
        <f>IFERROR(IF(AND(F35="V.Low",OR(H35="Good",H35="Moderate")),"Error",VLOOKUP(H35,'G-1 All Habitats'!$Z$2:$AA$9,2,FALSE)),"")</f>
        <v/>
      </c>
      <c r="J35" s="186"/>
      <c r="K35" s="175" t="str">
        <f>IF(J35="","",IF(VLOOKUP(J35,'G-3 Multipliers'!$L$3:$N$6,2,FALSE)=0,"Spatial Data Missing",VLOOKUP(J35,'G-3 Multipliers'!$L$3:$N$6,2,FALSE)))</f>
        <v/>
      </c>
      <c r="L35" s="176" t="str">
        <f>IF(J35="","",IF(VLOOKUP(J35,'G-3 Multipliers'!$L$3:$N$6,3,FALSE)=0,"Spatial Data Missing",VLOOKUP(J35,'G-3 Multipliers'!$L$3:$N$6,3,FALSE)))</f>
        <v/>
      </c>
      <c r="M35" s="266"/>
      <c r="N35" s="172" t="str">
        <f>IF(M35="","",IF(VLOOKUP(M35,'G-3 Multipliers'!$S$3:$T$6,2,FALSE)=0,"Spatial Data Missing",VLOOKUP(M35,'G-3 Multipliers'!$S$3:$T$6,2,FALSE)))</f>
        <v/>
      </c>
      <c r="O35" s="171" t="str">
        <f>IF(OR(D35="",H35=""),"",(INDEX('G-6 Hedgerow Data'!$E$3:$I$15,MATCH(D35,'G-6 Hedgerow Data'!$B$3:$B$15,0),MATCH(H35,'G-6 Hedgerow Data'!$E$2:$I$2,0))))</f>
        <v/>
      </c>
      <c r="P35" s="261"/>
      <c r="Q35" s="261"/>
      <c r="R35" s="179" t="str">
        <f t="shared" si="1"/>
        <v/>
      </c>
      <c r="S35" s="262" t="str">
        <f t="shared" si="2"/>
        <v/>
      </c>
      <c r="T35" s="263" t="str">
        <f t="shared" si="0"/>
        <v/>
      </c>
      <c r="U35" s="239" t="str">
        <f>IF(D35="","",VLOOKUP(D35,'G-6 Hedgerow Data'!$B$3:$AG$15,31,FALSE))</f>
        <v/>
      </c>
      <c r="V35" s="175" t="str">
        <f t="shared" si="3"/>
        <v/>
      </c>
      <c r="W35" s="175" t="str">
        <f t="shared" si="4"/>
        <v/>
      </c>
      <c r="X35" s="176" t="str">
        <f>IF(F35="","",VLOOKUP(U35,'G-3 Multipliers'!$P$3:$Q$6,2,FALSE))</f>
        <v/>
      </c>
      <c r="Y35" s="274" t="str">
        <f t="shared" si="5"/>
        <v/>
      </c>
      <c r="Z35" s="180"/>
      <c r="AA35" s="181"/>
      <c r="AG35" s="35" t="str">
        <f>IFERROR(INDEX('G-6 Hedgerow Data'!$BJ$3:$BJ$15,MATCH(D35,'G-6 Hedgerow Data'!$B$3:$B$15,0)),"")</f>
        <v/>
      </c>
    </row>
    <row r="36" spans="2:33" ht="15" customHeight="1" x14ac:dyDescent="0.25">
      <c r="B36" s="128">
        <v>25</v>
      </c>
      <c r="C36" s="394"/>
      <c r="D36" s="275"/>
      <c r="E36" s="275"/>
      <c r="F36" s="171" t="str">
        <f>IF(D36="","",VLOOKUP(D36,'G-6 Hedgerow Data'!$B$2:$AG$15,2,FALSE))</f>
        <v/>
      </c>
      <c r="G36" s="176" t="str">
        <f>IF(D36="","",VLOOKUP(D36,'G-6 Hedgerow Data'!$B$2:$AG$15,3,FALSE))</f>
        <v/>
      </c>
      <c r="H36" s="189"/>
      <c r="I36" s="172" t="str">
        <f>IFERROR(IF(AND(F36="V.Low",OR(H36="Good",H36="Moderate")),"Error",VLOOKUP(H36,'G-1 All Habitats'!$Z$2:$AA$9,2,FALSE)),"")</f>
        <v/>
      </c>
      <c r="J36" s="186"/>
      <c r="K36" s="175" t="str">
        <f>IF(J36="","",IF(VLOOKUP(J36,'G-3 Multipliers'!$L$3:$N$6,2,FALSE)=0,"Spatial Data Missing",VLOOKUP(J36,'G-3 Multipliers'!$L$3:$N$6,2,FALSE)))</f>
        <v/>
      </c>
      <c r="L36" s="176" t="str">
        <f>IF(J36="","",IF(VLOOKUP(J36,'G-3 Multipliers'!$L$3:$N$6,3,FALSE)=0,"Spatial Data Missing",VLOOKUP(J36,'G-3 Multipliers'!$L$3:$N$6,3,FALSE)))</f>
        <v/>
      </c>
      <c r="M36" s="266"/>
      <c r="N36" s="172" t="str">
        <f>IF(M36="","",IF(VLOOKUP(M36,'G-3 Multipliers'!$S$3:$T$6,2,FALSE)=0,"Spatial Data Missing",VLOOKUP(M36,'G-3 Multipliers'!$S$3:$T$6,2,FALSE)))</f>
        <v/>
      </c>
      <c r="O36" s="171" t="str">
        <f>IF(OR(D36="",H36=""),"",(INDEX('G-6 Hedgerow Data'!$E$3:$I$15,MATCH(D36,'G-6 Hedgerow Data'!$B$3:$B$15,0),MATCH(H36,'G-6 Hedgerow Data'!$E$2:$I$2,0))))</f>
        <v/>
      </c>
      <c r="P36" s="261"/>
      <c r="Q36" s="261"/>
      <c r="R36" s="179" t="str">
        <f t="shared" si="1"/>
        <v/>
      </c>
      <c r="S36" s="262" t="str">
        <f t="shared" si="2"/>
        <v/>
      </c>
      <c r="T36" s="263" t="str">
        <f t="shared" si="0"/>
        <v/>
      </c>
      <c r="U36" s="239" t="str">
        <f>IF(D36="","",VLOOKUP(D36,'G-6 Hedgerow Data'!$B$3:$AG$15,31,FALSE))</f>
        <v/>
      </c>
      <c r="V36" s="175" t="str">
        <f t="shared" si="3"/>
        <v/>
      </c>
      <c r="W36" s="175" t="str">
        <f t="shared" si="4"/>
        <v/>
      </c>
      <c r="X36" s="176" t="str">
        <f>IF(F36="","",VLOOKUP(U36,'G-3 Multipliers'!$P$3:$Q$6,2,FALSE))</f>
        <v/>
      </c>
      <c r="Y36" s="274" t="str">
        <f t="shared" si="5"/>
        <v/>
      </c>
      <c r="Z36" s="180"/>
      <c r="AA36" s="181"/>
      <c r="AG36" s="35" t="str">
        <f>IFERROR(INDEX('G-6 Hedgerow Data'!$BJ$3:$BJ$15,MATCH(D36,'G-6 Hedgerow Data'!$B$3:$B$15,0)),"")</f>
        <v/>
      </c>
    </row>
    <row r="37" spans="2:33" ht="15" customHeight="1" x14ac:dyDescent="0.25">
      <c r="B37" s="128">
        <v>26</v>
      </c>
      <c r="C37" s="394"/>
      <c r="D37" s="275"/>
      <c r="E37" s="275"/>
      <c r="F37" s="171" t="str">
        <f>IF(D37="","",VLOOKUP(D37,'G-6 Hedgerow Data'!$B$2:$AG$15,2,FALSE))</f>
        <v/>
      </c>
      <c r="G37" s="176" t="str">
        <f>IF(D37="","",VLOOKUP(D37,'G-6 Hedgerow Data'!$B$2:$AG$15,3,FALSE))</f>
        <v/>
      </c>
      <c r="H37" s="189"/>
      <c r="I37" s="172" t="str">
        <f>IFERROR(IF(AND(F37="V.Low",OR(H37="Good",H37="Moderate")),"Error",VLOOKUP(H37,'G-1 All Habitats'!$Z$2:$AA$9,2,FALSE)),"")</f>
        <v/>
      </c>
      <c r="J37" s="186"/>
      <c r="K37" s="175" t="str">
        <f>IF(J37="","",IF(VLOOKUP(J37,'G-3 Multipliers'!$L$3:$N$6,2,FALSE)=0,"Spatial Data Missing",VLOOKUP(J37,'G-3 Multipliers'!$L$3:$N$6,2,FALSE)))</f>
        <v/>
      </c>
      <c r="L37" s="176" t="str">
        <f>IF(J37="","",IF(VLOOKUP(J37,'G-3 Multipliers'!$L$3:$N$6,3,FALSE)=0,"Spatial Data Missing",VLOOKUP(J37,'G-3 Multipliers'!$L$3:$N$6,3,FALSE)))</f>
        <v/>
      </c>
      <c r="M37" s="266"/>
      <c r="N37" s="172" t="str">
        <f>IF(M37="","",IF(VLOOKUP(M37,'G-3 Multipliers'!$S$3:$T$6,2,FALSE)=0,"Spatial Data Missing",VLOOKUP(M37,'G-3 Multipliers'!$S$3:$T$6,2,FALSE)))</f>
        <v/>
      </c>
      <c r="O37" s="171" t="str">
        <f>IF(OR(D37="",H37=""),"",(INDEX('G-6 Hedgerow Data'!$E$3:$I$15,MATCH(D37,'G-6 Hedgerow Data'!$B$3:$B$15,0),MATCH(H37,'G-6 Hedgerow Data'!$E$2:$I$2,0))))</f>
        <v/>
      </c>
      <c r="P37" s="261"/>
      <c r="Q37" s="261"/>
      <c r="R37" s="179" t="str">
        <f t="shared" si="1"/>
        <v/>
      </c>
      <c r="S37" s="262" t="str">
        <f t="shared" si="2"/>
        <v/>
      </c>
      <c r="T37" s="263" t="str">
        <f t="shared" si="0"/>
        <v/>
      </c>
      <c r="U37" s="239" t="str">
        <f>IF(D37="","",VLOOKUP(D37,'G-6 Hedgerow Data'!$B$3:$AG$15,31,FALSE))</f>
        <v/>
      </c>
      <c r="V37" s="175" t="str">
        <f t="shared" si="3"/>
        <v/>
      </c>
      <c r="W37" s="175" t="str">
        <f t="shared" si="4"/>
        <v/>
      </c>
      <c r="X37" s="176" t="str">
        <f>IF(F37="","",VLOOKUP(U37,'G-3 Multipliers'!$P$3:$Q$6,2,FALSE))</f>
        <v/>
      </c>
      <c r="Y37" s="274" t="str">
        <f t="shared" si="5"/>
        <v/>
      </c>
      <c r="Z37" s="180"/>
      <c r="AA37" s="181"/>
      <c r="AG37" s="35" t="str">
        <f>IFERROR(INDEX('G-6 Hedgerow Data'!$BJ$3:$BJ$15,MATCH(D37,'G-6 Hedgerow Data'!$B$3:$B$15,0)),"")</f>
        <v/>
      </c>
    </row>
    <row r="38" spans="2:33" ht="15" customHeight="1" x14ac:dyDescent="0.25">
      <c r="B38" s="128">
        <v>27</v>
      </c>
      <c r="C38" s="394"/>
      <c r="D38" s="275"/>
      <c r="E38" s="275"/>
      <c r="F38" s="171" t="str">
        <f>IF(D38="","",VLOOKUP(D38,'G-6 Hedgerow Data'!$B$2:$AG$15,2,FALSE))</f>
        <v/>
      </c>
      <c r="G38" s="176" t="str">
        <f>IF(D38="","",VLOOKUP(D38,'G-6 Hedgerow Data'!$B$2:$AG$15,3,FALSE))</f>
        <v/>
      </c>
      <c r="H38" s="189"/>
      <c r="I38" s="172" t="str">
        <f>IFERROR(IF(AND(F38="V.Low",OR(H38="Good",H38="Moderate")),"Error",VLOOKUP(H38,'G-1 All Habitats'!$Z$2:$AA$9,2,FALSE)),"")</f>
        <v/>
      </c>
      <c r="J38" s="186"/>
      <c r="K38" s="175" t="str">
        <f>IF(J38="","",IF(VLOOKUP(J38,'G-3 Multipliers'!$L$3:$N$6,2,FALSE)=0,"Spatial Data Missing",VLOOKUP(J38,'G-3 Multipliers'!$L$3:$N$6,2,FALSE)))</f>
        <v/>
      </c>
      <c r="L38" s="176" t="str">
        <f>IF(J38="","",IF(VLOOKUP(J38,'G-3 Multipliers'!$L$3:$N$6,3,FALSE)=0,"Spatial Data Missing",VLOOKUP(J38,'G-3 Multipliers'!$L$3:$N$6,3,FALSE)))</f>
        <v/>
      </c>
      <c r="M38" s="266"/>
      <c r="N38" s="172" t="str">
        <f>IF(M38="","",IF(VLOOKUP(M38,'G-3 Multipliers'!$S$3:$T$6,2,FALSE)=0,"Spatial Data Missing",VLOOKUP(M38,'G-3 Multipliers'!$S$3:$T$6,2,FALSE)))</f>
        <v/>
      </c>
      <c r="O38" s="171" t="str">
        <f>IF(OR(D38="",H38=""),"",(INDEX('G-6 Hedgerow Data'!$E$3:$I$15,MATCH(D38,'G-6 Hedgerow Data'!$B$3:$B$15,0),MATCH(H38,'G-6 Hedgerow Data'!$E$2:$I$2,0))))</f>
        <v/>
      </c>
      <c r="P38" s="261"/>
      <c r="Q38" s="261"/>
      <c r="R38" s="179" t="str">
        <f t="shared" si="1"/>
        <v/>
      </c>
      <c r="S38" s="262" t="str">
        <f t="shared" si="2"/>
        <v/>
      </c>
      <c r="T38" s="263" t="str">
        <f t="shared" si="0"/>
        <v/>
      </c>
      <c r="U38" s="239" t="str">
        <f>IF(D38="","",VLOOKUP(D38,'G-6 Hedgerow Data'!$B$3:$AG$15,31,FALSE))</f>
        <v/>
      </c>
      <c r="V38" s="175" t="str">
        <f t="shared" si="3"/>
        <v/>
      </c>
      <c r="W38" s="175" t="str">
        <f t="shared" si="4"/>
        <v/>
      </c>
      <c r="X38" s="176" t="str">
        <f>IF(F38="","",VLOOKUP(U38,'G-3 Multipliers'!$P$3:$Q$6,2,FALSE))</f>
        <v/>
      </c>
      <c r="Y38" s="274" t="str">
        <f t="shared" si="5"/>
        <v/>
      </c>
      <c r="Z38" s="180"/>
      <c r="AA38" s="181"/>
      <c r="AG38" s="35" t="str">
        <f>IFERROR(INDEX('G-6 Hedgerow Data'!$BJ$3:$BJ$15,MATCH(D38,'G-6 Hedgerow Data'!$B$3:$B$15,0)),"")</f>
        <v/>
      </c>
    </row>
    <row r="39" spans="2:33" ht="15" customHeight="1" x14ac:dyDescent="0.25">
      <c r="B39" s="128">
        <v>28</v>
      </c>
      <c r="C39" s="394"/>
      <c r="D39" s="275"/>
      <c r="E39" s="275"/>
      <c r="F39" s="171" t="str">
        <f>IF(D39="","",VLOOKUP(D39,'G-6 Hedgerow Data'!$B$2:$AG$15,2,FALSE))</f>
        <v/>
      </c>
      <c r="G39" s="176" t="str">
        <f>IF(D39="","",VLOOKUP(D39,'G-6 Hedgerow Data'!$B$2:$AG$15,3,FALSE))</f>
        <v/>
      </c>
      <c r="H39" s="189"/>
      <c r="I39" s="172" t="str">
        <f>IFERROR(IF(AND(F39="V.Low",OR(H39="Good",H39="Moderate")),"Error",VLOOKUP(H39,'G-1 All Habitats'!$Z$2:$AA$9,2,FALSE)),"")</f>
        <v/>
      </c>
      <c r="J39" s="186"/>
      <c r="K39" s="175" t="str">
        <f>IF(J39="","",IF(VLOOKUP(J39,'G-3 Multipliers'!$L$3:$N$6,2,FALSE)=0,"Spatial Data Missing",VLOOKUP(J39,'G-3 Multipliers'!$L$3:$N$6,2,FALSE)))</f>
        <v/>
      </c>
      <c r="L39" s="176" t="str">
        <f>IF(J39="","",IF(VLOOKUP(J39,'G-3 Multipliers'!$L$3:$N$6,3,FALSE)=0,"Spatial Data Missing",VLOOKUP(J39,'G-3 Multipliers'!$L$3:$N$6,3,FALSE)))</f>
        <v/>
      </c>
      <c r="M39" s="266"/>
      <c r="N39" s="172" t="str">
        <f>IF(M39="","",IF(VLOOKUP(M39,'G-3 Multipliers'!$S$3:$T$6,2,FALSE)=0,"Spatial Data Missing",VLOOKUP(M39,'G-3 Multipliers'!$S$3:$T$6,2,FALSE)))</f>
        <v/>
      </c>
      <c r="O39" s="171" t="str">
        <f>IF(OR(D39="",H39=""),"",(INDEX('G-6 Hedgerow Data'!$E$3:$I$15,MATCH(D39,'G-6 Hedgerow Data'!$B$3:$B$15,0),MATCH(H39,'G-6 Hedgerow Data'!$E$2:$I$2,0))))</f>
        <v/>
      </c>
      <c r="P39" s="261"/>
      <c r="Q39" s="261"/>
      <c r="R39" s="179" t="str">
        <f t="shared" si="1"/>
        <v/>
      </c>
      <c r="S39" s="262" t="str">
        <f t="shared" si="2"/>
        <v/>
      </c>
      <c r="T39" s="263" t="str">
        <f t="shared" si="0"/>
        <v/>
      </c>
      <c r="U39" s="239" t="str">
        <f>IF(D39="","",VLOOKUP(D39,'G-6 Hedgerow Data'!$B$3:$AG$15,31,FALSE))</f>
        <v/>
      </c>
      <c r="V39" s="175" t="str">
        <f t="shared" si="3"/>
        <v/>
      </c>
      <c r="W39" s="175" t="str">
        <f t="shared" si="4"/>
        <v/>
      </c>
      <c r="X39" s="176" t="str">
        <f>IF(F39="","",VLOOKUP(U39,'G-3 Multipliers'!$P$3:$Q$6,2,FALSE))</f>
        <v/>
      </c>
      <c r="Y39" s="274" t="str">
        <f t="shared" si="5"/>
        <v/>
      </c>
      <c r="Z39" s="180"/>
      <c r="AA39" s="181"/>
      <c r="AG39" s="35" t="str">
        <f>IFERROR(INDEX('G-6 Hedgerow Data'!$BJ$3:$BJ$15,MATCH(D39,'G-6 Hedgerow Data'!$B$3:$B$15,0)),"")</f>
        <v/>
      </c>
    </row>
    <row r="40" spans="2:33" ht="15" customHeight="1" x14ac:dyDescent="0.25">
      <c r="B40" s="128">
        <v>29</v>
      </c>
      <c r="C40" s="394"/>
      <c r="D40" s="275"/>
      <c r="E40" s="275"/>
      <c r="F40" s="171" t="str">
        <f>IF(D40="","",VLOOKUP(D40,'G-6 Hedgerow Data'!$B$2:$AG$15,2,FALSE))</f>
        <v/>
      </c>
      <c r="G40" s="176" t="str">
        <f>IF(D40="","",VLOOKUP(D40,'G-6 Hedgerow Data'!$B$2:$AG$15,3,FALSE))</f>
        <v/>
      </c>
      <c r="H40" s="189"/>
      <c r="I40" s="172" t="str">
        <f>IFERROR(IF(AND(F40="V.Low",OR(H40="Good",H40="Moderate")),"Error",VLOOKUP(H40,'G-1 All Habitats'!$Z$2:$AA$9,2,FALSE)),"")</f>
        <v/>
      </c>
      <c r="J40" s="186"/>
      <c r="K40" s="175" t="str">
        <f>IF(J40="","",IF(VLOOKUP(J40,'G-3 Multipliers'!$L$3:$N$6,2,FALSE)=0,"Spatial Data Missing",VLOOKUP(J40,'G-3 Multipliers'!$L$3:$N$6,2,FALSE)))</f>
        <v/>
      </c>
      <c r="L40" s="176" t="str">
        <f>IF(J40="","",IF(VLOOKUP(J40,'G-3 Multipliers'!$L$3:$N$6,3,FALSE)=0,"Spatial Data Missing",VLOOKUP(J40,'G-3 Multipliers'!$L$3:$N$6,3,FALSE)))</f>
        <v/>
      </c>
      <c r="M40" s="266"/>
      <c r="N40" s="172" t="str">
        <f>IF(M40="","",IF(VLOOKUP(M40,'G-3 Multipliers'!$S$3:$T$6,2,FALSE)=0,"Spatial Data Missing",VLOOKUP(M40,'G-3 Multipliers'!$S$3:$T$6,2,FALSE)))</f>
        <v/>
      </c>
      <c r="O40" s="171" t="str">
        <f>IF(OR(D40="",H40=""),"",(INDEX('G-6 Hedgerow Data'!$E$3:$I$15,MATCH(D40,'G-6 Hedgerow Data'!$B$3:$B$15,0),MATCH(H40,'G-6 Hedgerow Data'!$E$2:$I$2,0))))</f>
        <v/>
      </c>
      <c r="P40" s="261"/>
      <c r="Q40" s="261"/>
      <c r="R40" s="179" t="str">
        <f t="shared" si="1"/>
        <v/>
      </c>
      <c r="S40" s="262" t="str">
        <f t="shared" si="2"/>
        <v/>
      </c>
      <c r="T40" s="263" t="str">
        <f t="shared" si="0"/>
        <v/>
      </c>
      <c r="U40" s="239" t="str">
        <f>IF(D40="","",VLOOKUP(D40,'G-6 Hedgerow Data'!$B$3:$AG$15,31,FALSE))</f>
        <v/>
      </c>
      <c r="V40" s="175" t="str">
        <f t="shared" si="3"/>
        <v/>
      </c>
      <c r="W40" s="175" t="str">
        <f t="shared" si="4"/>
        <v/>
      </c>
      <c r="X40" s="176" t="str">
        <f>IF(F40="","",VLOOKUP(U40,'G-3 Multipliers'!$P$3:$Q$6,2,FALSE))</f>
        <v/>
      </c>
      <c r="Y40" s="274" t="str">
        <f t="shared" si="5"/>
        <v/>
      </c>
      <c r="Z40" s="180"/>
      <c r="AA40" s="181"/>
      <c r="AG40" s="35" t="str">
        <f>IFERROR(INDEX('G-6 Hedgerow Data'!$BJ$3:$BJ$15,MATCH(D40,'G-6 Hedgerow Data'!$B$3:$B$15,0)),"")</f>
        <v/>
      </c>
    </row>
    <row r="41" spans="2:33" ht="15" customHeight="1" x14ac:dyDescent="0.25">
      <c r="B41" s="128">
        <v>30</v>
      </c>
      <c r="C41" s="394"/>
      <c r="D41" s="275"/>
      <c r="E41" s="275"/>
      <c r="F41" s="171" t="str">
        <f>IF(D41="","",VLOOKUP(D41,'G-6 Hedgerow Data'!$B$2:$AG$15,2,FALSE))</f>
        <v/>
      </c>
      <c r="G41" s="176" t="str">
        <f>IF(D41="","",VLOOKUP(D41,'G-6 Hedgerow Data'!$B$2:$AG$15,3,FALSE))</f>
        <v/>
      </c>
      <c r="H41" s="189"/>
      <c r="I41" s="172" t="str">
        <f>IFERROR(IF(AND(F41="V.Low",OR(H41="Good",H41="Moderate")),"Error",VLOOKUP(H41,'G-1 All Habitats'!$Z$2:$AA$9,2,FALSE)),"")</f>
        <v/>
      </c>
      <c r="J41" s="186"/>
      <c r="K41" s="175" t="str">
        <f>IF(J41="","",IF(VLOOKUP(J41,'G-3 Multipliers'!$L$3:$N$6,2,FALSE)=0,"Spatial Data Missing",VLOOKUP(J41,'G-3 Multipliers'!$L$3:$N$6,2,FALSE)))</f>
        <v/>
      </c>
      <c r="L41" s="176" t="str">
        <f>IF(J41="","",IF(VLOOKUP(J41,'G-3 Multipliers'!$L$3:$N$6,3,FALSE)=0,"Spatial Data Missing",VLOOKUP(J41,'G-3 Multipliers'!$L$3:$N$6,3,FALSE)))</f>
        <v/>
      </c>
      <c r="M41" s="266"/>
      <c r="N41" s="172" t="str">
        <f>IF(M41="","",IF(VLOOKUP(M41,'G-3 Multipliers'!$S$3:$T$6,2,FALSE)=0,"Spatial Data Missing",VLOOKUP(M41,'G-3 Multipliers'!$S$3:$T$6,2,FALSE)))</f>
        <v/>
      </c>
      <c r="O41" s="171" t="str">
        <f>IF(OR(D41="",H41=""),"",(INDEX('G-6 Hedgerow Data'!$E$3:$I$15,MATCH(D41,'G-6 Hedgerow Data'!$B$3:$B$15,0),MATCH(H41,'G-6 Hedgerow Data'!$E$2:$I$2,0))))</f>
        <v/>
      </c>
      <c r="P41" s="261"/>
      <c r="Q41" s="261"/>
      <c r="R41" s="179" t="str">
        <f t="shared" si="1"/>
        <v/>
      </c>
      <c r="S41" s="262" t="str">
        <f t="shared" si="2"/>
        <v/>
      </c>
      <c r="T41" s="263" t="str">
        <f t="shared" si="0"/>
        <v/>
      </c>
      <c r="U41" s="239" t="str">
        <f>IF(D41="","",VLOOKUP(D41,'G-6 Hedgerow Data'!$B$3:$AG$15,31,FALSE))</f>
        <v/>
      </c>
      <c r="V41" s="175" t="str">
        <f t="shared" si="3"/>
        <v/>
      </c>
      <c r="W41" s="175" t="str">
        <f t="shared" si="4"/>
        <v/>
      </c>
      <c r="X41" s="176" t="str">
        <f>IF(F41="","",VLOOKUP(U41,'G-3 Multipliers'!$P$3:$Q$6,2,FALSE))</f>
        <v/>
      </c>
      <c r="Y41" s="274" t="str">
        <f t="shared" si="5"/>
        <v/>
      </c>
      <c r="Z41" s="180"/>
      <c r="AA41" s="181"/>
      <c r="AG41" s="35" t="str">
        <f>IFERROR(INDEX('G-6 Hedgerow Data'!$BJ$3:$BJ$15,MATCH(D41,'G-6 Hedgerow Data'!$B$3:$B$15,0)),"")</f>
        <v/>
      </c>
    </row>
    <row r="42" spans="2:33" ht="15" customHeight="1" x14ac:dyDescent="0.25">
      <c r="B42" s="128">
        <v>31</v>
      </c>
      <c r="C42" s="394"/>
      <c r="D42" s="275"/>
      <c r="E42" s="275"/>
      <c r="F42" s="171" t="str">
        <f>IF(D42="","",VLOOKUP(D42,'G-6 Hedgerow Data'!$B$2:$AG$15,2,FALSE))</f>
        <v/>
      </c>
      <c r="G42" s="176" t="str">
        <f>IF(D42="","",VLOOKUP(D42,'G-6 Hedgerow Data'!$B$2:$AG$15,3,FALSE))</f>
        <v/>
      </c>
      <c r="H42" s="189"/>
      <c r="I42" s="172" t="str">
        <f>IFERROR(IF(AND(F42="V.Low",OR(H42="Good",H42="Moderate")),"Error",VLOOKUP(H42,'G-1 All Habitats'!$Z$2:$AA$9,2,FALSE)),"")</f>
        <v/>
      </c>
      <c r="J42" s="186"/>
      <c r="K42" s="175" t="str">
        <f>IF(J42="","",IF(VLOOKUP(J42,'G-3 Multipliers'!$L$3:$N$6,2,FALSE)=0,"Spatial Data Missing",VLOOKUP(J42,'G-3 Multipliers'!$L$3:$N$6,2,FALSE)))</f>
        <v/>
      </c>
      <c r="L42" s="176" t="str">
        <f>IF(J42="","",IF(VLOOKUP(J42,'G-3 Multipliers'!$L$3:$N$6,3,FALSE)=0,"Spatial Data Missing",VLOOKUP(J42,'G-3 Multipliers'!$L$3:$N$6,3,FALSE)))</f>
        <v/>
      </c>
      <c r="M42" s="266"/>
      <c r="N42" s="172" t="str">
        <f>IF(M42="","",IF(VLOOKUP(M42,'G-3 Multipliers'!$S$3:$T$6,2,FALSE)=0,"Spatial Data Missing",VLOOKUP(M42,'G-3 Multipliers'!$S$3:$T$6,2,FALSE)))</f>
        <v/>
      </c>
      <c r="O42" s="171" t="str">
        <f>IF(OR(D42="",H42=""),"",(INDEX('G-6 Hedgerow Data'!$E$3:$I$15,MATCH(D42,'G-6 Hedgerow Data'!$B$3:$B$15,0),MATCH(H42,'G-6 Hedgerow Data'!$E$2:$I$2,0))))</f>
        <v/>
      </c>
      <c r="P42" s="261"/>
      <c r="Q42" s="261"/>
      <c r="R42" s="179" t="str">
        <f t="shared" si="1"/>
        <v/>
      </c>
      <c r="S42" s="262" t="str">
        <f t="shared" si="2"/>
        <v/>
      </c>
      <c r="T42" s="263" t="str">
        <f t="shared" si="0"/>
        <v/>
      </c>
      <c r="U42" s="239" t="str">
        <f>IF(D42="","",VLOOKUP(D42,'G-6 Hedgerow Data'!$B$3:$AG$15,31,FALSE))</f>
        <v/>
      </c>
      <c r="V42" s="175" t="str">
        <f t="shared" si="3"/>
        <v/>
      </c>
      <c r="W42" s="175" t="str">
        <f t="shared" si="4"/>
        <v/>
      </c>
      <c r="X42" s="176" t="str">
        <f>IF(F42="","",VLOOKUP(U42,'G-3 Multipliers'!$P$3:$Q$6,2,FALSE))</f>
        <v/>
      </c>
      <c r="Y42" s="274" t="str">
        <f t="shared" si="5"/>
        <v/>
      </c>
      <c r="Z42" s="180"/>
      <c r="AA42" s="181"/>
      <c r="AG42" s="35" t="str">
        <f>IFERROR(INDEX('G-6 Hedgerow Data'!$BJ$3:$BJ$15,MATCH(D42,'G-6 Hedgerow Data'!$B$3:$B$15,0)),"")</f>
        <v/>
      </c>
    </row>
    <row r="43" spans="2:33" ht="15" customHeight="1" x14ac:dyDescent="0.25">
      <c r="B43" s="128">
        <v>32</v>
      </c>
      <c r="C43" s="394"/>
      <c r="D43" s="275"/>
      <c r="E43" s="275"/>
      <c r="F43" s="171" t="str">
        <f>IF(D43="","",VLOOKUP(D43,'G-6 Hedgerow Data'!$B$2:$AG$15,2,FALSE))</f>
        <v/>
      </c>
      <c r="G43" s="176" t="str">
        <f>IF(D43="","",VLOOKUP(D43,'G-6 Hedgerow Data'!$B$2:$AG$15,3,FALSE))</f>
        <v/>
      </c>
      <c r="H43" s="189"/>
      <c r="I43" s="172" t="str">
        <f>IFERROR(IF(AND(F43="V.Low",OR(H43="Good",H43="Moderate")),"Error",VLOOKUP(H43,'G-1 All Habitats'!$Z$2:$AA$9,2,FALSE)),"")</f>
        <v/>
      </c>
      <c r="J43" s="186"/>
      <c r="K43" s="175" t="str">
        <f>IF(J43="","",IF(VLOOKUP(J43,'G-3 Multipliers'!$L$3:$N$6,2,FALSE)=0,"Spatial Data Missing",VLOOKUP(J43,'G-3 Multipliers'!$L$3:$N$6,2,FALSE)))</f>
        <v/>
      </c>
      <c r="L43" s="176" t="str">
        <f>IF(J43="","",IF(VLOOKUP(J43,'G-3 Multipliers'!$L$3:$N$6,3,FALSE)=0,"Spatial Data Missing",VLOOKUP(J43,'G-3 Multipliers'!$L$3:$N$6,3,FALSE)))</f>
        <v/>
      </c>
      <c r="M43" s="266"/>
      <c r="N43" s="172" t="str">
        <f>IF(M43="","",IF(VLOOKUP(M43,'G-3 Multipliers'!$S$3:$T$6,2,FALSE)=0,"Spatial Data Missing",VLOOKUP(M43,'G-3 Multipliers'!$S$3:$T$6,2,FALSE)))</f>
        <v/>
      </c>
      <c r="O43" s="171" t="str">
        <f>IF(OR(D43="",H43=""),"",(INDEX('G-6 Hedgerow Data'!$E$3:$I$15,MATCH(D43,'G-6 Hedgerow Data'!$B$3:$B$15,0),MATCH(H43,'G-6 Hedgerow Data'!$E$2:$I$2,0))))</f>
        <v/>
      </c>
      <c r="P43" s="261"/>
      <c r="Q43" s="261"/>
      <c r="R43" s="179" t="str">
        <f t="shared" si="1"/>
        <v/>
      </c>
      <c r="S43" s="262" t="str">
        <f t="shared" si="2"/>
        <v/>
      </c>
      <c r="T43" s="263" t="str">
        <f t="shared" si="0"/>
        <v/>
      </c>
      <c r="U43" s="239" t="str">
        <f>IF(D43="","",VLOOKUP(D43,'G-6 Hedgerow Data'!$B$3:$AG$15,31,FALSE))</f>
        <v/>
      </c>
      <c r="V43" s="175" t="str">
        <f t="shared" si="3"/>
        <v/>
      </c>
      <c r="W43" s="175" t="str">
        <f t="shared" si="4"/>
        <v/>
      </c>
      <c r="X43" s="176" t="str">
        <f>IF(F43="","",VLOOKUP(U43,'G-3 Multipliers'!$P$3:$Q$6,2,FALSE))</f>
        <v/>
      </c>
      <c r="Y43" s="274" t="str">
        <f t="shared" si="5"/>
        <v/>
      </c>
      <c r="Z43" s="180"/>
      <c r="AA43" s="181"/>
      <c r="AG43" s="35" t="str">
        <f>IFERROR(INDEX('G-6 Hedgerow Data'!$BJ$3:$BJ$15,MATCH(D43,'G-6 Hedgerow Data'!$B$3:$B$15,0)),"")</f>
        <v/>
      </c>
    </row>
    <row r="44" spans="2:33" ht="15" customHeight="1" x14ac:dyDescent="0.25">
      <c r="B44" s="128">
        <v>33</v>
      </c>
      <c r="C44" s="394"/>
      <c r="D44" s="275"/>
      <c r="E44" s="275"/>
      <c r="F44" s="171" t="str">
        <f>IF(D44="","",VLOOKUP(D44,'G-6 Hedgerow Data'!$B$2:$AG$15,2,FALSE))</f>
        <v/>
      </c>
      <c r="G44" s="176" t="str">
        <f>IF(D44="","",VLOOKUP(D44,'G-6 Hedgerow Data'!$B$2:$AG$15,3,FALSE))</f>
        <v/>
      </c>
      <c r="H44" s="189"/>
      <c r="I44" s="172" t="str">
        <f>IFERROR(IF(AND(F44="V.Low",OR(H44="Good",H44="Moderate")),"Error",VLOOKUP(H44,'G-1 All Habitats'!$Z$2:$AA$9,2,FALSE)),"")</f>
        <v/>
      </c>
      <c r="J44" s="186"/>
      <c r="K44" s="175" t="str">
        <f>IF(J44="","",IF(VLOOKUP(J44,'G-3 Multipliers'!$L$3:$N$6,2,FALSE)=0,"Spatial Data Missing",VLOOKUP(J44,'G-3 Multipliers'!$L$3:$N$6,2,FALSE)))</f>
        <v/>
      </c>
      <c r="L44" s="176" t="str">
        <f>IF(J44="","",IF(VLOOKUP(J44,'G-3 Multipliers'!$L$3:$N$6,3,FALSE)=0,"Spatial Data Missing",VLOOKUP(J44,'G-3 Multipliers'!$L$3:$N$6,3,FALSE)))</f>
        <v/>
      </c>
      <c r="M44" s="266"/>
      <c r="N44" s="172" t="str">
        <f>IF(M44="","",IF(VLOOKUP(M44,'G-3 Multipliers'!$S$3:$T$6,2,FALSE)=0,"Spatial Data Missing",VLOOKUP(M44,'G-3 Multipliers'!$S$3:$T$6,2,FALSE)))</f>
        <v/>
      </c>
      <c r="O44" s="171" t="str">
        <f>IF(OR(D44="",H44=""),"",(INDEX('G-6 Hedgerow Data'!$E$3:$I$15,MATCH(D44,'G-6 Hedgerow Data'!$B$3:$B$15,0),MATCH(H44,'G-6 Hedgerow Data'!$E$2:$I$2,0))))</f>
        <v/>
      </c>
      <c r="P44" s="261"/>
      <c r="Q44" s="261"/>
      <c r="R44" s="179" t="str">
        <f t="shared" si="1"/>
        <v/>
      </c>
      <c r="S44" s="262" t="str">
        <f t="shared" si="2"/>
        <v/>
      </c>
      <c r="T44" s="263" t="str">
        <f t="shared" si="0"/>
        <v/>
      </c>
      <c r="U44" s="239" t="str">
        <f>IF(D44="","",VLOOKUP(D44,'G-6 Hedgerow Data'!$B$3:$AG$15,31,FALSE))</f>
        <v/>
      </c>
      <c r="V44" s="175" t="str">
        <f t="shared" si="3"/>
        <v/>
      </c>
      <c r="W44" s="175" t="str">
        <f t="shared" si="4"/>
        <v/>
      </c>
      <c r="X44" s="176" t="str">
        <f>IF(F44="","",VLOOKUP(U44,'G-3 Multipliers'!$P$3:$Q$6,2,FALSE))</f>
        <v/>
      </c>
      <c r="Y44" s="274" t="str">
        <f t="shared" si="5"/>
        <v/>
      </c>
      <c r="Z44" s="180"/>
      <c r="AA44" s="181"/>
      <c r="AG44" s="35" t="str">
        <f>IFERROR(INDEX('G-6 Hedgerow Data'!$BJ$3:$BJ$15,MATCH(D44,'G-6 Hedgerow Data'!$B$3:$B$15,0)),"")</f>
        <v/>
      </c>
    </row>
    <row r="45" spans="2:33" ht="15" customHeight="1" x14ac:dyDescent="0.25">
      <c r="B45" s="128">
        <v>34</v>
      </c>
      <c r="C45" s="394"/>
      <c r="D45" s="275"/>
      <c r="E45" s="275"/>
      <c r="F45" s="171" t="str">
        <f>IF(D45="","",VLOOKUP(D45,'G-6 Hedgerow Data'!$B$2:$AG$15,2,FALSE))</f>
        <v/>
      </c>
      <c r="G45" s="176" t="str">
        <f>IF(D45="","",VLOOKUP(D45,'G-6 Hedgerow Data'!$B$2:$AG$15,3,FALSE))</f>
        <v/>
      </c>
      <c r="H45" s="189"/>
      <c r="I45" s="172" t="str">
        <f>IFERROR(IF(AND(F45="V.Low",OR(H45="Good",H45="Moderate")),"Error",VLOOKUP(H45,'G-1 All Habitats'!$Z$2:$AA$9,2,FALSE)),"")</f>
        <v/>
      </c>
      <c r="J45" s="186"/>
      <c r="K45" s="175" t="str">
        <f>IF(J45="","",IF(VLOOKUP(J45,'G-3 Multipliers'!$L$3:$N$6,2,FALSE)=0,"Spatial Data Missing",VLOOKUP(J45,'G-3 Multipliers'!$L$3:$N$6,2,FALSE)))</f>
        <v/>
      </c>
      <c r="L45" s="176" t="str">
        <f>IF(J45="","",IF(VLOOKUP(J45,'G-3 Multipliers'!$L$3:$N$6,3,FALSE)=0,"Spatial Data Missing",VLOOKUP(J45,'G-3 Multipliers'!$L$3:$N$6,3,FALSE)))</f>
        <v/>
      </c>
      <c r="M45" s="266"/>
      <c r="N45" s="172" t="str">
        <f>IF(M45="","",IF(VLOOKUP(M45,'G-3 Multipliers'!$S$3:$T$6,2,FALSE)=0,"Spatial Data Missing",VLOOKUP(M45,'G-3 Multipliers'!$S$3:$T$6,2,FALSE)))</f>
        <v/>
      </c>
      <c r="O45" s="171" t="str">
        <f>IF(OR(D45="",H45=""),"",(INDEX('G-6 Hedgerow Data'!$E$3:$I$15,MATCH(D45,'G-6 Hedgerow Data'!$B$3:$B$15,0),MATCH(H45,'G-6 Hedgerow Data'!$E$2:$I$2,0))))</f>
        <v/>
      </c>
      <c r="P45" s="261"/>
      <c r="Q45" s="261"/>
      <c r="R45" s="179" t="str">
        <f t="shared" si="1"/>
        <v/>
      </c>
      <c r="S45" s="262" t="str">
        <f t="shared" si="2"/>
        <v/>
      </c>
      <c r="T45" s="263" t="str">
        <f t="shared" si="0"/>
        <v/>
      </c>
      <c r="U45" s="239" t="str">
        <f>IF(D45="","",VLOOKUP(D45,'G-6 Hedgerow Data'!$B$3:$AG$15,31,FALSE))</f>
        <v/>
      </c>
      <c r="V45" s="175" t="str">
        <f t="shared" si="3"/>
        <v/>
      </c>
      <c r="W45" s="175" t="str">
        <f t="shared" si="4"/>
        <v/>
      </c>
      <c r="X45" s="176" t="str">
        <f>IF(F45="","",VLOOKUP(U45,'G-3 Multipliers'!$P$3:$Q$6,2,FALSE))</f>
        <v/>
      </c>
      <c r="Y45" s="274" t="str">
        <f t="shared" si="5"/>
        <v/>
      </c>
      <c r="Z45" s="180"/>
      <c r="AA45" s="181"/>
      <c r="AG45" s="35" t="str">
        <f>IFERROR(INDEX('G-6 Hedgerow Data'!$BJ$3:$BJ$15,MATCH(D45,'G-6 Hedgerow Data'!$B$3:$B$15,0)),"")</f>
        <v/>
      </c>
    </row>
    <row r="46" spans="2:33" ht="15" customHeight="1" x14ac:dyDescent="0.25">
      <c r="B46" s="128">
        <v>35</v>
      </c>
      <c r="C46" s="394"/>
      <c r="D46" s="275"/>
      <c r="E46" s="275"/>
      <c r="F46" s="171" t="str">
        <f>IF(D46="","",VLOOKUP(D46,'G-6 Hedgerow Data'!$B$2:$AG$15,2,FALSE))</f>
        <v/>
      </c>
      <c r="G46" s="176" t="str">
        <f>IF(D46="","",VLOOKUP(D46,'G-6 Hedgerow Data'!$B$2:$AG$15,3,FALSE))</f>
        <v/>
      </c>
      <c r="H46" s="189"/>
      <c r="I46" s="172" t="str">
        <f>IFERROR(IF(AND(F46="V.Low",OR(H46="Good",H46="Moderate")),"Error",VLOOKUP(H46,'G-1 All Habitats'!$Z$2:$AA$9,2,FALSE)),"")</f>
        <v/>
      </c>
      <c r="J46" s="186"/>
      <c r="K46" s="175" t="str">
        <f>IF(J46="","",IF(VLOOKUP(J46,'G-3 Multipliers'!$L$3:$N$6,2,FALSE)=0,"Spatial Data Missing",VLOOKUP(J46,'G-3 Multipliers'!$L$3:$N$6,2,FALSE)))</f>
        <v/>
      </c>
      <c r="L46" s="176" t="str">
        <f>IF(J46="","",IF(VLOOKUP(J46,'G-3 Multipliers'!$L$3:$N$6,3,FALSE)=0,"Spatial Data Missing",VLOOKUP(J46,'G-3 Multipliers'!$L$3:$N$6,3,FALSE)))</f>
        <v/>
      </c>
      <c r="M46" s="266"/>
      <c r="N46" s="172" t="str">
        <f>IF(M46="","",IF(VLOOKUP(M46,'G-3 Multipliers'!$S$3:$T$6,2,FALSE)=0,"Spatial Data Missing",VLOOKUP(M46,'G-3 Multipliers'!$S$3:$T$6,2,FALSE)))</f>
        <v/>
      </c>
      <c r="O46" s="171" t="str">
        <f>IF(OR(D46="",H46=""),"",(INDEX('G-6 Hedgerow Data'!$E$3:$I$15,MATCH(D46,'G-6 Hedgerow Data'!$B$3:$B$15,0),MATCH(H46,'G-6 Hedgerow Data'!$E$2:$I$2,0))))</f>
        <v/>
      </c>
      <c r="P46" s="261"/>
      <c r="Q46" s="261"/>
      <c r="R46" s="179" t="str">
        <f t="shared" si="1"/>
        <v/>
      </c>
      <c r="S46" s="262" t="str">
        <f t="shared" si="2"/>
        <v/>
      </c>
      <c r="T46" s="263" t="str">
        <f t="shared" si="0"/>
        <v/>
      </c>
      <c r="U46" s="239" t="str">
        <f>IF(D46="","",VLOOKUP(D46,'G-6 Hedgerow Data'!$B$3:$AG$15,31,FALSE))</f>
        <v/>
      </c>
      <c r="V46" s="175" t="str">
        <f t="shared" si="3"/>
        <v/>
      </c>
      <c r="W46" s="175" t="str">
        <f t="shared" si="4"/>
        <v/>
      </c>
      <c r="X46" s="176" t="str">
        <f>IF(F46="","",VLOOKUP(U46,'G-3 Multipliers'!$P$3:$Q$6,2,FALSE))</f>
        <v/>
      </c>
      <c r="Y46" s="274" t="str">
        <f t="shared" si="5"/>
        <v/>
      </c>
      <c r="Z46" s="180"/>
      <c r="AA46" s="181"/>
      <c r="AG46" s="35" t="str">
        <f>IFERROR(INDEX('G-6 Hedgerow Data'!$BJ$3:$BJ$15,MATCH(D46,'G-6 Hedgerow Data'!$B$3:$B$15,0)),"")</f>
        <v/>
      </c>
    </row>
    <row r="47" spans="2:33" ht="15" customHeight="1" x14ac:dyDescent="0.25">
      <c r="B47" s="128">
        <v>36</v>
      </c>
      <c r="C47" s="394"/>
      <c r="D47" s="275"/>
      <c r="E47" s="275"/>
      <c r="F47" s="171" t="str">
        <f>IF(D47="","",VLOOKUP(D47,'G-6 Hedgerow Data'!$B$2:$AG$15,2,FALSE))</f>
        <v/>
      </c>
      <c r="G47" s="176" t="str">
        <f>IF(D47="","",VLOOKUP(D47,'G-6 Hedgerow Data'!$B$2:$AG$15,3,FALSE))</f>
        <v/>
      </c>
      <c r="H47" s="189"/>
      <c r="I47" s="172" t="str">
        <f>IFERROR(IF(AND(F47="V.Low",OR(H47="Good",H47="Moderate")),"Error",VLOOKUP(H47,'G-1 All Habitats'!$Z$2:$AA$9,2,FALSE)),"")</f>
        <v/>
      </c>
      <c r="J47" s="186"/>
      <c r="K47" s="175" t="str">
        <f>IF(J47="","",IF(VLOOKUP(J47,'G-3 Multipliers'!$L$3:$N$6,2,FALSE)=0,"Spatial Data Missing",VLOOKUP(J47,'G-3 Multipliers'!$L$3:$N$6,2,FALSE)))</f>
        <v/>
      </c>
      <c r="L47" s="176" t="str">
        <f>IF(J47="","",IF(VLOOKUP(J47,'G-3 Multipliers'!$L$3:$N$6,3,FALSE)=0,"Spatial Data Missing",VLOOKUP(J47,'G-3 Multipliers'!$L$3:$N$6,3,FALSE)))</f>
        <v/>
      </c>
      <c r="M47" s="266"/>
      <c r="N47" s="172" t="str">
        <f>IF(M47="","",IF(VLOOKUP(M47,'G-3 Multipliers'!$S$3:$T$6,2,FALSE)=0,"Spatial Data Missing",VLOOKUP(M47,'G-3 Multipliers'!$S$3:$T$6,2,FALSE)))</f>
        <v/>
      </c>
      <c r="O47" s="171" t="str">
        <f>IF(OR(D47="",H47=""),"",(INDEX('G-6 Hedgerow Data'!$E$3:$I$15,MATCH(D47,'G-6 Hedgerow Data'!$B$3:$B$15,0),MATCH(H47,'G-6 Hedgerow Data'!$E$2:$I$2,0))))</f>
        <v/>
      </c>
      <c r="P47" s="261"/>
      <c r="Q47" s="261"/>
      <c r="R47" s="179" t="str">
        <f t="shared" si="1"/>
        <v/>
      </c>
      <c r="S47" s="262" t="str">
        <f t="shared" si="2"/>
        <v/>
      </c>
      <c r="T47" s="263" t="str">
        <f t="shared" si="0"/>
        <v/>
      </c>
      <c r="U47" s="239" t="str">
        <f>IF(D47="","",VLOOKUP(D47,'G-6 Hedgerow Data'!$B$3:$AG$15,31,FALSE))</f>
        <v/>
      </c>
      <c r="V47" s="175" t="str">
        <f t="shared" si="3"/>
        <v/>
      </c>
      <c r="W47" s="175" t="str">
        <f t="shared" si="4"/>
        <v/>
      </c>
      <c r="X47" s="176" t="str">
        <f>IF(F47="","",VLOOKUP(U47,'G-3 Multipliers'!$P$3:$Q$6,2,FALSE))</f>
        <v/>
      </c>
      <c r="Y47" s="274" t="str">
        <f t="shared" si="5"/>
        <v/>
      </c>
      <c r="Z47" s="180"/>
      <c r="AA47" s="181"/>
      <c r="AG47" s="35" t="str">
        <f>IFERROR(INDEX('G-6 Hedgerow Data'!$BJ$3:$BJ$15,MATCH(D47,'G-6 Hedgerow Data'!$B$3:$B$15,0)),"")</f>
        <v/>
      </c>
    </row>
    <row r="48" spans="2:33" ht="15" customHeight="1" x14ac:dyDescent="0.25">
      <c r="B48" s="128">
        <v>37</v>
      </c>
      <c r="C48" s="394"/>
      <c r="D48" s="275"/>
      <c r="E48" s="275"/>
      <c r="F48" s="171" t="str">
        <f>IF(D48="","",VLOOKUP(D48,'G-6 Hedgerow Data'!$B$2:$AG$15,2,FALSE))</f>
        <v/>
      </c>
      <c r="G48" s="176" t="str">
        <f>IF(D48="","",VLOOKUP(D48,'G-6 Hedgerow Data'!$B$2:$AG$15,3,FALSE))</f>
        <v/>
      </c>
      <c r="H48" s="189"/>
      <c r="I48" s="172" t="str">
        <f>IFERROR(IF(AND(F48="V.Low",OR(H48="Good",H48="Moderate")),"Error",VLOOKUP(H48,'G-1 All Habitats'!$Z$2:$AA$9,2,FALSE)),"")</f>
        <v/>
      </c>
      <c r="J48" s="186"/>
      <c r="K48" s="175" t="str">
        <f>IF(J48="","",IF(VLOOKUP(J48,'G-3 Multipliers'!$L$3:$N$6,2,FALSE)=0,"Spatial Data Missing",VLOOKUP(J48,'G-3 Multipliers'!$L$3:$N$6,2,FALSE)))</f>
        <v/>
      </c>
      <c r="L48" s="176" t="str">
        <f>IF(J48="","",IF(VLOOKUP(J48,'G-3 Multipliers'!$L$3:$N$6,3,FALSE)=0,"Spatial Data Missing",VLOOKUP(J48,'G-3 Multipliers'!$L$3:$N$6,3,FALSE)))</f>
        <v/>
      </c>
      <c r="M48" s="266"/>
      <c r="N48" s="172" t="str">
        <f>IF(M48="","",IF(VLOOKUP(M48,'G-3 Multipliers'!$S$3:$T$6,2,FALSE)=0,"Spatial Data Missing",VLOOKUP(M48,'G-3 Multipliers'!$S$3:$T$6,2,FALSE)))</f>
        <v/>
      </c>
      <c r="O48" s="171" t="str">
        <f>IF(OR(D48="",H48=""),"",(INDEX('G-6 Hedgerow Data'!$E$3:$I$15,MATCH(D48,'G-6 Hedgerow Data'!$B$3:$B$15,0),MATCH(H48,'G-6 Hedgerow Data'!$E$2:$I$2,0))))</f>
        <v/>
      </c>
      <c r="P48" s="261"/>
      <c r="Q48" s="261"/>
      <c r="R48" s="179" t="str">
        <f t="shared" si="1"/>
        <v/>
      </c>
      <c r="S48" s="262" t="str">
        <f t="shared" si="2"/>
        <v/>
      </c>
      <c r="T48" s="263" t="str">
        <f t="shared" si="0"/>
        <v/>
      </c>
      <c r="U48" s="239" t="str">
        <f>IF(D48="","",VLOOKUP(D48,'G-6 Hedgerow Data'!$B$3:$AG$15,31,FALSE))</f>
        <v/>
      </c>
      <c r="V48" s="175" t="str">
        <f t="shared" si="3"/>
        <v/>
      </c>
      <c r="W48" s="175" t="str">
        <f t="shared" si="4"/>
        <v/>
      </c>
      <c r="X48" s="176" t="str">
        <f>IF(F48="","",VLOOKUP(U48,'G-3 Multipliers'!$P$3:$Q$6,2,FALSE))</f>
        <v/>
      </c>
      <c r="Y48" s="274" t="str">
        <f t="shared" si="5"/>
        <v/>
      </c>
      <c r="Z48" s="180"/>
      <c r="AA48" s="181"/>
      <c r="AG48" s="35" t="str">
        <f>IFERROR(INDEX('G-6 Hedgerow Data'!$BJ$3:$BJ$15,MATCH(D48,'G-6 Hedgerow Data'!$B$3:$B$15,0)),"")</f>
        <v/>
      </c>
    </row>
    <row r="49" spans="2:33" ht="15" customHeight="1" x14ac:dyDescent="0.25">
      <c r="B49" s="128">
        <v>38</v>
      </c>
      <c r="C49" s="394"/>
      <c r="D49" s="275"/>
      <c r="E49" s="275"/>
      <c r="F49" s="171" t="str">
        <f>IF(D49="","",VLOOKUP(D49,'G-6 Hedgerow Data'!$B$2:$AG$15,2,FALSE))</f>
        <v/>
      </c>
      <c r="G49" s="176" t="str">
        <f>IF(D49="","",VLOOKUP(D49,'G-6 Hedgerow Data'!$B$2:$AG$15,3,FALSE))</f>
        <v/>
      </c>
      <c r="H49" s="189"/>
      <c r="I49" s="172" t="str">
        <f>IFERROR(IF(AND(F49="V.Low",OR(H49="Good",H49="Moderate")),"Error",VLOOKUP(H49,'G-1 All Habitats'!$Z$2:$AA$9,2,FALSE)),"")</f>
        <v/>
      </c>
      <c r="J49" s="186"/>
      <c r="K49" s="175" t="str">
        <f>IF(J49="","",IF(VLOOKUP(J49,'G-3 Multipliers'!$L$3:$N$6,2,FALSE)=0,"Spatial Data Missing",VLOOKUP(J49,'G-3 Multipliers'!$L$3:$N$6,2,FALSE)))</f>
        <v/>
      </c>
      <c r="L49" s="176" t="str">
        <f>IF(J49="","",IF(VLOOKUP(J49,'G-3 Multipliers'!$L$3:$N$6,3,FALSE)=0,"Spatial Data Missing",VLOOKUP(J49,'G-3 Multipliers'!$L$3:$N$6,3,FALSE)))</f>
        <v/>
      </c>
      <c r="M49" s="266"/>
      <c r="N49" s="172" t="str">
        <f>IF(M49="","",IF(VLOOKUP(M49,'G-3 Multipliers'!$S$3:$T$6,2,FALSE)=0,"Spatial Data Missing",VLOOKUP(M49,'G-3 Multipliers'!$S$3:$T$6,2,FALSE)))</f>
        <v/>
      </c>
      <c r="O49" s="171" t="str">
        <f>IF(OR(D49="",H49=""),"",(INDEX('G-6 Hedgerow Data'!$E$3:$I$15,MATCH(D49,'G-6 Hedgerow Data'!$B$3:$B$15,0),MATCH(H49,'G-6 Hedgerow Data'!$E$2:$I$2,0))))</f>
        <v/>
      </c>
      <c r="P49" s="261"/>
      <c r="Q49" s="261"/>
      <c r="R49" s="179" t="str">
        <f t="shared" si="1"/>
        <v/>
      </c>
      <c r="S49" s="262" t="str">
        <f t="shared" si="2"/>
        <v/>
      </c>
      <c r="T49" s="263" t="str">
        <f t="shared" si="0"/>
        <v/>
      </c>
      <c r="U49" s="239" t="str">
        <f>IF(D49="","",VLOOKUP(D49,'G-6 Hedgerow Data'!$B$3:$AG$15,31,FALSE))</f>
        <v/>
      </c>
      <c r="V49" s="175" t="str">
        <f t="shared" si="3"/>
        <v/>
      </c>
      <c r="W49" s="175" t="str">
        <f t="shared" si="4"/>
        <v/>
      </c>
      <c r="X49" s="176" t="str">
        <f>IF(F49="","",VLOOKUP(U49,'G-3 Multipliers'!$P$3:$Q$6,2,FALSE))</f>
        <v/>
      </c>
      <c r="Y49" s="274" t="str">
        <f t="shared" si="5"/>
        <v/>
      </c>
      <c r="Z49" s="180"/>
      <c r="AA49" s="181"/>
      <c r="AG49" s="35" t="str">
        <f>IFERROR(INDEX('G-6 Hedgerow Data'!$BJ$3:$BJ$15,MATCH(D49,'G-6 Hedgerow Data'!$B$3:$B$15,0)),"")</f>
        <v/>
      </c>
    </row>
    <row r="50" spans="2:33" ht="15" customHeight="1" x14ac:dyDescent="0.25">
      <c r="B50" s="128">
        <v>39</v>
      </c>
      <c r="C50" s="394"/>
      <c r="D50" s="275"/>
      <c r="E50" s="275"/>
      <c r="F50" s="171" t="str">
        <f>IF(D50="","",VLOOKUP(D50,'G-6 Hedgerow Data'!$B$2:$AG$15,2,FALSE))</f>
        <v/>
      </c>
      <c r="G50" s="176" t="str">
        <f>IF(D50="","",VLOOKUP(D50,'G-6 Hedgerow Data'!$B$2:$AG$15,3,FALSE))</f>
        <v/>
      </c>
      <c r="H50" s="189"/>
      <c r="I50" s="172" t="str">
        <f>IFERROR(IF(AND(F50="V.Low",OR(H50="Good",H50="Moderate")),"Error",VLOOKUP(H50,'G-1 All Habitats'!$Z$2:$AA$9,2,FALSE)),"")</f>
        <v/>
      </c>
      <c r="J50" s="186"/>
      <c r="K50" s="175" t="str">
        <f>IF(J50="","",IF(VLOOKUP(J50,'G-3 Multipliers'!$L$3:$N$6,2,FALSE)=0,"Spatial Data Missing",VLOOKUP(J50,'G-3 Multipliers'!$L$3:$N$6,2,FALSE)))</f>
        <v/>
      </c>
      <c r="L50" s="176" t="str">
        <f>IF(J50="","",IF(VLOOKUP(J50,'G-3 Multipliers'!$L$3:$N$6,3,FALSE)=0,"Spatial Data Missing",VLOOKUP(J50,'G-3 Multipliers'!$L$3:$N$6,3,FALSE)))</f>
        <v/>
      </c>
      <c r="M50" s="266"/>
      <c r="N50" s="172" t="str">
        <f>IF(M50="","",IF(VLOOKUP(M50,'G-3 Multipliers'!$S$3:$T$6,2,FALSE)=0,"Spatial Data Missing",VLOOKUP(M50,'G-3 Multipliers'!$S$3:$T$6,2,FALSE)))</f>
        <v/>
      </c>
      <c r="O50" s="171" t="str">
        <f>IF(OR(D50="",H50=""),"",(INDEX('G-6 Hedgerow Data'!$E$3:$I$15,MATCH(D50,'G-6 Hedgerow Data'!$B$3:$B$15,0),MATCH(H50,'G-6 Hedgerow Data'!$E$2:$I$2,0))))</f>
        <v/>
      </c>
      <c r="P50" s="261"/>
      <c r="Q50" s="261"/>
      <c r="R50" s="179" t="str">
        <f t="shared" si="1"/>
        <v/>
      </c>
      <c r="S50" s="262" t="str">
        <f t="shared" si="2"/>
        <v/>
      </c>
      <c r="T50" s="263" t="str">
        <f t="shared" si="0"/>
        <v/>
      </c>
      <c r="U50" s="239" t="str">
        <f>IF(D50="","",VLOOKUP(D50,'G-6 Hedgerow Data'!$B$3:$AG$15,31,FALSE))</f>
        <v/>
      </c>
      <c r="V50" s="175" t="str">
        <f t="shared" si="3"/>
        <v/>
      </c>
      <c r="W50" s="175" t="str">
        <f t="shared" si="4"/>
        <v/>
      </c>
      <c r="X50" s="176" t="str">
        <f>IF(F50="","",VLOOKUP(U50,'G-3 Multipliers'!$P$3:$Q$6,2,FALSE))</f>
        <v/>
      </c>
      <c r="Y50" s="274" t="str">
        <f t="shared" si="5"/>
        <v/>
      </c>
      <c r="Z50" s="180"/>
      <c r="AA50" s="181"/>
      <c r="AG50" s="35" t="str">
        <f>IFERROR(INDEX('G-6 Hedgerow Data'!$BJ$3:$BJ$15,MATCH(D50,'G-6 Hedgerow Data'!$B$3:$B$15,0)),"")</f>
        <v/>
      </c>
    </row>
    <row r="51" spans="2:33" ht="15" customHeight="1" x14ac:dyDescent="0.25">
      <c r="B51" s="128">
        <v>40</v>
      </c>
      <c r="C51" s="394"/>
      <c r="D51" s="275"/>
      <c r="E51" s="275"/>
      <c r="F51" s="171" t="str">
        <f>IF(D51="","",VLOOKUP(D51,'G-6 Hedgerow Data'!$B$2:$AG$15,2,FALSE))</f>
        <v/>
      </c>
      <c r="G51" s="176" t="str">
        <f>IF(D51="","",VLOOKUP(D51,'G-6 Hedgerow Data'!$B$2:$AG$15,3,FALSE))</f>
        <v/>
      </c>
      <c r="H51" s="189"/>
      <c r="I51" s="172" t="str">
        <f>IFERROR(IF(AND(F51="V.Low",OR(H51="Good",H51="Moderate")),"Error",VLOOKUP(H51,'G-1 All Habitats'!$Z$2:$AA$9,2,FALSE)),"")</f>
        <v/>
      </c>
      <c r="J51" s="186"/>
      <c r="K51" s="175" t="str">
        <f>IF(J51="","",IF(VLOOKUP(J51,'G-3 Multipliers'!$L$3:$N$6,2,FALSE)=0,"Spatial Data Missing",VLOOKUP(J51,'G-3 Multipliers'!$L$3:$N$6,2,FALSE)))</f>
        <v/>
      </c>
      <c r="L51" s="176" t="str">
        <f>IF(J51="","",IF(VLOOKUP(J51,'G-3 Multipliers'!$L$3:$N$6,3,FALSE)=0,"Spatial Data Missing",VLOOKUP(J51,'G-3 Multipliers'!$L$3:$N$6,3,FALSE)))</f>
        <v/>
      </c>
      <c r="M51" s="266"/>
      <c r="N51" s="172" t="str">
        <f>IF(M51="","",IF(VLOOKUP(M51,'G-3 Multipliers'!$S$3:$T$6,2,FALSE)=0,"Spatial Data Missing",VLOOKUP(M51,'G-3 Multipliers'!$S$3:$T$6,2,FALSE)))</f>
        <v/>
      </c>
      <c r="O51" s="171" t="str">
        <f>IF(OR(D51="",H51=""),"",(INDEX('G-6 Hedgerow Data'!$E$3:$I$15,MATCH(D51,'G-6 Hedgerow Data'!$B$3:$B$15,0),MATCH(H51,'G-6 Hedgerow Data'!$E$2:$I$2,0))))</f>
        <v/>
      </c>
      <c r="P51" s="261"/>
      <c r="Q51" s="261"/>
      <c r="R51" s="179" t="str">
        <f t="shared" si="1"/>
        <v/>
      </c>
      <c r="S51" s="262" t="str">
        <f t="shared" si="2"/>
        <v/>
      </c>
      <c r="T51" s="263" t="str">
        <f t="shared" si="0"/>
        <v/>
      </c>
      <c r="U51" s="239" t="str">
        <f>IF(D51="","",VLOOKUP(D51,'G-6 Hedgerow Data'!$B$3:$AG$15,31,FALSE))</f>
        <v/>
      </c>
      <c r="V51" s="175" t="str">
        <f t="shared" si="3"/>
        <v/>
      </c>
      <c r="W51" s="175" t="str">
        <f t="shared" si="4"/>
        <v/>
      </c>
      <c r="X51" s="176" t="str">
        <f>IF(F51="","",VLOOKUP(U51,'G-3 Multipliers'!$P$3:$Q$6,2,FALSE))</f>
        <v/>
      </c>
      <c r="Y51" s="274" t="str">
        <f t="shared" si="5"/>
        <v/>
      </c>
      <c r="Z51" s="180"/>
      <c r="AA51" s="181"/>
      <c r="AG51" s="35" t="str">
        <f>IFERROR(INDEX('G-6 Hedgerow Data'!$BJ$3:$BJ$15,MATCH(D51,'G-6 Hedgerow Data'!$B$3:$B$15,0)),"")</f>
        <v/>
      </c>
    </row>
    <row r="52" spans="2:33" ht="15" customHeight="1" x14ac:dyDescent="0.25">
      <c r="B52" s="128">
        <v>41</v>
      </c>
      <c r="C52" s="394"/>
      <c r="D52" s="275"/>
      <c r="E52" s="275"/>
      <c r="F52" s="171" t="str">
        <f>IF(D52="","",VLOOKUP(D52,'G-6 Hedgerow Data'!$B$2:$AG$15,2,FALSE))</f>
        <v/>
      </c>
      <c r="G52" s="176" t="str">
        <f>IF(D52="","",VLOOKUP(D52,'G-6 Hedgerow Data'!$B$2:$AG$15,3,FALSE))</f>
        <v/>
      </c>
      <c r="H52" s="189"/>
      <c r="I52" s="172" t="str">
        <f>IFERROR(IF(AND(F52="V.Low",OR(H52="Good",H52="Moderate")),"Error",VLOOKUP(H52,'G-1 All Habitats'!$Z$2:$AA$9,2,FALSE)),"")</f>
        <v/>
      </c>
      <c r="J52" s="186"/>
      <c r="K52" s="175" t="str">
        <f>IF(J52="","",IF(VLOOKUP(J52,'G-3 Multipliers'!$L$3:$N$6,2,FALSE)=0,"Spatial Data Missing",VLOOKUP(J52,'G-3 Multipliers'!$L$3:$N$6,2,FALSE)))</f>
        <v/>
      </c>
      <c r="L52" s="176" t="str">
        <f>IF(J52="","",IF(VLOOKUP(J52,'G-3 Multipliers'!$L$3:$N$6,3,FALSE)=0,"Spatial Data Missing",VLOOKUP(J52,'G-3 Multipliers'!$L$3:$N$6,3,FALSE)))</f>
        <v/>
      </c>
      <c r="M52" s="266"/>
      <c r="N52" s="172" t="str">
        <f>IF(M52="","",IF(VLOOKUP(M52,'G-3 Multipliers'!$S$3:$T$6,2,FALSE)=0,"Spatial Data Missing",VLOOKUP(M52,'G-3 Multipliers'!$S$3:$T$6,2,FALSE)))</f>
        <v/>
      </c>
      <c r="O52" s="171" t="str">
        <f>IF(OR(D52="",H52=""),"",(INDEX('G-6 Hedgerow Data'!$E$3:$I$15,MATCH(D52,'G-6 Hedgerow Data'!$B$3:$B$15,0),MATCH(H52,'G-6 Hedgerow Data'!$E$2:$I$2,0))))</f>
        <v/>
      </c>
      <c r="P52" s="261"/>
      <c r="Q52" s="261"/>
      <c r="R52" s="179" t="str">
        <f t="shared" si="1"/>
        <v/>
      </c>
      <c r="S52" s="262" t="str">
        <f t="shared" si="2"/>
        <v/>
      </c>
      <c r="T52" s="263" t="str">
        <f t="shared" si="0"/>
        <v/>
      </c>
      <c r="U52" s="239" t="str">
        <f>IF(D52="","",VLOOKUP(D52,'G-6 Hedgerow Data'!$B$3:$AG$15,31,FALSE))</f>
        <v/>
      </c>
      <c r="V52" s="175" t="str">
        <f t="shared" si="3"/>
        <v/>
      </c>
      <c r="W52" s="175" t="str">
        <f t="shared" si="4"/>
        <v/>
      </c>
      <c r="X52" s="176" t="str">
        <f>IF(F52="","",VLOOKUP(U52,'G-3 Multipliers'!$P$3:$Q$6,2,FALSE))</f>
        <v/>
      </c>
      <c r="Y52" s="274" t="str">
        <f t="shared" si="5"/>
        <v/>
      </c>
      <c r="Z52" s="180"/>
      <c r="AA52" s="181"/>
      <c r="AG52" s="35" t="str">
        <f>IFERROR(INDEX('G-6 Hedgerow Data'!$BJ$3:$BJ$15,MATCH(D52,'G-6 Hedgerow Data'!$B$3:$B$15,0)),"")</f>
        <v/>
      </c>
    </row>
    <row r="53" spans="2:33" ht="15" customHeight="1" x14ac:dyDescent="0.25">
      <c r="B53" s="128">
        <v>42</v>
      </c>
      <c r="C53" s="394"/>
      <c r="D53" s="275"/>
      <c r="E53" s="275"/>
      <c r="F53" s="171" t="str">
        <f>IF(D53="","",VLOOKUP(D53,'G-6 Hedgerow Data'!$B$2:$AG$15,2,FALSE))</f>
        <v/>
      </c>
      <c r="G53" s="176" t="str">
        <f>IF(D53="","",VLOOKUP(D53,'G-6 Hedgerow Data'!$B$2:$AG$15,3,FALSE))</f>
        <v/>
      </c>
      <c r="H53" s="189"/>
      <c r="I53" s="172" t="str">
        <f>IFERROR(IF(AND(F53="V.Low",OR(H53="Good",H53="Moderate")),"Error",VLOOKUP(H53,'G-1 All Habitats'!$Z$2:$AA$9,2,FALSE)),"")</f>
        <v/>
      </c>
      <c r="J53" s="186"/>
      <c r="K53" s="175" t="str">
        <f>IF(J53="","",IF(VLOOKUP(J53,'G-3 Multipliers'!$L$3:$N$6,2,FALSE)=0,"Spatial Data Missing",VLOOKUP(J53,'G-3 Multipliers'!$L$3:$N$6,2,FALSE)))</f>
        <v/>
      </c>
      <c r="L53" s="176" t="str">
        <f>IF(J53="","",IF(VLOOKUP(J53,'G-3 Multipliers'!$L$3:$N$6,3,FALSE)=0,"Spatial Data Missing",VLOOKUP(J53,'G-3 Multipliers'!$L$3:$N$6,3,FALSE)))</f>
        <v/>
      </c>
      <c r="M53" s="266"/>
      <c r="N53" s="172" t="str">
        <f>IF(M53="","",IF(VLOOKUP(M53,'G-3 Multipliers'!$S$3:$T$6,2,FALSE)=0,"Spatial Data Missing",VLOOKUP(M53,'G-3 Multipliers'!$S$3:$T$6,2,FALSE)))</f>
        <v/>
      </c>
      <c r="O53" s="171" t="str">
        <f>IF(OR(D53="",H53=""),"",(INDEX('G-6 Hedgerow Data'!$E$3:$I$15,MATCH(D53,'G-6 Hedgerow Data'!$B$3:$B$15,0),MATCH(H53,'G-6 Hedgerow Data'!$E$2:$I$2,0))))</f>
        <v/>
      </c>
      <c r="P53" s="261"/>
      <c r="Q53" s="261"/>
      <c r="R53" s="179" t="str">
        <f t="shared" si="1"/>
        <v/>
      </c>
      <c r="S53" s="262" t="str">
        <f t="shared" si="2"/>
        <v/>
      </c>
      <c r="T53" s="263" t="str">
        <f t="shared" si="0"/>
        <v/>
      </c>
      <c r="U53" s="239" t="str">
        <f>IF(D53="","",VLOOKUP(D53,'G-6 Hedgerow Data'!$B$3:$AG$15,31,FALSE))</f>
        <v/>
      </c>
      <c r="V53" s="175" t="str">
        <f t="shared" si="3"/>
        <v/>
      </c>
      <c r="W53" s="175" t="str">
        <f t="shared" si="4"/>
        <v/>
      </c>
      <c r="X53" s="176" t="str">
        <f>IF(F53="","",VLOOKUP(U53,'G-3 Multipliers'!$P$3:$Q$6,2,FALSE))</f>
        <v/>
      </c>
      <c r="Y53" s="274" t="str">
        <f t="shared" si="5"/>
        <v/>
      </c>
      <c r="Z53" s="180"/>
      <c r="AA53" s="181"/>
      <c r="AG53" s="35" t="str">
        <f>IFERROR(INDEX('G-6 Hedgerow Data'!$BJ$3:$BJ$15,MATCH(D53,'G-6 Hedgerow Data'!$B$3:$B$15,0)),"")</f>
        <v/>
      </c>
    </row>
    <row r="54" spans="2:33" ht="15" customHeight="1" x14ac:dyDescent="0.25">
      <c r="B54" s="128">
        <v>43</v>
      </c>
      <c r="C54" s="394"/>
      <c r="D54" s="275"/>
      <c r="E54" s="275"/>
      <c r="F54" s="171" t="str">
        <f>IF(D54="","",VLOOKUP(D54,'G-6 Hedgerow Data'!$B$2:$AG$15,2,FALSE))</f>
        <v/>
      </c>
      <c r="G54" s="176" t="str">
        <f>IF(D54="","",VLOOKUP(D54,'G-6 Hedgerow Data'!$B$2:$AG$15,3,FALSE))</f>
        <v/>
      </c>
      <c r="H54" s="189"/>
      <c r="I54" s="172" t="str">
        <f>IFERROR(IF(AND(F54="V.Low",OR(H54="Good",H54="Moderate")),"Error",VLOOKUP(H54,'G-1 All Habitats'!$Z$2:$AA$9,2,FALSE)),"")</f>
        <v/>
      </c>
      <c r="J54" s="186"/>
      <c r="K54" s="175" t="str">
        <f>IF(J54="","",IF(VLOOKUP(J54,'G-3 Multipliers'!$L$3:$N$6,2,FALSE)=0,"Spatial Data Missing",VLOOKUP(J54,'G-3 Multipliers'!$L$3:$N$6,2,FALSE)))</f>
        <v/>
      </c>
      <c r="L54" s="176" t="str">
        <f>IF(J54="","",IF(VLOOKUP(J54,'G-3 Multipliers'!$L$3:$N$6,3,FALSE)=0,"Spatial Data Missing",VLOOKUP(J54,'G-3 Multipliers'!$L$3:$N$6,3,FALSE)))</f>
        <v/>
      </c>
      <c r="M54" s="266"/>
      <c r="N54" s="172" t="str">
        <f>IF(M54="","",IF(VLOOKUP(M54,'G-3 Multipliers'!$S$3:$T$6,2,FALSE)=0,"Spatial Data Missing",VLOOKUP(M54,'G-3 Multipliers'!$S$3:$T$6,2,FALSE)))</f>
        <v/>
      </c>
      <c r="O54" s="171" t="str">
        <f>IF(OR(D54="",H54=""),"",(INDEX('G-6 Hedgerow Data'!$E$3:$I$15,MATCH(D54,'G-6 Hedgerow Data'!$B$3:$B$15,0),MATCH(H54,'G-6 Hedgerow Data'!$E$2:$I$2,0))))</f>
        <v/>
      </c>
      <c r="P54" s="261"/>
      <c r="Q54" s="261"/>
      <c r="R54" s="179" t="str">
        <f t="shared" si="1"/>
        <v/>
      </c>
      <c r="S54" s="262" t="str">
        <f t="shared" si="2"/>
        <v/>
      </c>
      <c r="T54" s="263" t="str">
        <f t="shared" si="0"/>
        <v/>
      </c>
      <c r="U54" s="239" t="str">
        <f>IF(D54="","",VLOOKUP(D54,'G-6 Hedgerow Data'!$B$3:$AG$15,31,FALSE))</f>
        <v/>
      </c>
      <c r="V54" s="175" t="str">
        <f t="shared" si="3"/>
        <v/>
      </c>
      <c r="W54" s="175" t="str">
        <f t="shared" si="4"/>
        <v/>
      </c>
      <c r="X54" s="176" t="str">
        <f>IF(F54="","",VLOOKUP(U54,'G-3 Multipliers'!$P$3:$Q$6,2,FALSE))</f>
        <v/>
      </c>
      <c r="Y54" s="274" t="str">
        <f t="shared" si="5"/>
        <v/>
      </c>
      <c r="Z54" s="180"/>
      <c r="AA54" s="181"/>
      <c r="AG54" s="35" t="str">
        <f>IFERROR(INDEX('G-6 Hedgerow Data'!$BJ$3:$BJ$15,MATCH(D54,'G-6 Hedgerow Data'!$B$3:$B$15,0)),"")</f>
        <v/>
      </c>
    </row>
    <row r="55" spans="2:33" ht="15" customHeight="1" x14ac:dyDescent="0.25">
      <c r="B55" s="128">
        <v>44</v>
      </c>
      <c r="C55" s="394"/>
      <c r="D55" s="275"/>
      <c r="E55" s="275"/>
      <c r="F55" s="171" t="str">
        <f>IF(D55="","",VLOOKUP(D55,'G-6 Hedgerow Data'!$B$2:$AG$15,2,FALSE))</f>
        <v/>
      </c>
      <c r="G55" s="176" t="str">
        <f>IF(D55="","",VLOOKUP(D55,'G-6 Hedgerow Data'!$B$2:$AG$15,3,FALSE))</f>
        <v/>
      </c>
      <c r="H55" s="189"/>
      <c r="I55" s="172" t="str">
        <f>IFERROR(IF(AND(F55="V.Low",OR(H55="Good",H55="Moderate")),"Error",VLOOKUP(H55,'G-1 All Habitats'!$Z$2:$AA$9,2,FALSE)),"")</f>
        <v/>
      </c>
      <c r="J55" s="186"/>
      <c r="K55" s="175" t="str">
        <f>IF(J55="","",IF(VLOOKUP(J55,'G-3 Multipliers'!$L$3:$N$6,2,FALSE)=0,"Spatial Data Missing",VLOOKUP(J55,'G-3 Multipliers'!$L$3:$N$6,2,FALSE)))</f>
        <v/>
      </c>
      <c r="L55" s="176" t="str">
        <f>IF(J55="","",IF(VLOOKUP(J55,'G-3 Multipliers'!$L$3:$N$6,3,FALSE)=0,"Spatial Data Missing",VLOOKUP(J55,'G-3 Multipliers'!$L$3:$N$6,3,FALSE)))</f>
        <v/>
      </c>
      <c r="M55" s="266"/>
      <c r="N55" s="172" t="str">
        <f>IF(M55="","",IF(VLOOKUP(M55,'G-3 Multipliers'!$S$3:$T$6,2,FALSE)=0,"Spatial Data Missing",VLOOKUP(M55,'G-3 Multipliers'!$S$3:$T$6,2,FALSE)))</f>
        <v/>
      </c>
      <c r="O55" s="171" t="str">
        <f>IF(OR(D55="",H55=""),"",(INDEX('G-6 Hedgerow Data'!$E$3:$I$15,MATCH(D55,'G-6 Hedgerow Data'!$B$3:$B$15,0),MATCH(H55,'G-6 Hedgerow Data'!$E$2:$I$2,0))))</f>
        <v/>
      </c>
      <c r="P55" s="261"/>
      <c r="Q55" s="261"/>
      <c r="R55" s="179" t="str">
        <f t="shared" si="1"/>
        <v/>
      </c>
      <c r="S55" s="262" t="str">
        <f t="shared" si="2"/>
        <v/>
      </c>
      <c r="T55" s="263" t="str">
        <f t="shared" si="0"/>
        <v/>
      </c>
      <c r="U55" s="239" t="str">
        <f>IF(D55="","",VLOOKUP(D55,'G-6 Hedgerow Data'!$B$3:$AG$15,31,FALSE))</f>
        <v/>
      </c>
      <c r="V55" s="175" t="str">
        <f t="shared" si="3"/>
        <v/>
      </c>
      <c r="W55" s="175" t="str">
        <f t="shared" si="4"/>
        <v/>
      </c>
      <c r="X55" s="176" t="str">
        <f>IF(F55="","",VLOOKUP(U55,'G-3 Multipliers'!$P$3:$Q$6,2,FALSE))</f>
        <v/>
      </c>
      <c r="Y55" s="274" t="str">
        <f t="shared" si="5"/>
        <v/>
      </c>
      <c r="Z55" s="180"/>
      <c r="AA55" s="181"/>
      <c r="AG55" s="35" t="str">
        <f>IFERROR(INDEX('G-6 Hedgerow Data'!$BJ$3:$BJ$15,MATCH(D55,'G-6 Hedgerow Data'!$B$3:$B$15,0)),"")</f>
        <v/>
      </c>
    </row>
    <row r="56" spans="2:33" ht="15" customHeight="1" x14ac:dyDescent="0.25">
      <c r="B56" s="128">
        <v>45</v>
      </c>
      <c r="C56" s="394"/>
      <c r="D56" s="275"/>
      <c r="E56" s="275"/>
      <c r="F56" s="171" t="str">
        <f>IF(D56="","",VLOOKUP(D56,'G-6 Hedgerow Data'!$B$2:$AG$15,2,FALSE))</f>
        <v/>
      </c>
      <c r="G56" s="176" t="str">
        <f>IF(D56="","",VLOOKUP(D56,'G-6 Hedgerow Data'!$B$2:$AG$15,3,FALSE))</f>
        <v/>
      </c>
      <c r="H56" s="189"/>
      <c r="I56" s="172" t="str">
        <f>IFERROR(IF(AND(F56="V.Low",OR(H56="Good",H56="Moderate")),"Error",VLOOKUP(H56,'G-1 All Habitats'!$Z$2:$AA$9,2,FALSE)),"")</f>
        <v/>
      </c>
      <c r="J56" s="186"/>
      <c r="K56" s="175" t="str">
        <f>IF(J56="","",IF(VLOOKUP(J56,'G-3 Multipliers'!$L$3:$N$6,2,FALSE)=0,"Spatial Data Missing",VLOOKUP(J56,'G-3 Multipliers'!$L$3:$N$6,2,FALSE)))</f>
        <v/>
      </c>
      <c r="L56" s="176" t="str">
        <f>IF(J56="","",IF(VLOOKUP(J56,'G-3 Multipliers'!$L$3:$N$6,3,FALSE)=0,"Spatial Data Missing",VLOOKUP(J56,'G-3 Multipliers'!$L$3:$N$6,3,FALSE)))</f>
        <v/>
      </c>
      <c r="M56" s="266"/>
      <c r="N56" s="172" t="str">
        <f>IF(M56="","",IF(VLOOKUP(M56,'G-3 Multipliers'!$S$3:$T$6,2,FALSE)=0,"Spatial Data Missing",VLOOKUP(M56,'G-3 Multipliers'!$S$3:$T$6,2,FALSE)))</f>
        <v/>
      </c>
      <c r="O56" s="171" t="str">
        <f>IF(OR(D56="",H56=""),"",(INDEX('G-6 Hedgerow Data'!$E$3:$I$15,MATCH(D56,'G-6 Hedgerow Data'!$B$3:$B$15,0),MATCH(H56,'G-6 Hedgerow Data'!$E$2:$I$2,0))))</f>
        <v/>
      </c>
      <c r="P56" s="261"/>
      <c r="Q56" s="261"/>
      <c r="R56" s="179" t="str">
        <f t="shared" si="1"/>
        <v/>
      </c>
      <c r="S56" s="262" t="str">
        <f t="shared" si="2"/>
        <v/>
      </c>
      <c r="T56" s="263" t="str">
        <f t="shared" si="0"/>
        <v/>
      </c>
      <c r="U56" s="239" t="str">
        <f>IF(D56="","",VLOOKUP(D56,'G-6 Hedgerow Data'!$B$3:$AG$15,31,FALSE))</f>
        <v/>
      </c>
      <c r="V56" s="175" t="str">
        <f t="shared" si="3"/>
        <v/>
      </c>
      <c r="W56" s="175" t="str">
        <f t="shared" si="4"/>
        <v/>
      </c>
      <c r="X56" s="176" t="str">
        <f>IF(F56="","",VLOOKUP(U56,'G-3 Multipliers'!$P$3:$Q$6,2,FALSE))</f>
        <v/>
      </c>
      <c r="Y56" s="274" t="str">
        <f t="shared" si="5"/>
        <v/>
      </c>
      <c r="Z56" s="180"/>
      <c r="AA56" s="181"/>
      <c r="AG56" s="35" t="str">
        <f>IFERROR(INDEX('G-6 Hedgerow Data'!$BJ$3:$BJ$15,MATCH(D56,'G-6 Hedgerow Data'!$B$3:$B$15,0)),"")</f>
        <v/>
      </c>
    </row>
    <row r="57" spans="2:33" ht="15" customHeight="1" x14ac:dyDescent="0.25">
      <c r="B57" s="128">
        <v>46</v>
      </c>
      <c r="C57" s="394"/>
      <c r="D57" s="275"/>
      <c r="E57" s="275"/>
      <c r="F57" s="171" t="str">
        <f>IF(D57="","",VLOOKUP(D57,'G-6 Hedgerow Data'!$B$2:$AG$15,2,FALSE))</f>
        <v/>
      </c>
      <c r="G57" s="176" t="str">
        <f>IF(D57="","",VLOOKUP(D57,'G-6 Hedgerow Data'!$B$2:$AG$15,3,FALSE))</f>
        <v/>
      </c>
      <c r="H57" s="189"/>
      <c r="I57" s="172" t="str">
        <f>IFERROR(IF(AND(F57="V.Low",OR(H57="Good",H57="Moderate")),"Error",VLOOKUP(H57,'G-1 All Habitats'!$Z$2:$AA$9,2,FALSE)),"")</f>
        <v/>
      </c>
      <c r="J57" s="186"/>
      <c r="K57" s="175" t="str">
        <f>IF(J57="","",IF(VLOOKUP(J57,'G-3 Multipliers'!$L$3:$N$6,2,FALSE)=0,"Spatial Data Missing",VLOOKUP(J57,'G-3 Multipliers'!$L$3:$N$6,2,FALSE)))</f>
        <v/>
      </c>
      <c r="L57" s="176" t="str">
        <f>IF(J57="","",IF(VLOOKUP(J57,'G-3 Multipliers'!$L$3:$N$6,3,FALSE)=0,"Spatial Data Missing",VLOOKUP(J57,'G-3 Multipliers'!$L$3:$N$6,3,FALSE)))</f>
        <v/>
      </c>
      <c r="M57" s="266"/>
      <c r="N57" s="172" t="str">
        <f>IF(M57="","",IF(VLOOKUP(M57,'G-3 Multipliers'!$S$3:$T$6,2,FALSE)=0,"Spatial Data Missing",VLOOKUP(M57,'G-3 Multipliers'!$S$3:$T$6,2,FALSE)))</f>
        <v/>
      </c>
      <c r="O57" s="171" t="str">
        <f>IF(OR(D57="",H57=""),"",(INDEX('G-6 Hedgerow Data'!$E$3:$I$15,MATCH(D57,'G-6 Hedgerow Data'!$B$3:$B$15,0),MATCH(H57,'G-6 Hedgerow Data'!$E$2:$I$2,0))))</f>
        <v/>
      </c>
      <c r="P57" s="261"/>
      <c r="Q57" s="261"/>
      <c r="R57" s="179" t="str">
        <f t="shared" si="1"/>
        <v/>
      </c>
      <c r="S57" s="262" t="str">
        <f t="shared" si="2"/>
        <v/>
      </c>
      <c r="T57" s="263" t="str">
        <f t="shared" si="0"/>
        <v/>
      </c>
      <c r="U57" s="239" t="str">
        <f>IF(D57="","",VLOOKUP(D57,'G-6 Hedgerow Data'!$B$3:$AG$15,31,FALSE))</f>
        <v/>
      </c>
      <c r="V57" s="175" t="str">
        <f t="shared" si="3"/>
        <v/>
      </c>
      <c r="W57" s="175" t="str">
        <f t="shared" si="4"/>
        <v/>
      </c>
      <c r="X57" s="176" t="str">
        <f>IF(F57="","",VLOOKUP(U57,'G-3 Multipliers'!$P$3:$Q$6,2,FALSE))</f>
        <v/>
      </c>
      <c r="Y57" s="274" t="str">
        <f t="shared" si="5"/>
        <v/>
      </c>
      <c r="Z57" s="180"/>
      <c r="AA57" s="181"/>
      <c r="AG57" s="35" t="str">
        <f>IFERROR(INDEX('G-6 Hedgerow Data'!$BJ$3:$BJ$15,MATCH(D57,'G-6 Hedgerow Data'!$B$3:$B$15,0)),"")</f>
        <v/>
      </c>
    </row>
    <row r="58" spans="2:33" ht="15" customHeight="1" x14ac:dyDescent="0.25">
      <c r="B58" s="128">
        <v>47</v>
      </c>
      <c r="C58" s="394"/>
      <c r="D58" s="275"/>
      <c r="E58" s="275"/>
      <c r="F58" s="171" t="str">
        <f>IF(D58="","",VLOOKUP(D58,'G-6 Hedgerow Data'!$B$2:$AG$15,2,FALSE))</f>
        <v/>
      </c>
      <c r="G58" s="176" t="str">
        <f>IF(D58="","",VLOOKUP(D58,'G-6 Hedgerow Data'!$B$2:$AG$15,3,FALSE))</f>
        <v/>
      </c>
      <c r="H58" s="189"/>
      <c r="I58" s="172" t="str">
        <f>IFERROR(IF(AND(F58="V.Low",OR(H58="Good",H58="Moderate")),"Error",VLOOKUP(H58,'G-1 All Habitats'!$Z$2:$AA$9,2,FALSE)),"")</f>
        <v/>
      </c>
      <c r="J58" s="186"/>
      <c r="K58" s="175" t="str">
        <f>IF(J58="","",IF(VLOOKUP(J58,'G-3 Multipliers'!$L$3:$N$6,2,FALSE)=0,"Spatial Data Missing",VLOOKUP(J58,'G-3 Multipliers'!$L$3:$N$6,2,FALSE)))</f>
        <v/>
      </c>
      <c r="L58" s="176" t="str">
        <f>IF(J58="","",IF(VLOOKUP(J58,'G-3 Multipliers'!$L$3:$N$6,3,FALSE)=0,"Spatial Data Missing",VLOOKUP(J58,'G-3 Multipliers'!$L$3:$N$6,3,FALSE)))</f>
        <v/>
      </c>
      <c r="M58" s="266"/>
      <c r="N58" s="172" t="str">
        <f>IF(M58="","",IF(VLOOKUP(M58,'G-3 Multipliers'!$S$3:$T$6,2,FALSE)=0,"Spatial Data Missing",VLOOKUP(M58,'G-3 Multipliers'!$S$3:$T$6,2,FALSE)))</f>
        <v/>
      </c>
      <c r="O58" s="171" t="str">
        <f>IF(OR(D58="",H58=""),"",(INDEX('G-6 Hedgerow Data'!$E$3:$I$15,MATCH(D58,'G-6 Hedgerow Data'!$B$3:$B$15,0),MATCH(H58,'G-6 Hedgerow Data'!$E$2:$I$2,0))))</f>
        <v/>
      </c>
      <c r="P58" s="261"/>
      <c r="Q58" s="261"/>
      <c r="R58" s="179" t="str">
        <f t="shared" si="1"/>
        <v/>
      </c>
      <c r="S58" s="262" t="str">
        <f t="shared" si="2"/>
        <v/>
      </c>
      <c r="T58" s="263" t="str">
        <f t="shared" si="0"/>
        <v/>
      </c>
      <c r="U58" s="239" t="str">
        <f>IF(D58="","",VLOOKUP(D58,'G-6 Hedgerow Data'!$B$3:$AG$15,31,FALSE))</f>
        <v/>
      </c>
      <c r="V58" s="175" t="str">
        <f t="shared" si="3"/>
        <v/>
      </c>
      <c r="W58" s="175" t="str">
        <f t="shared" si="4"/>
        <v/>
      </c>
      <c r="X58" s="176" t="str">
        <f>IF(F58="","",VLOOKUP(U58,'G-3 Multipliers'!$P$3:$Q$6,2,FALSE))</f>
        <v/>
      </c>
      <c r="Y58" s="274" t="str">
        <f t="shared" si="5"/>
        <v/>
      </c>
      <c r="Z58" s="180"/>
      <c r="AA58" s="181"/>
      <c r="AG58" s="35" t="str">
        <f>IFERROR(INDEX('G-6 Hedgerow Data'!$BJ$3:$BJ$15,MATCH(D58,'G-6 Hedgerow Data'!$B$3:$B$15,0)),"")</f>
        <v/>
      </c>
    </row>
    <row r="59" spans="2:33" ht="15" customHeight="1" x14ac:dyDescent="0.25">
      <c r="B59" s="128">
        <v>48</v>
      </c>
      <c r="C59" s="394"/>
      <c r="D59" s="275"/>
      <c r="E59" s="275"/>
      <c r="F59" s="171" t="str">
        <f>IF(D59="","",VLOOKUP(D59,'G-6 Hedgerow Data'!$B$2:$AG$15,2,FALSE))</f>
        <v/>
      </c>
      <c r="G59" s="176" t="str">
        <f>IF(D59="","",VLOOKUP(D59,'G-6 Hedgerow Data'!$B$2:$AG$15,3,FALSE))</f>
        <v/>
      </c>
      <c r="H59" s="189"/>
      <c r="I59" s="172" t="str">
        <f>IFERROR(IF(AND(F59="V.Low",OR(H59="Good",H59="Moderate")),"Error",VLOOKUP(H59,'G-1 All Habitats'!$Z$2:$AA$9,2,FALSE)),"")</f>
        <v/>
      </c>
      <c r="J59" s="186"/>
      <c r="K59" s="175" t="str">
        <f>IF(J59="","",IF(VLOOKUP(J59,'G-3 Multipliers'!$L$3:$N$6,2,FALSE)=0,"Spatial Data Missing",VLOOKUP(J59,'G-3 Multipliers'!$L$3:$N$6,2,FALSE)))</f>
        <v/>
      </c>
      <c r="L59" s="176" t="str">
        <f>IF(J59="","",IF(VLOOKUP(J59,'G-3 Multipliers'!$L$3:$N$6,3,FALSE)=0,"Spatial Data Missing",VLOOKUP(J59,'G-3 Multipliers'!$L$3:$N$6,3,FALSE)))</f>
        <v/>
      </c>
      <c r="M59" s="266"/>
      <c r="N59" s="172" t="str">
        <f>IF(M59="","",IF(VLOOKUP(M59,'G-3 Multipliers'!$S$3:$T$6,2,FALSE)=0,"Spatial Data Missing",VLOOKUP(M59,'G-3 Multipliers'!$S$3:$T$6,2,FALSE)))</f>
        <v/>
      </c>
      <c r="O59" s="171" t="str">
        <f>IF(OR(D59="",H59=""),"",(INDEX('G-6 Hedgerow Data'!$E$3:$I$15,MATCH(D59,'G-6 Hedgerow Data'!$B$3:$B$15,0),MATCH(H59,'G-6 Hedgerow Data'!$E$2:$I$2,0))))</f>
        <v/>
      </c>
      <c r="P59" s="261"/>
      <c r="Q59" s="261"/>
      <c r="R59" s="179" t="str">
        <f t="shared" si="1"/>
        <v/>
      </c>
      <c r="S59" s="262" t="str">
        <f t="shared" si="2"/>
        <v/>
      </c>
      <c r="T59" s="263" t="str">
        <f t="shared" si="0"/>
        <v/>
      </c>
      <c r="U59" s="239" t="str">
        <f>IF(D59="","",VLOOKUP(D59,'G-6 Hedgerow Data'!$B$3:$AG$15,31,FALSE))</f>
        <v/>
      </c>
      <c r="V59" s="175" t="str">
        <f t="shared" si="3"/>
        <v/>
      </c>
      <c r="W59" s="175" t="str">
        <f t="shared" si="4"/>
        <v/>
      </c>
      <c r="X59" s="176" t="str">
        <f>IF(F59="","",VLOOKUP(U59,'G-3 Multipliers'!$P$3:$Q$6,2,FALSE))</f>
        <v/>
      </c>
      <c r="Y59" s="274" t="str">
        <f t="shared" si="5"/>
        <v/>
      </c>
      <c r="Z59" s="180"/>
      <c r="AA59" s="181"/>
      <c r="AG59" s="35" t="str">
        <f>IFERROR(INDEX('G-6 Hedgerow Data'!$BJ$3:$BJ$15,MATCH(D59,'G-6 Hedgerow Data'!$B$3:$B$15,0)),"")</f>
        <v/>
      </c>
    </row>
    <row r="60" spans="2:33" ht="15" customHeight="1" x14ac:dyDescent="0.25">
      <c r="B60" s="128">
        <v>49</v>
      </c>
      <c r="C60" s="394"/>
      <c r="D60" s="275"/>
      <c r="E60" s="275"/>
      <c r="F60" s="171" t="str">
        <f>IF(D60="","",VLOOKUP(D60,'G-6 Hedgerow Data'!$B$2:$AG$15,2,FALSE))</f>
        <v/>
      </c>
      <c r="G60" s="176" t="str">
        <f>IF(D60="","",VLOOKUP(D60,'G-6 Hedgerow Data'!$B$2:$AG$15,3,FALSE))</f>
        <v/>
      </c>
      <c r="H60" s="189"/>
      <c r="I60" s="172" t="str">
        <f>IFERROR(IF(AND(F60="V.Low",OR(H60="Good",H60="Moderate")),"Error",VLOOKUP(H60,'G-1 All Habitats'!$Z$2:$AA$9,2,FALSE)),"")</f>
        <v/>
      </c>
      <c r="J60" s="186"/>
      <c r="K60" s="175" t="str">
        <f>IF(J60="","",IF(VLOOKUP(J60,'G-3 Multipliers'!$L$3:$N$6,2,FALSE)=0,"Spatial Data Missing",VLOOKUP(J60,'G-3 Multipliers'!$L$3:$N$6,2,FALSE)))</f>
        <v/>
      </c>
      <c r="L60" s="176" t="str">
        <f>IF(J60="","",IF(VLOOKUP(J60,'G-3 Multipliers'!$L$3:$N$6,3,FALSE)=0,"Spatial Data Missing",VLOOKUP(J60,'G-3 Multipliers'!$L$3:$N$6,3,FALSE)))</f>
        <v/>
      </c>
      <c r="M60" s="266"/>
      <c r="N60" s="172" t="str">
        <f>IF(M60="","",IF(VLOOKUP(M60,'G-3 Multipliers'!$S$3:$T$6,2,FALSE)=0,"Spatial Data Missing",VLOOKUP(M60,'G-3 Multipliers'!$S$3:$T$6,2,FALSE)))</f>
        <v/>
      </c>
      <c r="O60" s="171" t="str">
        <f>IF(OR(D60="",H60=""),"",(INDEX('G-6 Hedgerow Data'!$E$3:$I$15,MATCH(D60,'G-6 Hedgerow Data'!$B$3:$B$15,0),MATCH(H60,'G-6 Hedgerow Data'!$E$2:$I$2,0))))</f>
        <v/>
      </c>
      <c r="P60" s="261"/>
      <c r="Q60" s="261"/>
      <c r="R60" s="179" t="str">
        <f t="shared" si="1"/>
        <v/>
      </c>
      <c r="S60" s="262" t="str">
        <f t="shared" si="2"/>
        <v/>
      </c>
      <c r="T60" s="263" t="str">
        <f t="shared" si="0"/>
        <v/>
      </c>
      <c r="U60" s="239" t="str">
        <f>IF(D60="","",VLOOKUP(D60,'G-6 Hedgerow Data'!$B$3:$AG$15,31,FALSE))</f>
        <v/>
      </c>
      <c r="V60" s="175" t="str">
        <f t="shared" si="3"/>
        <v/>
      </c>
      <c r="W60" s="175" t="str">
        <f t="shared" si="4"/>
        <v/>
      </c>
      <c r="X60" s="176" t="str">
        <f>IF(F60="","",VLOOKUP(U60,'G-3 Multipliers'!$P$3:$Q$6,2,FALSE))</f>
        <v/>
      </c>
      <c r="Y60" s="274" t="str">
        <f t="shared" si="5"/>
        <v/>
      </c>
      <c r="Z60" s="180"/>
      <c r="AA60" s="181"/>
      <c r="AG60" s="35" t="str">
        <f>IFERROR(INDEX('G-6 Hedgerow Data'!$BJ$3:$BJ$15,MATCH(D60,'G-6 Hedgerow Data'!$B$3:$B$15,0)),"")</f>
        <v/>
      </c>
    </row>
    <row r="61" spans="2:33" ht="15" customHeight="1" x14ac:dyDescent="0.25">
      <c r="B61" s="128">
        <v>50</v>
      </c>
      <c r="C61" s="394"/>
      <c r="D61" s="275"/>
      <c r="E61" s="275"/>
      <c r="F61" s="171" t="str">
        <f>IF(D61="","",VLOOKUP(D61,'G-6 Hedgerow Data'!$B$2:$AG$15,2,FALSE))</f>
        <v/>
      </c>
      <c r="G61" s="176" t="str">
        <f>IF(D61="","",VLOOKUP(D61,'G-6 Hedgerow Data'!$B$2:$AG$15,3,FALSE))</f>
        <v/>
      </c>
      <c r="H61" s="189"/>
      <c r="I61" s="172" t="str">
        <f>IFERROR(IF(AND(F61="V.Low",OR(H61="Good",H61="Moderate")),"Error",VLOOKUP(H61,'G-1 All Habitats'!$Z$2:$AA$9,2,FALSE)),"")</f>
        <v/>
      </c>
      <c r="J61" s="186"/>
      <c r="K61" s="175" t="str">
        <f>IF(J61="","",IF(VLOOKUP(J61,'G-3 Multipliers'!$L$3:$N$6,2,FALSE)=0,"Spatial Data Missing",VLOOKUP(J61,'G-3 Multipliers'!$L$3:$N$6,2,FALSE)))</f>
        <v/>
      </c>
      <c r="L61" s="176" t="str">
        <f>IF(J61="","",IF(VLOOKUP(J61,'G-3 Multipliers'!$L$3:$N$6,3,FALSE)=0,"Spatial Data Missing",VLOOKUP(J61,'G-3 Multipliers'!$L$3:$N$6,3,FALSE)))</f>
        <v/>
      </c>
      <c r="M61" s="266"/>
      <c r="N61" s="172" t="str">
        <f>IF(M61="","",IF(VLOOKUP(M61,'G-3 Multipliers'!$S$3:$T$6,2,FALSE)=0,"Spatial Data Missing",VLOOKUP(M61,'G-3 Multipliers'!$S$3:$T$6,2,FALSE)))</f>
        <v/>
      </c>
      <c r="O61" s="171" t="str">
        <f>IF(OR(D61="",H61=""),"",(INDEX('G-6 Hedgerow Data'!$E$3:$I$15,MATCH(D61,'G-6 Hedgerow Data'!$B$3:$B$15,0),MATCH(H61,'G-6 Hedgerow Data'!$E$2:$I$2,0))))</f>
        <v/>
      </c>
      <c r="P61" s="261"/>
      <c r="Q61" s="261"/>
      <c r="R61" s="179" t="str">
        <f t="shared" si="1"/>
        <v/>
      </c>
      <c r="S61" s="262" t="str">
        <f t="shared" si="2"/>
        <v/>
      </c>
      <c r="T61" s="263" t="str">
        <f t="shared" si="0"/>
        <v/>
      </c>
      <c r="U61" s="239" t="str">
        <f>IF(D61="","",VLOOKUP(D61,'G-6 Hedgerow Data'!$B$3:$AG$15,31,FALSE))</f>
        <v/>
      </c>
      <c r="V61" s="175" t="str">
        <f t="shared" si="3"/>
        <v/>
      </c>
      <c r="W61" s="175" t="str">
        <f t="shared" si="4"/>
        <v/>
      </c>
      <c r="X61" s="176" t="str">
        <f>IF(F61="","",VLOOKUP(U61,'G-3 Multipliers'!$P$3:$Q$6,2,FALSE))</f>
        <v/>
      </c>
      <c r="Y61" s="274" t="str">
        <f t="shared" si="5"/>
        <v/>
      </c>
      <c r="Z61" s="180"/>
      <c r="AA61" s="181"/>
      <c r="AG61" s="35" t="str">
        <f>IFERROR(INDEX('G-6 Hedgerow Data'!$BJ$3:$BJ$15,MATCH(D61,'G-6 Hedgerow Data'!$B$3:$B$15,0)),"")</f>
        <v/>
      </c>
    </row>
    <row r="62" spans="2:33" ht="15" customHeight="1" x14ac:dyDescent="0.25">
      <c r="B62" s="128">
        <v>51</v>
      </c>
      <c r="C62" s="394"/>
      <c r="D62" s="275"/>
      <c r="E62" s="275"/>
      <c r="F62" s="171" t="str">
        <f>IF(D62="","",VLOOKUP(D62,'G-6 Hedgerow Data'!$B$2:$AG$15,2,FALSE))</f>
        <v/>
      </c>
      <c r="G62" s="176" t="str">
        <f>IF(D62="","",VLOOKUP(D62,'G-6 Hedgerow Data'!$B$2:$AG$15,3,FALSE))</f>
        <v/>
      </c>
      <c r="H62" s="189"/>
      <c r="I62" s="172" t="str">
        <f>IFERROR(IF(AND(F62="V.Low",OR(H62="Good",H62="Moderate")),"Error",VLOOKUP(H62,'G-1 All Habitats'!$Z$2:$AA$9,2,FALSE)),"")</f>
        <v/>
      </c>
      <c r="J62" s="186"/>
      <c r="K62" s="175" t="str">
        <f>IF(J62="","",IF(VLOOKUP(J62,'G-3 Multipliers'!$L$3:$N$6,2,FALSE)=0,"Spatial Data Missing",VLOOKUP(J62,'G-3 Multipliers'!$L$3:$N$6,2,FALSE)))</f>
        <v/>
      </c>
      <c r="L62" s="176" t="str">
        <f>IF(J62="","",IF(VLOOKUP(J62,'G-3 Multipliers'!$L$3:$N$6,3,FALSE)=0,"Spatial Data Missing",VLOOKUP(J62,'G-3 Multipliers'!$L$3:$N$6,3,FALSE)))</f>
        <v/>
      </c>
      <c r="M62" s="266"/>
      <c r="N62" s="172" t="str">
        <f>IF(M62="","",IF(VLOOKUP(M62,'G-3 Multipliers'!$S$3:$T$6,2,FALSE)=0,"Spatial Data Missing",VLOOKUP(M62,'G-3 Multipliers'!$S$3:$T$6,2,FALSE)))</f>
        <v/>
      </c>
      <c r="O62" s="171" t="str">
        <f>IF(OR(D62="",H62=""),"",(INDEX('G-6 Hedgerow Data'!$E$3:$I$15,MATCH(D62,'G-6 Hedgerow Data'!$B$3:$B$15,0),MATCH(H62,'G-6 Hedgerow Data'!$E$2:$I$2,0))))</f>
        <v/>
      </c>
      <c r="P62" s="261"/>
      <c r="Q62" s="261"/>
      <c r="R62" s="179" t="str">
        <f t="shared" si="1"/>
        <v/>
      </c>
      <c r="S62" s="262" t="str">
        <f t="shared" si="2"/>
        <v/>
      </c>
      <c r="T62" s="263" t="str">
        <f t="shared" si="0"/>
        <v/>
      </c>
      <c r="U62" s="239" t="str">
        <f>IF(D62="","",VLOOKUP(D62,'G-6 Hedgerow Data'!$B$3:$AG$15,31,FALSE))</f>
        <v/>
      </c>
      <c r="V62" s="175" t="str">
        <f t="shared" si="3"/>
        <v/>
      </c>
      <c r="W62" s="175" t="str">
        <f t="shared" si="4"/>
        <v/>
      </c>
      <c r="X62" s="176" t="str">
        <f>IF(F62="","",VLOOKUP(U62,'G-3 Multipliers'!$P$3:$Q$6,2,FALSE))</f>
        <v/>
      </c>
      <c r="Y62" s="274" t="str">
        <f t="shared" si="5"/>
        <v/>
      </c>
      <c r="Z62" s="180"/>
      <c r="AA62" s="181"/>
      <c r="AG62" s="35" t="str">
        <f>IFERROR(INDEX('G-6 Hedgerow Data'!$BJ$3:$BJ$15,MATCH(D62,'G-6 Hedgerow Data'!$B$3:$B$15,0)),"")</f>
        <v/>
      </c>
    </row>
    <row r="63" spans="2:33" ht="15" customHeight="1" x14ac:dyDescent="0.25">
      <c r="B63" s="128">
        <v>52</v>
      </c>
      <c r="C63" s="394"/>
      <c r="D63" s="275"/>
      <c r="E63" s="275"/>
      <c r="F63" s="171" t="str">
        <f>IF(D63="","",VLOOKUP(D63,'G-6 Hedgerow Data'!$B$2:$AG$15,2,FALSE))</f>
        <v/>
      </c>
      <c r="G63" s="176" t="str">
        <f>IF(D63="","",VLOOKUP(D63,'G-6 Hedgerow Data'!$B$2:$AG$15,3,FALSE))</f>
        <v/>
      </c>
      <c r="H63" s="189"/>
      <c r="I63" s="172" t="str">
        <f>IFERROR(IF(AND(F63="V.Low",OR(H63="Good",H63="Moderate")),"Error",VLOOKUP(H63,'G-1 All Habitats'!$Z$2:$AA$9,2,FALSE)),"")</f>
        <v/>
      </c>
      <c r="J63" s="186"/>
      <c r="K63" s="175" t="str">
        <f>IF(J63="","",IF(VLOOKUP(J63,'G-3 Multipliers'!$L$3:$N$6,2,FALSE)=0,"Spatial Data Missing",VLOOKUP(J63,'G-3 Multipliers'!$L$3:$N$6,2,FALSE)))</f>
        <v/>
      </c>
      <c r="L63" s="176" t="str">
        <f>IF(J63="","",IF(VLOOKUP(J63,'G-3 Multipliers'!$L$3:$N$6,3,FALSE)=0,"Spatial Data Missing",VLOOKUP(J63,'G-3 Multipliers'!$L$3:$N$6,3,FALSE)))</f>
        <v/>
      </c>
      <c r="M63" s="266"/>
      <c r="N63" s="172" t="str">
        <f>IF(M63="","",IF(VLOOKUP(M63,'G-3 Multipliers'!$S$3:$T$6,2,FALSE)=0,"Spatial Data Missing",VLOOKUP(M63,'G-3 Multipliers'!$S$3:$T$6,2,FALSE)))</f>
        <v/>
      </c>
      <c r="O63" s="171" t="str">
        <f>IF(OR(D63="",H63=""),"",(INDEX('G-6 Hedgerow Data'!$E$3:$I$15,MATCH(D63,'G-6 Hedgerow Data'!$B$3:$B$15,0),MATCH(H63,'G-6 Hedgerow Data'!$E$2:$I$2,0))))</f>
        <v/>
      </c>
      <c r="P63" s="261"/>
      <c r="Q63" s="261"/>
      <c r="R63" s="179" t="str">
        <f t="shared" si="1"/>
        <v/>
      </c>
      <c r="S63" s="262" t="str">
        <f t="shared" si="2"/>
        <v/>
      </c>
      <c r="T63" s="263" t="str">
        <f t="shared" si="0"/>
        <v/>
      </c>
      <c r="U63" s="239" t="str">
        <f>IF(D63="","",VLOOKUP(D63,'G-6 Hedgerow Data'!$B$3:$AG$15,31,FALSE))</f>
        <v/>
      </c>
      <c r="V63" s="175" t="str">
        <f t="shared" si="3"/>
        <v/>
      </c>
      <c r="W63" s="175" t="str">
        <f t="shared" si="4"/>
        <v/>
      </c>
      <c r="X63" s="176" t="str">
        <f>IF(F63="","",VLOOKUP(U63,'G-3 Multipliers'!$P$3:$Q$6,2,FALSE))</f>
        <v/>
      </c>
      <c r="Y63" s="274" t="str">
        <f t="shared" si="5"/>
        <v/>
      </c>
      <c r="Z63" s="180"/>
      <c r="AA63" s="181"/>
      <c r="AG63" s="35" t="str">
        <f>IFERROR(INDEX('G-6 Hedgerow Data'!$BJ$3:$BJ$15,MATCH(D63,'G-6 Hedgerow Data'!$B$3:$B$15,0)),"")</f>
        <v/>
      </c>
    </row>
    <row r="64" spans="2:33" ht="15" customHeight="1" x14ac:dyDescent="0.25">
      <c r="B64" s="128">
        <v>53</v>
      </c>
      <c r="C64" s="394"/>
      <c r="D64" s="275"/>
      <c r="E64" s="275"/>
      <c r="F64" s="171" t="str">
        <f>IF(D64="","",VLOOKUP(D64,'G-6 Hedgerow Data'!$B$2:$AG$15,2,FALSE))</f>
        <v/>
      </c>
      <c r="G64" s="176" t="str">
        <f>IF(D64="","",VLOOKUP(D64,'G-6 Hedgerow Data'!$B$2:$AG$15,3,FALSE))</f>
        <v/>
      </c>
      <c r="H64" s="189"/>
      <c r="I64" s="172" t="str">
        <f>IFERROR(IF(AND(F64="V.Low",OR(H64="Good",H64="Moderate")),"Error",VLOOKUP(H64,'G-1 All Habitats'!$Z$2:$AA$9,2,FALSE)),"")</f>
        <v/>
      </c>
      <c r="J64" s="186"/>
      <c r="K64" s="175" t="str">
        <f>IF(J64="","",IF(VLOOKUP(J64,'G-3 Multipliers'!$L$3:$N$6,2,FALSE)=0,"Spatial Data Missing",VLOOKUP(J64,'G-3 Multipliers'!$L$3:$N$6,2,FALSE)))</f>
        <v/>
      </c>
      <c r="L64" s="176" t="str">
        <f>IF(J64="","",IF(VLOOKUP(J64,'G-3 Multipliers'!$L$3:$N$6,3,FALSE)=0,"Spatial Data Missing",VLOOKUP(J64,'G-3 Multipliers'!$L$3:$N$6,3,FALSE)))</f>
        <v/>
      </c>
      <c r="M64" s="266"/>
      <c r="N64" s="172" t="str">
        <f>IF(M64="","",IF(VLOOKUP(M64,'G-3 Multipliers'!$S$3:$T$6,2,FALSE)=0,"Spatial Data Missing",VLOOKUP(M64,'G-3 Multipliers'!$S$3:$T$6,2,FALSE)))</f>
        <v/>
      </c>
      <c r="O64" s="171" t="str">
        <f>IF(OR(D64="",H64=""),"",(INDEX('G-6 Hedgerow Data'!$E$3:$I$15,MATCH(D64,'G-6 Hedgerow Data'!$B$3:$B$15,0),MATCH(H64,'G-6 Hedgerow Data'!$E$2:$I$2,0))))</f>
        <v/>
      </c>
      <c r="P64" s="261"/>
      <c r="Q64" s="261"/>
      <c r="R64" s="179" t="str">
        <f t="shared" si="1"/>
        <v/>
      </c>
      <c r="S64" s="262" t="str">
        <f t="shared" si="2"/>
        <v/>
      </c>
      <c r="T64" s="263" t="str">
        <f t="shared" si="0"/>
        <v/>
      </c>
      <c r="U64" s="239" t="str">
        <f>IF(D64="","",VLOOKUP(D64,'G-6 Hedgerow Data'!$B$3:$AG$15,31,FALSE))</f>
        <v/>
      </c>
      <c r="V64" s="175" t="str">
        <f t="shared" si="3"/>
        <v/>
      </c>
      <c r="W64" s="175" t="str">
        <f t="shared" si="4"/>
        <v/>
      </c>
      <c r="X64" s="176" t="str">
        <f>IF(F64="","",VLOOKUP(U64,'G-3 Multipliers'!$P$3:$Q$6,2,FALSE))</f>
        <v/>
      </c>
      <c r="Y64" s="274" t="str">
        <f t="shared" si="5"/>
        <v/>
      </c>
      <c r="Z64" s="180"/>
      <c r="AA64" s="181"/>
      <c r="AG64" s="35" t="str">
        <f>IFERROR(INDEX('G-6 Hedgerow Data'!$BJ$3:$BJ$15,MATCH(D64,'G-6 Hedgerow Data'!$B$3:$B$15,0)),"")</f>
        <v/>
      </c>
    </row>
    <row r="65" spans="2:33" ht="15" customHeight="1" x14ac:dyDescent="0.25">
      <c r="B65" s="128">
        <v>54</v>
      </c>
      <c r="C65" s="394"/>
      <c r="D65" s="275"/>
      <c r="E65" s="275"/>
      <c r="F65" s="171" t="str">
        <f>IF(D65="","",VLOOKUP(D65,'G-6 Hedgerow Data'!$B$2:$AG$15,2,FALSE))</f>
        <v/>
      </c>
      <c r="G65" s="176" t="str">
        <f>IF(D65="","",VLOOKUP(D65,'G-6 Hedgerow Data'!$B$2:$AG$15,3,FALSE))</f>
        <v/>
      </c>
      <c r="H65" s="189"/>
      <c r="I65" s="172" t="str">
        <f>IFERROR(IF(AND(F65="V.Low",OR(H65="Good",H65="Moderate")),"Error",VLOOKUP(H65,'G-1 All Habitats'!$Z$2:$AA$9,2,FALSE)),"")</f>
        <v/>
      </c>
      <c r="J65" s="186"/>
      <c r="K65" s="175" t="str">
        <f>IF(J65="","",IF(VLOOKUP(J65,'G-3 Multipliers'!$L$3:$N$6,2,FALSE)=0,"Spatial Data Missing",VLOOKUP(J65,'G-3 Multipliers'!$L$3:$N$6,2,FALSE)))</f>
        <v/>
      </c>
      <c r="L65" s="176" t="str">
        <f>IF(J65="","",IF(VLOOKUP(J65,'G-3 Multipliers'!$L$3:$N$6,3,FALSE)=0,"Spatial Data Missing",VLOOKUP(J65,'G-3 Multipliers'!$L$3:$N$6,3,FALSE)))</f>
        <v/>
      </c>
      <c r="M65" s="266"/>
      <c r="N65" s="172" t="str">
        <f>IF(M65="","",IF(VLOOKUP(M65,'G-3 Multipliers'!$S$3:$T$6,2,FALSE)=0,"Spatial Data Missing",VLOOKUP(M65,'G-3 Multipliers'!$S$3:$T$6,2,FALSE)))</f>
        <v/>
      </c>
      <c r="O65" s="171" t="str">
        <f>IF(OR(D65="",H65=""),"",(INDEX('G-6 Hedgerow Data'!$E$3:$I$15,MATCH(D65,'G-6 Hedgerow Data'!$B$3:$B$15,0),MATCH(H65,'G-6 Hedgerow Data'!$E$2:$I$2,0))))</f>
        <v/>
      </c>
      <c r="P65" s="261"/>
      <c r="Q65" s="261"/>
      <c r="R65" s="179" t="str">
        <f t="shared" si="1"/>
        <v/>
      </c>
      <c r="S65" s="262" t="str">
        <f t="shared" si="2"/>
        <v/>
      </c>
      <c r="T65" s="263" t="str">
        <f t="shared" si="0"/>
        <v/>
      </c>
      <c r="U65" s="239" t="str">
        <f>IF(D65="","",VLOOKUP(D65,'G-6 Hedgerow Data'!$B$3:$AG$15,31,FALSE))</f>
        <v/>
      </c>
      <c r="V65" s="175" t="str">
        <f t="shared" si="3"/>
        <v/>
      </c>
      <c r="W65" s="175" t="str">
        <f t="shared" si="4"/>
        <v/>
      </c>
      <c r="X65" s="176" t="str">
        <f>IF(F65="","",VLOOKUP(U65,'G-3 Multipliers'!$P$3:$Q$6,2,FALSE))</f>
        <v/>
      </c>
      <c r="Y65" s="274" t="str">
        <f t="shared" si="5"/>
        <v/>
      </c>
      <c r="Z65" s="180"/>
      <c r="AA65" s="181"/>
      <c r="AG65" s="35" t="str">
        <f>IFERROR(INDEX('G-6 Hedgerow Data'!$BJ$3:$BJ$15,MATCH(D65,'G-6 Hedgerow Data'!$B$3:$B$15,0)),"")</f>
        <v/>
      </c>
    </row>
    <row r="66" spans="2:33" ht="15" customHeight="1" x14ac:dyDescent="0.25">
      <c r="B66" s="128">
        <v>55</v>
      </c>
      <c r="C66" s="394"/>
      <c r="D66" s="275"/>
      <c r="E66" s="275"/>
      <c r="F66" s="171" t="str">
        <f>IF(D66="","",VLOOKUP(D66,'G-6 Hedgerow Data'!$B$2:$AG$15,2,FALSE))</f>
        <v/>
      </c>
      <c r="G66" s="176" t="str">
        <f>IF(D66="","",VLOOKUP(D66,'G-6 Hedgerow Data'!$B$2:$AG$15,3,FALSE))</f>
        <v/>
      </c>
      <c r="H66" s="189"/>
      <c r="I66" s="172" t="str">
        <f>IFERROR(IF(AND(F66="V.Low",OR(H66="Good",H66="Moderate")),"Error",VLOOKUP(H66,'G-1 All Habitats'!$Z$2:$AA$9,2,FALSE)),"")</f>
        <v/>
      </c>
      <c r="J66" s="186"/>
      <c r="K66" s="175" t="str">
        <f>IF(J66="","",IF(VLOOKUP(J66,'G-3 Multipliers'!$L$3:$N$6,2,FALSE)=0,"Spatial Data Missing",VLOOKUP(J66,'G-3 Multipliers'!$L$3:$N$6,2,FALSE)))</f>
        <v/>
      </c>
      <c r="L66" s="176" t="str">
        <f>IF(J66="","",IF(VLOOKUP(J66,'G-3 Multipliers'!$L$3:$N$6,3,FALSE)=0,"Spatial Data Missing",VLOOKUP(J66,'G-3 Multipliers'!$L$3:$N$6,3,FALSE)))</f>
        <v/>
      </c>
      <c r="M66" s="266"/>
      <c r="N66" s="172" t="str">
        <f>IF(M66="","",IF(VLOOKUP(M66,'G-3 Multipliers'!$S$3:$T$6,2,FALSE)=0,"Spatial Data Missing",VLOOKUP(M66,'G-3 Multipliers'!$S$3:$T$6,2,FALSE)))</f>
        <v/>
      </c>
      <c r="O66" s="171" t="str">
        <f>IF(OR(D66="",H66=""),"",(INDEX('G-6 Hedgerow Data'!$E$3:$I$15,MATCH(D66,'G-6 Hedgerow Data'!$B$3:$B$15,0),MATCH(H66,'G-6 Hedgerow Data'!$E$2:$I$2,0))))</f>
        <v/>
      </c>
      <c r="P66" s="261"/>
      <c r="Q66" s="261"/>
      <c r="R66" s="179" t="str">
        <f t="shared" si="1"/>
        <v/>
      </c>
      <c r="S66" s="262" t="str">
        <f t="shared" si="2"/>
        <v/>
      </c>
      <c r="T66" s="263" t="str">
        <f t="shared" si="0"/>
        <v/>
      </c>
      <c r="U66" s="239" t="str">
        <f>IF(D66="","",VLOOKUP(D66,'G-6 Hedgerow Data'!$B$3:$AG$15,31,FALSE))</f>
        <v/>
      </c>
      <c r="V66" s="175" t="str">
        <f t="shared" si="3"/>
        <v/>
      </c>
      <c r="W66" s="175" t="str">
        <f t="shared" si="4"/>
        <v/>
      </c>
      <c r="X66" s="176" t="str">
        <f>IF(F66="","",VLOOKUP(U66,'G-3 Multipliers'!$P$3:$Q$6,2,FALSE))</f>
        <v/>
      </c>
      <c r="Y66" s="274" t="str">
        <f t="shared" si="5"/>
        <v/>
      </c>
      <c r="Z66" s="180"/>
      <c r="AA66" s="181"/>
      <c r="AG66" s="35" t="str">
        <f>IFERROR(INDEX('G-6 Hedgerow Data'!$BJ$3:$BJ$15,MATCH(D66,'G-6 Hedgerow Data'!$B$3:$B$15,0)),"")</f>
        <v/>
      </c>
    </row>
    <row r="67" spans="2:33" ht="15" customHeight="1" x14ac:dyDescent="0.25">
      <c r="B67" s="128">
        <v>56</v>
      </c>
      <c r="C67" s="394"/>
      <c r="D67" s="275"/>
      <c r="E67" s="275"/>
      <c r="F67" s="171" t="str">
        <f>IF(D67="","",VLOOKUP(D67,'G-6 Hedgerow Data'!$B$2:$AG$15,2,FALSE))</f>
        <v/>
      </c>
      <c r="G67" s="176" t="str">
        <f>IF(D67="","",VLOOKUP(D67,'G-6 Hedgerow Data'!$B$2:$AG$15,3,FALSE))</f>
        <v/>
      </c>
      <c r="H67" s="189"/>
      <c r="I67" s="172" t="str">
        <f>IFERROR(IF(AND(F67="V.Low",OR(H67="Good",H67="Moderate")),"Error",VLOOKUP(H67,'G-1 All Habitats'!$Z$2:$AA$9,2,FALSE)),"")</f>
        <v/>
      </c>
      <c r="J67" s="186"/>
      <c r="K67" s="175" t="str">
        <f>IF(J67="","",IF(VLOOKUP(J67,'G-3 Multipliers'!$L$3:$N$6,2,FALSE)=0,"Spatial Data Missing",VLOOKUP(J67,'G-3 Multipliers'!$L$3:$N$6,2,FALSE)))</f>
        <v/>
      </c>
      <c r="L67" s="176" t="str">
        <f>IF(J67="","",IF(VLOOKUP(J67,'G-3 Multipliers'!$L$3:$N$6,3,FALSE)=0,"Spatial Data Missing",VLOOKUP(J67,'G-3 Multipliers'!$L$3:$N$6,3,FALSE)))</f>
        <v/>
      </c>
      <c r="M67" s="266"/>
      <c r="N67" s="172" t="str">
        <f>IF(M67="","",IF(VLOOKUP(M67,'G-3 Multipliers'!$S$3:$T$6,2,FALSE)=0,"Spatial Data Missing",VLOOKUP(M67,'G-3 Multipliers'!$S$3:$T$6,2,FALSE)))</f>
        <v/>
      </c>
      <c r="O67" s="171" t="str">
        <f>IF(OR(D67="",H67=""),"",(INDEX('G-6 Hedgerow Data'!$E$3:$I$15,MATCH(D67,'G-6 Hedgerow Data'!$B$3:$B$15,0),MATCH(H67,'G-6 Hedgerow Data'!$E$2:$I$2,0))))</f>
        <v/>
      </c>
      <c r="P67" s="261"/>
      <c r="Q67" s="261"/>
      <c r="R67" s="179" t="str">
        <f t="shared" si="1"/>
        <v/>
      </c>
      <c r="S67" s="262" t="str">
        <f t="shared" si="2"/>
        <v/>
      </c>
      <c r="T67" s="263" t="str">
        <f t="shared" si="0"/>
        <v/>
      </c>
      <c r="U67" s="239" t="str">
        <f>IF(D67="","",VLOOKUP(D67,'G-6 Hedgerow Data'!$B$3:$AG$15,31,FALSE))</f>
        <v/>
      </c>
      <c r="V67" s="175" t="str">
        <f t="shared" si="3"/>
        <v/>
      </c>
      <c r="W67" s="175" t="str">
        <f t="shared" si="4"/>
        <v/>
      </c>
      <c r="X67" s="176" t="str">
        <f>IF(F67="","",VLOOKUP(U67,'G-3 Multipliers'!$P$3:$Q$6,2,FALSE))</f>
        <v/>
      </c>
      <c r="Y67" s="274" t="str">
        <f t="shared" si="5"/>
        <v/>
      </c>
      <c r="Z67" s="180"/>
      <c r="AA67" s="181"/>
      <c r="AG67" s="35" t="str">
        <f>IFERROR(INDEX('G-6 Hedgerow Data'!$BJ$3:$BJ$15,MATCH(D67,'G-6 Hedgerow Data'!$B$3:$B$15,0)),"")</f>
        <v/>
      </c>
    </row>
    <row r="68" spans="2:33" ht="15" customHeight="1" x14ac:dyDescent="0.25">
      <c r="B68" s="128">
        <v>57</v>
      </c>
      <c r="C68" s="394"/>
      <c r="D68" s="275"/>
      <c r="E68" s="275"/>
      <c r="F68" s="171" t="str">
        <f>IF(D68="","",VLOOKUP(D68,'G-6 Hedgerow Data'!$B$2:$AG$15,2,FALSE))</f>
        <v/>
      </c>
      <c r="G68" s="176" t="str">
        <f>IF(D68="","",VLOOKUP(D68,'G-6 Hedgerow Data'!$B$2:$AG$15,3,FALSE))</f>
        <v/>
      </c>
      <c r="H68" s="189"/>
      <c r="I68" s="172" t="str">
        <f>IFERROR(IF(AND(F68="V.Low",OR(H68="Good",H68="Moderate")),"Error",VLOOKUP(H68,'G-1 All Habitats'!$Z$2:$AA$9,2,FALSE)),"")</f>
        <v/>
      </c>
      <c r="J68" s="186"/>
      <c r="K68" s="175" t="str">
        <f>IF(J68="","",IF(VLOOKUP(J68,'G-3 Multipliers'!$L$3:$N$6,2,FALSE)=0,"Spatial Data Missing",VLOOKUP(J68,'G-3 Multipliers'!$L$3:$N$6,2,FALSE)))</f>
        <v/>
      </c>
      <c r="L68" s="176" t="str">
        <f>IF(J68="","",IF(VLOOKUP(J68,'G-3 Multipliers'!$L$3:$N$6,3,FALSE)=0,"Spatial Data Missing",VLOOKUP(J68,'G-3 Multipliers'!$L$3:$N$6,3,FALSE)))</f>
        <v/>
      </c>
      <c r="M68" s="266"/>
      <c r="N68" s="172" t="str">
        <f>IF(M68="","",IF(VLOOKUP(M68,'G-3 Multipliers'!$S$3:$T$6,2,FALSE)=0,"Spatial Data Missing",VLOOKUP(M68,'G-3 Multipliers'!$S$3:$T$6,2,FALSE)))</f>
        <v/>
      </c>
      <c r="O68" s="171" t="str">
        <f>IF(OR(D68="",H68=""),"",(INDEX('G-6 Hedgerow Data'!$E$3:$I$15,MATCH(D68,'G-6 Hedgerow Data'!$B$3:$B$15,0),MATCH(H68,'G-6 Hedgerow Data'!$E$2:$I$2,0))))</f>
        <v/>
      </c>
      <c r="P68" s="261"/>
      <c r="Q68" s="261"/>
      <c r="R68" s="179" t="str">
        <f t="shared" si="1"/>
        <v/>
      </c>
      <c r="S68" s="262" t="str">
        <f t="shared" si="2"/>
        <v/>
      </c>
      <c r="T68" s="263" t="str">
        <f t="shared" si="0"/>
        <v/>
      </c>
      <c r="U68" s="239" t="str">
        <f>IF(D68="","",VLOOKUP(D68,'G-6 Hedgerow Data'!$B$3:$AG$15,31,FALSE))</f>
        <v/>
      </c>
      <c r="V68" s="175" t="str">
        <f t="shared" si="3"/>
        <v/>
      </c>
      <c r="W68" s="175" t="str">
        <f t="shared" si="4"/>
        <v/>
      </c>
      <c r="X68" s="176" t="str">
        <f>IF(F68="","",VLOOKUP(U68,'G-3 Multipliers'!$P$3:$Q$6,2,FALSE))</f>
        <v/>
      </c>
      <c r="Y68" s="274" t="str">
        <f t="shared" si="5"/>
        <v/>
      </c>
      <c r="Z68" s="180"/>
      <c r="AA68" s="181"/>
      <c r="AG68" s="35" t="str">
        <f>IFERROR(INDEX('G-6 Hedgerow Data'!$BJ$3:$BJ$15,MATCH(D68,'G-6 Hedgerow Data'!$B$3:$B$15,0)),"")</f>
        <v/>
      </c>
    </row>
    <row r="69" spans="2:33" ht="15" customHeight="1" x14ac:dyDescent="0.25">
      <c r="B69" s="128">
        <v>58</v>
      </c>
      <c r="C69" s="394"/>
      <c r="D69" s="275"/>
      <c r="E69" s="275"/>
      <c r="F69" s="171" t="str">
        <f>IF(D69="","",VLOOKUP(D69,'G-6 Hedgerow Data'!$B$2:$AG$15,2,FALSE))</f>
        <v/>
      </c>
      <c r="G69" s="176" t="str">
        <f>IF(D69="","",VLOOKUP(D69,'G-6 Hedgerow Data'!$B$2:$AG$15,3,FALSE))</f>
        <v/>
      </c>
      <c r="H69" s="189"/>
      <c r="I69" s="172" t="str">
        <f>IFERROR(IF(AND(F69="V.Low",OR(H69="Good",H69="Moderate")),"Error",VLOOKUP(H69,'G-1 All Habitats'!$Z$2:$AA$9,2,FALSE)),"")</f>
        <v/>
      </c>
      <c r="J69" s="186"/>
      <c r="K69" s="175" t="str">
        <f>IF(J69="","",IF(VLOOKUP(J69,'G-3 Multipliers'!$L$3:$N$6,2,FALSE)=0,"Spatial Data Missing",VLOOKUP(J69,'G-3 Multipliers'!$L$3:$N$6,2,FALSE)))</f>
        <v/>
      </c>
      <c r="L69" s="176" t="str">
        <f>IF(J69="","",IF(VLOOKUP(J69,'G-3 Multipliers'!$L$3:$N$6,3,FALSE)=0,"Spatial Data Missing",VLOOKUP(J69,'G-3 Multipliers'!$L$3:$N$6,3,FALSE)))</f>
        <v/>
      </c>
      <c r="M69" s="266"/>
      <c r="N69" s="172" t="str">
        <f>IF(M69="","",IF(VLOOKUP(M69,'G-3 Multipliers'!$S$3:$T$6,2,FALSE)=0,"Spatial Data Missing",VLOOKUP(M69,'G-3 Multipliers'!$S$3:$T$6,2,FALSE)))</f>
        <v/>
      </c>
      <c r="O69" s="171" t="str">
        <f>IF(OR(D69="",H69=""),"",(INDEX('G-6 Hedgerow Data'!$E$3:$I$15,MATCH(D69,'G-6 Hedgerow Data'!$B$3:$B$15,0),MATCH(H69,'G-6 Hedgerow Data'!$E$2:$I$2,0))))</f>
        <v/>
      </c>
      <c r="P69" s="261"/>
      <c r="Q69" s="261"/>
      <c r="R69" s="179" t="str">
        <f t="shared" si="1"/>
        <v/>
      </c>
      <c r="S69" s="262" t="str">
        <f t="shared" si="2"/>
        <v/>
      </c>
      <c r="T69" s="263" t="str">
        <f t="shared" si="0"/>
        <v/>
      </c>
      <c r="U69" s="239" t="str">
        <f>IF(D69="","",VLOOKUP(D69,'G-6 Hedgerow Data'!$B$3:$AG$15,31,FALSE))</f>
        <v/>
      </c>
      <c r="V69" s="175" t="str">
        <f t="shared" si="3"/>
        <v/>
      </c>
      <c r="W69" s="175" t="str">
        <f t="shared" si="4"/>
        <v/>
      </c>
      <c r="X69" s="176" t="str">
        <f>IF(F69="","",VLOOKUP(U69,'G-3 Multipliers'!$P$3:$Q$6,2,FALSE))</f>
        <v/>
      </c>
      <c r="Y69" s="274" t="str">
        <f t="shared" si="5"/>
        <v/>
      </c>
      <c r="Z69" s="180"/>
      <c r="AA69" s="181"/>
      <c r="AG69" s="35" t="str">
        <f>IFERROR(INDEX('G-6 Hedgerow Data'!$BJ$3:$BJ$15,MATCH(D69,'G-6 Hedgerow Data'!$B$3:$B$15,0)),"")</f>
        <v/>
      </c>
    </row>
    <row r="70" spans="2:33" ht="15" customHeight="1" x14ac:dyDescent="0.25">
      <c r="B70" s="128">
        <v>59</v>
      </c>
      <c r="C70" s="394"/>
      <c r="D70" s="275"/>
      <c r="E70" s="275"/>
      <c r="F70" s="171" t="str">
        <f>IF(D70="","",VLOOKUP(D70,'G-6 Hedgerow Data'!$B$2:$AG$15,2,FALSE))</f>
        <v/>
      </c>
      <c r="G70" s="176" t="str">
        <f>IF(D70="","",VLOOKUP(D70,'G-6 Hedgerow Data'!$B$2:$AG$15,3,FALSE))</f>
        <v/>
      </c>
      <c r="H70" s="189"/>
      <c r="I70" s="172" t="str">
        <f>IFERROR(IF(AND(F70="V.Low",OR(H70="Good",H70="Moderate")),"Error",VLOOKUP(H70,'G-1 All Habitats'!$Z$2:$AA$9,2,FALSE)),"")</f>
        <v/>
      </c>
      <c r="J70" s="186"/>
      <c r="K70" s="175" t="str">
        <f>IF(J70="","",IF(VLOOKUP(J70,'G-3 Multipliers'!$L$3:$N$6,2,FALSE)=0,"Spatial Data Missing",VLOOKUP(J70,'G-3 Multipliers'!$L$3:$N$6,2,FALSE)))</f>
        <v/>
      </c>
      <c r="L70" s="176" t="str">
        <f>IF(J70="","",IF(VLOOKUP(J70,'G-3 Multipliers'!$L$3:$N$6,3,FALSE)=0,"Spatial Data Missing",VLOOKUP(J70,'G-3 Multipliers'!$L$3:$N$6,3,FALSE)))</f>
        <v/>
      </c>
      <c r="M70" s="266"/>
      <c r="N70" s="172" t="str">
        <f>IF(M70="","",IF(VLOOKUP(M70,'G-3 Multipliers'!$S$3:$T$6,2,FALSE)=0,"Spatial Data Missing",VLOOKUP(M70,'G-3 Multipliers'!$S$3:$T$6,2,FALSE)))</f>
        <v/>
      </c>
      <c r="O70" s="171" t="str">
        <f>IF(OR(D70="",H70=""),"",(INDEX('G-6 Hedgerow Data'!$E$3:$I$15,MATCH(D70,'G-6 Hedgerow Data'!$B$3:$B$15,0),MATCH(H70,'G-6 Hedgerow Data'!$E$2:$I$2,0))))</f>
        <v/>
      </c>
      <c r="P70" s="261"/>
      <c r="Q70" s="261"/>
      <c r="R70" s="179" t="str">
        <f t="shared" si="1"/>
        <v/>
      </c>
      <c r="S70" s="262" t="str">
        <f t="shared" si="2"/>
        <v/>
      </c>
      <c r="T70" s="263" t="str">
        <f t="shared" si="0"/>
        <v/>
      </c>
      <c r="U70" s="239" t="str">
        <f>IF(D70="","",VLOOKUP(D70,'G-6 Hedgerow Data'!$B$3:$AG$15,31,FALSE))</f>
        <v/>
      </c>
      <c r="V70" s="175" t="str">
        <f t="shared" si="3"/>
        <v/>
      </c>
      <c r="W70" s="175" t="str">
        <f t="shared" si="4"/>
        <v/>
      </c>
      <c r="X70" s="176" t="str">
        <f>IF(F70="","",VLOOKUP(U70,'G-3 Multipliers'!$P$3:$Q$6,2,FALSE))</f>
        <v/>
      </c>
      <c r="Y70" s="274" t="str">
        <f t="shared" si="5"/>
        <v/>
      </c>
      <c r="Z70" s="180"/>
      <c r="AA70" s="181"/>
      <c r="AG70" s="35" t="str">
        <f>IFERROR(INDEX('G-6 Hedgerow Data'!$BJ$3:$BJ$15,MATCH(D70,'G-6 Hedgerow Data'!$B$3:$B$15,0)),"")</f>
        <v/>
      </c>
    </row>
    <row r="71" spans="2:33" ht="15" customHeight="1" x14ac:dyDescent="0.25">
      <c r="B71" s="128">
        <v>60</v>
      </c>
      <c r="C71" s="394"/>
      <c r="D71" s="275"/>
      <c r="E71" s="275"/>
      <c r="F71" s="171" t="str">
        <f>IF(D71="","",VLOOKUP(D71,'G-6 Hedgerow Data'!$B$2:$AG$15,2,FALSE))</f>
        <v/>
      </c>
      <c r="G71" s="176" t="str">
        <f>IF(D71="","",VLOOKUP(D71,'G-6 Hedgerow Data'!$B$2:$AG$15,3,FALSE))</f>
        <v/>
      </c>
      <c r="H71" s="189"/>
      <c r="I71" s="172" t="str">
        <f>IFERROR(IF(AND(F71="V.Low",OR(H71="Good",H71="Moderate")),"Error",VLOOKUP(H71,'G-1 All Habitats'!$Z$2:$AA$9,2,FALSE)),"")</f>
        <v/>
      </c>
      <c r="J71" s="186"/>
      <c r="K71" s="175" t="str">
        <f>IF(J71="","",IF(VLOOKUP(J71,'G-3 Multipliers'!$L$3:$N$6,2,FALSE)=0,"Spatial Data Missing",VLOOKUP(J71,'G-3 Multipliers'!$L$3:$N$6,2,FALSE)))</f>
        <v/>
      </c>
      <c r="L71" s="176" t="str">
        <f>IF(J71="","",IF(VLOOKUP(J71,'G-3 Multipliers'!$L$3:$N$6,3,FALSE)=0,"Spatial Data Missing",VLOOKUP(J71,'G-3 Multipliers'!$L$3:$N$6,3,FALSE)))</f>
        <v/>
      </c>
      <c r="M71" s="266"/>
      <c r="N71" s="172" t="str">
        <f>IF(M71="","",IF(VLOOKUP(M71,'G-3 Multipliers'!$S$3:$T$6,2,FALSE)=0,"Spatial Data Missing",VLOOKUP(M71,'G-3 Multipliers'!$S$3:$T$6,2,FALSE)))</f>
        <v/>
      </c>
      <c r="O71" s="171" t="str">
        <f>IF(OR(D71="",H71=""),"",(INDEX('G-6 Hedgerow Data'!$E$3:$I$15,MATCH(D71,'G-6 Hedgerow Data'!$B$3:$B$15,0),MATCH(H71,'G-6 Hedgerow Data'!$E$2:$I$2,0))))</f>
        <v/>
      </c>
      <c r="P71" s="261"/>
      <c r="Q71" s="261"/>
      <c r="R71" s="179" t="str">
        <f t="shared" si="1"/>
        <v/>
      </c>
      <c r="S71" s="262" t="str">
        <f t="shared" si="2"/>
        <v/>
      </c>
      <c r="T71" s="263" t="str">
        <f t="shared" si="0"/>
        <v/>
      </c>
      <c r="U71" s="239" t="str">
        <f>IF(D71="","",VLOOKUP(D71,'G-6 Hedgerow Data'!$B$3:$AG$15,31,FALSE))</f>
        <v/>
      </c>
      <c r="V71" s="175" t="str">
        <f t="shared" si="3"/>
        <v/>
      </c>
      <c r="W71" s="175" t="str">
        <f t="shared" si="4"/>
        <v/>
      </c>
      <c r="X71" s="176" t="str">
        <f>IF(F71="","",VLOOKUP(U71,'G-3 Multipliers'!$P$3:$Q$6,2,FALSE))</f>
        <v/>
      </c>
      <c r="Y71" s="274" t="str">
        <f t="shared" si="5"/>
        <v/>
      </c>
      <c r="Z71" s="180"/>
      <c r="AA71" s="181"/>
      <c r="AG71" s="35" t="str">
        <f>IFERROR(INDEX('G-6 Hedgerow Data'!$BJ$3:$BJ$15,MATCH(D71,'G-6 Hedgerow Data'!$B$3:$B$15,0)),"")</f>
        <v/>
      </c>
    </row>
    <row r="72" spans="2:33" ht="15" customHeight="1" x14ac:dyDescent="0.25">
      <c r="B72" s="128">
        <v>61</v>
      </c>
      <c r="C72" s="394"/>
      <c r="D72" s="275"/>
      <c r="E72" s="275"/>
      <c r="F72" s="171" t="str">
        <f>IF(D72="","",VLOOKUP(D72,'G-6 Hedgerow Data'!$B$2:$AG$15,2,FALSE))</f>
        <v/>
      </c>
      <c r="G72" s="176" t="str">
        <f>IF(D72="","",VLOOKUP(D72,'G-6 Hedgerow Data'!$B$2:$AG$15,3,FALSE))</f>
        <v/>
      </c>
      <c r="H72" s="189"/>
      <c r="I72" s="172" t="str">
        <f>IFERROR(IF(AND(F72="V.Low",OR(H72="Good",H72="Moderate")),"Error",VLOOKUP(H72,'G-1 All Habitats'!$Z$2:$AA$9,2,FALSE)),"")</f>
        <v/>
      </c>
      <c r="J72" s="186"/>
      <c r="K72" s="175" t="str">
        <f>IF(J72="","",IF(VLOOKUP(J72,'G-3 Multipliers'!$L$3:$N$6,2,FALSE)=0,"Spatial Data Missing",VLOOKUP(J72,'G-3 Multipliers'!$L$3:$N$6,2,FALSE)))</f>
        <v/>
      </c>
      <c r="L72" s="176" t="str">
        <f>IF(J72="","",IF(VLOOKUP(J72,'G-3 Multipliers'!$L$3:$N$6,3,FALSE)=0,"Spatial Data Missing",VLOOKUP(J72,'G-3 Multipliers'!$L$3:$N$6,3,FALSE)))</f>
        <v/>
      </c>
      <c r="M72" s="266"/>
      <c r="N72" s="172" t="str">
        <f>IF(M72="","",IF(VLOOKUP(M72,'G-3 Multipliers'!$S$3:$T$6,2,FALSE)=0,"Spatial Data Missing",VLOOKUP(M72,'G-3 Multipliers'!$S$3:$T$6,2,FALSE)))</f>
        <v/>
      </c>
      <c r="O72" s="171" t="str">
        <f>IF(OR(D72="",H72=""),"",(INDEX('G-6 Hedgerow Data'!$E$3:$I$15,MATCH(D72,'G-6 Hedgerow Data'!$B$3:$B$15,0),MATCH(H72,'G-6 Hedgerow Data'!$E$2:$I$2,0))))</f>
        <v/>
      </c>
      <c r="P72" s="261"/>
      <c r="Q72" s="261"/>
      <c r="R72" s="179" t="str">
        <f t="shared" si="1"/>
        <v/>
      </c>
      <c r="S72" s="262" t="str">
        <f t="shared" si="2"/>
        <v/>
      </c>
      <c r="T72" s="263" t="str">
        <f t="shared" si="0"/>
        <v/>
      </c>
      <c r="U72" s="239" t="str">
        <f>IF(D72="","",VLOOKUP(D72,'G-6 Hedgerow Data'!$B$3:$AG$15,31,FALSE))</f>
        <v/>
      </c>
      <c r="V72" s="175" t="str">
        <f t="shared" si="3"/>
        <v/>
      </c>
      <c r="W72" s="175" t="str">
        <f t="shared" si="4"/>
        <v/>
      </c>
      <c r="X72" s="176" t="str">
        <f>IF(F72="","",VLOOKUP(U72,'G-3 Multipliers'!$P$3:$Q$6,2,FALSE))</f>
        <v/>
      </c>
      <c r="Y72" s="274" t="str">
        <f t="shared" si="5"/>
        <v/>
      </c>
      <c r="Z72" s="180"/>
      <c r="AA72" s="181"/>
      <c r="AG72" s="35" t="str">
        <f>IFERROR(INDEX('G-6 Hedgerow Data'!$BJ$3:$BJ$15,MATCH(D72,'G-6 Hedgerow Data'!$B$3:$B$15,0)),"")</f>
        <v/>
      </c>
    </row>
    <row r="73" spans="2:33" ht="15" customHeight="1" x14ac:dyDescent="0.25">
      <c r="B73" s="128">
        <v>62</v>
      </c>
      <c r="C73" s="394"/>
      <c r="D73" s="275"/>
      <c r="E73" s="275"/>
      <c r="F73" s="171" t="str">
        <f>IF(D73="","",VLOOKUP(D73,'G-6 Hedgerow Data'!$B$2:$AG$15,2,FALSE))</f>
        <v/>
      </c>
      <c r="G73" s="176" t="str">
        <f>IF(D73="","",VLOOKUP(D73,'G-6 Hedgerow Data'!$B$2:$AG$15,3,FALSE))</f>
        <v/>
      </c>
      <c r="H73" s="189"/>
      <c r="I73" s="172" t="str">
        <f>IFERROR(IF(AND(F73="V.Low",OR(H73="Good",H73="Moderate")),"Error",VLOOKUP(H73,'G-1 All Habitats'!$Z$2:$AA$9,2,FALSE)),"")</f>
        <v/>
      </c>
      <c r="J73" s="186"/>
      <c r="K73" s="175" t="str">
        <f>IF(J73="","",IF(VLOOKUP(J73,'G-3 Multipliers'!$L$3:$N$6,2,FALSE)=0,"Spatial Data Missing",VLOOKUP(J73,'G-3 Multipliers'!$L$3:$N$6,2,FALSE)))</f>
        <v/>
      </c>
      <c r="L73" s="176" t="str">
        <f>IF(J73="","",IF(VLOOKUP(J73,'G-3 Multipliers'!$L$3:$N$6,3,FALSE)=0,"Spatial Data Missing",VLOOKUP(J73,'G-3 Multipliers'!$L$3:$N$6,3,FALSE)))</f>
        <v/>
      </c>
      <c r="M73" s="266"/>
      <c r="N73" s="172" t="str">
        <f>IF(M73="","",IF(VLOOKUP(M73,'G-3 Multipliers'!$S$3:$T$6,2,FALSE)=0,"Spatial Data Missing",VLOOKUP(M73,'G-3 Multipliers'!$S$3:$T$6,2,FALSE)))</f>
        <v/>
      </c>
      <c r="O73" s="171" t="str">
        <f>IF(OR(D73="",H73=""),"",(INDEX('G-6 Hedgerow Data'!$E$3:$I$15,MATCH(D73,'G-6 Hedgerow Data'!$B$3:$B$15,0),MATCH(H73,'G-6 Hedgerow Data'!$E$2:$I$2,0))))</f>
        <v/>
      </c>
      <c r="P73" s="261"/>
      <c r="Q73" s="261"/>
      <c r="R73" s="179" t="str">
        <f t="shared" si="1"/>
        <v/>
      </c>
      <c r="S73" s="262" t="str">
        <f t="shared" si="2"/>
        <v/>
      </c>
      <c r="T73" s="263" t="str">
        <f t="shared" si="0"/>
        <v/>
      </c>
      <c r="U73" s="239" t="str">
        <f>IF(D73="","",VLOOKUP(D73,'G-6 Hedgerow Data'!$B$3:$AG$15,31,FALSE))</f>
        <v/>
      </c>
      <c r="V73" s="175" t="str">
        <f t="shared" si="3"/>
        <v/>
      </c>
      <c r="W73" s="175" t="str">
        <f t="shared" si="4"/>
        <v/>
      </c>
      <c r="X73" s="176" t="str">
        <f>IF(F73="","",VLOOKUP(U73,'G-3 Multipliers'!$P$3:$Q$6,2,FALSE))</f>
        <v/>
      </c>
      <c r="Y73" s="274" t="str">
        <f t="shared" si="5"/>
        <v/>
      </c>
      <c r="Z73" s="180"/>
      <c r="AA73" s="181"/>
      <c r="AG73" s="35" t="str">
        <f>IFERROR(INDEX('G-6 Hedgerow Data'!$BJ$3:$BJ$15,MATCH(D73,'G-6 Hedgerow Data'!$B$3:$B$15,0)),"")</f>
        <v/>
      </c>
    </row>
    <row r="74" spans="2:33" ht="15" customHeight="1" x14ac:dyDescent="0.25">
      <c r="B74" s="128">
        <v>63</v>
      </c>
      <c r="C74" s="394"/>
      <c r="D74" s="275"/>
      <c r="E74" s="275"/>
      <c r="F74" s="171" t="str">
        <f>IF(D74="","",VLOOKUP(D74,'G-6 Hedgerow Data'!$B$2:$AG$15,2,FALSE))</f>
        <v/>
      </c>
      <c r="G74" s="176" t="str">
        <f>IF(D74="","",VLOOKUP(D74,'G-6 Hedgerow Data'!$B$2:$AG$15,3,FALSE))</f>
        <v/>
      </c>
      <c r="H74" s="189"/>
      <c r="I74" s="172" t="str">
        <f>IFERROR(IF(AND(F74="V.Low",OR(H74="Good",H74="Moderate")),"Error",VLOOKUP(H74,'G-1 All Habitats'!$Z$2:$AA$9,2,FALSE)),"")</f>
        <v/>
      </c>
      <c r="J74" s="186"/>
      <c r="K74" s="175" t="str">
        <f>IF(J74="","",IF(VLOOKUP(J74,'G-3 Multipliers'!$L$3:$N$6,2,FALSE)=0,"Spatial Data Missing",VLOOKUP(J74,'G-3 Multipliers'!$L$3:$N$6,2,FALSE)))</f>
        <v/>
      </c>
      <c r="L74" s="176" t="str">
        <f>IF(J74="","",IF(VLOOKUP(J74,'G-3 Multipliers'!$L$3:$N$6,3,FALSE)=0,"Spatial Data Missing",VLOOKUP(J74,'G-3 Multipliers'!$L$3:$N$6,3,FALSE)))</f>
        <v/>
      </c>
      <c r="M74" s="266"/>
      <c r="N74" s="172" t="str">
        <f>IF(M74="","",IF(VLOOKUP(M74,'G-3 Multipliers'!$S$3:$T$6,2,FALSE)=0,"Spatial Data Missing",VLOOKUP(M74,'G-3 Multipliers'!$S$3:$T$6,2,FALSE)))</f>
        <v/>
      </c>
      <c r="O74" s="171" t="str">
        <f>IF(OR(D74="",H74=""),"",(INDEX('G-6 Hedgerow Data'!$E$3:$I$15,MATCH(D74,'G-6 Hedgerow Data'!$B$3:$B$15,0),MATCH(H74,'G-6 Hedgerow Data'!$E$2:$I$2,0))))</f>
        <v/>
      </c>
      <c r="P74" s="261"/>
      <c r="Q74" s="261"/>
      <c r="R74" s="179" t="str">
        <f t="shared" si="1"/>
        <v/>
      </c>
      <c r="S74" s="262" t="str">
        <f t="shared" si="2"/>
        <v/>
      </c>
      <c r="T74" s="263" t="str">
        <f t="shared" si="0"/>
        <v/>
      </c>
      <c r="U74" s="239" t="str">
        <f>IF(D74="","",VLOOKUP(D74,'G-6 Hedgerow Data'!$B$3:$AG$15,31,FALSE))</f>
        <v/>
      </c>
      <c r="V74" s="175" t="str">
        <f t="shared" si="3"/>
        <v/>
      </c>
      <c r="W74" s="175" t="str">
        <f t="shared" si="4"/>
        <v/>
      </c>
      <c r="X74" s="176" t="str">
        <f>IF(F74="","",VLOOKUP(U74,'G-3 Multipliers'!$P$3:$Q$6,2,FALSE))</f>
        <v/>
      </c>
      <c r="Y74" s="274" t="str">
        <f t="shared" si="5"/>
        <v/>
      </c>
      <c r="Z74" s="180"/>
      <c r="AA74" s="181"/>
      <c r="AG74" s="35" t="str">
        <f>IFERROR(INDEX('G-6 Hedgerow Data'!$BJ$3:$BJ$15,MATCH(D74,'G-6 Hedgerow Data'!$B$3:$B$15,0)),"")</f>
        <v/>
      </c>
    </row>
    <row r="75" spans="2:33" ht="15" customHeight="1" x14ac:dyDescent="0.25">
      <c r="B75" s="128">
        <v>64</v>
      </c>
      <c r="C75" s="394"/>
      <c r="D75" s="275"/>
      <c r="E75" s="275"/>
      <c r="F75" s="171" t="str">
        <f>IF(D75="","",VLOOKUP(D75,'G-6 Hedgerow Data'!$B$2:$AG$15,2,FALSE))</f>
        <v/>
      </c>
      <c r="G75" s="176" t="str">
        <f>IF(D75="","",VLOOKUP(D75,'G-6 Hedgerow Data'!$B$2:$AG$15,3,FALSE))</f>
        <v/>
      </c>
      <c r="H75" s="189"/>
      <c r="I75" s="172" t="str">
        <f>IFERROR(IF(AND(F75="V.Low",OR(H75="Good",H75="Moderate")),"Error",VLOOKUP(H75,'G-1 All Habitats'!$Z$2:$AA$9,2,FALSE)),"")</f>
        <v/>
      </c>
      <c r="J75" s="186"/>
      <c r="K75" s="175" t="str">
        <f>IF(J75="","",IF(VLOOKUP(J75,'G-3 Multipliers'!$L$3:$N$6,2,FALSE)=0,"Spatial Data Missing",VLOOKUP(J75,'G-3 Multipliers'!$L$3:$N$6,2,FALSE)))</f>
        <v/>
      </c>
      <c r="L75" s="176" t="str">
        <f>IF(J75="","",IF(VLOOKUP(J75,'G-3 Multipliers'!$L$3:$N$6,3,FALSE)=0,"Spatial Data Missing",VLOOKUP(J75,'G-3 Multipliers'!$L$3:$N$6,3,FALSE)))</f>
        <v/>
      </c>
      <c r="M75" s="266"/>
      <c r="N75" s="172" t="str">
        <f>IF(M75="","",IF(VLOOKUP(M75,'G-3 Multipliers'!$S$3:$T$6,2,FALSE)=0,"Spatial Data Missing",VLOOKUP(M75,'G-3 Multipliers'!$S$3:$T$6,2,FALSE)))</f>
        <v/>
      </c>
      <c r="O75" s="171" t="str">
        <f>IF(OR(D75="",H75=""),"",(INDEX('G-6 Hedgerow Data'!$E$3:$I$15,MATCH(D75,'G-6 Hedgerow Data'!$B$3:$B$15,0),MATCH(H75,'G-6 Hedgerow Data'!$E$2:$I$2,0))))</f>
        <v/>
      </c>
      <c r="P75" s="261"/>
      <c r="Q75" s="261"/>
      <c r="R75" s="179" t="str">
        <f t="shared" si="1"/>
        <v/>
      </c>
      <c r="S75" s="262" t="str">
        <f t="shared" si="2"/>
        <v/>
      </c>
      <c r="T75" s="263" t="str">
        <f t="shared" si="0"/>
        <v/>
      </c>
      <c r="U75" s="239" t="str">
        <f>IF(D75="","",VLOOKUP(D75,'G-6 Hedgerow Data'!$B$3:$AG$15,31,FALSE))</f>
        <v/>
      </c>
      <c r="V75" s="175" t="str">
        <f t="shared" si="3"/>
        <v/>
      </c>
      <c r="W75" s="175" t="str">
        <f t="shared" si="4"/>
        <v/>
      </c>
      <c r="X75" s="176" t="str">
        <f>IF(F75="","",VLOOKUP(U75,'G-3 Multipliers'!$P$3:$Q$6,2,FALSE))</f>
        <v/>
      </c>
      <c r="Y75" s="274" t="str">
        <f t="shared" si="5"/>
        <v/>
      </c>
      <c r="Z75" s="180"/>
      <c r="AA75" s="181"/>
      <c r="AG75" s="35" t="str">
        <f>IFERROR(INDEX('G-6 Hedgerow Data'!$BJ$3:$BJ$15,MATCH(D75,'G-6 Hedgerow Data'!$B$3:$B$15,0)),"")</f>
        <v/>
      </c>
    </row>
    <row r="76" spans="2:33" ht="15" customHeight="1" x14ac:dyDescent="0.25">
      <c r="B76" s="128">
        <v>65</v>
      </c>
      <c r="C76" s="394"/>
      <c r="D76" s="275"/>
      <c r="E76" s="275"/>
      <c r="F76" s="171" t="str">
        <f>IF(D76="","",VLOOKUP(D76,'G-6 Hedgerow Data'!$B$2:$AG$15,2,FALSE))</f>
        <v/>
      </c>
      <c r="G76" s="176" t="str">
        <f>IF(D76="","",VLOOKUP(D76,'G-6 Hedgerow Data'!$B$2:$AG$15,3,FALSE))</f>
        <v/>
      </c>
      <c r="H76" s="189"/>
      <c r="I76" s="172" t="str">
        <f>IFERROR(IF(AND(F76="V.Low",OR(H76="Good",H76="Moderate")),"Error",VLOOKUP(H76,'G-1 All Habitats'!$Z$2:$AA$9,2,FALSE)),"")</f>
        <v/>
      </c>
      <c r="J76" s="186"/>
      <c r="K76" s="175" t="str">
        <f>IF(J76="","",IF(VLOOKUP(J76,'G-3 Multipliers'!$L$3:$N$6,2,FALSE)=0,"Spatial Data Missing",VLOOKUP(J76,'G-3 Multipliers'!$L$3:$N$6,2,FALSE)))</f>
        <v/>
      </c>
      <c r="L76" s="176" t="str">
        <f>IF(J76="","",IF(VLOOKUP(J76,'G-3 Multipliers'!$L$3:$N$6,3,FALSE)=0,"Spatial Data Missing",VLOOKUP(J76,'G-3 Multipliers'!$L$3:$N$6,3,FALSE)))</f>
        <v/>
      </c>
      <c r="M76" s="266"/>
      <c r="N76" s="172" t="str">
        <f>IF(M76="","",IF(VLOOKUP(M76,'G-3 Multipliers'!$S$3:$T$6,2,FALSE)=0,"Spatial Data Missing",VLOOKUP(M76,'G-3 Multipliers'!$S$3:$T$6,2,FALSE)))</f>
        <v/>
      </c>
      <c r="O76" s="171" t="str">
        <f>IF(OR(D76="",H76=""),"",(INDEX('G-6 Hedgerow Data'!$E$3:$I$15,MATCH(D76,'G-6 Hedgerow Data'!$B$3:$B$15,0),MATCH(H76,'G-6 Hedgerow Data'!$E$2:$I$2,0))))</f>
        <v/>
      </c>
      <c r="P76" s="261"/>
      <c r="Q76" s="261"/>
      <c r="R76" s="179" t="str">
        <f t="shared" si="1"/>
        <v/>
      </c>
      <c r="S76" s="262" t="str">
        <f t="shared" si="2"/>
        <v/>
      </c>
      <c r="T76" s="263" t="str">
        <f t="shared" ref="T76:T139" si="6">IF(D76="","",IF(LEFT(R76,5)="Error","Check Data",VLOOKUP(S76,TemporalMultipliers,3,FALSE)))</f>
        <v/>
      </c>
      <c r="U76" s="239" t="str">
        <f>IF(D76="","",VLOOKUP(D76,'G-6 Hedgerow Data'!$B$3:$AG$15,31,FALSE))</f>
        <v/>
      </c>
      <c r="V76" s="175" t="str">
        <f t="shared" si="3"/>
        <v/>
      </c>
      <c r="W76" s="175" t="str">
        <f t="shared" si="4"/>
        <v/>
      </c>
      <c r="X76" s="176" t="str">
        <f>IF(F76="","",VLOOKUP(U76,'G-3 Multipliers'!$P$3:$Q$6,2,FALSE))</f>
        <v/>
      </c>
      <c r="Y76" s="274" t="str">
        <f t="shared" si="5"/>
        <v/>
      </c>
      <c r="Z76" s="180"/>
      <c r="AA76" s="181"/>
      <c r="AG76" s="35" t="str">
        <f>IFERROR(INDEX('G-6 Hedgerow Data'!$BJ$3:$BJ$15,MATCH(D76,'G-6 Hedgerow Data'!$B$3:$B$15,0)),"")</f>
        <v/>
      </c>
    </row>
    <row r="77" spans="2:33" ht="15" customHeight="1" x14ac:dyDescent="0.25">
      <c r="B77" s="128">
        <v>66</v>
      </c>
      <c r="C77" s="394"/>
      <c r="D77" s="275"/>
      <c r="E77" s="275"/>
      <c r="F77" s="171" t="str">
        <f>IF(D77="","",VLOOKUP(D77,'G-6 Hedgerow Data'!$B$2:$AG$15,2,FALSE))</f>
        <v/>
      </c>
      <c r="G77" s="176" t="str">
        <f>IF(D77="","",VLOOKUP(D77,'G-6 Hedgerow Data'!$B$2:$AG$15,3,FALSE))</f>
        <v/>
      </c>
      <c r="H77" s="189"/>
      <c r="I77" s="172" t="str">
        <f>IFERROR(IF(AND(F77="V.Low",OR(H77="Good",H77="Moderate")),"Error",VLOOKUP(H77,'G-1 All Habitats'!$Z$2:$AA$9,2,FALSE)),"")</f>
        <v/>
      </c>
      <c r="J77" s="186"/>
      <c r="K77" s="175" t="str">
        <f>IF(J77="","",IF(VLOOKUP(J77,'G-3 Multipliers'!$L$3:$N$6,2,FALSE)=0,"Spatial Data Missing",VLOOKUP(J77,'G-3 Multipliers'!$L$3:$N$6,2,FALSE)))</f>
        <v/>
      </c>
      <c r="L77" s="176" t="str">
        <f>IF(J77="","",IF(VLOOKUP(J77,'G-3 Multipliers'!$L$3:$N$6,3,FALSE)=0,"Spatial Data Missing",VLOOKUP(J77,'G-3 Multipliers'!$L$3:$N$6,3,FALSE)))</f>
        <v/>
      </c>
      <c r="M77" s="266"/>
      <c r="N77" s="172" t="str">
        <f>IF(M77="","",IF(VLOOKUP(M77,'G-3 Multipliers'!$S$3:$T$6,2,FALSE)=0,"Spatial Data Missing",VLOOKUP(M77,'G-3 Multipliers'!$S$3:$T$6,2,FALSE)))</f>
        <v/>
      </c>
      <c r="O77" s="171" t="str">
        <f>IF(OR(D77="",H77=""),"",(INDEX('G-6 Hedgerow Data'!$E$3:$I$15,MATCH(D77,'G-6 Hedgerow Data'!$B$3:$B$15,0),MATCH(H77,'G-6 Hedgerow Data'!$E$2:$I$2,0))))</f>
        <v/>
      </c>
      <c r="P77" s="261"/>
      <c r="Q77" s="261"/>
      <c r="R77" s="179" t="str">
        <f t="shared" ref="R77:R140" si="7">IF(D77="","",IF(AND(P77&gt;0,Q77&gt;0),"Error -both advance and delayed habitat creation",IF(AND(OR(P77="Habitat already in target condition",O77&lt;=P77),Q77=0),"Check details - Is there evidence that habitat has reached target condition?",IF(O77="","",IF(P77&gt;0,"Check details - Is there evidence habitat creation started/in place?",IF(Q77&gt;0,"Check details- Delay in starting habitat in required condition?","Standard time to target condition applied"))))))</f>
        <v/>
      </c>
      <c r="S77" s="262" t="str">
        <f t="shared" ref="S77:S140" si="8">IF(O77="","",IF(LEFT(R77,5)="Error","Check Data",IF(OR(P77="30+",P77="Habitat already in target condition"),0,IF(Q77="30+","30+",IF(AND(O77="30+",OR(P77="",P77=0)),"30+",IF(AND(O77="30+",P77&gt;0),32-P77,IF(O77+Q77&gt;30,"30+",IF(O77+Q77-P77&gt;0,O77+Q77-P77,IF(O77-P77&lt;0,0,O77+Q77-P77)))))))))</f>
        <v/>
      </c>
      <c r="T77" s="263" t="str">
        <f t="shared" si="6"/>
        <v/>
      </c>
      <c r="U77" s="239" t="str">
        <f>IF(D77="","",VLOOKUP(D77,'G-6 Hedgerow Data'!$B$3:$AG$15,31,FALSE))</f>
        <v/>
      </c>
      <c r="V77" s="175" t="str">
        <f t="shared" ref="V77:V140" si="9">IF(D77="","",IF(S77="Check Data","Check Data",IF(H77="","",IF($R77="Check details - Is there evidence that habitat has reached target condition?","Low Difficulty - only applicable if all habitat created before losses","Standard difficulty applied"))))</f>
        <v/>
      </c>
      <c r="W77" s="175" t="str">
        <f t="shared" ref="W77:W140" si="10">(IF(AND(V77="Standard difficulty applied",O77&gt;P77),U77,IF(AND(V77="Low Difficulty - only applicable if all habitat created before losses",P77&gt;=O77),"Low",U77)))</f>
        <v/>
      </c>
      <c r="X77" s="176" t="str">
        <f>IF(F77="","",VLOOKUP(U77,'G-3 Multipliers'!$P$3:$Q$6,2,FALSE))</f>
        <v/>
      </c>
      <c r="Y77" s="274" t="str">
        <f t="shared" ref="Y77:Y140" si="11">IFERROR(E77*G77*I77*L77*T77*X77*N77,"")</f>
        <v/>
      </c>
      <c r="Z77" s="180"/>
      <c r="AA77" s="181"/>
      <c r="AG77" s="35" t="str">
        <f>IFERROR(INDEX('G-6 Hedgerow Data'!$BJ$3:$BJ$15,MATCH(D77,'G-6 Hedgerow Data'!$B$3:$B$15,0)),"")</f>
        <v/>
      </c>
    </row>
    <row r="78" spans="2:33" ht="15" customHeight="1" x14ac:dyDescent="0.25">
      <c r="B78" s="128">
        <v>67</v>
      </c>
      <c r="C78" s="394"/>
      <c r="D78" s="275"/>
      <c r="E78" s="275"/>
      <c r="F78" s="171" t="str">
        <f>IF(D78="","",VLOOKUP(D78,'G-6 Hedgerow Data'!$B$2:$AG$15,2,FALSE))</f>
        <v/>
      </c>
      <c r="G78" s="176" t="str">
        <f>IF(D78="","",VLOOKUP(D78,'G-6 Hedgerow Data'!$B$2:$AG$15,3,FALSE))</f>
        <v/>
      </c>
      <c r="H78" s="189"/>
      <c r="I78" s="172" t="str">
        <f>IFERROR(IF(AND(F78="V.Low",OR(H78="Good",H78="Moderate")),"Error",VLOOKUP(H78,'G-1 All Habitats'!$Z$2:$AA$9,2,FALSE)),"")</f>
        <v/>
      </c>
      <c r="J78" s="186"/>
      <c r="K78" s="175" t="str">
        <f>IF(J78="","",IF(VLOOKUP(J78,'G-3 Multipliers'!$L$3:$N$6,2,FALSE)=0,"Spatial Data Missing",VLOOKUP(J78,'G-3 Multipliers'!$L$3:$N$6,2,FALSE)))</f>
        <v/>
      </c>
      <c r="L78" s="176" t="str">
        <f>IF(J78="","",IF(VLOOKUP(J78,'G-3 Multipliers'!$L$3:$N$6,3,FALSE)=0,"Spatial Data Missing",VLOOKUP(J78,'G-3 Multipliers'!$L$3:$N$6,3,FALSE)))</f>
        <v/>
      </c>
      <c r="M78" s="266"/>
      <c r="N78" s="172" t="str">
        <f>IF(M78="","",IF(VLOOKUP(M78,'G-3 Multipliers'!$S$3:$T$6,2,FALSE)=0,"Spatial Data Missing",VLOOKUP(M78,'G-3 Multipliers'!$S$3:$T$6,2,FALSE)))</f>
        <v/>
      </c>
      <c r="O78" s="171" t="str">
        <f>IF(OR(D78="",H78=""),"",(INDEX('G-6 Hedgerow Data'!$E$3:$I$15,MATCH(D78,'G-6 Hedgerow Data'!$B$3:$B$15,0),MATCH(H78,'G-6 Hedgerow Data'!$E$2:$I$2,0))))</f>
        <v/>
      </c>
      <c r="P78" s="261"/>
      <c r="Q78" s="261"/>
      <c r="R78" s="179" t="str">
        <f t="shared" si="7"/>
        <v/>
      </c>
      <c r="S78" s="262" t="str">
        <f t="shared" si="8"/>
        <v/>
      </c>
      <c r="T78" s="263" t="str">
        <f t="shared" si="6"/>
        <v/>
      </c>
      <c r="U78" s="239" t="str">
        <f>IF(D78="","",VLOOKUP(D78,'G-6 Hedgerow Data'!$B$3:$AG$15,31,FALSE))</f>
        <v/>
      </c>
      <c r="V78" s="175" t="str">
        <f t="shared" si="9"/>
        <v/>
      </c>
      <c r="W78" s="175" t="str">
        <f t="shared" si="10"/>
        <v/>
      </c>
      <c r="X78" s="176" t="str">
        <f>IF(F78="","",VLOOKUP(U78,'G-3 Multipliers'!$P$3:$Q$6,2,FALSE))</f>
        <v/>
      </c>
      <c r="Y78" s="274" t="str">
        <f t="shared" si="11"/>
        <v/>
      </c>
      <c r="Z78" s="180"/>
      <c r="AA78" s="181"/>
      <c r="AG78" s="35" t="str">
        <f>IFERROR(INDEX('G-6 Hedgerow Data'!$BJ$3:$BJ$15,MATCH(D78,'G-6 Hedgerow Data'!$B$3:$B$15,0)),"")</f>
        <v/>
      </c>
    </row>
    <row r="79" spans="2:33" ht="15" customHeight="1" x14ac:dyDescent="0.25">
      <c r="B79" s="128">
        <v>68</v>
      </c>
      <c r="C79" s="394"/>
      <c r="D79" s="275"/>
      <c r="E79" s="275"/>
      <c r="F79" s="171" t="str">
        <f>IF(D79="","",VLOOKUP(D79,'G-6 Hedgerow Data'!$B$2:$AG$15,2,FALSE))</f>
        <v/>
      </c>
      <c r="G79" s="176" t="str">
        <f>IF(D79="","",VLOOKUP(D79,'G-6 Hedgerow Data'!$B$2:$AG$15,3,FALSE))</f>
        <v/>
      </c>
      <c r="H79" s="189"/>
      <c r="I79" s="172" t="str">
        <f>IFERROR(IF(AND(F79="V.Low",OR(H79="Good",H79="Moderate")),"Error",VLOOKUP(H79,'G-1 All Habitats'!$Z$2:$AA$9,2,FALSE)),"")</f>
        <v/>
      </c>
      <c r="J79" s="186"/>
      <c r="K79" s="175" t="str">
        <f>IF(J79="","",IF(VLOOKUP(J79,'G-3 Multipliers'!$L$3:$N$6,2,FALSE)=0,"Spatial Data Missing",VLOOKUP(J79,'G-3 Multipliers'!$L$3:$N$6,2,FALSE)))</f>
        <v/>
      </c>
      <c r="L79" s="176" t="str">
        <f>IF(J79="","",IF(VLOOKUP(J79,'G-3 Multipliers'!$L$3:$N$6,3,FALSE)=0,"Spatial Data Missing",VLOOKUP(J79,'G-3 Multipliers'!$L$3:$N$6,3,FALSE)))</f>
        <v/>
      </c>
      <c r="M79" s="266"/>
      <c r="N79" s="172" t="str">
        <f>IF(M79="","",IF(VLOOKUP(M79,'G-3 Multipliers'!$S$3:$T$6,2,FALSE)=0,"Spatial Data Missing",VLOOKUP(M79,'G-3 Multipliers'!$S$3:$T$6,2,FALSE)))</f>
        <v/>
      </c>
      <c r="O79" s="171" t="str">
        <f>IF(OR(D79="",H79=""),"",(INDEX('G-6 Hedgerow Data'!$E$3:$I$15,MATCH(D79,'G-6 Hedgerow Data'!$B$3:$B$15,0),MATCH(H79,'G-6 Hedgerow Data'!$E$2:$I$2,0))))</f>
        <v/>
      </c>
      <c r="P79" s="261"/>
      <c r="Q79" s="261"/>
      <c r="R79" s="179" t="str">
        <f t="shared" si="7"/>
        <v/>
      </c>
      <c r="S79" s="262" t="str">
        <f t="shared" si="8"/>
        <v/>
      </c>
      <c r="T79" s="263" t="str">
        <f t="shared" si="6"/>
        <v/>
      </c>
      <c r="U79" s="239" t="str">
        <f>IF(D79="","",VLOOKUP(D79,'G-6 Hedgerow Data'!$B$3:$AG$15,31,FALSE))</f>
        <v/>
      </c>
      <c r="V79" s="175" t="str">
        <f t="shared" si="9"/>
        <v/>
      </c>
      <c r="W79" s="175" t="str">
        <f t="shared" si="10"/>
        <v/>
      </c>
      <c r="X79" s="176" t="str">
        <f>IF(F79="","",VLOOKUP(U79,'G-3 Multipliers'!$P$3:$Q$6,2,FALSE))</f>
        <v/>
      </c>
      <c r="Y79" s="274" t="str">
        <f t="shared" si="11"/>
        <v/>
      </c>
      <c r="Z79" s="180"/>
      <c r="AA79" s="181"/>
      <c r="AG79" s="35" t="str">
        <f>IFERROR(INDEX('G-6 Hedgerow Data'!$BJ$3:$BJ$15,MATCH(D79,'G-6 Hedgerow Data'!$B$3:$B$15,0)),"")</f>
        <v/>
      </c>
    </row>
    <row r="80" spans="2:33" ht="15" customHeight="1" x14ac:dyDescent="0.25">
      <c r="B80" s="128">
        <v>69</v>
      </c>
      <c r="C80" s="394"/>
      <c r="D80" s="275"/>
      <c r="E80" s="275"/>
      <c r="F80" s="171" t="str">
        <f>IF(D80="","",VLOOKUP(D80,'G-6 Hedgerow Data'!$B$2:$AG$15,2,FALSE))</f>
        <v/>
      </c>
      <c r="G80" s="176" t="str">
        <f>IF(D80="","",VLOOKUP(D80,'G-6 Hedgerow Data'!$B$2:$AG$15,3,FALSE))</f>
        <v/>
      </c>
      <c r="H80" s="189"/>
      <c r="I80" s="172" t="str">
        <f>IFERROR(IF(AND(F80="V.Low",OR(H80="Good",H80="Moderate")),"Error",VLOOKUP(H80,'G-1 All Habitats'!$Z$2:$AA$9,2,FALSE)),"")</f>
        <v/>
      </c>
      <c r="J80" s="186"/>
      <c r="K80" s="175" t="str">
        <f>IF(J80="","",IF(VLOOKUP(J80,'G-3 Multipliers'!$L$3:$N$6,2,FALSE)=0,"Spatial Data Missing",VLOOKUP(J80,'G-3 Multipliers'!$L$3:$N$6,2,FALSE)))</f>
        <v/>
      </c>
      <c r="L80" s="176" t="str">
        <f>IF(J80="","",IF(VLOOKUP(J80,'G-3 Multipliers'!$L$3:$N$6,3,FALSE)=0,"Spatial Data Missing",VLOOKUP(J80,'G-3 Multipliers'!$L$3:$N$6,3,FALSE)))</f>
        <v/>
      </c>
      <c r="M80" s="266"/>
      <c r="N80" s="172" t="str">
        <f>IF(M80="","",IF(VLOOKUP(M80,'G-3 Multipliers'!$S$3:$T$6,2,FALSE)=0,"Spatial Data Missing",VLOOKUP(M80,'G-3 Multipliers'!$S$3:$T$6,2,FALSE)))</f>
        <v/>
      </c>
      <c r="O80" s="171" t="str">
        <f>IF(OR(D80="",H80=""),"",(INDEX('G-6 Hedgerow Data'!$E$3:$I$15,MATCH(D80,'G-6 Hedgerow Data'!$B$3:$B$15,0),MATCH(H80,'G-6 Hedgerow Data'!$E$2:$I$2,0))))</f>
        <v/>
      </c>
      <c r="P80" s="261"/>
      <c r="Q80" s="261"/>
      <c r="R80" s="179" t="str">
        <f t="shared" si="7"/>
        <v/>
      </c>
      <c r="S80" s="262" t="str">
        <f t="shared" si="8"/>
        <v/>
      </c>
      <c r="T80" s="263" t="str">
        <f t="shared" si="6"/>
        <v/>
      </c>
      <c r="U80" s="239" t="str">
        <f>IF(D80="","",VLOOKUP(D80,'G-6 Hedgerow Data'!$B$3:$AG$15,31,FALSE))</f>
        <v/>
      </c>
      <c r="V80" s="175" t="str">
        <f t="shared" si="9"/>
        <v/>
      </c>
      <c r="W80" s="175" t="str">
        <f t="shared" si="10"/>
        <v/>
      </c>
      <c r="X80" s="176" t="str">
        <f>IF(F80="","",VLOOKUP(U80,'G-3 Multipliers'!$P$3:$Q$6,2,FALSE))</f>
        <v/>
      </c>
      <c r="Y80" s="274" t="str">
        <f t="shared" si="11"/>
        <v/>
      </c>
      <c r="Z80" s="180"/>
      <c r="AA80" s="181"/>
      <c r="AG80" s="35" t="str">
        <f>IFERROR(INDEX('G-6 Hedgerow Data'!$BJ$3:$BJ$15,MATCH(D80,'G-6 Hedgerow Data'!$B$3:$B$15,0)),"")</f>
        <v/>
      </c>
    </row>
    <row r="81" spans="2:33" ht="15" customHeight="1" x14ac:dyDescent="0.25">
      <c r="B81" s="128">
        <v>70</v>
      </c>
      <c r="C81" s="394"/>
      <c r="D81" s="275"/>
      <c r="E81" s="275"/>
      <c r="F81" s="171" t="str">
        <f>IF(D81="","",VLOOKUP(D81,'G-6 Hedgerow Data'!$B$2:$AG$15,2,FALSE))</f>
        <v/>
      </c>
      <c r="G81" s="176" t="str">
        <f>IF(D81="","",VLOOKUP(D81,'G-6 Hedgerow Data'!$B$2:$AG$15,3,FALSE))</f>
        <v/>
      </c>
      <c r="H81" s="189"/>
      <c r="I81" s="172" t="str">
        <f>IFERROR(IF(AND(F81="V.Low",OR(H81="Good",H81="Moderate")),"Error",VLOOKUP(H81,'G-1 All Habitats'!$Z$2:$AA$9,2,FALSE)),"")</f>
        <v/>
      </c>
      <c r="J81" s="186"/>
      <c r="K81" s="175" t="str">
        <f>IF(J81="","",IF(VLOOKUP(J81,'G-3 Multipliers'!$L$3:$N$6,2,FALSE)=0,"Spatial Data Missing",VLOOKUP(J81,'G-3 Multipliers'!$L$3:$N$6,2,FALSE)))</f>
        <v/>
      </c>
      <c r="L81" s="176" t="str">
        <f>IF(J81="","",IF(VLOOKUP(J81,'G-3 Multipliers'!$L$3:$N$6,3,FALSE)=0,"Spatial Data Missing",VLOOKUP(J81,'G-3 Multipliers'!$L$3:$N$6,3,FALSE)))</f>
        <v/>
      </c>
      <c r="M81" s="266"/>
      <c r="N81" s="172" t="str">
        <f>IF(M81="","",IF(VLOOKUP(M81,'G-3 Multipliers'!$S$3:$T$6,2,FALSE)=0,"Spatial Data Missing",VLOOKUP(M81,'G-3 Multipliers'!$S$3:$T$6,2,FALSE)))</f>
        <v/>
      </c>
      <c r="O81" s="171" t="str">
        <f>IF(OR(D81="",H81=""),"",(INDEX('G-6 Hedgerow Data'!$E$3:$I$15,MATCH(D81,'G-6 Hedgerow Data'!$B$3:$B$15,0),MATCH(H81,'G-6 Hedgerow Data'!$E$2:$I$2,0))))</f>
        <v/>
      </c>
      <c r="P81" s="261"/>
      <c r="Q81" s="261"/>
      <c r="R81" s="179" t="str">
        <f t="shared" si="7"/>
        <v/>
      </c>
      <c r="S81" s="262" t="str">
        <f t="shared" si="8"/>
        <v/>
      </c>
      <c r="T81" s="263" t="str">
        <f t="shared" si="6"/>
        <v/>
      </c>
      <c r="U81" s="239" t="str">
        <f>IF(D81="","",VLOOKUP(D81,'G-6 Hedgerow Data'!$B$3:$AG$15,31,FALSE))</f>
        <v/>
      </c>
      <c r="V81" s="175" t="str">
        <f t="shared" si="9"/>
        <v/>
      </c>
      <c r="W81" s="175" t="str">
        <f t="shared" si="10"/>
        <v/>
      </c>
      <c r="X81" s="176" t="str">
        <f>IF(F81="","",VLOOKUP(U81,'G-3 Multipliers'!$P$3:$Q$6,2,FALSE))</f>
        <v/>
      </c>
      <c r="Y81" s="274" t="str">
        <f t="shared" si="11"/>
        <v/>
      </c>
      <c r="Z81" s="180"/>
      <c r="AA81" s="181"/>
      <c r="AG81" s="35" t="str">
        <f>IFERROR(INDEX('G-6 Hedgerow Data'!$BJ$3:$BJ$15,MATCH(D81,'G-6 Hedgerow Data'!$B$3:$B$15,0)),"")</f>
        <v/>
      </c>
    </row>
    <row r="82" spans="2:33" ht="15" customHeight="1" x14ac:dyDescent="0.25">
      <c r="B82" s="128">
        <v>71</v>
      </c>
      <c r="C82" s="394"/>
      <c r="D82" s="275"/>
      <c r="E82" s="275"/>
      <c r="F82" s="171" t="str">
        <f>IF(D82="","",VLOOKUP(D82,'G-6 Hedgerow Data'!$B$2:$AG$15,2,FALSE))</f>
        <v/>
      </c>
      <c r="G82" s="176" t="str">
        <f>IF(D82="","",VLOOKUP(D82,'G-6 Hedgerow Data'!$B$2:$AG$15,3,FALSE))</f>
        <v/>
      </c>
      <c r="H82" s="189"/>
      <c r="I82" s="172" t="str">
        <f>IFERROR(IF(AND(F82="V.Low",OR(H82="Good",H82="Moderate")),"Error",VLOOKUP(H82,'G-1 All Habitats'!$Z$2:$AA$9,2,FALSE)),"")</f>
        <v/>
      </c>
      <c r="J82" s="186"/>
      <c r="K82" s="175" t="str">
        <f>IF(J82="","",IF(VLOOKUP(J82,'G-3 Multipliers'!$L$3:$N$6,2,FALSE)=0,"Spatial Data Missing",VLOOKUP(J82,'G-3 Multipliers'!$L$3:$N$6,2,FALSE)))</f>
        <v/>
      </c>
      <c r="L82" s="176" t="str">
        <f>IF(J82="","",IF(VLOOKUP(J82,'G-3 Multipliers'!$L$3:$N$6,3,FALSE)=0,"Spatial Data Missing",VLOOKUP(J82,'G-3 Multipliers'!$L$3:$N$6,3,FALSE)))</f>
        <v/>
      </c>
      <c r="M82" s="266"/>
      <c r="N82" s="172" t="str">
        <f>IF(M82="","",IF(VLOOKUP(M82,'G-3 Multipliers'!$S$3:$T$6,2,FALSE)=0,"Spatial Data Missing",VLOOKUP(M82,'G-3 Multipliers'!$S$3:$T$6,2,FALSE)))</f>
        <v/>
      </c>
      <c r="O82" s="171" t="str">
        <f>IF(OR(D82="",H82=""),"",(INDEX('G-6 Hedgerow Data'!$E$3:$I$15,MATCH(D82,'G-6 Hedgerow Data'!$B$3:$B$15,0),MATCH(H82,'G-6 Hedgerow Data'!$E$2:$I$2,0))))</f>
        <v/>
      </c>
      <c r="P82" s="261"/>
      <c r="Q82" s="261"/>
      <c r="R82" s="179" t="str">
        <f t="shared" si="7"/>
        <v/>
      </c>
      <c r="S82" s="262" t="str">
        <f t="shared" si="8"/>
        <v/>
      </c>
      <c r="T82" s="263" t="str">
        <f t="shared" si="6"/>
        <v/>
      </c>
      <c r="U82" s="239" t="str">
        <f>IF(D82="","",VLOOKUP(D82,'G-6 Hedgerow Data'!$B$3:$AG$15,31,FALSE))</f>
        <v/>
      </c>
      <c r="V82" s="175" t="str">
        <f t="shared" si="9"/>
        <v/>
      </c>
      <c r="W82" s="175" t="str">
        <f t="shared" si="10"/>
        <v/>
      </c>
      <c r="X82" s="176" t="str">
        <f>IF(F82="","",VLOOKUP(U82,'G-3 Multipliers'!$P$3:$Q$6,2,FALSE))</f>
        <v/>
      </c>
      <c r="Y82" s="274" t="str">
        <f t="shared" si="11"/>
        <v/>
      </c>
      <c r="Z82" s="180"/>
      <c r="AA82" s="181"/>
      <c r="AG82" s="35" t="str">
        <f>IFERROR(INDEX('G-6 Hedgerow Data'!$BJ$3:$BJ$15,MATCH(D82,'G-6 Hedgerow Data'!$B$3:$B$15,0)),"")</f>
        <v/>
      </c>
    </row>
    <row r="83" spans="2:33" ht="15" customHeight="1" x14ac:dyDescent="0.25">
      <c r="B83" s="128">
        <v>72</v>
      </c>
      <c r="C83" s="394"/>
      <c r="D83" s="275"/>
      <c r="E83" s="275"/>
      <c r="F83" s="171" t="str">
        <f>IF(D83="","",VLOOKUP(D83,'G-6 Hedgerow Data'!$B$2:$AG$15,2,FALSE))</f>
        <v/>
      </c>
      <c r="G83" s="176" t="str">
        <f>IF(D83="","",VLOOKUP(D83,'G-6 Hedgerow Data'!$B$2:$AG$15,3,FALSE))</f>
        <v/>
      </c>
      <c r="H83" s="189"/>
      <c r="I83" s="172" t="str">
        <f>IFERROR(IF(AND(F83="V.Low",OR(H83="Good",H83="Moderate")),"Error",VLOOKUP(H83,'G-1 All Habitats'!$Z$2:$AA$9,2,FALSE)),"")</f>
        <v/>
      </c>
      <c r="J83" s="186"/>
      <c r="K83" s="175" t="str">
        <f>IF(J83="","",IF(VLOOKUP(J83,'G-3 Multipliers'!$L$3:$N$6,2,FALSE)=0,"Spatial Data Missing",VLOOKUP(J83,'G-3 Multipliers'!$L$3:$N$6,2,FALSE)))</f>
        <v/>
      </c>
      <c r="L83" s="176" t="str">
        <f>IF(J83="","",IF(VLOOKUP(J83,'G-3 Multipliers'!$L$3:$N$6,3,FALSE)=0,"Spatial Data Missing",VLOOKUP(J83,'G-3 Multipliers'!$L$3:$N$6,3,FALSE)))</f>
        <v/>
      </c>
      <c r="M83" s="266"/>
      <c r="N83" s="172" t="str">
        <f>IF(M83="","",IF(VLOOKUP(M83,'G-3 Multipliers'!$S$3:$T$6,2,FALSE)=0,"Spatial Data Missing",VLOOKUP(M83,'G-3 Multipliers'!$S$3:$T$6,2,FALSE)))</f>
        <v/>
      </c>
      <c r="O83" s="171" t="str">
        <f>IF(OR(D83="",H83=""),"",(INDEX('G-6 Hedgerow Data'!$E$3:$I$15,MATCH(D83,'G-6 Hedgerow Data'!$B$3:$B$15,0),MATCH(H83,'G-6 Hedgerow Data'!$E$2:$I$2,0))))</f>
        <v/>
      </c>
      <c r="P83" s="261"/>
      <c r="Q83" s="261"/>
      <c r="R83" s="179" t="str">
        <f t="shared" si="7"/>
        <v/>
      </c>
      <c r="S83" s="262" t="str">
        <f t="shared" si="8"/>
        <v/>
      </c>
      <c r="T83" s="263" t="str">
        <f t="shared" si="6"/>
        <v/>
      </c>
      <c r="U83" s="239" t="str">
        <f>IF(D83="","",VLOOKUP(D83,'G-6 Hedgerow Data'!$B$3:$AG$15,31,FALSE))</f>
        <v/>
      </c>
      <c r="V83" s="175" t="str">
        <f t="shared" si="9"/>
        <v/>
      </c>
      <c r="W83" s="175" t="str">
        <f t="shared" si="10"/>
        <v/>
      </c>
      <c r="X83" s="176" t="str">
        <f>IF(F83="","",VLOOKUP(U83,'G-3 Multipliers'!$P$3:$Q$6,2,FALSE))</f>
        <v/>
      </c>
      <c r="Y83" s="274" t="str">
        <f t="shared" si="11"/>
        <v/>
      </c>
      <c r="Z83" s="180"/>
      <c r="AA83" s="181"/>
      <c r="AG83" s="35" t="str">
        <f>IFERROR(INDEX('G-6 Hedgerow Data'!$BJ$3:$BJ$15,MATCH(D83,'G-6 Hedgerow Data'!$B$3:$B$15,0)),"")</f>
        <v/>
      </c>
    </row>
    <row r="84" spans="2:33" ht="15" customHeight="1" x14ac:dyDescent="0.25">
      <c r="B84" s="128">
        <v>73</v>
      </c>
      <c r="C84" s="394"/>
      <c r="D84" s="275"/>
      <c r="E84" s="275"/>
      <c r="F84" s="171" t="str">
        <f>IF(D84="","",VLOOKUP(D84,'G-6 Hedgerow Data'!$B$2:$AG$15,2,FALSE))</f>
        <v/>
      </c>
      <c r="G84" s="176" t="str">
        <f>IF(D84="","",VLOOKUP(D84,'G-6 Hedgerow Data'!$B$2:$AG$15,3,FALSE))</f>
        <v/>
      </c>
      <c r="H84" s="189"/>
      <c r="I84" s="172" t="str">
        <f>IFERROR(IF(AND(F84="V.Low",OR(H84="Good",H84="Moderate")),"Error",VLOOKUP(H84,'G-1 All Habitats'!$Z$2:$AA$9,2,FALSE)),"")</f>
        <v/>
      </c>
      <c r="J84" s="186"/>
      <c r="K84" s="175" t="str">
        <f>IF(J84="","",IF(VLOOKUP(J84,'G-3 Multipliers'!$L$3:$N$6,2,FALSE)=0,"Spatial Data Missing",VLOOKUP(J84,'G-3 Multipliers'!$L$3:$N$6,2,FALSE)))</f>
        <v/>
      </c>
      <c r="L84" s="176" t="str">
        <f>IF(J84="","",IF(VLOOKUP(J84,'G-3 Multipliers'!$L$3:$N$6,3,FALSE)=0,"Spatial Data Missing",VLOOKUP(J84,'G-3 Multipliers'!$L$3:$N$6,3,FALSE)))</f>
        <v/>
      </c>
      <c r="M84" s="266"/>
      <c r="N84" s="172" t="str">
        <f>IF(M84="","",IF(VLOOKUP(M84,'G-3 Multipliers'!$S$3:$T$6,2,FALSE)=0,"Spatial Data Missing",VLOOKUP(M84,'G-3 Multipliers'!$S$3:$T$6,2,FALSE)))</f>
        <v/>
      </c>
      <c r="O84" s="171" t="str">
        <f>IF(OR(D84="",H84=""),"",(INDEX('G-6 Hedgerow Data'!$E$3:$I$15,MATCH(D84,'G-6 Hedgerow Data'!$B$3:$B$15,0),MATCH(H84,'G-6 Hedgerow Data'!$E$2:$I$2,0))))</f>
        <v/>
      </c>
      <c r="P84" s="261"/>
      <c r="Q84" s="261"/>
      <c r="R84" s="179" t="str">
        <f t="shared" si="7"/>
        <v/>
      </c>
      <c r="S84" s="262" t="str">
        <f t="shared" si="8"/>
        <v/>
      </c>
      <c r="T84" s="263" t="str">
        <f t="shared" si="6"/>
        <v/>
      </c>
      <c r="U84" s="239" t="str">
        <f>IF(D84="","",VLOOKUP(D84,'G-6 Hedgerow Data'!$B$3:$AG$15,31,FALSE))</f>
        <v/>
      </c>
      <c r="V84" s="175" t="str">
        <f t="shared" si="9"/>
        <v/>
      </c>
      <c r="W84" s="175" t="str">
        <f t="shared" si="10"/>
        <v/>
      </c>
      <c r="X84" s="176" t="str">
        <f>IF(F84="","",VLOOKUP(U84,'G-3 Multipliers'!$P$3:$Q$6,2,FALSE))</f>
        <v/>
      </c>
      <c r="Y84" s="274" t="str">
        <f t="shared" si="11"/>
        <v/>
      </c>
      <c r="Z84" s="180"/>
      <c r="AA84" s="181"/>
      <c r="AG84" s="35" t="str">
        <f>IFERROR(INDEX('G-6 Hedgerow Data'!$BJ$3:$BJ$15,MATCH(D84,'G-6 Hedgerow Data'!$B$3:$B$15,0)),"")</f>
        <v/>
      </c>
    </row>
    <row r="85" spans="2:33" ht="15" customHeight="1" x14ac:dyDescent="0.25">
      <c r="B85" s="128">
        <v>74</v>
      </c>
      <c r="C85" s="394"/>
      <c r="D85" s="275"/>
      <c r="E85" s="275"/>
      <c r="F85" s="171" t="str">
        <f>IF(D85="","",VLOOKUP(D85,'G-6 Hedgerow Data'!$B$2:$AG$15,2,FALSE))</f>
        <v/>
      </c>
      <c r="G85" s="176" t="str">
        <f>IF(D85="","",VLOOKUP(D85,'G-6 Hedgerow Data'!$B$2:$AG$15,3,FALSE))</f>
        <v/>
      </c>
      <c r="H85" s="189"/>
      <c r="I85" s="172" t="str">
        <f>IFERROR(IF(AND(F85="V.Low",OR(H85="Good",H85="Moderate")),"Error",VLOOKUP(H85,'G-1 All Habitats'!$Z$2:$AA$9,2,FALSE)),"")</f>
        <v/>
      </c>
      <c r="J85" s="186"/>
      <c r="K85" s="175" t="str">
        <f>IF(J85="","",IF(VLOOKUP(J85,'G-3 Multipliers'!$L$3:$N$6,2,FALSE)=0,"Spatial Data Missing",VLOOKUP(J85,'G-3 Multipliers'!$L$3:$N$6,2,FALSE)))</f>
        <v/>
      </c>
      <c r="L85" s="176" t="str">
        <f>IF(J85="","",IF(VLOOKUP(J85,'G-3 Multipliers'!$L$3:$N$6,3,FALSE)=0,"Spatial Data Missing",VLOOKUP(J85,'G-3 Multipliers'!$L$3:$N$6,3,FALSE)))</f>
        <v/>
      </c>
      <c r="M85" s="266"/>
      <c r="N85" s="172" t="str">
        <f>IF(M85="","",IF(VLOOKUP(M85,'G-3 Multipliers'!$S$3:$T$6,2,FALSE)=0,"Spatial Data Missing",VLOOKUP(M85,'G-3 Multipliers'!$S$3:$T$6,2,FALSE)))</f>
        <v/>
      </c>
      <c r="O85" s="171" t="str">
        <f>IF(OR(D85="",H85=""),"",(INDEX('G-6 Hedgerow Data'!$E$3:$I$15,MATCH(D85,'G-6 Hedgerow Data'!$B$3:$B$15,0),MATCH(H85,'G-6 Hedgerow Data'!$E$2:$I$2,0))))</f>
        <v/>
      </c>
      <c r="P85" s="261"/>
      <c r="Q85" s="261"/>
      <c r="R85" s="179" t="str">
        <f t="shared" si="7"/>
        <v/>
      </c>
      <c r="S85" s="262" t="str">
        <f t="shared" si="8"/>
        <v/>
      </c>
      <c r="T85" s="263" t="str">
        <f t="shared" si="6"/>
        <v/>
      </c>
      <c r="U85" s="239" t="str">
        <f>IF(D85="","",VLOOKUP(D85,'G-6 Hedgerow Data'!$B$3:$AG$15,31,FALSE))</f>
        <v/>
      </c>
      <c r="V85" s="175" t="str">
        <f t="shared" si="9"/>
        <v/>
      </c>
      <c r="W85" s="175" t="str">
        <f t="shared" si="10"/>
        <v/>
      </c>
      <c r="X85" s="176" t="str">
        <f>IF(F85="","",VLOOKUP(U85,'G-3 Multipliers'!$P$3:$Q$6,2,FALSE))</f>
        <v/>
      </c>
      <c r="Y85" s="274" t="str">
        <f t="shared" si="11"/>
        <v/>
      </c>
      <c r="Z85" s="180"/>
      <c r="AA85" s="181"/>
      <c r="AG85" s="35" t="str">
        <f>IFERROR(INDEX('G-6 Hedgerow Data'!$BJ$3:$BJ$15,MATCH(D85,'G-6 Hedgerow Data'!$B$3:$B$15,0)),"")</f>
        <v/>
      </c>
    </row>
    <row r="86" spans="2:33" ht="15" customHeight="1" x14ac:dyDescent="0.25">
      <c r="B86" s="128">
        <v>75</v>
      </c>
      <c r="C86" s="394"/>
      <c r="D86" s="275"/>
      <c r="E86" s="275"/>
      <c r="F86" s="171" t="str">
        <f>IF(D86="","",VLOOKUP(D86,'G-6 Hedgerow Data'!$B$2:$AG$15,2,FALSE))</f>
        <v/>
      </c>
      <c r="G86" s="176" t="str">
        <f>IF(D86="","",VLOOKUP(D86,'G-6 Hedgerow Data'!$B$2:$AG$15,3,FALSE))</f>
        <v/>
      </c>
      <c r="H86" s="189"/>
      <c r="I86" s="172" t="str">
        <f>IFERROR(IF(AND(F86="V.Low",OR(H86="Good",H86="Moderate")),"Error",VLOOKUP(H86,'G-1 All Habitats'!$Z$2:$AA$9,2,FALSE)),"")</f>
        <v/>
      </c>
      <c r="J86" s="186"/>
      <c r="K86" s="175" t="str">
        <f>IF(J86="","",IF(VLOOKUP(J86,'G-3 Multipliers'!$L$3:$N$6,2,FALSE)=0,"Spatial Data Missing",VLOOKUP(J86,'G-3 Multipliers'!$L$3:$N$6,2,FALSE)))</f>
        <v/>
      </c>
      <c r="L86" s="176" t="str">
        <f>IF(J86="","",IF(VLOOKUP(J86,'G-3 Multipliers'!$L$3:$N$6,3,FALSE)=0,"Spatial Data Missing",VLOOKUP(J86,'G-3 Multipliers'!$L$3:$N$6,3,FALSE)))</f>
        <v/>
      </c>
      <c r="M86" s="266"/>
      <c r="N86" s="172" t="str">
        <f>IF(M86="","",IF(VLOOKUP(M86,'G-3 Multipliers'!$S$3:$T$6,2,FALSE)=0,"Spatial Data Missing",VLOOKUP(M86,'G-3 Multipliers'!$S$3:$T$6,2,FALSE)))</f>
        <v/>
      </c>
      <c r="O86" s="171" t="str">
        <f>IF(OR(D86="",H86=""),"",(INDEX('G-6 Hedgerow Data'!$E$3:$I$15,MATCH(D86,'G-6 Hedgerow Data'!$B$3:$B$15,0),MATCH(H86,'G-6 Hedgerow Data'!$E$2:$I$2,0))))</f>
        <v/>
      </c>
      <c r="P86" s="261"/>
      <c r="Q86" s="261"/>
      <c r="R86" s="179" t="str">
        <f t="shared" si="7"/>
        <v/>
      </c>
      <c r="S86" s="262" t="str">
        <f t="shared" si="8"/>
        <v/>
      </c>
      <c r="T86" s="263" t="str">
        <f t="shared" si="6"/>
        <v/>
      </c>
      <c r="U86" s="239" t="str">
        <f>IF(D86="","",VLOOKUP(D86,'G-6 Hedgerow Data'!$B$3:$AG$15,31,FALSE))</f>
        <v/>
      </c>
      <c r="V86" s="175" t="str">
        <f t="shared" si="9"/>
        <v/>
      </c>
      <c r="W86" s="175" t="str">
        <f t="shared" si="10"/>
        <v/>
      </c>
      <c r="X86" s="176" t="str">
        <f>IF(F86="","",VLOOKUP(U86,'G-3 Multipliers'!$P$3:$Q$6,2,FALSE))</f>
        <v/>
      </c>
      <c r="Y86" s="274" t="str">
        <f t="shared" si="11"/>
        <v/>
      </c>
      <c r="Z86" s="180"/>
      <c r="AA86" s="181"/>
      <c r="AG86" s="35" t="str">
        <f>IFERROR(INDEX('G-6 Hedgerow Data'!$BJ$3:$BJ$15,MATCH(D86,'G-6 Hedgerow Data'!$B$3:$B$15,0)),"")</f>
        <v/>
      </c>
    </row>
    <row r="87" spans="2:33" ht="15" customHeight="1" x14ac:dyDescent="0.25">
      <c r="B87" s="128">
        <v>76</v>
      </c>
      <c r="C87" s="394"/>
      <c r="D87" s="275"/>
      <c r="E87" s="275"/>
      <c r="F87" s="171" t="str">
        <f>IF(D87="","",VLOOKUP(D87,'G-6 Hedgerow Data'!$B$2:$AG$15,2,FALSE))</f>
        <v/>
      </c>
      <c r="G87" s="176" t="str">
        <f>IF(D87="","",VLOOKUP(D87,'G-6 Hedgerow Data'!$B$2:$AG$15,3,FALSE))</f>
        <v/>
      </c>
      <c r="H87" s="189"/>
      <c r="I87" s="172" t="str">
        <f>IFERROR(IF(AND(F87="V.Low",OR(H87="Good",H87="Moderate")),"Error",VLOOKUP(H87,'G-1 All Habitats'!$Z$2:$AA$9,2,FALSE)),"")</f>
        <v/>
      </c>
      <c r="J87" s="186"/>
      <c r="K87" s="175" t="str">
        <f>IF(J87="","",IF(VLOOKUP(J87,'G-3 Multipliers'!$L$3:$N$6,2,FALSE)=0,"Spatial Data Missing",VLOOKUP(J87,'G-3 Multipliers'!$L$3:$N$6,2,FALSE)))</f>
        <v/>
      </c>
      <c r="L87" s="176" t="str">
        <f>IF(J87="","",IF(VLOOKUP(J87,'G-3 Multipliers'!$L$3:$N$6,3,FALSE)=0,"Spatial Data Missing",VLOOKUP(J87,'G-3 Multipliers'!$L$3:$N$6,3,FALSE)))</f>
        <v/>
      </c>
      <c r="M87" s="266"/>
      <c r="N87" s="172" t="str">
        <f>IF(M87="","",IF(VLOOKUP(M87,'G-3 Multipliers'!$S$3:$T$6,2,FALSE)=0,"Spatial Data Missing",VLOOKUP(M87,'G-3 Multipliers'!$S$3:$T$6,2,FALSE)))</f>
        <v/>
      </c>
      <c r="O87" s="171" t="str">
        <f>IF(OR(D87="",H87=""),"",(INDEX('G-6 Hedgerow Data'!$E$3:$I$15,MATCH(D87,'G-6 Hedgerow Data'!$B$3:$B$15,0),MATCH(H87,'G-6 Hedgerow Data'!$E$2:$I$2,0))))</f>
        <v/>
      </c>
      <c r="P87" s="261"/>
      <c r="Q87" s="261"/>
      <c r="R87" s="179" t="str">
        <f t="shared" si="7"/>
        <v/>
      </c>
      <c r="S87" s="262" t="str">
        <f t="shared" si="8"/>
        <v/>
      </c>
      <c r="T87" s="263" t="str">
        <f t="shared" si="6"/>
        <v/>
      </c>
      <c r="U87" s="239" t="str">
        <f>IF(D87="","",VLOOKUP(D87,'G-6 Hedgerow Data'!$B$3:$AG$15,31,FALSE))</f>
        <v/>
      </c>
      <c r="V87" s="175" t="str">
        <f t="shared" si="9"/>
        <v/>
      </c>
      <c r="W87" s="175" t="str">
        <f t="shared" si="10"/>
        <v/>
      </c>
      <c r="X87" s="176" t="str">
        <f>IF(F87="","",VLOOKUP(U87,'G-3 Multipliers'!$P$3:$Q$6,2,FALSE))</f>
        <v/>
      </c>
      <c r="Y87" s="274" t="str">
        <f t="shared" si="11"/>
        <v/>
      </c>
      <c r="Z87" s="180"/>
      <c r="AA87" s="181"/>
      <c r="AG87" s="35" t="str">
        <f>IFERROR(INDEX('G-6 Hedgerow Data'!$BJ$3:$BJ$15,MATCH(D87,'G-6 Hedgerow Data'!$B$3:$B$15,0)),"")</f>
        <v/>
      </c>
    </row>
    <row r="88" spans="2:33" ht="15" customHeight="1" x14ac:dyDescent="0.25">
      <c r="B88" s="128">
        <v>77</v>
      </c>
      <c r="C88" s="394"/>
      <c r="D88" s="275"/>
      <c r="E88" s="275"/>
      <c r="F88" s="171" t="str">
        <f>IF(D88="","",VLOOKUP(D88,'G-6 Hedgerow Data'!$B$2:$AG$15,2,FALSE))</f>
        <v/>
      </c>
      <c r="G88" s="176" t="str">
        <f>IF(D88="","",VLOOKUP(D88,'G-6 Hedgerow Data'!$B$2:$AG$15,3,FALSE))</f>
        <v/>
      </c>
      <c r="H88" s="189"/>
      <c r="I88" s="172" t="str">
        <f>IFERROR(IF(AND(F88="V.Low",OR(H88="Good",H88="Moderate")),"Error",VLOOKUP(H88,'G-1 All Habitats'!$Z$2:$AA$9,2,FALSE)),"")</f>
        <v/>
      </c>
      <c r="J88" s="186"/>
      <c r="K88" s="175" t="str">
        <f>IF(J88="","",IF(VLOOKUP(J88,'G-3 Multipliers'!$L$3:$N$6,2,FALSE)=0,"Spatial Data Missing",VLOOKUP(J88,'G-3 Multipliers'!$L$3:$N$6,2,FALSE)))</f>
        <v/>
      </c>
      <c r="L88" s="176" t="str">
        <f>IF(J88="","",IF(VLOOKUP(J88,'G-3 Multipliers'!$L$3:$N$6,3,FALSE)=0,"Spatial Data Missing",VLOOKUP(J88,'G-3 Multipliers'!$L$3:$N$6,3,FALSE)))</f>
        <v/>
      </c>
      <c r="M88" s="266"/>
      <c r="N88" s="172" t="str">
        <f>IF(M88="","",IF(VLOOKUP(M88,'G-3 Multipliers'!$S$3:$T$6,2,FALSE)=0,"Spatial Data Missing",VLOOKUP(M88,'G-3 Multipliers'!$S$3:$T$6,2,FALSE)))</f>
        <v/>
      </c>
      <c r="O88" s="171" t="str">
        <f>IF(OR(D88="",H88=""),"",(INDEX('G-6 Hedgerow Data'!$E$3:$I$15,MATCH(D88,'G-6 Hedgerow Data'!$B$3:$B$15,0),MATCH(H88,'G-6 Hedgerow Data'!$E$2:$I$2,0))))</f>
        <v/>
      </c>
      <c r="P88" s="261"/>
      <c r="Q88" s="261"/>
      <c r="R88" s="179" t="str">
        <f t="shared" si="7"/>
        <v/>
      </c>
      <c r="S88" s="262" t="str">
        <f t="shared" si="8"/>
        <v/>
      </c>
      <c r="T88" s="263" t="str">
        <f t="shared" si="6"/>
        <v/>
      </c>
      <c r="U88" s="239" t="str">
        <f>IF(D88="","",VLOOKUP(D88,'G-6 Hedgerow Data'!$B$3:$AG$15,31,FALSE))</f>
        <v/>
      </c>
      <c r="V88" s="175" t="str">
        <f t="shared" si="9"/>
        <v/>
      </c>
      <c r="W88" s="175" t="str">
        <f t="shared" si="10"/>
        <v/>
      </c>
      <c r="X88" s="176" t="str">
        <f>IF(F88="","",VLOOKUP(U88,'G-3 Multipliers'!$P$3:$Q$6,2,FALSE))</f>
        <v/>
      </c>
      <c r="Y88" s="274" t="str">
        <f t="shared" si="11"/>
        <v/>
      </c>
      <c r="Z88" s="180"/>
      <c r="AA88" s="181"/>
      <c r="AG88" s="35" t="str">
        <f>IFERROR(INDEX('G-6 Hedgerow Data'!$BJ$3:$BJ$15,MATCH(D88,'G-6 Hedgerow Data'!$B$3:$B$15,0)),"")</f>
        <v/>
      </c>
    </row>
    <row r="89" spans="2:33" ht="15" customHeight="1" x14ac:dyDescent="0.25">
      <c r="B89" s="128">
        <v>78</v>
      </c>
      <c r="C89" s="394"/>
      <c r="D89" s="275"/>
      <c r="E89" s="275"/>
      <c r="F89" s="171" t="str">
        <f>IF(D89="","",VLOOKUP(D89,'G-6 Hedgerow Data'!$B$2:$AG$15,2,FALSE))</f>
        <v/>
      </c>
      <c r="G89" s="176" t="str">
        <f>IF(D89="","",VLOOKUP(D89,'G-6 Hedgerow Data'!$B$2:$AG$15,3,FALSE))</f>
        <v/>
      </c>
      <c r="H89" s="189"/>
      <c r="I89" s="172" t="str">
        <f>IFERROR(IF(AND(F89="V.Low",OR(H89="Good",H89="Moderate")),"Error",VLOOKUP(H89,'G-1 All Habitats'!$Z$2:$AA$9,2,FALSE)),"")</f>
        <v/>
      </c>
      <c r="J89" s="186"/>
      <c r="K89" s="175" t="str">
        <f>IF(J89="","",IF(VLOOKUP(J89,'G-3 Multipliers'!$L$3:$N$6,2,FALSE)=0,"Spatial Data Missing",VLOOKUP(J89,'G-3 Multipliers'!$L$3:$N$6,2,FALSE)))</f>
        <v/>
      </c>
      <c r="L89" s="176" t="str">
        <f>IF(J89="","",IF(VLOOKUP(J89,'G-3 Multipliers'!$L$3:$N$6,3,FALSE)=0,"Spatial Data Missing",VLOOKUP(J89,'G-3 Multipliers'!$L$3:$N$6,3,FALSE)))</f>
        <v/>
      </c>
      <c r="M89" s="266"/>
      <c r="N89" s="172" t="str">
        <f>IF(M89="","",IF(VLOOKUP(M89,'G-3 Multipliers'!$S$3:$T$6,2,FALSE)=0,"Spatial Data Missing",VLOOKUP(M89,'G-3 Multipliers'!$S$3:$T$6,2,FALSE)))</f>
        <v/>
      </c>
      <c r="O89" s="171" t="str">
        <f>IF(OR(D89="",H89=""),"",(INDEX('G-6 Hedgerow Data'!$E$3:$I$15,MATCH(D89,'G-6 Hedgerow Data'!$B$3:$B$15,0),MATCH(H89,'G-6 Hedgerow Data'!$E$2:$I$2,0))))</f>
        <v/>
      </c>
      <c r="P89" s="261"/>
      <c r="Q89" s="261"/>
      <c r="R89" s="179" t="str">
        <f t="shared" si="7"/>
        <v/>
      </c>
      <c r="S89" s="262" t="str">
        <f t="shared" si="8"/>
        <v/>
      </c>
      <c r="T89" s="263" t="str">
        <f t="shared" si="6"/>
        <v/>
      </c>
      <c r="U89" s="239" t="str">
        <f>IF(D89="","",VLOOKUP(D89,'G-6 Hedgerow Data'!$B$3:$AG$15,31,FALSE))</f>
        <v/>
      </c>
      <c r="V89" s="175" t="str">
        <f t="shared" si="9"/>
        <v/>
      </c>
      <c r="W89" s="175" t="str">
        <f t="shared" si="10"/>
        <v/>
      </c>
      <c r="X89" s="176" t="str">
        <f>IF(F89="","",VLOOKUP(U89,'G-3 Multipliers'!$P$3:$Q$6,2,FALSE))</f>
        <v/>
      </c>
      <c r="Y89" s="274" t="str">
        <f t="shared" si="11"/>
        <v/>
      </c>
      <c r="Z89" s="180"/>
      <c r="AA89" s="181"/>
      <c r="AG89" s="35" t="str">
        <f>IFERROR(INDEX('G-6 Hedgerow Data'!$BJ$3:$BJ$15,MATCH(D89,'G-6 Hedgerow Data'!$B$3:$B$15,0)),"")</f>
        <v/>
      </c>
    </row>
    <row r="90" spans="2:33" ht="15" customHeight="1" x14ac:dyDescent="0.25">
      <c r="B90" s="128">
        <v>79</v>
      </c>
      <c r="C90" s="394"/>
      <c r="D90" s="275"/>
      <c r="E90" s="275"/>
      <c r="F90" s="171" t="str">
        <f>IF(D90="","",VLOOKUP(D90,'G-6 Hedgerow Data'!$B$2:$AG$15,2,FALSE))</f>
        <v/>
      </c>
      <c r="G90" s="176" t="str">
        <f>IF(D90="","",VLOOKUP(D90,'G-6 Hedgerow Data'!$B$2:$AG$15,3,FALSE))</f>
        <v/>
      </c>
      <c r="H90" s="189"/>
      <c r="I90" s="172" t="str">
        <f>IFERROR(IF(AND(F90="V.Low",OR(H90="Good",H90="Moderate")),"Error",VLOOKUP(H90,'G-1 All Habitats'!$Z$2:$AA$9,2,FALSE)),"")</f>
        <v/>
      </c>
      <c r="J90" s="186"/>
      <c r="K90" s="175" t="str">
        <f>IF(J90="","",IF(VLOOKUP(J90,'G-3 Multipliers'!$L$3:$N$6,2,FALSE)=0,"Spatial Data Missing",VLOOKUP(J90,'G-3 Multipliers'!$L$3:$N$6,2,FALSE)))</f>
        <v/>
      </c>
      <c r="L90" s="176" t="str">
        <f>IF(J90="","",IF(VLOOKUP(J90,'G-3 Multipliers'!$L$3:$N$6,3,FALSE)=0,"Spatial Data Missing",VLOOKUP(J90,'G-3 Multipliers'!$L$3:$N$6,3,FALSE)))</f>
        <v/>
      </c>
      <c r="M90" s="266"/>
      <c r="N90" s="172" t="str">
        <f>IF(M90="","",IF(VLOOKUP(M90,'G-3 Multipliers'!$S$3:$T$6,2,FALSE)=0,"Spatial Data Missing",VLOOKUP(M90,'G-3 Multipliers'!$S$3:$T$6,2,FALSE)))</f>
        <v/>
      </c>
      <c r="O90" s="171" t="str">
        <f>IF(OR(D90="",H90=""),"",(INDEX('G-6 Hedgerow Data'!$E$3:$I$15,MATCH(D90,'G-6 Hedgerow Data'!$B$3:$B$15,0),MATCH(H90,'G-6 Hedgerow Data'!$E$2:$I$2,0))))</f>
        <v/>
      </c>
      <c r="P90" s="261"/>
      <c r="Q90" s="261"/>
      <c r="R90" s="179" t="str">
        <f t="shared" si="7"/>
        <v/>
      </c>
      <c r="S90" s="262" t="str">
        <f t="shared" si="8"/>
        <v/>
      </c>
      <c r="T90" s="263" t="str">
        <f t="shared" si="6"/>
        <v/>
      </c>
      <c r="U90" s="239" t="str">
        <f>IF(D90="","",VLOOKUP(D90,'G-6 Hedgerow Data'!$B$3:$AG$15,31,FALSE))</f>
        <v/>
      </c>
      <c r="V90" s="175" t="str">
        <f t="shared" si="9"/>
        <v/>
      </c>
      <c r="W90" s="175" t="str">
        <f t="shared" si="10"/>
        <v/>
      </c>
      <c r="X90" s="176" t="str">
        <f>IF(F90="","",VLOOKUP(U90,'G-3 Multipliers'!$P$3:$Q$6,2,FALSE))</f>
        <v/>
      </c>
      <c r="Y90" s="274" t="str">
        <f t="shared" si="11"/>
        <v/>
      </c>
      <c r="Z90" s="180"/>
      <c r="AA90" s="181"/>
      <c r="AG90" s="35" t="str">
        <f>IFERROR(INDEX('G-6 Hedgerow Data'!$BJ$3:$BJ$15,MATCH(D90,'G-6 Hedgerow Data'!$B$3:$B$15,0)),"")</f>
        <v/>
      </c>
    </row>
    <row r="91" spans="2:33" ht="15" customHeight="1" x14ac:dyDescent="0.25">
      <c r="B91" s="128">
        <v>80</v>
      </c>
      <c r="C91" s="394"/>
      <c r="D91" s="275"/>
      <c r="E91" s="275"/>
      <c r="F91" s="171" t="str">
        <f>IF(D91="","",VLOOKUP(D91,'G-6 Hedgerow Data'!$B$2:$AG$15,2,FALSE))</f>
        <v/>
      </c>
      <c r="G91" s="176" t="str">
        <f>IF(D91="","",VLOOKUP(D91,'G-6 Hedgerow Data'!$B$2:$AG$15,3,FALSE))</f>
        <v/>
      </c>
      <c r="H91" s="189"/>
      <c r="I91" s="172" t="str">
        <f>IFERROR(IF(AND(F91="V.Low",OR(H91="Good",H91="Moderate")),"Error",VLOOKUP(H91,'G-1 All Habitats'!$Z$2:$AA$9,2,FALSE)),"")</f>
        <v/>
      </c>
      <c r="J91" s="186"/>
      <c r="K91" s="175" t="str">
        <f>IF(J91="","",IF(VLOOKUP(J91,'G-3 Multipliers'!$L$3:$N$6,2,FALSE)=0,"Spatial Data Missing",VLOOKUP(J91,'G-3 Multipliers'!$L$3:$N$6,2,FALSE)))</f>
        <v/>
      </c>
      <c r="L91" s="176" t="str">
        <f>IF(J91="","",IF(VLOOKUP(J91,'G-3 Multipliers'!$L$3:$N$6,3,FALSE)=0,"Spatial Data Missing",VLOOKUP(J91,'G-3 Multipliers'!$L$3:$N$6,3,FALSE)))</f>
        <v/>
      </c>
      <c r="M91" s="266"/>
      <c r="N91" s="172" t="str">
        <f>IF(M91="","",IF(VLOOKUP(M91,'G-3 Multipliers'!$S$3:$T$6,2,FALSE)=0,"Spatial Data Missing",VLOOKUP(M91,'G-3 Multipliers'!$S$3:$T$6,2,FALSE)))</f>
        <v/>
      </c>
      <c r="O91" s="171" t="str">
        <f>IF(OR(D91="",H91=""),"",(INDEX('G-6 Hedgerow Data'!$E$3:$I$15,MATCH(D91,'G-6 Hedgerow Data'!$B$3:$B$15,0),MATCH(H91,'G-6 Hedgerow Data'!$E$2:$I$2,0))))</f>
        <v/>
      </c>
      <c r="P91" s="261"/>
      <c r="Q91" s="261"/>
      <c r="R91" s="179" t="str">
        <f t="shared" si="7"/>
        <v/>
      </c>
      <c r="S91" s="262" t="str">
        <f t="shared" si="8"/>
        <v/>
      </c>
      <c r="T91" s="263" t="str">
        <f t="shared" si="6"/>
        <v/>
      </c>
      <c r="U91" s="239" t="str">
        <f>IF(D91="","",VLOOKUP(D91,'G-6 Hedgerow Data'!$B$3:$AG$15,31,FALSE))</f>
        <v/>
      </c>
      <c r="V91" s="175" t="str">
        <f t="shared" si="9"/>
        <v/>
      </c>
      <c r="W91" s="175" t="str">
        <f t="shared" si="10"/>
        <v/>
      </c>
      <c r="X91" s="176" t="str">
        <f>IF(F91="","",VLOOKUP(U91,'G-3 Multipliers'!$P$3:$Q$6,2,FALSE))</f>
        <v/>
      </c>
      <c r="Y91" s="274" t="str">
        <f t="shared" si="11"/>
        <v/>
      </c>
      <c r="Z91" s="180"/>
      <c r="AA91" s="181"/>
      <c r="AG91" s="35" t="str">
        <f>IFERROR(INDEX('G-6 Hedgerow Data'!$BJ$3:$BJ$15,MATCH(D91,'G-6 Hedgerow Data'!$B$3:$B$15,0)),"")</f>
        <v/>
      </c>
    </row>
    <row r="92" spans="2:33" ht="15" customHeight="1" x14ac:dyDescent="0.25">
      <c r="B92" s="128">
        <v>81</v>
      </c>
      <c r="C92" s="394"/>
      <c r="D92" s="275"/>
      <c r="E92" s="275"/>
      <c r="F92" s="171" t="str">
        <f>IF(D92="","",VLOOKUP(D92,'G-6 Hedgerow Data'!$B$2:$AG$15,2,FALSE))</f>
        <v/>
      </c>
      <c r="G92" s="176" t="str">
        <f>IF(D92="","",VLOOKUP(D92,'G-6 Hedgerow Data'!$B$2:$AG$15,3,FALSE))</f>
        <v/>
      </c>
      <c r="H92" s="189"/>
      <c r="I92" s="172" t="str">
        <f>IFERROR(IF(AND(F92="V.Low",OR(H92="Good",H92="Moderate")),"Error",VLOOKUP(H92,'G-1 All Habitats'!$Z$2:$AA$9,2,FALSE)),"")</f>
        <v/>
      </c>
      <c r="J92" s="186"/>
      <c r="K92" s="175" t="str">
        <f>IF(J92="","",IF(VLOOKUP(J92,'G-3 Multipliers'!$L$3:$N$6,2,FALSE)=0,"Spatial Data Missing",VLOOKUP(J92,'G-3 Multipliers'!$L$3:$N$6,2,FALSE)))</f>
        <v/>
      </c>
      <c r="L92" s="176" t="str">
        <f>IF(J92="","",IF(VLOOKUP(J92,'G-3 Multipliers'!$L$3:$N$6,3,FALSE)=0,"Spatial Data Missing",VLOOKUP(J92,'G-3 Multipliers'!$L$3:$N$6,3,FALSE)))</f>
        <v/>
      </c>
      <c r="M92" s="266"/>
      <c r="N92" s="172" t="str">
        <f>IF(M92="","",IF(VLOOKUP(M92,'G-3 Multipliers'!$S$3:$T$6,2,FALSE)=0,"Spatial Data Missing",VLOOKUP(M92,'G-3 Multipliers'!$S$3:$T$6,2,FALSE)))</f>
        <v/>
      </c>
      <c r="O92" s="171" t="str">
        <f>IF(OR(D92="",H92=""),"",(INDEX('G-6 Hedgerow Data'!$E$3:$I$15,MATCH(D92,'G-6 Hedgerow Data'!$B$3:$B$15,0),MATCH(H92,'G-6 Hedgerow Data'!$E$2:$I$2,0))))</f>
        <v/>
      </c>
      <c r="P92" s="261"/>
      <c r="Q92" s="261"/>
      <c r="R92" s="179" t="str">
        <f t="shared" si="7"/>
        <v/>
      </c>
      <c r="S92" s="262" t="str">
        <f t="shared" si="8"/>
        <v/>
      </c>
      <c r="T92" s="263" t="str">
        <f t="shared" si="6"/>
        <v/>
      </c>
      <c r="U92" s="239" t="str">
        <f>IF(D92="","",VLOOKUP(D92,'G-6 Hedgerow Data'!$B$3:$AG$15,31,FALSE))</f>
        <v/>
      </c>
      <c r="V92" s="175" t="str">
        <f t="shared" si="9"/>
        <v/>
      </c>
      <c r="W92" s="175" t="str">
        <f t="shared" si="10"/>
        <v/>
      </c>
      <c r="X92" s="176" t="str">
        <f>IF(F92="","",VLOOKUP(U92,'G-3 Multipliers'!$P$3:$Q$6,2,FALSE))</f>
        <v/>
      </c>
      <c r="Y92" s="274" t="str">
        <f t="shared" si="11"/>
        <v/>
      </c>
      <c r="Z92" s="180"/>
      <c r="AA92" s="181"/>
      <c r="AG92" s="35" t="str">
        <f>IFERROR(INDEX('G-6 Hedgerow Data'!$BJ$3:$BJ$15,MATCH(D92,'G-6 Hedgerow Data'!$B$3:$B$15,0)),"")</f>
        <v/>
      </c>
    </row>
    <row r="93" spans="2:33" ht="15" customHeight="1" x14ac:dyDescent="0.25">
      <c r="B93" s="128">
        <v>82</v>
      </c>
      <c r="C93" s="394"/>
      <c r="D93" s="275"/>
      <c r="E93" s="275"/>
      <c r="F93" s="171" t="str">
        <f>IF(D93="","",VLOOKUP(D93,'G-6 Hedgerow Data'!$B$2:$AG$15,2,FALSE))</f>
        <v/>
      </c>
      <c r="G93" s="176" t="str">
        <f>IF(D93="","",VLOOKUP(D93,'G-6 Hedgerow Data'!$B$2:$AG$15,3,FALSE))</f>
        <v/>
      </c>
      <c r="H93" s="189"/>
      <c r="I93" s="172" t="str">
        <f>IFERROR(IF(AND(F93="V.Low",OR(H93="Good",H93="Moderate")),"Error",VLOOKUP(H93,'G-1 All Habitats'!$Z$2:$AA$9,2,FALSE)),"")</f>
        <v/>
      </c>
      <c r="J93" s="186"/>
      <c r="K93" s="175" t="str">
        <f>IF(J93="","",IF(VLOOKUP(J93,'G-3 Multipliers'!$L$3:$N$6,2,FALSE)=0,"Spatial Data Missing",VLOOKUP(J93,'G-3 Multipliers'!$L$3:$N$6,2,FALSE)))</f>
        <v/>
      </c>
      <c r="L93" s="176" t="str">
        <f>IF(J93="","",IF(VLOOKUP(J93,'G-3 Multipliers'!$L$3:$N$6,3,FALSE)=0,"Spatial Data Missing",VLOOKUP(J93,'G-3 Multipliers'!$L$3:$N$6,3,FALSE)))</f>
        <v/>
      </c>
      <c r="M93" s="266"/>
      <c r="N93" s="172" t="str">
        <f>IF(M93="","",IF(VLOOKUP(M93,'G-3 Multipliers'!$S$3:$T$6,2,FALSE)=0,"Spatial Data Missing",VLOOKUP(M93,'G-3 Multipliers'!$S$3:$T$6,2,FALSE)))</f>
        <v/>
      </c>
      <c r="O93" s="171" t="str">
        <f>IF(OR(D93="",H93=""),"",(INDEX('G-6 Hedgerow Data'!$E$3:$I$15,MATCH(D93,'G-6 Hedgerow Data'!$B$3:$B$15,0),MATCH(H93,'G-6 Hedgerow Data'!$E$2:$I$2,0))))</f>
        <v/>
      </c>
      <c r="P93" s="261"/>
      <c r="Q93" s="261"/>
      <c r="R93" s="179" t="str">
        <f t="shared" si="7"/>
        <v/>
      </c>
      <c r="S93" s="262" t="str">
        <f t="shared" si="8"/>
        <v/>
      </c>
      <c r="T93" s="263" t="str">
        <f t="shared" si="6"/>
        <v/>
      </c>
      <c r="U93" s="239" t="str">
        <f>IF(D93="","",VLOOKUP(D93,'G-6 Hedgerow Data'!$B$3:$AG$15,31,FALSE))</f>
        <v/>
      </c>
      <c r="V93" s="175" t="str">
        <f t="shared" si="9"/>
        <v/>
      </c>
      <c r="W93" s="175" t="str">
        <f t="shared" si="10"/>
        <v/>
      </c>
      <c r="X93" s="176" t="str">
        <f>IF(F93="","",VLOOKUP(U93,'G-3 Multipliers'!$P$3:$Q$6,2,FALSE))</f>
        <v/>
      </c>
      <c r="Y93" s="274" t="str">
        <f t="shared" si="11"/>
        <v/>
      </c>
      <c r="Z93" s="180"/>
      <c r="AA93" s="181"/>
      <c r="AG93" s="35" t="str">
        <f>IFERROR(INDEX('G-6 Hedgerow Data'!$BJ$3:$BJ$15,MATCH(D93,'G-6 Hedgerow Data'!$B$3:$B$15,0)),"")</f>
        <v/>
      </c>
    </row>
    <row r="94" spans="2:33" ht="15" customHeight="1" x14ac:dyDescent="0.25">
      <c r="B94" s="128">
        <v>83</v>
      </c>
      <c r="C94" s="394"/>
      <c r="D94" s="275"/>
      <c r="E94" s="275"/>
      <c r="F94" s="171" t="str">
        <f>IF(D94="","",VLOOKUP(D94,'G-6 Hedgerow Data'!$B$2:$AG$15,2,FALSE))</f>
        <v/>
      </c>
      <c r="G94" s="176" t="str">
        <f>IF(D94="","",VLOOKUP(D94,'G-6 Hedgerow Data'!$B$2:$AG$15,3,FALSE))</f>
        <v/>
      </c>
      <c r="H94" s="189"/>
      <c r="I94" s="172" t="str">
        <f>IFERROR(IF(AND(F94="V.Low",OR(H94="Good",H94="Moderate")),"Error",VLOOKUP(H94,'G-1 All Habitats'!$Z$2:$AA$9,2,FALSE)),"")</f>
        <v/>
      </c>
      <c r="J94" s="186"/>
      <c r="K94" s="175" t="str">
        <f>IF(J94="","",IF(VLOOKUP(J94,'G-3 Multipliers'!$L$3:$N$6,2,FALSE)=0,"Spatial Data Missing",VLOOKUP(J94,'G-3 Multipliers'!$L$3:$N$6,2,FALSE)))</f>
        <v/>
      </c>
      <c r="L94" s="176" t="str">
        <f>IF(J94="","",IF(VLOOKUP(J94,'G-3 Multipliers'!$L$3:$N$6,3,FALSE)=0,"Spatial Data Missing",VLOOKUP(J94,'G-3 Multipliers'!$L$3:$N$6,3,FALSE)))</f>
        <v/>
      </c>
      <c r="M94" s="266"/>
      <c r="N94" s="172" t="str">
        <f>IF(M94="","",IF(VLOOKUP(M94,'G-3 Multipliers'!$S$3:$T$6,2,FALSE)=0,"Spatial Data Missing",VLOOKUP(M94,'G-3 Multipliers'!$S$3:$T$6,2,FALSE)))</f>
        <v/>
      </c>
      <c r="O94" s="171" t="str">
        <f>IF(OR(D94="",H94=""),"",(INDEX('G-6 Hedgerow Data'!$E$3:$I$15,MATCH(D94,'G-6 Hedgerow Data'!$B$3:$B$15,0),MATCH(H94,'G-6 Hedgerow Data'!$E$2:$I$2,0))))</f>
        <v/>
      </c>
      <c r="P94" s="261"/>
      <c r="Q94" s="261"/>
      <c r="R94" s="179" t="str">
        <f t="shared" si="7"/>
        <v/>
      </c>
      <c r="S94" s="262" t="str">
        <f t="shared" si="8"/>
        <v/>
      </c>
      <c r="T94" s="263" t="str">
        <f t="shared" si="6"/>
        <v/>
      </c>
      <c r="U94" s="239" t="str">
        <f>IF(D94="","",VLOOKUP(D94,'G-6 Hedgerow Data'!$B$3:$AG$15,31,FALSE))</f>
        <v/>
      </c>
      <c r="V94" s="175" t="str">
        <f t="shared" si="9"/>
        <v/>
      </c>
      <c r="W94" s="175" t="str">
        <f t="shared" si="10"/>
        <v/>
      </c>
      <c r="X94" s="176" t="str">
        <f>IF(F94="","",VLOOKUP(U94,'G-3 Multipliers'!$P$3:$Q$6,2,FALSE))</f>
        <v/>
      </c>
      <c r="Y94" s="274" t="str">
        <f t="shared" si="11"/>
        <v/>
      </c>
      <c r="Z94" s="180"/>
      <c r="AA94" s="181"/>
      <c r="AG94" s="35" t="str">
        <f>IFERROR(INDEX('G-6 Hedgerow Data'!$BJ$3:$BJ$15,MATCH(D94,'G-6 Hedgerow Data'!$B$3:$B$15,0)),"")</f>
        <v/>
      </c>
    </row>
    <row r="95" spans="2:33" ht="15" customHeight="1" x14ac:dyDescent="0.25">
      <c r="B95" s="128">
        <v>84</v>
      </c>
      <c r="C95" s="394"/>
      <c r="D95" s="275"/>
      <c r="E95" s="275"/>
      <c r="F95" s="171" t="str">
        <f>IF(D95="","",VLOOKUP(D95,'G-6 Hedgerow Data'!$B$2:$AG$15,2,FALSE))</f>
        <v/>
      </c>
      <c r="G95" s="176" t="str">
        <f>IF(D95="","",VLOOKUP(D95,'G-6 Hedgerow Data'!$B$2:$AG$15,3,FALSE))</f>
        <v/>
      </c>
      <c r="H95" s="189"/>
      <c r="I95" s="172" t="str">
        <f>IFERROR(IF(AND(F95="V.Low",OR(H95="Good",H95="Moderate")),"Error",VLOOKUP(H95,'G-1 All Habitats'!$Z$2:$AA$9,2,FALSE)),"")</f>
        <v/>
      </c>
      <c r="J95" s="186"/>
      <c r="K95" s="175" t="str">
        <f>IF(J95="","",IF(VLOOKUP(J95,'G-3 Multipliers'!$L$3:$N$6,2,FALSE)=0,"Spatial Data Missing",VLOOKUP(J95,'G-3 Multipliers'!$L$3:$N$6,2,FALSE)))</f>
        <v/>
      </c>
      <c r="L95" s="176" t="str">
        <f>IF(J95="","",IF(VLOOKUP(J95,'G-3 Multipliers'!$L$3:$N$6,3,FALSE)=0,"Spatial Data Missing",VLOOKUP(J95,'G-3 Multipliers'!$L$3:$N$6,3,FALSE)))</f>
        <v/>
      </c>
      <c r="M95" s="266"/>
      <c r="N95" s="172" t="str">
        <f>IF(M95="","",IF(VLOOKUP(M95,'G-3 Multipliers'!$S$3:$T$6,2,FALSE)=0,"Spatial Data Missing",VLOOKUP(M95,'G-3 Multipliers'!$S$3:$T$6,2,FALSE)))</f>
        <v/>
      </c>
      <c r="O95" s="171" t="str">
        <f>IF(OR(D95="",H95=""),"",(INDEX('G-6 Hedgerow Data'!$E$3:$I$15,MATCH(D95,'G-6 Hedgerow Data'!$B$3:$B$15,0),MATCH(H95,'G-6 Hedgerow Data'!$E$2:$I$2,0))))</f>
        <v/>
      </c>
      <c r="P95" s="261"/>
      <c r="Q95" s="261"/>
      <c r="R95" s="179" t="str">
        <f t="shared" si="7"/>
        <v/>
      </c>
      <c r="S95" s="262" t="str">
        <f t="shared" si="8"/>
        <v/>
      </c>
      <c r="T95" s="263" t="str">
        <f t="shared" si="6"/>
        <v/>
      </c>
      <c r="U95" s="239" t="str">
        <f>IF(D95="","",VLOOKUP(D95,'G-6 Hedgerow Data'!$B$3:$AG$15,31,FALSE))</f>
        <v/>
      </c>
      <c r="V95" s="175" t="str">
        <f t="shared" si="9"/>
        <v/>
      </c>
      <c r="W95" s="175" t="str">
        <f t="shared" si="10"/>
        <v/>
      </c>
      <c r="X95" s="176" t="str">
        <f>IF(F95="","",VLOOKUP(U95,'G-3 Multipliers'!$P$3:$Q$6,2,FALSE))</f>
        <v/>
      </c>
      <c r="Y95" s="274" t="str">
        <f t="shared" si="11"/>
        <v/>
      </c>
      <c r="Z95" s="180"/>
      <c r="AA95" s="181"/>
      <c r="AG95" s="35" t="str">
        <f>IFERROR(INDEX('G-6 Hedgerow Data'!$BJ$3:$BJ$15,MATCH(D95,'G-6 Hedgerow Data'!$B$3:$B$15,0)),"")</f>
        <v/>
      </c>
    </row>
    <row r="96" spans="2:33" ht="15" customHeight="1" x14ac:dyDescent="0.25">
      <c r="B96" s="128">
        <v>85</v>
      </c>
      <c r="C96" s="394"/>
      <c r="D96" s="275"/>
      <c r="E96" s="275"/>
      <c r="F96" s="171" t="str">
        <f>IF(D96="","",VLOOKUP(D96,'G-6 Hedgerow Data'!$B$2:$AG$15,2,FALSE))</f>
        <v/>
      </c>
      <c r="G96" s="176" t="str">
        <f>IF(D96="","",VLOOKUP(D96,'G-6 Hedgerow Data'!$B$2:$AG$15,3,FALSE))</f>
        <v/>
      </c>
      <c r="H96" s="189"/>
      <c r="I96" s="172" t="str">
        <f>IFERROR(IF(AND(F96="V.Low",OR(H96="Good",H96="Moderate")),"Error",VLOOKUP(H96,'G-1 All Habitats'!$Z$2:$AA$9,2,FALSE)),"")</f>
        <v/>
      </c>
      <c r="J96" s="186"/>
      <c r="K96" s="175" t="str">
        <f>IF(J96="","",IF(VLOOKUP(J96,'G-3 Multipliers'!$L$3:$N$6,2,FALSE)=0,"Spatial Data Missing",VLOOKUP(J96,'G-3 Multipliers'!$L$3:$N$6,2,FALSE)))</f>
        <v/>
      </c>
      <c r="L96" s="176" t="str">
        <f>IF(J96="","",IF(VLOOKUP(J96,'G-3 Multipliers'!$L$3:$N$6,3,FALSE)=0,"Spatial Data Missing",VLOOKUP(J96,'G-3 Multipliers'!$L$3:$N$6,3,FALSE)))</f>
        <v/>
      </c>
      <c r="M96" s="266"/>
      <c r="N96" s="172" t="str">
        <f>IF(M96="","",IF(VLOOKUP(M96,'G-3 Multipliers'!$S$3:$T$6,2,FALSE)=0,"Spatial Data Missing",VLOOKUP(M96,'G-3 Multipliers'!$S$3:$T$6,2,FALSE)))</f>
        <v/>
      </c>
      <c r="O96" s="171" t="str">
        <f>IF(OR(D96="",H96=""),"",(INDEX('G-6 Hedgerow Data'!$E$3:$I$15,MATCH(D96,'G-6 Hedgerow Data'!$B$3:$B$15,0),MATCH(H96,'G-6 Hedgerow Data'!$E$2:$I$2,0))))</f>
        <v/>
      </c>
      <c r="P96" s="261"/>
      <c r="Q96" s="261"/>
      <c r="R96" s="179" t="str">
        <f t="shared" si="7"/>
        <v/>
      </c>
      <c r="S96" s="262" t="str">
        <f t="shared" si="8"/>
        <v/>
      </c>
      <c r="T96" s="263" t="str">
        <f t="shared" si="6"/>
        <v/>
      </c>
      <c r="U96" s="239" t="str">
        <f>IF(D96="","",VLOOKUP(D96,'G-6 Hedgerow Data'!$B$3:$AG$15,31,FALSE))</f>
        <v/>
      </c>
      <c r="V96" s="175" t="str">
        <f t="shared" si="9"/>
        <v/>
      </c>
      <c r="W96" s="175" t="str">
        <f t="shared" si="10"/>
        <v/>
      </c>
      <c r="X96" s="176" t="str">
        <f>IF(F96="","",VLOOKUP(U96,'G-3 Multipliers'!$P$3:$Q$6,2,FALSE))</f>
        <v/>
      </c>
      <c r="Y96" s="274" t="str">
        <f t="shared" si="11"/>
        <v/>
      </c>
      <c r="Z96" s="180"/>
      <c r="AA96" s="181"/>
      <c r="AG96" s="35" t="str">
        <f>IFERROR(INDEX('G-6 Hedgerow Data'!$BJ$3:$BJ$15,MATCH(D96,'G-6 Hedgerow Data'!$B$3:$B$15,0)),"")</f>
        <v/>
      </c>
    </row>
    <row r="97" spans="2:33" ht="15" customHeight="1" x14ac:dyDescent="0.25">
      <c r="B97" s="128">
        <v>86</v>
      </c>
      <c r="C97" s="394"/>
      <c r="D97" s="275"/>
      <c r="E97" s="275"/>
      <c r="F97" s="171" t="str">
        <f>IF(D97="","",VLOOKUP(D97,'G-6 Hedgerow Data'!$B$2:$AG$15,2,FALSE))</f>
        <v/>
      </c>
      <c r="G97" s="176" t="str">
        <f>IF(D97="","",VLOOKUP(D97,'G-6 Hedgerow Data'!$B$2:$AG$15,3,FALSE))</f>
        <v/>
      </c>
      <c r="H97" s="189"/>
      <c r="I97" s="172" t="str">
        <f>IFERROR(IF(AND(F97="V.Low",OR(H97="Good",H97="Moderate")),"Error",VLOOKUP(H97,'G-1 All Habitats'!$Z$2:$AA$9,2,FALSE)),"")</f>
        <v/>
      </c>
      <c r="J97" s="186"/>
      <c r="K97" s="175" t="str">
        <f>IF(J97="","",IF(VLOOKUP(J97,'G-3 Multipliers'!$L$3:$N$6,2,FALSE)=0,"Spatial Data Missing",VLOOKUP(J97,'G-3 Multipliers'!$L$3:$N$6,2,FALSE)))</f>
        <v/>
      </c>
      <c r="L97" s="176" t="str">
        <f>IF(J97="","",IF(VLOOKUP(J97,'G-3 Multipliers'!$L$3:$N$6,3,FALSE)=0,"Spatial Data Missing",VLOOKUP(J97,'G-3 Multipliers'!$L$3:$N$6,3,FALSE)))</f>
        <v/>
      </c>
      <c r="M97" s="266"/>
      <c r="N97" s="172" t="str">
        <f>IF(M97="","",IF(VLOOKUP(M97,'G-3 Multipliers'!$S$3:$T$6,2,FALSE)=0,"Spatial Data Missing",VLOOKUP(M97,'G-3 Multipliers'!$S$3:$T$6,2,FALSE)))</f>
        <v/>
      </c>
      <c r="O97" s="171" t="str">
        <f>IF(OR(D97="",H97=""),"",(INDEX('G-6 Hedgerow Data'!$E$3:$I$15,MATCH(D97,'G-6 Hedgerow Data'!$B$3:$B$15,0),MATCH(H97,'G-6 Hedgerow Data'!$E$2:$I$2,0))))</f>
        <v/>
      </c>
      <c r="P97" s="261"/>
      <c r="Q97" s="261"/>
      <c r="R97" s="179" t="str">
        <f t="shared" si="7"/>
        <v/>
      </c>
      <c r="S97" s="262" t="str">
        <f t="shared" si="8"/>
        <v/>
      </c>
      <c r="T97" s="263" t="str">
        <f t="shared" si="6"/>
        <v/>
      </c>
      <c r="U97" s="239" t="str">
        <f>IF(D97="","",VLOOKUP(D97,'G-6 Hedgerow Data'!$B$3:$AG$15,31,FALSE))</f>
        <v/>
      </c>
      <c r="V97" s="175" t="str">
        <f t="shared" si="9"/>
        <v/>
      </c>
      <c r="W97" s="175" t="str">
        <f t="shared" si="10"/>
        <v/>
      </c>
      <c r="X97" s="176" t="str">
        <f>IF(F97="","",VLOOKUP(U97,'G-3 Multipliers'!$P$3:$Q$6,2,FALSE))</f>
        <v/>
      </c>
      <c r="Y97" s="274" t="str">
        <f t="shared" si="11"/>
        <v/>
      </c>
      <c r="Z97" s="180"/>
      <c r="AA97" s="181"/>
      <c r="AG97" s="35" t="str">
        <f>IFERROR(INDEX('G-6 Hedgerow Data'!$BJ$3:$BJ$15,MATCH(D97,'G-6 Hedgerow Data'!$B$3:$B$15,0)),"")</f>
        <v/>
      </c>
    </row>
    <row r="98" spans="2:33" ht="15" customHeight="1" x14ac:dyDescent="0.25">
      <c r="B98" s="128">
        <v>87</v>
      </c>
      <c r="C98" s="394"/>
      <c r="D98" s="275"/>
      <c r="E98" s="275"/>
      <c r="F98" s="171" t="str">
        <f>IF(D98="","",VLOOKUP(D98,'G-6 Hedgerow Data'!$B$2:$AG$15,2,FALSE))</f>
        <v/>
      </c>
      <c r="G98" s="176" t="str">
        <f>IF(D98="","",VLOOKUP(D98,'G-6 Hedgerow Data'!$B$2:$AG$15,3,FALSE))</f>
        <v/>
      </c>
      <c r="H98" s="189"/>
      <c r="I98" s="172" t="str">
        <f>IFERROR(IF(AND(F98="V.Low",OR(H98="Good",H98="Moderate")),"Error",VLOOKUP(H98,'G-1 All Habitats'!$Z$2:$AA$9,2,FALSE)),"")</f>
        <v/>
      </c>
      <c r="J98" s="186"/>
      <c r="K98" s="175" t="str">
        <f>IF(J98="","",IF(VLOOKUP(J98,'G-3 Multipliers'!$L$3:$N$6,2,FALSE)=0,"Spatial Data Missing",VLOOKUP(J98,'G-3 Multipliers'!$L$3:$N$6,2,FALSE)))</f>
        <v/>
      </c>
      <c r="L98" s="176" t="str">
        <f>IF(J98="","",IF(VLOOKUP(J98,'G-3 Multipliers'!$L$3:$N$6,3,FALSE)=0,"Spatial Data Missing",VLOOKUP(J98,'G-3 Multipliers'!$L$3:$N$6,3,FALSE)))</f>
        <v/>
      </c>
      <c r="M98" s="266"/>
      <c r="N98" s="172" t="str">
        <f>IF(M98="","",IF(VLOOKUP(M98,'G-3 Multipliers'!$S$3:$T$6,2,FALSE)=0,"Spatial Data Missing",VLOOKUP(M98,'G-3 Multipliers'!$S$3:$T$6,2,FALSE)))</f>
        <v/>
      </c>
      <c r="O98" s="171" t="str">
        <f>IF(OR(D98="",H98=""),"",(INDEX('G-6 Hedgerow Data'!$E$3:$I$15,MATCH(D98,'G-6 Hedgerow Data'!$B$3:$B$15,0),MATCH(H98,'G-6 Hedgerow Data'!$E$2:$I$2,0))))</f>
        <v/>
      </c>
      <c r="P98" s="261"/>
      <c r="Q98" s="261"/>
      <c r="R98" s="179" t="str">
        <f t="shared" si="7"/>
        <v/>
      </c>
      <c r="S98" s="262" t="str">
        <f t="shared" si="8"/>
        <v/>
      </c>
      <c r="T98" s="263" t="str">
        <f t="shared" si="6"/>
        <v/>
      </c>
      <c r="U98" s="239" t="str">
        <f>IF(D98="","",VLOOKUP(D98,'G-6 Hedgerow Data'!$B$3:$AG$15,31,FALSE))</f>
        <v/>
      </c>
      <c r="V98" s="175" t="str">
        <f t="shared" si="9"/>
        <v/>
      </c>
      <c r="W98" s="175" t="str">
        <f t="shared" si="10"/>
        <v/>
      </c>
      <c r="X98" s="176" t="str">
        <f>IF(F98="","",VLOOKUP(U98,'G-3 Multipliers'!$P$3:$Q$6,2,FALSE))</f>
        <v/>
      </c>
      <c r="Y98" s="274" t="str">
        <f t="shared" si="11"/>
        <v/>
      </c>
      <c r="Z98" s="180"/>
      <c r="AA98" s="181"/>
      <c r="AG98" s="35" t="str">
        <f>IFERROR(INDEX('G-6 Hedgerow Data'!$BJ$3:$BJ$15,MATCH(D98,'G-6 Hedgerow Data'!$B$3:$B$15,0)),"")</f>
        <v/>
      </c>
    </row>
    <row r="99" spans="2:33" ht="15" customHeight="1" x14ac:dyDescent="0.25">
      <c r="B99" s="128">
        <v>88</v>
      </c>
      <c r="C99" s="394"/>
      <c r="D99" s="275"/>
      <c r="E99" s="275"/>
      <c r="F99" s="171" t="str">
        <f>IF(D99="","",VLOOKUP(D99,'G-6 Hedgerow Data'!$B$2:$AG$15,2,FALSE))</f>
        <v/>
      </c>
      <c r="G99" s="176" t="str">
        <f>IF(D99="","",VLOOKUP(D99,'G-6 Hedgerow Data'!$B$2:$AG$15,3,FALSE))</f>
        <v/>
      </c>
      <c r="H99" s="189"/>
      <c r="I99" s="172" t="str">
        <f>IFERROR(IF(AND(F99="V.Low",OR(H99="Good",H99="Moderate")),"Error",VLOOKUP(H99,'G-1 All Habitats'!$Z$2:$AA$9,2,FALSE)),"")</f>
        <v/>
      </c>
      <c r="J99" s="186"/>
      <c r="K99" s="175" t="str">
        <f>IF(J99="","",IF(VLOOKUP(J99,'G-3 Multipliers'!$L$3:$N$6,2,FALSE)=0,"Spatial Data Missing",VLOOKUP(J99,'G-3 Multipliers'!$L$3:$N$6,2,FALSE)))</f>
        <v/>
      </c>
      <c r="L99" s="176" t="str">
        <f>IF(J99="","",IF(VLOOKUP(J99,'G-3 Multipliers'!$L$3:$N$6,3,FALSE)=0,"Spatial Data Missing",VLOOKUP(J99,'G-3 Multipliers'!$L$3:$N$6,3,FALSE)))</f>
        <v/>
      </c>
      <c r="M99" s="266"/>
      <c r="N99" s="172" t="str">
        <f>IF(M99="","",IF(VLOOKUP(M99,'G-3 Multipliers'!$S$3:$T$6,2,FALSE)=0,"Spatial Data Missing",VLOOKUP(M99,'G-3 Multipliers'!$S$3:$T$6,2,FALSE)))</f>
        <v/>
      </c>
      <c r="O99" s="171" t="str">
        <f>IF(OR(D99="",H99=""),"",(INDEX('G-6 Hedgerow Data'!$E$3:$I$15,MATCH(D99,'G-6 Hedgerow Data'!$B$3:$B$15,0),MATCH(H99,'G-6 Hedgerow Data'!$E$2:$I$2,0))))</f>
        <v/>
      </c>
      <c r="P99" s="261"/>
      <c r="Q99" s="261"/>
      <c r="R99" s="179" t="str">
        <f t="shared" si="7"/>
        <v/>
      </c>
      <c r="S99" s="262" t="str">
        <f t="shared" si="8"/>
        <v/>
      </c>
      <c r="T99" s="263" t="str">
        <f t="shared" si="6"/>
        <v/>
      </c>
      <c r="U99" s="239" t="str">
        <f>IF(D99="","",VLOOKUP(D99,'G-6 Hedgerow Data'!$B$3:$AG$15,31,FALSE))</f>
        <v/>
      </c>
      <c r="V99" s="175" t="str">
        <f t="shared" si="9"/>
        <v/>
      </c>
      <c r="W99" s="175" t="str">
        <f t="shared" si="10"/>
        <v/>
      </c>
      <c r="X99" s="176" t="str">
        <f>IF(F99="","",VLOOKUP(U99,'G-3 Multipliers'!$P$3:$Q$6,2,FALSE))</f>
        <v/>
      </c>
      <c r="Y99" s="274" t="str">
        <f t="shared" si="11"/>
        <v/>
      </c>
      <c r="Z99" s="180"/>
      <c r="AA99" s="181"/>
      <c r="AG99" s="35" t="str">
        <f>IFERROR(INDEX('G-6 Hedgerow Data'!$BJ$3:$BJ$15,MATCH(D99,'G-6 Hedgerow Data'!$B$3:$B$15,0)),"")</f>
        <v/>
      </c>
    </row>
    <row r="100" spans="2:33" ht="15" customHeight="1" x14ac:dyDescent="0.25">
      <c r="B100" s="128">
        <v>89</v>
      </c>
      <c r="C100" s="394"/>
      <c r="D100" s="275"/>
      <c r="E100" s="275"/>
      <c r="F100" s="171" t="str">
        <f>IF(D100="","",VLOOKUP(D100,'G-6 Hedgerow Data'!$B$2:$AG$15,2,FALSE))</f>
        <v/>
      </c>
      <c r="G100" s="176" t="str">
        <f>IF(D100="","",VLOOKUP(D100,'G-6 Hedgerow Data'!$B$2:$AG$15,3,FALSE))</f>
        <v/>
      </c>
      <c r="H100" s="189"/>
      <c r="I100" s="172" t="str">
        <f>IFERROR(IF(AND(F100="V.Low",OR(H100="Good",H100="Moderate")),"Error",VLOOKUP(H100,'G-1 All Habitats'!$Z$2:$AA$9,2,FALSE)),"")</f>
        <v/>
      </c>
      <c r="J100" s="186"/>
      <c r="K100" s="175" t="str">
        <f>IF(J100="","",IF(VLOOKUP(J100,'G-3 Multipliers'!$L$3:$N$6,2,FALSE)=0,"Spatial Data Missing",VLOOKUP(J100,'G-3 Multipliers'!$L$3:$N$6,2,FALSE)))</f>
        <v/>
      </c>
      <c r="L100" s="176" t="str">
        <f>IF(J100="","",IF(VLOOKUP(J100,'G-3 Multipliers'!$L$3:$N$6,3,FALSE)=0,"Spatial Data Missing",VLOOKUP(J100,'G-3 Multipliers'!$L$3:$N$6,3,FALSE)))</f>
        <v/>
      </c>
      <c r="M100" s="266"/>
      <c r="N100" s="172" t="str">
        <f>IF(M100="","",IF(VLOOKUP(M100,'G-3 Multipliers'!$S$3:$T$6,2,FALSE)=0,"Spatial Data Missing",VLOOKUP(M100,'G-3 Multipliers'!$S$3:$T$6,2,FALSE)))</f>
        <v/>
      </c>
      <c r="O100" s="171" t="str">
        <f>IF(OR(D100="",H100=""),"",(INDEX('G-6 Hedgerow Data'!$E$3:$I$15,MATCH(D100,'G-6 Hedgerow Data'!$B$3:$B$15,0),MATCH(H100,'G-6 Hedgerow Data'!$E$2:$I$2,0))))</f>
        <v/>
      </c>
      <c r="P100" s="261"/>
      <c r="Q100" s="261"/>
      <c r="R100" s="179" t="str">
        <f t="shared" si="7"/>
        <v/>
      </c>
      <c r="S100" s="262" t="str">
        <f t="shared" si="8"/>
        <v/>
      </c>
      <c r="T100" s="263" t="str">
        <f t="shared" si="6"/>
        <v/>
      </c>
      <c r="U100" s="239" t="str">
        <f>IF(D100="","",VLOOKUP(D100,'G-6 Hedgerow Data'!$B$3:$AG$15,31,FALSE))</f>
        <v/>
      </c>
      <c r="V100" s="175" t="str">
        <f t="shared" si="9"/>
        <v/>
      </c>
      <c r="W100" s="175" t="str">
        <f t="shared" si="10"/>
        <v/>
      </c>
      <c r="X100" s="176" t="str">
        <f>IF(F100="","",VLOOKUP(U100,'G-3 Multipliers'!$P$3:$Q$6,2,FALSE))</f>
        <v/>
      </c>
      <c r="Y100" s="274" t="str">
        <f t="shared" si="11"/>
        <v/>
      </c>
      <c r="Z100" s="180"/>
      <c r="AA100" s="181"/>
      <c r="AG100" s="35" t="str">
        <f>IFERROR(INDEX('G-6 Hedgerow Data'!$BJ$3:$BJ$15,MATCH(D100,'G-6 Hedgerow Data'!$B$3:$B$15,0)),"")</f>
        <v/>
      </c>
    </row>
    <row r="101" spans="2:33" ht="15" customHeight="1" x14ac:dyDescent="0.25">
      <c r="B101" s="128">
        <v>90</v>
      </c>
      <c r="C101" s="394"/>
      <c r="D101" s="275"/>
      <c r="E101" s="275"/>
      <c r="F101" s="171" t="str">
        <f>IF(D101="","",VLOOKUP(D101,'G-6 Hedgerow Data'!$B$2:$AG$15,2,FALSE))</f>
        <v/>
      </c>
      <c r="G101" s="176" t="str">
        <f>IF(D101="","",VLOOKUP(D101,'G-6 Hedgerow Data'!$B$2:$AG$15,3,FALSE))</f>
        <v/>
      </c>
      <c r="H101" s="189"/>
      <c r="I101" s="172" t="str">
        <f>IFERROR(IF(AND(F101="V.Low",OR(H101="Good",H101="Moderate")),"Error",VLOOKUP(H101,'G-1 All Habitats'!$Z$2:$AA$9,2,FALSE)),"")</f>
        <v/>
      </c>
      <c r="J101" s="186"/>
      <c r="K101" s="175" t="str">
        <f>IF(J101="","",IF(VLOOKUP(J101,'G-3 Multipliers'!$L$3:$N$6,2,FALSE)=0,"Spatial Data Missing",VLOOKUP(J101,'G-3 Multipliers'!$L$3:$N$6,2,FALSE)))</f>
        <v/>
      </c>
      <c r="L101" s="176" t="str">
        <f>IF(J101="","",IF(VLOOKUP(J101,'G-3 Multipliers'!$L$3:$N$6,3,FALSE)=0,"Spatial Data Missing",VLOOKUP(J101,'G-3 Multipliers'!$L$3:$N$6,3,FALSE)))</f>
        <v/>
      </c>
      <c r="M101" s="266"/>
      <c r="N101" s="172" t="str">
        <f>IF(M101="","",IF(VLOOKUP(M101,'G-3 Multipliers'!$S$3:$T$6,2,FALSE)=0,"Spatial Data Missing",VLOOKUP(M101,'G-3 Multipliers'!$S$3:$T$6,2,FALSE)))</f>
        <v/>
      </c>
      <c r="O101" s="171" t="str">
        <f>IF(OR(D101="",H101=""),"",(INDEX('G-6 Hedgerow Data'!$E$3:$I$15,MATCH(D101,'G-6 Hedgerow Data'!$B$3:$B$15,0),MATCH(H101,'G-6 Hedgerow Data'!$E$2:$I$2,0))))</f>
        <v/>
      </c>
      <c r="P101" s="261"/>
      <c r="Q101" s="261"/>
      <c r="R101" s="179" t="str">
        <f t="shared" si="7"/>
        <v/>
      </c>
      <c r="S101" s="262" t="str">
        <f t="shared" si="8"/>
        <v/>
      </c>
      <c r="T101" s="263" t="str">
        <f t="shared" si="6"/>
        <v/>
      </c>
      <c r="U101" s="239" t="str">
        <f>IF(D101="","",VLOOKUP(D101,'G-6 Hedgerow Data'!$B$3:$AG$15,31,FALSE))</f>
        <v/>
      </c>
      <c r="V101" s="175" t="str">
        <f t="shared" si="9"/>
        <v/>
      </c>
      <c r="W101" s="175" t="str">
        <f t="shared" si="10"/>
        <v/>
      </c>
      <c r="X101" s="176" t="str">
        <f>IF(F101="","",VLOOKUP(U101,'G-3 Multipliers'!$P$3:$Q$6,2,FALSE))</f>
        <v/>
      </c>
      <c r="Y101" s="274" t="str">
        <f t="shared" si="11"/>
        <v/>
      </c>
      <c r="Z101" s="180"/>
      <c r="AA101" s="181"/>
      <c r="AG101" s="35" t="str">
        <f>IFERROR(INDEX('G-6 Hedgerow Data'!$BJ$3:$BJ$15,MATCH(D101,'G-6 Hedgerow Data'!$B$3:$B$15,0)),"")</f>
        <v/>
      </c>
    </row>
    <row r="102" spans="2:33" ht="15" customHeight="1" x14ac:dyDescent="0.25">
      <c r="B102" s="128">
        <v>91</v>
      </c>
      <c r="C102" s="394"/>
      <c r="D102" s="275"/>
      <c r="E102" s="275"/>
      <c r="F102" s="171" t="str">
        <f>IF(D102="","",VLOOKUP(D102,'G-6 Hedgerow Data'!$B$2:$AG$15,2,FALSE))</f>
        <v/>
      </c>
      <c r="G102" s="176" t="str">
        <f>IF(D102="","",VLOOKUP(D102,'G-6 Hedgerow Data'!$B$2:$AG$15,3,FALSE))</f>
        <v/>
      </c>
      <c r="H102" s="189"/>
      <c r="I102" s="172" t="str">
        <f>IFERROR(IF(AND(F102="V.Low",OR(H102="Good",H102="Moderate")),"Error",VLOOKUP(H102,'G-1 All Habitats'!$Z$2:$AA$9,2,FALSE)),"")</f>
        <v/>
      </c>
      <c r="J102" s="186"/>
      <c r="K102" s="175" t="str">
        <f>IF(J102="","",IF(VLOOKUP(J102,'G-3 Multipliers'!$L$3:$N$6,2,FALSE)=0,"Spatial Data Missing",VLOOKUP(J102,'G-3 Multipliers'!$L$3:$N$6,2,FALSE)))</f>
        <v/>
      </c>
      <c r="L102" s="176" t="str">
        <f>IF(J102="","",IF(VLOOKUP(J102,'G-3 Multipliers'!$L$3:$N$6,3,FALSE)=0,"Spatial Data Missing",VLOOKUP(J102,'G-3 Multipliers'!$L$3:$N$6,3,FALSE)))</f>
        <v/>
      </c>
      <c r="M102" s="266"/>
      <c r="N102" s="172" t="str">
        <f>IF(M102="","",IF(VLOOKUP(M102,'G-3 Multipliers'!$S$3:$T$6,2,FALSE)=0,"Spatial Data Missing",VLOOKUP(M102,'G-3 Multipliers'!$S$3:$T$6,2,FALSE)))</f>
        <v/>
      </c>
      <c r="O102" s="171" t="str">
        <f>IF(OR(D102="",H102=""),"",(INDEX('G-6 Hedgerow Data'!$E$3:$I$15,MATCH(D102,'G-6 Hedgerow Data'!$B$3:$B$15,0),MATCH(H102,'G-6 Hedgerow Data'!$E$2:$I$2,0))))</f>
        <v/>
      </c>
      <c r="P102" s="261"/>
      <c r="Q102" s="261"/>
      <c r="R102" s="179" t="str">
        <f t="shared" si="7"/>
        <v/>
      </c>
      <c r="S102" s="262" t="str">
        <f t="shared" si="8"/>
        <v/>
      </c>
      <c r="T102" s="263" t="str">
        <f t="shared" si="6"/>
        <v/>
      </c>
      <c r="U102" s="239" t="str">
        <f>IF(D102="","",VLOOKUP(D102,'G-6 Hedgerow Data'!$B$3:$AG$15,31,FALSE))</f>
        <v/>
      </c>
      <c r="V102" s="175" t="str">
        <f t="shared" si="9"/>
        <v/>
      </c>
      <c r="W102" s="175" t="str">
        <f t="shared" si="10"/>
        <v/>
      </c>
      <c r="X102" s="176" t="str">
        <f>IF(F102="","",VLOOKUP(U102,'G-3 Multipliers'!$P$3:$Q$6,2,FALSE))</f>
        <v/>
      </c>
      <c r="Y102" s="274" t="str">
        <f t="shared" si="11"/>
        <v/>
      </c>
      <c r="Z102" s="180"/>
      <c r="AA102" s="181"/>
      <c r="AG102" s="35" t="str">
        <f>IFERROR(INDEX('G-6 Hedgerow Data'!$BJ$3:$BJ$15,MATCH(D102,'G-6 Hedgerow Data'!$B$3:$B$15,0)),"")</f>
        <v/>
      </c>
    </row>
    <row r="103" spans="2:33" ht="15" customHeight="1" x14ac:dyDescent="0.25">
      <c r="B103" s="128">
        <v>92</v>
      </c>
      <c r="C103" s="394"/>
      <c r="D103" s="275"/>
      <c r="E103" s="275"/>
      <c r="F103" s="171" t="str">
        <f>IF(D103="","",VLOOKUP(D103,'G-6 Hedgerow Data'!$B$2:$AG$15,2,FALSE))</f>
        <v/>
      </c>
      <c r="G103" s="176" t="str">
        <f>IF(D103="","",VLOOKUP(D103,'G-6 Hedgerow Data'!$B$2:$AG$15,3,FALSE))</f>
        <v/>
      </c>
      <c r="H103" s="189"/>
      <c r="I103" s="172" t="str">
        <f>IFERROR(IF(AND(F103="V.Low",OR(H103="Good",H103="Moderate")),"Error",VLOOKUP(H103,'G-1 All Habitats'!$Z$2:$AA$9,2,FALSE)),"")</f>
        <v/>
      </c>
      <c r="J103" s="186"/>
      <c r="K103" s="175" t="str">
        <f>IF(J103="","",IF(VLOOKUP(J103,'G-3 Multipliers'!$L$3:$N$6,2,FALSE)=0,"Spatial Data Missing",VLOOKUP(J103,'G-3 Multipliers'!$L$3:$N$6,2,FALSE)))</f>
        <v/>
      </c>
      <c r="L103" s="176" t="str">
        <f>IF(J103="","",IF(VLOOKUP(J103,'G-3 Multipliers'!$L$3:$N$6,3,FALSE)=0,"Spatial Data Missing",VLOOKUP(J103,'G-3 Multipliers'!$L$3:$N$6,3,FALSE)))</f>
        <v/>
      </c>
      <c r="M103" s="266"/>
      <c r="N103" s="172" t="str">
        <f>IF(M103="","",IF(VLOOKUP(M103,'G-3 Multipliers'!$S$3:$T$6,2,FALSE)=0,"Spatial Data Missing",VLOOKUP(M103,'G-3 Multipliers'!$S$3:$T$6,2,FALSE)))</f>
        <v/>
      </c>
      <c r="O103" s="171" t="str">
        <f>IF(OR(D103="",H103=""),"",(INDEX('G-6 Hedgerow Data'!$E$3:$I$15,MATCH(D103,'G-6 Hedgerow Data'!$B$3:$B$15,0),MATCH(H103,'G-6 Hedgerow Data'!$E$2:$I$2,0))))</f>
        <v/>
      </c>
      <c r="P103" s="261"/>
      <c r="Q103" s="261"/>
      <c r="R103" s="179" t="str">
        <f t="shared" si="7"/>
        <v/>
      </c>
      <c r="S103" s="262" t="str">
        <f t="shared" si="8"/>
        <v/>
      </c>
      <c r="T103" s="263" t="str">
        <f t="shared" si="6"/>
        <v/>
      </c>
      <c r="U103" s="239" t="str">
        <f>IF(D103="","",VLOOKUP(D103,'G-6 Hedgerow Data'!$B$3:$AG$15,31,FALSE))</f>
        <v/>
      </c>
      <c r="V103" s="175" t="str">
        <f t="shared" si="9"/>
        <v/>
      </c>
      <c r="W103" s="175" t="str">
        <f t="shared" si="10"/>
        <v/>
      </c>
      <c r="X103" s="176" t="str">
        <f>IF(F103="","",VLOOKUP(U103,'G-3 Multipliers'!$P$3:$Q$6,2,FALSE))</f>
        <v/>
      </c>
      <c r="Y103" s="274" t="str">
        <f t="shared" si="11"/>
        <v/>
      </c>
      <c r="Z103" s="180"/>
      <c r="AA103" s="181"/>
      <c r="AG103" s="35" t="str">
        <f>IFERROR(INDEX('G-6 Hedgerow Data'!$BJ$3:$BJ$15,MATCH(D103,'G-6 Hedgerow Data'!$B$3:$B$15,0)),"")</f>
        <v/>
      </c>
    </row>
    <row r="104" spans="2:33" ht="15" customHeight="1" x14ac:dyDescent="0.25">
      <c r="B104" s="128">
        <v>93</v>
      </c>
      <c r="C104" s="394"/>
      <c r="D104" s="275"/>
      <c r="E104" s="275"/>
      <c r="F104" s="171" t="str">
        <f>IF(D104="","",VLOOKUP(D104,'G-6 Hedgerow Data'!$B$2:$AG$15,2,FALSE))</f>
        <v/>
      </c>
      <c r="G104" s="176" t="str">
        <f>IF(D104="","",VLOOKUP(D104,'G-6 Hedgerow Data'!$B$2:$AG$15,3,FALSE))</f>
        <v/>
      </c>
      <c r="H104" s="189"/>
      <c r="I104" s="172" t="str">
        <f>IFERROR(IF(AND(F104="V.Low",OR(H104="Good",H104="Moderate")),"Error",VLOOKUP(H104,'G-1 All Habitats'!$Z$2:$AA$9,2,FALSE)),"")</f>
        <v/>
      </c>
      <c r="J104" s="186"/>
      <c r="K104" s="175" t="str">
        <f>IF(J104="","",IF(VLOOKUP(J104,'G-3 Multipliers'!$L$3:$N$6,2,FALSE)=0,"Spatial Data Missing",VLOOKUP(J104,'G-3 Multipliers'!$L$3:$N$6,2,FALSE)))</f>
        <v/>
      </c>
      <c r="L104" s="176" t="str">
        <f>IF(J104="","",IF(VLOOKUP(J104,'G-3 Multipliers'!$L$3:$N$6,3,FALSE)=0,"Spatial Data Missing",VLOOKUP(J104,'G-3 Multipliers'!$L$3:$N$6,3,FALSE)))</f>
        <v/>
      </c>
      <c r="M104" s="266"/>
      <c r="N104" s="172" t="str">
        <f>IF(M104="","",IF(VLOOKUP(M104,'G-3 Multipliers'!$S$3:$T$6,2,FALSE)=0,"Spatial Data Missing",VLOOKUP(M104,'G-3 Multipliers'!$S$3:$T$6,2,FALSE)))</f>
        <v/>
      </c>
      <c r="O104" s="171" t="str">
        <f>IF(OR(D104="",H104=""),"",(INDEX('G-6 Hedgerow Data'!$E$3:$I$15,MATCH(D104,'G-6 Hedgerow Data'!$B$3:$B$15,0),MATCH(H104,'G-6 Hedgerow Data'!$E$2:$I$2,0))))</f>
        <v/>
      </c>
      <c r="P104" s="261"/>
      <c r="Q104" s="261"/>
      <c r="R104" s="179" t="str">
        <f t="shared" si="7"/>
        <v/>
      </c>
      <c r="S104" s="262" t="str">
        <f t="shared" si="8"/>
        <v/>
      </c>
      <c r="T104" s="263" t="str">
        <f t="shared" si="6"/>
        <v/>
      </c>
      <c r="U104" s="239" t="str">
        <f>IF(D104="","",VLOOKUP(D104,'G-6 Hedgerow Data'!$B$3:$AG$15,31,FALSE))</f>
        <v/>
      </c>
      <c r="V104" s="175" t="str">
        <f t="shared" si="9"/>
        <v/>
      </c>
      <c r="W104" s="175" t="str">
        <f t="shared" si="10"/>
        <v/>
      </c>
      <c r="X104" s="176" t="str">
        <f>IF(F104="","",VLOOKUP(U104,'G-3 Multipliers'!$P$3:$Q$6,2,FALSE))</f>
        <v/>
      </c>
      <c r="Y104" s="274" t="str">
        <f t="shared" si="11"/>
        <v/>
      </c>
      <c r="Z104" s="180"/>
      <c r="AA104" s="181"/>
      <c r="AG104" s="35" t="str">
        <f>IFERROR(INDEX('G-6 Hedgerow Data'!$BJ$3:$BJ$15,MATCH(D104,'G-6 Hedgerow Data'!$B$3:$B$15,0)),"")</f>
        <v/>
      </c>
    </row>
    <row r="105" spans="2:33" ht="15" customHeight="1" x14ac:dyDescent="0.25">
      <c r="B105" s="128">
        <v>94</v>
      </c>
      <c r="C105" s="394"/>
      <c r="D105" s="275"/>
      <c r="E105" s="275"/>
      <c r="F105" s="171" t="str">
        <f>IF(D105="","",VLOOKUP(D105,'G-6 Hedgerow Data'!$B$2:$AG$15,2,FALSE))</f>
        <v/>
      </c>
      <c r="G105" s="176" t="str">
        <f>IF(D105="","",VLOOKUP(D105,'G-6 Hedgerow Data'!$B$2:$AG$15,3,FALSE))</f>
        <v/>
      </c>
      <c r="H105" s="189"/>
      <c r="I105" s="172" t="str">
        <f>IFERROR(IF(AND(F105="V.Low",OR(H105="Good",H105="Moderate")),"Error",VLOOKUP(H105,'G-1 All Habitats'!$Z$2:$AA$9,2,FALSE)),"")</f>
        <v/>
      </c>
      <c r="J105" s="186"/>
      <c r="K105" s="175" t="str">
        <f>IF(J105="","",IF(VLOOKUP(J105,'G-3 Multipliers'!$L$3:$N$6,2,FALSE)=0,"Spatial Data Missing",VLOOKUP(J105,'G-3 Multipliers'!$L$3:$N$6,2,FALSE)))</f>
        <v/>
      </c>
      <c r="L105" s="176" t="str">
        <f>IF(J105="","",IF(VLOOKUP(J105,'G-3 Multipliers'!$L$3:$N$6,3,FALSE)=0,"Spatial Data Missing",VLOOKUP(J105,'G-3 Multipliers'!$L$3:$N$6,3,FALSE)))</f>
        <v/>
      </c>
      <c r="M105" s="266"/>
      <c r="N105" s="172" t="str">
        <f>IF(M105="","",IF(VLOOKUP(M105,'G-3 Multipliers'!$S$3:$T$6,2,FALSE)=0,"Spatial Data Missing",VLOOKUP(M105,'G-3 Multipliers'!$S$3:$T$6,2,FALSE)))</f>
        <v/>
      </c>
      <c r="O105" s="171" t="str">
        <f>IF(OR(D105="",H105=""),"",(INDEX('G-6 Hedgerow Data'!$E$3:$I$15,MATCH(D105,'G-6 Hedgerow Data'!$B$3:$B$15,0),MATCH(H105,'G-6 Hedgerow Data'!$E$2:$I$2,0))))</f>
        <v/>
      </c>
      <c r="P105" s="261"/>
      <c r="Q105" s="261"/>
      <c r="R105" s="179" t="str">
        <f t="shared" si="7"/>
        <v/>
      </c>
      <c r="S105" s="262" t="str">
        <f t="shared" si="8"/>
        <v/>
      </c>
      <c r="T105" s="263" t="str">
        <f t="shared" si="6"/>
        <v/>
      </c>
      <c r="U105" s="239" t="str">
        <f>IF(D105="","",VLOOKUP(D105,'G-6 Hedgerow Data'!$B$3:$AG$15,31,FALSE))</f>
        <v/>
      </c>
      <c r="V105" s="175" t="str">
        <f t="shared" si="9"/>
        <v/>
      </c>
      <c r="W105" s="175" t="str">
        <f t="shared" si="10"/>
        <v/>
      </c>
      <c r="X105" s="176" t="str">
        <f>IF(F105="","",VLOOKUP(U105,'G-3 Multipliers'!$P$3:$Q$6,2,FALSE))</f>
        <v/>
      </c>
      <c r="Y105" s="274" t="str">
        <f t="shared" si="11"/>
        <v/>
      </c>
      <c r="Z105" s="180"/>
      <c r="AA105" s="181"/>
      <c r="AG105" s="35" t="str">
        <f>IFERROR(INDEX('G-6 Hedgerow Data'!$BJ$3:$BJ$15,MATCH(D105,'G-6 Hedgerow Data'!$B$3:$B$15,0)),"")</f>
        <v/>
      </c>
    </row>
    <row r="106" spans="2:33" ht="15" customHeight="1" x14ac:dyDescent="0.25">
      <c r="B106" s="128">
        <v>95</v>
      </c>
      <c r="C106" s="394"/>
      <c r="D106" s="275"/>
      <c r="E106" s="275"/>
      <c r="F106" s="171" t="str">
        <f>IF(D106="","",VLOOKUP(D106,'G-6 Hedgerow Data'!$B$2:$AG$15,2,FALSE))</f>
        <v/>
      </c>
      <c r="G106" s="176" t="str">
        <f>IF(D106="","",VLOOKUP(D106,'G-6 Hedgerow Data'!$B$2:$AG$15,3,FALSE))</f>
        <v/>
      </c>
      <c r="H106" s="189"/>
      <c r="I106" s="172" t="str">
        <f>IFERROR(IF(AND(F106="V.Low",OR(H106="Good",H106="Moderate")),"Error",VLOOKUP(H106,'G-1 All Habitats'!$Z$2:$AA$9,2,FALSE)),"")</f>
        <v/>
      </c>
      <c r="J106" s="186"/>
      <c r="K106" s="175" t="str">
        <f>IF(J106="","",IF(VLOOKUP(J106,'G-3 Multipliers'!$L$3:$N$6,2,FALSE)=0,"Spatial Data Missing",VLOOKUP(J106,'G-3 Multipliers'!$L$3:$N$6,2,FALSE)))</f>
        <v/>
      </c>
      <c r="L106" s="176" t="str">
        <f>IF(J106="","",IF(VLOOKUP(J106,'G-3 Multipliers'!$L$3:$N$6,3,FALSE)=0,"Spatial Data Missing",VLOOKUP(J106,'G-3 Multipliers'!$L$3:$N$6,3,FALSE)))</f>
        <v/>
      </c>
      <c r="M106" s="266"/>
      <c r="N106" s="172" t="str">
        <f>IF(M106="","",IF(VLOOKUP(M106,'G-3 Multipliers'!$S$3:$T$6,2,FALSE)=0,"Spatial Data Missing",VLOOKUP(M106,'G-3 Multipliers'!$S$3:$T$6,2,FALSE)))</f>
        <v/>
      </c>
      <c r="O106" s="171" t="str">
        <f>IF(OR(D106="",H106=""),"",(INDEX('G-6 Hedgerow Data'!$E$3:$I$15,MATCH(D106,'G-6 Hedgerow Data'!$B$3:$B$15,0),MATCH(H106,'G-6 Hedgerow Data'!$E$2:$I$2,0))))</f>
        <v/>
      </c>
      <c r="P106" s="261"/>
      <c r="Q106" s="261"/>
      <c r="R106" s="179" t="str">
        <f t="shared" si="7"/>
        <v/>
      </c>
      <c r="S106" s="262" t="str">
        <f t="shared" si="8"/>
        <v/>
      </c>
      <c r="T106" s="263" t="str">
        <f t="shared" si="6"/>
        <v/>
      </c>
      <c r="U106" s="239" t="str">
        <f>IF(D106="","",VLOOKUP(D106,'G-6 Hedgerow Data'!$B$3:$AG$15,31,FALSE))</f>
        <v/>
      </c>
      <c r="V106" s="175" t="str">
        <f t="shared" si="9"/>
        <v/>
      </c>
      <c r="W106" s="175" t="str">
        <f t="shared" si="10"/>
        <v/>
      </c>
      <c r="X106" s="176" t="str">
        <f>IF(F106="","",VLOOKUP(U106,'G-3 Multipliers'!$P$3:$Q$6,2,FALSE))</f>
        <v/>
      </c>
      <c r="Y106" s="274" t="str">
        <f t="shared" si="11"/>
        <v/>
      </c>
      <c r="Z106" s="180"/>
      <c r="AA106" s="181"/>
      <c r="AG106" s="35" t="str">
        <f>IFERROR(INDEX('G-6 Hedgerow Data'!$BJ$3:$BJ$15,MATCH(D106,'G-6 Hedgerow Data'!$B$3:$B$15,0)),"")</f>
        <v/>
      </c>
    </row>
    <row r="107" spans="2:33" ht="15" customHeight="1" x14ac:dyDescent="0.25">
      <c r="B107" s="128">
        <v>96</v>
      </c>
      <c r="C107" s="394"/>
      <c r="D107" s="275"/>
      <c r="E107" s="275"/>
      <c r="F107" s="171" t="str">
        <f>IF(D107="","",VLOOKUP(D107,'G-6 Hedgerow Data'!$B$2:$AG$15,2,FALSE))</f>
        <v/>
      </c>
      <c r="G107" s="176" t="str">
        <f>IF(D107="","",VLOOKUP(D107,'G-6 Hedgerow Data'!$B$2:$AG$15,3,FALSE))</f>
        <v/>
      </c>
      <c r="H107" s="189"/>
      <c r="I107" s="172" t="str">
        <f>IFERROR(IF(AND(F107="V.Low",OR(H107="Good",H107="Moderate")),"Error",VLOOKUP(H107,'G-1 All Habitats'!$Z$2:$AA$9,2,FALSE)),"")</f>
        <v/>
      </c>
      <c r="J107" s="186"/>
      <c r="K107" s="175" t="str">
        <f>IF(J107="","",IF(VLOOKUP(J107,'G-3 Multipliers'!$L$3:$N$6,2,FALSE)=0,"Spatial Data Missing",VLOOKUP(J107,'G-3 Multipliers'!$L$3:$N$6,2,FALSE)))</f>
        <v/>
      </c>
      <c r="L107" s="176" t="str">
        <f>IF(J107="","",IF(VLOOKUP(J107,'G-3 Multipliers'!$L$3:$N$6,3,FALSE)=0,"Spatial Data Missing",VLOOKUP(J107,'G-3 Multipliers'!$L$3:$N$6,3,FALSE)))</f>
        <v/>
      </c>
      <c r="M107" s="266"/>
      <c r="N107" s="172" t="str">
        <f>IF(M107="","",IF(VLOOKUP(M107,'G-3 Multipliers'!$S$3:$T$6,2,FALSE)=0,"Spatial Data Missing",VLOOKUP(M107,'G-3 Multipliers'!$S$3:$T$6,2,FALSE)))</f>
        <v/>
      </c>
      <c r="O107" s="171" t="str">
        <f>IF(OR(D107="",H107=""),"",(INDEX('G-6 Hedgerow Data'!$E$3:$I$15,MATCH(D107,'G-6 Hedgerow Data'!$B$3:$B$15,0),MATCH(H107,'G-6 Hedgerow Data'!$E$2:$I$2,0))))</f>
        <v/>
      </c>
      <c r="P107" s="261"/>
      <c r="Q107" s="261"/>
      <c r="R107" s="179" t="str">
        <f t="shared" si="7"/>
        <v/>
      </c>
      <c r="S107" s="262" t="str">
        <f t="shared" si="8"/>
        <v/>
      </c>
      <c r="T107" s="263" t="str">
        <f t="shared" si="6"/>
        <v/>
      </c>
      <c r="U107" s="239" t="str">
        <f>IF(D107="","",VLOOKUP(D107,'G-6 Hedgerow Data'!$B$3:$AG$15,31,FALSE))</f>
        <v/>
      </c>
      <c r="V107" s="175" t="str">
        <f t="shared" si="9"/>
        <v/>
      </c>
      <c r="W107" s="175" t="str">
        <f t="shared" si="10"/>
        <v/>
      </c>
      <c r="X107" s="176" t="str">
        <f>IF(F107="","",VLOOKUP(U107,'G-3 Multipliers'!$P$3:$Q$6,2,FALSE))</f>
        <v/>
      </c>
      <c r="Y107" s="274" t="str">
        <f t="shared" si="11"/>
        <v/>
      </c>
      <c r="Z107" s="180"/>
      <c r="AA107" s="181"/>
      <c r="AG107" s="35" t="str">
        <f>IFERROR(INDEX('G-6 Hedgerow Data'!$BJ$3:$BJ$15,MATCH(D107,'G-6 Hedgerow Data'!$B$3:$B$15,0)),"")</f>
        <v/>
      </c>
    </row>
    <row r="108" spans="2:33" ht="15" customHeight="1" x14ac:dyDescent="0.25">
      <c r="B108" s="128">
        <v>97</v>
      </c>
      <c r="C108" s="394"/>
      <c r="D108" s="275"/>
      <c r="E108" s="275"/>
      <c r="F108" s="171" t="str">
        <f>IF(D108="","",VLOOKUP(D108,'G-6 Hedgerow Data'!$B$2:$AG$15,2,FALSE))</f>
        <v/>
      </c>
      <c r="G108" s="176" t="str">
        <f>IF(D108="","",VLOOKUP(D108,'G-6 Hedgerow Data'!$B$2:$AG$15,3,FALSE))</f>
        <v/>
      </c>
      <c r="H108" s="189"/>
      <c r="I108" s="172" t="str">
        <f>IFERROR(IF(AND(F108="V.Low",OR(H108="Good",H108="Moderate")),"Error",VLOOKUP(H108,'G-1 All Habitats'!$Z$2:$AA$9,2,FALSE)),"")</f>
        <v/>
      </c>
      <c r="J108" s="186"/>
      <c r="K108" s="175" t="str">
        <f>IF(J108="","",IF(VLOOKUP(J108,'G-3 Multipliers'!$L$3:$N$6,2,FALSE)=0,"Spatial Data Missing",VLOOKUP(J108,'G-3 Multipliers'!$L$3:$N$6,2,FALSE)))</f>
        <v/>
      </c>
      <c r="L108" s="176" t="str">
        <f>IF(J108="","",IF(VLOOKUP(J108,'G-3 Multipliers'!$L$3:$N$6,3,FALSE)=0,"Spatial Data Missing",VLOOKUP(J108,'G-3 Multipliers'!$L$3:$N$6,3,FALSE)))</f>
        <v/>
      </c>
      <c r="M108" s="266"/>
      <c r="N108" s="172" t="str">
        <f>IF(M108="","",IF(VLOOKUP(M108,'G-3 Multipliers'!$S$3:$T$6,2,FALSE)=0,"Spatial Data Missing",VLOOKUP(M108,'G-3 Multipliers'!$S$3:$T$6,2,FALSE)))</f>
        <v/>
      </c>
      <c r="O108" s="171" t="str">
        <f>IF(OR(D108="",H108=""),"",(INDEX('G-6 Hedgerow Data'!$E$3:$I$15,MATCH(D108,'G-6 Hedgerow Data'!$B$3:$B$15,0),MATCH(H108,'G-6 Hedgerow Data'!$E$2:$I$2,0))))</f>
        <v/>
      </c>
      <c r="P108" s="261"/>
      <c r="Q108" s="261"/>
      <c r="R108" s="179" t="str">
        <f t="shared" si="7"/>
        <v/>
      </c>
      <c r="S108" s="262" t="str">
        <f t="shared" si="8"/>
        <v/>
      </c>
      <c r="T108" s="263" t="str">
        <f t="shared" si="6"/>
        <v/>
      </c>
      <c r="U108" s="239" t="str">
        <f>IF(D108="","",VLOOKUP(D108,'G-6 Hedgerow Data'!$B$3:$AG$15,31,FALSE))</f>
        <v/>
      </c>
      <c r="V108" s="175" t="str">
        <f t="shared" si="9"/>
        <v/>
      </c>
      <c r="W108" s="175" t="str">
        <f t="shared" si="10"/>
        <v/>
      </c>
      <c r="X108" s="176" t="str">
        <f>IF(F108="","",VLOOKUP(U108,'G-3 Multipliers'!$P$3:$Q$6,2,FALSE))</f>
        <v/>
      </c>
      <c r="Y108" s="274" t="str">
        <f t="shared" si="11"/>
        <v/>
      </c>
      <c r="Z108" s="180"/>
      <c r="AA108" s="181"/>
      <c r="AG108" s="35" t="str">
        <f>IFERROR(INDEX('G-6 Hedgerow Data'!$BJ$3:$BJ$15,MATCH(D108,'G-6 Hedgerow Data'!$B$3:$B$15,0)),"")</f>
        <v/>
      </c>
    </row>
    <row r="109" spans="2:33" ht="15" customHeight="1" x14ac:dyDescent="0.25">
      <c r="B109" s="128">
        <v>98</v>
      </c>
      <c r="C109" s="394"/>
      <c r="D109" s="275"/>
      <c r="E109" s="275"/>
      <c r="F109" s="171" t="str">
        <f>IF(D109="","",VLOOKUP(D109,'G-6 Hedgerow Data'!$B$2:$AG$15,2,FALSE))</f>
        <v/>
      </c>
      <c r="G109" s="176" t="str">
        <f>IF(D109="","",VLOOKUP(D109,'G-6 Hedgerow Data'!$B$2:$AG$15,3,FALSE))</f>
        <v/>
      </c>
      <c r="H109" s="189"/>
      <c r="I109" s="172" t="str">
        <f>IFERROR(IF(AND(F109="V.Low",OR(H109="Good",H109="Moderate")),"Error",VLOOKUP(H109,'G-1 All Habitats'!$Z$2:$AA$9,2,FALSE)),"")</f>
        <v/>
      </c>
      <c r="J109" s="186"/>
      <c r="K109" s="175" t="str">
        <f>IF(J109="","",IF(VLOOKUP(J109,'G-3 Multipliers'!$L$3:$N$6,2,FALSE)=0,"Spatial Data Missing",VLOOKUP(J109,'G-3 Multipliers'!$L$3:$N$6,2,FALSE)))</f>
        <v/>
      </c>
      <c r="L109" s="176" t="str">
        <f>IF(J109="","",IF(VLOOKUP(J109,'G-3 Multipliers'!$L$3:$N$6,3,FALSE)=0,"Spatial Data Missing",VLOOKUP(J109,'G-3 Multipliers'!$L$3:$N$6,3,FALSE)))</f>
        <v/>
      </c>
      <c r="M109" s="266"/>
      <c r="N109" s="172" t="str">
        <f>IF(M109="","",IF(VLOOKUP(M109,'G-3 Multipliers'!$S$3:$T$6,2,FALSE)=0,"Spatial Data Missing",VLOOKUP(M109,'G-3 Multipliers'!$S$3:$T$6,2,FALSE)))</f>
        <v/>
      </c>
      <c r="O109" s="171" t="str">
        <f>IF(OR(D109="",H109=""),"",(INDEX('G-6 Hedgerow Data'!$E$3:$I$15,MATCH(D109,'G-6 Hedgerow Data'!$B$3:$B$15,0),MATCH(H109,'G-6 Hedgerow Data'!$E$2:$I$2,0))))</f>
        <v/>
      </c>
      <c r="P109" s="261"/>
      <c r="Q109" s="261"/>
      <c r="R109" s="179" t="str">
        <f t="shared" si="7"/>
        <v/>
      </c>
      <c r="S109" s="262" t="str">
        <f t="shared" si="8"/>
        <v/>
      </c>
      <c r="T109" s="263" t="str">
        <f t="shared" si="6"/>
        <v/>
      </c>
      <c r="U109" s="239" t="str">
        <f>IF(D109="","",VLOOKUP(D109,'G-6 Hedgerow Data'!$B$3:$AG$15,31,FALSE))</f>
        <v/>
      </c>
      <c r="V109" s="175" t="str">
        <f t="shared" si="9"/>
        <v/>
      </c>
      <c r="W109" s="175" t="str">
        <f t="shared" si="10"/>
        <v/>
      </c>
      <c r="X109" s="176" t="str">
        <f>IF(F109="","",VLOOKUP(U109,'G-3 Multipliers'!$P$3:$Q$6,2,FALSE))</f>
        <v/>
      </c>
      <c r="Y109" s="274" t="str">
        <f t="shared" si="11"/>
        <v/>
      </c>
      <c r="Z109" s="180"/>
      <c r="AA109" s="181"/>
      <c r="AG109" s="35" t="str">
        <f>IFERROR(INDEX('G-6 Hedgerow Data'!$BJ$3:$BJ$15,MATCH(D109,'G-6 Hedgerow Data'!$B$3:$B$15,0)),"")</f>
        <v/>
      </c>
    </row>
    <row r="110" spans="2:33" ht="15" customHeight="1" x14ac:dyDescent="0.25">
      <c r="B110" s="128">
        <v>99</v>
      </c>
      <c r="C110" s="394"/>
      <c r="D110" s="275"/>
      <c r="E110" s="275"/>
      <c r="F110" s="171" t="str">
        <f>IF(D110="","",VLOOKUP(D110,'G-6 Hedgerow Data'!$B$2:$AG$15,2,FALSE))</f>
        <v/>
      </c>
      <c r="G110" s="176" t="str">
        <f>IF(D110="","",VLOOKUP(D110,'G-6 Hedgerow Data'!$B$2:$AG$15,3,FALSE))</f>
        <v/>
      </c>
      <c r="H110" s="189"/>
      <c r="I110" s="172" t="str">
        <f>IFERROR(IF(AND(F110="V.Low",OR(H110="Good",H110="Moderate")),"Error",VLOOKUP(H110,'G-1 All Habitats'!$Z$2:$AA$9,2,FALSE)),"")</f>
        <v/>
      </c>
      <c r="J110" s="186"/>
      <c r="K110" s="175" t="str">
        <f>IF(J110="","",IF(VLOOKUP(J110,'G-3 Multipliers'!$L$3:$N$6,2,FALSE)=0,"Spatial Data Missing",VLOOKUP(J110,'G-3 Multipliers'!$L$3:$N$6,2,FALSE)))</f>
        <v/>
      </c>
      <c r="L110" s="176" t="str">
        <f>IF(J110="","",IF(VLOOKUP(J110,'G-3 Multipliers'!$L$3:$N$6,3,FALSE)=0,"Spatial Data Missing",VLOOKUP(J110,'G-3 Multipliers'!$L$3:$N$6,3,FALSE)))</f>
        <v/>
      </c>
      <c r="M110" s="266"/>
      <c r="N110" s="172" t="str">
        <f>IF(M110="","",IF(VLOOKUP(M110,'G-3 Multipliers'!$S$3:$T$6,2,FALSE)=0,"Spatial Data Missing",VLOOKUP(M110,'G-3 Multipliers'!$S$3:$T$6,2,FALSE)))</f>
        <v/>
      </c>
      <c r="O110" s="171" t="str">
        <f>IF(OR(D110="",H110=""),"",(INDEX('G-6 Hedgerow Data'!$E$3:$I$15,MATCH(D110,'G-6 Hedgerow Data'!$B$3:$B$15,0),MATCH(H110,'G-6 Hedgerow Data'!$E$2:$I$2,0))))</f>
        <v/>
      </c>
      <c r="P110" s="261"/>
      <c r="Q110" s="261"/>
      <c r="R110" s="179" t="str">
        <f t="shared" si="7"/>
        <v/>
      </c>
      <c r="S110" s="262" t="str">
        <f t="shared" si="8"/>
        <v/>
      </c>
      <c r="T110" s="263" t="str">
        <f t="shared" si="6"/>
        <v/>
      </c>
      <c r="U110" s="239" t="str">
        <f>IF(D110="","",VLOOKUP(D110,'G-6 Hedgerow Data'!$B$3:$AG$15,31,FALSE))</f>
        <v/>
      </c>
      <c r="V110" s="175" t="str">
        <f t="shared" si="9"/>
        <v/>
      </c>
      <c r="W110" s="175" t="str">
        <f t="shared" si="10"/>
        <v/>
      </c>
      <c r="X110" s="176" t="str">
        <f>IF(F110="","",VLOOKUP(U110,'G-3 Multipliers'!$P$3:$Q$6,2,FALSE))</f>
        <v/>
      </c>
      <c r="Y110" s="274" t="str">
        <f t="shared" si="11"/>
        <v/>
      </c>
      <c r="Z110" s="180"/>
      <c r="AA110" s="181"/>
      <c r="AG110" s="35" t="str">
        <f>IFERROR(INDEX('G-6 Hedgerow Data'!$BJ$3:$BJ$15,MATCH(D110,'G-6 Hedgerow Data'!$B$3:$B$15,0)),"")</f>
        <v/>
      </c>
    </row>
    <row r="111" spans="2:33" ht="15" customHeight="1" x14ac:dyDescent="0.25">
      <c r="B111" s="128">
        <v>100</v>
      </c>
      <c r="C111" s="394"/>
      <c r="D111" s="275"/>
      <c r="E111" s="275"/>
      <c r="F111" s="171" t="str">
        <f>IF(D111="","",VLOOKUP(D111,'G-6 Hedgerow Data'!$B$2:$AG$15,2,FALSE))</f>
        <v/>
      </c>
      <c r="G111" s="176" t="str">
        <f>IF(D111="","",VLOOKUP(D111,'G-6 Hedgerow Data'!$B$2:$AG$15,3,FALSE))</f>
        <v/>
      </c>
      <c r="H111" s="189"/>
      <c r="I111" s="172" t="str">
        <f>IFERROR(IF(AND(F111="V.Low",OR(H111="Good",H111="Moderate")),"Error",VLOOKUP(H111,'G-1 All Habitats'!$Z$2:$AA$9,2,FALSE)),"")</f>
        <v/>
      </c>
      <c r="J111" s="186"/>
      <c r="K111" s="175" t="str">
        <f>IF(J111="","",IF(VLOOKUP(J111,'G-3 Multipliers'!$L$3:$N$6,2,FALSE)=0,"Spatial Data Missing",VLOOKUP(J111,'G-3 Multipliers'!$L$3:$N$6,2,FALSE)))</f>
        <v/>
      </c>
      <c r="L111" s="176" t="str">
        <f>IF(J111="","",IF(VLOOKUP(J111,'G-3 Multipliers'!$L$3:$N$6,3,FALSE)=0,"Spatial Data Missing",VLOOKUP(J111,'G-3 Multipliers'!$L$3:$N$6,3,FALSE)))</f>
        <v/>
      </c>
      <c r="M111" s="266"/>
      <c r="N111" s="172" t="str">
        <f>IF(M111="","",IF(VLOOKUP(M111,'G-3 Multipliers'!$S$3:$T$6,2,FALSE)=0,"Spatial Data Missing",VLOOKUP(M111,'G-3 Multipliers'!$S$3:$T$6,2,FALSE)))</f>
        <v/>
      </c>
      <c r="O111" s="171" t="str">
        <f>IF(OR(D111="",H111=""),"",(INDEX('G-6 Hedgerow Data'!$E$3:$I$15,MATCH(D111,'G-6 Hedgerow Data'!$B$3:$B$15,0),MATCH(H111,'G-6 Hedgerow Data'!$E$2:$I$2,0))))</f>
        <v/>
      </c>
      <c r="P111" s="261"/>
      <c r="Q111" s="261"/>
      <c r="R111" s="179" t="str">
        <f t="shared" si="7"/>
        <v/>
      </c>
      <c r="S111" s="262" t="str">
        <f t="shared" si="8"/>
        <v/>
      </c>
      <c r="T111" s="263" t="str">
        <f t="shared" si="6"/>
        <v/>
      </c>
      <c r="U111" s="239" t="str">
        <f>IF(D111="","",VLOOKUP(D111,'G-6 Hedgerow Data'!$B$3:$AG$15,31,FALSE))</f>
        <v/>
      </c>
      <c r="V111" s="175" t="str">
        <f t="shared" si="9"/>
        <v/>
      </c>
      <c r="W111" s="175" t="str">
        <f t="shared" si="10"/>
        <v/>
      </c>
      <c r="X111" s="176" t="str">
        <f>IF(F111="","",VLOOKUP(U111,'G-3 Multipliers'!$P$3:$Q$6,2,FALSE))</f>
        <v/>
      </c>
      <c r="Y111" s="274" t="str">
        <f t="shared" si="11"/>
        <v/>
      </c>
      <c r="Z111" s="180"/>
      <c r="AA111" s="181"/>
      <c r="AG111" s="35" t="str">
        <f>IFERROR(INDEX('G-6 Hedgerow Data'!$BJ$3:$BJ$15,MATCH(D111,'G-6 Hedgerow Data'!$B$3:$B$15,0)),"")</f>
        <v/>
      </c>
    </row>
    <row r="112" spans="2:33" ht="15" customHeight="1" x14ac:dyDescent="0.25">
      <c r="B112" s="128">
        <v>101</v>
      </c>
      <c r="C112" s="394"/>
      <c r="D112" s="275"/>
      <c r="E112" s="275"/>
      <c r="F112" s="171" t="str">
        <f>IF(D112="","",VLOOKUP(D112,'G-6 Hedgerow Data'!$B$2:$AG$15,2,FALSE))</f>
        <v/>
      </c>
      <c r="G112" s="176" t="str">
        <f>IF(D112="","",VLOOKUP(D112,'G-6 Hedgerow Data'!$B$2:$AG$15,3,FALSE))</f>
        <v/>
      </c>
      <c r="H112" s="189"/>
      <c r="I112" s="172" t="str">
        <f>IFERROR(IF(AND(F112="V.Low",OR(H112="Good",H112="Moderate")),"Error",VLOOKUP(H112,'G-1 All Habitats'!$Z$2:$AA$9,2,FALSE)),"")</f>
        <v/>
      </c>
      <c r="J112" s="186"/>
      <c r="K112" s="175" t="str">
        <f>IF(J112="","",IF(VLOOKUP(J112,'G-3 Multipliers'!$L$3:$N$6,2,FALSE)=0,"Spatial Data Missing",VLOOKUP(J112,'G-3 Multipliers'!$L$3:$N$6,2,FALSE)))</f>
        <v/>
      </c>
      <c r="L112" s="176" t="str">
        <f>IF(J112="","",IF(VLOOKUP(J112,'G-3 Multipliers'!$L$3:$N$6,3,FALSE)=0,"Spatial Data Missing",VLOOKUP(J112,'G-3 Multipliers'!$L$3:$N$6,3,FALSE)))</f>
        <v/>
      </c>
      <c r="M112" s="266"/>
      <c r="N112" s="172" t="str">
        <f>IF(M112="","",IF(VLOOKUP(M112,'G-3 Multipliers'!$S$3:$T$6,2,FALSE)=0,"Spatial Data Missing",VLOOKUP(M112,'G-3 Multipliers'!$S$3:$T$6,2,FALSE)))</f>
        <v/>
      </c>
      <c r="O112" s="171" t="str">
        <f>IF(OR(D112="",H112=""),"",(INDEX('G-6 Hedgerow Data'!$E$3:$I$15,MATCH(D112,'G-6 Hedgerow Data'!$B$3:$B$15,0),MATCH(H112,'G-6 Hedgerow Data'!$E$2:$I$2,0))))</f>
        <v/>
      </c>
      <c r="P112" s="261"/>
      <c r="Q112" s="261"/>
      <c r="R112" s="179" t="str">
        <f t="shared" si="7"/>
        <v/>
      </c>
      <c r="S112" s="262" t="str">
        <f t="shared" si="8"/>
        <v/>
      </c>
      <c r="T112" s="263" t="str">
        <f t="shared" si="6"/>
        <v/>
      </c>
      <c r="U112" s="239" t="str">
        <f>IF(D112="","",VLOOKUP(D112,'G-6 Hedgerow Data'!$B$3:$AG$15,31,FALSE))</f>
        <v/>
      </c>
      <c r="V112" s="175" t="str">
        <f t="shared" si="9"/>
        <v/>
      </c>
      <c r="W112" s="175" t="str">
        <f t="shared" si="10"/>
        <v/>
      </c>
      <c r="X112" s="176" t="str">
        <f>IF(F112="","",VLOOKUP(U112,'G-3 Multipliers'!$P$3:$Q$6,2,FALSE))</f>
        <v/>
      </c>
      <c r="Y112" s="274" t="str">
        <f t="shared" si="11"/>
        <v/>
      </c>
      <c r="Z112" s="180"/>
      <c r="AA112" s="181"/>
      <c r="AG112" s="35" t="str">
        <f>IFERROR(INDEX('G-6 Hedgerow Data'!$BJ$3:$BJ$15,MATCH(D112,'G-6 Hedgerow Data'!$B$3:$B$15,0)),"")</f>
        <v/>
      </c>
    </row>
    <row r="113" spans="2:33" ht="15" customHeight="1" x14ac:dyDescent="0.25">
      <c r="B113" s="128">
        <v>102</v>
      </c>
      <c r="C113" s="394"/>
      <c r="D113" s="275"/>
      <c r="E113" s="275"/>
      <c r="F113" s="171" t="str">
        <f>IF(D113="","",VLOOKUP(D113,'G-6 Hedgerow Data'!$B$2:$AG$15,2,FALSE))</f>
        <v/>
      </c>
      <c r="G113" s="176" t="str">
        <f>IF(D113="","",VLOOKUP(D113,'G-6 Hedgerow Data'!$B$2:$AG$15,3,FALSE))</f>
        <v/>
      </c>
      <c r="H113" s="189"/>
      <c r="I113" s="172" t="str">
        <f>IFERROR(IF(AND(F113="V.Low",OR(H113="Good",H113="Moderate")),"Error",VLOOKUP(H113,'G-1 All Habitats'!$Z$2:$AA$9,2,FALSE)),"")</f>
        <v/>
      </c>
      <c r="J113" s="186"/>
      <c r="K113" s="175" t="str">
        <f>IF(J113="","",IF(VLOOKUP(J113,'G-3 Multipliers'!$L$3:$N$6,2,FALSE)=0,"Spatial Data Missing",VLOOKUP(J113,'G-3 Multipliers'!$L$3:$N$6,2,FALSE)))</f>
        <v/>
      </c>
      <c r="L113" s="176" t="str">
        <f>IF(J113="","",IF(VLOOKUP(J113,'G-3 Multipliers'!$L$3:$N$6,3,FALSE)=0,"Spatial Data Missing",VLOOKUP(J113,'G-3 Multipliers'!$L$3:$N$6,3,FALSE)))</f>
        <v/>
      </c>
      <c r="M113" s="266"/>
      <c r="N113" s="172" t="str">
        <f>IF(M113="","",IF(VLOOKUP(M113,'G-3 Multipliers'!$S$3:$T$6,2,FALSE)=0,"Spatial Data Missing",VLOOKUP(M113,'G-3 Multipliers'!$S$3:$T$6,2,FALSE)))</f>
        <v/>
      </c>
      <c r="O113" s="171" t="str">
        <f>IF(OR(D113="",H113=""),"",(INDEX('G-6 Hedgerow Data'!$E$3:$I$15,MATCH(D113,'G-6 Hedgerow Data'!$B$3:$B$15,0),MATCH(H113,'G-6 Hedgerow Data'!$E$2:$I$2,0))))</f>
        <v/>
      </c>
      <c r="P113" s="261"/>
      <c r="Q113" s="261"/>
      <c r="R113" s="179" t="str">
        <f t="shared" si="7"/>
        <v/>
      </c>
      <c r="S113" s="262" t="str">
        <f t="shared" si="8"/>
        <v/>
      </c>
      <c r="T113" s="263" t="str">
        <f t="shared" si="6"/>
        <v/>
      </c>
      <c r="U113" s="239" t="str">
        <f>IF(D113="","",VLOOKUP(D113,'G-6 Hedgerow Data'!$B$3:$AG$15,31,FALSE))</f>
        <v/>
      </c>
      <c r="V113" s="175" t="str">
        <f t="shared" si="9"/>
        <v/>
      </c>
      <c r="W113" s="175" t="str">
        <f t="shared" si="10"/>
        <v/>
      </c>
      <c r="X113" s="176" t="str">
        <f>IF(F113="","",VLOOKUP(U113,'G-3 Multipliers'!$P$3:$Q$6,2,FALSE))</f>
        <v/>
      </c>
      <c r="Y113" s="274" t="str">
        <f t="shared" si="11"/>
        <v/>
      </c>
      <c r="Z113" s="180"/>
      <c r="AA113" s="181"/>
      <c r="AG113" s="35" t="str">
        <f>IFERROR(INDEX('G-6 Hedgerow Data'!$BJ$3:$BJ$15,MATCH(D113,'G-6 Hedgerow Data'!$B$3:$B$15,0)),"")</f>
        <v/>
      </c>
    </row>
    <row r="114" spans="2:33" ht="15" customHeight="1" x14ac:dyDescent="0.25">
      <c r="B114" s="128">
        <v>103</v>
      </c>
      <c r="C114" s="394"/>
      <c r="D114" s="275"/>
      <c r="E114" s="275"/>
      <c r="F114" s="171" t="str">
        <f>IF(D114="","",VLOOKUP(D114,'G-6 Hedgerow Data'!$B$2:$AG$15,2,FALSE))</f>
        <v/>
      </c>
      <c r="G114" s="176" t="str">
        <f>IF(D114="","",VLOOKUP(D114,'G-6 Hedgerow Data'!$B$2:$AG$15,3,FALSE))</f>
        <v/>
      </c>
      <c r="H114" s="189"/>
      <c r="I114" s="172" t="str">
        <f>IFERROR(IF(AND(F114="V.Low",OR(H114="Good",H114="Moderate")),"Error",VLOOKUP(H114,'G-1 All Habitats'!$Z$2:$AA$9,2,FALSE)),"")</f>
        <v/>
      </c>
      <c r="J114" s="186"/>
      <c r="K114" s="175" t="str">
        <f>IF(J114="","",IF(VLOOKUP(J114,'G-3 Multipliers'!$L$3:$N$6,2,FALSE)=0,"Spatial Data Missing",VLOOKUP(J114,'G-3 Multipliers'!$L$3:$N$6,2,FALSE)))</f>
        <v/>
      </c>
      <c r="L114" s="176" t="str">
        <f>IF(J114="","",IF(VLOOKUP(J114,'G-3 Multipliers'!$L$3:$N$6,3,FALSE)=0,"Spatial Data Missing",VLOOKUP(J114,'G-3 Multipliers'!$L$3:$N$6,3,FALSE)))</f>
        <v/>
      </c>
      <c r="M114" s="266"/>
      <c r="N114" s="172" t="str">
        <f>IF(M114="","",IF(VLOOKUP(M114,'G-3 Multipliers'!$S$3:$T$6,2,FALSE)=0,"Spatial Data Missing",VLOOKUP(M114,'G-3 Multipliers'!$S$3:$T$6,2,FALSE)))</f>
        <v/>
      </c>
      <c r="O114" s="171" t="str">
        <f>IF(OR(D114="",H114=""),"",(INDEX('G-6 Hedgerow Data'!$E$3:$I$15,MATCH(D114,'G-6 Hedgerow Data'!$B$3:$B$15,0),MATCH(H114,'G-6 Hedgerow Data'!$E$2:$I$2,0))))</f>
        <v/>
      </c>
      <c r="P114" s="261"/>
      <c r="Q114" s="261"/>
      <c r="R114" s="179" t="str">
        <f t="shared" si="7"/>
        <v/>
      </c>
      <c r="S114" s="262" t="str">
        <f t="shared" si="8"/>
        <v/>
      </c>
      <c r="T114" s="263" t="str">
        <f t="shared" si="6"/>
        <v/>
      </c>
      <c r="U114" s="239" t="str">
        <f>IF(D114="","",VLOOKUP(D114,'G-6 Hedgerow Data'!$B$3:$AG$15,31,FALSE))</f>
        <v/>
      </c>
      <c r="V114" s="175" t="str">
        <f t="shared" si="9"/>
        <v/>
      </c>
      <c r="W114" s="175" t="str">
        <f t="shared" si="10"/>
        <v/>
      </c>
      <c r="X114" s="176" t="str">
        <f>IF(F114="","",VLOOKUP(U114,'G-3 Multipliers'!$P$3:$Q$6,2,FALSE))</f>
        <v/>
      </c>
      <c r="Y114" s="274" t="str">
        <f t="shared" si="11"/>
        <v/>
      </c>
      <c r="Z114" s="180"/>
      <c r="AA114" s="181"/>
      <c r="AG114" s="35" t="str">
        <f>IFERROR(INDEX('G-6 Hedgerow Data'!$BJ$3:$BJ$15,MATCH(D114,'G-6 Hedgerow Data'!$B$3:$B$15,0)),"")</f>
        <v/>
      </c>
    </row>
    <row r="115" spans="2:33" ht="15" customHeight="1" x14ac:dyDescent="0.25">
      <c r="B115" s="128">
        <v>104</v>
      </c>
      <c r="C115" s="394"/>
      <c r="D115" s="275"/>
      <c r="E115" s="275"/>
      <c r="F115" s="171" t="str">
        <f>IF(D115="","",VLOOKUP(D115,'G-6 Hedgerow Data'!$B$2:$AG$15,2,FALSE))</f>
        <v/>
      </c>
      <c r="G115" s="176" t="str">
        <f>IF(D115="","",VLOOKUP(D115,'G-6 Hedgerow Data'!$B$2:$AG$15,3,FALSE))</f>
        <v/>
      </c>
      <c r="H115" s="189"/>
      <c r="I115" s="172" t="str">
        <f>IFERROR(IF(AND(F115="V.Low",OR(H115="Good",H115="Moderate")),"Error",VLOOKUP(H115,'G-1 All Habitats'!$Z$2:$AA$9,2,FALSE)),"")</f>
        <v/>
      </c>
      <c r="J115" s="186"/>
      <c r="K115" s="175" t="str">
        <f>IF(J115="","",IF(VLOOKUP(J115,'G-3 Multipliers'!$L$3:$N$6,2,FALSE)=0,"Spatial Data Missing",VLOOKUP(J115,'G-3 Multipliers'!$L$3:$N$6,2,FALSE)))</f>
        <v/>
      </c>
      <c r="L115" s="176" t="str">
        <f>IF(J115="","",IF(VLOOKUP(J115,'G-3 Multipliers'!$L$3:$N$6,3,FALSE)=0,"Spatial Data Missing",VLOOKUP(J115,'G-3 Multipliers'!$L$3:$N$6,3,FALSE)))</f>
        <v/>
      </c>
      <c r="M115" s="266"/>
      <c r="N115" s="172" t="str">
        <f>IF(M115="","",IF(VLOOKUP(M115,'G-3 Multipliers'!$S$3:$T$6,2,FALSE)=0,"Spatial Data Missing",VLOOKUP(M115,'G-3 Multipliers'!$S$3:$T$6,2,FALSE)))</f>
        <v/>
      </c>
      <c r="O115" s="171" t="str">
        <f>IF(OR(D115="",H115=""),"",(INDEX('G-6 Hedgerow Data'!$E$3:$I$15,MATCH(D115,'G-6 Hedgerow Data'!$B$3:$B$15,0),MATCH(H115,'G-6 Hedgerow Data'!$E$2:$I$2,0))))</f>
        <v/>
      </c>
      <c r="P115" s="261"/>
      <c r="Q115" s="261"/>
      <c r="R115" s="179" t="str">
        <f t="shared" si="7"/>
        <v/>
      </c>
      <c r="S115" s="262" t="str">
        <f t="shared" si="8"/>
        <v/>
      </c>
      <c r="T115" s="263" t="str">
        <f t="shared" si="6"/>
        <v/>
      </c>
      <c r="U115" s="239" t="str">
        <f>IF(D115="","",VLOOKUP(D115,'G-6 Hedgerow Data'!$B$3:$AG$15,31,FALSE))</f>
        <v/>
      </c>
      <c r="V115" s="175" t="str">
        <f t="shared" si="9"/>
        <v/>
      </c>
      <c r="W115" s="175" t="str">
        <f t="shared" si="10"/>
        <v/>
      </c>
      <c r="X115" s="176" t="str">
        <f>IF(F115="","",VLOOKUP(U115,'G-3 Multipliers'!$P$3:$Q$6,2,FALSE))</f>
        <v/>
      </c>
      <c r="Y115" s="274" t="str">
        <f t="shared" si="11"/>
        <v/>
      </c>
      <c r="Z115" s="180"/>
      <c r="AA115" s="181"/>
      <c r="AG115" s="35" t="str">
        <f>IFERROR(INDEX('G-6 Hedgerow Data'!$BJ$3:$BJ$15,MATCH(D115,'G-6 Hedgerow Data'!$B$3:$B$15,0)),"")</f>
        <v/>
      </c>
    </row>
    <row r="116" spans="2:33" ht="15" customHeight="1" x14ac:dyDescent="0.25">
      <c r="B116" s="128">
        <v>105</v>
      </c>
      <c r="C116" s="394"/>
      <c r="D116" s="275"/>
      <c r="E116" s="275"/>
      <c r="F116" s="171" t="str">
        <f>IF(D116="","",VLOOKUP(D116,'G-6 Hedgerow Data'!$B$2:$AG$15,2,FALSE))</f>
        <v/>
      </c>
      <c r="G116" s="176" t="str">
        <f>IF(D116="","",VLOOKUP(D116,'G-6 Hedgerow Data'!$B$2:$AG$15,3,FALSE))</f>
        <v/>
      </c>
      <c r="H116" s="189"/>
      <c r="I116" s="172" t="str">
        <f>IFERROR(IF(AND(F116="V.Low",OR(H116="Good",H116="Moderate")),"Error",VLOOKUP(H116,'G-1 All Habitats'!$Z$2:$AA$9,2,FALSE)),"")</f>
        <v/>
      </c>
      <c r="J116" s="186"/>
      <c r="K116" s="175" t="str">
        <f>IF(J116="","",IF(VLOOKUP(J116,'G-3 Multipliers'!$L$3:$N$6,2,FALSE)=0,"Spatial Data Missing",VLOOKUP(J116,'G-3 Multipliers'!$L$3:$N$6,2,FALSE)))</f>
        <v/>
      </c>
      <c r="L116" s="176" t="str">
        <f>IF(J116="","",IF(VLOOKUP(J116,'G-3 Multipliers'!$L$3:$N$6,3,FALSE)=0,"Spatial Data Missing",VLOOKUP(J116,'G-3 Multipliers'!$L$3:$N$6,3,FALSE)))</f>
        <v/>
      </c>
      <c r="M116" s="266"/>
      <c r="N116" s="172" t="str">
        <f>IF(M116="","",IF(VLOOKUP(M116,'G-3 Multipliers'!$S$3:$T$6,2,FALSE)=0,"Spatial Data Missing",VLOOKUP(M116,'G-3 Multipliers'!$S$3:$T$6,2,FALSE)))</f>
        <v/>
      </c>
      <c r="O116" s="171" t="str">
        <f>IF(OR(D116="",H116=""),"",(INDEX('G-6 Hedgerow Data'!$E$3:$I$15,MATCH(D116,'G-6 Hedgerow Data'!$B$3:$B$15,0),MATCH(H116,'G-6 Hedgerow Data'!$E$2:$I$2,0))))</f>
        <v/>
      </c>
      <c r="P116" s="261"/>
      <c r="Q116" s="261"/>
      <c r="R116" s="179" t="str">
        <f t="shared" si="7"/>
        <v/>
      </c>
      <c r="S116" s="262" t="str">
        <f t="shared" si="8"/>
        <v/>
      </c>
      <c r="T116" s="263" t="str">
        <f t="shared" si="6"/>
        <v/>
      </c>
      <c r="U116" s="239" t="str">
        <f>IF(D116="","",VLOOKUP(D116,'G-6 Hedgerow Data'!$B$3:$AG$15,31,FALSE))</f>
        <v/>
      </c>
      <c r="V116" s="175" t="str">
        <f t="shared" si="9"/>
        <v/>
      </c>
      <c r="W116" s="175" t="str">
        <f t="shared" si="10"/>
        <v/>
      </c>
      <c r="X116" s="176" t="str">
        <f>IF(F116="","",VLOOKUP(U116,'G-3 Multipliers'!$P$3:$Q$6,2,FALSE))</f>
        <v/>
      </c>
      <c r="Y116" s="274" t="str">
        <f t="shared" si="11"/>
        <v/>
      </c>
      <c r="Z116" s="180"/>
      <c r="AA116" s="181"/>
      <c r="AG116" s="35" t="str">
        <f>IFERROR(INDEX('G-6 Hedgerow Data'!$BJ$3:$BJ$15,MATCH(D116,'G-6 Hedgerow Data'!$B$3:$B$15,0)),"")</f>
        <v/>
      </c>
    </row>
    <row r="117" spans="2:33" ht="15" customHeight="1" x14ac:dyDescent="0.25">
      <c r="B117" s="128">
        <v>106</v>
      </c>
      <c r="C117" s="394"/>
      <c r="D117" s="275"/>
      <c r="E117" s="275"/>
      <c r="F117" s="171" t="str">
        <f>IF(D117="","",VLOOKUP(D117,'G-6 Hedgerow Data'!$B$2:$AG$15,2,FALSE))</f>
        <v/>
      </c>
      <c r="G117" s="176" t="str">
        <f>IF(D117="","",VLOOKUP(D117,'G-6 Hedgerow Data'!$B$2:$AG$15,3,FALSE))</f>
        <v/>
      </c>
      <c r="H117" s="189"/>
      <c r="I117" s="172" t="str">
        <f>IFERROR(IF(AND(F117="V.Low",OR(H117="Good",H117="Moderate")),"Error",VLOOKUP(H117,'G-1 All Habitats'!$Z$2:$AA$9,2,FALSE)),"")</f>
        <v/>
      </c>
      <c r="J117" s="186"/>
      <c r="K117" s="175" t="str">
        <f>IF(J117="","",IF(VLOOKUP(J117,'G-3 Multipliers'!$L$3:$N$6,2,FALSE)=0,"Spatial Data Missing",VLOOKUP(J117,'G-3 Multipliers'!$L$3:$N$6,2,FALSE)))</f>
        <v/>
      </c>
      <c r="L117" s="176" t="str">
        <f>IF(J117="","",IF(VLOOKUP(J117,'G-3 Multipliers'!$L$3:$N$6,3,FALSE)=0,"Spatial Data Missing",VLOOKUP(J117,'G-3 Multipliers'!$L$3:$N$6,3,FALSE)))</f>
        <v/>
      </c>
      <c r="M117" s="266"/>
      <c r="N117" s="172" t="str">
        <f>IF(M117="","",IF(VLOOKUP(M117,'G-3 Multipliers'!$S$3:$T$6,2,FALSE)=0,"Spatial Data Missing",VLOOKUP(M117,'G-3 Multipliers'!$S$3:$T$6,2,FALSE)))</f>
        <v/>
      </c>
      <c r="O117" s="171" t="str">
        <f>IF(OR(D117="",H117=""),"",(INDEX('G-6 Hedgerow Data'!$E$3:$I$15,MATCH(D117,'G-6 Hedgerow Data'!$B$3:$B$15,0),MATCH(H117,'G-6 Hedgerow Data'!$E$2:$I$2,0))))</f>
        <v/>
      </c>
      <c r="P117" s="261"/>
      <c r="Q117" s="261"/>
      <c r="R117" s="179" t="str">
        <f t="shared" si="7"/>
        <v/>
      </c>
      <c r="S117" s="262" t="str">
        <f t="shared" si="8"/>
        <v/>
      </c>
      <c r="T117" s="263" t="str">
        <f t="shared" si="6"/>
        <v/>
      </c>
      <c r="U117" s="239" t="str">
        <f>IF(D117="","",VLOOKUP(D117,'G-6 Hedgerow Data'!$B$3:$AG$15,31,FALSE))</f>
        <v/>
      </c>
      <c r="V117" s="175" t="str">
        <f t="shared" si="9"/>
        <v/>
      </c>
      <c r="W117" s="175" t="str">
        <f t="shared" si="10"/>
        <v/>
      </c>
      <c r="X117" s="176" t="str">
        <f>IF(F117="","",VLOOKUP(U117,'G-3 Multipliers'!$P$3:$Q$6,2,FALSE))</f>
        <v/>
      </c>
      <c r="Y117" s="274" t="str">
        <f t="shared" si="11"/>
        <v/>
      </c>
      <c r="Z117" s="180"/>
      <c r="AA117" s="181"/>
      <c r="AG117" s="35" t="str">
        <f>IFERROR(INDEX('G-6 Hedgerow Data'!$BJ$3:$BJ$15,MATCH(D117,'G-6 Hedgerow Data'!$B$3:$B$15,0)),"")</f>
        <v/>
      </c>
    </row>
    <row r="118" spans="2:33" ht="15" customHeight="1" x14ac:dyDescent="0.25">
      <c r="B118" s="128">
        <v>107</v>
      </c>
      <c r="C118" s="394"/>
      <c r="D118" s="275"/>
      <c r="E118" s="275"/>
      <c r="F118" s="171" t="str">
        <f>IF(D118="","",VLOOKUP(D118,'G-6 Hedgerow Data'!$B$2:$AG$15,2,FALSE))</f>
        <v/>
      </c>
      <c r="G118" s="176" t="str">
        <f>IF(D118="","",VLOOKUP(D118,'G-6 Hedgerow Data'!$B$2:$AG$15,3,FALSE))</f>
        <v/>
      </c>
      <c r="H118" s="189"/>
      <c r="I118" s="172" t="str">
        <f>IFERROR(IF(AND(F118="V.Low",OR(H118="Good",H118="Moderate")),"Error",VLOOKUP(H118,'G-1 All Habitats'!$Z$2:$AA$9,2,FALSE)),"")</f>
        <v/>
      </c>
      <c r="J118" s="186"/>
      <c r="K118" s="175" t="str">
        <f>IF(J118="","",IF(VLOOKUP(J118,'G-3 Multipliers'!$L$3:$N$6,2,FALSE)=0,"Spatial Data Missing",VLOOKUP(J118,'G-3 Multipliers'!$L$3:$N$6,2,FALSE)))</f>
        <v/>
      </c>
      <c r="L118" s="176" t="str">
        <f>IF(J118="","",IF(VLOOKUP(J118,'G-3 Multipliers'!$L$3:$N$6,3,FALSE)=0,"Spatial Data Missing",VLOOKUP(J118,'G-3 Multipliers'!$L$3:$N$6,3,FALSE)))</f>
        <v/>
      </c>
      <c r="M118" s="266"/>
      <c r="N118" s="172" t="str">
        <f>IF(M118="","",IF(VLOOKUP(M118,'G-3 Multipliers'!$S$3:$T$6,2,FALSE)=0,"Spatial Data Missing",VLOOKUP(M118,'G-3 Multipliers'!$S$3:$T$6,2,FALSE)))</f>
        <v/>
      </c>
      <c r="O118" s="171" t="str">
        <f>IF(OR(D118="",H118=""),"",(INDEX('G-6 Hedgerow Data'!$E$3:$I$15,MATCH(D118,'G-6 Hedgerow Data'!$B$3:$B$15,0),MATCH(H118,'G-6 Hedgerow Data'!$E$2:$I$2,0))))</f>
        <v/>
      </c>
      <c r="P118" s="261"/>
      <c r="Q118" s="261"/>
      <c r="R118" s="179" t="str">
        <f t="shared" si="7"/>
        <v/>
      </c>
      <c r="S118" s="262" t="str">
        <f t="shared" si="8"/>
        <v/>
      </c>
      <c r="T118" s="263" t="str">
        <f t="shared" si="6"/>
        <v/>
      </c>
      <c r="U118" s="239" t="str">
        <f>IF(D118="","",VLOOKUP(D118,'G-6 Hedgerow Data'!$B$3:$AG$15,31,FALSE))</f>
        <v/>
      </c>
      <c r="V118" s="175" t="str">
        <f t="shared" si="9"/>
        <v/>
      </c>
      <c r="W118" s="175" t="str">
        <f t="shared" si="10"/>
        <v/>
      </c>
      <c r="X118" s="176" t="str">
        <f>IF(F118="","",VLOOKUP(U118,'G-3 Multipliers'!$P$3:$Q$6,2,FALSE))</f>
        <v/>
      </c>
      <c r="Y118" s="274" t="str">
        <f t="shared" si="11"/>
        <v/>
      </c>
      <c r="Z118" s="180"/>
      <c r="AA118" s="181"/>
      <c r="AG118" s="35" t="str">
        <f>IFERROR(INDEX('G-6 Hedgerow Data'!$BJ$3:$BJ$15,MATCH(D118,'G-6 Hedgerow Data'!$B$3:$B$15,0)),"")</f>
        <v/>
      </c>
    </row>
    <row r="119" spans="2:33" ht="15" customHeight="1" x14ac:dyDescent="0.25">
      <c r="B119" s="128">
        <v>108</v>
      </c>
      <c r="C119" s="394"/>
      <c r="D119" s="275"/>
      <c r="E119" s="275"/>
      <c r="F119" s="171" t="str">
        <f>IF(D119="","",VLOOKUP(D119,'G-6 Hedgerow Data'!$B$2:$AG$15,2,FALSE))</f>
        <v/>
      </c>
      <c r="G119" s="176" t="str">
        <f>IF(D119="","",VLOOKUP(D119,'G-6 Hedgerow Data'!$B$2:$AG$15,3,FALSE))</f>
        <v/>
      </c>
      <c r="H119" s="189"/>
      <c r="I119" s="172" t="str">
        <f>IFERROR(IF(AND(F119="V.Low",OR(H119="Good",H119="Moderate")),"Error",VLOOKUP(H119,'G-1 All Habitats'!$Z$2:$AA$9,2,FALSE)),"")</f>
        <v/>
      </c>
      <c r="J119" s="186"/>
      <c r="K119" s="175" t="str">
        <f>IF(J119="","",IF(VLOOKUP(J119,'G-3 Multipliers'!$L$3:$N$6,2,FALSE)=0,"Spatial Data Missing",VLOOKUP(J119,'G-3 Multipliers'!$L$3:$N$6,2,FALSE)))</f>
        <v/>
      </c>
      <c r="L119" s="176" t="str">
        <f>IF(J119="","",IF(VLOOKUP(J119,'G-3 Multipliers'!$L$3:$N$6,3,FALSE)=0,"Spatial Data Missing",VLOOKUP(J119,'G-3 Multipliers'!$L$3:$N$6,3,FALSE)))</f>
        <v/>
      </c>
      <c r="M119" s="266"/>
      <c r="N119" s="172" t="str">
        <f>IF(M119="","",IF(VLOOKUP(M119,'G-3 Multipliers'!$S$3:$T$6,2,FALSE)=0,"Spatial Data Missing",VLOOKUP(M119,'G-3 Multipliers'!$S$3:$T$6,2,FALSE)))</f>
        <v/>
      </c>
      <c r="O119" s="171" t="str">
        <f>IF(OR(D119="",H119=""),"",(INDEX('G-6 Hedgerow Data'!$E$3:$I$15,MATCH(D119,'G-6 Hedgerow Data'!$B$3:$B$15,0),MATCH(H119,'G-6 Hedgerow Data'!$E$2:$I$2,0))))</f>
        <v/>
      </c>
      <c r="P119" s="261"/>
      <c r="Q119" s="261"/>
      <c r="R119" s="179" t="str">
        <f t="shared" si="7"/>
        <v/>
      </c>
      <c r="S119" s="262" t="str">
        <f t="shared" si="8"/>
        <v/>
      </c>
      <c r="T119" s="263" t="str">
        <f t="shared" si="6"/>
        <v/>
      </c>
      <c r="U119" s="239" t="str">
        <f>IF(D119="","",VLOOKUP(D119,'G-6 Hedgerow Data'!$B$3:$AG$15,31,FALSE))</f>
        <v/>
      </c>
      <c r="V119" s="175" t="str">
        <f t="shared" si="9"/>
        <v/>
      </c>
      <c r="W119" s="175" t="str">
        <f t="shared" si="10"/>
        <v/>
      </c>
      <c r="X119" s="176" t="str">
        <f>IF(F119="","",VLOOKUP(U119,'G-3 Multipliers'!$P$3:$Q$6,2,FALSE))</f>
        <v/>
      </c>
      <c r="Y119" s="274" t="str">
        <f t="shared" si="11"/>
        <v/>
      </c>
      <c r="Z119" s="180"/>
      <c r="AA119" s="181"/>
      <c r="AG119" s="35" t="str">
        <f>IFERROR(INDEX('G-6 Hedgerow Data'!$BJ$3:$BJ$15,MATCH(D119,'G-6 Hedgerow Data'!$B$3:$B$15,0)),"")</f>
        <v/>
      </c>
    </row>
    <row r="120" spans="2:33" ht="15" customHeight="1" x14ac:dyDescent="0.25">
      <c r="B120" s="128">
        <v>109</v>
      </c>
      <c r="C120" s="394"/>
      <c r="D120" s="275"/>
      <c r="E120" s="275"/>
      <c r="F120" s="171" t="str">
        <f>IF(D120="","",VLOOKUP(D120,'G-6 Hedgerow Data'!$B$2:$AG$15,2,FALSE))</f>
        <v/>
      </c>
      <c r="G120" s="176" t="str">
        <f>IF(D120="","",VLOOKUP(D120,'G-6 Hedgerow Data'!$B$2:$AG$15,3,FALSE))</f>
        <v/>
      </c>
      <c r="H120" s="189"/>
      <c r="I120" s="172" t="str">
        <f>IFERROR(IF(AND(F120="V.Low",OR(H120="Good",H120="Moderate")),"Error",VLOOKUP(H120,'G-1 All Habitats'!$Z$2:$AA$9,2,FALSE)),"")</f>
        <v/>
      </c>
      <c r="J120" s="186"/>
      <c r="K120" s="175" t="str">
        <f>IF(J120="","",IF(VLOOKUP(J120,'G-3 Multipliers'!$L$3:$N$6,2,FALSE)=0,"Spatial Data Missing",VLOOKUP(J120,'G-3 Multipliers'!$L$3:$N$6,2,FALSE)))</f>
        <v/>
      </c>
      <c r="L120" s="176" t="str">
        <f>IF(J120="","",IF(VLOOKUP(J120,'G-3 Multipliers'!$L$3:$N$6,3,FALSE)=0,"Spatial Data Missing",VLOOKUP(J120,'G-3 Multipliers'!$L$3:$N$6,3,FALSE)))</f>
        <v/>
      </c>
      <c r="M120" s="266"/>
      <c r="N120" s="172" t="str">
        <f>IF(M120="","",IF(VLOOKUP(M120,'G-3 Multipliers'!$S$3:$T$6,2,FALSE)=0,"Spatial Data Missing",VLOOKUP(M120,'G-3 Multipliers'!$S$3:$T$6,2,FALSE)))</f>
        <v/>
      </c>
      <c r="O120" s="171" t="str">
        <f>IF(OR(D120="",H120=""),"",(INDEX('G-6 Hedgerow Data'!$E$3:$I$15,MATCH(D120,'G-6 Hedgerow Data'!$B$3:$B$15,0),MATCH(H120,'G-6 Hedgerow Data'!$E$2:$I$2,0))))</f>
        <v/>
      </c>
      <c r="P120" s="261"/>
      <c r="Q120" s="261"/>
      <c r="R120" s="179" t="str">
        <f t="shared" si="7"/>
        <v/>
      </c>
      <c r="S120" s="262" t="str">
        <f t="shared" si="8"/>
        <v/>
      </c>
      <c r="T120" s="263" t="str">
        <f t="shared" si="6"/>
        <v/>
      </c>
      <c r="U120" s="239" t="str">
        <f>IF(D120="","",VLOOKUP(D120,'G-6 Hedgerow Data'!$B$3:$AG$15,31,FALSE))</f>
        <v/>
      </c>
      <c r="V120" s="175" t="str">
        <f t="shared" si="9"/>
        <v/>
      </c>
      <c r="W120" s="175" t="str">
        <f t="shared" si="10"/>
        <v/>
      </c>
      <c r="X120" s="176" t="str">
        <f>IF(F120="","",VLOOKUP(U120,'G-3 Multipliers'!$P$3:$Q$6,2,FALSE))</f>
        <v/>
      </c>
      <c r="Y120" s="274" t="str">
        <f t="shared" si="11"/>
        <v/>
      </c>
      <c r="Z120" s="180"/>
      <c r="AA120" s="181"/>
      <c r="AG120" s="35" t="str">
        <f>IFERROR(INDEX('G-6 Hedgerow Data'!$BJ$3:$BJ$15,MATCH(D120,'G-6 Hedgerow Data'!$B$3:$B$15,0)),"")</f>
        <v/>
      </c>
    </row>
    <row r="121" spans="2:33" ht="15" customHeight="1" x14ac:dyDescent="0.25">
      <c r="B121" s="128">
        <v>110</v>
      </c>
      <c r="C121" s="394"/>
      <c r="D121" s="275"/>
      <c r="E121" s="275"/>
      <c r="F121" s="171" t="str">
        <f>IF(D121="","",VLOOKUP(D121,'G-6 Hedgerow Data'!$B$2:$AG$15,2,FALSE))</f>
        <v/>
      </c>
      <c r="G121" s="176" t="str">
        <f>IF(D121="","",VLOOKUP(D121,'G-6 Hedgerow Data'!$B$2:$AG$15,3,FALSE))</f>
        <v/>
      </c>
      <c r="H121" s="189"/>
      <c r="I121" s="172" t="str">
        <f>IFERROR(IF(AND(F121="V.Low",OR(H121="Good",H121="Moderate")),"Error",VLOOKUP(H121,'G-1 All Habitats'!$Z$2:$AA$9,2,FALSE)),"")</f>
        <v/>
      </c>
      <c r="J121" s="186"/>
      <c r="K121" s="175" t="str">
        <f>IF(J121="","",IF(VLOOKUP(J121,'G-3 Multipliers'!$L$3:$N$6,2,FALSE)=0,"Spatial Data Missing",VLOOKUP(J121,'G-3 Multipliers'!$L$3:$N$6,2,FALSE)))</f>
        <v/>
      </c>
      <c r="L121" s="176" t="str">
        <f>IF(J121="","",IF(VLOOKUP(J121,'G-3 Multipliers'!$L$3:$N$6,3,FALSE)=0,"Spatial Data Missing",VLOOKUP(J121,'G-3 Multipliers'!$L$3:$N$6,3,FALSE)))</f>
        <v/>
      </c>
      <c r="M121" s="266"/>
      <c r="N121" s="172" t="str">
        <f>IF(M121="","",IF(VLOOKUP(M121,'G-3 Multipliers'!$S$3:$T$6,2,FALSE)=0,"Spatial Data Missing",VLOOKUP(M121,'G-3 Multipliers'!$S$3:$T$6,2,FALSE)))</f>
        <v/>
      </c>
      <c r="O121" s="171" t="str">
        <f>IF(OR(D121="",H121=""),"",(INDEX('G-6 Hedgerow Data'!$E$3:$I$15,MATCH(D121,'G-6 Hedgerow Data'!$B$3:$B$15,0),MATCH(H121,'G-6 Hedgerow Data'!$E$2:$I$2,0))))</f>
        <v/>
      </c>
      <c r="P121" s="261"/>
      <c r="Q121" s="261"/>
      <c r="R121" s="179" t="str">
        <f t="shared" si="7"/>
        <v/>
      </c>
      <c r="S121" s="262" t="str">
        <f t="shared" si="8"/>
        <v/>
      </c>
      <c r="T121" s="263" t="str">
        <f t="shared" si="6"/>
        <v/>
      </c>
      <c r="U121" s="239" t="str">
        <f>IF(D121="","",VLOOKUP(D121,'G-6 Hedgerow Data'!$B$3:$AG$15,31,FALSE))</f>
        <v/>
      </c>
      <c r="V121" s="175" t="str">
        <f t="shared" si="9"/>
        <v/>
      </c>
      <c r="W121" s="175" t="str">
        <f t="shared" si="10"/>
        <v/>
      </c>
      <c r="X121" s="176" t="str">
        <f>IF(F121="","",VLOOKUP(U121,'G-3 Multipliers'!$P$3:$Q$6,2,FALSE))</f>
        <v/>
      </c>
      <c r="Y121" s="274" t="str">
        <f t="shared" si="11"/>
        <v/>
      </c>
      <c r="Z121" s="180"/>
      <c r="AA121" s="181"/>
      <c r="AG121" s="35" t="str">
        <f>IFERROR(INDEX('G-6 Hedgerow Data'!$BJ$3:$BJ$15,MATCH(D121,'G-6 Hedgerow Data'!$B$3:$B$15,0)),"")</f>
        <v/>
      </c>
    </row>
    <row r="122" spans="2:33" ht="15" customHeight="1" x14ac:dyDescent="0.25">
      <c r="B122" s="128">
        <v>111</v>
      </c>
      <c r="C122" s="394"/>
      <c r="D122" s="275"/>
      <c r="E122" s="275"/>
      <c r="F122" s="171" t="str">
        <f>IF(D122="","",VLOOKUP(D122,'G-6 Hedgerow Data'!$B$2:$AG$15,2,FALSE))</f>
        <v/>
      </c>
      <c r="G122" s="176" t="str">
        <f>IF(D122="","",VLOOKUP(D122,'G-6 Hedgerow Data'!$B$2:$AG$15,3,FALSE))</f>
        <v/>
      </c>
      <c r="H122" s="189"/>
      <c r="I122" s="172" t="str">
        <f>IFERROR(IF(AND(F122="V.Low",OR(H122="Good",H122="Moderate")),"Error",VLOOKUP(H122,'G-1 All Habitats'!$Z$2:$AA$9,2,FALSE)),"")</f>
        <v/>
      </c>
      <c r="J122" s="186"/>
      <c r="K122" s="175" t="str">
        <f>IF(J122="","",IF(VLOOKUP(J122,'G-3 Multipliers'!$L$3:$N$6,2,FALSE)=0,"Spatial Data Missing",VLOOKUP(J122,'G-3 Multipliers'!$L$3:$N$6,2,FALSE)))</f>
        <v/>
      </c>
      <c r="L122" s="176" t="str">
        <f>IF(J122="","",IF(VLOOKUP(J122,'G-3 Multipliers'!$L$3:$N$6,3,FALSE)=0,"Spatial Data Missing",VLOOKUP(J122,'G-3 Multipliers'!$L$3:$N$6,3,FALSE)))</f>
        <v/>
      </c>
      <c r="M122" s="266"/>
      <c r="N122" s="172" t="str">
        <f>IF(M122="","",IF(VLOOKUP(M122,'G-3 Multipliers'!$S$3:$T$6,2,FALSE)=0,"Spatial Data Missing",VLOOKUP(M122,'G-3 Multipliers'!$S$3:$T$6,2,FALSE)))</f>
        <v/>
      </c>
      <c r="O122" s="171" t="str">
        <f>IF(OR(D122="",H122=""),"",(INDEX('G-6 Hedgerow Data'!$E$3:$I$15,MATCH(D122,'G-6 Hedgerow Data'!$B$3:$B$15,0),MATCH(H122,'G-6 Hedgerow Data'!$E$2:$I$2,0))))</f>
        <v/>
      </c>
      <c r="P122" s="261"/>
      <c r="Q122" s="261"/>
      <c r="R122" s="179" t="str">
        <f t="shared" si="7"/>
        <v/>
      </c>
      <c r="S122" s="262" t="str">
        <f t="shared" si="8"/>
        <v/>
      </c>
      <c r="T122" s="263" t="str">
        <f t="shared" si="6"/>
        <v/>
      </c>
      <c r="U122" s="239" t="str">
        <f>IF(D122="","",VLOOKUP(D122,'G-6 Hedgerow Data'!$B$3:$AG$15,31,FALSE))</f>
        <v/>
      </c>
      <c r="V122" s="175" t="str">
        <f t="shared" si="9"/>
        <v/>
      </c>
      <c r="W122" s="175" t="str">
        <f t="shared" si="10"/>
        <v/>
      </c>
      <c r="X122" s="176" t="str">
        <f>IF(F122="","",VLOOKUP(U122,'G-3 Multipliers'!$P$3:$Q$6,2,FALSE))</f>
        <v/>
      </c>
      <c r="Y122" s="274" t="str">
        <f t="shared" si="11"/>
        <v/>
      </c>
      <c r="Z122" s="180"/>
      <c r="AA122" s="181"/>
      <c r="AG122" s="35" t="str">
        <f>IFERROR(INDEX('G-6 Hedgerow Data'!$BJ$3:$BJ$15,MATCH(D122,'G-6 Hedgerow Data'!$B$3:$B$15,0)),"")</f>
        <v/>
      </c>
    </row>
    <row r="123" spans="2:33" ht="15" customHeight="1" x14ac:dyDescent="0.25">
      <c r="B123" s="128">
        <v>112</v>
      </c>
      <c r="C123" s="394"/>
      <c r="D123" s="275"/>
      <c r="E123" s="275"/>
      <c r="F123" s="171" t="str">
        <f>IF(D123="","",VLOOKUP(D123,'G-6 Hedgerow Data'!$B$2:$AG$15,2,FALSE))</f>
        <v/>
      </c>
      <c r="G123" s="176" t="str">
        <f>IF(D123="","",VLOOKUP(D123,'G-6 Hedgerow Data'!$B$2:$AG$15,3,FALSE))</f>
        <v/>
      </c>
      <c r="H123" s="189"/>
      <c r="I123" s="172" t="str">
        <f>IFERROR(IF(AND(F123="V.Low",OR(H123="Good",H123="Moderate")),"Error",VLOOKUP(H123,'G-1 All Habitats'!$Z$2:$AA$9,2,FALSE)),"")</f>
        <v/>
      </c>
      <c r="J123" s="186"/>
      <c r="K123" s="175" t="str">
        <f>IF(J123="","",IF(VLOOKUP(J123,'G-3 Multipliers'!$L$3:$N$6,2,FALSE)=0,"Spatial Data Missing",VLOOKUP(J123,'G-3 Multipliers'!$L$3:$N$6,2,FALSE)))</f>
        <v/>
      </c>
      <c r="L123" s="176" t="str">
        <f>IF(J123="","",IF(VLOOKUP(J123,'G-3 Multipliers'!$L$3:$N$6,3,FALSE)=0,"Spatial Data Missing",VLOOKUP(J123,'G-3 Multipliers'!$L$3:$N$6,3,FALSE)))</f>
        <v/>
      </c>
      <c r="M123" s="266"/>
      <c r="N123" s="172" t="str">
        <f>IF(M123="","",IF(VLOOKUP(M123,'G-3 Multipliers'!$S$3:$T$6,2,FALSE)=0,"Spatial Data Missing",VLOOKUP(M123,'G-3 Multipliers'!$S$3:$T$6,2,FALSE)))</f>
        <v/>
      </c>
      <c r="O123" s="171" t="str">
        <f>IF(OR(D123="",H123=""),"",(INDEX('G-6 Hedgerow Data'!$E$3:$I$15,MATCH(D123,'G-6 Hedgerow Data'!$B$3:$B$15,0),MATCH(H123,'G-6 Hedgerow Data'!$E$2:$I$2,0))))</f>
        <v/>
      </c>
      <c r="P123" s="261"/>
      <c r="Q123" s="261"/>
      <c r="R123" s="179" t="str">
        <f t="shared" si="7"/>
        <v/>
      </c>
      <c r="S123" s="262" t="str">
        <f t="shared" si="8"/>
        <v/>
      </c>
      <c r="T123" s="263" t="str">
        <f t="shared" si="6"/>
        <v/>
      </c>
      <c r="U123" s="239" t="str">
        <f>IF(D123="","",VLOOKUP(D123,'G-6 Hedgerow Data'!$B$3:$AG$15,31,FALSE))</f>
        <v/>
      </c>
      <c r="V123" s="175" t="str">
        <f t="shared" si="9"/>
        <v/>
      </c>
      <c r="W123" s="175" t="str">
        <f t="shared" si="10"/>
        <v/>
      </c>
      <c r="X123" s="176" t="str">
        <f>IF(F123="","",VLOOKUP(U123,'G-3 Multipliers'!$P$3:$Q$6,2,FALSE))</f>
        <v/>
      </c>
      <c r="Y123" s="274" t="str">
        <f t="shared" si="11"/>
        <v/>
      </c>
      <c r="Z123" s="180"/>
      <c r="AA123" s="181"/>
      <c r="AG123" s="35" t="str">
        <f>IFERROR(INDEX('G-6 Hedgerow Data'!$BJ$3:$BJ$15,MATCH(D123,'G-6 Hedgerow Data'!$B$3:$B$15,0)),"")</f>
        <v/>
      </c>
    </row>
    <row r="124" spans="2:33" ht="15" customHeight="1" x14ac:dyDescent="0.25">
      <c r="B124" s="128">
        <v>113</v>
      </c>
      <c r="C124" s="394"/>
      <c r="D124" s="275"/>
      <c r="E124" s="275"/>
      <c r="F124" s="171" t="str">
        <f>IF(D124="","",VLOOKUP(D124,'G-6 Hedgerow Data'!$B$2:$AG$15,2,FALSE))</f>
        <v/>
      </c>
      <c r="G124" s="176" t="str">
        <f>IF(D124="","",VLOOKUP(D124,'G-6 Hedgerow Data'!$B$2:$AG$15,3,FALSE))</f>
        <v/>
      </c>
      <c r="H124" s="189"/>
      <c r="I124" s="172" t="str">
        <f>IFERROR(IF(AND(F124="V.Low",OR(H124="Good",H124="Moderate")),"Error",VLOOKUP(H124,'G-1 All Habitats'!$Z$2:$AA$9,2,FALSE)),"")</f>
        <v/>
      </c>
      <c r="J124" s="186"/>
      <c r="K124" s="175" t="str">
        <f>IF(J124="","",IF(VLOOKUP(J124,'G-3 Multipliers'!$L$3:$N$6,2,FALSE)=0,"Spatial Data Missing",VLOOKUP(J124,'G-3 Multipliers'!$L$3:$N$6,2,FALSE)))</f>
        <v/>
      </c>
      <c r="L124" s="176" t="str">
        <f>IF(J124="","",IF(VLOOKUP(J124,'G-3 Multipliers'!$L$3:$N$6,3,FALSE)=0,"Spatial Data Missing",VLOOKUP(J124,'G-3 Multipliers'!$L$3:$N$6,3,FALSE)))</f>
        <v/>
      </c>
      <c r="M124" s="266"/>
      <c r="N124" s="172" t="str">
        <f>IF(M124="","",IF(VLOOKUP(M124,'G-3 Multipliers'!$S$3:$T$6,2,FALSE)=0,"Spatial Data Missing",VLOOKUP(M124,'G-3 Multipliers'!$S$3:$T$6,2,FALSE)))</f>
        <v/>
      </c>
      <c r="O124" s="171" t="str">
        <f>IF(OR(D124="",H124=""),"",(INDEX('G-6 Hedgerow Data'!$E$3:$I$15,MATCH(D124,'G-6 Hedgerow Data'!$B$3:$B$15,0),MATCH(H124,'G-6 Hedgerow Data'!$E$2:$I$2,0))))</f>
        <v/>
      </c>
      <c r="P124" s="261"/>
      <c r="Q124" s="261"/>
      <c r="R124" s="179" t="str">
        <f t="shared" si="7"/>
        <v/>
      </c>
      <c r="S124" s="262" t="str">
        <f t="shared" si="8"/>
        <v/>
      </c>
      <c r="T124" s="263" t="str">
        <f t="shared" si="6"/>
        <v/>
      </c>
      <c r="U124" s="239" t="str">
        <f>IF(D124="","",VLOOKUP(D124,'G-6 Hedgerow Data'!$B$3:$AG$15,31,FALSE))</f>
        <v/>
      </c>
      <c r="V124" s="175" t="str">
        <f t="shared" si="9"/>
        <v/>
      </c>
      <c r="W124" s="175" t="str">
        <f t="shared" si="10"/>
        <v/>
      </c>
      <c r="X124" s="176" t="str">
        <f>IF(F124="","",VLOOKUP(U124,'G-3 Multipliers'!$P$3:$Q$6,2,FALSE))</f>
        <v/>
      </c>
      <c r="Y124" s="274" t="str">
        <f t="shared" si="11"/>
        <v/>
      </c>
      <c r="Z124" s="180"/>
      <c r="AA124" s="181"/>
      <c r="AG124" s="35" t="str">
        <f>IFERROR(INDEX('G-6 Hedgerow Data'!$BJ$3:$BJ$15,MATCH(D124,'G-6 Hedgerow Data'!$B$3:$B$15,0)),"")</f>
        <v/>
      </c>
    </row>
    <row r="125" spans="2:33" ht="15" customHeight="1" x14ac:dyDescent="0.25">
      <c r="B125" s="128">
        <v>114</v>
      </c>
      <c r="C125" s="394"/>
      <c r="D125" s="275"/>
      <c r="E125" s="275"/>
      <c r="F125" s="171" t="str">
        <f>IF(D125="","",VLOOKUP(D125,'G-6 Hedgerow Data'!$B$2:$AG$15,2,FALSE))</f>
        <v/>
      </c>
      <c r="G125" s="176" t="str">
        <f>IF(D125="","",VLOOKUP(D125,'G-6 Hedgerow Data'!$B$2:$AG$15,3,FALSE))</f>
        <v/>
      </c>
      <c r="H125" s="189"/>
      <c r="I125" s="172" t="str">
        <f>IFERROR(IF(AND(F125="V.Low",OR(H125="Good",H125="Moderate")),"Error",VLOOKUP(H125,'G-1 All Habitats'!$Z$2:$AA$9,2,FALSE)),"")</f>
        <v/>
      </c>
      <c r="J125" s="186"/>
      <c r="K125" s="175" t="str">
        <f>IF(J125="","",IF(VLOOKUP(J125,'G-3 Multipliers'!$L$3:$N$6,2,FALSE)=0,"Spatial Data Missing",VLOOKUP(J125,'G-3 Multipliers'!$L$3:$N$6,2,FALSE)))</f>
        <v/>
      </c>
      <c r="L125" s="176" t="str">
        <f>IF(J125="","",IF(VLOOKUP(J125,'G-3 Multipliers'!$L$3:$N$6,3,FALSE)=0,"Spatial Data Missing",VLOOKUP(J125,'G-3 Multipliers'!$L$3:$N$6,3,FALSE)))</f>
        <v/>
      </c>
      <c r="M125" s="266"/>
      <c r="N125" s="172" t="str">
        <f>IF(M125="","",IF(VLOOKUP(M125,'G-3 Multipliers'!$S$3:$T$6,2,FALSE)=0,"Spatial Data Missing",VLOOKUP(M125,'G-3 Multipliers'!$S$3:$T$6,2,FALSE)))</f>
        <v/>
      </c>
      <c r="O125" s="171" t="str">
        <f>IF(OR(D125="",H125=""),"",(INDEX('G-6 Hedgerow Data'!$E$3:$I$15,MATCH(D125,'G-6 Hedgerow Data'!$B$3:$B$15,0),MATCH(H125,'G-6 Hedgerow Data'!$E$2:$I$2,0))))</f>
        <v/>
      </c>
      <c r="P125" s="261"/>
      <c r="Q125" s="261"/>
      <c r="R125" s="179" t="str">
        <f t="shared" si="7"/>
        <v/>
      </c>
      <c r="S125" s="262" t="str">
        <f t="shared" si="8"/>
        <v/>
      </c>
      <c r="T125" s="263" t="str">
        <f t="shared" si="6"/>
        <v/>
      </c>
      <c r="U125" s="239" t="str">
        <f>IF(D125="","",VLOOKUP(D125,'G-6 Hedgerow Data'!$B$3:$AG$15,31,FALSE))</f>
        <v/>
      </c>
      <c r="V125" s="175" t="str">
        <f t="shared" si="9"/>
        <v/>
      </c>
      <c r="W125" s="175" t="str">
        <f t="shared" si="10"/>
        <v/>
      </c>
      <c r="X125" s="176" t="str">
        <f>IF(F125="","",VLOOKUP(U125,'G-3 Multipliers'!$P$3:$Q$6,2,FALSE))</f>
        <v/>
      </c>
      <c r="Y125" s="274" t="str">
        <f t="shared" si="11"/>
        <v/>
      </c>
      <c r="Z125" s="180"/>
      <c r="AA125" s="181"/>
      <c r="AG125" s="35" t="str">
        <f>IFERROR(INDEX('G-6 Hedgerow Data'!$BJ$3:$BJ$15,MATCH(D125,'G-6 Hedgerow Data'!$B$3:$B$15,0)),"")</f>
        <v/>
      </c>
    </row>
    <row r="126" spans="2:33" ht="15" customHeight="1" x14ac:dyDescent="0.25">
      <c r="B126" s="128">
        <v>115</v>
      </c>
      <c r="C126" s="394"/>
      <c r="D126" s="275"/>
      <c r="E126" s="275"/>
      <c r="F126" s="171" t="str">
        <f>IF(D126="","",VLOOKUP(D126,'G-6 Hedgerow Data'!$B$2:$AG$15,2,FALSE))</f>
        <v/>
      </c>
      <c r="G126" s="176" t="str">
        <f>IF(D126="","",VLOOKUP(D126,'G-6 Hedgerow Data'!$B$2:$AG$15,3,FALSE))</f>
        <v/>
      </c>
      <c r="H126" s="189"/>
      <c r="I126" s="172" t="str">
        <f>IFERROR(IF(AND(F126="V.Low",OR(H126="Good",H126="Moderate")),"Error",VLOOKUP(H126,'G-1 All Habitats'!$Z$2:$AA$9,2,FALSE)),"")</f>
        <v/>
      </c>
      <c r="J126" s="186"/>
      <c r="K126" s="175" t="str">
        <f>IF(J126="","",IF(VLOOKUP(J126,'G-3 Multipliers'!$L$3:$N$6,2,FALSE)=0,"Spatial Data Missing",VLOOKUP(J126,'G-3 Multipliers'!$L$3:$N$6,2,FALSE)))</f>
        <v/>
      </c>
      <c r="L126" s="176" t="str">
        <f>IF(J126="","",IF(VLOOKUP(J126,'G-3 Multipliers'!$L$3:$N$6,3,FALSE)=0,"Spatial Data Missing",VLOOKUP(J126,'G-3 Multipliers'!$L$3:$N$6,3,FALSE)))</f>
        <v/>
      </c>
      <c r="M126" s="266"/>
      <c r="N126" s="172" t="str">
        <f>IF(M126="","",IF(VLOOKUP(M126,'G-3 Multipliers'!$S$3:$T$6,2,FALSE)=0,"Spatial Data Missing",VLOOKUP(M126,'G-3 Multipliers'!$S$3:$T$6,2,FALSE)))</f>
        <v/>
      </c>
      <c r="O126" s="171" t="str">
        <f>IF(OR(D126="",H126=""),"",(INDEX('G-6 Hedgerow Data'!$E$3:$I$15,MATCH(D126,'G-6 Hedgerow Data'!$B$3:$B$15,0),MATCH(H126,'G-6 Hedgerow Data'!$E$2:$I$2,0))))</f>
        <v/>
      </c>
      <c r="P126" s="261"/>
      <c r="Q126" s="261"/>
      <c r="R126" s="179" t="str">
        <f t="shared" si="7"/>
        <v/>
      </c>
      <c r="S126" s="262" t="str">
        <f t="shared" si="8"/>
        <v/>
      </c>
      <c r="T126" s="263" t="str">
        <f t="shared" si="6"/>
        <v/>
      </c>
      <c r="U126" s="239" t="str">
        <f>IF(D126="","",VLOOKUP(D126,'G-6 Hedgerow Data'!$B$3:$AG$15,31,FALSE))</f>
        <v/>
      </c>
      <c r="V126" s="175" t="str">
        <f t="shared" si="9"/>
        <v/>
      </c>
      <c r="W126" s="175" t="str">
        <f t="shared" si="10"/>
        <v/>
      </c>
      <c r="X126" s="176" t="str">
        <f>IF(F126="","",VLOOKUP(U126,'G-3 Multipliers'!$P$3:$Q$6,2,FALSE))</f>
        <v/>
      </c>
      <c r="Y126" s="274" t="str">
        <f t="shared" si="11"/>
        <v/>
      </c>
      <c r="Z126" s="180"/>
      <c r="AA126" s="181"/>
      <c r="AG126" s="35" t="str">
        <f>IFERROR(INDEX('G-6 Hedgerow Data'!$BJ$3:$BJ$15,MATCH(D126,'G-6 Hedgerow Data'!$B$3:$B$15,0)),"")</f>
        <v/>
      </c>
    </row>
    <row r="127" spans="2:33" ht="15" customHeight="1" x14ac:dyDescent="0.25">
      <c r="B127" s="128">
        <v>116</v>
      </c>
      <c r="C127" s="394"/>
      <c r="D127" s="275"/>
      <c r="E127" s="275"/>
      <c r="F127" s="171" t="str">
        <f>IF(D127="","",VLOOKUP(D127,'G-6 Hedgerow Data'!$B$2:$AG$15,2,FALSE))</f>
        <v/>
      </c>
      <c r="G127" s="176" t="str">
        <f>IF(D127="","",VLOOKUP(D127,'G-6 Hedgerow Data'!$B$2:$AG$15,3,FALSE))</f>
        <v/>
      </c>
      <c r="H127" s="189"/>
      <c r="I127" s="172" t="str">
        <f>IFERROR(IF(AND(F127="V.Low",OR(H127="Good",H127="Moderate")),"Error",VLOOKUP(H127,'G-1 All Habitats'!$Z$2:$AA$9,2,FALSE)),"")</f>
        <v/>
      </c>
      <c r="J127" s="186"/>
      <c r="K127" s="175" t="str">
        <f>IF(J127="","",IF(VLOOKUP(J127,'G-3 Multipliers'!$L$3:$N$6,2,FALSE)=0,"Spatial Data Missing",VLOOKUP(J127,'G-3 Multipliers'!$L$3:$N$6,2,FALSE)))</f>
        <v/>
      </c>
      <c r="L127" s="176" t="str">
        <f>IF(J127="","",IF(VLOOKUP(J127,'G-3 Multipliers'!$L$3:$N$6,3,FALSE)=0,"Spatial Data Missing",VLOOKUP(J127,'G-3 Multipliers'!$L$3:$N$6,3,FALSE)))</f>
        <v/>
      </c>
      <c r="M127" s="266"/>
      <c r="N127" s="172" t="str">
        <f>IF(M127="","",IF(VLOOKUP(M127,'G-3 Multipliers'!$S$3:$T$6,2,FALSE)=0,"Spatial Data Missing",VLOOKUP(M127,'G-3 Multipliers'!$S$3:$T$6,2,FALSE)))</f>
        <v/>
      </c>
      <c r="O127" s="171" t="str">
        <f>IF(OR(D127="",H127=""),"",(INDEX('G-6 Hedgerow Data'!$E$3:$I$15,MATCH(D127,'G-6 Hedgerow Data'!$B$3:$B$15,0),MATCH(H127,'G-6 Hedgerow Data'!$E$2:$I$2,0))))</f>
        <v/>
      </c>
      <c r="P127" s="261"/>
      <c r="Q127" s="261"/>
      <c r="R127" s="179" t="str">
        <f t="shared" si="7"/>
        <v/>
      </c>
      <c r="S127" s="262" t="str">
        <f t="shared" si="8"/>
        <v/>
      </c>
      <c r="T127" s="263" t="str">
        <f t="shared" si="6"/>
        <v/>
      </c>
      <c r="U127" s="239" t="str">
        <f>IF(D127="","",VLOOKUP(D127,'G-6 Hedgerow Data'!$B$3:$AG$15,31,FALSE))</f>
        <v/>
      </c>
      <c r="V127" s="175" t="str">
        <f t="shared" si="9"/>
        <v/>
      </c>
      <c r="W127" s="175" t="str">
        <f t="shared" si="10"/>
        <v/>
      </c>
      <c r="X127" s="176" t="str">
        <f>IF(F127="","",VLOOKUP(U127,'G-3 Multipliers'!$P$3:$Q$6,2,FALSE))</f>
        <v/>
      </c>
      <c r="Y127" s="274" t="str">
        <f t="shared" si="11"/>
        <v/>
      </c>
      <c r="Z127" s="180"/>
      <c r="AA127" s="181"/>
      <c r="AG127" s="35" t="str">
        <f>IFERROR(INDEX('G-6 Hedgerow Data'!$BJ$3:$BJ$15,MATCH(D127,'G-6 Hedgerow Data'!$B$3:$B$15,0)),"")</f>
        <v/>
      </c>
    </row>
    <row r="128" spans="2:33" ht="15" customHeight="1" x14ac:dyDescent="0.25">
      <c r="B128" s="128">
        <v>117</v>
      </c>
      <c r="C128" s="394"/>
      <c r="D128" s="275"/>
      <c r="E128" s="275"/>
      <c r="F128" s="171" t="str">
        <f>IF(D128="","",VLOOKUP(D128,'G-6 Hedgerow Data'!$B$2:$AG$15,2,FALSE))</f>
        <v/>
      </c>
      <c r="G128" s="176" t="str">
        <f>IF(D128="","",VLOOKUP(D128,'G-6 Hedgerow Data'!$B$2:$AG$15,3,FALSE))</f>
        <v/>
      </c>
      <c r="H128" s="189"/>
      <c r="I128" s="172" t="str">
        <f>IFERROR(IF(AND(F128="V.Low",OR(H128="Good",H128="Moderate")),"Error",VLOOKUP(H128,'G-1 All Habitats'!$Z$2:$AA$9,2,FALSE)),"")</f>
        <v/>
      </c>
      <c r="J128" s="186"/>
      <c r="K128" s="175" t="str">
        <f>IF(J128="","",IF(VLOOKUP(J128,'G-3 Multipliers'!$L$3:$N$6,2,FALSE)=0,"Spatial Data Missing",VLOOKUP(J128,'G-3 Multipliers'!$L$3:$N$6,2,FALSE)))</f>
        <v/>
      </c>
      <c r="L128" s="176" t="str">
        <f>IF(J128="","",IF(VLOOKUP(J128,'G-3 Multipliers'!$L$3:$N$6,3,FALSE)=0,"Spatial Data Missing",VLOOKUP(J128,'G-3 Multipliers'!$L$3:$N$6,3,FALSE)))</f>
        <v/>
      </c>
      <c r="M128" s="266"/>
      <c r="N128" s="172" t="str">
        <f>IF(M128="","",IF(VLOOKUP(M128,'G-3 Multipliers'!$S$3:$T$6,2,FALSE)=0,"Spatial Data Missing",VLOOKUP(M128,'G-3 Multipliers'!$S$3:$T$6,2,FALSE)))</f>
        <v/>
      </c>
      <c r="O128" s="171" t="str">
        <f>IF(OR(D128="",H128=""),"",(INDEX('G-6 Hedgerow Data'!$E$3:$I$15,MATCH(D128,'G-6 Hedgerow Data'!$B$3:$B$15,0),MATCH(H128,'G-6 Hedgerow Data'!$E$2:$I$2,0))))</f>
        <v/>
      </c>
      <c r="P128" s="261"/>
      <c r="Q128" s="261"/>
      <c r="R128" s="179" t="str">
        <f t="shared" si="7"/>
        <v/>
      </c>
      <c r="S128" s="262" t="str">
        <f t="shared" si="8"/>
        <v/>
      </c>
      <c r="T128" s="263" t="str">
        <f t="shared" si="6"/>
        <v/>
      </c>
      <c r="U128" s="239" t="str">
        <f>IF(D128="","",VLOOKUP(D128,'G-6 Hedgerow Data'!$B$3:$AG$15,31,FALSE))</f>
        <v/>
      </c>
      <c r="V128" s="175" t="str">
        <f t="shared" si="9"/>
        <v/>
      </c>
      <c r="W128" s="175" t="str">
        <f t="shared" si="10"/>
        <v/>
      </c>
      <c r="X128" s="176" t="str">
        <f>IF(F128="","",VLOOKUP(U128,'G-3 Multipliers'!$P$3:$Q$6,2,FALSE))</f>
        <v/>
      </c>
      <c r="Y128" s="274" t="str">
        <f t="shared" si="11"/>
        <v/>
      </c>
      <c r="Z128" s="180"/>
      <c r="AA128" s="181"/>
      <c r="AG128" s="35" t="str">
        <f>IFERROR(INDEX('G-6 Hedgerow Data'!$BJ$3:$BJ$15,MATCH(D128,'G-6 Hedgerow Data'!$B$3:$B$15,0)),"")</f>
        <v/>
      </c>
    </row>
    <row r="129" spans="2:33" ht="15" customHeight="1" x14ac:dyDescent="0.25">
      <c r="B129" s="128">
        <v>118</v>
      </c>
      <c r="C129" s="394"/>
      <c r="D129" s="275"/>
      <c r="E129" s="275"/>
      <c r="F129" s="171" t="str">
        <f>IF(D129="","",VLOOKUP(D129,'G-6 Hedgerow Data'!$B$2:$AG$15,2,FALSE))</f>
        <v/>
      </c>
      <c r="G129" s="176" t="str">
        <f>IF(D129="","",VLOOKUP(D129,'G-6 Hedgerow Data'!$B$2:$AG$15,3,FALSE))</f>
        <v/>
      </c>
      <c r="H129" s="189"/>
      <c r="I129" s="172" t="str">
        <f>IFERROR(IF(AND(F129="V.Low",OR(H129="Good",H129="Moderate")),"Error",VLOOKUP(H129,'G-1 All Habitats'!$Z$2:$AA$9,2,FALSE)),"")</f>
        <v/>
      </c>
      <c r="J129" s="186"/>
      <c r="K129" s="175" t="str">
        <f>IF(J129="","",IF(VLOOKUP(J129,'G-3 Multipliers'!$L$3:$N$6,2,FALSE)=0,"Spatial Data Missing",VLOOKUP(J129,'G-3 Multipliers'!$L$3:$N$6,2,FALSE)))</f>
        <v/>
      </c>
      <c r="L129" s="176" t="str">
        <f>IF(J129="","",IF(VLOOKUP(J129,'G-3 Multipliers'!$L$3:$N$6,3,FALSE)=0,"Spatial Data Missing",VLOOKUP(J129,'G-3 Multipliers'!$L$3:$N$6,3,FALSE)))</f>
        <v/>
      </c>
      <c r="M129" s="266"/>
      <c r="N129" s="172" t="str">
        <f>IF(M129="","",IF(VLOOKUP(M129,'G-3 Multipliers'!$S$3:$T$6,2,FALSE)=0,"Spatial Data Missing",VLOOKUP(M129,'G-3 Multipliers'!$S$3:$T$6,2,FALSE)))</f>
        <v/>
      </c>
      <c r="O129" s="171" t="str">
        <f>IF(OR(D129="",H129=""),"",(INDEX('G-6 Hedgerow Data'!$E$3:$I$15,MATCH(D129,'G-6 Hedgerow Data'!$B$3:$B$15,0),MATCH(H129,'G-6 Hedgerow Data'!$E$2:$I$2,0))))</f>
        <v/>
      </c>
      <c r="P129" s="261"/>
      <c r="Q129" s="261"/>
      <c r="R129" s="179" t="str">
        <f t="shared" si="7"/>
        <v/>
      </c>
      <c r="S129" s="262" t="str">
        <f t="shared" si="8"/>
        <v/>
      </c>
      <c r="T129" s="263" t="str">
        <f t="shared" si="6"/>
        <v/>
      </c>
      <c r="U129" s="239" t="str">
        <f>IF(D129="","",VLOOKUP(D129,'G-6 Hedgerow Data'!$B$3:$AG$15,31,FALSE))</f>
        <v/>
      </c>
      <c r="V129" s="175" t="str">
        <f t="shared" si="9"/>
        <v/>
      </c>
      <c r="W129" s="175" t="str">
        <f t="shared" si="10"/>
        <v/>
      </c>
      <c r="X129" s="176" t="str">
        <f>IF(F129="","",VLOOKUP(U129,'G-3 Multipliers'!$P$3:$Q$6,2,FALSE))</f>
        <v/>
      </c>
      <c r="Y129" s="274" t="str">
        <f t="shared" si="11"/>
        <v/>
      </c>
      <c r="Z129" s="180"/>
      <c r="AA129" s="181"/>
      <c r="AG129" s="35" t="str">
        <f>IFERROR(INDEX('G-6 Hedgerow Data'!$BJ$3:$BJ$15,MATCH(D129,'G-6 Hedgerow Data'!$B$3:$B$15,0)),"")</f>
        <v/>
      </c>
    </row>
    <row r="130" spans="2:33" ht="15" customHeight="1" x14ac:dyDescent="0.25">
      <c r="B130" s="128">
        <v>119</v>
      </c>
      <c r="C130" s="394"/>
      <c r="D130" s="275"/>
      <c r="E130" s="275"/>
      <c r="F130" s="171" t="str">
        <f>IF(D130="","",VLOOKUP(D130,'G-6 Hedgerow Data'!$B$2:$AG$15,2,FALSE))</f>
        <v/>
      </c>
      <c r="G130" s="176" t="str">
        <f>IF(D130="","",VLOOKUP(D130,'G-6 Hedgerow Data'!$B$2:$AG$15,3,FALSE))</f>
        <v/>
      </c>
      <c r="H130" s="189"/>
      <c r="I130" s="172" t="str">
        <f>IFERROR(IF(AND(F130="V.Low",OR(H130="Good",H130="Moderate")),"Error",VLOOKUP(H130,'G-1 All Habitats'!$Z$2:$AA$9,2,FALSE)),"")</f>
        <v/>
      </c>
      <c r="J130" s="186"/>
      <c r="K130" s="175" t="str">
        <f>IF(J130="","",IF(VLOOKUP(J130,'G-3 Multipliers'!$L$3:$N$6,2,FALSE)=0,"Spatial Data Missing",VLOOKUP(J130,'G-3 Multipliers'!$L$3:$N$6,2,FALSE)))</f>
        <v/>
      </c>
      <c r="L130" s="176" t="str">
        <f>IF(J130="","",IF(VLOOKUP(J130,'G-3 Multipliers'!$L$3:$N$6,3,FALSE)=0,"Spatial Data Missing",VLOOKUP(J130,'G-3 Multipliers'!$L$3:$N$6,3,FALSE)))</f>
        <v/>
      </c>
      <c r="M130" s="266"/>
      <c r="N130" s="172" t="str">
        <f>IF(M130="","",IF(VLOOKUP(M130,'G-3 Multipliers'!$S$3:$T$6,2,FALSE)=0,"Spatial Data Missing",VLOOKUP(M130,'G-3 Multipliers'!$S$3:$T$6,2,FALSE)))</f>
        <v/>
      </c>
      <c r="O130" s="171" t="str">
        <f>IF(OR(D130="",H130=""),"",(INDEX('G-6 Hedgerow Data'!$E$3:$I$15,MATCH(D130,'G-6 Hedgerow Data'!$B$3:$B$15,0),MATCH(H130,'G-6 Hedgerow Data'!$E$2:$I$2,0))))</f>
        <v/>
      </c>
      <c r="P130" s="261"/>
      <c r="Q130" s="261"/>
      <c r="R130" s="179" t="str">
        <f t="shared" si="7"/>
        <v/>
      </c>
      <c r="S130" s="262" t="str">
        <f t="shared" si="8"/>
        <v/>
      </c>
      <c r="T130" s="263" t="str">
        <f t="shared" si="6"/>
        <v/>
      </c>
      <c r="U130" s="239" t="str">
        <f>IF(D130="","",VLOOKUP(D130,'G-6 Hedgerow Data'!$B$3:$AG$15,31,FALSE))</f>
        <v/>
      </c>
      <c r="V130" s="175" t="str">
        <f t="shared" si="9"/>
        <v/>
      </c>
      <c r="W130" s="175" t="str">
        <f t="shared" si="10"/>
        <v/>
      </c>
      <c r="X130" s="176" t="str">
        <f>IF(F130="","",VLOOKUP(U130,'G-3 Multipliers'!$P$3:$Q$6,2,FALSE))</f>
        <v/>
      </c>
      <c r="Y130" s="274" t="str">
        <f t="shared" si="11"/>
        <v/>
      </c>
      <c r="Z130" s="180"/>
      <c r="AA130" s="181"/>
      <c r="AG130" s="35" t="str">
        <f>IFERROR(INDEX('G-6 Hedgerow Data'!$BJ$3:$BJ$15,MATCH(D130,'G-6 Hedgerow Data'!$B$3:$B$15,0)),"")</f>
        <v/>
      </c>
    </row>
    <row r="131" spans="2:33" ht="15" customHeight="1" x14ac:dyDescent="0.25">
      <c r="B131" s="128">
        <v>120</v>
      </c>
      <c r="C131" s="394"/>
      <c r="D131" s="275"/>
      <c r="E131" s="275"/>
      <c r="F131" s="171" t="str">
        <f>IF(D131="","",VLOOKUP(D131,'G-6 Hedgerow Data'!$B$2:$AG$15,2,FALSE))</f>
        <v/>
      </c>
      <c r="G131" s="176" t="str">
        <f>IF(D131="","",VLOOKUP(D131,'G-6 Hedgerow Data'!$B$2:$AG$15,3,FALSE))</f>
        <v/>
      </c>
      <c r="H131" s="189"/>
      <c r="I131" s="172" t="str">
        <f>IFERROR(IF(AND(F131="V.Low",OR(H131="Good",H131="Moderate")),"Error",VLOOKUP(H131,'G-1 All Habitats'!$Z$2:$AA$9,2,FALSE)),"")</f>
        <v/>
      </c>
      <c r="J131" s="186"/>
      <c r="K131" s="175" t="str">
        <f>IF(J131="","",IF(VLOOKUP(J131,'G-3 Multipliers'!$L$3:$N$6,2,FALSE)=0,"Spatial Data Missing",VLOOKUP(J131,'G-3 Multipliers'!$L$3:$N$6,2,FALSE)))</f>
        <v/>
      </c>
      <c r="L131" s="176" t="str">
        <f>IF(J131="","",IF(VLOOKUP(J131,'G-3 Multipliers'!$L$3:$N$6,3,FALSE)=0,"Spatial Data Missing",VLOOKUP(J131,'G-3 Multipliers'!$L$3:$N$6,3,FALSE)))</f>
        <v/>
      </c>
      <c r="M131" s="266"/>
      <c r="N131" s="172" t="str">
        <f>IF(M131="","",IF(VLOOKUP(M131,'G-3 Multipliers'!$S$3:$T$6,2,FALSE)=0,"Spatial Data Missing",VLOOKUP(M131,'G-3 Multipliers'!$S$3:$T$6,2,FALSE)))</f>
        <v/>
      </c>
      <c r="O131" s="171" t="str">
        <f>IF(OR(D131="",H131=""),"",(INDEX('G-6 Hedgerow Data'!$E$3:$I$15,MATCH(D131,'G-6 Hedgerow Data'!$B$3:$B$15,0),MATCH(H131,'G-6 Hedgerow Data'!$E$2:$I$2,0))))</f>
        <v/>
      </c>
      <c r="P131" s="261"/>
      <c r="Q131" s="261"/>
      <c r="R131" s="179" t="str">
        <f t="shared" si="7"/>
        <v/>
      </c>
      <c r="S131" s="262" t="str">
        <f t="shared" si="8"/>
        <v/>
      </c>
      <c r="T131" s="263" t="str">
        <f t="shared" si="6"/>
        <v/>
      </c>
      <c r="U131" s="239" t="str">
        <f>IF(D131="","",VLOOKUP(D131,'G-6 Hedgerow Data'!$B$3:$AG$15,31,FALSE))</f>
        <v/>
      </c>
      <c r="V131" s="175" t="str">
        <f t="shared" si="9"/>
        <v/>
      </c>
      <c r="W131" s="175" t="str">
        <f t="shared" si="10"/>
        <v/>
      </c>
      <c r="X131" s="176" t="str">
        <f>IF(F131="","",VLOOKUP(U131,'G-3 Multipliers'!$P$3:$Q$6,2,FALSE))</f>
        <v/>
      </c>
      <c r="Y131" s="274" t="str">
        <f t="shared" si="11"/>
        <v/>
      </c>
      <c r="Z131" s="180"/>
      <c r="AA131" s="181"/>
      <c r="AG131" s="35" t="str">
        <f>IFERROR(INDEX('G-6 Hedgerow Data'!$BJ$3:$BJ$15,MATCH(D131,'G-6 Hedgerow Data'!$B$3:$B$15,0)),"")</f>
        <v/>
      </c>
    </row>
    <row r="132" spans="2:33" ht="15" customHeight="1" x14ac:dyDescent="0.25">
      <c r="B132" s="128">
        <v>121</v>
      </c>
      <c r="C132" s="394"/>
      <c r="D132" s="275"/>
      <c r="E132" s="275"/>
      <c r="F132" s="171" t="str">
        <f>IF(D132="","",VLOOKUP(D132,'G-6 Hedgerow Data'!$B$2:$AG$15,2,FALSE))</f>
        <v/>
      </c>
      <c r="G132" s="176" t="str">
        <f>IF(D132="","",VLOOKUP(D132,'G-6 Hedgerow Data'!$B$2:$AG$15,3,FALSE))</f>
        <v/>
      </c>
      <c r="H132" s="189"/>
      <c r="I132" s="172" t="str">
        <f>IFERROR(IF(AND(F132="V.Low",OR(H132="Good",H132="Moderate")),"Error",VLOOKUP(H132,'G-1 All Habitats'!$Z$2:$AA$9,2,FALSE)),"")</f>
        <v/>
      </c>
      <c r="J132" s="186"/>
      <c r="K132" s="175" t="str">
        <f>IF(J132="","",IF(VLOOKUP(J132,'G-3 Multipliers'!$L$3:$N$6,2,FALSE)=0,"Spatial Data Missing",VLOOKUP(J132,'G-3 Multipliers'!$L$3:$N$6,2,FALSE)))</f>
        <v/>
      </c>
      <c r="L132" s="176" t="str">
        <f>IF(J132="","",IF(VLOOKUP(J132,'G-3 Multipliers'!$L$3:$N$6,3,FALSE)=0,"Spatial Data Missing",VLOOKUP(J132,'G-3 Multipliers'!$L$3:$N$6,3,FALSE)))</f>
        <v/>
      </c>
      <c r="M132" s="266"/>
      <c r="N132" s="172" t="str">
        <f>IF(M132="","",IF(VLOOKUP(M132,'G-3 Multipliers'!$S$3:$T$6,2,FALSE)=0,"Spatial Data Missing",VLOOKUP(M132,'G-3 Multipliers'!$S$3:$T$6,2,FALSE)))</f>
        <v/>
      </c>
      <c r="O132" s="171" t="str">
        <f>IF(OR(D132="",H132=""),"",(INDEX('G-6 Hedgerow Data'!$E$3:$I$15,MATCH(D132,'G-6 Hedgerow Data'!$B$3:$B$15,0),MATCH(H132,'G-6 Hedgerow Data'!$E$2:$I$2,0))))</f>
        <v/>
      </c>
      <c r="P132" s="261"/>
      <c r="Q132" s="261"/>
      <c r="R132" s="179" t="str">
        <f t="shared" si="7"/>
        <v/>
      </c>
      <c r="S132" s="262" t="str">
        <f t="shared" si="8"/>
        <v/>
      </c>
      <c r="T132" s="263" t="str">
        <f t="shared" si="6"/>
        <v/>
      </c>
      <c r="U132" s="239" t="str">
        <f>IF(D132="","",VLOOKUP(D132,'G-6 Hedgerow Data'!$B$3:$AG$15,31,FALSE))</f>
        <v/>
      </c>
      <c r="V132" s="175" t="str">
        <f t="shared" si="9"/>
        <v/>
      </c>
      <c r="W132" s="175" t="str">
        <f t="shared" si="10"/>
        <v/>
      </c>
      <c r="X132" s="176" t="str">
        <f>IF(F132="","",VLOOKUP(U132,'G-3 Multipliers'!$P$3:$Q$6,2,FALSE))</f>
        <v/>
      </c>
      <c r="Y132" s="274" t="str">
        <f t="shared" si="11"/>
        <v/>
      </c>
      <c r="Z132" s="180"/>
      <c r="AA132" s="181"/>
      <c r="AG132" s="35" t="str">
        <f>IFERROR(INDEX('G-6 Hedgerow Data'!$BJ$3:$BJ$15,MATCH(D132,'G-6 Hedgerow Data'!$B$3:$B$15,0)),"")</f>
        <v/>
      </c>
    </row>
    <row r="133" spans="2:33" ht="15" customHeight="1" x14ac:dyDescent="0.25">
      <c r="B133" s="128">
        <v>122</v>
      </c>
      <c r="C133" s="394"/>
      <c r="D133" s="275"/>
      <c r="E133" s="275"/>
      <c r="F133" s="171" t="str">
        <f>IF(D133="","",VLOOKUP(D133,'G-6 Hedgerow Data'!$B$2:$AG$15,2,FALSE))</f>
        <v/>
      </c>
      <c r="G133" s="176" t="str">
        <f>IF(D133="","",VLOOKUP(D133,'G-6 Hedgerow Data'!$B$2:$AG$15,3,FALSE))</f>
        <v/>
      </c>
      <c r="H133" s="189"/>
      <c r="I133" s="172" t="str">
        <f>IFERROR(IF(AND(F133="V.Low",OR(H133="Good",H133="Moderate")),"Error",VLOOKUP(H133,'G-1 All Habitats'!$Z$2:$AA$9,2,FALSE)),"")</f>
        <v/>
      </c>
      <c r="J133" s="186"/>
      <c r="K133" s="175" t="str">
        <f>IF(J133="","",IF(VLOOKUP(J133,'G-3 Multipliers'!$L$3:$N$6,2,FALSE)=0,"Spatial Data Missing",VLOOKUP(J133,'G-3 Multipliers'!$L$3:$N$6,2,FALSE)))</f>
        <v/>
      </c>
      <c r="L133" s="176" t="str">
        <f>IF(J133="","",IF(VLOOKUP(J133,'G-3 Multipliers'!$L$3:$N$6,3,FALSE)=0,"Spatial Data Missing",VLOOKUP(J133,'G-3 Multipliers'!$L$3:$N$6,3,FALSE)))</f>
        <v/>
      </c>
      <c r="M133" s="266"/>
      <c r="N133" s="172" t="str">
        <f>IF(M133="","",IF(VLOOKUP(M133,'G-3 Multipliers'!$S$3:$T$6,2,FALSE)=0,"Spatial Data Missing",VLOOKUP(M133,'G-3 Multipliers'!$S$3:$T$6,2,FALSE)))</f>
        <v/>
      </c>
      <c r="O133" s="171" t="str">
        <f>IF(OR(D133="",H133=""),"",(INDEX('G-6 Hedgerow Data'!$E$3:$I$15,MATCH(D133,'G-6 Hedgerow Data'!$B$3:$B$15,0),MATCH(H133,'G-6 Hedgerow Data'!$E$2:$I$2,0))))</f>
        <v/>
      </c>
      <c r="P133" s="261"/>
      <c r="Q133" s="261"/>
      <c r="R133" s="179" t="str">
        <f t="shared" si="7"/>
        <v/>
      </c>
      <c r="S133" s="262" t="str">
        <f t="shared" si="8"/>
        <v/>
      </c>
      <c r="T133" s="263" t="str">
        <f t="shared" si="6"/>
        <v/>
      </c>
      <c r="U133" s="239" t="str">
        <f>IF(D133="","",VLOOKUP(D133,'G-6 Hedgerow Data'!$B$3:$AG$15,31,FALSE))</f>
        <v/>
      </c>
      <c r="V133" s="175" t="str">
        <f t="shared" si="9"/>
        <v/>
      </c>
      <c r="W133" s="175" t="str">
        <f t="shared" si="10"/>
        <v/>
      </c>
      <c r="X133" s="176" t="str">
        <f>IF(F133="","",VLOOKUP(U133,'G-3 Multipliers'!$P$3:$Q$6,2,FALSE))</f>
        <v/>
      </c>
      <c r="Y133" s="274" t="str">
        <f t="shared" si="11"/>
        <v/>
      </c>
      <c r="Z133" s="180"/>
      <c r="AA133" s="181"/>
      <c r="AG133" s="35" t="str">
        <f>IFERROR(INDEX('G-6 Hedgerow Data'!$BJ$3:$BJ$15,MATCH(D133,'G-6 Hedgerow Data'!$B$3:$B$15,0)),"")</f>
        <v/>
      </c>
    </row>
    <row r="134" spans="2:33" ht="15" customHeight="1" x14ac:dyDescent="0.25">
      <c r="B134" s="128">
        <v>123</v>
      </c>
      <c r="C134" s="394"/>
      <c r="D134" s="275"/>
      <c r="E134" s="275"/>
      <c r="F134" s="171" t="str">
        <f>IF(D134="","",VLOOKUP(D134,'G-6 Hedgerow Data'!$B$2:$AG$15,2,FALSE))</f>
        <v/>
      </c>
      <c r="G134" s="176" t="str">
        <f>IF(D134="","",VLOOKUP(D134,'G-6 Hedgerow Data'!$B$2:$AG$15,3,FALSE))</f>
        <v/>
      </c>
      <c r="H134" s="189"/>
      <c r="I134" s="172" t="str">
        <f>IFERROR(IF(AND(F134="V.Low",OR(H134="Good",H134="Moderate")),"Error",VLOOKUP(H134,'G-1 All Habitats'!$Z$2:$AA$9,2,FALSE)),"")</f>
        <v/>
      </c>
      <c r="J134" s="186"/>
      <c r="K134" s="175" t="str">
        <f>IF(J134="","",IF(VLOOKUP(J134,'G-3 Multipliers'!$L$3:$N$6,2,FALSE)=0,"Spatial Data Missing",VLOOKUP(J134,'G-3 Multipliers'!$L$3:$N$6,2,FALSE)))</f>
        <v/>
      </c>
      <c r="L134" s="176" t="str">
        <f>IF(J134="","",IF(VLOOKUP(J134,'G-3 Multipliers'!$L$3:$N$6,3,FALSE)=0,"Spatial Data Missing",VLOOKUP(J134,'G-3 Multipliers'!$L$3:$N$6,3,FALSE)))</f>
        <v/>
      </c>
      <c r="M134" s="266"/>
      <c r="N134" s="172" t="str">
        <f>IF(M134="","",IF(VLOOKUP(M134,'G-3 Multipliers'!$S$3:$T$6,2,FALSE)=0,"Spatial Data Missing",VLOOKUP(M134,'G-3 Multipliers'!$S$3:$T$6,2,FALSE)))</f>
        <v/>
      </c>
      <c r="O134" s="171" t="str">
        <f>IF(OR(D134="",H134=""),"",(INDEX('G-6 Hedgerow Data'!$E$3:$I$15,MATCH(D134,'G-6 Hedgerow Data'!$B$3:$B$15,0),MATCH(H134,'G-6 Hedgerow Data'!$E$2:$I$2,0))))</f>
        <v/>
      </c>
      <c r="P134" s="261"/>
      <c r="Q134" s="261"/>
      <c r="R134" s="179" t="str">
        <f t="shared" si="7"/>
        <v/>
      </c>
      <c r="S134" s="262" t="str">
        <f t="shared" si="8"/>
        <v/>
      </c>
      <c r="T134" s="263" t="str">
        <f t="shared" si="6"/>
        <v/>
      </c>
      <c r="U134" s="239" t="str">
        <f>IF(D134="","",VLOOKUP(D134,'G-6 Hedgerow Data'!$B$3:$AG$15,31,FALSE))</f>
        <v/>
      </c>
      <c r="V134" s="175" t="str">
        <f t="shared" si="9"/>
        <v/>
      </c>
      <c r="W134" s="175" t="str">
        <f t="shared" si="10"/>
        <v/>
      </c>
      <c r="X134" s="176" t="str">
        <f>IF(F134="","",VLOOKUP(U134,'G-3 Multipliers'!$P$3:$Q$6,2,FALSE))</f>
        <v/>
      </c>
      <c r="Y134" s="274" t="str">
        <f t="shared" si="11"/>
        <v/>
      </c>
      <c r="Z134" s="180"/>
      <c r="AA134" s="181"/>
      <c r="AG134" s="35" t="str">
        <f>IFERROR(INDEX('G-6 Hedgerow Data'!$BJ$3:$BJ$15,MATCH(D134,'G-6 Hedgerow Data'!$B$3:$B$15,0)),"")</f>
        <v/>
      </c>
    </row>
    <row r="135" spans="2:33" ht="15" customHeight="1" x14ac:dyDescent="0.25">
      <c r="B135" s="128">
        <v>124</v>
      </c>
      <c r="C135" s="394"/>
      <c r="D135" s="275"/>
      <c r="E135" s="275"/>
      <c r="F135" s="171" t="str">
        <f>IF(D135="","",VLOOKUP(D135,'G-6 Hedgerow Data'!$B$2:$AG$15,2,FALSE))</f>
        <v/>
      </c>
      <c r="G135" s="176" t="str">
        <f>IF(D135="","",VLOOKUP(D135,'G-6 Hedgerow Data'!$B$2:$AG$15,3,FALSE))</f>
        <v/>
      </c>
      <c r="H135" s="189"/>
      <c r="I135" s="172" t="str">
        <f>IFERROR(IF(AND(F135="V.Low",OR(H135="Good",H135="Moderate")),"Error",VLOOKUP(H135,'G-1 All Habitats'!$Z$2:$AA$9,2,FALSE)),"")</f>
        <v/>
      </c>
      <c r="J135" s="186"/>
      <c r="K135" s="175" t="str">
        <f>IF(J135="","",IF(VLOOKUP(J135,'G-3 Multipliers'!$L$3:$N$6,2,FALSE)=0,"Spatial Data Missing",VLOOKUP(J135,'G-3 Multipliers'!$L$3:$N$6,2,FALSE)))</f>
        <v/>
      </c>
      <c r="L135" s="176" t="str">
        <f>IF(J135="","",IF(VLOOKUP(J135,'G-3 Multipliers'!$L$3:$N$6,3,FALSE)=0,"Spatial Data Missing",VLOOKUP(J135,'G-3 Multipliers'!$L$3:$N$6,3,FALSE)))</f>
        <v/>
      </c>
      <c r="M135" s="266"/>
      <c r="N135" s="172" t="str">
        <f>IF(M135="","",IF(VLOOKUP(M135,'G-3 Multipliers'!$S$3:$T$6,2,FALSE)=0,"Spatial Data Missing",VLOOKUP(M135,'G-3 Multipliers'!$S$3:$T$6,2,FALSE)))</f>
        <v/>
      </c>
      <c r="O135" s="171" t="str">
        <f>IF(OR(D135="",H135=""),"",(INDEX('G-6 Hedgerow Data'!$E$3:$I$15,MATCH(D135,'G-6 Hedgerow Data'!$B$3:$B$15,0),MATCH(H135,'G-6 Hedgerow Data'!$E$2:$I$2,0))))</f>
        <v/>
      </c>
      <c r="P135" s="261"/>
      <c r="Q135" s="261"/>
      <c r="R135" s="179" t="str">
        <f t="shared" si="7"/>
        <v/>
      </c>
      <c r="S135" s="262" t="str">
        <f t="shared" si="8"/>
        <v/>
      </c>
      <c r="T135" s="263" t="str">
        <f t="shared" si="6"/>
        <v/>
      </c>
      <c r="U135" s="239" t="str">
        <f>IF(D135="","",VLOOKUP(D135,'G-6 Hedgerow Data'!$B$3:$AG$15,31,FALSE))</f>
        <v/>
      </c>
      <c r="V135" s="175" t="str">
        <f t="shared" si="9"/>
        <v/>
      </c>
      <c r="W135" s="175" t="str">
        <f t="shared" si="10"/>
        <v/>
      </c>
      <c r="X135" s="176" t="str">
        <f>IF(F135="","",VLOOKUP(U135,'G-3 Multipliers'!$P$3:$Q$6,2,FALSE))</f>
        <v/>
      </c>
      <c r="Y135" s="274" t="str">
        <f t="shared" si="11"/>
        <v/>
      </c>
      <c r="Z135" s="180"/>
      <c r="AA135" s="181"/>
      <c r="AG135" s="35" t="str">
        <f>IFERROR(INDEX('G-6 Hedgerow Data'!$BJ$3:$BJ$15,MATCH(D135,'G-6 Hedgerow Data'!$B$3:$B$15,0)),"")</f>
        <v/>
      </c>
    </row>
    <row r="136" spans="2:33" ht="15" customHeight="1" x14ac:dyDescent="0.25">
      <c r="B136" s="128">
        <v>125</v>
      </c>
      <c r="C136" s="394"/>
      <c r="D136" s="275"/>
      <c r="E136" s="275"/>
      <c r="F136" s="171" t="str">
        <f>IF(D136="","",VLOOKUP(D136,'G-6 Hedgerow Data'!$B$2:$AG$15,2,FALSE))</f>
        <v/>
      </c>
      <c r="G136" s="176" t="str">
        <f>IF(D136="","",VLOOKUP(D136,'G-6 Hedgerow Data'!$B$2:$AG$15,3,FALSE))</f>
        <v/>
      </c>
      <c r="H136" s="189"/>
      <c r="I136" s="172" t="str">
        <f>IFERROR(IF(AND(F136="V.Low",OR(H136="Good",H136="Moderate")),"Error",VLOOKUP(H136,'G-1 All Habitats'!$Z$2:$AA$9,2,FALSE)),"")</f>
        <v/>
      </c>
      <c r="J136" s="186"/>
      <c r="K136" s="175" t="str">
        <f>IF(J136="","",IF(VLOOKUP(J136,'G-3 Multipliers'!$L$3:$N$6,2,FALSE)=0,"Spatial Data Missing",VLOOKUP(J136,'G-3 Multipliers'!$L$3:$N$6,2,FALSE)))</f>
        <v/>
      </c>
      <c r="L136" s="176" t="str">
        <f>IF(J136="","",IF(VLOOKUP(J136,'G-3 Multipliers'!$L$3:$N$6,3,FALSE)=0,"Spatial Data Missing",VLOOKUP(J136,'G-3 Multipliers'!$L$3:$N$6,3,FALSE)))</f>
        <v/>
      </c>
      <c r="M136" s="266"/>
      <c r="N136" s="172" t="str">
        <f>IF(M136="","",IF(VLOOKUP(M136,'G-3 Multipliers'!$S$3:$T$6,2,FALSE)=0,"Spatial Data Missing",VLOOKUP(M136,'G-3 Multipliers'!$S$3:$T$6,2,FALSE)))</f>
        <v/>
      </c>
      <c r="O136" s="171" t="str">
        <f>IF(OR(D136="",H136=""),"",(INDEX('G-6 Hedgerow Data'!$E$3:$I$15,MATCH(D136,'G-6 Hedgerow Data'!$B$3:$B$15,0),MATCH(H136,'G-6 Hedgerow Data'!$E$2:$I$2,0))))</f>
        <v/>
      </c>
      <c r="P136" s="261"/>
      <c r="Q136" s="261"/>
      <c r="R136" s="179" t="str">
        <f t="shared" si="7"/>
        <v/>
      </c>
      <c r="S136" s="262" t="str">
        <f t="shared" si="8"/>
        <v/>
      </c>
      <c r="T136" s="263" t="str">
        <f t="shared" si="6"/>
        <v/>
      </c>
      <c r="U136" s="239" t="str">
        <f>IF(D136="","",VLOOKUP(D136,'G-6 Hedgerow Data'!$B$3:$AG$15,31,FALSE))</f>
        <v/>
      </c>
      <c r="V136" s="175" t="str">
        <f t="shared" si="9"/>
        <v/>
      </c>
      <c r="W136" s="175" t="str">
        <f t="shared" si="10"/>
        <v/>
      </c>
      <c r="X136" s="176" t="str">
        <f>IF(F136="","",VLOOKUP(U136,'G-3 Multipliers'!$P$3:$Q$6,2,FALSE))</f>
        <v/>
      </c>
      <c r="Y136" s="274" t="str">
        <f t="shared" si="11"/>
        <v/>
      </c>
      <c r="Z136" s="180"/>
      <c r="AA136" s="181"/>
      <c r="AG136" s="35" t="str">
        <f>IFERROR(INDEX('G-6 Hedgerow Data'!$BJ$3:$BJ$15,MATCH(D136,'G-6 Hedgerow Data'!$B$3:$B$15,0)),"")</f>
        <v/>
      </c>
    </row>
    <row r="137" spans="2:33" ht="15" customHeight="1" x14ac:dyDescent="0.25">
      <c r="B137" s="128">
        <v>126</v>
      </c>
      <c r="C137" s="394"/>
      <c r="D137" s="275"/>
      <c r="E137" s="275"/>
      <c r="F137" s="171" t="str">
        <f>IF(D137="","",VLOOKUP(D137,'G-6 Hedgerow Data'!$B$2:$AG$15,2,FALSE))</f>
        <v/>
      </c>
      <c r="G137" s="176" t="str">
        <f>IF(D137="","",VLOOKUP(D137,'G-6 Hedgerow Data'!$B$2:$AG$15,3,FALSE))</f>
        <v/>
      </c>
      <c r="H137" s="189"/>
      <c r="I137" s="172" t="str">
        <f>IFERROR(IF(AND(F137="V.Low",OR(H137="Good",H137="Moderate")),"Error",VLOOKUP(H137,'G-1 All Habitats'!$Z$2:$AA$9,2,FALSE)),"")</f>
        <v/>
      </c>
      <c r="J137" s="186"/>
      <c r="K137" s="175" t="str">
        <f>IF(J137="","",IF(VLOOKUP(J137,'G-3 Multipliers'!$L$3:$N$6,2,FALSE)=0,"Spatial Data Missing",VLOOKUP(J137,'G-3 Multipliers'!$L$3:$N$6,2,FALSE)))</f>
        <v/>
      </c>
      <c r="L137" s="176" t="str">
        <f>IF(J137="","",IF(VLOOKUP(J137,'G-3 Multipliers'!$L$3:$N$6,3,FALSE)=0,"Spatial Data Missing",VLOOKUP(J137,'G-3 Multipliers'!$L$3:$N$6,3,FALSE)))</f>
        <v/>
      </c>
      <c r="M137" s="266"/>
      <c r="N137" s="172" t="str">
        <f>IF(M137="","",IF(VLOOKUP(M137,'G-3 Multipliers'!$S$3:$T$6,2,FALSE)=0,"Spatial Data Missing",VLOOKUP(M137,'G-3 Multipliers'!$S$3:$T$6,2,FALSE)))</f>
        <v/>
      </c>
      <c r="O137" s="171" t="str">
        <f>IF(OR(D137="",H137=""),"",(INDEX('G-6 Hedgerow Data'!$E$3:$I$15,MATCH(D137,'G-6 Hedgerow Data'!$B$3:$B$15,0),MATCH(H137,'G-6 Hedgerow Data'!$E$2:$I$2,0))))</f>
        <v/>
      </c>
      <c r="P137" s="261"/>
      <c r="Q137" s="261"/>
      <c r="R137" s="179" t="str">
        <f t="shared" si="7"/>
        <v/>
      </c>
      <c r="S137" s="262" t="str">
        <f t="shared" si="8"/>
        <v/>
      </c>
      <c r="T137" s="263" t="str">
        <f t="shared" si="6"/>
        <v/>
      </c>
      <c r="U137" s="239" t="str">
        <f>IF(D137="","",VLOOKUP(D137,'G-6 Hedgerow Data'!$B$3:$AG$15,31,FALSE))</f>
        <v/>
      </c>
      <c r="V137" s="175" t="str">
        <f t="shared" si="9"/>
        <v/>
      </c>
      <c r="W137" s="175" t="str">
        <f t="shared" si="10"/>
        <v/>
      </c>
      <c r="X137" s="176" t="str">
        <f>IF(F137="","",VLOOKUP(U137,'G-3 Multipliers'!$P$3:$Q$6,2,FALSE))</f>
        <v/>
      </c>
      <c r="Y137" s="274" t="str">
        <f t="shared" si="11"/>
        <v/>
      </c>
      <c r="Z137" s="180"/>
      <c r="AA137" s="181"/>
      <c r="AG137" s="35" t="str">
        <f>IFERROR(INDEX('G-6 Hedgerow Data'!$BJ$3:$BJ$15,MATCH(D137,'G-6 Hedgerow Data'!$B$3:$B$15,0)),"")</f>
        <v/>
      </c>
    </row>
    <row r="138" spans="2:33" ht="15" customHeight="1" x14ac:dyDescent="0.25">
      <c r="B138" s="128">
        <v>127</v>
      </c>
      <c r="C138" s="394"/>
      <c r="D138" s="275"/>
      <c r="E138" s="275"/>
      <c r="F138" s="171" t="str">
        <f>IF(D138="","",VLOOKUP(D138,'G-6 Hedgerow Data'!$B$2:$AG$15,2,FALSE))</f>
        <v/>
      </c>
      <c r="G138" s="176" t="str">
        <f>IF(D138="","",VLOOKUP(D138,'G-6 Hedgerow Data'!$B$2:$AG$15,3,FALSE))</f>
        <v/>
      </c>
      <c r="H138" s="189"/>
      <c r="I138" s="172" t="str">
        <f>IFERROR(IF(AND(F138="V.Low",OR(H138="Good",H138="Moderate")),"Error",VLOOKUP(H138,'G-1 All Habitats'!$Z$2:$AA$9,2,FALSE)),"")</f>
        <v/>
      </c>
      <c r="J138" s="186"/>
      <c r="K138" s="175" t="str">
        <f>IF(J138="","",IF(VLOOKUP(J138,'G-3 Multipliers'!$L$3:$N$6,2,FALSE)=0,"Spatial Data Missing",VLOOKUP(J138,'G-3 Multipliers'!$L$3:$N$6,2,FALSE)))</f>
        <v/>
      </c>
      <c r="L138" s="176" t="str">
        <f>IF(J138="","",IF(VLOOKUP(J138,'G-3 Multipliers'!$L$3:$N$6,3,FALSE)=0,"Spatial Data Missing",VLOOKUP(J138,'G-3 Multipliers'!$L$3:$N$6,3,FALSE)))</f>
        <v/>
      </c>
      <c r="M138" s="266"/>
      <c r="N138" s="172" t="str">
        <f>IF(M138="","",IF(VLOOKUP(M138,'G-3 Multipliers'!$S$3:$T$6,2,FALSE)=0,"Spatial Data Missing",VLOOKUP(M138,'G-3 Multipliers'!$S$3:$T$6,2,FALSE)))</f>
        <v/>
      </c>
      <c r="O138" s="171" t="str">
        <f>IF(OR(D138="",H138=""),"",(INDEX('G-6 Hedgerow Data'!$E$3:$I$15,MATCH(D138,'G-6 Hedgerow Data'!$B$3:$B$15,0),MATCH(H138,'G-6 Hedgerow Data'!$E$2:$I$2,0))))</f>
        <v/>
      </c>
      <c r="P138" s="261"/>
      <c r="Q138" s="261"/>
      <c r="R138" s="179" t="str">
        <f t="shared" si="7"/>
        <v/>
      </c>
      <c r="S138" s="262" t="str">
        <f t="shared" si="8"/>
        <v/>
      </c>
      <c r="T138" s="263" t="str">
        <f t="shared" si="6"/>
        <v/>
      </c>
      <c r="U138" s="239" t="str">
        <f>IF(D138="","",VLOOKUP(D138,'G-6 Hedgerow Data'!$B$3:$AG$15,31,FALSE))</f>
        <v/>
      </c>
      <c r="V138" s="175" t="str">
        <f t="shared" si="9"/>
        <v/>
      </c>
      <c r="W138" s="175" t="str">
        <f t="shared" si="10"/>
        <v/>
      </c>
      <c r="X138" s="176" t="str">
        <f>IF(F138="","",VLOOKUP(U138,'G-3 Multipliers'!$P$3:$Q$6,2,FALSE))</f>
        <v/>
      </c>
      <c r="Y138" s="274" t="str">
        <f t="shared" si="11"/>
        <v/>
      </c>
      <c r="Z138" s="180"/>
      <c r="AA138" s="181"/>
      <c r="AG138" s="35" t="str">
        <f>IFERROR(INDEX('G-6 Hedgerow Data'!$BJ$3:$BJ$15,MATCH(D138,'G-6 Hedgerow Data'!$B$3:$B$15,0)),"")</f>
        <v/>
      </c>
    </row>
    <row r="139" spans="2:33" ht="15" customHeight="1" x14ac:dyDescent="0.25">
      <c r="B139" s="128">
        <v>128</v>
      </c>
      <c r="C139" s="394"/>
      <c r="D139" s="275"/>
      <c r="E139" s="275"/>
      <c r="F139" s="171" t="str">
        <f>IF(D139="","",VLOOKUP(D139,'G-6 Hedgerow Data'!$B$2:$AG$15,2,FALSE))</f>
        <v/>
      </c>
      <c r="G139" s="176" t="str">
        <f>IF(D139="","",VLOOKUP(D139,'G-6 Hedgerow Data'!$B$2:$AG$15,3,FALSE))</f>
        <v/>
      </c>
      <c r="H139" s="189"/>
      <c r="I139" s="172" t="str">
        <f>IFERROR(IF(AND(F139="V.Low",OR(H139="Good",H139="Moderate")),"Error",VLOOKUP(H139,'G-1 All Habitats'!$Z$2:$AA$9,2,FALSE)),"")</f>
        <v/>
      </c>
      <c r="J139" s="186"/>
      <c r="K139" s="175" t="str">
        <f>IF(J139="","",IF(VLOOKUP(J139,'G-3 Multipliers'!$L$3:$N$6,2,FALSE)=0,"Spatial Data Missing",VLOOKUP(J139,'G-3 Multipliers'!$L$3:$N$6,2,FALSE)))</f>
        <v/>
      </c>
      <c r="L139" s="176" t="str">
        <f>IF(J139="","",IF(VLOOKUP(J139,'G-3 Multipliers'!$L$3:$N$6,3,FALSE)=0,"Spatial Data Missing",VLOOKUP(J139,'G-3 Multipliers'!$L$3:$N$6,3,FALSE)))</f>
        <v/>
      </c>
      <c r="M139" s="266"/>
      <c r="N139" s="172" t="str">
        <f>IF(M139="","",IF(VLOOKUP(M139,'G-3 Multipliers'!$S$3:$T$6,2,FALSE)=0,"Spatial Data Missing",VLOOKUP(M139,'G-3 Multipliers'!$S$3:$T$6,2,FALSE)))</f>
        <v/>
      </c>
      <c r="O139" s="171" t="str">
        <f>IF(OR(D139="",H139=""),"",(INDEX('G-6 Hedgerow Data'!$E$3:$I$15,MATCH(D139,'G-6 Hedgerow Data'!$B$3:$B$15,0),MATCH(H139,'G-6 Hedgerow Data'!$E$2:$I$2,0))))</f>
        <v/>
      </c>
      <c r="P139" s="261"/>
      <c r="Q139" s="261"/>
      <c r="R139" s="179" t="str">
        <f t="shared" si="7"/>
        <v/>
      </c>
      <c r="S139" s="262" t="str">
        <f t="shared" si="8"/>
        <v/>
      </c>
      <c r="T139" s="263" t="str">
        <f t="shared" si="6"/>
        <v/>
      </c>
      <c r="U139" s="239" t="str">
        <f>IF(D139="","",VLOOKUP(D139,'G-6 Hedgerow Data'!$B$3:$AG$15,31,FALSE))</f>
        <v/>
      </c>
      <c r="V139" s="175" t="str">
        <f t="shared" si="9"/>
        <v/>
      </c>
      <c r="W139" s="175" t="str">
        <f t="shared" si="10"/>
        <v/>
      </c>
      <c r="X139" s="176" t="str">
        <f>IF(F139="","",VLOOKUP(U139,'G-3 Multipliers'!$P$3:$Q$6,2,FALSE))</f>
        <v/>
      </c>
      <c r="Y139" s="274" t="str">
        <f t="shared" si="11"/>
        <v/>
      </c>
      <c r="Z139" s="180"/>
      <c r="AA139" s="181"/>
      <c r="AG139" s="35" t="str">
        <f>IFERROR(INDEX('G-6 Hedgerow Data'!$BJ$3:$BJ$15,MATCH(D139,'G-6 Hedgerow Data'!$B$3:$B$15,0)),"")</f>
        <v/>
      </c>
    </row>
    <row r="140" spans="2:33" ht="15" customHeight="1" x14ac:dyDescent="0.25">
      <c r="B140" s="128">
        <v>129</v>
      </c>
      <c r="C140" s="394"/>
      <c r="D140" s="275"/>
      <c r="E140" s="275"/>
      <c r="F140" s="171" t="str">
        <f>IF(D140="","",VLOOKUP(D140,'G-6 Hedgerow Data'!$B$2:$AG$15,2,FALSE))</f>
        <v/>
      </c>
      <c r="G140" s="176" t="str">
        <f>IF(D140="","",VLOOKUP(D140,'G-6 Hedgerow Data'!$B$2:$AG$15,3,FALSE))</f>
        <v/>
      </c>
      <c r="H140" s="189"/>
      <c r="I140" s="172" t="str">
        <f>IFERROR(IF(AND(F140="V.Low",OR(H140="Good",H140="Moderate")),"Error",VLOOKUP(H140,'G-1 All Habitats'!$Z$2:$AA$9,2,FALSE)),"")</f>
        <v/>
      </c>
      <c r="J140" s="186"/>
      <c r="K140" s="175" t="str">
        <f>IF(J140="","",IF(VLOOKUP(J140,'G-3 Multipliers'!$L$3:$N$6,2,FALSE)=0,"Spatial Data Missing",VLOOKUP(J140,'G-3 Multipliers'!$L$3:$N$6,2,FALSE)))</f>
        <v/>
      </c>
      <c r="L140" s="176" t="str">
        <f>IF(J140="","",IF(VLOOKUP(J140,'G-3 Multipliers'!$L$3:$N$6,3,FALSE)=0,"Spatial Data Missing",VLOOKUP(J140,'G-3 Multipliers'!$L$3:$N$6,3,FALSE)))</f>
        <v/>
      </c>
      <c r="M140" s="266"/>
      <c r="N140" s="172" t="str">
        <f>IF(M140="","",IF(VLOOKUP(M140,'G-3 Multipliers'!$S$3:$T$6,2,FALSE)=0,"Spatial Data Missing",VLOOKUP(M140,'G-3 Multipliers'!$S$3:$T$6,2,FALSE)))</f>
        <v/>
      </c>
      <c r="O140" s="171" t="str">
        <f>IF(OR(D140="",H140=""),"",(INDEX('G-6 Hedgerow Data'!$E$3:$I$15,MATCH(D140,'G-6 Hedgerow Data'!$B$3:$B$15,0),MATCH(H140,'G-6 Hedgerow Data'!$E$2:$I$2,0))))</f>
        <v/>
      </c>
      <c r="P140" s="261"/>
      <c r="Q140" s="261"/>
      <c r="R140" s="179" t="str">
        <f t="shared" si="7"/>
        <v/>
      </c>
      <c r="S140" s="262" t="str">
        <f t="shared" si="8"/>
        <v/>
      </c>
      <c r="T140" s="263" t="str">
        <f t="shared" ref="T140:T203" si="12">IF(D140="","",IF(LEFT(R140,5)="Error","Check Data",VLOOKUP(S140,TemporalMultipliers,3,FALSE)))</f>
        <v/>
      </c>
      <c r="U140" s="239" t="str">
        <f>IF(D140="","",VLOOKUP(D140,'G-6 Hedgerow Data'!$B$3:$AG$15,31,FALSE))</f>
        <v/>
      </c>
      <c r="V140" s="175" t="str">
        <f t="shared" si="9"/>
        <v/>
      </c>
      <c r="W140" s="175" t="str">
        <f t="shared" si="10"/>
        <v/>
      </c>
      <c r="X140" s="176" t="str">
        <f>IF(F140="","",VLOOKUP(U140,'G-3 Multipliers'!$P$3:$Q$6,2,FALSE))</f>
        <v/>
      </c>
      <c r="Y140" s="274" t="str">
        <f t="shared" si="11"/>
        <v/>
      </c>
      <c r="Z140" s="180"/>
      <c r="AA140" s="181"/>
      <c r="AG140" s="35" t="str">
        <f>IFERROR(INDEX('G-6 Hedgerow Data'!$BJ$3:$BJ$15,MATCH(D140,'G-6 Hedgerow Data'!$B$3:$B$15,0)),"")</f>
        <v/>
      </c>
    </row>
    <row r="141" spans="2:33" ht="15" customHeight="1" x14ac:dyDescent="0.25">
      <c r="B141" s="128">
        <v>130</v>
      </c>
      <c r="C141" s="394"/>
      <c r="D141" s="275"/>
      <c r="E141" s="275"/>
      <c r="F141" s="171" t="str">
        <f>IF(D141="","",VLOOKUP(D141,'G-6 Hedgerow Data'!$B$2:$AG$15,2,FALSE))</f>
        <v/>
      </c>
      <c r="G141" s="176" t="str">
        <f>IF(D141="","",VLOOKUP(D141,'G-6 Hedgerow Data'!$B$2:$AG$15,3,FALSE))</f>
        <v/>
      </c>
      <c r="H141" s="189"/>
      <c r="I141" s="172" t="str">
        <f>IFERROR(IF(AND(F141="V.Low",OR(H141="Good",H141="Moderate")),"Error",VLOOKUP(H141,'G-1 All Habitats'!$Z$2:$AA$9,2,FALSE)),"")</f>
        <v/>
      </c>
      <c r="J141" s="186"/>
      <c r="K141" s="175" t="str">
        <f>IF(J141="","",IF(VLOOKUP(J141,'G-3 Multipliers'!$L$3:$N$6,2,FALSE)=0,"Spatial Data Missing",VLOOKUP(J141,'G-3 Multipliers'!$L$3:$N$6,2,FALSE)))</f>
        <v/>
      </c>
      <c r="L141" s="176" t="str">
        <f>IF(J141="","",IF(VLOOKUP(J141,'G-3 Multipliers'!$L$3:$N$6,3,FALSE)=0,"Spatial Data Missing",VLOOKUP(J141,'G-3 Multipliers'!$L$3:$N$6,3,FALSE)))</f>
        <v/>
      </c>
      <c r="M141" s="266"/>
      <c r="N141" s="172" t="str">
        <f>IF(M141="","",IF(VLOOKUP(M141,'G-3 Multipliers'!$S$3:$T$6,2,FALSE)=0,"Spatial Data Missing",VLOOKUP(M141,'G-3 Multipliers'!$S$3:$T$6,2,FALSE)))</f>
        <v/>
      </c>
      <c r="O141" s="171" t="str">
        <f>IF(OR(D141="",H141=""),"",(INDEX('G-6 Hedgerow Data'!$E$3:$I$15,MATCH(D141,'G-6 Hedgerow Data'!$B$3:$B$15,0),MATCH(H141,'G-6 Hedgerow Data'!$E$2:$I$2,0))))</f>
        <v/>
      </c>
      <c r="P141" s="261"/>
      <c r="Q141" s="261"/>
      <c r="R141" s="179" t="str">
        <f t="shared" ref="R141:R204" si="13">IF(D141="","",IF(AND(P141&gt;0,Q141&gt;0),"Error -both advance and delayed habitat creation",IF(AND(OR(P141="Habitat already in target condition",O141&lt;=P141),Q141=0),"Check details - Is there evidence that habitat has reached target condition?",IF(O141="","",IF(P141&gt;0,"Check details - Is there evidence habitat creation started/in place?",IF(Q141&gt;0,"Check details- Delay in starting habitat in required condition?","Standard time to target condition applied"))))))</f>
        <v/>
      </c>
      <c r="S141" s="262" t="str">
        <f t="shared" ref="S141:S204" si="14">IF(O141="","",IF(LEFT(R141,5)="Error","Check Data",IF(OR(P141="30+",P141="Habitat already in target condition"),0,IF(Q141="30+","30+",IF(AND(O141="30+",OR(P141="",P141=0)),"30+",IF(AND(O141="30+",P141&gt;0),32-P141,IF(O141+Q141&gt;30,"30+",IF(O141+Q141-P141&gt;0,O141+Q141-P141,IF(O141-P141&lt;0,0,O141+Q141-P141)))))))))</f>
        <v/>
      </c>
      <c r="T141" s="263" t="str">
        <f t="shared" si="12"/>
        <v/>
      </c>
      <c r="U141" s="239" t="str">
        <f>IF(D141="","",VLOOKUP(D141,'G-6 Hedgerow Data'!$B$3:$AG$15,31,FALSE))</f>
        <v/>
      </c>
      <c r="V141" s="175" t="str">
        <f t="shared" ref="V141:V204" si="15">IF(D141="","",IF(S141="Check Data","Check Data",IF(H141="","",IF($R141="Check details - Is there evidence that habitat has reached target condition?","Low Difficulty - only applicable if all habitat created before losses","Standard difficulty applied"))))</f>
        <v/>
      </c>
      <c r="W141" s="175" t="str">
        <f t="shared" ref="W141:W204" si="16">(IF(AND(V141="Standard difficulty applied",O141&gt;P141),U141,IF(AND(V141="Low Difficulty - only applicable if all habitat created before losses",P141&gt;=O141),"Low",U141)))</f>
        <v/>
      </c>
      <c r="X141" s="176" t="str">
        <f>IF(F141="","",VLOOKUP(U141,'G-3 Multipliers'!$P$3:$Q$6,2,FALSE))</f>
        <v/>
      </c>
      <c r="Y141" s="274" t="str">
        <f t="shared" ref="Y141:Y204" si="17">IFERROR(E141*G141*I141*L141*T141*X141*N141,"")</f>
        <v/>
      </c>
      <c r="Z141" s="180"/>
      <c r="AA141" s="181"/>
      <c r="AG141" s="35" t="str">
        <f>IFERROR(INDEX('G-6 Hedgerow Data'!$BJ$3:$BJ$15,MATCH(D141,'G-6 Hedgerow Data'!$B$3:$B$15,0)),"")</f>
        <v/>
      </c>
    </row>
    <row r="142" spans="2:33" ht="15" customHeight="1" x14ac:dyDescent="0.25">
      <c r="B142" s="128">
        <v>131</v>
      </c>
      <c r="C142" s="394"/>
      <c r="D142" s="275"/>
      <c r="E142" s="275"/>
      <c r="F142" s="171" t="str">
        <f>IF(D142="","",VLOOKUP(D142,'G-6 Hedgerow Data'!$B$2:$AG$15,2,FALSE))</f>
        <v/>
      </c>
      <c r="G142" s="176" t="str">
        <f>IF(D142="","",VLOOKUP(D142,'G-6 Hedgerow Data'!$B$2:$AG$15,3,FALSE))</f>
        <v/>
      </c>
      <c r="H142" s="189"/>
      <c r="I142" s="172" t="str">
        <f>IFERROR(IF(AND(F142="V.Low",OR(H142="Good",H142="Moderate")),"Error",VLOOKUP(H142,'G-1 All Habitats'!$Z$2:$AA$9,2,FALSE)),"")</f>
        <v/>
      </c>
      <c r="J142" s="186"/>
      <c r="K142" s="175" t="str">
        <f>IF(J142="","",IF(VLOOKUP(J142,'G-3 Multipliers'!$L$3:$N$6,2,FALSE)=0,"Spatial Data Missing",VLOOKUP(J142,'G-3 Multipliers'!$L$3:$N$6,2,FALSE)))</f>
        <v/>
      </c>
      <c r="L142" s="176" t="str">
        <f>IF(J142="","",IF(VLOOKUP(J142,'G-3 Multipliers'!$L$3:$N$6,3,FALSE)=0,"Spatial Data Missing",VLOOKUP(J142,'G-3 Multipliers'!$L$3:$N$6,3,FALSE)))</f>
        <v/>
      </c>
      <c r="M142" s="266"/>
      <c r="N142" s="172" t="str">
        <f>IF(M142="","",IF(VLOOKUP(M142,'G-3 Multipliers'!$S$3:$T$6,2,FALSE)=0,"Spatial Data Missing",VLOOKUP(M142,'G-3 Multipliers'!$S$3:$T$6,2,FALSE)))</f>
        <v/>
      </c>
      <c r="O142" s="171" t="str">
        <f>IF(OR(D142="",H142=""),"",(INDEX('G-6 Hedgerow Data'!$E$3:$I$15,MATCH(D142,'G-6 Hedgerow Data'!$B$3:$B$15,0),MATCH(H142,'G-6 Hedgerow Data'!$E$2:$I$2,0))))</f>
        <v/>
      </c>
      <c r="P142" s="261"/>
      <c r="Q142" s="261"/>
      <c r="R142" s="179" t="str">
        <f t="shared" si="13"/>
        <v/>
      </c>
      <c r="S142" s="262" t="str">
        <f t="shared" si="14"/>
        <v/>
      </c>
      <c r="T142" s="263" t="str">
        <f t="shared" si="12"/>
        <v/>
      </c>
      <c r="U142" s="239" t="str">
        <f>IF(D142="","",VLOOKUP(D142,'G-6 Hedgerow Data'!$B$3:$AG$15,31,FALSE))</f>
        <v/>
      </c>
      <c r="V142" s="175" t="str">
        <f t="shared" si="15"/>
        <v/>
      </c>
      <c r="W142" s="175" t="str">
        <f t="shared" si="16"/>
        <v/>
      </c>
      <c r="X142" s="176" t="str">
        <f>IF(F142="","",VLOOKUP(U142,'G-3 Multipliers'!$P$3:$Q$6,2,FALSE))</f>
        <v/>
      </c>
      <c r="Y142" s="274" t="str">
        <f t="shared" si="17"/>
        <v/>
      </c>
      <c r="Z142" s="180"/>
      <c r="AA142" s="181"/>
      <c r="AG142" s="35" t="str">
        <f>IFERROR(INDEX('G-6 Hedgerow Data'!$BJ$3:$BJ$15,MATCH(D142,'G-6 Hedgerow Data'!$B$3:$B$15,0)),"")</f>
        <v/>
      </c>
    </row>
    <row r="143" spans="2:33" ht="15" customHeight="1" x14ac:dyDescent="0.25">
      <c r="B143" s="128">
        <v>132</v>
      </c>
      <c r="C143" s="394"/>
      <c r="D143" s="275"/>
      <c r="E143" s="275"/>
      <c r="F143" s="171" t="str">
        <f>IF(D143="","",VLOOKUP(D143,'G-6 Hedgerow Data'!$B$2:$AG$15,2,FALSE))</f>
        <v/>
      </c>
      <c r="G143" s="176" t="str">
        <f>IF(D143="","",VLOOKUP(D143,'G-6 Hedgerow Data'!$B$2:$AG$15,3,FALSE))</f>
        <v/>
      </c>
      <c r="H143" s="189"/>
      <c r="I143" s="172" t="str">
        <f>IFERROR(IF(AND(F143="V.Low",OR(H143="Good",H143="Moderate")),"Error",VLOOKUP(H143,'G-1 All Habitats'!$Z$2:$AA$9,2,FALSE)),"")</f>
        <v/>
      </c>
      <c r="J143" s="186"/>
      <c r="K143" s="175" t="str">
        <f>IF(J143="","",IF(VLOOKUP(J143,'G-3 Multipliers'!$L$3:$N$6,2,FALSE)=0,"Spatial Data Missing",VLOOKUP(J143,'G-3 Multipliers'!$L$3:$N$6,2,FALSE)))</f>
        <v/>
      </c>
      <c r="L143" s="176" t="str">
        <f>IF(J143="","",IF(VLOOKUP(J143,'G-3 Multipliers'!$L$3:$N$6,3,FALSE)=0,"Spatial Data Missing",VLOOKUP(J143,'G-3 Multipliers'!$L$3:$N$6,3,FALSE)))</f>
        <v/>
      </c>
      <c r="M143" s="266"/>
      <c r="N143" s="172" t="str">
        <f>IF(M143="","",IF(VLOOKUP(M143,'G-3 Multipliers'!$S$3:$T$6,2,FALSE)=0,"Spatial Data Missing",VLOOKUP(M143,'G-3 Multipliers'!$S$3:$T$6,2,FALSE)))</f>
        <v/>
      </c>
      <c r="O143" s="171" t="str">
        <f>IF(OR(D143="",H143=""),"",(INDEX('G-6 Hedgerow Data'!$E$3:$I$15,MATCH(D143,'G-6 Hedgerow Data'!$B$3:$B$15,0),MATCH(H143,'G-6 Hedgerow Data'!$E$2:$I$2,0))))</f>
        <v/>
      </c>
      <c r="P143" s="261"/>
      <c r="Q143" s="261"/>
      <c r="R143" s="179" t="str">
        <f t="shared" si="13"/>
        <v/>
      </c>
      <c r="S143" s="262" t="str">
        <f t="shared" si="14"/>
        <v/>
      </c>
      <c r="T143" s="263" t="str">
        <f t="shared" si="12"/>
        <v/>
      </c>
      <c r="U143" s="239" t="str">
        <f>IF(D143="","",VLOOKUP(D143,'G-6 Hedgerow Data'!$B$3:$AG$15,31,FALSE))</f>
        <v/>
      </c>
      <c r="V143" s="175" t="str">
        <f t="shared" si="15"/>
        <v/>
      </c>
      <c r="W143" s="175" t="str">
        <f t="shared" si="16"/>
        <v/>
      </c>
      <c r="X143" s="176" t="str">
        <f>IF(F143="","",VLOOKUP(U143,'G-3 Multipliers'!$P$3:$Q$6,2,FALSE))</f>
        <v/>
      </c>
      <c r="Y143" s="274" t="str">
        <f t="shared" si="17"/>
        <v/>
      </c>
      <c r="Z143" s="180"/>
      <c r="AA143" s="181"/>
      <c r="AG143" s="35" t="str">
        <f>IFERROR(INDEX('G-6 Hedgerow Data'!$BJ$3:$BJ$15,MATCH(D143,'G-6 Hedgerow Data'!$B$3:$B$15,0)),"")</f>
        <v/>
      </c>
    </row>
    <row r="144" spans="2:33" ht="15" customHeight="1" x14ac:dyDescent="0.25">
      <c r="B144" s="128">
        <v>133</v>
      </c>
      <c r="C144" s="394"/>
      <c r="D144" s="275"/>
      <c r="E144" s="275"/>
      <c r="F144" s="171" t="str">
        <f>IF(D144="","",VLOOKUP(D144,'G-6 Hedgerow Data'!$B$2:$AG$15,2,FALSE))</f>
        <v/>
      </c>
      <c r="G144" s="176" t="str">
        <f>IF(D144="","",VLOOKUP(D144,'G-6 Hedgerow Data'!$B$2:$AG$15,3,FALSE))</f>
        <v/>
      </c>
      <c r="H144" s="189"/>
      <c r="I144" s="172" t="str">
        <f>IFERROR(IF(AND(F144="V.Low",OR(H144="Good",H144="Moderate")),"Error",VLOOKUP(H144,'G-1 All Habitats'!$Z$2:$AA$9,2,FALSE)),"")</f>
        <v/>
      </c>
      <c r="J144" s="186"/>
      <c r="K144" s="175" t="str">
        <f>IF(J144="","",IF(VLOOKUP(J144,'G-3 Multipliers'!$L$3:$N$6,2,FALSE)=0,"Spatial Data Missing",VLOOKUP(J144,'G-3 Multipliers'!$L$3:$N$6,2,FALSE)))</f>
        <v/>
      </c>
      <c r="L144" s="176" t="str">
        <f>IF(J144="","",IF(VLOOKUP(J144,'G-3 Multipliers'!$L$3:$N$6,3,FALSE)=0,"Spatial Data Missing",VLOOKUP(J144,'G-3 Multipliers'!$L$3:$N$6,3,FALSE)))</f>
        <v/>
      </c>
      <c r="M144" s="266"/>
      <c r="N144" s="172" t="str">
        <f>IF(M144="","",IF(VLOOKUP(M144,'G-3 Multipliers'!$S$3:$T$6,2,FALSE)=0,"Spatial Data Missing",VLOOKUP(M144,'G-3 Multipliers'!$S$3:$T$6,2,FALSE)))</f>
        <v/>
      </c>
      <c r="O144" s="171" t="str">
        <f>IF(OR(D144="",H144=""),"",(INDEX('G-6 Hedgerow Data'!$E$3:$I$15,MATCH(D144,'G-6 Hedgerow Data'!$B$3:$B$15,0),MATCH(H144,'G-6 Hedgerow Data'!$E$2:$I$2,0))))</f>
        <v/>
      </c>
      <c r="P144" s="261"/>
      <c r="Q144" s="261"/>
      <c r="R144" s="179" t="str">
        <f t="shared" si="13"/>
        <v/>
      </c>
      <c r="S144" s="262" t="str">
        <f t="shared" si="14"/>
        <v/>
      </c>
      <c r="T144" s="263" t="str">
        <f t="shared" si="12"/>
        <v/>
      </c>
      <c r="U144" s="239" t="str">
        <f>IF(D144="","",VLOOKUP(D144,'G-6 Hedgerow Data'!$B$3:$AG$15,31,FALSE))</f>
        <v/>
      </c>
      <c r="V144" s="175" t="str">
        <f t="shared" si="15"/>
        <v/>
      </c>
      <c r="W144" s="175" t="str">
        <f t="shared" si="16"/>
        <v/>
      </c>
      <c r="X144" s="176" t="str">
        <f>IF(F144="","",VLOOKUP(U144,'G-3 Multipliers'!$P$3:$Q$6,2,FALSE))</f>
        <v/>
      </c>
      <c r="Y144" s="274" t="str">
        <f t="shared" si="17"/>
        <v/>
      </c>
      <c r="Z144" s="180"/>
      <c r="AA144" s="181"/>
      <c r="AG144" s="35" t="str">
        <f>IFERROR(INDEX('G-6 Hedgerow Data'!$BJ$3:$BJ$15,MATCH(D144,'G-6 Hedgerow Data'!$B$3:$B$15,0)),"")</f>
        <v/>
      </c>
    </row>
    <row r="145" spans="2:33" ht="15" customHeight="1" x14ac:dyDescent="0.25">
      <c r="B145" s="128">
        <v>134</v>
      </c>
      <c r="C145" s="394"/>
      <c r="D145" s="275"/>
      <c r="E145" s="275"/>
      <c r="F145" s="171" t="str">
        <f>IF(D145="","",VLOOKUP(D145,'G-6 Hedgerow Data'!$B$2:$AG$15,2,FALSE))</f>
        <v/>
      </c>
      <c r="G145" s="176" t="str">
        <f>IF(D145="","",VLOOKUP(D145,'G-6 Hedgerow Data'!$B$2:$AG$15,3,FALSE))</f>
        <v/>
      </c>
      <c r="H145" s="189"/>
      <c r="I145" s="172" t="str">
        <f>IFERROR(IF(AND(F145="V.Low",OR(H145="Good",H145="Moderate")),"Error",VLOOKUP(H145,'G-1 All Habitats'!$Z$2:$AA$9,2,FALSE)),"")</f>
        <v/>
      </c>
      <c r="J145" s="186"/>
      <c r="K145" s="175" t="str">
        <f>IF(J145="","",IF(VLOOKUP(J145,'G-3 Multipliers'!$L$3:$N$6,2,FALSE)=0,"Spatial Data Missing",VLOOKUP(J145,'G-3 Multipliers'!$L$3:$N$6,2,FALSE)))</f>
        <v/>
      </c>
      <c r="L145" s="176" t="str">
        <f>IF(J145="","",IF(VLOOKUP(J145,'G-3 Multipliers'!$L$3:$N$6,3,FALSE)=0,"Spatial Data Missing",VLOOKUP(J145,'G-3 Multipliers'!$L$3:$N$6,3,FALSE)))</f>
        <v/>
      </c>
      <c r="M145" s="266"/>
      <c r="N145" s="172" t="str">
        <f>IF(M145="","",IF(VLOOKUP(M145,'G-3 Multipliers'!$S$3:$T$6,2,FALSE)=0,"Spatial Data Missing",VLOOKUP(M145,'G-3 Multipliers'!$S$3:$T$6,2,FALSE)))</f>
        <v/>
      </c>
      <c r="O145" s="171" t="str">
        <f>IF(OR(D145="",H145=""),"",(INDEX('G-6 Hedgerow Data'!$E$3:$I$15,MATCH(D145,'G-6 Hedgerow Data'!$B$3:$B$15,0),MATCH(H145,'G-6 Hedgerow Data'!$E$2:$I$2,0))))</f>
        <v/>
      </c>
      <c r="P145" s="261"/>
      <c r="Q145" s="261"/>
      <c r="R145" s="179" t="str">
        <f t="shared" si="13"/>
        <v/>
      </c>
      <c r="S145" s="262" t="str">
        <f t="shared" si="14"/>
        <v/>
      </c>
      <c r="T145" s="263" t="str">
        <f t="shared" si="12"/>
        <v/>
      </c>
      <c r="U145" s="239" t="str">
        <f>IF(D145="","",VLOOKUP(D145,'G-6 Hedgerow Data'!$B$3:$AG$15,31,FALSE))</f>
        <v/>
      </c>
      <c r="V145" s="175" t="str">
        <f t="shared" si="15"/>
        <v/>
      </c>
      <c r="W145" s="175" t="str">
        <f t="shared" si="16"/>
        <v/>
      </c>
      <c r="X145" s="176" t="str">
        <f>IF(F145="","",VLOOKUP(U145,'G-3 Multipliers'!$P$3:$Q$6,2,FALSE))</f>
        <v/>
      </c>
      <c r="Y145" s="274" t="str">
        <f t="shared" si="17"/>
        <v/>
      </c>
      <c r="Z145" s="180"/>
      <c r="AA145" s="181"/>
      <c r="AG145" s="35" t="str">
        <f>IFERROR(INDEX('G-6 Hedgerow Data'!$BJ$3:$BJ$15,MATCH(D145,'G-6 Hedgerow Data'!$B$3:$B$15,0)),"")</f>
        <v/>
      </c>
    </row>
    <row r="146" spans="2:33" ht="15" customHeight="1" x14ac:dyDescent="0.25">
      <c r="B146" s="128">
        <v>135</v>
      </c>
      <c r="C146" s="394"/>
      <c r="D146" s="275"/>
      <c r="E146" s="275"/>
      <c r="F146" s="171" t="str">
        <f>IF(D146="","",VLOOKUP(D146,'G-6 Hedgerow Data'!$B$2:$AG$15,2,FALSE))</f>
        <v/>
      </c>
      <c r="G146" s="176" t="str">
        <f>IF(D146="","",VLOOKUP(D146,'G-6 Hedgerow Data'!$B$2:$AG$15,3,FALSE))</f>
        <v/>
      </c>
      <c r="H146" s="189"/>
      <c r="I146" s="172" t="str">
        <f>IFERROR(IF(AND(F146="V.Low",OR(H146="Good",H146="Moderate")),"Error",VLOOKUP(H146,'G-1 All Habitats'!$Z$2:$AA$9,2,FALSE)),"")</f>
        <v/>
      </c>
      <c r="J146" s="186"/>
      <c r="K146" s="175" t="str">
        <f>IF(J146="","",IF(VLOOKUP(J146,'G-3 Multipliers'!$L$3:$N$6,2,FALSE)=0,"Spatial Data Missing",VLOOKUP(J146,'G-3 Multipliers'!$L$3:$N$6,2,FALSE)))</f>
        <v/>
      </c>
      <c r="L146" s="176" t="str">
        <f>IF(J146="","",IF(VLOOKUP(J146,'G-3 Multipliers'!$L$3:$N$6,3,FALSE)=0,"Spatial Data Missing",VLOOKUP(J146,'G-3 Multipliers'!$L$3:$N$6,3,FALSE)))</f>
        <v/>
      </c>
      <c r="M146" s="266"/>
      <c r="N146" s="172" t="str">
        <f>IF(M146="","",IF(VLOOKUP(M146,'G-3 Multipliers'!$S$3:$T$6,2,FALSE)=0,"Spatial Data Missing",VLOOKUP(M146,'G-3 Multipliers'!$S$3:$T$6,2,FALSE)))</f>
        <v/>
      </c>
      <c r="O146" s="171" t="str">
        <f>IF(OR(D146="",H146=""),"",(INDEX('G-6 Hedgerow Data'!$E$3:$I$15,MATCH(D146,'G-6 Hedgerow Data'!$B$3:$B$15,0),MATCH(H146,'G-6 Hedgerow Data'!$E$2:$I$2,0))))</f>
        <v/>
      </c>
      <c r="P146" s="261"/>
      <c r="Q146" s="261"/>
      <c r="R146" s="179" t="str">
        <f t="shared" si="13"/>
        <v/>
      </c>
      <c r="S146" s="262" t="str">
        <f t="shared" si="14"/>
        <v/>
      </c>
      <c r="T146" s="263" t="str">
        <f t="shared" si="12"/>
        <v/>
      </c>
      <c r="U146" s="239" t="str">
        <f>IF(D146="","",VLOOKUP(D146,'G-6 Hedgerow Data'!$B$3:$AG$15,31,FALSE))</f>
        <v/>
      </c>
      <c r="V146" s="175" t="str">
        <f t="shared" si="15"/>
        <v/>
      </c>
      <c r="W146" s="175" t="str">
        <f t="shared" si="16"/>
        <v/>
      </c>
      <c r="X146" s="176" t="str">
        <f>IF(F146="","",VLOOKUP(U146,'G-3 Multipliers'!$P$3:$Q$6,2,FALSE))</f>
        <v/>
      </c>
      <c r="Y146" s="274" t="str">
        <f t="shared" si="17"/>
        <v/>
      </c>
      <c r="Z146" s="180"/>
      <c r="AA146" s="181"/>
      <c r="AG146" s="35" t="str">
        <f>IFERROR(INDEX('G-6 Hedgerow Data'!$BJ$3:$BJ$15,MATCH(D146,'G-6 Hedgerow Data'!$B$3:$B$15,0)),"")</f>
        <v/>
      </c>
    </row>
    <row r="147" spans="2:33" ht="15" customHeight="1" x14ac:dyDescent="0.25">
      <c r="B147" s="128">
        <v>136</v>
      </c>
      <c r="C147" s="394"/>
      <c r="D147" s="275"/>
      <c r="E147" s="275"/>
      <c r="F147" s="171" t="str">
        <f>IF(D147="","",VLOOKUP(D147,'G-6 Hedgerow Data'!$B$2:$AG$15,2,FALSE))</f>
        <v/>
      </c>
      <c r="G147" s="176" t="str">
        <f>IF(D147="","",VLOOKUP(D147,'G-6 Hedgerow Data'!$B$2:$AG$15,3,FALSE))</f>
        <v/>
      </c>
      <c r="H147" s="189"/>
      <c r="I147" s="172" t="str">
        <f>IFERROR(IF(AND(F147="V.Low",OR(H147="Good",H147="Moderate")),"Error",VLOOKUP(H147,'G-1 All Habitats'!$Z$2:$AA$9,2,FALSE)),"")</f>
        <v/>
      </c>
      <c r="J147" s="186"/>
      <c r="K147" s="175" t="str">
        <f>IF(J147="","",IF(VLOOKUP(J147,'G-3 Multipliers'!$L$3:$N$6,2,FALSE)=0,"Spatial Data Missing",VLOOKUP(J147,'G-3 Multipliers'!$L$3:$N$6,2,FALSE)))</f>
        <v/>
      </c>
      <c r="L147" s="176" t="str">
        <f>IF(J147="","",IF(VLOOKUP(J147,'G-3 Multipliers'!$L$3:$N$6,3,FALSE)=0,"Spatial Data Missing",VLOOKUP(J147,'G-3 Multipliers'!$L$3:$N$6,3,FALSE)))</f>
        <v/>
      </c>
      <c r="M147" s="266"/>
      <c r="N147" s="172" t="str">
        <f>IF(M147="","",IF(VLOOKUP(M147,'G-3 Multipliers'!$S$3:$T$6,2,FALSE)=0,"Spatial Data Missing",VLOOKUP(M147,'G-3 Multipliers'!$S$3:$T$6,2,FALSE)))</f>
        <v/>
      </c>
      <c r="O147" s="171" t="str">
        <f>IF(OR(D147="",H147=""),"",(INDEX('G-6 Hedgerow Data'!$E$3:$I$15,MATCH(D147,'G-6 Hedgerow Data'!$B$3:$B$15,0),MATCH(H147,'G-6 Hedgerow Data'!$E$2:$I$2,0))))</f>
        <v/>
      </c>
      <c r="P147" s="261"/>
      <c r="Q147" s="261"/>
      <c r="R147" s="179" t="str">
        <f t="shared" si="13"/>
        <v/>
      </c>
      <c r="S147" s="262" t="str">
        <f t="shared" si="14"/>
        <v/>
      </c>
      <c r="T147" s="263" t="str">
        <f t="shared" si="12"/>
        <v/>
      </c>
      <c r="U147" s="239" t="str">
        <f>IF(D147="","",VLOOKUP(D147,'G-6 Hedgerow Data'!$B$3:$AG$15,31,FALSE))</f>
        <v/>
      </c>
      <c r="V147" s="175" t="str">
        <f t="shared" si="15"/>
        <v/>
      </c>
      <c r="W147" s="175" t="str">
        <f t="shared" si="16"/>
        <v/>
      </c>
      <c r="X147" s="176" t="str">
        <f>IF(F147="","",VLOOKUP(U147,'G-3 Multipliers'!$P$3:$Q$6,2,FALSE))</f>
        <v/>
      </c>
      <c r="Y147" s="274" t="str">
        <f t="shared" si="17"/>
        <v/>
      </c>
      <c r="Z147" s="180"/>
      <c r="AA147" s="181"/>
      <c r="AG147" s="35" t="str">
        <f>IFERROR(INDEX('G-6 Hedgerow Data'!$BJ$3:$BJ$15,MATCH(D147,'G-6 Hedgerow Data'!$B$3:$B$15,0)),"")</f>
        <v/>
      </c>
    </row>
    <row r="148" spans="2:33" ht="15" customHeight="1" x14ac:dyDescent="0.25">
      <c r="B148" s="128">
        <v>137</v>
      </c>
      <c r="C148" s="394"/>
      <c r="D148" s="275"/>
      <c r="E148" s="275"/>
      <c r="F148" s="171" t="str">
        <f>IF(D148="","",VLOOKUP(D148,'G-6 Hedgerow Data'!$B$2:$AG$15,2,FALSE))</f>
        <v/>
      </c>
      <c r="G148" s="176" t="str">
        <f>IF(D148="","",VLOOKUP(D148,'G-6 Hedgerow Data'!$B$2:$AG$15,3,FALSE))</f>
        <v/>
      </c>
      <c r="H148" s="189"/>
      <c r="I148" s="172" t="str">
        <f>IFERROR(IF(AND(F148="V.Low",OR(H148="Good",H148="Moderate")),"Error",VLOOKUP(H148,'G-1 All Habitats'!$Z$2:$AA$9,2,FALSE)),"")</f>
        <v/>
      </c>
      <c r="J148" s="186"/>
      <c r="K148" s="175" t="str">
        <f>IF(J148="","",IF(VLOOKUP(J148,'G-3 Multipliers'!$L$3:$N$6,2,FALSE)=0,"Spatial Data Missing",VLOOKUP(J148,'G-3 Multipliers'!$L$3:$N$6,2,FALSE)))</f>
        <v/>
      </c>
      <c r="L148" s="176" t="str">
        <f>IF(J148="","",IF(VLOOKUP(J148,'G-3 Multipliers'!$L$3:$N$6,3,FALSE)=0,"Spatial Data Missing",VLOOKUP(J148,'G-3 Multipliers'!$L$3:$N$6,3,FALSE)))</f>
        <v/>
      </c>
      <c r="M148" s="266"/>
      <c r="N148" s="172" t="str">
        <f>IF(M148="","",IF(VLOOKUP(M148,'G-3 Multipliers'!$S$3:$T$6,2,FALSE)=0,"Spatial Data Missing",VLOOKUP(M148,'G-3 Multipliers'!$S$3:$T$6,2,FALSE)))</f>
        <v/>
      </c>
      <c r="O148" s="171" t="str">
        <f>IF(OR(D148="",H148=""),"",(INDEX('G-6 Hedgerow Data'!$E$3:$I$15,MATCH(D148,'G-6 Hedgerow Data'!$B$3:$B$15,0),MATCH(H148,'G-6 Hedgerow Data'!$E$2:$I$2,0))))</f>
        <v/>
      </c>
      <c r="P148" s="261"/>
      <c r="Q148" s="261"/>
      <c r="R148" s="179" t="str">
        <f t="shared" si="13"/>
        <v/>
      </c>
      <c r="S148" s="262" t="str">
        <f t="shared" si="14"/>
        <v/>
      </c>
      <c r="T148" s="263" t="str">
        <f t="shared" si="12"/>
        <v/>
      </c>
      <c r="U148" s="239" t="str">
        <f>IF(D148="","",VLOOKUP(D148,'G-6 Hedgerow Data'!$B$3:$AG$15,31,FALSE))</f>
        <v/>
      </c>
      <c r="V148" s="175" t="str">
        <f t="shared" si="15"/>
        <v/>
      </c>
      <c r="W148" s="175" t="str">
        <f t="shared" si="16"/>
        <v/>
      </c>
      <c r="X148" s="176" t="str">
        <f>IF(F148="","",VLOOKUP(U148,'G-3 Multipliers'!$P$3:$Q$6,2,FALSE))</f>
        <v/>
      </c>
      <c r="Y148" s="274" t="str">
        <f t="shared" si="17"/>
        <v/>
      </c>
      <c r="Z148" s="180"/>
      <c r="AA148" s="181"/>
      <c r="AG148" s="35" t="str">
        <f>IFERROR(INDEX('G-6 Hedgerow Data'!$BJ$3:$BJ$15,MATCH(D148,'G-6 Hedgerow Data'!$B$3:$B$15,0)),"")</f>
        <v/>
      </c>
    </row>
    <row r="149" spans="2:33" ht="15" customHeight="1" x14ac:dyDescent="0.25">
      <c r="B149" s="128">
        <v>138</v>
      </c>
      <c r="C149" s="394"/>
      <c r="D149" s="275"/>
      <c r="E149" s="275"/>
      <c r="F149" s="171" t="str">
        <f>IF(D149="","",VLOOKUP(D149,'G-6 Hedgerow Data'!$B$2:$AG$15,2,FALSE))</f>
        <v/>
      </c>
      <c r="G149" s="176" t="str">
        <f>IF(D149="","",VLOOKUP(D149,'G-6 Hedgerow Data'!$B$2:$AG$15,3,FALSE))</f>
        <v/>
      </c>
      <c r="H149" s="189"/>
      <c r="I149" s="172" t="str">
        <f>IFERROR(IF(AND(F149="V.Low",OR(H149="Good",H149="Moderate")),"Error",VLOOKUP(H149,'G-1 All Habitats'!$Z$2:$AA$9,2,FALSE)),"")</f>
        <v/>
      </c>
      <c r="J149" s="186"/>
      <c r="K149" s="175" t="str">
        <f>IF(J149="","",IF(VLOOKUP(J149,'G-3 Multipliers'!$L$3:$N$6,2,FALSE)=0,"Spatial Data Missing",VLOOKUP(J149,'G-3 Multipliers'!$L$3:$N$6,2,FALSE)))</f>
        <v/>
      </c>
      <c r="L149" s="176" t="str">
        <f>IF(J149="","",IF(VLOOKUP(J149,'G-3 Multipliers'!$L$3:$N$6,3,FALSE)=0,"Spatial Data Missing",VLOOKUP(J149,'G-3 Multipliers'!$L$3:$N$6,3,FALSE)))</f>
        <v/>
      </c>
      <c r="M149" s="266"/>
      <c r="N149" s="172" t="str">
        <f>IF(M149="","",IF(VLOOKUP(M149,'G-3 Multipliers'!$S$3:$T$6,2,FALSE)=0,"Spatial Data Missing",VLOOKUP(M149,'G-3 Multipliers'!$S$3:$T$6,2,FALSE)))</f>
        <v/>
      </c>
      <c r="O149" s="171" t="str">
        <f>IF(OR(D149="",H149=""),"",(INDEX('G-6 Hedgerow Data'!$E$3:$I$15,MATCH(D149,'G-6 Hedgerow Data'!$B$3:$B$15,0),MATCH(H149,'G-6 Hedgerow Data'!$E$2:$I$2,0))))</f>
        <v/>
      </c>
      <c r="P149" s="261"/>
      <c r="Q149" s="261"/>
      <c r="R149" s="179" t="str">
        <f t="shared" si="13"/>
        <v/>
      </c>
      <c r="S149" s="262" t="str">
        <f t="shared" si="14"/>
        <v/>
      </c>
      <c r="T149" s="263" t="str">
        <f t="shared" si="12"/>
        <v/>
      </c>
      <c r="U149" s="239" t="str">
        <f>IF(D149="","",VLOOKUP(D149,'G-6 Hedgerow Data'!$B$3:$AG$15,31,FALSE))</f>
        <v/>
      </c>
      <c r="V149" s="175" t="str">
        <f t="shared" si="15"/>
        <v/>
      </c>
      <c r="W149" s="175" t="str">
        <f t="shared" si="16"/>
        <v/>
      </c>
      <c r="X149" s="176" t="str">
        <f>IF(F149="","",VLOOKUP(U149,'G-3 Multipliers'!$P$3:$Q$6,2,FALSE))</f>
        <v/>
      </c>
      <c r="Y149" s="274" t="str">
        <f t="shared" si="17"/>
        <v/>
      </c>
      <c r="Z149" s="180"/>
      <c r="AA149" s="181"/>
      <c r="AG149" s="35" t="str">
        <f>IFERROR(INDEX('G-6 Hedgerow Data'!$BJ$3:$BJ$15,MATCH(D149,'G-6 Hedgerow Data'!$B$3:$B$15,0)),"")</f>
        <v/>
      </c>
    </row>
    <row r="150" spans="2:33" ht="15" customHeight="1" x14ac:dyDescent="0.25">
      <c r="B150" s="128">
        <v>139</v>
      </c>
      <c r="C150" s="394"/>
      <c r="D150" s="275"/>
      <c r="E150" s="275"/>
      <c r="F150" s="171" t="str">
        <f>IF(D150="","",VLOOKUP(D150,'G-6 Hedgerow Data'!$B$2:$AG$15,2,FALSE))</f>
        <v/>
      </c>
      <c r="G150" s="176" t="str">
        <f>IF(D150="","",VLOOKUP(D150,'G-6 Hedgerow Data'!$B$2:$AG$15,3,FALSE))</f>
        <v/>
      </c>
      <c r="H150" s="189"/>
      <c r="I150" s="172" t="str">
        <f>IFERROR(IF(AND(F150="V.Low",OR(H150="Good",H150="Moderate")),"Error",VLOOKUP(H150,'G-1 All Habitats'!$Z$2:$AA$9,2,FALSE)),"")</f>
        <v/>
      </c>
      <c r="J150" s="186"/>
      <c r="K150" s="175" t="str">
        <f>IF(J150="","",IF(VLOOKUP(J150,'G-3 Multipliers'!$L$3:$N$6,2,FALSE)=0,"Spatial Data Missing",VLOOKUP(J150,'G-3 Multipliers'!$L$3:$N$6,2,FALSE)))</f>
        <v/>
      </c>
      <c r="L150" s="176" t="str">
        <f>IF(J150="","",IF(VLOOKUP(J150,'G-3 Multipliers'!$L$3:$N$6,3,FALSE)=0,"Spatial Data Missing",VLOOKUP(J150,'G-3 Multipliers'!$L$3:$N$6,3,FALSE)))</f>
        <v/>
      </c>
      <c r="M150" s="266"/>
      <c r="N150" s="172" t="str">
        <f>IF(M150="","",IF(VLOOKUP(M150,'G-3 Multipliers'!$S$3:$T$6,2,FALSE)=0,"Spatial Data Missing",VLOOKUP(M150,'G-3 Multipliers'!$S$3:$T$6,2,FALSE)))</f>
        <v/>
      </c>
      <c r="O150" s="171" t="str">
        <f>IF(OR(D150="",H150=""),"",(INDEX('G-6 Hedgerow Data'!$E$3:$I$15,MATCH(D150,'G-6 Hedgerow Data'!$B$3:$B$15,0),MATCH(H150,'G-6 Hedgerow Data'!$E$2:$I$2,0))))</f>
        <v/>
      </c>
      <c r="P150" s="261"/>
      <c r="Q150" s="261"/>
      <c r="R150" s="179" t="str">
        <f t="shared" si="13"/>
        <v/>
      </c>
      <c r="S150" s="262" t="str">
        <f t="shared" si="14"/>
        <v/>
      </c>
      <c r="T150" s="263" t="str">
        <f t="shared" si="12"/>
        <v/>
      </c>
      <c r="U150" s="239" t="str">
        <f>IF(D150="","",VLOOKUP(D150,'G-6 Hedgerow Data'!$B$3:$AG$15,31,FALSE))</f>
        <v/>
      </c>
      <c r="V150" s="175" t="str">
        <f t="shared" si="15"/>
        <v/>
      </c>
      <c r="W150" s="175" t="str">
        <f t="shared" si="16"/>
        <v/>
      </c>
      <c r="X150" s="176" t="str">
        <f>IF(F150="","",VLOOKUP(U150,'G-3 Multipliers'!$P$3:$Q$6,2,FALSE))</f>
        <v/>
      </c>
      <c r="Y150" s="274" t="str">
        <f t="shared" si="17"/>
        <v/>
      </c>
      <c r="Z150" s="180"/>
      <c r="AA150" s="181"/>
      <c r="AG150" s="35" t="str">
        <f>IFERROR(INDEX('G-6 Hedgerow Data'!$BJ$3:$BJ$15,MATCH(D150,'G-6 Hedgerow Data'!$B$3:$B$15,0)),"")</f>
        <v/>
      </c>
    </row>
    <row r="151" spans="2:33" ht="15" customHeight="1" x14ac:dyDescent="0.25">
      <c r="B151" s="128">
        <v>140</v>
      </c>
      <c r="C151" s="394"/>
      <c r="D151" s="275"/>
      <c r="E151" s="275"/>
      <c r="F151" s="171" t="str">
        <f>IF(D151="","",VLOOKUP(D151,'G-6 Hedgerow Data'!$B$2:$AG$15,2,FALSE))</f>
        <v/>
      </c>
      <c r="G151" s="176" t="str">
        <f>IF(D151="","",VLOOKUP(D151,'G-6 Hedgerow Data'!$B$2:$AG$15,3,FALSE))</f>
        <v/>
      </c>
      <c r="H151" s="189"/>
      <c r="I151" s="172" t="str">
        <f>IFERROR(IF(AND(F151="V.Low",OR(H151="Good",H151="Moderate")),"Error",VLOOKUP(H151,'G-1 All Habitats'!$Z$2:$AA$9,2,FALSE)),"")</f>
        <v/>
      </c>
      <c r="J151" s="186"/>
      <c r="K151" s="175" t="str">
        <f>IF(J151="","",IF(VLOOKUP(J151,'G-3 Multipliers'!$L$3:$N$6,2,FALSE)=0,"Spatial Data Missing",VLOOKUP(J151,'G-3 Multipliers'!$L$3:$N$6,2,FALSE)))</f>
        <v/>
      </c>
      <c r="L151" s="176" t="str">
        <f>IF(J151="","",IF(VLOOKUP(J151,'G-3 Multipliers'!$L$3:$N$6,3,FALSE)=0,"Spatial Data Missing",VLOOKUP(J151,'G-3 Multipliers'!$L$3:$N$6,3,FALSE)))</f>
        <v/>
      </c>
      <c r="M151" s="266"/>
      <c r="N151" s="172" t="str">
        <f>IF(M151="","",IF(VLOOKUP(M151,'G-3 Multipliers'!$S$3:$T$6,2,FALSE)=0,"Spatial Data Missing",VLOOKUP(M151,'G-3 Multipliers'!$S$3:$T$6,2,FALSE)))</f>
        <v/>
      </c>
      <c r="O151" s="171" t="str">
        <f>IF(OR(D151="",H151=""),"",(INDEX('G-6 Hedgerow Data'!$E$3:$I$15,MATCH(D151,'G-6 Hedgerow Data'!$B$3:$B$15,0),MATCH(H151,'G-6 Hedgerow Data'!$E$2:$I$2,0))))</f>
        <v/>
      </c>
      <c r="P151" s="261"/>
      <c r="Q151" s="261"/>
      <c r="R151" s="179" t="str">
        <f t="shared" si="13"/>
        <v/>
      </c>
      <c r="S151" s="262" t="str">
        <f t="shared" si="14"/>
        <v/>
      </c>
      <c r="T151" s="263" t="str">
        <f t="shared" si="12"/>
        <v/>
      </c>
      <c r="U151" s="239" t="str">
        <f>IF(D151="","",VLOOKUP(D151,'G-6 Hedgerow Data'!$B$3:$AG$15,31,FALSE))</f>
        <v/>
      </c>
      <c r="V151" s="175" t="str">
        <f t="shared" si="15"/>
        <v/>
      </c>
      <c r="W151" s="175" t="str">
        <f t="shared" si="16"/>
        <v/>
      </c>
      <c r="X151" s="176" t="str">
        <f>IF(F151="","",VLOOKUP(U151,'G-3 Multipliers'!$P$3:$Q$6,2,FALSE))</f>
        <v/>
      </c>
      <c r="Y151" s="274" t="str">
        <f t="shared" si="17"/>
        <v/>
      </c>
      <c r="Z151" s="180"/>
      <c r="AA151" s="181"/>
      <c r="AG151" s="35" t="str">
        <f>IFERROR(INDEX('G-6 Hedgerow Data'!$BJ$3:$BJ$15,MATCH(D151,'G-6 Hedgerow Data'!$B$3:$B$15,0)),"")</f>
        <v/>
      </c>
    </row>
    <row r="152" spans="2:33" ht="15" customHeight="1" x14ac:dyDescent="0.25">
      <c r="B152" s="128">
        <v>141</v>
      </c>
      <c r="C152" s="394"/>
      <c r="D152" s="275"/>
      <c r="E152" s="275"/>
      <c r="F152" s="171" t="str">
        <f>IF(D152="","",VLOOKUP(D152,'G-6 Hedgerow Data'!$B$2:$AG$15,2,FALSE))</f>
        <v/>
      </c>
      <c r="G152" s="176" t="str">
        <f>IF(D152="","",VLOOKUP(D152,'G-6 Hedgerow Data'!$B$2:$AG$15,3,FALSE))</f>
        <v/>
      </c>
      <c r="H152" s="189"/>
      <c r="I152" s="172" t="str">
        <f>IFERROR(IF(AND(F152="V.Low",OR(H152="Good",H152="Moderate")),"Error",VLOOKUP(H152,'G-1 All Habitats'!$Z$2:$AA$9,2,FALSE)),"")</f>
        <v/>
      </c>
      <c r="J152" s="186"/>
      <c r="K152" s="175" t="str">
        <f>IF(J152="","",IF(VLOOKUP(J152,'G-3 Multipliers'!$L$3:$N$6,2,FALSE)=0,"Spatial Data Missing",VLOOKUP(J152,'G-3 Multipliers'!$L$3:$N$6,2,FALSE)))</f>
        <v/>
      </c>
      <c r="L152" s="176" t="str">
        <f>IF(J152="","",IF(VLOOKUP(J152,'G-3 Multipliers'!$L$3:$N$6,3,FALSE)=0,"Spatial Data Missing",VLOOKUP(J152,'G-3 Multipliers'!$L$3:$N$6,3,FALSE)))</f>
        <v/>
      </c>
      <c r="M152" s="266"/>
      <c r="N152" s="172" t="str">
        <f>IF(M152="","",IF(VLOOKUP(M152,'G-3 Multipliers'!$S$3:$T$6,2,FALSE)=0,"Spatial Data Missing",VLOOKUP(M152,'G-3 Multipliers'!$S$3:$T$6,2,FALSE)))</f>
        <v/>
      </c>
      <c r="O152" s="171" t="str">
        <f>IF(OR(D152="",H152=""),"",(INDEX('G-6 Hedgerow Data'!$E$3:$I$15,MATCH(D152,'G-6 Hedgerow Data'!$B$3:$B$15,0),MATCH(H152,'G-6 Hedgerow Data'!$E$2:$I$2,0))))</f>
        <v/>
      </c>
      <c r="P152" s="261"/>
      <c r="Q152" s="261"/>
      <c r="R152" s="179" t="str">
        <f t="shared" si="13"/>
        <v/>
      </c>
      <c r="S152" s="262" t="str">
        <f t="shared" si="14"/>
        <v/>
      </c>
      <c r="T152" s="263" t="str">
        <f t="shared" si="12"/>
        <v/>
      </c>
      <c r="U152" s="239" t="str">
        <f>IF(D152="","",VLOOKUP(D152,'G-6 Hedgerow Data'!$B$3:$AG$15,31,FALSE))</f>
        <v/>
      </c>
      <c r="V152" s="175" t="str">
        <f t="shared" si="15"/>
        <v/>
      </c>
      <c r="W152" s="175" t="str">
        <f t="shared" si="16"/>
        <v/>
      </c>
      <c r="X152" s="176" t="str">
        <f>IF(F152="","",VLOOKUP(U152,'G-3 Multipliers'!$P$3:$Q$6,2,FALSE))</f>
        <v/>
      </c>
      <c r="Y152" s="274" t="str">
        <f t="shared" si="17"/>
        <v/>
      </c>
      <c r="Z152" s="180"/>
      <c r="AA152" s="181"/>
      <c r="AG152" s="35" t="str">
        <f>IFERROR(INDEX('G-6 Hedgerow Data'!$BJ$3:$BJ$15,MATCH(D152,'G-6 Hedgerow Data'!$B$3:$B$15,0)),"")</f>
        <v/>
      </c>
    </row>
    <row r="153" spans="2:33" ht="15" customHeight="1" x14ac:dyDescent="0.25">
      <c r="B153" s="128">
        <v>142</v>
      </c>
      <c r="C153" s="394"/>
      <c r="D153" s="275"/>
      <c r="E153" s="275"/>
      <c r="F153" s="171" t="str">
        <f>IF(D153="","",VLOOKUP(D153,'G-6 Hedgerow Data'!$B$2:$AG$15,2,FALSE))</f>
        <v/>
      </c>
      <c r="G153" s="176" t="str">
        <f>IF(D153="","",VLOOKUP(D153,'G-6 Hedgerow Data'!$B$2:$AG$15,3,FALSE))</f>
        <v/>
      </c>
      <c r="H153" s="189"/>
      <c r="I153" s="172" t="str">
        <f>IFERROR(IF(AND(F153="V.Low",OR(H153="Good",H153="Moderate")),"Error",VLOOKUP(H153,'G-1 All Habitats'!$Z$2:$AA$9,2,FALSE)),"")</f>
        <v/>
      </c>
      <c r="J153" s="186"/>
      <c r="K153" s="175" t="str">
        <f>IF(J153="","",IF(VLOOKUP(J153,'G-3 Multipliers'!$L$3:$N$6,2,FALSE)=0,"Spatial Data Missing",VLOOKUP(J153,'G-3 Multipliers'!$L$3:$N$6,2,FALSE)))</f>
        <v/>
      </c>
      <c r="L153" s="176" t="str">
        <f>IF(J153="","",IF(VLOOKUP(J153,'G-3 Multipliers'!$L$3:$N$6,3,FALSE)=0,"Spatial Data Missing",VLOOKUP(J153,'G-3 Multipliers'!$L$3:$N$6,3,FALSE)))</f>
        <v/>
      </c>
      <c r="M153" s="266"/>
      <c r="N153" s="172" t="str">
        <f>IF(M153="","",IF(VLOOKUP(M153,'G-3 Multipliers'!$S$3:$T$6,2,FALSE)=0,"Spatial Data Missing",VLOOKUP(M153,'G-3 Multipliers'!$S$3:$T$6,2,FALSE)))</f>
        <v/>
      </c>
      <c r="O153" s="171" t="str">
        <f>IF(OR(D153="",H153=""),"",(INDEX('G-6 Hedgerow Data'!$E$3:$I$15,MATCH(D153,'G-6 Hedgerow Data'!$B$3:$B$15,0),MATCH(H153,'G-6 Hedgerow Data'!$E$2:$I$2,0))))</f>
        <v/>
      </c>
      <c r="P153" s="261"/>
      <c r="Q153" s="261"/>
      <c r="R153" s="179" t="str">
        <f t="shared" si="13"/>
        <v/>
      </c>
      <c r="S153" s="262" t="str">
        <f t="shared" si="14"/>
        <v/>
      </c>
      <c r="T153" s="263" t="str">
        <f t="shared" si="12"/>
        <v/>
      </c>
      <c r="U153" s="239" t="str">
        <f>IF(D153="","",VLOOKUP(D153,'G-6 Hedgerow Data'!$B$3:$AG$15,31,FALSE))</f>
        <v/>
      </c>
      <c r="V153" s="175" t="str">
        <f t="shared" si="15"/>
        <v/>
      </c>
      <c r="W153" s="175" t="str">
        <f t="shared" si="16"/>
        <v/>
      </c>
      <c r="X153" s="176" t="str">
        <f>IF(F153="","",VLOOKUP(U153,'G-3 Multipliers'!$P$3:$Q$6,2,FALSE))</f>
        <v/>
      </c>
      <c r="Y153" s="274" t="str">
        <f t="shared" si="17"/>
        <v/>
      </c>
      <c r="Z153" s="180"/>
      <c r="AA153" s="181"/>
      <c r="AG153" s="35" t="str">
        <f>IFERROR(INDEX('G-6 Hedgerow Data'!$BJ$3:$BJ$15,MATCH(D153,'G-6 Hedgerow Data'!$B$3:$B$15,0)),"")</f>
        <v/>
      </c>
    </row>
    <row r="154" spans="2:33" ht="15" customHeight="1" x14ac:dyDescent="0.25">
      <c r="B154" s="128">
        <v>143</v>
      </c>
      <c r="C154" s="394"/>
      <c r="D154" s="275"/>
      <c r="E154" s="275"/>
      <c r="F154" s="171" t="str">
        <f>IF(D154="","",VLOOKUP(D154,'G-6 Hedgerow Data'!$B$2:$AG$15,2,FALSE))</f>
        <v/>
      </c>
      <c r="G154" s="176" t="str">
        <f>IF(D154="","",VLOOKUP(D154,'G-6 Hedgerow Data'!$B$2:$AG$15,3,FALSE))</f>
        <v/>
      </c>
      <c r="H154" s="189"/>
      <c r="I154" s="172" t="str">
        <f>IFERROR(IF(AND(F154="V.Low",OR(H154="Good",H154="Moderate")),"Error",VLOOKUP(H154,'G-1 All Habitats'!$Z$2:$AA$9,2,FALSE)),"")</f>
        <v/>
      </c>
      <c r="J154" s="186"/>
      <c r="K154" s="175" t="str">
        <f>IF(J154="","",IF(VLOOKUP(J154,'G-3 Multipliers'!$L$3:$N$6,2,FALSE)=0,"Spatial Data Missing",VLOOKUP(J154,'G-3 Multipliers'!$L$3:$N$6,2,FALSE)))</f>
        <v/>
      </c>
      <c r="L154" s="176" t="str">
        <f>IF(J154="","",IF(VLOOKUP(J154,'G-3 Multipliers'!$L$3:$N$6,3,FALSE)=0,"Spatial Data Missing",VLOOKUP(J154,'G-3 Multipliers'!$L$3:$N$6,3,FALSE)))</f>
        <v/>
      </c>
      <c r="M154" s="266"/>
      <c r="N154" s="172" t="str">
        <f>IF(M154="","",IF(VLOOKUP(M154,'G-3 Multipliers'!$S$3:$T$6,2,FALSE)=0,"Spatial Data Missing",VLOOKUP(M154,'G-3 Multipliers'!$S$3:$T$6,2,FALSE)))</f>
        <v/>
      </c>
      <c r="O154" s="171" t="str">
        <f>IF(OR(D154="",H154=""),"",(INDEX('G-6 Hedgerow Data'!$E$3:$I$15,MATCH(D154,'G-6 Hedgerow Data'!$B$3:$B$15,0),MATCH(H154,'G-6 Hedgerow Data'!$E$2:$I$2,0))))</f>
        <v/>
      </c>
      <c r="P154" s="261"/>
      <c r="Q154" s="261"/>
      <c r="R154" s="179" t="str">
        <f t="shared" si="13"/>
        <v/>
      </c>
      <c r="S154" s="262" t="str">
        <f t="shared" si="14"/>
        <v/>
      </c>
      <c r="T154" s="263" t="str">
        <f t="shared" si="12"/>
        <v/>
      </c>
      <c r="U154" s="239" t="str">
        <f>IF(D154="","",VLOOKUP(D154,'G-6 Hedgerow Data'!$B$3:$AG$15,31,FALSE))</f>
        <v/>
      </c>
      <c r="V154" s="175" t="str">
        <f t="shared" si="15"/>
        <v/>
      </c>
      <c r="W154" s="175" t="str">
        <f t="shared" si="16"/>
        <v/>
      </c>
      <c r="X154" s="176" t="str">
        <f>IF(F154="","",VLOOKUP(U154,'G-3 Multipliers'!$P$3:$Q$6,2,FALSE))</f>
        <v/>
      </c>
      <c r="Y154" s="274" t="str">
        <f t="shared" si="17"/>
        <v/>
      </c>
      <c r="Z154" s="180"/>
      <c r="AA154" s="181"/>
      <c r="AG154" s="35" t="str">
        <f>IFERROR(INDEX('G-6 Hedgerow Data'!$BJ$3:$BJ$15,MATCH(D154,'G-6 Hedgerow Data'!$B$3:$B$15,0)),"")</f>
        <v/>
      </c>
    </row>
    <row r="155" spans="2:33" ht="15" customHeight="1" x14ac:dyDescent="0.25">
      <c r="B155" s="128">
        <v>144</v>
      </c>
      <c r="C155" s="394"/>
      <c r="D155" s="275"/>
      <c r="E155" s="275"/>
      <c r="F155" s="171" t="str">
        <f>IF(D155="","",VLOOKUP(D155,'G-6 Hedgerow Data'!$B$2:$AG$15,2,FALSE))</f>
        <v/>
      </c>
      <c r="G155" s="176" t="str">
        <f>IF(D155="","",VLOOKUP(D155,'G-6 Hedgerow Data'!$B$2:$AG$15,3,FALSE))</f>
        <v/>
      </c>
      <c r="H155" s="189"/>
      <c r="I155" s="172" t="str">
        <f>IFERROR(IF(AND(F155="V.Low",OR(H155="Good",H155="Moderate")),"Error",VLOOKUP(H155,'G-1 All Habitats'!$Z$2:$AA$9,2,FALSE)),"")</f>
        <v/>
      </c>
      <c r="J155" s="186"/>
      <c r="K155" s="175" t="str">
        <f>IF(J155="","",IF(VLOOKUP(J155,'G-3 Multipliers'!$L$3:$N$6,2,FALSE)=0,"Spatial Data Missing",VLOOKUP(J155,'G-3 Multipliers'!$L$3:$N$6,2,FALSE)))</f>
        <v/>
      </c>
      <c r="L155" s="176" t="str">
        <f>IF(J155="","",IF(VLOOKUP(J155,'G-3 Multipliers'!$L$3:$N$6,3,FALSE)=0,"Spatial Data Missing",VLOOKUP(J155,'G-3 Multipliers'!$L$3:$N$6,3,FALSE)))</f>
        <v/>
      </c>
      <c r="M155" s="266"/>
      <c r="N155" s="172" t="str">
        <f>IF(M155="","",IF(VLOOKUP(M155,'G-3 Multipliers'!$S$3:$T$6,2,FALSE)=0,"Spatial Data Missing",VLOOKUP(M155,'G-3 Multipliers'!$S$3:$T$6,2,FALSE)))</f>
        <v/>
      </c>
      <c r="O155" s="171" t="str">
        <f>IF(OR(D155="",H155=""),"",(INDEX('G-6 Hedgerow Data'!$E$3:$I$15,MATCH(D155,'G-6 Hedgerow Data'!$B$3:$B$15,0),MATCH(H155,'G-6 Hedgerow Data'!$E$2:$I$2,0))))</f>
        <v/>
      </c>
      <c r="P155" s="261"/>
      <c r="Q155" s="261"/>
      <c r="R155" s="179" t="str">
        <f t="shared" si="13"/>
        <v/>
      </c>
      <c r="S155" s="262" t="str">
        <f t="shared" si="14"/>
        <v/>
      </c>
      <c r="T155" s="263" t="str">
        <f t="shared" si="12"/>
        <v/>
      </c>
      <c r="U155" s="239" t="str">
        <f>IF(D155="","",VLOOKUP(D155,'G-6 Hedgerow Data'!$B$3:$AG$15,31,FALSE))</f>
        <v/>
      </c>
      <c r="V155" s="175" t="str">
        <f t="shared" si="15"/>
        <v/>
      </c>
      <c r="W155" s="175" t="str">
        <f t="shared" si="16"/>
        <v/>
      </c>
      <c r="X155" s="176" t="str">
        <f>IF(F155="","",VLOOKUP(U155,'G-3 Multipliers'!$P$3:$Q$6,2,FALSE))</f>
        <v/>
      </c>
      <c r="Y155" s="274" t="str">
        <f t="shared" si="17"/>
        <v/>
      </c>
      <c r="Z155" s="180"/>
      <c r="AA155" s="181"/>
      <c r="AG155" s="35" t="str">
        <f>IFERROR(INDEX('G-6 Hedgerow Data'!$BJ$3:$BJ$15,MATCH(D155,'G-6 Hedgerow Data'!$B$3:$B$15,0)),"")</f>
        <v/>
      </c>
    </row>
    <row r="156" spans="2:33" ht="15" customHeight="1" x14ac:dyDescent="0.25">
      <c r="B156" s="128">
        <v>145</v>
      </c>
      <c r="C156" s="394"/>
      <c r="D156" s="275"/>
      <c r="E156" s="275"/>
      <c r="F156" s="171" t="str">
        <f>IF(D156="","",VLOOKUP(D156,'G-6 Hedgerow Data'!$B$2:$AG$15,2,FALSE))</f>
        <v/>
      </c>
      <c r="G156" s="176" t="str">
        <f>IF(D156="","",VLOOKUP(D156,'G-6 Hedgerow Data'!$B$2:$AG$15,3,FALSE))</f>
        <v/>
      </c>
      <c r="H156" s="189"/>
      <c r="I156" s="172" t="str">
        <f>IFERROR(IF(AND(F156="V.Low",OR(H156="Good",H156="Moderate")),"Error",VLOOKUP(H156,'G-1 All Habitats'!$Z$2:$AA$9,2,FALSE)),"")</f>
        <v/>
      </c>
      <c r="J156" s="186"/>
      <c r="K156" s="175" t="str">
        <f>IF(J156="","",IF(VLOOKUP(J156,'G-3 Multipliers'!$L$3:$N$6,2,FALSE)=0,"Spatial Data Missing",VLOOKUP(J156,'G-3 Multipliers'!$L$3:$N$6,2,FALSE)))</f>
        <v/>
      </c>
      <c r="L156" s="176" t="str">
        <f>IF(J156="","",IF(VLOOKUP(J156,'G-3 Multipliers'!$L$3:$N$6,3,FALSE)=0,"Spatial Data Missing",VLOOKUP(J156,'G-3 Multipliers'!$L$3:$N$6,3,FALSE)))</f>
        <v/>
      </c>
      <c r="M156" s="266"/>
      <c r="N156" s="172" t="str">
        <f>IF(M156="","",IF(VLOOKUP(M156,'G-3 Multipliers'!$S$3:$T$6,2,FALSE)=0,"Spatial Data Missing",VLOOKUP(M156,'G-3 Multipliers'!$S$3:$T$6,2,FALSE)))</f>
        <v/>
      </c>
      <c r="O156" s="171" t="str">
        <f>IF(OR(D156="",H156=""),"",(INDEX('G-6 Hedgerow Data'!$E$3:$I$15,MATCH(D156,'G-6 Hedgerow Data'!$B$3:$B$15,0),MATCH(H156,'G-6 Hedgerow Data'!$E$2:$I$2,0))))</f>
        <v/>
      </c>
      <c r="P156" s="261"/>
      <c r="Q156" s="261"/>
      <c r="R156" s="179" t="str">
        <f t="shared" si="13"/>
        <v/>
      </c>
      <c r="S156" s="262" t="str">
        <f t="shared" si="14"/>
        <v/>
      </c>
      <c r="T156" s="263" t="str">
        <f t="shared" si="12"/>
        <v/>
      </c>
      <c r="U156" s="239" t="str">
        <f>IF(D156="","",VLOOKUP(D156,'G-6 Hedgerow Data'!$B$3:$AG$15,31,FALSE))</f>
        <v/>
      </c>
      <c r="V156" s="175" t="str">
        <f t="shared" si="15"/>
        <v/>
      </c>
      <c r="W156" s="175" t="str">
        <f t="shared" si="16"/>
        <v/>
      </c>
      <c r="X156" s="176" t="str">
        <f>IF(F156="","",VLOOKUP(U156,'G-3 Multipliers'!$P$3:$Q$6,2,FALSE))</f>
        <v/>
      </c>
      <c r="Y156" s="274" t="str">
        <f t="shared" si="17"/>
        <v/>
      </c>
      <c r="Z156" s="180"/>
      <c r="AA156" s="181"/>
      <c r="AG156" s="35" t="str">
        <f>IFERROR(INDEX('G-6 Hedgerow Data'!$BJ$3:$BJ$15,MATCH(D156,'G-6 Hedgerow Data'!$B$3:$B$15,0)),"")</f>
        <v/>
      </c>
    </row>
    <row r="157" spans="2:33" ht="15" customHeight="1" x14ac:dyDescent="0.25">
      <c r="B157" s="128">
        <v>146</v>
      </c>
      <c r="C157" s="394"/>
      <c r="D157" s="275"/>
      <c r="E157" s="275"/>
      <c r="F157" s="171" t="str">
        <f>IF(D157="","",VLOOKUP(D157,'G-6 Hedgerow Data'!$B$2:$AG$15,2,FALSE))</f>
        <v/>
      </c>
      <c r="G157" s="176" t="str">
        <f>IF(D157="","",VLOOKUP(D157,'G-6 Hedgerow Data'!$B$2:$AG$15,3,FALSE))</f>
        <v/>
      </c>
      <c r="H157" s="189"/>
      <c r="I157" s="172" t="str">
        <f>IFERROR(IF(AND(F157="V.Low",OR(H157="Good",H157="Moderate")),"Error",VLOOKUP(H157,'G-1 All Habitats'!$Z$2:$AA$9,2,FALSE)),"")</f>
        <v/>
      </c>
      <c r="J157" s="186"/>
      <c r="K157" s="175" t="str">
        <f>IF(J157="","",IF(VLOOKUP(J157,'G-3 Multipliers'!$L$3:$N$6,2,FALSE)=0,"Spatial Data Missing",VLOOKUP(J157,'G-3 Multipliers'!$L$3:$N$6,2,FALSE)))</f>
        <v/>
      </c>
      <c r="L157" s="176" t="str">
        <f>IF(J157="","",IF(VLOOKUP(J157,'G-3 Multipliers'!$L$3:$N$6,3,FALSE)=0,"Spatial Data Missing",VLOOKUP(J157,'G-3 Multipliers'!$L$3:$N$6,3,FALSE)))</f>
        <v/>
      </c>
      <c r="M157" s="266"/>
      <c r="N157" s="172" t="str">
        <f>IF(M157="","",IF(VLOOKUP(M157,'G-3 Multipliers'!$S$3:$T$6,2,FALSE)=0,"Spatial Data Missing",VLOOKUP(M157,'G-3 Multipliers'!$S$3:$T$6,2,FALSE)))</f>
        <v/>
      </c>
      <c r="O157" s="171" t="str">
        <f>IF(OR(D157="",H157=""),"",(INDEX('G-6 Hedgerow Data'!$E$3:$I$15,MATCH(D157,'G-6 Hedgerow Data'!$B$3:$B$15,0),MATCH(H157,'G-6 Hedgerow Data'!$E$2:$I$2,0))))</f>
        <v/>
      </c>
      <c r="P157" s="261"/>
      <c r="Q157" s="261"/>
      <c r="R157" s="179" t="str">
        <f t="shared" si="13"/>
        <v/>
      </c>
      <c r="S157" s="262" t="str">
        <f t="shared" si="14"/>
        <v/>
      </c>
      <c r="T157" s="263" t="str">
        <f t="shared" si="12"/>
        <v/>
      </c>
      <c r="U157" s="239" t="str">
        <f>IF(D157="","",VLOOKUP(D157,'G-6 Hedgerow Data'!$B$3:$AG$15,31,FALSE))</f>
        <v/>
      </c>
      <c r="V157" s="175" t="str">
        <f t="shared" si="15"/>
        <v/>
      </c>
      <c r="W157" s="175" t="str">
        <f t="shared" si="16"/>
        <v/>
      </c>
      <c r="X157" s="176" t="str">
        <f>IF(F157="","",VLOOKUP(U157,'G-3 Multipliers'!$P$3:$Q$6,2,FALSE))</f>
        <v/>
      </c>
      <c r="Y157" s="274" t="str">
        <f t="shared" si="17"/>
        <v/>
      </c>
      <c r="Z157" s="180"/>
      <c r="AA157" s="181"/>
      <c r="AG157" s="35" t="str">
        <f>IFERROR(INDEX('G-6 Hedgerow Data'!$BJ$3:$BJ$15,MATCH(D157,'G-6 Hedgerow Data'!$B$3:$B$15,0)),"")</f>
        <v/>
      </c>
    </row>
    <row r="158" spans="2:33" ht="15" customHeight="1" x14ac:dyDescent="0.25">
      <c r="B158" s="128">
        <v>147</v>
      </c>
      <c r="C158" s="394"/>
      <c r="D158" s="275"/>
      <c r="E158" s="275"/>
      <c r="F158" s="171" t="str">
        <f>IF(D158="","",VLOOKUP(D158,'G-6 Hedgerow Data'!$B$2:$AG$15,2,FALSE))</f>
        <v/>
      </c>
      <c r="G158" s="176" t="str">
        <f>IF(D158="","",VLOOKUP(D158,'G-6 Hedgerow Data'!$B$2:$AG$15,3,FALSE))</f>
        <v/>
      </c>
      <c r="H158" s="189"/>
      <c r="I158" s="172" t="str">
        <f>IFERROR(IF(AND(F158="V.Low",OR(H158="Good",H158="Moderate")),"Error",VLOOKUP(H158,'G-1 All Habitats'!$Z$2:$AA$9,2,FALSE)),"")</f>
        <v/>
      </c>
      <c r="J158" s="186"/>
      <c r="K158" s="175" t="str">
        <f>IF(J158="","",IF(VLOOKUP(J158,'G-3 Multipliers'!$L$3:$N$6,2,FALSE)=0,"Spatial Data Missing",VLOOKUP(J158,'G-3 Multipliers'!$L$3:$N$6,2,FALSE)))</f>
        <v/>
      </c>
      <c r="L158" s="176" t="str">
        <f>IF(J158="","",IF(VLOOKUP(J158,'G-3 Multipliers'!$L$3:$N$6,3,FALSE)=0,"Spatial Data Missing",VLOOKUP(J158,'G-3 Multipliers'!$L$3:$N$6,3,FALSE)))</f>
        <v/>
      </c>
      <c r="M158" s="266"/>
      <c r="N158" s="172" t="str">
        <f>IF(M158="","",IF(VLOOKUP(M158,'G-3 Multipliers'!$S$3:$T$6,2,FALSE)=0,"Spatial Data Missing",VLOOKUP(M158,'G-3 Multipliers'!$S$3:$T$6,2,FALSE)))</f>
        <v/>
      </c>
      <c r="O158" s="171" t="str">
        <f>IF(OR(D158="",H158=""),"",(INDEX('G-6 Hedgerow Data'!$E$3:$I$15,MATCH(D158,'G-6 Hedgerow Data'!$B$3:$B$15,0),MATCH(H158,'G-6 Hedgerow Data'!$E$2:$I$2,0))))</f>
        <v/>
      </c>
      <c r="P158" s="261"/>
      <c r="Q158" s="261"/>
      <c r="R158" s="179" t="str">
        <f t="shared" si="13"/>
        <v/>
      </c>
      <c r="S158" s="262" t="str">
        <f t="shared" si="14"/>
        <v/>
      </c>
      <c r="T158" s="263" t="str">
        <f t="shared" si="12"/>
        <v/>
      </c>
      <c r="U158" s="239" t="str">
        <f>IF(D158="","",VLOOKUP(D158,'G-6 Hedgerow Data'!$B$3:$AG$15,31,FALSE))</f>
        <v/>
      </c>
      <c r="V158" s="175" t="str">
        <f t="shared" si="15"/>
        <v/>
      </c>
      <c r="W158" s="175" t="str">
        <f t="shared" si="16"/>
        <v/>
      </c>
      <c r="X158" s="176" t="str">
        <f>IF(F158="","",VLOOKUP(U158,'G-3 Multipliers'!$P$3:$Q$6,2,FALSE))</f>
        <v/>
      </c>
      <c r="Y158" s="274" t="str">
        <f t="shared" si="17"/>
        <v/>
      </c>
      <c r="Z158" s="180"/>
      <c r="AA158" s="181"/>
      <c r="AG158" s="35" t="str">
        <f>IFERROR(INDEX('G-6 Hedgerow Data'!$BJ$3:$BJ$15,MATCH(D158,'G-6 Hedgerow Data'!$B$3:$B$15,0)),"")</f>
        <v/>
      </c>
    </row>
    <row r="159" spans="2:33" ht="15" customHeight="1" x14ac:dyDescent="0.25">
      <c r="B159" s="128">
        <v>148</v>
      </c>
      <c r="C159" s="394"/>
      <c r="D159" s="275"/>
      <c r="E159" s="275"/>
      <c r="F159" s="171" t="str">
        <f>IF(D159="","",VLOOKUP(D159,'G-6 Hedgerow Data'!$B$2:$AG$15,2,FALSE))</f>
        <v/>
      </c>
      <c r="G159" s="176" t="str">
        <f>IF(D159="","",VLOOKUP(D159,'G-6 Hedgerow Data'!$B$2:$AG$15,3,FALSE))</f>
        <v/>
      </c>
      <c r="H159" s="189"/>
      <c r="I159" s="172" t="str">
        <f>IFERROR(IF(AND(F159="V.Low",OR(H159="Good",H159="Moderate")),"Error",VLOOKUP(H159,'G-1 All Habitats'!$Z$2:$AA$9,2,FALSE)),"")</f>
        <v/>
      </c>
      <c r="J159" s="186"/>
      <c r="K159" s="175" t="str">
        <f>IF(J159="","",IF(VLOOKUP(J159,'G-3 Multipliers'!$L$3:$N$6,2,FALSE)=0,"Spatial Data Missing",VLOOKUP(J159,'G-3 Multipliers'!$L$3:$N$6,2,FALSE)))</f>
        <v/>
      </c>
      <c r="L159" s="176" t="str">
        <f>IF(J159="","",IF(VLOOKUP(J159,'G-3 Multipliers'!$L$3:$N$6,3,FALSE)=0,"Spatial Data Missing",VLOOKUP(J159,'G-3 Multipliers'!$L$3:$N$6,3,FALSE)))</f>
        <v/>
      </c>
      <c r="M159" s="266"/>
      <c r="N159" s="172" t="str">
        <f>IF(M159="","",IF(VLOOKUP(M159,'G-3 Multipliers'!$S$3:$T$6,2,FALSE)=0,"Spatial Data Missing",VLOOKUP(M159,'G-3 Multipliers'!$S$3:$T$6,2,FALSE)))</f>
        <v/>
      </c>
      <c r="O159" s="171" t="str">
        <f>IF(OR(D159="",H159=""),"",(INDEX('G-6 Hedgerow Data'!$E$3:$I$15,MATCH(D159,'G-6 Hedgerow Data'!$B$3:$B$15,0),MATCH(H159,'G-6 Hedgerow Data'!$E$2:$I$2,0))))</f>
        <v/>
      </c>
      <c r="P159" s="261"/>
      <c r="Q159" s="261"/>
      <c r="R159" s="179" t="str">
        <f t="shared" si="13"/>
        <v/>
      </c>
      <c r="S159" s="262" t="str">
        <f t="shared" si="14"/>
        <v/>
      </c>
      <c r="T159" s="263" t="str">
        <f t="shared" si="12"/>
        <v/>
      </c>
      <c r="U159" s="239" t="str">
        <f>IF(D159="","",VLOOKUP(D159,'G-6 Hedgerow Data'!$B$3:$AG$15,31,FALSE))</f>
        <v/>
      </c>
      <c r="V159" s="175" t="str">
        <f t="shared" si="15"/>
        <v/>
      </c>
      <c r="W159" s="175" t="str">
        <f t="shared" si="16"/>
        <v/>
      </c>
      <c r="X159" s="176" t="str">
        <f>IF(F159="","",VLOOKUP(U159,'G-3 Multipliers'!$P$3:$Q$6,2,FALSE))</f>
        <v/>
      </c>
      <c r="Y159" s="274" t="str">
        <f t="shared" si="17"/>
        <v/>
      </c>
      <c r="Z159" s="180"/>
      <c r="AA159" s="181"/>
      <c r="AG159" s="35" t="str">
        <f>IFERROR(INDEX('G-6 Hedgerow Data'!$BJ$3:$BJ$15,MATCH(D159,'G-6 Hedgerow Data'!$B$3:$B$15,0)),"")</f>
        <v/>
      </c>
    </row>
    <row r="160" spans="2:33" ht="15" customHeight="1" x14ac:dyDescent="0.25">
      <c r="B160" s="128">
        <v>149</v>
      </c>
      <c r="C160" s="394"/>
      <c r="D160" s="275"/>
      <c r="E160" s="275"/>
      <c r="F160" s="171" t="str">
        <f>IF(D160="","",VLOOKUP(D160,'G-6 Hedgerow Data'!$B$2:$AG$15,2,FALSE))</f>
        <v/>
      </c>
      <c r="G160" s="176" t="str">
        <f>IF(D160="","",VLOOKUP(D160,'G-6 Hedgerow Data'!$B$2:$AG$15,3,FALSE))</f>
        <v/>
      </c>
      <c r="H160" s="189"/>
      <c r="I160" s="172" t="str">
        <f>IFERROR(IF(AND(F160="V.Low",OR(H160="Good",H160="Moderate")),"Error",VLOOKUP(H160,'G-1 All Habitats'!$Z$2:$AA$9,2,FALSE)),"")</f>
        <v/>
      </c>
      <c r="J160" s="186"/>
      <c r="K160" s="175" t="str">
        <f>IF(J160="","",IF(VLOOKUP(J160,'G-3 Multipliers'!$L$3:$N$6,2,FALSE)=0,"Spatial Data Missing",VLOOKUP(J160,'G-3 Multipliers'!$L$3:$N$6,2,FALSE)))</f>
        <v/>
      </c>
      <c r="L160" s="176" t="str">
        <f>IF(J160="","",IF(VLOOKUP(J160,'G-3 Multipliers'!$L$3:$N$6,3,FALSE)=0,"Spatial Data Missing",VLOOKUP(J160,'G-3 Multipliers'!$L$3:$N$6,3,FALSE)))</f>
        <v/>
      </c>
      <c r="M160" s="266"/>
      <c r="N160" s="172" t="str">
        <f>IF(M160="","",IF(VLOOKUP(M160,'G-3 Multipliers'!$S$3:$T$6,2,FALSE)=0,"Spatial Data Missing",VLOOKUP(M160,'G-3 Multipliers'!$S$3:$T$6,2,FALSE)))</f>
        <v/>
      </c>
      <c r="O160" s="171" t="str">
        <f>IF(OR(D160="",H160=""),"",(INDEX('G-6 Hedgerow Data'!$E$3:$I$15,MATCH(D160,'G-6 Hedgerow Data'!$B$3:$B$15,0),MATCH(H160,'G-6 Hedgerow Data'!$E$2:$I$2,0))))</f>
        <v/>
      </c>
      <c r="P160" s="261"/>
      <c r="Q160" s="261"/>
      <c r="R160" s="179" t="str">
        <f t="shared" si="13"/>
        <v/>
      </c>
      <c r="S160" s="262" t="str">
        <f t="shared" si="14"/>
        <v/>
      </c>
      <c r="T160" s="263" t="str">
        <f t="shared" si="12"/>
        <v/>
      </c>
      <c r="U160" s="239" t="str">
        <f>IF(D160="","",VLOOKUP(D160,'G-6 Hedgerow Data'!$B$3:$AG$15,31,FALSE))</f>
        <v/>
      </c>
      <c r="V160" s="175" t="str">
        <f t="shared" si="15"/>
        <v/>
      </c>
      <c r="W160" s="175" t="str">
        <f t="shared" si="16"/>
        <v/>
      </c>
      <c r="X160" s="176" t="str">
        <f>IF(F160="","",VLOOKUP(U160,'G-3 Multipliers'!$P$3:$Q$6,2,FALSE))</f>
        <v/>
      </c>
      <c r="Y160" s="274" t="str">
        <f t="shared" si="17"/>
        <v/>
      </c>
      <c r="Z160" s="180"/>
      <c r="AA160" s="181"/>
      <c r="AG160" s="35" t="str">
        <f>IFERROR(INDEX('G-6 Hedgerow Data'!$BJ$3:$BJ$15,MATCH(D160,'G-6 Hedgerow Data'!$B$3:$B$15,0)),"")</f>
        <v/>
      </c>
    </row>
    <row r="161" spans="2:33" ht="15" customHeight="1" x14ac:dyDescent="0.25">
      <c r="B161" s="128">
        <v>150</v>
      </c>
      <c r="C161" s="394"/>
      <c r="D161" s="275"/>
      <c r="E161" s="275"/>
      <c r="F161" s="171" t="str">
        <f>IF(D161="","",VLOOKUP(D161,'G-6 Hedgerow Data'!$B$2:$AG$15,2,FALSE))</f>
        <v/>
      </c>
      <c r="G161" s="176" t="str">
        <f>IF(D161="","",VLOOKUP(D161,'G-6 Hedgerow Data'!$B$2:$AG$15,3,FALSE))</f>
        <v/>
      </c>
      <c r="H161" s="189"/>
      <c r="I161" s="172" t="str">
        <f>IFERROR(IF(AND(F161="V.Low",OR(H161="Good",H161="Moderate")),"Error",VLOOKUP(H161,'G-1 All Habitats'!$Z$2:$AA$9,2,FALSE)),"")</f>
        <v/>
      </c>
      <c r="J161" s="186"/>
      <c r="K161" s="175" t="str">
        <f>IF(J161="","",IF(VLOOKUP(J161,'G-3 Multipliers'!$L$3:$N$6,2,FALSE)=0,"Spatial Data Missing",VLOOKUP(J161,'G-3 Multipliers'!$L$3:$N$6,2,FALSE)))</f>
        <v/>
      </c>
      <c r="L161" s="176" t="str">
        <f>IF(J161="","",IF(VLOOKUP(J161,'G-3 Multipliers'!$L$3:$N$6,3,FALSE)=0,"Spatial Data Missing",VLOOKUP(J161,'G-3 Multipliers'!$L$3:$N$6,3,FALSE)))</f>
        <v/>
      </c>
      <c r="M161" s="266"/>
      <c r="N161" s="172" t="str">
        <f>IF(M161="","",IF(VLOOKUP(M161,'G-3 Multipliers'!$S$3:$T$6,2,FALSE)=0,"Spatial Data Missing",VLOOKUP(M161,'G-3 Multipliers'!$S$3:$T$6,2,FALSE)))</f>
        <v/>
      </c>
      <c r="O161" s="171" t="str">
        <f>IF(OR(D161="",H161=""),"",(INDEX('G-6 Hedgerow Data'!$E$3:$I$15,MATCH(D161,'G-6 Hedgerow Data'!$B$3:$B$15,0),MATCH(H161,'G-6 Hedgerow Data'!$E$2:$I$2,0))))</f>
        <v/>
      </c>
      <c r="P161" s="261"/>
      <c r="Q161" s="261"/>
      <c r="R161" s="179" t="str">
        <f t="shared" si="13"/>
        <v/>
      </c>
      <c r="S161" s="262" t="str">
        <f t="shared" si="14"/>
        <v/>
      </c>
      <c r="T161" s="263" t="str">
        <f t="shared" si="12"/>
        <v/>
      </c>
      <c r="U161" s="239" t="str">
        <f>IF(D161="","",VLOOKUP(D161,'G-6 Hedgerow Data'!$B$3:$AG$15,31,FALSE))</f>
        <v/>
      </c>
      <c r="V161" s="175" t="str">
        <f t="shared" si="15"/>
        <v/>
      </c>
      <c r="W161" s="175" t="str">
        <f t="shared" si="16"/>
        <v/>
      </c>
      <c r="X161" s="176" t="str">
        <f>IF(F161="","",VLOOKUP(U161,'G-3 Multipliers'!$P$3:$Q$6,2,FALSE))</f>
        <v/>
      </c>
      <c r="Y161" s="274" t="str">
        <f t="shared" si="17"/>
        <v/>
      </c>
      <c r="Z161" s="180"/>
      <c r="AA161" s="181"/>
      <c r="AG161" s="35" t="str">
        <f>IFERROR(INDEX('G-6 Hedgerow Data'!$BJ$3:$BJ$15,MATCH(D161,'G-6 Hedgerow Data'!$B$3:$B$15,0)),"")</f>
        <v/>
      </c>
    </row>
    <row r="162" spans="2:33" ht="15" customHeight="1" x14ac:dyDescent="0.25">
      <c r="B162" s="128">
        <v>151</v>
      </c>
      <c r="C162" s="394"/>
      <c r="D162" s="275"/>
      <c r="E162" s="275"/>
      <c r="F162" s="171" t="str">
        <f>IF(D162="","",VLOOKUP(D162,'G-6 Hedgerow Data'!$B$2:$AG$15,2,FALSE))</f>
        <v/>
      </c>
      <c r="G162" s="176" t="str">
        <f>IF(D162="","",VLOOKUP(D162,'G-6 Hedgerow Data'!$B$2:$AG$15,3,FALSE))</f>
        <v/>
      </c>
      <c r="H162" s="189"/>
      <c r="I162" s="172" t="str">
        <f>IFERROR(IF(AND(F162="V.Low",OR(H162="Good",H162="Moderate")),"Error",VLOOKUP(H162,'G-1 All Habitats'!$Z$2:$AA$9,2,FALSE)),"")</f>
        <v/>
      </c>
      <c r="J162" s="186"/>
      <c r="K162" s="175" t="str">
        <f>IF(J162="","",IF(VLOOKUP(J162,'G-3 Multipliers'!$L$3:$N$6,2,FALSE)=0,"Spatial Data Missing",VLOOKUP(J162,'G-3 Multipliers'!$L$3:$N$6,2,FALSE)))</f>
        <v/>
      </c>
      <c r="L162" s="176" t="str">
        <f>IF(J162="","",IF(VLOOKUP(J162,'G-3 Multipliers'!$L$3:$N$6,3,FALSE)=0,"Spatial Data Missing",VLOOKUP(J162,'G-3 Multipliers'!$L$3:$N$6,3,FALSE)))</f>
        <v/>
      </c>
      <c r="M162" s="266"/>
      <c r="N162" s="172" t="str">
        <f>IF(M162="","",IF(VLOOKUP(M162,'G-3 Multipliers'!$S$3:$T$6,2,FALSE)=0,"Spatial Data Missing",VLOOKUP(M162,'G-3 Multipliers'!$S$3:$T$6,2,FALSE)))</f>
        <v/>
      </c>
      <c r="O162" s="171" t="str">
        <f>IF(OR(D162="",H162=""),"",(INDEX('G-6 Hedgerow Data'!$E$3:$I$15,MATCH(D162,'G-6 Hedgerow Data'!$B$3:$B$15,0),MATCH(H162,'G-6 Hedgerow Data'!$E$2:$I$2,0))))</f>
        <v/>
      </c>
      <c r="P162" s="261"/>
      <c r="Q162" s="261"/>
      <c r="R162" s="179" t="str">
        <f t="shared" si="13"/>
        <v/>
      </c>
      <c r="S162" s="262" t="str">
        <f t="shared" si="14"/>
        <v/>
      </c>
      <c r="T162" s="263" t="str">
        <f t="shared" si="12"/>
        <v/>
      </c>
      <c r="U162" s="239" t="str">
        <f>IF(D162="","",VLOOKUP(D162,'G-6 Hedgerow Data'!$B$3:$AG$15,31,FALSE))</f>
        <v/>
      </c>
      <c r="V162" s="175" t="str">
        <f t="shared" si="15"/>
        <v/>
      </c>
      <c r="W162" s="175" t="str">
        <f t="shared" si="16"/>
        <v/>
      </c>
      <c r="X162" s="176" t="str">
        <f>IF(F162="","",VLOOKUP(U162,'G-3 Multipliers'!$P$3:$Q$6,2,FALSE))</f>
        <v/>
      </c>
      <c r="Y162" s="274" t="str">
        <f t="shared" si="17"/>
        <v/>
      </c>
      <c r="Z162" s="180"/>
      <c r="AA162" s="181"/>
      <c r="AG162" s="35" t="str">
        <f>IFERROR(INDEX('G-6 Hedgerow Data'!$BJ$3:$BJ$15,MATCH(D162,'G-6 Hedgerow Data'!$B$3:$B$15,0)),"")</f>
        <v/>
      </c>
    </row>
    <row r="163" spans="2:33" ht="15" customHeight="1" x14ac:dyDescent="0.25">
      <c r="B163" s="128">
        <v>152</v>
      </c>
      <c r="C163" s="394"/>
      <c r="D163" s="275"/>
      <c r="E163" s="275"/>
      <c r="F163" s="171" t="str">
        <f>IF(D163="","",VLOOKUP(D163,'G-6 Hedgerow Data'!$B$2:$AG$15,2,FALSE))</f>
        <v/>
      </c>
      <c r="G163" s="176" t="str">
        <f>IF(D163="","",VLOOKUP(D163,'G-6 Hedgerow Data'!$B$2:$AG$15,3,FALSE))</f>
        <v/>
      </c>
      <c r="H163" s="189"/>
      <c r="I163" s="172" t="str">
        <f>IFERROR(IF(AND(F163="V.Low",OR(H163="Good",H163="Moderate")),"Error",VLOOKUP(H163,'G-1 All Habitats'!$Z$2:$AA$9,2,FALSE)),"")</f>
        <v/>
      </c>
      <c r="J163" s="186"/>
      <c r="K163" s="175" t="str">
        <f>IF(J163="","",IF(VLOOKUP(J163,'G-3 Multipliers'!$L$3:$N$6,2,FALSE)=0,"Spatial Data Missing",VLOOKUP(J163,'G-3 Multipliers'!$L$3:$N$6,2,FALSE)))</f>
        <v/>
      </c>
      <c r="L163" s="176" t="str">
        <f>IF(J163="","",IF(VLOOKUP(J163,'G-3 Multipliers'!$L$3:$N$6,3,FALSE)=0,"Spatial Data Missing",VLOOKUP(J163,'G-3 Multipliers'!$L$3:$N$6,3,FALSE)))</f>
        <v/>
      </c>
      <c r="M163" s="266"/>
      <c r="N163" s="172" t="str">
        <f>IF(M163="","",IF(VLOOKUP(M163,'G-3 Multipliers'!$S$3:$T$6,2,FALSE)=0,"Spatial Data Missing",VLOOKUP(M163,'G-3 Multipliers'!$S$3:$T$6,2,FALSE)))</f>
        <v/>
      </c>
      <c r="O163" s="171" t="str">
        <f>IF(OR(D163="",H163=""),"",(INDEX('G-6 Hedgerow Data'!$E$3:$I$15,MATCH(D163,'G-6 Hedgerow Data'!$B$3:$B$15,0),MATCH(H163,'G-6 Hedgerow Data'!$E$2:$I$2,0))))</f>
        <v/>
      </c>
      <c r="P163" s="261"/>
      <c r="Q163" s="261"/>
      <c r="R163" s="179" t="str">
        <f t="shared" si="13"/>
        <v/>
      </c>
      <c r="S163" s="262" t="str">
        <f t="shared" si="14"/>
        <v/>
      </c>
      <c r="T163" s="263" t="str">
        <f t="shared" si="12"/>
        <v/>
      </c>
      <c r="U163" s="239" t="str">
        <f>IF(D163="","",VLOOKUP(D163,'G-6 Hedgerow Data'!$B$3:$AG$15,31,FALSE))</f>
        <v/>
      </c>
      <c r="V163" s="175" t="str">
        <f t="shared" si="15"/>
        <v/>
      </c>
      <c r="W163" s="175" t="str">
        <f t="shared" si="16"/>
        <v/>
      </c>
      <c r="X163" s="176" t="str">
        <f>IF(F163="","",VLOOKUP(U163,'G-3 Multipliers'!$P$3:$Q$6,2,FALSE))</f>
        <v/>
      </c>
      <c r="Y163" s="274" t="str">
        <f t="shared" si="17"/>
        <v/>
      </c>
      <c r="Z163" s="180"/>
      <c r="AA163" s="181"/>
      <c r="AG163" s="35" t="str">
        <f>IFERROR(INDEX('G-6 Hedgerow Data'!$BJ$3:$BJ$15,MATCH(D163,'G-6 Hedgerow Data'!$B$3:$B$15,0)),"")</f>
        <v/>
      </c>
    </row>
    <row r="164" spans="2:33" ht="15" customHeight="1" x14ac:dyDescent="0.25">
      <c r="B164" s="128">
        <v>153</v>
      </c>
      <c r="C164" s="394"/>
      <c r="D164" s="275"/>
      <c r="E164" s="275"/>
      <c r="F164" s="171" t="str">
        <f>IF(D164="","",VLOOKUP(D164,'G-6 Hedgerow Data'!$B$2:$AG$15,2,FALSE))</f>
        <v/>
      </c>
      <c r="G164" s="176" t="str">
        <f>IF(D164="","",VLOOKUP(D164,'G-6 Hedgerow Data'!$B$2:$AG$15,3,FALSE))</f>
        <v/>
      </c>
      <c r="H164" s="189"/>
      <c r="I164" s="172" t="str">
        <f>IFERROR(IF(AND(F164="V.Low",OR(H164="Good",H164="Moderate")),"Error",VLOOKUP(H164,'G-1 All Habitats'!$Z$2:$AA$9,2,FALSE)),"")</f>
        <v/>
      </c>
      <c r="J164" s="186"/>
      <c r="K164" s="175" t="str">
        <f>IF(J164="","",IF(VLOOKUP(J164,'G-3 Multipliers'!$L$3:$N$6,2,FALSE)=0,"Spatial Data Missing",VLOOKUP(J164,'G-3 Multipliers'!$L$3:$N$6,2,FALSE)))</f>
        <v/>
      </c>
      <c r="L164" s="176" t="str">
        <f>IF(J164="","",IF(VLOOKUP(J164,'G-3 Multipliers'!$L$3:$N$6,3,FALSE)=0,"Spatial Data Missing",VLOOKUP(J164,'G-3 Multipliers'!$L$3:$N$6,3,FALSE)))</f>
        <v/>
      </c>
      <c r="M164" s="266"/>
      <c r="N164" s="172" t="str">
        <f>IF(M164="","",IF(VLOOKUP(M164,'G-3 Multipliers'!$S$3:$T$6,2,FALSE)=0,"Spatial Data Missing",VLOOKUP(M164,'G-3 Multipliers'!$S$3:$T$6,2,FALSE)))</f>
        <v/>
      </c>
      <c r="O164" s="171" t="str">
        <f>IF(OR(D164="",H164=""),"",(INDEX('G-6 Hedgerow Data'!$E$3:$I$15,MATCH(D164,'G-6 Hedgerow Data'!$B$3:$B$15,0),MATCH(H164,'G-6 Hedgerow Data'!$E$2:$I$2,0))))</f>
        <v/>
      </c>
      <c r="P164" s="261"/>
      <c r="Q164" s="261"/>
      <c r="R164" s="179" t="str">
        <f t="shared" si="13"/>
        <v/>
      </c>
      <c r="S164" s="262" t="str">
        <f t="shared" si="14"/>
        <v/>
      </c>
      <c r="T164" s="263" t="str">
        <f t="shared" si="12"/>
        <v/>
      </c>
      <c r="U164" s="239" t="str">
        <f>IF(D164="","",VLOOKUP(D164,'G-6 Hedgerow Data'!$B$3:$AG$15,31,FALSE))</f>
        <v/>
      </c>
      <c r="V164" s="175" t="str">
        <f t="shared" si="15"/>
        <v/>
      </c>
      <c r="W164" s="175" t="str">
        <f t="shared" si="16"/>
        <v/>
      </c>
      <c r="X164" s="176" t="str">
        <f>IF(F164="","",VLOOKUP(U164,'G-3 Multipliers'!$P$3:$Q$6,2,FALSE))</f>
        <v/>
      </c>
      <c r="Y164" s="274" t="str">
        <f t="shared" si="17"/>
        <v/>
      </c>
      <c r="Z164" s="180"/>
      <c r="AA164" s="181"/>
      <c r="AG164" s="35" t="str">
        <f>IFERROR(INDEX('G-6 Hedgerow Data'!$BJ$3:$BJ$15,MATCH(D164,'G-6 Hedgerow Data'!$B$3:$B$15,0)),"")</f>
        <v/>
      </c>
    </row>
    <row r="165" spans="2:33" ht="15" customHeight="1" x14ac:dyDescent="0.25">
      <c r="B165" s="128">
        <v>154</v>
      </c>
      <c r="C165" s="394"/>
      <c r="D165" s="275"/>
      <c r="E165" s="275"/>
      <c r="F165" s="171" t="str">
        <f>IF(D165="","",VLOOKUP(D165,'G-6 Hedgerow Data'!$B$2:$AG$15,2,FALSE))</f>
        <v/>
      </c>
      <c r="G165" s="176" t="str">
        <f>IF(D165="","",VLOOKUP(D165,'G-6 Hedgerow Data'!$B$2:$AG$15,3,FALSE))</f>
        <v/>
      </c>
      <c r="H165" s="189"/>
      <c r="I165" s="172" t="str">
        <f>IFERROR(IF(AND(F165="V.Low",OR(H165="Good",H165="Moderate")),"Error",VLOOKUP(H165,'G-1 All Habitats'!$Z$2:$AA$9,2,FALSE)),"")</f>
        <v/>
      </c>
      <c r="J165" s="186"/>
      <c r="K165" s="175" t="str">
        <f>IF(J165="","",IF(VLOOKUP(J165,'G-3 Multipliers'!$L$3:$N$6,2,FALSE)=0,"Spatial Data Missing",VLOOKUP(J165,'G-3 Multipliers'!$L$3:$N$6,2,FALSE)))</f>
        <v/>
      </c>
      <c r="L165" s="176" t="str">
        <f>IF(J165="","",IF(VLOOKUP(J165,'G-3 Multipliers'!$L$3:$N$6,3,FALSE)=0,"Spatial Data Missing",VLOOKUP(J165,'G-3 Multipliers'!$L$3:$N$6,3,FALSE)))</f>
        <v/>
      </c>
      <c r="M165" s="266"/>
      <c r="N165" s="172" t="str">
        <f>IF(M165="","",IF(VLOOKUP(M165,'G-3 Multipliers'!$S$3:$T$6,2,FALSE)=0,"Spatial Data Missing",VLOOKUP(M165,'G-3 Multipliers'!$S$3:$T$6,2,FALSE)))</f>
        <v/>
      </c>
      <c r="O165" s="171" t="str">
        <f>IF(OR(D165="",H165=""),"",(INDEX('G-6 Hedgerow Data'!$E$3:$I$15,MATCH(D165,'G-6 Hedgerow Data'!$B$3:$B$15,0),MATCH(H165,'G-6 Hedgerow Data'!$E$2:$I$2,0))))</f>
        <v/>
      </c>
      <c r="P165" s="261"/>
      <c r="Q165" s="261"/>
      <c r="R165" s="179" t="str">
        <f t="shared" si="13"/>
        <v/>
      </c>
      <c r="S165" s="262" t="str">
        <f t="shared" si="14"/>
        <v/>
      </c>
      <c r="T165" s="263" t="str">
        <f t="shared" si="12"/>
        <v/>
      </c>
      <c r="U165" s="239" t="str">
        <f>IF(D165="","",VLOOKUP(D165,'G-6 Hedgerow Data'!$B$3:$AG$15,31,FALSE))</f>
        <v/>
      </c>
      <c r="V165" s="175" t="str">
        <f t="shared" si="15"/>
        <v/>
      </c>
      <c r="W165" s="175" t="str">
        <f t="shared" si="16"/>
        <v/>
      </c>
      <c r="X165" s="176" t="str">
        <f>IF(F165="","",VLOOKUP(U165,'G-3 Multipliers'!$P$3:$Q$6,2,FALSE))</f>
        <v/>
      </c>
      <c r="Y165" s="274" t="str">
        <f t="shared" si="17"/>
        <v/>
      </c>
      <c r="Z165" s="180"/>
      <c r="AA165" s="181"/>
      <c r="AG165" s="35" t="str">
        <f>IFERROR(INDEX('G-6 Hedgerow Data'!$BJ$3:$BJ$15,MATCH(D165,'G-6 Hedgerow Data'!$B$3:$B$15,0)),"")</f>
        <v/>
      </c>
    </row>
    <row r="166" spans="2:33" ht="15" customHeight="1" x14ac:dyDescent="0.25">
      <c r="B166" s="128">
        <v>155</v>
      </c>
      <c r="C166" s="394"/>
      <c r="D166" s="275"/>
      <c r="E166" s="275"/>
      <c r="F166" s="171" t="str">
        <f>IF(D166="","",VLOOKUP(D166,'G-6 Hedgerow Data'!$B$2:$AG$15,2,FALSE))</f>
        <v/>
      </c>
      <c r="G166" s="176" t="str">
        <f>IF(D166="","",VLOOKUP(D166,'G-6 Hedgerow Data'!$B$2:$AG$15,3,FALSE))</f>
        <v/>
      </c>
      <c r="H166" s="189"/>
      <c r="I166" s="172" t="str">
        <f>IFERROR(IF(AND(F166="V.Low",OR(H166="Good",H166="Moderate")),"Error",VLOOKUP(H166,'G-1 All Habitats'!$Z$2:$AA$9,2,FALSE)),"")</f>
        <v/>
      </c>
      <c r="J166" s="186"/>
      <c r="K166" s="175" t="str">
        <f>IF(J166="","",IF(VLOOKUP(J166,'G-3 Multipliers'!$L$3:$N$6,2,FALSE)=0,"Spatial Data Missing",VLOOKUP(J166,'G-3 Multipliers'!$L$3:$N$6,2,FALSE)))</f>
        <v/>
      </c>
      <c r="L166" s="176" t="str">
        <f>IF(J166="","",IF(VLOOKUP(J166,'G-3 Multipliers'!$L$3:$N$6,3,FALSE)=0,"Spatial Data Missing",VLOOKUP(J166,'G-3 Multipliers'!$L$3:$N$6,3,FALSE)))</f>
        <v/>
      </c>
      <c r="M166" s="266"/>
      <c r="N166" s="172" t="str">
        <f>IF(M166="","",IF(VLOOKUP(M166,'G-3 Multipliers'!$S$3:$T$6,2,FALSE)=0,"Spatial Data Missing",VLOOKUP(M166,'G-3 Multipliers'!$S$3:$T$6,2,FALSE)))</f>
        <v/>
      </c>
      <c r="O166" s="171" t="str">
        <f>IF(OR(D166="",H166=""),"",(INDEX('G-6 Hedgerow Data'!$E$3:$I$15,MATCH(D166,'G-6 Hedgerow Data'!$B$3:$B$15,0),MATCH(H166,'G-6 Hedgerow Data'!$E$2:$I$2,0))))</f>
        <v/>
      </c>
      <c r="P166" s="261"/>
      <c r="Q166" s="261"/>
      <c r="R166" s="179" t="str">
        <f t="shared" si="13"/>
        <v/>
      </c>
      <c r="S166" s="262" t="str">
        <f t="shared" si="14"/>
        <v/>
      </c>
      <c r="T166" s="263" t="str">
        <f t="shared" si="12"/>
        <v/>
      </c>
      <c r="U166" s="239" t="str">
        <f>IF(D166="","",VLOOKUP(D166,'G-6 Hedgerow Data'!$B$3:$AG$15,31,FALSE))</f>
        <v/>
      </c>
      <c r="V166" s="175" t="str">
        <f t="shared" si="15"/>
        <v/>
      </c>
      <c r="W166" s="175" t="str">
        <f t="shared" si="16"/>
        <v/>
      </c>
      <c r="X166" s="176" t="str">
        <f>IF(F166="","",VLOOKUP(U166,'G-3 Multipliers'!$P$3:$Q$6,2,FALSE))</f>
        <v/>
      </c>
      <c r="Y166" s="274" t="str">
        <f t="shared" si="17"/>
        <v/>
      </c>
      <c r="Z166" s="180"/>
      <c r="AA166" s="181"/>
      <c r="AG166" s="35" t="str">
        <f>IFERROR(INDEX('G-6 Hedgerow Data'!$BJ$3:$BJ$15,MATCH(D166,'G-6 Hedgerow Data'!$B$3:$B$15,0)),"")</f>
        <v/>
      </c>
    </row>
    <row r="167" spans="2:33" ht="15" customHeight="1" x14ac:dyDescent="0.25">
      <c r="B167" s="128">
        <v>156</v>
      </c>
      <c r="C167" s="394"/>
      <c r="D167" s="275"/>
      <c r="E167" s="275"/>
      <c r="F167" s="171" t="str">
        <f>IF(D167="","",VLOOKUP(D167,'G-6 Hedgerow Data'!$B$2:$AG$15,2,FALSE))</f>
        <v/>
      </c>
      <c r="G167" s="176" t="str">
        <f>IF(D167="","",VLOOKUP(D167,'G-6 Hedgerow Data'!$B$2:$AG$15,3,FALSE))</f>
        <v/>
      </c>
      <c r="H167" s="189"/>
      <c r="I167" s="172" t="str">
        <f>IFERROR(IF(AND(F167="V.Low",OR(H167="Good",H167="Moderate")),"Error",VLOOKUP(H167,'G-1 All Habitats'!$Z$2:$AA$9,2,FALSE)),"")</f>
        <v/>
      </c>
      <c r="J167" s="186"/>
      <c r="K167" s="175" t="str">
        <f>IF(J167="","",IF(VLOOKUP(J167,'G-3 Multipliers'!$L$3:$N$6,2,FALSE)=0,"Spatial Data Missing",VLOOKUP(J167,'G-3 Multipliers'!$L$3:$N$6,2,FALSE)))</f>
        <v/>
      </c>
      <c r="L167" s="176" t="str">
        <f>IF(J167="","",IF(VLOOKUP(J167,'G-3 Multipliers'!$L$3:$N$6,3,FALSE)=0,"Spatial Data Missing",VLOOKUP(J167,'G-3 Multipliers'!$L$3:$N$6,3,FALSE)))</f>
        <v/>
      </c>
      <c r="M167" s="266"/>
      <c r="N167" s="172" t="str">
        <f>IF(M167="","",IF(VLOOKUP(M167,'G-3 Multipliers'!$S$3:$T$6,2,FALSE)=0,"Spatial Data Missing",VLOOKUP(M167,'G-3 Multipliers'!$S$3:$T$6,2,FALSE)))</f>
        <v/>
      </c>
      <c r="O167" s="171" t="str">
        <f>IF(OR(D167="",H167=""),"",(INDEX('G-6 Hedgerow Data'!$E$3:$I$15,MATCH(D167,'G-6 Hedgerow Data'!$B$3:$B$15,0),MATCH(H167,'G-6 Hedgerow Data'!$E$2:$I$2,0))))</f>
        <v/>
      </c>
      <c r="P167" s="261"/>
      <c r="Q167" s="261"/>
      <c r="R167" s="179" t="str">
        <f t="shared" si="13"/>
        <v/>
      </c>
      <c r="S167" s="262" t="str">
        <f t="shared" si="14"/>
        <v/>
      </c>
      <c r="T167" s="263" t="str">
        <f t="shared" si="12"/>
        <v/>
      </c>
      <c r="U167" s="239" t="str">
        <f>IF(D167="","",VLOOKUP(D167,'G-6 Hedgerow Data'!$B$3:$AG$15,31,FALSE))</f>
        <v/>
      </c>
      <c r="V167" s="175" t="str">
        <f t="shared" si="15"/>
        <v/>
      </c>
      <c r="W167" s="175" t="str">
        <f t="shared" si="16"/>
        <v/>
      </c>
      <c r="X167" s="176" t="str">
        <f>IF(F167="","",VLOOKUP(U167,'G-3 Multipliers'!$P$3:$Q$6,2,FALSE))</f>
        <v/>
      </c>
      <c r="Y167" s="274" t="str">
        <f t="shared" si="17"/>
        <v/>
      </c>
      <c r="Z167" s="180"/>
      <c r="AA167" s="181"/>
      <c r="AG167" s="35" t="str">
        <f>IFERROR(INDEX('G-6 Hedgerow Data'!$BJ$3:$BJ$15,MATCH(D167,'G-6 Hedgerow Data'!$B$3:$B$15,0)),"")</f>
        <v/>
      </c>
    </row>
    <row r="168" spans="2:33" ht="15" customHeight="1" x14ac:dyDescent="0.25">
      <c r="B168" s="128">
        <v>157</v>
      </c>
      <c r="C168" s="394"/>
      <c r="D168" s="275"/>
      <c r="E168" s="275"/>
      <c r="F168" s="171" t="str">
        <f>IF(D168="","",VLOOKUP(D168,'G-6 Hedgerow Data'!$B$2:$AG$15,2,FALSE))</f>
        <v/>
      </c>
      <c r="G168" s="176" t="str">
        <f>IF(D168="","",VLOOKUP(D168,'G-6 Hedgerow Data'!$B$2:$AG$15,3,FALSE))</f>
        <v/>
      </c>
      <c r="H168" s="189"/>
      <c r="I168" s="172" t="str">
        <f>IFERROR(IF(AND(F168="V.Low",OR(H168="Good",H168="Moderate")),"Error",VLOOKUP(H168,'G-1 All Habitats'!$Z$2:$AA$9,2,FALSE)),"")</f>
        <v/>
      </c>
      <c r="J168" s="186"/>
      <c r="K168" s="175" t="str">
        <f>IF(J168="","",IF(VLOOKUP(J168,'G-3 Multipliers'!$L$3:$N$6,2,FALSE)=0,"Spatial Data Missing",VLOOKUP(J168,'G-3 Multipliers'!$L$3:$N$6,2,FALSE)))</f>
        <v/>
      </c>
      <c r="L168" s="176" t="str">
        <f>IF(J168="","",IF(VLOOKUP(J168,'G-3 Multipliers'!$L$3:$N$6,3,FALSE)=0,"Spatial Data Missing",VLOOKUP(J168,'G-3 Multipliers'!$L$3:$N$6,3,FALSE)))</f>
        <v/>
      </c>
      <c r="M168" s="266"/>
      <c r="N168" s="172" t="str">
        <f>IF(M168="","",IF(VLOOKUP(M168,'G-3 Multipliers'!$S$3:$T$6,2,FALSE)=0,"Spatial Data Missing",VLOOKUP(M168,'G-3 Multipliers'!$S$3:$T$6,2,FALSE)))</f>
        <v/>
      </c>
      <c r="O168" s="171" t="str">
        <f>IF(OR(D168="",H168=""),"",(INDEX('G-6 Hedgerow Data'!$E$3:$I$15,MATCH(D168,'G-6 Hedgerow Data'!$B$3:$B$15,0),MATCH(H168,'G-6 Hedgerow Data'!$E$2:$I$2,0))))</f>
        <v/>
      </c>
      <c r="P168" s="261"/>
      <c r="Q168" s="261"/>
      <c r="R168" s="179" t="str">
        <f t="shared" si="13"/>
        <v/>
      </c>
      <c r="S168" s="262" t="str">
        <f t="shared" si="14"/>
        <v/>
      </c>
      <c r="T168" s="263" t="str">
        <f t="shared" si="12"/>
        <v/>
      </c>
      <c r="U168" s="239" t="str">
        <f>IF(D168="","",VLOOKUP(D168,'G-6 Hedgerow Data'!$B$3:$AG$15,31,FALSE))</f>
        <v/>
      </c>
      <c r="V168" s="175" t="str">
        <f t="shared" si="15"/>
        <v/>
      </c>
      <c r="W168" s="175" t="str">
        <f t="shared" si="16"/>
        <v/>
      </c>
      <c r="X168" s="176" t="str">
        <f>IF(F168="","",VLOOKUP(U168,'G-3 Multipliers'!$P$3:$Q$6,2,FALSE))</f>
        <v/>
      </c>
      <c r="Y168" s="274" t="str">
        <f t="shared" si="17"/>
        <v/>
      </c>
      <c r="Z168" s="180"/>
      <c r="AA168" s="181"/>
      <c r="AG168" s="35" t="str">
        <f>IFERROR(INDEX('G-6 Hedgerow Data'!$BJ$3:$BJ$15,MATCH(D168,'G-6 Hedgerow Data'!$B$3:$B$15,0)),"")</f>
        <v/>
      </c>
    </row>
    <row r="169" spans="2:33" ht="15" customHeight="1" x14ac:dyDescent="0.25">
      <c r="B169" s="128">
        <v>158</v>
      </c>
      <c r="C169" s="394"/>
      <c r="D169" s="275"/>
      <c r="E169" s="275"/>
      <c r="F169" s="171" t="str">
        <f>IF(D169="","",VLOOKUP(D169,'G-6 Hedgerow Data'!$B$2:$AG$15,2,FALSE))</f>
        <v/>
      </c>
      <c r="G169" s="176" t="str">
        <f>IF(D169="","",VLOOKUP(D169,'G-6 Hedgerow Data'!$B$2:$AG$15,3,FALSE))</f>
        <v/>
      </c>
      <c r="H169" s="189"/>
      <c r="I169" s="172" t="str">
        <f>IFERROR(IF(AND(F169="V.Low",OR(H169="Good",H169="Moderate")),"Error",VLOOKUP(H169,'G-1 All Habitats'!$Z$2:$AA$9,2,FALSE)),"")</f>
        <v/>
      </c>
      <c r="J169" s="186"/>
      <c r="K169" s="175" t="str">
        <f>IF(J169="","",IF(VLOOKUP(J169,'G-3 Multipliers'!$L$3:$N$6,2,FALSE)=0,"Spatial Data Missing",VLOOKUP(J169,'G-3 Multipliers'!$L$3:$N$6,2,FALSE)))</f>
        <v/>
      </c>
      <c r="L169" s="176" t="str">
        <f>IF(J169="","",IF(VLOOKUP(J169,'G-3 Multipliers'!$L$3:$N$6,3,FALSE)=0,"Spatial Data Missing",VLOOKUP(J169,'G-3 Multipliers'!$L$3:$N$6,3,FALSE)))</f>
        <v/>
      </c>
      <c r="M169" s="266"/>
      <c r="N169" s="172" t="str">
        <f>IF(M169="","",IF(VLOOKUP(M169,'G-3 Multipliers'!$S$3:$T$6,2,FALSE)=0,"Spatial Data Missing",VLOOKUP(M169,'G-3 Multipliers'!$S$3:$T$6,2,FALSE)))</f>
        <v/>
      </c>
      <c r="O169" s="171" t="str">
        <f>IF(OR(D169="",H169=""),"",(INDEX('G-6 Hedgerow Data'!$E$3:$I$15,MATCH(D169,'G-6 Hedgerow Data'!$B$3:$B$15,0),MATCH(H169,'G-6 Hedgerow Data'!$E$2:$I$2,0))))</f>
        <v/>
      </c>
      <c r="P169" s="261"/>
      <c r="Q169" s="261"/>
      <c r="R169" s="179" t="str">
        <f t="shared" si="13"/>
        <v/>
      </c>
      <c r="S169" s="262" t="str">
        <f t="shared" si="14"/>
        <v/>
      </c>
      <c r="T169" s="263" t="str">
        <f t="shared" si="12"/>
        <v/>
      </c>
      <c r="U169" s="239" t="str">
        <f>IF(D169="","",VLOOKUP(D169,'G-6 Hedgerow Data'!$B$3:$AG$15,31,FALSE))</f>
        <v/>
      </c>
      <c r="V169" s="175" t="str">
        <f t="shared" si="15"/>
        <v/>
      </c>
      <c r="W169" s="175" t="str">
        <f t="shared" si="16"/>
        <v/>
      </c>
      <c r="X169" s="176" t="str">
        <f>IF(F169="","",VLOOKUP(U169,'G-3 Multipliers'!$P$3:$Q$6,2,FALSE))</f>
        <v/>
      </c>
      <c r="Y169" s="274" t="str">
        <f t="shared" si="17"/>
        <v/>
      </c>
      <c r="Z169" s="180"/>
      <c r="AA169" s="181"/>
      <c r="AG169" s="35" t="str">
        <f>IFERROR(INDEX('G-6 Hedgerow Data'!$BJ$3:$BJ$15,MATCH(D169,'G-6 Hedgerow Data'!$B$3:$B$15,0)),"")</f>
        <v/>
      </c>
    </row>
    <row r="170" spans="2:33" ht="15" customHeight="1" x14ac:dyDescent="0.25">
      <c r="B170" s="128">
        <v>159</v>
      </c>
      <c r="C170" s="394"/>
      <c r="D170" s="275"/>
      <c r="E170" s="275"/>
      <c r="F170" s="171" t="str">
        <f>IF(D170="","",VLOOKUP(D170,'G-6 Hedgerow Data'!$B$2:$AG$15,2,FALSE))</f>
        <v/>
      </c>
      <c r="G170" s="176" t="str">
        <f>IF(D170="","",VLOOKUP(D170,'G-6 Hedgerow Data'!$B$2:$AG$15,3,FALSE))</f>
        <v/>
      </c>
      <c r="H170" s="189"/>
      <c r="I170" s="172" t="str">
        <f>IFERROR(IF(AND(F170="V.Low",OR(H170="Good",H170="Moderate")),"Error",VLOOKUP(H170,'G-1 All Habitats'!$Z$2:$AA$9,2,FALSE)),"")</f>
        <v/>
      </c>
      <c r="J170" s="186"/>
      <c r="K170" s="175" t="str">
        <f>IF(J170="","",IF(VLOOKUP(J170,'G-3 Multipliers'!$L$3:$N$6,2,FALSE)=0,"Spatial Data Missing",VLOOKUP(J170,'G-3 Multipliers'!$L$3:$N$6,2,FALSE)))</f>
        <v/>
      </c>
      <c r="L170" s="176" t="str">
        <f>IF(J170="","",IF(VLOOKUP(J170,'G-3 Multipliers'!$L$3:$N$6,3,FALSE)=0,"Spatial Data Missing",VLOOKUP(J170,'G-3 Multipliers'!$L$3:$N$6,3,FALSE)))</f>
        <v/>
      </c>
      <c r="M170" s="266"/>
      <c r="N170" s="172" t="str">
        <f>IF(M170="","",IF(VLOOKUP(M170,'G-3 Multipliers'!$S$3:$T$6,2,FALSE)=0,"Spatial Data Missing",VLOOKUP(M170,'G-3 Multipliers'!$S$3:$T$6,2,FALSE)))</f>
        <v/>
      </c>
      <c r="O170" s="171" t="str">
        <f>IF(OR(D170="",H170=""),"",(INDEX('G-6 Hedgerow Data'!$E$3:$I$15,MATCH(D170,'G-6 Hedgerow Data'!$B$3:$B$15,0),MATCH(H170,'G-6 Hedgerow Data'!$E$2:$I$2,0))))</f>
        <v/>
      </c>
      <c r="P170" s="261"/>
      <c r="Q170" s="261"/>
      <c r="R170" s="179" t="str">
        <f t="shared" si="13"/>
        <v/>
      </c>
      <c r="S170" s="262" t="str">
        <f t="shared" si="14"/>
        <v/>
      </c>
      <c r="T170" s="263" t="str">
        <f t="shared" si="12"/>
        <v/>
      </c>
      <c r="U170" s="239" t="str">
        <f>IF(D170="","",VLOOKUP(D170,'G-6 Hedgerow Data'!$B$3:$AG$15,31,FALSE))</f>
        <v/>
      </c>
      <c r="V170" s="175" t="str">
        <f t="shared" si="15"/>
        <v/>
      </c>
      <c r="W170" s="175" t="str">
        <f t="shared" si="16"/>
        <v/>
      </c>
      <c r="X170" s="176" t="str">
        <f>IF(F170="","",VLOOKUP(U170,'G-3 Multipliers'!$P$3:$Q$6,2,FALSE))</f>
        <v/>
      </c>
      <c r="Y170" s="274" t="str">
        <f t="shared" si="17"/>
        <v/>
      </c>
      <c r="Z170" s="180"/>
      <c r="AA170" s="181"/>
      <c r="AG170" s="35" t="str">
        <f>IFERROR(INDEX('G-6 Hedgerow Data'!$BJ$3:$BJ$15,MATCH(D170,'G-6 Hedgerow Data'!$B$3:$B$15,0)),"")</f>
        <v/>
      </c>
    </row>
    <row r="171" spans="2:33" ht="15" customHeight="1" x14ac:dyDescent="0.25">
      <c r="B171" s="128">
        <v>160</v>
      </c>
      <c r="C171" s="394"/>
      <c r="D171" s="275"/>
      <c r="E171" s="275"/>
      <c r="F171" s="171" t="str">
        <f>IF(D171="","",VLOOKUP(D171,'G-6 Hedgerow Data'!$B$2:$AG$15,2,FALSE))</f>
        <v/>
      </c>
      <c r="G171" s="176" t="str">
        <f>IF(D171="","",VLOOKUP(D171,'G-6 Hedgerow Data'!$B$2:$AG$15,3,FALSE))</f>
        <v/>
      </c>
      <c r="H171" s="189"/>
      <c r="I171" s="172" t="str">
        <f>IFERROR(IF(AND(F171="V.Low",OR(H171="Good",H171="Moderate")),"Error",VLOOKUP(H171,'G-1 All Habitats'!$Z$2:$AA$9,2,FALSE)),"")</f>
        <v/>
      </c>
      <c r="J171" s="186"/>
      <c r="K171" s="175" t="str">
        <f>IF(J171="","",IF(VLOOKUP(J171,'G-3 Multipliers'!$L$3:$N$6,2,FALSE)=0,"Spatial Data Missing",VLOOKUP(J171,'G-3 Multipliers'!$L$3:$N$6,2,FALSE)))</f>
        <v/>
      </c>
      <c r="L171" s="176" t="str">
        <f>IF(J171="","",IF(VLOOKUP(J171,'G-3 Multipliers'!$L$3:$N$6,3,FALSE)=0,"Spatial Data Missing",VLOOKUP(J171,'G-3 Multipliers'!$L$3:$N$6,3,FALSE)))</f>
        <v/>
      </c>
      <c r="M171" s="266"/>
      <c r="N171" s="172" t="str">
        <f>IF(M171="","",IF(VLOOKUP(M171,'G-3 Multipliers'!$S$3:$T$6,2,FALSE)=0,"Spatial Data Missing",VLOOKUP(M171,'G-3 Multipliers'!$S$3:$T$6,2,FALSE)))</f>
        <v/>
      </c>
      <c r="O171" s="171" t="str">
        <f>IF(OR(D171="",H171=""),"",(INDEX('G-6 Hedgerow Data'!$E$3:$I$15,MATCH(D171,'G-6 Hedgerow Data'!$B$3:$B$15,0),MATCH(H171,'G-6 Hedgerow Data'!$E$2:$I$2,0))))</f>
        <v/>
      </c>
      <c r="P171" s="261"/>
      <c r="Q171" s="261"/>
      <c r="R171" s="179" t="str">
        <f t="shared" si="13"/>
        <v/>
      </c>
      <c r="S171" s="262" t="str">
        <f t="shared" si="14"/>
        <v/>
      </c>
      <c r="T171" s="263" t="str">
        <f t="shared" si="12"/>
        <v/>
      </c>
      <c r="U171" s="239" t="str">
        <f>IF(D171="","",VLOOKUP(D171,'G-6 Hedgerow Data'!$B$3:$AG$15,31,FALSE))</f>
        <v/>
      </c>
      <c r="V171" s="175" t="str">
        <f t="shared" si="15"/>
        <v/>
      </c>
      <c r="W171" s="175" t="str">
        <f t="shared" si="16"/>
        <v/>
      </c>
      <c r="X171" s="176" t="str">
        <f>IF(F171="","",VLOOKUP(U171,'G-3 Multipliers'!$P$3:$Q$6,2,FALSE))</f>
        <v/>
      </c>
      <c r="Y171" s="274" t="str">
        <f t="shared" si="17"/>
        <v/>
      </c>
      <c r="Z171" s="180"/>
      <c r="AA171" s="181"/>
      <c r="AG171" s="35" t="str">
        <f>IFERROR(INDEX('G-6 Hedgerow Data'!$BJ$3:$BJ$15,MATCH(D171,'G-6 Hedgerow Data'!$B$3:$B$15,0)),"")</f>
        <v/>
      </c>
    </row>
    <row r="172" spans="2:33" ht="15" customHeight="1" x14ac:dyDescent="0.25">
      <c r="B172" s="128">
        <v>161</v>
      </c>
      <c r="C172" s="394"/>
      <c r="D172" s="275"/>
      <c r="E172" s="275"/>
      <c r="F172" s="171" t="str">
        <f>IF(D172="","",VLOOKUP(D172,'G-6 Hedgerow Data'!$B$2:$AG$15,2,FALSE))</f>
        <v/>
      </c>
      <c r="G172" s="176" t="str">
        <f>IF(D172="","",VLOOKUP(D172,'G-6 Hedgerow Data'!$B$2:$AG$15,3,FALSE))</f>
        <v/>
      </c>
      <c r="H172" s="189"/>
      <c r="I172" s="172" t="str">
        <f>IFERROR(IF(AND(F172="V.Low",OR(H172="Good",H172="Moderate")),"Error",VLOOKUP(H172,'G-1 All Habitats'!$Z$2:$AA$9,2,FALSE)),"")</f>
        <v/>
      </c>
      <c r="J172" s="186"/>
      <c r="K172" s="175" t="str">
        <f>IF(J172="","",IF(VLOOKUP(J172,'G-3 Multipliers'!$L$3:$N$6,2,FALSE)=0,"Spatial Data Missing",VLOOKUP(J172,'G-3 Multipliers'!$L$3:$N$6,2,FALSE)))</f>
        <v/>
      </c>
      <c r="L172" s="176" t="str">
        <f>IF(J172="","",IF(VLOOKUP(J172,'G-3 Multipliers'!$L$3:$N$6,3,FALSE)=0,"Spatial Data Missing",VLOOKUP(J172,'G-3 Multipliers'!$L$3:$N$6,3,FALSE)))</f>
        <v/>
      </c>
      <c r="M172" s="266"/>
      <c r="N172" s="172" t="str">
        <f>IF(M172="","",IF(VLOOKUP(M172,'G-3 Multipliers'!$S$3:$T$6,2,FALSE)=0,"Spatial Data Missing",VLOOKUP(M172,'G-3 Multipliers'!$S$3:$T$6,2,FALSE)))</f>
        <v/>
      </c>
      <c r="O172" s="171" t="str">
        <f>IF(OR(D172="",H172=""),"",(INDEX('G-6 Hedgerow Data'!$E$3:$I$15,MATCH(D172,'G-6 Hedgerow Data'!$B$3:$B$15,0),MATCH(H172,'G-6 Hedgerow Data'!$E$2:$I$2,0))))</f>
        <v/>
      </c>
      <c r="P172" s="261"/>
      <c r="Q172" s="261"/>
      <c r="R172" s="179" t="str">
        <f t="shared" si="13"/>
        <v/>
      </c>
      <c r="S172" s="262" t="str">
        <f t="shared" si="14"/>
        <v/>
      </c>
      <c r="T172" s="263" t="str">
        <f t="shared" si="12"/>
        <v/>
      </c>
      <c r="U172" s="239" t="str">
        <f>IF(D172="","",VLOOKUP(D172,'G-6 Hedgerow Data'!$B$3:$AG$15,31,FALSE))</f>
        <v/>
      </c>
      <c r="V172" s="175" t="str">
        <f t="shared" si="15"/>
        <v/>
      </c>
      <c r="W172" s="175" t="str">
        <f t="shared" si="16"/>
        <v/>
      </c>
      <c r="X172" s="176" t="str">
        <f>IF(F172="","",VLOOKUP(U172,'G-3 Multipliers'!$P$3:$Q$6,2,FALSE))</f>
        <v/>
      </c>
      <c r="Y172" s="274" t="str">
        <f t="shared" si="17"/>
        <v/>
      </c>
      <c r="Z172" s="180"/>
      <c r="AA172" s="181"/>
      <c r="AG172" s="35" t="str">
        <f>IFERROR(INDEX('G-6 Hedgerow Data'!$BJ$3:$BJ$15,MATCH(D172,'G-6 Hedgerow Data'!$B$3:$B$15,0)),"")</f>
        <v/>
      </c>
    </row>
    <row r="173" spans="2:33" ht="15" customHeight="1" x14ac:dyDescent="0.25">
      <c r="B173" s="128">
        <v>162</v>
      </c>
      <c r="C173" s="394"/>
      <c r="D173" s="275"/>
      <c r="E173" s="275"/>
      <c r="F173" s="171" t="str">
        <f>IF(D173="","",VLOOKUP(D173,'G-6 Hedgerow Data'!$B$2:$AG$15,2,FALSE))</f>
        <v/>
      </c>
      <c r="G173" s="176" t="str">
        <f>IF(D173="","",VLOOKUP(D173,'G-6 Hedgerow Data'!$B$2:$AG$15,3,FALSE))</f>
        <v/>
      </c>
      <c r="H173" s="189"/>
      <c r="I173" s="172" t="str">
        <f>IFERROR(IF(AND(F173="V.Low",OR(H173="Good",H173="Moderate")),"Error",VLOOKUP(H173,'G-1 All Habitats'!$Z$2:$AA$9,2,FALSE)),"")</f>
        <v/>
      </c>
      <c r="J173" s="186"/>
      <c r="K173" s="175" t="str">
        <f>IF(J173="","",IF(VLOOKUP(J173,'G-3 Multipliers'!$L$3:$N$6,2,FALSE)=0,"Spatial Data Missing",VLOOKUP(J173,'G-3 Multipliers'!$L$3:$N$6,2,FALSE)))</f>
        <v/>
      </c>
      <c r="L173" s="176" t="str">
        <f>IF(J173="","",IF(VLOOKUP(J173,'G-3 Multipliers'!$L$3:$N$6,3,FALSE)=0,"Spatial Data Missing",VLOOKUP(J173,'G-3 Multipliers'!$L$3:$N$6,3,FALSE)))</f>
        <v/>
      </c>
      <c r="M173" s="266"/>
      <c r="N173" s="172" t="str">
        <f>IF(M173="","",IF(VLOOKUP(M173,'G-3 Multipliers'!$S$3:$T$6,2,FALSE)=0,"Spatial Data Missing",VLOOKUP(M173,'G-3 Multipliers'!$S$3:$T$6,2,FALSE)))</f>
        <v/>
      </c>
      <c r="O173" s="171" t="str">
        <f>IF(OR(D173="",H173=""),"",(INDEX('G-6 Hedgerow Data'!$E$3:$I$15,MATCH(D173,'G-6 Hedgerow Data'!$B$3:$B$15,0),MATCH(H173,'G-6 Hedgerow Data'!$E$2:$I$2,0))))</f>
        <v/>
      </c>
      <c r="P173" s="261"/>
      <c r="Q173" s="261"/>
      <c r="R173" s="179" t="str">
        <f t="shared" si="13"/>
        <v/>
      </c>
      <c r="S173" s="262" t="str">
        <f t="shared" si="14"/>
        <v/>
      </c>
      <c r="T173" s="263" t="str">
        <f t="shared" si="12"/>
        <v/>
      </c>
      <c r="U173" s="239" t="str">
        <f>IF(D173="","",VLOOKUP(D173,'G-6 Hedgerow Data'!$B$3:$AG$15,31,FALSE))</f>
        <v/>
      </c>
      <c r="V173" s="175" t="str">
        <f t="shared" si="15"/>
        <v/>
      </c>
      <c r="W173" s="175" t="str">
        <f t="shared" si="16"/>
        <v/>
      </c>
      <c r="X173" s="176" t="str">
        <f>IF(F173="","",VLOOKUP(U173,'G-3 Multipliers'!$P$3:$Q$6,2,FALSE))</f>
        <v/>
      </c>
      <c r="Y173" s="274" t="str">
        <f t="shared" si="17"/>
        <v/>
      </c>
      <c r="Z173" s="180"/>
      <c r="AA173" s="181"/>
      <c r="AG173" s="35" t="str">
        <f>IFERROR(INDEX('G-6 Hedgerow Data'!$BJ$3:$BJ$15,MATCH(D173,'G-6 Hedgerow Data'!$B$3:$B$15,0)),"")</f>
        <v/>
      </c>
    </row>
    <row r="174" spans="2:33" ht="15" customHeight="1" x14ac:dyDescent="0.25">
      <c r="B174" s="128">
        <v>163</v>
      </c>
      <c r="C174" s="394"/>
      <c r="D174" s="275"/>
      <c r="E174" s="275"/>
      <c r="F174" s="171" t="str">
        <f>IF(D174="","",VLOOKUP(D174,'G-6 Hedgerow Data'!$B$2:$AG$15,2,FALSE))</f>
        <v/>
      </c>
      <c r="G174" s="176" t="str">
        <f>IF(D174="","",VLOOKUP(D174,'G-6 Hedgerow Data'!$B$2:$AG$15,3,FALSE))</f>
        <v/>
      </c>
      <c r="H174" s="189"/>
      <c r="I174" s="172" t="str">
        <f>IFERROR(IF(AND(F174="V.Low",OR(H174="Good",H174="Moderate")),"Error",VLOOKUP(H174,'G-1 All Habitats'!$Z$2:$AA$9,2,FALSE)),"")</f>
        <v/>
      </c>
      <c r="J174" s="186"/>
      <c r="K174" s="175" t="str">
        <f>IF(J174="","",IF(VLOOKUP(J174,'G-3 Multipliers'!$L$3:$N$6,2,FALSE)=0,"Spatial Data Missing",VLOOKUP(J174,'G-3 Multipliers'!$L$3:$N$6,2,FALSE)))</f>
        <v/>
      </c>
      <c r="L174" s="176" t="str">
        <f>IF(J174="","",IF(VLOOKUP(J174,'G-3 Multipliers'!$L$3:$N$6,3,FALSE)=0,"Spatial Data Missing",VLOOKUP(J174,'G-3 Multipliers'!$L$3:$N$6,3,FALSE)))</f>
        <v/>
      </c>
      <c r="M174" s="266"/>
      <c r="N174" s="172" t="str">
        <f>IF(M174="","",IF(VLOOKUP(M174,'G-3 Multipliers'!$S$3:$T$6,2,FALSE)=0,"Spatial Data Missing",VLOOKUP(M174,'G-3 Multipliers'!$S$3:$T$6,2,FALSE)))</f>
        <v/>
      </c>
      <c r="O174" s="171" t="str">
        <f>IF(OR(D174="",H174=""),"",(INDEX('G-6 Hedgerow Data'!$E$3:$I$15,MATCH(D174,'G-6 Hedgerow Data'!$B$3:$B$15,0),MATCH(H174,'G-6 Hedgerow Data'!$E$2:$I$2,0))))</f>
        <v/>
      </c>
      <c r="P174" s="261"/>
      <c r="Q174" s="261"/>
      <c r="R174" s="179" t="str">
        <f t="shared" si="13"/>
        <v/>
      </c>
      <c r="S174" s="262" t="str">
        <f t="shared" si="14"/>
        <v/>
      </c>
      <c r="T174" s="263" t="str">
        <f t="shared" si="12"/>
        <v/>
      </c>
      <c r="U174" s="239" t="str">
        <f>IF(D174="","",VLOOKUP(D174,'G-6 Hedgerow Data'!$B$3:$AG$15,31,FALSE))</f>
        <v/>
      </c>
      <c r="V174" s="175" t="str">
        <f t="shared" si="15"/>
        <v/>
      </c>
      <c r="W174" s="175" t="str">
        <f t="shared" si="16"/>
        <v/>
      </c>
      <c r="X174" s="176" t="str">
        <f>IF(F174="","",VLOOKUP(U174,'G-3 Multipliers'!$P$3:$Q$6,2,FALSE))</f>
        <v/>
      </c>
      <c r="Y174" s="274" t="str">
        <f t="shared" si="17"/>
        <v/>
      </c>
      <c r="Z174" s="180"/>
      <c r="AA174" s="181"/>
      <c r="AG174" s="35" t="str">
        <f>IFERROR(INDEX('G-6 Hedgerow Data'!$BJ$3:$BJ$15,MATCH(D174,'G-6 Hedgerow Data'!$B$3:$B$15,0)),"")</f>
        <v/>
      </c>
    </row>
    <row r="175" spans="2:33" ht="15" customHeight="1" x14ac:dyDescent="0.25">
      <c r="B175" s="128">
        <v>164</v>
      </c>
      <c r="C175" s="394"/>
      <c r="D175" s="275"/>
      <c r="E175" s="275"/>
      <c r="F175" s="171" t="str">
        <f>IF(D175="","",VLOOKUP(D175,'G-6 Hedgerow Data'!$B$2:$AG$15,2,FALSE))</f>
        <v/>
      </c>
      <c r="G175" s="176" t="str">
        <f>IF(D175="","",VLOOKUP(D175,'G-6 Hedgerow Data'!$B$2:$AG$15,3,FALSE))</f>
        <v/>
      </c>
      <c r="H175" s="189"/>
      <c r="I175" s="172" t="str">
        <f>IFERROR(IF(AND(F175="V.Low",OR(H175="Good",H175="Moderate")),"Error",VLOOKUP(H175,'G-1 All Habitats'!$Z$2:$AA$9,2,FALSE)),"")</f>
        <v/>
      </c>
      <c r="J175" s="186"/>
      <c r="K175" s="175" t="str">
        <f>IF(J175="","",IF(VLOOKUP(J175,'G-3 Multipliers'!$L$3:$N$6,2,FALSE)=0,"Spatial Data Missing",VLOOKUP(J175,'G-3 Multipliers'!$L$3:$N$6,2,FALSE)))</f>
        <v/>
      </c>
      <c r="L175" s="176" t="str">
        <f>IF(J175="","",IF(VLOOKUP(J175,'G-3 Multipliers'!$L$3:$N$6,3,FALSE)=0,"Spatial Data Missing",VLOOKUP(J175,'G-3 Multipliers'!$L$3:$N$6,3,FALSE)))</f>
        <v/>
      </c>
      <c r="M175" s="266"/>
      <c r="N175" s="172" t="str">
        <f>IF(M175="","",IF(VLOOKUP(M175,'G-3 Multipliers'!$S$3:$T$6,2,FALSE)=0,"Spatial Data Missing",VLOOKUP(M175,'G-3 Multipliers'!$S$3:$T$6,2,FALSE)))</f>
        <v/>
      </c>
      <c r="O175" s="171" t="str">
        <f>IF(OR(D175="",H175=""),"",(INDEX('G-6 Hedgerow Data'!$E$3:$I$15,MATCH(D175,'G-6 Hedgerow Data'!$B$3:$B$15,0),MATCH(H175,'G-6 Hedgerow Data'!$E$2:$I$2,0))))</f>
        <v/>
      </c>
      <c r="P175" s="261"/>
      <c r="Q175" s="261"/>
      <c r="R175" s="179" t="str">
        <f t="shared" si="13"/>
        <v/>
      </c>
      <c r="S175" s="262" t="str">
        <f t="shared" si="14"/>
        <v/>
      </c>
      <c r="T175" s="263" t="str">
        <f t="shared" si="12"/>
        <v/>
      </c>
      <c r="U175" s="239" t="str">
        <f>IF(D175="","",VLOOKUP(D175,'G-6 Hedgerow Data'!$B$3:$AG$15,31,FALSE))</f>
        <v/>
      </c>
      <c r="V175" s="175" t="str">
        <f t="shared" si="15"/>
        <v/>
      </c>
      <c r="W175" s="175" t="str">
        <f t="shared" si="16"/>
        <v/>
      </c>
      <c r="X175" s="176" t="str">
        <f>IF(F175="","",VLOOKUP(U175,'G-3 Multipliers'!$P$3:$Q$6,2,FALSE))</f>
        <v/>
      </c>
      <c r="Y175" s="274" t="str">
        <f t="shared" si="17"/>
        <v/>
      </c>
      <c r="Z175" s="180"/>
      <c r="AA175" s="181"/>
      <c r="AG175" s="35" t="str">
        <f>IFERROR(INDEX('G-6 Hedgerow Data'!$BJ$3:$BJ$15,MATCH(D175,'G-6 Hedgerow Data'!$B$3:$B$15,0)),"")</f>
        <v/>
      </c>
    </row>
    <row r="176" spans="2:33" ht="15" customHeight="1" x14ac:dyDescent="0.25">
      <c r="B176" s="128">
        <v>165</v>
      </c>
      <c r="C176" s="394"/>
      <c r="D176" s="275"/>
      <c r="E176" s="275"/>
      <c r="F176" s="171" t="str">
        <f>IF(D176="","",VLOOKUP(D176,'G-6 Hedgerow Data'!$B$2:$AG$15,2,FALSE))</f>
        <v/>
      </c>
      <c r="G176" s="176" t="str">
        <f>IF(D176="","",VLOOKUP(D176,'G-6 Hedgerow Data'!$B$2:$AG$15,3,FALSE))</f>
        <v/>
      </c>
      <c r="H176" s="189"/>
      <c r="I176" s="172" t="str">
        <f>IFERROR(IF(AND(F176="V.Low",OR(H176="Good",H176="Moderate")),"Error",VLOOKUP(H176,'G-1 All Habitats'!$Z$2:$AA$9,2,FALSE)),"")</f>
        <v/>
      </c>
      <c r="J176" s="186"/>
      <c r="K176" s="175" t="str">
        <f>IF(J176="","",IF(VLOOKUP(J176,'G-3 Multipliers'!$L$3:$N$6,2,FALSE)=0,"Spatial Data Missing",VLOOKUP(J176,'G-3 Multipliers'!$L$3:$N$6,2,FALSE)))</f>
        <v/>
      </c>
      <c r="L176" s="176" t="str">
        <f>IF(J176="","",IF(VLOOKUP(J176,'G-3 Multipliers'!$L$3:$N$6,3,FALSE)=0,"Spatial Data Missing",VLOOKUP(J176,'G-3 Multipliers'!$L$3:$N$6,3,FALSE)))</f>
        <v/>
      </c>
      <c r="M176" s="266"/>
      <c r="N176" s="172" t="str">
        <f>IF(M176="","",IF(VLOOKUP(M176,'G-3 Multipliers'!$S$3:$T$6,2,FALSE)=0,"Spatial Data Missing",VLOOKUP(M176,'G-3 Multipliers'!$S$3:$T$6,2,FALSE)))</f>
        <v/>
      </c>
      <c r="O176" s="171" t="str">
        <f>IF(OR(D176="",H176=""),"",(INDEX('G-6 Hedgerow Data'!$E$3:$I$15,MATCH(D176,'G-6 Hedgerow Data'!$B$3:$B$15,0),MATCH(H176,'G-6 Hedgerow Data'!$E$2:$I$2,0))))</f>
        <v/>
      </c>
      <c r="P176" s="261"/>
      <c r="Q176" s="261"/>
      <c r="R176" s="179" t="str">
        <f t="shared" si="13"/>
        <v/>
      </c>
      <c r="S176" s="262" t="str">
        <f t="shared" si="14"/>
        <v/>
      </c>
      <c r="T176" s="263" t="str">
        <f t="shared" si="12"/>
        <v/>
      </c>
      <c r="U176" s="239" t="str">
        <f>IF(D176="","",VLOOKUP(D176,'G-6 Hedgerow Data'!$B$3:$AG$15,31,FALSE))</f>
        <v/>
      </c>
      <c r="V176" s="175" t="str">
        <f t="shared" si="15"/>
        <v/>
      </c>
      <c r="W176" s="175" t="str">
        <f t="shared" si="16"/>
        <v/>
      </c>
      <c r="X176" s="176" t="str">
        <f>IF(F176="","",VLOOKUP(U176,'G-3 Multipliers'!$P$3:$Q$6,2,FALSE))</f>
        <v/>
      </c>
      <c r="Y176" s="274" t="str">
        <f t="shared" si="17"/>
        <v/>
      </c>
      <c r="Z176" s="180"/>
      <c r="AA176" s="181"/>
      <c r="AG176" s="35" t="str">
        <f>IFERROR(INDEX('G-6 Hedgerow Data'!$BJ$3:$BJ$15,MATCH(D176,'G-6 Hedgerow Data'!$B$3:$B$15,0)),"")</f>
        <v/>
      </c>
    </row>
    <row r="177" spans="2:33" ht="15" customHeight="1" x14ac:dyDescent="0.25">
      <c r="B177" s="128">
        <v>166</v>
      </c>
      <c r="C177" s="394"/>
      <c r="D177" s="275"/>
      <c r="E177" s="275"/>
      <c r="F177" s="171" t="str">
        <f>IF(D177="","",VLOOKUP(D177,'G-6 Hedgerow Data'!$B$2:$AG$15,2,FALSE))</f>
        <v/>
      </c>
      <c r="G177" s="176" t="str">
        <f>IF(D177="","",VLOOKUP(D177,'G-6 Hedgerow Data'!$B$2:$AG$15,3,FALSE))</f>
        <v/>
      </c>
      <c r="H177" s="189"/>
      <c r="I177" s="172" t="str">
        <f>IFERROR(IF(AND(F177="V.Low",OR(H177="Good",H177="Moderate")),"Error",VLOOKUP(H177,'G-1 All Habitats'!$Z$2:$AA$9,2,FALSE)),"")</f>
        <v/>
      </c>
      <c r="J177" s="186"/>
      <c r="K177" s="175" t="str">
        <f>IF(J177="","",IF(VLOOKUP(J177,'G-3 Multipliers'!$L$3:$N$6,2,FALSE)=0,"Spatial Data Missing",VLOOKUP(J177,'G-3 Multipliers'!$L$3:$N$6,2,FALSE)))</f>
        <v/>
      </c>
      <c r="L177" s="176" t="str">
        <f>IF(J177="","",IF(VLOOKUP(J177,'G-3 Multipliers'!$L$3:$N$6,3,FALSE)=0,"Spatial Data Missing",VLOOKUP(J177,'G-3 Multipliers'!$L$3:$N$6,3,FALSE)))</f>
        <v/>
      </c>
      <c r="M177" s="266"/>
      <c r="N177" s="172" t="str">
        <f>IF(M177="","",IF(VLOOKUP(M177,'G-3 Multipliers'!$S$3:$T$6,2,FALSE)=0,"Spatial Data Missing",VLOOKUP(M177,'G-3 Multipliers'!$S$3:$T$6,2,FALSE)))</f>
        <v/>
      </c>
      <c r="O177" s="171" t="str">
        <f>IF(OR(D177="",H177=""),"",(INDEX('G-6 Hedgerow Data'!$E$3:$I$15,MATCH(D177,'G-6 Hedgerow Data'!$B$3:$B$15,0),MATCH(H177,'G-6 Hedgerow Data'!$E$2:$I$2,0))))</f>
        <v/>
      </c>
      <c r="P177" s="261"/>
      <c r="Q177" s="261"/>
      <c r="R177" s="179" t="str">
        <f t="shared" si="13"/>
        <v/>
      </c>
      <c r="S177" s="262" t="str">
        <f t="shared" si="14"/>
        <v/>
      </c>
      <c r="T177" s="263" t="str">
        <f t="shared" si="12"/>
        <v/>
      </c>
      <c r="U177" s="239" t="str">
        <f>IF(D177="","",VLOOKUP(D177,'G-6 Hedgerow Data'!$B$3:$AG$15,31,FALSE))</f>
        <v/>
      </c>
      <c r="V177" s="175" t="str">
        <f t="shared" si="15"/>
        <v/>
      </c>
      <c r="W177" s="175" t="str">
        <f t="shared" si="16"/>
        <v/>
      </c>
      <c r="X177" s="176" t="str">
        <f>IF(F177="","",VLOOKUP(U177,'G-3 Multipliers'!$P$3:$Q$6,2,FALSE))</f>
        <v/>
      </c>
      <c r="Y177" s="274" t="str">
        <f t="shared" si="17"/>
        <v/>
      </c>
      <c r="Z177" s="180"/>
      <c r="AA177" s="181"/>
      <c r="AG177" s="35" t="str">
        <f>IFERROR(INDEX('G-6 Hedgerow Data'!$BJ$3:$BJ$15,MATCH(D177,'G-6 Hedgerow Data'!$B$3:$B$15,0)),"")</f>
        <v/>
      </c>
    </row>
    <row r="178" spans="2:33" ht="15" customHeight="1" x14ac:dyDescent="0.25">
      <c r="B178" s="128">
        <v>167</v>
      </c>
      <c r="C178" s="394"/>
      <c r="D178" s="275"/>
      <c r="E178" s="275"/>
      <c r="F178" s="171" t="str">
        <f>IF(D178="","",VLOOKUP(D178,'G-6 Hedgerow Data'!$B$2:$AG$15,2,FALSE))</f>
        <v/>
      </c>
      <c r="G178" s="176" t="str">
        <f>IF(D178="","",VLOOKUP(D178,'G-6 Hedgerow Data'!$B$2:$AG$15,3,FALSE))</f>
        <v/>
      </c>
      <c r="H178" s="189"/>
      <c r="I178" s="172" t="str">
        <f>IFERROR(IF(AND(F178="V.Low",OR(H178="Good",H178="Moderate")),"Error",VLOOKUP(H178,'G-1 All Habitats'!$Z$2:$AA$9,2,FALSE)),"")</f>
        <v/>
      </c>
      <c r="J178" s="186"/>
      <c r="K178" s="175" t="str">
        <f>IF(J178="","",IF(VLOOKUP(J178,'G-3 Multipliers'!$L$3:$N$6,2,FALSE)=0,"Spatial Data Missing",VLOOKUP(J178,'G-3 Multipliers'!$L$3:$N$6,2,FALSE)))</f>
        <v/>
      </c>
      <c r="L178" s="176" t="str">
        <f>IF(J178="","",IF(VLOOKUP(J178,'G-3 Multipliers'!$L$3:$N$6,3,FALSE)=0,"Spatial Data Missing",VLOOKUP(J178,'G-3 Multipliers'!$L$3:$N$6,3,FALSE)))</f>
        <v/>
      </c>
      <c r="M178" s="266"/>
      <c r="N178" s="172" t="str">
        <f>IF(M178="","",IF(VLOOKUP(M178,'G-3 Multipliers'!$S$3:$T$6,2,FALSE)=0,"Spatial Data Missing",VLOOKUP(M178,'G-3 Multipliers'!$S$3:$T$6,2,FALSE)))</f>
        <v/>
      </c>
      <c r="O178" s="171" t="str">
        <f>IF(OR(D178="",H178=""),"",(INDEX('G-6 Hedgerow Data'!$E$3:$I$15,MATCH(D178,'G-6 Hedgerow Data'!$B$3:$B$15,0),MATCH(H178,'G-6 Hedgerow Data'!$E$2:$I$2,0))))</f>
        <v/>
      </c>
      <c r="P178" s="261"/>
      <c r="Q178" s="261"/>
      <c r="R178" s="179" t="str">
        <f t="shared" si="13"/>
        <v/>
      </c>
      <c r="S178" s="262" t="str">
        <f t="shared" si="14"/>
        <v/>
      </c>
      <c r="T178" s="263" t="str">
        <f t="shared" si="12"/>
        <v/>
      </c>
      <c r="U178" s="239" t="str">
        <f>IF(D178="","",VLOOKUP(D178,'G-6 Hedgerow Data'!$B$3:$AG$15,31,FALSE))</f>
        <v/>
      </c>
      <c r="V178" s="175" t="str">
        <f t="shared" si="15"/>
        <v/>
      </c>
      <c r="W178" s="175" t="str">
        <f t="shared" si="16"/>
        <v/>
      </c>
      <c r="X178" s="176" t="str">
        <f>IF(F178="","",VLOOKUP(U178,'G-3 Multipliers'!$P$3:$Q$6,2,FALSE))</f>
        <v/>
      </c>
      <c r="Y178" s="274" t="str">
        <f t="shared" si="17"/>
        <v/>
      </c>
      <c r="Z178" s="180"/>
      <c r="AA178" s="181"/>
      <c r="AG178" s="35" t="str">
        <f>IFERROR(INDEX('G-6 Hedgerow Data'!$BJ$3:$BJ$15,MATCH(D178,'G-6 Hedgerow Data'!$B$3:$B$15,0)),"")</f>
        <v/>
      </c>
    </row>
    <row r="179" spans="2:33" ht="15" customHeight="1" x14ac:dyDescent="0.25">
      <c r="B179" s="128">
        <v>168</v>
      </c>
      <c r="C179" s="394"/>
      <c r="D179" s="275"/>
      <c r="E179" s="275"/>
      <c r="F179" s="171" t="str">
        <f>IF(D179="","",VLOOKUP(D179,'G-6 Hedgerow Data'!$B$2:$AG$15,2,FALSE))</f>
        <v/>
      </c>
      <c r="G179" s="176" t="str">
        <f>IF(D179="","",VLOOKUP(D179,'G-6 Hedgerow Data'!$B$2:$AG$15,3,FALSE))</f>
        <v/>
      </c>
      <c r="H179" s="189"/>
      <c r="I179" s="172" t="str">
        <f>IFERROR(IF(AND(F179="V.Low",OR(H179="Good",H179="Moderate")),"Error",VLOOKUP(H179,'G-1 All Habitats'!$Z$2:$AA$9,2,FALSE)),"")</f>
        <v/>
      </c>
      <c r="J179" s="186"/>
      <c r="K179" s="175" t="str">
        <f>IF(J179="","",IF(VLOOKUP(J179,'G-3 Multipliers'!$L$3:$N$6,2,FALSE)=0,"Spatial Data Missing",VLOOKUP(J179,'G-3 Multipliers'!$L$3:$N$6,2,FALSE)))</f>
        <v/>
      </c>
      <c r="L179" s="176" t="str">
        <f>IF(J179="","",IF(VLOOKUP(J179,'G-3 Multipliers'!$L$3:$N$6,3,FALSE)=0,"Spatial Data Missing",VLOOKUP(J179,'G-3 Multipliers'!$L$3:$N$6,3,FALSE)))</f>
        <v/>
      </c>
      <c r="M179" s="266"/>
      <c r="N179" s="172" t="str">
        <f>IF(M179="","",IF(VLOOKUP(M179,'G-3 Multipliers'!$S$3:$T$6,2,FALSE)=0,"Spatial Data Missing",VLOOKUP(M179,'G-3 Multipliers'!$S$3:$T$6,2,FALSE)))</f>
        <v/>
      </c>
      <c r="O179" s="171" t="str">
        <f>IF(OR(D179="",H179=""),"",(INDEX('G-6 Hedgerow Data'!$E$3:$I$15,MATCH(D179,'G-6 Hedgerow Data'!$B$3:$B$15,0),MATCH(H179,'G-6 Hedgerow Data'!$E$2:$I$2,0))))</f>
        <v/>
      </c>
      <c r="P179" s="261"/>
      <c r="Q179" s="261"/>
      <c r="R179" s="179" t="str">
        <f t="shared" si="13"/>
        <v/>
      </c>
      <c r="S179" s="262" t="str">
        <f t="shared" si="14"/>
        <v/>
      </c>
      <c r="T179" s="263" t="str">
        <f t="shared" si="12"/>
        <v/>
      </c>
      <c r="U179" s="239" t="str">
        <f>IF(D179="","",VLOOKUP(D179,'G-6 Hedgerow Data'!$B$3:$AG$15,31,FALSE))</f>
        <v/>
      </c>
      <c r="V179" s="175" t="str">
        <f t="shared" si="15"/>
        <v/>
      </c>
      <c r="W179" s="175" t="str">
        <f t="shared" si="16"/>
        <v/>
      </c>
      <c r="X179" s="176" t="str">
        <f>IF(F179="","",VLOOKUP(U179,'G-3 Multipliers'!$P$3:$Q$6,2,FALSE))</f>
        <v/>
      </c>
      <c r="Y179" s="274" t="str">
        <f t="shared" si="17"/>
        <v/>
      </c>
      <c r="Z179" s="180"/>
      <c r="AA179" s="181"/>
      <c r="AG179" s="35" t="str">
        <f>IFERROR(INDEX('G-6 Hedgerow Data'!$BJ$3:$BJ$15,MATCH(D179,'G-6 Hedgerow Data'!$B$3:$B$15,0)),"")</f>
        <v/>
      </c>
    </row>
    <row r="180" spans="2:33" ht="15" customHeight="1" x14ac:dyDescent="0.25">
      <c r="B180" s="128">
        <v>169</v>
      </c>
      <c r="C180" s="394"/>
      <c r="D180" s="275"/>
      <c r="E180" s="275"/>
      <c r="F180" s="171" t="str">
        <f>IF(D180="","",VLOOKUP(D180,'G-6 Hedgerow Data'!$B$2:$AG$15,2,FALSE))</f>
        <v/>
      </c>
      <c r="G180" s="176" t="str">
        <f>IF(D180="","",VLOOKUP(D180,'G-6 Hedgerow Data'!$B$2:$AG$15,3,FALSE))</f>
        <v/>
      </c>
      <c r="H180" s="189"/>
      <c r="I180" s="172" t="str">
        <f>IFERROR(IF(AND(F180="V.Low",OR(H180="Good",H180="Moderate")),"Error",VLOOKUP(H180,'G-1 All Habitats'!$Z$2:$AA$9,2,FALSE)),"")</f>
        <v/>
      </c>
      <c r="J180" s="186"/>
      <c r="K180" s="175" t="str">
        <f>IF(J180="","",IF(VLOOKUP(J180,'G-3 Multipliers'!$L$3:$N$6,2,FALSE)=0,"Spatial Data Missing",VLOOKUP(J180,'G-3 Multipliers'!$L$3:$N$6,2,FALSE)))</f>
        <v/>
      </c>
      <c r="L180" s="176" t="str">
        <f>IF(J180="","",IF(VLOOKUP(J180,'G-3 Multipliers'!$L$3:$N$6,3,FALSE)=0,"Spatial Data Missing",VLOOKUP(J180,'G-3 Multipliers'!$L$3:$N$6,3,FALSE)))</f>
        <v/>
      </c>
      <c r="M180" s="266"/>
      <c r="N180" s="172" t="str">
        <f>IF(M180="","",IF(VLOOKUP(M180,'G-3 Multipliers'!$S$3:$T$6,2,FALSE)=0,"Spatial Data Missing",VLOOKUP(M180,'G-3 Multipliers'!$S$3:$T$6,2,FALSE)))</f>
        <v/>
      </c>
      <c r="O180" s="171" t="str">
        <f>IF(OR(D180="",H180=""),"",(INDEX('G-6 Hedgerow Data'!$E$3:$I$15,MATCH(D180,'G-6 Hedgerow Data'!$B$3:$B$15,0),MATCH(H180,'G-6 Hedgerow Data'!$E$2:$I$2,0))))</f>
        <v/>
      </c>
      <c r="P180" s="261"/>
      <c r="Q180" s="261"/>
      <c r="R180" s="179" t="str">
        <f t="shared" si="13"/>
        <v/>
      </c>
      <c r="S180" s="262" t="str">
        <f t="shared" si="14"/>
        <v/>
      </c>
      <c r="T180" s="263" t="str">
        <f t="shared" si="12"/>
        <v/>
      </c>
      <c r="U180" s="239" t="str">
        <f>IF(D180="","",VLOOKUP(D180,'G-6 Hedgerow Data'!$B$3:$AG$15,31,FALSE))</f>
        <v/>
      </c>
      <c r="V180" s="175" t="str">
        <f t="shared" si="15"/>
        <v/>
      </c>
      <c r="W180" s="175" t="str">
        <f t="shared" si="16"/>
        <v/>
      </c>
      <c r="X180" s="176" t="str">
        <f>IF(F180="","",VLOOKUP(U180,'G-3 Multipliers'!$P$3:$Q$6,2,FALSE))</f>
        <v/>
      </c>
      <c r="Y180" s="274" t="str">
        <f t="shared" si="17"/>
        <v/>
      </c>
      <c r="Z180" s="180"/>
      <c r="AA180" s="181"/>
      <c r="AG180" s="35" t="str">
        <f>IFERROR(INDEX('G-6 Hedgerow Data'!$BJ$3:$BJ$15,MATCH(D180,'G-6 Hedgerow Data'!$B$3:$B$15,0)),"")</f>
        <v/>
      </c>
    </row>
    <row r="181" spans="2:33" ht="15" customHeight="1" x14ac:dyDescent="0.25">
      <c r="B181" s="128">
        <v>170</v>
      </c>
      <c r="C181" s="394"/>
      <c r="D181" s="275"/>
      <c r="E181" s="275"/>
      <c r="F181" s="171" t="str">
        <f>IF(D181="","",VLOOKUP(D181,'G-6 Hedgerow Data'!$B$2:$AG$15,2,FALSE))</f>
        <v/>
      </c>
      <c r="G181" s="176" t="str">
        <f>IF(D181="","",VLOOKUP(D181,'G-6 Hedgerow Data'!$B$2:$AG$15,3,FALSE))</f>
        <v/>
      </c>
      <c r="H181" s="189"/>
      <c r="I181" s="172" t="str">
        <f>IFERROR(IF(AND(F181="V.Low",OR(H181="Good",H181="Moderate")),"Error",VLOOKUP(H181,'G-1 All Habitats'!$Z$2:$AA$9,2,FALSE)),"")</f>
        <v/>
      </c>
      <c r="J181" s="186"/>
      <c r="K181" s="175" t="str">
        <f>IF(J181="","",IF(VLOOKUP(J181,'G-3 Multipliers'!$L$3:$N$6,2,FALSE)=0,"Spatial Data Missing",VLOOKUP(J181,'G-3 Multipliers'!$L$3:$N$6,2,FALSE)))</f>
        <v/>
      </c>
      <c r="L181" s="176" t="str">
        <f>IF(J181="","",IF(VLOOKUP(J181,'G-3 Multipliers'!$L$3:$N$6,3,FALSE)=0,"Spatial Data Missing",VLOOKUP(J181,'G-3 Multipliers'!$L$3:$N$6,3,FALSE)))</f>
        <v/>
      </c>
      <c r="M181" s="266"/>
      <c r="N181" s="172" t="str">
        <f>IF(M181="","",IF(VLOOKUP(M181,'G-3 Multipliers'!$S$3:$T$6,2,FALSE)=0,"Spatial Data Missing",VLOOKUP(M181,'G-3 Multipliers'!$S$3:$T$6,2,FALSE)))</f>
        <v/>
      </c>
      <c r="O181" s="171" t="str">
        <f>IF(OR(D181="",H181=""),"",(INDEX('G-6 Hedgerow Data'!$E$3:$I$15,MATCH(D181,'G-6 Hedgerow Data'!$B$3:$B$15,0),MATCH(H181,'G-6 Hedgerow Data'!$E$2:$I$2,0))))</f>
        <v/>
      </c>
      <c r="P181" s="261"/>
      <c r="Q181" s="261"/>
      <c r="R181" s="179" t="str">
        <f t="shared" si="13"/>
        <v/>
      </c>
      <c r="S181" s="262" t="str">
        <f t="shared" si="14"/>
        <v/>
      </c>
      <c r="T181" s="263" t="str">
        <f t="shared" si="12"/>
        <v/>
      </c>
      <c r="U181" s="239" t="str">
        <f>IF(D181="","",VLOOKUP(D181,'G-6 Hedgerow Data'!$B$3:$AG$15,31,FALSE))</f>
        <v/>
      </c>
      <c r="V181" s="175" t="str">
        <f t="shared" si="15"/>
        <v/>
      </c>
      <c r="W181" s="175" t="str">
        <f t="shared" si="16"/>
        <v/>
      </c>
      <c r="X181" s="176" t="str">
        <f>IF(F181="","",VLOOKUP(U181,'G-3 Multipliers'!$P$3:$Q$6,2,FALSE))</f>
        <v/>
      </c>
      <c r="Y181" s="274" t="str">
        <f t="shared" si="17"/>
        <v/>
      </c>
      <c r="Z181" s="180"/>
      <c r="AA181" s="181"/>
      <c r="AG181" s="35" t="str">
        <f>IFERROR(INDEX('G-6 Hedgerow Data'!$BJ$3:$BJ$15,MATCH(D181,'G-6 Hedgerow Data'!$B$3:$B$15,0)),"")</f>
        <v/>
      </c>
    </row>
    <row r="182" spans="2:33" ht="15" customHeight="1" x14ac:dyDescent="0.25">
      <c r="B182" s="128">
        <v>171</v>
      </c>
      <c r="C182" s="394"/>
      <c r="D182" s="275"/>
      <c r="E182" s="275"/>
      <c r="F182" s="171" t="str">
        <f>IF(D182="","",VLOOKUP(D182,'G-6 Hedgerow Data'!$B$2:$AG$15,2,FALSE))</f>
        <v/>
      </c>
      <c r="G182" s="176" t="str">
        <f>IF(D182="","",VLOOKUP(D182,'G-6 Hedgerow Data'!$B$2:$AG$15,3,FALSE))</f>
        <v/>
      </c>
      <c r="H182" s="189"/>
      <c r="I182" s="172" t="str">
        <f>IFERROR(IF(AND(F182="V.Low",OR(H182="Good",H182="Moderate")),"Error",VLOOKUP(H182,'G-1 All Habitats'!$Z$2:$AA$9,2,FALSE)),"")</f>
        <v/>
      </c>
      <c r="J182" s="186"/>
      <c r="K182" s="175" t="str">
        <f>IF(J182="","",IF(VLOOKUP(J182,'G-3 Multipliers'!$L$3:$N$6,2,FALSE)=0,"Spatial Data Missing",VLOOKUP(J182,'G-3 Multipliers'!$L$3:$N$6,2,FALSE)))</f>
        <v/>
      </c>
      <c r="L182" s="176" t="str">
        <f>IF(J182="","",IF(VLOOKUP(J182,'G-3 Multipliers'!$L$3:$N$6,3,FALSE)=0,"Spatial Data Missing",VLOOKUP(J182,'G-3 Multipliers'!$L$3:$N$6,3,FALSE)))</f>
        <v/>
      </c>
      <c r="M182" s="266"/>
      <c r="N182" s="172" t="str">
        <f>IF(M182="","",IF(VLOOKUP(M182,'G-3 Multipliers'!$S$3:$T$6,2,FALSE)=0,"Spatial Data Missing",VLOOKUP(M182,'G-3 Multipliers'!$S$3:$T$6,2,FALSE)))</f>
        <v/>
      </c>
      <c r="O182" s="171" t="str">
        <f>IF(OR(D182="",H182=""),"",(INDEX('G-6 Hedgerow Data'!$E$3:$I$15,MATCH(D182,'G-6 Hedgerow Data'!$B$3:$B$15,0),MATCH(H182,'G-6 Hedgerow Data'!$E$2:$I$2,0))))</f>
        <v/>
      </c>
      <c r="P182" s="261"/>
      <c r="Q182" s="261"/>
      <c r="R182" s="179" t="str">
        <f t="shared" si="13"/>
        <v/>
      </c>
      <c r="S182" s="262" t="str">
        <f t="shared" si="14"/>
        <v/>
      </c>
      <c r="T182" s="263" t="str">
        <f t="shared" si="12"/>
        <v/>
      </c>
      <c r="U182" s="239" t="str">
        <f>IF(D182="","",VLOOKUP(D182,'G-6 Hedgerow Data'!$B$3:$AG$15,31,FALSE))</f>
        <v/>
      </c>
      <c r="V182" s="175" t="str">
        <f t="shared" si="15"/>
        <v/>
      </c>
      <c r="W182" s="175" t="str">
        <f t="shared" si="16"/>
        <v/>
      </c>
      <c r="X182" s="176" t="str">
        <f>IF(F182="","",VLOOKUP(U182,'G-3 Multipliers'!$P$3:$Q$6,2,FALSE))</f>
        <v/>
      </c>
      <c r="Y182" s="274" t="str">
        <f t="shared" si="17"/>
        <v/>
      </c>
      <c r="Z182" s="180"/>
      <c r="AA182" s="181"/>
      <c r="AG182" s="35" t="str">
        <f>IFERROR(INDEX('G-6 Hedgerow Data'!$BJ$3:$BJ$15,MATCH(D182,'G-6 Hedgerow Data'!$B$3:$B$15,0)),"")</f>
        <v/>
      </c>
    </row>
    <row r="183" spans="2:33" ht="15" customHeight="1" x14ac:dyDescent="0.25">
      <c r="B183" s="128">
        <v>172</v>
      </c>
      <c r="C183" s="394"/>
      <c r="D183" s="275"/>
      <c r="E183" s="275"/>
      <c r="F183" s="171" t="str">
        <f>IF(D183="","",VLOOKUP(D183,'G-6 Hedgerow Data'!$B$2:$AG$15,2,FALSE))</f>
        <v/>
      </c>
      <c r="G183" s="176" t="str">
        <f>IF(D183="","",VLOOKUP(D183,'G-6 Hedgerow Data'!$B$2:$AG$15,3,FALSE))</f>
        <v/>
      </c>
      <c r="H183" s="189"/>
      <c r="I183" s="172" t="str">
        <f>IFERROR(IF(AND(F183="V.Low",OR(H183="Good",H183="Moderate")),"Error",VLOOKUP(H183,'G-1 All Habitats'!$Z$2:$AA$9,2,FALSE)),"")</f>
        <v/>
      </c>
      <c r="J183" s="186"/>
      <c r="K183" s="175" t="str">
        <f>IF(J183="","",IF(VLOOKUP(J183,'G-3 Multipliers'!$L$3:$N$6,2,FALSE)=0,"Spatial Data Missing",VLOOKUP(J183,'G-3 Multipliers'!$L$3:$N$6,2,FALSE)))</f>
        <v/>
      </c>
      <c r="L183" s="176" t="str">
        <f>IF(J183="","",IF(VLOOKUP(J183,'G-3 Multipliers'!$L$3:$N$6,3,FALSE)=0,"Spatial Data Missing",VLOOKUP(J183,'G-3 Multipliers'!$L$3:$N$6,3,FALSE)))</f>
        <v/>
      </c>
      <c r="M183" s="266"/>
      <c r="N183" s="172" t="str">
        <f>IF(M183="","",IF(VLOOKUP(M183,'G-3 Multipliers'!$S$3:$T$6,2,FALSE)=0,"Spatial Data Missing",VLOOKUP(M183,'G-3 Multipliers'!$S$3:$T$6,2,FALSE)))</f>
        <v/>
      </c>
      <c r="O183" s="171" t="str">
        <f>IF(OR(D183="",H183=""),"",(INDEX('G-6 Hedgerow Data'!$E$3:$I$15,MATCH(D183,'G-6 Hedgerow Data'!$B$3:$B$15,0),MATCH(H183,'G-6 Hedgerow Data'!$E$2:$I$2,0))))</f>
        <v/>
      </c>
      <c r="P183" s="261"/>
      <c r="Q183" s="261"/>
      <c r="R183" s="179" t="str">
        <f t="shared" si="13"/>
        <v/>
      </c>
      <c r="S183" s="262" t="str">
        <f t="shared" si="14"/>
        <v/>
      </c>
      <c r="T183" s="263" t="str">
        <f t="shared" si="12"/>
        <v/>
      </c>
      <c r="U183" s="239" t="str">
        <f>IF(D183="","",VLOOKUP(D183,'G-6 Hedgerow Data'!$B$3:$AG$15,31,FALSE))</f>
        <v/>
      </c>
      <c r="V183" s="175" t="str">
        <f t="shared" si="15"/>
        <v/>
      </c>
      <c r="W183" s="175" t="str">
        <f t="shared" si="16"/>
        <v/>
      </c>
      <c r="X183" s="176" t="str">
        <f>IF(F183="","",VLOOKUP(U183,'G-3 Multipliers'!$P$3:$Q$6,2,FALSE))</f>
        <v/>
      </c>
      <c r="Y183" s="274" t="str">
        <f t="shared" si="17"/>
        <v/>
      </c>
      <c r="Z183" s="180"/>
      <c r="AA183" s="181"/>
      <c r="AG183" s="35" t="str">
        <f>IFERROR(INDEX('G-6 Hedgerow Data'!$BJ$3:$BJ$15,MATCH(D183,'G-6 Hedgerow Data'!$B$3:$B$15,0)),"")</f>
        <v/>
      </c>
    </row>
    <row r="184" spans="2:33" ht="15" customHeight="1" x14ac:dyDescent="0.25">
      <c r="B184" s="128">
        <v>173</v>
      </c>
      <c r="C184" s="394"/>
      <c r="D184" s="275"/>
      <c r="E184" s="275"/>
      <c r="F184" s="171" t="str">
        <f>IF(D184="","",VLOOKUP(D184,'G-6 Hedgerow Data'!$B$2:$AG$15,2,FALSE))</f>
        <v/>
      </c>
      <c r="G184" s="176" t="str">
        <f>IF(D184="","",VLOOKUP(D184,'G-6 Hedgerow Data'!$B$2:$AG$15,3,FALSE))</f>
        <v/>
      </c>
      <c r="H184" s="189"/>
      <c r="I184" s="172" t="str">
        <f>IFERROR(IF(AND(F184="V.Low",OR(H184="Good",H184="Moderate")),"Error",VLOOKUP(H184,'G-1 All Habitats'!$Z$2:$AA$9,2,FALSE)),"")</f>
        <v/>
      </c>
      <c r="J184" s="186"/>
      <c r="K184" s="175" t="str">
        <f>IF(J184="","",IF(VLOOKUP(J184,'G-3 Multipliers'!$L$3:$N$6,2,FALSE)=0,"Spatial Data Missing",VLOOKUP(J184,'G-3 Multipliers'!$L$3:$N$6,2,FALSE)))</f>
        <v/>
      </c>
      <c r="L184" s="176" t="str">
        <f>IF(J184="","",IF(VLOOKUP(J184,'G-3 Multipliers'!$L$3:$N$6,3,FALSE)=0,"Spatial Data Missing",VLOOKUP(J184,'G-3 Multipliers'!$L$3:$N$6,3,FALSE)))</f>
        <v/>
      </c>
      <c r="M184" s="266"/>
      <c r="N184" s="172" t="str">
        <f>IF(M184="","",IF(VLOOKUP(M184,'G-3 Multipliers'!$S$3:$T$6,2,FALSE)=0,"Spatial Data Missing",VLOOKUP(M184,'G-3 Multipliers'!$S$3:$T$6,2,FALSE)))</f>
        <v/>
      </c>
      <c r="O184" s="171" t="str">
        <f>IF(OR(D184="",H184=""),"",(INDEX('G-6 Hedgerow Data'!$E$3:$I$15,MATCH(D184,'G-6 Hedgerow Data'!$B$3:$B$15,0),MATCH(H184,'G-6 Hedgerow Data'!$E$2:$I$2,0))))</f>
        <v/>
      </c>
      <c r="P184" s="261"/>
      <c r="Q184" s="261"/>
      <c r="R184" s="179" t="str">
        <f t="shared" si="13"/>
        <v/>
      </c>
      <c r="S184" s="262" t="str">
        <f t="shared" si="14"/>
        <v/>
      </c>
      <c r="T184" s="263" t="str">
        <f t="shared" si="12"/>
        <v/>
      </c>
      <c r="U184" s="239" t="str">
        <f>IF(D184="","",VLOOKUP(D184,'G-6 Hedgerow Data'!$B$3:$AG$15,31,FALSE))</f>
        <v/>
      </c>
      <c r="V184" s="175" t="str">
        <f t="shared" si="15"/>
        <v/>
      </c>
      <c r="W184" s="175" t="str">
        <f t="shared" si="16"/>
        <v/>
      </c>
      <c r="X184" s="176" t="str">
        <f>IF(F184="","",VLOOKUP(U184,'G-3 Multipliers'!$P$3:$Q$6,2,FALSE))</f>
        <v/>
      </c>
      <c r="Y184" s="274" t="str">
        <f t="shared" si="17"/>
        <v/>
      </c>
      <c r="Z184" s="180"/>
      <c r="AA184" s="181"/>
      <c r="AG184" s="35" t="str">
        <f>IFERROR(INDEX('G-6 Hedgerow Data'!$BJ$3:$BJ$15,MATCH(D184,'G-6 Hedgerow Data'!$B$3:$B$15,0)),"")</f>
        <v/>
      </c>
    </row>
    <row r="185" spans="2:33" ht="15" customHeight="1" x14ac:dyDescent="0.25">
      <c r="B185" s="128">
        <v>174</v>
      </c>
      <c r="C185" s="394"/>
      <c r="D185" s="275"/>
      <c r="E185" s="275"/>
      <c r="F185" s="171" t="str">
        <f>IF(D185="","",VLOOKUP(D185,'G-6 Hedgerow Data'!$B$2:$AG$15,2,FALSE))</f>
        <v/>
      </c>
      <c r="G185" s="176" t="str">
        <f>IF(D185="","",VLOOKUP(D185,'G-6 Hedgerow Data'!$B$2:$AG$15,3,FALSE))</f>
        <v/>
      </c>
      <c r="H185" s="189"/>
      <c r="I185" s="172" t="str">
        <f>IFERROR(IF(AND(F185="V.Low",OR(H185="Good",H185="Moderate")),"Error",VLOOKUP(H185,'G-1 All Habitats'!$Z$2:$AA$9,2,FALSE)),"")</f>
        <v/>
      </c>
      <c r="J185" s="186"/>
      <c r="K185" s="175" t="str">
        <f>IF(J185="","",IF(VLOOKUP(J185,'G-3 Multipliers'!$L$3:$N$6,2,FALSE)=0,"Spatial Data Missing",VLOOKUP(J185,'G-3 Multipliers'!$L$3:$N$6,2,FALSE)))</f>
        <v/>
      </c>
      <c r="L185" s="176" t="str">
        <f>IF(J185="","",IF(VLOOKUP(J185,'G-3 Multipliers'!$L$3:$N$6,3,FALSE)=0,"Spatial Data Missing",VLOOKUP(J185,'G-3 Multipliers'!$L$3:$N$6,3,FALSE)))</f>
        <v/>
      </c>
      <c r="M185" s="266"/>
      <c r="N185" s="172" t="str">
        <f>IF(M185="","",IF(VLOOKUP(M185,'G-3 Multipliers'!$S$3:$T$6,2,FALSE)=0,"Spatial Data Missing",VLOOKUP(M185,'G-3 Multipliers'!$S$3:$T$6,2,FALSE)))</f>
        <v/>
      </c>
      <c r="O185" s="171" t="str">
        <f>IF(OR(D185="",H185=""),"",(INDEX('G-6 Hedgerow Data'!$E$3:$I$15,MATCH(D185,'G-6 Hedgerow Data'!$B$3:$B$15,0),MATCH(H185,'G-6 Hedgerow Data'!$E$2:$I$2,0))))</f>
        <v/>
      </c>
      <c r="P185" s="261"/>
      <c r="Q185" s="261"/>
      <c r="R185" s="179" t="str">
        <f t="shared" si="13"/>
        <v/>
      </c>
      <c r="S185" s="262" t="str">
        <f t="shared" si="14"/>
        <v/>
      </c>
      <c r="T185" s="263" t="str">
        <f t="shared" si="12"/>
        <v/>
      </c>
      <c r="U185" s="239" t="str">
        <f>IF(D185="","",VLOOKUP(D185,'G-6 Hedgerow Data'!$B$3:$AG$15,31,FALSE))</f>
        <v/>
      </c>
      <c r="V185" s="175" t="str">
        <f t="shared" si="15"/>
        <v/>
      </c>
      <c r="W185" s="175" t="str">
        <f t="shared" si="16"/>
        <v/>
      </c>
      <c r="X185" s="176" t="str">
        <f>IF(F185="","",VLOOKUP(U185,'G-3 Multipliers'!$P$3:$Q$6,2,FALSE))</f>
        <v/>
      </c>
      <c r="Y185" s="274" t="str">
        <f t="shared" si="17"/>
        <v/>
      </c>
      <c r="Z185" s="180"/>
      <c r="AA185" s="181"/>
      <c r="AG185" s="35" t="str">
        <f>IFERROR(INDEX('G-6 Hedgerow Data'!$BJ$3:$BJ$15,MATCH(D185,'G-6 Hedgerow Data'!$B$3:$B$15,0)),"")</f>
        <v/>
      </c>
    </row>
    <row r="186" spans="2:33" ht="15" customHeight="1" x14ac:dyDescent="0.25">
      <c r="B186" s="128">
        <v>175</v>
      </c>
      <c r="C186" s="394"/>
      <c r="D186" s="275"/>
      <c r="E186" s="275"/>
      <c r="F186" s="171" t="str">
        <f>IF(D186="","",VLOOKUP(D186,'G-6 Hedgerow Data'!$B$2:$AG$15,2,FALSE))</f>
        <v/>
      </c>
      <c r="G186" s="176" t="str">
        <f>IF(D186="","",VLOOKUP(D186,'G-6 Hedgerow Data'!$B$2:$AG$15,3,FALSE))</f>
        <v/>
      </c>
      <c r="H186" s="189"/>
      <c r="I186" s="172" t="str">
        <f>IFERROR(IF(AND(F186="V.Low",OR(H186="Good",H186="Moderate")),"Error",VLOOKUP(H186,'G-1 All Habitats'!$Z$2:$AA$9,2,FALSE)),"")</f>
        <v/>
      </c>
      <c r="J186" s="186"/>
      <c r="K186" s="175" t="str">
        <f>IF(J186="","",IF(VLOOKUP(J186,'G-3 Multipliers'!$L$3:$N$6,2,FALSE)=0,"Spatial Data Missing",VLOOKUP(J186,'G-3 Multipliers'!$L$3:$N$6,2,FALSE)))</f>
        <v/>
      </c>
      <c r="L186" s="176" t="str">
        <f>IF(J186="","",IF(VLOOKUP(J186,'G-3 Multipliers'!$L$3:$N$6,3,FALSE)=0,"Spatial Data Missing",VLOOKUP(J186,'G-3 Multipliers'!$L$3:$N$6,3,FALSE)))</f>
        <v/>
      </c>
      <c r="M186" s="266"/>
      <c r="N186" s="172" t="str">
        <f>IF(M186="","",IF(VLOOKUP(M186,'G-3 Multipliers'!$S$3:$T$6,2,FALSE)=0,"Spatial Data Missing",VLOOKUP(M186,'G-3 Multipliers'!$S$3:$T$6,2,FALSE)))</f>
        <v/>
      </c>
      <c r="O186" s="171" t="str">
        <f>IF(OR(D186="",H186=""),"",(INDEX('G-6 Hedgerow Data'!$E$3:$I$15,MATCH(D186,'G-6 Hedgerow Data'!$B$3:$B$15,0),MATCH(H186,'G-6 Hedgerow Data'!$E$2:$I$2,0))))</f>
        <v/>
      </c>
      <c r="P186" s="261"/>
      <c r="Q186" s="261"/>
      <c r="R186" s="179" t="str">
        <f t="shared" si="13"/>
        <v/>
      </c>
      <c r="S186" s="262" t="str">
        <f t="shared" si="14"/>
        <v/>
      </c>
      <c r="T186" s="263" t="str">
        <f t="shared" si="12"/>
        <v/>
      </c>
      <c r="U186" s="239" t="str">
        <f>IF(D186="","",VLOOKUP(D186,'G-6 Hedgerow Data'!$B$3:$AG$15,31,FALSE))</f>
        <v/>
      </c>
      <c r="V186" s="175" t="str">
        <f t="shared" si="15"/>
        <v/>
      </c>
      <c r="W186" s="175" t="str">
        <f t="shared" si="16"/>
        <v/>
      </c>
      <c r="X186" s="176" t="str">
        <f>IF(F186="","",VLOOKUP(U186,'G-3 Multipliers'!$P$3:$Q$6,2,FALSE))</f>
        <v/>
      </c>
      <c r="Y186" s="274" t="str">
        <f t="shared" si="17"/>
        <v/>
      </c>
      <c r="Z186" s="180"/>
      <c r="AA186" s="181"/>
      <c r="AG186" s="35" t="str">
        <f>IFERROR(INDEX('G-6 Hedgerow Data'!$BJ$3:$BJ$15,MATCH(D186,'G-6 Hedgerow Data'!$B$3:$B$15,0)),"")</f>
        <v/>
      </c>
    </row>
    <row r="187" spans="2:33" ht="15" customHeight="1" x14ac:dyDescent="0.25">
      <c r="B187" s="128">
        <v>176</v>
      </c>
      <c r="C187" s="394"/>
      <c r="D187" s="275"/>
      <c r="E187" s="275"/>
      <c r="F187" s="171" t="str">
        <f>IF(D187="","",VLOOKUP(D187,'G-6 Hedgerow Data'!$B$2:$AG$15,2,FALSE))</f>
        <v/>
      </c>
      <c r="G187" s="176" t="str">
        <f>IF(D187="","",VLOOKUP(D187,'G-6 Hedgerow Data'!$B$2:$AG$15,3,FALSE))</f>
        <v/>
      </c>
      <c r="H187" s="189"/>
      <c r="I187" s="172" t="str">
        <f>IFERROR(IF(AND(F187="V.Low",OR(H187="Good",H187="Moderate")),"Error",VLOOKUP(H187,'G-1 All Habitats'!$Z$2:$AA$9,2,FALSE)),"")</f>
        <v/>
      </c>
      <c r="J187" s="186"/>
      <c r="K187" s="175" t="str">
        <f>IF(J187="","",IF(VLOOKUP(J187,'G-3 Multipliers'!$L$3:$N$6,2,FALSE)=0,"Spatial Data Missing",VLOOKUP(J187,'G-3 Multipliers'!$L$3:$N$6,2,FALSE)))</f>
        <v/>
      </c>
      <c r="L187" s="176" t="str">
        <f>IF(J187="","",IF(VLOOKUP(J187,'G-3 Multipliers'!$L$3:$N$6,3,FALSE)=0,"Spatial Data Missing",VLOOKUP(J187,'G-3 Multipliers'!$L$3:$N$6,3,FALSE)))</f>
        <v/>
      </c>
      <c r="M187" s="266"/>
      <c r="N187" s="172" t="str">
        <f>IF(M187="","",IF(VLOOKUP(M187,'G-3 Multipliers'!$S$3:$T$6,2,FALSE)=0,"Spatial Data Missing",VLOOKUP(M187,'G-3 Multipliers'!$S$3:$T$6,2,FALSE)))</f>
        <v/>
      </c>
      <c r="O187" s="171" t="str">
        <f>IF(OR(D187="",H187=""),"",(INDEX('G-6 Hedgerow Data'!$E$3:$I$15,MATCH(D187,'G-6 Hedgerow Data'!$B$3:$B$15,0),MATCH(H187,'G-6 Hedgerow Data'!$E$2:$I$2,0))))</f>
        <v/>
      </c>
      <c r="P187" s="261"/>
      <c r="Q187" s="261"/>
      <c r="R187" s="179" t="str">
        <f t="shared" si="13"/>
        <v/>
      </c>
      <c r="S187" s="262" t="str">
        <f t="shared" si="14"/>
        <v/>
      </c>
      <c r="T187" s="263" t="str">
        <f t="shared" si="12"/>
        <v/>
      </c>
      <c r="U187" s="239" t="str">
        <f>IF(D187="","",VLOOKUP(D187,'G-6 Hedgerow Data'!$B$3:$AG$15,31,FALSE))</f>
        <v/>
      </c>
      <c r="V187" s="175" t="str">
        <f t="shared" si="15"/>
        <v/>
      </c>
      <c r="W187" s="175" t="str">
        <f t="shared" si="16"/>
        <v/>
      </c>
      <c r="X187" s="176" t="str">
        <f>IF(F187="","",VLOOKUP(U187,'G-3 Multipliers'!$P$3:$Q$6,2,FALSE))</f>
        <v/>
      </c>
      <c r="Y187" s="274" t="str">
        <f t="shared" si="17"/>
        <v/>
      </c>
      <c r="Z187" s="180"/>
      <c r="AA187" s="181"/>
      <c r="AG187" s="35" t="str">
        <f>IFERROR(INDEX('G-6 Hedgerow Data'!$BJ$3:$BJ$15,MATCH(D187,'G-6 Hedgerow Data'!$B$3:$B$15,0)),"")</f>
        <v/>
      </c>
    </row>
    <row r="188" spans="2:33" ht="15" customHeight="1" x14ac:dyDescent="0.25">
      <c r="B188" s="128">
        <v>177</v>
      </c>
      <c r="C188" s="394"/>
      <c r="D188" s="275"/>
      <c r="E188" s="275"/>
      <c r="F188" s="171" t="str">
        <f>IF(D188="","",VLOOKUP(D188,'G-6 Hedgerow Data'!$B$2:$AG$15,2,FALSE))</f>
        <v/>
      </c>
      <c r="G188" s="176" t="str">
        <f>IF(D188="","",VLOOKUP(D188,'G-6 Hedgerow Data'!$B$2:$AG$15,3,FALSE))</f>
        <v/>
      </c>
      <c r="H188" s="189"/>
      <c r="I188" s="172" t="str">
        <f>IFERROR(IF(AND(F188="V.Low",OR(H188="Good",H188="Moderate")),"Error",VLOOKUP(H188,'G-1 All Habitats'!$Z$2:$AA$9,2,FALSE)),"")</f>
        <v/>
      </c>
      <c r="J188" s="186"/>
      <c r="K188" s="175" t="str">
        <f>IF(J188="","",IF(VLOOKUP(J188,'G-3 Multipliers'!$L$3:$N$6,2,FALSE)=0,"Spatial Data Missing",VLOOKUP(J188,'G-3 Multipliers'!$L$3:$N$6,2,FALSE)))</f>
        <v/>
      </c>
      <c r="L188" s="176" t="str">
        <f>IF(J188="","",IF(VLOOKUP(J188,'G-3 Multipliers'!$L$3:$N$6,3,FALSE)=0,"Spatial Data Missing",VLOOKUP(J188,'G-3 Multipliers'!$L$3:$N$6,3,FALSE)))</f>
        <v/>
      </c>
      <c r="M188" s="266"/>
      <c r="N188" s="172" t="str">
        <f>IF(M188="","",IF(VLOOKUP(M188,'G-3 Multipliers'!$S$3:$T$6,2,FALSE)=0,"Spatial Data Missing",VLOOKUP(M188,'G-3 Multipliers'!$S$3:$T$6,2,FALSE)))</f>
        <v/>
      </c>
      <c r="O188" s="171" t="str">
        <f>IF(OR(D188="",H188=""),"",(INDEX('G-6 Hedgerow Data'!$E$3:$I$15,MATCH(D188,'G-6 Hedgerow Data'!$B$3:$B$15,0),MATCH(H188,'G-6 Hedgerow Data'!$E$2:$I$2,0))))</f>
        <v/>
      </c>
      <c r="P188" s="261"/>
      <c r="Q188" s="261"/>
      <c r="R188" s="179" t="str">
        <f t="shared" si="13"/>
        <v/>
      </c>
      <c r="S188" s="262" t="str">
        <f t="shared" si="14"/>
        <v/>
      </c>
      <c r="T188" s="263" t="str">
        <f t="shared" si="12"/>
        <v/>
      </c>
      <c r="U188" s="239" t="str">
        <f>IF(D188="","",VLOOKUP(D188,'G-6 Hedgerow Data'!$B$3:$AG$15,31,FALSE))</f>
        <v/>
      </c>
      <c r="V188" s="175" t="str">
        <f t="shared" si="15"/>
        <v/>
      </c>
      <c r="W188" s="175" t="str">
        <f t="shared" si="16"/>
        <v/>
      </c>
      <c r="X188" s="176" t="str">
        <f>IF(F188="","",VLOOKUP(U188,'G-3 Multipliers'!$P$3:$Q$6,2,FALSE))</f>
        <v/>
      </c>
      <c r="Y188" s="274" t="str">
        <f t="shared" si="17"/>
        <v/>
      </c>
      <c r="Z188" s="180"/>
      <c r="AA188" s="181"/>
      <c r="AG188" s="35" t="str">
        <f>IFERROR(INDEX('G-6 Hedgerow Data'!$BJ$3:$BJ$15,MATCH(D188,'G-6 Hedgerow Data'!$B$3:$B$15,0)),"")</f>
        <v/>
      </c>
    </row>
    <row r="189" spans="2:33" ht="15" customHeight="1" x14ac:dyDescent="0.25">
      <c r="B189" s="128">
        <v>178</v>
      </c>
      <c r="C189" s="394"/>
      <c r="D189" s="275"/>
      <c r="E189" s="275"/>
      <c r="F189" s="171" t="str">
        <f>IF(D189="","",VLOOKUP(D189,'G-6 Hedgerow Data'!$B$2:$AG$15,2,FALSE))</f>
        <v/>
      </c>
      <c r="G189" s="176" t="str">
        <f>IF(D189="","",VLOOKUP(D189,'G-6 Hedgerow Data'!$B$2:$AG$15,3,FALSE))</f>
        <v/>
      </c>
      <c r="H189" s="189"/>
      <c r="I189" s="172" t="str">
        <f>IFERROR(IF(AND(F189="V.Low",OR(H189="Good",H189="Moderate")),"Error",VLOOKUP(H189,'G-1 All Habitats'!$Z$2:$AA$9,2,FALSE)),"")</f>
        <v/>
      </c>
      <c r="J189" s="186"/>
      <c r="K189" s="175" t="str">
        <f>IF(J189="","",IF(VLOOKUP(J189,'G-3 Multipliers'!$L$3:$N$6,2,FALSE)=0,"Spatial Data Missing",VLOOKUP(J189,'G-3 Multipliers'!$L$3:$N$6,2,FALSE)))</f>
        <v/>
      </c>
      <c r="L189" s="176" t="str">
        <f>IF(J189="","",IF(VLOOKUP(J189,'G-3 Multipliers'!$L$3:$N$6,3,FALSE)=0,"Spatial Data Missing",VLOOKUP(J189,'G-3 Multipliers'!$L$3:$N$6,3,FALSE)))</f>
        <v/>
      </c>
      <c r="M189" s="266"/>
      <c r="N189" s="172" t="str">
        <f>IF(M189="","",IF(VLOOKUP(M189,'G-3 Multipliers'!$S$3:$T$6,2,FALSE)=0,"Spatial Data Missing",VLOOKUP(M189,'G-3 Multipliers'!$S$3:$T$6,2,FALSE)))</f>
        <v/>
      </c>
      <c r="O189" s="171" t="str">
        <f>IF(OR(D189="",H189=""),"",(INDEX('G-6 Hedgerow Data'!$E$3:$I$15,MATCH(D189,'G-6 Hedgerow Data'!$B$3:$B$15,0),MATCH(H189,'G-6 Hedgerow Data'!$E$2:$I$2,0))))</f>
        <v/>
      </c>
      <c r="P189" s="261"/>
      <c r="Q189" s="261"/>
      <c r="R189" s="179" t="str">
        <f t="shared" si="13"/>
        <v/>
      </c>
      <c r="S189" s="262" t="str">
        <f t="shared" si="14"/>
        <v/>
      </c>
      <c r="T189" s="263" t="str">
        <f t="shared" si="12"/>
        <v/>
      </c>
      <c r="U189" s="239" t="str">
        <f>IF(D189="","",VLOOKUP(D189,'G-6 Hedgerow Data'!$B$3:$AG$15,31,FALSE))</f>
        <v/>
      </c>
      <c r="V189" s="175" t="str">
        <f t="shared" si="15"/>
        <v/>
      </c>
      <c r="W189" s="175" t="str">
        <f t="shared" si="16"/>
        <v/>
      </c>
      <c r="X189" s="176" t="str">
        <f>IF(F189="","",VLOOKUP(U189,'G-3 Multipliers'!$P$3:$Q$6,2,FALSE))</f>
        <v/>
      </c>
      <c r="Y189" s="274" t="str">
        <f t="shared" si="17"/>
        <v/>
      </c>
      <c r="Z189" s="180"/>
      <c r="AA189" s="181"/>
      <c r="AG189" s="35" t="str">
        <f>IFERROR(INDEX('G-6 Hedgerow Data'!$BJ$3:$BJ$15,MATCH(D189,'G-6 Hedgerow Data'!$B$3:$B$15,0)),"")</f>
        <v/>
      </c>
    </row>
    <row r="190" spans="2:33" ht="15" customHeight="1" x14ac:dyDescent="0.25">
      <c r="B190" s="128">
        <v>179</v>
      </c>
      <c r="C190" s="394"/>
      <c r="D190" s="275"/>
      <c r="E190" s="275"/>
      <c r="F190" s="171" t="str">
        <f>IF(D190="","",VLOOKUP(D190,'G-6 Hedgerow Data'!$B$2:$AG$15,2,FALSE))</f>
        <v/>
      </c>
      <c r="G190" s="176" t="str">
        <f>IF(D190="","",VLOOKUP(D190,'G-6 Hedgerow Data'!$B$2:$AG$15,3,FALSE))</f>
        <v/>
      </c>
      <c r="H190" s="189"/>
      <c r="I190" s="172" t="str">
        <f>IFERROR(IF(AND(F190="V.Low",OR(H190="Good",H190="Moderate")),"Error",VLOOKUP(H190,'G-1 All Habitats'!$Z$2:$AA$9,2,FALSE)),"")</f>
        <v/>
      </c>
      <c r="J190" s="186"/>
      <c r="K190" s="175" t="str">
        <f>IF(J190="","",IF(VLOOKUP(J190,'G-3 Multipliers'!$L$3:$N$6,2,FALSE)=0,"Spatial Data Missing",VLOOKUP(J190,'G-3 Multipliers'!$L$3:$N$6,2,FALSE)))</f>
        <v/>
      </c>
      <c r="L190" s="176" t="str">
        <f>IF(J190="","",IF(VLOOKUP(J190,'G-3 Multipliers'!$L$3:$N$6,3,FALSE)=0,"Spatial Data Missing",VLOOKUP(J190,'G-3 Multipliers'!$L$3:$N$6,3,FALSE)))</f>
        <v/>
      </c>
      <c r="M190" s="266"/>
      <c r="N190" s="172" t="str">
        <f>IF(M190="","",IF(VLOOKUP(M190,'G-3 Multipliers'!$S$3:$T$6,2,FALSE)=0,"Spatial Data Missing",VLOOKUP(M190,'G-3 Multipliers'!$S$3:$T$6,2,FALSE)))</f>
        <v/>
      </c>
      <c r="O190" s="171" t="str">
        <f>IF(OR(D190="",H190=""),"",(INDEX('G-6 Hedgerow Data'!$E$3:$I$15,MATCH(D190,'G-6 Hedgerow Data'!$B$3:$B$15,0),MATCH(H190,'G-6 Hedgerow Data'!$E$2:$I$2,0))))</f>
        <v/>
      </c>
      <c r="P190" s="261"/>
      <c r="Q190" s="261"/>
      <c r="R190" s="179" t="str">
        <f t="shared" si="13"/>
        <v/>
      </c>
      <c r="S190" s="262" t="str">
        <f t="shared" si="14"/>
        <v/>
      </c>
      <c r="T190" s="263" t="str">
        <f t="shared" si="12"/>
        <v/>
      </c>
      <c r="U190" s="239" t="str">
        <f>IF(D190="","",VLOOKUP(D190,'G-6 Hedgerow Data'!$B$3:$AG$15,31,FALSE))</f>
        <v/>
      </c>
      <c r="V190" s="175" t="str">
        <f t="shared" si="15"/>
        <v/>
      </c>
      <c r="W190" s="175" t="str">
        <f t="shared" si="16"/>
        <v/>
      </c>
      <c r="X190" s="176" t="str">
        <f>IF(F190="","",VLOOKUP(U190,'G-3 Multipliers'!$P$3:$Q$6,2,FALSE))</f>
        <v/>
      </c>
      <c r="Y190" s="274" t="str">
        <f t="shared" si="17"/>
        <v/>
      </c>
      <c r="Z190" s="180"/>
      <c r="AA190" s="181"/>
      <c r="AG190" s="35" t="str">
        <f>IFERROR(INDEX('G-6 Hedgerow Data'!$BJ$3:$BJ$15,MATCH(D190,'G-6 Hedgerow Data'!$B$3:$B$15,0)),"")</f>
        <v/>
      </c>
    </row>
    <row r="191" spans="2:33" ht="15" customHeight="1" x14ac:dyDescent="0.25">
      <c r="B191" s="128">
        <v>180</v>
      </c>
      <c r="C191" s="394"/>
      <c r="D191" s="275"/>
      <c r="E191" s="275"/>
      <c r="F191" s="171" t="str">
        <f>IF(D191="","",VLOOKUP(D191,'G-6 Hedgerow Data'!$B$2:$AG$15,2,FALSE))</f>
        <v/>
      </c>
      <c r="G191" s="176" t="str">
        <f>IF(D191="","",VLOOKUP(D191,'G-6 Hedgerow Data'!$B$2:$AG$15,3,FALSE))</f>
        <v/>
      </c>
      <c r="H191" s="189"/>
      <c r="I191" s="172" t="str">
        <f>IFERROR(IF(AND(F191="V.Low",OR(H191="Good",H191="Moderate")),"Error",VLOOKUP(H191,'G-1 All Habitats'!$Z$2:$AA$9,2,FALSE)),"")</f>
        <v/>
      </c>
      <c r="J191" s="186"/>
      <c r="K191" s="175" t="str">
        <f>IF(J191="","",IF(VLOOKUP(J191,'G-3 Multipliers'!$L$3:$N$6,2,FALSE)=0,"Spatial Data Missing",VLOOKUP(J191,'G-3 Multipliers'!$L$3:$N$6,2,FALSE)))</f>
        <v/>
      </c>
      <c r="L191" s="176" t="str">
        <f>IF(J191="","",IF(VLOOKUP(J191,'G-3 Multipliers'!$L$3:$N$6,3,FALSE)=0,"Spatial Data Missing",VLOOKUP(J191,'G-3 Multipliers'!$L$3:$N$6,3,FALSE)))</f>
        <v/>
      </c>
      <c r="M191" s="266"/>
      <c r="N191" s="172" t="str">
        <f>IF(M191="","",IF(VLOOKUP(M191,'G-3 Multipliers'!$S$3:$T$6,2,FALSE)=0,"Spatial Data Missing",VLOOKUP(M191,'G-3 Multipliers'!$S$3:$T$6,2,FALSE)))</f>
        <v/>
      </c>
      <c r="O191" s="171" t="str">
        <f>IF(OR(D191="",H191=""),"",(INDEX('G-6 Hedgerow Data'!$E$3:$I$15,MATCH(D191,'G-6 Hedgerow Data'!$B$3:$B$15,0),MATCH(H191,'G-6 Hedgerow Data'!$E$2:$I$2,0))))</f>
        <v/>
      </c>
      <c r="P191" s="261"/>
      <c r="Q191" s="261"/>
      <c r="R191" s="179" t="str">
        <f t="shared" si="13"/>
        <v/>
      </c>
      <c r="S191" s="262" t="str">
        <f t="shared" si="14"/>
        <v/>
      </c>
      <c r="T191" s="263" t="str">
        <f t="shared" si="12"/>
        <v/>
      </c>
      <c r="U191" s="239" t="str">
        <f>IF(D191="","",VLOOKUP(D191,'G-6 Hedgerow Data'!$B$3:$AG$15,31,FALSE))</f>
        <v/>
      </c>
      <c r="V191" s="175" t="str">
        <f t="shared" si="15"/>
        <v/>
      </c>
      <c r="W191" s="175" t="str">
        <f t="shared" si="16"/>
        <v/>
      </c>
      <c r="X191" s="176" t="str">
        <f>IF(F191="","",VLOOKUP(U191,'G-3 Multipliers'!$P$3:$Q$6,2,FALSE))</f>
        <v/>
      </c>
      <c r="Y191" s="274" t="str">
        <f t="shared" si="17"/>
        <v/>
      </c>
      <c r="Z191" s="180"/>
      <c r="AA191" s="181"/>
      <c r="AG191" s="35" t="str">
        <f>IFERROR(INDEX('G-6 Hedgerow Data'!$BJ$3:$BJ$15,MATCH(D191,'G-6 Hedgerow Data'!$B$3:$B$15,0)),"")</f>
        <v/>
      </c>
    </row>
    <row r="192" spans="2:33" ht="15" customHeight="1" x14ac:dyDescent="0.25">
      <c r="B192" s="128">
        <v>181</v>
      </c>
      <c r="C192" s="394"/>
      <c r="D192" s="275"/>
      <c r="E192" s="275"/>
      <c r="F192" s="171" t="str">
        <f>IF(D192="","",VLOOKUP(D192,'G-6 Hedgerow Data'!$B$2:$AG$15,2,FALSE))</f>
        <v/>
      </c>
      <c r="G192" s="176" t="str">
        <f>IF(D192="","",VLOOKUP(D192,'G-6 Hedgerow Data'!$B$2:$AG$15,3,FALSE))</f>
        <v/>
      </c>
      <c r="H192" s="189"/>
      <c r="I192" s="172" t="str">
        <f>IFERROR(IF(AND(F192="V.Low",OR(H192="Good",H192="Moderate")),"Error",VLOOKUP(H192,'G-1 All Habitats'!$Z$2:$AA$9,2,FALSE)),"")</f>
        <v/>
      </c>
      <c r="J192" s="186"/>
      <c r="K192" s="175" t="str">
        <f>IF(J192="","",IF(VLOOKUP(J192,'G-3 Multipliers'!$L$3:$N$6,2,FALSE)=0,"Spatial Data Missing",VLOOKUP(J192,'G-3 Multipliers'!$L$3:$N$6,2,FALSE)))</f>
        <v/>
      </c>
      <c r="L192" s="176" t="str">
        <f>IF(J192="","",IF(VLOOKUP(J192,'G-3 Multipliers'!$L$3:$N$6,3,FALSE)=0,"Spatial Data Missing",VLOOKUP(J192,'G-3 Multipliers'!$L$3:$N$6,3,FALSE)))</f>
        <v/>
      </c>
      <c r="M192" s="266"/>
      <c r="N192" s="172" t="str">
        <f>IF(M192="","",IF(VLOOKUP(M192,'G-3 Multipliers'!$S$3:$T$6,2,FALSE)=0,"Spatial Data Missing",VLOOKUP(M192,'G-3 Multipliers'!$S$3:$T$6,2,FALSE)))</f>
        <v/>
      </c>
      <c r="O192" s="171" t="str">
        <f>IF(OR(D192="",H192=""),"",(INDEX('G-6 Hedgerow Data'!$E$3:$I$15,MATCH(D192,'G-6 Hedgerow Data'!$B$3:$B$15,0),MATCH(H192,'G-6 Hedgerow Data'!$E$2:$I$2,0))))</f>
        <v/>
      </c>
      <c r="P192" s="261"/>
      <c r="Q192" s="261"/>
      <c r="R192" s="179" t="str">
        <f t="shared" si="13"/>
        <v/>
      </c>
      <c r="S192" s="262" t="str">
        <f t="shared" si="14"/>
        <v/>
      </c>
      <c r="T192" s="263" t="str">
        <f t="shared" si="12"/>
        <v/>
      </c>
      <c r="U192" s="239" t="str">
        <f>IF(D192="","",VLOOKUP(D192,'G-6 Hedgerow Data'!$B$3:$AG$15,31,FALSE))</f>
        <v/>
      </c>
      <c r="V192" s="175" t="str">
        <f t="shared" si="15"/>
        <v/>
      </c>
      <c r="W192" s="175" t="str">
        <f t="shared" si="16"/>
        <v/>
      </c>
      <c r="X192" s="176" t="str">
        <f>IF(F192="","",VLOOKUP(U192,'G-3 Multipliers'!$P$3:$Q$6,2,FALSE))</f>
        <v/>
      </c>
      <c r="Y192" s="274" t="str">
        <f t="shared" si="17"/>
        <v/>
      </c>
      <c r="Z192" s="180"/>
      <c r="AA192" s="181"/>
      <c r="AG192" s="35" t="str">
        <f>IFERROR(INDEX('G-6 Hedgerow Data'!$BJ$3:$BJ$15,MATCH(D192,'G-6 Hedgerow Data'!$B$3:$B$15,0)),"")</f>
        <v/>
      </c>
    </row>
    <row r="193" spans="2:33" ht="15" customHeight="1" x14ac:dyDescent="0.25">
      <c r="B193" s="128">
        <v>182</v>
      </c>
      <c r="C193" s="394"/>
      <c r="D193" s="275"/>
      <c r="E193" s="275"/>
      <c r="F193" s="171" t="str">
        <f>IF(D193="","",VLOOKUP(D193,'G-6 Hedgerow Data'!$B$2:$AG$15,2,FALSE))</f>
        <v/>
      </c>
      <c r="G193" s="176" t="str">
        <f>IF(D193="","",VLOOKUP(D193,'G-6 Hedgerow Data'!$B$2:$AG$15,3,FALSE))</f>
        <v/>
      </c>
      <c r="H193" s="189"/>
      <c r="I193" s="172" t="str">
        <f>IFERROR(IF(AND(F193="V.Low",OR(H193="Good",H193="Moderate")),"Error",VLOOKUP(H193,'G-1 All Habitats'!$Z$2:$AA$9,2,FALSE)),"")</f>
        <v/>
      </c>
      <c r="J193" s="186"/>
      <c r="K193" s="175" t="str">
        <f>IF(J193="","",IF(VLOOKUP(J193,'G-3 Multipliers'!$L$3:$N$6,2,FALSE)=0,"Spatial Data Missing",VLOOKUP(J193,'G-3 Multipliers'!$L$3:$N$6,2,FALSE)))</f>
        <v/>
      </c>
      <c r="L193" s="176" t="str">
        <f>IF(J193="","",IF(VLOOKUP(J193,'G-3 Multipliers'!$L$3:$N$6,3,FALSE)=0,"Spatial Data Missing",VLOOKUP(J193,'G-3 Multipliers'!$L$3:$N$6,3,FALSE)))</f>
        <v/>
      </c>
      <c r="M193" s="266"/>
      <c r="N193" s="172" t="str">
        <f>IF(M193="","",IF(VLOOKUP(M193,'G-3 Multipliers'!$S$3:$T$6,2,FALSE)=0,"Spatial Data Missing",VLOOKUP(M193,'G-3 Multipliers'!$S$3:$T$6,2,FALSE)))</f>
        <v/>
      </c>
      <c r="O193" s="171" t="str">
        <f>IF(OR(D193="",H193=""),"",(INDEX('G-6 Hedgerow Data'!$E$3:$I$15,MATCH(D193,'G-6 Hedgerow Data'!$B$3:$B$15,0),MATCH(H193,'G-6 Hedgerow Data'!$E$2:$I$2,0))))</f>
        <v/>
      </c>
      <c r="P193" s="261"/>
      <c r="Q193" s="261"/>
      <c r="R193" s="179" t="str">
        <f t="shared" si="13"/>
        <v/>
      </c>
      <c r="S193" s="262" t="str">
        <f t="shared" si="14"/>
        <v/>
      </c>
      <c r="T193" s="263" t="str">
        <f t="shared" si="12"/>
        <v/>
      </c>
      <c r="U193" s="239" t="str">
        <f>IF(D193="","",VLOOKUP(D193,'G-6 Hedgerow Data'!$B$3:$AG$15,31,FALSE))</f>
        <v/>
      </c>
      <c r="V193" s="175" t="str">
        <f t="shared" si="15"/>
        <v/>
      </c>
      <c r="W193" s="175" t="str">
        <f t="shared" si="16"/>
        <v/>
      </c>
      <c r="X193" s="176" t="str">
        <f>IF(F193="","",VLOOKUP(U193,'G-3 Multipliers'!$P$3:$Q$6,2,FALSE))</f>
        <v/>
      </c>
      <c r="Y193" s="274" t="str">
        <f t="shared" si="17"/>
        <v/>
      </c>
      <c r="Z193" s="180"/>
      <c r="AA193" s="181"/>
      <c r="AG193" s="35" t="str">
        <f>IFERROR(INDEX('G-6 Hedgerow Data'!$BJ$3:$BJ$15,MATCH(D193,'G-6 Hedgerow Data'!$B$3:$B$15,0)),"")</f>
        <v/>
      </c>
    </row>
    <row r="194" spans="2:33" ht="15" customHeight="1" x14ac:dyDescent="0.25">
      <c r="B194" s="128">
        <v>183</v>
      </c>
      <c r="C194" s="394"/>
      <c r="D194" s="275"/>
      <c r="E194" s="275"/>
      <c r="F194" s="171" t="str">
        <f>IF(D194="","",VLOOKUP(D194,'G-6 Hedgerow Data'!$B$2:$AG$15,2,FALSE))</f>
        <v/>
      </c>
      <c r="G194" s="176" t="str">
        <f>IF(D194="","",VLOOKUP(D194,'G-6 Hedgerow Data'!$B$2:$AG$15,3,FALSE))</f>
        <v/>
      </c>
      <c r="H194" s="189"/>
      <c r="I194" s="172" t="str">
        <f>IFERROR(IF(AND(F194="V.Low",OR(H194="Good",H194="Moderate")),"Error",VLOOKUP(H194,'G-1 All Habitats'!$Z$2:$AA$9,2,FALSE)),"")</f>
        <v/>
      </c>
      <c r="J194" s="186"/>
      <c r="K194" s="175" t="str">
        <f>IF(J194="","",IF(VLOOKUP(J194,'G-3 Multipliers'!$L$3:$N$6,2,FALSE)=0,"Spatial Data Missing",VLOOKUP(J194,'G-3 Multipliers'!$L$3:$N$6,2,FALSE)))</f>
        <v/>
      </c>
      <c r="L194" s="176" t="str">
        <f>IF(J194="","",IF(VLOOKUP(J194,'G-3 Multipliers'!$L$3:$N$6,3,FALSE)=0,"Spatial Data Missing",VLOOKUP(J194,'G-3 Multipliers'!$L$3:$N$6,3,FALSE)))</f>
        <v/>
      </c>
      <c r="M194" s="266"/>
      <c r="N194" s="172" t="str">
        <f>IF(M194="","",IF(VLOOKUP(M194,'G-3 Multipliers'!$S$3:$T$6,2,FALSE)=0,"Spatial Data Missing",VLOOKUP(M194,'G-3 Multipliers'!$S$3:$T$6,2,FALSE)))</f>
        <v/>
      </c>
      <c r="O194" s="171" t="str">
        <f>IF(OR(D194="",H194=""),"",(INDEX('G-6 Hedgerow Data'!$E$3:$I$15,MATCH(D194,'G-6 Hedgerow Data'!$B$3:$B$15,0),MATCH(H194,'G-6 Hedgerow Data'!$E$2:$I$2,0))))</f>
        <v/>
      </c>
      <c r="P194" s="261"/>
      <c r="Q194" s="261"/>
      <c r="R194" s="179" t="str">
        <f t="shared" si="13"/>
        <v/>
      </c>
      <c r="S194" s="262" t="str">
        <f t="shared" si="14"/>
        <v/>
      </c>
      <c r="T194" s="263" t="str">
        <f t="shared" si="12"/>
        <v/>
      </c>
      <c r="U194" s="239" t="str">
        <f>IF(D194="","",VLOOKUP(D194,'G-6 Hedgerow Data'!$B$3:$AG$15,31,FALSE))</f>
        <v/>
      </c>
      <c r="V194" s="175" t="str">
        <f t="shared" si="15"/>
        <v/>
      </c>
      <c r="W194" s="175" t="str">
        <f t="shared" si="16"/>
        <v/>
      </c>
      <c r="X194" s="176" t="str">
        <f>IF(F194="","",VLOOKUP(U194,'G-3 Multipliers'!$P$3:$Q$6,2,FALSE))</f>
        <v/>
      </c>
      <c r="Y194" s="274" t="str">
        <f t="shared" si="17"/>
        <v/>
      </c>
      <c r="Z194" s="180"/>
      <c r="AA194" s="181"/>
      <c r="AG194" s="35" t="str">
        <f>IFERROR(INDEX('G-6 Hedgerow Data'!$BJ$3:$BJ$15,MATCH(D194,'G-6 Hedgerow Data'!$B$3:$B$15,0)),"")</f>
        <v/>
      </c>
    </row>
    <row r="195" spans="2:33" ht="15" customHeight="1" x14ac:dyDescent="0.25">
      <c r="B195" s="128">
        <v>184</v>
      </c>
      <c r="C195" s="394"/>
      <c r="D195" s="275"/>
      <c r="E195" s="275"/>
      <c r="F195" s="171" t="str">
        <f>IF(D195="","",VLOOKUP(D195,'G-6 Hedgerow Data'!$B$2:$AG$15,2,FALSE))</f>
        <v/>
      </c>
      <c r="G195" s="176" t="str">
        <f>IF(D195="","",VLOOKUP(D195,'G-6 Hedgerow Data'!$B$2:$AG$15,3,FALSE))</f>
        <v/>
      </c>
      <c r="H195" s="189"/>
      <c r="I195" s="172" t="str">
        <f>IFERROR(IF(AND(F195="V.Low",OR(H195="Good",H195="Moderate")),"Error",VLOOKUP(H195,'G-1 All Habitats'!$Z$2:$AA$9,2,FALSE)),"")</f>
        <v/>
      </c>
      <c r="J195" s="186"/>
      <c r="K195" s="175" t="str">
        <f>IF(J195="","",IF(VLOOKUP(J195,'G-3 Multipliers'!$L$3:$N$6,2,FALSE)=0,"Spatial Data Missing",VLOOKUP(J195,'G-3 Multipliers'!$L$3:$N$6,2,FALSE)))</f>
        <v/>
      </c>
      <c r="L195" s="176" t="str">
        <f>IF(J195="","",IF(VLOOKUP(J195,'G-3 Multipliers'!$L$3:$N$6,3,FALSE)=0,"Spatial Data Missing",VLOOKUP(J195,'G-3 Multipliers'!$L$3:$N$6,3,FALSE)))</f>
        <v/>
      </c>
      <c r="M195" s="266"/>
      <c r="N195" s="172" t="str">
        <f>IF(M195="","",IF(VLOOKUP(M195,'G-3 Multipliers'!$S$3:$T$6,2,FALSE)=0,"Spatial Data Missing",VLOOKUP(M195,'G-3 Multipliers'!$S$3:$T$6,2,FALSE)))</f>
        <v/>
      </c>
      <c r="O195" s="171" t="str">
        <f>IF(OR(D195="",H195=""),"",(INDEX('G-6 Hedgerow Data'!$E$3:$I$15,MATCH(D195,'G-6 Hedgerow Data'!$B$3:$B$15,0),MATCH(H195,'G-6 Hedgerow Data'!$E$2:$I$2,0))))</f>
        <v/>
      </c>
      <c r="P195" s="261"/>
      <c r="Q195" s="261"/>
      <c r="R195" s="179" t="str">
        <f t="shared" si="13"/>
        <v/>
      </c>
      <c r="S195" s="262" t="str">
        <f t="shared" si="14"/>
        <v/>
      </c>
      <c r="T195" s="263" t="str">
        <f t="shared" si="12"/>
        <v/>
      </c>
      <c r="U195" s="239" t="str">
        <f>IF(D195="","",VLOOKUP(D195,'G-6 Hedgerow Data'!$B$3:$AG$15,31,FALSE))</f>
        <v/>
      </c>
      <c r="V195" s="175" t="str">
        <f t="shared" si="15"/>
        <v/>
      </c>
      <c r="W195" s="175" t="str">
        <f t="shared" si="16"/>
        <v/>
      </c>
      <c r="X195" s="176" t="str">
        <f>IF(F195="","",VLOOKUP(U195,'G-3 Multipliers'!$P$3:$Q$6,2,FALSE))</f>
        <v/>
      </c>
      <c r="Y195" s="274" t="str">
        <f t="shared" si="17"/>
        <v/>
      </c>
      <c r="Z195" s="180"/>
      <c r="AA195" s="181"/>
      <c r="AG195" s="35" t="str">
        <f>IFERROR(INDEX('G-6 Hedgerow Data'!$BJ$3:$BJ$15,MATCH(D195,'G-6 Hedgerow Data'!$B$3:$B$15,0)),"")</f>
        <v/>
      </c>
    </row>
    <row r="196" spans="2:33" ht="15" customHeight="1" x14ac:dyDescent="0.25">
      <c r="B196" s="128">
        <v>185</v>
      </c>
      <c r="C196" s="394"/>
      <c r="D196" s="275"/>
      <c r="E196" s="275"/>
      <c r="F196" s="171" t="str">
        <f>IF(D196="","",VLOOKUP(D196,'G-6 Hedgerow Data'!$B$2:$AG$15,2,FALSE))</f>
        <v/>
      </c>
      <c r="G196" s="176" t="str">
        <f>IF(D196="","",VLOOKUP(D196,'G-6 Hedgerow Data'!$B$2:$AG$15,3,FALSE))</f>
        <v/>
      </c>
      <c r="H196" s="189"/>
      <c r="I196" s="172" t="str">
        <f>IFERROR(IF(AND(F196="V.Low",OR(H196="Good",H196="Moderate")),"Error",VLOOKUP(H196,'G-1 All Habitats'!$Z$2:$AA$9,2,FALSE)),"")</f>
        <v/>
      </c>
      <c r="J196" s="186"/>
      <c r="K196" s="175" t="str">
        <f>IF(J196="","",IF(VLOOKUP(J196,'G-3 Multipliers'!$L$3:$N$6,2,FALSE)=0,"Spatial Data Missing",VLOOKUP(J196,'G-3 Multipliers'!$L$3:$N$6,2,FALSE)))</f>
        <v/>
      </c>
      <c r="L196" s="176" t="str">
        <f>IF(J196="","",IF(VLOOKUP(J196,'G-3 Multipliers'!$L$3:$N$6,3,FALSE)=0,"Spatial Data Missing",VLOOKUP(J196,'G-3 Multipliers'!$L$3:$N$6,3,FALSE)))</f>
        <v/>
      </c>
      <c r="M196" s="266"/>
      <c r="N196" s="172" t="str">
        <f>IF(M196="","",IF(VLOOKUP(M196,'G-3 Multipliers'!$S$3:$T$6,2,FALSE)=0,"Spatial Data Missing",VLOOKUP(M196,'G-3 Multipliers'!$S$3:$T$6,2,FALSE)))</f>
        <v/>
      </c>
      <c r="O196" s="171" t="str">
        <f>IF(OR(D196="",H196=""),"",(INDEX('G-6 Hedgerow Data'!$E$3:$I$15,MATCH(D196,'G-6 Hedgerow Data'!$B$3:$B$15,0),MATCH(H196,'G-6 Hedgerow Data'!$E$2:$I$2,0))))</f>
        <v/>
      </c>
      <c r="P196" s="261"/>
      <c r="Q196" s="261"/>
      <c r="R196" s="179" t="str">
        <f t="shared" si="13"/>
        <v/>
      </c>
      <c r="S196" s="262" t="str">
        <f t="shared" si="14"/>
        <v/>
      </c>
      <c r="T196" s="263" t="str">
        <f t="shared" si="12"/>
        <v/>
      </c>
      <c r="U196" s="239" t="str">
        <f>IF(D196="","",VLOOKUP(D196,'G-6 Hedgerow Data'!$B$3:$AG$15,31,FALSE))</f>
        <v/>
      </c>
      <c r="V196" s="175" t="str">
        <f t="shared" si="15"/>
        <v/>
      </c>
      <c r="W196" s="175" t="str">
        <f t="shared" si="16"/>
        <v/>
      </c>
      <c r="X196" s="176" t="str">
        <f>IF(F196="","",VLOOKUP(U196,'G-3 Multipliers'!$P$3:$Q$6,2,FALSE))</f>
        <v/>
      </c>
      <c r="Y196" s="274" t="str">
        <f t="shared" si="17"/>
        <v/>
      </c>
      <c r="Z196" s="180"/>
      <c r="AA196" s="181"/>
      <c r="AG196" s="35" t="str">
        <f>IFERROR(INDEX('G-6 Hedgerow Data'!$BJ$3:$BJ$15,MATCH(D196,'G-6 Hedgerow Data'!$B$3:$B$15,0)),"")</f>
        <v/>
      </c>
    </row>
    <row r="197" spans="2:33" ht="15" customHeight="1" x14ac:dyDescent="0.25">
      <c r="B197" s="128">
        <v>186</v>
      </c>
      <c r="C197" s="394"/>
      <c r="D197" s="275"/>
      <c r="E197" s="275"/>
      <c r="F197" s="171" t="str">
        <f>IF(D197="","",VLOOKUP(D197,'G-6 Hedgerow Data'!$B$2:$AG$15,2,FALSE))</f>
        <v/>
      </c>
      <c r="G197" s="176" t="str">
        <f>IF(D197="","",VLOOKUP(D197,'G-6 Hedgerow Data'!$B$2:$AG$15,3,FALSE))</f>
        <v/>
      </c>
      <c r="H197" s="189"/>
      <c r="I197" s="172" t="str">
        <f>IFERROR(IF(AND(F197="V.Low",OR(H197="Good",H197="Moderate")),"Error",VLOOKUP(H197,'G-1 All Habitats'!$Z$2:$AA$9,2,FALSE)),"")</f>
        <v/>
      </c>
      <c r="J197" s="186"/>
      <c r="K197" s="175" t="str">
        <f>IF(J197="","",IF(VLOOKUP(J197,'G-3 Multipliers'!$L$3:$N$6,2,FALSE)=0,"Spatial Data Missing",VLOOKUP(J197,'G-3 Multipliers'!$L$3:$N$6,2,FALSE)))</f>
        <v/>
      </c>
      <c r="L197" s="176" t="str">
        <f>IF(J197="","",IF(VLOOKUP(J197,'G-3 Multipliers'!$L$3:$N$6,3,FALSE)=0,"Spatial Data Missing",VLOOKUP(J197,'G-3 Multipliers'!$L$3:$N$6,3,FALSE)))</f>
        <v/>
      </c>
      <c r="M197" s="266"/>
      <c r="N197" s="172" t="str">
        <f>IF(M197="","",IF(VLOOKUP(M197,'G-3 Multipliers'!$S$3:$T$6,2,FALSE)=0,"Spatial Data Missing",VLOOKUP(M197,'G-3 Multipliers'!$S$3:$T$6,2,FALSE)))</f>
        <v/>
      </c>
      <c r="O197" s="171" t="str">
        <f>IF(OR(D197="",H197=""),"",(INDEX('G-6 Hedgerow Data'!$E$3:$I$15,MATCH(D197,'G-6 Hedgerow Data'!$B$3:$B$15,0),MATCH(H197,'G-6 Hedgerow Data'!$E$2:$I$2,0))))</f>
        <v/>
      </c>
      <c r="P197" s="261"/>
      <c r="Q197" s="261"/>
      <c r="R197" s="179" t="str">
        <f t="shared" si="13"/>
        <v/>
      </c>
      <c r="S197" s="262" t="str">
        <f t="shared" si="14"/>
        <v/>
      </c>
      <c r="T197" s="263" t="str">
        <f t="shared" si="12"/>
        <v/>
      </c>
      <c r="U197" s="239" t="str">
        <f>IF(D197="","",VLOOKUP(D197,'G-6 Hedgerow Data'!$B$3:$AG$15,31,FALSE))</f>
        <v/>
      </c>
      <c r="V197" s="175" t="str">
        <f t="shared" si="15"/>
        <v/>
      </c>
      <c r="W197" s="175" t="str">
        <f t="shared" si="16"/>
        <v/>
      </c>
      <c r="X197" s="176" t="str">
        <f>IF(F197="","",VLOOKUP(U197,'G-3 Multipliers'!$P$3:$Q$6,2,FALSE))</f>
        <v/>
      </c>
      <c r="Y197" s="274" t="str">
        <f t="shared" si="17"/>
        <v/>
      </c>
      <c r="Z197" s="180"/>
      <c r="AA197" s="181"/>
      <c r="AG197" s="35" t="str">
        <f>IFERROR(INDEX('G-6 Hedgerow Data'!$BJ$3:$BJ$15,MATCH(D197,'G-6 Hedgerow Data'!$B$3:$B$15,0)),"")</f>
        <v/>
      </c>
    </row>
    <row r="198" spans="2:33" ht="15" customHeight="1" x14ac:dyDescent="0.25">
      <c r="B198" s="128">
        <v>187</v>
      </c>
      <c r="C198" s="394"/>
      <c r="D198" s="275"/>
      <c r="E198" s="275"/>
      <c r="F198" s="171" t="str">
        <f>IF(D198="","",VLOOKUP(D198,'G-6 Hedgerow Data'!$B$2:$AG$15,2,FALSE))</f>
        <v/>
      </c>
      <c r="G198" s="176" t="str">
        <f>IF(D198="","",VLOOKUP(D198,'G-6 Hedgerow Data'!$B$2:$AG$15,3,FALSE))</f>
        <v/>
      </c>
      <c r="H198" s="189"/>
      <c r="I198" s="172" t="str">
        <f>IFERROR(IF(AND(F198="V.Low",OR(H198="Good",H198="Moderate")),"Error",VLOOKUP(H198,'G-1 All Habitats'!$Z$2:$AA$9,2,FALSE)),"")</f>
        <v/>
      </c>
      <c r="J198" s="186"/>
      <c r="K198" s="175" t="str">
        <f>IF(J198="","",IF(VLOOKUP(J198,'G-3 Multipliers'!$L$3:$N$6,2,FALSE)=0,"Spatial Data Missing",VLOOKUP(J198,'G-3 Multipliers'!$L$3:$N$6,2,FALSE)))</f>
        <v/>
      </c>
      <c r="L198" s="176" t="str">
        <f>IF(J198="","",IF(VLOOKUP(J198,'G-3 Multipliers'!$L$3:$N$6,3,FALSE)=0,"Spatial Data Missing",VLOOKUP(J198,'G-3 Multipliers'!$L$3:$N$6,3,FALSE)))</f>
        <v/>
      </c>
      <c r="M198" s="266"/>
      <c r="N198" s="172" t="str">
        <f>IF(M198="","",IF(VLOOKUP(M198,'G-3 Multipliers'!$S$3:$T$6,2,FALSE)=0,"Spatial Data Missing",VLOOKUP(M198,'G-3 Multipliers'!$S$3:$T$6,2,FALSE)))</f>
        <v/>
      </c>
      <c r="O198" s="171" t="str">
        <f>IF(OR(D198="",H198=""),"",(INDEX('G-6 Hedgerow Data'!$E$3:$I$15,MATCH(D198,'G-6 Hedgerow Data'!$B$3:$B$15,0),MATCH(H198,'G-6 Hedgerow Data'!$E$2:$I$2,0))))</f>
        <v/>
      </c>
      <c r="P198" s="261"/>
      <c r="Q198" s="261"/>
      <c r="R198" s="179" t="str">
        <f t="shared" si="13"/>
        <v/>
      </c>
      <c r="S198" s="262" t="str">
        <f t="shared" si="14"/>
        <v/>
      </c>
      <c r="T198" s="263" t="str">
        <f t="shared" si="12"/>
        <v/>
      </c>
      <c r="U198" s="239" t="str">
        <f>IF(D198="","",VLOOKUP(D198,'G-6 Hedgerow Data'!$B$3:$AG$15,31,FALSE))</f>
        <v/>
      </c>
      <c r="V198" s="175" t="str">
        <f t="shared" si="15"/>
        <v/>
      </c>
      <c r="W198" s="175" t="str">
        <f t="shared" si="16"/>
        <v/>
      </c>
      <c r="X198" s="176" t="str">
        <f>IF(F198="","",VLOOKUP(U198,'G-3 Multipliers'!$P$3:$Q$6,2,FALSE))</f>
        <v/>
      </c>
      <c r="Y198" s="274" t="str">
        <f t="shared" si="17"/>
        <v/>
      </c>
      <c r="Z198" s="180"/>
      <c r="AA198" s="181"/>
      <c r="AG198" s="35" t="str">
        <f>IFERROR(INDEX('G-6 Hedgerow Data'!$BJ$3:$BJ$15,MATCH(D198,'G-6 Hedgerow Data'!$B$3:$B$15,0)),"")</f>
        <v/>
      </c>
    </row>
    <row r="199" spans="2:33" ht="15" customHeight="1" x14ac:dyDescent="0.25">
      <c r="B199" s="128">
        <v>188</v>
      </c>
      <c r="C199" s="394"/>
      <c r="D199" s="275"/>
      <c r="E199" s="275"/>
      <c r="F199" s="171" t="str">
        <f>IF(D199="","",VLOOKUP(D199,'G-6 Hedgerow Data'!$B$2:$AG$15,2,FALSE))</f>
        <v/>
      </c>
      <c r="G199" s="176" t="str">
        <f>IF(D199="","",VLOOKUP(D199,'G-6 Hedgerow Data'!$B$2:$AG$15,3,FALSE))</f>
        <v/>
      </c>
      <c r="H199" s="189"/>
      <c r="I199" s="172" t="str">
        <f>IFERROR(IF(AND(F199="V.Low",OR(H199="Good",H199="Moderate")),"Error",VLOOKUP(H199,'G-1 All Habitats'!$Z$2:$AA$9,2,FALSE)),"")</f>
        <v/>
      </c>
      <c r="J199" s="186"/>
      <c r="K199" s="175" t="str">
        <f>IF(J199="","",IF(VLOOKUP(J199,'G-3 Multipliers'!$L$3:$N$6,2,FALSE)=0,"Spatial Data Missing",VLOOKUP(J199,'G-3 Multipliers'!$L$3:$N$6,2,FALSE)))</f>
        <v/>
      </c>
      <c r="L199" s="176" t="str">
        <f>IF(J199="","",IF(VLOOKUP(J199,'G-3 Multipliers'!$L$3:$N$6,3,FALSE)=0,"Spatial Data Missing",VLOOKUP(J199,'G-3 Multipliers'!$L$3:$N$6,3,FALSE)))</f>
        <v/>
      </c>
      <c r="M199" s="266"/>
      <c r="N199" s="172" t="str">
        <f>IF(M199="","",IF(VLOOKUP(M199,'G-3 Multipliers'!$S$3:$T$6,2,FALSE)=0,"Spatial Data Missing",VLOOKUP(M199,'G-3 Multipliers'!$S$3:$T$6,2,FALSE)))</f>
        <v/>
      </c>
      <c r="O199" s="171" t="str">
        <f>IF(OR(D199="",H199=""),"",(INDEX('G-6 Hedgerow Data'!$E$3:$I$15,MATCH(D199,'G-6 Hedgerow Data'!$B$3:$B$15,0),MATCH(H199,'G-6 Hedgerow Data'!$E$2:$I$2,0))))</f>
        <v/>
      </c>
      <c r="P199" s="261"/>
      <c r="Q199" s="261"/>
      <c r="R199" s="179" t="str">
        <f t="shared" si="13"/>
        <v/>
      </c>
      <c r="S199" s="262" t="str">
        <f t="shared" si="14"/>
        <v/>
      </c>
      <c r="T199" s="263" t="str">
        <f t="shared" si="12"/>
        <v/>
      </c>
      <c r="U199" s="239" t="str">
        <f>IF(D199="","",VLOOKUP(D199,'G-6 Hedgerow Data'!$B$3:$AG$15,31,FALSE))</f>
        <v/>
      </c>
      <c r="V199" s="175" t="str">
        <f t="shared" si="15"/>
        <v/>
      </c>
      <c r="W199" s="175" t="str">
        <f t="shared" si="16"/>
        <v/>
      </c>
      <c r="X199" s="176" t="str">
        <f>IF(F199="","",VLOOKUP(U199,'G-3 Multipliers'!$P$3:$Q$6,2,FALSE))</f>
        <v/>
      </c>
      <c r="Y199" s="274" t="str">
        <f t="shared" si="17"/>
        <v/>
      </c>
      <c r="Z199" s="180"/>
      <c r="AA199" s="181"/>
      <c r="AG199" s="35" t="str">
        <f>IFERROR(INDEX('G-6 Hedgerow Data'!$BJ$3:$BJ$15,MATCH(D199,'G-6 Hedgerow Data'!$B$3:$B$15,0)),"")</f>
        <v/>
      </c>
    </row>
    <row r="200" spans="2:33" ht="15" customHeight="1" x14ac:dyDescent="0.25">
      <c r="B200" s="128">
        <v>189</v>
      </c>
      <c r="C200" s="394"/>
      <c r="D200" s="275"/>
      <c r="E200" s="275"/>
      <c r="F200" s="171" t="str">
        <f>IF(D200="","",VLOOKUP(D200,'G-6 Hedgerow Data'!$B$2:$AG$15,2,FALSE))</f>
        <v/>
      </c>
      <c r="G200" s="176" t="str">
        <f>IF(D200="","",VLOOKUP(D200,'G-6 Hedgerow Data'!$B$2:$AG$15,3,FALSE))</f>
        <v/>
      </c>
      <c r="H200" s="189"/>
      <c r="I200" s="172" t="str">
        <f>IFERROR(IF(AND(F200="V.Low",OR(H200="Good",H200="Moderate")),"Error",VLOOKUP(H200,'G-1 All Habitats'!$Z$2:$AA$9,2,FALSE)),"")</f>
        <v/>
      </c>
      <c r="J200" s="186"/>
      <c r="K200" s="175" t="str">
        <f>IF(J200="","",IF(VLOOKUP(J200,'G-3 Multipliers'!$L$3:$N$6,2,FALSE)=0,"Spatial Data Missing",VLOOKUP(J200,'G-3 Multipliers'!$L$3:$N$6,2,FALSE)))</f>
        <v/>
      </c>
      <c r="L200" s="176" t="str">
        <f>IF(J200="","",IF(VLOOKUP(J200,'G-3 Multipliers'!$L$3:$N$6,3,FALSE)=0,"Spatial Data Missing",VLOOKUP(J200,'G-3 Multipliers'!$L$3:$N$6,3,FALSE)))</f>
        <v/>
      </c>
      <c r="M200" s="266"/>
      <c r="N200" s="172" t="str">
        <f>IF(M200="","",IF(VLOOKUP(M200,'G-3 Multipliers'!$S$3:$T$6,2,FALSE)=0,"Spatial Data Missing",VLOOKUP(M200,'G-3 Multipliers'!$S$3:$T$6,2,FALSE)))</f>
        <v/>
      </c>
      <c r="O200" s="171" t="str">
        <f>IF(OR(D200="",H200=""),"",(INDEX('G-6 Hedgerow Data'!$E$3:$I$15,MATCH(D200,'G-6 Hedgerow Data'!$B$3:$B$15,0),MATCH(H200,'G-6 Hedgerow Data'!$E$2:$I$2,0))))</f>
        <v/>
      </c>
      <c r="P200" s="261"/>
      <c r="Q200" s="261"/>
      <c r="R200" s="179" t="str">
        <f t="shared" si="13"/>
        <v/>
      </c>
      <c r="S200" s="262" t="str">
        <f t="shared" si="14"/>
        <v/>
      </c>
      <c r="T200" s="263" t="str">
        <f t="shared" si="12"/>
        <v/>
      </c>
      <c r="U200" s="239" t="str">
        <f>IF(D200="","",VLOOKUP(D200,'G-6 Hedgerow Data'!$B$3:$AG$15,31,FALSE))</f>
        <v/>
      </c>
      <c r="V200" s="175" t="str">
        <f t="shared" si="15"/>
        <v/>
      </c>
      <c r="W200" s="175" t="str">
        <f t="shared" si="16"/>
        <v/>
      </c>
      <c r="X200" s="176" t="str">
        <f>IF(F200="","",VLOOKUP(U200,'G-3 Multipliers'!$P$3:$Q$6,2,FALSE))</f>
        <v/>
      </c>
      <c r="Y200" s="274" t="str">
        <f t="shared" si="17"/>
        <v/>
      </c>
      <c r="Z200" s="180"/>
      <c r="AA200" s="181"/>
      <c r="AG200" s="35" t="str">
        <f>IFERROR(INDEX('G-6 Hedgerow Data'!$BJ$3:$BJ$15,MATCH(D200,'G-6 Hedgerow Data'!$B$3:$B$15,0)),"")</f>
        <v/>
      </c>
    </row>
    <row r="201" spans="2:33" ht="15" customHeight="1" x14ac:dyDescent="0.25">
      <c r="B201" s="128">
        <v>190</v>
      </c>
      <c r="C201" s="394"/>
      <c r="D201" s="275"/>
      <c r="E201" s="275"/>
      <c r="F201" s="171" t="str">
        <f>IF(D201="","",VLOOKUP(D201,'G-6 Hedgerow Data'!$B$2:$AG$15,2,FALSE))</f>
        <v/>
      </c>
      <c r="G201" s="176" t="str">
        <f>IF(D201="","",VLOOKUP(D201,'G-6 Hedgerow Data'!$B$2:$AG$15,3,FALSE))</f>
        <v/>
      </c>
      <c r="H201" s="189"/>
      <c r="I201" s="172" t="str">
        <f>IFERROR(IF(AND(F201="V.Low",OR(H201="Good",H201="Moderate")),"Error",VLOOKUP(H201,'G-1 All Habitats'!$Z$2:$AA$9,2,FALSE)),"")</f>
        <v/>
      </c>
      <c r="J201" s="186"/>
      <c r="K201" s="175" t="str">
        <f>IF(J201="","",IF(VLOOKUP(J201,'G-3 Multipliers'!$L$3:$N$6,2,FALSE)=0,"Spatial Data Missing",VLOOKUP(J201,'G-3 Multipliers'!$L$3:$N$6,2,FALSE)))</f>
        <v/>
      </c>
      <c r="L201" s="176" t="str">
        <f>IF(J201="","",IF(VLOOKUP(J201,'G-3 Multipliers'!$L$3:$N$6,3,FALSE)=0,"Spatial Data Missing",VLOOKUP(J201,'G-3 Multipliers'!$L$3:$N$6,3,FALSE)))</f>
        <v/>
      </c>
      <c r="M201" s="266"/>
      <c r="N201" s="172" t="str">
        <f>IF(M201="","",IF(VLOOKUP(M201,'G-3 Multipliers'!$S$3:$T$6,2,FALSE)=0,"Spatial Data Missing",VLOOKUP(M201,'G-3 Multipliers'!$S$3:$T$6,2,FALSE)))</f>
        <v/>
      </c>
      <c r="O201" s="171" t="str">
        <f>IF(OR(D201="",H201=""),"",(INDEX('G-6 Hedgerow Data'!$E$3:$I$15,MATCH(D201,'G-6 Hedgerow Data'!$B$3:$B$15,0),MATCH(H201,'G-6 Hedgerow Data'!$E$2:$I$2,0))))</f>
        <v/>
      </c>
      <c r="P201" s="261"/>
      <c r="Q201" s="261"/>
      <c r="R201" s="179" t="str">
        <f t="shared" si="13"/>
        <v/>
      </c>
      <c r="S201" s="262" t="str">
        <f t="shared" si="14"/>
        <v/>
      </c>
      <c r="T201" s="263" t="str">
        <f t="shared" si="12"/>
        <v/>
      </c>
      <c r="U201" s="239" t="str">
        <f>IF(D201="","",VLOOKUP(D201,'G-6 Hedgerow Data'!$B$3:$AG$15,31,FALSE))</f>
        <v/>
      </c>
      <c r="V201" s="175" t="str">
        <f t="shared" si="15"/>
        <v/>
      </c>
      <c r="W201" s="175" t="str">
        <f t="shared" si="16"/>
        <v/>
      </c>
      <c r="X201" s="176" t="str">
        <f>IF(F201="","",VLOOKUP(U201,'G-3 Multipliers'!$P$3:$Q$6,2,FALSE))</f>
        <v/>
      </c>
      <c r="Y201" s="274" t="str">
        <f t="shared" si="17"/>
        <v/>
      </c>
      <c r="Z201" s="180"/>
      <c r="AA201" s="181"/>
      <c r="AG201" s="35" t="str">
        <f>IFERROR(INDEX('G-6 Hedgerow Data'!$BJ$3:$BJ$15,MATCH(D201,'G-6 Hedgerow Data'!$B$3:$B$15,0)),"")</f>
        <v/>
      </c>
    </row>
    <row r="202" spans="2:33" ht="15" customHeight="1" x14ac:dyDescent="0.25">
      <c r="B202" s="128">
        <v>191</v>
      </c>
      <c r="C202" s="394"/>
      <c r="D202" s="275"/>
      <c r="E202" s="275"/>
      <c r="F202" s="171" t="str">
        <f>IF(D202="","",VLOOKUP(D202,'G-6 Hedgerow Data'!$B$2:$AG$15,2,FALSE))</f>
        <v/>
      </c>
      <c r="G202" s="176" t="str">
        <f>IF(D202="","",VLOOKUP(D202,'G-6 Hedgerow Data'!$B$2:$AG$15,3,FALSE))</f>
        <v/>
      </c>
      <c r="H202" s="189"/>
      <c r="I202" s="172" t="str">
        <f>IFERROR(IF(AND(F202="V.Low",OR(H202="Good",H202="Moderate")),"Error",VLOOKUP(H202,'G-1 All Habitats'!$Z$2:$AA$9,2,FALSE)),"")</f>
        <v/>
      </c>
      <c r="J202" s="186"/>
      <c r="K202" s="175" t="str">
        <f>IF(J202="","",IF(VLOOKUP(J202,'G-3 Multipliers'!$L$3:$N$6,2,FALSE)=0,"Spatial Data Missing",VLOOKUP(J202,'G-3 Multipliers'!$L$3:$N$6,2,FALSE)))</f>
        <v/>
      </c>
      <c r="L202" s="176" t="str">
        <f>IF(J202="","",IF(VLOOKUP(J202,'G-3 Multipliers'!$L$3:$N$6,3,FALSE)=0,"Spatial Data Missing",VLOOKUP(J202,'G-3 Multipliers'!$L$3:$N$6,3,FALSE)))</f>
        <v/>
      </c>
      <c r="M202" s="266"/>
      <c r="N202" s="172" t="str">
        <f>IF(M202="","",IF(VLOOKUP(M202,'G-3 Multipliers'!$S$3:$T$6,2,FALSE)=0,"Spatial Data Missing",VLOOKUP(M202,'G-3 Multipliers'!$S$3:$T$6,2,FALSE)))</f>
        <v/>
      </c>
      <c r="O202" s="171" t="str">
        <f>IF(OR(D202="",H202=""),"",(INDEX('G-6 Hedgerow Data'!$E$3:$I$15,MATCH(D202,'G-6 Hedgerow Data'!$B$3:$B$15,0),MATCH(H202,'G-6 Hedgerow Data'!$E$2:$I$2,0))))</f>
        <v/>
      </c>
      <c r="P202" s="261"/>
      <c r="Q202" s="261"/>
      <c r="R202" s="179" t="str">
        <f t="shared" si="13"/>
        <v/>
      </c>
      <c r="S202" s="262" t="str">
        <f t="shared" si="14"/>
        <v/>
      </c>
      <c r="T202" s="263" t="str">
        <f t="shared" si="12"/>
        <v/>
      </c>
      <c r="U202" s="239" t="str">
        <f>IF(D202="","",VLOOKUP(D202,'G-6 Hedgerow Data'!$B$3:$AG$15,31,FALSE))</f>
        <v/>
      </c>
      <c r="V202" s="175" t="str">
        <f t="shared" si="15"/>
        <v/>
      </c>
      <c r="W202" s="175" t="str">
        <f t="shared" si="16"/>
        <v/>
      </c>
      <c r="X202" s="176" t="str">
        <f>IF(F202="","",VLOOKUP(U202,'G-3 Multipliers'!$P$3:$Q$6,2,FALSE))</f>
        <v/>
      </c>
      <c r="Y202" s="274" t="str">
        <f t="shared" si="17"/>
        <v/>
      </c>
      <c r="Z202" s="180"/>
      <c r="AA202" s="181"/>
      <c r="AG202" s="35" t="str">
        <f>IFERROR(INDEX('G-6 Hedgerow Data'!$BJ$3:$BJ$15,MATCH(D202,'G-6 Hedgerow Data'!$B$3:$B$15,0)),"")</f>
        <v/>
      </c>
    </row>
    <row r="203" spans="2:33" ht="15" customHeight="1" x14ac:dyDescent="0.25">
      <c r="B203" s="128">
        <v>192</v>
      </c>
      <c r="C203" s="394"/>
      <c r="D203" s="275"/>
      <c r="E203" s="275"/>
      <c r="F203" s="171" t="str">
        <f>IF(D203="","",VLOOKUP(D203,'G-6 Hedgerow Data'!$B$2:$AG$15,2,FALSE))</f>
        <v/>
      </c>
      <c r="G203" s="176" t="str">
        <f>IF(D203="","",VLOOKUP(D203,'G-6 Hedgerow Data'!$B$2:$AG$15,3,FALSE))</f>
        <v/>
      </c>
      <c r="H203" s="189"/>
      <c r="I203" s="172" t="str">
        <f>IFERROR(IF(AND(F203="V.Low",OR(H203="Good",H203="Moderate")),"Error",VLOOKUP(H203,'G-1 All Habitats'!$Z$2:$AA$9,2,FALSE)),"")</f>
        <v/>
      </c>
      <c r="J203" s="186"/>
      <c r="K203" s="175" t="str">
        <f>IF(J203="","",IF(VLOOKUP(J203,'G-3 Multipliers'!$L$3:$N$6,2,FALSE)=0,"Spatial Data Missing",VLOOKUP(J203,'G-3 Multipliers'!$L$3:$N$6,2,FALSE)))</f>
        <v/>
      </c>
      <c r="L203" s="176" t="str">
        <f>IF(J203="","",IF(VLOOKUP(J203,'G-3 Multipliers'!$L$3:$N$6,3,FALSE)=0,"Spatial Data Missing",VLOOKUP(J203,'G-3 Multipliers'!$L$3:$N$6,3,FALSE)))</f>
        <v/>
      </c>
      <c r="M203" s="266"/>
      <c r="N203" s="172" t="str">
        <f>IF(M203="","",IF(VLOOKUP(M203,'G-3 Multipliers'!$S$3:$T$6,2,FALSE)=0,"Spatial Data Missing",VLOOKUP(M203,'G-3 Multipliers'!$S$3:$T$6,2,FALSE)))</f>
        <v/>
      </c>
      <c r="O203" s="171" t="str">
        <f>IF(OR(D203="",H203=""),"",(INDEX('G-6 Hedgerow Data'!$E$3:$I$15,MATCH(D203,'G-6 Hedgerow Data'!$B$3:$B$15,0),MATCH(H203,'G-6 Hedgerow Data'!$E$2:$I$2,0))))</f>
        <v/>
      </c>
      <c r="P203" s="261"/>
      <c r="Q203" s="261"/>
      <c r="R203" s="179" t="str">
        <f t="shared" si="13"/>
        <v/>
      </c>
      <c r="S203" s="262" t="str">
        <f t="shared" si="14"/>
        <v/>
      </c>
      <c r="T203" s="263" t="str">
        <f t="shared" si="12"/>
        <v/>
      </c>
      <c r="U203" s="239" t="str">
        <f>IF(D203="","",VLOOKUP(D203,'G-6 Hedgerow Data'!$B$3:$AG$15,31,FALSE))</f>
        <v/>
      </c>
      <c r="V203" s="175" t="str">
        <f t="shared" si="15"/>
        <v/>
      </c>
      <c r="W203" s="175" t="str">
        <f t="shared" si="16"/>
        <v/>
      </c>
      <c r="X203" s="176" t="str">
        <f>IF(F203="","",VLOOKUP(U203,'G-3 Multipliers'!$P$3:$Q$6,2,FALSE))</f>
        <v/>
      </c>
      <c r="Y203" s="274" t="str">
        <f t="shared" si="17"/>
        <v/>
      </c>
      <c r="Z203" s="180"/>
      <c r="AA203" s="181"/>
      <c r="AG203" s="35" t="str">
        <f>IFERROR(INDEX('G-6 Hedgerow Data'!$BJ$3:$BJ$15,MATCH(D203,'G-6 Hedgerow Data'!$B$3:$B$15,0)),"")</f>
        <v/>
      </c>
    </row>
    <row r="204" spans="2:33" ht="15" customHeight="1" x14ac:dyDescent="0.25">
      <c r="B204" s="128">
        <v>193</v>
      </c>
      <c r="C204" s="394"/>
      <c r="D204" s="275"/>
      <c r="E204" s="275"/>
      <c r="F204" s="171" t="str">
        <f>IF(D204="","",VLOOKUP(D204,'G-6 Hedgerow Data'!$B$2:$AG$15,2,FALSE))</f>
        <v/>
      </c>
      <c r="G204" s="176" t="str">
        <f>IF(D204="","",VLOOKUP(D204,'G-6 Hedgerow Data'!$B$2:$AG$15,3,FALSE))</f>
        <v/>
      </c>
      <c r="H204" s="189"/>
      <c r="I204" s="172" t="str">
        <f>IFERROR(IF(AND(F204="V.Low",OR(H204="Good",H204="Moderate")),"Error",VLOOKUP(H204,'G-1 All Habitats'!$Z$2:$AA$9,2,FALSE)),"")</f>
        <v/>
      </c>
      <c r="J204" s="186"/>
      <c r="K204" s="175" t="str">
        <f>IF(J204="","",IF(VLOOKUP(J204,'G-3 Multipliers'!$L$3:$N$6,2,FALSE)=0,"Spatial Data Missing",VLOOKUP(J204,'G-3 Multipliers'!$L$3:$N$6,2,FALSE)))</f>
        <v/>
      </c>
      <c r="L204" s="176" t="str">
        <f>IF(J204="","",IF(VLOOKUP(J204,'G-3 Multipliers'!$L$3:$N$6,3,FALSE)=0,"Spatial Data Missing",VLOOKUP(J204,'G-3 Multipliers'!$L$3:$N$6,3,FALSE)))</f>
        <v/>
      </c>
      <c r="M204" s="266"/>
      <c r="N204" s="172" t="str">
        <f>IF(M204="","",IF(VLOOKUP(M204,'G-3 Multipliers'!$S$3:$T$6,2,FALSE)=0,"Spatial Data Missing",VLOOKUP(M204,'G-3 Multipliers'!$S$3:$T$6,2,FALSE)))</f>
        <v/>
      </c>
      <c r="O204" s="171" t="str">
        <f>IF(OR(D204="",H204=""),"",(INDEX('G-6 Hedgerow Data'!$E$3:$I$15,MATCH(D204,'G-6 Hedgerow Data'!$B$3:$B$15,0),MATCH(H204,'G-6 Hedgerow Data'!$E$2:$I$2,0))))</f>
        <v/>
      </c>
      <c r="P204" s="261"/>
      <c r="Q204" s="261"/>
      <c r="R204" s="179" t="str">
        <f t="shared" si="13"/>
        <v/>
      </c>
      <c r="S204" s="262" t="str">
        <f t="shared" si="14"/>
        <v/>
      </c>
      <c r="T204" s="263" t="str">
        <f t="shared" ref="T204:T259" si="18">IF(D204="","",IF(LEFT(R204,5)="Error","Check Data",VLOOKUP(S204,TemporalMultipliers,3,FALSE)))</f>
        <v/>
      </c>
      <c r="U204" s="239" t="str">
        <f>IF(D204="","",VLOOKUP(D204,'G-6 Hedgerow Data'!$B$3:$AG$15,31,FALSE))</f>
        <v/>
      </c>
      <c r="V204" s="175" t="str">
        <f t="shared" si="15"/>
        <v/>
      </c>
      <c r="W204" s="175" t="str">
        <f t="shared" si="16"/>
        <v/>
      </c>
      <c r="X204" s="176" t="str">
        <f>IF(F204="","",VLOOKUP(U204,'G-3 Multipliers'!$P$3:$Q$6,2,FALSE))</f>
        <v/>
      </c>
      <c r="Y204" s="274" t="str">
        <f t="shared" si="17"/>
        <v/>
      </c>
      <c r="Z204" s="180"/>
      <c r="AA204" s="181"/>
      <c r="AG204" s="35" t="str">
        <f>IFERROR(INDEX('G-6 Hedgerow Data'!$BJ$3:$BJ$15,MATCH(D204,'G-6 Hedgerow Data'!$B$3:$B$15,0)),"")</f>
        <v/>
      </c>
    </row>
    <row r="205" spans="2:33" ht="15" customHeight="1" x14ac:dyDescent="0.25">
      <c r="B205" s="128">
        <v>194</v>
      </c>
      <c r="C205" s="394"/>
      <c r="D205" s="275"/>
      <c r="E205" s="275"/>
      <c r="F205" s="171" t="str">
        <f>IF(D205="","",VLOOKUP(D205,'G-6 Hedgerow Data'!$B$2:$AG$15,2,FALSE))</f>
        <v/>
      </c>
      <c r="G205" s="176" t="str">
        <f>IF(D205="","",VLOOKUP(D205,'G-6 Hedgerow Data'!$B$2:$AG$15,3,FALSE))</f>
        <v/>
      </c>
      <c r="H205" s="189"/>
      <c r="I205" s="172" t="str">
        <f>IFERROR(IF(AND(F205="V.Low",OR(H205="Good",H205="Moderate")),"Error",VLOOKUP(H205,'G-1 All Habitats'!$Z$2:$AA$9,2,FALSE)),"")</f>
        <v/>
      </c>
      <c r="J205" s="186"/>
      <c r="K205" s="175" t="str">
        <f>IF(J205="","",IF(VLOOKUP(J205,'G-3 Multipliers'!$L$3:$N$6,2,FALSE)=0,"Spatial Data Missing",VLOOKUP(J205,'G-3 Multipliers'!$L$3:$N$6,2,FALSE)))</f>
        <v/>
      </c>
      <c r="L205" s="176" t="str">
        <f>IF(J205="","",IF(VLOOKUP(J205,'G-3 Multipliers'!$L$3:$N$6,3,FALSE)=0,"Spatial Data Missing",VLOOKUP(J205,'G-3 Multipliers'!$L$3:$N$6,3,FALSE)))</f>
        <v/>
      </c>
      <c r="M205" s="266"/>
      <c r="N205" s="172" t="str">
        <f>IF(M205="","",IF(VLOOKUP(M205,'G-3 Multipliers'!$S$3:$T$6,2,FALSE)=0,"Spatial Data Missing",VLOOKUP(M205,'G-3 Multipliers'!$S$3:$T$6,2,FALSE)))</f>
        <v/>
      </c>
      <c r="O205" s="171" t="str">
        <f>IF(OR(D205="",H205=""),"",(INDEX('G-6 Hedgerow Data'!$E$3:$I$15,MATCH(D205,'G-6 Hedgerow Data'!$B$3:$B$15,0),MATCH(H205,'G-6 Hedgerow Data'!$E$2:$I$2,0))))</f>
        <v/>
      </c>
      <c r="P205" s="261"/>
      <c r="Q205" s="261"/>
      <c r="R205" s="179" t="str">
        <f t="shared" ref="R205:R259" si="19">IF(D205="","",IF(AND(P205&gt;0,Q205&gt;0),"Error -both advance and delayed habitat creation",IF(AND(OR(P205="Habitat already in target condition",O205&lt;=P205),Q205=0),"Check details - Is there evidence that habitat has reached target condition?",IF(O205="","",IF(P205&gt;0,"Check details - Is there evidence habitat creation started/in place?",IF(Q205&gt;0,"Check details- Delay in starting habitat in required condition?","Standard time to target condition applied"))))))</f>
        <v/>
      </c>
      <c r="S205" s="262" t="str">
        <f t="shared" ref="S205:S259" si="20">IF(O205="","",IF(LEFT(R205,5)="Error","Check Data",IF(OR(P205="30+",P205="Habitat already in target condition"),0,IF(Q205="30+","30+",IF(AND(O205="30+",OR(P205="",P205=0)),"30+",IF(AND(O205="30+",P205&gt;0),32-P205,IF(O205+Q205&gt;30,"30+",IF(O205+Q205-P205&gt;0,O205+Q205-P205,IF(O205-P205&lt;0,0,O205+Q205-P205)))))))))</f>
        <v/>
      </c>
      <c r="T205" s="263" t="str">
        <f t="shared" si="18"/>
        <v/>
      </c>
      <c r="U205" s="239" t="str">
        <f>IF(D205="","",VLOOKUP(D205,'G-6 Hedgerow Data'!$B$3:$AG$15,31,FALSE))</f>
        <v/>
      </c>
      <c r="V205" s="175" t="str">
        <f t="shared" ref="V205:V259" si="21">IF(D205="","",IF(S205="Check Data","Check Data",IF(H205="","",IF($R205="Check details - Is there evidence that habitat has reached target condition?","Low Difficulty - only applicable if all habitat created before losses","Standard difficulty applied"))))</f>
        <v/>
      </c>
      <c r="W205" s="175" t="str">
        <f t="shared" ref="W205:W259" si="22">(IF(AND(V205="Standard difficulty applied",O205&gt;P205),U205,IF(AND(V205="Low Difficulty - only applicable if all habitat created before losses",P205&gt;=O205),"Low",U205)))</f>
        <v/>
      </c>
      <c r="X205" s="176" t="str">
        <f>IF(F205="","",VLOOKUP(U205,'G-3 Multipliers'!$P$3:$Q$6,2,FALSE))</f>
        <v/>
      </c>
      <c r="Y205" s="274" t="str">
        <f t="shared" ref="Y205:Y259" si="23">IFERROR(E205*G205*I205*L205*T205*X205*N205,"")</f>
        <v/>
      </c>
      <c r="Z205" s="180"/>
      <c r="AA205" s="181"/>
      <c r="AG205" s="35" t="str">
        <f>IFERROR(INDEX('G-6 Hedgerow Data'!$BJ$3:$BJ$15,MATCH(D205,'G-6 Hedgerow Data'!$B$3:$B$15,0)),"")</f>
        <v/>
      </c>
    </row>
    <row r="206" spans="2:33" ht="15" customHeight="1" x14ac:dyDescent="0.25">
      <c r="B206" s="128">
        <v>195</v>
      </c>
      <c r="C206" s="394"/>
      <c r="D206" s="275"/>
      <c r="E206" s="275"/>
      <c r="F206" s="171" t="str">
        <f>IF(D206="","",VLOOKUP(D206,'G-6 Hedgerow Data'!$B$2:$AG$15,2,FALSE))</f>
        <v/>
      </c>
      <c r="G206" s="176" t="str">
        <f>IF(D206="","",VLOOKUP(D206,'G-6 Hedgerow Data'!$B$2:$AG$15,3,FALSE))</f>
        <v/>
      </c>
      <c r="H206" s="189"/>
      <c r="I206" s="172" t="str">
        <f>IFERROR(IF(AND(F206="V.Low",OR(H206="Good",H206="Moderate")),"Error",VLOOKUP(H206,'G-1 All Habitats'!$Z$2:$AA$9,2,FALSE)),"")</f>
        <v/>
      </c>
      <c r="J206" s="186"/>
      <c r="K206" s="175" t="str">
        <f>IF(J206="","",IF(VLOOKUP(J206,'G-3 Multipliers'!$L$3:$N$6,2,FALSE)=0,"Spatial Data Missing",VLOOKUP(J206,'G-3 Multipliers'!$L$3:$N$6,2,FALSE)))</f>
        <v/>
      </c>
      <c r="L206" s="176" t="str">
        <f>IF(J206="","",IF(VLOOKUP(J206,'G-3 Multipliers'!$L$3:$N$6,3,FALSE)=0,"Spatial Data Missing",VLOOKUP(J206,'G-3 Multipliers'!$L$3:$N$6,3,FALSE)))</f>
        <v/>
      </c>
      <c r="M206" s="266"/>
      <c r="N206" s="172" t="str">
        <f>IF(M206="","",IF(VLOOKUP(M206,'G-3 Multipliers'!$S$3:$T$6,2,FALSE)=0,"Spatial Data Missing",VLOOKUP(M206,'G-3 Multipliers'!$S$3:$T$6,2,FALSE)))</f>
        <v/>
      </c>
      <c r="O206" s="171" t="str">
        <f>IF(OR(D206="",H206=""),"",(INDEX('G-6 Hedgerow Data'!$E$3:$I$15,MATCH(D206,'G-6 Hedgerow Data'!$B$3:$B$15,0),MATCH(H206,'G-6 Hedgerow Data'!$E$2:$I$2,0))))</f>
        <v/>
      </c>
      <c r="P206" s="261"/>
      <c r="Q206" s="261"/>
      <c r="R206" s="179" t="str">
        <f t="shared" si="19"/>
        <v/>
      </c>
      <c r="S206" s="262" t="str">
        <f t="shared" si="20"/>
        <v/>
      </c>
      <c r="T206" s="263" t="str">
        <f t="shared" si="18"/>
        <v/>
      </c>
      <c r="U206" s="239" t="str">
        <f>IF(D206="","",VLOOKUP(D206,'G-6 Hedgerow Data'!$B$3:$AG$15,31,FALSE))</f>
        <v/>
      </c>
      <c r="V206" s="175" t="str">
        <f t="shared" si="21"/>
        <v/>
      </c>
      <c r="W206" s="175" t="str">
        <f t="shared" si="22"/>
        <v/>
      </c>
      <c r="X206" s="176" t="str">
        <f>IF(F206="","",VLOOKUP(U206,'G-3 Multipliers'!$P$3:$Q$6,2,FALSE))</f>
        <v/>
      </c>
      <c r="Y206" s="274" t="str">
        <f t="shared" si="23"/>
        <v/>
      </c>
      <c r="Z206" s="180"/>
      <c r="AA206" s="181"/>
      <c r="AG206" s="35" t="str">
        <f>IFERROR(INDEX('G-6 Hedgerow Data'!$BJ$3:$BJ$15,MATCH(D206,'G-6 Hedgerow Data'!$B$3:$B$15,0)),"")</f>
        <v/>
      </c>
    </row>
    <row r="207" spans="2:33" ht="15" customHeight="1" x14ac:dyDescent="0.25">
      <c r="B207" s="128">
        <v>196</v>
      </c>
      <c r="C207" s="394"/>
      <c r="D207" s="275"/>
      <c r="E207" s="275"/>
      <c r="F207" s="171" t="str">
        <f>IF(D207="","",VLOOKUP(D207,'G-6 Hedgerow Data'!$B$2:$AG$15,2,FALSE))</f>
        <v/>
      </c>
      <c r="G207" s="176" t="str">
        <f>IF(D207="","",VLOOKUP(D207,'G-6 Hedgerow Data'!$B$2:$AG$15,3,FALSE))</f>
        <v/>
      </c>
      <c r="H207" s="189"/>
      <c r="I207" s="172" t="str">
        <f>IFERROR(IF(AND(F207="V.Low",OR(H207="Good",H207="Moderate")),"Error",VLOOKUP(H207,'G-1 All Habitats'!$Z$2:$AA$9,2,FALSE)),"")</f>
        <v/>
      </c>
      <c r="J207" s="186"/>
      <c r="K207" s="175" t="str">
        <f>IF(J207="","",IF(VLOOKUP(J207,'G-3 Multipliers'!$L$3:$N$6,2,FALSE)=0,"Spatial Data Missing",VLOOKUP(J207,'G-3 Multipliers'!$L$3:$N$6,2,FALSE)))</f>
        <v/>
      </c>
      <c r="L207" s="176" t="str">
        <f>IF(J207="","",IF(VLOOKUP(J207,'G-3 Multipliers'!$L$3:$N$6,3,FALSE)=0,"Spatial Data Missing",VLOOKUP(J207,'G-3 Multipliers'!$L$3:$N$6,3,FALSE)))</f>
        <v/>
      </c>
      <c r="M207" s="266"/>
      <c r="N207" s="172" t="str">
        <f>IF(M207="","",IF(VLOOKUP(M207,'G-3 Multipliers'!$S$3:$T$6,2,FALSE)=0,"Spatial Data Missing",VLOOKUP(M207,'G-3 Multipliers'!$S$3:$T$6,2,FALSE)))</f>
        <v/>
      </c>
      <c r="O207" s="171" t="str">
        <f>IF(OR(D207="",H207=""),"",(INDEX('G-6 Hedgerow Data'!$E$3:$I$15,MATCH(D207,'G-6 Hedgerow Data'!$B$3:$B$15,0),MATCH(H207,'G-6 Hedgerow Data'!$E$2:$I$2,0))))</f>
        <v/>
      </c>
      <c r="P207" s="261"/>
      <c r="Q207" s="261"/>
      <c r="R207" s="179" t="str">
        <f t="shared" si="19"/>
        <v/>
      </c>
      <c r="S207" s="262" t="str">
        <f t="shared" si="20"/>
        <v/>
      </c>
      <c r="T207" s="263" t="str">
        <f t="shared" si="18"/>
        <v/>
      </c>
      <c r="U207" s="239" t="str">
        <f>IF(D207="","",VLOOKUP(D207,'G-6 Hedgerow Data'!$B$3:$AG$15,31,FALSE))</f>
        <v/>
      </c>
      <c r="V207" s="175" t="str">
        <f t="shared" si="21"/>
        <v/>
      </c>
      <c r="W207" s="175" t="str">
        <f t="shared" si="22"/>
        <v/>
      </c>
      <c r="X207" s="176" t="str">
        <f>IF(F207="","",VLOOKUP(U207,'G-3 Multipliers'!$P$3:$Q$6,2,FALSE))</f>
        <v/>
      </c>
      <c r="Y207" s="274" t="str">
        <f t="shared" si="23"/>
        <v/>
      </c>
      <c r="Z207" s="180"/>
      <c r="AA207" s="181"/>
      <c r="AG207" s="35" t="str">
        <f>IFERROR(INDEX('G-6 Hedgerow Data'!$BJ$3:$BJ$15,MATCH(D207,'G-6 Hedgerow Data'!$B$3:$B$15,0)),"")</f>
        <v/>
      </c>
    </row>
    <row r="208" spans="2:33" ht="15" customHeight="1" x14ac:dyDescent="0.25">
      <c r="B208" s="128">
        <v>197</v>
      </c>
      <c r="C208" s="394"/>
      <c r="D208" s="275"/>
      <c r="E208" s="275"/>
      <c r="F208" s="171" t="str">
        <f>IF(D208="","",VLOOKUP(D208,'G-6 Hedgerow Data'!$B$2:$AG$15,2,FALSE))</f>
        <v/>
      </c>
      <c r="G208" s="176" t="str">
        <f>IF(D208="","",VLOOKUP(D208,'G-6 Hedgerow Data'!$B$2:$AG$15,3,FALSE))</f>
        <v/>
      </c>
      <c r="H208" s="189"/>
      <c r="I208" s="172" t="str">
        <f>IFERROR(IF(AND(F208="V.Low",OR(H208="Good",H208="Moderate")),"Error",VLOOKUP(H208,'G-1 All Habitats'!$Z$2:$AA$9,2,FALSE)),"")</f>
        <v/>
      </c>
      <c r="J208" s="186"/>
      <c r="K208" s="175" t="str">
        <f>IF(J208="","",IF(VLOOKUP(J208,'G-3 Multipliers'!$L$3:$N$6,2,FALSE)=0,"Spatial Data Missing",VLOOKUP(J208,'G-3 Multipliers'!$L$3:$N$6,2,FALSE)))</f>
        <v/>
      </c>
      <c r="L208" s="176" t="str">
        <f>IF(J208="","",IF(VLOOKUP(J208,'G-3 Multipliers'!$L$3:$N$6,3,FALSE)=0,"Spatial Data Missing",VLOOKUP(J208,'G-3 Multipliers'!$L$3:$N$6,3,FALSE)))</f>
        <v/>
      </c>
      <c r="M208" s="266"/>
      <c r="N208" s="172" t="str">
        <f>IF(M208="","",IF(VLOOKUP(M208,'G-3 Multipliers'!$S$3:$T$6,2,FALSE)=0,"Spatial Data Missing",VLOOKUP(M208,'G-3 Multipliers'!$S$3:$T$6,2,FALSE)))</f>
        <v/>
      </c>
      <c r="O208" s="171" t="str">
        <f>IF(OR(D208="",H208=""),"",(INDEX('G-6 Hedgerow Data'!$E$3:$I$15,MATCH(D208,'G-6 Hedgerow Data'!$B$3:$B$15,0),MATCH(H208,'G-6 Hedgerow Data'!$E$2:$I$2,0))))</f>
        <v/>
      </c>
      <c r="P208" s="261"/>
      <c r="Q208" s="261"/>
      <c r="R208" s="179" t="str">
        <f t="shared" si="19"/>
        <v/>
      </c>
      <c r="S208" s="262" t="str">
        <f t="shared" si="20"/>
        <v/>
      </c>
      <c r="T208" s="263" t="str">
        <f t="shared" si="18"/>
        <v/>
      </c>
      <c r="U208" s="239" t="str">
        <f>IF(D208="","",VLOOKUP(D208,'G-6 Hedgerow Data'!$B$3:$AG$15,31,FALSE))</f>
        <v/>
      </c>
      <c r="V208" s="175" t="str">
        <f t="shared" si="21"/>
        <v/>
      </c>
      <c r="W208" s="175" t="str">
        <f t="shared" si="22"/>
        <v/>
      </c>
      <c r="X208" s="176" t="str">
        <f>IF(F208="","",VLOOKUP(U208,'G-3 Multipliers'!$P$3:$Q$6,2,FALSE))</f>
        <v/>
      </c>
      <c r="Y208" s="274" t="str">
        <f t="shared" si="23"/>
        <v/>
      </c>
      <c r="Z208" s="180"/>
      <c r="AA208" s="181"/>
      <c r="AG208" s="35" t="str">
        <f>IFERROR(INDEX('G-6 Hedgerow Data'!$BJ$3:$BJ$15,MATCH(D208,'G-6 Hedgerow Data'!$B$3:$B$15,0)),"")</f>
        <v/>
      </c>
    </row>
    <row r="209" spans="2:33" ht="15" customHeight="1" x14ac:dyDescent="0.25">
      <c r="B209" s="128">
        <v>198</v>
      </c>
      <c r="C209" s="394"/>
      <c r="D209" s="275"/>
      <c r="E209" s="275"/>
      <c r="F209" s="171" t="str">
        <f>IF(D209="","",VLOOKUP(D209,'G-6 Hedgerow Data'!$B$2:$AG$15,2,FALSE))</f>
        <v/>
      </c>
      <c r="G209" s="176" t="str">
        <f>IF(D209="","",VLOOKUP(D209,'G-6 Hedgerow Data'!$B$2:$AG$15,3,FALSE))</f>
        <v/>
      </c>
      <c r="H209" s="189"/>
      <c r="I209" s="172" t="str">
        <f>IFERROR(IF(AND(F209="V.Low",OR(H209="Good",H209="Moderate")),"Error",VLOOKUP(H209,'G-1 All Habitats'!$Z$2:$AA$9,2,FALSE)),"")</f>
        <v/>
      </c>
      <c r="J209" s="186"/>
      <c r="K209" s="175" t="str">
        <f>IF(J209="","",IF(VLOOKUP(J209,'G-3 Multipliers'!$L$3:$N$6,2,FALSE)=0,"Spatial Data Missing",VLOOKUP(J209,'G-3 Multipliers'!$L$3:$N$6,2,FALSE)))</f>
        <v/>
      </c>
      <c r="L209" s="176" t="str">
        <f>IF(J209="","",IF(VLOOKUP(J209,'G-3 Multipliers'!$L$3:$N$6,3,FALSE)=0,"Spatial Data Missing",VLOOKUP(J209,'G-3 Multipliers'!$L$3:$N$6,3,FALSE)))</f>
        <v/>
      </c>
      <c r="M209" s="266"/>
      <c r="N209" s="172" t="str">
        <f>IF(M209="","",IF(VLOOKUP(M209,'G-3 Multipliers'!$S$3:$T$6,2,FALSE)=0,"Spatial Data Missing",VLOOKUP(M209,'G-3 Multipliers'!$S$3:$T$6,2,FALSE)))</f>
        <v/>
      </c>
      <c r="O209" s="171" t="str">
        <f>IF(OR(D209="",H209=""),"",(INDEX('G-6 Hedgerow Data'!$E$3:$I$15,MATCH(D209,'G-6 Hedgerow Data'!$B$3:$B$15,0),MATCH(H209,'G-6 Hedgerow Data'!$E$2:$I$2,0))))</f>
        <v/>
      </c>
      <c r="P209" s="261"/>
      <c r="Q209" s="261"/>
      <c r="R209" s="179" t="str">
        <f t="shared" si="19"/>
        <v/>
      </c>
      <c r="S209" s="262" t="str">
        <f t="shared" si="20"/>
        <v/>
      </c>
      <c r="T209" s="263" t="str">
        <f t="shared" si="18"/>
        <v/>
      </c>
      <c r="U209" s="239" t="str">
        <f>IF(D209="","",VLOOKUP(D209,'G-6 Hedgerow Data'!$B$3:$AG$15,31,FALSE))</f>
        <v/>
      </c>
      <c r="V209" s="175" t="str">
        <f t="shared" si="21"/>
        <v/>
      </c>
      <c r="W209" s="175" t="str">
        <f t="shared" si="22"/>
        <v/>
      </c>
      <c r="X209" s="176" t="str">
        <f>IF(F209="","",VLOOKUP(U209,'G-3 Multipliers'!$P$3:$Q$6,2,FALSE))</f>
        <v/>
      </c>
      <c r="Y209" s="274" t="str">
        <f t="shared" si="23"/>
        <v/>
      </c>
      <c r="Z209" s="180"/>
      <c r="AA209" s="181"/>
      <c r="AG209" s="35" t="str">
        <f>IFERROR(INDEX('G-6 Hedgerow Data'!$BJ$3:$BJ$15,MATCH(D209,'G-6 Hedgerow Data'!$B$3:$B$15,0)),"")</f>
        <v/>
      </c>
    </row>
    <row r="210" spans="2:33" ht="15" customHeight="1" x14ac:dyDescent="0.25">
      <c r="B210" s="128">
        <v>199</v>
      </c>
      <c r="C210" s="394"/>
      <c r="D210" s="275"/>
      <c r="E210" s="275"/>
      <c r="F210" s="171" t="str">
        <f>IF(D210="","",VLOOKUP(D210,'G-6 Hedgerow Data'!$B$2:$AG$15,2,FALSE))</f>
        <v/>
      </c>
      <c r="G210" s="176" t="str">
        <f>IF(D210="","",VLOOKUP(D210,'G-6 Hedgerow Data'!$B$2:$AG$15,3,FALSE))</f>
        <v/>
      </c>
      <c r="H210" s="189"/>
      <c r="I210" s="172" t="str">
        <f>IFERROR(IF(AND(F210="V.Low",OR(H210="Good",H210="Moderate")),"Error",VLOOKUP(H210,'G-1 All Habitats'!$Z$2:$AA$9,2,FALSE)),"")</f>
        <v/>
      </c>
      <c r="J210" s="186"/>
      <c r="K210" s="175" t="str">
        <f>IF(J210="","",IF(VLOOKUP(J210,'G-3 Multipliers'!$L$3:$N$6,2,FALSE)=0,"Spatial Data Missing",VLOOKUP(J210,'G-3 Multipliers'!$L$3:$N$6,2,FALSE)))</f>
        <v/>
      </c>
      <c r="L210" s="176" t="str">
        <f>IF(J210="","",IF(VLOOKUP(J210,'G-3 Multipliers'!$L$3:$N$6,3,FALSE)=0,"Spatial Data Missing",VLOOKUP(J210,'G-3 Multipliers'!$L$3:$N$6,3,FALSE)))</f>
        <v/>
      </c>
      <c r="M210" s="266"/>
      <c r="N210" s="172" t="str">
        <f>IF(M210="","",IF(VLOOKUP(M210,'G-3 Multipliers'!$S$3:$T$6,2,FALSE)=0,"Spatial Data Missing",VLOOKUP(M210,'G-3 Multipliers'!$S$3:$T$6,2,FALSE)))</f>
        <v/>
      </c>
      <c r="O210" s="171" t="str">
        <f>IF(OR(D210="",H210=""),"",(INDEX('G-6 Hedgerow Data'!$E$3:$I$15,MATCH(D210,'G-6 Hedgerow Data'!$B$3:$B$15,0),MATCH(H210,'G-6 Hedgerow Data'!$E$2:$I$2,0))))</f>
        <v/>
      </c>
      <c r="P210" s="261"/>
      <c r="Q210" s="261"/>
      <c r="R210" s="179" t="str">
        <f t="shared" si="19"/>
        <v/>
      </c>
      <c r="S210" s="262" t="str">
        <f t="shared" si="20"/>
        <v/>
      </c>
      <c r="T210" s="263" t="str">
        <f t="shared" si="18"/>
        <v/>
      </c>
      <c r="U210" s="239" t="str">
        <f>IF(D210="","",VLOOKUP(D210,'G-6 Hedgerow Data'!$B$3:$AG$15,31,FALSE))</f>
        <v/>
      </c>
      <c r="V210" s="175" t="str">
        <f t="shared" si="21"/>
        <v/>
      </c>
      <c r="W210" s="175" t="str">
        <f t="shared" si="22"/>
        <v/>
      </c>
      <c r="X210" s="176" t="str">
        <f>IF(F210="","",VLOOKUP(U210,'G-3 Multipliers'!$P$3:$Q$6,2,FALSE))</f>
        <v/>
      </c>
      <c r="Y210" s="274" t="str">
        <f t="shared" si="23"/>
        <v/>
      </c>
      <c r="Z210" s="180"/>
      <c r="AA210" s="181"/>
      <c r="AG210" s="35" t="str">
        <f>IFERROR(INDEX('G-6 Hedgerow Data'!$BJ$3:$BJ$15,MATCH(D210,'G-6 Hedgerow Data'!$B$3:$B$15,0)),"")</f>
        <v/>
      </c>
    </row>
    <row r="211" spans="2:33" ht="15" customHeight="1" x14ac:dyDescent="0.25">
      <c r="B211" s="128">
        <v>200</v>
      </c>
      <c r="C211" s="394"/>
      <c r="D211" s="275"/>
      <c r="E211" s="275"/>
      <c r="F211" s="171" t="str">
        <f>IF(D211="","",VLOOKUP(D211,'G-6 Hedgerow Data'!$B$2:$AG$15,2,FALSE))</f>
        <v/>
      </c>
      <c r="G211" s="176" t="str">
        <f>IF(D211="","",VLOOKUP(D211,'G-6 Hedgerow Data'!$B$2:$AG$15,3,FALSE))</f>
        <v/>
      </c>
      <c r="H211" s="189"/>
      <c r="I211" s="172" t="str">
        <f>IFERROR(IF(AND(F211="V.Low",OR(H211="Good",H211="Moderate")),"Error",VLOOKUP(H211,'G-1 All Habitats'!$Z$2:$AA$9,2,FALSE)),"")</f>
        <v/>
      </c>
      <c r="J211" s="186"/>
      <c r="K211" s="175" t="str">
        <f>IF(J211="","",IF(VLOOKUP(J211,'G-3 Multipliers'!$L$3:$N$6,2,FALSE)=0,"Spatial Data Missing",VLOOKUP(J211,'G-3 Multipliers'!$L$3:$N$6,2,FALSE)))</f>
        <v/>
      </c>
      <c r="L211" s="176" t="str">
        <f>IF(J211="","",IF(VLOOKUP(J211,'G-3 Multipliers'!$L$3:$N$6,3,FALSE)=0,"Spatial Data Missing",VLOOKUP(J211,'G-3 Multipliers'!$L$3:$N$6,3,FALSE)))</f>
        <v/>
      </c>
      <c r="M211" s="266"/>
      <c r="N211" s="172" t="str">
        <f>IF(M211="","",IF(VLOOKUP(M211,'G-3 Multipliers'!$S$3:$T$6,2,FALSE)=0,"Spatial Data Missing",VLOOKUP(M211,'G-3 Multipliers'!$S$3:$T$6,2,FALSE)))</f>
        <v/>
      </c>
      <c r="O211" s="171" t="str">
        <f>IF(OR(D211="",H211=""),"",(INDEX('G-6 Hedgerow Data'!$E$3:$I$15,MATCH(D211,'G-6 Hedgerow Data'!$B$3:$B$15,0),MATCH(H211,'G-6 Hedgerow Data'!$E$2:$I$2,0))))</f>
        <v/>
      </c>
      <c r="P211" s="261"/>
      <c r="Q211" s="261"/>
      <c r="R211" s="179" t="str">
        <f t="shared" si="19"/>
        <v/>
      </c>
      <c r="S211" s="262" t="str">
        <f t="shared" si="20"/>
        <v/>
      </c>
      <c r="T211" s="263" t="str">
        <f t="shared" si="18"/>
        <v/>
      </c>
      <c r="U211" s="239" t="str">
        <f>IF(D211="","",VLOOKUP(D211,'G-6 Hedgerow Data'!$B$3:$AG$15,31,FALSE))</f>
        <v/>
      </c>
      <c r="V211" s="175" t="str">
        <f t="shared" si="21"/>
        <v/>
      </c>
      <c r="W211" s="175" t="str">
        <f t="shared" si="22"/>
        <v/>
      </c>
      <c r="X211" s="176" t="str">
        <f>IF(F211="","",VLOOKUP(U211,'G-3 Multipliers'!$P$3:$Q$6,2,FALSE))</f>
        <v/>
      </c>
      <c r="Y211" s="274" t="str">
        <f t="shared" si="23"/>
        <v/>
      </c>
      <c r="Z211" s="180"/>
      <c r="AA211" s="181"/>
      <c r="AG211" s="35" t="str">
        <f>IFERROR(INDEX('G-6 Hedgerow Data'!$BJ$3:$BJ$15,MATCH(D211,'G-6 Hedgerow Data'!$B$3:$B$15,0)),"")</f>
        <v/>
      </c>
    </row>
    <row r="212" spans="2:33" ht="15" customHeight="1" x14ac:dyDescent="0.25">
      <c r="B212" s="128">
        <v>201</v>
      </c>
      <c r="C212" s="394"/>
      <c r="D212" s="275"/>
      <c r="E212" s="275"/>
      <c r="F212" s="171" t="str">
        <f>IF(D212="","",VLOOKUP(D212,'G-6 Hedgerow Data'!$B$2:$AG$15,2,FALSE))</f>
        <v/>
      </c>
      <c r="G212" s="176" t="str">
        <f>IF(D212="","",VLOOKUP(D212,'G-6 Hedgerow Data'!$B$2:$AG$15,3,FALSE))</f>
        <v/>
      </c>
      <c r="H212" s="189"/>
      <c r="I212" s="172" t="str">
        <f>IFERROR(IF(AND(F212="V.Low",OR(H212="Good",H212="Moderate")),"Error",VLOOKUP(H212,'G-1 All Habitats'!$Z$2:$AA$9,2,FALSE)),"")</f>
        <v/>
      </c>
      <c r="J212" s="186"/>
      <c r="K212" s="175" t="str">
        <f>IF(J212="","",IF(VLOOKUP(J212,'G-3 Multipliers'!$L$3:$N$6,2,FALSE)=0,"Spatial Data Missing",VLOOKUP(J212,'G-3 Multipliers'!$L$3:$N$6,2,FALSE)))</f>
        <v/>
      </c>
      <c r="L212" s="176" t="str">
        <f>IF(J212="","",IF(VLOOKUP(J212,'G-3 Multipliers'!$L$3:$N$6,3,FALSE)=0,"Spatial Data Missing",VLOOKUP(J212,'G-3 Multipliers'!$L$3:$N$6,3,FALSE)))</f>
        <v/>
      </c>
      <c r="M212" s="266"/>
      <c r="N212" s="172" t="str">
        <f>IF(M212="","",IF(VLOOKUP(M212,'G-3 Multipliers'!$S$3:$T$6,2,FALSE)=0,"Spatial Data Missing",VLOOKUP(M212,'G-3 Multipliers'!$S$3:$T$6,2,FALSE)))</f>
        <v/>
      </c>
      <c r="O212" s="171" t="str">
        <f>IF(OR(D212="",H212=""),"",(INDEX('G-6 Hedgerow Data'!$E$3:$I$15,MATCH(D212,'G-6 Hedgerow Data'!$B$3:$B$15,0),MATCH(H212,'G-6 Hedgerow Data'!$E$2:$I$2,0))))</f>
        <v/>
      </c>
      <c r="P212" s="261"/>
      <c r="Q212" s="261"/>
      <c r="R212" s="179" t="str">
        <f t="shared" si="19"/>
        <v/>
      </c>
      <c r="S212" s="262" t="str">
        <f t="shared" si="20"/>
        <v/>
      </c>
      <c r="T212" s="263" t="str">
        <f t="shared" si="18"/>
        <v/>
      </c>
      <c r="U212" s="239" t="str">
        <f>IF(D212="","",VLOOKUP(D212,'G-6 Hedgerow Data'!$B$3:$AG$15,31,FALSE))</f>
        <v/>
      </c>
      <c r="V212" s="175" t="str">
        <f t="shared" si="21"/>
        <v/>
      </c>
      <c r="W212" s="175" t="str">
        <f t="shared" si="22"/>
        <v/>
      </c>
      <c r="X212" s="176" t="str">
        <f>IF(F212="","",VLOOKUP(U212,'G-3 Multipliers'!$P$3:$Q$6,2,FALSE))</f>
        <v/>
      </c>
      <c r="Y212" s="274" t="str">
        <f t="shared" si="23"/>
        <v/>
      </c>
      <c r="Z212" s="180"/>
      <c r="AA212" s="181"/>
      <c r="AG212" s="35" t="str">
        <f>IFERROR(INDEX('G-6 Hedgerow Data'!$BJ$3:$BJ$15,MATCH(D212,'G-6 Hedgerow Data'!$B$3:$B$15,0)),"")</f>
        <v/>
      </c>
    </row>
    <row r="213" spans="2:33" ht="15" customHeight="1" x14ac:dyDescent="0.25">
      <c r="B213" s="128">
        <v>202</v>
      </c>
      <c r="C213" s="394"/>
      <c r="D213" s="275"/>
      <c r="E213" s="275"/>
      <c r="F213" s="171" t="str">
        <f>IF(D213="","",VLOOKUP(D213,'G-6 Hedgerow Data'!$B$2:$AG$15,2,FALSE))</f>
        <v/>
      </c>
      <c r="G213" s="176" t="str">
        <f>IF(D213="","",VLOOKUP(D213,'G-6 Hedgerow Data'!$B$2:$AG$15,3,FALSE))</f>
        <v/>
      </c>
      <c r="H213" s="189"/>
      <c r="I213" s="172" t="str">
        <f>IFERROR(IF(AND(F213="V.Low",OR(H213="Good",H213="Moderate")),"Error",VLOOKUP(H213,'G-1 All Habitats'!$Z$2:$AA$9,2,FALSE)),"")</f>
        <v/>
      </c>
      <c r="J213" s="186"/>
      <c r="K213" s="175" t="str">
        <f>IF(J213="","",IF(VLOOKUP(J213,'G-3 Multipliers'!$L$3:$N$6,2,FALSE)=0,"Spatial Data Missing",VLOOKUP(J213,'G-3 Multipliers'!$L$3:$N$6,2,FALSE)))</f>
        <v/>
      </c>
      <c r="L213" s="176" t="str">
        <f>IF(J213="","",IF(VLOOKUP(J213,'G-3 Multipliers'!$L$3:$N$6,3,FALSE)=0,"Spatial Data Missing",VLOOKUP(J213,'G-3 Multipliers'!$L$3:$N$6,3,FALSE)))</f>
        <v/>
      </c>
      <c r="M213" s="266"/>
      <c r="N213" s="172" t="str">
        <f>IF(M213="","",IF(VLOOKUP(M213,'G-3 Multipliers'!$S$3:$T$6,2,FALSE)=0,"Spatial Data Missing",VLOOKUP(M213,'G-3 Multipliers'!$S$3:$T$6,2,FALSE)))</f>
        <v/>
      </c>
      <c r="O213" s="171" t="str">
        <f>IF(OR(D213="",H213=""),"",(INDEX('G-6 Hedgerow Data'!$E$3:$I$15,MATCH(D213,'G-6 Hedgerow Data'!$B$3:$B$15,0),MATCH(H213,'G-6 Hedgerow Data'!$E$2:$I$2,0))))</f>
        <v/>
      </c>
      <c r="P213" s="261"/>
      <c r="Q213" s="261"/>
      <c r="R213" s="179" t="str">
        <f t="shared" si="19"/>
        <v/>
      </c>
      <c r="S213" s="262" t="str">
        <f t="shared" si="20"/>
        <v/>
      </c>
      <c r="T213" s="263" t="str">
        <f t="shared" si="18"/>
        <v/>
      </c>
      <c r="U213" s="239" t="str">
        <f>IF(D213="","",VLOOKUP(D213,'G-6 Hedgerow Data'!$B$3:$AG$15,31,FALSE))</f>
        <v/>
      </c>
      <c r="V213" s="175" t="str">
        <f t="shared" si="21"/>
        <v/>
      </c>
      <c r="W213" s="175" t="str">
        <f t="shared" si="22"/>
        <v/>
      </c>
      <c r="X213" s="176" t="str">
        <f>IF(F213="","",VLOOKUP(U213,'G-3 Multipliers'!$P$3:$Q$6,2,FALSE))</f>
        <v/>
      </c>
      <c r="Y213" s="274" t="str">
        <f t="shared" si="23"/>
        <v/>
      </c>
      <c r="Z213" s="180"/>
      <c r="AA213" s="181"/>
      <c r="AG213" s="35" t="str">
        <f>IFERROR(INDEX('G-6 Hedgerow Data'!$BJ$3:$BJ$15,MATCH(D213,'G-6 Hedgerow Data'!$B$3:$B$15,0)),"")</f>
        <v/>
      </c>
    </row>
    <row r="214" spans="2:33" ht="15" customHeight="1" x14ac:dyDescent="0.25">
      <c r="B214" s="128">
        <v>203</v>
      </c>
      <c r="C214" s="394"/>
      <c r="D214" s="275"/>
      <c r="E214" s="275"/>
      <c r="F214" s="171" t="str">
        <f>IF(D214="","",VLOOKUP(D214,'G-6 Hedgerow Data'!$B$2:$AG$15,2,FALSE))</f>
        <v/>
      </c>
      <c r="G214" s="176" t="str">
        <f>IF(D214="","",VLOOKUP(D214,'G-6 Hedgerow Data'!$B$2:$AG$15,3,FALSE))</f>
        <v/>
      </c>
      <c r="H214" s="189"/>
      <c r="I214" s="172" t="str">
        <f>IFERROR(IF(AND(F214="V.Low",OR(H214="Good",H214="Moderate")),"Error",VLOOKUP(H214,'G-1 All Habitats'!$Z$2:$AA$9,2,FALSE)),"")</f>
        <v/>
      </c>
      <c r="J214" s="186"/>
      <c r="K214" s="175" t="str">
        <f>IF(J214="","",IF(VLOOKUP(J214,'G-3 Multipliers'!$L$3:$N$6,2,FALSE)=0,"Spatial Data Missing",VLOOKUP(J214,'G-3 Multipliers'!$L$3:$N$6,2,FALSE)))</f>
        <v/>
      </c>
      <c r="L214" s="176" t="str">
        <f>IF(J214="","",IF(VLOOKUP(J214,'G-3 Multipliers'!$L$3:$N$6,3,FALSE)=0,"Spatial Data Missing",VLOOKUP(J214,'G-3 Multipliers'!$L$3:$N$6,3,FALSE)))</f>
        <v/>
      </c>
      <c r="M214" s="266"/>
      <c r="N214" s="172" t="str">
        <f>IF(M214="","",IF(VLOOKUP(M214,'G-3 Multipliers'!$S$3:$T$6,2,FALSE)=0,"Spatial Data Missing",VLOOKUP(M214,'G-3 Multipliers'!$S$3:$T$6,2,FALSE)))</f>
        <v/>
      </c>
      <c r="O214" s="171" t="str">
        <f>IF(OR(D214="",H214=""),"",(INDEX('G-6 Hedgerow Data'!$E$3:$I$15,MATCH(D214,'G-6 Hedgerow Data'!$B$3:$B$15,0),MATCH(H214,'G-6 Hedgerow Data'!$E$2:$I$2,0))))</f>
        <v/>
      </c>
      <c r="P214" s="261"/>
      <c r="Q214" s="261"/>
      <c r="R214" s="179" t="str">
        <f t="shared" si="19"/>
        <v/>
      </c>
      <c r="S214" s="262" t="str">
        <f t="shared" si="20"/>
        <v/>
      </c>
      <c r="T214" s="263" t="str">
        <f t="shared" si="18"/>
        <v/>
      </c>
      <c r="U214" s="239" t="str">
        <f>IF(D214="","",VLOOKUP(D214,'G-6 Hedgerow Data'!$B$3:$AG$15,31,FALSE))</f>
        <v/>
      </c>
      <c r="V214" s="175" t="str">
        <f t="shared" si="21"/>
        <v/>
      </c>
      <c r="W214" s="175" t="str">
        <f t="shared" si="22"/>
        <v/>
      </c>
      <c r="X214" s="176" t="str">
        <f>IF(F214="","",VLOOKUP(U214,'G-3 Multipliers'!$P$3:$Q$6,2,FALSE))</f>
        <v/>
      </c>
      <c r="Y214" s="274" t="str">
        <f t="shared" si="23"/>
        <v/>
      </c>
      <c r="Z214" s="180"/>
      <c r="AA214" s="181"/>
      <c r="AG214" s="35" t="str">
        <f>IFERROR(INDEX('G-6 Hedgerow Data'!$BJ$3:$BJ$15,MATCH(D214,'G-6 Hedgerow Data'!$B$3:$B$15,0)),"")</f>
        <v/>
      </c>
    </row>
    <row r="215" spans="2:33" ht="15" customHeight="1" x14ac:dyDescent="0.25">
      <c r="B215" s="128">
        <v>204</v>
      </c>
      <c r="C215" s="394"/>
      <c r="D215" s="275"/>
      <c r="E215" s="275"/>
      <c r="F215" s="171" t="str">
        <f>IF(D215="","",VLOOKUP(D215,'G-6 Hedgerow Data'!$B$2:$AG$15,2,FALSE))</f>
        <v/>
      </c>
      <c r="G215" s="176" t="str">
        <f>IF(D215="","",VLOOKUP(D215,'G-6 Hedgerow Data'!$B$2:$AG$15,3,FALSE))</f>
        <v/>
      </c>
      <c r="H215" s="189"/>
      <c r="I215" s="172" t="str">
        <f>IFERROR(IF(AND(F215="V.Low",OR(H215="Good",H215="Moderate")),"Error",VLOOKUP(H215,'G-1 All Habitats'!$Z$2:$AA$9,2,FALSE)),"")</f>
        <v/>
      </c>
      <c r="J215" s="186"/>
      <c r="K215" s="175" t="str">
        <f>IF(J215="","",IF(VLOOKUP(J215,'G-3 Multipliers'!$L$3:$N$6,2,FALSE)=0,"Spatial Data Missing",VLOOKUP(J215,'G-3 Multipliers'!$L$3:$N$6,2,FALSE)))</f>
        <v/>
      </c>
      <c r="L215" s="176" t="str">
        <f>IF(J215="","",IF(VLOOKUP(J215,'G-3 Multipliers'!$L$3:$N$6,3,FALSE)=0,"Spatial Data Missing",VLOOKUP(J215,'G-3 Multipliers'!$L$3:$N$6,3,FALSE)))</f>
        <v/>
      </c>
      <c r="M215" s="266"/>
      <c r="N215" s="172" t="str">
        <f>IF(M215="","",IF(VLOOKUP(M215,'G-3 Multipliers'!$S$3:$T$6,2,FALSE)=0,"Spatial Data Missing",VLOOKUP(M215,'G-3 Multipliers'!$S$3:$T$6,2,FALSE)))</f>
        <v/>
      </c>
      <c r="O215" s="171" t="str">
        <f>IF(OR(D215="",H215=""),"",(INDEX('G-6 Hedgerow Data'!$E$3:$I$15,MATCH(D215,'G-6 Hedgerow Data'!$B$3:$B$15,0),MATCH(H215,'G-6 Hedgerow Data'!$E$2:$I$2,0))))</f>
        <v/>
      </c>
      <c r="P215" s="261"/>
      <c r="Q215" s="261"/>
      <c r="R215" s="179" t="str">
        <f t="shared" si="19"/>
        <v/>
      </c>
      <c r="S215" s="262" t="str">
        <f t="shared" si="20"/>
        <v/>
      </c>
      <c r="T215" s="263" t="str">
        <f t="shared" si="18"/>
        <v/>
      </c>
      <c r="U215" s="239" t="str">
        <f>IF(D215="","",VLOOKUP(D215,'G-6 Hedgerow Data'!$B$3:$AG$15,31,FALSE))</f>
        <v/>
      </c>
      <c r="V215" s="175" t="str">
        <f t="shared" si="21"/>
        <v/>
      </c>
      <c r="W215" s="175" t="str">
        <f t="shared" si="22"/>
        <v/>
      </c>
      <c r="X215" s="176" t="str">
        <f>IF(F215="","",VLOOKUP(U215,'G-3 Multipliers'!$P$3:$Q$6,2,FALSE))</f>
        <v/>
      </c>
      <c r="Y215" s="274" t="str">
        <f t="shared" si="23"/>
        <v/>
      </c>
      <c r="Z215" s="180"/>
      <c r="AA215" s="181"/>
      <c r="AG215" s="35" t="str">
        <f>IFERROR(INDEX('G-6 Hedgerow Data'!$BJ$3:$BJ$15,MATCH(D215,'G-6 Hedgerow Data'!$B$3:$B$15,0)),"")</f>
        <v/>
      </c>
    </row>
    <row r="216" spans="2:33" ht="15" customHeight="1" x14ac:dyDescent="0.25">
      <c r="B216" s="128">
        <v>205</v>
      </c>
      <c r="C216" s="394"/>
      <c r="D216" s="275"/>
      <c r="E216" s="275"/>
      <c r="F216" s="171" t="str">
        <f>IF(D216="","",VLOOKUP(D216,'G-6 Hedgerow Data'!$B$2:$AG$15,2,FALSE))</f>
        <v/>
      </c>
      <c r="G216" s="176" t="str">
        <f>IF(D216="","",VLOOKUP(D216,'G-6 Hedgerow Data'!$B$2:$AG$15,3,FALSE))</f>
        <v/>
      </c>
      <c r="H216" s="189"/>
      <c r="I216" s="172" t="str">
        <f>IFERROR(IF(AND(F216="V.Low",OR(H216="Good",H216="Moderate")),"Error",VLOOKUP(H216,'G-1 All Habitats'!$Z$2:$AA$9,2,FALSE)),"")</f>
        <v/>
      </c>
      <c r="J216" s="186"/>
      <c r="K216" s="175" t="str">
        <f>IF(J216="","",IF(VLOOKUP(J216,'G-3 Multipliers'!$L$3:$N$6,2,FALSE)=0,"Spatial Data Missing",VLOOKUP(J216,'G-3 Multipliers'!$L$3:$N$6,2,FALSE)))</f>
        <v/>
      </c>
      <c r="L216" s="176" t="str">
        <f>IF(J216="","",IF(VLOOKUP(J216,'G-3 Multipliers'!$L$3:$N$6,3,FALSE)=0,"Spatial Data Missing",VLOOKUP(J216,'G-3 Multipliers'!$L$3:$N$6,3,FALSE)))</f>
        <v/>
      </c>
      <c r="M216" s="266"/>
      <c r="N216" s="172" t="str">
        <f>IF(M216="","",IF(VLOOKUP(M216,'G-3 Multipliers'!$S$3:$T$6,2,FALSE)=0,"Spatial Data Missing",VLOOKUP(M216,'G-3 Multipliers'!$S$3:$T$6,2,FALSE)))</f>
        <v/>
      </c>
      <c r="O216" s="171" t="str">
        <f>IF(OR(D216="",H216=""),"",(INDEX('G-6 Hedgerow Data'!$E$3:$I$15,MATCH(D216,'G-6 Hedgerow Data'!$B$3:$B$15,0),MATCH(H216,'G-6 Hedgerow Data'!$E$2:$I$2,0))))</f>
        <v/>
      </c>
      <c r="P216" s="261"/>
      <c r="Q216" s="261"/>
      <c r="R216" s="179" t="str">
        <f t="shared" si="19"/>
        <v/>
      </c>
      <c r="S216" s="262" t="str">
        <f t="shared" si="20"/>
        <v/>
      </c>
      <c r="T216" s="263" t="str">
        <f t="shared" si="18"/>
        <v/>
      </c>
      <c r="U216" s="239" t="str">
        <f>IF(D216="","",VLOOKUP(D216,'G-6 Hedgerow Data'!$B$3:$AG$15,31,FALSE))</f>
        <v/>
      </c>
      <c r="V216" s="175" t="str">
        <f t="shared" si="21"/>
        <v/>
      </c>
      <c r="W216" s="175" t="str">
        <f t="shared" si="22"/>
        <v/>
      </c>
      <c r="X216" s="176" t="str">
        <f>IF(F216="","",VLOOKUP(U216,'G-3 Multipliers'!$P$3:$Q$6,2,FALSE))</f>
        <v/>
      </c>
      <c r="Y216" s="274" t="str">
        <f t="shared" si="23"/>
        <v/>
      </c>
      <c r="Z216" s="180"/>
      <c r="AA216" s="181"/>
      <c r="AG216" s="35" t="str">
        <f>IFERROR(INDEX('G-6 Hedgerow Data'!$BJ$3:$BJ$15,MATCH(D216,'G-6 Hedgerow Data'!$B$3:$B$15,0)),"")</f>
        <v/>
      </c>
    </row>
    <row r="217" spans="2:33" ht="15" customHeight="1" x14ac:dyDescent="0.25">
      <c r="B217" s="128">
        <v>206</v>
      </c>
      <c r="C217" s="394"/>
      <c r="D217" s="275"/>
      <c r="E217" s="275"/>
      <c r="F217" s="171" t="str">
        <f>IF(D217="","",VLOOKUP(D217,'G-6 Hedgerow Data'!$B$2:$AG$15,2,FALSE))</f>
        <v/>
      </c>
      <c r="G217" s="176" t="str">
        <f>IF(D217="","",VLOOKUP(D217,'G-6 Hedgerow Data'!$B$2:$AG$15,3,FALSE))</f>
        <v/>
      </c>
      <c r="H217" s="189"/>
      <c r="I217" s="172" t="str">
        <f>IFERROR(IF(AND(F217="V.Low",OR(H217="Good",H217="Moderate")),"Error",VLOOKUP(H217,'G-1 All Habitats'!$Z$2:$AA$9,2,FALSE)),"")</f>
        <v/>
      </c>
      <c r="J217" s="186"/>
      <c r="K217" s="175" t="str">
        <f>IF(J217="","",IF(VLOOKUP(J217,'G-3 Multipliers'!$L$3:$N$6,2,FALSE)=0,"Spatial Data Missing",VLOOKUP(J217,'G-3 Multipliers'!$L$3:$N$6,2,FALSE)))</f>
        <v/>
      </c>
      <c r="L217" s="176" t="str">
        <f>IF(J217="","",IF(VLOOKUP(J217,'G-3 Multipliers'!$L$3:$N$6,3,FALSE)=0,"Spatial Data Missing",VLOOKUP(J217,'G-3 Multipliers'!$L$3:$N$6,3,FALSE)))</f>
        <v/>
      </c>
      <c r="M217" s="266"/>
      <c r="N217" s="172" t="str">
        <f>IF(M217="","",IF(VLOOKUP(M217,'G-3 Multipliers'!$S$3:$T$6,2,FALSE)=0,"Spatial Data Missing",VLOOKUP(M217,'G-3 Multipliers'!$S$3:$T$6,2,FALSE)))</f>
        <v/>
      </c>
      <c r="O217" s="171" t="str">
        <f>IF(OR(D217="",H217=""),"",(INDEX('G-6 Hedgerow Data'!$E$3:$I$15,MATCH(D217,'G-6 Hedgerow Data'!$B$3:$B$15,0),MATCH(H217,'G-6 Hedgerow Data'!$E$2:$I$2,0))))</f>
        <v/>
      </c>
      <c r="P217" s="261"/>
      <c r="Q217" s="261"/>
      <c r="R217" s="179" t="str">
        <f t="shared" si="19"/>
        <v/>
      </c>
      <c r="S217" s="262" t="str">
        <f t="shared" si="20"/>
        <v/>
      </c>
      <c r="T217" s="263" t="str">
        <f t="shared" si="18"/>
        <v/>
      </c>
      <c r="U217" s="239" t="str">
        <f>IF(D217="","",VLOOKUP(D217,'G-6 Hedgerow Data'!$B$3:$AG$15,31,FALSE))</f>
        <v/>
      </c>
      <c r="V217" s="175" t="str">
        <f t="shared" si="21"/>
        <v/>
      </c>
      <c r="W217" s="175" t="str">
        <f t="shared" si="22"/>
        <v/>
      </c>
      <c r="X217" s="176" t="str">
        <f>IF(F217="","",VLOOKUP(U217,'G-3 Multipliers'!$P$3:$Q$6,2,FALSE))</f>
        <v/>
      </c>
      <c r="Y217" s="274" t="str">
        <f t="shared" si="23"/>
        <v/>
      </c>
      <c r="Z217" s="180"/>
      <c r="AA217" s="181"/>
      <c r="AG217" s="35" t="str">
        <f>IFERROR(INDEX('G-6 Hedgerow Data'!$BJ$3:$BJ$15,MATCH(D217,'G-6 Hedgerow Data'!$B$3:$B$15,0)),"")</f>
        <v/>
      </c>
    </row>
    <row r="218" spans="2:33" ht="15" customHeight="1" x14ac:dyDescent="0.25">
      <c r="B218" s="128">
        <v>207</v>
      </c>
      <c r="C218" s="394"/>
      <c r="D218" s="275"/>
      <c r="E218" s="275"/>
      <c r="F218" s="171" t="str">
        <f>IF(D218="","",VLOOKUP(D218,'G-6 Hedgerow Data'!$B$2:$AG$15,2,FALSE))</f>
        <v/>
      </c>
      <c r="G218" s="176" t="str">
        <f>IF(D218="","",VLOOKUP(D218,'G-6 Hedgerow Data'!$B$2:$AG$15,3,FALSE))</f>
        <v/>
      </c>
      <c r="H218" s="189"/>
      <c r="I218" s="172" t="str">
        <f>IFERROR(IF(AND(F218="V.Low",OR(H218="Good",H218="Moderate")),"Error",VLOOKUP(H218,'G-1 All Habitats'!$Z$2:$AA$9,2,FALSE)),"")</f>
        <v/>
      </c>
      <c r="J218" s="186"/>
      <c r="K218" s="175" t="str">
        <f>IF(J218="","",IF(VLOOKUP(J218,'G-3 Multipliers'!$L$3:$N$6,2,FALSE)=0,"Spatial Data Missing",VLOOKUP(J218,'G-3 Multipliers'!$L$3:$N$6,2,FALSE)))</f>
        <v/>
      </c>
      <c r="L218" s="176" t="str">
        <f>IF(J218="","",IF(VLOOKUP(J218,'G-3 Multipliers'!$L$3:$N$6,3,FALSE)=0,"Spatial Data Missing",VLOOKUP(J218,'G-3 Multipliers'!$L$3:$N$6,3,FALSE)))</f>
        <v/>
      </c>
      <c r="M218" s="266"/>
      <c r="N218" s="172" t="str">
        <f>IF(M218="","",IF(VLOOKUP(M218,'G-3 Multipliers'!$S$3:$T$6,2,FALSE)=0,"Spatial Data Missing",VLOOKUP(M218,'G-3 Multipliers'!$S$3:$T$6,2,FALSE)))</f>
        <v/>
      </c>
      <c r="O218" s="171" t="str">
        <f>IF(OR(D218="",H218=""),"",(INDEX('G-6 Hedgerow Data'!$E$3:$I$15,MATCH(D218,'G-6 Hedgerow Data'!$B$3:$B$15,0),MATCH(H218,'G-6 Hedgerow Data'!$E$2:$I$2,0))))</f>
        <v/>
      </c>
      <c r="P218" s="261"/>
      <c r="Q218" s="261"/>
      <c r="R218" s="179" t="str">
        <f t="shared" si="19"/>
        <v/>
      </c>
      <c r="S218" s="262" t="str">
        <f t="shared" si="20"/>
        <v/>
      </c>
      <c r="T218" s="263" t="str">
        <f t="shared" si="18"/>
        <v/>
      </c>
      <c r="U218" s="239" t="str">
        <f>IF(D218="","",VLOOKUP(D218,'G-6 Hedgerow Data'!$B$3:$AG$15,31,FALSE))</f>
        <v/>
      </c>
      <c r="V218" s="175" t="str">
        <f t="shared" si="21"/>
        <v/>
      </c>
      <c r="W218" s="175" t="str">
        <f t="shared" si="22"/>
        <v/>
      </c>
      <c r="X218" s="176" t="str">
        <f>IF(F218="","",VLOOKUP(U218,'G-3 Multipliers'!$P$3:$Q$6,2,FALSE))</f>
        <v/>
      </c>
      <c r="Y218" s="274" t="str">
        <f t="shared" si="23"/>
        <v/>
      </c>
      <c r="Z218" s="180"/>
      <c r="AA218" s="181"/>
      <c r="AG218" s="35" t="str">
        <f>IFERROR(INDEX('G-6 Hedgerow Data'!$BJ$3:$BJ$15,MATCH(D218,'G-6 Hedgerow Data'!$B$3:$B$15,0)),"")</f>
        <v/>
      </c>
    </row>
    <row r="219" spans="2:33" ht="15" customHeight="1" x14ac:dyDescent="0.25">
      <c r="B219" s="128">
        <v>208</v>
      </c>
      <c r="C219" s="394"/>
      <c r="D219" s="275"/>
      <c r="E219" s="275"/>
      <c r="F219" s="171" t="str">
        <f>IF(D219="","",VLOOKUP(D219,'G-6 Hedgerow Data'!$B$2:$AG$15,2,FALSE))</f>
        <v/>
      </c>
      <c r="G219" s="176" t="str">
        <f>IF(D219="","",VLOOKUP(D219,'G-6 Hedgerow Data'!$B$2:$AG$15,3,FALSE))</f>
        <v/>
      </c>
      <c r="H219" s="189"/>
      <c r="I219" s="172" t="str">
        <f>IFERROR(IF(AND(F219="V.Low",OR(H219="Good",H219="Moderate")),"Error",VLOOKUP(H219,'G-1 All Habitats'!$Z$2:$AA$9,2,FALSE)),"")</f>
        <v/>
      </c>
      <c r="J219" s="186"/>
      <c r="K219" s="175" t="str">
        <f>IF(J219="","",IF(VLOOKUP(J219,'G-3 Multipliers'!$L$3:$N$6,2,FALSE)=0,"Spatial Data Missing",VLOOKUP(J219,'G-3 Multipliers'!$L$3:$N$6,2,FALSE)))</f>
        <v/>
      </c>
      <c r="L219" s="176" t="str">
        <f>IF(J219="","",IF(VLOOKUP(J219,'G-3 Multipliers'!$L$3:$N$6,3,FALSE)=0,"Spatial Data Missing",VLOOKUP(J219,'G-3 Multipliers'!$L$3:$N$6,3,FALSE)))</f>
        <v/>
      </c>
      <c r="M219" s="266"/>
      <c r="N219" s="172" t="str">
        <f>IF(M219="","",IF(VLOOKUP(M219,'G-3 Multipliers'!$S$3:$T$6,2,FALSE)=0,"Spatial Data Missing",VLOOKUP(M219,'G-3 Multipliers'!$S$3:$T$6,2,FALSE)))</f>
        <v/>
      </c>
      <c r="O219" s="171" t="str">
        <f>IF(OR(D219="",H219=""),"",(INDEX('G-6 Hedgerow Data'!$E$3:$I$15,MATCH(D219,'G-6 Hedgerow Data'!$B$3:$B$15,0),MATCH(H219,'G-6 Hedgerow Data'!$E$2:$I$2,0))))</f>
        <v/>
      </c>
      <c r="P219" s="261"/>
      <c r="Q219" s="261"/>
      <c r="R219" s="179" t="str">
        <f t="shared" si="19"/>
        <v/>
      </c>
      <c r="S219" s="262" t="str">
        <f t="shared" si="20"/>
        <v/>
      </c>
      <c r="T219" s="263" t="str">
        <f t="shared" si="18"/>
        <v/>
      </c>
      <c r="U219" s="239" t="str">
        <f>IF(D219="","",VLOOKUP(D219,'G-6 Hedgerow Data'!$B$3:$AG$15,31,FALSE))</f>
        <v/>
      </c>
      <c r="V219" s="175" t="str">
        <f t="shared" si="21"/>
        <v/>
      </c>
      <c r="W219" s="175" t="str">
        <f t="shared" si="22"/>
        <v/>
      </c>
      <c r="X219" s="176" t="str">
        <f>IF(F219="","",VLOOKUP(U219,'G-3 Multipliers'!$P$3:$Q$6,2,FALSE))</f>
        <v/>
      </c>
      <c r="Y219" s="274" t="str">
        <f t="shared" si="23"/>
        <v/>
      </c>
      <c r="Z219" s="180"/>
      <c r="AA219" s="181"/>
      <c r="AG219" s="35" t="str">
        <f>IFERROR(INDEX('G-6 Hedgerow Data'!$BJ$3:$BJ$15,MATCH(D219,'G-6 Hedgerow Data'!$B$3:$B$15,0)),"")</f>
        <v/>
      </c>
    </row>
    <row r="220" spans="2:33" ht="15" customHeight="1" x14ac:dyDescent="0.25">
      <c r="B220" s="128">
        <v>209</v>
      </c>
      <c r="C220" s="394"/>
      <c r="D220" s="275"/>
      <c r="E220" s="275"/>
      <c r="F220" s="171" t="str">
        <f>IF(D220="","",VLOOKUP(D220,'G-6 Hedgerow Data'!$B$2:$AG$15,2,FALSE))</f>
        <v/>
      </c>
      <c r="G220" s="176" t="str">
        <f>IF(D220="","",VLOOKUP(D220,'G-6 Hedgerow Data'!$B$2:$AG$15,3,FALSE))</f>
        <v/>
      </c>
      <c r="H220" s="189"/>
      <c r="I220" s="172" t="str">
        <f>IFERROR(IF(AND(F220="V.Low",OR(H220="Good",H220="Moderate")),"Error",VLOOKUP(H220,'G-1 All Habitats'!$Z$2:$AA$9,2,FALSE)),"")</f>
        <v/>
      </c>
      <c r="J220" s="186"/>
      <c r="K220" s="175" t="str">
        <f>IF(J220="","",IF(VLOOKUP(J220,'G-3 Multipliers'!$L$3:$N$6,2,FALSE)=0,"Spatial Data Missing",VLOOKUP(J220,'G-3 Multipliers'!$L$3:$N$6,2,FALSE)))</f>
        <v/>
      </c>
      <c r="L220" s="176" t="str">
        <f>IF(J220="","",IF(VLOOKUP(J220,'G-3 Multipliers'!$L$3:$N$6,3,FALSE)=0,"Spatial Data Missing",VLOOKUP(J220,'G-3 Multipliers'!$L$3:$N$6,3,FALSE)))</f>
        <v/>
      </c>
      <c r="M220" s="266"/>
      <c r="N220" s="172" t="str">
        <f>IF(M220="","",IF(VLOOKUP(M220,'G-3 Multipliers'!$S$3:$T$6,2,FALSE)=0,"Spatial Data Missing",VLOOKUP(M220,'G-3 Multipliers'!$S$3:$T$6,2,FALSE)))</f>
        <v/>
      </c>
      <c r="O220" s="171" t="str">
        <f>IF(OR(D220="",H220=""),"",(INDEX('G-6 Hedgerow Data'!$E$3:$I$15,MATCH(D220,'G-6 Hedgerow Data'!$B$3:$B$15,0),MATCH(H220,'G-6 Hedgerow Data'!$E$2:$I$2,0))))</f>
        <v/>
      </c>
      <c r="P220" s="261"/>
      <c r="Q220" s="261"/>
      <c r="R220" s="179" t="str">
        <f t="shared" si="19"/>
        <v/>
      </c>
      <c r="S220" s="262" t="str">
        <f t="shared" si="20"/>
        <v/>
      </c>
      <c r="T220" s="263" t="str">
        <f t="shared" si="18"/>
        <v/>
      </c>
      <c r="U220" s="239" t="str">
        <f>IF(D220="","",VLOOKUP(D220,'G-6 Hedgerow Data'!$B$3:$AG$15,31,FALSE))</f>
        <v/>
      </c>
      <c r="V220" s="175" t="str">
        <f t="shared" si="21"/>
        <v/>
      </c>
      <c r="W220" s="175" t="str">
        <f t="shared" si="22"/>
        <v/>
      </c>
      <c r="X220" s="176" t="str">
        <f>IF(F220="","",VLOOKUP(U220,'G-3 Multipliers'!$P$3:$Q$6,2,FALSE))</f>
        <v/>
      </c>
      <c r="Y220" s="274" t="str">
        <f t="shared" si="23"/>
        <v/>
      </c>
      <c r="Z220" s="180"/>
      <c r="AA220" s="181"/>
      <c r="AG220" s="35" t="str">
        <f>IFERROR(INDEX('G-6 Hedgerow Data'!$BJ$3:$BJ$15,MATCH(D220,'G-6 Hedgerow Data'!$B$3:$B$15,0)),"")</f>
        <v/>
      </c>
    </row>
    <row r="221" spans="2:33" ht="15" customHeight="1" x14ac:dyDescent="0.25">
      <c r="B221" s="128">
        <v>210</v>
      </c>
      <c r="C221" s="394"/>
      <c r="D221" s="275"/>
      <c r="E221" s="275"/>
      <c r="F221" s="171" t="str">
        <f>IF(D221="","",VLOOKUP(D221,'G-6 Hedgerow Data'!$B$2:$AG$15,2,FALSE))</f>
        <v/>
      </c>
      <c r="G221" s="176" t="str">
        <f>IF(D221="","",VLOOKUP(D221,'G-6 Hedgerow Data'!$B$2:$AG$15,3,FALSE))</f>
        <v/>
      </c>
      <c r="H221" s="189"/>
      <c r="I221" s="172" t="str">
        <f>IFERROR(IF(AND(F221="V.Low",OR(H221="Good",H221="Moderate")),"Error",VLOOKUP(H221,'G-1 All Habitats'!$Z$2:$AA$9,2,FALSE)),"")</f>
        <v/>
      </c>
      <c r="J221" s="186"/>
      <c r="K221" s="175" t="str">
        <f>IF(J221="","",IF(VLOOKUP(J221,'G-3 Multipliers'!$L$3:$N$6,2,FALSE)=0,"Spatial Data Missing",VLOOKUP(J221,'G-3 Multipliers'!$L$3:$N$6,2,FALSE)))</f>
        <v/>
      </c>
      <c r="L221" s="176" t="str">
        <f>IF(J221="","",IF(VLOOKUP(J221,'G-3 Multipliers'!$L$3:$N$6,3,FALSE)=0,"Spatial Data Missing",VLOOKUP(J221,'G-3 Multipliers'!$L$3:$N$6,3,FALSE)))</f>
        <v/>
      </c>
      <c r="M221" s="266"/>
      <c r="N221" s="172" t="str">
        <f>IF(M221="","",IF(VLOOKUP(M221,'G-3 Multipliers'!$S$3:$T$6,2,FALSE)=0,"Spatial Data Missing",VLOOKUP(M221,'G-3 Multipliers'!$S$3:$T$6,2,FALSE)))</f>
        <v/>
      </c>
      <c r="O221" s="171" t="str">
        <f>IF(OR(D221="",H221=""),"",(INDEX('G-6 Hedgerow Data'!$E$3:$I$15,MATCH(D221,'G-6 Hedgerow Data'!$B$3:$B$15,0),MATCH(H221,'G-6 Hedgerow Data'!$E$2:$I$2,0))))</f>
        <v/>
      </c>
      <c r="P221" s="261"/>
      <c r="Q221" s="261"/>
      <c r="R221" s="179" t="str">
        <f t="shared" si="19"/>
        <v/>
      </c>
      <c r="S221" s="262" t="str">
        <f t="shared" si="20"/>
        <v/>
      </c>
      <c r="T221" s="263" t="str">
        <f t="shared" si="18"/>
        <v/>
      </c>
      <c r="U221" s="239" t="str">
        <f>IF(D221="","",VLOOKUP(D221,'G-6 Hedgerow Data'!$B$3:$AG$15,31,FALSE))</f>
        <v/>
      </c>
      <c r="V221" s="175" t="str">
        <f t="shared" si="21"/>
        <v/>
      </c>
      <c r="W221" s="175" t="str">
        <f t="shared" si="22"/>
        <v/>
      </c>
      <c r="X221" s="176" t="str">
        <f>IF(F221="","",VLOOKUP(U221,'G-3 Multipliers'!$P$3:$Q$6,2,FALSE))</f>
        <v/>
      </c>
      <c r="Y221" s="274" t="str">
        <f t="shared" si="23"/>
        <v/>
      </c>
      <c r="Z221" s="180"/>
      <c r="AA221" s="181"/>
      <c r="AG221" s="35" t="str">
        <f>IFERROR(INDEX('G-6 Hedgerow Data'!$BJ$3:$BJ$15,MATCH(D221,'G-6 Hedgerow Data'!$B$3:$B$15,0)),"")</f>
        <v/>
      </c>
    </row>
    <row r="222" spans="2:33" ht="15" customHeight="1" x14ac:dyDescent="0.25">
      <c r="B222" s="128">
        <v>211</v>
      </c>
      <c r="C222" s="394"/>
      <c r="D222" s="275"/>
      <c r="E222" s="275"/>
      <c r="F222" s="171" t="str">
        <f>IF(D222="","",VLOOKUP(D222,'G-6 Hedgerow Data'!$B$2:$AG$15,2,FALSE))</f>
        <v/>
      </c>
      <c r="G222" s="176" t="str">
        <f>IF(D222="","",VLOOKUP(D222,'G-6 Hedgerow Data'!$B$2:$AG$15,3,FALSE))</f>
        <v/>
      </c>
      <c r="H222" s="189"/>
      <c r="I222" s="172" t="str">
        <f>IFERROR(IF(AND(F222="V.Low",OR(H222="Good",H222="Moderate")),"Error",VLOOKUP(H222,'G-1 All Habitats'!$Z$2:$AA$9,2,FALSE)),"")</f>
        <v/>
      </c>
      <c r="J222" s="186"/>
      <c r="K222" s="175" t="str">
        <f>IF(J222="","",IF(VLOOKUP(J222,'G-3 Multipliers'!$L$3:$N$6,2,FALSE)=0,"Spatial Data Missing",VLOOKUP(J222,'G-3 Multipliers'!$L$3:$N$6,2,FALSE)))</f>
        <v/>
      </c>
      <c r="L222" s="176" t="str">
        <f>IF(J222="","",IF(VLOOKUP(J222,'G-3 Multipliers'!$L$3:$N$6,3,FALSE)=0,"Spatial Data Missing",VLOOKUP(J222,'G-3 Multipliers'!$L$3:$N$6,3,FALSE)))</f>
        <v/>
      </c>
      <c r="M222" s="266"/>
      <c r="N222" s="172" t="str">
        <f>IF(M222="","",IF(VLOOKUP(M222,'G-3 Multipliers'!$S$3:$T$6,2,FALSE)=0,"Spatial Data Missing",VLOOKUP(M222,'G-3 Multipliers'!$S$3:$T$6,2,FALSE)))</f>
        <v/>
      </c>
      <c r="O222" s="171" t="str">
        <f>IF(OR(D222="",H222=""),"",(INDEX('G-6 Hedgerow Data'!$E$3:$I$15,MATCH(D222,'G-6 Hedgerow Data'!$B$3:$B$15,0),MATCH(H222,'G-6 Hedgerow Data'!$E$2:$I$2,0))))</f>
        <v/>
      </c>
      <c r="P222" s="261"/>
      <c r="Q222" s="261"/>
      <c r="R222" s="179" t="str">
        <f t="shared" si="19"/>
        <v/>
      </c>
      <c r="S222" s="262" t="str">
        <f t="shared" si="20"/>
        <v/>
      </c>
      <c r="T222" s="263" t="str">
        <f t="shared" si="18"/>
        <v/>
      </c>
      <c r="U222" s="239" t="str">
        <f>IF(D222="","",VLOOKUP(D222,'G-6 Hedgerow Data'!$B$3:$AG$15,31,FALSE))</f>
        <v/>
      </c>
      <c r="V222" s="175" t="str">
        <f t="shared" si="21"/>
        <v/>
      </c>
      <c r="W222" s="175" t="str">
        <f t="shared" si="22"/>
        <v/>
      </c>
      <c r="X222" s="176" t="str">
        <f>IF(F222="","",VLOOKUP(U222,'G-3 Multipliers'!$P$3:$Q$6,2,FALSE))</f>
        <v/>
      </c>
      <c r="Y222" s="274" t="str">
        <f t="shared" si="23"/>
        <v/>
      </c>
      <c r="Z222" s="180"/>
      <c r="AA222" s="181"/>
      <c r="AG222" s="35" t="str">
        <f>IFERROR(INDEX('G-6 Hedgerow Data'!$BJ$3:$BJ$15,MATCH(D222,'G-6 Hedgerow Data'!$B$3:$B$15,0)),"")</f>
        <v/>
      </c>
    </row>
    <row r="223" spans="2:33" ht="15" customHeight="1" x14ac:dyDescent="0.25">
      <c r="B223" s="128">
        <v>212</v>
      </c>
      <c r="C223" s="394"/>
      <c r="D223" s="275"/>
      <c r="E223" s="275"/>
      <c r="F223" s="171" t="str">
        <f>IF(D223="","",VLOOKUP(D223,'G-6 Hedgerow Data'!$B$2:$AG$15,2,FALSE))</f>
        <v/>
      </c>
      <c r="G223" s="176" t="str">
        <f>IF(D223="","",VLOOKUP(D223,'G-6 Hedgerow Data'!$B$2:$AG$15,3,FALSE))</f>
        <v/>
      </c>
      <c r="H223" s="189"/>
      <c r="I223" s="172" t="str">
        <f>IFERROR(IF(AND(F223="V.Low",OR(H223="Good",H223="Moderate")),"Error",VLOOKUP(H223,'G-1 All Habitats'!$Z$2:$AA$9,2,FALSE)),"")</f>
        <v/>
      </c>
      <c r="J223" s="186"/>
      <c r="K223" s="175" t="str">
        <f>IF(J223="","",IF(VLOOKUP(J223,'G-3 Multipliers'!$L$3:$N$6,2,FALSE)=0,"Spatial Data Missing",VLOOKUP(J223,'G-3 Multipliers'!$L$3:$N$6,2,FALSE)))</f>
        <v/>
      </c>
      <c r="L223" s="176" t="str">
        <f>IF(J223="","",IF(VLOOKUP(J223,'G-3 Multipliers'!$L$3:$N$6,3,FALSE)=0,"Spatial Data Missing",VLOOKUP(J223,'G-3 Multipliers'!$L$3:$N$6,3,FALSE)))</f>
        <v/>
      </c>
      <c r="M223" s="266"/>
      <c r="N223" s="172" t="str">
        <f>IF(M223="","",IF(VLOOKUP(M223,'G-3 Multipliers'!$S$3:$T$6,2,FALSE)=0,"Spatial Data Missing",VLOOKUP(M223,'G-3 Multipliers'!$S$3:$T$6,2,FALSE)))</f>
        <v/>
      </c>
      <c r="O223" s="171" t="str">
        <f>IF(OR(D223="",H223=""),"",(INDEX('G-6 Hedgerow Data'!$E$3:$I$15,MATCH(D223,'G-6 Hedgerow Data'!$B$3:$B$15,0),MATCH(H223,'G-6 Hedgerow Data'!$E$2:$I$2,0))))</f>
        <v/>
      </c>
      <c r="P223" s="261"/>
      <c r="Q223" s="261"/>
      <c r="R223" s="179" t="str">
        <f t="shared" si="19"/>
        <v/>
      </c>
      <c r="S223" s="262" t="str">
        <f t="shared" si="20"/>
        <v/>
      </c>
      <c r="T223" s="263" t="str">
        <f t="shared" si="18"/>
        <v/>
      </c>
      <c r="U223" s="239" t="str">
        <f>IF(D223="","",VLOOKUP(D223,'G-6 Hedgerow Data'!$B$3:$AG$15,31,FALSE))</f>
        <v/>
      </c>
      <c r="V223" s="175" t="str">
        <f t="shared" si="21"/>
        <v/>
      </c>
      <c r="W223" s="175" t="str">
        <f t="shared" si="22"/>
        <v/>
      </c>
      <c r="X223" s="176" t="str">
        <f>IF(F223="","",VLOOKUP(U223,'G-3 Multipliers'!$P$3:$Q$6,2,FALSE))</f>
        <v/>
      </c>
      <c r="Y223" s="274" t="str">
        <f t="shared" si="23"/>
        <v/>
      </c>
      <c r="Z223" s="180"/>
      <c r="AA223" s="181"/>
      <c r="AG223" s="35" t="str">
        <f>IFERROR(INDEX('G-6 Hedgerow Data'!$BJ$3:$BJ$15,MATCH(D223,'G-6 Hedgerow Data'!$B$3:$B$15,0)),"")</f>
        <v/>
      </c>
    </row>
    <row r="224" spans="2:33" ht="15" customHeight="1" x14ac:dyDescent="0.25">
      <c r="B224" s="128">
        <v>213</v>
      </c>
      <c r="C224" s="394"/>
      <c r="D224" s="275"/>
      <c r="E224" s="275"/>
      <c r="F224" s="171" t="str">
        <f>IF(D224="","",VLOOKUP(D224,'G-6 Hedgerow Data'!$B$2:$AG$15,2,FALSE))</f>
        <v/>
      </c>
      <c r="G224" s="176" t="str">
        <f>IF(D224="","",VLOOKUP(D224,'G-6 Hedgerow Data'!$B$2:$AG$15,3,FALSE))</f>
        <v/>
      </c>
      <c r="H224" s="189"/>
      <c r="I224" s="172" t="str">
        <f>IFERROR(IF(AND(F224="V.Low",OR(H224="Good",H224="Moderate")),"Error",VLOOKUP(H224,'G-1 All Habitats'!$Z$2:$AA$9,2,FALSE)),"")</f>
        <v/>
      </c>
      <c r="J224" s="186"/>
      <c r="K224" s="175" t="str">
        <f>IF(J224="","",IF(VLOOKUP(J224,'G-3 Multipliers'!$L$3:$N$6,2,FALSE)=0,"Spatial Data Missing",VLOOKUP(J224,'G-3 Multipliers'!$L$3:$N$6,2,FALSE)))</f>
        <v/>
      </c>
      <c r="L224" s="176" t="str">
        <f>IF(J224="","",IF(VLOOKUP(J224,'G-3 Multipliers'!$L$3:$N$6,3,FALSE)=0,"Spatial Data Missing",VLOOKUP(J224,'G-3 Multipliers'!$L$3:$N$6,3,FALSE)))</f>
        <v/>
      </c>
      <c r="M224" s="266"/>
      <c r="N224" s="172" t="str">
        <f>IF(M224="","",IF(VLOOKUP(M224,'G-3 Multipliers'!$S$3:$T$6,2,FALSE)=0,"Spatial Data Missing",VLOOKUP(M224,'G-3 Multipliers'!$S$3:$T$6,2,FALSE)))</f>
        <v/>
      </c>
      <c r="O224" s="171" t="str">
        <f>IF(OR(D224="",H224=""),"",(INDEX('G-6 Hedgerow Data'!$E$3:$I$15,MATCH(D224,'G-6 Hedgerow Data'!$B$3:$B$15,0),MATCH(H224,'G-6 Hedgerow Data'!$E$2:$I$2,0))))</f>
        <v/>
      </c>
      <c r="P224" s="261"/>
      <c r="Q224" s="261"/>
      <c r="R224" s="179" t="str">
        <f t="shared" si="19"/>
        <v/>
      </c>
      <c r="S224" s="262" t="str">
        <f t="shared" si="20"/>
        <v/>
      </c>
      <c r="T224" s="263" t="str">
        <f t="shared" si="18"/>
        <v/>
      </c>
      <c r="U224" s="239" t="str">
        <f>IF(D224="","",VLOOKUP(D224,'G-6 Hedgerow Data'!$B$3:$AG$15,31,FALSE))</f>
        <v/>
      </c>
      <c r="V224" s="175" t="str">
        <f t="shared" si="21"/>
        <v/>
      </c>
      <c r="W224" s="175" t="str">
        <f t="shared" si="22"/>
        <v/>
      </c>
      <c r="X224" s="176" t="str">
        <f>IF(F224="","",VLOOKUP(U224,'G-3 Multipliers'!$P$3:$Q$6,2,FALSE))</f>
        <v/>
      </c>
      <c r="Y224" s="274" t="str">
        <f t="shared" si="23"/>
        <v/>
      </c>
      <c r="Z224" s="180"/>
      <c r="AA224" s="181"/>
      <c r="AG224" s="35" t="str">
        <f>IFERROR(INDEX('G-6 Hedgerow Data'!$BJ$3:$BJ$15,MATCH(D224,'G-6 Hedgerow Data'!$B$3:$B$15,0)),"")</f>
        <v/>
      </c>
    </row>
    <row r="225" spans="2:33" ht="15" customHeight="1" x14ac:dyDescent="0.25">
      <c r="B225" s="128">
        <v>214</v>
      </c>
      <c r="C225" s="394"/>
      <c r="D225" s="275"/>
      <c r="E225" s="275"/>
      <c r="F225" s="171" t="str">
        <f>IF(D225="","",VLOOKUP(D225,'G-6 Hedgerow Data'!$B$2:$AG$15,2,FALSE))</f>
        <v/>
      </c>
      <c r="G225" s="176" t="str">
        <f>IF(D225="","",VLOOKUP(D225,'G-6 Hedgerow Data'!$B$2:$AG$15,3,FALSE))</f>
        <v/>
      </c>
      <c r="H225" s="189"/>
      <c r="I225" s="172" t="str">
        <f>IFERROR(IF(AND(F225="V.Low",OR(H225="Good",H225="Moderate")),"Error",VLOOKUP(H225,'G-1 All Habitats'!$Z$2:$AA$9,2,FALSE)),"")</f>
        <v/>
      </c>
      <c r="J225" s="186"/>
      <c r="K225" s="175" t="str">
        <f>IF(J225="","",IF(VLOOKUP(J225,'G-3 Multipliers'!$L$3:$N$6,2,FALSE)=0,"Spatial Data Missing",VLOOKUP(J225,'G-3 Multipliers'!$L$3:$N$6,2,FALSE)))</f>
        <v/>
      </c>
      <c r="L225" s="176" t="str">
        <f>IF(J225="","",IF(VLOOKUP(J225,'G-3 Multipliers'!$L$3:$N$6,3,FALSE)=0,"Spatial Data Missing",VLOOKUP(J225,'G-3 Multipliers'!$L$3:$N$6,3,FALSE)))</f>
        <v/>
      </c>
      <c r="M225" s="266"/>
      <c r="N225" s="172" t="str">
        <f>IF(M225="","",IF(VLOOKUP(M225,'G-3 Multipliers'!$S$3:$T$6,2,FALSE)=0,"Spatial Data Missing",VLOOKUP(M225,'G-3 Multipliers'!$S$3:$T$6,2,FALSE)))</f>
        <v/>
      </c>
      <c r="O225" s="171" t="str">
        <f>IF(OR(D225="",H225=""),"",(INDEX('G-6 Hedgerow Data'!$E$3:$I$15,MATCH(D225,'G-6 Hedgerow Data'!$B$3:$B$15,0),MATCH(H225,'G-6 Hedgerow Data'!$E$2:$I$2,0))))</f>
        <v/>
      </c>
      <c r="P225" s="261"/>
      <c r="Q225" s="261"/>
      <c r="R225" s="179" t="str">
        <f t="shared" si="19"/>
        <v/>
      </c>
      <c r="S225" s="262" t="str">
        <f t="shared" si="20"/>
        <v/>
      </c>
      <c r="T225" s="263" t="str">
        <f t="shared" si="18"/>
        <v/>
      </c>
      <c r="U225" s="239" t="str">
        <f>IF(D225="","",VLOOKUP(D225,'G-6 Hedgerow Data'!$B$3:$AG$15,31,FALSE))</f>
        <v/>
      </c>
      <c r="V225" s="175" t="str">
        <f t="shared" si="21"/>
        <v/>
      </c>
      <c r="W225" s="175" t="str">
        <f t="shared" si="22"/>
        <v/>
      </c>
      <c r="X225" s="176" t="str">
        <f>IF(F225="","",VLOOKUP(U225,'G-3 Multipliers'!$P$3:$Q$6,2,FALSE))</f>
        <v/>
      </c>
      <c r="Y225" s="274" t="str">
        <f t="shared" si="23"/>
        <v/>
      </c>
      <c r="Z225" s="180"/>
      <c r="AA225" s="181"/>
      <c r="AG225" s="35" t="str">
        <f>IFERROR(INDEX('G-6 Hedgerow Data'!$BJ$3:$BJ$15,MATCH(D225,'G-6 Hedgerow Data'!$B$3:$B$15,0)),"")</f>
        <v/>
      </c>
    </row>
    <row r="226" spans="2:33" ht="15" customHeight="1" x14ac:dyDescent="0.25">
      <c r="B226" s="128">
        <v>215</v>
      </c>
      <c r="C226" s="394"/>
      <c r="D226" s="275"/>
      <c r="E226" s="275"/>
      <c r="F226" s="171" t="str">
        <f>IF(D226="","",VLOOKUP(D226,'G-6 Hedgerow Data'!$B$2:$AG$15,2,FALSE))</f>
        <v/>
      </c>
      <c r="G226" s="176" t="str">
        <f>IF(D226="","",VLOOKUP(D226,'G-6 Hedgerow Data'!$B$2:$AG$15,3,FALSE))</f>
        <v/>
      </c>
      <c r="H226" s="189"/>
      <c r="I226" s="172" t="str">
        <f>IFERROR(IF(AND(F226="V.Low",OR(H226="Good",H226="Moderate")),"Error",VLOOKUP(H226,'G-1 All Habitats'!$Z$2:$AA$9,2,FALSE)),"")</f>
        <v/>
      </c>
      <c r="J226" s="186"/>
      <c r="K226" s="175" t="str">
        <f>IF(J226="","",IF(VLOOKUP(J226,'G-3 Multipliers'!$L$3:$N$6,2,FALSE)=0,"Spatial Data Missing",VLOOKUP(J226,'G-3 Multipliers'!$L$3:$N$6,2,FALSE)))</f>
        <v/>
      </c>
      <c r="L226" s="176" t="str">
        <f>IF(J226="","",IF(VLOOKUP(J226,'G-3 Multipliers'!$L$3:$N$6,3,FALSE)=0,"Spatial Data Missing",VLOOKUP(J226,'G-3 Multipliers'!$L$3:$N$6,3,FALSE)))</f>
        <v/>
      </c>
      <c r="M226" s="266"/>
      <c r="N226" s="172" t="str">
        <f>IF(M226="","",IF(VLOOKUP(M226,'G-3 Multipliers'!$S$3:$T$6,2,FALSE)=0,"Spatial Data Missing",VLOOKUP(M226,'G-3 Multipliers'!$S$3:$T$6,2,FALSE)))</f>
        <v/>
      </c>
      <c r="O226" s="171" t="str">
        <f>IF(OR(D226="",H226=""),"",(INDEX('G-6 Hedgerow Data'!$E$3:$I$15,MATCH(D226,'G-6 Hedgerow Data'!$B$3:$B$15,0),MATCH(H226,'G-6 Hedgerow Data'!$E$2:$I$2,0))))</f>
        <v/>
      </c>
      <c r="P226" s="261"/>
      <c r="Q226" s="261"/>
      <c r="R226" s="179" t="str">
        <f t="shared" si="19"/>
        <v/>
      </c>
      <c r="S226" s="262" t="str">
        <f t="shared" si="20"/>
        <v/>
      </c>
      <c r="T226" s="263" t="str">
        <f t="shared" si="18"/>
        <v/>
      </c>
      <c r="U226" s="239" t="str">
        <f>IF(D226="","",VLOOKUP(D226,'G-6 Hedgerow Data'!$B$3:$AG$15,31,FALSE))</f>
        <v/>
      </c>
      <c r="V226" s="175" t="str">
        <f t="shared" si="21"/>
        <v/>
      </c>
      <c r="W226" s="175" t="str">
        <f t="shared" si="22"/>
        <v/>
      </c>
      <c r="X226" s="176" t="str">
        <f>IF(F226="","",VLOOKUP(U226,'G-3 Multipliers'!$P$3:$Q$6,2,FALSE))</f>
        <v/>
      </c>
      <c r="Y226" s="274" t="str">
        <f t="shared" si="23"/>
        <v/>
      </c>
      <c r="Z226" s="180"/>
      <c r="AA226" s="181"/>
      <c r="AG226" s="35" t="str">
        <f>IFERROR(INDEX('G-6 Hedgerow Data'!$BJ$3:$BJ$15,MATCH(D226,'G-6 Hedgerow Data'!$B$3:$B$15,0)),"")</f>
        <v/>
      </c>
    </row>
    <row r="227" spans="2:33" ht="15" customHeight="1" x14ac:dyDescent="0.25">
      <c r="B227" s="128">
        <v>216</v>
      </c>
      <c r="C227" s="394"/>
      <c r="D227" s="275"/>
      <c r="E227" s="275"/>
      <c r="F227" s="171" t="str">
        <f>IF(D227="","",VLOOKUP(D227,'G-6 Hedgerow Data'!$B$2:$AG$15,2,FALSE))</f>
        <v/>
      </c>
      <c r="G227" s="176" t="str">
        <f>IF(D227="","",VLOOKUP(D227,'G-6 Hedgerow Data'!$B$2:$AG$15,3,FALSE))</f>
        <v/>
      </c>
      <c r="H227" s="189"/>
      <c r="I227" s="172" t="str">
        <f>IFERROR(IF(AND(F227="V.Low",OR(H227="Good",H227="Moderate")),"Error",VLOOKUP(H227,'G-1 All Habitats'!$Z$2:$AA$9,2,FALSE)),"")</f>
        <v/>
      </c>
      <c r="J227" s="186"/>
      <c r="K227" s="175" t="str">
        <f>IF(J227="","",IF(VLOOKUP(J227,'G-3 Multipliers'!$L$3:$N$6,2,FALSE)=0,"Spatial Data Missing",VLOOKUP(J227,'G-3 Multipliers'!$L$3:$N$6,2,FALSE)))</f>
        <v/>
      </c>
      <c r="L227" s="176" t="str">
        <f>IF(J227="","",IF(VLOOKUP(J227,'G-3 Multipliers'!$L$3:$N$6,3,FALSE)=0,"Spatial Data Missing",VLOOKUP(J227,'G-3 Multipliers'!$L$3:$N$6,3,FALSE)))</f>
        <v/>
      </c>
      <c r="M227" s="266"/>
      <c r="N227" s="172" t="str">
        <f>IF(M227="","",IF(VLOOKUP(M227,'G-3 Multipliers'!$S$3:$T$6,2,FALSE)=0,"Spatial Data Missing",VLOOKUP(M227,'G-3 Multipliers'!$S$3:$T$6,2,FALSE)))</f>
        <v/>
      </c>
      <c r="O227" s="171" t="str">
        <f>IF(OR(D227="",H227=""),"",(INDEX('G-6 Hedgerow Data'!$E$3:$I$15,MATCH(D227,'G-6 Hedgerow Data'!$B$3:$B$15,0),MATCH(H227,'G-6 Hedgerow Data'!$E$2:$I$2,0))))</f>
        <v/>
      </c>
      <c r="P227" s="261"/>
      <c r="Q227" s="261"/>
      <c r="R227" s="179" t="str">
        <f t="shared" si="19"/>
        <v/>
      </c>
      <c r="S227" s="262" t="str">
        <f t="shared" si="20"/>
        <v/>
      </c>
      <c r="T227" s="263" t="str">
        <f t="shared" si="18"/>
        <v/>
      </c>
      <c r="U227" s="239" t="str">
        <f>IF(D227="","",VLOOKUP(D227,'G-6 Hedgerow Data'!$B$3:$AG$15,31,FALSE))</f>
        <v/>
      </c>
      <c r="V227" s="175" t="str">
        <f t="shared" si="21"/>
        <v/>
      </c>
      <c r="W227" s="175" t="str">
        <f t="shared" si="22"/>
        <v/>
      </c>
      <c r="X227" s="176" t="str">
        <f>IF(F227="","",VLOOKUP(U227,'G-3 Multipliers'!$P$3:$Q$6,2,FALSE))</f>
        <v/>
      </c>
      <c r="Y227" s="274" t="str">
        <f t="shared" si="23"/>
        <v/>
      </c>
      <c r="Z227" s="180"/>
      <c r="AA227" s="181"/>
      <c r="AG227" s="35" t="str">
        <f>IFERROR(INDEX('G-6 Hedgerow Data'!$BJ$3:$BJ$15,MATCH(D227,'G-6 Hedgerow Data'!$B$3:$B$15,0)),"")</f>
        <v/>
      </c>
    </row>
    <row r="228" spans="2:33" ht="15" customHeight="1" x14ac:dyDescent="0.25">
      <c r="B228" s="128">
        <v>217</v>
      </c>
      <c r="C228" s="394"/>
      <c r="D228" s="275"/>
      <c r="E228" s="275"/>
      <c r="F228" s="171" t="str">
        <f>IF(D228="","",VLOOKUP(D228,'G-6 Hedgerow Data'!$B$2:$AG$15,2,FALSE))</f>
        <v/>
      </c>
      <c r="G228" s="176" t="str">
        <f>IF(D228="","",VLOOKUP(D228,'G-6 Hedgerow Data'!$B$2:$AG$15,3,FALSE))</f>
        <v/>
      </c>
      <c r="H228" s="189"/>
      <c r="I228" s="172" t="str">
        <f>IFERROR(IF(AND(F228="V.Low",OR(H228="Good",H228="Moderate")),"Error",VLOOKUP(H228,'G-1 All Habitats'!$Z$2:$AA$9,2,FALSE)),"")</f>
        <v/>
      </c>
      <c r="J228" s="186"/>
      <c r="K228" s="175" t="str">
        <f>IF(J228="","",IF(VLOOKUP(J228,'G-3 Multipliers'!$L$3:$N$6,2,FALSE)=0,"Spatial Data Missing",VLOOKUP(J228,'G-3 Multipliers'!$L$3:$N$6,2,FALSE)))</f>
        <v/>
      </c>
      <c r="L228" s="176" t="str">
        <f>IF(J228="","",IF(VLOOKUP(J228,'G-3 Multipliers'!$L$3:$N$6,3,FALSE)=0,"Spatial Data Missing",VLOOKUP(J228,'G-3 Multipliers'!$L$3:$N$6,3,FALSE)))</f>
        <v/>
      </c>
      <c r="M228" s="266"/>
      <c r="N228" s="172" t="str">
        <f>IF(M228="","",IF(VLOOKUP(M228,'G-3 Multipliers'!$S$3:$T$6,2,FALSE)=0,"Spatial Data Missing",VLOOKUP(M228,'G-3 Multipliers'!$S$3:$T$6,2,FALSE)))</f>
        <v/>
      </c>
      <c r="O228" s="171" t="str">
        <f>IF(OR(D228="",H228=""),"",(INDEX('G-6 Hedgerow Data'!$E$3:$I$15,MATCH(D228,'G-6 Hedgerow Data'!$B$3:$B$15,0),MATCH(H228,'G-6 Hedgerow Data'!$E$2:$I$2,0))))</f>
        <v/>
      </c>
      <c r="P228" s="261"/>
      <c r="Q228" s="261"/>
      <c r="R228" s="179" t="str">
        <f t="shared" si="19"/>
        <v/>
      </c>
      <c r="S228" s="262" t="str">
        <f t="shared" si="20"/>
        <v/>
      </c>
      <c r="T228" s="263" t="str">
        <f t="shared" si="18"/>
        <v/>
      </c>
      <c r="U228" s="239" t="str">
        <f>IF(D228="","",VLOOKUP(D228,'G-6 Hedgerow Data'!$B$3:$AG$15,31,FALSE))</f>
        <v/>
      </c>
      <c r="V228" s="175" t="str">
        <f t="shared" si="21"/>
        <v/>
      </c>
      <c r="W228" s="175" t="str">
        <f t="shared" si="22"/>
        <v/>
      </c>
      <c r="X228" s="176" t="str">
        <f>IF(F228="","",VLOOKUP(U228,'G-3 Multipliers'!$P$3:$Q$6,2,FALSE))</f>
        <v/>
      </c>
      <c r="Y228" s="274" t="str">
        <f t="shared" si="23"/>
        <v/>
      </c>
      <c r="Z228" s="180"/>
      <c r="AA228" s="181"/>
      <c r="AG228" s="35" t="str">
        <f>IFERROR(INDEX('G-6 Hedgerow Data'!$BJ$3:$BJ$15,MATCH(D228,'G-6 Hedgerow Data'!$B$3:$B$15,0)),"")</f>
        <v/>
      </c>
    </row>
    <row r="229" spans="2:33" ht="15" customHeight="1" x14ac:dyDescent="0.25">
      <c r="B229" s="128">
        <v>218</v>
      </c>
      <c r="C229" s="394"/>
      <c r="D229" s="275"/>
      <c r="E229" s="275"/>
      <c r="F229" s="171" t="str">
        <f>IF(D229="","",VLOOKUP(D229,'G-6 Hedgerow Data'!$B$2:$AG$15,2,FALSE))</f>
        <v/>
      </c>
      <c r="G229" s="176" t="str">
        <f>IF(D229="","",VLOOKUP(D229,'G-6 Hedgerow Data'!$B$2:$AG$15,3,FALSE))</f>
        <v/>
      </c>
      <c r="H229" s="189"/>
      <c r="I229" s="172" t="str">
        <f>IFERROR(IF(AND(F229="V.Low",OR(H229="Good",H229="Moderate")),"Error",VLOOKUP(H229,'G-1 All Habitats'!$Z$2:$AA$9,2,FALSE)),"")</f>
        <v/>
      </c>
      <c r="J229" s="186"/>
      <c r="K229" s="175" t="str">
        <f>IF(J229="","",IF(VLOOKUP(J229,'G-3 Multipliers'!$L$3:$N$6,2,FALSE)=0,"Spatial Data Missing",VLOOKUP(J229,'G-3 Multipliers'!$L$3:$N$6,2,FALSE)))</f>
        <v/>
      </c>
      <c r="L229" s="176" t="str">
        <f>IF(J229="","",IF(VLOOKUP(J229,'G-3 Multipliers'!$L$3:$N$6,3,FALSE)=0,"Spatial Data Missing",VLOOKUP(J229,'G-3 Multipliers'!$L$3:$N$6,3,FALSE)))</f>
        <v/>
      </c>
      <c r="M229" s="266"/>
      <c r="N229" s="172" t="str">
        <f>IF(M229="","",IF(VLOOKUP(M229,'G-3 Multipliers'!$S$3:$T$6,2,FALSE)=0,"Spatial Data Missing",VLOOKUP(M229,'G-3 Multipliers'!$S$3:$T$6,2,FALSE)))</f>
        <v/>
      </c>
      <c r="O229" s="171" t="str">
        <f>IF(OR(D229="",H229=""),"",(INDEX('G-6 Hedgerow Data'!$E$3:$I$15,MATCH(D229,'G-6 Hedgerow Data'!$B$3:$B$15,0),MATCH(H229,'G-6 Hedgerow Data'!$E$2:$I$2,0))))</f>
        <v/>
      </c>
      <c r="P229" s="261"/>
      <c r="Q229" s="261"/>
      <c r="R229" s="179" t="str">
        <f t="shared" si="19"/>
        <v/>
      </c>
      <c r="S229" s="262" t="str">
        <f t="shared" si="20"/>
        <v/>
      </c>
      <c r="T229" s="263" t="str">
        <f t="shared" si="18"/>
        <v/>
      </c>
      <c r="U229" s="239" t="str">
        <f>IF(D229="","",VLOOKUP(D229,'G-6 Hedgerow Data'!$B$3:$AG$15,31,FALSE))</f>
        <v/>
      </c>
      <c r="V229" s="175" t="str">
        <f t="shared" si="21"/>
        <v/>
      </c>
      <c r="W229" s="175" t="str">
        <f t="shared" si="22"/>
        <v/>
      </c>
      <c r="X229" s="176" t="str">
        <f>IF(F229="","",VLOOKUP(U229,'G-3 Multipliers'!$P$3:$Q$6,2,FALSE))</f>
        <v/>
      </c>
      <c r="Y229" s="274" t="str">
        <f t="shared" si="23"/>
        <v/>
      </c>
      <c r="Z229" s="180"/>
      <c r="AA229" s="181"/>
      <c r="AG229" s="35" t="str">
        <f>IFERROR(INDEX('G-6 Hedgerow Data'!$BJ$3:$BJ$15,MATCH(D229,'G-6 Hedgerow Data'!$B$3:$B$15,0)),"")</f>
        <v/>
      </c>
    </row>
    <row r="230" spans="2:33" ht="15" customHeight="1" x14ac:dyDescent="0.25">
      <c r="B230" s="128">
        <v>219</v>
      </c>
      <c r="C230" s="394"/>
      <c r="D230" s="275"/>
      <c r="E230" s="275"/>
      <c r="F230" s="171" t="str">
        <f>IF(D230="","",VLOOKUP(D230,'G-6 Hedgerow Data'!$B$2:$AG$15,2,FALSE))</f>
        <v/>
      </c>
      <c r="G230" s="176" t="str">
        <f>IF(D230="","",VLOOKUP(D230,'G-6 Hedgerow Data'!$B$2:$AG$15,3,FALSE))</f>
        <v/>
      </c>
      <c r="H230" s="189"/>
      <c r="I230" s="172" t="str">
        <f>IFERROR(IF(AND(F230="V.Low",OR(H230="Good",H230="Moderate")),"Error",VLOOKUP(H230,'G-1 All Habitats'!$Z$2:$AA$9,2,FALSE)),"")</f>
        <v/>
      </c>
      <c r="J230" s="186"/>
      <c r="K230" s="175" t="str">
        <f>IF(J230="","",IF(VLOOKUP(J230,'G-3 Multipliers'!$L$3:$N$6,2,FALSE)=0,"Spatial Data Missing",VLOOKUP(J230,'G-3 Multipliers'!$L$3:$N$6,2,FALSE)))</f>
        <v/>
      </c>
      <c r="L230" s="176" t="str">
        <f>IF(J230="","",IF(VLOOKUP(J230,'G-3 Multipliers'!$L$3:$N$6,3,FALSE)=0,"Spatial Data Missing",VLOOKUP(J230,'G-3 Multipliers'!$L$3:$N$6,3,FALSE)))</f>
        <v/>
      </c>
      <c r="M230" s="266"/>
      <c r="N230" s="172" t="str">
        <f>IF(M230="","",IF(VLOOKUP(M230,'G-3 Multipliers'!$S$3:$T$6,2,FALSE)=0,"Spatial Data Missing",VLOOKUP(M230,'G-3 Multipliers'!$S$3:$T$6,2,FALSE)))</f>
        <v/>
      </c>
      <c r="O230" s="171" t="str">
        <f>IF(OR(D230="",H230=""),"",(INDEX('G-6 Hedgerow Data'!$E$3:$I$15,MATCH(D230,'G-6 Hedgerow Data'!$B$3:$B$15,0),MATCH(H230,'G-6 Hedgerow Data'!$E$2:$I$2,0))))</f>
        <v/>
      </c>
      <c r="P230" s="261"/>
      <c r="Q230" s="261"/>
      <c r="R230" s="179" t="str">
        <f t="shared" si="19"/>
        <v/>
      </c>
      <c r="S230" s="262" t="str">
        <f t="shared" si="20"/>
        <v/>
      </c>
      <c r="T230" s="263" t="str">
        <f t="shared" si="18"/>
        <v/>
      </c>
      <c r="U230" s="239" t="str">
        <f>IF(D230="","",VLOOKUP(D230,'G-6 Hedgerow Data'!$B$3:$AG$15,31,FALSE))</f>
        <v/>
      </c>
      <c r="V230" s="175" t="str">
        <f t="shared" si="21"/>
        <v/>
      </c>
      <c r="W230" s="175" t="str">
        <f t="shared" si="22"/>
        <v/>
      </c>
      <c r="X230" s="176" t="str">
        <f>IF(F230="","",VLOOKUP(U230,'G-3 Multipliers'!$P$3:$Q$6,2,FALSE))</f>
        <v/>
      </c>
      <c r="Y230" s="274" t="str">
        <f t="shared" si="23"/>
        <v/>
      </c>
      <c r="Z230" s="180"/>
      <c r="AA230" s="181"/>
      <c r="AG230" s="35" t="str">
        <f>IFERROR(INDEX('G-6 Hedgerow Data'!$BJ$3:$BJ$15,MATCH(D230,'G-6 Hedgerow Data'!$B$3:$B$15,0)),"")</f>
        <v/>
      </c>
    </row>
    <row r="231" spans="2:33" ht="15" customHeight="1" x14ac:dyDescent="0.25">
      <c r="B231" s="128">
        <v>220</v>
      </c>
      <c r="C231" s="394"/>
      <c r="D231" s="275"/>
      <c r="E231" s="275"/>
      <c r="F231" s="171" t="str">
        <f>IF(D231="","",VLOOKUP(D231,'G-6 Hedgerow Data'!$B$2:$AG$15,2,FALSE))</f>
        <v/>
      </c>
      <c r="G231" s="176" t="str">
        <f>IF(D231="","",VLOOKUP(D231,'G-6 Hedgerow Data'!$B$2:$AG$15,3,FALSE))</f>
        <v/>
      </c>
      <c r="H231" s="189"/>
      <c r="I231" s="172" t="str">
        <f>IFERROR(IF(AND(F231="V.Low",OR(H231="Good",H231="Moderate")),"Error",VLOOKUP(H231,'G-1 All Habitats'!$Z$2:$AA$9,2,FALSE)),"")</f>
        <v/>
      </c>
      <c r="J231" s="186"/>
      <c r="K231" s="175" t="str">
        <f>IF(J231="","",IF(VLOOKUP(J231,'G-3 Multipliers'!$L$3:$N$6,2,FALSE)=0,"Spatial Data Missing",VLOOKUP(J231,'G-3 Multipliers'!$L$3:$N$6,2,FALSE)))</f>
        <v/>
      </c>
      <c r="L231" s="176" t="str">
        <f>IF(J231="","",IF(VLOOKUP(J231,'G-3 Multipliers'!$L$3:$N$6,3,FALSE)=0,"Spatial Data Missing",VLOOKUP(J231,'G-3 Multipliers'!$L$3:$N$6,3,FALSE)))</f>
        <v/>
      </c>
      <c r="M231" s="266"/>
      <c r="N231" s="172" t="str">
        <f>IF(M231="","",IF(VLOOKUP(M231,'G-3 Multipliers'!$S$3:$T$6,2,FALSE)=0,"Spatial Data Missing",VLOOKUP(M231,'G-3 Multipliers'!$S$3:$T$6,2,FALSE)))</f>
        <v/>
      </c>
      <c r="O231" s="171" t="str">
        <f>IF(OR(D231="",H231=""),"",(INDEX('G-6 Hedgerow Data'!$E$3:$I$15,MATCH(D231,'G-6 Hedgerow Data'!$B$3:$B$15,0),MATCH(H231,'G-6 Hedgerow Data'!$E$2:$I$2,0))))</f>
        <v/>
      </c>
      <c r="P231" s="261"/>
      <c r="Q231" s="261"/>
      <c r="R231" s="179" t="str">
        <f t="shared" si="19"/>
        <v/>
      </c>
      <c r="S231" s="262" t="str">
        <f t="shared" si="20"/>
        <v/>
      </c>
      <c r="T231" s="263" t="str">
        <f t="shared" si="18"/>
        <v/>
      </c>
      <c r="U231" s="239" t="str">
        <f>IF(D231="","",VLOOKUP(D231,'G-6 Hedgerow Data'!$B$3:$AG$15,31,FALSE))</f>
        <v/>
      </c>
      <c r="V231" s="175" t="str">
        <f t="shared" si="21"/>
        <v/>
      </c>
      <c r="W231" s="175" t="str">
        <f t="shared" si="22"/>
        <v/>
      </c>
      <c r="X231" s="176" t="str">
        <f>IF(F231="","",VLOOKUP(U231,'G-3 Multipliers'!$P$3:$Q$6,2,FALSE))</f>
        <v/>
      </c>
      <c r="Y231" s="274" t="str">
        <f t="shared" si="23"/>
        <v/>
      </c>
      <c r="Z231" s="180"/>
      <c r="AA231" s="181"/>
      <c r="AG231" s="35" t="str">
        <f>IFERROR(INDEX('G-6 Hedgerow Data'!$BJ$3:$BJ$15,MATCH(D231,'G-6 Hedgerow Data'!$B$3:$B$15,0)),"")</f>
        <v/>
      </c>
    </row>
    <row r="232" spans="2:33" ht="15" customHeight="1" x14ac:dyDescent="0.25">
      <c r="B232" s="128">
        <v>221</v>
      </c>
      <c r="C232" s="394"/>
      <c r="D232" s="275"/>
      <c r="E232" s="275"/>
      <c r="F232" s="171" t="str">
        <f>IF(D232="","",VLOOKUP(D232,'G-6 Hedgerow Data'!$B$2:$AG$15,2,FALSE))</f>
        <v/>
      </c>
      <c r="G232" s="176" t="str">
        <f>IF(D232="","",VLOOKUP(D232,'G-6 Hedgerow Data'!$B$2:$AG$15,3,FALSE))</f>
        <v/>
      </c>
      <c r="H232" s="189"/>
      <c r="I232" s="172" t="str">
        <f>IFERROR(IF(AND(F232="V.Low",OR(H232="Good",H232="Moderate")),"Error",VLOOKUP(H232,'G-1 All Habitats'!$Z$2:$AA$9,2,FALSE)),"")</f>
        <v/>
      </c>
      <c r="J232" s="186"/>
      <c r="K232" s="175" t="str">
        <f>IF(J232="","",IF(VLOOKUP(J232,'G-3 Multipliers'!$L$3:$N$6,2,FALSE)=0,"Spatial Data Missing",VLOOKUP(J232,'G-3 Multipliers'!$L$3:$N$6,2,FALSE)))</f>
        <v/>
      </c>
      <c r="L232" s="176" t="str">
        <f>IF(J232="","",IF(VLOOKUP(J232,'G-3 Multipliers'!$L$3:$N$6,3,FALSE)=0,"Spatial Data Missing",VLOOKUP(J232,'G-3 Multipliers'!$L$3:$N$6,3,FALSE)))</f>
        <v/>
      </c>
      <c r="M232" s="266"/>
      <c r="N232" s="172" t="str">
        <f>IF(M232="","",IF(VLOOKUP(M232,'G-3 Multipliers'!$S$3:$T$6,2,FALSE)=0,"Spatial Data Missing",VLOOKUP(M232,'G-3 Multipliers'!$S$3:$T$6,2,FALSE)))</f>
        <v/>
      </c>
      <c r="O232" s="171" t="str">
        <f>IF(OR(D232="",H232=""),"",(INDEX('G-6 Hedgerow Data'!$E$3:$I$15,MATCH(D232,'G-6 Hedgerow Data'!$B$3:$B$15,0),MATCH(H232,'G-6 Hedgerow Data'!$E$2:$I$2,0))))</f>
        <v/>
      </c>
      <c r="P232" s="261"/>
      <c r="Q232" s="261"/>
      <c r="R232" s="179" t="str">
        <f t="shared" si="19"/>
        <v/>
      </c>
      <c r="S232" s="262" t="str">
        <f t="shared" si="20"/>
        <v/>
      </c>
      <c r="T232" s="263" t="str">
        <f t="shared" si="18"/>
        <v/>
      </c>
      <c r="U232" s="239" t="str">
        <f>IF(D232="","",VLOOKUP(D232,'G-6 Hedgerow Data'!$B$3:$AG$15,31,FALSE))</f>
        <v/>
      </c>
      <c r="V232" s="175" t="str">
        <f t="shared" si="21"/>
        <v/>
      </c>
      <c r="W232" s="175" t="str">
        <f t="shared" si="22"/>
        <v/>
      </c>
      <c r="X232" s="176" t="str">
        <f>IF(F232="","",VLOOKUP(U232,'G-3 Multipliers'!$P$3:$Q$6,2,FALSE))</f>
        <v/>
      </c>
      <c r="Y232" s="274" t="str">
        <f t="shared" si="23"/>
        <v/>
      </c>
      <c r="Z232" s="180"/>
      <c r="AA232" s="181"/>
      <c r="AG232" s="35" t="str">
        <f>IFERROR(INDEX('G-6 Hedgerow Data'!$BJ$3:$BJ$15,MATCH(D232,'G-6 Hedgerow Data'!$B$3:$B$15,0)),"")</f>
        <v/>
      </c>
    </row>
    <row r="233" spans="2:33" ht="15" customHeight="1" x14ac:dyDescent="0.25">
      <c r="B233" s="128">
        <v>222</v>
      </c>
      <c r="C233" s="394"/>
      <c r="D233" s="275"/>
      <c r="E233" s="275"/>
      <c r="F233" s="171" t="str">
        <f>IF(D233="","",VLOOKUP(D233,'G-6 Hedgerow Data'!$B$2:$AG$15,2,FALSE))</f>
        <v/>
      </c>
      <c r="G233" s="176" t="str">
        <f>IF(D233="","",VLOOKUP(D233,'G-6 Hedgerow Data'!$B$2:$AG$15,3,FALSE))</f>
        <v/>
      </c>
      <c r="H233" s="189"/>
      <c r="I233" s="172" t="str">
        <f>IFERROR(IF(AND(F233="V.Low",OR(H233="Good",H233="Moderate")),"Error",VLOOKUP(H233,'G-1 All Habitats'!$Z$2:$AA$9,2,FALSE)),"")</f>
        <v/>
      </c>
      <c r="J233" s="186"/>
      <c r="K233" s="175" t="str">
        <f>IF(J233="","",IF(VLOOKUP(J233,'G-3 Multipliers'!$L$3:$N$6,2,FALSE)=0,"Spatial Data Missing",VLOOKUP(J233,'G-3 Multipliers'!$L$3:$N$6,2,FALSE)))</f>
        <v/>
      </c>
      <c r="L233" s="176" t="str">
        <f>IF(J233="","",IF(VLOOKUP(J233,'G-3 Multipliers'!$L$3:$N$6,3,FALSE)=0,"Spatial Data Missing",VLOOKUP(J233,'G-3 Multipliers'!$L$3:$N$6,3,FALSE)))</f>
        <v/>
      </c>
      <c r="M233" s="266"/>
      <c r="N233" s="172" t="str">
        <f>IF(M233="","",IF(VLOOKUP(M233,'G-3 Multipliers'!$S$3:$T$6,2,FALSE)=0,"Spatial Data Missing",VLOOKUP(M233,'G-3 Multipliers'!$S$3:$T$6,2,FALSE)))</f>
        <v/>
      </c>
      <c r="O233" s="171" t="str">
        <f>IF(OR(D233="",H233=""),"",(INDEX('G-6 Hedgerow Data'!$E$3:$I$15,MATCH(D233,'G-6 Hedgerow Data'!$B$3:$B$15,0),MATCH(H233,'G-6 Hedgerow Data'!$E$2:$I$2,0))))</f>
        <v/>
      </c>
      <c r="P233" s="261"/>
      <c r="Q233" s="261"/>
      <c r="R233" s="179" t="str">
        <f t="shared" si="19"/>
        <v/>
      </c>
      <c r="S233" s="262" t="str">
        <f t="shared" si="20"/>
        <v/>
      </c>
      <c r="T233" s="263" t="str">
        <f t="shared" si="18"/>
        <v/>
      </c>
      <c r="U233" s="239" t="str">
        <f>IF(D233="","",VLOOKUP(D233,'G-6 Hedgerow Data'!$B$3:$AG$15,31,FALSE))</f>
        <v/>
      </c>
      <c r="V233" s="175" t="str">
        <f t="shared" si="21"/>
        <v/>
      </c>
      <c r="W233" s="175" t="str">
        <f t="shared" si="22"/>
        <v/>
      </c>
      <c r="X233" s="176" t="str">
        <f>IF(F233="","",VLOOKUP(U233,'G-3 Multipliers'!$P$3:$Q$6,2,FALSE))</f>
        <v/>
      </c>
      <c r="Y233" s="274" t="str">
        <f t="shared" si="23"/>
        <v/>
      </c>
      <c r="Z233" s="180"/>
      <c r="AA233" s="181"/>
      <c r="AG233" s="35" t="str">
        <f>IFERROR(INDEX('G-6 Hedgerow Data'!$BJ$3:$BJ$15,MATCH(D233,'G-6 Hedgerow Data'!$B$3:$B$15,0)),"")</f>
        <v/>
      </c>
    </row>
    <row r="234" spans="2:33" ht="15" customHeight="1" x14ac:dyDescent="0.25">
      <c r="B234" s="128">
        <v>223</v>
      </c>
      <c r="C234" s="394"/>
      <c r="D234" s="275"/>
      <c r="E234" s="275"/>
      <c r="F234" s="171" t="str">
        <f>IF(D234="","",VLOOKUP(D234,'G-6 Hedgerow Data'!$B$2:$AG$15,2,FALSE))</f>
        <v/>
      </c>
      <c r="G234" s="176" t="str">
        <f>IF(D234="","",VLOOKUP(D234,'G-6 Hedgerow Data'!$B$2:$AG$15,3,FALSE))</f>
        <v/>
      </c>
      <c r="H234" s="189"/>
      <c r="I234" s="172" t="str">
        <f>IFERROR(IF(AND(F234="V.Low",OR(H234="Good",H234="Moderate")),"Error",VLOOKUP(H234,'G-1 All Habitats'!$Z$2:$AA$9,2,FALSE)),"")</f>
        <v/>
      </c>
      <c r="J234" s="186"/>
      <c r="K234" s="175" t="str">
        <f>IF(J234="","",IF(VLOOKUP(J234,'G-3 Multipliers'!$L$3:$N$6,2,FALSE)=0,"Spatial Data Missing",VLOOKUP(J234,'G-3 Multipliers'!$L$3:$N$6,2,FALSE)))</f>
        <v/>
      </c>
      <c r="L234" s="176" t="str">
        <f>IF(J234="","",IF(VLOOKUP(J234,'G-3 Multipliers'!$L$3:$N$6,3,FALSE)=0,"Spatial Data Missing",VLOOKUP(J234,'G-3 Multipliers'!$L$3:$N$6,3,FALSE)))</f>
        <v/>
      </c>
      <c r="M234" s="266"/>
      <c r="N234" s="172" t="str">
        <f>IF(M234="","",IF(VLOOKUP(M234,'G-3 Multipliers'!$S$3:$T$6,2,FALSE)=0,"Spatial Data Missing",VLOOKUP(M234,'G-3 Multipliers'!$S$3:$T$6,2,FALSE)))</f>
        <v/>
      </c>
      <c r="O234" s="171" t="str">
        <f>IF(OR(D234="",H234=""),"",(INDEX('G-6 Hedgerow Data'!$E$3:$I$15,MATCH(D234,'G-6 Hedgerow Data'!$B$3:$B$15,0),MATCH(H234,'G-6 Hedgerow Data'!$E$2:$I$2,0))))</f>
        <v/>
      </c>
      <c r="P234" s="261"/>
      <c r="Q234" s="261"/>
      <c r="R234" s="179" t="str">
        <f t="shared" si="19"/>
        <v/>
      </c>
      <c r="S234" s="262" t="str">
        <f t="shared" si="20"/>
        <v/>
      </c>
      <c r="T234" s="263" t="str">
        <f t="shared" si="18"/>
        <v/>
      </c>
      <c r="U234" s="239" t="str">
        <f>IF(D234="","",VLOOKUP(D234,'G-6 Hedgerow Data'!$B$3:$AG$15,31,FALSE))</f>
        <v/>
      </c>
      <c r="V234" s="175" t="str">
        <f t="shared" si="21"/>
        <v/>
      </c>
      <c r="W234" s="175" t="str">
        <f t="shared" si="22"/>
        <v/>
      </c>
      <c r="X234" s="176" t="str">
        <f>IF(F234="","",VLOOKUP(U234,'G-3 Multipliers'!$P$3:$Q$6,2,FALSE))</f>
        <v/>
      </c>
      <c r="Y234" s="274" t="str">
        <f t="shared" si="23"/>
        <v/>
      </c>
      <c r="Z234" s="180"/>
      <c r="AA234" s="181"/>
      <c r="AG234" s="35" t="str">
        <f>IFERROR(INDEX('G-6 Hedgerow Data'!$BJ$3:$BJ$15,MATCH(D234,'G-6 Hedgerow Data'!$B$3:$B$15,0)),"")</f>
        <v/>
      </c>
    </row>
    <row r="235" spans="2:33" ht="15" customHeight="1" x14ac:dyDescent="0.25">
      <c r="B235" s="128">
        <v>224</v>
      </c>
      <c r="C235" s="394"/>
      <c r="D235" s="275"/>
      <c r="E235" s="275"/>
      <c r="F235" s="171" t="str">
        <f>IF(D235="","",VLOOKUP(D235,'G-6 Hedgerow Data'!$B$2:$AG$15,2,FALSE))</f>
        <v/>
      </c>
      <c r="G235" s="176" t="str">
        <f>IF(D235="","",VLOOKUP(D235,'G-6 Hedgerow Data'!$B$2:$AG$15,3,FALSE))</f>
        <v/>
      </c>
      <c r="H235" s="189"/>
      <c r="I235" s="172" t="str">
        <f>IFERROR(IF(AND(F235="V.Low",OR(H235="Good",H235="Moderate")),"Error",VLOOKUP(H235,'G-1 All Habitats'!$Z$2:$AA$9,2,FALSE)),"")</f>
        <v/>
      </c>
      <c r="J235" s="186"/>
      <c r="K235" s="175" t="str">
        <f>IF(J235="","",IF(VLOOKUP(J235,'G-3 Multipliers'!$L$3:$N$6,2,FALSE)=0,"Spatial Data Missing",VLOOKUP(J235,'G-3 Multipliers'!$L$3:$N$6,2,FALSE)))</f>
        <v/>
      </c>
      <c r="L235" s="176" t="str">
        <f>IF(J235="","",IF(VLOOKUP(J235,'G-3 Multipliers'!$L$3:$N$6,3,FALSE)=0,"Spatial Data Missing",VLOOKUP(J235,'G-3 Multipliers'!$L$3:$N$6,3,FALSE)))</f>
        <v/>
      </c>
      <c r="M235" s="266"/>
      <c r="N235" s="172" t="str">
        <f>IF(M235="","",IF(VLOOKUP(M235,'G-3 Multipliers'!$S$3:$T$6,2,FALSE)=0,"Spatial Data Missing",VLOOKUP(M235,'G-3 Multipliers'!$S$3:$T$6,2,FALSE)))</f>
        <v/>
      </c>
      <c r="O235" s="171" t="str">
        <f>IF(OR(D235="",H235=""),"",(INDEX('G-6 Hedgerow Data'!$E$3:$I$15,MATCH(D235,'G-6 Hedgerow Data'!$B$3:$B$15,0),MATCH(H235,'G-6 Hedgerow Data'!$E$2:$I$2,0))))</f>
        <v/>
      </c>
      <c r="P235" s="261"/>
      <c r="Q235" s="261"/>
      <c r="R235" s="179" t="str">
        <f t="shared" si="19"/>
        <v/>
      </c>
      <c r="S235" s="262" t="str">
        <f t="shared" si="20"/>
        <v/>
      </c>
      <c r="T235" s="263" t="str">
        <f t="shared" si="18"/>
        <v/>
      </c>
      <c r="U235" s="239" t="str">
        <f>IF(D235="","",VLOOKUP(D235,'G-6 Hedgerow Data'!$B$3:$AG$15,31,FALSE))</f>
        <v/>
      </c>
      <c r="V235" s="175" t="str">
        <f t="shared" si="21"/>
        <v/>
      </c>
      <c r="W235" s="175" t="str">
        <f t="shared" si="22"/>
        <v/>
      </c>
      <c r="X235" s="176" t="str">
        <f>IF(F235="","",VLOOKUP(U235,'G-3 Multipliers'!$P$3:$Q$6,2,FALSE))</f>
        <v/>
      </c>
      <c r="Y235" s="274" t="str">
        <f t="shared" si="23"/>
        <v/>
      </c>
      <c r="Z235" s="180"/>
      <c r="AA235" s="181"/>
      <c r="AG235" s="35" t="str">
        <f>IFERROR(INDEX('G-6 Hedgerow Data'!$BJ$3:$BJ$15,MATCH(D235,'G-6 Hedgerow Data'!$B$3:$B$15,0)),"")</f>
        <v/>
      </c>
    </row>
    <row r="236" spans="2:33" ht="15" customHeight="1" x14ac:dyDescent="0.25">
      <c r="B236" s="128">
        <v>225</v>
      </c>
      <c r="C236" s="394"/>
      <c r="D236" s="275"/>
      <c r="E236" s="275"/>
      <c r="F236" s="171" t="str">
        <f>IF(D236="","",VLOOKUP(D236,'G-6 Hedgerow Data'!$B$2:$AG$15,2,FALSE))</f>
        <v/>
      </c>
      <c r="G236" s="176" t="str">
        <f>IF(D236="","",VLOOKUP(D236,'G-6 Hedgerow Data'!$B$2:$AG$15,3,FALSE))</f>
        <v/>
      </c>
      <c r="H236" s="189"/>
      <c r="I236" s="172" t="str">
        <f>IFERROR(IF(AND(F236="V.Low",OR(H236="Good",H236="Moderate")),"Error",VLOOKUP(H236,'G-1 All Habitats'!$Z$2:$AA$9,2,FALSE)),"")</f>
        <v/>
      </c>
      <c r="J236" s="186"/>
      <c r="K236" s="175" t="str">
        <f>IF(J236="","",IF(VLOOKUP(J236,'G-3 Multipliers'!$L$3:$N$6,2,FALSE)=0,"Spatial Data Missing",VLOOKUP(J236,'G-3 Multipliers'!$L$3:$N$6,2,FALSE)))</f>
        <v/>
      </c>
      <c r="L236" s="176" t="str">
        <f>IF(J236="","",IF(VLOOKUP(J236,'G-3 Multipliers'!$L$3:$N$6,3,FALSE)=0,"Spatial Data Missing",VLOOKUP(J236,'G-3 Multipliers'!$L$3:$N$6,3,FALSE)))</f>
        <v/>
      </c>
      <c r="M236" s="266"/>
      <c r="N236" s="172" t="str">
        <f>IF(M236="","",IF(VLOOKUP(M236,'G-3 Multipliers'!$S$3:$T$6,2,FALSE)=0,"Spatial Data Missing",VLOOKUP(M236,'G-3 Multipliers'!$S$3:$T$6,2,FALSE)))</f>
        <v/>
      </c>
      <c r="O236" s="171" t="str">
        <f>IF(OR(D236="",H236=""),"",(INDEX('G-6 Hedgerow Data'!$E$3:$I$15,MATCH(D236,'G-6 Hedgerow Data'!$B$3:$B$15,0),MATCH(H236,'G-6 Hedgerow Data'!$E$2:$I$2,0))))</f>
        <v/>
      </c>
      <c r="P236" s="261"/>
      <c r="Q236" s="261"/>
      <c r="R236" s="179" t="str">
        <f t="shared" si="19"/>
        <v/>
      </c>
      <c r="S236" s="262" t="str">
        <f t="shared" si="20"/>
        <v/>
      </c>
      <c r="T236" s="263" t="str">
        <f t="shared" si="18"/>
        <v/>
      </c>
      <c r="U236" s="239" t="str">
        <f>IF(D236="","",VLOOKUP(D236,'G-6 Hedgerow Data'!$B$3:$AG$15,31,FALSE))</f>
        <v/>
      </c>
      <c r="V236" s="175" t="str">
        <f t="shared" si="21"/>
        <v/>
      </c>
      <c r="W236" s="175" t="str">
        <f t="shared" si="22"/>
        <v/>
      </c>
      <c r="X236" s="176" t="str">
        <f>IF(F236="","",VLOOKUP(U236,'G-3 Multipliers'!$P$3:$Q$6,2,FALSE))</f>
        <v/>
      </c>
      <c r="Y236" s="274" t="str">
        <f t="shared" si="23"/>
        <v/>
      </c>
      <c r="Z236" s="180"/>
      <c r="AA236" s="181"/>
      <c r="AG236" s="35" t="str">
        <f>IFERROR(INDEX('G-6 Hedgerow Data'!$BJ$3:$BJ$15,MATCH(D236,'G-6 Hedgerow Data'!$B$3:$B$15,0)),"")</f>
        <v/>
      </c>
    </row>
    <row r="237" spans="2:33" ht="15" customHeight="1" x14ac:dyDescent="0.25">
      <c r="B237" s="128">
        <v>226</v>
      </c>
      <c r="C237" s="394"/>
      <c r="D237" s="275"/>
      <c r="E237" s="275"/>
      <c r="F237" s="171" t="str">
        <f>IF(D237="","",VLOOKUP(D237,'G-6 Hedgerow Data'!$B$2:$AG$15,2,FALSE))</f>
        <v/>
      </c>
      <c r="G237" s="176" t="str">
        <f>IF(D237="","",VLOOKUP(D237,'G-6 Hedgerow Data'!$B$2:$AG$15,3,FALSE))</f>
        <v/>
      </c>
      <c r="H237" s="189"/>
      <c r="I237" s="172" t="str">
        <f>IFERROR(IF(AND(F237="V.Low",OR(H237="Good",H237="Moderate")),"Error",VLOOKUP(H237,'G-1 All Habitats'!$Z$2:$AA$9,2,FALSE)),"")</f>
        <v/>
      </c>
      <c r="J237" s="186"/>
      <c r="K237" s="175" t="str">
        <f>IF(J237="","",IF(VLOOKUP(J237,'G-3 Multipliers'!$L$3:$N$6,2,FALSE)=0,"Spatial Data Missing",VLOOKUP(J237,'G-3 Multipliers'!$L$3:$N$6,2,FALSE)))</f>
        <v/>
      </c>
      <c r="L237" s="176" t="str">
        <f>IF(J237="","",IF(VLOOKUP(J237,'G-3 Multipliers'!$L$3:$N$6,3,FALSE)=0,"Spatial Data Missing",VLOOKUP(J237,'G-3 Multipliers'!$L$3:$N$6,3,FALSE)))</f>
        <v/>
      </c>
      <c r="M237" s="266"/>
      <c r="N237" s="172" t="str">
        <f>IF(M237="","",IF(VLOOKUP(M237,'G-3 Multipliers'!$S$3:$T$6,2,FALSE)=0,"Spatial Data Missing",VLOOKUP(M237,'G-3 Multipliers'!$S$3:$T$6,2,FALSE)))</f>
        <v/>
      </c>
      <c r="O237" s="171" t="str">
        <f>IF(OR(D237="",H237=""),"",(INDEX('G-6 Hedgerow Data'!$E$3:$I$15,MATCH(D237,'G-6 Hedgerow Data'!$B$3:$B$15,0),MATCH(H237,'G-6 Hedgerow Data'!$E$2:$I$2,0))))</f>
        <v/>
      </c>
      <c r="P237" s="261"/>
      <c r="Q237" s="261"/>
      <c r="R237" s="179" t="str">
        <f t="shared" si="19"/>
        <v/>
      </c>
      <c r="S237" s="262" t="str">
        <f t="shared" si="20"/>
        <v/>
      </c>
      <c r="T237" s="263" t="str">
        <f t="shared" si="18"/>
        <v/>
      </c>
      <c r="U237" s="239" t="str">
        <f>IF(D237="","",VLOOKUP(D237,'G-6 Hedgerow Data'!$B$3:$AG$15,31,FALSE))</f>
        <v/>
      </c>
      <c r="V237" s="175" t="str">
        <f t="shared" si="21"/>
        <v/>
      </c>
      <c r="W237" s="175" t="str">
        <f t="shared" si="22"/>
        <v/>
      </c>
      <c r="X237" s="176" t="str">
        <f>IF(F237="","",VLOOKUP(U237,'G-3 Multipliers'!$P$3:$Q$6,2,FALSE))</f>
        <v/>
      </c>
      <c r="Y237" s="274" t="str">
        <f t="shared" si="23"/>
        <v/>
      </c>
      <c r="Z237" s="180"/>
      <c r="AA237" s="181"/>
      <c r="AG237" s="35" t="str">
        <f>IFERROR(INDEX('G-6 Hedgerow Data'!$BJ$3:$BJ$15,MATCH(D237,'G-6 Hedgerow Data'!$B$3:$B$15,0)),"")</f>
        <v/>
      </c>
    </row>
    <row r="238" spans="2:33" ht="15" customHeight="1" x14ac:dyDescent="0.25">
      <c r="B238" s="128">
        <v>227</v>
      </c>
      <c r="C238" s="394"/>
      <c r="D238" s="275"/>
      <c r="E238" s="275"/>
      <c r="F238" s="171" t="str">
        <f>IF(D238="","",VLOOKUP(D238,'G-6 Hedgerow Data'!$B$2:$AG$15,2,FALSE))</f>
        <v/>
      </c>
      <c r="G238" s="176" t="str">
        <f>IF(D238="","",VLOOKUP(D238,'G-6 Hedgerow Data'!$B$2:$AG$15,3,FALSE))</f>
        <v/>
      </c>
      <c r="H238" s="189"/>
      <c r="I238" s="172" t="str">
        <f>IFERROR(IF(AND(F238="V.Low",OR(H238="Good",H238="Moderate")),"Error",VLOOKUP(H238,'G-1 All Habitats'!$Z$2:$AA$9,2,FALSE)),"")</f>
        <v/>
      </c>
      <c r="J238" s="186"/>
      <c r="K238" s="175" t="str">
        <f>IF(J238="","",IF(VLOOKUP(J238,'G-3 Multipliers'!$L$3:$N$6,2,FALSE)=0,"Spatial Data Missing",VLOOKUP(J238,'G-3 Multipliers'!$L$3:$N$6,2,FALSE)))</f>
        <v/>
      </c>
      <c r="L238" s="176" t="str">
        <f>IF(J238="","",IF(VLOOKUP(J238,'G-3 Multipliers'!$L$3:$N$6,3,FALSE)=0,"Spatial Data Missing",VLOOKUP(J238,'G-3 Multipliers'!$L$3:$N$6,3,FALSE)))</f>
        <v/>
      </c>
      <c r="M238" s="266"/>
      <c r="N238" s="172" t="str">
        <f>IF(M238="","",IF(VLOOKUP(M238,'G-3 Multipliers'!$S$3:$T$6,2,FALSE)=0,"Spatial Data Missing",VLOOKUP(M238,'G-3 Multipliers'!$S$3:$T$6,2,FALSE)))</f>
        <v/>
      </c>
      <c r="O238" s="171" t="str">
        <f>IF(OR(D238="",H238=""),"",(INDEX('G-6 Hedgerow Data'!$E$3:$I$15,MATCH(D238,'G-6 Hedgerow Data'!$B$3:$B$15,0),MATCH(H238,'G-6 Hedgerow Data'!$E$2:$I$2,0))))</f>
        <v/>
      </c>
      <c r="P238" s="261"/>
      <c r="Q238" s="261"/>
      <c r="R238" s="179" t="str">
        <f t="shared" si="19"/>
        <v/>
      </c>
      <c r="S238" s="262" t="str">
        <f t="shared" si="20"/>
        <v/>
      </c>
      <c r="T238" s="263" t="str">
        <f t="shared" si="18"/>
        <v/>
      </c>
      <c r="U238" s="239" t="str">
        <f>IF(D238="","",VLOOKUP(D238,'G-6 Hedgerow Data'!$B$3:$AG$15,31,FALSE))</f>
        <v/>
      </c>
      <c r="V238" s="175" t="str">
        <f t="shared" si="21"/>
        <v/>
      </c>
      <c r="W238" s="175" t="str">
        <f t="shared" si="22"/>
        <v/>
      </c>
      <c r="X238" s="176" t="str">
        <f>IF(F238="","",VLOOKUP(U238,'G-3 Multipliers'!$P$3:$Q$6,2,FALSE))</f>
        <v/>
      </c>
      <c r="Y238" s="274" t="str">
        <f t="shared" si="23"/>
        <v/>
      </c>
      <c r="Z238" s="180"/>
      <c r="AA238" s="181"/>
      <c r="AG238" s="35" t="str">
        <f>IFERROR(INDEX('G-6 Hedgerow Data'!$BJ$3:$BJ$15,MATCH(D238,'G-6 Hedgerow Data'!$B$3:$B$15,0)),"")</f>
        <v/>
      </c>
    </row>
    <row r="239" spans="2:33" ht="15" customHeight="1" x14ac:dyDescent="0.25">
      <c r="B239" s="128">
        <v>228</v>
      </c>
      <c r="C239" s="394"/>
      <c r="D239" s="275"/>
      <c r="E239" s="275"/>
      <c r="F239" s="171" t="str">
        <f>IF(D239="","",VLOOKUP(D239,'G-6 Hedgerow Data'!$B$2:$AG$15,2,FALSE))</f>
        <v/>
      </c>
      <c r="G239" s="176" t="str">
        <f>IF(D239="","",VLOOKUP(D239,'G-6 Hedgerow Data'!$B$2:$AG$15,3,FALSE))</f>
        <v/>
      </c>
      <c r="H239" s="189"/>
      <c r="I239" s="172" t="str">
        <f>IFERROR(IF(AND(F239="V.Low",OR(H239="Good",H239="Moderate")),"Error",VLOOKUP(H239,'G-1 All Habitats'!$Z$2:$AA$9,2,FALSE)),"")</f>
        <v/>
      </c>
      <c r="J239" s="186"/>
      <c r="K239" s="175" t="str">
        <f>IF(J239="","",IF(VLOOKUP(J239,'G-3 Multipliers'!$L$3:$N$6,2,FALSE)=0,"Spatial Data Missing",VLOOKUP(J239,'G-3 Multipliers'!$L$3:$N$6,2,FALSE)))</f>
        <v/>
      </c>
      <c r="L239" s="176" t="str">
        <f>IF(J239="","",IF(VLOOKUP(J239,'G-3 Multipliers'!$L$3:$N$6,3,FALSE)=0,"Spatial Data Missing",VLOOKUP(J239,'G-3 Multipliers'!$L$3:$N$6,3,FALSE)))</f>
        <v/>
      </c>
      <c r="M239" s="266"/>
      <c r="N239" s="172" t="str">
        <f>IF(M239="","",IF(VLOOKUP(M239,'G-3 Multipliers'!$S$3:$T$6,2,FALSE)=0,"Spatial Data Missing",VLOOKUP(M239,'G-3 Multipliers'!$S$3:$T$6,2,FALSE)))</f>
        <v/>
      </c>
      <c r="O239" s="171" t="str">
        <f>IF(OR(D239="",H239=""),"",(INDEX('G-6 Hedgerow Data'!$E$3:$I$15,MATCH(D239,'G-6 Hedgerow Data'!$B$3:$B$15,0),MATCH(H239,'G-6 Hedgerow Data'!$E$2:$I$2,0))))</f>
        <v/>
      </c>
      <c r="P239" s="261"/>
      <c r="Q239" s="261"/>
      <c r="R239" s="179" t="str">
        <f t="shared" si="19"/>
        <v/>
      </c>
      <c r="S239" s="262" t="str">
        <f t="shared" si="20"/>
        <v/>
      </c>
      <c r="T239" s="263" t="str">
        <f t="shared" si="18"/>
        <v/>
      </c>
      <c r="U239" s="239" t="str">
        <f>IF(D239="","",VLOOKUP(D239,'G-6 Hedgerow Data'!$B$3:$AG$15,31,FALSE))</f>
        <v/>
      </c>
      <c r="V239" s="175" t="str">
        <f t="shared" si="21"/>
        <v/>
      </c>
      <c r="W239" s="175" t="str">
        <f t="shared" si="22"/>
        <v/>
      </c>
      <c r="X239" s="176" t="str">
        <f>IF(F239="","",VLOOKUP(U239,'G-3 Multipliers'!$P$3:$Q$6,2,FALSE))</f>
        <v/>
      </c>
      <c r="Y239" s="274" t="str">
        <f t="shared" si="23"/>
        <v/>
      </c>
      <c r="Z239" s="180"/>
      <c r="AA239" s="181"/>
      <c r="AG239" s="35" t="str">
        <f>IFERROR(INDEX('G-6 Hedgerow Data'!$BJ$3:$BJ$15,MATCH(D239,'G-6 Hedgerow Data'!$B$3:$B$15,0)),"")</f>
        <v/>
      </c>
    </row>
    <row r="240" spans="2:33" ht="15" customHeight="1" x14ac:dyDescent="0.25">
      <c r="B240" s="128">
        <v>229</v>
      </c>
      <c r="C240" s="394"/>
      <c r="D240" s="275"/>
      <c r="E240" s="275"/>
      <c r="F240" s="171" t="str">
        <f>IF(D240="","",VLOOKUP(D240,'G-6 Hedgerow Data'!$B$2:$AG$15,2,FALSE))</f>
        <v/>
      </c>
      <c r="G240" s="176" t="str">
        <f>IF(D240="","",VLOOKUP(D240,'G-6 Hedgerow Data'!$B$2:$AG$15,3,FALSE))</f>
        <v/>
      </c>
      <c r="H240" s="189"/>
      <c r="I240" s="172" t="str">
        <f>IFERROR(IF(AND(F240="V.Low",OR(H240="Good",H240="Moderate")),"Error",VLOOKUP(H240,'G-1 All Habitats'!$Z$2:$AA$9,2,FALSE)),"")</f>
        <v/>
      </c>
      <c r="J240" s="186"/>
      <c r="K240" s="175" t="str">
        <f>IF(J240="","",IF(VLOOKUP(J240,'G-3 Multipliers'!$L$3:$N$6,2,FALSE)=0,"Spatial Data Missing",VLOOKUP(J240,'G-3 Multipliers'!$L$3:$N$6,2,FALSE)))</f>
        <v/>
      </c>
      <c r="L240" s="176" t="str">
        <f>IF(J240="","",IF(VLOOKUP(J240,'G-3 Multipliers'!$L$3:$N$6,3,FALSE)=0,"Spatial Data Missing",VLOOKUP(J240,'G-3 Multipliers'!$L$3:$N$6,3,FALSE)))</f>
        <v/>
      </c>
      <c r="M240" s="266"/>
      <c r="N240" s="172" t="str">
        <f>IF(M240="","",IF(VLOOKUP(M240,'G-3 Multipliers'!$S$3:$T$6,2,FALSE)=0,"Spatial Data Missing",VLOOKUP(M240,'G-3 Multipliers'!$S$3:$T$6,2,FALSE)))</f>
        <v/>
      </c>
      <c r="O240" s="171" t="str">
        <f>IF(OR(D240="",H240=""),"",(INDEX('G-6 Hedgerow Data'!$E$3:$I$15,MATCH(D240,'G-6 Hedgerow Data'!$B$3:$B$15,0),MATCH(H240,'G-6 Hedgerow Data'!$E$2:$I$2,0))))</f>
        <v/>
      </c>
      <c r="P240" s="261"/>
      <c r="Q240" s="261"/>
      <c r="R240" s="179" t="str">
        <f t="shared" si="19"/>
        <v/>
      </c>
      <c r="S240" s="262" t="str">
        <f t="shared" si="20"/>
        <v/>
      </c>
      <c r="T240" s="263" t="str">
        <f t="shared" si="18"/>
        <v/>
      </c>
      <c r="U240" s="239" t="str">
        <f>IF(D240="","",VLOOKUP(D240,'G-6 Hedgerow Data'!$B$3:$AG$15,31,FALSE))</f>
        <v/>
      </c>
      <c r="V240" s="175" t="str">
        <f t="shared" si="21"/>
        <v/>
      </c>
      <c r="W240" s="175" t="str">
        <f t="shared" si="22"/>
        <v/>
      </c>
      <c r="X240" s="176" t="str">
        <f>IF(F240="","",VLOOKUP(U240,'G-3 Multipliers'!$P$3:$Q$6,2,FALSE))</f>
        <v/>
      </c>
      <c r="Y240" s="274" t="str">
        <f t="shared" si="23"/>
        <v/>
      </c>
      <c r="Z240" s="180"/>
      <c r="AA240" s="181"/>
      <c r="AG240" s="35" t="str">
        <f>IFERROR(INDEX('G-6 Hedgerow Data'!$BJ$3:$BJ$15,MATCH(D240,'G-6 Hedgerow Data'!$B$3:$B$15,0)),"")</f>
        <v/>
      </c>
    </row>
    <row r="241" spans="2:33" ht="15" customHeight="1" x14ac:dyDescent="0.25">
      <c r="B241" s="128">
        <v>230</v>
      </c>
      <c r="C241" s="394"/>
      <c r="D241" s="275"/>
      <c r="E241" s="275"/>
      <c r="F241" s="171" t="str">
        <f>IF(D241="","",VLOOKUP(D241,'G-6 Hedgerow Data'!$B$2:$AG$15,2,FALSE))</f>
        <v/>
      </c>
      <c r="G241" s="176" t="str">
        <f>IF(D241="","",VLOOKUP(D241,'G-6 Hedgerow Data'!$B$2:$AG$15,3,FALSE))</f>
        <v/>
      </c>
      <c r="H241" s="189"/>
      <c r="I241" s="172" t="str">
        <f>IFERROR(IF(AND(F241="V.Low",OR(H241="Good",H241="Moderate")),"Error",VLOOKUP(H241,'G-1 All Habitats'!$Z$2:$AA$9,2,FALSE)),"")</f>
        <v/>
      </c>
      <c r="J241" s="186"/>
      <c r="K241" s="175" t="str">
        <f>IF(J241="","",IF(VLOOKUP(J241,'G-3 Multipliers'!$L$3:$N$6,2,FALSE)=0,"Spatial Data Missing",VLOOKUP(J241,'G-3 Multipliers'!$L$3:$N$6,2,FALSE)))</f>
        <v/>
      </c>
      <c r="L241" s="176" t="str">
        <f>IF(J241="","",IF(VLOOKUP(J241,'G-3 Multipliers'!$L$3:$N$6,3,FALSE)=0,"Spatial Data Missing",VLOOKUP(J241,'G-3 Multipliers'!$L$3:$N$6,3,FALSE)))</f>
        <v/>
      </c>
      <c r="M241" s="266"/>
      <c r="N241" s="172" t="str">
        <f>IF(M241="","",IF(VLOOKUP(M241,'G-3 Multipliers'!$S$3:$T$6,2,FALSE)=0,"Spatial Data Missing",VLOOKUP(M241,'G-3 Multipliers'!$S$3:$T$6,2,FALSE)))</f>
        <v/>
      </c>
      <c r="O241" s="171" t="str">
        <f>IF(OR(D241="",H241=""),"",(INDEX('G-6 Hedgerow Data'!$E$3:$I$15,MATCH(D241,'G-6 Hedgerow Data'!$B$3:$B$15,0),MATCH(H241,'G-6 Hedgerow Data'!$E$2:$I$2,0))))</f>
        <v/>
      </c>
      <c r="P241" s="261"/>
      <c r="Q241" s="261"/>
      <c r="R241" s="179" t="str">
        <f t="shared" si="19"/>
        <v/>
      </c>
      <c r="S241" s="262" t="str">
        <f t="shared" si="20"/>
        <v/>
      </c>
      <c r="T241" s="263" t="str">
        <f t="shared" si="18"/>
        <v/>
      </c>
      <c r="U241" s="239" t="str">
        <f>IF(D241="","",VLOOKUP(D241,'G-6 Hedgerow Data'!$B$3:$AG$15,31,FALSE))</f>
        <v/>
      </c>
      <c r="V241" s="175" t="str">
        <f t="shared" si="21"/>
        <v/>
      </c>
      <c r="W241" s="175" t="str">
        <f t="shared" si="22"/>
        <v/>
      </c>
      <c r="X241" s="176" t="str">
        <f>IF(F241="","",VLOOKUP(U241,'G-3 Multipliers'!$P$3:$Q$6,2,FALSE))</f>
        <v/>
      </c>
      <c r="Y241" s="274" t="str">
        <f t="shared" si="23"/>
        <v/>
      </c>
      <c r="Z241" s="180"/>
      <c r="AA241" s="181"/>
      <c r="AG241" s="35" t="str">
        <f>IFERROR(INDEX('G-6 Hedgerow Data'!$BJ$3:$BJ$15,MATCH(D241,'G-6 Hedgerow Data'!$B$3:$B$15,0)),"")</f>
        <v/>
      </c>
    </row>
    <row r="242" spans="2:33" ht="15" customHeight="1" x14ac:dyDescent="0.25">
      <c r="B242" s="128">
        <v>231</v>
      </c>
      <c r="C242" s="394"/>
      <c r="D242" s="275"/>
      <c r="E242" s="275"/>
      <c r="F242" s="171" t="str">
        <f>IF(D242="","",VLOOKUP(D242,'G-6 Hedgerow Data'!$B$2:$AG$15,2,FALSE))</f>
        <v/>
      </c>
      <c r="G242" s="176" t="str">
        <f>IF(D242="","",VLOOKUP(D242,'G-6 Hedgerow Data'!$B$2:$AG$15,3,FALSE))</f>
        <v/>
      </c>
      <c r="H242" s="189"/>
      <c r="I242" s="172" t="str">
        <f>IFERROR(IF(AND(F242="V.Low",OR(H242="Good",H242="Moderate")),"Error",VLOOKUP(H242,'G-1 All Habitats'!$Z$2:$AA$9,2,FALSE)),"")</f>
        <v/>
      </c>
      <c r="J242" s="186"/>
      <c r="K242" s="175" t="str">
        <f>IF(J242="","",IF(VLOOKUP(J242,'G-3 Multipliers'!$L$3:$N$6,2,FALSE)=0,"Spatial Data Missing",VLOOKUP(J242,'G-3 Multipliers'!$L$3:$N$6,2,FALSE)))</f>
        <v/>
      </c>
      <c r="L242" s="176" t="str">
        <f>IF(J242="","",IF(VLOOKUP(J242,'G-3 Multipliers'!$L$3:$N$6,3,FALSE)=0,"Spatial Data Missing",VLOOKUP(J242,'G-3 Multipliers'!$L$3:$N$6,3,FALSE)))</f>
        <v/>
      </c>
      <c r="M242" s="266"/>
      <c r="N242" s="172" t="str">
        <f>IF(M242="","",IF(VLOOKUP(M242,'G-3 Multipliers'!$S$3:$T$6,2,FALSE)=0,"Spatial Data Missing",VLOOKUP(M242,'G-3 Multipliers'!$S$3:$T$6,2,FALSE)))</f>
        <v/>
      </c>
      <c r="O242" s="171" t="str">
        <f>IF(OR(D242="",H242=""),"",(INDEX('G-6 Hedgerow Data'!$E$3:$I$15,MATCH(D242,'G-6 Hedgerow Data'!$B$3:$B$15,0),MATCH(H242,'G-6 Hedgerow Data'!$E$2:$I$2,0))))</f>
        <v/>
      </c>
      <c r="P242" s="261"/>
      <c r="Q242" s="261"/>
      <c r="R242" s="179" t="str">
        <f t="shared" si="19"/>
        <v/>
      </c>
      <c r="S242" s="262" t="str">
        <f t="shared" si="20"/>
        <v/>
      </c>
      <c r="T242" s="263" t="str">
        <f t="shared" si="18"/>
        <v/>
      </c>
      <c r="U242" s="239" t="str">
        <f>IF(D242="","",VLOOKUP(D242,'G-6 Hedgerow Data'!$B$3:$AG$15,31,FALSE))</f>
        <v/>
      </c>
      <c r="V242" s="175" t="str">
        <f t="shared" si="21"/>
        <v/>
      </c>
      <c r="W242" s="175" t="str">
        <f t="shared" si="22"/>
        <v/>
      </c>
      <c r="X242" s="176" t="str">
        <f>IF(F242="","",VLOOKUP(U242,'G-3 Multipliers'!$P$3:$Q$6,2,FALSE))</f>
        <v/>
      </c>
      <c r="Y242" s="274" t="str">
        <f t="shared" si="23"/>
        <v/>
      </c>
      <c r="Z242" s="180"/>
      <c r="AA242" s="181"/>
      <c r="AG242" s="35" t="str">
        <f>IFERROR(INDEX('G-6 Hedgerow Data'!$BJ$3:$BJ$15,MATCH(D242,'G-6 Hedgerow Data'!$B$3:$B$15,0)),"")</f>
        <v/>
      </c>
    </row>
    <row r="243" spans="2:33" ht="15" customHeight="1" x14ac:dyDescent="0.25">
      <c r="B243" s="128">
        <v>232</v>
      </c>
      <c r="C243" s="394"/>
      <c r="D243" s="275"/>
      <c r="E243" s="275"/>
      <c r="F243" s="171" t="str">
        <f>IF(D243="","",VLOOKUP(D243,'G-6 Hedgerow Data'!$B$2:$AG$15,2,FALSE))</f>
        <v/>
      </c>
      <c r="G243" s="176" t="str">
        <f>IF(D243="","",VLOOKUP(D243,'G-6 Hedgerow Data'!$B$2:$AG$15,3,FALSE))</f>
        <v/>
      </c>
      <c r="H243" s="189"/>
      <c r="I243" s="172" t="str">
        <f>IFERROR(IF(AND(F243="V.Low",OR(H243="Good",H243="Moderate")),"Error",VLOOKUP(H243,'G-1 All Habitats'!$Z$2:$AA$9,2,FALSE)),"")</f>
        <v/>
      </c>
      <c r="J243" s="186"/>
      <c r="K243" s="175" t="str">
        <f>IF(J243="","",IF(VLOOKUP(J243,'G-3 Multipliers'!$L$3:$N$6,2,FALSE)=0,"Spatial Data Missing",VLOOKUP(J243,'G-3 Multipliers'!$L$3:$N$6,2,FALSE)))</f>
        <v/>
      </c>
      <c r="L243" s="176" t="str">
        <f>IF(J243="","",IF(VLOOKUP(J243,'G-3 Multipliers'!$L$3:$N$6,3,FALSE)=0,"Spatial Data Missing",VLOOKUP(J243,'G-3 Multipliers'!$L$3:$N$6,3,FALSE)))</f>
        <v/>
      </c>
      <c r="M243" s="266"/>
      <c r="N243" s="172" t="str">
        <f>IF(M243="","",IF(VLOOKUP(M243,'G-3 Multipliers'!$S$3:$T$6,2,FALSE)=0,"Spatial Data Missing",VLOOKUP(M243,'G-3 Multipliers'!$S$3:$T$6,2,FALSE)))</f>
        <v/>
      </c>
      <c r="O243" s="171" t="str">
        <f>IF(OR(D243="",H243=""),"",(INDEX('G-6 Hedgerow Data'!$E$3:$I$15,MATCH(D243,'G-6 Hedgerow Data'!$B$3:$B$15,0),MATCH(H243,'G-6 Hedgerow Data'!$E$2:$I$2,0))))</f>
        <v/>
      </c>
      <c r="P243" s="261"/>
      <c r="Q243" s="261"/>
      <c r="R243" s="179" t="str">
        <f t="shared" si="19"/>
        <v/>
      </c>
      <c r="S243" s="262" t="str">
        <f t="shared" si="20"/>
        <v/>
      </c>
      <c r="T243" s="263" t="str">
        <f t="shared" si="18"/>
        <v/>
      </c>
      <c r="U243" s="239" t="str">
        <f>IF(D243="","",VLOOKUP(D243,'G-6 Hedgerow Data'!$B$3:$AG$15,31,FALSE))</f>
        <v/>
      </c>
      <c r="V243" s="175" t="str">
        <f t="shared" si="21"/>
        <v/>
      </c>
      <c r="W243" s="175" t="str">
        <f t="shared" si="22"/>
        <v/>
      </c>
      <c r="X243" s="176" t="str">
        <f>IF(F243="","",VLOOKUP(U243,'G-3 Multipliers'!$P$3:$Q$6,2,FALSE))</f>
        <v/>
      </c>
      <c r="Y243" s="274" t="str">
        <f t="shared" si="23"/>
        <v/>
      </c>
      <c r="Z243" s="180"/>
      <c r="AA243" s="181"/>
      <c r="AG243" s="35" t="str">
        <f>IFERROR(INDEX('G-6 Hedgerow Data'!$BJ$3:$BJ$15,MATCH(D243,'G-6 Hedgerow Data'!$B$3:$B$15,0)),"")</f>
        <v/>
      </c>
    </row>
    <row r="244" spans="2:33" ht="15" customHeight="1" x14ac:dyDescent="0.25">
      <c r="B244" s="128">
        <v>233</v>
      </c>
      <c r="C244" s="394"/>
      <c r="D244" s="275"/>
      <c r="E244" s="275"/>
      <c r="F244" s="171" t="str">
        <f>IF(D244="","",VLOOKUP(D244,'G-6 Hedgerow Data'!$B$2:$AG$15,2,FALSE))</f>
        <v/>
      </c>
      <c r="G244" s="176" t="str">
        <f>IF(D244="","",VLOOKUP(D244,'G-6 Hedgerow Data'!$B$2:$AG$15,3,FALSE))</f>
        <v/>
      </c>
      <c r="H244" s="189"/>
      <c r="I244" s="172" t="str">
        <f>IFERROR(IF(AND(F244="V.Low",OR(H244="Good",H244="Moderate")),"Error",VLOOKUP(H244,'G-1 All Habitats'!$Z$2:$AA$9,2,FALSE)),"")</f>
        <v/>
      </c>
      <c r="J244" s="186"/>
      <c r="K244" s="175" t="str">
        <f>IF(J244="","",IF(VLOOKUP(J244,'G-3 Multipliers'!$L$3:$N$6,2,FALSE)=0,"Spatial Data Missing",VLOOKUP(J244,'G-3 Multipliers'!$L$3:$N$6,2,FALSE)))</f>
        <v/>
      </c>
      <c r="L244" s="176" t="str">
        <f>IF(J244="","",IF(VLOOKUP(J244,'G-3 Multipliers'!$L$3:$N$6,3,FALSE)=0,"Spatial Data Missing",VLOOKUP(J244,'G-3 Multipliers'!$L$3:$N$6,3,FALSE)))</f>
        <v/>
      </c>
      <c r="M244" s="266"/>
      <c r="N244" s="172" t="str">
        <f>IF(M244="","",IF(VLOOKUP(M244,'G-3 Multipliers'!$S$3:$T$6,2,FALSE)=0,"Spatial Data Missing",VLOOKUP(M244,'G-3 Multipliers'!$S$3:$T$6,2,FALSE)))</f>
        <v/>
      </c>
      <c r="O244" s="171" t="str">
        <f>IF(OR(D244="",H244=""),"",(INDEX('G-6 Hedgerow Data'!$E$3:$I$15,MATCH(D244,'G-6 Hedgerow Data'!$B$3:$B$15,0),MATCH(H244,'G-6 Hedgerow Data'!$E$2:$I$2,0))))</f>
        <v/>
      </c>
      <c r="P244" s="261"/>
      <c r="Q244" s="261"/>
      <c r="R244" s="179" t="str">
        <f t="shared" si="19"/>
        <v/>
      </c>
      <c r="S244" s="262" t="str">
        <f t="shared" si="20"/>
        <v/>
      </c>
      <c r="T244" s="263" t="str">
        <f t="shared" si="18"/>
        <v/>
      </c>
      <c r="U244" s="239" t="str">
        <f>IF(D244="","",VLOOKUP(D244,'G-6 Hedgerow Data'!$B$3:$AG$15,31,FALSE))</f>
        <v/>
      </c>
      <c r="V244" s="175" t="str">
        <f t="shared" si="21"/>
        <v/>
      </c>
      <c r="W244" s="175" t="str">
        <f t="shared" si="22"/>
        <v/>
      </c>
      <c r="X244" s="176" t="str">
        <f>IF(F244="","",VLOOKUP(U244,'G-3 Multipliers'!$P$3:$Q$6,2,FALSE))</f>
        <v/>
      </c>
      <c r="Y244" s="274" t="str">
        <f t="shared" si="23"/>
        <v/>
      </c>
      <c r="Z244" s="180"/>
      <c r="AA244" s="181"/>
      <c r="AG244" s="35" t="str">
        <f>IFERROR(INDEX('G-6 Hedgerow Data'!$BJ$3:$BJ$15,MATCH(D244,'G-6 Hedgerow Data'!$B$3:$B$15,0)),"")</f>
        <v/>
      </c>
    </row>
    <row r="245" spans="2:33" ht="15" customHeight="1" x14ac:dyDescent="0.25">
      <c r="B245" s="128">
        <v>234</v>
      </c>
      <c r="C245" s="394"/>
      <c r="D245" s="275"/>
      <c r="E245" s="275"/>
      <c r="F245" s="171" t="str">
        <f>IF(D245="","",VLOOKUP(D245,'G-6 Hedgerow Data'!$B$2:$AG$15,2,FALSE))</f>
        <v/>
      </c>
      <c r="G245" s="176" t="str">
        <f>IF(D245="","",VLOOKUP(D245,'G-6 Hedgerow Data'!$B$2:$AG$15,3,FALSE))</f>
        <v/>
      </c>
      <c r="H245" s="189"/>
      <c r="I245" s="172" t="str">
        <f>IFERROR(IF(AND(F245="V.Low",OR(H245="Good",H245="Moderate")),"Error",VLOOKUP(H245,'G-1 All Habitats'!$Z$2:$AA$9,2,FALSE)),"")</f>
        <v/>
      </c>
      <c r="J245" s="186"/>
      <c r="K245" s="175" t="str">
        <f>IF(J245="","",IF(VLOOKUP(J245,'G-3 Multipliers'!$L$3:$N$6,2,FALSE)=0,"Spatial Data Missing",VLOOKUP(J245,'G-3 Multipliers'!$L$3:$N$6,2,FALSE)))</f>
        <v/>
      </c>
      <c r="L245" s="176" t="str">
        <f>IF(J245="","",IF(VLOOKUP(J245,'G-3 Multipliers'!$L$3:$N$6,3,FALSE)=0,"Spatial Data Missing",VLOOKUP(J245,'G-3 Multipliers'!$L$3:$N$6,3,FALSE)))</f>
        <v/>
      </c>
      <c r="M245" s="266"/>
      <c r="N245" s="172" t="str">
        <f>IF(M245="","",IF(VLOOKUP(M245,'G-3 Multipliers'!$S$3:$T$6,2,FALSE)=0,"Spatial Data Missing",VLOOKUP(M245,'G-3 Multipliers'!$S$3:$T$6,2,FALSE)))</f>
        <v/>
      </c>
      <c r="O245" s="171" t="str">
        <f>IF(OR(D245="",H245=""),"",(INDEX('G-6 Hedgerow Data'!$E$3:$I$15,MATCH(D245,'G-6 Hedgerow Data'!$B$3:$B$15,0),MATCH(H245,'G-6 Hedgerow Data'!$E$2:$I$2,0))))</f>
        <v/>
      </c>
      <c r="P245" s="261"/>
      <c r="Q245" s="261"/>
      <c r="R245" s="179" t="str">
        <f t="shared" si="19"/>
        <v/>
      </c>
      <c r="S245" s="262" t="str">
        <f t="shared" si="20"/>
        <v/>
      </c>
      <c r="T245" s="263" t="str">
        <f t="shared" si="18"/>
        <v/>
      </c>
      <c r="U245" s="239" t="str">
        <f>IF(D245="","",VLOOKUP(D245,'G-6 Hedgerow Data'!$B$3:$AG$15,31,FALSE))</f>
        <v/>
      </c>
      <c r="V245" s="175" t="str">
        <f t="shared" si="21"/>
        <v/>
      </c>
      <c r="W245" s="175" t="str">
        <f t="shared" si="22"/>
        <v/>
      </c>
      <c r="X245" s="176" t="str">
        <f>IF(F245="","",VLOOKUP(U245,'G-3 Multipliers'!$P$3:$Q$6,2,FALSE))</f>
        <v/>
      </c>
      <c r="Y245" s="274" t="str">
        <f t="shared" si="23"/>
        <v/>
      </c>
      <c r="Z245" s="180"/>
      <c r="AA245" s="181"/>
      <c r="AG245" s="35" t="str">
        <f>IFERROR(INDEX('G-6 Hedgerow Data'!$BJ$3:$BJ$15,MATCH(D245,'G-6 Hedgerow Data'!$B$3:$B$15,0)),"")</f>
        <v/>
      </c>
    </row>
    <row r="246" spans="2:33" ht="15" customHeight="1" x14ac:dyDescent="0.25">
      <c r="B246" s="128">
        <v>235</v>
      </c>
      <c r="C246" s="394"/>
      <c r="D246" s="275"/>
      <c r="E246" s="275"/>
      <c r="F246" s="171" t="str">
        <f>IF(D246="","",VLOOKUP(D246,'G-6 Hedgerow Data'!$B$2:$AG$15,2,FALSE))</f>
        <v/>
      </c>
      <c r="G246" s="176" t="str">
        <f>IF(D246="","",VLOOKUP(D246,'G-6 Hedgerow Data'!$B$2:$AG$15,3,FALSE))</f>
        <v/>
      </c>
      <c r="H246" s="189"/>
      <c r="I246" s="172" t="str">
        <f>IFERROR(IF(AND(F246="V.Low",OR(H246="Good",H246="Moderate")),"Error",VLOOKUP(H246,'G-1 All Habitats'!$Z$2:$AA$9,2,FALSE)),"")</f>
        <v/>
      </c>
      <c r="J246" s="186"/>
      <c r="K246" s="175" t="str">
        <f>IF(J246="","",IF(VLOOKUP(J246,'G-3 Multipliers'!$L$3:$N$6,2,FALSE)=0,"Spatial Data Missing",VLOOKUP(J246,'G-3 Multipliers'!$L$3:$N$6,2,FALSE)))</f>
        <v/>
      </c>
      <c r="L246" s="176" t="str">
        <f>IF(J246="","",IF(VLOOKUP(J246,'G-3 Multipliers'!$L$3:$N$6,3,FALSE)=0,"Spatial Data Missing",VLOOKUP(J246,'G-3 Multipliers'!$L$3:$N$6,3,FALSE)))</f>
        <v/>
      </c>
      <c r="M246" s="266"/>
      <c r="N246" s="172" t="str">
        <f>IF(M246="","",IF(VLOOKUP(M246,'G-3 Multipliers'!$S$3:$T$6,2,FALSE)=0,"Spatial Data Missing",VLOOKUP(M246,'G-3 Multipliers'!$S$3:$T$6,2,FALSE)))</f>
        <v/>
      </c>
      <c r="O246" s="171" t="str">
        <f>IF(OR(D246="",H246=""),"",(INDEX('G-6 Hedgerow Data'!$E$3:$I$15,MATCH(D246,'G-6 Hedgerow Data'!$B$3:$B$15,0),MATCH(H246,'G-6 Hedgerow Data'!$E$2:$I$2,0))))</f>
        <v/>
      </c>
      <c r="P246" s="261"/>
      <c r="Q246" s="261"/>
      <c r="R246" s="179" t="str">
        <f t="shared" si="19"/>
        <v/>
      </c>
      <c r="S246" s="262" t="str">
        <f t="shared" si="20"/>
        <v/>
      </c>
      <c r="T246" s="263" t="str">
        <f t="shared" si="18"/>
        <v/>
      </c>
      <c r="U246" s="239" t="str">
        <f>IF(D246="","",VLOOKUP(D246,'G-6 Hedgerow Data'!$B$3:$AG$15,31,FALSE))</f>
        <v/>
      </c>
      <c r="V246" s="175" t="str">
        <f t="shared" si="21"/>
        <v/>
      </c>
      <c r="W246" s="175" t="str">
        <f t="shared" si="22"/>
        <v/>
      </c>
      <c r="X246" s="176" t="str">
        <f>IF(F246="","",VLOOKUP(U246,'G-3 Multipliers'!$P$3:$Q$6,2,FALSE))</f>
        <v/>
      </c>
      <c r="Y246" s="274" t="str">
        <f t="shared" si="23"/>
        <v/>
      </c>
      <c r="Z246" s="180"/>
      <c r="AA246" s="181"/>
      <c r="AG246" s="35" t="str">
        <f>IFERROR(INDEX('G-6 Hedgerow Data'!$BJ$3:$BJ$15,MATCH(D246,'G-6 Hedgerow Data'!$B$3:$B$15,0)),"")</f>
        <v/>
      </c>
    </row>
    <row r="247" spans="2:33" ht="15" customHeight="1" x14ac:dyDescent="0.25">
      <c r="B247" s="128">
        <v>236</v>
      </c>
      <c r="C247" s="394"/>
      <c r="D247" s="275"/>
      <c r="E247" s="275"/>
      <c r="F247" s="171" t="str">
        <f>IF(D247="","",VLOOKUP(D247,'G-6 Hedgerow Data'!$B$2:$AG$15,2,FALSE))</f>
        <v/>
      </c>
      <c r="G247" s="176" t="str">
        <f>IF(D247="","",VLOOKUP(D247,'G-6 Hedgerow Data'!$B$2:$AG$15,3,FALSE))</f>
        <v/>
      </c>
      <c r="H247" s="189"/>
      <c r="I247" s="172" t="str">
        <f>IFERROR(IF(AND(F247="V.Low",OR(H247="Good",H247="Moderate")),"Error",VLOOKUP(H247,'G-1 All Habitats'!$Z$2:$AA$9,2,FALSE)),"")</f>
        <v/>
      </c>
      <c r="J247" s="186"/>
      <c r="K247" s="175" t="str">
        <f>IF(J247="","",IF(VLOOKUP(J247,'G-3 Multipliers'!$L$3:$N$6,2,FALSE)=0,"Spatial Data Missing",VLOOKUP(J247,'G-3 Multipliers'!$L$3:$N$6,2,FALSE)))</f>
        <v/>
      </c>
      <c r="L247" s="176" t="str">
        <f>IF(J247="","",IF(VLOOKUP(J247,'G-3 Multipliers'!$L$3:$N$6,3,FALSE)=0,"Spatial Data Missing",VLOOKUP(J247,'G-3 Multipliers'!$L$3:$N$6,3,FALSE)))</f>
        <v/>
      </c>
      <c r="M247" s="266"/>
      <c r="N247" s="172" t="str">
        <f>IF(M247="","",IF(VLOOKUP(M247,'G-3 Multipliers'!$S$3:$T$6,2,FALSE)=0,"Spatial Data Missing",VLOOKUP(M247,'G-3 Multipliers'!$S$3:$T$6,2,FALSE)))</f>
        <v/>
      </c>
      <c r="O247" s="171" t="str">
        <f>IF(OR(D247="",H247=""),"",(INDEX('G-6 Hedgerow Data'!$E$3:$I$15,MATCH(D247,'G-6 Hedgerow Data'!$B$3:$B$15,0),MATCH(H247,'G-6 Hedgerow Data'!$E$2:$I$2,0))))</f>
        <v/>
      </c>
      <c r="P247" s="261"/>
      <c r="Q247" s="261"/>
      <c r="R247" s="179" t="str">
        <f t="shared" si="19"/>
        <v/>
      </c>
      <c r="S247" s="262" t="str">
        <f t="shared" si="20"/>
        <v/>
      </c>
      <c r="T247" s="263" t="str">
        <f t="shared" si="18"/>
        <v/>
      </c>
      <c r="U247" s="239" t="str">
        <f>IF(D247="","",VLOOKUP(D247,'G-6 Hedgerow Data'!$B$3:$AG$15,31,FALSE))</f>
        <v/>
      </c>
      <c r="V247" s="175" t="str">
        <f t="shared" si="21"/>
        <v/>
      </c>
      <c r="W247" s="175" t="str">
        <f t="shared" si="22"/>
        <v/>
      </c>
      <c r="X247" s="176" t="str">
        <f>IF(F247="","",VLOOKUP(U247,'G-3 Multipliers'!$P$3:$Q$6,2,FALSE))</f>
        <v/>
      </c>
      <c r="Y247" s="274" t="str">
        <f t="shared" si="23"/>
        <v/>
      </c>
      <c r="Z247" s="180"/>
      <c r="AA247" s="181"/>
      <c r="AG247" s="35" t="str">
        <f>IFERROR(INDEX('G-6 Hedgerow Data'!$BJ$3:$BJ$15,MATCH(D247,'G-6 Hedgerow Data'!$B$3:$B$15,0)),"")</f>
        <v/>
      </c>
    </row>
    <row r="248" spans="2:33" ht="15" customHeight="1" x14ac:dyDescent="0.25">
      <c r="B248" s="128">
        <v>237</v>
      </c>
      <c r="C248" s="394"/>
      <c r="D248" s="275"/>
      <c r="E248" s="275"/>
      <c r="F248" s="171" t="str">
        <f>IF(D248="","",VLOOKUP(D248,'G-6 Hedgerow Data'!$B$2:$AG$15,2,FALSE))</f>
        <v/>
      </c>
      <c r="G248" s="176" t="str">
        <f>IF(D248="","",VLOOKUP(D248,'G-6 Hedgerow Data'!$B$2:$AG$15,3,FALSE))</f>
        <v/>
      </c>
      <c r="H248" s="189"/>
      <c r="I248" s="172" t="str">
        <f>IFERROR(IF(AND(F248="V.Low",OR(H248="Good",H248="Moderate")),"Error",VLOOKUP(H248,'G-1 All Habitats'!$Z$2:$AA$9,2,FALSE)),"")</f>
        <v/>
      </c>
      <c r="J248" s="186"/>
      <c r="K248" s="175" t="str">
        <f>IF(J248="","",IF(VLOOKUP(J248,'G-3 Multipliers'!$L$3:$N$6,2,FALSE)=0,"Spatial Data Missing",VLOOKUP(J248,'G-3 Multipliers'!$L$3:$N$6,2,FALSE)))</f>
        <v/>
      </c>
      <c r="L248" s="176" t="str">
        <f>IF(J248="","",IF(VLOOKUP(J248,'G-3 Multipliers'!$L$3:$N$6,3,FALSE)=0,"Spatial Data Missing",VLOOKUP(J248,'G-3 Multipliers'!$L$3:$N$6,3,FALSE)))</f>
        <v/>
      </c>
      <c r="M248" s="266"/>
      <c r="N248" s="172" t="str">
        <f>IF(M248="","",IF(VLOOKUP(M248,'G-3 Multipliers'!$S$3:$T$6,2,FALSE)=0,"Spatial Data Missing",VLOOKUP(M248,'G-3 Multipliers'!$S$3:$T$6,2,FALSE)))</f>
        <v/>
      </c>
      <c r="O248" s="171" t="str">
        <f>IF(OR(D248="",H248=""),"",(INDEX('G-6 Hedgerow Data'!$E$3:$I$15,MATCH(D248,'G-6 Hedgerow Data'!$B$3:$B$15,0),MATCH(H248,'G-6 Hedgerow Data'!$E$2:$I$2,0))))</f>
        <v/>
      </c>
      <c r="P248" s="261"/>
      <c r="Q248" s="261"/>
      <c r="R248" s="179" t="str">
        <f t="shared" si="19"/>
        <v/>
      </c>
      <c r="S248" s="262" t="str">
        <f t="shared" si="20"/>
        <v/>
      </c>
      <c r="T248" s="263" t="str">
        <f t="shared" si="18"/>
        <v/>
      </c>
      <c r="U248" s="239" t="str">
        <f>IF(D248="","",VLOOKUP(D248,'G-6 Hedgerow Data'!$B$3:$AG$15,31,FALSE))</f>
        <v/>
      </c>
      <c r="V248" s="175" t="str">
        <f t="shared" si="21"/>
        <v/>
      </c>
      <c r="W248" s="175" t="str">
        <f t="shared" si="22"/>
        <v/>
      </c>
      <c r="X248" s="176" t="str">
        <f>IF(F248="","",VLOOKUP(U248,'G-3 Multipliers'!$P$3:$Q$6,2,FALSE))</f>
        <v/>
      </c>
      <c r="Y248" s="274" t="str">
        <f t="shared" si="23"/>
        <v/>
      </c>
      <c r="Z248" s="180"/>
      <c r="AA248" s="181"/>
      <c r="AG248" s="35" t="str">
        <f>IFERROR(INDEX('G-6 Hedgerow Data'!$BJ$3:$BJ$15,MATCH(D248,'G-6 Hedgerow Data'!$B$3:$B$15,0)),"")</f>
        <v/>
      </c>
    </row>
    <row r="249" spans="2:33" ht="15" customHeight="1" x14ac:dyDescent="0.25">
      <c r="B249" s="128">
        <v>238</v>
      </c>
      <c r="C249" s="394"/>
      <c r="D249" s="275"/>
      <c r="E249" s="275"/>
      <c r="F249" s="171" t="str">
        <f>IF(D249="","",VLOOKUP(D249,'G-6 Hedgerow Data'!$B$2:$AG$15,2,FALSE))</f>
        <v/>
      </c>
      <c r="G249" s="176" t="str">
        <f>IF(D249="","",VLOOKUP(D249,'G-6 Hedgerow Data'!$B$2:$AG$15,3,FALSE))</f>
        <v/>
      </c>
      <c r="H249" s="189"/>
      <c r="I249" s="172" t="str">
        <f>IFERROR(IF(AND(F249="V.Low",OR(H249="Good",H249="Moderate")),"Error",VLOOKUP(H249,'G-1 All Habitats'!$Z$2:$AA$9,2,FALSE)),"")</f>
        <v/>
      </c>
      <c r="J249" s="186"/>
      <c r="K249" s="175" t="str">
        <f>IF(J249="","",IF(VLOOKUP(J249,'G-3 Multipliers'!$L$3:$N$6,2,FALSE)=0,"Spatial Data Missing",VLOOKUP(J249,'G-3 Multipliers'!$L$3:$N$6,2,FALSE)))</f>
        <v/>
      </c>
      <c r="L249" s="176" t="str">
        <f>IF(J249="","",IF(VLOOKUP(J249,'G-3 Multipliers'!$L$3:$N$6,3,FALSE)=0,"Spatial Data Missing",VLOOKUP(J249,'G-3 Multipliers'!$L$3:$N$6,3,FALSE)))</f>
        <v/>
      </c>
      <c r="M249" s="266"/>
      <c r="N249" s="172" t="str">
        <f>IF(M249="","",IF(VLOOKUP(M249,'G-3 Multipliers'!$S$3:$T$6,2,FALSE)=0,"Spatial Data Missing",VLOOKUP(M249,'G-3 Multipliers'!$S$3:$T$6,2,FALSE)))</f>
        <v/>
      </c>
      <c r="O249" s="171" t="str">
        <f>IF(OR(D249="",H249=""),"",(INDEX('G-6 Hedgerow Data'!$E$3:$I$15,MATCH(D249,'G-6 Hedgerow Data'!$B$3:$B$15,0),MATCH(H249,'G-6 Hedgerow Data'!$E$2:$I$2,0))))</f>
        <v/>
      </c>
      <c r="P249" s="261"/>
      <c r="Q249" s="261"/>
      <c r="R249" s="179" t="str">
        <f t="shared" si="19"/>
        <v/>
      </c>
      <c r="S249" s="262" t="str">
        <f t="shared" si="20"/>
        <v/>
      </c>
      <c r="T249" s="263" t="str">
        <f t="shared" si="18"/>
        <v/>
      </c>
      <c r="U249" s="239" t="str">
        <f>IF(D249="","",VLOOKUP(D249,'G-6 Hedgerow Data'!$B$3:$AG$15,31,FALSE))</f>
        <v/>
      </c>
      <c r="V249" s="175" t="str">
        <f t="shared" si="21"/>
        <v/>
      </c>
      <c r="W249" s="175" t="str">
        <f t="shared" si="22"/>
        <v/>
      </c>
      <c r="X249" s="176" t="str">
        <f>IF(F249="","",VLOOKUP(U249,'G-3 Multipliers'!$P$3:$Q$6,2,FALSE))</f>
        <v/>
      </c>
      <c r="Y249" s="274" t="str">
        <f t="shared" si="23"/>
        <v/>
      </c>
      <c r="Z249" s="180"/>
      <c r="AA249" s="181"/>
      <c r="AG249" s="35" t="str">
        <f>IFERROR(INDEX('G-6 Hedgerow Data'!$BJ$3:$BJ$15,MATCH(D249,'G-6 Hedgerow Data'!$B$3:$B$15,0)),"")</f>
        <v/>
      </c>
    </row>
    <row r="250" spans="2:33" ht="15" customHeight="1" x14ac:dyDescent="0.25">
      <c r="B250" s="128">
        <v>239</v>
      </c>
      <c r="C250" s="394"/>
      <c r="D250" s="275"/>
      <c r="E250" s="275"/>
      <c r="F250" s="171" t="str">
        <f>IF(D250="","",VLOOKUP(D250,'G-6 Hedgerow Data'!$B$2:$AG$15,2,FALSE))</f>
        <v/>
      </c>
      <c r="G250" s="176" t="str">
        <f>IF(D250="","",VLOOKUP(D250,'G-6 Hedgerow Data'!$B$2:$AG$15,3,FALSE))</f>
        <v/>
      </c>
      <c r="H250" s="189"/>
      <c r="I250" s="172" t="str">
        <f>IFERROR(IF(AND(F250="V.Low",OR(H250="Good",H250="Moderate")),"Error",VLOOKUP(H250,'G-1 All Habitats'!$Z$2:$AA$9,2,FALSE)),"")</f>
        <v/>
      </c>
      <c r="J250" s="186"/>
      <c r="K250" s="175" t="str">
        <f>IF(J250="","",IF(VLOOKUP(J250,'G-3 Multipliers'!$L$3:$N$6,2,FALSE)=0,"Spatial Data Missing",VLOOKUP(J250,'G-3 Multipliers'!$L$3:$N$6,2,FALSE)))</f>
        <v/>
      </c>
      <c r="L250" s="176" t="str">
        <f>IF(J250="","",IF(VLOOKUP(J250,'G-3 Multipliers'!$L$3:$N$6,3,FALSE)=0,"Spatial Data Missing",VLOOKUP(J250,'G-3 Multipliers'!$L$3:$N$6,3,FALSE)))</f>
        <v/>
      </c>
      <c r="M250" s="266"/>
      <c r="N250" s="172" t="str">
        <f>IF(M250="","",IF(VLOOKUP(M250,'G-3 Multipliers'!$S$3:$T$6,2,FALSE)=0,"Spatial Data Missing",VLOOKUP(M250,'G-3 Multipliers'!$S$3:$T$6,2,FALSE)))</f>
        <v/>
      </c>
      <c r="O250" s="171" t="str">
        <f>IF(OR(D250="",H250=""),"",(INDEX('G-6 Hedgerow Data'!$E$3:$I$15,MATCH(D250,'G-6 Hedgerow Data'!$B$3:$B$15,0),MATCH(H250,'G-6 Hedgerow Data'!$E$2:$I$2,0))))</f>
        <v/>
      </c>
      <c r="P250" s="261"/>
      <c r="Q250" s="261"/>
      <c r="R250" s="179" t="str">
        <f t="shared" si="19"/>
        <v/>
      </c>
      <c r="S250" s="262" t="str">
        <f t="shared" si="20"/>
        <v/>
      </c>
      <c r="T250" s="263" t="str">
        <f t="shared" si="18"/>
        <v/>
      </c>
      <c r="U250" s="239" t="str">
        <f>IF(D250="","",VLOOKUP(D250,'G-6 Hedgerow Data'!$B$3:$AG$15,31,FALSE))</f>
        <v/>
      </c>
      <c r="V250" s="175" t="str">
        <f t="shared" si="21"/>
        <v/>
      </c>
      <c r="W250" s="175" t="str">
        <f t="shared" si="22"/>
        <v/>
      </c>
      <c r="X250" s="176" t="str">
        <f>IF(F250="","",VLOOKUP(U250,'G-3 Multipliers'!$P$3:$Q$6,2,FALSE))</f>
        <v/>
      </c>
      <c r="Y250" s="274" t="str">
        <f t="shared" si="23"/>
        <v/>
      </c>
      <c r="Z250" s="180"/>
      <c r="AA250" s="181"/>
      <c r="AG250" s="35" t="str">
        <f>IFERROR(INDEX('G-6 Hedgerow Data'!$BJ$3:$BJ$15,MATCH(D250,'G-6 Hedgerow Data'!$B$3:$B$15,0)),"")</f>
        <v/>
      </c>
    </row>
    <row r="251" spans="2:33" ht="15" customHeight="1" x14ac:dyDescent="0.25">
      <c r="B251" s="128">
        <v>240</v>
      </c>
      <c r="C251" s="394"/>
      <c r="D251" s="275"/>
      <c r="E251" s="275"/>
      <c r="F251" s="171" t="str">
        <f>IF(D251="","",VLOOKUP(D251,'G-6 Hedgerow Data'!$B$2:$AG$15,2,FALSE))</f>
        <v/>
      </c>
      <c r="G251" s="176" t="str">
        <f>IF(D251="","",VLOOKUP(D251,'G-6 Hedgerow Data'!$B$2:$AG$15,3,FALSE))</f>
        <v/>
      </c>
      <c r="H251" s="189"/>
      <c r="I251" s="172" t="str">
        <f>IFERROR(IF(AND(F251="V.Low",OR(H251="Good",H251="Moderate")),"Error",VLOOKUP(H251,'G-1 All Habitats'!$Z$2:$AA$9,2,FALSE)),"")</f>
        <v/>
      </c>
      <c r="J251" s="186"/>
      <c r="K251" s="175" t="str">
        <f>IF(J251="","",IF(VLOOKUP(J251,'G-3 Multipliers'!$L$3:$N$6,2,FALSE)=0,"Spatial Data Missing",VLOOKUP(J251,'G-3 Multipliers'!$L$3:$N$6,2,FALSE)))</f>
        <v/>
      </c>
      <c r="L251" s="176" t="str">
        <f>IF(J251="","",IF(VLOOKUP(J251,'G-3 Multipliers'!$L$3:$N$6,3,FALSE)=0,"Spatial Data Missing",VLOOKUP(J251,'G-3 Multipliers'!$L$3:$N$6,3,FALSE)))</f>
        <v/>
      </c>
      <c r="M251" s="266"/>
      <c r="N251" s="172" t="str">
        <f>IF(M251="","",IF(VLOOKUP(M251,'G-3 Multipliers'!$S$3:$T$6,2,FALSE)=0,"Spatial Data Missing",VLOOKUP(M251,'G-3 Multipliers'!$S$3:$T$6,2,FALSE)))</f>
        <v/>
      </c>
      <c r="O251" s="171" t="str">
        <f>IF(OR(D251="",H251=""),"",(INDEX('G-6 Hedgerow Data'!$E$3:$I$15,MATCH(D251,'G-6 Hedgerow Data'!$B$3:$B$15,0),MATCH(H251,'G-6 Hedgerow Data'!$E$2:$I$2,0))))</f>
        <v/>
      </c>
      <c r="P251" s="261"/>
      <c r="Q251" s="261"/>
      <c r="R251" s="179" t="str">
        <f t="shared" si="19"/>
        <v/>
      </c>
      <c r="S251" s="262" t="str">
        <f t="shared" si="20"/>
        <v/>
      </c>
      <c r="T251" s="263" t="str">
        <f t="shared" si="18"/>
        <v/>
      </c>
      <c r="U251" s="239" t="str">
        <f>IF(D251="","",VLOOKUP(D251,'G-6 Hedgerow Data'!$B$3:$AG$15,31,FALSE))</f>
        <v/>
      </c>
      <c r="V251" s="175" t="str">
        <f t="shared" si="21"/>
        <v/>
      </c>
      <c r="W251" s="175" t="str">
        <f t="shared" si="22"/>
        <v/>
      </c>
      <c r="X251" s="176" t="str">
        <f>IF(F251="","",VLOOKUP(U251,'G-3 Multipliers'!$P$3:$Q$6,2,FALSE))</f>
        <v/>
      </c>
      <c r="Y251" s="274" t="str">
        <f t="shared" si="23"/>
        <v/>
      </c>
      <c r="Z251" s="180"/>
      <c r="AA251" s="181"/>
      <c r="AG251" s="35" t="str">
        <f>IFERROR(INDEX('G-6 Hedgerow Data'!$BJ$3:$BJ$15,MATCH(D251,'G-6 Hedgerow Data'!$B$3:$B$15,0)),"")</f>
        <v/>
      </c>
    </row>
    <row r="252" spans="2:33" ht="15" customHeight="1" x14ac:dyDescent="0.25">
      <c r="B252" s="128">
        <v>241</v>
      </c>
      <c r="C252" s="394"/>
      <c r="D252" s="275"/>
      <c r="E252" s="275"/>
      <c r="F252" s="171" t="str">
        <f>IF(D252="","",VLOOKUP(D252,'G-6 Hedgerow Data'!$B$2:$AG$15,2,FALSE))</f>
        <v/>
      </c>
      <c r="G252" s="176" t="str">
        <f>IF(D252="","",VLOOKUP(D252,'G-6 Hedgerow Data'!$B$2:$AG$15,3,FALSE))</f>
        <v/>
      </c>
      <c r="H252" s="189"/>
      <c r="I252" s="172" t="str">
        <f>IFERROR(IF(AND(F252="V.Low",OR(H252="Good",H252="Moderate")),"Error",VLOOKUP(H252,'G-1 All Habitats'!$Z$2:$AA$9,2,FALSE)),"")</f>
        <v/>
      </c>
      <c r="J252" s="186"/>
      <c r="K252" s="175" t="str">
        <f>IF(J252="","",IF(VLOOKUP(J252,'G-3 Multipliers'!$L$3:$N$6,2,FALSE)=0,"Spatial Data Missing",VLOOKUP(J252,'G-3 Multipliers'!$L$3:$N$6,2,FALSE)))</f>
        <v/>
      </c>
      <c r="L252" s="176" t="str">
        <f>IF(J252="","",IF(VLOOKUP(J252,'G-3 Multipliers'!$L$3:$N$6,3,FALSE)=0,"Spatial Data Missing",VLOOKUP(J252,'G-3 Multipliers'!$L$3:$N$6,3,FALSE)))</f>
        <v/>
      </c>
      <c r="M252" s="266"/>
      <c r="N252" s="172" t="str">
        <f>IF(M252="","",IF(VLOOKUP(M252,'G-3 Multipliers'!$S$3:$T$6,2,FALSE)=0,"Spatial Data Missing",VLOOKUP(M252,'G-3 Multipliers'!$S$3:$T$6,2,FALSE)))</f>
        <v/>
      </c>
      <c r="O252" s="171" t="str">
        <f>IF(OR(D252="",H252=""),"",(INDEX('G-6 Hedgerow Data'!$E$3:$I$15,MATCH(D252,'G-6 Hedgerow Data'!$B$3:$B$15,0),MATCH(H252,'G-6 Hedgerow Data'!$E$2:$I$2,0))))</f>
        <v/>
      </c>
      <c r="P252" s="261"/>
      <c r="Q252" s="261"/>
      <c r="R252" s="179" t="str">
        <f t="shared" si="19"/>
        <v/>
      </c>
      <c r="S252" s="262" t="str">
        <f t="shared" si="20"/>
        <v/>
      </c>
      <c r="T252" s="263" t="str">
        <f t="shared" si="18"/>
        <v/>
      </c>
      <c r="U252" s="239" t="str">
        <f>IF(D252="","",VLOOKUP(D252,'G-6 Hedgerow Data'!$B$3:$AG$15,31,FALSE))</f>
        <v/>
      </c>
      <c r="V252" s="175" t="str">
        <f t="shared" si="21"/>
        <v/>
      </c>
      <c r="W252" s="175" t="str">
        <f t="shared" si="22"/>
        <v/>
      </c>
      <c r="X252" s="176" t="str">
        <f>IF(F252="","",VLOOKUP(U252,'G-3 Multipliers'!$P$3:$Q$6,2,FALSE))</f>
        <v/>
      </c>
      <c r="Y252" s="274" t="str">
        <f t="shared" si="23"/>
        <v/>
      </c>
      <c r="Z252" s="180"/>
      <c r="AA252" s="181"/>
      <c r="AG252" s="35" t="str">
        <f>IFERROR(INDEX('G-6 Hedgerow Data'!$BJ$3:$BJ$15,MATCH(D252,'G-6 Hedgerow Data'!$B$3:$B$15,0)),"")</f>
        <v/>
      </c>
    </row>
    <row r="253" spans="2:33" ht="15" customHeight="1" x14ac:dyDescent="0.25">
      <c r="B253" s="128">
        <v>242</v>
      </c>
      <c r="C253" s="394"/>
      <c r="D253" s="275"/>
      <c r="E253" s="275"/>
      <c r="F253" s="171" t="str">
        <f>IF(D253="","",VLOOKUP(D253,'G-6 Hedgerow Data'!$B$2:$AG$15,2,FALSE))</f>
        <v/>
      </c>
      <c r="G253" s="176" t="str">
        <f>IF(D253="","",VLOOKUP(D253,'G-6 Hedgerow Data'!$B$2:$AG$15,3,FALSE))</f>
        <v/>
      </c>
      <c r="H253" s="189"/>
      <c r="I253" s="172" t="str">
        <f>IFERROR(IF(AND(F253="V.Low",OR(H253="Good",H253="Moderate")),"Error",VLOOKUP(H253,'G-1 All Habitats'!$Z$2:$AA$9,2,FALSE)),"")</f>
        <v/>
      </c>
      <c r="J253" s="186"/>
      <c r="K253" s="175" t="str">
        <f>IF(J253="","",IF(VLOOKUP(J253,'G-3 Multipliers'!$L$3:$N$6,2,FALSE)=0,"Spatial Data Missing",VLOOKUP(J253,'G-3 Multipliers'!$L$3:$N$6,2,FALSE)))</f>
        <v/>
      </c>
      <c r="L253" s="176" t="str">
        <f>IF(J253="","",IF(VLOOKUP(J253,'G-3 Multipliers'!$L$3:$N$6,3,FALSE)=0,"Spatial Data Missing",VLOOKUP(J253,'G-3 Multipliers'!$L$3:$N$6,3,FALSE)))</f>
        <v/>
      </c>
      <c r="M253" s="266"/>
      <c r="N253" s="172" t="str">
        <f>IF(M253="","",IF(VLOOKUP(M253,'G-3 Multipliers'!$S$3:$T$6,2,FALSE)=0,"Spatial Data Missing",VLOOKUP(M253,'G-3 Multipliers'!$S$3:$T$6,2,FALSE)))</f>
        <v/>
      </c>
      <c r="O253" s="171" t="str">
        <f>IF(OR(D253="",H253=""),"",(INDEX('G-6 Hedgerow Data'!$E$3:$I$15,MATCH(D253,'G-6 Hedgerow Data'!$B$3:$B$15,0),MATCH(H253,'G-6 Hedgerow Data'!$E$2:$I$2,0))))</f>
        <v/>
      </c>
      <c r="P253" s="261"/>
      <c r="Q253" s="261"/>
      <c r="R253" s="179" t="str">
        <f t="shared" si="19"/>
        <v/>
      </c>
      <c r="S253" s="262" t="str">
        <f t="shared" si="20"/>
        <v/>
      </c>
      <c r="T253" s="263" t="str">
        <f t="shared" si="18"/>
        <v/>
      </c>
      <c r="U253" s="239" t="str">
        <f>IF(D253="","",VLOOKUP(D253,'G-6 Hedgerow Data'!$B$3:$AG$15,31,FALSE))</f>
        <v/>
      </c>
      <c r="V253" s="175" t="str">
        <f t="shared" si="21"/>
        <v/>
      </c>
      <c r="W253" s="175" t="str">
        <f t="shared" si="22"/>
        <v/>
      </c>
      <c r="X253" s="176" t="str">
        <f>IF(F253="","",VLOOKUP(U253,'G-3 Multipliers'!$P$3:$Q$6,2,FALSE))</f>
        <v/>
      </c>
      <c r="Y253" s="274" t="str">
        <f t="shared" si="23"/>
        <v/>
      </c>
      <c r="Z253" s="180"/>
      <c r="AA253" s="181"/>
      <c r="AG253" s="35" t="str">
        <f>IFERROR(INDEX('G-6 Hedgerow Data'!$BJ$3:$BJ$15,MATCH(D253,'G-6 Hedgerow Data'!$B$3:$B$15,0)),"")</f>
        <v/>
      </c>
    </row>
    <row r="254" spans="2:33" ht="15" customHeight="1" x14ac:dyDescent="0.25">
      <c r="B254" s="128">
        <v>243</v>
      </c>
      <c r="C254" s="394"/>
      <c r="D254" s="275"/>
      <c r="E254" s="275"/>
      <c r="F254" s="171" t="str">
        <f>IF(D254="","",VLOOKUP(D254,'G-6 Hedgerow Data'!$B$2:$AG$15,2,FALSE))</f>
        <v/>
      </c>
      <c r="G254" s="176" t="str">
        <f>IF(D254="","",VLOOKUP(D254,'G-6 Hedgerow Data'!$B$2:$AG$15,3,FALSE))</f>
        <v/>
      </c>
      <c r="H254" s="189"/>
      <c r="I254" s="172" t="str">
        <f>IFERROR(IF(AND(F254="V.Low",OR(H254="Good",H254="Moderate")),"Error",VLOOKUP(H254,'G-1 All Habitats'!$Z$2:$AA$9,2,FALSE)),"")</f>
        <v/>
      </c>
      <c r="J254" s="186"/>
      <c r="K254" s="175" t="str">
        <f>IF(J254="","",IF(VLOOKUP(J254,'G-3 Multipliers'!$L$3:$N$6,2,FALSE)=0,"Spatial Data Missing",VLOOKUP(J254,'G-3 Multipliers'!$L$3:$N$6,2,FALSE)))</f>
        <v/>
      </c>
      <c r="L254" s="176" t="str">
        <f>IF(J254="","",IF(VLOOKUP(J254,'G-3 Multipliers'!$L$3:$N$6,3,FALSE)=0,"Spatial Data Missing",VLOOKUP(J254,'G-3 Multipliers'!$L$3:$N$6,3,FALSE)))</f>
        <v/>
      </c>
      <c r="M254" s="266"/>
      <c r="N254" s="172" t="str">
        <f>IF(M254="","",IF(VLOOKUP(M254,'G-3 Multipliers'!$S$3:$T$6,2,FALSE)=0,"Spatial Data Missing",VLOOKUP(M254,'G-3 Multipliers'!$S$3:$T$6,2,FALSE)))</f>
        <v/>
      </c>
      <c r="O254" s="171" t="str">
        <f>IF(OR(D254="",H254=""),"",(INDEX('G-6 Hedgerow Data'!$E$3:$I$15,MATCH(D254,'G-6 Hedgerow Data'!$B$3:$B$15,0),MATCH(H254,'G-6 Hedgerow Data'!$E$2:$I$2,0))))</f>
        <v/>
      </c>
      <c r="P254" s="261"/>
      <c r="Q254" s="261"/>
      <c r="R254" s="179" t="str">
        <f t="shared" si="19"/>
        <v/>
      </c>
      <c r="S254" s="262" t="str">
        <f t="shared" si="20"/>
        <v/>
      </c>
      <c r="T254" s="263" t="str">
        <f t="shared" si="18"/>
        <v/>
      </c>
      <c r="U254" s="239" t="str">
        <f>IF(D254="","",VLOOKUP(D254,'G-6 Hedgerow Data'!$B$3:$AG$15,31,FALSE))</f>
        <v/>
      </c>
      <c r="V254" s="175" t="str">
        <f t="shared" si="21"/>
        <v/>
      </c>
      <c r="W254" s="175" t="str">
        <f t="shared" si="22"/>
        <v/>
      </c>
      <c r="X254" s="176" t="str">
        <f>IF(F254="","",VLOOKUP(U254,'G-3 Multipliers'!$P$3:$Q$6,2,FALSE))</f>
        <v/>
      </c>
      <c r="Y254" s="274" t="str">
        <f t="shared" si="23"/>
        <v/>
      </c>
      <c r="Z254" s="180"/>
      <c r="AA254" s="181"/>
      <c r="AG254" s="35" t="str">
        <f>IFERROR(INDEX('G-6 Hedgerow Data'!$BJ$3:$BJ$15,MATCH(D254,'G-6 Hedgerow Data'!$B$3:$B$15,0)),"")</f>
        <v/>
      </c>
    </row>
    <row r="255" spans="2:33" ht="15" customHeight="1" x14ac:dyDescent="0.25">
      <c r="B255" s="128">
        <v>244</v>
      </c>
      <c r="C255" s="394"/>
      <c r="D255" s="275"/>
      <c r="E255" s="275"/>
      <c r="F255" s="171" t="str">
        <f>IF(D255="","",VLOOKUP(D255,'G-6 Hedgerow Data'!$B$2:$AG$15,2,FALSE))</f>
        <v/>
      </c>
      <c r="G255" s="176" t="str">
        <f>IF(D255="","",VLOOKUP(D255,'G-6 Hedgerow Data'!$B$2:$AG$15,3,FALSE))</f>
        <v/>
      </c>
      <c r="H255" s="189"/>
      <c r="I255" s="172" t="str">
        <f>IFERROR(IF(AND(F255="V.Low",OR(H255="Good",H255="Moderate")),"Error",VLOOKUP(H255,'G-1 All Habitats'!$Z$2:$AA$9,2,FALSE)),"")</f>
        <v/>
      </c>
      <c r="J255" s="186"/>
      <c r="K255" s="175" t="str">
        <f>IF(J255="","",IF(VLOOKUP(J255,'G-3 Multipliers'!$L$3:$N$6,2,FALSE)=0,"Spatial Data Missing",VLOOKUP(J255,'G-3 Multipliers'!$L$3:$N$6,2,FALSE)))</f>
        <v/>
      </c>
      <c r="L255" s="176" t="str">
        <f>IF(J255="","",IF(VLOOKUP(J255,'G-3 Multipliers'!$L$3:$N$6,3,FALSE)=0,"Spatial Data Missing",VLOOKUP(J255,'G-3 Multipliers'!$L$3:$N$6,3,FALSE)))</f>
        <v/>
      </c>
      <c r="M255" s="266"/>
      <c r="N255" s="172" t="str">
        <f>IF(M255="","",IF(VLOOKUP(M255,'G-3 Multipliers'!$S$3:$T$6,2,FALSE)=0,"Spatial Data Missing",VLOOKUP(M255,'G-3 Multipliers'!$S$3:$T$6,2,FALSE)))</f>
        <v/>
      </c>
      <c r="O255" s="171" t="str">
        <f>IF(OR(D255="",H255=""),"",(INDEX('G-6 Hedgerow Data'!$E$3:$I$15,MATCH(D255,'G-6 Hedgerow Data'!$B$3:$B$15,0),MATCH(H255,'G-6 Hedgerow Data'!$E$2:$I$2,0))))</f>
        <v/>
      </c>
      <c r="P255" s="261"/>
      <c r="Q255" s="261"/>
      <c r="R255" s="179" t="str">
        <f t="shared" si="19"/>
        <v/>
      </c>
      <c r="S255" s="262" t="str">
        <f t="shared" si="20"/>
        <v/>
      </c>
      <c r="T255" s="263" t="str">
        <f t="shared" si="18"/>
        <v/>
      </c>
      <c r="U255" s="239" t="str">
        <f>IF(D255="","",VLOOKUP(D255,'G-6 Hedgerow Data'!$B$3:$AG$15,31,FALSE))</f>
        <v/>
      </c>
      <c r="V255" s="175" t="str">
        <f t="shared" si="21"/>
        <v/>
      </c>
      <c r="W255" s="175" t="str">
        <f t="shared" si="22"/>
        <v/>
      </c>
      <c r="X255" s="176" t="str">
        <f>IF(F255="","",VLOOKUP(U255,'G-3 Multipliers'!$P$3:$Q$6,2,FALSE))</f>
        <v/>
      </c>
      <c r="Y255" s="274" t="str">
        <f t="shared" si="23"/>
        <v/>
      </c>
      <c r="Z255" s="180"/>
      <c r="AA255" s="181"/>
      <c r="AG255" s="35" t="str">
        <f>IFERROR(INDEX('G-6 Hedgerow Data'!$BJ$3:$BJ$15,MATCH(D255,'G-6 Hedgerow Data'!$B$3:$B$15,0)),"")</f>
        <v/>
      </c>
    </row>
    <row r="256" spans="2:33" ht="15" customHeight="1" x14ac:dyDescent="0.25">
      <c r="B256" s="128">
        <v>245</v>
      </c>
      <c r="C256" s="394"/>
      <c r="D256" s="275"/>
      <c r="E256" s="275"/>
      <c r="F256" s="171" t="str">
        <f>IF(D256="","",VLOOKUP(D256,'G-6 Hedgerow Data'!$B$2:$AG$15,2,FALSE))</f>
        <v/>
      </c>
      <c r="G256" s="176" t="str">
        <f>IF(D256="","",VLOOKUP(D256,'G-6 Hedgerow Data'!$B$2:$AG$15,3,FALSE))</f>
        <v/>
      </c>
      <c r="H256" s="189"/>
      <c r="I256" s="172" t="str">
        <f>IFERROR(IF(AND(F256="V.Low",OR(H256="Good",H256="Moderate")),"Error",VLOOKUP(H256,'G-1 All Habitats'!$Z$2:$AA$9,2,FALSE)),"")</f>
        <v/>
      </c>
      <c r="J256" s="186"/>
      <c r="K256" s="175" t="str">
        <f>IF(J256="","",IF(VLOOKUP(J256,'G-3 Multipliers'!$L$3:$N$6,2,FALSE)=0,"Spatial Data Missing",VLOOKUP(J256,'G-3 Multipliers'!$L$3:$N$6,2,FALSE)))</f>
        <v/>
      </c>
      <c r="L256" s="176" t="str">
        <f>IF(J256="","",IF(VLOOKUP(J256,'G-3 Multipliers'!$L$3:$N$6,3,FALSE)=0,"Spatial Data Missing",VLOOKUP(J256,'G-3 Multipliers'!$L$3:$N$6,3,FALSE)))</f>
        <v/>
      </c>
      <c r="M256" s="266"/>
      <c r="N256" s="172" t="str">
        <f>IF(M256="","",IF(VLOOKUP(M256,'G-3 Multipliers'!$S$3:$T$6,2,FALSE)=0,"Spatial Data Missing",VLOOKUP(M256,'G-3 Multipliers'!$S$3:$T$6,2,FALSE)))</f>
        <v/>
      </c>
      <c r="O256" s="171" t="str">
        <f>IF(OR(D256="",H256=""),"",(INDEX('G-6 Hedgerow Data'!$E$3:$I$15,MATCH(D256,'G-6 Hedgerow Data'!$B$3:$B$15,0),MATCH(H256,'G-6 Hedgerow Data'!$E$2:$I$2,0))))</f>
        <v/>
      </c>
      <c r="P256" s="261"/>
      <c r="Q256" s="261"/>
      <c r="R256" s="179" t="str">
        <f t="shared" si="19"/>
        <v/>
      </c>
      <c r="S256" s="262" t="str">
        <f t="shared" si="20"/>
        <v/>
      </c>
      <c r="T256" s="263" t="str">
        <f t="shared" si="18"/>
        <v/>
      </c>
      <c r="U256" s="239" t="str">
        <f>IF(D256="","",VLOOKUP(D256,'G-6 Hedgerow Data'!$B$3:$AG$15,31,FALSE))</f>
        <v/>
      </c>
      <c r="V256" s="175" t="str">
        <f t="shared" si="21"/>
        <v/>
      </c>
      <c r="W256" s="175" t="str">
        <f t="shared" si="22"/>
        <v/>
      </c>
      <c r="X256" s="176" t="str">
        <f>IF(F256="","",VLOOKUP(U256,'G-3 Multipliers'!$P$3:$Q$6,2,FALSE))</f>
        <v/>
      </c>
      <c r="Y256" s="274" t="str">
        <f t="shared" si="23"/>
        <v/>
      </c>
      <c r="Z256" s="180"/>
      <c r="AA256" s="181"/>
      <c r="AG256" s="35" t="str">
        <f>IFERROR(INDEX('G-6 Hedgerow Data'!$BJ$3:$BJ$15,MATCH(D256,'G-6 Hedgerow Data'!$B$3:$B$15,0)),"")</f>
        <v/>
      </c>
    </row>
    <row r="257" spans="2:33" ht="15.75" customHeight="1" x14ac:dyDescent="0.25">
      <c r="B257" s="128">
        <v>246</v>
      </c>
      <c r="C257" s="394"/>
      <c r="D257" s="275"/>
      <c r="E257" s="275"/>
      <c r="F257" s="171" t="str">
        <f>IF(D257="","",VLOOKUP(D257,'G-6 Hedgerow Data'!$B$2:$AG$15,2,FALSE))</f>
        <v/>
      </c>
      <c r="G257" s="176" t="str">
        <f>IF(D257="","",VLOOKUP(D257,'G-6 Hedgerow Data'!$B$2:$AG$15,3,FALSE))</f>
        <v/>
      </c>
      <c r="H257" s="189"/>
      <c r="I257" s="172" t="str">
        <f>IFERROR(IF(AND(F257="V.Low",OR(H257="Good",H257="Moderate")),"Error",VLOOKUP(H257,'G-1 All Habitats'!$Z$2:$AA$9,2,FALSE)),"")</f>
        <v/>
      </c>
      <c r="J257" s="186"/>
      <c r="K257" s="175" t="str">
        <f>IF(J257="","",IF(VLOOKUP(J257,'G-3 Multipliers'!$L$3:$N$6,2,FALSE)=0,"Spatial Data Missing",VLOOKUP(J257,'G-3 Multipliers'!$L$3:$N$6,2,FALSE)))</f>
        <v/>
      </c>
      <c r="L257" s="176" t="str">
        <f>IF(J257="","",IF(VLOOKUP(J257,'G-3 Multipliers'!$L$3:$N$6,3,FALSE)=0,"Spatial Data Missing",VLOOKUP(J257,'G-3 Multipliers'!$L$3:$N$6,3,FALSE)))</f>
        <v/>
      </c>
      <c r="M257" s="266"/>
      <c r="N257" s="172" t="str">
        <f>IF(M257="","",IF(VLOOKUP(M257,'G-3 Multipliers'!$S$3:$T$6,2,FALSE)=0,"Spatial Data Missing",VLOOKUP(M257,'G-3 Multipliers'!$S$3:$T$6,2,FALSE)))</f>
        <v/>
      </c>
      <c r="O257" s="171" t="str">
        <f>IF(OR(D257="",H257=""),"",(INDEX('G-6 Hedgerow Data'!$E$3:$I$15,MATCH(D257,'G-6 Hedgerow Data'!$B$3:$B$15,0),MATCH(H257,'G-6 Hedgerow Data'!$E$2:$I$2,0))))</f>
        <v/>
      </c>
      <c r="P257" s="261"/>
      <c r="Q257" s="261"/>
      <c r="R257" s="179" t="str">
        <f t="shared" si="19"/>
        <v/>
      </c>
      <c r="S257" s="262" t="str">
        <f t="shared" si="20"/>
        <v/>
      </c>
      <c r="T257" s="263" t="str">
        <f t="shared" si="18"/>
        <v/>
      </c>
      <c r="U257" s="239" t="str">
        <f>IF(D257="","",VLOOKUP(D257,'G-6 Hedgerow Data'!$B$3:$AG$15,31,FALSE))</f>
        <v/>
      </c>
      <c r="V257" s="175" t="str">
        <f t="shared" si="21"/>
        <v/>
      </c>
      <c r="W257" s="175" t="str">
        <f t="shared" si="22"/>
        <v/>
      </c>
      <c r="X257" s="176" t="str">
        <f>IF(F257="","",VLOOKUP(U257,'G-3 Multipliers'!$P$3:$Q$6,2,FALSE))</f>
        <v/>
      </c>
      <c r="Y257" s="274" t="str">
        <f t="shared" si="23"/>
        <v/>
      </c>
      <c r="Z257" s="180"/>
      <c r="AA257" s="181"/>
      <c r="AG257" s="35" t="str">
        <f>IFERROR(INDEX('G-6 Hedgerow Data'!$BJ$3:$BJ$15,MATCH(D257,'G-6 Hedgerow Data'!$B$3:$B$15,0)),"")</f>
        <v/>
      </c>
    </row>
    <row r="258" spans="2:33" ht="13.8" x14ac:dyDescent="0.25">
      <c r="B258" s="128">
        <v>247</v>
      </c>
      <c r="C258" s="394"/>
      <c r="D258" s="275"/>
      <c r="E258" s="275"/>
      <c r="F258" s="171" t="str">
        <f>IF(D258="","",VLOOKUP(D258,'G-6 Hedgerow Data'!$B$2:$AG$15,2,FALSE))</f>
        <v/>
      </c>
      <c r="G258" s="176" t="str">
        <f>IF(D258="","",VLOOKUP(D258,'G-6 Hedgerow Data'!$B$2:$AG$15,3,FALSE))</f>
        <v/>
      </c>
      <c r="H258" s="189"/>
      <c r="I258" s="172" t="str">
        <f>IFERROR(IF(AND(F258="V.Low",OR(H258="Good",H258="Moderate")),"Error",VLOOKUP(H258,'G-1 All Habitats'!$Z$2:$AA$9,2,FALSE)),"")</f>
        <v/>
      </c>
      <c r="J258" s="186"/>
      <c r="K258" s="175" t="str">
        <f>IF(J258="","",IF(VLOOKUP(J258,'G-3 Multipliers'!$L$3:$N$6,2,FALSE)=0,"Spatial Data Missing",VLOOKUP(J258,'G-3 Multipliers'!$L$3:$N$6,2,FALSE)))</f>
        <v/>
      </c>
      <c r="L258" s="176" t="str">
        <f>IF(J258="","",IF(VLOOKUP(J258,'G-3 Multipliers'!$L$3:$N$6,3,FALSE)=0,"Spatial Data Missing",VLOOKUP(J258,'G-3 Multipliers'!$L$3:$N$6,3,FALSE)))</f>
        <v/>
      </c>
      <c r="M258" s="266"/>
      <c r="N258" s="172" t="str">
        <f>IF(M258="","",IF(VLOOKUP(M258,'G-3 Multipliers'!$S$3:$T$6,2,FALSE)=0,"Spatial Data Missing",VLOOKUP(M258,'G-3 Multipliers'!$S$3:$T$6,2,FALSE)))</f>
        <v/>
      </c>
      <c r="O258" s="171" t="str">
        <f>IF(OR(D258="",H258=""),"",(INDEX('G-6 Hedgerow Data'!$E$3:$I$15,MATCH(D258,'G-6 Hedgerow Data'!$B$3:$B$15,0),MATCH(H258,'G-6 Hedgerow Data'!$E$2:$I$2,0))))</f>
        <v/>
      </c>
      <c r="P258" s="261"/>
      <c r="Q258" s="261"/>
      <c r="R258" s="179" t="str">
        <f t="shared" si="19"/>
        <v/>
      </c>
      <c r="S258" s="262" t="str">
        <f t="shared" si="20"/>
        <v/>
      </c>
      <c r="T258" s="263" t="str">
        <f t="shared" si="18"/>
        <v/>
      </c>
      <c r="U258" s="239" t="str">
        <f>IF(D258="","",VLOOKUP(D258,'G-6 Hedgerow Data'!$B$3:$AG$15,31,FALSE))</f>
        <v/>
      </c>
      <c r="V258" s="175" t="str">
        <f t="shared" si="21"/>
        <v/>
      </c>
      <c r="W258" s="175" t="str">
        <f t="shared" si="22"/>
        <v/>
      </c>
      <c r="X258" s="176" t="str">
        <f>IF(F258="","",VLOOKUP(U258,'G-3 Multipliers'!$P$3:$Q$6,2,FALSE))</f>
        <v/>
      </c>
      <c r="Y258" s="274" t="str">
        <f t="shared" si="23"/>
        <v/>
      </c>
      <c r="Z258" s="180"/>
      <c r="AA258" s="181"/>
      <c r="AG258" s="35" t="str">
        <f>IFERROR(INDEX('G-6 Hedgerow Data'!$BJ$3:$BJ$15,MATCH(D258,'G-6 Hedgerow Data'!$B$3:$B$15,0)),"")</f>
        <v/>
      </c>
    </row>
    <row r="259" spans="2:33" ht="14.4" thickBot="1" x14ac:dyDescent="0.3">
      <c r="B259" s="258">
        <v>248</v>
      </c>
      <c r="C259" s="395"/>
      <c r="D259" s="279"/>
      <c r="E259" s="279"/>
      <c r="F259" s="248" t="str">
        <f>IF(D259="","",VLOOKUP(D259,'G-6 Hedgerow Data'!$B$2:$AG$15,2,FALSE))</f>
        <v/>
      </c>
      <c r="G259" s="176" t="str">
        <f>IF(D259="","",VLOOKUP(D259,'G-6 Hedgerow Data'!$B$2:$AG$15,3,FALSE))</f>
        <v/>
      </c>
      <c r="H259" s="396"/>
      <c r="I259" s="195" t="str">
        <f>IFERROR(IF(AND(F259="V.Low",OR(H259="Good",H259="Moderate")),"Error",VLOOKUP(H259,'G-1 All Habitats'!$Z$2:$AA$9,2,FALSE)),"")</f>
        <v/>
      </c>
      <c r="J259" s="193"/>
      <c r="K259" s="194" t="str">
        <f>IF(J259="","",IF(VLOOKUP(J259,'G-3 Multipliers'!$L$3:$N$6,2,FALSE)=0,"Spatial Data Missing",VLOOKUP(J259,'G-3 Multipliers'!$L$3:$N$6,2,FALSE)))</f>
        <v/>
      </c>
      <c r="L259" s="195" t="str">
        <f>IF(J259="","",IF(VLOOKUP(J259,'G-3 Multipliers'!$L$3:$N$6,3,FALSE)=0,"Spatial Data Missing",VLOOKUP(J259,'G-3 Multipliers'!$L$3:$N$6,3,FALSE)))</f>
        <v/>
      </c>
      <c r="M259" s="397"/>
      <c r="N259" s="195" t="str">
        <f>IF(M259="","",IF(VLOOKUP(M259,'G-3 Multipliers'!$S$3:$T$6,2,FALSE)=0,"Spatial Data Missing",VLOOKUP(M259,'G-3 Multipliers'!$S$3:$T$6,2,FALSE)))</f>
        <v/>
      </c>
      <c r="O259" s="248" t="str">
        <f>IF(OR(D259="",H259=""),"",(INDEX('G-6 Hedgerow Data'!$E$3:$I$15,MATCH(D259,'G-6 Hedgerow Data'!$B$3:$B$15,0),MATCH(H259,'G-6 Hedgerow Data'!$E$2:$I$2,0))))</f>
        <v/>
      </c>
      <c r="P259" s="261"/>
      <c r="Q259" s="279"/>
      <c r="R259" s="194" t="str">
        <f t="shared" si="19"/>
        <v/>
      </c>
      <c r="S259" s="262" t="str">
        <f t="shared" si="20"/>
        <v/>
      </c>
      <c r="T259" s="263" t="str">
        <f t="shared" si="18"/>
        <v/>
      </c>
      <c r="U259" s="248" t="str">
        <f>IF(D259="","",VLOOKUP(D259,'G-6 Hedgerow Data'!$B$3:$AG$15,31,FALSE))</f>
        <v/>
      </c>
      <c r="V259" s="650" t="str">
        <f t="shared" si="21"/>
        <v/>
      </c>
      <c r="W259" s="650" t="str">
        <f t="shared" si="22"/>
        <v/>
      </c>
      <c r="X259" s="651" t="str">
        <f>IF(F259="","",VLOOKUP(U259,'G-3 Multipliers'!$P$3:$Q$6,2,FALSE))</f>
        <v/>
      </c>
      <c r="Y259" s="399" t="str">
        <f t="shared" si="23"/>
        <v/>
      </c>
      <c r="Z259" s="197"/>
      <c r="AA259" s="198"/>
      <c r="AG259" s="35" t="str">
        <f>IFERROR(INDEX('G-6 Hedgerow Data'!$BJ$3:$BJ$15,MATCH(D259,'G-6 Hedgerow Data'!$B$3:$B$15,0)),"")</f>
        <v/>
      </c>
    </row>
    <row r="260" spans="2:33" ht="14.4" thickBot="1" x14ac:dyDescent="0.3">
      <c r="B260" s="51"/>
      <c r="C260" s="51"/>
      <c r="D260" s="413"/>
      <c r="E260" s="200">
        <f>SUM(E12:E259)</f>
        <v>0</v>
      </c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1042"/>
      <c r="X260" s="1042"/>
      <c r="Y260" s="200">
        <f>SUM(Y12:Y259)</f>
        <v>0</v>
      </c>
      <c r="Z260" s="51"/>
      <c r="AA260" s="51"/>
    </row>
    <row r="261" spans="2:33" ht="28.95" customHeight="1" x14ac:dyDescent="0.25">
      <c r="E261" s="1019"/>
      <c r="F261" s="1019"/>
      <c r="G261" s="1019"/>
      <c r="H261" s="1019"/>
      <c r="I261" s="1019"/>
      <c r="J261" s="1019"/>
    </row>
    <row r="262" spans="2:33" ht="27" customHeight="1" x14ac:dyDescent="0.25"/>
    <row r="263" spans="2:33" ht="13.8" x14ac:dyDescent="0.25"/>
    <row r="264" spans="2:33" ht="13.8" x14ac:dyDescent="0.25"/>
    <row r="265" spans="2:33" ht="13.8" x14ac:dyDescent="0.25"/>
    <row r="266" spans="2:33" ht="13.8" hidden="1" x14ac:dyDescent="0.25"/>
    <row r="267" spans="2:33" ht="13.8" hidden="1" x14ac:dyDescent="0.25"/>
    <row r="268" spans="2:33" ht="13.8" hidden="1" x14ac:dyDescent="0.25"/>
  </sheetData>
  <sheetProtection algorithmName="SHA-512" hashValue="GIdWjKgvWvEKiKyh3OieAouENQB7cSUqPfexboDz7wUJeNteiRqPLtsvsV71mTbAjs0mkdoR18GyzvjxEFhDkA==" saltValue="+c+Qfua65C6WkNViwU1ffw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4">
    <mergeCell ref="B2:E2"/>
    <mergeCell ref="B3:E4"/>
    <mergeCell ref="D10:E10"/>
    <mergeCell ref="M10:N10"/>
    <mergeCell ref="O10:T10"/>
    <mergeCell ref="F10:G10"/>
    <mergeCell ref="H10:I10"/>
    <mergeCell ref="O2:T5"/>
    <mergeCell ref="W260:X260"/>
    <mergeCell ref="E261:J261"/>
    <mergeCell ref="Y10:Y11"/>
    <mergeCell ref="Z10:AA10"/>
    <mergeCell ref="J10:L10"/>
    <mergeCell ref="U10:X10"/>
  </mergeCells>
  <conditionalFormatting sqref="Y12">
    <cfRule type="containsText" dxfId="84" priority="16" operator="containsText" text="Existing Value Not Required">
      <formula>NOT(ISERROR(SEARCH("Existing Value Not Required",Y12)))</formula>
    </cfRule>
    <cfRule type="containsText" dxfId="83" priority="17" operator="containsText" text="Existing Value Required">
      <formula>NOT(ISERROR(SEARCH("Existing Value Required",Y12)))</formula>
    </cfRule>
  </conditionalFormatting>
  <conditionalFormatting sqref="M12:M16">
    <cfRule type="containsText" dxfId="82" priority="12" operator="containsText" text="Existing Value Not Required">
      <formula>NOT(ISERROR(SEARCH("Existing Value Not Required",M12)))</formula>
    </cfRule>
    <cfRule type="containsText" dxfId="81" priority="13" operator="containsText" text="Existing Value Required">
      <formula>NOT(ISERROR(SEARCH("Existing Value Required",M12)))</formula>
    </cfRule>
  </conditionalFormatting>
  <conditionalFormatting sqref="Y13:Y259">
    <cfRule type="containsText" dxfId="80" priority="10" operator="containsText" text="Existing Value Not Required">
      <formula>NOT(ISERROR(SEARCH("Existing Value Not Required",Y13)))</formula>
    </cfRule>
    <cfRule type="containsText" dxfId="79" priority="11" operator="containsText" text="Existing Value Required">
      <formula>NOT(ISERROR(SEARCH("Existing Value Required",Y13)))</formula>
    </cfRule>
  </conditionalFormatting>
  <conditionalFormatting sqref="M13:M259">
    <cfRule type="containsText" dxfId="78" priority="8" operator="containsText" text="Existing Value Not Required">
      <formula>NOT(ISERROR(SEARCH("Existing Value Not Required",M13)))</formula>
    </cfRule>
    <cfRule type="containsText" dxfId="77" priority="9" operator="containsText" text="Existing Value Required">
      <formula>NOT(ISERROR(SEARCH("Existing Value Required",M13)))</formula>
    </cfRule>
  </conditionalFormatting>
  <conditionalFormatting sqref="I12:Y259">
    <cfRule type="containsText" dxfId="76" priority="7" operator="containsText" text="Error">
      <formula>NOT(ISERROR(SEARCH("Error",I12)))</formula>
    </cfRule>
  </conditionalFormatting>
  <conditionalFormatting sqref="K12:L259">
    <cfRule type="containsText" dxfId="75" priority="6" operator="containsText" text="Spatial">
      <formula>NOT(ISERROR(SEARCH("Spatial",K12)))</formula>
    </cfRule>
  </conditionalFormatting>
  <conditionalFormatting sqref="N12:N259">
    <cfRule type="containsText" dxfId="74" priority="5" operator="containsText" text="Spatial">
      <formula>NOT(ISERROR(SEARCH("Spatial",N12)))</formula>
    </cfRule>
  </conditionalFormatting>
  <conditionalFormatting sqref="O6:S6 O2">
    <cfRule type="containsText" dxfId="73" priority="4" operator="containsText" text="Note">
      <formula>NOT(ISERROR(SEARCH("Note",O2)))</formula>
    </cfRule>
  </conditionalFormatting>
  <conditionalFormatting sqref="R12:Y259">
    <cfRule type="containsText" dxfId="72" priority="3" operator="containsText" text="Check">
      <formula>NOT(ISERROR(SEARCH("Check",R12)))</formula>
    </cfRule>
  </conditionalFormatting>
  <conditionalFormatting sqref="V12:V259">
    <cfRule type="beginsWith" dxfId="71" priority="2" operator="beginsWith" text="No">
      <formula>LEFT(V12,LEN("No"))="No"</formula>
    </cfRule>
  </conditionalFormatting>
  <conditionalFormatting sqref="E261:J261">
    <cfRule type="containsText" dxfId="70" priority="1" operator="containsText" text="Check">
      <formula>NOT(ISERROR(SEARCH("Check",E261)))</formula>
    </cfRule>
  </conditionalFormatting>
  <dataValidations count="1">
    <dataValidation type="list" allowBlank="1" showInputMessage="1" showErrorMessage="1" sqref="H12:H259" xr:uid="{00000000-0002-0000-1300-000000000000}">
      <formula1>INDIRECT(AG12)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1300-000001000000}">
          <x14:formula1>
            <xm:f>'G-6 Hedgerow Data'!$B$3:$B$15</xm:f>
          </x14:formula1>
          <xm:sqref>D12:D259</xm:sqref>
        </x14:dataValidation>
        <x14:dataValidation type="list" allowBlank="1" showInputMessage="1" showErrorMessage="1" xr:uid="{00000000-0002-0000-1300-000002000000}">
          <x14:formula1>
            <xm:f>'G-3 Multipliers'!$L$4:$L$6</xm:f>
          </x14:formula1>
          <xm:sqref>J12:J259</xm:sqref>
        </x14:dataValidation>
        <x14:dataValidation type="list" allowBlank="1" showInputMessage="1" showErrorMessage="1" xr:uid="{00000000-0002-0000-1300-000003000000}">
          <x14:formula1>
            <xm:f>'G-3 Multipliers'!$S$4:$S$6</xm:f>
          </x14:formula1>
          <xm:sqref>M12:M259</xm:sqref>
        </x14:dataValidation>
        <x14:dataValidation type="list" allowBlank="1" showInputMessage="1" showErrorMessage="1" xr:uid="{00000000-0002-0000-1300-000004000000}">
          <x14:formula1>
            <xm:f>'G-4 Temporal multipliers'!$A$41:$A$72</xm:f>
          </x14:formula1>
          <xm:sqref>P12:Q259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1">
    <tabColor theme="0" tint="-0.249977111117893"/>
  </sheetPr>
  <dimension ref="A1:AC60"/>
  <sheetViews>
    <sheetView showGridLines="0" showRowColHeaders="0" tabSelected="1" zoomScale="80" zoomScaleNormal="80" workbookViewId="0">
      <selection activeCell="D9" sqref="D9:J10"/>
    </sheetView>
  </sheetViews>
  <sheetFormatPr defaultColWidth="0" defaultRowHeight="0" customHeight="1" zeroHeight="1" x14ac:dyDescent="0.25"/>
  <cols>
    <col min="1" max="2" width="2.109375" style="11" customWidth="1"/>
    <col min="3" max="3" width="3" style="11" customWidth="1"/>
    <col min="4" max="4" width="10.5546875" style="11" customWidth="1"/>
    <col min="5" max="5" width="33.88671875" style="11" customWidth="1"/>
    <col min="6" max="6" width="14.6640625" style="11" customWidth="1"/>
    <col min="7" max="7" width="9.109375" style="11" customWidth="1"/>
    <col min="8" max="8" width="7.88671875" style="11" customWidth="1"/>
    <col min="9" max="9" width="35.33203125" style="11" customWidth="1"/>
    <col min="10" max="10" width="13.88671875" style="11" customWidth="1"/>
    <col min="11" max="11" width="2.88671875" style="11" customWidth="1"/>
    <col min="12" max="12" width="1.5546875" style="11" customWidth="1"/>
    <col min="13" max="13" width="4.109375" style="11" customWidth="1"/>
    <col min="14" max="14" width="4.33203125" style="11" customWidth="1"/>
    <col min="15" max="15" width="5.6640625" style="11" customWidth="1"/>
    <col min="16" max="16" width="9.109375" style="11" customWidth="1"/>
    <col min="17" max="17" width="34.5546875" style="11" customWidth="1"/>
    <col min="18" max="18" width="13.6640625" style="11" bestFit="1" customWidth="1"/>
    <col min="19" max="19" width="19.33203125" style="11" customWidth="1"/>
    <col min="20" max="28" width="9.109375" style="11" customWidth="1"/>
    <col min="29" max="29" width="0" style="11" hidden="1" customWidth="1"/>
    <col min="30" max="16384" width="9.109375" style="11" hidden="1"/>
  </cols>
  <sheetData>
    <row r="1" spans="1:19" ht="15.6" customHeight="1" x14ac:dyDescent="0.5">
      <c r="B1" s="12"/>
      <c r="C1" s="12"/>
      <c r="E1" s="13"/>
      <c r="F1" s="717"/>
      <c r="G1" s="717"/>
      <c r="H1" s="717"/>
      <c r="I1" s="717"/>
      <c r="J1" s="717"/>
      <c r="K1" s="718"/>
      <c r="L1" s="718"/>
      <c r="M1" s="718"/>
      <c r="N1" s="718"/>
      <c r="O1" s="718"/>
      <c r="P1" s="718"/>
    </row>
    <row r="2" spans="1:19" ht="15.75" customHeight="1" x14ac:dyDescent="0.5">
      <c r="B2" s="12"/>
      <c r="C2" s="12"/>
      <c r="E2" s="13"/>
    </row>
    <row r="3" spans="1:19" ht="15.75" customHeight="1" x14ac:dyDescent="0.5">
      <c r="A3" s="13"/>
      <c r="B3" s="13"/>
      <c r="C3" s="13"/>
      <c r="D3" s="13"/>
      <c r="E3" s="13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</row>
    <row r="4" spans="1:19" ht="16.5" customHeight="1" x14ac:dyDescent="0.5">
      <c r="A4" s="13"/>
      <c r="B4" s="13"/>
      <c r="C4" s="13"/>
      <c r="D4" s="13"/>
      <c r="E4" s="13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</row>
    <row r="5" spans="1:19" ht="16.5" customHeight="1" x14ac:dyDescent="0.5">
      <c r="A5" s="13"/>
      <c r="B5" s="13"/>
      <c r="C5" s="13"/>
      <c r="D5" s="13"/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6.5" customHeight="1" x14ac:dyDescent="0.5">
      <c r="B6" s="12"/>
      <c r="C6" s="12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6.5" customHeight="1" x14ac:dyDescent="0.5">
      <c r="B7" s="12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23.4" customHeight="1" thickBot="1" x14ac:dyDescent="0.55000000000000004">
      <c r="B8" s="12"/>
      <c r="C8" s="12"/>
      <c r="D8" s="13"/>
      <c r="E8" s="725"/>
      <c r="F8" s="725"/>
      <c r="G8" s="725"/>
      <c r="H8" s="725"/>
      <c r="I8" s="725"/>
      <c r="J8" s="725"/>
      <c r="K8" s="14"/>
      <c r="L8" s="14"/>
      <c r="M8" s="14"/>
      <c r="N8" s="14"/>
      <c r="O8" s="14"/>
      <c r="P8" s="14"/>
      <c r="Q8" s="14"/>
      <c r="R8" s="14"/>
      <c r="S8" s="14"/>
    </row>
    <row r="9" spans="1:19" ht="23.4" customHeight="1" x14ac:dyDescent="0.25">
      <c r="B9" s="12"/>
      <c r="D9" s="734" t="s">
        <v>962</v>
      </c>
      <c r="E9" s="735"/>
      <c r="F9" s="735"/>
      <c r="G9" s="735"/>
      <c r="H9" s="735"/>
      <c r="I9" s="735"/>
      <c r="J9" s="736"/>
      <c r="K9" s="14"/>
      <c r="L9" s="14"/>
      <c r="M9" s="14"/>
      <c r="N9" s="14"/>
      <c r="O9" s="14"/>
      <c r="P9" s="14"/>
      <c r="Q9" s="14"/>
      <c r="R9" s="14"/>
      <c r="S9" s="14"/>
    </row>
    <row r="10" spans="1:19" ht="21.6" customHeight="1" thickBot="1" x14ac:dyDescent="0.3">
      <c r="B10" s="12"/>
      <c r="D10" s="737"/>
      <c r="E10" s="738"/>
      <c r="F10" s="738"/>
      <c r="G10" s="738"/>
      <c r="H10" s="738"/>
      <c r="I10" s="738"/>
      <c r="J10" s="739"/>
      <c r="K10" s="14"/>
      <c r="L10" s="14"/>
      <c r="M10" s="14"/>
      <c r="N10" s="14"/>
      <c r="P10" s="14"/>
      <c r="Q10" s="14"/>
      <c r="R10" s="14"/>
    </row>
    <row r="11" spans="1:19" ht="25.95" customHeight="1" x14ac:dyDescent="0.25">
      <c r="B11" s="12"/>
      <c r="D11" s="720" t="s">
        <v>977</v>
      </c>
      <c r="E11" s="721"/>
      <c r="F11" s="722" t="s">
        <v>612</v>
      </c>
      <c r="G11" s="723"/>
      <c r="H11" s="723"/>
      <c r="I11" s="723"/>
      <c r="J11" s="724"/>
      <c r="K11" s="14"/>
      <c r="L11" s="14"/>
      <c r="M11" s="14"/>
      <c r="N11" s="14"/>
      <c r="P11" s="14"/>
      <c r="Q11" s="14"/>
      <c r="R11" s="14"/>
    </row>
    <row r="12" spans="1:19" ht="24" customHeight="1" x14ac:dyDescent="0.25">
      <c r="B12" s="12"/>
      <c r="D12" s="715" t="s">
        <v>381</v>
      </c>
      <c r="E12" s="716"/>
      <c r="F12" s="740" t="s">
        <v>1518</v>
      </c>
      <c r="G12" s="741"/>
      <c r="H12" s="741"/>
      <c r="I12" s="741"/>
      <c r="J12" s="742"/>
      <c r="K12" s="14"/>
      <c r="L12" s="14"/>
      <c r="M12" s="14"/>
      <c r="N12" s="14"/>
      <c r="P12" s="14"/>
      <c r="Q12" s="14"/>
      <c r="R12" s="14"/>
    </row>
    <row r="13" spans="1:19" ht="21.6" customHeight="1" x14ac:dyDescent="0.25">
      <c r="B13" s="12"/>
      <c r="D13" s="746" t="s">
        <v>795</v>
      </c>
      <c r="E13" s="747"/>
      <c r="F13" s="740" t="s">
        <v>1519</v>
      </c>
      <c r="G13" s="741"/>
      <c r="H13" s="741"/>
      <c r="I13" s="741"/>
      <c r="J13" s="742"/>
      <c r="K13" s="14"/>
      <c r="L13" s="14"/>
      <c r="M13" s="14"/>
      <c r="N13" s="14"/>
      <c r="P13" s="14"/>
      <c r="Q13" s="14"/>
      <c r="R13" s="14"/>
    </row>
    <row r="14" spans="1:19" ht="22.2" customHeight="1" x14ac:dyDescent="0.25">
      <c r="B14" s="12"/>
      <c r="D14" s="715" t="s">
        <v>959</v>
      </c>
      <c r="E14" s="716"/>
      <c r="F14" s="740" t="s">
        <v>1520</v>
      </c>
      <c r="G14" s="741"/>
      <c r="H14" s="741"/>
      <c r="I14" s="741"/>
      <c r="J14" s="742"/>
      <c r="K14" s="14"/>
      <c r="L14" s="14"/>
      <c r="M14" s="14"/>
      <c r="N14" s="14"/>
      <c r="P14" s="14"/>
      <c r="Q14" s="14"/>
      <c r="R14" s="14"/>
    </row>
    <row r="15" spans="1:19" ht="21.6" customHeight="1" x14ac:dyDescent="0.25">
      <c r="B15" s="12"/>
      <c r="D15" s="715" t="s">
        <v>960</v>
      </c>
      <c r="E15" s="716"/>
      <c r="F15" s="740" t="s">
        <v>1521</v>
      </c>
      <c r="G15" s="741"/>
      <c r="H15" s="741"/>
      <c r="I15" s="741"/>
      <c r="J15" s="742"/>
      <c r="K15" s="14"/>
      <c r="L15" s="14"/>
      <c r="M15" s="14"/>
      <c r="N15" s="14"/>
      <c r="P15" s="14"/>
      <c r="Q15" s="14"/>
      <c r="R15" s="14"/>
    </row>
    <row r="16" spans="1:19" ht="21" customHeight="1" x14ac:dyDescent="0.25">
      <c r="D16" s="715" t="s">
        <v>146</v>
      </c>
      <c r="E16" s="716"/>
      <c r="F16" s="740" t="s">
        <v>1522</v>
      </c>
      <c r="G16" s="741"/>
      <c r="H16" s="741"/>
      <c r="I16" s="741"/>
      <c r="J16" s="742"/>
      <c r="K16" s="14"/>
      <c r="L16" s="14"/>
      <c r="M16" s="14"/>
      <c r="N16" s="14"/>
      <c r="P16" s="14"/>
      <c r="Q16" s="14"/>
      <c r="R16" s="14"/>
    </row>
    <row r="17" spans="3:18" ht="23.4" customHeight="1" x14ac:dyDescent="0.25">
      <c r="D17" s="715" t="s">
        <v>841</v>
      </c>
      <c r="E17" s="716"/>
      <c r="F17" s="740" t="s">
        <v>1523</v>
      </c>
      <c r="G17" s="741"/>
      <c r="H17" s="741"/>
      <c r="I17" s="741"/>
      <c r="J17" s="742"/>
      <c r="K17" s="14"/>
      <c r="L17" s="14"/>
      <c r="M17" s="14"/>
      <c r="N17" s="14"/>
      <c r="P17" s="14"/>
      <c r="Q17" s="14"/>
      <c r="R17" s="14"/>
    </row>
    <row r="18" spans="3:18" ht="19.95" customHeight="1" x14ac:dyDescent="0.25">
      <c r="D18" s="715" t="s">
        <v>1441</v>
      </c>
      <c r="E18" s="716"/>
      <c r="F18" s="740">
        <v>3</v>
      </c>
      <c r="G18" s="741"/>
      <c r="H18" s="741"/>
      <c r="I18" s="741"/>
      <c r="J18" s="742"/>
      <c r="K18" s="14"/>
      <c r="L18" s="14"/>
      <c r="M18" s="14"/>
      <c r="N18" s="14"/>
      <c r="P18" s="14"/>
      <c r="Q18" s="14"/>
      <c r="R18" s="14"/>
    </row>
    <row r="19" spans="3:18" ht="19.95" customHeight="1" x14ac:dyDescent="0.25">
      <c r="D19" s="715" t="s">
        <v>961</v>
      </c>
      <c r="E19" s="716"/>
      <c r="F19" s="743" t="s">
        <v>1528</v>
      </c>
      <c r="G19" s="744"/>
      <c r="H19" s="744"/>
      <c r="I19" s="744"/>
      <c r="J19" s="745"/>
      <c r="K19" s="14"/>
      <c r="L19" s="14"/>
      <c r="M19" s="14"/>
      <c r="N19" s="14"/>
      <c r="P19" s="14"/>
      <c r="Q19" s="14"/>
      <c r="R19" s="14"/>
    </row>
    <row r="20" spans="3:18" ht="21.6" customHeight="1" thickBot="1" x14ac:dyDescent="0.3">
      <c r="D20" s="748" t="s">
        <v>978</v>
      </c>
      <c r="E20" s="749"/>
      <c r="F20" s="750"/>
      <c r="G20" s="751"/>
      <c r="H20" s="751"/>
      <c r="I20" s="751"/>
      <c r="J20" s="752"/>
      <c r="K20" s="14"/>
      <c r="L20" s="14"/>
      <c r="M20" s="14"/>
      <c r="N20" s="14"/>
      <c r="P20" s="14"/>
      <c r="Q20" s="14"/>
      <c r="R20" s="14"/>
    </row>
    <row r="21" spans="3:18" ht="16.5" customHeight="1" x14ac:dyDescent="0.25">
      <c r="P21" s="14"/>
      <c r="Q21" s="14"/>
      <c r="R21" s="14"/>
    </row>
    <row r="22" spans="3:18" ht="16.5" customHeight="1" thickBot="1" x14ac:dyDescent="0.3">
      <c r="C22" s="14"/>
      <c r="D22" s="14"/>
      <c r="E22" s="14"/>
      <c r="F22" s="14"/>
      <c r="G22" s="14"/>
      <c r="H22" s="14"/>
      <c r="I22" s="14"/>
      <c r="J22" s="14"/>
      <c r="K22" s="14"/>
      <c r="P22" s="14"/>
      <c r="Q22" s="14"/>
      <c r="R22" s="14"/>
    </row>
    <row r="23" spans="3:18" ht="20.25" customHeight="1" thickBot="1" x14ac:dyDescent="0.4">
      <c r="C23" s="14"/>
      <c r="D23" s="755" t="s">
        <v>963</v>
      </c>
      <c r="E23" s="756"/>
      <c r="F23" s="756"/>
      <c r="G23" s="756"/>
      <c r="H23" s="756"/>
      <c r="I23" s="756"/>
      <c r="J23" s="757"/>
      <c r="K23" s="14"/>
      <c r="L23" s="15"/>
      <c r="M23" s="15"/>
      <c r="N23" s="15"/>
      <c r="P23" s="14"/>
      <c r="Q23" s="14"/>
      <c r="R23" s="14"/>
    </row>
    <row r="24" spans="3:18" ht="16.5" customHeight="1" x14ac:dyDescent="0.25">
      <c r="P24" s="14"/>
      <c r="Q24" s="14"/>
      <c r="R24" s="14"/>
    </row>
    <row r="25" spans="3:18" ht="16.5" customHeight="1" x14ac:dyDescent="0.3">
      <c r="D25" s="753"/>
      <c r="E25" s="754"/>
      <c r="F25" s="728" t="s">
        <v>964</v>
      </c>
      <c r="G25" s="729"/>
      <c r="H25" s="729"/>
      <c r="I25" s="729"/>
      <c r="J25" s="730"/>
      <c r="K25" s="14"/>
      <c r="L25" s="14"/>
      <c r="M25" s="14"/>
      <c r="N25" s="14"/>
      <c r="P25" s="14"/>
      <c r="Q25" s="14"/>
      <c r="R25" s="14"/>
    </row>
    <row r="26" spans="3:18" ht="16.5" customHeight="1" x14ac:dyDescent="0.3">
      <c r="D26" s="758"/>
      <c r="E26" s="759"/>
      <c r="F26" s="728" t="s">
        <v>147</v>
      </c>
      <c r="G26" s="729"/>
      <c r="H26" s="729"/>
      <c r="I26" s="729"/>
      <c r="J26" s="730"/>
      <c r="K26" s="14"/>
      <c r="L26" s="14"/>
      <c r="M26" s="14"/>
      <c r="N26" s="14"/>
      <c r="P26" s="14"/>
      <c r="Q26" s="14"/>
      <c r="R26" s="14"/>
    </row>
    <row r="27" spans="3:18" ht="16.5" customHeight="1" thickBot="1" x14ac:dyDescent="0.35">
      <c r="D27" s="726"/>
      <c r="E27" s="727"/>
      <c r="F27" s="731" t="s">
        <v>120</v>
      </c>
      <c r="G27" s="732"/>
      <c r="H27" s="732"/>
      <c r="I27" s="732"/>
      <c r="J27" s="733"/>
      <c r="K27" s="14"/>
      <c r="L27" s="14"/>
      <c r="M27" s="14"/>
      <c r="N27" s="14"/>
      <c r="P27" s="14"/>
      <c r="Q27" s="14"/>
      <c r="R27" s="14"/>
    </row>
    <row r="28" spans="3:18" ht="16.5" customHeight="1" x14ac:dyDescent="0.2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P28" s="14"/>
      <c r="Q28" s="14"/>
      <c r="R28" s="14"/>
    </row>
    <row r="29" spans="3:18" ht="24" customHeight="1" x14ac:dyDescent="0.25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P29" s="14"/>
      <c r="Q29" s="14"/>
      <c r="R29" s="14"/>
    </row>
    <row r="30" spans="3:18" ht="15.6" x14ac:dyDescent="0.25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P30" s="14"/>
      <c r="Q30" s="14"/>
      <c r="R30" s="14"/>
    </row>
    <row r="31" spans="3:18" ht="15.6" x14ac:dyDescent="0.2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3:18" ht="15.6" x14ac:dyDescent="0.2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4:18" ht="15.6" x14ac:dyDescent="0.25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4:18" ht="15.6" x14ac:dyDescent="0.2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4:18" ht="15.6" x14ac:dyDescent="0.25"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4:18" ht="15.6" x14ac:dyDescent="0.25"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4:18" ht="15.6" x14ac:dyDescent="0.25"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4:18" ht="15.6" x14ac:dyDescent="0.25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4:18" ht="15.6" x14ac:dyDescent="0.25"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4:18" ht="15.6" x14ac:dyDescent="0.25"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4:18" ht="15.6" x14ac:dyDescent="0.25"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4:18" ht="15.6" x14ac:dyDescent="0.25"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4:18" ht="15.6" x14ac:dyDescent="0.25"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4:18" ht="15.6" x14ac:dyDescent="0.25"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4:18" ht="21" customHeight="1" x14ac:dyDescent="0.25"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4:18" ht="15.6" x14ac:dyDescent="0.25">
      <c r="P46" s="14"/>
      <c r="Q46" s="14"/>
      <c r="R46" s="14"/>
    </row>
    <row r="47" spans="4:18" ht="13.8" x14ac:dyDescent="0.25"/>
    <row r="48" spans="4:18" ht="13.8" x14ac:dyDescent="0.25"/>
    <row r="49" ht="13.8" x14ac:dyDescent="0.25"/>
    <row r="50" ht="13.8" x14ac:dyDescent="0.25"/>
    <row r="51" ht="6" customHeight="1" x14ac:dyDescent="0.25"/>
    <row r="52" ht="13.8" x14ac:dyDescent="0.25"/>
    <row r="53" ht="13.8" x14ac:dyDescent="0.25"/>
    <row r="54" ht="13.8" x14ac:dyDescent="0.25"/>
    <row r="55" ht="63.75" customHeight="1" x14ac:dyDescent="0.25"/>
    <row r="56" ht="105.75" customHeight="1" x14ac:dyDescent="0.25"/>
    <row r="57" ht="48.75" customHeight="1" x14ac:dyDescent="0.25"/>
    <row r="58" ht="105.75" customHeight="1" x14ac:dyDescent="0.25"/>
    <row r="59" ht="105.75" customHeight="1" x14ac:dyDescent="0.25"/>
    <row r="60" ht="105.75" customHeight="1" x14ac:dyDescent="0.25"/>
  </sheetData>
  <sheetProtection algorithmName="SHA-512" hashValue="XIkJyrbbUyuVIxieVC2VnzgVFQ/KbNcefgs4h2FDVWspywIzWdp0xGCNG+7DDON7nOl0FA50ASIcyp+ajJOQaw==" saltValue="a11968PQbbjGOJ/m+P27Nw==" spinCount="100000" sheet="1" objects="1" scenarios="1"/>
  <customSheetViews>
    <customSheetView guid="{8BDA793C-C9C5-4FC6-A0A5-F1109F6D4F22}" scale="90"/>
  </customSheetViews>
  <mergeCells count="32">
    <mergeCell ref="D20:E20"/>
    <mergeCell ref="F20:J20"/>
    <mergeCell ref="D25:E25"/>
    <mergeCell ref="D23:J23"/>
    <mergeCell ref="D26:E26"/>
    <mergeCell ref="D27:E27"/>
    <mergeCell ref="F25:J25"/>
    <mergeCell ref="F26:J26"/>
    <mergeCell ref="F27:J27"/>
    <mergeCell ref="D9:J10"/>
    <mergeCell ref="F17:J17"/>
    <mergeCell ref="F18:J18"/>
    <mergeCell ref="F19:J19"/>
    <mergeCell ref="D12:E12"/>
    <mergeCell ref="F12:J12"/>
    <mergeCell ref="F13:J13"/>
    <mergeCell ref="F14:J14"/>
    <mergeCell ref="F15:J15"/>
    <mergeCell ref="F16:J16"/>
    <mergeCell ref="D13:E13"/>
    <mergeCell ref="D14:E14"/>
    <mergeCell ref="F1:J1"/>
    <mergeCell ref="K1:P1"/>
    <mergeCell ref="F3:Q4"/>
    <mergeCell ref="D11:E11"/>
    <mergeCell ref="F11:J11"/>
    <mergeCell ref="E8:J8"/>
    <mergeCell ref="D15:E15"/>
    <mergeCell ref="D16:E16"/>
    <mergeCell ref="D17:E17"/>
    <mergeCell ref="D18:E18"/>
    <mergeCell ref="D19:E1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>
    <tabColor theme="9"/>
  </sheetPr>
  <dimension ref="A1:AP503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G24" sqref="G24"/>
    </sheetView>
  </sheetViews>
  <sheetFormatPr defaultColWidth="0" defaultRowHeight="0" customHeight="1" zeroHeight="1" x14ac:dyDescent="0.25"/>
  <cols>
    <col min="1" max="1" width="2.88671875" style="35" customWidth="1"/>
    <col min="2" max="2" width="11" style="35" customWidth="1"/>
    <col min="3" max="3" width="52.44140625" style="35" customWidth="1"/>
    <col min="4" max="4" width="8.6640625" style="35" customWidth="1"/>
    <col min="5" max="5" width="17.88671875" style="35" customWidth="1"/>
    <col min="6" max="6" width="18.33203125" style="35" customWidth="1"/>
    <col min="7" max="7" width="18.109375" style="35" customWidth="1"/>
    <col min="8" max="12" width="19.33203125" style="35" customWidth="1"/>
    <col min="13" max="13" width="47.44140625" style="35" customWidth="1"/>
    <col min="14" max="15" width="34.33203125" style="35" customWidth="1"/>
    <col min="16" max="16" width="10.6640625" style="35" customWidth="1"/>
    <col min="17" max="17" width="18.109375" style="35" customWidth="1"/>
    <col min="18" max="18" width="13.5546875" style="35" customWidth="1"/>
    <col min="19" max="19" width="14.6640625" style="35" customWidth="1"/>
    <col min="20" max="20" width="13.5546875" style="35" customWidth="1"/>
    <col min="21" max="21" width="41.6640625" style="35" customWidth="1"/>
    <col min="22" max="22" width="15.44140625" style="35" customWidth="1"/>
    <col min="23" max="23" width="12.33203125" style="35" customWidth="1"/>
    <col min="24" max="24" width="17.6640625" style="35" customWidth="1"/>
    <col min="25" max="25" width="20.6640625" style="35" customWidth="1"/>
    <col min="26" max="26" width="23" style="35" customWidth="1"/>
    <col min="27" max="27" width="29.5546875" style="35" customWidth="1"/>
    <col min="28" max="28" width="17.6640625" style="35" customWidth="1"/>
    <col min="29" max="29" width="15.33203125" style="35" customWidth="1"/>
    <col min="30" max="30" width="15.5546875" style="35" customWidth="1"/>
    <col min="31" max="31" width="26.33203125" style="35" customWidth="1"/>
    <col min="32" max="32" width="15.33203125" style="35" customWidth="1"/>
    <col min="33" max="33" width="12.6640625" style="35" customWidth="1"/>
    <col min="34" max="34" width="68.109375" style="35" customWidth="1"/>
    <col min="35" max="35" width="13.44140625" style="35" customWidth="1"/>
    <col min="36" max="36" width="12.6640625" style="35" customWidth="1"/>
    <col min="37" max="37" width="39" style="35" customWidth="1"/>
    <col min="38" max="38" width="38.44140625" style="35" customWidth="1"/>
    <col min="39" max="41" width="8.88671875" style="35" customWidth="1"/>
    <col min="42" max="42" width="15.88671875" style="35" hidden="1" customWidth="1"/>
    <col min="43" max="16384" width="8.88671875" style="35" hidden="1"/>
  </cols>
  <sheetData>
    <row r="1" spans="2:42" ht="15.75" customHeight="1" x14ac:dyDescent="0.25"/>
    <row r="2" spans="2:42" ht="19.95" customHeight="1" x14ac:dyDescent="0.25">
      <c r="B2" s="255"/>
      <c r="C2" s="256"/>
      <c r="O2" s="159"/>
      <c r="X2" s="958" t="str">
        <f>IF(OR(COUNTIF($X$12:X257,"*30+*")&gt;0,COUNTIF($AB$12:AB257,"*30+*")&gt;0),"Note; Habitat selected has a time to target condition greater than 30 years. Non standard agreement may be required.","")</f>
        <v/>
      </c>
      <c r="Y2" s="958"/>
      <c r="Z2" s="958"/>
      <c r="AA2" s="958"/>
      <c r="AB2" s="958"/>
      <c r="AC2" s="958"/>
    </row>
    <row r="3" spans="2:42" ht="19.2" customHeight="1" x14ac:dyDescent="0.25">
      <c r="B3" s="1048" t="str">
        <f ca="1">MID(CELL("filename",A1),FIND("]",CELL("filename",A1))+1,256)</f>
        <v>E-3 Off Site Hedge Enhancement</v>
      </c>
      <c r="C3" s="1049"/>
      <c r="X3" s="958"/>
      <c r="Y3" s="958"/>
      <c r="Z3" s="958"/>
      <c r="AA3" s="958"/>
      <c r="AB3" s="958"/>
      <c r="AC3" s="958"/>
    </row>
    <row r="4" spans="2:42" ht="15.75" customHeight="1" x14ac:dyDescent="0.25">
      <c r="B4" s="1050"/>
      <c r="C4" s="1051"/>
      <c r="X4" s="958"/>
      <c r="Y4" s="958"/>
      <c r="Z4" s="958"/>
      <c r="AA4" s="958"/>
      <c r="AB4" s="958"/>
      <c r="AC4" s="958"/>
    </row>
    <row r="5" spans="2:42" ht="15.75" customHeight="1" x14ac:dyDescent="0.3"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</row>
    <row r="6" spans="2:42" ht="27.6" customHeight="1" x14ac:dyDescent="0.25"/>
    <row r="7" spans="2:42" ht="14.4" thickBot="1" x14ac:dyDescent="0.3">
      <c r="B7" s="159"/>
      <c r="C7" s="159"/>
      <c r="M7" s="158"/>
    </row>
    <row r="8" spans="2:42" ht="14.4" thickBot="1" x14ac:dyDescent="0.3">
      <c r="M8" s="995" t="s">
        <v>1083</v>
      </c>
      <c r="N8" s="996"/>
      <c r="O8" s="996"/>
      <c r="P8" s="996"/>
      <c r="Q8" s="996"/>
      <c r="R8" s="996"/>
      <c r="S8" s="996"/>
      <c r="T8" s="996"/>
      <c r="U8" s="996"/>
      <c r="V8" s="996"/>
      <c r="W8" s="996"/>
      <c r="X8" s="996"/>
      <c r="Y8" s="996"/>
      <c r="Z8" s="996"/>
      <c r="AA8" s="996"/>
      <c r="AB8" s="996"/>
      <c r="AC8" s="996"/>
      <c r="AD8" s="996"/>
      <c r="AE8" s="996"/>
      <c r="AF8" s="996"/>
      <c r="AG8" s="996"/>
      <c r="AH8" s="996"/>
      <c r="AI8" s="997"/>
    </row>
    <row r="9" spans="2:42" ht="14.4" thickBot="1" x14ac:dyDescent="0.3"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044" t="s">
        <v>1065</v>
      </c>
      <c r="N9" s="1045"/>
      <c r="O9" s="1045"/>
      <c r="P9" s="1045"/>
      <c r="Q9" s="1045"/>
      <c r="R9" s="1045"/>
      <c r="S9" s="1045"/>
      <c r="T9" s="1045"/>
      <c r="U9" s="1045"/>
      <c r="V9" s="1045"/>
      <c r="W9" s="1045"/>
      <c r="X9" s="1045"/>
      <c r="Y9" s="1045"/>
      <c r="Z9" s="1045"/>
      <c r="AA9" s="1045"/>
      <c r="AB9" s="1045"/>
      <c r="AC9" s="1045"/>
      <c r="AD9" s="1045"/>
      <c r="AE9" s="1045"/>
      <c r="AF9" s="1045"/>
      <c r="AG9" s="1045"/>
      <c r="AH9" s="1045"/>
      <c r="AI9" s="1046"/>
    </row>
    <row r="10" spans="2:42" s="46" customFormat="1" ht="30" customHeight="1" thickBot="1" x14ac:dyDescent="0.3">
      <c r="C10" s="1047" t="s">
        <v>1003</v>
      </c>
      <c r="D10" s="1053"/>
      <c r="E10" s="1053"/>
      <c r="F10" s="1053"/>
      <c r="G10" s="1053"/>
      <c r="H10" s="1053"/>
      <c r="I10" s="1053"/>
      <c r="J10" s="1053"/>
      <c r="K10" s="1053"/>
      <c r="L10" s="1054"/>
      <c r="M10" s="1047" t="s">
        <v>1066</v>
      </c>
      <c r="N10" s="921" t="s">
        <v>1084</v>
      </c>
      <c r="O10" s="919"/>
      <c r="P10" s="983" t="s">
        <v>369</v>
      </c>
      <c r="Q10" s="921" t="s">
        <v>127</v>
      </c>
      <c r="R10" s="919"/>
      <c r="S10" s="921" t="s">
        <v>141</v>
      </c>
      <c r="T10" s="919"/>
      <c r="U10" s="1011" t="s">
        <v>362</v>
      </c>
      <c r="V10" s="1012"/>
      <c r="W10" s="1013"/>
      <c r="X10" s="1011" t="s">
        <v>988</v>
      </c>
      <c r="Y10" s="1012"/>
      <c r="Z10" s="1012"/>
      <c r="AA10" s="1012"/>
      <c r="AB10" s="1012"/>
      <c r="AC10" s="1013"/>
      <c r="AD10" s="984" t="s">
        <v>1293</v>
      </c>
      <c r="AE10" s="984"/>
      <c r="AF10" s="984"/>
      <c r="AG10" s="984"/>
      <c r="AH10" s="160" t="s">
        <v>1027</v>
      </c>
      <c r="AI10" s="1014" t="s">
        <v>1027</v>
      </c>
      <c r="AJ10" s="1014" t="s">
        <v>1033</v>
      </c>
      <c r="AK10" s="1011" t="s">
        <v>145</v>
      </c>
      <c r="AL10" s="1013"/>
    </row>
    <row r="11" spans="2:42" ht="62.25" customHeight="1" thickBot="1" x14ac:dyDescent="0.3">
      <c r="B11" s="162" t="s">
        <v>840</v>
      </c>
      <c r="C11" s="163" t="s">
        <v>997</v>
      </c>
      <c r="D11" s="163" t="s">
        <v>369</v>
      </c>
      <c r="E11" s="163" t="s">
        <v>999</v>
      </c>
      <c r="F11" s="163" t="s">
        <v>1000</v>
      </c>
      <c r="G11" s="163" t="s">
        <v>1001</v>
      </c>
      <c r="H11" s="163" t="s">
        <v>1002</v>
      </c>
      <c r="I11" s="163" t="s">
        <v>1004</v>
      </c>
      <c r="J11" s="163" t="s">
        <v>1005</v>
      </c>
      <c r="K11" s="163" t="s">
        <v>1006</v>
      </c>
      <c r="L11" s="164" t="s">
        <v>1019</v>
      </c>
      <c r="M11" s="1047"/>
      <c r="N11" s="168" t="s">
        <v>1007</v>
      </c>
      <c r="O11" s="552" t="s">
        <v>360</v>
      </c>
      <c r="P11" s="984"/>
      <c r="Q11" s="168" t="s">
        <v>127</v>
      </c>
      <c r="R11" s="552" t="s">
        <v>140</v>
      </c>
      <c r="S11" s="168" t="s">
        <v>141</v>
      </c>
      <c r="T11" s="552" t="s">
        <v>140</v>
      </c>
      <c r="U11" s="168" t="s">
        <v>362</v>
      </c>
      <c r="V11" s="128" t="s">
        <v>362</v>
      </c>
      <c r="W11" s="552" t="s">
        <v>983</v>
      </c>
      <c r="X11" s="561" t="s">
        <v>1200</v>
      </c>
      <c r="Y11" s="272" t="s">
        <v>1202</v>
      </c>
      <c r="Z11" s="272" t="s">
        <v>1478</v>
      </c>
      <c r="AA11" s="272" t="s">
        <v>1179</v>
      </c>
      <c r="AB11" s="272" t="s">
        <v>1183</v>
      </c>
      <c r="AC11" s="273" t="s">
        <v>1201</v>
      </c>
      <c r="AD11" s="561" t="s">
        <v>1297</v>
      </c>
      <c r="AE11" s="272" t="s">
        <v>1490</v>
      </c>
      <c r="AF11" s="272" t="s">
        <v>1504</v>
      </c>
      <c r="AG11" s="273" t="s">
        <v>1182</v>
      </c>
      <c r="AH11" s="162" t="s">
        <v>1028</v>
      </c>
      <c r="AI11" s="1052"/>
      <c r="AJ11" s="1041"/>
      <c r="AK11" s="168" t="s">
        <v>991</v>
      </c>
      <c r="AL11" s="552" t="s">
        <v>992</v>
      </c>
      <c r="AP11" s="158" t="s">
        <v>1298</v>
      </c>
    </row>
    <row r="12" spans="2:42" ht="13.8" x14ac:dyDescent="0.25">
      <c r="B12" s="259" t="str">
        <f>'E-1 Off Site Hedge Baseline'!AK10</f>
        <v/>
      </c>
      <c r="C12" s="175" t="str">
        <f>IF(B12="","",IF(ISNA(VLOOKUP($B12,'E-1 Off Site Hedge Baseline'!$B$1:$L$257,3,FALSE)),"",(VLOOKUP($B12,'E-1 Off Site Hedge Baseline'!$B$1:$L$257,3,FALSE))))</f>
        <v/>
      </c>
      <c r="D12" s="175" t="str">
        <f>IF(B12="","",IF(ISNA(VLOOKUP($B12,'E-1 Off Site Hedge Baseline'!$B$1:$L$258,4,FALSE)),"",(VLOOKUP($B12,'E-1 Off Site Hedge Baseline'!$B$1:$L$258,4,FALSE))))</f>
        <v/>
      </c>
      <c r="E12" s="175" t="str">
        <f>IF(B12="","",IF(ISNA(VLOOKUP($B12,'E-1 Off Site Hedge Baseline'!$B$1:$L$257,5,FALSE)),"",(VLOOKUP($B12,'E-1 Off Site Hedge Baseline'!$B$1:$L$257,5,FALSE))))</f>
        <v/>
      </c>
      <c r="F12" s="175" t="str">
        <f>IF(B12="","",IF(ISNA(VLOOKUP($B12,'E-1 Off Site Hedge Baseline'!$B$1:$L$257,6,FALSE)),"",(VLOOKUP($B12,'E-1 Off Site Hedge Baseline'!$B$1:$L$257,6,FALSE))))</f>
        <v/>
      </c>
      <c r="G12" s="175" t="str">
        <f>IF(B12="","",IF(ISNA(VLOOKUP($B12,'E-1 Off Site Hedge Baseline'!$B$1:$L$257,7,FALSE)),"",(VLOOKUP($B12,'E-1 Off Site Hedge Baseline'!$B$1:$L$257,7,FALSE))))</f>
        <v/>
      </c>
      <c r="H12" s="175" t="str">
        <f>IF(B12="","",IF(ISNA(VLOOKUP($B12,'E-1 Off Site Hedge Baseline'!$B$1:$L$257,8,FALSE)),"",(VLOOKUP($B12,'E-1 Off Site Hedge Baseline'!$B$1:$L$257,8,FALSE))))</f>
        <v/>
      </c>
      <c r="I12" s="175" t="str">
        <f>IF(B12="","",IF(ISNA(VLOOKUP($B12,'E-1 Off Site Hedge Baseline'!$B$1:$L$257,10,FALSE)),"",(VLOOKUP($B12,'E-1 Off Site Hedge Baseline'!$B$1:$L$257,10,FALSE))))</f>
        <v/>
      </c>
      <c r="J12" s="175" t="str">
        <f>IF(B12="","",IF(ISNA(VLOOKUP($B12,'E-1 Off Site Hedge Baseline'!$B$1:$L$257,11,FALSE)),"",(VLOOKUP($B12,'E-1 Off Site Hedge Baseline'!$B$1:$L$257,11,FALSE))))</f>
        <v/>
      </c>
      <c r="K12" s="175" t="str">
        <f>IF(B12="","",IF(ISNA(VLOOKUP($B12,'E-1 Off Site Hedge Baseline'!$B$1:$U$257,113,FALSE)),"",(VLOOKUP($B12,'E-1 Off Site Hedge Baseline'!$B$1:$U$257,13,FALSE))))</f>
        <v/>
      </c>
      <c r="L12" s="179" t="str">
        <f>IF(B12="","",IF(ISNA(VLOOKUP($B12,'E-1 Off Site Hedge Baseline'!$B$1:$U$257,12,FALSE)),"",(VLOOKUP($B12,'E-1 Off Site Hedge Baseline'!$B$1:$U$257,12,FALSE))))</f>
        <v/>
      </c>
      <c r="M12" s="639" t="str">
        <f t="shared" ref="M12:M16" si="0">C12</f>
        <v/>
      </c>
      <c r="N12" s="171" t="str">
        <f>IFERROR(IF(B12="","",INDEX('G-6 Hedgerow Data'!$AN$3:$AZ$15,MATCH(C12,'G-6 Hedgerow Data'!$AM$3:$AM$15,0),MATCH(M12,'G-6 Hedgerow Data'!$AN$2:$AZ$2,0))),"")</f>
        <v/>
      </c>
      <c r="O12" s="172" t="str">
        <f>IFERROR(IF(B12="","",IF(AND(LEFT(C12,55)&lt;&gt;LEFT(M12,55),N12="High - High"),"Error - Not like for like",IF(AND(LEFT(C12,55)&lt;&gt;LEFT(M12,55),N12="Medium - Medium"),"Error - Not like for like",IF(H12&gt;T12,"Error - Can not reduce condition",IF(AND(F12=R12,H12=T12),"Error - No enhancement",IF(AND(C12&lt;&gt;M12,F12&lt;R12),"Lower Distinctiveness Habitat"&amp;" - "&amp;S12,G12&amp;" - "&amp;S12)))))),"")</f>
        <v/>
      </c>
      <c r="P12" s="260" t="str">
        <f>IF(B12="","",VLOOKUP(B12,'E-1 Off Site Hedge Baseline'!$B$10:T257,16,FALSE))</f>
        <v/>
      </c>
      <c r="Q12" s="171" t="str">
        <f>IF(M12="","",VLOOKUP(M12,'G-6 Hedgerow Data'!$B$2:$AG$15,2,FALSE))</f>
        <v/>
      </c>
      <c r="R12" s="172" t="str">
        <f>IF(M12="","",VLOOKUP(M12,'G-6 Hedgerow Data'!$B$2:$AG$15,3,FALSE))</f>
        <v/>
      </c>
      <c r="S12" s="79"/>
      <c r="T12" s="172" t="str">
        <f>IFERROR(IF(AND(Q12="V.Low",OR(S12="Good",S12="Moderate")),"Error",VLOOKUP(S12,'G-1 All Habitats'!$Z$2:$AA$9,2,FALSE)),"")</f>
        <v/>
      </c>
      <c r="U12" s="79"/>
      <c r="V12" s="179" t="str">
        <f>IF(U12="","",IF(VLOOKUP(U12,'G-3 Multipliers'!$L$3:$N$6,2,FALSE)=0,"Spatial Data Missing",VLOOKUP(U12,'G-3 Multipliers'!$L$3:$N$6,2,FALSE)))</f>
        <v/>
      </c>
      <c r="W12" s="260" t="str">
        <f>IF(U12="","",IF(VLOOKUP(U12,'G-3 Multipliers'!$L$3:$N$6,3,FALSE)=0,"Spatial Data Missing",VLOOKUP(U12,'G-3 Multipliers'!$L$3:$N$6,3,FALSE)))</f>
        <v/>
      </c>
      <c r="X12" s="171" t="str">
        <f>IFERROR(IF(OR(LEFT(O12,5)="Error",LEFT(N12,5)="Error",T12="Error"),"Check Data",IF(F12&lt;R12,INDEX('G-6 Hedgerow Data'!$S$3:$AE$14,MATCH(C12,'G-6 Hedgerow Data'!$B$3:$B$14,0),MATCH(M12,'G-6 Hedgerow Data'!$S$2:$AE$2,0)),INDEX('G-6 Hedgerow Data'!$K$3:$Q$14,MATCH(M12,'G-6 Hedgerow Data'!$B$3:$B$14,0),MATCH(O12,'G-6 Hedgerow Data'!$K$2:$Q$2,0)))),"")</f>
        <v/>
      </c>
      <c r="Y12" s="261"/>
      <c r="Z12" s="261"/>
      <c r="AA12" s="179" t="str">
        <f>IF(X12="Check Data","Check Data",IF(M12="","",IF(AND(Y12&gt;0,Z12&gt;0),"Error -both advance and delayed habitat creation",IF(AND(OR(Y12="Habitat already in target condition",X12&lt;=Y12),Z12=0),"Check details - Is there evidence that habitat has reached target condition?",IF(X12="","",IF(Y12&gt;0,"Check details - Is there evidence habitat creation started/in place?",IF(Z12&gt;0,"Check details- Delay in starting habitat in required condition?","Standard time to target condition applied")))))))</f>
        <v/>
      </c>
      <c r="AB12" s="262" t="str">
        <f>IF(X12="","",IF(AA12="Check Data","Check Data",IF(Y12="30+",0,IF(Z12="30+","30+",IF(X12+Z12&gt;30,"30+",IF(LEFT(AA12,5)="Error","Check Data",IF(X12+Z12-Y12&gt;0,X12+Z12-Y12,IF(X12-Y12&lt;=0,0,))))))))</f>
        <v/>
      </c>
      <c r="AC12" s="263" t="str">
        <f t="shared" ref="AC12:AC75" si="1">IF(OR(S12="",M12=""),"",IF(LEFT(AB12,5)="Error","Check Data",IF(AB12="Check Data","Check Data",VLOOKUP(AB12,TemporalMultipliers,3,FALSE))))</f>
        <v/>
      </c>
      <c r="AD12" s="239" t="str">
        <f>IF(M12="","",VLOOKUP(M12,'G-6 Hedgerow Data'!$B$3:$AG$15,31,FALSE))</f>
        <v/>
      </c>
      <c r="AE12" s="175" t="str">
        <f>IF(M12="","",IF(OR(LEFT(AA12,5)="Error",AA12="Check Data"),"Check Data",IF(X12="","",IF($AA12="Check details - Is there evidence that habitat has reached target condition?","Low Difficulty - only applicable if all habitat created before losses","Standard difficulty applied"))))</f>
        <v/>
      </c>
      <c r="AF12" s="175" t="str">
        <f>(IF(AND(AE12="Yes",X12&gt;Y12),AD12,IF(AND(AE12="Low Difficulty - only applicable if all habitat created before losses",Y12&gt;=X12),"Low",AD12)))</f>
        <v/>
      </c>
      <c r="AG12" s="176" t="str">
        <f>IFERROR(IF(O12="","",VLOOKUP(AD12,'G-3 Multipliers'!$P$3:$Q$6,2,FALSE)),"")</f>
        <v/>
      </c>
      <c r="AH12" s="264"/>
      <c r="AI12" s="172" t="str">
        <f>IF(AH12="","",IF(VLOOKUP(AH12,'G-3 Multipliers'!$S$3:$T$6,2,FALSE)=0,"Spatial Data Missing",VLOOKUP(AH12,'G-3 Multipliers'!$S$3:$T$6,2,FALSE)))</f>
        <v/>
      </c>
      <c r="AJ12" s="207" t="str">
        <f>IFERROR(IF(OR(M12="",S12="",U12="",AH12=""),"",(((((P12*R12*T12)-(P12*F12*H12))*(AG12*AC12))+(P12*F12*H12))*(W12)*AI12)),"")</f>
        <v/>
      </c>
      <c r="AK12" s="180"/>
      <c r="AL12" s="181"/>
      <c r="AP12" s="35" t="str">
        <f>IFERROR(INDEX('G-6 Hedgerow Data'!$BJ$3:$BJ$15,MATCH(M12,'G-6 Hedgerow Data'!$B$3:$B$15,0)),"")</f>
        <v/>
      </c>
    </row>
    <row r="13" spans="2:42" ht="13.8" x14ac:dyDescent="0.25">
      <c r="B13" s="259" t="str">
        <f>'E-1 Off Site Hedge Baseline'!AK11</f>
        <v/>
      </c>
      <c r="C13" s="175" t="str">
        <f>IF(B13="","",IF(ISNA(VLOOKUP($B13,'E-1 Off Site Hedge Baseline'!$B$1:$L$257,3,FALSE)),"",(VLOOKUP($B13,'E-1 Off Site Hedge Baseline'!$B$1:$L$257,3,FALSE))))</f>
        <v/>
      </c>
      <c r="D13" s="175" t="str">
        <f>IF(B13="","",IF(ISNA(VLOOKUP($B13,'E-1 Off Site Hedge Baseline'!$B$1:$L$258,4,FALSE)),"",(VLOOKUP($B13,'E-1 Off Site Hedge Baseline'!$B$1:$L$258,4,FALSE))))</f>
        <v/>
      </c>
      <c r="E13" s="175" t="str">
        <f>IF(B13="","",IF(ISNA(VLOOKUP($B13,'E-1 Off Site Hedge Baseline'!$B$1:$L$257,5,FALSE)),"",(VLOOKUP($B13,'E-1 Off Site Hedge Baseline'!$B$1:$L$257,5,FALSE))))</f>
        <v/>
      </c>
      <c r="F13" s="175" t="str">
        <f>IF(B13="","",IF(ISNA(VLOOKUP($B13,'E-1 Off Site Hedge Baseline'!$B$1:$L$257,6,FALSE)),"",(VLOOKUP($B13,'E-1 Off Site Hedge Baseline'!$B$1:$L$257,6,FALSE))))</f>
        <v/>
      </c>
      <c r="G13" s="175" t="str">
        <f>IF(B13="","",IF(ISNA(VLOOKUP($B13,'E-1 Off Site Hedge Baseline'!$B$1:$L$257,7,FALSE)),"",(VLOOKUP($B13,'E-1 Off Site Hedge Baseline'!$B$1:$L$257,7,FALSE))))</f>
        <v/>
      </c>
      <c r="H13" s="175" t="str">
        <f>IF(B13="","",IF(ISNA(VLOOKUP($B13,'E-1 Off Site Hedge Baseline'!$B$1:$L$257,8,FALSE)),"",(VLOOKUP($B13,'E-1 Off Site Hedge Baseline'!$B$1:$L$257,8,FALSE))))</f>
        <v/>
      </c>
      <c r="I13" s="175" t="str">
        <f>IF(B13="","",IF(ISNA(VLOOKUP($B13,'E-1 Off Site Hedge Baseline'!$B$1:$L$257,10,FALSE)),"",(VLOOKUP($B13,'E-1 Off Site Hedge Baseline'!$B$1:$L$257,10,FALSE))))</f>
        <v/>
      </c>
      <c r="J13" s="175" t="str">
        <f>IF(B13="","",IF(ISNA(VLOOKUP($B13,'E-1 Off Site Hedge Baseline'!$B$1:$L$257,11,FALSE)),"",(VLOOKUP($B13,'E-1 Off Site Hedge Baseline'!$B$1:$L$257,11,FALSE))))</f>
        <v/>
      </c>
      <c r="K13" s="175" t="str">
        <f>IF(B13="","",IF(ISNA(VLOOKUP($B13,'E-1 Off Site Hedge Baseline'!$B$1:$U$257,113,FALSE)),"",(VLOOKUP($B13,'E-1 Off Site Hedge Baseline'!$B$1:$U$257,13,FALSE))))</f>
        <v/>
      </c>
      <c r="L13" s="179" t="str">
        <f>IF(B13="","",IF(ISNA(VLOOKUP($B13,'E-1 Off Site Hedge Baseline'!$B$1:$U$257,12,FALSE)),"",(VLOOKUP($B13,'E-1 Off Site Hedge Baseline'!$B$1:$U$257,12,FALSE))))</f>
        <v/>
      </c>
      <c r="M13" s="639" t="str">
        <f t="shared" si="0"/>
        <v/>
      </c>
      <c r="N13" s="171" t="str">
        <f>IFERROR(IF(B13="","",INDEX('G-6 Hedgerow Data'!$AN$3:$AZ$15,MATCH(C13,'G-6 Hedgerow Data'!$AM$3:$AM$15,0),MATCH(M13,'G-6 Hedgerow Data'!$AN$2:$AZ$2,0))),"")</f>
        <v/>
      </c>
      <c r="O13" s="172" t="str">
        <f t="shared" ref="O13:O76" si="2">IFERROR(IF(B13="","",IF(AND(LEFT(C13,55)&lt;&gt;LEFT(M13,55),N13="High - High"),"Error - Not like for like",IF(AND(LEFT(C13,55)&lt;&gt;LEFT(M13,55),N13="Medium - Medium"),"Error - Not like for like",IF(H13&gt;T13,"Error - Can not reduce condition",IF(AND(F13=R13,H13=T13),"Error - No enhancement",IF(AND(C13&lt;&gt;M13,F13&lt;R13),"Lower Distinctiveness Habitat"&amp;" - "&amp;S13,G13&amp;" - "&amp;S13)))))),"")</f>
        <v/>
      </c>
      <c r="P13" s="260" t="str">
        <f>IF(B13="","",VLOOKUP(B13,'E-1 Off Site Hedge Baseline'!$B$10:T258,16,FALSE))</f>
        <v/>
      </c>
      <c r="Q13" s="171" t="str">
        <f>IF(M13="","",VLOOKUP(M13,'G-6 Hedgerow Data'!$B$2:$AG$15,2,FALSE))</f>
        <v/>
      </c>
      <c r="R13" s="172" t="str">
        <f>IF(M13="","",VLOOKUP(M13,'G-6 Hedgerow Data'!$B$2:$AG$15,3,FALSE))</f>
        <v/>
      </c>
      <c r="S13" s="79"/>
      <c r="T13" s="172" t="str">
        <f>IFERROR(IF(AND(Q13="V.Low",OR(S13="Good",S13="Moderate")),"Error",VLOOKUP(S13,'G-1 All Habitats'!$Z$2:$AA$9,2,FALSE)),"")</f>
        <v/>
      </c>
      <c r="U13" s="79"/>
      <c r="V13" s="179" t="str">
        <f>IF(U13="","",IF(VLOOKUP(U13,'G-3 Multipliers'!$L$3:$N$6,2,FALSE)=0,"Spatial Data Missing",VLOOKUP(U13,'G-3 Multipliers'!$L$3:$N$6,2,FALSE)))</f>
        <v/>
      </c>
      <c r="W13" s="260" t="str">
        <f>IF(U13="","",IF(VLOOKUP(U13,'G-3 Multipliers'!$L$3:$N$6,3,FALSE)=0,"Spatial Data Missing",VLOOKUP(U13,'G-3 Multipliers'!$L$3:$N$6,3,FALSE)))</f>
        <v/>
      </c>
      <c r="X13" s="171" t="str">
        <f>IFERROR(IF(OR(LEFT(O13,5)="Error",LEFT(N13,5)="Error",T13="Error"),"Check Data",IF(F13&lt;R13,INDEX('G-6 Hedgerow Data'!$S$3:$AE$14,MATCH(C13,'G-6 Hedgerow Data'!$B$3:$B$14,0),MATCH(M13,'G-6 Hedgerow Data'!$S$2:$AE$2,0)),INDEX('G-6 Hedgerow Data'!$K$3:$Q$14,MATCH(M13,'G-6 Hedgerow Data'!$B$3:$B$14,0),MATCH(O13,'G-6 Hedgerow Data'!$K$2:$Q$2,0)))),"")</f>
        <v/>
      </c>
      <c r="Y13" s="261"/>
      <c r="Z13" s="261"/>
      <c r="AA13" s="179" t="str">
        <f t="shared" ref="AA13:AA76" si="3">IF(X13="Check Data","Check Data",IF(M13="","",IF(AND(Y13&gt;0,Z13&gt;0),"Error -both advance and delayed habitat creation",IF(AND(OR(Y13="Habitat already in target condition",X13&lt;=Y13),Z13=0),"Check details - Is there evidence that habitat has reached target condition?",IF(X13="","",IF(Y13&gt;0,"Check details - Is there evidence habitat creation started/in place?",IF(Z13&gt;0,"Check details- Delay in starting habitat in required condition?","Standard time to target condition applied")))))))</f>
        <v/>
      </c>
      <c r="AB13" s="262" t="str">
        <f t="shared" ref="AB13:AB76" si="4">IF(X13="","",IF(AA13="Check Data","Check Data",IF(Y13="30+",0,IF(Z13="30+","30+",IF(X13+Z13&gt;30,"30+",IF(LEFT(AA13,5)="Error","Check Data",IF(X13+Z13-Y13&gt;0,X13+Z13-Y13,IF(X13-Y13&lt;=0,0,))))))))</f>
        <v/>
      </c>
      <c r="AC13" s="263" t="str">
        <f t="shared" si="1"/>
        <v/>
      </c>
      <c r="AD13" s="239" t="str">
        <f>IF(M13="","",VLOOKUP(M13,'G-6 Hedgerow Data'!$B$3:$AG$15,31,FALSE))</f>
        <v/>
      </c>
      <c r="AE13" s="175" t="str">
        <f t="shared" ref="AE13:AE76" si="5">IF(M13="","",IF(OR(LEFT(AA13,5)="Error",AA13="Check Data"),"Check Data",IF(X13="","",IF($AA13="Check details - Is there evidence that habitat has reached target condition?","Low Difficulty - only applicable if all habitat created before losses","Standard difficulty applied"))))</f>
        <v/>
      </c>
      <c r="AF13" s="175" t="str">
        <f t="shared" ref="AF13:AF76" si="6">(IF(AND(AE13="Yes",X13&gt;Y13),AD13,IF(AND(AE13="Low Difficulty - only applicable if all habitat created before losses",Y13&gt;=X13),"Low",AD13)))</f>
        <v/>
      </c>
      <c r="AG13" s="176" t="str">
        <f>IFERROR(IF(O13="","",VLOOKUP(AD13,'G-3 Multipliers'!$P$3:$Q$6,2,FALSE)),"")</f>
        <v/>
      </c>
      <c r="AH13" s="264"/>
      <c r="AI13" s="172" t="str">
        <f>IF(AH13="","",IF(VLOOKUP(AH13,'G-3 Multipliers'!$S$3:$T$6,2,FALSE)=0,"Spatial Data Missing",VLOOKUP(AH13,'G-3 Multipliers'!$S$3:$T$6,2,FALSE)))</f>
        <v/>
      </c>
      <c r="AJ13" s="207" t="str">
        <f t="shared" ref="AJ13:AJ76" si="7">IFERROR(IF(OR(M13="",S13="",U13="",AH13=""),"",(((((P13*R13*T13)-(P13*F13*H13))*(AG13*AC13))+(P13*F13*H13))*(W13)*AI13)),"")</f>
        <v/>
      </c>
      <c r="AK13" s="180"/>
      <c r="AL13" s="181"/>
      <c r="AP13" s="35" t="str">
        <f>IFERROR(INDEX('G-6 Hedgerow Data'!$BJ$3:$BJ$15,MATCH(M13,'G-6 Hedgerow Data'!$B$3:$B$15,0)),"")</f>
        <v/>
      </c>
    </row>
    <row r="14" spans="2:42" ht="13.8" x14ac:dyDescent="0.25">
      <c r="B14" s="259" t="str">
        <f>'E-1 Off Site Hedge Baseline'!AK12</f>
        <v/>
      </c>
      <c r="C14" s="175" t="str">
        <f>IF(B14="","",IF(ISNA(VLOOKUP($B14,'E-1 Off Site Hedge Baseline'!$B$1:$L$257,3,FALSE)),"",(VLOOKUP($B14,'E-1 Off Site Hedge Baseline'!$B$1:$L$257,3,FALSE))))</f>
        <v/>
      </c>
      <c r="D14" s="175" t="str">
        <f>IF(B14="","",IF(ISNA(VLOOKUP($B14,'E-1 Off Site Hedge Baseline'!$B$1:$L$258,4,FALSE)),"",(VLOOKUP($B14,'E-1 Off Site Hedge Baseline'!$B$1:$L$258,4,FALSE))))</f>
        <v/>
      </c>
      <c r="E14" s="175" t="str">
        <f>IF(B14="","",IF(ISNA(VLOOKUP($B14,'E-1 Off Site Hedge Baseline'!$B$1:$L$257,5,FALSE)),"",(VLOOKUP($B14,'E-1 Off Site Hedge Baseline'!$B$1:$L$257,5,FALSE))))</f>
        <v/>
      </c>
      <c r="F14" s="175" t="str">
        <f>IF(B14="","",IF(ISNA(VLOOKUP($B14,'E-1 Off Site Hedge Baseline'!$B$1:$L$257,6,FALSE)),"",(VLOOKUP($B14,'E-1 Off Site Hedge Baseline'!$B$1:$L$257,6,FALSE))))</f>
        <v/>
      </c>
      <c r="G14" s="175" t="str">
        <f>IF(B14="","",IF(ISNA(VLOOKUP($B14,'E-1 Off Site Hedge Baseline'!$B$1:$L$257,7,FALSE)),"",(VLOOKUP($B14,'E-1 Off Site Hedge Baseline'!$B$1:$L$257,7,FALSE))))</f>
        <v/>
      </c>
      <c r="H14" s="175" t="str">
        <f>IF(B14="","",IF(ISNA(VLOOKUP($B14,'E-1 Off Site Hedge Baseline'!$B$1:$L$257,8,FALSE)),"",(VLOOKUP($B14,'E-1 Off Site Hedge Baseline'!$B$1:$L$257,8,FALSE))))</f>
        <v/>
      </c>
      <c r="I14" s="175" t="str">
        <f>IF(B14="","",IF(ISNA(VLOOKUP($B14,'E-1 Off Site Hedge Baseline'!$B$1:$L$257,10,FALSE)),"",(VLOOKUP($B14,'E-1 Off Site Hedge Baseline'!$B$1:$L$257,10,FALSE))))</f>
        <v/>
      </c>
      <c r="J14" s="175" t="str">
        <f>IF(B14="","",IF(ISNA(VLOOKUP($B14,'E-1 Off Site Hedge Baseline'!$B$1:$L$257,11,FALSE)),"",(VLOOKUP($B14,'E-1 Off Site Hedge Baseline'!$B$1:$L$257,11,FALSE))))</f>
        <v/>
      </c>
      <c r="K14" s="175" t="str">
        <f>IF(B14="","",IF(ISNA(VLOOKUP($B14,'E-1 Off Site Hedge Baseline'!$B$1:$U$257,113,FALSE)),"",(VLOOKUP($B14,'E-1 Off Site Hedge Baseline'!$B$1:$U$257,13,FALSE))))</f>
        <v/>
      </c>
      <c r="L14" s="179" t="str">
        <f>IF(B14="","",IF(ISNA(VLOOKUP($B14,'E-1 Off Site Hedge Baseline'!$B$1:$U$257,12,FALSE)),"",(VLOOKUP($B14,'E-1 Off Site Hedge Baseline'!$B$1:$U$257,12,FALSE))))</f>
        <v/>
      </c>
      <c r="M14" s="639" t="str">
        <f t="shared" si="0"/>
        <v/>
      </c>
      <c r="N14" s="171" t="str">
        <f>IFERROR(IF(B14="","",INDEX('G-6 Hedgerow Data'!$AN$3:$AZ$15,MATCH(C14,'G-6 Hedgerow Data'!$AM$3:$AM$15,0),MATCH(M14,'G-6 Hedgerow Data'!$AN$2:$AZ$2,0))),"")</f>
        <v/>
      </c>
      <c r="O14" s="172" t="str">
        <f t="shared" si="2"/>
        <v/>
      </c>
      <c r="P14" s="260" t="str">
        <f>IF(B14="","",VLOOKUP(B14,'E-1 Off Site Hedge Baseline'!$B$10:T259,16,FALSE))</f>
        <v/>
      </c>
      <c r="Q14" s="171" t="str">
        <f>IF(M14="","",VLOOKUP(M14,'G-6 Hedgerow Data'!$B$2:$AG$15,2,FALSE))</f>
        <v/>
      </c>
      <c r="R14" s="172" t="str">
        <f>IF(M14="","",VLOOKUP(M14,'G-6 Hedgerow Data'!$B$2:$AG$15,3,FALSE))</f>
        <v/>
      </c>
      <c r="S14" s="79"/>
      <c r="T14" s="172" t="str">
        <f>IFERROR(IF(AND(Q14="V.Low",OR(S14="Good",S14="Moderate")),"Error",VLOOKUP(S14,'G-1 All Habitats'!$Z$2:$AA$9,2,FALSE)),"")</f>
        <v/>
      </c>
      <c r="U14" s="79"/>
      <c r="V14" s="179" t="str">
        <f>IF(U14="","",IF(VLOOKUP(U14,'G-3 Multipliers'!$L$3:$N$6,2,FALSE)=0,"Spatial Data Missing",VLOOKUP(U14,'G-3 Multipliers'!$L$3:$N$6,2,FALSE)))</f>
        <v/>
      </c>
      <c r="W14" s="260" t="str">
        <f>IF(U14="","",IF(VLOOKUP(U14,'G-3 Multipliers'!$L$3:$N$6,3,FALSE)=0,"Spatial Data Missing",VLOOKUP(U14,'G-3 Multipliers'!$L$3:$N$6,3,FALSE)))</f>
        <v/>
      </c>
      <c r="X14" s="171" t="str">
        <f>IFERROR(IF(OR(LEFT(O14,5)="Error",LEFT(N14,5)="Error",T14="Error"),"Check Data",IF(F14&lt;R14,INDEX('G-6 Hedgerow Data'!$S$3:$AE$14,MATCH(C14,'G-6 Hedgerow Data'!$B$3:$B$14,0),MATCH(M14,'G-6 Hedgerow Data'!$S$2:$AE$2,0)),INDEX('G-6 Hedgerow Data'!$K$3:$Q$14,MATCH(M14,'G-6 Hedgerow Data'!$B$3:$B$14,0),MATCH(O14,'G-6 Hedgerow Data'!$K$2:$Q$2,0)))),"")</f>
        <v/>
      </c>
      <c r="Y14" s="261"/>
      <c r="Z14" s="261"/>
      <c r="AA14" s="179" t="str">
        <f t="shared" si="3"/>
        <v/>
      </c>
      <c r="AB14" s="262" t="str">
        <f t="shared" si="4"/>
        <v/>
      </c>
      <c r="AC14" s="263" t="str">
        <f t="shared" si="1"/>
        <v/>
      </c>
      <c r="AD14" s="239" t="str">
        <f>IF(M14="","",VLOOKUP(M14,'G-6 Hedgerow Data'!$B$3:$AG$15,31,FALSE))</f>
        <v/>
      </c>
      <c r="AE14" s="175" t="str">
        <f t="shared" si="5"/>
        <v/>
      </c>
      <c r="AF14" s="175" t="str">
        <f t="shared" si="6"/>
        <v/>
      </c>
      <c r="AG14" s="176" t="str">
        <f>IFERROR(IF(O14="","",VLOOKUP(AD14,'G-3 Multipliers'!$P$3:$Q$6,2,FALSE)),"")</f>
        <v/>
      </c>
      <c r="AH14" s="264"/>
      <c r="AI14" s="172" t="str">
        <f>IF(AH14="","",IF(VLOOKUP(AH14,'G-3 Multipliers'!$S$3:$T$6,2,FALSE)=0,"Spatial Data Missing",VLOOKUP(AH14,'G-3 Multipliers'!$S$3:$T$6,2,FALSE)))</f>
        <v/>
      </c>
      <c r="AJ14" s="207" t="str">
        <f t="shared" si="7"/>
        <v/>
      </c>
      <c r="AK14" s="180"/>
      <c r="AL14" s="181"/>
      <c r="AP14" s="35" t="str">
        <f>IFERROR(INDEX('G-6 Hedgerow Data'!$BJ$3:$BJ$15,MATCH(M14,'G-6 Hedgerow Data'!$B$3:$B$15,0)),"")</f>
        <v/>
      </c>
    </row>
    <row r="15" spans="2:42" ht="13.8" x14ac:dyDescent="0.25">
      <c r="B15" s="259" t="str">
        <f>'E-1 Off Site Hedge Baseline'!AK13</f>
        <v/>
      </c>
      <c r="C15" s="175" t="str">
        <f>IF(B15="","",IF(ISNA(VLOOKUP($B15,'E-1 Off Site Hedge Baseline'!$B$1:$L$257,3,FALSE)),"",(VLOOKUP($B15,'E-1 Off Site Hedge Baseline'!$B$1:$L$257,3,FALSE))))</f>
        <v/>
      </c>
      <c r="D15" s="175" t="str">
        <f>IF(B15="","",IF(ISNA(VLOOKUP($B15,'E-1 Off Site Hedge Baseline'!$B$1:$L$258,4,FALSE)),"",(VLOOKUP($B15,'E-1 Off Site Hedge Baseline'!$B$1:$L$258,4,FALSE))))</f>
        <v/>
      </c>
      <c r="E15" s="175" t="str">
        <f>IF(B15="","",IF(ISNA(VLOOKUP($B15,'E-1 Off Site Hedge Baseline'!$B$1:$L$257,5,FALSE)),"",(VLOOKUP($B15,'E-1 Off Site Hedge Baseline'!$B$1:$L$257,5,FALSE))))</f>
        <v/>
      </c>
      <c r="F15" s="175" t="str">
        <f>IF(B15="","",IF(ISNA(VLOOKUP($B15,'E-1 Off Site Hedge Baseline'!$B$1:$L$257,6,FALSE)),"",(VLOOKUP($B15,'E-1 Off Site Hedge Baseline'!$B$1:$L$257,6,FALSE))))</f>
        <v/>
      </c>
      <c r="G15" s="175" t="str">
        <f>IF(B15="","",IF(ISNA(VLOOKUP($B15,'E-1 Off Site Hedge Baseline'!$B$1:$L$257,7,FALSE)),"",(VLOOKUP($B15,'E-1 Off Site Hedge Baseline'!$B$1:$L$257,7,FALSE))))</f>
        <v/>
      </c>
      <c r="H15" s="175" t="str">
        <f>IF(B15="","",IF(ISNA(VLOOKUP($B15,'E-1 Off Site Hedge Baseline'!$B$1:$L$257,8,FALSE)),"",(VLOOKUP($B15,'E-1 Off Site Hedge Baseline'!$B$1:$L$257,8,FALSE))))</f>
        <v/>
      </c>
      <c r="I15" s="175" t="str">
        <f>IF(B15="","",IF(ISNA(VLOOKUP($B15,'E-1 Off Site Hedge Baseline'!$B$1:$L$257,10,FALSE)),"",(VLOOKUP($B15,'E-1 Off Site Hedge Baseline'!$B$1:$L$257,10,FALSE))))</f>
        <v/>
      </c>
      <c r="J15" s="175" t="str">
        <f>IF(B15="","",IF(ISNA(VLOOKUP($B15,'E-1 Off Site Hedge Baseline'!$B$1:$L$257,11,FALSE)),"",(VLOOKUP($B15,'E-1 Off Site Hedge Baseline'!$B$1:$L$257,11,FALSE))))</f>
        <v/>
      </c>
      <c r="K15" s="175" t="str">
        <f>IF(B15="","",IF(ISNA(VLOOKUP($B15,'E-1 Off Site Hedge Baseline'!$B$1:$U$257,113,FALSE)),"",(VLOOKUP($B15,'E-1 Off Site Hedge Baseline'!$B$1:$U$257,13,FALSE))))</f>
        <v/>
      </c>
      <c r="L15" s="179" t="str">
        <f>IF(B15="","",IF(ISNA(VLOOKUP($B15,'E-1 Off Site Hedge Baseline'!$B$1:$U$257,12,FALSE)),"",(VLOOKUP($B15,'E-1 Off Site Hedge Baseline'!$B$1:$U$257,12,FALSE))))</f>
        <v/>
      </c>
      <c r="M15" s="639" t="str">
        <f t="shared" si="0"/>
        <v/>
      </c>
      <c r="N15" s="171" t="str">
        <f>IFERROR(IF(B15="","",INDEX('G-6 Hedgerow Data'!$AN$3:$AZ$15,MATCH(C15,'G-6 Hedgerow Data'!$AM$3:$AM$15,0),MATCH(M15,'G-6 Hedgerow Data'!$AN$2:$AZ$2,0))),"")</f>
        <v/>
      </c>
      <c r="O15" s="172" t="str">
        <f t="shared" si="2"/>
        <v/>
      </c>
      <c r="P15" s="260" t="str">
        <f>IF(B15="","",VLOOKUP(B15,'E-1 Off Site Hedge Baseline'!$B$10:T260,16,FALSE))</f>
        <v/>
      </c>
      <c r="Q15" s="171" t="str">
        <f>IF(M15="","",VLOOKUP(M15,'G-6 Hedgerow Data'!$B$2:$AG$15,2,FALSE))</f>
        <v/>
      </c>
      <c r="R15" s="172" t="str">
        <f>IF(M15="","",VLOOKUP(M15,'G-6 Hedgerow Data'!$B$2:$AG$15,3,FALSE))</f>
        <v/>
      </c>
      <c r="S15" s="79"/>
      <c r="T15" s="172" t="str">
        <f>IFERROR(IF(AND(Q15="V.Low",OR(S15="Good",S15="Moderate")),"Error",VLOOKUP(S15,'G-1 All Habitats'!$Z$2:$AA$9,2,FALSE)),"")</f>
        <v/>
      </c>
      <c r="U15" s="79"/>
      <c r="V15" s="179" t="str">
        <f>IF(U15="","",IF(VLOOKUP(U15,'G-3 Multipliers'!$L$3:$N$6,2,FALSE)=0,"Spatial Data Missing",VLOOKUP(U15,'G-3 Multipliers'!$L$3:$N$6,2,FALSE)))</f>
        <v/>
      </c>
      <c r="W15" s="260" t="str">
        <f>IF(U15="","",IF(VLOOKUP(U15,'G-3 Multipliers'!$L$3:$N$6,3,FALSE)=0,"Spatial Data Missing",VLOOKUP(U15,'G-3 Multipliers'!$L$3:$N$6,3,FALSE)))</f>
        <v/>
      </c>
      <c r="X15" s="171" t="str">
        <f>IFERROR(IF(OR(LEFT(O15,5)="Error",LEFT(N15,5)="Error",T15="Error"),"Check Data",IF(F15&lt;R15,INDEX('G-6 Hedgerow Data'!$S$3:$AE$14,MATCH(C15,'G-6 Hedgerow Data'!$B$3:$B$14,0),MATCH(M15,'G-6 Hedgerow Data'!$S$2:$AE$2,0)),INDEX('G-6 Hedgerow Data'!$K$3:$Q$14,MATCH(M15,'G-6 Hedgerow Data'!$B$3:$B$14,0),MATCH(O15,'G-6 Hedgerow Data'!$K$2:$Q$2,0)))),"")</f>
        <v/>
      </c>
      <c r="Y15" s="261"/>
      <c r="Z15" s="261"/>
      <c r="AA15" s="179" t="str">
        <f t="shared" si="3"/>
        <v/>
      </c>
      <c r="AB15" s="262" t="str">
        <f t="shared" si="4"/>
        <v/>
      </c>
      <c r="AC15" s="263" t="str">
        <f t="shared" si="1"/>
        <v/>
      </c>
      <c r="AD15" s="239" t="str">
        <f>IF(M15="","",VLOOKUP(M15,'G-6 Hedgerow Data'!$B$3:$AG$15,31,FALSE))</f>
        <v/>
      </c>
      <c r="AE15" s="175" t="str">
        <f t="shared" si="5"/>
        <v/>
      </c>
      <c r="AF15" s="175" t="str">
        <f t="shared" si="6"/>
        <v/>
      </c>
      <c r="AG15" s="176" t="str">
        <f>IFERROR(IF(O15="","",VLOOKUP(AD15,'G-3 Multipliers'!$P$3:$Q$6,2,FALSE)),"")</f>
        <v/>
      </c>
      <c r="AH15" s="264"/>
      <c r="AI15" s="172" t="str">
        <f>IF(AH15="","",IF(VLOOKUP(AH15,'G-3 Multipliers'!$S$3:$T$6,2,FALSE)=0,"Spatial Data Missing",VLOOKUP(AH15,'G-3 Multipliers'!$S$3:$T$6,2,FALSE)))</f>
        <v/>
      </c>
      <c r="AJ15" s="207" t="str">
        <f t="shared" si="7"/>
        <v/>
      </c>
      <c r="AK15" s="180"/>
      <c r="AL15" s="181"/>
      <c r="AP15" s="35" t="str">
        <f>IFERROR(INDEX('G-6 Hedgerow Data'!$BJ$3:$BJ$15,MATCH(M15,'G-6 Hedgerow Data'!$B$3:$B$15,0)),"")</f>
        <v/>
      </c>
    </row>
    <row r="16" spans="2:42" ht="13.8" x14ac:dyDescent="0.25">
      <c r="B16" s="259" t="str">
        <f>'E-1 Off Site Hedge Baseline'!AK14</f>
        <v/>
      </c>
      <c r="C16" s="175" t="str">
        <f>IF(B16="","",IF(ISNA(VLOOKUP($B16,'E-1 Off Site Hedge Baseline'!$B$1:$L$257,3,FALSE)),"",(VLOOKUP($B16,'E-1 Off Site Hedge Baseline'!$B$1:$L$257,3,FALSE))))</f>
        <v/>
      </c>
      <c r="D16" s="175" t="str">
        <f>IF(B16="","",IF(ISNA(VLOOKUP($B16,'E-1 Off Site Hedge Baseline'!$B$1:$L$258,4,FALSE)),"",(VLOOKUP($B16,'E-1 Off Site Hedge Baseline'!$B$1:$L$258,4,FALSE))))</f>
        <v/>
      </c>
      <c r="E16" s="175" t="str">
        <f>IF(B16="","",IF(ISNA(VLOOKUP($B16,'E-1 Off Site Hedge Baseline'!$B$1:$L$257,5,FALSE)),"",(VLOOKUP($B16,'E-1 Off Site Hedge Baseline'!$B$1:$L$257,5,FALSE))))</f>
        <v/>
      </c>
      <c r="F16" s="175" t="str">
        <f>IF(B16="","",IF(ISNA(VLOOKUP($B16,'E-1 Off Site Hedge Baseline'!$B$1:$L$257,6,FALSE)),"",(VLOOKUP($B16,'E-1 Off Site Hedge Baseline'!$B$1:$L$257,6,FALSE))))</f>
        <v/>
      </c>
      <c r="G16" s="175" t="str">
        <f>IF(B16="","",IF(ISNA(VLOOKUP($B16,'E-1 Off Site Hedge Baseline'!$B$1:$L$257,7,FALSE)),"",(VLOOKUP($B16,'E-1 Off Site Hedge Baseline'!$B$1:$L$257,7,FALSE))))</f>
        <v/>
      </c>
      <c r="H16" s="175" t="str">
        <f>IF(B16="","",IF(ISNA(VLOOKUP($B16,'E-1 Off Site Hedge Baseline'!$B$1:$L$257,8,FALSE)),"",(VLOOKUP($B16,'E-1 Off Site Hedge Baseline'!$B$1:$L$257,8,FALSE))))</f>
        <v/>
      </c>
      <c r="I16" s="175" t="str">
        <f>IF(B16="","",IF(ISNA(VLOOKUP($B16,'E-1 Off Site Hedge Baseline'!$B$1:$L$257,10,FALSE)),"",(VLOOKUP($B16,'E-1 Off Site Hedge Baseline'!$B$1:$L$257,10,FALSE))))</f>
        <v/>
      </c>
      <c r="J16" s="175" t="str">
        <f>IF(B16="","",IF(ISNA(VLOOKUP($B16,'E-1 Off Site Hedge Baseline'!$B$1:$L$257,11,FALSE)),"",(VLOOKUP($B16,'E-1 Off Site Hedge Baseline'!$B$1:$L$257,11,FALSE))))</f>
        <v/>
      </c>
      <c r="K16" s="175" t="str">
        <f>IF(B16="","",IF(ISNA(VLOOKUP($B16,'E-1 Off Site Hedge Baseline'!$B$1:$U$257,113,FALSE)),"",(VLOOKUP($B16,'E-1 Off Site Hedge Baseline'!$B$1:$U$257,13,FALSE))))</f>
        <v/>
      </c>
      <c r="L16" s="179" t="str">
        <f>IF(B16="","",IF(ISNA(VLOOKUP($B16,'E-1 Off Site Hedge Baseline'!$B$1:$U$257,12,FALSE)),"",(VLOOKUP($B16,'E-1 Off Site Hedge Baseline'!$B$1:$U$257,12,FALSE))))</f>
        <v/>
      </c>
      <c r="M16" s="639" t="str">
        <f t="shared" si="0"/>
        <v/>
      </c>
      <c r="N16" s="171" t="str">
        <f>IFERROR(IF(B16="","",INDEX('G-6 Hedgerow Data'!$AN$3:$AZ$15,MATCH(C16,'G-6 Hedgerow Data'!$AM$3:$AM$15,0),MATCH(M16,'G-6 Hedgerow Data'!$AN$2:$AZ$2,0))),"")</f>
        <v/>
      </c>
      <c r="O16" s="172" t="str">
        <f t="shared" si="2"/>
        <v/>
      </c>
      <c r="P16" s="260" t="str">
        <f>IF(B16="","",VLOOKUP(B16,'E-1 Off Site Hedge Baseline'!$B$10:T261,16,FALSE))</f>
        <v/>
      </c>
      <c r="Q16" s="171" t="str">
        <f>IF(M16="","",VLOOKUP(M16,'G-6 Hedgerow Data'!$B$2:$AG$15,2,FALSE))</f>
        <v/>
      </c>
      <c r="R16" s="172" t="str">
        <f>IF(M16="","",VLOOKUP(M16,'G-6 Hedgerow Data'!$B$2:$AG$15,3,FALSE))</f>
        <v/>
      </c>
      <c r="S16" s="173"/>
      <c r="T16" s="172" t="str">
        <f>IFERROR(IF(AND(Q16="V.Low",OR(S16="Good",S16="Moderate")),"Error",VLOOKUP(S16,'G-1 All Habitats'!$Z$2:$AA$9,2,FALSE)),"")</f>
        <v/>
      </c>
      <c r="U16" s="79"/>
      <c r="V16" s="179" t="str">
        <f>IF(U16="","",IF(VLOOKUP(U16,'G-3 Multipliers'!$L$3:$N$6,2,FALSE)=0,"Spatial Data Missing",VLOOKUP(U16,'G-3 Multipliers'!$L$3:$N$6,2,FALSE)))</f>
        <v/>
      </c>
      <c r="W16" s="260" t="str">
        <f>IF(U16="","",IF(VLOOKUP(U16,'G-3 Multipliers'!$L$3:$N$6,3,FALSE)=0,"Spatial Data Missing",VLOOKUP(U16,'G-3 Multipliers'!$L$3:$N$6,3,FALSE)))</f>
        <v/>
      </c>
      <c r="X16" s="171" t="str">
        <f>IFERROR(IF(OR(LEFT(O16,5)="Error",LEFT(N16,5)="Error",T16="Error"),"Check Data",IF(F16&lt;R16,INDEX('G-6 Hedgerow Data'!$S$3:$AE$14,MATCH(C16,'G-6 Hedgerow Data'!$B$3:$B$14,0),MATCH(M16,'G-6 Hedgerow Data'!$S$2:$AE$2,0)),INDEX('G-6 Hedgerow Data'!$K$3:$Q$14,MATCH(M16,'G-6 Hedgerow Data'!$B$3:$B$14,0),MATCH(O16,'G-6 Hedgerow Data'!$K$2:$Q$2,0)))),"")</f>
        <v/>
      </c>
      <c r="Y16" s="261"/>
      <c r="Z16" s="261"/>
      <c r="AA16" s="179" t="str">
        <f t="shared" si="3"/>
        <v/>
      </c>
      <c r="AB16" s="262" t="str">
        <f t="shared" si="4"/>
        <v/>
      </c>
      <c r="AC16" s="263" t="str">
        <f t="shared" si="1"/>
        <v/>
      </c>
      <c r="AD16" s="239" t="str">
        <f>IF(M16="","",VLOOKUP(M16,'G-6 Hedgerow Data'!$B$3:$AG$15,31,FALSE))</f>
        <v/>
      </c>
      <c r="AE16" s="175" t="str">
        <f t="shared" si="5"/>
        <v/>
      </c>
      <c r="AF16" s="175" t="str">
        <f t="shared" si="6"/>
        <v/>
      </c>
      <c r="AG16" s="176" t="str">
        <f>IFERROR(IF(O16="","",VLOOKUP(AD16,'G-3 Multipliers'!$P$3:$Q$6,2,FALSE)),"")</f>
        <v/>
      </c>
      <c r="AH16" s="264"/>
      <c r="AI16" s="172" t="str">
        <f>IF(AH16="","",IF(VLOOKUP(AH16,'G-3 Multipliers'!$S$3:$T$6,2,FALSE)=0,"Spatial Data Missing",VLOOKUP(AH16,'G-3 Multipliers'!$S$3:$T$6,2,FALSE)))</f>
        <v/>
      </c>
      <c r="AJ16" s="207" t="str">
        <f t="shared" si="7"/>
        <v/>
      </c>
      <c r="AK16" s="180"/>
      <c r="AL16" s="181"/>
      <c r="AP16" s="35" t="str">
        <f>IFERROR(INDEX('G-6 Hedgerow Data'!$BJ$3:$BJ$15,MATCH(M16,'G-6 Hedgerow Data'!$B$3:$B$15,0)),"")</f>
        <v/>
      </c>
    </row>
    <row r="17" spans="2:42" ht="13.8" x14ac:dyDescent="0.25">
      <c r="B17" s="259" t="str">
        <f>'E-1 Off Site Hedge Baseline'!AK15</f>
        <v/>
      </c>
      <c r="C17" s="175" t="str">
        <f>IF(B17="","",IF(ISNA(VLOOKUP($B17,'E-1 Off Site Hedge Baseline'!$B$1:$L$257,3,FALSE)),"",(VLOOKUP($B17,'E-1 Off Site Hedge Baseline'!$B$1:$L$257,3,FALSE))))</f>
        <v/>
      </c>
      <c r="D17" s="175" t="str">
        <f>IF(B17="","",IF(ISNA(VLOOKUP($B17,'E-1 Off Site Hedge Baseline'!$B$1:$L$258,4,FALSE)),"",(VLOOKUP($B17,'E-1 Off Site Hedge Baseline'!$B$1:$L$258,4,FALSE))))</f>
        <v/>
      </c>
      <c r="E17" s="175" t="str">
        <f>IF(B17="","",IF(ISNA(VLOOKUP($B17,'E-1 Off Site Hedge Baseline'!$B$1:$L$257,5,FALSE)),"",(VLOOKUP($B17,'E-1 Off Site Hedge Baseline'!$B$1:$L$257,5,FALSE))))</f>
        <v/>
      </c>
      <c r="F17" s="175" t="str">
        <f>IF(B17="","",IF(ISNA(VLOOKUP($B17,'E-1 Off Site Hedge Baseline'!$B$1:$L$257,6,FALSE)),"",(VLOOKUP($B17,'E-1 Off Site Hedge Baseline'!$B$1:$L$257,6,FALSE))))</f>
        <v/>
      </c>
      <c r="G17" s="175" t="str">
        <f>IF(B17="","",IF(ISNA(VLOOKUP($B17,'E-1 Off Site Hedge Baseline'!$B$1:$L$257,7,FALSE)),"",(VLOOKUP($B17,'E-1 Off Site Hedge Baseline'!$B$1:$L$257,7,FALSE))))</f>
        <v/>
      </c>
      <c r="H17" s="175" t="str">
        <f>IF(B17="","",IF(ISNA(VLOOKUP($B17,'E-1 Off Site Hedge Baseline'!$B$1:$L$257,8,FALSE)),"",(VLOOKUP($B17,'E-1 Off Site Hedge Baseline'!$B$1:$L$257,8,FALSE))))</f>
        <v/>
      </c>
      <c r="I17" s="175" t="str">
        <f>IF(B17="","",IF(ISNA(VLOOKUP($B17,'E-1 Off Site Hedge Baseline'!$B$1:$L$257,10,FALSE)),"",(VLOOKUP($B17,'E-1 Off Site Hedge Baseline'!$B$1:$L$257,10,FALSE))))</f>
        <v/>
      </c>
      <c r="J17" s="175" t="str">
        <f>IF(B17="","",IF(ISNA(VLOOKUP($B17,'E-1 Off Site Hedge Baseline'!$B$1:$L$257,11,FALSE)),"",(VLOOKUP($B17,'E-1 Off Site Hedge Baseline'!$B$1:$L$257,11,FALSE))))</f>
        <v/>
      </c>
      <c r="K17" s="175" t="str">
        <f>IF(B17="","",IF(ISNA(VLOOKUP($B17,'E-1 Off Site Hedge Baseline'!$B$1:$U$257,113,FALSE)),"",(VLOOKUP($B17,'E-1 Off Site Hedge Baseline'!$B$1:$U$257,13,FALSE))))</f>
        <v/>
      </c>
      <c r="L17" s="179" t="str">
        <f>IF(B17="","",IF(ISNA(VLOOKUP($B17,'E-1 Off Site Hedge Baseline'!$B$1:$U$257,12,FALSE)),"",(VLOOKUP($B17,'E-1 Off Site Hedge Baseline'!$B$1:$U$257,12,FALSE))))</f>
        <v/>
      </c>
      <c r="M17" s="639" t="str">
        <f t="shared" ref="M17:M77" si="8">C17</f>
        <v/>
      </c>
      <c r="N17" s="171" t="str">
        <f>IFERROR(IF(B17="","",INDEX('G-6 Hedgerow Data'!$AN$3:$AZ$15,MATCH(C17,'G-6 Hedgerow Data'!$AM$3:$AM$15,0),MATCH(M17,'G-6 Hedgerow Data'!$AN$2:$AZ$2,0))),"")</f>
        <v/>
      </c>
      <c r="O17" s="172" t="str">
        <f t="shared" si="2"/>
        <v/>
      </c>
      <c r="P17" s="260" t="str">
        <f>IF(B17="","",VLOOKUP(B17,'E-1 Off Site Hedge Baseline'!$B$10:T262,16,FALSE))</f>
        <v/>
      </c>
      <c r="Q17" s="171" t="str">
        <f>IF(M17="","",VLOOKUP(M17,'G-6 Hedgerow Data'!$B$2:$AG$15,2,FALSE))</f>
        <v/>
      </c>
      <c r="R17" s="172" t="str">
        <f>IF(M17="","",VLOOKUP(M17,'G-6 Hedgerow Data'!$B$2:$AG$15,3,FALSE))</f>
        <v/>
      </c>
      <c r="S17" s="173"/>
      <c r="T17" s="172" t="str">
        <f>IFERROR(IF(AND(Q17="V.Low",OR(S17="Good",S17="Moderate")),"Error",VLOOKUP(S17,'G-1 All Habitats'!$Z$2:$AA$9,2,FALSE)),"")</f>
        <v/>
      </c>
      <c r="U17" s="173"/>
      <c r="V17" s="179" t="str">
        <f>IF(U17="","",IF(VLOOKUP(U17,'G-3 Multipliers'!$L$3:$N$6,2,FALSE)=0,"Spatial Data Missing",VLOOKUP(U17,'G-3 Multipliers'!$L$3:$N$6,2,FALSE)))</f>
        <v/>
      </c>
      <c r="W17" s="260" t="str">
        <f>IF(U17="","",IF(VLOOKUP(U17,'G-3 Multipliers'!$L$3:$N$6,3,FALSE)=0,"Spatial Data Missing",VLOOKUP(U17,'G-3 Multipliers'!$L$3:$N$6,3,FALSE)))</f>
        <v/>
      </c>
      <c r="X17" s="171" t="str">
        <f>IFERROR(IF(OR(LEFT(O17,5)="Error",LEFT(N17,5)="Error",T17="Error"),"Check Data",IF(F17&lt;R17,INDEX('G-6 Hedgerow Data'!$S$3:$AE$14,MATCH(C17,'G-6 Hedgerow Data'!$B$3:$B$14,0),MATCH(M17,'G-6 Hedgerow Data'!$S$2:$AE$2,0)),INDEX('G-6 Hedgerow Data'!$K$3:$Q$14,MATCH(M17,'G-6 Hedgerow Data'!$B$3:$B$14,0),MATCH(O17,'G-6 Hedgerow Data'!$K$2:$Q$2,0)))),"")</f>
        <v/>
      </c>
      <c r="Y17" s="261"/>
      <c r="Z17" s="261"/>
      <c r="AA17" s="179" t="str">
        <f t="shared" si="3"/>
        <v/>
      </c>
      <c r="AB17" s="262" t="str">
        <f t="shared" si="4"/>
        <v/>
      </c>
      <c r="AC17" s="263" t="str">
        <f t="shared" si="1"/>
        <v/>
      </c>
      <c r="AD17" s="239" t="str">
        <f>IF(M17="","",VLOOKUP(M17,'G-6 Hedgerow Data'!$B$3:$AG$15,31,FALSE))</f>
        <v/>
      </c>
      <c r="AE17" s="175" t="str">
        <f t="shared" si="5"/>
        <v/>
      </c>
      <c r="AF17" s="175" t="str">
        <f t="shared" si="6"/>
        <v/>
      </c>
      <c r="AG17" s="176" t="str">
        <f>IFERROR(IF(O17="","",VLOOKUP(AD17,'G-3 Multipliers'!$P$3:$Q$6,2,FALSE)),"")</f>
        <v/>
      </c>
      <c r="AH17" s="266"/>
      <c r="AI17" s="172" t="str">
        <f>IF(AH17="","",IF(VLOOKUP(AH17,'G-3 Multipliers'!$S$3:$T$6,2,FALSE)=0,"Spatial Data Missing",VLOOKUP(AH17,'G-3 Multipliers'!$S$3:$T$6,2,FALSE)))</f>
        <v/>
      </c>
      <c r="AJ17" s="265" t="str">
        <f t="shared" si="7"/>
        <v/>
      </c>
      <c r="AK17" s="180"/>
      <c r="AL17" s="181"/>
      <c r="AP17" s="35" t="str">
        <f>IFERROR(INDEX('G-6 Hedgerow Data'!$BJ$3:$BJ$15,MATCH(M17,'G-6 Hedgerow Data'!$B$3:$B$15,0)),"")</f>
        <v/>
      </c>
    </row>
    <row r="18" spans="2:42" ht="13.8" x14ac:dyDescent="0.25">
      <c r="B18" s="259" t="str">
        <f>'E-1 Off Site Hedge Baseline'!AK16</f>
        <v/>
      </c>
      <c r="C18" s="175" t="str">
        <f>IF(B18="","",IF(ISNA(VLOOKUP($B18,'E-1 Off Site Hedge Baseline'!$B$1:$L$257,3,FALSE)),"",(VLOOKUP($B18,'E-1 Off Site Hedge Baseline'!$B$1:$L$257,3,FALSE))))</f>
        <v/>
      </c>
      <c r="D18" s="175" t="str">
        <f>IF(B18="","",IF(ISNA(VLOOKUP($B18,'E-1 Off Site Hedge Baseline'!$B$1:$L$258,4,FALSE)),"",(VLOOKUP($B18,'E-1 Off Site Hedge Baseline'!$B$1:$L$258,4,FALSE))))</f>
        <v/>
      </c>
      <c r="E18" s="175" t="str">
        <f>IF(B18="","",IF(ISNA(VLOOKUP($B18,'E-1 Off Site Hedge Baseline'!$B$1:$L$257,5,FALSE)),"",(VLOOKUP($B18,'E-1 Off Site Hedge Baseline'!$B$1:$L$257,5,FALSE))))</f>
        <v/>
      </c>
      <c r="F18" s="175" t="str">
        <f>IF(B18="","",IF(ISNA(VLOOKUP($B18,'E-1 Off Site Hedge Baseline'!$B$1:$L$257,6,FALSE)),"",(VLOOKUP($B18,'E-1 Off Site Hedge Baseline'!$B$1:$L$257,6,FALSE))))</f>
        <v/>
      </c>
      <c r="G18" s="175" t="str">
        <f>IF(B18="","",IF(ISNA(VLOOKUP($B18,'E-1 Off Site Hedge Baseline'!$B$1:$L$257,7,FALSE)),"",(VLOOKUP($B18,'E-1 Off Site Hedge Baseline'!$B$1:$L$257,7,FALSE))))</f>
        <v/>
      </c>
      <c r="H18" s="175" t="str">
        <f>IF(B18="","",IF(ISNA(VLOOKUP($B18,'E-1 Off Site Hedge Baseline'!$B$1:$L$257,8,FALSE)),"",(VLOOKUP($B18,'E-1 Off Site Hedge Baseline'!$B$1:$L$257,8,FALSE))))</f>
        <v/>
      </c>
      <c r="I18" s="175" t="str">
        <f>IF(B18="","",IF(ISNA(VLOOKUP($B18,'E-1 Off Site Hedge Baseline'!$B$1:$L$257,10,FALSE)),"",(VLOOKUP($B18,'E-1 Off Site Hedge Baseline'!$B$1:$L$257,10,FALSE))))</f>
        <v/>
      </c>
      <c r="J18" s="175" t="str">
        <f>IF(B18="","",IF(ISNA(VLOOKUP($B18,'E-1 Off Site Hedge Baseline'!$B$1:$L$257,11,FALSE)),"",(VLOOKUP($B18,'E-1 Off Site Hedge Baseline'!$B$1:$L$257,11,FALSE))))</f>
        <v/>
      </c>
      <c r="K18" s="175" t="str">
        <f>IF(B18="","",IF(ISNA(VLOOKUP($B18,'E-1 Off Site Hedge Baseline'!$B$1:$U$257,113,FALSE)),"",(VLOOKUP($B18,'E-1 Off Site Hedge Baseline'!$B$1:$U$257,13,FALSE))))</f>
        <v/>
      </c>
      <c r="L18" s="179" t="str">
        <f>IF(B18="","",IF(ISNA(VLOOKUP($B18,'E-1 Off Site Hedge Baseline'!$B$1:$U$257,12,FALSE)),"",(VLOOKUP($B18,'E-1 Off Site Hedge Baseline'!$B$1:$U$257,12,FALSE))))</f>
        <v/>
      </c>
      <c r="M18" s="639" t="str">
        <f t="shared" si="8"/>
        <v/>
      </c>
      <c r="N18" s="171" t="str">
        <f>IFERROR(IF(B18="","",INDEX('G-6 Hedgerow Data'!$AN$3:$AZ$15,MATCH(C18,'G-6 Hedgerow Data'!$AM$3:$AM$15,0),MATCH(M18,'G-6 Hedgerow Data'!$AN$2:$AZ$2,0))),"")</f>
        <v/>
      </c>
      <c r="O18" s="172" t="str">
        <f t="shared" si="2"/>
        <v/>
      </c>
      <c r="P18" s="260" t="str">
        <f>IF(B18="","",VLOOKUP(B18,'E-1 Off Site Hedge Baseline'!$B$10:T263,16,FALSE))</f>
        <v/>
      </c>
      <c r="Q18" s="171" t="str">
        <f>IF(M18="","",VLOOKUP(M18,'G-6 Hedgerow Data'!$B$2:$AG$15,2,FALSE))</f>
        <v/>
      </c>
      <c r="R18" s="172" t="str">
        <f>IF(M18="","",VLOOKUP(M18,'G-6 Hedgerow Data'!$B$2:$AG$15,3,FALSE))</f>
        <v/>
      </c>
      <c r="S18" s="173"/>
      <c r="T18" s="172" t="str">
        <f>IFERROR(IF(AND(Q18="V.Low",OR(S18="Good",S18="Moderate")),"Error",VLOOKUP(S18,'G-1 All Habitats'!$Z$2:$AA$9,2,FALSE)),"")</f>
        <v/>
      </c>
      <c r="U18" s="173"/>
      <c r="V18" s="179" t="str">
        <f>IF(U18="","",IF(VLOOKUP(U18,'G-3 Multipliers'!$L$3:$N$6,2,FALSE)=0,"Spatial Data Missing",VLOOKUP(U18,'G-3 Multipliers'!$L$3:$N$6,2,FALSE)))</f>
        <v/>
      </c>
      <c r="W18" s="260" t="str">
        <f>IF(U18="","",IF(VLOOKUP(U18,'G-3 Multipliers'!$L$3:$N$6,3,FALSE)=0,"Spatial Data Missing",VLOOKUP(U18,'G-3 Multipliers'!$L$3:$N$6,3,FALSE)))</f>
        <v/>
      </c>
      <c r="X18" s="171" t="str">
        <f>IFERROR(IF(OR(LEFT(O18,5)="Error",LEFT(N18,5)="Error",T18="Error"),"Check Data",IF(F18&lt;R18,INDEX('G-6 Hedgerow Data'!$S$3:$AE$14,MATCH(C18,'G-6 Hedgerow Data'!$B$3:$B$14,0),MATCH(M18,'G-6 Hedgerow Data'!$S$2:$AE$2,0)),INDEX('G-6 Hedgerow Data'!$K$3:$Q$14,MATCH(M18,'G-6 Hedgerow Data'!$B$3:$B$14,0),MATCH(O18,'G-6 Hedgerow Data'!$K$2:$Q$2,0)))),"")</f>
        <v/>
      </c>
      <c r="Y18" s="261"/>
      <c r="Z18" s="261"/>
      <c r="AA18" s="179" t="str">
        <f t="shared" si="3"/>
        <v/>
      </c>
      <c r="AB18" s="262" t="str">
        <f t="shared" si="4"/>
        <v/>
      </c>
      <c r="AC18" s="263" t="str">
        <f t="shared" si="1"/>
        <v/>
      </c>
      <c r="AD18" s="239" t="str">
        <f>IF(M18="","",VLOOKUP(M18,'G-6 Hedgerow Data'!$B$3:$AG$15,31,FALSE))</f>
        <v/>
      </c>
      <c r="AE18" s="175" t="str">
        <f t="shared" si="5"/>
        <v/>
      </c>
      <c r="AF18" s="175" t="str">
        <f t="shared" si="6"/>
        <v/>
      </c>
      <c r="AG18" s="176" t="str">
        <f>IFERROR(IF(O18="","",VLOOKUP(AD18,'G-3 Multipliers'!$P$3:$Q$6,2,FALSE)),"")</f>
        <v/>
      </c>
      <c r="AH18" s="266"/>
      <c r="AI18" s="172" t="str">
        <f>IF(AH18="","",IF(VLOOKUP(AH18,'G-3 Multipliers'!$S$3:$T$6,2,FALSE)=0,"Spatial Data Missing",VLOOKUP(AH18,'G-3 Multipliers'!$S$3:$T$6,2,FALSE)))</f>
        <v/>
      </c>
      <c r="AJ18" s="265" t="str">
        <f t="shared" si="7"/>
        <v/>
      </c>
      <c r="AK18" s="180"/>
      <c r="AL18" s="181"/>
      <c r="AP18" s="35" t="str">
        <f>IFERROR(INDEX('G-6 Hedgerow Data'!$BJ$3:$BJ$15,MATCH(M18,'G-6 Hedgerow Data'!$B$3:$B$15,0)),"")</f>
        <v/>
      </c>
    </row>
    <row r="19" spans="2:42" ht="13.8" x14ac:dyDescent="0.25">
      <c r="B19" s="259" t="str">
        <f>'E-1 Off Site Hedge Baseline'!AK17</f>
        <v/>
      </c>
      <c r="C19" s="175" t="str">
        <f>IF(B19="","",IF(ISNA(VLOOKUP($B19,'E-1 Off Site Hedge Baseline'!$B$1:$L$257,3,FALSE)),"",(VLOOKUP($B19,'E-1 Off Site Hedge Baseline'!$B$1:$L$257,3,FALSE))))</f>
        <v/>
      </c>
      <c r="D19" s="175" t="str">
        <f>IF(B19="","",IF(ISNA(VLOOKUP($B19,'E-1 Off Site Hedge Baseline'!$B$1:$L$258,4,FALSE)),"",(VLOOKUP($B19,'E-1 Off Site Hedge Baseline'!$B$1:$L$258,4,FALSE))))</f>
        <v/>
      </c>
      <c r="E19" s="175" t="str">
        <f>IF(B19="","",IF(ISNA(VLOOKUP($B19,'E-1 Off Site Hedge Baseline'!$B$1:$L$257,5,FALSE)),"",(VLOOKUP($B19,'E-1 Off Site Hedge Baseline'!$B$1:$L$257,5,FALSE))))</f>
        <v/>
      </c>
      <c r="F19" s="175" t="str">
        <f>IF(B19="","",IF(ISNA(VLOOKUP($B19,'E-1 Off Site Hedge Baseline'!$B$1:$L$257,6,FALSE)),"",(VLOOKUP($B19,'E-1 Off Site Hedge Baseline'!$B$1:$L$257,6,FALSE))))</f>
        <v/>
      </c>
      <c r="G19" s="175" t="str">
        <f>IF(B19="","",IF(ISNA(VLOOKUP($B19,'E-1 Off Site Hedge Baseline'!$B$1:$L$257,7,FALSE)),"",(VLOOKUP($B19,'E-1 Off Site Hedge Baseline'!$B$1:$L$257,7,FALSE))))</f>
        <v/>
      </c>
      <c r="H19" s="175" t="str">
        <f>IF(B19="","",IF(ISNA(VLOOKUP($B19,'E-1 Off Site Hedge Baseline'!$B$1:$L$257,8,FALSE)),"",(VLOOKUP($B19,'E-1 Off Site Hedge Baseline'!$B$1:$L$257,8,FALSE))))</f>
        <v/>
      </c>
      <c r="I19" s="175" t="str">
        <f>IF(B19="","",IF(ISNA(VLOOKUP($B19,'E-1 Off Site Hedge Baseline'!$B$1:$L$257,10,FALSE)),"",(VLOOKUP($B19,'E-1 Off Site Hedge Baseline'!$B$1:$L$257,10,FALSE))))</f>
        <v/>
      </c>
      <c r="J19" s="175" t="str">
        <f>IF(B19="","",IF(ISNA(VLOOKUP($B19,'E-1 Off Site Hedge Baseline'!$B$1:$L$257,11,FALSE)),"",(VLOOKUP($B19,'E-1 Off Site Hedge Baseline'!$B$1:$L$257,11,FALSE))))</f>
        <v/>
      </c>
      <c r="K19" s="175" t="str">
        <f>IF(B19="","",IF(ISNA(VLOOKUP($B19,'E-1 Off Site Hedge Baseline'!$B$1:$U$257,113,FALSE)),"",(VLOOKUP($B19,'E-1 Off Site Hedge Baseline'!$B$1:$U$257,13,FALSE))))</f>
        <v/>
      </c>
      <c r="L19" s="179" t="str">
        <f>IF(B19="","",IF(ISNA(VLOOKUP($B19,'E-1 Off Site Hedge Baseline'!$B$1:$U$257,12,FALSE)),"",(VLOOKUP($B19,'E-1 Off Site Hedge Baseline'!$B$1:$U$257,12,FALSE))))</f>
        <v/>
      </c>
      <c r="M19" s="639" t="str">
        <f t="shared" si="8"/>
        <v/>
      </c>
      <c r="N19" s="171" t="str">
        <f>IFERROR(IF(B19="","",INDEX('G-6 Hedgerow Data'!$AN$3:$AZ$15,MATCH(C19,'G-6 Hedgerow Data'!$AM$3:$AM$15,0),MATCH(M19,'G-6 Hedgerow Data'!$AN$2:$AZ$2,0))),"")</f>
        <v/>
      </c>
      <c r="O19" s="172" t="str">
        <f t="shared" si="2"/>
        <v/>
      </c>
      <c r="P19" s="260" t="str">
        <f>IF(B19="","",VLOOKUP(B19,'E-1 Off Site Hedge Baseline'!$B$10:T264,16,FALSE))</f>
        <v/>
      </c>
      <c r="Q19" s="171" t="str">
        <f>IF(M19="","",VLOOKUP(M19,'G-6 Hedgerow Data'!$B$2:$AG$15,2,FALSE))</f>
        <v/>
      </c>
      <c r="R19" s="172" t="str">
        <f>IF(M19="","",VLOOKUP(M19,'G-6 Hedgerow Data'!$B$2:$AG$15,3,FALSE))</f>
        <v/>
      </c>
      <c r="S19" s="173"/>
      <c r="T19" s="172" t="str">
        <f>IFERROR(IF(AND(Q19="V.Low",OR(S19="Good",S19="Moderate")),"Error",VLOOKUP(S19,'G-1 All Habitats'!$Z$2:$AA$9,2,FALSE)),"")</f>
        <v/>
      </c>
      <c r="U19" s="173"/>
      <c r="V19" s="179" t="str">
        <f>IF(U19="","",IF(VLOOKUP(U19,'G-3 Multipliers'!$L$3:$N$6,2,FALSE)=0,"Spatial Data Missing",VLOOKUP(U19,'G-3 Multipliers'!$L$3:$N$6,2,FALSE)))</f>
        <v/>
      </c>
      <c r="W19" s="260" t="str">
        <f>IF(U19="","",IF(VLOOKUP(U19,'G-3 Multipliers'!$L$3:$N$6,3,FALSE)=0,"Spatial Data Missing",VLOOKUP(U19,'G-3 Multipliers'!$L$3:$N$6,3,FALSE)))</f>
        <v/>
      </c>
      <c r="X19" s="171" t="str">
        <f>IFERROR(IF(OR(LEFT(O19,5)="Error",LEFT(N19,5)="Error",T19="Error"),"Check Data",IF(F19&lt;R19,INDEX('G-6 Hedgerow Data'!$S$3:$AE$14,MATCH(C19,'G-6 Hedgerow Data'!$B$3:$B$14,0),MATCH(M19,'G-6 Hedgerow Data'!$S$2:$AE$2,0)),INDEX('G-6 Hedgerow Data'!$K$3:$Q$14,MATCH(M19,'G-6 Hedgerow Data'!$B$3:$B$14,0),MATCH(O19,'G-6 Hedgerow Data'!$K$2:$Q$2,0)))),"")</f>
        <v/>
      </c>
      <c r="Y19" s="261"/>
      <c r="Z19" s="261"/>
      <c r="AA19" s="179" t="str">
        <f t="shared" si="3"/>
        <v/>
      </c>
      <c r="AB19" s="262" t="str">
        <f t="shared" si="4"/>
        <v/>
      </c>
      <c r="AC19" s="263" t="str">
        <f t="shared" si="1"/>
        <v/>
      </c>
      <c r="AD19" s="239" t="str">
        <f>IF(M19="","",VLOOKUP(M19,'G-6 Hedgerow Data'!$B$3:$AG$15,31,FALSE))</f>
        <v/>
      </c>
      <c r="AE19" s="175" t="str">
        <f t="shared" si="5"/>
        <v/>
      </c>
      <c r="AF19" s="175" t="str">
        <f t="shared" si="6"/>
        <v/>
      </c>
      <c r="AG19" s="176" t="str">
        <f>IFERROR(IF(O19="","",VLOOKUP(AD19,'G-3 Multipliers'!$P$3:$Q$6,2,FALSE)),"")</f>
        <v/>
      </c>
      <c r="AH19" s="266"/>
      <c r="AI19" s="172" t="str">
        <f>IF(AH19="","",IF(VLOOKUP(AH19,'G-3 Multipliers'!$S$3:$T$6,2,FALSE)=0,"Spatial Data Missing",VLOOKUP(AH19,'G-3 Multipliers'!$S$3:$T$6,2,FALSE)))</f>
        <v/>
      </c>
      <c r="AJ19" s="265" t="str">
        <f t="shared" si="7"/>
        <v/>
      </c>
      <c r="AK19" s="180"/>
      <c r="AL19" s="181"/>
      <c r="AP19" s="35" t="str">
        <f>IFERROR(INDEX('G-6 Hedgerow Data'!$BJ$3:$BJ$15,MATCH(M19,'G-6 Hedgerow Data'!$B$3:$B$15,0)),"")</f>
        <v/>
      </c>
    </row>
    <row r="20" spans="2:42" ht="13.8" x14ac:dyDescent="0.25">
      <c r="B20" s="259" t="str">
        <f>'E-1 Off Site Hedge Baseline'!AK18</f>
        <v/>
      </c>
      <c r="C20" s="175" t="str">
        <f>IF(B20="","",IF(ISNA(VLOOKUP($B20,'E-1 Off Site Hedge Baseline'!$B$1:$L$257,3,FALSE)),"",(VLOOKUP($B20,'E-1 Off Site Hedge Baseline'!$B$1:$L$257,3,FALSE))))</f>
        <v/>
      </c>
      <c r="D20" s="175" t="str">
        <f>IF(B20="","",IF(ISNA(VLOOKUP($B20,'E-1 Off Site Hedge Baseline'!$B$1:$L$258,4,FALSE)),"",(VLOOKUP($B20,'E-1 Off Site Hedge Baseline'!$B$1:$L$258,4,FALSE))))</f>
        <v/>
      </c>
      <c r="E20" s="175" t="str">
        <f>IF(B20="","",IF(ISNA(VLOOKUP($B20,'E-1 Off Site Hedge Baseline'!$B$1:$L$257,5,FALSE)),"",(VLOOKUP($B20,'E-1 Off Site Hedge Baseline'!$B$1:$L$257,5,FALSE))))</f>
        <v/>
      </c>
      <c r="F20" s="175" t="str">
        <f>IF(B20="","",IF(ISNA(VLOOKUP($B20,'E-1 Off Site Hedge Baseline'!$B$1:$L$257,6,FALSE)),"",(VLOOKUP($B20,'E-1 Off Site Hedge Baseline'!$B$1:$L$257,6,FALSE))))</f>
        <v/>
      </c>
      <c r="G20" s="175" t="str">
        <f>IF(B20="","",IF(ISNA(VLOOKUP($B20,'E-1 Off Site Hedge Baseline'!$B$1:$L$257,7,FALSE)),"",(VLOOKUP($B20,'E-1 Off Site Hedge Baseline'!$B$1:$L$257,7,FALSE))))</f>
        <v/>
      </c>
      <c r="H20" s="175" t="str">
        <f>IF(B20="","",IF(ISNA(VLOOKUP($B20,'E-1 Off Site Hedge Baseline'!$B$1:$L$257,8,FALSE)),"",(VLOOKUP($B20,'E-1 Off Site Hedge Baseline'!$B$1:$L$257,8,FALSE))))</f>
        <v/>
      </c>
      <c r="I20" s="175" t="str">
        <f>IF(B20="","",IF(ISNA(VLOOKUP($B20,'E-1 Off Site Hedge Baseline'!$B$1:$L$257,10,FALSE)),"",(VLOOKUP($B20,'E-1 Off Site Hedge Baseline'!$B$1:$L$257,10,FALSE))))</f>
        <v/>
      </c>
      <c r="J20" s="175" t="str">
        <f>IF(B20="","",IF(ISNA(VLOOKUP($B20,'E-1 Off Site Hedge Baseline'!$B$1:$L$257,11,FALSE)),"",(VLOOKUP($B20,'E-1 Off Site Hedge Baseline'!$B$1:$L$257,11,FALSE))))</f>
        <v/>
      </c>
      <c r="K20" s="175" t="str">
        <f>IF(B20="","",IF(ISNA(VLOOKUP($B20,'E-1 Off Site Hedge Baseline'!$B$1:$U$257,113,FALSE)),"",(VLOOKUP($B20,'E-1 Off Site Hedge Baseline'!$B$1:$U$257,13,FALSE))))</f>
        <v/>
      </c>
      <c r="L20" s="179" t="str">
        <f>IF(B20="","",IF(ISNA(VLOOKUP($B20,'E-1 Off Site Hedge Baseline'!$B$1:$U$257,12,FALSE)),"",(VLOOKUP($B20,'E-1 Off Site Hedge Baseline'!$B$1:$U$257,12,FALSE))))</f>
        <v/>
      </c>
      <c r="M20" s="639" t="str">
        <f t="shared" si="8"/>
        <v/>
      </c>
      <c r="N20" s="171" t="str">
        <f>IFERROR(IF(B20="","",INDEX('G-6 Hedgerow Data'!$AN$3:$AZ$15,MATCH(C20,'G-6 Hedgerow Data'!$AM$3:$AM$15,0),MATCH(M20,'G-6 Hedgerow Data'!$AN$2:$AZ$2,0))),"")</f>
        <v/>
      </c>
      <c r="O20" s="172" t="str">
        <f t="shared" si="2"/>
        <v/>
      </c>
      <c r="P20" s="260" t="str">
        <f>IF(B20="","",VLOOKUP(B20,'E-1 Off Site Hedge Baseline'!$B$10:T265,16,FALSE))</f>
        <v/>
      </c>
      <c r="Q20" s="171" t="str">
        <f>IF(M20="","",VLOOKUP(M20,'G-6 Hedgerow Data'!$B$2:$AG$15,2,FALSE))</f>
        <v/>
      </c>
      <c r="R20" s="172" t="str">
        <f>IF(M20="","",VLOOKUP(M20,'G-6 Hedgerow Data'!$B$2:$AG$15,3,FALSE))</f>
        <v/>
      </c>
      <c r="S20" s="173"/>
      <c r="T20" s="172" t="str">
        <f>IFERROR(IF(AND(Q20="V.Low",OR(S20="Good",S20="Moderate")),"Error",VLOOKUP(S20,'G-1 All Habitats'!$Z$2:$AA$9,2,FALSE)),"")</f>
        <v/>
      </c>
      <c r="U20" s="173"/>
      <c r="V20" s="179" t="str">
        <f>IF(U20="","",IF(VLOOKUP(U20,'G-3 Multipliers'!$L$3:$N$6,2,FALSE)=0,"Spatial Data Missing",VLOOKUP(U20,'G-3 Multipliers'!$L$3:$N$6,2,FALSE)))</f>
        <v/>
      </c>
      <c r="W20" s="260" t="str">
        <f>IF(U20="","",IF(VLOOKUP(U20,'G-3 Multipliers'!$L$3:$N$6,3,FALSE)=0,"Spatial Data Missing",VLOOKUP(U20,'G-3 Multipliers'!$L$3:$N$6,3,FALSE)))</f>
        <v/>
      </c>
      <c r="X20" s="171" t="str">
        <f>IFERROR(IF(OR(LEFT(O20,5)="Error",LEFT(N20,5)="Error",T20="Error"),"Check Data",IF(F20&lt;R20,INDEX('G-6 Hedgerow Data'!$S$3:$AE$14,MATCH(C20,'G-6 Hedgerow Data'!$B$3:$B$14,0),MATCH(M20,'G-6 Hedgerow Data'!$S$2:$AE$2,0)),INDEX('G-6 Hedgerow Data'!$K$3:$Q$14,MATCH(M20,'G-6 Hedgerow Data'!$B$3:$B$14,0),MATCH(O20,'G-6 Hedgerow Data'!$K$2:$Q$2,0)))),"")</f>
        <v/>
      </c>
      <c r="Y20" s="261"/>
      <c r="Z20" s="261"/>
      <c r="AA20" s="179" t="str">
        <f t="shared" si="3"/>
        <v/>
      </c>
      <c r="AB20" s="262" t="str">
        <f t="shared" si="4"/>
        <v/>
      </c>
      <c r="AC20" s="263" t="str">
        <f t="shared" si="1"/>
        <v/>
      </c>
      <c r="AD20" s="239" t="str">
        <f>IF(M20="","",VLOOKUP(M20,'G-6 Hedgerow Data'!$B$3:$AG$15,31,FALSE))</f>
        <v/>
      </c>
      <c r="AE20" s="175" t="str">
        <f t="shared" si="5"/>
        <v/>
      </c>
      <c r="AF20" s="175" t="str">
        <f t="shared" si="6"/>
        <v/>
      </c>
      <c r="AG20" s="176" t="str">
        <f>IFERROR(IF(O20="","",VLOOKUP(AD20,'G-3 Multipliers'!$P$3:$Q$6,2,FALSE)),"")</f>
        <v/>
      </c>
      <c r="AH20" s="266"/>
      <c r="AI20" s="172" t="str">
        <f>IF(AH20="","",IF(VLOOKUP(AH20,'G-3 Multipliers'!$S$3:$T$6,2,FALSE)=0,"Spatial Data Missing",VLOOKUP(AH20,'G-3 Multipliers'!$S$3:$T$6,2,FALSE)))</f>
        <v/>
      </c>
      <c r="AJ20" s="265" t="str">
        <f t="shared" si="7"/>
        <v/>
      </c>
      <c r="AK20" s="180"/>
      <c r="AL20" s="181"/>
      <c r="AP20" s="35" t="str">
        <f>IFERROR(INDEX('G-6 Hedgerow Data'!$BJ$3:$BJ$15,MATCH(M20,'G-6 Hedgerow Data'!$B$3:$B$15,0)),"")</f>
        <v/>
      </c>
    </row>
    <row r="21" spans="2:42" ht="13.8" x14ac:dyDescent="0.25">
      <c r="B21" s="259" t="str">
        <f>'E-1 Off Site Hedge Baseline'!AK19</f>
        <v/>
      </c>
      <c r="C21" s="175" t="str">
        <f>IF(B21="","",IF(ISNA(VLOOKUP($B21,'E-1 Off Site Hedge Baseline'!$B$1:$L$257,3,FALSE)),"",(VLOOKUP($B21,'E-1 Off Site Hedge Baseline'!$B$1:$L$257,3,FALSE))))</f>
        <v/>
      </c>
      <c r="D21" s="175" t="str">
        <f>IF(B21="","",IF(ISNA(VLOOKUP($B21,'E-1 Off Site Hedge Baseline'!$B$1:$L$258,4,FALSE)),"",(VLOOKUP($B21,'E-1 Off Site Hedge Baseline'!$B$1:$L$258,4,FALSE))))</f>
        <v/>
      </c>
      <c r="E21" s="175" t="str">
        <f>IF(B21="","",IF(ISNA(VLOOKUP($B21,'E-1 Off Site Hedge Baseline'!$B$1:$L$257,5,FALSE)),"",(VLOOKUP($B21,'E-1 Off Site Hedge Baseline'!$B$1:$L$257,5,FALSE))))</f>
        <v/>
      </c>
      <c r="F21" s="175" t="str">
        <f>IF(B21="","",IF(ISNA(VLOOKUP($B21,'E-1 Off Site Hedge Baseline'!$B$1:$L$257,6,FALSE)),"",(VLOOKUP($B21,'E-1 Off Site Hedge Baseline'!$B$1:$L$257,6,FALSE))))</f>
        <v/>
      </c>
      <c r="G21" s="175" t="str">
        <f>IF(B21="","",IF(ISNA(VLOOKUP($B21,'E-1 Off Site Hedge Baseline'!$B$1:$L$257,7,FALSE)),"",(VLOOKUP($B21,'E-1 Off Site Hedge Baseline'!$B$1:$L$257,7,FALSE))))</f>
        <v/>
      </c>
      <c r="H21" s="175" t="str">
        <f>IF(B21="","",IF(ISNA(VLOOKUP($B21,'E-1 Off Site Hedge Baseline'!$B$1:$L$257,8,FALSE)),"",(VLOOKUP($B21,'E-1 Off Site Hedge Baseline'!$B$1:$L$257,8,FALSE))))</f>
        <v/>
      </c>
      <c r="I21" s="175" t="str">
        <f>IF(B21="","",IF(ISNA(VLOOKUP($B21,'E-1 Off Site Hedge Baseline'!$B$1:$L$257,10,FALSE)),"",(VLOOKUP($B21,'E-1 Off Site Hedge Baseline'!$B$1:$L$257,10,FALSE))))</f>
        <v/>
      </c>
      <c r="J21" s="175" t="str">
        <f>IF(B21="","",IF(ISNA(VLOOKUP($B21,'E-1 Off Site Hedge Baseline'!$B$1:$L$257,11,FALSE)),"",(VLOOKUP($B21,'E-1 Off Site Hedge Baseline'!$B$1:$L$257,11,FALSE))))</f>
        <v/>
      </c>
      <c r="K21" s="175" t="str">
        <f>IF(B21="","",IF(ISNA(VLOOKUP($B21,'E-1 Off Site Hedge Baseline'!$B$1:$U$257,113,FALSE)),"",(VLOOKUP($B21,'E-1 Off Site Hedge Baseline'!$B$1:$U$257,13,FALSE))))</f>
        <v/>
      </c>
      <c r="L21" s="179" t="str">
        <f>IF(B21="","",IF(ISNA(VLOOKUP($B21,'E-1 Off Site Hedge Baseline'!$B$1:$U$257,12,FALSE)),"",(VLOOKUP($B21,'E-1 Off Site Hedge Baseline'!$B$1:$U$257,12,FALSE))))</f>
        <v/>
      </c>
      <c r="M21" s="639" t="str">
        <f t="shared" si="8"/>
        <v/>
      </c>
      <c r="N21" s="171" t="str">
        <f>IFERROR(IF(B21="","",INDEX('G-6 Hedgerow Data'!$AN$3:$AZ$15,MATCH(C21,'G-6 Hedgerow Data'!$AM$3:$AM$15,0),MATCH(M21,'G-6 Hedgerow Data'!$AN$2:$AZ$2,0))),"")</f>
        <v/>
      </c>
      <c r="O21" s="172" t="str">
        <f t="shared" si="2"/>
        <v/>
      </c>
      <c r="P21" s="260" t="str">
        <f>IF(B21="","",VLOOKUP(B21,'E-1 Off Site Hedge Baseline'!$B$10:T266,16,FALSE))</f>
        <v/>
      </c>
      <c r="Q21" s="171" t="str">
        <f>IF(M21="","",VLOOKUP(M21,'G-6 Hedgerow Data'!$B$2:$AG$15,2,FALSE))</f>
        <v/>
      </c>
      <c r="R21" s="172" t="str">
        <f>IF(M21="","",VLOOKUP(M21,'G-6 Hedgerow Data'!$B$2:$AG$15,3,FALSE))</f>
        <v/>
      </c>
      <c r="S21" s="173"/>
      <c r="T21" s="172" t="str">
        <f>IFERROR(IF(AND(Q21="V.Low",OR(S21="Good",S21="Moderate")),"Error",VLOOKUP(S21,'G-1 All Habitats'!$Z$2:$AA$9,2,FALSE)),"")</f>
        <v/>
      </c>
      <c r="U21" s="173"/>
      <c r="V21" s="179" t="str">
        <f>IF(U21="","",IF(VLOOKUP(U21,'G-3 Multipliers'!$L$3:$N$6,2,FALSE)=0,"Spatial Data Missing",VLOOKUP(U21,'G-3 Multipliers'!$L$3:$N$6,2,FALSE)))</f>
        <v/>
      </c>
      <c r="W21" s="260" t="str">
        <f>IF(U21="","",IF(VLOOKUP(U21,'G-3 Multipliers'!$L$3:$N$6,3,FALSE)=0,"Spatial Data Missing",VLOOKUP(U21,'G-3 Multipliers'!$L$3:$N$6,3,FALSE)))</f>
        <v/>
      </c>
      <c r="X21" s="171" t="str">
        <f>IFERROR(IF(OR(LEFT(O21,5)="Error",LEFT(N21,5)="Error",T21="Error"),"Check Data",IF(F21&lt;R21,INDEX('G-6 Hedgerow Data'!$S$3:$AE$14,MATCH(C21,'G-6 Hedgerow Data'!$B$3:$B$14,0),MATCH(M21,'G-6 Hedgerow Data'!$S$2:$AE$2,0)),INDEX('G-6 Hedgerow Data'!$K$3:$Q$14,MATCH(M21,'G-6 Hedgerow Data'!$B$3:$B$14,0),MATCH(O21,'G-6 Hedgerow Data'!$K$2:$Q$2,0)))),"")</f>
        <v/>
      </c>
      <c r="Y21" s="261"/>
      <c r="Z21" s="261"/>
      <c r="AA21" s="179" t="str">
        <f t="shared" si="3"/>
        <v/>
      </c>
      <c r="AB21" s="262" t="str">
        <f t="shared" si="4"/>
        <v/>
      </c>
      <c r="AC21" s="263" t="str">
        <f t="shared" si="1"/>
        <v/>
      </c>
      <c r="AD21" s="239" t="str">
        <f>IF(M21="","",VLOOKUP(M21,'G-6 Hedgerow Data'!$B$3:$AG$15,31,FALSE))</f>
        <v/>
      </c>
      <c r="AE21" s="175" t="str">
        <f t="shared" si="5"/>
        <v/>
      </c>
      <c r="AF21" s="175" t="str">
        <f t="shared" si="6"/>
        <v/>
      </c>
      <c r="AG21" s="176" t="str">
        <f>IFERROR(IF(O21="","",VLOOKUP(AD21,'G-3 Multipliers'!$P$3:$Q$6,2,FALSE)),"")</f>
        <v/>
      </c>
      <c r="AH21" s="266"/>
      <c r="AI21" s="172" t="str">
        <f>IF(AH21="","",IF(VLOOKUP(AH21,'G-3 Multipliers'!$S$3:$T$6,2,FALSE)=0,"Spatial Data Missing",VLOOKUP(AH21,'G-3 Multipliers'!$S$3:$T$6,2,FALSE)))</f>
        <v/>
      </c>
      <c r="AJ21" s="265" t="str">
        <f t="shared" si="7"/>
        <v/>
      </c>
      <c r="AK21" s="180"/>
      <c r="AL21" s="181"/>
      <c r="AP21" s="35" t="str">
        <f>IFERROR(INDEX('G-6 Hedgerow Data'!$BJ$3:$BJ$15,MATCH(M21,'G-6 Hedgerow Data'!$B$3:$B$15,0)),"")</f>
        <v/>
      </c>
    </row>
    <row r="22" spans="2:42" ht="13.8" x14ac:dyDescent="0.25">
      <c r="B22" s="259" t="str">
        <f>'E-1 Off Site Hedge Baseline'!AK20</f>
        <v/>
      </c>
      <c r="C22" s="175" t="str">
        <f>IF(B22="","",IF(ISNA(VLOOKUP($B22,'E-1 Off Site Hedge Baseline'!$B$1:$L$257,3,FALSE)),"",(VLOOKUP($B22,'E-1 Off Site Hedge Baseline'!$B$1:$L$257,3,FALSE))))</f>
        <v/>
      </c>
      <c r="D22" s="175" t="str">
        <f>IF(B22="","",IF(ISNA(VLOOKUP($B22,'E-1 Off Site Hedge Baseline'!$B$1:$L$258,4,FALSE)),"",(VLOOKUP($B22,'E-1 Off Site Hedge Baseline'!$B$1:$L$258,4,FALSE))))</f>
        <v/>
      </c>
      <c r="E22" s="175" t="str">
        <f>IF(B22="","",IF(ISNA(VLOOKUP($B22,'E-1 Off Site Hedge Baseline'!$B$1:$L$257,5,FALSE)),"",(VLOOKUP($B22,'E-1 Off Site Hedge Baseline'!$B$1:$L$257,5,FALSE))))</f>
        <v/>
      </c>
      <c r="F22" s="175" t="str">
        <f>IF(B22="","",IF(ISNA(VLOOKUP($B22,'E-1 Off Site Hedge Baseline'!$B$1:$L$257,6,FALSE)),"",(VLOOKUP($B22,'E-1 Off Site Hedge Baseline'!$B$1:$L$257,6,FALSE))))</f>
        <v/>
      </c>
      <c r="G22" s="175" t="str">
        <f>IF(B22="","",IF(ISNA(VLOOKUP($B22,'E-1 Off Site Hedge Baseline'!$B$1:$L$257,7,FALSE)),"",(VLOOKUP($B22,'E-1 Off Site Hedge Baseline'!$B$1:$L$257,7,FALSE))))</f>
        <v/>
      </c>
      <c r="H22" s="175" t="str">
        <f>IF(B22="","",IF(ISNA(VLOOKUP($B22,'E-1 Off Site Hedge Baseline'!$B$1:$L$257,8,FALSE)),"",(VLOOKUP($B22,'E-1 Off Site Hedge Baseline'!$B$1:$L$257,8,FALSE))))</f>
        <v/>
      </c>
      <c r="I22" s="175" t="str">
        <f>IF(B22="","",IF(ISNA(VLOOKUP($B22,'E-1 Off Site Hedge Baseline'!$B$1:$L$257,10,FALSE)),"",(VLOOKUP($B22,'E-1 Off Site Hedge Baseline'!$B$1:$L$257,10,FALSE))))</f>
        <v/>
      </c>
      <c r="J22" s="175" t="str">
        <f>IF(B22="","",IF(ISNA(VLOOKUP($B22,'E-1 Off Site Hedge Baseline'!$B$1:$L$257,11,FALSE)),"",(VLOOKUP($B22,'E-1 Off Site Hedge Baseline'!$B$1:$L$257,11,FALSE))))</f>
        <v/>
      </c>
      <c r="K22" s="175" t="str">
        <f>IF(B22="","",IF(ISNA(VLOOKUP($B22,'E-1 Off Site Hedge Baseline'!$B$1:$U$257,113,FALSE)),"",(VLOOKUP($B22,'E-1 Off Site Hedge Baseline'!$B$1:$U$257,13,FALSE))))</f>
        <v/>
      </c>
      <c r="L22" s="179" t="str">
        <f>IF(B22="","",IF(ISNA(VLOOKUP($B22,'E-1 Off Site Hedge Baseline'!$B$1:$U$257,12,FALSE)),"",(VLOOKUP($B22,'E-1 Off Site Hedge Baseline'!$B$1:$U$257,12,FALSE))))</f>
        <v/>
      </c>
      <c r="M22" s="639" t="str">
        <f t="shared" si="8"/>
        <v/>
      </c>
      <c r="N22" s="171" t="str">
        <f>IFERROR(IF(B22="","",INDEX('G-6 Hedgerow Data'!$AN$3:$AZ$15,MATCH(C22,'G-6 Hedgerow Data'!$AM$3:$AM$15,0),MATCH(M22,'G-6 Hedgerow Data'!$AN$2:$AZ$2,0))),"")</f>
        <v/>
      </c>
      <c r="O22" s="172" t="str">
        <f t="shared" si="2"/>
        <v/>
      </c>
      <c r="P22" s="260" t="str">
        <f>IF(B22="","",VLOOKUP(B22,'E-1 Off Site Hedge Baseline'!$B$10:T267,16,FALSE))</f>
        <v/>
      </c>
      <c r="Q22" s="171" t="str">
        <f>IF(M22="","",VLOOKUP(M22,'G-6 Hedgerow Data'!$B$2:$AG$15,2,FALSE))</f>
        <v/>
      </c>
      <c r="R22" s="172" t="str">
        <f>IF(M22="","",VLOOKUP(M22,'G-6 Hedgerow Data'!$B$2:$AG$15,3,FALSE))</f>
        <v/>
      </c>
      <c r="S22" s="173"/>
      <c r="T22" s="172" t="str">
        <f>IFERROR(IF(AND(Q22="V.Low",OR(S22="Good",S22="Moderate")),"Error",VLOOKUP(S22,'G-1 All Habitats'!$Z$2:$AA$9,2,FALSE)),"")</f>
        <v/>
      </c>
      <c r="U22" s="173"/>
      <c r="V22" s="179" t="str">
        <f>IF(U22="","",IF(VLOOKUP(U22,'G-3 Multipliers'!$L$3:$N$6,2,FALSE)=0,"Spatial Data Missing",VLOOKUP(U22,'G-3 Multipliers'!$L$3:$N$6,2,FALSE)))</f>
        <v/>
      </c>
      <c r="W22" s="260" t="str">
        <f>IF(U22="","",IF(VLOOKUP(U22,'G-3 Multipliers'!$L$3:$N$6,3,FALSE)=0,"Spatial Data Missing",VLOOKUP(U22,'G-3 Multipliers'!$L$3:$N$6,3,FALSE)))</f>
        <v/>
      </c>
      <c r="X22" s="171" t="str">
        <f>IFERROR(IF(OR(LEFT(O22,5)="Error",LEFT(N22,5)="Error",T22="Error"),"Check Data",IF(F22&lt;R22,INDEX('G-6 Hedgerow Data'!$S$3:$AE$14,MATCH(C22,'G-6 Hedgerow Data'!$B$3:$B$14,0),MATCH(M22,'G-6 Hedgerow Data'!$S$2:$AE$2,0)),INDEX('G-6 Hedgerow Data'!$K$3:$Q$14,MATCH(M22,'G-6 Hedgerow Data'!$B$3:$B$14,0),MATCH(O22,'G-6 Hedgerow Data'!$K$2:$Q$2,0)))),"")</f>
        <v/>
      </c>
      <c r="Y22" s="261"/>
      <c r="Z22" s="261"/>
      <c r="AA22" s="179" t="str">
        <f t="shared" si="3"/>
        <v/>
      </c>
      <c r="AB22" s="262" t="str">
        <f t="shared" si="4"/>
        <v/>
      </c>
      <c r="AC22" s="263" t="str">
        <f t="shared" si="1"/>
        <v/>
      </c>
      <c r="AD22" s="239" t="str">
        <f>IF(M22="","",VLOOKUP(M22,'G-6 Hedgerow Data'!$B$3:$AG$15,31,FALSE))</f>
        <v/>
      </c>
      <c r="AE22" s="175" t="str">
        <f t="shared" si="5"/>
        <v/>
      </c>
      <c r="AF22" s="175" t="str">
        <f t="shared" si="6"/>
        <v/>
      </c>
      <c r="AG22" s="176" t="str">
        <f>IFERROR(IF(O22="","",VLOOKUP(AD22,'G-3 Multipliers'!$P$3:$Q$6,2,FALSE)),"")</f>
        <v/>
      </c>
      <c r="AH22" s="266"/>
      <c r="AI22" s="172" t="str">
        <f>IF(AH22="","",IF(VLOOKUP(AH22,'G-3 Multipliers'!$S$3:$T$6,2,FALSE)=0,"Spatial Data Missing",VLOOKUP(AH22,'G-3 Multipliers'!$S$3:$T$6,2,FALSE)))</f>
        <v/>
      </c>
      <c r="AJ22" s="265" t="str">
        <f t="shared" si="7"/>
        <v/>
      </c>
      <c r="AK22" s="180"/>
      <c r="AL22" s="181"/>
      <c r="AP22" s="35" t="str">
        <f>IFERROR(INDEX('G-6 Hedgerow Data'!$BJ$3:$BJ$15,MATCH(M22,'G-6 Hedgerow Data'!$B$3:$B$15,0)),"")</f>
        <v/>
      </c>
    </row>
    <row r="23" spans="2:42" ht="13.8" x14ac:dyDescent="0.25">
      <c r="B23" s="259" t="str">
        <f>'E-1 Off Site Hedge Baseline'!AK21</f>
        <v/>
      </c>
      <c r="C23" s="175" t="str">
        <f>IF(B23="","",IF(ISNA(VLOOKUP($B23,'E-1 Off Site Hedge Baseline'!$B$1:$L$257,3,FALSE)),"",(VLOOKUP($B23,'E-1 Off Site Hedge Baseline'!$B$1:$L$257,3,FALSE))))</f>
        <v/>
      </c>
      <c r="D23" s="175" t="str">
        <f>IF(B23="","",IF(ISNA(VLOOKUP($B23,'E-1 Off Site Hedge Baseline'!$B$1:$L$258,4,FALSE)),"",(VLOOKUP($B23,'E-1 Off Site Hedge Baseline'!$B$1:$L$258,4,FALSE))))</f>
        <v/>
      </c>
      <c r="E23" s="175" t="str">
        <f>IF(B23="","",IF(ISNA(VLOOKUP($B23,'E-1 Off Site Hedge Baseline'!$B$1:$L$257,5,FALSE)),"",(VLOOKUP($B23,'E-1 Off Site Hedge Baseline'!$B$1:$L$257,5,FALSE))))</f>
        <v/>
      </c>
      <c r="F23" s="175" t="str">
        <f>IF(B23="","",IF(ISNA(VLOOKUP($B23,'E-1 Off Site Hedge Baseline'!$B$1:$L$257,6,FALSE)),"",(VLOOKUP($B23,'E-1 Off Site Hedge Baseline'!$B$1:$L$257,6,FALSE))))</f>
        <v/>
      </c>
      <c r="G23" s="175" t="str">
        <f>IF(B23="","",IF(ISNA(VLOOKUP($B23,'E-1 Off Site Hedge Baseline'!$B$1:$L$257,7,FALSE)),"",(VLOOKUP($B23,'E-1 Off Site Hedge Baseline'!$B$1:$L$257,7,FALSE))))</f>
        <v/>
      </c>
      <c r="H23" s="175" t="str">
        <f>IF(B23="","",IF(ISNA(VLOOKUP($B23,'E-1 Off Site Hedge Baseline'!$B$1:$L$257,8,FALSE)),"",(VLOOKUP($B23,'E-1 Off Site Hedge Baseline'!$B$1:$L$257,8,FALSE))))</f>
        <v/>
      </c>
      <c r="I23" s="175" t="str">
        <f>IF(B23="","",IF(ISNA(VLOOKUP($B23,'E-1 Off Site Hedge Baseline'!$B$1:$L$257,10,FALSE)),"",(VLOOKUP($B23,'E-1 Off Site Hedge Baseline'!$B$1:$L$257,10,FALSE))))</f>
        <v/>
      </c>
      <c r="J23" s="175" t="str">
        <f>IF(B23="","",IF(ISNA(VLOOKUP($B23,'E-1 Off Site Hedge Baseline'!$B$1:$L$257,11,FALSE)),"",(VLOOKUP($B23,'E-1 Off Site Hedge Baseline'!$B$1:$L$257,11,FALSE))))</f>
        <v/>
      </c>
      <c r="K23" s="175" t="str">
        <f>IF(B23="","",IF(ISNA(VLOOKUP($B23,'E-1 Off Site Hedge Baseline'!$B$1:$U$257,113,FALSE)),"",(VLOOKUP($B23,'E-1 Off Site Hedge Baseline'!$B$1:$U$257,13,FALSE))))</f>
        <v/>
      </c>
      <c r="L23" s="179" t="str">
        <f>IF(B23="","",IF(ISNA(VLOOKUP($B23,'E-1 Off Site Hedge Baseline'!$B$1:$U$257,12,FALSE)),"",(VLOOKUP($B23,'E-1 Off Site Hedge Baseline'!$B$1:$U$257,12,FALSE))))</f>
        <v/>
      </c>
      <c r="M23" s="639" t="str">
        <f t="shared" si="8"/>
        <v/>
      </c>
      <c r="N23" s="171" t="str">
        <f>IFERROR(IF(B23="","",INDEX('G-6 Hedgerow Data'!$AN$3:$AZ$15,MATCH(C23,'G-6 Hedgerow Data'!$AM$3:$AM$15,0),MATCH(M23,'G-6 Hedgerow Data'!$AN$2:$AZ$2,0))),"")</f>
        <v/>
      </c>
      <c r="O23" s="172" t="str">
        <f t="shared" si="2"/>
        <v/>
      </c>
      <c r="P23" s="260" t="str">
        <f>IF(B23="","",VLOOKUP(B23,'E-1 Off Site Hedge Baseline'!$B$10:T268,16,FALSE))</f>
        <v/>
      </c>
      <c r="Q23" s="171" t="str">
        <f>IF(M23="","",VLOOKUP(M23,'G-6 Hedgerow Data'!$B$2:$AG$15,2,FALSE))</f>
        <v/>
      </c>
      <c r="R23" s="172" t="str">
        <f>IF(M23="","",VLOOKUP(M23,'G-6 Hedgerow Data'!$B$2:$AG$15,3,FALSE))</f>
        <v/>
      </c>
      <c r="S23" s="173"/>
      <c r="T23" s="172" t="str">
        <f>IFERROR(IF(AND(Q23="V.Low",OR(S23="Good",S23="Moderate")),"Error",VLOOKUP(S23,'G-1 All Habitats'!$Z$2:$AA$9,2,FALSE)),"")</f>
        <v/>
      </c>
      <c r="U23" s="173"/>
      <c r="V23" s="179" t="str">
        <f>IF(U23="","",IF(VLOOKUP(U23,'G-3 Multipliers'!$L$3:$N$6,2,FALSE)=0,"Spatial Data Missing",VLOOKUP(U23,'G-3 Multipliers'!$L$3:$N$6,2,FALSE)))</f>
        <v/>
      </c>
      <c r="W23" s="260" t="str">
        <f>IF(U23="","",IF(VLOOKUP(U23,'G-3 Multipliers'!$L$3:$N$6,3,FALSE)=0,"Spatial Data Missing",VLOOKUP(U23,'G-3 Multipliers'!$L$3:$N$6,3,FALSE)))</f>
        <v/>
      </c>
      <c r="X23" s="171" t="str">
        <f>IFERROR(IF(OR(LEFT(O23,5)="Error",LEFT(N23,5)="Error",T23="Error"),"Check Data",IF(F23&lt;R23,INDEX('G-6 Hedgerow Data'!$S$3:$AE$14,MATCH(C23,'G-6 Hedgerow Data'!$B$3:$B$14,0),MATCH(M23,'G-6 Hedgerow Data'!$S$2:$AE$2,0)),INDEX('G-6 Hedgerow Data'!$K$3:$Q$14,MATCH(M23,'G-6 Hedgerow Data'!$B$3:$B$14,0),MATCH(O23,'G-6 Hedgerow Data'!$K$2:$Q$2,0)))),"")</f>
        <v/>
      </c>
      <c r="Y23" s="261"/>
      <c r="Z23" s="261"/>
      <c r="AA23" s="179" t="str">
        <f t="shared" si="3"/>
        <v/>
      </c>
      <c r="AB23" s="262" t="str">
        <f t="shared" si="4"/>
        <v/>
      </c>
      <c r="AC23" s="263" t="str">
        <f t="shared" si="1"/>
        <v/>
      </c>
      <c r="AD23" s="239" t="str">
        <f>IF(M23="","",VLOOKUP(M23,'G-6 Hedgerow Data'!$B$3:$AG$15,31,FALSE))</f>
        <v/>
      </c>
      <c r="AE23" s="175" t="str">
        <f t="shared" si="5"/>
        <v/>
      </c>
      <c r="AF23" s="175" t="str">
        <f t="shared" si="6"/>
        <v/>
      </c>
      <c r="AG23" s="176" t="str">
        <f>IFERROR(IF(O23="","",VLOOKUP(AD23,'G-3 Multipliers'!$P$3:$Q$6,2,FALSE)),"")</f>
        <v/>
      </c>
      <c r="AH23" s="266"/>
      <c r="AI23" s="172" t="str">
        <f>IF(AH23="","",IF(VLOOKUP(AH23,'G-3 Multipliers'!$S$3:$T$6,2,FALSE)=0,"Spatial Data Missing",VLOOKUP(AH23,'G-3 Multipliers'!$S$3:$T$6,2,FALSE)))</f>
        <v/>
      </c>
      <c r="AJ23" s="265" t="str">
        <f t="shared" si="7"/>
        <v/>
      </c>
      <c r="AK23" s="180"/>
      <c r="AL23" s="181"/>
      <c r="AP23" s="35" t="str">
        <f>IFERROR(INDEX('G-6 Hedgerow Data'!$BJ$3:$BJ$15,MATCH(M23,'G-6 Hedgerow Data'!$B$3:$B$15,0)),"")</f>
        <v/>
      </c>
    </row>
    <row r="24" spans="2:42" ht="13.8" x14ac:dyDescent="0.25">
      <c r="B24" s="259" t="str">
        <f>'E-1 Off Site Hedge Baseline'!AK22</f>
        <v/>
      </c>
      <c r="C24" s="175" t="str">
        <f>IF(B24="","",IF(ISNA(VLOOKUP($B24,'E-1 Off Site Hedge Baseline'!$B$1:$L$257,3,FALSE)),"",(VLOOKUP($B24,'E-1 Off Site Hedge Baseline'!$B$1:$L$257,3,FALSE))))</f>
        <v/>
      </c>
      <c r="D24" s="175" t="str">
        <f>IF(B24="","",IF(ISNA(VLOOKUP($B24,'E-1 Off Site Hedge Baseline'!$B$1:$L$258,4,FALSE)),"",(VLOOKUP($B24,'E-1 Off Site Hedge Baseline'!$B$1:$L$258,4,FALSE))))</f>
        <v/>
      </c>
      <c r="E24" s="175" t="str">
        <f>IF(B24="","",IF(ISNA(VLOOKUP($B24,'E-1 Off Site Hedge Baseline'!$B$1:$L$257,5,FALSE)),"",(VLOOKUP($B24,'E-1 Off Site Hedge Baseline'!$B$1:$L$257,5,FALSE))))</f>
        <v/>
      </c>
      <c r="F24" s="175" t="str">
        <f>IF(B24="","",IF(ISNA(VLOOKUP($B24,'E-1 Off Site Hedge Baseline'!$B$1:$L$257,6,FALSE)),"",(VLOOKUP($B24,'E-1 Off Site Hedge Baseline'!$B$1:$L$257,6,FALSE))))</f>
        <v/>
      </c>
      <c r="G24" s="175" t="str">
        <f>IF(B24="","",IF(ISNA(VLOOKUP($B24,'E-1 Off Site Hedge Baseline'!$B$1:$L$257,7,FALSE)),"",(VLOOKUP($B24,'E-1 Off Site Hedge Baseline'!$B$1:$L$257,7,FALSE))))</f>
        <v/>
      </c>
      <c r="H24" s="175" t="str">
        <f>IF(B24="","",IF(ISNA(VLOOKUP($B24,'E-1 Off Site Hedge Baseline'!$B$1:$L$257,8,FALSE)),"",(VLOOKUP($B24,'E-1 Off Site Hedge Baseline'!$B$1:$L$257,8,FALSE))))</f>
        <v/>
      </c>
      <c r="I24" s="175" t="str">
        <f>IF(B24="","",IF(ISNA(VLOOKUP($B24,'E-1 Off Site Hedge Baseline'!$B$1:$L$257,10,FALSE)),"",(VLOOKUP($B24,'E-1 Off Site Hedge Baseline'!$B$1:$L$257,10,FALSE))))</f>
        <v/>
      </c>
      <c r="J24" s="175" t="str">
        <f>IF(B24="","",IF(ISNA(VLOOKUP($B24,'E-1 Off Site Hedge Baseline'!$B$1:$L$257,11,FALSE)),"",(VLOOKUP($B24,'E-1 Off Site Hedge Baseline'!$B$1:$L$257,11,FALSE))))</f>
        <v/>
      </c>
      <c r="K24" s="175" t="str">
        <f>IF(B24="","",IF(ISNA(VLOOKUP($B24,'E-1 Off Site Hedge Baseline'!$B$1:$U$257,113,FALSE)),"",(VLOOKUP($B24,'E-1 Off Site Hedge Baseline'!$B$1:$U$257,13,FALSE))))</f>
        <v/>
      </c>
      <c r="L24" s="179" t="str">
        <f>IF(B24="","",IF(ISNA(VLOOKUP($B24,'E-1 Off Site Hedge Baseline'!$B$1:$U$257,12,FALSE)),"",(VLOOKUP($B24,'E-1 Off Site Hedge Baseline'!$B$1:$U$257,12,FALSE))))</f>
        <v/>
      </c>
      <c r="M24" s="639" t="str">
        <f t="shared" si="8"/>
        <v/>
      </c>
      <c r="N24" s="171" t="str">
        <f>IFERROR(IF(B24="","",INDEX('G-6 Hedgerow Data'!$AN$3:$AZ$15,MATCH(C24,'G-6 Hedgerow Data'!$AM$3:$AM$15,0),MATCH(M24,'G-6 Hedgerow Data'!$AN$2:$AZ$2,0))),"")</f>
        <v/>
      </c>
      <c r="O24" s="172" t="str">
        <f t="shared" si="2"/>
        <v/>
      </c>
      <c r="P24" s="260" t="str">
        <f>IF(B24="","",VLOOKUP(B24,'E-1 Off Site Hedge Baseline'!$B$10:T269,16,FALSE))</f>
        <v/>
      </c>
      <c r="Q24" s="171" t="str">
        <f>IF(M24="","",VLOOKUP(M24,'G-6 Hedgerow Data'!$B$2:$AG$15,2,FALSE))</f>
        <v/>
      </c>
      <c r="R24" s="172" t="str">
        <f>IF(M24="","",VLOOKUP(M24,'G-6 Hedgerow Data'!$B$2:$AG$15,3,FALSE))</f>
        <v/>
      </c>
      <c r="S24" s="173"/>
      <c r="T24" s="172" t="str">
        <f>IFERROR(IF(AND(Q24="V.Low",OR(S24="Good",S24="Moderate")),"Error",VLOOKUP(S24,'G-1 All Habitats'!$Z$2:$AA$9,2,FALSE)),"")</f>
        <v/>
      </c>
      <c r="U24" s="173"/>
      <c r="V24" s="179" t="str">
        <f>IF(U24="","",IF(VLOOKUP(U24,'G-3 Multipliers'!$L$3:$N$6,2,FALSE)=0,"Spatial Data Missing",VLOOKUP(U24,'G-3 Multipliers'!$L$3:$N$6,2,FALSE)))</f>
        <v/>
      </c>
      <c r="W24" s="260" t="str">
        <f>IF(U24="","",IF(VLOOKUP(U24,'G-3 Multipliers'!$L$3:$N$6,3,FALSE)=0,"Spatial Data Missing",VLOOKUP(U24,'G-3 Multipliers'!$L$3:$N$6,3,FALSE)))</f>
        <v/>
      </c>
      <c r="X24" s="171" t="str">
        <f>IFERROR(IF(OR(LEFT(O24,5)="Error",LEFT(N24,5)="Error",T24="Error"),"Check Data",IF(F24&lt;R24,INDEX('G-6 Hedgerow Data'!$S$3:$AE$14,MATCH(C24,'G-6 Hedgerow Data'!$B$3:$B$14,0),MATCH(M24,'G-6 Hedgerow Data'!$S$2:$AE$2,0)),INDEX('G-6 Hedgerow Data'!$K$3:$Q$14,MATCH(M24,'G-6 Hedgerow Data'!$B$3:$B$14,0),MATCH(O24,'G-6 Hedgerow Data'!$K$2:$Q$2,0)))),"")</f>
        <v/>
      </c>
      <c r="Y24" s="261"/>
      <c r="Z24" s="261"/>
      <c r="AA24" s="179" t="str">
        <f t="shared" si="3"/>
        <v/>
      </c>
      <c r="AB24" s="262" t="str">
        <f t="shared" si="4"/>
        <v/>
      </c>
      <c r="AC24" s="263" t="str">
        <f t="shared" si="1"/>
        <v/>
      </c>
      <c r="AD24" s="239" t="str">
        <f>IF(M24="","",VLOOKUP(M24,'G-6 Hedgerow Data'!$B$3:$AG$15,31,FALSE))</f>
        <v/>
      </c>
      <c r="AE24" s="175" t="str">
        <f t="shared" si="5"/>
        <v/>
      </c>
      <c r="AF24" s="175" t="str">
        <f t="shared" si="6"/>
        <v/>
      </c>
      <c r="AG24" s="176" t="str">
        <f>IFERROR(IF(O24="","",VLOOKUP(AD24,'G-3 Multipliers'!$P$3:$Q$6,2,FALSE)),"")</f>
        <v/>
      </c>
      <c r="AH24" s="266"/>
      <c r="AI24" s="172" t="str">
        <f>IF(AH24="","",IF(VLOOKUP(AH24,'G-3 Multipliers'!$S$3:$T$6,2,FALSE)=0,"Spatial Data Missing",VLOOKUP(AH24,'G-3 Multipliers'!$S$3:$T$6,2,FALSE)))</f>
        <v/>
      </c>
      <c r="AJ24" s="265" t="str">
        <f t="shared" si="7"/>
        <v/>
      </c>
      <c r="AK24" s="180"/>
      <c r="AL24" s="181"/>
      <c r="AP24" s="35" t="str">
        <f>IFERROR(INDEX('G-6 Hedgerow Data'!$BJ$3:$BJ$15,MATCH(M24,'G-6 Hedgerow Data'!$B$3:$B$15,0)),"")</f>
        <v/>
      </c>
    </row>
    <row r="25" spans="2:42" ht="13.8" x14ac:dyDescent="0.25">
      <c r="B25" s="259" t="str">
        <f>'E-1 Off Site Hedge Baseline'!AK23</f>
        <v/>
      </c>
      <c r="C25" s="175" t="str">
        <f>IF(B25="","",IF(ISNA(VLOOKUP($B25,'E-1 Off Site Hedge Baseline'!$B$1:$L$257,3,FALSE)),"",(VLOOKUP($B25,'E-1 Off Site Hedge Baseline'!$B$1:$L$257,3,FALSE))))</f>
        <v/>
      </c>
      <c r="D25" s="175" t="str">
        <f>IF(B25="","",IF(ISNA(VLOOKUP($B25,'E-1 Off Site Hedge Baseline'!$B$1:$L$258,4,FALSE)),"",(VLOOKUP($B25,'E-1 Off Site Hedge Baseline'!$B$1:$L$258,4,FALSE))))</f>
        <v/>
      </c>
      <c r="E25" s="175" t="str">
        <f>IF(B25="","",IF(ISNA(VLOOKUP($B25,'E-1 Off Site Hedge Baseline'!$B$1:$L$257,5,FALSE)),"",(VLOOKUP($B25,'E-1 Off Site Hedge Baseline'!$B$1:$L$257,5,FALSE))))</f>
        <v/>
      </c>
      <c r="F25" s="175" t="str">
        <f>IF(B25="","",IF(ISNA(VLOOKUP($B25,'E-1 Off Site Hedge Baseline'!$B$1:$L$257,6,FALSE)),"",(VLOOKUP($B25,'E-1 Off Site Hedge Baseline'!$B$1:$L$257,6,FALSE))))</f>
        <v/>
      </c>
      <c r="G25" s="175" t="str">
        <f>IF(B25="","",IF(ISNA(VLOOKUP($B25,'E-1 Off Site Hedge Baseline'!$B$1:$L$257,7,FALSE)),"",(VLOOKUP($B25,'E-1 Off Site Hedge Baseline'!$B$1:$L$257,7,FALSE))))</f>
        <v/>
      </c>
      <c r="H25" s="175" t="str">
        <f>IF(B25="","",IF(ISNA(VLOOKUP($B25,'E-1 Off Site Hedge Baseline'!$B$1:$L$257,8,FALSE)),"",(VLOOKUP($B25,'E-1 Off Site Hedge Baseline'!$B$1:$L$257,8,FALSE))))</f>
        <v/>
      </c>
      <c r="I25" s="175" t="str">
        <f>IF(B25="","",IF(ISNA(VLOOKUP($B25,'E-1 Off Site Hedge Baseline'!$B$1:$L$257,10,FALSE)),"",(VLOOKUP($B25,'E-1 Off Site Hedge Baseline'!$B$1:$L$257,10,FALSE))))</f>
        <v/>
      </c>
      <c r="J25" s="175" t="str">
        <f>IF(B25="","",IF(ISNA(VLOOKUP($B25,'E-1 Off Site Hedge Baseline'!$B$1:$L$257,11,FALSE)),"",(VLOOKUP($B25,'E-1 Off Site Hedge Baseline'!$B$1:$L$257,11,FALSE))))</f>
        <v/>
      </c>
      <c r="K25" s="175" t="str">
        <f>IF(B25="","",IF(ISNA(VLOOKUP($B25,'E-1 Off Site Hedge Baseline'!$B$1:$U$257,113,FALSE)),"",(VLOOKUP($B25,'E-1 Off Site Hedge Baseline'!$B$1:$U$257,13,FALSE))))</f>
        <v/>
      </c>
      <c r="L25" s="179" t="str">
        <f>IF(B25="","",IF(ISNA(VLOOKUP($B25,'E-1 Off Site Hedge Baseline'!$B$1:$U$257,12,FALSE)),"",(VLOOKUP($B25,'E-1 Off Site Hedge Baseline'!$B$1:$U$257,12,FALSE))))</f>
        <v/>
      </c>
      <c r="M25" s="639" t="str">
        <f t="shared" si="8"/>
        <v/>
      </c>
      <c r="N25" s="171" t="str">
        <f>IFERROR(IF(B25="","",INDEX('G-6 Hedgerow Data'!$AN$3:$AZ$15,MATCH(C25,'G-6 Hedgerow Data'!$AM$3:$AM$15,0),MATCH(M25,'G-6 Hedgerow Data'!$AN$2:$AZ$2,0))),"")</f>
        <v/>
      </c>
      <c r="O25" s="172" t="str">
        <f t="shared" si="2"/>
        <v/>
      </c>
      <c r="P25" s="260" t="str">
        <f>IF(B25="","",VLOOKUP(B25,'E-1 Off Site Hedge Baseline'!$B$10:T270,16,FALSE))</f>
        <v/>
      </c>
      <c r="Q25" s="171" t="str">
        <f>IF(M25="","",VLOOKUP(M25,'G-6 Hedgerow Data'!$B$2:$AG$15,2,FALSE))</f>
        <v/>
      </c>
      <c r="R25" s="172" t="str">
        <f>IF(M25="","",VLOOKUP(M25,'G-6 Hedgerow Data'!$B$2:$AG$15,3,FALSE))</f>
        <v/>
      </c>
      <c r="S25" s="173"/>
      <c r="T25" s="172" t="str">
        <f>IFERROR(IF(AND(Q25="V.Low",OR(S25="Good",S25="Moderate")),"Error",VLOOKUP(S25,'G-1 All Habitats'!$Z$2:$AA$9,2,FALSE)),"")</f>
        <v/>
      </c>
      <c r="U25" s="173"/>
      <c r="V25" s="179" t="str">
        <f>IF(U25="","",IF(VLOOKUP(U25,'G-3 Multipliers'!$L$3:$N$6,2,FALSE)=0,"Spatial Data Missing",VLOOKUP(U25,'G-3 Multipliers'!$L$3:$N$6,2,FALSE)))</f>
        <v/>
      </c>
      <c r="W25" s="260" t="str">
        <f>IF(U25="","",IF(VLOOKUP(U25,'G-3 Multipliers'!$L$3:$N$6,3,FALSE)=0,"Spatial Data Missing",VLOOKUP(U25,'G-3 Multipliers'!$L$3:$N$6,3,FALSE)))</f>
        <v/>
      </c>
      <c r="X25" s="171" t="str">
        <f>IFERROR(IF(OR(LEFT(O25,5)="Error",LEFT(N25,5)="Error",T25="Error"),"Check Data",IF(F25&lt;R25,INDEX('G-6 Hedgerow Data'!$S$3:$AE$14,MATCH(C25,'G-6 Hedgerow Data'!$B$3:$B$14,0),MATCH(M25,'G-6 Hedgerow Data'!$S$2:$AE$2,0)),INDEX('G-6 Hedgerow Data'!$K$3:$Q$14,MATCH(M25,'G-6 Hedgerow Data'!$B$3:$B$14,0),MATCH(O25,'G-6 Hedgerow Data'!$K$2:$Q$2,0)))),"")</f>
        <v/>
      </c>
      <c r="Y25" s="261"/>
      <c r="Z25" s="261"/>
      <c r="AA25" s="179" t="str">
        <f t="shared" si="3"/>
        <v/>
      </c>
      <c r="AB25" s="262" t="str">
        <f t="shared" si="4"/>
        <v/>
      </c>
      <c r="AC25" s="263" t="str">
        <f t="shared" si="1"/>
        <v/>
      </c>
      <c r="AD25" s="239" t="str">
        <f>IF(M25="","",VLOOKUP(M25,'G-6 Hedgerow Data'!$B$3:$AG$15,31,FALSE))</f>
        <v/>
      </c>
      <c r="AE25" s="175" t="str">
        <f t="shared" si="5"/>
        <v/>
      </c>
      <c r="AF25" s="175" t="str">
        <f t="shared" si="6"/>
        <v/>
      </c>
      <c r="AG25" s="176" t="str">
        <f>IFERROR(IF(O25="","",VLOOKUP(AD25,'G-3 Multipliers'!$P$3:$Q$6,2,FALSE)),"")</f>
        <v/>
      </c>
      <c r="AH25" s="266"/>
      <c r="AI25" s="172" t="str">
        <f>IF(AH25="","",IF(VLOOKUP(AH25,'G-3 Multipliers'!$S$3:$T$6,2,FALSE)=0,"Spatial Data Missing",VLOOKUP(AH25,'G-3 Multipliers'!$S$3:$T$6,2,FALSE)))</f>
        <v/>
      </c>
      <c r="AJ25" s="265" t="str">
        <f t="shared" si="7"/>
        <v/>
      </c>
      <c r="AK25" s="180"/>
      <c r="AL25" s="181"/>
      <c r="AP25" s="35" t="str">
        <f>IFERROR(INDEX('G-6 Hedgerow Data'!$BJ$3:$BJ$15,MATCH(M25,'G-6 Hedgerow Data'!$B$3:$B$15,0)),"")</f>
        <v/>
      </c>
    </row>
    <row r="26" spans="2:42" ht="13.8" x14ac:dyDescent="0.25">
      <c r="B26" s="259" t="str">
        <f>'E-1 Off Site Hedge Baseline'!AK24</f>
        <v/>
      </c>
      <c r="C26" s="175" t="str">
        <f>IF(B26="","",IF(ISNA(VLOOKUP($B26,'E-1 Off Site Hedge Baseline'!$B$1:$L$257,3,FALSE)),"",(VLOOKUP($B26,'E-1 Off Site Hedge Baseline'!$B$1:$L$257,3,FALSE))))</f>
        <v/>
      </c>
      <c r="D26" s="175" t="str">
        <f>IF(B26="","",IF(ISNA(VLOOKUP($B26,'E-1 Off Site Hedge Baseline'!$B$1:$L$258,4,FALSE)),"",(VLOOKUP($B26,'E-1 Off Site Hedge Baseline'!$B$1:$L$258,4,FALSE))))</f>
        <v/>
      </c>
      <c r="E26" s="175" t="str">
        <f>IF(B26="","",IF(ISNA(VLOOKUP($B26,'E-1 Off Site Hedge Baseline'!$B$1:$L$257,5,FALSE)),"",(VLOOKUP($B26,'E-1 Off Site Hedge Baseline'!$B$1:$L$257,5,FALSE))))</f>
        <v/>
      </c>
      <c r="F26" s="175" t="str">
        <f>IF(B26="","",IF(ISNA(VLOOKUP($B26,'E-1 Off Site Hedge Baseline'!$B$1:$L$257,6,FALSE)),"",(VLOOKUP($B26,'E-1 Off Site Hedge Baseline'!$B$1:$L$257,6,FALSE))))</f>
        <v/>
      </c>
      <c r="G26" s="175" t="str">
        <f>IF(B26="","",IF(ISNA(VLOOKUP($B26,'E-1 Off Site Hedge Baseline'!$B$1:$L$257,7,FALSE)),"",(VLOOKUP($B26,'E-1 Off Site Hedge Baseline'!$B$1:$L$257,7,FALSE))))</f>
        <v/>
      </c>
      <c r="H26" s="175" t="str">
        <f>IF(B26="","",IF(ISNA(VLOOKUP($B26,'E-1 Off Site Hedge Baseline'!$B$1:$L$257,8,FALSE)),"",(VLOOKUP($B26,'E-1 Off Site Hedge Baseline'!$B$1:$L$257,8,FALSE))))</f>
        <v/>
      </c>
      <c r="I26" s="175" t="str">
        <f>IF(B26="","",IF(ISNA(VLOOKUP($B26,'E-1 Off Site Hedge Baseline'!$B$1:$L$257,10,FALSE)),"",(VLOOKUP($B26,'E-1 Off Site Hedge Baseline'!$B$1:$L$257,10,FALSE))))</f>
        <v/>
      </c>
      <c r="J26" s="175" t="str">
        <f>IF(B26="","",IF(ISNA(VLOOKUP($B26,'E-1 Off Site Hedge Baseline'!$B$1:$L$257,11,FALSE)),"",(VLOOKUP($B26,'E-1 Off Site Hedge Baseline'!$B$1:$L$257,11,FALSE))))</f>
        <v/>
      </c>
      <c r="K26" s="175" t="str">
        <f>IF(B26="","",IF(ISNA(VLOOKUP($B26,'E-1 Off Site Hedge Baseline'!$B$1:$U$257,113,FALSE)),"",(VLOOKUP($B26,'E-1 Off Site Hedge Baseline'!$B$1:$U$257,13,FALSE))))</f>
        <v/>
      </c>
      <c r="L26" s="179" t="str">
        <f>IF(B26="","",IF(ISNA(VLOOKUP($B26,'E-1 Off Site Hedge Baseline'!$B$1:$U$257,12,FALSE)),"",(VLOOKUP($B26,'E-1 Off Site Hedge Baseline'!$B$1:$U$257,12,FALSE))))</f>
        <v/>
      </c>
      <c r="M26" s="639" t="str">
        <f t="shared" si="8"/>
        <v/>
      </c>
      <c r="N26" s="171" t="str">
        <f>IFERROR(IF(B26="","",INDEX('G-6 Hedgerow Data'!$AN$3:$AZ$15,MATCH(C26,'G-6 Hedgerow Data'!$AM$3:$AM$15,0),MATCH(M26,'G-6 Hedgerow Data'!$AN$2:$AZ$2,0))),"")</f>
        <v/>
      </c>
      <c r="O26" s="172" t="str">
        <f t="shared" si="2"/>
        <v/>
      </c>
      <c r="P26" s="260" t="str">
        <f>IF(B26="","",VLOOKUP(B26,'E-1 Off Site Hedge Baseline'!$B$10:T271,16,FALSE))</f>
        <v/>
      </c>
      <c r="Q26" s="171" t="str">
        <f>IF(M26="","",VLOOKUP(M26,'G-6 Hedgerow Data'!$B$2:$AG$15,2,FALSE))</f>
        <v/>
      </c>
      <c r="R26" s="172" t="str">
        <f>IF(M26="","",VLOOKUP(M26,'G-6 Hedgerow Data'!$B$2:$AG$15,3,FALSE))</f>
        <v/>
      </c>
      <c r="S26" s="173"/>
      <c r="T26" s="172" t="str">
        <f>IFERROR(IF(AND(Q26="V.Low",OR(S26="Good",S26="Moderate")),"Error",VLOOKUP(S26,'G-1 All Habitats'!$Z$2:$AA$9,2,FALSE)),"")</f>
        <v/>
      </c>
      <c r="U26" s="173"/>
      <c r="V26" s="179" t="str">
        <f>IF(U26="","",IF(VLOOKUP(U26,'G-3 Multipliers'!$L$3:$N$6,2,FALSE)=0,"Spatial Data Missing",VLOOKUP(U26,'G-3 Multipliers'!$L$3:$N$6,2,FALSE)))</f>
        <v/>
      </c>
      <c r="W26" s="260" t="str">
        <f>IF(U26="","",IF(VLOOKUP(U26,'G-3 Multipliers'!$L$3:$N$6,3,FALSE)=0,"Spatial Data Missing",VLOOKUP(U26,'G-3 Multipliers'!$L$3:$N$6,3,FALSE)))</f>
        <v/>
      </c>
      <c r="X26" s="171" t="str">
        <f>IFERROR(IF(OR(LEFT(O26,5)="Error",LEFT(N26,5)="Error",T26="Error"),"Check Data",IF(F26&lt;R26,INDEX('G-6 Hedgerow Data'!$S$3:$AE$14,MATCH(C26,'G-6 Hedgerow Data'!$B$3:$B$14,0),MATCH(M26,'G-6 Hedgerow Data'!$S$2:$AE$2,0)),INDEX('G-6 Hedgerow Data'!$K$3:$Q$14,MATCH(M26,'G-6 Hedgerow Data'!$B$3:$B$14,0),MATCH(O26,'G-6 Hedgerow Data'!$K$2:$Q$2,0)))),"")</f>
        <v/>
      </c>
      <c r="Y26" s="261"/>
      <c r="Z26" s="261"/>
      <c r="AA26" s="179" t="str">
        <f t="shared" si="3"/>
        <v/>
      </c>
      <c r="AB26" s="262" t="str">
        <f t="shared" si="4"/>
        <v/>
      </c>
      <c r="AC26" s="263" t="str">
        <f t="shared" si="1"/>
        <v/>
      </c>
      <c r="AD26" s="239" t="str">
        <f>IF(M26="","",VLOOKUP(M26,'G-6 Hedgerow Data'!$B$3:$AG$15,31,FALSE))</f>
        <v/>
      </c>
      <c r="AE26" s="175" t="str">
        <f t="shared" si="5"/>
        <v/>
      </c>
      <c r="AF26" s="175" t="str">
        <f t="shared" si="6"/>
        <v/>
      </c>
      <c r="AG26" s="176" t="str">
        <f>IFERROR(IF(O26="","",VLOOKUP(AD26,'G-3 Multipliers'!$P$3:$Q$6,2,FALSE)),"")</f>
        <v/>
      </c>
      <c r="AH26" s="266"/>
      <c r="AI26" s="172" t="str">
        <f>IF(AH26="","",IF(VLOOKUP(AH26,'G-3 Multipliers'!$S$3:$T$6,2,FALSE)=0,"Spatial Data Missing",VLOOKUP(AH26,'G-3 Multipliers'!$S$3:$T$6,2,FALSE)))</f>
        <v/>
      </c>
      <c r="AJ26" s="265" t="str">
        <f t="shared" si="7"/>
        <v/>
      </c>
      <c r="AK26" s="180"/>
      <c r="AL26" s="181"/>
      <c r="AP26" s="35" t="str">
        <f>IFERROR(INDEX('G-6 Hedgerow Data'!$BJ$3:$BJ$15,MATCH(M26,'G-6 Hedgerow Data'!$B$3:$B$15,0)),"")</f>
        <v/>
      </c>
    </row>
    <row r="27" spans="2:42" ht="13.8" x14ac:dyDescent="0.25">
      <c r="B27" s="259" t="str">
        <f>'E-1 Off Site Hedge Baseline'!AK25</f>
        <v/>
      </c>
      <c r="C27" s="175" t="str">
        <f>IF(B27="","",IF(ISNA(VLOOKUP($B27,'E-1 Off Site Hedge Baseline'!$B$1:$L$257,3,FALSE)),"",(VLOOKUP($B27,'E-1 Off Site Hedge Baseline'!$B$1:$L$257,3,FALSE))))</f>
        <v/>
      </c>
      <c r="D27" s="175" t="str">
        <f>IF(B27="","",IF(ISNA(VLOOKUP($B27,'E-1 Off Site Hedge Baseline'!$B$1:$L$258,4,FALSE)),"",(VLOOKUP($B27,'E-1 Off Site Hedge Baseline'!$B$1:$L$258,4,FALSE))))</f>
        <v/>
      </c>
      <c r="E27" s="175" t="str">
        <f>IF(B27="","",IF(ISNA(VLOOKUP($B27,'E-1 Off Site Hedge Baseline'!$B$1:$L$257,5,FALSE)),"",(VLOOKUP($B27,'E-1 Off Site Hedge Baseline'!$B$1:$L$257,5,FALSE))))</f>
        <v/>
      </c>
      <c r="F27" s="175" t="str">
        <f>IF(B27="","",IF(ISNA(VLOOKUP($B27,'E-1 Off Site Hedge Baseline'!$B$1:$L$257,6,FALSE)),"",(VLOOKUP($B27,'E-1 Off Site Hedge Baseline'!$B$1:$L$257,6,FALSE))))</f>
        <v/>
      </c>
      <c r="G27" s="175" t="str">
        <f>IF(B27="","",IF(ISNA(VLOOKUP($B27,'E-1 Off Site Hedge Baseline'!$B$1:$L$257,7,FALSE)),"",(VLOOKUP($B27,'E-1 Off Site Hedge Baseline'!$B$1:$L$257,7,FALSE))))</f>
        <v/>
      </c>
      <c r="H27" s="175" t="str">
        <f>IF(B27="","",IF(ISNA(VLOOKUP($B27,'E-1 Off Site Hedge Baseline'!$B$1:$L$257,8,FALSE)),"",(VLOOKUP($B27,'E-1 Off Site Hedge Baseline'!$B$1:$L$257,8,FALSE))))</f>
        <v/>
      </c>
      <c r="I27" s="175" t="str">
        <f>IF(B27="","",IF(ISNA(VLOOKUP($B27,'E-1 Off Site Hedge Baseline'!$B$1:$L$257,10,FALSE)),"",(VLOOKUP($B27,'E-1 Off Site Hedge Baseline'!$B$1:$L$257,10,FALSE))))</f>
        <v/>
      </c>
      <c r="J27" s="175" t="str">
        <f>IF(B27="","",IF(ISNA(VLOOKUP($B27,'E-1 Off Site Hedge Baseline'!$B$1:$L$257,11,FALSE)),"",(VLOOKUP($B27,'E-1 Off Site Hedge Baseline'!$B$1:$L$257,11,FALSE))))</f>
        <v/>
      </c>
      <c r="K27" s="175" t="str">
        <f>IF(B27="","",IF(ISNA(VLOOKUP($B27,'E-1 Off Site Hedge Baseline'!$B$1:$U$257,113,FALSE)),"",(VLOOKUP($B27,'E-1 Off Site Hedge Baseline'!$B$1:$U$257,13,FALSE))))</f>
        <v/>
      </c>
      <c r="L27" s="179" t="str">
        <f>IF(B27="","",IF(ISNA(VLOOKUP($B27,'E-1 Off Site Hedge Baseline'!$B$1:$U$257,12,FALSE)),"",(VLOOKUP($B27,'E-1 Off Site Hedge Baseline'!$B$1:$U$257,12,FALSE))))</f>
        <v/>
      </c>
      <c r="M27" s="639" t="str">
        <f t="shared" si="8"/>
        <v/>
      </c>
      <c r="N27" s="171" t="str">
        <f>IFERROR(IF(B27="","",INDEX('G-6 Hedgerow Data'!$AN$3:$AZ$15,MATCH(C27,'G-6 Hedgerow Data'!$AM$3:$AM$15,0),MATCH(M27,'G-6 Hedgerow Data'!$AN$2:$AZ$2,0))),"")</f>
        <v/>
      </c>
      <c r="O27" s="172" t="str">
        <f t="shared" si="2"/>
        <v/>
      </c>
      <c r="P27" s="260" t="str">
        <f>IF(B27="","",VLOOKUP(B27,'E-1 Off Site Hedge Baseline'!$B$10:T272,16,FALSE))</f>
        <v/>
      </c>
      <c r="Q27" s="171" t="str">
        <f>IF(M27="","",VLOOKUP(M27,'G-6 Hedgerow Data'!$B$2:$AG$15,2,FALSE))</f>
        <v/>
      </c>
      <c r="R27" s="172" t="str">
        <f>IF(M27="","",VLOOKUP(M27,'G-6 Hedgerow Data'!$B$2:$AG$15,3,FALSE))</f>
        <v/>
      </c>
      <c r="S27" s="173"/>
      <c r="T27" s="172" t="str">
        <f>IFERROR(IF(AND(Q27="V.Low",OR(S27="Good",S27="Moderate")),"Error",VLOOKUP(S27,'G-1 All Habitats'!$Z$2:$AA$9,2,FALSE)),"")</f>
        <v/>
      </c>
      <c r="U27" s="173"/>
      <c r="V27" s="179" t="str">
        <f>IF(U27="","",IF(VLOOKUP(U27,'G-3 Multipliers'!$L$3:$N$6,2,FALSE)=0,"Spatial Data Missing",VLOOKUP(U27,'G-3 Multipliers'!$L$3:$N$6,2,FALSE)))</f>
        <v/>
      </c>
      <c r="W27" s="260" t="str">
        <f>IF(U27="","",IF(VLOOKUP(U27,'G-3 Multipliers'!$L$3:$N$6,3,FALSE)=0,"Spatial Data Missing",VLOOKUP(U27,'G-3 Multipliers'!$L$3:$N$6,3,FALSE)))</f>
        <v/>
      </c>
      <c r="X27" s="171" t="str">
        <f>IFERROR(IF(OR(LEFT(O27,5)="Error",LEFT(N27,5)="Error",T27="Error"),"Check Data",IF(F27&lt;R27,INDEX('G-6 Hedgerow Data'!$S$3:$AE$14,MATCH(C27,'G-6 Hedgerow Data'!$B$3:$B$14,0),MATCH(M27,'G-6 Hedgerow Data'!$S$2:$AE$2,0)),INDEX('G-6 Hedgerow Data'!$K$3:$Q$14,MATCH(M27,'G-6 Hedgerow Data'!$B$3:$B$14,0),MATCH(O27,'G-6 Hedgerow Data'!$K$2:$Q$2,0)))),"")</f>
        <v/>
      </c>
      <c r="Y27" s="261"/>
      <c r="Z27" s="261"/>
      <c r="AA27" s="179" t="str">
        <f t="shared" si="3"/>
        <v/>
      </c>
      <c r="AB27" s="262" t="str">
        <f t="shared" si="4"/>
        <v/>
      </c>
      <c r="AC27" s="263" t="str">
        <f t="shared" si="1"/>
        <v/>
      </c>
      <c r="AD27" s="239" t="str">
        <f>IF(M27="","",VLOOKUP(M27,'G-6 Hedgerow Data'!$B$3:$AG$15,31,FALSE))</f>
        <v/>
      </c>
      <c r="AE27" s="175" t="str">
        <f t="shared" si="5"/>
        <v/>
      </c>
      <c r="AF27" s="175" t="str">
        <f t="shared" si="6"/>
        <v/>
      </c>
      <c r="AG27" s="176" t="str">
        <f>IFERROR(IF(O27="","",VLOOKUP(AD27,'G-3 Multipliers'!$P$3:$Q$6,2,FALSE)),"")</f>
        <v/>
      </c>
      <c r="AH27" s="266"/>
      <c r="AI27" s="172" t="str">
        <f>IF(AH27="","",IF(VLOOKUP(AH27,'G-3 Multipliers'!$S$3:$T$6,2,FALSE)=0,"Spatial Data Missing",VLOOKUP(AH27,'G-3 Multipliers'!$S$3:$T$6,2,FALSE)))</f>
        <v/>
      </c>
      <c r="AJ27" s="265" t="str">
        <f t="shared" si="7"/>
        <v/>
      </c>
      <c r="AK27" s="180"/>
      <c r="AL27" s="181"/>
      <c r="AP27" s="35" t="str">
        <f>IFERROR(INDEX('G-6 Hedgerow Data'!$BJ$3:$BJ$15,MATCH(M27,'G-6 Hedgerow Data'!$B$3:$B$15,0)),"")</f>
        <v/>
      </c>
    </row>
    <row r="28" spans="2:42" ht="13.8" x14ac:dyDescent="0.25">
      <c r="B28" s="259" t="str">
        <f>'E-1 Off Site Hedge Baseline'!AK26</f>
        <v/>
      </c>
      <c r="C28" s="175" t="str">
        <f>IF(B28="","",IF(ISNA(VLOOKUP($B28,'E-1 Off Site Hedge Baseline'!$B$1:$L$257,3,FALSE)),"",(VLOOKUP($B28,'E-1 Off Site Hedge Baseline'!$B$1:$L$257,3,FALSE))))</f>
        <v/>
      </c>
      <c r="D28" s="175" t="str">
        <f>IF(B28="","",IF(ISNA(VLOOKUP($B28,'E-1 Off Site Hedge Baseline'!$B$1:$L$258,4,FALSE)),"",(VLOOKUP($B28,'E-1 Off Site Hedge Baseline'!$B$1:$L$258,4,FALSE))))</f>
        <v/>
      </c>
      <c r="E28" s="175" t="str">
        <f>IF(B28="","",IF(ISNA(VLOOKUP($B28,'E-1 Off Site Hedge Baseline'!$B$1:$L$257,5,FALSE)),"",(VLOOKUP($B28,'E-1 Off Site Hedge Baseline'!$B$1:$L$257,5,FALSE))))</f>
        <v/>
      </c>
      <c r="F28" s="175" t="str">
        <f>IF(B28="","",IF(ISNA(VLOOKUP($B28,'E-1 Off Site Hedge Baseline'!$B$1:$L$257,6,FALSE)),"",(VLOOKUP($B28,'E-1 Off Site Hedge Baseline'!$B$1:$L$257,6,FALSE))))</f>
        <v/>
      </c>
      <c r="G28" s="175" t="str">
        <f>IF(B28="","",IF(ISNA(VLOOKUP($B28,'E-1 Off Site Hedge Baseline'!$B$1:$L$257,7,FALSE)),"",(VLOOKUP($B28,'E-1 Off Site Hedge Baseline'!$B$1:$L$257,7,FALSE))))</f>
        <v/>
      </c>
      <c r="H28" s="175" t="str">
        <f>IF(B28="","",IF(ISNA(VLOOKUP($B28,'E-1 Off Site Hedge Baseline'!$B$1:$L$257,8,FALSE)),"",(VLOOKUP($B28,'E-1 Off Site Hedge Baseline'!$B$1:$L$257,8,FALSE))))</f>
        <v/>
      </c>
      <c r="I28" s="175" t="str">
        <f>IF(B28="","",IF(ISNA(VLOOKUP($B28,'E-1 Off Site Hedge Baseline'!$B$1:$L$257,10,FALSE)),"",(VLOOKUP($B28,'E-1 Off Site Hedge Baseline'!$B$1:$L$257,10,FALSE))))</f>
        <v/>
      </c>
      <c r="J28" s="175" t="str">
        <f>IF(B28="","",IF(ISNA(VLOOKUP($B28,'E-1 Off Site Hedge Baseline'!$B$1:$L$257,11,FALSE)),"",(VLOOKUP($B28,'E-1 Off Site Hedge Baseline'!$B$1:$L$257,11,FALSE))))</f>
        <v/>
      </c>
      <c r="K28" s="175" t="str">
        <f>IF(B28="","",IF(ISNA(VLOOKUP($B28,'E-1 Off Site Hedge Baseline'!$B$1:$U$257,113,FALSE)),"",(VLOOKUP($B28,'E-1 Off Site Hedge Baseline'!$B$1:$U$257,13,FALSE))))</f>
        <v/>
      </c>
      <c r="L28" s="179" t="str">
        <f>IF(B28="","",IF(ISNA(VLOOKUP($B28,'E-1 Off Site Hedge Baseline'!$B$1:$U$257,12,FALSE)),"",(VLOOKUP($B28,'E-1 Off Site Hedge Baseline'!$B$1:$U$257,12,FALSE))))</f>
        <v/>
      </c>
      <c r="M28" s="639" t="str">
        <f t="shared" si="8"/>
        <v/>
      </c>
      <c r="N28" s="171" t="str">
        <f>IFERROR(IF(B28="","",INDEX('G-6 Hedgerow Data'!$AN$3:$AZ$15,MATCH(C28,'G-6 Hedgerow Data'!$AM$3:$AM$15,0),MATCH(M28,'G-6 Hedgerow Data'!$AN$2:$AZ$2,0))),"")</f>
        <v/>
      </c>
      <c r="O28" s="172" t="str">
        <f t="shared" si="2"/>
        <v/>
      </c>
      <c r="P28" s="260" t="str">
        <f>IF(B28="","",VLOOKUP(B28,'E-1 Off Site Hedge Baseline'!$B$10:T273,16,FALSE))</f>
        <v/>
      </c>
      <c r="Q28" s="171" t="str">
        <f>IF(M28="","",VLOOKUP(M28,'G-6 Hedgerow Data'!$B$2:$AG$15,2,FALSE))</f>
        <v/>
      </c>
      <c r="R28" s="172" t="str">
        <f>IF(M28="","",VLOOKUP(M28,'G-6 Hedgerow Data'!$B$2:$AG$15,3,FALSE))</f>
        <v/>
      </c>
      <c r="S28" s="173"/>
      <c r="T28" s="172" t="str">
        <f>IFERROR(IF(AND(Q28="V.Low",OR(S28="Good",S28="Moderate")),"Error",VLOOKUP(S28,'G-1 All Habitats'!$Z$2:$AA$9,2,FALSE)),"")</f>
        <v/>
      </c>
      <c r="U28" s="173"/>
      <c r="V28" s="179" t="str">
        <f>IF(U28="","",IF(VLOOKUP(U28,'G-3 Multipliers'!$L$3:$N$6,2,FALSE)=0,"Spatial Data Missing",VLOOKUP(U28,'G-3 Multipliers'!$L$3:$N$6,2,FALSE)))</f>
        <v/>
      </c>
      <c r="W28" s="260" t="str">
        <f>IF(U28="","",IF(VLOOKUP(U28,'G-3 Multipliers'!$L$3:$N$6,3,FALSE)=0,"Spatial Data Missing",VLOOKUP(U28,'G-3 Multipliers'!$L$3:$N$6,3,FALSE)))</f>
        <v/>
      </c>
      <c r="X28" s="171" t="str">
        <f>IFERROR(IF(OR(LEFT(O28,5)="Error",LEFT(N28,5)="Error",T28="Error"),"Check Data",IF(F28&lt;R28,INDEX('G-6 Hedgerow Data'!$S$3:$AE$14,MATCH(C28,'G-6 Hedgerow Data'!$B$3:$B$14,0),MATCH(M28,'G-6 Hedgerow Data'!$S$2:$AE$2,0)),INDEX('G-6 Hedgerow Data'!$K$3:$Q$14,MATCH(M28,'G-6 Hedgerow Data'!$B$3:$B$14,0),MATCH(O28,'G-6 Hedgerow Data'!$K$2:$Q$2,0)))),"")</f>
        <v/>
      </c>
      <c r="Y28" s="261"/>
      <c r="Z28" s="261"/>
      <c r="AA28" s="179" t="str">
        <f t="shared" si="3"/>
        <v/>
      </c>
      <c r="AB28" s="262" t="str">
        <f t="shared" si="4"/>
        <v/>
      </c>
      <c r="AC28" s="263" t="str">
        <f t="shared" si="1"/>
        <v/>
      </c>
      <c r="AD28" s="239" t="str">
        <f>IF(M28="","",VLOOKUP(M28,'G-6 Hedgerow Data'!$B$3:$AG$15,31,FALSE))</f>
        <v/>
      </c>
      <c r="AE28" s="175" t="str">
        <f t="shared" si="5"/>
        <v/>
      </c>
      <c r="AF28" s="175" t="str">
        <f t="shared" si="6"/>
        <v/>
      </c>
      <c r="AG28" s="176" t="str">
        <f>IFERROR(IF(O28="","",VLOOKUP(AD28,'G-3 Multipliers'!$P$3:$Q$6,2,FALSE)),"")</f>
        <v/>
      </c>
      <c r="AH28" s="266"/>
      <c r="AI28" s="172" t="str">
        <f>IF(AH28="","",IF(VLOOKUP(AH28,'G-3 Multipliers'!$S$3:$T$6,2,FALSE)=0,"Spatial Data Missing",VLOOKUP(AH28,'G-3 Multipliers'!$S$3:$T$6,2,FALSE)))</f>
        <v/>
      </c>
      <c r="AJ28" s="265" t="str">
        <f t="shared" si="7"/>
        <v/>
      </c>
      <c r="AK28" s="180"/>
      <c r="AL28" s="181"/>
      <c r="AP28" s="35" t="str">
        <f>IFERROR(INDEX('G-6 Hedgerow Data'!$BJ$3:$BJ$15,MATCH(M28,'G-6 Hedgerow Data'!$B$3:$B$15,0)),"")</f>
        <v/>
      </c>
    </row>
    <row r="29" spans="2:42" ht="13.8" x14ac:dyDescent="0.25">
      <c r="B29" s="259" t="str">
        <f>'E-1 Off Site Hedge Baseline'!AK27</f>
        <v/>
      </c>
      <c r="C29" s="175" t="str">
        <f>IF(B29="","",IF(ISNA(VLOOKUP($B29,'E-1 Off Site Hedge Baseline'!$B$1:$L$257,3,FALSE)),"",(VLOOKUP($B29,'E-1 Off Site Hedge Baseline'!$B$1:$L$257,3,FALSE))))</f>
        <v/>
      </c>
      <c r="D29" s="175" t="str">
        <f>IF(B29="","",IF(ISNA(VLOOKUP($B29,'E-1 Off Site Hedge Baseline'!$B$1:$L$258,4,FALSE)),"",(VLOOKUP($B29,'E-1 Off Site Hedge Baseline'!$B$1:$L$258,4,FALSE))))</f>
        <v/>
      </c>
      <c r="E29" s="175" t="str">
        <f>IF(B29="","",IF(ISNA(VLOOKUP($B29,'E-1 Off Site Hedge Baseline'!$B$1:$L$257,5,FALSE)),"",(VLOOKUP($B29,'E-1 Off Site Hedge Baseline'!$B$1:$L$257,5,FALSE))))</f>
        <v/>
      </c>
      <c r="F29" s="175" t="str">
        <f>IF(B29="","",IF(ISNA(VLOOKUP($B29,'E-1 Off Site Hedge Baseline'!$B$1:$L$257,6,FALSE)),"",(VLOOKUP($B29,'E-1 Off Site Hedge Baseline'!$B$1:$L$257,6,FALSE))))</f>
        <v/>
      </c>
      <c r="G29" s="175" t="str">
        <f>IF(B29="","",IF(ISNA(VLOOKUP($B29,'E-1 Off Site Hedge Baseline'!$B$1:$L$257,7,FALSE)),"",(VLOOKUP($B29,'E-1 Off Site Hedge Baseline'!$B$1:$L$257,7,FALSE))))</f>
        <v/>
      </c>
      <c r="H29" s="175" t="str">
        <f>IF(B29="","",IF(ISNA(VLOOKUP($B29,'E-1 Off Site Hedge Baseline'!$B$1:$L$257,8,FALSE)),"",(VLOOKUP($B29,'E-1 Off Site Hedge Baseline'!$B$1:$L$257,8,FALSE))))</f>
        <v/>
      </c>
      <c r="I29" s="175" t="str">
        <f>IF(B29="","",IF(ISNA(VLOOKUP($B29,'E-1 Off Site Hedge Baseline'!$B$1:$L$257,10,FALSE)),"",(VLOOKUP($B29,'E-1 Off Site Hedge Baseline'!$B$1:$L$257,10,FALSE))))</f>
        <v/>
      </c>
      <c r="J29" s="175" t="str">
        <f>IF(B29="","",IF(ISNA(VLOOKUP($B29,'E-1 Off Site Hedge Baseline'!$B$1:$L$257,11,FALSE)),"",(VLOOKUP($B29,'E-1 Off Site Hedge Baseline'!$B$1:$L$257,11,FALSE))))</f>
        <v/>
      </c>
      <c r="K29" s="175" t="str">
        <f>IF(B29="","",IF(ISNA(VLOOKUP($B29,'E-1 Off Site Hedge Baseline'!$B$1:$U$257,113,FALSE)),"",(VLOOKUP($B29,'E-1 Off Site Hedge Baseline'!$B$1:$U$257,13,FALSE))))</f>
        <v/>
      </c>
      <c r="L29" s="179" t="str">
        <f>IF(B29="","",IF(ISNA(VLOOKUP($B29,'E-1 Off Site Hedge Baseline'!$B$1:$U$257,12,FALSE)),"",(VLOOKUP($B29,'E-1 Off Site Hedge Baseline'!$B$1:$U$257,12,FALSE))))</f>
        <v/>
      </c>
      <c r="M29" s="639" t="str">
        <f t="shared" si="8"/>
        <v/>
      </c>
      <c r="N29" s="171" t="str">
        <f>IFERROR(IF(B29="","",INDEX('G-6 Hedgerow Data'!$AN$3:$AZ$15,MATCH(C29,'G-6 Hedgerow Data'!$AM$3:$AM$15,0),MATCH(M29,'G-6 Hedgerow Data'!$AN$2:$AZ$2,0))),"")</f>
        <v/>
      </c>
      <c r="O29" s="172" t="str">
        <f t="shared" si="2"/>
        <v/>
      </c>
      <c r="P29" s="260" t="str">
        <f>IF(B29="","",VLOOKUP(B29,'E-1 Off Site Hedge Baseline'!$B$10:T274,16,FALSE))</f>
        <v/>
      </c>
      <c r="Q29" s="171" t="str">
        <f>IF(M29="","",VLOOKUP(M29,'G-6 Hedgerow Data'!$B$2:$AG$15,2,FALSE))</f>
        <v/>
      </c>
      <c r="R29" s="172" t="str">
        <f>IF(M29="","",VLOOKUP(M29,'G-6 Hedgerow Data'!$B$2:$AG$15,3,FALSE))</f>
        <v/>
      </c>
      <c r="S29" s="173"/>
      <c r="T29" s="172" t="str">
        <f>IFERROR(IF(AND(Q29="V.Low",OR(S29="Good",S29="Moderate")),"Error",VLOOKUP(S29,'G-1 All Habitats'!$Z$2:$AA$9,2,FALSE)),"")</f>
        <v/>
      </c>
      <c r="U29" s="173"/>
      <c r="V29" s="179" t="str">
        <f>IF(U29="","",IF(VLOOKUP(U29,'G-3 Multipliers'!$L$3:$N$6,2,FALSE)=0,"Spatial Data Missing",VLOOKUP(U29,'G-3 Multipliers'!$L$3:$N$6,2,FALSE)))</f>
        <v/>
      </c>
      <c r="W29" s="260" t="str">
        <f>IF(U29="","",IF(VLOOKUP(U29,'G-3 Multipliers'!$L$3:$N$6,3,FALSE)=0,"Spatial Data Missing",VLOOKUP(U29,'G-3 Multipliers'!$L$3:$N$6,3,FALSE)))</f>
        <v/>
      </c>
      <c r="X29" s="171" t="str">
        <f>IFERROR(IF(OR(LEFT(O29,5)="Error",LEFT(N29,5)="Error",T29="Error"),"Check Data",IF(F29&lt;R29,INDEX('G-6 Hedgerow Data'!$S$3:$AE$14,MATCH(C29,'G-6 Hedgerow Data'!$B$3:$B$14,0),MATCH(M29,'G-6 Hedgerow Data'!$S$2:$AE$2,0)),INDEX('G-6 Hedgerow Data'!$K$3:$Q$14,MATCH(M29,'G-6 Hedgerow Data'!$B$3:$B$14,0),MATCH(O29,'G-6 Hedgerow Data'!$K$2:$Q$2,0)))),"")</f>
        <v/>
      </c>
      <c r="Y29" s="261"/>
      <c r="Z29" s="261"/>
      <c r="AA29" s="179" t="str">
        <f t="shared" si="3"/>
        <v/>
      </c>
      <c r="AB29" s="262" t="str">
        <f t="shared" si="4"/>
        <v/>
      </c>
      <c r="AC29" s="263" t="str">
        <f t="shared" si="1"/>
        <v/>
      </c>
      <c r="AD29" s="239" t="str">
        <f>IF(M29="","",VLOOKUP(M29,'G-6 Hedgerow Data'!$B$3:$AG$15,31,FALSE))</f>
        <v/>
      </c>
      <c r="AE29" s="175" t="str">
        <f t="shared" si="5"/>
        <v/>
      </c>
      <c r="AF29" s="175" t="str">
        <f t="shared" si="6"/>
        <v/>
      </c>
      <c r="AG29" s="176" t="str">
        <f>IFERROR(IF(O29="","",VLOOKUP(AD29,'G-3 Multipliers'!$P$3:$Q$6,2,FALSE)),"")</f>
        <v/>
      </c>
      <c r="AH29" s="266"/>
      <c r="AI29" s="172" t="str">
        <f>IF(AH29="","",IF(VLOOKUP(AH29,'G-3 Multipliers'!$S$3:$T$6,2,FALSE)=0,"Spatial Data Missing",VLOOKUP(AH29,'G-3 Multipliers'!$S$3:$T$6,2,FALSE)))</f>
        <v/>
      </c>
      <c r="AJ29" s="265" t="str">
        <f t="shared" si="7"/>
        <v/>
      </c>
      <c r="AK29" s="180"/>
      <c r="AL29" s="181"/>
      <c r="AP29" s="35" t="str">
        <f>IFERROR(INDEX('G-6 Hedgerow Data'!$BJ$3:$BJ$15,MATCH(M29,'G-6 Hedgerow Data'!$B$3:$B$15,0)),"")</f>
        <v/>
      </c>
    </row>
    <row r="30" spans="2:42" ht="13.8" x14ac:dyDescent="0.25">
      <c r="B30" s="259" t="str">
        <f>'E-1 Off Site Hedge Baseline'!AK28</f>
        <v/>
      </c>
      <c r="C30" s="175" t="str">
        <f>IF(B30="","",IF(ISNA(VLOOKUP($B30,'E-1 Off Site Hedge Baseline'!$B$1:$L$257,3,FALSE)),"",(VLOOKUP($B30,'E-1 Off Site Hedge Baseline'!$B$1:$L$257,3,FALSE))))</f>
        <v/>
      </c>
      <c r="D30" s="175" t="str">
        <f>IF(B30="","",IF(ISNA(VLOOKUP($B30,'E-1 Off Site Hedge Baseline'!$B$1:$L$258,4,FALSE)),"",(VLOOKUP($B30,'E-1 Off Site Hedge Baseline'!$B$1:$L$258,4,FALSE))))</f>
        <v/>
      </c>
      <c r="E30" s="175" t="str">
        <f>IF(B30="","",IF(ISNA(VLOOKUP($B30,'E-1 Off Site Hedge Baseline'!$B$1:$L$257,5,FALSE)),"",(VLOOKUP($B30,'E-1 Off Site Hedge Baseline'!$B$1:$L$257,5,FALSE))))</f>
        <v/>
      </c>
      <c r="F30" s="175" t="str">
        <f>IF(B30="","",IF(ISNA(VLOOKUP($B30,'E-1 Off Site Hedge Baseline'!$B$1:$L$257,6,FALSE)),"",(VLOOKUP($B30,'E-1 Off Site Hedge Baseline'!$B$1:$L$257,6,FALSE))))</f>
        <v/>
      </c>
      <c r="G30" s="175" t="str">
        <f>IF(B30="","",IF(ISNA(VLOOKUP($B30,'E-1 Off Site Hedge Baseline'!$B$1:$L$257,7,FALSE)),"",(VLOOKUP($B30,'E-1 Off Site Hedge Baseline'!$B$1:$L$257,7,FALSE))))</f>
        <v/>
      </c>
      <c r="H30" s="175" t="str">
        <f>IF(B30="","",IF(ISNA(VLOOKUP($B30,'E-1 Off Site Hedge Baseline'!$B$1:$L$257,8,FALSE)),"",(VLOOKUP($B30,'E-1 Off Site Hedge Baseline'!$B$1:$L$257,8,FALSE))))</f>
        <v/>
      </c>
      <c r="I30" s="175" t="str">
        <f>IF(B30="","",IF(ISNA(VLOOKUP($B30,'E-1 Off Site Hedge Baseline'!$B$1:$L$257,10,FALSE)),"",(VLOOKUP($B30,'E-1 Off Site Hedge Baseline'!$B$1:$L$257,10,FALSE))))</f>
        <v/>
      </c>
      <c r="J30" s="175" t="str">
        <f>IF(B30="","",IF(ISNA(VLOOKUP($B30,'E-1 Off Site Hedge Baseline'!$B$1:$L$257,11,FALSE)),"",(VLOOKUP($B30,'E-1 Off Site Hedge Baseline'!$B$1:$L$257,11,FALSE))))</f>
        <v/>
      </c>
      <c r="K30" s="175" t="str">
        <f>IF(B30="","",IF(ISNA(VLOOKUP($B30,'E-1 Off Site Hedge Baseline'!$B$1:$U$257,113,FALSE)),"",(VLOOKUP($B30,'E-1 Off Site Hedge Baseline'!$B$1:$U$257,13,FALSE))))</f>
        <v/>
      </c>
      <c r="L30" s="179" t="str">
        <f>IF(B30="","",IF(ISNA(VLOOKUP($B30,'E-1 Off Site Hedge Baseline'!$B$1:$U$257,12,FALSE)),"",(VLOOKUP($B30,'E-1 Off Site Hedge Baseline'!$B$1:$U$257,12,FALSE))))</f>
        <v/>
      </c>
      <c r="M30" s="639" t="str">
        <f t="shared" si="8"/>
        <v/>
      </c>
      <c r="N30" s="171" t="str">
        <f>IFERROR(IF(B30="","",INDEX('G-6 Hedgerow Data'!$AN$3:$AZ$15,MATCH(C30,'G-6 Hedgerow Data'!$AM$3:$AM$15,0),MATCH(M30,'G-6 Hedgerow Data'!$AN$2:$AZ$2,0))),"")</f>
        <v/>
      </c>
      <c r="O30" s="172" t="str">
        <f t="shared" si="2"/>
        <v/>
      </c>
      <c r="P30" s="260" t="str">
        <f>IF(B30="","",VLOOKUP(B30,'E-1 Off Site Hedge Baseline'!$B$10:T275,16,FALSE))</f>
        <v/>
      </c>
      <c r="Q30" s="171" t="str">
        <f>IF(M30="","",VLOOKUP(M30,'G-6 Hedgerow Data'!$B$2:$AG$15,2,FALSE))</f>
        <v/>
      </c>
      <c r="R30" s="172" t="str">
        <f>IF(M30="","",VLOOKUP(M30,'G-6 Hedgerow Data'!$B$2:$AG$15,3,FALSE))</f>
        <v/>
      </c>
      <c r="S30" s="173"/>
      <c r="T30" s="172" t="str">
        <f>IFERROR(IF(AND(Q30="V.Low",OR(S30="Good",S30="Moderate")),"Error",VLOOKUP(S30,'G-1 All Habitats'!$Z$2:$AA$9,2,FALSE)),"")</f>
        <v/>
      </c>
      <c r="U30" s="173"/>
      <c r="V30" s="179" t="str">
        <f>IF(U30="","",IF(VLOOKUP(U30,'G-3 Multipliers'!$L$3:$N$6,2,FALSE)=0,"Spatial Data Missing",VLOOKUP(U30,'G-3 Multipliers'!$L$3:$N$6,2,FALSE)))</f>
        <v/>
      </c>
      <c r="W30" s="260" t="str">
        <f>IF(U30="","",IF(VLOOKUP(U30,'G-3 Multipliers'!$L$3:$N$6,3,FALSE)=0,"Spatial Data Missing",VLOOKUP(U30,'G-3 Multipliers'!$L$3:$N$6,3,FALSE)))</f>
        <v/>
      </c>
      <c r="X30" s="171" t="str">
        <f>IFERROR(IF(OR(LEFT(O30,5)="Error",LEFT(N30,5)="Error",T30="Error"),"Check Data",IF(F30&lt;R30,INDEX('G-6 Hedgerow Data'!$S$3:$AE$14,MATCH(C30,'G-6 Hedgerow Data'!$B$3:$B$14,0),MATCH(M30,'G-6 Hedgerow Data'!$S$2:$AE$2,0)),INDEX('G-6 Hedgerow Data'!$K$3:$Q$14,MATCH(M30,'G-6 Hedgerow Data'!$B$3:$B$14,0),MATCH(O30,'G-6 Hedgerow Data'!$K$2:$Q$2,0)))),"")</f>
        <v/>
      </c>
      <c r="Y30" s="261"/>
      <c r="Z30" s="261"/>
      <c r="AA30" s="179" t="str">
        <f t="shared" si="3"/>
        <v/>
      </c>
      <c r="AB30" s="262" t="str">
        <f t="shared" si="4"/>
        <v/>
      </c>
      <c r="AC30" s="263" t="str">
        <f t="shared" si="1"/>
        <v/>
      </c>
      <c r="AD30" s="239" t="str">
        <f>IF(M30="","",VLOOKUP(M30,'G-6 Hedgerow Data'!$B$3:$AG$15,31,FALSE))</f>
        <v/>
      </c>
      <c r="AE30" s="175" t="str">
        <f t="shared" si="5"/>
        <v/>
      </c>
      <c r="AF30" s="175" t="str">
        <f t="shared" si="6"/>
        <v/>
      </c>
      <c r="AG30" s="176" t="str">
        <f>IFERROR(IF(O30="","",VLOOKUP(AD30,'G-3 Multipliers'!$P$3:$Q$6,2,FALSE)),"")</f>
        <v/>
      </c>
      <c r="AH30" s="266"/>
      <c r="AI30" s="172" t="str">
        <f>IF(AH30="","",IF(VLOOKUP(AH30,'G-3 Multipliers'!$S$3:$T$6,2,FALSE)=0,"Spatial Data Missing",VLOOKUP(AH30,'G-3 Multipliers'!$S$3:$T$6,2,FALSE)))</f>
        <v/>
      </c>
      <c r="AJ30" s="265" t="str">
        <f t="shared" si="7"/>
        <v/>
      </c>
      <c r="AK30" s="180"/>
      <c r="AL30" s="181"/>
      <c r="AP30" s="35" t="str">
        <f>IFERROR(INDEX('G-6 Hedgerow Data'!$BJ$3:$BJ$15,MATCH(M30,'G-6 Hedgerow Data'!$B$3:$B$15,0)),"")</f>
        <v/>
      </c>
    </row>
    <row r="31" spans="2:42" ht="13.8" x14ac:dyDescent="0.25">
      <c r="B31" s="259" t="str">
        <f>'E-1 Off Site Hedge Baseline'!AK29</f>
        <v/>
      </c>
      <c r="C31" s="175" t="str">
        <f>IF(B31="","",IF(ISNA(VLOOKUP($B31,'E-1 Off Site Hedge Baseline'!$B$1:$L$257,3,FALSE)),"",(VLOOKUP($B31,'E-1 Off Site Hedge Baseline'!$B$1:$L$257,3,FALSE))))</f>
        <v/>
      </c>
      <c r="D31" s="175" t="str">
        <f>IF(B31="","",IF(ISNA(VLOOKUP($B31,'E-1 Off Site Hedge Baseline'!$B$1:$L$258,4,FALSE)),"",(VLOOKUP($B31,'E-1 Off Site Hedge Baseline'!$B$1:$L$258,4,FALSE))))</f>
        <v/>
      </c>
      <c r="E31" s="175" t="str">
        <f>IF(B31="","",IF(ISNA(VLOOKUP($B31,'E-1 Off Site Hedge Baseline'!$B$1:$L$257,5,FALSE)),"",(VLOOKUP($B31,'E-1 Off Site Hedge Baseline'!$B$1:$L$257,5,FALSE))))</f>
        <v/>
      </c>
      <c r="F31" s="175" t="str">
        <f>IF(B31="","",IF(ISNA(VLOOKUP($B31,'E-1 Off Site Hedge Baseline'!$B$1:$L$257,6,FALSE)),"",(VLOOKUP($B31,'E-1 Off Site Hedge Baseline'!$B$1:$L$257,6,FALSE))))</f>
        <v/>
      </c>
      <c r="G31" s="175" t="str">
        <f>IF(B31="","",IF(ISNA(VLOOKUP($B31,'E-1 Off Site Hedge Baseline'!$B$1:$L$257,7,FALSE)),"",(VLOOKUP($B31,'E-1 Off Site Hedge Baseline'!$B$1:$L$257,7,FALSE))))</f>
        <v/>
      </c>
      <c r="H31" s="175" t="str">
        <f>IF(B31="","",IF(ISNA(VLOOKUP($B31,'E-1 Off Site Hedge Baseline'!$B$1:$L$257,8,FALSE)),"",(VLOOKUP($B31,'E-1 Off Site Hedge Baseline'!$B$1:$L$257,8,FALSE))))</f>
        <v/>
      </c>
      <c r="I31" s="175" t="str">
        <f>IF(B31="","",IF(ISNA(VLOOKUP($B31,'E-1 Off Site Hedge Baseline'!$B$1:$L$257,10,FALSE)),"",(VLOOKUP($B31,'E-1 Off Site Hedge Baseline'!$B$1:$L$257,10,FALSE))))</f>
        <v/>
      </c>
      <c r="J31" s="175" t="str">
        <f>IF(B31="","",IF(ISNA(VLOOKUP($B31,'E-1 Off Site Hedge Baseline'!$B$1:$L$257,11,FALSE)),"",(VLOOKUP($B31,'E-1 Off Site Hedge Baseline'!$B$1:$L$257,11,FALSE))))</f>
        <v/>
      </c>
      <c r="K31" s="175" t="str">
        <f>IF(B31="","",IF(ISNA(VLOOKUP($B31,'E-1 Off Site Hedge Baseline'!$B$1:$U$257,113,FALSE)),"",(VLOOKUP($B31,'E-1 Off Site Hedge Baseline'!$B$1:$U$257,13,FALSE))))</f>
        <v/>
      </c>
      <c r="L31" s="179" t="str">
        <f>IF(B31="","",IF(ISNA(VLOOKUP($B31,'E-1 Off Site Hedge Baseline'!$B$1:$U$257,12,FALSE)),"",(VLOOKUP($B31,'E-1 Off Site Hedge Baseline'!$B$1:$U$257,12,FALSE))))</f>
        <v/>
      </c>
      <c r="M31" s="639" t="str">
        <f t="shared" si="8"/>
        <v/>
      </c>
      <c r="N31" s="171" t="str">
        <f>IFERROR(IF(B31="","",INDEX('G-6 Hedgerow Data'!$AN$3:$AZ$15,MATCH(C31,'G-6 Hedgerow Data'!$AM$3:$AM$15,0),MATCH(M31,'G-6 Hedgerow Data'!$AN$2:$AZ$2,0))),"")</f>
        <v/>
      </c>
      <c r="O31" s="172" t="str">
        <f t="shared" si="2"/>
        <v/>
      </c>
      <c r="P31" s="260" t="str">
        <f>IF(B31="","",VLOOKUP(B31,'E-1 Off Site Hedge Baseline'!$B$10:T276,16,FALSE))</f>
        <v/>
      </c>
      <c r="Q31" s="171" t="str">
        <f>IF(M31="","",VLOOKUP(M31,'G-6 Hedgerow Data'!$B$2:$AG$15,2,FALSE))</f>
        <v/>
      </c>
      <c r="R31" s="172" t="str">
        <f>IF(M31="","",VLOOKUP(M31,'G-6 Hedgerow Data'!$B$2:$AG$15,3,FALSE))</f>
        <v/>
      </c>
      <c r="S31" s="173"/>
      <c r="T31" s="172" t="str">
        <f>IFERROR(IF(AND(Q31="V.Low",OR(S31="Good",S31="Moderate")),"Error",VLOOKUP(S31,'G-1 All Habitats'!$Z$2:$AA$9,2,FALSE)),"")</f>
        <v/>
      </c>
      <c r="U31" s="173"/>
      <c r="V31" s="179" t="str">
        <f>IF(U31="","",IF(VLOOKUP(U31,'G-3 Multipliers'!$L$3:$N$6,2,FALSE)=0,"Spatial Data Missing",VLOOKUP(U31,'G-3 Multipliers'!$L$3:$N$6,2,FALSE)))</f>
        <v/>
      </c>
      <c r="W31" s="260" t="str">
        <f>IF(U31="","",IF(VLOOKUP(U31,'G-3 Multipliers'!$L$3:$N$6,3,FALSE)=0,"Spatial Data Missing",VLOOKUP(U31,'G-3 Multipliers'!$L$3:$N$6,3,FALSE)))</f>
        <v/>
      </c>
      <c r="X31" s="171" t="str">
        <f>IFERROR(IF(OR(LEFT(O31,5)="Error",LEFT(N31,5)="Error",T31="Error"),"Check Data",IF(F31&lt;R31,INDEX('G-6 Hedgerow Data'!$S$3:$AE$14,MATCH(C31,'G-6 Hedgerow Data'!$B$3:$B$14,0),MATCH(M31,'G-6 Hedgerow Data'!$S$2:$AE$2,0)),INDEX('G-6 Hedgerow Data'!$K$3:$Q$14,MATCH(M31,'G-6 Hedgerow Data'!$B$3:$B$14,0),MATCH(O31,'G-6 Hedgerow Data'!$K$2:$Q$2,0)))),"")</f>
        <v/>
      </c>
      <c r="Y31" s="261"/>
      <c r="Z31" s="261"/>
      <c r="AA31" s="179" t="str">
        <f t="shared" si="3"/>
        <v/>
      </c>
      <c r="AB31" s="262" t="str">
        <f t="shared" si="4"/>
        <v/>
      </c>
      <c r="AC31" s="263" t="str">
        <f t="shared" si="1"/>
        <v/>
      </c>
      <c r="AD31" s="239" t="str">
        <f>IF(M31="","",VLOOKUP(M31,'G-6 Hedgerow Data'!$B$3:$AG$15,31,FALSE))</f>
        <v/>
      </c>
      <c r="AE31" s="175" t="str">
        <f t="shared" si="5"/>
        <v/>
      </c>
      <c r="AF31" s="175" t="str">
        <f t="shared" si="6"/>
        <v/>
      </c>
      <c r="AG31" s="176" t="str">
        <f>IFERROR(IF(O31="","",VLOOKUP(AD31,'G-3 Multipliers'!$P$3:$Q$6,2,FALSE)),"")</f>
        <v/>
      </c>
      <c r="AH31" s="266"/>
      <c r="AI31" s="172" t="str">
        <f>IF(AH31="","",IF(VLOOKUP(AH31,'G-3 Multipliers'!$S$3:$T$6,2,FALSE)=0,"Spatial Data Missing",VLOOKUP(AH31,'G-3 Multipliers'!$S$3:$T$6,2,FALSE)))</f>
        <v/>
      </c>
      <c r="AJ31" s="265" t="str">
        <f t="shared" si="7"/>
        <v/>
      </c>
      <c r="AK31" s="180"/>
      <c r="AL31" s="181"/>
      <c r="AP31" s="35" t="str">
        <f>IFERROR(INDEX('G-6 Hedgerow Data'!$BJ$3:$BJ$15,MATCH(M31,'G-6 Hedgerow Data'!$B$3:$B$15,0)),"")</f>
        <v/>
      </c>
    </row>
    <row r="32" spans="2:42" ht="13.8" x14ac:dyDescent="0.25">
      <c r="B32" s="259" t="str">
        <f>'E-1 Off Site Hedge Baseline'!AK30</f>
        <v/>
      </c>
      <c r="C32" s="175" t="str">
        <f>IF(B32="","",IF(ISNA(VLOOKUP($B32,'E-1 Off Site Hedge Baseline'!$B$1:$L$257,3,FALSE)),"",(VLOOKUP($B32,'E-1 Off Site Hedge Baseline'!$B$1:$L$257,3,FALSE))))</f>
        <v/>
      </c>
      <c r="D32" s="175" t="str">
        <f>IF(B32="","",IF(ISNA(VLOOKUP($B32,'E-1 Off Site Hedge Baseline'!$B$1:$L$258,4,FALSE)),"",(VLOOKUP($B32,'E-1 Off Site Hedge Baseline'!$B$1:$L$258,4,FALSE))))</f>
        <v/>
      </c>
      <c r="E32" s="175" t="str">
        <f>IF(B32="","",IF(ISNA(VLOOKUP($B32,'E-1 Off Site Hedge Baseline'!$B$1:$L$257,5,FALSE)),"",(VLOOKUP($B32,'E-1 Off Site Hedge Baseline'!$B$1:$L$257,5,FALSE))))</f>
        <v/>
      </c>
      <c r="F32" s="175" t="str">
        <f>IF(B32="","",IF(ISNA(VLOOKUP($B32,'E-1 Off Site Hedge Baseline'!$B$1:$L$257,6,FALSE)),"",(VLOOKUP($B32,'E-1 Off Site Hedge Baseline'!$B$1:$L$257,6,FALSE))))</f>
        <v/>
      </c>
      <c r="G32" s="175" t="str">
        <f>IF(B32="","",IF(ISNA(VLOOKUP($B32,'E-1 Off Site Hedge Baseline'!$B$1:$L$257,7,FALSE)),"",(VLOOKUP($B32,'E-1 Off Site Hedge Baseline'!$B$1:$L$257,7,FALSE))))</f>
        <v/>
      </c>
      <c r="H32" s="175" t="str">
        <f>IF(B32="","",IF(ISNA(VLOOKUP($B32,'E-1 Off Site Hedge Baseline'!$B$1:$L$257,8,FALSE)),"",(VLOOKUP($B32,'E-1 Off Site Hedge Baseline'!$B$1:$L$257,8,FALSE))))</f>
        <v/>
      </c>
      <c r="I32" s="175" t="str">
        <f>IF(B32="","",IF(ISNA(VLOOKUP($B32,'E-1 Off Site Hedge Baseline'!$B$1:$L$257,10,FALSE)),"",(VLOOKUP($B32,'E-1 Off Site Hedge Baseline'!$B$1:$L$257,10,FALSE))))</f>
        <v/>
      </c>
      <c r="J32" s="175" t="str">
        <f>IF(B32="","",IF(ISNA(VLOOKUP($B32,'E-1 Off Site Hedge Baseline'!$B$1:$L$257,11,FALSE)),"",(VLOOKUP($B32,'E-1 Off Site Hedge Baseline'!$B$1:$L$257,11,FALSE))))</f>
        <v/>
      </c>
      <c r="K32" s="175" t="str">
        <f>IF(B32="","",IF(ISNA(VLOOKUP($B32,'E-1 Off Site Hedge Baseline'!$B$1:$U$257,113,FALSE)),"",(VLOOKUP($B32,'E-1 Off Site Hedge Baseline'!$B$1:$U$257,13,FALSE))))</f>
        <v/>
      </c>
      <c r="L32" s="179" t="str">
        <f>IF(B32="","",IF(ISNA(VLOOKUP($B32,'E-1 Off Site Hedge Baseline'!$B$1:$U$257,12,FALSE)),"",(VLOOKUP($B32,'E-1 Off Site Hedge Baseline'!$B$1:$U$257,12,FALSE))))</f>
        <v/>
      </c>
      <c r="M32" s="639" t="str">
        <f t="shared" si="8"/>
        <v/>
      </c>
      <c r="N32" s="171" t="str">
        <f>IFERROR(IF(B32="","",INDEX('G-6 Hedgerow Data'!$AN$3:$AZ$15,MATCH(C32,'G-6 Hedgerow Data'!$AM$3:$AM$15,0),MATCH(M32,'G-6 Hedgerow Data'!$AN$2:$AZ$2,0))),"")</f>
        <v/>
      </c>
      <c r="O32" s="172" t="str">
        <f t="shared" si="2"/>
        <v/>
      </c>
      <c r="P32" s="260" t="str">
        <f>IF(B32="","",VLOOKUP(B32,'E-1 Off Site Hedge Baseline'!$B$10:T277,16,FALSE))</f>
        <v/>
      </c>
      <c r="Q32" s="171" t="str">
        <f>IF(M32="","",VLOOKUP(M32,'G-6 Hedgerow Data'!$B$2:$AG$15,2,FALSE))</f>
        <v/>
      </c>
      <c r="R32" s="172" t="str">
        <f>IF(M32="","",VLOOKUP(M32,'G-6 Hedgerow Data'!$B$2:$AG$15,3,FALSE))</f>
        <v/>
      </c>
      <c r="S32" s="173"/>
      <c r="T32" s="172" t="str">
        <f>IFERROR(IF(AND(Q32="V.Low",OR(S32="Good",S32="Moderate")),"Error",VLOOKUP(S32,'G-1 All Habitats'!$Z$2:$AA$9,2,FALSE)),"")</f>
        <v/>
      </c>
      <c r="U32" s="173"/>
      <c r="V32" s="179" t="str">
        <f>IF(U32="","",IF(VLOOKUP(U32,'G-3 Multipliers'!$L$3:$N$6,2,FALSE)=0,"Spatial Data Missing",VLOOKUP(U32,'G-3 Multipliers'!$L$3:$N$6,2,FALSE)))</f>
        <v/>
      </c>
      <c r="W32" s="260" t="str">
        <f>IF(U32="","",IF(VLOOKUP(U32,'G-3 Multipliers'!$L$3:$N$6,3,FALSE)=0,"Spatial Data Missing",VLOOKUP(U32,'G-3 Multipliers'!$L$3:$N$6,3,FALSE)))</f>
        <v/>
      </c>
      <c r="X32" s="171" t="str">
        <f>IFERROR(IF(OR(LEFT(O32,5)="Error",LEFT(N32,5)="Error",T32="Error"),"Check Data",IF(F32&lt;R32,INDEX('G-6 Hedgerow Data'!$S$3:$AE$14,MATCH(C32,'G-6 Hedgerow Data'!$B$3:$B$14,0),MATCH(M32,'G-6 Hedgerow Data'!$S$2:$AE$2,0)),INDEX('G-6 Hedgerow Data'!$K$3:$Q$14,MATCH(M32,'G-6 Hedgerow Data'!$B$3:$B$14,0),MATCH(O32,'G-6 Hedgerow Data'!$K$2:$Q$2,0)))),"")</f>
        <v/>
      </c>
      <c r="Y32" s="261"/>
      <c r="Z32" s="261"/>
      <c r="AA32" s="179" t="str">
        <f t="shared" si="3"/>
        <v/>
      </c>
      <c r="AB32" s="262" t="str">
        <f t="shared" si="4"/>
        <v/>
      </c>
      <c r="AC32" s="263" t="str">
        <f t="shared" si="1"/>
        <v/>
      </c>
      <c r="AD32" s="239" t="str">
        <f>IF(M32="","",VLOOKUP(M32,'G-6 Hedgerow Data'!$B$3:$AG$15,31,FALSE))</f>
        <v/>
      </c>
      <c r="AE32" s="175" t="str">
        <f t="shared" si="5"/>
        <v/>
      </c>
      <c r="AF32" s="175" t="str">
        <f t="shared" si="6"/>
        <v/>
      </c>
      <c r="AG32" s="176" t="str">
        <f>IFERROR(IF(O32="","",VLOOKUP(AD32,'G-3 Multipliers'!$P$3:$Q$6,2,FALSE)),"")</f>
        <v/>
      </c>
      <c r="AH32" s="266"/>
      <c r="AI32" s="172" t="str">
        <f>IF(AH32="","",IF(VLOOKUP(AH32,'G-3 Multipliers'!$S$3:$T$6,2,FALSE)=0,"Spatial Data Missing",VLOOKUP(AH32,'G-3 Multipliers'!$S$3:$T$6,2,FALSE)))</f>
        <v/>
      </c>
      <c r="AJ32" s="265" t="str">
        <f t="shared" si="7"/>
        <v/>
      </c>
      <c r="AK32" s="180"/>
      <c r="AL32" s="181"/>
      <c r="AP32" s="35" t="str">
        <f>IFERROR(INDEX('G-6 Hedgerow Data'!$BJ$3:$BJ$15,MATCH(M32,'G-6 Hedgerow Data'!$B$3:$B$15,0)),"")</f>
        <v/>
      </c>
    </row>
    <row r="33" spans="2:42" ht="13.8" x14ac:dyDescent="0.25">
      <c r="B33" s="259" t="str">
        <f>'E-1 Off Site Hedge Baseline'!AK31</f>
        <v/>
      </c>
      <c r="C33" s="175" t="str">
        <f>IF(B33="","",IF(ISNA(VLOOKUP($B33,'E-1 Off Site Hedge Baseline'!$B$1:$L$257,3,FALSE)),"",(VLOOKUP($B33,'E-1 Off Site Hedge Baseline'!$B$1:$L$257,3,FALSE))))</f>
        <v/>
      </c>
      <c r="D33" s="175" t="str">
        <f>IF(B33="","",IF(ISNA(VLOOKUP($B33,'E-1 Off Site Hedge Baseline'!$B$1:$L$258,4,FALSE)),"",(VLOOKUP($B33,'E-1 Off Site Hedge Baseline'!$B$1:$L$258,4,FALSE))))</f>
        <v/>
      </c>
      <c r="E33" s="175" t="str">
        <f>IF(B33="","",IF(ISNA(VLOOKUP($B33,'E-1 Off Site Hedge Baseline'!$B$1:$L$257,5,FALSE)),"",(VLOOKUP($B33,'E-1 Off Site Hedge Baseline'!$B$1:$L$257,5,FALSE))))</f>
        <v/>
      </c>
      <c r="F33" s="175" t="str">
        <f>IF(B33="","",IF(ISNA(VLOOKUP($B33,'E-1 Off Site Hedge Baseline'!$B$1:$L$257,6,FALSE)),"",(VLOOKUP($B33,'E-1 Off Site Hedge Baseline'!$B$1:$L$257,6,FALSE))))</f>
        <v/>
      </c>
      <c r="G33" s="175" t="str">
        <f>IF(B33="","",IF(ISNA(VLOOKUP($B33,'E-1 Off Site Hedge Baseline'!$B$1:$L$257,7,FALSE)),"",(VLOOKUP($B33,'E-1 Off Site Hedge Baseline'!$B$1:$L$257,7,FALSE))))</f>
        <v/>
      </c>
      <c r="H33" s="175" t="str">
        <f>IF(B33="","",IF(ISNA(VLOOKUP($B33,'E-1 Off Site Hedge Baseline'!$B$1:$L$257,8,FALSE)),"",(VLOOKUP($B33,'E-1 Off Site Hedge Baseline'!$B$1:$L$257,8,FALSE))))</f>
        <v/>
      </c>
      <c r="I33" s="175" t="str">
        <f>IF(B33="","",IF(ISNA(VLOOKUP($B33,'E-1 Off Site Hedge Baseline'!$B$1:$L$257,10,FALSE)),"",(VLOOKUP($B33,'E-1 Off Site Hedge Baseline'!$B$1:$L$257,10,FALSE))))</f>
        <v/>
      </c>
      <c r="J33" s="175" t="str">
        <f>IF(B33="","",IF(ISNA(VLOOKUP($B33,'E-1 Off Site Hedge Baseline'!$B$1:$L$257,11,FALSE)),"",(VLOOKUP($B33,'E-1 Off Site Hedge Baseline'!$B$1:$L$257,11,FALSE))))</f>
        <v/>
      </c>
      <c r="K33" s="175" t="str">
        <f>IF(B33="","",IF(ISNA(VLOOKUP($B33,'E-1 Off Site Hedge Baseline'!$B$1:$U$257,113,FALSE)),"",(VLOOKUP($B33,'E-1 Off Site Hedge Baseline'!$B$1:$U$257,13,FALSE))))</f>
        <v/>
      </c>
      <c r="L33" s="179" t="str">
        <f>IF(B33="","",IF(ISNA(VLOOKUP($B33,'E-1 Off Site Hedge Baseline'!$B$1:$U$257,12,FALSE)),"",(VLOOKUP($B33,'E-1 Off Site Hedge Baseline'!$B$1:$U$257,12,FALSE))))</f>
        <v/>
      </c>
      <c r="M33" s="639" t="str">
        <f t="shared" si="8"/>
        <v/>
      </c>
      <c r="N33" s="171" t="str">
        <f>IFERROR(IF(B33="","",INDEX('G-6 Hedgerow Data'!$AN$3:$AZ$15,MATCH(C33,'G-6 Hedgerow Data'!$AM$3:$AM$15,0),MATCH(M33,'G-6 Hedgerow Data'!$AN$2:$AZ$2,0))),"")</f>
        <v/>
      </c>
      <c r="O33" s="172" t="str">
        <f t="shared" si="2"/>
        <v/>
      </c>
      <c r="P33" s="260" t="str">
        <f>IF(B33="","",VLOOKUP(B33,'E-1 Off Site Hedge Baseline'!$B$10:T278,16,FALSE))</f>
        <v/>
      </c>
      <c r="Q33" s="171" t="str">
        <f>IF(M33="","",VLOOKUP(M33,'G-6 Hedgerow Data'!$B$2:$AG$15,2,FALSE))</f>
        <v/>
      </c>
      <c r="R33" s="172" t="str">
        <f>IF(M33="","",VLOOKUP(M33,'G-6 Hedgerow Data'!$B$2:$AG$15,3,FALSE))</f>
        <v/>
      </c>
      <c r="S33" s="173"/>
      <c r="T33" s="172" t="str">
        <f>IFERROR(IF(AND(Q33="V.Low",OR(S33="Good",S33="Moderate")),"Error",VLOOKUP(S33,'G-1 All Habitats'!$Z$2:$AA$9,2,FALSE)),"")</f>
        <v/>
      </c>
      <c r="U33" s="173"/>
      <c r="V33" s="179" t="str">
        <f>IF(U33="","",IF(VLOOKUP(U33,'G-3 Multipliers'!$L$3:$N$6,2,FALSE)=0,"Spatial Data Missing",VLOOKUP(U33,'G-3 Multipliers'!$L$3:$N$6,2,FALSE)))</f>
        <v/>
      </c>
      <c r="W33" s="260" t="str">
        <f>IF(U33="","",IF(VLOOKUP(U33,'G-3 Multipliers'!$L$3:$N$6,3,FALSE)=0,"Spatial Data Missing",VLOOKUP(U33,'G-3 Multipliers'!$L$3:$N$6,3,FALSE)))</f>
        <v/>
      </c>
      <c r="X33" s="171" t="str">
        <f>IFERROR(IF(OR(LEFT(O33,5)="Error",LEFT(N33,5)="Error",T33="Error"),"Check Data",IF(F33&lt;R33,INDEX('G-6 Hedgerow Data'!$S$3:$AE$14,MATCH(C33,'G-6 Hedgerow Data'!$B$3:$B$14,0),MATCH(M33,'G-6 Hedgerow Data'!$S$2:$AE$2,0)),INDEX('G-6 Hedgerow Data'!$K$3:$Q$14,MATCH(M33,'G-6 Hedgerow Data'!$B$3:$B$14,0),MATCH(O33,'G-6 Hedgerow Data'!$K$2:$Q$2,0)))),"")</f>
        <v/>
      </c>
      <c r="Y33" s="261"/>
      <c r="Z33" s="261"/>
      <c r="AA33" s="179" t="str">
        <f t="shared" si="3"/>
        <v/>
      </c>
      <c r="AB33" s="262" t="str">
        <f t="shared" si="4"/>
        <v/>
      </c>
      <c r="AC33" s="263" t="str">
        <f t="shared" si="1"/>
        <v/>
      </c>
      <c r="AD33" s="239" t="str">
        <f>IF(M33="","",VLOOKUP(M33,'G-6 Hedgerow Data'!$B$3:$AG$15,31,FALSE))</f>
        <v/>
      </c>
      <c r="AE33" s="175" t="str">
        <f t="shared" si="5"/>
        <v/>
      </c>
      <c r="AF33" s="175" t="str">
        <f t="shared" si="6"/>
        <v/>
      </c>
      <c r="AG33" s="176" t="str">
        <f>IFERROR(IF(O33="","",VLOOKUP(AD33,'G-3 Multipliers'!$P$3:$Q$6,2,FALSE)),"")</f>
        <v/>
      </c>
      <c r="AH33" s="266"/>
      <c r="AI33" s="172" t="str">
        <f>IF(AH33="","",IF(VLOOKUP(AH33,'G-3 Multipliers'!$S$3:$T$6,2,FALSE)=0,"Spatial Data Missing",VLOOKUP(AH33,'G-3 Multipliers'!$S$3:$T$6,2,FALSE)))</f>
        <v/>
      </c>
      <c r="AJ33" s="265" t="str">
        <f t="shared" si="7"/>
        <v/>
      </c>
      <c r="AK33" s="180"/>
      <c r="AL33" s="181"/>
      <c r="AP33" s="35" t="str">
        <f>IFERROR(INDEX('G-6 Hedgerow Data'!$BJ$3:$BJ$15,MATCH(M33,'G-6 Hedgerow Data'!$B$3:$B$15,0)),"")</f>
        <v/>
      </c>
    </row>
    <row r="34" spans="2:42" ht="13.8" x14ac:dyDescent="0.25">
      <c r="B34" s="259" t="str">
        <f>'E-1 Off Site Hedge Baseline'!AK32</f>
        <v/>
      </c>
      <c r="C34" s="175" t="str">
        <f>IF(B34="","",IF(ISNA(VLOOKUP($B34,'E-1 Off Site Hedge Baseline'!$B$1:$L$257,3,FALSE)),"",(VLOOKUP($B34,'E-1 Off Site Hedge Baseline'!$B$1:$L$257,3,FALSE))))</f>
        <v/>
      </c>
      <c r="D34" s="175" t="str">
        <f>IF(B34="","",IF(ISNA(VLOOKUP($B34,'E-1 Off Site Hedge Baseline'!$B$1:$L$258,4,FALSE)),"",(VLOOKUP($B34,'E-1 Off Site Hedge Baseline'!$B$1:$L$258,4,FALSE))))</f>
        <v/>
      </c>
      <c r="E34" s="175" t="str">
        <f>IF(B34="","",IF(ISNA(VLOOKUP($B34,'E-1 Off Site Hedge Baseline'!$B$1:$L$257,5,FALSE)),"",(VLOOKUP($B34,'E-1 Off Site Hedge Baseline'!$B$1:$L$257,5,FALSE))))</f>
        <v/>
      </c>
      <c r="F34" s="175" t="str">
        <f>IF(B34="","",IF(ISNA(VLOOKUP($B34,'E-1 Off Site Hedge Baseline'!$B$1:$L$257,6,FALSE)),"",(VLOOKUP($B34,'E-1 Off Site Hedge Baseline'!$B$1:$L$257,6,FALSE))))</f>
        <v/>
      </c>
      <c r="G34" s="175" t="str">
        <f>IF(B34="","",IF(ISNA(VLOOKUP($B34,'E-1 Off Site Hedge Baseline'!$B$1:$L$257,7,FALSE)),"",(VLOOKUP($B34,'E-1 Off Site Hedge Baseline'!$B$1:$L$257,7,FALSE))))</f>
        <v/>
      </c>
      <c r="H34" s="175" t="str">
        <f>IF(B34="","",IF(ISNA(VLOOKUP($B34,'E-1 Off Site Hedge Baseline'!$B$1:$L$257,8,FALSE)),"",(VLOOKUP($B34,'E-1 Off Site Hedge Baseline'!$B$1:$L$257,8,FALSE))))</f>
        <v/>
      </c>
      <c r="I34" s="175" t="str">
        <f>IF(B34="","",IF(ISNA(VLOOKUP($B34,'E-1 Off Site Hedge Baseline'!$B$1:$L$257,10,FALSE)),"",(VLOOKUP($B34,'E-1 Off Site Hedge Baseline'!$B$1:$L$257,10,FALSE))))</f>
        <v/>
      </c>
      <c r="J34" s="175" t="str">
        <f>IF(B34="","",IF(ISNA(VLOOKUP($B34,'E-1 Off Site Hedge Baseline'!$B$1:$L$257,11,FALSE)),"",(VLOOKUP($B34,'E-1 Off Site Hedge Baseline'!$B$1:$L$257,11,FALSE))))</f>
        <v/>
      </c>
      <c r="K34" s="175" t="str">
        <f>IF(B34="","",IF(ISNA(VLOOKUP($B34,'E-1 Off Site Hedge Baseline'!$B$1:$U$257,113,FALSE)),"",(VLOOKUP($B34,'E-1 Off Site Hedge Baseline'!$B$1:$U$257,13,FALSE))))</f>
        <v/>
      </c>
      <c r="L34" s="179" t="str">
        <f>IF(B34="","",IF(ISNA(VLOOKUP($B34,'E-1 Off Site Hedge Baseline'!$B$1:$U$257,12,FALSE)),"",(VLOOKUP($B34,'E-1 Off Site Hedge Baseline'!$B$1:$U$257,12,FALSE))))</f>
        <v/>
      </c>
      <c r="M34" s="639" t="str">
        <f t="shared" si="8"/>
        <v/>
      </c>
      <c r="N34" s="171" t="str">
        <f>IFERROR(IF(B34="","",INDEX('G-6 Hedgerow Data'!$AN$3:$AZ$15,MATCH(C34,'G-6 Hedgerow Data'!$AM$3:$AM$15,0),MATCH(M34,'G-6 Hedgerow Data'!$AN$2:$AZ$2,0))),"")</f>
        <v/>
      </c>
      <c r="O34" s="172" t="str">
        <f t="shared" si="2"/>
        <v/>
      </c>
      <c r="P34" s="260" t="str">
        <f>IF(B34="","",VLOOKUP(B34,'E-1 Off Site Hedge Baseline'!$B$10:T279,16,FALSE))</f>
        <v/>
      </c>
      <c r="Q34" s="171" t="str">
        <f>IF(M34="","",VLOOKUP(M34,'G-6 Hedgerow Data'!$B$2:$AG$15,2,FALSE))</f>
        <v/>
      </c>
      <c r="R34" s="172" t="str">
        <f>IF(M34="","",VLOOKUP(M34,'G-6 Hedgerow Data'!$B$2:$AG$15,3,FALSE))</f>
        <v/>
      </c>
      <c r="S34" s="173"/>
      <c r="T34" s="172" t="str">
        <f>IFERROR(IF(AND(Q34="V.Low",OR(S34="Good",S34="Moderate")),"Error",VLOOKUP(S34,'G-1 All Habitats'!$Z$2:$AA$9,2,FALSE)),"")</f>
        <v/>
      </c>
      <c r="U34" s="173"/>
      <c r="V34" s="179" t="str">
        <f>IF(U34="","",IF(VLOOKUP(U34,'G-3 Multipliers'!$L$3:$N$6,2,FALSE)=0,"Spatial Data Missing",VLOOKUP(U34,'G-3 Multipliers'!$L$3:$N$6,2,FALSE)))</f>
        <v/>
      </c>
      <c r="W34" s="260" t="str">
        <f>IF(U34="","",IF(VLOOKUP(U34,'G-3 Multipliers'!$L$3:$N$6,3,FALSE)=0,"Spatial Data Missing",VLOOKUP(U34,'G-3 Multipliers'!$L$3:$N$6,3,FALSE)))</f>
        <v/>
      </c>
      <c r="X34" s="171" t="str">
        <f>IFERROR(IF(OR(LEFT(O34,5)="Error",LEFT(N34,5)="Error",T34="Error"),"Check Data",IF(F34&lt;R34,INDEX('G-6 Hedgerow Data'!$S$3:$AE$14,MATCH(C34,'G-6 Hedgerow Data'!$B$3:$B$14,0),MATCH(M34,'G-6 Hedgerow Data'!$S$2:$AE$2,0)),INDEX('G-6 Hedgerow Data'!$K$3:$Q$14,MATCH(M34,'G-6 Hedgerow Data'!$B$3:$B$14,0),MATCH(O34,'G-6 Hedgerow Data'!$K$2:$Q$2,0)))),"")</f>
        <v/>
      </c>
      <c r="Y34" s="261"/>
      <c r="Z34" s="261"/>
      <c r="AA34" s="179" t="str">
        <f t="shared" si="3"/>
        <v/>
      </c>
      <c r="AB34" s="262" t="str">
        <f t="shared" si="4"/>
        <v/>
      </c>
      <c r="AC34" s="263" t="str">
        <f t="shared" si="1"/>
        <v/>
      </c>
      <c r="AD34" s="239" t="str">
        <f>IF(M34="","",VLOOKUP(M34,'G-6 Hedgerow Data'!$B$3:$AG$15,31,FALSE))</f>
        <v/>
      </c>
      <c r="AE34" s="175" t="str">
        <f t="shared" si="5"/>
        <v/>
      </c>
      <c r="AF34" s="175" t="str">
        <f t="shared" si="6"/>
        <v/>
      </c>
      <c r="AG34" s="176" t="str">
        <f>IFERROR(IF(O34="","",VLOOKUP(AD34,'G-3 Multipliers'!$P$3:$Q$6,2,FALSE)),"")</f>
        <v/>
      </c>
      <c r="AH34" s="266"/>
      <c r="AI34" s="172" t="str">
        <f>IF(AH34="","",IF(VLOOKUP(AH34,'G-3 Multipliers'!$S$3:$T$6,2,FALSE)=0,"Spatial Data Missing",VLOOKUP(AH34,'G-3 Multipliers'!$S$3:$T$6,2,FALSE)))</f>
        <v/>
      </c>
      <c r="AJ34" s="265" t="str">
        <f t="shared" si="7"/>
        <v/>
      </c>
      <c r="AK34" s="180"/>
      <c r="AL34" s="181"/>
      <c r="AP34" s="35" t="str">
        <f>IFERROR(INDEX('G-6 Hedgerow Data'!$BJ$3:$BJ$15,MATCH(M34,'G-6 Hedgerow Data'!$B$3:$B$15,0)),"")</f>
        <v/>
      </c>
    </row>
    <row r="35" spans="2:42" ht="13.8" x14ac:dyDescent="0.25">
      <c r="B35" s="259" t="str">
        <f>'E-1 Off Site Hedge Baseline'!AK33</f>
        <v/>
      </c>
      <c r="C35" s="175" t="str">
        <f>IF(B35="","",IF(ISNA(VLOOKUP($B35,'E-1 Off Site Hedge Baseline'!$B$1:$L$257,3,FALSE)),"",(VLOOKUP($B35,'E-1 Off Site Hedge Baseline'!$B$1:$L$257,3,FALSE))))</f>
        <v/>
      </c>
      <c r="D35" s="175" t="str">
        <f>IF(B35="","",IF(ISNA(VLOOKUP($B35,'E-1 Off Site Hedge Baseline'!$B$1:$L$258,4,FALSE)),"",(VLOOKUP($B35,'E-1 Off Site Hedge Baseline'!$B$1:$L$258,4,FALSE))))</f>
        <v/>
      </c>
      <c r="E35" s="175" t="str">
        <f>IF(B35="","",IF(ISNA(VLOOKUP($B35,'E-1 Off Site Hedge Baseline'!$B$1:$L$257,5,FALSE)),"",(VLOOKUP($B35,'E-1 Off Site Hedge Baseline'!$B$1:$L$257,5,FALSE))))</f>
        <v/>
      </c>
      <c r="F35" s="175" t="str">
        <f>IF(B35="","",IF(ISNA(VLOOKUP($B35,'E-1 Off Site Hedge Baseline'!$B$1:$L$257,6,FALSE)),"",(VLOOKUP($B35,'E-1 Off Site Hedge Baseline'!$B$1:$L$257,6,FALSE))))</f>
        <v/>
      </c>
      <c r="G35" s="175" t="str">
        <f>IF(B35="","",IF(ISNA(VLOOKUP($B35,'E-1 Off Site Hedge Baseline'!$B$1:$L$257,7,FALSE)),"",(VLOOKUP($B35,'E-1 Off Site Hedge Baseline'!$B$1:$L$257,7,FALSE))))</f>
        <v/>
      </c>
      <c r="H35" s="175" t="str">
        <f>IF(B35="","",IF(ISNA(VLOOKUP($B35,'E-1 Off Site Hedge Baseline'!$B$1:$L$257,8,FALSE)),"",(VLOOKUP($B35,'E-1 Off Site Hedge Baseline'!$B$1:$L$257,8,FALSE))))</f>
        <v/>
      </c>
      <c r="I35" s="175" t="str">
        <f>IF(B35="","",IF(ISNA(VLOOKUP($B35,'E-1 Off Site Hedge Baseline'!$B$1:$L$257,10,FALSE)),"",(VLOOKUP($B35,'E-1 Off Site Hedge Baseline'!$B$1:$L$257,10,FALSE))))</f>
        <v/>
      </c>
      <c r="J35" s="175" t="str">
        <f>IF(B35="","",IF(ISNA(VLOOKUP($B35,'E-1 Off Site Hedge Baseline'!$B$1:$L$257,11,FALSE)),"",(VLOOKUP($B35,'E-1 Off Site Hedge Baseline'!$B$1:$L$257,11,FALSE))))</f>
        <v/>
      </c>
      <c r="K35" s="175" t="str">
        <f>IF(B35="","",IF(ISNA(VLOOKUP($B35,'E-1 Off Site Hedge Baseline'!$B$1:$U$257,113,FALSE)),"",(VLOOKUP($B35,'E-1 Off Site Hedge Baseline'!$B$1:$U$257,13,FALSE))))</f>
        <v/>
      </c>
      <c r="L35" s="179" t="str">
        <f>IF(B35="","",IF(ISNA(VLOOKUP($B35,'E-1 Off Site Hedge Baseline'!$B$1:$U$257,12,FALSE)),"",(VLOOKUP($B35,'E-1 Off Site Hedge Baseline'!$B$1:$U$257,12,FALSE))))</f>
        <v/>
      </c>
      <c r="M35" s="639" t="str">
        <f t="shared" si="8"/>
        <v/>
      </c>
      <c r="N35" s="171" t="str">
        <f>IFERROR(IF(B35="","",INDEX('G-6 Hedgerow Data'!$AN$3:$AZ$15,MATCH(C35,'G-6 Hedgerow Data'!$AM$3:$AM$15,0),MATCH(M35,'G-6 Hedgerow Data'!$AN$2:$AZ$2,0))),"")</f>
        <v/>
      </c>
      <c r="O35" s="172" t="str">
        <f t="shared" si="2"/>
        <v/>
      </c>
      <c r="P35" s="260" t="str">
        <f>IF(B35="","",VLOOKUP(B35,'E-1 Off Site Hedge Baseline'!$B$10:T280,16,FALSE))</f>
        <v/>
      </c>
      <c r="Q35" s="171" t="str">
        <f>IF(M35="","",VLOOKUP(M35,'G-6 Hedgerow Data'!$B$2:$AG$15,2,FALSE))</f>
        <v/>
      </c>
      <c r="R35" s="172" t="str">
        <f>IF(M35="","",VLOOKUP(M35,'G-6 Hedgerow Data'!$B$2:$AG$15,3,FALSE))</f>
        <v/>
      </c>
      <c r="S35" s="173"/>
      <c r="T35" s="172" t="str">
        <f>IFERROR(IF(AND(Q35="V.Low",OR(S35="Good",S35="Moderate")),"Error",VLOOKUP(S35,'G-1 All Habitats'!$Z$2:$AA$9,2,FALSE)),"")</f>
        <v/>
      </c>
      <c r="U35" s="173"/>
      <c r="V35" s="179" t="str">
        <f>IF(U35="","",IF(VLOOKUP(U35,'G-3 Multipliers'!$L$3:$N$6,2,FALSE)=0,"Spatial Data Missing",VLOOKUP(U35,'G-3 Multipliers'!$L$3:$N$6,2,FALSE)))</f>
        <v/>
      </c>
      <c r="W35" s="260" t="str">
        <f>IF(U35="","",IF(VLOOKUP(U35,'G-3 Multipliers'!$L$3:$N$6,3,FALSE)=0,"Spatial Data Missing",VLOOKUP(U35,'G-3 Multipliers'!$L$3:$N$6,3,FALSE)))</f>
        <v/>
      </c>
      <c r="X35" s="171" t="str">
        <f>IFERROR(IF(OR(LEFT(O35,5)="Error",LEFT(N35,5)="Error",T35="Error"),"Check Data",IF(F35&lt;R35,INDEX('G-6 Hedgerow Data'!$S$3:$AE$14,MATCH(C35,'G-6 Hedgerow Data'!$B$3:$B$14,0),MATCH(M35,'G-6 Hedgerow Data'!$S$2:$AE$2,0)),INDEX('G-6 Hedgerow Data'!$K$3:$Q$14,MATCH(M35,'G-6 Hedgerow Data'!$B$3:$B$14,0),MATCH(O35,'G-6 Hedgerow Data'!$K$2:$Q$2,0)))),"")</f>
        <v/>
      </c>
      <c r="Y35" s="261"/>
      <c r="Z35" s="261"/>
      <c r="AA35" s="179" t="str">
        <f t="shared" si="3"/>
        <v/>
      </c>
      <c r="AB35" s="262" t="str">
        <f t="shared" si="4"/>
        <v/>
      </c>
      <c r="AC35" s="263" t="str">
        <f t="shared" si="1"/>
        <v/>
      </c>
      <c r="AD35" s="239" t="str">
        <f>IF(M35="","",VLOOKUP(M35,'G-6 Hedgerow Data'!$B$3:$AG$15,31,FALSE))</f>
        <v/>
      </c>
      <c r="AE35" s="175" t="str">
        <f t="shared" si="5"/>
        <v/>
      </c>
      <c r="AF35" s="175" t="str">
        <f t="shared" si="6"/>
        <v/>
      </c>
      <c r="AG35" s="176" t="str">
        <f>IFERROR(IF(O35="","",VLOOKUP(AD35,'G-3 Multipliers'!$P$3:$Q$6,2,FALSE)),"")</f>
        <v/>
      </c>
      <c r="AH35" s="266"/>
      <c r="AI35" s="172" t="str">
        <f>IF(AH35="","",IF(VLOOKUP(AH35,'G-3 Multipliers'!$S$3:$T$6,2,FALSE)=0,"Spatial Data Missing",VLOOKUP(AH35,'G-3 Multipliers'!$S$3:$T$6,2,FALSE)))</f>
        <v/>
      </c>
      <c r="AJ35" s="265" t="str">
        <f t="shared" si="7"/>
        <v/>
      </c>
      <c r="AK35" s="180"/>
      <c r="AL35" s="181"/>
      <c r="AP35" s="35" t="str">
        <f>IFERROR(INDEX('G-6 Hedgerow Data'!$BJ$3:$BJ$15,MATCH(M35,'G-6 Hedgerow Data'!$B$3:$B$15,0)),"")</f>
        <v/>
      </c>
    </row>
    <row r="36" spans="2:42" ht="13.8" x14ac:dyDescent="0.25">
      <c r="B36" s="259" t="str">
        <f>'E-1 Off Site Hedge Baseline'!AK34</f>
        <v/>
      </c>
      <c r="C36" s="175" t="str">
        <f>IF(B36="","",IF(ISNA(VLOOKUP($B36,'E-1 Off Site Hedge Baseline'!$B$1:$L$257,3,FALSE)),"",(VLOOKUP($B36,'E-1 Off Site Hedge Baseline'!$B$1:$L$257,3,FALSE))))</f>
        <v/>
      </c>
      <c r="D36" s="175" t="str">
        <f>IF(B36="","",IF(ISNA(VLOOKUP($B36,'E-1 Off Site Hedge Baseline'!$B$1:$L$258,4,FALSE)),"",(VLOOKUP($B36,'E-1 Off Site Hedge Baseline'!$B$1:$L$258,4,FALSE))))</f>
        <v/>
      </c>
      <c r="E36" s="175" t="str">
        <f>IF(B36="","",IF(ISNA(VLOOKUP($B36,'E-1 Off Site Hedge Baseline'!$B$1:$L$257,5,FALSE)),"",(VLOOKUP($B36,'E-1 Off Site Hedge Baseline'!$B$1:$L$257,5,FALSE))))</f>
        <v/>
      </c>
      <c r="F36" s="175" t="str">
        <f>IF(B36="","",IF(ISNA(VLOOKUP($B36,'E-1 Off Site Hedge Baseline'!$B$1:$L$257,6,FALSE)),"",(VLOOKUP($B36,'E-1 Off Site Hedge Baseline'!$B$1:$L$257,6,FALSE))))</f>
        <v/>
      </c>
      <c r="G36" s="175" t="str">
        <f>IF(B36="","",IF(ISNA(VLOOKUP($B36,'E-1 Off Site Hedge Baseline'!$B$1:$L$257,7,FALSE)),"",(VLOOKUP($B36,'E-1 Off Site Hedge Baseline'!$B$1:$L$257,7,FALSE))))</f>
        <v/>
      </c>
      <c r="H36" s="175" t="str">
        <f>IF(B36="","",IF(ISNA(VLOOKUP($B36,'E-1 Off Site Hedge Baseline'!$B$1:$L$257,8,FALSE)),"",(VLOOKUP($B36,'E-1 Off Site Hedge Baseline'!$B$1:$L$257,8,FALSE))))</f>
        <v/>
      </c>
      <c r="I36" s="175" t="str">
        <f>IF(B36="","",IF(ISNA(VLOOKUP($B36,'E-1 Off Site Hedge Baseline'!$B$1:$L$257,10,FALSE)),"",(VLOOKUP($B36,'E-1 Off Site Hedge Baseline'!$B$1:$L$257,10,FALSE))))</f>
        <v/>
      </c>
      <c r="J36" s="175" t="str">
        <f>IF(B36="","",IF(ISNA(VLOOKUP($B36,'E-1 Off Site Hedge Baseline'!$B$1:$L$257,11,FALSE)),"",(VLOOKUP($B36,'E-1 Off Site Hedge Baseline'!$B$1:$L$257,11,FALSE))))</f>
        <v/>
      </c>
      <c r="K36" s="175" t="str">
        <f>IF(B36="","",IF(ISNA(VLOOKUP($B36,'E-1 Off Site Hedge Baseline'!$B$1:$U$257,113,FALSE)),"",(VLOOKUP($B36,'E-1 Off Site Hedge Baseline'!$B$1:$U$257,13,FALSE))))</f>
        <v/>
      </c>
      <c r="L36" s="179" t="str">
        <f>IF(B36="","",IF(ISNA(VLOOKUP($B36,'E-1 Off Site Hedge Baseline'!$B$1:$U$257,12,FALSE)),"",(VLOOKUP($B36,'E-1 Off Site Hedge Baseline'!$B$1:$U$257,12,FALSE))))</f>
        <v/>
      </c>
      <c r="M36" s="639" t="str">
        <f t="shared" si="8"/>
        <v/>
      </c>
      <c r="N36" s="171" t="str">
        <f>IFERROR(IF(B36="","",INDEX('G-6 Hedgerow Data'!$AN$3:$AZ$15,MATCH(C36,'G-6 Hedgerow Data'!$AM$3:$AM$15,0),MATCH(M36,'G-6 Hedgerow Data'!$AN$2:$AZ$2,0))),"")</f>
        <v/>
      </c>
      <c r="O36" s="172" t="str">
        <f t="shared" si="2"/>
        <v/>
      </c>
      <c r="P36" s="260" t="str">
        <f>IF(B36="","",VLOOKUP(B36,'E-1 Off Site Hedge Baseline'!$B$10:T281,16,FALSE))</f>
        <v/>
      </c>
      <c r="Q36" s="171" t="str">
        <f>IF(M36="","",VLOOKUP(M36,'G-6 Hedgerow Data'!$B$2:$AG$15,2,FALSE))</f>
        <v/>
      </c>
      <c r="R36" s="172" t="str">
        <f>IF(M36="","",VLOOKUP(M36,'G-6 Hedgerow Data'!$B$2:$AG$15,3,FALSE))</f>
        <v/>
      </c>
      <c r="S36" s="173"/>
      <c r="T36" s="172" t="str">
        <f>IFERROR(IF(AND(Q36="V.Low",OR(S36="Good",S36="Moderate")),"Error",VLOOKUP(S36,'G-1 All Habitats'!$Z$2:$AA$9,2,FALSE)),"")</f>
        <v/>
      </c>
      <c r="U36" s="173"/>
      <c r="V36" s="179" t="str">
        <f>IF(U36="","",IF(VLOOKUP(U36,'G-3 Multipliers'!$L$3:$N$6,2,FALSE)=0,"Spatial Data Missing",VLOOKUP(U36,'G-3 Multipliers'!$L$3:$N$6,2,FALSE)))</f>
        <v/>
      </c>
      <c r="W36" s="260" t="str">
        <f>IF(U36="","",IF(VLOOKUP(U36,'G-3 Multipliers'!$L$3:$N$6,3,FALSE)=0,"Spatial Data Missing",VLOOKUP(U36,'G-3 Multipliers'!$L$3:$N$6,3,FALSE)))</f>
        <v/>
      </c>
      <c r="X36" s="171" t="str">
        <f>IFERROR(IF(OR(LEFT(O36,5)="Error",LEFT(N36,5)="Error",T36="Error"),"Check Data",IF(F36&lt;R36,INDEX('G-6 Hedgerow Data'!$S$3:$AE$14,MATCH(C36,'G-6 Hedgerow Data'!$B$3:$B$14,0),MATCH(M36,'G-6 Hedgerow Data'!$S$2:$AE$2,0)),INDEX('G-6 Hedgerow Data'!$K$3:$Q$14,MATCH(M36,'G-6 Hedgerow Data'!$B$3:$B$14,0),MATCH(O36,'G-6 Hedgerow Data'!$K$2:$Q$2,0)))),"")</f>
        <v/>
      </c>
      <c r="Y36" s="261"/>
      <c r="Z36" s="261"/>
      <c r="AA36" s="179" t="str">
        <f t="shared" si="3"/>
        <v/>
      </c>
      <c r="AB36" s="262" t="str">
        <f t="shared" si="4"/>
        <v/>
      </c>
      <c r="AC36" s="263" t="str">
        <f t="shared" si="1"/>
        <v/>
      </c>
      <c r="AD36" s="239" t="str">
        <f>IF(M36="","",VLOOKUP(M36,'G-6 Hedgerow Data'!$B$3:$AG$15,31,FALSE))</f>
        <v/>
      </c>
      <c r="AE36" s="175" t="str">
        <f t="shared" si="5"/>
        <v/>
      </c>
      <c r="AF36" s="175" t="str">
        <f t="shared" si="6"/>
        <v/>
      </c>
      <c r="AG36" s="176" t="str">
        <f>IFERROR(IF(O36="","",VLOOKUP(AD36,'G-3 Multipliers'!$P$3:$Q$6,2,FALSE)),"")</f>
        <v/>
      </c>
      <c r="AH36" s="266"/>
      <c r="AI36" s="172" t="str">
        <f>IF(AH36="","",IF(VLOOKUP(AH36,'G-3 Multipliers'!$S$3:$T$6,2,FALSE)=0,"Spatial Data Missing",VLOOKUP(AH36,'G-3 Multipliers'!$S$3:$T$6,2,FALSE)))</f>
        <v/>
      </c>
      <c r="AJ36" s="265" t="str">
        <f t="shared" si="7"/>
        <v/>
      </c>
      <c r="AK36" s="180"/>
      <c r="AL36" s="181"/>
      <c r="AP36" s="35" t="str">
        <f>IFERROR(INDEX('G-6 Hedgerow Data'!$BJ$3:$BJ$15,MATCH(M36,'G-6 Hedgerow Data'!$B$3:$B$15,0)),"")</f>
        <v/>
      </c>
    </row>
    <row r="37" spans="2:42" ht="13.8" x14ac:dyDescent="0.25">
      <c r="B37" s="259" t="str">
        <f>'E-1 Off Site Hedge Baseline'!AK35</f>
        <v/>
      </c>
      <c r="C37" s="175" t="str">
        <f>IF(B37="","",IF(ISNA(VLOOKUP($B37,'E-1 Off Site Hedge Baseline'!$B$1:$L$257,3,FALSE)),"",(VLOOKUP($B37,'E-1 Off Site Hedge Baseline'!$B$1:$L$257,3,FALSE))))</f>
        <v/>
      </c>
      <c r="D37" s="175" t="str">
        <f>IF(B37="","",IF(ISNA(VLOOKUP($B37,'E-1 Off Site Hedge Baseline'!$B$1:$L$258,4,FALSE)),"",(VLOOKUP($B37,'E-1 Off Site Hedge Baseline'!$B$1:$L$258,4,FALSE))))</f>
        <v/>
      </c>
      <c r="E37" s="175" t="str">
        <f>IF(B37="","",IF(ISNA(VLOOKUP($B37,'E-1 Off Site Hedge Baseline'!$B$1:$L$257,5,FALSE)),"",(VLOOKUP($B37,'E-1 Off Site Hedge Baseline'!$B$1:$L$257,5,FALSE))))</f>
        <v/>
      </c>
      <c r="F37" s="175" t="str">
        <f>IF(B37="","",IF(ISNA(VLOOKUP($B37,'E-1 Off Site Hedge Baseline'!$B$1:$L$257,6,FALSE)),"",(VLOOKUP($B37,'E-1 Off Site Hedge Baseline'!$B$1:$L$257,6,FALSE))))</f>
        <v/>
      </c>
      <c r="G37" s="175" t="str">
        <f>IF(B37="","",IF(ISNA(VLOOKUP($B37,'E-1 Off Site Hedge Baseline'!$B$1:$L$257,7,FALSE)),"",(VLOOKUP($B37,'E-1 Off Site Hedge Baseline'!$B$1:$L$257,7,FALSE))))</f>
        <v/>
      </c>
      <c r="H37" s="175" t="str">
        <f>IF(B37="","",IF(ISNA(VLOOKUP($B37,'E-1 Off Site Hedge Baseline'!$B$1:$L$257,8,FALSE)),"",(VLOOKUP($B37,'E-1 Off Site Hedge Baseline'!$B$1:$L$257,8,FALSE))))</f>
        <v/>
      </c>
      <c r="I37" s="175" t="str">
        <f>IF(B37="","",IF(ISNA(VLOOKUP($B37,'E-1 Off Site Hedge Baseline'!$B$1:$L$257,10,FALSE)),"",(VLOOKUP($B37,'E-1 Off Site Hedge Baseline'!$B$1:$L$257,10,FALSE))))</f>
        <v/>
      </c>
      <c r="J37" s="175" t="str">
        <f>IF(B37="","",IF(ISNA(VLOOKUP($B37,'E-1 Off Site Hedge Baseline'!$B$1:$L$257,11,FALSE)),"",(VLOOKUP($B37,'E-1 Off Site Hedge Baseline'!$B$1:$L$257,11,FALSE))))</f>
        <v/>
      </c>
      <c r="K37" s="175" t="str">
        <f>IF(B37="","",IF(ISNA(VLOOKUP($B37,'E-1 Off Site Hedge Baseline'!$B$1:$U$257,113,FALSE)),"",(VLOOKUP($B37,'E-1 Off Site Hedge Baseline'!$B$1:$U$257,13,FALSE))))</f>
        <v/>
      </c>
      <c r="L37" s="179" t="str">
        <f>IF(B37="","",IF(ISNA(VLOOKUP($B37,'E-1 Off Site Hedge Baseline'!$B$1:$U$257,12,FALSE)),"",(VLOOKUP($B37,'E-1 Off Site Hedge Baseline'!$B$1:$U$257,12,FALSE))))</f>
        <v/>
      </c>
      <c r="M37" s="639" t="str">
        <f t="shared" si="8"/>
        <v/>
      </c>
      <c r="N37" s="171" t="str">
        <f>IFERROR(IF(B37="","",INDEX('G-6 Hedgerow Data'!$AN$3:$AZ$15,MATCH(C37,'G-6 Hedgerow Data'!$AM$3:$AM$15,0),MATCH(M37,'G-6 Hedgerow Data'!$AN$2:$AZ$2,0))),"")</f>
        <v/>
      </c>
      <c r="O37" s="172" t="str">
        <f t="shared" si="2"/>
        <v/>
      </c>
      <c r="P37" s="260" t="str">
        <f>IF(B37="","",VLOOKUP(B37,'E-1 Off Site Hedge Baseline'!$B$10:T282,16,FALSE))</f>
        <v/>
      </c>
      <c r="Q37" s="171" t="str">
        <f>IF(M37="","",VLOOKUP(M37,'G-6 Hedgerow Data'!$B$2:$AG$15,2,FALSE))</f>
        <v/>
      </c>
      <c r="R37" s="172" t="str">
        <f>IF(M37="","",VLOOKUP(M37,'G-6 Hedgerow Data'!$B$2:$AG$15,3,FALSE))</f>
        <v/>
      </c>
      <c r="S37" s="173"/>
      <c r="T37" s="172" t="str">
        <f>IFERROR(IF(AND(Q37="V.Low",OR(S37="Good",S37="Moderate")),"Error",VLOOKUP(S37,'G-1 All Habitats'!$Z$2:$AA$9,2,FALSE)),"")</f>
        <v/>
      </c>
      <c r="U37" s="173"/>
      <c r="V37" s="179" t="str">
        <f>IF(U37="","",IF(VLOOKUP(U37,'G-3 Multipliers'!$L$3:$N$6,2,FALSE)=0,"Spatial Data Missing",VLOOKUP(U37,'G-3 Multipliers'!$L$3:$N$6,2,FALSE)))</f>
        <v/>
      </c>
      <c r="W37" s="260" t="str">
        <f>IF(U37="","",IF(VLOOKUP(U37,'G-3 Multipliers'!$L$3:$N$6,3,FALSE)=0,"Spatial Data Missing",VLOOKUP(U37,'G-3 Multipliers'!$L$3:$N$6,3,FALSE)))</f>
        <v/>
      </c>
      <c r="X37" s="171" t="str">
        <f>IFERROR(IF(OR(LEFT(O37,5)="Error",LEFT(N37,5)="Error",T37="Error"),"Check Data",IF(F37&lt;R37,INDEX('G-6 Hedgerow Data'!$S$3:$AE$14,MATCH(C37,'G-6 Hedgerow Data'!$B$3:$B$14,0),MATCH(M37,'G-6 Hedgerow Data'!$S$2:$AE$2,0)),INDEX('G-6 Hedgerow Data'!$K$3:$Q$14,MATCH(M37,'G-6 Hedgerow Data'!$B$3:$B$14,0),MATCH(O37,'G-6 Hedgerow Data'!$K$2:$Q$2,0)))),"")</f>
        <v/>
      </c>
      <c r="Y37" s="261"/>
      <c r="Z37" s="261"/>
      <c r="AA37" s="179" t="str">
        <f t="shared" si="3"/>
        <v/>
      </c>
      <c r="AB37" s="262" t="str">
        <f t="shared" si="4"/>
        <v/>
      </c>
      <c r="AC37" s="263" t="str">
        <f t="shared" si="1"/>
        <v/>
      </c>
      <c r="AD37" s="239" t="str">
        <f>IF(M37="","",VLOOKUP(M37,'G-6 Hedgerow Data'!$B$3:$AG$15,31,FALSE))</f>
        <v/>
      </c>
      <c r="AE37" s="175" t="str">
        <f t="shared" si="5"/>
        <v/>
      </c>
      <c r="AF37" s="175" t="str">
        <f t="shared" si="6"/>
        <v/>
      </c>
      <c r="AG37" s="176" t="str">
        <f>IFERROR(IF(O37="","",VLOOKUP(AD37,'G-3 Multipliers'!$P$3:$Q$6,2,FALSE)),"")</f>
        <v/>
      </c>
      <c r="AH37" s="266"/>
      <c r="AI37" s="172" t="str">
        <f>IF(AH37="","",IF(VLOOKUP(AH37,'G-3 Multipliers'!$S$3:$T$6,2,FALSE)=0,"Spatial Data Missing",VLOOKUP(AH37,'G-3 Multipliers'!$S$3:$T$6,2,FALSE)))</f>
        <v/>
      </c>
      <c r="AJ37" s="265" t="str">
        <f t="shared" si="7"/>
        <v/>
      </c>
      <c r="AK37" s="180"/>
      <c r="AL37" s="181"/>
      <c r="AP37" s="35" t="str">
        <f>IFERROR(INDEX('G-6 Hedgerow Data'!$BJ$3:$BJ$15,MATCH(M37,'G-6 Hedgerow Data'!$B$3:$B$15,0)),"")</f>
        <v/>
      </c>
    </row>
    <row r="38" spans="2:42" ht="13.8" x14ac:dyDescent="0.25">
      <c r="B38" s="259" t="str">
        <f>'E-1 Off Site Hedge Baseline'!AK36</f>
        <v/>
      </c>
      <c r="C38" s="175" t="str">
        <f>IF(B38="","",IF(ISNA(VLOOKUP($B38,'E-1 Off Site Hedge Baseline'!$B$1:$L$257,3,FALSE)),"",(VLOOKUP($B38,'E-1 Off Site Hedge Baseline'!$B$1:$L$257,3,FALSE))))</f>
        <v/>
      </c>
      <c r="D38" s="175" t="str">
        <f>IF(B38="","",IF(ISNA(VLOOKUP($B38,'E-1 Off Site Hedge Baseline'!$B$1:$L$258,4,FALSE)),"",(VLOOKUP($B38,'E-1 Off Site Hedge Baseline'!$B$1:$L$258,4,FALSE))))</f>
        <v/>
      </c>
      <c r="E38" s="175" t="str">
        <f>IF(B38="","",IF(ISNA(VLOOKUP($B38,'E-1 Off Site Hedge Baseline'!$B$1:$L$257,5,FALSE)),"",(VLOOKUP($B38,'E-1 Off Site Hedge Baseline'!$B$1:$L$257,5,FALSE))))</f>
        <v/>
      </c>
      <c r="F38" s="175" t="str">
        <f>IF(B38="","",IF(ISNA(VLOOKUP($B38,'E-1 Off Site Hedge Baseline'!$B$1:$L$257,6,FALSE)),"",(VLOOKUP($B38,'E-1 Off Site Hedge Baseline'!$B$1:$L$257,6,FALSE))))</f>
        <v/>
      </c>
      <c r="G38" s="175" t="str">
        <f>IF(B38="","",IF(ISNA(VLOOKUP($B38,'E-1 Off Site Hedge Baseline'!$B$1:$L$257,7,FALSE)),"",(VLOOKUP($B38,'E-1 Off Site Hedge Baseline'!$B$1:$L$257,7,FALSE))))</f>
        <v/>
      </c>
      <c r="H38" s="175" t="str">
        <f>IF(B38="","",IF(ISNA(VLOOKUP($B38,'E-1 Off Site Hedge Baseline'!$B$1:$L$257,8,FALSE)),"",(VLOOKUP($B38,'E-1 Off Site Hedge Baseline'!$B$1:$L$257,8,FALSE))))</f>
        <v/>
      </c>
      <c r="I38" s="175" t="str">
        <f>IF(B38="","",IF(ISNA(VLOOKUP($B38,'E-1 Off Site Hedge Baseline'!$B$1:$L$257,10,FALSE)),"",(VLOOKUP($B38,'E-1 Off Site Hedge Baseline'!$B$1:$L$257,10,FALSE))))</f>
        <v/>
      </c>
      <c r="J38" s="175" t="str">
        <f>IF(B38="","",IF(ISNA(VLOOKUP($B38,'E-1 Off Site Hedge Baseline'!$B$1:$L$257,11,FALSE)),"",(VLOOKUP($B38,'E-1 Off Site Hedge Baseline'!$B$1:$L$257,11,FALSE))))</f>
        <v/>
      </c>
      <c r="K38" s="175" t="str">
        <f>IF(B38="","",IF(ISNA(VLOOKUP($B38,'E-1 Off Site Hedge Baseline'!$B$1:$U$257,113,FALSE)),"",(VLOOKUP($B38,'E-1 Off Site Hedge Baseline'!$B$1:$U$257,13,FALSE))))</f>
        <v/>
      </c>
      <c r="L38" s="179" t="str">
        <f>IF(B38="","",IF(ISNA(VLOOKUP($B38,'E-1 Off Site Hedge Baseline'!$B$1:$U$257,12,FALSE)),"",(VLOOKUP($B38,'E-1 Off Site Hedge Baseline'!$B$1:$U$257,12,FALSE))))</f>
        <v/>
      </c>
      <c r="M38" s="639" t="str">
        <f t="shared" si="8"/>
        <v/>
      </c>
      <c r="N38" s="171" t="str">
        <f>IFERROR(IF(B38="","",INDEX('G-6 Hedgerow Data'!$AN$3:$AZ$15,MATCH(C38,'G-6 Hedgerow Data'!$AM$3:$AM$15,0),MATCH(M38,'G-6 Hedgerow Data'!$AN$2:$AZ$2,0))),"")</f>
        <v/>
      </c>
      <c r="O38" s="172" t="str">
        <f t="shared" si="2"/>
        <v/>
      </c>
      <c r="P38" s="260" t="str">
        <f>IF(B38="","",VLOOKUP(B38,'E-1 Off Site Hedge Baseline'!$B$10:T283,16,FALSE))</f>
        <v/>
      </c>
      <c r="Q38" s="171" t="str">
        <f>IF(M38="","",VLOOKUP(M38,'G-6 Hedgerow Data'!$B$2:$AG$15,2,FALSE))</f>
        <v/>
      </c>
      <c r="R38" s="172" t="str">
        <f>IF(M38="","",VLOOKUP(M38,'G-6 Hedgerow Data'!$B$2:$AG$15,3,FALSE))</f>
        <v/>
      </c>
      <c r="S38" s="173"/>
      <c r="T38" s="172" t="str">
        <f>IFERROR(IF(AND(Q38="V.Low",OR(S38="Good",S38="Moderate")),"Error",VLOOKUP(S38,'G-1 All Habitats'!$Z$2:$AA$9,2,FALSE)),"")</f>
        <v/>
      </c>
      <c r="U38" s="173"/>
      <c r="V38" s="179" t="str">
        <f>IF(U38="","",IF(VLOOKUP(U38,'G-3 Multipliers'!$L$3:$N$6,2,FALSE)=0,"Spatial Data Missing",VLOOKUP(U38,'G-3 Multipliers'!$L$3:$N$6,2,FALSE)))</f>
        <v/>
      </c>
      <c r="W38" s="260" t="str">
        <f>IF(U38="","",IF(VLOOKUP(U38,'G-3 Multipliers'!$L$3:$N$6,3,FALSE)=0,"Spatial Data Missing",VLOOKUP(U38,'G-3 Multipliers'!$L$3:$N$6,3,FALSE)))</f>
        <v/>
      </c>
      <c r="X38" s="171" t="str">
        <f>IFERROR(IF(OR(LEFT(O38,5)="Error",LEFT(N38,5)="Error",T38="Error"),"Check Data",IF(F38&lt;R38,INDEX('G-6 Hedgerow Data'!$S$3:$AE$14,MATCH(C38,'G-6 Hedgerow Data'!$B$3:$B$14,0),MATCH(M38,'G-6 Hedgerow Data'!$S$2:$AE$2,0)),INDEX('G-6 Hedgerow Data'!$K$3:$Q$14,MATCH(M38,'G-6 Hedgerow Data'!$B$3:$B$14,0),MATCH(O38,'G-6 Hedgerow Data'!$K$2:$Q$2,0)))),"")</f>
        <v/>
      </c>
      <c r="Y38" s="261"/>
      <c r="Z38" s="261"/>
      <c r="AA38" s="179" t="str">
        <f t="shared" si="3"/>
        <v/>
      </c>
      <c r="AB38" s="262" t="str">
        <f t="shared" si="4"/>
        <v/>
      </c>
      <c r="AC38" s="263" t="str">
        <f t="shared" si="1"/>
        <v/>
      </c>
      <c r="AD38" s="239" t="str">
        <f>IF(M38="","",VLOOKUP(M38,'G-6 Hedgerow Data'!$B$3:$AG$15,31,FALSE))</f>
        <v/>
      </c>
      <c r="AE38" s="175" t="str">
        <f t="shared" si="5"/>
        <v/>
      </c>
      <c r="AF38" s="175" t="str">
        <f t="shared" si="6"/>
        <v/>
      </c>
      <c r="AG38" s="176" t="str">
        <f>IFERROR(IF(O38="","",VLOOKUP(AD38,'G-3 Multipliers'!$P$3:$Q$6,2,FALSE)),"")</f>
        <v/>
      </c>
      <c r="AH38" s="266"/>
      <c r="AI38" s="172" t="str">
        <f>IF(AH38="","",IF(VLOOKUP(AH38,'G-3 Multipliers'!$S$3:$T$6,2,FALSE)=0,"Spatial Data Missing",VLOOKUP(AH38,'G-3 Multipliers'!$S$3:$T$6,2,FALSE)))</f>
        <v/>
      </c>
      <c r="AJ38" s="265" t="str">
        <f t="shared" si="7"/>
        <v/>
      </c>
      <c r="AK38" s="180"/>
      <c r="AL38" s="181"/>
      <c r="AP38" s="35" t="str">
        <f>IFERROR(INDEX('G-6 Hedgerow Data'!$BJ$3:$BJ$15,MATCH(M38,'G-6 Hedgerow Data'!$B$3:$B$15,0)),"")</f>
        <v/>
      </c>
    </row>
    <row r="39" spans="2:42" ht="13.8" x14ac:dyDescent="0.25">
      <c r="B39" s="259" t="str">
        <f>'E-1 Off Site Hedge Baseline'!AK37</f>
        <v/>
      </c>
      <c r="C39" s="175" t="str">
        <f>IF(B39="","",IF(ISNA(VLOOKUP($B39,'E-1 Off Site Hedge Baseline'!$B$1:$L$257,3,FALSE)),"",(VLOOKUP($B39,'E-1 Off Site Hedge Baseline'!$B$1:$L$257,3,FALSE))))</f>
        <v/>
      </c>
      <c r="D39" s="175" t="str">
        <f>IF(B39="","",IF(ISNA(VLOOKUP($B39,'E-1 Off Site Hedge Baseline'!$B$1:$L$258,4,FALSE)),"",(VLOOKUP($B39,'E-1 Off Site Hedge Baseline'!$B$1:$L$258,4,FALSE))))</f>
        <v/>
      </c>
      <c r="E39" s="175" t="str">
        <f>IF(B39="","",IF(ISNA(VLOOKUP($B39,'E-1 Off Site Hedge Baseline'!$B$1:$L$257,5,FALSE)),"",(VLOOKUP($B39,'E-1 Off Site Hedge Baseline'!$B$1:$L$257,5,FALSE))))</f>
        <v/>
      </c>
      <c r="F39" s="175" t="str">
        <f>IF(B39="","",IF(ISNA(VLOOKUP($B39,'E-1 Off Site Hedge Baseline'!$B$1:$L$257,6,FALSE)),"",(VLOOKUP($B39,'E-1 Off Site Hedge Baseline'!$B$1:$L$257,6,FALSE))))</f>
        <v/>
      </c>
      <c r="G39" s="175" t="str">
        <f>IF(B39="","",IF(ISNA(VLOOKUP($B39,'E-1 Off Site Hedge Baseline'!$B$1:$L$257,7,FALSE)),"",(VLOOKUP($B39,'E-1 Off Site Hedge Baseline'!$B$1:$L$257,7,FALSE))))</f>
        <v/>
      </c>
      <c r="H39" s="175" t="str">
        <f>IF(B39="","",IF(ISNA(VLOOKUP($B39,'E-1 Off Site Hedge Baseline'!$B$1:$L$257,8,FALSE)),"",(VLOOKUP($B39,'E-1 Off Site Hedge Baseline'!$B$1:$L$257,8,FALSE))))</f>
        <v/>
      </c>
      <c r="I39" s="175" t="str">
        <f>IF(B39="","",IF(ISNA(VLOOKUP($B39,'E-1 Off Site Hedge Baseline'!$B$1:$L$257,10,FALSE)),"",(VLOOKUP($B39,'E-1 Off Site Hedge Baseline'!$B$1:$L$257,10,FALSE))))</f>
        <v/>
      </c>
      <c r="J39" s="175" t="str">
        <f>IF(B39="","",IF(ISNA(VLOOKUP($B39,'E-1 Off Site Hedge Baseline'!$B$1:$L$257,11,FALSE)),"",(VLOOKUP($B39,'E-1 Off Site Hedge Baseline'!$B$1:$L$257,11,FALSE))))</f>
        <v/>
      </c>
      <c r="K39" s="175" t="str">
        <f>IF(B39="","",IF(ISNA(VLOOKUP($B39,'E-1 Off Site Hedge Baseline'!$B$1:$U$257,113,FALSE)),"",(VLOOKUP($B39,'E-1 Off Site Hedge Baseline'!$B$1:$U$257,13,FALSE))))</f>
        <v/>
      </c>
      <c r="L39" s="179" t="str">
        <f>IF(B39="","",IF(ISNA(VLOOKUP($B39,'E-1 Off Site Hedge Baseline'!$B$1:$U$257,12,FALSE)),"",(VLOOKUP($B39,'E-1 Off Site Hedge Baseline'!$B$1:$U$257,12,FALSE))))</f>
        <v/>
      </c>
      <c r="M39" s="639" t="str">
        <f t="shared" si="8"/>
        <v/>
      </c>
      <c r="N39" s="171" t="str">
        <f>IFERROR(IF(B39="","",INDEX('G-6 Hedgerow Data'!$AN$3:$AZ$15,MATCH(C39,'G-6 Hedgerow Data'!$AM$3:$AM$15,0),MATCH(M39,'G-6 Hedgerow Data'!$AN$2:$AZ$2,0))),"")</f>
        <v/>
      </c>
      <c r="O39" s="172" t="str">
        <f t="shared" si="2"/>
        <v/>
      </c>
      <c r="P39" s="260" t="str">
        <f>IF(B39="","",VLOOKUP(B39,'E-1 Off Site Hedge Baseline'!$B$10:T284,16,FALSE))</f>
        <v/>
      </c>
      <c r="Q39" s="171" t="str">
        <f>IF(M39="","",VLOOKUP(M39,'G-6 Hedgerow Data'!$B$2:$AG$15,2,FALSE))</f>
        <v/>
      </c>
      <c r="R39" s="172" t="str">
        <f>IF(M39="","",VLOOKUP(M39,'G-6 Hedgerow Data'!$B$2:$AG$15,3,FALSE))</f>
        <v/>
      </c>
      <c r="S39" s="173"/>
      <c r="T39" s="172" t="str">
        <f>IFERROR(IF(AND(Q39="V.Low",OR(S39="Good",S39="Moderate")),"Error",VLOOKUP(S39,'G-1 All Habitats'!$Z$2:$AA$9,2,FALSE)),"")</f>
        <v/>
      </c>
      <c r="U39" s="173"/>
      <c r="V39" s="179" t="str">
        <f>IF(U39="","",IF(VLOOKUP(U39,'G-3 Multipliers'!$L$3:$N$6,2,FALSE)=0,"Spatial Data Missing",VLOOKUP(U39,'G-3 Multipliers'!$L$3:$N$6,2,FALSE)))</f>
        <v/>
      </c>
      <c r="W39" s="260" t="str">
        <f>IF(U39="","",IF(VLOOKUP(U39,'G-3 Multipliers'!$L$3:$N$6,3,FALSE)=0,"Spatial Data Missing",VLOOKUP(U39,'G-3 Multipliers'!$L$3:$N$6,3,FALSE)))</f>
        <v/>
      </c>
      <c r="X39" s="171" t="str">
        <f>IFERROR(IF(OR(LEFT(O39,5)="Error",LEFT(N39,5)="Error",T39="Error"),"Check Data",IF(F39&lt;R39,INDEX('G-6 Hedgerow Data'!$S$3:$AE$14,MATCH(C39,'G-6 Hedgerow Data'!$B$3:$B$14,0),MATCH(M39,'G-6 Hedgerow Data'!$S$2:$AE$2,0)),INDEX('G-6 Hedgerow Data'!$K$3:$Q$14,MATCH(M39,'G-6 Hedgerow Data'!$B$3:$B$14,0),MATCH(O39,'G-6 Hedgerow Data'!$K$2:$Q$2,0)))),"")</f>
        <v/>
      </c>
      <c r="Y39" s="261"/>
      <c r="Z39" s="261"/>
      <c r="AA39" s="179" t="str">
        <f t="shared" si="3"/>
        <v/>
      </c>
      <c r="AB39" s="262" t="str">
        <f t="shared" si="4"/>
        <v/>
      </c>
      <c r="AC39" s="263" t="str">
        <f t="shared" si="1"/>
        <v/>
      </c>
      <c r="AD39" s="239" t="str">
        <f>IF(M39="","",VLOOKUP(M39,'G-6 Hedgerow Data'!$B$3:$AG$15,31,FALSE))</f>
        <v/>
      </c>
      <c r="AE39" s="175" t="str">
        <f t="shared" si="5"/>
        <v/>
      </c>
      <c r="AF39" s="175" t="str">
        <f t="shared" si="6"/>
        <v/>
      </c>
      <c r="AG39" s="176" t="str">
        <f>IFERROR(IF(O39="","",VLOOKUP(AD39,'G-3 Multipliers'!$P$3:$Q$6,2,FALSE)),"")</f>
        <v/>
      </c>
      <c r="AH39" s="266"/>
      <c r="AI39" s="172" t="str">
        <f>IF(AH39="","",IF(VLOOKUP(AH39,'G-3 Multipliers'!$S$3:$T$6,2,FALSE)=0,"Spatial Data Missing",VLOOKUP(AH39,'G-3 Multipliers'!$S$3:$T$6,2,FALSE)))</f>
        <v/>
      </c>
      <c r="AJ39" s="265" t="str">
        <f t="shared" si="7"/>
        <v/>
      </c>
      <c r="AK39" s="180"/>
      <c r="AL39" s="181"/>
      <c r="AP39" s="35" t="str">
        <f>IFERROR(INDEX('G-6 Hedgerow Data'!$BJ$3:$BJ$15,MATCH(M39,'G-6 Hedgerow Data'!$B$3:$B$15,0)),"")</f>
        <v/>
      </c>
    </row>
    <row r="40" spans="2:42" ht="13.8" x14ac:dyDescent="0.25">
      <c r="B40" s="259" t="str">
        <f>'E-1 Off Site Hedge Baseline'!AK38</f>
        <v/>
      </c>
      <c r="C40" s="175" t="str">
        <f>IF(B40="","",IF(ISNA(VLOOKUP($B40,'E-1 Off Site Hedge Baseline'!$B$1:$L$257,3,FALSE)),"",(VLOOKUP($B40,'E-1 Off Site Hedge Baseline'!$B$1:$L$257,3,FALSE))))</f>
        <v/>
      </c>
      <c r="D40" s="175" t="str">
        <f>IF(B40="","",IF(ISNA(VLOOKUP($B40,'E-1 Off Site Hedge Baseline'!$B$1:$L$258,4,FALSE)),"",(VLOOKUP($B40,'E-1 Off Site Hedge Baseline'!$B$1:$L$258,4,FALSE))))</f>
        <v/>
      </c>
      <c r="E40" s="175" t="str">
        <f>IF(B40="","",IF(ISNA(VLOOKUP($B40,'E-1 Off Site Hedge Baseline'!$B$1:$L$257,5,FALSE)),"",(VLOOKUP($B40,'E-1 Off Site Hedge Baseline'!$B$1:$L$257,5,FALSE))))</f>
        <v/>
      </c>
      <c r="F40" s="175" t="str">
        <f>IF(B40="","",IF(ISNA(VLOOKUP($B40,'E-1 Off Site Hedge Baseline'!$B$1:$L$257,6,FALSE)),"",(VLOOKUP($B40,'E-1 Off Site Hedge Baseline'!$B$1:$L$257,6,FALSE))))</f>
        <v/>
      </c>
      <c r="G40" s="175" t="str">
        <f>IF(B40="","",IF(ISNA(VLOOKUP($B40,'E-1 Off Site Hedge Baseline'!$B$1:$L$257,7,FALSE)),"",(VLOOKUP($B40,'E-1 Off Site Hedge Baseline'!$B$1:$L$257,7,FALSE))))</f>
        <v/>
      </c>
      <c r="H40" s="175" t="str">
        <f>IF(B40="","",IF(ISNA(VLOOKUP($B40,'E-1 Off Site Hedge Baseline'!$B$1:$L$257,8,FALSE)),"",(VLOOKUP($B40,'E-1 Off Site Hedge Baseline'!$B$1:$L$257,8,FALSE))))</f>
        <v/>
      </c>
      <c r="I40" s="175" t="str">
        <f>IF(B40="","",IF(ISNA(VLOOKUP($B40,'E-1 Off Site Hedge Baseline'!$B$1:$L$257,10,FALSE)),"",(VLOOKUP($B40,'E-1 Off Site Hedge Baseline'!$B$1:$L$257,10,FALSE))))</f>
        <v/>
      </c>
      <c r="J40" s="175" t="str">
        <f>IF(B40="","",IF(ISNA(VLOOKUP($B40,'E-1 Off Site Hedge Baseline'!$B$1:$L$257,11,FALSE)),"",(VLOOKUP($B40,'E-1 Off Site Hedge Baseline'!$B$1:$L$257,11,FALSE))))</f>
        <v/>
      </c>
      <c r="K40" s="175" t="str">
        <f>IF(B40="","",IF(ISNA(VLOOKUP($B40,'E-1 Off Site Hedge Baseline'!$B$1:$U$257,113,FALSE)),"",(VLOOKUP($B40,'E-1 Off Site Hedge Baseline'!$B$1:$U$257,13,FALSE))))</f>
        <v/>
      </c>
      <c r="L40" s="179" t="str">
        <f>IF(B40="","",IF(ISNA(VLOOKUP($B40,'E-1 Off Site Hedge Baseline'!$B$1:$U$257,12,FALSE)),"",(VLOOKUP($B40,'E-1 Off Site Hedge Baseline'!$B$1:$U$257,12,FALSE))))</f>
        <v/>
      </c>
      <c r="M40" s="639" t="str">
        <f t="shared" si="8"/>
        <v/>
      </c>
      <c r="N40" s="171" t="str">
        <f>IFERROR(IF(B40="","",INDEX('G-6 Hedgerow Data'!$AN$3:$AZ$15,MATCH(C40,'G-6 Hedgerow Data'!$AM$3:$AM$15,0),MATCH(M40,'G-6 Hedgerow Data'!$AN$2:$AZ$2,0))),"")</f>
        <v/>
      </c>
      <c r="O40" s="172" t="str">
        <f t="shared" si="2"/>
        <v/>
      </c>
      <c r="P40" s="260" t="str">
        <f>IF(B40="","",VLOOKUP(B40,'E-1 Off Site Hedge Baseline'!$B$10:T285,16,FALSE))</f>
        <v/>
      </c>
      <c r="Q40" s="171" t="str">
        <f>IF(M40="","",VLOOKUP(M40,'G-6 Hedgerow Data'!$B$2:$AG$15,2,FALSE))</f>
        <v/>
      </c>
      <c r="R40" s="172" t="str">
        <f>IF(M40="","",VLOOKUP(M40,'G-6 Hedgerow Data'!$B$2:$AG$15,3,FALSE))</f>
        <v/>
      </c>
      <c r="S40" s="173"/>
      <c r="T40" s="172" t="str">
        <f>IFERROR(IF(AND(Q40="V.Low",OR(S40="Good",S40="Moderate")),"Error",VLOOKUP(S40,'G-1 All Habitats'!$Z$2:$AA$9,2,FALSE)),"")</f>
        <v/>
      </c>
      <c r="U40" s="173"/>
      <c r="V40" s="179" t="str">
        <f>IF(U40="","",IF(VLOOKUP(U40,'G-3 Multipliers'!$L$3:$N$6,2,FALSE)=0,"Spatial Data Missing",VLOOKUP(U40,'G-3 Multipliers'!$L$3:$N$6,2,FALSE)))</f>
        <v/>
      </c>
      <c r="W40" s="260" t="str">
        <f>IF(U40="","",IF(VLOOKUP(U40,'G-3 Multipliers'!$L$3:$N$6,3,FALSE)=0,"Spatial Data Missing",VLOOKUP(U40,'G-3 Multipliers'!$L$3:$N$6,3,FALSE)))</f>
        <v/>
      </c>
      <c r="X40" s="171" t="str">
        <f>IFERROR(IF(OR(LEFT(O40,5)="Error",LEFT(N40,5)="Error",T40="Error"),"Check Data",IF(F40&lt;R40,INDEX('G-6 Hedgerow Data'!$S$3:$AE$14,MATCH(C40,'G-6 Hedgerow Data'!$B$3:$B$14,0),MATCH(M40,'G-6 Hedgerow Data'!$S$2:$AE$2,0)),INDEX('G-6 Hedgerow Data'!$K$3:$Q$14,MATCH(M40,'G-6 Hedgerow Data'!$B$3:$B$14,0),MATCH(O40,'G-6 Hedgerow Data'!$K$2:$Q$2,0)))),"")</f>
        <v/>
      </c>
      <c r="Y40" s="261"/>
      <c r="Z40" s="261"/>
      <c r="AA40" s="179" t="str">
        <f t="shared" si="3"/>
        <v/>
      </c>
      <c r="AB40" s="262" t="str">
        <f t="shared" si="4"/>
        <v/>
      </c>
      <c r="AC40" s="263" t="str">
        <f t="shared" si="1"/>
        <v/>
      </c>
      <c r="AD40" s="239" t="str">
        <f>IF(M40="","",VLOOKUP(M40,'G-6 Hedgerow Data'!$B$3:$AG$15,31,FALSE))</f>
        <v/>
      </c>
      <c r="AE40" s="175" t="str">
        <f t="shared" si="5"/>
        <v/>
      </c>
      <c r="AF40" s="175" t="str">
        <f t="shared" si="6"/>
        <v/>
      </c>
      <c r="AG40" s="176" t="str">
        <f>IFERROR(IF(O40="","",VLOOKUP(AD40,'G-3 Multipliers'!$P$3:$Q$6,2,FALSE)),"")</f>
        <v/>
      </c>
      <c r="AH40" s="266"/>
      <c r="AI40" s="172" t="str">
        <f>IF(AH40="","",IF(VLOOKUP(AH40,'G-3 Multipliers'!$S$3:$T$6,2,FALSE)=0,"Spatial Data Missing",VLOOKUP(AH40,'G-3 Multipliers'!$S$3:$T$6,2,FALSE)))</f>
        <v/>
      </c>
      <c r="AJ40" s="265" t="str">
        <f t="shared" si="7"/>
        <v/>
      </c>
      <c r="AK40" s="180"/>
      <c r="AL40" s="181"/>
      <c r="AP40" s="35" t="str">
        <f>IFERROR(INDEX('G-6 Hedgerow Data'!$BJ$3:$BJ$15,MATCH(M40,'G-6 Hedgerow Data'!$B$3:$B$15,0)),"")</f>
        <v/>
      </c>
    </row>
    <row r="41" spans="2:42" ht="13.8" x14ac:dyDescent="0.25">
      <c r="B41" s="259" t="str">
        <f>'E-1 Off Site Hedge Baseline'!AK39</f>
        <v/>
      </c>
      <c r="C41" s="175" t="str">
        <f>IF(B41="","",IF(ISNA(VLOOKUP($B41,'E-1 Off Site Hedge Baseline'!$B$1:$L$257,3,FALSE)),"",(VLOOKUP($B41,'E-1 Off Site Hedge Baseline'!$B$1:$L$257,3,FALSE))))</f>
        <v/>
      </c>
      <c r="D41" s="175" t="str">
        <f>IF(B41="","",IF(ISNA(VLOOKUP($B41,'E-1 Off Site Hedge Baseline'!$B$1:$L$258,4,FALSE)),"",(VLOOKUP($B41,'E-1 Off Site Hedge Baseline'!$B$1:$L$258,4,FALSE))))</f>
        <v/>
      </c>
      <c r="E41" s="175" t="str">
        <f>IF(B41="","",IF(ISNA(VLOOKUP($B41,'E-1 Off Site Hedge Baseline'!$B$1:$L$257,5,FALSE)),"",(VLOOKUP($B41,'E-1 Off Site Hedge Baseline'!$B$1:$L$257,5,FALSE))))</f>
        <v/>
      </c>
      <c r="F41" s="175" t="str">
        <f>IF(B41="","",IF(ISNA(VLOOKUP($B41,'E-1 Off Site Hedge Baseline'!$B$1:$L$257,6,FALSE)),"",(VLOOKUP($B41,'E-1 Off Site Hedge Baseline'!$B$1:$L$257,6,FALSE))))</f>
        <v/>
      </c>
      <c r="G41" s="175" t="str">
        <f>IF(B41="","",IF(ISNA(VLOOKUP($B41,'E-1 Off Site Hedge Baseline'!$B$1:$L$257,7,FALSE)),"",(VLOOKUP($B41,'E-1 Off Site Hedge Baseline'!$B$1:$L$257,7,FALSE))))</f>
        <v/>
      </c>
      <c r="H41" s="175" t="str">
        <f>IF(B41="","",IF(ISNA(VLOOKUP($B41,'E-1 Off Site Hedge Baseline'!$B$1:$L$257,8,FALSE)),"",(VLOOKUP($B41,'E-1 Off Site Hedge Baseline'!$B$1:$L$257,8,FALSE))))</f>
        <v/>
      </c>
      <c r="I41" s="175" t="str">
        <f>IF(B41="","",IF(ISNA(VLOOKUP($B41,'E-1 Off Site Hedge Baseline'!$B$1:$L$257,10,FALSE)),"",(VLOOKUP($B41,'E-1 Off Site Hedge Baseline'!$B$1:$L$257,10,FALSE))))</f>
        <v/>
      </c>
      <c r="J41" s="175" t="str">
        <f>IF(B41="","",IF(ISNA(VLOOKUP($B41,'E-1 Off Site Hedge Baseline'!$B$1:$L$257,11,FALSE)),"",(VLOOKUP($B41,'E-1 Off Site Hedge Baseline'!$B$1:$L$257,11,FALSE))))</f>
        <v/>
      </c>
      <c r="K41" s="175" t="str">
        <f>IF(B41="","",IF(ISNA(VLOOKUP($B41,'E-1 Off Site Hedge Baseline'!$B$1:$U$257,113,FALSE)),"",(VLOOKUP($B41,'E-1 Off Site Hedge Baseline'!$B$1:$U$257,13,FALSE))))</f>
        <v/>
      </c>
      <c r="L41" s="179" t="str">
        <f>IF(B41="","",IF(ISNA(VLOOKUP($B41,'E-1 Off Site Hedge Baseline'!$B$1:$U$257,12,FALSE)),"",(VLOOKUP($B41,'E-1 Off Site Hedge Baseline'!$B$1:$U$257,12,FALSE))))</f>
        <v/>
      </c>
      <c r="M41" s="639" t="str">
        <f t="shared" si="8"/>
        <v/>
      </c>
      <c r="N41" s="171" t="str">
        <f>IFERROR(IF(B41="","",INDEX('G-6 Hedgerow Data'!$AN$3:$AZ$15,MATCH(C41,'G-6 Hedgerow Data'!$AM$3:$AM$15,0),MATCH(M41,'G-6 Hedgerow Data'!$AN$2:$AZ$2,0))),"")</f>
        <v/>
      </c>
      <c r="O41" s="172" t="str">
        <f t="shared" si="2"/>
        <v/>
      </c>
      <c r="P41" s="260" t="str">
        <f>IF(B41="","",VLOOKUP(B41,'E-1 Off Site Hedge Baseline'!$B$10:T286,16,FALSE))</f>
        <v/>
      </c>
      <c r="Q41" s="171" t="str">
        <f>IF(M41="","",VLOOKUP(M41,'G-6 Hedgerow Data'!$B$2:$AG$15,2,FALSE))</f>
        <v/>
      </c>
      <c r="R41" s="172" t="str">
        <f>IF(M41="","",VLOOKUP(M41,'G-6 Hedgerow Data'!$B$2:$AG$15,3,FALSE))</f>
        <v/>
      </c>
      <c r="S41" s="173"/>
      <c r="T41" s="172" t="str">
        <f>IFERROR(IF(AND(Q41="V.Low",OR(S41="Good",S41="Moderate")),"Error",VLOOKUP(S41,'G-1 All Habitats'!$Z$2:$AA$9,2,FALSE)),"")</f>
        <v/>
      </c>
      <c r="U41" s="173"/>
      <c r="V41" s="179" t="str">
        <f>IF(U41="","",IF(VLOOKUP(U41,'G-3 Multipliers'!$L$3:$N$6,2,FALSE)=0,"Spatial Data Missing",VLOOKUP(U41,'G-3 Multipliers'!$L$3:$N$6,2,FALSE)))</f>
        <v/>
      </c>
      <c r="W41" s="260" t="str">
        <f>IF(U41="","",IF(VLOOKUP(U41,'G-3 Multipliers'!$L$3:$N$6,3,FALSE)=0,"Spatial Data Missing",VLOOKUP(U41,'G-3 Multipliers'!$L$3:$N$6,3,FALSE)))</f>
        <v/>
      </c>
      <c r="X41" s="171" t="str">
        <f>IFERROR(IF(OR(LEFT(O41,5)="Error",LEFT(N41,5)="Error",T41="Error"),"Check Data",IF(F41&lt;R41,INDEX('G-6 Hedgerow Data'!$S$3:$AE$14,MATCH(C41,'G-6 Hedgerow Data'!$B$3:$B$14,0),MATCH(M41,'G-6 Hedgerow Data'!$S$2:$AE$2,0)),INDEX('G-6 Hedgerow Data'!$K$3:$Q$14,MATCH(M41,'G-6 Hedgerow Data'!$B$3:$B$14,0),MATCH(O41,'G-6 Hedgerow Data'!$K$2:$Q$2,0)))),"")</f>
        <v/>
      </c>
      <c r="Y41" s="261"/>
      <c r="Z41" s="261"/>
      <c r="AA41" s="179" t="str">
        <f t="shared" si="3"/>
        <v/>
      </c>
      <c r="AB41" s="262" t="str">
        <f t="shared" si="4"/>
        <v/>
      </c>
      <c r="AC41" s="263" t="str">
        <f t="shared" si="1"/>
        <v/>
      </c>
      <c r="AD41" s="239" t="str">
        <f>IF(M41="","",VLOOKUP(M41,'G-6 Hedgerow Data'!$B$3:$AG$15,31,FALSE))</f>
        <v/>
      </c>
      <c r="AE41" s="175" t="str">
        <f t="shared" si="5"/>
        <v/>
      </c>
      <c r="AF41" s="175" t="str">
        <f t="shared" si="6"/>
        <v/>
      </c>
      <c r="AG41" s="176" t="str">
        <f>IFERROR(IF(O41="","",VLOOKUP(AD41,'G-3 Multipliers'!$P$3:$Q$6,2,FALSE)),"")</f>
        <v/>
      </c>
      <c r="AH41" s="266"/>
      <c r="AI41" s="172" t="str">
        <f>IF(AH41="","",IF(VLOOKUP(AH41,'G-3 Multipliers'!$S$3:$T$6,2,FALSE)=0,"Spatial Data Missing",VLOOKUP(AH41,'G-3 Multipliers'!$S$3:$T$6,2,FALSE)))</f>
        <v/>
      </c>
      <c r="AJ41" s="265" t="str">
        <f t="shared" si="7"/>
        <v/>
      </c>
      <c r="AK41" s="180"/>
      <c r="AL41" s="181"/>
      <c r="AP41" s="35" t="str">
        <f>IFERROR(INDEX('G-6 Hedgerow Data'!$BJ$3:$BJ$15,MATCH(M41,'G-6 Hedgerow Data'!$B$3:$B$15,0)),"")</f>
        <v/>
      </c>
    </row>
    <row r="42" spans="2:42" ht="13.8" x14ac:dyDescent="0.25">
      <c r="B42" s="259" t="str">
        <f>'E-1 Off Site Hedge Baseline'!AK40</f>
        <v/>
      </c>
      <c r="C42" s="175" t="str">
        <f>IF(B42="","",IF(ISNA(VLOOKUP($B42,'E-1 Off Site Hedge Baseline'!$B$1:$L$257,3,FALSE)),"",(VLOOKUP($B42,'E-1 Off Site Hedge Baseline'!$B$1:$L$257,3,FALSE))))</f>
        <v/>
      </c>
      <c r="D42" s="175" t="str">
        <f>IF(B42="","",IF(ISNA(VLOOKUP($B42,'E-1 Off Site Hedge Baseline'!$B$1:$L$258,4,FALSE)),"",(VLOOKUP($B42,'E-1 Off Site Hedge Baseline'!$B$1:$L$258,4,FALSE))))</f>
        <v/>
      </c>
      <c r="E42" s="175" t="str">
        <f>IF(B42="","",IF(ISNA(VLOOKUP($B42,'E-1 Off Site Hedge Baseline'!$B$1:$L$257,5,FALSE)),"",(VLOOKUP($B42,'E-1 Off Site Hedge Baseline'!$B$1:$L$257,5,FALSE))))</f>
        <v/>
      </c>
      <c r="F42" s="175" t="str">
        <f>IF(B42="","",IF(ISNA(VLOOKUP($B42,'E-1 Off Site Hedge Baseline'!$B$1:$L$257,6,FALSE)),"",(VLOOKUP($B42,'E-1 Off Site Hedge Baseline'!$B$1:$L$257,6,FALSE))))</f>
        <v/>
      </c>
      <c r="G42" s="175" t="str">
        <f>IF(B42="","",IF(ISNA(VLOOKUP($B42,'E-1 Off Site Hedge Baseline'!$B$1:$L$257,7,FALSE)),"",(VLOOKUP($B42,'E-1 Off Site Hedge Baseline'!$B$1:$L$257,7,FALSE))))</f>
        <v/>
      </c>
      <c r="H42" s="175" t="str">
        <f>IF(B42="","",IF(ISNA(VLOOKUP($B42,'E-1 Off Site Hedge Baseline'!$B$1:$L$257,8,FALSE)),"",(VLOOKUP($B42,'E-1 Off Site Hedge Baseline'!$B$1:$L$257,8,FALSE))))</f>
        <v/>
      </c>
      <c r="I42" s="175" t="str">
        <f>IF(B42="","",IF(ISNA(VLOOKUP($B42,'E-1 Off Site Hedge Baseline'!$B$1:$L$257,10,FALSE)),"",(VLOOKUP($B42,'E-1 Off Site Hedge Baseline'!$B$1:$L$257,10,FALSE))))</f>
        <v/>
      </c>
      <c r="J42" s="175" t="str">
        <f>IF(B42="","",IF(ISNA(VLOOKUP($B42,'E-1 Off Site Hedge Baseline'!$B$1:$L$257,11,FALSE)),"",(VLOOKUP($B42,'E-1 Off Site Hedge Baseline'!$B$1:$L$257,11,FALSE))))</f>
        <v/>
      </c>
      <c r="K42" s="175" t="str">
        <f>IF(B42="","",IF(ISNA(VLOOKUP($B42,'E-1 Off Site Hedge Baseline'!$B$1:$U$257,113,FALSE)),"",(VLOOKUP($B42,'E-1 Off Site Hedge Baseline'!$B$1:$U$257,13,FALSE))))</f>
        <v/>
      </c>
      <c r="L42" s="179" t="str">
        <f>IF(B42="","",IF(ISNA(VLOOKUP($B42,'E-1 Off Site Hedge Baseline'!$B$1:$U$257,12,FALSE)),"",(VLOOKUP($B42,'E-1 Off Site Hedge Baseline'!$B$1:$U$257,12,FALSE))))</f>
        <v/>
      </c>
      <c r="M42" s="639" t="str">
        <f t="shared" si="8"/>
        <v/>
      </c>
      <c r="N42" s="171" t="str">
        <f>IFERROR(IF(B42="","",INDEX('G-6 Hedgerow Data'!$AN$3:$AZ$15,MATCH(C42,'G-6 Hedgerow Data'!$AM$3:$AM$15,0),MATCH(M42,'G-6 Hedgerow Data'!$AN$2:$AZ$2,0))),"")</f>
        <v/>
      </c>
      <c r="O42" s="172" t="str">
        <f t="shared" si="2"/>
        <v/>
      </c>
      <c r="P42" s="260" t="str">
        <f>IF(B42="","",VLOOKUP(B42,'E-1 Off Site Hedge Baseline'!$B$10:T287,16,FALSE))</f>
        <v/>
      </c>
      <c r="Q42" s="171" t="str">
        <f>IF(M42="","",VLOOKUP(M42,'G-6 Hedgerow Data'!$B$2:$AG$15,2,FALSE))</f>
        <v/>
      </c>
      <c r="R42" s="172" t="str">
        <f>IF(M42="","",VLOOKUP(M42,'G-6 Hedgerow Data'!$B$2:$AG$15,3,FALSE))</f>
        <v/>
      </c>
      <c r="S42" s="173"/>
      <c r="T42" s="172" t="str">
        <f>IFERROR(IF(AND(Q42="V.Low",OR(S42="Good",S42="Moderate")),"Error",VLOOKUP(S42,'G-1 All Habitats'!$Z$2:$AA$9,2,FALSE)),"")</f>
        <v/>
      </c>
      <c r="U42" s="173"/>
      <c r="V42" s="179" t="str">
        <f>IF(U42="","",IF(VLOOKUP(U42,'G-3 Multipliers'!$L$3:$N$6,2,FALSE)=0,"Spatial Data Missing",VLOOKUP(U42,'G-3 Multipliers'!$L$3:$N$6,2,FALSE)))</f>
        <v/>
      </c>
      <c r="W42" s="260" t="str">
        <f>IF(U42="","",IF(VLOOKUP(U42,'G-3 Multipliers'!$L$3:$N$6,3,FALSE)=0,"Spatial Data Missing",VLOOKUP(U42,'G-3 Multipliers'!$L$3:$N$6,3,FALSE)))</f>
        <v/>
      </c>
      <c r="X42" s="171" t="str">
        <f>IFERROR(IF(OR(LEFT(O42,5)="Error",LEFT(N42,5)="Error",T42="Error"),"Check Data",IF(F42&lt;R42,INDEX('G-6 Hedgerow Data'!$S$3:$AE$14,MATCH(C42,'G-6 Hedgerow Data'!$B$3:$B$14,0),MATCH(M42,'G-6 Hedgerow Data'!$S$2:$AE$2,0)),INDEX('G-6 Hedgerow Data'!$K$3:$Q$14,MATCH(M42,'G-6 Hedgerow Data'!$B$3:$B$14,0),MATCH(O42,'G-6 Hedgerow Data'!$K$2:$Q$2,0)))),"")</f>
        <v/>
      </c>
      <c r="Y42" s="261"/>
      <c r="Z42" s="261"/>
      <c r="AA42" s="179" t="str">
        <f t="shared" si="3"/>
        <v/>
      </c>
      <c r="AB42" s="262" t="str">
        <f t="shared" si="4"/>
        <v/>
      </c>
      <c r="AC42" s="263" t="str">
        <f t="shared" si="1"/>
        <v/>
      </c>
      <c r="AD42" s="239" t="str">
        <f>IF(M42="","",VLOOKUP(M42,'G-6 Hedgerow Data'!$B$3:$AG$15,31,FALSE))</f>
        <v/>
      </c>
      <c r="AE42" s="175" t="str">
        <f t="shared" si="5"/>
        <v/>
      </c>
      <c r="AF42" s="175" t="str">
        <f t="shared" si="6"/>
        <v/>
      </c>
      <c r="AG42" s="176" t="str">
        <f>IFERROR(IF(O42="","",VLOOKUP(AD42,'G-3 Multipliers'!$P$3:$Q$6,2,FALSE)),"")</f>
        <v/>
      </c>
      <c r="AH42" s="266"/>
      <c r="AI42" s="172" t="str">
        <f>IF(AH42="","",IF(VLOOKUP(AH42,'G-3 Multipliers'!$S$3:$T$6,2,FALSE)=0,"Spatial Data Missing",VLOOKUP(AH42,'G-3 Multipliers'!$S$3:$T$6,2,FALSE)))</f>
        <v/>
      </c>
      <c r="AJ42" s="265" t="str">
        <f t="shared" si="7"/>
        <v/>
      </c>
      <c r="AK42" s="180"/>
      <c r="AL42" s="181"/>
      <c r="AP42" s="35" t="str">
        <f>IFERROR(INDEX('G-6 Hedgerow Data'!$BJ$3:$BJ$15,MATCH(M42,'G-6 Hedgerow Data'!$B$3:$B$15,0)),"")</f>
        <v/>
      </c>
    </row>
    <row r="43" spans="2:42" ht="13.8" x14ac:dyDescent="0.25">
      <c r="B43" s="259" t="str">
        <f>'E-1 Off Site Hedge Baseline'!AK41</f>
        <v/>
      </c>
      <c r="C43" s="175" t="str">
        <f>IF(B43="","",IF(ISNA(VLOOKUP($B43,'E-1 Off Site Hedge Baseline'!$B$1:$L$257,3,FALSE)),"",(VLOOKUP($B43,'E-1 Off Site Hedge Baseline'!$B$1:$L$257,3,FALSE))))</f>
        <v/>
      </c>
      <c r="D43" s="175" t="str">
        <f>IF(B43="","",IF(ISNA(VLOOKUP($B43,'E-1 Off Site Hedge Baseline'!$B$1:$L$258,4,FALSE)),"",(VLOOKUP($B43,'E-1 Off Site Hedge Baseline'!$B$1:$L$258,4,FALSE))))</f>
        <v/>
      </c>
      <c r="E43" s="175" t="str">
        <f>IF(B43="","",IF(ISNA(VLOOKUP($B43,'E-1 Off Site Hedge Baseline'!$B$1:$L$257,5,FALSE)),"",(VLOOKUP($B43,'E-1 Off Site Hedge Baseline'!$B$1:$L$257,5,FALSE))))</f>
        <v/>
      </c>
      <c r="F43" s="175" t="str">
        <f>IF(B43="","",IF(ISNA(VLOOKUP($B43,'E-1 Off Site Hedge Baseline'!$B$1:$L$257,6,FALSE)),"",(VLOOKUP($B43,'E-1 Off Site Hedge Baseline'!$B$1:$L$257,6,FALSE))))</f>
        <v/>
      </c>
      <c r="G43" s="175" t="str">
        <f>IF(B43="","",IF(ISNA(VLOOKUP($B43,'E-1 Off Site Hedge Baseline'!$B$1:$L$257,7,FALSE)),"",(VLOOKUP($B43,'E-1 Off Site Hedge Baseline'!$B$1:$L$257,7,FALSE))))</f>
        <v/>
      </c>
      <c r="H43" s="175" t="str">
        <f>IF(B43="","",IF(ISNA(VLOOKUP($B43,'E-1 Off Site Hedge Baseline'!$B$1:$L$257,8,FALSE)),"",(VLOOKUP($B43,'E-1 Off Site Hedge Baseline'!$B$1:$L$257,8,FALSE))))</f>
        <v/>
      </c>
      <c r="I43" s="175" t="str">
        <f>IF(B43="","",IF(ISNA(VLOOKUP($B43,'E-1 Off Site Hedge Baseline'!$B$1:$L$257,10,FALSE)),"",(VLOOKUP($B43,'E-1 Off Site Hedge Baseline'!$B$1:$L$257,10,FALSE))))</f>
        <v/>
      </c>
      <c r="J43" s="175" t="str">
        <f>IF(B43="","",IF(ISNA(VLOOKUP($B43,'E-1 Off Site Hedge Baseline'!$B$1:$L$257,11,FALSE)),"",(VLOOKUP($B43,'E-1 Off Site Hedge Baseline'!$B$1:$L$257,11,FALSE))))</f>
        <v/>
      </c>
      <c r="K43" s="175" t="str">
        <f>IF(B43="","",IF(ISNA(VLOOKUP($B43,'E-1 Off Site Hedge Baseline'!$B$1:$U$257,113,FALSE)),"",(VLOOKUP($B43,'E-1 Off Site Hedge Baseline'!$B$1:$U$257,13,FALSE))))</f>
        <v/>
      </c>
      <c r="L43" s="179" t="str">
        <f>IF(B43="","",IF(ISNA(VLOOKUP($B43,'E-1 Off Site Hedge Baseline'!$B$1:$U$257,12,FALSE)),"",(VLOOKUP($B43,'E-1 Off Site Hedge Baseline'!$B$1:$U$257,12,FALSE))))</f>
        <v/>
      </c>
      <c r="M43" s="639" t="str">
        <f t="shared" si="8"/>
        <v/>
      </c>
      <c r="N43" s="171" t="str">
        <f>IFERROR(IF(B43="","",INDEX('G-6 Hedgerow Data'!$AN$3:$AZ$15,MATCH(C43,'G-6 Hedgerow Data'!$AM$3:$AM$15,0),MATCH(M43,'G-6 Hedgerow Data'!$AN$2:$AZ$2,0))),"")</f>
        <v/>
      </c>
      <c r="O43" s="172" t="str">
        <f t="shared" si="2"/>
        <v/>
      </c>
      <c r="P43" s="260" t="str">
        <f>IF(B43="","",VLOOKUP(B43,'E-1 Off Site Hedge Baseline'!$B$10:T288,16,FALSE))</f>
        <v/>
      </c>
      <c r="Q43" s="171" t="str">
        <f>IF(M43="","",VLOOKUP(M43,'G-6 Hedgerow Data'!$B$2:$AG$15,2,FALSE))</f>
        <v/>
      </c>
      <c r="R43" s="172" t="str">
        <f>IF(M43="","",VLOOKUP(M43,'G-6 Hedgerow Data'!$B$2:$AG$15,3,FALSE))</f>
        <v/>
      </c>
      <c r="S43" s="173"/>
      <c r="T43" s="172" t="str">
        <f>IFERROR(IF(AND(Q43="V.Low",OR(S43="Good",S43="Moderate")),"Error",VLOOKUP(S43,'G-1 All Habitats'!$Z$2:$AA$9,2,FALSE)),"")</f>
        <v/>
      </c>
      <c r="U43" s="173"/>
      <c r="V43" s="179" t="str">
        <f>IF(U43="","",IF(VLOOKUP(U43,'G-3 Multipliers'!$L$3:$N$6,2,FALSE)=0,"Spatial Data Missing",VLOOKUP(U43,'G-3 Multipliers'!$L$3:$N$6,2,FALSE)))</f>
        <v/>
      </c>
      <c r="W43" s="260" t="str">
        <f>IF(U43="","",IF(VLOOKUP(U43,'G-3 Multipliers'!$L$3:$N$6,3,FALSE)=0,"Spatial Data Missing",VLOOKUP(U43,'G-3 Multipliers'!$L$3:$N$6,3,FALSE)))</f>
        <v/>
      </c>
      <c r="X43" s="171" t="str">
        <f>IFERROR(IF(OR(LEFT(O43,5)="Error",LEFT(N43,5)="Error",T43="Error"),"Check Data",IF(F43&lt;R43,INDEX('G-6 Hedgerow Data'!$S$3:$AE$14,MATCH(C43,'G-6 Hedgerow Data'!$B$3:$B$14,0),MATCH(M43,'G-6 Hedgerow Data'!$S$2:$AE$2,0)),INDEX('G-6 Hedgerow Data'!$K$3:$Q$14,MATCH(M43,'G-6 Hedgerow Data'!$B$3:$B$14,0),MATCH(O43,'G-6 Hedgerow Data'!$K$2:$Q$2,0)))),"")</f>
        <v/>
      </c>
      <c r="Y43" s="261"/>
      <c r="Z43" s="261"/>
      <c r="AA43" s="179" t="str">
        <f t="shared" si="3"/>
        <v/>
      </c>
      <c r="AB43" s="262" t="str">
        <f t="shared" si="4"/>
        <v/>
      </c>
      <c r="AC43" s="263" t="str">
        <f t="shared" si="1"/>
        <v/>
      </c>
      <c r="AD43" s="239" t="str">
        <f>IF(M43="","",VLOOKUP(M43,'G-6 Hedgerow Data'!$B$3:$AG$15,31,FALSE))</f>
        <v/>
      </c>
      <c r="AE43" s="175" t="str">
        <f t="shared" si="5"/>
        <v/>
      </c>
      <c r="AF43" s="175" t="str">
        <f t="shared" si="6"/>
        <v/>
      </c>
      <c r="AG43" s="176" t="str">
        <f>IFERROR(IF(O43="","",VLOOKUP(AD43,'G-3 Multipliers'!$P$3:$Q$6,2,FALSE)),"")</f>
        <v/>
      </c>
      <c r="AH43" s="266"/>
      <c r="AI43" s="172" t="str">
        <f>IF(AH43="","",IF(VLOOKUP(AH43,'G-3 Multipliers'!$S$3:$T$6,2,FALSE)=0,"Spatial Data Missing",VLOOKUP(AH43,'G-3 Multipliers'!$S$3:$T$6,2,FALSE)))</f>
        <v/>
      </c>
      <c r="AJ43" s="265" t="str">
        <f t="shared" si="7"/>
        <v/>
      </c>
      <c r="AK43" s="180"/>
      <c r="AL43" s="181"/>
      <c r="AP43" s="35" t="str">
        <f>IFERROR(INDEX('G-6 Hedgerow Data'!$BJ$3:$BJ$15,MATCH(M43,'G-6 Hedgerow Data'!$B$3:$B$15,0)),"")</f>
        <v/>
      </c>
    </row>
    <row r="44" spans="2:42" ht="13.8" x14ac:dyDescent="0.25">
      <c r="B44" s="259" t="str">
        <f>'E-1 Off Site Hedge Baseline'!AK42</f>
        <v/>
      </c>
      <c r="C44" s="175" t="str">
        <f>IF(B44="","",IF(ISNA(VLOOKUP($B44,'E-1 Off Site Hedge Baseline'!$B$1:$L$257,3,FALSE)),"",(VLOOKUP($B44,'E-1 Off Site Hedge Baseline'!$B$1:$L$257,3,FALSE))))</f>
        <v/>
      </c>
      <c r="D44" s="175" t="str">
        <f>IF(B44="","",IF(ISNA(VLOOKUP($B44,'E-1 Off Site Hedge Baseline'!$B$1:$L$258,4,FALSE)),"",(VLOOKUP($B44,'E-1 Off Site Hedge Baseline'!$B$1:$L$258,4,FALSE))))</f>
        <v/>
      </c>
      <c r="E44" s="175" t="str">
        <f>IF(B44="","",IF(ISNA(VLOOKUP($B44,'E-1 Off Site Hedge Baseline'!$B$1:$L$257,5,FALSE)),"",(VLOOKUP($B44,'E-1 Off Site Hedge Baseline'!$B$1:$L$257,5,FALSE))))</f>
        <v/>
      </c>
      <c r="F44" s="175" t="str">
        <f>IF(B44="","",IF(ISNA(VLOOKUP($B44,'E-1 Off Site Hedge Baseline'!$B$1:$L$257,6,FALSE)),"",(VLOOKUP($B44,'E-1 Off Site Hedge Baseline'!$B$1:$L$257,6,FALSE))))</f>
        <v/>
      </c>
      <c r="G44" s="175" t="str">
        <f>IF(B44="","",IF(ISNA(VLOOKUP($B44,'E-1 Off Site Hedge Baseline'!$B$1:$L$257,7,FALSE)),"",(VLOOKUP($B44,'E-1 Off Site Hedge Baseline'!$B$1:$L$257,7,FALSE))))</f>
        <v/>
      </c>
      <c r="H44" s="175" t="str">
        <f>IF(B44="","",IF(ISNA(VLOOKUP($B44,'E-1 Off Site Hedge Baseline'!$B$1:$L$257,8,FALSE)),"",(VLOOKUP($B44,'E-1 Off Site Hedge Baseline'!$B$1:$L$257,8,FALSE))))</f>
        <v/>
      </c>
      <c r="I44" s="175" t="str">
        <f>IF(B44="","",IF(ISNA(VLOOKUP($B44,'E-1 Off Site Hedge Baseline'!$B$1:$L$257,10,FALSE)),"",(VLOOKUP($B44,'E-1 Off Site Hedge Baseline'!$B$1:$L$257,10,FALSE))))</f>
        <v/>
      </c>
      <c r="J44" s="175" t="str">
        <f>IF(B44="","",IF(ISNA(VLOOKUP($B44,'E-1 Off Site Hedge Baseline'!$B$1:$L$257,11,FALSE)),"",(VLOOKUP($B44,'E-1 Off Site Hedge Baseline'!$B$1:$L$257,11,FALSE))))</f>
        <v/>
      </c>
      <c r="K44" s="175" t="str">
        <f>IF(B44="","",IF(ISNA(VLOOKUP($B44,'E-1 Off Site Hedge Baseline'!$B$1:$U$257,113,FALSE)),"",(VLOOKUP($B44,'E-1 Off Site Hedge Baseline'!$B$1:$U$257,13,FALSE))))</f>
        <v/>
      </c>
      <c r="L44" s="179" t="str">
        <f>IF(B44="","",IF(ISNA(VLOOKUP($B44,'E-1 Off Site Hedge Baseline'!$B$1:$U$257,12,FALSE)),"",(VLOOKUP($B44,'E-1 Off Site Hedge Baseline'!$B$1:$U$257,12,FALSE))))</f>
        <v/>
      </c>
      <c r="M44" s="639" t="str">
        <f t="shared" si="8"/>
        <v/>
      </c>
      <c r="N44" s="171" t="str">
        <f>IFERROR(IF(B44="","",INDEX('G-6 Hedgerow Data'!$AN$3:$AZ$15,MATCH(C44,'G-6 Hedgerow Data'!$AM$3:$AM$15,0),MATCH(M44,'G-6 Hedgerow Data'!$AN$2:$AZ$2,0))),"")</f>
        <v/>
      </c>
      <c r="O44" s="172" t="str">
        <f t="shared" si="2"/>
        <v/>
      </c>
      <c r="P44" s="260" t="str">
        <f>IF(B44="","",VLOOKUP(B44,'E-1 Off Site Hedge Baseline'!$B$10:T289,16,FALSE))</f>
        <v/>
      </c>
      <c r="Q44" s="171" t="str">
        <f>IF(M44="","",VLOOKUP(M44,'G-6 Hedgerow Data'!$B$2:$AG$15,2,FALSE))</f>
        <v/>
      </c>
      <c r="R44" s="172" t="str">
        <f>IF(M44="","",VLOOKUP(M44,'G-6 Hedgerow Data'!$B$2:$AG$15,3,FALSE))</f>
        <v/>
      </c>
      <c r="S44" s="173"/>
      <c r="T44" s="172" t="str">
        <f>IFERROR(IF(AND(Q44="V.Low",OR(S44="Good",S44="Moderate")),"Error",VLOOKUP(S44,'G-1 All Habitats'!$Z$2:$AA$9,2,FALSE)),"")</f>
        <v/>
      </c>
      <c r="U44" s="173"/>
      <c r="V44" s="179" t="str">
        <f>IF(U44="","",IF(VLOOKUP(U44,'G-3 Multipliers'!$L$3:$N$6,2,FALSE)=0,"Spatial Data Missing",VLOOKUP(U44,'G-3 Multipliers'!$L$3:$N$6,2,FALSE)))</f>
        <v/>
      </c>
      <c r="W44" s="260" t="str">
        <f>IF(U44="","",IF(VLOOKUP(U44,'G-3 Multipliers'!$L$3:$N$6,3,FALSE)=0,"Spatial Data Missing",VLOOKUP(U44,'G-3 Multipliers'!$L$3:$N$6,3,FALSE)))</f>
        <v/>
      </c>
      <c r="X44" s="171" t="str">
        <f>IFERROR(IF(OR(LEFT(O44,5)="Error",LEFT(N44,5)="Error",T44="Error"),"Check Data",IF(F44&lt;R44,INDEX('G-6 Hedgerow Data'!$S$3:$AE$14,MATCH(C44,'G-6 Hedgerow Data'!$B$3:$B$14,0),MATCH(M44,'G-6 Hedgerow Data'!$S$2:$AE$2,0)),INDEX('G-6 Hedgerow Data'!$K$3:$Q$14,MATCH(M44,'G-6 Hedgerow Data'!$B$3:$B$14,0),MATCH(O44,'G-6 Hedgerow Data'!$K$2:$Q$2,0)))),"")</f>
        <v/>
      </c>
      <c r="Y44" s="261"/>
      <c r="Z44" s="261"/>
      <c r="AA44" s="179" t="str">
        <f t="shared" si="3"/>
        <v/>
      </c>
      <c r="AB44" s="262" t="str">
        <f t="shared" si="4"/>
        <v/>
      </c>
      <c r="AC44" s="263" t="str">
        <f t="shared" si="1"/>
        <v/>
      </c>
      <c r="AD44" s="239" t="str">
        <f>IF(M44="","",VLOOKUP(M44,'G-6 Hedgerow Data'!$B$3:$AG$15,31,FALSE))</f>
        <v/>
      </c>
      <c r="AE44" s="175" t="str">
        <f t="shared" si="5"/>
        <v/>
      </c>
      <c r="AF44" s="175" t="str">
        <f t="shared" si="6"/>
        <v/>
      </c>
      <c r="AG44" s="176" t="str">
        <f>IFERROR(IF(O44="","",VLOOKUP(AD44,'G-3 Multipliers'!$P$3:$Q$6,2,FALSE)),"")</f>
        <v/>
      </c>
      <c r="AH44" s="266"/>
      <c r="AI44" s="172" t="str">
        <f>IF(AH44="","",IF(VLOOKUP(AH44,'G-3 Multipliers'!$S$3:$T$6,2,FALSE)=0,"Spatial Data Missing",VLOOKUP(AH44,'G-3 Multipliers'!$S$3:$T$6,2,FALSE)))</f>
        <v/>
      </c>
      <c r="AJ44" s="265" t="str">
        <f t="shared" si="7"/>
        <v/>
      </c>
      <c r="AK44" s="180"/>
      <c r="AL44" s="181"/>
      <c r="AP44" s="35" t="str">
        <f>IFERROR(INDEX('G-6 Hedgerow Data'!$BJ$3:$BJ$15,MATCH(M44,'G-6 Hedgerow Data'!$B$3:$B$15,0)),"")</f>
        <v/>
      </c>
    </row>
    <row r="45" spans="2:42" ht="13.8" x14ac:dyDescent="0.25">
      <c r="B45" s="259" t="str">
        <f>'E-1 Off Site Hedge Baseline'!AK43</f>
        <v/>
      </c>
      <c r="C45" s="175" t="str">
        <f>IF(B45="","",IF(ISNA(VLOOKUP($B45,'E-1 Off Site Hedge Baseline'!$B$1:$L$257,3,FALSE)),"",(VLOOKUP($B45,'E-1 Off Site Hedge Baseline'!$B$1:$L$257,3,FALSE))))</f>
        <v/>
      </c>
      <c r="D45" s="175" t="str">
        <f>IF(B45="","",IF(ISNA(VLOOKUP($B45,'E-1 Off Site Hedge Baseline'!$B$1:$L$258,4,FALSE)),"",(VLOOKUP($B45,'E-1 Off Site Hedge Baseline'!$B$1:$L$258,4,FALSE))))</f>
        <v/>
      </c>
      <c r="E45" s="175" t="str">
        <f>IF(B45="","",IF(ISNA(VLOOKUP($B45,'E-1 Off Site Hedge Baseline'!$B$1:$L$257,5,FALSE)),"",(VLOOKUP($B45,'E-1 Off Site Hedge Baseline'!$B$1:$L$257,5,FALSE))))</f>
        <v/>
      </c>
      <c r="F45" s="175" t="str">
        <f>IF(B45="","",IF(ISNA(VLOOKUP($B45,'E-1 Off Site Hedge Baseline'!$B$1:$L$257,6,FALSE)),"",(VLOOKUP($B45,'E-1 Off Site Hedge Baseline'!$B$1:$L$257,6,FALSE))))</f>
        <v/>
      </c>
      <c r="G45" s="175" t="str">
        <f>IF(B45="","",IF(ISNA(VLOOKUP($B45,'E-1 Off Site Hedge Baseline'!$B$1:$L$257,7,FALSE)),"",(VLOOKUP($B45,'E-1 Off Site Hedge Baseline'!$B$1:$L$257,7,FALSE))))</f>
        <v/>
      </c>
      <c r="H45" s="175" t="str">
        <f>IF(B45="","",IF(ISNA(VLOOKUP($B45,'E-1 Off Site Hedge Baseline'!$B$1:$L$257,8,FALSE)),"",(VLOOKUP($B45,'E-1 Off Site Hedge Baseline'!$B$1:$L$257,8,FALSE))))</f>
        <v/>
      </c>
      <c r="I45" s="175" t="str">
        <f>IF(B45="","",IF(ISNA(VLOOKUP($B45,'E-1 Off Site Hedge Baseline'!$B$1:$L$257,10,FALSE)),"",(VLOOKUP($B45,'E-1 Off Site Hedge Baseline'!$B$1:$L$257,10,FALSE))))</f>
        <v/>
      </c>
      <c r="J45" s="175" t="str">
        <f>IF(B45="","",IF(ISNA(VLOOKUP($B45,'E-1 Off Site Hedge Baseline'!$B$1:$L$257,11,FALSE)),"",(VLOOKUP($B45,'E-1 Off Site Hedge Baseline'!$B$1:$L$257,11,FALSE))))</f>
        <v/>
      </c>
      <c r="K45" s="175" t="str">
        <f>IF(B45="","",IF(ISNA(VLOOKUP($B45,'E-1 Off Site Hedge Baseline'!$B$1:$U$257,113,FALSE)),"",(VLOOKUP($B45,'E-1 Off Site Hedge Baseline'!$B$1:$U$257,13,FALSE))))</f>
        <v/>
      </c>
      <c r="L45" s="179" t="str">
        <f>IF(B45="","",IF(ISNA(VLOOKUP($B45,'E-1 Off Site Hedge Baseline'!$B$1:$U$257,12,FALSE)),"",(VLOOKUP($B45,'E-1 Off Site Hedge Baseline'!$B$1:$U$257,12,FALSE))))</f>
        <v/>
      </c>
      <c r="M45" s="639" t="str">
        <f t="shared" si="8"/>
        <v/>
      </c>
      <c r="N45" s="171" t="str">
        <f>IFERROR(IF(B45="","",INDEX('G-6 Hedgerow Data'!$AN$3:$AZ$15,MATCH(C45,'G-6 Hedgerow Data'!$AM$3:$AM$15,0),MATCH(M45,'G-6 Hedgerow Data'!$AN$2:$AZ$2,0))),"")</f>
        <v/>
      </c>
      <c r="O45" s="172" t="str">
        <f t="shared" si="2"/>
        <v/>
      </c>
      <c r="P45" s="260" t="str">
        <f>IF(B45="","",VLOOKUP(B45,'E-1 Off Site Hedge Baseline'!$B$10:T290,16,FALSE))</f>
        <v/>
      </c>
      <c r="Q45" s="171" t="str">
        <f>IF(M45="","",VLOOKUP(M45,'G-6 Hedgerow Data'!$B$2:$AG$15,2,FALSE))</f>
        <v/>
      </c>
      <c r="R45" s="172" t="str">
        <f>IF(M45="","",VLOOKUP(M45,'G-6 Hedgerow Data'!$B$2:$AG$15,3,FALSE))</f>
        <v/>
      </c>
      <c r="S45" s="173"/>
      <c r="T45" s="172" t="str">
        <f>IFERROR(IF(AND(Q45="V.Low",OR(S45="Good",S45="Moderate")),"Error",VLOOKUP(S45,'G-1 All Habitats'!$Z$2:$AA$9,2,FALSE)),"")</f>
        <v/>
      </c>
      <c r="U45" s="173"/>
      <c r="V45" s="179" t="str">
        <f>IF(U45="","",IF(VLOOKUP(U45,'G-3 Multipliers'!$L$3:$N$6,2,FALSE)=0,"Spatial Data Missing",VLOOKUP(U45,'G-3 Multipliers'!$L$3:$N$6,2,FALSE)))</f>
        <v/>
      </c>
      <c r="W45" s="260" t="str">
        <f>IF(U45="","",IF(VLOOKUP(U45,'G-3 Multipliers'!$L$3:$N$6,3,FALSE)=0,"Spatial Data Missing",VLOOKUP(U45,'G-3 Multipliers'!$L$3:$N$6,3,FALSE)))</f>
        <v/>
      </c>
      <c r="X45" s="171" t="str">
        <f>IFERROR(IF(OR(LEFT(O45,5)="Error",LEFT(N45,5)="Error",T45="Error"),"Check Data",IF(F45&lt;R45,INDEX('G-6 Hedgerow Data'!$S$3:$AE$14,MATCH(C45,'G-6 Hedgerow Data'!$B$3:$B$14,0),MATCH(M45,'G-6 Hedgerow Data'!$S$2:$AE$2,0)),INDEX('G-6 Hedgerow Data'!$K$3:$Q$14,MATCH(M45,'G-6 Hedgerow Data'!$B$3:$B$14,0),MATCH(O45,'G-6 Hedgerow Data'!$K$2:$Q$2,0)))),"")</f>
        <v/>
      </c>
      <c r="Y45" s="261"/>
      <c r="Z45" s="261"/>
      <c r="AA45" s="179" t="str">
        <f t="shared" si="3"/>
        <v/>
      </c>
      <c r="AB45" s="262" t="str">
        <f t="shared" si="4"/>
        <v/>
      </c>
      <c r="AC45" s="263" t="str">
        <f t="shared" si="1"/>
        <v/>
      </c>
      <c r="AD45" s="239" t="str">
        <f>IF(M45="","",VLOOKUP(M45,'G-6 Hedgerow Data'!$B$3:$AG$15,31,FALSE))</f>
        <v/>
      </c>
      <c r="AE45" s="175" t="str">
        <f t="shared" si="5"/>
        <v/>
      </c>
      <c r="AF45" s="175" t="str">
        <f t="shared" si="6"/>
        <v/>
      </c>
      <c r="AG45" s="176" t="str">
        <f>IFERROR(IF(O45="","",VLOOKUP(AD45,'G-3 Multipliers'!$P$3:$Q$6,2,FALSE)),"")</f>
        <v/>
      </c>
      <c r="AH45" s="266"/>
      <c r="AI45" s="172" t="str">
        <f>IF(AH45="","",IF(VLOOKUP(AH45,'G-3 Multipliers'!$S$3:$T$6,2,FALSE)=0,"Spatial Data Missing",VLOOKUP(AH45,'G-3 Multipliers'!$S$3:$T$6,2,FALSE)))</f>
        <v/>
      </c>
      <c r="AJ45" s="265" t="str">
        <f t="shared" si="7"/>
        <v/>
      </c>
      <c r="AK45" s="180"/>
      <c r="AL45" s="181"/>
      <c r="AP45" s="35" t="str">
        <f>IFERROR(INDEX('G-6 Hedgerow Data'!$BJ$3:$BJ$15,MATCH(M45,'G-6 Hedgerow Data'!$B$3:$B$15,0)),"")</f>
        <v/>
      </c>
    </row>
    <row r="46" spans="2:42" ht="13.8" x14ac:dyDescent="0.25">
      <c r="B46" s="259" t="str">
        <f>'E-1 Off Site Hedge Baseline'!AK44</f>
        <v/>
      </c>
      <c r="C46" s="175" t="str">
        <f>IF(B46="","",IF(ISNA(VLOOKUP($B46,'E-1 Off Site Hedge Baseline'!$B$1:$L$257,3,FALSE)),"",(VLOOKUP($B46,'E-1 Off Site Hedge Baseline'!$B$1:$L$257,3,FALSE))))</f>
        <v/>
      </c>
      <c r="D46" s="175" t="str">
        <f>IF(B46="","",IF(ISNA(VLOOKUP($B46,'E-1 Off Site Hedge Baseline'!$B$1:$L$258,4,FALSE)),"",(VLOOKUP($B46,'E-1 Off Site Hedge Baseline'!$B$1:$L$258,4,FALSE))))</f>
        <v/>
      </c>
      <c r="E46" s="175" t="str">
        <f>IF(B46="","",IF(ISNA(VLOOKUP($B46,'E-1 Off Site Hedge Baseline'!$B$1:$L$257,5,FALSE)),"",(VLOOKUP($B46,'E-1 Off Site Hedge Baseline'!$B$1:$L$257,5,FALSE))))</f>
        <v/>
      </c>
      <c r="F46" s="175" t="str">
        <f>IF(B46="","",IF(ISNA(VLOOKUP($B46,'E-1 Off Site Hedge Baseline'!$B$1:$L$257,6,FALSE)),"",(VLOOKUP($B46,'E-1 Off Site Hedge Baseline'!$B$1:$L$257,6,FALSE))))</f>
        <v/>
      </c>
      <c r="G46" s="175" t="str">
        <f>IF(B46="","",IF(ISNA(VLOOKUP($B46,'E-1 Off Site Hedge Baseline'!$B$1:$L$257,7,FALSE)),"",(VLOOKUP($B46,'E-1 Off Site Hedge Baseline'!$B$1:$L$257,7,FALSE))))</f>
        <v/>
      </c>
      <c r="H46" s="175" t="str">
        <f>IF(B46="","",IF(ISNA(VLOOKUP($B46,'E-1 Off Site Hedge Baseline'!$B$1:$L$257,8,FALSE)),"",(VLOOKUP($B46,'E-1 Off Site Hedge Baseline'!$B$1:$L$257,8,FALSE))))</f>
        <v/>
      </c>
      <c r="I46" s="175" t="str">
        <f>IF(B46="","",IF(ISNA(VLOOKUP($B46,'E-1 Off Site Hedge Baseline'!$B$1:$L$257,10,FALSE)),"",(VLOOKUP($B46,'E-1 Off Site Hedge Baseline'!$B$1:$L$257,10,FALSE))))</f>
        <v/>
      </c>
      <c r="J46" s="175" t="str">
        <f>IF(B46="","",IF(ISNA(VLOOKUP($B46,'E-1 Off Site Hedge Baseline'!$B$1:$L$257,11,FALSE)),"",(VLOOKUP($B46,'E-1 Off Site Hedge Baseline'!$B$1:$L$257,11,FALSE))))</f>
        <v/>
      </c>
      <c r="K46" s="175" t="str">
        <f>IF(B46="","",IF(ISNA(VLOOKUP($B46,'E-1 Off Site Hedge Baseline'!$B$1:$U$257,113,FALSE)),"",(VLOOKUP($B46,'E-1 Off Site Hedge Baseline'!$B$1:$U$257,13,FALSE))))</f>
        <v/>
      </c>
      <c r="L46" s="179" t="str">
        <f>IF(B46="","",IF(ISNA(VLOOKUP($B46,'E-1 Off Site Hedge Baseline'!$B$1:$U$257,12,FALSE)),"",(VLOOKUP($B46,'E-1 Off Site Hedge Baseline'!$B$1:$U$257,12,FALSE))))</f>
        <v/>
      </c>
      <c r="M46" s="639" t="str">
        <f t="shared" si="8"/>
        <v/>
      </c>
      <c r="N46" s="171" t="str">
        <f>IFERROR(IF(B46="","",INDEX('G-6 Hedgerow Data'!$AN$3:$AZ$15,MATCH(C46,'G-6 Hedgerow Data'!$AM$3:$AM$15,0),MATCH(M46,'G-6 Hedgerow Data'!$AN$2:$AZ$2,0))),"")</f>
        <v/>
      </c>
      <c r="O46" s="172" t="str">
        <f t="shared" si="2"/>
        <v/>
      </c>
      <c r="P46" s="260" t="str">
        <f>IF(B46="","",VLOOKUP(B46,'E-1 Off Site Hedge Baseline'!$B$10:T291,16,FALSE))</f>
        <v/>
      </c>
      <c r="Q46" s="171" t="str">
        <f>IF(M46="","",VLOOKUP(M46,'G-6 Hedgerow Data'!$B$2:$AG$15,2,FALSE))</f>
        <v/>
      </c>
      <c r="R46" s="172" t="str">
        <f>IF(M46="","",VLOOKUP(M46,'G-6 Hedgerow Data'!$B$2:$AG$15,3,FALSE))</f>
        <v/>
      </c>
      <c r="S46" s="173"/>
      <c r="T46" s="172" t="str">
        <f>IFERROR(IF(AND(Q46="V.Low",OR(S46="Good",S46="Moderate")),"Error",VLOOKUP(S46,'G-1 All Habitats'!$Z$2:$AA$9,2,FALSE)),"")</f>
        <v/>
      </c>
      <c r="U46" s="173"/>
      <c r="V46" s="179" t="str">
        <f>IF(U46="","",IF(VLOOKUP(U46,'G-3 Multipliers'!$L$3:$N$6,2,FALSE)=0,"Spatial Data Missing",VLOOKUP(U46,'G-3 Multipliers'!$L$3:$N$6,2,FALSE)))</f>
        <v/>
      </c>
      <c r="W46" s="260" t="str">
        <f>IF(U46="","",IF(VLOOKUP(U46,'G-3 Multipliers'!$L$3:$N$6,3,FALSE)=0,"Spatial Data Missing",VLOOKUP(U46,'G-3 Multipliers'!$L$3:$N$6,3,FALSE)))</f>
        <v/>
      </c>
      <c r="X46" s="171" t="str">
        <f>IFERROR(IF(OR(LEFT(O46,5)="Error",LEFT(N46,5)="Error",T46="Error"),"Check Data",IF(F46&lt;R46,INDEX('G-6 Hedgerow Data'!$S$3:$AE$14,MATCH(C46,'G-6 Hedgerow Data'!$B$3:$B$14,0),MATCH(M46,'G-6 Hedgerow Data'!$S$2:$AE$2,0)),INDEX('G-6 Hedgerow Data'!$K$3:$Q$14,MATCH(M46,'G-6 Hedgerow Data'!$B$3:$B$14,0),MATCH(O46,'G-6 Hedgerow Data'!$K$2:$Q$2,0)))),"")</f>
        <v/>
      </c>
      <c r="Y46" s="261"/>
      <c r="Z46" s="261"/>
      <c r="AA46" s="179" t="str">
        <f t="shared" si="3"/>
        <v/>
      </c>
      <c r="AB46" s="262" t="str">
        <f t="shared" si="4"/>
        <v/>
      </c>
      <c r="AC46" s="263" t="str">
        <f t="shared" si="1"/>
        <v/>
      </c>
      <c r="AD46" s="239" t="str">
        <f>IF(M46="","",VLOOKUP(M46,'G-6 Hedgerow Data'!$B$3:$AG$15,31,FALSE))</f>
        <v/>
      </c>
      <c r="AE46" s="175" t="str">
        <f t="shared" si="5"/>
        <v/>
      </c>
      <c r="AF46" s="175" t="str">
        <f t="shared" si="6"/>
        <v/>
      </c>
      <c r="AG46" s="176" t="str">
        <f>IFERROR(IF(O46="","",VLOOKUP(AD46,'G-3 Multipliers'!$P$3:$Q$6,2,FALSE)),"")</f>
        <v/>
      </c>
      <c r="AH46" s="266"/>
      <c r="AI46" s="172" t="str">
        <f>IF(AH46="","",IF(VLOOKUP(AH46,'G-3 Multipliers'!$S$3:$T$6,2,FALSE)=0,"Spatial Data Missing",VLOOKUP(AH46,'G-3 Multipliers'!$S$3:$T$6,2,FALSE)))</f>
        <v/>
      </c>
      <c r="AJ46" s="265" t="str">
        <f t="shared" si="7"/>
        <v/>
      </c>
      <c r="AK46" s="180"/>
      <c r="AL46" s="181"/>
      <c r="AP46" s="35" t="str">
        <f>IFERROR(INDEX('G-6 Hedgerow Data'!$BJ$3:$BJ$15,MATCH(M46,'G-6 Hedgerow Data'!$B$3:$B$15,0)),"")</f>
        <v/>
      </c>
    </row>
    <row r="47" spans="2:42" ht="13.8" x14ac:dyDescent="0.25">
      <c r="B47" s="259" t="str">
        <f>'E-1 Off Site Hedge Baseline'!AK45</f>
        <v/>
      </c>
      <c r="C47" s="175" t="str">
        <f>IF(B47="","",IF(ISNA(VLOOKUP($B47,'E-1 Off Site Hedge Baseline'!$B$1:$L$257,3,FALSE)),"",(VLOOKUP($B47,'E-1 Off Site Hedge Baseline'!$B$1:$L$257,3,FALSE))))</f>
        <v/>
      </c>
      <c r="D47" s="175" t="str">
        <f>IF(B47="","",IF(ISNA(VLOOKUP($B47,'E-1 Off Site Hedge Baseline'!$B$1:$L$258,4,FALSE)),"",(VLOOKUP($B47,'E-1 Off Site Hedge Baseline'!$B$1:$L$258,4,FALSE))))</f>
        <v/>
      </c>
      <c r="E47" s="175" t="str">
        <f>IF(B47="","",IF(ISNA(VLOOKUP($B47,'E-1 Off Site Hedge Baseline'!$B$1:$L$257,5,FALSE)),"",(VLOOKUP($B47,'E-1 Off Site Hedge Baseline'!$B$1:$L$257,5,FALSE))))</f>
        <v/>
      </c>
      <c r="F47" s="175" t="str">
        <f>IF(B47="","",IF(ISNA(VLOOKUP($B47,'E-1 Off Site Hedge Baseline'!$B$1:$L$257,6,FALSE)),"",(VLOOKUP($B47,'E-1 Off Site Hedge Baseline'!$B$1:$L$257,6,FALSE))))</f>
        <v/>
      </c>
      <c r="G47" s="175" t="str">
        <f>IF(B47="","",IF(ISNA(VLOOKUP($B47,'E-1 Off Site Hedge Baseline'!$B$1:$L$257,7,FALSE)),"",(VLOOKUP($B47,'E-1 Off Site Hedge Baseline'!$B$1:$L$257,7,FALSE))))</f>
        <v/>
      </c>
      <c r="H47" s="175" t="str">
        <f>IF(B47="","",IF(ISNA(VLOOKUP($B47,'E-1 Off Site Hedge Baseline'!$B$1:$L$257,8,FALSE)),"",(VLOOKUP($B47,'E-1 Off Site Hedge Baseline'!$B$1:$L$257,8,FALSE))))</f>
        <v/>
      </c>
      <c r="I47" s="175" t="str">
        <f>IF(B47="","",IF(ISNA(VLOOKUP($B47,'E-1 Off Site Hedge Baseline'!$B$1:$L$257,10,FALSE)),"",(VLOOKUP($B47,'E-1 Off Site Hedge Baseline'!$B$1:$L$257,10,FALSE))))</f>
        <v/>
      </c>
      <c r="J47" s="175" t="str">
        <f>IF(B47="","",IF(ISNA(VLOOKUP($B47,'E-1 Off Site Hedge Baseline'!$B$1:$L$257,11,FALSE)),"",(VLOOKUP($B47,'E-1 Off Site Hedge Baseline'!$B$1:$L$257,11,FALSE))))</f>
        <v/>
      </c>
      <c r="K47" s="175" t="str">
        <f>IF(B47="","",IF(ISNA(VLOOKUP($B47,'E-1 Off Site Hedge Baseline'!$B$1:$U$257,113,FALSE)),"",(VLOOKUP($B47,'E-1 Off Site Hedge Baseline'!$B$1:$U$257,13,FALSE))))</f>
        <v/>
      </c>
      <c r="L47" s="179" t="str">
        <f>IF(B47="","",IF(ISNA(VLOOKUP($B47,'E-1 Off Site Hedge Baseline'!$B$1:$U$257,12,FALSE)),"",(VLOOKUP($B47,'E-1 Off Site Hedge Baseline'!$B$1:$U$257,12,FALSE))))</f>
        <v/>
      </c>
      <c r="M47" s="639" t="str">
        <f t="shared" si="8"/>
        <v/>
      </c>
      <c r="N47" s="171" t="str">
        <f>IFERROR(IF(B47="","",INDEX('G-6 Hedgerow Data'!$AN$3:$AZ$15,MATCH(C47,'G-6 Hedgerow Data'!$AM$3:$AM$15,0),MATCH(M47,'G-6 Hedgerow Data'!$AN$2:$AZ$2,0))),"")</f>
        <v/>
      </c>
      <c r="O47" s="172" t="str">
        <f t="shared" si="2"/>
        <v/>
      </c>
      <c r="P47" s="260" t="str">
        <f>IF(B47="","",VLOOKUP(B47,'E-1 Off Site Hedge Baseline'!$B$10:T292,16,FALSE))</f>
        <v/>
      </c>
      <c r="Q47" s="171" t="str">
        <f>IF(M47="","",VLOOKUP(M47,'G-6 Hedgerow Data'!$B$2:$AG$15,2,FALSE))</f>
        <v/>
      </c>
      <c r="R47" s="172" t="str">
        <f>IF(M47="","",VLOOKUP(M47,'G-6 Hedgerow Data'!$B$2:$AG$15,3,FALSE))</f>
        <v/>
      </c>
      <c r="S47" s="173"/>
      <c r="T47" s="172" t="str">
        <f>IFERROR(IF(AND(Q47="V.Low",OR(S47="Good",S47="Moderate")),"Error",VLOOKUP(S47,'G-1 All Habitats'!$Z$2:$AA$9,2,FALSE)),"")</f>
        <v/>
      </c>
      <c r="U47" s="173"/>
      <c r="V47" s="179" t="str">
        <f>IF(U47="","",IF(VLOOKUP(U47,'G-3 Multipliers'!$L$3:$N$6,2,FALSE)=0,"Spatial Data Missing",VLOOKUP(U47,'G-3 Multipliers'!$L$3:$N$6,2,FALSE)))</f>
        <v/>
      </c>
      <c r="W47" s="260" t="str">
        <f>IF(U47="","",IF(VLOOKUP(U47,'G-3 Multipliers'!$L$3:$N$6,3,FALSE)=0,"Spatial Data Missing",VLOOKUP(U47,'G-3 Multipliers'!$L$3:$N$6,3,FALSE)))</f>
        <v/>
      </c>
      <c r="X47" s="171" t="str">
        <f>IFERROR(IF(OR(LEFT(O47,5)="Error",LEFT(N47,5)="Error",T47="Error"),"Check Data",IF(F47&lt;R47,INDEX('G-6 Hedgerow Data'!$S$3:$AE$14,MATCH(C47,'G-6 Hedgerow Data'!$B$3:$B$14,0),MATCH(M47,'G-6 Hedgerow Data'!$S$2:$AE$2,0)),INDEX('G-6 Hedgerow Data'!$K$3:$Q$14,MATCH(M47,'G-6 Hedgerow Data'!$B$3:$B$14,0),MATCH(O47,'G-6 Hedgerow Data'!$K$2:$Q$2,0)))),"")</f>
        <v/>
      </c>
      <c r="Y47" s="261"/>
      <c r="Z47" s="261"/>
      <c r="AA47" s="179" t="str">
        <f t="shared" si="3"/>
        <v/>
      </c>
      <c r="AB47" s="262" t="str">
        <f t="shared" si="4"/>
        <v/>
      </c>
      <c r="AC47" s="263" t="str">
        <f t="shared" si="1"/>
        <v/>
      </c>
      <c r="AD47" s="239" t="str">
        <f>IF(M47="","",VLOOKUP(M47,'G-6 Hedgerow Data'!$B$3:$AG$15,31,FALSE))</f>
        <v/>
      </c>
      <c r="AE47" s="175" t="str">
        <f t="shared" si="5"/>
        <v/>
      </c>
      <c r="AF47" s="175" t="str">
        <f t="shared" si="6"/>
        <v/>
      </c>
      <c r="AG47" s="176" t="str">
        <f>IFERROR(IF(O47="","",VLOOKUP(AD47,'G-3 Multipliers'!$P$3:$Q$6,2,FALSE)),"")</f>
        <v/>
      </c>
      <c r="AH47" s="266"/>
      <c r="AI47" s="172" t="str">
        <f>IF(AH47="","",IF(VLOOKUP(AH47,'G-3 Multipliers'!$S$3:$T$6,2,FALSE)=0,"Spatial Data Missing",VLOOKUP(AH47,'G-3 Multipliers'!$S$3:$T$6,2,FALSE)))</f>
        <v/>
      </c>
      <c r="AJ47" s="265" t="str">
        <f t="shared" si="7"/>
        <v/>
      </c>
      <c r="AK47" s="180"/>
      <c r="AL47" s="181"/>
      <c r="AP47" s="35" t="str">
        <f>IFERROR(INDEX('G-6 Hedgerow Data'!$BJ$3:$BJ$15,MATCH(M47,'G-6 Hedgerow Data'!$B$3:$B$15,0)),"")</f>
        <v/>
      </c>
    </row>
    <row r="48" spans="2:42" ht="13.8" x14ac:dyDescent="0.25">
      <c r="B48" s="259" t="str">
        <f>'E-1 Off Site Hedge Baseline'!AK46</f>
        <v/>
      </c>
      <c r="C48" s="175" t="str">
        <f>IF(B48="","",IF(ISNA(VLOOKUP($B48,'E-1 Off Site Hedge Baseline'!$B$1:$L$257,3,FALSE)),"",(VLOOKUP($B48,'E-1 Off Site Hedge Baseline'!$B$1:$L$257,3,FALSE))))</f>
        <v/>
      </c>
      <c r="D48" s="175" t="str">
        <f>IF(B48="","",IF(ISNA(VLOOKUP($B48,'E-1 Off Site Hedge Baseline'!$B$1:$L$258,4,FALSE)),"",(VLOOKUP($B48,'E-1 Off Site Hedge Baseline'!$B$1:$L$258,4,FALSE))))</f>
        <v/>
      </c>
      <c r="E48" s="175" t="str">
        <f>IF(B48="","",IF(ISNA(VLOOKUP($B48,'E-1 Off Site Hedge Baseline'!$B$1:$L$257,5,FALSE)),"",(VLOOKUP($B48,'E-1 Off Site Hedge Baseline'!$B$1:$L$257,5,FALSE))))</f>
        <v/>
      </c>
      <c r="F48" s="175" t="str">
        <f>IF(B48="","",IF(ISNA(VLOOKUP($B48,'E-1 Off Site Hedge Baseline'!$B$1:$L$257,6,FALSE)),"",(VLOOKUP($B48,'E-1 Off Site Hedge Baseline'!$B$1:$L$257,6,FALSE))))</f>
        <v/>
      </c>
      <c r="G48" s="175" t="str">
        <f>IF(B48="","",IF(ISNA(VLOOKUP($B48,'E-1 Off Site Hedge Baseline'!$B$1:$L$257,7,FALSE)),"",(VLOOKUP($B48,'E-1 Off Site Hedge Baseline'!$B$1:$L$257,7,FALSE))))</f>
        <v/>
      </c>
      <c r="H48" s="175" t="str">
        <f>IF(B48="","",IF(ISNA(VLOOKUP($B48,'E-1 Off Site Hedge Baseline'!$B$1:$L$257,8,FALSE)),"",(VLOOKUP($B48,'E-1 Off Site Hedge Baseline'!$B$1:$L$257,8,FALSE))))</f>
        <v/>
      </c>
      <c r="I48" s="175" t="str">
        <f>IF(B48="","",IF(ISNA(VLOOKUP($B48,'E-1 Off Site Hedge Baseline'!$B$1:$L$257,10,FALSE)),"",(VLOOKUP($B48,'E-1 Off Site Hedge Baseline'!$B$1:$L$257,10,FALSE))))</f>
        <v/>
      </c>
      <c r="J48" s="175" t="str">
        <f>IF(B48="","",IF(ISNA(VLOOKUP($B48,'E-1 Off Site Hedge Baseline'!$B$1:$L$257,11,FALSE)),"",(VLOOKUP($B48,'E-1 Off Site Hedge Baseline'!$B$1:$L$257,11,FALSE))))</f>
        <v/>
      </c>
      <c r="K48" s="175" t="str">
        <f>IF(B48="","",IF(ISNA(VLOOKUP($B48,'E-1 Off Site Hedge Baseline'!$B$1:$U$257,113,FALSE)),"",(VLOOKUP($B48,'E-1 Off Site Hedge Baseline'!$B$1:$U$257,13,FALSE))))</f>
        <v/>
      </c>
      <c r="L48" s="179" t="str">
        <f>IF(B48="","",IF(ISNA(VLOOKUP($B48,'E-1 Off Site Hedge Baseline'!$B$1:$U$257,12,FALSE)),"",(VLOOKUP($B48,'E-1 Off Site Hedge Baseline'!$B$1:$U$257,12,FALSE))))</f>
        <v/>
      </c>
      <c r="M48" s="639" t="str">
        <f t="shared" si="8"/>
        <v/>
      </c>
      <c r="N48" s="171" t="str">
        <f>IFERROR(IF(B48="","",INDEX('G-6 Hedgerow Data'!$AN$3:$AZ$15,MATCH(C48,'G-6 Hedgerow Data'!$AM$3:$AM$15,0),MATCH(M48,'G-6 Hedgerow Data'!$AN$2:$AZ$2,0))),"")</f>
        <v/>
      </c>
      <c r="O48" s="172" t="str">
        <f t="shared" si="2"/>
        <v/>
      </c>
      <c r="P48" s="260" t="str">
        <f>IF(B48="","",VLOOKUP(B48,'E-1 Off Site Hedge Baseline'!$B$10:T293,16,FALSE))</f>
        <v/>
      </c>
      <c r="Q48" s="171" t="str">
        <f>IF(M48="","",VLOOKUP(M48,'G-6 Hedgerow Data'!$B$2:$AG$15,2,FALSE))</f>
        <v/>
      </c>
      <c r="R48" s="172" t="str">
        <f>IF(M48="","",VLOOKUP(M48,'G-6 Hedgerow Data'!$B$2:$AG$15,3,FALSE))</f>
        <v/>
      </c>
      <c r="S48" s="173"/>
      <c r="T48" s="172" t="str">
        <f>IFERROR(IF(AND(Q48="V.Low",OR(S48="Good",S48="Moderate")),"Error",VLOOKUP(S48,'G-1 All Habitats'!$Z$2:$AA$9,2,FALSE)),"")</f>
        <v/>
      </c>
      <c r="U48" s="173"/>
      <c r="V48" s="179" t="str">
        <f>IF(U48="","",IF(VLOOKUP(U48,'G-3 Multipliers'!$L$3:$N$6,2,FALSE)=0,"Spatial Data Missing",VLOOKUP(U48,'G-3 Multipliers'!$L$3:$N$6,2,FALSE)))</f>
        <v/>
      </c>
      <c r="W48" s="260" t="str">
        <f>IF(U48="","",IF(VLOOKUP(U48,'G-3 Multipliers'!$L$3:$N$6,3,FALSE)=0,"Spatial Data Missing",VLOOKUP(U48,'G-3 Multipliers'!$L$3:$N$6,3,FALSE)))</f>
        <v/>
      </c>
      <c r="X48" s="171" t="str">
        <f>IFERROR(IF(OR(LEFT(O48,5)="Error",LEFT(N48,5)="Error",T48="Error"),"Check Data",IF(F48&lt;R48,INDEX('G-6 Hedgerow Data'!$S$3:$AE$14,MATCH(C48,'G-6 Hedgerow Data'!$B$3:$B$14,0),MATCH(M48,'G-6 Hedgerow Data'!$S$2:$AE$2,0)),INDEX('G-6 Hedgerow Data'!$K$3:$Q$14,MATCH(M48,'G-6 Hedgerow Data'!$B$3:$B$14,0),MATCH(O48,'G-6 Hedgerow Data'!$K$2:$Q$2,0)))),"")</f>
        <v/>
      </c>
      <c r="Y48" s="261"/>
      <c r="Z48" s="261"/>
      <c r="AA48" s="179" t="str">
        <f t="shared" si="3"/>
        <v/>
      </c>
      <c r="AB48" s="262" t="str">
        <f t="shared" si="4"/>
        <v/>
      </c>
      <c r="AC48" s="263" t="str">
        <f t="shared" si="1"/>
        <v/>
      </c>
      <c r="AD48" s="239" t="str">
        <f>IF(M48="","",VLOOKUP(M48,'G-6 Hedgerow Data'!$B$3:$AG$15,31,FALSE))</f>
        <v/>
      </c>
      <c r="AE48" s="175" t="str">
        <f t="shared" si="5"/>
        <v/>
      </c>
      <c r="AF48" s="175" t="str">
        <f t="shared" si="6"/>
        <v/>
      </c>
      <c r="AG48" s="176" t="str">
        <f>IFERROR(IF(O48="","",VLOOKUP(AD48,'G-3 Multipliers'!$P$3:$Q$6,2,FALSE)),"")</f>
        <v/>
      </c>
      <c r="AH48" s="266"/>
      <c r="AI48" s="172" t="str">
        <f>IF(AH48="","",IF(VLOOKUP(AH48,'G-3 Multipliers'!$S$3:$T$6,2,FALSE)=0,"Spatial Data Missing",VLOOKUP(AH48,'G-3 Multipliers'!$S$3:$T$6,2,FALSE)))</f>
        <v/>
      </c>
      <c r="AJ48" s="265" t="str">
        <f t="shared" si="7"/>
        <v/>
      </c>
      <c r="AK48" s="180"/>
      <c r="AL48" s="181"/>
      <c r="AP48" s="35" t="str">
        <f>IFERROR(INDEX('G-6 Hedgerow Data'!$BJ$3:$BJ$15,MATCH(M48,'G-6 Hedgerow Data'!$B$3:$B$15,0)),"")</f>
        <v/>
      </c>
    </row>
    <row r="49" spans="2:42" ht="13.8" x14ac:dyDescent="0.25">
      <c r="B49" s="259" t="str">
        <f>'E-1 Off Site Hedge Baseline'!AK47</f>
        <v/>
      </c>
      <c r="C49" s="175" t="str">
        <f>IF(B49="","",IF(ISNA(VLOOKUP($B49,'E-1 Off Site Hedge Baseline'!$B$1:$L$257,3,FALSE)),"",(VLOOKUP($B49,'E-1 Off Site Hedge Baseline'!$B$1:$L$257,3,FALSE))))</f>
        <v/>
      </c>
      <c r="D49" s="175" t="str">
        <f>IF(B49="","",IF(ISNA(VLOOKUP($B49,'E-1 Off Site Hedge Baseline'!$B$1:$L$258,4,FALSE)),"",(VLOOKUP($B49,'E-1 Off Site Hedge Baseline'!$B$1:$L$258,4,FALSE))))</f>
        <v/>
      </c>
      <c r="E49" s="175" t="str">
        <f>IF(B49="","",IF(ISNA(VLOOKUP($B49,'E-1 Off Site Hedge Baseline'!$B$1:$L$257,5,FALSE)),"",(VLOOKUP($B49,'E-1 Off Site Hedge Baseline'!$B$1:$L$257,5,FALSE))))</f>
        <v/>
      </c>
      <c r="F49" s="175" t="str">
        <f>IF(B49="","",IF(ISNA(VLOOKUP($B49,'E-1 Off Site Hedge Baseline'!$B$1:$L$257,6,FALSE)),"",(VLOOKUP($B49,'E-1 Off Site Hedge Baseline'!$B$1:$L$257,6,FALSE))))</f>
        <v/>
      </c>
      <c r="G49" s="175" t="str">
        <f>IF(B49="","",IF(ISNA(VLOOKUP($B49,'E-1 Off Site Hedge Baseline'!$B$1:$L$257,7,FALSE)),"",(VLOOKUP($B49,'E-1 Off Site Hedge Baseline'!$B$1:$L$257,7,FALSE))))</f>
        <v/>
      </c>
      <c r="H49" s="175" t="str">
        <f>IF(B49="","",IF(ISNA(VLOOKUP($B49,'E-1 Off Site Hedge Baseline'!$B$1:$L$257,8,FALSE)),"",(VLOOKUP($B49,'E-1 Off Site Hedge Baseline'!$B$1:$L$257,8,FALSE))))</f>
        <v/>
      </c>
      <c r="I49" s="175" t="str">
        <f>IF(B49="","",IF(ISNA(VLOOKUP($B49,'E-1 Off Site Hedge Baseline'!$B$1:$L$257,10,FALSE)),"",(VLOOKUP($B49,'E-1 Off Site Hedge Baseline'!$B$1:$L$257,10,FALSE))))</f>
        <v/>
      </c>
      <c r="J49" s="175" t="str">
        <f>IF(B49="","",IF(ISNA(VLOOKUP($B49,'E-1 Off Site Hedge Baseline'!$B$1:$L$257,11,FALSE)),"",(VLOOKUP($B49,'E-1 Off Site Hedge Baseline'!$B$1:$L$257,11,FALSE))))</f>
        <v/>
      </c>
      <c r="K49" s="175" t="str">
        <f>IF(B49="","",IF(ISNA(VLOOKUP($B49,'E-1 Off Site Hedge Baseline'!$B$1:$U$257,113,FALSE)),"",(VLOOKUP($B49,'E-1 Off Site Hedge Baseline'!$B$1:$U$257,13,FALSE))))</f>
        <v/>
      </c>
      <c r="L49" s="179" t="str">
        <f>IF(B49="","",IF(ISNA(VLOOKUP($B49,'E-1 Off Site Hedge Baseline'!$B$1:$U$257,12,FALSE)),"",(VLOOKUP($B49,'E-1 Off Site Hedge Baseline'!$B$1:$U$257,12,FALSE))))</f>
        <v/>
      </c>
      <c r="M49" s="639" t="str">
        <f t="shared" si="8"/>
        <v/>
      </c>
      <c r="N49" s="171" t="str">
        <f>IFERROR(IF(B49="","",INDEX('G-6 Hedgerow Data'!$AN$3:$AZ$15,MATCH(C49,'G-6 Hedgerow Data'!$AM$3:$AM$15,0),MATCH(M49,'G-6 Hedgerow Data'!$AN$2:$AZ$2,0))),"")</f>
        <v/>
      </c>
      <c r="O49" s="172" t="str">
        <f t="shared" si="2"/>
        <v/>
      </c>
      <c r="P49" s="260" t="str">
        <f>IF(B49="","",VLOOKUP(B49,'E-1 Off Site Hedge Baseline'!$B$10:T294,16,FALSE))</f>
        <v/>
      </c>
      <c r="Q49" s="171" t="str">
        <f>IF(M49="","",VLOOKUP(M49,'G-6 Hedgerow Data'!$B$2:$AG$15,2,FALSE))</f>
        <v/>
      </c>
      <c r="R49" s="172" t="str">
        <f>IF(M49="","",VLOOKUP(M49,'G-6 Hedgerow Data'!$B$2:$AG$15,3,FALSE))</f>
        <v/>
      </c>
      <c r="S49" s="173"/>
      <c r="T49" s="172" t="str">
        <f>IFERROR(IF(AND(Q49="V.Low",OR(S49="Good",S49="Moderate")),"Error",VLOOKUP(S49,'G-1 All Habitats'!$Z$2:$AA$9,2,FALSE)),"")</f>
        <v/>
      </c>
      <c r="U49" s="173"/>
      <c r="V49" s="179" t="str">
        <f>IF(U49="","",IF(VLOOKUP(U49,'G-3 Multipliers'!$L$3:$N$6,2,FALSE)=0,"Spatial Data Missing",VLOOKUP(U49,'G-3 Multipliers'!$L$3:$N$6,2,FALSE)))</f>
        <v/>
      </c>
      <c r="W49" s="260" t="str">
        <f>IF(U49="","",IF(VLOOKUP(U49,'G-3 Multipliers'!$L$3:$N$6,3,FALSE)=0,"Spatial Data Missing",VLOOKUP(U49,'G-3 Multipliers'!$L$3:$N$6,3,FALSE)))</f>
        <v/>
      </c>
      <c r="X49" s="171" t="str">
        <f>IFERROR(IF(OR(LEFT(O49,5)="Error",LEFT(N49,5)="Error",T49="Error"),"Check Data",IF(F49&lt;R49,INDEX('G-6 Hedgerow Data'!$S$3:$AE$14,MATCH(C49,'G-6 Hedgerow Data'!$B$3:$B$14,0),MATCH(M49,'G-6 Hedgerow Data'!$S$2:$AE$2,0)),INDEX('G-6 Hedgerow Data'!$K$3:$Q$14,MATCH(M49,'G-6 Hedgerow Data'!$B$3:$B$14,0),MATCH(O49,'G-6 Hedgerow Data'!$K$2:$Q$2,0)))),"")</f>
        <v/>
      </c>
      <c r="Y49" s="261"/>
      <c r="Z49" s="261"/>
      <c r="AA49" s="179" t="str">
        <f t="shared" si="3"/>
        <v/>
      </c>
      <c r="AB49" s="262" t="str">
        <f t="shared" si="4"/>
        <v/>
      </c>
      <c r="AC49" s="263" t="str">
        <f t="shared" si="1"/>
        <v/>
      </c>
      <c r="AD49" s="239" t="str">
        <f>IF(M49="","",VLOOKUP(M49,'G-6 Hedgerow Data'!$B$3:$AG$15,31,FALSE))</f>
        <v/>
      </c>
      <c r="AE49" s="175" t="str">
        <f t="shared" si="5"/>
        <v/>
      </c>
      <c r="AF49" s="175" t="str">
        <f t="shared" si="6"/>
        <v/>
      </c>
      <c r="AG49" s="176" t="str">
        <f>IFERROR(IF(O49="","",VLOOKUP(AD49,'G-3 Multipliers'!$P$3:$Q$6,2,FALSE)),"")</f>
        <v/>
      </c>
      <c r="AH49" s="266"/>
      <c r="AI49" s="172" t="str">
        <f>IF(AH49="","",IF(VLOOKUP(AH49,'G-3 Multipliers'!$S$3:$T$6,2,FALSE)=0,"Spatial Data Missing",VLOOKUP(AH49,'G-3 Multipliers'!$S$3:$T$6,2,FALSE)))</f>
        <v/>
      </c>
      <c r="AJ49" s="265" t="str">
        <f t="shared" si="7"/>
        <v/>
      </c>
      <c r="AK49" s="180"/>
      <c r="AL49" s="181"/>
      <c r="AP49" s="35" t="str">
        <f>IFERROR(INDEX('G-6 Hedgerow Data'!$BJ$3:$BJ$15,MATCH(M49,'G-6 Hedgerow Data'!$B$3:$B$15,0)),"")</f>
        <v/>
      </c>
    </row>
    <row r="50" spans="2:42" ht="13.8" x14ac:dyDescent="0.25">
      <c r="B50" s="259" t="str">
        <f>'E-1 Off Site Hedge Baseline'!AK48</f>
        <v/>
      </c>
      <c r="C50" s="175" t="str">
        <f>IF(B50="","",IF(ISNA(VLOOKUP($B50,'E-1 Off Site Hedge Baseline'!$B$1:$L$257,3,FALSE)),"",(VLOOKUP($B50,'E-1 Off Site Hedge Baseline'!$B$1:$L$257,3,FALSE))))</f>
        <v/>
      </c>
      <c r="D50" s="175" t="str">
        <f>IF(B50="","",IF(ISNA(VLOOKUP($B50,'E-1 Off Site Hedge Baseline'!$B$1:$L$258,4,FALSE)),"",(VLOOKUP($B50,'E-1 Off Site Hedge Baseline'!$B$1:$L$258,4,FALSE))))</f>
        <v/>
      </c>
      <c r="E50" s="175" t="str">
        <f>IF(B50="","",IF(ISNA(VLOOKUP($B50,'E-1 Off Site Hedge Baseline'!$B$1:$L$257,5,FALSE)),"",(VLOOKUP($B50,'E-1 Off Site Hedge Baseline'!$B$1:$L$257,5,FALSE))))</f>
        <v/>
      </c>
      <c r="F50" s="175" t="str">
        <f>IF(B50="","",IF(ISNA(VLOOKUP($B50,'E-1 Off Site Hedge Baseline'!$B$1:$L$257,6,FALSE)),"",(VLOOKUP($B50,'E-1 Off Site Hedge Baseline'!$B$1:$L$257,6,FALSE))))</f>
        <v/>
      </c>
      <c r="G50" s="175" t="str">
        <f>IF(B50="","",IF(ISNA(VLOOKUP($B50,'E-1 Off Site Hedge Baseline'!$B$1:$L$257,7,FALSE)),"",(VLOOKUP($B50,'E-1 Off Site Hedge Baseline'!$B$1:$L$257,7,FALSE))))</f>
        <v/>
      </c>
      <c r="H50" s="175" t="str">
        <f>IF(B50="","",IF(ISNA(VLOOKUP($B50,'E-1 Off Site Hedge Baseline'!$B$1:$L$257,8,FALSE)),"",(VLOOKUP($B50,'E-1 Off Site Hedge Baseline'!$B$1:$L$257,8,FALSE))))</f>
        <v/>
      </c>
      <c r="I50" s="175" t="str">
        <f>IF(B50="","",IF(ISNA(VLOOKUP($B50,'E-1 Off Site Hedge Baseline'!$B$1:$L$257,10,FALSE)),"",(VLOOKUP($B50,'E-1 Off Site Hedge Baseline'!$B$1:$L$257,10,FALSE))))</f>
        <v/>
      </c>
      <c r="J50" s="175" t="str">
        <f>IF(B50="","",IF(ISNA(VLOOKUP($B50,'E-1 Off Site Hedge Baseline'!$B$1:$L$257,11,FALSE)),"",(VLOOKUP($B50,'E-1 Off Site Hedge Baseline'!$B$1:$L$257,11,FALSE))))</f>
        <v/>
      </c>
      <c r="K50" s="175" t="str">
        <f>IF(B50="","",IF(ISNA(VLOOKUP($B50,'E-1 Off Site Hedge Baseline'!$B$1:$U$257,113,FALSE)),"",(VLOOKUP($B50,'E-1 Off Site Hedge Baseline'!$B$1:$U$257,13,FALSE))))</f>
        <v/>
      </c>
      <c r="L50" s="179" t="str">
        <f>IF(B50="","",IF(ISNA(VLOOKUP($B50,'E-1 Off Site Hedge Baseline'!$B$1:$U$257,12,FALSE)),"",(VLOOKUP($B50,'E-1 Off Site Hedge Baseline'!$B$1:$U$257,12,FALSE))))</f>
        <v/>
      </c>
      <c r="M50" s="639" t="str">
        <f t="shared" si="8"/>
        <v/>
      </c>
      <c r="N50" s="171" t="str">
        <f>IFERROR(IF(B50="","",INDEX('G-6 Hedgerow Data'!$AN$3:$AZ$15,MATCH(C50,'G-6 Hedgerow Data'!$AM$3:$AM$15,0),MATCH(M50,'G-6 Hedgerow Data'!$AN$2:$AZ$2,0))),"")</f>
        <v/>
      </c>
      <c r="O50" s="172" t="str">
        <f t="shared" si="2"/>
        <v/>
      </c>
      <c r="P50" s="260" t="str">
        <f>IF(B50="","",VLOOKUP(B50,'E-1 Off Site Hedge Baseline'!$B$10:T295,16,FALSE))</f>
        <v/>
      </c>
      <c r="Q50" s="171" t="str">
        <f>IF(M50="","",VLOOKUP(M50,'G-6 Hedgerow Data'!$B$2:$AG$15,2,FALSE))</f>
        <v/>
      </c>
      <c r="R50" s="172" t="str">
        <f>IF(M50="","",VLOOKUP(M50,'G-6 Hedgerow Data'!$B$2:$AG$15,3,FALSE))</f>
        <v/>
      </c>
      <c r="S50" s="173"/>
      <c r="T50" s="172" t="str">
        <f>IFERROR(IF(AND(Q50="V.Low",OR(S50="Good",S50="Moderate")),"Error",VLOOKUP(S50,'G-1 All Habitats'!$Z$2:$AA$9,2,FALSE)),"")</f>
        <v/>
      </c>
      <c r="U50" s="173"/>
      <c r="V50" s="179" t="str">
        <f>IF(U50="","",IF(VLOOKUP(U50,'G-3 Multipliers'!$L$3:$N$6,2,FALSE)=0,"Spatial Data Missing",VLOOKUP(U50,'G-3 Multipliers'!$L$3:$N$6,2,FALSE)))</f>
        <v/>
      </c>
      <c r="W50" s="260" t="str">
        <f>IF(U50="","",IF(VLOOKUP(U50,'G-3 Multipliers'!$L$3:$N$6,3,FALSE)=0,"Spatial Data Missing",VLOOKUP(U50,'G-3 Multipliers'!$L$3:$N$6,3,FALSE)))</f>
        <v/>
      </c>
      <c r="X50" s="171" t="str">
        <f>IFERROR(IF(OR(LEFT(O50,5)="Error",LEFT(N50,5)="Error",T50="Error"),"Check Data",IF(F50&lt;R50,INDEX('G-6 Hedgerow Data'!$S$3:$AE$14,MATCH(C50,'G-6 Hedgerow Data'!$B$3:$B$14,0),MATCH(M50,'G-6 Hedgerow Data'!$S$2:$AE$2,0)),INDEX('G-6 Hedgerow Data'!$K$3:$Q$14,MATCH(M50,'G-6 Hedgerow Data'!$B$3:$B$14,0),MATCH(O50,'G-6 Hedgerow Data'!$K$2:$Q$2,0)))),"")</f>
        <v/>
      </c>
      <c r="Y50" s="261"/>
      <c r="Z50" s="261"/>
      <c r="AA50" s="179" t="str">
        <f t="shared" si="3"/>
        <v/>
      </c>
      <c r="AB50" s="262" t="str">
        <f t="shared" si="4"/>
        <v/>
      </c>
      <c r="AC50" s="263" t="str">
        <f t="shared" si="1"/>
        <v/>
      </c>
      <c r="AD50" s="239" t="str">
        <f>IF(M50="","",VLOOKUP(M50,'G-6 Hedgerow Data'!$B$3:$AG$15,31,FALSE))</f>
        <v/>
      </c>
      <c r="AE50" s="175" t="str">
        <f t="shared" si="5"/>
        <v/>
      </c>
      <c r="AF50" s="175" t="str">
        <f t="shared" si="6"/>
        <v/>
      </c>
      <c r="AG50" s="176" t="str">
        <f>IFERROR(IF(O50="","",VLOOKUP(AD50,'G-3 Multipliers'!$P$3:$Q$6,2,FALSE)),"")</f>
        <v/>
      </c>
      <c r="AH50" s="266"/>
      <c r="AI50" s="172" t="str">
        <f>IF(AH50="","",IF(VLOOKUP(AH50,'G-3 Multipliers'!$S$3:$T$6,2,FALSE)=0,"Spatial Data Missing",VLOOKUP(AH50,'G-3 Multipliers'!$S$3:$T$6,2,FALSE)))</f>
        <v/>
      </c>
      <c r="AJ50" s="265" t="str">
        <f t="shared" si="7"/>
        <v/>
      </c>
      <c r="AK50" s="180"/>
      <c r="AL50" s="181"/>
      <c r="AP50" s="35" t="str">
        <f>IFERROR(INDEX('G-6 Hedgerow Data'!$BJ$3:$BJ$15,MATCH(M50,'G-6 Hedgerow Data'!$B$3:$B$15,0)),"")</f>
        <v/>
      </c>
    </row>
    <row r="51" spans="2:42" ht="13.8" x14ac:dyDescent="0.25">
      <c r="B51" s="259" t="str">
        <f>'E-1 Off Site Hedge Baseline'!AK49</f>
        <v/>
      </c>
      <c r="C51" s="175" t="str">
        <f>IF(B51="","",IF(ISNA(VLOOKUP($B51,'E-1 Off Site Hedge Baseline'!$B$1:$L$257,3,FALSE)),"",(VLOOKUP($B51,'E-1 Off Site Hedge Baseline'!$B$1:$L$257,3,FALSE))))</f>
        <v/>
      </c>
      <c r="D51" s="175" t="str">
        <f>IF(B51="","",IF(ISNA(VLOOKUP($B51,'E-1 Off Site Hedge Baseline'!$B$1:$L$258,4,FALSE)),"",(VLOOKUP($B51,'E-1 Off Site Hedge Baseline'!$B$1:$L$258,4,FALSE))))</f>
        <v/>
      </c>
      <c r="E51" s="175" t="str">
        <f>IF(B51="","",IF(ISNA(VLOOKUP($B51,'E-1 Off Site Hedge Baseline'!$B$1:$L$257,5,FALSE)),"",(VLOOKUP($B51,'E-1 Off Site Hedge Baseline'!$B$1:$L$257,5,FALSE))))</f>
        <v/>
      </c>
      <c r="F51" s="175" t="str">
        <f>IF(B51="","",IF(ISNA(VLOOKUP($B51,'E-1 Off Site Hedge Baseline'!$B$1:$L$257,6,FALSE)),"",(VLOOKUP($B51,'E-1 Off Site Hedge Baseline'!$B$1:$L$257,6,FALSE))))</f>
        <v/>
      </c>
      <c r="G51" s="175" t="str">
        <f>IF(B51="","",IF(ISNA(VLOOKUP($B51,'E-1 Off Site Hedge Baseline'!$B$1:$L$257,7,FALSE)),"",(VLOOKUP($B51,'E-1 Off Site Hedge Baseline'!$B$1:$L$257,7,FALSE))))</f>
        <v/>
      </c>
      <c r="H51" s="175" t="str">
        <f>IF(B51="","",IF(ISNA(VLOOKUP($B51,'E-1 Off Site Hedge Baseline'!$B$1:$L$257,8,FALSE)),"",(VLOOKUP($B51,'E-1 Off Site Hedge Baseline'!$B$1:$L$257,8,FALSE))))</f>
        <v/>
      </c>
      <c r="I51" s="175" t="str">
        <f>IF(B51="","",IF(ISNA(VLOOKUP($B51,'E-1 Off Site Hedge Baseline'!$B$1:$L$257,10,FALSE)),"",(VLOOKUP($B51,'E-1 Off Site Hedge Baseline'!$B$1:$L$257,10,FALSE))))</f>
        <v/>
      </c>
      <c r="J51" s="175" t="str">
        <f>IF(B51="","",IF(ISNA(VLOOKUP($B51,'E-1 Off Site Hedge Baseline'!$B$1:$L$257,11,FALSE)),"",(VLOOKUP($B51,'E-1 Off Site Hedge Baseline'!$B$1:$L$257,11,FALSE))))</f>
        <v/>
      </c>
      <c r="K51" s="175" t="str">
        <f>IF(B51="","",IF(ISNA(VLOOKUP($B51,'E-1 Off Site Hedge Baseline'!$B$1:$U$257,113,FALSE)),"",(VLOOKUP($B51,'E-1 Off Site Hedge Baseline'!$B$1:$U$257,13,FALSE))))</f>
        <v/>
      </c>
      <c r="L51" s="179" t="str">
        <f>IF(B51="","",IF(ISNA(VLOOKUP($B51,'E-1 Off Site Hedge Baseline'!$B$1:$U$257,12,FALSE)),"",(VLOOKUP($B51,'E-1 Off Site Hedge Baseline'!$B$1:$U$257,12,FALSE))))</f>
        <v/>
      </c>
      <c r="M51" s="639" t="str">
        <f t="shared" si="8"/>
        <v/>
      </c>
      <c r="N51" s="171" t="str">
        <f>IFERROR(IF(B51="","",INDEX('G-6 Hedgerow Data'!$AN$3:$AZ$15,MATCH(C51,'G-6 Hedgerow Data'!$AM$3:$AM$15,0),MATCH(M51,'G-6 Hedgerow Data'!$AN$2:$AZ$2,0))),"")</f>
        <v/>
      </c>
      <c r="O51" s="172" t="str">
        <f t="shared" si="2"/>
        <v/>
      </c>
      <c r="P51" s="260" t="str">
        <f>IF(B51="","",VLOOKUP(B51,'E-1 Off Site Hedge Baseline'!$B$10:T296,16,FALSE))</f>
        <v/>
      </c>
      <c r="Q51" s="171" t="str">
        <f>IF(M51="","",VLOOKUP(M51,'G-6 Hedgerow Data'!$B$2:$AG$15,2,FALSE))</f>
        <v/>
      </c>
      <c r="R51" s="172" t="str">
        <f>IF(M51="","",VLOOKUP(M51,'G-6 Hedgerow Data'!$B$2:$AG$15,3,FALSE))</f>
        <v/>
      </c>
      <c r="S51" s="173"/>
      <c r="T51" s="172" t="str">
        <f>IFERROR(IF(AND(Q51="V.Low",OR(S51="Good",S51="Moderate")),"Error",VLOOKUP(S51,'G-1 All Habitats'!$Z$2:$AA$9,2,FALSE)),"")</f>
        <v/>
      </c>
      <c r="U51" s="173"/>
      <c r="V51" s="179" t="str">
        <f>IF(U51="","",IF(VLOOKUP(U51,'G-3 Multipliers'!$L$3:$N$6,2,FALSE)=0,"Spatial Data Missing",VLOOKUP(U51,'G-3 Multipliers'!$L$3:$N$6,2,FALSE)))</f>
        <v/>
      </c>
      <c r="W51" s="260" t="str">
        <f>IF(U51="","",IF(VLOOKUP(U51,'G-3 Multipliers'!$L$3:$N$6,3,FALSE)=0,"Spatial Data Missing",VLOOKUP(U51,'G-3 Multipliers'!$L$3:$N$6,3,FALSE)))</f>
        <v/>
      </c>
      <c r="X51" s="171" t="str">
        <f>IFERROR(IF(OR(LEFT(O51,5)="Error",LEFT(N51,5)="Error",T51="Error"),"Check Data",IF(F51&lt;R51,INDEX('G-6 Hedgerow Data'!$S$3:$AE$14,MATCH(C51,'G-6 Hedgerow Data'!$B$3:$B$14,0),MATCH(M51,'G-6 Hedgerow Data'!$S$2:$AE$2,0)),INDEX('G-6 Hedgerow Data'!$K$3:$Q$14,MATCH(M51,'G-6 Hedgerow Data'!$B$3:$B$14,0),MATCH(O51,'G-6 Hedgerow Data'!$K$2:$Q$2,0)))),"")</f>
        <v/>
      </c>
      <c r="Y51" s="261"/>
      <c r="Z51" s="261"/>
      <c r="AA51" s="179" t="str">
        <f t="shared" si="3"/>
        <v/>
      </c>
      <c r="AB51" s="262" t="str">
        <f t="shared" si="4"/>
        <v/>
      </c>
      <c r="AC51" s="263" t="str">
        <f t="shared" si="1"/>
        <v/>
      </c>
      <c r="AD51" s="239" t="str">
        <f>IF(M51="","",VLOOKUP(M51,'G-6 Hedgerow Data'!$B$3:$AG$15,31,FALSE))</f>
        <v/>
      </c>
      <c r="AE51" s="175" t="str">
        <f t="shared" si="5"/>
        <v/>
      </c>
      <c r="AF51" s="175" t="str">
        <f t="shared" si="6"/>
        <v/>
      </c>
      <c r="AG51" s="176" t="str">
        <f>IFERROR(IF(O51="","",VLOOKUP(AD51,'G-3 Multipliers'!$P$3:$Q$6,2,FALSE)),"")</f>
        <v/>
      </c>
      <c r="AH51" s="266"/>
      <c r="AI51" s="172" t="str">
        <f>IF(AH51="","",IF(VLOOKUP(AH51,'G-3 Multipliers'!$S$3:$T$6,2,FALSE)=0,"Spatial Data Missing",VLOOKUP(AH51,'G-3 Multipliers'!$S$3:$T$6,2,FALSE)))</f>
        <v/>
      </c>
      <c r="AJ51" s="265" t="str">
        <f t="shared" si="7"/>
        <v/>
      </c>
      <c r="AK51" s="180"/>
      <c r="AL51" s="181"/>
      <c r="AP51" s="35" t="str">
        <f>IFERROR(INDEX('G-6 Hedgerow Data'!$BJ$3:$BJ$15,MATCH(M51,'G-6 Hedgerow Data'!$B$3:$B$15,0)),"")</f>
        <v/>
      </c>
    </row>
    <row r="52" spans="2:42" ht="13.8" x14ac:dyDescent="0.25">
      <c r="B52" s="259" t="str">
        <f>'E-1 Off Site Hedge Baseline'!AK50</f>
        <v/>
      </c>
      <c r="C52" s="175" t="str">
        <f>IF(B52="","",IF(ISNA(VLOOKUP($B52,'E-1 Off Site Hedge Baseline'!$B$1:$L$257,3,FALSE)),"",(VLOOKUP($B52,'E-1 Off Site Hedge Baseline'!$B$1:$L$257,3,FALSE))))</f>
        <v/>
      </c>
      <c r="D52" s="175" t="str">
        <f>IF(B52="","",IF(ISNA(VLOOKUP($B52,'E-1 Off Site Hedge Baseline'!$B$1:$L$258,4,FALSE)),"",(VLOOKUP($B52,'E-1 Off Site Hedge Baseline'!$B$1:$L$258,4,FALSE))))</f>
        <v/>
      </c>
      <c r="E52" s="175" t="str">
        <f>IF(B52="","",IF(ISNA(VLOOKUP($B52,'E-1 Off Site Hedge Baseline'!$B$1:$L$257,5,FALSE)),"",(VLOOKUP($B52,'E-1 Off Site Hedge Baseline'!$B$1:$L$257,5,FALSE))))</f>
        <v/>
      </c>
      <c r="F52" s="175" t="str">
        <f>IF(B52="","",IF(ISNA(VLOOKUP($B52,'E-1 Off Site Hedge Baseline'!$B$1:$L$257,6,FALSE)),"",(VLOOKUP($B52,'E-1 Off Site Hedge Baseline'!$B$1:$L$257,6,FALSE))))</f>
        <v/>
      </c>
      <c r="G52" s="175" t="str">
        <f>IF(B52="","",IF(ISNA(VLOOKUP($B52,'E-1 Off Site Hedge Baseline'!$B$1:$L$257,7,FALSE)),"",(VLOOKUP($B52,'E-1 Off Site Hedge Baseline'!$B$1:$L$257,7,FALSE))))</f>
        <v/>
      </c>
      <c r="H52" s="175" t="str">
        <f>IF(B52="","",IF(ISNA(VLOOKUP($B52,'E-1 Off Site Hedge Baseline'!$B$1:$L$257,8,FALSE)),"",(VLOOKUP($B52,'E-1 Off Site Hedge Baseline'!$B$1:$L$257,8,FALSE))))</f>
        <v/>
      </c>
      <c r="I52" s="175" t="str">
        <f>IF(B52="","",IF(ISNA(VLOOKUP($B52,'E-1 Off Site Hedge Baseline'!$B$1:$L$257,10,FALSE)),"",(VLOOKUP($B52,'E-1 Off Site Hedge Baseline'!$B$1:$L$257,10,FALSE))))</f>
        <v/>
      </c>
      <c r="J52" s="175" t="str">
        <f>IF(B52="","",IF(ISNA(VLOOKUP($B52,'E-1 Off Site Hedge Baseline'!$B$1:$L$257,11,FALSE)),"",(VLOOKUP($B52,'E-1 Off Site Hedge Baseline'!$B$1:$L$257,11,FALSE))))</f>
        <v/>
      </c>
      <c r="K52" s="175" t="str">
        <f>IF(B52="","",IF(ISNA(VLOOKUP($B52,'E-1 Off Site Hedge Baseline'!$B$1:$U$257,113,FALSE)),"",(VLOOKUP($B52,'E-1 Off Site Hedge Baseline'!$B$1:$U$257,13,FALSE))))</f>
        <v/>
      </c>
      <c r="L52" s="179" t="str">
        <f>IF(B52="","",IF(ISNA(VLOOKUP($B52,'E-1 Off Site Hedge Baseline'!$B$1:$U$257,12,FALSE)),"",(VLOOKUP($B52,'E-1 Off Site Hedge Baseline'!$B$1:$U$257,12,FALSE))))</f>
        <v/>
      </c>
      <c r="M52" s="639" t="str">
        <f t="shared" si="8"/>
        <v/>
      </c>
      <c r="N52" s="171" t="str">
        <f>IFERROR(IF(B52="","",INDEX('G-6 Hedgerow Data'!$AN$3:$AZ$15,MATCH(C52,'G-6 Hedgerow Data'!$AM$3:$AM$15,0),MATCH(M52,'G-6 Hedgerow Data'!$AN$2:$AZ$2,0))),"")</f>
        <v/>
      </c>
      <c r="O52" s="172" t="str">
        <f t="shared" si="2"/>
        <v/>
      </c>
      <c r="P52" s="260" t="str">
        <f>IF(B52="","",VLOOKUP(B52,'E-1 Off Site Hedge Baseline'!$B$10:T297,16,FALSE))</f>
        <v/>
      </c>
      <c r="Q52" s="171" t="str">
        <f>IF(M52="","",VLOOKUP(M52,'G-6 Hedgerow Data'!$B$2:$AG$15,2,FALSE))</f>
        <v/>
      </c>
      <c r="R52" s="172" t="str">
        <f>IF(M52="","",VLOOKUP(M52,'G-6 Hedgerow Data'!$B$2:$AG$15,3,FALSE))</f>
        <v/>
      </c>
      <c r="S52" s="173"/>
      <c r="T52" s="172" t="str">
        <f>IFERROR(IF(AND(Q52="V.Low",OR(S52="Good",S52="Moderate")),"Error",VLOOKUP(S52,'G-1 All Habitats'!$Z$2:$AA$9,2,FALSE)),"")</f>
        <v/>
      </c>
      <c r="U52" s="173"/>
      <c r="V52" s="179" t="str">
        <f>IF(U52="","",IF(VLOOKUP(U52,'G-3 Multipliers'!$L$3:$N$6,2,FALSE)=0,"Spatial Data Missing",VLOOKUP(U52,'G-3 Multipliers'!$L$3:$N$6,2,FALSE)))</f>
        <v/>
      </c>
      <c r="W52" s="260" t="str">
        <f>IF(U52="","",IF(VLOOKUP(U52,'G-3 Multipliers'!$L$3:$N$6,3,FALSE)=0,"Spatial Data Missing",VLOOKUP(U52,'G-3 Multipliers'!$L$3:$N$6,3,FALSE)))</f>
        <v/>
      </c>
      <c r="X52" s="171" t="str">
        <f>IFERROR(IF(OR(LEFT(O52,5)="Error",LEFT(N52,5)="Error",T52="Error"),"Check Data",IF(F52&lt;R52,INDEX('G-6 Hedgerow Data'!$S$3:$AE$14,MATCH(C52,'G-6 Hedgerow Data'!$B$3:$B$14,0),MATCH(M52,'G-6 Hedgerow Data'!$S$2:$AE$2,0)),INDEX('G-6 Hedgerow Data'!$K$3:$Q$14,MATCH(M52,'G-6 Hedgerow Data'!$B$3:$B$14,0),MATCH(O52,'G-6 Hedgerow Data'!$K$2:$Q$2,0)))),"")</f>
        <v/>
      </c>
      <c r="Y52" s="261"/>
      <c r="Z52" s="261"/>
      <c r="AA52" s="179" t="str">
        <f t="shared" si="3"/>
        <v/>
      </c>
      <c r="AB52" s="262" t="str">
        <f t="shared" si="4"/>
        <v/>
      </c>
      <c r="AC52" s="263" t="str">
        <f t="shared" si="1"/>
        <v/>
      </c>
      <c r="AD52" s="239" t="str">
        <f>IF(M52="","",VLOOKUP(M52,'G-6 Hedgerow Data'!$B$3:$AG$15,31,FALSE))</f>
        <v/>
      </c>
      <c r="AE52" s="175" t="str">
        <f t="shared" si="5"/>
        <v/>
      </c>
      <c r="AF52" s="175" t="str">
        <f t="shared" si="6"/>
        <v/>
      </c>
      <c r="AG52" s="176" t="str">
        <f>IFERROR(IF(O52="","",VLOOKUP(AD52,'G-3 Multipliers'!$P$3:$Q$6,2,FALSE)),"")</f>
        <v/>
      </c>
      <c r="AH52" s="266"/>
      <c r="AI52" s="172" t="str">
        <f>IF(AH52="","",IF(VLOOKUP(AH52,'G-3 Multipliers'!$S$3:$T$6,2,FALSE)=0,"Spatial Data Missing",VLOOKUP(AH52,'G-3 Multipliers'!$S$3:$T$6,2,FALSE)))</f>
        <v/>
      </c>
      <c r="AJ52" s="265" t="str">
        <f t="shared" si="7"/>
        <v/>
      </c>
      <c r="AK52" s="180"/>
      <c r="AL52" s="181"/>
      <c r="AP52" s="35" t="str">
        <f>IFERROR(INDEX('G-6 Hedgerow Data'!$BJ$3:$BJ$15,MATCH(M52,'G-6 Hedgerow Data'!$B$3:$B$15,0)),"")</f>
        <v/>
      </c>
    </row>
    <row r="53" spans="2:42" ht="13.8" x14ac:dyDescent="0.25">
      <c r="B53" s="259" t="str">
        <f>'E-1 Off Site Hedge Baseline'!AK51</f>
        <v/>
      </c>
      <c r="C53" s="175" t="str">
        <f>IF(B53="","",IF(ISNA(VLOOKUP($B53,'E-1 Off Site Hedge Baseline'!$B$1:$L$257,3,FALSE)),"",(VLOOKUP($B53,'E-1 Off Site Hedge Baseline'!$B$1:$L$257,3,FALSE))))</f>
        <v/>
      </c>
      <c r="D53" s="175" t="str">
        <f>IF(B53="","",IF(ISNA(VLOOKUP($B53,'E-1 Off Site Hedge Baseline'!$B$1:$L$258,4,FALSE)),"",(VLOOKUP($B53,'E-1 Off Site Hedge Baseline'!$B$1:$L$258,4,FALSE))))</f>
        <v/>
      </c>
      <c r="E53" s="175" t="str">
        <f>IF(B53="","",IF(ISNA(VLOOKUP($B53,'E-1 Off Site Hedge Baseline'!$B$1:$L$257,5,FALSE)),"",(VLOOKUP($B53,'E-1 Off Site Hedge Baseline'!$B$1:$L$257,5,FALSE))))</f>
        <v/>
      </c>
      <c r="F53" s="175" t="str">
        <f>IF(B53="","",IF(ISNA(VLOOKUP($B53,'E-1 Off Site Hedge Baseline'!$B$1:$L$257,6,FALSE)),"",(VLOOKUP($B53,'E-1 Off Site Hedge Baseline'!$B$1:$L$257,6,FALSE))))</f>
        <v/>
      </c>
      <c r="G53" s="175" t="str">
        <f>IF(B53="","",IF(ISNA(VLOOKUP($B53,'E-1 Off Site Hedge Baseline'!$B$1:$L$257,7,FALSE)),"",(VLOOKUP($B53,'E-1 Off Site Hedge Baseline'!$B$1:$L$257,7,FALSE))))</f>
        <v/>
      </c>
      <c r="H53" s="175" t="str">
        <f>IF(B53="","",IF(ISNA(VLOOKUP($B53,'E-1 Off Site Hedge Baseline'!$B$1:$L$257,8,FALSE)),"",(VLOOKUP($B53,'E-1 Off Site Hedge Baseline'!$B$1:$L$257,8,FALSE))))</f>
        <v/>
      </c>
      <c r="I53" s="175" t="str">
        <f>IF(B53="","",IF(ISNA(VLOOKUP($B53,'E-1 Off Site Hedge Baseline'!$B$1:$L$257,10,FALSE)),"",(VLOOKUP($B53,'E-1 Off Site Hedge Baseline'!$B$1:$L$257,10,FALSE))))</f>
        <v/>
      </c>
      <c r="J53" s="175" t="str">
        <f>IF(B53="","",IF(ISNA(VLOOKUP($B53,'E-1 Off Site Hedge Baseline'!$B$1:$L$257,11,FALSE)),"",(VLOOKUP($B53,'E-1 Off Site Hedge Baseline'!$B$1:$L$257,11,FALSE))))</f>
        <v/>
      </c>
      <c r="K53" s="175" t="str">
        <f>IF(B53="","",IF(ISNA(VLOOKUP($B53,'E-1 Off Site Hedge Baseline'!$B$1:$U$257,113,FALSE)),"",(VLOOKUP($B53,'E-1 Off Site Hedge Baseline'!$B$1:$U$257,13,FALSE))))</f>
        <v/>
      </c>
      <c r="L53" s="179" t="str">
        <f>IF(B53="","",IF(ISNA(VLOOKUP($B53,'E-1 Off Site Hedge Baseline'!$B$1:$U$257,12,FALSE)),"",(VLOOKUP($B53,'E-1 Off Site Hedge Baseline'!$B$1:$U$257,12,FALSE))))</f>
        <v/>
      </c>
      <c r="M53" s="639" t="str">
        <f t="shared" si="8"/>
        <v/>
      </c>
      <c r="N53" s="171" t="str">
        <f>IFERROR(IF(B53="","",INDEX('G-6 Hedgerow Data'!$AN$3:$AZ$15,MATCH(C53,'G-6 Hedgerow Data'!$AM$3:$AM$15,0),MATCH(M53,'G-6 Hedgerow Data'!$AN$2:$AZ$2,0))),"")</f>
        <v/>
      </c>
      <c r="O53" s="172" t="str">
        <f t="shared" si="2"/>
        <v/>
      </c>
      <c r="P53" s="260" t="str">
        <f>IF(B53="","",VLOOKUP(B53,'E-1 Off Site Hedge Baseline'!$B$10:T298,16,FALSE))</f>
        <v/>
      </c>
      <c r="Q53" s="171" t="str">
        <f>IF(M53="","",VLOOKUP(M53,'G-6 Hedgerow Data'!$B$2:$AG$15,2,FALSE))</f>
        <v/>
      </c>
      <c r="R53" s="172" t="str">
        <f>IF(M53="","",VLOOKUP(M53,'G-6 Hedgerow Data'!$B$2:$AG$15,3,FALSE))</f>
        <v/>
      </c>
      <c r="S53" s="173"/>
      <c r="T53" s="172" t="str">
        <f>IFERROR(IF(AND(Q53="V.Low",OR(S53="Good",S53="Moderate")),"Error",VLOOKUP(S53,'G-1 All Habitats'!$Z$2:$AA$9,2,FALSE)),"")</f>
        <v/>
      </c>
      <c r="U53" s="173"/>
      <c r="V53" s="179" t="str">
        <f>IF(U53="","",IF(VLOOKUP(U53,'G-3 Multipliers'!$L$3:$N$6,2,FALSE)=0,"Spatial Data Missing",VLOOKUP(U53,'G-3 Multipliers'!$L$3:$N$6,2,FALSE)))</f>
        <v/>
      </c>
      <c r="W53" s="260" t="str">
        <f>IF(U53="","",IF(VLOOKUP(U53,'G-3 Multipliers'!$L$3:$N$6,3,FALSE)=0,"Spatial Data Missing",VLOOKUP(U53,'G-3 Multipliers'!$L$3:$N$6,3,FALSE)))</f>
        <v/>
      </c>
      <c r="X53" s="171" t="str">
        <f>IFERROR(IF(OR(LEFT(O53,5)="Error",LEFT(N53,5)="Error",T53="Error"),"Check Data",IF(F53&lt;R53,INDEX('G-6 Hedgerow Data'!$S$3:$AE$14,MATCH(C53,'G-6 Hedgerow Data'!$B$3:$B$14,0),MATCH(M53,'G-6 Hedgerow Data'!$S$2:$AE$2,0)),INDEX('G-6 Hedgerow Data'!$K$3:$Q$14,MATCH(M53,'G-6 Hedgerow Data'!$B$3:$B$14,0),MATCH(O53,'G-6 Hedgerow Data'!$K$2:$Q$2,0)))),"")</f>
        <v/>
      </c>
      <c r="Y53" s="261"/>
      <c r="Z53" s="261"/>
      <c r="AA53" s="179" t="str">
        <f t="shared" si="3"/>
        <v/>
      </c>
      <c r="AB53" s="262" t="str">
        <f t="shared" si="4"/>
        <v/>
      </c>
      <c r="AC53" s="263" t="str">
        <f t="shared" si="1"/>
        <v/>
      </c>
      <c r="AD53" s="239" t="str">
        <f>IF(M53="","",VLOOKUP(M53,'G-6 Hedgerow Data'!$B$3:$AG$15,31,FALSE))</f>
        <v/>
      </c>
      <c r="AE53" s="175" t="str">
        <f t="shared" si="5"/>
        <v/>
      </c>
      <c r="AF53" s="175" t="str">
        <f t="shared" si="6"/>
        <v/>
      </c>
      <c r="AG53" s="176" t="str">
        <f>IFERROR(IF(O53="","",VLOOKUP(AD53,'G-3 Multipliers'!$P$3:$Q$6,2,FALSE)),"")</f>
        <v/>
      </c>
      <c r="AH53" s="266"/>
      <c r="AI53" s="172" t="str">
        <f>IF(AH53="","",IF(VLOOKUP(AH53,'G-3 Multipliers'!$S$3:$T$6,2,FALSE)=0,"Spatial Data Missing",VLOOKUP(AH53,'G-3 Multipliers'!$S$3:$T$6,2,FALSE)))</f>
        <v/>
      </c>
      <c r="AJ53" s="265" t="str">
        <f t="shared" si="7"/>
        <v/>
      </c>
      <c r="AK53" s="180"/>
      <c r="AL53" s="181"/>
      <c r="AP53" s="35" t="str">
        <f>IFERROR(INDEX('G-6 Hedgerow Data'!$BJ$3:$BJ$15,MATCH(M53,'G-6 Hedgerow Data'!$B$3:$B$15,0)),"")</f>
        <v/>
      </c>
    </row>
    <row r="54" spans="2:42" ht="13.8" x14ac:dyDescent="0.25">
      <c r="B54" s="259" t="str">
        <f>'E-1 Off Site Hedge Baseline'!AK52</f>
        <v/>
      </c>
      <c r="C54" s="175" t="str">
        <f>IF(B54="","",IF(ISNA(VLOOKUP($B54,'E-1 Off Site Hedge Baseline'!$B$1:$L$257,3,FALSE)),"",(VLOOKUP($B54,'E-1 Off Site Hedge Baseline'!$B$1:$L$257,3,FALSE))))</f>
        <v/>
      </c>
      <c r="D54" s="175" t="str">
        <f>IF(B54="","",IF(ISNA(VLOOKUP($B54,'E-1 Off Site Hedge Baseline'!$B$1:$L$258,4,FALSE)),"",(VLOOKUP($B54,'E-1 Off Site Hedge Baseline'!$B$1:$L$258,4,FALSE))))</f>
        <v/>
      </c>
      <c r="E54" s="175" t="str">
        <f>IF(B54="","",IF(ISNA(VLOOKUP($B54,'E-1 Off Site Hedge Baseline'!$B$1:$L$257,5,FALSE)),"",(VLOOKUP($B54,'E-1 Off Site Hedge Baseline'!$B$1:$L$257,5,FALSE))))</f>
        <v/>
      </c>
      <c r="F54" s="175" t="str">
        <f>IF(B54="","",IF(ISNA(VLOOKUP($B54,'E-1 Off Site Hedge Baseline'!$B$1:$L$257,6,FALSE)),"",(VLOOKUP($B54,'E-1 Off Site Hedge Baseline'!$B$1:$L$257,6,FALSE))))</f>
        <v/>
      </c>
      <c r="G54" s="175" t="str">
        <f>IF(B54="","",IF(ISNA(VLOOKUP($B54,'E-1 Off Site Hedge Baseline'!$B$1:$L$257,7,FALSE)),"",(VLOOKUP($B54,'E-1 Off Site Hedge Baseline'!$B$1:$L$257,7,FALSE))))</f>
        <v/>
      </c>
      <c r="H54" s="175" t="str">
        <f>IF(B54="","",IF(ISNA(VLOOKUP($B54,'E-1 Off Site Hedge Baseline'!$B$1:$L$257,8,FALSE)),"",(VLOOKUP($B54,'E-1 Off Site Hedge Baseline'!$B$1:$L$257,8,FALSE))))</f>
        <v/>
      </c>
      <c r="I54" s="175" t="str">
        <f>IF(B54="","",IF(ISNA(VLOOKUP($B54,'E-1 Off Site Hedge Baseline'!$B$1:$L$257,10,FALSE)),"",(VLOOKUP($B54,'E-1 Off Site Hedge Baseline'!$B$1:$L$257,10,FALSE))))</f>
        <v/>
      </c>
      <c r="J54" s="175" t="str">
        <f>IF(B54="","",IF(ISNA(VLOOKUP($B54,'E-1 Off Site Hedge Baseline'!$B$1:$L$257,11,FALSE)),"",(VLOOKUP($B54,'E-1 Off Site Hedge Baseline'!$B$1:$L$257,11,FALSE))))</f>
        <v/>
      </c>
      <c r="K54" s="175" t="str">
        <f>IF(B54="","",IF(ISNA(VLOOKUP($B54,'E-1 Off Site Hedge Baseline'!$B$1:$U$257,113,FALSE)),"",(VLOOKUP($B54,'E-1 Off Site Hedge Baseline'!$B$1:$U$257,13,FALSE))))</f>
        <v/>
      </c>
      <c r="L54" s="179" t="str">
        <f>IF(B54="","",IF(ISNA(VLOOKUP($B54,'E-1 Off Site Hedge Baseline'!$B$1:$U$257,12,FALSE)),"",(VLOOKUP($B54,'E-1 Off Site Hedge Baseline'!$B$1:$U$257,12,FALSE))))</f>
        <v/>
      </c>
      <c r="M54" s="639" t="str">
        <f t="shared" si="8"/>
        <v/>
      </c>
      <c r="N54" s="171" t="str">
        <f>IFERROR(IF(B54="","",INDEX('G-6 Hedgerow Data'!$AN$3:$AZ$15,MATCH(C54,'G-6 Hedgerow Data'!$AM$3:$AM$15,0),MATCH(M54,'G-6 Hedgerow Data'!$AN$2:$AZ$2,0))),"")</f>
        <v/>
      </c>
      <c r="O54" s="172" t="str">
        <f t="shared" si="2"/>
        <v/>
      </c>
      <c r="P54" s="260" t="str">
        <f>IF(B54="","",VLOOKUP(B54,'E-1 Off Site Hedge Baseline'!$B$10:T299,16,FALSE))</f>
        <v/>
      </c>
      <c r="Q54" s="171" t="str">
        <f>IF(M54="","",VLOOKUP(M54,'G-6 Hedgerow Data'!$B$2:$AG$15,2,FALSE))</f>
        <v/>
      </c>
      <c r="R54" s="172" t="str">
        <f>IF(M54="","",VLOOKUP(M54,'G-6 Hedgerow Data'!$B$2:$AG$15,3,FALSE))</f>
        <v/>
      </c>
      <c r="S54" s="173"/>
      <c r="T54" s="172" t="str">
        <f>IFERROR(IF(AND(Q54="V.Low",OR(S54="Good",S54="Moderate")),"Error",VLOOKUP(S54,'G-1 All Habitats'!$Z$2:$AA$9,2,FALSE)),"")</f>
        <v/>
      </c>
      <c r="U54" s="173"/>
      <c r="V54" s="179" t="str">
        <f>IF(U54="","",IF(VLOOKUP(U54,'G-3 Multipliers'!$L$3:$N$6,2,FALSE)=0,"Spatial Data Missing",VLOOKUP(U54,'G-3 Multipliers'!$L$3:$N$6,2,FALSE)))</f>
        <v/>
      </c>
      <c r="W54" s="260" t="str">
        <f>IF(U54="","",IF(VLOOKUP(U54,'G-3 Multipliers'!$L$3:$N$6,3,FALSE)=0,"Spatial Data Missing",VLOOKUP(U54,'G-3 Multipliers'!$L$3:$N$6,3,FALSE)))</f>
        <v/>
      </c>
      <c r="X54" s="171" t="str">
        <f>IFERROR(IF(OR(LEFT(O54,5)="Error",LEFT(N54,5)="Error",T54="Error"),"Check Data",IF(F54&lt;R54,INDEX('G-6 Hedgerow Data'!$S$3:$AE$14,MATCH(C54,'G-6 Hedgerow Data'!$B$3:$B$14,0),MATCH(M54,'G-6 Hedgerow Data'!$S$2:$AE$2,0)),INDEX('G-6 Hedgerow Data'!$K$3:$Q$14,MATCH(M54,'G-6 Hedgerow Data'!$B$3:$B$14,0),MATCH(O54,'G-6 Hedgerow Data'!$K$2:$Q$2,0)))),"")</f>
        <v/>
      </c>
      <c r="Y54" s="261"/>
      <c r="Z54" s="261"/>
      <c r="AA54" s="179" t="str">
        <f t="shared" si="3"/>
        <v/>
      </c>
      <c r="AB54" s="262" t="str">
        <f t="shared" si="4"/>
        <v/>
      </c>
      <c r="AC54" s="263" t="str">
        <f t="shared" si="1"/>
        <v/>
      </c>
      <c r="AD54" s="239" t="str">
        <f>IF(M54="","",VLOOKUP(M54,'G-6 Hedgerow Data'!$B$3:$AG$15,31,FALSE))</f>
        <v/>
      </c>
      <c r="AE54" s="175" t="str">
        <f t="shared" si="5"/>
        <v/>
      </c>
      <c r="AF54" s="175" t="str">
        <f t="shared" si="6"/>
        <v/>
      </c>
      <c r="AG54" s="176" t="str">
        <f>IFERROR(IF(O54="","",VLOOKUP(AD54,'G-3 Multipliers'!$P$3:$Q$6,2,FALSE)),"")</f>
        <v/>
      </c>
      <c r="AH54" s="266"/>
      <c r="AI54" s="172" t="str">
        <f>IF(AH54="","",IF(VLOOKUP(AH54,'G-3 Multipliers'!$S$3:$T$6,2,FALSE)=0,"Spatial Data Missing",VLOOKUP(AH54,'G-3 Multipliers'!$S$3:$T$6,2,FALSE)))</f>
        <v/>
      </c>
      <c r="AJ54" s="265" t="str">
        <f t="shared" si="7"/>
        <v/>
      </c>
      <c r="AK54" s="180"/>
      <c r="AL54" s="181"/>
      <c r="AP54" s="35" t="str">
        <f>IFERROR(INDEX('G-6 Hedgerow Data'!$BJ$3:$BJ$15,MATCH(M54,'G-6 Hedgerow Data'!$B$3:$B$15,0)),"")</f>
        <v/>
      </c>
    </row>
    <row r="55" spans="2:42" ht="13.8" x14ac:dyDescent="0.25">
      <c r="B55" s="259" t="str">
        <f>'E-1 Off Site Hedge Baseline'!AK53</f>
        <v/>
      </c>
      <c r="C55" s="175" t="str">
        <f>IF(B55="","",IF(ISNA(VLOOKUP($B55,'E-1 Off Site Hedge Baseline'!$B$1:$L$257,3,FALSE)),"",(VLOOKUP($B55,'E-1 Off Site Hedge Baseline'!$B$1:$L$257,3,FALSE))))</f>
        <v/>
      </c>
      <c r="D55" s="175" t="str">
        <f>IF(B55="","",IF(ISNA(VLOOKUP($B55,'E-1 Off Site Hedge Baseline'!$B$1:$L$258,4,FALSE)),"",(VLOOKUP($B55,'E-1 Off Site Hedge Baseline'!$B$1:$L$258,4,FALSE))))</f>
        <v/>
      </c>
      <c r="E55" s="175" t="str">
        <f>IF(B55="","",IF(ISNA(VLOOKUP($B55,'E-1 Off Site Hedge Baseline'!$B$1:$L$257,5,FALSE)),"",(VLOOKUP($B55,'E-1 Off Site Hedge Baseline'!$B$1:$L$257,5,FALSE))))</f>
        <v/>
      </c>
      <c r="F55" s="175" t="str">
        <f>IF(B55="","",IF(ISNA(VLOOKUP($B55,'E-1 Off Site Hedge Baseline'!$B$1:$L$257,6,FALSE)),"",(VLOOKUP($B55,'E-1 Off Site Hedge Baseline'!$B$1:$L$257,6,FALSE))))</f>
        <v/>
      </c>
      <c r="G55" s="175" t="str">
        <f>IF(B55="","",IF(ISNA(VLOOKUP($B55,'E-1 Off Site Hedge Baseline'!$B$1:$L$257,7,FALSE)),"",(VLOOKUP($B55,'E-1 Off Site Hedge Baseline'!$B$1:$L$257,7,FALSE))))</f>
        <v/>
      </c>
      <c r="H55" s="175" t="str">
        <f>IF(B55="","",IF(ISNA(VLOOKUP($B55,'E-1 Off Site Hedge Baseline'!$B$1:$L$257,8,FALSE)),"",(VLOOKUP($B55,'E-1 Off Site Hedge Baseline'!$B$1:$L$257,8,FALSE))))</f>
        <v/>
      </c>
      <c r="I55" s="175" t="str">
        <f>IF(B55="","",IF(ISNA(VLOOKUP($B55,'E-1 Off Site Hedge Baseline'!$B$1:$L$257,10,FALSE)),"",(VLOOKUP($B55,'E-1 Off Site Hedge Baseline'!$B$1:$L$257,10,FALSE))))</f>
        <v/>
      </c>
      <c r="J55" s="175" t="str">
        <f>IF(B55="","",IF(ISNA(VLOOKUP($B55,'E-1 Off Site Hedge Baseline'!$B$1:$L$257,11,FALSE)),"",(VLOOKUP($B55,'E-1 Off Site Hedge Baseline'!$B$1:$L$257,11,FALSE))))</f>
        <v/>
      </c>
      <c r="K55" s="175" t="str">
        <f>IF(B55="","",IF(ISNA(VLOOKUP($B55,'E-1 Off Site Hedge Baseline'!$B$1:$U$257,113,FALSE)),"",(VLOOKUP($B55,'E-1 Off Site Hedge Baseline'!$B$1:$U$257,13,FALSE))))</f>
        <v/>
      </c>
      <c r="L55" s="179" t="str">
        <f>IF(B55="","",IF(ISNA(VLOOKUP($B55,'E-1 Off Site Hedge Baseline'!$B$1:$U$257,12,FALSE)),"",(VLOOKUP($B55,'E-1 Off Site Hedge Baseline'!$B$1:$U$257,12,FALSE))))</f>
        <v/>
      </c>
      <c r="M55" s="639" t="str">
        <f t="shared" si="8"/>
        <v/>
      </c>
      <c r="N55" s="171" t="str">
        <f>IFERROR(IF(B55="","",INDEX('G-6 Hedgerow Data'!$AN$3:$AZ$15,MATCH(C55,'G-6 Hedgerow Data'!$AM$3:$AM$15,0),MATCH(M55,'G-6 Hedgerow Data'!$AN$2:$AZ$2,0))),"")</f>
        <v/>
      </c>
      <c r="O55" s="172" t="str">
        <f t="shared" si="2"/>
        <v/>
      </c>
      <c r="P55" s="260" t="str">
        <f>IF(B55="","",VLOOKUP(B55,'E-1 Off Site Hedge Baseline'!$B$10:T300,16,FALSE))</f>
        <v/>
      </c>
      <c r="Q55" s="171" t="str">
        <f>IF(M55="","",VLOOKUP(M55,'G-6 Hedgerow Data'!$B$2:$AG$15,2,FALSE))</f>
        <v/>
      </c>
      <c r="R55" s="172" t="str">
        <f>IF(M55="","",VLOOKUP(M55,'G-6 Hedgerow Data'!$B$2:$AG$15,3,FALSE))</f>
        <v/>
      </c>
      <c r="S55" s="173"/>
      <c r="T55" s="172" t="str">
        <f>IFERROR(IF(AND(Q55="V.Low",OR(S55="Good",S55="Moderate")),"Error",VLOOKUP(S55,'G-1 All Habitats'!$Z$2:$AA$9,2,FALSE)),"")</f>
        <v/>
      </c>
      <c r="U55" s="173"/>
      <c r="V55" s="179" t="str">
        <f>IF(U55="","",IF(VLOOKUP(U55,'G-3 Multipliers'!$L$3:$N$6,2,FALSE)=0,"Spatial Data Missing",VLOOKUP(U55,'G-3 Multipliers'!$L$3:$N$6,2,FALSE)))</f>
        <v/>
      </c>
      <c r="W55" s="260" t="str">
        <f>IF(U55="","",IF(VLOOKUP(U55,'G-3 Multipliers'!$L$3:$N$6,3,FALSE)=0,"Spatial Data Missing",VLOOKUP(U55,'G-3 Multipliers'!$L$3:$N$6,3,FALSE)))</f>
        <v/>
      </c>
      <c r="X55" s="171" t="str">
        <f>IFERROR(IF(OR(LEFT(O55,5)="Error",LEFT(N55,5)="Error",T55="Error"),"Check Data",IF(F55&lt;R55,INDEX('G-6 Hedgerow Data'!$S$3:$AE$14,MATCH(C55,'G-6 Hedgerow Data'!$B$3:$B$14,0),MATCH(M55,'G-6 Hedgerow Data'!$S$2:$AE$2,0)),INDEX('G-6 Hedgerow Data'!$K$3:$Q$14,MATCH(M55,'G-6 Hedgerow Data'!$B$3:$B$14,0),MATCH(O55,'G-6 Hedgerow Data'!$K$2:$Q$2,0)))),"")</f>
        <v/>
      </c>
      <c r="Y55" s="261"/>
      <c r="Z55" s="261"/>
      <c r="AA55" s="179" t="str">
        <f t="shared" si="3"/>
        <v/>
      </c>
      <c r="AB55" s="262" t="str">
        <f t="shared" si="4"/>
        <v/>
      </c>
      <c r="AC55" s="263" t="str">
        <f t="shared" si="1"/>
        <v/>
      </c>
      <c r="AD55" s="239" t="str">
        <f>IF(M55="","",VLOOKUP(M55,'G-6 Hedgerow Data'!$B$3:$AG$15,31,FALSE))</f>
        <v/>
      </c>
      <c r="AE55" s="175" t="str">
        <f t="shared" si="5"/>
        <v/>
      </c>
      <c r="AF55" s="175" t="str">
        <f t="shared" si="6"/>
        <v/>
      </c>
      <c r="AG55" s="176" t="str">
        <f>IFERROR(IF(O55="","",VLOOKUP(AD55,'G-3 Multipliers'!$P$3:$Q$6,2,FALSE)),"")</f>
        <v/>
      </c>
      <c r="AH55" s="266"/>
      <c r="AI55" s="172" t="str">
        <f>IF(AH55="","",IF(VLOOKUP(AH55,'G-3 Multipliers'!$S$3:$T$6,2,FALSE)=0,"Spatial Data Missing",VLOOKUP(AH55,'G-3 Multipliers'!$S$3:$T$6,2,FALSE)))</f>
        <v/>
      </c>
      <c r="AJ55" s="265" t="str">
        <f t="shared" si="7"/>
        <v/>
      </c>
      <c r="AK55" s="180"/>
      <c r="AL55" s="181"/>
      <c r="AP55" s="35" t="str">
        <f>IFERROR(INDEX('G-6 Hedgerow Data'!$BJ$3:$BJ$15,MATCH(M55,'G-6 Hedgerow Data'!$B$3:$B$15,0)),"")</f>
        <v/>
      </c>
    </row>
    <row r="56" spans="2:42" ht="13.8" x14ac:dyDescent="0.25">
      <c r="B56" s="259" t="str">
        <f>'E-1 Off Site Hedge Baseline'!AK54</f>
        <v/>
      </c>
      <c r="C56" s="175" t="str">
        <f>IF(B56="","",IF(ISNA(VLOOKUP($B56,'E-1 Off Site Hedge Baseline'!$B$1:$L$257,3,FALSE)),"",(VLOOKUP($B56,'E-1 Off Site Hedge Baseline'!$B$1:$L$257,3,FALSE))))</f>
        <v/>
      </c>
      <c r="D56" s="175" t="str">
        <f>IF(B56="","",IF(ISNA(VLOOKUP($B56,'E-1 Off Site Hedge Baseline'!$B$1:$L$258,4,FALSE)),"",(VLOOKUP($B56,'E-1 Off Site Hedge Baseline'!$B$1:$L$258,4,FALSE))))</f>
        <v/>
      </c>
      <c r="E56" s="175" t="str">
        <f>IF(B56="","",IF(ISNA(VLOOKUP($B56,'E-1 Off Site Hedge Baseline'!$B$1:$L$257,5,FALSE)),"",(VLOOKUP($B56,'E-1 Off Site Hedge Baseline'!$B$1:$L$257,5,FALSE))))</f>
        <v/>
      </c>
      <c r="F56" s="175" t="str">
        <f>IF(B56="","",IF(ISNA(VLOOKUP($B56,'E-1 Off Site Hedge Baseline'!$B$1:$L$257,6,FALSE)),"",(VLOOKUP($B56,'E-1 Off Site Hedge Baseline'!$B$1:$L$257,6,FALSE))))</f>
        <v/>
      </c>
      <c r="G56" s="175" t="str">
        <f>IF(B56="","",IF(ISNA(VLOOKUP($B56,'E-1 Off Site Hedge Baseline'!$B$1:$L$257,7,FALSE)),"",(VLOOKUP($B56,'E-1 Off Site Hedge Baseline'!$B$1:$L$257,7,FALSE))))</f>
        <v/>
      </c>
      <c r="H56" s="175" t="str">
        <f>IF(B56="","",IF(ISNA(VLOOKUP($B56,'E-1 Off Site Hedge Baseline'!$B$1:$L$257,8,FALSE)),"",(VLOOKUP($B56,'E-1 Off Site Hedge Baseline'!$B$1:$L$257,8,FALSE))))</f>
        <v/>
      </c>
      <c r="I56" s="175" t="str">
        <f>IF(B56="","",IF(ISNA(VLOOKUP($B56,'E-1 Off Site Hedge Baseline'!$B$1:$L$257,10,FALSE)),"",(VLOOKUP($B56,'E-1 Off Site Hedge Baseline'!$B$1:$L$257,10,FALSE))))</f>
        <v/>
      </c>
      <c r="J56" s="175" t="str">
        <f>IF(B56="","",IF(ISNA(VLOOKUP($B56,'E-1 Off Site Hedge Baseline'!$B$1:$L$257,11,FALSE)),"",(VLOOKUP($B56,'E-1 Off Site Hedge Baseline'!$B$1:$L$257,11,FALSE))))</f>
        <v/>
      </c>
      <c r="K56" s="175" t="str">
        <f>IF(B56="","",IF(ISNA(VLOOKUP($B56,'E-1 Off Site Hedge Baseline'!$B$1:$U$257,113,FALSE)),"",(VLOOKUP($B56,'E-1 Off Site Hedge Baseline'!$B$1:$U$257,13,FALSE))))</f>
        <v/>
      </c>
      <c r="L56" s="179" t="str">
        <f>IF(B56="","",IF(ISNA(VLOOKUP($B56,'E-1 Off Site Hedge Baseline'!$B$1:$U$257,12,FALSE)),"",(VLOOKUP($B56,'E-1 Off Site Hedge Baseline'!$B$1:$U$257,12,FALSE))))</f>
        <v/>
      </c>
      <c r="M56" s="639" t="str">
        <f t="shared" si="8"/>
        <v/>
      </c>
      <c r="N56" s="171" t="str">
        <f>IFERROR(IF(B56="","",INDEX('G-6 Hedgerow Data'!$AN$3:$AZ$15,MATCH(C56,'G-6 Hedgerow Data'!$AM$3:$AM$15,0),MATCH(M56,'G-6 Hedgerow Data'!$AN$2:$AZ$2,0))),"")</f>
        <v/>
      </c>
      <c r="O56" s="172" t="str">
        <f t="shared" si="2"/>
        <v/>
      </c>
      <c r="P56" s="260" t="str">
        <f>IF(B56="","",VLOOKUP(B56,'E-1 Off Site Hedge Baseline'!$B$10:T301,16,FALSE))</f>
        <v/>
      </c>
      <c r="Q56" s="171" t="str">
        <f>IF(M56="","",VLOOKUP(M56,'G-6 Hedgerow Data'!$B$2:$AG$15,2,FALSE))</f>
        <v/>
      </c>
      <c r="R56" s="172" t="str">
        <f>IF(M56="","",VLOOKUP(M56,'G-6 Hedgerow Data'!$B$2:$AG$15,3,FALSE))</f>
        <v/>
      </c>
      <c r="S56" s="173"/>
      <c r="T56" s="172" t="str">
        <f>IFERROR(IF(AND(Q56="V.Low",OR(S56="Good",S56="Moderate")),"Error",VLOOKUP(S56,'G-1 All Habitats'!$Z$2:$AA$9,2,FALSE)),"")</f>
        <v/>
      </c>
      <c r="U56" s="173"/>
      <c r="V56" s="179" t="str">
        <f>IF(U56="","",IF(VLOOKUP(U56,'G-3 Multipliers'!$L$3:$N$6,2,FALSE)=0,"Spatial Data Missing",VLOOKUP(U56,'G-3 Multipliers'!$L$3:$N$6,2,FALSE)))</f>
        <v/>
      </c>
      <c r="W56" s="260" t="str">
        <f>IF(U56="","",IF(VLOOKUP(U56,'G-3 Multipliers'!$L$3:$N$6,3,FALSE)=0,"Spatial Data Missing",VLOOKUP(U56,'G-3 Multipliers'!$L$3:$N$6,3,FALSE)))</f>
        <v/>
      </c>
      <c r="X56" s="171" t="str">
        <f>IFERROR(IF(OR(LEFT(O56,5)="Error",LEFT(N56,5)="Error",T56="Error"),"Check Data",IF(F56&lt;R56,INDEX('G-6 Hedgerow Data'!$S$3:$AE$14,MATCH(C56,'G-6 Hedgerow Data'!$B$3:$B$14,0),MATCH(M56,'G-6 Hedgerow Data'!$S$2:$AE$2,0)),INDEX('G-6 Hedgerow Data'!$K$3:$Q$14,MATCH(M56,'G-6 Hedgerow Data'!$B$3:$B$14,0),MATCH(O56,'G-6 Hedgerow Data'!$K$2:$Q$2,0)))),"")</f>
        <v/>
      </c>
      <c r="Y56" s="261"/>
      <c r="Z56" s="261"/>
      <c r="AA56" s="179" t="str">
        <f t="shared" si="3"/>
        <v/>
      </c>
      <c r="AB56" s="262" t="str">
        <f t="shared" si="4"/>
        <v/>
      </c>
      <c r="AC56" s="263" t="str">
        <f t="shared" si="1"/>
        <v/>
      </c>
      <c r="AD56" s="239" t="str">
        <f>IF(M56="","",VLOOKUP(M56,'G-6 Hedgerow Data'!$B$3:$AG$15,31,FALSE))</f>
        <v/>
      </c>
      <c r="AE56" s="175" t="str">
        <f t="shared" si="5"/>
        <v/>
      </c>
      <c r="AF56" s="175" t="str">
        <f t="shared" si="6"/>
        <v/>
      </c>
      <c r="AG56" s="176" t="str">
        <f>IFERROR(IF(O56="","",VLOOKUP(AD56,'G-3 Multipliers'!$P$3:$Q$6,2,FALSE)),"")</f>
        <v/>
      </c>
      <c r="AH56" s="266"/>
      <c r="AI56" s="172" t="str">
        <f>IF(AH56="","",IF(VLOOKUP(AH56,'G-3 Multipliers'!$S$3:$T$6,2,FALSE)=0,"Spatial Data Missing",VLOOKUP(AH56,'G-3 Multipliers'!$S$3:$T$6,2,FALSE)))</f>
        <v/>
      </c>
      <c r="AJ56" s="265" t="str">
        <f t="shared" si="7"/>
        <v/>
      </c>
      <c r="AK56" s="180"/>
      <c r="AL56" s="181"/>
      <c r="AP56" s="35" t="str">
        <f>IFERROR(INDEX('G-6 Hedgerow Data'!$BJ$3:$BJ$15,MATCH(M56,'G-6 Hedgerow Data'!$B$3:$B$15,0)),"")</f>
        <v/>
      </c>
    </row>
    <row r="57" spans="2:42" ht="13.8" x14ac:dyDescent="0.25">
      <c r="B57" s="259" t="str">
        <f>'E-1 Off Site Hedge Baseline'!AK55</f>
        <v/>
      </c>
      <c r="C57" s="175" t="str">
        <f>IF(B57="","",IF(ISNA(VLOOKUP($B57,'E-1 Off Site Hedge Baseline'!$B$1:$L$257,3,FALSE)),"",(VLOOKUP($B57,'E-1 Off Site Hedge Baseline'!$B$1:$L$257,3,FALSE))))</f>
        <v/>
      </c>
      <c r="D57" s="175" t="str">
        <f>IF(B57="","",IF(ISNA(VLOOKUP($B57,'E-1 Off Site Hedge Baseline'!$B$1:$L$258,4,FALSE)),"",(VLOOKUP($B57,'E-1 Off Site Hedge Baseline'!$B$1:$L$258,4,FALSE))))</f>
        <v/>
      </c>
      <c r="E57" s="175" t="str">
        <f>IF(B57="","",IF(ISNA(VLOOKUP($B57,'E-1 Off Site Hedge Baseline'!$B$1:$L$257,5,FALSE)),"",(VLOOKUP($B57,'E-1 Off Site Hedge Baseline'!$B$1:$L$257,5,FALSE))))</f>
        <v/>
      </c>
      <c r="F57" s="175" t="str">
        <f>IF(B57="","",IF(ISNA(VLOOKUP($B57,'E-1 Off Site Hedge Baseline'!$B$1:$L$257,6,FALSE)),"",(VLOOKUP($B57,'E-1 Off Site Hedge Baseline'!$B$1:$L$257,6,FALSE))))</f>
        <v/>
      </c>
      <c r="G57" s="175" t="str">
        <f>IF(B57="","",IF(ISNA(VLOOKUP($B57,'E-1 Off Site Hedge Baseline'!$B$1:$L$257,7,FALSE)),"",(VLOOKUP($B57,'E-1 Off Site Hedge Baseline'!$B$1:$L$257,7,FALSE))))</f>
        <v/>
      </c>
      <c r="H57" s="175" t="str">
        <f>IF(B57="","",IF(ISNA(VLOOKUP($B57,'E-1 Off Site Hedge Baseline'!$B$1:$L$257,8,FALSE)),"",(VLOOKUP($B57,'E-1 Off Site Hedge Baseline'!$B$1:$L$257,8,FALSE))))</f>
        <v/>
      </c>
      <c r="I57" s="175" t="str">
        <f>IF(B57="","",IF(ISNA(VLOOKUP($B57,'E-1 Off Site Hedge Baseline'!$B$1:$L$257,10,FALSE)),"",(VLOOKUP($B57,'E-1 Off Site Hedge Baseline'!$B$1:$L$257,10,FALSE))))</f>
        <v/>
      </c>
      <c r="J57" s="175" t="str">
        <f>IF(B57="","",IF(ISNA(VLOOKUP($B57,'E-1 Off Site Hedge Baseline'!$B$1:$L$257,11,FALSE)),"",(VLOOKUP($B57,'E-1 Off Site Hedge Baseline'!$B$1:$L$257,11,FALSE))))</f>
        <v/>
      </c>
      <c r="K57" s="175" t="str">
        <f>IF(B57="","",IF(ISNA(VLOOKUP($B57,'E-1 Off Site Hedge Baseline'!$B$1:$U$257,113,FALSE)),"",(VLOOKUP($B57,'E-1 Off Site Hedge Baseline'!$B$1:$U$257,13,FALSE))))</f>
        <v/>
      </c>
      <c r="L57" s="179" t="str">
        <f>IF(B57="","",IF(ISNA(VLOOKUP($B57,'E-1 Off Site Hedge Baseline'!$B$1:$U$257,12,FALSE)),"",(VLOOKUP($B57,'E-1 Off Site Hedge Baseline'!$B$1:$U$257,12,FALSE))))</f>
        <v/>
      </c>
      <c r="M57" s="639" t="str">
        <f t="shared" si="8"/>
        <v/>
      </c>
      <c r="N57" s="171" t="str">
        <f>IFERROR(IF(B57="","",INDEX('G-6 Hedgerow Data'!$AN$3:$AZ$15,MATCH(C57,'G-6 Hedgerow Data'!$AM$3:$AM$15,0),MATCH(M57,'G-6 Hedgerow Data'!$AN$2:$AZ$2,0))),"")</f>
        <v/>
      </c>
      <c r="O57" s="172" t="str">
        <f t="shared" si="2"/>
        <v/>
      </c>
      <c r="P57" s="260" t="str">
        <f>IF(B57="","",VLOOKUP(B57,'E-1 Off Site Hedge Baseline'!$B$10:T302,16,FALSE))</f>
        <v/>
      </c>
      <c r="Q57" s="171" t="str">
        <f>IF(M57="","",VLOOKUP(M57,'G-6 Hedgerow Data'!$B$2:$AG$15,2,FALSE))</f>
        <v/>
      </c>
      <c r="R57" s="172" t="str">
        <f>IF(M57="","",VLOOKUP(M57,'G-6 Hedgerow Data'!$B$2:$AG$15,3,FALSE))</f>
        <v/>
      </c>
      <c r="S57" s="173"/>
      <c r="T57" s="172" t="str">
        <f>IFERROR(IF(AND(Q57="V.Low",OR(S57="Good",S57="Moderate")),"Error",VLOOKUP(S57,'G-1 All Habitats'!$Z$2:$AA$9,2,FALSE)),"")</f>
        <v/>
      </c>
      <c r="U57" s="173"/>
      <c r="V57" s="179" t="str">
        <f>IF(U57="","",IF(VLOOKUP(U57,'G-3 Multipliers'!$L$3:$N$6,2,FALSE)=0,"Spatial Data Missing",VLOOKUP(U57,'G-3 Multipliers'!$L$3:$N$6,2,FALSE)))</f>
        <v/>
      </c>
      <c r="W57" s="260" t="str">
        <f>IF(U57="","",IF(VLOOKUP(U57,'G-3 Multipliers'!$L$3:$N$6,3,FALSE)=0,"Spatial Data Missing",VLOOKUP(U57,'G-3 Multipliers'!$L$3:$N$6,3,FALSE)))</f>
        <v/>
      </c>
      <c r="X57" s="171" t="str">
        <f>IFERROR(IF(OR(LEFT(O57,5)="Error",LEFT(N57,5)="Error",T57="Error"),"Check Data",IF(F57&lt;R57,INDEX('G-6 Hedgerow Data'!$S$3:$AE$14,MATCH(C57,'G-6 Hedgerow Data'!$B$3:$B$14,0),MATCH(M57,'G-6 Hedgerow Data'!$S$2:$AE$2,0)),INDEX('G-6 Hedgerow Data'!$K$3:$Q$14,MATCH(M57,'G-6 Hedgerow Data'!$B$3:$B$14,0),MATCH(O57,'G-6 Hedgerow Data'!$K$2:$Q$2,0)))),"")</f>
        <v/>
      </c>
      <c r="Y57" s="261"/>
      <c r="Z57" s="261"/>
      <c r="AA57" s="179" t="str">
        <f t="shared" si="3"/>
        <v/>
      </c>
      <c r="AB57" s="262" t="str">
        <f t="shared" si="4"/>
        <v/>
      </c>
      <c r="AC57" s="263" t="str">
        <f t="shared" si="1"/>
        <v/>
      </c>
      <c r="AD57" s="239" t="str">
        <f>IF(M57="","",VLOOKUP(M57,'G-6 Hedgerow Data'!$B$3:$AG$15,31,FALSE))</f>
        <v/>
      </c>
      <c r="AE57" s="175" t="str">
        <f t="shared" si="5"/>
        <v/>
      </c>
      <c r="AF57" s="175" t="str">
        <f t="shared" si="6"/>
        <v/>
      </c>
      <c r="AG57" s="176" t="str">
        <f>IFERROR(IF(O57="","",VLOOKUP(AD57,'G-3 Multipliers'!$P$3:$Q$6,2,FALSE)),"")</f>
        <v/>
      </c>
      <c r="AH57" s="266"/>
      <c r="AI57" s="172" t="str">
        <f>IF(AH57="","",IF(VLOOKUP(AH57,'G-3 Multipliers'!$S$3:$T$6,2,FALSE)=0,"Spatial Data Missing",VLOOKUP(AH57,'G-3 Multipliers'!$S$3:$T$6,2,FALSE)))</f>
        <v/>
      </c>
      <c r="AJ57" s="265" t="str">
        <f t="shared" si="7"/>
        <v/>
      </c>
      <c r="AK57" s="180"/>
      <c r="AL57" s="181"/>
      <c r="AP57" s="35" t="str">
        <f>IFERROR(INDEX('G-6 Hedgerow Data'!$BJ$3:$BJ$15,MATCH(M57,'G-6 Hedgerow Data'!$B$3:$B$15,0)),"")</f>
        <v/>
      </c>
    </row>
    <row r="58" spans="2:42" ht="13.8" x14ac:dyDescent="0.25">
      <c r="B58" s="259" t="str">
        <f>'E-1 Off Site Hedge Baseline'!AK56</f>
        <v/>
      </c>
      <c r="C58" s="175" t="str">
        <f>IF(B58="","",IF(ISNA(VLOOKUP($B58,'E-1 Off Site Hedge Baseline'!$B$1:$L$257,3,FALSE)),"",(VLOOKUP($B58,'E-1 Off Site Hedge Baseline'!$B$1:$L$257,3,FALSE))))</f>
        <v/>
      </c>
      <c r="D58" s="175" t="str">
        <f>IF(B58="","",IF(ISNA(VLOOKUP($B58,'E-1 Off Site Hedge Baseline'!$B$1:$L$258,4,FALSE)),"",(VLOOKUP($B58,'E-1 Off Site Hedge Baseline'!$B$1:$L$258,4,FALSE))))</f>
        <v/>
      </c>
      <c r="E58" s="175" t="str">
        <f>IF(B58="","",IF(ISNA(VLOOKUP($B58,'E-1 Off Site Hedge Baseline'!$B$1:$L$257,5,FALSE)),"",(VLOOKUP($B58,'E-1 Off Site Hedge Baseline'!$B$1:$L$257,5,FALSE))))</f>
        <v/>
      </c>
      <c r="F58" s="175" t="str">
        <f>IF(B58="","",IF(ISNA(VLOOKUP($B58,'E-1 Off Site Hedge Baseline'!$B$1:$L$257,6,FALSE)),"",(VLOOKUP($B58,'E-1 Off Site Hedge Baseline'!$B$1:$L$257,6,FALSE))))</f>
        <v/>
      </c>
      <c r="G58" s="175" t="str">
        <f>IF(B58="","",IF(ISNA(VLOOKUP($B58,'E-1 Off Site Hedge Baseline'!$B$1:$L$257,7,FALSE)),"",(VLOOKUP($B58,'E-1 Off Site Hedge Baseline'!$B$1:$L$257,7,FALSE))))</f>
        <v/>
      </c>
      <c r="H58" s="175" t="str">
        <f>IF(B58="","",IF(ISNA(VLOOKUP($B58,'E-1 Off Site Hedge Baseline'!$B$1:$L$257,8,FALSE)),"",(VLOOKUP($B58,'E-1 Off Site Hedge Baseline'!$B$1:$L$257,8,FALSE))))</f>
        <v/>
      </c>
      <c r="I58" s="175" t="str">
        <f>IF(B58="","",IF(ISNA(VLOOKUP($B58,'E-1 Off Site Hedge Baseline'!$B$1:$L$257,10,FALSE)),"",(VLOOKUP($B58,'E-1 Off Site Hedge Baseline'!$B$1:$L$257,10,FALSE))))</f>
        <v/>
      </c>
      <c r="J58" s="175" t="str">
        <f>IF(B58="","",IF(ISNA(VLOOKUP($B58,'E-1 Off Site Hedge Baseline'!$B$1:$L$257,11,FALSE)),"",(VLOOKUP($B58,'E-1 Off Site Hedge Baseline'!$B$1:$L$257,11,FALSE))))</f>
        <v/>
      </c>
      <c r="K58" s="175" t="str">
        <f>IF(B58="","",IF(ISNA(VLOOKUP($B58,'E-1 Off Site Hedge Baseline'!$B$1:$U$257,113,FALSE)),"",(VLOOKUP($B58,'E-1 Off Site Hedge Baseline'!$B$1:$U$257,13,FALSE))))</f>
        <v/>
      </c>
      <c r="L58" s="179" t="str">
        <f>IF(B58="","",IF(ISNA(VLOOKUP($B58,'E-1 Off Site Hedge Baseline'!$B$1:$U$257,12,FALSE)),"",(VLOOKUP($B58,'E-1 Off Site Hedge Baseline'!$B$1:$U$257,12,FALSE))))</f>
        <v/>
      </c>
      <c r="M58" s="639" t="str">
        <f t="shared" si="8"/>
        <v/>
      </c>
      <c r="N58" s="171" t="str">
        <f>IFERROR(IF(B58="","",INDEX('G-6 Hedgerow Data'!$AN$3:$AZ$15,MATCH(C58,'G-6 Hedgerow Data'!$AM$3:$AM$15,0),MATCH(M58,'G-6 Hedgerow Data'!$AN$2:$AZ$2,0))),"")</f>
        <v/>
      </c>
      <c r="O58" s="172" t="str">
        <f t="shared" si="2"/>
        <v/>
      </c>
      <c r="P58" s="260" t="str">
        <f>IF(B58="","",VLOOKUP(B58,'E-1 Off Site Hedge Baseline'!$B$10:T303,16,FALSE))</f>
        <v/>
      </c>
      <c r="Q58" s="171" t="str">
        <f>IF(M58="","",VLOOKUP(M58,'G-6 Hedgerow Data'!$B$2:$AG$15,2,FALSE))</f>
        <v/>
      </c>
      <c r="R58" s="172" t="str">
        <f>IF(M58="","",VLOOKUP(M58,'G-6 Hedgerow Data'!$B$2:$AG$15,3,FALSE))</f>
        <v/>
      </c>
      <c r="S58" s="173"/>
      <c r="T58" s="172" t="str">
        <f>IFERROR(IF(AND(Q58="V.Low",OR(S58="Good",S58="Moderate")),"Error",VLOOKUP(S58,'G-1 All Habitats'!$Z$2:$AA$9,2,FALSE)),"")</f>
        <v/>
      </c>
      <c r="U58" s="173"/>
      <c r="V58" s="179" t="str">
        <f>IF(U58="","",IF(VLOOKUP(U58,'G-3 Multipliers'!$L$3:$N$6,2,FALSE)=0,"Spatial Data Missing",VLOOKUP(U58,'G-3 Multipliers'!$L$3:$N$6,2,FALSE)))</f>
        <v/>
      </c>
      <c r="W58" s="260" t="str">
        <f>IF(U58="","",IF(VLOOKUP(U58,'G-3 Multipliers'!$L$3:$N$6,3,FALSE)=0,"Spatial Data Missing",VLOOKUP(U58,'G-3 Multipliers'!$L$3:$N$6,3,FALSE)))</f>
        <v/>
      </c>
      <c r="X58" s="171" t="str">
        <f>IFERROR(IF(OR(LEFT(O58,5)="Error",LEFT(N58,5)="Error",T58="Error"),"Check Data",IF(F58&lt;R58,INDEX('G-6 Hedgerow Data'!$S$3:$AE$14,MATCH(C58,'G-6 Hedgerow Data'!$B$3:$B$14,0),MATCH(M58,'G-6 Hedgerow Data'!$S$2:$AE$2,0)),INDEX('G-6 Hedgerow Data'!$K$3:$Q$14,MATCH(M58,'G-6 Hedgerow Data'!$B$3:$B$14,0),MATCH(O58,'G-6 Hedgerow Data'!$K$2:$Q$2,0)))),"")</f>
        <v/>
      </c>
      <c r="Y58" s="261"/>
      <c r="Z58" s="261"/>
      <c r="AA58" s="179" t="str">
        <f t="shared" si="3"/>
        <v/>
      </c>
      <c r="AB58" s="262" t="str">
        <f t="shared" si="4"/>
        <v/>
      </c>
      <c r="AC58" s="263" t="str">
        <f t="shared" si="1"/>
        <v/>
      </c>
      <c r="AD58" s="239" t="str">
        <f>IF(M58="","",VLOOKUP(M58,'G-6 Hedgerow Data'!$B$3:$AG$15,31,FALSE))</f>
        <v/>
      </c>
      <c r="AE58" s="175" t="str">
        <f t="shared" si="5"/>
        <v/>
      </c>
      <c r="AF58" s="175" t="str">
        <f t="shared" si="6"/>
        <v/>
      </c>
      <c r="AG58" s="176" t="str">
        <f>IFERROR(IF(O58="","",VLOOKUP(AD58,'G-3 Multipliers'!$P$3:$Q$6,2,FALSE)),"")</f>
        <v/>
      </c>
      <c r="AH58" s="266"/>
      <c r="AI58" s="172" t="str">
        <f>IF(AH58="","",IF(VLOOKUP(AH58,'G-3 Multipliers'!$S$3:$T$6,2,FALSE)=0,"Spatial Data Missing",VLOOKUP(AH58,'G-3 Multipliers'!$S$3:$T$6,2,FALSE)))</f>
        <v/>
      </c>
      <c r="AJ58" s="265" t="str">
        <f t="shared" si="7"/>
        <v/>
      </c>
      <c r="AK58" s="180"/>
      <c r="AL58" s="181"/>
      <c r="AP58" s="35" t="str">
        <f>IFERROR(INDEX('G-6 Hedgerow Data'!$BJ$3:$BJ$15,MATCH(M58,'G-6 Hedgerow Data'!$B$3:$B$15,0)),"")</f>
        <v/>
      </c>
    </row>
    <row r="59" spans="2:42" ht="13.8" x14ac:dyDescent="0.25">
      <c r="B59" s="259" t="str">
        <f>'E-1 Off Site Hedge Baseline'!AK57</f>
        <v/>
      </c>
      <c r="C59" s="175" t="str">
        <f>IF(B59="","",IF(ISNA(VLOOKUP($B59,'E-1 Off Site Hedge Baseline'!$B$1:$L$257,3,FALSE)),"",(VLOOKUP($B59,'E-1 Off Site Hedge Baseline'!$B$1:$L$257,3,FALSE))))</f>
        <v/>
      </c>
      <c r="D59" s="175" t="str">
        <f>IF(B59="","",IF(ISNA(VLOOKUP($B59,'E-1 Off Site Hedge Baseline'!$B$1:$L$258,4,FALSE)),"",(VLOOKUP($B59,'E-1 Off Site Hedge Baseline'!$B$1:$L$258,4,FALSE))))</f>
        <v/>
      </c>
      <c r="E59" s="175" t="str">
        <f>IF(B59="","",IF(ISNA(VLOOKUP($B59,'E-1 Off Site Hedge Baseline'!$B$1:$L$257,5,FALSE)),"",(VLOOKUP($B59,'E-1 Off Site Hedge Baseline'!$B$1:$L$257,5,FALSE))))</f>
        <v/>
      </c>
      <c r="F59" s="175" t="str">
        <f>IF(B59="","",IF(ISNA(VLOOKUP($B59,'E-1 Off Site Hedge Baseline'!$B$1:$L$257,6,FALSE)),"",(VLOOKUP($B59,'E-1 Off Site Hedge Baseline'!$B$1:$L$257,6,FALSE))))</f>
        <v/>
      </c>
      <c r="G59" s="175" t="str">
        <f>IF(B59="","",IF(ISNA(VLOOKUP($B59,'E-1 Off Site Hedge Baseline'!$B$1:$L$257,7,FALSE)),"",(VLOOKUP($B59,'E-1 Off Site Hedge Baseline'!$B$1:$L$257,7,FALSE))))</f>
        <v/>
      </c>
      <c r="H59" s="175" t="str">
        <f>IF(B59="","",IF(ISNA(VLOOKUP($B59,'E-1 Off Site Hedge Baseline'!$B$1:$L$257,8,FALSE)),"",(VLOOKUP($B59,'E-1 Off Site Hedge Baseline'!$B$1:$L$257,8,FALSE))))</f>
        <v/>
      </c>
      <c r="I59" s="175" t="str">
        <f>IF(B59="","",IF(ISNA(VLOOKUP($B59,'E-1 Off Site Hedge Baseline'!$B$1:$L$257,10,FALSE)),"",(VLOOKUP($B59,'E-1 Off Site Hedge Baseline'!$B$1:$L$257,10,FALSE))))</f>
        <v/>
      </c>
      <c r="J59" s="175" t="str">
        <f>IF(B59="","",IF(ISNA(VLOOKUP($B59,'E-1 Off Site Hedge Baseline'!$B$1:$L$257,11,FALSE)),"",(VLOOKUP($B59,'E-1 Off Site Hedge Baseline'!$B$1:$L$257,11,FALSE))))</f>
        <v/>
      </c>
      <c r="K59" s="175" t="str">
        <f>IF(B59="","",IF(ISNA(VLOOKUP($B59,'E-1 Off Site Hedge Baseline'!$B$1:$U$257,113,FALSE)),"",(VLOOKUP($B59,'E-1 Off Site Hedge Baseline'!$B$1:$U$257,13,FALSE))))</f>
        <v/>
      </c>
      <c r="L59" s="179" t="str">
        <f>IF(B59="","",IF(ISNA(VLOOKUP($B59,'E-1 Off Site Hedge Baseline'!$B$1:$U$257,12,FALSE)),"",(VLOOKUP($B59,'E-1 Off Site Hedge Baseline'!$B$1:$U$257,12,FALSE))))</f>
        <v/>
      </c>
      <c r="M59" s="639" t="str">
        <f t="shared" si="8"/>
        <v/>
      </c>
      <c r="N59" s="171" t="str">
        <f>IFERROR(IF(B59="","",INDEX('G-6 Hedgerow Data'!$AN$3:$AZ$15,MATCH(C59,'G-6 Hedgerow Data'!$AM$3:$AM$15,0),MATCH(M59,'G-6 Hedgerow Data'!$AN$2:$AZ$2,0))),"")</f>
        <v/>
      </c>
      <c r="O59" s="172" t="str">
        <f t="shared" si="2"/>
        <v/>
      </c>
      <c r="P59" s="260" t="str">
        <f>IF(B59="","",VLOOKUP(B59,'E-1 Off Site Hedge Baseline'!$B$10:T304,16,FALSE))</f>
        <v/>
      </c>
      <c r="Q59" s="171" t="str">
        <f>IF(M59="","",VLOOKUP(M59,'G-6 Hedgerow Data'!$B$2:$AG$15,2,FALSE))</f>
        <v/>
      </c>
      <c r="R59" s="172" t="str">
        <f>IF(M59="","",VLOOKUP(M59,'G-6 Hedgerow Data'!$B$2:$AG$15,3,FALSE))</f>
        <v/>
      </c>
      <c r="S59" s="173"/>
      <c r="T59" s="172" t="str">
        <f>IFERROR(IF(AND(Q59="V.Low",OR(S59="Good",S59="Moderate")),"Error",VLOOKUP(S59,'G-1 All Habitats'!$Z$2:$AA$9,2,FALSE)),"")</f>
        <v/>
      </c>
      <c r="U59" s="173"/>
      <c r="V59" s="179" t="str">
        <f>IF(U59="","",IF(VLOOKUP(U59,'G-3 Multipliers'!$L$3:$N$6,2,FALSE)=0,"Spatial Data Missing",VLOOKUP(U59,'G-3 Multipliers'!$L$3:$N$6,2,FALSE)))</f>
        <v/>
      </c>
      <c r="W59" s="260" t="str">
        <f>IF(U59="","",IF(VLOOKUP(U59,'G-3 Multipliers'!$L$3:$N$6,3,FALSE)=0,"Spatial Data Missing",VLOOKUP(U59,'G-3 Multipliers'!$L$3:$N$6,3,FALSE)))</f>
        <v/>
      </c>
      <c r="X59" s="171" t="str">
        <f>IFERROR(IF(OR(LEFT(O59,5)="Error",LEFT(N59,5)="Error",T59="Error"),"Check Data",IF(F59&lt;R59,INDEX('G-6 Hedgerow Data'!$S$3:$AE$14,MATCH(C59,'G-6 Hedgerow Data'!$B$3:$B$14,0),MATCH(M59,'G-6 Hedgerow Data'!$S$2:$AE$2,0)),INDEX('G-6 Hedgerow Data'!$K$3:$Q$14,MATCH(M59,'G-6 Hedgerow Data'!$B$3:$B$14,0),MATCH(O59,'G-6 Hedgerow Data'!$K$2:$Q$2,0)))),"")</f>
        <v/>
      </c>
      <c r="Y59" s="261"/>
      <c r="Z59" s="261"/>
      <c r="AA59" s="179" t="str">
        <f t="shared" si="3"/>
        <v/>
      </c>
      <c r="AB59" s="262" t="str">
        <f t="shared" si="4"/>
        <v/>
      </c>
      <c r="AC59" s="263" t="str">
        <f t="shared" si="1"/>
        <v/>
      </c>
      <c r="AD59" s="239" t="str">
        <f>IF(M59="","",VLOOKUP(M59,'G-6 Hedgerow Data'!$B$3:$AG$15,31,FALSE))</f>
        <v/>
      </c>
      <c r="AE59" s="175" t="str">
        <f t="shared" si="5"/>
        <v/>
      </c>
      <c r="AF59" s="175" t="str">
        <f t="shared" si="6"/>
        <v/>
      </c>
      <c r="AG59" s="176" t="str">
        <f>IFERROR(IF(O59="","",VLOOKUP(AD59,'G-3 Multipliers'!$P$3:$Q$6,2,FALSE)),"")</f>
        <v/>
      </c>
      <c r="AH59" s="266"/>
      <c r="AI59" s="172" t="str">
        <f>IF(AH59="","",IF(VLOOKUP(AH59,'G-3 Multipliers'!$S$3:$T$6,2,FALSE)=0,"Spatial Data Missing",VLOOKUP(AH59,'G-3 Multipliers'!$S$3:$T$6,2,FALSE)))</f>
        <v/>
      </c>
      <c r="AJ59" s="265" t="str">
        <f t="shared" si="7"/>
        <v/>
      </c>
      <c r="AK59" s="180"/>
      <c r="AL59" s="181"/>
      <c r="AP59" s="35" t="str">
        <f>IFERROR(INDEX('G-6 Hedgerow Data'!$BJ$3:$BJ$15,MATCH(M59,'G-6 Hedgerow Data'!$B$3:$B$15,0)),"")</f>
        <v/>
      </c>
    </row>
    <row r="60" spans="2:42" ht="13.8" x14ac:dyDescent="0.25">
      <c r="B60" s="259" t="str">
        <f>'E-1 Off Site Hedge Baseline'!AK58</f>
        <v/>
      </c>
      <c r="C60" s="175" t="str">
        <f>IF(B60="","",IF(ISNA(VLOOKUP($B60,'E-1 Off Site Hedge Baseline'!$B$1:$L$257,3,FALSE)),"",(VLOOKUP($B60,'E-1 Off Site Hedge Baseline'!$B$1:$L$257,3,FALSE))))</f>
        <v/>
      </c>
      <c r="D60" s="175" t="str">
        <f>IF(B60="","",IF(ISNA(VLOOKUP($B60,'E-1 Off Site Hedge Baseline'!$B$1:$L$258,4,FALSE)),"",(VLOOKUP($B60,'E-1 Off Site Hedge Baseline'!$B$1:$L$258,4,FALSE))))</f>
        <v/>
      </c>
      <c r="E60" s="175" t="str">
        <f>IF(B60="","",IF(ISNA(VLOOKUP($B60,'E-1 Off Site Hedge Baseline'!$B$1:$L$257,5,FALSE)),"",(VLOOKUP($B60,'E-1 Off Site Hedge Baseline'!$B$1:$L$257,5,FALSE))))</f>
        <v/>
      </c>
      <c r="F60" s="175" t="str">
        <f>IF(B60="","",IF(ISNA(VLOOKUP($B60,'E-1 Off Site Hedge Baseline'!$B$1:$L$257,6,FALSE)),"",(VLOOKUP($B60,'E-1 Off Site Hedge Baseline'!$B$1:$L$257,6,FALSE))))</f>
        <v/>
      </c>
      <c r="G60" s="175" t="str">
        <f>IF(B60="","",IF(ISNA(VLOOKUP($B60,'E-1 Off Site Hedge Baseline'!$B$1:$L$257,7,FALSE)),"",(VLOOKUP($B60,'E-1 Off Site Hedge Baseline'!$B$1:$L$257,7,FALSE))))</f>
        <v/>
      </c>
      <c r="H60" s="175" t="str">
        <f>IF(B60="","",IF(ISNA(VLOOKUP($B60,'E-1 Off Site Hedge Baseline'!$B$1:$L$257,8,FALSE)),"",(VLOOKUP($B60,'E-1 Off Site Hedge Baseline'!$B$1:$L$257,8,FALSE))))</f>
        <v/>
      </c>
      <c r="I60" s="175" t="str">
        <f>IF(B60="","",IF(ISNA(VLOOKUP($B60,'E-1 Off Site Hedge Baseline'!$B$1:$L$257,10,FALSE)),"",(VLOOKUP($B60,'E-1 Off Site Hedge Baseline'!$B$1:$L$257,10,FALSE))))</f>
        <v/>
      </c>
      <c r="J60" s="175" t="str">
        <f>IF(B60="","",IF(ISNA(VLOOKUP($B60,'E-1 Off Site Hedge Baseline'!$B$1:$L$257,11,FALSE)),"",(VLOOKUP($B60,'E-1 Off Site Hedge Baseline'!$B$1:$L$257,11,FALSE))))</f>
        <v/>
      </c>
      <c r="K60" s="175" t="str">
        <f>IF(B60="","",IF(ISNA(VLOOKUP($B60,'E-1 Off Site Hedge Baseline'!$B$1:$U$257,113,FALSE)),"",(VLOOKUP($B60,'E-1 Off Site Hedge Baseline'!$B$1:$U$257,13,FALSE))))</f>
        <v/>
      </c>
      <c r="L60" s="179" t="str">
        <f>IF(B60="","",IF(ISNA(VLOOKUP($B60,'E-1 Off Site Hedge Baseline'!$B$1:$U$257,12,FALSE)),"",(VLOOKUP($B60,'E-1 Off Site Hedge Baseline'!$B$1:$U$257,12,FALSE))))</f>
        <v/>
      </c>
      <c r="M60" s="639" t="str">
        <f t="shared" si="8"/>
        <v/>
      </c>
      <c r="N60" s="171" t="str">
        <f>IFERROR(IF(B60="","",INDEX('G-6 Hedgerow Data'!$AN$3:$AZ$15,MATCH(C60,'G-6 Hedgerow Data'!$AM$3:$AM$15,0),MATCH(M60,'G-6 Hedgerow Data'!$AN$2:$AZ$2,0))),"")</f>
        <v/>
      </c>
      <c r="O60" s="172" t="str">
        <f t="shared" si="2"/>
        <v/>
      </c>
      <c r="P60" s="260" t="str">
        <f>IF(B60="","",VLOOKUP(B60,'E-1 Off Site Hedge Baseline'!$B$10:T305,16,FALSE))</f>
        <v/>
      </c>
      <c r="Q60" s="171" t="str">
        <f>IF(M60="","",VLOOKUP(M60,'G-6 Hedgerow Data'!$B$2:$AG$15,2,FALSE))</f>
        <v/>
      </c>
      <c r="R60" s="172" t="str">
        <f>IF(M60="","",VLOOKUP(M60,'G-6 Hedgerow Data'!$B$2:$AG$15,3,FALSE))</f>
        <v/>
      </c>
      <c r="S60" s="173"/>
      <c r="T60" s="172" t="str">
        <f>IFERROR(IF(AND(Q60="V.Low",OR(S60="Good",S60="Moderate")),"Error",VLOOKUP(S60,'G-1 All Habitats'!$Z$2:$AA$9,2,FALSE)),"")</f>
        <v/>
      </c>
      <c r="U60" s="173"/>
      <c r="V60" s="179" t="str">
        <f>IF(U60="","",IF(VLOOKUP(U60,'G-3 Multipliers'!$L$3:$N$6,2,FALSE)=0,"Spatial Data Missing",VLOOKUP(U60,'G-3 Multipliers'!$L$3:$N$6,2,FALSE)))</f>
        <v/>
      </c>
      <c r="W60" s="260" t="str">
        <f>IF(U60="","",IF(VLOOKUP(U60,'G-3 Multipliers'!$L$3:$N$6,3,FALSE)=0,"Spatial Data Missing",VLOOKUP(U60,'G-3 Multipliers'!$L$3:$N$6,3,FALSE)))</f>
        <v/>
      </c>
      <c r="X60" s="171" t="str">
        <f>IFERROR(IF(OR(LEFT(O60,5)="Error",LEFT(N60,5)="Error",T60="Error"),"Check Data",IF(F60&lt;R60,INDEX('G-6 Hedgerow Data'!$S$3:$AE$14,MATCH(C60,'G-6 Hedgerow Data'!$B$3:$B$14,0),MATCH(M60,'G-6 Hedgerow Data'!$S$2:$AE$2,0)),INDEX('G-6 Hedgerow Data'!$K$3:$Q$14,MATCH(M60,'G-6 Hedgerow Data'!$B$3:$B$14,0),MATCH(O60,'G-6 Hedgerow Data'!$K$2:$Q$2,0)))),"")</f>
        <v/>
      </c>
      <c r="Y60" s="261"/>
      <c r="Z60" s="261"/>
      <c r="AA60" s="179" t="str">
        <f t="shared" si="3"/>
        <v/>
      </c>
      <c r="AB60" s="262" t="str">
        <f t="shared" si="4"/>
        <v/>
      </c>
      <c r="AC60" s="263" t="str">
        <f t="shared" si="1"/>
        <v/>
      </c>
      <c r="AD60" s="239" t="str">
        <f>IF(M60="","",VLOOKUP(M60,'G-6 Hedgerow Data'!$B$3:$AG$15,31,FALSE))</f>
        <v/>
      </c>
      <c r="AE60" s="175" t="str">
        <f t="shared" si="5"/>
        <v/>
      </c>
      <c r="AF60" s="175" t="str">
        <f t="shared" si="6"/>
        <v/>
      </c>
      <c r="AG60" s="176" t="str">
        <f>IFERROR(IF(O60="","",VLOOKUP(AD60,'G-3 Multipliers'!$P$3:$Q$6,2,FALSE)),"")</f>
        <v/>
      </c>
      <c r="AH60" s="266"/>
      <c r="AI60" s="172" t="str">
        <f>IF(AH60="","",IF(VLOOKUP(AH60,'G-3 Multipliers'!$S$3:$T$6,2,FALSE)=0,"Spatial Data Missing",VLOOKUP(AH60,'G-3 Multipliers'!$S$3:$T$6,2,FALSE)))</f>
        <v/>
      </c>
      <c r="AJ60" s="265" t="str">
        <f t="shared" si="7"/>
        <v/>
      </c>
      <c r="AK60" s="180"/>
      <c r="AL60" s="181"/>
      <c r="AP60" s="35" t="str">
        <f>IFERROR(INDEX('G-6 Hedgerow Data'!$BJ$3:$BJ$15,MATCH(M60,'G-6 Hedgerow Data'!$B$3:$B$15,0)),"")</f>
        <v/>
      </c>
    </row>
    <row r="61" spans="2:42" ht="13.8" x14ac:dyDescent="0.25">
      <c r="B61" s="259" t="str">
        <f>'E-1 Off Site Hedge Baseline'!AK59</f>
        <v/>
      </c>
      <c r="C61" s="175" t="str">
        <f>IF(B61="","",IF(ISNA(VLOOKUP($B61,'E-1 Off Site Hedge Baseline'!$B$1:$L$257,3,FALSE)),"",(VLOOKUP($B61,'E-1 Off Site Hedge Baseline'!$B$1:$L$257,3,FALSE))))</f>
        <v/>
      </c>
      <c r="D61" s="175" t="str">
        <f>IF(B61="","",IF(ISNA(VLOOKUP($B61,'E-1 Off Site Hedge Baseline'!$B$1:$L$258,4,FALSE)),"",(VLOOKUP($B61,'E-1 Off Site Hedge Baseline'!$B$1:$L$258,4,FALSE))))</f>
        <v/>
      </c>
      <c r="E61" s="175" t="str">
        <f>IF(B61="","",IF(ISNA(VLOOKUP($B61,'E-1 Off Site Hedge Baseline'!$B$1:$L$257,5,FALSE)),"",(VLOOKUP($B61,'E-1 Off Site Hedge Baseline'!$B$1:$L$257,5,FALSE))))</f>
        <v/>
      </c>
      <c r="F61" s="175" t="str">
        <f>IF(B61="","",IF(ISNA(VLOOKUP($B61,'E-1 Off Site Hedge Baseline'!$B$1:$L$257,6,FALSE)),"",(VLOOKUP($B61,'E-1 Off Site Hedge Baseline'!$B$1:$L$257,6,FALSE))))</f>
        <v/>
      </c>
      <c r="G61" s="175" t="str">
        <f>IF(B61="","",IF(ISNA(VLOOKUP($B61,'E-1 Off Site Hedge Baseline'!$B$1:$L$257,7,FALSE)),"",(VLOOKUP($B61,'E-1 Off Site Hedge Baseline'!$B$1:$L$257,7,FALSE))))</f>
        <v/>
      </c>
      <c r="H61" s="175" t="str">
        <f>IF(B61="","",IF(ISNA(VLOOKUP($B61,'E-1 Off Site Hedge Baseline'!$B$1:$L$257,8,FALSE)),"",(VLOOKUP($B61,'E-1 Off Site Hedge Baseline'!$B$1:$L$257,8,FALSE))))</f>
        <v/>
      </c>
      <c r="I61" s="175" t="str">
        <f>IF(B61="","",IF(ISNA(VLOOKUP($B61,'E-1 Off Site Hedge Baseline'!$B$1:$L$257,10,FALSE)),"",(VLOOKUP($B61,'E-1 Off Site Hedge Baseline'!$B$1:$L$257,10,FALSE))))</f>
        <v/>
      </c>
      <c r="J61" s="175" t="str">
        <f>IF(B61="","",IF(ISNA(VLOOKUP($B61,'E-1 Off Site Hedge Baseline'!$B$1:$L$257,11,FALSE)),"",(VLOOKUP($B61,'E-1 Off Site Hedge Baseline'!$B$1:$L$257,11,FALSE))))</f>
        <v/>
      </c>
      <c r="K61" s="175" t="str">
        <f>IF(B61="","",IF(ISNA(VLOOKUP($B61,'E-1 Off Site Hedge Baseline'!$B$1:$U$257,113,FALSE)),"",(VLOOKUP($B61,'E-1 Off Site Hedge Baseline'!$B$1:$U$257,13,FALSE))))</f>
        <v/>
      </c>
      <c r="L61" s="179" t="str">
        <f>IF(B61="","",IF(ISNA(VLOOKUP($B61,'E-1 Off Site Hedge Baseline'!$B$1:$U$257,12,FALSE)),"",(VLOOKUP($B61,'E-1 Off Site Hedge Baseline'!$B$1:$U$257,12,FALSE))))</f>
        <v/>
      </c>
      <c r="M61" s="639" t="str">
        <f t="shared" si="8"/>
        <v/>
      </c>
      <c r="N61" s="171" t="str">
        <f>IFERROR(IF(B61="","",INDEX('G-6 Hedgerow Data'!$AN$3:$AZ$15,MATCH(C61,'G-6 Hedgerow Data'!$AM$3:$AM$15,0),MATCH(M61,'G-6 Hedgerow Data'!$AN$2:$AZ$2,0))),"")</f>
        <v/>
      </c>
      <c r="O61" s="172" t="str">
        <f t="shared" si="2"/>
        <v/>
      </c>
      <c r="P61" s="260" t="str">
        <f>IF(B61="","",VLOOKUP(B61,'E-1 Off Site Hedge Baseline'!$B$10:T306,16,FALSE))</f>
        <v/>
      </c>
      <c r="Q61" s="171" t="str">
        <f>IF(M61="","",VLOOKUP(M61,'G-6 Hedgerow Data'!$B$2:$AG$15,2,FALSE))</f>
        <v/>
      </c>
      <c r="R61" s="172" t="str">
        <f>IF(M61="","",VLOOKUP(M61,'G-6 Hedgerow Data'!$B$2:$AG$15,3,FALSE))</f>
        <v/>
      </c>
      <c r="S61" s="173"/>
      <c r="T61" s="172" t="str">
        <f>IFERROR(IF(AND(Q61="V.Low",OR(S61="Good",S61="Moderate")),"Error",VLOOKUP(S61,'G-1 All Habitats'!$Z$2:$AA$9,2,FALSE)),"")</f>
        <v/>
      </c>
      <c r="U61" s="173"/>
      <c r="V61" s="179" t="str">
        <f>IF(U61="","",IF(VLOOKUP(U61,'G-3 Multipliers'!$L$3:$N$6,2,FALSE)=0,"Spatial Data Missing",VLOOKUP(U61,'G-3 Multipliers'!$L$3:$N$6,2,FALSE)))</f>
        <v/>
      </c>
      <c r="W61" s="260" t="str">
        <f>IF(U61="","",IF(VLOOKUP(U61,'G-3 Multipliers'!$L$3:$N$6,3,FALSE)=0,"Spatial Data Missing",VLOOKUP(U61,'G-3 Multipliers'!$L$3:$N$6,3,FALSE)))</f>
        <v/>
      </c>
      <c r="X61" s="171" t="str">
        <f>IFERROR(IF(OR(LEFT(O61,5)="Error",LEFT(N61,5)="Error",T61="Error"),"Check Data",IF(F61&lt;R61,INDEX('G-6 Hedgerow Data'!$S$3:$AE$14,MATCH(C61,'G-6 Hedgerow Data'!$B$3:$B$14,0),MATCH(M61,'G-6 Hedgerow Data'!$S$2:$AE$2,0)),INDEX('G-6 Hedgerow Data'!$K$3:$Q$14,MATCH(M61,'G-6 Hedgerow Data'!$B$3:$B$14,0),MATCH(O61,'G-6 Hedgerow Data'!$K$2:$Q$2,0)))),"")</f>
        <v/>
      </c>
      <c r="Y61" s="261"/>
      <c r="Z61" s="261"/>
      <c r="AA61" s="179" t="str">
        <f t="shared" si="3"/>
        <v/>
      </c>
      <c r="AB61" s="262" t="str">
        <f t="shared" si="4"/>
        <v/>
      </c>
      <c r="AC61" s="263" t="str">
        <f t="shared" si="1"/>
        <v/>
      </c>
      <c r="AD61" s="239" t="str">
        <f>IF(M61="","",VLOOKUP(M61,'G-6 Hedgerow Data'!$B$3:$AG$15,31,FALSE))</f>
        <v/>
      </c>
      <c r="AE61" s="175" t="str">
        <f t="shared" si="5"/>
        <v/>
      </c>
      <c r="AF61" s="175" t="str">
        <f t="shared" si="6"/>
        <v/>
      </c>
      <c r="AG61" s="176" t="str">
        <f>IFERROR(IF(O61="","",VLOOKUP(AD61,'G-3 Multipliers'!$P$3:$Q$6,2,FALSE)),"")</f>
        <v/>
      </c>
      <c r="AH61" s="266"/>
      <c r="AI61" s="172" t="str">
        <f>IF(AH61="","",IF(VLOOKUP(AH61,'G-3 Multipliers'!$S$3:$T$6,2,FALSE)=0,"Spatial Data Missing",VLOOKUP(AH61,'G-3 Multipliers'!$S$3:$T$6,2,FALSE)))</f>
        <v/>
      </c>
      <c r="AJ61" s="265" t="str">
        <f t="shared" si="7"/>
        <v/>
      </c>
      <c r="AK61" s="180"/>
      <c r="AL61" s="181"/>
      <c r="AP61" s="35" t="str">
        <f>IFERROR(INDEX('G-6 Hedgerow Data'!$BJ$3:$BJ$15,MATCH(M61,'G-6 Hedgerow Data'!$B$3:$B$15,0)),"")</f>
        <v/>
      </c>
    </row>
    <row r="62" spans="2:42" ht="13.8" x14ac:dyDescent="0.25">
      <c r="B62" s="259" t="str">
        <f>'E-1 Off Site Hedge Baseline'!AK60</f>
        <v/>
      </c>
      <c r="C62" s="175" t="str">
        <f>IF(B62="","",IF(ISNA(VLOOKUP($B62,'E-1 Off Site Hedge Baseline'!$B$1:$L$257,3,FALSE)),"",(VLOOKUP($B62,'E-1 Off Site Hedge Baseline'!$B$1:$L$257,3,FALSE))))</f>
        <v/>
      </c>
      <c r="D62" s="175" t="str">
        <f>IF(B62="","",IF(ISNA(VLOOKUP($B62,'E-1 Off Site Hedge Baseline'!$B$1:$L$258,4,FALSE)),"",(VLOOKUP($B62,'E-1 Off Site Hedge Baseline'!$B$1:$L$258,4,FALSE))))</f>
        <v/>
      </c>
      <c r="E62" s="175" t="str">
        <f>IF(B62="","",IF(ISNA(VLOOKUP($B62,'E-1 Off Site Hedge Baseline'!$B$1:$L$257,5,FALSE)),"",(VLOOKUP($B62,'E-1 Off Site Hedge Baseline'!$B$1:$L$257,5,FALSE))))</f>
        <v/>
      </c>
      <c r="F62" s="175" t="str">
        <f>IF(B62="","",IF(ISNA(VLOOKUP($B62,'E-1 Off Site Hedge Baseline'!$B$1:$L$257,6,FALSE)),"",(VLOOKUP($B62,'E-1 Off Site Hedge Baseline'!$B$1:$L$257,6,FALSE))))</f>
        <v/>
      </c>
      <c r="G62" s="175" t="str">
        <f>IF(B62="","",IF(ISNA(VLOOKUP($B62,'E-1 Off Site Hedge Baseline'!$B$1:$L$257,7,FALSE)),"",(VLOOKUP($B62,'E-1 Off Site Hedge Baseline'!$B$1:$L$257,7,FALSE))))</f>
        <v/>
      </c>
      <c r="H62" s="175" t="str">
        <f>IF(B62="","",IF(ISNA(VLOOKUP($B62,'E-1 Off Site Hedge Baseline'!$B$1:$L$257,8,FALSE)),"",(VLOOKUP($B62,'E-1 Off Site Hedge Baseline'!$B$1:$L$257,8,FALSE))))</f>
        <v/>
      </c>
      <c r="I62" s="175" t="str">
        <f>IF(B62="","",IF(ISNA(VLOOKUP($B62,'E-1 Off Site Hedge Baseline'!$B$1:$L$257,10,FALSE)),"",(VLOOKUP($B62,'E-1 Off Site Hedge Baseline'!$B$1:$L$257,10,FALSE))))</f>
        <v/>
      </c>
      <c r="J62" s="175" t="str">
        <f>IF(B62="","",IF(ISNA(VLOOKUP($B62,'E-1 Off Site Hedge Baseline'!$B$1:$L$257,11,FALSE)),"",(VLOOKUP($B62,'E-1 Off Site Hedge Baseline'!$B$1:$L$257,11,FALSE))))</f>
        <v/>
      </c>
      <c r="K62" s="175" t="str">
        <f>IF(B62="","",IF(ISNA(VLOOKUP($B62,'E-1 Off Site Hedge Baseline'!$B$1:$U$257,113,FALSE)),"",(VLOOKUP($B62,'E-1 Off Site Hedge Baseline'!$B$1:$U$257,13,FALSE))))</f>
        <v/>
      </c>
      <c r="L62" s="179" t="str">
        <f>IF(B62="","",IF(ISNA(VLOOKUP($B62,'E-1 Off Site Hedge Baseline'!$B$1:$U$257,12,FALSE)),"",(VLOOKUP($B62,'E-1 Off Site Hedge Baseline'!$B$1:$U$257,12,FALSE))))</f>
        <v/>
      </c>
      <c r="M62" s="639" t="str">
        <f t="shared" si="8"/>
        <v/>
      </c>
      <c r="N62" s="171" t="str">
        <f>IFERROR(IF(B62="","",INDEX('G-6 Hedgerow Data'!$AN$3:$AZ$15,MATCH(C62,'G-6 Hedgerow Data'!$AM$3:$AM$15,0),MATCH(M62,'G-6 Hedgerow Data'!$AN$2:$AZ$2,0))),"")</f>
        <v/>
      </c>
      <c r="O62" s="172" t="str">
        <f t="shared" si="2"/>
        <v/>
      </c>
      <c r="P62" s="260" t="str">
        <f>IF(B62="","",VLOOKUP(B62,'E-1 Off Site Hedge Baseline'!$B$10:T307,16,FALSE))</f>
        <v/>
      </c>
      <c r="Q62" s="171" t="str">
        <f>IF(M62="","",VLOOKUP(M62,'G-6 Hedgerow Data'!$B$2:$AG$15,2,FALSE))</f>
        <v/>
      </c>
      <c r="R62" s="172" t="str">
        <f>IF(M62="","",VLOOKUP(M62,'G-6 Hedgerow Data'!$B$2:$AG$15,3,FALSE))</f>
        <v/>
      </c>
      <c r="S62" s="173"/>
      <c r="T62" s="172" t="str">
        <f>IFERROR(IF(AND(Q62="V.Low",OR(S62="Good",S62="Moderate")),"Error",VLOOKUP(S62,'G-1 All Habitats'!$Z$2:$AA$9,2,FALSE)),"")</f>
        <v/>
      </c>
      <c r="U62" s="173"/>
      <c r="V62" s="179" t="str">
        <f>IF(U62="","",IF(VLOOKUP(U62,'G-3 Multipliers'!$L$3:$N$6,2,FALSE)=0,"Spatial Data Missing",VLOOKUP(U62,'G-3 Multipliers'!$L$3:$N$6,2,FALSE)))</f>
        <v/>
      </c>
      <c r="W62" s="260" t="str">
        <f>IF(U62="","",IF(VLOOKUP(U62,'G-3 Multipliers'!$L$3:$N$6,3,FALSE)=0,"Spatial Data Missing",VLOOKUP(U62,'G-3 Multipliers'!$L$3:$N$6,3,FALSE)))</f>
        <v/>
      </c>
      <c r="X62" s="171" t="str">
        <f>IFERROR(IF(OR(LEFT(O62,5)="Error",LEFT(N62,5)="Error",T62="Error"),"Check Data",IF(F62&lt;R62,INDEX('G-6 Hedgerow Data'!$S$3:$AE$14,MATCH(C62,'G-6 Hedgerow Data'!$B$3:$B$14,0),MATCH(M62,'G-6 Hedgerow Data'!$S$2:$AE$2,0)),INDEX('G-6 Hedgerow Data'!$K$3:$Q$14,MATCH(M62,'G-6 Hedgerow Data'!$B$3:$B$14,0),MATCH(O62,'G-6 Hedgerow Data'!$K$2:$Q$2,0)))),"")</f>
        <v/>
      </c>
      <c r="Y62" s="261"/>
      <c r="Z62" s="261"/>
      <c r="AA62" s="179" t="str">
        <f t="shared" si="3"/>
        <v/>
      </c>
      <c r="AB62" s="262" t="str">
        <f t="shared" si="4"/>
        <v/>
      </c>
      <c r="AC62" s="263" t="str">
        <f t="shared" si="1"/>
        <v/>
      </c>
      <c r="AD62" s="239" t="str">
        <f>IF(M62="","",VLOOKUP(M62,'G-6 Hedgerow Data'!$B$3:$AG$15,31,FALSE))</f>
        <v/>
      </c>
      <c r="AE62" s="175" t="str">
        <f t="shared" si="5"/>
        <v/>
      </c>
      <c r="AF62" s="175" t="str">
        <f t="shared" si="6"/>
        <v/>
      </c>
      <c r="AG62" s="176" t="str">
        <f>IFERROR(IF(O62="","",VLOOKUP(AD62,'G-3 Multipliers'!$P$3:$Q$6,2,FALSE)),"")</f>
        <v/>
      </c>
      <c r="AH62" s="266"/>
      <c r="AI62" s="172" t="str">
        <f>IF(AH62="","",IF(VLOOKUP(AH62,'G-3 Multipliers'!$S$3:$T$6,2,FALSE)=0,"Spatial Data Missing",VLOOKUP(AH62,'G-3 Multipliers'!$S$3:$T$6,2,FALSE)))</f>
        <v/>
      </c>
      <c r="AJ62" s="265" t="str">
        <f t="shared" si="7"/>
        <v/>
      </c>
      <c r="AK62" s="180"/>
      <c r="AL62" s="181"/>
      <c r="AP62" s="35" t="str">
        <f>IFERROR(INDEX('G-6 Hedgerow Data'!$BJ$3:$BJ$15,MATCH(M62,'G-6 Hedgerow Data'!$B$3:$B$15,0)),"")</f>
        <v/>
      </c>
    </row>
    <row r="63" spans="2:42" ht="13.8" x14ac:dyDescent="0.25">
      <c r="B63" s="259" t="str">
        <f>'E-1 Off Site Hedge Baseline'!AK61</f>
        <v/>
      </c>
      <c r="C63" s="175" t="str">
        <f>IF(B63="","",IF(ISNA(VLOOKUP($B63,'E-1 Off Site Hedge Baseline'!$B$1:$L$257,3,FALSE)),"",(VLOOKUP($B63,'E-1 Off Site Hedge Baseline'!$B$1:$L$257,3,FALSE))))</f>
        <v/>
      </c>
      <c r="D63" s="175" t="str">
        <f>IF(B63="","",IF(ISNA(VLOOKUP($B63,'E-1 Off Site Hedge Baseline'!$B$1:$L$258,4,FALSE)),"",(VLOOKUP($B63,'E-1 Off Site Hedge Baseline'!$B$1:$L$258,4,FALSE))))</f>
        <v/>
      </c>
      <c r="E63" s="175" t="str">
        <f>IF(B63="","",IF(ISNA(VLOOKUP($B63,'E-1 Off Site Hedge Baseline'!$B$1:$L$257,5,FALSE)),"",(VLOOKUP($B63,'E-1 Off Site Hedge Baseline'!$B$1:$L$257,5,FALSE))))</f>
        <v/>
      </c>
      <c r="F63" s="175" t="str">
        <f>IF(B63="","",IF(ISNA(VLOOKUP($B63,'E-1 Off Site Hedge Baseline'!$B$1:$L$257,6,FALSE)),"",(VLOOKUP($B63,'E-1 Off Site Hedge Baseline'!$B$1:$L$257,6,FALSE))))</f>
        <v/>
      </c>
      <c r="G63" s="175" t="str">
        <f>IF(B63="","",IF(ISNA(VLOOKUP($B63,'E-1 Off Site Hedge Baseline'!$B$1:$L$257,7,FALSE)),"",(VLOOKUP($B63,'E-1 Off Site Hedge Baseline'!$B$1:$L$257,7,FALSE))))</f>
        <v/>
      </c>
      <c r="H63" s="175" t="str">
        <f>IF(B63="","",IF(ISNA(VLOOKUP($B63,'E-1 Off Site Hedge Baseline'!$B$1:$L$257,8,FALSE)),"",(VLOOKUP($B63,'E-1 Off Site Hedge Baseline'!$B$1:$L$257,8,FALSE))))</f>
        <v/>
      </c>
      <c r="I63" s="175" t="str">
        <f>IF(B63="","",IF(ISNA(VLOOKUP($B63,'E-1 Off Site Hedge Baseline'!$B$1:$L$257,10,FALSE)),"",(VLOOKUP($B63,'E-1 Off Site Hedge Baseline'!$B$1:$L$257,10,FALSE))))</f>
        <v/>
      </c>
      <c r="J63" s="175" t="str">
        <f>IF(B63="","",IF(ISNA(VLOOKUP($B63,'E-1 Off Site Hedge Baseline'!$B$1:$L$257,11,FALSE)),"",(VLOOKUP($B63,'E-1 Off Site Hedge Baseline'!$B$1:$L$257,11,FALSE))))</f>
        <v/>
      </c>
      <c r="K63" s="175" t="str">
        <f>IF(B63="","",IF(ISNA(VLOOKUP($B63,'E-1 Off Site Hedge Baseline'!$B$1:$U$257,113,FALSE)),"",(VLOOKUP($B63,'E-1 Off Site Hedge Baseline'!$B$1:$U$257,13,FALSE))))</f>
        <v/>
      </c>
      <c r="L63" s="179" t="str">
        <f>IF(B63="","",IF(ISNA(VLOOKUP($B63,'E-1 Off Site Hedge Baseline'!$B$1:$U$257,12,FALSE)),"",(VLOOKUP($B63,'E-1 Off Site Hedge Baseline'!$B$1:$U$257,12,FALSE))))</f>
        <v/>
      </c>
      <c r="M63" s="639" t="str">
        <f t="shared" si="8"/>
        <v/>
      </c>
      <c r="N63" s="171" t="str">
        <f>IFERROR(IF(B63="","",INDEX('G-6 Hedgerow Data'!$AN$3:$AZ$15,MATCH(C63,'G-6 Hedgerow Data'!$AM$3:$AM$15,0),MATCH(M63,'G-6 Hedgerow Data'!$AN$2:$AZ$2,0))),"")</f>
        <v/>
      </c>
      <c r="O63" s="172" t="str">
        <f t="shared" si="2"/>
        <v/>
      </c>
      <c r="P63" s="260" t="str">
        <f>IF(B63="","",VLOOKUP(B63,'E-1 Off Site Hedge Baseline'!$B$10:T308,16,FALSE))</f>
        <v/>
      </c>
      <c r="Q63" s="171" t="str">
        <f>IF(M63="","",VLOOKUP(M63,'G-6 Hedgerow Data'!$B$2:$AG$15,2,FALSE))</f>
        <v/>
      </c>
      <c r="R63" s="172" t="str">
        <f>IF(M63="","",VLOOKUP(M63,'G-6 Hedgerow Data'!$B$2:$AG$15,3,FALSE))</f>
        <v/>
      </c>
      <c r="S63" s="173"/>
      <c r="T63" s="172" t="str">
        <f>IFERROR(IF(AND(Q63="V.Low",OR(S63="Good",S63="Moderate")),"Error",VLOOKUP(S63,'G-1 All Habitats'!$Z$2:$AA$9,2,FALSE)),"")</f>
        <v/>
      </c>
      <c r="U63" s="173"/>
      <c r="V63" s="179" t="str">
        <f>IF(U63="","",IF(VLOOKUP(U63,'G-3 Multipliers'!$L$3:$N$6,2,FALSE)=0,"Spatial Data Missing",VLOOKUP(U63,'G-3 Multipliers'!$L$3:$N$6,2,FALSE)))</f>
        <v/>
      </c>
      <c r="W63" s="260" t="str">
        <f>IF(U63="","",IF(VLOOKUP(U63,'G-3 Multipliers'!$L$3:$N$6,3,FALSE)=0,"Spatial Data Missing",VLOOKUP(U63,'G-3 Multipliers'!$L$3:$N$6,3,FALSE)))</f>
        <v/>
      </c>
      <c r="X63" s="171" t="str">
        <f>IFERROR(IF(OR(LEFT(O63,5)="Error",LEFT(N63,5)="Error",T63="Error"),"Check Data",IF(F63&lt;R63,INDEX('G-6 Hedgerow Data'!$S$3:$AE$14,MATCH(C63,'G-6 Hedgerow Data'!$B$3:$B$14,0),MATCH(M63,'G-6 Hedgerow Data'!$S$2:$AE$2,0)),INDEX('G-6 Hedgerow Data'!$K$3:$Q$14,MATCH(M63,'G-6 Hedgerow Data'!$B$3:$B$14,0),MATCH(O63,'G-6 Hedgerow Data'!$K$2:$Q$2,0)))),"")</f>
        <v/>
      </c>
      <c r="Y63" s="261"/>
      <c r="Z63" s="261"/>
      <c r="AA63" s="179" t="str">
        <f t="shared" si="3"/>
        <v/>
      </c>
      <c r="AB63" s="262" t="str">
        <f t="shared" si="4"/>
        <v/>
      </c>
      <c r="AC63" s="263" t="str">
        <f t="shared" si="1"/>
        <v/>
      </c>
      <c r="AD63" s="239" t="str">
        <f>IF(M63="","",VLOOKUP(M63,'G-6 Hedgerow Data'!$B$3:$AG$15,31,FALSE))</f>
        <v/>
      </c>
      <c r="AE63" s="175" t="str">
        <f t="shared" si="5"/>
        <v/>
      </c>
      <c r="AF63" s="175" t="str">
        <f t="shared" si="6"/>
        <v/>
      </c>
      <c r="AG63" s="176" t="str">
        <f>IFERROR(IF(O63="","",VLOOKUP(AD63,'G-3 Multipliers'!$P$3:$Q$6,2,FALSE)),"")</f>
        <v/>
      </c>
      <c r="AH63" s="266"/>
      <c r="AI63" s="172" t="str">
        <f>IF(AH63="","",IF(VLOOKUP(AH63,'G-3 Multipliers'!$S$3:$T$6,2,FALSE)=0,"Spatial Data Missing",VLOOKUP(AH63,'G-3 Multipliers'!$S$3:$T$6,2,FALSE)))</f>
        <v/>
      </c>
      <c r="AJ63" s="265" t="str">
        <f t="shared" si="7"/>
        <v/>
      </c>
      <c r="AK63" s="180"/>
      <c r="AL63" s="181"/>
      <c r="AP63" s="35" t="str">
        <f>IFERROR(INDEX('G-6 Hedgerow Data'!$BJ$3:$BJ$15,MATCH(M63,'G-6 Hedgerow Data'!$B$3:$B$15,0)),"")</f>
        <v/>
      </c>
    </row>
    <row r="64" spans="2:42" ht="13.8" x14ac:dyDescent="0.25">
      <c r="B64" s="259" t="str">
        <f>'E-1 Off Site Hedge Baseline'!AK62</f>
        <v/>
      </c>
      <c r="C64" s="175" t="str">
        <f>IF(B64="","",IF(ISNA(VLOOKUP($B64,'E-1 Off Site Hedge Baseline'!$B$1:$L$257,3,FALSE)),"",(VLOOKUP($B64,'E-1 Off Site Hedge Baseline'!$B$1:$L$257,3,FALSE))))</f>
        <v/>
      </c>
      <c r="D64" s="175" t="str">
        <f>IF(B64="","",IF(ISNA(VLOOKUP($B64,'E-1 Off Site Hedge Baseline'!$B$1:$L$258,4,FALSE)),"",(VLOOKUP($B64,'E-1 Off Site Hedge Baseline'!$B$1:$L$258,4,FALSE))))</f>
        <v/>
      </c>
      <c r="E64" s="175" t="str">
        <f>IF(B64="","",IF(ISNA(VLOOKUP($B64,'E-1 Off Site Hedge Baseline'!$B$1:$L$257,5,FALSE)),"",(VLOOKUP($B64,'E-1 Off Site Hedge Baseline'!$B$1:$L$257,5,FALSE))))</f>
        <v/>
      </c>
      <c r="F64" s="175" t="str">
        <f>IF(B64="","",IF(ISNA(VLOOKUP($B64,'E-1 Off Site Hedge Baseline'!$B$1:$L$257,6,FALSE)),"",(VLOOKUP($B64,'E-1 Off Site Hedge Baseline'!$B$1:$L$257,6,FALSE))))</f>
        <v/>
      </c>
      <c r="G64" s="175" t="str">
        <f>IF(B64="","",IF(ISNA(VLOOKUP($B64,'E-1 Off Site Hedge Baseline'!$B$1:$L$257,7,FALSE)),"",(VLOOKUP($B64,'E-1 Off Site Hedge Baseline'!$B$1:$L$257,7,FALSE))))</f>
        <v/>
      </c>
      <c r="H64" s="175" t="str">
        <f>IF(B64="","",IF(ISNA(VLOOKUP($B64,'E-1 Off Site Hedge Baseline'!$B$1:$L$257,8,FALSE)),"",(VLOOKUP($B64,'E-1 Off Site Hedge Baseline'!$B$1:$L$257,8,FALSE))))</f>
        <v/>
      </c>
      <c r="I64" s="175" t="str">
        <f>IF(B64="","",IF(ISNA(VLOOKUP($B64,'E-1 Off Site Hedge Baseline'!$B$1:$L$257,10,FALSE)),"",(VLOOKUP($B64,'E-1 Off Site Hedge Baseline'!$B$1:$L$257,10,FALSE))))</f>
        <v/>
      </c>
      <c r="J64" s="175" t="str">
        <f>IF(B64="","",IF(ISNA(VLOOKUP($B64,'E-1 Off Site Hedge Baseline'!$B$1:$L$257,11,FALSE)),"",(VLOOKUP($B64,'E-1 Off Site Hedge Baseline'!$B$1:$L$257,11,FALSE))))</f>
        <v/>
      </c>
      <c r="K64" s="175" t="str">
        <f>IF(B64="","",IF(ISNA(VLOOKUP($B64,'E-1 Off Site Hedge Baseline'!$B$1:$U$257,113,FALSE)),"",(VLOOKUP($B64,'E-1 Off Site Hedge Baseline'!$B$1:$U$257,13,FALSE))))</f>
        <v/>
      </c>
      <c r="L64" s="179" t="str">
        <f>IF(B64="","",IF(ISNA(VLOOKUP($B64,'E-1 Off Site Hedge Baseline'!$B$1:$U$257,12,FALSE)),"",(VLOOKUP($B64,'E-1 Off Site Hedge Baseline'!$B$1:$U$257,12,FALSE))))</f>
        <v/>
      </c>
      <c r="M64" s="639" t="str">
        <f t="shared" si="8"/>
        <v/>
      </c>
      <c r="N64" s="171" t="str">
        <f>IFERROR(IF(B64="","",INDEX('G-6 Hedgerow Data'!$AN$3:$AZ$15,MATCH(C64,'G-6 Hedgerow Data'!$AM$3:$AM$15,0),MATCH(M64,'G-6 Hedgerow Data'!$AN$2:$AZ$2,0))),"")</f>
        <v/>
      </c>
      <c r="O64" s="172" t="str">
        <f t="shared" si="2"/>
        <v/>
      </c>
      <c r="P64" s="260" t="str">
        <f>IF(B64="","",VLOOKUP(B64,'E-1 Off Site Hedge Baseline'!$B$10:T309,16,FALSE))</f>
        <v/>
      </c>
      <c r="Q64" s="171" t="str">
        <f>IF(M64="","",VLOOKUP(M64,'G-6 Hedgerow Data'!$B$2:$AG$15,2,FALSE))</f>
        <v/>
      </c>
      <c r="R64" s="172" t="str">
        <f>IF(M64="","",VLOOKUP(M64,'G-6 Hedgerow Data'!$B$2:$AG$15,3,FALSE))</f>
        <v/>
      </c>
      <c r="S64" s="173"/>
      <c r="T64" s="172" t="str">
        <f>IFERROR(IF(AND(Q64="V.Low",OR(S64="Good",S64="Moderate")),"Error",VLOOKUP(S64,'G-1 All Habitats'!$Z$2:$AA$9,2,FALSE)),"")</f>
        <v/>
      </c>
      <c r="U64" s="173"/>
      <c r="V64" s="179" t="str">
        <f>IF(U64="","",IF(VLOOKUP(U64,'G-3 Multipliers'!$L$3:$N$6,2,FALSE)=0,"Spatial Data Missing",VLOOKUP(U64,'G-3 Multipliers'!$L$3:$N$6,2,FALSE)))</f>
        <v/>
      </c>
      <c r="W64" s="260" t="str">
        <f>IF(U64="","",IF(VLOOKUP(U64,'G-3 Multipliers'!$L$3:$N$6,3,FALSE)=0,"Spatial Data Missing",VLOOKUP(U64,'G-3 Multipliers'!$L$3:$N$6,3,FALSE)))</f>
        <v/>
      </c>
      <c r="X64" s="171" t="str">
        <f>IFERROR(IF(OR(LEFT(O64,5)="Error",LEFT(N64,5)="Error",T64="Error"),"Check Data",IF(F64&lt;R64,INDEX('G-6 Hedgerow Data'!$S$3:$AE$14,MATCH(C64,'G-6 Hedgerow Data'!$B$3:$B$14,0),MATCH(M64,'G-6 Hedgerow Data'!$S$2:$AE$2,0)),INDEX('G-6 Hedgerow Data'!$K$3:$Q$14,MATCH(M64,'G-6 Hedgerow Data'!$B$3:$B$14,0),MATCH(O64,'G-6 Hedgerow Data'!$K$2:$Q$2,0)))),"")</f>
        <v/>
      </c>
      <c r="Y64" s="261"/>
      <c r="Z64" s="261"/>
      <c r="AA64" s="179" t="str">
        <f t="shared" si="3"/>
        <v/>
      </c>
      <c r="AB64" s="262" t="str">
        <f t="shared" si="4"/>
        <v/>
      </c>
      <c r="AC64" s="263" t="str">
        <f t="shared" si="1"/>
        <v/>
      </c>
      <c r="AD64" s="239" t="str">
        <f>IF(M64="","",VLOOKUP(M64,'G-6 Hedgerow Data'!$B$3:$AG$15,31,FALSE))</f>
        <v/>
      </c>
      <c r="AE64" s="175" t="str">
        <f t="shared" si="5"/>
        <v/>
      </c>
      <c r="AF64" s="175" t="str">
        <f t="shared" si="6"/>
        <v/>
      </c>
      <c r="AG64" s="176" t="str">
        <f>IFERROR(IF(O64="","",VLOOKUP(AD64,'G-3 Multipliers'!$P$3:$Q$6,2,FALSE)),"")</f>
        <v/>
      </c>
      <c r="AH64" s="266"/>
      <c r="AI64" s="172" t="str">
        <f>IF(AH64="","",IF(VLOOKUP(AH64,'G-3 Multipliers'!$S$3:$T$6,2,FALSE)=0,"Spatial Data Missing",VLOOKUP(AH64,'G-3 Multipliers'!$S$3:$T$6,2,FALSE)))</f>
        <v/>
      </c>
      <c r="AJ64" s="265" t="str">
        <f t="shared" si="7"/>
        <v/>
      </c>
      <c r="AK64" s="180"/>
      <c r="AL64" s="181"/>
      <c r="AP64" s="35" t="str">
        <f>IFERROR(INDEX('G-6 Hedgerow Data'!$BJ$3:$BJ$15,MATCH(M64,'G-6 Hedgerow Data'!$B$3:$B$15,0)),"")</f>
        <v/>
      </c>
    </row>
    <row r="65" spans="2:42" ht="13.8" x14ac:dyDescent="0.25">
      <c r="B65" s="259" t="str">
        <f>'E-1 Off Site Hedge Baseline'!AK63</f>
        <v/>
      </c>
      <c r="C65" s="175" t="str">
        <f>IF(B65="","",IF(ISNA(VLOOKUP($B65,'E-1 Off Site Hedge Baseline'!$B$1:$L$257,3,FALSE)),"",(VLOOKUP($B65,'E-1 Off Site Hedge Baseline'!$B$1:$L$257,3,FALSE))))</f>
        <v/>
      </c>
      <c r="D65" s="175" t="str">
        <f>IF(B65="","",IF(ISNA(VLOOKUP($B65,'E-1 Off Site Hedge Baseline'!$B$1:$L$258,4,FALSE)),"",(VLOOKUP($B65,'E-1 Off Site Hedge Baseline'!$B$1:$L$258,4,FALSE))))</f>
        <v/>
      </c>
      <c r="E65" s="175" t="str">
        <f>IF(B65="","",IF(ISNA(VLOOKUP($B65,'E-1 Off Site Hedge Baseline'!$B$1:$L$257,5,FALSE)),"",(VLOOKUP($B65,'E-1 Off Site Hedge Baseline'!$B$1:$L$257,5,FALSE))))</f>
        <v/>
      </c>
      <c r="F65" s="175" t="str">
        <f>IF(B65="","",IF(ISNA(VLOOKUP($B65,'E-1 Off Site Hedge Baseline'!$B$1:$L$257,6,FALSE)),"",(VLOOKUP($B65,'E-1 Off Site Hedge Baseline'!$B$1:$L$257,6,FALSE))))</f>
        <v/>
      </c>
      <c r="G65" s="175" t="str">
        <f>IF(B65="","",IF(ISNA(VLOOKUP($B65,'E-1 Off Site Hedge Baseline'!$B$1:$L$257,7,FALSE)),"",(VLOOKUP($B65,'E-1 Off Site Hedge Baseline'!$B$1:$L$257,7,FALSE))))</f>
        <v/>
      </c>
      <c r="H65" s="175" t="str">
        <f>IF(B65="","",IF(ISNA(VLOOKUP($B65,'E-1 Off Site Hedge Baseline'!$B$1:$L$257,8,FALSE)),"",(VLOOKUP($B65,'E-1 Off Site Hedge Baseline'!$B$1:$L$257,8,FALSE))))</f>
        <v/>
      </c>
      <c r="I65" s="175" t="str">
        <f>IF(B65="","",IF(ISNA(VLOOKUP($B65,'E-1 Off Site Hedge Baseline'!$B$1:$L$257,10,FALSE)),"",(VLOOKUP($B65,'E-1 Off Site Hedge Baseline'!$B$1:$L$257,10,FALSE))))</f>
        <v/>
      </c>
      <c r="J65" s="175" t="str">
        <f>IF(B65="","",IF(ISNA(VLOOKUP($B65,'E-1 Off Site Hedge Baseline'!$B$1:$L$257,11,FALSE)),"",(VLOOKUP($B65,'E-1 Off Site Hedge Baseline'!$B$1:$L$257,11,FALSE))))</f>
        <v/>
      </c>
      <c r="K65" s="175" t="str">
        <f>IF(B65="","",IF(ISNA(VLOOKUP($B65,'E-1 Off Site Hedge Baseline'!$B$1:$U$257,113,FALSE)),"",(VLOOKUP($B65,'E-1 Off Site Hedge Baseline'!$B$1:$U$257,13,FALSE))))</f>
        <v/>
      </c>
      <c r="L65" s="179" t="str">
        <f>IF(B65="","",IF(ISNA(VLOOKUP($B65,'E-1 Off Site Hedge Baseline'!$B$1:$U$257,12,FALSE)),"",(VLOOKUP($B65,'E-1 Off Site Hedge Baseline'!$B$1:$U$257,12,FALSE))))</f>
        <v/>
      </c>
      <c r="M65" s="639" t="str">
        <f t="shared" si="8"/>
        <v/>
      </c>
      <c r="N65" s="171" t="str">
        <f>IFERROR(IF(B65="","",INDEX('G-6 Hedgerow Data'!$AN$3:$AZ$15,MATCH(C65,'G-6 Hedgerow Data'!$AM$3:$AM$15,0),MATCH(M65,'G-6 Hedgerow Data'!$AN$2:$AZ$2,0))),"")</f>
        <v/>
      </c>
      <c r="O65" s="172" t="str">
        <f t="shared" si="2"/>
        <v/>
      </c>
      <c r="P65" s="260" t="str">
        <f>IF(B65="","",VLOOKUP(B65,'E-1 Off Site Hedge Baseline'!$B$10:T310,16,FALSE))</f>
        <v/>
      </c>
      <c r="Q65" s="171" t="str">
        <f>IF(M65="","",VLOOKUP(M65,'G-6 Hedgerow Data'!$B$2:$AG$15,2,FALSE))</f>
        <v/>
      </c>
      <c r="R65" s="172" t="str">
        <f>IF(M65="","",VLOOKUP(M65,'G-6 Hedgerow Data'!$B$2:$AG$15,3,FALSE))</f>
        <v/>
      </c>
      <c r="S65" s="173"/>
      <c r="T65" s="172" t="str">
        <f>IFERROR(IF(AND(Q65="V.Low",OR(S65="Good",S65="Moderate")),"Error",VLOOKUP(S65,'G-1 All Habitats'!$Z$2:$AA$9,2,FALSE)),"")</f>
        <v/>
      </c>
      <c r="U65" s="173"/>
      <c r="V65" s="179" t="str">
        <f>IF(U65="","",IF(VLOOKUP(U65,'G-3 Multipliers'!$L$3:$N$6,2,FALSE)=0,"Spatial Data Missing",VLOOKUP(U65,'G-3 Multipliers'!$L$3:$N$6,2,FALSE)))</f>
        <v/>
      </c>
      <c r="W65" s="260" t="str">
        <f>IF(U65="","",IF(VLOOKUP(U65,'G-3 Multipliers'!$L$3:$N$6,3,FALSE)=0,"Spatial Data Missing",VLOOKUP(U65,'G-3 Multipliers'!$L$3:$N$6,3,FALSE)))</f>
        <v/>
      </c>
      <c r="X65" s="171" t="str">
        <f>IFERROR(IF(OR(LEFT(O65,5)="Error",LEFT(N65,5)="Error",T65="Error"),"Check Data",IF(F65&lt;R65,INDEX('G-6 Hedgerow Data'!$S$3:$AE$14,MATCH(C65,'G-6 Hedgerow Data'!$B$3:$B$14,0),MATCH(M65,'G-6 Hedgerow Data'!$S$2:$AE$2,0)),INDEX('G-6 Hedgerow Data'!$K$3:$Q$14,MATCH(M65,'G-6 Hedgerow Data'!$B$3:$B$14,0),MATCH(O65,'G-6 Hedgerow Data'!$K$2:$Q$2,0)))),"")</f>
        <v/>
      </c>
      <c r="Y65" s="261"/>
      <c r="Z65" s="261"/>
      <c r="AA65" s="179" t="str">
        <f t="shared" si="3"/>
        <v/>
      </c>
      <c r="AB65" s="262" t="str">
        <f t="shared" si="4"/>
        <v/>
      </c>
      <c r="AC65" s="263" t="str">
        <f t="shared" si="1"/>
        <v/>
      </c>
      <c r="AD65" s="239" t="str">
        <f>IF(M65="","",VLOOKUP(M65,'G-6 Hedgerow Data'!$B$3:$AG$15,31,FALSE))</f>
        <v/>
      </c>
      <c r="AE65" s="175" t="str">
        <f t="shared" si="5"/>
        <v/>
      </c>
      <c r="AF65" s="175" t="str">
        <f t="shared" si="6"/>
        <v/>
      </c>
      <c r="AG65" s="176" t="str">
        <f>IFERROR(IF(O65="","",VLOOKUP(AD65,'G-3 Multipliers'!$P$3:$Q$6,2,FALSE)),"")</f>
        <v/>
      </c>
      <c r="AH65" s="266"/>
      <c r="AI65" s="172" t="str">
        <f>IF(AH65="","",IF(VLOOKUP(AH65,'G-3 Multipliers'!$S$3:$T$6,2,FALSE)=0,"Spatial Data Missing",VLOOKUP(AH65,'G-3 Multipliers'!$S$3:$T$6,2,FALSE)))</f>
        <v/>
      </c>
      <c r="AJ65" s="265" t="str">
        <f t="shared" si="7"/>
        <v/>
      </c>
      <c r="AK65" s="180"/>
      <c r="AL65" s="181"/>
      <c r="AP65" s="35" t="str">
        <f>IFERROR(INDEX('G-6 Hedgerow Data'!$BJ$3:$BJ$15,MATCH(M65,'G-6 Hedgerow Data'!$B$3:$B$15,0)),"")</f>
        <v/>
      </c>
    </row>
    <row r="66" spans="2:42" ht="13.8" x14ac:dyDescent="0.25">
      <c r="B66" s="259" t="str">
        <f>'E-1 Off Site Hedge Baseline'!AK64</f>
        <v/>
      </c>
      <c r="C66" s="175" t="str">
        <f>IF(B66="","",IF(ISNA(VLOOKUP($B66,'E-1 Off Site Hedge Baseline'!$B$1:$L$257,3,FALSE)),"",(VLOOKUP($B66,'E-1 Off Site Hedge Baseline'!$B$1:$L$257,3,FALSE))))</f>
        <v/>
      </c>
      <c r="D66" s="175" t="str">
        <f>IF(B66="","",IF(ISNA(VLOOKUP($B66,'E-1 Off Site Hedge Baseline'!$B$1:$L$258,4,FALSE)),"",(VLOOKUP($B66,'E-1 Off Site Hedge Baseline'!$B$1:$L$258,4,FALSE))))</f>
        <v/>
      </c>
      <c r="E66" s="175" t="str">
        <f>IF(B66="","",IF(ISNA(VLOOKUP($B66,'E-1 Off Site Hedge Baseline'!$B$1:$L$257,5,FALSE)),"",(VLOOKUP($B66,'E-1 Off Site Hedge Baseline'!$B$1:$L$257,5,FALSE))))</f>
        <v/>
      </c>
      <c r="F66" s="175" t="str">
        <f>IF(B66="","",IF(ISNA(VLOOKUP($B66,'E-1 Off Site Hedge Baseline'!$B$1:$L$257,6,FALSE)),"",(VLOOKUP($B66,'E-1 Off Site Hedge Baseline'!$B$1:$L$257,6,FALSE))))</f>
        <v/>
      </c>
      <c r="G66" s="175" t="str">
        <f>IF(B66="","",IF(ISNA(VLOOKUP($B66,'E-1 Off Site Hedge Baseline'!$B$1:$L$257,7,FALSE)),"",(VLOOKUP($B66,'E-1 Off Site Hedge Baseline'!$B$1:$L$257,7,FALSE))))</f>
        <v/>
      </c>
      <c r="H66" s="175" t="str">
        <f>IF(B66="","",IF(ISNA(VLOOKUP($B66,'E-1 Off Site Hedge Baseline'!$B$1:$L$257,8,FALSE)),"",(VLOOKUP($B66,'E-1 Off Site Hedge Baseline'!$B$1:$L$257,8,FALSE))))</f>
        <v/>
      </c>
      <c r="I66" s="175" t="str">
        <f>IF(B66="","",IF(ISNA(VLOOKUP($B66,'E-1 Off Site Hedge Baseline'!$B$1:$L$257,10,FALSE)),"",(VLOOKUP($B66,'E-1 Off Site Hedge Baseline'!$B$1:$L$257,10,FALSE))))</f>
        <v/>
      </c>
      <c r="J66" s="175" t="str">
        <f>IF(B66="","",IF(ISNA(VLOOKUP($B66,'E-1 Off Site Hedge Baseline'!$B$1:$L$257,11,FALSE)),"",(VLOOKUP($B66,'E-1 Off Site Hedge Baseline'!$B$1:$L$257,11,FALSE))))</f>
        <v/>
      </c>
      <c r="K66" s="175" t="str">
        <f>IF(B66="","",IF(ISNA(VLOOKUP($B66,'E-1 Off Site Hedge Baseline'!$B$1:$U$257,113,FALSE)),"",(VLOOKUP($B66,'E-1 Off Site Hedge Baseline'!$B$1:$U$257,13,FALSE))))</f>
        <v/>
      </c>
      <c r="L66" s="179" t="str">
        <f>IF(B66="","",IF(ISNA(VLOOKUP($B66,'E-1 Off Site Hedge Baseline'!$B$1:$U$257,12,FALSE)),"",(VLOOKUP($B66,'E-1 Off Site Hedge Baseline'!$B$1:$U$257,12,FALSE))))</f>
        <v/>
      </c>
      <c r="M66" s="639" t="str">
        <f t="shared" si="8"/>
        <v/>
      </c>
      <c r="N66" s="171" t="str">
        <f>IFERROR(IF(B66="","",INDEX('G-6 Hedgerow Data'!$AN$3:$AZ$15,MATCH(C66,'G-6 Hedgerow Data'!$AM$3:$AM$15,0),MATCH(M66,'G-6 Hedgerow Data'!$AN$2:$AZ$2,0))),"")</f>
        <v/>
      </c>
      <c r="O66" s="172" t="str">
        <f t="shared" si="2"/>
        <v/>
      </c>
      <c r="P66" s="260" t="str">
        <f>IF(B66="","",VLOOKUP(B66,'E-1 Off Site Hedge Baseline'!$B$10:T311,16,FALSE))</f>
        <v/>
      </c>
      <c r="Q66" s="171" t="str">
        <f>IF(M66="","",VLOOKUP(M66,'G-6 Hedgerow Data'!$B$2:$AG$15,2,FALSE))</f>
        <v/>
      </c>
      <c r="R66" s="172" t="str">
        <f>IF(M66="","",VLOOKUP(M66,'G-6 Hedgerow Data'!$B$2:$AG$15,3,FALSE))</f>
        <v/>
      </c>
      <c r="S66" s="173"/>
      <c r="T66" s="172" t="str">
        <f>IFERROR(IF(AND(Q66="V.Low",OR(S66="Good",S66="Moderate")),"Error",VLOOKUP(S66,'G-1 All Habitats'!$Z$2:$AA$9,2,FALSE)),"")</f>
        <v/>
      </c>
      <c r="U66" s="173"/>
      <c r="V66" s="179" t="str">
        <f>IF(U66="","",IF(VLOOKUP(U66,'G-3 Multipliers'!$L$3:$N$6,2,FALSE)=0,"Spatial Data Missing",VLOOKUP(U66,'G-3 Multipliers'!$L$3:$N$6,2,FALSE)))</f>
        <v/>
      </c>
      <c r="W66" s="260" t="str">
        <f>IF(U66="","",IF(VLOOKUP(U66,'G-3 Multipliers'!$L$3:$N$6,3,FALSE)=0,"Spatial Data Missing",VLOOKUP(U66,'G-3 Multipliers'!$L$3:$N$6,3,FALSE)))</f>
        <v/>
      </c>
      <c r="X66" s="171" t="str">
        <f>IFERROR(IF(OR(LEFT(O66,5)="Error",LEFT(N66,5)="Error",T66="Error"),"Check Data",IF(F66&lt;R66,INDEX('G-6 Hedgerow Data'!$S$3:$AE$14,MATCH(C66,'G-6 Hedgerow Data'!$B$3:$B$14,0),MATCH(M66,'G-6 Hedgerow Data'!$S$2:$AE$2,0)),INDEX('G-6 Hedgerow Data'!$K$3:$Q$14,MATCH(M66,'G-6 Hedgerow Data'!$B$3:$B$14,0),MATCH(O66,'G-6 Hedgerow Data'!$K$2:$Q$2,0)))),"")</f>
        <v/>
      </c>
      <c r="Y66" s="261"/>
      <c r="Z66" s="261"/>
      <c r="AA66" s="179" t="str">
        <f t="shared" si="3"/>
        <v/>
      </c>
      <c r="AB66" s="262" t="str">
        <f t="shared" si="4"/>
        <v/>
      </c>
      <c r="AC66" s="263" t="str">
        <f t="shared" si="1"/>
        <v/>
      </c>
      <c r="AD66" s="239" t="str">
        <f>IF(M66="","",VLOOKUP(M66,'G-6 Hedgerow Data'!$B$3:$AG$15,31,FALSE))</f>
        <v/>
      </c>
      <c r="AE66" s="175" t="str">
        <f t="shared" si="5"/>
        <v/>
      </c>
      <c r="AF66" s="175" t="str">
        <f t="shared" si="6"/>
        <v/>
      </c>
      <c r="AG66" s="176" t="str">
        <f>IFERROR(IF(O66="","",VLOOKUP(AD66,'G-3 Multipliers'!$P$3:$Q$6,2,FALSE)),"")</f>
        <v/>
      </c>
      <c r="AH66" s="266"/>
      <c r="AI66" s="172" t="str">
        <f>IF(AH66="","",IF(VLOOKUP(AH66,'G-3 Multipliers'!$S$3:$T$6,2,FALSE)=0,"Spatial Data Missing",VLOOKUP(AH66,'G-3 Multipliers'!$S$3:$T$6,2,FALSE)))</f>
        <v/>
      </c>
      <c r="AJ66" s="265" t="str">
        <f t="shared" si="7"/>
        <v/>
      </c>
      <c r="AK66" s="180"/>
      <c r="AL66" s="181"/>
      <c r="AP66" s="35" t="str">
        <f>IFERROR(INDEX('G-6 Hedgerow Data'!$BJ$3:$BJ$15,MATCH(M66,'G-6 Hedgerow Data'!$B$3:$B$15,0)),"")</f>
        <v/>
      </c>
    </row>
    <row r="67" spans="2:42" ht="13.8" x14ac:dyDescent="0.25">
      <c r="B67" s="259" t="str">
        <f>'E-1 Off Site Hedge Baseline'!AK65</f>
        <v/>
      </c>
      <c r="C67" s="175" t="str">
        <f>IF(B67="","",IF(ISNA(VLOOKUP($B67,'E-1 Off Site Hedge Baseline'!$B$1:$L$257,3,FALSE)),"",(VLOOKUP($B67,'E-1 Off Site Hedge Baseline'!$B$1:$L$257,3,FALSE))))</f>
        <v/>
      </c>
      <c r="D67" s="175" t="str">
        <f>IF(B67="","",IF(ISNA(VLOOKUP($B67,'E-1 Off Site Hedge Baseline'!$B$1:$L$258,4,FALSE)),"",(VLOOKUP($B67,'E-1 Off Site Hedge Baseline'!$B$1:$L$258,4,FALSE))))</f>
        <v/>
      </c>
      <c r="E67" s="175" t="str">
        <f>IF(B67="","",IF(ISNA(VLOOKUP($B67,'E-1 Off Site Hedge Baseline'!$B$1:$L$257,5,FALSE)),"",(VLOOKUP($B67,'E-1 Off Site Hedge Baseline'!$B$1:$L$257,5,FALSE))))</f>
        <v/>
      </c>
      <c r="F67" s="175" t="str">
        <f>IF(B67="","",IF(ISNA(VLOOKUP($B67,'E-1 Off Site Hedge Baseline'!$B$1:$L$257,6,FALSE)),"",(VLOOKUP($B67,'E-1 Off Site Hedge Baseline'!$B$1:$L$257,6,FALSE))))</f>
        <v/>
      </c>
      <c r="G67" s="175" t="str">
        <f>IF(B67="","",IF(ISNA(VLOOKUP($B67,'E-1 Off Site Hedge Baseline'!$B$1:$L$257,7,FALSE)),"",(VLOOKUP($B67,'E-1 Off Site Hedge Baseline'!$B$1:$L$257,7,FALSE))))</f>
        <v/>
      </c>
      <c r="H67" s="175" t="str">
        <f>IF(B67="","",IF(ISNA(VLOOKUP($B67,'E-1 Off Site Hedge Baseline'!$B$1:$L$257,8,FALSE)),"",(VLOOKUP($B67,'E-1 Off Site Hedge Baseline'!$B$1:$L$257,8,FALSE))))</f>
        <v/>
      </c>
      <c r="I67" s="175" t="str">
        <f>IF(B67="","",IF(ISNA(VLOOKUP($B67,'E-1 Off Site Hedge Baseline'!$B$1:$L$257,10,FALSE)),"",(VLOOKUP($B67,'E-1 Off Site Hedge Baseline'!$B$1:$L$257,10,FALSE))))</f>
        <v/>
      </c>
      <c r="J67" s="175" t="str">
        <f>IF(B67="","",IF(ISNA(VLOOKUP($B67,'E-1 Off Site Hedge Baseline'!$B$1:$L$257,11,FALSE)),"",(VLOOKUP($B67,'E-1 Off Site Hedge Baseline'!$B$1:$L$257,11,FALSE))))</f>
        <v/>
      </c>
      <c r="K67" s="175" t="str">
        <f>IF(B67="","",IF(ISNA(VLOOKUP($B67,'E-1 Off Site Hedge Baseline'!$B$1:$U$257,113,FALSE)),"",(VLOOKUP($B67,'E-1 Off Site Hedge Baseline'!$B$1:$U$257,13,FALSE))))</f>
        <v/>
      </c>
      <c r="L67" s="179" t="str">
        <f>IF(B67="","",IF(ISNA(VLOOKUP($B67,'E-1 Off Site Hedge Baseline'!$B$1:$U$257,12,FALSE)),"",(VLOOKUP($B67,'E-1 Off Site Hedge Baseline'!$B$1:$U$257,12,FALSE))))</f>
        <v/>
      </c>
      <c r="M67" s="639" t="str">
        <f t="shared" si="8"/>
        <v/>
      </c>
      <c r="N67" s="171" t="str">
        <f>IFERROR(IF(B67="","",INDEX('G-6 Hedgerow Data'!$AN$3:$AZ$15,MATCH(C67,'G-6 Hedgerow Data'!$AM$3:$AM$15,0),MATCH(M67,'G-6 Hedgerow Data'!$AN$2:$AZ$2,0))),"")</f>
        <v/>
      </c>
      <c r="O67" s="172" t="str">
        <f t="shared" si="2"/>
        <v/>
      </c>
      <c r="P67" s="260" t="str">
        <f>IF(B67="","",VLOOKUP(B67,'E-1 Off Site Hedge Baseline'!$B$10:T312,16,FALSE))</f>
        <v/>
      </c>
      <c r="Q67" s="171" t="str">
        <f>IF(M67="","",VLOOKUP(M67,'G-6 Hedgerow Data'!$B$2:$AG$15,2,FALSE))</f>
        <v/>
      </c>
      <c r="R67" s="172" t="str">
        <f>IF(M67="","",VLOOKUP(M67,'G-6 Hedgerow Data'!$B$2:$AG$15,3,FALSE))</f>
        <v/>
      </c>
      <c r="S67" s="173"/>
      <c r="T67" s="172" t="str">
        <f>IFERROR(IF(AND(Q67="V.Low",OR(S67="Good",S67="Moderate")),"Error",VLOOKUP(S67,'G-1 All Habitats'!$Z$2:$AA$9,2,FALSE)),"")</f>
        <v/>
      </c>
      <c r="U67" s="173"/>
      <c r="V67" s="179" t="str">
        <f>IF(U67="","",IF(VLOOKUP(U67,'G-3 Multipliers'!$L$3:$N$6,2,FALSE)=0,"Spatial Data Missing",VLOOKUP(U67,'G-3 Multipliers'!$L$3:$N$6,2,FALSE)))</f>
        <v/>
      </c>
      <c r="W67" s="260" t="str">
        <f>IF(U67="","",IF(VLOOKUP(U67,'G-3 Multipliers'!$L$3:$N$6,3,FALSE)=0,"Spatial Data Missing",VLOOKUP(U67,'G-3 Multipliers'!$L$3:$N$6,3,FALSE)))</f>
        <v/>
      </c>
      <c r="X67" s="171" t="str">
        <f>IFERROR(IF(OR(LEFT(O67,5)="Error",LEFT(N67,5)="Error",T67="Error"),"Check Data",IF(F67&lt;R67,INDEX('G-6 Hedgerow Data'!$S$3:$AE$14,MATCH(C67,'G-6 Hedgerow Data'!$B$3:$B$14,0),MATCH(M67,'G-6 Hedgerow Data'!$S$2:$AE$2,0)),INDEX('G-6 Hedgerow Data'!$K$3:$Q$14,MATCH(M67,'G-6 Hedgerow Data'!$B$3:$B$14,0),MATCH(O67,'G-6 Hedgerow Data'!$K$2:$Q$2,0)))),"")</f>
        <v/>
      </c>
      <c r="Y67" s="261"/>
      <c r="Z67" s="261"/>
      <c r="AA67" s="179" t="str">
        <f t="shared" si="3"/>
        <v/>
      </c>
      <c r="AB67" s="262" t="str">
        <f t="shared" si="4"/>
        <v/>
      </c>
      <c r="AC67" s="263" t="str">
        <f t="shared" si="1"/>
        <v/>
      </c>
      <c r="AD67" s="239" t="str">
        <f>IF(M67="","",VLOOKUP(M67,'G-6 Hedgerow Data'!$B$3:$AG$15,31,FALSE))</f>
        <v/>
      </c>
      <c r="AE67" s="175" t="str">
        <f t="shared" si="5"/>
        <v/>
      </c>
      <c r="AF67" s="175" t="str">
        <f t="shared" si="6"/>
        <v/>
      </c>
      <c r="AG67" s="176" t="str">
        <f>IFERROR(IF(O67="","",VLOOKUP(AD67,'G-3 Multipliers'!$P$3:$Q$6,2,FALSE)),"")</f>
        <v/>
      </c>
      <c r="AH67" s="266"/>
      <c r="AI67" s="172" t="str">
        <f>IF(AH67="","",IF(VLOOKUP(AH67,'G-3 Multipliers'!$S$3:$T$6,2,FALSE)=0,"Spatial Data Missing",VLOOKUP(AH67,'G-3 Multipliers'!$S$3:$T$6,2,FALSE)))</f>
        <v/>
      </c>
      <c r="AJ67" s="265" t="str">
        <f t="shared" si="7"/>
        <v/>
      </c>
      <c r="AK67" s="180"/>
      <c r="AL67" s="181"/>
      <c r="AP67" s="35" t="str">
        <f>IFERROR(INDEX('G-6 Hedgerow Data'!$BJ$3:$BJ$15,MATCH(M67,'G-6 Hedgerow Data'!$B$3:$B$15,0)),"")</f>
        <v/>
      </c>
    </row>
    <row r="68" spans="2:42" ht="13.8" x14ac:dyDescent="0.25">
      <c r="B68" s="259" t="str">
        <f>'E-1 Off Site Hedge Baseline'!AK66</f>
        <v/>
      </c>
      <c r="C68" s="175" t="str">
        <f>IF(B68="","",IF(ISNA(VLOOKUP($B68,'E-1 Off Site Hedge Baseline'!$B$1:$L$257,3,FALSE)),"",(VLOOKUP($B68,'E-1 Off Site Hedge Baseline'!$B$1:$L$257,3,FALSE))))</f>
        <v/>
      </c>
      <c r="D68" s="175" t="str">
        <f>IF(B68="","",IF(ISNA(VLOOKUP($B68,'E-1 Off Site Hedge Baseline'!$B$1:$L$258,4,FALSE)),"",(VLOOKUP($B68,'E-1 Off Site Hedge Baseline'!$B$1:$L$258,4,FALSE))))</f>
        <v/>
      </c>
      <c r="E68" s="175" t="str">
        <f>IF(B68="","",IF(ISNA(VLOOKUP($B68,'E-1 Off Site Hedge Baseline'!$B$1:$L$257,5,FALSE)),"",(VLOOKUP($B68,'E-1 Off Site Hedge Baseline'!$B$1:$L$257,5,FALSE))))</f>
        <v/>
      </c>
      <c r="F68" s="175" t="str">
        <f>IF(B68="","",IF(ISNA(VLOOKUP($B68,'E-1 Off Site Hedge Baseline'!$B$1:$L$257,6,FALSE)),"",(VLOOKUP($B68,'E-1 Off Site Hedge Baseline'!$B$1:$L$257,6,FALSE))))</f>
        <v/>
      </c>
      <c r="G68" s="175" t="str">
        <f>IF(B68="","",IF(ISNA(VLOOKUP($B68,'E-1 Off Site Hedge Baseline'!$B$1:$L$257,7,FALSE)),"",(VLOOKUP($B68,'E-1 Off Site Hedge Baseline'!$B$1:$L$257,7,FALSE))))</f>
        <v/>
      </c>
      <c r="H68" s="175" t="str">
        <f>IF(B68="","",IF(ISNA(VLOOKUP($B68,'E-1 Off Site Hedge Baseline'!$B$1:$L$257,8,FALSE)),"",(VLOOKUP($B68,'E-1 Off Site Hedge Baseline'!$B$1:$L$257,8,FALSE))))</f>
        <v/>
      </c>
      <c r="I68" s="175" t="str">
        <f>IF(B68="","",IF(ISNA(VLOOKUP($B68,'E-1 Off Site Hedge Baseline'!$B$1:$L$257,10,FALSE)),"",(VLOOKUP($B68,'E-1 Off Site Hedge Baseline'!$B$1:$L$257,10,FALSE))))</f>
        <v/>
      </c>
      <c r="J68" s="175" t="str">
        <f>IF(B68="","",IF(ISNA(VLOOKUP($B68,'E-1 Off Site Hedge Baseline'!$B$1:$L$257,11,FALSE)),"",(VLOOKUP($B68,'E-1 Off Site Hedge Baseline'!$B$1:$L$257,11,FALSE))))</f>
        <v/>
      </c>
      <c r="K68" s="175" t="str">
        <f>IF(B68="","",IF(ISNA(VLOOKUP($B68,'E-1 Off Site Hedge Baseline'!$B$1:$U$257,113,FALSE)),"",(VLOOKUP($B68,'E-1 Off Site Hedge Baseline'!$B$1:$U$257,13,FALSE))))</f>
        <v/>
      </c>
      <c r="L68" s="179" t="str">
        <f>IF(B68="","",IF(ISNA(VLOOKUP($B68,'E-1 Off Site Hedge Baseline'!$B$1:$U$257,12,FALSE)),"",(VLOOKUP($B68,'E-1 Off Site Hedge Baseline'!$B$1:$U$257,12,FALSE))))</f>
        <v/>
      </c>
      <c r="M68" s="639" t="str">
        <f t="shared" si="8"/>
        <v/>
      </c>
      <c r="N68" s="171" t="str">
        <f>IFERROR(IF(B68="","",INDEX('G-6 Hedgerow Data'!$AN$3:$AZ$15,MATCH(C68,'G-6 Hedgerow Data'!$AM$3:$AM$15,0),MATCH(M68,'G-6 Hedgerow Data'!$AN$2:$AZ$2,0))),"")</f>
        <v/>
      </c>
      <c r="O68" s="172" t="str">
        <f t="shared" si="2"/>
        <v/>
      </c>
      <c r="P68" s="260" t="str">
        <f>IF(B68="","",VLOOKUP(B68,'E-1 Off Site Hedge Baseline'!$B$10:T313,16,FALSE))</f>
        <v/>
      </c>
      <c r="Q68" s="171" t="str">
        <f>IF(M68="","",VLOOKUP(M68,'G-6 Hedgerow Data'!$B$2:$AG$15,2,FALSE))</f>
        <v/>
      </c>
      <c r="R68" s="172" t="str">
        <f>IF(M68="","",VLOOKUP(M68,'G-6 Hedgerow Data'!$B$2:$AG$15,3,FALSE))</f>
        <v/>
      </c>
      <c r="S68" s="173"/>
      <c r="T68" s="172" t="str">
        <f>IFERROR(IF(AND(Q68="V.Low",OR(S68="Good",S68="Moderate")),"Error",VLOOKUP(S68,'G-1 All Habitats'!$Z$2:$AA$9,2,FALSE)),"")</f>
        <v/>
      </c>
      <c r="U68" s="173"/>
      <c r="V68" s="179" t="str">
        <f>IF(U68="","",IF(VLOOKUP(U68,'G-3 Multipliers'!$L$3:$N$6,2,FALSE)=0,"Spatial Data Missing",VLOOKUP(U68,'G-3 Multipliers'!$L$3:$N$6,2,FALSE)))</f>
        <v/>
      </c>
      <c r="W68" s="260" t="str">
        <f>IF(U68="","",IF(VLOOKUP(U68,'G-3 Multipliers'!$L$3:$N$6,3,FALSE)=0,"Spatial Data Missing",VLOOKUP(U68,'G-3 Multipliers'!$L$3:$N$6,3,FALSE)))</f>
        <v/>
      </c>
      <c r="X68" s="171" t="str">
        <f>IFERROR(IF(OR(LEFT(O68,5)="Error",LEFT(N68,5)="Error",T68="Error"),"Check Data",IF(F68&lt;R68,INDEX('G-6 Hedgerow Data'!$S$3:$AE$14,MATCH(C68,'G-6 Hedgerow Data'!$B$3:$B$14,0),MATCH(M68,'G-6 Hedgerow Data'!$S$2:$AE$2,0)),INDEX('G-6 Hedgerow Data'!$K$3:$Q$14,MATCH(M68,'G-6 Hedgerow Data'!$B$3:$B$14,0),MATCH(O68,'G-6 Hedgerow Data'!$K$2:$Q$2,0)))),"")</f>
        <v/>
      </c>
      <c r="Y68" s="261"/>
      <c r="Z68" s="261"/>
      <c r="AA68" s="179" t="str">
        <f t="shared" si="3"/>
        <v/>
      </c>
      <c r="AB68" s="262" t="str">
        <f t="shared" si="4"/>
        <v/>
      </c>
      <c r="AC68" s="263" t="str">
        <f t="shared" si="1"/>
        <v/>
      </c>
      <c r="AD68" s="239" t="str">
        <f>IF(M68="","",VLOOKUP(M68,'G-6 Hedgerow Data'!$B$3:$AG$15,31,FALSE))</f>
        <v/>
      </c>
      <c r="AE68" s="175" t="str">
        <f t="shared" si="5"/>
        <v/>
      </c>
      <c r="AF68" s="175" t="str">
        <f t="shared" si="6"/>
        <v/>
      </c>
      <c r="AG68" s="176" t="str">
        <f>IFERROR(IF(O68="","",VLOOKUP(AD68,'G-3 Multipliers'!$P$3:$Q$6,2,FALSE)),"")</f>
        <v/>
      </c>
      <c r="AH68" s="266"/>
      <c r="AI68" s="172" t="str">
        <f>IF(AH68="","",IF(VLOOKUP(AH68,'G-3 Multipliers'!$S$3:$T$6,2,FALSE)=0,"Spatial Data Missing",VLOOKUP(AH68,'G-3 Multipliers'!$S$3:$T$6,2,FALSE)))</f>
        <v/>
      </c>
      <c r="AJ68" s="265" t="str">
        <f t="shared" si="7"/>
        <v/>
      </c>
      <c r="AK68" s="180"/>
      <c r="AL68" s="181"/>
      <c r="AP68" s="35" t="str">
        <f>IFERROR(INDEX('G-6 Hedgerow Data'!$BJ$3:$BJ$15,MATCH(M68,'G-6 Hedgerow Data'!$B$3:$B$15,0)),"")</f>
        <v/>
      </c>
    </row>
    <row r="69" spans="2:42" ht="13.8" x14ac:dyDescent="0.25">
      <c r="B69" s="259" t="str">
        <f>'E-1 Off Site Hedge Baseline'!AK67</f>
        <v/>
      </c>
      <c r="C69" s="175" t="str">
        <f>IF(B69="","",IF(ISNA(VLOOKUP($B69,'E-1 Off Site Hedge Baseline'!$B$1:$L$257,3,FALSE)),"",(VLOOKUP($B69,'E-1 Off Site Hedge Baseline'!$B$1:$L$257,3,FALSE))))</f>
        <v/>
      </c>
      <c r="D69" s="175" t="str">
        <f>IF(B69="","",IF(ISNA(VLOOKUP($B69,'E-1 Off Site Hedge Baseline'!$B$1:$L$258,4,FALSE)),"",(VLOOKUP($B69,'E-1 Off Site Hedge Baseline'!$B$1:$L$258,4,FALSE))))</f>
        <v/>
      </c>
      <c r="E69" s="175" t="str">
        <f>IF(B69="","",IF(ISNA(VLOOKUP($B69,'E-1 Off Site Hedge Baseline'!$B$1:$L$257,5,FALSE)),"",(VLOOKUP($B69,'E-1 Off Site Hedge Baseline'!$B$1:$L$257,5,FALSE))))</f>
        <v/>
      </c>
      <c r="F69" s="175" t="str">
        <f>IF(B69="","",IF(ISNA(VLOOKUP($B69,'E-1 Off Site Hedge Baseline'!$B$1:$L$257,6,FALSE)),"",(VLOOKUP($B69,'E-1 Off Site Hedge Baseline'!$B$1:$L$257,6,FALSE))))</f>
        <v/>
      </c>
      <c r="G69" s="175" t="str">
        <f>IF(B69="","",IF(ISNA(VLOOKUP($B69,'E-1 Off Site Hedge Baseline'!$B$1:$L$257,7,FALSE)),"",(VLOOKUP($B69,'E-1 Off Site Hedge Baseline'!$B$1:$L$257,7,FALSE))))</f>
        <v/>
      </c>
      <c r="H69" s="175" t="str">
        <f>IF(B69="","",IF(ISNA(VLOOKUP($B69,'E-1 Off Site Hedge Baseline'!$B$1:$L$257,8,FALSE)),"",(VLOOKUP($B69,'E-1 Off Site Hedge Baseline'!$B$1:$L$257,8,FALSE))))</f>
        <v/>
      </c>
      <c r="I69" s="175" t="str">
        <f>IF(B69="","",IF(ISNA(VLOOKUP($B69,'E-1 Off Site Hedge Baseline'!$B$1:$L$257,10,FALSE)),"",(VLOOKUP($B69,'E-1 Off Site Hedge Baseline'!$B$1:$L$257,10,FALSE))))</f>
        <v/>
      </c>
      <c r="J69" s="175" t="str">
        <f>IF(B69="","",IF(ISNA(VLOOKUP($B69,'E-1 Off Site Hedge Baseline'!$B$1:$L$257,11,FALSE)),"",(VLOOKUP($B69,'E-1 Off Site Hedge Baseline'!$B$1:$L$257,11,FALSE))))</f>
        <v/>
      </c>
      <c r="K69" s="175" t="str">
        <f>IF(B69="","",IF(ISNA(VLOOKUP($B69,'E-1 Off Site Hedge Baseline'!$B$1:$U$257,113,FALSE)),"",(VLOOKUP($B69,'E-1 Off Site Hedge Baseline'!$B$1:$U$257,13,FALSE))))</f>
        <v/>
      </c>
      <c r="L69" s="179" t="str">
        <f>IF(B69="","",IF(ISNA(VLOOKUP($B69,'E-1 Off Site Hedge Baseline'!$B$1:$U$257,12,FALSE)),"",(VLOOKUP($B69,'E-1 Off Site Hedge Baseline'!$B$1:$U$257,12,FALSE))))</f>
        <v/>
      </c>
      <c r="M69" s="639" t="str">
        <f t="shared" si="8"/>
        <v/>
      </c>
      <c r="N69" s="171" t="str">
        <f>IFERROR(IF(B69="","",INDEX('G-6 Hedgerow Data'!$AN$3:$AZ$15,MATCH(C69,'G-6 Hedgerow Data'!$AM$3:$AM$15,0),MATCH(M69,'G-6 Hedgerow Data'!$AN$2:$AZ$2,0))),"")</f>
        <v/>
      </c>
      <c r="O69" s="172" t="str">
        <f t="shared" si="2"/>
        <v/>
      </c>
      <c r="P69" s="260" t="str">
        <f>IF(B69="","",VLOOKUP(B69,'E-1 Off Site Hedge Baseline'!$B$10:T314,16,FALSE))</f>
        <v/>
      </c>
      <c r="Q69" s="171" t="str">
        <f>IF(M69="","",VLOOKUP(M69,'G-6 Hedgerow Data'!$B$2:$AG$15,2,FALSE))</f>
        <v/>
      </c>
      <c r="R69" s="172" t="str">
        <f>IF(M69="","",VLOOKUP(M69,'G-6 Hedgerow Data'!$B$2:$AG$15,3,FALSE))</f>
        <v/>
      </c>
      <c r="S69" s="173"/>
      <c r="T69" s="172" t="str">
        <f>IFERROR(IF(AND(Q69="V.Low",OR(S69="Good",S69="Moderate")),"Error",VLOOKUP(S69,'G-1 All Habitats'!$Z$2:$AA$9,2,FALSE)),"")</f>
        <v/>
      </c>
      <c r="U69" s="173"/>
      <c r="V69" s="179" t="str">
        <f>IF(U69="","",IF(VLOOKUP(U69,'G-3 Multipliers'!$L$3:$N$6,2,FALSE)=0,"Spatial Data Missing",VLOOKUP(U69,'G-3 Multipliers'!$L$3:$N$6,2,FALSE)))</f>
        <v/>
      </c>
      <c r="W69" s="260" t="str">
        <f>IF(U69="","",IF(VLOOKUP(U69,'G-3 Multipliers'!$L$3:$N$6,3,FALSE)=0,"Spatial Data Missing",VLOOKUP(U69,'G-3 Multipliers'!$L$3:$N$6,3,FALSE)))</f>
        <v/>
      </c>
      <c r="X69" s="171" t="str">
        <f>IFERROR(IF(OR(LEFT(O69,5)="Error",LEFT(N69,5)="Error",T69="Error"),"Check Data",IF(F69&lt;R69,INDEX('G-6 Hedgerow Data'!$S$3:$AE$14,MATCH(C69,'G-6 Hedgerow Data'!$B$3:$B$14,0),MATCH(M69,'G-6 Hedgerow Data'!$S$2:$AE$2,0)),INDEX('G-6 Hedgerow Data'!$K$3:$Q$14,MATCH(M69,'G-6 Hedgerow Data'!$B$3:$B$14,0),MATCH(O69,'G-6 Hedgerow Data'!$K$2:$Q$2,0)))),"")</f>
        <v/>
      </c>
      <c r="Y69" s="261"/>
      <c r="Z69" s="261"/>
      <c r="AA69" s="179" t="str">
        <f t="shared" si="3"/>
        <v/>
      </c>
      <c r="AB69" s="262" t="str">
        <f t="shared" si="4"/>
        <v/>
      </c>
      <c r="AC69" s="263" t="str">
        <f t="shared" si="1"/>
        <v/>
      </c>
      <c r="AD69" s="239" t="str">
        <f>IF(M69="","",VLOOKUP(M69,'G-6 Hedgerow Data'!$B$3:$AG$15,31,FALSE))</f>
        <v/>
      </c>
      <c r="AE69" s="175" t="str">
        <f t="shared" si="5"/>
        <v/>
      </c>
      <c r="AF69" s="175" t="str">
        <f t="shared" si="6"/>
        <v/>
      </c>
      <c r="AG69" s="176" t="str">
        <f>IFERROR(IF(O69="","",VLOOKUP(AD69,'G-3 Multipliers'!$P$3:$Q$6,2,FALSE)),"")</f>
        <v/>
      </c>
      <c r="AH69" s="266"/>
      <c r="AI69" s="172" t="str">
        <f>IF(AH69="","",IF(VLOOKUP(AH69,'G-3 Multipliers'!$S$3:$T$6,2,FALSE)=0,"Spatial Data Missing",VLOOKUP(AH69,'G-3 Multipliers'!$S$3:$T$6,2,FALSE)))</f>
        <v/>
      </c>
      <c r="AJ69" s="265" t="str">
        <f t="shared" si="7"/>
        <v/>
      </c>
      <c r="AK69" s="180"/>
      <c r="AL69" s="181"/>
      <c r="AP69" s="35" t="str">
        <f>IFERROR(INDEX('G-6 Hedgerow Data'!$BJ$3:$BJ$15,MATCH(M69,'G-6 Hedgerow Data'!$B$3:$B$15,0)),"")</f>
        <v/>
      </c>
    </row>
    <row r="70" spans="2:42" ht="13.8" x14ac:dyDescent="0.25">
      <c r="B70" s="259" t="str">
        <f>'E-1 Off Site Hedge Baseline'!AK68</f>
        <v/>
      </c>
      <c r="C70" s="175" t="str">
        <f>IF(B70="","",IF(ISNA(VLOOKUP($B70,'E-1 Off Site Hedge Baseline'!$B$1:$L$257,3,FALSE)),"",(VLOOKUP($B70,'E-1 Off Site Hedge Baseline'!$B$1:$L$257,3,FALSE))))</f>
        <v/>
      </c>
      <c r="D70" s="175" t="str">
        <f>IF(B70="","",IF(ISNA(VLOOKUP($B70,'E-1 Off Site Hedge Baseline'!$B$1:$L$258,4,FALSE)),"",(VLOOKUP($B70,'E-1 Off Site Hedge Baseline'!$B$1:$L$258,4,FALSE))))</f>
        <v/>
      </c>
      <c r="E70" s="175" t="str">
        <f>IF(B70="","",IF(ISNA(VLOOKUP($B70,'E-1 Off Site Hedge Baseline'!$B$1:$L$257,5,FALSE)),"",(VLOOKUP($B70,'E-1 Off Site Hedge Baseline'!$B$1:$L$257,5,FALSE))))</f>
        <v/>
      </c>
      <c r="F70" s="175" t="str">
        <f>IF(B70="","",IF(ISNA(VLOOKUP($B70,'E-1 Off Site Hedge Baseline'!$B$1:$L$257,6,FALSE)),"",(VLOOKUP($B70,'E-1 Off Site Hedge Baseline'!$B$1:$L$257,6,FALSE))))</f>
        <v/>
      </c>
      <c r="G70" s="175" t="str">
        <f>IF(B70="","",IF(ISNA(VLOOKUP($B70,'E-1 Off Site Hedge Baseline'!$B$1:$L$257,7,FALSE)),"",(VLOOKUP($B70,'E-1 Off Site Hedge Baseline'!$B$1:$L$257,7,FALSE))))</f>
        <v/>
      </c>
      <c r="H70" s="175" t="str">
        <f>IF(B70="","",IF(ISNA(VLOOKUP($B70,'E-1 Off Site Hedge Baseline'!$B$1:$L$257,8,FALSE)),"",(VLOOKUP($B70,'E-1 Off Site Hedge Baseline'!$B$1:$L$257,8,FALSE))))</f>
        <v/>
      </c>
      <c r="I70" s="175" t="str">
        <f>IF(B70="","",IF(ISNA(VLOOKUP($B70,'E-1 Off Site Hedge Baseline'!$B$1:$L$257,10,FALSE)),"",(VLOOKUP($B70,'E-1 Off Site Hedge Baseline'!$B$1:$L$257,10,FALSE))))</f>
        <v/>
      </c>
      <c r="J70" s="175" t="str">
        <f>IF(B70="","",IF(ISNA(VLOOKUP($B70,'E-1 Off Site Hedge Baseline'!$B$1:$L$257,11,FALSE)),"",(VLOOKUP($B70,'E-1 Off Site Hedge Baseline'!$B$1:$L$257,11,FALSE))))</f>
        <v/>
      </c>
      <c r="K70" s="175" t="str">
        <f>IF(B70="","",IF(ISNA(VLOOKUP($B70,'E-1 Off Site Hedge Baseline'!$B$1:$U$257,113,FALSE)),"",(VLOOKUP($B70,'E-1 Off Site Hedge Baseline'!$B$1:$U$257,13,FALSE))))</f>
        <v/>
      </c>
      <c r="L70" s="179" t="str">
        <f>IF(B70="","",IF(ISNA(VLOOKUP($B70,'E-1 Off Site Hedge Baseline'!$B$1:$U$257,12,FALSE)),"",(VLOOKUP($B70,'E-1 Off Site Hedge Baseline'!$B$1:$U$257,12,FALSE))))</f>
        <v/>
      </c>
      <c r="M70" s="639" t="str">
        <f t="shared" si="8"/>
        <v/>
      </c>
      <c r="N70" s="171" t="str">
        <f>IFERROR(IF(B70="","",INDEX('G-6 Hedgerow Data'!$AN$3:$AZ$15,MATCH(C70,'G-6 Hedgerow Data'!$AM$3:$AM$15,0),MATCH(M70,'G-6 Hedgerow Data'!$AN$2:$AZ$2,0))),"")</f>
        <v/>
      </c>
      <c r="O70" s="172" t="str">
        <f t="shared" si="2"/>
        <v/>
      </c>
      <c r="P70" s="260" t="str">
        <f>IF(B70="","",VLOOKUP(B70,'E-1 Off Site Hedge Baseline'!$B$10:T315,16,FALSE))</f>
        <v/>
      </c>
      <c r="Q70" s="171" t="str">
        <f>IF(M70="","",VLOOKUP(M70,'G-6 Hedgerow Data'!$B$2:$AG$15,2,FALSE))</f>
        <v/>
      </c>
      <c r="R70" s="172" t="str">
        <f>IF(M70="","",VLOOKUP(M70,'G-6 Hedgerow Data'!$B$2:$AG$15,3,FALSE))</f>
        <v/>
      </c>
      <c r="S70" s="173"/>
      <c r="T70" s="172" t="str">
        <f>IFERROR(IF(AND(Q70="V.Low",OR(S70="Good",S70="Moderate")),"Error",VLOOKUP(S70,'G-1 All Habitats'!$Z$2:$AA$9,2,FALSE)),"")</f>
        <v/>
      </c>
      <c r="U70" s="173"/>
      <c r="V70" s="179" t="str">
        <f>IF(U70="","",IF(VLOOKUP(U70,'G-3 Multipliers'!$L$3:$N$6,2,FALSE)=0,"Spatial Data Missing",VLOOKUP(U70,'G-3 Multipliers'!$L$3:$N$6,2,FALSE)))</f>
        <v/>
      </c>
      <c r="W70" s="260" t="str">
        <f>IF(U70="","",IF(VLOOKUP(U70,'G-3 Multipliers'!$L$3:$N$6,3,FALSE)=0,"Spatial Data Missing",VLOOKUP(U70,'G-3 Multipliers'!$L$3:$N$6,3,FALSE)))</f>
        <v/>
      </c>
      <c r="X70" s="171" t="str">
        <f>IFERROR(IF(OR(LEFT(O70,5)="Error",LEFT(N70,5)="Error",T70="Error"),"Check Data",IF(F70&lt;R70,INDEX('G-6 Hedgerow Data'!$S$3:$AE$14,MATCH(C70,'G-6 Hedgerow Data'!$B$3:$B$14,0),MATCH(M70,'G-6 Hedgerow Data'!$S$2:$AE$2,0)),INDEX('G-6 Hedgerow Data'!$K$3:$Q$14,MATCH(M70,'G-6 Hedgerow Data'!$B$3:$B$14,0),MATCH(O70,'G-6 Hedgerow Data'!$K$2:$Q$2,0)))),"")</f>
        <v/>
      </c>
      <c r="Y70" s="261"/>
      <c r="Z70" s="261"/>
      <c r="AA70" s="179" t="str">
        <f t="shared" si="3"/>
        <v/>
      </c>
      <c r="AB70" s="262" t="str">
        <f t="shared" si="4"/>
        <v/>
      </c>
      <c r="AC70" s="263" t="str">
        <f t="shared" si="1"/>
        <v/>
      </c>
      <c r="AD70" s="239" t="str">
        <f>IF(M70="","",VLOOKUP(M70,'G-6 Hedgerow Data'!$B$3:$AG$15,31,FALSE))</f>
        <v/>
      </c>
      <c r="AE70" s="175" t="str">
        <f t="shared" si="5"/>
        <v/>
      </c>
      <c r="AF70" s="175" t="str">
        <f t="shared" si="6"/>
        <v/>
      </c>
      <c r="AG70" s="176" t="str">
        <f>IFERROR(IF(O70="","",VLOOKUP(AD70,'G-3 Multipliers'!$P$3:$Q$6,2,FALSE)),"")</f>
        <v/>
      </c>
      <c r="AH70" s="266"/>
      <c r="AI70" s="172" t="str">
        <f>IF(AH70="","",IF(VLOOKUP(AH70,'G-3 Multipliers'!$S$3:$T$6,2,FALSE)=0,"Spatial Data Missing",VLOOKUP(AH70,'G-3 Multipliers'!$S$3:$T$6,2,FALSE)))</f>
        <v/>
      </c>
      <c r="AJ70" s="265" t="str">
        <f t="shared" si="7"/>
        <v/>
      </c>
      <c r="AK70" s="180"/>
      <c r="AL70" s="181"/>
      <c r="AP70" s="35" t="str">
        <f>IFERROR(INDEX('G-6 Hedgerow Data'!$BJ$3:$BJ$15,MATCH(M70,'G-6 Hedgerow Data'!$B$3:$B$15,0)),"")</f>
        <v/>
      </c>
    </row>
    <row r="71" spans="2:42" ht="13.8" x14ac:dyDescent="0.25">
      <c r="B71" s="259" t="str">
        <f>'E-1 Off Site Hedge Baseline'!AK69</f>
        <v/>
      </c>
      <c r="C71" s="175" t="str">
        <f>IF(B71="","",IF(ISNA(VLOOKUP($B71,'E-1 Off Site Hedge Baseline'!$B$1:$L$257,3,FALSE)),"",(VLOOKUP($B71,'E-1 Off Site Hedge Baseline'!$B$1:$L$257,3,FALSE))))</f>
        <v/>
      </c>
      <c r="D71" s="175" t="str">
        <f>IF(B71="","",IF(ISNA(VLOOKUP($B71,'E-1 Off Site Hedge Baseline'!$B$1:$L$258,4,FALSE)),"",(VLOOKUP($B71,'E-1 Off Site Hedge Baseline'!$B$1:$L$258,4,FALSE))))</f>
        <v/>
      </c>
      <c r="E71" s="175" t="str">
        <f>IF(B71="","",IF(ISNA(VLOOKUP($B71,'E-1 Off Site Hedge Baseline'!$B$1:$L$257,5,FALSE)),"",(VLOOKUP($B71,'E-1 Off Site Hedge Baseline'!$B$1:$L$257,5,FALSE))))</f>
        <v/>
      </c>
      <c r="F71" s="175" t="str">
        <f>IF(B71="","",IF(ISNA(VLOOKUP($B71,'E-1 Off Site Hedge Baseline'!$B$1:$L$257,6,FALSE)),"",(VLOOKUP($B71,'E-1 Off Site Hedge Baseline'!$B$1:$L$257,6,FALSE))))</f>
        <v/>
      </c>
      <c r="G71" s="175" t="str">
        <f>IF(B71="","",IF(ISNA(VLOOKUP($B71,'E-1 Off Site Hedge Baseline'!$B$1:$L$257,7,FALSE)),"",(VLOOKUP($B71,'E-1 Off Site Hedge Baseline'!$B$1:$L$257,7,FALSE))))</f>
        <v/>
      </c>
      <c r="H71" s="175" t="str">
        <f>IF(B71="","",IF(ISNA(VLOOKUP($B71,'E-1 Off Site Hedge Baseline'!$B$1:$L$257,8,FALSE)),"",(VLOOKUP($B71,'E-1 Off Site Hedge Baseline'!$B$1:$L$257,8,FALSE))))</f>
        <v/>
      </c>
      <c r="I71" s="175" t="str">
        <f>IF(B71="","",IF(ISNA(VLOOKUP($B71,'E-1 Off Site Hedge Baseline'!$B$1:$L$257,10,FALSE)),"",(VLOOKUP($B71,'E-1 Off Site Hedge Baseline'!$B$1:$L$257,10,FALSE))))</f>
        <v/>
      </c>
      <c r="J71" s="175" t="str">
        <f>IF(B71="","",IF(ISNA(VLOOKUP($B71,'E-1 Off Site Hedge Baseline'!$B$1:$L$257,11,FALSE)),"",(VLOOKUP($B71,'E-1 Off Site Hedge Baseline'!$B$1:$L$257,11,FALSE))))</f>
        <v/>
      </c>
      <c r="K71" s="175" t="str">
        <f>IF(B71="","",IF(ISNA(VLOOKUP($B71,'E-1 Off Site Hedge Baseline'!$B$1:$U$257,113,FALSE)),"",(VLOOKUP($B71,'E-1 Off Site Hedge Baseline'!$B$1:$U$257,13,FALSE))))</f>
        <v/>
      </c>
      <c r="L71" s="179" t="str">
        <f>IF(B71="","",IF(ISNA(VLOOKUP($B71,'E-1 Off Site Hedge Baseline'!$B$1:$U$257,12,FALSE)),"",(VLOOKUP($B71,'E-1 Off Site Hedge Baseline'!$B$1:$U$257,12,FALSE))))</f>
        <v/>
      </c>
      <c r="M71" s="639" t="str">
        <f t="shared" si="8"/>
        <v/>
      </c>
      <c r="N71" s="171" t="str">
        <f>IFERROR(IF(B71="","",INDEX('G-6 Hedgerow Data'!$AN$3:$AZ$15,MATCH(C71,'G-6 Hedgerow Data'!$AM$3:$AM$15,0),MATCH(M71,'G-6 Hedgerow Data'!$AN$2:$AZ$2,0))),"")</f>
        <v/>
      </c>
      <c r="O71" s="172" t="str">
        <f t="shared" si="2"/>
        <v/>
      </c>
      <c r="P71" s="260" t="str">
        <f>IF(B71="","",VLOOKUP(B71,'E-1 Off Site Hedge Baseline'!$B$10:T316,16,FALSE))</f>
        <v/>
      </c>
      <c r="Q71" s="171" t="str">
        <f>IF(M71="","",VLOOKUP(M71,'G-6 Hedgerow Data'!$B$2:$AG$15,2,FALSE))</f>
        <v/>
      </c>
      <c r="R71" s="172" t="str">
        <f>IF(M71="","",VLOOKUP(M71,'G-6 Hedgerow Data'!$B$2:$AG$15,3,FALSE))</f>
        <v/>
      </c>
      <c r="S71" s="173"/>
      <c r="T71" s="172" t="str">
        <f>IFERROR(IF(AND(Q71="V.Low",OR(S71="Good",S71="Moderate")),"Error",VLOOKUP(S71,'G-1 All Habitats'!$Z$2:$AA$9,2,FALSE)),"")</f>
        <v/>
      </c>
      <c r="U71" s="173"/>
      <c r="V71" s="179" t="str">
        <f>IF(U71="","",IF(VLOOKUP(U71,'G-3 Multipliers'!$L$3:$N$6,2,FALSE)=0,"Spatial Data Missing",VLOOKUP(U71,'G-3 Multipliers'!$L$3:$N$6,2,FALSE)))</f>
        <v/>
      </c>
      <c r="W71" s="260" t="str">
        <f>IF(U71="","",IF(VLOOKUP(U71,'G-3 Multipliers'!$L$3:$N$6,3,FALSE)=0,"Spatial Data Missing",VLOOKUP(U71,'G-3 Multipliers'!$L$3:$N$6,3,FALSE)))</f>
        <v/>
      </c>
      <c r="X71" s="171" t="str">
        <f>IFERROR(IF(OR(LEFT(O71,5)="Error",LEFT(N71,5)="Error",T71="Error"),"Check Data",IF(F71&lt;R71,INDEX('G-6 Hedgerow Data'!$S$3:$AE$14,MATCH(C71,'G-6 Hedgerow Data'!$B$3:$B$14,0),MATCH(M71,'G-6 Hedgerow Data'!$S$2:$AE$2,0)),INDEX('G-6 Hedgerow Data'!$K$3:$Q$14,MATCH(M71,'G-6 Hedgerow Data'!$B$3:$B$14,0),MATCH(O71,'G-6 Hedgerow Data'!$K$2:$Q$2,0)))),"")</f>
        <v/>
      </c>
      <c r="Y71" s="261"/>
      <c r="Z71" s="261"/>
      <c r="AA71" s="179" t="str">
        <f t="shared" si="3"/>
        <v/>
      </c>
      <c r="AB71" s="262" t="str">
        <f t="shared" si="4"/>
        <v/>
      </c>
      <c r="AC71" s="263" t="str">
        <f t="shared" si="1"/>
        <v/>
      </c>
      <c r="AD71" s="239" t="str">
        <f>IF(M71="","",VLOOKUP(M71,'G-6 Hedgerow Data'!$B$3:$AG$15,31,FALSE))</f>
        <v/>
      </c>
      <c r="AE71" s="175" t="str">
        <f t="shared" si="5"/>
        <v/>
      </c>
      <c r="AF71" s="175" t="str">
        <f t="shared" si="6"/>
        <v/>
      </c>
      <c r="AG71" s="176" t="str">
        <f>IFERROR(IF(O71="","",VLOOKUP(AD71,'G-3 Multipliers'!$P$3:$Q$6,2,FALSE)),"")</f>
        <v/>
      </c>
      <c r="AH71" s="266"/>
      <c r="AI71" s="172" t="str">
        <f>IF(AH71="","",IF(VLOOKUP(AH71,'G-3 Multipliers'!$S$3:$T$6,2,FALSE)=0,"Spatial Data Missing",VLOOKUP(AH71,'G-3 Multipliers'!$S$3:$T$6,2,FALSE)))</f>
        <v/>
      </c>
      <c r="AJ71" s="265" t="str">
        <f t="shared" si="7"/>
        <v/>
      </c>
      <c r="AK71" s="180"/>
      <c r="AL71" s="181"/>
      <c r="AP71" s="35" t="str">
        <f>IFERROR(INDEX('G-6 Hedgerow Data'!$BJ$3:$BJ$15,MATCH(M71,'G-6 Hedgerow Data'!$B$3:$B$15,0)),"")</f>
        <v/>
      </c>
    </row>
    <row r="72" spans="2:42" ht="13.8" x14ac:dyDescent="0.25">
      <c r="B72" s="259" t="str">
        <f>'E-1 Off Site Hedge Baseline'!AK70</f>
        <v/>
      </c>
      <c r="C72" s="175" t="str">
        <f>IF(B72="","",IF(ISNA(VLOOKUP($B72,'E-1 Off Site Hedge Baseline'!$B$1:$L$257,3,FALSE)),"",(VLOOKUP($B72,'E-1 Off Site Hedge Baseline'!$B$1:$L$257,3,FALSE))))</f>
        <v/>
      </c>
      <c r="D72" s="175" t="str">
        <f>IF(B72="","",IF(ISNA(VLOOKUP($B72,'E-1 Off Site Hedge Baseline'!$B$1:$L$258,4,FALSE)),"",(VLOOKUP($B72,'E-1 Off Site Hedge Baseline'!$B$1:$L$258,4,FALSE))))</f>
        <v/>
      </c>
      <c r="E72" s="175" t="str">
        <f>IF(B72="","",IF(ISNA(VLOOKUP($B72,'E-1 Off Site Hedge Baseline'!$B$1:$L$257,5,FALSE)),"",(VLOOKUP($B72,'E-1 Off Site Hedge Baseline'!$B$1:$L$257,5,FALSE))))</f>
        <v/>
      </c>
      <c r="F72" s="175" t="str">
        <f>IF(B72="","",IF(ISNA(VLOOKUP($B72,'E-1 Off Site Hedge Baseline'!$B$1:$L$257,6,FALSE)),"",(VLOOKUP($B72,'E-1 Off Site Hedge Baseline'!$B$1:$L$257,6,FALSE))))</f>
        <v/>
      </c>
      <c r="G72" s="175" t="str">
        <f>IF(B72="","",IF(ISNA(VLOOKUP($B72,'E-1 Off Site Hedge Baseline'!$B$1:$L$257,7,FALSE)),"",(VLOOKUP($B72,'E-1 Off Site Hedge Baseline'!$B$1:$L$257,7,FALSE))))</f>
        <v/>
      </c>
      <c r="H72" s="175" t="str">
        <f>IF(B72="","",IF(ISNA(VLOOKUP($B72,'E-1 Off Site Hedge Baseline'!$B$1:$L$257,8,FALSE)),"",(VLOOKUP($B72,'E-1 Off Site Hedge Baseline'!$B$1:$L$257,8,FALSE))))</f>
        <v/>
      </c>
      <c r="I72" s="175" t="str">
        <f>IF(B72="","",IF(ISNA(VLOOKUP($B72,'E-1 Off Site Hedge Baseline'!$B$1:$L$257,10,FALSE)),"",(VLOOKUP($B72,'E-1 Off Site Hedge Baseline'!$B$1:$L$257,10,FALSE))))</f>
        <v/>
      </c>
      <c r="J72" s="175" t="str">
        <f>IF(B72="","",IF(ISNA(VLOOKUP($B72,'E-1 Off Site Hedge Baseline'!$B$1:$L$257,11,FALSE)),"",(VLOOKUP($B72,'E-1 Off Site Hedge Baseline'!$B$1:$L$257,11,FALSE))))</f>
        <v/>
      </c>
      <c r="K72" s="175" t="str">
        <f>IF(B72="","",IF(ISNA(VLOOKUP($B72,'E-1 Off Site Hedge Baseline'!$B$1:$U$257,113,FALSE)),"",(VLOOKUP($B72,'E-1 Off Site Hedge Baseline'!$B$1:$U$257,13,FALSE))))</f>
        <v/>
      </c>
      <c r="L72" s="179" t="str">
        <f>IF(B72="","",IF(ISNA(VLOOKUP($B72,'E-1 Off Site Hedge Baseline'!$B$1:$U$257,12,FALSE)),"",(VLOOKUP($B72,'E-1 Off Site Hedge Baseline'!$B$1:$U$257,12,FALSE))))</f>
        <v/>
      </c>
      <c r="M72" s="639" t="str">
        <f t="shared" si="8"/>
        <v/>
      </c>
      <c r="N72" s="171" t="str">
        <f>IFERROR(IF(B72="","",INDEX('G-6 Hedgerow Data'!$AN$3:$AZ$15,MATCH(C72,'G-6 Hedgerow Data'!$AM$3:$AM$15,0),MATCH(M72,'G-6 Hedgerow Data'!$AN$2:$AZ$2,0))),"")</f>
        <v/>
      </c>
      <c r="O72" s="172" t="str">
        <f t="shared" si="2"/>
        <v/>
      </c>
      <c r="P72" s="260" t="str">
        <f>IF(B72="","",VLOOKUP(B72,'E-1 Off Site Hedge Baseline'!$B$10:T317,16,FALSE))</f>
        <v/>
      </c>
      <c r="Q72" s="171" t="str">
        <f>IF(M72="","",VLOOKUP(M72,'G-6 Hedgerow Data'!$B$2:$AG$15,2,FALSE))</f>
        <v/>
      </c>
      <c r="R72" s="172" t="str">
        <f>IF(M72="","",VLOOKUP(M72,'G-6 Hedgerow Data'!$B$2:$AG$15,3,FALSE))</f>
        <v/>
      </c>
      <c r="S72" s="173"/>
      <c r="T72" s="172" t="str">
        <f>IFERROR(IF(AND(Q72="V.Low",OR(S72="Good",S72="Moderate")),"Error",VLOOKUP(S72,'G-1 All Habitats'!$Z$2:$AA$9,2,FALSE)),"")</f>
        <v/>
      </c>
      <c r="U72" s="173"/>
      <c r="V72" s="179" t="str">
        <f>IF(U72="","",IF(VLOOKUP(U72,'G-3 Multipliers'!$L$3:$N$6,2,FALSE)=0,"Spatial Data Missing",VLOOKUP(U72,'G-3 Multipliers'!$L$3:$N$6,2,FALSE)))</f>
        <v/>
      </c>
      <c r="W72" s="260" t="str">
        <f>IF(U72="","",IF(VLOOKUP(U72,'G-3 Multipliers'!$L$3:$N$6,3,FALSE)=0,"Spatial Data Missing",VLOOKUP(U72,'G-3 Multipliers'!$L$3:$N$6,3,FALSE)))</f>
        <v/>
      </c>
      <c r="X72" s="171" t="str">
        <f>IFERROR(IF(OR(LEFT(O72,5)="Error",LEFT(N72,5)="Error",T72="Error"),"Check Data",IF(F72&lt;R72,INDEX('G-6 Hedgerow Data'!$S$3:$AE$14,MATCH(C72,'G-6 Hedgerow Data'!$B$3:$B$14,0),MATCH(M72,'G-6 Hedgerow Data'!$S$2:$AE$2,0)),INDEX('G-6 Hedgerow Data'!$K$3:$Q$14,MATCH(M72,'G-6 Hedgerow Data'!$B$3:$B$14,0),MATCH(O72,'G-6 Hedgerow Data'!$K$2:$Q$2,0)))),"")</f>
        <v/>
      </c>
      <c r="Y72" s="261"/>
      <c r="Z72" s="261"/>
      <c r="AA72" s="179" t="str">
        <f t="shared" si="3"/>
        <v/>
      </c>
      <c r="AB72" s="262" t="str">
        <f t="shared" si="4"/>
        <v/>
      </c>
      <c r="AC72" s="263" t="str">
        <f t="shared" si="1"/>
        <v/>
      </c>
      <c r="AD72" s="239" t="str">
        <f>IF(M72="","",VLOOKUP(M72,'G-6 Hedgerow Data'!$B$3:$AG$15,31,FALSE))</f>
        <v/>
      </c>
      <c r="AE72" s="175" t="str">
        <f t="shared" si="5"/>
        <v/>
      </c>
      <c r="AF72" s="175" t="str">
        <f t="shared" si="6"/>
        <v/>
      </c>
      <c r="AG72" s="176" t="str">
        <f>IFERROR(IF(O72="","",VLOOKUP(AD72,'G-3 Multipliers'!$P$3:$Q$6,2,FALSE)),"")</f>
        <v/>
      </c>
      <c r="AH72" s="266"/>
      <c r="AI72" s="172" t="str">
        <f>IF(AH72="","",IF(VLOOKUP(AH72,'G-3 Multipliers'!$S$3:$T$6,2,FALSE)=0,"Spatial Data Missing",VLOOKUP(AH72,'G-3 Multipliers'!$S$3:$T$6,2,FALSE)))</f>
        <v/>
      </c>
      <c r="AJ72" s="265" t="str">
        <f t="shared" si="7"/>
        <v/>
      </c>
      <c r="AK72" s="180"/>
      <c r="AL72" s="181"/>
      <c r="AP72" s="35" t="str">
        <f>IFERROR(INDEX('G-6 Hedgerow Data'!$BJ$3:$BJ$15,MATCH(M72,'G-6 Hedgerow Data'!$B$3:$B$15,0)),"")</f>
        <v/>
      </c>
    </row>
    <row r="73" spans="2:42" ht="13.8" x14ac:dyDescent="0.25">
      <c r="B73" s="259" t="str">
        <f>'E-1 Off Site Hedge Baseline'!AK71</f>
        <v/>
      </c>
      <c r="C73" s="175" t="str">
        <f>IF(B73="","",IF(ISNA(VLOOKUP($B73,'E-1 Off Site Hedge Baseline'!$B$1:$L$257,3,FALSE)),"",(VLOOKUP($B73,'E-1 Off Site Hedge Baseline'!$B$1:$L$257,3,FALSE))))</f>
        <v/>
      </c>
      <c r="D73" s="175" t="str">
        <f>IF(B73="","",IF(ISNA(VLOOKUP($B73,'E-1 Off Site Hedge Baseline'!$B$1:$L$258,4,FALSE)),"",(VLOOKUP($B73,'E-1 Off Site Hedge Baseline'!$B$1:$L$258,4,FALSE))))</f>
        <v/>
      </c>
      <c r="E73" s="175" t="str">
        <f>IF(B73="","",IF(ISNA(VLOOKUP($B73,'E-1 Off Site Hedge Baseline'!$B$1:$L$257,5,FALSE)),"",(VLOOKUP($B73,'E-1 Off Site Hedge Baseline'!$B$1:$L$257,5,FALSE))))</f>
        <v/>
      </c>
      <c r="F73" s="175" t="str">
        <f>IF(B73="","",IF(ISNA(VLOOKUP($B73,'E-1 Off Site Hedge Baseline'!$B$1:$L$257,6,FALSE)),"",(VLOOKUP($B73,'E-1 Off Site Hedge Baseline'!$B$1:$L$257,6,FALSE))))</f>
        <v/>
      </c>
      <c r="G73" s="175" t="str">
        <f>IF(B73="","",IF(ISNA(VLOOKUP($B73,'E-1 Off Site Hedge Baseline'!$B$1:$L$257,7,FALSE)),"",(VLOOKUP($B73,'E-1 Off Site Hedge Baseline'!$B$1:$L$257,7,FALSE))))</f>
        <v/>
      </c>
      <c r="H73" s="175" t="str">
        <f>IF(B73="","",IF(ISNA(VLOOKUP($B73,'E-1 Off Site Hedge Baseline'!$B$1:$L$257,8,FALSE)),"",(VLOOKUP($B73,'E-1 Off Site Hedge Baseline'!$B$1:$L$257,8,FALSE))))</f>
        <v/>
      </c>
      <c r="I73" s="175" t="str">
        <f>IF(B73="","",IF(ISNA(VLOOKUP($B73,'E-1 Off Site Hedge Baseline'!$B$1:$L$257,10,FALSE)),"",(VLOOKUP($B73,'E-1 Off Site Hedge Baseline'!$B$1:$L$257,10,FALSE))))</f>
        <v/>
      </c>
      <c r="J73" s="175" t="str">
        <f>IF(B73="","",IF(ISNA(VLOOKUP($B73,'E-1 Off Site Hedge Baseline'!$B$1:$L$257,11,FALSE)),"",(VLOOKUP($B73,'E-1 Off Site Hedge Baseline'!$B$1:$L$257,11,FALSE))))</f>
        <v/>
      </c>
      <c r="K73" s="175" t="str">
        <f>IF(B73="","",IF(ISNA(VLOOKUP($B73,'E-1 Off Site Hedge Baseline'!$B$1:$U$257,113,FALSE)),"",(VLOOKUP($B73,'E-1 Off Site Hedge Baseline'!$B$1:$U$257,13,FALSE))))</f>
        <v/>
      </c>
      <c r="L73" s="179" t="str">
        <f>IF(B73="","",IF(ISNA(VLOOKUP($B73,'E-1 Off Site Hedge Baseline'!$B$1:$U$257,12,FALSE)),"",(VLOOKUP($B73,'E-1 Off Site Hedge Baseline'!$B$1:$U$257,12,FALSE))))</f>
        <v/>
      </c>
      <c r="M73" s="639" t="str">
        <f t="shared" si="8"/>
        <v/>
      </c>
      <c r="N73" s="171" t="str">
        <f>IFERROR(IF(B73="","",INDEX('G-6 Hedgerow Data'!$AN$3:$AZ$15,MATCH(C73,'G-6 Hedgerow Data'!$AM$3:$AM$15,0),MATCH(M73,'G-6 Hedgerow Data'!$AN$2:$AZ$2,0))),"")</f>
        <v/>
      </c>
      <c r="O73" s="172" t="str">
        <f t="shared" si="2"/>
        <v/>
      </c>
      <c r="P73" s="260" t="str">
        <f>IF(B73="","",VLOOKUP(B73,'E-1 Off Site Hedge Baseline'!$B$10:T318,16,FALSE))</f>
        <v/>
      </c>
      <c r="Q73" s="171" t="str">
        <f>IF(M73="","",VLOOKUP(M73,'G-6 Hedgerow Data'!$B$2:$AG$15,2,FALSE))</f>
        <v/>
      </c>
      <c r="R73" s="172" t="str">
        <f>IF(M73="","",VLOOKUP(M73,'G-6 Hedgerow Data'!$B$2:$AG$15,3,FALSE))</f>
        <v/>
      </c>
      <c r="S73" s="173"/>
      <c r="T73" s="172" t="str">
        <f>IFERROR(IF(AND(Q73="V.Low",OR(S73="Good",S73="Moderate")),"Error",VLOOKUP(S73,'G-1 All Habitats'!$Z$2:$AA$9,2,FALSE)),"")</f>
        <v/>
      </c>
      <c r="U73" s="173"/>
      <c r="V73" s="179" t="str">
        <f>IF(U73="","",IF(VLOOKUP(U73,'G-3 Multipliers'!$L$3:$N$6,2,FALSE)=0,"Spatial Data Missing",VLOOKUP(U73,'G-3 Multipliers'!$L$3:$N$6,2,FALSE)))</f>
        <v/>
      </c>
      <c r="W73" s="260" t="str">
        <f>IF(U73="","",IF(VLOOKUP(U73,'G-3 Multipliers'!$L$3:$N$6,3,FALSE)=0,"Spatial Data Missing",VLOOKUP(U73,'G-3 Multipliers'!$L$3:$N$6,3,FALSE)))</f>
        <v/>
      </c>
      <c r="X73" s="171" t="str">
        <f>IFERROR(IF(OR(LEFT(O73,5)="Error",LEFT(N73,5)="Error",T73="Error"),"Check Data",IF(F73&lt;R73,INDEX('G-6 Hedgerow Data'!$S$3:$AE$14,MATCH(C73,'G-6 Hedgerow Data'!$B$3:$B$14,0),MATCH(M73,'G-6 Hedgerow Data'!$S$2:$AE$2,0)),INDEX('G-6 Hedgerow Data'!$K$3:$Q$14,MATCH(M73,'G-6 Hedgerow Data'!$B$3:$B$14,0),MATCH(O73,'G-6 Hedgerow Data'!$K$2:$Q$2,0)))),"")</f>
        <v/>
      </c>
      <c r="Y73" s="261"/>
      <c r="Z73" s="261"/>
      <c r="AA73" s="179" t="str">
        <f t="shared" si="3"/>
        <v/>
      </c>
      <c r="AB73" s="262" t="str">
        <f t="shared" si="4"/>
        <v/>
      </c>
      <c r="AC73" s="263" t="str">
        <f t="shared" si="1"/>
        <v/>
      </c>
      <c r="AD73" s="239" t="str">
        <f>IF(M73="","",VLOOKUP(M73,'G-6 Hedgerow Data'!$B$3:$AG$15,31,FALSE))</f>
        <v/>
      </c>
      <c r="AE73" s="175" t="str">
        <f t="shared" si="5"/>
        <v/>
      </c>
      <c r="AF73" s="175" t="str">
        <f t="shared" si="6"/>
        <v/>
      </c>
      <c r="AG73" s="176" t="str">
        <f>IFERROR(IF(O73="","",VLOOKUP(AD73,'G-3 Multipliers'!$P$3:$Q$6,2,FALSE)),"")</f>
        <v/>
      </c>
      <c r="AH73" s="266"/>
      <c r="AI73" s="172" t="str">
        <f>IF(AH73="","",IF(VLOOKUP(AH73,'G-3 Multipliers'!$S$3:$T$6,2,FALSE)=0,"Spatial Data Missing",VLOOKUP(AH73,'G-3 Multipliers'!$S$3:$T$6,2,FALSE)))</f>
        <v/>
      </c>
      <c r="AJ73" s="265" t="str">
        <f t="shared" si="7"/>
        <v/>
      </c>
      <c r="AK73" s="180"/>
      <c r="AL73" s="181"/>
      <c r="AP73" s="35" t="str">
        <f>IFERROR(INDEX('G-6 Hedgerow Data'!$BJ$3:$BJ$15,MATCH(M73,'G-6 Hedgerow Data'!$B$3:$B$15,0)),"")</f>
        <v/>
      </c>
    </row>
    <row r="74" spans="2:42" ht="13.8" x14ac:dyDescent="0.25">
      <c r="B74" s="259" t="str">
        <f>'E-1 Off Site Hedge Baseline'!AK72</f>
        <v/>
      </c>
      <c r="C74" s="175" t="str">
        <f>IF(B74="","",IF(ISNA(VLOOKUP($B74,'E-1 Off Site Hedge Baseline'!$B$1:$L$257,3,FALSE)),"",(VLOOKUP($B74,'E-1 Off Site Hedge Baseline'!$B$1:$L$257,3,FALSE))))</f>
        <v/>
      </c>
      <c r="D74" s="175" t="str">
        <f>IF(B74="","",IF(ISNA(VLOOKUP($B74,'E-1 Off Site Hedge Baseline'!$B$1:$L$258,4,FALSE)),"",(VLOOKUP($B74,'E-1 Off Site Hedge Baseline'!$B$1:$L$258,4,FALSE))))</f>
        <v/>
      </c>
      <c r="E74" s="175" t="str">
        <f>IF(B74="","",IF(ISNA(VLOOKUP($B74,'E-1 Off Site Hedge Baseline'!$B$1:$L$257,5,FALSE)),"",(VLOOKUP($B74,'E-1 Off Site Hedge Baseline'!$B$1:$L$257,5,FALSE))))</f>
        <v/>
      </c>
      <c r="F74" s="175" t="str">
        <f>IF(B74="","",IF(ISNA(VLOOKUP($B74,'E-1 Off Site Hedge Baseline'!$B$1:$L$257,6,FALSE)),"",(VLOOKUP($B74,'E-1 Off Site Hedge Baseline'!$B$1:$L$257,6,FALSE))))</f>
        <v/>
      </c>
      <c r="G74" s="175" t="str">
        <f>IF(B74="","",IF(ISNA(VLOOKUP($B74,'E-1 Off Site Hedge Baseline'!$B$1:$L$257,7,FALSE)),"",(VLOOKUP($B74,'E-1 Off Site Hedge Baseline'!$B$1:$L$257,7,FALSE))))</f>
        <v/>
      </c>
      <c r="H74" s="175" t="str">
        <f>IF(B74="","",IF(ISNA(VLOOKUP($B74,'E-1 Off Site Hedge Baseline'!$B$1:$L$257,8,FALSE)),"",(VLOOKUP($B74,'E-1 Off Site Hedge Baseline'!$B$1:$L$257,8,FALSE))))</f>
        <v/>
      </c>
      <c r="I74" s="175" t="str">
        <f>IF(B74="","",IF(ISNA(VLOOKUP($B74,'E-1 Off Site Hedge Baseline'!$B$1:$L$257,10,FALSE)),"",(VLOOKUP($B74,'E-1 Off Site Hedge Baseline'!$B$1:$L$257,10,FALSE))))</f>
        <v/>
      </c>
      <c r="J74" s="175" t="str">
        <f>IF(B74="","",IF(ISNA(VLOOKUP($B74,'E-1 Off Site Hedge Baseline'!$B$1:$L$257,11,FALSE)),"",(VLOOKUP($B74,'E-1 Off Site Hedge Baseline'!$B$1:$L$257,11,FALSE))))</f>
        <v/>
      </c>
      <c r="K74" s="175" t="str">
        <f>IF(B74="","",IF(ISNA(VLOOKUP($B74,'E-1 Off Site Hedge Baseline'!$B$1:$U$257,113,FALSE)),"",(VLOOKUP($B74,'E-1 Off Site Hedge Baseline'!$B$1:$U$257,13,FALSE))))</f>
        <v/>
      </c>
      <c r="L74" s="179" t="str">
        <f>IF(B74="","",IF(ISNA(VLOOKUP($B74,'E-1 Off Site Hedge Baseline'!$B$1:$U$257,12,FALSE)),"",(VLOOKUP($B74,'E-1 Off Site Hedge Baseline'!$B$1:$U$257,12,FALSE))))</f>
        <v/>
      </c>
      <c r="M74" s="639" t="str">
        <f t="shared" si="8"/>
        <v/>
      </c>
      <c r="N74" s="171" t="str">
        <f>IFERROR(IF(B74="","",INDEX('G-6 Hedgerow Data'!$AN$3:$AZ$15,MATCH(C74,'G-6 Hedgerow Data'!$AM$3:$AM$15,0),MATCH(M74,'G-6 Hedgerow Data'!$AN$2:$AZ$2,0))),"")</f>
        <v/>
      </c>
      <c r="O74" s="172" t="str">
        <f t="shared" si="2"/>
        <v/>
      </c>
      <c r="P74" s="260" t="str">
        <f>IF(B74="","",VLOOKUP(B74,'E-1 Off Site Hedge Baseline'!$B$10:T319,16,FALSE))</f>
        <v/>
      </c>
      <c r="Q74" s="171" t="str">
        <f>IF(M74="","",VLOOKUP(M74,'G-6 Hedgerow Data'!$B$2:$AG$15,2,FALSE))</f>
        <v/>
      </c>
      <c r="R74" s="172" t="str">
        <f>IF(M74="","",VLOOKUP(M74,'G-6 Hedgerow Data'!$B$2:$AG$15,3,FALSE))</f>
        <v/>
      </c>
      <c r="S74" s="173"/>
      <c r="T74" s="172" t="str">
        <f>IFERROR(IF(AND(Q74="V.Low",OR(S74="Good",S74="Moderate")),"Error",VLOOKUP(S74,'G-1 All Habitats'!$Z$2:$AA$9,2,FALSE)),"")</f>
        <v/>
      </c>
      <c r="U74" s="173"/>
      <c r="V74" s="179" t="str">
        <f>IF(U74="","",IF(VLOOKUP(U74,'G-3 Multipliers'!$L$3:$N$6,2,FALSE)=0,"Spatial Data Missing",VLOOKUP(U74,'G-3 Multipliers'!$L$3:$N$6,2,FALSE)))</f>
        <v/>
      </c>
      <c r="W74" s="260" t="str">
        <f>IF(U74="","",IF(VLOOKUP(U74,'G-3 Multipliers'!$L$3:$N$6,3,FALSE)=0,"Spatial Data Missing",VLOOKUP(U74,'G-3 Multipliers'!$L$3:$N$6,3,FALSE)))</f>
        <v/>
      </c>
      <c r="X74" s="171" t="str">
        <f>IFERROR(IF(OR(LEFT(O74,5)="Error",LEFT(N74,5)="Error",T74="Error"),"Check Data",IF(F74&lt;R74,INDEX('G-6 Hedgerow Data'!$S$3:$AE$14,MATCH(C74,'G-6 Hedgerow Data'!$B$3:$B$14,0),MATCH(M74,'G-6 Hedgerow Data'!$S$2:$AE$2,0)),INDEX('G-6 Hedgerow Data'!$K$3:$Q$14,MATCH(M74,'G-6 Hedgerow Data'!$B$3:$B$14,0),MATCH(O74,'G-6 Hedgerow Data'!$K$2:$Q$2,0)))),"")</f>
        <v/>
      </c>
      <c r="Y74" s="261"/>
      <c r="Z74" s="261"/>
      <c r="AA74" s="179" t="str">
        <f t="shared" si="3"/>
        <v/>
      </c>
      <c r="AB74" s="262" t="str">
        <f t="shared" si="4"/>
        <v/>
      </c>
      <c r="AC74" s="263" t="str">
        <f t="shared" si="1"/>
        <v/>
      </c>
      <c r="AD74" s="239" t="str">
        <f>IF(M74="","",VLOOKUP(M74,'G-6 Hedgerow Data'!$B$3:$AG$15,31,FALSE))</f>
        <v/>
      </c>
      <c r="AE74" s="175" t="str">
        <f t="shared" si="5"/>
        <v/>
      </c>
      <c r="AF74" s="175" t="str">
        <f t="shared" si="6"/>
        <v/>
      </c>
      <c r="AG74" s="176" t="str">
        <f>IFERROR(IF(O74="","",VLOOKUP(AD74,'G-3 Multipliers'!$P$3:$Q$6,2,FALSE)),"")</f>
        <v/>
      </c>
      <c r="AH74" s="266"/>
      <c r="AI74" s="172" t="str">
        <f>IF(AH74="","",IF(VLOOKUP(AH74,'G-3 Multipliers'!$S$3:$T$6,2,FALSE)=0,"Spatial Data Missing",VLOOKUP(AH74,'G-3 Multipliers'!$S$3:$T$6,2,FALSE)))</f>
        <v/>
      </c>
      <c r="AJ74" s="265" t="str">
        <f t="shared" si="7"/>
        <v/>
      </c>
      <c r="AK74" s="180"/>
      <c r="AL74" s="181"/>
      <c r="AP74" s="35" t="str">
        <f>IFERROR(INDEX('G-6 Hedgerow Data'!$BJ$3:$BJ$15,MATCH(M74,'G-6 Hedgerow Data'!$B$3:$B$15,0)),"")</f>
        <v/>
      </c>
    </row>
    <row r="75" spans="2:42" ht="13.8" x14ac:dyDescent="0.25">
      <c r="B75" s="259" t="str">
        <f>'E-1 Off Site Hedge Baseline'!AK73</f>
        <v/>
      </c>
      <c r="C75" s="175" t="str">
        <f>IF(B75="","",IF(ISNA(VLOOKUP($B75,'E-1 Off Site Hedge Baseline'!$B$1:$L$257,3,FALSE)),"",(VLOOKUP($B75,'E-1 Off Site Hedge Baseline'!$B$1:$L$257,3,FALSE))))</f>
        <v/>
      </c>
      <c r="D75" s="175" t="str">
        <f>IF(B75="","",IF(ISNA(VLOOKUP($B75,'E-1 Off Site Hedge Baseline'!$B$1:$L$258,4,FALSE)),"",(VLOOKUP($B75,'E-1 Off Site Hedge Baseline'!$B$1:$L$258,4,FALSE))))</f>
        <v/>
      </c>
      <c r="E75" s="175" t="str">
        <f>IF(B75="","",IF(ISNA(VLOOKUP($B75,'E-1 Off Site Hedge Baseline'!$B$1:$L$257,5,FALSE)),"",(VLOOKUP($B75,'E-1 Off Site Hedge Baseline'!$B$1:$L$257,5,FALSE))))</f>
        <v/>
      </c>
      <c r="F75" s="175" t="str">
        <f>IF(B75="","",IF(ISNA(VLOOKUP($B75,'E-1 Off Site Hedge Baseline'!$B$1:$L$257,6,FALSE)),"",(VLOOKUP($B75,'E-1 Off Site Hedge Baseline'!$B$1:$L$257,6,FALSE))))</f>
        <v/>
      </c>
      <c r="G75" s="175" t="str">
        <f>IF(B75="","",IF(ISNA(VLOOKUP($B75,'E-1 Off Site Hedge Baseline'!$B$1:$L$257,7,FALSE)),"",(VLOOKUP($B75,'E-1 Off Site Hedge Baseline'!$B$1:$L$257,7,FALSE))))</f>
        <v/>
      </c>
      <c r="H75" s="175" t="str">
        <f>IF(B75="","",IF(ISNA(VLOOKUP($B75,'E-1 Off Site Hedge Baseline'!$B$1:$L$257,8,FALSE)),"",(VLOOKUP($B75,'E-1 Off Site Hedge Baseline'!$B$1:$L$257,8,FALSE))))</f>
        <v/>
      </c>
      <c r="I75" s="175" t="str">
        <f>IF(B75="","",IF(ISNA(VLOOKUP($B75,'E-1 Off Site Hedge Baseline'!$B$1:$L$257,10,FALSE)),"",(VLOOKUP($B75,'E-1 Off Site Hedge Baseline'!$B$1:$L$257,10,FALSE))))</f>
        <v/>
      </c>
      <c r="J75" s="175" t="str">
        <f>IF(B75="","",IF(ISNA(VLOOKUP($B75,'E-1 Off Site Hedge Baseline'!$B$1:$L$257,11,FALSE)),"",(VLOOKUP($B75,'E-1 Off Site Hedge Baseline'!$B$1:$L$257,11,FALSE))))</f>
        <v/>
      </c>
      <c r="K75" s="175" t="str">
        <f>IF(B75="","",IF(ISNA(VLOOKUP($B75,'E-1 Off Site Hedge Baseline'!$B$1:$U$257,113,FALSE)),"",(VLOOKUP($B75,'E-1 Off Site Hedge Baseline'!$B$1:$U$257,13,FALSE))))</f>
        <v/>
      </c>
      <c r="L75" s="179" t="str">
        <f>IF(B75="","",IF(ISNA(VLOOKUP($B75,'E-1 Off Site Hedge Baseline'!$B$1:$U$257,12,FALSE)),"",(VLOOKUP($B75,'E-1 Off Site Hedge Baseline'!$B$1:$U$257,12,FALSE))))</f>
        <v/>
      </c>
      <c r="M75" s="639" t="str">
        <f t="shared" si="8"/>
        <v/>
      </c>
      <c r="N75" s="171" t="str">
        <f>IFERROR(IF(B75="","",INDEX('G-6 Hedgerow Data'!$AN$3:$AZ$15,MATCH(C75,'G-6 Hedgerow Data'!$AM$3:$AM$15,0),MATCH(M75,'G-6 Hedgerow Data'!$AN$2:$AZ$2,0))),"")</f>
        <v/>
      </c>
      <c r="O75" s="172" t="str">
        <f t="shared" si="2"/>
        <v/>
      </c>
      <c r="P75" s="260" t="str">
        <f>IF(B75="","",VLOOKUP(B75,'E-1 Off Site Hedge Baseline'!$B$10:T320,16,FALSE))</f>
        <v/>
      </c>
      <c r="Q75" s="171" t="str">
        <f>IF(M75="","",VLOOKUP(M75,'G-6 Hedgerow Data'!$B$2:$AG$15,2,FALSE))</f>
        <v/>
      </c>
      <c r="R75" s="172" t="str">
        <f>IF(M75="","",VLOOKUP(M75,'G-6 Hedgerow Data'!$B$2:$AG$15,3,FALSE))</f>
        <v/>
      </c>
      <c r="S75" s="173"/>
      <c r="T75" s="172" t="str">
        <f>IFERROR(IF(AND(Q75="V.Low",OR(S75="Good",S75="Moderate")),"Error",VLOOKUP(S75,'G-1 All Habitats'!$Z$2:$AA$9,2,FALSE)),"")</f>
        <v/>
      </c>
      <c r="U75" s="173"/>
      <c r="V75" s="179" t="str">
        <f>IF(U75="","",IF(VLOOKUP(U75,'G-3 Multipliers'!$L$3:$N$6,2,FALSE)=0,"Spatial Data Missing",VLOOKUP(U75,'G-3 Multipliers'!$L$3:$N$6,2,FALSE)))</f>
        <v/>
      </c>
      <c r="W75" s="260" t="str">
        <f>IF(U75="","",IF(VLOOKUP(U75,'G-3 Multipliers'!$L$3:$N$6,3,FALSE)=0,"Spatial Data Missing",VLOOKUP(U75,'G-3 Multipliers'!$L$3:$N$6,3,FALSE)))</f>
        <v/>
      </c>
      <c r="X75" s="171" t="str">
        <f>IFERROR(IF(OR(LEFT(O75,5)="Error",LEFT(N75,5)="Error",T75="Error"),"Check Data",IF(F75&lt;R75,INDEX('G-6 Hedgerow Data'!$S$3:$AE$14,MATCH(C75,'G-6 Hedgerow Data'!$B$3:$B$14,0),MATCH(M75,'G-6 Hedgerow Data'!$S$2:$AE$2,0)),INDEX('G-6 Hedgerow Data'!$K$3:$Q$14,MATCH(M75,'G-6 Hedgerow Data'!$B$3:$B$14,0),MATCH(O75,'G-6 Hedgerow Data'!$K$2:$Q$2,0)))),"")</f>
        <v/>
      </c>
      <c r="Y75" s="261"/>
      <c r="Z75" s="261"/>
      <c r="AA75" s="179" t="str">
        <f t="shared" si="3"/>
        <v/>
      </c>
      <c r="AB75" s="262" t="str">
        <f t="shared" si="4"/>
        <v/>
      </c>
      <c r="AC75" s="263" t="str">
        <f t="shared" si="1"/>
        <v/>
      </c>
      <c r="AD75" s="239" t="str">
        <f>IF(M75="","",VLOOKUP(M75,'G-6 Hedgerow Data'!$B$3:$AG$15,31,FALSE))</f>
        <v/>
      </c>
      <c r="AE75" s="175" t="str">
        <f t="shared" si="5"/>
        <v/>
      </c>
      <c r="AF75" s="175" t="str">
        <f t="shared" si="6"/>
        <v/>
      </c>
      <c r="AG75" s="176" t="str">
        <f>IFERROR(IF(O75="","",VLOOKUP(AD75,'G-3 Multipliers'!$P$3:$Q$6,2,FALSE)),"")</f>
        <v/>
      </c>
      <c r="AH75" s="266"/>
      <c r="AI75" s="172" t="str">
        <f>IF(AH75="","",IF(VLOOKUP(AH75,'G-3 Multipliers'!$S$3:$T$6,2,FALSE)=0,"Spatial Data Missing",VLOOKUP(AH75,'G-3 Multipliers'!$S$3:$T$6,2,FALSE)))</f>
        <v/>
      </c>
      <c r="AJ75" s="265" t="str">
        <f t="shared" si="7"/>
        <v/>
      </c>
      <c r="AK75" s="180"/>
      <c r="AL75" s="181"/>
      <c r="AP75" s="35" t="str">
        <f>IFERROR(INDEX('G-6 Hedgerow Data'!$BJ$3:$BJ$15,MATCH(M75,'G-6 Hedgerow Data'!$B$3:$B$15,0)),"")</f>
        <v/>
      </c>
    </row>
    <row r="76" spans="2:42" ht="13.8" x14ac:dyDescent="0.25">
      <c r="B76" s="259" t="str">
        <f>'E-1 Off Site Hedge Baseline'!AK74</f>
        <v/>
      </c>
      <c r="C76" s="175" t="str">
        <f>IF(B76="","",IF(ISNA(VLOOKUP($B76,'E-1 Off Site Hedge Baseline'!$B$1:$L$257,3,FALSE)),"",(VLOOKUP($B76,'E-1 Off Site Hedge Baseline'!$B$1:$L$257,3,FALSE))))</f>
        <v/>
      </c>
      <c r="D76" s="175" t="str">
        <f>IF(B76="","",IF(ISNA(VLOOKUP($B76,'E-1 Off Site Hedge Baseline'!$B$1:$L$258,4,FALSE)),"",(VLOOKUP($B76,'E-1 Off Site Hedge Baseline'!$B$1:$L$258,4,FALSE))))</f>
        <v/>
      </c>
      <c r="E76" s="175" t="str">
        <f>IF(B76="","",IF(ISNA(VLOOKUP($B76,'E-1 Off Site Hedge Baseline'!$B$1:$L$257,5,FALSE)),"",(VLOOKUP($B76,'E-1 Off Site Hedge Baseline'!$B$1:$L$257,5,FALSE))))</f>
        <v/>
      </c>
      <c r="F76" s="175" t="str">
        <f>IF(B76="","",IF(ISNA(VLOOKUP($B76,'E-1 Off Site Hedge Baseline'!$B$1:$L$257,6,FALSE)),"",(VLOOKUP($B76,'E-1 Off Site Hedge Baseline'!$B$1:$L$257,6,FALSE))))</f>
        <v/>
      </c>
      <c r="G76" s="175" t="str">
        <f>IF(B76="","",IF(ISNA(VLOOKUP($B76,'E-1 Off Site Hedge Baseline'!$B$1:$L$257,7,FALSE)),"",(VLOOKUP($B76,'E-1 Off Site Hedge Baseline'!$B$1:$L$257,7,FALSE))))</f>
        <v/>
      </c>
      <c r="H76" s="175" t="str">
        <f>IF(B76="","",IF(ISNA(VLOOKUP($B76,'E-1 Off Site Hedge Baseline'!$B$1:$L$257,8,FALSE)),"",(VLOOKUP($B76,'E-1 Off Site Hedge Baseline'!$B$1:$L$257,8,FALSE))))</f>
        <v/>
      </c>
      <c r="I76" s="175" t="str">
        <f>IF(B76="","",IF(ISNA(VLOOKUP($B76,'E-1 Off Site Hedge Baseline'!$B$1:$L$257,10,FALSE)),"",(VLOOKUP($B76,'E-1 Off Site Hedge Baseline'!$B$1:$L$257,10,FALSE))))</f>
        <v/>
      </c>
      <c r="J76" s="175" t="str">
        <f>IF(B76="","",IF(ISNA(VLOOKUP($B76,'E-1 Off Site Hedge Baseline'!$B$1:$L$257,11,FALSE)),"",(VLOOKUP($B76,'E-1 Off Site Hedge Baseline'!$B$1:$L$257,11,FALSE))))</f>
        <v/>
      </c>
      <c r="K76" s="175" t="str">
        <f>IF(B76="","",IF(ISNA(VLOOKUP($B76,'E-1 Off Site Hedge Baseline'!$B$1:$U$257,113,FALSE)),"",(VLOOKUP($B76,'E-1 Off Site Hedge Baseline'!$B$1:$U$257,13,FALSE))))</f>
        <v/>
      </c>
      <c r="L76" s="179" t="str">
        <f>IF(B76="","",IF(ISNA(VLOOKUP($B76,'E-1 Off Site Hedge Baseline'!$B$1:$U$257,12,FALSE)),"",(VLOOKUP($B76,'E-1 Off Site Hedge Baseline'!$B$1:$U$257,12,FALSE))))</f>
        <v/>
      </c>
      <c r="M76" s="639" t="str">
        <f t="shared" si="8"/>
        <v/>
      </c>
      <c r="N76" s="171" t="str">
        <f>IFERROR(IF(B76="","",INDEX('G-6 Hedgerow Data'!$AN$3:$AZ$15,MATCH(C76,'G-6 Hedgerow Data'!$AM$3:$AM$15,0),MATCH(M76,'G-6 Hedgerow Data'!$AN$2:$AZ$2,0))),"")</f>
        <v/>
      </c>
      <c r="O76" s="172" t="str">
        <f t="shared" si="2"/>
        <v/>
      </c>
      <c r="P76" s="260" t="str">
        <f>IF(B76="","",VLOOKUP(B76,'E-1 Off Site Hedge Baseline'!$B$10:T321,16,FALSE))</f>
        <v/>
      </c>
      <c r="Q76" s="171" t="str">
        <f>IF(M76="","",VLOOKUP(M76,'G-6 Hedgerow Data'!$B$2:$AG$15,2,FALSE))</f>
        <v/>
      </c>
      <c r="R76" s="172" t="str">
        <f>IF(M76="","",VLOOKUP(M76,'G-6 Hedgerow Data'!$B$2:$AG$15,3,FALSE))</f>
        <v/>
      </c>
      <c r="S76" s="173"/>
      <c r="T76" s="172" t="str">
        <f>IFERROR(IF(AND(Q76="V.Low",OR(S76="Good",S76="Moderate")),"Error",VLOOKUP(S76,'G-1 All Habitats'!$Z$2:$AA$9,2,FALSE)),"")</f>
        <v/>
      </c>
      <c r="U76" s="173"/>
      <c r="V76" s="179" t="str">
        <f>IF(U76="","",IF(VLOOKUP(U76,'G-3 Multipliers'!$L$3:$N$6,2,FALSE)=0,"Spatial Data Missing",VLOOKUP(U76,'G-3 Multipliers'!$L$3:$N$6,2,FALSE)))</f>
        <v/>
      </c>
      <c r="W76" s="260" t="str">
        <f>IF(U76="","",IF(VLOOKUP(U76,'G-3 Multipliers'!$L$3:$N$6,3,FALSE)=0,"Spatial Data Missing",VLOOKUP(U76,'G-3 Multipliers'!$L$3:$N$6,3,FALSE)))</f>
        <v/>
      </c>
      <c r="X76" s="171" t="str">
        <f>IFERROR(IF(OR(LEFT(O76,5)="Error",LEFT(N76,5)="Error",T76="Error"),"Check Data",IF(F76&lt;R76,INDEX('G-6 Hedgerow Data'!$S$3:$AE$14,MATCH(C76,'G-6 Hedgerow Data'!$B$3:$B$14,0),MATCH(M76,'G-6 Hedgerow Data'!$S$2:$AE$2,0)),INDEX('G-6 Hedgerow Data'!$K$3:$Q$14,MATCH(M76,'G-6 Hedgerow Data'!$B$3:$B$14,0),MATCH(O76,'G-6 Hedgerow Data'!$K$2:$Q$2,0)))),"")</f>
        <v/>
      </c>
      <c r="Y76" s="261"/>
      <c r="Z76" s="261"/>
      <c r="AA76" s="179" t="str">
        <f t="shared" si="3"/>
        <v/>
      </c>
      <c r="AB76" s="262" t="str">
        <f t="shared" si="4"/>
        <v/>
      </c>
      <c r="AC76" s="263" t="str">
        <f t="shared" ref="AC76:AC139" si="9">IF(OR(S76="",M76=""),"",IF(LEFT(AB76,5)="Error","Check Data",IF(AB76="Check Data","Check Data",VLOOKUP(AB76,TemporalMultipliers,3,FALSE))))</f>
        <v/>
      </c>
      <c r="AD76" s="239" t="str">
        <f>IF(M76="","",VLOOKUP(M76,'G-6 Hedgerow Data'!$B$3:$AG$15,31,FALSE))</f>
        <v/>
      </c>
      <c r="AE76" s="175" t="str">
        <f t="shared" si="5"/>
        <v/>
      </c>
      <c r="AF76" s="175" t="str">
        <f t="shared" si="6"/>
        <v/>
      </c>
      <c r="AG76" s="176" t="str">
        <f>IFERROR(IF(O76="","",VLOOKUP(AD76,'G-3 Multipliers'!$P$3:$Q$6,2,FALSE)),"")</f>
        <v/>
      </c>
      <c r="AH76" s="266"/>
      <c r="AI76" s="172" t="str">
        <f>IF(AH76="","",IF(VLOOKUP(AH76,'G-3 Multipliers'!$S$3:$T$6,2,FALSE)=0,"Spatial Data Missing",VLOOKUP(AH76,'G-3 Multipliers'!$S$3:$T$6,2,FALSE)))</f>
        <v/>
      </c>
      <c r="AJ76" s="265" t="str">
        <f t="shared" si="7"/>
        <v/>
      </c>
      <c r="AK76" s="180"/>
      <c r="AL76" s="181"/>
      <c r="AP76" s="35" t="str">
        <f>IFERROR(INDEX('G-6 Hedgerow Data'!$BJ$3:$BJ$15,MATCH(M76,'G-6 Hedgerow Data'!$B$3:$B$15,0)),"")</f>
        <v/>
      </c>
    </row>
    <row r="77" spans="2:42" ht="13.8" x14ac:dyDescent="0.25">
      <c r="B77" s="259" t="str">
        <f>'E-1 Off Site Hedge Baseline'!AK75</f>
        <v/>
      </c>
      <c r="C77" s="175" t="str">
        <f>IF(B77="","",IF(ISNA(VLOOKUP($B77,'E-1 Off Site Hedge Baseline'!$B$1:$L$257,3,FALSE)),"",(VLOOKUP($B77,'E-1 Off Site Hedge Baseline'!$B$1:$L$257,3,FALSE))))</f>
        <v/>
      </c>
      <c r="D77" s="175" t="str">
        <f>IF(B77="","",IF(ISNA(VLOOKUP($B77,'E-1 Off Site Hedge Baseline'!$B$1:$L$258,4,FALSE)),"",(VLOOKUP($B77,'E-1 Off Site Hedge Baseline'!$B$1:$L$258,4,FALSE))))</f>
        <v/>
      </c>
      <c r="E77" s="175" t="str">
        <f>IF(B77="","",IF(ISNA(VLOOKUP($B77,'E-1 Off Site Hedge Baseline'!$B$1:$L$257,5,FALSE)),"",(VLOOKUP($B77,'E-1 Off Site Hedge Baseline'!$B$1:$L$257,5,FALSE))))</f>
        <v/>
      </c>
      <c r="F77" s="175" t="str">
        <f>IF(B77="","",IF(ISNA(VLOOKUP($B77,'E-1 Off Site Hedge Baseline'!$B$1:$L$257,6,FALSE)),"",(VLOOKUP($B77,'E-1 Off Site Hedge Baseline'!$B$1:$L$257,6,FALSE))))</f>
        <v/>
      </c>
      <c r="G77" s="175" t="str">
        <f>IF(B77="","",IF(ISNA(VLOOKUP($B77,'E-1 Off Site Hedge Baseline'!$B$1:$L$257,7,FALSE)),"",(VLOOKUP($B77,'E-1 Off Site Hedge Baseline'!$B$1:$L$257,7,FALSE))))</f>
        <v/>
      </c>
      <c r="H77" s="175" t="str">
        <f>IF(B77="","",IF(ISNA(VLOOKUP($B77,'E-1 Off Site Hedge Baseline'!$B$1:$L$257,8,FALSE)),"",(VLOOKUP($B77,'E-1 Off Site Hedge Baseline'!$B$1:$L$257,8,FALSE))))</f>
        <v/>
      </c>
      <c r="I77" s="175" t="str">
        <f>IF(B77="","",IF(ISNA(VLOOKUP($B77,'E-1 Off Site Hedge Baseline'!$B$1:$L$257,10,FALSE)),"",(VLOOKUP($B77,'E-1 Off Site Hedge Baseline'!$B$1:$L$257,10,FALSE))))</f>
        <v/>
      </c>
      <c r="J77" s="175" t="str">
        <f>IF(B77="","",IF(ISNA(VLOOKUP($B77,'E-1 Off Site Hedge Baseline'!$B$1:$L$257,11,FALSE)),"",(VLOOKUP($B77,'E-1 Off Site Hedge Baseline'!$B$1:$L$257,11,FALSE))))</f>
        <v/>
      </c>
      <c r="K77" s="175" t="str">
        <f>IF(B77="","",IF(ISNA(VLOOKUP($B77,'E-1 Off Site Hedge Baseline'!$B$1:$U$257,113,FALSE)),"",(VLOOKUP($B77,'E-1 Off Site Hedge Baseline'!$B$1:$U$257,13,FALSE))))</f>
        <v/>
      </c>
      <c r="L77" s="179" t="str">
        <f>IF(B77="","",IF(ISNA(VLOOKUP($B77,'E-1 Off Site Hedge Baseline'!$B$1:$U$257,12,FALSE)),"",(VLOOKUP($B77,'E-1 Off Site Hedge Baseline'!$B$1:$U$257,12,FALSE))))</f>
        <v/>
      </c>
      <c r="M77" s="639" t="str">
        <f t="shared" si="8"/>
        <v/>
      </c>
      <c r="N77" s="171" t="str">
        <f>IFERROR(IF(B77="","",INDEX('G-6 Hedgerow Data'!$AN$3:$AZ$15,MATCH(C77,'G-6 Hedgerow Data'!$AM$3:$AM$15,0),MATCH(M77,'G-6 Hedgerow Data'!$AN$2:$AZ$2,0))),"")</f>
        <v/>
      </c>
      <c r="O77" s="172" t="str">
        <f t="shared" ref="O77:O140" si="10">IFERROR(IF(B77="","",IF(AND(LEFT(C77,55)&lt;&gt;LEFT(M77,55),N77="High - High"),"Error - Not like for like",IF(AND(LEFT(C77,55)&lt;&gt;LEFT(M77,55),N77="Medium - Medium"),"Error - Not like for like",IF(H77&gt;T77,"Error - Can not reduce condition",IF(AND(F77=R77,H77=T77),"Error - No enhancement",IF(AND(C77&lt;&gt;M77,F77&lt;R77),"Lower Distinctiveness Habitat"&amp;" - "&amp;S77,G77&amp;" - "&amp;S77)))))),"")</f>
        <v/>
      </c>
      <c r="P77" s="260" t="str">
        <f>IF(B77="","",VLOOKUP(B77,'E-1 Off Site Hedge Baseline'!$B$10:T322,16,FALSE))</f>
        <v/>
      </c>
      <c r="Q77" s="171" t="str">
        <f>IF(M77="","",VLOOKUP(M77,'G-6 Hedgerow Data'!$B$2:$AG$15,2,FALSE))</f>
        <v/>
      </c>
      <c r="R77" s="172" t="str">
        <f>IF(M77="","",VLOOKUP(M77,'G-6 Hedgerow Data'!$B$2:$AG$15,3,FALSE))</f>
        <v/>
      </c>
      <c r="S77" s="173"/>
      <c r="T77" s="172" t="str">
        <f>IFERROR(IF(AND(Q77="V.Low",OR(S77="Good",S77="Moderate")),"Error",VLOOKUP(S77,'G-1 All Habitats'!$Z$2:$AA$9,2,FALSE)),"")</f>
        <v/>
      </c>
      <c r="U77" s="173"/>
      <c r="V77" s="179" t="str">
        <f>IF(U77="","",IF(VLOOKUP(U77,'G-3 Multipliers'!$L$3:$N$6,2,FALSE)=0,"Spatial Data Missing",VLOOKUP(U77,'G-3 Multipliers'!$L$3:$N$6,2,FALSE)))</f>
        <v/>
      </c>
      <c r="W77" s="260" t="str">
        <f>IF(U77="","",IF(VLOOKUP(U77,'G-3 Multipliers'!$L$3:$N$6,3,FALSE)=0,"Spatial Data Missing",VLOOKUP(U77,'G-3 Multipliers'!$L$3:$N$6,3,FALSE)))</f>
        <v/>
      </c>
      <c r="X77" s="171" t="str">
        <f>IFERROR(IF(OR(LEFT(O77,5)="Error",LEFT(N77,5)="Error",T77="Error"),"Check Data",IF(F77&lt;R77,INDEX('G-6 Hedgerow Data'!$S$3:$AE$14,MATCH(C77,'G-6 Hedgerow Data'!$B$3:$B$14,0),MATCH(M77,'G-6 Hedgerow Data'!$S$2:$AE$2,0)),INDEX('G-6 Hedgerow Data'!$K$3:$Q$14,MATCH(M77,'G-6 Hedgerow Data'!$B$3:$B$14,0),MATCH(O77,'G-6 Hedgerow Data'!$K$2:$Q$2,0)))),"")</f>
        <v/>
      </c>
      <c r="Y77" s="261"/>
      <c r="Z77" s="261"/>
      <c r="AA77" s="179" t="str">
        <f t="shared" ref="AA77:AA140" si="11">IF(X77="Check Data","Check Data",IF(M77="","",IF(AND(Y77&gt;0,Z77&gt;0),"Error -both advance and delayed habitat creation",IF(AND(OR(Y77="Habitat already in target condition",X77&lt;=Y77),Z77=0),"Check details - Is there evidence that habitat has reached target condition?",IF(X77="","",IF(Y77&gt;0,"Check details - Is there evidence habitat creation started/in place?",IF(Z77&gt;0,"Check details- Delay in starting habitat in required condition?","Standard time to target condition applied")))))))</f>
        <v/>
      </c>
      <c r="AB77" s="262" t="str">
        <f t="shared" ref="AB77:AB140" si="12">IF(X77="","",IF(AA77="Check Data","Check Data",IF(Y77="30+",0,IF(Z77="30+","30+",IF(X77+Z77&gt;30,"30+",IF(LEFT(AA77,5)="Error","Check Data",IF(X77+Z77-Y77&gt;0,X77+Z77-Y77,IF(X77-Y77&lt;=0,0,))))))))</f>
        <v/>
      </c>
      <c r="AC77" s="263" t="str">
        <f t="shared" si="9"/>
        <v/>
      </c>
      <c r="AD77" s="239" t="str">
        <f>IF(M77="","",VLOOKUP(M77,'G-6 Hedgerow Data'!$B$3:$AG$15,31,FALSE))</f>
        <v/>
      </c>
      <c r="AE77" s="175" t="str">
        <f t="shared" ref="AE77:AE140" si="13">IF(M77="","",IF(OR(LEFT(AA77,5)="Error",AA77="Check Data"),"Check Data",IF(X77="","",IF($AA77="Check details - Is there evidence that habitat has reached target condition?","Low Difficulty - only applicable if all habitat created before losses","Standard difficulty applied"))))</f>
        <v/>
      </c>
      <c r="AF77" s="175" t="str">
        <f t="shared" ref="AF77:AF140" si="14">(IF(AND(AE77="Yes",X77&gt;Y77),AD77,IF(AND(AE77="Low Difficulty - only applicable if all habitat created before losses",Y77&gt;=X77),"Low",AD77)))</f>
        <v/>
      </c>
      <c r="AG77" s="176" t="str">
        <f>IFERROR(IF(O77="","",VLOOKUP(AD77,'G-3 Multipliers'!$P$3:$Q$6,2,FALSE)),"")</f>
        <v/>
      </c>
      <c r="AH77" s="266"/>
      <c r="AI77" s="172" t="str">
        <f>IF(AH77="","",IF(VLOOKUP(AH77,'G-3 Multipliers'!$S$3:$T$6,2,FALSE)=0,"Spatial Data Missing",VLOOKUP(AH77,'G-3 Multipliers'!$S$3:$T$6,2,FALSE)))</f>
        <v/>
      </c>
      <c r="AJ77" s="265" t="str">
        <f t="shared" ref="AJ77:AJ140" si="15">IFERROR(IF(OR(M77="",S77="",U77="",AH77=""),"",(((((P77*R77*T77)-(P77*F77*H77))*(AG77*AC77))+(P77*F77*H77))*(W77)*AI77)),"")</f>
        <v/>
      </c>
      <c r="AK77" s="180"/>
      <c r="AL77" s="181"/>
      <c r="AP77" s="35" t="str">
        <f>IFERROR(INDEX('G-6 Hedgerow Data'!$BJ$3:$BJ$15,MATCH(M77,'G-6 Hedgerow Data'!$B$3:$B$15,0)),"")</f>
        <v/>
      </c>
    </row>
    <row r="78" spans="2:42" ht="13.8" x14ac:dyDescent="0.25">
      <c r="B78" s="259" t="str">
        <f>'E-1 Off Site Hedge Baseline'!AK76</f>
        <v/>
      </c>
      <c r="C78" s="175" t="str">
        <f>IF(B78="","",IF(ISNA(VLOOKUP($B78,'E-1 Off Site Hedge Baseline'!$B$1:$L$257,3,FALSE)),"",(VLOOKUP($B78,'E-1 Off Site Hedge Baseline'!$B$1:$L$257,3,FALSE))))</f>
        <v/>
      </c>
      <c r="D78" s="175" t="str">
        <f>IF(B78="","",IF(ISNA(VLOOKUP($B78,'E-1 Off Site Hedge Baseline'!$B$1:$L$258,4,FALSE)),"",(VLOOKUP($B78,'E-1 Off Site Hedge Baseline'!$B$1:$L$258,4,FALSE))))</f>
        <v/>
      </c>
      <c r="E78" s="175" t="str">
        <f>IF(B78="","",IF(ISNA(VLOOKUP($B78,'E-1 Off Site Hedge Baseline'!$B$1:$L$257,5,FALSE)),"",(VLOOKUP($B78,'E-1 Off Site Hedge Baseline'!$B$1:$L$257,5,FALSE))))</f>
        <v/>
      </c>
      <c r="F78" s="175" t="str">
        <f>IF(B78="","",IF(ISNA(VLOOKUP($B78,'E-1 Off Site Hedge Baseline'!$B$1:$L$257,6,FALSE)),"",(VLOOKUP($B78,'E-1 Off Site Hedge Baseline'!$B$1:$L$257,6,FALSE))))</f>
        <v/>
      </c>
      <c r="G78" s="175" t="str">
        <f>IF(B78="","",IF(ISNA(VLOOKUP($B78,'E-1 Off Site Hedge Baseline'!$B$1:$L$257,7,FALSE)),"",(VLOOKUP($B78,'E-1 Off Site Hedge Baseline'!$B$1:$L$257,7,FALSE))))</f>
        <v/>
      </c>
      <c r="H78" s="175" t="str">
        <f>IF(B78="","",IF(ISNA(VLOOKUP($B78,'E-1 Off Site Hedge Baseline'!$B$1:$L$257,8,FALSE)),"",(VLOOKUP($B78,'E-1 Off Site Hedge Baseline'!$B$1:$L$257,8,FALSE))))</f>
        <v/>
      </c>
      <c r="I78" s="175" t="str">
        <f>IF(B78="","",IF(ISNA(VLOOKUP($B78,'E-1 Off Site Hedge Baseline'!$B$1:$L$257,10,FALSE)),"",(VLOOKUP($B78,'E-1 Off Site Hedge Baseline'!$B$1:$L$257,10,FALSE))))</f>
        <v/>
      </c>
      <c r="J78" s="175" t="str">
        <f>IF(B78="","",IF(ISNA(VLOOKUP($B78,'E-1 Off Site Hedge Baseline'!$B$1:$L$257,11,FALSE)),"",(VLOOKUP($B78,'E-1 Off Site Hedge Baseline'!$B$1:$L$257,11,FALSE))))</f>
        <v/>
      </c>
      <c r="K78" s="175" t="str">
        <f>IF(B78="","",IF(ISNA(VLOOKUP($B78,'E-1 Off Site Hedge Baseline'!$B$1:$U$257,113,FALSE)),"",(VLOOKUP($B78,'E-1 Off Site Hedge Baseline'!$B$1:$U$257,13,FALSE))))</f>
        <v/>
      </c>
      <c r="L78" s="179" t="str">
        <f>IF(B78="","",IF(ISNA(VLOOKUP($B78,'E-1 Off Site Hedge Baseline'!$B$1:$U$257,12,FALSE)),"",(VLOOKUP($B78,'E-1 Off Site Hedge Baseline'!$B$1:$U$257,12,FALSE))))</f>
        <v/>
      </c>
      <c r="M78" s="639" t="str">
        <f t="shared" ref="M78:M141" si="16">C78</f>
        <v/>
      </c>
      <c r="N78" s="171" t="str">
        <f>IFERROR(IF(B78="","",INDEX('G-6 Hedgerow Data'!$AN$3:$AZ$15,MATCH(C78,'G-6 Hedgerow Data'!$AM$3:$AM$15,0),MATCH(M78,'G-6 Hedgerow Data'!$AN$2:$AZ$2,0))),"")</f>
        <v/>
      </c>
      <c r="O78" s="172" t="str">
        <f t="shared" si="10"/>
        <v/>
      </c>
      <c r="P78" s="260" t="str">
        <f>IF(B78="","",VLOOKUP(B78,'E-1 Off Site Hedge Baseline'!$B$10:T323,16,FALSE))</f>
        <v/>
      </c>
      <c r="Q78" s="171" t="str">
        <f>IF(M78="","",VLOOKUP(M78,'G-6 Hedgerow Data'!$B$2:$AG$15,2,FALSE))</f>
        <v/>
      </c>
      <c r="R78" s="172" t="str">
        <f>IF(M78="","",VLOOKUP(M78,'G-6 Hedgerow Data'!$B$2:$AG$15,3,FALSE))</f>
        <v/>
      </c>
      <c r="S78" s="173"/>
      <c r="T78" s="172" t="str">
        <f>IFERROR(IF(AND(Q78="V.Low",OR(S78="Good",S78="Moderate")),"Error",VLOOKUP(S78,'G-1 All Habitats'!$Z$2:$AA$9,2,FALSE)),"")</f>
        <v/>
      </c>
      <c r="U78" s="173"/>
      <c r="V78" s="179" t="str">
        <f>IF(U78="","",IF(VLOOKUP(U78,'G-3 Multipliers'!$L$3:$N$6,2,FALSE)=0,"Spatial Data Missing",VLOOKUP(U78,'G-3 Multipliers'!$L$3:$N$6,2,FALSE)))</f>
        <v/>
      </c>
      <c r="W78" s="260" t="str">
        <f>IF(U78="","",IF(VLOOKUP(U78,'G-3 Multipliers'!$L$3:$N$6,3,FALSE)=0,"Spatial Data Missing",VLOOKUP(U78,'G-3 Multipliers'!$L$3:$N$6,3,FALSE)))</f>
        <v/>
      </c>
      <c r="X78" s="171" t="str">
        <f>IFERROR(IF(OR(LEFT(O78,5)="Error",LEFT(N78,5)="Error",T78="Error"),"Check Data",IF(F78&lt;R78,INDEX('G-6 Hedgerow Data'!$S$3:$AE$14,MATCH(C78,'G-6 Hedgerow Data'!$B$3:$B$14,0),MATCH(M78,'G-6 Hedgerow Data'!$S$2:$AE$2,0)),INDEX('G-6 Hedgerow Data'!$K$3:$Q$14,MATCH(M78,'G-6 Hedgerow Data'!$B$3:$B$14,0),MATCH(O78,'G-6 Hedgerow Data'!$K$2:$Q$2,0)))),"")</f>
        <v/>
      </c>
      <c r="Y78" s="261"/>
      <c r="Z78" s="261"/>
      <c r="AA78" s="179" t="str">
        <f t="shared" si="11"/>
        <v/>
      </c>
      <c r="AB78" s="262" t="str">
        <f t="shared" si="12"/>
        <v/>
      </c>
      <c r="AC78" s="263" t="str">
        <f t="shared" si="9"/>
        <v/>
      </c>
      <c r="AD78" s="239" t="str">
        <f>IF(M78="","",VLOOKUP(M78,'G-6 Hedgerow Data'!$B$3:$AG$15,31,FALSE))</f>
        <v/>
      </c>
      <c r="AE78" s="175" t="str">
        <f t="shared" si="13"/>
        <v/>
      </c>
      <c r="AF78" s="175" t="str">
        <f t="shared" si="14"/>
        <v/>
      </c>
      <c r="AG78" s="176" t="str">
        <f>IFERROR(IF(O78="","",VLOOKUP(AD78,'G-3 Multipliers'!$P$3:$Q$6,2,FALSE)),"")</f>
        <v/>
      </c>
      <c r="AH78" s="266"/>
      <c r="AI78" s="172" t="str">
        <f>IF(AH78="","",IF(VLOOKUP(AH78,'G-3 Multipliers'!$S$3:$T$6,2,FALSE)=0,"Spatial Data Missing",VLOOKUP(AH78,'G-3 Multipliers'!$S$3:$T$6,2,FALSE)))</f>
        <v/>
      </c>
      <c r="AJ78" s="265" t="str">
        <f t="shared" si="15"/>
        <v/>
      </c>
      <c r="AK78" s="180"/>
      <c r="AL78" s="181"/>
      <c r="AP78" s="35" t="str">
        <f>IFERROR(INDEX('G-6 Hedgerow Data'!$BJ$3:$BJ$15,MATCH(M78,'G-6 Hedgerow Data'!$B$3:$B$15,0)),"")</f>
        <v/>
      </c>
    </row>
    <row r="79" spans="2:42" ht="13.8" x14ac:dyDescent="0.25">
      <c r="B79" s="259" t="str">
        <f>'E-1 Off Site Hedge Baseline'!AK77</f>
        <v/>
      </c>
      <c r="C79" s="175" t="str">
        <f>IF(B79="","",IF(ISNA(VLOOKUP($B79,'E-1 Off Site Hedge Baseline'!$B$1:$L$257,3,FALSE)),"",(VLOOKUP($B79,'E-1 Off Site Hedge Baseline'!$B$1:$L$257,3,FALSE))))</f>
        <v/>
      </c>
      <c r="D79" s="175" t="str">
        <f>IF(B79="","",IF(ISNA(VLOOKUP($B79,'E-1 Off Site Hedge Baseline'!$B$1:$L$258,4,FALSE)),"",(VLOOKUP($B79,'E-1 Off Site Hedge Baseline'!$B$1:$L$258,4,FALSE))))</f>
        <v/>
      </c>
      <c r="E79" s="175" t="str">
        <f>IF(B79="","",IF(ISNA(VLOOKUP($B79,'E-1 Off Site Hedge Baseline'!$B$1:$L$257,5,FALSE)),"",(VLOOKUP($B79,'E-1 Off Site Hedge Baseline'!$B$1:$L$257,5,FALSE))))</f>
        <v/>
      </c>
      <c r="F79" s="175" t="str">
        <f>IF(B79="","",IF(ISNA(VLOOKUP($B79,'E-1 Off Site Hedge Baseline'!$B$1:$L$257,6,FALSE)),"",(VLOOKUP($B79,'E-1 Off Site Hedge Baseline'!$B$1:$L$257,6,FALSE))))</f>
        <v/>
      </c>
      <c r="G79" s="175" t="str">
        <f>IF(B79="","",IF(ISNA(VLOOKUP($B79,'E-1 Off Site Hedge Baseline'!$B$1:$L$257,7,FALSE)),"",(VLOOKUP($B79,'E-1 Off Site Hedge Baseline'!$B$1:$L$257,7,FALSE))))</f>
        <v/>
      </c>
      <c r="H79" s="175" t="str">
        <f>IF(B79="","",IF(ISNA(VLOOKUP($B79,'E-1 Off Site Hedge Baseline'!$B$1:$L$257,8,FALSE)),"",(VLOOKUP($B79,'E-1 Off Site Hedge Baseline'!$B$1:$L$257,8,FALSE))))</f>
        <v/>
      </c>
      <c r="I79" s="175" t="str">
        <f>IF(B79="","",IF(ISNA(VLOOKUP($B79,'E-1 Off Site Hedge Baseline'!$B$1:$L$257,10,FALSE)),"",(VLOOKUP($B79,'E-1 Off Site Hedge Baseline'!$B$1:$L$257,10,FALSE))))</f>
        <v/>
      </c>
      <c r="J79" s="175" t="str">
        <f>IF(B79="","",IF(ISNA(VLOOKUP($B79,'E-1 Off Site Hedge Baseline'!$B$1:$L$257,11,FALSE)),"",(VLOOKUP($B79,'E-1 Off Site Hedge Baseline'!$B$1:$L$257,11,FALSE))))</f>
        <v/>
      </c>
      <c r="K79" s="175" t="str">
        <f>IF(B79="","",IF(ISNA(VLOOKUP($B79,'E-1 Off Site Hedge Baseline'!$B$1:$U$257,113,FALSE)),"",(VLOOKUP($B79,'E-1 Off Site Hedge Baseline'!$B$1:$U$257,13,FALSE))))</f>
        <v/>
      </c>
      <c r="L79" s="179" t="str">
        <f>IF(B79="","",IF(ISNA(VLOOKUP($B79,'E-1 Off Site Hedge Baseline'!$B$1:$U$257,12,FALSE)),"",(VLOOKUP($B79,'E-1 Off Site Hedge Baseline'!$B$1:$U$257,12,FALSE))))</f>
        <v/>
      </c>
      <c r="M79" s="639" t="str">
        <f t="shared" si="16"/>
        <v/>
      </c>
      <c r="N79" s="171" t="str">
        <f>IFERROR(IF(B79="","",INDEX('G-6 Hedgerow Data'!$AN$3:$AZ$15,MATCH(C79,'G-6 Hedgerow Data'!$AM$3:$AM$15,0),MATCH(M79,'G-6 Hedgerow Data'!$AN$2:$AZ$2,0))),"")</f>
        <v/>
      </c>
      <c r="O79" s="172" t="str">
        <f t="shared" si="10"/>
        <v/>
      </c>
      <c r="P79" s="260" t="str">
        <f>IF(B79="","",VLOOKUP(B79,'E-1 Off Site Hedge Baseline'!$B$10:T324,16,FALSE))</f>
        <v/>
      </c>
      <c r="Q79" s="171" t="str">
        <f>IF(M79="","",VLOOKUP(M79,'G-6 Hedgerow Data'!$B$2:$AG$15,2,FALSE))</f>
        <v/>
      </c>
      <c r="R79" s="172" t="str">
        <f>IF(M79="","",VLOOKUP(M79,'G-6 Hedgerow Data'!$B$2:$AG$15,3,FALSE))</f>
        <v/>
      </c>
      <c r="S79" s="173"/>
      <c r="T79" s="172" t="str">
        <f>IFERROR(IF(AND(Q79="V.Low",OR(S79="Good",S79="Moderate")),"Error",VLOOKUP(S79,'G-1 All Habitats'!$Z$2:$AA$9,2,FALSE)),"")</f>
        <v/>
      </c>
      <c r="U79" s="173"/>
      <c r="V79" s="179" t="str">
        <f>IF(U79="","",IF(VLOOKUP(U79,'G-3 Multipliers'!$L$3:$N$6,2,FALSE)=0,"Spatial Data Missing",VLOOKUP(U79,'G-3 Multipliers'!$L$3:$N$6,2,FALSE)))</f>
        <v/>
      </c>
      <c r="W79" s="260" t="str">
        <f>IF(U79="","",IF(VLOOKUP(U79,'G-3 Multipliers'!$L$3:$N$6,3,FALSE)=0,"Spatial Data Missing",VLOOKUP(U79,'G-3 Multipliers'!$L$3:$N$6,3,FALSE)))</f>
        <v/>
      </c>
      <c r="X79" s="171" t="str">
        <f>IFERROR(IF(OR(LEFT(O79,5)="Error",LEFT(N79,5)="Error",T79="Error"),"Check Data",IF(F79&lt;R79,INDEX('G-6 Hedgerow Data'!$S$3:$AE$14,MATCH(C79,'G-6 Hedgerow Data'!$B$3:$B$14,0),MATCH(M79,'G-6 Hedgerow Data'!$S$2:$AE$2,0)),INDEX('G-6 Hedgerow Data'!$K$3:$Q$14,MATCH(M79,'G-6 Hedgerow Data'!$B$3:$B$14,0),MATCH(O79,'G-6 Hedgerow Data'!$K$2:$Q$2,0)))),"")</f>
        <v/>
      </c>
      <c r="Y79" s="261"/>
      <c r="Z79" s="261"/>
      <c r="AA79" s="179" t="str">
        <f t="shared" si="11"/>
        <v/>
      </c>
      <c r="AB79" s="262" t="str">
        <f t="shared" si="12"/>
        <v/>
      </c>
      <c r="AC79" s="263" t="str">
        <f t="shared" si="9"/>
        <v/>
      </c>
      <c r="AD79" s="239" t="str">
        <f>IF(M79="","",VLOOKUP(M79,'G-6 Hedgerow Data'!$B$3:$AG$15,31,FALSE))</f>
        <v/>
      </c>
      <c r="AE79" s="175" t="str">
        <f t="shared" si="13"/>
        <v/>
      </c>
      <c r="AF79" s="175" t="str">
        <f t="shared" si="14"/>
        <v/>
      </c>
      <c r="AG79" s="176" t="str">
        <f>IFERROR(IF(O79="","",VLOOKUP(AD79,'G-3 Multipliers'!$P$3:$Q$6,2,FALSE)),"")</f>
        <v/>
      </c>
      <c r="AH79" s="266"/>
      <c r="AI79" s="172" t="str">
        <f>IF(AH79="","",IF(VLOOKUP(AH79,'G-3 Multipliers'!$S$3:$T$6,2,FALSE)=0,"Spatial Data Missing",VLOOKUP(AH79,'G-3 Multipliers'!$S$3:$T$6,2,FALSE)))</f>
        <v/>
      </c>
      <c r="AJ79" s="265" t="str">
        <f t="shared" si="15"/>
        <v/>
      </c>
      <c r="AK79" s="180"/>
      <c r="AL79" s="181"/>
      <c r="AP79" s="35" t="str">
        <f>IFERROR(INDEX('G-6 Hedgerow Data'!$BJ$3:$BJ$15,MATCH(M79,'G-6 Hedgerow Data'!$B$3:$B$15,0)),"")</f>
        <v/>
      </c>
    </row>
    <row r="80" spans="2:42" ht="13.8" x14ac:dyDescent="0.25">
      <c r="B80" s="259" t="str">
        <f>'E-1 Off Site Hedge Baseline'!AK78</f>
        <v/>
      </c>
      <c r="C80" s="175" t="str">
        <f>IF(B80="","",IF(ISNA(VLOOKUP($B80,'E-1 Off Site Hedge Baseline'!$B$1:$L$257,3,FALSE)),"",(VLOOKUP($B80,'E-1 Off Site Hedge Baseline'!$B$1:$L$257,3,FALSE))))</f>
        <v/>
      </c>
      <c r="D80" s="175" t="str">
        <f>IF(B80="","",IF(ISNA(VLOOKUP($B80,'E-1 Off Site Hedge Baseline'!$B$1:$L$258,4,FALSE)),"",(VLOOKUP($B80,'E-1 Off Site Hedge Baseline'!$B$1:$L$258,4,FALSE))))</f>
        <v/>
      </c>
      <c r="E80" s="175" t="str">
        <f>IF(B80="","",IF(ISNA(VLOOKUP($B80,'E-1 Off Site Hedge Baseline'!$B$1:$L$257,5,FALSE)),"",(VLOOKUP($B80,'E-1 Off Site Hedge Baseline'!$B$1:$L$257,5,FALSE))))</f>
        <v/>
      </c>
      <c r="F80" s="175" t="str">
        <f>IF(B80="","",IF(ISNA(VLOOKUP($B80,'E-1 Off Site Hedge Baseline'!$B$1:$L$257,6,FALSE)),"",(VLOOKUP($B80,'E-1 Off Site Hedge Baseline'!$B$1:$L$257,6,FALSE))))</f>
        <v/>
      </c>
      <c r="G80" s="175" t="str">
        <f>IF(B80="","",IF(ISNA(VLOOKUP($B80,'E-1 Off Site Hedge Baseline'!$B$1:$L$257,7,FALSE)),"",(VLOOKUP($B80,'E-1 Off Site Hedge Baseline'!$B$1:$L$257,7,FALSE))))</f>
        <v/>
      </c>
      <c r="H80" s="175" t="str">
        <f>IF(B80="","",IF(ISNA(VLOOKUP($B80,'E-1 Off Site Hedge Baseline'!$B$1:$L$257,8,FALSE)),"",(VLOOKUP($B80,'E-1 Off Site Hedge Baseline'!$B$1:$L$257,8,FALSE))))</f>
        <v/>
      </c>
      <c r="I80" s="175" t="str">
        <f>IF(B80="","",IF(ISNA(VLOOKUP($B80,'E-1 Off Site Hedge Baseline'!$B$1:$L$257,10,FALSE)),"",(VLOOKUP($B80,'E-1 Off Site Hedge Baseline'!$B$1:$L$257,10,FALSE))))</f>
        <v/>
      </c>
      <c r="J80" s="175" t="str">
        <f>IF(B80="","",IF(ISNA(VLOOKUP($B80,'E-1 Off Site Hedge Baseline'!$B$1:$L$257,11,FALSE)),"",(VLOOKUP($B80,'E-1 Off Site Hedge Baseline'!$B$1:$L$257,11,FALSE))))</f>
        <v/>
      </c>
      <c r="K80" s="175" t="str">
        <f>IF(B80="","",IF(ISNA(VLOOKUP($B80,'E-1 Off Site Hedge Baseline'!$B$1:$U$257,113,FALSE)),"",(VLOOKUP($B80,'E-1 Off Site Hedge Baseline'!$B$1:$U$257,13,FALSE))))</f>
        <v/>
      </c>
      <c r="L80" s="179" t="str">
        <f>IF(B80="","",IF(ISNA(VLOOKUP($B80,'E-1 Off Site Hedge Baseline'!$B$1:$U$257,12,FALSE)),"",(VLOOKUP($B80,'E-1 Off Site Hedge Baseline'!$B$1:$U$257,12,FALSE))))</f>
        <v/>
      </c>
      <c r="M80" s="639" t="str">
        <f t="shared" si="16"/>
        <v/>
      </c>
      <c r="N80" s="171" t="str">
        <f>IFERROR(IF(B80="","",INDEX('G-6 Hedgerow Data'!$AN$3:$AZ$15,MATCH(C80,'G-6 Hedgerow Data'!$AM$3:$AM$15,0),MATCH(M80,'G-6 Hedgerow Data'!$AN$2:$AZ$2,0))),"")</f>
        <v/>
      </c>
      <c r="O80" s="172" t="str">
        <f t="shared" si="10"/>
        <v/>
      </c>
      <c r="P80" s="260" t="str">
        <f>IF(B80="","",VLOOKUP(B80,'E-1 Off Site Hedge Baseline'!$B$10:T325,16,FALSE))</f>
        <v/>
      </c>
      <c r="Q80" s="171" t="str">
        <f>IF(M80="","",VLOOKUP(M80,'G-6 Hedgerow Data'!$B$2:$AG$15,2,FALSE))</f>
        <v/>
      </c>
      <c r="R80" s="172" t="str">
        <f>IF(M80="","",VLOOKUP(M80,'G-6 Hedgerow Data'!$B$2:$AG$15,3,FALSE))</f>
        <v/>
      </c>
      <c r="S80" s="173"/>
      <c r="T80" s="172" t="str">
        <f>IFERROR(IF(AND(Q80="V.Low",OR(S80="Good",S80="Moderate")),"Error",VLOOKUP(S80,'G-1 All Habitats'!$Z$2:$AA$9,2,FALSE)),"")</f>
        <v/>
      </c>
      <c r="U80" s="173"/>
      <c r="V80" s="179" t="str">
        <f>IF(U80="","",IF(VLOOKUP(U80,'G-3 Multipliers'!$L$3:$N$6,2,FALSE)=0,"Spatial Data Missing",VLOOKUP(U80,'G-3 Multipliers'!$L$3:$N$6,2,FALSE)))</f>
        <v/>
      </c>
      <c r="W80" s="260" t="str">
        <f>IF(U80="","",IF(VLOOKUP(U80,'G-3 Multipliers'!$L$3:$N$6,3,FALSE)=0,"Spatial Data Missing",VLOOKUP(U80,'G-3 Multipliers'!$L$3:$N$6,3,FALSE)))</f>
        <v/>
      </c>
      <c r="X80" s="171" t="str">
        <f>IFERROR(IF(OR(LEFT(O80,5)="Error",LEFT(N80,5)="Error",T80="Error"),"Check Data",IF(F80&lt;R80,INDEX('G-6 Hedgerow Data'!$S$3:$AE$14,MATCH(C80,'G-6 Hedgerow Data'!$B$3:$B$14,0),MATCH(M80,'G-6 Hedgerow Data'!$S$2:$AE$2,0)),INDEX('G-6 Hedgerow Data'!$K$3:$Q$14,MATCH(M80,'G-6 Hedgerow Data'!$B$3:$B$14,0),MATCH(O80,'G-6 Hedgerow Data'!$K$2:$Q$2,0)))),"")</f>
        <v/>
      </c>
      <c r="Y80" s="261"/>
      <c r="Z80" s="261"/>
      <c r="AA80" s="179" t="str">
        <f t="shared" si="11"/>
        <v/>
      </c>
      <c r="AB80" s="262" t="str">
        <f t="shared" si="12"/>
        <v/>
      </c>
      <c r="AC80" s="263" t="str">
        <f t="shared" si="9"/>
        <v/>
      </c>
      <c r="AD80" s="239" t="str">
        <f>IF(M80="","",VLOOKUP(M80,'G-6 Hedgerow Data'!$B$3:$AG$15,31,FALSE))</f>
        <v/>
      </c>
      <c r="AE80" s="175" t="str">
        <f t="shared" si="13"/>
        <v/>
      </c>
      <c r="AF80" s="175" t="str">
        <f t="shared" si="14"/>
        <v/>
      </c>
      <c r="AG80" s="176" t="str">
        <f>IFERROR(IF(O80="","",VLOOKUP(AD80,'G-3 Multipliers'!$P$3:$Q$6,2,FALSE)),"")</f>
        <v/>
      </c>
      <c r="AH80" s="266"/>
      <c r="AI80" s="172" t="str">
        <f>IF(AH80="","",IF(VLOOKUP(AH80,'G-3 Multipliers'!$S$3:$T$6,2,FALSE)=0,"Spatial Data Missing",VLOOKUP(AH80,'G-3 Multipliers'!$S$3:$T$6,2,FALSE)))</f>
        <v/>
      </c>
      <c r="AJ80" s="265" t="str">
        <f t="shared" si="15"/>
        <v/>
      </c>
      <c r="AK80" s="180"/>
      <c r="AL80" s="181"/>
      <c r="AP80" s="35" t="str">
        <f>IFERROR(INDEX('G-6 Hedgerow Data'!$BJ$3:$BJ$15,MATCH(M80,'G-6 Hedgerow Data'!$B$3:$B$15,0)),"")</f>
        <v/>
      </c>
    </row>
    <row r="81" spans="2:42" ht="13.8" x14ac:dyDescent="0.25">
      <c r="B81" s="259" t="str">
        <f>'E-1 Off Site Hedge Baseline'!AK79</f>
        <v/>
      </c>
      <c r="C81" s="175" t="str">
        <f>IF(B81="","",IF(ISNA(VLOOKUP($B81,'E-1 Off Site Hedge Baseline'!$B$1:$L$257,3,FALSE)),"",(VLOOKUP($B81,'E-1 Off Site Hedge Baseline'!$B$1:$L$257,3,FALSE))))</f>
        <v/>
      </c>
      <c r="D81" s="175" t="str">
        <f>IF(B81="","",IF(ISNA(VLOOKUP($B81,'E-1 Off Site Hedge Baseline'!$B$1:$L$258,4,FALSE)),"",(VLOOKUP($B81,'E-1 Off Site Hedge Baseline'!$B$1:$L$258,4,FALSE))))</f>
        <v/>
      </c>
      <c r="E81" s="175" t="str">
        <f>IF(B81="","",IF(ISNA(VLOOKUP($B81,'E-1 Off Site Hedge Baseline'!$B$1:$L$257,5,FALSE)),"",(VLOOKUP($B81,'E-1 Off Site Hedge Baseline'!$B$1:$L$257,5,FALSE))))</f>
        <v/>
      </c>
      <c r="F81" s="175" t="str">
        <f>IF(B81="","",IF(ISNA(VLOOKUP($B81,'E-1 Off Site Hedge Baseline'!$B$1:$L$257,6,FALSE)),"",(VLOOKUP($B81,'E-1 Off Site Hedge Baseline'!$B$1:$L$257,6,FALSE))))</f>
        <v/>
      </c>
      <c r="G81" s="175" t="str">
        <f>IF(B81="","",IF(ISNA(VLOOKUP($B81,'E-1 Off Site Hedge Baseline'!$B$1:$L$257,7,FALSE)),"",(VLOOKUP($B81,'E-1 Off Site Hedge Baseline'!$B$1:$L$257,7,FALSE))))</f>
        <v/>
      </c>
      <c r="H81" s="175" t="str">
        <f>IF(B81="","",IF(ISNA(VLOOKUP($B81,'E-1 Off Site Hedge Baseline'!$B$1:$L$257,8,FALSE)),"",(VLOOKUP($B81,'E-1 Off Site Hedge Baseline'!$B$1:$L$257,8,FALSE))))</f>
        <v/>
      </c>
      <c r="I81" s="175" t="str">
        <f>IF(B81="","",IF(ISNA(VLOOKUP($B81,'E-1 Off Site Hedge Baseline'!$B$1:$L$257,10,FALSE)),"",(VLOOKUP($B81,'E-1 Off Site Hedge Baseline'!$B$1:$L$257,10,FALSE))))</f>
        <v/>
      </c>
      <c r="J81" s="175" t="str">
        <f>IF(B81="","",IF(ISNA(VLOOKUP($B81,'E-1 Off Site Hedge Baseline'!$B$1:$L$257,11,FALSE)),"",(VLOOKUP($B81,'E-1 Off Site Hedge Baseline'!$B$1:$L$257,11,FALSE))))</f>
        <v/>
      </c>
      <c r="K81" s="175" t="str">
        <f>IF(B81="","",IF(ISNA(VLOOKUP($B81,'E-1 Off Site Hedge Baseline'!$B$1:$U$257,113,FALSE)),"",(VLOOKUP($B81,'E-1 Off Site Hedge Baseline'!$B$1:$U$257,13,FALSE))))</f>
        <v/>
      </c>
      <c r="L81" s="179" t="str">
        <f>IF(B81="","",IF(ISNA(VLOOKUP($B81,'E-1 Off Site Hedge Baseline'!$B$1:$U$257,12,FALSE)),"",(VLOOKUP($B81,'E-1 Off Site Hedge Baseline'!$B$1:$U$257,12,FALSE))))</f>
        <v/>
      </c>
      <c r="M81" s="639" t="str">
        <f t="shared" si="16"/>
        <v/>
      </c>
      <c r="N81" s="171" t="str">
        <f>IFERROR(IF(B81="","",INDEX('G-6 Hedgerow Data'!$AN$3:$AZ$15,MATCH(C81,'G-6 Hedgerow Data'!$AM$3:$AM$15,0),MATCH(M81,'G-6 Hedgerow Data'!$AN$2:$AZ$2,0))),"")</f>
        <v/>
      </c>
      <c r="O81" s="172" t="str">
        <f t="shared" si="10"/>
        <v/>
      </c>
      <c r="P81" s="260" t="str">
        <f>IF(B81="","",VLOOKUP(B81,'E-1 Off Site Hedge Baseline'!$B$10:T326,16,FALSE))</f>
        <v/>
      </c>
      <c r="Q81" s="171" t="str">
        <f>IF(M81="","",VLOOKUP(M81,'G-6 Hedgerow Data'!$B$2:$AG$15,2,FALSE))</f>
        <v/>
      </c>
      <c r="R81" s="172" t="str">
        <f>IF(M81="","",VLOOKUP(M81,'G-6 Hedgerow Data'!$B$2:$AG$15,3,FALSE))</f>
        <v/>
      </c>
      <c r="S81" s="173"/>
      <c r="T81" s="172" t="str">
        <f>IFERROR(IF(AND(Q81="V.Low",OR(S81="Good",S81="Moderate")),"Error",VLOOKUP(S81,'G-1 All Habitats'!$Z$2:$AA$9,2,FALSE)),"")</f>
        <v/>
      </c>
      <c r="U81" s="173"/>
      <c r="V81" s="179" t="str">
        <f>IF(U81="","",IF(VLOOKUP(U81,'G-3 Multipliers'!$L$3:$N$6,2,FALSE)=0,"Spatial Data Missing",VLOOKUP(U81,'G-3 Multipliers'!$L$3:$N$6,2,FALSE)))</f>
        <v/>
      </c>
      <c r="W81" s="260" t="str">
        <f>IF(U81="","",IF(VLOOKUP(U81,'G-3 Multipliers'!$L$3:$N$6,3,FALSE)=0,"Spatial Data Missing",VLOOKUP(U81,'G-3 Multipliers'!$L$3:$N$6,3,FALSE)))</f>
        <v/>
      </c>
      <c r="X81" s="171" t="str">
        <f>IFERROR(IF(OR(LEFT(O81,5)="Error",LEFT(N81,5)="Error",T81="Error"),"Check Data",IF(F81&lt;R81,INDEX('G-6 Hedgerow Data'!$S$3:$AE$14,MATCH(C81,'G-6 Hedgerow Data'!$B$3:$B$14,0),MATCH(M81,'G-6 Hedgerow Data'!$S$2:$AE$2,0)),INDEX('G-6 Hedgerow Data'!$K$3:$Q$14,MATCH(M81,'G-6 Hedgerow Data'!$B$3:$B$14,0),MATCH(O81,'G-6 Hedgerow Data'!$K$2:$Q$2,0)))),"")</f>
        <v/>
      </c>
      <c r="Y81" s="261"/>
      <c r="Z81" s="261"/>
      <c r="AA81" s="179" t="str">
        <f t="shared" si="11"/>
        <v/>
      </c>
      <c r="AB81" s="262" t="str">
        <f t="shared" si="12"/>
        <v/>
      </c>
      <c r="AC81" s="263" t="str">
        <f t="shared" si="9"/>
        <v/>
      </c>
      <c r="AD81" s="239" t="str">
        <f>IF(M81="","",VLOOKUP(M81,'G-6 Hedgerow Data'!$B$3:$AG$15,31,FALSE))</f>
        <v/>
      </c>
      <c r="AE81" s="175" t="str">
        <f t="shared" si="13"/>
        <v/>
      </c>
      <c r="AF81" s="175" t="str">
        <f t="shared" si="14"/>
        <v/>
      </c>
      <c r="AG81" s="176" t="str">
        <f>IFERROR(IF(O81="","",VLOOKUP(AD81,'G-3 Multipliers'!$P$3:$Q$6,2,FALSE)),"")</f>
        <v/>
      </c>
      <c r="AH81" s="266"/>
      <c r="AI81" s="172" t="str">
        <f>IF(AH81="","",IF(VLOOKUP(AH81,'G-3 Multipliers'!$S$3:$T$6,2,FALSE)=0,"Spatial Data Missing",VLOOKUP(AH81,'G-3 Multipliers'!$S$3:$T$6,2,FALSE)))</f>
        <v/>
      </c>
      <c r="AJ81" s="265" t="str">
        <f t="shared" si="15"/>
        <v/>
      </c>
      <c r="AK81" s="180"/>
      <c r="AL81" s="181"/>
      <c r="AP81" s="35" t="str">
        <f>IFERROR(INDEX('G-6 Hedgerow Data'!$BJ$3:$BJ$15,MATCH(M81,'G-6 Hedgerow Data'!$B$3:$B$15,0)),"")</f>
        <v/>
      </c>
    </row>
    <row r="82" spans="2:42" ht="13.8" x14ac:dyDescent="0.25">
      <c r="B82" s="259" t="str">
        <f>'E-1 Off Site Hedge Baseline'!AK80</f>
        <v/>
      </c>
      <c r="C82" s="175" t="str">
        <f>IF(B82="","",IF(ISNA(VLOOKUP($B82,'E-1 Off Site Hedge Baseline'!$B$1:$L$257,3,FALSE)),"",(VLOOKUP($B82,'E-1 Off Site Hedge Baseline'!$B$1:$L$257,3,FALSE))))</f>
        <v/>
      </c>
      <c r="D82" s="175" t="str">
        <f>IF(B82="","",IF(ISNA(VLOOKUP($B82,'E-1 Off Site Hedge Baseline'!$B$1:$L$258,4,FALSE)),"",(VLOOKUP($B82,'E-1 Off Site Hedge Baseline'!$B$1:$L$258,4,FALSE))))</f>
        <v/>
      </c>
      <c r="E82" s="175" t="str">
        <f>IF(B82="","",IF(ISNA(VLOOKUP($B82,'E-1 Off Site Hedge Baseline'!$B$1:$L$257,5,FALSE)),"",(VLOOKUP($B82,'E-1 Off Site Hedge Baseline'!$B$1:$L$257,5,FALSE))))</f>
        <v/>
      </c>
      <c r="F82" s="175" t="str">
        <f>IF(B82="","",IF(ISNA(VLOOKUP($B82,'E-1 Off Site Hedge Baseline'!$B$1:$L$257,6,FALSE)),"",(VLOOKUP($B82,'E-1 Off Site Hedge Baseline'!$B$1:$L$257,6,FALSE))))</f>
        <v/>
      </c>
      <c r="G82" s="175" t="str">
        <f>IF(B82="","",IF(ISNA(VLOOKUP($B82,'E-1 Off Site Hedge Baseline'!$B$1:$L$257,7,FALSE)),"",(VLOOKUP($B82,'E-1 Off Site Hedge Baseline'!$B$1:$L$257,7,FALSE))))</f>
        <v/>
      </c>
      <c r="H82" s="175" t="str">
        <f>IF(B82="","",IF(ISNA(VLOOKUP($B82,'E-1 Off Site Hedge Baseline'!$B$1:$L$257,8,FALSE)),"",(VLOOKUP($B82,'E-1 Off Site Hedge Baseline'!$B$1:$L$257,8,FALSE))))</f>
        <v/>
      </c>
      <c r="I82" s="175" t="str">
        <f>IF(B82="","",IF(ISNA(VLOOKUP($B82,'E-1 Off Site Hedge Baseline'!$B$1:$L$257,10,FALSE)),"",(VLOOKUP($B82,'E-1 Off Site Hedge Baseline'!$B$1:$L$257,10,FALSE))))</f>
        <v/>
      </c>
      <c r="J82" s="175" t="str">
        <f>IF(B82="","",IF(ISNA(VLOOKUP($B82,'E-1 Off Site Hedge Baseline'!$B$1:$L$257,11,FALSE)),"",(VLOOKUP($B82,'E-1 Off Site Hedge Baseline'!$B$1:$L$257,11,FALSE))))</f>
        <v/>
      </c>
      <c r="K82" s="175" t="str">
        <f>IF(B82="","",IF(ISNA(VLOOKUP($B82,'E-1 Off Site Hedge Baseline'!$B$1:$U$257,113,FALSE)),"",(VLOOKUP($B82,'E-1 Off Site Hedge Baseline'!$B$1:$U$257,13,FALSE))))</f>
        <v/>
      </c>
      <c r="L82" s="179" t="str">
        <f>IF(B82="","",IF(ISNA(VLOOKUP($B82,'E-1 Off Site Hedge Baseline'!$B$1:$U$257,12,FALSE)),"",(VLOOKUP($B82,'E-1 Off Site Hedge Baseline'!$B$1:$U$257,12,FALSE))))</f>
        <v/>
      </c>
      <c r="M82" s="639" t="str">
        <f t="shared" si="16"/>
        <v/>
      </c>
      <c r="N82" s="171" t="str">
        <f>IFERROR(IF(B82="","",INDEX('G-6 Hedgerow Data'!$AN$3:$AZ$15,MATCH(C82,'G-6 Hedgerow Data'!$AM$3:$AM$15,0),MATCH(M82,'G-6 Hedgerow Data'!$AN$2:$AZ$2,0))),"")</f>
        <v/>
      </c>
      <c r="O82" s="172" t="str">
        <f t="shared" si="10"/>
        <v/>
      </c>
      <c r="P82" s="260" t="str">
        <f>IF(B82="","",VLOOKUP(B82,'E-1 Off Site Hedge Baseline'!$B$10:T327,16,FALSE))</f>
        <v/>
      </c>
      <c r="Q82" s="171" t="str">
        <f>IF(M82="","",VLOOKUP(M82,'G-6 Hedgerow Data'!$B$2:$AG$15,2,FALSE))</f>
        <v/>
      </c>
      <c r="R82" s="172" t="str">
        <f>IF(M82="","",VLOOKUP(M82,'G-6 Hedgerow Data'!$B$2:$AG$15,3,FALSE))</f>
        <v/>
      </c>
      <c r="S82" s="173"/>
      <c r="T82" s="172" t="str">
        <f>IFERROR(IF(AND(Q82="V.Low",OR(S82="Good",S82="Moderate")),"Error",VLOOKUP(S82,'G-1 All Habitats'!$Z$2:$AA$9,2,FALSE)),"")</f>
        <v/>
      </c>
      <c r="U82" s="173"/>
      <c r="V82" s="179" t="str">
        <f>IF(U82="","",IF(VLOOKUP(U82,'G-3 Multipliers'!$L$3:$N$6,2,FALSE)=0,"Spatial Data Missing",VLOOKUP(U82,'G-3 Multipliers'!$L$3:$N$6,2,FALSE)))</f>
        <v/>
      </c>
      <c r="W82" s="260" t="str">
        <f>IF(U82="","",IF(VLOOKUP(U82,'G-3 Multipliers'!$L$3:$N$6,3,FALSE)=0,"Spatial Data Missing",VLOOKUP(U82,'G-3 Multipliers'!$L$3:$N$6,3,FALSE)))</f>
        <v/>
      </c>
      <c r="X82" s="171" t="str">
        <f>IFERROR(IF(OR(LEFT(O82,5)="Error",LEFT(N82,5)="Error",T82="Error"),"Check Data",IF(F82&lt;R82,INDEX('G-6 Hedgerow Data'!$S$3:$AE$14,MATCH(C82,'G-6 Hedgerow Data'!$B$3:$B$14,0),MATCH(M82,'G-6 Hedgerow Data'!$S$2:$AE$2,0)),INDEX('G-6 Hedgerow Data'!$K$3:$Q$14,MATCH(M82,'G-6 Hedgerow Data'!$B$3:$B$14,0),MATCH(O82,'G-6 Hedgerow Data'!$K$2:$Q$2,0)))),"")</f>
        <v/>
      </c>
      <c r="Y82" s="261"/>
      <c r="Z82" s="261"/>
      <c r="AA82" s="179" t="str">
        <f t="shared" si="11"/>
        <v/>
      </c>
      <c r="AB82" s="262" t="str">
        <f t="shared" si="12"/>
        <v/>
      </c>
      <c r="AC82" s="263" t="str">
        <f t="shared" si="9"/>
        <v/>
      </c>
      <c r="AD82" s="239" t="str">
        <f>IF(M82="","",VLOOKUP(M82,'G-6 Hedgerow Data'!$B$3:$AG$15,31,FALSE))</f>
        <v/>
      </c>
      <c r="AE82" s="175" t="str">
        <f t="shared" si="13"/>
        <v/>
      </c>
      <c r="AF82" s="175" t="str">
        <f t="shared" si="14"/>
        <v/>
      </c>
      <c r="AG82" s="176" t="str">
        <f>IFERROR(IF(O82="","",VLOOKUP(AD82,'G-3 Multipliers'!$P$3:$Q$6,2,FALSE)),"")</f>
        <v/>
      </c>
      <c r="AH82" s="266"/>
      <c r="AI82" s="172" t="str">
        <f>IF(AH82="","",IF(VLOOKUP(AH82,'G-3 Multipliers'!$S$3:$T$6,2,FALSE)=0,"Spatial Data Missing",VLOOKUP(AH82,'G-3 Multipliers'!$S$3:$T$6,2,FALSE)))</f>
        <v/>
      </c>
      <c r="AJ82" s="265" t="str">
        <f t="shared" si="15"/>
        <v/>
      </c>
      <c r="AK82" s="180"/>
      <c r="AL82" s="181"/>
      <c r="AP82" s="35" t="str">
        <f>IFERROR(INDEX('G-6 Hedgerow Data'!$BJ$3:$BJ$15,MATCH(M82,'G-6 Hedgerow Data'!$B$3:$B$15,0)),"")</f>
        <v/>
      </c>
    </row>
    <row r="83" spans="2:42" ht="13.8" x14ac:dyDescent="0.25">
      <c r="B83" s="259" t="str">
        <f>'E-1 Off Site Hedge Baseline'!AK81</f>
        <v/>
      </c>
      <c r="C83" s="175" t="str">
        <f>IF(B83="","",IF(ISNA(VLOOKUP($B83,'E-1 Off Site Hedge Baseline'!$B$1:$L$257,3,FALSE)),"",(VLOOKUP($B83,'E-1 Off Site Hedge Baseline'!$B$1:$L$257,3,FALSE))))</f>
        <v/>
      </c>
      <c r="D83" s="175" t="str">
        <f>IF(B83="","",IF(ISNA(VLOOKUP($B83,'E-1 Off Site Hedge Baseline'!$B$1:$L$258,4,FALSE)),"",(VLOOKUP($B83,'E-1 Off Site Hedge Baseline'!$B$1:$L$258,4,FALSE))))</f>
        <v/>
      </c>
      <c r="E83" s="175" t="str">
        <f>IF(B83="","",IF(ISNA(VLOOKUP($B83,'E-1 Off Site Hedge Baseline'!$B$1:$L$257,5,FALSE)),"",(VLOOKUP($B83,'E-1 Off Site Hedge Baseline'!$B$1:$L$257,5,FALSE))))</f>
        <v/>
      </c>
      <c r="F83" s="175" t="str">
        <f>IF(B83="","",IF(ISNA(VLOOKUP($B83,'E-1 Off Site Hedge Baseline'!$B$1:$L$257,6,FALSE)),"",(VLOOKUP($B83,'E-1 Off Site Hedge Baseline'!$B$1:$L$257,6,FALSE))))</f>
        <v/>
      </c>
      <c r="G83" s="175" t="str">
        <f>IF(B83="","",IF(ISNA(VLOOKUP($B83,'E-1 Off Site Hedge Baseline'!$B$1:$L$257,7,FALSE)),"",(VLOOKUP($B83,'E-1 Off Site Hedge Baseline'!$B$1:$L$257,7,FALSE))))</f>
        <v/>
      </c>
      <c r="H83" s="175" t="str">
        <f>IF(B83="","",IF(ISNA(VLOOKUP($B83,'E-1 Off Site Hedge Baseline'!$B$1:$L$257,8,FALSE)),"",(VLOOKUP($B83,'E-1 Off Site Hedge Baseline'!$B$1:$L$257,8,FALSE))))</f>
        <v/>
      </c>
      <c r="I83" s="175" t="str">
        <f>IF(B83="","",IF(ISNA(VLOOKUP($B83,'E-1 Off Site Hedge Baseline'!$B$1:$L$257,10,FALSE)),"",(VLOOKUP($B83,'E-1 Off Site Hedge Baseline'!$B$1:$L$257,10,FALSE))))</f>
        <v/>
      </c>
      <c r="J83" s="175" t="str">
        <f>IF(B83="","",IF(ISNA(VLOOKUP($B83,'E-1 Off Site Hedge Baseline'!$B$1:$L$257,11,FALSE)),"",(VLOOKUP($B83,'E-1 Off Site Hedge Baseline'!$B$1:$L$257,11,FALSE))))</f>
        <v/>
      </c>
      <c r="K83" s="175" t="str">
        <f>IF(B83="","",IF(ISNA(VLOOKUP($B83,'E-1 Off Site Hedge Baseline'!$B$1:$U$257,113,FALSE)),"",(VLOOKUP($B83,'E-1 Off Site Hedge Baseline'!$B$1:$U$257,13,FALSE))))</f>
        <v/>
      </c>
      <c r="L83" s="179" t="str">
        <f>IF(B83="","",IF(ISNA(VLOOKUP($B83,'E-1 Off Site Hedge Baseline'!$B$1:$U$257,12,FALSE)),"",(VLOOKUP($B83,'E-1 Off Site Hedge Baseline'!$B$1:$U$257,12,FALSE))))</f>
        <v/>
      </c>
      <c r="M83" s="639" t="str">
        <f t="shared" si="16"/>
        <v/>
      </c>
      <c r="N83" s="171" t="str">
        <f>IFERROR(IF(B83="","",INDEX('G-6 Hedgerow Data'!$AN$3:$AZ$15,MATCH(C83,'G-6 Hedgerow Data'!$AM$3:$AM$15,0),MATCH(M83,'G-6 Hedgerow Data'!$AN$2:$AZ$2,0))),"")</f>
        <v/>
      </c>
      <c r="O83" s="172" t="str">
        <f t="shared" si="10"/>
        <v/>
      </c>
      <c r="P83" s="260" t="str">
        <f>IF(B83="","",VLOOKUP(B83,'E-1 Off Site Hedge Baseline'!$B$10:T328,16,FALSE))</f>
        <v/>
      </c>
      <c r="Q83" s="171" t="str">
        <f>IF(M83="","",VLOOKUP(M83,'G-6 Hedgerow Data'!$B$2:$AG$15,2,FALSE))</f>
        <v/>
      </c>
      <c r="R83" s="172" t="str">
        <f>IF(M83="","",VLOOKUP(M83,'G-6 Hedgerow Data'!$B$2:$AG$15,3,FALSE))</f>
        <v/>
      </c>
      <c r="S83" s="173"/>
      <c r="T83" s="172" t="str">
        <f>IFERROR(IF(AND(Q83="V.Low",OR(S83="Good",S83="Moderate")),"Error",VLOOKUP(S83,'G-1 All Habitats'!$Z$2:$AA$9,2,FALSE)),"")</f>
        <v/>
      </c>
      <c r="U83" s="173"/>
      <c r="V83" s="179" t="str">
        <f>IF(U83="","",IF(VLOOKUP(U83,'G-3 Multipliers'!$L$3:$N$6,2,FALSE)=0,"Spatial Data Missing",VLOOKUP(U83,'G-3 Multipliers'!$L$3:$N$6,2,FALSE)))</f>
        <v/>
      </c>
      <c r="W83" s="260" t="str">
        <f>IF(U83="","",IF(VLOOKUP(U83,'G-3 Multipliers'!$L$3:$N$6,3,FALSE)=0,"Spatial Data Missing",VLOOKUP(U83,'G-3 Multipliers'!$L$3:$N$6,3,FALSE)))</f>
        <v/>
      </c>
      <c r="X83" s="171" t="str">
        <f>IFERROR(IF(OR(LEFT(O83,5)="Error",LEFT(N83,5)="Error",T83="Error"),"Check Data",IF(F83&lt;R83,INDEX('G-6 Hedgerow Data'!$S$3:$AE$14,MATCH(C83,'G-6 Hedgerow Data'!$B$3:$B$14,0),MATCH(M83,'G-6 Hedgerow Data'!$S$2:$AE$2,0)),INDEX('G-6 Hedgerow Data'!$K$3:$Q$14,MATCH(M83,'G-6 Hedgerow Data'!$B$3:$B$14,0),MATCH(O83,'G-6 Hedgerow Data'!$K$2:$Q$2,0)))),"")</f>
        <v/>
      </c>
      <c r="Y83" s="261"/>
      <c r="Z83" s="261"/>
      <c r="AA83" s="179" t="str">
        <f t="shared" si="11"/>
        <v/>
      </c>
      <c r="AB83" s="262" t="str">
        <f t="shared" si="12"/>
        <v/>
      </c>
      <c r="AC83" s="263" t="str">
        <f t="shared" si="9"/>
        <v/>
      </c>
      <c r="AD83" s="239" t="str">
        <f>IF(M83="","",VLOOKUP(M83,'G-6 Hedgerow Data'!$B$3:$AG$15,31,FALSE))</f>
        <v/>
      </c>
      <c r="AE83" s="175" t="str">
        <f t="shared" si="13"/>
        <v/>
      </c>
      <c r="AF83" s="175" t="str">
        <f t="shared" si="14"/>
        <v/>
      </c>
      <c r="AG83" s="176" t="str">
        <f>IFERROR(IF(O83="","",VLOOKUP(AD83,'G-3 Multipliers'!$P$3:$Q$6,2,FALSE)),"")</f>
        <v/>
      </c>
      <c r="AH83" s="266"/>
      <c r="AI83" s="172" t="str">
        <f>IF(AH83="","",IF(VLOOKUP(AH83,'G-3 Multipliers'!$S$3:$T$6,2,FALSE)=0,"Spatial Data Missing",VLOOKUP(AH83,'G-3 Multipliers'!$S$3:$T$6,2,FALSE)))</f>
        <v/>
      </c>
      <c r="AJ83" s="265" t="str">
        <f t="shared" si="15"/>
        <v/>
      </c>
      <c r="AK83" s="180"/>
      <c r="AL83" s="181"/>
      <c r="AP83" s="35" t="str">
        <f>IFERROR(INDEX('G-6 Hedgerow Data'!$BJ$3:$BJ$15,MATCH(M83,'G-6 Hedgerow Data'!$B$3:$B$15,0)),"")</f>
        <v/>
      </c>
    </row>
    <row r="84" spans="2:42" ht="13.8" x14ac:dyDescent="0.25">
      <c r="B84" s="259" t="str">
        <f>'E-1 Off Site Hedge Baseline'!AK82</f>
        <v/>
      </c>
      <c r="C84" s="175" t="str">
        <f>IF(B84="","",IF(ISNA(VLOOKUP($B84,'E-1 Off Site Hedge Baseline'!$B$1:$L$257,3,FALSE)),"",(VLOOKUP($B84,'E-1 Off Site Hedge Baseline'!$B$1:$L$257,3,FALSE))))</f>
        <v/>
      </c>
      <c r="D84" s="175" t="str">
        <f>IF(B84="","",IF(ISNA(VLOOKUP($B84,'E-1 Off Site Hedge Baseline'!$B$1:$L$258,4,FALSE)),"",(VLOOKUP($B84,'E-1 Off Site Hedge Baseline'!$B$1:$L$258,4,FALSE))))</f>
        <v/>
      </c>
      <c r="E84" s="175" t="str">
        <f>IF(B84="","",IF(ISNA(VLOOKUP($B84,'E-1 Off Site Hedge Baseline'!$B$1:$L$257,5,FALSE)),"",(VLOOKUP($B84,'E-1 Off Site Hedge Baseline'!$B$1:$L$257,5,FALSE))))</f>
        <v/>
      </c>
      <c r="F84" s="175" t="str">
        <f>IF(B84="","",IF(ISNA(VLOOKUP($B84,'E-1 Off Site Hedge Baseline'!$B$1:$L$257,6,FALSE)),"",(VLOOKUP($B84,'E-1 Off Site Hedge Baseline'!$B$1:$L$257,6,FALSE))))</f>
        <v/>
      </c>
      <c r="G84" s="175" t="str">
        <f>IF(B84="","",IF(ISNA(VLOOKUP($B84,'E-1 Off Site Hedge Baseline'!$B$1:$L$257,7,FALSE)),"",(VLOOKUP($B84,'E-1 Off Site Hedge Baseline'!$B$1:$L$257,7,FALSE))))</f>
        <v/>
      </c>
      <c r="H84" s="175" t="str">
        <f>IF(B84="","",IF(ISNA(VLOOKUP($B84,'E-1 Off Site Hedge Baseline'!$B$1:$L$257,8,FALSE)),"",(VLOOKUP($B84,'E-1 Off Site Hedge Baseline'!$B$1:$L$257,8,FALSE))))</f>
        <v/>
      </c>
      <c r="I84" s="175" t="str">
        <f>IF(B84="","",IF(ISNA(VLOOKUP($B84,'E-1 Off Site Hedge Baseline'!$B$1:$L$257,10,FALSE)),"",(VLOOKUP($B84,'E-1 Off Site Hedge Baseline'!$B$1:$L$257,10,FALSE))))</f>
        <v/>
      </c>
      <c r="J84" s="175" t="str">
        <f>IF(B84="","",IF(ISNA(VLOOKUP($B84,'E-1 Off Site Hedge Baseline'!$B$1:$L$257,11,FALSE)),"",(VLOOKUP($B84,'E-1 Off Site Hedge Baseline'!$B$1:$L$257,11,FALSE))))</f>
        <v/>
      </c>
      <c r="K84" s="175" t="str">
        <f>IF(B84="","",IF(ISNA(VLOOKUP($B84,'E-1 Off Site Hedge Baseline'!$B$1:$U$257,113,FALSE)),"",(VLOOKUP($B84,'E-1 Off Site Hedge Baseline'!$B$1:$U$257,13,FALSE))))</f>
        <v/>
      </c>
      <c r="L84" s="179" t="str">
        <f>IF(B84="","",IF(ISNA(VLOOKUP($B84,'E-1 Off Site Hedge Baseline'!$B$1:$U$257,12,FALSE)),"",(VLOOKUP($B84,'E-1 Off Site Hedge Baseline'!$B$1:$U$257,12,FALSE))))</f>
        <v/>
      </c>
      <c r="M84" s="639" t="str">
        <f t="shared" si="16"/>
        <v/>
      </c>
      <c r="N84" s="171" t="str">
        <f>IFERROR(IF(B84="","",INDEX('G-6 Hedgerow Data'!$AN$3:$AZ$15,MATCH(C84,'G-6 Hedgerow Data'!$AM$3:$AM$15,0),MATCH(M84,'G-6 Hedgerow Data'!$AN$2:$AZ$2,0))),"")</f>
        <v/>
      </c>
      <c r="O84" s="172" t="str">
        <f t="shared" si="10"/>
        <v/>
      </c>
      <c r="P84" s="260" t="str">
        <f>IF(B84="","",VLOOKUP(B84,'E-1 Off Site Hedge Baseline'!$B$10:T329,16,FALSE))</f>
        <v/>
      </c>
      <c r="Q84" s="171" t="str">
        <f>IF(M84="","",VLOOKUP(M84,'G-6 Hedgerow Data'!$B$2:$AG$15,2,FALSE))</f>
        <v/>
      </c>
      <c r="R84" s="172" t="str">
        <f>IF(M84="","",VLOOKUP(M84,'G-6 Hedgerow Data'!$B$2:$AG$15,3,FALSE))</f>
        <v/>
      </c>
      <c r="S84" s="173"/>
      <c r="T84" s="172" t="str">
        <f>IFERROR(IF(AND(Q84="V.Low",OR(S84="Good",S84="Moderate")),"Error",VLOOKUP(S84,'G-1 All Habitats'!$Z$2:$AA$9,2,FALSE)),"")</f>
        <v/>
      </c>
      <c r="U84" s="173"/>
      <c r="V84" s="179" t="str">
        <f>IF(U84="","",IF(VLOOKUP(U84,'G-3 Multipliers'!$L$3:$N$6,2,FALSE)=0,"Spatial Data Missing",VLOOKUP(U84,'G-3 Multipliers'!$L$3:$N$6,2,FALSE)))</f>
        <v/>
      </c>
      <c r="W84" s="260" t="str">
        <f>IF(U84="","",IF(VLOOKUP(U84,'G-3 Multipliers'!$L$3:$N$6,3,FALSE)=0,"Spatial Data Missing",VLOOKUP(U84,'G-3 Multipliers'!$L$3:$N$6,3,FALSE)))</f>
        <v/>
      </c>
      <c r="X84" s="171" t="str">
        <f>IFERROR(IF(OR(LEFT(O84,5)="Error",LEFT(N84,5)="Error",T84="Error"),"Check Data",IF(F84&lt;R84,INDEX('G-6 Hedgerow Data'!$S$3:$AE$14,MATCH(C84,'G-6 Hedgerow Data'!$B$3:$B$14,0),MATCH(M84,'G-6 Hedgerow Data'!$S$2:$AE$2,0)),INDEX('G-6 Hedgerow Data'!$K$3:$Q$14,MATCH(M84,'G-6 Hedgerow Data'!$B$3:$B$14,0),MATCH(O84,'G-6 Hedgerow Data'!$K$2:$Q$2,0)))),"")</f>
        <v/>
      </c>
      <c r="Y84" s="261"/>
      <c r="Z84" s="261"/>
      <c r="AA84" s="179" t="str">
        <f t="shared" si="11"/>
        <v/>
      </c>
      <c r="AB84" s="262" t="str">
        <f t="shared" si="12"/>
        <v/>
      </c>
      <c r="AC84" s="263" t="str">
        <f t="shared" si="9"/>
        <v/>
      </c>
      <c r="AD84" s="239" t="str">
        <f>IF(M84="","",VLOOKUP(M84,'G-6 Hedgerow Data'!$B$3:$AG$15,31,FALSE))</f>
        <v/>
      </c>
      <c r="AE84" s="175" t="str">
        <f t="shared" si="13"/>
        <v/>
      </c>
      <c r="AF84" s="175" t="str">
        <f t="shared" si="14"/>
        <v/>
      </c>
      <c r="AG84" s="176" t="str">
        <f>IFERROR(IF(O84="","",VLOOKUP(AD84,'G-3 Multipliers'!$P$3:$Q$6,2,FALSE)),"")</f>
        <v/>
      </c>
      <c r="AH84" s="266"/>
      <c r="AI84" s="172" t="str">
        <f>IF(AH84="","",IF(VLOOKUP(AH84,'G-3 Multipliers'!$S$3:$T$6,2,FALSE)=0,"Spatial Data Missing",VLOOKUP(AH84,'G-3 Multipliers'!$S$3:$T$6,2,FALSE)))</f>
        <v/>
      </c>
      <c r="AJ84" s="265" t="str">
        <f t="shared" si="15"/>
        <v/>
      </c>
      <c r="AK84" s="180"/>
      <c r="AL84" s="181"/>
      <c r="AP84" s="35" t="str">
        <f>IFERROR(INDEX('G-6 Hedgerow Data'!$BJ$3:$BJ$15,MATCH(M84,'G-6 Hedgerow Data'!$B$3:$B$15,0)),"")</f>
        <v/>
      </c>
    </row>
    <row r="85" spans="2:42" ht="13.8" x14ac:dyDescent="0.25">
      <c r="B85" s="259" t="str">
        <f>'E-1 Off Site Hedge Baseline'!AK83</f>
        <v/>
      </c>
      <c r="C85" s="175" t="str">
        <f>IF(B85="","",IF(ISNA(VLOOKUP($B85,'E-1 Off Site Hedge Baseline'!$B$1:$L$257,3,FALSE)),"",(VLOOKUP($B85,'E-1 Off Site Hedge Baseline'!$B$1:$L$257,3,FALSE))))</f>
        <v/>
      </c>
      <c r="D85" s="175" t="str">
        <f>IF(B85="","",IF(ISNA(VLOOKUP($B85,'E-1 Off Site Hedge Baseline'!$B$1:$L$258,4,FALSE)),"",(VLOOKUP($B85,'E-1 Off Site Hedge Baseline'!$B$1:$L$258,4,FALSE))))</f>
        <v/>
      </c>
      <c r="E85" s="175" t="str">
        <f>IF(B85="","",IF(ISNA(VLOOKUP($B85,'E-1 Off Site Hedge Baseline'!$B$1:$L$257,5,FALSE)),"",(VLOOKUP($B85,'E-1 Off Site Hedge Baseline'!$B$1:$L$257,5,FALSE))))</f>
        <v/>
      </c>
      <c r="F85" s="175" t="str">
        <f>IF(B85="","",IF(ISNA(VLOOKUP($B85,'E-1 Off Site Hedge Baseline'!$B$1:$L$257,6,FALSE)),"",(VLOOKUP($B85,'E-1 Off Site Hedge Baseline'!$B$1:$L$257,6,FALSE))))</f>
        <v/>
      </c>
      <c r="G85" s="175" t="str">
        <f>IF(B85="","",IF(ISNA(VLOOKUP($B85,'E-1 Off Site Hedge Baseline'!$B$1:$L$257,7,FALSE)),"",(VLOOKUP($B85,'E-1 Off Site Hedge Baseline'!$B$1:$L$257,7,FALSE))))</f>
        <v/>
      </c>
      <c r="H85" s="175" t="str">
        <f>IF(B85="","",IF(ISNA(VLOOKUP($B85,'E-1 Off Site Hedge Baseline'!$B$1:$L$257,8,FALSE)),"",(VLOOKUP($B85,'E-1 Off Site Hedge Baseline'!$B$1:$L$257,8,FALSE))))</f>
        <v/>
      </c>
      <c r="I85" s="175" t="str">
        <f>IF(B85="","",IF(ISNA(VLOOKUP($B85,'E-1 Off Site Hedge Baseline'!$B$1:$L$257,10,FALSE)),"",(VLOOKUP($B85,'E-1 Off Site Hedge Baseline'!$B$1:$L$257,10,FALSE))))</f>
        <v/>
      </c>
      <c r="J85" s="175" t="str">
        <f>IF(B85="","",IF(ISNA(VLOOKUP($B85,'E-1 Off Site Hedge Baseline'!$B$1:$L$257,11,FALSE)),"",(VLOOKUP($B85,'E-1 Off Site Hedge Baseline'!$B$1:$L$257,11,FALSE))))</f>
        <v/>
      </c>
      <c r="K85" s="175" t="str">
        <f>IF(B85="","",IF(ISNA(VLOOKUP($B85,'E-1 Off Site Hedge Baseline'!$B$1:$U$257,113,FALSE)),"",(VLOOKUP($B85,'E-1 Off Site Hedge Baseline'!$B$1:$U$257,13,FALSE))))</f>
        <v/>
      </c>
      <c r="L85" s="179" t="str">
        <f>IF(B85="","",IF(ISNA(VLOOKUP($B85,'E-1 Off Site Hedge Baseline'!$B$1:$U$257,12,FALSE)),"",(VLOOKUP($B85,'E-1 Off Site Hedge Baseline'!$B$1:$U$257,12,FALSE))))</f>
        <v/>
      </c>
      <c r="M85" s="639" t="str">
        <f t="shared" si="16"/>
        <v/>
      </c>
      <c r="N85" s="171" t="str">
        <f>IFERROR(IF(B85="","",INDEX('G-6 Hedgerow Data'!$AN$3:$AZ$15,MATCH(C85,'G-6 Hedgerow Data'!$AM$3:$AM$15,0),MATCH(M85,'G-6 Hedgerow Data'!$AN$2:$AZ$2,0))),"")</f>
        <v/>
      </c>
      <c r="O85" s="172" t="str">
        <f t="shared" si="10"/>
        <v/>
      </c>
      <c r="P85" s="260" t="str">
        <f>IF(B85="","",VLOOKUP(B85,'E-1 Off Site Hedge Baseline'!$B$10:T330,16,FALSE))</f>
        <v/>
      </c>
      <c r="Q85" s="171" t="str">
        <f>IF(M85="","",VLOOKUP(M85,'G-6 Hedgerow Data'!$B$2:$AG$15,2,FALSE))</f>
        <v/>
      </c>
      <c r="R85" s="172" t="str">
        <f>IF(M85="","",VLOOKUP(M85,'G-6 Hedgerow Data'!$B$2:$AG$15,3,FALSE))</f>
        <v/>
      </c>
      <c r="S85" s="173"/>
      <c r="T85" s="172" t="str">
        <f>IFERROR(IF(AND(Q85="V.Low",OR(S85="Good",S85="Moderate")),"Error",VLOOKUP(S85,'G-1 All Habitats'!$Z$2:$AA$9,2,FALSE)),"")</f>
        <v/>
      </c>
      <c r="U85" s="173"/>
      <c r="V85" s="179" t="str">
        <f>IF(U85="","",IF(VLOOKUP(U85,'G-3 Multipliers'!$L$3:$N$6,2,FALSE)=0,"Spatial Data Missing",VLOOKUP(U85,'G-3 Multipliers'!$L$3:$N$6,2,FALSE)))</f>
        <v/>
      </c>
      <c r="W85" s="260" t="str">
        <f>IF(U85="","",IF(VLOOKUP(U85,'G-3 Multipliers'!$L$3:$N$6,3,FALSE)=0,"Spatial Data Missing",VLOOKUP(U85,'G-3 Multipliers'!$L$3:$N$6,3,FALSE)))</f>
        <v/>
      </c>
      <c r="X85" s="171" t="str">
        <f>IFERROR(IF(OR(LEFT(O85,5)="Error",LEFT(N85,5)="Error",T85="Error"),"Check Data",IF(F85&lt;R85,INDEX('G-6 Hedgerow Data'!$S$3:$AE$14,MATCH(C85,'G-6 Hedgerow Data'!$B$3:$B$14,0),MATCH(M85,'G-6 Hedgerow Data'!$S$2:$AE$2,0)),INDEX('G-6 Hedgerow Data'!$K$3:$Q$14,MATCH(M85,'G-6 Hedgerow Data'!$B$3:$B$14,0),MATCH(O85,'G-6 Hedgerow Data'!$K$2:$Q$2,0)))),"")</f>
        <v/>
      </c>
      <c r="Y85" s="261"/>
      <c r="Z85" s="261"/>
      <c r="AA85" s="179" t="str">
        <f t="shared" si="11"/>
        <v/>
      </c>
      <c r="AB85" s="262" t="str">
        <f t="shared" si="12"/>
        <v/>
      </c>
      <c r="AC85" s="263" t="str">
        <f t="shared" si="9"/>
        <v/>
      </c>
      <c r="AD85" s="239" t="str">
        <f>IF(M85="","",VLOOKUP(M85,'G-6 Hedgerow Data'!$B$3:$AG$15,31,FALSE))</f>
        <v/>
      </c>
      <c r="AE85" s="175" t="str">
        <f t="shared" si="13"/>
        <v/>
      </c>
      <c r="AF85" s="175" t="str">
        <f t="shared" si="14"/>
        <v/>
      </c>
      <c r="AG85" s="176" t="str">
        <f>IFERROR(IF(O85="","",VLOOKUP(AD85,'G-3 Multipliers'!$P$3:$Q$6,2,FALSE)),"")</f>
        <v/>
      </c>
      <c r="AH85" s="266"/>
      <c r="AI85" s="172" t="str">
        <f>IF(AH85="","",IF(VLOOKUP(AH85,'G-3 Multipliers'!$S$3:$T$6,2,FALSE)=0,"Spatial Data Missing",VLOOKUP(AH85,'G-3 Multipliers'!$S$3:$T$6,2,FALSE)))</f>
        <v/>
      </c>
      <c r="AJ85" s="265" t="str">
        <f t="shared" si="15"/>
        <v/>
      </c>
      <c r="AK85" s="180"/>
      <c r="AL85" s="181"/>
      <c r="AP85" s="35" t="str">
        <f>IFERROR(INDEX('G-6 Hedgerow Data'!$BJ$3:$BJ$15,MATCH(M85,'G-6 Hedgerow Data'!$B$3:$B$15,0)),"")</f>
        <v/>
      </c>
    </row>
    <row r="86" spans="2:42" ht="13.8" x14ac:dyDescent="0.25">
      <c r="B86" s="259" t="str">
        <f>'E-1 Off Site Hedge Baseline'!AK84</f>
        <v/>
      </c>
      <c r="C86" s="175" t="str">
        <f>IF(B86="","",IF(ISNA(VLOOKUP($B86,'E-1 Off Site Hedge Baseline'!$B$1:$L$257,3,FALSE)),"",(VLOOKUP($B86,'E-1 Off Site Hedge Baseline'!$B$1:$L$257,3,FALSE))))</f>
        <v/>
      </c>
      <c r="D86" s="175" t="str">
        <f>IF(B86="","",IF(ISNA(VLOOKUP($B86,'E-1 Off Site Hedge Baseline'!$B$1:$L$258,4,FALSE)),"",(VLOOKUP($B86,'E-1 Off Site Hedge Baseline'!$B$1:$L$258,4,FALSE))))</f>
        <v/>
      </c>
      <c r="E86" s="175" t="str">
        <f>IF(B86="","",IF(ISNA(VLOOKUP($B86,'E-1 Off Site Hedge Baseline'!$B$1:$L$257,5,FALSE)),"",(VLOOKUP($B86,'E-1 Off Site Hedge Baseline'!$B$1:$L$257,5,FALSE))))</f>
        <v/>
      </c>
      <c r="F86" s="175" t="str">
        <f>IF(B86="","",IF(ISNA(VLOOKUP($B86,'E-1 Off Site Hedge Baseline'!$B$1:$L$257,6,FALSE)),"",(VLOOKUP($B86,'E-1 Off Site Hedge Baseline'!$B$1:$L$257,6,FALSE))))</f>
        <v/>
      </c>
      <c r="G86" s="175" t="str">
        <f>IF(B86="","",IF(ISNA(VLOOKUP($B86,'E-1 Off Site Hedge Baseline'!$B$1:$L$257,7,FALSE)),"",(VLOOKUP($B86,'E-1 Off Site Hedge Baseline'!$B$1:$L$257,7,FALSE))))</f>
        <v/>
      </c>
      <c r="H86" s="175" t="str">
        <f>IF(B86="","",IF(ISNA(VLOOKUP($B86,'E-1 Off Site Hedge Baseline'!$B$1:$L$257,8,FALSE)),"",(VLOOKUP($B86,'E-1 Off Site Hedge Baseline'!$B$1:$L$257,8,FALSE))))</f>
        <v/>
      </c>
      <c r="I86" s="175" t="str">
        <f>IF(B86="","",IF(ISNA(VLOOKUP($B86,'E-1 Off Site Hedge Baseline'!$B$1:$L$257,10,FALSE)),"",(VLOOKUP($B86,'E-1 Off Site Hedge Baseline'!$B$1:$L$257,10,FALSE))))</f>
        <v/>
      </c>
      <c r="J86" s="175" t="str">
        <f>IF(B86="","",IF(ISNA(VLOOKUP($B86,'E-1 Off Site Hedge Baseline'!$B$1:$L$257,11,FALSE)),"",(VLOOKUP($B86,'E-1 Off Site Hedge Baseline'!$B$1:$L$257,11,FALSE))))</f>
        <v/>
      </c>
      <c r="K86" s="175" t="str">
        <f>IF(B86="","",IF(ISNA(VLOOKUP($B86,'E-1 Off Site Hedge Baseline'!$B$1:$U$257,113,FALSE)),"",(VLOOKUP($B86,'E-1 Off Site Hedge Baseline'!$B$1:$U$257,13,FALSE))))</f>
        <v/>
      </c>
      <c r="L86" s="179" t="str">
        <f>IF(B86="","",IF(ISNA(VLOOKUP($B86,'E-1 Off Site Hedge Baseline'!$B$1:$U$257,12,FALSE)),"",(VLOOKUP($B86,'E-1 Off Site Hedge Baseline'!$B$1:$U$257,12,FALSE))))</f>
        <v/>
      </c>
      <c r="M86" s="639" t="str">
        <f t="shared" si="16"/>
        <v/>
      </c>
      <c r="N86" s="171" t="str">
        <f>IFERROR(IF(B86="","",INDEX('G-6 Hedgerow Data'!$AN$3:$AZ$15,MATCH(C86,'G-6 Hedgerow Data'!$AM$3:$AM$15,0),MATCH(M86,'G-6 Hedgerow Data'!$AN$2:$AZ$2,0))),"")</f>
        <v/>
      </c>
      <c r="O86" s="172" t="str">
        <f t="shared" si="10"/>
        <v/>
      </c>
      <c r="P86" s="260" t="str">
        <f>IF(B86="","",VLOOKUP(B86,'E-1 Off Site Hedge Baseline'!$B$10:T331,16,FALSE))</f>
        <v/>
      </c>
      <c r="Q86" s="171" t="str">
        <f>IF(M86="","",VLOOKUP(M86,'G-6 Hedgerow Data'!$B$2:$AG$15,2,FALSE))</f>
        <v/>
      </c>
      <c r="R86" s="172" t="str">
        <f>IF(M86="","",VLOOKUP(M86,'G-6 Hedgerow Data'!$B$2:$AG$15,3,FALSE))</f>
        <v/>
      </c>
      <c r="S86" s="173"/>
      <c r="T86" s="172" t="str">
        <f>IFERROR(IF(AND(Q86="V.Low",OR(S86="Good",S86="Moderate")),"Error",VLOOKUP(S86,'G-1 All Habitats'!$Z$2:$AA$9,2,FALSE)),"")</f>
        <v/>
      </c>
      <c r="U86" s="173"/>
      <c r="V86" s="179" t="str">
        <f>IF(U86="","",IF(VLOOKUP(U86,'G-3 Multipliers'!$L$3:$N$6,2,FALSE)=0,"Spatial Data Missing",VLOOKUP(U86,'G-3 Multipliers'!$L$3:$N$6,2,FALSE)))</f>
        <v/>
      </c>
      <c r="W86" s="260" t="str">
        <f>IF(U86="","",IF(VLOOKUP(U86,'G-3 Multipliers'!$L$3:$N$6,3,FALSE)=0,"Spatial Data Missing",VLOOKUP(U86,'G-3 Multipliers'!$L$3:$N$6,3,FALSE)))</f>
        <v/>
      </c>
      <c r="X86" s="171" t="str">
        <f>IFERROR(IF(OR(LEFT(O86,5)="Error",LEFT(N86,5)="Error",T86="Error"),"Check Data",IF(F86&lt;R86,INDEX('G-6 Hedgerow Data'!$S$3:$AE$14,MATCH(C86,'G-6 Hedgerow Data'!$B$3:$B$14,0),MATCH(M86,'G-6 Hedgerow Data'!$S$2:$AE$2,0)),INDEX('G-6 Hedgerow Data'!$K$3:$Q$14,MATCH(M86,'G-6 Hedgerow Data'!$B$3:$B$14,0),MATCH(O86,'G-6 Hedgerow Data'!$K$2:$Q$2,0)))),"")</f>
        <v/>
      </c>
      <c r="Y86" s="261"/>
      <c r="Z86" s="261"/>
      <c r="AA86" s="179" t="str">
        <f t="shared" si="11"/>
        <v/>
      </c>
      <c r="AB86" s="262" t="str">
        <f t="shared" si="12"/>
        <v/>
      </c>
      <c r="AC86" s="263" t="str">
        <f t="shared" si="9"/>
        <v/>
      </c>
      <c r="AD86" s="239" t="str">
        <f>IF(M86="","",VLOOKUP(M86,'G-6 Hedgerow Data'!$B$3:$AG$15,31,FALSE))</f>
        <v/>
      </c>
      <c r="AE86" s="175" t="str">
        <f t="shared" si="13"/>
        <v/>
      </c>
      <c r="AF86" s="175" t="str">
        <f t="shared" si="14"/>
        <v/>
      </c>
      <c r="AG86" s="176" t="str">
        <f>IFERROR(IF(O86="","",VLOOKUP(AD86,'G-3 Multipliers'!$P$3:$Q$6,2,FALSE)),"")</f>
        <v/>
      </c>
      <c r="AH86" s="266"/>
      <c r="AI86" s="172" t="str">
        <f>IF(AH86="","",IF(VLOOKUP(AH86,'G-3 Multipliers'!$S$3:$T$6,2,FALSE)=0,"Spatial Data Missing",VLOOKUP(AH86,'G-3 Multipliers'!$S$3:$T$6,2,FALSE)))</f>
        <v/>
      </c>
      <c r="AJ86" s="265" t="str">
        <f t="shared" si="15"/>
        <v/>
      </c>
      <c r="AK86" s="180"/>
      <c r="AL86" s="181"/>
      <c r="AP86" s="35" t="str">
        <f>IFERROR(INDEX('G-6 Hedgerow Data'!$BJ$3:$BJ$15,MATCH(M86,'G-6 Hedgerow Data'!$B$3:$B$15,0)),"")</f>
        <v/>
      </c>
    </row>
    <row r="87" spans="2:42" ht="13.8" x14ac:dyDescent="0.25">
      <c r="B87" s="259" t="str">
        <f>'E-1 Off Site Hedge Baseline'!AK85</f>
        <v/>
      </c>
      <c r="C87" s="175" t="str">
        <f>IF(B87="","",IF(ISNA(VLOOKUP($B87,'E-1 Off Site Hedge Baseline'!$B$1:$L$257,3,FALSE)),"",(VLOOKUP($B87,'E-1 Off Site Hedge Baseline'!$B$1:$L$257,3,FALSE))))</f>
        <v/>
      </c>
      <c r="D87" s="175" t="str">
        <f>IF(B87="","",IF(ISNA(VLOOKUP($B87,'E-1 Off Site Hedge Baseline'!$B$1:$L$258,4,FALSE)),"",(VLOOKUP($B87,'E-1 Off Site Hedge Baseline'!$B$1:$L$258,4,FALSE))))</f>
        <v/>
      </c>
      <c r="E87" s="175" t="str">
        <f>IF(B87="","",IF(ISNA(VLOOKUP($B87,'E-1 Off Site Hedge Baseline'!$B$1:$L$257,5,FALSE)),"",(VLOOKUP($B87,'E-1 Off Site Hedge Baseline'!$B$1:$L$257,5,FALSE))))</f>
        <v/>
      </c>
      <c r="F87" s="175" t="str">
        <f>IF(B87="","",IF(ISNA(VLOOKUP($B87,'E-1 Off Site Hedge Baseline'!$B$1:$L$257,6,FALSE)),"",(VLOOKUP($B87,'E-1 Off Site Hedge Baseline'!$B$1:$L$257,6,FALSE))))</f>
        <v/>
      </c>
      <c r="G87" s="175" t="str">
        <f>IF(B87="","",IF(ISNA(VLOOKUP($B87,'E-1 Off Site Hedge Baseline'!$B$1:$L$257,7,FALSE)),"",(VLOOKUP($B87,'E-1 Off Site Hedge Baseline'!$B$1:$L$257,7,FALSE))))</f>
        <v/>
      </c>
      <c r="H87" s="175" t="str">
        <f>IF(B87="","",IF(ISNA(VLOOKUP($B87,'E-1 Off Site Hedge Baseline'!$B$1:$L$257,8,FALSE)),"",(VLOOKUP($B87,'E-1 Off Site Hedge Baseline'!$B$1:$L$257,8,FALSE))))</f>
        <v/>
      </c>
      <c r="I87" s="175" t="str">
        <f>IF(B87="","",IF(ISNA(VLOOKUP($B87,'E-1 Off Site Hedge Baseline'!$B$1:$L$257,10,FALSE)),"",(VLOOKUP($B87,'E-1 Off Site Hedge Baseline'!$B$1:$L$257,10,FALSE))))</f>
        <v/>
      </c>
      <c r="J87" s="175" t="str">
        <f>IF(B87="","",IF(ISNA(VLOOKUP($B87,'E-1 Off Site Hedge Baseline'!$B$1:$L$257,11,FALSE)),"",(VLOOKUP($B87,'E-1 Off Site Hedge Baseline'!$B$1:$L$257,11,FALSE))))</f>
        <v/>
      </c>
      <c r="K87" s="175" t="str">
        <f>IF(B87="","",IF(ISNA(VLOOKUP($B87,'E-1 Off Site Hedge Baseline'!$B$1:$U$257,113,FALSE)),"",(VLOOKUP($B87,'E-1 Off Site Hedge Baseline'!$B$1:$U$257,13,FALSE))))</f>
        <v/>
      </c>
      <c r="L87" s="179" t="str">
        <f>IF(B87="","",IF(ISNA(VLOOKUP($B87,'E-1 Off Site Hedge Baseline'!$B$1:$U$257,12,FALSE)),"",(VLOOKUP($B87,'E-1 Off Site Hedge Baseline'!$B$1:$U$257,12,FALSE))))</f>
        <v/>
      </c>
      <c r="M87" s="639" t="str">
        <f t="shared" si="16"/>
        <v/>
      </c>
      <c r="N87" s="171" t="str">
        <f>IFERROR(IF(B87="","",INDEX('G-6 Hedgerow Data'!$AN$3:$AZ$15,MATCH(C87,'G-6 Hedgerow Data'!$AM$3:$AM$15,0),MATCH(M87,'G-6 Hedgerow Data'!$AN$2:$AZ$2,0))),"")</f>
        <v/>
      </c>
      <c r="O87" s="172" t="str">
        <f t="shared" si="10"/>
        <v/>
      </c>
      <c r="P87" s="260" t="str">
        <f>IF(B87="","",VLOOKUP(B87,'E-1 Off Site Hedge Baseline'!$B$10:T332,16,FALSE))</f>
        <v/>
      </c>
      <c r="Q87" s="171" t="str">
        <f>IF(M87="","",VLOOKUP(M87,'G-6 Hedgerow Data'!$B$2:$AG$15,2,FALSE))</f>
        <v/>
      </c>
      <c r="R87" s="172" t="str">
        <f>IF(M87="","",VLOOKUP(M87,'G-6 Hedgerow Data'!$B$2:$AG$15,3,FALSE))</f>
        <v/>
      </c>
      <c r="S87" s="173"/>
      <c r="T87" s="172" t="str">
        <f>IFERROR(IF(AND(Q87="V.Low",OR(S87="Good",S87="Moderate")),"Error",VLOOKUP(S87,'G-1 All Habitats'!$Z$2:$AA$9,2,FALSE)),"")</f>
        <v/>
      </c>
      <c r="U87" s="173"/>
      <c r="V87" s="179" t="str">
        <f>IF(U87="","",IF(VLOOKUP(U87,'G-3 Multipliers'!$L$3:$N$6,2,FALSE)=0,"Spatial Data Missing",VLOOKUP(U87,'G-3 Multipliers'!$L$3:$N$6,2,FALSE)))</f>
        <v/>
      </c>
      <c r="W87" s="260" t="str">
        <f>IF(U87="","",IF(VLOOKUP(U87,'G-3 Multipliers'!$L$3:$N$6,3,FALSE)=0,"Spatial Data Missing",VLOOKUP(U87,'G-3 Multipliers'!$L$3:$N$6,3,FALSE)))</f>
        <v/>
      </c>
      <c r="X87" s="171" t="str">
        <f>IFERROR(IF(OR(LEFT(O87,5)="Error",LEFT(N87,5)="Error",T87="Error"),"Check Data",IF(F87&lt;R87,INDEX('G-6 Hedgerow Data'!$S$3:$AE$14,MATCH(C87,'G-6 Hedgerow Data'!$B$3:$B$14,0),MATCH(M87,'G-6 Hedgerow Data'!$S$2:$AE$2,0)),INDEX('G-6 Hedgerow Data'!$K$3:$Q$14,MATCH(M87,'G-6 Hedgerow Data'!$B$3:$B$14,0),MATCH(O87,'G-6 Hedgerow Data'!$K$2:$Q$2,0)))),"")</f>
        <v/>
      </c>
      <c r="Y87" s="261"/>
      <c r="Z87" s="261"/>
      <c r="AA87" s="179" t="str">
        <f t="shared" si="11"/>
        <v/>
      </c>
      <c r="AB87" s="262" t="str">
        <f t="shared" si="12"/>
        <v/>
      </c>
      <c r="AC87" s="263" t="str">
        <f t="shared" si="9"/>
        <v/>
      </c>
      <c r="AD87" s="239" t="str">
        <f>IF(M87="","",VLOOKUP(M87,'G-6 Hedgerow Data'!$B$3:$AG$15,31,FALSE))</f>
        <v/>
      </c>
      <c r="AE87" s="175" t="str">
        <f t="shared" si="13"/>
        <v/>
      </c>
      <c r="AF87" s="175" t="str">
        <f t="shared" si="14"/>
        <v/>
      </c>
      <c r="AG87" s="176" t="str">
        <f>IFERROR(IF(O87="","",VLOOKUP(AD87,'G-3 Multipliers'!$P$3:$Q$6,2,FALSE)),"")</f>
        <v/>
      </c>
      <c r="AH87" s="266"/>
      <c r="AI87" s="172" t="str">
        <f>IF(AH87="","",IF(VLOOKUP(AH87,'G-3 Multipliers'!$S$3:$T$6,2,FALSE)=0,"Spatial Data Missing",VLOOKUP(AH87,'G-3 Multipliers'!$S$3:$T$6,2,FALSE)))</f>
        <v/>
      </c>
      <c r="AJ87" s="265" t="str">
        <f t="shared" si="15"/>
        <v/>
      </c>
      <c r="AK87" s="180"/>
      <c r="AL87" s="181"/>
      <c r="AP87" s="35" t="str">
        <f>IFERROR(INDEX('G-6 Hedgerow Data'!$BJ$3:$BJ$15,MATCH(M87,'G-6 Hedgerow Data'!$B$3:$B$15,0)),"")</f>
        <v/>
      </c>
    </row>
    <row r="88" spans="2:42" ht="13.8" x14ac:dyDescent="0.25">
      <c r="B88" s="259" t="str">
        <f>'E-1 Off Site Hedge Baseline'!AK86</f>
        <v/>
      </c>
      <c r="C88" s="175" t="str">
        <f>IF(B88="","",IF(ISNA(VLOOKUP($B88,'E-1 Off Site Hedge Baseline'!$B$1:$L$257,3,FALSE)),"",(VLOOKUP($B88,'E-1 Off Site Hedge Baseline'!$B$1:$L$257,3,FALSE))))</f>
        <v/>
      </c>
      <c r="D88" s="175" t="str">
        <f>IF(B88="","",IF(ISNA(VLOOKUP($B88,'E-1 Off Site Hedge Baseline'!$B$1:$L$258,4,FALSE)),"",(VLOOKUP($B88,'E-1 Off Site Hedge Baseline'!$B$1:$L$258,4,FALSE))))</f>
        <v/>
      </c>
      <c r="E88" s="175" t="str">
        <f>IF(B88="","",IF(ISNA(VLOOKUP($B88,'E-1 Off Site Hedge Baseline'!$B$1:$L$257,5,FALSE)),"",(VLOOKUP($B88,'E-1 Off Site Hedge Baseline'!$B$1:$L$257,5,FALSE))))</f>
        <v/>
      </c>
      <c r="F88" s="175" t="str">
        <f>IF(B88="","",IF(ISNA(VLOOKUP($B88,'E-1 Off Site Hedge Baseline'!$B$1:$L$257,6,FALSE)),"",(VLOOKUP($B88,'E-1 Off Site Hedge Baseline'!$B$1:$L$257,6,FALSE))))</f>
        <v/>
      </c>
      <c r="G88" s="175" t="str">
        <f>IF(B88="","",IF(ISNA(VLOOKUP($B88,'E-1 Off Site Hedge Baseline'!$B$1:$L$257,7,FALSE)),"",(VLOOKUP($B88,'E-1 Off Site Hedge Baseline'!$B$1:$L$257,7,FALSE))))</f>
        <v/>
      </c>
      <c r="H88" s="175" t="str">
        <f>IF(B88="","",IF(ISNA(VLOOKUP($B88,'E-1 Off Site Hedge Baseline'!$B$1:$L$257,8,FALSE)),"",(VLOOKUP($B88,'E-1 Off Site Hedge Baseline'!$B$1:$L$257,8,FALSE))))</f>
        <v/>
      </c>
      <c r="I88" s="175" t="str">
        <f>IF(B88="","",IF(ISNA(VLOOKUP($B88,'E-1 Off Site Hedge Baseline'!$B$1:$L$257,10,FALSE)),"",(VLOOKUP($B88,'E-1 Off Site Hedge Baseline'!$B$1:$L$257,10,FALSE))))</f>
        <v/>
      </c>
      <c r="J88" s="175" t="str">
        <f>IF(B88="","",IF(ISNA(VLOOKUP($B88,'E-1 Off Site Hedge Baseline'!$B$1:$L$257,11,FALSE)),"",(VLOOKUP($B88,'E-1 Off Site Hedge Baseline'!$B$1:$L$257,11,FALSE))))</f>
        <v/>
      </c>
      <c r="K88" s="175" t="str">
        <f>IF(B88="","",IF(ISNA(VLOOKUP($B88,'E-1 Off Site Hedge Baseline'!$B$1:$U$257,113,FALSE)),"",(VLOOKUP($B88,'E-1 Off Site Hedge Baseline'!$B$1:$U$257,13,FALSE))))</f>
        <v/>
      </c>
      <c r="L88" s="179" t="str">
        <f>IF(B88="","",IF(ISNA(VLOOKUP($B88,'E-1 Off Site Hedge Baseline'!$B$1:$U$257,12,FALSE)),"",(VLOOKUP($B88,'E-1 Off Site Hedge Baseline'!$B$1:$U$257,12,FALSE))))</f>
        <v/>
      </c>
      <c r="M88" s="639" t="str">
        <f t="shared" si="16"/>
        <v/>
      </c>
      <c r="N88" s="171" t="str">
        <f>IFERROR(IF(B88="","",INDEX('G-6 Hedgerow Data'!$AN$3:$AZ$15,MATCH(C88,'G-6 Hedgerow Data'!$AM$3:$AM$15,0),MATCH(M88,'G-6 Hedgerow Data'!$AN$2:$AZ$2,0))),"")</f>
        <v/>
      </c>
      <c r="O88" s="172" t="str">
        <f t="shared" si="10"/>
        <v/>
      </c>
      <c r="P88" s="260" t="str">
        <f>IF(B88="","",VLOOKUP(B88,'E-1 Off Site Hedge Baseline'!$B$10:T333,16,FALSE))</f>
        <v/>
      </c>
      <c r="Q88" s="171" t="str">
        <f>IF(M88="","",VLOOKUP(M88,'G-6 Hedgerow Data'!$B$2:$AG$15,2,FALSE))</f>
        <v/>
      </c>
      <c r="R88" s="172" t="str">
        <f>IF(M88="","",VLOOKUP(M88,'G-6 Hedgerow Data'!$B$2:$AG$15,3,FALSE))</f>
        <v/>
      </c>
      <c r="S88" s="173"/>
      <c r="T88" s="172" t="str">
        <f>IFERROR(IF(AND(Q88="V.Low",OR(S88="Good",S88="Moderate")),"Error",VLOOKUP(S88,'G-1 All Habitats'!$Z$2:$AA$9,2,FALSE)),"")</f>
        <v/>
      </c>
      <c r="U88" s="173"/>
      <c r="V88" s="179" t="str">
        <f>IF(U88="","",IF(VLOOKUP(U88,'G-3 Multipliers'!$L$3:$N$6,2,FALSE)=0,"Spatial Data Missing",VLOOKUP(U88,'G-3 Multipliers'!$L$3:$N$6,2,FALSE)))</f>
        <v/>
      </c>
      <c r="W88" s="260" t="str">
        <f>IF(U88="","",IF(VLOOKUP(U88,'G-3 Multipliers'!$L$3:$N$6,3,FALSE)=0,"Spatial Data Missing",VLOOKUP(U88,'G-3 Multipliers'!$L$3:$N$6,3,FALSE)))</f>
        <v/>
      </c>
      <c r="X88" s="171" t="str">
        <f>IFERROR(IF(OR(LEFT(O88,5)="Error",LEFT(N88,5)="Error",T88="Error"),"Check Data",IF(F88&lt;R88,INDEX('G-6 Hedgerow Data'!$S$3:$AE$14,MATCH(C88,'G-6 Hedgerow Data'!$B$3:$B$14,0),MATCH(M88,'G-6 Hedgerow Data'!$S$2:$AE$2,0)),INDEX('G-6 Hedgerow Data'!$K$3:$Q$14,MATCH(M88,'G-6 Hedgerow Data'!$B$3:$B$14,0),MATCH(O88,'G-6 Hedgerow Data'!$K$2:$Q$2,0)))),"")</f>
        <v/>
      </c>
      <c r="Y88" s="261"/>
      <c r="Z88" s="261"/>
      <c r="AA88" s="179" t="str">
        <f t="shared" si="11"/>
        <v/>
      </c>
      <c r="AB88" s="262" t="str">
        <f t="shared" si="12"/>
        <v/>
      </c>
      <c r="AC88" s="263" t="str">
        <f t="shared" si="9"/>
        <v/>
      </c>
      <c r="AD88" s="239" t="str">
        <f>IF(M88="","",VLOOKUP(M88,'G-6 Hedgerow Data'!$B$3:$AG$15,31,FALSE))</f>
        <v/>
      </c>
      <c r="AE88" s="175" t="str">
        <f t="shared" si="13"/>
        <v/>
      </c>
      <c r="AF88" s="175" t="str">
        <f t="shared" si="14"/>
        <v/>
      </c>
      <c r="AG88" s="176" t="str">
        <f>IFERROR(IF(O88="","",VLOOKUP(AD88,'G-3 Multipliers'!$P$3:$Q$6,2,FALSE)),"")</f>
        <v/>
      </c>
      <c r="AH88" s="266"/>
      <c r="AI88" s="172" t="str">
        <f>IF(AH88="","",IF(VLOOKUP(AH88,'G-3 Multipliers'!$S$3:$T$6,2,FALSE)=0,"Spatial Data Missing",VLOOKUP(AH88,'G-3 Multipliers'!$S$3:$T$6,2,FALSE)))</f>
        <v/>
      </c>
      <c r="AJ88" s="265" t="str">
        <f t="shared" si="15"/>
        <v/>
      </c>
      <c r="AK88" s="180"/>
      <c r="AL88" s="181"/>
      <c r="AP88" s="35" t="str">
        <f>IFERROR(INDEX('G-6 Hedgerow Data'!$BJ$3:$BJ$15,MATCH(M88,'G-6 Hedgerow Data'!$B$3:$B$15,0)),"")</f>
        <v/>
      </c>
    </row>
    <row r="89" spans="2:42" ht="13.8" x14ac:dyDescent="0.25">
      <c r="B89" s="259" t="str">
        <f>'E-1 Off Site Hedge Baseline'!AK87</f>
        <v/>
      </c>
      <c r="C89" s="175" t="str">
        <f>IF(B89="","",IF(ISNA(VLOOKUP($B89,'E-1 Off Site Hedge Baseline'!$B$1:$L$257,3,FALSE)),"",(VLOOKUP($B89,'E-1 Off Site Hedge Baseline'!$B$1:$L$257,3,FALSE))))</f>
        <v/>
      </c>
      <c r="D89" s="175" t="str">
        <f>IF(B89="","",IF(ISNA(VLOOKUP($B89,'E-1 Off Site Hedge Baseline'!$B$1:$L$258,4,FALSE)),"",(VLOOKUP($B89,'E-1 Off Site Hedge Baseline'!$B$1:$L$258,4,FALSE))))</f>
        <v/>
      </c>
      <c r="E89" s="175" t="str">
        <f>IF(B89="","",IF(ISNA(VLOOKUP($B89,'E-1 Off Site Hedge Baseline'!$B$1:$L$257,5,FALSE)),"",(VLOOKUP($B89,'E-1 Off Site Hedge Baseline'!$B$1:$L$257,5,FALSE))))</f>
        <v/>
      </c>
      <c r="F89" s="175" t="str">
        <f>IF(B89="","",IF(ISNA(VLOOKUP($B89,'E-1 Off Site Hedge Baseline'!$B$1:$L$257,6,FALSE)),"",(VLOOKUP($B89,'E-1 Off Site Hedge Baseline'!$B$1:$L$257,6,FALSE))))</f>
        <v/>
      </c>
      <c r="G89" s="175" t="str">
        <f>IF(B89="","",IF(ISNA(VLOOKUP($B89,'E-1 Off Site Hedge Baseline'!$B$1:$L$257,7,FALSE)),"",(VLOOKUP($B89,'E-1 Off Site Hedge Baseline'!$B$1:$L$257,7,FALSE))))</f>
        <v/>
      </c>
      <c r="H89" s="175" t="str">
        <f>IF(B89="","",IF(ISNA(VLOOKUP($B89,'E-1 Off Site Hedge Baseline'!$B$1:$L$257,8,FALSE)),"",(VLOOKUP($B89,'E-1 Off Site Hedge Baseline'!$B$1:$L$257,8,FALSE))))</f>
        <v/>
      </c>
      <c r="I89" s="175" t="str">
        <f>IF(B89="","",IF(ISNA(VLOOKUP($B89,'E-1 Off Site Hedge Baseline'!$B$1:$L$257,10,FALSE)),"",(VLOOKUP($B89,'E-1 Off Site Hedge Baseline'!$B$1:$L$257,10,FALSE))))</f>
        <v/>
      </c>
      <c r="J89" s="175" t="str">
        <f>IF(B89="","",IF(ISNA(VLOOKUP($B89,'E-1 Off Site Hedge Baseline'!$B$1:$L$257,11,FALSE)),"",(VLOOKUP($B89,'E-1 Off Site Hedge Baseline'!$B$1:$L$257,11,FALSE))))</f>
        <v/>
      </c>
      <c r="K89" s="175" t="str">
        <f>IF(B89="","",IF(ISNA(VLOOKUP($B89,'E-1 Off Site Hedge Baseline'!$B$1:$U$257,113,FALSE)),"",(VLOOKUP($B89,'E-1 Off Site Hedge Baseline'!$B$1:$U$257,13,FALSE))))</f>
        <v/>
      </c>
      <c r="L89" s="179" t="str">
        <f>IF(B89="","",IF(ISNA(VLOOKUP($B89,'E-1 Off Site Hedge Baseline'!$B$1:$U$257,12,FALSE)),"",(VLOOKUP($B89,'E-1 Off Site Hedge Baseline'!$B$1:$U$257,12,FALSE))))</f>
        <v/>
      </c>
      <c r="M89" s="639" t="str">
        <f t="shared" si="16"/>
        <v/>
      </c>
      <c r="N89" s="171" t="str">
        <f>IFERROR(IF(B89="","",INDEX('G-6 Hedgerow Data'!$AN$3:$AZ$15,MATCH(C89,'G-6 Hedgerow Data'!$AM$3:$AM$15,0),MATCH(M89,'G-6 Hedgerow Data'!$AN$2:$AZ$2,0))),"")</f>
        <v/>
      </c>
      <c r="O89" s="172" t="str">
        <f t="shared" si="10"/>
        <v/>
      </c>
      <c r="P89" s="260" t="str">
        <f>IF(B89="","",VLOOKUP(B89,'E-1 Off Site Hedge Baseline'!$B$10:T334,16,FALSE))</f>
        <v/>
      </c>
      <c r="Q89" s="171" t="str">
        <f>IF(M89="","",VLOOKUP(M89,'G-6 Hedgerow Data'!$B$2:$AG$15,2,FALSE))</f>
        <v/>
      </c>
      <c r="R89" s="172" t="str">
        <f>IF(M89="","",VLOOKUP(M89,'G-6 Hedgerow Data'!$B$2:$AG$15,3,FALSE))</f>
        <v/>
      </c>
      <c r="S89" s="173"/>
      <c r="T89" s="172" t="str">
        <f>IFERROR(IF(AND(Q89="V.Low",OR(S89="Good",S89="Moderate")),"Error",VLOOKUP(S89,'G-1 All Habitats'!$Z$2:$AA$9,2,FALSE)),"")</f>
        <v/>
      </c>
      <c r="U89" s="173"/>
      <c r="V89" s="179" t="str">
        <f>IF(U89="","",IF(VLOOKUP(U89,'G-3 Multipliers'!$L$3:$N$6,2,FALSE)=0,"Spatial Data Missing",VLOOKUP(U89,'G-3 Multipliers'!$L$3:$N$6,2,FALSE)))</f>
        <v/>
      </c>
      <c r="W89" s="260" t="str">
        <f>IF(U89="","",IF(VLOOKUP(U89,'G-3 Multipliers'!$L$3:$N$6,3,FALSE)=0,"Spatial Data Missing",VLOOKUP(U89,'G-3 Multipliers'!$L$3:$N$6,3,FALSE)))</f>
        <v/>
      </c>
      <c r="X89" s="171" t="str">
        <f>IFERROR(IF(OR(LEFT(O89,5)="Error",LEFT(N89,5)="Error",T89="Error"),"Check Data",IF(F89&lt;R89,INDEX('G-6 Hedgerow Data'!$S$3:$AE$14,MATCH(C89,'G-6 Hedgerow Data'!$B$3:$B$14,0),MATCH(M89,'G-6 Hedgerow Data'!$S$2:$AE$2,0)),INDEX('G-6 Hedgerow Data'!$K$3:$Q$14,MATCH(M89,'G-6 Hedgerow Data'!$B$3:$B$14,0),MATCH(O89,'G-6 Hedgerow Data'!$K$2:$Q$2,0)))),"")</f>
        <v/>
      </c>
      <c r="Y89" s="261"/>
      <c r="Z89" s="261"/>
      <c r="AA89" s="179" t="str">
        <f t="shared" si="11"/>
        <v/>
      </c>
      <c r="AB89" s="262" t="str">
        <f t="shared" si="12"/>
        <v/>
      </c>
      <c r="AC89" s="263" t="str">
        <f t="shared" si="9"/>
        <v/>
      </c>
      <c r="AD89" s="239" t="str">
        <f>IF(M89="","",VLOOKUP(M89,'G-6 Hedgerow Data'!$B$3:$AG$15,31,FALSE))</f>
        <v/>
      </c>
      <c r="AE89" s="175" t="str">
        <f t="shared" si="13"/>
        <v/>
      </c>
      <c r="AF89" s="175" t="str">
        <f t="shared" si="14"/>
        <v/>
      </c>
      <c r="AG89" s="176" t="str">
        <f>IFERROR(IF(O89="","",VLOOKUP(AD89,'G-3 Multipliers'!$P$3:$Q$6,2,FALSE)),"")</f>
        <v/>
      </c>
      <c r="AH89" s="266"/>
      <c r="AI89" s="172" t="str">
        <f>IF(AH89="","",IF(VLOOKUP(AH89,'G-3 Multipliers'!$S$3:$T$6,2,FALSE)=0,"Spatial Data Missing",VLOOKUP(AH89,'G-3 Multipliers'!$S$3:$T$6,2,FALSE)))</f>
        <v/>
      </c>
      <c r="AJ89" s="265" t="str">
        <f t="shared" si="15"/>
        <v/>
      </c>
      <c r="AK89" s="180"/>
      <c r="AL89" s="181"/>
      <c r="AP89" s="35" t="str">
        <f>IFERROR(INDEX('G-6 Hedgerow Data'!$BJ$3:$BJ$15,MATCH(M89,'G-6 Hedgerow Data'!$B$3:$B$15,0)),"")</f>
        <v/>
      </c>
    </row>
    <row r="90" spans="2:42" ht="13.8" x14ac:dyDescent="0.25">
      <c r="B90" s="259" t="str">
        <f>'E-1 Off Site Hedge Baseline'!AK88</f>
        <v/>
      </c>
      <c r="C90" s="175" t="str">
        <f>IF(B90="","",IF(ISNA(VLOOKUP($B90,'E-1 Off Site Hedge Baseline'!$B$1:$L$257,3,FALSE)),"",(VLOOKUP($B90,'E-1 Off Site Hedge Baseline'!$B$1:$L$257,3,FALSE))))</f>
        <v/>
      </c>
      <c r="D90" s="175" t="str">
        <f>IF(B90="","",IF(ISNA(VLOOKUP($B90,'E-1 Off Site Hedge Baseline'!$B$1:$L$258,4,FALSE)),"",(VLOOKUP($B90,'E-1 Off Site Hedge Baseline'!$B$1:$L$258,4,FALSE))))</f>
        <v/>
      </c>
      <c r="E90" s="175" t="str">
        <f>IF(B90="","",IF(ISNA(VLOOKUP($B90,'E-1 Off Site Hedge Baseline'!$B$1:$L$257,5,FALSE)),"",(VLOOKUP($B90,'E-1 Off Site Hedge Baseline'!$B$1:$L$257,5,FALSE))))</f>
        <v/>
      </c>
      <c r="F90" s="175" t="str">
        <f>IF(B90="","",IF(ISNA(VLOOKUP($B90,'E-1 Off Site Hedge Baseline'!$B$1:$L$257,6,FALSE)),"",(VLOOKUP($B90,'E-1 Off Site Hedge Baseline'!$B$1:$L$257,6,FALSE))))</f>
        <v/>
      </c>
      <c r="G90" s="175" t="str">
        <f>IF(B90="","",IF(ISNA(VLOOKUP($B90,'E-1 Off Site Hedge Baseline'!$B$1:$L$257,7,FALSE)),"",(VLOOKUP($B90,'E-1 Off Site Hedge Baseline'!$B$1:$L$257,7,FALSE))))</f>
        <v/>
      </c>
      <c r="H90" s="175" t="str">
        <f>IF(B90="","",IF(ISNA(VLOOKUP($B90,'E-1 Off Site Hedge Baseline'!$B$1:$L$257,8,FALSE)),"",(VLOOKUP($B90,'E-1 Off Site Hedge Baseline'!$B$1:$L$257,8,FALSE))))</f>
        <v/>
      </c>
      <c r="I90" s="175" t="str">
        <f>IF(B90="","",IF(ISNA(VLOOKUP($B90,'E-1 Off Site Hedge Baseline'!$B$1:$L$257,10,FALSE)),"",(VLOOKUP($B90,'E-1 Off Site Hedge Baseline'!$B$1:$L$257,10,FALSE))))</f>
        <v/>
      </c>
      <c r="J90" s="175" t="str">
        <f>IF(B90="","",IF(ISNA(VLOOKUP($B90,'E-1 Off Site Hedge Baseline'!$B$1:$L$257,11,FALSE)),"",(VLOOKUP($B90,'E-1 Off Site Hedge Baseline'!$B$1:$L$257,11,FALSE))))</f>
        <v/>
      </c>
      <c r="K90" s="175" t="str">
        <f>IF(B90="","",IF(ISNA(VLOOKUP($B90,'E-1 Off Site Hedge Baseline'!$B$1:$U$257,113,FALSE)),"",(VLOOKUP($B90,'E-1 Off Site Hedge Baseline'!$B$1:$U$257,13,FALSE))))</f>
        <v/>
      </c>
      <c r="L90" s="179" t="str">
        <f>IF(B90="","",IF(ISNA(VLOOKUP($B90,'E-1 Off Site Hedge Baseline'!$B$1:$U$257,12,FALSE)),"",(VLOOKUP($B90,'E-1 Off Site Hedge Baseline'!$B$1:$U$257,12,FALSE))))</f>
        <v/>
      </c>
      <c r="M90" s="639" t="str">
        <f t="shared" si="16"/>
        <v/>
      </c>
      <c r="N90" s="171" t="str">
        <f>IFERROR(IF(B90="","",INDEX('G-6 Hedgerow Data'!$AN$3:$AZ$15,MATCH(C90,'G-6 Hedgerow Data'!$AM$3:$AM$15,0),MATCH(M90,'G-6 Hedgerow Data'!$AN$2:$AZ$2,0))),"")</f>
        <v/>
      </c>
      <c r="O90" s="172" t="str">
        <f t="shared" si="10"/>
        <v/>
      </c>
      <c r="P90" s="260" t="str">
        <f>IF(B90="","",VLOOKUP(B90,'E-1 Off Site Hedge Baseline'!$B$10:T335,16,FALSE))</f>
        <v/>
      </c>
      <c r="Q90" s="171" t="str">
        <f>IF(M90="","",VLOOKUP(M90,'G-6 Hedgerow Data'!$B$2:$AG$15,2,FALSE))</f>
        <v/>
      </c>
      <c r="R90" s="172" t="str">
        <f>IF(M90="","",VLOOKUP(M90,'G-6 Hedgerow Data'!$B$2:$AG$15,3,FALSE))</f>
        <v/>
      </c>
      <c r="S90" s="173"/>
      <c r="T90" s="172" t="str">
        <f>IFERROR(IF(AND(Q90="V.Low",OR(S90="Good",S90="Moderate")),"Error",VLOOKUP(S90,'G-1 All Habitats'!$Z$2:$AA$9,2,FALSE)),"")</f>
        <v/>
      </c>
      <c r="U90" s="173"/>
      <c r="V90" s="179" t="str">
        <f>IF(U90="","",IF(VLOOKUP(U90,'G-3 Multipliers'!$L$3:$N$6,2,FALSE)=0,"Spatial Data Missing",VLOOKUP(U90,'G-3 Multipliers'!$L$3:$N$6,2,FALSE)))</f>
        <v/>
      </c>
      <c r="W90" s="260" t="str">
        <f>IF(U90="","",IF(VLOOKUP(U90,'G-3 Multipliers'!$L$3:$N$6,3,FALSE)=0,"Spatial Data Missing",VLOOKUP(U90,'G-3 Multipliers'!$L$3:$N$6,3,FALSE)))</f>
        <v/>
      </c>
      <c r="X90" s="171" t="str">
        <f>IFERROR(IF(OR(LEFT(O90,5)="Error",LEFT(N90,5)="Error",T90="Error"),"Check Data",IF(F90&lt;R90,INDEX('G-6 Hedgerow Data'!$S$3:$AE$14,MATCH(C90,'G-6 Hedgerow Data'!$B$3:$B$14,0),MATCH(M90,'G-6 Hedgerow Data'!$S$2:$AE$2,0)),INDEX('G-6 Hedgerow Data'!$K$3:$Q$14,MATCH(M90,'G-6 Hedgerow Data'!$B$3:$B$14,0),MATCH(O90,'G-6 Hedgerow Data'!$K$2:$Q$2,0)))),"")</f>
        <v/>
      </c>
      <c r="Y90" s="261"/>
      <c r="Z90" s="261"/>
      <c r="AA90" s="179" t="str">
        <f t="shared" si="11"/>
        <v/>
      </c>
      <c r="AB90" s="262" t="str">
        <f t="shared" si="12"/>
        <v/>
      </c>
      <c r="AC90" s="263" t="str">
        <f t="shared" si="9"/>
        <v/>
      </c>
      <c r="AD90" s="239" t="str">
        <f>IF(M90="","",VLOOKUP(M90,'G-6 Hedgerow Data'!$B$3:$AG$15,31,FALSE))</f>
        <v/>
      </c>
      <c r="AE90" s="175" t="str">
        <f t="shared" si="13"/>
        <v/>
      </c>
      <c r="AF90" s="175" t="str">
        <f t="shared" si="14"/>
        <v/>
      </c>
      <c r="AG90" s="176" t="str">
        <f>IFERROR(IF(O90="","",VLOOKUP(AD90,'G-3 Multipliers'!$P$3:$Q$6,2,FALSE)),"")</f>
        <v/>
      </c>
      <c r="AH90" s="266"/>
      <c r="AI90" s="172" t="str">
        <f>IF(AH90="","",IF(VLOOKUP(AH90,'G-3 Multipliers'!$S$3:$T$6,2,FALSE)=0,"Spatial Data Missing",VLOOKUP(AH90,'G-3 Multipliers'!$S$3:$T$6,2,FALSE)))</f>
        <v/>
      </c>
      <c r="AJ90" s="265" t="str">
        <f t="shared" si="15"/>
        <v/>
      </c>
      <c r="AK90" s="180"/>
      <c r="AL90" s="181"/>
      <c r="AP90" s="35" t="str">
        <f>IFERROR(INDEX('G-6 Hedgerow Data'!$BJ$3:$BJ$15,MATCH(M90,'G-6 Hedgerow Data'!$B$3:$B$15,0)),"")</f>
        <v/>
      </c>
    </row>
    <row r="91" spans="2:42" ht="13.8" x14ac:dyDescent="0.25">
      <c r="B91" s="259" t="str">
        <f>'E-1 Off Site Hedge Baseline'!AK89</f>
        <v/>
      </c>
      <c r="C91" s="175" t="str">
        <f>IF(B91="","",IF(ISNA(VLOOKUP($B91,'E-1 Off Site Hedge Baseline'!$B$1:$L$257,3,FALSE)),"",(VLOOKUP($B91,'E-1 Off Site Hedge Baseline'!$B$1:$L$257,3,FALSE))))</f>
        <v/>
      </c>
      <c r="D91" s="175" t="str">
        <f>IF(B91="","",IF(ISNA(VLOOKUP($B91,'E-1 Off Site Hedge Baseline'!$B$1:$L$258,4,FALSE)),"",(VLOOKUP($B91,'E-1 Off Site Hedge Baseline'!$B$1:$L$258,4,FALSE))))</f>
        <v/>
      </c>
      <c r="E91" s="175" t="str">
        <f>IF(B91="","",IF(ISNA(VLOOKUP($B91,'E-1 Off Site Hedge Baseline'!$B$1:$L$257,5,FALSE)),"",(VLOOKUP($B91,'E-1 Off Site Hedge Baseline'!$B$1:$L$257,5,FALSE))))</f>
        <v/>
      </c>
      <c r="F91" s="175" t="str">
        <f>IF(B91="","",IF(ISNA(VLOOKUP($B91,'E-1 Off Site Hedge Baseline'!$B$1:$L$257,6,FALSE)),"",(VLOOKUP($B91,'E-1 Off Site Hedge Baseline'!$B$1:$L$257,6,FALSE))))</f>
        <v/>
      </c>
      <c r="G91" s="175" t="str">
        <f>IF(B91="","",IF(ISNA(VLOOKUP($B91,'E-1 Off Site Hedge Baseline'!$B$1:$L$257,7,FALSE)),"",(VLOOKUP($B91,'E-1 Off Site Hedge Baseline'!$B$1:$L$257,7,FALSE))))</f>
        <v/>
      </c>
      <c r="H91" s="175" t="str">
        <f>IF(B91="","",IF(ISNA(VLOOKUP($B91,'E-1 Off Site Hedge Baseline'!$B$1:$L$257,8,FALSE)),"",(VLOOKUP($B91,'E-1 Off Site Hedge Baseline'!$B$1:$L$257,8,FALSE))))</f>
        <v/>
      </c>
      <c r="I91" s="175" t="str">
        <f>IF(B91="","",IF(ISNA(VLOOKUP($B91,'E-1 Off Site Hedge Baseline'!$B$1:$L$257,10,FALSE)),"",(VLOOKUP($B91,'E-1 Off Site Hedge Baseline'!$B$1:$L$257,10,FALSE))))</f>
        <v/>
      </c>
      <c r="J91" s="175" t="str">
        <f>IF(B91="","",IF(ISNA(VLOOKUP($B91,'E-1 Off Site Hedge Baseline'!$B$1:$L$257,11,FALSE)),"",(VLOOKUP($B91,'E-1 Off Site Hedge Baseline'!$B$1:$L$257,11,FALSE))))</f>
        <v/>
      </c>
      <c r="K91" s="175" t="str">
        <f>IF(B91="","",IF(ISNA(VLOOKUP($B91,'E-1 Off Site Hedge Baseline'!$B$1:$U$257,113,FALSE)),"",(VLOOKUP($B91,'E-1 Off Site Hedge Baseline'!$B$1:$U$257,13,FALSE))))</f>
        <v/>
      </c>
      <c r="L91" s="179" t="str">
        <f>IF(B91="","",IF(ISNA(VLOOKUP($B91,'E-1 Off Site Hedge Baseline'!$B$1:$U$257,12,FALSE)),"",(VLOOKUP($B91,'E-1 Off Site Hedge Baseline'!$B$1:$U$257,12,FALSE))))</f>
        <v/>
      </c>
      <c r="M91" s="639" t="str">
        <f t="shared" si="16"/>
        <v/>
      </c>
      <c r="N91" s="171" t="str">
        <f>IFERROR(IF(B91="","",INDEX('G-6 Hedgerow Data'!$AN$3:$AZ$15,MATCH(C91,'G-6 Hedgerow Data'!$AM$3:$AM$15,0),MATCH(M91,'G-6 Hedgerow Data'!$AN$2:$AZ$2,0))),"")</f>
        <v/>
      </c>
      <c r="O91" s="172" t="str">
        <f t="shared" si="10"/>
        <v/>
      </c>
      <c r="P91" s="260" t="str">
        <f>IF(B91="","",VLOOKUP(B91,'E-1 Off Site Hedge Baseline'!$B$10:T336,16,FALSE))</f>
        <v/>
      </c>
      <c r="Q91" s="171" t="str">
        <f>IF(M91="","",VLOOKUP(M91,'G-6 Hedgerow Data'!$B$2:$AG$15,2,FALSE))</f>
        <v/>
      </c>
      <c r="R91" s="172" t="str">
        <f>IF(M91="","",VLOOKUP(M91,'G-6 Hedgerow Data'!$B$2:$AG$15,3,FALSE))</f>
        <v/>
      </c>
      <c r="S91" s="173"/>
      <c r="T91" s="172" t="str">
        <f>IFERROR(IF(AND(Q91="V.Low",OR(S91="Good",S91="Moderate")),"Error",VLOOKUP(S91,'G-1 All Habitats'!$Z$2:$AA$9,2,FALSE)),"")</f>
        <v/>
      </c>
      <c r="U91" s="173"/>
      <c r="V91" s="179" t="str">
        <f>IF(U91="","",IF(VLOOKUP(U91,'G-3 Multipliers'!$L$3:$N$6,2,FALSE)=0,"Spatial Data Missing",VLOOKUP(U91,'G-3 Multipliers'!$L$3:$N$6,2,FALSE)))</f>
        <v/>
      </c>
      <c r="W91" s="260" t="str">
        <f>IF(U91="","",IF(VLOOKUP(U91,'G-3 Multipliers'!$L$3:$N$6,3,FALSE)=0,"Spatial Data Missing",VLOOKUP(U91,'G-3 Multipliers'!$L$3:$N$6,3,FALSE)))</f>
        <v/>
      </c>
      <c r="X91" s="171" t="str">
        <f>IFERROR(IF(OR(LEFT(O91,5)="Error",LEFT(N91,5)="Error",T91="Error"),"Check Data",IF(F91&lt;R91,INDEX('G-6 Hedgerow Data'!$S$3:$AE$14,MATCH(C91,'G-6 Hedgerow Data'!$B$3:$B$14,0),MATCH(M91,'G-6 Hedgerow Data'!$S$2:$AE$2,0)),INDEX('G-6 Hedgerow Data'!$K$3:$Q$14,MATCH(M91,'G-6 Hedgerow Data'!$B$3:$B$14,0),MATCH(O91,'G-6 Hedgerow Data'!$K$2:$Q$2,0)))),"")</f>
        <v/>
      </c>
      <c r="Y91" s="261"/>
      <c r="Z91" s="261"/>
      <c r="AA91" s="179" t="str">
        <f t="shared" si="11"/>
        <v/>
      </c>
      <c r="AB91" s="262" t="str">
        <f t="shared" si="12"/>
        <v/>
      </c>
      <c r="AC91" s="263" t="str">
        <f t="shared" si="9"/>
        <v/>
      </c>
      <c r="AD91" s="239" t="str">
        <f>IF(M91="","",VLOOKUP(M91,'G-6 Hedgerow Data'!$B$3:$AG$15,31,FALSE))</f>
        <v/>
      </c>
      <c r="AE91" s="175" t="str">
        <f t="shared" si="13"/>
        <v/>
      </c>
      <c r="AF91" s="175" t="str">
        <f t="shared" si="14"/>
        <v/>
      </c>
      <c r="AG91" s="176" t="str">
        <f>IFERROR(IF(O91="","",VLOOKUP(AD91,'G-3 Multipliers'!$P$3:$Q$6,2,FALSE)),"")</f>
        <v/>
      </c>
      <c r="AH91" s="266"/>
      <c r="AI91" s="172" t="str">
        <f>IF(AH91="","",IF(VLOOKUP(AH91,'G-3 Multipliers'!$S$3:$T$6,2,FALSE)=0,"Spatial Data Missing",VLOOKUP(AH91,'G-3 Multipliers'!$S$3:$T$6,2,FALSE)))</f>
        <v/>
      </c>
      <c r="AJ91" s="265" t="str">
        <f t="shared" si="15"/>
        <v/>
      </c>
      <c r="AK91" s="180"/>
      <c r="AL91" s="181"/>
      <c r="AP91" s="35" t="str">
        <f>IFERROR(INDEX('G-6 Hedgerow Data'!$BJ$3:$BJ$15,MATCH(M91,'G-6 Hedgerow Data'!$B$3:$B$15,0)),"")</f>
        <v/>
      </c>
    </row>
    <row r="92" spans="2:42" ht="13.8" x14ac:dyDescent="0.25">
      <c r="B92" s="259" t="str">
        <f>'E-1 Off Site Hedge Baseline'!AK90</f>
        <v/>
      </c>
      <c r="C92" s="175" t="str">
        <f>IF(B92="","",IF(ISNA(VLOOKUP($B92,'E-1 Off Site Hedge Baseline'!$B$1:$L$257,3,FALSE)),"",(VLOOKUP($B92,'E-1 Off Site Hedge Baseline'!$B$1:$L$257,3,FALSE))))</f>
        <v/>
      </c>
      <c r="D92" s="175" t="str">
        <f>IF(B92="","",IF(ISNA(VLOOKUP($B92,'E-1 Off Site Hedge Baseline'!$B$1:$L$258,4,FALSE)),"",(VLOOKUP($B92,'E-1 Off Site Hedge Baseline'!$B$1:$L$258,4,FALSE))))</f>
        <v/>
      </c>
      <c r="E92" s="175" t="str">
        <f>IF(B92="","",IF(ISNA(VLOOKUP($B92,'E-1 Off Site Hedge Baseline'!$B$1:$L$257,5,FALSE)),"",(VLOOKUP($B92,'E-1 Off Site Hedge Baseline'!$B$1:$L$257,5,FALSE))))</f>
        <v/>
      </c>
      <c r="F92" s="175" t="str">
        <f>IF(B92="","",IF(ISNA(VLOOKUP($B92,'E-1 Off Site Hedge Baseline'!$B$1:$L$257,6,FALSE)),"",(VLOOKUP($B92,'E-1 Off Site Hedge Baseline'!$B$1:$L$257,6,FALSE))))</f>
        <v/>
      </c>
      <c r="G92" s="175" t="str">
        <f>IF(B92="","",IF(ISNA(VLOOKUP($B92,'E-1 Off Site Hedge Baseline'!$B$1:$L$257,7,FALSE)),"",(VLOOKUP($B92,'E-1 Off Site Hedge Baseline'!$B$1:$L$257,7,FALSE))))</f>
        <v/>
      </c>
      <c r="H92" s="175" t="str">
        <f>IF(B92="","",IF(ISNA(VLOOKUP($B92,'E-1 Off Site Hedge Baseline'!$B$1:$L$257,8,FALSE)),"",(VLOOKUP($B92,'E-1 Off Site Hedge Baseline'!$B$1:$L$257,8,FALSE))))</f>
        <v/>
      </c>
      <c r="I92" s="175" t="str">
        <f>IF(B92="","",IF(ISNA(VLOOKUP($B92,'E-1 Off Site Hedge Baseline'!$B$1:$L$257,10,FALSE)),"",(VLOOKUP($B92,'E-1 Off Site Hedge Baseline'!$B$1:$L$257,10,FALSE))))</f>
        <v/>
      </c>
      <c r="J92" s="175" t="str">
        <f>IF(B92="","",IF(ISNA(VLOOKUP($B92,'E-1 Off Site Hedge Baseline'!$B$1:$L$257,11,FALSE)),"",(VLOOKUP($B92,'E-1 Off Site Hedge Baseline'!$B$1:$L$257,11,FALSE))))</f>
        <v/>
      </c>
      <c r="K92" s="175" t="str">
        <f>IF(B92="","",IF(ISNA(VLOOKUP($B92,'E-1 Off Site Hedge Baseline'!$B$1:$U$257,113,FALSE)),"",(VLOOKUP($B92,'E-1 Off Site Hedge Baseline'!$B$1:$U$257,13,FALSE))))</f>
        <v/>
      </c>
      <c r="L92" s="179" t="str">
        <f>IF(B92="","",IF(ISNA(VLOOKUP($B92,'E-1 Off Site Hedge Baseline'!$B$1:$U$257,12,FALSE)),"",(VLOOKUP($B92,'E-1 Off Site Hedge Baseline'!$B$1:$U$257,12,FALSE))))</f>
        <v/>
      </c>
      <c r="M92" s="639" t="str">
        <f t="shared" si="16"/>
        <v/>
      </c>
      <c r="N92" s="171" t="str">
        <f>IFERROR(IF(B92="","",INDEX('G-6 Hedgerow Data'!$AN$3:$AZ$15,MATCH(C92,'G-6 Hedgerow Data'!$AM$3:$AM$15,0),MATCH(M92,'G-6 Hedgerow Data'!$AN$2:$AZ$2,0))),"")</f>
        <v/>
      </c>
      <c r="O92" s="172" t="str">
        <f t="shared" si="10"/>
        <v/>
      </c>
      <c r="P92" s="260" t="str">
        <f>IF(B92="","",VLOOKUP(B92,'E-1 Off Site Hedge Baseline'!$B$10:T337,16,FALSE))</f>
        <v/>
      </c>
      <c r="Q92" s="171" t="str">
        <f>IF(M92="","",VLOOKUP(M92,'G-6 Hedgerow Data'!$B$2:$AG$15,2,FALSE))</f>
        <v/>
      </c>
      <c r="R92" s="172" t="str">
        <f>IF(M92="","",VLOOKUP(M92,'G-6 Hedgerow Data'!$B$2:$AG$15,3,FALSE))</f>
        <v/>
      </c>
      <c r="S92" s="173"/>
      <c r="T92" s="172" t="str">
        <f>IFERROR(IF(AND(Q92="V.Low",OR(S92="Good",S92="Moderate")),"Error",VLOOKUP(S92,'G-1 All Habitats'!$Z$2:$AA$9,2,FALSE)),"")</f>
        <v/>
      </c>
      <c r="U92" s="173"/>
      <c r="V92" s="179" t="str">
        <f>IF(U92="","",IF(VLOOKUP(U92,'G-3 Multipliers'!$L$3:$N$6,2,FALSE)=0,"Spatial Data Missing",VLOOKUP(U92,'G-3 Multipliers'!$L$3:$N$6,2,FALSE)))</f>
        <v/>
      </c>
      <c r="W92" s="260" t="str">
        <f>IF(U92="","",IF(VLOOKUP(U92,'G-3 Multipliers'!$L$3:$N$6,3,FALSE)=0,"Spatial Data Missing",VLOOKUP(U92,'G-3 Multipliers'!$L$3:$N$6,3,FALSE)))</f>
        <v/>
      </c>
      <c r="X92" s="171" t="str">
        <f>IFERROR(IF(OR(LEFT(O92,5)="Error",LEFT(N92,5)="Error",T92="Error"),"Check Data",IF(F92&lt;R92,INDEX('G-6 Hedgerow Data'!$S$3:$AE$14,MATCH(C92,'G-6 Hedgerow Data'!$B$3:$B$14,0),MATCH(M92,'G-6 Hedgerow Data'!$S$2:$AE$2,0)),INDEX('G-6 Hedgerow Data'!$K$3:$Q$14,MATCH(M92,'G-6 Hedgerow Data'!$B$3:$B$14,0),MATCH(O92,'G-6 Hedgerow Data'!$K$2:$Q$2,0)))),"")</f>
        <v/>
      </c>
      <c r="Y92" s="261"/>
      <c r="Z92" s="261"/>
      <c r="AA92" s="179" t="str">
        <f t="shared" si="11"/>
        <v/>
      </c>
      <c r="AB92" s="262" t="str">
        <f t="shared" si="12"/>
        <v/>
      </c>
      <c r="AC92" s="263" t="str">
        <f t="shared" si="9"/>
        <v/>
      </c>
      <c r="AD92" s="239" t="str">
        <f>IF(M92="","",VLOOKUP(M92,'G-6 Hedgerow Data'!$B$3:$AG$15,31,FALSE))</f>
        <v/>
      </c>
      <c r="AE92" s="175" t="str">
        <f t="shared" si="13"/>
        <v/>
      </c>
      <c r="AF92" s="175" t="str">
        <f t="shared" si="14"/>
        <v/>
      </c>
      <c r="AG92" s="176" t="str">
        <f>IFERROR(IF(O92="","",VLOOKUP(AD92,'G-3 Multipliers'!$P$3:$Q$6,2,FALSE)),"")</f>
        <v/>
      </c>
      <c r="AH92" s="266"/>
      <c r="AI92" s="172" t="str">
        <f>IF(AH92="","",IF(VLOOKUP(AH92,'G-3 Multipliers'!$S$3:$T$6,2,FALSE)=0,"Spatial Data Missing",VLOOKUP(AH92,'G-3 Multipliers'!$S$3:$T$6,2,FALSE)))</f>
        <v/>
      </c>
      <c r="AJ92" s="265" t="str">
        <f t="shared" si="15"/>
        <v/>
      </c>
      <c r="AK92" s="180"/>
      <c r="AL92" s="181"/>
      <c r="AP92" s="35" t="str">
        <f>IFERROR(INDEX('G-6 Hedgerow Data'!$BJ$3:$BJ$15,MATCH(M92,'G-6 Hedgerow Data'!$B$3:$B$15,0)),"")</f>
        <v/>
      </c>
    </row>
    <row r="93" spans="2:42" ht="13.8" x14ac:dyDescent="0.25">
      <c r="B93" s="259" t="str">
        <f>'E-1 Off Site Hedge Baseline'!AK91</f>
        <v/>
      </c>
      <c r="C93" s="175" t="str">
        <f>IF(B93="","",IF(ISNA(VLOOKUP($B93,'E-1 Off Site Hedge Baseline'!$B$1:$L$257,3,FALSE)),"",(VLOOKUP($B93,'E-1 Off Site Hedge Baseline'!$B$1:$L$257,3,FALSE))))</f>
        <v/>
      </c>
      <c r="D93" s="175" t="str">
        <f>IF(B93="","",IF(ISNA(VLOOKUP($B93,'E-1 Off Site Hedge Baseline'!$B$1:$L$258,4,FALSE)),"",(VLOOKUP($B93,'E-1 Off Site Hedge Baseline'!$B$1:$L$258,4,FALSE))))</f>
        <v/>
      </c>
      <c r="E93" s="175" t="str">
        <f>IF(B93="","",IF(ISNA(VLOOKUP($B93,'E-1 Off Site Hedge Baseline'!$B$1:$L$257,5,FALSE)),"",(VLOOKUP($B93,'E-1 Off Site Hedge Baseline'!$B$1:$L$257,5,FALSE))))</f>
        <v/>
      </c>
      <c r="F93" s="175" t="str">
        <f>IF(B93="","",IF(ISNA(VLOOKUP($B93,'E-1 Off Site Hedge Baseline'!$B$1:$L$257,6,FALSE)),"",(VLOOKUP($B93,'E-1 Off Site Hedge Baseline'!$B$1:$L$257,6,FALSE))))</f>
        <v/>
      </c>
      <c r="G93" s="175" t="str">
        <f>IF(B93="","",IF(ISNA(VLOOKUP($B93,'E-1 Off Site Hedge Baseline'!$B$1:$L$257,7,FALSE)),"",(VLOOKUP($B93,'E-1 Off Site Hedge Baseline'!$B$1:$L$257,7,FALSE))))</f>
        <v/>
      </c>
      <c r="H93" s="175" t="str">
        <f>IF(B93="","",IF(ISNA(VLOOKUP($B93,'E-1 Off Site Hedge Baseline'!$B$1:$L$257,8,FALSE)),"",(VLOOKUP($B93,'E-1 Off Site Hedge Baseline'!$B$1:$L$257,8,FALSE))))</f>
        <v/>
      </c>
      <c r="I93" s="175" t="str">
        <f>IF(B93="","",IF(ISNA(VLOOKUP($B93,'E-1 Off Site Hedge Baseline'!$B$1:$L$257,10,FALSE)),"",(VLOOKUP($B93,'E-1 Off Site Hedge Baseline'!$B$1:$L$257,10,FALSE))))</f>
        <v/>
      </c>
      <c r="J93" s="175" t="str">
        <f>IF(B93="","",IF(ISNA(VLOOKUP($B93,'E-1 Off Site Hedge Baseline'!$B$1:$L$257,11,FALSE)),"",(VLOOKUP($B93,'E-1 Off Site Hedge Baseline'!$B$1:$L$257,11,FALSE))))</f>
        <v/>
      </c>
      <c r="K93" s="175" t="str">
        <f>IF(B93="","",IF(ISNA(VLOOKUP($B93,'E-1 Off Site Hedge Baseline'!$B$1:$U$257,113,FALSE)),"",(VLOOKUP($B93,'E-1 Off Site Hedge Baseline'!$B$1:$U$257,13,FALSE))))</f>
        <v/>
      </c>
      <c r="L93" s="179" t="str">
        <f>IF(B93="","",IF(ISNA(VLOOKUP($B93,'E-1 Off Site Hedge Baseline'!$B$1:$U$257,12,FALSE)),"",(VLOOKUP($B93,'E-1 Off Site Hedge Baseline'!$B$1:$U$257,12,FALSE))))</f>
        <v/>
      </c>
      <c r="M93" s="639" t="str">
        <f t="shared" si="16"/>
        <v/>
      </c>
      <c r="N93" s="171" t="str">
        <f>IFERROR(IF(B93="","",INDEX('G-6 Hedgerow Data'!$AN$3:$AZ$15,MATCH(C93,'G-6 Hedgerow Data'!$AM$3:$AM$15,0),MATCH(M93,'G-6 Hedgerow Data'!$AN$2:$AZ$2,0))),"")</f>
        <v/>
      </c>
      <c r="O93" s="172" t="str">
        <f t="shared" si="10"/>
        <v/>
      </c>
      <c r="P93" s="260" t="str">
        <f>IF(B93="","",VLOOKUP(B93,'E-1 Off Site Hedge Baseline'!$B$10:T338,16,FALSE))</f>
        <v/>
      </c>
      <c r="Q93" s="171" t="str">
        <f>IF(M93="","",VLOOKUP(M93,'G-6 Hedgerow Data'!$B$2:$AG$15,2,FALSE))</f>
        <v/>
      </c>
      <c r="R93" s="172" t="str">
        <f>IF(M93="","",VLOOKUP(M93,'G-6 Hedgerow Data'!$B$2:$AG$15,3,FALSE))</f>
        <v/>
      </c>
      <c r="S93" s="173"/>
      <c r="T93" s="172" t="str">
        <f>IFERROR(IF(AND(Q93="V.Low",OR(S93="Good",S93="Moderate")),"Error",VLOOKUP(S93,'G-1 All Habitats'!$Z$2:$AA$9,2,FALSE)),"")</f>
        <v/>
      </c>
      <c r="U93" s="173"/>
      <c r="V93" s="179" t="str">
        <f>IF(U93="","",IF(VLOOKUP(U93,'G-3 Multipliers'!$L$3:$N$6,2,FALSE)=0,"Spatial Data Missing",VLOOKUP(U93,'G-3 Multipliers'!$L$3:$N$6,2,FALSE)))</f>
        <v/>
      </c>
      <c r="W93" s="260" t="str">
        <f>IF(U93="","",IF(VLOOKUP(U93,'G-3 Multipliers'!$L$3:$N$6,3,FALSE)=0,"Spatial Data Missing",VLOOKUP(U93,'G-3 Multipliers'!$L$3:$N$6,3,FALSE)))</f>
        <v/>
      </c>
      <c r="X93" s="171" t="str">
        <f>IFERROR(IF(OR(LEFT(O93,5)="Error",LEFT(N93,5)="Error",T93="Error"),"Check Data",IF(F93&lt;R93,INDEX('G-6 Hedgerow Data'!$S$3:$AE$14,MATCH(C93,'G-6 Hedgerow Data'!$B$3:$B$14,0),MATCH(M93,'G-6 Hedgerow Data'!$S$2:$AE$2,0)),INDEX('G-6 Hedgerow Data'!$K$3:$Q$14,MATCH(M93,'G-6 Hedgerow Data'!$B$3:$B$14,0),MATCH(O93,'G-6 Hedgerow Data'!$K$2:$Q$2,0)))),"")</f>
        <v/>
      </c>
      <c r="Y93" s="261"/>
      <c r="Z93" s="261"/>
      <c r="AA93" s="179" t="str">
        <f t="shared" si="11"/>
        <v/>
      </c>
      <c r="AB93" s="262" t="str">
        <f t="shared" si="12"/>
        <v/>
      </c>
      <c r="AC93" s="263" t="str">
        <f t="shared" si="9"/>
        <v/>
      </c>
      <c r="AD93" s="239" t="str">
        <f>IF(M93="","",VLOOKUP(M93,'G-6 Hedgerow Data'!$B$3:$AG$15,31,FALSE))</f>
        <v/>
      </c>
      <c r="AE93" s="175" t="str">
        <f t="shared" si="13"/>
        <v/>
      </c>
      <c r="AF93" s="175" t="str">
        <f t="shared" si="14"/>
        <v/>
      </c>
      <c r="AG93" s="176" t="str">
        <f>IFERROR(IF(O93="","",VLOOKUP(AD93,'G-3 Multipliers'!$P$3:$Q$6,2,FALSE)),"")</f>
        <v/>
      </c>
      <c r="AH93" s="266"/>
      <c r="AI93" s="172" t="str">
        <f>IF(AH93="","",IF(VLOOKUP(AH93,'G-3 Multipliers'!$S$3:$T$6,2,FALSE)=0,"Spatial Data Missing",VLOOKUP(AH93,'G-3 Multipliers'!$S$3:$T$6,2,FALSE)))</f>
        <v/>
      </c>
      <c r="AJ93" s="265" t="str">
        <f t="shared" si="15"/>
        <v/>
      </c>
      <c r="AK93" s="180"/>
      <c r="AL93" s="181"/>
      <c r="AP93" s="35" t="str">
        <f>IFERROR(INDEX('G-6 Hedgerow Data'!$BJ$3:$BJ$15,MATCH(M93,'G-6 Hedgerow Data'!$B$3:$B$15,0)),"")</f>
        <v/>
      </c>
    </row>
    <row r="94" spans="2:42" ht="13.8" x14ac:dyDescent="0.25">
      <c r="B94" s="259" t="str">
        <f>'E-1 Off Site Hedge Baseline'!AK92</f>
        <v/>
      </c>
      <c r="C94" s="175" t="str">
        <f>IF(B94="","",IF(ISNA(VLOOKUP($B94,'E-1 Off Site Hedge Baseline'!$B$1:$L$257,3,FALSE)),"",(VLOOKUP($B94,'E-1 Off Site Hedge Baseline'!$B$1:$L$257,3,FALSE))))</f>
        <v/>
      </c>
      <c r="D94" s="175" t="str">
        <f>IF(B94="","",IF(ISNA(VLOOKUP($B94,'E-1 Off Site Hedge Baseline'!$B$1:$L$258,4,FALSE)),"",(VLOOKUP($B94,'E-1 Off Site Hedge Baseline'!$B$1:$L$258,4,FALSE))))</f>
        <v/>
      </c>
      <c r="E94" s="175" t="str">
        <f>IF(B94="","",IF(ISNA(VLOOKUP($B94,'E-1 Off Site Hedge Baseline'!$B$1:$L$257,5,FALSE)),"",(VLOOKUP($B94,'E-1 Off Site Hedge Baseline'!$B$1:$L$257,5,FALSE))))</f>
        <v/>
      </c>
      <c r="F94" s="175" t="str">
        <f>IF(B94="","",IF(ISNA(VLOOKUP($B94,'E-1 Off Site Hedge Baseline'!$B$1:$L$257,6,FALSE)),"",(VLOOKUP($B94,'E-1 Off Site Hedge Baseline'!$B$1:$L$257,6,FALSE))))</f>
        <v/>
      </c>
      <c r="G94" s="175" t="str">
        <f>IF(B94="","",IF(ISNA(VLOOKUP($B94,'E-1 Off Site Hedge Baseline'!$B$1:$L$257,7,FALSE)),"",(VLOOKUP($B94,'E-1 Off Site Hedge Baseline'!$B$1:$L$257,7,FALSE))))</f>
        <v/>
      </c>
      <c r="H94" s="175" t="str">
        <f>IF(B94="","",IF(ISNA(VLOOKUP($B94,'E-1 Off Site Hedge Baseline'!$B$1:$L$257,8,FALSE)),"",(VLOOKUP($B94,'E-1 Off Site Hedge Baseline'!$B$1:$L$257,8,FALSE))))</f>
        <v/>
      </c>
      <c r="I94" s="175" t="str">
        <f>IF(B94="","",IF(ISNA(VLOOKUP($B94,'E-1 Off Site Hedge Baseline'!$B$1:$L$257,10,FALSE)),"",(VLOOKUP($B94,'E-1 Off Site Hedge Baseline'!$B$1:$L$257,10,FALSE))))</f>
        <v/>
      </c>
      <c r="J94" s="175" t="str">
        <f>IF(B94="","",IF(ISNA(VLOOKUP($B94,'E-1 Off Site Hedge Baseline'!$B$1:$L$257,11,FALSE)),"",(VLOOKUP($B94,'E-1 Off Site Hedge Baseline'!$B$1:$L$257,11,FALSE))))</f>
        <v/>
      </c>
      <c r="K94" s="175" t="str">
        <f>IF(B94="","",IF(ISNA(VLOOKUP($B94,'E-1 Off Site Hedge Baseline'!$B$1:$U$257,113,FALSE)),"",(VLOOKUP($B94,'E-1 Off Site Hedge Baseline'!$B$1:$U$257,13,FALSE))))</f>
        <v/>
      </c>
      <c r="L94" s="179" t="str">
        <f>IF(B94="","",IF(ISNA(VLOOKUP($B94,'E-1 Off Site Hedge Baseline'!$B$1:$U$257,12,FALSE)),"",(VLOOKUP($B94,'E-1 Off Site Hedge Baseline'!$B$1:$U$257,12,FALSE))))</f>
        <v/>
      </c>
      <c r="M94" s="639" t="str">
        <f t="shared" si="16"/>
        <v/>
      </c>
      <c r="N94" s="171" t="str">
        <f>IFERROR(IF(B94="","",INDEX('G-6 Hedgerow Data'!$AN$3:$AZ$15,MATCH(C94,'G-6 Hedgerow Data'!$AM$3:$AM$15,0),MATCH(M94,'G-6 Hedgerow Data'!$AN$2:$AZ$2,0))),"")</f>
        <v/>
      </c>
      <c r="O94" s="172" t="str">
        <f t="shared" si="10"/>
        <v/>
      </c>
      <c r="P94" s="260" t="str">
        <f>IF(B94="","",VLOOKUP(B94,'E-1 Off Site Hedge Baseline'!$B$10:T339,16,FALSE))</f>
        <v/>
      </c>
      <c r="Q94" s="171" t="str">
        <f>IF(M94="","",VLOOKUP(M94,'G-6 Hedgerow Data'!$B$2:$AG$15,2,FALSE))</f>
        <v/>
      </c>
      <c r="R94" s="172" t="str">
        <f>IF(M94="","",VLOOKUP(M94,'G-6 Hedgerow Data'!$B$2:$AG$15,3,FALSE))</f>
        <v/>
      </c>
      <c r="S94" s="173"/>
      <c r="T94" s="172" t="str">
        <f>IFERROR(IF(AND(Q94="V.Low",OR(S94="Good",S94="Moderate")),"Error",VLOOKUP(S94,'G-1 All Habitats'!$Z$2:$AA$9,2,FALSE)),"")</f>
        <v/>
      </c>
      <c r="U94" s="173"/>
      <c r="V94" s="179" t="str">
        <f>IF(U94="","",IF(VLOOKUP(U94,'G-3 Multipliers'!$L$3:$N$6,2,FALSE)=0,"Spatial Data Missing",VLOOKUP(U94,'G-3 Multipliers'!$L$3:$N$6,2,FALSE)))</f>
        <v/>
      </c>
      <c r="W94" s="260" t="str">
        <f>IF(U94="","",IF(VLOOKUP(U94,'G-3 Multipliers'!$L$3:$N$6,3,FALSE)=0,"Spatial Data Missing",VLOOKUP(U94,'G-3 Multipliers'!$L$3:$N$6,3,FALSE)))</f>
        <v/>
      </c>
      <c r="X94" s="171" t="str">
        <f>IFERROR(IF(OR(LEFT(O94,5)="Error",LEFT(N94,5)="Error",T94="Error"),"Check Data",IF(F94&lt;R94,INDEX('G-6 Hedgerow Data'!$S$3:$AE$14,MATCH(C94,'G-6 Hedgerow Data'!$B$3:$B$14,0),MATCH(M94,'G-6 Hedgerow Data'!$S$2:$AE$2,0)),INDEX('G-6 Hedgerow Data'!$K$3:$Q$14,MATCH(M94,'G-6 Hedgerow Data'!$B$3:$B$14,0),MATCH(O94,'G-6 Hedgerow Data'!$K$2:$Q$2,0)))),"")</f>
        <v/>
      </c>
      <c r="Y94" s="261"/>
      <c r="Z94" s="261"/>
      <c r="AA94" s="179" t="str">
        <f t="shared" si="11"/>
        <v/>
      </c>
      <c r="AB94" s="262" t="str">
        <f t="shared" si="12"/>
        <v/>
      </c>
      <c r="AC94" s="263" t="str">
        <f t="shared" si="9"/>
        <v/>
      </c>
      <c r="AD94" s="239" t="str">
        <f>IF(M94="","",VLOOKUP(M94,'G-6 Hedgerow Data'!$B$3:$AG$15,31,FALSE))</f>
        <v/>
      </c>
      <c r="AE94" s="175" t="str">
        <f t="shared" si="13"/>
        <v/>
      </c>
      <c r="AF94" s="175" t="str">
        <f t="shared" si="14"/>
        <v/>
      </c>
      <c r="AG94" s="176" t="str">
        <f>IFERROR(IF(O94="","",VLOOKUP(AD94,'G-3 Multipliers'!$P$3:$Q$6,2,FALSE)),"")</f>
        <v/>
      </c>
      <c r="AH94" s="266"/>
      <c r="AI94" s="172" t="str">
        <f>IF(AH94="","",IF(VLOOKUP(AH94,'G-3 Multipliers'!$S$3:$T$6,2,FALSE)=0,"Spatial Data Missing",VLOOKUP(AH94,'G-3 Multipliers'!$S$3:$T$6,2,FALSE)))</f>
        <v/>
      </c>
      <c r="AJ94" s="265" t="str">
        <f t="shared" si="15"/>
        <v/>
      </c>
      <c r="AK94" s="180"/>
      <c r="AL94" s="181"/>
      <c r="AP94" s="35" t="str">
        <f>IFERROR(INDEX('G-6 Hedgerow Data'!$BJ$3:$BJ$15,MATCH(M94,'G-6 Hedgerow Data'!$B$3:$B$15,0)),"")</f>
        <v/>
      </c>
    </row>
    <row r="95" spans="2:42" ht="13.8" x14ac:dyDescent="0.25">
      <c r="B95" s="259" t="str">
        <f>'E-1 Off Site Hedge Baseline'!AK93</f>
        <v/>
      </c>
      <c r="C95" s="175" t="str">
        <f>IF(B95="","",IF(ISNA(VLOOKUP($B95,'E-1 Off Site Hedge Baseline'!$B$1:$L$257,3,FALSE)),"",(VLOOKUP($B95,'E-1 Off Site Hedge Baseline'!$B$1:$L$257,3,FALSE))))</f>
        <v/>
      </c>
      <c r="D95" s="175" t="str">
        <f>IF(B95="","",IF(ISNA(VLOOKUP($B95,'E-1 Off Site Hedge Baseline'!$B$1:$L$258,4,FALSE)),"",(VLOOKUP($B95,'E-1 Off Site Hedge Baseline'!$B$1:$L$258,4,FALSE))))</f>
        <v/>
      </c>
      <c r="E95" s="175" t="str">
        <f>IF(B95="","",IF(ISNA(VLOOKUP($B95,'E-1 Off Site Hedge Baseline'!$B$1:$L$257,5,FALSE)),"",(VLOOKUP($B95,'E-1 Off Site Hedge Baseline'!$B$1:$L$257,5,FALSE))))</f>
        <v/>
      </c>
      <c r="F95" s="175" t="str">
        <f>IF(B95="","",IF(ISNA(VLOOKUP($B95,'E-1 Off Site Hedge Baseline'!$B$1:$L$257,6,FALSE)),"",(VLOOKUP($B95,'E-1 Off Site Hedge Baseline'!$B$1:$L$257,6,FALSE))))</f>
        <v/>
      </c>
      <c r="G95" s="175" t="str">
        <f>IF(B95="","",IF(ISNA(VLOOKUP($B95,'E-1 Off Site Hedge Baseline'!$B$1:$L$257,7,FALSE)),"",(VLOOKUP($B95,'E-1 Off Site Hedge Baseline'!$B$1:$L$257,7,FALSE))))</f>
        <v/>
      </c>
      <c r="H95" s="175" t="str">
        <f>IF(B95="","",IF(ISNA(VLOOKUP($B95,'E-1 Off Site Hedge Baseline'!$B$1:$L$257,8,FALSE)),"",(VLOOKUP($B95,'E-1 Off Site Hedge Baseline'!$B$1:$L$257,8,FALSE))))</f>
        <v/>
      </c>
      <c r="I95" s="175" t="str">
        <f>IF(B95="","",IF(ISNA(VLOOKUP($B95,'E-1 Off Site Hedge Baseline'!$B$1:$L$257,10,FALSE)),"",(VLOOKUP($B95,'E-1 Off Site Hedge Baseline'!$B$1:$L$257,10,FALSE))))</f>
        <v/>
      </c>
      <c r="J95" s="175" t="str">
        <f>IF(B95="","",IF(ISNA(VLOOKUP($B95,'E-1 Off Site Hedge Baseline'!$B$1:$L$257,11,FALSE)),"",(VLOOKUP($B95,'E-1 Off Site Hedge Baseline'!$B$1:$L$257,11,FALSE))))</f>
        <v/>
      </c>
      <c r="K95" s="175" t="str">
        <f>IF(B95="","",IF(ISNA(VLOOKUP($B95,'E-1 Off Site Hedge Baseline'!$B$1:$U$257,113,FALSE)),"",(VLOOKUP($B95,'E-1 Off Site Hedge Baseline'!$B$1:$U$257,13,FALSE))))</f>
        <v/>
      </c>
      <c r="L95" s="179" t="str">
        <f>IF(B95="","",IF(ISNA(VLOOKUP($B95,'E-1 Off Site Hedge Baseline'!$B$1:$U$257,12,FALSE)),"",(VLOOKUP($B95,'E-1 Off Site Hedge Baseline'!$B$1:$U$257,12,FALSE))))</f>
        <v/>
      </c>
      <c r="M95" s="639" t="str">
        <f t="shared" si="16"/>
        <v/>
      </c>
      <c r="N95" s="171" t="str">
        <f>IFERROR(IF(B95="","",INDEX('G-6 Hedgerow Data'!$AN$3:$AZ$15,MATCH(C95,'G-6 Hedgerow Data'!$AM$3:$AM$15,0),MATCH(M95,'G-6 Hedgerow Data'!$AN$2:$AZ$2,0))),"")</f>
        <v/>
      </c>
      <c r="O95" s="172" t="str">
        <f t="shared" si="10"/>
        <v/>
      </c>
      <c r="P95" s="260" t="str">
        <f>IF(B95="","",VLOOKUP(B95,'E-1 Off Site Hedge Baseline'!$B$10:T340,16,FALSE))</f>
        <v/>
      </c>
      <c r="Q95" s="171" t="str">
        <f>IF(M95="","",VLOOKUP(M95,'G-6 Hedgerow Data'!$B$2:$AG$15,2,FALSE))</f>
        <v/>
      </c>
      <c r="R95" s="172" t="str">
        <f>IF(M95="","",VLOOKUP(M95,'G-6 Hedgerow Data'!$B$2:$AG$15,3,FALSE))</f>
        <v/>
      </c>
      <c r="S95" s="173"/>
      <c r="T95" s="172" t="str">
        <f>IFERROR(IF(AND(Q95="V.Low",OR(S95="Good",S95="Moderate")),"Error",VLOOKUP(S95,'G-1 All Habitats'!$Z$2:$AA$9,2,FALSE)),"")</f>
        <v/>
      </c>
      <c r="U95" s="173"/>
      <c r="V95" s="179" t="str">
        <f>IF(U95="","",IF(VLOOKUP(U95,'G-3 Multipliers'!$L$3:$N$6,2,FALSE)=0,"Spatial Data Missing",VLOOKUP(U95,'G-3 Multipliers'!$L$3:$N$6,2,FALSE)))</f>
        <v/>
      </c>
      <c r="W95" s="260" t="str">
        <f>IF(U95="","",IF(VLOOKUP(U95,'G-3 Multipliers'!$L$3:$N$6,3,FALSE)=0,"Spatial Data Missing",VLOOKUP(U95,'G-3 Multipliers'!$L$3:$N$6,3,FALSE)))</f>
        <v/>
      </c>
      <c r="X95" s="171" t="str">
        <f>IFERROR(IF(OR(LEFT(O95,5)="Error",LEFT(N95,5)="Error",T95="Error"),"Check Data",IF(F95&lt;R95,INDEX('G-6 Hedgerow Data'!$S$3:$AE$14,MATCH(C95,'G-6 Hedgerow Data'!$B$3:$B$14,0),MATCH(M95,'G-6 Hedgerow Data'!$S$2:$AE$2,0)),INDEX('G-6 Hedgerow Data'!$K$3:$Q$14,MATCH(M95,'G-6 Hedgerow Data'!$B$3:$B$14,0),MATCH(O95,'G-6 Hedgerow Data'!$K$2:$Q$2,0)))),"")</f>
        <v/>
      </c>
      <c r="Y95" s="261"/>
      <c r="Z95" s="261"/>
      <c r="AA95" s="179" t="str">
        <f t="shared" si="11"/>
        <v/>
      </c>
      <c r="AB95" s="262" t="str">
        <f t="shared" si="12"/>
        <v/>
      </c>
      <c r="AC95" s="263" t="str">
        <f t="shared" si="9"/>
        <v/>
      </c>
      <c r="AD95" s="239" t="str">
        <f>IF(M95="","",VLOOKUP(M95,'G-6 Hedgerow Data'!$B$3:$AG$15,31,FALSE))</f>
        <v/>
      </c>
      <c r="AE95" s="175" t="str">
        <f t="shared" si="13"/>
        <v/>
      </c>
      <c r="AF95" s="175" t="str">
        <f t="shared" si="14"/>
        <v/>
      </c>
      <c r="AG95" s="176" t="str">
        <f>IFERROR(IF(O95="","",VLOOKUP(AD95,'G-3 Multipliers'!$P$3:$Q$6,2,FALSE)),"")</f>
        <v/>
      </c>
      <c r="AH95" s="266"/>
      <c r="AI95" s="172" t="str">
        <f>IF(AH95="","",IF(VLOOKUP(AH95,'G-3 Multipliers'!$S$3:$T$6,2,FALSE)=0,"Spatial Data Missing",VLOOKUP(AH95,'G-3 Multipliers'!$S$3:$T$6,2,FALSE)))</f>
        <v/>
      </c>
      <c r="AJ95" s="265" t="str">
        <f t="shared" si="15"/>
        <v/>
      </c>
      <c r="AK95" s="180"/>
      <c r="AL95" s="181"/>
      <c r="AP95" s="35" t="str">
        <f>IFERROR(INDEX('G-6 Hedgerow Data'!$BJ$3:$BJ$15,MATCH(M95,'G-6 Hedgerow Data'!$B$3:$B$15,0)),"")</f>
        <v/>
      </c>
    </row>
    <row r="96" spans="2:42" ht="13.8" x14ac:dyDescent="0.25">
      <c r="B96" s="259" t="str">
        <f>'E-1 Off Site Hedge Baseline'!AK94</f>
        <v/>
      </c>
      <c r="C96" s="175" t="str">
        <f>IF(B96="","",IF(ISNA(VLOOKUP($B96,'E-1 Off Site Hedge Baseline'!$B$1:$L$257,3,FALSE)),"",(VLOOKUP($B96,'E-1 Off Site Hedge Baseline'!$B$1:$L$257,3,FALSE))))</f>
        <v/>
      </c>
      <c r="D96" s="175" t="str">
        <f>IF(B96="","",IF(ISNA(VLOOKUP($B96,'E-1 Off Site Hedge Baseline'!$B$1:$L$258,4,FALSE)),"",(VLOOKUP($B96,'E-1 Off Site Hedge Baseline'!$B$1:$L$258,4,FALSE))))</f>
        <v/>
      </c>
      <c r="E96" s="175" t="str">
        <f>IF(B96="","",IF(ISNA(VLOOKUP($B96,'E-1 Off Site Hedge Baseline'!$B$1:$L$257,5,FALSE)),"",(VLOOKUP($B96,'E-1 Off Site Hedge Baseline'!$B$1:$L$257,5,FALSE))))</f>
        <v/>
      </c>
      <c r="F96" s="175" t="str">
        <f>IF(B96="","",IF(ISNA(VLOOKUP($B96,'E-1 Off Site Hedge Baseline'!$B$1:$L$257,6,FALSE)),"",(VLOOKUP($B96,'E-1 Off Site Hedge Baseline'!$B$1:$L$257,6,FALSE))))</f>
        <v/>
      </c>
      <c r="G96" s="175" t="str">
        <f>IF(B96="","",IF(ISNA(VLOOKUP($B96,'E-1 Off Site Hedge Baseline'!$B$1:$L$257,7,FALSE)),"",(VLOOKUP($B96,'E-1 Off Site Hedge Baseline'!$B$1:$L$257,7,FALSE))))</f>
        <v/>
      </c>
      <c r="H96" s="175" t="str">
        <f>IF(B96="","",IF(ISNA(VLOOKUP($B96,'E-1 Off Site Hedge Baseline'!$B$1:$L$257,8,FALSE)),"",(VLOOKUP($B96,'E-1 Off Site Hedge Baseline'!$B$1:$L$257,8,FALSE))))</f>
        <v/>
      </c>
      <c r="I96" s="175" t="str">
        <f>IF(B96="","",IF(ISNA(VLOOKUP($B96,'E-1 Off Site Hedge Baseline'!$B$1:$L$257,10,FALSE)),"",(VLOOKUP($B96,'E-1 Off Site Hedge Baseline'!$B$1:$L$257,10,FALSE))))</f>
        <v/>
      </c>
      <c r="J96" s="175" t="str">
        <f>IF(B96="","",IF(ISNA(VLOOKUP($B96,'E-1 Off Site Hedge Baseline'!$B$1:$L$257,11,FALSE)),"",(VLOOKUP($B96,'E-1 Off Site Hedge Baseline'!$B$1:$L$257,11,FALSE))))</f>
        <v/>
      </c>
      <c r="K96" s="175" t="str">
        <f>IF(B96="","",IF(ISNA(VLOOKUP($B96,'E-1 Off Site Hedge Baseline'!$B$1:$U$257,113,FALSE)),"",(VLOOKUP($B96,'E-1 Off Site Hedge Baseline'!$B$1:$U$257,13,FALSE))))</f>
        <v/>
      </c>
      <c r="L96" s="179" t="str">
        <f>IF(B96="","",IF(ISNA(VLOOKUP($B96,'E-1 Off Site Hedge Baseline'!$B$1:$U$257,12,FALSE)),"",(VLOOKUP($B96,'E-1 Off Site Hedge Baseline'!$B$1:$U$257,12,FALSE))))</f>
        <v/>
      </c>
      <c r="M96" s="639" t="str">
        <f t="shared" si="16"/>
        <v/>
      </c>
      <c r="N96" s="171" t="str">
        <f>IFERROR(IF(B96="","",INDEX('G-6 Hedgerow Data'!$AN$3:$AZ$15,MATCH(C96,'G-6 Hedgerow Data'!$AM$3:$AM$15,0),MATCH(M96,'G-6 Hedgerow Data'!$AN$2:$AZ$2,0))),"")</f>
        <v/>
      </c>
      <c r="O96" s="172" t="str">
        <f t="shared" si="10"/>
        <v/>
      </c>
      <c r="P96" s="260" t="str">
        <f>IF(B96="","",VLOOKUP(B96,'E-1 Off Site Hedge Baseline'!$B$10:T341,16,FALSE))</f>
        <v/>
      </c>
      <c r="Q96" s="171" t="str">
        <f>IF(M96="","",VLOOKUP(M96,'G-6 Hedgerow Data'!$B$2:$AG$15,2,FALSE))</f>
        <v/>
      </c>
      <c r="R96" s="172" t="str">
        <f>IF(M96="","",VLOOKUP(M96,'G-6 Hedgerow Data'!$B$2:$AG$15,3,FALSE))</f>
        <v/>
      </c>
      <c r="S96" s="173"/>
      <c r="T96" s="172" t="str">
        <f>IFERROR(IF(AND(Q96="V.Low",OR(S96="Good",S96="Moderate")),"Error",VLOOKUP(S96,'G-1 All Habitats'!$Z$2:$AA$9,2,FALSE)),"")</f>
        <v/>
      </c>
      <c r="U96" s="173"/>
      <c r="V96" s="179" t="str">
        <f>IF(U96="","",IF(VLOOKUP(U96,'G-3 Multipliers'!$L$3:$N$6,2,FALSE)=0,"Spatial Data Missing",VLOOKUP(U96,'G-3 Multipliers'!$L$3:$N$6,2,FALSE)))</f>
        <v/>
      </c>
      <c r="W96" s="260" t="str">
        <f>IF(U96="","",IF(VLOOKUP(U96,'G-3 Multipliers'!$L$3:$N$6,3,FALSE)=0,"Spatial Data Missing",VLOOKUP(U96,'G-3 Multipliers'!$L$3:$N$6,3,FALSE)))</f>
        <v/>
      </c>
      <c r="X96" s="171" t="str">
        <f>IFERROR(IF(OR(LEFT(O96,5)="Error",LEFT(N96,5)="Error",T96="Error"),"Check Data",IF(F96&lt;R96,INDEX('G-6 Hedgerow Data'!$S$3:$AE$14,MATCH(C96,'G-6 Hedgerow Data'!$B$3:$B$14,0),MATCH(M96,'G-6 Hedgerow Data'!$S$2:$AE$2,0)),INDEX('G-6 Hedgerow Data'!$K$3:$Q$14,MATCH(M96,'G-6 Hedgerow Data'!$B$3:$B$14,0),MATCH(O96,'G-6 Hedgerow Data'!$K$2:$Q$2,0)))),"")</f>
        <v/>
      </c>
      <c r="Y96" s="261"/>
      <c r="Z96" s="261"/>
      <c r="AA96" s="179" t="str">
        <f t="shared" si="11"/>
        <v/>
      </c>
      <c r="AB96" s="262" t="str">
        <f t="shared" si="12"/>
        <v/>
      </c>
      <c r="AC96" s="263" t="str">
        <f t="shared" si="9"/>
        <v/>
      </c>
      <c r="AD96" s="239" t="str">
        <f>IF(M96="","",VLOOKUP(M96,'G-6 Hedgerow Data'!$B$3:$AG$15,31,FALSE))</f>
        <v/>
      </c>
      <c r="AE96" s="175" t="str">
        <f t="shared" si="13"/>
        <v/>
      </c>
      <c r="AF96" s="175" t="str">
        <f t="shared" si="14"/>
        <v/>
      </c>
      <c r="AG96" s="176" t="str">
        <f>IFERROR(IF(O96="","",VLOOKUP(AD96,'G-3 Multipliers'!$P$3:$Q$6,2,FALSE)),"")</f>
        <v/>
      </c>
      <c r="AH96" s="266"/>
      <c r="AI96" s="172" t="str">
        <f>IF(AH96="","",IF(VLOOKUP(AH96,'G-3 Multipliers'!$S$3:$T$6,2,FALSE)=0,"Spatial Data Missing",VLOOKUP(AH96,'G-3 Multipliers'!$S$3:$T$6,2,FALSE)))</f>
        <v/>
      </c>
      <c r="AJ96" s="265" t="str">
        <f t="shared" si="15"/>
        <v/>
      </c>
      <c r="AK96" s="180"/>
      <c r="AL96" s="181"/>
      <c r="AP96" s="35" t="str">
        <f>IFERROR(INDEX('G-6 Hedgerow Data'!$BJ$3:$BJ$15,MATCH(M96,'G-6 Hedgerow Data'!$B$3:$B$15,0)),"")</f>
        <v/>
      </c>
    </row>
    <row r="97" spans="2:42" ht="13.8" x14ac:dyDescent="0.25">
      <c r="B97" s="259" t="str">
        <f>'E-1 Off Site Hedge Baseline'!AK95</f>
        <v/>
      </c>
      <c r="C97" s="175" t="str">
        <f>IF(B97="","",IF(ISNA(VLOOKUP($B97,'E-1 Off Site Hedge Baseline'!$B$1:$L$257,3,FALSE)),"",(VLOOKUP($B97,'E-1 Off Site Hedge Baseline'!$B$1:$L$257,3,FALSE))))</f>
        <v/>
      </c>
      <c r="D97" s="175" t="str">
        <f>IF(B97="","",IF(ISNA(VLOOKUP($B97,'E-1 Off Site Hedge Baseline'!$B$1:$L$258,4,FALSE)),"",(VLOOKUP($B97,'E-1 Off Site Hedge Baseline'!$B$1:$L$258,4,FALSE))))</f>
        <v/>
      </c>
      <c r="E97" s="175" t="str">
        <f>IF(B97="","",IF(ISNA(VLOOKUP($B97,'E-1 Off Site Hedge Baseline'!$B$1:$L$257,5,FALSE)),"",(VLOOKUP($B97,'E-1 Off Site Hedge Baseline'!$B$1:$L$257,5,FALSE))))</f>
        <v/>
      </c>
      <c r="F97" s="175" t="str">
        <f>IF(B97="","",IF(ISNA(VLOOKUP($B97,'E-1 Off Site Hedge Baseline'!$B$1:$L$257,6,FALSE)),"",(VLOOKUP($B97,'E-1 Off Site Hedge Baseline'!$B$1:$L$257,6,FALSE))))</f>
        <v/>
      </c>
      <c r="G97" s="175" t="str">
        <f>IF(B97="","",IF(ISNA(VLOOKUP($B97,'E-1 Off Site Hedge Baseline'!$B$1:$L$257,7,FALSE)),"",(VLOOKUP($B97,'E-1 Off Site Hedge Baseline'!$B$1:$L$257,7,FALSE))))</f>
        <v/>
      </c>
      <c r="H97" s="175" t="str">
        <f>IF(B97="","",IF(ISNA(VLOOKUP($B97,'E-1 Off Site Hedge Baseline'!$B$1:$L$257,8,FALSE)),"",(VLOOKUP($B97,'E-1 Off Site Hedge Baseline'!$B$1:$L$257,8,FALSE))))</f>
        <v/>
      </c>
      <c r="I97" s="175" t="str">
        <f>IF(B97="","",IF(ISNA(VLOOKUP($B97,'E-1 Off Site Hedge Baseline'!$B$1:$L$257,10,FALSE)),"",(VLOOKUP($B97,'E-1 Off Site Hedge Baseline'!$B$1:$L$257,10,FALSE))))</f>
        <v/>
      </c>
      <c r="J97" s="175" t="str">
        <f>IF(B97="","",IF(ISNA(VLOOKUP($B97,'E-1 Off Site Hedge Baseline'!$B$1:$L$257,11,FALSE)),"",(VLOOKUP($B97,'E-1 Off Site Hedge Baseline'!$B$1:$L$257,11,FALSE))))</f>
        <v/>
      </c>
      <c r="K97" s="175" t="str">
        <f>IF(B97="","",IF(ISNA(VLOOKUP($B97,'E-1 Off Site Hedge Baseline'!$B$1:$U$257,113,FALSE)),"",(VLOOKUP($B97,'E-1 Off Site Hedge Baseline'!$B$1:$U$257,13,FALSE))))</f>
        <v/>
      </c>
      <c r="L97" s="179" t="str">
        <f>IF(B97="","",IF(ISNA(VLOOKUP($B97,'E-1 Off Site Hedge Baseline'!$B$1:$U$257,12,FALSE)),"",(VLOOKUP($B97,'E-1 Off Site Hedge Baseline'!$B$1:$U$257,12,FALSE))))</f>
        <v/>
      </c>
      <c r="M97" s="639" t="str">
        <f t="shared" si="16"/>
        <v/>
      </c>
      <c r="N97" s="171" t="str">
        <f>IFERROR(IF(B97="","",INDEX('G-6 Hedgerow Data'!$AN$3:$AZ$15,MATCH(C97,'G-6 Hedgerow Data'!$AM$3:$AM$15,0),MATCH(M97,'G-6 Hedgerow Data'!$AN$2:$AZ$2,0))),"")</f>
        <v/>
      </c>
      <c r="O97" s="172" t="str">
        <f t="shared" si="10"/>
        <v/>
      </c>
      <c r="P97" s="260" t="str">
        <f>IF(B97="","",VLOOKUP(B97,'E-1 Off Site Hedge Baseline'!$B$10:T342,16,FALSE))</f>
        <v/>
      </c>
      <c r="Q97" s="171" t="str">
        <f>IF(M97="","",VLOOKUP(M97,'G-6 Hedgerow Data'!$B$2:$AG$15,2,FALSE))</f>
        <v/>
      </c>
      <c r="R97" s="172" t="str">
        <f>IF(M97="","",VLOOKUP(M97,'G-6 Hedgerow Data'!$B$2:$AG$15,3,FALSE))</f>
        <v/>
      </c>
      <c r="S97" s="173"/>
      <c r="T97" s="172" t="str">
        <f>IFERROR(IF(AND(Q97="V.Low",OR(S97="Good",S97="Moderate")),"Error",VLOOKUP(S97,'G-1 All Habitats'!$Z$2:$AA$9,2,FALSE)),"")</f>
        <v/>
      </c>
      <c r="U97" s="173"/>
      <c r="V97" s="179" t="str">
        <f>IF(U97="","",IF(VLOOKUP(U97,'G-3 Multipliers'!$L$3:$N$6,2,FALSE)=0,"Spatial Data Missing",VLOOKUP(U97,'G-3 Multipliers'!$L$3:$N$6,2,FALSE)))</f>
        <v/>
      </c>
      <c r="W97" s="260" t="str">
        <f>IF(U97="","",IF(VLOOKUP(U97,'G-3 Multipliers'!$L$3:$N$6,3,FALSE)=0,"Spatial Data Missing",VLOOKUP(U97,'G-3 Multipliers'!$L$3:$N$6,3,FALSE)))</f>
        <v/>
      </c>
      <c r="X97" s="171" t="str">
        <f>IFERROR(IF(OR(LEFT(O97,5)="Error",LEFT(N97,5)="Error",T97="Error"),"Check Data",IF(F97&lt;R97,INDEX('G-6 Hedgerow Data'!$S$3:$AE$14,MATCH(C97,'G-6 Hedgerow Data'!$B$3:$B$14,0),MATCH(M97,'G-6 Hedgerow Data'!$S$2:$AE$2,0)),INDEX('G-6 Hedgerow Data'!$K$3:$Q$14,MATCH(M97,'G-6 Hedgerow Data'!$B$3:$B$14,0),MATCH(O97,'G-6 Hedgerow Data'!$K$2:$Q$2,0)))),"")</f>
        <v/>
      </c>
      <c r="Y97" s="261"/>
      <c r="Z97" s="261"/>
      <c r="AA97" s="179" t="str">
        <f t="shared" si="11"/>
        <v/>
      </c>
      <c r="AB97" s="262" t="str">
        <f t="shared" si="12"/>
        <v/>
      </c>
      <c r="AC97" s="263" t="str">
        <f t="shared" si="9"/>
        <v/>
      </c>
      <c r="AD97" s="239" t="str">
        <f>IF(M97="","",VLOOKUP(M97,'G-6 Hedgerow Data'!$B$3:$AG$15,31,FALSE))</f>
        <v/>
      </c>
      <c r="AE97" s="175" t="str">
        <f t="shared" si="13"/>
        <v/>
      </c>
      <c r="AF97" s="175" t="str">
        <f t="shared" si="14"/>
        <v/>
      </c>
      <c r="AG97" s="176" t="str">
        <f>IFERROR(IF(O97="","",VLOOKUP(AD97,'G-3 Multipliers'!$P$3:$Q$6,2,FALSE)),"")</f>
        <v/>
      </c>
      <c r="AH97" s="266"/>
      <c r="AI97" s="172" t="str">
        <f>IF(AH97="","",IF(VLOOKUP(AH97,'G-3 Multipliers'!$S$3:$T$6,2,FALSE)=0,"Spatial Data Missing",VLOOKUP(AH97,'G-3 Multipliers'!$S$3:$T$6,2,FALSE)))</f>
        <v/>
      </c>
      <c r="AJ97" s="265" t="str">
        <f t="shared" si="15"/>
        <v/>
      </c>
      <c r="AK97" s="180"/>
      <c r="AL97" s="181"/>
      <c r="AP97" s="35" t="str">
        <f>IFERROR(INDEX('G-6 Hedgerow Data'!$BJ$3:$BJ$15,MATCH(M97,'G-6 Hedgerow Data'!$B$3:$B$15,0)),"")</f>
        <v/>
      </c>
    </row>
    <row r="98" spans="2:42" ht="13.8" x14ac:dyDescent="0.25">
      <c r="B98" s="259" t="str">
        <f>'E-1 Off Site Hedge Baseline'!AK96</f>
        <v/>
      </c>
      <c r="C98" s="175" t="str">
        <f>IF(B98="","",IF(ISNA(VLOOKUP($B98,'E-1 Off Site Hedge Baseline'!$B$1:$L$257,3,FALSE)),"",(VLOOKUP($B98,'E-1 Off Site Hedge Baseline'!$B$1:$L$257,3,FALSE))))</f>
        <v/>
      </c>
      <c r="D98" s="175" t="str">
        <f>IF(B98="","",IF(ISNA(VLOOKUP($B98,'E-1 Off Site Hedge Baseline'!$B$1:$L$258,4,FALSE)),"",(VLOOKUP($B98,'E-1 Off Site Hedge Baseline'!$B$1:$L$258,4,FALSE))))</f>
        <v/>
      </c>
      <c r="E98" s="175" t="str">
        <f>IF(B98="","",IF(ISNA(VLOOKUP($B98,'E-1 Off Site Hedge Baseline'!$B$1:$L$257,5,FALSE)),"",(VLOOKUP($B98,'E-1 Off Site Hedge Baseline'!$B$1:$L$257,5,FALSE))))</f>
        <v/>
      </c>
      <c r="F98" s="175" t="str">
        <f>IF(B98="","",IF(ISNA(VLOOKUP($B98,'E-1 Off Site Hedge Baseline'!$B$1:$L$257,6,FALSE)),"",(VLOOKUP($B98,'E-1 Off Site Hedge Baseline'!$B$1:$L$257,6,FALSE))))</f>
        <v/>
      </c>
      <c r="G98" s="175" t="str">
        <f>IF(B98="","",IF(ISNA(VLOOKUP($B98,'E-1 Off Site Hedge Baseline'!$B$1:$L$257,7,FALSE)),"",(VLOOKUP($B98,'E-1 Off Site Hedge Baseline'!$B$1:$L$257,7,FALSE))))</f>
        <v/>
      </c>
      <c r="H98" s="175" t="str">
        <f>IF(B98="","",IF(ISNA(VLOOKUP($B98,'E-1 Off Site Hedge Baseline'!$B$1:$L$257,8,FALSE)),"",(VLOOKUP($B98,'E-1 Off Site Hedge Baseline'!$B$1:$L$257,8,FALSE))))</f>
        <v/>
      </c>
      <c r="I98" s="175" t="str">
        <f>IF(B98="","",IF(ISNA(VLOOKUP($B98,'E-1 Off Site Hedge Baseline'!$B$1:$L$257,10,FALSE)),"",(VLOOKUP($B98,'E-1 Off Site Hedge Baseline'!$B$1:$L$257,10,FALSE))))</f>
        <v/>
      </c>
      <c r="J98" s="175" t="str">
        <f>IF(B98="","",IF(ISNA(VLOOKUP($B98,'E-1 Off Site Hedge Baseline'!$B$1:$L$257,11,FALSE)),"",(VLOOKUP($B98,'E-1 Off Site Hedge Baseline'!$B$1:$L$257,11,FALSE))))</f>
        <v/>
      </c>
      <c r="K98" s="175" t="str">
        <f>IF(B98="","",IF(ISNA(VLOOKUP($B98,'E-1 Off Site Hedge Baseline'!$B$1:$U$257,113,FALSE)),"",(VLOOKUP($B98,'E-1 Off Site Hedge Baseline'!$B$1:$U$257,13,FALSE))))</f>
        <v/>
      </c>
      <c r="L98" s="179" t="str">
        <f>IF(B98="","",IF(ISNA(VLOOKUP($B98,'E-1 Off Site Hedge Baseline'!$B$1:$U$257,12,FALSE)),"",(VLOOKUP($B98,'E-1 Off Site Hedge Baseline'!$B$1:$U$257,12,FALSE))))</f>
        <v/>
      </c>
      <c r="M98" s="639" t="str">
        <f t="shared" si="16"/>
        <v/>
      </c>
      <c r="N98" s="171" t="str">
        <f>IFERROR(IF(B98="","",INDEX('G-6 Hedgerow Data'!$AN$3:$AZ$15,MATCH(C98,'G-6 Hedgerow Data'!$AM$3:$AM$15,0),MATCH(M98,'G-6 Hedgerow Data'!$AN$2:$AZ$2,0))),"")</f>
        <v/>
      </c>
      <c r="O98" s="172" t="str">
        <f t="shared" si="10"/>
        <v/>
      </c>
      <c r="P98" s="260" t="str">
        <f>IF(B98="","",VLOOKUP(B98,'E-1 Off Site Hedge Baseline'!$B$10:T343,16,FALSE))</f>
        <v/>
      </c>
      <c r="Q98" s="171" t="str">
        <f>IF(M98="","",VLOOKUP(M98,'G-6 Hedgerow Data'!$B$2:$AG$15,2,FALSE))</f>
        <v/>
      </c>
      <c r="R98" s="172" t="str">
        <f>IF(M98="","",VLOOKUP(M98,'G-6 Hedgerow Data'!$B$2:$AG$15,3,FALSE))</f>
        <v/>
      </c>
      <c r="S98" s="173"/>
      <c r="T98" s="172" t="str">
        <f>IFERROR(IF(AND(Q98="V.Low",OR(S98="Good",S98="Moderate")),"Error",VLOOKUP(S98,'G-1 All Habitats'!$Z$2:$AA$9,2,FALSE)),"")</f>
        <v/>
      </c>
      <c r="U98" s="173"/>
      <c r="V98" s="179" t="str">
        <f>IF(U98="","",IF(VLOOKUP(U98,'G-3 Multipliers'!$L$3:$N$6,2,FALSE)=0,"Spatial Data Missing",VLOOKUP(U98,'G-3 Multipliers'!$L$3:$N$6,2,FALSE)))</f>
        <v/>
      </c>
      <c r="W98" s="260" t="str">
        <f>IF(U98="","",IF(VLOOKUP(U98,'G-3 Multipliers'!$L$3:$N$6,3,FALSE)=0,"Spatial Data Missing",VLOOKUP(U98,'G-3 Multipliers'!$L$3:$N$6,3,FALSE)))</f>
        <v/>
      </c>
      <c r="X98" s="171" t="str">
        <f>IFERROR(IF(OR(LEFT(O98,5)="Error",LEFT(N98,5)="Error",T98="Error"),"Check Data",IF(F98&lt;R98,INDEX('G-6 Hedgerow Data'!$S$3:$AE$14,MATCH(C98,'G-6 Hedgerow Data'!$B$3:$B$14,0),MATCH(M98,'G-6 Hedgerow Data'!$S$2:$AE$2,0)),INDEX('G-6 Hedgerow Data'!$K$3:$Q$14,MATCH(M98,'G-6 Hedgerow Data'!$B$3:$B$14,0),MATCH(O98,'G-6 Hedgerow Data'!$K$2:$Q$2,0)))),"")</f>
        <v/>
      </c>
      <c r="Y98" s="261"/>
      <c r="Z98" s="261"/>
      <c r="AA98" s="179" t="str">
        <f t="shared" si="11"/>
        <v/>
      </c>
      <c r="AB98" s="262" t="str">
        <f t="shared" si="12"/>
        <v/>
      </c>
      <c r="AC98" s="263" t="str">
        <f t="shared" si="9"/>
        <v/>
      </c>
      <c r="AD98" s="239" t="str">
        <f>IF(M98="","",VLOOKUP(M98,'G-6 Hedgerow Data'!$B$3:$AG$15,31,FALSE))</f>
        <v/>
      </c>
      <c r="AE98" s="175" t="str">
        <f t="shared" si="13"/>
        <v/>
      </c>
      <c r="AF98" s="175" t="str">
        <f t="shared" si="14"/>
        <v/>
      </c>
      <c r="AG98" s="176" t="str">
        <f>IFERROR(IF(O98="","",VLOOKUP(AD98,'G-3 Multipliers'!$P$3:$Q$6,2,FALSE)),"")</f>
        <v/>
      </c>
      <c r="AH98" s="266"/>
      <c r="AI98" s="172" t="str">
        <f>IF(AH98="","",IF(VLOOKUP(AH98,'G-3 Multipliers'!$S$3:$T$6,2,FALSE)=0,"Spatial Data Missing",VLOOKUP(AH98,'G-3 Multipliers'!$S$3:$T$6,2,FALSE)))</f>
        <v/>
      </c>
      <c r="AJ98" s="265" t="str">
        <f t="shared" si="15"/>
        <v/>
      </c>
      <c r="AK98" s="180"/>
      <c r="AL98" s="181"/>
      <c r="AP98" s="35" t="str">
        <f>IFERROR(INDEX('G-6 Hedgerow Data'!$BJ$3:$BJ$15,MATCH(M98,'G-6 Hedgerow Data'!$B$3:$B$15,0)),"")</f>
        <v/>
      </c>
    </row>
    <row r="99" spans="2:42" ht="13.8" x14ac:dyDescent="0.25">
      <c r="B99" s="259" t="str">
        <f>'E-1 Off Site Hedge Baseline'!AK97</f>
        <v/>
      </c>
      <c r="C99" s="175" t="str">
        <f>IF(B99="","",IF(ISNA(VLOOKUP($B99,'E-1 Off Site Hedge Baseline'!$B$1:$L$257,3,FALSE)),"",(VLOOKUP($B99,'E-1 Off Site Hedge Baseline'!$B$1:$L$257,3,FALSE))))</f>
        <v/>
      </c>
      <c r="D99" s="175" t="str">
        <f>IF(B99="","",IF(ISNA(VLOOKUP($B99,'E-1 Off Site Hedge Baseline'!$B$1:$L$258,4,FALSE)),"",(VLOOKUP($B99,'E-1 Off Site Hedge Baseline'!$B$1:$L$258,4,FALSE))))</f>
        <v/>
      </c>
      <c r="E99" s="175" t="str">
        <f>IF(B99="","",IF(ISNA(VLOOKUP($B99,'E-1 Off Site Hedge Baseline'!$B$1:$L$257,5,FALSE)),"",(VLOOKUP($B99,'E-1 Off Site Hedge Baseline'!$B$1:$L$257,5,FALSE))))</f>
        <v/>
      </c>
      <c r="F99" s="175" t="str">
        <f>IF(B99="","",IF(ISNA(VLOOKUP($B99,'E-1 Off Site Hedge Baseline'!$B$1:$L$257,6,FALSE)),"",(VLOOKUP($B99,'E-1 Off Site Hedge Baseline'!$B$1:$L$257,6,FALSE))))</f>
        <v/>
      </c>
      <c r="G99" s="175" t="str">
        <f>IF(B99="","",IF(ISNA(VLOOKUP($B99,'E-1 Off Site Hedge Baseline'!$B$1:$L$257,7,FALSE)),"",(VLOOKUP($B99,'E-1 Off Site Hedge Baseline'!$B$1:$L$257,7,FALSE))))</f>
        <v/>
      </c>
      <c r="H99" s="175" t="str">
        <f>IF(B99="","",IF(ISNA(VLOOKUP($B99,'E-1 Off Site Hedge Baseline'!$B$1:$L$257,8,FALSE)),"",(VLOOKUP($B99,'E-1 Off Site Hedge Baseline'!$B$1:$L$257,8,FALSE))))</f>
        <v/>
      </c>
      <c r="I99" s="175" t="str">
        <f>IF(B99="","",IF(ISNA(VLOOKUP($B99,'E-1 Off Site Hedge Baseline'!$B$1:$L$257,10,FALSE)),"",(VLOOKUP($B99,'E-1 Off Site Hedge Baseline'!$B$1:$L$257,10,FALSE))))</f>
        <v/>
      </c>
      <c r="J99" s="175" t="str">
        <f>IF(B99="","",IF(ISNA(VLOOKUP($B99,'E-1 Off Site Hedge Baseline'!$B$1:$L$257,11,FALSE)),"",(VLOOKUP($B99,'E-1 Off Site Hedge Baseline'!$B$1:$L$257,11,FALSE))))</f>
        <v/>
      </c>
      <c r="K99" s="175" t="str">
        <f>IF(B99="","",IF(ISNA(VLOOKUP($B99,'E-1 Off Site Hedge Baseline'!$B$1:$U$257,113,FALSE)),"",(VLOOKUP($B99,'E-1 Off Site Hedge Baseline'!$B$1:$U$257,13,FALSE))))</f>
        <v/>
      </c>
      <c r="L99" s="179" t="str">
        <f>IF(B99="","",IF(ISNA(VLOOKUP($B99,'E-1 Off Site Hedge Baseline'!$B$1:$U$257,12,FALSE)),"",(VLOOKUP($B99,'E-1 Off Site Hedge Baseline'!$B$1:$U$257,12,FALSE))))</f>
        <v/>
      </c>
      <c r="M99" s="639" t="str">
        <f t="shared" si="16"/>
        <v/>
      </c>
      <c r="N99" s="171" t="str">
        <f>IFERROR(IF(B99="","",INDEX('G-6 Hedgerow Data'!$AN$3:$AZ$15,MATCH(C99,'G-6 Hedgerow Data'!$AM$3:$AM$15,0),MATCH(M99,'G-6 Hedgerow Data'!$AN$2:$AZ$2,0))),"")</f>
        <v/>
      </c>
      <c r="O99" s="172" t="str">
        <f t="shared" si="10"/>
        <v/>
      </c>
      <c r="P99" s="260" t="str">
        <f>IF(B99="","",VLOOKUP(B99,'E-1 Off Site Hedge Baseline'!$B$10:T344,16,FALSE))</f>
        <v/>
      </c>
      <c r="Q99" s="171" t="str">
        <f>IF(M99="","",VLOOKUP(M99,'G-6 Hedgerow Data'!$B$2:$AG$15,2,FALSE))</f>
        <v/>
      </c>
      <c r="R99" s="172" t="str">
        <f>IF(M99="","",VLOOKUP(M99,'G-6 Hedgerow Data'!$B$2:$AG$15,3,FALSE))</f>
        <v/>
      </c>
      <c r="S99" s="173"/>
      <c r="T99" s="172" t="str">
        <f>IFERROR(IF(AND(Q99="V.Low",OR(S99="Good",S99="Moderate")),"Error",VLOOKUP(S99,'G-1 All Habitats'!$Z$2:$AA$9,2,FALSE)),"")</f>
        <v/>
      </c>
      <c r="U99" s="173"/>
      <c r="V99" s="179" t="str">
        <f>IF(U99="","",IF(VLOOKUP(U99,'G-3 Multipliers'!$L$3:$N$6,2,FALSE)=0,"Spatial Data Missing",VLOOKUP(U99,'G-3 Multipliers'!$L$3:$N$6,2,FALSE)))</f>
        <v/>
      </c>
      <c r="W99" s="260" t="str">
        <f>IF(U99="","",IF(VLOOKUP(U99,'G-3 Multipliers'!$L$3:$N$6,3,FALSE)=0,"Spatial Data Missing",VLOOKUP(U99,'G-3 Multipliers'!$L$3:$N$6,3,FALSE)))</f>
        <v/>
      </c>
      <c r="X99" s="171" t="str">
        <f>IFERROR(IF(OR(LEFT(O99,5)="Error",LEFT(N99,5)="Error",T99="Error"),"Check Data",IF(F99&lt;R99,INDEX('G-6 Hedgerow Data'!$S$3:$AE$14,MATCH(C99,'G-6 Hedgerow Data'!$B$3:$B$14,0),MATCH(M99,'G-6 Hedgerow Data'!$S$2:$AE$2,0)),INDEX('G-6 Hedgerow Data'!$K$3:$Q$14,MATCH(M99,'G-6 Hedgerow Data'!$B$3:$B$14,0),MATCH(O99,'G-6 Hedgerow Data'!$K$2:$Q$2,0)))),"")</f>
        <v/>
      </c>
      <c r="Y99" s="261"/>
      <c r="Z99" s="261"/>
      <c r="AA99" s="179" t="str">
        <f t="shared" si="11"/>
        <v/>
      </c>
      <c r="AB99" s="262" t="str">
        <f t="shared" si="12"/>
        <v/>
      </c>
      <c r="AC99" s="263" t="str">
        <f t="shared" si="9"/>
        <v/>
      </c>
      <c r="AD99" s="239" t="str">
        <f>IF(M99="","",VLOOKUP(M99,'G-6 Hedgerow Data'!$B$3:$AG$15,31,FALSE))</f>
        <v/>
      </c>
      <c r="AE99" s="175" t="str">
        <f t="shared" si="13"/>
        <v/>
      </c>
      <c r="AF99" s="175" t="str">
        <f t="shared" si="14"/>
        <v/>
      </c>
      <c r="AG99" s="176" t="str">
        <f>IFERROR(IF(O99="","",VLOOKUP(AD99,'G-3 Multipliers'!$P$3:$Q$6,2,FALSE)),"")</f>
        <v/>
      </c>
      <c r="AH99" s="266"/>
      <c r="AI99" s="172" t="str">
        <f>IF(AH99="","",IF(VLOOKUP(AH99,'G-3 Multipliers'!$S$3:$T$6,2,FALSE)=0,"Spatial Data Missing",VLOOKUP(AH99,'G-3 Multipliers'!$S$3:$T$6,2,FALSE)))</f>
        <v/>
      </c>
      <c r="AJ99" s="265" t="str">
        <f t="shared" si="15"/>
        <v/>
      </c>
      <c r="AK99" s="180"/>
      <c r="AL99" s="181"/>
      <c r="AP99" s="35" t="str">
        <f>IFERROR(INDEX('G-6 Hedgerow Data'!$BJ$3:$BJ$15,MATCH(M99,'G-6 Hedgerow Data'!$B$3:$B$15,0)),"")</f>
        <v/>
      </c>
    </row>
    <row r="100" spans="2:42" ht="13.8" x14ac:dyDescent="0.25">
      <c r="B100" s="259" t="str">
        <f>'E-1 Off Site Hedge Baseline'!AK98</f>
        <v/>
      </c>
      <c r="C100" s="175" t="str">
        <f>IF(B100="","",IF(ISNA(VLOOKUP($B100,'E-1 Off Site Hedge Baseline'!$B$1:$L$257,3,FALSE)),"",(VLOOKUP($B100,'E-1 Off Site Hedge Baseline'!$B$1:$L$257,3,FALSE))))</f>
        <v/>
      </c>
      <c r="D100" s="175" t="str">
        <f>IF(B100="","",IF(ISNA(VLOOKUP($B100,'E-1 Off Site Hedge Baseline'!$B$1:$L$258,4,FALSE)),"",(VLOOKUP($B100,'E-1 Off Site Hedge Baseline'!$B$1:$L$258,4,FALSE))))</f>
        <v/>
      </c>
      <c r="E100" s="175" t="str">
        <f>IF(B100="","",IF(ISNA(VLOOKUP($B100,'E-1 Off Site Hedge Baseline'!$B$1:$L$257,5,FALSE)),"",(VLOOKUP($B100,'E-1 Off Site Hedge Baseline'!$B$1:$L$257,5,FALSE))))</f>
        <v/>
      </c>
      <c r="F100" s="175" t="str">
        <f>IF(B100="","",IF(ISNA(VLOOKUP($B100,'E-1 Off Site Hedge Baseline'!$B$1:$L$257,6,FALSE)),"",(VLOOKUP($B100,'E-1 Off Site Hedge Baseline'!$B$1:$L$257,6,FALSE))))</f>
        <v/>
      </c>
      <c r="G100" s="175" t="str">
        <f>IF(B100="","",IF(ISNA(VLOOKUP($B100,'E-1 Off Site Hedge Baseline'!$B$1:$L$257,7,FALSE)),"",(VLOOKUP($B100,'E-1 Off Site Hedge Baseline'!$B$1:$L$257,7,FALSE))))</f>
        <v/>
      </c>
      <c r="H100" s="175" t="str">
        <f>IF(B100="","",IF(ISNA(VLOOKUP($B100,'E-1 Off Site Hedge Baseline'!$B$1:$L$257,8,FALSE)),"",(VLOOKUP($B100,'E-1 Off Site Hedge Baseline'!$B$1:$L$257,8,FALSE))))</f>
        <v/>
      </c>
      <c r="I100" s="175" t="str">
        <f>IF(B100="","",IF(ISNA(VLOOKUP($B100,'E-1 Off Site Hedge Baseline'!$B$1:$L$257,10,FALSE)),"",(VLOOKUP($B100,'E-1 Off Site Hedge Baseline'!$B$1:$L$257,10,FALSE))))</f>
        <v/>
      </c>
      <c r="J100" s="175" t="str">
        <f>IF(B100="","",IF(ISNA(VLOOKUP($B100,'E-1 Off Site Hedge Baseline'!$B$1:$L$257,11,FALSE)),"",(VLOOKUP($B100,'E-1 Off Site Hedge Baseline'!$B$1:$L$257,11,FALSE))))</f>
        <v/>
      </c>
      <c r="K100" s="175" t="str">
        <f>IF(B100="","",IF(ISNA(VLOOKUP($B100,'E-1 Off Site Hedge Baseline'!$B$1:$U$257,113,FALSE)),"",(VLOOKUP($B100,'E-1 Off Site Hedge Baseline'!$B$1:$U$257,13,FALSE))))</f>
        <v/>
      </c>
      <c r="L100" s="179" t="str">
        <f>IF(B100="","",IF(ISNA(VLOOKUP($B100,'E-1 Off Site Hedge Baseline'!$B$1:$U$257,12,FALSE)),"",(VLOOKUP($B100,'E-1 Off Site Hedge Baseline'!$B$1:$U$257,12,FALSE))))</f>
        <v/>
      </c>
      <c r="M100" s="639" t="str">
        <f t="shared" si="16"/>
        <v/>
      </c>
      <c r="N100" s="171" t="str">
        <f>IFERROR(IF(B100="","",INDEX('G-6 Hedgerow Data'!$AN$3:$AZ$15,MATCH(C100,'G-6 Hedgerow Data'!$AM$3:$AM$15,0),MATCH(M100,'G-6 Hedgerow Data'!$AN$2:$AZ$2,0))),"")</f>
        <v/>
      </c>
      <c r="O100" s="172" t="str">
        <f t="shared" si="10"/>
        <v/>
      </c>
      <c r="P100" s="260" t="str">
        <f>IF(B100="","",VLOOKUP(B100,'E-1 Off Site Hedge Baseline'!$B$10:T345,16,FALSE))</f>
        <v/>
      </c>
      <c r="Q100" s="171" t="str">
        <f>IF(M100="","",VLOOKUP(M100,'G-6 Hedgerow Data'!$B$2:$AG$15,2,FALSE))</f>
        <v/>
      </c>
      <c r="R100" s="172" t="str">
        <f>IF(M100="","",VLOOKUP(M100,'G-6 Hedgerow Data'!$B$2:$AG$15,3,FALSE))</f>
        <v/>
      </c>
      <c r="S100" s="173"/>
      <c r="T100" s="172" t="str">
        <f>IFERROR(IF(AND(Q100="V.Low",OR(S100="Good",S100="Moderate")),"Error",VLOOKUP(S100,'G-1 All Habitats'!$Z$2:$AA$9,2,FALSE)),"")</f>
        <v/>
      </c>
      <c r="U100" s="173"/>
      <c r="V100" s="179" t="str">
        <f>IF(U100="","",IF(VLOOKUP(U100,'G-3 Multipliers'!$L$3:$N$6,2,FALSE)=0,"Spatial Data Missing",VLOOKUP(U100,'G-3 Multipliers'!$L$3:$N$6,2,FALSE)))</f>
        <v/>
      </c>
      <c r="W100" s="260" t="str">
        <f>IF(U100="","",IF(VLOOKUP(U100,'G-3 Multipliers'!$L$3:$N$6,3,FALSE)=0,"Spatial Data Missing",VLOOKUP(U100,'G-3 Multipliers'!$L$3:$N$6,3,FALSE)))</f>
        <v/>
      </c>
      <c r="X100" s="171" t="str">
        <f>IFERROR(IF(OR(LEFT(O100,5)="Error",LEFT(N100,5)="Error",T100="Error"),"Check Data",IF(F100&lt;R100,INDEX('G-6 Hedgerow Data'!$S$3:$AE$14,MATCH(C100,'G-6 Hedgerow Data'!$B$3:$B$14,0),MATCH(M100,'G-6 Hedgerow Data'!$S$2:$AE$2,0)),INDEX('G-6 Hedgerow Data'!$K$3:$Q$14,MATCH(M100,'G-6 Hedgerow Data'!$B$3:$B$14,0),MATCH(O100,'G-6 Hedgerow Data'!$K$2:$Q$2,0)))),"")</f>
        <v/>
      </c>
      <c r="Y100" s="261"/>
      <c r="Z100" s="261"/>
      <c r="AA100" s="179" t="str">
        <f t="shared" si="11"/>
        <v/>
      </c>
      <c r="AB100" s="262" t="str">
        <f t="shared" si="12"/>
        <v/>
      </c>
      <c r="AC100" s="263" t="str">
        <f t="shared" si="9"/>
        <v/>
      </c>
      <c r="AD100" s="239" t="str">
        <f>IF(M100="","",VLOOKUP(M100,'G-6 Hedgerow Data'!$B$3:$AG$15,31,FALSE))</f>
        <v/>
      </c>
      <c r="AE100" s="175" t="str">
        <f t="shared" si="13"/>
        <v/>
      </c>
      <c r="AF100" s="175" t="str">
        <f t="shared" si="14"/>
        <v/>
      </c>
      <c r="AG100" s="176" t="str">
        <f>IFERROR(IF(O100="","",VLOOKUP(AD100,'G-3 Multipliers'!$P$3:$Q$6,2,FALSE)),"")</f>
        <v/>
      </c>
      <c r="AH100" s="266"/>
      <c r="AI100" s="172" t="str">
        <f>IF(AH100="","",IF(VLOOKUP(AH100,'G-3 Multipliers'!$S$3:$T$6,2,FALSE)=0,"Spatial Data Missing",VLOOKUP(AH100,'G-3 Multipliers'!$S$3:$T$6,2,FALSE)))</f>
        <v/>
      </c>
      <c r="AJ100" s="265" t="str">
        <f t="shared" si="15"/>
        <v/>
      </c>
      <c r="AK100" s="180"/>
      <c r="AL100" s="181"/>
      <c r="AP100" s="35" t="str">
        <f>IFERROR(INDEX('G-6 Hedgerow Data'!$BJ$3:$BJ$15,MATCH(M100,'G-6 Hedgerow Data'!$B$3:$B$15,0)),"")</f>
        <v/>
      </c>
    </row>
    <row r="101" spans="2:42" ht="13.8" x14ac:dyDescent="0.25">
      <c r="B101" s="259" t="str">
        <f>'E-1 Off Site Hedge Baseline'!AK99</f>
        <v/>
      </c>
      <c r="C101" s="175" t="str">
        <f>IF(B101="","",IF(ISNA(VLOOKUP($B101,'E-1 Off Site Hedge Baseline'!$B$1:$L$257,3,FALSE)),"",(VLOOKUP($B101,'E-1 Off Site Hedge Baseline'!$B$1:$L$257,3,FALSE))))</f>
        <v/>
      </c>
      <c r="D101" s="175" t="str">
        <f>IF(B101="","",IF(ISNA(VLOOKUP($B101,'E-1 Off Site Hedge Baseline'!$B$1:$L$258,4,FALSE)),"",(VLOOKUP($B101,'E-1 Off Site Hedge Baseline'!$B$1:$L$258,4,FALSE))))</f>
        <v/>
      </c>
      <c r="E101" s="175" t="str">
        <f>IF(B101="","",IF(ISNA(VLOOKUP($B101,'E-1 Off Site Hedge Baseline'!$B$1:$L$257,5,FALSE)),"",(VLOOKUP($B101,'E-1 Off Site Hedge Baseline'!$B$1:$L$257,5,FALSE))))</f>
        <v/>
      </c>
      <c r="F101" s="175" t="str">
        <f>IF(B101="","",IF(ISNA(VLOOKUP($B101,'E-1 Off Site Hedge Baseline'!$B$1:$L$257,6,FALSE)),"",(VLOOKUP($B101,'E-1 Off Site Hedge Baseline'!$B$1:$L$257,6,FALSE))))</f>
        <v/>
      </c>
      <c r="G101" s="175" t="str">
        <f>IF(B101="","",IF(ISNA(VLOOKUP($B101,'E-1 Off Site Hedge Baseline'!$B$1:$L$257,7,FALSE)),"",(VLOOKUP($B101,'E-1 Off Site Hedge Baseline'!$B$1:$L$257,7,FALSE))))</f>
        <v/>
      </c>
      <c r="H101" s="175" t="str">
        <f>IF(B101="","",IF(ISNA(VLOOKUP($B101,'E-1 Off Site Hedge Baseline'!$B$1:$L$257,8,FALSE)),"",(VLOOKUP($B101,'E-1 Off Site Hedge Baseline'!$B$1:$L$257,8,FALSE))))</f>
        <v/>
      </c>
      <c r="I101" s="175" t="str">
        <f>IF(B101="","",IF(ISNA(VLOOKUP($B101,'E-1 Off Site Hedge Baseline'!$B$1:$L$257,10,FALSE)),"",(VLOOKUP($B101,'E-1 Off Site Hedge Baseline'!$B$1:$L$257,10,FALSE))))</f>
        <v/>
      </c>
      <c r="J101" s="175" t="str">
        <f>IF(B101="","",IF(ISNA(VLOOKUP($B101,'E-1 Off Site Hedge Baseline'!$B$1:$L$257,11,FALSE)),"",(VLOOKUP($B101,'E-1 Off Site Hedge Baseline'!$B$1:$L$257,11,FALSE))))</f>
        <v/>
      </c>
      <c r="K101" s="175" t="str">
        <f>IF(B101="","",IF(ISNA(VLOOKUP($B101,'E-1 Off Site Hedge Baseline'!$B$1:$U$257,113,FALSE)),"",(VLOOKUP($B101,'E-1 Off Site Hedge Baseline'!$B$1:$U$257,13,FALSE))))</f>
        <v/>
      </c>
      <c r="L101" s="179" t="str">
        <f>IF(B101="","",IF(ISNA(VLOOKUP($B101,'E-1 Off Site Hedge Baseline'!$B$1:$U$257,12,FALSE)),"",(VLOOKUP($B101,'E-1 Off Site Hedge Baseline'!$B$1:$U$257,12,FALSE))))</f>
        <v/>
      </c>
      <c r="M101" s="639" t="str">
        <f t="shared" si="16"/>
        <v/>
      </c>
      <c r="N101" s="171" t="str">
        <f>IFERROR(IF(B101="","",INDEX('G-6 Hedgerow Data'!$AN$3:$AZ$15,MATCH(C101,'G-6 Hedgerow Data'!$AM$3:$AM$15,0),MATCH(M101,'G-6 Hedgerow Data'!$AN$2:$AZ$2,0))),"")</f>
        <v/>
      </c>
      <c r="O101" s="172" t="str">
        <f t="shared" si="10"/>
        <v/>
      </c>
      <c r="P101" s="260" t="str">
        <f>IF(B101="","",VLOOKUP(B101,'E-1 Off Site Hedge Baseline'!$B$10:T346,16,FALSE))</f>
        <v/>
      </c>
      <c r="Q101" s="171" t="str">
        <f>IF(M101="","",VLOOKUP(M101,'G-6 Hedgerow Data'!$B$2:$AG$15,2,FALSE))</f>
        <v/>
      </c>
      <c r="R101" s="172" t="str">
        <f>IF(M101="","",VLOOKUP(M101,'G-6 Hedgerow Data'!$B$2:$AG$15,3,FALSE))</f>
        <v/>
      </c>
      <c r="S101" s="173"/>
      <c r="T101" s="172" t="str">
        <f>IFERROR(IF(AND(Q101="V.Low",OR(S101="Good",S101="Moderate")),"Error",VLOOKUP(S101,'G-1 All Habitats'!$Z$2:$AA$9,2,FALSE)),"")</f>
        <v/>
      </c>
      <c r="U101" s="173"/>
      <c r="V101" s="179" t="str">
        <f>IF(U101="","",IF(VLOOKUP(U101,'G-3 Multipliers'!$L$3:$N$6,2,FALSE)=0,"Spatial Data Missing",VLOOKUP(U101,'G-3 Multipliers'!$L$3:$N$6,2,FALSE)))</f>
        <v/>
      </c>
      <c r="W101" s="260" t="str">
        <f>IF(U101="","",IF(VLOOKUP(U101,'G-3 Multipliers'!$L$3:$N$6,3,FALSE)=0,"Spatial Data Missing",VLOOKUP(U101,'G-3 Multipliers'!$L$3:$N$6,3,FALSE)))</f>
        <v/>
      </c>
      <c r="X101" s="171" t="str">
        <f>IFERROR(IF(OR(LEFT(O101,5)="Error",LEFT(N101,5)="Error",T101="Error"),"Check Data",IF(F101&lt;R101,INDEX('G-6 Hedgerow Data'!$S$3:$AE$14,MATCH(C101,'G-6 Hedgerow Data'!$B$3:$B$14,0),MATCH(M101,'G-6 Hedgerow Data'!$S$2:$AE$2,0)),INDEX('G-6 Hedgerow Data'!$K$3:$Q$14,MATCH(M101,'G-6 Hedgerow Data'!$B$3:$B$14,0),MATCH(O101,'G-6 Hedgerow Data'!$K$2:$Q$2,0)))),"")</f>
        <v/>
      </c>
      <c r="Y101" s="261"/>
      <c r="Z101" s="261"/>
      <c r="AA101" s="179" t="str">
        <f t="shared" si="11"/>
        <v/>
      </c>
      <c r="AB101" s="262" t="str">
        <f t="shared" si="12"/>
        <v/>
      </c>
      <c r="AC101" s="263" t="str">
        <f t="shared" si="9"/>
        <v/>
      </c>
      <c r="AD101" s="239" t="str">
        <f>IF(M101="","",VLOOKUP(M101,'G-6 Hedgerow Data'!$B$3:$AG$15,31,FALSE))</f>
        <v/>
      </c>
      <c r="AE101" s="175" t="str">
        <f t="shared" si="13"/>
        <v/>
      </c>
      <c r="AF101" s="175" t="str">
        <f t="shared" si="14"/>
        <v/>
      </c>
      <c r="AG101" s="176" t="str">
        <f>IFERROR(IF(O101="","",VLOOKUP(AD101,'G-3 Multipliers'!$P$3:$Q$6,2,FALSE)),"")</f>
        <v/>
      </c>
      <c r="AH101" s="266"/>
      <c r="AI101" s="172" t="str">
        <f>IF(AH101="","",IF(VLOOKUP(AH101,'G-3 Multipliers'!$S$3:$T$6,2,FALSE)=0,"Spatial Data Missing",VLOOKUP(AH101,'G-3 Multipliers'!$S$3:$T$6,2,FALSE)))</f>
        <v/>
      </c>
      <c r="AJ101" s="265" t="str">
        <f t="shared" si="15"/>
        <v/>
      </c>
      <c r="AK101" s="180"/>
      <c r="AL101" s="181"/>
      <c r="AP101" s="35" t="str">
        <f>IFERROR(INDEX('G-6 Hedgerow Data'!$BJ$3:$BJ$15,MATCH(M101,'G-6 Hedgerow Data'!$B$3:$B$15,0)),"")</f>
        <v/>
      </c>
    </row>
    <row r="102" spans="2:42" ht="13.8" x14ac:dyDescent="0.25">
      <c r="B102" s="259" t="str">
        <f>'E-1 Off Site Hedge Baseline'!AK100</f>
        <v/>
      </c>
      <c r="C102" s="175" t="str">
        <f>IF(B102="","",IF(ISNA(VLOOKUP($B102,'E-1 Off Site Hedge Baseline'!$B$1:$L$257,3,FALSE)),"",(VLOOKUP($B102,'E-1 Off Site Hedge Baseline'!$B$1:$L$257,3,FALSE))))</f>
        <v/>
      </c>
      <c r="D102" s="175" t="str">
        <f>IF(B102="","",IF(ISNA(VLOOKUP($B102,'E-1 Off Site Hedge Baseline'!$B$1:$L$258,4,FALSE)),"",(VLOOKUP($B102,'E-1 Off Site Hedge Baseline'!$B$1:$L$258,4,FALSE))))</f>
        <v/>
      </c>
      <c r="E102" s="175" t="str">
        <f>IF(B102="","",IF(ISNA(VLOOKUP($B102,'E-1 Off Site Hedge Baseline'!$B$1:$L$257,5,FALSE)),"",(VLOOKUP($B102,'E-1 Off Site Hedge Baseline'!$B$1:$L$257,5,FALSE))))</f>
        <v/>
      </c>
      <c r="F102" s="175" t="str">
        <f>IF(B102="","",IF(ISNA(VLOOKUP($B102,'E-1 Off Site Hedge Baseline'!$B$1:$L$257,6,FALSE)),"",(VLOOKUP($B102,'E-1 Off Site Hedge Baseline'!$B$1:$L$257,6,FALSE))))</f>
        <v/>
      </c>
      <c r="G102" s="175" t="str">
        <f>IF(B102="","",IF(ISNA(VLOOKUP($B102,'E-1 Off Site Hedge Baseline'!$B$1:$L$257,7,FALSE)),"",(VLOOKUP($B102,'E-1 Off Site Hedge Baseline'!$B$1:$L$257,7,FALSE))))</f>
        <v/>
      </c>
      <c r="H102" s="175" t="str">
        <f>IF(B102="","",IF(ISNA(VLOOKUP($B102,'E-1 Off Site Hedge Baseline'!$B$1:$L$257,8,FALSE)),"",(VLOOKUP($B102,'E-1 Off Site Hedge Baseline'!$B$1:$L$257,8,FALSE))))</f>
        <v/>
      </c>
      <c r="I102" s="175" t="str">
        <f>IF(B102="","",IF(ISNA(VLOOKUP($B102,'E-1 Off Site Hedge Baseline'!$B$1:$L$257,10,FALSE)),"",(VLOOKUP($B102,'E-1 Off Site Hedge Baseline'!$B$1:$L$257,10,FALSE))))</f>
        <v/>
      </c>
      <c r="J102" s="175" t="str">
        <f>IF(B102="","",IF(ISNA(VLOOKUP($B102,'E-1 Off Site Hedge Baseline'!$B$1:$L$257,11,FALSE)),"",(VLOOKUP($B102,'E-1 Off Site Hedge Baseline'!$B$1:$L$257,11,FALSE))))</f>
        <v/>
      </c>
      <c r="K102" s="175" t="str">
        <f>IF(B102="","",IF(ISNA(VLOOKUP($B102,'E-1 Off Site Hedge Baseline'!$B$1:$U$257,113,FALSE)),"",(VLOOKUP($B102,'E-1 Off Site Hedge Baseline'!$B$1:$U$257,13,FALSE))))</f>
        <v/>
      </c>
      <c r="L102" s="179" t="str">
        <f>IF(B102="","",IF(ISNA(VLOOKUP($B102,'E-1 Off Site Hedge Baseline'!$B$1:$U$257,12,FALSE)),"",(VLOOKUP($B102,'E-1 Off Site Hedge Baseline'!$B$1:$U$257,12,FALSE))))</f>
        <v/>
      </c>
      <c r="M102" s="639" t="str">
        <f t="shared" si="16"/>
        <v/>
      </c>
      <c r="N102" s="171" t="str">
        <f>IFERROR(IF(B102="","",INDEX('G-6 Hedgerow Data'!$AN$3:$AZ$15,MATCH(C102,'G-6 Hedgerow Data'!$AM$3:$AM$15,0),MATCH(M102,'G-6 Hedgerow Data'!$AN$2:$AZ$2,0))),"")</f>
        <v/>
      </c>
      <c r="O102" s="172" t="str">
        <f t="shared" si="10"/>
        <v/>
      </c>
      <c r="P102" s="260" t="str">
        <f>IF(B102="","",VLOOKUP(B102,'E-1 Off Site Hedge Baseline'!$B$10:T347,16,FALSE))</f>
        <v/>
      </c>
      <c r="Q102" s="171" t="str">
        <f>IF(M102="","",VLOOKUP(M102,'G-6 Hedgerow Data'!$B$2:$AG$15,2,FALSE))</f>
        <v/>
      </c>
      <c r="R102" s="172" t="str">
        <f>IF(M102="","",VLOOKUP(M102,'G-6 Hedgerow Data'!$B$2:$AG$15,3,FALSE))</f>
        <v/>
      </c>
      <c r="S102" s="173"/>
      <c r="T102" s="172" t="str">
        <f>IFERROR(IF(AND(Q102="V.Low",OR(S102="Good",S102="Moderate")),"Error",VLOOKUP(S102,'G-1 All Habitats'!$Z$2:$AA$9,2,FALSE)),"")</f>
        <v/>
      </c>
      <c r="U102" s="173"/>
      <c r="V102" s="179" t="str">
        <f>IF(U102="","",IF(VLOOKUP(U102,'G-3 Multipliers'!$L$3:$N$6,2,FALSE)=0,"Spatial Data Missing",VLOOKUP(U102,'G-3 Multipliers'!$L$3:$N$6,2,FALSE)))</f>
        <v/>
      </c>
      <c r="W102" s="260" t="str">
        <f>IF(U102="","",IF(VLOOKUP(U102,'G-3 Multipliers'!$L$3:$N$6,3,FALSE)=0,"Spatial Data Missing",VLOOKUP(U102,'G-3 Multipliers'!$L$3:$N$6,3,FALSE)))</f>
        <v/>
      </c>
      <c r="X102" s="171" t="str">
        <f>IFERROR(IF(OR(LEFT(O102,5)="Error",LEFT(N102,5)="Error",T102="Error"),"Check Data",IF(F102&lt;R102,INDEX('G-6 Hedgerow Data'!$S$3:$AE$14,MATCH(C102,'G-6 Hedgerow Data'!$B$3:$B$14,0),MATCH(M102,'G-6 Hedgerow Data'!$S$2:$AE$2,0)),INDEX('G-6 Hedgerow Data'!$K$3:$Q$14,MATCH(M102,'G-6 Hedgerow Data'!$B$3:$B$14,0),MATCH(O102,'G-6 Hedgerow Data'!$K$2:$Q$2,0)))),"")</f>
        <v/>
      </c>
      <c r="Y102" s="261"/>
      <c r="Z102" s="261"/>
      <c r="AA102" s="179" t="str">
        <f t="shared" si="11"/>
        <v/>
      </c>
      <c r="AB102" s="262" t="str">
        <f t="shared" si="12"/>
        <v/>
      </c>
      <c r="AC102" s="263" t="str">
        <f t="shared" si="9"/>
        <v/>
      </c>
      <c r="AD102" s="239" t="str">
        <f>IF(M102="","",VLOOKUP(M102,'G-6 Hedgerow Data'!$B$3:$AG$15,31,FALSE))</f>
        <v/>
      </c>
      <c r="AE102" s="175" t="str">
        <f t="shared" si="13"/>
        <v/>
      </c>
      <c r="AF102" s="175" t="str">
        <f t="shared" si="14"/>
        <v/>
      </c>
      <c r="AG102" s="176" t="str">
        <f>IFERROR(IF(O102="","",VLOOKUP(AD102,'G-3 Multipliers'!$P$3:$Q$6,2,FALSE)),"")</f>
        <v/>
      </c>
      <c r="AH102" s="266"/>
      <c r="AI102" s="172" t="str">
        <f>IF(AH102="","",IF(VLOOKUP(AH102,'G-3 Multipliers'!$S$3:$T$6,2,FALSE)=0,"Spatial Data Missing",VLOOKUP(AH102,'G-3 Multipliers'!$S$3:$T$6,2,FALSE)))</f>
        <v/>
      </c>
      <c r="AJ102" s="265" t="str">
        <f t="shared" si="15"/>
        <v/>
      </c>
      <c r="AK102" s="180"/>
      <c r="AL102" s="181"/>
      <c r="AP102" s="35" t="str">
        <f>IFERROR(INDEX('G-6 Hedgerow Data'!$BJ$3:$BJ$15,MATCH(M102,'G-6 Hedgerow Data'!$B$3:$B$15,0)),"")</f>
        <v/>
      </c>
    </row>
    <row r="103" spans="2:42" ht="13.8" x14ac:dyDescent="0.25">
      <c r="B103" s="259" t="str">
        <f>'E-1 Off Site Hedge Baseline'!AK101</f>
        <v/>
      </c>
      <c r="C103" s="175" t="str">
        <f>IF(B103="","",IF(ISNA(VLOOKUP($B103,'E-1 Off Site Hedge Baseline'!$B$1:$L$257,3,FALSE)),"",(VLOOKUP($B103,'E-1 Off Site Hedge Baseline'!$B$1:$L$257,3,FALSE))))</f>
        <v/>
      </c>
      <c r="D103" s="175" t="str">
        <f>IF(B103="","",IF(ISNA(VLOOKUP($B103,'E-1 Off Site Hedge Baseline'!$B$1:$L$258,4,FALSE)),"",(VLOOKUP($B103,'E-1 Off Site Hedge Baseline'!$B$1:$L$258,4,FALSE))))</f>
        <v/>
      </c>
      <c r="E103" s="175" t="str">
        <f>IF(B103="","",IF(ISNA(VLOOKUP($B103,'E-1 Off Site Hedge Baseline'!$B$1:$L$257,5,FALSE)),"",(VLOOKUP($B103,'E-1 Off Site Hedge Baseline'!$B$1:$L$257,5,FALSE))))</f>
        <v/>
      </c>
      <c r="F103" s="175" t="str">
        <f>IF(B103="","",IF(ISNA(VLOOKUP($B103,'E-1 Off Site Hedge Baseline'!$B$1:$L$257,6,FALSE)),"",(VLOOKUP($B103,'E-1 Off Site Hedge Baseline'!$B$1:$L$257,6,FALSE))))</f>
        <v/>
      </c>
      <c r="G103" s="175" t="str">
        <f>IF(B103="","",IF(ISNA(VLOOKUP($B103,'E-1 Off Site Hedge Baseline'!$B$1:$L$257,7,FALSE)),"",(VLOOKUP($B103,'E-1 Off Site Hedge Baseline'!$B$1:$L$257,7,FALSE))))</f>
        <v/>
      </c>
      <c r="H103" s="175" t="str">
        <f>IF(B103="","",IF(ISNA(VLOOKUP($B103,'E-1 Off Site Hedge Baseline'!$B$1:$L$257,8,FALSE)),"",(VLOOKUP($B103,'E-1 Off Site Hedge Baseline'!$B$1:$L$257,8,FALSE))))</f>
        <v/>
      </c>
      <c r="I103" s="175" t="str">
        <f>IF(B103="","",IF(ISNA(VLOOKUP($B103,'E-1 Off Site Hedge Baseline'!$B$1:$L$257,10,FALSE)),"",(VLOOKUP($B103,'E-1 Off Site Hedge Baseline'!$B$1:$L$257,10,FALSE))))</f>
        <v/>
      </c>
      <c r="J103" s="175" t="str">
        <f>IF(B103="","",IF(ISNA(VLOOKUP($B103,'E-1 Off Site Hedge Baseline'!$B$1:$L$257,11,FALSE)),"",(VLOOKUP($B103,'E-1 Off Site Hedge Baseline'!$B$1:$L$257,11,FALSE))))</f>
        <v/>
      </c>
      <c r="K103" s="175" t="str">
        <f>IF(B103="","",IF(ISNA(VLOOKUP($B103,'E-1 Off Site Hedge Baseline'!$B$1:$U$257,113,FALSE)),"",(VLOOKUP($B103,'E-1 Off Site Hedge Baseline'!$B$1:$U$257,13,FALSE))))</f>
        <v/>
      </c>
      <c r="L103" s="179" t="str">
        <f>IF(B103="","",IF(ISNA(VLOOKUP($B103,'E-1 Off Site Hedge Baseline'!$B$1:$U$257,12,FALSE)),"",(VLOOKUP($B103,'E-1 Off Site Hedge Baseline'!$B$1:$U$257,12,FALSE))))</f>
        <v/>
      </c>
      <c r="M103" s="639" t="str">
        <f t="shared" si="16"/>
        <v/>
      </c>
      <c r="N103" s="171" t="str">
        <f>IFERROR(IF(B103="","",INDEX('G-6 Hedgerow Data'!$AN$3:$AZ$15,MATCH(C103,'G-6 Hedgerow Data'!$AM$3:$AM$15,0),MATCH(M103,'G-6 Hedgerow Data'!$AN$2:$AZ$2,0))),"")</f>
        <v/>
      </c>
      <c r="O103" s="172" t="str">
        <f t="shared" si="10"/>
        <v/>
      </c>
      <c r="P103" s="260" t="str">
        <f>IF(B103="","",VLOOKUP(B103,'E-1 Off Site Hedge Baseline'!$B$10:T348,16,FALSE))</f>
        <v/>
      </c>
      <c r="Q103" s="171" t="str">
        <f>IF(M103="","",VLOOKUP(M103,'G-6 Hedgerow Data'!$B$2:$AG$15,2,FALSE))</f>
        <v/>
      </c>
      <c r="R103" s="172" t="str">
        <f>IF(M103="","",VLOOKUP(M103,'G-6 Hedgerow Data'!$B$2:$AG$15,3,FALSE))</f>
        <v/>
      </c>
      <c r="S103" s="173"/>
      <c r="T103" s="172" t="str">
        <f>IFERROR(IF(AND(Q103="V.Low",OR(S103="Good",S103="Moderate")),"Error",VLOOKUP(S103,'G-1 All Habitats'!$Z$2:$AA$9,2,FALSE)),"")</f>
        <v/>
      </c>
      <c r="U103" s="173"/>
      <c r="V103" s="179" t="str">
        <f>IF(U103="","",IF(VLOOKUP(U103,'G-3 Multipliers'!$L$3:$N$6,2,FALSE)=0,"Spatial Data Missing",VLOOKUP(U103,'G-3 Multipliers'!$L$3:$N$6,2,FALSE)))</f>
        <v/>
      </c>
      <c r="W103" s="260" t="str">
        <f>IF(U103="","",IF(VLOOKUP(U103,'G-3 Multipliers'!$L$3:$N$6,3,FALSE)=0,"Spatial Data Missing",VLOOKUP(U103,'G-3 Multipliers'!$L$3:$N$6,3,FALSE)))</f>
        <v/>
      </c>
      <c r="X103" s="171" t="str">
        <f>IFERROR(IF(OR(LEFT(O103,5)="Error",LEFT(N103,5)="Error",T103="Error"),"Check Data",IF(F103&lt;R103,INDEX('G-6 Hedgerow Data'!$S$3:$AE$14,MATCH(C103,'G-6 Hedgerow Data'!$B$3:$B$14,0),MATCH(M103,'G-6 Hedgerow Data'!$S$2:$AE$2,0)),INDEX('G-6 Hedgerow Data'!$K$3:$Q$14,MATCH(M103,'G-6 Hedgerow Data'!$B$3:$B$14,0),MATCH(O103,'G-6 Hedgerow Data'!$K$2:$Q$2,0)))),"")</f>
        <v/>
      </c>
      <c r="Y103" s="261"/>
      <c r="Z103" s="261"/>
      <c r="AA103" s="179" t="str">
        <f t="shared" si="11"/>
        <v/>
      </c>
      <c r="AB103" s="262" t="str">
        <f t="shared" si="12"/>
        <v/>
      </c>
      <c r="AC103" s="263" t="str">
        <f t="shared" si="9"/>
        <v/>
      </c>
      <c r="AD103" s="239" t="str">
        <f>IF(M103="","",VLOOKUP(M103,'G-6 Hedgerow Data'!$B$3:$AG$15,31,FALSE))</f>
        <v/>
      </c>
      <c r="AE103" s="175" t="str">
        <f t="shared" si="13"/>
        <v/>
      </c>
      <c r="AF103" s="175" t="str">
        <f t="shared" si="14"/>
        <v/>
      </c>
      <c r="AG103" s="176" t="str">
        <f>IFERROR(IF(O103="","",VLOOKUP(AD103,'G-3 Multipliers'!$P$3:$Q$6,2,FALSE)),"")</f>
        <v/>
      </c>
      <c r="AH103" s="266"/>
      <c r="AI103" s="172" t="str">
        <f>IF(AH103="","",IF(VLOOKUP(AH103,'G-3 Multipliers'!$S$3:$T$6,2,FALSE)=0,"Spatial Data Missing",VLOOKUP(AH103,'G-3 Multipliers'!$S$3:$T$6,2,FALSE)))</f>
        <v/>
      </c>
      <c r="AJ103" s="265" t="str">
        <f t="shared" si="15"/>
        <v/>
      </c>
      <c r="AK103" s="180"/>
      <c r="AL103" s="181"/>
      <c r="AP103" s="35" t="str">
        <f>IFERROR(INDEX('G-6 Hedgerow Data'!$BJ$3:$BJ$15,MATCH(M103,'G-6 Hedgerow Data'!$B$3:$B$15,0)),"")</f>
        <v/>
      </c>
    </row>
    <row r="104" spans="2:42" ht="13.8" x14ac:dyDescent="0.25">
      <c r="B104" s="259" t="str">
        <f>'E-1 Off Site Hedge Baseline'!AK102</f>
        <v/>
      </c>
      <c r="C104" s="175" t="str">
        <f>IF(B104="","",IF(ISNA(VLOOKUP($B104,'E-1 Off Site Hedge Baseline'!$B$1:$L$257,3,FALSE)),"",(VLOOKUP($B104,'E-1 Off Site Hedge Baseline'!$B$1:$L$257,3,FALSE))))</f>
        <v/>
      </c>
      <c r="D104" s="175" t="str">
        <f>IF(B104="","",IF(ISNA(VLOOKUP($B104,'E-1 Off Site Hedge Baseline'!$B$1:$L$258,4,FALSE)),"",(VLOOKUP($B104,'E-1 Off Site Hedge Baseline'!$B$1:$L$258,4,FALSE))))</f>
        <v/>
      </c>
      <c r="E104" s="175" t="str">
        <f>IF(B104="","",IF(ISNA(VLOOKUP($B104,'E-1 Off Site Hedge Baseline'!$B$1:$L$257,5,FALSE)),"",(VLOOKUP($B104,'E-1 Off Site Hedge Baseline'!$B$1:$L$257,5,FALSE))))</f>
        <v/>
      </c>
      <c r="F104" s="175" t="str">
        <f>IF(B104="","",IF(ISNA(VLOOKUP($B104,'E-1 Off Site Hedge Baseline'!$B$1:$L$257,6,FALSE)),"",(VLOOKUP($B104,'E-1 Off Site Hedge Baseline'!$B$1:$L$257,6,FALSE))))</f>
        <v/>
      </c>
      <c r="G104" s="175" t="str">
        <f>IF(B104="","",IF(ISNA(VLOOKUP($B104,'E-1 Off Site Hedge Baseline'!$B$1:$L$257,7,FALSE)),"",(VLOOKUP($B104,'E-1 Off Site Hedge Baseline'!$B$1:$L$257,7,FALSE))))</f>
        <v/>
      </c>
      <c r="H104" s="175" t="str">
        <f>IF(B104="","",IF(ISNA(VLOOKUP($B104,'E-1 Off Site Hedge Baseline'!$B$1:$L$257,8,FALSE)),"",(VLOOKUP($B104,'E-1 Off Site Hedge Baseline'!$B$1:$L$257,8,FALSE))))</f>
        <v/>
      </c>
      <c r="I104" s="175" t="str">
        <f>IF(B104="","",IF(ISNA(VLOOKUP($B104,'E-1 Off Site Hedge Baseline'!$B$1:$L$257,10,FALSE)),"",(VLOOKUP($B104,'E-1 Off Site Hedge Baseline'!$B$1:$L$257,10,FALSE))))</f>
        <v/>
      </c>
      <c r="J104" s="175" t="str">
        <f>IF(B104="","",IF(ISNA(VLOOKUP($B104,'E-1 Off Site Hedge Baseline'!$B$1:$L$257,11,FALSE)),"",(VLOOKUP($B104,'E-1 Off Site Hedge Baseline'!$B$1:$L$257,11,FALSE))))</f>
        <v/>
      </c>
      <c r="K104" s="175" t="str">
        <f>IF(B104="","",IF(ISNA(VLOOKUP($B104,'E-1 Off Site Hedge Baseline'!$B$1:$U$257,113,FALSE)),"",(VLOOKUP($B104,'E-1 Off Site Hedge Baseline'!$B$1:$U$257,13,FALSE))))</f>
        <v/>
      </c>
      <c r="L104" s="179" t="str">
        <f>IF(B104="","",IF(ISNA(VLOOKUP($B104,'E-1 Off Site Hedge Baseline'!$B$1:$U$257,12,FALSE)),"",(VLOOKUP($B104,'E-1 Off Site Hedge Baseline'!$B$1:$U$257,12,FALSE))))</f>
        <v/>
      </c>
      <c r="M104" s="639" t="str">
        <f t="shared" si="16"/>
        <v/>
      </c>
      <c r="N104" s="171" t="str">
        <f>IFERROR(IF(B104="","",INDEX('G-6 Hedgerow Data'!$AN$3:$AZ$15,MATCH(C104,'G-6 Hedgerow Data'!$AM$3:$AM$15,0),MATCH(M104,'G-6 Hedgerow Data'!$AN$2:$AZ$2,0))),"")</f>
        <v/>
      </c>
      <c r="O104" s="172" t="str">
        <f t="shared" si="10"/>
        <v/>
      </c>
      <c r="P104" s="260" t="str">
        <f>IF(B104="","",VLOOKUP(B104,'E-1 Off Site Hedge Baseline'!$B$10:T349,16,FALSE))</f>
        <v/>
      </c>
      <c r="Q104" s="171" t="str">
        <f>IF(M104="","",VLOOKUP(M104,'G-6 Hedgerow Data'!$B$2:$AG$15,2,FALSE))</f>
        <v/>
      </c>
      <c r="R104" s="172" t="str">
        <f>IF(M104="","",VLOOKUP(M104,'G-6 Hedgerow Data'!$B$2:$AG$15,3,FALSE))</f>
        <v/>
      </c>
      <c r="S104" s="173"/>
      <c r="T104" s="172" t="str">
        <f>IFERROR(IF(AND(Q104="V.Low",OR(S104="Good",S104="Moderate")),"Error",VLOOKUP(S104,'G-1 All Habitats'!$Z$2:$AA$9,2,FALSE)),"")</f>
        <v/>
      </c>
      <c r="U104" s="173"/>
      <c r="V104" s="179" t="str">
        <f>IF(U104="","",IF(VLOOKUP(U104,'G-3 Multipliers'!$L$3:$N$6,2,FALSE)=0,"Spatial Data Missing",VLOOKUP(U104,'G-3 Multipliers'!$L$3:$N$6,2,FALSE)))</f>
        <v/>
      </c>
      <c r="W104" s="260" t="str">
        <f>IF(U104="","",IF(VLOOKUP(U104,'G-3 Multipliers'!$L$3:$N$6,3,FALSE)=0,"Spatial Data Missing",VLOOKUP(U104,'G-3 Multipliers'!$L$3:$N$6,3,FALSE)))</f>
        <v/>
      </c>
      <c r="X104" s="171" t="str">
        <f>IFERROR(IF(OR(LEFT(O104,5)="Error",LEFT(N104,5)="Error",T104="Error"),"Check Data",IF(F104&lt;R104,INDEX('G-6 Hedgerow Data'!$S$3:$AE$14,MATCH(C104,'G-6 Hedgerow Data'!$B$3:$B$14,0),MATCH(M104,'G-6 Hedgerow Data'!$S$2:$AE$2,0)),INDEX('G-6 Hedgerow Data'!$K$3:$Q$14,MATCH(M104,'G-6 Hedgerow Data'!$B$3:$B$14,0),MATCH(O104,'G-6 Hedgerow Data'!$K$2:$Q$2,0)))),"")</f>
        <v/>
      </c>
      <c r="Y104" s="261"/>
      <c r="Z104" s="261"/>
      <c r="AA104" s="179" t="str">
        <f t="shared" si="11"/>
        <v/>
      </c>
      <c r="AB104" s="262" t="str">
        <f t="shared" si="12"/>
        <v/>
      </c>
      <c r="AC104" s="263" t="str">
        <f t="shared" si="9"/>
        <v/>
      </c>
      <c r="AD104" s="239" t="str">
        <f>IF(M104="","",VLOOKUP(M104,'G-6 Hedgerow Data'!$B$3:$AG$15,31,FALSE))</f>
        <v/>
      </c>
      <c r="AE104" s="175" t="str">
        <f t="shared" si="13"/>
        <v/>
      </c>
      <c r="AF104" s="175" t="str">
        <f t="shared" si="14"/>
        <v/>
      </c>
      <c r="AG104" s="176" t="str">
        <f>IFERROR(IF(O104="","",VLOOKUP(AD104,'G-3 Multipliers'!$P$3:$Q$6,2,FALSE)),"")</f>
        <v/>
      </c>
      <c r="AH104" s="266"/>
      <c r="AI104" s="172" t="str">
        <f>IF(AH104="","",IF(VLOOKUP(AH104,'G-3 Multipliers'!$S$3:$T$6,2,FALSE)=0,"Spatial Data Missing",VLOOKUP(AH104,'G-3 Multipliers'!$S$3:$T$6,2,FALSE)))</f>
        <v/>
      </c>
      <c r="AJ104" s="265" t="str">
        <f t="shared" si="15"/>
        <v/>
      </c>
      <c r="AK104" s="180"/>
      <c r="AL104" s="181"/>
      <c r="AP104" s="35" t="str">
        <f>IFERROR(INDEX('G-6 Hedgerow Data'!$BJ$3:$BJ$15,MATCH(M104,'G-6 Hedgerow Data'!$B$3:$B$15,0)),"")</f>
        <v/>
      </c>
    </row>
    <row r="105" spans="2:42" ht="13.8" x14ac:dyDescent="0.25">
      <c r="B105" s="259" t="str">
        <f>'E-1 Off Site Hedge Baseline'!AK103</f>
        <v/>
      </c>
      <c r="C105" s="175" t="str">
        <f>IF(B105="","",IF(ISNA(VLOOKUP($B105,'E-1 Off Site Hedge Baseline'!$B$1:$L$257,3,FALSE)),"",(VLOOKUP($B105,'E-1 Off Site Hedge Baseline'!$B$1:$L$257,3,FALSE))))</f>
        <v/>
      </c>
      <c r="D105" s="175" t="str">
        <f>IF(B105="","",IF(ISNA(VLOOKUP($B105,'E-1 Off Site Hedge Baseline'!$B$1:$L$258,4,FALSE)),"",(VLOOKUP($B105,'E-1 Off Site Hedge Baseline'!$B$1:$L$258,4,FALSE))))</f>
        <v/>
      </c>
      <c r="E105" s="175" t="str">
        <f>IF(B105="","",IF(ISNA(VLOOKUP($B105,'E-1 Off Site Hedge Baseline'!$B$1:$L$257,5,FALSE)),"",(VLOOKUP($B105,'E-1 Off Site Hedge Baseline'!$B$1:$L$257,5,FALSE))))</f>
        <v/>
      </c>
      <c r="F105" s="175" t="str">
        <f>IF(B105="","",IF(ISNA(VLOOKUP($B105,'E-1 Off Site Hedge Baseline'!$B$1:$L$257,6,FALSE)),"",(VLOOKUP($B105,'E-1 Off Site Hedge Baseline'!$B$1:$L$257,6,FALSE))))</f>
        <v/>
      </c>
      <c r="G105" s="175" t="str">
        <f>IF(B105="","",IF(ISNA(VLOOKUP($B105,'E-1 Off Site Hedge Baseline'!$B$1:$L$257,7,FALSE)),"",(VLOOKUP($B105,'E-1 Off Site Hedge Baseline'!$B$1:$L$257,7,FALSE))))</f>
        <v/>
      </c>
      <c r="H105" s="175" t="str">
        <f>IF(B105="","",IF(ISNA(VLOOKUP($B105,'E-1 Off Site Hedge Baseline'!$B$1:$L$257,8,FALSE)),"",(VLOOKUP($B105,'E-1 Off Site Hedge Baseline'!$B$1:$L$257,8,FALSE))))</f>
        <v/>
      </c>
      <c r="I105" s="175" t="str">
        <f>IF(B105="","",IF(ISNA(VLOOKUP($B105,'E-1 Off Site Hedge Baseline'!$B$1:$L$257,10,FALSE)),"",(VLOOKUP($B105,'E-1 Off Site Hedge Baseline'!$B$1:$L$257,10,FALSE))))</f>
        <v/>
      </c>
      <c r="J105" s="175" t="str">
        <f>IF(B105="","",IF(ISNA(VLOOKUP($B105,'E-1 Off Site Hedge Baseline'!$B$1:$L$257,11,FALSE)),"",(VLOOKUP($B105,'E-1 Off Site Hedge Baseline'!$B$1:$L$257,11,FALSE))))</f>
        <v/>
      </c>
      <c r="K105" s="175" t="str">
        <f>IF(B105="","",IF(ISNA(VLOOKUP($B105,'E-1 Off Site Hedge Baseline'!$B$1:$U$257,113,FALSE)),"",(VLOOKUP($B105,'E-1 Off Site Hedge Baseline'!$B$1:$U$257,13,FALSE))))</f>
        <v/>
      </c>
      <c r="L105" s="179" t="str">
        <f>IF(B105="","",IF(ISNA(VLOOKUP($B105,'E-1 Off Site Hedge Baseline'!$B$1:$U$257,12,FALSE)),"",(VLOOKUP($B105,'E-1 Off Site Hedge Baseline'!$B$1:$U$257,12,FALSE))))</f>
        <v/>
      </c>
      <c r="M105" s="639" t="str">
        <f t="shared" si="16"/>
        <v/>
      </c>
      <c r="N105" s="171" t="str">
        <f>IFERROR(IF(B105="","",INDEX('G-6 Hedgerow Data'!$AN$3:$AZ$15,MATCH(C105,'G-6 Hedgerow Data'!$AM$3:$AM$15,0),MATCH(M105,'G-6 Hedgerow Data'!$AN$2:$AZ$2,0))),"")</f>
        <v/>
      </c>
      <c r="O105" s="172" t="str">
        <f t="shared" si="10"/>
        <v/>
      </c>
      <c r="P105" s="260" t="str">
        <f>IF(B105="","",VLOOKUP(B105,'E-1 Off Site Hedge Baseline'!$B$10:T350,16,FALSE))</f>
        <v/>
      </c>
      <c r="Q105" s="171" t="str">
        <f>IF(M105="","",VLOOKUP(M105,'G-6 Hedgerow Data'!$B$2:$AG$15,2,FALSE))</f>
        <v/>
      </c>
      <c r="R105" s="172" t="str">
        <f>IF(M105="","",VLOOKUP(M105,'G-6 Hedgerow Data'!$B$2:$AG$15,3,FALSE))</f>
        <v/>
      </c>
      <c r="S105" s="173"/>
      <c r="T105" s="172" t="str">
        <f>IFERROR(IF(AND(Q105="V.Low",OR(S105="Good",S105="Moderate")),"Error",VLOOKUP(S105,'G-1 All Habitats'!$Z$2:$AA$9,2,FALSE)),"")</f>
        <v/>
      </c>
      <c r="U105" s="173"/>
      <c r="V105" s="179" t="str">
        <f>IF(U105="","",IF(VLOOKUP(U105,'G-3 Multipliers'!$L$3:$N$6,2,FALSE)=0,"Spatial Data Missing",VLOOKUP(U105,'G-3 Multipliers'!$L$3:$N$6,2,FALSE)))</f>
        <v/>
      </c>
      <c r="W105" s="260" t="str">
        <f>IF(U105="","",IF(VLOOKUP(U105,'G-3 Multipliers'!$L$3:$N$6,3,FALSE)=0,"Spatial Data Missing",VLOOKUP(U105,'G-3 Multipliers'!$L$3:$N$6,3,FALSE)))</f>
        <v/>
      </c>
      <c r="X105" s="171" t="str">
        <f>IFERROR(IF(OR(LEFT(O105,5)="Error",LEFT(N105,5)="Error",T105="Error"),"Check Data",IF(F105&lt;R105,INDEX('G-6 Hedgerow Data'!$S$3:$AE$14,MATCH(C105,'G-6 Hedgerow Data'!$B$3:$B$14,0),MATCH(M105,'G-6 Hedgerow Data'!$S$2:$AE$2,0)),INDEX('G-6 Hedgerow Data'!$K$3:$Q$14,MATCH(M105,'G-6 Hedgerow Data'!$B$3:$B$14,0),MATCH(O105,'G-6 Hedgerow Data'!$K$2:$Q$2,0)))),"")</f>
        <v/>
      </c>
      <c r="Y105" s="261"/>
      <c r="Z105" s="261"/>
      <c r="AA105" s="179" t="str">
        <f t="shared" si="11"/>
        <v/>
      </c>
      <c r="AB105" s="262" t="str">
        <f t="shared" si="12"/>
        <v/>
      </c>
      <c r="AC105" s="263" t="str">
        <f t="shared" si="9"/>
        <v/>
      </c>
      <c r="AD105" s="239" t="str">
        <f>IF(M105="","",VLOOKUP(M105,'G-6 Hedgerow Data'!$B$3:$AG$15,31,FALSE))</f>
        <v/>
      </c>
      <c r="AE105" s="175" t="str">
        <f t="shared" si="13"/>
        <v/>
      </c>
      <c r="AF105" s="175" t="str">
        <f t="shared" si="14"/>
        <v/>
      </c>
      <c r="AG105" s="176" t="str">
        <f>IFERROR(IF(O105="","",VLOOKUP(AD105,'G-3 Multipliers'!$P$3:$Q$6,2,FALSE)),"")</f>
        <v/>
      </c>
      <c r="AH105" s="266"/>
      <c r="AI105" s="172" t="str">
        <f>IF(AH105="","",IF(VLOOKUP(AH105,'G-3 Multipliers'!$S$3:$T$6,2,FALSE)=0,"Spatial Data Missing",VLOOKUP(AH105,'G-3 Multipliers'!$S$3:$T$6,2,FALSE)))</f>
        <v/>
      </c>
      <c r="AJ105" s="265" t="str">
        <f t="shared" si="15"/>
        <v/>
      </c>
      <c r="AK105" s="180"/>
      <c r="AL105" s="181"/>
      <c r="AP105" s="35" t="str">
        <f>IFERROR(INDEX('G-6 Hedgerow Data'!$BJ$3:$BJ$15,MATCH(M105,'G-6 Hedgerow Data'!$B$3:$B$15,0)),"")</f>
        <v/>
      </c>
    </row>
    <row r="106" spans="2:42" ht="13.8" x14ac:dyDescent="0.25">
      <c r="B106" s="259" t="str">
        <f>'E-1 Off Site Hedge Baseline'!AK104</f>
        <v/>
      </c>
      <c r="C106" s="175" t="str">
        <f>IF(B106="","",IF(ISNA(VLOOKUP($B106,'E-1 Off Site Hedge Baseline'!$B$1:$L$257,3,FALSE)),"",(VLOOKUP($B106,'E-1 Off Site Hedge Baseline'!$B$1:$L$257,3,FALSE))))</f>
        <v/>
      </c>
      <c r="D106" s="175" t="str">
        <f>IF(B106="","",IF(ISNA(VLOOKUP($B106,'E-1 Off Site Hedge Baseline'!$B$1:$L$258,4,FALSE)),"",(VLOOKUP($B106,'E-1 Off Site Hedge Baseline'!$B$1:$L$258,4,FALSE))))</f>
        <v/>
      </c>
      <c r="E106" s="175" t="str">
        <f>IF(B106="","",IF(ISNA(VLOOKUP($B106,'E-1 Off Site Hedge Baseline'!$B$1:$L$257,5,FALSE)),"",(VLOOKUP($B106,'E-1 Off Site Hedge Baseline'!$B$1:$L$257,5,FALSE))))</f>
        <v/>
      </c>
      <c r="F106" s="175" t="str">
        <f>IF(B106="","",IF(ISNA(VLOOKUP($B106,'E-1 Off Site Hedge Baseline'!$B$1:$L$257,6,FALSE)),"",(VLOOKUP($B106,'E-1 Off Site Hedge Baseline'!$B$1:$L$257,6,FALSE))))</f>
        <v/>
      </c>
      <c r="G106" s="175" t="str">
        <f>IF(B106="","",IF(ISNA(VLOOKUP($B106,'E-1 Off Site Hedge Baseline'!$B$1:$L$257,7,FALSE)),"",(VLOOKUP($B106,'E-1 Off Site Hedge Baseline'!$B$1:$L$257,7,FALSE))))</f>
        <v/>
      </c>
      <c r="H106" s="175" t="str">
        <f>IF(B106="","",IF(ISNA(VLOOKUP($B106,'E-1 Off Site Hedge Baseline'!$B$1:$L$257,8,FALSE)),"",(VLOOKUP($B106,'E-1 Off Site Hedge Baseline'!$B$1:$L$257,8,FALSE))))</f>
        <v/>
      </c>
      <c r="I106" s="175" t="str">
        <f>IF(B106="","",IF(ISNA(VLOOKUP($B106,'E-1 Off Site Hedge Baseline'!$B$1:$L$257,10,FALSE)),"",(VLOOKUP($B106,'E-1 Off Site Hedge Baseline'!$B$1:$L$257,10,FALSE))))</f>
        <v/>
      </c>
      <c r="J106" s="175" t="str">
        <f>IF(B106="","",IF(ISNA(VLOOKUP($B106,'E-1 Off Site Hedge Baseline'!$B$1:$L$257,11,FALSE)),"",(VLOOKUP($B106,'E-1 Off Site Hedge Baseline'!$B$1:$L$257,11,FALSE))))</f>
        <v/>
      </c>
      <c r="K106" s="175" t="str">
        <f>IF(B106="","",IF(ISNA(VLOOKUP($B106,'E-1 Off Site Hedge Baseline'!$B$1:$U$257,113,FALSE)),"",(VLOOKUP($B106,'E-1 Off Site Hedge Baseline'!$B$1:$U$257,13,FALSE))))</f>
        <v/>
      </c>
      <c r="L106" s="179" t="str">
        <f>IF(B106="","",IF(ISNA(VLOOKUP($B106,'E-1 Off Site Hedge Baseline'!$B$1:$U$257,12,FALSE)),"",(VLOOKUP($B106,'E-1 Off Site Hedge Baseline'!$B$1:$U$257,12,FALSE))))</f>
        <v/>
      </c>
      <c r="M106" s="639" t="str">
        <f t="shared" si="16"/>
        <v/>
      </c>
      <c r="N106" s="171" t="str">
        <f>IFERROR(IF(B106="","",INDEX('G-6 Hedgerow Data'!$AN$3:$AZ$15,MATCH(C106,'G-6 Hedgerow Data'!$AM$3:$AM$15,0),MATCH(M106,'G-6 Hedgerow Data'!$AN$2:$AZ$2,0))),"")</f>
        <v/>
      </c>
      <c r="O106" s="172" t="str">
        <f t="shared" si="10"/>
        <v/>
      </c>
      <c r="P106" s="260" t="str">
        <f>IF(B106="","",VLOOKUP(B106,'E-1 Off Site Hedge Baseline'!$B$10:T351,16,FALSE))</f>
        <v/>
      </c>
      <c r="Q106" s="171" t="str">
        <f>IF(M106="","",VLOOKUP(M106,'G-6 Hedgerow Data'!$B$2:$AG$15,2,FALSE))</f>
        <v/>
      </c>
      <c r="R106" s="172" t="str">
        <f>IF(M106="","",VLOOKUP(M106,'G-6 Hedgerow Data'!$B$2:$AG$15,3,FALSE))</f>
        <v/>
      </c>
      <c r="S106" s="173"/>
      <c r="T106" s="172" t="str">
        <f>IFERROR(IF(AND(Q106="V.Low",OR(S106="Good",S106="Moderate")),"Error",VLOOKUP(S106,'G-1 All Habitats'!$Z$2:$AA$9,2,FALSE)),"")</f>
        <v/>
      </c>
      <c r="U106" s="173"/>
      <c r="V106" s="179" t="str">
        <f>IF(U106="","",IF(VLOOKUP(U106,'G-3 Multipliers'!$L$3:$N$6,2,FALSE)=0,"Spatial Data Missing",VLOOKUP(U106,'G-3 Multipliers'!$L$3:$N$6,2,FALSE)))</f>
        <v/>
      </c>
      <c r="W106" s="260" t="str">
        <f>IF(U106="","",IF(VLOOKUP(U106,'G-3 Multipliers'!$L$3:$N$6,3,FALSE)=0,"Spatial Data Missing",VLOOKUP(U106,'G-3 Multipliers'!$L$3:$N$6,3,FALSE)))</f>
        <v/>
      </c>
      <c r="X106" s="171" t="str">
        <f>IFERROR(IF(OR(LEFT(O106,5)="Error",LEFT(N106,5)="Error",T106="Error"),"Check Data",IF(F106&lt;R106,INDEX('G-6 Hedgerow Data'!$S$3:$AE$14,MATCH(C106,'G-6 Hedgerow Data'!$B$3:$B$14,0),MATCH(M106,'G-6 Hedgerow Data'!$S$2:$AE$2,0)),INDEX('G-6 Hedgerow Data'!$K$3:$Q$14,MATCH(M106,'G-6 Hedgerow Data'!$B$3:$B$14,0),MATCH(O106,'G-6 Hedgerow Data'!$K$2:$Q$2,0)))),"")</f>
        <v/>
      </c>
      <c r="Y106" s="261"/>
      <c r="Z106" s="261"/>
      <c r="AA106" s="179" t="str">
        <f t="shared" si="11"/>
        <v/>
      </c>
      <c r="AB106" s="262" t="str">
        <f t="shared" si="12"/>
        <v/>
      </c>
      <c r="AC106" s="263" t="str">
        <f t="shared" si="9"/>
        <v/>
      </c>
      <c r="AD106" s="239" t="str">
        <f>IF(M106="","",VLOOKUP(M106,'G-6 Hedgerow Data'!$B$3:$AG$15,31,FALSE))</f>
        <v/>
      </c>
      <c r="AE106" s="175" t="str">
        <f t="shared" si="13"/>
        <v/>
      </c>
      <c r="AF106" s="175" t="str">
        <f t="shared" si="14"/>
        <v/>
      </c>
      <c r="AG106" s="176" t="str">
        <f>IFERROR(IF(O106="","",VLOOKUP(AD106,'G-3 Multipliers'!$P$3:$Q$6,2,FALSE)),"")</f>
        <v/>
      </c>
      <c r="AH106" s="266"/>
      <c r="AI106" s="172" t="str">
        <f>IF(AH106="","",IF(VLOOKUP(AH106,'G-3 Multipliers'!$S$3:$T$6,2,FALSE)=0,"Spatial Data Missing",VLOOKUP(AH106,'G-3 Multipliers'!$S$3:$T$6,2,FALSE)))</f>
        <v/>
      </c>
      <c r="AJ106" s="265" t="str">
        <f t="shared" si="15"/>
        <v/>
      </c>
      <c r="AK106" s="180"/>
      <c r="AL106" s="181"/>
      <c r="AP106" s="35" t="str">
        <f>IFERROR(INDEX('G-6 Hedgerow Data'!$BJ$3:$BJ$15,MATCH(M106,'G-6 Hedgerow Data'!$B$3:$B$15,0)),"")</f>
        <v/>
      </c>
    </row>
    <row r="107" spans="2:42" ht="13.8" x14ac:dyDescent="0.25">
      <c r="B107" s="259" t="str">
        <f>'E-1 Off Site Hedge Baseline'!AK105</f>
        <v/>
      </c>
      <c r="C107" s="175" t="str">
        <f>IF(B107="","",IF(ISNA(VLOOKUP($B107,'E-1 Off Site Hedge Baseline'!$B$1:$L$257,3,FALSE)),"",(VLOOKUP($B107,'E-1 Off Site Hedge Baseline'!$B$1:$L$257,3,FALSE))))</f>
        <v/>
      </c>
      <c r="D107" s="175" t="str">
        <f>IF(B107="","",IF(ISNA(VLOOKUP($B107,'E-1 Off Site Hedge Baseline'!$B$1:$L$258,4,FALSE)),"",(VLOOKUP($B107,'E-1 Off Site Hedge Baseline'!$B$1:$L$258,4,FALSE))))</f>
        <v/>
      </c>
      <c r="E107" s="175" t="str">
        <f>IF(B107="","",IF(ISNA(VLOOKUP($B107,'E-1 Off Site Hedge Baseline'!$B$1:$L$257,5,FALSE)),"",(VLOOKUP($B107,'E-1 Off Site Hedge Baseline'!$B$1:$L$257,5,FALSE))))</f>
        <v/>
      </c>
      <c r="F107" s="175" t="str">
        <f>IF(B107="","",IF(ISNA(VLOOKUP($B107,'E-1 Off Site Hedge Baseline'!$B$1:$L$257,6,FALSE)),"",(VLOOKUP($B107,'E-1 Off Site Hedge Baseline'!$B$1:$L$257,6,FALSE))))</f>
        <v/>
      </c>
      <c r="G107" s="175" t="str">
        <f>IF(B107="","",IF(ISNA(VLOOKUP($B107,'E-1 Off Site Hedge Baseline'!$B$1:$L$257,7,FALSE)),"",(VLOOKUP($B107,'E-1 Off Site Hedge Baseline'!$B$1:$L$257,7,FALSE))))</f>
        <v/>
      </c>
      <c r="H107" s="175" t="str">
        <f>IF(B107="","",IF(ISNA(VLOOKUP($B107,'E-1 Off Site Hedge Baseline'!$B$1:$L$257,8,FALSE)),"",(VLOOKUP($B107,'E-1 Off Site Hedge Baseline'!$B$1:$L$257,8,FALSE))))</f>
        <v/>
      </c>
      <c r="I107" s="175" t="str">
        <f>IF(B107="","",IF(ISNA(VLOOKUP($B107,'E-1 Off Site Hedge Baseline'!$B$1:$L$257,10,FALSE)),"",(VLOOKUP($B107,'E-1 Off Site Hedge Baseline'!$B$1:$L$257,10,FALSE))))</f>
        <v/>
      </c>
      <c r="J107" s="175" t="str">
        <f>IF(B107="","",IF(ISNA(VLOOKUP($B107,'E-1 Off Site Hedge Baseline'!$B$1:$L$257,11,FALSE)),"",(VLOOKUP($B107,'E-1 Off Site Hedge Baseline'!$B$1:$L$257,11,FALSE))))</f>
        <v/>
      </c>
      <c r="K107" s="175" t="str">
        <f>IF(B107="","",IF(ISNA(VLOOKUP($B107,'E-1 Off Site Hedge Baseline'!$B$1:$U$257,113,FALSE)),"",(VLOOKUP($B107,'E-1 Off Site Hedge Baseline'!$B$1:$U$257,13,FALSE))))</f>
        <v/>
      </c>
      <c r="L107" s="179" t="str">
        <f>IF(B107="","",IF(ISNA(VLOOKUP($B107,'E-1 Off Site Hedge Baseline'!$B$1:$U$257,12,FALSE)),"",(VLOOKUP($B107,'E-1 Off Site Hedge Baseline'!$B$1:$U$257,12,FALSE))))</f>
        <v/>
      </c>
      <c r="M107" s="639" t="str">
        <f t="shared" si="16"/>
        <v/>
      </c>
      <c r="N107" s="171" t="str">
        <f>IFERROR(IF(B107="","",INDEX('G-6 Hedgerow Data'!$AN$3:$AZ$15,MATCH(C107,'G-6 Hedgerow Data'!$AM$3:$AM$15,0),MATCH(M107,'G-6 Hedgerow Data'!$AN$2:$AZ$2,0))),"")</f>
        <v/>
      </c>
      <c r="O107" s="172" t="str">
        <f t="shared" si="10"/>
        <v/>
      </c>
      <c r="P107" s="260" t="str">
        <f>IF(B107="","",VLOOKUP(B107,'E-1 Off Site Hedge Baseline'!$B$10:T352,16,FALSE))</f>
        <v/>
      </c>
      <c r="Q107" s="171" t="str">
        <f>IF(M107="","",VLOOKUP(M107,'G-6 Hedgerow Data'!$B$2:$AG$15,2,FALSE))</f>
        <v/>
      </c>
      <c r="R107" s="172" t="str">
        <f>IF(M107="","",VLOOKUP(M107,'G-6 Hedgerow Data'!$B$2:$AG$15,3,FALSE))</f>
        <v/>
      </c>
      <c r="S107" s="173"/>
      <c r="T107" s="172" t="str">
        <f>IFERROR(IF(AND(Q107="V.Low",OR(S107="Good",S107="Moderate")),"Error",VLOOKUP(S107,'G-1 All Habitats'!$Z$2:$AA$9,2,FALSE)),"")</f>
        <v/>
      </c>
      <c r="U107" s="173"/>
      <c r="V107" s="179" t="str">
        <f>IF(U107="","",IF(VLOOKUP(U107,'G-3 Multipliers'!$L$3:$N$6,2,FALSE)=0,"Spatial Data Missing",VLOOKUP(U107,'G-3 Multipliers'!$L$3:$N$6,2,FALSE)))</f>
        <v/>
      </c>
      <c r="W107" s="260" t="str">
        <f>IF(U107="","",IF(VLOOKUP(U107,'G-3 Multipliers'!$L$3:$N$6,3,FALSE)=0,"Spatial Data Missing",VLOOKUP(U107,'G-3 Multipliers'!$L$3:$N$6,3,FALSE)))</f>
        <v/>
      </c>
      <c r="X107" s="171" t="str">
        <f>IFERROR(IF(OR(LEFT(O107,5)="Error",LEFT(N107,5)="Error",T107="Error"),"Check Data",IF(F107&lt;R107,INDEX('G-6 Hedgerow Data'!$S$3:$AE$14,MATCH(C107,'G-6 Hedgerow Data'!$B$3:$B$14,0),MATCH(M107,'G-6 Hedgerow Data'!$S$2:$AE$2,0)),INDEX('G-6 Hedgerow Data'!$K$3:$Q$14,MATCH(M107,'G-6 Hedgerow Data'!$B$3:$B$14,0),MATCH(O107,'G-6 Hedgerow Data'!$K$2:$Q$2,0)))),"")</f>
        <v/>
      </c>
      <c r="Y107" s="261"/>
      <c r="Z107" s="261"/>
      <c r="AA107" s="179" t="str">
        <f t="shared" si="11"/>
        <v/>
      </c>
      <c r="AB107" s="262" t="str">
        <f t="shared" si="12"/>
        <v/>
      </c>
      <c r="AC107" s="263" t="str">
        <f t="shared" si="9"/>
        <v/>
      </c>
      <c r="AD107" s="239" t="str">
        <f>IF(M107="","",VLOOKUP(M107,'G-6 Hedgerow Data'!$B$3:$AG$15,31,FALSE))</f>
        <v/>
      </c>
      <c r="AE107" s="175" t="str">
        <f t="shared" si="13"/>
        <v/>
      </c>
      <c r="AF107" s="175" t="str">
        <f t="shared" si="14"/>
        <v/>
      </c>
      <c r="AG107" s="176" t="str">
        <f>IFERROR(IF(O107="","",VLOOKUP(AD107,'G-3 Multipliers'!$P$3:$Q$6,2,FALSE)),"")</f>
        <v/>
      </c>
      <c r="AH107" s="266"/>
      <c r="AI107" s="172" t="str">
        <f>IF(AH107="","",IF(VLOOKUP(AH107,'G-3 Multipliers'!$S$3:$T$6,2,FALSE)=0,"Spatial Data Missing",VLOOKUP(AH107,'G-3 Multipliers'!$S$3:$T$6,2,FALSE)))</f>
        <v/>
      </c>
      <c r="AJ107" s="265" t="str">
        <f t="shared" si="15"/>
        <v/>
      </c>
      <c r="AK107" s="180"/>
      <c r="AL107" s="181"/>
      <c r="AP107" s="35" t="str">
        <f>IFERROR(INDEX('G-6 Hedgerow Data'!$BJ$3:$BJ$15,MATCH(M107,'G-6 Hedgerow Data'!$B$3:$B$15,0)),"")</f>
        <v/>
      </c>
    </row>
    <row r="108" spans="2:42" ht="13.8" x14ac:dyDescent="0.25">
      <c r="B108" s="259" t="str">
        <f>'E-1 Off Site Hedge Baseline'!AK106</f>
        <v/>
      </c>
      <c r="C108" s="175" t="str">
        <f>IF(B108="","",IF(ISNA(VLOOKUP($B108,'E-1 Off Site Hedge Baseline'!$B$1:$L$257,3,FALSE)),"",(VLOOKUP($B108,'E-1 Off Site Hedge Baseline'!$B$1:$L$257,3,FALSE))))</f>
        <v/>
      </c>
      <c r="D108" s="175" t="str">
        <f>IF(B108="","",IF(ISNA(VLOOKUP($B108,'E-1 Off Site Hedge Baseline'!$B$1:$L$258,4,FALSE)),"",(VLOOKUP($B108,'E-1 Off Site Hedge Baseline'!$B$1:$L$258,4,FALSE))))</f>
        <v/>
      </c>
      <c r="E108" s="175" t="str">
        <f>IF(B108="","",IF(ISNA(VLOOKUP($B108,'E-1 Off Site Hedge Baseline'!$B$1:$L$257,5,FALSE)),"",(VLOOKUP($B108,'E-1 Off Site Hedge Baseline'!$B$1:$L$257,5,FALSE))))</f>
        <v/>
      </c>
      <c r="F108" s="175" t="str">
        <f>IF(B108="","",IF(ISNA(VLOOKUP($B108,'E-1 Off Site Hedge Baseline'!$B$1:$L$257,6,FALSE)),"",(VLOOKUP($B108,'E-1 Off Site Hedge Baseline'!$B$1:$L$257,6,FALSE))))</f>
        <v/>
      </c>
      <c r="G108" s="175" t="str">
        <f>IF(B108="","",IF(ISNA(VLOOKUP($B108,'E-1 Off Site Hedge Baseline'!$B$1:$L$257,7,FALSE)),"",(VLOOKUP($B108,'E-1 Off Site Hedge Baseline'!$B$1:$L$257,7,FALSE))))</f>
        <v/>
      </c>
      <c r="H108" s="175" t="str">
        <f>IF(B108="","",IF(ISNA(VLOOKUP($B108,'E-1 Off Site Hedge Baseline'!$B$1:$L$257,8,FALSE)),"",(VLOOKUP($B108,'E-1 Off Site Hedge Baseline'!$B$1:$L$257,8,FALSE))))</f>
        <v/>
      </c>
      <c r="I108" s="175" t="str">
        <f>IF(B108="","",IF(ISNA(VLOOKUP($B108,'E-1 Off Site Hedge Baseline'!$B$1:$L$257,10,FALSE)),"",(VLOOKUP($B108,'E-1 Off Site Hedge Baseline'!$B$1:$L$257,10,FALSE))))</f>
        <v/>
      </c>
      <c r="J108" s="175" t="str">
        <f>IF(B108="","",IF(ISNA(VLOOKUP($B108,'E-1 Off Site Hedge Baseline'!$B$1:$L$257,11,FALSE)),"",(VLOOKUP($B108,'E-1 Off Site Hedge Baseline'!$B$1:$L$257,11,FALSE))))</f>
        <v/>
      </c>
      <c r="K108" s="175" t="str">
        <f>IF(B108="","",IF(ISNA(VLOOKUP($B108,'E-1 Off Site Hedge Baseline'!$B$1:$U$257,113,FALSE)),"",(VLOOKUP($B108,'E-1 Off Site Hedge Baseline'!$B$1:$U$257,13,FALSE))))</f>
        <v/>
      </c>
      <c r="L108" s="179" t="str">
        <f>IF(B108="","",IF(ISNA(VLOOKUP($B108,'E-1 Off Site Hedge Baseline'!$B$1:$U$257,12,FALSE)),"",(VLOOKUP($B108,'E-1 Off Site Hedge Baseline'!$B$1:$U$257,12,FALSE))))</f>
        <v/>
      </c>
      <c r="M108" s="639" t="str">
        <f t="shared" si="16"/>
        <v/>
      </c>
      <c r="N108" s="171" t="str">
        <f>IFERROR(IF(B108="","",INDEX('G-6 Hedgerow Data'!$AN$3:$AZ$15,MATCH(C108,'G-6 Hedgerow Data'!$AM$3:$AM$15,0),MATCH(M108,'G-6 Hedgerow Data'!$AN$2:$AZ$2,0))),"")</f>
        <v/>
      </c>
      <c r="O108" s="172" t="str">
        <f t="shared" si="10"/>
        <v/>
      </c>
      <c r="P108" s="260" t="str">
        <f>IF(B108="","",VLOOKUP(B108,'E-1 Off Site Hedge Baseline'!$B$10:T353,16,FALSE))</f>
        <v/>
      </c>
      <c r="Q108" s="171" t="str">
        <f>IF(M108="","",VLOOKUP(M108,'G-6 Hedgerow Data'!$B$2:$AG$15,2,FALSE))</f>
        <v/>
      </c>
      <c r="R108" s="172" t="str">
        <f>IF(M108="","",VLOOKUP(M108,'G-6 Hedgerow Data'!$B$2:$AG$15,3,FALSE))</f>
        <v/>
      </c>
      <c r="S108" s="173"/>
      <c r="T108" s="172" t="str">
        <f>IFERROR(IF(AND(Q108="V.Low",OR(S108="Good",S108="Moderate")),"Error",VLOOKUP(S108,'G-1 All Habitats'!$Z$2:$AA$9,2,FALSE)),"")</f>
        <v/>
      </c>
      <c r="U108" s="173"/>
      <c r="V108" s="179" t="str">
        <f>IF(U108="","",IF(VLOOKUP(U108,'G-3 Multipliers'!$L$3:$N$6,2,FALSE)=0,"Spatial Data Missing",VLOOKUP(U108,'G-3 Multipliers'!$L$3:$N$6,2,FALSE)))</f>
        <v/>
      </c>
      <c r="W108" s="260" t="str">
        <f>IF(U108="","",IF(VLOOKUP(U108,'G-3 Multipliers'!$L$3:$N$6,3,FALSE)=0,"Spatial Data Missing",VLOOKUP(U108,'G-3 Multipliers'!$L$3:$N$6,3,FALSE)))</f>
        <v/>
      </c>
      <c r="X108" s="171" t="str">
        <f>IFERROR(IF(OR(LEFT(O108,5)="Error",LEFT(N108,5)="Error",T108="Error"),"Check Data",IF(F108&lt;R108,INDEX('G-6 Hedgerow Data'!$S$3:$AE$14,MATCH(C108,'G-6 Hedgerow Data'!$B$3:$B$14,0),MATCH(M108,'G-6 Hedgerow Data'!$S$2:$AE$2,0)),INDEX('G-6 Hedgerow Data'!$K$3:$Q$14,MATCH(M108,'G-6 Hedgerow Data'!$B$3:$B$14,0),MATCH(O108,'G-6 Hedgerow Data'!$K$2:$Q$2,0)))),"")</f>
        <v/>
      </c>
      <c r="Y108" s="261"/>
      <c r="Z108" s="261"/>
      <c r="AA108" s="179" t="str">
        <f t="shared" si="11"/>
        <v/>
      </c>
      <c r="AB108" s="262" t="str">
        <f t="shared" si="12"/>
        <v/>
      </c>
      <c r="AC108" s="263" t="str">
        <f t="shared" si="9"/>
        <v/>
      </c>
      <c r="AD108" s="239" t="str">
        <f>IF(M108="","",VLOOKUP(M108,'G-6 Hedgerow Data'!$B$3:$AG$15,31,FALSE))</f>
        <v/>
      </c>
      <c r="AE108" s="175" t="str">
        <f t="shared" si="13"/>
        <v/>
      </c>
      <c r="AF108" s="175" t="str">
        <f t="shared" si="14"/>
        <v/>
      </c>
      <c r="AG108" s="176" t="str">
        <f>IFERROR(IF(O108="","",VLOOKUP(AD108,'G-3 Multipliers'!$P$3:$Q$6,2,FALSE)),"")</f>
        <v/>
      </c>
      <c r="AH108" s="266"/>
      <c r="AI108" s="172" t="str">
        <f>IF(AH108="","",IF(VLOOKUP(AH108,'G-3 Multipliers'!$S$3:$T$6,2,FALSE)=0,"Spatial Data Missing",VLOOKUP(AH108,'G-3 Multipliers'!$S$3:$T$6,2,FALSE)))</f>
        <v/>
      </c>
      <c r="AJ108" s="265" t="str">
        <f t="shared" si="15"/>
        <v/>
      </c>
      <c r="AK108" s="180"/>
      <c r="AL108" s="181"/>
      <c r="AP108" s="35" t="str">
        <f>IFERROR(INDEX('G-6 Hedgerow Data'!$BJ$3:$BJ$15,MATCH(M108,'G-6 Hedgerow Data'!$B$3:$B$15,0)),"")</f>
        <v/>
      </c>
    </row>
    <row r="109" spans="2:42" ht="13.8" x14ac:dyDescent="0.25">
      <c r="B109" s="259" t="str">
        <f>'E-1 Off Site Hedge Baseline'!AK107</f>
        <v/>
      </c>
      <c r="C109" s="175" t="str">
        <f>IF(B109="","",IF(ISNA(VLOOKUP($B109,'E-1 Off Site Hedge Baseline'!$B$1:$L$257,3,FALSE)),"",(VLOOKUP($B109,'E-1 Off Site Hedge Baseline'!$B$1:$L$257,3,FALSE))))</f>
        <v/>
      </c>
      <c r="D109" s="175" t="str">
        <f>IF(B109="","",IF(ISNA(VLOOKUP($B109,'E-1 Off Site Hedge Baseline'!$B$1:$L$258,4,FALSE)),"",(VLOOKUP($B109,'E-1 Off Site Hedge Baseline'!$B$1:$L$258,4,FALSE))))</f>
        <v/>
      </c>
      <c r="E109" s="175" t="str">
        <f>IF(B109="","",IF(ISNA(VLOOKUP($B109,'E-1 Off Site Hedge Baseline'!$B$1:$L$257,5,FALSE)),"",(VLOOKUP($B109,'E-1 Off Site Hedge Baseline'!$B$1:$L$257,5,FALSE))))</f>
        <v/>
      </c>
      <c r="F109" s="175" t="str">
        <f>IF(B109="","",IF(ISNA(VLOOKUP($B109,'E-1 Off Site Hedge Baseline'!$B$1:$L$257,6,FALSE)),"",(VLOOKUP($B109,'E-1 Off Site Hedge Baseline'!$B$1:$L$257,6,FALSE))))</f>
        <v/>
      </c>
      <c r="G109" s="175" t="str">
        <f>IF(B109="","",IF(ISNA(VLOOKUP($B109,'E-1 Off Site Hedge Baseline'!$B$1:$L$257,7,FALSE)),"",(VLOOKUP($B109,'E-1 Off Site Hedge Baseline'!$B$1:$L$257,7,FALSE))))</f>
        <v/>
      </c>
      <c r="H109" s="175" t="str">
        <f>IF(B109="","",IF(ISNA(VLOOKUP($B109,'E-1 Off Site Hedge Baseline'!$B$1:$L$257,8,FALSE)),"",(VLOOKUP($B109,'E-1 Off Site Hedge Baseline'!$B$1:$L$257,8,FALSE))))</f>
        <v/>
      </c>
      <c r="I109" s="175" t="str">
        <f>IF(B109="","",IF(ISNA(VLOOKUP($B109,'E-1 Off Site Hedge Baseline'!$B$1:$L$257,10,FALSE)),"",(VLOOKUP($B109,'E-1 Off Site Hedge Baseline'!$B$1:$L$257,10,FALSE))))</f>
        <v/>
      </c>
      <c r="J109" s="175" t="str">
        <f>IF(B109="","",IF(ISNA(VLOOKUP($B109,'E-1 Off Site Hedge Baseline'!$B$1:$L$257,11,FALSE)),"",(VLOOKUP($B109,'E-1 Off Site Hedge Baseline'!$B$1:$L$257,11,FALSE))))</f>
        <v/>
      </c>
      <c r="K109" s="175" t="str">
        <f>IF(B109="","",IF(ISNA(VLOOKUP($B109,'E-1 Off Site Hedge Baseline'!$B$1:$U$257,113,FALSE)),"",(VLOOKUP($B109,'E-1 Off Site Hedge Baseline'!$B$1:$U$257,13,FALSE))))</f>
        <v/>
      </c>
      <c r="L109" s="179" t="str">
        <f>IF(B109="","",IF(ISNA(VLOOKUP($B109,'E-1 Off Site Hedge Baseline'!$B$1:$U$257,12,FALSE)),"",(VLOOKUP($B109,'E-1 Off Site Hedge Baseline'!$B$1:$U$257,12,FALSE))))</f>
        <v/>
      </c>
      <c r="M109" s="639" t="str">
        <f t="shared" si="16"/>
        <v/>
      </c>
      <c r="N109" s="171" t="str">
        <f>IFERROR(IF(B109="","",INDEX('G-6 Hedgerow Data'!$AN$3:$AZ$15,MATCH(C109,'G-6 Hedgerow Data'!$AM$3:$AM$15,0),MATCH(M109,'G-6 Hedgerow Data'!$AN$2:$AZ$2,0))),"")</f>
        <v/>
      </c>
      <c r="O109" s="172" t="str">
        <f t="shared" si="10"/>
        <v/>
      </c>
      <c r="P109" s="260" t="str">
        <f>IF(B109="","",VLOOKUP(B109,'E-1 Off Site Hedge Baseline'!$B$10:T354,16,FALSE))</f>
        <v/>
      </c>
      <c r="Q109" s="171" t="str">
        <f>IF(M109="","",VLOOKUP(M109,'G-6 Hedgerow Data'!$B$2:$AG$15,2,FALSE))</f>
        <v/>
      </c>
      <c r="R109" s="172" t="str">
        <f>IF(M109="","",VLOOKUP(M109,'G-6 Hedgerow Data'!$B$2:$AG$15,3,FALSE))</f>
        <v/>
      </c>
      <c r="S109" s="173"/>
      <c r="T109" s="172" t="str">
        <f>IFERROR(IF(AND(Q109="V.Low",OR(S109="Good",S109="Moderate")),"Error",VLOOKUP(S109,'G-1 All Habitats'!$Z$2:$AA$9,2,FALSE)),"")</f>
        <v/>
      </c>
      <c r="U109" s="173"/>
      <c r="V109" s="179" t="str">
        <f>IF(U109="","",IF(VLOOKUP(U109,'G-3 Multipliers'!$L$3:$N$6,2,FALSE)=0,"Spatial Data Missing",VLOOKUP(U109,'G-3 Multipliers'!$L$3:$N$6,2,FALSE)))</f>
        <v/>
      </c>
      <c r="W109" s="260" t="str">
        <f>IF(U109="","",IF(VLOOKUP(U109,'G-3 Multipliers'!$L$3:$N$6,3,FALSE)=0,"Spatial Data Missing",VLOOKUP(U109,'G-3 Multipliers'!$L$3:$N$6,3,FALSE)))</f>
        <v/>
      </c>
      <c r="X109" s="171" t="str">
        <f>IFERROR(IF(OR(LEFT(O109,5)="Error",LEFT(N109,5)="Error",T109="Error"),"Check Data",IF(F109&lt;R109,INDEX('G-6 Hedgerow Data'!$S$3:$AE$14,MATCH(C109,'G-6 Hedgerow Data'!$B$3:$B$14,0),MATCH(M109,'G-6 Hedgerow Data'!$S$2:$AE$2,0)),INDEX('G-6 Hedgerow Data'!$K$3:$Q$14,MATCH(M109,'G-6 Hedgerow Data'!$B$3:$B$14,0),MATCH(O109,'G-6 Hedgerow Data'!$K$2:$Q$2,0)))),"")</f>
        <v/>
      </c>
      <c r="Y109" s="261"/>
      <c r="Z109" s="261"/>
      <c r="AA109" s="179" t="str">
        <f t="shared" si="11"/>
        <v/>
      </c>
      <c r="AB109" s="262" t="str">
        <f t="shared" si="12"/>
        <v/>
      </c>
      <c r="AC109" s="263" t="str">
        <f t="shared" si="9"/>
        <v/>
      </c>
      <c r="AD109" s="239" t="str">
        <f>IF(M109="","",VLOOKUP(M109,'G-6 Hedgerow Data'!$B$3:$AG$15,31,FALSE))</f>
        <v/>
      </c>
      <c r="AE109" s="175" t="str">
        <f t="shared" si="13"/>
        <v/>
      </c>
      <c r="AF109" s="175" t="str">
        <f t="shared" si="14"/>
        <v/>
      </c>
      <c r="AG109" s="176" t="str">
        <f>IFERROR(IF(O109="","",VLOOKUP(AD109,'G-3 Multipliers'!$P$3:$Q$6,2,FALSE)),"")</f>
        <v/>
      </c>
      <c r="AH109" s="266"/>
      <c r="AI109" s="172" t="str">
        <f>IF(AH109="","",IF(VLOOKUP(AH109,'G-3 Multipliers'!$S$3:$T$6,2,FALSE)=0,"Spatial Data Missing",VLOOKUP(AH109,'G-3 Multipliers'!$S$3:$T$6,2,FALSE)))</f>
        <v/>
      </c>
      <c r="AJ109" s="265" t="str">
        <f t="shared" si="15"/>
        <v/>
      </c>
      <c r="AK109" s="180"/>
      <c r="AL109" s="181"/>
      <c r="AP109" s="35" t="str">
        <f>IFERROR(INDEX('G-6 Hedgerow Data'!$BJ$3:$BJ$15,MATCH(M109,'G-6 Hedgerow Data'!$B$3:$B$15,0)),"")</f>
        <v/>
      </c>
    </row>
    <row r="110" spans="2:42" ht="13.8" x14ac:dyDescent="0.25">
      <c r="B110" s="259" t="str">
        <f>'E-1 Off Site Hedge Baseline'!AK108</f>
        <v/>
      </c>
      <c r="C110" s="175" t="str">
        <f>IF(B110="","",IF(ISNA(VLOOKUP($B110,'E-1 Off Site Hedge Baseline'!$B$1:$L$257,3,FALSE)),"",(VLOOKUP($B110,'E-1 Off Site Hedge Baseline'!$B$1:$L$257,3,FALSE))))</f>
        <v/>
      </c>
      <c r="D110" s="175" t="str">
        <f>IF(B110="","",IF(ISNA(VLOOKUP($B110,'E-1 Off Site Hedge Baseline'!$B$1:$L$258,4,FALSE)),"",(VLOOKUP($B110,'E-1 Off Site Hedge Baseline'!$B$1:$L$258,4,FALSE))))</f>
        <v/>
      </c>
      <c r="E110" s="175" t="str">
        <f>IF(B110="","",IF(ISNA(VLOOKUP($B110,'E-1 Off Site Hedge Baseline'!$B$1:$L$257,5,FALSE)),"",(VLOOKUP($B110,'E-1 Off Site Hedge Baseline'!$B$1:$L$257,5,FALSE))))</f>
        <v/>
      </c>
      <c r="F110" s="175" t="str">
        <f>IF(B110="","",IF(ISNA(VLOOKUP($B110,'E-1 Off Site Hedge Baseline'!$B$1:$L$257,6,FALSE)),"",(VLOOKUP($B110,'E-1 Off Site Hedge Baseline'!$B$1:$L$257,6,FALSE))))</f>
        <v/>
      </c>
      <c r="G110" s="175" t="str">
        <f>IF(B110="","",IF(ISNA(VLOOKUP($B110,'E-1 Off Site Hedge Baseline'!$B$1:$L$257,7,FALSE)),"",(VLOOKUP($B110,'E-1 Off Site Hedge Baseline'!$B$1:$L$257,7,FALSE))))</f>
        <v/>
      </c>
      <c r="H110" s="175" t="str">
        <f>IF(B110="","",IF(ISNA(VLOOKUP($B110,'E-1 Off Site Hedge Baseline'!$B$1:$L$257,8,FALSE)),"",(VLOOKUP($B110,'E-1 Off Site Hedge Baseline'!$B$1:$L$257,8,FALSE))))</f>
        <v/>
      </c>
      <c r="I110" s="175" t="str">
        <f>IF(B110="","",IF(ISNA(VLOOKUP($B110,'E-1 Off Site Hedge Baseline'!$B$1:$L$257,10,FALSE)),"",(VLOOKUP($B110,'E-1 Off Site Hedge Baseline'!$B$1:$L$257,10,FALSE))))</f>
        <v/>
      </c>
      <c r="J110" s="175" t="str">
        <f>IF(B110="","",IF(ISNA(VLOOKUP($B110,'E-1 Off Site Hedge Baseline'!$B$1:$L$257,11,FALSE)),"",(VLOOKUP($B110,'E-1 Off Site Hedge Baseline'!$B$1:$L$257,11,FALSE))))</f>
        <v/>
      </c>
      <c r="K110" s="175" t="str">
        <f>IF(B110="","",IF(ISNA(VLOOKUP($B110,'E-1 Off Site Hedge Baseline'!$B$1:$U$257,113,FALSE)),"",(VLOOKUP($B110,'E-1 Off Site Hedge Baseline'!$B$1:$U$257,13,FALSE))))</f>
        <v/>
      </c>
      <c r="L110" s="179" t="str">
        <f>IF(B110="","",IF(ISNA(VLOOKUP($B110,'E-1 Off Site Hedge Baseline'!$B$1:$U$257,12,FALSE)),"",(VLOOKUP($B110,'E-1 Off Site Hedge Baseline'!$B$1:$U$257,12,FALSE))))</f>
        <v/>
      </c>
      <c r="M110" s="639" t="str">
        <f t="shared" si="16"/>
        <v/>
      </c>
      <c r="N110" s="171" t="str">
        <f>IFERROR(IF(B110="","",INDEX('G-6 Hedgerow Data'!$AN$3:$AZ$15,MATCH(C110,'G-6 Hedgerow Data'!$AM$3:$AM$15,0),MATCH(M110,'G-6 Hedgerow Data'!$AN$2:$AZ$2,0))),"")</f>
        <v/>
      </c>
      <c r="O110" s="172" t="str">
        <f t="shared" si="10"/>
        <v/>
      </c>
      <c r="P110" s="260" t="str">
        <f>IF(B110="","",VLOOKUP(B110,'E-1 Off Site Hedge Baseline'!$B$10:T355,16,FALSE))</f>
        <v/>
      </c>
      <c r="Q110" s="171" t="str">
        <f>IF(M110="","",VLOOKUP(M110,'G-6 Hedgerow Data'!$B$2:$AG$15,2,FALSE))</f>
        <v/>
      </c>
      <c r="R110" s="172" t="str">
        <f>IF(M110="","",VLOOKUP(M110,'G-6 Hedgerow Data'!$B$2:$AG$15,3,FALSE))</f>
        <v/>
      </c>
      <c r="S110" s="173"/>
      <c r="T110" s="172" t="str">
        <f>IFERROR(IF(AND(Q110="V.Low",OR(S110="Good",S110="Moderate")),"Error",VLOOKUP(S110,'G-1 All Habitats'!$Z$2:$AA$9,2,FALSE)),"")</f>
        <v/>
      </c>
      <c r="U110" s="173"/>
      <c r="V110" s="179" t="str">
        <f>IF(U110="","",IF(VLOOKUP(U110,'G-3 Multipliers'!$L$3:$N$6,2,FALSE)=0,"Spatial Data Missing",VLOOKUP(U110,'G-3 Multipliers'!$L$3:$N$6,2,FALSE)))</f>
        <v/>
      </c>
      <c r="W110" s="260" t="str">
        <f>IF(U110="","",IF(VLOOKUP(U110,'G-3 Multipliers'!$L$3:$N$6,3,FALSE)=0,"Spatial Data Missing",VLOOKUP(U110,'G-3 Multipliers'!$L$3:$N$6,3,FALSE)))</f>
        <v/>
      </c>
      <c r="X110" s="171" t="str">
        <f>IFERROR(IF(OR(LEFT(O110,5)="Error",LEFT(N110,5)="Error",T110="Error"),"Check Data",IF(F110&lt;R110,INDEX('G-6 Hedgerow Data'!$S$3:$AE$14,MATCH(C110,'G-6 Hedgerow Data'!$B$3:$B$14,0),MATCH(M110,'G-6 Hedgerow Data'!$S$2:$AE$2,0)),INDEX('G-6 Hedgerow Data'!$K$3:$Q$14,MATCH(M110,'G-6 Hedgerow Data'!$B$3:$B$14,0),MATCH(O110,'G-6 Hedgerow Data'!$K$2:$Q$2,0)))),"")</f>
        <v/>
      </c>
      <c r="Y110" s="261"/>
      <c r="Z110" s="261"/>
      <c r="AA110" s="179" t="str">
        <f t="shared" si="11"/>
        <v/>
      </c>
      <c r="AB110" s="262" t="str">
        <f t="shared" si="12"/>
        <v/>
      </c>
      <c r="AC110" s="263" t="str">
        <f t="shared" si="9"/>
        <v/>
      </c>
      <c r="AD110" s="239" t="str">
        <f>IF(M110="","",VLOOKUP(M110,'G-6 Hedgerow Data'!$B$3:$AG$15,31,FALSE))</f>
        <v/>
      </c>
      <c r="AE110" s="175" t="str">
        <f t="shared" si="13"/>
        <v/>
      </c>
      <c r="AF110" s="175" t="str">
        <f t="shared" si="14"/>
        <v/>
      </c>
      <c r="AG110" s="176" t="str">
        <f>IFERROR(IF(O110="","",VLOOKUP(AD110,'G-3 Multipliers'!$P$3:$Q$6,2,FALSE)),"")</f>
        <v/>
      </c>
      <c r="AH110" s="266"/>
      <c r="AI110" s="172" t="str">
        <f>IF(AH110="","",IF(VLOOKUP(AH110,'G-3 Multipliers'!$S$3:$T$6,2,FALSE)=0,"Spatial Data Missing",VLOOKUP(AH110,'G-3 Multipliers'!$S$3:$T$6,2,FALSE)))</f>
        <v/>
      </c>
      <c r="AJ110" s="265" t="str">
        <f t="shared" si="15"/>
        <v/>
      </c>
      <c r="AK110" s="180"/>
      <c r="AL110" s="181"/>
      <c r="AP110" s="35" t="str">
        <f>IFERROR(INDEX('G-6 Hedgerow Data'!$BJ$3:$BJ$15,MATCH(M110,'G-6 Hedgerow Data'!$B$3:$B$15,0)),"")</f>
        <v/>
      </c>
    </row>
    <row r="111" spans="2:42" ht="13.8" x14ac:dyDescent="0.25">
      <c r="B111" s="259" t="str">
        <f>'E-1 Off Site Hedge Baseline'!AK109</f>
        <v/>
      </c>
      <c r="C111" s="175" t="str">
        <f>IF(B111="","",IF(ISNA(VLOOKUP($B111,'E-1 Off Site Hedge Baseline'!$B$1:$L$257,3,FALSE)),"",(VLOOKUP($B111,'E-1 Off Site Hedge Baseline'!$B$1:$L$257,3,FALSE))))</f>
        <v/>
      </c>
      <c r="D111" s="175" t="str">
        <f>IF(B111="","",IF(ISNA(VLOOKUP($B111,'E-1 Off Site Hedge Baseline'!$B$1:$L$258,4,FALSE)),"",(VLOOKUP($B111,'E-1 Off Site Hedge Baseline'!$B$1:$L$258,4,FALSE))))</f>
        <v/>
      </c>
      <c r="E111" s="175" t="str">
        <f>IF(B111="","",IF(ISNA(VLOOKUP($B111,'E-1 Off Site Hedge Baseline'!$B$1:$L$257,5,FALSE)),"",(VLOOKUP($B111,'E-1 Off Site Hedge Baseline'!$B$1:$L$257,5,FALSE))))</f>
        <v/>
      </c>
      <c r="F111" s="175" t="str">
        <f>IF(B111="","",IF(ISNA(VLOOKUP($B111,'E-1 Off Site Hedge Baseline'!$B$1:$L$257,6,FALSE)),"",(VLOOKUP($B111,'E-1 Off Site Hedge Baseline'!$B$1:$L$257,6,FALSE))))</f>
        <v/>
      </c>
      <c r="G111" s="175" t="str">
        <f>IF(B111="","",IF(ISNA(VLOOKUP($B111,'E-1 Off Site Hedge Baseline'!$B$1:$L$257,7,FALSE)),"",(VLOOKUP($B111,'E-1 Off Site Hedge Baseline'!$B$1:$L$257,7,FALSE))))</f>
        <v/>
      </c>
      <c r="H111" s="175" t="str">
        <f>IF(B111="","",IF(ISNA(VLOOKUP($B111,'E-1 Off Site Hedge Baseline'!$B$1:$L$257,8,FALSE)),"",(VLOOKUP($B111,'E-1 Off Site Hedge Baseline'!$B$1:$L$257,8,FALSE))))</f>
        <v/>
      </c>
      <c r="I111" s="175" t="str">
        <f>IF(B111="","",IF(ISNA(VLOOKUP($B111,'E-1 Off Site Hedge Baseline'!$B$1:$L$257,10,FALSE)),"",(VLOOKUP($B111,'E-1 Off Site Hedge Baseline'!$B$1:$L$257,10,FALSE))))</f>
        <v/>
      </c>
      <c r="J111" s="175" t="str">
        <f>IF(B111="","",IF(ISNA(VLOOKUP($B111,'E-1 Off Site Hedge Baseline'!$B$1:$L$257,11,FALSE)),"",(VLOOKUP($B111,'E-1 Off Site Hedge Baseline'!$B$1:$L$257,11,FALSE))))</f>
        <v/>
      </c>
      <c r="K111" s="175" t="str">
        <f>IF(B111="","",IF(ISNA(VLOOKUP($B111,'E-1 Off Site Hedge Baseline'!$B$1:$U$257,113,FALSE)),"",(VLOOKUP($B111,'E-1 Off Site Hedge Baseline'!$B$1:$U$257,13,FALSE))))</f>
        <v/>
      </c>
      <c r="L111" s="179" t="str">
        <f>IF(B111="","",IF(ISNA(VLOOKUP($B111,'E-1 Off Site Hedge Baseline'!$B$1:$U$257,12,FALSE)),"",(VLOOKUP($B111,'E-1 Off Site Hedge Baseline'!$B$1:$U$257,12,FALSE))))</f>
        <v/>
      </c>
      <c r="M111" s="639" t="str">
        <f t="shared" si="16"/>
        <v/>
      </c>
      <c r="N111" s="171" t="str">
        <f>IFERROR(IF(B111="","",INDEX('G-6 Hedgerow Data'!$AN$3:$AZ$15,MATCH(C111,'G-6 Hedgerow Data'!$AM$3:$AM$15,0),MATCH(M111,'G-6 Hedgerow Data'!$AN$2:$AZ$2,0))),"")</f>
        <v/>
      </c>
      <c r="O111" s="172" t="str">
        <f t="shared" si="10"/>
        <v/>
      </c>
      <c r="P111" s="260" t="str">
        <f>IF(B111="","",VLOOKUP(B111,'E-1 Off Site Hedge Baseline'!$B$10:T356,16,FALSE))</f>
        <v/>
      </c>
      <c r="Q111" s="171" t="str">
        <f>IF(M111="","",VLOOKUP(M111,'G-6 Hedgerow Data'!$B$2:$AG$15,2,FALSE))</f>
        <v/>
      </c>
      <c r="R111" s="172" t="str">
        <f>IF(M111="","",VLOOKUP(M111,'G-6 Hedgerow Data'!$B$2:$AG$15,3,FALSE))</f>
        <v/>
      </c>
      <c r="S111" s="173"/>
      <c r="T111" s="172" t="str">
        <f>IFERROR(IF(AND(Q111="V.Low",OR(S111="Good",S111="Moderate")),"Error",VLOOKUP(S111,'G-1 All Habitats'!$Z$2:$AA$9,2,FALSE)),"")</f>
        <v/>
      </c>
      <c r="U111" s="173"/>
      <c r="V111" s="179" t="str">
        <f>IF(U111="","",IF(VLOOKUP(U111,'G-3 Multipliers'!$L$3:$N$6,2,FALSE)=0,"Spatial Data Missing",VLOOKUP(U111,'G-3 Multipliers'!$L$3:$N$6,2,FALSE)))</f>
        <v/>
      </c>
      <c r="W111" s="260" t="str">
        <f>IF(U111="","",IF(VLOOKUP(U111,'G-3 Multipliers'!$L$3:$N$6,3,FALSE)=0,"Spatial Data Missing",VLOOKUP(U111,'G-3 Multipliers'!$L$3:$N$6,3,FALSE)))</f>
        <v/>
      </c>
      <c r="X111" s="171" t="str">
        <f>IFERROR(IF(OR(LEFT(O111,5)="Error",LEFT(N111,5)="Error",T111="Error"),"Check Data",IF(F111&lt;R111,INDEX('G-6 Hedgerow Data'!$S$3:$AE$14,MATCH(C111,'G-6 Hedgerow Data'!$B$3:$B$14,0),MATCH(M111,'G-6 Hedgerow Data'!$S$2:$AE$2,0)),INDEX('G-6 Hedgerow Data'!$K$3:$Q$14,MATCH(M111,'G-6 Hedgerow Data'!$B$3:$B$14,0),MATCH(O111,'G-6 Hedgerow Data'!$K$2:$Q$2,0)))),"")</f>
        <v/>
      </c>
      <c r="Y111" s="261"/>
      <c r="Z111" s="261"/>
      <c r="AA111" s="179" t="str">
        <f t="shared" si="11"/>
        <v/>
      </c>
      <c r="AB111" s="262" t="str">
        <f t="shared" si="12"/>
        <v/>
      </c>
      <c r="AC111" s="263" t="str">
        <f t="shared" si="9"/>
        <v/>
      </c>
      <c r="AD111" s="239" t="str">
        <f>IF(M111="","",VLOOKUP(M111,'G-6 Hedgerow Data'!$B$3:$AG$15,31,FALSE))</f>
        <v/>
      </c>
      <c r="AE111" s="175" t="str">
        <f t="shared" si="13"/>
        <v/>
      </c>
      <c r="AF111" s="175" t="str">
        <f t="shared" si="14"/>
        <v/>
      </c>
      <c r="AG111" s="176" t="str">
        <f>IFERROR(IF(O111="","",VLOOKUP(AD111,'G-3 Multipliers'!$P$3:$Q$6,2,FALSE)),"")</f>
        <v/>
      </c>
      <c r="AH111" s="266"/>
      <c r="AI111" s="172" t="str">
        <f>IF(AH111="","",IF(VLOOKUP(AH111,'G-3 Multipliers'!$S$3:$T$6,2,FALSE)=0,"Spatial Data Missing",VLOOKUP(AH111,'G-3 Multipliers'!$S$3:$T$6,2,FALSE)))</f>
        <v/>
      </c>
      <c r="AJ111" s="265" t="str">
        <f t="shared" si="15"/>
        <v/>
      </c>
      <c r="AK111" s="180"/>
      <c r="AL111" s="181"/>
      <c r="AP111" s="35" t="str">
        <f>IFERROR(INDEX('G-6 Hedgerow Data'!$BJ$3:$BJ$15,MATCH(M111,'G-6 Hedgerow Data'!$B$3:$B$15,0)),"")</f>
        <v/>
      </c>
    </row>
    <row r="112" spans="2:42" ht="13.8" x14ac:dyDescent="0.25">
      <c r="B112" s="259" t="str">
        <f>'E-1 Off Site Hedge Baseline'!AK110</f>
        <v/>
      </c>
      <c r="C112" s="175" t="str">
        <f>IF(B112="","",IF(ISNA(VLOOKUP($B112,'E-1 Off Site Hedge Baseline'!$B$1:$L$257,3,FALSE)),"",(VLOOKUP($B112,'E-1 Off Site Hedge Baseline'!$B$1:$L$257,3,FALSE))))</f>
        <v/>
      </c>
      <c r="D112" s="175" t="str">
        <f>IF(B112="","",IF(ISNA(VLOOKUP($B112,'E-1 Off Site Hedge Baseline'!$B$1:$L$258,4,FALSE)),"",(VLOOKUP($B112,'E-1 Off Site Hedge Baseline'!$B$1:$L$258,4,FALSE))))</f>
        <v/>
      </c>
      <c r="E112" s="175" t="str">
        <f>IF(B112="","",IF(ISNA(VLOOKUP($B112,'E-1 Off Site Hedge Baseline'!$B$1:$L$257,5,FALSE)),"",(VLOOKUP($B112,'E-1 Off Site Hedge Baseline'!$B$1:$L$257,5,FALSE))))</f>
        <v/>
      </c>
      <c r="F112" s="175" t="str">
        <f>IF(B112="","",IF(ISNA(VLOOKUP($B112,'E-1 Off Site Hedge Baseline'!$B$1:$L$257,6,FALSE)),"",(VLOOKUP($B112,'E-1 Off Site Hedge Baseline'!$B$1:$L$257,6,FALSE))))</f>
        <v/>
      </c>
      <c r="G112" s="175" t="str">
        <f>IF(B112="","",IF(ISNA(VLOOKUP($B112,'E-1 Off Site Hedge Baseline'!$B$1:$L$257,7,FALSE)),"",(VLOOKUP($B112,'E-1 Off Site Hedge Baseline'!$B$1:$L$257,7,FALSE))))</f>
        <v/>
      </c>
      <c r="H112" s="175" t="str">
        <f>IF(B112="","",IF(ISNA(VLOOKUP($B112,'E-1 Off Site Hedge Baseline'!$B$1:$L$257,8,FALSE)),"",(VLOOKUP($B112,'E-1 Off Site Hedge Baseline'!$B$1:$L$257,8,FALSE))))</f>
        <v/>
      </c>
      <c r="I112" s="175" t="str">
        <f>IF(B112="","",IF(ISNA(VLOOKUP($B112,'E-1 Off Site Hedge Baseline'!$B$1:$L$257,10,FALSE)),"",(VLOOKUP($B112,'E-1 Off Site Hedge Baseline'!$B$1:$L$257,10,FALSE))))</f>
        <v/>
      </c>
      <c r="J112" s="175" t="str">
        <f>IF(B112="","",IF(ISNA(VLOOKUP($B112,'E-1 Off Site Hedge Baseline'!$B$1:$L$257,11,FALSE)),"",(VLOOKUP($B112,'E-1 Off Site Hedge Baseline'!$B$1:$L$257,11,FALSE))))</f>
        <v/>
      </c>
      <c r="K112" s="175" t="str">
        <f>IF(B112="","",IF(ISNA(VLOOKUP($B112,'E-1 Off Site Hedge Baseline'!$B$1:$U$257,113,FALSE)),"",(VLOOKUP($B112,'E-1 Off Site Hedge Baseline'!$B$1:$U$257,13,FALSE))))</f>
        <v/>
      </c>
      <c r="L112" s="179" t="str">
        <f>IF(B112="","",IF(ISNA(VLOOKUP($B112,'E-1 Off Site Hedge Baseline'!$B$1:$U$257,12,FALSE)),"",(VLOOKUP($B112,'E-1 Off Site Hedge Baseline'!$B$1:$U$257,12,FALSE))))</f>
        <v/>
      </c>
      <c r="M112" s="639" t="str">
        <f t="shared" si="16"/>
        <v/>
      </c>
      <c r="N112" s="171" t="str">
        <f>IFERROR(IF(B112="","",INDEX('G-6 Hedgerow Data'!$AN$3:$AZ$15,MATCH(C112,'G-6 Hedgerow Data'!$AM$3:$AM$15,0),MATCH(M112,'G-6 Hedgerow Data'!$AN$2:$AZ$2,0))),"")</f>
        <v/>
      </c>
      <c r="O112" s="172" t="str">
        <f t="shared" si="10"/>
        <v/>
      </c>
      <c r="P112" s="260" t="str">
        <f>IF(B112="","",VLOOKUP(B112,'E-1 Off Site Hedge Baseline'!$B$10:T357,16,FALSE))</f>
        <v/>
      </c>
      <c r="Q112" s="171" t="str">
        <f>IF(M112="","",VLOOKUP(M112,'G-6 Hedgerow Data'!$B$2:$AG$15,2,FALSE))</f>
        <v/>
      </c>
      <c r="R112" s="172" t="str">
        <f>IF(M112="","",VLOOKUP(M112,'G-6 Hedgerow Data'!$B$2:$AG$15,3,FALSE))</f>
        <v/>
      </c>
      <c r="S112" s="173"/>
      <c r="T112" s="172" t="str">
        <f>IFERROR(IF(AND(Q112="V.Low",OR(S112="Good",S112="Moderate")),"Error",VLOOKUP(S112,'G-1 All Habitats'!$Z$2:$AA$9,2,FALSE)),"")</f>
        <v/>
      </c>
      <c r="U112" s="173"/>
      <c r="V112" s="179" t="str">
        <f>IF(U112="","",IF(VLOOKUP(U112,'G-3 Multipliers'!$L$3:$N$6,2,FALSE)=0,"Spatial Data Missing",VLOOKUP(U112,'G-3 Multipliers'!$L$3:$N$6,2,FALSE)))</f>
        <v/>
      </c>
      <c r="W112" s="260" t="str">
        <f>IF(U112="","",IF(VLOOKUP(U112,'G-3 Multipliers'!$L$3:$N$6,3,FALSE)=0,"Spatial Data Missing",VLOOKUP(U112,'G-3 Multipliers'!$L$3:$N$6,3,FALSE)))</f>
        <v/>
      </c>
      <c r="X112" s="171" t="str">
        <f>IFERROR(IF(OR(LEFT(O112,5)="Error",LEFT(N112,5)="Error",T112="Error"),"Check Data",IF(F112&lt;R112,INDEX('G-6 Hedgerow Data'!$S$3:$AE$14,MATCH(C112,'G-6 Hedgerow Data'!$B$3:$B$14,0),MATCH(M112,'G-6 Hedgerow Data'!$S$2:$AE$2,0)),INDEX('G-6 Hedgerow Data'!$K$3:$Q$14,MATCH(M112,'G-6 Hedgerow Data'!$B$3:$B$14,0),MATCH(O112,'G-6 Hedgerow Data'!$K$2:$Q$2,0)))),"")</f>
        <v/>
      </c>
      <c r="Y112" s="261"/>
      <c r="Z112" s="261"/>
      <c r="AA112" s="179" t="str">
        <f t="shared" si="11"/>
        <v/>
      </c>
      <c r="AB112" s="262" t="str">
        <f t="shared" si="12"/>
        <v/>
      </c>
      <c r="AC112" s="263" t="str">
        <f t="shared" si="9"/>
        <v/>
      </c>
      <c r="AD112" s="239" t="str">
        <f>IF(M112="","",VLOOKUP(M112,'G-6 Hedgerow Data'!$B$3:$AG$15,31,FALSE))</f>
        <v/>
      </c>
      <c r="AE112" s="175" t="str">
        <f t="shared" si="13"/>
        <v/>
      </c>
      <c r="AF112" s="175" t="str">
        <f t="shared" si="14"/>
        <v/>
      </c>
      <c r="AG112" s="176" t="str">
        <f>IFERROR(IF(O112="","",VLOOKUP(AD112,'G-3 Multipliers'!$P$3:$Q$6,2,FALSE)),"")</f>
        <v/>
      </c>
      <c r="AH112" s="266"/>
      <c r="AI112" s="172" t="str">
        <f>IF(AH112="","",IF(VLOOKUP(AH112,'G-3 Multipliers'!$S$3:$T$6,2,FALSE)=0,"Spatial Data Missing",VLOOKUP(AH112,'G-3 Multipliers'!$S$3:$T$6,2,FALSE)))</f>
        <v/>
      </c>
      <c r="AJ112" s="265" t="str">
        <f t="shared" si="15"/>
        <v/>
      </c>
      <c r="AK112" s="180"/>
      <c r="AL112" s="181"/>
      <c r="AP112" s="35" t="str">
        <f>IFERROR(INDEX('G-6 Hedgerow Data'!$BJ$3:$BJ$15,MATCH(M112,'G-6 Hedgerow Data'!$B$3:$B$15,0)),"")</f>
        <v/>
      </c>
    </row>
    <row r="113" spans="2:42" ht="13.8" x14ac:dyDescent="0.25">
      <c r="B113" s="259" t="str">
        <f>'E-1 Off Site Hedge Baseline'!AK111</f>
        <v/>
      </c>
      <c r="C113" s="175" t="str">
        <f>IF(B113="","",IF(ISNA(VLOOKUP($B113,'E-1 Off Site Hedge Baseline'!$B$1:$L$257,3,FALSE)),"",(VLOOKUP($B113,'E-1 Off Site Hedge Baseline'!$B$1:$L$257,3,FALSE))))</f>
        <v/>
      </c>
      <c r="D113" s="175" t="str">
        <f>IF(B113="","",IF(ISNA(VLOOKUP($B113,'E-1 Off Site Hedge Baseline'!$B$1:$L$258,4,FALSE)),"",(VLOOKUP($B113,'E-1 Off Site Hedge Baseline'!$B$1:$L$258,4,FALSE))))</f>
        <v/>
      </c>
      <c r="E113" s="175" t="str">
        <f>IF(B113="","",IF(ISNA(VLOOKUP($B113,'E-1 Off Site Hedge Baseline'!$B$1:$L$257,5,FALSE)),"",(VLOOKUP($B113,'E-1 Off Site Hedge Baseline'!$B$1:$L$257,5,FALSE))))</f>
        <v/>
      </c>
      <c r="F113" s="175" t="str">
        <f>IF(B113="","",IF(ISNA(VLOOKUP($B113,'E-1 Off Site Hedge Baseline'!$B$1:$L$257,6,FALSE)),"",(VLOOKUP($B113,'E-1 Off Site Hedge Baseline'!$B$1:$L$257,6,FALSE))))</f>
        <v/>
      </c>
      <c r="G113" s="175" t="str">
        <f>IF(B113="","",IF(ISNA(VLOOKUP($B113,'E-1 Off Site Hedge Baseline'!$B$1:$L$257,7,FALSE)),"",(VLOOKUP($B113,'E-1 Off Site Hedge Baseline'!$B$1:$L$257,7,FALSE))))</f>
        <v/>
      </c>
      <c r="H113" s="175" t="str">
        <f>IF(B113="","",IF(ISNA(VLOOKUP($B113,'E-1 Off Site Hedge Baseline'!$B$1:$L$257,8,FALSE)),"",(VLOOKUP($B113,'E-1 Off Site Hedge Baseline'!$B$1:$L$257,8,FALSE))))</f>
        <v/>
      </c>
      <c r="I113" s="175" t="str">
        <f>IF(B113="","",IF(ISNA(VLOOKUP($B113,'E-1 Off Site Hedge Baseline'!$B$1:$L$257,10,FALSE)),"",(VLOOKUP($B113,'E-1 Off Site Hedge Baseline'!$B$1:$L$257,10,FALSE))))</f>
        <v/>
      </c>
      <c r="J113" s="175" t="str">
        <f>IF(B113="","",IF(ISNA(VLOOKUP($B113,'E-1 Off Site Hedge Baseline'!$B$1:$L$257,11,FALSE)),"",(VLOOKUP($B113,'E-1 Off Site Hedge Baseline'!$B$1:$L$257,11,FALSE))))</f>
        <v/>
      </c>
      <c r="K113" s="175" t="str">
        <f>IF(B113="","",IF(ISNA(VLOOKUP($B113,'E-1 Off Site Hedge Baseline'!$B$1:$U$257,113,FALSE)),"",(VLOOKUP($B113,'E-1 Off Site Hedge Baseline'!$B$1:$U$257,13,FALSE))))</f>
        <v/>
      </c>
      <c r="L113" s="179" t="str">
        <f>IF(B113="","",IF(ISNA(VLOOKUP($B113,'E-1 Off Site Hedge Baseline'!$B$1:$U$257,12,FALSE)),"",(VLOOKUP($B113,'E-1 Off Site Hedge Baseline'!$B$1:$U$257,12,FALSE))))</f>
        <v/>
      </c>
      <c r="M113" s="639" t="str">
        <f t="shared" si="16"/>
        <v/>
      </c>
      <c r="N113" s="171" t="str">
        <f>IFERROR(IF(B113="","",INDEX('G-6 Hedgerow Data'!$AN$3:$AZ$15,MATCH(C113,'G-6 Hedgerow Data'!$AM$3:$AM$15,0),MATCH(M113,'G-6 Hedgerow Data'!$AN$2:$AZ$2,0))),"")</f>
        <v/>
      </c>
      <c r="O113" s="172" t="str">
        <f t="shared" si="10"/>
        <v/>
      </c>
      <c r="P113" s="260" t="str">
        <f>IF(B113="","",VLOOKUP(B113,'E-1 Off Site Hedge Baseline'!$B$10:T358,16,FALSE))</f>
        <v/>
      </c>
      <c r="Q113" s="171" t="str">
        <f>IF(M113="","",VLOOKUP(M113,'G-6 Hedgerow Data'!$B$2:$AG$15,2,FALSE))</f>
        <v/>
      </c>
      <c r="R113" s="172" t="str">
        <f>IF(M113="","",VLOOKUP(M113,'G-6 Hedgerow Data'!$B$2:$AG$15,3,FALSE))</f>
        <v/>
      </c>
      <c r="S113" s="173"/>
      <c r="T113" s="172" t="str">
        <f>IFERROR(IF(AND(Q113="V.Low",OR(S113="Good",S113="Moderate")),"Error",VLOOKUP(S113,'G-1 All Habitats'!$Z$2:$AA$9,2,FALSE)),"")</f>
        <v/>
      </c>
      <c r="U113" s="173"/>
      <c r="V113" s="179" t="str">
        <f>IF(U113="","",IF(VLOOKUP(U113,'G-3 Multipliers'!$L$3:$N$6,2,FALSE)=0,"Spatial Data Missing",VLOOKUP(U113,'G-3 Multipliers'!$L$3:$N$6,2,FALSE)))</f>
        <v/>
      </c>
      <c r="W113" s="260" t="str">
        <f>IF(U113="","",IF(VLOOKUP(U113,'G-3 Multipliers'!$L$3:$N$6,3,FALSE)=0,"Spatial Data Missing",VLOOKUP(U113,'G-3 Multipliers'!$L$3:$N$6,3,FALSE)))</f>
        <v/>
      </c>
      <c r="X113" s="171" t="str">
        <f>IFERROR(IF(OR(LEFT(O113,5)="Error",LEFT(N113,5)="Error",T113="Error"),"Check Data",IF(F113&lt;R113,INDEX('G-6 Hedgerow Data'!$S$3:$AE$14,MATCH(C113,'G-6 Hedgerow Data'!$B$3:$B$14,0),MATCH(M113,'G-6 Hedgerow Data'!$S$2:$AE$2,0)),INDEX('G-6 Hedgerow Data'!$K$3:$Q$14,MATCH(M113,'G-6 Hedgerow Data'!$B$3:$B$14,0),MATCH(O113,'G-6 Hedgerow Data'!$K$2:$Q$2,0)))),"")</f>
        <v/>
      </c>
      <c r="Y113" s="261"/>
      <c r="Z113" s="261"/>
      <c r="AA113" s="179" t="str">
        <f t="shared" si="11"/>
        <v/>
      </c>
      <c r="AB113" s="262" t="str">
        <f t="shared" si="12"/>
        <v/>
      </c>
      <c r="AC113" s="263" t="str">
        <f t="shared" si="9"/>
        <v/>
      </c>
      <c r="AD113" s="239" t="str">
        <f>IF(M113="","",VLOOKUP(M113,'G-6 Hedgerow Data'!$B$3:$AG$15,31,FALSE))</f>
        <v/>
      </c>
      <c r="AE113" s="175" t="str">
        <f t="shared" si="13"/>
        <v/>
      </c>
      <c r="AF113" s="175" t="str">
        <f t="shared" si="14"/>
        <v/>
      </c>
      <c r="AG113" s="176" t="str">
        <f>IFERROR(IF(O113="","",VLOOKUP(AD113,'G-3 Multipliers'!$P$3:$Q$6,2,FALSE)),"")</f>
        <v/>
      </c>
      <c r="AH113" s="266"/>
      <c r="AI113" s="172" t="str">
        <f>IF(AH113="","",IF(VLOOKUP(AH113,'G-3 Multipliers'!$S$3:$T$6,2,FALSE)=0,"Spatial Data Missing",VLOOKUP(AH113,'G-3 Multipliers'!$S$3:$T$6,2,FALSE)))</f>
        <v/>
      </c>
      <c r="AJ113" s="265" t="str">
        <f t="shared" si="15"/>
        <v/>
      </c>
      <c r="AK113" s="180"/>
      <c r="AL113" s="181"/>
      <c r="AP113" s="35" t="str">
        <f>IFERROR(INDEX('G-6 Hedgerow Data'!$BJ$3:$BJ$15,MATCH(M113,'G-6 Hedgerow Data'!$B$3:$B$15,0)),"")</f>
        <v/>
      </c>
    </row>
    <row r="114" spans="2:42" ht="13.8" x14ac:dyDescent="0.25">
      <c r="B114" s="259" t="str">
        <f>'E-1 Off Site Hedge Baseline'!AK112</f>
        <v/>
      </c>
      <c r="C114" s="175" t="str">
        <f>IF(B114="","",IF(ISNA(VLOOKUP($B114,'E-1 Off Site Hedge Baseline'!$B$1:$L$257,3,FALSE)),"",(VLOOKUP($B114,'E-1 Off Site Hedge Baseline'!$B$1:$L$257,3,FALSE))))</f>
        <v/>
      </c>
      <c r="D114" s="175" t="str">
        <f>IF(B114="","",IF(ISNA(VLOOKUP($B114,'E-1 Off Site Hedge Baseline'!$B$1:$L$258,4,FALSE)),"",(VLOOKUP($B114,'E-1 Off Site Hedge Baseline'!$B$1:$L$258,4,FALSE))))</f>
        <v/>
      </c>
      <c r="E114" s="175" t="str">
        <f>IF(B114="","",IF(ISNA(VLOOKUP($B114,'E-1 Off Site Hedge Baseline'!$B$1:$L$257,5,FALSE)),"",(VLOOKUP($B114,'E-1 Off Site Hedge Baseline'!$B$1:$L$257,5,FALSE))))</f>
        <v/>
      </c>
      <c r="F114" s="175" t="str">
        <f>IF(B114="","",IF(ISNA(VLOOKUP($B114,'E-1 Off Site Hedge Baseline'!$B$1:$L$257,6,FALSE)),"",(VLOOKUP($B114,'E-1 Off Site Hedge Baseline'!$B$1:$L$257,6,FALSE))))</f>
        <v/>
      </c>
      <c r="G114" s="175" t="str">
        <f>IF(B114="","",IF(ISNA(VLOOKUP($B114,'E-1 Off Site Hedge Baseline'!$B$1:$L$257,7,FALSE)),"",(VLOOKUP($B114,'E-1 Off Site Hedge Baseline'!$B$1:$L$257,7,FALSE))))</f>
        <v/>
      </c>
      <c r="H114" s="175" t="str">
        <f>IF(B114="","",IF(ISNA(VLOOKUP($B114,'E-1 Off Site Hedge Baseline'!$B$1:$L$257,8,FALSE)),"",(VLOOKUP($B114,'E-1 Off Site Hedge Baseline'!$B$1:$L$257,8,FALSE))))</f>
        <v/>
      </c>
      <c r="I114" s="175" t="str">
        <f>IF(B114="","",IF(ISNA(VLOOKUP($B114,'E-1 Off Site Hedge Baseline'!$B$1:$L$257,10,FALSE)),"",(VLOOKUP($B114,'E-1 Off Site Hedge Baseline'!$B$1:$L$257,10,FALSE))))</f>
        <v/>
      </c>
      <c r="J114" s="175" t="str">
        <f>IF(B114="","",IF(ISNA(VLOOKUP($B114,'E-1 Off Site Hedge Baseline'!$B$1:$L$257,11,FALSE)),"",(VLOOKUP($B114,'E-1 Off Site Hedge Baseline'!$B$1:$L$257,11,FALSE))))</f>
        <v/>
      </c>
      <c r="K114" s="175" t="str">
        <f>IF(B114="","",IF(ISNA(VLOOKUP($B114,'E-1 Off Site Hedge Baseline'!$B$1:$U$257,113,FALSE)),"",(VLOOKUP($B114,'E-1 Off Site Hedge Baseline'!$B$1:$U$257,13,FALSE))))</f>
        <v/>
      </c>
      <c r="L114" s="179" t="str">
        <f>IF(B114="","",IF(ISNA(VLOOKUP($B114,'E-1 Off Site Hedge Baseline'!$B$1:$U$257,12,FALSE)),"",(VLOOKUP($B114,'E-1 Off Site Hedge Baseline'!$B$1:$U$257,12,FALSE))))</f>
        <v/>
      </c>
      <c r="M114" s="639" t="str">
        <f t="shared" si="16"/>
        <v/>
      </c>
      <c r="N114" s="171" t="str">
        <f>IFERROR(IF(B114="","",INDEX('G-6 Hedgerow Data'!$AN$3:$AZ$15,MATCH(C114,'G-6 Hedgerow Data'!$AM$3:$AM$15,0),MATCH(M114,'G-6 Hedgerow Data'!$AN$2:$AZ$2,0))),"")</f>
        <v/>
      </c>
      <c r="O114" s="172" t="str">
        <f t="shared" si="10"/>
        <v/>
      </c>
      <c r="P114" s="260" t="str">
        <f>IF(B114="","",VLOOKUP(B114,'E-1 Off Site Hedge Baseline'!$B$10:T359,16,FALSE))</f>
        <v/>
      </c>
      <c r="Q114" s="171" t="str">
        <f>IF(M114="","",VLOOKUP(M114,'G-6 Hedgerow Data'!$B$2:$AG$15,2,FALSE))</f>
        <v/>
      </c>
      <c r="R114" s="172" t="str">
        <f>IF(M114="","",VLOOKUP(M114,'G-6 Hedgerow Data'!$B$2:$AG$15,3,FALSE))</f>
        <v/>
      </c>
      <c r="S114" s="173"/>
      <c r="T114" s="172" t="str">
        <f>IFERROR(IF(AND(Q114="V.Low",OR(S114="Good",S114="Moderate")),"Error",VLOOKUP(S114,'G-1 All Habitats'!$Z$2:$AA$9,2,FALSE)),"")</f>
        <v/>
      </c>
      <c r="U114" s="173"/>
      <c r="V114" s="179" t="str">
        <f>IF(U114="","",IF(VLOOKUP(U114,'G-3 Multipliers'!$L$3:$N$6,2,FALSE)=0,"Spatial Data Missing",VLOOKUP(U114,'G-3 Multipliers'!$L$3:$N$6,2,FALSE)))</f>
        <v/>
      </c>
      <c r="W114" s="260" t="str">
        <f>IF(U114="","",IF(VLOOKUP(U114,'G-3 Multipliers'!$L$3:$N$6,3,FALSE)=0,"Spatial Data Missing",VLOOKUP(U114,'G-3 Multipliers'!$L$3:$N$6,3,FALSE)))</f>
        <v/>
      </c>
      <c r="X114" s="171" t="str">
        <f>IFERROR(IF(OR(LEFT(O114,5)="Error",LEFT(N114,5)="Error",T114="Error"),"Check Data",IF(F114&lt;R114,INDEX('G-6 Hedgerow Data'!$S$3:$AE$14,MATCH(C114,'G-6 Hedgerow Data'!$B$3:$B$14,0),MATCH(M114,'G-6 Hedgerow Data'!$S$2:$AE$2,0)),INDEX('G-6 Hedgerow Data'!$K$3:$Q$14,MATCH(M114,'G-6 Hedgerow Data'!$B$3:$B$14,0),MATCH(O114,'G-6 Hedgerow Data'!$K$2:$Q$2,0)))),"")</f>
        <v/>
      </c>
      <c r="Y114" s="261"/>
      <c r="Z114" s="261"/>
      <c r="AA114" s="179" t="str">
        <f t="shared" si="11"/>
        <v/>
      </c>
      <c r="AB114" s="262" t="str">
        <f t="shared" si="12"/>
        <v/>
      </c>
      <c r="AC114" s="263" t="str">
        <f t="shared" si="9"/>
        <v/>
      </c>
      <c r="AD114" s="239" t="str">
        <f>IF(M114="","",VLOOKUP(M114,'G-6 Hedgerow Data'!$B$3:$AG$15,31,FALSE))</f>
        <v/>
      </c>
      <c r="AE114" s="175" t="str">
        <f t="shared" si="13"/>
        <v/>
      </c>
      <c r="AF114" s="175" t="str">
        <f t="shared" si="14"/>
        <v/>
      </c>
      <c r="AG114" s="176" t="str">
        <f>IFERROR(IF(O114="","",VLOOKUP(AD114,'G-3 Multipliers'!$P$3:$Q$6,2,FALSE)),"")</f>
        <v/>
      </c>
      <c r="AH114" s="266"/>
      <c r="AI114" s="172" t="str">
        <f>IF(AH114="","",IF(VLOOKUP(AH114,'G-3 Multipliers'!$S$3:$T$6,2,FALSE)=0,"Spatial Data Missing",VLOOKUP(AH114,'G-3 Multipliers'!$S$3:$T$6,2,FALSE)))</f>
        <v/>
      </c>
      <c r="AJ114" s="265" t="str">
        <f t="shared" si="15"/>
        <v/>
      </c>
      <c r="AK114" s="180"/>
      <c r="AL114" s="181"/>
      <c r="AP114" s="35" t="str">
        <f>IFERROR(INDEX('G-6 Hedgerow Data'!$BJ$3:$BJ$15,MATCH(M114,'G-6 Hedgerow Data'!$B$3:$B$15,0)),"")</f>
        <v/>
      </c>
    </row>
    <row r="115" spans="2:42" ht="13.8" x14ac:dyDescent="0.25">
      <c r="B115" s="259" t="str">
        <f>'E-1 Off Site Hedge Baseline'!AK113</f>
        <v/>
      </c>
      <c r="C115" s="175" t="str">
        <f>IF(B115="","",IF(ISNA(VLOOKUP($B115,'E-1 Off Site Hedge Baseline'!$B$1:$L$257,3,FALSE)),"",(VLOOKUP($B115,'E-1 Off Site Hedge Baseline'!$B$1:$L$257,3,FALSE))))</f>
        <v/>
      </c>
      <c r="D115" s="175" t="str">
        <f>IF(B115="","",IF(ISNA(VLOOKUP($B115,'E-1 Off Site Hedge Baseline'!$B$1:$L$258,4,FALSE)),"",(VLOOKUP($B115,'E-1 Off Site Hedge Baseline'!$B$1:$L$258,4,FALSE))))</f>
        <v/>
      </c>
      <c r="E115" s="175" t="str">
        <f>IF(B115="","",IF(ISNA(VLOOKUP($B115,'E-1 Off Site Hedge Baseline'!$B$1:$L$257,5,FALSE)),"",(VLOOKUP($B115,'E-1 Off Site Hedge Baseline'!$B$1:$L$257,5,FALSE))))</f>
        <v/>
      </c>
      <c r="F115" s="175" t="str">
        <f>IF(B115="","",IF(ISNA(VLOOKUP($B115,'E-1 Off Site Hedge Baseline'!$B$1:$L$257,6,FALSE)),"",(VLOOKUP($B115,'E-1 Off Site Hedge Baseline'!$B$1:$L$257,6,FALSE))))</f>
        <v/>
      </c>
      <c r="G115" s="175" t="str">
        <f>IF(B115="","",IF(ISNA(VLOOKUP($B115,'E-1 Off Site Hedge Baseline'!$B$1:$L$257,7,FALSE)),"",(VLOOKUP($B115,'E-1 Off Site Hedge Baseline'!$B$1:$L$257,7,FALSE))))</f>
        <v/>
      </c>
      <c r="H115" s="175" t="str">
        <f>IF(B115="","",IF(ISNA(VLOOKUP($B115,'E-1 Off Site Hedge Baseline'!$B$1:$L$257,8,FALSE)),"",(VLOOKUP($B115,'E-1 Off Site Hedge Baseline'!$B$1:$L$257,8,FALSE))))</f>
        <v/>
      </c>
      <c r="I115" s="175" t="str">
        <f>IF(B115="","",IF(ISNA(VLOOKUP($B115,'E-1 Off Site Hedge Baseline'!$B$1:$L$257,10,FALSE)),"",(VLOOKUP($B115,'E-1 Off Site Hedge Baseline'!$B$1:$L$257,10,FALSE))))</f>
        <v/>
      </c>
      <c r="J115" s="175" t="str">
        <f>IF(B115="","",IF(ISNA(VLOOKUP($B115,'E-1 Off Site Hedge Baseline'!$B$1:$L$257,11,FALSE)),"",(VLOOKUP($B115,'E-1 Off Site Hedge Baseline'!$B$1:$L$257,11,FALSE))))</f>
        <v/>
      </c>
      <c r="K115" s="175" t="str">
        <f>IF(B115="","",IF(ISNA(VLOOKUP($B115,'E-1 Off Site Hedge Baseline'!$B$1:$U$257,113,FALSE)),"",(VLOOKUP($B115,'E-1 Off Site Hedge Baseline'!$B$1:$U$257,13,FALSE))))</f>
        <v/>
      </c>
      <c r="L115" s="179" t="str">
        <f>IF(B115="","",IF(ISNA(VLOOKUP($B115,'E-1 Off Site Hedge Baseline'!$B$1:$U$257,12,FALSE)),"",(VLOOKUP($B115,'E-1 Off Site Hedge Baseline'!$B$1:$U$257,12,FALSE))))</f>
        <v/>
      </c>
      <c r="M115" s="639" t="str">
        <f t="shared" si="16"/>
        <v/>
      </c>
      <c r="N115" s="171" t="str">
        <f>IFERROR(IF(B115="","",INDEX('G-6 Hedgerow Data'!$AN$3:$AZ$15,MATCH(C115,'G-6 Hedgerow Data'!$AM$3:$AM$15,0),MATCH(M115,'G-6 Hedgerow Data'!$AN$2:$AZ$2,0))),"")</f>
        <v/>
      </c>
      <c r="O115" s="172" t="str">
        <f t="shared" si="10"/>
        <v/>
      </c>
      <c r="P115" s="260" t="str">
        <f>IF(B115="","",VLOOKUP(B115,'E-1 Off Site Hedge Baseline'!$B$10:T360,16,FALSE))</f>
        <v/>
      </c>
      <c r="Q115" s="171" t="str">
        <f>IF(M115="","",VLOOKUP(M115,'G-6 Hedgerow Data'!$B$2:$AG$15,2,FALSE))</f>
        <v/>
      </c>
      <c r="R115" s="172" t="str">
        <f>IF(M115="","",VLOOKUP(M115,'G-6 Hedgerow Data'!$B$2:$AG$15,3,FALSE))</f>
        <v/>
      </c>
      <c r="S115" s="173"/>
      <c r="T115" s="172" t="str">
        <f>IFERROR(IF(AND(Q115="V.Low",OR(S115="Good",S115="Moderate")),"Error",VLOOKUP(S115,'G-1 All Habitats'!$Z$2:$AA$9,2,FALSE)),"")</f>
        <v/>
      </c>
      <c r="U115" s="173"/>
      <c r="V115" s="179" t="str">
        <f>IF(U115="","",IF(VLOOKUP(U115,'G-3 Multipliers'!$L$3:$N$6,2,FALSE)=0,"Spatial Data Missing",VLOOKUP(U115,'G-3 Multipliers'!$L$3:$N$6,2,FALSE)))</f>
        <v/>
      </c>
      <c r="W115" s="260" t="str">
        <f>IF(U115="","",IF(VLOOKUP(U115,'G-3 Multipliers'!$L$3:$N$6,3,FALSE)=0,"Spatial Data Missing",VLOOKUP(U115,'G-3 Multipliers'!$L$3:$N$6,3,FALSE)))</f>
        <v/>
      </c>
      <c r="X115" s="171" t="str">
        <f>IFERROR(IF(OR(LEFT(O115,5)="Error",LEFT(N115,5)="Error",T115="Error"),"Check Data",IF(F115&lt;R115,INDEX('G-6 Hedgerow Data'!$S$3:$AE$14,MATCH(C115,'G-6 Hedgerow Data'!$B$3:$B$14,0),MATCH(M115,'G-6 Hedgerow Data'!$S$2:$AE$2,0)),INDEX('G-6 Hedgerow Data'!$K$3:$Q$14,MATCH(M115,'G-6 Hedgerow Data'!$B$3:$B$14,0),MATCH(O115,'G-6 Hedgerow Data'!$K$2:$Q$2,0)))),"")</f>
        <v/>
      </c>
      <c r="Y115" s="261"/>
      <c r="Z115" s="261"/>
      <c r="AA115" s="179" t="str">
        <f t="shared" si="11"/>
        <v/>
      </c>
      <c r="AB115" s="262" t="str">
        <f t="shared" si="12"/>
        <v/>
      </c>
      <c r="AC115" s="263" t="str">
        <f t="shared" si="9"/>
        <v/>
      </c>
      <c r="AD115" s="239" t="str">
        <f>IF(M115="","",VLOOKUP(M115,'G-6 Hedgerow Data'!$B$3:$AG$15,31,FALSE))</f>
        <v/>
      </c>
      <c r="AE115" s="175" t="str">
        <f t="shared" si="13"/>
        <v/>
      </c>
      <c r="AF115" s="175" t="str">
        <f t="shared" si="14"/>
        <v/>
      </c>
      <c r="AG115" s="176" t="str">
        <f>IFERROR(IF(O115="","",VLOOKUP(AD115,'G-3 Multipliers'!$P$3:$Q$6,2,FALSE)),"")</f>
        <v/>
      </c>
      <c r="AH115" s="266"/>
      <c r="AI115" s="172" t="str">
        <f>IF(AH115="","",IF(VLOOKUP(AH115,'G-3 Multipliers'!$S$3:$T$6,2,FALSE)=0,"Spatial Data Missing",VLOOKUP(AH115,'G-3 Multipliers'!$S$3:$T$6,2,FALSE)))</f>
        <v/>
      </c>
      <c r="AJ115" s="265" t="str">
        <f t="shared" si="15"/>
        <v/>
      </c>
      <c r="AK115" s="180"/>
      <c r="AL115" s="181"/>
      <c r="AP115" s="35" t="str">
        <f>IFERROR(INDEX('G-6 Hedgerow Data'!$BJ$3:$BJ$15,MATCH(M115,'G-6 Hedgerow Data'!$B$3:$B$15,0)),"")</f>
        <v/>
      </c>
    </row>
    <row r="116" spans="2:42" ht="13.8" x14ac:dyDescent="0.25">
      <c r="B116" s="259" t="str">
        <f>'E-1 Off Site Hedge Baseline'!AK114</f>
        <v/>
      </c>
      <c r="C116" s="175" t="str">
        <f>IF(B116="","",IF(ISNA(VLOOKUP($B116,'E-1 Off Site Hedge Baseline'!$B$1:$L$257,3,FALSE)),"",(VLOOKUP($B116,'E-1 Off Site Hedge Baseline'!$B$1:$L$257,3,FALSE))))</f>
        <v/>
      </c>
      <c r="D116" s="175" t="str">
        <f>IF(B116="","",IF(ISNA(VLOOKUP($B116,'E-1 Off Site Hedge Baseline'!$B$1:$L$258,4,FALSE)),"",(VLOOKUP($B116,'E-1 Off Site Hedge Baseline'!$B$1:$L$258,4,FALSE))))</f>
        <v/>
      </c>
      <c r="E116" s="175" t="str">
        <f>IF(B116="","",IF(ISNA(VLOOKUP($B116,'E-1 Off Site Hedge Baseline'!$B$1:$L$257,5,FALSE)),"",(VLOOKUP($B116,'E-1 Off Site Hedge Baseline'!$B$1:$L$257,5,FALSE))))</f>
        <v/>
      </c>
      <c r="F116" s="175" t="str">
        <f>IF(B116="","",IF(ISNA(VLOOKUP($B116,'E-1 Off Site Hedge Baseline'!$B$1:$L$257,6,FALSE)),"",(VLOOKUP($B116,'E-1 Off Site Hedge Baseline'!$B$1:$L$257,6,FALSE))))</f>
        <v/>
      </c>
      <c r="G116" s="175" t="str">
        <f>IF(B116="","",IF(ISNA(VLOOKUP($B116,'E-1 Off Site Hedge Baseline'!$B$1:$L$257,7,FALSE)),"",(VLOOKUP($B116,'E-1 Off Site Hedge Baseline'!$B$1:$L$257,7,FALSE))))</f>
        <v/>
      </c>
      <c r="H116" s="175" t="str">
        <f>IF(B116="","",IF(ISNA(VLOOKUP($B116,'E-1 Off Site Hedge Baseline'!$B$1:$L$257,8,FALSE)),"",(VLOOKUP($B116,'E-1 Off Site Hedge Baseline'!$B$1:$L$257,8,FALSE))))</f>
        <v/>
      </c>
      <c r="I116" s="175" t="str">
        <f>IF(B116="","",IF(ISNA(VLOOKUP($B116,'E-1 Off Site Hedge Baseline'!$B$1:$L$257,10,FALSE)),"",(VLOOKUP($B116,'E-1 Off Site Hedge Baseline'!$B$1:$L$257,10,FALSE))))</f>
        <v/>
      </c>
      <c r="J116" s="175" t="str">
        <f>IF(B116="","",IF(ISNA(VLOOKUP($B116,'E-1 Off Site Hedge Baseline'!$B$1:$L$257,11,FALSE)),"",(VLOOKUP($B116,'E-1 Off Site Hedge Baseline'!$B$1:$L$257,11,FALSE))))</f>
        <v/>
      </c>
      <c r="K116" s="175" t="str">
        <f>IF(B116="","",IF(ISNA(VLOOKUP($B116,'E-1 Off Site Hedge Baseline'!$B$1:$U$257,113,FALSE)),"",(VLOOKUP($B116,'E-1 Off Site Hedge Baseline'!$B$1:$U$257,13,FALSE))))</f>
        <v/>
      </c>
      <c r="L116" s="179" t="str">
        <f>IF(B116="","",IF(ISNA(VLOOKUP($B116,'E-1 Off Site Hedge Baseline'!$B$1:$U$257,12,FALSE)),"",(VLOOKUP($B116,'E-1 Off Site Hedge Baseline'!$B$1:$U$257,12,FALSE))))</f>
        <v/>
      </c>
      <c r="M116" s="639" t="str">
        <f t="shared" si="16"/>
        <v/>
      </c>
      <c r="N116" s="171" t="str">
        <f>IFERROR(IF(B116="","",INDEX('G-6 Hedgerow Data'!$AN$3:$AZ$15,MATCH(C116,'G-6 Hedgerow Data'!$AM$3:$AM$15,0),MATCH(M116,'G-6 Hedgerow Data'!$AN$2:$AZ$2,0))),"")</f>
        <v/>
      </c>
      <c r="O116" s="172" t="str">
        <f t="shared" si="10"/>
        <v/>
      </c>
      <c r="P116" s="260" t="str">
        <f>IF(B116="","",VLOOKUP(B116,'E-1 Off Site Hedge Baseline'!$B$10:T361,16,FALSE))</f>
        <v/>
      </c>
      <c r="Q116" s="171" t="str">
        <f>IF(M116="","",VLOOKUP(M116,'G-6 Hedgerow Data'!$B$2:$AG$15,2,FALSE))</f>
        <v/>
      </c>
      <c r="R116" s="172" t="str">
        <f>IF(M116="","",VLOOKUP(M116,'G-6 Hedgerow Data'!$B$2:$AG$15,3,FALSE))</f>
        <v/>
      </c>
      <c r="S116" s="173"/>
      <c r="T116" s="172" t="str">
        <f>IFERROR(IF(AND(Q116="V.Low",OR(S116="Good",S116="Moderate")),"Error",VLOOKUP(S116,'G-1 All Habitats'!$Z$2:$AA$9,2,FALSE)),"")</f>
        <v/>
      </c>
      <c r="U116" s="173"/>
      <c r="V116" s="179" t="str">
        <f>IF(U116="","",IF(VLOOKUP(U116,'G-3 Multipliers'!$L$3:$N$6,2,FALSE)=0,"Spatial Data Missing",VLOOKUP(U116,'G-3 Multipliers'!$L$3:$N$6,2,FALSE)))</f>
        <v/>
      </c>
      <c r="W116" s="260" t="str">
        <f>IF(U116="","",IF(VLOOKUP(U116,'G-3 Multipliers'!$L$3:$N$6,3,FALSE)=0,"Spatial Data Missing",VLOOKUP(U116,'G-3 Multipliers'!$L$3:$N$6,3,FALSE)))</f>
        <v/>
      </c>
      <c r="X116" s="171" t="str">
        <f>IFERROR(IF(OR(LEFT(O116,5)="Error",LEFT(N116,5)="Error",T116="Error"),"Check Data",IF(F116&lt;R116,INDEX('G-6 Hedgerow Data'!$S$3:$AE$14,MATCH(C116,'G-6 Hedgerow Data'!$B$3:$B$14,0),MATCH(M116,'G-6 Hedgerow Data'!$S$2:$AE$2,0)),INDEX('G-6 Hedgerow Data'!$K$3:$Q$14,MATCH(M116,'G-6 Hedgerow Data'!$B$3:$B$14,0),MATCH(O116,'G-6 Hedgerow Data'!$K$2:$Q$2,0)))),"")</f>
        <v/>
      </c>
      <c r="Y116" s="261"/>
      <c r="Z116" s="261"/>
      <c r="AA116" s="179" t="str">
        <f t="shared" si="11"/>
        <v/>
      </c>
      <c r="AB116" s="262" t="str">
        <f t="shared" si="12"/>
        <v/>
      </c>
      <c r="AC116" s="263" t="str">
        <f t="shared" si="9"/>
        <v/>
      </c>
      <c r="AD116" s="239" t="str">
        <f>IF(M116="","",VLOOKUP(M116,'G-6 Hedgerow Data'!$B$3:$AG$15,31,FALSE))</f>
        <v/>
      </c>
      <c r="AE116" s="175" t="str">
        <f t="shared" si="13"/>
        <v/>
      </c>
      <c r="AF116" s="175" t="str">
        <f t="shared" si="14"/>
        <v/>
      </c>
      <c r="AG116" s="176" t="str">
        <f>IFERROR(IF(O116="","",VLOOKUP(AD116,'G-3 Multipliers'!$P$3:$Q$6,2,FALSE)),"")</f>
        <v/>
      </c>
      <c r="AH116" s="266"/>
      <c r="AI116" s="172" t="str">
        <f>IF(AH116="","",IF(VLOOKUP(AH116,'G-3 Multipliers'!$S$3:$T$6,2,FALSE)=0,"Spatial Data Missing",VLOOKUP(AH116,'G-3 Multipliers'!$S$3:$T$6,2,FALSE)))</f>
        <v/>
      </c>
      <c r="AJ116" s="265" t="str">
        <f t="shared" si="15"/>
        <v/>
      </c>
      <c r="AK116" s="180"/>
      <c r="AL116" s="181"/>
      <c r="AP116" s="35" t="str">
        <f>IFERROR(INDEX('G-6 Hedgerow Data'!$BJ$3:$BJ$15,MATCH(M116,'G-6 Hedgerow Data'!$B$3:$B$15,0)),"")</f>
        <v/>
      </c>
    </row>
    <row r="117" spans="2:42" ht="13.8" x14ac:dyDescent="0.25">
      <c r="B117" s="259" t="str">
        <f>'E-1 Off Site Hedge Baseline'!AK115</f>
        <v/>
      </c>
      <c r="C117" s="175" t="str">
        <f>IF(B117="","",IF(ISNA(VLOOKUP($B117,'E-1 Off Site Hedge Baseline'!$B$1:$L$257,3,FALSE)),"",(VLOOKUP($B117,'E-1 Off Site Hedge Baseline'!$B$1:$L$257,3,FALSE))))</f>
        <v/>
      </c>
      <c r="D117" s="175" t="str">
        <f>IF(B117="","",IF(ISNA(VLOOKUP($B117,'E-1 Off Site Hedge Baseline'!$B$1:$L$258,4,FALSE)),"",(VLOOKUP($B117,'E-1 Off Site Hedge Baseline'!$B$1:$L$258,4,FALSE))))</f>
        <v/>
      </c>
      <c r="E117" s="175" t="str">
        <f>IF(B117="","",IF(ISNA(VLOOKUP($B117,'E-1 Off Site Hedge Baseline'!$B$1:$L$257,5,FALSE)),"",(VLOOKUP($B117,'E-1 Off Site Hedge Baseline'!$B$1:$L$257,5,FALSE))))</f>
        <v/>
      </c>
      <c r="F117" s="175" t="str">
        <f>IF(B117="","",IF(ISNA(VLOOKUP($B117,'E-1 Off Site Hedge Baseline'!$B$1:$L$257,6,FALSE)),"",(VLOOKUP($B117,'E-1 Off Site Hedge Baseline'!$B$1:$L$257,6,FALSE))))</f>
        <v/>
      </c>
      <c r="G117" s="175" t="str">
        <f>IF(B117="","",IF(ISNA(VLOOKUP($B117,'E-1 Off Site Hedge Baseline'!$B$1:$L$257,7,FALSE)),"",(VLOOKUP($B117,'E-1 Off Site Hedge Baseline'!$B$1:$L$257,7,FALSE))))</f>
        <v/>
      </c>
      <c r="H117" s="175" t="str">
        <f>IF(B117="","",IF(ISNA(VLOOKUP($B117,'E-1 Off Site Hedge Baseline'!$B$1:$L$257,8,FALSE)),"",(VLOOKUP($B117,'E-1 Off Site Hedge Baseline'!$B$1:$L$257,8,FALSE))))</f>
        <v/>
      </c>
      <c r="I117" s="175" t="str">
        <f>IF(B117="","",IF(ISNA(VLOOKUP($B117,'E-1 Off Site Hedge Baseline'!$B$1:$L$257,10,FALSE)),"",(VLOOKUP($B117,'E-1 Off Site Hedge Baseline'!$B$1:$L$257,10,FALSE))))</f>
        <v/>
      </c>
      <c r="J117" s="175" t="str">
        <f>IF(B117="","",IF(ISNA(VLOOKUP($B117,'E-1 Off Site Hedge Baseline'!$B$1:$L$257,11,FALSE)),"",(VLOOKUP($B117,'E-1 Off Site Hedge Baseline'!$B$1:$L$257,11,FALSE))))</f>
        <v/>
      </c>
      <c r="K117" s="175" t="str">
        <f>IF(B117="","",IF(ISNA(VLOOKUP($B117,'E-1 Off Site Hedge Baseline'!$B$1:$U$257,113,FALSE)),"",(VLOOKUP($B117,'E-1 Off Site Hedge Baseline'!$B$1:$U$257,13,FALSE))))</f>
        <v/>
      </c>
      <c r="L117" s="179" t="str">
        <f>IF(B117="","",IF(ISNA(VLOOKUP($B117,'E-1 Off Site Hedge Baseline'!$B$1:$U$257,12,FALSE)),"",(VLOOKUP($B117,'E-1 Off Site Hedge Baseline'!$B$1:$U$257,12,FALSE))))</f>
        <v/>
      </c>
      <c r="M117" s="639" t="str">
        <f t="shared" si="16"/>
        <v/>
      </c>
      <c r="N117" s="171" t="str">
        <f>IFERROR(IF(B117="","",INDEX('G-6 Hedgerow Data'!$AN$3:$AZ$15,MATCH(C117,'G-6 Hedgerow Data'!$AM$3:$AM$15,0),MATCH(M117,'G-6 Hedgerow Data'!$AN$2:$AZ$2,0))),"")</f>
        <v/>
      </c>
      <c r="O117" s="172" t="str">
        <f t="shared" si="10"/>
        <v/>
      </c>
      <c r="P117" s="260" t="str">
        <f>IF(B117="","",VLOOKUP(B117,'E-1 Off Site Hedge Baseline'!$B$10:T362,16,FALSE))</f>
        <v/>
      </c>
      <c r="Q117" s="171" t="str">
        <f>IF(M117="","",VLOOKUP(M117,'G-6 Hedgerow Data'!$B$2:$AG$15,2,FALSE))</f>
        <v/>
      </c>
      <c r="R117" s="172" t="str">
        <f>IF(M117="","",VLOOKUP(M117,'G-6 Hedgerow Data'!$B$2:$AG$15,3,FALSE))</f>
        <v/>
      </c>
      <c r="S117" s="173"/>
      <c r="T117" s="172" t="str">
        <f>IFERROR(IF(AND(Q117="V.Low",OR(S117="Good",S117="Moderate")),"Error",VLOOKUP(S117,'G-1 All Habitats'!$Z$2:$AA$9,2,FALSE)),"")</f>
        <v/>
      </c>
      <c r="U117" s="173"/>
      <c r="V117" s="179" t="str">
        <f>IF(U117="","",IF(VLOOKUP(U117,'G-3 Multipliers'!$L$3:$N$6,2,FALSE)=0,"Spatial Data Missing",VLOOKUP(U117,'G-3 Multipliers'!$L$3:$N$6,2,FALSE)))</f>
        <v/>
      </c>
      <c r="W117" s="260" t="str">
        <f>IF(U117="","",IF(VLOOKUP(U117,'G-3 Multipliers'!$L$3:$N$6,3,FALSE)=0,"Spatial Data Missing",VLOOKUP(U117,'G-3 Multipliers'!$L$3:$N$6,3,FALSE)))</f>
        <v/>
      </c>
      <c r="X117" s="171" t="str">
        <f>IFERROR(IF(OR(LEFT(O117,5)="Error",LEFT(N117,5)="Error",T117="Error"),"Check Data",IF(F117&lt;R117,INDEX('G-6 Hedgerow Data'!$S$3:$AE$14,MATCH(C117,'G-6 Hedgerow Data'!$B$3:$B$14,0),MATCH(M117,'G-6 Hedgerow Data'!$S$2:$AE$2,0)),INDEX('G-6 Hedgerow Data'!$K$3:$Q$14,MATCH(M117,'G-6 Hedgerow Data'!$B$3:$B$14,0),MATCH(O117,'G-6 Hedgerow Data'!$K$2:$Q$2,0)))),"")</f>
        <v/>
      </c>
      <c r="Y117" s="261"/>
      <c r="Z117" s="261"/>
      <c r="AA117" s="179" t="str">
        <f t="shared" si="11"/>
        <v/>
      </c>
      <c r="AB117" s="262" t="str">
        <f t="shared" si="12"/>
        <v/>
      </c>
      <c r="AC117" s="263" t="str">
        <f t="shared" si="9"/>
        <v/>
      </c>
      <c r="AD117" s="239" t="str">
        <f>IF(M117="","",VLOOKUP(M117,'G-6 Hedgerow Data'!$B$3:$AG$15,31,FALSE))</f>
        <v/>
      </c>
      <c r="AE117" s="175" t="str">
        <f t="shared" si="13"/>
        <v/>
      </c>
      <c r="AF117" s="175" t="str">
        <f t="shared" si="14"/>
        <v/>
      </c>
      <c r="AG117" s="176" t="str">
        <f>IFERROR(IF(O117="","",VLOOKUP(AD117,'G-3 Multipliers'!$P$3:$Q$6,2,FALSE)),"")</f>
        <v/>
      </c>
      <c r="AH117" s="266"/>
      <c r="AI117" s="172" t="str">
        <f>IF(AH117="","",IF(VLOOKUP(AH117,'G-3 Multipliers'!$S$3:$T$6,2,FALSE)=0,"Spatial Data Missing",VLOOKUP(AH117,'G-3 Multipliers'!$S$3:$T$6,2,FALSE)))</f>
        <v/>
      </c>
      <c r="AJ117" s="265" t="str">
        <f t="shared" si="15"/>
        <v/>
      </c>
      <c r="AK117" s="180"/>
      <c r="AL117" s="181"/>
      <c r="AP117" s="35" t="str">
        <f>IFERROR(INDEX('G-6 Hedgerow Data'!$BJ$3:$BJ$15,MATCH(M117,'G-6 Hedgerow Data'!$B$3:$B$15,0)),"")</f>
        <v/>
      </c>
    </row>
    <row r="118" spans="2:42" ht="13.8" x14ac:dyDescent="0.25">
      <c r="B118" s="259" t="str">
        <f>'E-1 Off Site Hedge Baseline'!AK116</f>
        <v/>
      </c>
      <c r="C118" s="175" t="str">
        <f>IF(B118="","",IF(ISNA(VLOOKUP($B118,'E-1 Off Site Hedge Baseline'!$B$1:$L$257,3,FALSE)),"",(VLOOKUP($B118,'E-1 Off Site Hedge Baseline'!$B$1:$L$257,3,FALSE))))</f>
        <v/>
      </c>
      <c r="D118" s="175" t="str">
        <f>IF(B118="","",IF(ISNA(VLOOKUP($B118,'E-1 Off Site Hedge Baseline'!$B$1:$L$258,4,FALSE)),"",(VLOOKUP($B118,'E-1 Off Site Hedge Baseline'!$B$1:$L$258,4,FALSE))))</f>
        <v/>
      </c>
      <c r="E118" s="175" t="str">
        <f>IF(B118="","",IF(ISNA(VLOOKUP($B118,'E-1 Off Site Hedge Baseline'!$B$1:$L$257,5,FALSE)),"",(VLOOKUP($B118,'E-1 Off Site Hedge Baseline'!$B$1:$L$257,5,FALSE))))</f>
        <v/>
      </c>
      <c r="F118" s="175" t="str">
        <f>IF(B118="","",IF(ISNA(VLOOKUP($B118,'E-1 Off Site Hedge Baseline'!$B$1:$L$257,6,FALSE)),"",(VLOOKUP($B118,'E-1 Off Site Hedge Baseline'!$B$1:$L$257,6,FALSE))))</f>
        <v/>
      </c>
      <c r="G118" s="175" t="str">
        <f>IF(B118="","",IF(ISNA(VLOOKUP($B118,'E-1 Off Site Hedge Baseline'!$B$1:$L$257,7,FALSE)),"",(VLOOKUP($B118,'E-1 Off Site Hedge Baseline'!$B$1:$L$257,7,FALSE))))</f>
        <v/>
      </c>
      <c r="H118" s="175" t="str">
        <f>IF(B118="","",IF(ISNA(VLOOKUP($B118,'E-1 Off Site Hedge Baseline'!$B$1:$L$257,8,FALSE)),"",(VLOOKUP($B118,'E-1 Off Site Hedge Baseline'!$B$1:$L$257,8,FALSE))))</f>
        <v/>
      </c>
      <c r="I118" s="175" t="str">
        <f>IF(B118="","",IF(ISNA(VLOOKUP($B118,'E-1 Off Site Hedge Baseline'!$B$1:$L$257,10,FALSE)),"",(VLOOKUP($B118,'E-1 Off Site Hedge Baseline'!$B$1:$L$257,10,FALSE))))</f>
        <v/>
      </c>
      <c r="J118" s="175" t="str">
        <f>IF(B118="","",IF(ISNA(VLOOKUP($B118,'E-1 Off Site Hedge Baseline'!$B$1:$L$257,11,FALSE)),"",(VLOOKUP($B118,'E-1 Off Site Hedge Baseline'!$B$1:$L$257,11,FALSE))))</f>
        <v/>
      </c>
      <c r="K118" s="175" t="str">
        <f>IF(B118="","",IF(ISNA(VLOOKUP($B118,'E-1 Off Site Hedge Baseline'!$B$1:$U$257,113,FALSE)),"",(VLOOKUP($B118,'E-1 Off Site Hedge Baseline'!$B$1:$U$257,13,FALSE))))</f>
        <v/>
      </c>
      <c r="L118" s="179" t="str">
        <f>IF(B118="","",IF(ISNA(VLOOKUP($B118,'E-1 Off Site Hedge Baseline'!$B$1:$U$257,12,FALSE)),"",(VLOOKUP($B118,'E-1 Off Site Hedge Baseline'!$B$1:$U$257,12,FALSE))))</f>
        <v/>
      </c>
      <c r="M118" s="639" t="str">
        <f t="shared" si="16"/>
        <v/>
      </c>
      <c r="N118" s="171" t="str">
        <f>IFERROR(IF(B118="","",INDEX('G-6 Hedgerow Data'!$AN$3:$AZ$15,MATCH(C118,'G-6 Hedgerow Data'!$AM$3:$AM$15,0),MATCH(M118,'G-6 Hedgerow Data'!$AN$2:$AZ$2,0))),"")</f>
        <v/>
      </c>
      <c r="O118" s="172" t="str">
        <f t="shared" si="10"/>
        <v/>
      </c>
      <c r="P118" s="260" t="str">
        <f>IF(B118="","",VLOOKUP(B118,'E-1 Off Site Hedge Baseline'!$B$10:T363,16,FALSE))</f>
        <v/>
      </c>
      <c r="Q118" s="171" t="str">
        <f>IF(M118="","",VLOOKUP(M118,'G-6 Hedgerow Data'!$B$2:$AG$15,2,FALSE))</f>
        <v/>
      </c>
      <c r="R118" s="172" t="str">
        <f>IF(M118="","",VLOOKUP(M118,'G-6 Hedgerow Data'!$B$2:$AG$15,3,FALSE))</f>
        <v/>
      </c>
      <c r="S118" s="173"/>
      <c r="T118" s="172" t="str">
        <f>IFERROR(IF(AND(Q118="V.Low",OR(S118="Good",S118="Moderate")),"Error",VLOOKUP(S118,'G-1 All Habitats'!$Z$2:$AA$9,2,FALSE)),"")</f>
        <v/>
      </c>
      <c r="U118" s="173"/>
      <c r="V118" s="179" t="str">
        <f>IF(U118="","",IF(VLOOKUP(U118,'G-3 Multipliers'!$L$3:$N$6,2,FALSE)=0,"Spatial Data Missing",VLOOKUP(U118,'G-3 Multipliers'!$L$3:$N$6,2,FALSE)))</f>
        <v/>
      </c>
      <c r="W118" s="260" t="str">
        <f>IF(U118="","",IF(VLOOKUP(U118,'G-3 Multipliers'!$L$3:$N$6,3,FALSE)=0,"Spatial Data Missing",VLOOKUP(U118,'G-3 Multipliers'!$L$3:$N$6,3,FALSE)))</f>
        <v/>
      </c>
      <c r="X118" s="171" t="str">
        <f>IFERROR(IF(OR(LEFT(O118,5)="Error",LEFT(N118,5)="Error",T118="Error"),"Check Data",IF(F118&lt;R118,INDEX('G-6 Hedgerow Data'!$S$3:$AE$14,MATCH(C118,'G-6 Hedgerow Data'!$B$3:$B$14,0),MATCH(M118,'G-6 Hedgerow Data'!$S$2:$AE$2,0)),INDEX('G-6 Hedgerow Data'!$K$3:$Q$14,MATCH(M118,'G-6 Hedgerow Data'!$B$3:$B$14,0),MATCH(O118,'G-6 Hedgerow Data'!$K$2:$Q$2,0)))),"")</f>
        <v/>
      </c>
      <c r="Y118" s="261"/>
      <c r="Z118" s="261"/>
      <c r="AA118" s="179" t="str">
        <f t="shared" si="11"/>
        <v/>
      </c>
      <c r="AB118" s="262" t="str">
        <f t="shared" si="12"/>
        <v/>
      </c>
      <c r="AC118" s="263" t="str">
        <f t="shared" si="9"/>
        <v/>
      </c>
      <c r="AD118" s="239" t="str">
        <f>IF(M118="","",VLOOKUP(M118,'G-6 Hedgerow Data'!$B$3:$AG$15,31,FALSE))</f>
        <v/>
      </c>
      <c r="AE118" s="175" t="str">
        <f t="shared" si="13"/>
        <v/>
      </c>
      <c r="AF118" s="175" t="str">
        <f t="shared" si="14"/>
        <v/>
      </c>
      <c r="AG118" s="176" t="str">
        <f>IFERROR(IF(O118="","",VLOOKUP(AD118,'G-3 Multipliers'!$P$3:$Q$6,2,FALSE)),"")</f>
        <v/>
      </c>
      <c r="AH118" s="266"/>
      <c r="AI118" s="172" t="str">
        <f>IF(AH118="","",IF(VLOOKUP(AH118,'G-3 Multipliers'!$S$3:$T$6,2,FALSE)=0,"Spatial Data Missing",VLOOKUP(AH118,'G-3 Multipliers'!$S$3:$T$6,2,FALSE)))</f>
        <v/>
      </c>
      <c r="AJ118" s="265" t="str">
        <f t="shared" si="15"/>
        <v/>
      </c>
      <c r="AK118" s="180"/>
      <c r="AL118" s="181"/>
      <c r="AP118" s="35" t="str">
        <f>IFERROR(INDEX('G-6 Hedgerow Data'!$BJ$3:$BJ$15,MATCH(M118,'G-6 Hedgerow Data'!$B$3:$B$15,0)),"")</f>
        <v/>
      </c>
    </row>
    <row r="119" spans="2:42" ht="13.8" x14ac:dyDescent="0.25">
      <c r="B119" s="259" t="str">
        <f>'E-1 Off Site Hedge Baseline'!AK117</f>
        <v/>
      </c>
      <c r="C119" s="175" t="str">
        <f>IF(B119="","",IF(ISNA(VLOOKUP($B119,'E-1 Off Site Hedge Baseline'!$B$1:$L$257,3,FALSE)),"",(VLOOKUP($B119,'E-1 Off Site Hedge Baseline'!$B$1:$L$257,3,FALSE))))</f>
        <v/>
      </c>
      <c r="D119" s="175" t="str">
        <f>IF(B119="","",IF(ISNA(VLOOKUP($B119,'E-1 Off Site Hedge Baseline'!$B$1:$L$258,4,FALSE)),"",(VLOOKUP($B119,'E-1 Off Site Hedge Baseline'!$B$1:$L$258,4,FALSE))))</f>
        <v/>
      </c>
      <c r="E119" s="175" t="str">
        <f>IF(B119="","",IF(ISNA(VLOOKUP($B119,'E-1 Off Site Hedge Baseline'!$B$1:$L$257,5,FALSE)),"",(VLOOKUP($B119,'E-1 Off Site Hedge Baseline'!$B$1:$L$257,5,FALSE))))</f>
        <v/>
      </c>
      <c r="F119" s="175" t="str">
        <f>IF(B119="","",IF(ISNA(VLOOKUP($B119,'E-1 Off Site Hedge Baseline'!$B$1:$L$257,6,FALSE)),"",(VLOOKUP($B119,'E-1 Off Site Hedge Baseline'!$B$1:$L$257,6,FALSE))))</f>
        <v/>
      </c>
      <c r="G119" s="175" t="str">
        <f>IF(B119="","",IF(ISNA(VLOOKUP($B119,'E-1 Off Site Hedge Baseline'!$B$1:$L$257,7,FALSE)),"",(VLOOKUP($B119,'E-1 Off Site Hedge Baseline'!$B$1:$L$257,7,FALSE))))</f>
        <v/>
      </c>
      <c r="H119" s="175" t="str">
        <f>IF(B119="","",IF(ISNA(VLOOKUP($B119,'E-1 Off Site Hedge Baseline'!$B$1:$L$257,8,FALSE)),"",(VLOOKUP($B119,'E-1 Off Site Hedge Baseline'!$B$1:$L$257,8,FALSE))))</f>
        <v/>
      </c>
      <c r="I119" s="175" t="str">
        <f>IF(B119="","",IF(ISNA(VLOOKUP($B119,'E-1 Off Site Hedge Baseline'!$B$1:$L$257,10,FALSE)),"",(VLOOKUP($B119,'E-1 Off Site Hedge Baseline'!$B$1:$L$257,10,FALSE))))</f>
        <v/>
      </c>
      <c r="J119" s="175" t="str">
        <f>IF(B119="","",IF(ISNA(VLOOKUP($B119,'E-1 Off Site Hedge Baseline'!$B$1:$L$257,11,FALSE)),"",(VLOOKUP($B119,'E-1 Off Site Hedge Baseline'!$B$1:$L$257,11,FALSE))))</f>
        <v/>
      </c>
      <c r="K119" s="175" t="str">
        <f>IF(B119="","",IF(ISNA(VLOOKUP($B119,'E-1 Off Site Hedge Baseline'!$B$1:$U$257,113,FALSE)),"",(VLOOKUP($B119,'E-1 Off Site Hedge Baseline'!$B$1:$U$257,13,FALSE))))</f>
        <v/>
      </c>
      <c r="L119" s="179" t="str">
        <f>IF(B119="","",IF(ISNA(VLOOKUP($B119,'E-1 Off Site Hedge Baseline'!$B$1:$U$257,12,FALSE)),"",(VLOOKUP($B119,'E-1 Off Site Hedge Baseline'!$B$1:$U$257,12,FALSE))))</f>
        <v/>
      </c>
      <c r="M119" s="639" t="str">
        <f t="shared" si="16"/>
        <v/>
      </c>
      <c r="N119" s="171" t="str">
        <f>IFERROR(IF(B119="","",INDEX('G-6 Hedgerow Data'!$AN$3:$AZ$15,MATCH(C119,'G-6 Hedgerow Data'!$AM$3:$AM$15,0),MATCH(M119,'G-6 Hedgerow Data'!$AN$2:$AZ$2,0))),"")</f>
        <v/>
      </c>
      <c r="O119" s="172" t="str">
        <f t="shared" si="10"/>
        <v/>
      </c>
      <c r="P119" s="260" t="str">
        <f>IF(B119="","",VLOOKUP(B119,'E-1 Off Site Hedge Baseline'!$B$10:T364,16,FALSE))</f>
        <v/>
      </c>
      <c r="Q119" s="171" t="str">
        <f>IF(M119="","",VLOOKUP(M119,'G-6 Hedgerow Data'!$B$2:$AG$15,2,FALSE))</f>
        <v/>
      </c>
      <c r="R119" s="172" t="str">
        <f>IF(M119="","",VLOOKUP(M119,'G-6 Hedgerow Data'!$B$2:$AG$15,3,FALSE))</f>
        <v/>
      </c>
      <c r="S119" s="173"/>
      <c r="T119" s="172" t="str">
        <f>IFERROR(IF(AND(Q119="V.Low",OR(S119="Good",S119="Moderate")),"Error",VLOOKUP(S119,'G-1 All Habitats'!$Z$2:$AA$9,2,FALSE)),"")</f>
        <v/>
      </c>
      <c r="U119" s="173"/>
      <c r="V119" s="179" t="str">
        <f>IF(U119="","",IF(VLOOKUP(U119,'G-3 Multipliers'!$L$3:$N$6,2,FALSE)=0,"Spatial Data Missing",VLOOKUP(U119,'G-3 Multipliers'!$L$3:$N$6,2,FALSE)))</f>
        <v/>
      </c>
      <c r="W119" s="260" t="str">
        <f>IF(U119="","",IF(VLOOKUP(U119,'G-3 Multipliers'!$L$3:$N$6,3,FALSE)=0,"Spatial Data Missing",VLOOKUP(U119,'G-3 Multipliers'!$L$3:$N$6,3,FALSE)))</f>
        <v/>
      </c>
      <c r="X119" s="171" t="str">
        <f>IFERROR(IF(OR(LEFT(O119,5)="Error",LEFT(N119,5)="Error",T119="Error"),"Check Data",IF(F119&lt;R119,INDEX('G-6 Hedgerow Data'!$S$3:$AE$14,MATCH(C119,'G-6 Hedgerow Data'!$B$3:$B$14,0),MATCH(M119,'G-6 Hedgerow Data'!$S$2:$AE$2,0)),INDEX('G-6 Hedgerow Data'!$K$3:$Q$14,MATCH(M119,'G-6 Hedgerow Data'!$B$3:$B$14,0),MATCH(O119,'G-6 Hedgerow Data'!$K$2:$Q$2,0)))),"")</f>
        <v/>
      </c>
      <c r="Y119" s="261"/>
      <c r="Z119" s="261"/>
      <c r="AA119" s="179" t="str">
        <f t="shared" si="11"/>
        <v/>
      </c>
      <c r="AB119" s="262" t="str">
        <f t="shared" si="12"/>
        <v/>
      </c>
      <c r="AC119" s="263" t="str">
        <f t="shared" si="9"/>
        <v/>
      </c>
      <c r="AD119" s="239" t="str">
        <f>IF(M119="","",VLOOKUP(M119,'G-6 Hedgerow Data'!$B$3:$AG$15,31,FALSE))</f>
        <v/>
      </c>
      <c r="AE119" s="175" t="str">
        <f t="shared" si="13"/>
        <v/>
      </c>
      <c r="AF119" s="175" t="str">
        <f t="shared" si="14"/>
        <v/>
      </c>
      <c r="AG119" s="176" t="str">
        <f>IFERROR(IF(O119="","",VLOOKUP(AD119,'G-3 Multipliers'!$P$3:$Q$6,2,FALSE)),"")</f>
        <v/>
      </c>
      <c r="AH119" s="266"/>
      <c r="AI119" s="172" t="str">
        <f>IF(AH119="","",IF(VLOOKUP(AH119,'G-3 Multipliers'!$S$3:$T$6,2,FALSE)=0,"Spatial Data Missing",VLOOKUP(AH119,'G-3 Multipliers'!$S$3:$T$6,2,FALSE)))</f>
        <v/>
      </c>
      <c r="AJ119" s="265" t="str">
        <f t="shared" si="15"/>
        <v/>
      </c>
      <c r="AK119" s="180"/>
      <c r="AL119" s="181"/>
      <c r="AP119" s="35" t="str">
        <f>IFERROR(INDEX('G-6 Hedgerow Data'!$BJ$3:$BJ$15,MATCH(M119,'G-6 Hedgerow Data'!$B$3:$B$15,0)),"")</f>
        <v/>
      </c>
    </row>
    <row r="120" spans="2:42" ht="13.8" x14ac:dyDescent="0.25">
      <c r="B120" s="259" t="str">
        <f>'E-1 Off Site Hedge Baseline'!AK118</f>
        <v/>
      </c>
      <c r="C120" s="175" t="str">
        <f>IF(B120="","",IF(ISNA(VLOOKUP($B120,'E-1 Off Site Hedge Baseline'!$B$1:$L$257,3,FALSE)),"",(VLOOKUP($B120,'E-1 Off Site Hedge Baseline'!$B$1:$L$257,3,FALSE))))</f>
        <v/>
      </c>
      <c r="D120" s="175" t="str">
        <f>IF(B120="","",IF(ISNA(VLOOKUP($B120,'E-1 Off Site Hedge Baseline'!$B$1:$L$258,4,FALSE)),"",(VLOOKUP($B120,'E-1 Off Site Hedge Baseline'!$B$1:$L$258,4,FALSE))))</f>
        <v/>
      </c>
      <c r="E120" s="175" t="str">
        <f>IF(B120="","",IF(ISNA(VLOOKUP($B120,'E-1 Off Site Hedge Baseline'!$B$1:$L$257,5,FALSE)),"",(VLOOKUP($B120,'E-1 Off Site Hedge Baseline'!$B$1:$L$257,5,FALSE))))</f>
        <v/>
      </c>
      <c r="F120" s="175" t="str">
        <f>IF(B120="","",IF(ISNA(VLOOKUP($B120,'E-1 Off Site Hedge Baseline'!$B$1:$L$257,6,FALSE)),"",(VLOOKUP($B120,'E-1 Off Site Hedge Baseline'!$B$1:$L$257,6,FALSE))))</f>
        <v/>
      </c>
      <c r="G120" s="175" t="str">
        <f>IF(B120="","",IF(ISNA(VLOOKUP($B120,'E-1 Off Site Hedge Baseline'!$B$1:$L$257,7,FALSE)),"",(VLOOKUP($B120,'E-1 Off Site Hedge Baseline'!$B$1:$L$257,7,FALSE))))</f>
        <v/>
      </c>
      <c r="H120" s="175" t="str">
        <f>IF(B120="","",IF(ISNA(VLOOKUP($B120,'E-1 Off Site Hedge Baseline'!$B$1:$L$257,8,FALSE)),"",(VLOOKUP($B120,'E-1 Off Site Hedge Baseline'!$B$1:$L$257,8,FALSE))))</f>
        <v/>
      </c>
      <c r="I120" s="175" t="str">
        <f>IF(B120="","",IF(ISNA(VLOOKUP($B120,'E-1 Off Site Hedge Baseline'!$B$1:$L$257,10,FALSE)),"",(VLOOKUP($B120,'E-1 Off Site Hedge Baseline'!$B$1:$L$257,10,FALSE))))</f>
        <v/>
      </c>
      <c r="J120" s="175" t="str">
        <f>IF(B120="","",IF(ISNA(VLOOKUP($B120,'E-1 Off Site Hedge Baseline'!$B$1:$L$257,11,FALSE)),"",(VLOOKUP($B120,'E-1 Off Site Hedge Baseline'!$B$1:$L$257,11,FALSE))))</f>
        <v/>
      </c>
      <c r="K120" s="175" t="str">
        <f>IF(B120="","",IF(ISNA(VLOOKUP($B120,'E-1 Off Site Hedge Baseline'!$B$1:$U$257,113,FALSE)),"",(VLOOKUP($B120,'E-1 Off Site Hedge Baseline'!$B$1:$U$257,13,FALSE))))</f>
        <v/>
      </c>
      <c r="L120" s="179" t="str">
        <f>IF(B120="","",IF(ISNA(VLOOKUP($B120,'E-1 Off Site Hedge Baseline'!$B$1:$U$257,12,FALSE)),"",(VLOOKUP($B120,'E-1 Off Site Hedge Baseline'!$B$1:$U$257,12,FALSE))))</f>
        <v/>
      </c>
      <c r="M120" s="639" t="str">
        <f t="shared" si="16"/>
        <v/>
      </c>
      <c r="N120" s="171" t="str">
        <f>IFERROR(IF(B120="","",INDEX('G-6 Hedgerow Data'!$AN$3:$AZ$15,MATCH(C120,'G-6 Hedgerow Data'!$AM$3:$AM$15,0),MATCH(M120,'G-6 Hedgerow Data'!$AN$2:$AZ$2,0))),"")</f>
        <v/>
      </c>
      <c r="O120" s="172" t="str">
        <f t="shared" si="10"/>
        <v/>
      </c>
      <c r="P120" s="260" t="str">
        <f>IF(B120="","",VLOOKUP(B120,'E-1 Off Site Hedge Baseline'!$B$10:T365,16,FALSE))</f>
        <v/>
      </c>
      <c r="Q120" s="171" t="str">
        <f>IF(M120="","",VLOOKUP(M120,'G-6 Hedgerow Data'!$B$2:$AG$15,2,FALSE))</f>
        <v/>
      </c>
      <c r="R120" s="172" t="str">
        <f>IF(M120="","",VLOOKUP(M120,'G-6 Hedgerow Data'!$B$2:$AG$15,3,FALSE))</f>
        <v/>
      </c>
      <c r="S120" s="173"/>
      <c r="T120" s="172" t="str">
        <f>IFERROR(IF(AND(Q120="V.Low",OR(S120="Good",S120="Moderate")),"Error",VLOOKUP(S120,'G-1 All Habitats'!$Z$2:$AA$9,2,FALSE)),"")</f>
        <v/>
      </c>
      <c r="U120" s="173"/>
      <c r="V120" s="179" t="str">
        <f>IF(U120="","",IF(VLOOKUP(U120,'G-3 Multipliers'!$L$3:$N$6,2,FALSE)=0,"Spatial Data Missing",VLOOKUP(U120,'G-3 Multipliers'!$L$3:$N$6,2,FALSE)))</f>
        <v/>
      </c>
      <c r="W120" s="260" t="str">
        <f>IF(U120="","",IF(VLOOKUP(U120,'G-3 Multipliers'!$L$3:$N$6,3,FALSE)=0,"Spatial Data Missing",VLOOKUP(U120,'G-3 Multipliers'!$L$3:$N$6,3,FALSE)))</f>
        <v/>
      </c>
      <c r="X120" s="171" t="str">
        <f>IFERROR(IF(OR(LEFT(O120,5)="Error",LEFT(N120,5)="Error",T120="Error"),"Check Data",IF(F120&lt;R120,INDEX('G-6 Hedgerow Data'!$S$3:$AE$14,MATCH(C120,'G-6 Hedgerow Data'!$B$3:$B$14,0),MATCH(M120,'G-6 Hedgerow Data'!$S$2:$AE$2,0)),INDEX('G-6 Hedgerow Data'!$K$3:$Q$14,MATCH(M120,'G-6 Hedgerow Data'!$B$3:$B$14,0),MATCH(O120,'G-6 Hedgerow Data'!$K$2:$Q$2,0)))),"")</f>
        <v/>
      </c>
      <c r="Y120" s="261"/>
      <c r="Z120" s="261"/>
      <c r="AA120" s="179" t="str">
        <f t="shared" si="11"/>
        <v/>
      </c>
      <c r="AB120" s="262" t="str">
        <f t="shared" si="12"/>
        <v/>
      </c>
      <c r="AC120" s="263" t="str">
        <f t="shared" si="9"/>
        <v/>
      </c>
      <c r="AD120" s="239" t="str">
        <f>IF(M120="","",VLOOKUP(M120,'G-6 Hedgerow Data'!$B$3:$AG$15,31,FALSE))</f>
        <v/>
      </c>
      <c r="AE120" s="175" t="str">
        <f t="shared" si="13"/>
        <v/>
      </c>
      <c r="AF120" s="175" t="str">
        <f t="shared" si="14"/>
        <v/>
      </c>
      <c r="AG120" s="176" t="str">
        <f>IFERROR(IF(O120="","",VLOOKUP(AD120,'G-3 Multipliers'!$P$3:$Q$6,2,FALSE)),"")</f>
        <v/>
      </c>
      <c r="AH120" s="266"/>
      <c r="AI120" s="172" t="str">
        <f>IF(AH120="","",IF(VLOOKUP(AH120,'G-3 Multipliers'!$S$3:$T$6,2,FALSE)=0,"Spatial Data Missing",VLOOKUP(AH120,'G-3 Multipliers'!$S$3:$T$6,2,FALSE)))</f>
        <v/>
      </c>
      <c r="AJ120" s="265" t="str">
        <f t="shared" si="15"/>
        <v/>
      </c>
      <c r="AK120" s="180"/>
      <c r="AL120" s="181"/>
      <c r="AP120" s="35" t="str">
        <f>IFERROR(INDEX('G-6 Hedgerow Data'!$BJ$3:$BJ$15,MATCH(M120,'G-6 Hedgerow Data'!$B$3:$B$15,0)),"")</f>
        <v/>
      </c>
    </row>
    <row r="121" spans="2:42" ht="13.8" x14ac:dyDescent="0.25">
      <c r="B121" s="259" t="str">
        <f>'E-1 Off Site Hedge Baseline'!AK119</f>
        <v/>
      </c>
      <c r="C121" s="175" t="str">
        <f>IF(B121="","",IF(ISNA(VLOOKUP($B121,'E-1 Off Site Hedge Baseline'!$B$1:$L$257,3,FALSE)),"",(VLOOKUP($B121,'E-1 Off Site Hedge Baseline'!$B$1:$L$257,3,FALSE))))</f>
        <v/>
      </c>
      <c r="D121" s="175" t="str">
        <f>IF(B121="","",IF(ISNA(VLOOKUP($B121,'E-1 Off Site Hedge Baseline'!$B$1:$L$258,4,FALSE)),"",(VLOOKUP($B121,'E-1 Off Site Hedge Baseline'!$B$1:$L$258,4,FALSE))))</f>
        <v/>
      </c>
      <c r="E121" s="175" t="str">
        <f>IF(B121="","",IF(ISNA(VLOOKUP($B121,'E-1 Off Site Hedge Baseline'!$B$1:$L$257,5,FALSE)),"",(VLOOKUP($B121,'E-1 Off Site Hedge Baseline'!$B$1:$L$257,5,FALSE))))</f>
        <v/>
      </c>
      <c r="F121" s="175" t="str">
        <f>IF(B121="","",IF(ISNA(VLOOKUP($B121,'E-1 Off Site Hedge Baseline'!$B$1:$L$257,6,FALSE)),"",(VLOOKUP($B121,'E-1 Off Site Hedge Baseline'!$B$1:$L$257,6,FALSE))))</f>
        <v/>
      </c>
      <c r="G121" s="175" t="str">
        <f>IF(B121="","",IF(ISNA(VLOOKUP($B121,'E-1 Off Site Hedge Baseline'!$B$1:$L$257,7,FALSE)),"",(VLOOKUP($B121,'E-1 Off Site Hedge Baseline'!$B$1:$L$257,7,FALSE))))</f>
        <v/>
      </c>
      <c r="H121" s="175" t="str">
        <f>IF(B121="","",IF(ISNA(VLOOKUP($B121,'E-1 Off Site Hedge Baseline'!$B$1:$L$257,8,FALSE)),"",(VLOOKUP($B121,'E-1 Off Site Hedge Baseline'!$B$1:$L$257,8,FALSE))))</f>
        <v/>
      </c>
      <c r="I121" s="175" t="str">
        <f>IF(B121="","",IF(ISNA(VLOOKUP($B121,'E-1 Off Site Hedge Baseline'!$B$1:$L$257,10,FALSE)),"",(VLOOKUP($B121,'E-1 Off Site Hedge Baseline'!$B$1:$L$257,10,FALSE))))</f>
        <v/>
      </c>
      <c r="J121" s="175" t="str">
        <f>IF(B121="","",IF(ISNA(VLOOKUP($B121,'E-1 Off Site Hedge Baseline'!$B$1:$L$257,11,FALSE)),"",(VLOOKUP($B121,'E-1 Off Site Hedge Baseline'!$B$1:$L$257,11,FALSE))))</f>
        <v/>
      </c>
      <c r="K121" s="175" t="str">
        <f>IF(B121="","",IF(ISNA(VLOOKUP($B121,'E-1 Off Site Hedge Baseline'!$B$1:$U$257,113,FALSE)),"",(VLOOKUP($B121,'E-1 Off Site Hedge Baseline'!$B$1:$U$257,13,FALSE))))</f>
        <v/>
      </c>
      <c r="L121" s="179" t="str">
        <f>IF(B121="","",IF(ISNA(VLOOKUP($B121,'E-1 Off Site Hedge Baseline'!$B$1:$U$257,12,FALSE)),"",(VLOOKUP($B121,'E-1 Off Site Hedge Baseline'!$B$1:$U$257,12,FALSE))))</f>
        <v/>
      </c>
      <c r="M121" s="639" t="str">
        <f t="shared" si="16"/>
        <v/>
      </c>
      <c r="N121" s="171" t="str">
        <f>IFERROR(IF(B121="","",INDEX('G-6 Hedgerow Data'!$AN$3:$AZ$15,MATCH(C121,'G-6 Hedgerow Data'!$AM$3:$AM$15,0),MATCH(M121,'G-6 Hedgerow Data'!$AN$2:$AZ$2,0))),"")</f>
        <v/>
      </c>
      <c r="O121" s="172" t="str">
        <f t="shared" si="10"/>
        <v/>
      </c>
      <c r="P121" s="260" t="str">
        <f>IF(B121="","",VLOOKUP(B121,'E-1 Off Site Hedge Baseline'!$B$10:T366,16,FALSE))</f>
        <v/>
      </c>
      <c r="Q121" s="171" t="str">
        <f>IF(M121="","",VLOOKUP(M121,'G-6 Hedgerow Data'!$B$2:$AG$15,2,FALSE))</f>
        <v/>
      </c>
      <c r="R121" s="172" t="str">
        <f>IF(M121="","",VLOOKUP(M121,'G-6 Hedgerow Data'!$B$2:$AG$15,3,FALSE))</f>
        <v/>
      </c>
      <c r="S121" s="173"/>
      <c r="T121" s="172" t="str">
        <f>IFERROR(IF(AND(Q121="V.Low",OR(S121="Good",S121="Moderate")),"Error",VLOOKUP(S121,'G-1 All Habitats'!$Z$2:$AA$9,2,FALSE)),"")</f>
        <v/>
      </c>
      <c r="U121" s="173"/>
      <c r="V121" s="179" t="str">
        <f>IF(U121="","",IF(VLOOKUP(U121,'G-3 Multipliers'!$L$3:$N$6,2,FALSE)=0,"Spatial Data Missing",VLOOKUP(U121,'G-3 Multipliers'!$L$3:$N$6,2,FALSE)))</f>
        <v/>
      </c>
      <c r="W121" s="260" t="str">
        <f>IF(U121="","",IF(VLOOKUP(U121,'G-3 Multipliers'!$L$3:$N$6,3,FALSE)=0,"Spatial Data Missing",VLOOKUP(U121,'G-3 Multipliers'!$L$3:$N$6,3,FALSE)))</f>
        <v/>
      </c>
      <c r="X121" s="171" t="str">
        <f>IFERROR(IF(OR(LEFT(O121,5)="Error",LEFT(N121,5)="Error",T121="Error"),"Check Data",IF(F121&lt;R121,INDEX('G-6 Hedgerow Data'!$S$3:$AE$14,MATCH(C121,'G-6 Hedgerow Data'!$B$3:$B$14,0),MATCH(M121,'G-6 Hedgerow Data'!$S$2:$AE$2,0)),INDEX('G-6 Hedgerow Data'!$K$3:$Q$14,MATCH(M121,'G-6 Hedgerow Data'!$B$3:$B$14,0),MATCH(O121,'G-6 Hedgerow Data'!$K$2:$Q$2,0)))),"")</f>
        <v/>
      </c>
      <c r="Y121" s="261"/>
      <c r="Z121" s="261"/>
      <c r="AA121" s="179" t="str">
        <f t="shared" si="11"/>
        <v/>
      </c>
      <c r="AB121" s="262" t="str">
        <f t="shared" si="12"/>
        <v/>
      </c>
      <c r="AC121" s="263" t="str">
        <f t="shared" si="9"/>
        <v/>
      </c>
      <c r="AD121" s="239" t="str">
        <f>IF(M121="","",VLOOKUP(M121,'G-6 Hedgerow Data'!$B$3:$AG$15,31,FALSE))</f>
        <v/>
      </c>
      <c r="AE121" s="175" t="str">
        <f t="shared" si="13"/>
        <v/>
      </c>
      <c r="AF121" s="175" t="str">
        <f t="shared" si="14"/>
        <v/>
      </c>
      <c r="AG121" s="176" t="str">
        <f>IFERROR(IF(O121="","",VLOOKUP(AD121,'G-3 Multipliers'!$P$3:$Q$6,2,FALSE)),"")</f>
        <v/>
      </c>
      <c r="AH121" s="266"/>
      <c r="AI121" s="172" t="str">
        <f>IF(AH121="","",IF(VLOOKUP(AH121,'G-3 Multipliers'!$S$3:$T$6,2,FALSE)=0,"Spatial Data Missing",VLOOKUP(AH121,'G-3 Multipliers'!$S$3:$T$6,2,FALSE)))</f>
        <v/>
      </c>
      <c r="AJ121" s="265" t="str">
        <f t="shared" si="15"/>
        <v/>
      </c>
      <c r="AK121" s="180"/>
      <c r="AL121" s="181"/>
      <c r="AP121" s="35" t="str">
        <f>IFERROR(INDEX('G-6 Hedgerow Data'!$BJ$3:$BJ$15,MATCH(M121,'G-6 Hedgerow Data'!$B$3:$B$15,0)),"")</f>
        <v/>
      </c>
    </row>
    <row r="122" spans="2:42" ht="13.8" x14ac:dyDescent="0.25">
      <c r="B122" s="259" t="str">
        <f>'E-1 Off Site Hedge Baseline'!AK120</f>
        <v/>
      </c>
      <c r="C122" s="175" t="str">
        <f>IF(B122="","",IF(ISNA(VLOOKUP($B122,'E-1 Off Site Hedge Baseline'!$B$1:$L$257,3,FALSE)),"",(VLOOKUP($B122,'E-1 Off Site Hedge Baseline'!$B$1:$L$257,3,FALSE))))</f>
        <v/>
      </c>
      <c r="D122" s="175" t="str">
        <f>IF(B122="","",IF(ISNA(VLOOKUP($B122,'E-1 Off Site Hedge Baseline'!$B$1:$L$258,4,FALSE)),"",(VLOOKUP($B122,'E-1 Off Site Hedge Baseline'!$B$1:$L$258,4,FALSE))))</f>
        <v/>
      </c>
      <c r="E122" s="175" t="str">
        <f>IF(B122="","",IF(ISNA(VLOOKUP($B122,'E-1 Off Site Hedge Baseline'!$B$1:$L$257,5,FALSE)),"",(VLOOKUP($B122,'E-1 Off Site Hedge Baseline'!$B$1:$L$257,5,FALSE))))</f>
        <v/>
      </c>
      <c r="F122" s="175" t="str">
        <f>IF(B122="","",IF(ISNA(VLOOKUP($B122,'E-1 Off Site Hedge Baseline'!$B$1:$L$257,6,FALSE)),"",(VLOOKUP($B122,'E-1 Off Site Hedge Baseline'!$B$1:$L$257,6,FALSE))))</f>
        <v/>
      </c>
      <c r="G122" s="175" t="str">
        <f>IF(B122="","",IF(ISNA(VLOOKUP($B122,'E-1 Off Site Hedge Baseline'!$B$1:$L$257,7,FALSE)),"",(VLOOKUP($B122,'E-1 Off Site Hedge Baseline'!$B$1:$L$257,7,FALSE))))</f>
        <v/>
      </c>
      <c r="H122" s="175" t="str">
        <f>IF(B122="","",IF(ISNA(VLOOKUP($B122,'E-1 Off Site Hedge Baseline'!$B$1:$L$257,8,FALSE)),"",(VLOOKUP($B122,'E-1 Off Site Hedge Baseline'!$B$1:$L$257,8,FALSE))))</f>
        <v/>
      </c>
      <c r="I122" s="175" t="str">
        <f>IF(B122="","",IF(ISNA(VLOOKUP($B122,'E-1 Off Site Hedge Baseline'!$B$1:$L$257,10,FALSE)),"",(VLOOKUP($B122,'E-1 Off Site Hedge Baseline'!$B$1:$L$257,10,FALSE))))</f>
        <v/>
      </c>
      <c r="J122" s="175" t="str">
        <f>IF(B122="","",IF(ISNA(VLOOKUP($B122,'E-1 Off Site Hedge Baseline'!$B$1:$L$257,11,FALSE)),"",(VLOOKUP($B122,'E-1 Off Site Hedge Baseline'!$B$1:$L$257,11,FALSE))))</f>
        <v/>
      </c>
      <c r="K122" s="175" t="str">
        <f>IF(B122="","",IF(ISNA(VLOOKUP($B122,'E-1 Off Site Hedge Baseline'!$B$1:$U$257,113,FALSE)),"",(VLOOKUP($B122,'E-1 Off Site Hedge Baseline'!$B$1:$U$257,13,FALSE))))</f>
        <v/>
      </c>
      <c r="L122" s="179" t="str">
        <f>IF(B122="","",IF(ISNA(VLOOKUP($B122,'E-1 Off Site Hedge Baseline'!$B$1:$U$257,12,FALSE)),"",(VLOOKUP($B122,'E-1 Off Site Hedge Baseline'!$B$1:$U$257,12,FALSE))))</f>
        <v/>
      </c>
      <c r="M122" s="639" t="str">
        <f t="shared" si="16"/>
        <v/>
      </c>
      <c r="N122" s="171" t="str">
        <f>IFERROR(IF(B122="","",INDEX('G-6 Hedgerow Data'!$AN$3:$AZ$15,MATCH(C122,'G-6 Hedgerow Data'!$AM$3:$AM$15,0),MATCH(M122,'G-6 Hedgerow Data'!$AN$2:$AZ$2,0))),"")</f>
        <v/>
      </c>
      <c r="O122" s="172" t="str">
        <f t="shared" si="10"/>
        <v/>
      </c>
      <c r="P122" s="260" t="str">
        <f>IF(B122="","",VLOOKUP(B122,'E-1 Off Site Hedge Baseline'!$B$10:T367,16,FALSE))</f>
        <v/>
      </c>
      <c r="Q122" s="171" t="str">
        <f>IF(M122="","",VLOOKUP(M122,'G-6 Hedgerow Data'!$B$2:$AG$15,2,FALSE))</f>
        <v/>
      </c>
      <c r="R122" s="172" t="str">
        <f>IF(M122="","",VLOOKUP(M122,'G-6 Hedgerow Data'!$B$2:$AG$15,3,FALSE))</f>
        <v/>
      </c>
      <c r="S122" s="173"/>
      <c r="T122" s="172" t="str">
        <f>IFERROR(IF(AND(Q122="V.Low",OR(S122="Good",S122="Moderate")),"Error",VLOOKUP(S122,'G-1 All Habitats'!$Z$2:$AA$9,2,FALSE)),"")</f>
        <v/>
      </c>
      <c r="U122" s="173"/>
      <c r="V122" s="179" t="str">
        <f>IF(U122="","",IF(VLOOKUP(U122,'G-3 Multipliers'!$L$3:$N$6,2,FALSE)=0,"Spatial Data Missing",VLOOKUP(U122,'G-3 Multipliers'!$L$3:$N$6,2,FALSE)))</f>
        <v/>
      </c>
      <c r="W122" s="260" t="str">
        <f>IF(U122="","",IF(VLOOKUP(U122,'G-3 Multipliers'!$L$3:$N$6,3,FALSE)=0,"Spatial Data Missing",VLOOKUP(U122,'G-3 Multipliers'!$L$3:$N$6,3,FALSE)))</f>
        <v/>
      </c>
      <c r="X122" s="171" t="str">
        <f>IFERROR(IF(OR(LEFT(O122,5)="Error",LEFT(N122,5)="Error",T122="Error"),"Check Data",IF(F122&lt;R122,INDEX('G-6 Hedgerow Data'!$S$3:$AE$14,MATCH(C122,'G-6 Hedgerow Data'!$B$3:$B$14,0),MATCH(M122,'G-6 Hedgerow Data'!$S$2:$AE$2,0)),INDEX('G-6 Hedgerow Data'!$K$3:$Q$14,MATCH(M122,'G-6 Hedgerow Data'!$B$3:$B$14,0),MATCH(O122,'G-6 Hedgerow Data'!$K$2:$Q$2,0)))),"")</f>
        <v/>
      </c>
      <c r="Y122" s="261"/>
      <c r="Z122" s="261"/>
      <c r="AA122" s="179" t="str">
        <f t="shared" si="11"/>
        <v/>
      </c>
      <c r="AB122" s="262" t="str">
        <f t="shared" si="12"/>
        <v/>
      </c>
      <c r="AC122" s="263" t="str">
        <f t="shared" si="9"/>
        <v/>
      </c>
      <c r="AD122" s="239" t="str">
        <f>IF(M122="","",VLOOKUP(M122,'G-6 Hedgerow Data'!$B$3:$AG$15,31,FALSE))</f>
        <v/>
      </c>
      <c r="AE122" s="175" t="str">
        <f t="shared" si="13"/>
        <v/>
      </c>
      <c r="AF122" s="175" t="str">
        <f t="shared" si="14"/>
        <v/>
      </c>
      <c r="AG122" s="176" t="str">
        <f>IFERROR(IF(O122="","",VLOOKUP(AD122,'G-3 Multipliers'!$P$3:$Q$6,2,FALSE)),"")</f>
        <v/>
      </c>
      <c r="AH122" s="266"/>
      <c r="AI122" s="172" t="str">
        <f>IF(AH122="","",IF(VLOOKUP(AH122,'G-3 Multipliers'!$S$3:$T$6,2,FALSE)=0,"Spatial Data Missing",VLOOKUP(AH122,'G-3 Multipliers'!$S$3:$T$6,2,FALSE)))</f>
        <v/>
      </c>
      <c r="AJ122" s="265" t="str">
        <f t="shared" si="15"/>
        <v/>
      </c>
      <c r="AK122" s="180"/>
      <c r="AL122" s="181"/>
      <c r="AP122" s="35" t="str">
        <f>IFERROR(INDEX('G-6 Hedgerow Data'!$BJ$3:$BJ$15,MATCH(M122,'G-6 Hedgerow Data'!$B$3:$B$15,0)),"")</f>
        <v/>
      </c>
    </row>
    <row r="123" spans="2:42" ht="13.8" x14ac:dyDescent="0.25">
      <c r="B123" s="259" t="str">
        <f>'E-1 Off Site Hedge Baseline'!AK121</f>
        <v/>
      </c>
      <c r="C123" s="175" t="str">
        <f>IF(B123="","",IF(ISNA(VLOOKUP($B123,'E-1 Off Site Hedge Baseline'!$B$1:$L$257,3,FALSE)),"",(VLOOKUP($B123,'E-1 Off Site Hedge Baseline'!$B$1:$L$257,3,FALSE))))</f>
        <v/>
      </c>
      <c r="D123" s="175" t="str">
        <f>IF(B123="","",IF(ISNA(VLOOKUP($B123,'E-1 Off Site Hedge Baseline'!$B$1:$L$258,4,FALSE)),"",(VLOOKUP($B123,'E-1 Off Site Hedge Baseline'!$B$1:$L$258,4,FALSE))))</f>
        <v/>
      </c>
      <c r="E123" s="175" t="str">
        <f>IF(B123="","",IF(ISNA(VLOOKUP($B123,'E-1 Off Site Hedge Baseline'!$B$1:$L$257,5,FALSE)),"",(VLOOKUP($B123,'E-1 Off Site Hedge Baseline'!$B$1:$L$257,5,FALSE))))</f>
        <v/>
      </c>
      <c r="F123" s="175" t="str">
        <f>IF(B123="","",IF(ISNA(VLOOKUP($B123,'E-1 Off Site Hedge Baseline'!$B$1:$L$257,6,FALSE)),"",(VLOOKUP($B123,'E-1 Off Site Hedge Baseline'!$B$1:$L$257,6,FALSE))))</f>
        <v/>
      </c>
      <c r="G123" s="175" t="str">
        <f>IF(B123="","",IF(ISNA(VLOOKUP($B123,'E-1 Off Site Hedge Baseline'!$B$1:$L$257,7,FALSE)),"",(VLOOKUP($B123,'E-1 Off Site Hedge Baseline'!$B$1:$L$257,7,FALSE))))</f>
        <v/>
      </c>
      <c r="H123" s="175" t="str">
        <f>IF(B123="","",IF(ISNA(VLOOKUP($B123,'E-1 Off Site Hedge Baseline'!$B$1:$L$257,8,FALSE)),"",(VLOOKUP($B123,'E-1 Off Site Hedge Baseline'!$B$1:$L$257,8,FALSE))))</f>
        <v/>
      </c>
      <c r="I123" s="175" t="str">
        <f>IF(B123="","",IF(ISNA(VLOOKUP($B123,'E-1 Off Site Hedge Baseline'!$B$1:$L$257,10,FALSE)),"",(VLOOKUP($B123,'E-1 Off Site Hedge Baseline'!$B$1:$L$257,10,FALSE))))</f>
        <v/>
      </c>
      <c r="J123" s="175" t="str">
        <f>IF(B123="","",IF(ISNA(VLOOKUP($B123,'E-1 Off Site Hedge Baseline'!$B$1:$L$257,11,FALSE)),"",(VLOOKUP($B123,'E-1 Off Site Hedge Baseline'!$B$1:$L$257,11,FALSE))))</f>
        <v/>
      </c>
      <c r="K123" s="175" t="str">
        <f>IF(B123="","",IF(ISNA(VLOOKUP($B123,'E-1 Off Site Hedge Baseline'!$B$1:$U$257,113,FALSE)),"",(VLOOKUP($B123,'E-1 Off Site Hedge Baseline'!$B$1:$U$257,13,FALSE))))</f>
        <v/>
      </c>
      <c r="L123" s="179" t="str">
        <f>IF(B123="","",IF(ISNA(VLOOKUP($B123,'E-1 Off Site Hedge Baseline'!$B$1:$U$257,12,FALSE)),"",(VLOOKUP($B123,'E-1 Off Site Hedge Baseline'!$B$1:$U$257,12,FALSE))))</f>
        <v/>
      </c>
      <c r="M123" s="639" t="str">
        <f t="shared" si="16"/>
        <v/>
      </c>
      <c r="N123" s="171" t="str">
        <f>IFERROR(IF(B123="","",INDEX('G-6 Hedgerow Data'!$AN$3:$AZ$15,MATCH(C123,'G-6 Hedgerow Data'!$AM$3:$AM$15,0),MATCH(M123,'G-6 Hedgerow Data'!$AN$2:$AZ$2,0))),"")</f>
        <v/>
      </c>
      <c r="O123" s="172" t="str">
        <f t="shared" si="10"/>
        <v/>
      </c>
      <c r="P123" s="260" t="str">
        <f>IF(B123="","",VLOOKUP(B123,'E-1 Off Site Hedge Baseline'!$B$10:T368,16,FALSE))</f>
        <v/>
      </c>
      <c r="Q123" s="171" t="str">
        <f>IF(M123="","",VLOOKUP(M123,'G-6 Hedgerow Data'!$B$2:$AG$15,2,FALSE))</f>
        <v/>
      </c>
      <c r="R123" s="172" t="str">
        <f>IF(M123="","",VLOOKUP(M123,'G-6 Hedgerow Data'!$B$2:$AG$15,3,FALSE))</f>
        <v/>
      </c>
      <c r="S123" s="173"/>
      <c r="T123" s="172" t="str">
        <f>IFERROR(IF(AND(Q123="V.Low",OR(S123="Good",S123="Moderate")),"Error",VLOOKUP(S123,'G-1 All Habitats'!$Z$2:$AA$9,2,FALSE)),"")</f>
        <v/>
      </c>
      <c r="U123" s="173"/>
      <c r="V123" s="179" t="str">
        <f>IF(U123="","",IF(VLOOKUP(U123,'G-3 Multipliers'!$L$3:$N$6,2,FALSE)=0,"Spatial Data Missing",VLOOKUP(U123,'G-3 Multipliers'!$L$3:$N$6,2,FALSE)))</f>
        <v/>
      </c>
      <c r="W123" s="260" t="str">
        <f>IF(U123="","",IF(VLOOKUP(U123,'G-3 Multipliers'!$L$3:$N$6,3,FALSE)=0,"Spatial Data Missing",VLOOKUP(U123,'G-3 Multipliers'!$L$3:$N$6,3,FALSE)))</f>
        <v/>
      </c>
      <c r="X123" s="171" t="str">
        <f>IFERROR(IF(OR(LEFT(O123,5)="Error",LEFT(N123,5)="Error",T123="Error"),"Check Data",IF(F123&lt;R123,INDEX('G-6 Hedgerow Data'!$S$3:$AE$14,MATCH(C123,'G-6 Hedgerow Data'!$B$3:$B$14,0),MATCH(M123,'G-6 Hedgerow Data'!$S$2:$AE$2,0)),INDEX('G-6 Hedgerow Data'!$K$3:$Q$14,MATCH(M123,'G-6 Hedgerow Data'!$B$3:$B$14,0),MATCH(O123,'G-6 Hedgerow Data'!$K$2:$Q$2,0)))),"")</f>
        <v/>
      </c>
      <c r="Y123" s="261"/>
      <c r="Z123" s="261"/>
      <c r="AA123" s="179" t="str">
        <f t="shared" si="11"/>
        <v/>
      </c>
      <c r="AB123" s="262" t="str">
        <f t="shared" si="12"/>
        <v/>
      </c>
      <c r="AC123" s="263" t="str">
        <f t="shared" si="9"/>
        <v/>
      </c>
      <c r="AD123" s="239" t="str">
        <f>IF(M123="","",VLOOKUP(M123,'G-6 Hedgerow Data'!$B$3:$AG$15,31,FALSE))</f>
        <v/>
      </c>
      <c r="AE123" s="175" t="str">
        <f t="shared" si="13"/>
        <v/>
      </c>
      <c r="AF123" s="175" t="str">
        <f t="shared" si="14"/>
        <v/>
      </c>
      <c r="AG123" s="176" t="str">
        <f>IFERROR(IF(O123="","",VLOOKUP(AD123,'G-3 Multipliers'!$P$3:$Q$6,2,FALSE)),"")</f>
        <v/>
      </c>
      <c r="AH123" s="266"/>
      <c r="AI123" s="172" t="str">
        <f>IF(AH123="","",IF(VLOOKUP(AH123,'G-3 Multipliers'!$S$3:$T$6,2,FALSE)=0,"Spatial Data Missing",VLOOKUP(AH123,'G-3 Multipliers'!$S$3:$T$6,2,FALSE)))</f>
        <v/>
      </c>
      <c r="AJ123" s="265" t="str">
        <f t="shared" si="15"/>
        <v/>
      </c>
      <c r="AK123" s="180"/>
      <c r="AL123" s="181"/>
      <c r="AP123" s="35" t="str">
        <f>IFERROR(INDEX('G-6 Hedgerow Data'!$BJ$3:$BJ$15,MATCH(M123,'G-6 Hedgerow Data'!$B$3:$B$15,0)),"")</f>
        <v/>
      </c>
    </row>
    <row r="124" spans="2:42" ht="13.8" x14ac:dyDescent="0.25">
      <c r="B124" s="259" t="str">
        <f>'E-1 Off Site Hedge Baseline'!AK122</f>
        <v/>
      </c>
      <c r="C124" s="175" t="str">
        <f>IF(B124="","",IF(ISNA(VLOOKUP($B124,'E-1 Off Site Hedge Baseline'!$B$1:$L$257,3,FALSE)),"",(VLOOKUP($B124,'E-1 Off Site Hedge Baseline'!$B$1:$L$257,3,FALSE))))</f>
        <v/>
      </c>
      <c r="D124" s="175" t="str">
        <f>IF(B124="","",IF(ISNA(VLOOKUP($B124,'E-1 Off Site Hedge Baseline'!$B$1:$L$258,4,FALSE)),"",(VLOOKUP($B124,'E-1 Off Site Hedge Baseline'!$B$1:$L$258,4,FALSE))))</f>
        <v/>
      </c>
      <c r="E124" s="175" t="str">
        <f>IF(B124="","",IF(ISNA(VLOOKUP($B124,'E-1 Off Site Hedge Baseline'!$B$1:$L$257,5,FALSE)),"",(VLOOKUP($B124,'E-1 Off Site Hedge Baseline'!$B$1:$L$257,5,FALSE))))</f>
        <v/>
      </c>
      <c r="F124" s="175" t="str">
        <f>IF(B124="","",IF(ISNA(VLOOKUP($B124,'E-1 Off Site Hedge Baseline'!$B$1:$L$257,6,FALSE)),"",(VLOOKUP($B124,'E-1 Off Site Hedge Baseline'!$B$1:$L$257,6,FALSE))))</f>
        <v/>
      </c>
      <c r="G124" s="175" t="str">
        <f>IF(B124="","",IF(ISNA(VLOOKUP($B124,'E-1 Off Site Hedge Baseline'!$B$1:$L$257,7,FALSE)),"",(VLOOKUP($B124,'E-1 Off Site Hedge Baseline'!$B$1:$L$257,7,FALSE))))</f>
        <v/>
      </c>
      <c r="H124" s="175" t="str">
        <f>IF(B124="","",IF(ISNA(VLOOKUP($B124,'E-1 Off Site Hedge Baseline'!$B$1:$L$257,8,FALSE)),"",(VLOOKUP($B124,'E-1 Off Site Hedge Baseline'!$B$1:$L$257,8,FALSE))))</f>
        <v/>
      </c>
      <c r="I124" s="175" t="str">
        <f>IF(B124="","",IF(ISNA(VLOOKUP($B124,'E-1 Off Site Hedge Baseline'!$B$1:$L$257,10,FALSE)),"",(VLOOKUP($B124,'E-1 Off Site Hedge Baseline'!$B$1:$L$257,10,FALSE))))</f>
        <v/>
      </c>
      <c r="J124" s="175" t="str">
        <f>IF(B124="","",IF(ISNA(VLOOKUP($B124,'E-1 Off Site Hedge Baseline'!$B$1:$L$257,11,FALSE)),"",(VLOOKUP($B124,'E-1 Off Site Hedge Baseline'!$B$1:$L$257,11,FALSE))))</f>
        <v/>
      </c>
      <c r="K124" s="175" t="str">
        <f>IF(B124="","",IF(ISNA(VLOOKUP($B124,'E-1 Off Site Hedge Baseline'!$B$1:$U$257,113,FALSE)),"",(VLOOKUP($B124,'E-1 Off Site Hedge Baseline'!$B$1:$U$257,13,FALSE))))</f>
        <v/>
      </c>
      <c r="L124" s="179" t="str">
        <f>IF(B124="","",IF(ISNA(VLOOKUP($B124,'E-1 Off Site Hedge Baseline'!$B$1:$U$257,12,FALSE)),"",(VLOOKUP($B124,'E-1 Off Site Hedge Baseline'!$B$1:$U$257,12,FALSE))))</f>
        <v/>
      </c>
      <c r="M124" s="639" t="str">
        <f t="shared" si="16"/>
        <v/>
      </c>
      <c r="N124" s="171" t="str">
        <f>IFERROR(IF(B124="","",INDEX('G-6 Hedgerow Data'!$AN$3:$AZ$15,MATCH(C124,'G-6 Hedgerow Data'!$AM$3:$AM$15,0),MATCH(M124,'G-6 Hedgerow Data'!$AN$2:$AZ$2,0))),"")</f>
        <v/>
      </c>
      <c r="O124" s="172" t="str">
        <f t="shared" si="10"/>
        <v/>
      </c>
      <c r="P124" s="260" t="str">
        <f>IF(B124="","",VLOOKUP(B124,'E-1 Off Site Hedge Baseline'!$B$10:T369,16,FALSE))</f>
        <v/>
      </c>
      <c r="Q124" s="171" t="str">
        <f>IF(M124="","",VLOOKUP(M124,'G-6 Hedgerow Data'!$B$2:$AG$15,2,FALSE))</f>
        <v/>
      </c>
      <c r="R124" s="172" t="str">
        <f>IF(M124="","",VLOOKUP(M124,'G-6 Hedgerow Data'!$B$2:$AG$15,3,FALSE))</f>
        <v/>
      </c>
      <c r="S124" s="173"/>
      <c r="T124" s="172" t="str">
        <f>IFERROR(IF(AND(Q124="V.Low",OR(S124="Good",S124="Moderate")),"Error",VLOOKUP(S124,'G-1 All Habitats'!$Z$2:$AA$9,2,FALSE)),"")</f>
        <v/>
      </c>
      <c r="U124" s="173"/>
      <c r="V124" s="179" t="str">
        <f>IF(U124="","",IF(VLOOKUP(U124,'G-3 Multipliers'!$L$3:$N$6,2,FALSE)=0,"Spatial Data Missing",VLOOKUP(U124,'G-3 Multipliers'!$L$3:$N$6,2,FALSE)))</f>
        <v/>
      </c>
      <c r="W124" s="260" t="str">
        <f>IF(U124="","",IF(VLOOKUP(U124,'G-3 Multipliers'!$L$3:$N$6,3,FALSE)=0,"Spatial Data Missing",VLOOKUP(U124,'G-3 Multipliers'!$L$3:$N$6,3,FALSE)))</f>
        <v/>
      </c>
      <c r="X124" s="171" t="str">
        <f>IFERROR(IF(OR(LEFT(O124,5)="Error",LEFT(N124,5)="Error",T124="Error"),"Check Data",IF(F124&lt;R124,INDEX('G-6 Hedgerow Data'!$S$3:$AE$14,MATCH(C124,'G-6 Hedgerow Data'!$B$3:$B$14,0),MATCH(M124,'G-6 Hedgerow Data'!$S$2:$AE$2,0)),INDEX('G-6 Hedgerow Data'!$K$3:$Q$14,MATCH(M124,'G-6 Hedgerow Data'!$B$3:$B$14,0),MATCH(O124,'G-6 Hedgerow Data'!$K$2:$Q$2,0)))),"")</f>
        <v/>
      </c>
      <c r="Y124" s="261"/>
      <c r="Z124" s="261"/>
      <c r="AA124" s="179" t="str">
        <f t="shared" si="11"/>
        <v/>
      </c>
      <c r="AB124" s="262" t="str">
        <f t="shared" si="12"/>
        <v/>
      </c>
      <c r="AC124" s="263" t="str">
        <f t="shared" si="9"/>
        <v/>
      </c>
      <c r="AD124" s="239" t="str">
        <f>IF(M124="","",VLOOKUP(M124,'G-6 Hedgerow Data'!$B$3:$AG$15,31,FALSE))</f>
        <v/>
      </c>
      <c r="AE124" s="175" t="str">
        <f t="shared" si="13"/>
        <v/>
      </c>
      <c r="AF124" s="175" t="str">
        <f t="shared" si="14"/>
        <v/>
      </c>
      <c r="AG124" s="176" t="str">
        <f>IFERROR(IF(O124="","",VLOOKUP(AD124,'G-3 Multipliers'!$P$3:$Q$6,2,FALSE)),"")</f>
        <v/>
      </c>
      <c r="AH124" s="266"/>
      <c r="AI124" s="172" t="str">
        <f>IF(AH124="","",IF(VLOOKUP(AH124,'G-3 Multipliers'!$S$3:$T$6,2,FALSE)=0,"Spatial Data Missing",VLOOKUP(AH124,'G-3 Multipliers'!$S$3:$T$6,2,FALSE)))</f>
        <v/>
      </c>
      <c r="AJ124" s="265" t="str">
        <f t="shared" si="15"/>
        <v/>
      </c>
      <c r="AK124" s="180"/>
      <c r="AL124" s="181"/>
      <c r="AP124" s="35" t="str">
        <f>IFERROR(INDEX('G-6 Hedgerow Data'!$BJ$3:$BJ$15,MATCH(M124,'G-6 Hedgerow Data'!$B$3:$B$15,0)),"")</f>
        <v/>
      </c>
    </row>
    <row r="125" spans="2:42" ht="13.8" x14ac:dyDescent="0.25">
      <c r="B125" s="259" t="str">
        <f>'E-1 Off Site Hedge Baseline'!AK123</f>
        <v/>
      </c>
      <c r="C125" s="175" t="str">
        <f>IF(B125="","",IF(ISNA(VLOOKUP($B125,'E-1 Off Site Hedge Baseline'!$B$1:$L$257,3,FALSE)),"",(VLOOKUP($B125,'E-1 Off Site Hedge Baseline'!$B$1:$L$257,3,FALSE))))</f>
        <v/>
      </c>
      <c r="D125" s="175" t="str">
        <f>IF(B125="","",IF(ISNA(VLOOKUP($B125,'E-1 Off Site Hedge Baseline'!$B$1:$L$258,4,FALSE)),"",(VLOOKUP($B125,'E-1 Off Site Hedge Baseline'!$B$1:$L$258,4,FALSE))))</f>
        <v/>
      </c>
      <c r="E125" s="175" t="str">
        <f>IF(B125="","",IF(ISNA(VLOOKUP($B125,'E-1 Off Site Hedge Baseline'!$B$1:$L$257,5,FALSE)),"",(VLOOKUP($B125,'E-1 Off Site Hedge Baseline'!$B$1:$L$257,5,FALSE))))</f>
        <v/>
      </c>
      <c r="F125" s="175" t="str">
        <f>IF(B125="","",IF(ISNA(VLOOKUP($B125,'E-1 Off Site Hedge Baseline'!$B$1:$L$257,6,FALSE)),"",(VLOOKUP($B125,'E-1 Off Site Hedge Baseline'!$B$1:$L$257,6,FALSE))))</f>
        <v/>
      </c>
      <c r="G125" s="175" t="str">
        <f>IF(B125="","",IF(ISNA(VLOOKUP($B125,'E-1 Off Site Hedge Baseline'!$B$1:$L$257,7,FALSE)),"",(VLOOKUP($B125,'E-1 Off Site Hedge Baseline'!$B$1:$L$257,7,FALSE))))</f>
        <v/>
      </c>
      <c r="H125" s="175" t="str">
        <f>IF(B125="","",IF(ISNA(VLOOKUP($B125,'E-1 Off Site Hedge Baseline'!$B$1:$L$257,8,FALSE)),"",(VLOOKUP($B125,'E-1 Off Site Hedge Baseline'!$B$1:$L$257,8,FALSE))))</f>
        <v/>
      </c>
      <c r="I125" s="175" t="str">
        <f>IF(B125="","",IF(ISNA(VLOOKUP($B125,'E-1 Off Site Hedge Baseline'!$B$1:$L$257,10,FALSE)),"",(VLOOKUP($B125,'E-1 Off Site Hedge Baseline'!$B$1:$L$257,10,FALSE))))</f>
        <v/>
      </c>
      <c r="J125" s="175" t="str">
        <f>IF(B125="","",IF(ISNA(VLOOKUP($B125,'E-1 Off Site Hedge Baseline'!$B$1:$L$257,11,FALSE)),"",(VLOOKUP($B125,'E-1 Off Site Hedge Baseline'!$B$1:$L$257,11,FALSE))))</f>
        <v/>
      </c>
      <c r="K125" s="175" t="str">
        <f>IF(B125="","",IF(ISNA(VLOOKUP($B125,'E-1 Off Site Hedge Baseline'!$B$1:$U$257,113,FALSE)),"",(VLOOKUP($B125,'E-1 Off Site Hedge Baseline'!$B$1:$U$257,13,FALSE))))</f>
        <v/>
      </c>
      <c r="L125" s="179" t="str">
        <f>IF(B125="","",IF(ISNA(VLOOKUP($B125,'E-1 Off Site Hedge Baseline'!$B$1:$U$257,12,FALSE)),"",(VLOOKUP($B125,'E-1 Off Site Hedge Baseline'!$B$1:$U$257,12,FALSE))))</f>
        <v/>
      </c>
      <c r="M125" s="639" t="str">
        <f t="shared" si="16"/>
        <v/>
      </c>
      <c r="N125" s="171" t="str">
        <f>IFERROR(IF(B125="","",INDEX('G-6 Hedgerow Data'!$AN$3:$AZ$15,MATCH(C125,'G-6 Hedgerow Data'!$AM$3:$AM$15,0),MATCH(M125,'G-6 Hedgerow Data'!$AN$2:$AZ$2,0))),"")</f>
        <v/>
      </c>
      <c r="O125" s="172" t="str">
        <f t="shared" si="10"/>
        <v/>
      </c>
      <c r="P125" s="260" t="str">
        <f>IF(B125="","",VLOOKUP(B125,'E-1 Off Site Hedge Baseline'!$B$10:T370,16,FALSE))</f>
        <v/>
      </c>
      <c r="Q125" s="171" t="str">
        <f>IF(M125="","",VLOOKUP(M125,'G-6 Hedgerow Data'!$B$2:$AG$15,2,FALSE))</f>
        <v/>
      </c>
      <c r="R125" s="172" t="str">
        <f>IF(M125="","",VLOOKUP(M125,'G-6 Hedgerow Data'!$B$2:$AG$15,3,FALSE))</f>
        <v/>
      </c>
      <c r="S125" s="173"/>
      <c r="T125" s="172" t="str">
        <f>IFERROR(IF(AND(Q125="V.Low",OR(S125="Good",S125="Moderate")),"Error",VLOOKUP(S125,'G-1 All Habitats'!$Z$2:$AA$9,2,FALSE)),"")</f>
        <v/>
      </c>
      <c r="U125" s="173"/>
      <c r="V125" s="179" t="str">
        <f>IF(U125="","",IF(VLOOKUP(U125,'G-3 Multipliers'!$L$3:$N$6,2,FALSE)=0,"Spatial Data Missing",VLOOKUP(U125,'G-3 Multipliers'!$L$3:$N$6,2,FALSE)))</f>
        <v/>
      </c>
      <c r="W125" s="260" t="str">
        <f>IF(U125="","",IF(VLOOKUP(U125,'G-3 Multipliers'!$L$3:$N$6,3,FALSE)=0,"Spatial Data Missing",VLOOKUP(U125,'G-3 Multipliers'!$L$3:$N$6,3,FALSE)))</f>
        <v/>
      </c>
      <c r="X125" s="171" t="str">
        <f>IFERROR(IF(OR(LEFT(O125,5)="Error",LEFT(N125,5)="Error",T125="Error"),"Check Data",IF(F125&lt;R125,INDEX('G-6 Hedgerow Data'!$S$3:$AE$14,MATCH(C125,'G-6 Hedgerow Data'!$B$3:$B$14,0),MATCH(M125,'G-6 Hedgerow Data'!$S$2:$AE$2,0)),INDEX('G-6 Hedgerow Data'!$K$3:$Q$14,MATCH(M125,'G-6 Hedgerow Data'!$B$3:$B$14,0),MATCH(O125,'G-6 Hedgerow Data'!$K$2:$Q$2,0)))),"")</f>
        <v/>
      </c>
      <c r="Y125" s="261"/>
      <c r="Z125" s="261"/>
      <c r="AA125" s="179" t="str">
        <f t="shared" si="11"/>
        <v/>
      </c>
      <c r="AB125" s="262" t="str">
        <f t="shared" si="12"/>
        <v/>
      </c>
      <c r="AC125" s="263" t="str">
        <f t="shared" si="9"/>
        <v/>
      </c>
      <c r="AD125" s="239" t="str">
        <f>IF(M125="","",VLOOKUP(M125,'G-6 Hedgerow Data'!$B$3:$AG$15,31,FALSE))</f>
        <v/>
      </c>
      <c r="AE125" s="175" t="str">
        <f t="shared" si="13"/>
        <v/>
      </c>
      <c r="AF125" s="175" t="str">
        <f t="shared" si="14"/>
        <v/>
      </c>
      <c r="AG125" s="176" t="str">
        <f>IFERROR(IF(O125="","",VLOOKUP(AD125,'G-3 Multipliers'!$P$3:$Q$6,2,FALSE)),"")</f>
        <v/>
      </c>
      <c r="AH125" s="266"/>
      <c r="AI125" s="172" t="str">
        <f>IF(AH125="","",IF(VLOOKUP(AH125,'G-3 Multipliers'!$S$3:$T$6,2,FALSE)=0,"Spatial Data Missing",VLOOKUP(AH125,'G-3 Multipliers'!$S$3:$T$6,2,FALSE)))</f>
        <v/>
      </c>
      <c r="AJ125" s="265" t="str">
        <f t="shared" si="15"/>
        <v/>
      </c>
      <c r="AK125" s="180"/>
      <c r="AL125" s="181"/>
      <c r="AP125" s="35" t="str">
        <f>IFERROR(INDEX('G-6 Hedgerow Data'!$BJ$3:$BJ$15,MATCH(M125,'G-6 Hedgerow Data'!$B$3:$B$15,0)),"")</f>
        <v/>
      </c>
    </row>
    <row r="126" spans="2:42" ht="13.8" x14ac:dyDescent="0.25">
      <c r="B126" s="259" t="str">
        <f>'E-1 Off Site Hedge Baseline'!AK124</f>
        <v/>
      </c>
      <c r="C126" s="175" t="str">
        <f>IF(B126="","",IF(ISNA(VLOOKUP($B126,'E-1 Off Site Hedge Baseline'!$B$1:$L$257,3,FALSE)),"",(VLOOKUP($B126,'E-1 Off Site Hedge Baseline'!$B$1:$L$257,3,FALSE))))</f>
        <v/>
      </c>
      <c r="D126" s="175" t="str">
        <f>IF(B126="","",IF(ISNA(VLOOKUP($B126,'E-1 Off Site Hedge Baseline'!$B$1:$L$258,4,FALSE)),"",(VLOOKUP($B126,'E-1 Off Site Hedge Baseline'!$B$1:$L$258,4,FALSE))))</f>
        <v/>
      </c>
      <c r="E126" s="175" t="str">
        <f>IF(B126="","",IF(ISNA(VLOOKUP($B126,'E-1 Off Site Hedge Baseline'!$B$1:$L$257,5,FALSE)),"",(VLOOKUP($B126,'E-1 Off Site Hedge Baseline'!$B$1:$L$257,5,FALSE))))</f>
        <v/>
      </c>
      <c r="F126" s="175" t="str">
        <f>IF(B126="","",IF(ISNA(VLOOKUP($B126,'E-1 Off Site Hedge Baseline'!$B$1:$L$257,6,FALSE)),"",(VLOOKUP($B126,'E-1 Off Site Hedge Baseline'!$B$1:$L$257,6,FALSE))))</f>
        <v/>
      </c>
      <c r="G126" s="175" t="str">
        <f>IF(B126="","",IF(ISNA(VLOOKUP($B126,'E-1 Off Site Hedge Baseline'!$B$1:$L$257,7,FALSE)),"",(VLOOKUP($B126,'E-1 Off Site Hedge Baseline'!$B$1:$L$257,7,FALSE))))</f>
        <v/>
      </c>
      <c r="H126" s="175" t="str">
        <f>IF(B126="","",IF(ISNA(VLOOKUP($B126,'E-1 Off Site Hedge Baseline'!$B$1:$L$257,8,FALSE)),"",(VLOOKUP($B126,'E-1 Off Site Hedge Baseline'!$B$1:$L$257,8,FALSE))))</f>
        <v/>
      </c>
      <c r="I126" s="175" t="str">
        <f>IF(B126="","",IF(ISNA(VLOOKUP($B126,'E-1 Off Site Hedge Baseline'!$B$1:$L$257,10,FALSE)),"",(VLOOKUP($B126,'E-1 Off Site Hedge Baseline'!$B$1:$L$257,10,FALSE))))</f>
        <v/>
      </c>
      <c r="J126" s="175" t="str">
        <f>IF(B126="","",IF(ISNA(VLOOKUP($B126,'E-1 Off Site Hedge Baseline'!$B$1:$L$257,11,FALSE)),"",(VLOOKUP($B126,'E-1 Off Site Hedge Baseline'!$B$1:$L$257,11,FALSE))))</f>
        <v/>
      </c>
      <c r="K126" s="175" t="str">
        <f>IF(B126="","",IF(ISNA(VLOOKUP($B126,'E-1 Off Site Hedge Baseline'!$B$1:$U$257,113,FALSE)),"",(VLOOKUP($B126,'E-1 Off Site Hedge Baseline'!$B$1:$U$257,13,FALSE))))</f>
        <v/>
      </c>
      <c r="L126" s="179" t="str">
        <f>IF(B126="","",IF(ISNA(VLOOKUP($B126,'E-1 Off Site Hedge Baseline'!$B$1:$U$257,12,FALSE)),"",(VLOOKUP($B126,'E-1 Off Site Hedge Baseline'!$B$1:$U$257,12,FALSE))))</f>
        <v/>
      </c>
      <c r="M126" s="639" t="str">
        <f t="shared" si="16"/>
        <v/>
      </c>
      <c r="N126" s="171" t="str">
        <f>IFERROR(IF(B126="","",INDEX('G-6 Hedgerow Data'!$AN$3:$AZ$15,MATCH(C126,'G-6 Hedgerow Data'!$AM$3:$AM$15,0),MATCH(M126,'G-6 Hedgerow Data'!$AN$2:$AZ$2,0))),"")</f>
        <v/>
      </c>
      <c r="O126" s="172" t="str">
        <f t="shared" si="10"/>
        <v/>
      </c>
      <c r="P126" s="260" t="str">
        <f>IF(B126="","",VLOOKUP(B126,'E-1 Off Site Hedge Baseline'!$B$10:T371,16,FALSE))</f>
        <v/>
      </c>
      <c r="Q126" s="171" t="str">
        <f>IF(M126="","",VLOOKUP(M126,'G-6 Hedgerow Data'!$B$2:$AG$15,2,FALSE))</f>
        <v/>
      </c>
      <c r="R126" s="172" t="str">
        <f>IF(M126="","",VLOOKUP(M126,'G-6 Hedgerow Data'!$B$2:$AG$15,3,FALSE))</f>
        <v/>
      </c>
      <c r="S126" s="173"/>
      <c r="T126" s="172" t="str">
        <f>IFERROR(IF(AND(Q126="V.Low",OR(S126="Good",S126="Moderate")),"Error",VLOOKUP(S126,'G-1 All Habitats'!$Z$2:$AA$9,2,FALSE)),"")</f>
        <v/>
      </c>
      <c r="U126" s="173"/>
      <c r="V126" s="179" t="str">
        <f>IF(U126="","",IF(VLOOKUP(U126,'G-3 Multipliers'!$L$3:$N$6,2,FALSE)=0,"Spatial Data Missing",VLOOKUP(U126,'G-3 Multipliers'!$L$3:$N$6,2,FALSE)))</f>
        <v/>
      </c>
      <c r="W126" s="260" t="str">
        <f>IF(U126="","",IF(VLOOKUP(U126,'G-3 Multipliers'!$L$3:$N$6,3,FALSE)=0,"Spatial Data Missing",VLOOKUP(U126,'G-3 Multipliers'!$L$3:$N$6,3,FALSE)))</f>
        <v/>
      </c>
      <c r="X126" s="171" t="str">
        <f>IFERROR(IF(OR(LEFT(O126,5)="Error",LEFT(N126,5)="Error",T126="Error"),"Check Data",IF(F126&lt;R126,INDEX('G-6 Hedgerow Data'!$S$3:$AE$14,MATCH(C126,'G-6 Hedgerow Data'!$B$3:$B$14,0),MATCH(M126,'G-6 Hedgerow Data'!$S$2:$AE$2,0)),INDEX('G-6 Hedgerow Data'!$K$3:$Q$14,MATCH(M126,'G-6 Hedgerow Data'!$B$3:$B$14,0),MATCH(O126,'G-6 Hedgerow Data'!$K$2:$Q$2,0)))),"")</f>
        <v/>
      </c>
      <c r="Y126" s="261"/>
      <c r="Z126" s="261"/>
      <c r="AA126" s="179" t="str">
        <f t="shared" si="11"/>
        <v/>
      </c>
      <c r="AB126" s="262" t="str">
        <f t="shared" si="12"/>
        <v/>
      </c>
      <c r="AC126" s="263" t="str">
        <f t="shared" si="9"/>
        <v/>
      </c>
      <c r="AD126" s="239" t="str">
        <f>IF(M126="","",VLOOKUP(M126,'G-6 Hedgerow Data'!$B$3:$AG$15,31,FALSE))</f>
        <v/>
      </c>
      <c r="AE126" s="175" t="str">
        <f t="shared" si="13"/>
        <v/>
      </c>
      <c r="AF126" s="175" t="str">
        <f t="shared" si="14"/>
        <v/>
      </c>
      <c r="AG126" s="176" t="str">
        <f>IFERROR(IF(O126="","",VLOOKUP(AD126,'G-3 Multipliers'!$P$3:$Q$6,2,FALSE)),"")</f>
        <v/>
      </c>
      <c r="AH126" s="266"/>
      <c r="AI126" s="172" t="str">
        <f>IF(AH126="","",IF(VLOOKUP(AH126,'G-3 Multipliers'!$S$3:$T$6,2,FALSE)=0,"Spatial Data Missing",VLOOKUP(AH126,'G-3 Multipliers'!$S$3:$T$6,2,FALSE)))</f>
        <v/>
      </c>
      <c r="AJ126" s="265" t="str">
        <f t="shared" si="15"/>
        <v/>
      </c>
      <c r="AK126" s="180"/>
      <c r="AL126" s="181"/>
      <c r="AP126" s="35" t="str">
        <f>IFERROR(INDEX('G-6 Hedgerow Data'!$BJ$3:$BJ$15,MATCH(M126,'G-6 Hedgerow Data'!$B$3:$B$15,0)),"")</f>
        <v/>
      </c>
    </row>
    <row r="127" spans="2:42" ht="13.8" x14ac:dyDescent="0.25">
      <c r="B127" s="259" t="str">
        <f>'E-1 Off Site Hedge Baseline'!AK125</f>
        <v/>
      </c>
      <c r="C127" s="175" t="str">
        <f>IF(B127="","",IF(ISNA(VLOOKUP($B127,'E-1 Off Site Hedge Baseline'!$B$1:$L$257,3,FALSE)),"",(VLOOKUP($B127,'E-1 Off Site Hedge Baseline'!$B$1:$L$257,3,FALSE))))</f>
        <v/>
      </c>
      <c r="D127" s="175" t="str">
        <f>IF(B127="","",IF(ISNA(VLOOKUP($B127,'E-1 Off Site Hedge Baseline'!$B$1:$L$258,4,FALSE)),"",(VLOOKUP($B127,'E-1 Off Site Hedge Baseline'!$B$1:$L$258,4,FALSE))))</f>
        <v/>
      </c>
      <c r="E127" s="175" t="str">
        <f>IF(B127="","",IF(ISNA(VLOOKUP($B127,'E-1 Off Site Hedge Baseline'!$B$1:$L$257,5,FALSE)),"",(VLOOKUP($B127,'E-1 Off Site Hedge Baseline'!$B$1:$L$257,5,FALSE))))</f>
        <v/>
      </c>
      <c r="F127" s="175" t="str">
        <f>IF(B127="","",IF(ISNA(VLOOKUP($B127,'E-1 Off Site Hedge Baseline'!$B$1:$L$257,6,FALSE)),"",(VLOOKUP($B127,'E-1 Off Site Hedge Baseline'!$B$1:$L$257,6,FALSE))))</f>
        <v/>
      </c>
      <c r="G127" s="175" t="str">
        <f>IF(B127="","",IF(ISNA(VLOOKUP($B127,'E-1 Off Site Hedge Baseline'!$B$1:$L$257,7,FALSE)),"",(VLOOKUP($B127,'E-1 Off Site Hedge Baseline'!$B$1:$L$257,7,FALSE))))</f>
        <v/>
      </c>
      <c r="H127" s="175" t="str">
        <f>IF(B127="","",IF(ISNA(VLOOKUP($B127,'E-1 Off Site Hedge Baseline'!$B$1:$L$257,8,FALSE)),"",(VLOOKUP($B127,'E-1 Off Site Hedge Baseline'!$B$1:$L$257,8,FALSE))))</f>
        <v/>
      </c>
      <c r="I127" s="175" t="str">
        <f>IF(B127="","",IF(ISNA(VLOOKUP($B127,'E-1 Off Site Hedge Baseline'!$B$1:$L$257,10,FALSE)),"",(VLOOKUP($B127,'E-1 Off Site Hedge Baseline'!$B$1:$L$257,10,FALSE))))</f>
        <v/>
      </c>
      <c r="J127" s="175" t="str">
        <f>IF(B127="","",IF(ISNA(VLOOKUP($B127,'E-1 Off Site Hedge Baseline'!$B$1:$L$257,11,FALSE)),"",(VLOOKUP($B127,'E-1 Off Site Hedge Baseline'!$B$1:$L$257,11,FALSE))))</f>
        <v/>
      </c>
      <c r="K127" s="175" t="str">
        <f>IF(B127="","",IF(ISNA(VLOOKUP($B127,'E-1 Off Site Hedge Baseline'!$B$1:$U$257,113,FALSE)),"",(VLOOKUP($B127,'E-1 Off Site Hedge Baseline'!$B$1:$U$257,13,FALSE))))</f>
        <v/>
      </c>
      <c r="L127" s="179" t="str">
        <f>IF(B127="","",IF(ISNA(VLOOKUP($B127,'E-1 Off Site Hedge Baseline'!$B$1:$U$257,12,FALSE)),"",(VLOOKUP($B127,'E-1 Off Site Hedge Baseline'!$B$1:$U$257,12,FALSE))))</f>
        <v/>
      </c>
      <c r="M127" s="639" t="str">
        <f t="shared" si="16"/>
        <v/>
      </c>
      <c r="N127" s="171" t="str">
        <f>IFERROR(IF(B127="","",INDEX('G-6 Hedgerow Data'!$AN$3:$AZ$15,MATCH(C127,'G-6 Hedgerow Data'!$AM$3:$AM$15,0),MATCH(M127,'G-6 Hedgerow Data'!$AN$2:$AZ$2,0))),"")</f>
        <v/>
      </c>
      <c r="O127" s="172" t="str">
        <f t="shared" si="10"/>
        <v/>
      </c>
      <c r="P127" s="260" t="str">
        <f>IF(B127="","",VLOOKUP(B127,'E-1 Off Site Hedge Baseline'!$B$10:T372,16,FALSE))</f>
        <v/>
      </c>
      <c r="Q127" s="171" t="str">
        <f>IF(M127="","",VLOOKUP(M127,'G-6 Hedgerow Data'!$B$2:$AG$15,2,FALSE))</f>
        <v/>
      </c>
      <c r="R127" s="172" t="str">
        <f>IF(M127="","",VLOOKUP(M127,'G-6 Hedgerow Data'!$B$2:$AG$15,3,FALSE))</f>
        <v/>
      </c>
      <c r="S127" s="173"/>
      <c r="T127" s="172" t="str">
        <f>IFERROR(IF(AND(Q127="V.Low",OR(S127="Good",S127="Moderate")),"Error",VLOOKUP(S127,'G-1 All Habitats'!$Z$2:$AA$9,2,FALSE)),"")</f>
        <v/>
      </c>
      <c r="U127" s="173"/>
      <c r="V127" s="179" t="str">
        <f>IF(U127="","",IF(VLOOKUP(U127,'G-3 Multipliers'!$L$3:$N$6,2,FALSE)=0,"Spatial Data Missing",VLOOKUP(U127,'G-3 Multipliers'!$L$3:$N$6,2,FALSE)))</f>
        <v/>
      </c>
      <c r="W127" s="260" t="str">
        <f>IF(U127="","",IF(VLOOKUP(U127,'G-3 Multipliers'!$L$3:$N$6,3,FALSE)=0,"Spatial Data Missing",VLOOKUP(U127,'G-3 Multipliers'!$L$3:$N$6,3,FALSE)))</f>
        <v/>
      </c>
      <c r="X127" s="171" t="str">
        <f>IFERROR(IF(OR(LEFT(O127,5)="Error",LEFT(N127,5)="Error",T127="Error"),"Check Data",IF(F127&lt;R127,INDEX('G-6 Hedgerow Data'!$S$3:$AE$14,MATCH(C127,'G-6 Hedgerow Data'!$B$3:$B$14,0),MATCH(M127,'G-6 Hedgerow Data'!$S$2:$AE$2,0)),INDEX('G-6 Hedgerow Data'!$K$3:$Q$14,MATCH(M127,'G-6 Hedgerow Data'!$B$3:$B$14,0),MATCH(O127,'G-6 Hedgerow Data'!$K$2:$Q$2,0)))),"")</f>
        <v/>
      </c>
      <c r="Y127" s="261"/>
      <c r="Z127" s="261"/>
      <c r="AA127" s="179" t="str">
        <f t="shared" si="11"/>
        <v/>
      </c>
      <c r="AB127" s="262" t="str">
        <f t="shared" si="12"/>
        <v/>
      </c>
      <c r="AC127" s="263" t="str">
        <f t="shared" si="9"/>
        <v/>
      </c>
      <c r="AD127" s="239" t="str">
        <f>IF(M127="","",VLOOKUP(M127,'G-6 Hedgerow Data'!$B$3:$AG$15,31,FALSE))</f>
        <v/>
      </c>
      <c r="AE127" s="175" t="str">
        <f t="shared" si="13"/>
        <v/>
      </c>
      <c r="AF127" s="175" t="str">
        <f t="shared" si="14"/>
        <v/>
      </c>
      <c r="AG127" s="176" t="str">
        <f>IFERROR(IF(O127="","",VLOOKUP(AD127,'G-3 Multipliers'!$P$3:$Q$6,2,FALSE)),"")</f>
        <v/>
      </c>
      <c r="AH127" s="266"/>
      <c r="AI127" s="172" t="str">
        <f>IF(AH127="","",IF(VLOOKUP(AH127,'G-3 Multipliers'!$S$3:$T$6,2,FALSE)=0,"Spatial Data Missing",VLOOKUP(AH127,'G-3 Multipliers'!$S$3:$T$6,2,FALSE)))</f>
        <v/>
      </c>
      <c r="AJ127" s="265" t="str">
        <f t="shared" si="15"/>
        <v/>
      </c>
      <c r="AK127" s="180"/>
      <c r="AL127" s="181"/>
      <c r="AP127" s="35" t="str">
        <f>IFERROR(INDEX('G-6 Hedgerow Data'!$BJ$3:$BJ$15,MATCH(M127,'G-6 Hedgerow Data'!$B$3:$B$15,0)),"")</f>
        <v/>
      </c>
    </row>
    <row r="128" spans="2:42" ht="13.8" x14ac:dyDescent="0.25">
      <c r="B128" s="259" t="str">
        <f>'E-1 Off Site Hedge Baseline'!AK126</f>
        <v/>
      </c>
      <c r="C128" s="175" t="str">
        <f>IF(B128="","",IF(ISNA(VLOOKUP($B128,'E-1 Off Site Hedge Baseline'!$B$1:$L$257,3,FALSE)),"",(VLOOKUP($B128,'E-1 Off Site Hedge Baseline'!$B$1:$L$257,3,FALSE))))</f>
        <v/>
      </c>
      <c r="D128" s="175" t="str">
        <f>IF(B128="","",IF(ISNA(VLOOKUP($B128,'E-1 Off Site Hedge Baseline'!$B$1:$L$258,4,FALSE)),"",(VLOOKUP($B128,'E-1 Off Site Hedge Baseline'!$B$1:$L$258,4,FALSE))))</f>
        <v/>
      </c>
      <c r="E128" s="175" t="str">
        <f>IF(B128="","",IF(ISNA(VLOOKUP($B128,'E-1 Off Site Hedge Baseline'!$B$1:$L$257,5,FALSE)),"",(VLOOKUP($B128,'E-1 Off Site Hedge Baseline'!$B$1:$L$257,5,FALSE))))</f>
        <v/>
      </c>
      <c r="F128" s="175" t="str">
        <f>IF(B128="","",IF(ISNA(VLOOKUP($B128,'E-1 Off Site Hedge Baseline'!$B$1:$L$257,6,FALSE)),"",(VLOOKUP($B128,'E-1 Off Site Hedge Baseline'!$B$1:$L$257,6,FALSE))))</f>
        <v/>
      </c>
      <c r="G128" s="175" t="str">
        <f>IF(B128="","",IF(ISNA(VLOOKUP($B128,'E-1 Off Site Hedge Baseline'!$B$1:$L$257,7,FALSE)),"",(VLOOKUP($B128,'E-1 Off Site Hedge Baseline'!$B$1:$L$257,7,FALSE))))</f>
        <v/>
      </c>
      <c r="H128" s="175" t="str">
        <f>IF(B128="","",IF(ISNA(VLOOKUP($B128,'E-1 Off Site Hedge Baseline'!$B$1:$L$257,8,FALSE)),"",(VLOOKUP($B128,'E-1 Off Site Hedge Baseline'!$B$1:$L$257,8,FALSE))))</f>
        <v/>
      </c>
      <c r="I128" s="175" t="str">
        <f>IF(B128="","",IF(ISNA(VLOOKUP($B128,'E-1 Off Site Hedge Baseline'!$B$1:$L$257,10,FALSE)),"",(VLOOKUP($B128,'E-1 Off Site Hedge Baseline'!$B$1:$L$257,10,FALSE))))</f>
        <v/>
      </c>
      <c r="J128" s="175" t="str">
        <f>IF(B128="","",IF(ISNA(VLOOKUP($B128,'E-1 Off Site Hedge Baseline'!$B$1:$L$257,11,FALSE)),"",(VLOOKUP($B128,'E-1 Off Site Hedge Baseline'!$B$1:$L$257,11,FALSE))))</f>
        <v/>
      </c>
      <c r="K128" s="175" t="str">
        <f>IF(B128="","",IF(ISNA(VLOOKUP($B128,'E-1 Off Site Hedge Baseline'!$B$1:$U$257,113,FALSE)),"",(VLOOKUP($B128,'E-1 Off Site Hedge Baseline'!$B$1:$U$257,13,FALSE))))</f>
        <v/>
      </c>
      <c r="L128" s="179" t="str">
        <f>IF(B128="","",IF(ISNA(VLOOKUP($B128,'E-1 Off Site Hedge Baseline'!$B$1:$U$257,12,FALSE)),"",(VLOOKUP($B128,'E-1 Off Site Hedge Baseline'!$B$1:$U$257,12,FALSE))))</f>
        <v/>
      </c>
      <c r="M128" s="639" t="str">
        <f t="shared" si="16"/>
        <v/>
      </c>
      <c r="N128" s="171" t="str">
        <f>IFERROR(IF(B128="","",INDEX('G-6 Hedgerow Data'!$AN$3:$AZ$15,MATCH(C128,'G-6 Hedgerow Data'!$AM$3:$AM$15,0),MATCH(M128,'G-6 Hedgerow Data'!$AN$2:$AZ$2,0))),"")</f>
        <v/>
      </c>
      <c r="O128" s="172" t="str">
        <f t="shared" si="10"/>
        <v/>
      </c>
      <c r="P128" s="260" t="str">
        <f>IF(B128="","",VLOOKUP(B128,'E-1 Off Site Hedge Baseline'!$B$10:T373,16,FALSE))</f>
        <v/>
      </c>
      <c r="Q128" s="171" t="str">
        <f>IF(M128="","",VLOOKUP(M128,'G-6 Hedgerow Data'!$B$2:$AG$15,2,FALSE))</f>
        <v/>
      </c>
      <c r="R128" s="172" t="str">
        <f>IF(M128="","",VLOOKUP(M128,'G-6 Hedgerow Data'!$B$2:$AG$15,3,FALSE))</f>
        <v/>
      </c>
      <c r="S128" s="173"/>
      <c r="T128" s="172" t="str">
        <f>IFERROR(IF(AND(Q128="V.Low",OR(S128="Good",S128="Moderate")),"Error",VLOOKUP(S128,'G-1 All Habitats'!$Z$2:$AA$9,2,FALSE)),"")</f>
        <v/>
      </c>
      <c r="U128" s="173"/>
      <c r="V128" s="179" t="str">
        <f>IF(U128="","",IF(VLOOKUP(U128,'G-3 Multipliers'!$L$3:$N$6,2,FALSE)=0,"Spatial Data Missing",VLOOKUP(U128,'G-3 Multipliers'!$L$3:$N$6,2,FALSE)))</f>
        <v/>
      </c>
      <c r="W128" s="260" t="str">
        <f>IF(U128="","",IF(VLOOKUP(U128,'G-3 Multipliers'!$L$3:$N$6,3,FALSE)=0,"Spatial Data Missing",VLOOKUP(U128,'G-3 Multipliers'!$L$3:$N$6,3,FALSE)))</f>
        <v/>
      </c>
      <c r="X128" s="171" t="str">
        <f>IFERROR(IF(OR(LEFT(O128,5)="Error",LEFT(N128,5)="Error",T128="Error"),"Check Data",IF(F128&lt;R128,INDEX('G-6 Hedgerow Data'!$S$3:$AE$14,MATCH(C128,'G-6 Hedgerow Data'!$B$3:$B$14,0),MATCH(M128,'G-6 Hedgerow Data'!$S$2:$AE$2,0)),INDEX('G-6 Hedgerow Data'!$K$3:$Q$14,MATCH(M128,'G-6 Hedgerow Data'!$B$3:$B$14,0),MATCH(O128,'G-6 Hedgerow Data'!$K$2:$Q$2,0)))),"")</f>
        <v/>
      </c>
      <c r="Y128" s="261"/>
      <c r="Z128" s="261"/>
      <c r="AA128" s="179" t="str">
        <f t="shared" si="11"/>
        <v/>
      </c>
      <c r="AB128" s="262" t="str">
        <f t="shared" si="12"/>
        <v/>
      </c>
      <c r="AC128" s="263" t="str">
        <f t="shared" si="9"/>
        <v/>
      </c>
      <c r="AD128" s="239" t="str">
        <f>IF(M128="","",VLOOKUP(M128,'G-6 Hedgerow Data'!$B$3:$AG$15,31,FALSE))</f>
        <v/>
      </c>
      <c r="AE128" s="175" t="str">
        <f t="shared" si="13"/>
        <v/>
      </c>
      <c r="AF128" s="175" t="str">
        <f t="shared" si="14"/>
        <v/>
      </c>
      <c r="AG128" s="176" t="str">
        <f>IFERROR(IF(O128="","",VLOOKUP(AD128,'G-3 Multipliers'!$P$3:$Q$6,2,FALSE)),"")</f>
        <v/>
      </c>
      <c r="AH128" s="266"/>
      <c r="AI128" s="172" t="str">
        <f>IF(AH128="","",IF(VLOOKUP(AH128,'G-3 Multipliers'!$S$3:$T$6,2,FALSE)=0,"Spatial Data Missing",VLOOKUP(AH128,'G-3 Multipliers'!$S$3:$T$6,2,FALSE)))</f>
        <v/>
      </c>
      <c r="AJ128" s="265" t="str">
        <f t="shared" si="15"/>
        <v/>
      </c>
      <c r="AK128" s="180"/>
      <c r="AL128" s="181"/>
      <c r="AP128" s="35" t="str">
        <f>IFERROR(INDEX('G-6 Hedgerow Data'!$BJ$3:$BJ$15,MATCH(M128,'G-6 Hedgerow Data'!$B$3:$B$15,0)),"")</f>
        <v/>
      </c>
    </row>
    <row r="129" spans="2:42" ht="13.8" x14ac:dyDescent="0.25">
      <c r="B129" s="259" t="str">
        <f>'E-1 Off Site Hedge Baseline'!AK127</f>
        <v/>
      </c>
      <c r="C129" s="175" t="str">
        <f>IF(B129="","",IF(ISNA(VLOOKUP($B129,'E-1 Off Site Hedge Baseline'!$B$1:$L$257,3,FALSE)),"",(VLOOKUP($B129,'E-1 Off Site Hedge Baseline'!$B$1:$L$257,3,FALSE))))</f>
        <v/>
      </c>
      <c r="D129" s="175" t="str">
        <f>IF(B129="","",IF(ISNA(VLOOKUP($B129,'E-1 Off Site Hedge Baseline'!$B$1:$L$258,4,FALSE)),"",(VLOOKUP($B129,'E-1 Off Site Hedge Baseline'!$B$1:$L$258,4,FALSE))))</f>
        <v/>
      </c>
      <c r="E129" s="175" t="str">
        <f>IF(B129="","",IF(ISNA(VLOOKUP($B129,'E-1 Off Site Hedge Baseline'!$B$1:$L$257,5,FALSE)),"",(VLOOKUP($B129,'E-1 Off Site Hedge Baseline'!$B$1:$L$257,5,FALSE))))</f>
        <v/>
      </c>
      <c r="F129" s="175" t="str">
        <f>IF(B129="","",IF(ISNA(VLOOKUP($B129,'E-1 Off Site Hedge Baseline'!$B$1:$L$257,6,FALSE)),"",(VLOOKUP($B129,'E-1 Off Site Hedge Baseline'!$B$1:$L$257,6,FALSE))))</f>
        <v/>
      </c>
      <c r="G129" s="175" t="str">
        <f>IF(B129="","",IF(ISNA(VLOOKUP($B129,'E-1 Off Site Hedge Baseline'!$B$1:$L$257,7,FALSE)),"",(VLOOKUP($B129,'E-1 Off Site Hedge Baseline'!$B$1:$L$257,7,FALSE))))</f>
        <v/>
      </c>
      <c r="H129" s="175" t="str">
        <f>IF(B129="","",IF(ISNA(VLOOKUP($B129,'E-1 Off Site Hedge Baseline'!$B$1:$L$257,8,FALSE)),"",(VLOOKUP($B129,'E-1 Off Site Hedge Baseline'!$B$1:$L$257,8,FALSE))))</f>
        <v/>
      </c>
      <c r="I129" s="175" t="str">
        <f>IF(B129="","",IF(ISNA(VLOOKUP($B129,'E-1 Off Site Hedge Baseline'!$B$1:$L$257,10,FALSE)),"",(VLOOKUP($B129,'E-1 Off Site Hedge Baseline'!$B$1:$L$257,10,FALSE))))</f>
        <v/>
      </c>
      <c r="J129" s="175" t="str">
        <f>IF(B129="","",IF(ISNA(VLOOKUP($B129,'E-1 Off Site Hedge Baseline'!$B$1:$L$257,11,FALSE)),"",(VLOOKUP($B129,'E-1 Off Site Hedge Baseline'!$B$1:$L$257,11,FALSE))))</f>
        <v/>
      </c>
      <c r="K129" s="175" t="str">
        <f>IF(B129="","",IF(ISNA(VLOOKUP($B129,'E-1 Off Site Hedge Baseline'!$B$1:$U$257,113,FALSE)),"",(VLOOKUP($B129,'E-1 Off Site Hedge Baseline'!$B$1:$U$257,13,FALSE))))</f>
        <v/>
      </c>
      <c r="L129" s="179" t="str">
        <f>IF(B129="","",IF(ISNA(VLOOKUP($B129,'E-1 Off Site Hedge Baseline'!$B$1:$U$257,12,FALSE)),"",(VLOOKUP($B129,'E-1 Off Site Hedge Baseline'!$B$1:$U$257,12,FALSE))))</f>
        <v/>
      </c>
      <c r="M129" s="639" t="str">
        <f t="shared" si="16"/>
        <v/>
      </c>
      <c r="N129" s="171" t="str">
        <f>IFERROR(IF(B129="","",INDEX('G-6 Hedgerow Data'!$AN$3:$AZ$15,MATCH(C129,'G-6 Hedgerow Data'!$AM$3:$AM$15,0),MATCH(M129,'G-6 Hedgerow Data'!$AN$2:$AZ$2,0))),"")</f>
        <v/>
      </c>
      <c r="O129" s="172" t="str">
        <f t="shared" si="10"/>
        <v/>
      </c>
      <c r="P129" s="260" t="str">
        <f>IF(B129="","",VLOOKUP(B129,'E-1 Off Site Hedge Baseline'!$B$10:T374,16,FALSE))</f>
        <v/>
      </c>
      <c r="Q129" s="171" t="str">
        <f>IF(M129="","",VLOOKUP(M129,'G-6 Hedgerow Data'!$B$2:$AG$15,2,FALSE))</f>
        <v/>
      </c>
      <c r="R129" s="172" t="str">
        <f>IF(M129="","",VLOOKUP(M129,'G-6 Hedgerow Data'!$B$2:$AG$15,3,FALSE))</f>
        <v/>
      </c>
      <c r="S129" s="173"/>
      <c r="T129" s="172" t="str">
        <f>IFERROR(IF(AND(Q129="V.Low",OR(S129="Good",S129="Moderate")),"Error",VLOOKUP(S129,'G-1 All Habitats'!$Z$2:$AA$9,2,FALSE)),"")</f>
        <v/>
      </c>
      <c r="U129" s="173"/>
      <c r="V129" s="179" t="str">
        <f>IF(U129="","",IF(VLOOKUP(U129,'G-3 Multipliers'!$L$3:$N$6,2,FALSE)=0,"Spatial Data Missing",VLOOKUP(U129,'G-3 Multipliers'!$L$3:$N$6,2,FALSE)))</f>
        <v/>
      </c>
      <c r="W129" s="260" t="str">
        <f>IF(U129="","",IF(VLOOKUP(U129,'G-3 Multipliers'!$L$3:$N$6,3,FALSE)=0,"Spatial Data Missing",VLOOKUP(U129,'G-3 Multipliers'!$L$3:$N$6,3,FALSE)))</f>
        <v/>
      </c>
      <c r="X129" s="171" t="str">
        <f>IFERROR(IF(OR(LEFT(O129,5)="Error",LEFT(N129,5)="Error",T129="Error"),"Check Data",IF(F129&lt;R129,INDEX('G-6 Hedgerow Data'!$S$3:$AE$14,MATCH(C129,'G-6 Hedgerow Data'!$B$3:$B$14,0),MATCH(M129,'G-6 Hedgerow Data'!$S$2:$AE$2,0)),INDEX('G-6 Hedgerow Data'!$K$3:$Q$14,MATCH(M129,'G-6 Hedgerow Data'!$B$3:$B$14,0),MATCH(O129,'G-6 Hedgerow Data'!$K$2:$Q$2,0)))),"")</f>
        <v/>
      </c>
      <c r="Y129" s="261"/>
      <c r="Z129" s="261"/>
      <c r="AA129" s="179" t="str">
        <f t="shared" si="11"/>
        <v/>
      </c>
      <c r="AB129" s="262" t="str">
        <f t="shared" si="12"/>
        <v/>
      </c>
      <c r="AC129" s="263" t="str">
        <f t="shared" si="9"/>
        <v/>
      </c>
      <c r="AD129" s="239" t="str">
        <f>IF(M129="","",VLOOKUP(M129,'G-6 Hedgerow Data'!$B$3:$AG$15,31,FALSE))</f>
        <v/>
      </c>
      <c r="AE129" s="175" t="str">
        <f t="shared" si="13"/>
        <v/>
      </c>
      <c r="AF129" s="175" t="str">
        <f t="shared" si="14"/>
        <v/>
      </c>
      <c r="AG129" s="176" t="str">
        <f>IFERROR(IF(O129="","",VLOOKUP(AD129,'G-3 Multipliers'!$P$3:$Q$6,2,FALSE)),"")</f>
        <v/>
      </c>
      <c r="AH129" s="266"/>
      <c r="AI129" s="172" t="str">
        <f>IF(AH129="","",IF(VLOOKUP(AH129,'G-3 Multipliers'!$S$3:$T$6,2,FALSE)=0,"Spatial Data Missing",VLOOKUP(AH129,'G-3 Multipliers'!$S$3:$T$6,2,FALSE)))</f>
        <v/>
      </c>
      <c r="AJ129" s="265" t="str">
        <f t="shared" si="15"/>
        <v/>
      </c>
      <c r="AK129" s="180"/>
      <c r="AL129" s="181"/>
      <c r="AP129" s="35" t="str">
        <f>IFERROR(INDEX('G-6 Hedgerow Data'!$BJ$3:$BJ$15,MATCH(M129,'G-6 Hedgerow Data'!$B$3:$B$15,0)),"")</f>
        <v/>
      </c>
    </row>
    <row r="130" spans="2:42" ht="13.8" x14ac:dyDescent="0.25">
      <c r="B130" s="259" t="str">
        <f>'E-1 Off Site Hedge Baseline'!AK128</f>
        <v/>
      </c>
      <c r="C130" s="175" t="str">
        <f>IF(B130="","",IF(ISNA(VLOOKUP($B130,'E-1 Off Site Hedge Baseline'!$B$1:$L$257,3,FALSE)),"",(VLOOKUP($B130,'E-1 Off Site Hedge Baseline'!$B$1:$L$257,3,FALSE))))</f>
        <v/>
      </c>
      <c r="D130" s="175" t="str">
        <f>IF(B130="","",IF(ISNA(VLOOKUP($B130,'E-1 Off Site Hedge Baseline'!$B$1:$L$258,4,FALSE)),"",(VLOOKUP($B130,'E-1 Off Site Hedge Baseline'!$B$1:$L$258,4,FALSE))))</f>
        <v/>
      </c>
      <c r="E130" s="175" t="str">
        <f>IF(B130="","",IF(ISNA(VLOOKUP($B130,'E-1 Off Site Hedge Baseline'!$B$1:$L$257,5,FALSE)),"",(VLOOKUP($B130,'E-1 Off Site Hedge Baseline'!$B$1:$L$257,5,FALSE))))</f>
        <v/>
      </c>
      <c r="F130" s="175" t="str">
        <f>IF(B130="","",IF(ISNA(VLOOKUP($B130,'E-1 Off Site Hedge Baseline'!$B$1:$L$257,6,FALSE)),"",(VLOOKUP($B130,'E-1 Off Site Hedge Baseline'!$B$1:$L$257,6,FALSE))))</f>
        <v/>
      </c>
      <c r="G130" s="175" t="str">
        <f>IF(B130="","",IF(ISNA(VLOOKUP($B130,'E-1 Off Site Hedge Baseline'!$B$1:$L$257,7,FALSE)),"",(VLOOKUP($B130,'E-1 Off Site Hedge Baseline'!$B$1:$L$257,7,FALSE))))</f>
        <v/>
      </c>
      <c r="H130" s="175" t="str">
        <f>IF(B130="","",IF(ISNA(VLOOKUP($B130,'E-1 Off Site Hedge Baseline'!$B$1:$L$257,8,FALSE)),"",(VLOOKUP($B130,'E-1 Off Site Hedge Baseline'!$B$1:$L$257,8,FALSE))))</f>
        <v/>
      </c>
      <c r="I130" s="175" t="str">
        <f>IF(B130="","",IF(ISNA(VLOOKUP($B130,'E-1 Off Site Hedge Baseline'!$B$1:$L$257,10,FALSE)),"",(VLOOKUP($B130,'E-1 Off Site Hedge Baseline'!$B$1:$L$257,10,FALSE))))</f>
        <v/>
      </c>
      <c r="J130" s="175" t="str">
        <f>IF(B130="","",IF(ISNA(VLOOKUP($B130,'E-1 Off Site Hedge Baseline'!$B$1:$L$257,11,FALSE)),"",(VLOOKUP($B130,'E-1 Off Site Hedge Baseline'!$B$1:$L$257,11,FALSE))))</f>
        <v/>
      </c>
      <c r="K130" s="175" t="str">
        <f>IF(B130="","",IF(ISNA(VLOOKUP($B130,'E-1 Off Site Hedge Baseline'!$B$1:$U$257,113,FALSE)),"",(VLOOKUP($B130,'E-1 Off Site Hedge Baseline'!$B$1:$U$257,13,FALSE))))</f>
        <v/>
      </c>
      <c r="L130" s="179" t="str">
        <f>IF(B130="","",IF(ISNA(VLOOKUP($B130,'E-1 Off Site Hedge Baseline'!$B$1:$U$257,12,FALSE)),"",(VLOOKUP($B130,'E-1 Off Site Hedge Baseline'!$B$1:$U$257,12,FALSE))))</f>
        <v/>
      </c>
      <c r="M130" s="639" t="str">
        <f t="shared" si="16"/>
        <v/>
      </c>
      <c r="N130" s="171" t="str">
        <f>IFERROR(IF(B130="","",INDEX('G-6 Hedgerow Data'!$AN$3:$AZ$15,MATCH(C130,'G-6 Hedgerow Data'!$AM$3:$AM$15,0),MATCH(M130,'G-6 Hedgerow Data'!$AN$2:$AZ$2,0))),"")</f>
        <v/>
      </c>
      <c r="O130" s="172" t="str">
        <f t="shared" si="10"/>
        <v/>
      </c>
      <c r="P130" s="260" t="str">
        <f>IF(B130="","",VLOOKUP(B130,'E-1 Off Site Hedge Baseline'!$B$10:T375,16,FALSE))</f>
        <v/>
      </c>
      <c r="Q130" s="171" t="str">
        <f>IF(M130="","",VLOOKUP(M130,'G-6 Hedgerow Data'!$B$2:$AG$15,2,FALSE))</f>
        <v/>
      </c>
      <c r="R130" s="172" t="str">
        <f>IF(M130="","",VLOOKUP(M130,'G-6 Hedgerow Data'!$B$2:$AG$15,3,FALSE))</f>
        <v/>
      </c>
      <c r="S130" s="173"/>
      <c r="T130" s="172" t="str">
        <f>IFERROR(IF(AND(Q130="V.Low",OR(S130="Good",S130="Moderate")),"Error",VLOOKUP(S130,'G-1 All Habitats'!$Z$2:$AA$9,2,FALSE)),"")</f>
        <v/>
      </c>
      <c r="U130" s="173"/>
      <c r="V130" s="179" t="str">
        <f>IF(U130="","",IF(VLOOKUP(U130,'G-3 Multipliers'!$L$3:$N$6,2,FALSE)=0,"Spatial Data Missing",VLOOKUP(U130,'G-3 Multipliers'!$L$3:$N$6,2,FALSE)))</f>
        <v/>
      </c>
      <c r="W130" s="260" t="str">
        <f>IF(U130="","",IF(VLOOKUP(U130,'G-3 Multipliers'!$L$3:$N$6,3,FALSE)=0,"Spatial Data Missing",VLOOKUP(U130,'G-3 Multipliers'!$L$3:$N$6,3,FALSE)))</f>
        <v/>
      </c>
      <c r="X130" s="171" t="str">
        <f>IFERROR(IF(OR(LEFT(O130,5)="Error",LEFT(N130,5)="Error",T130="Error"),"Check Data",IF(F130&lt;R130,INDEX('G-6 Hedgerow Data'!$S$3:$AE$14,MATCH(C130,'G-6 Hedgerow Data'!$B$3:$B$14,0),MATCH(M130,'G-6 Hedgerow Data'!$S$2:$AE$2,0)),INDEX('G-6 Hedgerow Data'!$K$3:$Q$14,MATCH(M130,'G-6 Hedgerow Data'!$B$3:$B$14,0),MATCH(O130,'G-6 Hedgerow Data'!$K$2:$Q$2,0)))),"")</f>
        <v/>
      </c>
      <c r="Y130" s="261"/>
      <c r="Z130" s="261"/>
      <c r="AA130" s="179" t="str">
        <f t="shared" si="11"/>
        <v/>
      </c>
      <c r="AB130" s="262" t="str">
        <f t="shared" si="12"/>
        <v/>
      </c>
      <c r="AC130" s="263" t="str">
        <f t="shared" si="9"/>
        <v/>
      </c>
      <c r="AD130" s="239" t="str">
        <f>IF(M130="","",VLOOKUP(M130,'G-6 Hedgerow Data'!$B$3:$AG$15,31,FALSE))</f>
        <v/>
      </c>
      <c r="AE130" s="175" t="str">
        <f t="shared" si="13"/>
        <v/>
      </c>
      <c r="AF130" s="175" t="str">
        <f t="shared" si="14"/>
        <v/>
      </c>
      <c r="AG130" s="176" t="str">
        <f>IFERROR(IF(O130="","",VLOOKUP(AD130,'G-3 Multipliers'!$P$3:$Q$6,2,FALSE)),"")</f>
        <v/>
      </c>
      <c r="AH130" s="266"/>
      <c r="AI130" s="172" t="str">
        <f>IF(AH130="","",IF(VLOOKUP(AH130,'G-3 Multipliers'!$S$3:$T$6,2,FALSE)=0,"Spatial Data Missing",VLOOKUP(AH130,'G-3 Multipliers'!$S$3:$T$6,2,FALSE)))</f>
        <v/>
      </c>
      <c r="AJ130" s="265" t="str">
        <f t="shared" si="15"/>
        <v/>
      </c>
      <c r="AK130" s="180"/>
      <c r="AL130" s="181"/>
      <c r="AP130" s="35" t="str">
        <f>IFERROR(INDEX('G-6 Hedgerow Data'!$BJ$3:$BJ$15,MATCH(M130,'G-6 Hedgerow Data'!$B$3:$B$15,0)),"")</f>
        <v/>
      </c>
    </row>
    <row r="131" spans="2:42" ht="13.8" x14ac:dyDescent="0.25">
      <c r="B131" s="259" t="str">
        <f>'E-1 Off Site Hedge Baseline'!AK129</f>
        <v/>
      </c>
      <c r="C131" s="175" t="str">
        <f>IF(B131="","",IF(ISNA(VLOOKUP($B131,'E-1 Off Site Hedge Baseline'!$B$1:$L$257,3,FALSE)),"",(VLOOKUP($B131,'E-1 Off Site Hedge Baseline'!$B$1:$L$257,3,FALSE))))</f>
        <v/>
      </c>
      <c r="D131" s="175" t="str">
        <f>IF(B131="","",IF(ISNA(VLOOKUP($B131,'E-1 Off Site Hedge Baseline'!$B$1:$L$258,4,FALSE)),"",(VLOOKUP($B131,'E-1 Off Site Hedge Baseline'!$B$1:$L$258,4,FALSE))))</f>
        <v/>
      </c>
      <c r="E131" s="175" t="str">
        <f>IF(B131="","",IF(ISNA(VLOOKUP($B131,'E-1 Off Site Hedge Baseline'!$B$1:$L$257,5,FALSE)),"",(VLOOKUP($B131,'E-1 Off Site Hedge Baseline'!$B$1:$L$257,5,FALSE))))</f>
        <v/>
      </c>
      <c r="F131" s="175" t="str">
        <f>IF(B131="","",IF(ISNA(VLOOKUP($B131,'E-1 Off Site Hedge Baseline'!$B$1:$L$257,6,FALSE)),"",(VLOOKUP($B131,'E-1 Off Site Hedge Baseline'!$B$1:$L$257,6,FALSE))))</f>
        <v/>
      </c>
      <c r="G131" s="175" t="str">
        <f>IF(B131="","",IF(ISNA(VLOOKUP($B131,'E-1 Off Site Hedge Baseline'!$B$1:$L$257,7,FALSE)),"",(VLOOKUP($B131,'E-1 Off Site Hedge Baseline'!$B$1:$L$257,7,FALSE))))</f>
        <v/>
      </c>
      <c r="H131" s="175" t="str">
        <f>IF(B131="","",IF(ISNA(VLOOKUP($B131,'E-1 Off Site Hedge Baseline'!$B$1:$L$257,8,FALSE)),"",(VLOOKUP($B131,'E-1 Off Site Hedge Baseline'!$B$1:$L$257,8,FALSE))))</f>
        <v/>
      </c>
      <c r="I131" s="175" t="str">
        <f>IF(B131="","",IF(ISNA(VLOOKUP($B131,'E-1 Off Site Hedge Baseline'!$B$1:$L$257,10,FALSE)),"",(VLOOKUP($B131,'E-1 Off Site Hedge Baseline'!$B$1:$L$257,10,FALSE))))</f>
        <v/>
      </c>
      <c r="J131" s="175" t="str">
        <f>IF(B131="","",IF(ISNA(VLOOKUP($B131,'E-1 Off Site Hedge Baseline'!$B$1:$L$257,11,FALSE)),"",(VLOOKUP($B131,'E-1 Off Site Hedge Baseline'!$B$1:$L$257,11,FALSE))))</f>
        <v/>
      </c>
      <c r="K131" s="175" t="str">
        <f>IF(B131="","",IF(ISNA(VLOOKUP($B131,'E-1 Off Site Hedge Baseline'!$B$1:$U$257,113,FALSE)),"",(VLOOKUP($B131,'E-1 Off Site Hedge Baseline'!$B$1:$U$257,13,FALSE))))</f>
        <v/>
      </c>
      <c r="L131" s="179" t="str">
        <f>IF(B131="","",IF(ISNA(VLOOKUP($B131,'E-1 Off Site Hedge Baseline'!$B$1:$U$257,12,FALSE)),"",(VLOOKUP($B131,'E-1 Off Site Hedge Baseline'!$B$1:$U$257,12,FALSE))))</f>
        <v/>
      </c>
      <c r="M131" s="639" t="str">
        <f t="shared" si="16"/>
        <v/>
      </c>
      <c r="N131" s="171" t="str">
        <f>IFERROR(IF(B131="","",INDEX('G-6 Hedgerow Data'!$AN$3:$AZ$15,MATCH(C131,'G-6 Hedgerow Data'!$AM$3:$AM$15,0),MATCH(M131,'G-6 Hedgerow Data'!$AN$2:$AZ$2,0))),"")</f>
        <v/>
      </c>
      <c r="O131" s="172" t="str">
        <f t="shared" si="10"/>
        <v/>
      </c>
      <c r="P131" s="260" t="str">
        <f>IF(B131="","",VLOOKUP(B131,'E-1 Off Site Hedge Baseline'!$B$10:T376,16,FALSE))</f>
        <v/>
      </c>
      <c r="Q131" s="171" t="str">
        <f>IF(M131="","",VLOOKUP(M131,'G-6 Hedgerow Data'!$B$2:$AG$15,2,FALSE))</f>
        <v/>
      </c>
      <c r="R131" s="172" t="str">
        <f>IF(M131="","",VLOOKUP(M131,'G-6 Hedgerow Data'!$B$2:$AG$15,3,FALSE))</f>
        <v/>
      </c>
      <c r="S131" s="173"/>
      <c r="T131" s="172" t="str">
        <f>IFERROR(IF(AND(Q131="V.Low",OR(S131="Good",S131="Moderate")),"Error",VLOOKUP(S131,'G-1 All Habitats'!$Z$2:$AA$9,2,FALSE)),"")</f>
        <v/>
      </c>
      <c r="U131" s="173"/>
      <c r="V131" s="179" t="str">
        <f>IF(U131="","",IF(VLOOKUP(U131,'G-3 Multipliers'!$L$3:$N$6,2,FALSE)=0,"Spatial Data Missing",VLOOKUP(U131,'G-3 Multipliers'!$L$3:$N$6,2,FALSE)))</f>
        <v/>
      </c>
      <c r="W131" s="260" t="str">
        <f>IF(U131="","",IF(VLOOKUP(U131,'G-3 Multipliers'!$L$3:$N$6,3,FALSE)=0,"Spatial Data Missing",VLOOKUP(U131,'G-3 Multipliers'!$L$3:$N$6,3,FALSE)))</f>
        <v/>
      </c>
      <c r="X131" s="171" t="str">
        <f>IFERROR(IF(OR(LEFT(O131,5)="Error",LEFT(N131,5)="Error",T131="Error"),"Check Data",IF(F131&lt;R131,INDEX('G-6 Hedgerow Data'!$S$3:$AE$14,MATCH(C131,'G-6 Hedgerow Data'!$B$3:$B$14,0),MATCH(M131,'G-6 Hedgerow Data'!$S$2:$AE$2,0)),INDEX('G-6 Hedgerow Data'!$K$3:$Q$14,MATCH(M131,'G-6 Hedgerow Data'!$B$3:$B$14,0),MATCH(O131,'G-6 Hedgerow Data'!$K$2:$Q$2,0)))),"")</f>
        <v/>
      </c>
      <c r="Y131" s="261"/>
      <c r="Z131" s="261"/>
      <c r="AA131" s="179" t="str">
        <f t="shared" si="11"/>
        <v/>
      </c>
      <c r="AB131" s="262" t="str">
        <f t="shared" si="12"/>
        <v/>
      </c>
      <c r="AC131" s="263" t="str">
        <f t="shared" si="9"/>
        <v/>
      </c>
      <c r="AD131" s="239" t="str">
        <f>IF(M131="","",VLOOKUP(M131,'G-6 Hedgerow Data'!$B$3:$AG$15,31,FALSE))</f>
        <v/>
      </c>
      <c r="AE131" s="175" t="str">
        <f t="shared" si="13"/>
        <v/>
      </c>
      <c r="AF131" s="175" t="str">
        <f t="shared" si="14"/>
        <v/>
      </c>
      <c r="AG131" s="176" t="str">
        <f>IFERROR(IF(O131="","",VLOOKUP(AD131,'G-3 Multipliers'!$P$3:$Q$6,2,FALSE)),"")</f>
        <v/>
      </c>
      <c r="AH131" s="266"/>
      <c r="AI131" s="172" t="str">
        <f>IF(AH131="","",IF(VLOOKUP(AH131,'G-3 Multipliers'!$S$3:$T$6,2,FALSE)=0,"Spatial Data Missing",VLOOKUP(AH131,'G-3 Multipliers'!$S$3:$T$6,2,FALSE)))</f>
        <v/>
      </c>
      <c r="AJ131" s="265" t="str">
        <f t="shared" si="15"/>
        <v/>
      </c>
      <c r="AK131" s="180"/>
      <c r="AL131" s="181"/>
      <c r="AP131" s="35" t="str">
        <f>IFERROR(INDEX('G-6 Hedgerow Data'!$BJ$3:$BJ$15,MATCH(M131,'G-6 Hedgerow Data'!$B$3:$B$15,0)),"")</f>
        <v/>
      </c>
    </row>
    <row r="132" spans="2:42" ht="13.8" x14ac:dyDescent="0.25">
      <c r="B132" s="259" t="str">
        <f>'E-1 Off Site Hedge Baseline'!AK130</f>
        <v/>
      </c>
      <c r="C132" s="175" t="str">
        <f>IF(B132="","",IF(ISNA(VLOOKUP($B132,'E-1 Off Site Hedge Baseline'!$B$1:$L$257,3,FALSE)),"",(VLOOKUP($B132,'E-1 Off Site Hedge Baseline'!$B$1:$L$257,3,FALSE))))</f>
        <v/>
      </c>
      <c r="D132" s="175" t="str">
        <f>IF(B132="","",IF(ISNA(VLOOKUP($B132,'E-1 Off Site Hedge Baseline'!$B$1:$L$258,4,FALSE)),"",(VLOOKUP($B132,'E-1 Off Site Hedge Baseline'!$B$1:$L$258,4,FALSE))))</f>
        <v/>
      </c>
      <c r="E132" s="175" t="str">
        <f>IF(B132="","",IF(ISNA(VLOOKUP($B132,'E-1 Off Site Hedge Baseline'!$B$1:$L$257,5,FALSE)),"",(VLOOKUP($B132,'E-1 Off Site Hedge Baseline'!$B$1:$L$257,5,FALSE))))</f>
        <v/>
      </c>
      <c r="F132" s="175" t="str">
        <f>IF(B132="","",IF(ISNA(VLOOKUP($B132,'E-1 Off Site Hedge Baseline'!$B$1:$L$257,6,FALSE)),"",(VLOOKUP($B132,'E-1 Off Site Hedge Baseline'!$B$1:$L$257,6,FALSE))))</f>
        <v/>
      </c>
      <c r="G132" s="175" t="str">
        <f>IF(B132="","",IF(ISNA(VLOOKUP($B132,'E-1 Off Site Hedge Baseline'!$B$1:$L$257,7,FALSE)),"",(VLOOKUP($B132,'E-1 Off Site Hedge Baseline'!$B$1:$L$257,7,FALSE))))</f>
        <v/>
      </c>
      <c r="H132" s="175" t="str">
        <f>IF(B132="","",IF(ISNA(VLOOKUP($B132,'E-1 Off Site Hedge Baseline'!$B$1:$L$257,8,FALSE)),"",(VLOOKUP($B132,'E-1 Off Site Hedge Baseline'!$B$1:$L$257,8,FALSE))))</f>
        <v/>
      </c>
      <c r="I132" s="175" t="str">
        <f>IF(B132="","",IF(ISNA(VLOOKUP($B132,'E-1 Off Site Hedge Baseline'!$B$1:$L$257,10,FALSE)),"",(VLOOKUP($B132,'E-1 Off Site Hedge Baseline'!$B$1:$L$257,10,FALSE))))</f>
        <v/>
      </c>
      <c r="J132" s="175" t="str">
        <f>IF(B132="","",IF(ISNA(VLOOKUP($B132,'E-1 Off Site Hedge Baseline'!$B$1:$L$257,11,FALSE)),"",(VLOOKUP($B132,'E-1 Off Site Hedge Baseline'!$B$1:$L$257,11,FALSE))))</f>
        <v/>
      </c>
      <c r="K132" s="175" t="str">
        <f>IF(B132="","",IF(ISNA(VLOOKUP($B132,'E-1 Off Site Hedge Baseline'!$B$1:$U$257,113,FALSE)),"",(VLOOKUP($B132,'E-1 Off Site Hedge Baseline'!$B$1:$U$257,13,FALSE))))</f>
        <v/>
      </c>
      <c r="L132" s="179" t="str">
        <f>IF(B132="","",IF(ISNA(VLOOKUP($B132,'E-1 Off Site Hedge Baseline'!$B$1:$U$257,12,FALSE)),"",(VLOOKUP($B132,'E-1 Off Site Hedge Baseline'!$B$1:$U$257,12,FALSE))))</f>
        <v/>
      </c>
      <c r="M132" s="639" t="str">
        <f t="shared" si="16"/>
        <v/>
      </c>
      <c r="N132" s="171" t="str">
        <f>IFERROR(IF(B132="","",INDEX('G-6 Hedgerow Data'!$AN$3:$AZ$15,MATCH(C132,'G-6 Hedgerow Data'!$AM$3:$AM$15,0),MATCH(M132,'G-6 Hedgerow Data'!$AN$2:$AZ$2,0))),"")</f>
        <v/>
      </c>
      <c r="O132" s="172" t="str">
        <f t="shared" si="10"/>
        <v/>
      </c>
      <c r="P132" s="260" t="str">
        <f>IF(B132="","",VLOOKUP(B132,'E-1 Off Site Hedge Baseline'!$B$10:T377,16,FALSE))</f>
        <v/>
      </c>
      <c r="Q132" s="171" t="str">
        <f>IF(M132="","",VLOOKUP(M132,'G-6 Hedgerow Data'!$B$2:$AG$15,2,FALSE))</f>
        <v/>
      </c>
      <c r="R132" s="172" t="str">
        <f>IF(M132="","",VLOOKUP(M132,'G-6 Hedgerow Data'!$B$2:$AG$15,3,FALSE))</f>
        <v/>
      </c>
      <c r="S132" s="173"/>
      <c r="T132" s="172" t="str">
        <f>IFERROR(IF(AND(Q132="V.Low",OR(S132="Good",S132="Moderate")),"Error",VLOOKUP(S132,'G-1 All Habitats'!$Z$2:$AA$9,2,FALSE)),"")</f>
        <v/>
      </c>
      <c r="U132" s="173"/>
      <c r="V132" s="179" t="str">
        <f>IF(U132="","",IF(VLOOKUP(U132,'G-3 Multipliers'!$L$3:$N$6,2,FALSE)=0,"Spatial Data Missing",VLOOKUP(U132,'G-3 Multipliers'!$L$3:$N$6,2,FALSE)))</f>
        <v/>
      </c>
      <c r="W132" s="260" t="str">
        <f>IF(U132="","",IF(VLOOKUP(U132,'G-3 Multipliers'!$L$3:$N$6,3,FALSE)=0,"Spatial Data Missing",VLOOKUP(U132,'G-3 Multipliers'!$L$3:$N$6,3,FALSE)))</f>
        <v/>
      </c>
      <c r="X132" s="171" t="str">
        <f>IFERROR(IF(OR(LEFT(O132,5)="Error",LEFT(N132,5)="Error",T132="Error"),"Check Data",IF(F132&lt;R132,INDEX('G-6 Hedgerow Data'!$S$3:$AE$14,MATCH(C132,'G-6 Hedgerow Data'!$B$3:$B$14,0),MATCH(M132,'G-6 Hedgerow Data'!$S$2:$AE$2,0)),INDEX('G-6 Hedgerow Data'!$K$3:$Q$14,MATCH(M132,'G-6 Hedgerow Data'!$B$3:$B$14,0),MATCH(O132,'G-6 Hedgerow Data'!$K$2:$Q$2,0)))),"")</f>
        <v/>
      </c>
      <c r="Y132" s="261"/>
      <c r="Z132" s="261"/>
      <c r="AA132" s="179" t="str">
        <f t="shared" si="11"/>
        <v/>
      </c>
      <c r="AB132" s="262" t="str">
        <f t="shared" si="12"/>
        <v/>
      </c>
      <c r="AC132" s="263" t="str">
        <f t="shared" si="9"/>
        <v/>
      </c>
      <c r="AD132" s="239" t="str">
        <f>IF(M132="","",VLOOKUP(M132,'G-6 Hedgerow Data'!$B$3:$AG$15,31,FALSE))</f>
        <v/>
      </c>
      <c r="AE132" s="175" t="str">
        <f t="shared" si="13"/>
        <v/>
      </c>
      <c r="AF132" s="175" t="str">
        <f t="shared" si="14"/>
        <v/>
      </c>
      <c r="AG132" s="176" t="str">
        <f>IFERROR(IF(O132="","",VLOOKUP(AD132,'G-3 Multipliers'!$P$3:$Q$6,2,FALSE)),"")</f>
        <v/>
      </c>
      <c r="AH132" s="266"/>
      <c r="AI132" s="172" t="str">
        <f>IF(AH132="","",IF(VLOOKUP(AH132,'G-3 Multipliers'!$S$3:$T$6,2,FALSE)=0,"Spatial Data Missing",VLOOKUP(AH132,'G-3 Multipliers'!$S$3:$T$6,2,FALSE)))</f>
        <v/>
      </c>
      <c r="AJ132" s="265" t="str">
        <f t="shared" si="15"/>
        <v/>
      </c>
      <c r="AK132" s="180"/>
      <c r="AL132" s="181"/>
      <c r="AP132" s="35" t="str">
        <f>IFERROR(INDEX('G-6 Hedgerow Data'!$BJ$3:$BJ$15,MATCH(M132,'G-6 Hedgerow Data'!$B$3:$B$15,0)),"")</f>
        <v/>
      </c>
    </row>
    <row r="133" spans="2:42" ht="13.8" x14ac:dyDescent="0.25">
      <c r="B133" s="259" t="str">
        <f>'E-1 Off Site Hedge Baseline'!AK131</f>
        <v/>
      </c>
      <c r="C133" s="175" t="str">
        <f>IF(B133="","",IF(ISNA(VLOOKUP($B133,'E-1 Off Site Hedge Baseline'!$B$1:$L$257,3,FALSE)),"",(VLOOKUP($B133,'E-1 Off Site Hedge Baseline'!$B$1:$L$257,3,FALSE))))</f>
        <v/>
      </c>
      <c r="D133" s="175" t="str">
        <f>IF(B133="","",IF(ISNA(VLOOKUP($B133,'E-1 Off Site Hedge Baseline'!$B$1:$L$258,4,FALSE)),"",(VLOOKUP($B133,'E-1 Off Site Hedge Baseline'!$B$1:$L$258,4,FALSE))))</f>
        <v/>
      </c>
      <c r="E133" s="175" t="str">
        <f>IF(B133="","",IF(ISNA(VLOOKUP($B133,'E-1 Off Site Hedge Baseline'!$B$1:$L$257,5,FALSE)),"",(VLOOKUP($B133,'E-1 Off Site Hedge Baseline'!$B$1:$L$257,5,FALSE))))</f>
        <v/>
      </c>
      <c r="F133" s="175" t="str">
        <f>IF(B133="","",IF(ISNA(VLOOKUP($B133,'E-1 Off Site Hedge Baseline'!$B$1:$L$257,6,FALSE)),"",(VLOOKUP($B133,'E-1 Off Site Hedge Baseline'!$B$1:$L$257,6,FALSE))))</f>
        <v/>
      </c>
      <c r="G133" s="175" t="str">
        <f>IF(B133="","",IF(ISNA(VLOOKUP($B133,'E-1 Off Site Hedge Baseline'!$B$1:$L$257,7,FALSE)),"",(VLOOKUP($B133,'E-1 Off Site Hedge Baseline'!$B$1:$L$257,7,FALSE))))</f>
        <v/>
      </c>
      <c r="H133" s="175" t="str">
        <f>IF(B133="","",IF(ISNA(VLOOKUP($B133,'E-1 Off Site Hedge Baseline'!$B$1:$L$257,8,FALSE)),"",(VLOOKUP($B133,'E-1 Off Site Hedge Baseline'!$B$1:$L$257,8,FALSE))))</f>
        <v/>
      </c>
      <c r="I133" s="175" t="str">
        <f>IF(B133="","",IF(ISNA(VLOOKUP($B133,'E-1 Off Site Hedge Baseline'!$B$1:$L$257,10,FALSE)),"",(VLOOKUP($B133,'E-1 Off Site Hedge Baseline'!$B$1:$L$257,10,FALSE))))</f>
        <v/>
      </c>
      <c r="J133" s="175" t="str">
        <f>IF(B133="","",IF(ISNA(VLOOKUP($B133,'E-1 Off Site Hedge Baseline'!$B$1:$L$257,11,FALSE)),"",(VLOOKUP($B133,'E-1 Off Site Hedge Baseline'!$B$1:$L$257,11,FALSE))))</f>
        <v/>
      </c>
      <c r="K133" s="175" t="str">
        <f>IF(B133="","",IF(ISNA(VLOOKUP($B133,'E-1 Off Site Hedge Baseline'!$B$1:$U$257,113,FALSE)),"",(VLOOKUP($B133,'E-1 Off Site Hedge Baseline'!$B$1:$U$257,13,FALSE))))</f>
        <v/>
      </c>
      <c r="L133" s="179" t="str">
        <f>IF(B133="","",IF(ISNA(VLOOKUP($B133,'E-1 Off Site Hedge Baseline'!$B$1:$U$257,12,FALSE)),"",(VLOOKUP($B133,'E-1 Off Site Hedge Baseline'!$B$1:$U$257,12,FALSE))))</f>
        <v/>
      </c>
      <c r="M133" s="639" t="str">
        <f t="shared" si="16"/>
        <v/>
      </c>
      <c r="N133" s="171" t="str">
        <f>IFERROR(IF(B133="","",INDEX('G-6 Hedgerow Data'!$AN$3:$AZ$15,MATCH(C133,'G-6 Hedgerow Data'!$AM$3:$AM$15,0),MATCH(M133,'G-6 Hedgerow Data'!$AN$2:$AZ$2,0))),"")</f>
        <v/>
      </c>
      <c r="O133" s="172" t="str">
        <f t="shared" si="10"/>
        <v/>
      </c>
      <c r="P133" s="260" t="str">
        <f>IF(B133="","",VLOOKUP(B133,'E-1 Off Site Hedge Baseline'!$B$10:T378,16,FALSE))</f>
        <v/>
      </c>
      <c r="Q133" s="171" t="str">
        <f>IF(M133="","",VLOOKUP(M133,'G-6 Hedgerow Data'!$B$2:$AG$15,2,FALSE))</f>
        <v/>
      </c>
      <c r="R133" s="172" t="str">
        <f>IF(M133="","",VLOOKUP(M133,'G-6 Hedgerow Data'!$B$2:$AG$15,3,FALSE))</f>
        <v/>
      </c>
      <c r="S133" s="173"/>
      <c r="T133" s="172" t="str">
        <f>IFERROR(IF(AND(Q133="V.Low",OR(S133="Good",S133="Moderate")),"Error",VLOOKUP(S133,'G-1 All Habitats'!$Z$2:$AA$9,2,FALSE)),"")</f>
        <v/>
      </c>
      <c r="U133" s="173"/>
      <c r="V133" s="179" t="str">
        <f>IF(U133="","",IF(VLOOKUP(U133,'G-3 Multipliers'!$L$3:$N$6,2,FALSE)=0,"Spatial Data Missing",VLOOKUP(U133,'G-3 Multipliers'!$L$3:$N$6,2,FALSE)))</f>
        <v/>
      </c>
      <c r="W133" s="260" t="str">
        <f>IF(U133="","",IF(VLOOKUP(U133,'G-3 Multipliers'!$L$3:$N$6,3,FALSE)=0,"Spatial Data Missing",VLOOKUP(U133,'G-3 Multipliers'!$L$3:$N$6,3,FALSE)))</f>
        <v/>
      </c>
      <c r="X133" s="171" t="str">
        <f>IFERROR(IF(OR(LEFT(O133,5)="Error",LEFT(N133,5)="Error",T133="Error"),"Check Data",IF(F133&lt;R133,INDEX('G-6 Hedgerow Data'!$S$3:$AE$14,MATCH(C133,'G-6 Hedgerow Data'!$B$3:$B$14,0),MATCH(M133,'G-6 Hedgerow Data'!$S$2:$AE$2,0)),INDEX('G-6 Hedgerow Data'!$K$3:$Q$14,MATCH(M133,'G-6 Hedgerow Data'!$B$3:$B$14,0),MATCH(O133,'G-6 Hedgerow Data'!$K$2:$Q$2,0)))),"")</f>
        <v/>
      </c>
      <c r="Y133" s="261"/>
      <c r="Z133" s="261"/>
      <c r="AA133" s="179" t="str">
        <f t="shared" si="11"/>
        <v/>
      </c>
      <c r="AB133" s="262" t="str">
        <f t="shared" si="12"/>
        <v/>
      </c>
      <c r="AC133" s="263" t="str">
        <f t="shared" si="9"/>
        <v/>
      </c>
      <c r="AD133" s="239" t="str">
        <f>IF(M133="","",VLOOKUP(M133,'G-6 Hedgerow Data'!$B$3:$AG$15,31,FALSE))</f>
        <v/>
      </c>
      <c r="AE133" s="175" t="str">
        <f t="shared" si="13"/>
        <v/>
      </c>
      <c r="AF133" s="175" t="str">
        <f t="shared" si="14"/>
        <v/>
      </c>
      <c r="AG133" s="176" t="str">
        <f>IFERROR(IF(O133="","",VLOOKUP(AD133,'G-3 Multipliers'!$P$3:$Q$6,2,FALSE)),"")</f>
        <v/>
      </c>
      <c r="AH133" s="266"/>
      <c r="AI133" s="172" t="str">
        <f>IF(AH133="","",IF(VLOOKUP(AH133,'G-3 Multipliers'!$S$3:$T$6,2,FALSE)=0,"Spatial Data Missing",VLOOKUP(AH133,'G-3 Multipliers'!$S$3:$T$6,2,FALSE)))</f>
        <v/>
      </c>
      <c r="AJ133" s="265" t="str">
        <f t="shared" si="15"/>
        <v/>
      </c>
      <c r="AK133" s="180"/>
      <c r="AL133" s="181"/>
      <c r="AP133" s="35" t="str">
        <f>IFERROR(INDEX('G-6 Hedgerow Data'!$BJ$3:$BJ$15,MATCH(M133,'G-6 Hedgerow Data'!$B$3:$B$15,0)),"")</f>
        <v/>
      </c>
    </row>
    <row r="134" spans="2:42" ht="13.8" x14ac:dyDescent="0.25">
      <c r="B134" s="259" t="str">
        <f>'E-1 Off Site Hedge Baseline'!AK132</f>
        <v/>
      </c>
      <c r="C134" s="175" t="str">
        <f>IF(B134="","",IF(ISNA(VLOOKUP($B134,'E-1 Off Site Hedge Baseline'!$B$1:$L$257,3,FALSE)),"",(VLOOKUP($B134,'E-1 Off Site Hedge Baseline'!$B$1:$L$257,3,FALSE))))</f>
        <v/>
      </c>
      <c r="D134" s="175" t="str">
        <f>IF(B134="","",IF(ISNA(VLOOKUP($B134,'E-1 Off Site Hedge Baseline'!$B$1:$L$258,4,FALSE)),"",(VLOOKUP($B134,'E-1 Off Site Hedge Baseline'!$B$1:$L$258,4,FALSE))))</f>
        <v/>
      </c>
      <c r="E134" s="175" t="str">
        <f>IF(B134="","",IF(ISNA(VLOOKUP($B134,'E-1 Off Site Hedge Baseline'!$B$1:$L$257,5,FALSE)),"",(VLOOKUP($B134,'E-1 Off Site Hedge Baseline'!$B$1:$L$257,5,FALSE))))</f>
        <v/>
      </c>
      <c r="F134" s="175" t="str">
        <f>IF(B134="","",IF(ISNA(VLOOKUP($B134,'E-1 Off Site Hedge Baseline'!$B$1:$L$257,6,FALSE)),"",(VLOOKUP($B134,'E-1 Off Site Hedge Baseline'!$B$1:$L$257,6,FALSE))))</f>
        <v/>
      </c>
      <c r="G134" s="175" t="str">
        <f>IF(B134="","",IF(ISNA(VLOOKUP($B134,'E-1 Off Site Hedge Baseline'!$B$1:$L$257,7,FALSE)),"",(VLOOKUP($B134,'E-1 Off Site Hedge Baseline'!$B$1:$L$257,7,FALSE))))</f>
        <v/>
      </c>
      <c r="H134" s="175" t="str">
        <f>IF(B134="","",IF(ISNA(VLOOKUP($B134,'E-1 Off Site Hedge Baseline'!$B$1:$L$257,8,FALSE)),"",(VLOOKUP($B134,'E-1 Off Site Hedge Baseline'!$B$1:$L$257,8,FALSE))))</f>
        <v/>
      </c>
      <c r="I134" s="175" t="str">
        <f>IF(B134="","",IF(ISNA(VLOOKUP($B134,'E-1 Off Site Hedge Baseline'!$B$1:$L$257,10,FALSE)),"",(VLOOKUP($B134,'E-1 Off Site Hedge Baseline'!$B$1:$L$257,10,FALSE))))</f>
        <v/>
      </c>
      <c r="J134" s="175" t="str">
        <f>IF(B134="","",IF(ISNA(VLOOKUP($B134,'E-1 Off Site Hedge Baseline'!$B$1:$L$257,11,FALSE)),"",(VLOOKUP($B134,'E-1 Off Site Hedge Baseline'!$B$1:$L$257,11,FALSE))))</f>
        <v/>
      </c>
      <c r="K134" s="175" t="str">
        <f>IF(B134="","",IF(ISNA(VLOOKUP($B134,'E-1 Off Site Hedge Baseline'!$B$1:$U$257,113,FALSE)),"",(VLOOKUP($B134,'E-1 Off Site Hedge Baseline'!$B$1:$U$257,13,FALSE))))</f>
        <v/>
      </c>
      <c r="L134" s="179" t="str">
        <f>IF(B134="","",IF(ISNA(VLOOKUP($B134,'E-1 Off Site Hedge Baseline'!$B$1:$U$257,12,FALSE)),"",(VLOOKUP($B134,'E-1 Off Site Hedge Baseline'!$B$1:$U$257,12,FALSE))))</f>
        <v/>
      </c>
      <c r="M134" s="639" t="str">
        <f t="shared" si="16"/>
        <v/>
      </c>
      <c r="N134" s="171" t="str">
        <f>IFERROR(IF(B134="","",INDEX('G-6 Hedgerow Data'!$AN$3:$AZ$15,MATCH(C134,'G-6 Hedgerow Data'!$AM$3:$AM$15,0),MATCH(M134,'G-6 Hedgerow Data'!$AN$2:$AZ$2,0))),"")</f>
        <v/>
      </c>
      <c r="O134" s="172" t="str">
        <f t="shared" si="10"/>
        <v/>
      </c>
      <c r="P134" s="260" t="str">
        <f>IF(B134="","",VLOOKUP(B134,'E-1 Off Site Hedge Baseline'!$B$10:T379,16,FALSE))</f>
        <v/>
      </c>
      <c r="Q134" s="171" t="str">
        <f>IF(M134="","",VLOOKUP(M134,'G-6 Hedgerow Data'!$B$2:$AG$15,2,FALSE))</f>
        <v/>
      </c>
      <c r="R134" s="172" t="str">
        <f>IF(M134="","",VLOOKUP(M134,'G-6 Hedgerow Data'!$B$2:$AG$15,3,FALSE))</f>
        <v/>
      </c>
      <c r="S134" s="173"/>
      <c r="T134" s="172" t="str">
        <f>IFERROR(IF(AND(Q134="V.Low",OR(S134="Good",S134="Moderate")),"Error",VLOOKUP(S134,'G-1 All Habitats'!$Z$2:$AA$9,2,FALSE)),"")</f>
        <v/>
      </c>
      <c r="U134" s="173"/>
      <c r="V134" s="179" t="str">
        <f>IF(U134="","",IF(VLOOKUP(U134,'G-3 Multipliers'!$L$3:$N$6,2,FALSE)=0,"Spatial Data Missing",VLOOKUP(U134,'G-3 Multipliers'!$L$3:$N$6,2,FALSE)))</f>
        <v/>
      </c>
      <c r="W134" s="260" t="str">
        <f>IF(U134="","",IF(VLOOKUP(U134,'G-3 Multipliers'!$L$3:$N$6,3,FALSE)=0,"Spatial Data Missing",VLOOKUP(U134,'G-3 Multipliers'!$L$3:$N$6,3,FALSE)))</f>
        <v/>
      </c>
      <c r="X134" s="171" t="str">
        <f>IFERROR(IF(OR(LEFT(O134,5)="Error",LEFT(N134,5)="Error",T134="Error"),"Check Data",IF(F134&lt;R134,INDEX('G-6 Hedgerow Data'!$S$3:$AE$14,MATCH(C134,'G-6 Hedgerow Data'!$B$3:$B$14,0),MATCH(M134,'G-6 Hedgerow Data'!$S$2:$AE$2,0)),INDEX('G-6 Hedgerow Data'!$K$3:$Q$14,MATCH(M134,'G-6 Hedgerow Data'!$B$3:$B$14,0),MATCH(O134,'G-6 Hedgerow Data'!$K$2:$Q$2,0)))),"")</f>
        <v/>
      </c>
      <c r="Y134" s="261"/>
      <c r="Z134" s="261"/>
      <c r="AA134" s="179" t="str">
        <f t="shared" si="11"/>
        <v/>
      </c>
      <c r="AB134" s="262" t="str">
        <f t="shared" si="12"/>
        <v/>
      </c>
      <c r="AC134" s="263" t="str">
        <f t="shared" si="9"/>
        <v/>
      </c>
      <c r="AD134" s="239" t="str">
        <f>IF(M134="","",VLOOKUP(M134,'G-6 Hedgerow Data'!$B$3:$AG$15,31,FALSE))</f>
        <v/>
      </c>
      <c r="AE134" s="175" t="str">
        <f t="shared" si="13"/>
        <v/>
      </c>
      <c r="AF134" s="175" t="str">
        <f t="shared" si="14"/>
        <v/>
      </c>
      <c r="AG134" s="176" t="str">
        <f>IFERROR(IF(O134="","",VLOOKUP(AD134,'G-3 Multipliers'!$P$3:$Q$6,2,FALSE)),"")</f>
        <v/>
      </c>
      <c r="AH134" s="266"/>
      <c r="AI134" s="172" t="str">
        <f>IF(AH134="","",IF(VLOOKUP(AH134,'G-3 Multipliers'!$S$3:$T$6,2,FALSE)=0,"Spatial Data Missing",VLOOKUP(AH134,'G-3 Multipliers'!$S$3:$T$6,2,FALSE)))</f>
        <v/>
      </c>
      <c r="AJ134" s="265" t="str">
        <f t="shared" si="15"/>
        <v/>
      </c>
      <c r="AK134" s="180"/>
      <c r="AL134" s="181"/>
      <c r="AP134" s="35" t="str">
        <f>IFERROR(INDEX('G-6 Hedgerow Data'!$BJ$3:$BJ$15,MATCH(M134,'G-6 Hedgerow Data'!$B$3:$B$15,0)),"")</f>
        <v/>
      </c>
    </row>
    <row r="135" spans="2:42" ht="13.8" x14ac:dyDescent="0.25">
      <c r="B135" s="259" t="str">
        <f>'E-1 Off Site Hedge Baseline'!AK133</f>
        <v/>
      </c>
      <c r="C135" s="175" t="str">
        <f>IF(B135="","",IF(ISNA(VLOOKUP($B135,'E-1 Off Site Hedge Baseline'!$B$1:$L$257,3,FALSE)),"",(VLOOKUP($B135,'E-1 Off Site Hedge Baseline'!$B$1:$L$257,3,FALSE))))</f>
        <v/>
      </c>
      <c r="D135" s="175" t="str">
        <f>IF(B135="","",IF(ISNA(VLOOKUP($B135,'E-1 Off Site Hedge Baseline'!$B$1:$L$258,4,FALSE)),"",(VLOOKUP($B135,'E-1 Off Site Hedge Baseline'!$B$1:$L$258,4,FALSE))))</f>
        <v/>
      </c>
      <c r="E135" s="175" t="str">
        <f>IF(B135="","",IF(ISNA(VLOOKUP($B135,'E-1 Off Site Hedge Baseline'!$B$1:$L$257,5,FALSE)),"",(VLOOKUP($B135,'E-1 Off Site Hedge Baseline'!$B$1:$L$257,5,FALSE))))</f>
        <v/>
      </c>
      <c r="F135" s="175" t="str">
        <f>IF(B135="","",IF(ISNA(VLOOKUP($B135,'E-1 Off Site Hedge Baseline'!$B$1:$L$257,6,FALSE)),"",(VLOOKUP($B135,'E-1 Off Site Hedge Baseline'!$B$1:$L$257,6,FALSE))))</f>
        <v/>
      </c>
      <c r="G135" s="175" t="str">
        <f>IF(B135="","",IF(ISNA(VLOOKUP($B135,'E-1 Off Site Hedge Baseline'!$B$1:$L$257,7,FALSE)),"",(VLOOKUP($B135,'E-1 Off Site Hedge Baseline'!$B$1:$L$257,7,FALSE))))</f>
        <v/>
      </c>
      <c r="H135" s="175" t="str">
        <f>IF(B135="","",IF(ISNA(VLOOKUP($B135,'E-1 Off Site Hedge Baseline'!$B$1:$L$257,8,FALSE)),"",(VLOOKUP($B135,'E-1 Off Site Hedge Baseline'!$B$1:$L$257,8,FALSE))))</f>
        <v/>
      </c>
      <c r="I135" s="175" t="str">
        <f>IF(B135="","",IF(ISNA(VLOOKUP($B135,'E-1 Off Site Hedge Baseline'!$B$1:$L$257,10,FALSE)),"",(VLOOKUP($B135,'E-1 Off Site Hedge Baseline'!$B$1:$L$257,10,FALSE))))</f>
        <v/>
      </c>
      <c r="J135" s="175" t="str">
        <f>IF(B135="","",IF(ISNA(VLOOKUP($B135,'E-1 Off Site Hedge Baseline'!$B$1:$L$257,11,FALSE)),"",(VLOOKUP($B135,'E-1 Off Site Hedge Baseline'!$B$1:$L$257,11,FALSE))))</f>
        <v/>
      </c>
      <c r="K135" s="175" t="str">
        <f>IF(B135="","",IF(ISNA(VLOOKUP($B135,'E-1 Off Site Hedge Baseline'!$B$1:$U$257,113,FALSE)),"",(VLOOKUP($B135,'E-1 Off Site Hedge Baseline'!$B$1:$U$257,13,FALSE))))</f>
        <v/>
      </c>
      <c r="L135" s="179" t="str">
        <f>IF(B135="","",IF(ISNA(VLOOKUP($B135,'E-1 Off Site Hedge Baseline'!$B$1:$U$257,12,FALSE)),"",(VLOOKUP($B135,'E-1 Off Site Hedge Baseline'!$B$1:$U$257,12,FALSE))))</f>
        <v/>
      </c>
      <c r="M135" s="639" t="str">
        <f t="shared" si="16"/>
        <v/>
      </c>
      <c r="N135" s="171" t="str">
        <f>IFERROR(IF(B135="","",INDEX('G-6 Hedgerow Data'!$AN$3:$AZ$15,MATCH(C135,'G-6 Hedgerow Data'!$AM$3:$AM$15,0),MATCH(M135,'G-6 Hedgerow Data'!$AN$2:$AZ$2,0))),"")</f>
        <v/>
      </c>
      <c r="O135" s="172" t="str">
        <f t="shared" si="10"/>
        <v/>
      </c>
      <c r="P135" s="260" t="str">
        <f>IF(B135="","",VLOOKUP(B135,'E-1 Off Site Hedge Baseline'!$B$10:T380,16,FALSE))</f>
        <v/>
      </c>
      <c r="Q135" s="171" t="str">
        <f>IF(M135="","",VLOOKUP(M135,'G-6 Hedgerow Data'!$B$2:$AG$15,2,FALSE))</f>
        <v/>
      </c>
      <c r="R135" s="172" t="str">
        <f>IF(M135="","",VLOOKUP(M135,'G-6 Hedgerow Data'!$B$2:$AG$15,3,FALSE))</f>
        <v/>
      </c>
      <c r="S135" s="173"/>
      <c r="T135" s="172" t="str">
        <f>IFERROR(IF(AND(Q135="V.Low",OR(S135="Good",S135="Moderate")),"Error",VLOOKUP(S135,'G-1 All Habitats'!$Z$2:$AA$9,2,FALSE)),"")</f>
        <v/>
      </c>
      <c r="U135" s="173"/>
      <c r="V135" s="179" t="str">
        <f>IF(U135="","",IF(VLOOKUP(U135,'G-3 Multipliers'!$L$3:$N$6,2,FALSE)=0,"Spatial Data Missing",VLOOKUP(U135,'G-3 Multipliers'!$L$3:$N$6,2,FALSE)))</f>
        <v/>
      </c>
      <c r="W135" s="260" t="str">
        <f>IF(U135="","",IF(VLOOKUP(U135,'G-3 Multipliers'!$L$3:$N$6,3,FALSE)=0,"Spatial Data Missing",VLOOKUP(U135,'G-3 Multipliers'!$L$3:$N$6,3,FALSE)))</f>
        <v/>
      </c>
      <c r="X135" s="171" t="str">
        <f>IFERROR(IF(OR(LEFT(O135,5)="Error",LEFT(N135,5)="Error",T135="Error"),"Check Data",IF(F135&lt;R135,INDEX('G-6 Hedgerow Data'!$S$3:$AE$14,MATCH(C135,'G-6 Hedgerow Data'!$B$3:$B$14,0),MATCH(M135,'G-6 Hedgerow Data'!$S$2:$AE$2,0)),INDEX('G-6 Hedgerow Data'!$K$3:$Q$14,MATCH(M135,'G-6 Hedgerow Data'!$B$3:$B$14,0),MATCH(O135,'G-6 Hedgerow Data'!$K$2:$Q$2,0)))),"")</f>
        <v/>
      </c>
      <c r="Y135" s="261"/>
      <c r="Z135" s="261"/>
      <c r="AA135" s="179" t="str">
        <f t="shared" si="11"/>
        <v/>
      </c>
      <c r="AB135" s="262" t="str">
        <f t="shared" si="12"/>
        <v/>
      </c>
      <c r="AC135" s="263" t="str">
        <f t="shared" si="9"/>
        <v/>
      </c>
      <c r="AD135" s="239" t="str">
        <f>IF(M135="","",VLOOKUP(M135,'G-6 Hedgerow Data'!$B$3:$AG$15,31,FALSE))</f>
        <v/>
      </c>
      <c r="AE135" s="175" t="str">
        <f t="shared" si="13"/>
        <v/>
      </c>
      <c r="AF135" s="175" t="str">
        <f t="shared" si="14"/>
        <v/>
      </c>
      <c r="AG135" s="176" t="str">
        <f>IFERROR(IF(O135="","",VLOOKUP(AD135,'G-3 Multipliers'!$P$3:$Q$6,2,FALSE)),"")</f>
        <v/>
      </c>
      <c r="AH135" s="266"/>
      <c r="AI135" s="172" t="str">
        <f>IF(AH135="","",IF(VLOOKUP(AH135,'G-3 Multipliers'!$S$3:$T$6,2,FALSE)=0,"Spatial Data Missing",VLOOKUP(AH135,'G-3 Multipliers'!$S$3:$T$6,2,FALSE)))</f>
        <v/>
      </c>
      <c r="AJ135" s="265" t="str">
        <f t="shared" si="15"/>
        <v/>
      </c>
      <c r="AK135" s="180"/>
      <c r="AL135" s="181"/>
      <c r="AP135" s="35" t="str">
        <f>IFERROR(INDEX('G-6 Hedgerow Data'!$BJ$3:$BJ$15,MATCH(M135,'G-6 Hedgerow Data'!$B$3:$B$15,0)),"")</f>
        <v/>
      </c>
    </row>
    <row r="136" spans="2:42" ht="13.8" x14ac:dyDescent="0.25">
      <c r="B136" s="259" t="str">
        <f>'E-1 Off Site Hedge Baseline'!AK134</f>
        <v/>
      </c>
      <c r="C136" s="175" t="str">
        <f>IF(B136="","",IF(ISNA(VLOOKUP($B136,'E-1 Off Site Hedge Baseline'!$B$1:$L$257,3,FALSE)),"",(VLOOKUP($B136,'E-1 Off Site Hedge Baseline'!$B$1:$L$257,3,FALSE))))</f>
        <v/>
      </c>
      <c r="D136" s="175" t="str">
        <f>IF(B136="","",IF(ISNA(VLOOKUP($B136,'E-1 Off Site Hedge Baseline'!$B$1:$L$258,4,FALSE)),"",(VLOOKUP($B136,'E-1 Off Site Hedge Baseline'!$B$1:$L$258,4,FALSE))))</f>
        <v/>
      </c>
      <c r="E136" s="175" t="str">
        <f>IF(B136="","",IF(ISNA(VLOOKUP($B136,'E-1 Off Site Hedge Baseline'!$B$1:$L$257,5,FALSE)),"",(VLOOKUP($B136,'E-1 Off Site Hedge Baseline'!$B$1:$L$257,5,FALSE))))</f>
        <v/>
      </c>
      <c r="F136" s="175" t="str">
        <f>IF(B136="","",IF(ISNA(VLOOKUP($B136,'E-1 Off Site Hedge Baseline'!$B$1:$L$257,6,FALSE)),"",(VLOOKUP($B136,'E-1 Off Site Hedge Baseline'!$B$1:$L$257,6,FALSE))))</f>
        <v/>
      </c>
      <c r="G136" s="175" t="str">
        <f>IF(B136="","",IF(ISNA(VLOOKUP($B136,'E-1 Off Site Hedge Baseline'!$B$1:$L$257,7,FALSE)),"",(VLOOKUP($B136,'E-1 Off Site Hedge Baseline'!$B$1:$L$257,7,FALSE))))</f>
        <v/>
      </c>
      <c r="H136" s="175" t="str">
        <f>IF(B136="","",IF(ISNA(VLOOKUP($B136,'E-1 Off Site Hedge Baseline'!$B$1:$L$257,8,FALSE)),"",(VLOOKUP($B136,'E-1 Off Site Hedge Baseline'!$B$1:$L$257,8,FALSE))))</f>
        <v/>
      </c>
      <c r="I136" s="175" t="str">
        <f>IF(B136="","",IF(ISNA(VLOOKUP($B136,'E-1 Off Site Hedge Baseline'!$B$1:$L$257,10,FALSE)),"",(VLOOKUP($B136,'E-1 Off Site Hedge Baseline'!$B$1:$L$257,10,FALSE))))</f>
        <v/>
      </c>
      <c r="J136" s="175" t="str">
        <f>IF(B136="","",IF(ISNA(VLOOKUP($B136,'E-1 Off Site Hedge Baseline'!$B$1:$L$257,11,FALSE)),"",(VLOOKUP($B136,'E-1 Off Site Hedge Baseline'!$B$1:$L$257,11,FALSE))))</f>
        <v/>
      </c>
      <c r="K136" s="175" t="str">
        <f>IF(B136="","",IF(ISNA(VLOOKUP($B136,'E-1 Off Site Hedge Baseline'!$B$1:$U$257,113,FALSE)),"",(VLOOKUP($B136,'E-1 Off Site Hedge Baseline'!$B$1:$U$257,13,FALSE))))</f>
        <v/>
      </c>
      <c r="L136" s="179" t="str">
        <f>IF(B136="","",IF(ISNA(VLOOKUP($B136,'E-1 Off Site Hedge Baseline'!$B$1:$U$257,12,FALSE)),"",(VLOOKUP($B136,'E-1 Off Site Hedge Baseline'!$B$1:$U$257,12,FALSE))))</f>
        <v/>
      </c>
      <c r="M136" s="639" t="str">
        <f t="shared" si="16"/>
        <v/>
      </c>
      <c r="N136" s="171" t="str">
        <f>IFERROR(IF(B136="","",INDEX('G-6 Hedgerow Data'!$AN$3:$AZ$15,MATCH(C136,'G-6 Hedgerow Data'!$AM$3:$AM$15,0),MATCH(M136,'G-6 Hedgerow Data'!$AN$2:$AZ$2,0))),"")</f>
        <v/>
      </c>
      <c r="O136" s="172" t="str">
        <f t="shared" si="10"/>
        <v/>
      </c>
      <c r="P136" s="260" t="str">
        <f>IF(B136="","",VLOOKUP(B136,'E-1 Off Site Hedge Baseline'!$B$10:T381,16,FALSE))</f>
        <v/>
      </c>
      <c r="Q136" s="171" t="str">
        <f>IF(M136="","",VLOOKUP(M136,'G-6 Hedgerow Data'!$B$2:$AG$15,2,FALSE))</f>
        <v/>
      </c>
      <c r="R136" s="172" t="str">
        <f>IF(M136="","",VLOOKUP(M136,'G-6 Hedgerow Data'!$B$2:$AG$15,3,FALSE))</f>
        <v/>
      </c>
      <c r="S136" s="173"/>
      <c r="T136" s="172" t="str">
        <f>IFERROR(IF(AND(Q136="V.Low",OR(S136="Good",S136="Moderate")),"Error",VLOOKUP(S136,'G-1 All Habitats'!$Z$2:$AA$9,2,FALSE)),"")</f>
        <v/>
      </c>
      <c r="U136" s="173"/>
      <c r="V136" s="179" t="str">
        <f>IF(U136="","",IF(VLOOKUP(U136,'G-3 Multipliers'!$L$3:$N$6,2,FALSE)=0,"Spatial Data Missing",VLOOKUP(U136,'G-3 Multipliers'!$L$3:$N$6,2,FALSE)))</f>
        <v/>
      </c>
      <c r="W136" s="260" t="str">
        <f>IF(U136="","",IF(VLOOKUP(U136,'G-3 Multipliers'!$L$3:$N$6,3,FALSE)=0,"Spatial Data Missing",VLOOKUP(U136,'G-3 Multipliers'!$L$3:$N$6,3,FALSE)))</f>
        <v/>
      </c>
      <c r="X136" s="171" t="str">
        <f>IFERROR(IF(OR(LEFT(O136,5)="Error",LEFT(N136,5)="Error",T136="Error"),"Check Data",IF(F136&lt;R136,INDEX('G-6 Hedgerow Data'!$S$3:$AE$14,MATCH(C136,'G-6 Hedgerow Data'!$B$3:$B$14,0),MATCH(M136,'G-6 Hedgerow Data'!$S$2:$AE$2,0)),INDEX('G-6 Hedgerow Data'!$K$3:$Q$14,MATCH(M136,'G-6 Hedgerow Data'!$B$3:$B$14,0),MATCH(O136,'G-6 Hedgerow Data'!$K$2:$Q$2,0)))),"")</f>
        <v/>
      </c>
      <c r="Y136" s="261"/>
      <c r="Z136" s="261"/>
      <c r="AA136" s="179" t="str">
        <f t="shared" si="11"/>
        <v/>
      </c>
      <c r="AB136" s="262" t="str">
        <f t="shared" si="12"/>
        <v/>
      </c>
      <c r="AC136" s="263" t="str">
        <f t="shared" si="9"/>
        <v/>
      </c>
      <c r="AD136" s="239" t="str">
        <f>IF(M136="","",VLOOKUP(M136,'G-6 Hedgerow Data'!$B$3:$AG$15,31,FALSE))</f>
        <v/>
      </c>
      <c r="AE136" s="175" t="str">
        <f t="shared" si="13"/>
        <v/>
      </c>
      <c r="AF136" s="175" t="str">
        <f t="shared" si="14"/>
        <v/>
      </c>
      <c r="AG136" s="176" t="str">
        <f>IFERROR(IF(O136="","",VLOOKUP(AD136,'G-3 Multipliers'!$P$3:$Q$6,2,FALSE)),"")</f>
        <v/>
      </c>
      <c r="AH136" s="266"/>
      <c r="AI136" s="172" t="str">
        <f>IF(AH136="","",IF(VLOOKUP(AH136,'G-3 Multipliers'!$S$3:$T$6,2,FALSE)=0,"Spatial Data Missing",VLOOKUP(AH136,'G-3 Multipliers'!$S$3:$T$6,2,FALSE)))</f>
        <v/>
      </c>
      <c r="AJ136" s="265" t="str">
        <f t="shared" si="15"/>
        <v/>
      </c>
      <c r="AK136" s="180"/>
      <c r="AL136" s="181"/>
      <c r="AP136" s="35" t="str">
        <f>IFERROR(INDEX('G-6 Hedgerow Data'!$BJ$3:$BJ$15,MATCH(M136,'G-6 Hedgerow Data'!$B$3:$B$15,0)),"")</f>
        <v/>
      </c>
    </row>
    <row r="137" spans="2:42" ht="13.8" x14ac:dyDescent="0.25">
      <c r="B137" s="259" t="str">
        <f>'E-1 Off Site Hedge Baseline'!AK135</f>
        <v/>
      </c>
      <c r="C137" s="175" t="str">
        <f>IF(B137="","",IF(ISNA(VLOOKUP($B137,'E-1 Off Site Hedge Baseline'!$B$1:$L$257,3,FALSE)),"",(VLOOKUP($B137,'E-1 Off Site Hedge Baseline'!$B$1:$L$257,3,FALSE))))</f>
        <v/>
      </c>
      <c r="D137" s="175" t="str">
        <f>IF(B137="","",IF(ISNA(VLOOKUP($B137,'E-1 Off Site Hedge Baseline'!$B$1:$L$258,4,FALSE)),"",(VLOOKUP($B137,'E-1 Off Site Hedge Baseline'!$B$1:$L$258,4,FALSE))))</f>
        <v/>
      </c>
      <c r="E137" s="175" t="str">
        <f>IF(B137="","",IF(ISNA(VLOOKUP($B137,'E-1 Off Site Hedge Baseline'!$B$1:$L$257,5,FALSE)),"",(VLOOKUP($B137,'E-1 Off Site Hedge Baseline'!$B$1:$L$257,5,FALSE))))</f>
        <v/>
      </c>
      <c r="F137" s="175" t="str">
        <f>IF(B137="","",IF(ISNA(VLOOKUP($B137,'E-1 Off Site Hedge Baseline'!$B$1:$L$257,6,FALSE)),"",(VLOOKUP($B137,'E-1 Off Site Hedge Baseline'!$B$1:$L$257,6,FALSE))))</f>
        <v/>
      </c>
      <c r="G137" s="175" t="str">
        <f>IF(B137="","",IF(ISNA(VLOOKUP($B137,'E-1 Off Site Hedge Baseline'!$B$1:$L$257,7,FALSE)),"",(VLOOKUP($B137,'E-1 Off Site Hedge Baseline'!$B$1:$L$257,7,FALSE))))</f>
        <v/>
      </c>
      <c r="H137" s="175" t="str">
        <f>IF(B137="","",IF(ISNA(VLOOKUP($B137,'E-1 Off Site Hedge Baseline'!$B$1:$L$257,8,FALSE)),"",(VLOOKUP($B137,'E-1 Off Site Hedge Baseline'!$B$1:$L$257,8,FALSE))))</f>
        <v/>
      </c>
      <c r="I137" s="175" t="str">
        <f>IF(B137="","",IF(ISNA(VLOOKUP($B137,'E-1 Off Site Hedge Baseline'!$B$1:$L$257,10,FALSE)),"",(VLOOKUP($B137,'E-1 Off Site Hedge Baseline'!$B$1:$L$257,10,FALSE))))</f>
        <v/>
      </c>
      <c r="J137" s="175" t="str">
        <f>IF(B137="","",IF(ISNA(VLOOKUP($B137,'E-1 Off Site Hedge Baseline'!$B$1:$L$257,11,FALSE)),"",(VLOOKUP($B137,'E-1 Off Site Hedge Baseline'!$B$1:$L$257,11,FALSE))))</f>
        <v/>
      </c>
      <c r="K137" s="175" t="str">
        <f>IF(B137="","",IF(ISNA(VLOOKUP($B137,'E-1 Off Site Hedge Baseline'!$B$1:$U$257,113,FALSE)),"",(VLOOKUP($B137,'E-1 Off Site Hedge Baseline'!$B$1:$U$257,13,FALSE))))</f>
        <v/>
      </c>
      <c r="L137" s="179" t="str">
        <f>IF(B137="","",IF(ISNA(VLOOKUP($B137,'E-1 Off Site Hedge Baseline'!$B$1:$U$257,12,FALSE)),"",(VLOOKUP($B137,'E-1 Off Site Hedge Baseline'!$B$1:$U$257,12,FALSE))))</f>
        <v/>
      </c>
      <c r="M137" s="639" t="str">
        <f t="shared" si="16"/>
        <v/>
      </c>
      <c r="N137" s="171" t="str">
        <f>IFERROR(IF(B137="","",INDEX('G-6 Hedgerow Data'!$AN$3:$AZ$15,MATCH(C137,'G-6 Hedgerow Data'!$AM$3:$AM$15,0),MATCH(M137,'G-6 Hedgerow Data'!$AN$2:$AZ$2,0))),"")</f>
        <v/>
      </c>
      <c r="O137" s="172" t="str">
        <f t="shared" si="10"/>
        <v/>
      </c>
      <c r="P137" s="260" t="str">
        <f>IF(B137="","",VLOOKUP(B137,'E-1 Off Site Hedge Baseline'!$B$10:T382,16,FALSE))</f>
        <v/>
      </c>
      <c r="Q137" s="171" t="str">
        <f>IF(M137="","",VLOOKUP(M137,'G-6 Hedgerow Data'!$B$2:$AG$15,2,FALSE))</f>
        <v/>
      </c>
      <c r="R137" s="172" t="str">
        <f>IF(M137="","",VLOOKUP(M137,'G-6 Hedgerow Data'!$B$2:$AG$15,3,FALSE))</f>
        <v/>
      </c>
      <c r="S137" s="173"/>
      <c r="T137" s="172" t="str">
        <f>IFERROR(IF(AND(Q137="V.Low",OR(S137="Good",S137="Moderate")),"Error",VLOOKUP(S137,'G-1 All Habitats'!$Z$2:$AA$9,2,FALSE)),"")</f>
        <v/>
      </c>
      <c r="U137" s="173"/>
      <c r="V137" s="179" t="str">
        <f>IF(U137="","",IF(VLOOKUP(U137,'G-3 Multipliers'!$L$3:$N$6,2,FALSE)=0,"Spatial Data Missing",VLOOKUP(U137,'G-3 Multipliers'!$L$3:$N$6,2,FALSE)))</f>
        <v/>
      </c>
      <c r="W137" s="260" t="str">
        <f>IF(U137="","",IF(VLOOKUP(U137,'G-3 Multipliers'!$L$3:$N$6,3,FALSE)=0,"Spatial Data Missing",VLOOKUP(U137,'G-3 Multipliers'!$L$3:$N$6,3,FALSE)))</f>
        <v/>
      </c>
      <c r="X137" s="171" t="str">
        <f>IFERROR(IF(OR(LEFT(O137,5)="Error",LEFT(N137,5)="Error",T137="Error"),"Check Data",IF(F137&lt;R137,INDEX('G-6 Hedgerow Data'!$S$3:$AE$14,MATCH(C137,'G-6 Hedgerow Data'!$B$3:$B$14,0),MATCH(M137,'G-6 Hedgerow Data'!$S$2:$AE$2,0)),INDEX('G-6 Hedgerow Data'!$K$3:$Q$14,MATCH(M137,'G-6 Hedgerow Data'!$B$3:$B$14,0),MATCH(O137,'G-6 Hedgerow Data'!$K$2:$Q$2,0)))),"")</f>
        <v/>
      </c>
      <c r="Y137" s="261"/>
      <c r="Z137" s="261"/>
      <c r="AA137" s="179" t="str">
        <f t="shared" si="11"/>
        <v/>
      </c>
      <c r="AB137" s="262" t="str">
        <f t="shared" si="12"/>
        <v/>
      </c>
      <c r="AC137" s="263" t="str">
        <f t="shared" si="9"/>
        <v/>
      </c>
      <c r="AD137" s="239" t="str">
        <f>IF(M137="","",VLOOKUP(M137,'G-6 Hedgerow Data'!$B$3:$AG$15,31,FALSE))</f>
        <v/>
      </c>
      <c r="AE137" s="175" t="str">
        <f t="shared" si="13"/>
        <v/>
      </c>
      <c r="AF137" s="175" t="str">
        <f t="shared" si="14"/>
        <v/>
      </c>
      <c r="AG137" s="176" t="str">
        <f>IFERROR(IF(O137="","",VLOOKUP(AD137,'G-3 Multipliers'!$P$3:$Q$6,2,FALSE)),"")</f>
        <v/>
      </c>
      <c r="AH137" s="266"/>
      <c r="AI137" s="172" t="str">
        <f>IF(AH137="","",IF(VLOOKUP(AH137,'G-3 Multipliers'!$S$3:$T$6,2,FALSE)=0,"Spatial Data Missing",VLOOKUP(AH137,'G-3 Multipliers'!$S$3:$T$6,2,FALSE)))</f>
        <v/>
      </c>
      <c r="AJ137" s="265" t="str">
        <f t="shared" si="15"/>
        <v/>
      </c>
      <c r="AK137" s="180"/>
      <c r="AL137" s="181"/>
      <c r="AP137" s="35" t="str">
        <f>IFERROR(INDEX('G-6 Hedgerow Data'!$BJ$3:$BJ$15,MATCH(M137,'G-6 Hedgerow Data'!$B$3:$B$15,0)),"")</f>
        <v/>
      </c>
    </row>
    <row r="138" spans="2:42" ht="13.8" x14ac:dyDescent="0.25">
      <c r="B138" s="259" t="str">
        <f>'E-1 Off Site Hedge Baseline'!AK136</f>
        <v/>
      </c>
      <c r="C138" s="175" t="str">
        <f>IF(B138="","",IF(ISNA(VLOOKUP($B138,'E-1 Off Site Hedge Baseline'!$B$1:$L$257,3,FALSE)),"",(VLOOKUP($B138,'E-1 Off Site Hedge Baseline'!$B$1:$L$257,3,FALSE))))</f>
        <v/>
      </c>
      <c r="D138" s="175" t="str">
        <f>IF(B138="","",IF(ISNA(VLOOKUP($B138,'E-1 Off Site Hedge Baseline'!$B$1:$L$258,4,FALSE)),"",(VLOOKUP($B138,'E-1 Off Site Hedge Baseline'!$B$1:$L$258,4,FALSE))))</f>
        <v/>
      </c>
      <c r="E138" s="175" t="str">
        <f>IF(B138="","",IF(ISNA(VLOOKUP($B138,'E-1 Off Site Hedge Baseline'!$B$1:$L$257,5,FALSE)),"",(VLOOKUP($B138,'E-1 Off Site Hedge Baseline'!$B$1:$L$257,5,FALSE))))</f>
        <v/>
      </c>
      <c r="F138" s="175" t="str">
        <f>IF(B138="","",IF(ISNA(VLOOKUP($B138,'E-1 Off Site Hedge Baseline'!$B$1:$L$257,6,FALSE)),"",(VLOOKUP($B138,'E-1 Off Site Hedge Baseline'!$B$1:$L$257,6,FALSE))))</f>
        <v/>
      </c>
      <c r="G138" s="175" t="str">
        <f>IF(B138="","",IF(ISNA(VLOOKUP($B138,'E-1 Off Site Hedge Baseline'!$B$1:$L$257,7,FALSE)),"",(VLOOKUP($B138,'E-1 Off Site Hedge Baseline'!$B$1:$L$257,7,FALSE))))</f>
        <v/>
      </c>
      <c r="H138" s="175" t="str">
        <f>IF(B138="","",IF(ISNA(VLOOKUP($B138,'E-1 Off Site Hedge Baseline'!$B$1:$L$257,8,FALSE)),"",(VLOOKUP($B138,'E-1 Off Site Hedge Baseline'!$B$1:$L$257,8,FALSE))))</f>
        <v/>
      </c>
      <c r="I138" s="175" t="str">
        <f>IF(B138="","",IF(ISNA(VLOOKUP($B138,'E-1 Off Site Hedge Baseline'!$B$1:$L$257,10,FALSE)),"",(VLOOKUP($B138,'E-1 Off Site Hedge Baseline'!$B$1:$L$257,10,FALSE))))</f>
        <v/>
      </c>
      <c r="J138" s="175" t="str">
        <f>IF(B138="","",IF(ISNA(VLOOKUP($B138,'E-1 Off Site Hedge Baseline'!$B$1:$L$257,11,FALSE)),"",(VLOOKUP($B138,'E-1 Off Site Hedge Baseline'!$B$1:$L$257,11,FALSE))))</f>
        <v/>
      </c>
      <c r="K138" s="175" t="str">
        <f>IF(B138="","",IF(ISNA(VLOOKUP($B138,'E-1 Off Site Hedge Baseline'!$B$1:$U$257,113,FALSE)),"",(VLOOKUP($B138,'E-1 Off Site Hedge Baseline'!$B$1:$U$257,13,FALSE))))</f>
        <v/>
      </c>
      <c r="L138" s="179" t="str">
        <f>IF(B138="","",IF(ISNA(VLOOKUP($B138,'E-1 Off Site Hedge Baseline'!$B$1:$U$257,12,FALSE)),"",(VLOOKUP($B138,'E-1 Off Site Hedge Baseline'!$B$1:$U$257,12,FALSE))))</f>
        <v/>
      </c>
      <c r="M138" s="639" t="str">
        <f t="shared" si="16"/>
        <v/>
      </c>
      <c r="N138" s="171" t="str">
        <f>IFERROR(IF(B138="","",INDEX('G-6 Hedgerow Data'!$AN$3:$AZ$15,MATCH(C138,'G-6 Hedgerow Data'!$AM$3:$AM$15,0),MATCH(M138,'G-6 Hedgerow Data'!$AN$2:$AZ$2,0))),"")</f>
        <v/>
      </c>
      <c r="O138" s="172" t="str">
        <f t="shared" si="10"/>
        <v/>
      </c>
      <c r="P138" s="260" t="str">
        <f>IF(B138="","",VLOOKUP(B138,'E-1 Off Site Hedge Baseline'!$B$10:T383,16,FALSE))</f>
        <v/>
      </c>
      <c r="Q138" s="171" t="str">
        <f>IF(M138="","",VLOOKUP(M138,'G-6 Hedgerow Data'!$B$2:$AG$15,2,FALSE))</f>
        <v/>
      </c>
      <c r="R138" s="172" t="str">
        <f>IF(M138="","",VLOOKUP(M138,'G-6 Hedgerow Data'!$B$2:$AG$15,3,FALSE))</f>
        <v/>
      </c>
      <c r="S138" s="173"/>
      <c r="T138" s="172" t="str">
        <f>IFERROR(IF(AND(Q138="V.Low",OR(S138="Good",S138="Moderate")),"Error",VLOOKUP(S138,'G-1 All Habitats'!$Z$2:$AA$9,2,FALSE)),"")</f>
        <v/>
      </c>
      <c r="U138" s="173"/>
      <c r="V138" s="179" t="str">
        <f>IF(U138="","",IF(VLOOKUP(U138,'G-3 Multipliers'!$L$3:$N$6,2,FALSE)=0,"Spatial Data Missing",VLOOKUP(U138,'G-3 Multipliers'!$L$3:$N$6,2,FALSE)))</f>
        <v/>
      </c>
      <c r="W138" s="260" t="str">
        <f>IF(U138="","",IF(VLOOKUP(U138,'G-3 Multipliers'!$L$3:$N$6,3,FALSE)=0,"Spatial Data Missing",VLOOKUP(U138,'G-3 Multipliers'!$L$3:$N$6,3,FALSE)))</f>
        <v/>
      </c>
      <c r="X138" s="171" t="str">
        <f>IFERROR(IF(OR(LEFT(O138,5)="Error",LEFT(N138,5)="Error",T138="Error"),"Check Data",IF(F138&lt;R138,INDEX('G-6 Hedgerow Data'!$S$3:$AE$14,MATCH(C138,'G-6 Hedgerow Data'!$B$3:$B$14,0),MATCH(M138,'G-6 Hedgerow Data'!$S$2:$AE$2,0)),INDEX('G-6 Hedgerow Data'!$K$3:$Q$14,MATCH(M138,'G-6 Hedgerow Data'!$B$3:$B$14,0),MATCH(O138,'G-6 Hedgerow Data'!$K$2:$Q$2,0)))),"")</f>
        <v/>
      </c>
      <c r="Y138" s="261"/>
      <c r="Z138" s="261"/>
      <c r="AA138" s="179" t="str">
        <f t="shared" si="11"/>
        <v/>
      </c>
      <c r="AB138" s="262" t="str">
        <f t="shared" si="12"/>
        <v/>
      </c>
      <c r="AC138" s="263" t="str">
        <f t="shared" si="9"/>
        <v/>
      </c>
      <c r="AD138" s="239" t="str">
        <f>IF(M138="","",VLOOKUP(M138,'G-6 Hedgerow Data'!$B$3:$AG$15,31,FALSE))</f>
        <v/>
      </c>
      <c r="AE138" s="175" t="str">
        <f t="shared" si="13"/>
        <v/>
      </c>
      <c r="AF138" s="175" t="str">
        <f t="shared" si="14"/>
        <v/>
      </c>
      <c r="AG138" s="176" t="str">
        <f>IFERROR(IF(O138="","",VLOOKUP(AD138,'G-3 Multipliers'!$P$3:$Q$6,2,FALSE)),"")</f>
        <v/>
      </c>
      <c r="AH138" s="266"/>
      <c r="AI138" s="172" t="str">
        <f>IF(AH138="","",IF(VLOOKUP(AH138,'G-3 Multipliers'!$S$3:$T$6,2,FALSE)=0,"Spatial Data Missing",VLOOKUP(AH138,'G-3 Multipliers'!$S$3:$T$6,2,FALSE)))</f>
        <v/>
      </c>
      <c r="AJ138" s="265" t="str">
        <f t="shared" si="15"/>
        <v/>
      </c>
      <c r="AK138" s="180"/>
      <c r="AL138" s="181"/>
      <c r="AP138" s="35" t="str">
        <f>IFERROR(INDEX('G-6 Hedgerow Data'!$BJ$3:$BJ$15,MATCH(M138,'G-6 Hedgerow Data'!$B$3:$B$15,0)),"")</f>
        <v/>
      </c>
    </row>
    <row r="139" spans="2:42" ht="13.8" x14ac:dyDescent="0.25">
      <c r="B139" s="259" t="str">
        <f>'E-1 Off Site Hedge Baseline'!AK137</f>
        <v/>
      </c>
      <c r="C139" s="175" t="str">
        <f>IF(B139="","",IF(ISNA(VLOOKUP($B139,'E-1 Off Site Hedge Baseline'!$B$1:$L$257,3,FALSE)),"",(VLOOKUP($B139,'E-1 Off Site Hedge Baseline'!$B$1:$L$257,3,FALSE))))</f>
        <v/>
      </c>
      <c r="D139" s="175" t="str">
        <f>IF(B139="","",IF(ISNA(VLOOKUP($B139,'E-1 Off Site Hedge Baseline'!$B$1:$L$258,4,FALSE)),"",(VLOOKUP($B139,'E-1 Off Site Hedge Baseline'!$B$1:$L$258,4,FALSE))))</f>
        <v/>
      </c>
      <c r="E139" s="175" t="str">
        <f>IF(B139="","",IF(ISNA(VLOOKUP($B139,'E-1 Off Site Hedge Baseline'!$B$1:$L$257,5,FALSE)),"",(VLOOKUP($B139,'E-1 Off Site Hedge Baseline'!$B$1:$L$257,5,FALSE))))</f>
        <v/>
      </c>
      <c r="F139" s="175" t="str">
        <f>IF(B139="","",IF(ISNA(VLOOKUP($B139,'E-1 Off Site Hedge Baseline'!$B$1:$L$257,6,FALSE)),"",(VLOOKUP($B139,'E-1 Off Site Hedge Baseline'!$B$1:$L$257,6,FALSE))))</f>
        <v/>
      </c>
      <c r="G139" s="175" t="str">
        <f>IF(B139="","",IF(ISNA(VLOOKUP($B139,'E-1 Off Site Hedge Baseline'!$B$1:$L$257,7,FALSE)),"",(VLOOKUP($B139,'E-1 Off Site Hedge Baseline'!$B$1:$L$257,7,FALSE))))</f>
        <v/>
      </c>
      <c r="H139" s="175" t="str">
        <f>IF(B139="","",IF(ISNA(VLOOKUP($B139,'E-1 Off Site Hedge Baseline'!$B$1:$L$257,8,FALSE)),"",(VLOOKUP($B139,'E-1 Off Site Hedge Baseline'!$B$1:$L$257,8,FALSE))))</f>
        <v/>
      </c>
      <c r="I139" s="175" t="str">
        <f>IF(B139="","",IF(ISNA(VLOOKUP($B139,'E-1 Off Site Hedge Baseline'!$B$1:$L$257,10,FALSE)),"",(VLOOKUP($B139,'E-1 Off Site Hedge Baseline'!$B$1:$L$257,10,FALSE))))</f>
        <v/>
      </c>
      <c r="J139" s="175" t="str">
        <f>IF(B139="","",IF(ISNA(VLOOKUP($B139,'E-1 Off Site Hedge Baseline'!$B$1:$L$257,11,FALSE)),"",(VLOOKUP($B139,'E-1 Off Site Hedge Baseline'!$B$1:$L$257,11,FALSE))))</f>
        <v/>
      </c>
      <c r="K139" s="175" t="str">
        <f>IF(B139="","",IF(ISNA(VLOOKUP($B139,'E-1 Off Site Hedge Baseline'!$B$1:$U$257,113,FALSE)),"",(VLOOKUP($B139,'E-1 Off Site Hedge Baseline'!$B$1:$U$257,13,FALSE))))</f>
        <v/>
      </c>
      <c r="L139" s="179" t="str">
        <f>IF(B139="","",IF(ISNA(VLOOKUP($B139,'E-1 Off Site Hedge Baseline'!$B$1:$U$257,12,FALSE)),"",(VLOOKUP($B139,'E-1 Off Site Hedge Baseline'!$B$1:$U$257,12,FALSE))))</f>
        <v/>
      </c>
      <c r="M139" s="639" t="str">
        <f t="shared" si="16"/>
        <v/>
      </c>
      <c r="N139" s="171" t="str">
        <f>IFERROR(IF(B139="","",INDEX('G-6 Hedgerow Data'!$AN$3:$AZ$15,MATCH(C139,'G-6 Hedgerow Data'!$AM$3:$AM$15,0),MATCH(M139,'G-6 Hedgerow Data'!$AN$2:$AZ$2,0))),"")</f>
        <v/>
      </c>
      <c r="O139" s="172" t="str">
        <f t="shared" si="10"/>
        <v/>
      </c>
      <c r="P139" s="260" t="str">
        <f>IF(B139="","",VLOOKUP(B139,'E-1 Off Site Hedge Baseline'!$B$10:T384,16,FALSE))</f>
        <v/>
      </c>
      <c r="Q139" s="171" t="str">
        <f>IF(M139="","",VLOOKUP(M139,'G-6 Hedgerow Data'!$B$2:$AG$15,2,FALSE))</f>
        <v/>
      </c>
      <c r="R139" s="172" t="str">
        <f>IF(M139="","",VLOOKUP(M139,'G-6 Hedgerow Data'!$B$2:$AG$15,3,FALSE))</f>
        <v/>
      </c>
      <c r="S139" s="173"/>
      <c r="T139" s="172" t="str">
        <f>IFERROR(IF(AND(Q139="V.Low",OR(S139="Good",S139="Moderate")),"Error",VLOOKUP(S139,'G-1 All Habitats'!$Z$2:$AA$9,2,FALSE)),"")</f>
        <v/>
      </c>
      <c r="U139" s="173"/>
      <c r="V139" s="179" t="str">
        <f>IF(U139="","",IF(VLOOKUP(U139,'G-3 Multipliers'!$L$3:$N$6,2,FALSE)=0,"Spatial Data Missing",VLOOKUP(U139,'G-3 Multipliers'!$L$3:$N$6,2,FALSE)))</f>
        <v/>
      </c>
      <c r="W139" s="260" t="str">
        <f>IF(U139="","",IF(VLOOKUP(U139,'G-3 Multipliers'!$L$3:$N$6,3,FALSE)=0,"Spatial Data Missing",VLOOKUP(U139,'G-3 Multipliers'!$L$3:$N$6,3,FALSE)))</f>
        <v/>
      </c>
      <c r="X139" s="171" t="str">
        <f>IFERROR(IF(OR(LEFT(O139,5)="Error",LEFT(N139,5)="Error",T139="Error"),"Check Data",IF(F139&lt;R139,INDEX('G-6 Hedgerow Data'!$S$3:$AE$14,MATCH(C139,'G-6 Hedgerow Data'!$B$3:$B$14,0),MATCH(M139,'G-6 Hedgerow Data'!$S$2:$AE$2,0)),INDEX('G-6 Hedgerow Data'!$K$3:$Q$14,MATCH(M139,'G-6 Hedgerow Data'!$B$3:$B$14,0),MATCH(O139,'G-6 Hedgerow Data'!$K$2:$Q$2,0)))),"")</f>
        <v/>
      </c>
      <c r="Y139" s="261"/>
      <c r="Z139" s="261"/>
      <c r="AA139" s="179" t="str">
        <f t="shared" si="11"/>
        <v/>
      </c>
      <c r="AB139" s="262" t="str">
        <f t="shared" si="12"/>
        <v/>
      </c>
      <c r="AC139" s="263" t="str">
        <f t="shared" si="9"/>
        <v/>
      </c>
      <c r="AD139" s="239" t="str">
        <f>IF(M139="","",VLOOKUP(M139,'G-6 Hedgerow Data'!$B$3:$AG$15,31,FALSE))</f>
        <v/>
      </c>
      <c r="AE139" s="175" t="str">
        <f t="shared" si="13"/>
        <v/>
      </c>
      <c r="AF139" s="175" t="str">
        <f t="shared" si="14"/>
        <v/>
      </c>
      <c r="AG139" s="176" t="str">
        <f>IFERROR(IF(O139="","",VLOOKUP(AD139,'G-3 Multipliers'!$P$3:$Q$6,2,FALSE)),"")</f>
        <v/>
      </c>
      <c r="AH139" s="266"/>
      <c r="AI139" s="172" t="str">
        <f>IF(AH139="","",IF(VLOOKUP(AH139,'G-3 Multipliers'!$S$3:$T$6,2,FALSE)=0,"Spatial Data Missing",VLOOKUP(AH139,'G-3 Multipliers'!$S$3:$T$6,2,FALSE)))</f>
        <v/>
      </c>
      <c r="AJ139" s="265" t="str">
        <f t="shared" si="15"/>
        <v/>
      </c>
      <c r="AK139" s="180"/>
      <c r="AL139" s="181"/>
      <c r="AP139" s="35" t="str">
        <f>IFERROR(INDEX('G-6 Hedgerow Data'!$BJ$3:$BJ$15,MATCH(M139,'G-6 Hedgerow Data'!$B$3:$B$15,0)),"")</f>
        <v/>
      </c>
    </row>
    <row r="140" spans="2:42" ht="13.8" x14ac:dyDescent="0.25">
      <c r="B140" s="259" t="str">
        <f>'E-1 Off Site Hedge Baseline'!AK138</f>
        <v/>
      </c>
      <c r="C140" s="175" t="str">
        <f>IF(B140="","",IF(ISNA(VLOOKUP($B140,'E-1 Off Site Hedge Baseline'!$B$1:$L$257,3,FALSE)),"",(VLOOKUP($B140,'E-1 Off Site Hedge Baseline'!$B$1:$L$257,3,FALSE))))</f>
        <v/>
      </c>
      <c r="D140" s="175" t="str">
        <f>IF(B140="","",IF(ISNA(VLOOKUP($B140,'E-1 Off Site Hedge Baseline'!$B$1:$L$258,4,FALSE)),"",(VLOOKUP($B140,'E-1 Off Site Hedge Baseline'!$B$1:$L$258,4,FALSE))))</f>
        <v/>
      </c>
      <c r="E140" s="175" t="str">
        <f>IF(B140="","",IF(ISNA(VLOOKUP($B140,'E-1 Off Site Hedge Baseline'!$B$1:$L$257,5,FALSE)),"",(VLOOKUP($B140,'E-1 Off Site Hedge Baseline'!$B$1:$L$257,5,FALSE))))</f>
        <v/>
      </c>
      <c r="F140" s="175" t="str">
        <f>IF(B140="","",IF(ISNA(VLOOKUP($B140,'E-1 Off Site Hedge Baseline'!$B$1:$L$257,6,FALSE)),"",(VLOOKUP($B140,'E-1 Off Site Hedge Baseline'!$B$1:$L$257,6,FALSE))))</f>
        <v/>
      </c>
      <c r="G140" s="175" t="str">
        <f>IF(B140="","",IF(ISNA(VLOOKUP($B140,'E-1 Off Site Hedge Baseline'!$B$1:$L$257,7,FALSE)),"",(VLOOKUP($B140,'E-1 Off Site Hedge Baseline'!$B$1:$L$257,7,FALSE))))</f>
        <v/>
      </c>
      <c r="H140" s="175" t="str">
        <f>IF(B140="","",IF(ISNA(VLOOKUP($B140,'E-1 Off Site Hedge Baseline'!$B$1:$L$257,8,FALSE)),"",(VLOOKUP($B140,'E-1 Off Site Hedge Baseline'!$B$1:$L$257,8,FALSE))))</f>
        <v/>
      </c>
      <c r="I140" s="175" t="str">
        <f>IF(B140="","",IF(ISNA(VLOOKUP($B140,'E-1 Off Site Hedge Baseline'!$B$1:$L$257,10,FALSE)),"",(VLOOKUP($B140,'E-1 Off Site Hedge Baseline'!$B$1:$L$257,10,FALSE))))</f>
        <v/>
      </c>
      <c r="J140" s="175" t="str">
        <f>IF(B140="","",IF(ISNA(VLOOKUP($B140,'E-1 Off Site Hedge Baseline'!$B$1:$L$257,11,FALSE)),"",(VLOOKUP($B140,'E-1 Off Site Hedge Baseline'!$B$1:$L$257,11,FALSE))))</f>
        <v/>
      </c>
      <c r="K140" s="175" t="str">
        <f>IF(B140="","",IF(ISNA(VLOOKUP($B140,'E-1 Off Site Hedge Baseline'!$B$1:$U$257,113,FALSE)),"",(VLOOKUP($B140,'E-1 Off Site Hedge Baseline'!$B$1:$U$257,13,FALSE))))</f>
        <v/>
      </c>
      <c r="L140" s="179" t="str">
        <f>IF(B140="","",IF(ISNA(VLOOKUP($B140,'E-1 Off Site Hedge Baseline'!$B$1:$U$257,12,FALSE)),"",(VLOOKUP($B140,'E-1 Off Site Hedge Baseline'!$B$1:$U$257,12,FALSE))))</f>
        <v/>
      </c>
      <c r="M140" s="639" t="str">
        <f t="shared" si="16"/>
        <v/>
      </c>
      <c r="N140" s="171" t="str">
        <f>IFERROR(IF(B140="","",INDEX('G-6 Hedgerow Data'!$AN$3:$AZ$15,MATCH(C140,'G-6 Hedgerow Data'!$AM$3:$AM$15,0),MATCH(M140,'G-6 Hedgerow Data'!$AN$2:$AZ$2,0))),"")</f>
        <v/>
      </c>
      <c r="O140" s="172" t="str">
        <f t="shared" si="10"/>
        <v/>
      </c>
      <c r="P140" s="260" t="str">
        <f>IF(B140="","",VLOOKUP(B140,'E-1 Off Site Hedge Baseline'!$B$10:T385,16,FALSE))</f>
        <v/>
      </c>
      <c r="Q140" s="171" t="str">
        <f>IF(M140="","",VLOOKUP(M140,'G-6 Hedgerow Data'!$B$2:$AG$15,2,FALSE))</f>
        <v/>
      </c>
      <c r="R140" s="172" t="str">
        <f>IF(M140="","",VLOOKUP(M140,'G-6 Hedgerow Data'!$B$2:$AG$15,3,FALSE))</f>
        <v/>
      </c>
      <c r="S140" s="173"/>
      <c r="T140" s="172" t="str">
        <f>IFERROR(IF(AND(Q140="V.Low",OR(S140="Good",S140="Moderate")),"Error",VLOOKUP(S140,'G-1 All Habitats'!$Z$2:$AA$9,2,FALSE)),"")</f>
        <v/>
      </c>
      <c r="U140" s="173"/>
      <c r="V140" s="179" t="str">
        <f>IF(U140="","",IF(VLOOKUP(U140,'G-3 Multipliers'!$L$3:$N$6,2,FALSE)=0,"Spatial Data Missing",VLOOKUP(U140,'G-3 Multipliers'!$L$3:$N$6,2,FALSE)))</f>
        <v/>
      </c>
      <c r="W140" s="260" t="str">
        <f>IF(U140="","",IF(VLOOKUP(U140,'G-3 Multipliers'!$L$3:$N$6,3,FALSE)=0,"Spatial Data Missing",VLOOKUP(U140,'G-3 Multipliers'!$L$3:$N$6,3,FALSE)))</f>
        <v/>
      </c>
      <c r="X140" s="171" t="str">
        <f>IFERROR(IF(OR(LEFT(O140,5)="Error",LEFT(N140,5)="Error",T140="Error"),"Check Data",IF(F140&lt;R140,INDEX('G-6 Hedgerow Data'!$S$3:$AE$14,MATCH(C140,'G-6 Hedgerow Data'!$B$3:$B$14,0),MATCH(M140,'G-6 Hedgerow Data'!$S$2:$AE$2,0)),INDEX('G-6 Hedgerow Data'!$K$3:$Q$14,MATCH(M140,'G-6 Hedgerow Data'!$B$3:$B$14,0),MATCH(O140,'G-6 Hedgerow Data'!$K$2:$Q$2,0)))),"")</f>
        <v/>
      </c>
      <c r="Y140" s="261"/>
      <c r="Z140" s="261"/>
      <c r="AA140" s="179" t="str">
        <f t="shared" si="11"/>
        <v/>
      </c>
      <c r="AB140" s="262" t="str">
        <f t="shared" si="12"/>
        <v/>
      </c>
      <c r="AC140" s="263" t="str">
        <f t="shared" ref="AC140:AC203" si="17">IF(OR(S140="",M140=""),"",IF(LEFT(AB140,5)="Error","Check Data",IF(AB140="Check Data","Check Data",VLOOKUP(AB140,TemporalMultipliers,3,FALSE))))</f>
        <v/>
      </c>
      <c r="AD140" s="239" t="str">
        <f>IF(M140="","",VLOOKUP(M140,'G-6 Hedgerow Data'!$B$3:$AG$15,31,FALSE))</f>
        <v/>
      </c>
      <c r="AE140" s="175" t="str">
        <f t="shared" si="13"/>
        <v/>
      </c>
      <c r="AF140" s="175" t="str">
        <f t="shared" si="14"/>
        <v/>
      </c>
      <c r="AG140" s="176" t="str">
        <f>IFERROR(IF(O140="","",VLOOKUP(AD140,'G-3 Multipliers'!$P$3:$Q$6,2,FALSE)),"")</f>
        <v/>
      </c>
      <c r="AH140" s="266"/>
      <c r="AI140" s="172" t="str">
        <f>IF(AH140="","",IF(VLOOKUP(AH140,'G-3 Multipliers'!$S$3:$T$6,2,FALSE)=0,"Spatial Data Missing",VLOOKUP(AH140,'G-3 Multipliers'!$S$3:$T$6,2,FALSE)))</f>
        <v/>
      </c>
      <c r="AJ140" s="265" t="str">
        <f t="shared" si="15"/>
        <v/>
      </c>
      <c r="AK140" s="180"/>
      <c r="AL140" s="181"/>
      <c r="AP140" s="35" t="str">
        <f>IFERROR(INDEX('G-6 Hedgerow Data'!$BJ$3:$BJ$15,MATCH(M140,'G-6 Hedgerow Data'!$B$3:$B$15,0)),"")</f>
        <v/>
      </c>
    </row>
    <row r="141" spans="2:42" ht="13.8" x14ac:dyDescent="0.25">
      <c r="B141" s="259" t="str">
        <f>'E-1 Off Site Hedge Baseline'!AK139</f>
        <v/>
      </c>
      <c r="C141" s="175" t="str">
        <f>IF(B141="","",IF(ISNA(VLOOKUP($B141,'E-1 Off Site Hedge Baseline'!$B$1:$L$257,3,FALSE)),"",(VLOOKUP($B141,'E-1 Off Site Hedge Baseline'!$B$1:$L$257,3,FALSE))))</f>
        <v/>
      </c>
      <c r="D141" s="175" t="str">
        <f>IF(B141="","",IF(ISNA(VLOOKUP($B141,'E-1 Off Site Hedge Baseline'!$B$1:$L$258,4,FALSE)),"",(VLOOKUP($B141,'E-1 Off Site Hedge Baseline'!$B$1:$L$258,4,FALSE))))</f>
        <v/>
      </c>
      <c r="E141" s="175" t="str">
        <f>IF(B141="","",IF(ISNA(VLOOKUP($B141,'E-1 Off Site Hedge Baseline'!$B$1:$L$257,5,FALSE)),"",(VLOOKUP($B141,'E-1 Off Site Hedge Baseline'!$B$1:$L$257,5,FALSE))))</f>
        <v/>
      </c>
      <c r="F141" s="175" t="str">
        <f>IF(B141="","",IF(ISNA(VLOOKUP($B141,'E-1 Off Site Hedge Baseline'!$B$1:$L$257,6,FALSE)),"",(VLOOKUP($B141,'E-1 Off Site Hedge Baseline'!$B$1:$L$257,6,FALSE))))</f>
        <v/>
      </c>
      <c r="G141" s="175" t="str">
        <f>IF(B141="","",IF(ISNA(VLOOKUP($B141,'E-1 Off Site Hedge Baseline'!$B$1:$L$257,7,FALSE)),"",(VLOOKUP($B141,'E-1 Off Site Hedge Baseline'!$B$1:$L$257,7,FALSE))))</f>
        <v/>
      </c>
      <c r="H141" s="175" t="str">
        <f>IF(B141="","",IF(ISNA(VLOOKUP($B141,'E-1 Off Site Hedge Baseline'!$B$1:$L$257,8,FALSE)),"",(VLOOKUP($B141,'E-1 Off Site Hedge Baseline'!$B$1:$L$257,8,FALSE))))</f>
        <v/>
      </c>
      <c r="I141" s="175" t="str">
        <f>IF(B141="","",IF(ISNA(VLOOKUP($B141,'E-1 Off Site Hedge Baseline'!$B$1:$L$257,10,FALSE)),"",(VLOOKUP($B141,'E-1 Off Site Hedge Baseline'!$B$1:$L$257,10,FALSE))))</f>
        <v/>
      </c>
      <c r="J141" s="175" t="str">
        <f>IF(B141="","",IF(ISNA(VLOOKUP($B141,'E-1 Off Site Hedge Baseline'!$B$1:$L$257,11,FALSE)),"",(VLOOKUP($B141,'E-1 Off Site Hedge Baseline'!$B$1:$L$257,11,FALSE))))</f>
        <v/>
      </c>
      <c r="K141" s="175" t="str">
        <f>IF(B141="","",IF(ISNA(VLOOKUP($B141,'E-1 Off Site Hedge Baseline'!$B$1:$U$257,113,FALSE)),"",(VLOOKUP($B141,'E-1 Off Site Hedge Baseline'!$B$1:$U$257,13,FALSE))))</f>
        <v/>
      </c>
      <c r="L141" s="179" t="str">
        <f>IF(B141="","",IF(ISNA(VLOOKUP($B141,'E-1 Off Site Hedge Baseline'!$B$1:$U$257,12,FALSE)),"",(VLOOKUP($B141,'E-1 Off Site Hedge Baseline'!$B$1:$U$257,12,FALSE))))</f>
        <v/>
      </c>
      <c r="M141" s="639" t="str">
        <f t="shared" si="16"/>
        <v/>
      </c>
      <c r="N141" s="171" t="str">
        <f>IFERROR(IF(B141="","",INDEX('G-6 Hedgerow Data'!$AN$3:$AZ$15,MATCH(C141,'G-6 Hedgerow Data'!$AM$3:$AM$15,0),MATCH(M141,'G-6 Hedgerow Data'!$AN$2:$AZ$2,0))),"")</f>
        <v/>
      </c>
      <c r="O141" s="172" t="str">
        <f t="shared" ref="O141:O204" si="18">IFERROR(IF(B141="","",IF(AND(LEFT(C141,55)&lt;&gt;LEFT(M141,55),N141="High - High"),"Error - Not like for like",IF(AND(LEFT(C141,55)&lt;&gt;LEFT(M141,55),N141="Medium - Medium"),"Error - Not like for like",IF(H141&gt;T141,"Error - Can not reduce condition",IF(AND(F141=R141,H141=T141),"Error - No enhancement",IF(AND(C141&lt;&gt;M141,F141&lt;R141),"Lower Distinctiveness Habitat"&amp;" - "&amp;S141,G141&amp;" - "&amp;S141)))))),"")</f>
        <v/>
      </c>
      <c r="P141" s="260" t="str">
        <f>IF(B141="","",VLOOKUP(B141,'E-1 Off Site Hedge Baseline'!$B$10:T386,16,FALSE))</f>
        <v/>
      </c>
      <c r="Q141" s="171" t="str">
        <f>IF(M141="","",VLOOKUP(M141,'G-6 Hedgerow Data'!$B$2:$AG$15,2,FALSE))</f>
        <v/>
      </c>
      <c r="R141" s="172" t="str">
        <f>IF(M141="","",VLOOKUP(M141,'G-6 Hedgerow Data'!$B$2:$AG$15,3,FALSE))</f>
        <v/>
      </c>
      <c r="S141" s="173"/>
      <c r="T141" s="172" t="str">
        <f>IFERROR(IF(AND(Q141="V.Low",OR(S141="Good",S141="Moderate")),"Error",VLOOKUP(S141,'G-1 All Habitats'!$Z$2:$AA$9,2,FALSE)),"")</f>
        <v/>
      </c>
      <c r="U141" s="173"/>
      <c r="V141" s="179" t="str">
        <f>IF(U141="","",IF(VLOOKUP(U141,'G-3 Multipliers'!$L$3:$N$6,2,FALSE)=0,"Spatial Data Missing",VLOOKUP(U141,'G-3 Multipliers'!$L$3:$N$6,2,FALSE)))</f>
        <v/>
      </c>
      <c r="W141" s="260" t="str">
        <f>IF(U141="","",IF(VLOOKUP(U141,'G-3 Multipliers'!$L$3:$N$6,3,FALSE)=0,"Spatial Data Missing",VLOOKUP(U141,'G-3 Multipliers'!$L$3:$N$6,3,FALSE)))</f>
        <v/>
      </c>
      <c r="X141" s="171" t="str">
        <f>IFERROR(IF(OR(LEFT(O141,5)="Error",LEFT(N141,5)="Error",T141="Error"),"Check Data",IF(F141&lt;R141,INDEX('G-6 Hedgerow Data'!$S$3:$AE$14,MATCH(C141,'G-6 Hedgerow Data'!$B$3:$B$14,0),MATCH(M141,'G-6 Hedgerow Data'!$S$2:$AE$2,0)),INDEX('G-6 Hedgerow Data'!$K$3:$Q$14,MATCH(M141,'G-6 Hedgerow Data'!$B$3:$B$14,0),MATCH(O141,'G-6 Hedgerow Data'!$K$2:$Q$2,0)))),"")</f>
        <v/>
      </c>
      <c r="Y141" s="261"/>
      <c r="Z141" s="261"/>
      <c r="AA141" s="179" t="str">
        <f t="shared" ref="AA141:AA204" si="19">IF(X141="Check Data","Check Data",IF(M141="","",IF(AND(Y141&gt;0,Z141&gt;0),"Error -both advance and delayed habitat creation",IF(AND(OR(Y141="Habitat already in target condition",X141&lt;=Y141),Z141=0),"Check details - Is there evidence that habitat has reached target condition?",IF(X141="","",IF(Y141&gt;0,"Check details - Is there evidence habitat creation started/in place?",IF(Z141&gt;0,"Check details- Delay in starting habitat in required condition?","Standard time to target condition applied")))))))</f>
        <v/>
      </c>
      <c r="AB141" s="262" t="str">
        <f t="shared" ref="AB141:AB204" si="20">IF(X141="","",IF(AA141="Check Data","Check Data",IF(Y141="30+",0,IF(Z141="30+","30+",IF(X141+Z141&gt;30,"30+",IF(LEFT(AA141,5)="Error","Check Data",IF(X141+Z141-Y141&gt;0,X141+Z141-Y141,IF(X141-Y141&lt;=0,0,))))))))</f>
        <v/>
      </c>
      <c r="AC141" s="263" t="str">
        <f t="shared" si="17"/>
        <v/>
      </c>
      <c r="AD141" s="239" t="str">
        <f>IF(M141="","",VLOOKUP(M141,'G-6 Hedgerow Data'!$B$3:$AG$15,31,FALSE))</f>
        <v/>
      </c>
      <c r="AE141" s="175" t="str">
        <f t="shared" ref="AE141:AE204" si="21">IF(M141="","",IF(OR(LEFT(AA141,5)="Error",AA141="Check Data"),"Check Data",IF(X141="","",IF($AA141="Check details - Is there evidence that habitat has reached target condition?","Low Difficulty - only applicable if all habitat created before losses","Standard difficulty applied"))))</f>
        <v/>
      </c>
      <c r="AF141" s="175" t="str">
        <f t="shared" ref="AF141:AF204" si="22">(IF(AND(AE141="Yes",X141&gt;Y141),AD141,IF(AND(AE141="Low Difficulty - only applicable if all habitat created before losses",Y141&gt;=X141),"Low",AD141)))</f>
        <v/>
      </c>
      <c r="AG141" s="176" t="str">
        <f>IFERROR(IF(O141="","",VLOOKUP(AD141,'G-3 Multipliers'!$P$3:$Q$6,2,FALSE)),"")</f>
        <v/>
      </c>
      <c r="AH141" s="266"/>
      <c r="AI141" s="172" t="str">
        <f>IF(AH141="","",IF(VLOOKUP(AH141,'G-3 Multipliers'!$S$3:$T$6,2,FALSE)=0,"Spatial Data Missing",VLOOKUP(AH141,'G-3 Multipliers'!$S$3:$T$6,2,FALSE)))</f>
        <v/>
      </c>
      <c r="AJ141" s="265" t="str">
        <f t="shared" ref="AJ141:AJ204" si="23">IFERROR(IF(OR(M141="",S141="",U141="",AH141=""),"",(((((P141*R141*T141)-(P141*F141*H141))*(AG141*AC141))+(P141*F141*H141))*(W141)*AI141)),"")</f>
        <v/>
      </c>
      <c r="AK141" s="180"/>
      <c r="AL141" s="181"/>
      <c r="AP141" s="35" t="str">
        <f>IFERROR(INDEX('G-6 Hedgerow Data'!$BJ$3:$BJ$15,MATCH(M141,'G-6 Hedgerow Data'!$B$3:$B$15,0)),"")</f>
        <v/>
      </c>
    </row>
    <row r="142" spans="2:42" ht="13.8" x14ac:dyDescent="0.25">
      <c r="B142" s="259" t="str">
        <f>'E-1 Off Site Hedge Baseline'!AK140</f>
        <v/>
      </c>
      <c r="C142" s="175" t="str">
        <f>IF(B142="","",IF(ISNA(VLOOKUP($B142,'E-1 Off Site Hedge Baseline'!$B$1:$L$257,3,FALSE)),"",(VLOOKUP($B142,'E-1 Off Site Hedge Baseline'!$B$1:$L$257,3,FALSE))))</f>
        <v/>
      </c>
      <c r="D142" s="175" t="str">
        <f>IF(B142="","",IF(ISNA(VLOOKUP($B142,'E-1 Off Site Hedge Baseline'!$B$1:$L$258,4,FALSE)),"",(VLOOKUP($B142,'E-1 Off Site Hedge Baseline'!$B$1:$L$258,4,FALSE))))</f>
        <v/>
      </c>
      <c r="E142" s="175" t="str">
        <f>IF(B142="","",IF(ISNA(VLOOKUP($B142,'E-1 Off Site Hedge Baseline'!$B$1:$L$257,5,FALSE)),"",(VLOOKUP($B142,'E-1 Off Site Hedge Baseline'!$B$1:$L$257,5,FALSE))))</f>
        <v/>
      </c>
      <c r="F142" s="175" t="str">
        <f>IF(B142="","",IF(ISNA(VLOOKUP($B142,'E-1 Off Site Hedge Baseline'!$B$1:$L$257,6,FALSE)),"",(VLOOKUP($B142,'E-1 Off Site Hedge Baseline'!$B$1:$L$257,6,FALSE))))</f>
        <v/>
      </c>
      <c r="G142" s="175" t="str">
        <f>IF(B142="","",IF(ISNA(VLOOKUP($B142,'E-1 Off Site Hedge Baseline'!$B$1:$L$257,7,FALSE)),"",(VLOOKUP($B142,'E-1 Off Site Hedge Baseline'!$B$1:$L$257,7,FALSE))))</f>
        <v/>
      </c>
      <c r="H142" s="175" t="str">
        <f>IF(B142="","",IF(ISNA(VLOOKUP($B142,'E-1 Off Site Hedge Baseline'!$B$1:$L$257,8,FALSE)),"",(VLOOKUP($B142,'E-1 Off Site Hedge Baseline'!$B$1:$L$257,8,FALSE))))</f>
        <v/>
      </c>
      <c r="I142" s="175" t="str">
        <f>IF(B142="","",IF(ISNA(VLOOKUP($B142,'E-1 Off Site Hedge Baseline'!$B$1:$L$257,10,FALSE)),"",(VLOOKUP($B142,'E-1 Off Site Hedge Baseline'!$B$1:$L$257,10,FALSE))))</f>
        <v/>
      </c>
      <c r="J142" s="175" t="str">
        <f>IF(B142="","",IF(ISNA(VLOOKUP($B142,'E-1 Off Site Hedge Baseline'!$B$1:$L$257,11,FALSE)),"",(VLOOKUP($B142,'E-1 Off Site Hedge Baseline'!$B$1:$L$257,11,FALSE))))</f>
        <v/>
      </c>
      <c r="K142" s="175" t="str">
        <f>IF(B142="","",IF(ISNA(VLOOKUP($B142,'E-1 Off Site Hedge Baseline'!$B$1:$U$257,113,FALSE)),"",(VLOOKUP($B142,'E-1 Off Site Hedge Baseline'!$B$1:$U$257,13,FALSE))))</f>
        <v/>
      </c>
      <c r="L142" s="179" t="str">
        <f>IF(B142="","",IF(ISNA(VLOOKUP($B142,'E-1 Off Site Hedge Baseline'!$B$1:$U$257,12,FALSE)),"",(VLOOKUP($B142,'E-1 Off Site Hedge Baseline'!$B$1:$U$257,12,FALSE))))</f>
        <v/>
      </c>
      <c r="M142" s="639" t="str">
        <f t="shared" ref="M142:M205" si="24">C142</f>
        <v/>
      </c>
      <c r="N142" s="171" t="str">
        <f>IFERROR(IF(B142="","",INDEX('G-6 Hedgerow Data'!$AN$3:$AZ$15,MATCH(C142,'G-6 Hedgerow Data'!$AM$3:$AM$15,0),MATCH(M142,'G-6 Hedgerow Data'!$AN$2:$AZ$2,0))),"")</f>
        <v/>
      </c>
      <c r="O142" s="172" t="str">
        <f t="shared" si="18"/>
        <v/>
      </c>
      <c r="P142" s="260" t="str">
        <f>IF(B142="","",VLOOKUP(B142,'E-1 Off Site Hedge Baseline'!$B$10:T387,16,FALSE))</f>
        <v/>
      </c>
      <c r="Q142" s="171" t="str">
        <f>IF(M142="","",VLOOKUP(M142,'G-6 Hedgerow Data'!$B$2:$AG$15,2,FALSE))</f>
        <v/>
      </c>
      <c r="R142" s="172" t="str">
        <f>IF(M142="","",VLOOKUP(M142,'G-6 Hedgerow Data'!$B$2:$AG$15,3,FALSE))</f>
        <v/>
      </c>
      <c r="S142" s="173"/>
      <c r="T142" s="172" t="str">
        <f>IFERROR(IF(AND(Q142="V.Low",OR(S142="Good",S142="Moderate")),"Error",VLOOKUP(S142,'G-1 All Habitats'!$Z$2:$AA$9,2,FALSE)),"")</f>
        <v/>
      </c>
      <c r="U142" s="173"/>
      <c r="V142" s="179" t="str">
        <f>IF(U142="","",IF(VLOOKUP(U142,'G-3 Multipliers'!$L$3:$N$6,2,FALSE)=0,"Spatial Data Missing",VLOOKUP(U142,'G-3 Multipliers'!$L$3:$N$6,2,FALSE)))</f>
        <v/>
      </c>
      <c r="W142" s="260" t="str">
        <f>IF(U142="","",IF(VLOOKUP(U142,'G-3 Multipliers'!$L$3:$N$6,3,FALSE)=0,"Spatial Data Missing",VLOOKUP(U142,'G-3 Multipliers'!$L$3:$N$6,3,FALSE)))</f>
        <v/>
      </c>
      <c r="X142" s="171" t="str">
        <f>IFERROR(IF(OR(LEFT(O142,5)="Error",LEFT(N142,5)="Error",T142="Error"),"Check Data",IF(F142&lt;R142,INDEX('G-6 Hedgerow Data'!$S$3:$AE$14,MATCH(C142,'G-6 Hedgerow Data'!$B$3:$B$14,0),MATCH(M142,'G-6 Hedgerow Data'!$S$2:$AE$2,0)),INDEX('G-6 Hedgerow Data'!$K$3:$Q$14,MATCH(M142,'G-6 Hedgerow Data'!$B$3:$B$14,0),MATCH(O142,'G-6 Hedgerow Data'!$K$2:$Q$2,0)))),"")</f>
        <v/>
      </c>
      <c r="Y142" s="261"/>
      <c r="Z142" s="261"/>
      <c r="AA142" s="179" t="str">
        <f t="shared" si="19"/>
        <v/>
      </c>
      <c r="AB142" s="262" t="str">
        <f t="shared" si="20"/>
        <v/>
      </c>
      <c r="AC142" s="263" t="str">
        <f t="shared" si="17"/>
        <v/>
      </c>
      <c r="AD142" s="239" t="str">
        <f>IF(M142="","",VLOOKUP(M142,'G-6 Hedgerow Data'!$B$3:$AG$15,31,FALSE))</f>
        <v/>
      </c>
      <c r="AE142" s="175" t="str">
        <f t="shared" si="21"/>
        <v/>
      </c>
      <c r="AF142" s="175" t="str">
        <f t="shared" si="22"/>
        <v/>
      </c>
      <c r="AG142" s="176" t="str">
        <f>IFERROR(IF(O142="","",VLOOKUP(AD142,'G-3 Multipliers'!$P$3:$Q$6,2,FALSE)),"")</f>
        <v/>
      </c>
      <c r="AH142" s="266"/>
      <c r="AI142" s="172" t="str">
        <f>IF(AH142="","",IF(VLOOKUP(AH142,'G-3 Multipliers'!$S$3:$T$6,2,FALSE)=0,"Spatial Data Missing",VLOOKUP(AH142,'G-3 Multipliers'!$S$3:$T$6,2,FALSE)))</f>
        <v/>
      </c>
      <c r="AJ142" s="265" t="str">
        <f t="shared" si="23"/>
        <v/>
      </c>
      <c r="AK142" s="180"/>
      <c r="AL142" s="181"/>
      <c r="AP142" s="35" t="str">
        <f>IFERROR(INDEX('G-6 Hedgerow Data'!$BJ$3:$BJ$15,MATCH(M142,'G-6 Hedgerow Data'!$B$3:$B$15,0)),"")</f>
        <v/>
      </c>
    </row>
    <row r="143" spans="2:42" ht="13.8" x14ac:dyDescent="0.25">
      <c r="B143" s="259" t="str">
        <f>'E-1 Off Site Hedge Baseline'!AK141</f>
        <v/>
      </c>
      <c r="C143" s="175" t="str">
        <f>IF(B143="","",IF(ISNA(VLOOKUP($B143,'E-1 Off Site Hedge Baseline'!$B$1:$L$257,3,FALSE)),"",(VLOOKUP($B143,'E-1 Off Site Hedge Baseline'!$B$1:$L$257,3,FALSE))))</f>
        <v/>
      </c>
      <c r="D143" s="175" t="str">
        <f>IF(B143="","",IF(ISNA(VLOOKUP($B143,'E-1 Off Site Hedge Baseline'!$B$1:$L$258,4,FALSE)),"",(VLOOKUP($B143,'E-1 Off Site Hedge Baseline'!$B$1:$L$258,4,FALSE))))</f>
        <v/>
      </c>
      <c r="E143" s="175" t="str">
        <f>IF(B143="","",IF(ISNA(VLOOKUP($B143,'E-1 Off Site Hedge Baseline'!$B$1:$L$257,5,FALSE)),"",(VLOOKUP($B143,'E-1 Off Site Hedge Baseline'!$B$1:$L$257,5,FALSE))))</f>
        <v/>
      </c>
      <c r="F143" s="175" t="str">
        <f>IF(B143="","",IF(ISNA(VLOOKUP($B143,'E-1 Off Site Hedge Baseline'!$B$1:$L$257,6,FALSE)),"",(VLOOKUP($B143,'E-1 Off Site Hedge Baseline'!$B$1:$L$257,6,FALSE))))</f>
        <v/>
      </c>
      <c r="G143" s="175" t="str">
        <f>IF(B143="","",IF(ISNA(VLOOKUP($B143,'E-1 Off Site Hedge Baseline'!$B$1:$L$257,7,FALSE)),"",(VLOOKUP($B143,'E-1 Off Site Hedge Baseline'!$B$1:$L$257,7,FALSE))))</f>
        <v/>
      </c>
      <c r="H143" s="175" t="str">
        <f>IF(B143="","",IF(ISNA(VLOOKUP($B143,'E-1 Off Site Hedge Baseline'!$B$1:$L$257,8,FALSE)),"",(VLOOKUP($B143,'E-1 Off Site Hedge Baseline'!$B$1:$L$257,8,FALSE))))</f>
        <v/>
      </c>
      <c r="I143" s="175" t="str">
        <f>IF(B143="","",IF(ISNA(VLOOKUP($B143,'E-1 Off Site Hedge Baseline'!$B$1:$L$257,10,FALSE)),"",(VLOOKUP($B143,'E-1 Off Site Hedge Baseline'!$B$1:$L$257,10,FALSE))))</f>
        <v/>
      </c>
      <c r="J143" s="175" t="str">
        <f>IF(B143="","",IF(ISNA(VLOOKUP($B143,'E-1 Off Site Hedge Baseline'!$B$1:$L$257,11,FALSE)),"",(VLOOKUP($B143,'E-1 Off Site Hedge Baseline'!$B$1:$L$257,11,FALSE))))</f>
        <v/>
      </c>
      <c r="K143" s="175" t="str">
        <f>IF(B143="","",IF(ISNA(VLOOKUP($B143,'E-1 Off Site Hedge Baseline'!$B$1:$U$257,113,FALSE)),"",(VLOOKUP($B143,'E-1 Off Site Hedge Baseline'!$B$1:$U$257,13,FALSE))))</f>
        <v/>
      </c>
      <c r="L143" s="179" t="str">
        <f>IF(B143="","",IF(ISNA(VLOOKUP($B143,'E-1 Off Site Hedge Baseline'!$B$1:$U$257,12,FALSE)),"",(VLOOKUP($B143,'E-1 Off Site Hedge Baseline'!$B$1:$U$257,12,FALSE))))</f>
        <v/>
      </c>
      <c r="M143" s="639" t="str">
        <f t="shared" si="24"/>
        <v/>
      </c>
      <c r="N143" s="171" t="str">
        <f>IFERROR(IF(B143="","",INDEX('G-6 Hedgerow Data'!$AN$3:$AZ$15,MATCH(C143,'G-6 Hedgerow Data'!$AM$3:$AM$15,0),MATCH(M143,'G-6 Hedgerow Data'!$AN$2:$AZ$2,0))),"")</f>
        <v/>
      </c>
      <c r="O143" s="172" t="str">
        <f t="shared" si="18"/>
        <v/>
      </c>
      <c r="P143" s="260" t="str">
        <f>IF(B143="","",VLOOKUP(B143,'E-1 Off Site Hedge Baseline'!$B$10:T388,16,FALSE))</f>
        <v/>
      </c>
      <c r="Q143" s="171" t="str">
        <f>IF(M143="","",VLOOKUP(M143,'G-6 Hedgerow Data'!$B$2:$AG$15,2,FALSE))</f>
        <v/>
      </c>
      <c r="R143" s="172" t="str">
        <f>IF(M143="","",VLOOKUP(M143,'G-6 Hedgerow Data'!$B$2:$AG$15,3,FALSE))</f>
        <v/>
      </c>
      <c r="S143" s="173"/>
      <c r="T143" s="172" t="str">
        <f>IFERROR(IF(AND(Q143="V.Low",OR(S143="Good",S143="Moderate")),"Error",VLOOKUP(S143,'G-1 All Habitats'!$Z$2:$AA$9,2,FALSE)),"")</f>
        <v/>
      </c>
      <c r="U143" s="173"/>
      <c r="V143" s="179" t="str">
        <f>IF(U143="","",IF(VLOOKUP(U143,'G-3 Multipliers'!$L$3:$N$6,2,FALSE)=0,"Spatial Data Missing",VLOOKUP(U143,'G-3 Multipliers'!$L$3:$N$6,2,FALSE)))</f>
        <v/>
      </c>
      <c r="W143" s="260" t="str">
        <f>IF(U143="","",IF(VLOOKUP(U143,'G-3 Multipliers'!$L$3:$N$6,3,FALSE)=0,"Spatial Data Missing",VLOOKUP(U143,'G-3 Multipliers'!$L$3:$N$6,3,FALSE)))</f>
        <v/>
      </c>
      <c r="X143" s="171" t="str">
        <f>IFERROR(IF(OR(LEFT(O143,5)="Error",LEFT(N143,5)="Error",T143="Error"),"Check Data",IF(F143&lt;R143,INDEX('G-6 Hedgerow Data'!$S$3:$AE$14,MATCH(C143,'G-6 Hedgerow Data'!$B$3:$B$14,0),MATCH(M143,'G-6 Hedgerow Data'!$S$2:$AE$2,0)),INDEX('G-6 Hedgerow Data'!$K$3:$Q$14,MATCH(M143,'G-6 Hedgerow Data'!$B$3:$B$14,0),MATCH(O143,'G-6 Hedgerow Data'!$K$2:$Q$2,0)))),"")</f>
        <v/>
      </c>
      <c r="Y143" s="261"/>
      <c r="Z143" s="261"/>
      <c r="AA143" s="179" t="str">
        <f t="shared" si="19"/>
        <v/>
      </c>
      <c r="AB143" s="262" t="str">
        <f t="shared" si="20"/>
        <v/>
      </c>
      <c r="AC143" s="263" t="str">
        <f t="shared" si="17"/>
        <v/>
      </c>
      <c r="AD143" s="239" t="str">
        <f>IF(M143="","",VLOOKUP(M143,'G-6 Hedgerow Data'!$B$3:$AG$15,31,FALSE))</f>
        <v/>
      </c>
      <c r="AE143" s="175" t="str">
        <f t="shared" si="21"/>
        <v/>
      </c>
      <c r="AF143" s="175" t="str">
        <f t="shared" si="22"/>
        <v/>
      </c>
      <c r="AG143" s="176" t="str">
        <f>IFERROR(IF(O143="","",VLOOKUP(AD143,'G-3 Multipliers'!$P$3:$Q$6,2,FALSE)),"")</f>
        <v/>
      </c>
      <c r="AH143" s="266"/>
      <c r="AI143" s="172" t="str">
        <f>IF(AH143="","",IF(VLOOKUP(AH143,'G-3 Multipliers'!$S$3:$T$6,2,FALSE)=0,"Spatial Data Missing",VLOOKUP(AH143,'G-3 Multipliers'!$S$3:$T$6,2,FALSE)))</f>
        <v/>
      </c>
      <c r="AJ143" s="265" t="str">
        <f t="shared" si="23"/>
        <v/>
      </c>
      <c r="AK143" s="180"/>
      <c r="AL143" s="181"/>
      <c r="AP143" s="35" t="str">
        <f>IFERROR(INDEX('G-6 Hedgerow Data'!$BJ$3:$BJ$15,MATCH(M143,'G-6 Hedgerow Data'!$B$3:$B$15,0)),"")</f>
        <v/>
      </c>
    </row>
    <row r="144" spans="2:42" ht="13.8" x14ac:dyDescent="0.25">
      <c r="B144" s="259" t="str">
        <f>'E-1 Off Site Hedge Baseline'!AK142</f>
        <v/>
      </c>
      <c r="C144" s="175" t="str">
        <f>IF(B144="","",IF(ISNA(VLOOKUP($B144,'E-1 Off Site Hedge Baseline'!$B$1:$L$257,3,FALSE)),"",(VLOOKUP($B144,'E-1 Off Site Hedge Baseline'!$B$1:$L$257,3,FALSE))))</f>
        <v/>
      </c>
      <c r="D144" s="175" t="str">
        <f>IF(B144="","",IF(ISNA(VLOOKUP($B144,'E-1 Off Site Hedge Baseline'!$B$1:$L$258,4,FALSE)),"",(VLOOKUP($B144,'E-1 Off Site Hedge Baseline'!$B$1:$L$258,4,FALSE))))</f>
        <v/>
      </c>
      <c r="E144" s="175" t="str">
        <f>IF(B144="","",IF(ISNA(VLOOKUP($B144,'E-1 Off Site Hedge Baseline'!$B$1:$L$257,5,FALSE)),"",(VLOOKUP($B144,'E-1 Off Site Hedge Baseline'!$B$1:$L$257,5,FALSE))))</f>
        <v/>
      </c>
      <c r="F144" s="175" t="str">
        <f>IF(B144="","",IF(ISNA(VLOOKUP($B144,'E-1 Off Site Hedge Baseline'!$B$1:$L$257,6,FALSE)),"",(VLOOKUP($B144,'E-1 Off Site Hedge Baseline'!$B$1:$L$257,6,FALSE))))</f>
        <v/>
      </c>
      <c r="G144" s="175" t="str">
        <f>IF(B144="","",IF(ISNA(VLOOKUP($B144,'E-1 Off Site Hedge Baseline'!$B$1:$L$257,7,FALSE)),"",(VLOOKUP($B144,'E-1 Off Site Hedge Baseline'!$B$1:$L$257,7,FALSE))))</f>
        <v/>
      </c>
      <c r="H144" s="175" t="str">
        <f>IF(B144="","",IF(ISNA(VLOOKUP($B144,'E-1 Off Site Hedge Baseline'!$B$1:$L$257,8,FALSE)),"",(VLOOKUP($B144,'E-1 Off Site Hedge Baseline'!$B$1:$L$257,8,FALSE))))</f>
        <v/>
      </c>
      <c r="I144" s="175" t="str">
        <f>IF(B144="","",IF(ISNA(VLOOKUP($B144,'E-1 Off Site Hedge Baseline'!$B$1:$L$257,10,FALSE)),"",(VLOOKUP($B144,'E-1 Off Site Hedge Baseline'!$B$1:$L$257,10,FALSE))))</f>
        <v/>
      </c>
      <c r="J144" s="175" t="str">
        <f>IF(B144="","",IF(ISNA(VLOOKUP($B144,'E-1 Off Site Hedge Baseline'!$B$1:$L$257,11,FALSE)),"",(VLOOKUP($B144,'E-1 Off Site Hedge Baseline'!$B$1:$L$257,11,FALSE))))</f>
        <v/>
      </c>
      <c r="K144" s="175" t="str">
        <f>IF(B144="","",IF(ISNA(VLOOKUP($B144,'E-1 Off Site Hedge Baseline'!$B$1:$U$257,113,FALSE)),"",(VLOOKUP($B144,'E-1 Off Site Hedge Baseline'!$B$1:$U$257,13,FALSE))))</f>
        <v/>
      </c>
      <c r="L144" s="179" t="str">
        <f>IF(B144="","",IF(ISNA(VLOOKUP($B144,'E-1 Off Site Hedge Baseline'!$B$1:$U$257,12,FALSE)),"",(VLOOKUP($B144,'E-1 Off Site Hedge Baseline'!$B$1:$U$257,12,FALSE))))</f>
        <v/>
      </c>
      <c r="M144" s="639" t="str">
        <f t="shared" si="24"/>
        <v/>
      </c>
      <c r="N144" s="171" t="str">
        <f>IFERROR(IF(B144="","",INDEX('G-6 Hedgerow Data'!$AN$3:$AZ$15,MATCH(C144,'G-6 Hedgerow Data'!$AM$3:$AM$15,0),MATCH(M144,'G-6 Hedgerow Data'!$AN$2:$AZ$2,0))),"")</f>
        <v/>
      </c>
      <c r="O144" s="172" t="str">
        <f t="shared" si="18"/>
        <v/>
      </c>
      <c r="P144" s="260" t="str">
        <f>IF(B144="","",VLOOKUP(B144,'E-1 Off Site Hedge Baseline'!$B$10:T389,16,FALSE))</f>
        <v/>
      </c>
      <c r="Q144" s="171" t="str">
        <f>IF(M144="","",VLOOKUP(M144,'G-6 Hedgerow Data'!$B$2:$AG$15,2,FALSE))</f>
        <v/>
      </c>
      <c r="R144" s="172" t="str">
        <f>IF(M144="","",VLOOKUP(M144,'G-6 Hedgerow Data'!$B$2:$AG$15,3,FALSE))</f>
        <v/>
      </c>
      <c r="S144" s="173"/>
      <c r="T144" s="172" t="str">
        <f>IFERROR(IF(AND(Q144="V.Low",OR(S144="Good",S144="Moderate")),"Error",VLOOKUP(S144,'G-1 All Habitats'!$Z$2:$AA$9,2,FALSE)),"")</f>
        <v/>
      </c>
      <c r="U144" s="173"/>
      <c r="V144" s="179" t="str">
        <f>IF(U144="","",IF(VLOOKUP(U144,'G-3 Multipliers'!$L$3:$N$6,2,FALSE)=0,"Spatial Data Missing",VLOOKUP(U144,'G-3 Multipliers'!$L$3:$N$6,2,FALSE)))</f>
        <v/>
      </c>
      <c r="W144" s="260" t="str">
        <f>IF(U144="","",IF(VLOOKUP(U144,'G-3 Multipliers'!$L$3:$N$6,3,FALSE)=0,"Spatial Data Missing",VLOOKUP(U144,'G-3 Multipliers'!$L$3:$N$6,3,FALSE)))</f>
        <v/>
      </c>
      <c r="X144" s="171" t="str">
        <f>IFERROR(IF(OR(LEFT(O144,5)="Error",LEFT(N144,5)="Error",T144="Error"),"Check Data",IF(F144&lt;R144,INDEX('G-6 Hedgerow Data'!$S$3:$AE$14,MATCH(C144,'G-6 Hedgerow Data'!$B$3:$B$14,0),MATCH(M144,'G-6 Hedgerow Data'!$S$2:$AE$2,0)),INDEX('G-6 Hedgerow Data'!$K$3:$Q$14,MATCH(M144,'G-6 Hedgerow Data'!$B$3:$B$14,0),MATCH(O144,'G-6 Hedgerow Data'!$K$2:$Q$2,0)))),"")</f>
        <v/>
      </c>
      <c r="Y144" s="261"/>
      <c r="Z144" s="261"/>
      <c r="AA144" s="179" t="str">
        <f t="shared" si="19"/>
        <v/>
      </c>
      <c r="AB144" s="262" t="str">
        <f t="shared" si="20"/>
        <v/>
      </c>
      <c r="AC144" s="263" t="str">
        <f t="shared" si="17"/>
        <v/>
      </c>
      <c r="AD144" s="239" t="str">
        <f>IF(M144="","",VLOOKUP(M144,'G-6 Hedgerow Data'!$B$3:$AG$15,31,FALSE))</f>
        <v/>
      </c>
      <c r="AE144" s="175" t="str">
        <f t="shared" si="21"/>
        <v/>
      </c>
      <c r="AF144" s="175" t="str">
        <f t="shared" si="22"/>
        <v/>
      </c>
      <c r="AG144" s="176" t="str">
        <f>IFERROR(IF(O144="","",VLOOKUP(AD144,'G-3 Multipliers'!$P$3:$Q$6,2,FALSE)),"")</f>
        <v/>
      </c>
      <c r="AH144" s="266"/>
      <c r="AI144" s="172" t="str">
        <f>IF(AH144="","",IF(VLOOKUP(AH144,'G-3 Multipliers'!$S$3:$T$6,2,FALSE)=0,"Spatial Data Missing",VLOOKUP(AH144,'G-3 Multipliers'!$S$3:$T$6,2,FALSE)))</f>
        <v/>
      </c>
      <c r="AJ144" s="265" t="str">
        <f t="shared" si="23"/>
        <v/>
      </c>
      <c r="AK144" s="180"/>
      <c r="AL144" s="181"/>
      <c r="AP144" s="35" t="str">
        <f>IFERROR(INDEX('G-6 Hedgerow Data'!$BJ$3:$BJ$15,MATCH(M144,'G-6 Hedgerow Data'!$B$3:$B$15,0)),"")</f>
        <v/>
      </c>
    </row>
    <row r="145" spans="2:42" ht="13.8" x14ac:dyDescent="0.25">
      <c r="B145" s="259" t="str">
        <f>'E-1 Off Site Hedge Baseline'!AK143</f>
        <v/>
      </c>
      <c r="C145" s="175" t="str">
        <f>IF(B145="","",IF(ISNA(VLOOKUP($B145,'E-1 Off Site Hedge Baseline'!$B$1:$L$257,3,FALSE)),"",(VLOOKUP($B145,'E-1 Off Site Hedge Baseline'!$B$1:$L$257,3,FALSE))))</f>
        <v/>
      </c>
      <c r="D145" s="175" t="str">
        <f>IF(B145="","",IF(ISNA(VLOOKUP($B145,'E-1 Off Site Hedge Baseline'!$B$1:$L$258,4,FALSE)),"",(VLOOKUP($B145,'E-1 Off Site Hedge Baseline'!$B$1:$L$258,4,FALSE))))</f>
        <v/>
      </c>
      <c r="E145" s="175" t="str">
        <f>IF(B145="","",IF(ISNA(VLOOKUP($B145,'E-1 Off Site Hedge Baseline'!$B$1:$L$257,5,FALSE)),"",(VLOOKUP($B145,'E-1 Off Site Hedge Baseline'!$B$1:$L$257,5,FALSE))))</f>
        <v/>
      </c>
      <c r="F145" s="175" t="str">
        <f>IF(B145="","",IF(ISNA(VLOOKUP($B145,'E-1 Off Site Hedge Baseline'!$B$1:$L$257,6,FALSE)),"",(VLOOKUP($B145,'E-1 Off Site Hedge Baseline'!$B$1:$L$257,6,FALSE))))</f>
        <v/>
      </c>
      <c r="G145" s="175" t="str">
        <f>IF(B145="","",IF(ISNA(VLOOKUP($B145,'E-1 Off Site Hedge Baseline'!$B$1:$L$257,7,FALSE)),"",(VLOOKUP($B145,'E-1 Off Site Hedge Baseline'!$B$1:$L$257,7,FALSE))))</f>
        <v/>
      </c>
      <c r="H145" s="175" t="str">
        <f>IF(B145="","",IF(ISNA(VLOOKUP($B145,'E-1 Off Site Hedge Baseline'!$B$1:$L$257,8,FALSE)),"",(VLOOKUP($B145,'E-1 Off Site Hedge Baseline'!$B$1:$L$257,8,FALSE))))</f>
        <v/>
      </c>
      <c r="I145" s="175" t="str">
        <f>IF(B145="","",IF(ISNA(VLOOKUP($B145,'E-1 Off Site Hedge Baseline'!$B$1:$L$257,10,FALSE)),"",(VLOOKUP($B145,'E-1 Off Site Hedge Baseline'!$B$1:$L$257,10,FALSE))))</f>
        <v/>
      </c>
      <c r="J145" s="175" t="str">
        <f>IF(B145="","",IF(ISNA(VLOOKUP($B145,'E-1 Off Site Hedge Baseline'!$B$1:$L$257,11,FALSE)),"",(VLOOKUP($B145,'E-1 Off Site Hedge Baseline'!$B$1:$L$257,11,FALSE))))</f>
        <v/>
      </c>
      <c r="K145" s="175" t="str">
        <f>IF(B145="","",IF(ISNA(VLOOKUP($B145,'E-1 Off Site Hedge Baseline'!$B$1:$U$257,113,FALSE)),"",(VLOOKUP($B145,'E-1 Off Site Hedge Baseline'!$B$1:$U$257,13,FALSE))))</f>
        <v/>
      </c>
      <c r="L145" s="179" t="str">
        <f>IF(B145="","",IF(ISNA(VLOOKUP($B145,'E-1 Off Site Hedge Baseline'!$B$1:$U$257,12,FALSE)),"",(VLOOKUP($B145,'E-1 Off Site Hedge Baseline'!$B$1:$U$257,12,FALSE))))</f>
        <v/>
      </c>
      <c r="M145" s="639" t="str">
        <f t="shared" si="24"/>
        <v/>
      </c>
      <c r="N145" s="171" t="str">
        <f>IFERROR(IF(B145="","",INDEX('G-6 Hedgerow Data'!$AN$3:$AZ$15,MATCH(C145,'G-6 Hedgerow Data'!$AM$3:$AM$15,0),MATCH(M145,'G-6 Hedgerow Data'!$AN$2:$AZ$2,0))),"")</f>
        <v/>
      </c>
      <c r="O145" s="172" t="str">
        <f t="shared" si="18"/>
        <v/>
      </c>
      <c r="P145" s="260" t="str">
        <f>IF(B145="","",VLOOKUP(B145,'E-1 Off Site Hedge Baseline'!$B$10:T390,16,FALSE))</f>
        <v/>
      </c>
      <c r="Q145" s="171" t="str">
        <f>IF(M145="","",VLOOKUP(M145,'G-6 Hedgerow Data'!$B$2:$AG$15,2,FALSE))</f>
        <v/>
      </c>
      <c r="R145" s="172" t="str">
        <f>IF(M145="","",VLOOKUP(M145,'G-6 Hedgerow Data'!$B$2:$AG$15,3,FALSE))</f>
        <v/>
      </c>
      <c r="S145" s="173"/>
      <c r="T145" s="172" t="str">
        <f>IFERROR(IF(AND(Q145="V.Low",OR(S145="Good",S145="Moderate")),"Error",VLOOKUP(S145,'G-1 All Habitats'!$Z$2:$AA$9,2,FALSE)),"")</f>
        <v/>
      </c>
      <c r="U145" s="173"/>
      <c r="V145" s="179" t="str">
        <f>IF(U145="","",IF(VLOOKUP(U145,'G-3 Multipliers'!$L$3:$N$6,2,FALSE)=0,"Spatial Data Missing",VLOOKUP(U145,'G-3 Multipliers'!$L$3:$N$6,2,FALSE)))</f>
        <v/>
      </c>
      <c r="W145" s="260" t="str">
        <f>IF(U145="","",IF(VLOOKUP(U145,'G-3 Multipliers'!$L$3:$N$6,3,FALSE)=0,"Spatial Data Missing",VLOOKUP(U145,'G-3 Multipliers'!$L$3:$N$6,3,FALSE)))</f>
        <v/>
      </c>
      <c r="X145" s="171" t="str">
        <f>IFERROR(IF(OR(LEFT(O145,5)="Error",LEFT(N145,5)="Error",T145="Error"),"Check Data",IF(F145&lt;R145,INDEX('G-6 Hedgerow Data'!$S$3:$AE$14,MATCH(C145,'G-6 Hedgerow Data'!$B$3:$B$14,0),MATCH(M145,'G-6 Hedgerow Data'!$S$2:$AE$2,0)),INDEX('G-6 Hedgerow Data'!$K$3:$Q$14,MATCH(M145,'G-6 Hedgerow Data'!$B$3:$B$14,0),MATCH(O145,'G-6 Hedgerow Data'!$K$2:$Q$2,0)))),"")</f>
        <v/>
      </c>
      <c r="Y145" s="261"/>
      <c r="Z145" s="261"/>
      <c r="AA145" s="179" t="str">
        <f t="shared" si="19"/>
        <v/>
      </c>
      <c r="AB145" s="262" t="str">
        <f t="shared" si="20"/>
        <v/>
      </c>
      <c r="AC145" s="263" t="str">
        <f t="shared" si="17"/>
        <v/>
      </c>
      <c r="AD145" s="239" t="str">
        <f>IF(M145="","",VLOOKUP(M145,'G-6 Hedgerow Data'!$B$3:$AG$15,31,FALSE))</f>
        <v/>
      </c>
      <c r="AE145" s="175" t="str">
        <f t="shared" si="21"/>
        <v/>
      </c>
      <c r="AF145" s="175" t="str">
        <f t="shared" si="22"/>
        <v/>
      </c>
      <c r="AG145" s="176" t="str">
        <f>IFERROR(IF(O145="","",VLOOKUP(AD145,'G-3 Multipliers'!$P$3:$Q$6,2,FALSE)),"")</f>
        <v/>
      </c>
      <c r="AH145" s="266"/>
      <c r="AI145" s="172" t="str">
        <f>IF(AH145="","",IF(VLOOKUP(AH145,'G-3 Multipliers'!$S$3:$T$6,2,FALSE)=0,"Spatial Data Missing",VLOOKUP(AH145,'G-3 Multipliers'!$S$3:$T$6,2,FALSE)))</f>
        <v/>
      </c>
      <c r="AJ145" s="265" t="str">
        <f t="shared" si="23"/>
        <v/>
      </c>
      <c r="AK145" s="180"/>
      <c r="AL145" s="181"/>
      <c r="AP145" s="35" t="str">
        <f>IFERROR(INDEX('G-6 Hedgerow Data'!$BJ$3:$BJ$15,MATCH(M145,'G-6 Hedgerow Data'!$B$3:$B$15,0)),"")</f>
        <v/>
      </c>
    </row>
    <row r="146" spans="2:42" ht="13.8" x14ac:dyDescent="0.25">
      <c r="B146" s="259" t="str">
        <f>'E-1 Off Site Hedge Baseline'!AK144</f>
        <v/>
      </c>
      <c r="C146" s="175" t="str">
        <f>IF(B146="","",IF(ISNA(VLOOKUP($B146,'E-1 Off Site Hedge Baseline'!$B$1:$L$257,3,FALSE)),"",(VLOOKUP($B146,'E-1 Off Site Hedge Baseline'!$B$1:$L$257,3,FALSE))))</f>
        <v/>
      </c>
      <c r="D146" s="175" t="str">
        <f>IF(B146="","",IF(ISNA(VLOOKUP($B146,'E-1 Off Site Hedge Baseline'!$B$1:$L$258,4,FALSE)),"",(VLOOKUP($B146,'E-1 Off Site Hedge Baseline'!$B$1:$L$258,4,FALSE))))</f>
        <v/>
      </c>
      <c r="E146" s="175" t="str">
        <f>IF(B146="","",IF(ISNA(VLOOKUP($B146,'E-1 Off Site Hedge Baseline'!$B$1:$L$257,5,FALSE)),"",(VLOOKUP($B146,'E-1 Off Site Hedge Baseline'!$B$1:$L$257,5,FALSE))))</f>
        <v/>
      </c>
      <c r="F146" s="175" t="str">
        <f>IF(B146="","",IF(ISNA(VLOOKUP($B146,'E-1 Off Site Hedge Baseline'!$B$1:$L$257,6,FALSE)),"",(VLOOKUP($B146,'E-1 Off Site Hedge Baseline'!$B$1:$L$257,6,FALSE))))</f>
        <v/>
      </c>
      <c r="G146" s="175" t="str">
        <f>IF(B146="","",IF(ISNA(VLOOKUP($B146,'E-1 Off Site Hedge Baseline'!$B$1:$L$257,7,FALSE)),"",(VLOOKUP($B146,'E-1 Off Site Hedge Baseline'!$B$1:$L$257,7,FALSE))))</f>
        <v/>
      </c>
      <c r="H146" s="175" t="str">
        <f>IF(B146="","",IF(ISNA(VLOOKUP($B146,'E-1 Off Site Hedge Baseline'!$B$1:$L$257,8,FALSE)),"",(VLOOKUP($B146,'E-1 Off Site Hedge Baseline'!$B$1:$L$257,8,FALSE))))</f>
        <v/>
      </c>
      <c r="I146" s="175" t="str">
        <f>IF(B146="","",IF(ISNA(VLOOKUP($B146,'E-1 Off Site Hedge Baseline'!$B$1:$L$257,10,FALSE)),"",(VLOOKUP($B146,'E-1 Off Site Hedge Baseline'!$B$1:$L$257,10,FALSE))))</f>
        <v/>
      </c>
      <c r="J146" s="175" t="str">
        <f>IF(B146="","",IF(ISNA(VLOOKUP($B146,'E-1 Off Site Hedge Baseline'!$B$1:$L$257,11,FALSE)),"",(VLOOKUP($B146,'E-1 Off Site Hedge Baseline'!$B$1:$L$257,11,FALSE))))</f>
        <v/>
      </c>
      <c r="K146" s="175" t="str">
        <f>IF(B146="","",IF(ISNA(VLOOKUP($B146,'E-1 Off Site Hedge Baseline'!$B$1:$U$257,113,FALSE)),"",(VLOOKUP($B146,'E-1 Off Site Hedge Baseline'!$B$1:$U$257,13,FALSE))))</f>
        <v/>
      </c>
      <c r="L146" s="179" t="str">
        <f>IF(B146="","",IF(ISNA(VLOOKUP($B146,'E-1 Off Site Hedge Baseline'!$B$1:$U$257,12,FALSE)),"",(VLOOKUP($B146,'E-1 Off Site Hedge Baseline'!$B$1:$U$257,12,FALSE))))</f>
        <v/>
      </c>
      <c r="M146" s="639" t="str">
        <f t="shared" si="24"/>
        <v/>
      </c>
      <c r="N146" s="171" t="str">
        <f>IFERROR(IF(B146="","",INDEX('G-6 Hedgerow Data'!$AN$3:$AZ$15,MATCH(C146,'G-6 Hedgerow Data'!$AM$3:$AM$15,0),MATCH(M146,'G-6 Hedgerow Data'!$AN$2:$AZ$2,0))),"")</f>
        <v/>
      </c>
      <c r="O146" s="172" t="str">
        <f t="shared" si="18"/>
        <v/>
      </c>
      <c r="P146" s="260" t="str">
        <f>IF(B146="","",VLOOKUP(B146,'E-1 Off Site Hedge Baseline'!$B$10:T391,16,FALSE))</f>
        <v/>
      </c>
      <c r="Q146" s="171" t="str">
        <f>IF(M146="","",VLOOKUP(M146,'G-6 Hedgerow Data'!$B$2:$AG$15,2,FALSE))</f>
        <v/>
      </c>
      <c r="R146" s="172" t="str">
        <f>IF(M146="","",VLOOKUP(M146,'G-6 Hedgerow Data'!$B$2:$AG$15,3,FALSE))</f>
        <v/>
      </c>
      <c r="S146" s="173"/>
      <c r="T146" s="172" t="str">
        <f>IFERROR(IF(AND(Q146="V.Low",OR(S146="Good",S146="Moderate")),"Error",VLOOKUP(S146,'G-1 All Habitats'!$Z$2:$AA$9,2,FALSE)),"")</f>
        <v/>
      </c>
      <c r="U146" s="173"/>
      <c r="V146" s="179" t="str">
        <f>IF(U146="","",IF(VLOOKUP(U146,'G-3 Multipliers'!$L$3:$N$6,2,FALSE)=0,"Spatial Data Missing",VLOOKUP(U146,'G-3 Multipliers'!$L$3:$N$6,2,FALSE)))</f>
        <v/>
      </c>
      <c r="W146" s="260" t="str">
        <f>IF(U146="","",IF(VLOOKUP(U146,'G-3 Multipliers'!$L$3:$N$6,3,FALSE)=0,"Spatial Data Missing",VLOOKUP(U146,'G-3 Multipliers'!$L$3:$N$6,3,FALSE)))</f>
        <v/>
      </c>
      <c r="X146" s="171" t="str">
        <f>IFERROR(IF(OR(LEFT(O146,5)="Error",LEFT(N146,5)="Error",T146="Error"),"Check Data",IF(F146&lt;R146,INDEX('G-6 Hedgerow Data'!$S$3:$AE$14,MATCH(C146,'G-6 Hedgerow Data'!$B$3:$B$14,0),MATCH(M146,'G-6 Hedgerow Data'!$S$2:$AE$2,0)),INDEX('G-6 Hedgerow Data'!$K$3:$Q$14,MATCH(M146,'G-6 Hedgerow Data'!$B$3:$B$14,0),MATCH(O146,'G-6 Hedgerow Data'!$K$2:$Q$2,0)))),"")</f>
        <v/>
      </c>
      <c r="Y146" s="261"/>
      <c r="Z146" s="261"/>
      <c r="AA146" s="179" t="str">
        <f t="shared" si="19"/>
        <v/>
      </c>
      <c r="AB146" s="262" t="str">
        <f t="shared" si="20"/>
        <v/>
      </c>
      <c r="AC146" s="263" t="str">
        <f t="shared" si="17"/>
        <v/>
      </c>
      <c r="AD146" s="239" t="str">
        <f>IF(M146="","",VLOOKUP(M146,'G-6 Hedgerow Data'!$B$3:$AG$15,31,FALSE))</f>
        <v/>
      </c>
      <c r="AE146" s="175" t="str">
        <f t="shared" si="21"/>
        <v/>
      </c>
      <c r="AF146" s="175" t="str">
        <f t="shared" si="22"/>
        <v/>
      </c>
      <c r="AG146" s="176" t="str">
        <f>IFERROR(IF(O146="","",VLOOKUP(AD146,'G-3 Multipliers'!$P$3:$Q$6,2,FALSE)),"")</f>
        <v/>
      </c>
      <c r="AH146" s="266"/>
      <c r="AI146" s="172" t="str">
        <f>IF(AH146="","",IF(VLOOKUP(AH146,'G-3 Multipliers'!$S$3:$T$6,2,FALSE)=0,"Spatial Data Missing",VLOOKUP(AH146,'G-3 Multipliers'!$S$3:$T$6,2,FALSE)))</f>
        <v/>
      </c>
      <c r="AJ146" s="265" t="str">
        <f t="shared" si="23"/>
        <v/>
      </c>
      <c r="AK146" s="180"/>
      <c r="AL146" s="181"/>
      <c r="AP146" s="35" t="str">
        <f>IFERROR(INDEX('G-6 Hedgerow Data'!$BJ$3:$BJ$15,MATCH(M146,'G-6 Hedgerow Data'!$B$3:$B$15,0)),"")</f>
        <v/>
      </c>
    </row>
    <row r="147" spans="2:42" ht="13.8" x14ac:dyDescent="0.25">
      <c r="B147" s="259" t="str">
        <f>'E-1 Off Site Hedge Baseline'!AK145</f>
        <v/>
      </c>
      <c r="C147" s="175" t="str">
        <f>IF(B147="","",IF(ISNA(VLOOKUP($B147,'E-1 Off Site Hedge Baseline'!$B$1:$L$257,3,FALSE)),"",(VLOOKUP($B147,'E-1 Off Site Hedge Baseline'!$B$1:$L$257,3,FALSE))))</f>
        <v/>
      </c>
      <c r="D147" s="175" t="str">
        <f>IF(B147="","",IF(ISNA(VLOOKUP($B147,'E-1 Off Site Hedge Baseline'!$B$1:$L$258,4,FALSE)),"",(VLOOKUP($B147,'E-1 Off Site Hedge Baseline'!$B$1:$L$258,4,FALSE))))</f>
        <v/>
      </c>
      <c r="E147" s="175" t="str">
        <f>IF(B147="","",IF(ISNA(VLOOKUP($B147,'E-1 Off Site Hedge Baseline'!$B$1:$L$257,5,FALSE)),"",(VLOOKUP($B147,'E-1 Off Site Hedge Baseline'!$B$1:$L$257,5,FALSE))))</f>
        <v/>
      </c>
      <c r="F147" s="175" t="str">
        <f>IF(B147="","",IF(ISNA(VLOOKUP($B147,'E-1 Off Site Hedge Baseline'!$B$1:$L$257,6,FALSE)),"",(VLOOKUP($B147,'E-1 Off Site Hedge Baseline'!$B$1:$L$257,6,FALSE))))</f>
        <v/>
      </c>
      <c r="G147" s="175" t="str">
        <f>IF(B147="","",IF(ISNA(VLOOKUP($B147,'E-1 Off Site Hedge Baseline'!$B$1:$L$257,7,FALSE)),"",(VLOOKUP($B147,'E-1 Off Site Hedge Baseline'!$B$1:$L$257,7,FALSE))))</f>
        <v/>
      </c>
      <c r="H147" s="175" t="str">
        <f>IF(B147="","",IF(ISNA(VLOOKUP($B147,'E-1 Off Site Hedge Baseline'!$B$1:$L$257,8,FALSE)),"",(VLOOKUP($B147,'E-1 Off Site Hedge Baseline'!$B$1:$L$257,8,FALSE))))</f>
        <v/>
      </c>
      <c r="I147" s="175" t="str">
        <f>IF(B147="","",IF(ISNA(VLOOKUP($B147,'E-1 Off Site Hedge Baseline'!$B$1:$L$257,10,FALSE)),"",(VLOOKUP($B147,'E-1 Off Site Hedge Baseline'!$B$1:$L$257,10,FALSE))))</f>
        <v/>
      </c>
      <c r="J147" s="175" t="str">
        <f>IF(B147="","",IF(ISNA(VLOOKUP($B147,'E-1 Off Site Hedge Baseline'!$B$1:$L$257,11,FALSE)),"",(VLOOKUP($B147,'E-1 Off Site Hedge Baseline'!$B$1:$L$257,11,FALSE))))</f>
        <v/>
      </c>
      <c r="K147" s="175" t="str">
        <f>IF(B147="","",IF(ISNA(VLOOKUP($B147,'E-1 Off Site Hedge Baseline'!$B$1:$U$257,113,FALSE)),"",(VLOOKUP($B147,'E-1 Off Site Hedge Baseline'!$B$1:$U$257,13,FALSE))))</f>
        <v/>
      </c>
      <c r="L147" s="179" t="str">
        <f>IF(B147="","",IF(ISNA(VLOOKUP($B147,'E-1 Off Site Hedge Baseline'!$B$1:$U$257,12,FALSE)),"",(VLOOKUP($B147,'E-1 Off Site Hedge Baseline'!$B$1:$U$257,12,FALSE))))</f>
        <v/>
      </c>
      <c r="M147" s="639" t="str">
        <f t="shared" si="24"/>
        <v/>
      </c>
      <c r="N147" s="171" t="str">
        <f>IFERROR(IF(B147="","",INDEX('G-6 Hedgerow Data'!$AN$3:$AZ$15,MATCH(C147,'G-6 Hedgerow Data'!$AM$3:$AM$15,0),MATCH(M147,'G-6 Hedgerow Data'!$AN$2:$AZ$2,0))),"")</f>
        <v/>
      </c>
      <c r="O147" s="172" t="str">
        <f t="shared" si="18"/>
        <v/>
      </c>
      <c r="P147" s="260" t="str">
        <f>IF(B147="","",VLOOKUP(B147,'E-1 Off Site Hedge Baseline'!$B$10:T392,16,FALSE))</f>
        <v/>
      </c>
      <c r="Q147" s="171" t="str">
        <f>IF(M147="","",VLOOKUP(M147,'G-6 Hedgerow Data'!$B$2:$AG$15,2,FALSE))</f>
        <v/>
      </c>
      <c r="R147" s="172" t="str">
        <f>IF(M147="","",VLOOKUP(M147,'G-6 Hedgerow Data'!$B$2:$AG$15,3,FALSE))</f>
        <v/>
      </c>
      <c r="S147" s="173"/>
      <c r="T147" s="172" t="str">
        <f>IFERROR(IF(AND(Q147="V.Low",OR(S147="Good",S147="Moderate")),"Error",VLOOKUP(S147,'G-1 All Habitats'!$Z$2:$AA$9,2,FALSE)),"")</f>
        <v/>
      </c>
      <c r="U147" s="173"/>
      <c r="V147" s="179" t="str">
        <f>IF(U147="","",IF(VLOOKUP(U147,'G-3 Multipliers'!$L$3:$N$6,2,FALSE)=0,"Spatial Data Missing",VLOOKUP(U147,'G-3 Multipliers'!$L$3:$N$6,2,FALSE)))</f>
        <v/>
      </c>
      <c r="W147" s="260" t="str">
        <f>IF(U147="","",IF(VLOOKUP(U147,'G-3 Multipliers'!$L$3:$N$6,3,FALSE)=0,"Spatial Data Missing",VLOOKUP(U147,'G-3 Multipliers'!$L$3:$N$6,3,FALSE)))</f>
        <v/>
      </c>
      <c r="X147" s="171" t="str">
        <f>IFERROR(IF(OR(LEFT(O147,5)="Error",LEFT(N147,5)="Error",T147="Error"),"Check Data",IF(F147&lt;R147,INDEX('G-6 Hedgerow Data'!$S$3:$AE$14,MATCH(C147,'G-6 Hedgerow Data'!$B$3:$B$14,0),MATCH(M147,'G-6 Hedgerow Data'!$S$2:$AE$2,0)),INDEX('G-6 Hedgerow Data'!$K$3:$Q$14,MATCH(M147,'G-6 Hedgerow Data'!$B$3:$B$14,0),MATCH(O147,'G-6 Hedgerow Data'!$K$2:$Q$2,0)))),"")</f>
        <v/>
      </c>
      <c r="Y147" s="261"/>
      <c r="Z147" s="261"/>
      <c r="AA147" s="179" t="str">
        <f t="shared" si="19"/>
        <v/>
      </c>
      <c r="AB147" s="262" t="str">
        <f t="shared" si="20"/>
        <v/>
      </c>
      <c r="AC147" s="263" t="str">
        <f t="shared" si="17"/>
        <v/>
      </c>
      <c r="AD147" s="239" t="str">
        <f>IF(M147="","",VLOOKUP(M147,'G-6 Hedgerow Data'!$B$3:$AG$15,31,FALSE))</f>
        <v/>
      </c>
      <c r="AE147" s="175" t="str">
        <f t="shared" si="21"/>
        <v/>
      </c>
      <c r="AF147" s="175" t="str">
        <f t="shared" si="22"/>
        <v/>
      </c>
      <c r="AG147" s="176" t="str">
        <f>IFERROR(IF(O147="","",VLOOKUP(AD147,'G-3 Multipliers'!$P$3:$Q$6,2,FALSE)),"")</f>
        <v/>
      </c>
      <c r="AH147" s="266"/>
      <c r="AI147" s="172" t="str">
        <f>IF(AH147="","",IF(VLOOKUP(AH147,'G-3 Multipliers'!$S$3:$T$6,2,FALSE)=0,"Spatial Data Missing",VLOOKUP(AH147,'G-3 Multipliers'!$S$3:$T$6,2,FALSE)))</f>
        <v/>
      </c>
      <c r="AJ147" s="265" t="str">
        <f t="shared" si="23"/>
        <v/>
      </c>
      <c r="AK147" s="180"/>
      <c r="AL147" s="181"/>
      <c r="AP147" s="35" t="str">
        <f>IFERROR(INDEX('G-6 Hedgerow Data'!$BJ$3:$BJ$15,MATCH(M147,'G-6 Hedgerow Data'!$B$3:$B$15,0)),"")</f>
        <v/>
      </c>
    </row>
    <row r="148" spans="2:42" ht="13.8" x14ac:dyDescent="0.25">
      <c r="B148" s="259" t="str">
        <f>'E-1 Off Site Hedge Baseline'!AK146</f>
        <v/>
      </c>
      <c r="C148" s="175" t="str">
        <f>IF(B148="","",IF(ISNA(VLOOKUP($B148,'E-1 Off Site Hedge Baseline'!$B$1:$L$257,3,FALSE)),"",(VLOOKUP($B148,'E-1 Off Site Hedge Baseline'!$B$1:$L$257,3,FALSE))))</f>
        <v/>
      </c>
      <c r="D148" s="175" t="str">
        <f>IF(B148="","",IF(ISNA(VLOOKUP($B148,'E-1 Off Site Hedge Baseline'!$B$1:$L$258,4,FALSE)),"",(VLOOKUP($B148,'E-1 Off Site Hedge Baseline'!$B$1:$L$258,4,FALSE))))</f>
        <v/>
      </c>
      <c r="E148" s="175" t="str">
        <f>IF(B148="","",IF(ISNA(VLOOKUP($B148,'E-1 Off Site Hedge Baseline'!$B$1:$L$257,5,FALSE)),"",(VLOOKUP($B148,'E-1 Off Site Hedge Baseline'!$B$1:$L$257,5,FALSE))))</f>
        <v/>
      </c>
      <c r="F148" s="175" t="str">
        <f>IF(B148="","",IF(ISNA(VLOOKUP($B148,'E-1 Off Site Hedge Baseline'!$B$1:$L$257,6,FALSE)),"",(VLOOKUP($B148,'E-1 Off Site Hedge Baseline'!$B$1:$L$257,6,FALSE))))</f>
        <v/>
      </c>
      <c r="G148" s="175" t="str">
        <f>IF(B148="","",IF(ISNA(VLOOKUP($B148,'E-1 Off Site Hedge Baseline'!$B$1:$L$257,7,FALSE)),"",(VLOOKUP($B148,'E-1 Off Site Hedge Baseline'!$B$1:$L$257,7,FALSE))))</f>
        <v/>
      </c>
      <c r="H148" s="175" t="str">
        <f>IF(B148="","",IF(ISNA(VLOOKUP($B148,'E-1 Off Site Hedge Baseline'!$B$1:$L$257,8,FALSE)),"",(VLOOKUP($B148,'E-1 Off Site Hedge Baseline'!$B$1:$L$257,8,FALSE))))</f>
        <v/>
      </c>
      <c r="I148" s="175" t="str">
        <f>IF(B148="","",IF(ISNA(VLOOKUP($B148,'E-1 Off Site Hedge Baseline'!$B$1:$L$257,10,FALSE)),"",(VLOOKUP($B148,'E-1 Off Site Hedge Baseline'!$B$1:$L$257,10,FALSE))))</f>
        <v/>
      </c>
      <c r="J148" s="175" t="str">
        <f>IF(B148="","",IF(ISNA(VLOOKUP($B148,'E-1 Off Site Hedge Baseline'!$B$1:$L$257,11,FALSE)),"",(VLOOKUP($B148,'E-1 Off Site Hedge Baseline'!$B$1:$L$257,11,FALSE))))</f>
        <v/>
      </c>
      <c r="K148" s="175" t="str">
        <f>IF(B148="","",IF(ISNA(VLOOKUP($B148,'E-1 Off Site Hedge Baseline'!$B$1:$U$257,113,FALSE)),"",(VLOOKUP($B148,'E-1 Off Site Hedge Baseline'!$B$1:$U$257,13,FALSE))))</f>
        <v/>
      </c>
      <c r="L148" s="179" t="str">
        <f>IF(B148="","",IF(ISNA(VLOOKUP($B148,'E-1 Off Site Hedge Baseline'!$B$1:$U$257,12,FALSE)),"",(VLOOKUP($B148,'E-1 Off Site Hedge Baseline'!$B$1:$U$257,12,FALSE))))</f>
        <v/>
      </c>
      <c r="M148" s="639" t="str">
        <f t="shared" si="24"/>
        <v/>
      </c>
      <c r="N148" s="171" t="str">
        <f>IFERROR(IF(B148="","",INDEX('G-6 Hedgerow Data'!$AN$3:$AZ$15,MATCH(C148,'G-6 Hedgerow Data'!$AM$3:$AM$15,0),MATCH(M148,'G-6 Hedgerow Data'!$AN$2:$AZ$2,0))),"")</f>
        <v/>
      </c>
      <c r="O148" s="172" t="str">
        <f t="shared" si="18"/>
        <v/>
      </c>
      <c r="P148" s="260" t="str">
        <f>IF(B148="","",VLOOKUP(B148,'E-1 Off Site Hedge Baseline'!$B$10:T393,16,FALSE))</f>
        <v/>
      </c>
      <c r="Q148" s="171" t="str">
        <f>IF(M148="","",VLOOKUP(M148,'G-6 Hedgerow Data'!$B$2:$AG$15,2,FALSE))</f>
        <v/>
      </c>
      <c r="R148" s="172" t="str">
        <f>IF(M148="","",VLOOKUP(M148,'G-6 Hedgerow Data'!$B$2:$AG$15,3,FALSE))</f>
        <v/>
      </c>
      <c r="S148" s="173"/>
      <c r="T148" s="172" t="str">
        <f>IFERROR(IF(AND(Q148="V.Low",OR(S148="Good",S148="Moderate")),"Error",VLOOKUP(S148,'G-1 All Habitats'!$Z$2:$AA$9,2,FALSE)),"")</f>
        <v/>
      </c>
      <c r="U148" s="173"/>
      <c r="V148" s="179" t="str">
        <f>IF(U148="","",IF(VLOOKUP(U148,'G-3 Multipliers'!$L$3:$N$6,2,FALSE)=0,"Spatial Data Missing",VLOOKUP(U148,'G-3 Multipliers'!$L$3:$N$6,2,FALSE)))</f>
        <v/>
      </c>
      <c r="W148" s="260" t="str">
        <f>IF(U148="","",IF(VLOOKUP(U148,'G-3 Multipliers'!$L$3:$N$6,3,FALSE)=0,"Spatial Data Missing",VLOOKUP(U148,'G-3 Multipliers'!$L$3:$N$6,3,FALSE)))</f>
        <v/>
      </c>
      <c r="X148" s="171" t="str">
        <f>IFERROR(IF(OR(LEFT(O148,5)="Error",LEFT(N148,5)="Error",T148="Error"),"Check Data",IF(F148&lt;R148,INDEX('G-6 Hedgerow Data'!$S$3:$AE$14,MATCH(C148,'G-6 Hedgerow Data'!$B$3:$B$14,0),MATCH(M148,'G-6 Hedgerow Data'!$S$2:$AE$2,0)),INDEX('G-6 Hedgerow Data'!$K$3:$Q$14,MATCH(M148,'G-6 Hedgerow Data'!$B$3:$B$14,0),MATCH(O148,'G-6 Hedgerow Data'!$K$2:$Q$2,0)))),"")</f>
        <v/>
      </c>
      <c r="Y148" s="261"/>
      <c r="Z148" s="261"/>
      <c r="AA148" s="179" t="str">
        <f t="shared" si="19"/>
        <v/>
      </c>
      <c r="AB148" s="262" t="str">
        <f t="shared" si="20"/>
        <v/>
      </c>
      <c r="AC148" s="263" t="str">
        <f t="shared" si="17"/>
        <v/>
      </c>
      <c r="AD148" s="239" t="str">
        <f>IF(M148="","",VLOOKUP(M148,'G-6 Hedgerow Data'!$B$3:$AG$15,31,FALSE))</f>
        <v/>
      </c>
      <c r="AE148" s="175" t="str">
        <f t="shared" si="21"/>
        <v/>
      </c>
      <c r="AF148" s="175" t="str">
        <f t="shared" si="22"/>
        <v/>
      </c>
      <c r="AG148" s="176" t="str">
        <f>IFERROR(IF(O148="","",VLOOKUP(AD148,'G-3 Multipliers'!$P$3:$Q$6,2,FALSE)),"")</f>
        <v/>
      </c>
      <c r="AH148" s="266"/>
      <c r="AI148" s="172" t="str">
        <f>IF(AH148="","",IF(VLOOKUP(AH148,'G-3 Multipliers'!$S$3:$T$6,2,FALSE)=0,"Spatial Data Missing",VLOOKUP(AH148,'G-3 Multipliers'!$S$3:$T$6,2,FALSE)))</f>
        <v/>
      </c>
      <c r="AJ148" s="265" t="str">
        <f t="shared" si="23"/>
        <v/>
      </c>
      <c r="AK148" s="180"/>
      <c r="AL148" s="181"/>
      <c r="AP148" s="35" t="str">
        <f>IFERROR(INDEX('G-6 Hedgerow Data'!$BJ$3:$BJ$15,MATCH(M148,'G-6 Hedgerow Data'!$B$3:$B$15,0)),"")</f>
        <v/>
      </c>
    </row>
    <row r="149" spans="2:42" ht="13.8" x14ac:dyDescent="0.25">
      <c r="B149" s="259" t="str">
        <f>'E-1 Off Site Hedge Baseline'!AK147</f>
        <v/>
      </c>
      <c r="C149" s="175" t="str">
        <f>IF(B149="","",IF(ISNA(VLOOKUP($B149,'E-1 Off Site Hedge Baseline'!$B$1:$L$257,3,FALSE)),"",(VLOOKUP($B149,'E-1 Off Site Hedge Baseline'!$B$1:$L$257,3,FALSE))))</f>
        <v/>
      </c>
      <c r="D149" s="175" t="str">
        <f>IF(B149="","",IF(ISNA(VLOOKUP($B149,'E-1 Off Site Hedge Baseline'!$B$1:$L$258,4,FALSE)),"",(VLOOKUP($B149,'E-1 Off Site Hedge Baseline'!$B$1:$L$258,4,FALSE))))</f>
        <v/>
      </c>
      <c r="E149" s="175" t="str">
        <f>IF(B149="","",IF(ISNA(VLOOKUP($B149,'E-1 Off Site Hedge Baseline'!$B$1:$L$257,5,FALSE)),"",(VLOOKUP($B149,'E-1 Off Site Hedge Baseline'!$B$1:$L$257,5,FALSE))))</f>
        <v/>
      </c>
      <c r="F149" s="175" t="str">
        <f>IF(B149="","",IF(ISNA(VLOOKUP($B149,'E-1 Off Site Hedge Baseline'!$B$1:$L$257,6,FALSE)),"",(VLOOKUP($B149,'E-1 Off Site Hedge Baseline'!$B$1:$L$257,6,FALSE))))</f>
        <v/>
      </c>
      <c r="G149" s="175" t="str">
        <f>IF(B149="","",IF(ISNA(VLOOKUP($B149,'E-1 Off Site Hedge Baseline'!$B$1:$L$257,7,FALSE)),"",(VLOOKUP($B149,'E-1 Off Site Hedge Baseline'!$B$1:$L$257,7,FALSE))))</f>
        <v/>
      </c>
      <c r="H149" s="175" t="str">
        <f>IF(B149="","",IF(ISNA(VLOOKUP($B149,'E-1 Off Site Hedge Baseline'!$B$1:$L$257,8,FALSE)),"",(VLOOKUP($B149,'E-1 Off Site Hedge Baseline'!$B$1:$L$257,8,FALSE))))</f>
        <v/>
      </c>
      <c r="I149" s="175" t="str">
        <f>IF(B149="","",IF(ISNA(VLOOKUP($B149,'E-1 Off Site Hedge Baseline'!$B$1:$L$257,10,FALSE)),"",(VLOOKUP($B149,'E-1 Off Site Hedge Baseline'!$B$1:$L$257,10,FALSE))))</f>
        <v/>
      </c>
      <c r="J149" s="175" t="str">
        <f>IF(B149="","",IF(ISNA(VLOOKUP($B149,'E-1 Off Site Hedge Baseline'!$B$1:$L$257,11,FALSE)),"",(VLOOKUP($B149,'E-1 Off Site Hedge Baseline'!$B$1:$L$257,11,FALSE))))</f>
        <v/>
      </c>
      <c r="K149" s="175" t="str">
        <f>IF(B149="","",IF(ISNA(VLOOKUP($B149,'E-1 Off Site Hedge Baseline'!$B$1:$U$257,113,FALSE)),"",(VLOOKUP($B149,'E-1 Off Site Hedge Baseline'!$B$1:$U$257,13,FALSE))))</f>
        <v/>
      </c>
      <c r="L149" s="179" t="str">
        <f>IF(B149="","",IF(ISNA(VLOOKUP($B149,'E-1 Off Site Hedge Baseline'!$B$1:$U$257,12,FALSE)),"",(VLOOKUP($B149,'E-1 Off Site Hedge Baseline'!$B$1:$U$257,12,FALSE))))</f>
        <v/>
      </c>
      <c r="M149" s="639" t="str">
        <f t="shared" si="24"/>
        <v/>
      </c>
      <c r="N149" s="171" t="str">
        <f>IFERROR(IF(B149="","",INDEX('G-6 Hedgerow Data'!$AN$3:$AZ$15,MATCH(C149,'G-6 Hedgerow Data'!$AM$3:$AM$15,0),MATCH(M149,'G-6 Hedgerow Data'!$AN$2:$AZ$2,0))),"")</f>
        <v/>
      </c>
      <c r="O149" s="172" t="str">
        <f t="shared" si="18"/>
        <v/>
      </c>
      <c r="P149" s="260" t="str">
        <f>IF(B149="","",VLOOKUP(B149,'E-1 Off Site Hedge Baseline'!$B$10:T394,16,FALSE))</f>
        <v/>
      </c>
      <c r="Q149" s="171" t="str">
        <f>IF(M149="","",VLOOKUP(M149,'G-6 Hedgerow Data'!$B$2:$AG$15,2,FALSE))</f>
        <v/>
      </c>
      <c r="R149" s="172" t="str">
        <f>IF(M149="","",VLOOKUP(M149,'G-6 Hedgerow Data'!$B$2:$AG$15,3,FALSE))</f>
        <v/>
      </c>
      <c r="S149" s="173"/>
      <c r="T149" s="172" t="str">
        <f>IFERROR(IF(AND(Q149="V.Low",OR(S149="Good",S149="Moderate")),"Error",VLOOKUP(S149,'G-1 All Habitats'!$Z$2:$AA$9,2,FALSE)),"")</f>
        <v/>
      </c>
      <c r="U149" s="173"/>
      <c r="V149" s="179" t="str">
        <f>IF(U149="","",IF(VLOOKUP(U149,'G-3 Multipliers'!$L$3:$N$6,2,FALSE)=0,"Spatial Data Missing",VLOOKUP(U149,'G-3 Multipliers'!$L$3:$N$6,2,FALSE)))</f>
        <v/>
      </c>
      <c r="W149" s="260" t="str">
        <f>IF(U149="","",IF(VLOOKUP(U149,'G-3 Multipliers'!$L$3:$N$6,3,FALSE)=0,"Spatial Data Missing",VLOOKUP(U149,'G-3 Multipliers'!$L$3:$N$6,3,FALSE)))</f>
        <v/>
      </c>
      <c r="X149" s="171" t="str">
        <f>IFERROR(IF(OR(LEFT(O149,5)="Error",LEFT(N149,5)="Error",T149="Error"),"Check Data",IF(F149&lt;R149,INDEX('G-6 Hedgerow Data'!$S$3:$AE$14,MATCH(C149,'G-6 Hedgerow Data'!$B$3:$B$14,0),MATCH(M149,'G-6 Hedgerow Data'!$S$2:$AE$2,0)),INDEX('G-6 Hedgerow Data'!$K$3:$Q$14,MATCH(M149,'G-6 Hedgerow Data'!$B$3:$B$14,0),MATCH(O149,'G-6 Hedgerow Data'!$K$2:$Q$2,0)))),"")</f>
        <v/>
      </c>
      <c r="Y149" s="261"/>
      <c r="Z149" s="261"/>
      <c r="AA149" s="179" t="str">
        <f t="shared" si="19"/>
        <v/>
      </c>
      <c r="AB149" s="262" t="str">
        <f t="shared" si="20"/>
        <v/>
      </c>
      <c r="AC149" s="263" t="str">
        <f t="shared" si="17"/>
        <v/>
      </c>
      <c r="AD149" s="239" t="str">
        <f>IF(M149="","",VLOOKUP(M149,'G-6 Hedgerow Data'!$B$3:$AG$15,31,FALSE))</f>
        <v/>
      </c>
      <c r="AE149" s="175" t="str">
        <f t="shared" si="21"/>
        <v/>
      </c>
      <c r="AF149" s="175" t="str">
        <f t="shared" si="22"/>
        <v/>
      </c>
      <c r="AG149" s="176" t="str">
        <f>IFERROR(IF(O149="","",VLOOKUP(AD149,'G-3 Multipliers'!$P$3:$Q$6,2,FALSE)),"")</f>
        <v/>
      </c>
      <c r="AH149" s="266"/>
      <c r="AI149" s="172" t="str">
        <f>IF(AH149="","",IF(VLOOKUP(AH149,'G-3 Multipliers'!$S$3:$T$6,2,FALSE)=0,"Spatial Data Missing",VLOOKUP(AH149,'G-3 Multipliers'!$S$3:$T$6,2,FALSE)))</f>
        <v/>
      </c>
      <c r="AJ149" s="265" t="str">
        <f t="shared" si="23"/>
        <v/>
      </c>
      <c r="AK149" s="180"/>
      <c r="AL149" s="181"/>
      <c r="AP149" s="35" t="str">
        <f>IFERROR(INDEX('G-6 Hedgerow Data'!$BJ$3:$BJ$15,MATCH(M149,'G-6 Hedgerow Data'!$B$3:$B$15,0)),"")</f>
        <v/>
      </c>
    </row>
    <row r="150" spans="2:42" ht="13.8" x14ac:dyDescent="0.25">
      <c r="B150" s="259" t="str">
        <f>'E-1 Off Site Hedge Baseline'!AK148</f>
        <v/>
      </c>
      <c r="C150" s="175" t="str">
        <f>IF(B150="","",IF(ISNA(VLOOKUP($B150,'E-1 Off Site Hedge Baseline'!$B$1:$L$257,3,FALSE)),"",(VLOOKUP($B150,'E-1 Off Site Hedge Baseline'!$B$1:$L$257,3,FALSE))))</f>
        <v/>
      </c>
      <c r="D150" s="175" t="str">
        <f>IF(B150="","",IF(ISNA(VLOOKUP($B150,'E-1 Off Site Hedge Baseline'!$B$1:$L$258,4,FALSE)),"",(VLOOKUP($B150,'E-1 Off Site Hedge Baseline'!$B$1:$L$258,4,FALSE))))</f>
        <v/>
      </c>
      <c r="E150" s="175" t="str">
        <f>IF(B150="","",IF(ISNA(VLOOKUP($B150,'E-1 Off Site Hedge Baseline'!$B$1:$L$257,5,FALSE)),"",(VLOOKUP($B150,'E-1 Off Site Hedge Baseline'!$B$1:$L$257,5,FALSE))))</f>
        <v/>
      </c>
      <c r="F150" s="175" t="str">
        <f>IF(B150="","",IF(ISNA(VLOOKUP($B150,'E-1 Off Site Hedge Baseline'!$B$1:$L$257,6,FALSE)),"",(VLOOKUP($B150,'E-1 Off Site Hedge Baseline'!$B$1:$L$257,6,FALSE))))</f>
        <v/>
      </c>
      <c r="G150" s="175" t="str">
        <f>IF(B150="","",IF(ISNA(VLOOKUP($B150,'E-1 Off Site Hedge Baseline'!$B$1:$L$257,7,FALSE)),"",(VLOOKUP($B150,'E-1 Off Site Hedge Baseline'!$B$1:$L$257,7,FALSE))))</f>
        <v/>
      </c>
      <c r="H150" s="175" t="str">
        <f>IF(B150="","",IF(ISNA(VLOOKUP($B150,'E-1 Off Site Hedge Baseline'!$B$1:$L$257,8,FALSE)),"",(VLOOKUP($B150,'E-1 Off Site Hedge Baseline'!$B$1:$L$257,8,FALSE))))</f>
        <v/>
      </c>
      <c r="I150" s="175" t="str">
        <f>IF(B150="","",IF(ISNA(VLOOKUP($B150,'E-1 Off Site Hedge Baseline'!$B$1:$L$257,10,FALSE)),"",(VLOOKUP($B150,'E-1 Off Site Hedge Baseline'!$B$1:$L$257,10,FALSE))))</f>
        <v/>
      </c>
      <c r="J150" s="175" t="str">
        <f>IF(B150="","",IF(ISNA(VLOOKUP($B150,'E-1 Off Site Hedge Baseline'!$B$1:$L$257,11,FALSE)),"",(VLOOKUP($B150,'E-1 Off Site Hedge Baseline'!$B$1:$L$257,11,FALSE))))</f>
        <v/>
      </c>
      <c r="K150" s="175" t="str">
        <f>IF(B150="","",IF(ISNA(VLOOKUP($B150,'E-1 Off Site Hedge Baseline'!$B$1:$U$257,113,FALSE)),"",(VLOOKUP($B150,'E-1 Off Site Hedge Baseline'!$B$1:$U$257,13,FALSE))))</f>
        <v/>
      </c>
      <c r="L150" s="179" t="str">
        <f>IF(B150="","",IF(ISNA(VLOOKUP($B150,'E-1 Off Site Hedge Baseline'!$B$1:$U$257,12,FALSE)),"",(VLOOKUP($B150,'E-1 Off Site Hedge Baseline'!$B$1:$U$257,12,FALSE))))</f>
        <v/>
      </c>
      <c r="M150" s="639" t="str">
        <f t="shared" si="24"/>
        <v/>
      </c>
      <c r="N150" s="171" t="str">
        <f>IFERROR(IF(B150="","",INDEX('G-6 Hedgerow Data'!$AN$3:$AZ$15,MATCH(C150,'G-6 Hedgerow Data'!$AM$3:$AM$15,0),MATCH(M150,'G-6 Hedgerow Data'!$AN$2:$AZ$2,0))),"")</f>
        <v/>
      </c>
      <c r="O150" s="172" t="str">
        <f t="shared" si="18"/>
        <v/>
      </c>
      <c r="P150" s="260" t="str">
        <f>IF(B150="","",VLOOKUP(B150,'E-1 Off Site Hedge Baseline'!$B$10:T395,16,FALSE))</f>
        <v/>
      </c>
      <c r="Q150" s="171" t="str">
        <f>IF(M150="","",VLOOKUP(M150,'G-6 Hedgerow Data'!$B$2:$AG$15,2,FALSE))</f>
        <v/>
      </c>
      <c r="R150" s="172" t="str">
        <f>IF(M150="","",VLOOKUP(M150,'G-6 Hedgerow Data'!$B$2:$AG$15,3,FALSE))</f>
        <v/>
      </c>
      <c r="S150" s="173"/>
      <c r="T150" s="172" t="str">
        <f>IFERROR(IF(AND(Q150="V.Low",OR(S150="Good",S150="Moderate")),"Error",VLOOKUP(S150,'G-1 All Habitats'!$Z$2:$AA$9,2,FALSE)),"")</f>
        <v/>
      </c>
      <c r="U150" s="173"/>
      <c r="V150" s="179" t="str">
        <f>IF(U150="","",IF(VLOOKUP(U150,'G-3 Multipliers'!$L$3:$N$6,2,FALSE)=0,"Spatial Data Missing",VLOOKUP(U150,'G-3 Multipliers'!$L$3:$N$6,2,FALSE)))</f>
        <v/>
      </c>
      <c r="W150" s="260" t="str">
        <f>IF(U150="","",IF(VLOOKUP(U150,'G-3 Multipliers'!$L$3:$N$6,3,FALSE)=0,"Spatial Data Missing",VLOOKUP(U150,'G-3 Multipliers'!$L$3:$N$6,3,FALSE)))</f>
        <v/>
      </c>
      <c r="X150" s="171" t="str">
        <f>IFERROR(IF(OR(LEFT(O150,5)="Error",LEFT(N150,5)="Error",T150="Error"),"Check Data",IF(F150&lt;R150,INDEX('G-6 Hedgerow Data'!$S$3:$AE$14,MATCH(C150,'G-6 Hedgerow Data'!$B$3:$B$14,0),MATCH(M150,'G-6 Hedgerow Data'!$S$2:$AE$2,0)),INDEX('G-6 Hedgerow Data'!$K$3:$Q$14,MATCH(M150,'G-6 Hedgerow Data'!$B$3:$B$14,0),MATCH(O150,'G-6 Hedgerow Data'!$K$2:$Q$2,0)))),"")</f>
        <v/>
      </c>
      <c r="Y150" s="261"/>
      <c r="Z150" s="261"/>
      <c r="AA150" s="179" t="str">
        <f t="shared" si="19"/>
        <v/>
      </c>
      <c r="AB150" s="262" t="str">
        <f t="shared" si="20"/>
        <v/>
      </c>
      <c r="AC150" s="263" t="str">
        <f t="shared" si="17"/>
        <v/>
      </c>
      <c r="AD150" s="239" t="str">
        <f>IF(M150="","",VLOOKUP(M150,'G-6 Hedgerow Data'!$B$3:$AG$15,31,FALSE))</f>
        <v/>
      </c>
      <c r="AE150" s="175" t="str">
        <f t="shared" si="21"/>
        <v/>
      </c>
      <c r="AF150" s="175" t="str">
        <f t="shared" si="22"/>
        <v/>
      </c>
      <c r="AG150" s="176" t="str">
        <f>IFERROR(IF(O150="","",VLOOKUP(AD150,'G-3 Multipliers'!$P$3:$Q$6,2,FALSE)),"")</f>
        <v/>
      </c>
      <c r="AH150" s="266"/>
      <c r="AI150" s="172" t="str">
        <f>IF(AH150="","",IF(VLOOKUP(AH150,'G-3 Multipliers'!$S$3:$T$6,2,FALSE)=0,"Spatial Data Missing",VLOOKUP(AH150,'G-3 Multipliers'!$S$3:$T$6,2,FALSE)))</f>
        <v/>
      </c>
      <c r="AJ150" s="265" t="str">
        <f t="shared" si="23"/>
        <v/>
      </c>
      <c r="AK150" s="180"/>
      <c r="AL150" s="181"/>
      <c r="AP150" s="35" t="str">
        <f>IFERROR(INDEX('G-6 Hedgerow Data'!$BJ$3:$BJ$15,MATCH(M150,'G-6 Hedgerow Data'!$B$3:$B$15,0)),"")</f>
        <v/>
      </c>
    </row>
    <row r="151" spans="2:42" ht="13.8" x14ac:dyDescent="0.25">
      <c r="B151" s="259" t="str">
        <f>'E-1 Off Site Hedge Baseline'!AK149</f>
        <v/>
      </c>
      <c r="C151" s="175" t="str">
        <f>IF(B151="","",IF(ISNA(VLOOKUP($B151,'E-1 Off Site Hedge Baseline'!$B$1:$L$257,3,FALSE)),"",(VLOOKUP($B151,'E-1 Off Site Hedge Baseline'!$B$1:$L$257,3,FALSE))))</f>
        <v/>
      </c>
      <c r="D151" s="175" t="str">
        <f>IF(B151="","",IF(ISNA(VLOOKUP($B151,'E-1 Off Site Hedge Baseline'!$B$1:$L$258,4,FALSE)),"",(VLOOKUP($B151,'E-1 Off Site Hedge Baseline'!$B$1:$L$258,4,FALSE))))</f>
        <v/>
      </c>
      <c r="E151" s="175" t="str">
        <f>IF(B151="","",IF(ISNA(VLOOKUP($B151,'E-1 Off Site Hedge Baseline'!$B$1:$L$257,5,FALSE)),"",(VLOOKUP($B151,'E-1 Off Site Hedge Baseline'!$B$1:$L$257,5,FALSE))))</f>
        <v/>
      </c>
      <c r="F151" s="175" t="str">
        <f>IF(B151="","",IF(ISNA(VLOOKUP($B151,'E-1 Off Site Hedge Baseline'!$B$1:$L$257,6,FALSE)),"",(VLOOKUP($B151,'E-1 Off Site Hedge Baseline'!$B$1:$L$257,6,FALSE))))</f>
        <v/>
      </c>
      <c r="G151" s="175" t="str">
        <f>IF(B151="","",IF(ISNA(VLOOKUP($B151,'E-1 Off Site Hedge Baseline'!$B$1:$L$257,7,FALSE)),"",(VLOOKUP($B151,'E-1 Off Site Hedge Baseline'!$B$1:$L$257,7,FALSE))))</f>
        <v/>
      </c>
      <c r="H151" s="175" t="str">
        <f>IF(B151="","",IF(ISNA(VLOOKUP($B151,'E-1 Off Site Hedge Baseline'!$B$1:$L$257,8,FALSE)),"",(VLOOKUP($B151,'E-1 Off Site Hedge Baseline'!$B$1:$L$257,8,FALSE))))</f>
        <v/>
      </c>
      <c r="I151" s="175" t="str">
        <f>IF(B151="","",IF(ISNA(VLOOKUP($B151,'E-1 Off Site Hedge Baseline'!$B$1:$L$257,10,FALSE)),"",(VLOOKUP($B151,'E-1 Off Site Hedge Baseline'!$B$1:$L$257,10,FALSE))))</f>
        <v/>
      </c>
      <c r="J151" s="175" t="str">
        <f>IF(B151="","",IF(ISNA(VLOOKUP($B151,'E-1 Off Site Hedge Baseline'!$B$1:$L$257,11,FALSE)),"",(VLOOKUP($B151,'E-1 Off Site Hedge Baseline'!$B$1:$L$257,11,FALSE))))</f>
        <v/>
      </c>
      <c r="K151" s="175" t="str">
        <f>IF(B151="","",IF(ISNA(VLOOKUP($B151,'E-1 Off Site Hedge Baseline'!$B$1:$U$257,113,FALSE)),"",(VLOOKUP($B151,'E-1 Off Site Hedge Baseline'!$B$1:$U$257,13,FALSE))))</f>
        <v/>
      </c>
      <c r="L151" s="179" t="str">
        <f>IF(B151="","",IF(ISNA(VLOOKUP($B151,'E-1 Off Site Hedge Baseline'!$B$1:$U$257,12,FALSE)),"",(VLOOKUP($B151,'E-1 Off Site Hedge Baseline'!$B$1:$U$257,12,FALSE))))</f>
        <v/>
      </c>
      <c r="M151" s="639" t="str">
        <f t="shared" si="24"/>
        <v/>
      </c>
      <c r="N151" s="171" t="str">
        <f>IFERROR(IF(B151="","",INDEX('G-6 Hedgerow Data'!$AN$3:$AZ$15,MATCH(C151,'G-6 Hedgerow Data'!$AM$3:$AM$15,0),MATCH(M151,'G-6 Hedgerow Data'!$AN$2:$AZ$2,0))),"")</f>
        <v/>
      </c>
      <c r="O151" s="172" t="str">
        <f t="shared" si="18"/>
        <v/>
      </c>
      <c r="P151" s="260" t="str">
        <f>IF(B151="","",VLOOKUP(B151,'E-1 Off Site Hedge Baseline'!$B$10:T396,16,FALSE))</f>
        <v/>
      </c>
      <c r="Q151" s="171" t="str">
        <f>IF(M151="","",VLOOKUP(M151,'G-6 Hedgerow Data'!$B$2:$AG$15,2,FALSE))</f>
        <v/>
      </c>
      <c r="R151" s="172" t="str">
        <f>IF(M151="","",VLOOKUP(M151,'G-6 Hedgerow Data'!$B$2:$AG$15,3,FALSE))</f>
        <v/>
      </c>
      <c r="S151" s="173"/>
      <c r="T151" s="172" t="str">
        <f>IFERROR(IF(AND(Q151="V.Low",OR(S151="Good",S151="Moderate")),"Error",VLOOKUP(S151,'G-1 All Habitats'!$Z$2:$AA$9,2,FALSE)),"")</f>
        <v/>
      </c>
      <c r="U151" s="173"/>
      <c r="V151" s="179" t="str">
        <f>IF(U151="","",IF(VLOOKUP(U151,'G-3 Multipliers'!$L$3:$N$6,2,FALSE)=0,"Spatial Data Missing",VLOOKUP(U151,'G-3 Multipliers'!$L$3:$N$6,2,FALSE)))</f>
        <v/>
      </c>
      <c r="W151" s="260" t="str">
        <f>IF(U151="","",IF(VLOOKUP(U151,'G-3 Multipliers'!$L$3:$N$6,3,FALSE)=0,"Spatial Data Missing",VLOOKUP(U151,'G-3 Multipliers'!$L$3:$N$6,3,FALSE)))</f>
        <v/>
      </c>
      <c r="X151" s="171" t="str">
        <f>IFERROR(IF(OR(LEFT(O151,5)="Error",LEFT(N151,5)="Error",T151="Error"),"Check Data",IF(F151&lt;R151,INDEX('G-6 Hedgerow Data'!$S$3:$AE$14,MATCH(C151,'G-6 Hedgerow Data'!$B$3:$B$14,0),MATCH(M151,'G-6 Hedgerow Data'!$S$2:$AE$2,0)),INDEX('G-6 Hedgerow Data'!$K$3:$Q$14,MATCH(M151,'G-6 Hedgerow Data'!$B$3:$B$14,0),MATCH(O151,'G-6 Hedgerow Data'!$K$2:$Q$2,0)))),"")</f>
        <v/>
      </c>
      <c r="Y151" s="261"/>
      <c r="Z151" s="261"/>
      <c r="AA151" s="179" t="str">
        <f t="shared" si="19"/>
        <v/>
      </c>
      <c r="AB151" s="262" t="str">
        <f t="shared" si="20"/>
        <v/>
      </c>
      <c r="AC151" s="263" t="str">
        <f t="shared" si="17"/>
        <v/>
      </c>
      <c r="AD151" s="239" t="str">
        <f>IF(M151="","",VLOOKUP(M151,'G-6 Hedgerow Data'!$B$3:$AG$15,31,FALSE))</f>
        <v/>
      </c>
      <c r="AE151" s="175" t="str">
        <f t="shared" si="21"/>
        <v/>
      </c>
      <c r="AF151" s="175" t="str">
        <f t="shared" si="22"/>
        <v/>
      </c>
      <c r="AG151" s="176" t="str">
        <f>IFERROR(IF(O151="","",VLOOKUP(AD151,'G-3 Multipliers'!$P$3:$Q$6,2,FALSE)),"")</f>
        <v/>
      </c>
      <c r="AH151" s="266"/>
      <c r="AI151" s="172" t="str">
        <f>IF(AH151="","",IF(VLOOKUP(AH151,'G-3 Multipliers'!$S$3:$T$6,2,FALSE)=0,"Spatial Data Missing",VLOOKUP(AH151,'G-3 Multipliers'!$S$3:$T$6,2,FALSE)))</f>
        <v/>
      </c>
      <c r="AJ151" s="265" t="str">
        <f t="shared" si="23"/>
        <v/>
      </c>
      <c r="AK151" s="180"/>
      <c r="AL151" s="181"/>
      <c r="AP151" s="35" t="str">
        <f>IFERROR(INDEX('G-6 Hedgerow Data'!$BJ$3:$BJ$15,MATCH(M151,'G-6 Hedgerow Data'!$B$3:$B$15,0)),"")</f>
        <v/>
      </c>
    </row>
    <row r="152" spans="2:42" ht="13.8" x14ac:dyDescent="0.25">
      <c r="B152" s="259" t="str">
        <f>'E-1 Off Site Hedge Baseline'!AK150</f>
        <v/>
      </c>
      <c r="C152" s="175" t="str">
        <f>IF(B152="","",IF(ISNA(VLOOKUP($B152,'E-1 Off Site Hedge Baseline'!$B$1:$L$257,3,FALSE)),"",(VLOOKUP($B152,'E-1 Off Site Hedge Baseline'!$B$1:$L$257,3,FALSE))))</f>
        <v/>
      </c>
      <c r="D152" s="175" t="str">
        <f>IF(B152="","",IF(ISNA(VLOOKUP($B152,'E-1 Off Site Hedge Baseline'!$B$1:$L$258,4,FALSE)),"",(VLOOKUP($B152,'E-1 Off Site Hedge Baseline'!$B$1:$L$258,4,FALSE))))</f>
        <v/>
      </c>
      <c r="E152" s="175" t="str">
        <f>IF(B152="","",IF(ISNA(VLOOKUP($B152,'E-1 Off Site Hedge Baseline'!$B$1:$L$257,5,FALSE)),"",(VLOOKUP($B152,'E-1 Off Site Hedge Baseline'!$B$1:$L$257,5,FALSE))))</f>
        <v/>
      </c>
      <c r="F152" s="175" t="str">
        <f>IF(B152="","",IF(ISNA(VLOOKUP($B152,'E-1 Off Site Hedge Baseline'!$B$1:$L$257,6,FALSE)),"",(VLOOKUP($B152,'E-1 Off Site Hedge Baseline'!$B$1:$L$257,6,FALSE))))</f>
        <v/>
      </c>
      <c r="G152" s="175" t="str">
        <f>IF(B152="","",IF(ISNA(VLOOKUP($B152,'E-1 Off Site Hedge Baseline'!$B$1:$L$257,7,FALSE)),"",(VLOOKUP($B152,'E-1 Off Site Hedge Baseline'!$B$1:$L$257,7,FALSE))))</f>
        <v/>
      </c>
      <c r="H152" s="175" t="str">
        <f>IF(B152="","",IF(ISNA(VLOOKUP($B152,'E-1 Off Site Hedge Baseline'!$B$1:$L$257,8,FALSE)),"",(VLOOKUP($B152,'E-1 Off Site Hedge Baseline'!$B$1:$L$257,8,FALSE))))</f>
        <v/>
      </c>
      <c r="I152" s="175" t="str">
        <f>IF(B152="","",IF(ISNA(VLOOKUP($B152,'E-1 Off Site Hedge Baseline'!$B$1:$L$257,10,FALSE)),"",(VLOOKUP($B152,'E-1 Off Site Hedge Baseline'!$B$1:$L$257,10,FALSE))))</f>
        <v/>
      </c>
      <c r="J152" s="175" t="str">
        <f>IF(B152="","",IF(ISNA(VLOOKUP($B152,'E-1 Off Site Hedge Baseline'!$B$1:$L$257,11,FALSE)),"",(VLOOKUP($B152,'E-1 Off Site Hedge Baseline'!$B$1:$L$257,11,FALSE))))</f>
        <v/>
      </c>
      <c r="K152" s="175" t="str">
        <f>IF(B152="","",IF(ISNA(VLOOKUP($B152,'E-1 Off Site Hedge Baseline'!$B$1:$U$257,113,FALSE)),"",(VLOOKUP($B152,'E-1 Off Site Hedge Baseline'!$B$1:$U$257,13,FALSE))))</f>
        <v/>
      </c>
      <c r="L152" s="179" t="str">
        <f>IF(B152="","",IF(ISNA(VLOOKUP($B152,'E-1 Off Site Hedge Baseline'!$B$1:$U$257,12,FALSE)),"",(VLOOKUP($B152,'E-1 Off Site Hedge Baseline'!$B$1:$U$257,12,FALSE))))</f>
        <v/>
      </c>
      <c r="M152" s="639" t="str">
        <f t="shared" si="24"/>
        <v/>
      </c>
      <c r="N152" s="171" t="str">
        <f>IFERROR(IF(B152="","",INDEX('G-6 Hedgerow Data'!$AN$3:$AZ$15,MATCH(C152,'G-6 Hedgerow Data'!$AM$3:$AM$15,0),MATCH(M152,'G-6 Hedgerow Data'!$AN$2:$AZ$2,0))),"")</f>
        <v/>
      </c>
      <c r="O152" s="172" t="str">
        <f t="shared" si="18"/>
        <v/>
      </c>
      <c r="P152" s="260" t="str">
        <f>IF(B152="","",VLOOKUP(B152,'E-1 Off Site Hedge Baseline'!$B$10:T397,16,FALSE))</f>
        <v/>
      </c>
      <c r="Q152" s="171" t="str">
        <f>IF(M152="","",VLOOKUP(M152,'G-6 Hedgerow Data'!$B$2:$AG$15,2,FALSE))</f>
        <v/>
      </c>
      <c r="R152" s="172" t="str">
        <f>IF(M152="","",VLOOKUP(M152,'G-6 Hedgerow Data'!$B$2:$AG$15,3,FALSE))</f>
        <v/>
      </c>
      <c r="S152" s="173"/>
      <c r="T152" s="172" t="str">
        <f>IFERROR(IF(AND(Q152="V.Low",OR(S152="Good",S152="Moderate")),"Error",VLOOKUP(S152,'G-1 All Habitats'!$Z$2:$AA$9,2,FALSE)),"")</f>
        <v/>
      </c>
      <c r="U152" s="173"/>
      <c r="V152" s="179" t="str">
        <f>IF(U152="","",IF(VLOOKUP(U152,'G-3 Multipliers'!$L$3:$N$6,2,FALSE)=0,"Spatial Data Missing",VLOOKUP(U152,'G-3 Multipliers'!$L$3:$N$6,2,FALSE)))</f>
        <v/>
      </c>
      <c r="W152" s="260" t="str">
        <f>IF(U152="","",IF(VLOOKUP(U152,'G-3 Multipliers'!$L$3:$N$6,3,FALSE)=0,"Spatial Data Missing",VLOOKUP(U152,'G-3 Multipliers'!$L$3:$N$6,3,FALSE)))</f>
        <v/>
      </c>
      <c r="X152" s="171" t="str">
        <f>IFERROR(IF(OR(LEFT(O152,5)="Error",LEFT(N152,5)="Error",T152="Error"),"Check Data",IF(F152&lt;R152,INDEX('G-6 Hedgerow Data'!$S$3:$AE$14,MATCH(C152,'G-6 Hedgerow Data'!$B$3:$B$14,0),MATCH(M152,'G-6 Hedgerow Data'!$S$2:$AE$2,0)),INDEX('G-6 Hedgerow Data'!$K$3:$Q$14,MATCH(M152,'G-6 Hedgerow Data'!$B$3:$B$14,0),MATCH(O152,'G-6 Hedgerow Data'!$K$2:$Q$2,0)))),"")</f>
        <v/>
      </c>
      <c r="Y152" s="261"/>
      <c r="Z152" s="261"/>
      <c r="AA152" s="179" t="str">
        <f t="shared" si="19"/>
        <v/>
      </c>
      <c r="AB152" s="262" t="str">
        <f t="shared" si="20"/>
        <v/>
      </c>
      <c r="AC152" s="263" t="str">
        <f t="shared" si="17"/>
        <v/>
      </c>
      <c r="AD152" s="239" t="str">
        <f>IF(M152="","",VLOOKUP(M152,'G-6 Hedgerow Data'!$B$3:$AG$15,31,FALSE))</f>
        <v/>
      </c>
      <c r="AE152" s="175" t="str">
        <f t="shared" si="21"/>
        <v/>
      </c>
      <c r="AF152" s="175" t="str">
        <f t="shared" si="22"/>
        <v/>
      </c>
      <c r="AG152" s="176" t="str">
        <f>IFERROR(IF(O152="","",VLOOKUP(AD152,'G-3 Multipliers'!$P$3:$Q$6,2,FALSE)),"")</f>
        <v/>
      </c>
      <c r="AH152" s="266"/>
      <c r="AI152" s="172" t="str">
        <f>IF(AH152="","",IF(VLOOKUP(AH152,'G-3 Multipliers'!$S$3:$T$6,2,FALSE)=0,"Spatial Data Missing",VLOOKUP(AH152,'G-3 Multipliers'!$S$3:$T$6,2,FALSE)))</f>
        <v/>
      </c>
      <c r="AJ152" s="265" t="str">
        <f t="shared" si="23"/>
        <v/>
      </c>
      <c r="AK152" s="180"/>
      <c r="AL152" s="181"/>
      <c r="AP152" s="35" t="str">
        <f>IFERROR(INDEX('G-6 Hedgerow Data'!$BJ$3:$BJ$15,MATCH(M152,'G-6 Hedgerow Data'!$B$3:$B$15,0)),"")</f>
        <v/>
      </c>
    </row>
    <row r="153" spans="2:42" ht="13.8" x14ac:dyDescent="0.25">
      <c r="B153" s="259" t="str">
        <f>'E-1 Off Site Hedge Baseline'!AK151</f>
        <v/>
      </c>
      <c r="C153" s="175" t="str">
        <f>IF(B153="","",IF(ISNA(VLOOKUP($B153,'E-1 Off Site Hedge Baseline'!$B$1:$L$257,3,FALSE)),"",(VLOOKUP($B153,'E-1 Off Site Hedge Baseline'!$B$1:$L$257,3,FALSE))))</f>
        <v/>
      </c>
      <c r="D153" s="175" t="str">
        <f>IF(B153="","",IF(ISNA(VLOOKUP($B153,'E-1 Off Site Hedge Baseline'!$B$1:$L$258,4,FALSE)),"",(VLOOKUP($B153,'E-1 Off Site Hedge Baseline'!$B$1:$L$258,4,FALSE))))</f>
        <v/>
      </c>
      <c r="E153" s="175" t="str">
        <f>IF(B153="","",IF(ISNA(VLOOKUP($B153,'E-1 Off Site Hedge Baseline'!$B$1:$L$257,5,FALSE)),"",(VLOOKUP($B153,'E-1 Off Site Hedge Baseline'!$B$1:$L$257,5,FALSE))))</f>
        <v/>
      </c>
      <c r="F153" s="175" t="str">
        <f>IF(B153="","",IF(ISNA(VLOOKUP($B153,'E-1 Off Site Hedge Baseline'!$B$1:$L$257,6,FALSE)),"",(VLOOKUP($B153,'E-1 Off Site Hedge Baseline'!$B$1:$L$257,6,FALSE))))</f>
        <v/>
      </c>
      <c r="G153" s="175" t="str">
        <f>IF(B153="","",IF(ISNA(VLOOKUP($B153,'E-1 Off Site Hedge Baseline'!$B$1:$L$257,7,FALSE)),"",(VLOOKUP($B153,'E-1 Off Site Hedge Baseline'!$B$1:$L$257,7,FALSE))))</f>
        <v/>
      </c>
      <c r="H153" s="175" t="str">
        <f>IF(B153="","",IF(ISNA(VLOOKUP($B153,'E-1 Off Site Hedge Baseline'!$B$1:$L$257,8,FALSE)),"",(VLOOKUP($B153,'E-1 Off Site Hedge Baseline'!$B$1:$L$257,8,FALSE))))</f>
        <v/>
      </c>
      <c r="I153" s="175" t="str">
        <f>IF(B153="","",IF(ISNA(VLOOKUP($B153,'E-1 Off Site Hedge Baseline'!$B$1:$L$257,10,FALSE)),"",(VLOOKUP($B153,'E-1 Off Site Hedge Baseline'!$B$1:$L$257,10,FALSE))))</f>
        <v/>
      </c>
      <c r="J153" s="175" t="str">
        <f>IF(B153="","",IF(ISNA(VLOOKUP($B153,'E-1 Off Site Hedge Baseline'!$B$1:$L$257,11,FALSE)),"",(VLOOKUP($B153,'E-1 Off Site Hedge Baseline'!$B$1:$L$257,11,FALSE))))</f>
        <v/>
      </c>
      <c r="K153" s="175" t="str">
        <f>IF(B153="","",IF(ISNA(VLOOKUP($B153,'E-1 Off Site Hedge Baseline'!$B$1:$U$257,113,FALSE)),"",(VLOOKUP($B153,'E-1 Off Site Hedge Baseline'!$B$1:$U$257,13,FALSE))))</f>
        <v/>
      </c>
      <c r="L153" s="179" t="str">
        <f>IF(B153="","",IF(ISNA(VLOOKUP($B153,'E-1 Off Site Hedge Baseline'!$B$1:$U$257,12,FALSE)),"",(VLOOKUP($B153,'E-1 Off Site Hedge Baseline'!$B$1:$U$257,12,FALSE))))</f>
        <v/>
      </c>
      <c r="M153" s="639" t="str">
        <f t="shared" si="24"/>
        <v/>
      </c>
      <c r="N153" s="171" t="str">
        <f>IFERROR(IF(B153="","",INDEX('G-6 Hedgerow Data'!$AN$3:$AZ$15,MATCH(C153,'G-6 Hedgerow Data'!$AM$3:$AM$15,0),MATCH(M153,'G-6 Hedgerow Data'!$AN$2:$AZ$2,0))),"")</f>
        <v/>
      </c>
      <c r="O153" s="172" t="str">
        <f t="shared" si="18"/>
        <v/>
      </c>
      <c r="P153" s="260" t="str">
        <f>IF(B153="","",VLOOKUP(B153,'E-1 Off Site Hedge Baseline'!$B$10:T398,16,FALSE))</f>
        <v/>
      </c>
      <c r="Q153" s="171" t="str">
        <f>IF(M153="","",VLOOKUP(M153,'G-6 Hedgerow Data'!$B$2:$AG$15,2,FALSE))</f>
        <v/>
      </c>
      <c r="R153" s="172" t="str">
        <f>IF(M153="","",VLOOKUP(M153,'G-6 Hedgerow Data'!$B$2:$AG$15,3,FALSE))</f>
        <v/>
      </c>
      <c r="S153" s="173"/>
      <c r="T153" s="172" t="str">
        <f>IFERROR(IF(AND(Q153="V.Low",OR(S153="Good",S153="Moderate")),"Error",VLOOKUP(S153,'G-1 All Habitats'!$Z$2:$AA$9,2,FALSE)),"")</f>
        <v/>
      </c>
      <c r="U153" s="173"/>
      <c r="V153" s="179" t="str">
        <f>IF(U153="","",IF(VLOOKUP(U153,'G-3 Multipliers'!$L$3:$N$6,2,FALSE)=0,"Spatial Data Missing",VLOOKUP(U153,'G-3 Multipliers'!$L$3:$N$6,2,FALSE)))</f>
        <v/>
      </c>
      <c r="W153" s="260" t="str">
        <f>IF(U153="","",IF(VLOOKUP(U153,'G-3 Multipliers'!$L$3:$N$6,3,FALSE)=0,"Spatial Data Missing",VLOOKUP(U153,'G-3 Multipliers'!$L$3:$N$6,3,FALSE)))</f>
        <v/>
      </c>
      <c r="X153" s="171" t="str">
        <f>IFERROR(IF(OR(LEFT(O153,5)="Error",LEFT(N153,5)="Error",T153="Error"),"Check Data",IF(F153&lt;R153,INDEX('G-6 Hedgerow Data'!$S$3:$AE$14,MATCH(C153,'G-6 Hedgerow Data'!$B$3:$B$14,0),MATCH(M153,'G-6 Hedgerow Data'!$S$2:$AE$2,0)),INDEX('G-6 Hedgerow Data'!$K$3:$Q$14,MATCH(M153,'G-6 Hedgerow Data'!$B$3:$B$14,0),MATCH(O153,'G-6 Hedgerow Data'!$K$2:$Q$2,0)))),"")</f>
        <v/>
      </c>
      <c r="Y153" s="261"/>
      <c r="Z153" s="261"/>
      <c r="AA153" s="179" t="str">
        <f t="shared" si="19"/>
        <v/>
      </c>
      <c r="AB153" s="262" t="str">
        <f t="shared" si="20"/>
        <v/>
      </c>
      <c r="AC153" s="263" t="str">
        <f t="shared" si="17"/>
        <v/>
      </c>
      <c r="AD153" s="239" t="str">
        <f>IF(M153="","",VLOOKUP(M153,'G-6 Hedgerow Data'!$B$3:$AG$15,31,FALSE))</f>
        <v/>
      </c>
      <c r="AE153" s="175" t="str">
        <f t="shared" si="21"/>
        <v/>
      </c>
      <c r="AF153" s="175" t="str">
        <f t="shared" si="22"/>
        <v/>
      </c>
      <c r="AG153" s="176" t="str">
        <f>IFERROR(IF(O153="","",VLOOKUP(AD153,'G-3 Multipliers'!$P$3:$Q$6,2,FALSE)),"")</f>
        <v/>
      </c>
      <c r="AH153" s="266"/>
      <c r="AI153" s="172" t="str">
        <f>IF(AH153="","",IF(VLOOKUP(AH153,'G-3 Multipliers'!$S$3:$T$6,2,FALSE)=0,"Spatial Data Missing",VLOOKUP(AH153,'G-3 Multipliers'!$S$3:$T$6,2,FALSE)))</f>
        <v/>
      </c>
      <c r="AJ153" s="265" t="str">
        <f t="shared" si="23"/>
        <v/>
      </c>
      <c r="AK153" s="180"/>
      <c r="AL153" s="181"/>
      <c r="AP153" s="35" t="str">
        <f>IFERROR(INDEX('G-6 Hedgerow Data'!$BJ$3:$BJ$15,MATCH(M153,'G-6 Hedgerow Data'!$B$3:$B$15,0)),"")</f>
        <v/>
      </c>
    </row>
    <row r="154" spans="2:42" ht="13.8" x14ac:dyDescent="0.25">
      <c r="B154" s="259" t="str">
        <f>'E-1 Off Site Hedge Baseline'!AK152</f>
        <v/>
      </c>
      <c r="C154" s="175" t="str">
        <f>IF(B154="","",IF(ISNA(VLOOKUP($B154,'E-1 Off Site Hedge Baseline'!$B$1:$L$257,3,FALSE)),"",(VLOOKUP($B154,'E-1 Off Site Hedge Baseline'!$B$1:$L$257,3,FALSE))))</f>
        <v/>
      </c>
      <c r="D154" s="175" t="str">
        <f>IF(B154="","",IF(ISNA(VLOOKUP($B154,'E-1 Off Site Hedge Baseline'!$B$1:$L$258,4,FALSE)),"",(VLOOKUP($B154,'E-1 Off Site Hedge Baseline'!$B$1:$L$258,4,FALSE))))</f>
        <v/>
      </c>
      <c r="E154" s="175" t="str">
        <f>IF(B154="","",IF(ISNA(VLOOKUP($B154,'E-1 Off Site Hedge Baseline'!$B$1:$L$257,5,FALSE)),"",(VLOOKUP($B154,'E-1 Off Site Hedge Baseline'!$B$1:$L$257,5,FALSE))))</f>
        <v/>
      </c>
      <c r="F154" s="175" t="str">
        <f>IF(B154="","",IF(ISNA(VLOOKUP($B154,'E-1 Off Site Hedge Baseline'!$B$1:$L$257,6,FALSE)),"",(VLOOKUP($B154,'E-1 Off Site Hedge Baseline'!$B$1:$L$257,6,FALSE))))</f>
        <v/>
      </c>
      <c r="G154" s="175" t="str">
        <f>IF(B154="","",IF(ISNA(VLOOKUP($B154,'E-1 Off Site Hedge Baseline'!$B$1:$L$257,7,FALSE)),"",(VLOOKUP($B154,'E-1 Off Site Hedge Baseline'!$B$1:$L$257,7,FALSE))))</f>
        <v/>
      </c>
      <c r="H154" s="175" t="str">
        <f>IF(B154="","",IF(ISNA(VLOOKUP($B154,'E-1 Off Site Hedge Baseline'!$B$1:$L$257,8,FALSE)),"",(VLOOKUP($B154,'E-1 Off Site Hedge Baseline'!$B$1:$L$257,8,FALSE))))</f>
        <v/>
      </c>
      <c r="I154" s="175" t="str">
        <f>IF(B154="","",IF(ISNA(VLOOKUP($B154,'E-1 Off Site Hedge Baseline'!$B$1:$L$257,10,FALSE)),"",(VLOOKUP($B154,'E-1 Off Site Hedge Baseline'!$B$1:$L$257,10,FALSE))))</f>
        <v/>
      </c>
      <c r="J154" s="175" t="str">
        <f>IF(B154="","",IF(ISNA(VLOOKUP($B154,'E-1 Off Site Hedge Baseline'!$B$1:$L$257,11,FALSE)),"",(VLOOKUP($B154,'E-1 Off Site Hedge Baseline'!$B$1:$L$257,11,FALSE))))</f>
        <v/>
      </c>
      <c r="K154" s="175" t="str">
        <f>IF(B154="","",IF(ISNA(VLOOKUP($B154,'E-1 Off Site Hedge Baseline'!$B$1:$U$257,113,FALSE)),"",(VLOOKUP($B154,'E-1 Off Site Hedge Baseline'!$B$1:$U$257,13,FALSE))))</f>
        <v/>
      </c>
      <c r="L154" s="179" t="str">
        <f>IF(B154="","",IF(ISNA(VLOOKUP($B154,'E-1 Off Site Hedge Baseline'!$B$1:$U$257,12,FALSE)),"",(VLOOKUP($B154,'E-1 Off Site Hedge Baseline'!$B$1:$U$257,12,FALSE))))</f>
        <v/>
      </c>
      <c r="M154" s="639" t="str">
        <f t="shared" si="24"/>
        <v/>
      </c>
      <c r="N154" s="171" t="str">
        <f>IFERROR(IF(B154="","",INDEX('G-6 Hedgerow Data'!$AN$3:$AZ$15,MATCH(C154,'G-6 Hedgerow Data'!$AM$3:$AM$15,0),MATCH(M154,'G-6 Hedgerow Data'!$AN$2:$AZ$2,0))),"")</f>
        <v/>
      </c>
      <c r="O154" s="172" t="str">
        <f t="shared" si="18"/>
        <v/>
      </c>
      <c r="P154" s="260" t="str">
        <f>IF(B154="","",VLOOKUP(B154,'E-1 Off Site Hedge Baseline'!$B$10:T399,16,FALSE))</f>
        <v/>
      </c>
      <c r="Q154" s="171" t="str">
        <f>IF(M154="","",VLOOKUP(M154,'G-6 Hedgerow Data'!$B$2:$AG$15,2,FALSE))</f>
        <v/>
      </c>
      <c r="R154" s="172" t="str">
        <f>IF(M154="","",VLOOKUP(M154,'G-6 Hedgerow Data'!$B$2:$AG$15,3,FALSE))</f>
        <v/>
      </c>
      <c r="S154" s="173"/>
      <c r="T154" s="172" t="str">
        <f>IFERROR(IF(AND(Q154="V.Low",OR(S154="Good",S154="Moderate")),"Error",VLOOKUP(S154,'G-1 All Habitats'!$Z$2:$AA$9,2,FALSE)),"")</f>
        <v/>
      </c>
      <c r="U154" s="173"/>
      <c r="V154" s="179" t="str">
        <f>IF(U154="","",IF(VLOOKUP(U154,'G-3 Multipliers'!$L$3:$N$6,2,FALSE)=0,"Spatial Data Missing",VLOOKUP(U154,'G-3 Multipliers'!$L$3:$N$6,2,FALSE)))</f>
        <v/>
      </c>
      <c r="W154" s="260" t="str">
        <f>IF(U154="","",IF(VLOOKUP(U154,'G-3 Multipliers'!$L$3:$N$6,3,FALSE)=0,"Spatial Data Missing",VLOOKUP(U154,'G-3 Multipliers'!$L$3:$N$6,3,FALSE)))</f>
        <v/>
      </c>
      <c r="X154" s="171" t="str">
        <f>IFERROR(IF(OR(LEFT(O154,5)="Error",LEFT(N154,5)="Error",T154="Error"),"Check Data",IF(F154&lt;R154,INDEX('G-6 Hedgerow Data'!$S$3:$AE$14,MATCH(C154,'G-6 Hedgerow Data'!$B$3:$B$14,0),MATCH(M154,'G-6 Hedgerow Data'!$S$2:$AE$2,0)),INDEX('G-6 Hedgerow Data'!$K$3:$Q$14,MATCH(M154,'G-6 Hedgerow Data'!$B$3:$B$14,0),MATCH(O154,'G-6 Hedgerow Data'!$K$2:$Q$2,0)))),"")</f>
        <v/>
      </c>
      <c r="Y154" s="261"/>
      <c r="Z154" s="261"/>
      <c r="AA154" s="179" t="str">
        <f t="shared" si="19"/>
        <v/>
      </c>
      <c r="AB154" s="262" t="str">
        <f t="shared" si="20"/>
        <v/>
      </c>
      <c r="AC154" s="263" t="str">
        <f t="shared" si="17"/>
        <v/>
      </c>
      <c r="AD154" s="239" t="str">
        <f>IF(M154="","",VLOOKUP(M154,'G-6 Hedgerow Data'!$B$3:$AG$15,31,FALSE))</f>
        <v/>
      </c>
      <c r="AE154" s="175" t="str">
        <f t="shared" si="21"/>
        <v/>
      </c>
      <c r="AF154" s="175" t="str">
        <f t="shared" si="22"/>
        <v/>
      </c>
      <c r="AG154" s="176" t="str">
        <f>IFERROR(IF(O154="","",VLOOKUP(AD154,'G-3 Multipliers'!$P$3:$Q$6,2,FALSE)),"")</f>
        <v/>
      </c>
      <c r="AH154" s="266"/>
      <c r="AI154" s="172" t="str">
        <f>IF(AH154="","",IF(VLOOKUP(AH154,'G-3 Multipliers'!$S$3:$T$6,2,FALSE)=0,"Spatial Data Missing",VLOOKUP(AH154,'G-3 Multipliers'!$S$3:$T$6,2,FALSE)))</f>
        <v/>
      </c>
      <c r="AJ154" s="265" t="str">
        <f t="shared" si="23"/>
        <v/>
      </c>
      <c r="AK154" s="180"/>
      <c r="AL154" s="181"/>
      <c r="AP154" s="35" t="str">
        <f>IFERROR(INDEX('G-6 Hedgerow Data'!$BJ$3:$BJ$15,MATCH(M154,'G-6 Hedgerow Data'!$B$3:$B$15,0)),"")</f>
        <v/>
      </c>
    </row>
    <row r="155" spans="2:42" ht="13.8" x14ac:dyDescent="0.25">
      <c r="B155" s="259" t="str">
        <f>'E-1 Off Site Hedge Baseline'!AK153</f>
        <v/>
      </c>
      <c r="C155" s="175" t="str">
        <f>IF(B155="","",IF(ISNA(VLOOKUP($B155,'E-1 Off Site Hedge Baseline'!$B$1:$L$257,3,FALSE)),"",(VLOOKUP($B155,'E-1 Off Site Hedge Baseline'!$B$1:$L$257,3,FALSE))))</f>
        <v/>
      </c>
      <c r="D155" s="175" t="str">
        <f>IF(B155="","",IF(ISNA(VLOOKUP($B155,'E-1 Off Site Hedge Baseline'!$B$1:$L$258,4,FALSE)),"",(VLOOKUP($B155,'E-1 Off Site Hedge Baseline'!$B$1:$L$258,4,FALSE))))</f>
        <v/>
      </c>
      <c r="E155" s="175" t="str">
        <f>IF(B155="","",IF(ISNA(VLOOKUP($B155,'E-1 Off Site Hedge Baseline'!$B$1:$L$257,5,FALSE)),"",(VLOOKUP($B155,'E-1 Off Site Hedge Baseline'!$B$1:$L$257,5,FALSE))))</f>
        <v/>
      </c>
      <c r="F155" s="175" t="str">
        <f>IF(B155="","",IF(ISNA(VLOOKUP($B155,'E-1 Off Site Hedge Baseline'!$B$1:$L$257,6,FALSE)),"",(VLOOKUP($B155,'E-1 Off Site Hedge Baseline'!$B$1:$L$257,6,FALSE))))</f>
        <v/>
      </c>
      <c r="G155" s="175" t="str">
        <f>IF(B155="","",IF(ISNA(VLOOKUP($B155,'E-1 Off Site Hedge Baseline'!$B$1:$L$257,7,FALSE)),"",(VLOOKUP($B155,'E-1 Off Site Hedge Baseline'!$B$1:$L$257,7,FALSE))))</f>
        <v/>
      </c>
      <c r="H155" s="175" t="str">
        <f>IF(B155="","",IF(ISNA(VLOOKUP($B155,'E-1 Off Site Hedge Baseline'!$B$1:$L$257,8,FALSE)),"",(VLOOKUP($B155,'E-1 Off Site Hedge Baseline'!$B$1:$L$257,8,FALSE))))</f>
        <v/>
      </c>
      <c r="I155" s="175" t="str">
        <f>IF(B155="","",IF(ISNA(VLOOKUP($B155,'E-1 Off Site Hedge Baseline'!$B$1:$L$257,10,FALSE)),"",(VLOOKUP($B155,'E-1 Off Site Hedge Baseline'!$B$1:$L$257,10,FALSE))))</f>
        <v/>
      </c>
      <c r="J155" s="175" t="str">
        <f>IF(B155="","",IF(ISNA(VLOOKUP($B155,'E-1 Off Site Hedge Baseline'!$B$1:$L$257,11,FALSE)),"",(VLOOKUP($B155,'E-1 Off Site Hedge Baseline'!$B$1:$L$257,11,FALSE))))</f>
        <v/>
      </c>
      <c r="K155" s="175" t="str">
        <f>IF(B155="","",IF(ISNA(VLOOKUP($B155,'E-1 Off Site Hedge Baseline'!$B$1:$U$257,113,FALSE)),"",(VLOOKUP($B155,'E-1 Off Site Hedge Baseline'!$B$1:$U$257,13,FALSE))))</f>
        <v/>
      </c>
      <c r="L155" s="179" t="str">
        <f>IF(B155="","",IF(ISNA(VLOOKUP($B155,'E-1 Off Site Hedge Baseline'!$B$1:$U$257,12,FALSE)),"",(VLOOKUP($B155,'E-1 Off Site Hedge Baseline'!$B$1:$U$257,12,FALSE))))</f>
        <v/>
      </c>
      <c r="M155" s="639" t="str">
        <f t="shared" si="24"/>
        <v/>
      </c>
      <c r="N155" s="171" t="str">
        <f>IFERROR(IF(B155="","",INDEX('G-6 Hedgerow Data'!$AN$3:$AZ$15,MATCH(C155,'G-6 Hedgerow Data'!$AM$3:$AM$15,0),MATCH(M155,'G-6 Hedgerow Data'!$AN$2:$AZ$2,0))),"")</f>
        <v/>
      </c>
      <c r="O155" s="172" t="str">
        <f t="shared" si="18"/>
        <v/>
      </c>
      <c r="P155" s="260" t="str">
        <f>IF(B155="","",VLOOKUP(B155,'E-1 Off Site Hedge Baseline'!$B$10:T400,16,FALSE))</f>
        <v/>
      </c>
      <c r="Q155" s="171" t="str">
        <f>IF(M155="","",VLOOKUP(M155,'G-6 Hedgerow Data'!$B$2:$AG$15,2,FALSE))</f>
        <v/>
      </c>
      <c r="R155" s="172" t="str">
        <f>IF(M155="","",VLOOKUP(M155,'G-6 Hedgerow Data'!$B$2:$AG$15,3,FALSE))</f>
        <v/>
      </c>
      <c r="S155" s="173"/>
      <c r="T155" s="172" t="str">
        <f>IFERROR(IF(AND(Q155="V.Low",OR(S155="Good",S155="Moderate")),"Error",VLOOKUP(S155,'G-1 All Habitats'!$Z$2:$AA$9,2,FALSE)),"")</f>
        <v/>
      </c>
      <c r="U155" s="173"/>
      <c r="V155" s="179" t="str">
        <f>IF(U155="","",IF(VLOOKUP(U155,'G-3 Multipliers'!$L$3:$N$6,2,FALSE)=0,"Spatial Data Missing",VLOOKUP(U155,'G-3 Multipliers'!$L$3:$N$6,2,FALSE)))</f>
        <v/>
      </c>
      <c r="W155" s="260" t="str">
        <f>IF(U155="","",IF(VLOOKUP(U155,'G-3 Multipliers'!$L$3:$N$6,3,FALSE)=0,"Spatial Data Missing",VLOOKUP(U155,'G-3 Multipliers'!$L$3:$N$6,3,FALSE)))</f>
        <v/>
      </c>
      <c r="X155" s="171" t="str">
        <f>IFERROR(IF(OR(LEFT(O155,5)="Error",LEFT(N155,5)="Error",T155="Error"),"Check Data",IF(F155&lt;R155,INDEX('G-6 Hedgerow Data'!$S$3:$AE$14,MATCH(C155,'G-6 Hedgerow Data'!$B$3:$B$14,0),MATCH(M155,'G-6 Hedgerow Data'!$S$2:$AE$2,0)),INDEX('G-6 Hedgerow Data'!$K$3:$Q$14,MATCH(M155,'G-6 Hedgerow Data'!$B$3:$B$14,0),MATCH(O155,'G-6 Hedgerow Data'!$K$2:$Q$2,0)))),"")</f>
        <v/>
      </c>
      <c r="Y155" s="261"/>
      <c r="Z155" s="261"/>
      <c r="AA155" s="179" t="str">
        <f t="shared" si="19"/>
        <v/>
      </c>
      <c r="AB155" s="262" t="str">
        <f t="shared" si="20"/>
        <v/>
      </c>
      <c r="AC155" s="263" t="str">
        <f t="shared" si="17"/>
        <v/>
      </c>
      <c r="AD155" s="239" t="str">
        <f>IF(M155="","",VLOOKUP(M155,'G-6 Hedgerow Data'!$B$3:$AG$15,31,FALSE))</f>
        <v/>
      </c>
      <c r="AE155" s="175" t="str">
        <f t="shared" si="21"/>
        <v/>
      </c>
      <c r="AF155" s="175" t="str">
        <f t="shared" si="22"/>
        <v/>
      </c>
      <c r="AG155" s="176" t="str">
        <f>IFERROR(IF(O155="","",VLOOKUP(AD155,'G-3 Multipliers'!$P$3:$Q$6,2,FALSE)),"")</f>
        <v/>
      </c>
      <c r="AH155" s="266"/>
      <c r="AI155" s="172" t="str">
        <f>IF(AH155="","",IF(VLOOKUP(AH155,'G-3 Multipliers'!$S$3:$T$6,2,FALSE)=0,"Spatial Data Missing",VLOOKUP(AH155,'G-3 Multipliers'!$S$3:$T$6,2,FALSE)))</f>
        <v/>
      </c>
      <c r="AJ155" s="265" t="str">
        <f t="shared" si="23"/>
        <v/>
      </c>
      <c r="AK155" s="180"/>
      <c r="AL155" s="181"/>
      <c r="AP155" s="35" t="str">
        <f>IFERROR(INDEX('G-6 Hedgerow Data'!$BJ$3:$BJ$15,MATCH(M155,'G-6 Hedgerow Data'!$B$3:$B$15,0)),"")</f>
        <v/>
      </c>
    </row>
    <row r="156" spans="2:42" ht="13.8" x14ac:dyDescent="0.25">
      <c r="B156" s="259" t="str">
        <f>'E-1 Off Site Hedge Baseline'!AK154</f>
        <v/>
      </c>
      <c r="C156" s="175" t="str">
        <f>IF(B156="","",IF(ISNA(VLOOKUP($B156,'E-1 Off Site Hedge Baseline'!$B$1:$L$257,3,FALSE)),"",(VLOOKUP($B156,'E-1 Off Site Hedge Baseline'!$B$1:$L$257,3,FALSE))))</f>
        <v/>
      </c>
      <c r="D156" s="175" t="str">
        <f>IF(B156="","",IF(ISNA(VLOOKUP($B156,'E-1 Off Site Hedge Baseline'!$B$1:$L$258,4,FALSE)),"",(VLOOKUP($B156,'E-1 Off Site Hedge Baseline'!$B$1:$L$258,4,FALSE))))</f>
        <v/>
      </c>
      <c r="E156" s="175" t="str">
        <f>IF(B156="","",IF(ISNA(VLOOKUP($B156,'E-1 Off Site Hedge Baseline'!$B$1:$L$257,5,FALSE)),"",(VLOOKUP($B156,'E-1 Off Site Hedge Baseline'!$B$1:$L$257,5,FALSE))))</f>
        <v/>
      </c>
      <c r="F156" s="175" t="str">
        <f>IF(B156="","",IF(ISNA(VLOOKUP($B156,'E-1 Off Site Hedge Baseline'!$B$1:$L$257,6,FALSE)),"",(VLOOKUP($B156,'E-1 Off Site Hedge Baseline'!$B$1:$L$257,6,FALSE))))</f>
        <v/>
      </c>
      <c r="G156" s="175" t="str">
        <f>IF(B156="","",IF(ISNA(VLOOKUP($B156,'E-1 Off Site Hedge Baseline'!$B$1:$L$257,7,FALSE)),"",(VLOOKUP($B156,'E-1 Off Site Hedge Baseline'!$B$1:$L$257,7,FALSE))))</f>
        <v/>
      </c>
      <c r="H156" s="175" t="str">
        <f>IF(B156="","",IF(ISNA(VLOOKUP($B156,'E-1 Off Site Hedge Baseline'!$B$1:$L$257,8,FALSE)),"",(VLOOKUP($B156,'E-1 Off Site Hedge Baseline'!$B$1:$L$257,8,FALSE))))</f>
        <v/>
      </c>
      <c r="I156" s="175" t="str">
        <f>IF(B156="","",IF(ISNA(VLOOKUP($B156,'E-1 Off Site Hedge Baseline'!$B$1:$L$257,10,FALSE)),"",(VLOOKUP($B156,'E-1 Off Site Hedge Baseline'!$B$1:$L$257,10,FALSE))))</f>
        <v/>
      </c>
      <c r="J156" s="175" t="str">
        <f>IF(B156="","",IF(ISNA(VLOOKUP($B156,'E-1 Off Site Hedge Baseline'!$B$1:$L$257,11,FALSE)),"",(VLOOKUP($B156,'E-1 Off Site Hedge Baseline'!$B$1:$L$257,11,FALSE))))</f>
        <v/>
      </c>
      <c r="K156" s="175" t="str">
        <f>IF(B156="","",IF(ISNA(VLOOKUP($B156,'E-1 Off Site Hedge Baseline'!$B$1:$U$257,113,FALSE)),"",(VLOOKUP($B156,'E-1 Off Site Hedge Baseline'!$B$1:$U$257,13,FALSE))))</f>
        <v/>
      </c>
      <c r="L156" s="179" t="str">
        <f>IF(B156="","",IF(ISNA(VLOOKUP($B156,'E-1 Off Site Hedge Baseline'!$B$1:$U$257,12,FALSE)),"",(VLOOKUP($B156,'E-1 Off Site Hedge Baseline'!$B$1:$U$257,12,FALSE))))</f>
        <v/>
      </c>
      <c r="M156" s="639" t="str">
        <f t="shared" si="24"/>
        <v/>
      </c>
      <c r="N156" s="171" t="str">
        <f>IFERROR(IF(B156="","",INDEX('G-6 Hedgerow Data'!$AN$3:$AZ$15,MATCH(C156,'G-6 Hedgerow Data'!$AM$3:$AM$15,0),MATCH(M156,'G-6 Hedgerow Data'!$AN$2:$AZ$2,0))),"")</f>
        <v/>
      </c>
      <c r="O156" s="172" t="str">
        <f t="shared" si="18"/>
        <v/>
      </c>
      <c r="P156" s="260" t="str">
        <f>IF(B156="","",VLOOKUP(B156,'E-1 Off Site Hedge Baseline'!$B$10:T401,16,FALSE))</f>
        <v/>
      </c>
      <c r="Q156" s="171" t="str">
        <f>IF(M156="","",VLOOKUP(M156,'G-6 Hedgerow Data'!$B$2:$AG$15,2,FALSE))</f>
        <v/>
      </c>
      <c r="R156" s="172" t="str">
        <f>IF(M156="","",VLOOKUP(M156,'G-6 Hedgerow Data'!$B$2:$AG$15,3,FALSE))</f>
        <v/>
      </c>
      <c r="S156" s="173"/>
      <c r="T156" s="172" t="str">
        <f>IFERROR(IF(AND(Q156="V.Low",OR(S156="Good",S156="Moderate")),"Error",VLOOKUP(S156,'G-1 All Habitats'!$Z$2:$AA$9,2,FALSE)),"")</f>
        <v/>
      </c>
      <c r="U156" s="173"/>
      <c r="V156" s="179" t="str">
        <f>IF(U156="","",IF(VLOOKUP(U156,'G-3 Multipliers'!$L$3:$N$6,2,FALSE)=0,"Spatial Data Missing",VLOOKUP(U156,'G-3 Multipliers'!$L$3:$N$6,2,FALSE)))</f>
        <v/>
      </c>
      <c r="W156" s="260" t="str">
        <f>IF(U156="","",IF(VLOOKUP(U156,'G-3 Multipliers'!$L$3:$N$6,3,FALSE)=0,"Spatial Data Missing",VLOOKUP(U156,'G-3 Multipliers'!$L$3:$N$6,3,FALSE)))</f>
        <v/>
      </c>
      <c r="X156" s="171" t="str">
        <f>IFERROR(IF(OR(LEFT(O156,5)="Error",LEFT(N156,5)="Error",T156="Error"),"Check Data",IF(F156&lt;R156,INDEX('G-6 Hedgerow Data'!$S$3:$AE$14,MATCH(C156,'G-6 Hedgerow Data'!$B$3:$B$14,0),MATCH(M156,'G-6 Hedgerow Data'!$S$2:$AE$2,0)),INDEX('G-6 Hedgerow Data'!$K$3:$Q$14,MATCH(M156,'G-6 Hedgerow Data'!$B$3:$B$14,0),MATCH(O156,'G-6 Hedgerow Data'!$K$2:$Q$2,0)))),"")</f>
        <v/>
      </c>
      <c r="Y156" s="261"/>
      <c r="Z156" s="261"/>
      <c r="AA156" s="179" t="str">
        <f t="shared" si="19"/>
        <v/>
      </c>
      <c r="AB156" s="262" t="str">
        <f t="shared" si="20"/>
        <v/>
      </c>
      <c r="AC156" s="263" t="str">
        <f t="shared" si="17"/>
        <v/>
      </c>
      <c r="AD156" s="239" t="str">
        <f>IF(M156="","",VLOOKUP(M156,'G-6 Hedgerow Data'!$B$3:$AG$15,31,FALSE))</f>
        <v/>
      </c>
      <c r="AE156" s="175" t="str">
        <f t="shared" si="21"/>
        <v/>
      </c>
      <c r="AF156" s="175" t="str">
        <f t="shared" si="22"/>
        <v/>
      </c>
      <c r="AG156" s="176" t="str">
        <f>IFERROR(IF(O156="","",VLOOKUP(AD156,'G-3 Multipliers'!$P$3:$Q$6,2,FALSE)),"")</f>
        <v/>
      </c>
      <c r="AH156" s="266"/>
      <c r="AI156" s="172" t="str">
        <f>IF(AH156="","",IF(VLOOKUP(AH156,'G-3 Multipliers'!$S$3:$T$6,2,FALSE)=0,"Spatial Data Missing",VLOOKUP(AH156,'G-3 Multipliers'!$S$3:$T$6,2,FALSE)))</f>
        <v/>
      </c>
      <c r="AJ156" s="265" t="str">
        <f t="shared" si="23"/>
        <v/>
      </c>
      <c r="AK156" s="180"/>
      <c r="AL156" s="181"/>
      <c r="AP156" s="35" t="str">
        <f>IFERROR(INDEX('G-6 Hedgerow Data'!$BJ$3:$BJ$15,MATCH(M156,'G-6 Hedgerow Data'!$B$3:$B$15,0)),"")</f>
        <v/>
      </c>
    </row>
    <row r="157" spans="2:42" ht="13.8" x14ac:dyDescent="0.25">
      <c r="B157" s="259" t="str">
        <f>'E-1 Off Site Hedge Baseline'!AK155</f>
        <v/>
      </c>
      <c r="C157" s="175" t="str">
        <f>IF(B157="","",IF(ISNA(VLOOKUP($B157,'E-1 Off Site Hedge Baseline'!$B$1:$L$257,3,FALSE)),"",(VLOOKUP($B157,'E-1 Off Site Hedge Baseline'!$B$1:$L$257,3,FALSE))))</f>
        <v/>
      </c>
      <c r="D157" s="175" t="str">
        <f>IF(B157="","",IF(ISNA(VLOOKUP($B157,'E-1 Off Site Hedge Baseline'!$B$1:$L$258,4,FALSE)),"",(VLOOKUP($B157,'E-1 Off Site Hedge Baseline'!$B$1:$L$258,4,FALSE))))</f>
        <v/>
      </c>
      <c r="E157" s="175" t="str">
        <f>IF(B157="","",IF(ISNA(VLOOKUP($B157,'E-1 Off Site Hedge Baseline'!$B$1:$L$257,5,FALSE)),"",(VLOOKUP($B157,'E-1 Off Site Hedge Baseline'!$B$1:$L$257,5,FALSE))))</f>
        <v/>
      </c>
      <c r="F157" s="175" t="str">
        <f>IF(B157="","",IF(ISNA(VLOOKUP($B157,'E-1 Off Site Hedge Baseline'!$B$1:$L$257,6,FALSE)),"",(VLOOKUP($B157,'E-1 Off Site Hedge Baseline'!$B$1:$L$257,6,FALSE))))</f>
        <v/>
      </c>
      <c r="G157" s="175" t="str">
        <f>IF(B157="","",IF(ISNA(VLOOKUP($B157,'E-1 Off Site Hedge Baseline'!$B$1:$L$257,7,FALSE)),"",(VLOOKUP($B157,'E-1 Off Site Hedge Baseline'!$B$1:$L$257,7,FALSE))))</f>
        <v/>
      </c>
      <c r="H157" s="175" t="str">
        <f>IF(B157="","",IF(ISNA(VLOOKUP($B157,'E-1 Off Site Hedge Baseline'!$B$1:$L$257,8,FALSE)),"",(VLOOKUP($B157,'E-1 Off Site Hedge Baseline'!$B$1:$L$257,8,FALSE))))</f>
        <v/>
      </c>
      <c r="I157" s="175" t="str">
        <f>IF(B157="","",IF(ISNA(VLOOKUP($B157,'E-1 Off Site Hedge Baseline'!$B$1:$L$257,10,FALSE)),"",(VLOOKUP($B157,'E-1 Off Site Hedge Baseline'!$B$1:$L$257,10,FALSE))))</f>
        <v/>
      </c>
      <c r="J157" s="175" t="str">
        <f>IF(B157="","",IF(ISNA(VLOOKUP($B157,'E-1 Off Site Hedge Baseline'!$B$1:$L$257,11,FALSE)),"",(VLOOKUP($B157,'E-1 Off Site Hedge Baseline'!$B$1:$L$257,11,FALSE))))</f>
        <v/>
      </c>
      <c r="K157" s="175" t="str">
        <f>IF(B157="","",IF(ISNA(VLOOKUP($B157,'E-1 Off Site Hedge Baseline'!$B$1:$U$257,113,FALSE)),"",(VLOOKUP($B157,'E-1 Off Site Hedge Baseline'!$B$1:$U$257,13,FALSE))))</f>
        <v/>
      </c>
      <c r="L157" s="179" t="str">
        <f>IF(B157="","",IF(ISNA(VLOOKUP($B157,'E-1 Off Site Hedge Baseline'!$B$1:$U$257,12,FALSE)),"",(VLOOKUP($B157,'E-1 Off Site Hedge Baseline'!$B$1:$U$257,12,FALSE))))</f>
        <v/>
      </c>
      <c r="M157" s="639" t="str">
        <f t="shared" si="24"/>
        <v/>
      </c>
      <c r="N157" s="171" t="str">
        <f>IFERROR(IF(B157="","",INDEX('G-6 Hedgerow Data'!$AN$3:$AZ$15,MATCH(C157,'G-6 Hedgerow Data'!$AM$3:$AM$15,0),MATCH(M157,'G-6 Hedgerow Data'!$AN$2:$AZ$2,0))),"")</f>
        <v/>
      </c>
      <c r="O157" s="172" t="str">
        <f t="shared" si="18"/>
        <v/>
      </c>
      <c r="P157" s="260" t="str">
        <f>IF(B157="","",VLOOKUP(B157,'E-1 Off Site Hedge Baseline'!$B$10:T402,16,FALSE))</f>
        <v/>
      </c>
      <c r="Q157" s="171" t="str">
        <f>IF(M157="","",VLOOKUP(M157,'G-6 Hedgerow Data'!$B$2:$AG$15,2,FALSE))</f>
        <v/>
      </c>
      <c r="R157" s="172" t="str">
        <f>IF(M157="","",VLOOKUP(M157,'G-6 Hedgerow Data'!$B$2:$AG$15,3,FALSE))</f>
        <v/>
      </c>
      <c r="S157" s="173"/>
      <c r="T157" s="172" t="str">
        <f>IFERROR(IF(AND(Q157="V.Low",OR(S157="Good",S157="Moderate")),"Error",VLOOKUP(S157,'G-1 All Habitats'!$Z$2:$AA$9,2,FALSE)),"")</f>
        <v/>
      </c>
      <c r="U157" s="173"/>
      <c r="V157" s="179" t="str">
        <f>IF(U157="","",IF(VLOOKUP(U157,'G-3 Multipliers'!$L$3:$N$6,2,FALSE)=0,"Spatial Data Missing",VLOOKUP(U157,'G-3 Multipliers'!$L$3:$N$6,2,FALSE)))</f>
        <v/>
      </c>
      <c r="W157" s="260" t="str">
        <f>IF(U157="","",IF(VLOOKUP(U157,'G-3 Multipliers'!$L$3:$N$6,3,FALSE)=0,"Spatial Data Missing",VLOOKUP(U157,'G-3 Multipliers'!$L$3:$N$6,3,FALSE)))</f>
        <v/>
      </c>
      <c r="X157" s="171" t="str">
        <f>IFERROR(IF(OR(LEFT(O157,5)="Error",LEFT(N157,5)="Error",T157="Error"),"Check Data",IF(F157&lt;R157,INDEX('G-6 Hedgerow Data'!$S$3:$AE$14,MATCH(C157,'G-6 Hedgerow Data'!$B$3:$B$14,0),MATCH(M157,'G-6 Hedgerow Data'!$S$2:$AE$2,0)),INDEX('G-6 Hedgerow Data'!$K$3:$Q$14,MATCH(M157,'G-6 Hedgerow Data'!$B$3:$B$14,0),MATCH(O157,'G-6 Hedgerow Data'!$K$2:$Q$2,0)))),"")</f>
        <v/>
      </c>
      <c r="Y157" s="261"/>
      <c r="Z157" s="261"/>
      <c r="AA157" s="179" t="str">
        <f t="shared" si="19"/>
        <v/>
      </c>
      <c r="AB157" s="262" t="str">
        <f t="shared" si="20"/>
        <v/>
      </c>
      <c r="AC157" s="263" t="str">
        <f t="shared" si="17"/>
        <v/>
      </c>
      <c r="AD157" s="239" t="str">
        <f>IF(M157="","",VLOOKUP(M157,'G-6 Hedgerow Data'!$B$3:$AG$15,31,FALSE))</f>
        <v/>
      </c>
      <c r="AE157" s="175" t="str">
        <f t="shared" si="21"/>
        <v/>
      </c>
      <c r="AF157" s="175" t="str">
        <f t="shared" si="22"/>
        <v/>
      </c>
      <c r="AG157" s="176" t="str">
        <f>IFERROR(IF(O157="","",VLOOKUP(AD157,'G-3 Multipliers'!$P$3:$Q$6,2,FALSE)),"")</f>
        <v/>
      </c>
      <c r="AH157" s="266"/>
      <c r="AI157" s="172" t="str">
        <f>IF(AH157="","",IF(VLOOKUP(AH157,'G-3 Multipliers'!$S$3:$T$6,2,FALSE)=0,"Spatial Data Missing",VLOOKUP(AH157,'G-3 Multipliers'!$S$3:$T$6,2,FALSE)))</f>
        <v/>
      </c>
      <c r="AJ157" s="265" t="str">
        <f t="shared" si="23"/>
        <v/>
      </c>
      <c r="AK157" s="180"/>
      <c r="AL157" s="181"/>
      <c r="AP157" s="35" t="str">
        <f>IFERROR(INDEX('G-6 Hedgerow Data'!$BJ$3:$BJ$15,MATCH(M157,'G-6 Hedgerow Data'!$B$3:$B$15,0)),"")</f>
        <v/>
      </c>
    </row>
    <row r="158" spans="2:42" ht="13.8" x14ac:dyDescent="0.25">
      <c r="B158" s="259" t="str">
        <f>'E-1 Off Site Hedge Baseline'!AK156</f>
        <v/>
      </c>
      <c r="C158" s="175" t="str">
        <f>IF(B158="","",IF(ISNA(VLOOKUP($B158,'E-1 Off Site Hedge Baseline'!$B$1:$L$257,3,FALSE)),"",(VLOOKUP($B158,'E-1 Off Site Hedge Baseline'!$B$1:$L$257,3,FALSE))))</f>
        <v/>
      </c>
      <c r="D158" s="175" t="str">
        <f>IF(B158="","",IF(ISNA(VLOOKUP($B158,'E-1 Off Site Hedge Baseline'!$B$1:$L$258,4,FALSE)),"",(VLOOKUP($B158,'E-1 Off Site Hedge Baseline'!$B$1:$L$258,4,FALSE))))</f>
        <v/>
      </c>
      <c r="E158" s="175" t="str">
        <f>IF(B158="","",IF(ISNA(VLOOKUP($B158,'E-1 Off Site Hedge Baseline'!$B$1:$L$257,5,FALSE)),"",(VLOOKUP($B158,'E-1 Off Site Hedge Baseline'!$B$1:$L$257,5,FALSE))))</f>
        <v/>
      </c>
      <c r="F158" s="175" t="str">
        <f>IF(B158="","",IF(ISNA(VLOOKUP($B158,'E-1 Off Site Hedge Baseline'!$B$1:$L$257,6,FALSE)),"",(VLOOKUP($B158,'E-1 Off Site Hedge Baseline'!$B$1:$L$257,6,FALSE))))</f>
        <v/>
      </c>
      <c r="G158" s="175" t="str">
        <f>IF(B158="","",IF(ISNA(VLOOKUP($B158,'E-1 Off Site Hedge Baseline'!$B$1:$L$257,7,FALSE)),"",(VLOOKUP($B158,'E-1 Off Site Hedge Baseline'!$B$1:$L$257,7,FALSE))))</f>
        <v/>
      </c>
      <c r="H158" s="175" t="str">
        <f>IF(B158="","",IF(ISNA(VLOOKUP($B158,'E-1 Off Site Hedge Baseline'!$B$1:$L$257,8,FALSE)),"",(VLOOKUP($B158,'E-1 Off Site Hedge Baseline'!$B$1:$L$257,8,FALSE))))</f>
        <v/>
      </c>
      <c r="I158" s="175" t="str">
        <f>IF(B158="","",IF(ISNA(VLOOKUP($B158,'E-1 Off Site Hedge Baseline'!$B$1:$L$257,10,FALSE)),"",(VLOOKUP($B158,'E-1 Off Site Hedge Baseline'!$B$1:$L$257,10,FALSE))))</f>
        <v/>
      </c>
      <c r="J158" s="175" t="str">
        <f>IF(B158="","",IF(ISNA(VLOOKUP($B158,'E-1 Off Site Hedge Baseline'!$B$1:$L$257,11,FALSE)),"",(VLOOKUP($B158,'E-1 Off Site Hedge Baseline'!$B$1:$L$257,11,FALSE))))</f>
        <v/>
      </c>
      <c r="K158" s="175" t="str">
        <f>IF(B158="","",IF(ISNA(VLOOKUP($B158,'E-1 Off Site Hedge Baseline'!$B$1:$U$257,113,FALSE)),"",(VLOOKUP($B158,'E-1 Off Site Hedge Baseline'!$B$1:$U$257,13,FALSE))))</f>
        <v/>
      </c>
      <c r="L158" s="179" t="str">
        <f>IF(B158="","",IF(ISNA(VLOOKUP($B158,'E-1 Off Site Hedge Baseline'!$B$1:$U$257,12,FALSE)),"",(VLOOKUP($B158,'E-1 Off Site Hedge Baseline'!$B$1:$U$257,12,FALSE))))</f>
        <v/>
      </c>
      <c r="M158" s="639" t="str">
        <f t="shared" si="24"/>
        <v/>
      </c>
      <c r="N158" s="171" t="str">
        <f>IFERROR(IF(B158="","",INDEX('G-6 Hedgerow Data'!$AN$3:$AZ$15,MATCH(C158,'G-6 Hedgerow Data'!$AM$3:$AM$15,0),MATCH(M158,'G-6 Hedgerow Data'!$AN$2:$AZ$2,0))),"")</f>
        <v/>
      </c>
      <c r="O158" s="172" t="str">
        <f t="shared" si="18"/>
        <v/>
      </c>
      <c r="P158" s="260" t="str">
        <f>IF(B158="","",VLOOKUP(B158,'E-1 Off Site Hedge Baseline'!$B$10:T403,16,FALSE))</f>
        <v/>
      </c>
      <c r="Q158" s="171" t="str">
        <f>IF(M158="","",VLOOKUP(M158,'G-6 Hedgerow Data'!$B$2:$AG$15,2,FALSE))</f>
        <v/>
      </c>
      <c r="R158" s="172" t="str">
        <f>IF(M158="","",VLOOKUP(M158,'G-6 Hedgerow Data'!$B$2:$AG$15,3,FALSE))</f>
        <v/>
      </c>
      <c r="S158" s="173"/>
      <c r="T158" s="172" t="str">
        <f>IFERROR(IF(AND(Q158="V.Low",OR(S158="Good",S158="Moderate")),"Error",VLOOKUP(S158,'G-1 All Habitats'!$Z$2:$AA$9,2,FALSE)),"")</f>
        <v/>
      </c>
      <c r="U158" s="173"/>
      <c r="V158" s="179" t="str">
        <f>IF(U158="","",IF(VLOOKUP(U158,'G-3 Multipliers'!$L$3:$N$6,2,FALSE)=0,"Spatial Data Missing",VLOOKUP(U158,'G-3 Multipliers'!$L$3:$N$6,2,FALSE)))</f>
        <v/>
      </c>
      <c r="W158" s="260" t="str">
        <f>IF(U158="","",IF(VLOOKUP(U158,'G-3 Multipliers'!$L$3:$N$6,3,FALSE)=0,"Spatial Data Missing",VLOOKUP(U158,'G-3 Multipliers'!$L$3:$N$6,3,FALSE)))</f>
        <v/>
      </c>
      <c r="X158" s="171" t="str">
        <f>IFERROR(IF(OR(LEFT(O158,5)="Error",LEFT(N158,5)="Error",T158="Error"),"Check Data",IF(F158&lt;R158,INDEX('G-6 Hedgerow Data'!$S$3:$AE$14,MATCH(C158,'G-6 Hedgerow Data'!$B$3:$B$14,0),MATCH(M158,'G-6 Hedgerow Data'!$S$2:$AE$2,0)),INDEX('G-6 Hedgerow Data'!$K$3:$Q$14,MATCH(M158,'G-6 Hedgerow Data'!$B$3:$B$14,0),MATCH(O158,'G-6 Hedgerow Data'!$K$2:$Q$2,0)))),"")</f>
        <v/>
      </c>
      <c r="Y158" s="261"/>
      <c r="Z158" s="261"/>
      <c r="AA158" s="179" t="str">
        <f t="shared" si="19"/>
        <v/>
      </c>
      <c r="AB158" s="262" t="str">
        <f t="shared" si="20"/>
        <v/>
      </c>
      <c r="AC158" s="263" t="str">
        <f t="shared" si="17"/>
        <v/>
      </c>
      <c r="AD158" s="239" t="str">
        <f>IF(M158="","",VLOOKUP(M158,'G-6 Hedgerow Data'!$B$3:$AG$15,31,FALSE))</f>
        <v/>
      </c>
      <c r="AE158" s="175" t="str">
        <f t="shared" si="21"/>
        <v/>
      </c>
      <c r="AF158" s="175" t="str">
        <f t="shared" si="22"/>
        <v/>
      </c>
      <c r="AG158" s="176" t="str">
        <f>IFERROR(IF(O158="","",VLOOKUP(AD158,'G-3 Multipliers'!$P$3:$Q$6,2,FALSE)),"")</f>
        <v/>
      </c>
      <c r="AH158" s="266"/>
      <c r="AI158" s="172" t="str">
        <f>IF(AH158="","",IF(VLOOKUP(AH158,'G-3 Multipliers'!$S$3:$T$6,2,FALSE)=0,"Spatial Data Missing",VLOOKUP(AH158,'G-3 Multipliers'!$S$3:$T$6,2,FALSE)))</f>
        <v/>
      </c>
      <c r="AJ158" s="265" t="str">
        <f t="shared" si="23"/>
        <v/>
      </c>
      <c r="AK158" s="180"/>
      <c r="AL158" s="181"/>
      <c r="AP158" s="35" t="str">
        <f>IFERROR(INDEX('G-6 Hedgerow Data'!$BJ$3:$BJ$15,MATCH(M158,'G-6 Hedgerow Data'!$B$3:$B$15,0)),"")</f>
        <v/>
      </c>
    </row>
    <row r="159" spans="2:42" ht="13.8" x14ac:dyDescent="0.25">
      <c r="B159" s="259" t="str">
        <f>'E-1 Off Site Hedge Baseline'!AK157</f>
        <v/>
      </c>
      <c r="C159" s="175" t="str">
        <f>IF(B159="","",IF(ISNA(VLOOKUP($B159,'E-1 Off Site Hedge Baseline'!$B$1:$L$257,3,FALSE)),"",(VLOOKUP($B159,'E-1 Off Site Hedge Baseline'!$B$1:$L$257,3,FALSE))))</f>
        <v/>
      </c>
      <c r="D159" s="175" t="str">
        <f>IF(B159="","",IF(ISNA(VLOOKUP($B159,'E-1 Off Site Hedge Baseline'!$B$1:$L$258,4,FALSE)),"",(VLOOKUP($B159,'E-1 Off Site Hedge Baseline'!$B$1:$L$258,4,FALSE))))</f>
        <v/>
      </c>
      <c r="E159" s="175" t="str">
        <f>IF(B159="","",IF(ISNA(VLOOKUP($B159,'E-1 Off Site Hedge Baseline'!$B$1:$L$257,5,FALSE)),"",(VLOOKUP($B159,'E-1 Off Site Hedge Baseline'!$B$1:$L$257,5,FALSE))))</f>
        <v/>
      </c>
      <c r="F159" s="175" t="str">
        <f>IF(B159="","",IF(ISNA(VLOOKUP($B159,'E-1 Off Site Hedge Baseline'!$B$1:$L$257,6,FALSE)),"",(VLOOKUP($B159,'E-1 Off Site Hedge Baseline'!$B$1:$L$257,6,FALSE))))</f>
        <v/>
      </c>
      <c r="G159" s="175" t="str">
        <f>IF(B159="","",IF(ISNA(VLOOKUP($B159,'E-1 Off Site Hedge Baseline'!$B$1:$L$257,7,FALSE)),"",(VLOOKUP($B159,'E-1 Off Site Hedge Baseline'!$B$1:$L$257,7,FALSE))))</f>
        <v/>
      </c>
      <c r="H159" s="175" t="str">
        <f>IF(B159="","",IF(ISNA(VLOOKUP($B159,'E-1 Off Site Hedge Baseline'!$B$1:$L$257,8,FALSE)),"",(VLOOKUP($B159,'E-1 Off Site Hedge Baseline'!$B$1:$L$257,8,FALSE))))</f>
        <v/>
      </c>
      <c r="I159" s="175" t="str">
        <f>IF(B159="","",IF(ISNA(VLOOKUP($B159,'E-1 Off Site Hedge Baseline'!$B$1:$L$257,10,FALSE)),"",(VLOOKUP($B159,'E-1 Off Site Hedge Baseline'!$B$1:$L$257,10,FALSE))))</f>
        <v/>
      </c>
      <c r="J159" s="175" t="str">
        <f>IF(B159="","",IF(ISNA(VLOOKUP($B159,'E-1 Off Site Hedge Baseline'!$B$1:$L$257,11,FALSE)),"",(VLOOKUP($B159,'E-1 Off Site Hedge Baseline'!$B$1:$L$257,11,FALSE))))</f>
        <v/>
      </c>
      <c r="K159" s="175" t="str">
        <f>IF(B159="","",IF(ISNA(VLOOKUP($B159,'E-1 Off Site Hedge Baseline'!$B$1:$U$257,113,FALSE)),"",(VLOOKUP($B159,'E-1 Off Site Hedge Baseline'!$B$1:$U$257,13,FALSE))))</f>
        <v/>
      </c>
      <c r="L159" s="179" t="str">
        <f>IF(B159="","",IF(ISNA(VLOOKUP($B159,'E-1 Off Site Hedge Baseline'!$B$1:$U$257,12,FALSE)),"",(VLOOKUP($B159,'E-1 Off Site Hedge Baseline'!$B$1:$U$257,12,FALSE))))</f>
        <v/>
      </c>
      <c r="M159" s="639" t="str">
        <f t="shared" si="24"/>
        <v/>
      </c>
      <c r="N159" s="171" t="str">
        <f>IFERROR(IF(B159="","",INDEX('G-6 Hedgerow Data'!$AN$3:$AZ$15,MATCH(C159,'G-6 Hedgerow Data'!$AM$3:$AM$15,0),MATCH(M159,'G-6 Hedgerow Data'!$AN$2:$AZ$2,0))),"")</f>
        <v/>
      </c>
      <c r="O159" s="172" t="str">
        <f t="shared" si="18"/>
        <v/>
      </c>
      <c r="P159" s="260" t="str">
        <f>IF(B159="","",VLOOKUP(B159,'E-1 Off Site Hedge Baseline'!$B$10:T404,16,FALSE))</f>
        <v/>
      </c>
      <c r="Q159" s="171" t="str">
        <f>IF(M159="","",VLOOKUP(M159,'G-6 Hedgerow Data'!$B$2:$AG$15,2,FALSE))</f>
        <v/>
      </c>
      <c r="R159" s="172" t="str">
        <f>IF(M159="","",VLOOKUP(M159,'G-6 Hedgerow Data'!$B$2:$AG$15,3,FALSE))</f>
        <v/>
      </c>
      <c r="S159" s="173"/>
      <c r="T159" s="172" t="str">
        <f>IFERROR(IF(AND(Q159="V.Low",OR(S159="Good",S159="Moderate")),"Error",VLOOKUP(S159,'G-1 All Habitats'!$Z$2:$AA$9,2,FALSE)),"")</f>
        <v/>
      </c>
      <c r="U159" s="173"/>
      <c r="V159" s="179" t="str">
        <f>IF(U159="","",IF(VLOOKUP(U159,'G-3 Multipliers'!$L$3:$N$6,2,FALSE)=0,"Spatial Data Missing",VLOOKUP(U159,'G-3 Multipliers'!$L$3:$N$6,2,FALSE)))</f>
        <v/>
      </c>
      <c r="W159" s="260" t="str">
        <f>IF(U159="","",IF(VLOOKUP(U159,'G-3 Multipliers'!$L$3:$N$6,3,FALSE)=0,"Spatial Data Missing",VLOOKUP(U159,'G-3 Multipliers'!$L$3:$N$6,3,FALSE)))</f>
        <v/>
      </c>
      <c r="X159" s="171" t="str">
        <f>IFERROR(IF(OR(LEFT(O159,5)="Error",LEFT(N159,5)="Error",T159="Error"),"Check Data",IF(F159&lt;R159,INDEX('G-6 Hedgerow Data'!$S$3:$AE$14,MATCH(C159,'G-6 Hedgerow Data'!$B$3:$B$14,0),MATCH(M159,'G-6 Hedgerow Data'!$S$2:$AE$2,0)),INDEX('G-6 Hedgerow Data'!$K$3:$Q$14,MATCH(M159,'G-6 Hedgerow Data'!$B$3:$B$14,0),MATCH(O159,'G-6 Hedgerow Data'!$K$2:$Q$2,0)))),"")</f>
        <v/>
      </c>
      <c r="Y159" s="261"/>
      <c r="Z159" s="261"/>
      <c r="AA159" s="179" t="str">
        <f t="shared" si="19"/>
        <v/>
      </c>
      <c r="AB159" s="262" t="str">
        <f t="shared" si="20"/>
        <v/>
      </c>
      <c r="AC159" s="263" t="str">
        <f t="shared" si="17"/>
        <v/>
      </c>
      <c r="AD159" s="239" t="str">
        <f>IF(M159="","",VLOOKUP(M159,'G-6 Hedgerow Data'!$B$3:$AG$15,31,FALSE))</f>
        <v/>
      </c>
      <c r="AE159" s="175" t="str">
        <f t="shared" si="21"/>
        <v/>
      </c>
      <c r="AF159" s="175" t="str">
        <f t="shared" si="22"/>
        <v/>
      </c>
      <c r="AG159" s="176" t="str">
        <f>IFERROR(IF(O159="","",VLOOKUP(AD159,'G-3 Multipliers'!$P$3:$Q$6,2,FALSE)),"")</f>
        <v/>
      </c>
      <c r="AH159" s="266"/>
      <c r="AI159" s="172" t="str">
        <f>IF(AH159="","",IF(VLOOKUP(AH159,'G-3 Multipliers'!$S$3:$T$6,2,FALSE)=0,"Spatial Data Missing",VLOOKUP(AH159,'G-3 Multipliers'!$S$3:$T$6,2,FALSE)))</f>
        <v/>
      </c>
      <c r="AJ159" s="265" t="str">
        <f t="shared" si="23"/>
        <v/>
      </c>
      <c r="AK159" s="180"/>
      <c r="AL159" s="181"/>
      <c r="AP159" s="35" t="str">
        <f>IFERROR(INDEX('G-6 Hedgerow Data'!$BJ$3:$BJ$15,MATCH(M159,'G-6 Hedgerow Data'!$B$3:$B$15,0)),"")</f>
        <v/>
      </c>
    </row>
    <row r="160" spans="2:42" ht="13.8" x14ac:dyDescent="0.25">
      <c r="B160" s="259" t="str">
        <f>'E-1 Off Site Hedge Baseline'!AK158</f>
        <v/>
      </c>
      <c r="C160" s="175" t="str">
        <f>IF(B160="","",IF(ISNA(VLOOKUP($B160,'E-1 Off Site Hedge Baseline'!$B$1:$L$257,3,FALSE)),"",(VLOOKUP($B160,'E-1 Off Site Hedge Baseline'!$B$1:$L$257,3,FALSE))))</f>
        <v/>
      </c>
      <c r="D160" s="175" t="str">
        <f>IF(B160="","",IF(ISNA(VLOOKUP($B160,'E-1 Off Site Hedge Baseline'!$B$1:$L$258,4,FALSE)),"",(VLOOKUP($B160,'E-1 Off Site Hedge Baseline'!$B$1:$L$258,4,FALSE))))</f>
        <v/>
      </c>
      <c r="E160" s="175" t="str">
        <f>IF(B160="","",IF(ISNA(VLOOKUP($B160,'E-1 Off Site Hedge Baseline'!$B$1:$L$257,5,FALSE)),"",(VLOOKUP($B160,'E-1 Off Site Hedge Baseline'!$B$1:$L$257,5,FALSE))))</f>
        <v/>
      </c>
      <c r="F160" s="175" t="str">
        <f>IF(B160="","",IF(ISNA(VLOOKUP($B160,'E-1 Off Site Hedge Baseline'!$B$1:$L$257,6,FALSE)),"",(VLOOKUP($B160,'E-1 Off Site Hedge Baseline'!$B$1:$L$257,6,FALSE))))</f>
        <v/>
      </c>
      <c r="G160" s="175" t="str">
        <f>IF(B160="","",IF(ISNA(VLOOKUP($B160,'E-1 Off Site Hedge Baseline'!$B$1:$L$257,7,FALSE)),"",(VLOOKUP($B160,'E-1 Off Site Hedge Baseline'!$B$1:$L$257,7,FALSE))))</f>
        <v/>
      </c>
      <c r="H160" s="175" t="str">
        <f>IF(B160="","",IF(ISNA(VLOOKUP($B160,'E-1 Off Site Hedge Baseline'!$B$1:$L$257,8,FALSE)),"",(VLOOKUP($B160,'E-1 Off Site Hedge Baseline'!$B$1:$L$257,8,FALSE))))</f>
        <v/>
      </c>
      <c r="I160" s="175" t="str">
        <f>IF(B160="","",IF(ISNA(VLOOKUP($B160,'E-1 Off Site Hedge Baseline'!$B$1:$L$257,10,FALSE)),"",(VLOOKUP($B160,'E-1 Off Site Hedge Baseline'!$B$1:$L$257,10,FALSE))))</f>
        <v/>
      </c>
      <c r="J160" s="175" t="str">
        <f>IF(B160="","",IF(ISNA(VLOOKUP($B160,'E-1 Off Site Hedge Baseline'!$B$1:$L$257,11,FALSE)),"",(VLOOKUP($B160,'E-1 Off Site Hedge Baseline'!$B$1:$L$257,11,FALSE))))</f>
        <v/>
      </c>
      <c r="K160" s="175" t="str">
        <f>IF(B160="","",IF(ISNA(VLOOKUP($B160,'E-1 Off Site Hedge Baseline'!$B$1:$U$257,113,FALSE)),"",(VLOOKUP($B160,'E-1 Off Site Hedge Baseline'!$B$1:$U$257,13,FALSE))))</f>
        <v/>
      </c>
      <c r="L160" s="179" t="str">
        <f>IF(B160="","",IF(ISNA(VLOOKUP($B160,'E-1 Off Site Hedge Baseline'!$B$1:$U$257,12,FALSE)),"",(VLOOKUP($B160,'E-1 Off Site Hedge Baseline'!$B$1:$U$257,12,FALSE))))</f>
        <v/>
      </c>
      <c r="M160" s="639" t="str">
        <f t="shared" si="24"/>
        <v/>
      </c>
      <c r="N160" s="171" t="str">
        <f>IFERROR(IF(B160="","",INDEX('G-6 Hedgerow Data'!$AN$3:$AZ$15,MATCH(C160,'G-6 Hedgerow Data'!$AM$3:$AM$15,0),MATCH(M160,'G-6 Hedgerow Data'!$AN$2:$AZ$2,0))),"")</f>
        <v/>
      </c>
      <c r="O160" s="172" t="str">
        <f t="shared" si="18"/>
        <v/>
      </c>
      <c r="P160" s="260" t="str">
        <f>IF(B160="","",VLOOKUP(B160,'E-1 Off Site Hedge Baseline'!$B$10:T405,16,FALSE))</f>
        <v/>
      </c>
      <c r="Q160" s="171" t="str">
        <f>IF(M160="","",VLOOKUP(M160,'G-6 Hedgerow Data'!$B$2:$AG$15,2,FALSE))</f>
        <v/>
      </c>
      <c r="R160" s="172" t="str">
        <f>IF(M160="","",VLOOKUP(M160,'G-6 Hedgerow Data'!$B$2:$AG$15,3,FALSE))</f>
        <v/>
      </c>
      <c r="S160" s="173"/>
      <c r="T160" s="172" t="str">
        <f>IFERROR(IF(AND(Q160="V.Low",OR(S160="Good",S160="Moderate")),"Error",VLOOKUP(S160,'G-1 All Habitats'!$Z$2:$AA$9,2,FALSE)),"")</f>
        <v/>
      </c>
      <c r="U160" s="173"/>
      <c r="V160" s="179" t="str">
        <f>IF(U160="","",IF(VLOOKUP(U160,'G-3 Multipliers'!$L$3:$N$6,2,FALSE)=0,"Spatial Data Missing",VLOOKUP(U160,'G-3 Multipliers'!$L$3:$N$6,2,FALSE)))</f>
        <v/>
      </c>
      <c r="W160" s="260" t="str">
        <f>IF(U160="","",IF(VLOOKUP(U160,'G-3 Multipliers'!$L$3:$N$6,3,FALSE)=0,"Spatial Data Missing",VLOOKUP(U160,'G-3 Multipliers'!$L$3:$N$6,3,FALSE)))</f>
        <v/>
      </c>
      <c r="X160" s="171" t="str">
        <f>IFERROR(IF(OR(LEFT(O160,5)="Error",LEFT(N160,5)="Error",T160="Error"),"Check Data",IF(F160&lt;R160,INDEX('G-6 Hedgerow Data'!$S$3:$AE$14,MATCH(C160,'G-6 Hedgerow Data'!$B$3:$B$14,0),MATCH(M160,'G-6 Hedgerow Data'!$S$2:$AE$2,0)),INDEX('G-6 Hedgerow Data'!$K$3:$Q$14,MATCH(M160,'G-6 Hedgerow Data'!$B$3:$B$14,0),MATCH(O160,'G-6 Hedgerow Data'!$K$2:$Q$2,0)))),"")</f>
        <v/>
      </c>
      <c r="Y160" s="261"/>
      <c r="Z160" s="261"/>
      <c r="AA160" s="179" t="str">
        <f t="shared" si="19"/>
        <v/>
      </c>
      <c r="AB160" s="262" t="str">
        <f t="shared" si="20"/>
        <v/>
      </c>
      <c r="AC160" s="263" t="str">
        <f t="shared" si="17"/>
        <v/>
      </c>
      <c r="AD160" s="239" t="str">
        <f>IF(M160="","",VLOOKUP(M160,'G-6 Hedgerow Data'!$B$3:$AG$15,31,FALSE))</f>
        <v/>
      </c>
      <c r="AE160" s="175" t="str">
        <f t="shared" si="21"/>
        <v/>
      </c>
      <c r="AF160" s="175" t="str">
        <f t="shared" si="22"/>
        <v/>
      </c>
      <c r="AG160" s="176" t="str">
        <f>IFERROR(IF(O160="","",VLOOKUP(AD160,'G-3 Multipliers'!$P$3:$Q$6,2,FALSE)),"")</f>
        <v/>
      </c>
      <c r="AH160" s="266"/>
      <c r="AI160" s="172" t="str">
        <f>IF(AH160="","",IF(VLOOKUP(AH160,'G-3 Multipliers'!$S$3:$T$6,2,FALSE)=0,"Spatial Data Missing",VLOOKUP(AH160,'G-3 Multipliers'!$S$3:$T$6,2,FALSE)))</f>
        <v/>
      </c>
      <c r="AJ160" s="265" t="str">
        <f t="shared" si="23"/>
        <v/>
      </c>
      <c r="AK160" s="180"/>
      <c r="AL160" s="181"/>
      <c r="AP160" s="35" t="str">
        <f>IFERROR(INDEX('G-6 Hedgerow Data'!$BJ$3:$BJ$15,MATCH(M160,'G-6 Hedgerow Data'!$B$3:$B$15,0)),"")</f>
        <v/>
      </c>
    </row>
    <row r="161" spans="2:42" ht="13.8" x14ac:dyDescent="0.25">
      <c r="B161" s="259" t="str">
        <f>'E-1 Off Site Hedge Baseline'!AK159</f>
        <v/>
      </c>
      <c r="C161" s="175" t="str">
        <f>IF(B161="","",IF(ISNA(VLOOKUP($B161,'E-1 Off Site Hedge Baseline'!$B$1:$L$257,3,FALSE)),"",(VLOOKUP($B161,'E-1 Off Site Hedge Baseline'!$B$1:$L$257,3,FALSE))))</f>
        <v/>
      </c>
      <c r="D161" s="175" t="str">
        <f>IF(B161="","",IF(ISNA(VLOOKUP($B161,'E-1 Off Site Hedge Baseline'!$B$1:$L$258,4,FALSE)),"",(VLOOKUP($B161,'E-1 Off Site Hedge Baseline'!$B$1:$L$258,4,FALSE))))</f>
        <v/>
      </c>
      <c r="E161" s="175" t="str">
        <f>IF(B161="","",IF(ISNA(VLOOKUP($B161,'E-1 Off Site Hedge Baseline'!$B$1:$L$257,5,FALSE)),"",(VLOOKUP($B161,'E-1 Off Site Hedge Baseline'!$B$1:$L$257,5,FALSE))))</f>
        <v/>
      </c>
      <c r="F161" s="175" t="str">
        <f>IF(B161="","",IF(ISNA(VLOOKUP($B161,'E-1 Off Site Hedge Baseline'!$B$1:$L$257,6,FALSE)),"",(VLOOKUP($B161,'E-1 Off Site Hedge Baseline'!$B$1:$L$257,6,FALSE))))</f>
        <v/>
      </c>
      <c r="G161" s="175" t="str">
        <f>IF(B161="","",IF(ISNA(VLOOKUP($B161,'E-1 Off Site Hedge Baseline'!$B$1:$L$257,7,FALSE)),"",(VLOOKUP($B161,'E-1 Off Site Hedge Baseline'!$B$1:$L$257,7,FALSE))))</f>
        <v/>
      </c>
      <c r="H161" s="175" t="str">
        <f>IF(B161="","",IF(ISNA(VLOOKUP($B161,'E-1 Off Site Hedge Baseline'!$B$1:$L$257,8,FALSE)),"",(VLOOKUP($B161,'E-1 Off Site Hedge Baseline'!$B$1:$L$257,8,FALSE))))</f>
        <v/>
      </c>
      <c r="I161" s="175" t="str">
        <f>IF(B161="","",IF(ISNA(VLOOKUP($B161,'E-1 Off Site Hedge Baseline'!$B$1:$L$257,10,FALSE)),"",(VLOOKUP($B161,'E-1 Off Site Hedge Baseline'!$B$1:$L$257,10,FALSE))))</f>
        <v/>
      </c>
      <c r="J161" s="175" t="str">
        <f>IF(B161="","",IF(ISNA(VLOOKUP($B161,'E-1 Off Site Hedge Baseline'!$B$1:$L$257,11,FALSE)),"",(VLOOKUP($B161,'E-1 Off Site Hedge Baseline'!$B$1:$L$257,11,FALSE))))</f>
        <v/>
      </c>
      <c r="K161" s="175" t="str">
        <f>IF(B161="","",IF(ISNA(VLOOKUP($B161,'E-1 Off Site Hedge Baseline'!$B$1:$U$257,113,FALSE)),"",(VLOOKUP($B161,'E-1 Off Site Hedge Baseline'!$B$1:$U$257,13,FALSE))))</f>
        <v/>
      </c>
      <c r="L161" s="179" t="str">
        <f>IF(B161="","",IF(ISNA(VLOOKUP($B161,'E-1 Off Site Hedge Baseline'!$B$1:$U$257,12,FALSE)),"",(VLOOKUP($B161,'E-1 Off Site Hedge Baseline'!$B$1:$U$257,12,FALSE))))</f>
        <v/>
      </c>
      <c r="M161" s="639" t="str">
        <f t="shared" si="24"/>
        <v/>
      </c>
      <c r="N161" s="171" t="str">
        <f>IFERROR(IF(B161="","",INDEX('G-6 Hedgerow Data'!$AN$3:$AZ$15,MATCH(C161,'G-6 Hedgerow Data'!$AM$3:$AM$15,0),MATCH(M161,'G-6 Hedgerow Data'!$AN$2:$AZ$2,0))),"")</f>
        <v/>
      </c>
      <c r="O161" s="172" t="str">
        <f t="shared" si="18"/>
        <v/>
      </c>
      <c r="P161" s="260" t="str">
        <f>IF(B161="","",VLOOKUP(B161,'E-1 Off Site Hedge Baseline'!$B$10:T406,16,FALSE))</f>
        <v/>
      </c>
      <c r="Q161" s="171" t="str">
        <f>IF(M161="","",VLOOKUP(M161,'G-6 Hedgerow Data'!$B$2:$AG$15,2,FALSE))</f>
        <v/>
      </c>
      <c r="R161" s="172" t="str">
        <f>IF(M161="","",VLOOKUP(M161,'G-6 Hedgerow Data'!$B$2:$AG$15,3,FALSE))</f>
        <v/>
      </c>
      <c r="S161" s="173"/>
      <c r="T161" s="172" t="str">
        <f>IFERROR(IF(AND(Q161="V.Low",OR(S161="Good",S161="Moderate")),"Error",VLOOKUP(S161,'G-1 All Habitats'!$Z$2:$AA$9,2,FALSE)),"")</f>
        <v/>
      </c>
      <c r="U161" s="173"/>
      <c r="V161" s="179" t="str">
        <f>IF(U161="","",IF(VLOOKUP(U161,'G-3 Multipliers'!$L$3:$N$6,2,FALSE)=0,"Spatial Data Missing",VLOOKUP(U161,'G-3 Multipliers'!$L$3:$N$6,2,FALSE)))</f>
        <v/>
      </c>
      <c r="W161" s="260" t="str">
        <f>IF(U161="","",IF(VLOOKUP(U161,'G-3 Multipliers'!$L$3:$N$6,3,FALSE)=0,"Spatial Data Missing",VLOOKUP(U161,'G-3 Multipliers'!$L$3:$N$6,3,FALSE)))</f>
        <v/>
      </c>
      <c r="X161" s="171" t="str">
        <f>IFERROR(IF(OR(LEFT(O161,5)="Error",LEFT(N161,5)="Error",T161="Error"),"Check Data",IF(F161&lt;R161,INDEX('G-6 Hedgerow Data'!$S$3:$AE$14,MATCH(C161,'G-6 Hedgerow Data'!$B$3:$B$14,0),MATCH(M161,'G-6 Hedgerow Data'!$S$2:$AE$2,0)),INDEX('G-6 Hedgerow Data'!$K$3:$Q$14,MATCH(M161,'G-6 Hedgerow Data'!$B$3:$B$14,0),MATCH(O161,'G-6 Hedgerow Data'!$K$2:$Q$2,0)))),"")</f>
        <v/>
      </c>
      <c r="Y161" s="261"/>
      <c r="Z161" s="261"/>
      <c r="AA161" s="179" t="str">
        <f t="shared" si="19"/>
        <v/>
      </c>
      <c r="AB161" s="262" t="str">
        <f t="shared" si="20"/>
        <v/>
      </c>
      <c r="AC161" s="263" t="str">
        <f t="shared" si="17"/>
        <v/>
      </c>
      <c r="AD161" s="239" t="str">
        <f>IF(M161="","",VLOOKUP(M161,'G-6 Hedgerow Data'!$B$3:$AG$15,31,FALSE))</f>
        <v/>
      </c>
      <c r="AE161" s="175" t="str">
        <f t="shared" si="21"/>
        <v/>
      </c>
      <c r="AF161" s="175" t="str">
        <f t="shared" si="22"/>
        <v/>
      </c>
      <c r="AG161" s="176" t="str">
        <f>IFERROR(IF(O161="","",VLOOKUP(AD161,'G-3 Multipliers'!$P$3:$Q$6,2,FALSE)),"")</f>
        <v/>
      </c>
      <c r="AH161" s="266"/>
      <c r="AI161" s="172" t="str">
        <f>IF(AH161="","",IF(VLOOKUP(AH161,'G-3 Multipliers'!$S$3:$T$6,2,FALSE)=0,"Spatial Data Missing",VLOOKUP(AH161,'G-3 Multipliers'!$S$3:$T$6,2,FALSE)))</f>
        <v/>
      </c>
      <c r="AJ161" s="265" t="str">
        <f t="shared" si="23"/>
        <v/>
      </c>
      <c r="AK161" s="180"/>
      <c r="AL161" s="181"/>
      <c r="AP161" s="35" t="str">
        <f>IFERROR(INDEX('G-6 Hedgerow Data'!$BJ$3:$BJ$15,MATCH(M161,'G-6 Hedgerow Data'!$B$3:$B$15,0)),"")</f>
        <v/>
      </c>
    </row>
    <row r="162" spans="2:42" ht="13.8" x14ac:dyDescent="0.25">
      <c r="B162" s="259" t="str">
        <f>'E-1 Off Site Hedge Baseline'!AK160</f>
        <v/>
      </c>
      <c r="C162" s="175" t="str">
        <f>IF(B162="","",IF(ISNA(VLOOKUP($B162,'E-1 Off Site Hedge Baseline'!$B$1:$L$257,3,FALSE)),"",(VLOOKUP($B162,'E-1 Off Site Hedge Baseline'!$B$1:$L$257,3,FALSE))))</f>
        <v/>
      </c>
      <c r="D162" s="175" t="str">
        <f>IF(B162="","",IF(ISNA(VLOOKUP($B162,'E-1 Off Site Hedge Baseline'!$B$1:$L$258,4,FALSE)),"",(VLOOKUP($B162,'E-1 Off Site Hedge Baseline'!$B$1:$L$258,4,FALSE))))</f>
        <v/>
      </c>
      <c r="E162" s="175" t="str">
        <f>IF(B162="","",IF(ISNA(VLOOKUP($B162,'E-1 Off Site Hedge Baseline'!$B$1:$L$257,5,FALSE)),"",(VLOOKUP($B162,'E-1 Off Site Hedge Baseline'!$B$1:$L$257,5,FALSE))))</f>
        <v/>
      </c>
      <c r="F162" s="175" t="str">
        <f>IF(B162="","",IF(ISNA(VLOOKUP($B162,'E-1 Off Site Hedge Baseline'!$B$1:$L$257,6,FALSE)),"",(VLOOKUP($B162,'E-1 Off Site Hedge Baseline'!$B$1:$L$257,6,FALSE))))</f>
        <v/>
      </c>
      <c r="G162" s="175" t="str">
        <f>IF(B162="","",IF(ISNA(VLOOKUP($B162,'E-1 Off Site Hedge Baseline'!$B$1:$L$257,7,FALSE)),"",(VLOOKUP($B162,'E-1 Off Site Hedge Baseline'!$B$1:$L$257,7,FALSE))))</f>
        <v/>
      </c>
      <c r="H162" s="175" t="str">
        <f>IF(B162="","",IF(ISNA(VLOOKUP($B162,'E-1 Off Site Hedge Baseline'!$B$1:$L$257,8,FALSE)),"",(VLOOKUP($B162,'E-1 Off Site Hedge Baseline'!$B$1:$L$257,8,FALSE))))</f>
        <v/>
      </c>
      <c r="I162" s="175" t="str">
        <f>IF(B162="","",IF(ISNA(VLOOKUP($B162,'E-1 Off Site Hedge Baseline'!$B$1:$L$257,10,FALSE)),"",(VLOOKUP($B162,'E-1 Off Site Hedge Baseline'!$B$1:$L$257,10,FALSE))))</f>
        <v/>
      </c>
      <c r="J162" s="175" t="str">
        <f>IF(B162="","",IF(ISNA(VLOOKUP($B162,'E-1 Off Site Hedge Baseline'!$B$1:$L$257,11,FALSE)),"",(VLOOKUP($B162,'E-1 Off Site Hedge Baseline'!$B$1:$L$257,11,FALSE))))</f>
        <v/>
      </c>
      <c r="K162" s="175" t="str">
        <f>IF(B162="","",IF(ISNA(VLOOKUP($B162,'E-1 Off Site Hedge Baseline'!$B$1:$U$257,113,FALSE)),"",(VLOOKUP($B162,'E-1 Off Site Hedge Baseline'!$B$1:$U$257,13,FALSE))))</f>
        <v/>
      </c>
      <c r="L162" s="179" t="str">
        <f>IF(B162="","",IF(ISNA(VLOOKUP($B162,'E-1 Off Site Hedge Baseline'!$B$1:$U$257,12,FALSE)),"",(VLOOKUP($B162,'E-1 Off Site Hedge Baseline'!$B$1:$U$257,12,FALSE))))</f>
        <v/>
      </c>
      <c r="M162" s="639" t="str">
        <f t="shared" si="24"/>
        <v/>
      </c>
      <c r="N162" s="171" t="str">
        <f>IFERROR(IF(B162="","",INDEX('G-6 Hedgerow Data'!$AN$3:$AZ$15,MATCH(C162,'G-6 Hedgerow Data'!$AM$3:$AM$15,0),MATCH(M162,'G-6 Hedgerow Data'!$AN$2:$AZ$2,0))),"")</f>
        <v/>
      </c>
      <c r="O162" s="172" t="str">
        <f t="shared" si="18"/>
        <v/>
      </c>
      <c r="P162" s="260" t="str">
        <f>IF(B162="","",VLOOKUP(B162,'E-1 Off Site Hedge Baseline'!$B$10:T407,16,FALSE))</f>
        <v/>
      </c>
      <c r="Q162" s="171" t="str">
        <f>IF(M162="","",VLOOKUP(M162,'G-6 Hedgerow Data'!$B$2:$AG$15,2,FALSE))</f>
        <v/>
      </c>
      <c r="R162" s="172" t="str">
        <f>IF(M162="","",VLOOKUP(M162,'G-6 Hedgerow Data'!$B$2:$AG$15,3,FALSE))</f>
        <v/>
      </c>
      <c r="S162" s="173"/>
      <c r="T162" s="172" t="str">
        <f>IFERROR(IF(AND(Q162="V.Low",OR(S162="Good",S162="Moderate")),"Error",VLOOKUP(S162,'G-1 All Habitats'!$Z$2:$AA$9,2,FALSE)),"")</f>
        <v/>
      </c>
      <c r="U162" s="173"/>
      <c r="V162" s="179" t="str">
        <f>IF(U162="","",IF(VLOOKUP(U162,'G-3 Multipliers'!$L$3:$N$6,2,FALSE)=0,"Spatial Data Missing",VLOOKUP(U162,'G-3 Multipliers'!$L$3:$N$6,2,FALSE)))</f>
        <v/>
      </c>
      <c r="W162" s="260" t="str">
        <f>IF(U162="","",IF(VLOOKUP(U162,'G-3 Multipliers'!$L$3:$N$6,3,FALSE)=0,"Spatial Data Missing",VLOOKUP(U162,'G-3 Multipliers'!$L$3:$N$6,3,FALSE)))</f>
        <v/>
      </c>
      <c r="X162" s="171" t="str">
        <f>IFERROR(IF(OR(LEFT(O162,5)="Error",LEFT(N162,5)="Error",T162="Error"),"Check Data",IF(F162&lt;R162,INDEX('G-6 Hedgerow Data'!$S$3:$AE$14,MATCH(C162,'G-6 Hedgerow Data'!$B$3:$B$14,0),MATCH(M162,'G-6 Hedgerow Data'!$S$2:$AE$2,0)),INDEX('G-6 Hedgerow Data'!$K$3:$Q$14,MATCH(M162,'G-6 Hedgerow Data'!$B$3:$B$14,0),MATCH(O162,'G-6 Hedgerow Data'!$K$2:$Q$2,0)))),"")</f>
        <v/>
      </c>
      <c r="Y162" s="261"/>
      <c r="Z162" s="261"/>
      <c r="AA162" s="179" t="str">
        <f t="shared" si="19"/>
        <v/>
      </c>
      <c r="AB162" s="262" t="str">
        <f t="shared" si="20"/>
        <v/>
      </c>
      <c r="AC162" s="263" t="str">
        <f t="shared" si="17"/>
        <v/>
      </c>
      <c r="AD162" s="239" t="str">
        <f>IF(M162="","",VLOOKUP(M162,'G-6 Hedgerow Data'!$B$3:$AG$15,31,FALSE))</f>
        <v/>
      </c>
      <c r="AE162" s="175" t="str">
        <f t="shared" si="21"/>
        <v/>
      </c>
      <c r="AF162" s="175" t="str">
        <f t="shared" si="22"/>
        <v/>
      </c>
      <c r="AG162" s="176" t="str">
        <f>IFERROR(IF(O162="","",VLOOKUP(AD162,'G-3 Multipliers'!$P$3:$Q$6,2,FALSE)),"")</f>
        <v/>
      </c>
      <c r="AH162" s="266"/>
      <c r="AI162" s="172" t="str">
        <f>IF(AH162="","",IF(VLOOKUP(AH162,'G-3 Multipliers'!$S$3:$T$6,2,FALSE)=0,"Spatial Data Missing",VLOOKUP(AH162,'G-3 Multipliers'!$S$3:$T$6,2,FALSE)))</f>
        <v/>
      </c>
      <c r="AJ162" s="265" t="str">
        <f t="shared" si="23"/>
        <v/>
      </c>
      <c r="AK162" s="180"/>
      <c r="AL162" s="181"/>
      <c r="AP162" s="35" t="str">
        <f>IFERROR(INDEX('G-6 Hedgerow Data'!$BJ$3:$BJ$15,MATCH(M162,'G-6 Hedgerow Data'!$B$3:$B$15,0)),"")</f>
        <v/>
      </c>
    </row>
    <row r="163" spans="2:42" ht="13.8" x14ac:dyDescent="0.25">
      <c r="B163" s="259" t="str">
        <f>'E-1 Off Site Hedge Baseline'!AK161</f>
        <v/>
      </c>
      <c r="C163" s="175" t="str">
        <f>IF(B163="","",IF(ISNA(VLOOKUP($B163,'E-1 Off Site Hedge Baseline'!$B$1:$L$257,3,FALSE)),"",(VLOOKUP($B163,'E-1 Off Site Hedge Baseline'!$B$1:$L$257,3,FALSE))))</f>
        <v/>
      </c>
      <c r="D163" s="175" t="str">
        <f>IF(B163="","",IF(ISNA(VLOOKUP($B163,'E-1 Off Site Hedge Baseline'!$B$1:$L$258,4,FALSE)),"",(VLOOKUP($B163,'E-1 Off Site Hedge Baseline'!$B$1:$L$258,4,FALSE))))</f>
        <v/>
      </c>
      <c r="E163" s="175" t="str">
        <f>IF(B163="","",IF(ISNA(VLOOKUP($B163,'E-1 Off Site Hedge Baseline'!$B$1:$L$257,5,FALSE)),"",(VLOOKUP($B163,'E-1 Off Site Hedge Baseline'!$B$1:$L$257,5,FALSE))))</f>
        <v/>
      </c>
      <c r="F163" s="175" t="str">
        <f>IF(B163="","",IF(ISNA(VLOOKUP($B163,'E-1 Off Site Hedge Baseline'!$B$1:$L$257,6,FALSE)),"",(VLOOKUP($B163,'E-1 Off Site Hedge Baseline'!$B$1:$L$257,6,FALSE))))</f>
        <v/>
      </c>
      <c r="G163" s="175" t="str">
        <f>IF(B163="","",IF(ISNA(VLOOKUP($B163,'E-1 Off Site Hedge Baseline'!$B$1:$L$257,7,FALSE)),"",(VLOOKUP($B163,'E-1 Off Site Hedge Baseline'!$B$1:$L$257,7,FALSE))))</f>
        <v/>
      </c>
      <c r="H163" s="175" t="str">
        <f>IF(B163="","",IF(ISNA(VLOOKUP($B163,'E-1 Off Site Hedge Baseline'!$B$1:$L$257,8,FALSE)),"",(VLOOKUP($B163,'E-1 Off Site Hedge Baseline'!$B$1:$L$257,8,FALSE))))</f>
        <v/>
      </c>
      <c r="I163" s="175" t="str">
        <f>IF(B163="","",IF(ISNA(VLOOKUP($B163,'E-1 Off Site Hedge Baseline'!$B$1:$L$257,10,FALSE)),"",(VLOOKUP($B163,'E-1 Off Site Hedge Baseline'!$B$1:$L$257,10,FALSE))))</f>
        <v/>
      </c>
      <c r="J163" s="175" t="str">
        <f>IF(B163="","",IF(ISNA(VLOOKUP($B163,'E-1 Off Site Hedge Baseline'!$B$1:$L$257,11,FALSE)),"",(VLOOKUP($B163,'E-1 Off Site Hedge Baseline'!$B$1:$L$257,11,FALSE))))</f>
        <v/>
      </c>
      <c r="K163" s="175" t="str">
        <f>IF(B163="","",IF(ISNA(VLOOKUP($B163,'E-1 Off Site Hedge Baseline'!$B$1:$U$257,113,FALSE)),"",(VLOOKUP($B163,'E-1 Off Site Hedge Baseline'!$B$1:$U$257,13,FALSE))))</f>
        <v/>
      </c>
      <c r="L163" s="179" t="str">
        <f>IF(B163="","",IF(ISNA(VLOOKUP($B163,'E-1 Off Site Hedge Baseline'!$B$1:$U$257,12,FALSE)),"",(VLOOKUP($B163,'E-1 Off Site Hedge Baseline'!$B$1:$U$257,12,FALSE))))</f>
        <v/>
      </c>
      <c r="M163" s="639" t="str">
        <f t="shared" si="24"/>
        <v/>
      </c>
      <c r="N163" s="171" t="str">
        <f>IFERROR(IF(B163="","",INDEX('G-6 Hedgerow Data'!$AN$3:$AZ$15,MATCH(C163,'G-6 Hedgerow Data'!$AM$3:$AM$15,0),MATCH(M163,'G-6 Hedgerow Data'!$AN$2:$AZ$2,0))),"")</f>
        <v/>
      </c>
      <c r="O163" s="172" t="str">
        <f t="shared" si="18"/>
        <v/>
      </c>
      <c r="P163" s="260" t="str">
        <f>IF(B163="","",VLOOKUP(B163,'E-1 Off Site Hedge Baseline'!$B$10:T408,16,FALSE))</f>
        <v/>
      </c>
      <c r="Q163" s="171" t="str">
        <f>IF(M163="","",VLOOKUP(M163,'G-6 Hedgerow Data'!$B$2:$AG$15,2,FALSE))</f>
        <v/>
      </c>
      <c r="R163" s="172" t="str">
        <f>IF(M163="","",VLOOKUP(M163,'G-6 Hedgerow Data'!$B$2:$AG$15,3,FALSE))</f>
        <v/>
      </c>
      <c r="S163" s="173"/>
      <c r="T163" s="172" t="str">
        <f>IFERROR(IF(AND(Q163="V.Low",OR(S163="Good",S163="Moderate")),"Error",VLOOKUP(S163,'G-1 All Habitats'!$Z$2:$AA$9,2,FALSE)),"")</f>
        <v/>
      </c>
      <c r="U163" s="173"/>
      <c r="V163" s="179" t="str">
        <f>IF(U163="","",IF(VLOOKUP(U163,'G-3 Multipliers'!$L$3:$N$6,2,FALSE)=0,"Spatial Data Missing",VLOOKUP(U163,'G-3 Multipliers'!$L$3:$N$6,2,FALSE)))</f>
        <v/>
      </c>
      <c r="W163" s="260" t="str">
        <f>IF(U163="","",IF(VLOOKUP(U163,'G-3 Multipliers'!$L$3:$N$6,3,FALSE)=0,"Spatial Data Missing",VLOOKUP(U163,'G-3 Multipliers'!$L$3:$N$6,3,FALSE)))</f>
        <v/>
      </c>
      <c r="X163" s="171" t="str">
        <f>IFERROR(IF(OR(LEFT(O163,5)="Error",LEFT(N163,5)="Error",T163="Error"),"Check Data",IF(F163&lt;R163,INDEX('G-6 Hedgerow Data'!$S$3:$AE$14,MATCH(C163,'G-6 Hedgerow Data'!$B$3:$B$14,0),MATCH(M163,'G-6 Hedgerow Data'!$S$2:$AE$2,0)),INDEX('G-6 Hedgerow Data'!$K$3:$Q$14,MATCH(M163,'G-6 Hedgerow Data'!$B$3:$B$14,0),MATCH(O163,'G-6 Hedgerow Data'!$K$2:$Q$2,0)))),"")</f>
        <v/>
      </c>
      <c r="Y163" s="261"/>
      <c r="Z163" s="261"/>
      <c r="AA163" s="179" t="str">
        <f t="shared" si="19"/>
        <v/>
      </c>
      <c r="AB163" s="262" t="str">
        <f t="shared" si="20"/>
        <v/>
      </c>
      <c r="AC163" s="263" t="str">
        <f t="shared" si="17"/>
        <v/>
      </c>
      <c r="AD163" s="239" t="str">
        <f>IF(M163="","",VLOOKUP(M163,'G-6 Hedgerow Data'!$B$3:$AG$15,31,FALSE))</f>
        <v/>
      </c>
      <c r="AE163" s="175" t="str">
        <f t="shared" si="21"/>
        <v/>
      </c>
      <c r="AF163" s="175" t="str">
        <f t="shared" si="22"/>
        <v/>
      </c>
      <c r="AG163" s="176" t="str">
        <f>IFERROR(IF(O163="","",VLOOKUP(AD163,'G-3 Multipliers'!$P$3:$Q$6,2,FALSE)),"")</f>
        <v/>
      </c>
      <c r="AH163" s="266"/>
      <c r="AI163" s="172" t="str">
        <f>IF(AH163="","",IF(VLOOKUP(AH163,'G-3 Multipliers'!$S$3:$T$6,2,FALSE)=0,"Spatial Data Missing",VLOOKUP(AH163,'G-3 Multipliers'!$S$3:$T$6,2,FALSE)))</f>
        <v/>
      </c>
      <c r="AJ163" s="265" t="str">
        <f t="shared" si="23"/>
        <v/>
      </c>
      <c r="AK163" s="180"/>
      <c r="AL163" s="181"/>
      <c r="AP163" s="35" t="str">
        <f>IFERROR(INDEX('G-6 Hedgerow Data'!$BJ$3:$BJ$15,MATCH(M163,'G-6 Hedgerow Data'!$B$3:$B$15,0)),"")</f>
        <v/>
      </c>
    </row>
    <row r="164" spans="2:42" ht="13.8" x14ac:dyDescent="0.25">
      <c r="B164" s="259" t="str">
        <f>'E-1 Off Site Hedge Baseline'!AK162</f>
        <v/>
      </c>
      <c r="C164" s="175" t="str">
        <f>IF(B164="","",IF(ISNA(VLOOKUP($B164,'E-1 Off Site Hedge Baseline'!$B$1:$L$257,3,FALSE)),"",(VLOOKUP($B164,'E-1 Off Site Hedge Baseline'!$B$1:$L$257,3,FALSE))))</f>
        <v/>
      </c>
      <c r="D164" s="175" t="str">
        <f>IF(B164="","",IF(ISNA(VLOOKUP($B164,'E-1 Off Site Hedge Baseline'!$B$1:$L$258,4,FALSE)),"",(VLOOKUP($B164,'E-1 Off Site Hedge Baseline'!$B$1:$L$258,4,FALSE))))</f>
        <v/>
      </c>
      <c r="E164" s="175" t="str">
        <f>IF(B164="","",IF(ISNA(VLOOKUP($B164,'E-1 Off Site Hedge Baseline'!$B$1:$L$257,5,FALSE)),"",(VLOOKUP($B164,'E-1 Off Site Hedge Baseline'!$B$1:$L$257,5,FALSE))))</f>
        <v/>
      </c>
      <c r="F164" s="175" t="str">
        <f>IF(B164="","",IF(ISNA(VLOOKUP($B164,'E-1 Off Site Hedge Baseline'!$B$1:$L$257,6,FALSE)),"",(VLOOKUP($B164,'E-1 Off Site Hedge Baseline'!$B$1:$L$257,6,FALSE))))</f>
        <v/>
      </c>
      <c r="G164" s="175" t="str">
        <f>IF(B164="","",IF(ISNA(VLOOKUP($B164,'E-1 Off Site Hedge Baseline'!$B$1:$L$257,7,FALSE)),"",(VLOOKUP($B164,'E-1 Off Site Hedge Baseline'!$B$1:$L$257,7,FALSE))))</f>
        <v/>
      </c>
      <c r="H164" s="175" t="str">
        <f>IF(B164="","",IF(ISNA(VLOOKUP($B164,'E-1 Off Site Hedge Baseline'!$B$1:$L$257,8,FALSE)),"",(VLOOKUP($B164,'E-1 Off Site Hedge Baseline'!$B$1:$L$257,8,FALSE))))</f>
        <v/>
      </c>
      <c r="I164" s="175" t="str">
        <f>IF(B164="","",IF(ISNA(VLOOKUP($B164,'E-1 Off Site Hedge Baseline'!$B$1:$L$257,10,FALSE)),"",(VLOOKUP($B164,'E-1 Off Site Hedge Baseline'!$B$1:$L$257,10,FALSE))))</f>
        <v/>
      </c>
      <c r="J164" s="175" t="str">
        <f>IF(B164="","",IF(ISNA(VLOOKUP($B164,'E-1 Off Site Hedge Baseline'!$B$1:$L$257,11,FALSE)),"",(VLOOKUP($B164,'E-1 Off Site Hedge Baseline'!$B$1:$L$257,11,FALSE))))</f>
        <v/>
      </c>
      <c r="K164" s="175" t="str">
        <f>IF(B164="","",IF(ISNA(VLOOKUP($B164,'E-1 Off Site Hedge Baseline'!$B$1:$U$257,113,FALSE)),"",(VLOOKUP($B164,'E-1 Off Site Hedge Baseline'!$B$1:$U$257,13,FALSE))))</f>
        <v/>
      </c>
      <c r="L164" s="179" t="str">
        <f>IF(B164="","",IF(ISNA(VLOOKUP($B164,'E-1 Off Site Hedge Baseline'!$B$1:$U$257,12,FALSE)),"",(VLOOKUP($B164,'E-1 Off Site Hedge Baseline'!$B$1:$U$257,12,FALSE))))</f>
        <v/>
      </c>
      <c r="M164" s="639" t="str">
        <f t="shared" si="24"/>
        <v/>
      </c>
      <c r="N164" s="171" t="str">
        <f>IFERROR(IF(B164="","",INDEX('G-6 Hedgerow Data'!$AN$3:$AZ$15,MATCH(C164,'G-6 Hedgerow Data'!$AM$3:$AM$15,0),MATCH(M164,'G-6 Hedgerow Data'!$AN$2:$AZ$2,0))),"")</f>
        <v/>
      </c>
      <c r="O164" s="172" t="str">
        <f t="shared" si="18"/>
        <v/>
      </c>
      <c r="P164" s="260" t="str">
        <f>IF(B164="","",VLOOKUP(B164,'E-1 Off Site Hedge Baseline'!$B$10:T409,16,FALSE))</f>
        <v/>
      </c>
      <c r="Q164" s="171" t="str">
        <f>IF(M164="","",VLOOKUP(M164,'G-6 Hedgerow Data'!$B$2:$AG$15,2,FALSE))</f>
        <v/>
      </c>
      <c r="R164" s="172" t="str">
        <f>IF(M164="","",VLOOKUP(M164,'G-6 Hedgerow Data'!$B$2:$AG$15,3,FALSE))</f>
        <v/>
      </c>
      <c r="S164" s="173"/>
      <c r="T164" s="172" t="str">
        <f>IFERROR(IF(AND(Q164="V.Low",OR(S164="Good",S164="Moderate")),"Error",VLOOKUP(S164,'G-1 All Habitats'!$Z$2:$AA$9,2,FALSE)),"")</f>
        <v/>
      </c>
      <c r="U164" s="173"/>
      <c r="V164" s="179" t="str">
        <f>IF(U164="","",IF(VLOOKUP(U164,'G-3 Multipliers'!$L$3:$N$6,2,FALSE)=0,"Spatial Data Missing",VLOOKUP(U164,'G-3 Multipliers'!$L$3:$N$6,2,FALSE)))</f>
        <v/>
      </c>
      <c r="W164" s="260" t="str">
        <f>IF(U164="","",IF(VLOOKUP(U164,'G-3 Multipliers'!$L$3:$N$6,3,FALSE)=0,"Spatial Data Missing",VLOOKUP(U164,'G-3 Multipliers'!$L$3:$N$6,3,FALSE)))</f>
        <v/>
      </c>
      <c r="X164" s="171" t="str">
        <f>IFERROR(IF(OR(LEFT(O164,5)="Error",LEFT(N164,5)="Error",T164="Error"),"Check Data",IF(F164&lt;R164,INDEX('G-6 Hedgerow Data'!$S$3:$AE$14,MATCH(C164,'G-6 Hedgerow Data'!$B$3:$B$14,0),MATCH(M164,'G-6 Hedgerow Data'!$S$2:$AE$2,0)),INDEX('G-6 Hedgerow Data'!$K$3:$Q$14,MATCH(M164,'G-6 Hedgerow Data'!$B$3:$B$14,0),MATCH(O164,'G-6 Hedgerow Data'!$K$2:$Q$2,0)))),"")</f>
        <v/>
      </c>
      <c r="Y164" s="261"/>
      <c r="Z164" s="261"/>
      <c r="AA164" s="179" t="str">
        <f t="shared" si="19"/>
        <v/>
      </c>
      <c r="AB164" s="262" t="str">
        <f t="shared" si="20"/>
        <v/>
      </c>
      <c r="AC164" s="263" t="str">
        <f t="shared" si="17"/>
        <v/>
      </c>
      <c r="AD164" s="239" t="str">
        <f>IF(M164="","",VLOOKUP(M164,'G-6 Hedgerow Data'!$B$3:$AG$15,31,FALSE))</f>
        <v/>
      </c>
      <c r="AE164" s="175" t="str">
        <f t="shared" si="21"/>
        <v/>
      </c>
      <c r="AF164" s="175" t="str">
        <f t="shared" si="22"/>
        <v/>
      </c>
      <c r="AG164" s="176" t="str">
        <f>IFERROR(IF(O164="","",VLOOKUP(AD164,'G-3 Multipliers'!$P$3:$Q$6,2,FALSE)),"")</f>
        <v/>
      </c>
      <c r="AH164" s="266"/>
      <c r="AI164" s="172" t="str">
        <f>IF(AH164="","",IF(VLOOKUP(AH164,'G-3 Multipliers'!$S$3:$T$6,2,FALSE)=0,"Spatial Data Missing",VLOOKUP(AH164,'G-3 Multipliers'!$S$3:$T$6,2,FALSE)))</f>
        <v/>
      </c>
      <c r="AJ164" s="265" t="str">
        <f t="shared" si="23"/>
        <v/>
      </c>
      <c r="AK164" s="180"/>
      <c r="AL164" s="181"/>
      <c r="AP164" s="35" t="str">
        <f>IFERROR(INDEX('G-6 Hedgerow Data'!$BJ$3:$BJ$15,MATCH(M164,'G-6 Hedgerow Data'!$B$3:$B$15,0)),"")</f>
        <v/>
      </c>
    </row>
    <row r="165" spans="2:42" ht="13.8" x14ac:dyDescent="0.25">
      <c r="B165" s="259" t="str">
        <f>'E-1 Off Site Hedge Baseline'!AK163</f>
        <v/>
      </c>
      <c r="C165" s="175" t="str">
        <f>IF(B165="","",IF(ISNA(VLOOKUP($B165,'E-1 Off Site Hedge Baseline'!$B$1:$L$257,3,FALSE)),"",(VLOOKUP($B165,'E-1 Off Site Hedge Baseline'!$B$1:$L$257,3,FALSE))))</f>
        <v/>
      </c>
      <c r="D165" s="175" t="str">
        <f>IF(B165="","",IF(ISNA(VLOOKUP($B165,'E-1 Off Site Hedge Baseline'!$B$1:$L$258,4,FALSE)),"",(VLOOKUP($B165,'E-1 Off Site Hedge Baseline'!$B$1:$L$258,4,FALSE))))</f>
        <v/>
      </c>
      <c r="E165" s="175" t="str">
        <f>IF(B165="","",IF(ISNA(VLOOKUP($B165,'E-1 Off Site Hedge Baseline'!$B$1:$L$257,5,FALSE)),"",(VLOOKUP($B165,'E-1 Off Site Hedge Baseline'!$B$1:$L$257,5,FALSE))))</f>
        <v/>
      </c>
      <c r="F165" s="175" t="str">
        <f>IF(B165="","",IF(ISNA(VLOOKUP($B165,'E-1 Off Site Hedge Baseline'!$B$1:$L$257,6,FALSE)),"",(VLOOKUP($B165,'E-1 Off Site Hedge Baseline'!$B$1:$L$257,6,FALSE))))</f>
        <v/>
      </c>
      <c r="G165" s="175" t="str">
        <f>IF(B165="","",IF(ISNA(VLOOKUP($B165,'E-1 Off Site Hedge Baseline'!$B$1:$L$257,7,FALSE)),"",(VLOOKUP($B165,'E-1 Off Site Hedge Baseline'!$B$1:$L$257,7,FALSE))))</f>
        <v/>
      </c>
      <c r="H165" s="175" t="str">
        <f>IF(B165="","",IF(ISNA(VLOOKUP($B165,'E-1 Off Site Hedge Baseline'!$B$1:$L$257,8,FALSE)),"",(VLOOKUP($B165,'E-1 Off Site Hedge Baseline'!$B$1:$L$257,8,FALSE))))</f>
        <v/>
      </c>
      <c r="I165" s="175" t="str">
        <f>IF(B165="","",IF(ISNA(VLOOKUP($B165,'E-1 Off Site Hedge Baseline'!$B$1:$L$257,10,FALSE)),"",(VLOOKUP($B165,'E-1 Off Site Hedge Baseline'!$B$1:$L$257,10,FALSE))))</f>
        <v/>
      </c>
      <c r="J165" s="175" t="str">
        <f>IF(B165="","",IF(ISNA(VLOOKUP($B165,'E-1 Off Site Hedge Baseline'!$B$1:$L$257,11,FALSE)),"",(VLOOKUP($B165,'E-1 Off Site Hedge Baseline'!$B$1:$L$257,11,FALSE))))</f>
        <v/>
      </c>
      <c r="K165" s="175" t="str">
        <f>IF(B165="","",IF(ISNA(VLOOKUP($B165,'E-1 Off Site Hedge Baseline'!$B$1:$U$257,113,FALSE)),"",(VLOOKUP($B165,'E-1 Off Site Hedge Baseline'!$B$1:$U$257,13,FALSE))))</f>
        <v/>
      </c>
      <c r="L165" s="179" t="str">
        <f>IF(B165="","",IF(ISNA(VLOOKUP($B165,'E-1 Off Site Hedge Baseline'!$B$1:$U$257,12,FALSE)),"",(VLOOKUP($B165,'E-1 Off Site Hedge Baseline'!$B$1:$U$257,12,FALSE))))</f>
        <v/>
      </c>
      <c r="M165" s="639" t="str">
        <f t="shared" si="24"/>
        <v/>
      </c>
      <c r="N165" s="171" t="str">
        <f>IFERROR(IF(B165="","",INDEX('G-6 Hedgerow Data'!$AN$3:$AZ$15,MATCH(C165,'G-6 Hedgerow Data'!$AM$3:$AM$15,0),MATCH(M165,'G-6 Hedgerow Data'!$AN$2:$AZ$2,0))),"")</f>
        <v/>
      </c>
      <c r="O165" s="172" t="str">
        <f t="shared" si="18"/>
        <v/>
      </c>
      <c r="P165" s="260" t="str">
        <f>IF(B165="","",VLOOKUP(B165,'E-1 Off Site Hedge Baseline'!$B$10:T410,16,FALSE))</f>
        <v/>
      </c>
      <c r="Q165" s="171" t="str">
        <f>IF(M165="","",VLOOKUP(M165,'G-6 Hedgerow Data'!$B$2:$AG$15,2,FALSE))</f>
        <v/>
      </c>
      <c r="R165" s="172" t="str">
        <f>IF(M165="","",VLOOKUP(M165,'G-6 Hedgerow Data'!$B$2:$AG$15,3,FALSE))</f>
        <v/>
      </c>
      <c r="S165" s="173"/>
      <c r="T165" s="172" t="str">
        <f>IFERROR(IF(AND(Q165="V.Low",OR(S165="Good",S165="Moderate")),"Error",VLOOKUP(S165,'G-1 All Habitats'!$Z$2:$AA$9,2,FALSE)),"")</f>
        <v/>
      </c>
      <c r="U165" s="173"/>
      <c r="V165" s="179" t="str">
        <f>IF(U165="","",IF(VLOOKUP(U165,'G-3 Multipliers'!$L$3:$N$6,2,FALSE)=0,"Spatial Data Missing",VLOOKUP(U165,'G-3 Multipliers'!$L$3:$N$6,2,FALSE)))</f>
        <v/>
      </c>
      <c r="W165" s="260" t="str">
        <f>IF(U165="","",IF(VLOOKUP(U165,'G-3 Multipliers'!$L$3:$N$6,3,FALSE)=0,"Spatial Data Missing",VLOOKUP(U165,'G-3 Multipliers'!$L$3:$N$6,3,FALSE)))</f>
        <v/>
      </c>
      <c r="X165" s="171" t="str">
        <f>IFERROR(IF(OR(LEFT(O165,5)="Error",LEFT(N165,5)="Error",T165="Error"),"Check Data",IF(F165&lt;R165,INDEX('G-6 Hedgerow Data'!$S$3:$AE$14,MATCH(C165,'G-6 Hedgerow Data'!$B$3:$B$14,0),MATCH(M165,'G-6 Hedgerow Data'!$S$2:$AE$2,0)),INDEX('G-6 Hedgerow Data'!$K$3:$Q$14,MATCH(M165,'G-6 Hedgerow Data'!$B$3:$B$14,0),MATCH(O165,'G-6 Hedgerow Data'!$K$2:$Q$2,0)))),"")</f>
        <v/>
      </c>
      <c r="Y165" s="261"/>
      <c r="Z165" s="261"/>
      <c r="AA165" s="179" t="str">
        <f t="shared" si="19"/>
        <v/>
      </c>
      <c r="AB165" s="262" t="str">
        <f t="shared" si="20"/>
        <v/>
      </c>
      <c r="AC165" s="263" t="str">
        <f t="shared" si="17"/>
        <v/>
      </c>
      <c r="AD165" s="239" t="str">
        <f>IF(M165="","",VLOOKUP(M165,'G-6 Hedgerow Data'!$B$3:$AG$15,31,FALSE))</f>
        <v/>
      </c>
      <c r="AE165" s="175" t="str">
        <f t="shared" si="21"/>
        <v/>
      </c>
      <c r="AF165" s="175" t="str">
        <f t="shared" si="22"/>
        <v/>
      </c>
      <c r="AG165" s="176" t="str">
        <f>IFERROR(IF(O165="","",VLOOKUP(AD165,'G-3 Multipliers'!$P$3:$Q$6,2,FALSE)),"")</f>
        <v/>
      </c>
      <c r="AH165" s="266"/>
      <c r="AI165" s="172" t="str">
        <f>IF(AH165="","",IF(VLOOKUP(AH165,'G-3 Multipliers'!$S$3:$T$6,2,FALSE)=0,"Spatial Data Missing",VLOOKUP(AH165,'G-3 Multipliers'!$S$3:$T$6,2,FALSE)))</f>
        <v/>
      </c>
      <c r="AJ165" s="265" t="str">
        <f t="shared" si="23"/>
        <v/>
      </c>
      <c r="AK165" s="180"/>
      <c r="AL165" s="181"/>
      <c r="AP165" s="35" t="str">
        <f>IFERROR(INDEX('G-6 Hedgerow Data'!$BJ$3:$BJ$15,MATCH(M165,'G-6 Hedgerow Data'!$B$3:$B$15,0)),"")</f>
        <v/>
      </c>
    </row>
    <row r="166" spans="2:42" ht="13.8" x14ac:dyDescent="0.25">
      <c r="B166" s="259" t="str">
        <f>'E-1 Off Site Hedge Baseline'!AK164</f>
        <v/>
      </c>
      <c r="C166" s="175" t="str">
        <f>IF(B166="","",IF(ISNA(VLOOKUP($B166,'E-1 Off Site Hedge Baseline'!$B$1:$L$257,3,FALSE)),"",(VLOOKUP($B166,'E-1 Off Site Hedge Baseline'!$B$1:$L$257,3,FALSE))))</f>
        <v/>
      </c>
      <c r="D166" s="175" t="str">
        <f>IF(B166="","",IF(ISNA(VLOOKUP($B166,'E-1 Off Site Hedge Baseline'!$B$1:$L$258,4,FALSE)),"",(VLOOKUP($B166,'E-1 Off Site Hedge Baseline'!$B$1:$L$258,4,FALSE))))</f>
        <v/>
      </c>
      <c r="E166" s="175" t="str">
        <f>IF(B166="","",IF(ISNA(VLOOKUP($B166,'E-1 Off Site Hedge Baseline'!$B$1:$L$257,5,FALSE)),"",(VLOOKUP($B166,'E-1 Off Site Hedge Baseline'!$B$1:$L$257,5,FALSE))))</f>
        <v/>
      </c>
      <c r="F166" s="175" t="str">
        <f>IF(B166="","",IF(ISNA(VLOOKUP($B166,'E-1 Off Site Hedge Baseline'!$B$1:$L$257,6,FALSE)),"",(VLOOKUP($B166,'E-1 Off Site Hedge Baseline'!$B$1:$L$257,6,FALSE))))</f>
        <v/>
      </c>
      <c r="G166" s="175" t="str">
        <f>IF(B166="","",IF(ISNA(VLOOKUP($B166,'E-1 Off Site Hedge Baseline'!$B$1:$L$257,7,FALSE)),"",(VLOOKUP($B166,'E-1 Off Site Hedge Baseline'!$B$1:$L$257,7,FALSE))))</f>
        <v/>
      </c>
      <c r="H166" s="175" t="str">
        <f>IF(B166="","",IF(ISNA(VLOOKUP($B166,'E-1 Off Site Hedge Baseline'!$B$1:$L$257,8,FALSE)),"",(VLOOKUP($B166,'E-1 Off Site Hedge Baseline'!$B$1:$L$257,8,FALSE))))</f>
        <v/>
      </c>
      <c r="I166" s="175" t="str">
        <f>IF(B166="","",IF(ISNA(VLOOKUP($B166,'E-1 Off Site Hedge Baseline'!$B$1:$L$257,10,FALSE)),"",(VLOOKUP($B166,'E-1 Off Site Hedge Baseline'!$B$1:$L$257,10,FALSE))))</f>
        <v/>
      </c>
      <c r="J166" s="175" t="str">
        <f>IF(B166="","",IF(ISNA(VLOOKUP($B166,'E-1 Off Site Hedge Baseline'!$B$1:$L$257,11,FALSE)),"",(VLOOKUP($B166,'E-1 Off Site Hedge Baseline'!$B$1:$L$257,11,FALSE))))</f>
        <v/>
      </c>
      <c r="K166" s="175" t="str">
        <f>IF(B166="","",IF(ISNA(VLOOKUP($B166,'E-1 Off Site Hedge Baseline'!$B$1:$U$257,113,FALSE)),"",(VLOOKUP($B166,'E-1 Off Site Hedge Baseline'!$B$1:$U$257,13,FALSE))))</f>
        <v/>
      </c>
      <c r="L166" s="179" t="str">
        <f>IF(B166="","",IF(ISNA(VLOOKUP($B166,'E-1 Off Site Hedge Baseline'!$B$1:$U$257,12,FALSE)),"",(VLOOKUP($B166,'E-1 Off Site Hedge Baseline'!$B$1:$U$257,12,FALSE))))</f>
        <v/>
      </c>
      <c r="M166" s="639" t="str">
        <f t="shared" si="24"/>
        <v/>
      </c>
      <c r="N166" s="171" t="str">
        <f>IFERROR(IF(B166="","",INDEX('G-6 Hedgerow Data'!$AN$3:$AZ$15,MATCH(C166,'G-6 Hedgerow Data'!$AM$3:$AM$15,0),MATCH(M166,'G-6 Hedgerow Data'!$AN$2:$AZ$2,0))),"")</f>
        <v/>
      </c>
      <c r="O166" s="172" t="str">
        <f t="shared" si="18"/>
        <v/>
      </c>
      <c r="P166" s="260" t="str">
        <f>IF(B166="","",VLOOKUP(B166,'E-1 Off Site Hedge Baseline'!$B$10:T411,16,FALSE))</f>
        <v/>
      </c>
      <c r="Q166" s="171" t="str">
        <f>IF(M166="","",VLOOKUP(M166,'G-6 Hedgerow Data'!$B$2:$AG$15,2,FALSE))</f>
        <v/>
      </c>
      <c r="R166" s="172" t="str">
        <f>IF(M166="","",VLOOKUP(M166,'G-6 Hedgerow Data'!$B$2:$AG$15,3,FALSE))</f>
        <v/>
      </c>
      <c r="S166" s="173"/>
      <c r="T166" s="172" t="str">
        <f>IFERROR(IF(AND(Q166="V.Low",OR(S166="Good",S166="Moderate")),"Error",VLOOKUP(S166,'G-1 All Habitats'!$Z$2:$AA$9,2,FALSE)),"")</f>
        <v/>
      </c>
      <c r="U166" s="173"/>
      <c r="V166" s="179" t="str">
        <f>IF(U166="","",IF(VLOOKUP(U166,'G-3 Multipliers'!$L$3:$N$6,2,FALSE)=0,"Spatial Data Missing",VLOOKUP(U166,'G-3 Multipliers'!$L$3:$N$6,2,FALSE)))</f>
        <v/>
      </c>
      <c r="W166" s="260" t="str">
        <f>IF(U166="","",IF(VLOOKUP(U166,'G-3 Multipliers'!$L$3:$N$6,3,FALSE)=0,"Spatial Data Missing",VLOOKUP(U166,'G-3 Multipliers'!$L$3:$N$6,3,FALSE)))</f>
        <v/>
      </c>
      <c r="X166" s="171" t="str">
        <f>IFERROR(IF(OR(LEFT(O166,5)="Error",LEFT(N166,5)="Error",T166="Error"),"Check Data",IF(F166&lt;R166,INDEX('G-6 Hedgerow Data'!$S$3:$AE$14,MATCH(C166,'G-6 Hedgerow Data'!$B$3:$B$14,0),MATCH(M166,'G-6 Hedgerow Data'!$S$2:$AE$2,0)),INDEX('G-6 Hedgerow Data'!$K$3:$Q$14,MATCH(M166,'G-6 Hedgerow Data'!$B$3:$B$14,0),MATCH(O166,'G-6 Hedgerow Data'!$K$2:$Q$2,0)))),"")</f>
        <v/>
      </c>
      <c r="Y166" s="261"/>
      <c r="Z166" s="261"/>
      <c r="AA166" s="179" t="str">
        <f t="shared" si="19"/>
        <v/>
      </c>
      <c r="AB166" s="262" t="str">
        <f t="shared" si="20"/>
        <v/>
      </c>
      <c r="AC166" s="263" t="str">
        <f t="shared" si="17"/>
        <v/>
      </c>
      <c r="AD166" s="239" t="str">
        <f>IF(M166="","",VLOOKUP(M166,'G-6 Hedgerow Data'!$B$3:$AG$15,31,FALSE))</f>
        <v/>
      </c>
      <c r="AE166" s="175" t="str">
        <f t="shared" si="21"/>
        <v/>
      </c>
      <c r="AF166" s="175" t="str">
        <f t="shared" si="22"/>
        <v/>
      </c>
      <c r="AG166" s="176" t="str">
        <f>IFERROR(IF(O166="","",VLOOKUP(AD166,'G-3 Multipliers'!$P$3:$Q$6,2,FALSE)),"")</f>
        <v/>
      </c>
      <c r="AH166" s="266"/>
      <c r="AI166" s="172" t="str">
        <f>IF(AH166="","",IF(VLOOKUP(AH166,'G-3 Multipliers'!$S$3:$T$6,2,FALSE)=0,"Spatial Data Missing",VLOOKUP(AH166,'G-3 Multipliers'!$S$3:$T$6,2,FALSE)))</f>
        <v/>
      </c>
      <c r="AJ166" s="265" t="str">
        <f t="shared" si="23"/>
        <v/>
      </c>
      <c r="AK166" s="180"/>
      <c r="AL166" s="181"/>
      <c r="AP166" s="35" t="str">
        <f>IFERROR(INDEX('G-6 Hedgerow Data'!$BJ$3:$BJ$15,MATCH(M166,'G-6 Hedgerow Data'!$B$3:$B$15,0)),"")</f>
        <v/>
      </c>
    </row>
    <row r="167" spans="2:42" ht="13.8" x14ac:dyDescent="0.25">
      <c r="B167" s="259" t="str">
        <f>'E-1 Off Site Hedge Baseline'!AK165</f>
        <v/>
      </c>
      <c r="C167" s="175" t="str">
        <f>IF(B167="","",IF(ISNA(VLOOKUP($B167,'E-1 Off Site Hedge Baseline'!$B$1:$L$257,3,FALSE)),"",(VLOOKUP($B167,'E-1 Off Site Hedge Baseline'!$B$1:$L$257,3,FALSE))))</f>
        <v/>
      </c>
      <c r="D167" s="175" t="str">
        <f>IF(B167="","",IF(ISNA(VLOOKUP($B167,'E-1 Off Site Hedge Baseline'!$B$1:$L$258,4,FALSE)),"",(VLOOKUP($B167,'E-1 Off Site Hedge Baseline'!$B$1:$L$258,4,FALSE))))</f>
        <v/>
      </c>
      <c r="E167" s="175" t="str">
        <f>IF(B167="","",IF(ISNA(VLOOKUP($B167,'E-1 Off Site Hedge Baseline'!$B$1:$L$257,5,FALSE)),"",(VLOOKUP($B167,'E-1 Off Site Hedge Baseline'!$B$1:$L$257,5,FALSE))))</f>
        <v/>
      </c>
      <c r="F167" s="175" t="str">
        <f>IF(B167="","",IF(ISNA(VLOOKUP($B167,'E-1 Off Site Hedge Baseline'!$B$1:$L$257,6,FALSE)),"",(VLOOKUP($B167,'E-1 Off Site Hedge Baseline'!$B$1:$L$257,6,FALSE))))</f>
        <v/>
      </c>
      <c r="G167" s="175" t="str">
        <f>IF(B167="","",IF(ISNA(VLOOKUP($B167,'E-1 Off Site Hedge Baseline'!$B$1:$L$257,7,FALSE)),"",(VLOOKUP($B167,'E-1 Off Site Hedge Baseline'!$B$1:$L$257,7,FALSE))))</f>
        <v/>
      </c>
      <c r="H167" s="175" t="str">
        <f>IF(B167="","",IF(ISNA(VLOOKUP($B167,'E-1 Off Site Hedge Baseline'!$B$1:$L$257,8,FALSE)),"",(VLOOKUP($B167,'E-1 Off Site Hedge Baseline'!$B$1:$L$257,8,FALSE))))</f>
        <v/>
      </c>
      <c r="I167" s="175" t="str">
        <f>IF(B167="","",IF(ISNA(VLOOKUP($B167,'E-1 Off Site Hedge Baseline'!$B$1:$L$257,10,FALSE)),"",(VLOOKUP($B167,'E-1 Off Site Hedge Baseline'!$B$1:$L$257,10,FALSE))))</f>
        <v/>
      </c>
      <c r="J167" s="175" t="str">
        <f>IF(B167="","",IF(ISNA(VLOOKUP($B167,'E-1 Off Site Hedge Baseline'!$B$1:$L$257,11,FALSE)),"",(VLOOKUP($B167,'E-1 Off Site Hedge Baseline'!$B$1:$L$257,11,FALSE))))</f>
        <v/>
      </c>
      <c r="K167" s="175" t="str">
        <f>IF(B167="","",IF(ISNA(VLOOKUP($B167,'E-1 Off Site Hedge Baseline'!$B$1:$U$257,113,FALSE)),"",(VLOOKUP($B167,'E-1 Off Site Hedge Baseline'!$B$1:$U$257,13,FALSE))))</f>
        <v/>
      </c>
      <c r="L167" s="179" t="str">
        <f>IF(B167="","",IF(ISNA(VLOOKUP($B167,'E-1 Off Site Hedge Baseline'!$B$1:$U$257,12,FALSE)),"",(VLOOKUP($B167,'E-1 Off Site Hedge Baseline'!$B$1:$U$257,12,FALSE))))</f>
        <v/>
      </c>
      <c r="M167" s="639" t="str">
        <f t="shared" si="24"/>
        <v/>
      </c>
      <c r="N167" s="171" t="str">
        <f>IFERROR(IF(B167="","",INDEX('G-6 Hedgerow Data'!$AN$3:$AZ$15,MATCH(C167,'G-6 Hedgerow Data'!$AM$3:$AM$15,0),MATCH(M167,'G-6 Hedgerow Data'!$AN$2:$AZ$2,0))),"")</f>
        <v/>
      </c>
      <c r="O167" s="172" t="str">
        <f t="shared" si="18"/>
        <v/>
      </c>
      <c r="P167" s="260" t="str">
        <f>IF(B167="","",VLOOKUP(B167,'E-1 Off Site Hedge Baseline'!$B$10:T412,16,FALSE))</f>
        <v/>
      </c>
      <c r="Q167" s="171" t="str">
        <f>IF(M167="","",VLOOKUP(M167,'G-6 Hedgerow Data'!$B$2:$AG$15,2,FALSE))</f>
        <v/>
      </c>
      <c r="R167" s="172" t="str">
        <f>IF(M167="","",VLOOKUP(M167,'G-6 Hedgerow Data'!$B$2:$AG$15,3,FALSE))</f>
        <v/>
      </c>
      <c r="S167" s="173"/>
      <c r="T167" s="172" t="str">
        <f>IFERROR(IF(AND(Q167="V.Low",OR(S167="Good",S167="Moderate")),"Error",VLOOKUP(S167,'G-1 All Habitats'!$Z$2:$AA$9,2,FALSE)),"")</f>
        <v/>
      </c>
      <c r="U167" s="173"/>
      <c r="V167" s="179" t="str">
        <f>IF(U167="","",IF(VLOOKUP(U167,'G-3 Multipliers'!$L$3:$N$6,2,FALSE)=0,"Spatial Data Missing",VLOOKUP(U167,'G-3 Multipliers'!$L$3:$N$6,2,FALSE)))</f>
        <v/>
      </c>
      <c r="W167" s="260" t="str">
        <f>IF(U167="","",IF(VLOOKUP(U167,'G-3 Multipliers'!$L$3:$N$6,3,FALSE)=0,"Spatial Data Missing",VLOOKUP(U167,'G-3 Multipliers'!$L$3:$N$6,3,FALSE)))</f>
        <v/>
      </c>
      <c r="X167" s="171" t="str">
        <f>IFERROR(IF(OR(LEFT(O167,5)="Error",LEFT(N167,5)="Error",T167="Error"),"Check Data",IF(F167&lt;R167,INDEX('G-6 Hedgerow Data'!$S$3:$AE$14,MATCH(C167,'G-6 Hedgerow Data'!$B$3:$B$14,0),MATCH(M167,'G-6 Hedgerow Data'!$S$2:$AE$2,0)),INDEX('G-6 Hedgerow Data'!$K$3:$Q$14,MATCH(M167,'G-6 Hedgerow Data'!$B$3:$B$14,0),MATCH(O167,'G-6 Hedgerow Data'!$K$2:$Q$2,0)))),"")</f>
        <v/>
      </c>
      <c r="Y167" s="261"/>
      <c r="Z167" s="261"/>
      <c r="AA167" s="179" t="str">
        <f t="shared" si="19"/>
        <v/>
      </c>
      <c r="AB167" s="262" t="str">
        <f t="shared" si="20"/>
        <v/>
      </c>
      <c r="AC167" s="263" t="str">
        <f t="shared" si="17"/>
        <v/>
      </c>
      <c r="AD167" s="239" t="str">
        <f>IF(M167="","",VLOOKUP(M167,'G-6 Hedgerow Data'!$B$3:$AG$15,31,FALSE))</f>
        <v/>
      </c>
      <c r="AE167" s="175" t="str">
        <f t="shared" si="21"/>
        <v/>
      </c>
      <c r="AF167" s="175" t="str">
        <f t="shared" si="22"/>
        <v/>
      </c>
      <c r="AG167" s="176" t="str">
        <f>IFERROR(IF(O167="","",VLOOKUP(AD167,'G-3 Multipliers'!$P$3:$Q$6,2,FALSE)),"")</f>
        <v/>
      </c>
      <c r="AH167" s="266"/>
      <c r="AI167" s="172" t="str">
        <f>IF(AH167="","",IF(VLOOKUP(AH167,'G-3 Multipliers'!$S$3:$T$6,2,FALSE)=0,"Spatial Data Missing",VLOOKUP(AH167,'G-3 Multipliers'!$S$3:$T$6,2,FALSE)))</f>
        <v/>
      </c>
      <c r="AJ167" s="265" t="str">
        <f t="shared" si="23"/>
        <v/>
      </c>
      <c r="AK167" s="180"/>
      <c r="AL167" s="181"/>
      <c r="AP167" s="35" t="str">
        <f>IFERROR(INDEX('G-6 Hedgerow Data'!$BJ$3:$BJ$15,MATCH(M167,'G-6 Hedgerow Data'!$B$3:$B$15,0)),"")</f>
        <v/>
      </c>
    </row>
    <row r="168" spans="2:42" ht="13.8" x14ac:dyDescent="0.25">
      <c r="B168" s="259" t="str">
        <f>'E-1 Off Site Hedge Baseline'!AK166</f>
        <v/>
      </c>
      <c r="C168" s="175" t="str">
        <f>IF(B168="","",IF(ISNA(VLOOKUP($B168,'E-1 Off Site Hedge Baseline'!$B$1:$L$257,3,FALSE)),"",(VLOOKUP($B168,'E-1 Off Site Hedge Baseline'!$B$1:$L$257,3,FALSE))))</f>
        <v/>
      </c>
      <c r="D168" s="175" t="str">
        <f>IF(B168="","",IF(ISNA(VLOOKUP($B168,'E-1 Off Site Hedge Baseline'!$B$1:$L$258,4,FALSE)),"",(VLOOKUP($B168,'E-1 Off Site Hedge Baseline'!$B$1:$L$258,4,FALSE))))</f>
        <v/>
      </c>
      <c r="E168" s="175" t="str">
        <f>IF(B168="","",IF(ISNA(VLOOKUP($B168,'E-1 Off Site Hedge Baseline'!$B$1:$L$257,5,FALSE)),"",(VLOOKUP($B168,'E-1 Off Site Hedge Baseline'!$B$1:$L$257,5,FALSE))))</f>
        <v/>
      </c>
      <c r="F168" s="175" t="str">
        <f>IF(B168="","",IF(ISNA(VLOOKUP($B168,'E-1 Off Site Hedge Baseline'!$B$1:$L$257,6,FALSE)),"",(VLOOKUP($B168,'E-1 Off Site Hedge Baseline'!$B$1:$L$257,6,FALSE))))</f>
        <v/>
      </c>
      <c r="G168" s="175" t="str">
        <f>IF(B168="","",IF(ISNA(VLOOKUP($B168,'E-1 Off Site Hedge Baseline'!$B$1:$L$257,7,FALSE)),"",(VLOOKUP($B168,'E-1 Off Site Hedge Baseline'!$B$1:$L$257,7,FALSE))))</f>
        <v/>
      </c>
      <c r="H168" s="175" t="str">
        <f>IF(B168="","",IF(ISNA(VLOOKUP($B168,'E-1 Off Site Hedge Baseline'!$B$1:$L$257,8,FALSE)),"",(VLOOKUP($B168,'E-1 Off Site Hedge Baseline'!$B$1:$L$257,8,FALSE))))</f>
        <v/>
      </c>
      <c r="I168" s="175" t="str">
        <f>IF(B168="","",IF(ISNA(VLOOKUP($B168,'E-1 Off Site Hedge Baseline'!$B$1:$L$257,10,FALSE)),"",(VLOOKUP($B168,'E-1 Off Site Hedge Baseline'!$B$1:$L$257,10,FALSE))))</f>
        <v/>
      </c>
      <c r="J168" s="175" t="str">
        <f>IF(B168="","",IF(ISNA(VLOOKUP($B168,'E-1 Off Site Hedge Baseline'!$B$1:$L$257,11,FALSE)),"",(VLOOKUP($B168,'E-1 Off Site Hedge Baseline'!$B$1:$L$257,11,FALSE))))</f>
        <v/>
      </c>
      <c r="K168" s="175" t="str">
        <f>IF(B168="","",IF(ISNA(VLOOKUP($B168,'E-1 Off Site Hedge Baseline'!$B$1:$U$257,113,FALSE)),"",(VLOOKUP($B168,'E-1 Off Site Hedge Baseline'!$B$1:$U$257,13,FALSE))))</f>
        <v/>
      </c>
      <c r="L168" s="179" t="str">
        <f>IF(B168="","",IF(ISNA(VLOOKUP($B168,'E-1 Off Site Hedge Baseline'!$B$1:$U$257,12,FALSE)),"",(VLOOKUP($B168,'E-1 Off Site Hedge Baseline'!$B$1:$U$257,12,FALSE))))</f>
        <v/>
      </c>
      <c r="M168" s="639" t="str">
        <f t="shared" si="24"/>
        <v/>
      </c>
      <c r="N168" s="171" t="str">
        <f>IFERROR(IF(B168="","",INDEX('G-6 Hedgerow Data'!$AN$3:$AZ$15,MATCH(C168,'G-6 Hedgerow Data'!$AM$3:$AM$15,0),MATCH(M168,'G-6 Hedgerow Data'!$AN$2:$AZ$2,0))),"")</f>
        <v/>
      </c>
      <c r="O168" s="172" t="str">
        <f t="shared" si="18"/>
        <v/>
      </c>
      <c r="P168" s="260" t="str">
        <f>IF(B168="","",VLOOKUP(B168,'E-1 Off Site Hedge Baseline'!$B$10:T413,16,FALSE))</f>
        <v/>
      </c>
      <c r="Q168" s="171" t="str">
        <f>IF(M168="","",VLOOKUP(M168,'G-6 Hedgerow Data'!$B$2:$AG$15,2,FALSE))</f>
        <v/>
      </c>
      <c r="R168" s="172" t="str">
        <f>IF(M168="","",VLOOKUP(M168,'G-6 Hedgerow Data'!$B$2:$AG$15,3,FALSE))</f>
        <v/>
      </c>
      <c r="S168" s="173"/>
      <c r="T168" s="172" t="str">
        <f>IFERROR(IF(AND(Q168="V.Low",OR(S168="Good",S168="Moderate")),"Error",VLOOKUP(S168,'G-1 All Habitats'!$Z$2:$AA$9,2,FALSE)),"")</f>
        <v/>
      </c>
      <c r="U168" s="173"/>
      <c r="V168" s="179" t="str">
        <f>IF(U168="","",IF(VLOOKUP(U168,'G-3 Multipliers'!$L$3:$N$6,2,FALSE)=0,"Spatial Data Missing",VLOOKUP(U168,'G-3 Multipliers'!$L$3:$N$6,2,FALSE)))</f>
        <v/>
      </c>
      <c r="W168" s="260" t="str">
        <f>IF(U168="","",IF(VLOOKUP(U168,'G-3 Multipliers'!$L$3:$N$6,3,FALSE)=0,"Spatial Data Missing",VLOOKUP(U168,'G-3 Multipliers'!$L$3:$N$6,3,FALSE)))</f>
        <v/>
      </c>
      <c r="X168" s="171" t="str">
        <f>IFERROR(IF(OR(LEFT(O168,5)="Error",LEFT(N168,5)="Error",T168="Error"),"Check Data",IF(F168&lt;R168,INDEX('G-6 Hedgerow Data'!$S$3:$AE$14,MATCH(C168,'G-6 Hedgerow Data'!$B$3:$B$14,0),MATCH(M168,'G-6 Hedgerow Data'!$S$2:$AE$2,0)),INDEX('G-6 Hedgerow Data'!$K$3:$Q$14,MATCH(M168,'G-6 Hedgerow Data'!$B$3:$B$14,0),MATCH(O168,'G-6 Hedgerow Data'!$K$2:$Q$2,0)))),"")</f>
        <v/>
      </c>
      <c r="Y168" s="261"/>
      <c r="Z168" s="261"/>
      <c r="AA168" s="179" t="str">
        <f t="shared" si="19"/>
        <v/>
      </c>
      <c r="AB168" s="262" t="str">
        <f t="shared" si="20"/>
        <v/>
      </c>
      <c r="AC168" s="263" t="str">
        <f t="shared" si="17"/>
        <v/>
      </c>
      <c r="AD168" s="239" t="str">
        <f>IF(M168="","",VLOOKUP(M168,'G-6 Hedgerow Data'!$B$3:$AG$15,31,FALSE))</f>
        <v/>
      </c>
      <c r="AE168" s="175" t="str">
        <f t="shared" si="21"/>
        <v/>
      </c>
      <c r="AF168" s="175" t="str">
        <f t="shared" si="22"/>
        <v/>
      </c>
      <c r="AG168" s="176" t="str">
        <f>IFERROR(IF(O168="","",VLOOKUP(AD168,'G-3 Multipliers'!$P$3:$Q$6,2,FALSE)),"")</f>
        <v/>
      </c>
      <c r="AH168" s="266"/>
      <c r="AI168" s="172" t="str">
        <f>IF(AH168="","",IF(VLOOKUP(AH168,'G-3 Multipliers'!$S$3:$T$6,2,FALSE)=0,"Spatial Data Missing",VLOOKUP(AH168,'G-3 Multipliers'!$S$3:$T$6,2,FALSE)))</f>
        <v/>
      </c>
      <c r="AJ168" s="265" t="str">
        <f t="shared" si="23"/>
        <v/>
      </c>
      <c r="AK168" s="180"/>
      <c r="AL168" s="181"/>
      <c r="AP168" s="35" t="str">
        <f>IFERROR(INDEX('G-6 Hedgerow Data'!$BJ$3:$BJ$15,MATCH(M168,'G-6 Hedgerow Data'!$B$3:$B$15,0)),"")</f>
        <v/>
      </c>
    </row>
    <row r="169" spans="2:42" ht="13.8" x14ac:dyDescent="0.25">
      <c r="B169" s="259" t="str">
        <f>'E-1 Off Site Hedge Baseline'!AK167</f>
        <v/>
      </c>
      <c r="C169" s="175" t="str">
        <f>IF(B169="","",IF(ISNA(VLOOKUP($B169,'E-1 Off Site Hedge Baseline'!$B$1:$L$257,3,FALSE)),"",(VLOOKUP($B169,'E-1 Off Site Hedge Baseline'!$B$1:$L$257,3,FALSE))))</f>
        <v/>
      </c>
      <c r="D169" s="175" t="str">
        <f>IF(B169="","",IF(ISNA(VLOOKUP($B169,'E-1 Off Site Hedge Baseline'!$B$1:$L$258,4,FALSE)),"",(VLOOKUP($B169,'E-1 Off Site Hedge Baseline'!$B$1:$L$258,4,FALSE))))</f>
        <v/>
      </c>
      <c r="E169" s="175" t="str">
        <f>IF(B169="","",IF(ISNA(VLOOKUP($B169,'E-1 Off Site Hedge Baseline'!$B$1:$L$257,5,FALSE)),"",(VLOOKUP($B169,'E-1 Off Site Hedge Baseline'!$B$1:$L$257,5,FALSE))))</f>
        <v/>
      </c>
      <c r="F169" s="175" t="str">
        <f>IF(B169="","",IF(ISNA(VLOOKUP($B169,'E-1 Off Site Hedge Baseline'!$B$1:$L$257,6,FALSE)),"",(VLOOKUP($B169,'E-1 Off Site Hedge Baseline'!$B$1:$L$257,6,FALSE))))</f>
        <v/>
      </c>
      <c r="G169" s="175" t="str">
        <f>IF(B169="","",IF(ISNA(VLOOKUP($B169,'E-1 Off Site Hedge Baseline'!$B$1:$L$257,7,FALSE)),"",(VLOOKUP($B169,'E-1 Off Site Hedge Baseline'!$B$1:$L$257,7,FALSE))))</f>
        <v/>
      </c>
      <c r="H169" s="175" t="str">
        <f>IF(B169="","",IF(ISNA(VLOOKUP($B169,'E-1 Off Site Hedge Baseline'!$B$1:$L$257,8,FALSE)),"",(VLOOKUP($B169,'E-1 Off Site Hedge Baseline'!$B$1:$L$257,8,FALSE))))</f>
        <v/>
      </c>
      <c r="I169" s="175" t="str">
        <f>IF(B169="","",IF(ISNA(VLOOKUP($B169,'E-1 Off Site Hedge Baseline'!$B$1:$L$257,10,FALSE)),"",(VLOOKUP($B169,'E-1 Off Site Hedge Baseline'!$B$1:$L$257,10,FALSE))))</f>
        <v/>
      </c>
      <c r="J169" s="175" t="str">
        <f>IF(B169="","",IF(ISNA(VLOOKUP($B169,'E-1 Off Site Hedge Baseline'!$B$1:$L$257,11,FALSE)),"",(VLOOKUP($B169,'E-1 Off Site Hedge Baseline'!$B$1:$L$257,11,FALSE))))</f>
        <v/>
      </c>
      <c r="K169" s="175" t="str">
        <f>IF(B169="","",IF(ISNA(VLOOKUP($B169,'E-1 Off Site Hedge Baseline'!$B$1:$U$257,113,FALSE)),"",(VLOOKUP($B169,'E-1 Off Site Hedge Baseline'!$B$1:$U$257,13,FALSE))))</f>
        <v/>
      </c>
      <c r="L169" s="179" t="str">
        <f>IF(B169="","",IF(ISNA(VLOOKUP($B169,'E-1 Off Site Hedge Baseline'!$B$1:$U$257,12,FALSE)),"",(VLOOKUP($B169,'E-1 Off Site Hedge Baseline'!$B$1:$U$257,12,FALSE))))</f>
        <v/>
      </c>
      <c r="M169" s="639" t="str">
        <f t="shared" si="24"/>
        <v/>
      </c>
      <c r="N169" s="171" t="str">
        <f>IFERROR(IF(B169="","",INDEX('G-6 Hedgerow Data'!$AN$3:$AZ$15,MATCH(C169,'G-6 Hedgerow Data'!$AM$3:$AM$15,0),MATCH(M169,'G-6 Hedgerow Data'!$AN$2:$AZ$2,0))),"")</f>
        <v/>
      </c>
      <c r="O169" s="172" t="str">
        <f t="shared" si="18"/>
        <v/>
      </c>
      <c r="P169" s="260" t="str">
        <f>IF(B169="","",VLOOKUP(B169,'E-1 Off Site Hedge Baseline'!$B$10:T414,16,FALSE))</f>
        <v/>
      </c>
      <c r="Q169" s="171" t="str">
        <f>IF(M169="","",VLOOKUP(M169,'G-6 Hedgerow Data'!$B$2:$AG$15,2,FALSE))</f>
        <v/>
      </c>
      <c r="R169" s="172" t="str">
        <f>IF(M169="","",VLOOKUP(M169,'G-6 Hedgerow Data'!$B$2:$AG$15,3,FALSE))</f>
        <v/>
      </c>
      <c r="S169" s="173"/>
      <c r="T169" s="172" t="str">
        <f>IFERROR(IF(AND(Q169="V.Low",OR(S169="Good",S169="Moderate")),"Error",VLOOKUP(S169,'G-1 All Habitats'!$Z$2:$AA$9,2,FALSE)),"")</f>
        <v/>
      </c>
      <c r="U169" s="173"/>
      <c r="V169" s="179" t="str">
        <f>IF(U169="","",IF(VLOOKUP(U169,'G-3 Multipliers'!$L$3:$N$6,2,FALSE)=0,"Spatial Data Missing",VLOOKUP(U169,'G-3 Multipliers'!$L$3:$N$6,2,FALSE)))</f>
        <v/>
      </c>
      <c r="W169" s="260" t="str">
        <f>IF(U169="","",IF(VLOOKUP(U169,'G-3 Multipliers'!$L$3:$N$6,3,FALSE)=0,"Spatial Data Missing",VLOOKUP(U169,'G-3 Multipliers'!$L$3:$N$6,3,FALSE)))</f>
        <v/>
      </c>
      <c r="X169" s="171" t="str">
        <f>IFERROR(IF(OR(LEFT(O169,5)="Error",LEFT(N169,5)="Error",T169="Error"),"Check Data",IF(F169&lt;R169,INDEX('G-6 Hedgerow Data'!$S$3:$AE$14,MATCH(C169,'G-6 Hedgerow Data'!$B$3:$B$14,0),MATCH(M169,'G-6 Hedgerow Data'!$S$2:$AE$2,0)),INDEX('G-6 Hedgerow Data'!$K$3:$Q$14,MATCH(M169,'G-6 Hedgerow Data'!$B$3:$B$14,0),MATCH(O169,'G-6 Hedgerow Data'!$K$2:$Q$2,0)))),"")</f>
        <v/>
      </c>
      <c r="Y169" s="261"/>
      <c r="Z169" s="261"/>
      <c r="AA169" s="179" t="str">
        <f t="shared" si="19"/>
        <v/>
      </c>
      <c r="AB169" s="262" t="str">
        <f t="shared" si="20"/>
        <v/>
      </c>
      <c r="AC169" s="263" t="str">
        <f t="shared" si="17"/>
        <v/>
      </c>
      <c r="AD169" s="239" t="str">
        <f>IF(M169="","",VLOOKUP(M169,'G-6 Hedgerow Data'!$B$3:$AG$15,31,FALSE))</f>
        <v/>
      </c>
      <c r="AE169" s="175" t="str">
        <f t="shared" si="21"/>
        <v/>
      </c>
      <c r="AF169" s="175" t="str">
        <f t="shared" si="22"/>
        <v/>
      </c>
      <c r="AG169" s="176" t="str">
        <f>IFERROR(IF(O169="","",VLOOKUP(AD169,'G-3 Multipliers'!$P$3:$Q$6,2,FALSE)),"")</f>
        <v/>
      </c>
      <c r="AH169" s="266"/>
      <c r="AI169" s="172" t="str">
        <f>IF(AH169="","",IF(VLOOKUP(AH169,'G-3 Multipliers'!$S$3:$T$6,2,FALSE)=0,"Spatial Data Missing",VLOOKUP(AH169,'G-3 Multipliers'!$S$3:$T$6,2,FALSE)))</f>
        <v/>
      </c>
      <c r="AJ169" s="265" t="str">
        <f t="shared" si="23"/>
        <v/>
      </c>
      <c r="AK169" s="180"/>
      <c r="AL169" s="181"/>
      <c r="AP169" s="35" t="str">
        <f>IFERROR(INDEX('G-6 Hedgerow Data'!$BJ$3:$BJ$15,MATCH(M169,'G-6 Hedgerow Data'!$B$3:$B$15,0)),"")</f>
        <v/>
      </c>
    </row>
    <row r="170" spans="2:42" ht="13.8" x14ac:dyDescent="0.25">
      <c r="B170" s="259" t="str">
        <f>'E-1 Off Site Hedge Baseline'!AK168</f>
        <v/>
      </c>
      <c r="C170" s="175" t="str">
        <f>IF(B170="","",IF(ISNA(VLOOKUP($B170,'E-1 Off Site Hedge Baseline'!$B$1:$L$257,3,FALSE)),"",(VLOOKUP($B170,'E-1 Off Site Hedge Baseline'!$B$1:$L$257,3,FALSE))))</f>
        <v/>
      </c>
      <c r="D170" s="175" t="str">
        <f>IF(B170="","",IF(ISNA(VLOOKUP($B170,'E-1 Off Site Hedge Baseline'!$B$1:$L$258,4,FALSE)),"",(VLOOKUP($B170,'E-1 Off Site Hedge Baseline'!$B$1:$L$258,4,FALSE))))</f>
        <v/>
      </c>
      <c r="E170" s="175" t="str">
        <f>IF(B170="","",IF(ISNA(VLOOKUP($B170,'E-1 Off Site Hedge Baseline'!$B$1:$L$257,5,FALSE)),"",(VLOOKUP($B170,'E-1 Off Site Hedge Baseline'!$B$1:$L$257,5,FALSE))))</f>
        <v/>
      </c>
      <c r="F170" s="175" t="str">
        <f>IF(B170="","",IF(ISNA(VLOOKUP($B170,'E-1 Off Site Hedge Baseline'!$B$1:$L$257,6,FALSE)),"",(VLOOKUP($B170,'E-1 Off Site Hedge Baseline'!$B$1:$L$257,6,FALSE))))</f>
        <v/>
      </c>
      <c r="G170" s="175" t="str">
        <f>IF(B170="","",IF(ISNA(VLOOKUP($B170,'E-1 Off Site Hedge Baseline'!$B$1:$L$257,7,FALSE)),"",(VLOOKUP($B170,'E-1 Off Site Hedge Baseline'!$B$1:$L$257,7,FALSE))))</f>
        <v/>
      </c>
      <c r="H170" s="175" t="str">
        <f>IF(B170="","",IF(ISNA(VLOOKUP($B170,'E-1 Off Site Hedge Baseline'!$B$1:$L$257,8,FALSE)),"",(VLOOKUP($B170,'E-1 Off Site Hedge Baseline'!$B$1:$L$257,8,FALSE))))</f>
        <v/>
      </c>
      <c r="I170" s="175" t="str">
        <f>IF(B170="","",IF(ISNA(VLOOKUP($B170,'E-1 Off Site Hedge Baseline'!$B$1:$L$257,10,FALSE)),"",(VLOOKUP($B170,'E-1 Off Site Hedge Baseline'!$B$1:$L$257,10,FALSE))))</f>
        <v/>
      </c>
      <c r="J170" s="175" t="str">
        <f>IF(B170="","",IF(ISNA(VLOOKUP($B170,'E-1 Off Site Hedge Baseline'!$B$1:$L$257,11,FALSE)),"",(VLOOKUP($B170,'E-1 Off Site Hedge Baseline'!$B$1:$L$257,11,FALSE))))</f>
        <v/>
      </c>
      <c r="K170" s="175" t="str">
        <f>IF(B170="","",IF(ISNA(VLOOKUP($B170,'E-1 Off Site Hedge Baseline'!$B$1:$U$257,113,FALSE)),"",(VLOOKUP($B170,'E-1 Off Site Hedge Baseline'!$B$1:$U$257,13,FALSE))))</f>
        <v/>
      </c>
      <c r="L170" s="179" t="str">
        <f>IF(B170="","",IF(ISNA(VLOOKUP($B170,'E-1 Off Site Hedge Baseline'!$B$1:$U$257,12,FALSE)),"",(VLOOKUP($B170,'E-1 Off Site Hedge Baseline'!$B$1:$U$257,12,FALSE))))</f>
        <v/>
      </c>
      <c r="M170" s="639" t="str">
        <f t="shared" si="24"/>
        <v/>
      </c>
      <c r="N170" s="171" t="str">
        <f>IFERROR(IF(B170="","",INDEX('G-6 Hedgerow Data'!$AN$3:$AZ$15,MATCH(C170,'G-6 Hedgerow Data'!$AM$3:$AM$15,0),MATCH(M170,'G-6 Hedgerow Data'!$AN$2:$AZ$2,0))),"")</f>
        <v/>
      </c>
      <c r="O170" s="172" t="str">
        <f t="shared" si="18"/>
        <v/>
      </c>
      <c r="P170" s="260" t="str">
        <f>IF(B170="","",VLOOKUP(B170,'E-1 Off Site Hedge Baseline'!$B$10:T415,16,FALSE))</f>
        <v/>
      </c>
      <c r="Q170" s="171" t="str">
        <f>IF(M170="","",VLOOKUP(M170,'G-6 Hedgerow Data'!$B$2:$AG$15,2,FALSE))</f>
        <v/>
      </c>
      <c r="R170" s="172" t="str">
        <f>IF(M170="","",VLOOKUP(M170,'G-6 Hedgerow Data'!$B$2:$AG$15,3,FALSE))</f>
        <v/>
      </c>
      <c r="S170" s="173"/>
      <c r="T170" s="172" t="str">
        <f>IFERROR(IF(AND(Q170="V.Low",OR(S170="Good",S170="Moderate")),"Error",VLOOKUP(S170,'G-1 All Habitats'!$Z$2:$AA$9,2,FALSE)),"")</f>
        <v/>
      </c>
      <c r="U170" s="173"/>
      <c r="V170" s="179" t="str">
        <f>IF(U170="","",IF(VLOOKUP(U170,'G-3 Multipliers'!$L$3:$N$6,2,FALSE)=0,"Spatial Data Missing",VLOOKUP(U170,'G-3 Multipliers'!$L$3:$N$6,2,FALSE)))</f>
        <v/>
      </c>
      <c r="W170" s="260" t="str">
        <f>IF(U170="","",IF(VLOOKUP(U170,'G-3 Multipliers'!$L$3:$N$6,3,FALSE)=0,"Spatial Data Missing",VLOOKUP(U170,'G-3 Multipliers'!$L$3:$N$6,3,FALSE)))</f>
        <v/>
      </c>
      <c r="X170" s="171" t="str">
        <f>IFERROR(IF(OR(LEFT(O170,5)="Error",LEFT(N170,5)="Error",T170="Error"),"Check Data",IF(F170&lt;R170,INDEX('G-6 Hedgerow Data'!$S$3:$AE$14,MATCH(C170,'G-6 Hedgerow Data'!$B$3:$B$14,0),MATCH(M170,'G-6 Hedgerow Data'!$S$2:$AE$2,0)),INDEX('G-6 Hedgerow Data'!$K$3:$Q$14,MATCH(M170,'G-6 Hedgerow Data'!$B$3:$B$14,0),MATCH(O170,'G-6 Hedgerow Data'!$K$2:$Q$2,0)))),"")</f>
        <v/>
      </c>
      <c r="Y170" s="261"/>
      <c r="Z170" s="261"/>
      <c r="AA170" s="179" t="str">
        <f t="shared" si="19"/>
        <v/>
      </c>
      <c r="AB170" s="262" t="str">
        <f t="shared" si="20"/>
        <v/>
      </c>
      <c r="AC170" s="263" t="str">
        <f t="shared" si="17"/>
        <v/>
      </c>
      <c r="AD170" s="239" t="str">
        <f>IF(M170="","",VLOOKUP(M170,'G-6 Hedgerow Data'!$B$3:$AG$15,31,FALSE))</f>
        <v/>
      </c>
      <c r="AE170" s="175" t="str">
        <f t="shared" si="21"/>
        <v/>
      </c>
      <c r="AF170" s="175" t="str">
        <f t="shared" si="22"/>
        <v/>
      </c>
      <c r="AG170" s="176" t="str">
        <f>IFERROR(IF(O170="","",VLOOKUP(AD170,'G-3 Multipliers'!$P$3:$Q$6,2,FALSE)),"")</f>
        <v/>
      </c>
      <c r="AH170" s="266"/>
      <c r="AI170" s="172" t="str">
        <f>IF(AH170="","",IF(VLOOKUP(AH170,'G-3 Multipliers'!$S$3:$T$6,2,FALSE)=0,"Spatial Data Missing",VLOOKUP(AH170,'G-3 Multipliers'!$S$3:$T$6,2,FALSE)))</f>
        <v/>
      </c>
      <c r="AJ170" s="265" t="str">
        <f t="shared" si="23"/>
        <v/>
      </c>
      <c r="AK170" s="180"/>
      <c r="AL170" s="181"/>
      <c r="AP170" s="35" t="str">
        <f>IFERROR(INDEX('G-6 Hedgerow Data'!$BJ$3:$BJ$15,MATCH(M170,'G-6 Hedgerow Data'!$B$3:$B$15,0)),"")</f>
        <v/>
      </c>
    </row>
    <row r="171" spans="2:42" ht="13.8" x14ac:dyDescent="0.25">
      <c r="B171" s="259" t="str">
        <f>'E-1 Off Site Hedge Baseline'!AK169</f>
        <v/>
      </c>
      <c r="C171" s="175" t="str">
        <f>IF(B171="","",IF(ISNA(VLOOKUP($B171,'E-1 Off Site Hedge Baseline'!$B$1:$L$257,3,FALSE)),"",(VLOOKUP($B171,'E-1 Off Site Hedge Baseline'!$B$1:$L$257,3,FALSE))))</f>
        <v/>
      </c>
      <c r="D171" s="175" t="str">
        <f>IF(B171="","",IF(ISNA(VLOOKUP($B171,'E-1 Off Site Hedge Baseline'!$B$1:$L$258,4,FALSE)),"",(VLOOKUP($B171,'E-1 Off Site Hedge Baseline'!$B$1:$L$258,4,FALSE))))</f>
        <v/>
      </c>
      <c r="E171" s="175" t="str">
        <f>IF(B171="","",IF(ISNA(VLOOKUP($B171,'E-1 Off Site Hedge Baseline'!$B$1:$L$257,5,FALSE)),"",(VLOOKUP($B171,'E-1 Off Site Hedge Baseline'!$B$1:$L$257,5,FALSE))))</f>
        <v/>
      </c>
      <c r="F171" s="175" t="str">
        <f>IF(B171="","",IF(ISNA(VLOOKUP($B171,'E-1 Off Site Hedge Baseline'!$B$1:$L$257,6,FALSE)),"",(VLOOKUP($B171,'E-1 Off Site Hedge Baseline'!$B$1:$L$257,6,FALSE))))</f>
        <v/>
      </c>
      <c r="G171" s="175" t="str">
        <f>IF(B171="","",IF(ISNA(VLOOKUP($B171,'E-1 Off Site Hedge Baseline'!$B$1:$L$257,7,FALSE)),"",(VLOOKUP($B171,'E-1 Off Site Hedge Baseline'!$B$1:$L$257,7,FALSE))))</f>
        <v/>
      </c>
      <c r="H171" s="175" t="str">
        <f>IF(B171="","",IF(ISNA(VLOOKUP($B171,'E-1 Off Site Hedge Baseline'!$B$1:$L$257,8,FALSE)),"",(VLOOKUP($B171,'E-1 Off Site Hedge Baseline'!$B$1:$L$257,8,FALSE))))</f>
        <v/>
      </c>
      <c r="I171" s="175" t="str">
        <f>IF(B171="","",IF(ISNA(VLOOKUP($B171,'E-1 Off Site Hedge Baseline'!$B$1:$L$257,10,FALSE)),"",(VLOOKUP($B171,'E-1 Off Site Hedge Baseline'!$B$1:$L$257,10,FALSE))))</f>
        <v/>
      </c>
      <c r="J171" s="175" t="str">
        <f>IF(B171="","",IF(ISNA(VLOOKUP($B171,'E-1 Off Site Hedge Baseline'!$B$1:$L$257,11,FALSE)),"",(VLOOKUP($B171,'E-1 Off Site Hedge Baseline'!$B$1:$L$257,11,FALSE))))</f>
        <v/>
      </c>
      <c r="K171" s="175" t="str">
        <f>IF(B171="","",IF(ISNA(VLOOKUP($B171,'E-1 Off Site Hedge Baseline'!$B$1:$U$257,113,FALSE)),"",(VLOOKUP($B171,'E-1 Off Site Hedge Baseline'!$B$1:$U$257,13,FALSE))))</f>
        <v/>
      </c>
      <c r="L171" s="179" t="str">
        <f>IF(B171="","",IF(ISNA(VLOOKUP($B171,'E-1 Off Site Hedge Baseline'!$B$1:$U$257,12,FALSE)),"",(VLOOKUP($B171,'E-1 Off Site Hedge Baseline'!$B$1:$U$257,12,FALSE))))</f>
        <v/>
      </c>
      <c r="M171" s="639" t="str">
        <f t="shared" si="24"/>
        <v/>
      </c>
      <c r="N171" s="171" t="str">
        <f>IFERROR(IF(B171="","",INDEX('G-6 Hedgerow Data'!$AN$3:$AZ$15,MATCH(C171,'G-6 Hedgerow Data'!$AM$3:$AM$15,0),MATCH(M171,'G-6 Hedgerow Data'!$AN$2:$AZ$2,0))),"")</f>
        <v/>
      </c>
      <c r="O171" s="172" t="str">
        <f t="shared" si="18"/>
        <v/>
      </c>
      <c r="P171" s="260" t="str">
        <f>IF(B171="","",VLOOKUP(B171,'E-1 Off Site Hedge Baseline'!$B$10:T416,16,FALSE))</f>
        <v/>
      </c>
      <c r="Q171" s="171" t="str">
        <f>IF(M171="","",VLOOKUP(M171,'G-6 Hedgerow Data'!$B$2:$AG$15,2,FALSE))</f>
        <v/>
      </c>
      <c r="R171" s="172" t="str">
        <f>IF(M171="","",VLOOKUP(M171,'G-6 Hedgerow Data'!$B$2:$AG$15,3,FALSE))</f>
        <v/>
      </c>
      <c r="S171" s="173"/>
      <c r="T171" s="172" t="str">
        <f>IFERROR(IF(AND(Q171="V.Low",OR(S171="Good",S171="Moderate")),"Error",VLOOKUP(S171,'G-1 All Habitats'!$Z$2:$AA$9,2,FALSE)),"")</f>
        <v/>
      </c>
      <c r="U171" s="173"/>
      <c r="V171" s="179" t="str">
        <f>IF(U171="","",IF(VLOOKUP(U171,'G-3 Multipliers'!$L$3:$N$6,2,FALSE)=0,"Spatial Data Missing",VLOOKUP(U171,'G-3 Multipliers'!$L$3:$N$6,2,FALSE)))</f>
        <v/>
      </c>
      <c r="W171" s="260" t="str">
        <f>IF(U171="","",IF(VLOOKUP(U171,'G-3 Multipliers'!$L$3:$N$6,3,FALSE)=0,"Spatial Data Missing",VLOOKUP(U171,'G-3 Multipliers'!$L$3:$N$6,3,FALSE)))</f>
        <v/>
      </c>
      <c r="X171" s="171" t="str">
        <f>IFERROR(IF(OR(LEFT(O171,5)="Error",LEFT(N171,5)="Error",T171="Error"),"Check Data",IF(F171&lt;R171,INDEX('G-6 Hedgerow Data'!$S$3:$AE$14,MATCH(C171,'G-6 Hedgerow Data'!$B$3:$B$14,0),MATCH(M171,'G-6 Hedgerow Data'!$S$2:$AE$2,0)),INDEX('G-6 Hedgerow Data'!$K$3:$Q$14,MATCH(M171,'G-6 Hedgerow Data'!$B$3:$B$14,0),MATCH(O171,'G-6 Hedgerow Data'!$K$2:$Q$2,0)))),"")</f>
        <v/>
      </c>
      <c r="Y171" s="261"/>
      <c r="Z171" s="261"/>
      <c r="AA171" s="179" t="str">
        <f t="shared" si="19"/>
        <v/>
      </c>
      <c r="AB171" s="262" t="str">
        <f t="shared" si="20"/>
        <v/>
      </c>
      <c r="AC171" s="263" t="str">
        <f t="shared" si="17"/>
        <v/>
      </c>
      <c r="AD171" s="239" t="str">
        <f>IF(M171="","",VLOOKUP(M171,'G-6 Hedgerow Data'!$B$3:$AG$15,31,FALSE))</f>
        <v/>
      </c>
      <c r="AE171" s="175" t="str">
        <f t="shared" si="21"/>
        <v/>
      </c>
      <c r="AF171" s="175" t="str">
        <f t="shared" si="22"/>
        <v/>
      </c>
      <c r="AG171" s="176" t="str">
        <f>IFERROR(IF(O171="","",VLOOKUP(AD171,'G-3 Multipliers'!$P$3:$Q$6,2,FALSE)),"")</f>
        <v/>
      </c>
      <c r="AH171" s="266"/>
      <c r="AI171" s="172" t="str">
        <f>IF(AH171="","",IF(VLOOKUP(AH171,'G-3 Multipliers'!$S$3:$T$6,2,FALSE)=0,"Spatial Data Missing",VLOOKUP(AH171,'G-3 Multipliers'!$S$3:$T$6,2,FALSE)))</f>
        <v/>
      </c>
      <c r="AJ171" s="265" t="str">
        <f t="shared" si="23"/>
        <v/>
      </c>
      <c r="AK171" s="180"/>
      <c r="AL171" s="181"/>
      <c r="AP171" s="35" t="str">
        <f>IFERROR(INDEX('G-6 Hedgerow Data'!$BJ$3:$BJ$15,MATCH(M171,'G-6 Hedgerow Data'!$B$3:$B$15,0)),"")</f>
        <v/>
      </c>
    </row>
    <row r="172" spans="2:42" ht="13.8" x14ac:dyDescent="0.25">
      <c r="B172" s="259" t="str">
        <f>'E-1 Off Site Hedge Baseline'!AK170</f>
        <v/>
      </c>
      <c r="C172" s="175" t="str">
        <f>IF(B172="","",IF(ISNA(VLOOKUP($B172,'E-1 Off Site Hedge Baseline'!$B$1:$L$257,3,FALSE)),"",(VLOOKUP($B172,'E-1 Off Site Hedge Baseline'!$B$1:$L$257,3,FALSE))))</f>
        <v/>
      </c>
      <c r="D172" s="175" t="str">
        <f>IF(B172="","",IF(ISNA(VLOOKUP($B172,'E-1 Off Site Hedge Baseline'!$B$1:$L$258,4,FALSE)),"",(VLOOKUP($B172,'E-1 Off Site Hedge Baseline'!$B$1:$L$258,4,FALSE))))</f>
        <v/>
      </c>
      <c r="E172" s="175" t="str">
        <f>IF(B172="","",IF(ISNA(VLOOKUP($B172,'E-1 Off Site Hedge Baseline'!$B$1:$L$257,5,FALSE)),"",(VLOOKUP($B172,'E-1 Off Site Hedge Baseline'!$B$1:$L$257,5,FALSE))))</f>
        <v/>
      </c>
      <c r="F172" s="175" t="str">
        <f>IF(B172="","",IF(ISNA(VLOOKUP($B172,'E-1 Off Site Hedge Baseline'!$B$1:$L$257,6,FALSE)),"",(VLOOKUP($B172,'E-1 Off Site Hedge Baseline'!$B$1:$L$257,6,FALSE))))</f>
        <v/>
      </c>
      <c r="G172" s="175" t="str">
        <f>IF(B172="","",IF(ISNA(VLOOKUP($B172,'E-1 Off Site Hedge Baseline'!$B$1:$L$257,7,FALSE)),"",(VLOOKUP($B172,'E-1 Off Site Hedge Baseline'!$B$1:$L$257,7,FALSE))))</f>
        <v/>
      </c>
      <c r="H172" s="175" t="str">
        <f>IF(B172="","",IF(ISNA(VLOOKUP($B172,'E-1 Off Site Hedge Baseline'!$B$1:$L$257,8,FALSE)),"",(VLOOKUP($B172,'E-1 Off Site Hedge Baseline'!$B$1:$L$257,8,FALSE))))</f>
        <v/>
      </c>
      <c r="I172" s="175" t="str">
        <f>IF(B172="","",IF(ISNA(VLOOKUP($B172,'E-1 Off Site Hedge Baseline'!$B$1:$L$257,10,FALSE)),"",(VLOOKUP($B172,'E-1 Off Site Hedge Baseline'!$B$1:$L$257,10,FALSE))))</f>
        <v/>
      </c>
      <c r="J172" s="175" t="str">
        <f>IF(B172="","",IF(ISNA(VLOOKUP($B172,'E-1 Off Site Hedge Baseline'!$B$1:$L$257,11,FALSE)),"",(VLOOKUP($B172,'E-1 Off Site Hedge Baseline'!$B$1:$L$257,11,FALSE))))</f>
        <v/>
      </c>
      <c r="K172" s="175" t="str">
        <f>IF(B172="","",IF(ISNA(VLOOKUP($B172,'E-1 Off Site Hedge Baseline'!$B$1:$U$257,113,FALSE)),"",(VLOOKUP($B172,'E-1 Off Site Hedge Baseline'!$B$1:$U$257,13,FALSE))))</f>
        <v/>
      </c>
      <c r="L172" s="179" t="str">
        <f>IF(B172="","",IF(ISNA(VLOOKUP($B172,'E-1 Off Site Hedge Baseline'!$B$1:$U$257,12,FALSE)),"",(VLOOKUP($B172,'E-1 Off Site Hedge Baseline'!$B$1:$U$257,12,FALSE))))</f>
        <v/>
      </c>
      <c r="M172" s="639" t="str">
        <f t="shared" si="24"/>
        <v/>
      </c>
      <c r="N172" s="171" t="str">
        <f>IFERROR(IF(B172="","",INDEX('G-6 Hedgerow Data'!$AN$3:$AZ$15,MATCH(C172,'G-6 Hedgerow Data'!$AM$3:$AM$15,0),MATCH(M172,'G-6 Hedgerow Data'!$AN$2:$AZ$2,0))),"")</f>
        <v/>
      </c>
      <c r="O172" s="172" t="str">
        <f t="shared" si="18"/>
        <v/>
      </c>
      <c r="P172" s="260" t="str">
        <f>IF(B172="","",VLOOKUP(B172,'E-1 Off Site Hedge Baseline'!$B$10:T417,16,FALSE))</f>
        <v/>
      </c>
      <c r="Q172" s="171" t="str">
        <f>IF(M172="","",VLOOKUP(M172,'G-6 Hedgerow Data'!$B$2:$AG$15,2,FALSE))</f>
        <v/>
      </c>
      <c r="R172" s="172" t="str">
        <f>IF(M172="","",VLOOKUP(M172,'G-6 Hedgerow Data'!$B$2:$AG$15,3,FALSE))</f>
        <v/>
      </c>
      <c r="S172" s="173"/>
      <c r="T172" s="172" t="str">
        <f>IFERROR(IF(AND(Q172="V.Low",OR(S172="Good",S172="Moderate")),"Error",VLOOKUP(S172,'G-1 All Habitats'!$Z$2:$AA$9,2,FALSE)),"")</f>
        <v/>
      </c>
      <c r="U172" s="173"/>
      <c r="V172" s="179" t="str">
        <f>IF(U172="","",IF(VLOOKUP(U172,'G-3 Multipliers'!$L$3:$N$6,2,FALSE)=0,"Spatial Data Missing",VLOOKUP(U172,'G-3 Multipliers'!$L$3:$N$6,2,FALSE)))</f>
        <v/>
      </c>
      <c r="W172" s="260" t="str">
        <f>IF(U172="","",IF(VLOOKUP(U172,'G-3 Multipliers'!$L$3:$N$6,3,FALSE)=0,"Spatial Data Missing",VLOOKUP(U172,'G-3 Multipliers'!$L$3:$N$6,3,FALSE)))</f>
        <v/>
      </c>
      <c r="X172" s="171" t="str">
        <f>IFERROR(IF(OR(LEFT(O172,5)="Error",LEFT(N172,5)="Error",T172="Error"),"Check Data",IF(F172&lt;R172,INDEX('G-6 Hedgerow Data'!$S$3:$AE$14,MATCH(C172,'G-6 Hedgerow Data'!$B$3:$B$14,0),MATCH(M172,'G-6 Hedgerow Data'!$S$2:$AE$2,0)),INDEX('G-6 Hedgerow Data'!$K$3:$Q$14,MATCH(M172,'G-6 Hedgerow Data'!$B$3:$B$14,0),MATCH(O172,'G-6 Hedgerow Data'!$K$2:$Q$2,0)))),"")</f>
        <v/>
      </c>
      <c r="Y172" s="261"/>
      <c r="Z172" s="261"/>
      <c r="AA172" s="179" t="str">
        <f t="shared" si="19"/>
        <v/>
      </c>
      <c r="AB172" s="262" t="str">
        <f t="shared" si="20"/>
        <v/>
      </c>
      <c r="AC172" s="263" t="str">
        <f t="shared" si="17"/>
        <v/>
      </c>
      <c r="AD172" s="239" t="str">
        <f>IF(M172="","",VLOOKUP(M172,'G-6 Hedgerow Data'!$B$3:$AG$15,31,FALSE))</f>
        <v/>
      </c>
      <c r="AE172" s="175" t="str">
        <f t="shared" si="21"/>
        <v/>
      </c>
      <c r="AF172" s="175" t="str">
        <f t="shared" si="22"/>
        <v/>
      </c>
      <c r="AG172" s="176" t="str">
        <f>IFERROR(IF(O172="","",VLOOKUP(AD172,'G-3 Multipliers'!$P$3:$Q$6,2,FALSE)),"")</f>
        <v/>
      </c>
      <c r="AH172" s="266"/>
      <c r="AI172" s="172" t="str">
        <f>IF(AH172="","",IF(VLOOKUP(AH172,'G-3 Multipliers'!$S$3:$T$6,2,FALSE)=0,"Spatial Data Missing",VLOOKUP(AH172,'G-3 Multipliers'!$S$3:$T$6,2,FALSE)))</f>
        <v/>
      </c>
      <c r="AJ172" s="265" t="str">
        <f t="shared" si="23"/>
        <v/>
      </c>
      <c r="AK172" s="180"/>
      <c r="AL172" s="181"/>
      <c r="AP172" s="35" t="str">
        <f>IFERROR(INDEX('G-6 Hedgerow Data'!$BJ$3:$BJ$15,MATCH(M172,'G-6 Hedgerow Data'!$B$3:$B$15,0)),"")</f>
        <v/>
      </c>
    </row>
    <row r="173" spans="2:42" ht="13.8" x14ac:dyDescent="0.25">
      <c r="B173" s="259" t="str">
        <f>'E-1 Off Site Hedge Baseline'!AK171</f>
        <v/>
      </c>
      <c r="C173" s="175" t="str">
        <f>IF(B173="","",IF(ISNA(VLOOKUP($B173,'E-1 Off Site Hedge Baseline'!$B$1:$L$257,3,FALSE)),"",(VLOOKUP($B173,'E-1 Off Site Hedge Baseline'!$B$1:$L$257,3,FALSE))))</f>
        <v/>
      </c>
      <c r="D173" s="175" t="str">
        <f>IF(B173="","",IF(ISNA(VLOOKUP($B173,'E-1 Off Site Hedge Baseline'!$B$1:$L$258,4,FALSE)),"",(VLOOKUP($B173,'E-1 Off Site Hedge Baseline'!$B$1:$L$258,4,FALSE))))</f>
        <v/>
      </c>
      <c r="E173" s="175" t="str">
        <f>IF(B173="","",IF(ISNA(VLOOKUP($B173,'E-1 Off Site Hedge Baseline'!$B$1:$L$257,5,FALSE)),"",(VLOOKUP($B173,'E-1 Off Site Hedge Baseline'!$B$1:$L$257,5,FALSE))))</f>
        <v/>
      </c>
      <c r="F173" s="175" t="str">
        <f>IF(B173="","",IF(ISNA(VLOOKUP($B173,'E-1 Off Site Hedge Baseline'!$B$1:$L$257,6,FALSE)),"",(VLOOKUP($B173,'E-1 Off Site Hedge Baseline'!$B$1:$L$257,6,FALSE))))</f>
        <v/>
      </c>
      <c r="G173" s="175" t="str">
        <f>IF(B173="","",IF(ISNA(VLOOKUP($B173,'E-1 Off Site Hedge Baseline'!$B$1:$L$257,7,FALSE)),"",(VLOOKUP($B173,'E-1 Off Site Hedge Baseline'!$B$1:$L$257,7,FALSE))))</f>
        <v/>
      </c>
      <c r="H173" s="175" t="str">
        <f>IF(B173="","",IF(ISNA(VLOOKUP($B173,'E-1 Off Site Hedge Baseline'!$B$1:$L$257,8,FALSE)),"",(VLOOKUP($B173,'E-1 Off Site Hedge Baseline'!$B$1:$L$257,8,FALSE))))</f>
        <v/>
      </c>
      <c r="I173" s="175" t="str">
        <f>IF(B173="","",IF(ISNA(VLOOKUP($B173,'E-1 Off Site Hedge Baseline'!$B$1:$L$257,10,FALSE)),"",(VLOOKUP($B173,'E-1 Off Site Hedge Baseline'!$B$1:$L$257,10,FALSE))))</f>
        <v/>
      </c>
      <c r="J173" s="175" t="str">
        <f>IF(B173="","",IF(ISNA(VLOOKUP($B173,'E-1 Off Site Hedge Baseline'!$B$1:$L$257,11,FALSE)),"",(VLOOKUP($B173,'E-1 Off Site Hedge Baseline'!$B$1:$L$257,11,FALSE))))</f>
        <v/>
      </c>
      <c r="K173" s="175" t="str">
        <f>IF(B173="","",IF(ISNA(VLOOKUP($B173,'E-1 Off Site Hedge Baseline'!$B$1:$U$257,113,FALSE)),"",(VLOOKUP($B173,'E-1 Off Site Hedge Baseline'!$B$1:$U$257,13,FALSE))))</f>
        <v/>
      </c>
      <c r="L173" s="179" t="str">
        <f>IF(B173="","",IF(ISNA(VLOOKUP($B173,'E-1 Off Site Hedge Baseline'!$B$1:$U$257,12,FALSE)),"",(VLOOKUP($B173,'E-1 Off Site Hedge Baseline'!$B$1:$U$257,12,FALSE))))</f>
        <v/>
      </c>
      <c r="M173" s="639" t="str">
        <f t="shared" si="24"/>
        <v/>
      </c>
      <c r="N173" s="171" t="str">
        <f>IFERROR(IF(B173="","",INDEX('G-6 Hedgerow Data'!$AN$3:$AZ$15,MATCH(C173,'G-6 Hedgerow Data'!$AM$3:$AM$15,0),MATCH(M173,'G-6 Hedgerow Data'!$AN$2:$AZ$2,0))),"")</f>
        <v/>
      </c>
      <c r="O173" s="172" t="str">
        <f t="shared" si="18"/>
        <v/>
      </c>
      <c r="P173" s="260" t="str">
        <f>IF(B173="","",VLOOKUP(B173,'E-1 Off Site Hedge Baseline'!$B$10:T418,16,FALSE))</f>
        <v/>
      </c>
      <c r="Q173" s="171" t="str">
        <f>IF(M173="","",VLOOKUP(M173,'G-6 Hedgerow Data'!$B$2:$AG$15,2,FALSE))</f>
        <v/>
      </c>
      <c r="R173" s="172" t="str">
        <f>IF(M173="","",VLOOKUP(M173,'G-6 Hedgerow Data'!$B$2:$AG$15,3,FALSE))</f>
        <v/>
      </c>
      <c r="S173" s="173"/>
      <c r="T173" s="172" t="str">
        <f>IFERROR(IF(AND(Q173="V.Low",OR(S173="Good",S173="Moderate")),"Error",VLOOKUP(S173,'G-1 All Habitats'!$Z$2:$AA$9,2,FALSE)),"")</f>
        <v/>
      </c>
      <c r="U173" s="173"/>
      <c r="V173" s="179" t="str">
        <f>IF(U173="","",IF(VLOOKUP(U173,'G-3 Multipliers'!$L$3:$N$6,2,FALSE)=0,"Spatial Data Missing",VLOOKUP(U173,'G-3 Multipliers'!$L$3:$N$6,2,FALSE)))</f>
        <v/>
      </c>
      <c r="W173" s="260" t="str">
        <f>IF(U173="","",IF(VLOOKUP(U173,'G-3 Multipliers'!$L$3:$N$6,3,FALSE)=0,"Spatial Data Missing",VLOOKUP(U173,'G-3 Multipliers'!$L$3:$N$6,3,FALSE)))</f>
        <v/>
      </c>
      <c r="X173" s="171" t="str">
        <f>IFERROR(IF(OR(LEFT(O173,5)="Error",LEFT(N173,5)="Error",T173="Error"),"Check Data",IF(F173&lt;R173,INDEX('G-6 Hedgerow Data'!$S$3:$AE$14,MATCH(C173,'G-6 Hedgerow Data'!$B$3:$B$14,0),MATCH(M173,'G-6 Hedgerow Data'!$S$2:$AE$2,0)),INDEX('G-6 Hedgerow Data'!$K$3:$Q$14,MATCH(M173,'G-6 Hedgerow Data'!$B$3:$B$14,0),MATCH(O173,'G-6 Hedgerow Data'!$K$2:$Q$2,0)))),"")</f>
        <v/>
      </c>
      <c r="Y173" s="261"/>
      <c r="Z173" s="261"/>
      <c r="AA173" s="179" t="str">
        <f t="shared" si="19"/>
        <v/>
      </c>
      <c r="AB173" s="262" t="str">
        <f t="shared" si="20"/>
        <v/>
      </c>
      <c r="AC173" s="263" t="str">
        <f t="shared" si="17"/>
        <v/>
      </c>
      <c r="AD173" s="239" t="str">
        <f>IF(M173="","",VLOOKUP(M173,'G-6 Hedgerow Data'!$B$3:$AG$15,31,FALSE))</f>
        <v/>
      </c>
      <c r="AE173" s="175" t="str">
        <f t="shared" si="21"/>
        <v/>
      </c>
      <c r="AF173" s="175" t="str">
        <f t="shared" si="22"/>
        <v/>
      </c>
      <c r="AG173" s="176" t="str">
        <f>IFERROR(IF(O173="","",VLOOKUP(AD173,'G-3 Multipliers'!$P$3:$Q$6,2,FALSE)),"")</f>
        <v/>
      </c>
      <c r="AH173" s="266"/>
      <c r="AI173" s="172" t="str">
        <f>IF(AH173="","",IF(VLOOKUP(AH173,'G-3 Multipliers'!$S$3:$T$6,2,FALSE)=0,"Spatial Data Missing",VLOOKUP(AH173,'G-3 Multipliers'!$S$3:$T$6,2,FALSE)))</f>
        <v/>
      </c>
      <c r="AJ173" s="265" t="str">
        <f t="shared" si="23"/>
        <v/>
      </c>
      <c r="AK173" s="180"/>
      <c r="AL173" s="181"/>
      <c r="AP173" s="35" t="str">
        <f>IFERROR(INDEX('G-6 Hedgerow Data'!$BJ$3:$BJ$15,MATCH(M173,'G-6 Hedgerow Data'!$B$3:$B$15,0)),"")</f>
        <v/>
      </c>
    </row>
    <row r="174" spans="2:42" ht="13.8" x14ac:dyDescent="0.25">
      <c r="B174" s="259" t="str">
        <f>'E-1 Off Site Hedge Baseline'!AK172</f>
        <v/>
      </c>
      <c r="C174" s="175" t="str">
        <f>IF(B174="","",IF(ISNA(VLOOKUP($B174,'E-1 Off Site Hedge Baseline'!$B$1:$L$257,3,FALSE)),"",(VLOOKUP($B174,'E-1 Off Site Hedge Baseline'!$B$1:$L$257,3,FALSE))))</f>
        <v/>
      </c>
      <c r="D174" s="175" t="str">
        <f>IF(B174="","",IF(ISNA(VLOOKUP($B174,'E-1 Off Site Hedge Baseline'!$B$1:$L$258,4,FALSE)),"",(VLOOKUP($B174,'E-1 Off Site Hedge Baseline'!$B$1:$L$258,4,FALSE))))</f>
        <v/>
      </c>
      <c r="E174" s="175" t="str">
        <f>IF(B174="","",IF(ISNA(VLOOKUP($B174,'E-1 Off Site Hedge Baseline'!$B$1:$L$257,5,FALSE)),"",(VLOOKUP($B174,'E-1 Off Site Hedge Baseline'!$B$1:$L$257,5,FALSE))))</f>
        <v/>
      </c>
      <c r="F174" s="175" t="str">
        <f>IF(B174="","",IF(ISNA(VLOOKUP($B174,'E-1 Off Site Hedge Baseline'!$B$1:$L$257,6,FALSE)),"",(VLOOKUP($B174,'E-1 Off Site Hedge Baseline'!$B$1:$L$257,6,FALSE))))</f>
        <v/>
      </c>
      <c r="G174" s="175" t="str">
        <f>IF(B174="","",IF(ISNA(VLOOKUP($B174,'E-1 Off Site Hedge Baseline'!$B$1:$L$257,7,FALSE)),"",(VLOOKUP($B174,'E-1 Off Site Hedge Baseline'!$B$1:$L$257,7,FALSE))))</f>
        <v/>
      </c>
      <c r="H174" s="175" t="str">
        <f>IF(B174="","",IF(ISNA(VLOOKUP($B174,'E-1 Off Site Hedge Baseline'!$B$1:$L$257,8,FALSE)),"",(VLOOKUP($B174,'E-1 Off Site Hedge Baseline'!$B$1:$L$257,8,FALSE))))</f>
        <v/>
      </c>
      <c r="I174" s="175" t="str">
        <f>IF(B174="","",IF(ISNA(VLOOKUP($B174,'E-1 Off Site Hedge Baseline'!$B$1:$L$257,10,FALSE)),"",(VLOOKUP($B174,'E-1 Off Site Hedge Baseline'!$B$1:$L$257,10,FALSE))))</f>
        <v/>
      </c>
      <c r="J174" s="175" t="str">
        <f>IF(B174="","",IF(ISNA(VLOOKUP($B174,'E-1 Off Site Hedge Baseline'!$B$1:$L$257,11,FALSE)),"",(VLOOKUP($B174,'E-1 Off Site Hedge Baseline'!$B$1:$L$257,11,FALSE))))</f>
        <v/>
      </c>
      <c r="K174" s="175" t="str">
        <f>IF(B174="","",IF(ISNA(VLOOKUP($B174,'E-1 Off Site Hedge Baseline'!$B$1:$U$257,113,FALSE)),"",(VLOOKUP($B174,'E-1 Off Site Hedge Baseline'!$B$1:$U$257,13,FALSE))))</f>
        <v/>
      </c>
      <c r="L174" s="179" t="str">
        <f>IF(B174="","",IF(ISNA(VLOOKUP($B174,'E-1 Off Site Hedge Baseline'!$B$1:$U$257,12,FALSE)),"",(VLOOKUP($B174,'E-1 Off Site Hedge Baseline'!$B$1:$U$257,12,FALSE))))</f>
        <v/>
      </c>
      <c r="M174" s="639" t="str">
        <f t="shared" si="24"/>
        <v/>
      </c>
      <c r="N174" s="171" t="str">
        <f>IFERROR(IF(B174="","",INDEX('G-6 Hedgerow Data'!$AN$3:$AZ$15,MATCH(C174,'G-6 Hedgerow Data'!$AM$3:$AM$15,0),MATCH(M174,'G-6 Hedgerow Data'!$AN$2:$AZ$2,0))),"")</f>
        <v/>
      </c>
      <c r="O174" s="172" t="str">
        <f t="shared" si="18"/>
        <v/>
      </c>
      <c r="P174" s="260" t="str">
        <f>IF(B174="","",VLOOKUP(B174,'E-1 Off Site Hedge Baseline'!$B$10:T419,16,FALSE))</f>
        <v/>
      </c>
      <c r="Q174" s="171" t="str">
        <f>IF(M174="","",VLOOKUP(M174,'G-6 Hedgerow Data'!$B$2:$AG$15,2,FALSE))</f>
        <v/>
      </c>
      <c r="R174" s="172" t="str">
        <f>IF(M174="","",VLOOKUP(M174,'G-6 Hedgerow Data'!$B$2:$AG$15,3,FALSE))</f>
        <v/>
      </c>
      <c r="S174" s="173"/>
      <c r="T174" s="172" t="str">
        <f>IFERROR(IF(AND(Q174="V.Low",OR(S174="Good",S174="Moderate")),"Error",VLOOKUP(S174,'G-1 All Habitats'!$Z$2:$AA$9,2,FALSE)),"")</f>
        <v/>
      </c>
      <c r="U174" s="173"/>
      <c r="V174" s="179" t="str">
        <f>IF(U174="","",IF(VLOOKUP(U174,'G-3 Multipliers'!$L$3:$N$6,2,FALSE)=0,"Spatial Data Missing",VLOOKUP(U174,'G-3 Multipliers'!$L$3:$N$6,2,FALSE)))</f>
        <v/>
      </c>
      <c r="W174" s="260" t="str">
        <f>IF(U174="","",IF(VLOOKUP(U174,'G-3 Multipliers'!$L$3:$N$6,3,FALSE)=0,"Spatial Data Missing",VLOOKUP(U174,'G-3 Multipliers'!$L$3:$N$6,3,FALSE)))</f>
        <v/>
      </c>
      <c r="X174" s="171" t="str">
        <f>IFERROR(IF(OR(LEFT(O174,5)="Error",LEFT(N174,5)="Error",T174="Error"),"Check Data",IF(F174&lt;R174,INDEX('G-6 Hedgerow Data'!$S$3:$AE$14,MATCH(C174,'G-6 Hedgerow Data'!$B$3:$B$14,0),MATCH(M174,'G-6 Hedgerow Data'!$S$2:$AE$2,0)),INDEX('G-6 Hedgerow Data'!$K$3:$Q$14,MATCH(M174,'G-6 Hedgerow Data'!$B$3:$B$14,0),MATCH(O174,'G-6 Hedgerow Data'!$K$2:$Q$2,0)))),"")</f>
        <v/>
      </c>
      <c r="Y174" s="261"/>
      <c r="Z174" s="261"/>
      <c r="AA174" s="179" t="str">
        <f t="shared" si="19"/>
        <v/>
      </c>
      <c r="AB174" s="262" t="str">
        <f t="shared" si="20"/>
        <v/>
      </c>
      <c r="AC174" s="263" t="str">
        <f t="shared" si="17"/>
        <v/>
      </c>
      <c r="AD174" s="239" t="str">
        <f>IF(M174="","",VLOOKUP(M174,'G-6 Hedgerow Data'!$B$3:$AG$15,31,FALSE))</f>
        <v/>
      </c>
      <c r="AE174" s="175" t="str">
        <f t="shared" si="21"/>
        <v/>
      </c>
      <c r="AF174" s="175" t="str">
        <f t="shared" si="22"/>
        <v/>
      </c>
      <c r="AG174" s="176" t="str">
        <f>IFERROR(IF(O174="","",VLOOKUP(AD174,'G-3 Multipliers'!$P$3:$Q$6,2,FALSE)),"")</f>
        <v/>
      </c>
      <c r="AH174" s="266"/>
      <c r="AI174" s="172" t="str">
        <f>IF(AH174="","",IF(VLOOKUP(AH174,'G-3 Multipliers'!$S$3:$T$6,2,FALSE)=0,"Spatial Data Missing",VLOOKUP(AH174,'G-3 Multipliers'!$S$3:$T$6,2,FALSE)))</f>
        <v/>
      </c>
      <c r="AJ174" s="265" t="str">
        <f t="shared" si="23"/>
        <v/>
      </c>
      <c r="AK174" s="180"/>
      <c r="AL174" s="181"/>
      <c r="AP174" s="35" t="str">
        <f>IFERROR(INDEX('G-6 Hedgerow Data'!$BJ$3:$BJ$15,MATCH(M174,'G-6 Hedgerow Data'!$B$3:$B$15,0)),"")</f>
        <v/>
      </c>
    </row>
    <row r="175" spans="2:42" ht="13.8" x14ac:dyDescent="0.25">
      <c r="B175" s="259" t="str">
        <f>'E-1 Off Site Hedge Baseline'!AK173</f>
        <v/>
      </c>
      <c r="C175" s="175" t="str">
        <f>IF(B175="","",IF(ISNA(VLOOKUP($B175,'E-1 Off Site Hedge Baseline'!$B$1:$L$257,3,FALSE)),"",(VLOOKUP($B175,'E-1 Off Site Hedge Baseline'!$B$1:$L$257,3,FALSE))))</f>
        <v/>
      </c>
      <c r="D175" s="175" t="str">
        <f>IF(B175="","",IF(ISNA(VLOOKUP($B175,'E-1 Off Site Hedge Baseline'!$B$1:$L$258,4,FALSE)),"",(VLOOKUP($B175,'E-1 Off Site Hedge Baseline'!$B$1:$L$258,4,FALSE))))</f>
        <v/>
      </c>
      <c r="E175" s="175" t="str">
        <f>IF(B175="","",IF(ISNA(VLOOKUP($B175,'E-1 Off Site Hedge Baseline'!$B$1:$L$257,5,FALSE)),"",(VLOOKUP($B175,'E-1 Off Site Hedge Baseline'!$B$1:$L$257,5,FALSE))))</f>
        <v/>
      </c>
      <c r="F175" s="175" t="str">
        <f>IF(B175="","",IF(ISNA(VLOOKUP($B175,'E-1 Off Site Hedge Baseline'!$B$1:$L$257,6,FALSE)),"",(VLOOKUP($B175,'E-1 Off Site Hedge Baseline'!$B$1:$L$257,6,FALSE))))</f>
        <v/>
      </c>
      <c r="G175" s="175" t="str">
        <f>IF(B175="","",IF(ISNA(VLOOKUP($B175,'E-1 Off Site Hedge Baseline'!$B$1:$L$257,7,FALSE)),"",(VLOOKUP($B175,'E-1 Off Site Hedge Baseline'!$B$1:$L$257,7,FALSE))))</f>
        <v/>
      </c>
      <c r="H175" s="175" t="str">
        <f>IF(B175="","",IF(ISNA(VLOOKUP($B175,'E-1 Off Site Hedge Baseline'!$B$1:$L$257,8,FALSE)),"",(VLOOKUP($B175,'E-1 Off Site Hedge Baseline'!$B$1:$L$257,8,FALSE))))</f>
        <v/>
      </c>
      <c r="I175" s="175" t="str">
        <f>IF(B175="","",IF(ISNA(VLOOKUP($B175,'E-1 Off Site Hedge Baseline'!$B$1:$L$257,10,FALSE)),"",(VLOOKUP($B175,'E-1 Off Site Hedge Baseline'!$B$1:$L$257,10,FALSE))))</f>
        <v/>
      </c>
      <c r="J175" s="175" t="str">
        <f>IF(B175="","",IF(ISNA(VLOOKUP($B175,'E-1 Off Site Hedge Baseline'!$B$1:$L$257,11,FALSE)),"",(VLOOKUP($B175,'E-1 Off Site Hedge Baseline'!$B$1:$L$257,11,FALSE))))</f>
        <v/>
      </c>
      <c r="K175" s="175" t="str">
        <f>IF(B175="","",IF(ISNA(VLOOKUP($B175,'E-1 Off Site Hedge Baseline'!$B$1:$U$257,113,FALSE)),"",(VLOOKUP($B175,'E-1 Off Site Hedge Baseline'!$B$1:$U$257,13,FALSE))))</f>
        <v/>
      </c>
      <c r="L175" s="179" t="str">
        <f>IF(B175="","",IF(ISNA(VLOOKUP($B175,'E-1 Off Site Hedge Baseline'!$B$1:$U$257,12,FALSE)),"",(VLOOKUP($B175,'E-1 Off Site Hedge Baseline'!$B$1:$U$257,12,FALSE))))</f>
        <v/>
      </c>
      <c r="M175" s="639" t="str">
        <f t="shared" si="24"/>
        <v/>
      </c>
      <c r="N175" s="171" t="str">
        <f>IFERROR(IF(B175="","",INDEX('G-6 Hedgerow Data'!$AN$3:$AZ$15,MATCH(C175,'G-6 Hedgerow Data'!$AM$3:$AM$15,0),MATCH(M175,'G-6 Hedgerow Data'!$AN$2:$AZ$2,0))),"")</f>
        <v/>
      </c>
      <c r="O175" s="172" t="str">
        <f t="shared" si="18"/>
        <v/>
      </c>
      <c r="P175" s="260" t="str">
        <f>IF(B175="","",VLOOKUP(B175,'E-1 Off Site Hedge Baseline'!$B$10:T420,16,FALSE))</f>
        <v/>
      </c>
      <c r="Q175" s="171" t="str">
        <f>IF(M175="","",VLOOKUP(M175,'G-6 Hedgerow Data'!$B$2:$AG$15,2,FALSE))</f>
        <v/>
      </c>
      <c r="R175" s="172" t="str">
        <f>IF(M175="","",VLOOKUP(M175,'G-6 Hedgerow Data'!$B$2:$AG$15,3,FALSE))</f>
        <v/>
      </c>
      <c r="S175" s="173"/>
      <c r="T175" s="172" t="str">
        <f>IFERROR(IF(AND(Q175="V.Low",OR(S175="Good",S175="Moderate")),"Error",VLOOKUP(S175,'G-1 All Habitats'!$Z$2:$AA$9,2,FALSE)),"")</f>
        <v/>
      </c>
      <c r="U175" s="173"/>
      <c r="V175" s="179" t="str">
        <f>IF(U175="","",IF(VLOOKUP(U175,'G-3 Multipliers'!$L$3:$N$6,2,FALSE)=0,"Spatial Data Missing",VLOOKUP(U175,'G-3 Multipliers'!$L$3:$N$6,2,FALSE)))</f>
        <v/>
      </c>
      <c r="W175" s="260" t="str">
        <f>IF(U175="","",IF(VLOOKUP(U175,'G-3 Multipliers'!$L$3:$N$6,3,FALSE)=0,"Spatial Data Missing",VLOOKUP(U175,'G-3 Multipliers'!$L$3:$N$6,3,FALSE)))</f>
        <v/>
      </c>
      <c r="X175" s="171" t="str">
        <f>IFERROR(IF(OR(LEFT(O175,5)="Error",LEFT(N175,5)="Error",T175="Error"),"Check Data",IF(F175&lt;R175,INDEX('G-6 Hedgerow Data'!$S$3:$AE$14,MATCH(C175,'G-6 Hedgerow Data'!$B$3:$B$14,0),MATCH(M175,'G-6 Hedgerow Data'!$S$2:$AE$2,0)),INDEX('G-6 Hedgerow Data'!$K$3:$Q$14,MATCH(M175,'G-6 Hedgerow Data'!$B$3:$B$14,0),MATCH(O175,'G-6 Hedgerow Data'!$K$2:$Q$2,0)))),"")</f>
        <v/>
      </c>
      <c r="Y175" s="261"/>
      <c r="Z175" s="261"/>
      <c r="AA175" s="179" t="str">
        <f t="shared" si="19"/>
        <v/>
      </c>
      <c r="AB175" s="262" t="str">
        <f t="shared" si="20"/>
        <v/>
      </c>
      <c r="AC175" s="263" t="str">
        <f t="shared" si="17"/>
        <v/>
      </c>
      <c r="AD175" s="239" t="str">
        <f>IF(M175="","",VLOOKUP(M175,'G-6 Hedgerow Data'!$B$3:$AG$15,31,FALSE))</f>
        <v/>
      </c>
      <c r="AE175" s="175" t="str">
        <f t="shared" si="21"/>
        <v/>
      </c>
      <c r="AF175" s="175" t="str">
        <f t="shared" si="22"/>
        <v/>
      </c>
      <c r="AG175" s="176" t="str">
        <f>IFERROR(IF(O175="","",VLOOKUP(AD175,'G-3 Multipliers'!$P$3:$Q$6,2,FALSE)),"")</f>
        <v/>
      </c>
      <c r="AH175" s="266"/>
      <c r="AI175" s="172" t="str">
        <f>IF(AH175="","",IF(VLOOKUP(AH175,'G-3 Multipliers'!$S$3:$T$6,2,FALSE)=0,"Spatial Data Missing",VLOOKUP(AH175,'G-3 Multipliers'!$S$3:$T$6,2,FALSE)))</f>
        <v/>
      </c>
      <c r="AJ175" s="265" t="str">
        <f t="shared" si="23"/>
        <v/>
      </c>
      <c r="AK175" s="180"/>
      <c r="AL175" s="181"/>
      <c r="AP175" s="35" t="str">
        <f>IFERROR(INDEX('G-6 Hedgerow Data'!$BJ$3:$BJ$15,MATCH(M175,'G-6 Hedgerow Data'!$B$3:$B$15,0)),"")</f>
        <v/>
      </c>
    </row>
    <row r="176" spans="2:42" ht="13.8" x14ac:dyDescent="0.25">
      <c r="B176" s="259" t="str">
        <f>'E-1 Off Site Hedge Baseline'!AK174</f>
        <v/>
      </c>
      <c r="C176" s="175" t="str">
        <f>IF(B176="","",IF(ISNA(VLOOKUP($B176,'E-1 Off Site Hedge Baseline'!$B$1:$L$257,3,FALSE)),"",(VLOOKUP($B176,'E-1 Off Site Hedge Baseline'!$B$1:$L$257,3,FALSE))))</f>
        <v/>
      </c>
      <c r="D176" s="175" t="str">
        <f>IF(B176="","",IF(ISNA(VLOOKUP($B176,'E-1 Off Site Hedge Baseline'!$B$1:$L$258,4,FALSE)),"",(VLOOKUP($B176,'E-1 Off Site Hedge Baseline'!$B$1:$L$258,4,FALSE))))</f>
        <v/>
      </c>
      <c r="E176" s="175" t="str">
        <f>IF(B176="","",IF(ISNA(VLOOKUP($B176,'E-1 Off Site Hedge Baseline'!$B$1:$L$257,5,FALSE)),"",(VLOOKUP($B176,'E-1 Off Site Hedge Baseline'!$B$1:$L$257,5,FALSE))))</f>
        <v/>
      </c>
      <c r="F176" s="175" t="str">
        <f>IF(B176="","",IF(ISNA(VLOOKUP($B176,'E-1 Off Site Hedge Baseline'!$B$1:$L$257,6,FALSE)),"",(VLOOKUP($B176,'E-1 Off Site Hedge Baseline'!$B$1:$L$257,6,FALSE))))</f>
        <v/>
      </c>
      <c r="G176" s="175" t="str">
        <f>IF(B176="","",IF(ISNA(VLOOKUP($B176,'E-1 Off Site Hedge Baseline'!$B$1:$L$257,7,FALSE)),"",(VLOOKUP($B176,'E-1 Off Site Hedge Baseline'!$B$1:$L$257,7,FALSE))))</f>
        <v/>
      </c>
      <c r="H176" s="175" t="str">
        <f>IF(B176="","",IF(ISNA(VLOOKUP($B176,'E-1 Off Site Hedge Baseline'!$B$1:$L$257,8,FALSE)),"",(VLOOKUP($B176,'E-1 Off Site Hedge Baseline'!$B$1:$L$257,8,FALSE))))</f>
        <v/>
      </c>
      <c r="I176" s="175" t="str">
        <f>IF(B176="","",IF(ISNA(VLOOKUP($B176,'E-1 Off Site Hedge Baseline'!$B$1:$L$257,10,FALSE)),"",(VLOOKUP($B176,'E-1 Off Site Hedge Baseline'!$B$1:$L$257,10,FALSE))))</f>
        <v/>
      </c>
      <c r="J176" s="175" t="str">
        <f>IF(B176="","",IF(ISNA(VLOOKUP($B176,'E-1 Off Site Hedge Baseline'!$B$1:$L$257,11,FALSE)),"",(VLOOKUP($B176,'E-1 Off Site Hedge Baseline'!$B$1:$L$257,11,FALSE))))</f>
        <v/>
      </c>
      <c r="K176" s="175" t="str">
        <f>IF(B176="","",IF(ISNA(VLOOKUP($B176,'E-1 Off Site Hedge Baseline'!$B$1:$U$257,113,FALSE)),"",(VLOOKUP($B176,'E-1 Off Site Hedge Baseline'!$B$1:$U$257,13,FALSE))))</f>
        <v/>
      </c>
      <c r="L176" s="179" t="str">
        <f>IF(B176="","",IF(ISNA(VLOOKUP($B176,'E-1 Off Site Hedge Baseline'!$B$1:$U$257,12,FALSE)),"",(VLOOKUP($B176,'E-1 Off Site Hedge Baseline'!$B$1:$U$257,12,FALSE))))</f>
        <v/>
      </c>
      <c r="M176" s="639" t="str">
        <f t="shared" si="24"/>
        <v/>
      </c>
      <c r="N176" s="171" t="str">
        <f>IFERROR(IF(B176="","",INDEX('G-6 Hedgerow Data'!$AN$3:$AZ$15,MATCH(C176,'G-6 Hedgerow Data'!$AM$3:$AM$15,0),MATCH(M176,'G-6 Hedgerow Data'!$AN$2:$AZ$2,0))),"")</f>
        <v/>
      </c>
      <c r="O176" s="172" t="str">
        <f t="shared" si="18"/>
        <v/>
      </c>
      <c r="P176" s="260" t="str">
        <f>IF(B176="","",VLOOKUP(B176,'E-1 Off Site Hedge Baseline'!$B$10:T421,16,FALSE))</f>
        <v/>
      </c>
      <c r="Q176" s="171" t="str">
        <f>IF(M176="","",VLOOKUP(M176,'G-6 Hedgerow Data'!$B$2:$AG$15,2,FALSE))</f>
        <v/>
      </c>
      <c r="R176" s="172" t="str">
        <f>IF(M176="","",VLOOKUP(M176,'G-6 Hedgerow Data'!$B$2:$AG$15,3,FALSE))</f>
        <v/>
      </c>
      <c r="S176" s="173"/>
      <c r="T176" s="172" t="str">
        <f>IFERROR(IF(AND(Q176="V.Low",OR(S176="Good",S176="Moderate")),"Error",VLOOKUP(S176,'G-1 All Habitats'!$Z$2:$AA$9,2,FALSE)),"")</f>
        <v/>
      </c>
      <c r="U176" s="173"/>
      <c r="V176" s="179" t="str">
        <f>IF(U176="","",IF(VLOOKUP(U176,'G-3 Multipliers'!$L$3:$N$6,2,FALSE)=0,"Spatial Data Missing",VLOOKUP(U176,'G-3 Multipliers'!$L$3:$N$6,2,FALSE)))</f>
        <v/>
      </c>
      <c r="W176" s="260" t="str">
        <f>IF(U176="","",IF(VLOOKUP(U176,'G-3 Multipliers'!$L$3:$N$6,3,FALSE)=0,"Spatial Data Missing",VLOOKUP(U176,'G-3 Multipliers'!$L$3:$N$6,3,FALSE)))</f>
        <v/>
      </c>
      <c r="X176" s="171" t="str">
        <f>IFERROR(IF(OR(LEFT(O176,5)="Error",LEFT(N176,5)="Error",T176="Error"),"Check Data",IF(F176&lt;R176,INDEX('G-6 Hedgerow Data'!$S$3:$AE$14,MATCH(C176,'G-6 Hedgerow Data'!$B$3:$B$14,0),MATCH(M176,'G-6 Hedgerow Data'!$S$2:$AE$2,0)),INDEX('G-6 Hedgerow Data'!$K$3:$Q$14,MATCH(M176,'G-6 Hedgerow Data'!$B$3:$B$14,0),MATCH(O176,'G-6 Hedgerow Data'!$K$2:$Q$2,0)))),"")</f>
        <v/>
      </c>
      <c r="Y176" s="261"/>
      <c r="Z176" s="261"/>
      <c r="AA176" s="179" t="str">
        <f t="shared" si="19"/>
        <v/>
      </c>
      <c r="AB176" s="262" t="str">
        <f t="shared" si="20"/>
        <v/>
      </c>
      <c r="AC176" s="263" t="str">
        <f t="shared" si="17"/>
        <v/>
      </c>
      <c r="AD176" s="239" t="str">
        <f>IF(M176="","",VLOOKUP(M176,'G-6 Hedgerow Data'!$B$3:$AG$15,31,FALSE))</f>
        <v/>
      </c>
      <c r="AE176" s="175" t="str">
        <f t="shared" si="21"/>
        <v/>
      </c>
      <c r="AF176" s="175" t="str">
        <f t="shared" si="22"/>
        <v/>
      </c>
      <c r="AG176" s="176" t="str">
        <f>IFERROR(IF(O176="","",VLOOKUP(AD176,'G-3 Multipliers'!$P$3:$Q$6,2,FALSE)),"")</f>
        <v/>
      </c>
      <c r="AH176" s="266"/>
      <c r="AI176" s="172" t="str">
        <f>IF(AH176="","",IF(VLOOKUP(AH176,'G-3 Multipliers'!$S$3:$T$6,2,FALSE)=0,"Spatial Data Missing",VLOOKUP(AH176,'G-3 Multipliers'!$S$3:$T$6,2,FALSE)))</f>
        <v/>
      </c>
      <c r="AJ176" s="265" t="str">
        <f t="shared" si="23"/>
        <v/>
      </c>
      <c r="AK176" s="180"/>
      <c r="AL176" s="181"/>
      <c r="AP176" s="35" t="str">
        <f>IFERROR(INDEX('G-6 Hedgerow Data'!$BJ$3:$BJ$15,MATCH(M176,'G-6 Hedgerow Data'!$B$3:$B$15,0)),"")</f>
        <v/>
      </c>
    </row>
    <row r="177" spans="2:42" ht="13.8" x14ac:dyDescent="0.25">
      <c r="B177" s="259" t="str">
        <f>'E-1 Off Site Hedge Baseline'!AK175</f>
        <v/>
      </c>
      <c r="C177" s="175" t="str">
        <f>IF(B177="","",IF(ISNA(VLOOKUP($B177,'E-1 Off Site Hedge Baseline'!$B$1:$L$257,3,FALSE)),"",(VLOOKUP($B177,'E-1 Off Site Hedge Baseline'!$B$1:$L$257,3,FALSE))))</f>
        <v/>
      </c>
      <c r="D177" s="175" t="str">
        <f>IF(B177="","",IF(ISNA(VLOOKUP($B177,'E-1 Off Site Hedge Baseline'!$B$1:$L$258,4,FALSE)),"",(VLOOKUP($B177,'E-1 Off Site Hedge Baseline'!$B$1:$L$258,4,FALSE))))</f>
        <v/>
      </c>
      <c r="E177" s="175" t="str">
        <f>IF(B177="","",IF(ISNA(VLOOKUP($B177,'E-1 Off Site Hedge Baseline'!$B$1:$L$257,5,FALSE)),"",(VLOOKUP($B177,'E-1 Off Site Hedge Baseline'!$B$1:$L$257,5,FALSE))))</f>
        <v/>
      </c>
      <c r="F177" s="175" t="str">
        <f>IF(B177="","",IF(ISNA(VLOOKUP($B177,'E-1 Off Site Hedge Baseline'!$B$1:$L$257,6,FALSE)),"",(VLOOKUP($B177,'E-1 Off Site Hedge Baseline'!$B$1:$L$257,6,FALSE))))</f>
        <v/>
      </c>
      <c r="G177" s="175" t="str">
        <f>IF(B177="","",IF(ISNA(VLOOKUP($B177,'E-1 Off Site Hedge Baseline'!$B$1:$L$257,7,FALSE)),"",(VLOOKUP($B177,'E-1 Off Site Hedge Baseline'!$B$1:$L$257,7,FALSE))))</f>
        <v/>
      </c>
      <c r="H177" s="175" t="str">
        <f>IF(B177="","",IF(ISNA(VLOOKUP($B177,'E-1 Off Site Hedge Baseline'!$B$1:$L$257,8,FALSE)),"",(VLOOKUP($B177,'E-1 Off Site Hedge Baseline'!$B$1:$L$257,8,FALSE))))</f>
        <v/>
      </c>
      <c r="I177" s="175" t="str">
        <f>IF(B177="","",IF(ISNA(VLOOKUP($B177,'E-1 Off Site Hedge Baseline'!$B$1:$L$257,10,FALSE)),"",(VLOOKUP($B177,'E-1 Off Site Hedge Baseline'!$B$1:$L$257,10,FALSE))))</f>
        <v/>
      </c>
      <c r="J177" s="175" t="str">
        <f>IF(B177="","",IF(ISNA(VLOOKUP($B177,'E-1 Off Site Hedge Baseline'!$B$1:$L$257,11,FALSE)),"",(VLOOKUP($B177,'E-1 Off Site Hedge Baseline'!$B$1:$L$257,11,FALSE))))</f>
        <v/>
      </c>
      <c r="K177" s="175" t="str">
        <f>IF(B177="","",IF(ISNA(VLOOKUP($B177,'E-1 Off Site Hedge Baseline'!$B$1:$U$257,113,FALSE)),"",(VLOOKUP($B177,'E-1 Off Site Hedge Baseline'!$B$1:$U$257,13,FALSE))))</f>
        <v/>
      </c>
      <c r="L177" s="179" t="str">
        <f>IF(B177="","",IF(ISNA(VLOOKUP($B177,'E-1 Off Site Hedge Baseline'!$B$1:$U$257,12,FALSE)),"",(VLOOKUP($B177,'E-1 Off Site Hedge Baseline'!$B$1:$U$257,12,FALSE))))</f>
        <v/>
      </c>
      <c r="M177" s="639" t="str">
        <f t="shared" si="24"/>
        <v/>
      </c>
      <c r="N177" s="171" t="str">
        <f>IFERROR(IF(B177="","",INDEX('G-6 Hedgerow Data'!$AN$3:$AZ$15,MATCH(C177,'G-6 Hedgerow Data'!$AM$3:$AM$15,0),MATCH(M177,'G-6 Hedgerow Data'!$AN$2:$AZ$2,0))),"")</f>
        <v/>
      </c>
      <c r="O177" s="172" t="str">
        <f t="shared" si="18"/>
        <v/>
      </c>
      <c r="P177" s="260" t="str">
        <f>IF(B177="","",VLOOKUP(B177,'E-1 Off Site Hedge Baseline'!$B$10:T422,16,FALSE))</f>
        <v/>
      </c>
      <c r="Q177" s="171" t="str">
        <f>IF(M177="","",VLOOKUP(M177,'G-6 Hedgerow Data'!$B$2:$AG$15,2,FALSE))</f>
        <v/>
      </c>
      <c r="R177" s="172" t="str">
        <f>IF(M177="","",VLOOKUP(M177,'G-6 Hedgerow Data'!$B$2:$AG$15,3,FALSE))</f>
        <v/>
      </c>
      <c r="S177" s="173"/>
      <c r="T177" s="172" t="str">
        <f>IFERROR(IF(AND(Q177="V.Low",OR(S177="Good",S177="Moderate")),"Error",VLOOKUP(S177,'G-1 All Habitats'!$Z$2:$AA$9,2,FALSE)),"")</f>
        <v/>
      </c>
      <c r="U177" s="173"/>
      <c r="V177" s="179" t="str">
        <f>IF(U177="","",IF(VLOOKUP(U177,'G-3 Multipliers'!$L$3:$N$6,2,FALSE)=0,"Spatial Data Missing",VLOOKUP(U177,'G-3 Multipliers'!$L$3:$N$6,2,FALSE)))</f>
        <v/>
      </c>
      <c r="W177" s="260" t="str">
        <f>IF(U177="","",IF(VLOOKUP(U177,'G-3 Multipliers'!$L$3:$N$6,3,FALSE)=0,"Spatial Data Missing",VLOOKUP(U177,'G-3 Multipliers'!$L$3:$N$6,3,FALSE)))</f>
        <v/>
      </c>
      <c r="X177" s="171" t="str">
        <f>IFERROR(IF(OR(LEFT(O177,5)="Error",LEFT(N177,5)="Error",T177="Error"),"Check Data",IF(F177&lt;R177,INDEX('G-6 Hedgerow Data'!$S$3:$AE$14,MATCH(C177,'G-6 Hedgerow Data'!$B$3:$B$14,0),MATCH(M177,'G-6 Hedgerow Data'!$S$2:$AE$2,0)),INDEX('G-6 Hedgerow Data'!$K$3:$Q$14,MATCH(M177,'G-6 Hedgerow Data'!$B$3:$B$14,0),MATCH(O177,'G-6 Hedgerow Data'!$K$2:$Q$2,0)))),"")</f>
        <v/>
      </c>
      <c r="Y177" s="261"/>
      <c r="Z177" s="261"/>
      <c r="AA177" s="179" t="str">
        <f t="shared" si="19"/>
        <v/>
      </c>
      <c r="AB177" s="262" t="str">
        <f t="shared" si="20"/>
        <v/>
      </c>
      <c r="AC177" s="263" t="str">
        <f t="shared" si="17"/>
        <v/>
      </c>
      <c r="AD177" s="239" t="str">
        <f>IF(M177="","",VLOOKUP(M177,'G-6 Hedgerow Data'!$B$3:$AG$15,31,FALSE))</f>
        <v/>
      </c>
      <c r="AE177" s="175" t="str">
        <f t="shared" si="21"/>
        <v/>
      </c>
      <c r="AF177" s="175" t="str">
        <f t="shared" si="22"/>
        <v/>
      </c>
      <c r="AG177" s="176" t="str">
        <f>IFERROR(IF(O177="","",VLOOKUP(AD177,'G-3 Multipliers'!$P$3:$Q$6,2,FALSE)),"")</f>
        <v/>
      </c>
      <c r="AH177" s="266"/>
      <c r="AI177" s="172" t="str">
        <f>IF(AH177="","",IF(VLOOKUP(AH177,'G-3 Multipliers'!$S$3:$T$6,2,FALSE)=0,"Spatial Data Missing",VLOOKUP(AH177,'G-3 Multipliers'!$S$3:$T$6,2,FALSE)))</f>
        <v/>
      </c>
      <c r="AJ177" s="265" t="str">
        <f t="shared" si="23"/>
        <v/>
      </c>
      <c r="AK177" s="180"/>
      <c r="AL177" s="181"/>
      <c r="AP177" s="35" t="str">
        <f>IFERROR(INDEX('G-6 Hedgerow Data'!$BJ$3:$BJ$15,MATCH(M177,'G-6 Hedgerow Data'!$B$3:$B$15,0)),"")</f>
        <v/>
      </c>
    </row>
    <row r="178" spans="2:42" ht="13.8" x14ac:dyDescent="0.25">
      <c r="B178" s="259" t="str">
        <f>'E-1 Off Site Hedge Baseline'!AK176</f>
        <v/>
      </c>
      <c r="C178" s="175" t="str">
        <f>IF(B178="","",IF(ISNA(VLOOKUP($B178,'E-1 Off Site Hedge Baseline'!$B$1:$L$257,3,FALSE)),"",(VLOOKUP($B178,'E-1 Off Site Hedge Baseline'!$B$1:$L$257,3,FALSE))))</f>
        <v/>
      </c>
      <c r="D178" s="175" t="str">
        <f>IF(B178="","",IF(ISNA(VLOOKUP($B178,'E-1 Off Site Hedge Baseline'!$B$1:$L$258,4,FALSE)),"",(VLOOKUP($B178,'E-1 Off Site Hedge Baseline'!$B$1:$L$258,4,FALSE))))</f>
        <v/>
      </c>
      <c r="E178" s="175" t="str">
        <f>IF(B178="","",IF(ISNA(VLOOKUP($B178,'E-1 Off Site Hedge Baseline'!$B$1:$L$257,5,FALSE)),"",(VLOOKUP($B178,'E-1 Off Site Hedge Baseline'!$B$1:$L$257,5,FALSE))))</f>
        <v/>
      </c>
      <c r="F178" s="175" t="str">
        <f>IF(B178="","",IF(ISNA(VLOOKUP($B178,'E-1 Off Site Hedge Baseline'!$B$1:$L$257,6,FALSE)),"",(VLOOKUP($B178,'E-1 Off Site Hedge Baseline'!$B$1:$L$257,6,FALSE))))</f>
        <v/>
      </c>
      <c r="G178" s="175" t="str">
        <f>IF(B178="","",IF(ISNA(VLOOKUP($B178,'E-1 Off Site Hedge Baseline'!$B$1:$L$257,7,FALSE)),"",(VLOOKUP($B178,'E-1 Off Site Hedge Baseline'!$B$1:$L$257,7,FALSE))))</f>
        <v/>
      </c>
      <c r="H178" s="175" t="str">
        <f>IF(B178="","",IF(ISNA(VLOOKUP($B178,'E-1 Off Site Hedge Baseline'!$B$1:$L$257,8,FALSE)),"",(VLOOKUP($B178,'E-1 Off Site Hedge Baseline'!$B$1:$L$257,8,FALSE))))</f>
        <v/>
      </c>
      <c r="I178" s="175" t="str">
        <f>IF(B178="","",IF(ISNA(VLOOKUP($B178,'E-1 Off Site Hedge Baseline'!$B$1:$L$257,10,FALSE)),"",(VLOOKUP($B178,'E-1 Off Site Hedge Baseline'!$B$1:$L$257,10,FALSE))))</f>
        <v/>
      </c>
      <c r="J178" s="175" t="str">
        <f>IF(B178="","",IF(ISNA(VLOOKUP($B178,'E-1 Off Site Hedge Baseline'!$B$1:$L$257,11,FALSE)),"",(VLOOKUP($B178,'E-1 Off Site Hedge Baseline'!$B$1:$L$257,11,FALSE))))</f>
        <v/>
      </c>
      <c r="K178" s="175" t="str">
        <f>IF(B178="","",IF(ISNA(VLOOKUP($B178,'E-1 Off Site Hedge Baseline'!$B$1:$U$257,113,FALSE)),"",(VLOOKUP($B178,'E-1 Off Site Hedge Baseline'!$B$1:$U$257,13,FALSE))))</f>
        <v/>
      </c>
      <c r="L178" s="179" t="str">
        <f>IF(B178="","",IF(ISNA(VLOOKUP($B178,'E-1 Off Site Hedge Baseline'!$B$1:$U$257,12,FALSE)),"",(VLOOKUP($B178,'E-1 Off Site Hedge Baseline'!$B$1:$U$257,12,FALSE))))</f>
        <v/>
      </c>
      <c r="M178" s="639" t="str">
        <f t="shared" si="24"/>
        <v/>
      </c>
      <c r="N178" s="171" t="str">
        <f>IFERROR(IF(B178="","",INDEX('G-6 Hedgerow Data'!$AN$3:$AZ$15,MATCH(C178,'G-6 Hedgerow Data'!$AM$3:$AM$15,0),MATCH(M178,'G-6 Hedgerow Data'!$AN$2:$AZ$2,0))),"")</f>
        <v/>
      </c>
      <c r="O178" s="172" t="str">
        <f t="shared" si="18"/>
        <v/>
      </c>
      <c r="P178" s="260" t="str">
        <f>IF(B178="","",VLOOKUP(B178,'E-1 Off Site Hedge Baseline'!$B$10:T423,16,FALSE))</f>
        <v/>
      </c>
      <c r="Q178" s="171" t="str">
        <f>IF(M178="","",VLOOKUP(M178,'G-6 Hedgerow Data'!$B$2:$AG$15,2,FALSE))</f>
        <v/>
      </c>
      <c r="R178" s="172" t="str">
        <f>IF(M178="","",VLOOKUP(M178,'G-6 Hedgerow Data'!$B$2:$AG$15,3,FALSE))</f>
        <v/>
      </c>
      <c r="S178" s="173"/>
      <c r="T178" s="172" t="str">
        <f>IFERROR(IF(AND(Q178="V.Low",OR(S178="Good",S178="Moderate")),"Error",VLOOKUP(S178,'G-1 All Habitats'!$Z$2:$AA$9,2,FALSE)),"")</f>
        <v/>
      </c>
      <c r="U178" s="173"/>
      <c r="V178" s="179" t="str">
        <f>IF(U178="","",IF(VLOOKUP(U178,'G-3 Multipliers'!$L$3:$N$6,2,FALSE)=0,"Spatial Data Missing",VLOOKUP(U178,'G-3 Multipliers'!$L$3:$N$6,2,FALSE)))</f>
        <v/>
      </c>
      <c r="W178" s="260" t="str">
        <f>IF(U178="","",IF(VLOOKUP(U178,'G-3 Multipliers'!$L$3:$N$6,3,FALSE)=0,"Spatial Data Missing",VLOOKUP(U178,'G-3 Multipliers'!$L$3:$N$6,3,FALSE)))</f>
        <v/>
      </c>
      <c r="X178" s="171" t="str">
        <f>IFERROR(IF(OR(LEFT(O178,5)="Error",LEFT(N178,5)="Error",T178="Error"),"Check Data",IF(F178&lt;R178,INDEX('G-6 Hedgerow Data'!$S$3:$AE$14,MATCH(C178,'G-6 Hedgerow Data'!$B$3:$B$14,0),MATCH(M178,'G-6 Hedgerow Data'!$S$2:$AE$2,0)),INDEX('G-6 Hedgerow Data'!$K$3:$Q$14,MATCH(M178,'G-6 Hedgerow Data'!$B$3:$B$14,0),MATCH(O178,'G-6 Hedgerow Data'!$K$2:$Q$2,0)))),"")</f>
        <v/>
      </c>
      <c r="Y178" s="261"/>
      <c r="Z178" s="261"/>
      <c r="AA178" s="179" t="str">
        <f t="shared" si="19"/>
        <v/>
      </c>
      <c r="AB178" s="262" t="str">
        <f t="shared" si="20"/>
        <v/>
      </c>
      <c r="AC178" s="263" t="str">
        <f t="shared" si="17"/>
        <v/>
      </c>
      <c r="AD178" s="239" t="str">
        <f>IF(M178="","",VLOOKUP(M178,'G-6 Hedgerow Data'!$B$3:$AG$15,31,FALSE))</f>
        <v/>
      </c>
      <c r="AE178" s="175" t="str">
        <f t="shared" si="21"/>
        <v/>
      </c>
      <c r="AF178" s="175" t="str">
        <f t="shared" si="22"/>
        <v/>
      </c>
      <c r="AG178" s="176" t="str">
        <f>IFERROR(IF(O178="","",VLOOKUP(AD178,'G-3 Multipliers'!$P$3:$Q$6,2,FALSE)),"")</f>
        <v/>
      </c>
      <c r="AH178" s="266"/>
      <c r="AI178" s="172" t="str">
        <f>IF(AH178="","",IF(VLOOKUP(AH178,'G-3 Multipliers'!$S$3:$T$6,2,FALSE)=0,"Spatial Data Missing",VLOOKUP(AH178,'G-3 Multipliers'!$S$3:$T$6,2,FALSE)))</f>
        <v/>
      </c>
      <c r="AJ178" s="265" t="str">
        <f t="shared" si="23"/>
        <v/>
      </c>
      <c r="AK178" s="180"/>
      <c r="AL178" s="181"/>
      <c r="AP178" s="35" t="str">
        <f>IFERROR(INDEX('G-6 Hedgerow Data'!$BJ$3:$BJ$15,MATCH(M178,'G-6 Hedgerow Data'!$B$3:$B$15,0)),"")</f>
        <v/>
      </c>
    </row>
    <row r="179" spans="2:42" ht="13.8" x14ac:dyDescent="0.25">
      <c r="B179" s="259" t="str">
        <f>'E-1 Off Site Hedge Baseline'!AK177</f>
        <v/>
      </c>
      <c r="C179" s="175" t="str">
        <f>IF(B179="","",IF(ISNA(VLOOKUP($B179,'E-1 Off Site Hedge Baseline'!$B$1:$L$257,3,FALSE)),"",(VLOOKUP($B179,'E-1 Off Site Hedge Baseline'!$B$1:$L$257,3,FALSE))))</f>
        <v/>
      </c>
      <c r="D179" s="175" t="str">
        <f>IF(B179="","",IF(ISNA(VLOOKUP($B179,'E-1 Off Site Hedge Baseline'!$B$1:$L$258,4,FALSE)),"",(VLOOKUP($B179,'E-1 Off Site Hedge Baseline'!$B$1:$L$258,4,FALSE))))</f>
        <v/>
      </c>
      <c r="E179" s="175" t="str">
        <f>IF(B179="","",IF(ISNA(VLOOKUP($B179,'E-1 Off Site Hedge Baseline'!$B$1:$L$257,5,FALSE)),"",(VLOOKUP($B179,'E-1 Off Site Hedge Baseline'!$B$1:$L$257,5,FALSE))))</f>
        <v/>
      </c>
      <c r="F179" s="175" t="str">
        <f>IF(B179="","",IF(ISNA(VLOOKUP($B179,'E-1 Off Site Hedge Baseline'!$B$1:$L$257,6,FALSE)),"",(VLOOKUP($B179,'E-1 Off Site Hedge Baseline'!$B$1:$L$257,6,FALSE))))</f>
        <v/>
      </c>
      <c r="G179" s="175" t="str">
        <f>IF(B179="","",IF(ISNA(VLOOKUP($B179,'E-1 Off Site Hedge Baseline'!$B$1:$L$257,7,FALSE)),"",(VLOOKUP($B179,'E-1 Off Site Hedge Baseline'!$B$1:$L$257,7,FALSE))))</f>
        <v/>
      </c>
      <c r="H179" s="175" t="str">
        <f>IF(B179="","",IF(ISNA(VLOOKUP($B179,'E-1 Off Site Hedge Baseline'!$B$1:$L$257,8,FALSE)),"",(VLOOKUP($B179,'E-1 Off Site Hedge Baseline'!$B$1:$L$257,8,FALSE))))</f>
        <v/>
      </c>
      <c r="I179" s="175" t="str">
        <f>IF(B179="","",IF(ISNA(VLOOKUP($B179,'E-1 Off Site Hedge Baseline'!$B$1:$L$257,10,FALSE)),"",(VLOOKUP($B179,'E-1 Off Site Hedge Baseline'!$B$1:$L$257,10,FALSE))))</f>
        <v/>
      </c>
      <c r="J179" s="175" t="str">
        <f>IF(B179="","",IF(ISNA(VLOOKUP($B179,'E-1 Off Site Hedge Baseline'!$B$1:$L$257,11,FALSE)),"",(VLOOKUP($B179,'E-1 Off Site Hedge Baseline'!$B$1:$L$257,11,FALSE))))</f>
        <v/>
      </c>
      <c r="K179" s="175" t="str">
        <f>IF(B179="","",IF(ISNA(VLOOKUP($B179,'E-1 Off Site Hedge Baseline'!$B$1:$U$257,113,FALSE)),"",(VLOOKUP($B179,'E-1 Off Site Hedge Baseline'!$B$1:$U$257,13,FALSE))))</f>
        <v/>
      </c>
      <c r="L179" s="179" t="str">
        <f>IF(B179="","",IF(ISNA(VLOOKUP($B179,'E-1 Off Site Hedge Baseline'!$B$1:$U$257,12,FALSE)),"",(VLOOKUP($B179,'E-1 Off Site Hedge Baseline'!$B$1:$U$257,12,FALSE))))</f>
        <v/>
      </c>
      <c r="M179" s="639" t="str">
        <f t="shared" si="24"/>
        <v/>
      </c>
      <c r="N179" s="171" t="str">
        <f>IFERROR(IF(B179="","",INDEX('G-6 Hedgerow Data'!$AN$3:$AZ$15,MATCH(C179,'G-6 Hedgerow Data'!$AM$3:$AM$15,0),MATCH(M179,'G-6 Hedgerow Data'!$AN$2:$AZ$2,0))),"")</f>
        <v/>
      </c>
      <c r="O179" s="172" t="str">
        <f t="shared" si="18"/>
        <v/>
      </c>
      <c r="P179" s="260" t="str">
        <f>IF(B179="","",VLOOKUP(B179,'E-1 Off Site Hedge Baseline'!$B$10:T424,16,FALSE))</f>
        <v/>
      </c>
      <c r="Q179" s="171" t="str">
        <f>IF(M179="","",VLOOKUP(M179,'G-6 Hedgerow Data'!$B$2:$AG$15,2,FALSE))</f>
        <v/>
      </c>
      <c r="R179" s="172" t="str">
        <f>IF(M179="","",VLOOKUP(M179,'G-6 Hedgerow Data'!$B$2:$AG$15,3,FALSE))</f>
        <v/>
      </c>
      <c r="S179" s="173"/>
      <c r="T179" s="172" t="str">
        <f>IFERROR(IF(AND(Q179="V.Low",OR(S179="Good",S179="Moderate")),"Error",VLOOKUP(S179,'G-1 All Habitats'!$Z$2:$AA$9,2,FALSE)),"")</f>
        <v/>
      </c>
      <c r="U179" s="173"/>
      <c r="V179" s="179" t="str">
        <f>IF(U179="","",IF(VLOOKUP(U179,'G-3 Multipliers'!$L$3:$N$6,2,FALSE)=0,"Spatial Data Missing",VLOOKUP(U179,'G-3 Multipliers'!$L$3:$N$6,2,FALSE)))</f>
        <v/>
      </c>
      <c r="W179" s="260" t="str">
        <f>IF(U179="","",IF(VLOOKUP(U179,'G-3 Multipliers'!$L$3:$N$6,3,FALSE)=0,"Spatial Data Missing",VLOOKUP(U179,'G-3 Multipliers'!$L$3:$N$6,3,FALSE)))</f>
        <v/>
      </c>
      <c r="X179" s="171" t="str">
        <f>IFERROR(IF(OR(LEFT(O179,5)="Error",LEFT(N179,5)="Error",T179="Error"),"Check Data",IF(F179&lt;R179,INDEX('G-6 Hedgerow Data'!$S$3:$AE$14,MATCH(C179,'G-6 Hedgerow Data'!$B$3:$B$14,0),MATCH(M179,'G-6 Hedgerow Data'!$S$2:$AE$2,0)),INDEX('G-6 Hedgerow Data'!$K$3:$Q$14,MATCH(M179,'G-6 Hedgerow Data'!$B$3:$B$14,0),MATCH(O179,'G-6 Hedgerow Data'!$K$2:$Q$2,0)))),"")</f>
        <v/>
      </c>
      <c r="Y179" s="261"/>
      <c r="Z179" s="261"/>
      <c r="AA179" s="179" t="str">
        <f t="shared" si="19"/>
        <v/>
      </c>
      <c r="AB179" s="262" t="str">
        <f t="shared" si="20"/>
        <v/>
      </c>
      <c r="AC179" s="263" t="str">
        <f t="shared" si="17"/>
        <v/>
      </c>
      <c r="AD179" s="239" t="str">
        <f>IF(M179="","",VLOOKUP(M179,'G-6 Hedgerow Data'!$B$3:$AG$15,31,FALSE))</f>
        <v/>
      </c>
      <c r="AE179" s="175" t="str">
        <f t="shared" si="21"/>
        <v/>
      </c>
      <c r="AF179" s="175" t="str">
        <f t="shared" si="22"/>
        <v/>
      </c>
      <c r="AG179" s="176" t="str">
        <f>IFERROR(IF(O179="","",VLOOKUP(AD179,'G-3 Multipliers'!$P$3:$Q$6,2,FALSE)),"")</f>
        <v/>
      </c>
      <c r="AH179" s="266"/>
      <c r="AI179" s="172" t="str">
        <f>IF(AH179="","",IF(VLOOKUP(AH179,'G-3 Multipliers'!$S$3:$T$6,2,FALSE)=0,"Spatial Data Missing",VLOOKUP(AH179,'G-3 Multipliers'!$S$3:$T$6,2,FALSE)))</f>
        <v/>
      </c>
      <c r="AJ179" s="265" t="str">
        <f t="shared" si="23"/>
        <v/>
      </c>
      <c r="AK179" s="180"/>
      <c r="AL179" s="181"/>
      <c r="AP179" s="35" t="str">
        <f>IFERROR(INDEX('G-6 Hedgerow Data'!$BJ$3:$BJ$15,MATCH(M179,'G-6 Hedgerow Data'!$B$3:$B$15,0)),"")</f>
        <v/>
      </c>
    </row>
    <row r="180" spans="2:42" ht="13.8" x14ac:dyDescent="0.25">
      <c r="B180" s="259" t="str">
        <f>'E-1 Off Site Hedge Baseline'!AK178</f>
        <v/>
      </c>
      <c r="C180" s="175" t="str">
        <f>IF(B180="","",IF(ISNA(VLOOKUP($B180,'E-1 Off Site Hedge Baseline'!$B$1:$L$257,3,FALSE)),"",(VLOOKUP($B180,'E-1 Off Site Hedge Baseline'!$B$1:$L$257,3,FALSE))))</f>
        <v/>
      </c>
      <c r="D180" s="175" t="str">
        <f>IF(B180="","",IF(ISNA(VLOOKUP($B180,'E-1 Off Site Hedge Baseline'!$B$1:$L$258,4,FALSE)),"",(VLOOKUP($B180,'E-1 Off Site Hedge Baseline'!$B$1:$L$258,4,FALSE))))</f>
        <v/>
      </c>
      <c r="E180" s="175" t="str">
        <f>IF(B180="","",IF(ISNA(VLOOKUP($B180,'E-1 Off Site Hedge Baseline'!$B$1:$L$257,5,FALSE)),"",(VLOOKUP($B180,'E-1 Off Site Hedge Baseline'!$B$1:$L$257,5,FALSE))))</f>
        <v/>
      </c>
      <c r="F180" s="175" t="str">
        <f>IF(B180="","",IF(ISNA(VLOOKUP($B180,'E-1 Off Site Hedge Baseline'!$B$1:$L$257,6,FALSE)),"",(VLOOKUP($B180,'E-1 Off Site Hedge Baseline'!$B$1:$L$257,6,FALSE))))</f>
        <v/>
      </c>
      <c r="G180" s="175" t="str">
        <f>IF(B180="","",IF(ISNA(VLOOKUP($B180,'E-1 Off Site Hedge Baseline'!$B$1:$L$257,7,FALSE)),"",(VLOOKUP($B180,'E-1 Off Site Hedge Baseline'!$B$1:$L$257,7,FALSE))))</f>
        <v/>
      </c>
      <c r="H180" s="175" t="str">
        <f>IF(B180="","",IF(ISNA(VLOOKUP($B180,'E-1 Off Site Hedge Baseline'!$B$1:$L$257,8,FALSE)),"",(VLOOKUP($B180,'E-1 Off Site Hedge Baseline'!$B$1:$L$257,8,FALSE))))</f>
        <v/>
      </c>
      <c r="I180" s="175" t="str">
        <f>IF(B180="","",IF(ISNA(VLOOKUP($B180,'E-1 Off Site Hedge Baseline'!$B$1:$L$257,10,FALSE)),"",(VLOOKUP($B180,'E-1 Off Site Hedge Baseline'!$B$1:$L$257,10,FALSE))))</f>
        <v/>
      </c>
      <c r="J180" s="175" t="str">
        <f>IF(B180="","",IF(ISNA(VLOOKUP($B180,'E-1 Off Site Hedge Baseline'!$B$1:$L$257,11,FALSE)),"",(VLOOKUP($B180,'E-1 Off Site Hedge Baseline'!$B$1:$L$257,11,FALSE))))</f>
        <v/>
      </c>
      <c r="K180" s="175" t="str">
        <f>IF(B180="","",IF(ISNA(VLOOKUP($B180,'E-1 Off Site Hedge Baseline'!$B$1:$U$257,113,FALSE)),"",(VLOOKUP($B180,'E-1 Off Site Hedge Baseline'!$B$1:$U$257,13,FALSE))))</f>
        <v/>
      </c>
      <c r="L180" s="179" t="str">
        <f>IF(B180="","",IF(ISNA(VLOOKUP($B180,'E-1 Off Site Hedge Baseline'!$B$1:$U$257,12,FALSE)),"",(VLOOKUP($B180,'E-1 Off Site Hedge Baseline'!$B$1:$U$257,12,FALSE))))</f>
        <v/>
      </c>
      <c r="M180" s="639" t="str">
        <f t="shared" si="24"/>
        <v/>
      </c>
      <c r="N180" s="171" t="str">
        <f>IFERROR(IF(B180="","",INDEX('G-6 Hedgerow Data'!$AN$3:$AZ$15,MATCH(C180,'G-6 Hedgerow Data'!$AM$3:$AM$15,0),MATCH(M180,'G-6 Hedgerow Data'!$AN$2:$AZ$2,0))),"")</f>
        <v/>
      </c>
      <c r="O180" s="172" t="str">
        <f t="shared" si="18"/>
        <v/>
      </c>
      <c r="P180" s="260" t="str">
        <f>IF(B180="","",VLOOKUP(B180,'E-1 Off Site Hedge Baseline'!$B$10:T425,16,FALSE))</f>
        <v/>
      </c>
      <c r="Q180" s="171" t="str">
        <f>IF(M180="","",VLOOKUP(M180,'G-6 Hedgerow Data'!$B$2:$AG$15,2,FALSE))</f>
        <v/>
      </c>
      <c r="R180" s="172" t="str">
        <f>IF(M180="","",VLOOKUP(M180,'G-6 Hedgerow Data'!$B$2:$AG$15,3,FALSE))</f>
        <v/>
      </c>
      <c r="S180" s="173"/>
      <c r="T180" s="172" t="str">
        <f>IFERROR(IF(AND(Q180="V.Low",OR(S180="Good",S180="Moderate")),"Error",VLOOKUP(S180,'G-1 All Habitats'!$Z$2:$AA$9,2,FALSE)),"")</f>
        <v/>
      </c>
      <c r="U180" s="173"/>
      <c r="V180" s="179" t="str">
        <f>IF(U180="","",IF(VLOOKUP(U180,'G-3 Multipliers'!$L$3:$N$6,2,FALSE)=0,"Spatial Data Missing",VLOOKUP(U180,'G-3 Multipliers'!$L$3:$N$6,2,FALSE)))</f>
        <v/>
      </c>
      <c r="W180" s="260" t="str">
        <f>IF(U180="","",IF(VLOOKUP(U180,'G-3 Multipliers'!$L$3:$N$6,3,FALSE)=0,"Spatial Data Missing",VLOOKUP(U180,'G-3 Multipliers'!$L$3:$N$6,3,FALSE)))</f>
        <v/>
      </c>
      <c r="X180" s="171" t="str">
        <f>IFERROR(IF(OR(LEFT(O180,5)="Error",LEFT(N180,5)="Error",T180="Error"),"Check Data",IF(F180&lt;R180,INDEX('G-6 Hedgerow Data'!$S$3:$AE$14,MATCH(C180,'G-6 Hedgerow Data'!$B$3:$B$14,0),MATCH(M180,'G-6 Hedgerow Data'!$S$2:$AE$2,0)),INDEX('G-6 Hedgerow Data'!$K$3:$Q$14,MATCH(M180,'G-6 Hedgerow Data'!$B$3:$B$14,0),MATCH(O180,'G-6 Hedgerow Data'!$K$2:$Q$2,0)))),"")</f>
        <v/>
      </c>
      <c r="Y180" s="261"/>
      <c r="Z180" s="261"/>
      <c r="AA180" s="179" t="str">
        <f t="shared" si="19"/>
        <v/>
      </c>
      <c r="AB180" s="262" t="str">
        <f t="shared" si="20"/>
        <v/>
      </c>
      <c r="AC180" s="263" t="str">
        <f t="shared" si="17"/>
        <v/>
      </c>
      <c r="AD180" s="239" t="str">
        <f>IF(M180="","",VLOOKUP(M180,'G-6 Hedgerow Data'!$B$3:$AG$15,31,FALSE))</f>
        <v/>
      </c>
      <c r="AE180" s="175" t="str">
        <f t="shared" si="21"/>
        <v/>
      </c>
      <c r="AF180" s="175" t="str">
        <f t="shared" si="22"/>
        <v/>
      </c>
      <c r="AG180" s="176" t="str">
        <f>IFERROR(IF(O180="","",VLOOKUP(AD180,'G-3 Multipliers'!$P$3:$Q$6,2,FALSE)),"")</f>
        <v/>
      </c>
      <c r="AH180" s="266"/>
      <c r="AI180" s="172" t="str">
        <f>IF(AH180="","",IF(VLOOKUP(AH180,'G-3 Multipliers'!$S$3:$T$6,2,FALSE)=0,"Spatial Data Missing",VLOOKUP(AH180,'G-3 Multipliers'!$S$3:$T$6,2,FALSE)))</f>
        <v/>
      </c>
      <c r="AJ180" s="265" t="str">
        <f t="shared" si="23"/>
        <v/>
      </c>
      <c r="AK180" s="180"/>
      <c r="AL180" s="181"/>
      <c r="AP180" s="35" t="str">
        <f>IFERROR(INDEX('G-6 Hedgerow Data'!$BJ$3:$BJ$15,MATCH(M180,'G-6 Hedgerow Data'!$B$3:$B$15,0)),"")</f>
        <v/>
      </c>
    </row>
    <row r="181" spans="2:42" ht="13.8" x14ac:dyDescent="0.25">
      <c r="B181" s="259" t="str">
        <f>'E-1 Off Site Hedge Baseline'!AK179</f>
        <v/>
      </c>
      <c r="C181" s="175" t="str">
        <f>IF(B181="","",IF(ISNA(VLOOKUP($B181,'E-1 Off Site Hedge Baseline'!$B$1:$L$257,3,FALSE)),"",(VLOOKUP($B181,'E-1 Off Site Hedge Baseline'!$B$1:$L$257,3,FALSE))))</f>
        <v/>
      </c>
      <c r="D181" s="175" t="str">
        <f>IF(B181="","",IF(ISNA(VLOOKUP($B181,'E-1 Off Site Hedge Baseline'!$B$1:$L$258,4,FALSE)),"",(VLOOKUP($B181,'E-1 Off Site Hedge Baseline'!$B$1:$L$258,4,FALSE))))</f>
        <v/>
      </c>
      <c r="E181" s="175" t="str">
        <f>IF(B181="","",IF(ISNA(VLOOKUP($B181,'E-1 Off Site Hedge Baseline'!$B$1:$L$257,5,FALSE)),"",(VLOOKUP($B181,'E-1 Off Site Hedge Baseline'!$B$1:$L$257,5,FALSE))))</f>
        <v/>
      </c>
      <c r="F181" s="175" t="str">
        <f>IF(B181="","",IF(ISNA(VLOOKUP($B181,'E-1 Off Site Hedge Baseline'!$B$1:$L$257,6,FALSE)),"",(VLOOKUP($B181,'E-1 Off Site Hedge Baseline'!$B$1:$L$257,6,FALSE))))</f>
        <v/>
      </c>
      <c r="G181" s="175" t="str">
        <f>IF(B181="","",IF(ISNA(VLOOKUP($B181,'E-1 Off Site Hedge Baseline'!$B$1:$L$257,7,FALSE)),"",(VLOOKUP($B181,'E-1 Off Site Hedge Baseline'!$B$1:$L$257,7,FALSE))))</f>
        <v/>
      </c>
      <c r="H181" s="175" t="str">
        <f>IF(B181="","",IF(ISNA(VLOOKUP($B181,'E-1 Off Site Hedge Baseline'!$B$1:$L$257,8,FALSE)),"",(VLOOKUP($B181,'E-1 Off Site Hedge Baseline'!$B$1:$L$257,8,FALSE))))</f>
        <v/>
      </c>
      <c r="I181" s="175" t="str">
        <f>IF(B181="","",IF(ISNA(VLOOKUP($B181,'E-1 Off Site Hedge Baseline'!$B$1:$L$257,10,FALSE)),"",(VLOOKUP($B181,'E-1 Off Site Hedge Baseline'!$B$1:$L$257,10,FALSE))))</f>
        <v/>
      </c>
      <c r="J181" s="175" t="str">
        <f>IF(B181="","",IF(ISNA(VLOOKUP($B181,'E-1 Off Site Hedge Baseline'!$B$1:$L$257,11,FALSE)),"",(VLOOKUP($B181,'E-1 Off Site Hedge Baseline'!$B$1:$L$257,11,FALSE))))</f>
        <v/>
      </c>
      <c r="K181" s="175" t="str">
        <f>IF(B181="","",IF(ISNA(VLOOKUP($B181,'E-1 Off Site Hedge Baseline'!$B$1:$U$257,113,FALSE)),"",(VLOOKUP($B181,'E-1 Off Site Hedge Baseline'!$B$1:$U$257,13,FALSE))))</f>
        <v/>
      </c>
      <c r="L181" s="179" t="str">
        <f>IF(B181="","",IF(ISNA(VLOOKUP($B181,'E-1 Off Site Hedge Baseline'!$B$1:$U$257,12,FALSE)),"",(VLOOKUP($B181,'E-1 Off Site Hedge Baseline'!$B$1:$U$257,12,FALSE))))</f>
        <v/>
      </c>
      <c r="M181" s="639" t="str">
        <f t="shared" si="24"/>
        <v/>
      </c>
      <c r="N181" s="171" t="str">
        <f>IFERROR(IF(B181="","",INDEX('G-6 Hedgerow Data'!$AN$3:$AZ$15,MATCH(C181,'G-6 Hedgerow Data'!$AM$3:$AM$15,0),MATCH(M181,'G-6 Hedgerow Data'!$AN$2:$AZ$2,0))),"")</f>
        <v/>
      </c>
      <c r="O181" s="172" t="str">
        <f t="shared" si="18"/>
        <v/>
      </c>
      <c r="P181" s="260" t="str">
        <f>IF(B181="","",VLOOKUP(B181,'E-1 Off Site Hedge Baseline'!$B$10:T426,16,FALSE))</f>
        <v/>
      </c>
      <c r="Q181" s="171" t="str">
        <f>IF(M181="","",VLOOKUP(M181,'G-6 Hedgerow Data'!$B$2:$AG$15,2,FALSE))</f>
        <v/>
      </c>
      <c r="R181" s="172" t="str">
        <f>IF(M181="","",VLOOKUP(M181,'G-6 Hedgerow Data'!$B$2:$AG$15,3,FALSE))</f>
        <v/>
      </c>
      <c r="S181" s="173"/>
      <c r="T181" s="172" t="str">
        <f>IFERROR(IF(AND(Q181="V.Low",OR(S181="Good",S181="Moderate")),"Error",VLOOKUP(S181,'G-1 All Habitats'!$Z$2:$AA$9,2,FALSE)),"")</f>
        <v/>
      </c>
      <c r="U181" s="173"/>
      <c r="V181" s="179" t="str">
        <f>IF(U181="","",IF(VLOOKUP(U181,'G-3 Multipliers'!$L$3:$N$6,2,FALSE)=0,"Spatial Data Missing",VLOOKUP(U181,'G-3 Multipliers'!$L$3:$N$6,2,FALSE)))</f>
        <v/>
      </c>
      <c r="W181" s="260" t="str">
        <f>IF(U181="","",IF(VLOOKUP(U181,'G-3 Multipliers'!$L$3:$N$6,3,FALSE)=0,"Spatial Data Missing",VLOOKUP(U181,'G-3 Multipliers'!$L$3:$N$6,3,FALSE)))</f>
        <v/>
      </c>
      <c r="X181" s="171" t="str">
        <f>IFERROR(IF(OR(LEFT(O181,5)="Error",LEFT(N181,5)="Error",T181="Error"),"Check Data",IF(F181&lt;R181,INDEX('G-6 Hedgerow Data'!$S$3:$AE$14,MATCH(C181,'G-6 Hedgerow Data'!$B$3:$B$14,0),MATCH(M181,'G-6 Hedgerow Data'!$S$2:$AE$2,0)),INDEX('G-6 Hedgerow Data'!$K$3:$Q$14,MATCH(M181,'G-6 Hedgerow Data'!$B$3:$B$14,0),MATCH(O181,'G-6 Hedgerow Data'!$K$2:$Q$2,0)))),"")</f>
        <v/>
      </c>
      <c r="Y181" s="261"/>
      <c r="Z181" s="261"/>
      <c r="AA181" s="179" t="str">
        <f t="shared" si="19"/>
        <v/>
      </c>
      <c r="AB181" s="262" t="str">
        <f t="shared" si="20"/>
        <v/>
      </c>
      <c r="AC181" s="263" t="str">
        <f t="shared" si="17"/>
        <v/>
      </c>
      <c r="AD181" s="239" t="str">
        <f>IF(M181="","",VLOOKUP(M181,'G-6 Hedgerow Data'!$B$3:$AG$15,31,FALSE))</f>
        <v/>
      </c>
      <c r="AE181" s="175" t="str">
        <f t="shared" si="21"/>
        <v/>
      </c>
      <c r="AF181" s="175" t="str">
        <f t="shared" si="22"/>
        <v/>
      </c>
      <c r="AG181" s="176" t="str">
        <f>IFERROR(IF(O181="","",VLOOKUP(AD181,'G-3 Multipliers'!$P$3:$Q$6,2,FALSE)),"")</f>
        <v/>
      </c>
      <c r="AH181" s="266"/>
      <c r="AI181" s="172" t="str">
        <f>IF(AH181="","",IF(VLOOKUP(AH181,'G-3 Multipliers'!$S$3:$T$6,2,FALSE)=0,"Spatial Data Missing",VLOOKUP(AH181,'G-3 Multipliers'!$S$3:$T$6,2,FALSE)))</f>
        <v/>
      </c>
      <c r="AJ181" s="265" t="str">
        <f t="shared" si="23"/>
        <v/>
      </c>
      <c r="AK181" s="180"/>
      <c r="AL181" s="181"/>
      <c r="AP181" s="35" t="str">
        <f>IFERROR(INDEX('G-6 Hedgerow Data'!$BJ$3:$BJ$15,MATCH(M181,'G-6 Hedgerow Data'!$B$3:$B$15,0)),"")</f>
        <v/>
      </c>
    </row>
    <row r="182" spans="2:42" ht="13.8" x14ac:dyDescent="0.25">
      <c r="B182" s="259" t="str">
        <f>'E-1 Off Site Hedge Baseline'!AK180</f>
        <v/>
      </c>
      <c r="C182" s="175" t="str">
        <f>IF(B182="","",IF(ISNA(VLOOKUP($B182,'E-1 Off Site Hedge Baseline'!$B$1:$L$257,3,FALSE)),"",(VLOOKUP($B182,'E-1 Off Site Hedge Baseline'!$B$1:$L$257,3,FALSE))))</f>
        <v/>
      </c>
      <c r="D182" s="175" t="str">
        <f>IF(B182="","",IF(ISNA(VLOOKUP($B182,'E-1 Off Site Hedge Baseline'!$B$1:$L$258,4,FALSE)),"",(VLOOKUP($B182,'E-1 Off Site Hedge Baseline'!$B$1:$L$258,4,FALSE))))</f>
        <v/>
      </c>
      <c r="E182" s="175" t="str">
        <f>IF(B182="","",IF(ISNA(VLOOKUP($B182,'E-1 Off Site Hedge Baseline'!$B$1:$L$257,5,FALSE)),"",(VLOOKUP($B182,'E-1 Off Site Hedge Baseline'!$B$1:$L$257,5,FALSE))))</f>
        <v/>
      </c>
      <c r="F182" s="175" t="str">
        <f>IF(B182="","",IF(ISNA(VLOOKUP($B182,'E-1 Off Site Hedge Baseline'!$B$1:$L$257,6,FALSE)),"",(VLOOKUP($B182,'E-1 Off Site Hedge Baseline'!$B$1:$L$257,6,FALSE))))</f>
        <v/>
      </c>
      <c r="G182" s="175" t="str">
        <f>IF(B182="","",IF(ISNA(VLOOKUP($B182,'E-1 Off Site Hedge Baseline'!$B$1:$L$257,7,FALSE)),"",(VLOOKUP($B182,'E-1 Off Site Hedge Baseline'!$B$1:$L$257,7,FALSE))))</f>
        <v/>
      </c>
      <c r="H182" s="175" t="str">
        <f>IF(B182="","",IF(ISNA(VLOOKUP($B182,'E-1 Off Site Hedge Baseline'!$B$1:$L$257,8,FALSE)),"",(VLOOKUP($B182,'E-1 Off Site Hedge Baseline'!$B$1:$L$257,8,FALSE))))</f>
        <v/>
      </c>
      <c r="I182" s="175" t="str">
        <f>IF(B182="","",IF(ISNA(VLOOKUP($B182,'E-1 Off Site Hedge Baseline'!$B$1:$L$257,10,FALSE)),"",(VLOOKUP($B182,'E-1 Off Site Hedge Baseline'!$B$1:$L$257,10,FALSE))))</f>
        <v/>
      </c>
      <c r="J182" s="175" t="str">
        <f>IF(B182="","",IF(ISNA(VLOOKUP($B182,'E-1 Off Site Hedge Baseline'!$B$1:$L$257,11,FALSE)),"",(VLOOKUP($B182,'E-1 Off Site Hedge Baseline'!$B$1:$L$257,11,FALSE))))</f>
        <v/>
      </c>
      <c r="K182" s="175" t="str">
        <f>IF(B182="","",IF(ISNA(VLOOKUP($B182,'E-1 Off Site Hedge Baseline'!$B$1:$U$257,113,FALSE)),"",(VLOOKUP($B182,'E-1 Off Site Hedge Baseline'!$B$1:$U$257,13,FALSE))))</f>
        <v/>
      </c>
      <c r="L182" s="179" t="str">
        <f>IF(B182="","",IF(ISNA(VLOOKUP($B182,'E-1 Off Site Hedge Baseline'!$B$1:$U$257,12,FALSE)),"",(VLOOKUP($B182,'E-1 Off Site Hedge Baseline'!$B$1:$U$257,12,FALSE))))</f>
        <v/>
      </c>
      <c r="M182" s="639" t="str">
        <f t="shared" si="24"/>
        <v/>
      </c>
      <c r="N182" s="171" t="str">
        <f>IFERROR(IF(B182="","",INDEX('G-6 Hedgerow Data'!$AN$3:$AZ$15,MATCH(C182,'G-6 Hedgerow Data'!$AM$3:$AM$15,0),MATCH(M182,'G-6 Hedgerow Data'!$AN$2:$AZ$2,0))),"")</f>
        <v/>
      </c>
      <c r="O182" s="172" t="str">
        <f t="shared" si="18"/>
        <v/>
      </c>
      <c r="P182" s="260" t="str">
        <f>IF(B182="","",VLOOKUP(B182,'E-1 Off Site Hedge Baseline'!$B$10:T427,16,FALSE))</f>
        <v/>
      </c>
      <c r="Q182" s="171" t="str">
        <f>IF(M182="","",VLOOKUP(M182,'G-6 Hedgerow Data'!$B$2:$AG$15,2,FALSE))</f>
        <v/>
      </c>
      <c r="R182" s="172" t="str">
        <f>IF(M182="","",VLOOKUP(M182,'G-6 Hedgerow Data'!$B$2:$AG$15,3,FALSE))</f>
        <v/>
      </c>
      <c r="S182" s="173"/>
      <c r="T182" s="172" t="str">
        <f>IFERROR(IF(AND(Q182="V.Low",OR(S182="Good",S182="Moderate")),"Error",VLOOKUP(S182,'G-1 All Habitats'!$Z$2:$AA$9,2,FALSE)),"")</f>
        <v/>
      </c>
      <c r="U182" s="173"/>
      <c r="V182" s="179" t="str">
        <f>IF(U182="","",IF(VLOOKUP(U182,'G-3 Multipliers'!$L$3:$N$6,2,FALSE)=0,"Spatial Data Missing",VLOOKUP(U182,'G-3 Multipliers'!$L$3:$N$6,2,FALSE)))</f>
        <v/>
      </c>
      <c r="W182" s="260" t="str">
        <f>IF(U182="","",IF(VLOOKUP(U182,'G-3 Multipliers'!$L$3:$N$6,3,FALSE)=0,"Spatial Data Missing",VLOOKUP(U182,'G-3 Multipliers'!$L$3:$N$6,3,FALSE)))</f>
        <v/>
      </c>
      <c r="X182" s="171" t="str">
        <f>IFERROR(IF(OR(LEFT(O182,5)="Error",LEFT(N182,5)="Error",T182="Error"),"Check Data",IF(F182&lt;R182,INDEX('G-6 Hedgerow Data'!$S$3:$AE$14,MATCH(C182,'G-6 Hedgerow Data'!$B$3:$B$14,0),MATCH(M182,'G-6 Hedgerow Data'!$S$2:$AE$2,0)),INDEX('G-6 Hedgerow Data'!$K$3:$Q$14,MATCH(M182,'G-6 Hedgerow Data'!$B$3:$B$14,0),MATCH(O182,'G-6 Hedgerow Data'!$K$2:$Q$2,0)))),"")</f>
        <v/>
      </c>
      <c r="Y182" s="261"/>
      <c r="Z182" s="261"/>
      <c r="AA182" s="179" t="str">
        <f t="shared" si="19"/>
        <v/>
      </c>
      <c r="AB182" s="262" t="str">
        <f t="shared" si="20"/>
        <v/>
      </c>
      <c r="AC182" s="263" t="str">
        <f t="shared" si="17"/>
        <v/>
      </c>
      <c r="AD182" s="239" t="str">
        <f>IF(M182="","",VLOOKUP(M182,'G-6 Hedgerow Data'!$B$3:$AG$15,31,FALSE))</f>
        <v/>
      </c>
      <c r="AE182" s="175" t="str">
        <f t="shared" si="21"/>
        <v/>
      </c>
      <c r="AF182" s="175" t="str">
        <f t="shared" si="22"/>
        <v/>
      </c>
      <c r="AG182" s="176" t="str">
        <f>IFERROR(IF(O182="","",VLOOKUP(AD182,'G-3 Multipliers'!$P$3:$Q$6,2,FALSE)),"")</f>
        <v/>
      </c>
      <c r="AH182" s="266"/>
      <c r="AI182" s="172" t="str">
        <f>IF(AH182="","",IF(VLOOKUP(AH182,'G-3 Multipliers'!$S$3:$T$6,2,FALSE)=0,"Spatial Data Missing",VLOOKUP(AH182,'G-3 Multipliers'!$S$3:$T$6,2,FALSE)))</f>
        <v/>
      </c>
      <c r="AJ182" s="265" t="str">
        <f t="shared" si="23"/>
        <v/>
      </c>
      <c r="AK182" s="180"/>
      <c r="AL182" s="181"/>
      <c r="AP182" s="35" t="str">
        <f>IFERROR(INDEX('G-6 Hedgerow Data'!$BJ$3:$BJ$15,MATCH(M182,'G-6 Hedgerow Data'!$B$3:$B$15,0)),"")</f>
        <v/>
      </c>
    </row>
    <row r="183" spans="2:42" ht="13.8" x14ac:dyDescent="0.25">
      <c r="B183" s="259" t="str">
        <f>'E-1 Off Site Hedge Baseline'!AK181</f>
        <v/>
      </c>
      <c r="C183" s="175" t="str">
        <f>IF(B183="","",IF(ISNA(VLOOKUP($B183,'E-1 Off Site Hedge Baseline'!$B$1:$L$257,3,FALSE)),"",(VLOOKUP($B183,'E-1 Off Site Hedge Baseline'!$B$1:$L$257,3,FALSE))))</f>
        <v/>
      </c>
      <c r="D183" s="175" t="str">
        <f>IF(B183="","",IF(ISNA(VLOOKUP($B183,'E-1 Off Site Hedge Baseline'!$B$1:$L$258,4,FALSE)),"",(VLOOKUP($B183,'E-1 Off Site Hedge Baseline'!$B$1:$L$258,4,FALSE))))</f>
        <v/>
      </c>
      <c r="E183" s="175" t="str">
        <f>IF(B183="","",IF(ISNA(VLOOKUP($B183,'E-1 Off Site Hedge Baseline'!$B$1:$L$257,5,FALSE)),"",(VLOOKUP($B183,'E-1 Off Site Hedge Baseline'!$B$1:$L$257,5,FALSE))))</f>
        <v/>
      </c>
      <c r="F183" s="175" t="str">
        <f>IF(B183="","",IF(ISNA(VLOOKUP($B183,'E-1 Off Site Hedge Baseline'!$B$1:$L$257,6,FALSE)),"",(VLOOKUP($B183,'E-1 Off Site Hedge Baseline'!$B$1:$L$257,6,FALSE))))</f>
        <v/>
      </c>
      <c r="G183" s="175" t="str">
        <f>IF(B183="","",IF(ISNA(VLOOKUP($B183,'E-1 Off Site Hedge Baseline'!$B$1:$L$257,7,FALSE)),"",(VLOOKUP($B183,'E-1 Off Site Hedge Baseline'!$B$1:$L$257,7,FALSE))))</f>
        <v/>
      </c>
      <c r="H183" s="175" t="str">
        <f>IF(B183="","",IF(ISNA(VLOOKUP($B183,'E-1 Off Site Hedge Baseline'!$B$1:$L$257,8,FALSE)),"",(VLOOKUP($B183,'E-1 Off Site Hedge Baseline'!$B$1:$L$257,8,FALSE))))</f>
        <v/>
      </c>
      <c r="I183" s="175" t="str">
        <f>IF(B183="","",IF(ISNA(VLOOKUP($B183,'E-1 Off Site Hedge Baseline'!$B$1:$L$257,10,FALSE)),"",(VLOOKUP($B183,'E-1 Off Site Hedge Baseline'!$B$1:$L$257,10,FALSE))))</f>
        <v/>
      </c>
      <c r="J183" s="175" t="str">
        <f>IF(B183="","",IF(ISNA(VLOOKUP($B183,'E-1 Off Site Hedge Baseline'!$B$1:$L$257,11,FALSE)),"",(VLOOKUP($B183,'E-1 Off Site Hedge Baseline'!$B$1:$L$257,11,FALSE))))</f>
        <v/>
      </c>
      <c r="K183" s="175" t="str">
        <f>IF(B183="","",IF(ISNA(VLOOKUP($B183,'E-1 Off Site Hedge Baseline'!$B$1:$U$257,113,FALSE)),"",(VLOOKUP($B183,'E-1 Off Site Hedge Baseline'!$B$1:$U$257,13,FALSE))))</f>
        <v/>
      </c>
      <c r="L183" s="179" t="str">
        <f>IF(B183="","",IF(ISNA(VLOOKUP($B183,'E-1 Off Site Hedge Baseline'!$B$1:$U$257,12,FALSE)),"",(VLOOKUP($B183,'E-1 Off Site Hedge Baseline'!$B$1:$U$257,12,FALSE))))</f>
        <v/>
      </c>
      <c r="M183" s="639" t="str">
        <f t="shared" si="24"/>
        <v/>
      </c>
      <c r="N183" s="171" t="str">
        <f>IFERROR(IF(B183="","",INDEX('G-6 Hedgerow Data'!$AN$3:$AZ$15,MATCH(C183,'G-6 Hedgerow Data'!$AM$3:$AM$15,0),MATCH(M183,'G-6 Hedgerow Data'!$AN$2:$AZ$2,0))),"")</f>
        <v/>
      </c>
      <c r="O183" s="172" t="str">
        <f t="shared" si="18"/>
        <v/>
      </c>
      <c r="P183" s="260" t="str">
        <f>IF(B183="","",VLOOKUP(B183,'E-1 Off Site Hedge Baseline'!$B$10:T428,16,FALSE))</f>
        <v/>
      </c>
      <c r="Q183" s="171" t="str">
        <f>IF(M183="","",VLOOKUP(M183,'G-6 Hedgerow Data'!$B$2:$AG$15,2,FALSE))</f>
        <v/>
      </c>
      <c r="R183" s="172" t="str">
        <f>IF(M183="","",VLOOKUP(M183,'G-6 Hedgerow Data'!$B$2:$AG$15,3,FALSE))</f>
        <v/>
      </c>
      <c r="S183" s="173"/>
      <c r="T183" s="172" t="str">
        <f>IFERROR(IF(AND(Q183="V.Low",OR(S183="Good",S183="Moderate")),"Error",VLOOKUP(S183,'G-1 All Habitats'!$Z$2:$AA$9,2,FALSE)),"")</f>
        <v/>
      </c>
      <c r="U183" s="173"/>
      <c r="V183" s="179" t="str">
        <f>IF(U183="","",IF(VLOOKUP(U183,'G-3 Multipliers'!$L$3:$N$6,2,FALSE)=0,"Spatial Data Missing",VLOOKUP(U183,'G-3 Multipliers'!$L$3:$N$6,2,FALSE)))</f>
        <v/>
      </c>
      <c r="W183" s="260" t="str">
        <f>IF(U183="","",IF(VLOOKUP(U183,'G-3 Multipliers'!$L$3:$N$6,3,FALSE)=0,"Spatial Data Missing",VLOOKUP(U183,'G-3 Multipliers'!$L$3:$N$6,3,FALSE)))</f>
        <v/>
      </c>
      <c r="X183" s="171" t="str">
        <f>IFERROR(IF(OR(LEFT(O183,5)="Error",LEFT(N183,5)="Error",T183="Error"),"Check Data",IF(F183&lt;R183,INDEX('G-6 Hedgerow Data'!$S$3:$AE$14,MATCH(C183,'G-6 Hedgerow Data'!$B$3:$B$14,0),MATCH(M183,'G-6 Hedgerow Data'!$S$2:$AE$2,0)),INDEX('G-6 Hedgerow Data'!$K$3:$Q$14,MATCH(M183,'G-6 Hedgerow Data'!$B$3:$B$14,0),MATCH(O183,'G-6 Hedgerow Data'!$K$2:$Q$2,0)))),"")</f>
        <v/>
      </c>
      <c r="Y183" s="261"/>
      <c r="Z183" s="261"/>
      <c r="AA183" s="179" t="str">
        <f t="shared" si="19"/>
        <v/>
      </c>
      <c r="AB183" s="262" t="str">
        <f t="shared" si="20"/>
        <v/>
      </c>
      <c r="AC183" s="263" t="str">
        <f t="shared" si="17"/>
        <v/>
      </c>
      <c r="AD183" s="239" t="str">
        <f>IF(M183="","",VLOOKUP(M183,'G-6 Hedgerow Data'!$B$3:$AG$15,31,FALSE))</f>
        <v/>
      </c>
      <c r="AE183" s="175" t="str">
        <f t="shared" si="21"/>
        <v/>
      </c>
      <c r="AF183" s="175" t="str">
        <f t="shared" si="22"/>
        <v/>
      </c>
      <c r="AG183" s="176" t="str">
        <f>IFERROR(IF(O183="","",VLOOKUP(AD183,'G-3 Multipliers'!$P$3:$Q$6,2,FALSE)),"")</f>
        <v/>
      </c>
      <c r="AH183" s="266"/>
      <c r="AI183" s="172" t="str">
        <f>IF(AH183="","",IF(VLOOKUP(AH183,'G-3 Multipliers'!$S$3:$T$6,2,FALSE)=0,"Spatial Data Missing",VLOOKUP(AH183,'G-3 Multipliers'!$S$3:$T$6,2,FALSE)))</f>
        <v/>
      </c>
      <c r="AJ183" s="265" t="str">
        <f t="shared" si="23"/>
        <v/>
      </c>
      <c r="AK183" s="180"/>
      <c r="AL183" s="181"/>
      <c r="AP183" s="35" t="str">
        <f>IFERROR(INDEX('G-6 Hedgerow Data'!$BJ$3:$BJ$15,MATCH(M183,'G-6 Hedgerow Data'!$B$3:$B$15,0)),"")</f>
        <v/>
      </c>
    </row>
    <row r="184" spans="2:42" ht="13.8" x14ac:dyDescent="0.25">
      <c r="B184" s="259" t="str">
        <f>'E-1 Off Site Hedge Baseline'!AK182</f>
        <v/>
      </c>
      <c r="C184" s="175" t="str">
        <f>IF(B184="","",IF(ISNA(VLOOKUP($B184,'E-1 Off Site Hedge Baseline'!$B$1:$L$257,3,FALSE)),"",(VLOOKUP($B184,'E-1 Off Site Hedge Baseline'!$B$1:$L$257,3,FALSE))))</f>
        <v/>
      </c>
      <c r="D184" s="175" t="str">
        <f>IF(B184="","",IF(ISNA(VLOOKUP($B184,'E-1 Off Site Hedge Baseline'!$B$1:$L$258,4,FALSE)),"",(VLOOKUP($B184,'E-1 Off Site Hedge Baseline'!$B$1:$L$258,4,FALSE))))</f>
        <v/>
      </c>
      <c r="E184" s="175" t="str">
        <f>IF(B184="","",IF(ISNA(VLOOKUP($B184,'E-1 Off Site Hedge Baseline'!$B$1:$L$257,5,FALSE)),"",(VLOOKUP($B184,'E-1 Off Site Hedge Baseline'!$B$1:$L$257,5,FALSE))))</f>
        <v/>
      </c>
      <c r="F184" s="175" t="str">
        <f>IF(B184="","",IF(ISNA(VLOOKUP($B184,'E-1 Off Site Hedge Baseline'!$B$1:$L$257,6,FALSE)),"",(VLOOKUP($B184,'E-1 Off Site Hedge Baseline'!$B$1:$L$257,6,FALSE))))</f>
        <v/>
      </c>
      <c r="G184" s="175" t="str">
        <f>IF(B184="","",IF(ISNA(VLOOKUP($B184,'E-1 Off Site Hedge Baseline'!$B$1:$L$257,7,FALSE)),"",(VLOOKUP($B184,'E-1 Off Site Hedge Baseline'!$B$1:$L$257,7,FALSE))))</f>
        <v/>
      </c>
      <c r="H184" s="175" t="str">
        <f>IF(B184="","",IF(ISNA(VLOOKUP($B184,'E-1 Off Site Hedge Baseline'!$B$1:$L$257,8,FALSE)),"",(VLOOKUP($B184,'E-1 Off Site Hedge Baseline'!$B$1:$L$257,8,FALSE))))</f>
        <v/>
      </c>
      <c r="I184" s="175" t="str">
        <f>IF(B184="","",IF(ISNA(VLOOKUP($B184,'E-1 Off Site Hedge Baseline'!$B$1:$L$257,10,FALSE)),"",(VLOOKUP($B184,'E-1 Off Site Hedge Baseline'!$B$1:$L$257,10,FALSE))))</f>
        <v/>
      </c>
      <c r="J184" s="175" t="str">
        <f>IF(B184="","",IF(ISNA(VLOOKUP($B184,'E-1 Off Site Hedge Baseline'!$B$1:$L$257,11,FALSE)),"",(VLOOKUP($B184,'E-1 Off Site Hedge Baseline'!$B$1:$L$257,11,FALSE))))</f>
        <v/>
      </c>
      <c r="K184" s="175" t="str">
        <f>IF(B184="","",IF(ISNA(VLOOKUP($B184,'E-1 Off Site Hedge Baseline'!$B$1:$U$257,113,FALSE)),"",(VLOOKUP($B184,'E-1 Off Site Hedge Baseline'!$B$1:$U$257,13,FALSE))))</f>
        <v/>
      </c>
      <c r="L184" s="179" t="str">
        <f>IF(B184="","",IF(ISNA(VLOOKUP($B184,'E-1 Off Site Hedge Baseline'!$B$1:$U$257,12,FALSE)),"",(VLOOKUP($B184,'E-1 Off Site Hedge Baseline'!$B$1:$U$257,12,FALSE))))</f>
        <v/>
      </c>
      <c r="M184" s="639" t="str">
        <f t="shared" si="24"/>
        <v/>
      </c>
      <c r="N184" s="171" t="str">
        <f>IFERROR(IF(B184="","",INDEX('G-6 Hedgerow Data'!$AN$3:$AZ$15,MATCH(C184,'G-6 Hedgerow Data'!$AM$3:$AM$15,0),MATCH(M184,'G-6 Hedgerow Data'!$AN$2:$AZ$2,0))),"")</f>
        <v/>
      </c>
      <c r="O184" s="172" t="str">
        <f t="shared" si="18"/>
        <v/>
      </c>
      <c r="P184" s="260" t="str">
        <f>IF(B184="","",VLOOKUP(B184,'E-1 Off Site Hedge Baseline'!$B$10:T429,16,FALSE))</f>
        <v/>
      </c>
      <c r="Q184" s="171" t="str">
        <f>IF(M184="","",VLOOKUP(M184,'G-6 Hedgerow Data'!$B$2:$AG$15,2,FALSE))</f>
        <v/>
      </c>
      <c r="R184" s="172" t="str">
        <f>IF(M184="","",VLOOKUP(M184,'G-6 Hedgerow Data'!$B$2:$AG$15,3,FALSE))</f>
        <v/>
      </c>
      <c r="S184" s="173"/>
      <c r="T184" s="172" t="str">
        <f>IFERROR(IF(AND(Q184="V.Low",OR(S184="Good",S184="Moderate")),"Error",VLOOKUP(S184,'G-1 All Habitats'!$Z$2:$AA$9,2,FALSE)),"")</f>
        <v/>
      </c>
      <c r="U184" s="173"/>
      <c r="V184" s="179" t="str">
        <f>IF(U184="","",IF(VLOOKUP(U184,'G-3 Multipliers'!$L$3:$N$6,2,FALSE)=0,"Spatial Data Missing",VLOOKUP(U184,'G-3 Multipliers'!$L$3:$N$6,2,FALSE)))</f>
        <v/>
      </c>
      <c r="W184" s="260" t="str">
        <f>IF(U184="","",IF(VLOOKUP(U184,'G-3 Multipliers'!$L$3:$N$6,3,FALSE)=0,"Spatial Data Missing",VLOOKUP(U184,'G-3 Multipliers'!$L$3:$N$6,3,FALSE)))</f>
        <v/>
      </c>
      <c r="X184" s="171" t="str">
        <f>IFERROR(IF(OR(LEFT(O184,5)="Error",LEFT(N184,5)="Error",T184="Error"),"Check Data",IF(F184&lt;R184,INDEX('G-6 Hedgerow Data'!$S$3:$AE$14,MATCH(C184,'G-6 Hedgerow Data'!$B$3:$B$14,0),MATCH(M184,'G-6 Hedgerow Data'!$S$2:$AE$2,0)),INDEX('G-6 Hedgerow Data'!$K$3:$Q$14,MATCH(M184,'G-6 Hedgerow Data'!$B$3:$B$14,0),MATCH(O184,'G-6 Hedgerow Data'!$K$2:$Q$2,0)))),"")</f>
        <v/>
      </c>
      <c r="Y184" s="261"/>
      <c r="Z184" s="261"/>
      <c r="AA184" s="179" t="str">
        <f t="shared" si="19"/>
        <v/>
      </c>
      <c r="AB184" s="262" t="str">
        <f t="shared" si="20"/>
        <v/>
      </c>
      <c r="AC184" s="263" t="str">
        <f t="shared" si="17"/>
        <v/>
      </c>
      <c r="AD184" s="239" t="str">
        <f>IF(M184="","",VLOOKUP(M184,'G-6 Hedgerow Data'!$B$3:$AG$15,31,FALSE))</f>
        <v/>
      </c>
      <c r="AE184" s="175" t="str">
        <f t="shared" si="21"/>
        <v/>
      </c>
      <c r="AF184" s="175" t="str">
        <f t="shared" si="22"/>
        <v/>
      </c>
      <c r="AG184" s="176" t="str">
        <f>IFERROR(IF(O184="","",VLOOKUP(AD184,'G-3 Multipliers'!$P$3:$Q$6,2,FALSE)),"")</f>
        <v/>
      </c>
      <c r="AH184" s="266"/>
      <c r="AI184" s="172" t="str">
        <f>IF(AH184="","",IF(VLOOKUP(AH184,'G-3 Multipliers'!$S$3:$T$6,2,FALSE)=0,"Spatial Data Missing",VLOOKUP(AH184,'G-3 Multipliers'!$S$3:$T$6,2,FALSE)))</f>
        <v/>
      </c>
      <c r="AJ184" s="265" t="str">
        <f t="shared" si="23"/>
        <v/>
      </c>
      <c r="AK184" s="180"/>
      <c r="AL184" s="181"/>
      <c r="AP184" s="35" t="str">
        <f>IFERROR(INDEX('G-6 Hedgerow Data'!$BJ$3:$BJ$15,MATCH(M184,'G-6 Hedgerow Data'!$B$3:$B$15,0)),"")</f>
        <v/>
      </c>
    </row>
    <row r="185" spans="2:42" ht="13.8" x14ac:dyDescent="0.25">
      <c r="B185" s="259" t="str">
        <f>'E-1 Off Site Hedge Baseline'!AK183</f>
        <v/>
      </c>
      <c r="C185" s="175" t="str">
        <f>IF(B185="","",IF(ISNA(VLOOKUP($B185,'E-1 Off Site Hedge Baseline'!$B$1:$L$257,3,FALSE)),"",(VLOOKUP($B185,'E-1 Off Site Hedge Baseline'!$B$1:$L$257,3,FALSE))))</f>
        <v/>
      </c>
      <c r="D185" s="175" t="str">
        <f>IF(B185="","",IF(ISNA(VLOOKUP($B185,'E-1 Off Site Hedge Baseline'!$B$1:$L$258,4,FALSE)),"",(VLOOKUP($B185,'E-1 Off Site Hedge Baseline'!$B$1:$L$258,4,FALSE))))</f>
        <v/>
      </c>
      <c r="E185" s="175" t="str">
        <f>IF(B185="","",IF(ISNA(VLOOKUP($B185,'E-1 Off Site Hedge Baseline'!$B$1:$L$257,5,FALSE)),"",(VLOOKUP($B185,'E-1 Off Site Hedge Baseline'!$B$1:$L$257,5,FALSE))))</f>
        <v/>
      </c>
      <c r="F185" s="175" t="str">
        <f>IF(B185="","",IF(ISNA(VLOOKUP($B185,'E-1 Off Site Hedge Baseline'!$B$1:$L$257,6,FALSE)),"",(VLOOKUP($B185,'E-1 Off Site Hedge Baseline'!$B$1:$L$257,6,FALSE))))</f>
        <v/>
      </c>
      <c r="G185" s="175" t="str">
        <f>IF(B185="","",IF(ISNA(VLOOKUP($B185,'E-1 Off Site Hedge Baseline'!$B$1:$L$257,7,FALSE)),"",(VLOOKUP($B185,'E-1 Off Site Hedge Baseline'!$B$1:$L$257,7,FALSE))))</f>
        <v/>
      </c>
      <c r="H185" s="175" t="str">
        <f>IF(B185="","",IF(ISNA(VLOOKUP($B185,'E-1 Off Site Hedge Baseline'!$B$1:$L$257,8,FALSE)),"",(VLOOKUP($B185,'E-1 Off Site Hedge Baseline'!$B$1:$L$257,8,FALSE))))</f>
        <v/>
      </c>
      <c r="I185" s="175" t="str">
        <f>IF(B185="","",IF(ISNA(VLOOKUP($B185,'E-1 Off Site Hedge Baseline'!$B$1:$L$257,10,FALSE)),"",(VLOOKUP($B185,'E-1 Off Site Hedge Baseline'!$B$1:$L$257,10,FALSE))))</f>
        <v/>
      </c>
      <c r="J185" s="175" t="str">
        <f>IF(B185="","",IF(ISNA(VLOOKUP($B185,'E-1 Off Site Hedge Baseline'!$B$1:$L$257,11,FALSE)),"",(VLOOKUP($B185,'E-1 Off Site Hedge Baseline'!$B$1:$L$257,11,FALSE))))</f>
        <v/>
      </c>
      <c r="K185" s="175" t="str">
        <f>IF(B185="","",IF(ISNA(VLOOKUP($B185,'E-1 Off Site Hedge Baseline'!$B$1:$U$257,113,FALSE)),"",(VLOOKUP($B185,'E-1 Off Site Hedge Baseline'!$B$1:$U$257,13,FALSE))))</f>
        <v/>
      </c>
      <c r="L185" s="179" t="str">
        <f>IF(B185="","",IF(ISNA(VLOOKUP($B185,'E-1 Off Site Hedge Baseline'!$B$1:$U$257,12,FALSE)),"",(VLOOKUP($B185,'E-1 Off Site Hedge Baseline'!$B$1:$U$257,12,FALSE))))</f>
        <v/>
      </c>
      <c r="M185" s="639" t="str">
        <f t="shared" si="24"/>
        <v/>
      </c>
      <c r="N185" s="171" t="str">
        <f>IFERROR(IF(B185="","",INDEX('G-6 Hedgerow Data'!$AN$3:$AZ$15,MATCH(C185,'G-6 Hedgerow Data'!$AM$3:$AM$15,0),MATCH(M185,'G-6 Hedgerow Data'!$AN$2:$AZ$2,0))),"")</f>
        <v/>
      </c>
      <c r="O185" s="172" t="str">
        <f t="shared" si="18"/>
        <v/>
      </c>
      <c r="P185" s="260" t="str">
        <f>IF(B185="","",VLOOKUP(B185,'E-1 Off Site Hedge Baseline'!$B$10:T430,16,FALSE))</f>
        <v/>
      </c>
      <c r="Q185" s="171" t="str">
        <f>IF(M185="","",VLOOKUP(M185,'G-6 Hedgerow Data'!$B$2:$AG$15,2,FALSE))</f>
        <v/>
      </c>
      <c r="R185" s="172" t="str">
        <f>IF(M185="","",VLOOKUP(M185,'G-6 Hedgerow Data'!$B$2:$AG$15,3,FALSE))</f>
        <v/>
      </c>
      <c r="S185" s="173"/>
      <c r="T185" s="172" t="str">
        <f>IFERROR(IF(AND(Q185="V.Low",OR(S185="Good",S185="Moderate")),"Error",VLOOKUP(S185,'G-1 All Habitats'!$Z$2:$AA$9,2,FALSE)),"")</f>
        <v/>
      </c>
      <c r="U185" s="173"/>
      <c r="V185" s="179" t="str">
        <f>IF(U185="","",IF(VLOOKUP(U185,'G-3 Multipliers'!$L$3:$N$6,2,FALSE)=0,"Spatial Data Missing",VLOOKUP(U185,'G-3 Multipliers'!$L$3:$N$6,2,FALSE)))</f>
        <v/>
      </c>
      <c r="W185" s="260" t="str">
        <f>IF(U185="","",IF(VLOOKUP(U185,'G-3 Multipliers'!$L$3:$N$6,3,FALSE)=0,"Spatial Data Missing",VLOOKUP(U185,'G-3 Multipliers'!$L$3:$N$6,3,FALSE)))</f>
        <v/>
      </c>
      <c r="X185" s="171" t="str">
        <f>IFERROR(IF(OR(LEFT(O185,5)="Error",LEFT(N185,5)="Error",T185="Error"),"Check Data",IF(F185&lt;R185,INDEX('G-6 Hedgerow Data'!$S$3:$AE$14,MATCH(C185,'G-6 Hedgerow Data'!$B$3:$B$14,0),MATCH(M185,'G-6 Hedgerow Data'!$S$2:$AE$2,0)),INDEX('G-6 Hedgerow Data'!$K$3:$Q$14,MATCH(M185,'G-6 Hedgerow Data'!$B$3:$B$14,0),MATCH(O185,'G-6 Hedgerow Data'!$K$2:$Q$2,0)))),"")</f>
        <v/>
      </c>
      <c r="Y185" s="261"/>
      <c r="Z185" s="261"/>
      <c r="AA185" s="179" t="str">
        <f t="shared" si="19"/>
        <v/>
      </c>
      <c r="AB185" s="262" t="str">
        <f t="shared" si="20"/>
        <v/>
      </c>
      <c r="AC185" s="263" t="str">
        <f t="shared" si="17"/>
        <v/>
      </c>
      <c r="AD185" s="239" t="str">
        <f>IF(M185="","",VLOOKUP(M185,'G-6 Hedgerow Data'!$B$3:$AG$15,31,FALSE))</f>
        <v/>
      </c>
      <c r="AE185" s="175" t="str">
        <f t="shared" si="21"/>
        <v/>
      </c>
      <c r="AF185" s="175" t="str">
        <f t="shared" si="22"/>
        <v/>
      </c>
      <c r="AG185" s="176" t="str">
        <f>IFERROR(IF(O185="","",VLOOKUP(AD185,'G-3 Multipliers'!$P$3:$Q$6,2,FALSE)),"")</f>
        <v/>
      </c>
      <c r="AH185" s="266"/>
      <c r="AI185" s="172" t="str">
        <f>IF(AH185="","",IF(VLOOKUP(AH185,'G-3 Multipliers'!$S$3:$T$6,2,FALSE)=0,"Spatial Data Missing",VLOOKUP(AH185,'G-3 Multipliers'!$S$3:$T$6,2,FALSE)))</f>
        <v/>
      </c>
      <c r="AJ185" s="265" t="str">
        <f t="shared" si="23"/>
        <v/>
      </c>
      <c r="AK185" s="180"/>
      <c r="AL185" s="181"/>
      <c r="AP185" s="35" t="str">
        <f>IFERROR(INDEX('G-6 Hedgerow Data'!$BJ$3:$BJ$15,MATCH(M185,'G-6 Hedgerow Data'!$B$3:$B$15,0)),"")</f>
        <v/>
      </c>
    </row>
    <row r="186" spans="2:42" ht="13.8" x14ac:dyDescent="0.25">
      <c r="B186" s="259" t="str">
        <f>'E-1 Off Site Hedge Baseline'!AK184</f>
        <v/>
      </c>
      <c r="C186" s="175" t="str">
        <f>IF(B186="","",IF(ISNA(VLOOKUP($B186,'E-1 Off Site Hedge Baseline'!$B$1:$L$257,3,FALSE)),"",(VLOOKUP($B186,'E-1 Off Site Hedge Baseline'!$B$1:$L$257,3,FALSE))))</f>
        <v/>
      </c>
      <c r="D186" s="175" t="str">
        <f>IF(B186="","",IF(ISNA(VLOOKUP($B186,'E-1 Off Site Hedge Baseline'!$B$1:$L$258,4,FALSE)),"",(VLOOKUP($B186,'E-1 Off Site Hedge Baseline'!$B$1:$L$258,4,FALSE))))</f>
        <v/>
      </c>
      <c r="E186" s="175" t="str">
        <f>IF(B186="","",IF(ISNA(VLOOKUP($B186,'E-1 Off Site Hedge Baseline'!$B$1:$L$257,5,FALSE)),"",(VLOOKUP($B186,'E-1 Off Site Hedge Baseline'!$B$1:$L$257,5,FALSE))))</f>
        <v/>
      </c>
      <c r="F186" s="175" t="str">
        <f>IF(B186="","",IF(ISNA(VLOOKUP($B186,'E-1 Off Site Hedge Baseline'!$B$1:$L$257,6,FALSE)),"",(VLOOKUP($B186,'E-1 Off Site Hedge Baseline'!$B$1:$L$257,6,FALSE))))</f>
        <v/>
      </c>
      <c r="G186" s="175" t="str">
        <f>IF(B186="","",IF(ISNA(VLOOKUP($B186,'E-1 Off Site Hedge Baseline'!$B$1:$L$257,7,FALSE)),"",(VLOOKUP($B186,'E-1 Off Site Hedge Baseline'!$B$1:$L$257,7,FALSE))))</f>
        <v/>
      </c>
      <c r="H186" s="175" t="str">
        <f>IF(B186="","",IF(ISNA(VLOOKUP($B186,'E-1 Off Site Hedge Baseline'!$B$1:$L$257,8,FALSE)),"",(VLOOKUP($B186,'E-1 Off Site Hedge Baseline'!$B$1:$L$257,8,FALSE))))</f>
        <v/>
      </c>
      <c r="I186" s="175" t="str">
        <f>IF(B186="","",IF(ISNA(VLOOKUP($B186,'E-1 Off Site Hedge Baseline'!$B$1:$L$257,10,FALSE)),"",(VLOOKUP($B186,'E-1 Off Site Hedge Baseline'!$B$1:$L$257,10,FALSE))))</f>
        <v/>
      </c>
      <c r="J186" s="175" t="str">
        <f>IF(B186="","",IF(ISNA(VLOOKUP($B186,'E-1 Off Site Hedge Baseline'!$B$1:$L$257,11,FALSE)),"",(VLOOKUP($B186,'E-1 Off Site Hedge Baseline'!$B$1:$L$257,11,FALSE))))</f>
        <v/>
      </c>
      <c r="K186" s="175" t="str">
        <f>IF(B186="","",IF(ISNA(VLOOKUP($B186,'E-1 Off Site Hedge Baseline'!$B$1:$U$257,113,FALSE)),"",(VLOOKUP($B186,'E-1 Off Site Hedge Baseline'!$B$1:$U$257,13,FALSE))))</f>
        <v/>
      </c>
      <c r="L186" s="179" t="str">
        <f>IF(B186="","",IF(ISNA(VLOOKUP($B186,'E-1 Off Site Hedge Baseline'!$B$1:$U$257,12,FALSE)),"",(VLOOKUP($B186,'E-1 Off Site Hedge Baseline'!$B$1:$U$257,12,FALSE))))</f>
        <v/>
      </c>
      <c r="M186" s="639" t="str">
        <f t="shared" si="24"/>
        <v/>
      </c>
      <c r="N186" s="171" t="str">
        <f>IFERROR(IF(B186="","",INDEX('G-6 Hedgerow Data'!$AN$3:$AZ$15,MATCH(C186,'G-6 Hedgerow Data'!$AM$3:$AM$15,0),MATCH(M186,'G-6 Hedgerow Data'!$AN$2:$AZ$2,0))),"")</f>
        <v/>
      </c>
      <c r="O186" s="172" t="str">
        <f t="shared" si="18"/>
        <v/>
      </c>
      <c r="P186" s="260" t="str">
        <f>IF(B186="","",VLOOKUP(B186,'E-1 Off Site Hedge Baseline'!$B$10:T431,16,FALSE))</f>
        <v/>
      </c>
      <c r="Q186" s="171" t="str">
        <f>IF(M186="","",VLOOKUP(M186,'G-6 Hedgerow Data'!$B$2:$AG$15,2,FALSE))</f>
        <v/>
      </c>
      <c r="R186" s="172" t="str">
        <f>IF(M186="","",VLOOKUP(M186,'G-6 Hedgerow Data'!$B$2:$AG$15,3,FALSE))</f>
        <v/>
      </c>
      <c r="S186" s="173"/>
      <c r="T186" s="172" t="str">
        <f>IFERROR(IF(AND(Q186="V.Low",OR(S186="Good",S186="Moderate")),"Error",VLOOKUP(S186,'G-1 All Habitats'!$Z$2:$AA$9,2,FALSE)),"")</f>
        <v/>
      </c>
      <c r="U186" s="173"/>
      <c r="V186" s="179" t="str">
        <f>IF(U186="","",IF(VLOOKUP(U186,'G-3 Multipliers'!$L$3:$N$6,2,FALSE)=0,"Spatial Data Missing",VLOOKUP(U186,'G-3 Multipliers'!$L$3:$N$6,2,FALSE)))</f>
        <v/>
      </c>
      <c r="W186" s="260" t="str">
        <f>IF(U186="","",IF(VLOOKUP(U186,'G-3 Multipliers'!$L$3:$N$6,3,FALSE)=0,"Spatial Data Missing",VLOOKUP(U186,'G-3 Multipliers'!$L$3:$N$6,3,FALSE)))</f>
        <v/>
      </c>
      <c r="X186" s="171" t="str">
        <f>IFERROR(IF(OR(LEFT(O186,5)="Error",LEFT(N186,5)="Error",T186="Error"),"Check Data",IF(F186&lt;R186,INDEX('G-6 Hedgerow Data'!$S$3:$AE$14,MATCH(C186,'G-6 Hedgerow Data'!$B$3:$B$14,0),MATCH(M186,'G-6 Hedgerow Data'!$S$2:$AE$2,0)),INDEX('G-6 Hedgerow Data'!$K$3:$Q$14,MATCH(M186,'G-6 Hedgerow Data'!$B$3:$B$14,0),MATCH(O186,'G-6 Hedgerow Data'!$K$2:$Q$2,0)))),"")</f>
        <v/>
      </c>
      <c r="Y186" s="261"/>
      <c r="Z186" s="261"/>
      <c r="AA186" s="179" t="str">
        <f t="shared" si="19"/>
        <v/>
      </c>
      <c r="AB186" s="262" t="str">
        <f t="shared" si="20"/>
        <v/>
      </c>
      <c r="AC186" s="263" t="str">
        <f t="shared" si="17"/>
        <v/>
      </c>
      <c r="AD186" s="239" t="str">
        <f>IF(M186="","",VLOOKUP(M186,'G-6 Hedgerow Data'!$B$3:$AG$15,31,FALSE))</f>
        <v/>
      </c>
      <c r="AE186" s="175" t="str">
        <f t="shared" si="21"/>
        <v/>
      </c>
      <c r="AF186" s="175" t="str">
        <f t="shared" si="22"/>
        <v/>
      </c>
      <c r="AG186" s="176" t="str">
        <f>IFERROR(IF(O186="","",VLOOKUP(AD186,'G-3 Multipliers'!$P$3:$Q$6,2,FALSE)),"")</f>
        <v/>
      </c>
      <c r="AH186" s="266"/>
      <c r="AI186" s="172" t="str">
        <f>IF(AH186="","",IF(VLOOKUP(AH186,'G-3 Multipliers'!$S$3:$T$6,2,FALSE)=0,"Spatial Data Missing",VLOOKUP(AH186,'G-3 Multipliers'!$S$3:$T$6,2,FALSE)))</f>
        <v/>
      </c>
      <c r="AJ186" s="265" t="str">
        <f t="shared" si="23"/>
        <v/>
      </c>
      <c r="AK186" s="180"/>
      <c r="AL186" s="181"/>
      <c r="AP186" s="35" t="str">
        <f>IFERROR(INDEX('G-6 Hedgerow Data'!$BJ$3:$BJ$15,MATCH(M186,'G-6 Hedgerow Data'!$B$3:$B$15,0)),"")</f>
        <v/>
      </c>
    </row>
    <row r="187" spans="2:42" ht="13.8" x14ac:dyDescent="0.25">
      <c r="B187" s="259" t="str">
        <f>'E-1 Off Site Hedge Baseline'!AK185</f>
        <v/>
      </c>
      <c r="C187" s="175" t="str">
        <f>IF(B187="","",IF(ISNA(VLOOKUP($B187,'E-1 Off Site Hedge Baseline'!$B$1:$L$257,3,FALSE)),"",(VLOOKUP($B187,'E-1 Off Site Hedge Baseline'!$B$1:$L$257,3,FALSE))))</f>
        <v/>
      </c>
      <c r="D187" s="175" t="str">
        <f>IF(B187="","",IF(ISNA(VLOOKUP($B187,'E-1 Off Site Hedge Baseline'!$B$1:$L$258,4,FALSE)),"",(VLOOKUP($B187,'E-1 Off Site Hedge Baseline'!$B$1:$L$258,4,FALSE))))</f>
        <v/>
      </c>
      <c r="E187" s="175" t="str">
        <f>IF(B187="","",IF(ISNA(VLOOKUP($B187,'E-1 Off Site Hedge Baseline'!$B$1:$L$257,5,FALSE)),"",(VLOOKUP($B187,'E-1 Off Site Hedge Baseline'!$B$1:$L$257,5,FALSE))))</f>
        <v/>
      </c>
      <c r="F187" s="175" t="str">
        <f>IF(B187="","",IF(ISNA(VLOOKUP($B187,'E-1 Off Site Hedge Baseline'!$B$1:$L$257,6,FALSE)),"",(VLOOKUP($B187,'E-1 Off Site Hedge Baseline'!$B$1:$L$257,6,FALSE))))</f>
        <v/>
      </c>
      <c r="G187" s="175" t="str">
        <f>IF(B187="","",IF(ISNA(VLOOKUP($B187,'E-1 Off Site Hedge Baseline'!$B$1:$L$257,7,FALSE)),"",(VLOOKUP($B187,'E-1 Off Site Hedge Baseline'!$B$1:$L$257,7,FALSE))))</f>
        <v/>
      </c>
      <c r="H187" s="175" t="str">
        <f>IF(B187="","",IF(ISNA(VLOOKUP($B187,'E-1 Off Site Hedge Baseline'!$B$1:$L$257,8,FALSE)),"",(VLOOKUP($B187,'E-1 Off Site Hedge Baseline'!$B$1:$L$257,8,FALSE))))</f>
        <v/>
      </c>
      <c r="I187" s="175" t="str">
        <f>IF(B187="","",IF(ISNA(VLOOKUP($B187,'E-1 Off Site Hedge Baseline'!$B$1:$L$257,10,FALSE)),"",(VLOOKUP($B187,'E-1 Off Site Hedge Baseline'!$B$1:$L$257,10,FALSE))))</f>
        <v/>
      </c>
      <c r="J187" s="175" t="str">
        <f>IF(B187="","",IF(ISNA(VLOOKUP($B187,'E-1 Off Site Hedge Baseline'!$B$1:$L$257,11,FALSE)),"",(VLOOKUP($B187,'E-1 Off Site Hedge Baseline'!$B$1:$L$257,11,FALSE))))</f>
        <v/>
      </c>
      <c r="K187" s="175" t="str">
        <f>IF(B187="","",IF(ISNA(VLOOKUP($B187,'E-1 Off Site Hedge Baseline'!$B$1:$U$257,113,FALSE)),"",(VLOOKUP($B187,'E-1 Off Site Hedge Baseline'!$B$1:$U$257,13,FALSE))))</f>
        <v/>
      </c>
      <c r="L187" s="179" t="str">
        <f>IF(B187="","",IF(ISNA(VLOOKUP($B187,'E-1 Off Site Hedge Baseline'!$B$1:$U$257,12,FALSE)),"",(VLOOKUP($B187,'E-1 Off Site Hedge Baseline'!$B$1:$U$257,12,FALSE))))</f>
        <v/>
      </c>
      <c r="M187" s="639" t="str">
        <f t="shared" si="24"/>
        <v/>
      </c>
      <c r="N187" s="171" t="str">
        <f>IFERROR(IF(B187="","",INDEX('G-6 Hedgerow Data'!$AN$3:$AZ$15,MATCH(C187,'G-6 Hedgerow Data'!$AM$3:$AM$15,0),MATCH(M187,'G-6 Hedgerow Data'!$AN$2:$AZ$2,0))),"")</f>
        <v/>
      </c>
      <c r="O187" s="172" t="str">
        <f t="shared" si="18"/>
        <v/>
      </c>
      <c r="P187" s="260" t="str">
        <f>IF(B187="","",VLOOKUP(B187,'E-1 Off Site Hedge Baseline'!$B$10:T432,16,FALSE))</f>
        <v/>
      </c>
      <c r="Q187" s="171" t="str">
        <f>IF(M187="","",VLOOKUP(M187,'G-6 Hedgerow Data'!$B$2:$AG$15,2,FALSE))</f>
        <v/>
      </c>
      <c r="R187" s="172" t="str">
        <f>IF(M187="","",VLOOKUP(M187,'G-6 Hedgerow Data'!$B$2:$AG$15,3,FALSE))</f>
        <v/>
      </c>
      <c r="S187" s="173"/>
      <c r="T187" s="172" t="str">
        <f>IFERROR(IF(AND(Q187="V.Low",OR(S187="Good",S187="Moderate")),"Error",VLOOKUP(S187,'G-1 All Habitats'!$Z$2:$AA$9,2,FALSE)),"")</f>
        <v/>
      </c>
      <c r="U187" s="173"/>
      <c r="V187" s="179" t="str">
        <f>IF(U187="","",IF(VLOOKUP(U187,'G-3 Multipliers'!$L$3:$N$6,2,FALSE)=0,"Spatial Data Missing",VLOOKUP(U187,'G-3 Multipliers'!$L$3:$N$6,2,FALSE)))</f>
        <v/>
      </c>
      <c r="W187" s="260" t="str">
        <f>IF(U187="","",IF(VLOOKUP(U187,'G-3 Multipliers'!$L$3:$N$6,3,FALSE)=0,"Spatial Data Missing",VLOOKUP(U187,'G-3 Multipliers'!$L$3:$N$6,3,FALSE)))</f>
        <v/>
      </c>
      <c r="X187" s="171" t="str">
        <f>IFERROR(IF(OR(LEFT(O187,5)="Error",LEFT(N187,5)="Error",T187="Error"),"Check Data",IF(F187&lt;R187,INDEX('G-6 Hedgerow Data'!$S$3:$AE$14,MATCH(C187,'G-6 Hedgerow Data'!$B$3:$B$14,0),MATCH(M187,'G-6 Hedgerow Data'!$S$2:$AE$2,0)),INDEX('G-6 Hedgerow Data'!$K$3:$Q$14,MATCH(M187,'G-6 Hedgerow Data'!$B$3:$B$14,0),MATCH(O187,'G-6 Hedgerow Data'!$K$2:$Q$2,0)))),"")</f>
        <v/>
      </c>
      <c r="Y187" s="261"/>
      <c r="Z187" s="261"/>
      <c r="AA187" s="179" t="str">
        <f t="shared" si="19"/>
        <v/>
      </c>
      <c r="AB187" s="262" t="str">
        <f t="shared" si="20"/>
        <v/>
      </c>
      <c r="AC187" s="263" t="str">
        <f t="shared" si="17"/>
        <v/>
      </c>
      <c r="AD187" s="239" t="str">
        <f>IF(M187="","",VLOOKUP(M187,'G-6 Hedgerow Data'!$B$3:$AG$15,31,FALSE))</f>
        <v/>
      </c>
      <c r="AE187" s="175" t="str">
        <f t="shared" si="21"/>
        <v/>
      </c>
      <c r="AF187" s="175" t="str">
        <f t="shared" si="22"/>
        <v/>
      </c>
      <c r="AG187" s="176" t="str">
        <f>IFERROR(IF(O187="","",VLOOKUP(AD187,'G-3 Multipliers'!$P$3:$Q$6,2,FALSE)),"")</f>
        <v/>
      </c>
      <c r="AH187" s="266"/>
      <c r="AI187" s="172" t="str">
        <f>IF(AH187="","",IF(VLOOKUP(AH187,'G-3 Multipliers'!$S$3:$T$6,2,FALSE)=0,"Spatial Data Missing",VLOOKUP(AH187,'G-3 Multipliers'!$S$3:$T$6,2,FALSE)))</f>
        <v/>
      </c>
      <c r="AJ187" s="265" t="str">
        <f t="shared" si="23"/>
        <v/>
      </c>
      <c r="AK187" s="180"/>
      <c r="AL187" s="181"/>
      <c r="AP187" s="35" t="str">
        <f>IFERROR(INDEX('G-6 Hedgerow Data'!$BJ$3:$BJ$15,MATCH(M187,'G-6 Hedgerow Data'!$B$3:$B$15,0)),"")</f>
        <v/>
      </c>
    </row>
    <row r="188" spans="2:42" ht="13.8" x14ac:dyDescent="0.25">
      <c r="B188" s="259" t="str">
        <f>'E-1 Off Site Hedge Baseline'!AK186</f>
        <v/>
      </c>
      <c r="C188" s="175" t="str">
        <f>IF(B188="","",IF(ISNA(VLOOKUP($B188,'E-1 Off Site Hedge Baseline'!$B$1:$L$257,3,FALSE)),"",(VLOOKUP($B188,'E-1 Off Site Hedge Baseline'!$B$1:$L$257,3,FALSE))))</f>
        <v/>
      </c>
      <c r="D188" s="175" t="str">
        <f>IF(B188="","",IF(ISNA(VLOOKUP($B188,'E-1 Off Site Hedge Baseline'!$B$1:$L$258,4,FALSE)),"",(VLOOKUP($B188,'E-1 Off Site Hedge Baseline'!$B$1:$L$258,4,FALSE))))</f>
        <v/>
      </c>
      <c r="E188" s="175" t="str">
        <f>IF(B188="","",IF(ISNA(VLOOKUP($B188,'E-1 Off Site Hedge Baseline'!$B$1:$L$257,5,FALSE)),"",(VLOOKUP($B188,'E-1 Off Site Hedge Baseline'!$B$1:$L$257,5,FALSE))))</f>
        <v/>
      </c>
      <c r="F188" s="175" t="str">
        <f>IF(B188="","",IF(ISNA(VLOOKUP($B188,'E-1 Off Site Hedge Baseline'!$B$1:$L$257,6,FALSE)),"",(VLOOKUP($B188,'E-1 Off Site Hedge Baseline'!$B$1:$L$257,6,FALSE))))</f>
        <v/>
      </c>
      <c r="G188" s="175" t="str">
        <f>IF(B188="","",IF(ISNA(VLOOKUP($B188,'E-1 Off Site Hedge Baseline'!$B$1:$L$257,7,FALSE)),"",(VLOOKUP($B188,'E-1 Off Site Hedge Baseline'!$B$1:$L$257,7,FALSE))))</f>
        <v/>
      </c>
      <c r="H188" s="175" t="str">
        <f>IF(B188="","",IF(ISNA(VLOOKUP($B188,'E-1 Off Site Hedge Baseline'!$B$1:$L$257,8,FALSE)),"",(VLOOKUP($B188,'E-1 Off Site Hedge Baseline'!$B$1:$L$257,8,FALSE))))</f>
        <v/>
      </c>
      <c r="I188" s="175" t="str">
        <f>IF(B188="","",IF(ISNA(VLOOKUP($B188,'E-1 Off Site Hedge Baseline'!$B$1:$L$257,10,FALSE)),"",(VLOOKUP($B188,'E-1 Off Site Hedge Baseline'!$B$1:$L$257,10,FALSE))))</f>
        <v/>
      </c>
      <c r="J188" s="175" t="str">
        <f>IF(B188="","",IF(ISNA(VLOOKUP($B188,'E-1 Off Site Hedge Baseline'!$B$1:$L$257,11,FALSE)),"",(VLOOKUP($B188,'E-1 Off Site Hedge Baseline'!$B$1:$L$257,11,FALSE))))</f>
        <v/>
      </c>
      <c r="K188" s="175" t="str">
        <f>IF(B188="","",IF(ISNA(VLOOKUP($B188,'E-1 Off Site Hedge Baseline'!$B$1:$U$257,113,FALSE)),"",(VLOOKUP($B188,'E-1 Off Site Hedge Baseline'!$B$1:$U$257,13,FALSE))))</f>
        <v/>
      </c>
      <c r="L188" s="179" t="str">
        <f>IF(B188="","",IF(ISNA(VLOOKUP($B188,'E-1 Off Site Hedge Baseline'!$B$1:$U$257,12,FALSE)),"",(VLOOKUP($B188,'E-1 Off Site Hedge Baseline'!$B$1:$U$257,12,FALSE))))</f>
        <v/>
      </c>
      <c r="M188" s="639" t="str">
        <f t="shared" si="24"/>
        <v/>
      </c>
      <c r="N188" s="171" t="str">
        <f>IFERROR(IF(B188="","",INDEX('G-6 Hedgerow Data'!$AN$3:$AZ$15,MATCH(C188,'G-6 Hedgerow Data'!$AM$3:$AM$15,0),MATCH(M188,'G-6 Hedgerow Data'!$AN$2:$AZ$2,0))),"")</f>
        <v/>
      </c>
      <c r="O188" s="172" t="str">
        <f t="shared" si="18"/>
        <v/>
      </c>
      <c r="P188" s="260" t="str">
        <f>IF(B188="","",VLOOKUP(B188,'E-1 Off Site Hedge Baseline'!$B$10:T433,16,FALSE))</f>
        <v/>
      </c>
      <c r="Q188" s="171" t="str">
        <f>IF(M188="","",VLOOKUP(M188,'G-6 Hedgerow Data'!$B$2:$AG$15,2,FALSE))</f>
        <v/>
      </c>
      <c r="R188" s="172" t="str">
        <f>IF(M188="","",VLOOKUP(M188,'G-6 Hedgerow Data'!$B$2:$AG$15,3,FALSE))</f>
        <v/>
      </c>
      <c r="S188" s="173"/>
      <c r="T188" s="172" t="str">
        <f>IFERROR(IF(AND(Q188="V.Low",OR(S188="Good",S188="Moderate")),"Error",VLOOKUP(S188,'G-1 All Habitats'!$Z$2:$AA$9,2,FALSE)),"")</f>
        <v/>
      </c>
      <c r="U188" s="173"/>
      <c r="V188" s="179" t="str">
        <f>IF(U188="","",IF(VLOOKUP(U188,'G-3 Multipliers'!$L$3:$N$6,2,FALSE)=0,"Spatial Data Missing",VLOOKUP(U188,'G-3 Multipliers'!$L$3:$N$6,2,FALSE)))</f>
        <v/>
      </c>
      <c r="W188" s="260" t="str">
        <f>IF(U188="","",IF(VLOOKUP(U188,'G-3 Multipliers'!$L$3:$N$6,3,FALSE)=0,"Spatial Data Missing",VLOOKUP(U188,'G-3 Multipliers'!$L$3:$N$6,3,FALSE)))</f>
        <v/>
      </c>
      <c r="X188" s="171" t="str">
        <f>IFERROR(IF(OR(LEFT(O188,5)="Error",LEFT(N188,5)="Error",T188="Error"),"Check Data",IF(F188&lt;R188,INDEX('G-6 Hedgerow Data'!$S$3:$AE$14,MATCH(C188,'G-6 Hedgerow Data'!$B$3:$B$14,0),MATCH(M188,'G-6 Hedgerow Data'!$S$2:$AE$2,0)),INDEX('G-6 Hedgerow Data'!$K$3:$Q$14,MATCH(M188,'G-6 Hedgerow Data'!$B$3:$B$14,0),MATCH(O188,'G-6 Hedgerow Data'!$K$2:$Q$2,0)))),"")</f>
        <v/>
      </c>
      <c r="Y188" s="261"/>
      <c r="Z188" s="261"/>
      <c r="AA188" s="179" t="str">
        <f t="shared" si="19"/>
        <v/>
      </c>
      <c r="AB188" s="262" t="str">
        <f t="shared" si="20"/>
        <v/>
      </c>
      <c r="AC188" s="263" t="str">
        <f t="shared" si="17"/>
        <v/>
      </c>
      <c r="AD188" s="239" t="str">
        <f>IF(M188="","",VLOOKUP(M188,'G-6 Hedgerow Data'!$B$3:$AG$15,31,FALSE))</f>
        <v/>
      </c>
      <c r="AE188" s="175" t="str">
        <f t="shared" si="21"/>
        <v/>
      </c>
      <c r="AF188" s="175" t="str">
        <f t="shared" si="22"/>
        <v/>
      </c>
      <c r="AG188" s="176" t="str">
        <f>IFERROR(IF(O188="","",VLOOKUP(AD188,'G-3 Multipliers'!$P$3:$Q$6,2,FALSE)),"")</f>
        <v/>
      </c>
      <c r="AH188" s="266"/>
      <c r="AI188" s="172" t="str">
        <f>IF(AH188="","",IF(VLOOKUP(AH188,'G-3 Multipliers'!$S$3:$T$6,2,FALSE)=0,"Spatial Data Missing",VLOOKUP(AH188,'G-3 Multipliers'!$S$3:$T$6,2,FALSE)))</f>
        <v/>
      </c>
      <c r="AJ188" s="265" t="str">
        <f t="shared" si="23"/>
        <v/>
      </c>
      <c r="AK188" s="180"/>
      <c r="AL188" s="181"/>
      <c r="AP188" s="35" t="str">
        <f>IFERROR(INDEX('G-6 Hedgerow Data'!$BJ$3:$BJ$15,MATCH(M188,'G-6 Hedgerow Data'!$B$3:$B$15,0)),"")</f>
        <v/>
      </c>
    </row>
    <row r="189" spans="2:42" ht="13.8" x14ac:dyDescent="0.25">
      <c r="B189" s="259" t="str">
        <f>'E-1 Off Site Hedge Baseline'!AK187</f>
        <v/>
      </c>
      <c r="C189" s="175" t="str">
        <f>IF(B189="","",IF(ISNA(VLOOKUP($B189,'E-1 Off Site Hedge Baseline'!$B$1:$L$257,3,FALSE)),"",(VLOOKUP($B189,'E-1 Off Site Hedge Baseline'!$B$1:$L$257,3,FALSE))))</f>
        <v/>
      </c>
      <c r="D189" s="175" t="str">
        <f>IF(B189="","",IF(ISNA(VLOOKUP($B189,'E-1 Off Site Hedge Baseline'!$B$1:$L$258,4,FALSE)),"",(VLOOKUP($B189,'E-1 Off Site Hedge Baseline'!$B$1:$L$258,4,FALSE))))</f>
        <v/>
      </c>
      <c r="E189" s="175" t="str">
        <f>IF(B189="","",IF(ISNA(VLOOKUP($B189,'E-1 Off Site Hedge Baseline'!$B$1:$L$257,5,FALSE)),"",(VLOOKUP($B189,'E-1 Off Site Hedge Baseline'!$B$1:$L$257,5,FALSE))))</f>
        <v/>
      </c>
      <c r="F189" s="175" t="str">
        <f>IF(B189="","",IF(ISNA(VLOOKUP($B189,'E-1 Off Site Hedge Baseline'!$B$1:$L$257,6,FALSE)),"",(VLOOKUP($B189,'E-1 Off Site Hedge Baseline'!$B$1:$L$257,6,FALSE))))</f>
        <v/>
      </c>
      <c r="G189" s="175" t="str">
        <f>IF(B189="","",IF(ISNA(VLOOKUP($B189,'E-1 Off Site Hedge Baseline'!$B$1:$L$257,7,FALSE)),"",(VLOOKUP($B189,'E-1 Off Site Hedge Baseline'!$B$1:$L$257,7,FALSE))))</f>
        <v/>
      </c>
      <c r="H189" s="175" t="str">
        <f>IF(B189="","",IF(ISNA(VLOOKUP($B189,'E-1 Off Site Hedge Baseline'!$B$1:$L$257,8,FALSE)),"",(VLOOKUP($B189,'E-1 Off Site Hedge Baseline'!$B$1:$L$257,8,FALSE))))</f>
        <v/>
      </c>
      <c r="I189" s="175" t="str">
        <f>IF(B189="","",IF(ISNA(VLOOKUP($B189,'E-1 Off Site Hedge Baseline'!$B$1:$L$257,10,FALSE)),"",(VLOOKUP($B189,'E-1 Off Site Hedge Baseline'!$B$1:$L$257,10,FALSE))))</f>
        <v/>
      </c>
      <c r="J189" s="175" t="str">
        <f>IF(B189="","",IF(ISNA(VLOOKUP($B189,'E-1 Off Site Hedge Baseline'!$B$1:$L$257,11,FALSE)),"",(VLOOKUP($B189,'E-1 Off Site Hedge Baseline'!$B$1:$L$257,11,FALSE))))</f>
        <v/>
      </c>
      <c r="K189" s="175" t="str">
        <f>IF(B189="","",IF(ISNA(VLOOKUP($B189,'E-1 Off Site Hedge Baseline'!$B$1:$U$257,113,FALSE)),"",(VLOOKUP($B189,'E-1 Off Site Hedge Baseline'!$B$1:$U$257,13,FALSE))))</f>
        <v/>
      </c>
      <c r="L189" s="179" t="str">
        <f>IF(B189="","",IF(ISNA(VLOOKUP($B189,'E-1 Off Site Hedge Baseline'!$B$1:$U$257,12,FALSE)),"",(VLOOKUP($B189,'E-1 Off Site Hedge Baseline'!$B$1:$U$257,12,FALSE))))</f>
        <v/>
      </c>
      <c r="M189" s="639" t="str">
        <f t="shared" si="24"/>
        <v/>
      </c>
      <c r="N189" s="171" t="str">
        <f>IFERROR(IF(B189="","",INDEX('G-6 Hedgerow Data'!$AN$3:$AZ$15,MATCH(C189,'G-6 Hedgerow Data'!$AM$3:$AM$15,0),MATCH(M189,'G-6 Hedgerow Data'!$AN$2:$AZ$2,0))),"")</f>
        <v/>
      </c>
      <c r="O189" s="172" t="str">
        <f t="shared" si="18"/>
        <v/>
      </c>
      <c r="P189" s="260" t="str">
        <f>IF(B189="","",VLOOKUP(B189,'E-1 Off Site Hedge Baseline'!$B$10:T434,16,FALSE))</f>
        <v/>
      </c>
      <c r="Q189" s="171" t="str">
        <f>IF(M189="","",VLOOKUP(M189,'G-6 Hedgerow Data'!$B$2:$AG$15,2,FALSE))</f>
        <v/>
      </c>
      <c r="R189" s="172" t="str">
        <f>IF(M189="","",VLOOKUP(M189,'G-6 Hedgerow Data'!$B$2:$AG$15,3,FALSE))</f>
        <v/>
      </c>
      <c r="S189" s="173"/>
      <c r="T189" s="172" t="str">
        <f>IFERROR(IF(AND(Q189="V.Low",OR(S189="Good",S189="Moderate")),"Error",VLOOKUP(S189,'G-1 All Habitats'!$Z$2:$AA$9,2,FALSE)),"")</f>
        <v/>
      </c>
      <c r="U189" s="173"/>
      <c r="V189" s="179" t="str">
        <f>IF(U189="","",IF(VLOOKUP(U189,'G-3 Multipliers'!$L$3:$N$6,2,FALSE)=0,"Spatial Data Missing",VLOOKUP(U189,'G-3 Multipliers'!$L$3:$N$6,2,FALSE)))</f>
        <v/>
      </c>
      <c r="W189" s="260" t="str">
        <f>IF(U189="","",IF(VLOOKUP(U189,'G-3 Multipliers'!$L$3:$N$6,3,FALSE)=0,"Spatial Data Missing",VLOOKUP(U189,'G-3 Multipliers'!$L$3:$N$6,3,FALSE)))</f>
        <v/>
      </c>
      <c r="X189" s="171" t="str">
        <f>IFERROR(IF(OR(LEFT(O189,5)="Error",LEFT(N189,5)="Error",T189="Error"),"Check Data",IF(F189&lt;R189,INDEX('G-6 Hedgerow Data'!$S$3:$AE$14,MATCH(C189,'G-6 Hedgerow Data'!$B$3:$B$14,0),MATCH(M189,'G-6 Hedgerow Data'!$S$2:$AE$2,0)),INDEX('G-6 Hedgerow Data'!$K$3:$Q$14,MATCH(M189,'G-6 Hedgerow Data'!$B$3:$B$14,0),MATCH(O189,'G-6 Hedgerow Data'!$K$2:$Q$2,0)))),"")</f>
        <v/>
      </c>
      <c r="Y189" s="261"/>
      <c r="Z189" s="261"/>
      <c r="AA189" s="179" t="str">
        <f t="shared" si="19"/>
        <v/>
      </c>
      <c r="AB189" s="262" t="str">
        <f t="shared" si="20"/>
        <v/>
      </c>
      <c r="AC189" s="263" t="str">
        <f t="shared" si="17"/>
        <v/>
      </c>
      <c r="AD189" s="239" t="str">
        <f>IF(M189="","",VLOOKUP(M189,'G-6 Hedgerow Data'!$B$3:$AG$15,31,FALSE))</f>
        <v/>
      </c>
      <c r="AE189" s="175" t="str">
        <f t="shared" si="21"/>
        <v/>
      </c>
      <c r="AF189" s="175" t="str">
        <f t="shared" si="22"/>
        <v/>
      </c>
      <c r="AG189" s="176" t="str">
        <f>IFERROR(IF(O189="","",VLOOKUP(AD189,'G-3 Multipliers'!$P$3:$Q$6,2,FALSE)),"")</f>
        <v/>
      </c>
      <c r="AH189" s="266"/>
      <c r="AI189" s="172" t="str">
        <f>IF(AH189="","",IF(VLOOKUP(AH189,'G-3 Multipliers'!$S$3:$T$6,2,FALSE)=0,"Spatial Data Missing",VLOOKUP(AH189,'G-3 Multipliers'!$S$3:$T$6,2,FALSE)))</f>
        <v/>
      </c>
      <c r="AJ189" s="265" t="str">
        <f t="shared" si="23"/>
        <v/>
      </c>
      <c r="AK189" s="180"/>
      <c r="AL189" s="181"/>
      <c r="AP189" s="35" t="str">
        <f>IFERROR(INDEX('G-6 Hedgerow Data'!$BJ$3:$BJ$15,MATCH(M189,'G-6 Hedgerow Data'!$B$3:$B$15,0)),"")</f>
        <v/>
      </c>
    </row>
    <row r="190" spans="2:42" ht="13.8" x14ac:dyDescent="0.25">
      <c r="B190" s="259" t="str">
        <f>'E-1 Off Site Hedge Baseline'!AK188</f>
        <v/>
      </c>
      <c r="C190" s="175" t="str">
        <f>IF(B190="","",IF(ISNA(VLOOKUP($B190,'E-1 Off Site Hedge Baseline'!$B$1:$L$257,3,FALSE)),"",(VLOOKUP($B190,'E-1 Off Site Hedge Baseline'!$B$1:$L$257,3,FALSE))))</f>
        <v/>
      </c>
      <c r="D190" s="175" t="str">
        <f>IF(B190="","",IF(ISNA(VLOOKUP($B190,'E-1 Off Site Hedge Baseline'!$B$1:$L$258,4,FALSE)),"",(VLOOKUP($B190,'E-1 Off Site Hedge Baseline'!$B$1:$L$258,4,FALSE))))</f>
        <v/>
      </c>
      <c r="E190" s="175" t="str">
        <f>IF(B190="","",IF(ISNA(VLOOKUP($B190,'E-1 Off Site Hedge Baseline'!$B$1:$L$257,5,FALSE)),"",(VLOOKUP($B190,'E-1 Off Site Hedge Baseline'!$B$1:$L$257,5,FALSE))))</f>
        <v/>
      </c>
      <c r="F190" s="175" t="str">
        <f>IF(B190="","",IF(ISNA(VLOOKUP($B190,'E-1 Off Site Hedge Baseline'!$B$1:$L$257,6,FALSE)),"",(VLOOKUP($B190,'E-1 Off Site Hedge Baseline'!$B$1:$L$257,6,FALSE))))</f>
        <v/>
      </c>
      <c r="G190" s="175" t="str">
        <f>IF(B190="","",IF(ISNA(VLOOKUP($B190,'E-1 Off Site Hedge Baseline'!$B$1:$L$257,7,FALSE)),"",(VLOOKUP($B190,'E-1 Off Site Hedge Baseline'!$B$1:$L$257,7,FALSE))))</f>
        <v/>
      </c>
      <c r="H190" s="175" t="str">
        <f>IF(B190="","",IF(ISNA(VLOOKUP($B190,'E-1 Off Site Hedge Baseline'!$B$1:$L$257,8,FALSE)),"",(VLOOKUP($B190,'E-1 Off Site Hedge Baseline'!$B$1:$L$257,8,FALSE))))</f>
        <v/>
      </c>
      <c r="I190" s="175" t="str">
        <f>IF(B190="","",IF(ISNA(VLOOKUP($B190,'E-1 Off Site Hedge Baseline'!$B$1:$L$257,10,FALSE)),"",(VLOOKUP($B190,'E-1 Off Site Hedge Baseline'!$B$1:$L$257,10,FALSE))))</f>
        <v/>
      </c>
      <c r="J190" s="175" t="str">
        <f>IF(B190="","",IF(ISNA(VLOOKUP($B190,'E-1 Off Site Hedge Baseline'!$B$1:$L$257,11,FALSE)),"",(VLOOKUP($B190,'E-1 Off Site Hedge Baseline'!$B$1:$L$257,11,FALSE))))</f>
        <v/>
      </c>
      <c r="K190" s="175" t="str">
        <f>IF(B190="","",IF(ISNA(VLOOKUP($B190,'E-1 Off Site Hedge Baseline'!$B$1:$U$257,113,FALSE)),"",(VLOOKUP($B190,'E-1 Off Site Hedge Baseline'!$B$1:$U$257,13,FALSE))))</f>
        <v/>
      </c>
      <c r="L190" s="179" t="str">
        <f>IF(B190="","",IF(ISNA(VLOOKUP($B190,'E-1 Off Site Hedge Baseline'!$B$1:$U$257,12,FALSE)),"",(VLOOKUP($B190,'E-1 Off Site Hedge Baseline'!$B$1:$U$257,12,FALSE))))</f>
        <v/>
      </c>
      <c r="M190" s="639" t="str">
        <f t="shared" si="24"/>
        <v/>
      </c>
      <c r="N190" s="171" t="str">
        <f>IFERROR(IF(B190="","",INDEX('G-6 Hedgerow Data'!$AN$3:$AZ$15,MATCH(C190,'G-6 Hedgerow Data'!$AM$3:$AM$15,0),MATCH(M190,'G-6 Hedgerow Data'!$AN$2:$AZ$2,0))),"")</f>
        <v/>
      </c>
      <c r="O190" s="172" t="str">
        <f t="shared" si="18"/>
        <v/>
      </c>
      <c r="P190" s="260" t="str">
        <f>IF(B190="","",VLOOKUP(B190,'E-1 Off Site Hedge Baseline'!$B$10:T435,16,FALSE))</f>
        <v/>
      </c>
      <c r="Q190" s="171" t="str">
        <f>IF(M190="","",VLOOKUP(M190,'G-6 Hedgerow Data'!$B$2:$AG$15,2,FALSE))</f>
        <v/>
      </c>
      <c r="R190" s="172" t="str">
        <f>IF(M190="","",VLOOKUP(M190,'G-6 Hedgerow Data'!$B$2:$AG$15,3,FALSE))</f>
        <v/>
      </c>
      <c r="S190" s="173"/>
      <c r="T190" s="172" t="str">
        <f>IFERROR(IF(AND(Q190="V.Low",OR(S190="Good",S190="Moderate")),"Error",VLOOKUP(S190,'G-1 All Habitats'!$Z$2:$AA$9,2,FALSE)),"")</f>
        <v/>
      </c>
      <c r="U190" s="173"/>
      <c r="V190" s="179" t="str">
        <f>IF(U190="","",IF(VLOOKUP(U190,'G-3 Multipliers'!$L$3:$N$6,2,FALSE)=0,"Spatial Data Missing",VLOOKUP(U190,'G-3 Multipliers'!$L$3:$N$6,2,FALSE)))</f>
        <v/>
      </c>
      <c r="W190" s="260" t="str">
        <f>IF(U190="","",IF(VLOOKUP(U190,'G-3 Multipliers'!$L$3:$N$6,3,FALSE)=0,"Spatial Data Missing",VLOOKUP(U190,'G-3 Multipliers'!$L$3:$N$6,3,FALSE)))</f>
        <v/>
      </c>
      <c r="X190" s="171" t="str">
        <f>IFERROR(IF(OR(LEFT(O190,5)="Error",LEFT(N190,5)="Error",T190="Error"),"Check Data",IF(F190&lt;R190,INDEX('G-6 Hedgerow Data'!$S$3:$AE$14,MATCH(C190,'G-6 Hedgerow Data'!$B$3:$B$14,0),MATCH(M190,'G-6 Hedgerow Data'!$S$2:$AE$2,0)),INDEX('G-6 Hedgerow Data'!$K$3:$Q$14,MATCH(M190,'G-6 Hedgerow Data'!$B$3:$B$14,0),MATCH(O190,'G-6 Hedgerow Data'!$K$2:$Q$2,0)))),"")</f>
        <v/>
      </c>
      <c r="Y190" s="261"/>
      <c r="Z190" s="261"/>
      <c r="AA190" s="179" t="str">
        <f t="shared" si="19"/>
        <v/>
      </c>
      <c r="AB190" s="262" t="str">
        <f t="shared" si="20"/>
        <v/>
      </c>
      <c r="AC190" s="263" t="str">
        <f t="shared" si="17"/>
        <v/>
      </c>
      <c r="AD190" s="239" t="str">
        <f>IF(M190="","",VLOOKUP(M190,'G-6 Hedgerow Data'!$B$3:$AG$15,31,FALSE))</f>
        <v/>
      </c>
      <c r="AE190" s="175" t="str">
        <f t="shared" si="21"/>
        <v/>
      </c>
      <c r="AF190" s="175" t="str">
        <f t="shared" si="22"/>
        <v/>
      </c>
      <c r="AG190" s="176" t="str">
        <f>IFERROR(IF(O190="","",VLOOKUP(AD190,'G-3 Multipliers'!$P$3:$Q$6,2,FALSE)),"")</f>
        <v/>
      </c>
      <c r="AH190" s="266"/>
      <c r="AI190" s="172" t="str">
        <f>IF(AH190="","",IF(VLOOKUP(AH190,'G-3 Multipliers'!$S$3:$T$6,2,FALSE)=0,"Spatial Data Missing",VLOOKUP(AH190,'G-3 Multipliers'!$S$3:$T$6,2,FALSE)))</f>
        <v/>
      </c>
      <c r="AJ190" s="265" t="str">
        <f t="shared" si="23"/>
        <v/>
      </c>
      <c r="AK190" s="180"/>
      <c r="AL190" s="181"/>
      <c r="AP190" s="35" t="str">
        <f>IFERROR(INDEX('G-6 Hedgerow Data'!$BJ$3:$BJ$15,MATCH(M190,'G-6 Hedgerow Data'!$B$3:$B$15,0)),"")</f>
        <v/>
      </c>
    </row>
    <row r="191" spans="2:42" ht="13.8" x14ac:dyDescent="0.25">
      <c r="B191" s="259" t="str">
        <f>'E-1 Off Site Hedge Baseline'!AK189</f>
        <v/>
      </c>
      <c r="C191" s="175" t="str">
        <f>IF(B191="","",IF(ISNA(VLOOKUP($B191,'E-1 Off Site Hedge Baseline'!$B$1:$L$257,3,FALSE)),"",(VLOOKUP($B191,'E-1 Off Site Hedge Baseline'!$B$1:$L$257,3,FALSE))))</f>
        <v/>
      </c>
      <c r="D191" s="175" t="str">
        <f>IF(B191="","",IF(ISNA(VLOOKUP($B191,'E-1 Off Site Hedge Baseline'!$B$1:$L$258,4,FALSE)),"",(VLOOKUP($B191,'E-1 Off Site Hedge Baseline'!$B$1:$L$258,4,FALSE))))</f>
        <v/>
      </c>
      <c r="E191" s="175" t="str">
        <f>IF(B191="","",IF(ISNA(VLOOKUP($B191,'E-1 Off Site Hedge Baseline'!$B$1:$L$257,5,FALSE)),"",(VLOOKUP($B191,'E-1 Off Site Hedge Baseline'!$B$1:$L$257,5,FALSE))))</f>
        <v/>
      </c>
      <c r="F191" s="175" t="str">
        <f>IF(B191="","",IF(ISNA(VLOOKUP($B191,'E-1 Off Site Hedge Baseline'!$B$1:$L$257,6,FALSE)),"",(VLOOKUP($B191,'E-1 Off Site Hedge Baseline'!$B$1:$L$257,6,FALSE))))</f>
        <v/>
      </c>
      <c r="G191" s="175" t="str">
        <f>IF(B191="","",IF(ISNA(VLOOKUP($B191,'E-1 Off Site Hedge Baseline'!$B$1:$L$257,7,FALSE)),"",(VLOOKUP($B191,'E-1 Off Site Hedge Baseline'!$B$1:$L$257,7,FALSE))))</f>
        <v/>
      </c>
      <c r="H191" s="175" t="str">
        <f>IF(B191="","",IF(ISNA(VLOOKUP($B191,'E-1 Off Site Hedge Baseline'!$B$1:$L$257,8,FALSE)),"",(VLOOKUP($B191,'E-1 Off Site Hedge Baseline'!$B$1:$L$257,8,FALSE))))</f>
        <v/>
      </c>
      <c r="I191" s="175" t="str">
        <f>IF(B191="","",IF(ISNA(VLOOKUP($B191,'E-1 Off Site Hedge Baseline'!$B$1:$L$257,10,FALSE)),"",(VLOOKUP($B191,'E-1 Off Site Hedge Baseline'!$B$1:$L$257,10,FALSE))))</f>
        <v/>
      </c>
      <c r="J191" s="175" t="str">
        <f>IF(B191="","",IF(ISNA(VLOOKUP($B191,'E-1 Off Site Hedge Baseline'!$B$1:$L$257,11,FALSE)),"",(VLOOKUP($B191,'E-1 Off Site Hedge Baseline'!$B$1:$L$257,11,FALSE))))</f>
        <v/>
      </c>
      <c r="K191" s="175" t="str">
        <f>IF(B191="","",IF(ISNA(VLOOKUP($B191,'E-1 Off Site Hedge Baseline'!$B$1:$U$257,113,FALSE)),"",(VLOOKUP($B191,'E-1 Off Site Hedge Baseline'!$B$1:$U$257,13,FALSE))))</f>
        <v/>
      </c>
      <c r="L191" s="179" t="str">
        <f>IF(B191="","",IF(ISNA(VLOOKUP($B191,'E-1 Off Site Hedge Baseline'!$B$1:$U$257,12,FALSE)),"",(VLOOKUP($B191,'E-1 Off Site Hedge Baseline'!$B$1:$U$257,12,FALSE))))</f>
        <v/>
      </c>
      <c r="M191" s="639" t="str">
        <f t="shared" si="24"/>
        <v/>
      </c>
      <c r="N191" s="171" t="str">
        <f>IFERROR(IF(B191="","",INDEX('G-6 Hedgerow Data'!$AN$3:$AZ$15,MATCH(C191,'G-6 Hedgerow Data'!$AM$3:$AM$15,0),MATCH(M191,'G-6 Hedgerow Data'!$AN$2:$AZ$2,0))),"")</f>
        <v/>
      </c>
      <c r="O191" s="172" t="str">
        <f t="shared" si="18"/>
        <v/>
      </c>
      <c r="P191" s="260" t="str">
        <f>IF(B191="","",VLOOKUP(B191,'E-1 Off Site Hedge Baseline'!$B$10:T436,16,FALSE))</f>
        <v/>
      </c>
      <c r="Q191" s="171" t="str">
        <f>IF(M191="","",VLOOKUP(M191,'G-6 Hedgerow Data'!$B$2:$AG$15,2,FALSE))</f>
        <v/>
      </c>
      <c r="R191" s="172" t="str">
        <f>IF(M191="","",VLOOKUP(M191,'G-6 Hedgerow Data'!$B$2:$AG$15,3,FALSE))</f>
        <v/>
      </c>
      <c r="S191" s="173"/>
      <c r="T191" s="172" t="str">
        <f>IFERROR(IF(AND(Q191="V.Low",OR(S191="Good",S191="Moderate")),"Error",VLOOKUP(S191,'G-1 All Habitats'!$Z$2:$AA$9,2,FALSE)),"")</f>
        <v/>
      </c>
      <c r="U191" s="173"/>
      <c r="V191" s="179" t="str">
        <f>IF(U191="","",IF(VLOOKUP(U191,'G-3 Multipliers'!$L$3:$N$6,2,FALSE)=0,"Spatial Data Missing",VLOOKUP(U191,'G-3 Multipliers'!$L$3:$N$6,2,FALSE)))</f>
        <v/>
      </c>
      <c r="W191" s="260" t="str">
        <f>IF(U191="","",IF(VLOOKUP(U191,'G-3 Multipliers'!$L$3:$N$6,3,FALSE)=0,"Spatial Data Missing",VLOOKUP(U191,'G-3 Multipliers'!$L$3:$N$6,3,FALSE)))</f>
        <v/>
      </c>
      <c r="X191" s="171" t="str">
        <f>IFERROR(IF(OR(LEFT(O191,5)="Error",LEFT(N191,5)="Error",T191="Error"),"Check Data",IF(F191&lt;R191,INDEX('G-6 Hedgerow Data'!$S$3:$AE$14,MATCH(C191,'G-6 Hedgerow Data'!$B$3:$B$14,0),MATCH(M191,'G-6 Hedgerow Data'!$S$2:$AE$2,0)),INDEX('G-6 Hedgerow Data'!$K$3:$Q$14,MATCH(M191,'G-6 Hedgerow Data'!$B$3:$B$14,0),MATCH(O191,'G-6 Hedgerow Data'!$K$2:$Q$2,0)))),"")</f>
        <v/>
      </c>
      <c r="Y191" s="261"/>
      <c r="Z191" s="261"/>
      <c r="AA191" s="179" t="str">
        <f t="shared" si="19"/>
        <v/>
      </c>
      <c r="AB191" s="262" t="str">
        <f t="shared" si="20"/>
        <v/>
      </c>
      <c r="AC191" s="263" t="str">
        <f t="shared" si="17"/>
        <v/>
      </c>
      <c r="AD191" s="239" t="str">
        <f>IF(M191="","",VLOOKUP(M191,'G-6 Hedgerow Data'!$B$3:$AG$15,31,FALSE))</f>
        <v/>
      </c>
      <c r="AE191" s="175" t="str">
        <f t="shared" si="21"/>
        <v/>
      </c>
      <c r="AF191" s="175" t="str">
        <f t="shared" si="22"/>
        <v/>
      </c>
      <c r="AG191" s="176" t="str">
        <f>IFERROR(IF(O191="","",VLOOKUP(AD191,'G-3 Multipliers'!$P$3:$Q$6,2,FALSE)),"")</f>
        <v/>
      </c>
      <c r="AH191" s="266"/>
      <c r="AI191" s="172" t="str">
        <f>IF(AH191="","",IF(VLOOKUP(AH191,'G-3 Multipliers'!$S$3:$T$6,2,FALSE)=0,"Spatial Data Missing",VLOOKUP(AH191,'G-3 Multipliers'!$S$3:$T$6,2,FALSE)))</f>
        <v/>
      </c>
      <c r="AJ191" s="265" t="str">
        <f t="shared" si="23"/>
        <v/>
      </c>
      <c r="AK191" s="180"/>
      <c r="AL191" s="181"/>
      <c r="AP191" s="35" t="str">
        <f>IFERROR(INDEX('G-6 Hedgerow Data'!$BJ$3:$BJ$15,MATCH(M191,'G-6 Hedgerow Data'!$B$3:$B$15,0)),"")</f>
        <v/>
      </c>
    </row>
    <row r="192" spans="2:42" ht="13.8" x14ac:dyDescent="0.25">
      <c r="B192" s="259" t="str">
        <f>'E-1 Off Site Hedge Baseline'!AK190</f>
        <v/>
      </c>
      <c r="C192" s="175" t="str">
        <f>IF(B192="","",IF(ISNA(VLOOKUP($B192,'E-1 Off Site Hedge Baseline'!$B$1:$L$257,3,FALSE)),"",(VLOOKUP($B192,'E-1 Off Site Hedge Baseline'!$B$1:$L$257,3,FALSE))))</f>
        <v/>
      </c>
      <c r="D192" s="175" t="str">
        <f>IF(B192="","",IF(ISNA(VLOOKUP($B192,'E-1 Off Site Hedge Baseline'!$B$1:$L$258,4,FALSE)),"",(VLOOKUP($B192,'E-1 Off Site Hedge Baseline'!$B$1:$L$258,4,FALSE))))</f>
        <v/>
      </c>
      <c r="E192" s="175" t="str">
        <f>IF(B192="","",IF(ISNA(VLOOKUP($B192,'E-1 Off Site Hedge Baseline'!$B$1:$L$257,5,FALSE)),"",(VLOOKUP($B192,'E-1 Off Site Hedge Baseline'!$B$1:$L$257,5,FALSE))))</f>
        <v/>
      </c>
      <c r="F192" s="175" t="str">
        <f>IF(B192="","",IF(ISNA(VLOOKUP($B192,'E-1 Off Site Hedge Baseline'!$B$1:$L$257,6,FALSE)),"",(VLOOKUP($B192,'E-1 Off Site Hedge Baseline'!$B$1:$L$257,6,FALSE))))</f>
        <v/>
      </c>
      <c r="G192" s="175" t="str">
        <f>IF(B192="","",IF(ISNA(VLOOKUP($B192,'E-1 Off Site Hedge Baseline'!$B$1:$L$257,7,FALSE)),"",(VLOOKUP($B192,'E-1 Off Site Hedge Baseline'!$B$1:$L$257,7,FALSE))))</f>
        <v/>
      </c>
      <c r="H192" s="175" t="str">
        <f>IF(B192="","",IF(ISNA(VLOOKUP($B192,'E-1 Off Site Hedge Baseline'!$B$1:$L$257,8,FALSE)),"",(VLOOKUP($B192,'E-1 Off Site Hedge Baseline'!$B$1:$L$257,8,FALSE))))</f>
        <v/>
      </c>
      <c r="I192" s="175" t="str">
        <f>IF(B192="","",IF(ISNA(VLOOKUP($B192,'E-1 Off Site Hedge Baseline'!$B$1:$L$257,10,FALSE)),"",(VLOOKUP($B192,'E-1 Off Site Hedge Baseline'!$B$1:$L$257,10,FALSE))))</f>
        <v/>
      </c>
      <c r="J192" s="175" t="str">
        <f>IF(B192="","",IF(ISNA(VLOOKUP($B192,'E-1 Off Site Hedge Baseline'!$B$1:$L$257,11,FALSE)),"",(VLOOKUP($B192,'E-1 Off Site Hedge Baseline'!$B$1:$L$257,11,FALSE))))</f>
        <v/>
      </c>
      <c r="K192" s="175" t="str">
        <f>IF(B192="","",IF(ISNA(VLOOKUP($B192,'E-1 Off Site Hedge Baseline'!$B$1:$U$257,113,FALSE)),"",(VLOOKUP($B192,'E-1 Off Site Hedge Baseline'!$B$1:$U$257,13,FALSE))))</f>
        <v/>
      </c>
      <c r="L192" s="179" t="str">
        <f>IF(B192="","",IF(ISNA(VLOOKUP($B192,'E-1 Off Site Hedge Baseline'!$B$1:$U$257,12,FALSE)),"",(VLOOKUP($B192,'E-1 Off Site Hedge Baseline'!$B$1:$U$257,12,FALSE))))</f>
        <v/>
      </c>
      <c r="M192" s="639" t="str">
        <f t="shared" si="24"/>
        <v/>
      </c>
      <c r="N192" s="171" t="str">
        <f>IFERROR(IF(B192="","",INDEX('G-6 Hedgerow Data'!$AN$3:$AZ$15,MATCH(C192,'G-6 Hedgerow Data'!$AM$3:$AM$15,0),MATCH(M192,'G-6 Hedgerow Data'!$AN$2:$AZ$2,0))),"")</f>
        <v/>
      </c>
      <c r="O192" s="172" t="str">
        <f t="shared" si="18"/>
        <v/>
      </c>
      <c r="P192" s="260" t="str">
        <f>IF(B192="","",VLOOKUP(B192,'E-1 Off Site Hedge Baseline'!$B$10:T437,16,FALSE))</f>
        <v/>
      </c>
      <c r="Q192" s="171" t="str">
        <f>IF(M192="","",VLOOKUP(M192,'G-6 Hedgerow Data'!$B$2:$AG$15,2,FALSE))</f>
        <v/>
      </c>
      <c r="R192" s="172" t="str">
        <f>IF(M192="","",VLOOKUP(M192,'G-6 Hedgerow Data'!$B$2:$AG$15,3,FALSE))</f>
        <v/>
      </c>
      <c r="S192" s="173"/>
      <c r="T192" s="172" t="str">
        <f>IFERROR(IF(AND(Q192="V.Low",OR(S192="Good",S192="Moderate")),"Error",VLOOKUP(S192,'G-1 All Habitats'!$Z$2:$AA$9,2,FALSE)),"")</f>
        <v/>
      </c>
      <c r="U192" s="173"/>
      <c r="V192" s="179" t="str">
        <f>IF(U192="","",IF(VLOOKUP(U192,'G-3 Multipliers'!$L$3:$N$6,2,FALSE)=0,"Spatial Data Missing",VLOOKUP(U192,'G-3 Multipliers'!$L$3:$N$6,2,FALSE)))</f>
        <v/>
      </c>
      <c r="W192" s="260" t="str">
        <f>IF(U192="","",IF(VLOOKUP(U192,'G-3 Multipliers'!$L$3:$N$6,3,FALSE)=0,"Spatial Data Missing",VLOOKUP(U192,'G-3 Multipliers'!$L$3:$N$6,3,FALSE)))</f>
        <v/>
      </c>
      <c r="X192" s="171" t="str">
        <f>IFERROR(IF(OR(LEFT(O192,5)="Error",LEFT(N192,5)="Error",T192="Error"),"Check Data",IF(F192&lt;R192,INDEX('G-6 Hedgerow Data'!$S$3:$AE$14,MATCH(C192,'G-6 Hedgerow Data'!$B$3:$B$14,0),MATCH(M192,'G-6 Hedgerow Data'!$S$2:$AE$2,0)),INDEX('G-6 Hedgerow Data'!$K$3:$Q$14,MATCH(M192,'G-6 Hedgerow Data'!$B$3:$B$14,0),MATCH(O192,'G-6 Hedgerow Data'!$K$2:$Q$2,0)))),"")</f>
        <v/>
      </c>
      <c r="Y192" s="261"/>
      <c r="Z192" s="261"/>
      <c r="AA192" s="179" t="str">
        <f t="shared" si="19"/>
        <v/>
      </c>
      <c r="AB192" s="262" t="str">
        <f t="shared" si="20"/>
        <v/>
      </c>
      <c r="AC192" s="263" t="str">
        <f t="shared" si="17"/>
        <v/>
      </c>
      <c r="AD192" s="239" t="str">
        <f>IF(M192="","",VLOOKUP(M192,'G-6 Hedgerow Data'!$B$3:$AG$15,31,FALSE))</f>
        <v/>
      </c>
      <c r="AE192" s="175" t="str">
        <f t="shared" si="21"/>
        <v/>
      </c>
      <c r="AF192" s="175" t="str">
        <f t="shared" si="22"/>
        <v/>
      </c>
      <c r="AG192" s="176" t="str">
        <f>IFERROR(IF(O192="","",VLOOKUP(AD192,'G-3 Multipliers'!$P$3:$Q$6,2,FALSE)),"")</f>
        <v/>
      </c>
      <c r="AH192" s="266"/>
      <c r="AI192" s="172" t="str">
        <f>IF(AH192="","",IF(VLOOKUP(AH192,'G-3 Multipliers'!$S$3:$T$6,2,FALSE)=0,"Spatial Data Missing",VLOOKUP(AH192,'G-3 Multipliers'!$S$3:$T$6,2,FALSE)))</f>
        <v/>
      </c>
      <c r="AJ192" s="265" t="str">
        <f t="shared" si="23"/>
        <v/>
      </c>
      <c r="AK192" s="180"/>
      <c r="AL192" s="181"/>
      <c r="AP192" s="35" t="str">
        <f>IFERROR(INDEX('G-6 Hedgerow Data'!$BJ$3:$BJ$15,MATCH(M192,'G-6 Hedgerow Data'!$B$3:$B$15,0)),"")</f>
        <v/>
      </c>
    </row>
    <row r="193" spans="2:42" ht="13.8" x14ac:dyDescent="0.25">
      <c r="B193" s="259" t="str">
        <f>'E-1 Off Site Hedge Baseline'!AK191</f>
        <v/>
      </c>
      <c r="C193" s="175" t="str">
        <f>IF(B193="","",IF(ISNA(VLOOKUP($B193,'E-1 Off Site Hedge Baseline'!$B$1:$L$257,3,FALSE)),"",(VLOOKUP($B193,'E-1 Off Site Hedge Baseline'!$B$1:$L$257,3,FALSE))))</f>
        <v/>
      </c>
      <c r="D193" s="175" t="str">
        <f>IF(B193="","",IF(ISNA(VLOOKUP($B193,'E-1 Off Site Hedge Baseline'!$B$1:$L$258,4,FALSE)),"",(VLOOKUP($B193,'E-1 Off Site Hedge Baseline'!$B$1:$L$258,4,FALSE))))</f>
        <v/>
      </c>
      <c r="E193" s="175" t="str">
        <f>IF(B193="","",IF(ISNA(VLOOKUP($B193,'E-1 Off Site Hedge Baseline'!$B$1:$L$257,5,FALSE)),"",(VLOOKUP($B193,'E-1 Off Site Hedge Baseline'!$B$1:$L$257,5,FALSE))))</f>
        <v/>
      </c>
      <c r="F193" s="175" t="str">
        <f>IF(B193="","",IF(ISNA(VLOOKUP($B193,'E-1 Off Site Hedge Baseline'!$B$1:$L$257,6,FALSE)),"",(VLOOKUP($B193,'E-1 Off Site Hedge Baseline'!$B$1:$L$257,6,FALSE))))</f>
        <v/>
      </c>
      <c r="G193" s="175" t="str">
        <f>IF(B193="","",IF(ISNA(VLOOKUP($B193,'E-1 Off Site Hedge Baseline'!$B$1:$L$257,7,FALSE)),"",(VLOOKUP($B193,'E-1 Off Site Hedge Baseline'!$B$1:$L$257,7,FALSE))))</f>
        <v/>
      </c>
      <c r="H193" s="175" t="str">
        <f>IF(B193="","",IF(ISNA(VLOOKUP($B193,'E-1 Off Site Hedge Baseline'!$B$1:$L$257,8,FALSE)),"",(VLOOKUP($B193,'E-1 Off Site Hedge Baseline'!$B$1:$L$257,8,FALSE))))</f>
        <v/>
      </c>
      <c r="I193" s="175" t="str">
        <f>IF(B193="","",IF(ISNA(VLOOKUP($B193,'E-1 Off Site Hedge Baseline'!$B$1:$L$257,10,FALSE)),"",(VLOOKUP($B193,'E-1 Off Site Hedge Baseline'!$B$1:$L$257,10,FALSE))))</f>
        <v/>
      </c>
      <c r="J193" s="175" t="str">
        <f>IF(B193="","",IF(ISNA(VLOOKUP($B193,'E-1 Off Site Hedge Baseline'!$B$1:$L$257,11,FALSE)),"",(VLOOKUP($B193,'E-1 Off Site Hedge Baseline'!$B$1:$L$257,11,FALSE))))</f>
        <v/>
      </c>
      <c r="K193" s="175" t="str">
        <f>IF(B193="","",IF(ISNA(VLOOKUP($B193,'E-1 Off Site Hedge Baseline'!$B$1:$U$257,113,FALSE)),"",(VLOOKUP($B193,'E-1 Off Site Hedge Baseline'!$B$1:$U$257,13,FALSE))))</f>
        <v/>
      </c>
      <c r="L193" s="179" t="str">
        <f>IF(B193="","",IF(ISNA(VLOOKUP($B193,'E-1 Off Site Hedge Baseline'!$B$1:$U$257,12,FALSE)),"",(VLOOKUP($B193,'E-1 Off Site Hedge Baseline'!$B$1:$U$257,12,FALSE))))</f>
        <v/>
      </c>
      <c r="M193" s="639" t="str">
        <f t="shared" si="24"/>
        <v/>
      </c>
      <c r="N193" s="171" t="str">
        <f>IFERROR(IF(B193="","",INDEX('G-6 Hedgerow Data'!$AN$3:$AZ$15,MATCH(C193,'G-6 Hedgerow Data'!$AM$3:$AM$15,0),MATCH(M193,'G-6 Hedgerow Data'!$AN$2:$AZ$2,0))),"")</f>
        <v/>
      </c>
      <c r="O193" s="172" t="str">
        <f t="shared" si="18"/>
        <v/>
      </c>
      <c r="P193" s="260" t="str">
        <f>IF(B193="","",VLOOKUP(B193,'E-1 Off Site Hedge Baseline'!$B$10:T438,16,FALSE))</f>
        <v/>
      </c>
      <c r="Q193" s="171" t="str">
        <f>IF(M193="","",VLOOKUP(M193,'G-6 Hedgerow Data'!$B$2:$AG$15,2,FALSE))</f>
        <v/>
      </c>
      <c r="R193" s="172" t="str">
        <f>IF(M193="","",VLOOKUP(M193,'G-6 Hedgerow Data'!$B$2:$AG$15,3,FALSE))</f>
        <v/>
      </c>
      <c r="S193" s="173"/>
      <c r="T193" s="172" t="str">
        <f>IFERROR(IF(AND(Q193="V.Low",OR(S193="Good",S193="Moderate")),"Error",VLOOKUP(S193,'G-1 All Habitats'!$Z$2:$AA$9,2,FALSE)),"")</f>
        <v/>
      </c>
      <c r="U193" s="173"/>
      <c r="V193" s="179" t="str">
        <f>IF(U193="","",IF(VLOOKUP(U193,'G-3 Multipliers'!$L$3:$N$6,2,FALSE)=0,"Spatial Data Missing",VLOOKUP(U193,'G-3 Multipliers'!$L$3:$N$6,2,FALSE)))</f>
        <v/>
      </c>
      <c r="W193" s="260" t="str">
        <f>IF(U193="","",IF(VLOOKUP(U193,'G-3 Multipliers'!$L$3:$N$6,3,FALSE)=0,"Spatial Data Missing",VLOOKUP(U193,'G-3 Multipliers'!$L$3:$N$6,3,FALSE)))</f>
        <v/>
      </c>
      <c r="X193" s="171" t="str">
        <f>IFERROR(IF(OR(LEFT(O193,5)="Error",LEFT(N193,5)="Error",T193="Error"),"Check Data",IF(F193&lt;R193,INDEX('G-6 Hedgerow Data'!$S$3:$AE$14,MATCH(C193,'G-6 Hedgerow Data'!$B$3:$B$14,0),MATCH(M193,'G-6 Hedgerow Data'!$S$2:$AE$2,0)),INDEX('G-6 Hedgerow Data'!$K$3:$Q$14,MATCH(M193,'G-6 Hedgerow Data'!$B$3:$B$14,0),MATCH(O193,'G-6 Hedgerow Data'!$K$2:$Q$2,0)))),"")</f>
        <v/>
      </c>
      <c r="Y193" s="261"/>
      <c r="Z193" s="261"/>
      <c r="AA193" s="179" t="str">
        <f t="shared" si="19"/>
        <v/>
      </c>
      <c r="AB193" s="262" t="str">
        <f t="shared" si="20"/>
        <v/>
      </c>
      <c r="AC193" s="263" t="str">
        <f t="shared" si="17"/>
        <v/>
      </c>
      <c r="AD193" s="239" t="str">
        <f>IF(M193="","",VLOOKUP(M193,'G-6 Hedgerow Data'!$B$3:$AG$15,31,FALSE))</f>
        <v/>
      </c>
      <c r="AE193" s="175" t="str">
        <f t="shared" si="21"/>
        <v/>
      </c>
      <c r="AF193" s="175" t="str">
        <f t="shared" si="22"/>
        <v/>
      </c>
      <c r="AG193" s="176" t="str">
        <f>IFERROR(IF(O193="","",VLOOKUP(AD193,'G-3 Multipliers'!$P$3:$Q$6,2,FALSE)),"")</f>
        <v/>
      </c>
      <c r="AH193" s="266"/>
      <c r="AI193" s="172" t="str">
        <f>IF(AH193="","",IF(VLOOKUP(AH193,'G-3 Multipliers'!$S$3:$T$6,2,FALSE)=0,"Spatial Data Missing",VLOOKUP(AH193,'G-3 Multipliers'!$S$3:$T$6,2,FALSE)))</f>
        <v/>
      </c>
      <c r="AJ193" s="265" t="str">
        <f t="shared" si="23"/>
        <v/>
      </c>
      <c r="AK193" s="180"/>
      <c r="AL193" s="181"/>
      <c r="AP193" s="35" t="str">
        <f>IFERROR(INDEX('G-6 Hedgerow Data'!$BJ$3:$BJ$15,MATCH(M193,'G-6 Hedgerow Data'!$B$3:$B$15,0)),"")</f>
        <v/>
      </c>
    </row>
    <row r="194" spans="2:42" ht="13.8" x14ac:dyDescent="0.25">
      <c r="B194" s="259" t="str">
        <f>'E-1 Off Site Hedge Baseline'!AK192</f>
        <v/>
      </c>
      <c r="C194" s="175" t="str">
        <f>IF(B194="","",IF(ISNA(VLOOKUP($B194,'E-1 Off Site Hedge Baseline'!$B$1:$L$257,3,FALSE)),"",(VLOOKUP($B194,'E-1 Off Site Hedge Baseline'!$B$1:$L$257,3,FALSE))))</f>
        <v/>
      </c>
      <c r="D194" s="175" t="str">
        <f>IF(B194="","",IF(ISNA(VLOOKUP($B194,'E-1 Off Site Hedge Baseline'!$B$1:$L$258,4,FALSE)),"",(VLOOKUP($B194,'E-1 Off Site Hedge Baseline'!$B$1:$L$258,4,FALSE))))</f>
        <v/>
      </c>
      <c r="E194" s="175" t="str">
        <f>IF(B194="","",IF(ISNA(VLOOKUP($B194,'E-1 Off Site Hedge Baseline'!$B$1:$L$257,5,FALSE)),"",(VLOOKUP($B194,'E-1 Off Site Hedge Baseline'!$B$1:$L$257,5,FALSE))))</f>
        <v/>
      </c>
      <c r="F194" s="175" t="str">
        <f>IF(B194="","",IF(ISNA(VLOOKUP($B194,'E-1 Off Site Hedge Baseline'!$B$1:$L$257,6,FALSE)),"",(VLOOKUP($B194,'E-1 Off Site Hedge Baseline'!$B$1:$L$257,6,FALSE))))</f>
        <v/>
      </c>
      <c r="G194" s="175" t="str">
        <f>IF(B194="","",IF(ISNA(VLOOKUP($B194,'E-1 Off Site Hedge Baseline'!$B$1:$L$257,7,FALSE)),"",(VLOOKUP($B194,'E-1 Off Site Hedge Baseline'!$B$1:$L$257,7,FALSE))))</f>
        <v/>
      </c>
      <c r="H194" s="175" t="str">
        <f>IF(B194="","",IF(ISNA(VLOOKUP($B194,'E-1 Off Site Hedge Baseline'!$B$1:$L$257,8,FALSE)),"",(VLOOKUP($B194,'E-1 Off Site Hedge Baseline'!$B$1:$L$257,8,FALSE))))</f>
        <v/>
      </c>
      <c r="I194" s="175" t="str">
        <f>IF(B194="","",IF(ISNA(VLOOKUP($B194,'E-1 Off Site Hedge Baseline'!$B$1:$L$257,10,FALSE)),"",(VLOOKUP($B194,'E-1 Off Site Hedge Baseline'!$B$1:$L$257,10,FALSE))))</f>
        <v/>
      </c>
      <c r="J194" s="175" t="str">
        <f>IF(B194="","",IF(ISNA(VLOOKUP($B194,'E-1 Off Site Hedge Baseline'!$B$1:$L$257,11,FALSE)),"",(VLOOKUP($B194,'E-1 Off Site Hedge Baseline'!$B$1:$L$257,11,FALSE))))</f>
        <v/>
      </c>
      <c r="K194" s="175" t="str">
        <f>IF(B194="","",IF(ISNA(VLOOKUP($B194,'E-1 Off Site Hedge Baseline'!$B$1:$U$257,113,FALSE)),"",(VLOOKUP($B194,'E-1 Off Site Hedge Baseline'!$B$1:$U$257,13,FALSE))))</f>
        <v/>
      </c>
      <c r="L194" s="179" t="str">
        <f>IF(B194="","",IF(ISNA(VLOOKUP($B194,'E-1 Off Site Hedge Baseline'!$B$1:$U$257,12,FALSE)),"",(VLOOKUP($B194,'E-1 Off Site Hedge Baseline'!$B$1:$U$257,12,FALSE))))</f>
        <v/>
      </c>
      <c r="M194" s="639" t="str">
        <f t="shared" si="24"/>
        <v/>
      </c>
      <c r="N194" s="171" t="str">
        <f>IFERROR(IF(B194="","",INDEX('G-6 Hedgerow Data'!$AN$3:$AZ$15,MATCH(C194,'G-6 Hedgerow Data'!$AM$3:$AM$15,0),MATCH(M194,'G-6 Hedgerow Data'!$AN$2:$AZ$2,0))),"")</f>
        <v/>
      </c>
      <c r="O194" s="172" t="str">
        <f t="shared" si="18"/>
        <v/>
      </c>
      <c r="P194" s="260" t="str">
        <f>IF(B194="","",VLOOKUP(B194,'E-1 Off Site Hedge Baseline'!$B$10:T439,16,FALSE))</f>
        <v/>
      </c>
      <c r="Q194" s="171" t="str">
        <f>IF(M194="","",VLOOKUP(M194,'G-6 Hedgerow Data'!$B$2:$AG$15,2,FALSE))</f>
        <v/>
      </c>
      <c r="R194" s="172" t="str">
        <f>IF(M194="","",VLOOKUP(M194,'G-6 Hedgerow Data'!$B$2:$AG$15,3,FALSE))</f>
        <v/>
      </c>
      <c r="S194" s="173"/>
      <c r="T194" s="172" t="str">
        <f>IFERROR(IF(AND(Q194="V.Low",OR(S194="Good",S194="Moderate")),"Error",VLOOKUP(S194,'G-1 All Habitats'!$Z$2:$AA$9,2,FALSE)),"")</f>
        <v/>
      </c>
      <c r="U194" s="173"/>
      <c r="V194" s="179" t="str">
        <f>IF(U194="","",IF(VLOOKUP(U194,'G-3 Multipliers'!$L$3:$N$6,2,FALSE)=0,"Spatial Data Missing",VLOOKUP(U194,'G-3 Multipliers'!$L$3:$N$6,2,FALSE)))</f>
        <v/>
      </c>
      <c r="W194" s="260" t="str">
        <f>IF(U194="","",IF(VLOOKUP(U194,'G-3 Multipliers'!$L$3:$N$6,3,FALSE)=0,"Spatial Data Missing",VLOOKUP(U194,'G-3 Multipliers'!$L$3:$N$6,3,FALSE)))</f>
        <v/>
      </c>
      <c r="X194" s="171" t="str">
        <f>IFERROR(IF(OR(LEFT(O194,5)="Error",LEFT(N194,5)="Error",T194="Error"),"Check Data",IF(F194&lt;R194,INDEX('G-6 Hedgerow Data'!$S$3:$AE$14,MATCH(C194,'G-6 Hedgerow Data'!$B$3:$B$14,0),MATCH(M194,'G-6 Hedgerow Data'!$S$2:$AE$2,0)),INDEX('G-6 Hedgerow Data'!$K$3:$Q$14,MATCH(M194,'G-6 Hedgerow Data'!$B$3:$B$14,0),MATCH(O194,'G-6 Hedgerow Data'!$K$2:$Q$2,0)))),"")</f>
        <v/>
      </c>
      <c r="Y194" s="261"/>
      <c r="Z194" s="261"/>
      <c r="AA194" s="179" t="str">
        <f t="shared" si="19"/>
        <v/>
      </c>
      <c r="AB194" s="262" t="str">
        <f t="shared" si="20"/>
        <v/>
      </c>
      <c r="AC194" s="263" t="str">
        <f t="shared" si="17"/>
        <v/>
      </c>
      <c r="AD194" s="239" t="str">
        <f>IF(M194="","",VLOOKUP(M194,'G-6 Hedgerow Data'!$B$3:$AG$15,31,FALSE))</f>
        <v/>
      </c>
      <c r="AE194" s="175" t="str">
        <f t="shared" si="21"/>
        <v/>
      </c>
      <c r="AF194" s="175" t="str">
        <f t="shared" si="22"/>
        <v/>
      </c>
      <c r="AG194" s="176" t="str">
        <f>IFERROR(IF(O194="","",VLOOKUP(AD194,'G-3 Multipliers'!$P$3:$Q$6,2,FALSE)),"")</f>
        <v/>
      </c>
      <c r="AH194" s="266"/>
      <c r="AI194" s="172" t="str">
        <f>IF(AH194="","",IF(VLOOKUP(AH194,'G-3 Multipliers'!$S$3:$T$6,2,FALSE)=0,"Spatial Data Missing",VLOOKUP(AH194,'G-3 Multipliers'!$S$3:$T$6,2,FALSE)))</f>
        <v/>
      </c>
      <c r="AJ194" s="265" t="str">
        <f t="shared" si="23"/>
        <v/>
      </c>
      <c r="AK194" s="180"/>
      <c r="AL194" s="181"/>
      <c r="AP194" s="35" t="str">
        <f>IFERROR(INDEX('G-6 Hedgerow Data'!$BJ$3:$BJ$15,MATCH(M194,'G-6 Hedgerow Data'!$B$3:$B$15,0)),"")</f>
        <v/>
      </c>
    </row>
    <row r="195" spans="2:42" ht="13.8" x14ac:dyDescent="0.25">
      <c r="B195" s="259" t="str">
        <f>'E-1 Off Site Hedge Baseline'!AK193</f>
        <v/>
      </c>
      <c r="C195" s="175" t="str">
        <f>IF(B195="","",IF(ISNA(VLOOKUP($B195,'E-1 Off Site Hedge Baseline'!$B$1:$L$257,3,FALSE)),"",(VLOOKUP($B195,'E-1 Off Site Hedge Baseline'!$B$1:$L$257,3,FALSE))))</f>
        <v/>
      </c>
      <c r="D195" s="175" t="str">
        <f>IF(B195="","",IF(ISNA(VLOOKUP($B195,'E-1 Off Site Hedge Baseline'!$B$1:$L$258,4,FALSE)),"",(VLOOKUP($B195,'E-1 Off Site Hedge Baseline'!$B$1:$L$258,4,FALSE))))</f>
        <v/>
      </c>
      <c r="E195" s="175" t="str">
        <f>IF(B195="","",IF(ISNA(VLOOKUP($B195,'E-1 Off Site Hedge Baseline'!$B$1:$L$257,5,FALSE)),"",(VLOOKUP($B195,'E-1 Off Site Hedge Baseline'!$B$1:$L$257,5,FALSE))))</f>
        <v/>
      </c>
      <c r="F195" s="175" t="str">
        <f>IF(B195="","",IF(ISNA(VLOOKUP($B195,'E-1 Off Site Hedge Baseline'!$B$1:$L$257,6,FALSE)),"",(VLOOKUP($B195,'E-1 Off Site Hedge Baseline'!$B$1:$L$257,6,FALSE))))</f>
        <v/>
      </c>
      <c r="G195" s="175" t="str">
        <f>IF(B195="","",IF(ISNA(VLOOKUP($B195,'E-1 Off Site Hedge Baseline'!$B$1:$L$257,7,FALSE)),"",(VLOOKUP($B195,'E-1 Off Site Hedge Baseline'!$B$1:$L$257,7,FALSE))))</f>
        <v/>
      </c>
      <c r="H195" s="175" t="str">
        <f>IF(B195="","",IF(ISNA(VLOOKUP($B195,'E-1 Off Site Hedge Baseline'!$B$1:$L$257,8,FALSE)),"",(VLOOKUP($B195,'E-1 Off Site Hedge Baseline'!$B$1:$L$257,8,FALSE))))</f>
        <v/>
      </c>
      <c r="I195" s="175" t="str">
        <f>IF(B195="","",IF(ISNA(VLOOKUP($B195,'E-1 Off Site Hedge Baseline'!$B$1:$L$257,10,FALSE)),"",(VLOOKUP($B195,'E-1 Off Site Hedge Baseline'!$B$1:$L$257,10,FALSE))))</f>
        <v/>
      </c>
      <c r="J195" s="175" t="str">
        <f>IF(B195="","",IF(ISNA(VLOOKUP($B195,'E-1 Off Site Hedge Baseline'!$B$1:$L$257,11,FALSE)),"",(VLOOKUP($B195,'E-1 Off Site Hedge Baseline'!$B$1:$L$257,11,FALSE))))</f>
        <v/>
      </c>
      <c r="K195" s="175" t="str">
        <f>IF(B195="","",IF(ISNA(VLOOKUP($B195,'E-1 Off Site Hedge Baseline'!$B$1:$U$257,113,FALSE)),"",(VLOOKUP($B195,'E-1 Off Site Hedge Baseline'!$B$1:$U$257,13,FALSE))))</f>
        <v/>
      </c>
      <c r="L195" s="179" t="str">
        <f>IF(B195="","",IF(ISNA(VLOOKUP($B195,'E-1 Off Site Hedge Baseline'!$B$1:$U$257,12,FALSE)),"",(VLOOKUP($B195,'E-1 Off Site Hedge Baseline'!$B$1:$U$257,12,FALSE))))</f>
        <v/>
      </c>
      <c r="M195" s="639" t="str">
        <f t="shared" si="24"/>
        <v/>
      </c>
      <c r="N195" s="171" t="str">
        <f>IFERROR(IF(B195="","",INDEX('G-6 Hedgerow Data'!$AN$3:$AZ$15,MATCH(C195,'G-6 Hedgerow Data'!$AM$3:$AM$15,0),MATCH(M195,'G-6 Hedgerow Data'!$AN$2:$AZ$2,0))),"")</f>
        <v/>
      </c>
      <c r="O195" s="172" t="str">
        <f t="shared" si="18"/>
        <v/>
      </c>
      <c r="P195" s="260" t="str">
        <f>IF(B195="","",VLOOKUP(B195,'E-1 Off Site Hedge Baseline'!$B$10:T440,16,FALSE))</f>
        <v/>
      </c>
      <c r="Q195" s="171" t="str">
        <f>IF(M195="","",VLOOKUP(M195,'G-6 Hedgerow Data'!$B$2:$AG$15,2,FALSE))</f>
        <v/>
      </c>
      <c r="R195" s="172" t="str">
        <f>IF(M195="","",VLOOKUP(M195,'G-6 Hedgerow Data'!$B$2:$AG$15,3,FALSE))</f>
        <v/>
      </c>
      <c r="S195" s="173"/>
      <c r="T195" s="172" t="str">
        <f>IFERROR(IF(AND(Q195="V.Low",OR(S195="Good",S195="Moderate")),"Error",VLOOKUP(S195,'G-1 All Habitats'!$Z$2:$AA$9,2,FALSE)),"")</f>
        <v/>
      </c>
      <c r="U195" s="173"/>
      <c r="V195" s="179" t="str">
        <f>IF(U195="","",IF(VLOOKUP(U195,'G-3 Multipliers'!$L$3:$N$6,2,FALSE)=0,"Spatial Data Missing",VLOOKUP(U195,'G-3 Multipliers'!$L$3:$N$6,2,FALSE)))</f>
        <v/>
      </c>
      <c r="W195" s="260" t="str">
        <f>IF(U195="","",IF(VLOOKUP(U195,'G-3 Multipliers'!$L$3:$N$6,3,FALSE)=0,"Spatial Data Missing",VLOOKUP(U195,'G-3 Multipliers'!$L$3:$N$6,3,FALSE)))</f>
        <v/>
      </c>
      <c r="X195" s="171" t="str">
        <f>IFERROR(IF(OR(LEFT(O195,5)="Error",LEFT(N195,5)="Error",T195="Error"),"Check Data",IF(F195&lt;R195,INDEX('G-6 Hedgerow Data'!$S$3:$AE$14,MATCH(C195,'G-6 Hedgerow Data'!$B$3:$B$14,0),MATCH(M195,'G-6 Hedgerow Data'!$S$2:$AE$2,0)),INDEX('G-6 Hedgerow Data'!$K$3:$Q$14,MATCH(M195,'G-6 Hedgerow Data'!$B$3:$B$14,0),MATCH(O195,'G-6 Hedgerow Data'!$K$2:$Q$2,0)))),"")</f>
        <v/>
      </c>
      <c r="Y195" s="261"/>
      <c r="Z195" s="261"/>
      <c r="AA195" s="179" t="str">
        <f t="shared" si="19"/>
        <v/>
      </c>
      <c r="AB195" s="262" t="str">
        <f t="shared" si="20"/>
        <v/>
      </c>
      <c r="AC195" s="263" t="str">
        <f t="shared" si="17"/>
        <v/>
      </c>
      <c r="AD195" s="239" t="str">
        <f>IF(M195="","",VLOOKUP(M195,'G-6 Hedgerow Data'!$B$3:$AG$15,31,FALSE))</f>
        <v/>
      </c>
      <c r="AE195" s="175" t="str">
        <f t="shared" si="21"/>
        <v/>
      </c>
      <c r="AF195" s="175" t="str">
        <f t="shared" si="22"/>
        <v/>
      </c>
      <c r="AG195" s="176" t="str">
        <f>IFERROR(IF(O195="","",VLOOKUP(AD195,'G-3 Multipliers'!$P$3:$Q$6,2,FALSE)),"")</f>
        <v/>
      </c>
      <c r="AH195" s="266"/>
      <c r="AI195" s="172" t="str">
        <f>IF(AH195="","",IF(VLOOKUP(AH195,'G-3 Multipliers'!$S$3:$T$6,2,FALSE)=0,"Spatial Data Missing",VLOOKUP(AH195,'G-3 Multipliers'!$S$3:$T$6,2,FALSE)))</f>
        <v/>
      </c>
      <c r="AJ195" s="265" t="str">
        <f t="shared" si="23"/>
        <v/>
      </c>
      <c r="AK195" s="180"/>
      <c r="AL195" s="181"/>
      <c r="AP195" s="35" t="str">
        <f>IFERROR(INDEX('G-6 Hedgerow Data'!$BJ$3:$BJ$15,MATCH(M195,'G-6 Hedgerow Data'!$B$3:$B$15,0)),"")</f>
        <v/>
      </c>
    </row>
    <row r="196" spans="2:42" ht="13.8" x14ac:dyDescent="0.25">
      <c r="B196" s="259" t="str">
        <f>'E-1 Off Site Hedge Baseline'!AK194</f>
        <v/>
      </c>
      <c r="C196" s="175" t="str">
        <f>IF(B196="","",IF(ISNA(VLOOKUP($B196,'E-1 Off Site Hedge Baseline'!$B$1:$L$257,3,FALSE)),"",(VLOOKUP($B196,'E-1 Off Site Hedge Baseline'!$B$1:$L$257,3,FALSE))))</f>
        <v/>
      </c>
      <c r="D196" s="175" t="str">
        <f>IF(B196="","",IF(ISNA(VLOOKUP($B196,'E-1 Off Site Hedge Baseline'!$B$1:$L$258,4,FALSE)),"",(VLOOKUP($B196,'E-1 Off Site Hedge Baseline'!$B$1:$L$258,4,FALSE))))</f>
        <v/>
      </c>
      <c r="E196" s="175" t="str">
        <f>IF(B196="","",IF(ISNA(VLOOKUP($B196,'E-1 Off Site Hedge Baseline'!$B$1:$L$257,5,FALSE)),"",(VLOOKUP($B196,'E-1 Off Site Hedge Baseline'!$B$1:$L$257,5,FALSE))))</f>
        <v/>
      </c>
      <c r="F196" s="175" t="str">
        <f>IF(B196="","",IF(ISNA(VLOOKUP($B196,'E-1 Off Site Hedge Baseline'!$B$1:$L$257,6,FALSE)),"",(VLOOKUP($B196,'E-1 Off Site Hedge Baseline'!$B$1:$L$257,6,FALSE))))</f>
        <v/>
      </c>
      <c r="G196" s="175" t="str">
        <f>IF(B196="","",IF(ISNA(VLOOKUP($B196,'E-1 Off Site Hedge Baseline'!$B$1:$L$257,7,FALSE)),"",(VLOOKUP($B196,'E-1 Off Site Hedge Baseline'!$B$1:$L$257,7,FALSE))))</f>
        <v/>
      </c>
      <c r="H196" s="175" t="str">
        <f>IF(B196="","",IF(ISNA(VLOOKUP($B196,'E-1 Off Site Hedge Baseline'!$B$1:$L$257,8,FALSE)),"",(VLOOKUP($B196,'E-1 Off Site Hedge Baseline'!$B$1:$L$257,8,FALSE))))</f>
        <v/>
      </c>
      <c r="I196" s="175" t="str">
        <f>IF(B196="","",IF(ISNA(VLOOKUP($B196,'E-1 Off Site Hedge Baseline'!$B$1:$L$257,10,FALSE)),"",(VLOOKUP($B196,'E-1 Off Site Hedge Baseline'!$B$1:$L$257,10,FALSE))))</f>
        <v/>
      </c>
      <c r="J196" s="175" t="str">
        <f>IF(B196="","",IF(ISNA(VLOOKUP($B196,'E-1 Off Site Hedge Baseline'!$B$1:$L$257,11,FALSE)),"",(VLOOKUP($B196,'E-1 Off Site Hedge Baseline'!$B$1:$L$257,11,FALSE))))</f>
        <v/>
      </c>
      <c r="K196" s="175" t="str">
        <f>IF(B196="","",IF(ISNA(VLOOKUP($B196,'E-1 Off Site Hedge Baseline'!$B$1:$U$257,113,FALSE)),"",(VLOOKUP($B196,'E-1 Off Site Hedge Baseline'!$B$1:$U$257,13,FALSE))))</f>
        <v/>
      </c>
      <c r="L196" s="179" t="str">
        <f>IF(B196="","",IF(ISNA(VLOOKUP($B196,'E-1 Off Site Hedge Baseline'!$B$1:$U$257,12,FALSE)),"",(VLOOKUP($B196,'E-1 Off Site Hedge Baseline'!$B$1:$U$257,12,FALSE))))</f>
        <v/>
      </c>
      <c r="M196" s="639" t="str">
        <f t="shared" si="24"/>
        <v/>
      </c>
      <c r="N196" s="171" t="str">
        <f>IFERROR(IF(B196="","",INDEX('G-6 Hedgerow Data'!$AN$3:$AZ$15,MATCH(C196,'G-6 Hedgerow Data'!$AM$3:$AM$15,0),MATCH(M196,'G-6 Hedgerow Data'!$AN$2:$AZ$2,0))),"")</f>
        <v/>
      </c>
      <c r="O196" s="172" t="str">
        <f t="shared" si="18"/>
        <v/>
      </c>
      <c r="P196" s="260" t="str">
        <f>IF(B196="","",VLOOKUP(B196,'E-1 Off Site Hedge Baseline'!$B$10:T441,16,FALSE))</f>
        <v/>
      </c>
      <c r="Q196" s="171" t="str">
        <f>IF(M196="","",VLOOKUP(M196,'G-6 Hedgerow Data'!$B$2:$AG$15,2,FALSE))</f>
        <v/>
      </c>
      <c r="R196" s="172" t="str">
        <f>IF(M196="","",VLOOKUP(M196,'G-6 Hedgerow Data'!$B$2:$AG$15,3,FALSE))</f>
        <v/>
      </c>
      <c r="S196" s="173"/>
      <c r="T196" s="172" t="str">
        <f>IFERROR(IF(AND(Q196="V.Low",OR(S196="Good",S196="Moderate")),"Error",VLOOKUP(S196,'G-1 All Habitats'!$Z$2:$AA$9,2,FALSE)),"")</f>
        <v/>
      </c>
      <c r="U196" s="173"/>
      <c r="V196" s="179" t="str">
        <f>IF(U196="","",IF(VLOOKUP(U196,'G-3 Multipliers'!$L$3:$N$6,2,FALSE)=0,"Spatial Data Missing",VLOOKUP(U196,'G-3 Multipliers'!$L$3:$N$6,2,FALSE)))</f>
        <v/>
      </c>
      <c r="W196" s="260" t="str">
        <f>IF(U196="","",IF(VLOOKUP(U196,'G-3 Multipliers'!$L$3:$N$6,3,FALSE)=0,"Spatial Data Missing",VLOOKUP(U196,'G-3 Multipliers'!$L$3:$N$6,3,FALSE)))</f>
        <v/>
      </c>
      <c r="X196" s="171" t="str">
        <f>IFERROR(IF(OR(LEFT(O196,5)="Error",LEFT(N196,5)="Error",T196="Error"),"Check Data",IF(F196&lt;R196,INDEX('G-6 Hedgerow Data'!$S$3:$AE$14,MATCH(C196,'G-6 Hedgerow Data'!$B$3:$B$14,0),MATCH(M196,'G-6 Hedgerow Data'!$S$2:$AE$2,0)),INDEX('G-6 Hedgerow Data'!$K$3:$Q$14,MATCH(M196,'G-6 Hedgerow Data'!$B$3:$B$14,0),MATCH(O196,'G-6 Hedgerow Data'!$K$2:$Q$2,0)))),"")</f>
        <v/>
      </c>
      <c r="Y196" s="261"/>
      <c r="Z196" s="261"/>
      <c r="AA196" s="179" t="str">
        <f t="shared" si="19"/>
        <v/>
      </c>
      <c r="AB196" s="262" t="str">
        <f t="shared" si="20"/>
        <v/>
      </c>
      <c r="AC196" s="263" t="str">
        <f t="shared" si="17"/>
        <v/>
      </c>
      <c r="AD196" s="239" t="str">
        <f>IF(M196="","",VLOOKUP(M196,'G-6 Hedgerow Data'!$B$3:$AG$15,31,FALSE))</f>
        <v/>
      </c>
      <c r="AE196" s="175" t="str">
        <f t="shared" si="21"/>
        <v/>
      </c>
      <c r="AF196" s="175" t="str">
        <f t="shared" si="22"/>
        <v/>
      </c>
      <c r="AG196" s="176" t="str">
        <f>IFERROR(IF(O196="","",VLOOKUP(AD196,'G-3 Multipliers'!$P$3:$Q$6,2,FALSE)),"")</f>
        <v/>
      </c>
      <c r="AH196" s="266"/>
      <c r="AI196" s="172" t="str">
        <f>IF(AH196="","",IF(VLOOKUP(AH196,'G-3 Multipliers'!$S$3:$T$6,2,FALSE)=0,"Spatial Data Missing",VLOOKUP(AH196,'G-3 Multipliers'!$S$3:$T$6,2,FALSE)))</f>
        <v/>
      </c>
      <c r="AJ196" s="265" t="str">
        <f t="shared" si="23"/>
        <v/>
      </c>
      <c r="AK196" s="180"/>
      <c r="AL196" s="181"/>
      <c r="AP196" s="35" t="str">
        <f>IFERROR(INDEX('G-6 Hedgerow Data'!$BJ$3:$BJ$15,MATCH(M196,'G-6 Hedgerow Data'!$B$3:$B$15,0)),"")</f>
        <v/>
      </c>
    </row>
    <row r="197" spans="2:42" ht="13.8" x14ac:dyDescent="0.25">
      <c r="B197" s="259" t="str">
        <f>'E-1 Off Site Hedge Baseline'!AK195</f>
        <v/>
      </c>
      <c r="C197" s="175" t="str">
        <f>IF(B197="","",IF(ISNA(VLOOKUP($B197,'E-1 Off Site Hedge Baseline'!$B$1:$L$257,3,FALSE)),"",(VLOOKUP($B197,'E-1 Off Site Hedge Baseline'!$B$1:$L$257,3,FALSE))))</f>
        <v/>
      </c>
      <c r="D197" s="175" t="str">
        <f>IF(B197="","",IF(ISNA(VLOOKUP($B197,'E-1 Off Site Hedge Baseline'!$B$1:$L$258,4,FALSE)),"",(VLOOKUP($B197,'E-1 Off Site Hedge Baseline'!$B$1:$L$258,4,FALSE))))</f>
        <v/>
      </c>
      <c r="E197" s="175" t="str">
        <f>IF(B197="","",IF(ISNA(VLOOKUP($B197,'E-1 Off Site Hedge Baseline'!$B$1:$L$257,5,FALSE)),"",(VLOOKUP($B197,'E-1 Off Site Hedge Baseline'!$B$1:$L$257,5,FALSE))))</f>
        <v/>
      </c>
      <c r="F197" s="175" t="str">
        <f>IF(B197="","",IF(ISNA(VLOOKUP($B197,'E-1 Off Site Hedge Baseline'!$B$1:$L$257,6,FALSE)),"",(VLOOKUP($B197,'E-1 Off Site Hedge Baseline'!$B$1:$L$257,6,FALSE))))</f>
        <v/>
      </c>
      <c r="G197" s="175" t="str">
        <f>IF(B197="","",IF(ISNA(VLOOKUP($B197,'E-1 Off Site Hedge Baseline'!$B$1:$L$257,7,FALSE)),"",(VLOOKUP($B197,'E-1 Off Site Hedge Baseline'!$B$1:$L$257,7,FALSE))))</f>
        <v/>
      </c>
      <c r="H197" s="175" t="str">
        <f>IF(B197="","",IF(ISNA(VLOOKUP($B197,'E-1 Off Site Hedge Baseline'!$B$1:$L$257,8,FALSE)),"",(VLOOKUP($B197,'E-1 Off Site Hedge Baseline'!$B$1:$L$257,8,FALSE))))</f>
        <v/>
      </c>
      <c r="I197" s="175" t="str">
        <f>IF(B197="","",IF(ISNA(VLOOKUP($B197,'E-1 Off Site Hedge Baseline'!$B$1:$L$257,10,FALSE)),"",(VLOOKUP($B197,'E-1 Off Site Hedge Baseline'!$B$1:$L$257,10,FALSE))))</f>
        <v/>
      </c>
      <c r="J197" s="175" t="str">
        <f>IF(B197="","",IF(ISNA(VLOOKUP($B197,'E-1 Off Site Hedge Baseline'!$B$1:$L$257,11,FALSE)),"",(VLOOKUP($B197,'E-1 Off Site Hedge Baseline'!$B$1:$L$257,11,FALSE))))</f>
        <v/>
      </c>
      <c r="K197" s="175" t="str">
        <f>IF(B197="","",IF(ISNA(VLOOKUP($B197,'E-1 Off Site Hedge Baseline'!$B$1:$U$257,113,FALSE)),"",(VLOOKUP($B197,'E-1 Off Site Hedge Baseline'!$B$1:$U$257,13,FALSE))))</f>
        <v/>
      </c>
      <c r="L197" s="179" t="str">
        <f>IF(B197="","",IF(ISNA(VLOOKUP($B197,'E-1 Off Site Hedge Baseline'!$B$1:$U$257,12,FALSE)),"",(VLOOKUP($B197,'E-1 Off Site Hedge Baseline'!$B$1:$U$257,12,FALSE))))</f>
        <v/>
      </c>
      <c r="M197" s="639" t="str">
        <f t="shared" si="24"/>
        <v/>
      </c>
      <c r="N197" s="171" t="str">
        <f>IFERROR(IF(B197="","",INDEX('G-6 Hedgerow Data'!$AN$3:$AZ$15,MATCH(C197,'G-6 Hedgerow Data'!$AM$3:$AM$15,0),MATCH(M197,'G-6 Hedgerow Data'!$AN$2:$AZ$2,0))),"")</f>
        <v/>
      </c>
      <c r="O197" s="172" t="str">
        <f t="shared" si="18"/>
        <v/>
      </c>
      <c r="P197" s="260" t="str">
        <f>IF(B197="","",VLOOKUP(B197,'E-1 Off Site Hedge Baseline'!$B$10:T442,16,FALSE))</f>
        <v/>
      </c>
      <c r="Q197" s="171" t="str">
        <f>IF(M197="","",VLOOKUP(M197,'G-6 Hedgerow Data'!$B$2:$AG$15,2,FALSE))</f>
        <v/>
      </c>
      <c r="R197" s="172" t="str">
        <f>IF(M197="","",VLOOKUP(M197,'G-6 Hedgerow Data'!$B$2:$AG$15,3,FALSE))</f>
        <v/>
      </c>
      <c r="S197" s="173"/>
      <c r="T197" s="172" t="str">
        <f>IFERROR(IF(AND(Q197="V.Low",OR(S197="Good",S197="Moderate")),"Error",VLOOKUP(S197,'G-1 All Habitats'!$Z$2:$AA$9,2,FALSE)),"")</f>
        <v/>
      </c>
      <c r="U197" s="173"/>
      <c r="V197" s="179" t="str">
        <f>IF(U197="","",IF(VLOOKUP(U197,'G-3 Multipliers'!$L$3:$N$6,2,FALSE)=0,"Spatial Data Missing",VLOOKUP(U197,'G-3 Multipliers'!$L$3:$N$6,2,FALSE)))</f>
        <v/>
      </c>
      <c r="W197" s="260" t="str">
        <f>IF(U197="","",IF(VLOOKUP(U197,'G-3 Multipliers'!$L$3:$N$6,3,FALSE)=0,"Spatial Data Missing",VLOOKUP(U197,'G-3 Multipliers'!$L$3:$N$6,3,FALSE)))</f>
        <v/>
      </c>
      <c r="X197" s="171" t="str">
        <f>IFERROR(IF(OR(LEFT(O197,5)="Error",LEFT(N197,5)="Error",T197="Error"),"Check Data",IF(F197&lt;R197,INDEX('G-6 Hedgerow Data'!$S$3:$AE$14,MATCH(C197,'G-6 Hedgerow Data'!$B$3:$B$14,0),MATCH(M197,'G-6 Hedgerow Data'!$S$2:$AE$2,0)),INDEX('G-6 Hedgerow Data'!$K$3:$Q$14,MATCH(M197,'G-6 Hedgerow Data'!$B$3:$B$14,0),MATCH(O197,'G-6 Hedgerow Data'!$K$2:$Q$2,0)))),"")</f>
        <v/>
      </c>
      <c r="Y197" s="261"/>
      <c r="Z197" s="261"/>
      <c r="AA197" s="179" t="str">
        <f t="shared" si="19"/>
        <v/>
      </c>
      <c r="AB197" s="262" t="str">
        <f t="shared" si="20"/>
        <v/>
      </c>
      <c r="AC197" s="263" t="str">
        <f t="shared" si="17"/>
        <v/>
      </c>
      <c r="AD197" s="239" t="str">
        <f>IF(M197="","",VLOOKUP(M197,'G-6 Hedgerow Data'!$B$3:$AG$15,31,FALSE))</f>
        <v/>
      </c>
      <c r="AE197" s="175" t="str">
        <f t="shared" si="21"/>
        <v/>
      </c>
      <c r="AF197" s="175" t="str">
        <f t="shared" si="22"/>
        <v/>
      </c>
      <c r="AG197" s="176" t="str">
        <f>IFERROR(IF(O197="","",VLOOKUP(AD197,'G-3 Multipliers'!$P$3:$Q$6,2,FALSE)),"")</f>
        <v/>
      </c>
      <c r="AH197" s="266"/>
      <c r="AI197" s="172" t="str">
        <f>IF(AH197="","",IF(VLOOKUP(AH197,'G-3 Multipliers'!$S$3:$T$6,2,FALSE)=0,"Spatial Data Missing",VLOOKUP(AH197,'G-3 Multipliers'!$S$3:$T$6,2,FALSE)))</f>
        <v/>
      </c>
      <c r="AJ197" s="265" t="str">
        <f t="shared" si="23"/>
        <v/>
      </c>
      <c r="AK197" s="180"/>
      <c r="AL197" s="181"/>
      <c r="AP197" s="35" t="str">
        <f>IFERROR(INDEX('G-6 Hedgerow Data'!$BJ$3:$BJ$15,MATCH(M197,'G-6 Hedgerow Data'!$B$3:$B$15,0)),"")</f>
        <v/>
      </c>
    </row>
    <row r="198" spans="2:42" ht="13.8" x14ac:dyDescent="0.25">
      <c r="B198" s="259" t="str">
        <f>'E-1 Off Site Hedge Baseline'!AK196</f>
        <v/>
      </c>
      <c r="C198" s="175" t="str">
        <f>IF(B198="","",IF(ISNA(VLOOKUP($B198,'E-1 Off Site Hedge Baseline'!$B$1:$L$257,3,FALSE)),"",(VLOOKUP($B198,'E-1 Off Site Hedge Baseline'!$B$1:$L$257,3,FALSE))))</f>
        <v/>
      </c>
      <c r="D198" s="175" t="str">
        <f>IF(B198="","",IF(ISNA(VLOOKUP($B198,'E-1 Off Site Hedge Baseline'!$B$1:$L$258,4,FALSE)),"",(VLOOKUP($B198,'E-1 Off Site Hedge Baseline'!$B$1:$L$258,4,FALSE))))</f>
        <v/>
      </c>
      <c r="E198" s="175" t="str">
        <f>IF(B198="","",IF(ISNA(VLOOKUP($B198,'E-1 Off Site Hedge Baseline'!$B$1:$L$257,5,FALSE)),"",(VLOOKUP($B198,'E-1 Off Site Hedge Baseline'!$B$1:$L$257,5,FALSE))))</f>
        <v/>
      </c>
      <c r="F198" s="175" t="str">
        <f>IF(B198="","",IF(ISNA(VLOOKUP($B198,'E-1 Off Site Hedge Baseline'!$B$1:$L$257,6,FALSE)),"",(VLOOKUP($B198,'E-1 Off Site Hedge Baseline'!$B$1:$L$257,6,FALSE))))</f>
        <v/>
      </c>
      <c r="G198" s="175" t="str">
        <f>IF(B198="","",IF(ISNA(VLOOKUP($B198,'E-1 Off Site Hedge Baseline'!$B$1:$L$257,7,FALSE)),"",(VLOOKUP($B198,'E-1 Off Site Hedge Baseline'!$B$1:$L$257,7,FALSE))))</f>
        <v/>
      </c>
      <c r="H198" s="175" t="str">
        <f>IF(B198="","",IF(ISNA(VLOOKUP($B198,'E-1 Off Site Hedge Baseline'!$B$1:$L$257,8,FALSE)),"",(VLOOKUP($B198,'E-1 Off Site Hedge Baseline'!$B$1:$L$257,8,FALSE))))</f>
        <v/>
      </c>
      <c r="I198" s="175" t="str">
        <f>IF(B198="","",IF(ISNA(VLOOKUP($B198,'E-1 Off Site Hedge Baseline'!$B$1:$L$257,10,FALSE)),"",(VLOOKUP($B198,'E-1 Off Site Hedge Baseline'!$B$1:$L$257,10,FALSE))))</f>
        <v/>
      </c>
      <c r="J198" s="175" t="str">
        <f>IF(B198="","",IF(ISNA(VLOOKUP($B198,'E-1 Off Site Hedge Baseline'!$B$1:$L$257,11,FALSE)),"",(VLOOKUP($B198,'E-1 Off Site Hedge Baseline'!$B$1:$L$257,11,FALSE))))</f>
        <v/>
      </c>
      <c r="K198" s="175" t="str">
        <f>IF(B198="","",IF(ISNA(VLOOKUP($B198,'E-1 Off Site Hedge Baseline'!$B$1:$U$257,113,FALSE)),"",(VLOOKUP($B198,'E-1 Off Site Hedge Baseline'!$B$1:$U$257,13,FALSE))))</f>
        <v/>
      </c>
      <c r="L198" s="179" t="str">
        <f>IF(B198="","",IF(ISNA(VLOOKUP($B198,'E-1 Off Site Hedge Baseline'!$B$1:$U$257,12,FALSE)),"",(VLOOKUP($B198,'E-1 Off Site Hedge Baseline'!$B$1:$U$257,12,FALSE))))</f>
        <v/>
      </c>
      <c r="M198" s="639" t="str">
        <f t="shared" si="24"/>
        <v/>
      </c>
      <c r="N198" s="171" t="str">
        <f>IFERROR(IF(B198="","",INDEX('G-6 Hedgerow Data'!$AN$3:$AZ$15,MATCH(C198,'G-6 Hedgerow Data'!$AM$3:$AM$15,0),MATCH(M198,'G-6 Hedgerow Data'!$AN$2:$AZ$2,0))),"")</f>
        <v/>
      </c>
      <c r="O198" s="172" t="str">
        <f t="shared" si="18"/>
        <v/>
      </c>
      <c r="P198" s="260" t="str">
        <f>IF(B198="","",VLOOKUP(B198,'E-1 Off Site Hedge Baseline'!$B$10:T443,16,FALSE))</f>
        <v/>
      </c>
      <c r="Q198" s="171" t="str">
        <f>IF(M198="","",VLOOKUP(M198,'G-6 Hedgerow Data'!$B$2:$AG$15,2,FALSE))</f>
        <v/>
      </c>
      <c r="R198" s="172" t="str">
        <f>IF(M198="","",VLOOKUP(M198,'G-6 Hedgerow Data'!$B$2:$AG$15,3,FALSE))</f>
        <v/>
      </c>
      <c r="S198" s="173"/>
      <c r="T198" s="172" t="str">
        <f>IFERROR(IF(AND(Q198="V.Low",OR(S198="Good",S198="Moderate")),"Error",VLOOKUP(S198,'G-1 All Habitats'!$Z$2:$AA$9,2,FALSE)),"")</f>
        <v/>
      </c>
      <c r="U198" s="173"/>
      <c r="V198" s="179" t="str">
        <f>IF(U198="","",IF(VLOOKUP(U198,'G-3 Multipliers'!$L$3:$N$6,2,FALSE)=0,"Spatial Data Missing",VLOOKUP(U198,'G-3 Multipliers'!$L$3:$N$6,2,FALSE)))</f>
        <v/>
      </c>
      <c r="W198" s="260" t="str">
        <f>IF(U198="","",IF(VLOOKUP(U198,'G-3 Multipliers'!$L$3:$N$6,3,FALSE)=0,"Spatial Data Missing",VLOOKUP(U198,'G-3 Multipliers'!$L$3:$N$6,3,FALSE)))</f>
        <v/>
      </c>
      <c r="X198" s="171" t="str">
        <f>IFERROR(IF(OR(LEFT(O198,5)="Error",LEFT(N198,5)="Error",T198="Error"),"Check Data",IF(F198&lt;R198,INDEX('G-6 Hedgerow Data'!$S$3:$AE$14,MATCH(C198,'G-6 Hedgerow Data'!$B$3:$B$14,0),MATCH(M198,'G-6 Hedgerow Data'!$S$2:$AE$2,0)),INDEX('G-6 Hedgerow Data'!$K$3:$Q$14,MATCH(M198,'G-6 Hedgerow Data'!$B$3:$B$14,0),MATCH(O198,'G-6 Hedgerow Data'!$K$2:$Q$2,0)))),"")</f>
        <v/>
      </c>
      <c r="Y198" s="261"/>
      <c r="Z198" s="261"/>
      <c r="AA198" s="179" t="str">
        <f t="shared" si="19"/>
        <v/>
      </c>
      <c r="AB198" s="262" t="str">
        <f t="shared" si="20"/>
        <v/>
      </c>
      <c r="AC198" s="263" t="str">
        <f t="shared" si="17"/>
        <v/>
      </c>
      <c r="AD198" s="239" t="str">
        <f>IF(M198="","",VLOOKUP(M198,'G-6 Hedgerow Data'!$B$3:$AG$15,31,FALSE))</f>
        <v/>
      </c>
      <c r="AE198" s="175" t="str">
        <f t="shared" si="21"/>
        <v/>
      </c>
      <c r="AF198" s="175" t="str">
        <f t="shared" si="22"/>
        <v/>
      </c>
      <c r="AG198" s="176" t="str">
        <f>IFERROR(IF(O198="","",VLOOKUP(AD198,'G-3 Multipliers'!$P$3:$Q$6,2,FALSE)),"")</f>
        <v/>
      </c>
      <c r="AH198" s="266"/>
      <c r="AI198" s="172" t="str">
        <f>IF(AH198="","",IF(VLOOKUP(AH198,'G-3 Multipliers'!$S$3:$T$6,2,FALSE)=0,"Spatial Data Missing",VLOOKUP(AH198,'G-3 Multipliers'!$S$3:$T$6,2,FALSE)))</f>
        <v/>
      </c>
      <c r="AJ198" s="265" t="str">
        <f t="shared" si="23"/>
        <v/>
      </c>
      <c r="AK198" s="180"/>
      <c r="AL198" s="181"/>
      <c r="AP198" s="35" t="str">
        <f>IFERROR(INDEX('G-6 Hedgerow Data'!$BJ$3:$BJ$15,MATCH(M198,'G-6 Hedgerow Data'!$B$3:$B$15,0)),"")</f>
        <v/>
      </c>
    </row>
    <row r="199" spans="2:42" ht="13.8" x14ac:dyDescent="0.25">
      <c r="B199" s="259" t="str">
        <f>'E-1 Off Site Hedge Baseline'!AK197</f>
        <v/>
      </c>
      <c r="C199" s="175" t="str">
        <f>IF(B199="","",IF(ISNA(VLOOKUP($B199,'E-1 Off Site Hedge Baseline'!$B$1:$L$257,3,FALSE)),"",(VLOOKUP($B199,'E-1 Off Site Hedge Baseline'!$B$1:$L$257,3,FALSE))))</f>
        <v/>
      </c>
      <c r="D199" s="175" t="str">
        <f>IF(B199="","",IF(ISNA(VLOOKUP($B199,'E-1 Off Site Hedge Baseline'!$B$1:$L$258,4,FALSE)),"",(VLOOKUP($B199,'E-1 Off Site Hedge Baseline'!$B$1:$L$258,4,FALSE))))</f>
        <v/>
      </c>
      <c r="E199" s="175" t="str">
        <f>IF(B199="","",IF(ISNA(VLOOKUP($B199,'E-1 Off Site Hedge Baseline'!$B$1:$L$257,5,FALSE)),"",(VLOOKUP($B199,'E-1 Off Site Hedge Baseline'!$B$1:$L$257,5,FALSE))))</f>
        <v/>
      </c>
      <c r="F199" s="175" t="str">
        <f>IF(B199="","",IF(ISNA(VLOOKUP($B199,'E-1 Off Site Hedge Baseline'!$B$1:$L$257,6,FALSE)),"",(VLOOKUP($B199,'E-1 Off Site Hedge Baseline'!$B$1:$L$257,6,FALSE))))</f>
        <v/>
      </c>
      <c r="G199" s="175" t="str">
        <f>IF(B199="","",IF(ISNA(VLOOKUP($B199,'E-1 Off Site Hedge Baseline'!$B$1:$L$257,7,FALSE)),"",(VLOOKUP($B199,'E-1 Off Site Hedge Baseline'!$B$1:$L$257,7,FALSE))))</f>
        <v/>
      </c>
      <c r="H199" s="175" t="str">
        <f>IF(B199="","",IF(ISNA(VLOOKUP($B199,'E-1 Off Site Hedge Baseline'!$B$1:$L$257,8,FALSE)),"",(VLOOKUP($B199,'E-1 Off Site Hedge Baseline'!$B$1:$L$257,8,FALSE))))</f>
        <v/>
      </c>
      <c r="I199" s="175" t="str">
        <f>IF(B199="","",IF(ISNA(VLOOKUP($B199,'E-1 Off Site Hedge Baseline'!$B$1:$L$257,10,FALSE)),"",(VLOOKUP($B199,'E-1 Off Site Hedge Baseline'!$B$1:$L$257,10,FALSE))))</f>
        <v/>
      </c>
      <c r="J199" s="175" t="str">
        <f>IF(B199="","",IF(ISNA(VLOOKUP($B199,'E-1 Off Site Hedge Baseline'!$B$1:$L$257,11,FALSE)),"",(VLOOKUP($B199,'E-1 Off Site Hedge Baseline'!$B$1:$L$257,11,FALSE))))</f>
        <v/>
      </c>
      <c r="K199" s="175" t="str">
        <f>IF(B199="","",IF(ISNA(VLOOKUP($B199,'E-1 Off Site Hedge Baseline'!$B$1:$U$257,113,FALSE)),"",(VLOOKUP($B199,'E-1 Off Site Hedge Baseline'!$B$1:$U$257,13,FALSE))))</f>
        <v/>
      </c>
      <c r="L199" s="179" t="str">
        <f>IF(B199="","",IF(ISNA(VLOOKUP($B199,'E-1 Off Site Hedge Baseline'!$B$1:$U$257,12,FALSE)),"",(VLOOKUP($B199,'E-1 Off Site Hedge Baseline'!$B$1:$U$257,12,FALSE))))</f>
        <v/>
      </c>
      <c r="M199" s="639" t="str">
        <f t="shared" si="24"/>
        <v/>
      </c>
      <c r="N199" s="171" t="str">
        <f>IFERROR(IF(B199="","",INDEX('G-6 Hedgerow Data'!$AN$3:$AZ$15,MATCH(C199,'G-6 Hedgerow Data'!$AM$3:$AM$15,0),MATCH(M199,'G-6 Hedgerow Data'!$AN$2:$AZ$2,0))),"")</f>
        <v/>
      </c>
      <c r="O199" s="172" t="str">
        <f t="shared" si="18"/>
        <v/>
      </c>
      <c r="P199" s="260" t="str">
        <f>IF(B199="","",VLOOKUP(B199,'E-1 Off Site Hedge Baseline'!$B$10:T444,16,FALSE))</f>
        <v/>
      </c>
      <c r="Q199" s="171" t="str">
        <f>IF(M199="","",VLOOKUP(M199,'G-6 Hedgerow Data'!$B$2:$AG$15,2,FALSE))</f>
        <v/>
      </c>
      <c r="R199" s="172" t="str">
        <f>IF(M199="","",VLOOKUP(M199,'G-6 Hedgerow Data'!$B$2:$AG$15,3,FALSE))</f>
        <v/>
      </c>
      <c r="S199" s="173"/>
      <c r="T199" s="172" t="str">
        <f>IFERROR(IF(AND(Q199="V.Low",OR(S199="Good",S199="Moderate")),"Error",VLOOKUP(S199,'G-1 All Habitats'!$Z$2:$AA$9,2,FALSE)),"")</f>
        <v/>
      </c>
      <c r="U199" s="173"/>
      <c r="V199" s="179" t="str">
        <f>IF(U199="","",IF(VLOOKUP(U199,'G-3 Multipliers'!$L$3:$N$6,2,FALSE)=0,"Spatial Data Missing",VLOOKUP(U199,'G-3 Multipliers'!$L$3:$N$6,2,FALSE)))</f>
        <v/>
      </c>
      <c r="W199" s="260" t="str">
        <f>IF(U199="","",IF(VLOOKUP(U199,'G-3 Multipliers'!$L$3:$N$6,3,FALSE)=0,"Spatial Data Missing",VLOOKUP(U199,'G-3 Multipliers'!$L$3:$N$6,3,FALSE)))</f>
        <v/>
      </c>
      <c r="X199" s="171" t="str">
        <f>IFERROR(IF(OR(LEFT(O199,5)="Error",LEFT(N199,5)="Error",T199="Error"),"Check Data",IF(F199&lt;R199,INDEX('G-6 Hedgerow Data'!$S$3:$AE$14,MATCH(C199,'G-6 Hedgerow Data'!$B$3:$B$14,0),MATCH(M199,'G-6 Hedgerow Data'!$S$2:$AE$2,0)),INDEX('G-6 Hedgerow Data'!$K$3:$Q$14,MATCH(M199,'G-6 Hedgerow Data'!$B$3:$B$14,0),MATCH(O199,'G-6 Hedgerow Data'!$K$2:$Q$2,0)))),"")</f>
        <v/>
      </c>
      <c r="Y199" s="261"/>
      <c r="Z199" s="261"/>
      <c r="AA199" s="179" t="str">
        <f t="shared" si="19"/>
        <v/>
      </c>
      <c r="AB199" s="262" t="str">
        <f t="shared" si="20"/>
        <v/>
      </c>
      <c r="AC199" s="263" t="str">
        <f t="shared" si="17"/>
        <v/>
      </c>
      <c r="AD199" s="239" t="str">
        <f>IF(M199="","",VLOOKUP(M199,'G-6 Hedgerow Data'!$B$3:$AG$15,31,FALSE))</f>
        <v/>
      </c>
      <c r="AE199" s="175" t="str">
        <f t="shared" si="21"/>
        <v/>
      </c>
      <c r="AF199" s="175" t="str">
        <f t="shared" si="22"/>
        <v/>
      </c>
      <c r="AG199" s="176" t="str">
        <f>IFERROR(IF(O199="","",VLOOKUP(AD199,'G-3 Multipliers'!$P$3:$Q$6,2,FALSE)),"")</f>
        <v/>
      </c>
      <c r="AH199" s="266"/>
      <c r="AI199" s="172" t="str">
        <f>IF(AH199="","",IF(VLOOKUP(AH199,'G-3 Multipliers'!$S$3:$T$6,2,FALSE)=0,"Spatial Data Missing",VLOOKUP(AH199,'G-3 Multipliers'!$S$3:$T$6,2,FALSE)))</f>
        <v/>
      </c>
      <c r="AJ199" s="265" t="str">
        <f t="shared" si="23"/>
        <v/>
      </c>
      <c r="AK199" s="180"/>
      <c r="AL199" s="181"/>
      <c r="AP199" s="35" t="str">
        <f>IFERROR(INDEX('G-6 Hedgerow Data'!$BJ$3:$BJ$15,MATCH(M199,'G-6 Hedgerow Data'!$B$3:$B$15,0)),"")</f>
        <v/>
      </c>
    </row>
    <row r="200" spans="2:42" ht="13.8" x14ac:dyDescent="0.25">
      <c r="B200" s="259" t="str">
        <f>'E-1 Off Site Hedge Baseline'!AK198</f>
        <v/>
      </c>
      <c r="C200" s="175" t="str">
        <f>IF(B200="","",IF(ISNA(VLOOKUP($B200,'E-1 Off Site Hedge Baseline'!$B$1:$L$257,3,FALSE)),"",(VLOOKUP($B200,'E-1 Off Site Hedge Baseline'!$B$1:$L$257,3,FALSE))))</f>
        <v/>
      </c>
      <c r="D200" s="175" t="str">
        <f>IF(B200="","",IF(ISNA(VLOOKUP($B200,'E-1 Off Site Hedge Baseline'!$B$1:$L$258,4,FALSE)),"",(VLOOKUP($B200,'E-1 Off Site Hedge Baseline'!$B$1:$L$258,4,FALSE))))</f>
        <v/>
      </c>
      <c r="E200" s="175" t="str">
        <f>IF(B200="","",IF(ISNA(VLOOKUP($B200,'E-1 Off Site Hedge Baseline'!$B$1:$L$257,5,FALSE)),"",(VLOOKUP($B200,'E-1 Off Site Hedge Baseline'!$B$1:$L$257,5,FALSE))))</f>
        <v/>
      </c>
      <c r="F200" s="175" t="str">
        <f>IF(B200="","",IF(ISNA(VLOOKUP($B200,'E-1 Off Site Hedge Baseline'!$B$1:$L$257,6,FALSE)),"",(VLOOKUP($B200,'E-1 Off Site Hedge Baseline'!$B$1:$L$257,6,FALSE))))</f>
        <v/>
      </c>
      <c r="G200" s="175" t="str">
        <f>IF(B200="","",IF(ISNA(VLOOKUP($B200,'E-1 Off Site Hedge Baseline'!$B$1:$L$257,7,FALSE)),"",(VLOOKUP($B200,'E-1 Off Site Hedge Baseline'!$B$1:$L$257,7,FALSE))))</f>
        <v/>
      </c>
      <c r="H200" s="175" t="str">
        <f>IF(B200="","",IF(ISNA(VLOOKUP($B200,'E-1 Off Site Hedge Baseline'!$B$1:$L$257,8,FALSE)),"",(VLOOKUP($B200,'E-1 Off Site Hedge Baseline'!$B$1:$L$257,8,FALSE))))</f>
        <v/>
      </c>
      <c r="I200" s="175" t="str">
        <f>IF(B200="","",IF(ISNA(VLOOKUP($B200,'E-1 Off Site Hedge Baseline'!$B$1:$L$257,10,FALSE)),"",(VLOOKUP($B200,'E-1 Off Site Hedge Baseline'!$B$1:$L$257,10,FALSE))))</f>
        <v/>
      </c>
      <c r="J200" s="175" t="str">
        <f>IF(B200="","",IF(ISNA(VLOOKUP($B200,'E-1 Off Site Hedge Baseline'!$B$1:$L$257,11,FALSE)),"",(VLOOKUP($B200,'E-1 Off Site Hedge Baseline'!$B$1:$L$257,11,FALSE))))</f>
        <v/>
      </c>
      <c r="K200" s="175" t="str">
        <f>IF(B200="","",IF(ISNA(VLOOKUP($B200,'E-1 Off Site Hedge Baseline'!$B$1:$U$257,113,FALSE)),"",(VLOOKUP($B200,'E-1 Off Site Hedge Baseline'!$B$1:$U$257,13,FALSE))))</f>
        <v/>
      </c>
      <c r="L200" s="179" t="str">
        <f>IF(B200="","",IF(ISNA(VLOOKUP($B200,'E-1 Off Site Hedge Baseline'!$B$1:$U$257,12,FALSE)),"",(VLOOKUP($B200,'E-1 Off Site Hedge Baseline'!$B$1:$U$257,12,FALSE))))</f>
        <v/>
      </c>
      <c r="M200" s="639" t="str">
        <f t="shared" si="24"/>
        <v/>
      </c>
      <c r="N200" s="171" t="str">
        <f>IFERROR(IF(B200="","",INDEX('G-6 Hedgerow Data'!$AN$3:$AZ$15,MATCH(C200,'G-6 Hedgerow Data'!$AM$3:$AM$15,0),MATCH(M200,'G-6 Hedgerow Data'!$AN$2:$AZ$2,0))),"")</f>
        <v/>
      </c>
      <c r="O200" s="172" t="str">
        <f t="shared" si="18"/>
        <v/>
      </c>
      <c r="P200" s="260" t="str">
        <f>IF(B200="","",VLOOKUP(B200,'E-1 Off Site Hedge Baseline'!$B$10:T445,16,FALSE))</f>
        <v/>
      </c>
      <c r="Q200" s="171" t="str">
        <f>IF(M200="","",VLOOKUP(M200,'G-6 Hedgerow Data'!$B$2:$AG$15,2,FALSE))</f>
        <v/>
      </c>
      <c r="R200" s="172" t="str">
        <f>IF(M200="","",VLOOKUP(M200,'G-6 Hedgerow Data'!$B$2:$AG$15,3,FALSE))</f>
        <v/>
      </c>
      <c r="S200" s="173"/>
      <c r="T200" s="172" t="str">
        <f>IFERROR(IF(AND(Q200="V.Low",OR(S200="Good",S200="Moderate")),"Error",VLOOKUP(S200,'G-1 All Habitats'!$Z$2:$AA$9,2,FALSE)),"")</f>
        <v/>
      </c>
      <c r="U200" s="173"/>
      <c r="V200" s="179" t="str">
        <f>IF(U200="","",IF(VLOOKUP(U200,'G-3 Multipliers'!$L$3:$N$6,2,FALSE)=0,"Spatial Data Missing",VLOOKUP(U200,'G-3 Multipliers'!$L$3:$N$6,2,FALSE)))</f>
        <v/>
      </c>
      <c r="W200" s="260" t="str">
        <f>IF(U200="","",IF(VLOOKUP(U200,'G-3 Multipliers'!$L$3:$N$6,3,FALSE)=0,"Spatial Data Missing",VLOOKUP(U200,'G-3 Multipliers'!$L$3:$N$6,3,FALSE)))</f>
        <v/>
      </c>
      <c r="X200" s="171" t="str">
        <f>IFERROR(IF(OR(LEFT(O200,5)="Error",LEFT(N200,5)="Error",T200="Error"),"Check Data",IF(F200&lt;R200,INDEX('G-6 Hedgerow Data'!$S$3:$AE$14,MATCH(C200,'G-6 Hedgerow Data'!$B$3:$B$14,0),MATCH(M200,'G-6 Hedgerow Data'!$S$2:$AE$2,0)),INDEX('G-6 Hedgerow Data'!$K$3:$Q$14,MATCH(M200,'G-6 Hedgerow Data'!$B$3:$B$14,0),MATCH(O200,'G-6 Hedgerow Data'!$K$2:$Q$2,0)))),"")</f>
        <v/>
      </c>
      <c r="Y200" s="261"/>
      <c r="Z200" s="261"/>
      <c r="AA200" s="179" t="str">
        <f t="shared" si="19"/>
        <v/>
      </c>
      <c r="AB200" s="262" t="str">
        <f t="shared" si="20"/>
        <v/>
      </c>
      <c r="AC200" s="263" t="str">
        <f t="shared" si="17"/>
        <v/>
      </c>
      <c r="AD200" s="239" t="str">
        <f>IF(M200="","",VLOOKUP(M200,'G-6 Hedgerow Data'!$B$3:$AG$15,31,FALSE))</f>
        <v/>
      </c>
      <c r="AE200" s="175" t="str">
        <f t="shared" si="21"/>
        <v/>
      </c>
      <c r="AF200" s="175" t="str">
        <f t="shared" si="22"/>
        <v/>
      </c>
      <c r="AG200" s="176" t="str">
        <f>IFERROR(IF(O200="","",VLOOKUP(AD200,'G-3 Multipliers'!$P$3:$Q$6,2,FALSE)),"")</f>
        <v/>
      </c>
      <c r="AH200" s="266"/>
      <c r="AI200" s="172" t="str">
        <f>IF(AH200="","",IF(VLOOKUP(AH200,'G-3 Multipliers'!$S$3:$T$6,2,FALSE)=0,"Spatial Data Missing",VLOOKUP(AH200,'G-3 Multipliers'!$S$3:$T$6,2,FALSE)))</f>
        <v/>
      </c>
      <c r="AJ200" s="265" t="str">
        <f t="shared" si="23"/>
        <v/>
      </c>
      <c r="AK200" s="180"/>
      <c r="AL200" s="181"/>
      <c r="AP200" s="35" t="str">
        <f>IFERROR(INDEX('G-6 Hedgerow Data'!$BJ$3:$BJ$15,MATCH(M200,'G-6 Hedgerow Data'!$B$3:$B$15,0)),"")</f>
        <v/>
      </c>
    </row>
    <row r="201" spans="2:42" ht="13.8" x14ac:dyDescent="0.25">
      <c r="B201" s="259" t="str">
        <f>'E-1 Off Site Hedge Baseline'!AK199</f>
        <v/>
      </c>
      <c r="C201" s="175" t="str">
        <f>IF(B201="","",IF(ISNA(VLOOKUP($B201,'E-1 Off Site Hedge Baseline'!$B$1:$L$257,3,FALSE)),"",(VLOOKUP($B201,'E-1 Off Site Hedge Baseline'!$B$1:$L$257,3,FALSE))))</f>
        <v/>
      </c>
      <c r="D201" s="175" t="str">
        <f>IF(B201="","",IF(ISNA(VLOOKUP($B201,'E-1 Off Site Hedge Baseline'!$B$1:$L$258,4,FALSE)),"",(VLOOKUP($B201,'E-1 Off Site Hedge Baseline'!$B$1:$L$258,4,FALSE))))</f>
        <v/>
      </c>
      <c r="E201" s="175" t="str">
        <f>IF(B201="","",IF(ISNA(VLOOKUP($B201,'E-1 Off Site Hedge Baseline'!$B$1:$L$257,5,FALSE)),"",(VLOOKUP($B201,'E-1 Off Site Hedge Baseline'!$B$1:$L$257,5,FALSE))))</f>
        <v/>
      </c>
      <c r="F201" s="175" t="str">
        <f>IF(B201="","",IF(ISNA(VLOOKUP($B201,'E-1 Off Site Hedge Baseline'!$B$1:$L$257,6,FALSE)),"",(VLOOKUP($B201,'E-1 Off Site Hedge Baseline'!$B$1:$L$257,6,FALSE))))</f>
        <v/>
      </c>
      <c r="G201" s="175" t="str">
        <f>IF(B201="","",IF(ISNA(VLOOKUP($B201,'E-1 Off Site Hedge Baseline'!$B$1:$L$257,7,FALSE)),"",(VLOOKUP($B201,'E-1 Off Site Hedge Baseline'!$B$1:$L$257,7,FALSE))))</f>
        <v/>
      </c>
      <c r="H201" s="175" t="str">
        <f>IF(B201="","",IF(ISNA(VLOOKUP($B201,'E-1 Off Site Hedge Baseline'!$B$1:$L$257,8,FALSE)),"",(VLOOKUP($B201,'E-1 Off Site Hedge Baseline'!$B$1:$L$257,8,FALSE))))</f>
        <v/>
      </c>
      <c r="I201" s="175" t="str">
        <f>IF(B201="","",IF(ISNA(VLOOKUP($B201,'E-1 Off Site Hedge Baseline'!$B$1:$L$257,10,FALSE)),"",(VLOOKUP($B201,'E-1 Off Site Hedge Baseline'!$B$1:$L$257,10,FALSE))))</f>
        <v/>
      </c>
      <c r="J201" s="175" t="str">
        <f>IF(B201="","",IF(ISNA(VLOOKUP($B201,'E-1 Off Site Hedge Baseline'!$B$1:$L$257,11,FALSE)),"",(VLOOKUP($B201,'E-1 Off Site Hedge Baseline'!$B$1:$L$257,11,FALSE))))</f>
        <v/>
      </c>
      <c r="K201" s="175" t="str">
        <f>IF(B201="","",IF(ISNA(VLOOKUP($B201,'E-1 Off Site Hedge Baseline'!$B$1:$U$257,113,FALSE)),"",(VLOOKUP($B201,'E-1 Off Site Hedge Baseline'!$B$1:$U$257,13,FALSE))))</f>
        <v/>
      </c>
      <c r="L201" s="179" t="str">
        <f>IF(B201="","",IF(ISNA(VLOOKUP($B201,'E-1 Off Site Hedge Baseline'!$B$1:$U$257,12,FALSE)),"",(VLOOKUP($B201,'E-1 Off Site Hedge Baseline'!$B$1:$U$257,12,FALSE))))</f>
        <v/>
      </c>
      <c r="M201" s="639" t="str">
        <f t="shared" si="24"/>
        <v/>
      </c>
      <c r="N201" s="171" t="str">
        <f>IFERROR(IF(B201="","",INDEX('G-6 Hedgerow Data'!$AN$3:$AZ$15,MATCH(C201,'G-6 Hedgerow Data'!$AM$3:$AM$15,0),MATCH(M201,'G-6 Hedgerow Data'!$AN$2:$AZ$2,0))),"")</f>
        <v/>
      </c>
      <c r="O201" s="172" t="str">
        <f t="shared" si="18"/>
        <v/>
      </c>
      <c r="P201" s="260" t="str">
        <f>IF(B201="","",VLOOKUP(B201,'E-1 Off Site Hedge Baseline'!$B$10:T446,16,FALSE))</f>
        <v/>
      </c>
      <c r="Q201" s="171" t="str">
        <f>IF(M201="","",VLOOKUP(M201,'G-6 Hedgerow Data'!$B$2:$AG$15,2,FALSE))</f>
        <v/>
      </c>
      <c r="R201" s="172" t="str">
        <f>IF(M201="","",VLOOKUP(M201,'G-6 Hedgerow Data'!$B$2:$AG$15,3,FALSE))</f>
        <v/>
      </c>
      <c r="S201" s="173"/>
      <c r="T201" s="172" t="str">
        <f>IFERROR(IF(AND(Q201="V.Low",OR(S201="Good",S201="Moderate")),"Error",VLOOKUP(S201,'G-1 All Habitats'!$Z$2:$AA$9,2,FALSE)),"")</f>
        <v/>
      </c>
      <c r="U201" s="173"/>
      <c r="V201" s="179" t="str">
        <f>IF(U201="","",IF(VLOOKUP(U201,'G-3 Multipliers'!$L$3:$N$6,2,FALSE)=0,"Spatial Data Missing",VLOOKUP(U201,'G-3 Multipliers'!$L$3:$N$6,2,FALSE)))</f>
        <v/>
      </c>
      <c r="W201" s="260" t="str">
        <f>IF(U201="","",IF(VLOOKUP(U201,'G-3 Multipliers'!$L$3:$N$6,3,FALSE)=0,"Spatial Data Missing",VLOOKUP(U201,'G-3 Multipliers'!$L$3:$N$6,3,FALSE)))</f>
        <v/>
      </c>
      <c r="X201" s="171" t="str">
        <f>IFERROR(IF(OR(LEFT(O201,5)="Error",LEFT(N201,5)="Error",T201="Error"),"Check Data",IF(F201&lt;R201,INDEX('G-6 Hedgerow Data'!$S$3:$AE$14,MATCH(C201,'G-6 Hedgerow Data'!$B$3:$B$14,0),MATCH(M201,'G-6 Hedgerow Data'!$S$2:$AE$2,0)),INDEX('G-6 Hedgerow Data'!$K$3:$Q$14,MATCH(M201,'G-6 Hedgerow Data'!$B$3:$B$14,0),MATCH(O201,'G-6 Hedgerow Data'!$K$2:$Q$2,0)))),"")</f>
        <v/>
      </c>
      <c r="Y201" s="261"/>
      <c r="Z201" s="261"/>
      <c r="AA201" s="179" t="str">
        <f t="shared" si="19"/>
        <v/>
      </c>
      <c r="AB201" s="262" t="str">
        <f t="shared" si="20"/>
        <v/>
      </c>
      <c r="AC201" s="263" t="str">
        <f t="shared" si="17"/>
        <v/>
      </c>
      <c r="AD201" s="239" t="str">
        <f>IF(M201="","",VLOOKUP(M201,'G-6 Hedgerow Data'!$B$3:$AG$15,31,FALSE))</f>
        <v/>
      </c>
      <c r="AE201" s="175" t="str">
        <f t="shared" si="21"/>
        <v/>
      </c>
      <c r="AF201" s="175" t="str">
        <f t="shared" si="22"/>
        <v/>
      </c>
      <c r="AG201" s="176" t="str">
        <f>IFERROR(IF(O201="","",VLOOKUP(AD201,'G-3 Multipliers'!$P$3:$Q$6,2,FALSE)),"")</f>
        <v/>
      </c>
      <c r="AH201" s="266"/>
      <c r="AI201" s="172" t="str">
        <f>IF(AH201="","",IF(VLOOKUP(AH201,'G-3 Multipliers'!$S$3:$T$6,2,FALSE)=0,"Spatial Data Missing",VLOOKUP(AH201,'G-3 Multipliers'!$S$3:$T$6,2,FALSE)))</f>
        <v/>
      </c>
      <c r="AJ201" s="265" t="str">
        <f t="shared" si="23"/>
        <v/>
      </c>
      <c r="AK201" s="180"/>
      <c r="AL201" s="181"/>
      <c r="AP201" s="35" t="str">
        <f>IFERROR(INDEX('G-6 Hedgerow Data'!$BJ$3:$BJ$15,MATCH(M201,'G-6 Hedgerow Data'!$B$3:$B$15,0)),"")</f>
        <v/>
      </c>
    </row>
    <row r="202" spans="2:42" ht="13.8" x14ac:dyDescent="0.25">
      <c r="B202" s="259" t="str">
        <f>'E-1 Off Site Hedge Baseline'!AK200</f>
        <v/>
      </c>
      <c r="C202" s="175" t="str">
        <f>IF(B202="","",IF(ISNA(VLOOKUP($B202,'E-1 Off Site Hedge Baseline'!$B$1:$L$257,3,FALSE)),"",(VLOOKUP($B202,'E-1 Off Site Hedge Baseline'!$B$1:$L$257,3,FALSE))))</f>
        <v/>
      </c>
      <c r="D202" s="175" t="str">
        <f>IF(B202="","",IF(ISNA(VLOOKUP($B202,'E-1 Off Site Hedge Baseline'!$B$1:$L$258,4,FALSE)),"",(VLOOKUP($B202,'E-1 Off Site Hedge Baseline'!$B$1:$L$258,4,FALSE))))</f>
        <v/>
      </c>
      <c r="E202" s="175" t="str">
        <f>IF(B202="","",IF(ISNA(VLOOKUP($B202,'E-1 Off Site Hedge Baseline'!$B$1:$L$257,5,FALSE)),"",(VLOOKUP($B202,'E-1 Off Site Hedge Baseline'!$B$1:$L$257,5,FALSE))))</f>
        <v/>
      </c>
      <c r="F202" s="175" t="str">
        <f>IF(B202="","",IF(ISNA(VLOOKUP($B202,'E-1 Off Site Hedge Baseline'!$B$1:$L$257,6,FALSE)),"",(VLOOKUP($B202,'E-1 Off Site Hedge Baseline'!$B$1:$L$257,6,FALSE))))</f>
        <v/>
      </c>
      <c r="G202" s="175" t="str">
        <f>IF(B202="","",IF(ISNA(VLOOKUP($B202,'E-1 Off Site Hedge Baseline'!$B$1:$L$257,7,FALSE)),"",(VLOOKUP($B202,'E-1 Off Site Hedge Baseline'!$B$1:$L$257,7,FALSE))))</f>
        <v/>
      </c>
      <c r="H202" s="175" t="str">
        <f>IF(B202="","",IF(ISNA(VLOOKUP($B202,'E-1 Off Site Hedge Baseline'!$B$1:$L$257,8,FALSE)),"",(VLOOKUP($B202,'E-1 Off Site Hedge Baseline'!$B$1:$L$257,8,FALSE))))</f>
        <v/>
      </c>
      <c r="I202" s="175" t="str">
        <f>IF(B202="","",IF(ISNA(VLOOKUP($B202,'E-1 Off Site Hedge Baseline'!$B$1:$L$257,10,FALSE)),"",(VLOOKUP($B202,'E-1 Off Site Hedge Baseline'!$B$1:$L$257,10,FALSE))))</f>
        <v/>
      </c>
      <c r="J202" s="175" t="str">
        <f>IF(B202="","",IF(ISNA(VLOOKUP($B202,'E-1 Off Site Hedge Baseline'!$B$1:$L$257,11,FALSE)),"",(VLOOKUP($B202,'E-1 Off Site Hedge Baseline'!$B$1:$L$257,11,FALSE))))</f>
        <v/>
      </c>
      <c r="K202" s="175" t="str">
        <f>IF(B202="","",IF(ISNA(VLOOKUP($B202,'E-1 Off Site Hedge Baseline'!$B$1:$U$257,113,FALSE)),"",(VLOOKUP($B202,'E-1 Off Site Hedge Baseline'!$B$1:$U$257,13,FALSE))))</f>
        <v/>
      </c>
      <c r="L202" s="179" t="str">
        <f>IF(B202="","",IF(ISNA(VLOOKUP($B202,'E-1 Off Site Hedge Baseline'!$B$1:$U$257,12,FALSE)),"",(VLOOKUP($B202,'E-1 Off Site Hedge Baseline'!$B$1:$U$257,12,FALSE))))</f>
        <v/>
      </c>
      <c r="M202" s="639" t="str">
        <f t="shared" si="24"/>
        <v/>
      </c>
      <c r="N202" s="171" t="str">
        <f>IFERROR(IF(B202="","",INDEX('G-6 Hedgerow Data'!$AN$3:$AZ$15,MATCH(C202,'G-6 Hedgerow Data'!$AM$3:$AM$15,0),MATCH(M202,'G-6 Hedgerow Data'!$AN$2:$AZ$2,0))),"")</f>
        <v/>
      </c>
      <c r="O202" s="172" t="str">
        <f t="shared" si="18"/>
        <v/>
      </c>
      <c r="P202" s="260" t="str">
        <f>IF(B202="","",VLOOKUP(B202,'E-1 Off Site Hedge Baseline'!$B$10:T447,16,FALSE))</f>
        <v/>
      </c>
      <c r="Q202" s="171" t="str">
        <f>IF(M202="","",VLOOKUP(M202,'G-6 Hedgerow Data'!$B$2:$AG$15,2,FALSE))</f>
        <v/>
      </c>
      <c r="R202" s="172" t="str">
        <f>IF(M202="","",VLOOKUP(M202,'G-6 Hedgerow Data'!$B$2:$AG$15,3,FALSE))</f>
        <v/>
      </c>
      <c r="S202" s="173"/>
      <c r="T202" s="172" t="str">
        <f>IFERROR(IF(AND(Q202="V.Low",OR(S202="Good",S202="Moderate")),"Error",VLOOKUP(S202,'G-1 All Habitats'!$Z$2:$AA$9,2,FALSE)),"")</f>
        <v/>
      </c>
      <c r="U202" s="173"/>
      <c r="V202" s="179" t="str">
        <f>IF(U202="","",IF(VLOOKUP(U202,'G-3 Multipliers'!$L$3:$N$6,2,FALSE)=0,"Spatial Data Missing",VLOOKUP(U202,'G-3 Multipliers'!$L$3:$N$6,2,FALSE)))</f>
        <v/>
      </c>
      <c r="W202" s="260" t="str">
        <f>IF(U202="","",IF(VLOOKUP(U202,'G-3 Multipliers'!$L$3:$N$6,3,FALSE)=0,"Spatial Data Missing",VLOOKUP(U202,'G-3 Multipliers'!$L$3:$N$6,3,FALSE)))</f>
        <v/>
      </c>
      <c r="X202" s="171" t="str">
        <f>IFERROR(IF(OR(LEFT(O202,5)="Error",LEFT(N202,5)="Error",T202="Error"),"Check Data",IF(F202&lt;R202,INDEX('G-6 Hedgerow Data'!$S$3:$AE$14,MATCH(C202,'G-6 Hedgerow Data'!$B$3:$B$14,0),MATCH(M202,'G-6 Hedgerow Data'!$S$2:$AE$2,0)),INDEX('G-6 Hedgerow Data'!$K$3:$Q$14,MATCH(M202,'G-6 Hedgerow Data'!$B$3:$B$14,0),MATCH(O202,'G-6 Hedgerow Data'!$K$2:$Q$2,0)))),"")</f>
        <v/>
      </c>
      <c r="Y202" s="261"/>
      <c r="Z202" s="261"/>
      <c r="AA202" s="179" t="str">
        <f t="shared" si="19"/>
        <v/>
      </c>
      <c r="AB202" s="262" t="str">
        <f t="shared" si="20"/>
        <v/>
      </c>
      <c r="AC202" s="263" t="str">
        <f t="shared" si="17"/>
        <v/>
      </c>
      <c r="AD202" s="239" t="str">
        <f>IF(M202="","",VLOOKUP(M202,'G-6 Hedgerow Data'!$B$3:$AG$15,31,FALSE))</f>
        <v/>
      </c>
      <c r="AE202" s="175" t="str">
        <f t="shared" si="21"/>
        <v/>
      </c>
      <c r="AF202" s="175" t="str">
        <f t="shared" si="22"/>
        <v/>
      </c>
      <c r="AG202" s="176" t="str">
        <f>IFERROR(IF(O202="","",VLOOKUP(AD202,'G-3 Multipliers'!$P$3:$Q$6,2,FALSE)),"")</f>
        <v/>
      </c>
      <c r="AH202" s="266"/>
      <c r="AI202" s="172" t="str">
        <f>IF(AH202="","",IF(VLOOKUP(AH202,'G-3 Multipliers'!$S$3:$T$6,2,FALSE)=0,"Spatial Data Missing",VLOOKUP(AH202,'G-3 Multipliers'!$S$3:$T$6,2,FALSE)))</f>
        <v/>
      </c>
      <c r="AJ202" s="265" t="str">
        <f t="shared" si="23"/>
        <v/>
      </c>
      <c r="AK202" s="180"/>
      <c r="AL202" s="181"/>
      <c r="AP202" s="35" t="str">
        <f>IFERROR(INDEX('G-6 Hedgerow Data'!$BJ$3:$BJ$15,MATCH(M202,'G-6 Hedgerow Data'!$B$3:$B$15,0)),"")</f>
        <v/>
      </c>
    </row>
    <row r="203" spans="2:42" ht="13.8" x14ac:dyDescent="0.25">
      <c r="B203" s="259" t="str">
        <f>'E-1 Off Site Hedge Baseline'!AK201</f>
        <v/>
      </c>
      <c r="C203" s="175" t="str">
        <f>IF(B203="","",IF(ISNA(VLOOKUP($B203,'E-1 Off Site Hedge Baseline'!$B$1:$L$257,3,FALSE)),"",(VLOOKUP($B203,'E-1 Off Site Hedge Baseline'!$B$1:$L$257,3,FALSE))))</f>
        <v/>
      </c>
      <c r="D203" s="175" t="str">
        <f>IF(B203="","",IF(ISNA(VLOOKUP($B203,'E-1 Off Site Hedge Baseline'!$B$1:$L$258,4,FALSE)),"",(VLOOKUP($B203,'E-1 Off Site Hedge Baseline'!$B$1:$L$258,4,FALSE))))</f>
        <v/>
      </c>
      <c r="E203" s="175" t="str">
        <f>IF(B203="","",IF(ISNA(VLOOKUP($B203,'E-1 Off Site Hedge Baseline'!$B$1:$L$257,5,FALSE)),"",(VLOOKUP($B203,'E-1 Off Site Hedge Baseline'!$B$1:$L$257,5,FALSE))))</f>
        <v/>
      </c>
      <c r="F203" s="175" t="str">
        <f>IF(B203="","",IF(ISNA(VLOOKUP($B203,'E-1 Off Site Hedge Baseline'!$B$1:$L$257,6,FALSE)),"",(VLOOKUP($B203,'E-1 Off Site Hedge Baseline'!$B$1:$L$257,6,FALSE))))</f>
        <v/>
      </c>
      <c r="G203" s="175" t="str">
        <f>IF(B203="","",IF(ISNA(VLOOKUP($B203,'E-1 Off Site Hedge Baseline'!$B$1:$L$257,7,FALSE)),"",(VLOOKUP($B203,'E-1 Off Site Hedge Baseline'!$B$1:$L$257,7,FALSE))))</f>
        <v/>
      </c>
      <c r="H203" s="175" t="str">
        <f>IF(B203="","",IF(ISNA(VLOOKUP($B203,'E-1 Off Site Hedge Baseline'!$B$1:$L$257,8,FALSE)),"",(VLOOKUP($B203,'E-1 Off Site Hedge Baseline'!$B$1:$L$257,8,FALSE))))</f>
        <v/>
      </c>
      <c r="I203" s="175" t="str">
        <f>IF(B203="","",IF(ISNA(VLOOKUP($B203,'E-1 Off Site Hedge Baseline'!$B$1:$L$257,10,FALSE)),"",(VLOOKUP($B203,'E-1 Off Site Hedge Baseline'!$B$1:$L$257,10,FALSE))))</f>
        <v/>
      </c>
      <c r="J203" s="175" t="str">
        <f>IF(B203="","",IF(ISNA(VLOOKUP($B203,'E-1 Off Site Hedge Baseline'!$B$1:$L$257,11,FALSE)),"",(VLOOKUP($B203,'E-1 Off Site Hedge Baseline'!$B$1:$L$257,11,FALSE))))</f>
        <v/>
      </c>
      <c r="K203" s="175" t="str">
        <f>IF(B203="","",IF(ISNA(VLOOKUP($B203,'E-1 Off Site Hedge Baseline'!$B$1:$U$257,113,FALSE)),"",(VLOOKUP($B203,'E-1 Off Site Hedge Baseline'!$B$1:$U$257,13,FALSE))))</f>
        <v/>
      </c>
      <c r="L203" s="179" t="str">
        <f>IF(B203="","",IF(ISNA(VLOOKUP($B203,'E-1 Off Site Hedge Baseline'!$B$1:$U$257,12,FALSE)),"",(VLOOKUP($B203,'E-1 Off Site Hedge Baseline'!$B$1:$U$257,12,FALSE))))</f>
        <v/>
      </c>
      <c r="M203" s="639" t="str">
        <f t="shared" si="24"/>
        <v/>
      </c>
      <c r="N203" s="171" t="str">
        <f>IFERROR(IF(B203="","",INDEX('G-6 Hedgerow Data'!$AN$3:$AZ$15,MATCH(C203,'G-6 Hedgerow Data'!$AM$3:$AM$15,0),MATCH(M203,'G-6 Hedgerow Data'!$AN$2:$AZ$2,0))),"")</f>
        <v/>
      </c>
      <c r="O203" s="172" t="str">
        <f t="shared" si="18"/>
        <v/>
      </c>
      <c r="P203" s="260" t="str">
        <f>IF(B203="","",VLOOKUP(B203,'E-1 Off Site Hedge Baseline'!$B$10:T448,16,FALSE))</f>
        <v/>
      </c>
      <c r="Q203" s="171" t="str">
        <f>IF(M203="","",VLOOKUP(M203,'G-6 Hedgerow Data'!$B$2:$AG$15,2,FALSE))</f>
        <v/>
      </c>
      <c r="R203" s="172" t="str">
        <f>IF(M203="","",VLOOKUP(M203,'G-6 Hedgerow Data'!$B$2:$AG$15,3,FALSE))</f>
        <v/>
      </c>
      <c r="S203" s="173"/>
      <c r="T203" s="172" t="str">
        <f>IFERROR(IF(AND(Q203="V.Low",OR(S203="Good",S203="Moderate")),"Error",VLOOKUP(S203,'G-1 All Habitats'!$Z$2:$AA$9,2,FALSE)),"")</f>
        <v/>
      </c>
      <c r="U203" s="173"/>
      <c r="V203" s="179" t="str">
        <f>IF(U203="","",IF(VLOOKUP(U203,'G-3 Multipliers'!$L$3:$N$6,2,FALSE)=0,"Spatial Data Missing",VLOOKUP(U203,'G-3 Multipliers'!$L$3:$N$6,2,FALSE)))</f>
        <v/>
      </c>
      <c r="W203" s="260" t="str">
        <f>IF(U203="","",IF(VLOOKUP(U203,'G-3 Multipliers'!$L$3:$N$6,3,FALSE)=0,"Spatial Data Missing",VLOOKUP(U203,'G-3 Multipliers'!$L$3:$N$6,3,FALSE)))</f>
        <v/>
      </c>
      <c r="X203" s="171" t="str">
        <f>IFERROR(IF(OR(LEFT(O203,5)="Error",LEFT(N203,5)="Error",T203="Error"),"Check Data",IF(F203&lt;R203,INDEX('G-6 Hedgerow Data'!$S$3:$AE$14,MATCH(C203,'G-6 Hedgerow Data'!$B$3:$B$14,0),MATCH(M203,'G-6 Hedgerow Data'!$S$2:$AE$2,0)),INDEX('G-6 Hedgerow Data'!$K$3:$Q$14,MATCH(M203,'G-6 Hedgerow Data'!$B$3:$B$14,0),MATCH(O203,'G-6 Hedgerow Data'!$K$2:$Q$2,0)))),"")</f>
        <v/>
      </c>
      <c r="Y203" s="261"/>
      <c r="Z203" s="261"/>
      <c r="AA203" s="179" t="str">
        <f t="shared" si="19"/>
        <v/>
      </c>
      <c r="AB203" s="262" t="str">
        <f t="shared" si="20"/>
        <v/>
      </c>
      <c r="AC203" s="263" t="str">
        <f t="shared" si="17"/>
        <v/>
      </c>
      <c r="AD203" s="239" t="str">
        <f>IF(M203="","",VLOOKUP(M203,'G-6 Hedgerow Data'!$B$3:$AG$15,31,FALSE))</f>
        <v/>
      </c>
      <c r="AE203" s="175" t="str">
        <f t="shared" si="21"/>
        <v/>
      </c>
      <c r="AF203" s="175" t="str">
        <f t="shared" si="22"/>
        <v/>
      </c>
      <c r="AG203" s="176" t="str">
        <f>IFERROR(IF(O203="","",VLOOKUP(AD203,'G-3 Multipliers'!$P$3:$Q$6,2,FALSE)),"")</f>
        <v/>
      </c>
      <c r="AH203" s="266"/>
      <c r="AI203" s="172" t="str">
        <f>IF(AH203="","",IF(VLOOKUP(AH203,'G-3 Multipliers'!$S$3:$T$6,2,FALSE)=0,"Spatial Data Missing",VLOOKUP(AH203,'G-3 Multipliers'!$S$3:$T$6,2,FALSE)))</f>
        <v/>
      </c>
      <c r="AJ203" s="265" t="str">
        <f t="shared" si="23"/>
        <v/>
      </c>
      <c r="AK203" s="180"/>
      <c r="AL203" s="181"/>
      <c r="AP203" s="35" t="str">
        <f>IFERROR(INDEX('G-6 Hedgerow Data'!$BJ$3:$BJ$15,MATCH(M203,'G-6 Hedgerow Data'!$B$3:$B$15,0)),"")</f>
        <v/>
      </c>
    </row>
    <row r="204" spans="2:42" ht="13.8" x14ac:dyDescent="0.25">
      <c r="B204" s="259" t="str">
        <f>'E-1 Off Site Hedge Baseline'!AK202</f>
        <v/>
      </c>
      <c r="C204" s="175" t="str">
        <f>IF(B204="","",IF(ISNA(VLOOKUP($B204,'E-1 Off Site Hedge Baseline'!$B$1:$L$257,3,FALSE)),"",(VLOOKUP($B204,'E-1 Off Site Hedge Baseline'!$B$1:$L$257,3,FALSE))))</f>
        <v/>
      </c>
      <c r="D204" s="175" t="str">
        <f>IF(B204="","",IF(ISNA(VLOOKUP($B204,'E-1 Off Site Hedge Baseline'!$B$1:$L$258,4,FALSE)),"",(VLOOKUP($B204,'E-1 Off Site Hedge Baseline'!$B$1:$L$258,4,FALSE))))</f>
        <v/>
      </c>
      <c r="E204" s="175" t="str">
        <f>IF(B204="","",IF(ISNA(VLOOKUP($B204,'E-1 Off Site Hedge Baseline'!$B$1:$L$257,5,FALSE)),"",(VLOOKUP($B204,'E-1 Off Site Hedge Baseline'!$B$1:$L$257,5,FALSE))))</f>
        <v/>
      </c>
      <c r="F204" s="175" t="str">
        <f>IF(B204="","",IF(ISNA(VLOOKUP($B204,'E-1 Off Site Hedge Baseline'!$B$1:$L$257,6,FALSE)),"",(VLOOKUP($B204,'E-1 Off Site Hedge Baseline'!$B$1:$L$257,6,FALSE))))</f>
        <v/>
      </c>
      <c r="G204" s="175" t="str">
        <f>IF(B204="","",IF(ISNA(VLOOKUP($B204,'E-1 Off Site Hedge Baseline'!$B$1:$L$257,7,FALSE)),"",(VLOOKUP($B204,'E-1 Off Site Hedge Baseline'!$B$1:$L$257,7,FALSE))))</f>
        <v/>
      </c>
      <c r="H204" s="175" t="str">
        <f>IF(B204="","",IF(ISNA(VLOOKUP($B204,'E-1 Off Site Hedge Baseline'!$B$1:$L$257,8,FALSE)),"",(VLOOKUP($B204,'E-1 Off Site Hedge Baseline'!$B$1:$L$257,8,FALSE))))</f>
        <v/>
      </c>
      <c r="I204" s="175" t="str">
        <f>IF(B204="","",IF(ISNA(VLOOKUP($B204,'E-1 Off Site Hedge Baseline'!$B$1:$L$257,10,FALSE)),"",(VLOOKUP($B204,'E-1 Off Site Hedge Baseline'!$B$1:$L$257,10,FALSE))))</f>
        <v/>
      </c>
      <c r="J204" s="175" t="str">
        <f>IF(B204="","",IF(ISNA(VLOOKUP($B204,'E-1 Off Site Hedge Baseline'!$B$1:$L$257,11,FALSE)),"",(VLOOKUP($B204,'E-1 Off Site Hedge Baseline'!$B$1:$L$257,11,FALSE))))</f>
        <v/>
      </c>
      <c r="K204" s="175" t="str">
        <f>IF(B204="","",IF(ISNA(VLOOKUP($B204,'E-1 Off Site Hedge Baseline'!$B$1:$U$257,113,FALSE)),"",(VLOOKUP($B204,'E-1 Off Site Hedge Baseline'!$B$1:$U$257,13,FALSE))))</f>
        <v/>
      </c>
      <c r="L204" s="179" t="str">
        <f>IF(B204="","",IF(ISNA(VLOOKUP($B204,'E-1 Off Site Hedge Baseline'!$B$1:$U$257,12,FALSE)),"",(VLOOKUP($B204,'E-1 Off Site Hedge Baseline'!$B$1:$U$257,12,FALSE))))</f>
        <v/>
      </c>
      <c r="M204" s="639" t="str">
        <f t="shared" si="24"/>
        <v/>
      </c>
      <c r="N204" s="171" t="str">
        <f>IFERROR(IF(B204="","",INDEX('G-6 Hedgerow Data'!$AN$3:$AZ$15,MATCH(C204,'G-6 Hedgerow Data'!$AM$3:$AM$15,0),MATCH(M204,'G-6 Hedgerow Data'!$AN$2:$AZ$2,0))),"")</f>
        <v/>
      </c>
      <c r="O204" s="172" t="str">
        <f t="shared" si="18"/>
        <v/>
      </c>
      <c r="P204" s="260" t="str">
        <f>IF(B204="","",VLOOKUP(B204,'E-1 Off Site Hedge Baseline'!$B$10:T449,16,FALSE))</f>
        <v/>
      </c>
      <c r="Q204" s="171" t="str">
        <f>IF(M204="","",VLOOKUP(M204,'G-6 Hedgerow Data'!$B$2:$AG$15,2,FALSE))</f>
        <v/>
      </c>
      <c r="R204" s="172" t="str">
        <f>IF(M204="","",VLOOKUP(M204,'G-6 Hedgerow Data'!$B$2:$AG$15,3,FALSE))</f>
        <v/>
      </c>
      <c r="S204" s="173"/>
      <c r="T204" s="172" t="str">
        <f>IFERROR(IF(AND(Q204="V.Low",OR(S204="Good",S204="Moderate")),"Error",VLOOKUP(S204,'G-1 All Habitats'!$Z$2:$AA$9,2,FALSE)),"")</f>
        <v/>
      </c>
      <c r="U204" s="173"/>
      <c r="V204" s="179" t="str">
        <f>IF(U204="","",IF(VLOOKUP(U204,'G-3 Multipliers'!$L$3:$N$6,2,FALSE)=0,"Spatial Data Missing",VLOOKUP(U204,'G-3 Multipliers'!$L$3:$N$6,2,FALSE)))</f>
        <v/>
      </c>
      <c r="W204" s="260" t="str">
        <f>IF(U204="","",IF(VLOOKUP(U204,'G-3 Multipliers'!$L$3:$N$6,3,FALSE)=0,"Spatial Data Missing",VLOOKUP(U204,'G-3 Multipliers'!$L$3:$N$6,3,FALSE)))</f>
        <v/>
      </c>
      <c r="X204" s="171" t="str">
        <f>IFERROR(IF(OR(LEFT(O204,5)="Error",LEFT(N204,5)="Error",T204="Error"),"Check Data",IF(F204&lt;R204,INDEX('G-6 Hedgerow Data'!$S$3:$AE$14,MATCH(C204,'G-6 Hedgerow Data'!$B$3:$B$14,0),MATCH(M204,'G-6 Hedgerow Data'!$S$2:$AE$2,0)),INDEX('G-6 Hedgerow Data'!$K$3:$Q$14,MATCH(M204,'G-6 Hedgerow Data'!$B$3:$B$14,0),MATCH(O204,'G-6 Hedgerow Data'!$K$2:$Q$2,0)))),"")</f>
        <v/>
      </c>
      <c r="Y204" s="261"/>
      <c r="Z204" s="261"/>
      <c r="AA204" s="179" t="str">
        <f t="shared" si="19"/>
        <v/>
      </c>
      <c r="AB204" s="262" t="str">
        <f t="shared" si="20"/>
        <v/>
      </c>
      <c r="AC204" s="263" t="str">
        <f t="shared" ref="AC204:AC257" si="25">IF(OR(S204="",M204=""),"",IF(LEFT(AB204,5)="Error","Check Data",IF(AB204="Check Data","Check Data",VLOOKUP(AB204,TemporalMultipliers,3,FALSE))))</f>
        <v/>
      </c>
      <c r="AD204" s="239" t="str">
        <f>IF(M204="","",VLOOKUP(M204,'G-6 Hedgerow Data'!$B$3:$AG$15,31,FALSE))</f>
        <v/>
      </c>
      <c r="AE204" s="175" t="str">
        <f t="shared" si="21"/>
        <v/>
      </c>
      <c r="AF204" s="175" t="str">
        <f t="shared" si="22"/>
        <v/>
      </c>
      <c r="AG204" s="176" t="str">
        <f>IFERROR(IF(O204="","",VLOOKUP(AD204,'G-3 Multipliers'!$P$3:$Q$6,2,FALSE)),"")</f>
        <v/>
      </c>
      <c r="AH204" s="266"/>
      <c r="AI204" s="172" t="str">
        <f>IF(AH204="","",IF(VLOOKUP(AH204,'G-3 Multipliers'!$S$3:$T$6,2,FALSE)=0,"Spatial Data Missing",VLOOKUP(AH204,'G-3 Multipliers'!$S$3:$T$6,2,FALSE)))</f>
        <v/>
      </c>
      <c r="AJ204" s="265" t="str">
        <f t="shared" si="23"/>
        <v/>
      </c>
      <c r="AK204" s="180"/>
      <c r="AL204" s="181"/>
      <c r="AP204" s="35" t="str">
        <f>IFERROR(INDEX('G-6 Hedgerow Data'!$BJ$3:$BJ$15,MATCH(M204,'G-6 Hedgerow Data'!$B$3:$B$15,0)),"")</f>
        <v/>
      </c>
    </row>
    <row r="205" spans="2:42" ht="13.8" x14ac:dyDescent="0.25">
      <c r="B205" s="259" t="str">
        <f>'E-1 Off Site Hedge Baseline'!AK203</f>
        <v/>
      </c>
      <c r="C205" s="175" t="str">
        <f>IF(B205="","",IF(ISNA(VLOOKUP($B205,'E-1 Off Site Hedge Baseline'!$B$1:$L$257,3,FALSE)),"",(VLOOKUP($B205,'E-1 Off Site Hedge Baseline'!$B$1:$L$257,3,FALSE))))</f>
        <v/>
      </c>
      <c r="D205" s="175" t="str">
        <f>IF(B205="","",IF(ISNA(VLOOKUP($B205,'E-1 Off Site Hedge Baseline'!$B$1:$L$258,4,FALSE)),"",(VLOOKUP($B205,'E-1 Off Site Hedge Baseline'!$B$1:$L$258,4,FALSE))))</f>
        <v/>
      </c>
      <c r="E205" s="175" t="str">
        <f>IF(B205="","",IF(ISNA(VLOOKUP($B205,'E-1 Off Site Hedge Baseline'!$B$1:$L$257,5,FALSE)),"",(VLOOKUP($B205,'E-1 Off Site Hedge Baseline'!$B$1:$L$257,5,FALSE))))</f>
        <v/>
      </c>
      <c r="F205" s="175" t="str">
        <f>IF(B205="","",IF(ISNA(VLOOKUP($B205,'E-1 Off Site Hedge Baseline'!$B$1:$L$257,6,FALSE)),"",(VLOOKUP($B205,'E-1 Off Site Hedge Baseline'!$B$1:$L$257,6,FALSE))))</f>
        <v/>
      </c>
      <c r="G205" s="175" t="str">
        <f>IF(B205="","",IF(ISNA(VLOOKUP($B205,'E-1 Off Site Hedge Baseline'!$B$1:$L$257,7,FALSE)),"",(VLOOKUP($B205,'E-1 Off Site Hedge Baseline'!$B$1:$L$257,7,FALSE))))</f>
        <v/>
      </c>
      <c r="H205" s="175" t="str">
        <f>IF(B205="","",IF(ISNA(VLOOKUP($B205,'E-1 Off Site Hedge Baseline'!$B$1:$L$257,8,FALSE)),"",(VLOOKUP($B205,'E-1 Off Site Hedge Baseline'!$B$1:$L$257,8,FALSE))))</f>
        <v/>
      </c>
      <c r="I205" s="175" t="str">
        <f>IF(B205="","",IF(ISNA(VLOOKUP($B205,'E-1 Off Site Hedge Baseline'!$B$1:$L$257,10,FALSE)),"",(VLOOKUP($B205,'E-1 Off Site Hedge Baseline'!$B$1:$L$257,10,FALSE))))</f>
        <v/>
      </c>
      <c r="J205" s="175" t="str">
        <f>IF(B205="","",IF(ISNA(VLOOKUP($B205,'E-1 Off Site Hedge Baseline'!$B$1:$L$257,11,FALSE)),"",(VLOOKUP($B205,'E-1 Off Site Hedge Baseline'!$B$1:$L$257,11,FALSE))))</f>
        <v/>
      </c>
      <c r="K205" s="175" t="str">
        <f>IF(B205="","",IF(ISNA(VLOOKUP($B205,'E-1 Off Site Hedge Baseline'!$B$1:$U$257,113,FALSE)),"",(VLOOKUP($B205,'E-1 Off Site Hedge Baseline'!$B$1:$U$257,13,FALSE))))</f>
        <v/>
      </c>
      <c r="L205" s="179" t="str">
        <f>IF(B205="","",IF(ISNA(VLOOKUP($B205,'E-1 Off Site Hedge Baseline'!$B$1:$U$257,12,FALSE)),"",(VLOOKUP($B205,'E-1 Off Site Hedge Baseline'!$B$1:$U$257,12,FALSE))))</f>
        <v/>
      </c>
      <c r="M205" s="639" t="str">
        <f t="shared" si="24"/>
        <v/>
      </c>
      <c r="N205" s="171" t="str">
        <f>IFERROR(IF(B205="","",INDEX('G-6 Hedgerow Data'!$AN$3:$AZ$15,MATCH(C205,'G-6 Hedgerow Data'!$AM$3:$AM$15,0),MATCH(M205,'G-6 Hedgerow Data'!$AN$2:$AZ$2,0))),"")</f>
        <v/>
      </c>
      <c r="O205" s="172" t="str">
        <f t="shared" ref="O205:O257" si="26">IFERROR(IF(B205="","",IF(AND(LEFT(C205,55)&lt;&gt;LEFT(M205,55),N205="High - High"),"Error - Not like for like",IF(AND(LEFT(C205,55)&lt;&gt;LEFT(M205,55),N205="Medium - Medium"),"Error - Not like for like",IF(H205&gt;T205,"Error - Can not reduce condition",IF(AND(F205=R205,H205=T205),"Error - No enhancement",IF(AND(C205&lt;&gt;M205,F205&lt;R205),"Lower Distinctiveness Habitat"&amp;" - "&amp;S205,G205&amp;" - "&amp;S205)))))),"")</f>
        <v/>
      </c>
      <c r="P205" s="260" t="str">
        <f>IF(B205="","",VLOOKUP(B205,'E-1 Off Site Hedge Baseline'!$B$10:T450,16,FALSE))</f>
        <v/>
      </c>
      <c r="Q205" s="171" t="str">
        <f>IF(M205="","",VLOOKUP(M205,'G-6 Hedgerow Data'!$B$2:$AG$15,2,FALSE))</f>
        <v/>
      </c>
      <c r="R205" s="172" t="str">
        <f>IF(M205="","",VLOOKUP(M205,'G-6 Hedgerow Data'!$B$2:$AG$15,3,FALSE))</f>
        <v/>
      </c>
      <c r="S205" s="173"/>
      <c r="T205" s="172" t="str">
        <f>IFERROR(IF(AND(Q205="V.Low",OR(S205="Good",S205="Moderate")),"Error",VLOOKUP(S205,'G-1 All Habitats'!$Z$2:$AA$9,2,FALSE)),"")</f>
        <v/>
      </c>
      <c r="U205" s="173"/>
      <c r="V205" s="179" t="str">
        <f>IF(U205="","",IF(VLOOKUP(U205,'G-3 Multipliers'!$L$3:$N$6,2,FALSE)=0,"Spatial Data Missing",VLOOKUP(U205,'G-3 Multipliers'!$L$3:$N$6,2,FALSE)))</f>
        <v/>
      </c>
      <c r="W205" s="260" t="str">
        <f>IF(U205="","",IF(VLOOKUP(U205,'G-3 Multipliers'!$L$3:$N$6,3,FALSE)=0,"Spatial Data Missing",VLOOKUP(U205,'G-3 Multipliers'!$L$3:$N$6,3,FALSE)))</f>
        <v/>
      </c>
      <c r="X205" s="171" t="str">
        <f>IFERROR(IF(OR(LEFT(O205,5)="Error",LEFT(N205,5)="Error",T205="Error"),"Check Data",IF(F205&lt;R205,INDEX('G-6 Hedgerow Data'!$S$3:$AE$14,MATCH(C205,'G-6 Hedgerow Data'!$B$3:$B$14,0),MATCH(M205,'G-6 Hedgerow Data'!$S$2:$AE$2,0)),INDEX('G-6 Hedgerow Data'!$K$3:$Q$14,MATCH(M205,'G-6 Hedgerow Data'!$B$3:$B$14,0),MATCH(O205,'G-6 Hedgerow Data'!$K$2:$Q$2,0)))),"")</f>
        <v/>
      </c>
      <c r="Y205" s="261"/>
      <c r="Z205" s="261"/>
      <c r="AA205" s="179" t="str">
        <f t="shared" ref="AA205:AA257" si="27">IF(X205="Check Data","Check Data",IF(M205="","",IF(AND(Y205&gt;0,Z205&gt;0),"Error -both advance and delayed habitat creation",IF(AND(OR(Y205="Habitat already in target condition",X205&lt;=Y205),Z205=0),"Check details - Is there evidence that habitat has reached target condition?",IF(X205="","",IF(Y205&gt;0,"Check details - Is there evidence habitat creation started/in place?",IF(Z205&gt;0,"Check details- Delay in starting habitat in required condition?","Standard time to target condition applied")))))))</f>
        <v/>
      </c>
      <c r="AB205" s="262" t="str">
        <f t="shared" ref="AB205:AB257" si="28">IF(X205="","",IF(AA205="Check Data","Check Data",IF(Y205="30+",0,IF(Z205="30+","30+",IF(X205+Z205&gt;30,"30+",IF(LEFT(AA205,5)="Error","Check Data",IF(X205+Z205-Y205&gt;0,X205+Z205-Y205,IF(X205-Y205&lt;=0,0,))))))))</f>
        <v/>
      </c>
      <c r="AC205" s="263" t="str">
        <f t="shared" si="25"/>
        <v/>
      </c>
      <c r="AD205" s="239" t="str">
        <f>IF(M205="","",VLOOKUP(M205,'G-6 Hedgerow Data'!$B$3:$AG$15,31,FALSE))</f>
        <v/>
      </c>
      <c r="AE205" s="175" t="str">
        <f t="shared" ref="AE205:AE257" si="29">IF(M205="","",IF(OR(LEFT(AA205,5)="Error",AA205="Check Data"),"Check Data",IF(X205="","",IF($AA205="Check details - Is there evidence that habitat has reached target condition?","Low Difficulty - only applicable if all habitat created before losses","Standard difficulty applied"))))</f>
        <v/>
      </c>
      <c r="AF205" s="175" t="str">
        <f t="shared" ref="AF205:AF257" si="30">(IF(AND(AE205="Yes",X205&gt;Y205),AD205,IF(AND(AE205="Low Difficulty - only applicable if all habitat created before losses",Y205&gt;=X205),"Low",AD205)))</f>
        <v/>
      </c>
      <c r="AG205" s="176" t="str">
        <f>IFERROR(IF(O205="","",VLOOKUP(AD205,'G-3 Multipliers'!$P$3:$Q$6,2,FALSE)),"")</f>
        <v/>
      </c>
      <c r="AH205" s="266"/>
      <c r="AI205" s="172" t="str">
        <f>IF(AH205="","",IF(VLOOKUP(AH205,'G-3 Multipliers'!$S$3:$T$6,2,FALSE)=0,"Spatial Data Missing",VLOOKUP(AH205,'G-3 Multipliers'!$S$3:$T$6,2,FALSE)))</f>
        <v/>
      </c>
      <c r="AJ205" s="265" t="str">
        <f t="shared" ref="AJ205:AJ257" si="31">IFERROR(IF(OR(M205="",S205="",U205="",AH205=""),"",(((((P205*R205*T205)-(P205*F205*H205))*(AG205*AC205))+(P205*F205*H205))*(W205)*AI205)),"")</f>
        <v/>
      </c>
      <c r="AK205" s="180"/>
      <c r="AL205" s="181"/>
      <c r="AP205" s="35" t="str">
        <f>IFERROR(INDEX('G-6 Hedgerow Data'!$BJ$3:$BJ$15,MATCH(M205,'G-6 Hedgerow Data'!$B$3:$B$15,0)),"")</f>
        <v/>
      </c>
    </row>
    <row r="206" spans="2:42" ht="13.8" x14ac:dyDescent="0.25">
      <c r="B206" s="259" t="str">
        <f>'E-1 Off Site Hedge Baseline'!AK204</f>
        <v/>
      </c>
      <c r="C206" s="175" t="str">
        <f>IF(B206="","",IF(ISNA(VLOOKUP($B206,'E-1 Off Site Hedge Baseline'!$B$1:$L$257,3,FALSE)),"",(VLOOKUP($B206,'E-1 Off Site Hedge Baseline'!$B$1:$L$257,3,FALSE))))</f>
        <v/>
      </c>
      <c r="D206" s="175" t="str">
        <f>IF(B206="","",IF(ISNA(VLOOKUP($B206,'E-1 Off Site Hedge Baseline'!$B$1:$L$258,4,FALSE)),"",(VLOOKUP($B206,'E-1 Off Site Hedge Baseline'!$B$1:$L$258,4,FALSE))))</f>
        <v/>
      </c>
      <c r="E206" s="175" t="str">
        <f>IF(B206="","",IF(ISNA(VLOOKUP($B206,'E-1 Off Site Hedge Baseline'!$B$1:$L$257,5,FALSE)),"",(VLOOKUP($B206,'E-1 Off Site Hedge Baseline'!$B$1:$L$257,5,FALSE))))</f>
        <v/>
      </c>
      <c r="F206" s="175" t="str">
        <f>IF(B206="","",IF(ISNA(VLOOKUP($B206,'E-1 Off Site Hedge Baseline'!$B$1:$L$257,6,FALSE)),"",(VLOOKUP($B206,'E-1 Off Site Hedge Baseline'!$B$1:$L$257,6,FALSE))))</f>
        <v/>
      </c>
      <c r="G206" s="175" t="str">
        <f>IF(B206="","",IF(ISNA(VLOOKUP($B206,'E-1 Off Site Hedge Baseline'!$B$1:$L$257,7,FALSE)),"",(VLOOKUP($B206,'E-1 Off Site Hedge Baseline'!$B$1:$L$257,7,FALSE))))</f>
        <v/>
      </c>
      <c r="H206" s="175" t="str">
        <f>IF(B206="","",IF(ISNA(VLOOKUP($B206,'E-1 Off Site Hedge Baseline'!$B$1:$L$257,8,FALSE)),"",(VLOOKUP($B206,'E-1 Off Site Hedge Baseline'!$B$1:$L$257,8,FALSE))))</f>
        <v/>
      </c>
      <c r="I206" s="175" t="str">
        <f>IF(B206="","",IF(ISNA(VLOOKUP($B206,'E-1 Off Site Hedge Baseline'!$B$1:$L$257,10,FALSE)),"",(VLOOKUP($B206,'E-1 Off Site Hedge Baseline'!$B$1:$L$257,10,FALSE))))</f>
        <v/>
      </c>
      <c r="J206" s="175" t="str">
        <f>IF(B206="","",IF(ISNA(VLOOKUP($B206,'E-1 Off Site Hedge Baseline'!$B$1:$L$257,11,FALSE)),"",(VLOOKUP($B206,'E-1 Off Site Hedge Baseline'!$B$1:$L$257,11,FALSE))))</f>
        <v/>
      </c>
      <c r="K206" s="175" t="str">
        <f>IF(B206="","",IF(ISNA(VLOOKUP($B206,'E-1 Off Site Hedge Baseline'!$B$1:$U$257,113,FALSE)),"",(VLOOKUP($B206,'E-1 Off Site Hedge Baseline'!$B$1:$U$257,13,FALSE))))</f>
        <v/>
      </c>
      <c r="L206" s="179" t="str">
        <f>IF(B206="","",IF(ISNA(VLOOKUP($B206,'E-1 Off Site Hedge Baseline'!$B$1:$U$257,12,FALSE)),"",(VLOOKUP($B206,'E-1 Off Site Hedge Baseline'!$B$1:$U$257,12,FALSE))))</f>
        <v/>
      </c>
      <c r="M206" s="639" t="str">
        <f t="shared" ref="M206:M257" si="32">C206</f>
        <v/>
      </c>
      <c r="N206" s="171" t="str">
        <f>IFERROR(IF(B206="","",INDEX('G-6 Hedgerow Data'!$AN$3:$AZ$15,MATCH(C206,'G-6 Hedgerow Data'!$AM$3:$AM$15,0),MATCH(M206,'G-6 Hedgerow Data'!$AN$2:$AZ$2,0))),"")</f>
        <v/>
      </c>
      <c r="O206" s="172" t="str">
        <f t="shared" si="26"/>
        <v/>
      </c>
      <c r="P206" s="260" t="str">
        <f>IF(B206="","",VLOOKUP(B206,'E-1 Off Site Hedge Baseline'!$B$10:T451,16,FALSE))</f>
        <v/>
      </c>
      <c r="Q206" s="171" t="str">
        <f>IF(M206="","",VLOOKUP(M206,'G-6 Hedgerow Data'!$B$2:$AG$15,2,FALSE))</f>
        <v/>
      </c>
      <c r="R206" s="172" t="str">
        <f>IF(M206="","",VLOOKUP(M206,'G-6 Hedgerow Data'!$B$2:$AG$15,3,FALSE))</f>
        <v/>
      </c>
      <c r="S206" s="173"/>
      <c r="T206" s="172" t="str">
        <f>IFERROR(IF(AND(Q206="V.Low",OR(S206="Good",S206="Moderate")),"Error",VLOOKUP(S206,'G-1 All Habitats'!$Z$2:$AA$9,2,FALSE)),"")</f>
        <v/>
      </c>
      <c r="U206" s="173"/>
      <c r="V206" s="179" t="str">
        <f>IF(U206="","",IF(VLOOKUP(U206,'G-3 Multipliers'!$L$3:$N$6,2,FALSE)=0,"Spatial Data Missing",VLOOKUP(U206,'G-3 Multipliers'!$L$3:$N$6,2,FALSE)))</f>
        <v/>
      </c>
      <c r="W206" s="260" t="str">
        <f>IF(U206="","",IF(VLOOKUP(U206,'G-3 Multipliers'!$L$3:$N$6,3,FALSE)=0,"Spatial Data Missing",VLOOKUP(U206,'G-3 Multipliers'!$L$3:$N$6,3,FALSE)))</f>
        <v/>
      </c>
      <c r="X206" s="171" t="str">
        <f>IFERROR(IF(OR(LEFT(O206,5)="Error",LEFT(N206,5)="Error",T206="Error"),"Check Data",IF(F206&lt;R206,INDEX('G-6 Hedgerow Data'!$S$3:$AE$14,MATCH(C206,'G-6 Hedgerow Data'!$B$3:$B$14,0),MATCH(M206,'G-6 Hedgerow Data'!$S$2:$AE$2,0)),INDEX('G-6 Hedgerow Data'!$K$3:$Q$14,MATCH(M206,'G-6 Hedgerow Data'!$B$3:$B$14,0),MATCH(O206,'G-6 Hedgerow Data'!$K$2:$Q$2,0)))),"")</f>
        <v/>
      </c>
      <c r="Y206" s="261"/>
      <c r="Z206" s="261"/>
      <c r="AA206" s="179" t="str">
        <f t="shared" si="27"/>
        <v/>
      </c>
      <c r="AB206" s="262" t="str">
        <f t="shared" si="28"/>
        <v/>
      </c>
      <c r="AC206" s="263" t="str">
        <f t="shared" si="25"/>
        <v/>
      </c>
      <c r="AD206" s="239" t="str">
        <f>IF(M206="","",VLOOKUP(M206,'G-6 Hedgerow Data'!$B$3:$AG$15,31,FALSE))</f>
        <v/>
      </c>
      <c r="AE206" s="175" t="str">
        <f t="shared" si="29"/>
        <v/>
      </c>
      <c r="AF206" s="175" t="str">
        <f t="shared" si="30"/>
        <v/>
      </c>
      <c r="AG206" s="176" t="str">
        <f>IFERROR(IF(O206="","",VLOOKUP(AD206,'G-3 Multipliers'!$P$3:$Q$6,2,FALSE)),"")</f>
        <v/>
      </c>
      <c r="AH206" s="266"/>
      <c r="AI206" s="172" t="str">
        <f>IF(AH206="","",IF(VLOOKUP(AH206,'G-3 Multipliers'!$S$3:$T$6,2,FALSE)=0,"Spatial Data Missing",VLOOKUP(AH206,'G-3 Multipliers'!$S$3:$T$6,2,FALSE)))</f>
        <v/>
      </c>
      <c r="AJ206" s="265" t="str">
        <f t="shared" si="31"/>
        <v/>
      </c>
      <c r="AK206" s="180"/>
      <c r="AL206" s="181"/>
      <c r="AP206" s="35" t="str">
        <f>IFERROR(INDEX('G-6 Hedgerow Data'!$BJ$3:$BJ$15,MATCH(M206,'G-6 Hedgerow Data'!$B$3:$B$15,0)),"")</f>
        <v/>
      </c>
    </row>
    <row r="207" spans="2:42" ht="13.8" x14ac:dyDescent="0.25">
      <c r="B207" s="259" t="str">
        <f>'E-1 Off Site Hedge Baseline'!AK205</f>
        <v/>
      </c>
      <c r="C207" s="175" t="str">
        <f>IF(B207="","",IF(ISNA(VLOOKUP($B207,'E-1 Off Site Hedge Baseline'!$B$1:$L$257,3,FALSE)),"",(VLOOKUP($B207,'E-1 Off Site Hedge Baseline'!$B$1:$L$257,3,FALSE))))</f>
        <v/>
      </c>
      <c r="D207" s="175" t="str">
        <f>IF(B207="","",IF(ISNA(VLOOKUP($B207,'E-1 Off Site Hedge Baseline'!$B$1:$L$258,4,FALSE)),"",(VLOOKUP($B207,'E-1 Off Site Hedge Baseline'!$B$1:$L$258,4,FALSE))))</f>
        <v/>
      </c>
      <c r="E207" s="175" t="str">
        <f>IF(B207="","",IF(ISNA(VLOOKUP($B207,'E-1 Off Site Hedge Baseline'!$B$1:$L$257,5,FALSE)),"",(VLOOKUP($B207,'E-1 Off Site Hedge Baseline'!$B$1:$L$257,5,FALSE))))</f>
        <v/>
      </c>
      <c r="F207" s="175" t="str">
        <f>IF(B207="","",IF(ISNA(VLOOKUP($B207,'E-1 Off Site Hedge Baseline'!$B$1:$L$257,6,FALSE)),"",(VLOOKUP($B207,'E-1 Off Site Hedge Baseline'!$B$1:$L$257,6,FALSE))))</f>
        <v/>
      </c>
      <c r="G207" s="175" t="str">
        <f>IF(B207="","",IF(ISNA(VLOOKUP($B207,'E-1 Off Site Hedge Baseline'!$B$1:$L$257,7,FALSE)),"",(VLOOKUP($B207,'E-1 Off Site Hedge Baseline'!$B$1:$L$257,7,FALSE))))</f>
        <v/>
      </c>
      <c r="H207" s="175" t="str">
        <f>IF(B207="","",IF(ISNA(VLOOKUP($B207,'E-1 Off Site Hedge Baseline'!$B$1:$L$257,8,FALSE)),"",(VLOOKUP($B207,'E-1 Off Site Hedge Baseline'!$B$1:$L$257,8,FALSE))))</f>
        <v/>
      </c>
      <c r="I207" s="175" t="str">
        <f>IF(B207="","",IF(ISNA(VLOOKUP($B207,'E-1 Off Site Hedge Baseline'!$B$1:$L$257,10,FALSE)),"",(VLOOKUP($B207,'E-1 Off Site Hedge Baseline'!$B$1:$L$257,10,FALSE))))</f>
        <v/>
      </c>
      <c r="J207" s="175" t="str">
        <f>IF(B207="","",IF(ISNA(VLOOKUP($B207,'E-1 Off Site Hedge Baseline'!$B$1:$L$257,11,FALSE)),"",(VLOOKUP($B207,'E-1 Off Site Hedge Baseline'!$B$1:$L$257,11,FALSE))))</f>
        <v/>
      </c>
      <c r="K207" s="175" t="str">
        <f>IF(B207="","",IF(ISNA(VLOOKUP($B207,'E-1 Off Site Hedge Baseline'!$B$1:$U$257,113,FALSE)),"",(VLOOKUP($B207,'E-1 Off Site Hedge Baseline'!$B$1:$U$257,13,FALSE))))</f>
        <v/>
      </c>
      <c r="L207" s="179" t="str">
        <f>IF(B207="","",IF(ISNA(VLOOKUP($B207,'E-1 Off Site Hedge Baseline'!$B$1:$U$257,12,FALSE)),"",(VLOOKUP($B207,'E-1 Off Site Hedge Baseline'!$B$1:$U$257,12,FALSE))))</f>
        <v/>
      </c>
      <c r="M207" s="639" t="str">
        <f t="shared" si="32"/>
        <v/>
      </c>
      <c r="N207" s="171" t="str">
        <f>IFERROR(IF(B207="","",INDEX('G-6 Hedgerow Data'!$AN$3:$AZ$15,MATCH(C207,'G-6 Hedgerow Data'!$AM$3:$AM$15,0),MATCH(M207,'G-6 Hedgerow Data'!$AN$2:$AZ$2,0))),"")</f>
        <v/>
      </c>
      <c r="O207" s="172" t="str">
        <f t="shared" si="26"/>
        <v/>
      </c>
      <c r="P207" s="260" t="str">
        <f>IF(B207="","",VLOOKUP(B207,'E-1 Off Site Hedge Baseline'!$B$10:T452,16,FALSE))</f>
        <v/>
      </c>
      <c r="Q207" s="171" t="str">
        <f>IF(M207="","",VLOOKUP(M207,'G-6 Hedgerow Data'!$B$2:$AG$15,2,FALSE))</f>
        <v/>
      </c>
      <c r="R207" s="172" t="str">
        <f>IF(M207="","",VLOOKUP(M207,'G-6 Hedgerow Data'!$B$2:$AG$15,3,FALSE))</f>
        <v/>
      </c>
      <c r="S207" s="173"/>
      <c r="T207" s="172" t="str">
        <f>IFERROR(IF(AND(Q207="V.Low",OR(S207="Good",S207="Moderate")),"Error",VLOOKUP(S207,'G-1 All Habitats'!$Z$2:$AA$9,2,FALSE)),"")</f>
        <v/>
      </c>
      <c r="U207" s="173"/>
      <c r="V207" s="179" t="str">
        <f>IF(U207="","",IF(VLOOKUP(U207,'G-3 Multipliers'!$L$3:$N$6,2,FALSE)=0,"Spatial Data Missing",VLOOKUP(U207,'G-3 Multipliers'!$L$3:$N$6,2,FALSE)))</f>
        <v/>
      </c>
      <c r="W207" s="260" t="str">
        <f>IF(U207="","",IF(VLOOKUP(U207,'G-3 Multipliers'!$L$3:$N$6,3,FALSE)=0,"Spatial Data Missing",VLOOKUP(U207,'G-3 Multipliers'!$L$3:$N$6,3,FALSE)))</f>
        <v/>
      </c>
      <c r="X207" s="171" t="str">
        <f>IFERROR(IF(OR(LEFT(O207,5)="Error",LEFT(N207,5)="Error",T207="Error"),"Check Data",IF(F207&lt;R207,INDEX('G-6 Hedgerow Data'!$S$3:$AE$14,MATCH(C207,'G-6 Hedgerow Data'!$B$3:$B$14,0),MATCH(M207,'G-6 Hedgerow Data'!$S$2:$AE$2,0)),INDEX('G-6 Hedgerow Data'!$K$3:$Q$14,MATCH(M207,'G-6 Hedgerow Data'!$B$3:$B$14,0),MATCH(O207,'G-6 Hedgerow Data'!$K$2:$Q$2,0)))),"")</f>
        <v/>
      </c>
      <c r="Y207" s="261"/>
      <c r="Z207" s="261"/>
      <c r="AA207" s="179" t="str">
        <f t="shared" si="27"/>
        <v/>
      </c>
      <c r="AB207" s="262" t="str">
        <f t="shared" si="28"/>
        <v/>
      </c>
      <c r="AC207" s="263" t="str">
        <f t="shared" si="25"/>
        <v/>
      </c>
      <c r="AD207" s="239" t="str">
        <f>IF(M207="","",VLOOKUP(M207,'G-6 Hedgerow Data'!$B$3:$AG$15,31,FALSE))</f>
        <v/>
      </c>
      <c r="AE207" s="175" t="str">
        <f t="shared" si="29"/>
        <v/>
      </c>
      <c r="AF207" s="175" t="str">
        <f t="shared" si="30"/>
        <v/>
      </c>
      <c r="AG207" s="176" t="str">
        <f>IFERROR(IF(O207="","",VLOOKUP(AD207,'G-3 Multipliers'!$P$3:$Q$6,2,FALSE)),"")</f>
        <v/>
      </c>
      <c r="AH207" s="266"/>
      <c r="AI207" s="172" t="str">
        <f>IF(AH207="","",IF(VLOOKUP(AH207,'G-3 Multipliers'!$S$3:$T$6,2,FALSE)=0,"Spatial Data Missing",VLOOKUP(AH207,'G-3 Multipliers'!$S$3:$T$6,2,FALSE)))</f>
        <v/>
      </c>
      <c r="AJ207" s="265" t="str">
        <f t="shared" si="31"/>
        <v/>
      </c>
      <c r="AK207" s="180"/>
      <c r="AL207" s="181"/>
      <c r="AP207" s="35" t="str">
        <f>IFERROR(INDEX('G-6 Hedgerow Data'!$BJ$3:$BJ$15,MATCH(M207,'G-6 Hedgerow Data'!$B$3:$B$15,0)),"")</f>
        <v/>
      </c>
    </row>
    <row r="208" spans="2:42" ht="13.8" x14ac:dyDescent="0.25">
      <c r="B208" s="259" t="str">
        <f>'E-1 Off Site Hedge Baseline'!AK206</f>
        <v/>
      </c>
      <c r="C208" s="175" t="str">
        <f>IF(B208="","",IF(ISNA(VLOOKUP($B208,'E-1 Off Site Hedge Baseline'!$B$1:$L$257,3,FALSE)),"",(VLOOKUP($B208,'E-1 Off Site Hedge Baseline'!$B$1:$L$257,3,FALSE))))</f>
        <v/>
      </c>
      <c r="D208" s="175" t="str">
        <f>IF(B208="","",IF(ISNA(VLOOKUP($B208,'E-1 Off Site Hedge Baseline'!$B$1:$L$258,4,FALSE)),"",(VLOOKUP($B208,'E-1 Off Site Hedge Baseline'!$B$1:$L$258,4,FALSE))))</f>
        <v/>
      </c>
      <c r="E208" s="175" t="str">
        <f>IF(B208="","",IF(ISNA(VLOOKUP($B208,'E-1 Off Site Hedge Baseline'!$B$1:$L$257,5,FALSE)),"",(VLOOKUP($B208,'E-1 Off Site Hedge Baseline'!$B$1:$L$257,5,FALSE))))</f>
        <v/>
      </c>
      <c r="F208" s="175" t="str">
        <f>IF(B208="","",IF(ISNA(VLOOKUP($B208,'E-1 Off Site Hedge Baseline'!$B$1:$L$257,6,FALSE)),"",(VLOOKUP($B208,'E-1 Off Site Hedge Baseline'!$B$1:$L$257,6,FALSE))))</f>
        <v/>
      </c>
      <c r="G208" s="175" t="str">
        <f>IF(B208="","",IF(ISNA(VLOOKUP($B208,'E-1 Off Site Hedge Baseline'!$B$1:$L$257,7,FALSE)),"",(VLOOKUP($B208,'E-1 Off Site Hedge Baseline'!$B$1:$L$257,7,FALSE))))</f>
        <v/>
      </c>
      <c r="H208" s="175" t="str">
        <f>IF(B208="","",IF(ISNA(VLOOKUP($B208,'E-1 Off Site Hedge Baseline'!$B$1:$L$257,8,FALSE)),"",(VLOOKUP($B208,'E-1 Off Site Hedge Baseline'!$B$1:$L$257,8,FALSE))))</f>
        <v/>
      </c>
      <c r="I208" s="175" t="str">
        <f>IF(B208="","",IF(ISNA(VLOOKUP($B208,'E-1 Off Site Hedge Baseline'!$B$1:$L$257,10,FALSE)),"",(VLOOKUP($B208,'E-1 Off Site Hedge Baseline'!$B$1:$L$257,10,FALSE))))</f>
        <v/>
      </c>
      <c r="J208" s="175" t="str">
        <f>IF(B208="","",IF(ISNA(VLOOKUP($B208,'E-1 Off Site Hedge Baseline'!$B$1:$L$257,11,FALSE)),"",(VLOOKUP($B208,'E-1 Off Site Hedge Baseline'!$B$1:$L$257,11,FALSE))))</f>
        <v/>
      </c>
      <c r="K208" s="175" t="str">
        <f>IF(B208="","",IF(ISNA(VLOOKUP($B208,'E-1 Off Site Hedge Baseline'!$B$1:$U$257,113,FALSE)),"",(VLOOKUP($B208,'E-1 Off Site Hedge Baseline'!$B$1:$U$257,13,FALSE))))</f>
        <v/>
      </c>
      <c r="L208" s="179" t="str">
        <f>IF(B208="","",IF(ISNA(VLOOKUP($B208,'E-1 Off Site Hedge Baseline'!$B$1:$U$257,12,FALSE)),"",(VLOOKUP($B208,'E-1 Off Site Hedge Baseline'!$B$1:$U$257,12,FALSE))))</f>
        <v/>
      </c>
      <c r="M208" s="639" t="str">
        <f t="shared" si="32"/>
        <v/>
      </c>
      <c r="N208" s="171" t="str">
        <f>IFERROR(IF(B208="","",INDEX('G-6 Hedgerow Data'!$AN$3:$AZ$15,MATCH(C208,'G-6 Hedgerow Data'!$AM$3:$AM$15,0),MATCH(M208,'G-6 Hedgerow Data'!$AN$2:$AZ$2,0))),"")</f>
        <v/>
      </c>
      <c r="O208" s="172" t="str">
        <f t="shared" si="26"/>
        <v/>
      </c>
      <c r="P208" s="260" t="str">
        <f>IF(B208="","",VLOOKUP(B208,'E-1 Off Site Hedge Baseline'!$B$10:T453,16,FALSE))</f>
        <v/>
      </c>
      <c r="Q208" s="171" t="str">
        <f>IF(M208="","",VLOOKUP(M208,'G-6 Hedgerow Data'!$B$2:$AG$15,2,FALSE))</f>
        <v/>
      </c>
      <c r="R208" s="172" t="str">
        <f>IF(M208="","",VLOOKUP(M208,'G-6 Hedgerow Data'!$B$2:$AG$15,3,FALSE))</f>
        <v/>
      </c>
      <c r="S208" s="173"/>
      <c r="T208" s="172" t="str">
        <f>IFERROR(IF(AND(Q208="V.Low",OR(S208="Good",S208="Moderate")),"Error",VLOOKUP(S208,'G-1 All Habitats'!$Z$2:$AA$9,2,FALSE)),"")</f>
        <v/>
      </c>
      <c r="U208" s="173"/>
      <c r="V208" s="179" t="str">
        <f>IF(U208="","",IF(VLOOKUP(U208,'G-3 Multipliers'!$L$3:$N$6,2,FALSE)=0,"Spatial Data Missing",VLOOKUP(U208,'G-3 Multipliers'!$L$3:$N$6,2,FALSE)))</f>
        <v/>
      </c>
      <c r="W208" s="260" t="str">
        <f>IF(U208="","",IF(VLOOKUP(U208,'G-3 Multipliers'!$L$3:$N$6,3,FALSE)=0,"Spatial Data Missing",VLOOKUP(U208,'G-3 Multipliers'!$L$3:$N$6,3,FALSE)))</f>
        <v/>
      </c>
      <c r="X208" s="171" t="str">
        <f>IFERROR(IF(OR(LEFT(O208,5)="Error",LEFT(N208,5)="Error",T208="Error"),"Check Data",IF(F208&lt;R208,INDEX('G-6 Hedgerow Data'!$S$3:$AE$14,MATCH(C208,'G-6 Hedgerow Data'!$B$3:$B$14,0),MATCH(M208,'G-6 Hedgerow Data'!$S$2:$AE$2,0)),INDEX('G-6 Hedgerow Data'!$K$3:$Q$14,MATCH(M208,'G-6 Hedgerow Data'!$B$3:$B$14,0),MATCH(O208,'G-6 Hedgerow Data'!$K$2:$Q$2,0)))),"")</f>
        <v/>
      </c>
      <c r="Y208" s="261"/>
      <c r="Z208" s="261"/>
      <c r="AA208" s="179" t="str">
        <f t="shared" si="27"/>
        <v/>
      </c>
      <c r="AB208" s="262" t="str">
        <f t="shared" si="28"/>
        <v/>
      </c>
      <c r="AC208" s="263" t="str">
        <f t="shared" si="25"/>
        <v/>
      </c>
      <c r="AD208" s="239" t="str">
        <f>IF(M208="","",VLOOKUP(M208,'G-6 Hedgerow Data'!$B$3:$AG$15,31,FALSE))</f>
        <v/>
      </c>
      <c r="AE208" s="175" t="str">
        <f t="shared" si="29"/>
        <v/>
      </c>
      <c r="AF208" s="175" t="str">
        <f t="shared" si="30"/>
        <v/>
      </c>
      <c r="AG208" s="176" t="str">
        <f>IFERROR(IF(O208="","",VLOOKUP(AD208,'G-3 Multipliers'!$P$3:$Q$6,2,FALSE)),"")</f>
        <v/>
      </c>
      <c r="AH208" s="266"/>
      <c r="AI208" s="172" t="str">
        <f>IF(AH208="","",IF(VLOOKUP(AH208,'G-3 Multipliers'!$S$3:$T$6,2,FALSE)=0,"Spatial Data Missing",VLOOKUP(AH208,'G-3 Multipliers'!$S$3:$T$6,2,FALSE)))</f>
        <v/>
      </c>
      <c r="AJ208" s="265" t="str">
        <f t="shared" si="31"/>
        <v/>
      </c>
      <c r="AK208" s="180"/>
      <c r="AL208" s="181"/>
      <c r="AP208" s="35" t="str">
        <f>IFERROR(INDEX('G-6 Hedgerow Data'!$BJ$3:$BJ$15,MATCH(M208,'G-6 Hedgerow Data'!$B$3:$B$15,0)),"")</f>
        <v/>
      </c>
    </row>
    <row r="209" spans="2:42" ht="13.8" x14ac:dyDescent="0.25">
      <c r="B209" s="259" t="str">
        <f>'E-1 Off Site Hedge Baseline'!AK207</f>
        <v/>
      </c>
      <c r="C209" s="175" t="str">
        <f>IF(B209="","",IF(ISNA(VLOOKUP($B209,'E-1 Off Site Hedge Baseline'!$B$1:$L$257,3,FALSE)),"",(VLOOKUP($B209,'E-1 Off Site Hedge Baseline'!$B$1:$L$257,3,FALSE))))</f>
        <v/>
      </c>
      <c r="D209" s="175" t="str">
        <f>IF(B209="","",IF(ISNA(VLOOKUP($B209,'E-1 Off Site Hedge Baseline'!$B$1:$L$258,4,FALSE)),"",(VLOOKUP($B209,'E-1 Off Site Hedge Baseline'!$B$1:$L$258,4,FALSE))))</f>
        <v/>
      </c>
      <c r="E209" s="175" t="str">
        <f>IF(B209="","",IF(ISNA(VLOOKUP($B209,'E-1 Off Site Hedge Baseline'!$B$1:$L$257,5,FALSE)),"",(VLOOKUP($B209,'E-1 Off Site Hedge Baseline'!$B$1:$L$257,5,FALSE))))</f>
        <v/>
      </c>
      <c r="F209" s="175" t="str">
        <f>IF(B209="","",IF(ISNA(VLOOKUP($B209,'E-1 Off Site Hedge Baseline'!$B$1:$L$257,6,FALSE)),"",(VLOOKUP($B209,'E-1 Off Site Hedge Baseline'!$B$1:$L$257,6,FALSE))))</f>
        <v/>
      </c>
      <c r="G209" s="175" t="str">
        <f>IF(B209="","",IF(ISNA(VLOOKUP($B209,'E-1 Off Site Hedge Baseline'!$B$1:$L$257,7,FALSE)),"",(VLOOKUP($B209,'E-1 Off Site Hedge Baseline'!$B$1:$L$257,7,FALSE))))</f>
        <v/>
      </c>
      <c r="H209" s="175" t="str">
        <f>IF(B209="","",IF(ISNA(VLOOKUP($B209,'E-1 Off Site Hedge Baseline'!$B$1:$L$257,8,FALSE)),"",(VLOOKUP($B209,'E-1 Off Site Hedge Baseline'!$B$1:$L$257,8,FALSE))))</f>
        <v/>
      </c>
      <c r="I209" s="175" t="str">
        <f>IF(B209="","",IF(ISNA(VLOOKUP($B209,'E-1 Off Site Hedge Baseline'!$B$1:$L$257,10,FALSE)),"",(VLOOKUP($B209,'E-1 Off Site Hedge Baseline'!$B$1:$L$257,10,FALSE))))</f>
        <v/>
      </c>
      <c r="J209" s="175" t="str">
        <f>IF(B209="","",IF(ISNA(VLOOKUP($B209,'E-1 Off Site Hedge Baseline'!$B$1:$L$257,11,FALSE)),"",(VLOOKUP($B209,'E-1 Off Site Hedge Baseline'!$B$1:$L$257,11,FALSE))))</f>
        <v/>
      </c>
      <c r="K209" s="175" t="str">
        <f>IF(B209="","",IF(ISNA(VLOOKUP($B209,'E-1 Off Site Hedge Baseline'!$B$1:$U$257,113,FALSE)),"",(VLOOKUP($B209,'E-1 Off Site Hedge Baseline'!$B$1:$U$257,13,FALSE))))</f>
        <v/>
      </c>
      <c r="L209" s="179" t="str">
        <f>IF(B209="","",IF(ISNA(VLOOKUP($B209,'E-1 Off Site Hedge Baseline'!$B$1:$U$257,12,FALSE)),"",(VLOOKUP($B209,'E-1 Off Site Hedge Baseline'!$B$1:$U$257,12,FALSE))))</f>
        <v/>
      </c>
      <c r="M209" s="639" t="str">
        <f t="shared" si="32"/>
        <v/>
      </c>
      <c r="N209" s="171" t="str">
        <f>IFERROR(IF(B209="","",INDEX('G-6 Hedgerow Data'!$AN$3:$AZ$15,MATCH(C209,'G-6 Hedgerow Data'!$AM$3:$AM$15,0),MATCH(M209,'G-6 Hedgerow Data'!$AN$2:$AZ$2,0))),"")</f>
        <v/>
      </c>
      <c r="O209" s="172" t="str">
        <f t="shared" si="26"/>
        <v/>
      </c>
      <c r="P209" s="260" t="str">
        <f>IF(B209="","",VLOOKUP(B209,'E-1 Off Site Hedge Baseline'!$B$10:T454,16,FALSE))</f>
        <v/>
      </c>
      <c r="Q209" s="171" t="str">
        <f>IF(M209="","",VLOOKUP(M209,'G-6 Hedgerow Data'!$B$2:$AG$15,2,FALSE))</f>
        <v/>
      </c>
      <c r="R209" s="172" t="str">
        <f>IF(M209="","",VLOOKUP(M209,'G-6 Hedgerow Data'!$B$2:$AG$15,3,FALSE))</f>
        <v/>
      </c>
      <c r="S209" s="173"/>
      <c r="T209" s="172" t="str">
        <f>IFERROR(IF(AND(Q209="V.Low",OR(S209="Good",S209="Moderate")),"Error",VLOOKUP(S209,'G-1 All Habitats'!$Z$2:$AA$9,2,FALSE)),"")</f>
        <v/>
      </c>
      <c r="U209" s="173"/>
      <c r="V209" s="179" t="str">
        <f>IF(U209="","",IF(VLOOKUP(U209,'G-3 Multipliers'!$L$3:$N$6,2,FALSE)=0,"Spatial Data Missing",VLOOKUP(U209,'G-3 Multipliers'!$L$3:$N$6,2,FALSE)))</f>
        <v/>
      </c>
      <c r="W209" s="260" t="str">
        <f>IF(U209="","",IF(VLOOKUP(U209,'G-3 Multipliers'!$L$3:$N$6,3,FALSE)=0,"Spatial Data Missing",VLOOKUP(U209,'G-3 Multipliers'!$L$3:$N$6,3,FALSE)))</f>
        <v/>
      </c>
      <c r="X209" s="171" t="str">
        <f>IFERROR(IF(OR(LEFT(O209,5)="Error",LEFT(N209,5)="Error",T209="Error"),"Check Data",IF(F209&lt;R209,INDEX('G-6 Hedgerow Data'!$S$3:$AE$14,MATCH(C209,'G-6 Hedgerow Data'!$B$3:$B$14,0),MATCH(M209,'G-6 Hedgerow Data'!$S$2:$AE$2,0)),INDEX('G-6 Hedgerow Data'!$K$3:$Q$14,MATCH(M209,'G-6 Hedgerow Data'!$B$3:$B$14,0),MATCH(O209,'G-6 Hedgerow Data'!$K$2:$Q$2,0)))),"")</f>
        <v/>
      </c>
      <c r="Y209" s="261"/>
      <c r="Z209" s="261"/>
      <c r="AA209" s="179" t="str">
        <f t="shared" si="27"/>
        <v/>
      </c>
      <c r="AB209" s="262" t="str">
        <f t="shared" si="28"/>
        <v/>
      </c>
      <c r="AC209" s="263" t="str">
        <f t="shared" si="25"/>
        <v/>
      </c>
      <c r="AD209" s="239" t="str">
        <f>IF(M209="","",VLOOKUP(M209,'G-6 Hedgerow Data'!$B$3:$AG$15,31,FALSE))</f>
        <v/>
      </c>
      <c r="AE209" s="175" t="str">
        <f t="shared" si="29"/>
        <v/>
      </c>
      <c r="AF209" s="175" t="str">
        <f t="shared" si="30"/>
        <v/>
      </c>
      <c r="AG209" s="176" t="str">
        <f>IFERROR(IF(O209="","",VLOOKUP(AD209,'G-3 Multipliers'!$P$3:$Q$6,2,FALSE)),"")</f>
        <v/>
      </c>
      <c r="AH209" s="266"/>
      <c r="AI209" s="172" t="str">
        <f>IF(AH209="","",IF(VLOOKUP(AH209,'G-3 Multipliers'!$S$3:$T$6,2,FALSE)=0,"Spatial Data Missing",VLOOKUP(AH209,'G-3 Multipliers'!$S$3:$T$6,2,FALSE)))</f>
        <v/>
      </c>
      <c r="AJ209" s="265" t="str">
        <f t="shared" si="31"/>
        <v/>
      </c>
      <c r="AK209" s="180"/>
      <c r="AL209" s="181"/>
      <c r="AP209" s="35" t="str">
        <f>IFERROR(INDEX('G-6 Hedgerow Data'!$BJ$3:$BJ$15,MATCH(M209,'G-6 Hedgerow Data'!$B$3:$B$15,0)),"")</f>
        <v/>
      </c>
    </row>
    <row r="210" spans="2:42" ht="13.8" x14ac:dyDescent="0.25">
      <c r="B210" s="259" t="str">
        <f>'E-1 Off Site Hedge Baseline'!AK208</f>
        <v/>
      </c>
      <c r="C210" s="175" t="str">
        <f>IF(B210="","",IF(ISNA(VLOOKUP($B210,'E-1 Off Site Hedge Baseline'!$B$1:$L$257,3,FALSE)),"",(VLOOKUP($B210,'E-1 Off Site Hedge Baseline'!$B$1:$L$257,3,FALSE))))</f>
        <v/>
      </c>
      <c r="D210" s="175" t="str">
        <f>IF(B210="","",IF(ISNA(VLOOKUP($B210,'E-1 Off Site Hedge Baseline'!$B$1:$L$258,4,FALSE)),"",(VLOOKUP($B210,'E-1 Off Site Hedge Baseline'!$B$1:$L$258,4,FALSE))))</f>
        <v/>
      </c>
      <c r="E210" s="175" t="str">
        <f>IF(B210="","",IF(ISNA(VLOOKUP($B210,'E-1 Off Site Hedge Baseline'!$B$1:$L$257,5,FALSE)),"",(VLOOKUP($B210,'E-1 Off Site Hedge Baseline'!$B$1:$L$257,5,FALSE))))</f>
        <v/>
      </c>
      <c r="F210" s="175" t="str">
        <f>IF(B210="","",IF(ISNA(VLOOKUP($B210,'E-1 Off Site Hedge Baseline'!$B$1:$L$257,6,FALSE)),"",(VLOOKUP($B210,'E-1 Off Site Hedge Baseline'!$B$1:$L$257,6,FALSE))))</f>
        <v/>
      </c>
      <c r="G210" s="175" t="str">
        <f>IF(B210="","",IF(ISNA(VLOOKUP($B210,'E-1 Off Site Hedge Baseline'!$B$1:$L$257,7,FALSE)),"",(VLOOKUP($B210,'E-1 Off Site Hedge Baseline'!$B$1:$L$257,7,FALSE))))</f>
        <v/>
      </c>
      <c r="H210" s="175" t="str">
        <f>IF(B210="","",IF(ISNA(VLOOKUP($B210,'E-1 Off Site Hedge Baseline'!$B$1:$L$257,8,FALSE)),"",(VLOOKUP($B210,'E-1 Off Site Hedge Baseline'!$B$1:$L$257,8,FALSE))))</f>
        <v/>
      </c>
      <c r="I210" s="175" t="str">
        <f>IF(B210="","",IF(ISNA(VLOOKUP($B210,'E-1 Off Site Hedge Baseline'!$B$1:$L$257,10,FALSE)),"",(VLOOKUP($B210,'E-1 Off Site Hedge Baseline'!$B$1:$L$257,10,FALSE))))</f>
        <v/>
      </c>
      <c r="J210" s="175" t="str">
        <f>IF(B210="","",IF(ISNA(VLOOKUP($B210,'E-1 Off Site Hedge Baseline'!$B$1:$L$257,11,FALSE)),"",(VLOOKUP($B210,'E-1 Off Site Hedge Baseline'!$B$1:$L$257,11,FALSE))))</f>
        <v/>
      </c>
      <c r="K210" s="175" t="str">
        <f>IF(B210="","",IF(ISNA(VLOOKUP($B210,'E-1 Off Site Hedge Baseline'!$B$1:$U$257,113,FALSE)),"",(VLOOKUP($B210,'E-1 Off Site Hedge Baseline'!$B$1:$U$257,13,FALSE))))</f>
        <v/>
      </c>
      <c r="L210" s="179" t="str">
        <f>IF(B210="","",IF(ISNA(VLOOKUP($B210,'E-1 Off Site Hedge Baseline'!$B$1:$U$257,12,FALSE)),"",(VLOOKUP($B210,'E-1 Off Site Hedge Baseline'!$B$1:$U$257,12,FALSE))))</f>
        <v/>
      </c>
      <c r="M210" s="639" t="str">
        <f t="shared" si="32"/>
        <v/>
      </c>
      <c r="N210" s="171" t="str">
        <f>IFERROR(IF(B210="","",INDEX('G-6 Hedgerow Data'!$AN$3:$AZ$15,MATCH(C210,'G-6 Hedgerow Data'!$AM$3:$AM$15,0),MATCH(M210,'G-6 Hedgerow Data'!$AN$2:$AZ$2,0))),"")</f>
        <v/>
      </c>
      <c r="O210" s="172" t="str">
        <f t="shared" si="26"/>
        <v/>
      </c>
      <c r="P210" s="260" t="str">
        <f>IF(B210="","",VLOOKUP(B210,'E-1 Off Site Hedge Baseline'!$B$10:T455,16,FALSE))</f>
        <v/>
      </c>
      <c r="Q210" s="171" t="str">
        <f>IF(M210="","",VLOOKUP(M210,'G-6 Hedgerow Data'!$B$2:$AG$15,2,FALSE))</f>
        <v/>
      </c>
      <c r="R210" s="172" t="str">
        <f>IF(M210="","",VLOOKUP(M210,'G-6 Hedgerow Data'!$B$2:$AG$15,3,FALSE))</f>
        <v/>
      </c>
      <c r="S210" s="173"/>
      <c r="T210" s="172" t="str">
        <f>IFERROR(IF(AND(Q210="V.Low",OR(S210="Good",S210="Moderate")),"Error",VLOOKUP(S210,'G-1 All Habitats'!$Z$2:$AA$9,2,FALSE)),"")</f>
        <v/>
      </c>
      <c r="U210" s="173"/>
      <c r="V210" s="179" t="str">
        <f>IF(U210="","",IF(VLOOKUP(U210,'G-3 Multipliers'!$L$3:$N$6,2,FALSE)=0,"Spatial Data Missing",VLOOKUP(U210,'G-3 Multipliers'!$L$3:$N$6,2,FALSE)))</f>
        <v/>
      </c>
      <c r="W210" s="260" t="str">
        <f>IF(U210="","",IF(VLOOKUP(U210,'G-3 Multipliers'!$L$3:$N$6,3,FALSE)=0,"Spatial Data Missing",VLOOKUP(U210,'G-3 Multipliers'!$L$3:$N$6,3,FALSE)))</f>
        <v/>
      </c>
      <c r="X210" s="171" t="str">
        <f>IFERROR(IF(OR(LEFT(O210,5)="Error",LEFT(N210,5)="Error",T210="Error"),"Check Data",IF(F210&lt;R210,INDEX('G-6 Hedgerow Data'!$S$3:$AE$14,MATCH(C210,'G-6 Hedgerow Data'!$B$3:$B$14,0),MATCH(M210,'G-6 Hedgerow Data'!$S$2:$AE$2,0)),INDEX('G-6 Hedgerow Data'!$K$3:$Q$14,MATCH(M210,'G-6 Hedgerow Data'!$B$3:$B$14,0),MATCH(O210,'G-6 Hedgerow Data'!$K$2:$Q$2,0)))),"")</f>
        <v/>
      </c>
      <c r="Y210" s="261"/>
      <c r="Z210" s="261"/>
      <c r="AA210" s="179" t="str">
        <f t="shared" si="27"/>
        <v/>
      </c>
      <c r="AB210" s="262" t="str">
        <f t="shared" si="28"/>
        <v/>
      </c>
      <c r="AC210" s="263" t="str">
        <f t="shared" si="25"/>
        <v/>
      </c>
      <c r="AD210" s="239" t="str">
        <f>IF(M210="","",VLOOKUP(M210,'G-6 Hedgerow Data'!$B$3:$AG$15,31,FALSE))</f>
        <v/>
      </c>
      <c r="AE210" s="175" t="str">
        <f t="shared" si="29"/>
        <v/>
      </c>
      <c r="AF210" s="175" t="str">
        <f t="shared" si="30"/>
        <v/>
      </c>
      <c r="AG210" s="176" t="str">
        <f>IFERROR(IF(O210="","",VLOOKUP(AD210,'G-3 Multipliers'!$P$3:$Q$6,2,FALSE)),"")</f>
        <v/>
      </c>
      <c r="AH210" s="266"/>
      <c r="AI210" s="172" t="str">
        <f>IF(AH210="","",IF(VLOOKUP(AH210,'G-3 Multipliers'!$S$3:$T$6,2,FALSE)=0,"Spatial Data Missing",VLOOKUP(AH210,'G-3 Multipliers'!$S$3:$T$6,2,FALSE)))</f>
        <v/>
      </c>
      <c r="AJ210" s="265" t="str">
        <f t="shared" si="31"/>
        <v/>
      </c>
      <c r="AK210" s="180"/>
      <c r="AL210" s="181"/>
      <c r="AP210" s="35" t="str">
        <f>IFERROR(INDEX('G-6 Hedgerow Data'!$BJ$3:$BJ$15,MATCH(M210,'G-6 Hedgerow Data'!$B$3:$B$15,0)),"")</f>
        <v/>
      </c>
    </row>
    <row r="211" spans="2:42" ht="13.8" x14ac:dyDescent="0.25">
      <c r="B211" s="259" t="str">
        <f>'E-1 Off Site Hedge Baseline'!AK209</f>
        <v/>
      </c>
      <c r="C211" s="175" t="str">
        <f>IF(B211="","",IF(ISNA(VLOOKUP($B211,'E-1 Off Site Hedge Baseline'!$B$1:$L$257,3,FALSE)),"",(VLOOKUP($B211,'E-1 Off Site Hedge Baseline'!$B$1:$L$257,3,FALSE))))</f>
        <v/>
      </c>
      <c r="D211" s="175" t="str">
        <f>IF(B211="","",IF(ISNA(VLOOKUP($B211,'E-1 Off Site Hedge Baseline'!$B$1:$L$258,4,FALSE)),"",(VLOOKUP($B211,'E-1 Off Site Hedge Baseline'!$B$1:$L$258,4,FALSE))))</f>
        <v/>
      </c>
      <c r="E211" s="175" t="str">
        <f>IF(B211="","",IF(ISNA(VLOOKUP($B211,'E-1 Off Site Hedge Baseline'!$B$1:$L$257,5,FALSE)),"",(VLOOKUP($B211,'E-1 Off Site Hedge Baseline'!$B$1:$L$257,5,FALSE))))</f>
        <v/>
      </c>
      <c r="F211" s="175" t="str">
        <f>IF(B211="","",IF(ISNA(VLOOKUP($B211,'E-1 Off Site Hedge Baseline'!$B$1:$L$257,6,FALSE)),"",(VLOOKUP($B211,'E-1 Off Site Hedge Baseline'!$B$1:$L$257,6,FALSE))))</f>
        <v/>
      </c>
      <c r="G211" s="175" t="str">
        <f>IF(B211="","",IF(ISNA(VLOOKUP($B211,'E-1 Off Site Hedge Baseline'!$B$1:$L$257,7,FALSE)),"",(VLOOKUP($B211,'E-1 Off Site Hedge Baseline'!$B$1:$L$257,7,FALSE))))</f>
        <v/>
      </c>
      <c r="H211" s="175" t="str">
        <f>IF(B211="","",IF(ISNA(VLOOKUP($B211,'E-1 Off Site Hedge Baseline'!$B$1:$L$257,8,FALSE)),"",(VLOOKUP($B211,'E-1 Off Site Hedge Baseline'!$B$1:$L$257,8,FALSE))))</f>
        <v/>
      </c>
      <c r="I211" s="175" t="str">
        <f>IF(B211="","",IF(ISNA(VLOOKUP($B211,'E-1 Off Site Hedge Baseline'!$B$1:$L$257,10,FALSE)),"",(VLOOKUP($B211,'E-1 Off Site Hedge Baseline'!$B$1:$L$257,10,FALSE))))</f>
        <v/>
      </c>
      <c r="J211" s="175" t="str">
        <f>IF(B211="","",IF(ISNA(VLOOKUP($B211,'E-1 Off Site Hedge Baseline'!$B$1:$L$257,11,FALSE)),"",(VLOOKUP($B211,'E-1 Off Site Hedge Baseline'!$B$1:$L$257,11,FALSE))))</f>
        <v/>
      </c>
      <c r="K211" s="175" t="str">
        <f>IF(B211="","",IF(ISNA(VLOOKUP($B211,'E-1 Off Site Hedge Baseline'!$B$1:$U$257,113,FALSE)),"",(VLOOKUP($B211,'E-1 Off Site Hedge Baseline'!$B$1:$U$257,13,FALSE))))</f>
        <v/>
      </c>
      <c r="L211" s="179" t="str">
        <f>IF(B211="","",IF(ISNA(VLOOKUP($B211,'E-1 Off Site Hedge Baseline'!$B$1:$U$257,12,FALSE)),"",(VLOOKUP($B211,'E-1 Off Site Hedge Baseline'!$B$1:$U$257,12,FALSE))))</f>
        <v/>
      </c>
      <c r="M211" s="639" t="str">
        <f t="shared" si="32"/>
        <v/>
      </c>
      <c r="N211" s="171" t="str">
        <f>IFERROR(IF(B211="","",INDEX('G-6 Hedgerow Data'!$AN$3:$AZ$15,MATCH(C211,'G-6 Hedgerow Data'!$AM$3:$AM$15,0),MATCH(M211,'G-6 Hedgerow Data'!$AN$2:$AZ$2,0))),"")</f>
        <v/>
      </c>
      <c r="O211" s="172" t="str">
        <f t="shared" si="26"/>
        <v/>
      </c>
      <c r="P211" s="260" t="str">
        <f>IF(B211="","",VLOOKUP(B211,'E-1 Off Site Hedge Baseline'!$B$10:T456,16,FALSE))</f>
        <v/>
      </c>
      <c r="Q211" s="171" t="str">
        <f>IF(M211="","",VLOOKUP(M211,'G-6 Hedgerow Data'!$B$2:$AG$15,2,FALSE))</f>
        <v/>
      </c>
      <c r="R211" s="172" t="str">
        <f>IF(M211="","",VLOOKUP(M211,'G-6 Hedgerow Data'!$B$2:$AG$15,3,FALSE))</f>
        <v/>
      </c>
      <c r="S211" s="173"/>
      <c r="T211" s="172" t="str">
        <f>IFERROR(IF(AND(Q211="V.Low",OR(S211="Good",S211="Moderate")),"Error",VLOOKUP(S211,'G-1 All Habitats'!$Z$2:$AA$9,2,FALSE)),"")</f>
        <v/>
      </c>
      <c r="U211" s="173"/>
      <c r="V211" s="179" t="str">
        <f>IF(U211="","",IF(VLOOKUP(U211,'G-3 Multipliers'!$L$3:$N$6,2,FALSE)=0,"Spatial Data Missing",VLOOKUP(U211,'G-3 Multipliers'!$L$3:$N$6,2,FALSE)))</f>
        <v/>
      </c>
      <c r="W211" s="260" t="str">
        <f>IF(U211="","",IF(VLOOKUP(U211,'G-3 Multipliers'!$L$3:$N$6,3,FALSE)=0,"Spatial Data Missing",VLOOKUP(U211,'G-3 Multipliers'!$L$3:$N$6,3,FALSE)))</f>
        <v/>
      </c>
      <c r="X211" s="171" t="str">
        <f>IFERROR(IF(OR(LEFT(O211,5)="Error",LEFT(N211,5)="Error",T211="Error"),"Check Data",IF(F211&lt;R211,INDEX('G-6 Hedgerow Data'!$S$3:$AE$14,MATCH(C211,'G-6 Hedgerow Data'!$B$3:$B$14,0),MATCH(M211,'G-6 Hedgerow Data'!$S$2:$AE$2,0)),INDEX('G-6 Hedgerow Data'!$K$3:$Q$14,MATCH(M211,'G-6 Hedgerow Data'!$B$3:$B$14,0),MATCH(O211,'G-6 Hedgerow Data'!$K$2:$Q$2,0)))),"")</f>
        <v/>
      </c>
      <c r="Y211" s="261"/>
      <c r="Z211" s="261"/>
      <c r="AA211" s="179" t="str">
        <f t="shared" si="27"/>
        <v/>
      </c>
      <c r="AB211" s="262" t="str">
        <f t="shared" si="28"/>
        <v/>
      </c>
      <c r="AC211" s="263" t="str">
        <f t="shared" si="25"/>
        <v/>
      </c>
      <c r="AD211" s="239" t="str">
        <f>IF(M211="","",VLOOKUP(M211,'G-6 Hedgerow Data'!$B$3:$AG$15,31,FALSE))</f>
        <v/>
      </c>
      <c r="AE211" s="175" t="str">
        <f t="shared" si="29"/>
        <v/>
      </c>
      <c r="AF211" s="175" t="str">
        <f t="shared" si="30"/>
        <v/>
      </c>
      <c r="AG211" s="176" t="str">
        <f>IFERROR(IF(O211="","",VLOOKUP(AD211,'G-3 Multipliers'!$P$3:$Q$6,2,FALSE)),"")</f>
        <v/>
      </c>
      <c r="AH211" s="266"/>
      <c r="AI211" s="172" t="str">
        <f>IF(AH211="","",IF(VLOOKUP(AH211,'G-3 Multipliers'!$S$3:$T$6,2,FALSE)=0,"Spatial Data Missing",VLOOKUP(AH211,'G-3 Multipliers'!$S$3:$T$6,2,FALSE)))</f>
        <v/>
      </c>
      <c r="AJ211" s="265" t="str">
        <f t="shared" si="31"/>
        <v/>
      </c>
      <c r="AK211" s="180"/>
      <c r="AL211" s="181"/>
      <c r="AP211" s="35" t="str">
        <f>IFERROR(INDEX('G-6 Hedgerow Data'!$BJ$3:$BJ$15,MATCH(M211,'G-6 Hedgerow Data'!$B$3:$B$15,0)),"")</f>
        <v/>
      </c>
    </row>
    <row r="212" spans="2:42" ht="13.8" x14ac:dyDescent="0.25">
      <c r="B212" s="259" t="str">
        <f>'E-1 Off Site Hedge Baseline'!AK210</f>
        <v/>
      </c>
      <c r="C212" s="175" t="str">
        <f>IF(B212="","",IF(ISNA(VLOOKUP($B212,'E-1 Off Site Hedge Baseline'!$B$1:$L$257,3,FALSE)),"",(VLOOKUP($B212,'E-1 Off Site Hedge Baseline'!$B$1:$L$257,3,FALSE))))</f>
        <v/>
      </c>
      <c r="D212" s="175" t="str">
        <f>IF(B212="","",IF(ISNA(VLOOKUP($B212,'E-1 Off Site Hedge Baseline'!$B$1:$L$258,4,FALSE)),"",(VLOOKUP($B212,'E-1 Off Site Hedge Baseline'!$B$1:$L$258,4,FALSE))))</f>
        <v/>
      </c>
      <c r="E212" s="175" t="str">
        <f>IF(B212="","",IF(ISNA(VLOOKUP($B212,'E-1 Off Site Hedge Baseline'!$B$1:$L$257,5,FALSE)),"",(VLOOKUP($B212,'E-1 Off Site Hedge Baseline'!$B$1:$L$257,5,FALSE))))</f>
        <v/>
      </c>
      <c r="F212" s="175" t="str">
        <f>IF(B212="","",IF(ISNA(VLOOKUP($B212,'E-1 Off Site Hedge Baseline'!$B$1:$L$257,6,FALSE)),"",(VLOOKUP($B212,'E-1 Off Site Hedge Baseline'!$B$1:$L$257,6,FALSE))))</f>
        <v/>
      </c>
      <c r="G212" s="175" t="str">
        <f>IF(B212="","",IF(ISNA(VLOOKUP($B212,'E-1 Off Site Hedge Baseline'!$B$1:$L$257,7,FALSE)),"",(VLOOKUP($B212,'E-1 Off Site Hedge Baseline'!$B$1:$L$257,7,FALSE))))</f>
        <v/>
      </c>
      <c r="H212" s="175" t="str">
        <f>IF(B212="","",IF(ISNA(VLOOKUP($B212,'E-1 Off Site Hedge Baseline'!$B$1:$L$257,8,FALSE)),"",(VLOOKUP($B212,'E-1 Off Site Hedge Baseline'!$B$1:$L$257,8,FALSE))))</f>
        <v/>
      </c>
      <c r="I212" s="175" t="str">
        <f>IF(B212="","",IF(ISNA(VLOOKUP($B212,'E-1 Off Site Hedge Baseline'!$B$1:$L$257,10,FALSE)),"",(VLOOKUP($B212,'E-1 Off Site Hedge Baseline'!$B$1:$L$257,10,FALSE))))</f>
        <v/>
      </c>
      <c r="J212" s="175" t="str">
        <f>IF(B212="","",IF(ISNA(VLOOKUP($B212,'E-1 Off Site Hedge Baseline'!$B$1:$L$257,11,FALSE)),"",(VLOOKUP($B212,'E-1 Off Site Hedge Baseline'!$B$1:$L$257,11,FALSE))))</f>
        <v/>
      </c>
      <c r="K212" s="175" t="str">
        <f>IF(B212="","",IF(ISNA(VLOOKUP($B212,'E-1 Off Site Hedge Baseline'!$B$1:$U$257,113,FALSE)),"",(VLOOKUP($B212,'E-1 Off Site Hedge Baseline'!$B$1:$U$257,13,FALSE))))</f>
        <v/>
      </c>
      <c r="L212" s="179" t="str">
        <f>IF(B212="","",IF(ISNA(VLOOKUP($B212,'E-1 Off Site Hedge Baseline'!$B$1:$U$257,12,FALSE)),"",(VLOOKUP($B212,'E-1 Off Site Hedge Baseline'!$B$1:$U$257,12,FALSE))))</f>
        <v/>
      </c>
      <c r="M212" s="639" t="str">
        <f t="shared" si="32"/>
        <v/>
      </c>
      <c r="N212" s="171" t="str">
        <f>IFERROR(IF(B212="","",INDEX('G-6 Hedgerow Data'!$AN$3:$AZ$15,MATCH(C212,'G-6 Hedgerow Data'!$AM$3:$AM$15,0),MATCH(M212,'G-6 Hedgerow Data'!$AN$2:$AZ$2,0))),"")</f>
        <v/>
      </c>
      <c r="O212" s="172" t="str">
        <f t="shared" si="26"/>
        <v/>
      </c>
      <c r="P212" s="260" t="str">
        <f>IF(B212="","",VLOOKUP(B212,'E-1 Off Site Hedge Baseline'!$B$10:T457,16,FALSE))</f>
        <v/>
      </c>
      <c r="Q212" s="171" t="str">
        <f>IF(M212="","",VLOOKUP(M212,'G-6 Hedgerow Data'!$B$2:$AG$15,2,FALSE))</f>
        <v/>
      </c>
      <c r="R212" s="172" t="str">
        <f>IF(M212="","",VLOOKUP(M212,'G-6 Hedgerow Data'!$B$2:$AG$15,3,FALSE))</f>
        <v/>
      </c>
      <c r="S212" s="173"/>
      <c r="T212" s="172" t="str">
        <f>IFERROR(IF(AND(Q212="V.Low",OR(S212="Good",S212="Moderate")),"Error",VLOOKUP(S212,'G-1 All Habitats'!$Z$2:$AA$9,2,FALSE)),"")</f>
        <v/>
      </c>
      <c r="U212" s="173"/>
      <c r="V212" s="179" t="str">
        <f>IF(U212="","",IF(VLOOKUP(U212,'G-3 Multipliers'!$L$3:$N$6,2,FALSE)=0,"Spatial Data Missing",VLOOKUP(U212,'G-3 Multipliers'!$L$3:$N$6,2,FALSE)))</f>
        <v/>
      </c>
      <c r="W212" s="260" t="str">
        <f>IF(U212="","",IF(VLOOKUP(U212,'G-3 Multipliers'!$L$3:$N$6,3,FALSE)=0,"Spatial Data Missing",VLOOKUP(U212,'G-3 Multipliers'!$L$3:$N$6,3,FALSE)))</f>
        <v/>
      </c>
      <c r="X212" s="171" t="str">
        <f>IFERROR(IF(OR(LEFT(O212,5)="Error",LEFT(N212,5)="Error",T212="Error"),"Check Data",IF(F212&lt;R212,INDEX('G-6 Hedgerow Data'!$S$3:$AE$14,MATCH(C212,'G-6 Hedgerow Data'!$B$3:$B$14,0),MATCH(M212,'G-6 Hedgerow Data'!$S$2:$AE$2,0)),INDEX('G-6 Hedgerow Data'!$K$3:$Q$14,MATCH(M212,'G-6 Hedgerow Data'!$B$3:$B$14,0),MATCH(O212,'G-6 Hedgerow Data'!$K$2:$Q$2,0)))),"")</f>
        <v/>
      </c>
      <c r="Y212" s="261"/>
      <c r="Z212" s="261"/>
      <c r="AA212" s="179" t="str">
        <f t="shared" si="27"/>
        <v/>
      </c>
      <c r="AB212" s="262" t="str">
        <f t="shared" si="28"/>
        <v/>
      </c>
      <c r="AC212" s="263" t="str">
        <f t="shared" si="25"/>
        <v/>
      </c>
      <c r="AD212" s="239" t="str">
        <f>IF(M212="","",VLOOKUP(M212,'G-6 Hedgerow Data'!$B$3:$AG$15,31,FALSE))</f>
        <v/>
      </c>
      <c r="AE212" s="175" t="str">
        <f t="shared" si="29"/>
        <v/>
      </c>
      <c r="AF212" s="175" t="str">
        <f t="shared" si="30"/>
        <v/>
      </c>
      <c r="AG212" s="176" t="str">
        <f>IFERROR(IF(O212="","",VLOOKUP(AD212,'G-3 Multipliers'!$P$3:$Q$6,2,FALSE)),"")</f>
        <v/>
      </c>
      <c r="AH212" s="266"/>
      <c r="AI212" s="172" t="str">
        <f>IF(AH212="","",IF(VLOOKUP(AH212,'G-3 Multipliers'!$S$3:$T$6,2,FALSE)=0,"Spatial Data Missing",VLOOKUP(AH212,'G-3 Multipliers'!$S$3:$T$6,2,FALSE)))</f>
        <v/>
      </c>
      <c r="AJ212" s="265" t="str">
        <f t="shared" si="31"/>
        <v/>
      </c>
      <c r="AK212" s="180"/>
      <c r="AL212" s="181"/>
      <c r="AP212" s="35" t="str">
        <f>IFERROR(INDEX('G-6 Hedgerow Data'!$BJ$3:$BJ$15,MATCH(M212,'G-6 Hedgerow Data'!$B$3:$B$15,0)),"")</f>
        <v/>
      </c>
    </row>
    <row r="213" spans="2:42" ht="13.8" x14ac:dyDescent="0.25">
      <c r="B213" s="259" t="str">
        <f>'E-1 Off Site Hedge Baseline'!AK211</f>
        <v/>
      </c>
      <c r="C213" s="175" t="str">
        <f>IF(B213="","",IF(ISNA(VLOOKUP($B213,'E-1 Off Site Hedge Baseline'!$B$1:$L$257,3,FALSE)),"",(VLOOKUP($B213,'E-1 Off Site Hedge Baseline'!$B$1:$L$257,3,FALSE))))</f>
        <v/>
      </c>
      <c r="D213" s="175" t="str">
        <f>IF(B213="","",IF(ISNA(VLOOKUP($B213,'E-1 Off Site Hedge Baseline'!$B$1:$L$258,4,FALSE)),"",(VLOOKUP($B213,'E-1 Off Site Hedge Baseline'!$B$1:$L$258,4,FALSE))))</f>
        <v/>
      </c>
      <c r="E213" s="175" t="str">
        <f>IF(B213="","",IF(ISNA(VLOOKUP($B213,'E-1 Off Site Hedge Baseline'!$B$1:$L$257,5,FALSE)),"",(VLOOKUP($B213,'E-1 Off Site Hedge Baseline'!$B$1:$L$257,5,FALSE))))</f>
        <v/>
      </c>
      <c r="F213" s="175" t="str">
        <f>IF(B213="","",IF(ISNA(VLOOKUP($B213,'E-1 Off Site Hedge Baseline'!$B$1:$L$257,6,FALSE)),"",(VLOOKUP($B213,'E-1 Off Site Hedge Baseline'!$B$1:$L$257,6,FALSE))))</f>
        <v/>
      </c>
      <c r="G213" s="175" t="str">
        <f>IF(B213="","",IF(ISNA(VLOOKUP($B213,'E-1 Off Site Hedge Baseline'!$B$1:$L$257,7,FALSE)),"",(VLOOKUP($B213,'E-1 Off Site Hedge Baseline'!$B$1:$L$257,7,FALSE))))</f>
        <v/>
      </c>
      <c r="H213" s="175" t="str">
        <f>IF(B213="","",IF(ISNA(VLOOKUP($B213,'E-1 Off Site Hedge Baseline'!$B$1:$L$257,8,FALSE)),"",(VLOOKUP($B213,'E-1 Off Site Hedge Baseline'!$B$1:$L$257,8,FALSE))))</f>
        <v/>
      </c>
      <c r="I213" s="175" t="str">
        <f>IF(B213="","",IF(ISNA(VLOOKUP($B213,'E-1 Off Site Hedge Baseline'!$B$1:$L$257,10,FALSE)),"",(VLOOKUP($B213,'E-1 Off Site Hedge Baseline'!$B$1:$L$257,10,FALSE))))</f>
        <v/>
      </c>
      <c r="J213" s="175" t="str">
        <f>IF(B213="","",IF(ISNA(VLOOKUP($B213,'E-1 Off Site Hedge Baseline'!$B$1:$L$257,11,FALSE)),"",(VLOOKUP($B213,'E-1 Off Site Hedge Baseline'!$B$1:$L$257,11,FALSE))))</f>
        <v/>
      </c>
      <c r="K213" s="175" t="str">
        <f>IF(B213="","",IF(ISNA(VLOOKUP($B213,'E-1 Off Site Hedge Baseline'!$B$1:$U$257,113,FALSE)),"",(VLOOKUP($B213,'E-1 Off Site Hedge Baseline'!$B$1:$U$257,13,FALSE))))</f>
        <v/>
      </c>
      <c r="L213" s="179" t="str">
        <f>IF(B213="","",IF(ISNA(VLOOKUP($B213,'E-1 Off Site Hedge Baseline'!$B$1:$U$257,12,FALSE)),"",(VLOOKUP($B213,'E-1 Off Site Hedge Baseline'!$B$1:$U$257,12,FALSE))))</f>
        <v/>
      </c>
      <c r="M213" s="639" t="str">
        <f t="shared" si="32"/>
        <v/>
      </c>
      <c r="N213" s="171" t="str">
        <f>IFERROR(IF(B213="","",INDEX('G-6 Hedgerow Data'!$AN$3:$AZ$15,MATCH(C213,'G-6 Hedgerow Data'!$AM$3:$AM$15,0),MATCH(M213,'G-6 Hedgerow Data'!$AN$2:$AZ$2,0))),"")</f>
        <v/>
      </c>
      <c r="O213" s="172" t="str">
        <f t="shared" si="26"/>
        <v/>
      </c>
      <c r="P213" s="260" t="str">
        <f>IF(B213="","",VLOOKUP(B213,'E-1 Off Site Hedge Baseline'!$B$10:T458,16,FALSE))</f>
        <v/>
      </c>
      <c r="Q213" s="171" t="str">
        <f>IF(M213="","",VLOOKUP(M213,'G-6 Hedgerow Data'!$B$2:$AG$15,2,FALSE))</f>
        <v/>
      </c>
      <c r="R213" s="172" t="str">
        <f>IF(M213="","",VLOOKUP(M213,'G-6 Hedgerow Data'!$B$2:$AG$15,3,FALSE))</f>
        <v/>
      </c>
      <c r="S213" s="173"/>
      <c r="T213" s="172" t="str">
        <f>IFERROR(IF(AND(Q213="V.Low",OR(S213="Good",S213="Moderate")),"Error",VLOOKUP(S213,'G-1 All Habitats'!$Z$2:$AA$9,2,FALSE)),"")</f>
        <v/>
      </c>
      <c r="U213" s="173"/>
      <c r="V213" s="179" t="str">
        <f>IF(U213="","",IF(VLOOKUP(U213,'G-3 Multipliers'!$L$3:$N$6,2,FALSE)=0,"Spatial Data Missing",VLOOKUP(U213,'G-3 Multipliers'!$L$3:$N$6,2,FALSE)))</f>
        <v/>
      </c>
      <c r="W213" s="260" t="str">
        <f>IF(U213="","",IF(VLOOKUP(U213,'G-3 Multipliers'!$L$3:$N$6,3,FALSE)=0,"Spatial Data Missing",VLOOKUP(U213,'G-3 Multipliers'!$L$3:$N$6,3,FALSE)))</f>
        <v/>
      </c>
      <c r="X213" s="171" t="str">
        <f>IFERROR(IF(OR(LEFT(O213,5)="Error",LEFT(N213,5)="Error",T213="Error"),"Check Data",IF(F213&lt;R213,INDEX('G-6 Hedgerow Data'!$S$3:$AE$14,MATCH(C213,'G-6 Hedgerow Data'!$B$3:$B$14,0),MATCH(M213,'G-6 Hedgerow Data'!$S$2:$AE$2,0)),INDEX('G-6 Hedgerow Data'!$K$3:$Q$14,MATCH(M213,'G-6 Hedgerow Data'!$B$3:$B$14,0),MATCH(O213,'G-6 Hedgerow Data'!$K$2:$Q$2,0)))),"")</f>
        <v/>
      </c>
      <c r="Y213" s="261"/>
      <c r="Z213" s="261"/>
      <c r="AA213" s="179" t="str">
        <f t="shared" si="27"/>
        <v/>
      </c>
      <c r="AB213" s="262" t="str">
        <f t="shared" si="28"/>
        <v/>
      </c>
      <c r="AC213" s="263" t="str">
        <f t="shared" si="25"/>
        <v/>
      </c>
      <c r="AD213" s="239" t="str">
        <f>IF(M213="","",VLOOKUP(M213,'G-6 Hedgerow Data'!$B$3:$AG$15,31,FALSE))</f>
        <v/>
      </c>
      <c r="AE213" s="175" t="str">
        <f t="shared" si="29"/>
        <v/>
      </c>
      <c r="AF213" s="175" t="str">
        <f t="shared" si="30"/>
        <v/>
      </c>
      <c r="AG213" s="176" t="str">
        <f>IFERROR(IF(O213="","",VLOOKUP(AD213,'G-3 Multipliers'!$P$3:$Q$6,2,FALSE)),"")</f>
        <v/>
      </c>
      <c r="AH213" s="266"/>
      <c r="AI213" s="172" t="str">
        <f>IF(AH213="","",IF(VLOOKUP(AH213,'G-3 Multipliers'!$S$3:$T$6,2,FALSE)=0,"Spatial Data Missing",VLOOKUP(AH213,'G-3 Multipliers'!$S$3:$T$6,2,FALSE)))</f>
        <v/>
      </c>
      <c r="AJ213" s="265" t="str">
        <f t="shared" si="31"/>
        <v/>
      </c>
      <c r="AK213" s="180"/>
      <c r="AL213" s="181"/>
      <c r="AP213" s="35" t="str">
        <f>IFERROR(INDEX('G-6 Hedgerow Data'!$BJ$3:$BJ$15,MATCH(M213,'G-6 Hedgerow Data'!$B$3:$B$15,0)),"")</f>
        <v/>
      </c>
    </row>
    <row r="214" spans="2:42" ht="13.8" x14ac:dyDescent="0.25">
      <c r="B214" s="259" t="str">
        <f>'E-1 Off Site Hedge Baseline'!AK212</f>
        <v/>
      </c>
      <c r="C214" s="175" t="str">
        <f>IF(B214="","",IF(ISNA(VLOOKUP($B214,'E-1 Off Site Hedge Baseline'!$B$1:$L$257,3,FALSE)),"",(VLOOKUP($B214,'E-1 Off Site Hedge Baseline'!$B$1:$L$257,3,FALSE))))</f>
        <v/>
      </c>
      <c r="D214" s="175" t="str">
        <f>IF(B214="","",IF(ISNA(VLOOKUP($B214,'E-1 Off Site Hedge Baseline'!$B$1:$L$258,4,FALSE)),"",(VLOOKUP($B214,'E-1 Off Site Hedge Baseline'!$B$1:$L$258,4,FALSE))))</f>
        <v/>
      </c>
      <c r="E214" s="175" t="str">
        <f>IF(B214="","",IF(ISNA(VLOOKUP($B214,'E-1 Off Site Hedge Baseline'!$B$1:$L$257,5,FALSE)),"",(VLOOKUP($B214,'E-1 Off Site Hedge Baseline'!$B$1:$L$257,5,FALSE))))</f>
        <v/>
      </c>
      <c r="F214" s="175" t="str">
        <f>IF(B214="","",IF(ISNA(VLOOKUP($B214,'E-1 Off Site Hedge Baseline'!$B$1:$L$257,6,FALSE)),"",(VLOOKUP($B214,'E-1 Off Site Hedge Baseline'!$B$1:$L$257,6,FALSE))))</f>
        <v/>
      </c>
      <c r="G214" s="175" t="str">
        <f>IF(B214="","",IF(ISNA(VLOOKUP($B214,'E-1 Off Site Hedge Baseline'!$B$1:$L$257,7,FALSE)),"",(VLOOKUP($B214,'E-1 Off Site Hedge Baseline'!$B$1:$L$257,7,FALSE))))</f>
        <v/>
      </c>
      <c r="H214" s="175" t="str">
        <f>IF(B214="","",IF(ISNA(VLOOKUP($B214,'E-1 Off Site Hedge Baseline'!$B$1:$L$257,8,FALSE)),"",(VLOOKUP($B214,'E-1 Off Site Hedge Baseline'!$B$1:$L$257,8,FALSE))))</f>
        <v/>
      </c>
      <c r="I214" s="175" t="str">
        <f>IF(B214="","",IF(ISNA(VLOOKUP($B214,'E-1 Off Site Hedge Baseline'!$B$1:$L$257,10,FALSE)),"",(VLOOKUP($B214,'E-1 Off Site Hedge Baseline'!$B$1:$L$257,10,FALSE))))</f>
        <v/>
      </c>
      <c r="J214" s="175" t="str">
        <f>IF(B214="","",IF(ISNA(VLOOKUP($B214,'E-1 Off Site Hedge Baseline'!$B$1:$L$257,11,FALSE)),"",(VLOOKUP($B214,'E-1 Off Site Hedge Baseline'!$B$1:$L$257,11,FALSE))))</f>
        <v/>
      </c>
      <c r="K214" s="175" t="str">
        <f>IF(B214="","",IF(ISNA(VLOOKUP($B214,'E-1 Off Site Hedge Baseline'!$B$1:$U$257,113,FALSE)),"",(VLOOKUP($B214,'E-1 Off Site Hedge Baseline'!$B$1:$U$257,13,FALSE))))</f>
        <v/>
      </c>
      <c r="L214" s="179" t="str">
        <f>IF(B214="","",IF(ISNA(VLOOKUP($B214,'E-1 Off Site Hedge Baseline'!$B$1:$U$257,12,FALSE)),"",(VLOOKUP($B214,'E-1 Off Site Hedge Baseline'!$B$1:$U$257,12,FALSE))))</f>
        <v/>
      </c>
      <c r="M214" s="639" t="str">
        <f t="shared" si="32"/>
        <v/>
      </c>
      <c r="N214" s="171" t="str">
        <f>IFERROR(IF(B214="","",INDEX('G-6 Hedgerow Data'!$AN$3:$AZ$15,MATCH(C214,'G-6 Hedgerow Data'!$AM$3:$AM$15,0),MATCH(M214,'G-6 Hedgerow Data'!$AN$2:$AZ$2,0))),"")</f>
        <v/>
      </c>
      <c r="O214" s="172" t="str">
        <f t="shared" si="26"/>
        <v/>
      </c>
      <c r="P214" s="260" t="str">
        <f>IF(B214="","",VLOOKUP(B214,'E-1 Off Site Hedge Baseline'!$B$10:T459,16,FALSE))</f>
        <v/>
      </c>
      <c r="Q214" s="171" t="str">
        <f>IF(M214="","",VLOOKUP(M214,'G-6 Hedgerow Data'!$B$2:$AG$15,2,FALSE))</f>
        <v/>
      </c>
      <c r="R214" s="172" t="str">
        <f>IF(M214="","",VLOOKUP(M214,'G-6 Hedgerow Data'!$B$2:$AG$15,3,FALSE))</f>
        <v/>
      </c>
      <c r="S214" s="173"/>
      <c r="T214" s="172" t="str">
        <f>IFERROR(IF(AND(Q214="V.Low",OR(S214="Good",S214="Moderate")),"Error",VLOOKUP(S214,'G-1 All Habitats'!$Z$2:$AA$9,2,FALSE)),"")</f>
        <v/>
      </c>
      <c r="U214" s="173"/>
      <c r="V214" s="179" t="str">
        <f>IF(U214="","",IF(VLOOKUP(U214,'G-3 Multipliers'!$L$3:$N$6,2,FALSE)=0,"Spatial Data Missing",VLOOKUP(U214,'G-3 Multipliers'!$L$3:$N$6,2,FALSE)))</f>
        <v/>
      </c>
      <c r="W214" s="260" t="str">
        <f>IF(U214="","",IF(VLOOKUP(U214,'G-3 Multipliers'!$L$3:$N$6,3,FALSE)=0,"Spatial Data Missing",VLOOKUP(U214,'G-3 Multipliers'!$L$3:$N$6,3,FALSE)))</f>
        <v/>
      </c>
      <c r="X214" s="171" t="str">
        <f>IFERROR(IF(OR(LEFT(O214,5)="Error",LEFT(N214,5)="Error",T214="Error"),"Check Data",IF(F214&lt;R214,INDEX('G-6 Hedgerow Data'!$S$3:$AE$14,MATCH(C214,'G-6 Hedgerow Data'!$B$3:$B$14,0),MATCH(M214,'G-6 Hedgerow Data'!$S$2:$AE$2,0)),INDEX('G-6 Hedgerow Data'!$K$3:$Q$14,MATCH(M214,'G-6 Hedgerow Data'!$B$3:$B$14,0),MATCH(O214,'G-6 Hedgerow Data'!$K$2:$Q$2,0)))),"")</f>
        <v/>
      </c>
      <c r="Y214" s="261"/>
      <c r="Z214" s="261"/>
      <c r="AA214" s="179" t="str">
        <f t="shared" si="27"/>
        <v/>
      </c>
      <c r="AB214" s="262" t="str">
        <f t="shared" si="28"/>
        <v/>
      </c>
      <c r="AC214" s="263" t="str">
        <f t="shared" si="25"/>
        <v/>
      </c>
      <c r="AD214" s="239" t="str">
        <f>IF(M214="","",VLOOKUP(M214,'G-6 Hedgerow Data'!$B$3:$AG$15,31,FALSE))</f>
        <v/>
      </c>
      <c r="AE214" s="175" t="str">
        <f t="shared" si="29"/>
        <v/>
      </c>
      <c r="AF214" s="175" t="str">
        <f t="shared" si="30"/>
        <v/>
      </c>
      <c r="AG214" s="176" t="str">
        <f>IFERROR(IF(O214="","",VLOOKUP(AD214,'G-3 Multipliers'!$P$3:$Q$6,2,FALSE)),"")</f>
        <v/>
      </c>
      <c r="AH214" s="266"/>
      <c r="AI214" s="172" t="str">
        <f>IF(AH214="","",IF(VLOOKUP(AH214,'G-3 Multipliers'!$S$3:$T$6,2,FALSE)=0,"Spatial Data Missing",VLOOKUP(AH214,'G-3 Multipliers'!$S$3:$T$6,2,FALSE)))</f>
        <v/>
      </c>
      <c r="AJ214" s="265" t="str">
        <f t="shared" si="31"/>
        <v/>
      </c>
      <c r="AK214" s="180"/>
      <c r="AL214" s="181"/>
      <c r="AP214" s="35" t="str">
        <f>IFERROR(INDEX('G-6 Hedgerow Data'!$BJ$3:$BJ$15,MATCH(M214,'G-6 Hedgerow Data'!$B$3:$B$15,0)),"")</f>
        <v/>
      </c>
    </row>
    <row r="215" spans="2:42" ht="13.8" x14ac:dyDescent="0.25">
      <c r="B215" s="259" t="str">
        <f>'E-1 Off Site Hedge Baseline'!AK213</f>
        <v/>
      </c>
      <c r="C215" s="175" t="str">
        <f>IF(B215="","",IF(ISNA(VLOOKUP($B215,'E-1 Off Site Hedge Baseline'!$B$1:$L$257,3,FALSE)),"",(VLOOKUP($B215,'E-1 Off Site Hedge Baseline'!$B$1:$L$257,3,FALSE))))</f>
        <v/>
      </c>
      <c r="D215" s="175" t="str">
        <f>IF(B215="","",IF(ISNA(VLOOKUP($B215,'E-1 Off Site Hedge Baseline'!$B$1:$L$258,4,FALSE)),"",(VLOOKUP($B215,'E-1 Off Site Hedge Baseline'!$B$1:$L$258,4,FALSE))))</f>
        <v/>
      </c>
      <c r="E215" s="175" t="str">
        <f>IF(B215="","",IF(ISNA(VLOOKUP($B215,'E-1 Off Site Hedge Baseline'!$B$1:$L$257,5,FALSE)),"",(VLOOKUP($B215,'E-1 Off Site Hedge Baseline'!$B$1:$L$257,5,FALSE))))</f>
        <v/>
      </c>
      <c r="F215" s="175" t="str">
        <f>IF(B215="","",IF(ISNA(VLOOKUP($B215,'E-1 Off Site Hedge Baseline'!$B$1:$L$257,6,FALSE)),"",(VLOOKUP($B215,'E-1 Off Site Hedge Baseline'!$B$1:$L$257,6,FALSE))))</f>
        <v/>
      </c>
      <c r="G215" s="175" t="str">
        <f>IF(B215="","",IF(ISNA(VLOOKUP($B215,'E-1 Off Site Hedge Baseline'!$B$1:$L$257,7,FALSE)),"",(VLOOKUP($B215,'E-1 Off Site Hedge Baseline'!$B$1:$L$257,7,FALSE))))</f>
        <v/>
      </c>
      <c r="H215" s="175" t="str">
        <f>IF(B215="","",IF(ISNA(VLOOKUP($B215,'E-1 Off Site Hedge Baseline'!$B$1:$L$257,8,FALSE)),"",(VLOOKUP($B215,'E-1 Off Site Hedge Baseline'!$B$1:$L$257,8,FALSE))))</f>
        <v/>
      </c>
      <c r="I215" s="175" t="str">
        <f>IF(B215="","",IF(ISNA(VLOOKUP($B215,'E-1 Off Site Hedge Baseline'!$B$1:$L$257,10,FALSE)),"",(VLOOKUP($B215,'E-1 Off Site Hedge Baseline'!$B$1:$L$257,10,FALSE))))</f>
        <v/>
      </c>
      <c r="J215" s="175" t="str">
        <f>IF(B215="","",IF(ISNA(VLOOKUP($B215,'E-1 Off Site Hedge Baseline'!$B$1:$L$257,11,FALSE)),"",(VLOOKUP($B215,'E-1 Off Site Hedge Baseline'!$B$1:$L$257,11,FALSE))))</f>
        <v/>
      </c>
      <c r="K215" s="175" t="str">
        <f>IF(B215="","",IF(ISNA(VLOOKUP($B215,'E-1 Off Site Hedge Baseline'!$B$1:$U$257,113,FALSE)),"",(VLOOKUP($B215,'E-1 Off Site Hedge Baseline'!$B$1:$U$257,13,FALSE))))</f>
        <v/>
      </c>
      <c r="L215" s="179" t="str">
        <f>IF(B215="","",IF(ISNA(VLOOKUP($B215,'E-1 Off Site Hedge Baseline'!$B$1:$U$257,12,FALSE)),"",(VLOOKUP($B215,'E-1 Off Site Hedge Baseline'!$B$1:$U$257,12,FALSE))))</f>
        <v/>
      </c>
      <c r="M215" s="639" t="str">
        <f t="shared" si="32"/>
        <v/>
      </c>
      <c r="N215" s="171" t="str">
        <f>IFERROR(IF(B215="","",INDEX('G-6 Hedgerow Data'!$AN$3:$AZ$15,MATCH(C215,'G-6 Hedgerow Data'!$AM$3:$AM$15,0),MATCH(M215,'G-6 Hedgerow Data'!$AN$2:$AZ$2,0))),"")</f>
        <v/>
      </c>
      <c r="O215" s="172" t="str">
        <f t="shared" si="26"/>
        <v/>
      </c>
      <c r="P215" s="260" t="str">
        <f>IF(B215="","",VLOOKUP(B215,'E-1 Off Site Hedge Baseline'!$B$10:T460,16,FALSE))</f>
        <v/>
      </c>
      <c r="Q215" s="171" t="str">
        <f>IF(M215="","",VLOOKUP(M215,'G-6 Hedgerow Data'!$B$2:$AG$15,2,FALSE))</f>
        <v/>
      </c>
      <c r="R215" s="172" t="str">
        <f>IF(M215="","",VLOOKUP(M215,'G-6 Hedgerow Data'!$B$2:$AG$15,3,FALSE))</f>
        <v/>
      </c>
      <c r="S215" s="173"/>
      <c r="T215" s="172" t="str">
        <f>IFERROR(IF(AND(Q215="V.Low",OR(S215="Good",S215="Moderate")),"Error",VLOOKUP(S215,'G-1 All Habitats'!$Z$2:$AA$9,2,FALSE)),"")</f>
        <v/>
      </c>
      <c r="U215" s="173"/>
      <c r="V215" s="179" t="str">
        <f>IF(U215="","",IF(VLOOKUP(U215,'G-3 Multipliers'!$L$3:$N$6,2,FALSE)=0,"Spatial Data Missing",VLOOKUP(U215,'G-3 Multipliers'!$L$3:$N$6,2,FALSE)))</f>
        <v/>
      </c>
      <c r="W215" s="260" t="str">
        <f>IF(U215="","",IF(VLOOKUP(U215,'G-3 Multipliers'!$L$3:$N$6,3,FALSE)=0,"Spatial Data Missing",VLOOKUP(U215,'G-3 Multipliers'!$L$3:$N$6,3,FALSE)))</f>
        <v/>
      </c>
      <c r="X215" s="171" t="str">
        <f>IFERROR(IF(OR(LEFT(O215,5)="Error",LEFT(N215,5)="Error",T215="Error"),"Check Data",IF(F215&lt;R215,INDEX('G-6 Hedgerow Data'!$S$3:$AE$14,MATCH(C215,'G-6 Hedgerow Data'!$B$3:$B$14,0),MATCH(M215,'G-6 Hedgerow Data'!$S$2:$AE$2,0)),INDEX('G-6 Hedgerow Data'!$K$3:$Q$14,MATCH(M215,'G-6 Hedgerow Data'!$B$3:$B$14,0),MATCH(O215,'G-6 Hedgerow Data'!$K$2:$Q$2,0)))),"")</f>
        <v/>
      </c>
      <c r="Y215" s="261"/>
      <c r="Z215" s="261"/>
      <c r="AA215" s="179" t="str">
        <f t="shared" si="27"/>
        <v/>
      </c>
      <c r="AB215" s="262" t="str">
        <f t="shared" si="28"/>
        <v/>
      </c>
      <c r="AC215" s="263" t="str">
        <f t="shared" si="25"/>
        <v/>
      </c>
      <c r="AD215" s="239" t="str">
        <f>IF(M215="","",VLOOKUP(M215,'G-6 Hedgerow Data'!$B$3:$AG$15,31,FALSE))</f>
        <v/>
      </c>
      <c r="AE215" s="175" t="str">
        <f t="shared" si="29"/>
        <v/>
      </c>
      <c r="AF215" s="175" t="str">
        <f t="shared" si="30"/>
        <v/>
      </c>
      <c r="AG215" s="176" t="str">
        <f>IFERROR(IF(O215="","",VLOOKUP(AD215,'G-3 Multipliers'!$P$3:$Q$6,2,FALSE)),"")</f>
        <v/>
      </c>
      <c r="AH215" s="266"/>
      <c r="AI215" s="172" t="str">
        <f>IF(AH215="","",IF(VLOOKUP(AH215,'G-3 Multipliers'!$S$3:$T$6,2,FALSE)=0,"Spatial Data Missing",VLOOKUP(AH215,'G-3 Multipliers'!$S$3:$T$6,2,FALSE)))</f>
        <v/>
      </c>
      <c r="AJ215" s="265" t="str">
        <f t="shared" si="31"/>
        <v/>
      </c>
      <c r="AK215" s="180"/>
      <c r="AL215" s="181"/>
      <c r="AP215" s="35" t="str">
        <f>IFERROR(INDEX('G-6 Hedgerow Data'!$BJ$3:$BJ$15,MATCH(M215,'G-6 Hedgerow Data'!$B$3:$B$15,0)),"")</f>
        <v/>
      </c>
    </row>
    <row r="216" spans="2:42" ht="13.8" x14ac:dyDescent="0.25">
      <c r="B216" s="259" t="str">
        <f>'E-1 Off Site Hedge Baseline'!AK214</f>
        <v/>
      </c>
      <c r="C216" s="175" t="str">
        <f>IF(B216="","",IF(ISNA(VLOOKUP($B216,'E-1 Off Site Hedge Baseline'!$B$1:$L$257,3,FALSE)),"",(VLOOKUP($B216,'E-1 Off Site Hedge Baseline'!$B$1:$L$257,3,FALSE))))</f>
        <v/>
      </c>
      <c r="D216" s="175" t="str">
        <f>IF(B216="","",IF(ISNA(VLOOKUP($B216,'E-1 Off Site Hedge Baseline'!$B$1:$L$258,4,FALSE)),"",(VLOOKUP($B216,'E-1 Off Site Hedge Baseline'!$B$1:$L$258,4,FALSE))))</f>
        <v/>
      </c>
      <c r="E216" s="175" t="str">
        <f>IF(B216="","",IF(ISNA(VLOOKUP($B216,'E-1 Off Site Hedge Baseline'!$B$1:$L$257,5,FALSE)),"",(VLOOKUP($B216,'E-1 Off Site Hedge Baseline'!$B$1:$L$257,5,FALSE))))</f>
        <v/>
      </c>
      <c r="F216" s="175" t="str">
        <f>IF(B216="","",IF(ISNA(VLOOKUP($B216,'E-1 Off Site Hedge Baseline'!$B$1:$L$257,6,FALSE)),"",(VLOOKUP($B216,'E-1 Off Site Hedge Baseline'!$B$1:$L$257,6,FALSE))))</f>
        <v/>
      </c>
      <c r="G216" s="175" t="str">
        <f>IF(B216="","",IF(ISNA(VLOOKUP($B216,'E-1 Off Site Hedge Baseline'!$B$1:$L$257,7,FALSE)),"",(VLOOKUP($B216,'E-1 Off Site Hedge Baseline'!$B$1:$L$257,7,FALSE))))</f>
        <v/>
      </c>
      <c r="H216" s="175" t="str">
        <f>IF(B216="","",IF(ISNA(VLOOKUP($B216,'E-1 Off Site Hedge Baseline'!$B$1:$L$257,8,FALSE)),"",(VLOOKUP($B216,'E-1 Off Site Hedge Baseline'!$B$1:$L$257,8,FALSE))))</f>
        <v/>
      </c>
      <c r="I216" s="175" t="str">
        <f>IF(B216="","",IF(ISNA(VLOOKUP($B216,'E-1 Off Site Hedge Baseline'!$B$1:$L$257,10,FALSE)),"",(VLOOKUP($B216,'E-1 Off Site Hedge Baseline'!$B$1:$L$257,10,FALSE))))</f>
        <v/>
      </c>
      <c r="J216" s="175" t="str">
        <f>IF(B216="","",IF(ISNA(VLOOKUP($B216,'E-1 Off Site Hedge Baseline'!$B$1:$L$257,11,FALSE)),"",(VLOOKUP($B216,'E-1 Off Site Hedge Baseline'!$B$1:$L$257,11,FALSE))))</f>
        <v/>
      </c>
      <c r="K216" s="175" t="str">
        <f>IF(B216="","",IF(ISNA(VLOOKUP($B216,'E-1 Off Site Hedge Baseline'!$B$1:$U$257,113,FALSE)),"",(VLOOKUP($B216,'E-1 Off Site Hedge Baseline'!$B$1:$U$257,13,FALSE))))</f>
        <v/>
      </c>
      <c r="L216" s="179" t="str">
        <f>IF(B216="","",IF(ISNA(VLOOKUP($B216,'E-1 Off Site Hedge Baseline'!$B$1:$U$257,12,FALSE)),"",(VLOOKUP($B216,'E-1 Off Site Hedge Baseline'!$B$1:$U$257,12,FALSE))))</f>
        <v/>
      </c>
      <c r="M216" s="639" t="str">
        <f t="shared" si="32"/>
        <v/>
      </c>
      <c r="N216" s="171" t="str">
        <f>IFERROR(IF(B216="","",INDEX('G-6 Hedgerow Data'!$AN$3:$AZ$15,MATCH(C216,'G-6 Hedgerow Data'!$AM$3:$AM$15,0),MATCH(M216,'G-6 Hedgerow Data'!$AN$2:$AZ$2,0))),"")</f>
        <v/>
      </c>
      <c r="O216" s="172" t="str">
        <f t="shared" si="26"/>
        <v/>
      </c>
      <c r="P216" s="260" t="str">
        <f>IF(B216="","",VLOOKUP(B216,'E-1 Off Site Hedge Baseline'!$B$10:T461,16,FALSE))</f>
        <v/>
      </c>
      <c r="Q216" s="171" t="str">
        <f>IF(M216="","",VLOOKUP(M216,'G-6 Hedgerow Data'!$B$2:$AG$15,2,FALSE))</f>
        <v/>
      </c>
      <c r="R216" s="172" t="str">
        <f>IF(M216="","",VLOOKUP(M216,'G-6 Hedgerow Data'!$B$2:$AG$15,3,FALSE))</f>
        <v/>
      </c>
      <c r="S216" s="173"/>
      <c r="T216" s="172" t="str">
        <f>IFERROR(IF(AND(Q216="V.Low",OR(S216="Good",S216="Moderate")),"Error",VLOOKUP(S216,'G-1 All Habitats'!$Z$2:$AA$9,2,FALSE)),"")</f>
        <v/>
      </c>
      <c r="U216" s="173"/>
      <c r="V216" s="179" t="str">
        <f>IF(U216="","",IF(VLOOKUP(U216,'G-3 Multipliers'!$L$3:$N$6,2,FALSE)=0,"Spatial Data Missing",VLOOKUP(U216,'G-3 Multipliers'!$L$3:$N$6,2,FALSE)))</f>
        <v/>
      </c>
      <c r="W216" s="260" t="str">
        <f>IF(U216="","",IF(VLOOKUP(U216,'G-3 Multipliers'!$L$3:$N$6,3,FALSE)=0,"Spatial Data Missing",VLOOKUP(U216,'G-3 Multipliers'!$L$3:$N$6,3,FALSE)))</f>
        <v/>
      </c>
      <c r="X216" s="171" t="str">
        <f>IFERROR(IF(OR(LEFT(O216,5)="Error",LEFT(N216,5)="Error",T216="Error"),"Check Data",IF(F216&lt;R216,INDEX('G-6 Hedgerow Data'!$S$3:$AE$14,MATCH(C216,'G-6 Hedgerow Data'!$B$3:$B$14,0),MATCH(M216,'G-6 Hedgerow Data'!$S$2:$AE$2,0)),INDEX('G-6 Hedgerow Data'!$K$3:$Q$14,MATCH(M216,'G-6 Hedgerow Data'!$B$3:$B$14,0),MATCH(O216,'G-6 Hedgerow Data'!$K$2:$Q$2,0)))),"")</f>
        <v/>
      </c>
      <c r="Y216" s="261"/>
      <c r="Z216" s="261"/>
      <c r="AA216" s="179" t="str">
        <f t="shared" si="27"/>
        <v/>
      </c>
      <c r="AB216" s="262" t="str">
        <f t="shared" si="28"/>
        <v/>
      </c>
      <c r="AC216" s="263" t="str">
        <f t="shared" si="25"/>
        <v/>
      </c>
      <c r="AD216" s="239" t="str">
        <f>IF(M216="","",VLOOKUP(M216,'G-6 Hedgerow Data'!$B$3:$AG$15,31,FALSE))</f>
        <v/>
      </c>
      <c r="AE216" s="175" t="str">
        <f t="shared" si="29"/>
        <v/>
      </c>
      <c r="AF216" s="175" t="str">
        <f t="shared" si="30"/>
        <v/>
      </c>
      <c r="AG216" s="176" t="str">
        <f>IFERROR(IF(O216="","",VLOOKUP(AD216,'G-3 Multipliers'!$P$3:$Q$6,2,FALSE)),"")</f>
        <v/>
      </c>
      <c r="AH216" s="266"/>
      <c r="AI216" s="172" t="str">
        <f>IF(AH216="","",IF(VLOOKUP(AH216,'G-3 Multipliers'!$S$3:$T$6,2,FALSE)=0,"Spatial Data Missing",VLOOKUP(AH216,'G-3 Multipliers'!$S$3:$T$6,2,FALSE)))</f>
        <v/>
      </c>
      <c r="AJ216" s="265" t="str">
        <f t="shared" si="31"/>
        <v/>
      </c>
      <c r="AK216" s="180"/>
      <c r="AL216" s="181"/>
      <c r="AP216" s="35" t="str">
        <f>IFERROR(INDEX('G-6 Hedgerow Data'!$BJ$3:$BJ$15,MATCH(M216,'G-6 Hedgerow Data'!$B$3:$B$15,0)),"")</f>
        <v/>
      </c>
    </row>
    <row r="217" spans="2:42" ht="13.8" x14ac:dyDescent="0.25">
      <c r="B217" s="259" t="str">
        <f>'E-1 Off Site Hedge Baseline'!AK215</f>
        <v/>
      </c>
      <c r="C217" s="175" t="str">
        <f>IF(B217="","",IF(ISNA(VLOOKUP($B217,'E-1 Off Site Hedge Baseline'!$B$1:$L$257,3,FALSE)),"",(VLOOKUP($B217,'E-1 Off Site Hedge Baseline'!$B$1:$L$257,3,FALSE))))</f>
        <v/>
      </c>
      <c r="D217" s="175" t="str">
        <f>IF(B217="","",IF(ISNA(VLOOKUP($B217,'E-1 Off Site Hedge Baseline'!$B$1:$L$258,4,FALSE)),"",(VLOOKUP($B217,'E-1 Off Site Hedge Baseline'!$B$1:$L$258,4,FALSE))))</f>
        <v/>
      </c>
      <c r="E217" s="175" t="str">
        <f>IF(B217="","",IF(ISNA(VLOOKUP($B217,'E-1 Off Site Hedge Baseline'!$B$1:$L$257,5,FALSE)),"",(VLOOKUP($B217,'E-1 Off Site Hedge Baseline'!$B$1:$L$257,5,FALSE))))</f>
        <v/>
      </c>
      <c r="F217" s="175" t="str">
        <f>IF(B217="","",IF(ISNA(VLOOKUP($B217,'E-1 Off Site Hedge Baseline'!$B$1:$L$257,6,FALSE)),"",(VLOOKUP($B217,'E-1 Off Site Hedge Baseline'!$B$1:$L$257,6,FALSE))))</f>
        <v/>
      </c>
      <c r="G217" s="175" t="str">
        <f>IF(B217="","",IF(ISNA(VLOOKUP($B217,'E-1 Off Site Hedge Baseline'!$B$1:$L$257,7,FALSE)),"",(VLOOKUP($B217,'E-1 Off Site Hedge Baseline'!$B$1:$L$257,7,FALSE))))</f>
        <v/>
      </c>
      <c r="H217" s="175" t="str">
        <f>IF(B217="","",IF(ISNA(VLOOKUP($B217,'E-1 Off Site Hedge Baseline'!$B$1:$L$257,8,FALSE)),"",(VLOOKUP($B217,'E-1 Off Site Hedge Baseline'!$B$1:$L$257,8,FALSE))))</f>
        <v/>
      </c>
      <c r="I217" s="175" t="str">
        <f>IF(B217="","",IF(ISNA(VLOOKUP($B217,'E-1 Off Site Hedge Baseline'!$B$1:$L$257,10,FALSE)),"",(VLOOKUP($B217,'E-1 Off Site Hedge Baseline'!$B$1:$L$257,10,FALSE))))</f>
        <v/>
      </c>
      <c r="J217" s="175" t="str">
        <f>IF(B217="","",IF(ISNA(VLOOKUP($B217,'E-1 Off Site Hedge Baseline'!$B$1:$L$257,11,FALSE)),"",(VLOOKUP($B217,'E-1 Off Site Hedge Baseline'!$B$1:$L$257,11,FALSE))))</f>
        <v/>
      </c>
      <c r="K217" s="175" t="str">
        <f>IF(B217="","",IF(ISNA(VLOOKUP($B217,'E-1 Off Site Hedge Baseline'!$B$1:$U$257,113,FALSE)),"",(VLOOKUP($B217,'E-1 Off Site Hedge Baseline'!$B$1:$U$257,13,FALSE))))</f>
        <v/>
      </c>
      <c r="L217" s="179" t="str">
        <f>IF(B217="","",IF(ISNA(VLOOKUP($B217,'E-1 Off Site Hedge Baseline'!$B$1:$U$257,12,FALSE)),"",(VLOOKUP($B217,'E-1 Off Site Hedge Baseline'!$B$1:$U$257,12,FALSE))))</f>
        <v/>
      </c>
      <c r="M217" s="639" t="str">
        <f t="shared" si="32"/>
        <v/>
      </c>
      <c r="N217" s="171" t="str">
        <f>IFERROR(IF(B217="","",INDEX('G-6 Hedgerow Data'!$AN$3:$AZ$15,MATCH(C217,'G-6 Hedgerow Data'!$AM$3:$AM$15,0),MATCH(M217,'G-6 Hedgerow Data'!$AN$2:$AZ$2,0))),"")</f>
        <v/>
      </c>
      <c r="O217" s="172" t="str">
        <f t="shared" si="26"/>
        <v/>
      </c>
      <c r="P217" s="260" t="str">
        <f>IF(B217="","",VLOOKUP(B217,'E-1 Off Site Hedge Baseline'!$B$10:T462,16,FALSE))</f>
        <v/>
      </c>
      <c r="Q217" s="171" t="str">
        <f>IF(M217="","",VLOOKUP(M217,'G-6 Hedgerow Data'!$B$2:$AG$15,2,FALSE))</f>
        <v/>
      </c>
      <c r="R217" s="172" t="str">
        <f>IF(M217="","",VLOOKUP(M217,'G-6 Hedgerow Data'!$B$2:$AG$15,3,FALSE))</f>
        <v/>
      </c>
      <c r="S217" s="173"/>
      <c r="T217" s="172" t="str">
        <f>IFERROR(IF(AND(Q217="V.Low",OR(S217="Good",S217="Moderate")),"Error",VLOOKUP(S217,'G-1 All Habitats'!$Z$2:$AA$9,2,FALSE)),"")</f>
        <v/>
      </c>
      <c r="U217" s="173"/>
      <c r="V217" s="179" t="str">
        <f>IF(U217="","",IF(VLOOKUP(U217,'G-3 Multipliers'!$L$3:$N$6,2,FALSE)=0,"Spatial Data Missing",VLOOKUP(U217,'G-3 Multipliers'!$L$3:$N$6,2,FALSE)))</f>
        <v/>
      </c>
      <c r="W217" s="260" t="str">
        <f>IF(U217="","",IF(VLOOKUP(U217,'G-3 Multipliers'!$L$3:$N$6,3,FALSE)=0,"Spatial Data Missing",VLOOKUP(U217,'G-3 Multipliers'!$L$3:$N$6,3,FALSE)))</f>
        <v/>
      </c>
      <c r="X217" s="171" t="str">
        <f>IFERROR(IF(OR(LEFT(O217,5)="Error",LEFT(N217,5)="Error",T217="Error"),"Check Data",IF(F217&lt;R217,INDEX('G-6 Hedgerow Data'!$S$3:$AE$14,MATCH(C217,'G-6 Hedgerow Data'!$B$3:$B$14,0),MATCH(M217,'G-6 Hedgerow Data'!$S$2:$AE$2,0)),INDEX('G-6 Hedgerow Data'!$K$3:$Q$14,MATCH(M217,'G-6 Hedgerow Data'!$B$3:$B$14,0),MATCH(O217,'G-6 Hedgerow Data'!$K$2:$Q$2,0)))),"")</f>
        <v/>
      </c>
      <c r="Y217" s="261"/>
      <c r="Z217" s="261"/>
      <c r="AA217" s="179" t="str">
        <f t="shared" si="27"/>
        <v/>
      </c>
      <c r="AB217" s="262" t="str">
        <f t="shared" si="28"/>
        <v/>
      </c>
      <c r="AC217" s="263" t="str">
        <f t="shared" si="25"/>
        <v/>
      </c>
      <c r="AD217" s="239" t="str">
        <f>IF(M217="","",VLOOKUP(M217,'G-6 Hedgerow Data'!$B$3:$AG$15,31,FALSE))</f>
        <v/>
      </c>
      <c r="AE217" s="175" t="str">
        <f t="shared" si="29"/>
        <v/>
      </c>
      <c r="AF217" s="175" t="str">
        <f t="shared" si="30"/>
        <v/>
      </c>
      <c r="AG217" s="176" t="str">
        <f>IFERROR(IF(O217="","",VLOOKUP(AD217,'G-3 Multipliers'!$P$3:$Q$6,2,FALSE)),"")</f>
        <v/>
      </c>
      <c r="AH217" s="266"/>
      <c r="AI217" s="172" t="str">
        <f>IF(AH217="","",IF(VLOOKUP(AH217,'G-3 Multipliers'!$S$3:$T$6,2,FALSE)=0,"Spatial Data Missing",VLOOKUP(AH217,'G-3 Multipliers'!$S$3:$T$6,2,FALSE)))</f>
        <v/>
      </c>
      <c r="AJ217" s="265" t="str">
        <f t="shared" si="31"/>
        <v/>
      </c>
      <c r="AK217" s="180"/>
      <c r="AL217" s="181"/>
      <c r="AP217" s="35" t="str">
        <f>IFERROR(INDEX('G-6 Hedgerow Data'!$BJ$3:$BJ$15,MATCH(M217,'G-6 Hedgerow Data'!$B$3:$B$15,0)),"")</f>
        <v/>
      </c>
    </row>
    <row r="218" spans="2:42" ht="13.8" x14ac:dyDescent="0.25">
      <c r="B218" s="259" t="str">
        <f>'E-1 Off Site Hedge Baseline'!AK216</f>
        <v/>
      </c>
      <c r="C218" s="175" t="str">
        <f>IF(B218="","",IF(ISNA(VLOOKUP($B218,'E-1 Off Site Hedge Baseline'!$B$1:$L$257,3,FALSE)),"",(VLOOKUP($B218,'E-1 Off Site Hedge Baseline'!$B$1:$L$257,3,FALSE))))</f>
        <v/>
      </c>
      <c r="D218" s="175" t="str">
        <f>IF(B218="","",IF(ISNA(VLOOKUP($B218,'E-1 Off Site Hedge Baseline'!$B$1:$L$258,4,FALSE)),"",(VLOOKUP($B218,'E-1 Off Site Hedge Baseline'!$B$1:$L$258,4,FALSE))))</f>
        <v/>
      </c>
      <c r="E218" s="175" t="str">
        <f>IF(B218="","",IF(ISNA(VLOOKUP($B218,'E-1 Off Site Hedge Baseline'!$B$1:$L$257,5,FALSE)),"",(VLOOKUP($B218,'E-1 Off Site Hedge Baseline'!$B$1:$L$257,5,FALSE))))</f>
        <v/>
      </c>
      <c r="F218" s="175" t="str">
        <f>IF(B218="","",IF(ISNA(VLOOKUP($B218,'E-1 Off Site Hedge Baseline'!$B$1:$L$257,6,FALSE)),"",(VLOOKUP($B218,'E-1 Off Site Hedge Baseline'!$B$1:$L$257,6,FALSE))))</f>
        <v/>
      </c>
      <c r="G218" s="175" t="str">
        <f>IF(B218="","",IF(ISNA(VLOOKUP($B218,'E-1 Off Site Hedge Baseline'!$B$1:$L$257,7,FALSE)),"",(VLOOKUP($B218,'E-1 Off Site Hedge Baseline'!$B$1:$L$257,7,FALSE))))</f>
        <v/>
      </c>
      <c r="H218" s="175" t="str">
        <f>IF(B218="","",IF(ISNA(VLOOKUP($B218,'E-1 Off Site Hedge Baseline'!$B$1:$L$257,8,FALSE)),"",(VLOOKUP($B218,'E-1 Off Site Hedge Baseline'!$B$1:$L$257,8,FALSE))))</f>
        <v/>
      </c>
      <c r="I218" s="175" t="str">
        <f>IF(B218="","",IF(ISNA(VLOOKUP($B218,'E-1 Off Site Hedge Baseline'!$B$1:$L$257,10,FALSE)),"",(VLOOKUP($B218,'E-1 Off Site Hedge Baseline'!$B$1:$L$257,10,FALSE))))</f>
        <v/>
      </c>
      <c r="J218" s="175" t="str">
        <f>IF(B218="","",IF(ISNA(VLOOKUP($B218,'E-1 Off Site Hedge Baseline'!$B$1:$L$257,11,FALSE)),"",(VLOOKUP($B218,'E-1 Off Site Hedge Baseline'!$B$1:$L$257,11,FALSE))))</f>
        <v/>
      </c>
      <c r="K218" s="175" t="str">
        <f>IF(B218="","",IF(ISNA(VLOOKUP($B218,'E-1 Off Site Hedge Baseline'!$B$1:$U$257,113,FALSE)),"",(VLOOKUP($B218,'E-1 Off Site Hedge Baseline'!$B$1:$U$257,13,FALSE))))</f>
        <v/>
      </c>
      <c r="L218" s="179" t="str">
        <f>IF(B218="","",IF(ISNA(VLOOKUP($B218,'E-1 Off Site Hedge Baseline'!$B$1:$U$257,12,FALSE)),"",(VLOOKUP($B218,'E-1 Off Site Hedge Baseline'!$B$1:$U$257,12,FALSE))))</f>
        <v/>
      </c>
      <c r="M218" s="639" t="str">
        <f t="shared" si="32"/>
        <v/>
      </c>
      <c r="N218" s="171" t="str">
        <f>IFERROR(IF(B218="","",INDEX('G-6 Hedgerow Data'!$AN$3:$AZ$15,MATCH(C218,'G-6 Hedgerow Data'!$AM$3:$AM$15,0),MATCH(M218,'G-6 Hedgerow Data'!$AN$2:$AZ$2,0))),"")</f>
        <v/>
      </c>
      <c r="O218" s="172" t="str">
        <f t="shared" si="26"/>
        <v/>
      </c>
      <c r="P218" s="260" t="str">
        <f>IF(B218="","",VLOOKUP(B218,'E-1 Off Site Hedge Baseline'!$B$10:T463,16,FALSE))</f>
        <v/>
      </c>
      <c r="Q218" s="171" t="str">
        <f>IF(M218="","",VLOOKUP(M218,'G-6 Hedgerow Data'!$B$2:$AG$15,2,FALSE))</f>
        <v/>
      </c>
      <c r="R218" s="172" t="str">
        <f>IF(M218="","",VLOOKUP(M218,'G-6 Hedgerow Data'!$B$2:$AG$15,3,FALSE))</f>
        <v/>
      </c>
      <c r="S218" s="173"/>
      <c r="T218" s="172" t="str">
        <f>IFERROR(IF(AND(Q218="V.Low",OR(S218="Good",S218="Moderate")),"Error",VLOOKUP(S218,'G-1 All Habitats'!$Z$2:$AA$9,2,FALSE)),"")</f>
        <v/>
      </c>
      <c r="U218" s="173"/>
      <c r="V218" s="179" t="str">
        <f>IF(U218="","",IF(VLOOKUP(U218,'G-3 Multipliers'!$L$3:$N$6,2,FALSE)=0,"Spatial Data Missing",VLOOKUP(U218,'G-3 Multipliers'!$L$3:$N$6,2,FALSE)))</f>
        <v/>
      </c>
      <c r="W218" s="260" t="str">
        <f>IF(U218="","",IF(VLOOKUP(U218,'G-3 Multipliers'!$L$3:$N$6,3,FALSE)=0,"Spatial Data Missing",VLOOKUP(U218,'G-3 Multipliers'!$L$3:$N$6,3,FALSE)))</f>
        <v/>
      </c>
      <c r="X218" s="171" t="str">
        <f>IFERROR(IF(OR(LEFT(O218,5)="Error",LEFT(N218,5)="Error",T218="Error"),"Check Data",IF(F218&lt;R218,INDEX('G-6 Hedgerow Data'!$S$3:$AE$14,MATCH(C218,'G-6 Hedgerow Data'!$B$3:$B$14,0),MATCH(M218,'G-6 Hedgerow Data'!$S$2:$AE$2,0)),INDEX('G-6 Hedgerow Data'!$K$3:$Q$14,MATCH(M218,'G-6 Hedgerow Data'!$B$3:$B$14,0),MATCH(O218,'G-6 Hedgerow Data'!$K$2:$Q$2,0)))),"")</f>
        <v/>
      </c>
      <c r="Y218" s="261"/>
      <c r="Z218" s="261"/>
      <c r="AA218" s="179" t="str">
        <f t="shared" si="27"/>
        <v/>
      </c>
      <c r="AB218" s="262" t="str">
        <f t="shared" si="28"/>
        <v/>
      </c>
      <c r="AC218" s="263" t="str">
        <f t="shared" si="25"/>
        <v/>
      </c>
      <c r="AD218" s="239" t="str">
        <f>IF(M218="","",VLOOKUP(M218,'G-6 Hedgerow Data'!$B$3:$AG$15,31,FALSE))</f>
        <v/>
      </c>
      <c r="AE218" s="175" t="str">
        <f t="shared" si="29"/>
        <v/>
      </c>
      <c r="AF218" s="175" t="str">
        <f t="shared" si="30"/>
        <v/>
      </c>
      <c r="AG218" s="176" t="str">
        <f>IFERROR(IF(O218="","",VLOOKUP(AD218,'G-3 Multipliers'!$P$3:$Q$6,2,FALSE)),"")</f>
        <v/>
      </c>
      <c r="AH218" s="266"/>
      <c r="AI218" s="172" t="str">
        <f>IF(AH218="","",IF(VLOOKUP(AH218,'G-3 Multipliers'!$S$3:$T$6,2,FALSE)=0,"Spatial Data Missing",VLOOKUP(AH218,'G-3 Multipliers'!$S$3:$T$6,2,FALSE)))</f>
        <v/>
      </c>
      <c r="AJ218" s="265" t="str">
        <f t="shared" si="31"/>
        <v/>
      </c>
      <c r="AK218" s="180"/>
      <c r="AL218" s="181"/>
      <c r="AP218" s="35" t="str">
        <f>IFERROR(INDEX('G-6 Hedgerow Data'!$BJ$3:$BJ$15,MATCH(M218,'G-6 Hedgerow Data'!$B$3:$B$15,0)),"")</f>
        <v/>
      </c>
    </row>
    <row r="219" spans="2:42" ht="13.8" x14ac:dyDescent="0.25">
      <c r="B219" s="259" t="str">
        <f>'E-1 Off Site Hedge Baseline'!AK217</f>
        <v/>
      </c>
      <c r="C219" s="175" t="str">
        <f>IF(B219="","",IF(ISNA(VLOOKUP($B219,'E-1 Off Site Hedge Baseline'!$B$1:$L$257,3,FALSE)),"",(VLOOKUP($B219,'E-1 Off Site Hedge Baseline'!$B$1:$L$257,3,FALSE))))</f>
        <v/>
      </c>
      <c r="D219" s="175" t="str">
        <f>IF(B219="","",IF(ISNA(VLOOKUP($B219,'E-1 Off Site Hedge Baseline'!$B$1:$L$258,4,FALSE)),"",(VLOOKUP($B219,'E-1 Off Site Hedge Baseline'!$B$1:$L$258,4,FALSE))))</f>
        <v/>
      </c>
      <c r="E219" s="175" t="str">
        <f>IF(B219="","",IF(ISNA(VLOOKUP($B219,'E-1 Off Site Hedge Baseline'!$B$1:$L$257,5,FALSE)),"",(VLOOKUP($B219,'E-1 Off Site Hedge Baseline'!$B$1:$L$257,5,FALSE))))</f>
        <v/>
      </c>
      <c r="F219" s="175" t="str">
        <f>IF(B219="","",IF(ISNA(VLOOKUP($B219,'E-1 Off Site Hedge Baseline'!$B$1:$L$257,6,FALSE)),"",(VLOOKUP($B219,'E-1 Off Site Hedge Baseline'!$B$1:$L$257,6,FALSE))))</f>
        <v/>
      </c>
      <c r="G219" s="175" t="str">
        <f>IF(B219="","",IF(ISNA(VLOOKUP($B219,'E-1 Off Site Hedge Baseline'!$B$1:$L$257,7,FALSE)),"",(VLOOKUP($B219,'E-1 Off Site Hedge Baseline'!$B$1:$L$257,7,FALSE))))</f>
        <v/>
      </c>
      <c r="H219" s="175" t="str">
        <f>IF(B219="","",IF(ISNA(VLOOKUP($B219,'E-1 Off Site Hedge Baseline'!$B$1:$L$257,8,FALSE)),"",(VLOOKUP($B219,'E-1 Off Site Hedge Baseline'!$B$1:$L$257,8,FALSE))))</f>
        <v/>
      </c>
      <c r="I219" s="175" t="str">
        <f>IF(B219="","",IF(ISNA(VLOOKUP($B219,'E-1 Off Site Hedge Baseline'!$B$1:$L$257,10,FALSE)),"",(VLOOKUP($B219,'E-1 Off Site Hedge Baseline'!$B$1:$L$257,10,FALSE))))</f>
        <v/>
      </c>
      <c r="J219" s="175" t="str">
        <f>IF(B219="","",IF(ISNA(VLOOKUP($B219,'E-1 Off Site Hedge Baseline'!$B$1:$L$257,11,FALSE)),"",(VLOOKUP($B219,'E-1 Off Site Hedge Baseline'!$B$1:$L$257,11,FALSE))))</f>
        <v/>
      </c>
      <c r="K219" s="175" t="str">
        <f>IF(B219="","",IF(ISNA(VLOOKUP($B219,'E-1 Off Site Hedge Baseline'!$B$1:$U$257,113,FALSE)),"",(VLOOKUP($B219,'E-1 Off Site Hedge Baseline'!$B$1:$U$257,13,FALSE))))</f>
        <v/>
      </c>
      <c r="L219" s="179" t="str">
        <f>IF(B219="","",IF(ISNA(VLOOKUP($B219,'E-1 Off Site Hedge Baseline'!$B$1:$U$257,12,FALSE)),"",(VLOOKUP($B219,'E-1 Off Site Hedge Baseline'!$B$1:$U$257,12,FALSE))))</f>
        <v/>
      </c>
      <c r="M219" s="639" t="str">
        <f t="shared" si="32"/>
        <v/>
      </c>
      <c r="N219" s="171" t="str">
        <f>IFERROR(IF(B219="","",INDEX('G-6 Hedgerow Data'!$AN$3:$AZ$15,MATCH(C219,'G-6 Hedgerow Data'!$AM$3:$AM$15,0),MATCH(M219,'G-6 Hedgerow Data'!$AN$2:$AZ$2,0))),"")</f>
        <v/>
      </c>
      <c r="O219" s="172" t="str">
        <f t="shared" si="26"/>
        <v/>
      </c>
      <c r="P219" s="260" t="str">
        <f>IF(B219="","",VLOOKUP(B219,'E-1 Off Site Hedge Baseline'!$B$10:T464,16,FALSE))</f>
        <v/>
      </c>
      <c r="Q219" s="171" t="str">
        <f>IF(M219="","",VLOOKUP(M219,'G-6 Hedgerow Data'!$B$2:$AG$15,2,FALSE))</f>
        <v/>
      </c>
      <c r="R219" s="172" t="str">
        <f>IF(M219="","",VLOOKUP(M219,'G-6 Hedgerow Data'!$B$2:$AG$15,3,FALSE))</f>
        <v/>
      </c>
      <c r="S219" s="173"/>
      <c r="T219" s="172" t="str">
        <f>IFERROR(IF(AND(Q219="V.Low",OR(S219="Good",S219="Moderate")),"Error",VLOOKUP(S219,'G-1 All Habitats'!$Z$2:$AA$9,2,FALSE)),"")</f>
        <v/>
      </c>
      <c r="U219" s="173"/>
      <c r="V219" s="179" t="str">
        <f>IF(U219="","",IF(VLOOKUP(U219,'G-3 Multipliers'!$L$3:$N$6,2,FALSE)=0,"Spatial Data Missing",VLOOKUP(U219,'G-3 Multipliers'!$L$3:$N$6,2,FALSE)))</f>
        <v/>
      </c>
      <c r="W219" s="260" t="str">
        <f>IF(U219="","",IF(VLOOKUP(U219,'G-3 Multipliers'!$L$3:$N$6,3,FALSE)=0,"Spatial Data Missing",VLOOKUP(U219,'G-3 Multipliers'!$L$3:$N$6,3,FALSE)))</f>
        <v/>
      </c>
      <c r="X219" s="171" t="str">
        <f>IFERROR(IF(OR(LEFT(O219,5)="Error",LEFT(N219,5)="Error",T219="Error"),"Check Data",IF(F219&lt;R219,INDEX('G-6 Hedgerow Data'!$S$3:$AE$14,MATCH(C219,'G-6 Hedgerow Data'!$B$3:$B$14,0),MATCH(M219,'G-6 Hedgerow Data'!$S$2:$AE$2,0)),INDEX('G-6 Hedgerow Data'!$K$3:$Q$14,MATCH(M219,'G-6 Hedgerow Data'!$B$3:$B$14,0),MATCH(O219,'G-6 Hedgerow Data'!$K$2:$Q$2,0)))),"")</f>
        <v/>
      </c>
      <c r="Y219" s="261"/>
      <c r="Z219" s="261"/>
      <c r="AA219" s="179" t="str">
        <f t="shared" si="27"/>
        <v/>
      </c>
      <c r="AB219" s="262" t="str">
        <f t="shared" si="28"/>
        <v/>
      </c>
      <c r="AC219" s="263" t="str">
        <f t="shared" si="25"/>
        <v/>
      </c>
      <c r="AD219" s="239" t="str">
        <f>IF(M219="","",VLOOKUP(M219,'G-6 Hedgerow Data'!$B$3:$AG$15,31,FALSE))</f>
        <v/>
      </c>
      <c r="AE219" s="175" t="str">
        <f t="shared" si="29"/>
        <v/>
      </c>
      <c r="AF219" s="175" t="str">
        <f t="shared" si="30"/>
        <v/>
      </c>
      <c r="AG219" s="176" t="str">
        <f>IFERROR(IF(O219="","",VLOOKUP(AD219,'G-3 Multipliers'!$P$3:$Q$6,2,FALSE)),"")</f>
        <v/>
      </c>
      <c r="AH219" s="266"/>
      <c r="AI219" s="172" t="str">
        <f>IF(AH219="","",IF(VLOOKUP(AH219,'G-3 Multipliers'!$S$3:$T$6,2,FALSE)=0,"Spatial Data Missing",VLOOKUP(AH219,'G-3 Multipliers'!$S$3:$T$6,2,FALSE)))</f>
        <v/>
      </c>
      <c r="AJ219" s="265" t="str">
        <f t="shared" si="31"/>
        <v/>
      </c>
      <c r="AK219" s="180"/>
      <c r="AL219" s="181"/>
      <c r="AP219" s="35" t="str">
        <f>IFERROR(INDEX('G-6 Hedgerow Data'!$BJ$3:$BJ$15,MATCH(M219,'G-6 Hedgerow Data'!$B$3:$B$15,0)),"")</f>
        <v/>
      </c>
    </row>
    <row r="220" spans="2:42" ht="13.8" x14ac:dyDescent="0.25">
      <c r="B220" s="259" t="str">
        <f>'E-1 Off Site Hedge Baseline'!AK218</f>
        <v/>
      </c>
      <c r="C220" s="175" t="str">
        <f>IF(B220="","",IF(ISNA(VLOOKUP($B220,'E-1 Off Site Hedge Baseline'!$B$1:$L$257,3,FALSE)),"",(VLOOKUP($B220,'E-1 Off Site Hedge Baseline'!$B$1:$L$257,3,FALSE))))</f>
        <v/>
      </c>
      <c r="D220" s="175" t="str">
        <f>IF(B220="","",IF(ISNA(VLOOKUP($B220,'E-1 Off Site Hedge Baseline'!$B$1:$L$258,4,FALSE)),"",(VLOOKUP($B220,'E-1 Off Site Hedge Baseline'!$B$1:$L$258,4,FALSE))))</f>
        <v/>
      </c>
      <c r="E220" s="175" t="str">
        <f>IF(B220="","",IF(ISNA(VLOOKUP($B220,'E-1 Off Site Hedge Baseline'!$B$1:$L$257,5,FALSE)),"",(VLOOKUP($B220,'E-1 Off Site Hedge Baseline'!$B$1:$L$257,5,FALSE))))</f>
        <v/>
      </c>
      <c r="F220" s="175" t="str">
        <f>IF(B220="","",IF(ISNA(VLOOKUP($B220,'E-1 Off Site Hedge Baseline'!$B$1:$L$257,6,FALSE)),"",(VLOOKUP($B220,'E-1 Off Site Hedge Baseline'!$B$1:$L$257,6,FALSE))))</f>
        <v/>
      </c>
      <c r="G220" s="175" t="str">
        <f>IF(B220="","",IF(ISNA(VLOOKUP($B220,'E-1 Off Site Hedge Baseline'!$B$1:$L$257,7,FALSE)),"",(VLOOKUP($B220,'E-1 Off Site Hedge Baseline'!$B$1:$L$257,7,FALSE))))</f>
        <v/>
      </c>
      <c r="H220" s="175" t="str">
        <f>IF(B220="","",IF(ISNA(VLOOKUP($B220,'E-1 Off Site Hedge Baseline'!$B$1:$L$257,8,FALSE)),"",(VLOOKUP($B220,'E-1 Off Site Hedge Baseline'!$B$1:$L$257,8,FALSE))))</f>
        <v/>
      </c>
      <c r="I220" s="175" t="str">
        <f>IF(B220="","",IF(ISNA(VLOOKUP($B220,'E-1 Off Site Hedge Baseline'!$B$1:$L$257,10,FALSE)),"",(VLOOKUP($B220,'E-1 Off Site Hedge Baseline'!$B$1:$L$257,10,FALSE))))</f>
        <v/>
      </c>
      <c r="J220" s="175" t="str">
        <f>IF(B220="","",IF(ISNA(VLOOKUP($B220,'E-1 Off Site Hedge Baseline'!$B$1:$L$257,11,FALSE)),"",(VLOOKUP($B220,'E-1 Off Site Hedge Baseline'!$B$1:$L$257,11,FALSE))))</f>
        <v/>
      </c>
      <c r="K220" s="175" t="str">
        <f>IF(B220="","",IF(ISNA(VLOOKUP($B220,'E-1 Off Site Hedge Baseline'!$B$1:$U$257,113,FALSE)),"",(VLOOKUP($B220,'E-1 Off Site Hedge Baseline'!$B$1:$U$257,13,FALSE))))</f>
        <v/>
      </c>
      <c r="L220" s="179" t="str">
        <f>IF(B220="","",IF(ISNA(VLOOKUP($B220,'E-1 Off Site Hedge Baseline'!$B$1:$U$257,12,FALSE)),"",(VLOOKUP($B220,'E-1 Off Site Hedge Baseline'!$B$1:$U$257,12,FALSE))))</f>
        <v/>
      </c>
      <c r="M220" s="639" t="str">
        <f t="shared" si="32"/>
        <v/>
      </c>
      <c r="N220" s="171" t="str">
        <f>IFERROR(IF(B220="","",INDEX('G-6 Hedgerow Data'!$AN$3:$AZ$15,MATCH(C220,'G-6 Hedgerow Data'!$AM$3:$AM$15,0),MATCH(M220,'G-6 Hedgerow Data'!$AN$2:$AZ$2,0))),"")</f>
        <v/>
      </c>
      <c r="O220" s="172" t="str">
        <f t="shared" si="26"/>
        <v/>
      </c>
      <c r="P220" s="260" t="str">
        <f>IF(B220="","",VLOOKUP(B220,'E-1 Off Site Hedge Baseline'!$B$10:T465,16,FALSE))</f>
        <v/>
      </c>
      <c r="Q220" s="171" t="str">
        <f>IF(M220="","",VLOOKUP(M220,'G-6 Hedgerow Data'!$B$2:$AG$15,2,FALSE))</f>
        <v/>
      </c>
      <c r="R220" s="172" t="str">
        <f>IF(M220="","",VLOOKUP(M220,'G-6 Hedgerow Data'!$B$2:$AG$15,3,FALSE))</f>
        <v/>
      </c>
      <c r="S220" s="173"/>
      <c r="T220" s="172" t="str">
        <f>IFERROR(IF(AND(Q220="V.Low",OR(S220="Good",S220="Moderate")),"Error",VLOOKUP(S220,'G-1 All Habitats'!$Z$2:$AA$9,2,FALSE)),"")</f>
        <v/>
      </c>
      <c r="U220" s="173"/>
      <c r="V220" s="179" t="str">
        <f>IF(U220="","",IF(VLOOKUP(U220,'G-3 Multipliers'!$L$3:$N$6,2,FALSE)=0,"Spatial Data Missing",VLOOKUP(U220,'G-3 Multipliers'!$L$3:$N$6,2,FALSE)))</f>
        <v/>
      </c>
      <c r="W220" s="260" t="str">
        <f>IF(U220="","",IF(VLOOKUP(U220,'G-3 Multipliers'!$L$3:$N$6,3,FALSE)=0,"Spatial Data Missing",VLOOKUP(U220,'G-3 Multipliers'!$L$3:$N$6,3,FALSE)))</f>
        <v/>
      </c>
      <c r="X220" s="171" t="str">
        <f>IFERROR(IF(OR(LEFT(O220,5)="Error",LEFT(N220,5)="Error",T220="Error"),"Check Data",IF(F220&lt;R220,INDEX('G-6 Hedgerow Data'!$S$3:$AE$14,MATCH(C220,'G-6 Hedgerow Data'!$B$3:$B$14,0),MATCH(M220,'G-6 Hedgerow Data'!$S$2:$AE$2,0)),INDEX('G-6 Hedgerow Data'!$K$3:$Q$14,MATCH(M220,'G-6 Hedgerow Data'!$B$3:$B$14,0),MATCH(O220,'G-6 Hedgerow Data'!$K$2:$Q$2,0)))),"")</f>
        <v/>
      </c>
      <c r="Y220" s="261"/>
      <c r="Z220" s="261"/>
      <c r="AA220" s="179" t="str">
        <f t="shared" si="27"/>
        <v/>
      </c>
      <c r="AB220" s="262" t="str">
        <f t="shared" si="28"/>
        <v/>
      </c>
      <c r="AC220" s="263" t="str">
        <f t="shared" si="25"/>
        <v/>
      </c>
      <c r="AD220" s="239" t="str">
        <f>IF(M220="","",VLOOKUP(M220,'G-6 Hedgerow Data'!$B$3:$AG$15,31,FALSE))</f>
        <v/>
      </c>
      <c r="AE220" s="175" t="str">
        <f t="shared" si="29"/>
        <v/>
      </c>
      <c r="AF220" s="175" t="str">
        <f t="shared" si="30"/>
        <v/>
      </c>
      <c r="AG220" s="176" t="str">
        <f>IFERROR(IF(O220="","",VLOOKUP(AD220,'G-3 Multipliers'!$P$3:$Q$6,2,FALSE)),"")</f>
        <v/>
      </c>
      <c r="AH220" s="266"/>
      <c r="AI220" s="172" t="str">
        <f>IF(AH220="","",IF(VLOOKUP(AH220,'G-3 Multipliers'!$S$3:$T$6,2,FALSE)=0,"Spatial Data Missing",VLOOKUP(AH220,'G-3 Multipliers'!$S$3:$T$6,2,FALSE)))</f>
        <v/>
      </c>
      <c r="AJ220" s="265" t="str">
        <f t="shared" si="31"/>
        <v/>
      </c>
      <c r="AK220" s="180"/>
      <c r="AL220" s="181"/>
      <c r="AP220" s="35" t="str">
        <f>IFERROR(INDEX('G-6 Hedgerow Data'!$BJ$3:$BJ$15,MATCH(M220,'G-6 Hedgerow Data'!$B$3:$B$15,0)),"")</f>
        <v/>
      </c>
    </row>
    <row r="221" spans="2:42" ht="13.8" x14ac:dyDescent="0.25">
      <c r="B221" s="259" t="str">
        <f>'E-1 Off Site Hedge Baseline'!AK219</f>
        <v/>
      </c>
      <c r="C221" s="175" t="str">
        <f>IF(B221="","",IF(ISNA(VLOOKUP($B221,'E-1 Off Site Hedge Baseline'!$B$1:$L$257,3,FALSE)),"",(VLOOKUP($B221,'E-1 Off Site Hedge Baseline'!$B$1:$L$257,3,FALSE))))</f>
        <v/>
      </c>
      <c r="D221" s="175" t="str">
        <f>IF(B221="","",IF(ISNA(VLOOKUP($B221,'E-1 Off Site Hedge Baseline'!$B$1:$L$258,4,FALSE)),"",(VLOOKUP($B221,'E-1 Off Site Hedge Baseline'!$B$1:$L$258,4,FALSE))))</f>
        <v/>
      </c>
      <c r="E221" s="175" t="str">
        <f>IF(B221="","",IF(ISNA(VLOOKUP($B221,'E-1 Off Site Hedge Baseline'!$B$1:$L$257,5,FALSE)),"",(VLOOKUP($B221,'E-1 Off Site Hedge Baseline'!$B$1:$L$257,5,FALSE))))</f>
        <v/>
      </c>
      <c r="F221" s="175" t="str">
        <f>IF(B221="","",IF(ISNA(VLOOKUP($B221,'E-1 Off Site Hedge Baseline'!$B$1:$L$257,6,FALSE)),"",(VLOOKUP($B221,'E-1 Off Site Hedge Baseline'!$B$1:$L$257,6,FALSE))))</f>
        <v/>
      </c>
      <c r="G221" s="175" t="str">
        <f>IF(B221="","",IF(ISNA(VLOOKUP($B221,'E-1 Off Site Hedge Baseline'!$B$1:$L$257,7,FALSE)),"",(VLOOKUP($B221,'E-1 Off Site Hedge Baseline'!$B$1:$L$257,7,FALSE))))</f>
        <v/>
      </c>
      <c r="H221" s="175" t="str">
        <f>IF(B221="","",IF(ISNA(VLOOKUP($B221,'E-1 Off Site Hedge Baseline'!$B$1:$L$257,8,FALSE)),"",(VLOOKUP($B221,'E-1 Off Site Hedge Baseline'!$B$1:$L$257,8,FALSE))))</f>
        <v/>
      </c>
      <c r="I221" s="175" t="str">
        <f>IF(B221="","",IF(ISNA(VLOOKUP($B221,'E-1 Off Site Hedge Baseline'!$B$1:$L$257,10,FALSE)),"",(VLOOKUP($B221,'E-1 Off Site Hedge Baseline'!$B$1:$L$257,10,FALSE))))</f>
        <v/>
      </c>
      <c r="J221" s="175" t="str">
        <f>IF(B221="","",IF(ISNA(VLOOKUP($B221,'E-1 Off Site Hedge Baseline'!$B$1:$L$257,11,FALSE)),"",(VLOOKUP($B221,'E-1 Off Site Hedge Baseline'!$B$1:$L$257,11,FALSE))))</f>
        <v/>
      </c>
      <c r="K221" s="175" t="str">
        <f>IF(B221="","",IF(ISNA(VLOOKUP($B221,'E-1 Off Site Hedge Baseline'!$B$1:$U$257,113,FALSE)),"",(VLOOKUP($B221,'E-1 Off Site Hedge Baseline'!$B$1:$U$257,13,FALSE))))</f>
        <v/>
      </c>
      <c r="L221" s="179" t="str">
        <f>IF(B221="","",IF(ISNA(VLOOKUP($B221,'E-1 Off Site Hedge Baseline'!$B$1:$U$257,12,FALSE)),"",(VLOOKUP($B221,'E-1 Off Site Hedge Baseline'!$B$1:$U$257,12,FALSE))))</f>
        <v/>
      </c>
      <c r="M221" s="639" t="str">
        <f t="shared" si="32"/>
        <v/>
      </c>
      <c r="N221" s="171" t="str">
        <f>IFERROR(IF(B221="","",INDEX('G-6 Hedgerow Data'!$AN$3:$AZ$15,MATCH(C221,'G-6 Hedgerow Data'!$AM$3:$AM$15,0),MATCH(M221,'G-6 Hedgerow Data'!$AN$2:$AZ$2,0))),"")</f>
        <v/>
      </c>
      <c r="O221" s="172" t="str">
        <f t="shared" si="26"/>
        <v/>
      </c>
      <c r="P221" s="260" t="str">
        <f>IF(B221="","",VLOOKUP(B221,'E-1 Off Site Hedge Baseline'!$B$10:T466,16,FALSE))</f>
        <v/>
      </c>
      <c r="Q221" s="171" t="str">
        <f>IF(M221="","",VLOOKUP(M221,'G-6 Hedgerow Data'!$B$2:$AG$15,2,FALSE))</f>
        <v/>
      </c>
      <c r="R221" s="172" t="str">
        <f>IF(M221="","",VLOOKUP(M221,'G-6 Hedgerow Data'!$B$2:$AG$15,3,FALSE))</f>
        <v/>
      </c>
      <c r="S221" s="173"/>
      <c r="T221" s="172" t="str">
        <f>IFERROR(IF(AND(Q221="V.Low",OR(S221="Good",S221="Moderate")),"Error",VLOOKUP(S221,'G-1 All Habitats'!$Z$2:$AA$9,2,FALSE)),"")</f>
        <v/>
      </c>
      <c r="U221" s="173"/>
      <c r="V221" s="179" t="str">
        <f>IF(U221="","",IF(VLOOKUP(U221,'G-3 Multipliers'!$L$3:$N$6,2,FALSE)=0,"Spatial Data Missing",VLOOKUP(U221,'G-3 Multipliers'!$L$3:$N$6,2,FALSE)))</f>
        <v/>
      </c>
      <c r="W221" s="260" t="str">
        <f>IF(U221="","",IF(VLOOKUP(U221,'G-3 Multipliers'!$L$3:$N$6,3,FALSE)=0,"Spatial Data Missing",VLOOKUP(U221,'G-3 Multipliers'!$L$3:$N$6,3,FALSE)))</f>
        <v/>
      </c>
      <c r="X221" s="171" t="str">
        <f>IFERROR(IF(OR(LEFT(O221,5)="Error",LEFT(N221,5)="Error",T221="Error"),"Check Data",IF(F221&lt;R221,INDEX('G-6 Hedgerow Data'!$S$3:$AE$14,MATCH(C221,'G-6 Hedgerow Data'!$B$3:$B$14,0),MATCH(M221,'G-6 Hedgerow Data'!$S$2:$AE$2,0)),INDEX('G-6 Hedgerow Data'!$K$3:$Q$14,MATCH(M221,'G-6 Hedgerow Data'!$B$3:$B$14,0),MATCH(O221,'G-6 Hedgerow Data'!$K$2:$Q$2,0)))),"")</f>
        <v/>
      </c>
      <c r="Y221" s="261"/>
      <c r="Z221" s="261"/>
      <c r="AA221" s="179" t="str">
        <f t="shared" si="27"/>
        <v/>
      </c>
      <c r="AB221" s="262" t="str">
        <f t="shared" si="28"/>
        <v/>
      </c>
      <c r="AC221" s="263" t="str">
        <f t="shared" si="25"/>
        <v/>
      </c>
      <c r="AD221" s="239" t="str">
        <f>IF(M221="","",VLOOKUP(M221,'G-6 Hedgerow Data'!$B$3:$AG$15,31,FALSE))</f>
        <v/>
      </c>
      <c r="AE221" s="175" t="str">
        <f t="shared" si="29"/>
        <v/>
      </c>
      <c r="AF221" s="175" t="str">
        <f t="shared" si="30"/>
        <v/>
      </c>
      <c r="AG221" s="176" t="str">
        <f>IFERROR(IF(O221="","",VLOOKUP(AD221,'G-3 Multipliers'!$P$3:$Q$6,2,FALSE)),"")</f>
        <v/>
      </c>
      <c r="AH221" s="266"/>
      <c r="AI221" s="172" t="str">
        <f>IF(AH221="","",IF(VLOOKUP(AH221,'G-3 Multipliers'!$S$3:$T$6,2,FALSE)=0,"Spatial Data Missing",VLOOKUP(AH221,'G-3 Multipliers'!$S$3:$T$6,2,FALSE)))</f>
        <v/>
      </c>
      <c r="AJ221" s="265" t="str">
        <f t="shared" si="31"/>
        <v/>
      </c>
      <c r="AK221" s="180"/>
      <c r="AL221" s="181"/>
      <c r="AP221" s="35" t="str">
        <f>IFERROR(INDEX('G-6 Hedgerow Data'!$BJ$3:$BJ$15,MATCH(M221,'G-6 Hedgerow Data'!$B$3:$B$15,0)),"")</f>
        <v/>
      </c>
    </row>
    <row r="222" spans="2:42" ht="13.8" x14ac:dyDescent="0.25">
      <c r="B222" s="259" t="str">
        <f>'E-1 Off Site Hedge Baseline'!AK220</f>
        <v/>
      </c>
      <c r="C222" s="175" t="str">
        <f>IF(B222="","",IF(ISNA(VLOOKUP($B222,'E-1 Off Site Hedge Baseline'!$B$1:$L$257,3,FALSE)),"",(VLOOKUP($B222,'E-1 Off Site Hedge Baseline'!$B$1:$L$257,3,FALSE))))</f>
        <v/>
      </c>
      <c r="D222" s="175" t="str">
        <f>IF(B222="","",IF(ISNA(VLOOKUP($B222,'E-1 Off Site Hedge Baseline'!$B$1:$L$258,4,FALSE)),"",(VLOOKUP($B222,'E-1 Off Site Hedge Baseline'!$B$1:$L$258,4,FALSE))))</f>
        <v/>
      </c>
      <c r="E222" s="175" t="str">
        <f>IF(B222="","",IF(ISNA(VLOOKUP($B222,'E-1 Off Site Hedge Baseline'!$B$1:$L$257,5,FALSE)),"",(VLOOKUP($B222,'E-1 Off Site Hedge Baseline'!$B$1:$L$257,5,FALSE))))</f>
        <v/>
      </c>
      <c r="F222" s="175" t="str">
        <f>IF(B222="","",IF(ISNA(VLOOKUP($B222,'E-1 Off Site Hedge Baseline'!$B$1:$L$257,6,FALSE)),"",(VLOOKUP($B222,'E-1 Off Site Hedge Baseline'!$B$1:$L$257,6,FALSE))))</f>
        <v/>
      </c>
      <c r="G222" s="175" t="str">
        <f>IF(B222="","",IF(ISNA(VLOOKUP($B222,'E-1 Off Site Hedge Baseline'!$B$1:$L$257,7,FALSE)),"",(VLOOKUP($B222,'E-1 Off Site Hedge Baseline'!$B$1:$L$257,7,FALSE))))</f>
        <v/>
      </c>
      <c r="H222" s="175" t="str">
        <f>IF(B222="","",IF(ISNA(VLOOKUP($B222,'E-1 Off Site Hedge Baseline'!$B$1:$L$257,8,FALSE)),"",(VLOOKUP($B222,'E-1 Off Site Hedge Baseline'!$B$1:$L$257,8,FALSE))))</f>
        <v/>
      </c>
      <c r="I222" s="175" t="str">
        <f>IF(B222="","",IF(ISNA(VLOOKUP($B222,'E-1 Off Site Hedge Baseline'!$B$1:$L$257,10,FALSE)),"",(VLOOKUP($B222,'E-1 Off Site Hedge Baseline'!$B$1:$L$257,10,FALSE))))</f>
        <v/>
      </c>
      <c r="J222" s="175" t="str">
        <f>IF(B222="","",IF(ISNA(VLOOKUP($B222,'E-1 Off Site Hedge Baseline'!$B$1:$L$257,11,FALSE)),"",(VLOOKUP($B222,'E-1 Off Site Hedge Baseline'!$B$1:$L$257,11,FALSE))))</f>
        <v/>
      </c>
      <c r="K222" s="175" t="str">
        <f>IF(B222="","",IF(ISNA(VLOOKUP($B222,'E-1 Off Site Hedge Baseline'!$B$1:$U$257,113,FALSE)),"",(VLOOKUP($B222,'E-1 Off Site Hedge Baseline'!$B$1:$U$257,13,FALSE))))</f>
        <v/>
      </c>
      <c r="L222" s="179" t="str">
        <f>IF(B222="","",IF(ISNA(VLOOKUP($B222,'E-1 Off Site Hedge Baseline'!$B$1:$U$257,12,FALSE)),"",(VLOOKUP($B222,'E-1 Off Site Hedge Baseline'!$B$1:$U$257,12,FALSE))))</f>
        <v/>
      </c>
      <c r="M222" s="639" t="str">
        <f t="shared" si="32"/>
        <v/>
      </c>
      <c r="N222" s="171" t="str">
        <f>IFERROR(IF(B222="","",INDEX('G-6 Hedgerow Data'!$AN$3:$AZ$15,MATCH(C222,'G-6 Hedgerow Data'!$AM$3:$AM$15,0),MATCH(M222,'G-6 Hedgerow Data'!$AN$2:$AZ$2,0))),"")</f>
        <v/>
      </c>
      <c r="O222" s="172" t="str">
        <f t="shared" si="26"/>
        <v/>
      </c>
      <c r="P222" s="260" t="str">
        <f>IF(B222="","",VLOOKUP(B222,'E-1 Off Site Hedge Baseline'!$B$10:T467,16,FALSE))</f>
        <v/>
      </c>
      <c r="Q222" s="171" t="str">
        <f>IF(M222="","",VLOOKUP(M222,'G-6 Hedgerow Data'!$B$2:$AG$15,2,FALSE))</f>
        <v/>
      </c>
      <c r="R222" s="172" t="str">
        <f>IF(M222="","",VLOOKUP(M222,'G-6 Hedgerow Data'!$B$2:$AG$15,3,FALSE))</f>
        <v/>
      </c>
      <c r="S222" s="173"/>
      <c r="T222" s="172" t="str">
        <f>IFERROR(IF(AND(Q222="V.Low",OR(S222="Good",S222="Moderate")),"Error",VLOOKUP(S222,'G-1 All Habitats'!$Z$2:$AA$9,2,FALSE)),"")</f>
        <v/>
      </c>
      <c r="U222" s="173"/>
      <c r="V222" s="179" t="str">
        <f>IF(U222="","",IF(VLOOKUP(U222,'G-3 Multipliers'!$L$3:$N$6,2,FALSE)=0,"Spatial Data Missing",VLOOKUP(U222,'G-3 Multipliers'!$L$3:$N$6,2,FALSE)))</f>
        <v/>
      </c>
      <c r="W222" s="260" t="str">
        <f>IF(U222="","",IF(VLOOKUP(U222,'G-3 Multipliers'!$L$3:$N$6,3,FALSE)=0,"Spatial Data Missing",VLOOKUP(U222,'G-3 Multipliers'!$L$3:$N$6,3,FALSE)))</f>
        <v/>
      </c>
      <c r="X222" s="171" t="str">
        <f>IFERROR(IF(OR(LEFT(O222,5)="Error",LEFT(N222,5)="Error",T222="Error"),"Check Data",IF(F222&lt;R222,INDEX('G-6 Hedgerow Data'!$S$3:$AE$14,MATCH(C222,'G-6 Hedgerow Data'!$B$3:$B$14,0),MATCH(M222,'G-6 Hedgerow Data'!$S$2:$AE$2,0)),INDEX('G-6 Hedgerow Data'!$K$3:$Q$14,MATCH(M222,'G-6 Hedgerow Data'!$B$3:$B$14,0),MATCH(O222,'G-6 Hedgerow Data'!$K$2:$Q$2,0)))),"")</f>
        <v/>
      </c>
      <c r="Y222" s="261"/>
      <c r="Z222" s="261"/>
      <c r="AA222" s="179" t="str">
        <f t="shared" si="27"/>
        <v/>
      </c>
      <c r="AB222" s="262" t="str">
        <f t="shared" si="28"/>
        <v/>
      </c>
      <c r="AC222" s="263" t="str">
        <f t="shared" si="25"/>
        <v/>
      </c>
      <c r="AD222" s="239" t="str">
        <f>IF(M222="","",VLOOKUP(M222,'G-6 Hedgerow Data'!$B$3:$AG$15,31,FALSE))</f>
        <v/>
      </c>
      <c r="AE222" s="175" t="str">
        <f t="shared" si="29"/>
        <v/>
      </c>
      <c r="AF222" s="175" t="str">
        <f t="shared" si="30"/>
        <v/>
      </c>
      <c r="AG222" s="176" t="str">
        <f>IFERROR(IF(O222="","",VLOOKUP(AD222,'G-3 Multipliers'!$P$3:$Q$6,2,FALSE)),"")</f>
        <v/>
      </c>
      <c r="AH222" s="266"/>
      <c r="AI222" s="172" t="str">
        <f>IF(AH222="","",IF(VLOOKUP(AH222,'G-3 Multipliers'!$S$3:$T$6,2,FALSE)=0,"Spatial Data Missing",VLOOKUP(AH222,'G-3 Multipliers'!$S$3:$T$6,2,FALSE)))</f>
        <v/>
      </c>
      <c r="AJ222" s="265" t="str">
        <f t="shared" si="31"/>
        <v/>
      </c>
      <c r="AK222" s="180"/>
      <c r="AL222" s="181"/>
      <c r="AP222" s="35" t="str">
        <f>IFERROR(INDEX('G-6 Hedgerow Data'!$BJ$3:$BJ$15,MATCH(M222,'G-6 Hedgerow Data'!$B$3:$B$15,0)),"")</f>
        <v/>
      </c>
    </row>
    <row r="223" spans="2:42" ht="13.8" x14ac:dyDescent="0.25">
      <c r="B223" s="259" t="str">
        <f>'E-1 Off Site Hedge Baseline'!AK221</f>
        <v/>
      </c>
      <c r="C223" s="175" t="str">
        <f>IF(B223="","",IF(ISNA(VLOOKUP($B223,'E-1 Off Site Hedge Baseline'!$B$1:$L$257,3,FALSE)),"",(VLOOKUP($B223,'E-1 Off Site Hedge Baseline'!$B$1:$L$257,3,FALSE))))</f>
        <v/>
      </c>
      <c r="D223" s="175" t="str">
        <f>IF(B223="","",IF(ISNA(VLOOKUP($B223,'E-1 Off Site Hedge Baseline'!$B$1:$L$258,4,FALSE)),"",(VLOOKUP($B223,'E-1 Off Site Hedge Baseline'!$B$1:$L$258,4,FALSE))))</f>
        <v/>
      </c>
      <c r="E223" s="175" t="str">
        <f>IF(B223="","",IF(ISNA(VLOOKUP($B223,'E-1 Off Site Hedge Baseline'!$B$1:$L$257,5,FALSE)),"",(VLOOKUP($B223,'E-1 Off Site Hedge Baseline'!$B$1:$L$257,5,FALSE))))</f>
        <v/>
      </c>
      <c r="F223" s="175" t="str">
        <f>IF(B223="","",IF(ISNA(VLOOKUP($B223,'E-1 Off Site Hedge Baseline'!$B$1:$L$257,6,FALSE)),"",(VLOOKUP($B223,'E-1 Off Site Hedge Baseline'!$B$1:$L$257,6,FALSE))))</f>
        <v/>
      </c>
      <c r="G223" s="175" t="str">
        <f>IF(B223="","",IF(ISNA(VLOOKUP($B223,'E-1 Off Site Hedge Baseline'!$B$1:$L$257,7,FALSE)),"",(VLOOKUP($B223,'E-1 Off Site Hedge Baseline'!$B$1:$L$257,7,FALSE))))</f>
        <v/>
      </c>
      <c r="H223" s="175" t="str">
        <f>IF(B223="","",IF(ISNA(VLOOKUP($B223,'E-1 Off Site Hedge Baseline'!$B$1:$L$257,8,FALSE)),"",(VLOOKUP($B223,'E-1 Off Site Hedge Baseline'!$B$1:$L$257,8,FALSE))))</f>
        <v/>
      </c>
      <c r="I223" s="175" t="str">
        <f>IF(B223="","",IF(ISNA(VLOOKUP($B223,'E-1 Off Site Hedge Baseline'!$B$1:$L$257,10,FALSE)),"",(VLOOKUP($B223,'E-1 Off Site Hedge Baseline'!$B$1:$L$257,10,FALSE))))</f>
        <v/>
      </c>
      <c r="J223" s="175" t="str">
        <f>IF(B223="","",IF(ISNA(VLOOKUP($B223,'E-1 Off Site Hedge Baseline'!$B$1:$L$257,11,FALSE)),"",(VLOOKUP($B223,'E-1 Off Site Hedge Baseline'!$B$1:$L$257,11,FALSE))))</f>
        <v/>
      </c>
      <c r="K223" s="175" t="str">
        <f>IF(B223="","",IF(ISNA(VLOOKUP($B223,'E-1 Off Site Hedge Baseline'!$B$1:$U$257,113,FALSE)),"",(VLOOKUP($B223,'E-1 Off Site Hedge Baseline'!$B$1:$U$257,13,FALSE))))</f>
        <v/>
      </c>
      <c r="L223" s="179" t="str">
        <f>IF(B223="","",IF(ISNA(VLOOKUP($B223,'E-1 Off Site Hedge Baseline'!$B$1:$U$257,12,FALSE)),"",(VLOOKUP($B223,'E-1 Off Site Hedge Baseline'!$B$1:$U$257,12,FALSE))))</f>
        <v/>
      </c>
      <c r="M223" s="639" t="str">
        <f t="shared" si="32"/>
        <v/>
      </c>
      <c r="N223" s="171" t="str">
        <f>IFERROR(IF(B223="","",INDEX('G-6 Hedgerow Data'!$AN$3:$AZ$15,MATCH(C223,'G-6 Hedgerow Data'!$AM$3:$AM$15,0),MATCH(M223,'G-6 Hedgerow Data'!$AN$2:$AZ$2,0))),"")</f>
        <v/>
      </c>
      <c r="O223" s="172" t="str">
        <f t="shared" si="26"/>
        <v/>
      </c>
      <c r="P223" s="260" t="str">
        <f>IF(B223="","",VLOOKUP(B223,'E-1 Off Site Hedge Baseline'!$B$10:T468,16,FALSE))</f>
        <v/>
      </c>
      <c r="Q223" s="171" t="str">
        <f>IF(M223="","",VLOOKUP(M223,'G-6 Hedgerow Data'!$B$2:$AG$15,2,FALSE))</f>
        <v/>
      </c>
      <c r="R223" s="172" t="str">
        <f>IF(M223="","",VLOOKUP(M223,'G-6 Hedgerow Data'!$B$2:$AG$15,3,FALSE))</f>
        <v/>
      </c>
      <c r="S223" s="173"/>
      <c r="T223" s="172" t="str">
        <f>IFERROR(IF(AND(Q223="V.Low",OR(S223="Good",S223="Moderate")),"Error",VLOOKUP(S223,'G-1 All Habitats'!$Z$2:$AA$9,2,FALSE)),"")</f>
        <v/>
      </c>
      <c r="U223" s="173"/>
      <c r="V223" s="179" t="str">
        <f>IF(U223="","",IF(VLOOKUP(U223,'G-3 Multipliers'!$L$3:$N$6,2,FALSE)=0,"Spatial Data Missing",VLOOKUP(U223,'G-3 Multipliers'!$L$3:$N$6,2,FALSE)))</f>
        <v/>
      </c>
      <c r="W223" s="260" t="str">
        <f>IF(U223="","",IF(VLOOKUP(U223,'G-3 Multipliers'!$L$3:$N$6,3,FALSE)=0,"Spatial Data Missing",VLOOKUP(U223,'G-3 Multipliers'!$L$3:$N$6,3,FALSE)))</f>
        <v/>
      </c>
      <c r="X223" s="171" t="str">
        <f>IFERROR(IF(OR(LEFT(O223,5)="Error",LEFT(N223,5)="Error",T223="Error"),"Check Data",IF(F223&lt;R223,INDEX('G-6 Hedgerow Data'!$S$3:$AE$14,MATCH(C223,'G-6 Hedgerow Data'!$B$3:$B$14,0),MATCH(M223,'G-6 Hedgerow Data'!$S$2:$AE$2,0)),INDEX('G-6 Hedgerow Data'!$K$3:$Q$14,MATCH(M223,'G-6 Hedgerow Data'!$B$3:$B$14,0),MATCH(O223,'G-6 Hedgerow Data'!$K$2:$Q$2,0)))),"")</f>
        <v/>
      </c>
      <c r="Y223" s="261"/>
      <c r="Z223" s="261"/>
      <c r="AA223" s="179" t="str">
        <f t="shared" si="27"/>
        <v/>
      </c>
      <c r="AB223" s="262" t="str">
        <f t="shared" si="28"/>
        <v/>
      </c>
      <c r="AC223" s="263" t="str">
        <f t="shared" si="25"/>
        <v/>
      </c>
      <c r="AD223" s="239" t="str">
        <f>IF(M223="","",VLOOKUP(M223,'G-6 Hedgerow Data'!$B$3:$AG$15,31,FALSE))</f>
        <v/>
      </c>
      <c r="AE223" s="175" t="str">
        <f t="shared" si="29"/>
        <v/>
      </c>
      <c r="AF223" s="175" t="str">
        <f t="shared" si="30"/>
        <v/>
      </c>
      <c r="AG223" s="176" t="str">
        <f>IFERROR(IF(O223="","",VLOOKUP(AD223,'G-3 Multipliers'!$P$3:$Q$6,2,FALSE)),"")</f>
        <v/>
      </c>
      <c r="AH223" s="266"/>
      <c r="AI223" s="172" t="str">
        <f>IF(AH223="","",IF(VLOOKUP(AH223,'G-3 Multipliers'!$S$3:$T$6,2,FALSE)=0,"Spatial Data Missing",VLOOKUP(AH223,'G-3 Multipliers'!$S$3:$T$6,2,FALSE)))</f>
        <v/>
      </c>
      <c r="AJ223" s="265" t="str">
        <f t="shared" si="31"/>
        <v/>
      </c>
      <c r="AK223" s="180"/>
      <c r="AL223" s="181"/>
      <c r="AP223" s="35" t="str">
        <f>IFERROR(INDEX('G-6 Hedgerow Data'!$BJ$3:$BJ$15,MATCH(M223,'G-6 Hedgerow Data'!$B$3:$B$15,0)),"")</f>
        <v/>
      </c>
    </row>
    <row r="224" spans="2:42" ht="13.8" x14ac:dyDescent="0.25">
      <c r="B224" s="259" t="str">
        <f>'E-1 Off Site Hedge Baseline'!AK222</f>
        <v/>
      </c>
      <c r="C224" s="175" t="str">
        <f>IF(B224="","",IF(ISNA(VLOOKUP($B224,'E-1 Off Site Hedge Baseline'!$B$1:$L$257,3,FALSE)),"",(VLOOKUP($B224,'E-1 Off Site Hedge Baseline'!$B$1:$L$257,3,FALSE))))</f>
        <v/>
      </c>
      <c r="D224" s="175" t="str">
        <f>IF(B224="","",IF(ISNA(VLOOKUP($B224,'E-1 Off Site Hedge Baseline'!$B$1:$L$258,4,FALSE)),"",(VLOOKUP($B224,'E-1 Off Site Hedge Baseline'!$B$1:$L$258,4,FALSE))))</f>
        <v/>
      </c>
      <c r="E224" s="175" t="str">
        <f>IF(B224="","",IF(ISNA(VLOOKUP($B224,'E-1 Off Site Hedge Baseline'!$B$1:$L$257,5,FALSE)),"",(VLOOKUP($B224,'E-1 Off Site Hedge Baseline'!$B$1:$L$257,5,FALSE))))</f>
        <v/>
      </c>
      <c r="F224" s="175" t="str">
        <f>IF(B224="","",IF(ISNA(VLOOKUP($B224,'E-1 Off Site Hedge Baseline'!$B$1:$L$257,6,FALSE)),"",(VLOOKUP($B224,'E-1 Off Site Hedge Baseline'!$B$1:$L$257,6,FALSE))))</f>
        <v/>
      </c>
      <c r="G224" s="175" t="str">
        <f>IF(B224="","",IF(ISNA(VLOOKUP($B224,'E-1 Off Site Hedge Baseline'!$B$1:$L$257,7,FALSE)),"",(VLOOKUP($B224,'E-1 Off Site Hedge Baseline'!$B$1:$L$257,7,FALSE))))</f>
        <v/>
      </c>
      <c r="H224" s="175" t="str">
        <f>IF(B224="","",IF(ISNA(VLOOKUP($B224,'E-1 Off Site Hedge Baseline'!$B$1:$L$257,8,FALSE)),"",(VLOOKUP($B224,'E-1 Off Site Hedge Baseline'!$B$1:$L$257,8,FALSE))))</f>
        <v/>
      </c>
      <c r="I224" s="175" t="str">
        <f>IF(B224="","",IF(ISNA(VLOOKUP($B224,'E-1 Off Site Hedge Baseline'!$B$1:$L$257,10,FALSE)),"",(VLOOKUP($B224,'E-1 Off Site Hedge Baseline'!$B$1:$L$257,10,FALSE))))</f>
        <v/>
      </c>
      <c r="J224" s="175" t="str">
        <f>IF(B224="","",IF(ISNA(VLOOKUP($B224,'E-1 Off Site Hedge Baseline'!$B$1:$L$257,11,FALSE)),"",(VLOOKUP($B224,'E-1 Off Site Hedge Baseline'!$B$1:$L$257,11,FALSE))))</f>
        <v/>
      </c>
      <c r="K224" s="175" t="str">
        <f>IF(B224="","",IF(ISNA(VLOOKUP($B224,'E-1 Off Site Hedge Baseline'!$B$1:$U$257,113,FALSE)),"",(VLOOKUP($B224,'E-1 Off Site Hedge Baseline'!$B$1:$U$257,13,FALSE))))</f>
        <v/>
      </c>
      <c r="L224" s="179" t="str">
        <f>IF(B224="","",IF(ISNA(VLOOKUP($B224,'E-1 Off Site Hedge Baseline'!$B$1:$U$257,12,FALSE)),"",(VLOOKUP($B224,'E-1 Off Site Hedge Baseline'!$B$1:$U$257,12,FALSE))))</f>
        <v/>
      </c>
      <c r="M224" s="639" t="str">
        <f t="shared" si="32"/>
        <v/>
      </c>
      <c r="N224" s="171" t="str">
        <f>IFERROR(IF(B224="","",INDEX('G-6 Hedgerow Data'!$AN$3:$AZ$15,MATCH(C224,'G-6 Hedgerow Data'!$AM$3:$AM$15,0),MATCH(M224,'G-6 Hedgerow Data'!$AN$2:$AZ$2,0))),"")</f>
        <v/>
      </c>
      <c r="O224" s="172" t="str">
        <f t="shared" si="26"/>
        <v/>
      </c>
      <c r="P224" s="260" t="str">
        <f>IF(B224="","",VLOOKUP(B224,'E-1 Off Site Hedge Baseline'!$B$10:T469,16,FALSE))</f>
        <v/>
      </c>
      <c r="Q224" s="171" t="str">
        <f>IF(M224="","",VLOOKUP(M224,'G-6 Hedgerow Data'!$B$2:$AG$15,2,FALSE))</f>
        <v/>
      </c>
      <c r="R224" s="172" t="str">
        <f>IF(M224="","",VLOOKUP(M224,'G-6 Hedgerow Data'!$B$2:$AG$15,3,FALSE))</f>
        <v/>
      </c>
      <c r="S224" s="173"/>
      <c r="T224" s="172" t="str">
        <f>IFERROR(IF(AND(Q224="V.Low",OR(S224="Good",S224="Moderate")),"Error",VLOOKUP(S224,'G-1 All Habitats'!$Z$2:$AA$9,2,FALSE)),"")</f>
        <v/>
      </c>
      <c r="U224" s="173"/>
      <c r="V224" s="179" t="str">
        <f>IF(U224="","",IF(VLOOKUP(U224,'G-3 Multipliers'!$L$3:$N$6,2,FALSE)=0,"Spatial Data Missing",VLOOKUP(U224,'G-3 Multipliers'!$L$3:$N$6,2,FALSE)))</f>
        <v/>
      </c>
      <c r="W224" s="260" t="str">
        <f>IF(U224="","",IF(VLOOKUP(U224,'G-3 Multipliers'!$L$3:$N$6,3,FALSE)=0,"Spatial Data Missing",VLOOKUP(U224,'G-3 Multipliers'!$L$3:$N$6,3,FALSE)))</f>
        <v/>
      </c>
      <c r="X224" s="171" t="str">
        <f>IFERROR(IF(OR(LEFT(O224,5)="Error",LEFT(N224,5)="Error",T224="Error"),"Check Data",IF(F224&lt;R224,INDEX('G-6 Hedgerow Data'!$S$3:$AE$14,MATCH(C224,'G-6 Hedgerow Data'!$B$3:$B$14,0),MATCH(M224,'G-6 Hedgerow Data'!$S$2:$AE$2,0)),INDEX('G-6 Hedgerow Data'!$K$3:$Q$14,MATCH(M224,'G-6 Hedgerow Data'!$B$3:$B$14,0),MATCH(O224,'G-6 Hedgerow Data'!$K$2:$Q$2,0)))),"")</f>
        <v/>
      </c>
      <c r="Y224" s="261"/>
      <c r="Z224" s="261"/>
      <c r="AA224" s="179" t="str">
        <f t="shared" si="27"/>
        <v/>
      </c>
      <c r="AB224" s="262" t="str">
        <f t="shared" si="28"/>
        <v/>
      </c>
      <c r="AC224" s="263" t="str">
        <f t="shared" si="25"/>
        <v/>
      </c>
      <c r="AD224" s="239" t="str">
        <f>IF(M224="","",VLOOKUP(M224,'G-6 Hedgerow Data'!$B$3:$AG$15,31,FALSE))</f>
        <v/>
      </c>
      <c r="AE224" s="175" t="str">
        <f t="shared" si="29"/>
        <v/>
      </c>
      <c r="AF224" s="175" t="str">
        <f t="shared" si="30"/>
        <v/>
      </c>
      <c r="AG224" s="176" t="str">
        <f>IFERROR(IF(O224="","",VLOOKUP(AD224,'G-3 Multipliers'!$P$3:$Q$6,2,FALSE)),"")</f>
        <v/>
      </c>
      <c r="AH224" s="266"/>
      <c r="AI224" s="172" t="str">
        <f>IF(AH224="","",IF(VLOOKUP(AH224,'G-3 Multipliers'!$S$3:$T$6,2,FALSE)=0,"Spatial Data Missing",VLOOKUP(AH224,'G-3 Multipliers'!$S$3:$T$6,2,FALSE)))</f>
        <v/>
      </c>
      <c r="AJ224" s="265" t="str">
        <f t="shared" si="31"/>
        <v/>
      </c>
      <c r="AK224" s="180"/>
      <c r="AL224" s="181"/>
      <c r="AP224" s="35" t="str">
        <f>IFERROR(INDEX('G-6 Hedgerow Data'!$BJ$3:$BJ$15,MATCH(M224,'G-6 Hedgerow Data'!$B$3:$B$15,0)),"")</f>
        <v/>
      </c>
    </row>
    <row r="225" spans="2:42" ht="13.8" x14ac:dyDescent="0.25">
      <c r="B225" s="259" t="str">
        <f>'E-1 Off Site Hedge Baseline'!AK223</f>
        <v/>
      </c>
      <c r="C225" s="175" t="str">
        <f>IF(B225="","",IF(ISNA(VLOOKUP($B225,'E-1 Off Site Hedge Baseline'!$B$1:$L$257,3,FALSE)),"",(VLOOKUP($B225,'E-1 Off Site Hedge Baseline'!$B$1:$L$257,3,FALSE))))</f>
        <v/>
      </c>
      <c r="D225" s="175" t="str">
        <f>IF(B225="","",IF(ISNA(VLOOKUP($B225,'E-1 Off Site Hedge Baseline'!$B$1:$L$258,4,FALSE)),"",(VLOOKUP($B225,'E-1 Off Site Hedge Baseline'!$B$1:$L$258,4,FALSE))))</f>
        <v/>
      </c>
      <c r="E225" s="175" t="str">
        <f>IF(B225="","",IF(ISNA(VLOOKUP($B225,'E-1 Off Site Hedge Baseline'!$B$1:$L$257,5,FALSE)),"",(VLOOKUP($B225,'E-1 Off Site Hedge Baseline'!$B$1:$L$257,5,FALSE))))</f>
        <v/>
      </c>
      <c r="F225" s="175" t="str">
        <f>IF(B225="","",IF(ISNA(VLOOKUP($B225,'E-1 Off Site Hedge Baseline'!$B$1:$L$257,6,FALSE)),"",(VLOOKUP($B225,'E-1 Off Site Hedge Baseline'!$B$1:$L$257,6,FALSE))))</f>
        <v/>
      </c>
      <c r="G225" s="175" t="str">
        <f>IF(B225="","",IF(ISNA(VLOOKUP($B225,'E-1 Off Site Hedge Baseline'!$B$1:$L$257,7,FALSE)),"",(VLOOKUP($B225,'E-1 Off Site Hedge Baseline'!$B$1:$L$257,7,FALSE))))</f>
        <v/>
      </c>
      <c r="H225" s="175" t="str">
        <f>IF(B225="","",IF(ISNA(VLOOKUP($B225,'E-1 Off Site Hedge Baseline'!$B$1:$L$257,8,FALSE)),"",(VLOOKUP($B225,'E-1 Off Site Hedge Baseline'!$B$1:$L$257,8,FALSE))))</f>
        <v/>
      </c>
      <c r="I225" s="175" t="str">
        <f>IF(B225="","",IF(ISNA(VLOOKUP($B225,'E-1 Off Site Hedge Baseline'!$B$1:$L$257,10,FALSE)),"",(VLOOKUP($B225,'E-1 Off Site Hedge Baseline'!$B$1:$L$257,10,FALSE))))</f>
        <v/>
      </c>
      <c r="J225" s="175" t="str">
        <f>IF(B225="","",IF(ISNA(VLOOKUP($B225,'E-1 Off Site Hedge Baseline'!$B$1:$L$257,11,FALSE)),"",(VLOOKUP($B225,'E-1 Off Site Hedge Baseline'!$B$1:$L$257,11,FALSE))))</f>
        <v/>
      </c>
      <c r="K225" s="175" t="str">
        <f>IF(B225="","",IF(ISNA(VLOOKUP($B225,'E-1 Off Site Hedge Baseline'!$B$1:$U$257,113,FALSE)),"",(VLOOKUP($B225,'E-1 Off Site Hedge Baseline'!$B$1:$U$257,13,FALSE))))</f>
        <v/>
      </c>
      <c r="L225" s="179" t="str">
        <f>IF(B225="","",IF(ISNA(VLOOKUP($B225,'E-1 Off Site Hedge Baseline'!$B$1:$U$257,12,FALSE)),"",(VLOOKUP($B225,'E-1 Off Site Hedge Baseline'!$B$1:$U$257,12,FALSE))))</f>
        <v/>
      </c>
      <c r="M225" s="639" t="str">
        <f t="shared" si="32"/>
        <v/>
      </c>
      <c r="N225" s="171" t="str">
        <f>IFERROR(IF(B225="","",INDEX('G-6 Hedgerow Data'!$AN$3:$AZ$15,MATCH(C225,'G-6 Hedgerow Data'!$AM$3:$AM$15,0),MATCH(M225,'G-6 Hedgerow Data'!$AN$2:$AZ$2,0))),"")</f>
        <v/>
      </c>
      <c r="O225" s="172" t="str">
        <f t="shared" si="26"/>
        <v/>
      </c>
      <c r="P225" s="260" t="str">
        <f>IF(B225="","",VLOOKUP(B225,'E-1 Off Site Hedge Baseline'!$B$10:T470,16,FALSE))</f>
        <v/>
      </c>
      <c r="Q225" s="171" t="str">
        <f>IF(M225="","",VLOOKUP(M225,'G-6 Hedgerow Data'!$B$2:$AG$15,2,FALSE))</f>
        <v/>
      </c>
      <c r="R225" s="172" t="str">
        <f>IF(M225="","",VLOOKUP(M225,'G-6 Hedgerow Data'!$B$2:$AG$15,3,FALSE))</f>
        <v/>
      </c>
      <c r="S225" s="173"/>
      <c r="T225" s="172" t="str">
        <f>IFERROR(IF(AND(Q225="V.Low",OR(S225="Good",S225="Moderate")),"Error",VLOOKUP(S225,'G-1 All Habitats'!$Z$2:$AA$9,2,FALSE)),"")</f>
        <v/>
      </c>
      <c r="U225" s="173"/>
      <c r="V225" s="179" t="str">
        <f>IF(U225="","",IF(VLOOKUP(U225,'G-3 Multipliers'!$L$3:$N$6,2,FALSE)=0,"Spatial Data Missing",VLOOKUP(U225,'G-3 Multipliers'!$L$3:$N$6,2,FALSE)))</f>
        <v/>
      </c>
      <c r="W225" s="260" t="str">
        <f>IF(U225="","",IF(VLOOKUP(U225,'G-3 Multipliers'!$L$3:$N$6,3,FALSE)=0,"Spatial Data Missing",VLOOKUP(U225,'G-3 Multipliers'!$L$3:$N$6,3,FALSE)))</f>
        <v/>
      </c>
      <c r="X225" s="171" t="str">
        <f>IFERROR(IF(OR(LEFT(O225,5)="Error",LEFT(N225,5)="Error",T225="Error"),"Check Data",IF(F225&lt;R225,INDEX('G-6 Hedgerow Data'!$S$3:$AE$14,MATCH(C225,'G-6 Hedgerow Data'!$B$3:$B$14,0),MATCH(M225,'G-6 Hedgerow Data'!$S$2:$AE$2,0)),INDEX('G-6 Hedgerow Data'!$K$3:$Q$14,MATCH(M225,'G-6 Hedgerow Data'!$B$3:$B$14,0),MATCH(O225,'G-6 Hedgerow Data'!$K$2:$Q$2,0)))),"")</f>
        <v/>
      </c>
      <c r="Y225" s="261"/>
      <c r="Z225" s="261"/>
      <c r="AA225" s="179" t="str">
        <f t="shared" si="27"/>
        <v/>
      </c>
      <c r="AB225" s="262" t="str">
        <f t="shared" si="28"/>
        <v/>
      </c>
      <c r="AC225" s="263" t="str">
        <f t="shared" si="25"/>
        <v/>
      </c>
      <c r="AD225" s="239" t="str">
        <f>IF(M225="","",VLOOKUP(M225,'G-6 Hedgerow Data'!$B$3:$AG$15,31,FALSE))</f>
        <v/>
      </c>
      <c r="AE225" s="175" t="str">
        <f t="shared" si="29"/>
        <v/>
      </c>
      <c r="AF225" s="175" t="str">
        <f t="shared" si="30"/>
        <v/>
      </c>
      <c r="AG225" s="176" t="str">
        <f>IFERROR(IF(O225="","",VLOOKUP(AD225,'G-3 Multipliers'!$P$3:$Q$6,2,FALSE)),"")</f>
        <v/>
      </c>
      <c r="AH225" s="266"/>
      <c r="AI225" s="172" t="str">
        <f>IF(AH225="","",IF(VLOOKUP(AH225,'G-3 Multipliers'!$S$3:$T$6,2,FALSE)=0,"Spatial Data Missing",VLOOKUP(AH225,'G-3 Multipliers'!$S$3:$T$6,2,FALSE)))</f>
        <v/>
      </c>
      <c r="AJ225" s="265" t="str">
        <f t="shared" si="31"/>
        <v/>
      </c>
      <c r="AK225" s="180"/>
      <c r="AL225" s="181"/>
      <c r="AP225" s="35" t="str">
        <f>IFERROR(INDEX('G-6 Hedgerow Data'!$BJ$3:$BJ$15,MATCH(M225,'G-6 Hedgerow Data'!$B$3:$B$15,0)),"")</f>
        <v/>
      </c>
    </row>
    <row r="226" spans="2:42" ht="13.8" x14ac:dyDescent="0.25">
      <c r="B226" s="259" t="str">
        <f>'E-1 Off Site Hedge Baseline'!AK224</f>
        <v/>
      </c>
      <c r="C226" s="175" t="str">
        <f>IF(B226="","",IF(ISNA(VLOOKUP($B226,'E-1 Off Site Hedge Baseline'!$B$1:$L$257,3,FALSE)),"",(VLOOKUP($B226,'E-1 Off Site Hedge Baseline'!$B$1:$L$257,3,FALSE))))</f>
        <v/>
      </c>
      <c r="D226" s="175" t="str">
        <f>IF(B226="","",IF(ISNA(VLOOKUP($B226,'E-1 Off Site Hedge Baseline'!$B$1:$L$258,4,FALSE)),"",(VLOOKUP($B226,'E-1 Off Site Hedge Baseline'!$B$1:$L$258,4,FALSE))))</f>
        <v/>
      </c>
      <c r="E226" s="175" t="str">
        <f>IF(B226="","",IF(ISNA(VLOOKUP($B226,'E-1 Off Site Hedge Baseline'!$B$1:$L$257,5,FALSE)),"",(VLOOKUP($B226,'E-1 Off Site Hedge Baseline'!$B$1:$L$257,5,FALSE))))</f>
        <v/>
      </c>
      <c r="F226" s="175" t="str">
        <f>IF(B226="","",IF(ISNA(VLOOKUP($B226,'E-1 Off Site Hedge Baseline'!$B$1:$L$257,6,FALSE)),"",(VLOOKUP($B226,'E-1 Off Site Hedge Baseline'!$B$1:$L$257,6,FALSE))))</f>
        <v/>
      </c>
      <c r="G226" s="175" t="str">
        <f>IF(B226="","",IF(ISNA(VLOOKUP($B226,'E-1 Off Site Hedge Baseline'!$B$1:$L$257,7,FALSE)),"",(VLOOKUP($B226,'E-1 Off Site Hedge Baseline'!$B$1:$L$257,7,FALSE))))</f>
        <v/>
      </c>
      <c r="H226" s="175" t="str">
        <f>IF(B226="","",IF(ISNA(VLOOKUP($B226,'E-1 Off Site Hedge Baseline'!$B$1:$L$257,8,FALSE)),"",(VLOOKUP($B226,'E-1 Off Site Hedge Baseline'!$B$1:$L$257,8,FALSE))))</f>
        <v/>
      </c>
      <c r="I226" s="175" t="str">
        <f>IF(B226="","",IF(ISNA(VLOOKUP($B226,'E-1 Off Site Hedge Baseline'!$B$1:$L$257,10,FALSE)),"",(VLOOKUP($B226,'E-1 Off Site Hedge Baseline'!$B$1:$L$257,10,FALSE))))</f>
        <v/>
      </c>
      <c r="J226" s="175" t="str">
        <f>IF(B226="","",IF(ISNA(VLOOKUP($B226,'E-1 Off Site Hedge Baseline'!$B$1:$L$257,11,FALSE)),"",(VLOOKUP($B226,'E-1 Off Site Hedge Baseline'!$B$1:$L$257,11,FALSE))))</f>
        <v/>
      </c>
      <c r="K226" s="175" t="str">
        <f>IF(B226="","",IF(ISNA(VLOOKUP($B226,'E-1 Off Site Hedge Baseline'!$B$1:$U$257,113,FALSE)),"",(VLOOKUP($B226,'E-1 Off Site Hedge Baseline'!$B$1:$U$257,13,FALSE))))</f>
        <v/>
      </c>
      <c r="L226" s="179" t="str">
        <f>IF(B226="","",IF(ISNA(VLOOKUP($B226,'E-1 Off Site Hedge Baseline'!$B$1:$U$257,12,FALSE)),"",(VLOOKUP($B226,'E-1 Off Site Hedge Baseline'!$B$1:$U$257,12,FALSE))))</f>
        <v/>
      </c>
      <c r="M226" s="639" t="str">
        <f t="shared" si="32"/>
        <v/>
      </c>
      <c r="N226" s="171" t="str">
        <f>IFERROR(IF(B226="","",INDEX('G-6 Hedgerow Data'!$AN$3:$AZ$15,MATCH(C226,'G-6 Hedgerow Data'!$AM$3:$AM$15,0),MATCH(M226,'G-6 Hedgerow Data'!$AN$2:$AZ$2,0))),"")</f>
        <v/>
      </c>
      <c r="O226" s="172" t="str">
        <f t="shared" si="26"/>
        <v/>
      </c>
      <c r="P226" s="260" t="str">
        <f>IF(B226="","",VLOOKUP(B226,'E-1 Off Site Hedge Baseline'!$B$10:T471,16,FALSE))</f>
        <v/>
      </c>
      <c r="Q226" s="171" t="str">
        <f>IF(M226="","",VLOOKUP(M226,'G-6 Hedgerow Data'!$B$2:$AG$15,2,FALSE))</f>
        <v/>
      </c>
      <c r="R226" s="172" t="str">
        <f>IF(M226="","",VLOOKUP(M226,'G-6 Hedgerow Data'!$B$2:$AG$15,3,FALSE))</f>
        <v/>
      </c>
      <c r="S226" s="173"/>
      <c r="T226" s="172" t="str">
        <f>IFERROR(IF(AND(Q226="V.Low",OR(S226="Good",S226="Moderate")),"Error",VLOOKUP(S226,'G-1 All Habitats'!$Z$2:$AA$9,2,FALSE)),"")</f>
        <v/>
      </c>
      <c r="U226" s="173"/>
      <c r="V226" s="179" t="str">
        <f>IF(U226="","",IF(VLOOKUP(U226,'G-3 Multipliers'!$L$3:$N$6,2,FALSE)=0,"Spatial Data Missing",VLOOKUP(U226,'G-3 Multipliers'!$L$3:$N$6,2,FALSE)))</f>
        <v/>
      </c>
      <c r="W226" s="260" t="str">
        <f>IF(U226="","",IF(VLOOKUP(U226,'G-3 Multipliers'!$L$3:$N$6,3,FALSE)=0,"Spatial Data Missing",VLOOKUP(U226,'G-3 Multipliers'!$L$3:$N$6,3,FALSE)))</f>
        <v/>
      </c>
      <c r="X226" s="171" t="str">
        <f>IFERROR(IF(OR(LEFT(O226,5)="Error",LEFT(N226,5)="Error",T226="Error"),"Check Data",IF(F226&lt;R226,INDEX('G-6 Hedgerow Data'!$S$3:$AE$14,MATCH(C226,'G-6 Hedgerow Data'!$B$3:$B$14,0),MATCH(M226,'G-6 Hedgerow Data'!$S$2:$AE$2,0)),INDEX('G-6 Hedgerow Data'!$K$3:$Q$14,MATCH(M226,'G-6 Hedgerow Data'!$B$3:$B$14,0),MATCH(O226,'G-6 Hedgerow Data'!$K$2:$Q$2,0)))),"")</f>
        <v/>
      </c>
      <c r="Y226" s="261"/>
      <c r="Z226" s="261"/>
      <c r="AA226" s="179" t="str">
        <f t="shared" si="27"/>
        <v/>
      </c>
      <c r="AB226" s="262" t="str">
        <f t="shared" si="28"/>
        <v/>
      </c>
      <c r="AC226" s="263" t="str">
        <f t="shared" si="25"/>
        <v/>
      </c>
      <c r="AD226" s="239" t="str">
        <f>IF(M226="","",VLOOKUP(M226,'G-6 Hedgerow Data'!$B$3:$AG$15,31,FALSE))</f>
        <v/>
      </c>
      <c r="AE226" s="175" t="str">
        <f t="shared" si="29"/>
        <v/>
      </c>
      <c r="AF226" s="175" t="str">
        <f t="shared" si="30"/>
        <v/>
      </c>
      <c r="AG226" s="176" t="str">
        <f>IFERROR(IF(O226="","",VLOOKUP(AD226,'G-3 Multipliers'!$P$3:$Q$6,2,FALSE)),"")</f>
        <v/>
      </c>
      <c r="AH226" s="266"/>
      <c r="AI226" s="172" t="str">
        <f>IF(AH226="","",IF(VLOOKUP(AH226,'G-3 Multipliers'!$S$3:$T$6,2,FALSE)=0,"Spatial Data Missing",VLOOKUP(AH226,'G-3 Multipliers'!$S$3:$T$6,2,FALSE)))</f>
        <v/>
      </c>
      <c r="AJ226" s="265" t="str">
        <f t="shared" si="31"/>
        <v/>
      </c>
      <c r="AK226" s="180"/>
      <c r="AL226" s="181"/>
      <c r="AP226" s="35" t="str">
        <f>IFERROR(INDEX('G-6 Hedgerow Data'!$BJ$3:$BJ$15,MATCH(M226,'G-6 Hedgerow Data'!$B$3:$B$15,0)),"")</f>
        <v/>
      </c>
    </row>
    <row r="227" spans="2:42" ht="13.8" x14ac:dyDescent="0.25">
      <c r="B227" s="259" t="str">
        <f>'E-1 Off Site Hedge Baseline'!AK225</f>
        <v/>
      </c>
      <c r="C227" s="175" t="str">
        <f>IF(B227="","",IF(ISNA(VLOOKUP($B227,'E-1 Off Site Hedge Baseline'!$B$1:$L$257,3,FALSE)),"",(VLOOKUP($B227,'E-1 Off Site Hedge Baseline'!$B$1:$L$257,3,FALSE))))</f>
        <v/>
      </c>
      <c r="D227" s="175" t="str">
        <f>IF(B227="","",IF(ISNA(VLOOKUP($B227,'E-1 Off Site Hedge Baseline'!$B$1:$L$258,4,FALSE)),"",(VLOOKUP($B227,'E-1 Off Site Hedge Baseline'!$B$1:$L$258,4,FALSE))))</f>
        <v/>
      </c>
      <c r="E227" s="175" t="str">
        <f>IF(B227="","",IF(ISNA(VLOOKUP($B227,'E-1 Off Site Hedge Baseline'!$B$1:$L$257,5,FALSE)),"",(VLOOKUP($B227,'E-1 Off Site Hedge Baseline'!$B$1:$L$257,5,FALSE))))</f>
        <v/>
      </c>
      <c r="F227" s="175" t="str">
        <f>IF(B227="","",IF(ISNA(VLOOKUP($B227,'E-1 Off Site Hedge Baseline'!$B$1:$L$257,6,FALSE)),"",(VLOOKUP($B227,'E-1 Off Site Hedge Baseline'!$B$1:$L$257,6,FALSE))))</f>
        <v/>
      </c>
      <c r="G227" s="175" t="str">
        <f>IF(B227="","",IF(ISNA(VLOOKUP($B227,'E-1 Off Site Hedge Baseline'!$B$1:$L$257,7,FALSE)),"",(VLOOKUP($B227,'E-1 Off Site Hedge Baseline'!$B$1:$L$257,7,FALSE))))</f>
        <v/>
      </c>
      <c r="H227" s="175" t="str">
        <f>IF(B227="","",IF(ISNA(VLOOKUP($B227,'E-1 Off Site Hedge Baseline'!$B$1:$L$257,8,FALSE)),"",(VLOOKUP($B227,'E-1 Off Site Hedge Baseline'!$B$1:$L$257,8,FALSE))))</f>
        <v/>
      </c>
      <c r="I227" s="175" t="str">
        <f>IF(B227="","",IF(ISNA(VLOOKUP($B227,'E-1 Off Site Hedge Baseline'!$B$1:$L$257,10,FALSE)),"",(VLOOKUP($B227,'E-1 Off Site Hedge Baseline'!$B$1:$L$257,10,FALSE))))</f>
        <v/>
      </c>
      <c r="J227" s="175" t="str">
        <f>IF(B227="","",IF(ISNA(VLOOKUP($B227,'E-1 Off Site Hedge Baseline'!$B$1:$L$257,11,FALSE)),"",(VLOOKUP($B227,'E-1 Off Site Hedge Baseline'!$B$1:$L$257,11,FALSE))))</f>
        <v/>
      </c>
      <c r="K227" s="175" t="str">
        <f>IF(B227="","",IF(ISNA(VLOOKUP($B227,'E-1 Off Site Hedge Baseline'!$B$1:$U$257,113,FALSE)),"",(VLOOKUP($B227,'E-1 Off Site Hedge Baseline'!$B$1:$U$257,13,FALSE))))</f>
        <v/>
      </c>
      <c r="L227" s="179" t="str">
        <f>IF(B227="","",IF(ISNA(VLOOKUP($B227,'E-1 Off Site Hedge Baseline'!$B$1:$U$257,12,FALSE)),"",(VLOOKUP($B227,'E-1 Off Site Hedge Baseline'!$B$1:$U$257,12,FALSE))))</f>
        <v/>
      </c>
      <c r="M227" s="639" t="str">
        <f t="shared" si="32"/>
        <v/>
      </c>
      <c r="N227" s="171" t="str">
        <f>IFERROR(IF(B227="","",INDEX('G-6 Hedgerow Data'!$AN$3:$AZ$15,MATCH(C227,'G-6 Hedgerow Data'!$AM$3:$AM$15,0),MATCH(M227,'G-6 Hedgerow Data'!$AN$2:$AZ$2,0))),"")</f>
        <v/>
      </c>
      <c r="O227" s="172" t="str">
        <f t="shared" si="26"/>
        <v/>
      </c>
      <c r="P227" s="260" t="str">
        <f>IF(B227="","",VLOOKUP(B227,'E-1 Off Site Hedge Baseline'!$B$10:T472,16,FALSE))</f>
        <v/>
      </c>
      <c r="Q227" s="171" t="str">
        <f>IF(M227="","",VLOOKUP(M227,'G-6 Hedgerow Data'!$B$2:$AG$15,2,FALSE))</f>
        <v/>
      </c>
      <c r="R227" s="172" t="str">
        <f>IF(M227="","",VLOOKUP(M227,'G-6 Hedgerow Data'!$B$2:$AG$15,3,FALSE))</f>
        <v/>
      </c>
      <c r="S227" s="173"/>
      <c r="T227" s="172" t="str">
        <f>IFERROR(IF(AND(Q227="V.Low",OR(S227="Good",S227="Moderate")),"Error",VLOOKUP(S227,'G-1 All Habitats'!$Z$2:$AA$9,2,FALSE)),"")</f>
        <v/>
      </c>
      <c r="U227" s="173"/>
      <c r="V227" s="179" t="str">
        <f>IF(U227="","",IF(VLOOKUP(U227,'G-3 Multipliers'!$L$3:$N$6,2,FALSE)=0,"Spatial Data Missing",VLOOKUP(U227,'G-3 Multipliers'!$L$3:$N$6,2,FALSE)))</f>
        <v/>
      </c>
      <c r="W227" s="260" t="str">
        <f>IF(U227="","",IF(VLOOKUP(U227,'G-3 Multipliers'!$L$3:$N$6,3,FALSE)=0,"Spatial Data Missing",VLOOKUP(U227,'G-3 Multipliers'!$L$3:$N$6,3,FALSE)))</f>
        <v/>
      </c>
      <c r="X227" s="171" t="str">
        <f>IFERROR(IF(OR(LEFT(O227,5)="Error",LEFT(N227,5)="Error",T227="Error"),"Check Data",IF(F227&lt;R227,INDEX('G-6 Hedgerow Data'!$S$3:$AE$14,MATCH(C227,'G-6 Hedgerow Data'!$B$3:$B$14,0),MATCH(M227,'G-6 Hedgerow Data'!$S$2:$AE$2,0)),INDEX('G-6 Hedgerow Data'!$K$3:$Q$14,MATCH(M227,'G-6 Hedgerow Data'!$B$3:$B$14,0),MATCH(O227,'G-6 Hedgerow Data'!$K$2:$Q$2,0)))),"")</f>
        <v/>
      </c>
      <c r="Y227" s="261"/>
      <c r="Z227" s="261"/>
      <c r="AA227" s="179" t="str">
        <f t="shared" si="27"/>
        <v/>
      </c>
      <c r="AB227" s="262" t="str">
        <f t="shared" si="28"/>
        <v/>
      </c>
      <c r="AC227" s="263" t="str">
        <f t="shared" si="25"/>
        <v/>
      </c>
      <c r="AD227" s="239" t="str">
        <f>IF(M227="","",VLOOKUP(M227,'G-6 Hedgerow Data'!$B$3:$AG$15,31,FALSE))</f>
        <v/>
      </c>
      <c r="AE227" s="175" t="str">
        <f t="shared" si="29"/>
        <v/>
      </c>
      <c r="AF227" s="175" t="str">
        <f t="shared" si="30"/>
        <v/>
      </c>
      <c r="AG227" s="176" t="str">
        <f>IFERROR(IF(O227="","",VLOOKUP(AD227,'G-3 Multipliers'!$P$3:$Q$6,2,FALSE)),"")</f>
        <v/>
      </c>
      <c r="AH227" s="266"/>
      <c r="AI227" s="172" t="str">
        <f>IF(AH227="","",IF(VLOOKUP(AH227,'G-3 Multipliers'!$S$3:$T$6,2,FALSE)=0,"Spatial Data Missing",VLOOKUP(AH227,'G-3 Multipliers'!$S$3:$T$6,2,FALSE)))</f>
        <v/>
      </c>
      <c r="AJ227" s="265" t="str">
        <f t="shared" si="31"/>
        <v/>
      </c>
      <c r="AK227" s="180"/>
      <c r="AL227" s="181"/>
      <c r="AP227" s="35" t="str">
        <f>IFERROR(INDEX('G-6 Hedgerow Data'!$BJ$3:$BJ$15,MATCH(M227,'G-6 Hedgerow Data'!$B$3:$B$15,0)),"")</f>
        <v/>
      </c>
    </row>
    <row r="228" spans="2:42" ht="13.8" x14ac:dyDescent="0.25">
      <c r="B228" s="259" t="str">
        <f>'E-1 Off Site Hedge Baseline'!AK226</f>
        <v/>
      </c>
      <c r="C228" s="175" t="str">
        <f>IF(B228="","",IF(ISNA(VLOOKUP($B228,'E-1 Off Site Hedge Baseline'!$B$1:$L$257,3,FALSE)),"",(VLOOKUP($B228,'E-1 Off Site Hedge Baseline'!$B$1:$L$257,3,FALSE))))</f>
        <v/>
      </c>
      <c r="D228" s="175" t="str">
        <f>IF(B228="","",IF(ISNA(VLOOKUP($B228,'E-1 Off Site Hedge Baseline'!$B$1:$L$258,4,FALSE)),"",(VLOOKUP($B228,'E-1 Off Site Hedge Baseline'!$B$1:$L$258,4,FALSE))))</f>
        <v/>
      </c>
      <c r="E228" s="175" t="str">
        <f>IF(B228="","",IF(ISNA(VLOOKUP($B228,'E-1 Off Site Hedge Baseline'!$B$1:$L$257,5,FALSE)),"",(VLOOKUP($B228,'E-1 Off Site Hedge Baseline'!$B$1:$L$257,5,FALSE))))</f>
        <v/>
      </c>
      <c r="F228" s="175" t="str">
        <f>IF(B228="","",IF(ISNA(VLOOKUP($B228,'E-1 Off Site Hedge Baseline'!$B$1:$L$257,6,FALSE)),"",(VLOOKUP($B228,'E-1 Off Site Hedge Baseline'!$B$1:$L$257,6,FALSE))))</f>
        <v/>
      </c>
      <c r="G228" s="175" t="str">
        <f>IF(B228="","",IF(ISNA(VLOOKUP($B228,'E-1 Off Site Hedge Baseline'!$B$1:$L$257,7,FALSE)),"",(VLOOKUP($B228,'E-1 Off Site Hedge Baseline'!$B$1:$L$257,7,FALSE))))</f>
        <v/>
      </c>
      <c r="H228" s="175" t="str">
        <f>IF(B228="","",IF(ISNA(VLOOKUP($B228,'E-1 Off Site Hedge Baseline'!$B$1:$L$257,8,FALSE)),"",(VLOOKUP($B228,'E-1 Off Site Hedge Baseline'!$B$1:$L$257,8,FALSE))))</f>
        <v/>
      </c>
      <c r="I228" s="175" t="str">
        <f>IF(B228="","",IF(ISNA(VLOOKUP($B228,'E-1 Off Site Hedge Baseline'!$B$1:$L$257,10,FALSE)),"",(VLOOKUP($B228,'E-1 Off Site Hedge Baseline'!$B$1:$L$257,10,FALSE))))</f>
        <v/>
      </c>
      <c r="J228" s="175" t="str">
        <f>IF(B228="","",IF(ISNA(VLOOKUP($B228,'E-1 Off Site Hedge Baseline'!$B$1:$L$257,11,FALSE)),"",(VLOOKUP($B228,'E-1 Off Site Hedge Baseline'!$B$1:$L$257,11,FALSE))))</f>
        <v/>
      </c>
      <c r="K228" s="175" t="str">
        <f>IF(B228="","",IF(ISNA(VLOOKUP($B228,'E-1 Off Site Hedge Baseline'!$B$1:$U$257,113,FALSE)),"",(VLOOKUP($B228,'E-1 Off Site Hedge Baseline'!$B$1:$U$257,13,FALSE))))</f>
        <v/>
      </c>
      <c r="L228" s="179" t="str">
        <f>IF(B228="","",IF(ISNA(VLOOKUP($B228,'E-1 Off Site Hedge Baseline'!$B$1:$U$257,12,FALSE)),"",(VLOOKUP($B228,'E-1 Off Site Hedge Baseline'!$B$1:$U$257,12,FALSE))))</f>
        <v/>
      </c>
      <c r="M228" s="639" t="str">
        <f t="shared" si="32"/>
        <v/>
      </c>
      <c r="N228" s="171" t="str">
        <f>IFERROR(IF(B228="","",INDEX('G-6 Hedgerow Data'!$AN$3:$AZ$15,MATCH(C228,'G-6 Hedgerow Data'!$AM$3:$AM$15,0),MATCH(M228,'G-6 Hedgerow Data'!$AN$2:$AZ$2,0))),"")</f>
        <v/>
      </c>
      <c r="O228" s="172" t="str">
        <f t="shared" si="26"/>
        <v/>
      </c>
      <c r="P228" s="260" t="str">
        <f>IF(B228="","",VLOOKUP(B228,'E-1 Off Site Hedge Baseline'!$B$10:T473,16,FALSE))</f>
        <v/>
      </c>
      <c r="Q228" s="171" t="str">
        <f>IF(M228="","",VLOOKUP(M228,'G-6 Hedgerow Data'!$B$2:$AG$15,2,FALSE))</f>
        <v/>
      </c>
      <c r="R228" s="172" t="str">
        <f>IF(M228="","",VLOOKUP(M228,'G-6 Hedgerow Data'!$B$2:$AG$15,3,FALSE))</f>
        <v/>
      </c>
      <c r="S228" s="173"/>
      <c r="T228" s="172" t="str">
        <f>IFERROR(IF(AND(Q228="V.Low",OR(S228="Good",S228="Moderate")),"Error",VLOOKUP(S228,'G-1 All Habitats'!$Z$2:$AA$9,2,FALSE)),"")</f>
        <v/>
      </c>
      <c r="U228" s="173"/>
      <c r="V228" s="179" t="str">
        <f>IF(U228="","",IF(VLOOKUP(U228,'G-3 Multipliers'!$L$3:$N$6,2,FALSE)=0,"Spatial Data Missing",VLOOKUP(U228,'G-3 Multipliers'!$L$3:$N$6,2,FALSE)))</f>
        <v/>
      </c>
      <c r="W228" s="260" t="str">
        <f>IF(U228="","",IF(VLOOKUP(U228,'G-3 Multipliers'!$L$3:$N$6,3,FALSE)=0,"Spatial Data Missing",VLOOKUP(U228,'G-3 Multipliers'!$L$3:$N$6,3,FALSE)))</f>
        <v/>
      </c>
      <c r="X228" s="171" t="str">
        <f>IFERROR(IF(OR(LEFT(O228,5)="Error",LEFT(N228,5)="Error",T228="Error"),"Check Data",IF(F228&lt;R228,INDEX('G-6 Hedgerow Data'!$S$3:$AE$14,MATCH(C228,'G-6 Hedgerow Data'!$B$3:$B$14,0),MATCH(M228,'G-6 Hedgerow Data'!$S$2:$AE$2,0)),INDEX('G-6 Hedgerow Data'!$K$3:$Q$14,MATCH(M228,'G-6 Hedgerow Data'!$B$3:$B$14,0),MATCH(O228,'G-6 Hedgerow Data'!$K$2:$Q$2,0)))),"")</f>
        <v/>
      </c>
      <c r="Y228" s="261"/>
      <c r="Z228" s="261"/>
      <c r="AA228" s="179" t="str">
        <f t="shared" si="27"/>
        <v/>
      </c>
      <c r="AB228" s="262" t="str">
        <f t="shared" si="28"/>
        <v/>
      </c>
      <c r="AC228" s="263" t="str">
        <f t="shared" si="25"/>
        <v/>
      </c>
      <c r="AD228" s="239" t="str">
        <f>IF(M228="","",VLOOKUP(M228,'G-6 Hedgerow Data'!$B$3:$AG$15,31,FALSE))</f>
        <v/>
      </c>
      <c r="AE228" s="175" t="str">
        <f t="shared" si="29"/>
        <v/>
      </c>
      <c r="AF228" s="175" t="str">
        <f t="shared" si="30"/>
        <v/>
      </c>
      <c r="AG228" s="176" t="str">
        <f>IFERROR(IF(O228="","",VLOOKUP(AD228,'G-3 Multipliers'!$P$3:$Q$6,2,FALSE)),"")</f>
        <v/>
      </c>
      <c r="AH228" s="266"/>
      <c r="AI228" s="172" t="str">
        <f>IF(AH228="","",IF(VLOOKUP(AH228,'G-3 Multipliers'!$S$3:$T$6,2,FALSE)=0,"Spatial Data Missing",VLOOKUP(AH228,'G-3 Multipliers'!$S$3:$T$6,2,FALSE)))</f>
        <v/>
      </c>
      <c r="AJ228" s="265" t="str">
        <f t="shared" si="31"/>
        <v/>
      </c>
      <c r="AK228" s="180"/>
      <c r="AL228" s="181"/>
      <c r="AP228" s="35" t="str">
        <f>IFERROR(INDEX('G-6 Hedgerow Data'!$BJ$3:$BJ$15,MATCH(M228,'G-6 Hedgerow Data'!$B$3:$B$15,0)),"")</f>
        <v/>
      </c>
    </row>
    <row r="229" spans="2:42" ht="13.8" x14ac:dyDescent="0.25">
      <c r="B229" s="259" t="str">
        <f>'E-1 Off Site Hedge Baseline'!AK227</f>
        <v/>
      </c>
      <c r="C229" s="175" t="str">
        <f>IF(B229="","",IF(ISNA(VLOOKUP($B229,'E-1 Off Site Hedge Baseline'!$B$1:$L$257,3,FALSE)),"",(VLOOKUP($B229,'E-1 Off Site Hedge Baseline'!$B$1:$L$257,3,FALSE))))</f>
        <v/>
      </c>
      <c r="D229" s="175" t="str">
        <f>IF(B229="","",IF(ISNA(VLOOKUP($B229,'E-1 Off Site Hedge Baseline'!$B$1:$L$258,4,FALSE)),"",(VLOOKUP($B229,'E-1 Off Site Hedge Baseline'!$B$1:$L$258,4,FALSE))))</f>
        <v/>
      </c>
      <c r="E229" s="175" t="str">
        <f>IF(B229="","",IF(ISNA(VLOOKUP($B229,'E-1 Off Site Hedge Baseline'!$B$1:$L$257,5,FALSE)),"",(VLOOKUP($B229,'E-1 Off Site Hedge Baseline'!$B$1:$L$257,5,FALSE))))</f>
        <v/>
      </c>
      <c r="F229" s="175" t="str">
        <f>IF(B229="","",IF(ISNA(VLOOKUP($B229,'E-1 Off Site Hedge Baseline'!$B$1:$L$257,6,FALSE)),"",(VLOOKUP($B229,'E-1 Off Site Hedge Baseline'!$B$1:$L$257,6,FALSE))))</f>
        <v/>
      </c>
      <c r="G229" s="175" t="str">
        <f>IF(B229="","",IF(ISNA(VLOOKUP($B229,'E-1 Off Site Hedge Baseline'!$B$1:$L$257,7,FALSE)),"",(VLOOKUP($B229,'E-1 Off Site Hedge Baseline'!$B$1:$L$257,7,FALSE))))</f>
        <v/>
      </c>
      <c r="H229" s="175" t="str">
        <f>IF(B229="","",IF(ISNA(VLOOKUP($B229,'E-1 Off Site Hedge Baseline'!$B$1:$L$257,8,FALSE)),"",(VLOOKUP($B229,'E-1 Off Site Hedge Baseline'!$B$1:$L$257,8,FALSE))))</f>
        <v/>
      </c>
      <c r="I229" s="175" t="str">
        <f>IF(B229="","",IF(ISNA(VLOOKUP($B229,'E-1 Off Site Hedge Baseline'!$B$1:$L$257,10,FALSE)),"",(VLOOKUP($B229,'E-1 Off Site Hedge Baseline'!$B$1:$L$257,10,FALSE))))</f>
        <v/>
      </c>
      <c r="J229" s="175" t="str">
        <f>IF(B229="","",IF(ISNA(VLOOKUP($B229,'E-1 Off Site Hedge Baseline'!$B$1:$L$257,11,FALSE)),"",(VLOOKUP($B229,'E-1 Off Site Hedge Baseline'!$B$1:$L$257,11,FALSE))))</f>
        <v/>
      </c>
      <c r="K229" s="175" t="str">
        <f>IF(B229="","",IF(ISNA(VLOOKUP($B229,'E-1 Off Site Hedge Baseline'!$B$1:$U$257,113,FALSE)),"",(VLOOKUP($B229,'E-1 Off Site Hedge Baseline'!$B$1:$U$257,13,FALSE))))</f>
        <v/>
      </c>
      <c r="L229" s="179" t="str">
        <f>IF(B229="","",IF(ISNA(VLOOKUP($B229,'E-1 Off Site Hedge Baseline'!$B$1:$U$257,12,FALSE)),"",(VLOOKUP($B229,'E-1 Off Site Hedge Baseline'!$B$1:$U$257,12,FALSE))))</f>
        <v/>
      </c>
      <c r="M229" s="639" t="str">
        <f t="shared" si="32"/>
        <v/>
      </c>
      <c r="N229" s="171" t="str">
        <f>IFERROR(IF(B229="","",INDEX('G-6 Hedgerow Data'!$AN$3:$AZ$15,MATCH(C229,'G-6 Hedgerow Data'!$AM$3:$AM$15,0),MATCH(M229,'G-6 Hedgerow Data'!$AN$2:$AZ$2,0))),"")</f>
        <v/>
      </c>
      <c r="O229" s="172" t="str">
        <f t="shared" si="26"/>
        <v/>
      </c>
      <c r="P229" s="260" t="str">
        <f>IF(B229="","",VLOOKUP(B229,'E-1 Off Site Hedge Baseline'!$B$10:T474,16,FALSE))</f>
        <v/>
      </c>
      <c r="Q229" s="171" t="str">
        <f>IF(M229="","",VLOOKUP(M229,'G-6 Hedgerow Data'!$B$2:$AG$15,2,FALSE))</f>
        <v/>
      </c>
      <c r="R229" s="172" t="str">
        <f>IF(M229="","",VLOOKUP(M229,'G-6 Hedgerow Data'!$B$2:$AG$15,3,FALSE))</f>
        <v/>
      </c>
      <c r="S229" s="173"/>
      <c r="T229" s="172" t="str">
        <f>IFERROR(IF(AND(Q229="V.Low",OR(S229="Good",S229="Moderate")),"Error",VLOOKUP(S229,'G-1 All Habitats'!$Z$2:$AA$9,2,FALSE)),"")</f>
        <v/>
      </c>
      <c r="U229" s="173"/>
      <c r="V229" s="179" t="str">
        <f>IF(U229="","",IF(VLOOKUP(U229,'G-3 Multipliers'!$L$3:$N$6,2,FALSE)=0,"Spatial Data Missing",VLOOKUP(U229,'G-3 Multipliers'!$L$3:$N$6,2,FALSE)))</f>
        <v/>
      </c>
      <c r="W229" s="260" t="str">
        <f>IF(U229="","",IF(VLOOKUP(U229,'G-3 Multipliers'!$L$3:$N$6,3,FALSE)=0,"Spatial Data Missing",VLOOKUP(U229,'G-3 Multipliers'!$L$3:$N$6,3,FALSE)))</f>
        <v/>
      </c>
      <c r="X229" s="171" t="str">
        <f>IFERROR(IF(OR(LEFT(O229,5)="Error",LEFT(N229,5)="Error",T229="Error"),"Check Data",IF(F229&lt;R229,INDEX('G-6 Hedgerow Data'!$S$3:$AE$14,MATCH(C229,'G-6 Hedgerow Data'!$B$3:$B$14,0),MATCH(M229,'G-6 Hedgerow Data'!$S$2:$AE$2,0)),INDEX('G-6 Hedgerow Data'!$K$3:$Q$14,MATCH(M229,'G-6 Hedgerow Data'!$B$3:$B$14,0),MATCH(O229,'G-6 Hedgerow Data'!$K$2:$Q$2,0)))),"")</f>
        <v/>
      </c>
      <c r="Y229" s="261"/>
      <c r="Z229" s="261"/>
      <c r="AA229" s="179" t="str">
        <f t="shared" si="27"/>
        <v/>
      </c>
      <c r="AB229" s="262" t="str">
        <f t="shared" si="28"/>
        <v/>
      </c>
      <c r="AC229" s="263" t="str">
        <f t="shared" si="25"/>
        <v/>
      </c>
      <c r="AD229" s="239" t="str">
        <f>IF(M229="","",VLOOKUP(M229,'G-6 Hedgerow Data'!$B$3:$AG$15,31,FALSE))</f>
        <v/>
      </c>
      <c r="AE229" s="175" t="str">
        <f t="shared" si="29"/>
        <v/>
      </c>
      <c r="AF229" s="175" t="str">
        <f t="shared" si="30"/>
        <v/>
      </c>
      <c r="AG229" s="176" t="str">
        <f>IFERROR(IF(O229="","",VLOOKUP(AD229,'G-3 Multipliers'!$P$3:$Q$6,2,FALSE)),"")</f>
        <v/>
      </c>
      <c r="AH229" s="266"/>
      <c r="AI229" s="172" t="str">
        <f>IF(AH229="","",IF(VLOOKUP(AH229,'G-3 Multipliers'!$S$3:$T$6,2,FALSE)=0,"Spatial Data Missing",VLOOKUP(AH229,'G-3 Multipliers'!$S$3:$T$6,2,FALSE)))</f>
        <v/>
      </c>
      <c r="AJ229" s="265" t="str">
        <f t="shared" si="31"/>
        <v/>
      </c>
      <c r="AK229" s="180"/>
      <c r="AL229" s="181"/>
      <c r="AP229" s="35" t="str">
        <f>IFERROR(INDEX('G-6 Hedgerow Data'!$BJ$3:$BJ$15,MATCH(M229,'G-6 Hedgerow Data'!$B$3:$B$15,0)),"")</f>
        <v/>
      </c>
    </row>
    <row r="230" spans="2:42" ht="13.8" x14ac:dyDescent="0.25">
      <c r="B230" s="259" t="str">
        <f>'E-1 Off Site Hedge Baseline'!AK228</f>
        <v/>
      </c>
      <c r="C230" s="175" t="str">
        <f>IF(B230="","",IF(ISNA(VLOOKUP($B230,'E-1 Off Site Hedge Baseline'!$B$1:$L$257,3,FALSE)),"",(VLOOKUP($B230,'E-1 Off Site Hedge Baseline'!$B$1:$L$257,3,FALSE))))</f>
        <v/>
      </c>
      <c r="D230" s="175" t="str">
        <f>IF(B230="","",IF(ISNA(VLOOKUP($B230,'E-1 Off Site Hedge Baseline'!$B$1:$L$258,4,FALSE)),"",(VLOOKUP($B230,'E-1 Off Site Hedge Baseline'!$B$1:$L$258,4,FALSE))))</f>
        <v/>
      </c>
      <c r="E230" s="175" t="str">
        <f>IF(B230="","",IF(ISNA(VLOOKUP($B230,'E-1 Off Site Hedge Baseline'!$B$1:$L$257,5,FALSE)),"",(VLOOKUP($B230,'E-1 Off Site Hedge Baseline'!$B$1:$L$257,5,FALSE))))</f>
        <v/>
      </c>
      <c r="F230" s="175" t="str">
        <f>IF(B230="","",IF(ISNA(VLOOKUP($B230,'E-1 Off Site Hedge Baseline'!$B$1:$L$257,6,FALSE)),"",(VLOOKUP($B230,'E-1 Off Site Hedge Baseline'!$B$1:$L$257,6,FALSE))))</f>
        <v/>
      </c>
      <c r="G230" s="175" t="str">
        <f>IF(B230="","",IF(ISNA(VLOOKUP($B230,'E-1 Off Site Hedge Baseline'!$B$1:$L$257,7,FALSE)),"",(VLOOKUP($B230,'E-1 Off Site Hedge Baseline'!$B$1:$L$257,7,FALSE))))</f>
        <v/>
      </c>
      <c r="H230" s="175" t="str">
        <f>IF(B230="","",IF(ISNA(VLOOKUP($B230,'E-1 Off Site Hedge Baseline'!$B$1:$L$257,8,FALSE)),"",(VLOOKUP($B230,'E-1 Off Site Hedge Baseline'!$B$1:$L$257,8,FALSE))))</f>
        <v/>
      </c>
      <c r="I230" s="175" t="str">
        <f>IF(B230="","",IF(ISNA(VLOOKUP($B230,'E-1 Off Site Hedge Baseline'!$B$1:$L$257,10,FALSE)),"",(VLOOKUP($B230,'E-1 Off Site Hedge Baseline'!$B$1:$L$257,10,FALSE))))</f>
        <v/>
      </c>
      <c r="J230" s="175" t="str">
        <f>IF(B230="","",IF(ISNA(VLOOKUP($B230,'E-1 Off Site Hedge Baseline'!$B$1:$L$257,11,FALSE)),"",(VLOOKUP($B230,'E-1 Off Site Hedge Baseline'!$B$1:$L$257,11,FALSE))))</f>
        <v/>
      </c>
      <c r="K230" s="175" t="str">
        <f>IF(B230="","",IF(ISNA(VLOOKUP($B230,'E-1 Off Site Hedge Baseline'!$B$1:$U$257,113,FALSE)),"",(VLOOKUP($B230,'E-1 Off Site Hedge Baseline'!$B$1:$U$257,13,FALSE))))</f>
        <v/>
      </c>
      <c r="L230" s="179" t="str">
        <f>IF(B230="","",IF(ISNA(VLOOKUP($B230,'E-1 Off Site Hedge Baseline'!$B$1:$U$257,12,FALSE)),"",(VLOOKUP($B230,'E-1 Off Site Hedge Baseline'!$B$1:$U$257,12,FALSE))))</f>
        <v/>
      </c>
      <c r="M230" s="639" t="str">
        <f t="shared" si="32"/>
        <v/>
      </c>
      <c r="N230" s="171" t="str">
        <f>IFERROR(IF(B230="","",INDEX('G-6 Hedgerow Data'!$AN$3:$AZ$15,MATCH(C230,'G-6 Hedgerow Data'!$AM$3:$AM$15,0),MATCH(M230,'G-6 Hedgerow Data'!$AN$2:$AZ$2,0))),"")</f>
        <v/>
      </c>
      <c r="O230" s="172" t="str">
        <f t="shared" si="26"/>
        <v/>
      </c>
      <c r="P230" s="260" t="str">
        <f>IF(B230="","",VLOOKUP(B230,'E-1 Off Site Hedge Baseline'!$B$10:T475,16,FALSE))</f>
        <v/>
      </c>
      <c r="Q230" s="171" t="str">
        <f>IF(M230="","",VLOOKUP(M230,'G-6 Hedgerow Data'!$B$2:$AG$15,2,FALSE))</f>
        <v/>
      </c>
      <c r="R230" s="172" t="str">
        <f>IF(M230="","",VLOOKUP(M230,'G-6 Hedgerow Data'!$B$2:$AG$15,3,FALSE))</f>
        <v/>
      </c>
      <c r="S230" s="173"/>
      <c r="T230" s="172" t="str">
        <f>IFERROR(IF(AND(Q230="V.Low",OR(S230="Good",S230="Moderate")),"Error",VLOOKUP(S230,'G-1 All Habitats'!$Z$2:$AA$9,2,FALSE)),"")</f>
        <v/>
      </c>
      <c r="U230" s="173"/>
      <c r="V230" s="179" t="str">
        <f>IF(U230="","",IF(VLOOKUP(U230,'G-3 Multipliers'!$L$3:$N$6,2,FALSE)=0,"Spatial Data Missing",VLOOKUP(U230,'G-3 Multipliers'!$L$3:$N$6,2,FALSE)))</f>
        <v/>
      </c>
      <c r="W230" s="260" t="str">
        <f>IF(U230="","",IF(VLOOKUP(U230,'G-3 Multipliers'!$L$3:$N$6,3,FALSE)=0,"Spatial Data Missing",VLOOKUP(U230,'G-3 Multipliers'!$L$3:$N$6,3,FALSE)))</f>
        <v/>
      </c>
      <c r="X230" s="171" t="str">
        <f>IFERROR(IF(OR(LEFT(O230,5)="Error",LEFT(N230,5)="Error",T230="Error"),"Check Data",IF(F230&lt;R230,INDEX('G-6 Hedgerow Data'!$S$3:$AE$14,MATCH(C230,'G-6 Hedgerow Data'!$B$3:$B$14,0),MATCH(M230,'G-6 Hedgerow Data'!$S$2:$AE$2,0)),INDEX('G-6 Hedgerow Data'!$K$3:$Q$14,MATCH(M230,'G-6 Hedgerow Data'!$B$3:$B$14,0),MATCH(O230,'G-6 Hedgerow Data'!$K$2:$Q$2,0)))),"")</f>
        <v/>
      </c>
      <c r="Y230" s="261"/>
      <c r="Z230" s="261"/>
      <c r="AA230" s="179" t="str">
        <f t="shared" si="27"/>
        <v/>
      </c>
      <c r="AB230" s="262" t="str">
        <f t="shared" si="28"/>
        <v/>
      </c>
      <c r="AC230" s="263" t="str">
        <f t="shared" si="25"/>
        <v/>
      </c>
      <c r="AD230" s="239" t="str">
        <f>IF(M230="","",VLOOKUP(M230,'G-6 Hedgerow Data'!$B$3:$AG$15,31,FALSE))</f>
        <v/>
      </c>
      <c r="AE230" s="175" t="str">
        <f t="shared" si="29"/>
        <v/>
      </c>
      <c r="AF230" s="175" t="str">
        <f t="shared" si="30"/>
        <v/>
      </c>
      <c r="AG230" s="176" t="str">
        <f>IFERROR(IF(O230="","",VLOOKUP(AD230,'G-3 Multipliers'!$P$3:$Q$6,2,FALSE)),"")</f>
        <v/>
      </c>
      <c r="AH230" s="266"/>
      <c r="AI230" s="172" t="str">
        <f>IF(AH230="","",IF(VLOOKUP(AH230,'G-3 Multipliers'!$S$3:$T$6,2,FALSE)=0,"Spatial Data Missing",VLOOKUP(AH230,'G-3 Multipliers'!$S$3:$T$6,2,FALSE)))</f>
        <v/>
      </c>
      <c r="AJ230" s="265" t="str">
        <f t="shared" si="31"/>
        <v/>
      </c>
      <c r="AK230" s="180"/>
      <c r="AL230" s="181"/>
      <c r="AP230" s="35" t="str">
        <f>IFERROR(INDEX('G-6 Hedgerow Data'!$BJ$3:$BJ$15,MATCH(M230,'G-6 Hedgerow Data'!$B$3:$B$15,0)),"")</f>
        <v/>
      </c>
    </row>
    <row r="231" spans="2:42" ht="13.8" x14ac:dyDescent="0.25">
      <c r="B231" s="259" t="str">
        <f>'E-1 Off Site Hedge Baseline'!AK229</f>
        <v/>
      </c>
      <c r="C231" s="175" t="str">
        <f>IF(B231="","",IF(ISNA(VLOOKUP($B231,'E-1 Off Site Hedge Baseline'!$B$1:$L$257,3,FALSE)),"",(VLOOKUP($B231,'E-1 Off Site Hedge Baseline'!$B$1:$L$257,3,FALSE))))</f>
        <v/>
      </c>
      <c r="D231" s="175" t="str">
        <f>IF(B231="","",IF(ISNA(VLOOKUP($B231,'E-1 Off Site Hedge Baseline'!$B$1:$L$258,4,FALSE)),"",(VLOOKUP($B231,'E-1 Off Site Hedge Baseline'!$B$1:$L$258,4,FALSE))))</f>
        <v/>
      </c>
      <c r="E231" s="175" t="str">
        <f>IF(B231="","",IF(ISNA(VLOOKUP($B231,'E-1 Off Site Hedge Baseline'!$B$1:$L$257,5,FALSE)),"",(VLOOKUP($B231,'E-1 Off Site Hedge Baseline'!$B$1:$L$257,5,FALSE))))</f>
        <v/>
      </c>
      <c r="F231" s="175" t="str">
        <f>IF(B231="","",IF(ISNA(VLOOKUP($B231,'E-1 Off Site Hedge Baseline'!$B$1:$L$257,6,FALSE)),"",(VLOOKUP($B231,'E-1 Off Site Hedge Baseline'!$B$1:$L$257,6,FALSE))))</f>
        <v/>
      </c>
      <c r="G231" s="175" t="str">
        <f>IF(B231="","",IF(ISNA(VLOOKUP($B231,'E-1 Off Site Hedge Baseline'!$B$1:$L$257,7,FALSE)),"",(VLOOKUP($B231,'E-1 Off Site Hedge Baseline'!$B$1:$L$257,7,FALSE))))</f>
        <v/>
      </c>
      <c r="H231" s="175" t="str">
        <f>IF(B231="","",IF(ISNA(VLOOKUP($B231,'E-1 Off Site Hedge Baseline'!$B$1:$L$257,8,FALSE)),"",(VLOOKUP($B231,'E-1 Off Site Hedge Baseline'!$B$1:$L$257,8,FALSE))))</f>
        <v/>
      </c>
      <c r="I231" s="175" t="str">
        <f>IF(B231="","",IF(ISNA(VLOOKUP($B231,'E-1 Off Site Hedge Baseline'!$B$1:$L$257,10,FALSE)),"",(VLOOKUP($B231,'E-1 Off Site Hedge Baseline'!$B$1:$L$257,10,FALSE))))</f>
        <v/>
      </c>
      <c r="J231" s="175" t="str">
        <f>IF(B231="","",IF(ISNA(VLOOKUP($B231,'E-1 Off Site Hedge Baseline'!$B$1:$L$257,11,FALSE)),"",(VLOOKUP($B231,'E-1 Off Site Hedge Baseline'!$B$1:$L$257,11,FALSE))))</f>
        <v/>
      </c>
      <c r="K231" s="175" t="str">
        <f>IF(B231="","",IF(ISNA(VLOOKUP($B231,'E-1 Off Site Hedge Baseline'!$B$1:$U$257,113,FALSE)),"",(VLOOKUP($B231,'E-1 Off Site Hedge Baseline'!$B$1:$U$257,13,FALSE))))</f>
        <v/>
      </c>
      <c r="L231" s="179" t="str">
        <f>IF(B231="","",IF(ISNA(VLOOKUP($B231,'E-1 Off Site Hedge Baseline'!$B$1:$U$257,12,FALSE)),"",(VLOOKUP($B231,'E-1 Off Site Hedge Baseline'!$B$1:$U$257,12,FALSE))))</f>
        <v/>
      </c>
      <c r="M231" s="639" t="str">
        <f t="shared" si="32"/>
        <v/>
      </c>
      <c r="N231" s="171" t="str">
        <f>IFERROR(IF(B231="","",INDEX('G-6 Hedgerow Data'!$AN$3:$AZ$15,MATCH(C231,'G-6 Hedgerow Data'!$AM$3:$AM$15,0),MATCH(M231,'G-6 Hedgerow Data'!$AN$2:$AZ$2,0))),"")</f>
        <v/>
      </c>
      <c r="O231" s="172" t="str">
        <f t="shared" si="26"/>
        <v/>
      </c>
      <c r="P231" s="260" t="str">
        <f>IF(B231="","",VLOOKUP(B231,'E-1 Off Site Hedge Baseline'!$B$10:T476,16,FALSE))</f>
        <v/>
      </c>
      <c r="Q231" s="171" t="str">
        <f>IF(M231="","",VLOOKUP(M231,'G-6 Hedgerow Data'!$B$2:$AG$15,2,FALSE))</f>
        <v/>
      </c>
      <c r="R231" s="172" t="str">
        <f>IF(M231="","",VLOOKUP(M231,'G-6 Hedgerow Data'!$B$2:$AG$15,3,FALSE))</f>
        <v/>
      </c>
      <c r="S231" s="173"/>
      <c r="T231" s="172" t="str">
        <f>IFERROR(IF(AND(Q231="V.Low",OR(S231="Good",S231="Moderate")),"Error",VLOOKUP(S231,'G-1 All Habitats'!$Z$2:$AA$9,2,FALSE)),"")</f>
        <v/>
      </c>
      <c r="U231" s="173"/>
      <c r="V231" s="179" t="str">
        <f>IF(U231="","",IF(VLOOKUP(U231,'G-3 Multipliers'!$L$3:$N$6,2,FALSE)=0,"Spatial Data Missing",VLOOKUP(U231,'G-3 Multipliers'!$L$3:$N$6,2,FALSE)))</f>
        <v/>
      </c>
      <c r="W231" s="260" t="str">
        <f>IF(U231="","",IF(VLOOKUP(U231,'G-3 Multipliers'!$L$3:$N$6,3,FALSE)=0,"Spatial Data Missing",VLOOKUP(U231,'G-3 Multipliers'!$L$3:$N$6,3,FALSE)))</f>
        <v/>
      </c>
      <c r="X231" s="171" t="str">
        <f>IFERROR(IF(OR(LEFT(O231,5)="Error",LEFT(N231,5)="Error",T231="Error"),"Check Data",IF(F231&lt;R231,INDEX('G-6 Hedgerow Data'!$S$3:$AE$14,MATCH(C231,'G-6 Hedgerow Data'!$B$3:$B$14,0),MATCH(M231,'G-6 Hedgerow Data'!$S$2:$AE$2,0)),INDEX('G-6 Hedgerow Data'!$K$3:$Q$14,MATCH(M231,'G-6 Hedgerow Data'!$B$3:$B$14,0),MATCH(O231,'G-6 Hedgerow Data'!$K$2:$Q$2,0)))),"")</f>
        <v/>
      </c>
      <c r="Y231" s="261"/>
      <c r="Z231" s="261"/>
      <c r="AA231" s="179" t="str">
        <f t="shared" si="27"/>
        <v/>
      </c>
      <c r="AB231" s="262" t="str">
        <f t="shared" si="28"/>
        <v/>
      </c>
      <c r="AC231" s="263" t="str">
        <f t="shared" si="25"/>
        <v/>
      </c>
      <c r="AD231" s="239" t="str">
        <f>IF(M231="","",VLOOKUP(M231,'G-6 Hedgerow Data'!$B$3:$AG$15,31,FALSE))</f>
        <v/>
      </c>
      <c r="AE231" s="175" t="str">
        <f t="shared" si="29"/>
        <v/>
      </c>
      <c r="AF231" s="175" t="str">
        <f t="shared" si="30"/>
        <v/>
      </c>
      <c r="AG231" s="176" t="str">
        <f>IFERROR(IF(O231="","",VLOOKUP(AD231,'G-3 Multipliers'!$P$3:$Q$6,2,FALSE)),"")</f>
        <v/>
      </c>
      <c r="AH231" s="266"/>
      <c r="AI231" s="172" t="str">
        <f>IF(AH231="","",IF(VLOOKUP(AH231,'G-3 Multipliers'!$S$3:$T$6,2,FALSE)=0,"Spatial Data Missing",VLOOKUP(AH231,'G-3 Multipliers'!$S$3:$T$6,2,FALSE)))</f>
        <v/>
      </c>
      <c r="AJ231" s="265" t="str">
        <f t="shared" si="31"/>
        <v/>
      </c>
      <c r="AK231" s="180"/>
      <c r="AL231" s="181"/>
      <c r="AP231" s="35" t="str">
        <f>IFERROR(INDEX('G-6 Hedgerow Data'!$BJ$3:$BJ$15,MATCH(M231,'G-6 Hedgerow Data'!$B$3:$B$15,0)),"")</f>
        <v/>
      </c>
    </row>
    <row r="232" spans="2:42" ht="13.8" x14ac:dyDescent="0.25">
      <c r="B232" s="259" t="str">
        <f>'E-1 Off Site Hedge Baseline'!AK230</f>
        <v/>
      </c>
      <c r="C232" s="175" t="str">
        <f>IF(B232="","",IF(ISNA(VLOOKUP($B232,'E-1 Off Site Hedge Baseline'!$B$1:$L$257,3,FALSE)),"",(VLOOKUP($B232,'E-1 Off Site Hedge Baseline'!$B$1:$L$257,3,FALSE))))</f>
        <v/>
      </c>
      <c r="D232" s="175" t="str">
        <f>IF(B232="","",IF(ISNA(VLOOKUP($B232,'E-1 Off Site Hedge Baseline'!$B$1:$L$258,4,FALSE)),"",(VLOOKUP($B232,'E-1 Off Site Hedge Baseline'!$B$1:$L$258,4,FALSE))))</f>
        <v/>
      </c>
      <c r="E232" s="175" t="str">
        <f>IF(B232="","",IF(ISNA(VLOOKUP($B232,'E-1 Off Site Hedge Baseline'!$B$1:$L$257,5,FALSE)),"",(VLOOKUP($B232,'E-1 Off Site Hedge Baseline'!$B$1:$L$257,5,FALSE))))</f>
        <v/>
      </c>
      <c r="F232" s="175" t="str">
        <f>IF(B232="","",IF(ISNA(VLOOKUP($B232,'E-1 Off Site Hedge Baseline'!$B$1:$L$257,6,FALSE)),"",(VLOOKUP($B232,'E-1 Off Site Hedge Baseline'!$B$1:$L$257,6,FALSE))))</f>
        <v/>
      </c>
      <c r="G232" s="175" t="str">
        <f>IF(B232="","",IF(ISNA(VLOOKUP($B232,'E-1 Off Site Hedge Baseline'!$B$1:$L$257,7,FALSE)),"",(VLOOKUP($B232,'E-1 Off Site Hedge Baseline'!$B$1:$L$257,7,FALSE))))</f>
        <v/>
      </c>
      <c r="H232" s="175" t="str">
        <f>IF(B232="","",IF(ISNA(VLOOKUP($B232,'E-1 Off Site Hedge Baseline'!$B$1:$L$257,8,FALSE)),"",(VLOOKUP($B232,'E-1 Off Site Hedge Baseline'!$B$1:$L$257,8,FALSE))))</f>
        <v/>
      </c>
      <c r="I232" s="175" t="str">
        <f>IF(B232="","",IF(ISNA(VLOOKUP($B232,'E-1 Off Site Hedge Baseline'!$B$1:$L$257,10,FALSE)),"",(VLOOKUP($B232,'E-1 Off Site Hedge Baseline'!$B$1:$L$257,10,FALSE))))</f>
        <v/>
      </c>
      <c r="J232" s="175" t="str">
        <f>IF(B232="","",IF(ISNA(VLOOKUP($B232,'E-1 Off Site Hedge Baseline'!$B$1:$L$257,11,FALSE)),"",(VLOOKUP($B232,'E-1 Off Site Hedge Baseline'!$B$1:$L$257,11,FALSE))))</f>
        <v/>
      </c>
      <c r="K232" s="175" t="str">
        <f>IF(B232="","",IF(ISNA(VLOOKUP($B232,'E-1 Off Site Hedge Baseline'!$B$1:$U$257,113,FALSE)),"",(VLOOKUP($B232,'E-1 Off Site Hedge Baseline'!$B$1:$U$257,13,FALSE))))</f>
        <v/>
      </c>
      <c r="L232" s="179" t="str">
        <f>IF(B232="","",IF(ISNA(VLOOKUP($B232,'E-1 Off Site Hedge Baseline'!$B$1:$U$257,12,FALSE)),"",(VLOOKUP($B232,'E-1 Off Site Hedge Baseline'!$B$1:$U$257,12,FALSE))))</f>
        <v/>
      </c>
      <c r="M232" s="639" t="str">
        <f t="shared" si="32"/>
        <v/>
      </c>
      <c r="N232" s="171" t="str">
        <f>IFERROR(IF(B232="","",INDEX('G-6 Hedgerow Data'!$AN$3:$AZ$15,MATCH(C232,'G-6 Hedgerow Data'!$AM$3:$AM$15,0),MATCH(M232,'G-6 Hedgerow Data'!$AN$2:$AZ$2,0))),"")</f>
        <v/>
      </c>
      <c r="O232" s="172" t="str">
        <f t="shared" si="26"/>
        <v/>
      </c>
      <c r="P232" s="260" t="str">
        <f>IF(B232="","",VLOOKUP(B232,'E-1 Off Site Hedge Baseline'!$B$10:T477,16,FALSE))</f>
        <v/>
      </c>
      <c r="Q232" s="171" t="str">
        <f>IF(M232="","",VLOOKUP(M232,'G-6 Hedgerow Data'!$B$2:$AG$15,2,FALSE))</f>
        <v/>
      </c>
      <c r="R232" s="172" t="str">
        <f>IF(M232="","",VLOOKUP(M232,'G-6 Hedgerow Data'!$B$2:$AG$15,3,FALSE))</f>
        <v/>
      </c>
      <c r="S232" s="173"/>
      <c r="T232" s="172" t="str">
        <f>IFERROR(IF(AND(Q232="V.Low",OR(S232="Good",S232="Moderate")),"Error",VLOOKUP(S232,'G-1 All Habitats'!$Z$2:$AA$9,2,FALSE)),"")</f>
        <v/>
      </c>
      <c r="U232" s="173"/>
      <c r="V232" s="179" t="str">
        <f>IF(U232="","",IF(VLOOKUP(U232,'G-3 Multipliers'!$L$3:$N$6,2,FALSE)=0,"Spatial Data Missing",VLOOKUP(U232,'G-3 Multipliers'!$L$3:$N$6,2,FALSE)))</f>
        <v/>
      </c>
      <c r="W232" s="260" t="str">
        <f>IF(U232="","",IF(VLOOKUP(U232,'G-3 Multipliers'!$L$3:$N$6,3,FALSE)=0,"Spatial Data Missing",VLOOKUP(U232,'G-3 Multipliers'!$L$3:$N$6,3,FALSE)))</f>
        <v/>
      </c>
      <c r="X232" s="171" t="str">
        <f>IFERROR(IF(OR(LEFT(O232,5)="Error",LEFT(N232,5)="Error",T232="Error"),"Check Data",IF(F232&lt;R232,INDEX('G-6 Hedgerow Data'!$S$3:$AE$14,MATCH(C232,'G-6 Hedgerow Data'!$B$3:$B$14,0),MATCH(M232,'G-6 Hedgerow Data'!$S$2:$AE$2,0)),INDEX('G-6 Hedgerow Data'!$K$3:$Q$14,MATCH(M232,'G-6 Hedgerow Data'!$B$3:$B$14,0),MATCH(O232,'G-6 Hedgerow Data'!$K$2:$Q$2,0)))),"")</f>
        <v/>
      </c>
      <c r="Y232" s="261"/>
      <c r="Z232" s="261"/>
      <c r="AA232" s="179" t="str">
        <f t="shared" si="27"/>
        <v/>
      </c>
      <c r="AB232" s="262" t="str">
        <f t="shared" si="28"/>
        <v/>
      </c>
      <c r="AC232" s="263" t="str">
        <f t="shared" si="25"/>
        <v/>
      </c>
      <c r="AD232" s="239" t="str">
        <f>IF(M232="","",VLOOKUP(M232,'G-6 Hedgerow Data'!$B$3:$AG$15,31,FALSE))</f>
        <v/>
      </c>
      <c r="AE232" s="175" t="str">
        <f t="shared" si="29"/>
        <v/>
      </c>
      <c r="AF232" s="175" t="str">
        <f t="shared" si="30"/>
        <v/>
      </c>
      <c r="AG232" s="176" t="str">
        <f>IFERROR(IF(O232="","",VLOOKUP(AD232,'G-3 Multipliers'!$P$3:$Q$6,2,FALSE)),"")</f>
        <v/>
      </c>
      <c r="AH232" s="266"/>
      <c r="AI232" s="172" t="str">
        <f>IF(AH232="","",IF(VLOOKUP(AH232,'G-3 Multipliers'!$S$3:$T$6,2,FALSE)=0,"Spatial Data Missing",VLOOKUP(AH232,'G-3 Multipliers'!$S$3:$T$6,2,FALSE)))</f>
        <v/>
      </c>
      <c r="AJ232" s="265" t="str">
        <f t="shared" si="31"/>
        <v/>
      </c>
      <c r="AK232" s="180"/>
      <c r="AL232" s="181"/>
      <c r="AP232" s="35" t="str">
        <f>IFERROR(INDEX('G-6 Hedgerow Data'!$BJ$3:$BJ$15,MATCH(M232,'G-6 Hedgerow Data'!$B$3:$B$15,0)),"")</f>
        <v/>
      </c>
    </row>
    <row r="233" spans="2:42" ht="13.8" x14ac:dyDescent="0.25">
      <c r="B233" s="259" t="str">
        <f>'E-1 Off Site Hedge Baseline'!AK231</f>
        <v/>
      </c>
      <c r="C233" s="175" t="str">
        <f>IF(B233="","",IF(ISNA(VLOOKUP($B233,'E-1 Off Site Hedge Baseline'!$B$1:$L$257,3,FALSE)),"",(VLOOKUP($B233,'E-1 Off Site Hedge Baseline'!$B$1:$L$257,3,FALSE))))</f>
        <v/>
      </c>
      <c r="D233" s="175" t="str">
        <f>IF(B233="","",IF(ISNA(VLOOKUP($B233,'E-1 Off Site Hedge Baseline'!$B$1:$L$258,4,FALSE)),"",(VLOOKUP($B233,'E-1 Off Site Hedge Baseline'!$B$1:$L$258,4,FALSE))))</f>
        <v/>
      </c>
      <c r="E233" s="175" t="str">
        <f>IF(B233="","",IF(ISNA(VLOOKUP($B233,'E-1 Off Site Hedge Baseline'!$B$1:$L$257,5,FALSE)),"",(VLOOKUP($B233,'E-1 Off Site Hedge Baseline'!$B$1:$L$257,5,FALSE))))</f>
        <v/>
      </c>
      <c r="F233" s="175" t="str">
        <f>IF(B233="","",IF(ISNA(VLOOKUP($B233,'E-1 Off Site Hedge Baseline'!$B$1:$L$257,6,FALSE)),"",(VLOOKUP($B233,'E-1 Off Site Hedge Baseline'!$B$1:$L$257,6,FALSE))))</f>
        <v/>
      </c>
      <c r="G233" s="175" t="str">
        <f>IF(B233="","",IF(ISNA(VLOOKUP($B233,'E-1 Off Site Hedge Baseline'!$B$1:$L$257,7,FALSE)),"",(VLOOKUP($B233,'E-1 Off Site Hedge Baseline'!$B$1:$L$257,7,FALSE))))</f>
        <v/>
      </c>
      <c r="H233" s="175" t="str">
        <f>IF(B233="","",IF(ISNA(VLOOKUP($B233,'E-1 Off Site Hedge Baseline'!$B$1:$L$257,8,FALSE)),"",(VLOOKUP($B233,'E-1 Off Site Hedge Baseline'!$B$1:$L$257,8,FALSE))))</f>
        <v/>
      </c>
      <c r="I233" s="175" t="str">
        <f>IF(B233="","",IF(ISNA(VLOOKUP($B233,'E-1 Off Site Hedge Baseline'!$B$1:$L$257,10,FALSE)),"",(VLOOKUP($B233,'E-1 Off Site Hedge Baseline'!$B$1:$L$257,10,FALSE))))</f>
        <v/>
      </c>
      <c r="J233" s="175" t="str">
        <f>IF(B233="","",IF(ISNA(VLOOKUP($B233,'E-1 Off Site Hedge Baseline'!$B$1:$L$257,11,FALSE)),"",(VLOOKUP($B233,'E-1 Off Site Hedge Baseline'!$B$1:$L$257,11,FALSE))))</f>
        <v/>
      </c>
      <c r="K233" s="175" t="str">
        <f>IF(B233="","",IF(ISNA(VLOOKUP($B233,'E-1 Off Site Hedge Baseline'!$B$1:$U$257,113,FALSE)),"",(VLOOKUP($B233,'E-1 Off Site Hedge Baseline'!$B$1:$U$257,13,FALSE))))</f>
        <v/>
      </c>
      <c r="L233" s="179" t="str">
        <f>IF(B233="","",IF(ISNA(VLOOKUP($B233,'E-1 Off Site Hedge Baseline'!$B$1:$U$257,12,FALSE)),"",(VLOOKUP($B233,'E-1 Off Site Hedge Baseline'!$B$1:$U$257,12,FALSE))))</f>
        <v/>
      </c>
      <c r="M233" s="639" t="str">
        <f t="shared" si="32"/>
        <v/>
      </c>
      <c r="N233" s="171" t="str">
        <f>IFERROR(IF(B233="","",INDEX('G-6 Hedgerow Data'!$AN$3:$AZ$15,MATCH(C233,'G-6 Hedgerow Data'!$AM$3:$AM$15,0),MATCH(M233,'G-6 Hedgerow Data'!$AN$2:$AZ$2,0))),"")</f>
        <v/>
      </c>
      <c r="O233" s="172" t="str">
        <f t="shared" si="26"/>
        <v/>
      </c>
      <c r="P233" s="260" t="str">
        <f>IF(B233="","",VLOOKUP(B233,'E-1 Off Site Hedge Baseline'!$B$10:T478,16,FALSE))</f>
        <v/>
      </c>
      <c r="Q233" s="171" t="str">
        <f>IF(M233="","",VLOOKUP(M233,'G-6 Hedgerow Data'!$B$2:$AG$15,2,FALSE))</f>
        <v/>
      </c>
      <c r="R233" s="172" t="str">
        <f>IF(M233="","",VLOOKUP(M233,'G-6 Hedgerow Data'!$B$2:$AG$15,3,FALSE))</f>
        <v/>
      </c>
      <c r="S233" s="173"/>
      <c r="T233" s="172" t="str">
        <f>IFERROR(IF(AND(Q233="V.Low",OR(S233="Good",S233="Moderate")),"Error",VLOOKUP(S233,'G-1 All Habitats'!$Z$2:$AA$9,2,FALSE)),"")</f>
        <v/>
      </c>
      <c r="U233" s="173"/>
      <c r="V233" s="179" t="str">
        <f>IF(U233="","",IF(VLOOKUP(U233,'G-3 Multipliers'!$L$3:$N$6,2,FALSE)=0,"Spatial Data Missing",VLOOKUP(U233,'G-3 Multipliers'!$L$3:$N$6,2,FALSE)))</f>
        <v/>
      </c>
      <c r="W233" s="260" t="str">
        <f>IF(U233="","",IF(VLOOKUP(U233,'G-3 Multipliers'!$L$3:$N$6,3,FALSE)=0,"Spatial Data Missing",VLOOKUP(U233,'G-3 Multipliers'!$L$3:$N$6,3,FALSE)))</f>
        <v/>
      </c>
      <c r="X233" s="171" t="str">
        <f>IFERROR(IF(OR(LEFT(O233,5)="Error",LEFT(N233,5)="Error",T233="Error"),"Check Data",IF(F233&lt;R233,INDEX('G-6 Hedgerow Data'!$S$3:$AE$14,MATCH(C233,'G-6 Hedgerow Data'!$B$3:$B$14,0),MATCH(M233,'G-6 Hedgerow Data'!$S$2:$AE$2,0)),INDEX('G-6 Hedgerow Data'!$K$3:$Q$14,MATCH(M233,'G-6 Hedgerow Data'!$B$3:$B$14,0),MATCH(O233,'G-6 Hedgerow Data'!$K$2:$Q$2,0)))),"")</f>
        <v/>
      </c>
      <c r="Y233" s="261"/>
      <c r="Z233" s="261"/>
      <c r="AA233" s="179" t="str">
        <f t="shared" si="27"/>
        <v/>
      </c>
      <c r="AB233" s="262" t="str">
        <f t="shared" si="28"/>
        <v/>
      </c>
      <c r="AC233" s="263" t="str">
        <f t="shared" si="25"/>
        <v/>
      </c>
      <c r="AD233" s="239" t="str">
        <f>IF(M233="","",VLOOKUP(M233,'G-6 Hedgerow Data'!$B$3:$AG$15,31,FALSE))</f>
        <v/>
      </c>
      <c r="AE233" s="175" t="str">
        <f t="shared" si="29"/>
        <v/>
      </c>
      <c r="AF233" s="175" t="str">
        <f t="shared" si="30"/>
        <v/>
      </c>
      <c r="AG233" s="176" t="str">
        <f>IFERROR(IF(O233="","",VLOOKUP(AD233,'G-3 Multipliers'!$P$3:$Q$6,2,FALSE)),"")</f>
        <v/>
      </c>
      <c r="AH233" s="266"/>
      <c r="AI233" s="172" t="str">
        <f>IF(AH233="","",IF(VLOOKUP(AH233,'G-3 Multipliers'!$S$3:$T$6,2,FALSE)=0,"Spatial Data Missing",VLOOKUP(AH233,'G-3 Multipliers'!$S$3:$T$6,2,FALSE)))</f>
        <v/>
      </c>
      <c r="AJ233" s="265" t="str">
        <f t="shared" si="31"/>
        <v/>
      </c>
      <c r="AK233" s="180"/>
      <c r="AL233" s="181"/>
      <c r="AP233" s="35" t="str">
        <f>IFERROR(INDEX('G-6 Hedgerow Data'!$BJ$3:$BJ$15,MATCH(M233,'G-6 Hedgerow Data'!$B$3:$B$15,0)),"")</f>
        <v/>
      </c>
    </row>
    <row r="234" spans="2:42" ht="13.8" x14ac:dyDescent="0.25">
      <c r="B234" s="259" t="str">
        <f>'E-1 Off Site Hedge Baseline'!AK232</f>
        <v/>
      </c>
      <c r="C234" s="175" t="str">
        <f>IF(B234="","",IF(ISNA(VLOOKUP($B234,'E-1 Off Site Hedge Baseline'!$B$1:$L$257,3,FALSE)),"",(VLOOKUP($B234,'E-1 Off Site Hedge Baseline'!$B$1:$L$257,3,FALSE))))</f>
        <v/>
      </c>
      <c r="D234" s="175" t="str">
        <f>IF(B234="","",IF(ISNA(VLOOKUP($B234,'E-1 Off Site Hedge Baseline'!$B$1:$L$258,4,FALSE)),"",(VLOOKUP($B234,'E-1 Off Site Hedge Baseline'!$B$1:$L$258,4,FALSE))))</f>
        <v/>
      </c>
      <c r="E234" s="175" t="str">
        <f>IF(B234="","",IF(ISNA(VLOOKUP($B234,'E-1 Off Site Hedge Baseline'!$B$1:$L$257,5,FALSE)),"",(VLOOKUP($B234,'E-1 Off Site Hedge Baseline'!$B$1:$L$257,5,FALSE))))</f>
        <v/>
      </c>
      <c r="F234" s="175" t="str">
        <f>IF(B234="","",IF(ISNA(VLOOKUP($B234,'E-1 Off Site Hedge Baseline'!$B$1:$L$257,6,FALSE)),"",(VLOOKUP($B234,'E-1 Off Site Hedge Baseline'!$B$1:$L$257,6,FALSE))))</f>
        <v/>
      </c>
      <c r="G234" s="175" t="str">
        <f>IF(B234="","",IF(ISNA(VLOOKUP($B234,'E-1 Off Site Hedge Baseline'!$B$1:$L$257,7,FALSE)),"",(VLOOKUP($B234,'E-1 Off Site Hedge Baseline'!$B$1:$L$257,7,FALSE))))</f>
        <v/>
      </c>
      <c r="H234" s="175" t="str">
        <f>IF(B234="","",IF(ISNA(VLOOKUP($B234,'E-1 Off Site Hedge Baseline'!$B$1:$L$257,8,FALSE)),"",(VLOOKUP($B234,'E-1 Off Site Hedge Baseline'!$B$1:$L$257,8,FALSE))))</f>
        <v/>
      </c>
      <c r="I234" s="175" t="str">
        <f>IF(B234="","",IF(ISNA(VLOOKUP($B234,'E-1 Off Site Hedge Baseline'!$B$1:$L$257,10,FALSE)),"",(VLOOKUP($B234,'E-1 Off Site Hedge Baseline'!$B$1:$L$257,10,FALSE))))</f>
        <v/>
      </c>
      <c r="J234" s="175" t="str">
        <f>IF(B234="","",IF(ISNA(VLOOKUP($B234,'E-1 Off Site Hedge Baseline'!$B$1:$L$257,11,FALSE)),"",(VLOOKUP($B234,'E-1 Off Site Hedge Baseline'!$B$1:$L$257,11,FALSE))))</f>
        <v/>
      </c>
      <c r="K234" s="175" t="str">
        <f>IF(B234="","",IF(ISNA(VLOOKUP($B234,'E-1 Off Site Hedge Baseline'!$B$1:$U$257,113,FALSE)),"",(VLOOKUP($B234,'E-1 Off Site Hedge Baseline'!$B$1:$U$257,13,FALSE))))</f>
        <v/>
      </c>
      <c r="L234" s="179" t="str">
        <f>IF(B234="","",IF(ISNA(VLOOKUP($B234,'E-1 Off Site Hedge Baseline'!$B$1:$U$257,12,FALSE)),"",(VLOOKUP($B234,'E-1 Off Site Hedge Baseline'!$B$1:$U$257,12,FALSE))))</f>
        <v/>
      </c>
      <c r="M234" s="639" t="str">
        <f t="shared" si="32"/>
        <v/>
      </c>
      <c r="N234" s="171" t="str">
        <f>IFERROR(IF(B234="","",INDEX('G-6 Hedgerow Data'!$AN$3:$AZ$15,MATCH(C234,'G-6 Hedgerow Data'!$AM$3:$AM$15,0),MATCH(M234,'G-6 Hedgerow Data'!$AN$2:$AZ$2,0))),"")</f>
        <v/>
      </c>
      <c r="O234" s="172" t="str">
        <f t="shared" si="26"/>
        <v/>
      </c>
      <c r="P234" s="260" t="str">
        <f>IF(B234="","",VLOOKUP(B234,'E-1 Off Site Hedge Baseline'!$B$10:T479,16,FALSE))</f>
        <v/>
      </c>
      <c r="Q234" s="171" t="str">
        <f>IF(M234="","",VLOOKUP(M234,'G-6 Hedgerow Data'!$B$2:$AG$15,2,FALSE))</f>
        <v/>
      </c>
      <c r="R234" s="172" t="str">
        <f>IF(M234="","",VLOOKUP(M234,'G-6 Hedgerow Data'!$B$2:$AG$15,3,FALSE))</f>
        <v/>
      </c>
      <c r="S234" s="173"/>
      <c r="T234" s="172" t="str">
        <f>IFERROR(IF(AND(Q234="V.Low",OR(S234="Good",S234="Moderate")),"Error",VLOOKUP(S234,'G-1 All Habitats'!$Z$2:$AA$9,2,FALSE)),"")</f>
        <v/>
      </c>
      <c r="U234" s="173"/>
      <c r="V234" s="179" t="str">
        <f>IF(U234="","",IF(VLOOKUP(U234,'G-3 Multipliers'!$L$3:$N$6,2,FALSE)=0,"Spatial Data Missing",VLOOKUP(U234,'G-3 Multipliers'!$L$3:$N$6,2,FALSE)))</f>
        <v/>
      </c>
      <c r="W234" s="260" t="str">
        <f>IF(U234="","",IF(VLOOKUP(U234,'G-3 Multipliers'!$L$3:$N$6,3,FALSE)=0,"Spatial Data Missing",VLOOKUP(U234,'G-3 Multipliers'!$L$3:$N$6,3,FALSE)))</f>
        <v/>
      </c>
      <c r="X234" s="171" t="str">
        <f>IFERROR(IF(OR(LEFT(O234,5)="Error",LEFT(N234,5)="Error",T234="Error"),"Check Data",IF(F234&lt;R234,INDEX('G-6 Hedgerow Data'!$S$3:$AE$14,MATCH(C234,'G-6 Hedgerow Data'!$B$3:$B$14,0),MATCH(M234,'G-6 Hedgerow Data'!$S$2:$AE$2,0)),INDEX('G-6 Hedgerow Data'!$K$3:$Q$14,MATCH(M234,'G-6 Hedgerow Data'!$B$3:$B$14,0),MATCH(O234,'G-6 Hedgerow Data'!$K$2:$Q$2,0)))),"")</f>
        <v/>
      </c>
      <c r="Y234" s="261"/>
      <c r="Z234" s="261"/>
      <c r="AA234" s="179" t="str">
        <f t="shared" si="27"/>
        <v/>
      </c>
      <c r="AB234" s="262" t="str">
        <f t="shared" si="28"/>
        <v/>
      </c>
      <c r="AC234" s="263" t="str">
        <f t="shared" si="25"/>
        <v/>
      </c>
      <c r="AD234" s="239" t="str">
        <f>IF(M234="","",VLOOKUP(M234,'G-6 Hedgerow Data'!$B$3:$AG$15,31,FALSE))</f>
        <v/>
      </c>
      <c r="AE234" s="175" t="str">
        <f t="shared" si="29"/>
        <v/>
      </c>
      <c r="AF234" s="175" t="str">
        <f t="shared" si="30"/>
        <v/>
      </c>
      <c r="AG234" s="176" t="str">
        <f>IFERROR(IF(O234="","",VLOOKUP(AD234,'G-3 Multipliers'!$P$3:$Q$6,2,FALSE)),"")</f>
        <v/>
      </c>
      <c r="AH234" s="266"/>
      <c r="AI234" s="172" t="str">
        <f>IF(AH234="","",IF(VLOOKUP(AH234,'G-3 Multipliers'!$S$3:$T$6,2,FALSE)=0,"Spatial Data Missing",VLOOKUP(AH234,'G-3 Multipliers'!$S$3:$T$6,2,FALSE)))</f>
        <v/>
      </c>
      <c r="AJ234" s="265" t="str">
        <f t="shared" si="31"/>
        <v/>
      </c>
      <c r="AK234" s="180"/>
      <c r="AL234" s="181"/>
      <c r="AP234" s="35" t="str">
        <f>IFERROR(INDEX('G-6 Hedgerow Data'!$BJ$3:$BJ$15,MATCH(M234,'G-6 Hedgerow Data'!$B$3:$B$15,0)),"")</f>
        <v/>
      </c>
    </row>
    <row r="235" spans="2:42" ht="13.8" x14ac:dyDescent="0.25">
      <c r="B235" s="259" t="str">
        <f>'E-1 Off Site Hedge Baseline'!AK233</f>
        <v/>
      </c>
      <c r="C235" s="175" t="str">
        <f>IF(B235="","",IF(ISNA(VLOOKUP($B235,'E-1 Off Site Hedge Baseline'!$B$1:$L$257,3,FALSE)),"",(VLOOKUP($B235,'E-1 Off Site Hedge Baseline'!$B$1:$L$257,3,FALSE))))</f>
        <v/>
      </c>
      <c r="D235" s="175" t="str">
        <f>IF(B235="","",IF(ISNA(VLOOKUP($B235,'E-1 Off Site Hedge Baseline'!$B$1:$L$258,4,FALSE)),"",(VLOOKUP($B235,'E-1 Off Site Hedge Baseline'!$B$1:$L$258,4,FALSE))))</f>
        <v/>
      </c>
      <c r="E235" s="175" t="str">
        <f>IF(B235="","",IF(ISNA(VLOOKUP($B235,'E-1 Off Site Hedge Baseline'!$B$1:$L$257,5,FALSE)),"",(VLOOKUP($B235,'E-1 Off Site Hedge Baseline'!$B$1:$L$257,5,FALSE))))</f>
        <v/>
      </c>
      <c r="F235" s="175" t="str">
        <f>IF(B235="","",IF(ISNA(VLOOKUP($B235,'E-1 Off Site Hedge Baseline'!$B$1:$L$257,6,FALSE)),"",(VLOOKUP($B235,'E-1 Off Site Hedge Baseline'!$B$1:$L$257,6,FALSE))))</f>
        <v/>
      </c>
      <c r="G235" s="175" t="str">
        <f>IF(B235="","",IF(ISNA(VLOOKUP($B235,'E-1 Off Site Hedge Baseline'!$B$1:$L$257,7,FALSE)),"",(VLOOKUP($B235,'E-1 Off Site Hedge Baseline'!$B$1:$L$257,7,FALSE))))</f>
        <v/>
      </c>
      <c r="H235" s="175" t="str">
        <f>IF(B235="","",IF(ISNA(VLOOKUP($B235,'E-1 Off Site Hedge Baseline'!$B$1:$L$257,8,FALSE)),"",(VLOOKUP($B235,'E-1 Off Site Hedge Baseline'!$B$1:$L$257,8,FALSE))))</f>
        <v/>
      </c>
      <c r="I235" s="175" t="str">
        <f>IF(B235="","",IF(ISNA(VLOOKUP($B235,'E-1 Off Site Hedge Baseline'!$B$1:$L$257,10,FALSE)),"",(VLOOKUP($B235,'E-1 Off Site Hedge Baseline'!$B$1:$L$257,10,FALSE))))</f>
        <v/>
      </c>
      <c r="J235" s="175" t="str">
        <f>IF(B235="","",IF(ISNA(VLOOKUP($B235,'E-1 Off Site Hedge Baseline'!$B$1:$L$257,11,FALSE)),"",(VLOOKUP($B235,'E-1 Off Site Hedge Baseline'!$B$1:$L$257,11,FALSE))))</f>
        <v/>
      </c>
      <c r="K235" s="175" t="str">
        <f>IF(B235="","",IF(ISNA(VLOOKUP($B235,'E-1 Off Site Hedge Baseline'!$B$1:$U$257,113,FALSE)),"",(VLOOKUP($B235,'E-1 Off Site Hedge Baseline'!$B$1:$U$257,13,FALSE))))</f>
        <v/>
      </c>
      <c r="L235" s="179" t="str">
        <f>IF(B235="","",IF(ISNA(VLOOKUP($B235,'E-1 Off Site Hedge Baseline'!$B$1:$U$257,12,FALSE)),"",(VLOOKUP($B235,'E-1 Off Site Hedge Baseline'!$B$1:$U$257,12,FALSE))))</f>
        <v/>
      </c>
      <c r="M235" s="639" t="str">
        <f t="shared" si="32"/>
        <v/>
      </c>
      <c r="N235" s="171" t="str">
        <f>IFERROR(IF(B235="","",INDEX('G-6 Hedgerow Data'!$AN$3:$AZ$15,MATCH(C235,'G-6 Hedgerow Data'!$AM$3:$AM$15,0),MATCH(M235,'G-6 Hedgerow Data'!$AN$2:$AZ$2,0))),"")</f>
        <v/>
      </c>
      <c r="O235" s="172" t="str">
        <f t="shared" si="26"/>
        <v/>
      </c>
      <c r="P235" s="260" t="str">
        <f>IF(B235="","",VLOOKUP(B235,'E-1 Off Site Hedge Baseline'!$B$10:T480,16,FALSE))</f>
        <v/>
      </c>
      <c r="Q235" s="171" t="str">
        <f>IF(M235="","",VLOOKUP(M235,'G-6 Hedgerow Data'!$B$2:$AG$15,2,FALSE))</f>
        <v/>
      </c>
      <c r="R235" s="172" t="str">
        <f>IF(M235="","",VLOOKUP(M235,'G-6 Hedgerow Data'!$B$2:$AG$15,3,FALSE))</f>
        <v/>
      </c>
      <c r="S235" s="173"/>
      <c r="T235" s="172" t="str">
        <f>IFERROR(IF(AND(Q235="V.Low",OR(S235="Good",S235="Moderate")),"Error",VLOOKUP(S235,'G-1 All Habitats'!$Z$2:$AA$9,2,FALSE)),"")</f>
        <v/>
      </c>
      <c r="U235" s="173"/>
      <c r="V235" s="179" t="str">
        <f>IF(U235="","",IF(VLOOKUP(U235,'G-3 Multipliers'!$L$3:$N$6,2,FALSE)=0,"Spatial Data Missing",VLOOKUP(U235,'G-3 Multipliers'!$L$3:$N$6,2,FALSE)))</f>
        <v/>
      </c>
      <c r="W235" s="260" t="str">
        <f>IF(U235="","",IF(VLOOKUP(U235,'G-3 Multipliers'!$L$3:$N$6,3,FALSE)=0,"Spatial Data Missing",VLOOKUP(U235,'G-3 Multipliers'!$L$3:$N$6,3,FALSE)))</f>
        <v/>
      </c>
      <c r="X235" s="171" t="str">
        <f>IFERROR(IF(OR(LEFT(O235,5)="Error",LEFT(N235,5)="Error",T235="Error"),"Check Data",IF(F235&lt;R235,INDEX('G-6 Hedgerow Data'!$S$3:$AE$14,MATCH(C235,'G-6 Hedgerow Data'!$B$3:$B$14,0),MATCH(M235,'G-6 Hedgerow Data'!$S$2:$AE$2,0)),INDEX('G-6 Hedgerow Data'!$K$3:$Q$14,MATCH(M235,'G-6 Hedgerow Data'!$B$3:$B$14,0),MATCH(O235,'G-6 Hedgerow Data'!$K$2:$Q$2,0)))),"")</f>
        <v/>
      </c>
      <c r="Y235" s="261"/>
      <c r="Z235" s="261"/>
      <c r="AA235" s="179" t="str">
        <f t="shared" si="27"/>
        <v/>
      </c>
      <c r="AB235" s="262" t="str">
        <f t="shared" si="28"/>
        <v/>
      </c>
      <c r="AC235" s="263" t="str">
        <f t="shared" si="25"/>
        <v/>
      </c>
      <c r="AD235" s="239" t="str">
        <f>IF(M235="","",VLOOKUP(M235,'G-6 Hedgerow Data'!$B$3:$AG$15,31,FALSE))</f>
        <v/>
      </c>
      <c r="AE235" s="175" t="str">
        <f t="shared" si="29"/>
        <v/>
      </c>
      <c r="AF235" s="175" t="str">
        <f t="shared" si="30"/>
        <v/>
      </c>
      <c r="AG235" s="176" t="str">
        <f>IFERROR(IF(O235="","",VLOOKUP(AD235,'G-3 Multipliers'!$P$3:$Q$6,2,FALSE)),"")</f>
        <v/>
      </c>
      <c r="AH235" s="266"/>
      <c r="AI235" s="172" t="str">
        <f>IF(AH235="","",IF(VLOOKUP(AH235,'G-3 Multipliers'!$S$3:$T$6,2,FALSE)=0,"Spatial Data Missing",VLOOKUP(AH235,'G-3 Multipliers'!$S$3:$T$6,2,FALSE)))</f>
        <v/>
      </c>
      <c r="AJ235" s="265" t="str">
        <f t="shared" si="31"/>
        <v/>
      </c>
      <c r="AK235" s="180"/>
      <c r="AL235" s="181"/>
      <c r="AP235" s="35" t="str">
        <f>IFERROR(INDEX('G-6 Hedgerow Data'!$BJ$3:$BJ$15,MATCH(M235,'G-6 Hedgerow Data'!$B$3:$B$15,0)),"")</f>
        <v/>
      </c>
    </row>
    <row r="236" spans="2:42" ht="13.8" x14ac:dyDescent="0.25">
      <c r="B236" s="259" t="str">
        <f>'E-1 Off Site Hedge Baseline'!AK234</f>
        <v/>
      </c>
      <c r="C236" s="175" t="str">
        <f>IF(B236="","",IF(ISNA(VLOOKUP($B236,'E-1 Off Site Hedge Baseline'!$B$1:$L$257,3,FALSE)),"",(VLOOKUP($B236,'E-1 Off Site Hedge Baseline'!$B$1:$L$257,3,FALSE))))</f>
        <v/>
      </c>
      <c r="D236" s="175" t="str">
        <f>IF(B236="","",IF(ISNA(VLOOKUP($B236,'E-1 Off Site Hedge Baseline'!$B$1:$L$258,4,FALSE)),"",(VLOOKUP($B236,'E-1 Off Site Hedge Baseline'!$B$1:$L$258,4,FALSE))))</f>
        <v/>
      </c>
      <c r="E236" s="175" t="str">
        <f>IF(B236="","",IF(ISNA(VLOOKUP($B236,'E-1 Off Site Hedge Baseline'!$B$1:$L$257,5,FALSE)),"",(VLOOKUP($B236,'E-1 Off Site Hedge Baseline'!$B$1:$L$257,5,FALSE))))</f>
        <v/>
      </c>
      <c r="F236" s="175" t="str">
        <f>IF(B236="","",IF(ISNA(VLOOKUP($B236,'E-1 Off Site Hedge Baseline'!$B$1:$L$257,6,FALSE)),"",(VLOOKUP($B236,'E-1 Off Site Hedge Baseline'!$B$1:$L$257,6,FALSE))))</f>
        <v/>
      </c>
      <c r="G236" s="175" t="str">
        <f>IF(B236="","",IF(ISNA(VLOOKUP($B236,'E-1 Off Site Hedge Baseline'!$B$1:$L$257,7,FALSE)),"",(VLOOKUP($B236,'E-1 Off Site Hedge Baseline'!$B$1:$L$257,7,FALSE))))</f>
        <v/>
      </c>
      <c r="H236" s="175" t="str">
        <f>IF(B236="","",IF(ISNA(VLOOKUP($B236,'E-1 Off Site Hedge Baseline'!$B$1:$L$257,8,FALSE)),"",(VLOOKUP($B236,'E-1 Off Site Hedge Baseline'!$B$1:$L$257,8,FALSE))))</f>
        <v/>
      </c>
      <c r="I236" s="175" t="str">
        <f>IF(B236="","",IF(ISNA(VLOOKUP($B236,'E-1 Off Site Hedge Baseline'!$B$1:$L$257,10,FALSE)),"",(VLOOKUP($B236,'E-1 Off Site Hedge Baseline'!$B$1:$L$257,10,FALSE))))</f>
        <v/>
      </c>
      <c r="J236" s="175" t="str">
        <f>IF(B236="","",IF(ISNA(VLOOKUP($B236,'E-1 Off Site Hedge Baseline'!$B$1:$L$257,11,FALSE)),"",(VLOOKUP($B236,'E-1 Off Site Hedge Baseline'!$B$1:$L$257,11,FALSE))))</f>
        <v/>
      </c>
      <c r="K236" s="175" t="str">
        <f>IF(B236="","",IF(ISNA(VLOOKUP($B236,'E-1 Off Site Hedge Baseline'!$B$1:$U$257,113,FALSE)),"",(VLOOKUP($B236,'E-1 Off Site Hedge Baseline'!$B$1:$U$257,13,FALSE))))</f>
        <v/>
      </c>
      <c r="L236" s="179" t="str">
        <f>IF(B236="","",IF(ISNA(VLOOKUP($B236,'E-1 Off Site Hedge Baseline'!$B$1:$U$257,12,FALSE)),"",(VLOOKUP($B236,'E-1 Off Site Hedge Baseline'!$B$1:$U$257,12,FALSE))))</f>
        <v/>
      </c>
      <c r="M236" s="639" t="str">
        <f t="shared" si="32"/>
        <v/>
      </c>
      <c r="N236" s="171" t="str">
        <f>IFERROR(IF(B236="","",INDEX('G-6 Hedgerow Data'!$AN$3:$AZ$15,MATCH(C236,'G-6 Hedgerow Data'!$AM$3:$AM$15,0),MATCH(M236,'G-6 Hedgerow Data'!$AN$2:$AZ$2,0))),"")</f>
        <v/>
      </c>
      <c r="O236" s="172" t="str">
        <f t="shared" si="26"/>
        <v/>
      </c>
      <c r="P236" s="260" t="str">
        <f>IF(B236="","",VLOOKUP(B236,'E-1 Off Site Hedge Baseline'!$B$10:T481,16,FALSE))</f>
        <v/>
      </c>
      <c r="Q236" s="171" t="str">
        <f>IF(M236="","",VLOOKUP(M236,'G-6 Hedgerow Data'!$B$2:$AG$15,2,FALSE))</f>
        <v/>
      </c>
      <c r="R236" s="172" t="str">
        <f>IF(M236="","",VLOOKUP(M236,'G-6 Hedgerow Data'!$B$2:$AG$15,3,FALSE))</f>
        <v/>
      </c>
      <c r="S236" s="173"/>
      <c r="T236" s="172" t="str">
        <f>IFERROR(IF(AND(Q236="V.Low",OR(S236="Good",S236="Moderate")),"Error",VLOOKUP(S236,'G-1 All Habitats'!$Z$2:$AA$9,2,FALSE)),"")</f>
        <v/>
      </c>
      <c r="U236" s="173"/>
      <c r="V236" s="179" t="str">
        <f>IF(U236="","",IF(VLOOKUP(U236,'G-3 Multipliers'!$L$3:$N$6,2,FALSE)=0,"Spatial Data Missing",VLOOKUP(U236,'G-3 Multipliers'!$L$3:$N$6,2,FALSE)))</f>
        <v/>
      </c>
      <c r="W236" s="260" t="str">
        <f>IF(U236="","",IF(VLOOKUP(U236,'G-3 Multipliers'!$L$3:$N$6,3,FALSE)=0,"Spatial Data Missing",VLOOKUP(U236,'G-3 Multipliers'!$L$3:$N$6,3,FALSE)))</f>
        <v/>
      </c>
      <c r="X236" s="171" t="str">
        <f>IFERROR(IF(OR(LEFT(O236,5)="Error",LEFT(N236,5)="Error",T236="Error"),"Check Data",IF(F236&lt;R236,INDEX('G-6 Hedgerow Data'!$S$3:$AE$14,MATCH(C236,'G-6 Hedgerow Data'!$B$3:$B$14,0),MATCH(M236,'G-6 Hedgerow Data'!$S$2:$AE$2,0)),INDEX('G-6 Hedgerow Data'!$K$3:$Q$14,MATCH(M236,'G-6 Hedgerow Data'!$B$3:$B$14,0),MATCH(O236,'G-6 Hedgerow Data'!$K$2:$Q$2,0)))),"")</f>
        <v/>
      </c>
      <c r="Y236" s="261"/>
      <c r="Z236" s="261"/>
      <c r="AA236" s="179" t="str">
        <f t="shared" si="27"/>
        <v/>
      </c>
      <c r="AB236" s="262" t="str">
        <f t="shared" si="28"/>
        <v/>
      </c>
      <c r="AC236" s="263" t="str">
        <f t="shared" si="25"/>
        <v/>
      </c>
      <c r="AD236" s="239" t="str">
        <f>IF(M236="","",VLOOKUP(M236,'G-6 Hedgerow Data'!$B$3:$AG$15,31,FALSE))</f>
        <v/>
      </c>
      <c r="AE236" s="175" t="str">
        <f t="shared" si="29"/>
        <v/>
      </c>
      <c r="AF236" s="175" t="str">
        <f t="shared" si="30"/>
        <v/>
      </c>
      <c r="AG236" s="176" t="str">
        <f>IFERROR(IF(O236="","",VLOOKUP(AD236,'G-3 Multipliers'!$P$3:$Q$6,2,FALSE)),"")</f>
        <v/>
      </c>
      <c r="AH236" s="266"/>
      <c r="AI236" s="172" t="str">
        <f>IF(AH236="","",IF(VLOOKUP(AH236,'G-3 Multipliers'!$S$3:$T$6,2,FALSE)=0,"Spatial Data Missing",VLOOKUP(AH236,'G-3 Multipliers'!$S$3:$T$6,2,FALSE)))</f>
        <v/>
      </c>
      <c r="AJ236" s="265" t="str">
        <f t="shared" si="31"/>
        <v/>
      </c>
      <c r="AK236" s="180"/>
      <c r="AL236" s="181"/>
      <c r="AP236" s="35" t="str">
        <f>IFERROR(INDEX('G-6 Hedgerow Data'!$BJ$3:$BJ$15,MATCH(M236,'G-6 Hedgerow Data'!$B$3:$B$15,0)),"")</f>
        <v/>
      </c>
    </row>
    <row r="237" spans="2:42" ht="13.8" x14ac:dyDescent="0.25">
      <c r="B237" s="259" t="str">
        <f>'E-1 Off Site Hedge Baseline'!AK235</f>
        <v/>
      </c>
      <c r="C237" s="175" t="str">
        <f>IF(B237="","",IF(ISNA(VLOOKUP($B237,'E-1 Off Site Hedge Baseline'!$B$1:$L$257,3,FALSE)),"",(VLOOKUP($B237,'E-1 Off Site Hedge Baseline'!$B$1:$L$257,3,FALSE))))</f>
        <v/>
      </c>
      <c r="D237" s="175" t="str">
        <f>IF(B237="","",IF(ISNA(VLOOKUP($B237,'E-1 Off Site Hedge Baseline'!$B$1:$L$258,4,FALSE)),"",(VLOOKUP($B237,'E-1 Off Site Hedge Baseline'!$B$1:$L$258,4,FALSE))))</f>
        <v/>
      </c>
      <c r="E237" s="175" t="str">
        <f>IF(B237="","",IF(ISNA(VLOOKUP($B237,'E-1 Off Site Hedge Baseline'!$B$1:$L$257,5,FALSE)),"",(VLOOKUP($B237,'E-1 Off Site Hedge Baseline'!$B$1:$L$257,5,FALSE))))</f>
        <v/>
      </c>
      <c r="F237" s="175" t="str">
        <f>IF(B237="","",IF(ISNA(VLOOKUP($B237,'E-1 Off Site Hedge Baseline'!$B$1:$L$257,6,FALSE)),"",(VLOOKUP($B237,'E-1 Off Site Hedge Baseline'!$B$1:$L$257,6,FALSE))))</f>
        <v/>
      </c>
      <c r="G237" s="175" t="str">
        <f>IF(B237="","",IF(ISNA(VLOOKUP($B237,'E-1 Off Site Hedge Baseline'!$B$1:$L$257,7,FALSE)),"",(VLOOKUP($B237,'E-1 Off Site Hedge Baseline'!$B$1:$L$257,7,FALSE))))</f>
        <v/>
      </c>
      <c r="H237" s="175" t="str">
        <f>IF(B237="","",IF(ISNA(VLOOKUP($B237,'E-1 Off Site Hedge Baseline'!$B$1:$L$257,8,FALSE)),"",(VLOOKUP($B237,'E-1 Off Site Hedge Baseline'!$B$1:$L$257,8,FALSE))))</f>
        <v/>
      </c>
      <c r="I237" s="175" t="str">
        <f>IF(B237="","",IF(ISNA(VLOOKUP($B237,'E-1 Off Site Hedge Baseline'!$B$1:$L$257,10,FALSE)),"",(VLOOKUP($B237,'E-1 Off Site Hedge Baseline'!$B$1:$L$257,10,FALSE))))</f>
        <v/>
      </c>
      <c r="J237" s="175" t="str">
        <f>IF(B237="","",IF(ISNA(VLOOKUP($B237,'E-1 Off Site Hedge Baseline'!$B$1:$L$257,11,FALSE)),"",(VLOOKUP($B237,'E-1 Off Site Hedge Baseline'!$B$1:$L$257,11,FALSE))))</f>
        <v/>
      </c>
      <c r="K237" s="175" t="str">
        <f>IF(B237="","",IF(ISNA(VLOOKUP($B237,'E-1 Off Site Hedge Baseline'!$B$1:$U$257,113,FALSE)),"",(VLOOKUP($B237,'E-1 Off Site Hedge Baseline'!$B$1:$U$257,13,FALSE))))</f>
        <v/>
      </c>
      <c r="L237" s="179" t="str">
        <f>IF(B237="","",IF(ISNA(VLOOKUP($B237,'E-1 Off Site Hedge Baseline'!$B$1:$U$257,12,FALSE)),"",(VLOOKUP($B237,'E-1 Off Site Hedge Baseline'!$B$1:$U$257,12,FALSE))))</f>
        <v/>
      </c>
      <c r="M237" s="639" t="str">
        <f t="shared" si="32"/>
        <v/>
      </c>
      <c r="N237" s="171" t="str">
        <f>IFERROR(IF(B237="","",INDEX('G-6 Hedgerow Data'!$AN$3:$AZ$15,MATCH(C237,'G-6 Hedgerow Data'!$AM$3:$AM$15,0),MATCH(M237,'G-6 Hedgerow Data'!$AN$2:$AZ$2,0))),"")</f>
        <v/>
      </c>
      <c r="O237" s="172" t="str">
        <f t="shared" si="26"/>
        <v/>
      </c>
      <c r="P237" s="260" t="str">
        <f>IF(B237="","",VLOOKUP(B237,'E-1 Off Site Hedge Baseline'!$B$10:T482,16,FALSE))</f>
        <v/>
      </c>
      <c r="Q237" s="171" t="str">
        <f>IF(M237="","",VLOOKUP(M237,'G-6 Hedgerow Data'!$B$2:$AG$15,2,FALSE))</f>
        <v/>
      </c>
      <c r="R237" s="172" t="str">
        <f>IF(M237="","",VLOOKUP(M237,'G-6 Hedgerow Data'!$B$2:$AG$15,3,FALSE))</f>
        <v/>
      </c>
      <c r="S237" s="173"/>
      <c r="T237" s="172" t="str">
        <f>IFERROR(IF(AND(Q237="V.Low",OR(S237="Good",S237="Moderate")),"Error",VLOOKUP(S237,'G-1 All Habitats'!$Z$2:$AA$9,2,FALSE)),"")</f>
        <v/>
      </c>
      <c r="U237" s="173"/>
      <c r="V237" s="179" t="str">
        <f>IF(U237="","",IF(VLOOKUP(U237,'G-3 Multipliers'!$L$3:$N$6,2,FALSE)=0,"Spatial Data Missing",VLOOKUP(U237,'G-3 Multipliers'!$L$3:$N$6,2,FALSE)))</f>
        <v/>
      </c>
      <c r="W237" s="260" t="str">
        <f>IF(U237="","",IF(VLOOKUP(U237,'G-3 Multipliers'!$L$3:$N$6,3,FALSE)=0,"Spatial Data Missing",VLOOKUP(U237,'G-3 Multipliers'!$L$3:$N$6,3,FALSE)))</f>
        <v/>
      </c>
      <c r="X237" s="171" t="str">
        <f>IFERROR(IF(OR(LEFT(O237,5)="Error",LEFT(N237,5)="Error",T237="Error"),"Check Data",IF(F237&lt;R237,INDEX('G-6 Hedgerow Data'!$S$3:$AE$14,MATCH(C237,'G-6 Hedgerow Data'!$B$3:$B$14,0),MATCH(M237,'G-6 Hedgerow Data'!$S$2:$AE$2,0)),INDEX('G-6 Hedgerow Data'!$K$3:$Q$14,MATCH(M237,'G-6 Hedgerow Data'!$B$3:$B$14,0),MATCH(O237,'G-6 Hedgerow Data'!$K$2:$Q$2,0)))),"")</f>
        <v/>
      </c>
      <c r="Y237" s="261"/>
      <c r="Z237" s="261"/>
      <c r="AA237" s="179" t="str">
        <f t="shared" si="27"/>
        <v/>
      </c>
      <c r="AB237" s="262" t="str">
        <f t="shared" si="28"/>
        <v/>
      </c>
      <c r="AC237" s="263" t="str">
        <f t="shared" si="25"/>
        <v/>
      </c>
      <c r="AD237" s="239" t="str">
        <f>IF(M237="","",VLOOKUP(M237,'G-6 Hedgerow Data'!$B$3:$AG$15,31,FALSE))</f>
        <v/>
      </c>
      <c r="AE237" s="175" t="str">
        <f t="shared" si="29"/>
        <v/>
      </c>
      <c r="AF237" s="175" t="str">
        <f t="shared" si="30"/>
        <v/>
      </c>
      <c r="AG237" s="176" t="str">
        <f>IFERROR(IF(O237="","",VLOOKUP(AD237,'G-3 Multipliers'!$P$3:$Q$6,2,FALSE)),"")</f>
        <v/>
      </c>
      <c r="AH237" s="266"/>
      <c r="AI237" s="172" t="str">
        <f>IF(AH237="","",IF(VLOOKUP(AH237,'G-3 Multipliers'!$S$3:$T$6,2,FALSE)=0,"Spatial Data Missing",VLOOKUP(AH237,'G-3 Multipliers'!$S$3:$T$6,2,FALSE)))</f>
        <v/>
      </c>
      <c r="AJ237" s="265" t="str">
        <f t="shared" si="31"/>
        <v/>
      </c>
      <c r="AK237" s="180"/>
      <c r="AL237" s="181"/>
      <c r="AP237" s="35" t="str">
        <f>IFERROR(INDEX('G-6 Hedgerow Data'!$BJ$3:$BJ$15,MATCH(M237,'G-6 Hedgerow Data'!$B$3:$B$15,0)),"")</f>
        <v/>
      </c>
    </row>
    <row r="238" spans="2:42" ht="13.8" x14ac:dyDescent="0.25">
      <c r="B238" s="259" t="str">
        <f>'E-1 Off Site Hedge Baseline'!AK236</f>
        <v/>
      </c>
      <c r="C238" s="175" t="str">
        <f>IF(B238="","",IF(ISNA(VLOOKUP($B238,'E-1 Off Site Hedge Baseline'!$B$1:$L$257,3,FALSE)),"",(VLOOKUP($B238,'E-1 Off Site Hedge Baseline'!$B$1:$L$257,3,FALSE))))</f>
        <v/>
      </c>
      <c r="D238" s="175" t="str">
        <f>IF(B238="","",IF(ISNA(VLOOKUP($B238,'E-1 Off Site Hedge Baseline'!$B$1:$L$258,4,FALSE)),"",(VLOOKUP($B238,'E-1 Off Site Hedge Baseline'!$B$1:$L$258,4,FALSE))))</f>
        <v/>
      </c>
      <c r="E238" s="175" t="str">
        <f>IF(B238="","",IF(ISNA(VLOOKUP($B238,'E-1 Off Site Hedge Baseline'!$B$1:$L$257,5,FALSE)),"",(VLOOKUP($B238,'E-1 Off Site Hedge Baseline'!$B$1:$L$257,5,FALSE))))</f>
        <v/>
      </c>
      <c r="F238" s="175" t="str">
        <f>IF(B238="","",IF(ISNA(VLOOKUP($B238,'E-1 Off Site Hedge Baseline'!$B$1:$L$257,6,FALSE)),"",(VLOOKUP($B238,'E-1 Off Site Hedge Baseline'!$B$1:$L$257,6,FALSE))))</f>
        <v/>
      </c>
      <c r="G238" s="175" t="str">
        <f>IF(B238="","",IF(ISNA(VLOOKUP($B238,'E-1 Off Site Hedge Baseline'!$B$1:$L$257,7,FALSE)),"",(VLOOKUP($B238,'E-1 Off Site Hedge Baseline'!$B$1:$L$257,7,FALSE))))</f>
        <v/>
      </c>
      <c r="H238" s="175" t="str">
        <f>IF(B238="","",IF(ISNA(VLOOKUP($B238,'E-1 Off Site Hedge Baseline'!$B$1:$L$257,8,FALSE)),"",(VLOOKUP($B238,'E-1 Off Site Hedge Baseline'!$B$1:$L$257,8,FALSE))))</f>
        <v/>
      </c>
      <c r="I238" s="175" t="str">
        <f>IF(B238="","",IF(ISNA(VLOOKUP($B238,'E-1 Off Site Hedge Baseline'!$B$1:$L$257,10,FALSE)),"",(VLOOKUP($B238,'E-1 Off Site Hedge Baseline'!$B$1:$L$257,10,FALSE))))</f>
        <v/>
      </c>
      <c r="J238" s="175" t="str">
        <f>IF(B238="","",IF(ISNA(VLOOKUP($B238,'E-1 Off Site Hedge Baseline'!$B$1:$L$257,11,FALSE)),"",(VLOOKUP($B238,'E-1 Off Site Hedge Baseline'!$B$1:$L$257,11,FALSE))))</f>
        <v/>
      </c>
      <c r="K238" s="175" t="str">
        <f>IF(B238="","",IF(ISNA(VLOOKUP($B238,'E-1 Off Site Hedge Baseline'!$B$1:$U$257,113,FALSE)),"",(VLOOKUP($B238,'E-1 Off Site Hedge Baseline'!$B$1:$U$257,13,FALSE))))</f>
        <v/>
      </c>
      <c r="L238" s="179" t="str">
        <f>IF(B238="","",IF(ISNA(VLOOKUP($B238,'E-1 Off Site Hedge Baseline'!$B$1:$U$257,12,FALSE)),"",(VLOOKUP($B238,'E-1 Off Site Hedge Baseline'!$B$1:$U$257,12,FALSE))))</f>
        <v/>
      </c>
      <c r="M238" s="639" t="str">
        <f t="shared" si="32"/>
        <v/>
      </c>
      <c r="N238" s="171" t="str">
        <f>IFERROR(IF(B238="","",INDEX('G-6 Hedgerow Data'!$AN$3:$AZ$15,MATCH(C238,'G-6 Hedgerow Data'!$AM$3:$AM$15,0),MATCH(M238,'G-6 Hedgerow Data'!$AN$2:$AZ$2,0))),"")</f>
        <v/>
      </c>
      <c r="O238" s="172" t="str">
        <f t="shared" si="26"/>
        <v/>
      </c>
      <c r="P238" s="260" t="str">
        <f>IF(B238="","",VLOOKUP(B238,'E-1 Off Site Hedge Baseline'!$B$10:T483,16,FALSE))</f>
        <v/>
      </c>
      <c r="Q238" s="171" t="str">
        <f>IF(M238="","",VLOOKUP(M238,'G-6 Hedgerow Data'!$B$2:$AG$15,2,FALSE))</f>
        <v/>
      </c>
      <c r="R238" s="172" t="str">
        <f>IF(M238="","",VLOOKUP(M238,'G-6 Hedgerow Data'!$B$2:$AG$15,3,FALSE))</f>
        <v/>
      </c>
      <c r="S238" s="173"/>
      <c r="T238" s="172" t="str">
        <f>IFERROR(IF(AND(Q238="V.Low",OR(S238="Good",S238="Moderate")),"Error",VLOOKUP(S238,'G-1 All Habitats'!$Z$2:$AA$9,2,FALSE)),"")</f>
        <v/>
      </c>
      <c r="U238" s="173"/>
      <c r="V238" s="179" t="str">
        <f>IF(U238="","",IF(VLOOKUP(U238,'G-3 Multipliers'!$L$3:$N$6,2,FALSE)=0,"Spatial Data Missing",VLOOKUP(U238,'G-3 Multipliers'!$L$3:$N$6,2,FALSE)))</f>
        <v/>
      </c>
      <c r="W238" s="260" t="str">
        <f>IF(U238="","",IF(VLOOKUP(U238,'G-3 Multipliers'!$L$3:$N$6,3,FALSE)=0,"Spatial Data Missing",VLOOKUP(U238,'G-3 Multipliers'!$L$3:$N$6,3,FALSE)))</f>
        <v/>
      </c>
      <c r="X238" s="171" t="str">
        <f>IFERROR(IF(OR(LEFT(O238,5)="Error",LEFT(N238,5)="Error",T238="Error"),"Check Data",IF(F238&lt;R238,INDEX('G-6 Hedgerow Data'!$S$3:$AE$14,MATCH(C238,'G-6 Hedgerow Data'!$B$3:$B$14,0),MATCH(M238,'G-6 Hedgerow Data'!$S$2:$AE$2,0)),INDEX('G-6 Hedgerow Data'!$K$3:$Q$14,MATCH(M238,'G-6 Hedgerow Data'!$B$3:$B$14,0),MATCH(O238,'G-6 Hedgerow Data'!$K$2:$Q$2,0)))),"")</f>
        <v/>
      </c>
      <c r="Y238" s="261"/>
      <c r="Z238" s="261"/>
      <c r="AA238" s="179" t="str">
        <f t="shared" si="27"/>
        <v/>
      </c>
      <c r="AB238" s="262" t="str">
        <f t="shared" si="28"/>
        <v/>
      </c>
      <c r="AC238" s="263" t="str">
        <f t="shared" si="25"/>
        <v/>
      </c>
      <c r="AD238" s="239" t="str">
        <f>IF(M238="","",VLOOKUP(M238,'G-6 Hedgerow Data'!$B$3:$AG$15,31,FALSE))</f>
        <v/>
      </c>
      <c r="AE238" s="175" t="str">
        <f t="shared" si="29"/>
        <v/>
      </c>
      <c r="AF238" s="175" t="str">
        <f t="shared" si="30"/>
        <v/>
      </c>
      <c r="AG238" s="176" t="str">
        <f>IFERROR(IF(O238="","",VLOOKUP(AD238,'G-3 Multipliers'!$P$3:$Q$6,2,FALSE)),"")</f>
        <v/>
      </c>
      <c r="AH238" s="266"/>
      <c r="AI238" s="172" t="str">
        <f>IF(AH238="","",IF(VLOOKUP(AH238,'G-3 Multipliers'!$S$3:$T$6,2,FALSE)=0,"Spatial Data Missing",VLOOKUP(AH238,'G-3 Multipliers'!$S$3:$T$6,2,FALSE)))</f>
        <v/>
      </c>
      <c r="AJ238" s="265" t="str">
        <f t="shared" si="31"/>
        <v/>
      </c>
      <c r="AK238" s="180"/>
      <c r="AL238" s="181"/>
      <c r="AP238" s="35" t="str">
        <f>IFERROR(INDEX('G-6 Hedgerow Data'!$BJ$3:$BJ$15,MATCH(M238,'G-6 Hedgerow Data'!$B$3:$B$15,0)),"")</f>
        <v/>
      </c>
    </row>
    <row r="239" spans="2:42" ht="13.8" x14ac:dyDescent="0.25">
      <c r="B239" s="259" t="str">
        <f>'E-1 Off Site Hedge Baseline'!AK237</f>
        <v/>
      </c>
      <c r="C239" s="175" t="str">
        <f>IF(B239="","",IF(ISNA(VLOOKUP($B239,'E-1 Off Site Hedge Baseline'!$B$1:$L$257,3,FALSE)),"",(VLOOKUP($B239,'E-1 Off Site Hedge Baseline'!$B$1:$L$257,3,FALSE))))</f>
        <v/>
      </c>
      <c r="D239" s="175" t="str">
        <f>IF(B239="","",IF(ISNA(VLOOKUP($B239,'E-1 Off Site Hedge Baseline'!$B$1:$L$258,4,FALSE)),"",(VLOOKUP($B239,'E-1 Off Site Hedge Baseline'!$B$1:$L$258,4,FALSE))))</f>
        <v/>
      </c>
      <c r="E239" s="175" t="str">
        <f>IF(B239="","",IF(ISNA(VLOOKUP($B239,'E-1 Off Site Hedge Baseline'!$B$1:$L$257,5,FALSE)),"",(VLOOKUP($B239,'E-1 Off Site Hedge Baseline'!$B$1:$L$257,5,FALSE))))</f>
        <v/>
      </c>
      <c r="F239" s="175" t="str">
        <f>IF(B239="","",IF(ISNA(VLOOKUP($B239,'E-1 Off Site Hedge Baseline'!$B$1:$L$257,6,FALSE)),"",(VLOOKUP($B239,'E-1 Off Site Hedge Baseline'!$B$1:$L$257,6,FALSE))))</f>
        <v/>
      </c>
      <c r="G239" s="175" t="str">
        <f>IF(B239="","",IF(ISNA(VLOOKUP($B239,'E-1 Off Site Hedge Baseline'!$B$1:$L$257,7,FALSE)),"",(VLOOKUP($B239,'E-1 Off Site Hedge Baseline'!$B$1:$L$257,7,FALSE))))</f>
        <v/>
      </c>
      <c r="H239" s="175" t="str">
        <f>IF(B239="","",IF(ISNA(VLOOKUP($B239,'E-1 Off Site Hedge Baseline'!$B$1:$L$257,8,FALSE)),"",(VLOOKUP($B239,'E-1 Off Site Hedge Baseline'!$B$1:$L$257,8,FALSE))))</f>
        <v/>
      </c>
      <c r="I239" s="175" t="str">
        <f>IF(B239="","",IF(ISNA(VLOOKUP($B239,'E-1 Off Site Hedge Baseline'!$B$1:$L$257,10,FALSE)),"",(VLOOKUP($B239,'E-1 Off Site Hedge Baseline'!$B$1:$L$257,10,FALSE))))</f>
        <v/>
      </c>
      <c r="J239" s="175" t="str">
        <f>IF(B239="","",IF(ISNA(VLOOKUP($B239,'E-1 Off Site Hedge Baseline'!$B$1:$L$257,11,FALSE)),"",(VLOOKUP($B239,'E-1 Off Site Hedge Baseline'!$B$1:$L$257,11,FALSE))))</f>
        <v/>
      </c>
      <c r="K239" s="175" t="str">
        <f>IF(B239="","",IF(ISNA(VLOOKUP($B239,'E-1 Off Site Hedge Baseline'!$B$1:$U$257,113,FALSE)),"",(VLOOKUP($B239,'E-1 Off Site Hedge Baseline'!$B$1:$U$257,13,FALSE))))</f>
        <v/>
      </c>
      <c r="L239" s="179" t="str">
        <f>IF(B239="","",IF(ISNA(VLOOKUP($B239,'E-1 Off Site Hedge Baseline'!$B$1:$U$257,12,FALSE)),"",(VLOOKUP($B239,'E-1 Off Site Hedge Baseline'!$B$1:$U$257,12,FALSE))))</f>
        <v/>
      </c>
      <c r="M239" s="639" t="str">
        <f t="shared" si="32"/>
        <v/>
      </c>
      <c r="N239" s="171" t="str">
        <f>IFERROR(IF(B239="","",INDEX('G-6 Hedgerow Data'!$AN$3:$AZ$15,MATCH(C239,'G-6 Hedgerow Data'!$AM$3:$AM$15,0),MATCH(M239,'G-6 Hedgerow Data'!$AN$2:$AZ$2,0))),"")</f>
        <v/>
      </c>
      <c r="O239" s="172" t="str">
        <f t="shared" si="26"/>
        <v/>
      </c>
      <c r="P239" s="260" t="str">
        <f>IF(B239="","",VLOOKUP(B239,'E-1 Off Site Hedge Baseline'!$B$10:T484,16,FALSE))</f>
        <v/>
      </c>
      <c r="Q239" s="171" t="str">
        <f>IF(M239="","",VLOOKUP(M239,'G-6 Hedgerow Data'!$B$2:$AG$15,2,FALSE))</f>
        <v/>
      </c>
      <c r="R239" s="172" t="str">
        <f>IF(M239="","",VLOOKUP(M239,'G-6 Hedgerow Data'!$B$2:$AG$15,3,FALSE))</f>
        <v/>
      </c>
      <c r="S239" s="173"/>
      <c r="T239" s="172" t="str">
        <f>IFERROR(IF(AND(Q239="V.Low",OR(S239="Good",S239="Moderate")),"Error",VLOOKUP(S239,'G-1 All Habitats'!$Z$2:$AA$9,2,FALSE)),"")</f>
        <v/>
      </c>
      <c r="U239" s="173"/>
      <c r="V239" s="179" t="str">
        <f>IF(U239="","",IF(VLOOKUP(U239,'G-3 Multipliers'!$L$3:$N$6,2,FALSE)=0,"Spatial Data Missing",VLOOKUP(U239,'G-3 Multipliers'!$L$3:$N$6,2,FALSE)))</f>
        <v/>
      </c>
      <c r="W239" s="260" t="str">
        <f>IF(U239="","",IF(VLOOKUP(U239,'G-3 Multipliers'!$L$3:$N$6,3,FALSE)=0,"Spatial Data Missing",VLOOKUP(U239,'G-3 Multipliers'!$L$3:$N$6,3,FALSE)))</f>
        <v/>
      </c>
      <c r="X239" s="171" t="str">
        <f>IFERROR(IF(OR(LEFT(O239,5)="Error",LEFT(N239,5)="Error",T239="Error"),"Check Data",IF(F239&lt;R239,INDEX('G-6 Hedgerow Data'!$S$3:$AE$14,MATCH(C239,'G-6 Hedgerow Data'!$B$3:$B$14,0),MATCH(M239,'G-6 Hedgerow Data'!$S$2:$AE$2,0)),INDEX('G-6 Hedgerow Data'!$K$3:$Q$14,MATCH(M239,'G-6 Hedgerow Data'!$B$3:$B$14,0),MATCH(O239,'G-6 Hedgerow Data'!$K$2:$Q$2,0)))),"")</f>
        <v/>
      </c>
      <c r="Y239" s="261"/>
      <c r="Z239" s="261"/>
      <c r="AA239" s="179" t="str">
        <f t="shared" si="27"/>
        <v/>
      </c>
      <c r="AB239" s="262" t="str">
        <f t="shared" si="28"/>
        <v/>
      </c>
      <c r="AC239" s="263" t="str">
        <f t="shared" si="25"/>
        <v/>
      </c>
      <c r="AD239" s="239" t="str">
        <f>IF(M239="","",VLOOKUP(M239,'G-6 Hedgerow Data'!$B$3:$AG$15,31,FALSE))</f>
        <v/>
      </c>
      <c r="AE239" s="175" t="str">
        <f t="shared" si="29"/>
        <v/>
      </c>
      <c r="AF239" s="175" t="str">
        <f t="shared" si="30"/>
        <v/>
      </c>
      <c r="AG239" s="176" t="str">
        <f>IFERROR(IF(O239="","",VLOOKUP(AD239,'G-3 Multipliers'!$P$3:$Q$6,2,FALSE)),"")</f>
        <v/>
      </c>
      <c r="AH239" s="266"/>
      <c r="AI239" s="172" t="str">
        <f>IF(AH239="","",IF(VLOOKUP(AH239,'G-3 Multipliers'!$S$3:$T$6,2,FALSE)=0,"Spatial Data Missing",VLOOKUP(AH239,'G-3 Multipliers'!$S$3:$T$6,2,FALSE)))</f>
        <v/>
      </c>
      <c r="AJ239" s="265" t="str">
        <f t="shared" si="31"/>
        <v/>
      </c>
      <c r="AK239" s="180"/>
      <c r="AL239" s="181"/>
      <c r="AP239" s="35" t="str">
        <f>IFERROR(INDEX('G-6 Hedgerow Data'!$BJ$3:$BJ$15,MATCH(M239,'G-6 Hedgerow Data'!$B$3:$B$15,0)),"")</f>
        <v/>
      </c>
    </row>
    <row r="240" spans="2:42" ht="13.8" x14ac:dyDescent="0.25">
      <c r="B240" s="259" t="str">
        <f>'E-1 Off Site Hedge Baseline'!AK238</f>
        <v/>
      </c>
      <c r="C240" s="175" t="str">
        <f>IF(B240="","",IF(ISNA(VLOOKUP($B240,'E-1 Off Site Hedge Baseline'!$B$1:$L$257,3,FALSE)),"",(VLOOKUP($B240,'E-1 Off Site Hedge Baseline'!$B$1:$L$257,3,FALSE))))</f>
        <v/>
      </c>
      <c r="D240" s="175" t="str">
        <f>IF(B240="","",IF(ISNA(VLOOKUP($B240,'E-1 Off Site Hedge Baseline'!$B$1:$L$258,4,FALSE)),"",(VLOOKUP($B240,'E-1 Off Site Hedge Baseline'!$B$1:$L$258,4,FALSE))))</f>
        <v/>
      </c>
      <c r="E240" s="175" t="str">
        <f>IF(B240="","",IF(ISNA(VLOOKUP($B240,'E-1 Off Site Hedge Baseline'!$B$1:$L$257,5,FALSE)),"",(VLOOKUP($B240,'E-1 Off Site Hedge Baseline'!$B$1:$L$257,5,FALSE))))</f>
        <v/>
      </c>
      <c r="F240" s="175" t="str">
        <f>IF(B240="","",IF(ISNA(VLOOKUP($B240,'E-1 Off Site Hedge Baseline'!$B$1:$L$257,6,FALSE)),"",(VLOOKUP($B240,'E-1 Off Site Hedge Baseline'!$B$1:$L$257,6,FALSE))))</f>
        <v/>
      </c>
      <c r="G240" s="175" t="str">
        <f>IF(B240="","",IF(ISNA(VLOOKUP($B240,'E-1 Off Site Hedge Baseline'!$B$1:$L$257,7,FALSE)),"",(VLOOKUP($B240,'E-1 Off Site Hedge Baseline'!$B$1:$L$257,7,FALSE))))</f>
        <v/>
      </c>
      <c r="H240" s="175" t="str">
        <f>IF(B240="","",IF(ISNA(VLOOKUP($B240,'E-1 Off Site Hedge Baseline'!$B$1:$L$257,8,FALSE)),"",(VLOOKUP($B240,'E-1 Off Site Hedge Baseline'!$B$1:$L$257,8,FALSE))))</f>
        <v/>
      </c>
      <c r="I240" s="175" t="str">
        <f>IF(B240="","",IF(ISNA(VLOOKUP($B240,'E-1 Off Site Hedge Baseline'!$B$1:$L$257,10,FALSE)),"",(VLOOKUP($B240,'E-1 Off Site Hedge Baseline'!$B$1:$L$257,10,FALSE))))</f>
        <v/>
      </c>
      <c r="J240" s="175" t="str">
        <f>IF(B240="","",IF(ISNA(VLOOKUP($B240,'E-1 Off Site Hedge Baseline'!$B$1:$L$257,11,FALSE)),"",(VLOOKUP($B240,'E-1 Off Site Hedge Baseline'!$B$1:$L$257,11,FALSE))))</f>
        <v/>
      </c>
      <c r="K240" s="175" t="str">
        <f>IF(B240="","",IF(ISNA(VLOOKUP($B240,'E-1 Off Site Hedge Baseline'!$B$1:$U$257,113,FALSE)),"",(VLOOKUP($B240,'E-1 Off Site Hedge Baseline'!$B$1:$U$257,13,FALSE))))</f>
        <v/>
      </c>
      <c r="L240" s="179" t="str">
        <f>IF(B240="","",IF(ISNA(VLOOKUP($B240,'E-1 Off Site Hedge Baseline'!$B$1:$U$257,12,FALSE)),"",(VLOOKUP($B240,'E-1 Off Site Hedge Baseline'!$B$1:$U$257,12,FALSE))))</f>
        <v/>
      </c>
      <c r="M240" s="639" t="str">
        <f t="shared" si="32"/>
        <v/>
      </c>
      <c r="N240" s="171" t="str">
        <f>IFERROR(IF(B240="","",INDEX('G-6 Hedgerow Data'!$AN$3:$AZ$15,MATCH(C240,'G-6 Hedgerow Data'!$AM$3:$AM$15,0),MATCH(M240,'G-6 Hedgerow Data'!$AN$2:$AZ$2,0))),"")</f>
        <v/>
      </c>
      <c r="O240" s="172" t="str">
        <f t="shared" si="26"/>
        <v/>
      </c>
      <c r="P240" s="260" t="str">
        <f>IF(B240="","",VLOOKUP(B240,'E-1 Off Site Hedge Baseline'!$B$10:T485,16,FALSE))</f>
        <v/>
      </c>
      <c r="Q240" s="171" t="str">
        <f>IF(M240="","",VLOOKUP(M240,'G-6 Hedgerow Data'!$B$2:$AG$15,2,FALSE))</f>
        <v/>
      </c>
      <c r="R240" s="172" t="str">
        <f>IF(M240="","",VLOOKUP(M240,'G-6 Hedgerow Data'!$B$2:$AG$15,3,FALSE))</f>
        <v/>
      </c>
      <c r="S240" s="173"/>
      <c r="T240" s="172" t="str">
        <f>IFERROR(IF(AND(Q240="V.Low",OR(S240="Good",S240="Moderate")),"Error",VLOOKUP(S240,'G-1 All Habitats'!$Z$2:$AA$9,2,FALSE)),"")</f>
        <v/>
      </c>
      <c r="U240" s="173"/>
      <c r="V240" s="179" t="str">
        <f>IF(U240="","",IF(VLOOKUP(U240,'G-3 Multipliers'!$L$3:$N$6,2,FALSE)=0,"Spatial Data Missing",VLOOKUP(U240,'G-3 Multipliers'!$L$3:$N$6,2,FALSE)))</f>
        <v/>
      </c>
      <c r="W240" s="260" t="str">
        <f>IF(U240="","",IF(VLOOKUP(U240,'G-3 Multipliers'!$L$3:$N$6,3,FALSE)=0,"Spatial Data Missing",VLOOKUP(U240,'G-3 Multipliers'!$L$3:$N$6,3,FALSE)))</f>
        <v/>
      </c>
      <c r="X240" s="171" t="str">
        <f>IFERROR(IF(OR(LEFT(O240,5)="Error",LEFT(N240,5)="Error",T240="Error"),"Check Data",IF(F240&lt;R240,INDEX('G-6 Hedgerow Data'!$S$3:$AE$14,MATCH(C240,'G-6 Hedgerow Data'!$B$3:$B$14,0),MATCH(M240,'G-6 Hedgerow Data'!$S$2:$AE$2,0)),INDEX('G-6 Hedgerow Data'!$K$3:$Q$14,MATCH(M240,'G-6 Hedgerow Data'!$B$3:$B$14,0),MATCH(O240,'G-6 Hedgerow Data'!$K$2:$Q$2,0)))),"")</f>
        <v/>
      </c>
      <c r="Y240" s="261"/>
      <c r="Z240" s="261"/>
      <c r="AA240" s="179" t="str">
        <f t="shared" si="27"/>
        <v/>
      </c>
      <c r="AB240" s="262" t="str">
        <f t="shared" si="28"/>
        <v/>
      </c>
      <c r="AC240" s="263" t="str">
        <f t="shared" si="25"/>
        <v/>
      </c>
      <c r="AD240" s="239" t="str">
        <f>IF(M240="","",VLOOKUP(M240,'G-6 Hedgerow Data'!$B$3:$AG$15,31,FALSE))</f>
        <v/>
      </c>
      <c r="AE240" s="175" t="str">
        <f t="shared" si="29"/>
        <v/>
      </c>
      <c r="AF240" s="175" t="str">
        <f t="shared" si="30"/>
        <v/>
      </c>
      <c r="AG240" s="176" t="str">
        <f>IFERROR(IF(O240="","",VLOOKUP(AD240,'G-3 Multipliers'!$P$3:$Q$6,2,FALSE)),"")</f>
        <v/>
      </c>
      <c r="AH240" s="266"/>
      <c r="AI240" s="172" t="str">
        <f>IF(AH240="","",IF(VLOOKUP(AH240,'G-3 Multipliers'!$S$3:$T$6,2,FALSE)=0,"Spatial Data Missing",VLOOKUP(AH240,'G-3 Multipliers'!$S$3:$T$6,2,FALSE)))</f>
        <v/>
      </c>
      <c r="AJ240" s="265" t="str">
        <f t="shared" si="31"/>
        <v/>
      </c>
      <c r="AK240" s="180"/>
      <c r="AL240" s="181"/>
      <c r="AP240" s="35" t="str">
        <f>IFERROR(INDEX('G-6 Hedgerow Data'!$BJ$3:$BJ$15,MATCH(M240,'G-6 Hedgerow Data'!$B$3:$B$15,0)),"")</f>
        <v/>
      </c>
    </row>
    <row r="241" spans="2:42" ht="13.8" x14ac:dyDescent="0.25">
      <c r="B241" s="259" t="str">
        <f>'E-1 Off Site Hedge Baseline'!AK239</f>
        <v/>
      </c>
      <c r="C241" s="175" t="str">
        <f>IF(B241="","",IF(ISNA(VLOOKUP($B241,'E-1 Off Site Hedge Baseline'!$B$1:$L$257,3,FALSE)),"",(VLOOKUP($B241,'E-1 Off Site Hedge Baseline'!$B$1:$L$257,3,FALSE))))</f>
        <v/>
      </c>
      <c r="D241" s="175" t="str">
        <f>IF(B241="","",IF(ISNA(VLOOKUP($B241,'E-1 Off Site Hedge Baseline'!$B$1:$L$258,4,FALSE)),"",(VLOOKUP($B241,'E-1 Off Site Hedge Baseline'!$B$1:$L$258,4,FALSE))))</f>
        <v/>
      </c>
      <c r="E241" s="175" t="str">
        <f>IF(B241="","",IF(ISNA(VLOOKUP($B241,'E-1 Off Site Hedge Baseline'!$B$1:$L$257,5,FALSE)),"",(VLOOKUP($B241,'E-1 Off Site Hedge Baseline'!$B$1:$L$257,5,FALSE))))</f>
        <v/>
      </c>
      <c r="F241" s="175" t="str">
        <f>IF(B241="","",IF(ISNA(VLOOKUP($B241,'E-1 Off Site Hedge Baseline'!$B$1:$L$257,6,FALSE)),"",(VLOOKUP($B241,'E-1 Off Site Hedge Baseline'!$B$1:$L$257,6,FALSE))))</f>
        <v/>
      </c>
      <c r="G241" s="175" t="str">
        <f>IF(B241="","",IF(ISNA(VLOOKUP($B241,'E-1 Off Site Hedge Baseline'!$B$1:$L$257,7,FALSE)),"",(VLOOKUP($B241,'E-1 Off Site Hedge Baseline'!$B$1:$L$257,7,FALSE))))</f>
        <v/>
      </c>
      <c r="H241" s="175" t="str">
        <f>IF(B241="","",IF(ISNA(VLOOKUP($B241,'E-1 Off Site Hedge Baseline'!$B$1:$L$257,8,FALSE)),"",(VLOOKUP($B241,'E-1 Off Site Hedge Baseline'!$B$1:$L$257,8,FALSE))))</f>
        <v/>
      </c>
      <c r="I241" s="175" t="str">
        <f>IF(B241="","",IF(ISNA(VLOOKUP($B241,'E-1 Off Site Hedge Baseline'!$B$1:$L$257,10,FALSE)),"",(VLOOKUP($B241,'E-1 Off Site Hedge Baseline'!$B$1:$L$257,10,FALSE))))</f>
        <v/>
      </c>
      <c r="J241" s="175" t="str">
        <f>IF(B241="","",IF(ISNA(VLOOKUP($B241,'E-1 Off Site Hedge Baseline'!$B$1:$L$257,11,FALSE)),"",(VLOOKUP($B241,'E-1 Off Site Hedge Baseline'!$B$1:$L$257,11,FALSE))))</f>
        <v/>
      </c>
      <c r="K241" s="175" t="str">
        <f>IF(B241="","",IF(ISNA(VLOOKUP($B241,'E-1 Off Site Hedge Baseline'!$B$1:$U$257,113,FALSE)),"",(VLOOKUP($B241,'E-1 Off Site Hedge Baseline'!$B$1:$U$257,13,FALSE))))</f>
        <v/>
      </c>
      <c r="L241" s="179" t="str">
        <f>IF(B241="","",IF(ISNA(VLOOKUP($B241,'E-1 Off Site Hedge Baseline'!$B$1:$U$257,12,FALSE)),"",(VLOOKUP($B241,'E-1 Off Site Hedge Baseline'!$B$1:$U$257,12,FALSE))))</f>
        <v/>
      </c>
      <c r="M241" s="639" t="str">
        <f t="shared" si="32"/>
        <v/>
      </c>
      <c r="N241" s="171" t="str">
        <f>IFERROR(IF(B241="","",INDEX('G-6 Hedgerow Data'!$AN$3:$AZ$15,MATCH(C241,'G-6 Hedgerow Data'!$AM$3:$AM$15,0),MATCH(M241,'G-6 Hedgerow Data'!$AN$2:$AZ$2,0))),"")</f>
        <v/>
      </c>
      <c r="O241" s="172" t="str">
        <f t="shared" si="26"/>
        <v/>
      </c>
      <c r="P241" s="260" t="str">
        <f>IF(B241="","",VLOOKUP(B241,'E-1 Off Site Hedge Baseline'!$B$10:T486,16,FALSE))</f>
        <v/>
      </c>
      <c r="Q241" s="171" t="str">
        <f>IF(M241="","",VLOOKUP(M241,'G-6 Hedgerow Data'!$B$2:$AG$15,2,FALSE))</f>
        <v/>
      </c>
      <c r="R241" s="172" t="str">
        <f>IF(M241="","",VLOOKUP(M241,'G-6 Hedgerow Data'!$B$2:$AG$15,3,FALSE))</f>
        <v/>
      </c>
      <c r="S241" s="173"/>
      <c r="T241" s="172" t="str">
        <f>IFERROR(IF(AND(Q241="V.Low",OR(S241="Good",S241="Moderate")),"Error",VLOOKUP(S241,'G-1 All Habitats'!$Z$2:$AA$9,2,FALSE)),"")</f>
        <v/>
      </c>
      <c r="U241" s="173"/>
      <c r="V241" s="179" t="str">
        <f>IF(U241="","",IF(VLOOKUP(U241,'G-3 Multipliers'!$L$3:$N$6,2,FALSE)=0,"Spatial Data Missing",VLOOKUP(U241,'G-3 Multipliers'!$L$3:$N$6,2,FALSE)))</f>
        <v/>
      </c>
      <c r="W241" s="260" t="str">
        <f>IF(U241="","",IF(VLOOKUP(U241,'G-3 Multipliers'!$L$3:$N$6,3,FALSE)=0,"Spatial Data Missing",VLOOKUP(U241,'G-3 Multipliers'!$L$3:$N$6,3,FALSE)))</f>
        <v/>
      </c>
      <c r="X241" s="171" t="str">
        <f>IFERROR(IF(OR(LEFT(O241,5)="Error",LEFT(N241,5)="Error",T241="Error"),"Check Data",IF(F241&lt;R241,INDEX('G-6 Hedgerow Data'!$S$3:$AE$14,MATCH(C241,'G-6 Hedgerow Data'!$B$3:$B$14,0),MATCH(M241,'G-6 Hedgerow Data'!$S$2:$AE$2,0)),INDEX('G-6 Hedgerow Data'!$K$3:$Q$14,MATCH(M241,'G-6 Hedgerow Data'!$B$3:$B$14,0),MATCH(O241,'G-6 Hedgerow Data'!$K$2:$Q$2,0)))),"")</f>
        <v/>
      </c>
      <c r="Y241" s="261"/>
      <c r="Z241" s="261"/>
      <c r="AA241" s="179" t="str">
        <f t="shared" si="27"/>
        <v/>
      </c>
      <c r="AB241" s="262" t="str">
        <f t="shared" si="28"/>
        <v/>
      </c>
      <c r="AC241" s="263" t="str">
        <f t="shared" si="25"/>
        <v/>
      </c>
      <c r="AD241" s="239" t="str">
        <f>IF(M241="","",VLOOKUP(M241,'G-6 Hedgerow Data'!$B$3:$AG$15,31,FALSE))</f>
        <v/>
      </c>
      <c r="AE241" s="175" t="str">
        <f t="shared" si="29"/>
        <v/>
      </c>
      <c r="AF241" s="175" t="str">
        <f t="shared" si="30"/>
        <v/>
      </c>
      <c r="AG241" s="176" t="str">
        <f>IFERROR(IF(O241="","",VLOOKUP(AD241,'G-3 Multipliers'!$P$3:$Q$6,2,FALSE)),"")</f>
        <v/>
      </c>
      <c r="AH241" s="266"/>
      <c r="AI241" s="172" t="str">
        <f>IF(AH241="","",IF(VLOOKUP(AH241,'G-3 Multipliers'!$S$3:$T$6,2,FALSE)=0,"Spatial Data Missing",VLOOKUP(AH241,'G-3 Multipliers'!$S$3:$T$6,2,FALSE)))</f>
        <v/>
      </c>
      <c r="AJ241" s="265" t="str">
        <f t="shared" si="31"/>
        <v/>
      </c>
      <c r="AK241" s="180"/>
      <c r="AL241" s="181"/>
      <c r="AP241" s="35" t="str">
        <f>IFERROR(INDEX('G-6 Hedgerow Data'!$BJ$3:$BJ$15,MATCH(M241,'G-6 Hedgerow Data'!$B$3:$B$15,0)),"")</f>
        <v/>
      </c>
    </row>
    <row r="242" spans="2:42" ht="13.8" x14ac:dyDescent="0.25">
      <c r="B242" s="259" t="str">
        <f>'E-1 Off Site Hedge Baseline'!AK240</f>
        <v/>
      </c>
      <c r="C242" s="175" t="str">
        <f>IF(B242="","",IF(ISNA(VLOOKUP($B242,'E-1 Off Site Hedge Baseline'!$B$1:$L$257,3,FALSE)),"",(VLOOKUP($B242,'E-1 Off Site Hedge Baseline'!$B$1:$L$257,3,FALSE))))</f>
        <v/>
      </c>
      <c r="D242" s="175" t="str">
        <f>IF(B242="","",IF(ISNA(VLOOKUP($B242,'E-1 Off Site Hedge Baseline'!$B$1:$L$258,4,FALSE)),"",(VLOOKUP($B242,'E-1 Off Site Hedge Baseline'!$B$1:$L$258,4,FALSE))))</f>
        <v/>
      </c>
      <c r="E242" s="175" t="str">
        <f>IF(B242="","",IF(ISNA(VLOOKUP($B242,'E-1 Off Site Hedge Baseline'!$B$1:$L$257,5,FALSE)),"",(VLOOKUP($B242,'E-1 Off Site Hedge Baseline'!$B$1:$L$257,5,FALSE))))</f>
        <v/>
      </c>
      <c r="F242" s="175" t="str">
        <f>IF(B242="","",IF(ISNA(VLOOKUP($B242,'E-1 Off Site Hedge Baseline'!$B$1:$L$257,6,FALSE)),"",(VLOOKUP($B242,'E-1 Off Site Hedge Baseline'!$B$1:$L$257,6,FALSE))))</f>
        <v/>
      </c>
      <c r="G242" s="175" t="str">
        <f>IF(B242="","",IF(ISNA(VLOOKUP($B242,'E-1 Off Site Hedge Baseline'!$B$1:$L$257,7,FALSE)),"",(VLOOKUP($B242,'E-1 Off Site Hedge Baseline'!$B$1:$L$257,7,FALSE))))</f>
        <v/>
      </c>
      <c r="H242" s="175" t="str">
        <f>IF(B242="","",IF(ISNA(VLOOKUP($B242,'E-1 Off Site Hedge Baseline'!$B$1:$L$257,8,FALSE)),"",(VLOOKUP($B242,'E-1 Off Site Hedge Baseline'!$B$1:$L$257,8,FALSE))))</f>
        <v/>
      </c>
      <c r="I242" s="175" t="str">
        <f>IF(B242="","",IF(ISNA(VLOOKUP($B242,'E-1 Off Site Hedge Baseline'!$B$1:$L$257,10,FALSE)),"",(VLOOKUP($B242,'E-1 Off Site Hedge Baseline'!$B$1:$L$257,10,FALSE))))</f>
        <v/>
      </c>
      <c r="J242" s="175" t="str">
        <f>IF(B242="","",IF(ISNA(VLOOKUP($B242,'E-1 Off Site Hedge Baseline'!$B$1:$L$257,11,FALSE)),"",(VLOOKUP($B242,'E-1 Off Site Hedge Baseline'!$B$1:$L$257,11,FALSE))))</f>
        <v/>
      </c>
      <c r="K242" s="175" t="str">
        <f>IF(B242="","",IF(ISNA(VLOOKUP($B242,'E-1 Off Site Hedge Baseline'!$B$1:$U$257,113,FALSE)),"",(VLOOKUP($B242,'E-1 Off Site Hedge Baseline'!$B$1:$U$257,13,FALSE))))</f>
        <v/>
      </c>
      <c r="L242" s="179" t="str">
        <f>IF(B242="","",IF(ISNA(VLOOKUP($B242,'E-1 Off Site Hedge Baseline'!$B$1:$U$257,12,FALSE)),"",(VLOOKUP($B242,'E-1 Off Site Hedge Baseline'!$B$1:$U$257,12,FALSE))))</f>
        <v/>
      </c>
      <c r="M242" s="639" t="str">
        <f t="shared" si="32"/>
        <v/>
      </c>
      <c r="N242" s="171" t="str">
        <f>IFERROR(IF(B242="","",INDEX('G-6 Hedgerow Data'!$AN$3:$AZ$15,MATCH(C242,'G-6 Hedgerow Data'!$AM$3:$AM$15,0),MATCH(M242,'G-6 Hedgerow Data'!$AN$2:$AZ$2,0))),"")</f>
        <v/>
      </c>
      <c r="O242" s="172" t="str">
        <f t="shared" si="26"/>
        <v/>
      </c>
      <c r="P242" s="260" t="str">
        <f>IF(B242="","",VLOOKUP(B242,'E-1 Off Site Hedge Baseline'!$B$10:T487,16,FALSE))</f>
        <v/>
      </c>
      <c r="Q242" s="171" t="str">
        <f>IF(M242="","",VLOOKUP(M242,'G-6 Hedgerow Data'!$B$2:$AG$15,2,FALSE))</f>
        <v/>
      </c>
      <c r="R242" s="172" t="str">
        <f>IF(M242="","",VLOOKUP(M242,'G-6 Hedgerow Data'!$B$2:$AG$15,3,FALSE))</f>
        <v/>
      </c>
      <c r="S242" s="173"/>
      <c r="T242" s="172" t="str">
        <f>IFERROR(IF(AND(Q242="V.Low",OR(S242="Good",S242="Moderate")),"Error",VLOOKUP(S242,'G-1 All Habitats'!$Z$2:$AA$9,2,FALSE)),"")</f>
        <v/>
      </c>
      <c r="U242" s="173"/>
      <c r="V242" s="179" t="str">
        <f>IF(U242="","",IF(VLOOKUP(U242,'G-3 Multipliers'!$L$3:$N$6,2,FALSE)=0,"Spatial Data Missing",VLOOKUP(U242,'G-3 Multipliers'!$L$3:$N$6,2,FALSE)))</f>
        <v/>
      </c>
      <c r="W242" s="260" t="str">
        <f>IF(U242="","",IF(VLOOKUP(U242,'G-3 Multipliers'!$L$3:$N$6,3,FALSE)=0,"Spatial Data Missing",VLOOKUP(U242,'G-3 Multipliers'!$L$3:$N$6,3,FALSE)))</f>
        <v/>
      </c>
      <c r="X242" s="171" t="str">
        <f>IFERROR(IF(OR(LEFT(O242,5)="Error",LEFT(N242,5)="Error",T242="Error"),"Check Data",IF(F242&lt;R242,INDEX('G-6 Hedgerow Data'!$S$3:$AE$14,MATCH(C242,'G-6 Hedgerow Data'!$B$3:$B$14,0),MATCH(M242,'G-6 Hedgerow Data'!$S$2:$AE$2,0)),INDEX('G-6 Hedgerow Data'!$K$3:$Q$14,MATCH(M242,'G-6 Hedgerow Data'!$B$3:$B$14,0),MATCH(O242,'G-6 Hedgerow Data'!$K$2:$Q$2,0)))),"")</f>
        <v/>
      </c>
      <c r="Y242" s="261"/>
      <c r="Z242" s="261"/>
      <c r="AA242" s="179" t="str">
        <f t="shared" si="27"/>
        <v/>
      </c>
      <c r="AB242" s="262" t="str">
        <f t="shared" si="28"/>
        <v/>
      </c>
      <c r="AC242" s="263" t="str">
        <f t="shared" si="25"/>
        <v/>
      </c>
      <c r="AD242" s="239" t="str">
        <f>IF(M242="","",VLOOKUP(M242,'G-6 Hedgerow Data'!$B$3:$AG$15,31,FALSE))</f>
        <v/>
      </c>
      <c r="AE242" s="175" t="str">
        <f t="shared" si="29"/>
        <v/>
      </c>
      <c r="AF242" s="175" t="str">
        <f t="shared" si="30"/>
        <v/>
      </c>
      <c r="AG242" s="176" t="str">
        <f>IFERROR(IF(O242="","",VLOOKUP(AD242,'G-3 Multipliers'!$P$3:$Q$6,2,FALSE)),"")</f>
        <v/>
      </c>
      <c r="AH242" s="266"/>
      <c r="AI242" s="172" t="str">
        <f>IF(AH242="","",IF(VLOOKUP(AH242,'G-3 Multipliers'!$S$3:$T$6,2,FALSE)=0,"Spatial Data Missing",VLOOKUP(AH242,'G-3 Multipliers'!$S$3:$T$6,2,FALSE)))</f>
        <v/>
      </c>
      <c r="AJ242" s="265" t="str">
        <f t="shared" si="31"/>
        <v/>
      </c>
      <c r="AK242" s="180"/>
      <c r="AL242" s="181"/>
      <c r="AP242" s="35" t="str">
        <f>IFERROR(INDEX('G-6 Hedgerow Data'!$BJ$3:$BJ$15,MATCH(M242,'G-6 Hedgerow Data'!$B$3:$B$15,0)),"")</f>
        <v/>
      </c>
    </row>
    <row r="243" spans="2:42" ht="13.8" x14ac:dyDescent="0.25">
      <c r="B243" s="259" t="str">
        <f>'E-1 Off Site Hedge Baseline'!AK241</f>
        <v/>
      </c>
      <c r="C243" s="175" t="str">
        <f>IF(B243="","",IF(ISNA(VLOOKUP($B243,'E-1 Off Site Hedge Baseline'!$B$1:$L$257,3,FALSE)),"",(VLOOKUP($B243,'E-1 Off Site Hedge Baseline'!$B$1:$L$257,3,FALSE))))</f>
        <v/>
      </c>
      <c r="D243" s="175" t="str">
        <f>IF(B243="","",IF(ISNA(VLOOKUP($B243,'E-1 Off Site Hedge Baseline'!$B$1:$L$258,4,FALSE)),"",(VLOOKUP($B243,'E-1 Off Site Hedge Baseline'!$B$1:$L$258,4,FALSE))))</f>
        <v/>
      </c>
      <c r="E243" s="175" t="str">
        <f>IF(B243="","",IF(ISNA(VLOOKUP($B243,'E-1 Off Site Hedge Baseline'!$B$1:$L$257,5,FALSE)),"",(VLOOKUP($B243,'E-1 Off Site Hedge Baseline'!$B$1:$L$257,5,FALSE))))</f>
        <v/>
      </c>
      <c r="F243" s="175" t="str">
        <f>IF(B243="","",IF(ISNA(VLOOKUP($B243,'E-1 Off Site Hedge Baseline'!$B$1:$L$257,6,FALSE)),"",(VLOOKUP($B243,'E-1 Off Site Hedge Baseline'!$B$1:$L$257,6,FALSE))))</f>
        <v/>
      </c>
      <c r="G243" s="175" t="str">
        <f>IF(B243="","",IF(ISNA(VLOOKUP($B243,'E-1 Off Site Hedge Baseline'!$B$1:$L$257,7,FALSE)),"",(VLOOKUP($B243,'E-1 Off Site Hedge Baseline'!$B$1:$L$257,7,FALSE))))</f>
        <v/>
      </c>
      <c r="H243" s="175" t="str">
        <f>IF(B243="","",IF(ISNA(VLOOKUP($B243,'E-1 Off Site Hedge Baseline'!$B$1:$L$257,8,FALSE)),"",(VLOOKUP($B243,'E-1 Off Site Hedge Baseline'!$B$1:$L$257,8,FALSE))))</f>
        <v/>
      </c>
      <c r="I243" s="175" t="str">
        <f>IF(B243="","",IF(ISNA(VLOOKUP($B243,'E-1 Off Site Hedge Baseline'!$B$1:$L$257,10,FALSE)),"",(VLOOKUP($B243,'E-1 Off Site Hedge Baseline'!$B$1:$L$257,10,FALSE))))</f>
        <v/>
      </c>
      <c r="J243" s="175" t="str">
        <f>IF(B243="","",IF(ISNA(VLOOKUP($B243,'E-1 Off Site Hedge Baseline'!$B$1:$L$257,11,FALSE)),"",(VLOOKUP($B243,'E-1 Off Site Hedge Baseline'!$B$1:$L$257,11,FALSE))))</f>
        <v/>
      </c>
      <c r="K243" s="175" t="str">
        <f>IF(B243="","",IF(ISNA(VLOOKUP($B243,'E-1 Off Site Hedge Baseline'!$B$1:$U$257,113,FALSE)),"",(VLOOKUP($B243,'E-1 Off Site Hedge Baseline'!$B$1:$U$257,13,FALSE))))</f>
        <v/>
      </c>
      <c r="L243" s="179" t="str">
        <f>IF(B243="","",IF(ISNA(VLOOKUP($B243,'E-1 Off Site Hedge Baseline'!$B$1:$U$257,12,FALSE)),"",(VLOOKUP($B243,'E-1 Off Site Hedge Baseline'!$B$1:$U$257,12,FALSE))))</f>
        <v/>
      </c>
      <c r="M243" s="639" t="str">
        <f t="shared" si="32"/>
        <v/>
      </c>
      <c r="N243" s="171" t="str">
        <f>IFERROR(IF(B243="","",INDEX('G-6 Hedgerow Data'!$AN$3:$AZ$15,MATCH(C243,'G-6 Hedgerow Data'!$AM$3:$AM$15,0),MATCH(M243,'G-6 Hedgerow Data'!$AN$2:$AZ$2,0))),"")</f>
        <v/>
      </c>
      <c r="O243" s="172" t="str">
        <f t="shared" si="26"/>
        <v/>
      </c>
      <c r="P243" s="260" t="str">
        <f>IF(B243="","",VLOOKUP(B243,'E-1 Off Site Hedge Baseline'!$B$10:T488,16,FALSE))</f>
        <v/>
      </c>
      <c r="Q243" s="171" t="str">
        <f>IF(M243="","",VLOOKUP(M243,'G-6 Hedgerow Data'!$B$2:$AG$15,2,FALSE))</f>
        <v/>
      </c>
      <c r="R243" s="172" t="str">
        <f>IF(M243="","",VLOOKUP(M243,'G-6 Hedgerow Data'!$B$2:$AG$15,3,FALSE))</f>
        <v/>
      </c>
      <c r="S243" s="173"/>
      <c r="T243" s="172" t="str">
        <f>IFERROR(IF(AND(Q243="V.Low",OR(S243="Good",S243="Moderate")),"Error",VLOOKUP(S243,'G-1 All Habitats'!$Z$2:$AA$9,2,FALSE)),"")</f>
        <v/>
      </c>
      <c r="U243" s="173"/>
      <c r="V243" s="179" t="str">
        <f>IF(U243="","",IF(VLOOKUP(U243,'G-3 Multipliers'!$L$3:$N$6,2,FALSE)=0,"Spatial Data Missing",VLOOKUP(U243,'G-3 Multipliers'!$L$3:$N$6,2,FALSE)))</f>
        <v/>
      </c>
      <c r="W243" s="260" t="str">
        <f>IF(U243="","",IF(VLOOKUP(U243,'G-3 Multipliers'!$L$3:$N$6,3,FALSE)=0,"Spatial Data Missing",VLOOKUP(U243,'G-3 Multipliers'!$L$3:$N$6,3,FALSE)))</f>
        <v/>
      </c>
      <c r="X243" s="171" t="str">
        <f>IFERROR(IF(OR(LEFT(O243,5)="Error",LEFT(N243,5)="Error",T243="Error"),"Check Data",IF(F243&lt;R243,INDEX('G-6 Hedgerow Data'!$S$3:$AE$14,MATCH(C243,'G-6 Hedgerow Data'!$B$3:$B$14,0),MATCH(M243,'G-6 Hedgerow Data'!$S$2:$AE$2,0)),INDEX('G-6 Hedgerow Data'!$K$3:$Q$14,MATCH(M243,'G-6 Hedgerow Data'!$B$3:$B$14,0),MATCH(O243,'G-6 Hedgerow Data'!$K$2:$Q$2,0)))),"")</f>
        <v/>
      </c>
      <c r="Y243" s="261"/>
      <c r="Z243" s="261"/>
      <c r="AA243" s="179" t="str">
        <f t="shared" si="27"/>
        <v/>
      </c>
      <c r="AB243" s="262" t="str">
        <f t="shared" si="28"/>
        <v/>
      </c>
      <c r="AC243" s="263" t="str">
        <f t="shared" si="25"/>
        <v/>
      </c>
      <c r="AD243" s="239" t="str">
        <f>IF(M243="","",VLOOKUP(M243,'G-6 Hedgerow Data'!$B$3:$AG$15,31,FALSE))</f>
        <v/>
      </c>
      <c r="AE243" s="175" t="str">
        <f t="shared" si="29"/>
        <v/>
      </c>
      <c r="AF243" s="175" t="str">
        <f t="shared" si="30"/>
        <v/>
      </c>
      <c r="AG243" s="176" t="str">
        <f>IFERROR(IF(O243="","",VLOOKUP(AD243,'G-3 Multipliers'!$P$3:$Q$6,2,FALSE)),"")</f>
        <v/>
      </c>
      <c r="AH243" s="266"/>
      <c r="AI243" s="172" t="str">
        <f>IF(AH243="","",IF(VLOOKUP(AH243,'G-3 Multipliers'!$S$3:$T$6,2,FALSE)=0,"Spatial Data Missing",VLOOKUP(AH243,'G-3 Multipliers'!$S$3:$T$6,2,FALSE)))</f>
        <v/>
      </c>
      <c r="AJ243" s="265" t="str">
        <f t="shared" si="31"/>
        <v/>
      </c>
      <c r="AK243" s="180"/>
      <c r="AL243" s="181"/>
      <c r="AP243" s="35" t="str">
        <f>IFERROR(INDEX('G-6 Hedgerow Data'!$BJ$3:$BJ$15,MATCH(M243,'G-6 Hedgerow Data'!$B$3:$B$15,0)),"")</f>
        <v/>
      </c>
    </row>
    <row r="244" spans="2:42" ht="13.8" x14ac:dyDescent="0.25">
      <c r="B244" s="259" t="str">
        <f>'E-1 Off Site Hedge Baseline'!AK242</f>
        <v/>
      </c>
      <c r="C244" s="175" t="str">
        <f>IF(B244="","",IF(ISNA(VLOOKUP($B244,'E-1 Off Site Hedge Baseline'!$B$1:$L$257,3,FALSE)),"",(VLOOKUP($B244,'E-1 Off Site Hedge Baseline'!$B$1:$L$257,3,FALSE))))</f>
        <v/>
      </c>
      <c r="D244" s="175" t="str">
        <f>IF(B244="","",IF(ISNA(VLOOKUP($B244,'E-1 Off Site Hedge Baseline'!$B$1:$L$258,4,FALSE)),"",(VLOOKUP($B244,'E-1 Off Site Hedge Baseline'!$B$1:$L$258,4,FALSE))))</f>
        <v/>
      </c>
      <c r="E244" s="175" t="str">
        <f>IF(B244="","",IF(ISNA(VLOOKUP($B244,'E-1 Off Site Hedge Baseline'!$B$1:$L$257,5,FALSE)),"",(VLOOKUP($B244,'E-1 Off Site Hedge Baseline'!$B$1:$L$257,5,FALSE))))</f>
        <v/>
      </c>
      <c r="F244" s="175" t="str">
        <f>IF(B244="","",IF(ISNA(VLOOKUP($B244,'E-1 Off Site Hedge Baseline'!$B$1:$L$257,6,FALSE)),"",(VLOOKUP($B244,'E-1 Off Site Hedge Baseline'!$B$1:$L$257,6,FALSE))))</f>
        <v/>
      </c>
      <c r="G244" s="175" t="str">
        <f>IF(B244="","",IF(ISNA(VLOOKUP($B244,'E-1 Off Site Hedge Baseline'!$B$1:$L$257,7,FALSE)),"",(VLOOKUP($B244,'E-1 Off Site Hedge Baseline'!$B$1:$L$257,7,FALSE))))</f>
        <v/>
      </c>
      <c r="H244" s="175" t="str">
        <f>IF(B244="","",IF(ISNA(VLOOKUP($B244,'E-1 Off Site Hedge Baseline'!$B$1:$L$257,8,FALSE)),"",(VLOOKUP($B244,'E-1 Off Site Hedge Baseline'!$B$1:$L$257,8,FALSE))))</f>
        <v/>
      </c>
      <c r="I244" s="175" t="str">
        <f>IF(B244="","",IF(ISNA(VLOOKUP($B244,'E-1 Off Site Hedge Baseline'!$B$1:$L$257,10,FALSE)),"",(VLOOKUP($B244,'E-1 Off Site Hedge Baseline'!$B$1:$L$257,10,FALSE))))</f>
        <v/>
      </c>
      <c r="J244" s="175" t="str">
        <f>IF(B244="","",IF(ISNA(VLOOKUP($B244,'E-1 Off Site Hedge Baseline'!$B$1:$L$257,11,FALSE)),"",(VLOOKUP($B244,'E-1 Off Site Hedge Baseline'!$B$1:$L$257,11,FALSE))))</f>
        <v/>
      </c>
      <c r="K244" s="175" t="str">
        <f>IF(B244="","",IF(ISNA(VLOOKUP($B244,'E-1 Off Site Hedge Baseline'!$B$1:$U$257,113,FALSE)),"",(VLOOKUP($B244,'E-1 Off Site Hedge Baseline'!$B$1:$U$257,13,FALSE))))</f>
        <v/>
      </c>
      <c r="L244" s="179" t="str">
        <f>IF(B244="","",IF(ISNA(VLOOKUP($B244,'E-1 Off Site Hedge Baseline'!$B$1:$U$257,12,FALSE)),"",(VLOOKUP($B244,'E-1 Off Site Hedge Baseline'!$B$1:$U$257,12,FALSE))))</f>
        <v/>
      </c>
      <c r="M244" s="639" t="str">
        <f t="shared" si="32"/>
        <v/>
      </c>
      <c r="N244" s="171" t="str">
        <f>IFERROR(IF(B244="","",INDEX('G-6 Hedgerow Data'!$AN$3:$AZ$15,MATCH(C244,'G-6 Hedgerow Data'!$AM$3:$AM$15,0),MATCH(M244,'G-6 Hedgerow Data'!$AN$2:$AZ$2,0))),"")</f>
        <v/>
      </c>
      <c r="O244" s="172" t="str">
        <f t="shared" si="26"/>
        <v/>
      </c>
      <c r="P244" s="260" t="str">
        <f>IF(B244="","",VLOOKUP(B244,'E-1 Off Site Hedge Baseline'!$B$10:T489,16,FALSE))</f>
        <v/>
      </c>
      <c r="Q244" s="171" t="str">
        <f>IF(M244="","",VLOOKUP(M244,'G-6 Hedgerow Data'!$B$2:$AG$15,2,FALSE))</f>
        <v/>
      </c>
      <c r="R244" s="172" t="str">
        <f>IF(M244="","",VLOOKUP(M244,'G-6 Hedgerow Data'!$B$2:$AG$15,3,FALSE))</f>
        <v/>
      </c>
      <c r="S244" s="173"/>
      <c r="T244" s="172" t="str">
        <f>IFERROR(IF(AND(Q244="V.Low",OR(S244="Good",S244="Moderate")),"Error",VLOOKUP(S244,'G-1 All Habitats'!$Z$2:$AA$9,2,FALSE)),"")</f>
        <v/>
      </c>
      <c r="U244" s="173"/>
      <c r="V244" s="179" t="str">
        <f>IF(U244="","",IF(VLOOKUP(U244,'G-3 Multipliers'!$L$3:$N$6,2,FALSE)=0,"Spatial Data Missing",VLOOKUP(U244,'G-3 Multipliers'!$L$3:$N$6,2,FALSE)))</f>
        <v/>
      </c>
      <c r="W244" s="260" t="str">
        <f>IF(U244="","",IF(VLOOKUP(U244,'G-3 Multipliers'!$L$3:$N$6,3,FALSE)=0,"Spatial Data Missing",VLOOKUP(U244,'G-3 Multipliers'!$L$3:$N$6,3,FALSE)))</f>
        <v/>
      </c>
      <c r="X244" s="171" t="str">
        <f>IFERROR(IF(OR(LEFT(O244,5)="Error",LEFT(N244,5)="Error",T244="Error"),"Check Data",IF(F244&lt;R244,INDEX('G-6 Hedgerow Data'!$S$3:$AE$14,MATCH(C244,'G-6 Hedgerow Data'!$B$3:$B$14,0),MATCH(M244,'G-6 Hedgerow Data'!$S$2:$AE$2,0)),INDEX('G-6 Hedgerow Data'!$K$3:$Q$14,MATCH(M244,'G-6 Hedgerow Data'!$B$3:$B$14,0),MATCH(O244,'G-6 Hedgerow Data'!$K$2:$Q$2,0)))),"")</f>
        <v/>
      </c>
      <c r="Y244" s="261"/>
      <c r="Z244" s="261"/>
      <c r="AA244" s="179" t="str">
        <f t="shared" si="27"/>
        <v/>
      </c>
      <c r="AB244" s="262" t="str">
        <f t="shared" si="28"/>
        <v/>
      </c>
      <c r="AC244" s="263" t="str">
        <f t="shared" si="25"/>
        <v/>
      </c>
      <c r="AD244" s="239" t="str">
        <f>IF(M244="","",VLOOKUP(M244,'G-6 Hedgerow Data'!$B$3:$AG$15,31,FALSE))</f>
        <v/>
      </c>
      <c r="AE244" s="175" t="str">
        <f t="shared" si="29"/>
        <v/>
      </c>
      <c r="AF244" s="175" t="str">
        <f t="shared" si="30"/>
        <v/>
      </c>
      <c r="AG244" s="176" t="str">
        <f>IFERROR(IF(O244="","",VLOOKUP(AD244,'G-3 Multipliers'!$P$3:$Q$6,2,FALSE)),"")</f>
        <v/>
      </c>
      <c r="AH244" s="266"/>
      <c r="AI244" s="172" t="str">
        <f>IF(AH244="","",IF(VLOOKUP(AH244,'G-3 Multipliers'!$S$3:$T$6,2,FALSE)=0,"Spatial Data Missing",VLOOKUP(AH244,'G-3 Multipliers'!$S$3:$T$6,2,FALSE)))</f>
        <v/>
      </c>
      <c r="AJ244" s="265" t="str">
        <f t="shared" si="31"/>
        <v/>
      </c>
      <c r="AK244" s="180"/>
      <c r="AL244" s="181"/>
      <c r="AP244" s="35" t="str">
        <f>IFERROR(INDEX('G-6 Hedgerow Data'!$BJ$3:$BJ$15,MATCH(M244,'G-6 Hedgerow Data'!$B$3:$B$15,0)),"")</f>
        <v/>
      </c>
    </row>
    <row r="245" spans="2:42" ht="13.8" x14ac:dyDescent="0.25">
      <c r="B245" s="259" t="str">
        <f>'E-1 Off Site Hedge Baseline'!AK243</f>
        <v/>
      </c>
      <c r="C245" s="175" t="str">
        <f>IF(B245="","",IF(ISNA(VLOOKUP($B245,'E-1 Off Site Hedge Baseline'!$B$1:$L$257,3,FALSE)),"",(VLOOKUP($B245,'E-1 Off Site Hedge Baseline'!$B$1:$L$257,3,FALSE))))</f>
        <v/>
      </c>
      <c r="D245" s="175" t="str">
        <f>IF(B245="","",IF(ISNA(VLOOKUP($B245,'E-1 Off Site Hedge Baseline'!$B$1:$L$258,4,FALSE)),"",(VLOOKUP($B245,'E-1 Off Site Hedge Baseline'!$B$1:$L$258,4,FALSE))))</f>
        <v/>
      </c>
      <c r="E245" s="175" t="str">
        <f>IF(B245="","",IF(ISNA(VLOOKUP($B245,'E-1 Off Site Hedge Baseline'!$B$1:$L$257,5,FALSE)),"",(VLOOKUP($B245,'E-1 Off Site Hedge Baseline'!$B$1:$L$257,5,FALSE))))</f>
        <v/>
      </c>
      <c r="F245" s="175" t="str">
        <f>IF(B245="","",IF(ISNA(VLOOKUP($B245,'E-1 Off Site Hedge Baseline'!$B$1:$L$257,6,FALSE)),"",(VLOOKUP($B245,'E-1 Off Site Hedge Baseline'!$B$1:$L$257,6,FALSE))))</f>
        <v/>
      </c>
      <c r="G245" s="175" t="str">
        <f>IF(B245="","",IF(ISNA(VLOOKUP($B245,'E-1 Off Site Hedge Baseline'!$B$1:$L$257,7,FALSE)),"",(VLOOKUP($B245,'E-1 Off Site Hedge Baseline'!$B$1:$L$257,7,FALSE))))</f>
        <v/>
      </c>
      <c r="H245" s="175" t="str">
        <f>IF(B245="","",IF(ISNA(VLOOKUP($B245,'E-1 Off Site Hedge Baseline'!$B$1:$L$257,8,FALSE)),"",(VLOOKUP($B245,'E-1 Off Site Hedge Baseline'!$B$1:$L$257,8,FALSE))))</f>
        <v/>
      </c>
      <c r="I245" s="175" t="str">
        <f>IF(B245="","",IF(ISNA(VLOOKUP($B245,'E-1 Off Site Hedge Baseline'!$B$1:$L$257,10,FALSE)),"",(VLOOKUP($B245,'E-1 Off Site Hedge Baseline'!$B$1:$L$257,10,FALSE))))</f>
        <v/>
      </c>
      <c r="J245" s="175" t="str">
        <f>IF(B245="","",IF(ISNA(VLOOKUP($B245,'E-1 Off Site Hedge Baseline'!$B$1:$L$257,11,FALSE)),"",(VLOOKUP($B245,'E-1 Off Site Hedge Baseline'!$B$1:$L$257,11,FALSE))))</f>
        <v/>
      </c>
      <c r="K245" s="175" t="str">
        <f>IF(B245="","",IF(ISNA(VLOOKUP($B245,'E-1 Off Site Hedge Baseline'!$B$1:$U$257,113,FALSE)),"",(VLOOKUP($B245,'E-1 Off Site Hedge Baseline'!$B$1:$U$257,13,FALSE))))</f>
        <v/>
      </c>
      <c r="L245" s="179" t="str">
        <f>IF(B245="","",IF(ISNA(VLOOKUP($B245,'E-1 Off Site Hedge Baseline'!$B$1:$U$257,12,FALSE)),"",(VLOOKUP($B245,'E-1 Off Site Hedge Baseline'!$B$1:$U$257,12,FALSE))))</f>
        <v/>
      </c>
      <c r="M245" s="639" t="str">
        <f t="shared" si="32"/>
        <v/>
      </c>
      <c r="N245" s="171" t="str">
        <f>IFERROR(IF(B245="","",INDEX('G-6 Hedgerow Data'!$AN$3:$AZ$15,MATCH(C245,'G-6 Hedgerow Data'!$AM$3:$AM$15,0),MATCH(M245,'G-6 Hedgerow Data'!$AN$2:$AZ$2,0))),"")</f>
        <v/>
      </c>
      <c r="O245" s="172" t="str">
        <f t="shared" si="26"/>
        <v/>
      </c>
      <c r="P245" s="260" t="str">
        <f>IF(B245="","",VLOOKUP(B245,'E-1 Off Site Hedge Baseline'!$B$10:T490,16,FALSE))</f>
        <v/>
      </c>
      <c r="Q245" s="171" t="str">
        <f>IF(M245="","",VLOOKUP(M245,'G-6 Hedgerow Data'!$B$2:$AG$15,2,FALSE))</f>
        <v/>
      </c>
      <c r="R245" s="172" t="str">
        <f>IF(M245="","",VLOOKUP(M245,'G-6 Hedgerow Data'!$B$2:$AG$15,3,FALSE))</f>
        <v/>
      </c>
      <c r="S245" s="173"/>
      <c r="T245" s="172" t="str">
        <f>IFERROR(IF(AND(Q245="V.Low",OR(S245="Good",S245="Moderate")),"Error",VLOOKUP(S245,'G-1 All Habitats'!$Z$2:$AA$9,2,FALSE)),"")</f>
        <v/>
      </c>
      <c r="U245" s="173"/>
      <c r="V245" s="179" t="str">
        <f>IF(U245="","",IF(VLOOKUP(U245,'G-3 Multipliers'!$L$3:$N$6,2,FALSE)=0,"Spatial Data Missing",VLOOKUP(U245,'G-3 Multipliers'!$L$3:$N$6,2,FALSE)))</f>
        <v/>
      </c>
      <c r="W245" s="260" t="str">
        <f>IF(U245="","",IF(VLOOKUP(U245,'G-3 Multipliers'!$L$3:$N$6,3,FALSE)=0,"Spatial Data Missing",VLOOKUP(U245,'G-3 Multipliers'!$L$3:$N$6,3,FALSE)))</f>
        <v/>
      </c>
      <c r="X245" s="171" t="str">
        <f>IFERROR(IF(OR(LEFT(O245,5)="Error",LEFT(N245,5)="Error",T245="Error"),"Check Data",IF(F245&lt;R245,INDEX('G-6 Hedgerow Data'!$S$3:$AE$14,MATCH(C245,'G-6 Hedgerow Data'!$B$3:$B$14,0),MATCH(M245,'G-6 Hedgerow Data'!$S$2:$AE$2,0)),INDEX('G-6 Hedgerow Data'!$K$3:$Q$14,MATCH(M245,'G-6 Hedgerow Data'!$B$3:$B$14,0),MATCH(O245,'G-6 Hedgerow Data'!$K$2:$Q$2,0)))),"")</f>
        <v/>
      </c>
      <c r="Y245" s="261"/>
      <c r="Z245" s="261"/>
      <c r="AA245" s="179" t="str">
        <f t="shared" si="27"/>
        <v/>
      </c>
      <c r="AB245" s="262" t="str">
        <f t="shared" si="28"/>
        <v/>
      </c>
      <c r="AC245" s="263" t="str">
        <f t="shared" si="25"/>
        <v/>
      </c>
      <c r="AD245" s="239" t="str">
        <f>IF(M245="","",VLOOKUP(M245,'G-6 Hedgerow Data'!$B$3:$AG$15,31,FALSE))</f>
        <v/>
      </c>
      <c r="AE245" s="175" t="str">
        <f t="shared" si="29"/>
        <v/>
      </c>
      <c r="AF245" s="175" t="str">
        <f t="shared" si="30"/>
        <v/>
      </c>
      <c r="AG245" s="176" t="str">
        <f>IFERROR(IF(O245="","",VLOOKUP(AD245,'G-3 Multipliers'!$P$3:$Q$6,2,FALSE)),"")</f>
        <v/>
      </c>
      <c r="AH245" s="266"/>
      <c r="AI245" s="172" t="str">
        <f>IF(AH245="","",IF(VLOOKUP(AH245,'G-3 Multipliers'!$S$3:$T$6,2,FALSE)=0,"Spatial Data Missing",VLOOKUP(AH245,'G-3 Multipliers'!$S$3:$T$6,2,FALSE)))</f>
        <v/>
      </c>
      <c r="AJ245" s="265" t="str">
        <f t="shared" si="31"/>
        <v/>
      </c>
      <c r="AK245" s="180"/>
      <c r="AL245" s="181"/>
      <c r="AP245" s="35" t="str">
        <f>IFERROR(INDEX('G-6 Hedgerow Data'!$BJ$3:$BJ$15,MATCH(M245,'G-6 Hedgerow Data'!$B$3:$B$15,0)),"")</f>
        <v/>
      </c>
    </row>
    <row r="246" spans="2:42" ht="13.8" x14ac:dyDescent="0.25">
      <c r="B246" s="259" t="str">
        <f>'E-1 Off Site Hedge Baseline'!AK244</f>
        <v/>
      </c>
      <c r="C246" s="175" t="str">
        <f>IF(B246="","",IF(ISNA(VLOOKUP($B246,'E-1 Off Site Hedge Baseline'!$B$1:$L$257,3,FALSE)),"",(VLOOKUP($B246,'E-1 Off Site Hedge Baseline'!$B$1:$L$257,3,FALSE))))</f>
        <v/>
      </c>
      <c r="D246" s="175" t="str">
        <f>IF(B246="","",IF(ISNA(VLOOKUP($B246,'E-1 Off Site Hedge Baseline'!$B$1:$L$258,4,FALSE)),"",(VLOOKUP($B246,'E-1 Off Site Hedge Baseline'!$B$1:$L$258,4,FALSE))))</f>
        <v/>
      </c>
      <c r="E246" s="175" t="str">
        <f>IF(B246="","",IF(ISNA(VLOOKUP($B246,'E-1 Off Site Hedge Baseline'!$B$1:$L$257,5,FALSE)),"",(VLOOKUP($B246,'E-1 Off Site Hedge Baseline'!$B$1:$L$257,5,FALSE))))</f>
        <v/>
      </c>
      <c r="F246" s="175" t="str">
        <f>IF(B246="","",IF(ISNA(VLOOKUP($B246,'E-1 Off Site Hedge Baseline'!$B$1:$L$257,6,FALSE)),"",(VLOOKUP($B246,'E-1 Off Site Hedge Baseline'!$B$1:$L$257,6,FALSE))))</f>
        <v/>
      </c>
      <c r="G246" s="175" t="str">
        <f>IF(B246="","",IF(ISNA(VLOOKUP($B246,'E-1 Off Site Hedge Baseline'!$B$1:$L$257,7,FALSE)),"",(VLOOKUP($B246,'E-1 Off Site Hedge Baseline'!$B$1:$L$257,7,FALSE))))</f>
        <v/>
      </c>
      <c r="H246" s="175" t="str">
        <f>IF(B246="","",IF(ISNA(VLOOKUP($B246,'E-1 Off Site Hedge Baseline'!$B$1:$L$257,8,FALSE)),"",(VLOOKUP($B246,'E-1 Off Site Hedge Baseline'!$B$1:$L$257,8,FALSE))))</f>
        <v/>
      </c>
      <c r="I246" s="175" t="str">
        <f>IF(B246="","",IF(ISNA(VLOOKUP($B246,'E-1 Off Site Hedge Baseline'!$B$1:$L$257,10,FALSE)),"",(VLOOKUP($B246,'E-1 Off Site Hedge Baseline'!$B$1:$L$257,10,FALSE))))</f>
        <v/>
      </c>
      <c r="J246" s="175" t="str">
        <f>IF(B246="","",IF(ISNA(VLOOKUP($B246,'E-1 Off Site Hedge Baseline'!$B$1:$L$257,11,FALSE)),"",(VLOOKUP($B246,'E-1 Off Site Hedge Baseline'!$B$1:$L$257,11,FALSE))))</f>
        <v/>
      </c>
      <c r="K246" s="175" t="str">
        <f>IF(B246="","",IF(ISNA(VLOOKUP($B246,'E-1 Off Site Hedge Baseline'!$B$1:$U$257,113,FALSE)),"",(VLOOKUP($B246,'E-1 Off Site Hedge Baseline'!$B$1:$U$257,13,FALSE))))</f>
        <v/>
      </c>
      <c r="L246" s="179" t="str">
        <f>IF(B246="","",IF(ISNA(VLOOKUP($B246,'E-1 Off Site Hedge Baseline'!$B$1:$U$257,12,FALSE)),"",(VLOOKUP($B246,'E-1 Off Site Hedge Baseline'!$B$1:$U$257,12,FALSE))))</f>
        <v/>
      </c>
      <c r="M246" s="639" t="str">
        <f t="shared" si="32"/>
        <v/>
      </c>
      <c r="N246" s="171" t="str">
        <f>IFERROR(IF(B246="","",INDEX('G-6 Hedgerow Data'!$AN$3:$AZ$15,MATCH(C246,'G-6 Hedgerow Data'!$AM$3:$AM$15,0),MATCH(M246,'G-6 Hedgerow Data'!$AN$2:$AZ$2,0))),"")</f>
        <v/>
      </c>
      <c r="O246" s="172" t="str">
        <f t="shared" si="26"/>
        <v/>
      </c>
      <c r="P246" s="260" t="str">
        <f>IF(B246="","",VLOOKUP(B246,'E-1 Off Site Hedge Baseline'!$B$10:T491,16,FALSE))</f>
        <v/>
      </c>
      <c r="Q246" s="171" t="str">
        <f>IF(M246="","",VLOOKUP(M246,'G-6 Hedgerow Data'!$B$2:$AG$15,2,FALSE))</f>
        <v/>
      </c>
      <c r="R246" s="172" t="str">
        <f>IF(M246="","",VLOOKUP(M246,'G-6 Hedgerow Data'!$B$2:$AG$15,3,FALSE))</f>
        <v/>
      </c>
      <c r="S246" s="173"/>
      <c r="T246" s="172" t="str">
        <f>IFERROR(IF(AND(Q246="V.Low",OR(S246="Good",S246="Moderate")),"Error",VLOOKUP(S246,'G-1 All Habitats'!$Z$2:$AA$9,2,FALSE)),"")</f>
        <v/>
      </c>
      <c r="U246" s="173"/>
      <c r="V246" s="179" t="str">
        <f>IF(U246="","",IF(VLOOKUP(U246,'G-3 Multipliers'!$L$3:$N$6,2,FALSE)=0,"Spatial Data Missing",VLOOKUP(U246,'G-3 Multipliers'!$L$3:$N$6,2,FALSE)))</f>
        <v/>
      </c>
      <c r="W246" s="260" t="str">
        <f>IF(U246="","",IF(VLOOKUP(U246,'G-3 Multipliers'!$L$3:$N$6,3,FALSE)=0,"Spatial Data Missing",VLOOKUP(U246,'G-3 Multipliers'!$L$3:$N$6,3,FALSE)))</f>
        <v/>
      </c>
      <c r="X246" s="171" t="str">
        <f>IFERROR(IF(OR(LEFT(O246,5)="Error",LEFT(N246,5)="Error",T246="Error"),"Check Data",IF(F246&lt;R246,INDEX('G-6 Hedgerow Data'!$S$3:$AE$14,MATCH(C246,'G-6 Hedgerow Data'!$B$3:$B$14,0),MATCH(M246,'G-6 Hedgerow Data'!$S$2:$AE$2,0)),INDEX('G-6 Hedgerow Data'!$K$3:$Q$14,MATCH(M246,'G-6 Hedgerow Data'!$B$3:$B$14,0),MATCH(O246,'G-6 Hedgerow Data'!$K$2:$Q$2,0)))),"")</f>
        <v/>
      </c>
      <c r="Y246" s="261"/>
      <c r="Z246" s="261"/>
      <c r="AA246" s="179" t="str">
        <f t="shared" si="27"/>
        <v/>
      </c>
      <c r="AB246" s="262" t="str">
        <f t="shared" si="28"/>
        <v/>
      </c>
      <c r="AC246" s="263" t="str">
        <f t="shared" si="25"/>
        <v/>
      </c>
      <c r="AD246" s="239" t="str">
        <f>IF(M246="","",VLOOKUP(M246,'G-6 Hedgerow Data'!$B$3:$AG$15,31,FALSE))</f>
        <v/>
      </c>
      <c r="AE246" s="175" t="str">
        <f t="shared" si="29"/>
        <v/>
      </c>
      <c r="AF246" s="175" t="str">
        <f t="shared" si="30"/>
        <v/>
      </c>
      <c r="AG246" s="176" t="str">
        <f>IFERROR(IF(O246="","",VLOOKUP(AD246,'G-3 Multipliers'!$P$3:$Q$6,2,FALSE)),"")</f>
        <v/>
      </c>
      <c r="AH246" s="266"/>
      <c r="AI246" s="172" t="str">
        <f>IF(AH246="","",IF(VLOOKUP(AH246,'G-3 Multipliers'!$S$3:$T$6,2,FALSE)=0,"Spatial Data Missing",VLOOKUP(AH246,'G-3 Multipliers'!$S$3:$T$6,2,FALSE)))</f>
        <v/>
      </c>
      <c r="AJ246" s="265" t="str">
        <f t="shared" si="31"/>
        <v/>
      </c>
      <c r="AK246" s="180"/>
      <c r="AL246" s="181"/>
      <c r="AP246" s="35" t="str">
        <f>IFERROR(INDEX('G-6 Hedgerow Data'!$BJ$3:$BJ$15,MATCH(M246,'G-6 Hedgerow Data'!$B$3:$B$15,0)),"")</f>
        <v/>
      </c>
    </row>
    <row r="247" spans="2:42" ht="13.8" x14ac:dyDescent="0.25">
      <c r="B247" s="259" t="str">
        <f>'E-1 Off Site Hedge Baseline'!AK245</f>
        <v/>
      </c>
      <c r="C247" s="175" t="str">
        <f>IF(B247="","",IF(ISNA(VLOOKUP($B247,'E-1 Off Site Hedge Baseline'!$B$1:$L$257,3,FALSE)),"",(VLOOKUP($B247,'E-1 Off Site Hedge Baseline'!$B$1:$L$257,3,FALSE))))</f>
        <v/>
      </c>
      <c r="D247" s="175" t="str">
        <f>IF(B247="","",IF(ISNA(VLOOKUP($B247,'E-1 Off Site Hedge Baseline'!$B$1:$L$258,4,FALSE)),"",(VLOOKUP($B247,'E-1 Off Site Hedge Baseline'!$B$1:$L$258,4,FALSE))))</f>
        <v/>
      </c>
      <c r="E247" s="175" t="str">
        <f>IF(B247="","",IF(ISNA(VLOOKUP($B247,'E-1 Off Site Hedge Baseline'!$B$1:$L$257,5,FALSE)),"",(VLOOKUP($B247,'E-1 Off Site Hedge Baseline'!$B$1:$L$257,5,FALSE))))</f>
        <v/>
      </c>
      <c r="F247" s="175" t="str">
        <f>IF(B247="","",IF(ISNA(VLOOKUP($B247,'E-1 Off Site Hedge Baseline'!$B$1:$L$257,6,FALSE)),"",(VLOOKUP($B247,'E-1 Off Site Hedge Baseline'!$B$1:$L$257,6,FALSE))))</f>
        <v/>
      </c>
      <c r="G247" s="175" t="str">
        <f>IF(B247="","",IF(ISNA(VLOOKUP($B247,'E-1 Off Site Hedge Baseline'!$B$1:$L$257,7,FALSE)),"",(VLOOKUP($B247,'E-1 Off Site Hedge Baseline'!$B$1:$L$257,7,FALSE))))</f>
        <v/>
      </c>
      <c r="H247" s="175" t="str">
        <f>IF(B247="","",IF(ISNA(VLOOKUP($B247,'E-1 Off Site Hedge Baseline'!$B$1:$L$257,8,FALSE)),"",(VLOOKUP($B247,'E-1 Off Site Hedge Baseline'!$B$1:$L$257,8,FALSE))))</f>
        <v/>
      </c>
      <c r="I247" s="175" t="str">
        <f>IF(B247="","",IF(ISNA(VLOOKUP($B247,'E-1 Off Site Hedge Baseline'!$B$1:$L$257,10,FALSE)),"",(VLOOKUP($B247,'E-1 Off Site Hedge Baseline'!$B$1:$L$257,10,FALSE))))</f>
        <v/>
      </c>
      <c r="J247" s="175" t="str">
        <f>IF(B247="","",IF(ISNA(VLOOKUP($B247,'E-1 Off Site Hedge Baseline'!$B$1:$L$257,11,FALSE)),"",(VLOOKUP($B247,'E-1 Off Site Hedge Baseline'!$B$1:$L$257,11,FALSE))))</f>
        <v/>
      </c>
      <c r="K247" s="175" t="str">
        <f>IF(B247="","",IF(ISNA(VLOOKUP($B247,'E-1 Off Site Hedge Baseline'!$B$1:$U$257,113,FALSE)),"",(VLOOKUP($B247,'E-1 Off Site Hedge Baseline'!$B$1:$U$257,13,FALSE))))</f>
        <v/>
      </c>
      <c r="L247" s="179" t="str">
        <f>IF(B247="","",IF(ISNA(VLOOKUP($B247,'E-1 Off Site Hedge Baseline'!$B$1:$U$257,12,FALSE)),"",(VLOOKUP($B247,'E-1 Off Site Hedge Baseline'!$B$1:$U$257,12,FALSE))))</f>
        <v/>
      </c>
      <c r="M247" s="639" t="str">
        <f t="shared" si="32"/>
        <v/>
      </c>
      <c r="N247" s="171" t="str">
        <f>IFERROR(IF(B247="","",INDEX('G-6 Hedgerow Data'!$AN$3:$AZ$15,MATCH(C247,'G-6 Hedgerow Data'!$AM$3:$AM$15,0),MATCH(M247,'G-6 Hedgerow Data'!$AN$2:$AZ$2,0))),"")</f>
        <v/>
      </c>
      <c r="O247" s="172" t="str">
        <f t="shared" si="26"/>
        <v/>
      </c>
      <c r="P247" s="260" t="str">
        <f>IF(B247="","",VLOOKUP(B247,'E-1 Off Site Hedge Baseline'!$B$10:T492,16,FALSE))</f>
        <v/>
      </c>
      <c r="Q247" s="171" t="str">
        <f>IF(M247="","",VLOOKUP(M247,'G-6 Hedgerow Data'!$B$2:$AG$15,2,FALSE))</f>
        <v/>
      </c>
      <c r="R247" s="172" t="str">
        <f>IF(M247="","",VLOOKUP(M247,'G-6 Hedgerow Data'!$B$2:$AG$15,3,FALSE))</f>
        <v/>
      </c>
      <c r="S247" s="173"/>
      <c r="T247" s="172" t="str">
        <f>IFERROR(IF(AND(Q247="V.Low",OR(S247="Good",S247="Moderate")),"Error",VLOOKUP(S247,'G-1 All Habitats'!$Z$2:$AA$9,2,FALSE)),"")</f>
        <v/>
      </c>
      <c r="U247" s="173"/>
      <c r="V247" s="179" t="str">
        <f>IF(U247="","",IF(VLOOKUP(U247,'G-3 Multipliers'!$L$3:$N$6,2,FALSE)=0,"Spatial Data Missing",VLOOKUP(U247,'G-3 Multipliers'!$L$3:$N$6,2,FALSE)))</f>
        <v/>
      </c>
      <c r="W247" s="260" t="str">
        <f>IF(U247="","",IF(VLOOKUP(U247,'G-3 Multipliers'!$L$3:$N$6,3,FALSE)=0,"Spatial Data Missing",VLOOKUP(U247,'G-3 Multipliers'!$L$3:$N$6,3,FALSE)))</f>
        <v/>
      </c>
      <c r="X247" s="171" t="str">
        <f>IFERROR(IF(OR(LEFT(O247,5)="Error",LEFT(N247,5)="Error",T247="Error"),"Check Data",IF(F247&lt;R247,INDEX('G-6 Hedgerow Data'!$S$3:$AE$14,MATCH(C247,'G-6 Hedgerow Data'!$B$3:$B$14,0),MATCH(M247,'G-6 Hedgerow Data'!$S$2:$AE$2,0)),INDEX('G-6 Hedgerow Data'!$K$3:$Q$14,MATCH(M247,'G-6 Hedgerow Data'!$B$3:$B$14,0),MATCH(O247,'G-6 Hedgerow Data'!$K$2:$Q$2,0)))),"")</f>
        <v/>
      </c>
      <c r="Y247" s="261"/>
      <c r="Z247" s="261"/>
      <c r="AA247" s="179" t="str">
        <f t="shared" si="27"/>
        <v/>
      </c>
      <c r="AB247" s="262" t="str">
        <f t="shared" si="28"/>
        <v/>
      </c>
      <c r="AC247" s="263" t="str">
        <f t="shared" si="25"/>
        <v/>
      </c>
      <c r="AD247" s="239" t="str">
        <f>IF(M247="","",VLOOKUP(M247,'G-6 Hedgerow Data'!$B$3:$AG$15,31,FALSE))</f>
        <v/>
      </c>
      <c r="AE247" s="175" t="str">
        <f t="shared" si="29"/>
        <v/>
      </c>
      <c r="AF247" s="175" t="str">
        <f t="shared" si="30"/>
        <v/>
      </c>
      <c r="AG247" s="176" t="str">
        <f>IFERROR(IF(O247="","",VLOOKUP(AD247,'G-3 Multipliers'!$P$3:$Q$6,2,FALSE)),"")</f>
        <v/>
      </c>
      <c r="AH247" s="266"/>
      <c r="AI247" s="172" t="str">
        <f>IF(AH247="","",IF(VLOOKUP(AH247,'G-3 Multipliers'!$S$3:$T$6,2,FALSE)=0,"Spatial Data Missing",VLOOKUP(AH247,'G-3 Multipliers'!$S$3:$T$6,2,FALSE)))</f>
        <v/>
      </c>
      <c r="AJ247" s="265" t="str">
        <f t="shared" si="31"/>
        <v/>
      </c>
      <c r="AK247" s="180"/>
      <c r="AL247" s="181"/>
      <c r="AP247" s="35" t="str">
        <f>IFERROR(INDEX('G-6 Hedgerow Data'!$BJ$3:$BJ$15,MATCH(M247,'G-6 Hedgerow Data'!$B$3:$B$15,0)),"")</f>
        <v/>
      </c>
    </row>
    <row r="248" spans="2:42" ht="13.8" x14ac:dyDescent="0.25">
      <c r="B248" s="259" t="str">
        <f>'E-1 Off Site Hedge Baseline'!AK246</f>
        <v/>
      </c>
      <c r="C248" s="175" t="str">
        <f>IF(B248="","",IF(ISNA(VLOOKUP($B248,'E-1 Off Site Hedge Baseline'!$B$1:$L$257,3,FALSE)),"",(VLOOKUP($B248,'E-1 Off Site Hedge Baseline'!$B$1:$L$257,3,FALSE))))</f>
        <v/>
      </c>
      <c r="D248" s="175" t="str">
        <f>IF(B248="","",IF(ISNA(VLOOKUP($B248,'E-1 Off Site Hedge Baseline'!$B$1:$L$258,4,FALSE)),"",(VLOOKUP($B248,'E-1 Off Site Hedge Baseline'!$B$1:$L$258,4,FALSE))))</f>
        <v/>
      </c>
      <c r="E248" s="175" t="str">
        <f>IF(B248="","",IF(ISNA(VLOOKUP($B248,'E-1 Off Site Hedge Baseline'!$B$1:$L$257,5,FALSE)),"",(VLOOKUP($B248,'E-1 Off Site Hedge Baseline'!$B$1:$L$257,5,FALSE))))</f>
        <v/>
      </c>
      <c r="F248" s="175" t="str">
        <f>IF(B248="","",IF(ISNA(VLOOKUP($B248,'E-1 Off Site Hedge Baseline'!$B$1:$L$257,6,FALSE)),"",(VLOOKUP($B248,'E-1 Off Site Hedge Baseline'!$B$1:$L$257,6,FALSE))))</f>
        <v/>
      </c>
      <c r="G248" s="175" t="str">
        <f>IF(B248="","",IF(ISNA(VLOOKUP($B248,'E-1 Off Site Hedge Baseline'!$B$1:$L$257,7,FALSE)),"",(VLOOKUP($B248,'E-1 Off Site Hedge Baseline'!$B$1:$L$257,7,FALSE))))</f>
        <v/>
      </c>
      <c r="H248" s="175" t="str">
        <f>IF(B248="","",IF(ISNA(VLOOKUP($B248,'E-1 Off Site Hedge Baseline'!$B$1:$L$257,8,FALSE)),"",(VLOOKUP($B248,'E-1 Off Site Hedge Baseline'!$B$1:$L$257,8,FALSE))))</f>
        <v/>
      </c>
      <c r="I248" s="175" t="str">
        <f>IF(B248="","",IF(ISNA(VLOOKUP($B248,'E-1 Off Site Hedge Baseline'!$B$1:$L$257,10,FALSE)),"",(VLOOKUP($B248,'E-1 Off Site Hedge Baseline'!$B$1:$L$257,10,FALSE))))</f>
        <v/>
      </c>
      <c r="J248" s="175" t="str">
        <f>IF(B248="","",IF(ISNA(VLOOKUP($B248,'E-1 Off Site Hedge Baseline'!$B$1:$L$257,11,FALSE)),"",(VLOOKUP($B248,'E-1 Off Site Hedge Baseline'!$B$1:$L$257,11,FALSE))))</f>
        <v/>
      </c>
      <c r="K248" s="175" t="str">
        <f>IF(B248="","",IF(ISNA(VLOOKUP($B248,'E-1 Off Site Hedge Baseline'!$B$1:$U$257,113,FALSE)),"",(VLOOKUP($B248,'E-1 Off Site Hedge Baseline'!$B$1:$U$257,13,FALSE))))</f>
        <v/>
      </c>
      <c r="L248" s="179" t="str">
        <f>IF(B248="","",IF(ISNA(VLOOKUP($B248,'E-1 Off Site Hedge Baseline'!$B$1:$U$257,12,FALSE)),"",(VLOOKUP($B248,'E-1 Off Site Hedge Baseline'!$B$1:$U$257,12,FALSE))))</f>
        <v/>
      </c>
      <c r="M248" s="639" t="str">
        <f t="shared" si="32"/>
        <v/>
      </c>
      <c r="N248" s="171" t="str">
        <f>IFERROR(IF(B248="","",INDEX('G-6 Hedgerow Data'!$AN$3:$AZ$15,MATCH(C248,'G-6 Hedgerow Data'!$AM$3:$AM$15,0),MATCH(M248,'G-6 Hedgerow Data'!$AN$2:$AZ$2,0))),"")</f>
        <v/>
      </c>
      <c r="O248" s="172" t="str">
        <f t="shared" si="26"/>
        <v/>
      </c>
      <c r="P248" s="260" t="str">
        <f>IF(B248="","",VLOOKUP(B248,'E-1 Off Site Hedge Baseline'!$B$10:T493,16,FALSE))</f>
        <v/>
      </c>
      <c r="Q248" s="171" t="str">
        <f>IF(M248="","",VLOOKUP(M248,'G-6 Hedgerow Data'!$B$2:$AG$15,2,FALSE))</f>
        <v/>
      </c>
      <c r="R248" s="172" t="str">
        <f>IF(M248="","",VLOOKUP(M248,'G-6 Hedgerow Data'!$B$2:$AG$15,3,FALSE))</f>
        <v/>
      </c>
      <c r="S248" s="173"/>
      <c r="T248" s="172" t="str">
        <f>IFERROR(IF(AND(Q248="V.Low",OR(S248="Good",S248="Moderate")),"Error",VLOOKUP(S248,'G-1 All Habitats'!$Z$2:$AA$9,2,FALSE)),"")</f>
        <v/>
      </c>
      <c r="U248" s="173"/>
      <c r="V248" s="179" t="str">
        <f>IF(U248="","",IF(VLOOKUP(U248,'G-3 Multipliers'!$L$3:$N$6,2,FALSE)=0,"Spatial Data Missing",VLOOKUP(U248,'G-3 Multipliers'!$L$3:$N$6,2,FALSE)))</f>
        <v/>
      </c>
      <c r="W248" s="260" t="str">
        <f>IF(U248="","",IF(VLOOKUP(U248,'G-3 Multipliers'!$L$3:$N$6,3,FALSE)=0,"Spatial Data Missing",VLOOKUP(U248,'G-3 Multipliers'!$L$3:$N$6,3,FALSE)))</f>
        <v/>
      </c>
      <c r="X248" s="171" t="str">
        <f>IFERROR(IF(OR(LEFT(O248,5)="Error",LEFT(N248,5)="Error",T248="Error"),"Check Data",IF(F248&lt;R248,INDEX('G-6 Hedgerow Data'!$S$3:$AE$14,MATCH(C248,'G-6 Hedgerow Data'!$B$3:$B$14,0),MATCH(M248,'G-6 Hedgerow Data'!$S$2:$AE$2,0)),INDEX('G-6 Hedgerow Data'!$K$3:$Q$14,MATCH(M248,'G-6 Hedgerow Data'!$B$3:$B$14,0),MATCH(O248,'G-6 Hedgerow Data'!$K$2:$Q$2,0)))),"")</f>
        <v/>
      </c>
      <c r="Y248" s="261"/>
      <c r="Z248" s="261"/>
      <c r="AA248" s="179" t="str">
        <f t="shared" si="27"/>
        <v/>
      </c>
      <c r="AB248" s="262" t="str">
        <f t="shared" si="28"/>
        <v/>
      </c>
      <c r="AC248" s="263" t="str">
        <f t="shared" si="25"/>
        <v/>
      </c>
      <c r="AD248" s="239" t="str">
        <f>IF(M248="","",VLOOKUP(M248,'G-6 Hedgerow Data'!$B$3:$AG$15,31,FALSE))</f>
        <v/>
      </c>
      <c r="AE248" s="175" t="str">
        <f t="shared" si="29"/>
        <v/>
      </c>
      <c r="AF248" s="175" t="str">
        <f t="shared" si="30"/>
        <v/>
      </c>
      <c r="AG248" s="176" t="str">
        <f>IFERROR(IF(O248="","",VLOOKUP(AD248,'G-3 Multipliers'!$P$3:$Q$6,2,FALSE)),"")</f>
        <v/>
      </c>
      <c r="AH248" s="266"/>
      <c r="AI248" s="172" t="str">
        <f>IF(AH248="","",IF(VLOOKUP(AH248,'G-3 Multipliers'!$S$3:$T$6,2,FALSE)=0,"Spatial Data Missing",VLOOKUP(AH248,'G-3 Multipliers'!$S$3:$T$6,2,FALSE)))</f>
        <v/>
      </c>
      <c r="AJ248" s="265" t="str">
        <f t="shared" si="31"/>
        <v/>
      </c>
      <c r="AK248" s="180"/>
      <c r="AL248" s="181"/>
      <c r="AP248" s="35" t="str">
        <f>IFERROR(INDEX('G-6 Hedgerow Data'!$BJ$3:$BJ$15,MATCH(M248,'G-6 Hedgerow Data'!$B$3:$B$15,0)),"")</f>
        <v/>
      </c>
    </row>
    <row r="249" spans="2:42" ht="13.8" x14ac:dyDescent="0.25">
      <c r="B249" s="259" t="str">
        <f>'E-1 Off Site Hedge Baseline'!AK247</f>
        <v/>
      </c>
      <c r="C249" s="175" t="str">
        <f>IF(B249="","",IF(ISNA(VLOOKUP($B249,'E-1 Off Site Hedge Baseline'!$B$1:$L$257,3,FALSE)),"",(VLOOKUP($B249,'E-1 Off Site Hedge Baseline'!$B$1:$L$257,3,FALSE))))</f>
        <v/>
      </c>
      <c r="D249" s="175" t="str">
        <f>IF(B249="","",IF(ISNA(VLOOKUP($B249,'E-1 Off Site Hedge Baseline'!$B$1:$L$258,4,FALSE)),"",(VLOOKUP($B249,'E-1 Off Site Hedge Baseline'!$B$1:$L$258,4,FALSE))))</f>
        <v/>
      </c>
      <c r="E249" s="175" t="str">
        <f>IF(B249="","",IF(ISNA(VLOOKUP($B249,'E-1 Off Site Hedge Baseline'!$B$1:$L$257,5,FALSE)),"",(VLOOKUP($B249,'E-1 Off Site Hedge Baseline'!$B$1:$L$257,5,FALSE))))</f>
        <v/>
      </c>
      <c r="F249" s="175" t="str">
        <f>IF(B249="","",IF(ISNA(VLOOKUP($B249,'E-1 Off Site Hedge Baseline'!$B$1:$L$257,6,FALSE)),"",(VLOOKUP($B249,'E-1 Off Site Hedge Baseline'!$B$1:$L$257,6,FALSE))))</f>
        <v/>
      </c>
      <c r="G249" s="175" t="str">
        <f>IF(B249="","",IF(ISNA(VLOOKUP($B249,'E-1 Off Site Hedge Baseline'!$B$1:$L$257,7,FALSE)),"",(VLOOKUP($B249,'E-1 Off Site Hedge Baseline'!$B$1:$L$257,7,FALSE))))</f>
        <v/>
      </c>
      <c r="H249" s="175" t="str">
        <f>IF(B249="","",IF(ISNA(VLOOKUP($B249,'E-1 Off Site Hedge Baseline'!$B$1:$L$257,8,FALSE)),"",(VLOOKUP($B249,'E-1 Off Site Hedge Baseline'!$B$1:$L$257,8,FALSE))))</f>
        <v/>
      </c>
      <c r="I249" s="175" t="str">
        <f>IF(B249="","",IF(ISNA(VLOOKUP($B249,'E-1 Off Site Hedge Baseline'!$B$1:$L$257,10,FALSE)),"",(VLOOKUP($B249,'E-1 Off Site Hedge Baseline'!$B$1:$L$257,10,FALSE))))</f>
        <v/>
      </c>
      <c r="J249" s="175" t="str">
        <f>IF(B249="","",IF(ISNA(VLOOKUP($B249,'E-1 Off Site Hedge Baseline'!$B$1:$L$257,11,FALSE)),"",(VLOOKUP($B249,'E-1 Off Site Hedge Baseline'!$B$1:$L$257,11,FALSE))))</f>
        <v/>
      </c>
      <c r="K249" s="175" t="str">
        <f>IF(B249="","",IF(ISNA(VLOOKUP($B249,'E-1 Off Site Hedge Baseline'!$B$1:$U$257,113,FALSE)),"",(VLOOKUP($B249,'E-1 Off Site Hedge Baseline'!$B$1:$U$257,13,FALSE))))</f>
        <v/>
      </c>
      <c r="L249" s="179" t="str">
        <f>IF(B249="","",IF(ISNA(VLOOKUP($B249,'E-1 Off Site Hedge Baseline'!$B$1:$U$257,12,FALSE)),"",(VLOOKUP($B249,'E-1 Off Site Hedge Baseline'!$B$1:$U$257,12,FALSE))))</f>
        <v/>
      </c>
      <c r="M249" s="639" t="str">
        <f t="shared" si="32"/>
        <v/>
      </c>
      <c r="N249" s="171" t="str">
        <f>IFERROR(IF(B249="","",INDEX('G-6 Hedgerow Data'!$AN$3:$AZ$15,MATCH(C249,'G-6 Hedgerow Data'!$AM$3:$AM$15,0),MATCH(M249,'G-6 Hedgerow Data'!$AN$2:$AZ$2,0))),"")</f>
        <v/>
      </c>
      <c r="O249" s="172" t="str">
        <f t="shared" si="26"/>
        <v/>
      </c>
      <c r="P249" s="260" t="str">
        <f>IF(B249="","",VLOOKUP(B249,'E-1 Off Site Hedge Baseline'!$B$10:T494,16,FALSE))</f>
        <v/>
      </c>
      <c r="Q249" s="171" t="str">
        <f>IF(M249="","",VLOOKUP(M249,'G-6 Hedgerow Data'!$B$2:$AG$15,2,FALSE))</f>
        <v/>
      </c>
      <c r="R249" s="172" t="str">
        <f>IF(M249="","",VLOOKUP(M249,'G-6 Hedgerow Data'!$B$2:$AG$15,3,FALSE))</f>
        <v/>
      </c>
      <c r="S249" s="173"/>
      <c r="T249" s="172" t="str">
        <f>IFERROR(IF(AND(Q249="V.Low",OR(S249="Good",S249="Moderate")),"Error",VLOOKUP(S249,'G-1 All Habitats'!$Z$2:$AA$9,2,FALSE)),"")</f>
        <v/>
      </c>
      <c r="U249" s="173"/>
      <c r="V249" s="179" t="str">
        <f>IF(U249="","",IF(VLOOKUP(U249,'G-3 Multipliers'!$L$3:$N$6,2,FALSE)=0,"Spatial Data Missing",VLOOKUP(U249,'G-3 Multipliers'!$L$3:$N$6,2,FALSE)))</f>
        <v/>
      </c>
      <c r="W249" s="260" t="str">
        <f>IF(U249="","",IF(VLOOKUP(U249,'G-3 Multipliers'!$L$3:$N$6,3,FALSE)=0,"Spatial Data Missing",VLOOKUP(U249,'G-3 Multipliers'!$L$3:$N$6,3,FALSE)))</f>
        <v/>
      </c>
      <c r="X249" s="171" t="str">
        <f>IFERROR(IF(OR(LEFT(O249,5)="Error",LEFT(N249,5)="Error",T249="Error"),"Check Data",IF(F249&lt;R249,INDEX('G-6 Hedgerow Data'!$S$3:$AE$14,MATCH(C249,'G-6 Hedgerow Data'!$B$3:$B$14,0),MATCH(M249,'G-6 Hedgerow Data'!$S$2:$AE$2,0)),INDEX('G-6 Hedgerow Data'!$K$3:$Q$14,MATCH(M249,'G-6 Hedgerow Data'!$B$3:$B$14,0),MATCH(O249,'G-6 Hedgerow Data'!$K$2:$Q$2,0)))),"")</f>
        <v/>
      </c>
      <c r="Y249" s="261"/>
      <c r="Z249" s="261"/>
      <c r="AA249" s="179" t="str">
        <f t="shared" si="27"/>
        <v/>
      </c>
      <c r="AB249" s="262" t="str">
        <f t="shared" si="28"/>
        <v/>
      </c>
      <c r="AC249" s="263" t="str">
        <f t="shared" si="25"/>
        <v/>
      </c>
      <c r="AD249" s="239" t="str">
        <f>IF(M249="","",VLOOKUP(M249,'G-6 Hedgerow Data'!$B$3:$AG$15,31,FALSE))</f>
        <v/>
      </c>
      <c r="AE249" s="175" t="str">
        <f t="shared" si="29"/>
        <v/>
      </c>
      <c r="AF249" s="175" t="str">
        <f t="shared" si="30"/>
        <v/>
      </c>
      <c r="AG249" s="176" t="str">
        <f>IFERROR(IF(O249="","",VLOOKUP(AD249,'G-3 Multipliers'!$P$3:$Q$6,2,FALSE)),"")</f>
        <v/>
      </c>
      <c r="AH249" s="266"/>
      <c r="AI249" s="172" t="str">
        <f>IF(AH249="","",IF(VLOOKUP(AH249,'G-3 Multipliers'!$S$3:$T$6,2,FALSE)=0,"Spatial Data Missing",VLOOKUP(AH249,'G-3 Multipliers'!$S$3:$T$6,2,FALSE)))</f>
        <v/>
      </c>
      <c r="AJ249" s="265" t="str">
        <f t="shared" si="31"/>
        <v/>
      </c>
      <c r="AK249" s="180"/>
      <c r="AL249" s="181"/>
      <c r="AP249" s="35" t="str">
        <f>IFERROR(INDEX('G-6 Hedgerow Data'!$BJ$3:$BJ$15,MATCH(M249,'G-6 Hedgerow Data'!$B$3:$B$15,0)),"")</f>
        <v/>
      </c>
    </row>
    <row r="250" spans="2:42" ht="13.8" x14ac:dyDescent="0.25">
      <c r="B250" s="259" t="str">
        <f>'E-1 Off Site Hedge Baseline'!AK248</f>
        <v/>
      </c>
      <c r="C250" s="175" t="str">
        <f>IF(B250="","",IF(ISNA(VLOOKUP($B250,'E-1 Off Site Hedge Baseline'!$B$1:$L$257,3,FALSE)),"",(VLOOKUP($B250,'E-1 Off Site Hedge Baseline'!$B$1:$L$257,3,FALSE))))</f>
        <v/>
      </c>
      <c r="D250" s="175" t="str">
        <f>IF(B250="","",IF(ISNA(VLOOKUP($B250,'E-1 Off Site Hedge Baseline'!$B$1:$L$258,4,FALSE)),"",(VLOOKUP($B250,'E-1 Off Site Hedge Baseline'!$B$1:$L$258,4,FALSE))))</f>
        <v/>
      </c>
      <c r="E250" s="175" t="str">
        <f>IF(B250="","",IF(ISNA(VLOOKUP($B250,'E-1 Off Site Hedge Baseline'!$B$1:$L$257,5,FALSE)),"",(VLOOKUP($B250,'E-1 Off Site Hedge Baseline'!$B$1:$L$257,5,FALSE))))</f>
        <v/>
      </c>
      <c r="F250" s="175" t="str">
        <f>IF(B250="","",IF(ISNA(VLOOKUP($B250,'E-1 Off Site Hedge Baseline'!$B$1:$L$257,6,FALSE)),"",(VLOOKUP($B250,'E-1 Off Site Hedge Baseline'!$B$1:$L$257,6,FALSE))))</f>
        <v/>
      </c>
      <c r="G250" s="175" t="str">
        <f>IF(B250="","",IF(ISNA(VLOOKUP($B250,'E-1 Off Site Hedge Baseline'!$B$1:$L$257,7,FALSE)),"",(VLOOKUP($B250,'E-1 Off Site Hedge Baseline'!$B$1:$L$257,7,FALSE))))</f>
        <v/>
      </c>
      <c r="H250" s="175" t="str">
        <f>IF(B250="","",IF(ISNA(VLOOKUP($B250,'E-1 Off Site Hedge Baseline'!$B$1:$L$257,8,FALSE)),"",(VLOOKUP($B250,'E-1 Off Site Hedge Baseline'!$B$1:$L$257,8,FALSE))))</f>
        <v/>
      </c>
      <c r="I250" s="175" t="str">
        <f>IF(B250="","",IF(ISNA(VLOOKUP($B250,'E-1 Off Site Hedge Baseline'!$B$1:$L$257,10,FALSE)),"",(VLOOKUP($B250,'E-1 Off Site Hedge Baseline'!$B$1:$L$257,10,FALSE))))</f>
        <v/>
      </c>
      <c r="J250" s="175" t="str">
        <f>IF(B250="","",IF(ISNA(VLOOKUP($B250,'E-1 Off Site Hedge Baseline'!$B$1:$L$257,11,FALSE)),"",(VLOOKUP($B250,'E-1 Off Site Hedge Baseline'!$B$1:$L$257,11,FALSE))))</f>
        <v/>
      </c>
      <c r="K250" s="175" t="str">
        <f>IF(B250="","",IF(ISNA(VLOOKUP($B250,'E-1 Off Site Hedge Baseline'!$B$1:$U$257,113,FALSE)),"",(VLOOKUP($B250,'E-1 Off Site Hedge Baseline'!$B$1:$U$257,13,FALSE))))</f>
        <v/>
      </c>
      <c r="L250" s="179" t="str">
        <f>IF(B250="","",IF(ISNA(VLOOKUP($B250,'E-1 Off Site Hedge Baseline'!$B$1:$U$257,12,FALSE)),"",(VLOOKUP($B250,'E-1 Off Site Hedge Baseline'!$B$1:$U$257,12,FALSE))))</f>
        <v/>
      </c>
      <c r="M250" s="639" t="str">
        <f t="shared" si="32"/>
        <v/>
      </c>
      <c r="N250" s="171" t="str">
        <f>IFERROR(IF(B250="","",INDEX('G-6 Hedgerow Data'!$AN$3:$AZ$15,MATCH(C250,'G-6 Hedgerow Data'!$AM$3:$AM$15,0),MATCH(M250,'G-6 Hedgerow Data'!$AN$2:$AZ$2,0))),"")</f>
        <v/>
      </c>
      <c r="O250" s="172" t="str">
        <f t="shared" si="26"/>
        <v/>
      </c>
      <c r="P250" s="260" t="str">
        <f>IF(B250="","",VLOOKUP(B250,'E-1 Off Site Hedge Baseline'!$B$10:T495,16,FALSE))</f>
        <v/>
      </c>
      <c r="Q250" s="171" t="str">
        <f>IF(M250="","",VLOOKUP(M250,'G-6 Hedgerow Data'!$B$2:$AG$15,2,FALSE))</f>
        <v/>
      </c>
      <c r="R250" s="172" t="str">
        <f>IF(M250="","",VLOOKUP(M250,'G-6 Hedgerow Data'!$B$2:$AG$15,3,FALSE))</f>
        <v/>
      </c>
      <c r="S250" s="173"/>
      <c r="T250" s="172" t="str">
        <f>IFERROR(IF(AND(Q250="V.Low",OR(S250="Good",S250="Moderate")),"Error",VLOOKUP(S250,'G-1 All Habitats'!$Z$2:$AA$9,2,FALSE)),"")</f>
        <v/>
      </c>
      <c r="U250" s="173"/>
      <c r="V250" s="179" t="str">
        <f>IF(U250="","",IF(VLOOKUP(U250,'G-3 Multipliers'!$L$3:$N$6,2,FALSE)=0,"Spatial Data Missing",VLOOKUP(U250,'G-3 Multipliers'!$L$3:$N$6,2,FALSE)))</f>
        <v/>
      </c>
      <c r="W250" s="260" t="str">
        <f>IF(U250="","",IF(VLOOKUP(U250,'G-3 Multipliers'!$L$3:$N$6,3,FALSE)=0,"Spatial Data Missing",VLOOKUP(U250,'G-3 Multipliers'!$L$3:$N$6,3,FALSE)))</f>
        <v/>
      </c>
      <c r="X250" s="171" t="str">
        <f>IFERROR(IF(OR(LEFT(O250,5)="Error",LEFT(N250,5)="Error",T250="Error"),"Check Data",IF(F250&lt;R250,INDEX('G-6 Hedgerow Data'!$S$3:$AE$14,MATCH(C250,'G-6 Hedgerow Data'!$B$3:$B$14,0),MATCH(M250,'G-6 Hedgerow Data'!$S$2:$AE$2,0)),INDEX('G-6 Hedgerow Data'!$K$3:$Q$14,MATCH(M250,'G-6 Hedgerow Data'!$B$3:$B$14,0),MATCH(O250,'G-6 Hedgerow Data'!$K$2:$Q$2,0)))),"")</f>
        <v/>
      </c>
      <c r="Y250" s="261"/>
      <c r="Z250" s="261"/>
      <c r="AA250" s="179" t="str">
        <f t="shared" si="27"/>
        <v/>
      </c>
      <c r="AB250" s="262" t="str">
        <f t="shared" si="28"/>
        <v/>
      </c>
      <c r="AC250" s="263" t="str">
        <f t="shared" si="25"/>
        <v/>
      </c>
      <c r="AD250" s="239" t="str">
        <f>IF(M250="","",VLOOKUP(M250,'G-6 Hedgerow Data'!$B$3:$AG$15,31,FALSE))</f>
        <v/>
      </c>
      <c r="AE250" s="175" t="str">
        <f t="shared" si="29"/>
        <v/>
      </c>
      <c r="AF250" s="175" t="str">
        <f t="shared" si="30"/>
        <v/>
      </c>
      <c r="AG250" s="176" t="str">
        <f>IFERROR(IF(O250="","",VLOOKUP(AD250,'G-3 Multipliers'!$P$3:$Q$6,2,FALSE)),"")</f>
        <v/>
      </c>
      <c r="AH250" s="266"/>
      <c r="AI250" s="172" t="str">
        <f>IF(AH250="","",IF(VLOOKUP(AH250,'G-3 Multipliers'!$S$3:$T$6,2,FALSE)=0,"Spatial Data Missing",VLOOKUP(AH250,'G-3 Multipliers'!$S$3:$T$6,2,FALSE)))</f>
        <v/>
      </c>
      <c r="AJ250" s="265" t="str">
        <f t="shared" si="31"/>
        <v/>
      </c>
      <c r="AK250" s="180"/>
      <c r="AL250" s="181"/>
      <c r="AP250" s="35" t="str">
        <f>IFERROR(INDEX('G-6 Hedgerow Data'!$BJ$3:$BJ$15,MATCH(M250,'G-6 Hedgerow Data'!$B$3:$B$15,0)),"")</f>
        <v/>
      </c>
    </row>
    <row r="251" spans="2:42" ht="13.8" x14ac:dyDescent="0.25">
      <c r="B251" s="259" t="str">
        <f>'E-1 Off Site Hedge Baseline'!AK249</f>
        <v/>
      </c>
      <c r="C251" s="175" t="str">
        <f>IF(B251="","",IF(ISNA(VLOOKUP($B251,'E-1 Off Site Hedge Baseline'!$B$1:$L$257,3,FALSE)),"",(VLOOKUP($B251,'E-1 Off Site Hedge Baseline'!$B$1:$L$257,3,FALSE))))</f>
        <v/>
      </c>
      <c r="D251" s="175" t="str">
        <f>IF(B251="","",IF(ISNA(VLOOKUP($B251,'E-1 Off Site Hedge Baseline'!$B$1:$L$258,4,FALSE)),"",(VLOOKUP($B251,'E-1 Off Site Hedge Baseline'!$B$1:$L$258,4,FALSE))))</f>
        <v/>
      </c>
      <c r="E251" s="175" t="str">
        <f>IF(B251="","",IF(ISNA(VLOOKUP($B251,'E-1 Off Site Hedge Baseline'!$B$1:$L$257,5,FALSE)),"",(VLOOKUP($B251,'E-1 Off Site Hedge Baseline'!$B$1:$L$257,5,FALSE))))</f>
        <v/>
      </c>
      <c r="F251" s="175" t="str">
        <f>IF(B251="","",IF(ISNA(VLOOKUP($B251,'E-1 Off Site Hedge Baseline'!$B$1:$L$257,6,FALSE)),"",(VLOOKUP($B251,'E-1 Off Site Hedge Baseline'!$B$1:$L$257,6,FALSE))))</f>
        <v/>
      </c>
      <c r="G251" s="175" t="str">
        <f>IF(B251="","",IF(ISNA(VLOOKUP($B251,'E-1 Off Site Hedge Baseline'!$B$1:$L$257,7,FALSE)),"",(VLOOKUP($B251,'E-1 Off Site Hedge Baseline'!$B$1:$L$257,7,FALSE))))</f>
        <v/>
      </c>
      <c r="H251" s="175" t="str">
        <f>IF(B251="","",IF(ISNA(VLOOKUP($B251,'E-1 Off Site Hedge Baseline'!$B$1:$L$257,8,FALSE)),"",(VLOOKUP($B251,'E-1 Off Site Hedge Baseline'!$B$1:$L$257,8,FALSE))))</f>
        <v/>
      </c>
      <c r="I251" s="175" t="str">
        <f>IF(B251="","",IF(ISNA(VLOOKUP($B251,'E-1 Off Site Hedge Baseline'!$B$1:$L$257,10,FALSE)),"",(VLOOKUP($B251,'E-1 Off Site Hedge Baseline'!$B$1:$L$257,10,FALSE))))</f>
        <v/>
      </c>
      <c r="J251" s="175" t="str">
        <f>IF(B251="","",IF(ISNA(VLOOKUP($B251,'E-1 Off Site Hedge Baseline'!$B$1:$L$257,11,FALSE)),"",(VLOOKUP($B251,'E-1 Off Site Hedge Baseline'!$B$1:$L$257,11,FALSE))))</f>
        <v/>
      </c>
      <c r="K251" s="175" t="str">
        <f>IF(B251="","",IF(ISNA(VLOOKUP($B251,'E-1 Off Site Hedge Baseline'!$B$1:$U$257,113,FALSE)),"",(VLOOKUP($B251,'E-1 Off Site Hedge Baseline'!$B$1:$U$257,13,FALSE))))</f>
        <v/>
      </c>
      <c r="L251" s="179" t="str">
        <f>IF(B251="","",IF(ISNA(VLOOKUP($B251,'E-1 Off Site Hedge Baseline'!$B$1:$U$257,12,FALSE)),"",(VLOOKUP($B251,'E-1 Off Site Hedge Baseline'!$B$1:$U$257,12,FALSE))))</f>
        <v/>
      </c>
      <c r="M251" s="639" t="str">
        <f t="shared" si="32"/>
        <v/>
      </c>
      <c r="N251" s="171" t="str">
        <f>IFERROR(IF(B251="","",INDEX('G-6 Hedgerow Data'!$AN$3:$AZ$15,MATCH(C251,'G-6 Hedgerow Data'!$AM$3:$AM$15,0),MATCH(M251,'G-6 Hedgerow Data'!$AN$2:$AZ$2,0))),"")</f>
        <v/>
      </c>
      <c r="O251" s="172" t="str">
        <f t="shared" si="26"/>
        <v/>
      </c>
      <c r="P251" s="260" t="str">
        <f>IF(B251="","",VLOOKUP(B251,'E-1 Off Site Hedge Baseline'!$B$10:T496,16,FALSE))</f>
        <v/>
      </c>
      <c r="Q251" s="171" t="str">
        <f>IF(M251="","",VLOOKUP(M251,'G-6 Hedgerow Data'!$B$2:$AG$15,2,FALSE))</f>
        <v/>
      </c>
      <c r="R251" s="172" t="str">
        <f>IF(M251="","",VLOOKUP(M251,'G-6 Hedgerow Data'!$B$2:$AG$15,3,FALSE))</f>
        <v/>
      </c>
      <c r="S251" s="173"/>
      <c r="T251" s="172" t="str">
        <f>IFERROR(IF(AND(Q251="V.Low",OR(S251="Good",S251="Moderate")),"Error",VLOOKUP(S251,'G-1 All Habitats'!$Z$2:$AA$9,2,FALSE)),"")</f>
        <v/>
      </c>
      <c r="U251" s="173"/>
      <c r="V251" s="179" t="str">
        <f>IF(U251="","",IF(VLOOKUP(U251,'G-3 Multipliers'!$L$3:$N$6,2,FALSE)=0,"Spatial Data Missing",VLOOKUP(U251,'G-3 Multipliers'!$L$3:$N$6,2,FALSE)))</f>
        <v/>
      </c>
      <c r="W251" s="260" t="str">
        <f>IF(U251="","",IF(VLOOKUP(U251,'G-3 Multipliers'!$L$3:$N$6,3,FALSE)=0,"Spatial Data Missing",VLOOKUP(U251,'G-3 Multipliers'!$L$3:$N$6,3,FALSE)))</f>
        <v/>
      </c>
      <c r="X251" s="171" t="str">
        <f>IFERROR(IF(OR(LEFT(O251,5)="Error",LEFT(N251,5)="Error",T251="Error"),"Check Data",IF(F251&lt;R251,INDEX('G-6 Hedgerow Data'!$S$3:$AE$14,MATCH(C251,'G-6 Hedgerow Data'!$B$3:$B$14,0),MATCH(M251,'G-6 Hedgerow Data'!$S$2:$AE$2,0)),INDEX('G-6 Hedgerow Data'!$K$3:$Q$14,MATCH(M251,'G-6 Hedgerow Data'!$B$3:$B$14,0),MATCH(O251,'G-6 Hedgerow Data'!$K$2:$Q$2,0)))),"")</f>
        <v/>
      </c>
      <c r="Y251" s="261"/>
      <c r="Z251" s="261"/>
      <c r="AA251" s="179" t="str">
        <f t="shared" si="27"/>
        <v/>
      </c>
      <c r="AB251" s="262" t="str">
        <f t="shared" si="28"/>
        <v/>
      </c>
      <c r="AC251" s="263" t="str">
        <f t="shared" si="25"/>
        <v/>
      </c>
      <c r="AD251" s="239" t="str">
        <f>IF(M251="","",VLOOKUP(M251,'G-6 Hedgerow Data'!$B$3:$AG$15,31,FALSE))</f>
        <v/>
      </c>
      <c r="AE251" s="175" t="str">
        <f t="shared" si="29"/>
        <v/>
      </c>
      <c r="AF251" s="175" t="str">
        <f t="shared" si="30"/>
        <v/>
      </c>
      <c r="AG251" s="176" t="str">
        <f>IFERROR(IF(O251="","",VLOOKUP(AD251,'G-3 Multipliers'!$P$3:$Q$6,2,FALSE)),"")</f>
        <v/>
      </c>
      <c r="AH251" s="266"/>
      <c r="AI251" s="172" t="str">
        <f>IF(AH251="","",IF(VLOOKUP(AH251,'G-3 Multipliers'!$S$3:$T$6,2,FALSE)=0,"Spatial Data Missing",VLOOKUP(AH251,'G-3 Multipliers'!$S$3:$T$6,2,FALSE)))</f>
        <v/>
      </c>
      <c r="AJ251" s="265" t="str">
        <f t="shared" si="31"/>
        <v/>
      </c>
      <c r="AK251" s="180"/>
      <c r="AL251" s="181"/>
      <c r="AP251" s="35" t="str">
        <f>IFERROR(INDEX('G-6 Hedgerow Data'!$BJ$3:$BJ$15,MATCH(M251,'G-6 Hedgerow Data'!$B$3:$B$15,0)),"")</f>
        <v/>
      </c>
    </row>
    <row r="252" spans="2:42" ht="13.8" x14ac:dyDescent="0.25">
      <c r="B252" s="259" t="str">
        <f>'E-1 Off Site Hedge Baseline'!AK250</f>
        <v/>
      </c>
      <c r="C252" s="175" t="str">
        <f>IF(B252="","",IF(ISNA(VLOOKUP($B252,'E-1 Off Site Hedge Baseline'!$B$1:$L$257,3,FALSE)),"",(VLOOKUP($B252,'E-1 Off Site Hedge Baseline'!$B$1:$L$257,3,FALSE))))</f>
        <v/>
      </c>
      <c r="D252" s="175" t="str">
        <f>IF(B252="","",IF(ISNA(VLOOKUP($B252,'E-1 Off Site Hedge Baseline'!$B$1:$L$258,4,FALSE)),"",(VLOOKUP($B252,'E-1 Off Site Hedge Baseline'!$B$1:$L$258,4,FALSE))))</f>
        <v/>
      </c>
      <c r="E252" s="175" t="str">
        <f>IF(B252="","",IF(ISNA(VLOOKUP($B252,'E-1 Off Site Hedge Baseline'!$B$1:$L$257,5,FALSE)),"",(VLOOKUP($B252,'E-1 Off Site Hedge Baseline'!$B$1:$L$257,5,FALSE))))</f>
        <v/>
      </c>
      <c r="F252" s="175" t="str">
        <f>IF(B252="","",IF(ISNA(VLOOKUP($B252,'E-1 Off Site Hedge Baseline'!$B$1:$L$257,6,FALSE)),"",(VLOOKUP($B252,'E-1 Off Site Hedge Baseline'!$B$1:$L$257,6,FALSE))))</f>
        <v/>
      </c>
      <c r="G252" s="175" t="str">
        <f>IF(B252="","",IF(ISNA(VLOOKUP($B252,'E-1 Off Site Hedge Baseline'!$B$1:$L$257,7,FALSE)),"",(VLOOKUP($B252,'E-1 Off Site Hedge Baseline'!$B$1:$L$257,7,FALSE))))</f>
        <v/>
      </c>
      <c r="H252" s="175" t="str">
        <f>IF(B252="","",IF(ISNA(VLOOKUP($B252,'E-1 Off Site Hedge Baseline'!$B$1:$L$257,8,FALSE)),"",(VLOOKUP($B252,'E-1 Off Site Hedge Baseline'!$B$1:$L$257,8,FALSE))))</f>
        <v/>
      </c>
      <c r="I252" s="175" t="str">
        <f>IF(B252="","",IF(ISNA(VLOOKUP($B252,'E-1 Off Site Hedge Baseline'!$B$1:$L$257,10,FALSE)),"",(VLOOKUP($B252,'E-1 Off Site Hedge Baseline'!$B$1:$L$257,10,FALSE))))</f>
        <v/>
      </c>
      <c r="J252" s="175" t="str">
        <f>IF(B252="","",IF(ISNA(VLOOKUP($B252,'E-1 Off Site Hedge Baseline'!$B$1:$L$257,11,FALSE)),"",(VLOOKUP($B252,'E-1 Off Site Hedge Baseline'!$B$1:$L$257,11,FALSE))))</f>
        <v/>
      </c>
      <c r="K252" s="175" t="str">
        <f>IF(B252="","",IF(ISNA(VLOOKUP($B252,'E-1 Off Site Hedge Baseline'!$B$1:$U$257,113,FALSE)),"",(VLOOKUP($B252,'E-1 Off Site Hedge Baseline'!$B$1:$U$257,13,FALSE))))</f>
        <v/>
      </c>
      <c r="L252" s="179" t="str">
        <f>IF(B252="","",IF(ISNA(VLOOKUP($B252,'E-1 Off Site Hedge Baseline'!$B$1:$U$257,12,FALSE)),"",(VLOOKUP($B252,'E-1 Off Site Hedge Baseline'!$B$1:$U$257,12,FALSE))))</f>
        <v/>
      </c>
      <c r="M252" s="639" t="str">
        <f t="shared" si="32"/>
        <v/>
      </c>
      <c r="N252" s="171" t="str">
        <f>IFERROR(IF(B252="","",INDEX('G-6 Hedgerow Data'!$AN$3:$AZ$15,MATCH(C252,'G-6 Hedgerow Data'!$AM$3:$AM$15,0),MATCH(M252,'G-6 Hedgerow Data'!$AN$2:$AZ$2,0))),"")</f>
        <v/>
      </c>
      <c r="O252" s="172" t="str">
        <f t="shared" si="26"/>
        <v/>
      </c>
      <c r="P252" s="260" t="str">
        <f>IF(B252="","",VLOOKUP(B252,'E-1 Off Site Hedge Baseline'!$B$10:T497,16,FALSE))</f>
        <v/>
      </c>
      <c r="Q252" s="171" t="str">
        <f>IF(M252="","",VLOOKUP(M252,'G-6 Hedgerow Data'!$B$2:$AG$15,2,FALSE))</f>
        <v/>
      </c>
      <c r="R252" s="172" t="str">
        <f>IF(M252="","",VLOOKUP(M252,'G-6 Hedgerow Data'!$B$2:$AG$15,3,FALSE))</f>
        <v/>
      </c>
      <c r="S252" s="173"/>
      <c r="T252" s="172" t="str">
        <f>IFERROR(IF(AND(Q252="V.Low",OR(S252="Good",S252="Moderate")),"Error",VLOOKUP(S252,'G-1 All Habitats'!$Z$2:$AA$9,2,FALSE)),"")</f>
        <v/>
      </c>
      <c r="U252" s="173"/>
      <c r="V252" s="179" t="str">
        <f>IF(U252="","",IF(VLOOKUP(U252,'G-3 Multipliers'!$L$3:$N$6,2,FALSE)=0,"Spatial Data Missing",VLOOKUP(U252,'G-3 Multipliers'!$L$3:$N$6,2,FALSE)))</f>
        <v/>
      </c>
      <c r="W252" s="260" t="str">
        <f>IF(U252="","",IF(VLOOKUP(U252,'G-3 Multipliers'!$L$3:$N$6,3,FALSE)=0,"Spatial Data Missing",VLOOKUP(U252,'G-3 Multipliers'!$L$3:$N$6,3,FALSE)))</f>
        <v/>
      </c>
      <c r="X252" s="171" t="str">
        <f>IFERROR(IF(OR(LEFT(O252,5)="Error",LEFT(N252,5)="Error",T252="Error"),"Check Data",IF(F252&lt;R252,INDEX('G-6 Hedgerow Data'!$S$3:$AE$14,MATCH(C252,'G-6 Hedgerow Data'!$B$3:$B$14,0),MATCH(M252,'G-6 Hedgerow Data'!$S$2:$AE$2,0)),INDEX('G-6 Hedgerow Data'!$K$3:$Q$14,MATCH(M252,'G-6 Hedgerow Data'!$B$3:$B$14,0),MATCH(O252,'G-6 Hedgerow Data'!$K$2:$Q$2,0)))),"")</f>
        <v/>
      </c>
      <c r="Y252" s="261"/>
      <c r="Z252" s="261"/>
      <c r="AA252" s="179" t="str">
        <f t="shared" si="27"/>
        <v/>
      </c>
      <c r="AB252" s="262" t="str">
        <f t="shared" si="28"/>
        <v/>
      </c>
      <c r="AC252" s="263" t="str">
        <f t="shared" si="25"/>
        <v/>
      </c>
      <c r="AD252" s="239" t="str">
        <f>IF(M252="","",VLOOKUP(M252,'G-6 Hedgerow Data'!$B$3:$AG$15,31,FALSE))</f>
        <v/>
      </c>
      <c r="AE252" s="175" t="str">
        <f t="shared" si="29"/>
        <v/>
      </c>
      <c r="AF252" s="175" t="str">
        <f t="shared" si="30"/>
        <v/>
      </c>
      <c r="AG252" s="176" t="str">
        <f>IFERROR(IF(O252="","",VLOOKUP(AD252,'G-3 Multipliers'!$P$3:$Q$6,2,FALSE)),"")</f>
        <v/>
      </c>
      <c r="AH252" s="266"/>
      <c r="AI252" s="172" t="str">
        <f>IF(AH252="","",IF(VLOOKUP(AH252,'G-3 Multipliers'!$S$3:$T$6,2,FALSE)=0,"Spatial Data Missing",VLOOKUP(AH252,'G-3 Multipliers'!$S$3:$T$6,2,FALSE)))</f>
        <v/>
      </c>
      <c r="AJ252" s="265" t="str">
        <f t="shared" si="31"/>
        <v/>
      </c>
      <c r="AK252" s="180"/>
      <c r="AL252" s="181"/>
      <c r="AP252" s="35" t="str">
        <f>IFERROR(INDEX('G-6 Hedgerow Data'!$BJ$3:$BJ$15,MATCH(M252,'G-6 Hedgerow Data'!$B$3:$B$15,0)),"")</f>
        <v/>
      </c>
    </row>
    <row r="253" spans="2:42" ht="13.8" x14ac:dyDescent="0.25">
      <c r="B253" s="259" t="str">
        <f>'E-1 Off Site Hedge Baseline'!AK251</f>
        <v/>
      </c>
      <c r="C253" s="175" t="str">
        <f>IF(B253="","",IF(ISNA(VLOOKUP($B253,'E-1 Off Site Hedge Baseline'!$B$1:$L$257,3,FALSE)),"",(VLOOKUP($B253,'E-1 Off Site Hedge Baseline'!$B$1:$L$257,3,FALSE))))</f>
        <v/>
      </c>
      <c r="D253" s="175" t="str">
        <f>IF(B253="","",IF(ISNA(VLOOKUP($B253,'E-1 Off Site Hedge Baseline'!$B$1:$L$258,4,FALSE)),"",(VLOOKUP($B253,'E-1 Off Site Hedge Baseline'!$B$1:$L$258,4,FALSE))))</f>
        <v/>
      </c>
      <c r="E253" s="175" t="str">
        <f>IF(B253="","",IF(ISNA(VLOOKUP($B253,'E-1 Off Site Hedge Baseline'!$B$1:$L$257,5,FALSE)),"",(VLOOKUP($B253,'E-1 Off Site Hedge Baseline'!$B$1:$L$257,5,FALSE))))</f>
        <v/>
      </c>
      <c r="F253" s="175" t="str">
        <f>IF(B253="","",IF(ISNA(VLOOKUP($B253,'E-1 Off Site Hedge Baseline'!$B$1:$L$257,6,FALSE)),"",(VLOOKUP($B253,'E-1 Off Site Hedge Baseline'!$B$1:$L$257,6,FALSE))))</f>
        <v/>
      </c>
      <c r="G253" s="175" t="str">
        <f>IF(B253="","",IF(ISNA(VLOOKUP($B253,'E-1 Off Site Hedge Baseline'!$B$1:$L$257,7,FALSE)),"",(VLOOKUP($B253,'E-1 Off Site Hedge Baseline'!$B$1:$L$257,7,FALSE))))</f>
        <v/>
      </c>
      <c r="H253" s="175" t="str">
        <f>IF(B253="","",IF(ISNA(VLOOKUP($B253,'E-1 Off Site Hedge Baseline'!$B$1:$L$257,8,FALSE)),"",(VLOOKUP($B253,'E-1 Off Site Hedge Baseline'!$B$1:$L$257,8,FALSE))))</f>
        <v/>
      </c>
      <c r="I253" s="175" t="str">
        <f>IF(B253="","",IF(ISNA(VLOOKUP($B253,'E-1 Off Site Hedge Baseline'!$B$1:$L$257,10,FALSE)),"",(VLOOKUP($B253,'E-1 Off Site Hedge Baseline'!$B$1:$L$257,10,FALSE))))</f>
        <v/>
      </c>
      <c r="J253" s="175" t="str">
        <f>IF(B253="","",IF(ISNA(VLOOKUP($B253,'E-1 Off Site Hedge Baseline'!$B$1:$L$257,11,FALSE)),"",(VLOOKUP($B253,'E-1 Off Site Hedge Baseline'!$B$1:$L$257,11,FALSE))))</f>
        <v/>
      </c>
      <c r="K253" s="175" t="str">
        <f>IF(B253="","",IF(ISNA(VLOOKUP($B253,'E-1 Off Site Hedge Baseline'!$B$1:$U$257,113,FALSE)),"",(VLOOKUP($B253,'E-1 Off Site Hedge Baseline'!$B$1:$U$257,13,FALSE))))</f>
        <v/>
      </c>
      <c r="L253" s="179" t="str">
        <f>IF(B253="","",IF(ISNA(VLOOKUP($B253,'E-1 Off Site Hedge Baseline'!$B$1:$U$257,12,FALSE)),"",(VLOOKUP($B253,'E-1 Off Site Hedge Baseline'!$B$1:$U$257,12,FALSE))))</f>
        <v/>
      </c>
      <c r="M253" s="639" t="str">
        <f t="shared" si="32"/>
        <v/>
      </c>
      <c r="N253" s="171" t="str">
        <f>IFERROR(IF(B253="","",INDEX('G-6 Hedgerow Data'!$AN$3:$AZ$15,MATCH(C253,'G-6 Hedgerow Data'!$AM$3:$AM$15,0),MATCH(M253,'G-6 Hedgerow Data'!$AN$2:$AZ$2,0))),"")</f>
        <v/>
      </c>
      <c r="O253" s="172" t="str">
        <f t="shared" si="26"/>
        <v/>
      </c>
      <c r="P253" s="260" t="str">
        <f>IF(B253="","",VLOOKUP(B253,'E-1 Off Site Hedge Baseline'!$B$10:T498,16,FALSE))</f>
        <v/>
      </c>
      <c r="Q253" s="171" t="str">
        <f>IF(M253="","",VLOOKUP(M253,'G-6 Hedgerow Data'!$B$2:$AG$15,2,FALSE))</f>
        <v/>
      </c>
      <c r="R253" s="172" t="str">
        <f>IF(M253="","",VLOOKUP(M253,'G-6 Hedgerow Data'!$B$2:$AG$15,3,FALSE))</f>
        <v/>
      </c>
      <c r="S253" s="173"/>
      <c r="T253" s="172" t="str">
        <f>IFERROR(IF(AND(Q253="V.Low",OR(S253="Good",S253="Moderate")),"Error",VLOOKUP(S253,'G-1 All Habitats'!$Z$2:$AA$9,2,FALSE)),"")</f>
        <v/>
      </c>
      <c r="U253" s="173"/>
      <c r="V253" s="179" t="str">
        <f>IF(U253="","",IF(VLOOKUP(U253,'G-3 Multipliers'!$L$3:$N$6,2,FALSE)=0,"Spatial Data Missing",VLOOKUP(U253,'G-3 Multipliers'!$L$3:$N$6,2,FALSE)))</f>
        <v/>
      </c>
      <c r="W253" s="260" t="str">
        <f>IF(U253="","",IF(VLOOKUP(U253,'G-3 Multipliers'!$L$3:$N$6,3,FALSE)=0,"Spatial Data Missing",VLOOKUP(U253,'G-3 Multipliers'!$L$3:$N$6,3,FALSE)))</f>
        <v/>
      </c>
      <c r="X253" s="171" t="str">
        <f>IFERROR(IF(OR(LEFT(O253,5)="Error",LEFT(N253,5)="Error",T253="Error"),"Check Data",IF(F253&lt;R253,INDEX('G-6 Hedgerow Data'!$S$3:$AE$14,MATCH(C253,'G-6 Hedgerow Data'!$B$3:$B$14,0),MATCH(M253,'G-6 Hedgerow Data'!$S$2:$AE$2,0)),INDEX('G-6 Hedgerow Data'!$K$3:$Q$14,MATCH(M253,'G-6 Hedgerow Data'!$B$3:$B$14,0),MATCH(O253,'G-6 Hedgerow Data'!$K$2:$Q$2,0)))),"")</f>
        <v/>
      </c>
      <c r="Y253" s="261"/>
      <c r="Z253" s="261"/>
      <c r="AA253" s="179" t="str">
        <f t="shared" si="27"/>
        <v/>
      </c>
      <c r="AB253" s="262" t="str">
        <f t="shared" si="28"/>
        <v/>
      </c>
      <c r="AC253" s="263" t="str">
        <f t="shared" si="25"/>
        <v/>
      </c>
      <c r="AD253" s="239" t="str">
        <f>IF(M253="","",VLOOKUP(M253,'G-6 Hedgerow Data'!$B$3:$AG$15,31,FALSE))</f>
        <v/>
      </c>
      <c r="AE253" s="175" t="str">
        <f t="shared" si="29"/>
        <v/>
      </c>
      <c r="AF253" s="175" t="str">
        <f t="shared" si="30"/>
        <v/>
      </c>
      <c r="AG253" s="176" t="str">
        <f>IFERROR(IF(O253="","",VLOOKUP(AD253,'G-3 Multipliers'!$P$3:$Q$6,2,FALSE)),"")</f>
        <v/>
      </c>
      <c r="AH253" s="266"/>
      <c r="AI253" s="172" t="str">
        <f>IF(AH253="","",IF(VLOOKUP(AH253,'G-3 Multipliers'!$S$3:$T$6,2,FALSE)=0,"Spatial Data Missing",VLOOKUP(AH253,'G-3 Multipliers'!$S$3:$T$6,2,FALSE)))</f>
        <v/>
      </c>
      <c r="AJ253" s="265" t="str">
        <f t="shared" si="31"/>
        <v/>
      </c>
      <c r="AK253" s="180"/>
      <c r="AL253" s="181"/>
      <c r="AP253" s="35" t="str">
        <f>IFERROR(INDEX('G-6 Hedgerow Data'!$BJ$3:$BJ$15,MATCH(M253,'G-6 Hedgerow Data'!$B$3:$B$15,0)),"")</f>
        <v/>
      </c>
    </row>
    <row r="254" spans="2:42" ht="13.8" x14ac:dyDescent="0.25">
      <c r="B254" s="259" t="str">
        <f>'E-1 Off Site Hedge Baseline'!AK252</f>
        <v/>
      </c>
      <c r="C254" s="175" t="str">
        <f>IF(B254="","",IF(ISNA(VLOOKUP($B254,'E-1 Off Site Hedge Baseline'!$B$1:$L$257,3,FALSE)),"",(VLOOKUP($B254,'E-1 Off Site Hedge Baseline'!$B$1:$L$257,3,FALSE))))</f>
        <v/>
      </c>
      <c r="D254" s="175" t="str">
        <f>IF(B254="","",IF(ISNA(VLOOKUP($B254,'E-1 Off Site Hedge Baseline'!$B$1:$L$258,4,FALSE)),"",(VLOOKUP($B254,'E-1 Off Site Hedge Baseline'!$B$1:$L$258,4,FALSE))))</f>
        <v/>
      </c>
      <c r="E254" s="175" t="str">
        <f>IF(B254="","",IF(ISNA(VLOOKUP($B254,'E-1 Off Site Hedge Baseline'!$B$1:$L$257,5,FALSE)),"",(VLOOKUP($B254,'E-1 Off Site Hedge Baseline'!$B$1:$L$257,5,FALSE))))</f>
        <v/>
      </c>
      <c r="F254" s="175" t="str">
        <f>IF(B254="","",IF(ISNA(VLOOKUP($B254,'E-1 Off Site Hedge Baseline'!$B$1:$L$257,6,FALSE)),"",(VLOOKUP($B254,'E-1 Off Site Hedge Baseline'!$B$1:$L$257,6,FALSE))))</f>
        <v/>
      </c>
      <c r="G254" s="175" t="str">
        <f>IF(B254="","",IF(ISNA(VLOOKUP($B254,'E-1 Off Site Hedge Baseline'!$B$1:$L$257,7,FALSE)),"",(VLOOKUP($B254,'E-1 Off Site Hedge Baseline'!$B$1:$L$257,7,FALSE))))</f>
        <v/>
      </c>
      <c r="H254" s="175" t="str">
        <f>IF(B254="","",IF(ISNA(VLOOKUP($B254,'E-1 Off Site Hedge Baseline'!$B$1:$L$257,8,FALSE)),"",(VLOOKUP($B254,'E-1 Off Site Hedge Baseline'!$B$1:$L$257,8,FALSE))))</f>
        <v/>
      </c>
      <c r="I254" s="175" t="str">
        <f>IF(B254="","",IF(ISNA(VLOOKUP($B254,'E-1 Off Site Hedge Baseline'!$B$1:$L$257,10,FALSE)),"",(VLOOKUP($B254,'E-1 Off Site Hedge Baseline'!$B$1:$L$257,10,FALSE))))</f>
        <v/>
      </c>
      <c r="J254" s="175" t="str">
        <f>IF(B254="","",IF(ISNA(VLOOKUP($B254,'E-1 Off Site Hedge Baseline'!$B$1:$L$257,11,FALSE)),"",(VLOOKUP($B254,'E-1 Off Site Hedge Baseline'!$B$1:$L$257,11,FALSE))))</f>
        <v/>
      </c>
      <c r="K254" s="175" t="str">
        <f>IF(B254="","",IF(ISNA(VLOOKUP($B254,'E-1 Off Site Hedge Baseline'!$B$1:$U$257,113,FALSE)),"",(VLOOKUP($B254,'E-1 Off Site Hedge Baseline'!$B$1:$U$257,13,FALSE))))</f>
        <v/>
      </c>
      <c r="L254" s="179" t="str">
        <f>IF(B254="","",IF(ISNA(VLOOKUP($B254,'E-1 Off Site Hedge Baseline'!$B$1:$U$257,12,FALSE)),"",(VLOOKUP($B254,'E-1 Off Site Hedge Baseline'!$B$1:$U$257,12,FALSE))))</f>
        <v/>
      </c>
      <c r="M254" s="639" t="str">
        <f t="shared" si="32"/>
        <v/>
      </c>
      <c r="N254" s="171" t="str">
        <f>IFERROR(IF(B254="","",INDEX('G-6 Hedgerow Data'!$AN$3:$AZ$15,MATCH(C254,'G-6 Hedgerow Data'!$AM$3:$AM$15,0),MATCH(M254,'G-6 Hedgerow Data'!$AN$2:$AZ$2,0))),"")</f>
        <v/>
      </c>
      <c r="O254" s="172" t="str">
        <f t="shared" si="26"/>
        <v/>
      </c>
      <c r="P254" s="260" t="str">
        <f>IF(B254="","",VLOOKUP(B254,'E-1 Off Site Hedge Baseline'!$B$10:T499,16,FALSE))</f>
        <v/>
      </c>
      <c r="Q254" s="171" t="str">
        <f>IF(M254="","",VLOOKUP(M254,'G-6 Hedgerow Data'!$B$2:$AG$15,2,FALSE))</f>
        <v/>
      </c>
      <c r="R254" s="172" t="str">
        <f>IF(M254="","",VLOOKUP(M254,'G-6 Hedgerow Data'!$B$2:$AG$15,3,FALSE))</f>
        <v/>
      </c>
      <c r="S254" s="173"/>
      <c r="T254" s="172" t="str">
        <f>IFERROR(IF(AND(Q254="V.Low",OR(S254="Good",S254="Moderate")),"Error",VLOOKUP(S254,'G-1 All Habitats'!$Z$2:$AA$9,2,FALSE)),"")</f>
        <v/>
      </c>
      <c r="U254" s="173"/>
      <c r="V254" s="179" t="str">
        <f>IF(U254="","",IF(VLOOKUP(U254,'G-3 Multipliers'!$L$3:$N$6,2,FALSE)=0,"Spatial Data Missing",VLOOKUP(U254,'G-3 Multipliers'!$L$3:$N$6,2,FALSE)))</f>
        <v/>
      </c>
      <c r="W254" s="260" t="str">
        <f>IF(U254="","",IF(VLOOKUP(U254,'G-3 Multipliers'!$L$3:$N$6,3,FALSE)=0,"Spatial Data Missing",VLOOKUP(U254,'G-3 Multipliers'!$L$3:$N$6,3,FALSE)))</f>
        <v/>
      </c>
      <c r="X254" s="171" t="str">
        <f>IFERROR(IF(OR(LEFT(O254,5)="Error",LEFT(N254,5)="Error",T254="Error"),"Check Data",IF(F254&lt;R254,INDEX('G-6 Hedgerow Data'!$S$3:$AE$14,MATCH(C254,'G-6 Hedgerow Data'!$B$3:$B$14,0),MATCH(M254,'G-6 Hedgerow Data'!$S$2:$AE$2,0)),INDEX('G-6 Hedgerow Data'!$K$3:$Q$14,MATCH(M254,'G-6 Hedgerow Data'!$B$3:$B$14,0),MATCH(O254,'G-6 Hedgerow Data'!$K$2:$Q$2,0)))),"")</f>
        <v/>
      </c>
      <c r="Y254" s="261"/>
      <c r="Z254" s="261"/>
      <c r="AA254" s="179" t="str">
        <f t="shared" si="27"/>
        <v/>
      </c>
      <c r="AB254" s="262" t="str">
        <f t="shared" si="28"/>
        <v/>
      </c>
      <c r="AC254" s="263" t="str">
        <f t="shared" si="25"/>
        <v/>
      </c>
      <c r="AD254" s="239" t="str">
        <f>IF(M254="","",VLOOKUP(M254,'G-6 Hedgerow Data'!$B$3:$AG$15,31,FALSE))</f>
        <v/>
      </c>
      <c r="AE254" s="175" t="str">
        <f t="shared" si="29"/>
        <v/>
      </c>
      <c r="AF254" s="175" t="str">
        <f t="shared" si="30"/>
        <v/>
      </c>
      <c r="AG254" s="176" t="str">
        <f>IFERROR(IF(O254="","",VLOOKUP(AD254,'G-3 Multipliers'!$P$3:$Q$6,2,FALSE)),"")</f>
        <v/>
      </c>
      <c r="AH254" s="266"/>
      <c r="AI254" s="172" t="str">
        <f>IF(AH254="","",IF(VLOOKUP(AH254,'G-3 Multipliers'!$S$3:$T$6,2,FALSE)=0,"Spatial Data Missing",VLOOKUP(AH254,'G-3 Multipliers'!$S$3:$T$6,2,FALSE)))</f>
        <v/>
      </c>
      <c r="AJ254" s="265" t="str">
        <f t="shared" si="31"/>
        <v/>
      </c>
      <c r="AK254" s="180"/>
      <c r="AL254" s="181"/>
      <c r="AP254" s="35" t="str">
        <f>IFERROR(INDEX('G-6 Hedgerow Data'!$BJ$3:$BJ$15,MATCH(M254,'G-6 Hedgerow Data'!$B$3:$B$15,0)),"")</f>
        <v/>
      </c>
    </row>
    <row r="255" spans="2:42" ht="13.8" x14ac:dyDescent="0.25">
      <c r="B255" s="259" t="str">
        <f>'E-1 Off Site Hedge Baseline'!AK253</f>
        <v/>
      </c>
      <c r="C255" s="175" t="str">
        <f>IF(B255="","",IF(ISNA(VLOOKUP($B255,'E-1 Off Site Hedge Baseline'!$B$1:$L$257,3,FALSE)),"",(VLOOKUP($B255,'E-1 Off Site Hedge Baseline'!$B$1:$L$257,3,FALSE))))</f>
        <v/>
      </c>
      <c r="D255" s="175" t="str">
        <f>IF(B255="","",IF(ISNA(VLOOKUP($B255,'E-1 Off Site Hedge Baseline'!$B$1:$L$258,4,FALSE)),"",(VLOOKUP($B255,'E-1 Off Site Hedge Baseline'!$B$1:$L$258,4,FALSE))))</f>
        <v/>
      </c>
      <c r="E255" s="175" t="str">
        <f>IF(B255="","",IF(ISNA(VLOOKUP($B255,'E-1 Off Site Hedge Baseline'!$B$1:$L$257,5,FALSE)),"",(VLOOKUP($B255,'E-1 Off Site Hedge Baseline'!$B$1:$L$257,5,FALSE))))</f>
        <v/>
      </c>
      <c r="F255" s="175" t="str">
        <f>IF(B255="","",IF(ISNA(VLOOKUP($B255,'E-1 Off Site Hedge Baseline'!$B$1:$L$257,6,FALSE)),"",(VLOOKUP($B255,'E-1 Off Site Hedge Baseline'!$B$1:$L$257,6,FALSE))))</f>
        <v/>
      </c>
      <c r="G255" s="175" t="str">
        <f>IF(B255="","",IF(ISNA(VLOOKUP($B255,'E-1 Off Site Hedge Baseline'!$B$1:$L$257,7,FALSE)),"",(VLOOKUP($B255,'E-1 Off Site Hedge Baseline'!$B$1:$L$257,7,FALSE))))</f>
        <v/>
      </c>
      <c r="H255" s="175" t="str">
        <f>IF(B255="","",IF(ISNA(VLOOKUP($B255,'E-1 Off Site Hedge Baseline'!$B$1:$L$257,8,FALSE)),"",(VLOOKUP($B255,'E-1 Off Site Hedge Baseline'!$B$1:$L$257,8,FALSE))))</f>
        <v/>
      </c>
      <c r="I255" s="175" t="str">
        <f>IF(B255="","",IF(ISNA(VLOOKUP($B255,'E-1 Off Site Hedge Baseline'!$B$1:$L$257,10,FALSE)),"",(VLOOKUP($B255,'E-1 Off Site Hedge Baseline'!$B$1:$L$257,10,FALSE))))</f>
        <v/>
      </c>
      <c r="J255" s="175" t="str">
        <f>IF(B255="","",IF(ISNA(VLOOKUP($B255,'E-1 Off Site Hedge Baseline'!$B$1:$L$257,11,FALSE)),"",(VLOOKUP($B255,'E-1 Off Site Hedge Baseline'!$B$1:$L$257,11,FALSE))))</f>
        <v/>
      </c>
      <c r="K255" s="175" t="str">
        <f>IF(B255="","",IF(ISNA(VLOOKUP($B255,'E-1 Off Site Hedge Baseline'!$B$1:$U$257,113,FALSE)),"",(VLOOKUP($B255,'E-1 Off Site Hedge Baseline'!$B$1:$U$257,13,FALSE))))</f>
        <v/>
      </c>
      <c r="L255" s="179" t="str">
        <f>IF(B255="","",IF(ISNA(VLOOKUP($B255,'E-1 Off Site Hedge Baseline'!$B$1:$U$257,12,FALSE)),"",(VLOOKUP($B255,'E-1 Off Site Hedge Baseline'!$B$1:$U$257,12,FALSE))))</f>
        <v/>
      </c>
      <c r="M255" s="639" t="str">
        <f t="shared" si="32"/>
        <v/>
      </c>
      <c r="N255" s="171" t="str">
        <f>IFERROR(IF(B255="","",INDEX('G-6 Hedgerow Data'!$AN$3:$AZ$15,MATCH(C255,'G-6 Hedgerow Data'!$AM$3:$AM$15,0),MATCH(M255,'G-6 Hedgerow Data'!$AN$2:$AZ$2,0))),"")</f>
        <v/>
      </c>
      <c r="O255" s="172" t="str">
        <f t="shared" si="26"/>
        <v/>
      </c>
      <c r="P255" s="260" t="str">
        <f>IF(B255="","",VLOOKUP(B255,'E-1 Off Site Hedge Baseline'!$B$10:T500,16,FALSE))</f>
        <v/>
      </c>
      <c r="Q255" s="171" t="str">
        <f>IF(M255="","",VLOOKUP(M255,'G-6 Hedgerow Data'!$B$2:$AG$15,2,FALSE))</f>
        <v/>
      </c>
      <c r="R255" s="172" t="str">
        <f>IF(M255="","",VLOOKUP(M255,'G-6 Hedgerow Data'!$B$2:$AG$15,3,FALSE))</f>
        <v/>
      </c>
      <c r="S255" s="173"/>
      <c r="T255" s="172" t="str">
        <f>IFERROR(IF(AND(Q255="V.Low",OR(S255="Good",S255="Moderate")),"Error",VLOOKUP(S255,'G-1 All Habitats'!$Z$2:$AA$9,2,FALSE)),"")</f>
        <v/>
      </c>
      <c r="U255" s="173"/>
      <c r="V255" s="179" t="str">
        <f>IF(U255="","",IF(VLOOKUP(U255,'G-3 Multipliers'!$L$3:$N$6,2,FALSE)=0,"Spatial Data Missing",VLOOKUP(U255,'G-3 Multipliers'!$L$3:$N$6,2,FALSE)))</f>
        <v/>
      </c>
      <c r="W255" s="260" t="str">
        <f>IF(U255="","",IF(VLOOKUP(U255,'G-3 Multipliers'!$L$3:$N$6,3,FALSE)=0,"Spatial Data Missing",VLOOKUP(U255,'G-3 Multipliers'!$L$3:$N$6,3,FALSE)))</f>
        <v/>
      </c>
      <c r="X255" s="171" t="str">
        <f>IFERROR(IF(OR(LEFT(O255,5)="Error",LEFT(N255,5)="Error",T255="Error"),"Check Data",IF(F255&lt;R255,INDEX('G-6 Hedgerow Data'!$S$3:$AE$14,MATCH(C255,'G-6 Hedgerow Data'!$B$3:$B$14,0),MATCH(M255,'G-6 Hedgerow Data'!$S$2:$AE$2,0)),INDEX('G-6 Hedgerow Data'!$K$3:$Q$14,MATCH(M255,'G-6 Hedgerow Data'!$B$3:$B$14,0),MATCH(O255,'G-6 Hedgerow Data'!$K$2:$Q$2,0)))),"")</f>
        <v/>
      </c>
      <c r="Y255" s="261"/>
      <c r="Z255" s="261"/>
      <c r="AA255" s="179" t="str">
        <f t="shared" si="27"/>
        <v/>
      </c>
      <c r="AB255" s="262" t="str">
        <f t="shared" si="28"/>
        <v/>
      </c>
      <c r="AC255" s="263" t="str">
        <f t="shared" si="25"/>
        <v/>
      </c>
      <c r="AD255" s="239" t="str">
        <f>IF(M255="","",VLOOKUP(M255,'G-6 Hedgerow Data'!$B$3:$AG$15,31,FALSE))</f>
        <v/>
      </c>
      <c r="AE255" s="175" t="str">
        <f t="shared" si="29"/>
        <v/>
      </c>
      <c r="AF255" s="175" t="str">
        <f t="shared" si="30"/>
        <v/>
      </c>
      <c r="AG255" s="176" t="str">
        <f>IFERROR(IF(O255="","",VLOOKUP(AD255,'G-3 Multipliers'!$P$3:$Q$6,2,FALSE)),"")</f>
        <v/>
      </c>
      <c r="AH255" s="266"/>
      <c r="AI255" s="172" t="str">
        <f>IF(AH255="","",IF(VLOOKUP(AH255,'G-3 Multipliers'!$S$3:$T$6,2,FALSE)=0,"Spatial Data Missing",VLOOKUP(AH255,'G-3 Multipliers'!$S$3:$T$6,2,FALSE)))</f>
        <v/>
      </c>
      <c r="AJ255" s="265" t="str">
        <f t="shared" si="31"/>
        <v/>
      </c>
      <c r="AK255" s="180"/>
      <c r="AL255" s="181"/>
      <c r="AP255" s="35" t="str">
        <f>IFERROR(INDEX('G-6 Hedgerow Data'!$BJ$3:$BJ$15,MATCH(M255,'G-6 Hedgerow Data'!$B$3:$B$15,0)),"")</f>
        <v/>
      </c>
    </row>
    <row r="256" spans="2:42" ht="13.8" x14ac:dyDescent="0.25">
      <c r="B256" s="259" t="str">
        <f>'E-1 Off Site Hedge Baseline'!AK254</f>
        <v/>
      </c>
      <c r="C256" s="175" t="str">
        <f>IF(B256="","",IF(ISNA(VLOOKUP($B256,'E-1 Off Site Hedge Baseline'!$B$1:$L$257,3,FALSE)),"",(VLOOKUP($B256,'E-1 Off Site Hedge Baseline'!$B$1:$L$257,3,FALSE))))</f>
        <v/>
      </c>
      <c r="D256" s="175" t="str">
        <f>IF(B256="","",IF(ISNA(VLOOKUP($B256,'E-1 Off Site Hedge Baseline'!$B$1:$L$258,4,FALSE)),"",(VLOOKUP($B256,'E-1 Off Site Hedge Baseline'!$B$1:$L$258,4,FALSE))))</f>
        <v/>
      </c>
      <c r="E256" s="175" t="str">
        <f>IF(B256="","",IF(ISNA(VLOOKUP($B256,'E-1 Off Site Hedge Baseline'!$B$1:$L$257,5,FALSE)),"",(VLOOKUP($B256,'E-1 Off Site Hedge Baseline'!$B$1:$L$257,5,FALSE))))</f>
        <v/>
      </c>
      <c r="F256" s="175" t="str">
        <f>IF(B256="","",IF(ISNA(VLOOKUP($B256,'E-1 Off Site Hedge Baseline'!$B$1:$L$257,6,FALSE)),"",(VLOOKUP($B256,'E-1 Off Site Hedge Baseline'!$B$1:$L$257,6,FALSE))))</f>
        <v/>
      </c>
      <c r="G256" s="175" t="str">
        <f>IF(B256="","",IF(ISNA(VLOOKUP($B256,'E-1 Off Site Hedge Baseline'!$B$1:$L$257,7,FALSE)),"",(VLOOKUP($B256,'E-1 Off Site Hedge Baseline'!$B$1:$L$257,7,FALSE))))</f>
        <v/>
      </c>
      <c r="H256" s="175" t="str">
        <f>IF(B256="","",IF(ISNA(VLOOKUP($B256,'E-1 Off Site Hedge Baseline'!$B$1:$L$257,8,FALSE)),"",(VLOOKUP($B256,'E-1 Off Site Hedge Baseline'!$B$1:$L$257,8,FALSE))))</f>
        <v/>
      </c>
      <c r="I256" s="175" t="str">
        <f>IF(B256="","",IF(ISNA(VLOOKUP($B256,'E-1 Off Site Hedge Baseline'!$B$1:$L$257,10,FALSE)),"",(VLOOKUP($B256,'E-1 Off Site Hedge Baseline'!$B$1:$L$257,10,FALSE))))</f>
        <v/>
      </c>
      <c r="J256" s="175" t="str">
        <f>IF(B256="","",IF(ISNA(VLOOKUP($B256,'E-1 Off Site Hedge Baseline'!$B$1:$L$257,11,FALSE)),"",(VLOOKUP($B256,'E-1 Off Site Hedge Baseline'!$B$1:$L$257,11,FALSE))))</f>
        <v/>
      </c>
      <c r="K256" s="175" t="str">
        <f>IF(B256="","",IF(ISNA(VLOOKUP($B256,'E-1 Off Site Hedge Baseline'!$B$1:$U$257,113,FALSE)),"",(VLOOKUP($B256,'E-1 Off Site Hedge Baseline'!$B$1:$U$257,13,FALSE))))</f>
        <v/>
      </c>
      <c r="L256" s="179" t="str">
        <f>IF(B256="","",IF(ISNA(VLOOKUP($B256,'E-1 Off Site Hedge Baseline'!$B$1:$U$257,12,FALSE)),"",(VLOOKUP($B256,'E-1 Off Site Hedge Baseline'!$B$1:$U$257,12,FALSE))))</f>
        <v/>
      </c>
      <c r="M256" s="639" t="str">
        <f t="shared" si="32"/>
        <v/>
      </c>
      <c r="N256" s="171" t="str">
        <f>IFERROR(IF(B256="","",INDEX('G-6 Hedgerow Data'!$AN$3:$AZ$15,MATCH(C256,'G-6 Hedgerow Data'!$AM$3:$AM$15,0),MATCH(M256,'G-6 Hedgerow Data'!$AN$2:$AZ$2,0))),"")</f>
        <v/>
      </c>
      <c r="O256" s="172" t="str">
        <f t="shared" si="26"/>
        <v/>
      </c>
      <c r="P256" s="260" t="str">
        <f>IF(B256="","",VLOOKUP(B256,'E-1 Off Site Hedge Baseline'!$B$10:T501,16,FALSE))</f>
        <v/>
      </c>
      <c r="Q256" s="171" t="str">
        <f>IF(M256="","",VLOOKUP(M256,'G-6 Hedgerow Data'!$B$2:$AG$15,2,FALSE))</f>
        <v/>
      </c>
      <c r="R256" s="172" t="str">
        <f>IF(M256="","",VLOOKUP(M256,'G-6 Hedgerow Data'!$B$2:$AG$15,3,FALSE))</f>
        <v/>
      </c>
      <c r="S256" s="173"/>
      <c r="T256" s="172" t="str">
        <f>IFERROR(IF(AND(Q256="V.Low",OR(S256="Good",S256="Moderate")),"Error",VLOOKUP(S256,'G-1 All Habitats'!$Z$2:$AA$9,2,FALSE)),"")</f>
        <v/>
      </c>
      <c r="U256" s="173"/>
      <c r="V256" s="179" t="str">
        <f>IF(U256="","",IF(VLOOKUP(U256,'G-3 Multipliers'!$L$3:$N$6,2,FALSE)=0,"Spatial Data Missing",VLOOKUP(U256,'G-3 Multipliers'!$L$3:$N$6,2,FALSE)))</f>
        <v/>
      </c>
      <c r="W256" s="260" t="str">
        <f>IF(U256="","",IF(VLOOKUP(U256,'G-3 Multipliers'!$L$3:$N$6,3,FALSE)=0,"Spatial Data Missing",VLOOKUP(U256,'G-3 Multipliers'!$L$3:$N$6,3,FALSE)))</f>
        <v/>
      </c>
      <c r="X256" s="171" t="str">
        <f>IFERROR(IF(OR(LEFT(O256,5)="Error",LEFT(N256,5)="Error",T256="Error"),"Check Data",IF(F256&lt;R256,INDEX('G-6 Hedgerow Data'!$S$3:$AE$14,MATCH(C256,'G-6 Hedgerow Data'!$B$3:$B$14,0),MATCH(M256,'G-6 Hedgerow Data'!$S$2:$AE$2,0)),INDEX('G-6 Hedgerow Data'!$K$3:$Q$14,MATCH(M256,'G-6 Hedgerow Data'!$B$3:$B$14,0),MATCH(O256,'G-6 Hedgerow Data'!$K$2:$Q$2,0)))),"")</f>
        <v/>
      </c>
      <c r="Y256" s="261"/>
      <c r="Z256" s="261"/>
      <c r="AA256" s="179" t="str">
        <f t="shared" si="27"/>
        <v/>
      </c>
      <c r="AB256" s="262" t="str">
        <f t="shared" si="28"/>
        <v/>
      </c>
      <c r="AC256" s="263" t="str">
        <f t="shared" si="25"/>
        <v/>
      </c>
      <c r="AD256" s="239" t="str">
        <f>IF(M256="","",VLOOKUP(M256,'G-6 Hedgerow Data'!$B$3:$AG$15,31,FALSE))</f>
        <v/>
      </c>
      <c r="AE256" s="175" t="str">
        <f t="shared" si="29"/>
        <v/>
      </c>
      <c r="AF256" s="175" t="str">
        <f t="shared" si="30"/>
        <v/>
      </c>
      <c r="AG256" s="176" t="str">
        <f>IFERROR(IF(O256="","",VLOOKUP(AD256,'G-3 Multipliers'!$P$3:$Q$6,2,FALSE)),"")</f>
        <v/>
      </c>
      <c r="AH256" s="266"/>
      <c r="AI256" s="172" t="str">
        <f>IF(AH256="","",IF(VLOOKUP(AH256,'G-3 Multipliers'!$S$3:$T$6,2,FALSE)=0,"Spatial Data Missing",VLOOKUP(AH256,'G-3 Multipliers'!$S$3:$T$6,2,FALSE)))</f>
        <v/>
      </c>
      <c r="AJ256" s="265" t="str">
        <f t="shared" si="31"/>
        <v/>
      </c>
      <c r="AK256" s="180"/>
      <c r="AL256" s="181"/>
      <c r="AP256" s="35" t="str">
        <f>IFERROR(INDEX('G-6 Hedgerow Data'!$BJ$3:$BJ$15,MATCH(M256,'G-6 Hedgerow Data'!$B$3:$B$15,0)),"")</f>
        <v/>
      </c>
    </row>
    <row r="257" spans="2:42" ht="14.4" thickBot="1" x14ac:dyDescent="0.3">
      <c r="B257" s="267" t="str">
        <f>'E-1 Off Site Hedge Baseline'!AK255</f>
        <v/>
      </c>
      <c r="C257" s="194" t="str">
        <f>IF(B257="","",IF(ISNA(VLOOKUP($B257,'E-1 Off Site Hedge Baseline'!$B$1:$L$257,3,FALSE)),"",(VLOOKUP($B257,'E-1 Off Site Hedge Baseline'!$B$1:$L$257,3,FALSE))))</f>
        <v/>
      </c>
      <c r="D257" s="194" t="str">
        <f>IF(B257="","",IF(ISNA(VLOOKUP($B257,'E-1 Off Site Hedge Baseline'!$B$1:$L$258,4,FALSE)),"",(VLOOKUP($B257,'E-1 Off Site Hedge Baseline'!$B$1:$L$258,4,FALSE))))</f>
        <v/>
      </c>
      <c r="E257" s="194" t="str">
        <f>IF(B257="","",IF(ISNA(VLOOKUP($B257,'E-1 Off Site Hedge Baseline'!$B$1:$L$257,5,FALSE)),"",(VLOOKUP($B257,'E-1 Off Site Hedge Baseline'!$B$1:$L$257,5,FALSE))))</f>
        <v/>
      </c>
      <c r="F257" s="194" t="str">
        <f>IF(B257="","",IF(ISNA(VLOOKUP($B257,'E-1 Off Site Hedge Baseline'!$B$1:$L$257,6,FALSE)),"",(VLOOKUP($B257,'E-1 Off Site Hedge Baseline'!$B$1:$L$257,6,FALSE))))</f>
        <v/>
      </c>
      <c r="G257" s="194" t="str">
        <f>IF(B257="","",IF(ISNA(VLOOKUP($B257,'E-1 Off Site Hedge Baseline'!$B$1:$L$257,7,FALSE)),"",(VLOOKUP($B257,'E-1 Off Site Hedge Baseline'!$B$1:$L$257,7,FALSE))))</f>
        <v/>
      </c>
      <c r="H257" s="194" t="str">
        <f>IF(B257="","",IF(ISNA(VLOOKUP($B257,'E-1 Off Site Hedge Baseline'!$B$1:$L$257,8,FALSE)),"",(VLOOKUP($B257,'E-1 Off Site Hedge Baseline'!$B$1:$L$257,8,FALSE))))</f>
        <v/>
      </c>
      <c r="I257" s="194" t="str">
        <f>IF(B257="","",IF(ISNA(VLOOKUP($B257,'E-1 Off Site Hedge Baseline'!$B$1:$L$257,10,FALSE)),"",(VLOOKUP($B257,'E-1 Off Site Hedge Baseline'!$B$1:$L$257,10,FALSE))))</f>
        <v/>
      </c>
      <c r="J257" s="194" t="str">
        <f>IF(B257="","",IF(ISNA(VLOOKUP($B257,'E-1 Off Site Hedge Baseline'!$B$1:$L$257,11,FALSE)),"",(VLOOKUP($B257,'E-1 Off Site Hedge Baseline'!$B$1:$L$257,11,FALSE))))</f>
        <v/>
      </c>
      <c r="K257" s="194" t="str">
        <f>IF(B257="","",IF(ISNA(VLOOKUP($B257,'E-1 Off Site Hedge Baseline'!$B$1:$U$257,113,FALSE)),"",(VLOOKUP($B257,'E-1 Off Site Hedge Baseline'!$B$1:$U$257,13,FALSE))))</f>
        <v/>
      </c>
      <c r="L257" s="194" t="str">
        <f>IF(B257="","",IF(ISNA(VLOOKUP($B257,'E-1 Off Site Hedge Baseline'!$B$1:$U$257,12,FALSE)),"",(VLOOKUP($B257,'E-1 Off Site Hedge Baseline'!$B$1:$U$257,12,FALSE))))</f>
        <v/>
      </c>
      <c r="M257" s="646" t="str">
        <f t="shared" si="32"/>
        <v/>
      </c>
      <c r="N257" s="248" t="str">
        <f>IFERROR(IF(B257="","",INDEX('G-6 Hedgerow Data'!$AN$3:$AZ$15,MATCH(C257,'G-6 Hedgerow Data'!$AM$3:$AM$15,0),MATCH(M257,'G-6 Hedgerow Data'!$AN$2:$AZ$2,0))),"")</f>
        <v/>
      </c>
      <c r="O257" s="195" t="str">
        <f t="shared" si="26"/>
        <v/>
      </c>
      <c r="P257" s="472" t="str">
        <f>IF(B257="","",VLOOKUP(B257,'E-1 Off Site Hedge Baseline'!$B$10:T502,16,FALSE))</f>
        <v/>
      </c>
      <c r="Q257" s="248" t="str">
        <f>IF(M257="","",VLOOKUP(M257,'G-6 Hedgerow Data'!$B$2:$AG$15,2,FALSE))</f>
        <v/>
      </c>
      <c r="R257" s="172" t="str">
        <f>IF(M257="","",VLOOKUP(M257,'G-6 Hedgerow Data'!$B$2:$AG$15,3,FALSE))</f>
        <v/>
      </c>
      <c r="S257" s="193"/>
      <c r="T257" s="195" t="str">
        <f>IFERROR(IF(AND(Q257="V.Low",OR(S257="Good",S257="Moderate")),"Error",VLOOKUP(S257,'G-1 All Habitats'!$Z$2:$AA$9,2,FALSE)),"")</f>
        <v/>
      </c>
      <c r="U257" s="193"/>
      <c r="V257" s="194" t="str">
        <f>IF(U257="","",IF(VLOOKUP(U257,'G-3 Multipliers'!$L$3:$N$6,2,FALSE)=0,"Spatial Data Missing",VLOOKUP(U257,'G-3 Multipliers'!$L$3:$N$6,2,FALSE)))</f>
        <v/>
      </c>
      <c r="W257" s="472" t="str">
        <f>IF(U257="","",IF(VLOOKUP(U257,'G-3 Multipliers'!$L$3:$N$6,3,FALSE)=0,"Spatial Data Missing",VLOOKUP(U257,'G-3 Multipliers'!$L$3:$N$6,3,FALSE)))</f>
        <v/>
      </c>
      <c r="X257" s="248" t="str">
        <f>IFERROR(IF(OR(LEFT(O257,5)="Error",LEFT(N257,5)="Error",T257="Error"),"Check Data",IF(F257&lt;R257,INDEX('G-6 Hedgerow Data'!$S$3:$AE$14,MATCH(C257,'G-6 Hedgerow Data'!$B$3:$B$14,0),MATCH(M257,'G-6 Hedgerow Data'!$S$2:$AE$2,0)),INDEX('G-6 Hedgerow Data'!$K$3:$Q$14,MATCH(M257,'G-6 Hedgerow Data'!$B$3:$B$14,0),MATCH(O257,'G-6 Hedgerow Data'!$K$2:$Q$2,0)))),"")</f>
        <v/>
      </c>
      <c r="Y257" s="279"/>
      <c r="Z257" s="279"/>
      <c r="AA257" s="194" t="str">
        <f t="shared" si="27"/>
        <v/>
      </c>
      <c r="AB257" s="251" t="str">
        <f t="shared" si="28"/>
        <v/>
      </c>
      <c r="AC257" s="398" t="str">
        <f t="shared" si="25"/>
        <v/>
      </c>
      <c r="AD257" s="248" t="str">
        <f>IF(M257="","",VLOOKUP(M257,'G-6 Hedgerow Data'!$B$3:$AG$15,31,FALSE))</f>
        <v/>
      </c>
      <c r="AE257" s="650" t="str">
        <f t="shared" si="29"/>
        <v/>
      </c>
      <c r="AF257" s="650" t="str">
        <f t="shared" si="30"/>
        <v/>
      </c>
      <c r="AG257" s="195" t="str">
        <f>IFERROR(IF(O257="","",VLOOKUP(AD257,'G-3 Multipliers'!$P$3:$Q$6,2,FALSE)),"")</f>
        <v/>
      </c>
      <c r="AH257" s="397"/>
      <c r="AI257" s="195" t="str">
        <f>IF(AH257="","",IF(VLOOKUP(AH257,'G-3 Multipliers'!$S$3:$T$6,2,FALSE)=0,"Spatial Data Missing",VLOOKUP(AH257,'G-3 Multipliers'!$S$3:$T$6,2,FALSE)))</f>
        <v/>
      </c>
      <c r="AJ257" s="402" t="str">
        <f t="shared" si="31"/>
        <v/>
      </c>
      <c r="AK257" s="197"/>
      <c r="AL257" s="198"/>
      <c r="AP257" s="35" t="str">
        <f>IFERROR(INDEX('G-6 Hedgerow Data'!$BJ$3:$BJ$15,MATCH(M257,'G-6 Hedgerow Data'!$B$3:$B$15,0)),"")</f>
        <v/>
      </c>
    </row>
    <row r="258" spans="2:42" ht="14.4" thickBot="1" x14ac:dyDescent="0.3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413"/>
      <c r="P258" s="200">
        <f>SUM(P12:P257)</f>
        <v>0</v>
      </c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663"/>
      <c r="AI258" s="663"/>
      <c r="AJ258" s="200">
        <f>SUM(AJ12:AJ257)</f>
        <v>0</v>
      </c>
      <c r="AK258" s="51"/>
      <c r="AL258" s="51"/>
    </row>
    <row r="259" spans="2:42" ht="13.8" x14ac:dyDescent="0.25"/>
    <row r="260" spans="2:42" ht="13.8" x14ac:dyDescent="0.25"/>
    <row r="261" spans="2:42" ht="13.8" x14ac:dyDescent="0.25"/>
    <row r="262" spans="2:42" ht="13.8" x14ac:dyDescent="0.25"/>
    <row r="263" spans="2:42" ht="13.8" x14ac:dyDescent="0.25"/>
    <row r="264" spans="2:42" ht="13.8" x14ac:dyDescent="0.25"/>
    <row r="265" spans="2:42" ht="13.8" x14ac:dyDescent="0.25"/>
    <row r="266" spans="2:42" ht="13.8" x14ac:dyDescent="0.25"/>
    <row r="267" spans="2:42" ht="15" hidden="1" customHeight="1" x14ac:dyDescent="0.25"/>
    <row r="268" spans="2:42" ht="15" hidden="1" customHeight="1" x14ac:dyDescent="0.25"/>
    <row r="269" spans="2:42" ht="15" hidden="1" customHeight="1" x14ac:dyDescent="0.25"/>
    <row r="270" spans="2:42" ht="15" hidden="1" customHeight="1" x14ac:dyDescent="0.25"/>
    <row r="271" spans="2:42" ht="15" hidden="1" customHeight="1" x14ac:dyDescent="0.25"/>
    <row r="272" spans="2:4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  <row r="443" ht="15" hidden="1" customHeight="1" x14ac:dyDescent="0.25"/>
    <row r="444" ht="15" hidden="1" customHeight="1" x14ac:dyDescent="0.25"/>
    <row r="445" ht="15" hidden="1" customHeight="1" x14ac:dyDescent="0.25"/>
    <row r="446" ht="15" hidden="1" customHeight="1" x14ac:dyDescent="0.25"/>
    <row r="447" ht="15" hidden="1" customHeight="1" x14ac:dyDescent="0.25"/>
    <row r="448" ht="15" hidden="1" customHeight="1" x14ac:dyDescent="0.25"/>
    <row r="449" ht="15" hidden="1" customHeight="1" x14ac:dyDescent="0.25"/>
    <row r="450" ht="15" hidden="1" customHeight="1" x14ac:dyDescent="0.25"/>
    <row r="451" ht="15" hidden="1" customHeight="1" x14ac:dyDescent="0.25"/>
    <row r="452" ht="15" hidden="1" customHeight="1" x14ac:dyDescent="0.25"/>
    <row r="453" ht="15" hidden="1" customHeight="1" x14ac:dyDescent="0.25"/>
    <row r="454" ht="15" hidden="1" customHeight="1" x14ac:dyDescent="0.25"/>
    <row r="455" ht="15" hidden="1" customHeight="1" x14ac:dyDescent="0.25"/>
    <row r="456" ht="15" hidden="1" customHeight="1" x14ac:dyDescent="0.25"/>
    <row r="457" ht="15" hidden="1" customHeight="1" x14ac:dyDescent="0.25"/>
    <row r="458" ht="15" hidden="1" customHeight="1" x14ac:dyDescent="0.25"/>
    <row r="459" ht="15" hidden="1" customHeight="1" x14ac:dyDescent="0.25"/>
    <row r="460" ht="15" hidden="1" customHeight="1" x14ac:dyDescent="0.25"/>
    <row r="461" ht="15" hidden="1" customHeight="1" x14ac:dyDescent="0.25"/>
    <row r="462" ht="15" hidden="1" customHeight="1" x14ac:dyDescent="0.25"/>
    <row r="463" ht="15" hidden="1" customHeight="1" x14ac:dyDescent="0.25"/>
    <row r="464" ht="15" hidden="1" customHeight="1" x14ac:dyDescent="0.25"/>
    <row r="465" ht="15" hidden="1" customHeight="1" x14ac:dyDescent="0.25"/>
    <row r="466" ht="15" hidden="1" customHeight="1" x14ac:dyDescent="0.25"/>
    <row r="467" ht="15" hidden="1" customHeight="1" x14ac:dyDescent="0.25"/>
    <row r="468" ht="15" hidden="1" customHeight="1" x14ac:dyDescent="0.25"/>
    <row r="469" ht="15" hidden="1" customHeight="1" x14ac:dyDescent="0.25"/>
    <row r="470" ht="15" hidden="1" customHeight="1" x14ac:dyDescent="0.25"/>
    <row r="471" ht="15" hidden="1" customHeight="1" x14ac:dyDescent="0.25"/>
    <row r="472" ht="15" hidden="1" customHeight="1" x14ac:dyDescent="0.25"/>
    <row r="473" ht="15" hidden="1" customHeight="1" x14ac:dyDescent="0.25"/>
    <row r="474" ht="15" hidden="1" customHeight="1" x14ac:dyDescent="0.25"/>
    <row r="475" ht="15" hidden="1" customHeight="1" x14ac:dyDescent="0.25"/>
    <row r="476" ht="15" hidden="1" customHeight="1" x14ac:dyDescent="0.25"/>
    <row r="477" ht="15" hidden="1" customHeight="1" x14ac:dyDescent="0.25"/>
    <row r="478" ht="15" hidden="1" customHeight="1" x14ac:dyDescent="0.25"/>
    <row r="479" ht="15" hidden="1" customHeight="1" x14ac:dyDescent="0.25"/>
    <row r="480" ht="15" hidden="1" customHeight="1" x14ac:dyDescent="0.25"/>
    <row r="481" ht="15" hidden="1" customHeight="1" x14ac:dyDescent="0.25"/>
    <row r="482" ht="15" hidden="1" customHeight="1" x14ac:dyDescent="0.25"/>
    <row r="483" ht="15" hidden="1" customHeight="1" x14ac:dyDescent="0.25"/>
    <row r="484" ht="15" hidden="1" customHeight="1" x14ac:dyDescent="0.25"/>
    <row r="485" ht="15" hidden="1" customHeight="1" x14ac:dyDescent="0.25"/>
    <row r="486" ht="15" hidden="1" customHeight="1" x14ac:dyDescent="0.25"/>
    <row r="487" ht="15" hidden="1" customHeight="1" x14ac:dyDescent="0.25"/>
    <row r="488" ht="15" hidden="1" customHeight="1" x14ac:dyDescent="0.25"/>
    <row r="489" ht="15" hidden="1" customHeight="1" x14ac:dyDescent="0.25"/>
    <row r="490" ht="15" hidden="1" customHeight="1" x14ac:dyDescent="0.25"/>
    <row r="491" ht="15" hidden="1" customHeight="1" x14ac:dyDescent="0.25"/>
    <row r="492" ht="15" hidden="1" customHeight="1" x14ac:dyDescent="0.25"/>
    <row r="493" ht="15" hidden="1" customHeight="1" x14ac:dyDescent="0.25"/>
    <row r="494" ht="15" hidden="1" customHeight="1" x14ac:dyDescent="0.25"/>
    <row r="495" ht="15" hidden="1" customHeight="1" x14ac:dyDescent="0.25"/>
    <row r="496" ht="15" hidden="1" customHeight="1" x14ac:dyDescent="0.25"/>
    <row r="497" ht="15" hidden="1" customHeight="1" x14ac:dyDescent="0.25"/>
    <row r="498" ht="15" hidden="1" customHeight="1" x14ac:dyDescent="0.25"/>
    <row r="499" ht="15" hidden="1" customHeight="1" x14ac:dyDescent="0.25"/>
    <row r="500" ht="15" hidden="1" customHeight="1" x14ac:dyDescent="0.25"/>
    <row r="501" ht="15" hidden="1" customHeight="1" x14ac:dyDescent="0.25"/>
    <row r="502" ht="15" hidden="1" customHeight="1" x14ac:dyDescent="0.25"/>
    <row r="503" ht="15" hidden="1" customHeight="1" x14ac:dyDescent="0.25"/>
  </sheetData>
  <sheetProtection algorithmName="SHA-512" hashValue="ib+hg/aiYVInup3nITic3shwyTLRzZQvLyHbKAZn/8npbma9DA37y80DIRxaMRvITUVxoez9bgks7iCKS7wNBA==" saltValue="YO2I85w2rDLz9kS8ZK+8Kg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6">
    <mergeCell ref="AJ10:AJ11"/>
    <mergeCell ref="AK10:AL10"/>
    <mergeCell ref="C10:L10"/>
    <mergeCell ref="U10:W10"/>
    <mergeCell ref="P10:P11"/>
    <mergeCell ref="M8:AI8"/>
    <mergeCell ref="M9:AI9"/>
    <mergeCell ref="M10:M11"/>
    <mergeCell ref="B3:C4"/>
    <mergeCell ref="X10:AC10"/>
    <mergeCell ref="AD10:AG10"/>
    <mergeCell ref="AI10:AI11"/>
    <mergeCell ref="N10:O10"/>
    <mergeCell ref="Q10:R10"/>
    <mergeCell ref="S10:T10"/>
    <mergeCell ref="X2:AC4"/>
  </mergeCells>
  <conditionalFormatting sqref="L12:L257">
    <cfRule type="cellIs" dxfId="69" priority="7" operator="equal">
      <formula>"Same distinctiveness band or better"</formula>
    </cfRule>
    <cfRule type="cellIs" dxfId="68" priority="8" operator="equal">
      <formula>"Like for like or better"</formula>
    </cfRule>
    <cfRule type="cellIs" dxfId="67" priority="9" operator="equal">
      <formula>"Like for Like"</formula>
    </cfRule>
  </conditionalFormatting>
  <conditionalFormatting sqref="N12:AJ257">
    <cfRule type="containsText" dxfId="66" priority="2" operator="containsText" text="30+">
      <formula>NOT(ISERROR(SEARCH("30+",N12)))</formula>
    </cfRule>
    <cfRule type="beginsWith" dxfId="65" priority="3" operator="beginsWith" text="No">
      <formula>LEFT(N12,LEN("No"))="No"</formula>
    </cfRule>
    <cfRule type="containsText" dxfId="64" priority="4" operator="containsText" text="Spatial">
      <formula>NOT(ISERROR(SEARCH("Spatial",N12)))</formula>
    </cfRule>
    <cfRule type="containsText" dxfId="63" priority="5" operator="containsText" text="Check">
      <formula>NOT(ISERROR(SEARCH("Check",N12)))</formula>
    </cfRule>
    <cfRule type="containsText" dxfId="62" priority="6" operator="containsText" text="Error">
      <formula>NOT(ISERROR(SEARCH("Error",N12)))</formula>
    </cfRule>
  </conditionalFormatting>
  <conditionalFormatting sqref="X2">
    <cfRule type="containsText" dxfId="61" priority="1" operator="containsText" text="Note">
      <formula>NOT(ISERROR(SEARCH("Note",X2)))</formula>
    </cfRule>
  </conditionalFormatting>
  <dataValidations count="1">
    <dataValidation type="list" allowBlank="1" showInputMessage="1" showErrorMessage="1" sqref="S12:S257" xr:uid="{00000000-0002-0000-1500-000000000000}">
      <formula1>INDIRECT(AP12)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xr:uid="{00000000-0002-0000-1500-000001000000}">
          <x14:formula1>
            <xm:f>'G-6 Hedgerow Data'!$B$3:$B$15</xm:f>
          </x14:formula1>
          <xm:sqref>M12:M257</xm:sqref>
        </x14:dataValidation>
        <x14:dataValidation type="list" allowBlank="1" showInputMessage="1" showErrorMessage="1" xr:uid="{00000000-0002-0000-1500-000002000000}">
          <x14:formula1>
            <xm:f>'G-3 Multipliers'!$L$4:$L$6</xm:f>
          </x14:formula1>
          <xm:sqref>U12:U257</xm:sqref>
        </x14:dataValidation>
        <x14:dataValidation type="list" allowBlank="1" showInputMessage="1" showErrorMessage="1" xr:uid="{00000000-0002-0000-1500-000003000000}">
          <x14:formula1>
            <xm:f>'G-3 Multipliers'!$S$4:$S$6</xm:f>
          </x14:formula1>
          <xm:sqref>AH12:AH257</xm:sqref>
        </x14:dataValidation>
        <x14:dataValidation type="list" allowBlank="1" showInputMessage="1" showErrorMessage="1" xr:uid="{00000000-0002-0000-1500-000004000000}">
          <x14:formula1>
            <xm:f>'G-4 Temporal multipliers'!$A$4:$A$36</xm:f>
          </x14:formula1>
          <xm:sqref>Y12:Z257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">
    <tabColor rgb="FF00B0F0"/>
  </sheetPr>
  <dimension ref="A1:AQ272"/>
  <sheetViews>
    <sheetView showGridLines="0" showRowColHeaders="0" zoomScaleNormal="100" workbookViewId="0">
      <pane ySplit="9" topLeftCell="A10" activePane="bottomLeft" state="frozen"/>
      <selection activeCell="B18" sqref="B18:I19"/>
      <selection pane="bottomLeft" activeCell="D10" sqref="D10"/>
    </sheetView>
  </sheetViews>
  <sheetFormatPr defaultColWidth="0" defaultRowHeight="0" customHeight="1" zeroHeight="1" x14ac:dyDescent="0.25"/>
  <cols>
    <col min="1" max="1" width="3" style="35" customWidth="1"/>
    <col min="2" max="2" width="3.33203125" style="159" customWidth="1"/>
    <col min="3" max="3" width="12.6640625" style="159" customWidth="1"/>
    <col min="4" max="4" width="55" style="35" customWidth="1"/>
    <col min="5" max="5" width="8.5546875" style="35" customWidth="1"/>
    <col min="6" max="6" width="17.6640625" style="35" customWidth="1"/>
    <col min="7" max="7" width="8.6640625" style="35" customWidth="1"/>
    <col min="8" max="8" width="14.33203125" style="35" bestFit="1" customWidth="1"/>
    <col min="9" max="9" width="13.109375" style="35" customWidth="1"/>
    <col min="10" max="10" width="33.6640625" style="35" customWidth="1"/>
    <col min="11" max="11" width="14.88671875" style="35" customWidth="1"/>
    <col min="12" max="12" width="13.109375" style="35" customWidth="1"/>
    <col min="13" max="13" width="17.33203125" style="35" customWidth="1"/>
    <col min="14" max="14" width="13.5546875" style="35" customWidth="1"/>
    <col min="15" max="15" width="16.33203125" style="35" customWidth="1"/>
    <col min="16" max="16" width="14.44140625" style="35" customWidth="1"/>
    <col min="17" max="17" width="14.33203125" style="35" customWidth="1"/>
    <col min="18" max="18" width="15" style="35" customWidth="1"/>
    <col min="19" max="19" width="3.6640625" style="35" customWidth="1"/>
    <col min="20" max="21" width="12.33203125" style="35" customWidth="1"/>
    <col min="22" max="22" width="13.44140625" style="35" customWidth="1"/>
    <col min="23" max="23" width="12.109375" style="35" customWidth="1"/>
    <col min="24" max="24" width="10.44140625" style="35" customWidth="1"/>
    <col min="25" max="25" width="11" style="35" customWidth="1"/>
    <col min="26" max="27" width="50.109375" style="35" customWidth="1"/>
    <col min="28" max="30" width="8.88671875" style="35" customWidth="1"/>
    <col min="31" max="36" width="8.88671875" style="35" hidden="1" customWidth="1"/>
    <col min="37" max="37" width="11.88671875" style="35" hidden="1" customWidth="1"/>
    <col min="38" max="41" width="8.88671875" style="35" hidden="1" customWidth="1"/>
    <col min="42" max="42" width="19.5546875" style="35" hidden="1" customWidth="1"/>
    <col min="43" max="43" width="35" style="35" hidden="1" customWidth="1"/>
    <col min="44" max="16384" width="8.88671875" style="35" hidden="1"/>
  </cols>
  <sheetData>
    <row r="1" spans="2:42" ht="12.75" customHeight="1" thickBot="1" x14ac:dyDescent="0.3">
      <c r="B1" s="35"/>
      <c r="C1" s="35"/>
    </row>
    <row r="2" spans="2:42" ht="19.5" customHeight="1" thickBot="1" x14ac:dyDescent="0.3">
      <c r="B2" s="1031" t="str">
        <f>IF([2]Start!F12="","",[2]Start!F12)</f>
        <v/>
      </c>
      <c r="C2" s="1032"/>
      <c r="D2" s="1033"/>
    </row>
    <row r="3" spans="2:42" ht="15" customHeight="1" x14ac:dyDescent="0.25">
      <c r="B3" s="1057" t="str">
        <f ca="1">MID(CELL("filename",A1),FIND("]",CELL("filename",A1))+1,256)</f>
        <v>C-1 Site River Baseline</v>
      </c>
      <c r="C3" s="1058"/>
      <c r="D3" s="1059"/>
    </row>
    <row r="4" spans="2:42" ht="19.95" customHeight="1" thickBot="1" x14ac:dyDescent="0.3">
      <c r="B4" s="1024"/>
      <c r="C4" s="1025"/>
      <c r="D4" s="1026"/>
    </row>
    <row r="5" spans="2:42" ht="19.2" customHeight="1" x14ac:dyDescent="0.25">
      <c r="B5" s="35"/>
      <c r="C5" s="35"/>
      <c r="F5" s="158"/>
      <c r="T5" s="1060" t="str">
        <f>IF(SUM(AG10:AG257)&gt;0,"Check Lengths","")</f>
        <v/>
      </c>
      <c r="U5" s="1060"/>
      <c r="V5" s="1060"/>
      <c r="W5" s="1060"/>
      <c r="X5" s="1060"/>
      <c r="Y5" s="1060"/>
    </row>
    <row r="6" spans="2:42" ht="15.75" customHeight="1" x14ac:dyDescent="0.25">
      <c r="B6" s="35"/>
      <c r="C6" s="35"/>
      <c r="T6" s="1060"/>
      <c r="U6" s="1060"/>
      <c r="V6" s="1060"/>
      <c r="W6" s="1060"/>
      <c r="X6" s="1060"/>
      <c r="Y6" s="1060"/>
    </row>
    <row r="7" spans="2:42" ht="46.2" customHeight="1" thickBot="1" x14ac:dyDescent="0.3"/>
    <row r="8" spans="2:42" ht="28.2" thickBot="1" x14ac:dyDescent="0.3">
      <c r="C8" s="994" t="s">
        <v>1034</v>
      </c>
      <c r="D8" s="994"/>
      <c r="E8" s="994"/>
      <c r="F8" s="984" t="s">
        <v>981</v>
      </c>
      <c r="G8" s="984"/>
      <c r="H8" s="984" t="s">
        <v>982</v>
      </c>
      <c r="I8" s="984"/>
      <c r="J8" s="994" t="s">
        <v>362</v>
      </c>
      <c r="K8" s="994"/>
      <c r="L8" s="994"/>
      <c r="M8" s="984" t="s">
        <v>1188</v>
      </c>
      <c r="N8" s="984"/>
      <c r="O8" s="984" t="s">
        <v>1036</v>
      </c>
      <c r="P8" s="984"/>
      <c r="Q8" s="983" t="s">
        <v>1019</v>
      </c>
      <c r="R8" s="205" t="s">
        <v>1010</v>
      </c>
      <c r="S8" s="161"/>
      <c r="T8" s="994" t="s">
        <v>1021</v>
      </c>
      <c r="U8" s="994"/>
      <c r="V8" s="994"/>
      <c r="W8" s="994"/>
      <c r="X8" s="994"/>
      <c r="Y8" s="994"/>
      <c r="Z8" s="1030" t="s">
        <v>145</v>
      </c>
      <c r="AA8" s="1030"/>
    </row>
    <row r="9" spans="2:42" ht="42" thickBot="1" x14ac:dyDescent="0.3">
      <c r="C9" s="561" t="s">
        <v>840</v>
      </c>
      <c r="D9" s="272" t="s">
        <v>799</v>
      </c>
      <c r="E9" s="273" t="s">
        <v>369</v>
      </c>
      <c r="F9" s="561" t="s">
        <v>127</v>
      </c>
      <c r="G9" s="273" t="s">
        <v>140</v>
      </c>
      <c r="H9" s="561" t="s">
        <v>141</v>
      </c>
      <c r="I9" s="273" t="s">
        <v>140</v>
      </c>
      <c r="J9" s="561" t="s">
        <v>362</v>
      </c>
      <c r="K9" s="272" t="s">
        <v>362</v>
      </c>
      <c r="L9" s="273" t="s">
        <v>983</v>
      </c>
      <c r="M9" s="561" t="s">
        <v>1037</v>
      </c>
      <c r="N9" s="273" t="s">
        <v>55</v>
      </c>
      <c r="O9" s="561" t="s">
        <v>1037</v>
      </c>
      <c r="P9" s="273" t="s">
        <v>55</v>
      </c>
      <c r="Q9" s="984"/>
      <c r="R9" s="647" t="s">
        <v>1018</v>
      </c>
      <c r="S9" s="165"/>
      <c r="T9" s="561" t="s">
        <v>1012</v>
      </c>
      <c r="U9" s="272" t="s">
        <v>1013</v>
      </c>
      <c r="V9" s="272" t="s">
        <v>1014</v>
      </c>
      <c r="W9" s="272" t="s">
        <v>1015</v>
      </c>
      <c r="X9" s="272" t="s">
        <v>1310</v>
      </c>
      <c r="Y9" s="273" t="s">
        <v>143</v>
      </c>
      <c r="Z9" s="160" t="s">
        <v>144</v>
      </c>
      <c r="AA9" s="160" t="s">
        <v>992</v>
      </c>
      <c r="AG9" s="46" t="s">
        <v>1501</v>
      </c>
      <c r="AH9" s="188" t="s">
        <v>800</v>
      </c>
      <c r="AI9" s="188" t="s">
        <v>801</v>
      </c>
      <c r="AK9" s="188" t="s">
        <v>804</v>
      </c>
      <c r="AM9" s="188" t="s">
        <v>800</v>
      </c>
      <c r="AN9" s="188" t="s">
        <v>801</v>
      </c>
      <c r="AP9" s="158" t="s">
        <v>1298</v>
      </c>
    </row>
    <row r="10" spans="2:42" ht="13.8" x14ac:dyDescent="0.25">
      <c r="C10" s="168">
        <v>1</v>
      </c>
      <c r="D10" s="206"/>
      <c r="E10" s="76"/>
      <c r="F10" s="171" t="str">
        <f>IF(D10="","",VLOOKUP(D10,'G-7 Rivers Data'!$B$2:$G$8,2,FALSE))</f>
        <v/>
      </c>
      <c r="G10" s="172" t="str">
        <f>IFERROR(VLOOKUP(F10,'G-7 Rivers Data'!$C$4:$D$8,2,FALSE),"")</f>
        <v/>
      </c>
      <c r="H10" s="79"/>
      <c r="I10" s="172" t="str">
        <f>IFERROR(INDEX('G-7 Rivers Data'!$H$4:$L$8,MATCH(D10,'G-7 Rivers Data'!$B$4:$B$8,0),MATCH(H10,'G-7 Rivers Data'!$H$3:$L$3,0)),"")</f>
        <v/>
      </c>
      <c r="J10" s="79"/>
      <c r="K10" s="172" t="str">
        <f>IF(J10="","",IF(VLOOKUP(J10,'G-7 Rivers Data'!$AK$4:$AM$9,2,FALSE)=0,"Spatial Data Missing",VLOOKUP(J10,'G-7 Rivers Data'!$AK$4:$AM$9,2,FALSE)))</f>
        <v/>
      </c>
      <c r="L10" s="172" t="str">
        <f>IF(J10="","",IF(VLOOKUP(J10,'G-7 Rivers Data'!$AK$4:$AM$9,3,FALSE)=0,"Spatial Data Missing",VLOOKUP(J10,'G-7 Rivers Data'!$AK$4:$AM$9,3,FALSE)))</f>
        <v/>
      </c>
      <c r="M10" s="174"/>
      <c r="N10" s="172" t="str">
        <f>IF(M10="","",IF(VLOOKUP(M10,'G-7 Rivers Data'!$AA$4:$AB$7,2,FALSE)=0,"Spatial Data Missing",VLOOKUP(M10,'G-7 Rivers Data'!$AA$4:$AB$7,2,FALSE)))</f>
        <v/>
      </c>
      <c r="O10" s="90"/>
      <c r="P10" s="172" t="str">
        <f>IF(O10="","",IF(VLOOKUP(O10,'G-7 Rivers Data'!$AD$4:$AE$8,2,FALSE)=0,"Spatial Data Missing",VLOOKUP(O10,'G-7 Rivers Data'!$AD$4:$AE$8,2,FALSE)))</f>
        <v/>
      </c>
      <c r="Q10" s="177" t="str">
        <f>IF(D10="","",VLOOKUP(D10,'G-7 Rivers Data'!$B$2:$G$8,6,FALSE))</f>
        <v/>
      </c>
      <c r="R10" s="207" t="str">
        <f>IFERROR(IF(D10="","",E10*G10*I10*L10*N10*P10),"")</f>
        <v/>
      </c>
      <c r="S10" s="44"/>
      <c r="T10" s="79"/>
      <c r="U10" s="82"/>
      <c r="V10" s="208" t="str">
        <f>IFERROR(IF(T10&gt;E10,"Check Lengths",T10*G10*I10*L10*N10*P10),"")</f>
        <v/>
      </c>
      <c r="W10" s="208" t="str">
        <f>IFERROR(IF(D10="","",U10*G10*I10*L10*N10*P10),"")</f>
        <v/>
      </c>
      <c r="X10" s="208" t="str">
        <f>IFERROR(IF(D10="","",IF(E10&gt;(T10+U10),E10-T10-U10,0)),"")</f>
        <v/>
      </c>
      <c r="Y10" s="209" t="str">
        <f>IFERROR(IF(E10="","",IF((V10+W10)&gt;R10,0,R10-V10-W10)),"Check Data")</f>
        <v/>
      </c>
      <c r="Z10" s="210"/>
      <c r="AA10" s="211"/>
      <c r="AG10" s="35">
        <f>IFERROR(IF(T10+U10&gt;E10,1,0),"")</f>
        <v>0</v>
      </c>
      <c r="AH10" s="188" t="str">
        <f>IF(D10="","",IF(T10&gt;0,TRUE,FALSE))</f>
        <v/>
      </c>
      <c r="AI10" s="188" t="str">
        <f>IF(D10="","",IF(U10&gt;0,TRUE,FALSE))</f>
        <v/>
      </c>
      <c r="AK10" s="188">
        <v>1</v>
      </c>
      <c r="AM10" s="188" t="str">
        <f t="array" ref="AM10">IFERROR(INDEX($AK$10:$AK$258, MATCH(0, IF(TRUE=$AH$10:$AH$258, COUNTIF($AM9:$AM$9, $AK$10:$AK$258), ""), 0)),"")</f>
        <v/>
      </c>
      <c r="AN10" s="188" t="str">
        <f t="array" ref="AN10">IFERROR(INDEX($AK$10:$AK$258, MATCH(0, IF(TRUE=$AI$10:$AI$258, COUNTIF($AN9:$AN$9, $AK$10:$AK$258), ""), 0)),"")</f>
        <v/>
      </c>
      <c r="AP10" s="35" t="str">
        <f>IFERROR(INDEX('G-7 Rivers Data'!$AZ$3:$AZ$7,MATCH(D10,'G-7 Rivers Data'!$AY$3:$AY$7,0)),"")</f>
        <v/>
      </c>
    </row>
    <row r="11" spans="2:42" ht="13.8" x14ac:dyDescent="0.25">
      <c r="C11" s="168">
        <v>2</v>
      </c>
      <c r="D11" s="206"/>
      <c r="E11" s="76"/>
      <c r="F11" s="171" t="str">
        <f>IF(D11="","",VLOOKUP(D11,'G-7 Rivers Data'!$B$2:$G$8,2,FALSE))</f>
        <v/>
      </c>
      <c r="G11" s="172" t="str">
        <f>IFERROR(VLOOKUP(F11,'G-7 Rivers Data'!$C$4:$D$8,2,FALSE),"")</f>
        <v/>
      </c>
      <c r="H11" s="79"/>
      <c r="I11" s="172" t="str">
        <f>IFERROR(INDEX('G-7 Rivers Data'!$H$4:$L$8,MATCH(D11,'G-7 Rivers Data'!$B$4:$B$8,0),MATCH(H11,'G-7 Rivers Data'!$H$3:$L$3,0)),"")</f>
        <v/>
      </c>
      <c r="J11" s="79"/>
      <c r="K11" s="172" t="str">
        <f>IF(J11="","",IF(VLOOKUP(J11,'G-7 Rivers Data'!$AK$4:$AM$9,2,FALSE)=0,"Spatial Data Missing",VLOOKUP(J11,'G-7 Rivers Data'!$AK$4:$AM$9,2,FALSE)))</f>
        <v/>
      </c>
      <c r="L11" s="172" t="str">
        <f>IF(J11="","",IF(VLOOKUP(J11,'G-7 Rivers Data'!$AK$4:$AM$9,3,FALSE)=0,"Spatial Data Missing",VLOOKUP(J11,'G-7 Rivers Data'!$AK$4:$AM$9,3,FALSE)))</f>
        <v/>
      </c>
      <c r="M11" s="79"/>
      <c r="N11" s="172" t="str">
        <f>IF(M11="","",IF(VLOOKUP(M11,'G-7 Rivers Data'!$AA$4:$AB$7,2,FALSE)=0,"Spatial Data Missing",VLOOKUP(M11,'G-7 Rivers Data'!$AA$4:$AB$7,2,FALSE)))</f>
        <v/>
      </c>
      <c r="O11" s="90"/>
      <c r="P11" s="172" t="str">
        <f>IF(O11="","",IF(VLOOKUP(O11,'G-7 Rivers Data'!$AD$4:$AE$8,2,FALSE)=0,"Spatial Data Missing",VLOOKUP(O11,'G-7 Rivers Data'!$AD$4:$AE$8,2,FALSE)))</f>
        <v/>
      </c>
      <c r="Q11" s="177" t="str">
        <f>IF(D11="","",VLOOKUP(D11,'G-7 Rivers Data'!$B$2:$G$8,6,FALSE))</f>
        <v/>
      </c>
      <c r="R11" s="207" t="str">
        <f t="shared" ref="R11:R74" si="0">IFERROR(IF(D11="","",E11*G11*I11*L11*N11*P11),"")</f>
        <v/>
      </c>
      <c r="S11" s="44"/>
      <c r="T11" s="79"/>
      <c r="U11" s="82"/>
      <c r="V11" s="208" t="str">
        <f t="shared" ref="V11:V74" si="1">IFERROR(IF(T11&gt;E11,"Check Lengths",T11*G11*I11*L11*N11*P11),"")</f>
        <v/>
      </c>
      <c r="W11" s="208" t="str">
        <f t="shared" ref="W11:W74" si="2">IFERROR(IF(D11="","",U11*G11*I11*L11*N11*P11),"")</f>
        <v/>
      </c>
      <c r="X11" s="208" t="str">
        <f t="shared" ref="X11:X74" si="3">IFERROR(IF(D11="","",IF(E11&gt;(T11+U11),E11-T11-U11,0)),"")</f>
        <v/>
      </c>
      <c r="Y11" s="209" t="str">
        <f t="shared" ref="Y11:Y74" si="4">IFERROR(IF(E11="","",IF((V11+W11)&gt;R11,0,R11-V11-W11)),"Check Data")</f>
        <v/>
      </c>
      <c r="Z11" s="182"/>
      <c r="AA11" s="183"/>
      <c r="AG11" s="35">
        <f t="shared" ref="AG11:AG74" si="5">IFERROR(IF(T11+U11&gt;E11,1,0),"")</f>
        <v>0</v>
      </c>
      <c r="AH11" s="188" t="str">
        <f t="shared" ref="AH11:AH74" si="6">IF(D11="","",IF(T11&gt;0,TRUE,FALSE))</f>
        <v/>
      </c>
      <c r="AI11" s="188" t="str">
        <f t="shared" ref="AI11:AI74" si="7">IF(D11="","",IF(U11&gt;0,TRUE,FALSE))</f>
        <v/>
      </c>
      <c r="AK11" s="188">
        <v>2</v>
      </c>
      <c r="AM11" s="188" t="str">
        <f t="array" ref="AM11">IFERROR(INDEX($AK$10:$AK$258, MATCH(0, IF(TRUE=$AH$10:$AH$258, COUNTIF($AM$9:$AM10, $AK$10:$AK$258), ""), 0)),"")</f>
        <v/>
      </c>
      <c r="AN11" s="188" t="str">
        <f t="array" ref="AN11">IFERROR(INDEX($AK$10:$AK$258, MATCH(0, IF(TRUE=$AI$10:$AI$258, COUNTIF($AN$9:$AN10, $AK$10:$AK$258), ""), 0)),"")</f>
        <v/>
      </c>
      <c r="AP11" s="35" t="str">
        <f>IFERROR(INDEX('G-7 Rivers Data'!$AZ$3:$AZ$7,MATCH(D11,'G-7 Rivers Data'!$AY$3:$AY$7,0)),"")</f>
        <v/>
      </c>
    </row>
    <row r="12" spans="2:42" ht="13.8" x14ac:dyDescent="0.25">
      <c r="C12" s="168">
        <v>3</v>
      </c>
      <c r="D12" s="206"/>
      <c r="E12" s="76"/>
      <c r="F12" s="171" t="str">
        <f>IF(D12="","",VLOOKUP(D12,'G-7 Rivers Data'!$B$2:$G$8,2,FALSE))</f>
        <v/>
      </c>
      <c r="G12" s="172" t="str">
        <f>IFERROR(VLOOKUP(F12,'G-7 Rivers Data'!$C$4:$D$8,2,FALSE),"")</f>
        <v/>
      </c>
      <c r="H12" s="79"/>
      <c r="I12" s="172" t="str">
        <f>IFERROR(INDEX('G-7 Rivers Data'!$H$4:$L$8,MATCH(D12,'G-7 Rivers Data'!$B$4:$B$8,0),MATCH(H12,'G-7 Rivers Data'!$H$3:$L$3,0)),"")</f>
        <v/>
      </c>
      <c r="J12" s="79"/>
      <c r="K12" s="172" t="str">
        <f>IF(J12="","",IF(VLOOKUP(J12,'G-7 Rivers Data'!$AK$4:$AM$9,2,FALSE)=0,"Spatial Data Missing",VLOOKUP(J12,'G-7 Rivers Data'!$AK$4:$AM$9,2,FALSE)))</f>
        <v/>
      </c>
      <c r="L12" s="172" t="str">
        <f>IF(J12="","",IF(VLOOKUP(J12,'G-7 Rivers Data'!$AK$4:$AM$9,3,FALSE)=0,"Spatial Data Missing",VLOOKUP(J12,'G-7 Rivers Data'!$AK$4:$AM$9,3,FALSE)))</f>
        <v/>
      </c>
      <c r="M12" s="79"/>
      <c r="N12" s="172" t="str">
        <f>IF(M12="","",IF(VLOOKUP(M12,'G-7 Rivers Data'!$AA$4:$AB$7,2,FALSE)=0,"Spatial Data Missing",VLOOKUP(M12,'G-7 Rivers Data'!$AA$4:$AB$7,2,FALSE)))</f>
        <v/>
      </c>
      <c r="O12" s="90"/>
      <c r="P12" s="172" t="str">
        <f>IF(O12="","",IF(VLOOKUP(O12,'G-7 Rivers Data'!$AD$4:$AE$8,2,FALSE)=0,"Spatial Data Missing",VLOOKUP(O12,'G-7 Rivers Data'!$AD$4:$AE$8,2,FALSE)))</f>
        <v/>
      </c>
      <c r="Q12" s="177" t="str">
        <f>IF(D12="","",VLOOKUP(D12,'G-7 Rivers Data'!$B$2:$G$8,6,FALSE))</f>
        <v/>
      </c>
      <c r="R12" s="207" t="str">
        <f t="shared" si="0"/>
        <v/>
      </c>
      <c r="S12" s="44"/>
      <c r="T12" s="79"/>
      <c r="U12" s="82"/>
      <c r="V12" s="208" t="str">
        <f t="shared" si="1"/>
        <v/>
      </c>
      <c r="W12" s="208" t="str">
        <f t="shared" si="2"/>
        <v/>
      </c>
      <c r="X12" s="208" t="str">
        <f t="shared" si="3"/>
        <v/>
      </c>
      <c r="Y12" s="209" t="str">
        <f t="shared" si="4"/>
        <v/>
      </c>
      <c r="Z12" s="182"/>
      <c r="AA12" s="183"/>
      <c r="AG12" s="35">
        <f t="shared" si="5"/>
        <v>0</v>
      </c>
      <c r="AH12" s="188" t="str">
        <f t="shared" si="6"/>
        <v/>
      </c>
      <c r="AI12" s="188" t="str">
        <f t="shared" si="7"/>
        <v/>
      </c>
      <c r="AK12" s="188">
        <v>3</v>
      </c>
      <c r="AM12" s="188" t="str">
        <f t="array" ref="AM12">IFERROR(INDEX($AK$10:$AK$258, MATCH(0, IF(TRUE=$AH$10:$AH$258, COUNTIF($AM$9:$AM11, $AK$10:$AK$258), ""), 0)),"")</f>
        <v/>
      </c>
      <c r="AN12" s="188" t="str">
        <f t="array" ref="AN12">IFERROR(INDEX($AK$10:$AK$258, MATCH(0, IF(TRUE=$AI$10:$AI$258, COUNTIF($AN$9:$AN11, $AK$10:$AK$258), ""), 0)),"")</f>
        <v/>
      </c>
      <c r="AP12" s="35" t="str">
        <f>IFERROR(INDEX('G-7 Rivers Data'!$AZ$3:$AZ$7,MATCH(D12,'G-7 Rivers Data'!$AY$3:$AY$7,0)),"")</f>
        <v/>
      </c>
    </row>
    <row r="13" spans="2:42" ht="13.8" x14ac:dyDescent="0.25">
      <c r="C13" s="168">
        <v>4</v>
      </c>
      <c r="D13" s="206"/>
      <c r="E13" s="76"/>
      <c r="F13" s="171" t="str">
        <f>IF(D13="","",VLOOKUP(D13,'G-7 Rivers Data'!$B$2:$G$8,2,FALSE))</f>
        <v/>
      </c>
      <c r="G13" s="172" t="str">
        <f>IFERROR(VLOOKUP(F13,'G-7 Rivers Data'!$C$4:$D$8,2,FALSE),"")</f>
        <v/>
      </c>
      <c r="H13" s="79"/>
      <c r="I13" s="172" t="str">
        <f>IFERROR(INDEX('G-7 Rivers Data'!$H$4:$L$8,MATCH(D13,'G-7 Rivers Data'!$B$4:$B$8,0),MATCH(H13,'G-7 Rivers Data'!$H$3:$L$3,0)),"")</f>
        <v/>
      </c>
      <c r="J13" s="79"/>
      <c r="K13" s="172" t="str">
        <f>IF(J13="","",IF(VLOOKUP(J13,'G-7 Rivers Data'!$AK$4:$AM$9,2,FALSE)=0,"Spatial Data Missing",VLOOKUP(J13,'G-7 Rivers Data'!$AK$4:$AM$9,2,FALSE)))</f>
        <v/>
      </c>
      <c r="L13" s="172" t="str">
        <f>IF(J13="","",IF(VLOOKUP(J13,'G-7 Rivers Data'!$AK$4:$AM$9,3,FALSE)=0,"Spatial Data Missing",VLOOKUP(J13,'G-7 Rivers Data'!$AK$4:$AM$9,3,FALSE)))</f>
        <v/>
      </c>
      <c r="M13" s="79"/>
      <c r="N13" s="172" t="str">
        <f>IF(M13="","",IF(VLOOKUP(M13,'G-7 Rivers Data'!$AA$4:$AB$7,2,FALSE)=0,"Spatial Data Missing",VLOOKUP(M13,'G-7 Rivers Data'!$AA$4:$AB$7,2,FALSE)))</f>
        <v/>
      </c>
      <c r="O13" s="90"/>
      <c r="P13" s="172" t="str">
        <f>IF(O13="","",IF(VLOOKUP(O13,'G-7 Rivers Data'!$AD$4:$AE$8,2,FALSE)=0,"Spatial Data Missing",VLOOKUP(O13,'G-7 Rivers Data'!$AD$4:$AE$8,2,FALSE)))</f>
        <v/>
      </c>
      <c r="Q13" s="177" t="str">
        <f>IF(D13="","",VLOOKUP(D13,'G-7 Rivers Data'!$B$2:$G$8,6,FALSE))</f>
        <v/>
      </c>
      <c r="R13" s="207" t="str">
        <f t="shared" si="0"/>
        <v/>
      </c>
      <c r="S13" s="44"/>
      <c r="T13" s="79"/>
      <c r="U13" s="82"/>
      <c r="V13" s="208" t="str">
        <f t="shared" si="1"/>
        <v/>
      </c>
      <c r="W13" s="208" t="str">
        <f t="shared" si="2"/>
        <v/>
      </c>
      <c r="X13" s="208" t="str">
        <f t="shared" si="3"/>
        <v/>
      </c>
      <c r="Y13" s="209" t="str">
        <f t="shared" si="4"/>
        <v/>
      </c>
      <c r="Z13" s="182"/>
      <c r="AA13" s="183"/>
      <c r="AG13" s="35">
        <f t="shared" si="5"/>
        <v>0</v>
      </c>
      <c r="AH13" s="188" t="str">
        <f t="shared" si="6"/>
        <v/>
      </c>
      <c r="AI13" s="188" t="str">
        <f t="shared" si="7"/>
        <v/>
      </c>
      <c r="AK13" s="188">
        <v>4</v>
      </c>
      <c r="AM13" s="188" t="str">
        <f t="array" ref="AM13">IFERROR(INDEX($AK$10:$AK$258, MATCH(0, IF(TRUE=$AH$10:$AH$258, COUNTIF($AM$9:$AM12, $AK$10:$AK$258), ""), 0)),"")</f>
        <v/>
      </c>
      <c r="AN13" s="188" t="str">
        <f t="array" ref="AN13">IFERROR(INDEX($AK$10:$AK$258, MATCH(0, IF(TRUE=$AI$10:$AI$258, COUNTIF($AN$9:$AN12, $AK$10:$AK$258), ""), 0)),"")</f>
        <v/>
      </c>
      <c r="AP13" s="35" t="str">
        <f>IFERROR(INDEX('G-7 Rivers Data'!$AZ$3:$AZ$7,MATCH(D13,'G-7 Rivers Data'!$AY$3:$AY$7,0)),"")</f>
        <v/>
      </c>
    </row>
    <row r="14" spans="2:42" ht="13.8" x14ac:dyDescent="0.25">
      <c r="C14" s="168">
        <v>5</v>
      </c>
      <c r="D14" s="212"/>
      <c r="E14" s="213"/>
      <c r="F14" s="171" t="str">
        <f>IF(D14="","",VLOOKUP(D14,'G-7 Rivers Data'!$B$2:$G$8,2,FALSE))</f>
        <v/>
      </c>
      <c r="G14" s="172" t="str">
        <f>IFERROR(VLOOKUP(F14,'G-7 Rivers Data'!$C$4:$D$8,2,FALSE),"")</f>
        <v/>
      </c>
      <c r="H14" s="173"/>
      <c r="I14" s="172" t="str">
        <f>IFERROR(INDEX('G-7 Rivers Data'!$H$4:$L$8,MATCH(D14,'G-7 Rivers Data'!$B$4:$B$8,0),MATCH(H14,'G-7 Rivers Data'!$H$3:$L$3,0)),"")</f>
        <v/>
      </c>
      <c r="J14" s="79"/>
      <c r="K14" s="172" t="str">
        <f>IF(J14="","",IF(VLOOKUP(J14,'G-7 Rivers Data'!$AK$4:$AM$9,2,FALSE)=0,"Spatial Data Missing",VLOOKUP(J14,'G-7 Rivers Data'!$AK$4:$AM$9,2,FALSE)))</f>
        <v/>
      </c>
      <c r="L14" s="172" t="str">
        <f>IF(J14="","",IF(VLOOKUP(J14,'G-7 Rivers Data'!$AK$4:$AM$9,3,FALSE)=0,"Spatial Data Missing",VLOOKUP(J14,'G-7 Rivers Data'!$AK$4:$AM$9,3,FALSE)))</f>
        <v/>
      </c>
      <c r="M14" s="79"/>
      <c r="N14" s="172" t="str">
        <f>IF(M14="","",IF(VLOOKUP(M14,'G-7 Rivers Data'!$AA$4:$AB$7,2,FALSE)=0,"Spatial Data Missing",VLOOKUP(M14,'G-7 Rivers Data'!$AA$4:$AB$7,2,FALSE)))</f>
        <v/>
      </c>
      <c r="O14" s="90"/>
      <c r="P14" s="172" t="str">
        <f>IF(O14="","",IF(VLOOKUP(O14,'G-7 Rivers Data'!$AD$4:$AE$8,2,FALSE)=0,"Spatial Data Missing",VLOOKUP(O14,'G-7 Rivers Data'!$AD$4:$AE$8,2,FALSE)))</f>
        <v/>
      </c>
      <c r="Q14" s="177" t="str">
        <f>IF(D14="","",VLOOKUP(D14,'G-7 Rivers Data'!$B$2:$G$8,6,FALSE))</f>
        <v/>
      </c>
      <c r="R14" s="207" t="str">
        <f t="shared" si="0"/>
        <v/>
      </c>
      <c r="S14" s="44"/>
      <c r="T14" s="79"/>
      <c r="U14" s="82"/>
      <c r="V14" s="208" t="str">
        <f t="shared" si="1"/>
        <v/>
      </c>
      <c r="W14" s="208" t="str">
        <f t="shared" si="2"/>
        <v/>
      </c>
      <c r="X14" s="208" t="str">
        <f t="shared" si="3"/>
        <v/>
      </c>
      <c r="Y14" s="209" t="str">
        <f t="shared" si="4"/>
        <v/>
      </c>
      <c r="Z14" s="182"/>
      <c r="AA14" s="183"/>
      <c r="AG14" s="35">
        <f t="shared" si="5"/>
        <v>0</v>
      </c>
      <c r="AH14" s="188" t="str">
        <f t="shared" si="6"/>
        <v/>
      </c>
      <c r="AI14" s="188" t="str">
        <f t="shared" si="7"/>
        <v/>
      </c>
      <c r="AK14" s="188">
        <v>5</v>
      </c>
      <c r="AM14" s="188" t="str">
        <f t="array" ref="AM14">IFERROR(INDEX($AK$10:$AK$258, MATCH(0, IF(TRUE=$AH$10:$AH$258, COUNTIF($AM$9:$AM13, $AK$10:$AK$258), ""), 0)),"")</f>
        <v/>
      </c>
      <c r="AN14" s="188" t="str">
        <f t="array" ref="AN14">IFERROR(INDEX($AK$10:$AK$258, MATCH(0, IF(TRUE=$AI$10:$AI$258, COUNTIF($AN$9:$AN13, $AK$10:$AK$258), ""), 0)),"")</f>
        <v/>
      </c>
      <c r="AP14" s="35" t="str">
        <f>IFERROR(INDEX('G-7 Rivers Data'!$AZ$3:$AZ$7,MATCH(D14,'G-7 Rivers Data'!$AY$3:$AY$7,0)),"")</f>
        <v/>
      </c>
    </row>
    <row r="15" spans="2:42" ht="13.8" x14ac:dyDescent="0.25">
      <c r="C15" s="168">
        <v>6</v>
      </c>
      <c r="D15" s="212"/>
      <c r="E15" s="213"/>
      <c r="F15" s="171" t="str">
        <f>IF(D15="","",VLOOKUP(D15,'G-7 Rivers Data'!$B$2:$G$8,2,FALSE))</f>
        <v/>
      </c>
      <c r="G15" s="172" t="str">
        <f>IFERROR(VLOOKUP(F15,'G-7 Rivers Data'!$C$4:$D$8,2,FALSE),"")</f>
        <v/>
      </c>
      <c r="H15" s="173"/>
      <c r="I15" s="172" t="str">
        <f>IFERROR(INDEX('G-7 Rivers Data'!$H$4:$L$8,MATCH(D15,'G-7 Rivers Data'!$B$4:$B$8,0),MATCH(H15,'G-7 Rivers Data'!$H$3:$L$3,0)),"")</f>
        <v/>
      </c>
      <c r="J15" s="173"/>
      <c r="K15" s="172" t="str">
        <f>IF(J15="","",IF(VLOOKUP(J15,'G-7 Rivers Data'!$AK$4:$AM$9,2,FALSE)=0,"Spatial Data Missing",VLOOKUP(J15,'G-7 Rivers Data'!$AK$4:$AM$9,2,FALSE)))</f>
        <v/>
      </c>
      <c r="L15" s="172" t="str">
        <f>IF(J15="","",IF(VLOOKUP(J15,'G-7 Rivers Data'!$AK$4:$AM$9,3,FALSE)=0,"Spatial Data Missing",VLOOKUP(J15,'G-7 Rivers Data'!$AK$4:$AM$9,3,FALSE)))</f>
        <v/>
      </c>
      <c r="M15" s="79"/>
      <c r="N15" s="172" t="str">
        <f>IF(M15="","",IF(VLOOKUP(M15,'G-7 Rivers Data'!$AA$4:$AB$7,2,FALSE)=0,"Spatial Data Missing",VLOOKUP(M15,'G-7 Rivers Data'!$AA$4:$AB$7,2,FALSE)))</f>
        <v/>
      </c>
      <c r="O15" s="187"/>
      <c r="P15" s="172" t="str">
        <f>IF(O15="","",IF(VLOOKUP(O15,'G-7 Rivers Data'!$AD$4:$AE$8,2,FALSE)=0,"Spatial Data Missing",VLOOKUP(O15,'G-7 Rivers Data'!$AD$4:$AE$8,2,FALSE)))</f>
        <v/>
      </c>
      <c r="Q15" s="177" t="str">
        <f>IF(D15="","",VLOOKUP(D15,'G-7 Rivers Data'!$B$2:$G$8,6,FALSE))</f>
        <v/>
      </c>
      <c r="R15" s="207" t="str">
        <f t="shared" si="0"/>
        <v/>
      </c>
      <c r="S15" s="44"/>
      <c r="T15" s="173"/>
      <c r="U15" s="189"/>
      <c r="V15" s="208" t="str">
        <f t="shared" si="1"/>
        <v/>
      </c>
      <c r="W15" s="208" t="str">
        <f t="shared" si="2"/>
        <v/>
      </c>
      <c r="X15" s="208" t="str">
        <f t="shared" si="3"/>
        <v/>
      </c>
      <c r="Y15" s="209" t="str">
        <f t="shared" si="4"/>
        <v/>
      </c>
      <c r="Z15" s="182"/>
      <c r="AA15" s="183"/>
      <c r="AG15" s="35">
        <f t="shared" si="5"/>
        <v>0</v>
      </c>
      <c r="AH15" s="188" t="str">
        <f t="shared" si="6"/>
        <v/>
      </c>
      <c r="AI15" s="188" t="str">
        <f t="shared" si="7"/>
        <v/>
      </c>
      <c r="AK15" s="188">
        <v>6</v>
      </c>
      <c r="AM15" s="188" t="str">
        <f t="array" ref="AM15">IFERROR(INDEX($AK$10:$AK$258, MATCH(0, IF(TRUE=$AH$10:$AH$258, COUNTIF($AM$9:$AM14, $AK$10:$AK$258), ""), 0)),"")</f>
        <v/>
      </c>
      <c r="AN15" s="188" t="str">
        <f t="array" ref="AN15">IFERROR(INDEX($AK$10:$AK$258, MATCH(0, IF(TRUE=$AI$10:$AI$258, COUNTIF($AN$9:$AN14, $AK$10:$AK$258), ""), 0)),"")</f>
        <v/>
      </c>
      <c r="AP15" s="35" t="str">
        <f>IFERROR(INDEX('G-7 Rivers Data'!$AZ$3:$AZ$7,MATCH(D15,'G-7 Rivers Data'!$AY$3:$AY$7,0)),"")</f>
        <v/>
      </c>
    </row>
    <row r="16" spans="2:42" ht="14.4" customHeight="1" x14ac:dyDescent="0.25">
      <c r="C16" s="168">
        <v>7</v>
      </c>
      <c r="D16" s="212"/>
      <c r="E16" s="213"/>
      <c r="F16" s="171" t="str">
        <f>IF(D16="","",VLOOKUP(D16,'G-7 Rivers Data'!$B$2:$G$8,2,FALSE))</f>
        <v/>
      </c>
      <c r="G16" s="172" t="str">
        <f>IFERROR(VLOOKUP(F16,'G-7 Rivers Data'!$C$4:$D$8,2,FALSE),"")</f>
        <v/>
      </c>
      <c r="H16" s="173"/>
      <c r="I16" s="172" t="str">
        <f>IFERROR(INDEX('G-7 Rivers Data'!$H$4:$L$8,MATCH(D16,'G-7 Rivers Data'!$B$4:$B$8,0),MATCH(H16,'G-7 Rivers Data'!$H$3:$L$3,0)),"")</f>
        <v/>
      </c>
      <c r="J16" s="173"/>
      <c r="K16" s="172" t="str">
        <f>IF(J16="","",IF(VLOOKUP(J16,'G-7 Rivers Data'!$AK$4:$AM$9,2,FALSE)=0,"Spatial Data Missing",VLOOKUP(J16,'G-7 Rivers Data'!$AK$4:$AM$9,2,FALSE)))</f>
        <v/>
      </c>
      <c r="L16" s="172" t="str">
        <f>IF(J16="","",IF(VLOOKUP(J16,'G-7 Rivers Data'!$AK$4:$AM$9,3,FALSE)=0,"Spatial Data Missing",VLOOKUP(J16,'G-7 Rivers Data'!$AK$4:$AM$9,3,FALSE)))</f>
        <v/>
      </c>
      <c r="M16" s="79"/>
      <c r="N16" s="172" t="str">
        <f>IF(M16="","",IF(VLOOKUP(M16,'G-7 Rivers Data'!$AA$4:$AB$7,2,FALSE)=0,"Spatial Data Missing",VLOOKUP(M16,'G-7 Rivers Data'!$AA$4:$AB$7,2,FALSE)))</f>
        <v/>
      </c>
      <c r="O16" s="187"/>
      <c r="P16" s="172" t="str">
        <f>IF(O16="","",IF(VLOOKUP(O16,'G-7 Rivers Data'!$AD$4:$AE$8,2,FALSE)=0,"Spatial Data Missing",VLOOKUP(O16,'G-7 Rivers Data'!$AD$4:$AE$8,2,FALSE)))</f>
        <v/>
      </c>
      <c r="Q16" s="177" t="str">
        <f>IF(D16="","",VLOOKUP(D16,'G-7 Rivers Data'!$B$2:$G$8,6,FALSE))</f>
        <v/>
      </c>
      <c r="R16" s="207" t="str">
        <f t="shared" si="0"/>
        <v/>
      </c>
      <c r="S16" s="44"/>
      <c r="T16" s="173"/>
      <c r="U16" s="189"/>
      <c r="V16" s="208" t="str">
        <f t="shared" si="1"/>
        <v/>
      </c>
      <c r="W16" s="208" t="str">
        <f t="shared" si="2"/>
        <v/>
      </c>
      <c r="X16" s="208" t="str">
        <f t="shared" si="3"/>
        <v/>
      </c>
      <c r="Y16" s="209" t="str">
        <f t="shared" si="4"/>
        <v/>
      </c>
      <c r="Z16" s="182"/>
      <c r="AA16" s="183"/>
      <c r="AG16" s="35">
        <f t="shared" si="5"/>
        <v>0</v>
      </c>
      <c r="AH16" s="188" t="str">
        <f t="shared" si="6"/>
        <v/>
      </c>
      <c r="AI16" s="188" t="str">
        <f t="shared" si="7"/>
        <v/>
      </c>
      <c r="AK16" s="188">
        <v>7</v>
      </c>
      <c r="AM16" s="188" t="str">
        <f t="array" ref="AM16">IFERROR(INDEX($AK$10:$AK$258, MATCH(0, IF(TRUE=$AH$10:$AH$258, COUNTIF($AM$9:$AM15, $AK$10:$AK$258), ""), 0)),"")</f>
        <v/>
      </c>
      <c r="AN16" s="188" t="str">
        <f t="array" ref="AN16">IFERROR(INDEX($AK$10:$AK$258, MATCH(0, IF(TRUE=$AI$10:$AI$258, COUNTIF($AN$9:$AN15, $AK$10:$AK$258), ""), 0)),"")</f>
        <v/>
      </c>
      <c r="AP16" s="35" t="str">
        <f>IFERROR(INDEX('G-7 Rivers Data'!$AZ$3:$AZ$7,MATCH(D16,'G-7 Rivers Data'!$AY$3:$AY$7,0)),"")</f>
        <v/>
      </c>
    </row>
    <row r="17" spans="3:42" ht="13.8" x14ac:dyDescent="0.25">
      <c r="C17" s="168">
        <v>8</v>
      </c>
      <c r="D17" s="212"/>
      <c r="E17" s="213"/>
      <c r="F17" s="171" t="str">
        <f>IF(D17="","",VLOOKUP(D17,'G-7 Rivers Data'!$B$2:$G$8,2,FALSE))</f>
        <v/>
      </c>
      <c r="G17" s="172" t="str">
        <f>IFERROR(VLOOKUP(F17,'G-7 Rivers Data'!$C$4:$D$8,2,FALSE),"")</f>
        <v/>
      </c>
      <c r="H17" s="173"/>
      <c r="I17" s="172" t="str">
        <f>IFERROR(INDEX('G-7 Rivers Data'!$H$4:$L$8,MATCH(D17,'G-7 Rivers Data'!$B$4:$B$8,0),MATCH(H17,'G-7 Rivers Data'!$H$3:$L$3,0)),"")</f>
        <v/>
      </c>
      <c r="J17" s="173"/>
      <c r="K17" s="172" t="str">
        <f>IF(J17="","",IF(VLOOKUP(J17,'G-7 Rivers Data'!$AK$4:$AM$9,2,FALSE)=0,"Spatial Data Missing",VLOOKUP(J17,'G-7 Rivers Data'!$AK$4:$AM$9,2,FALSE)))</f>
        <v/>
      </c>
      <c r="L17" s="172" t="str">
        <f>IF(J17="","",IF(VLOOKUP(J17,'G-7 Rivers Data'!$AK$4:$AM$9,3,FALSE)=0,"Spatial Data Missing",VLOOKUP(J17,'G-7 Rivers Data'!$AK$4:$AM$9,3,FALSE)))</f>
        <v/>
      </c>
      <c r="M17" s="79"/>
      <c r="N17" s="172" t="str">
        <f>IF(M17="","",IF(VLOOKUP(M17,'G-7 Rivers Data'!$AA$4:$AB$7,2,FALSE)=0,"Spatial Data Missing",VLOOKUP(M17,'G-7 Rivers Data'!$AA$4:$AB$7,2,FALSE)))</f>
        <v/>
      </c>
      <c r="O17" s="187"/>
      <c r="P17" s="172" t="str">
        <f>IF(O17="","",IF(VLOOKUP(O17,'G-7 Rivers Data'!$AD$4:$AE$8,2,FALSE)=0,"Spatial Data Missing",VLOOKUP(O17,'G-7 Rivers Data'!$AD$4:$AE$8,2,FALSE)))</f>
        <v/>
      </c>
      <c r="Q17" s="177" t="str">
        <f>IF(D17="","",VLOOKUP(D17,'G-7 Rivers Data'!$B$2:$G$8,6,FALSE))</f>
        <v/>
      </c>
      <c r="R17" s="207" t="str">
        <f t="shared" si="0"/>
        <v/>
      </c>
      <c r="S17" s="44"/>
      <c r="T17" s="173"/>
      <c r="U17" s="189"/>
      <c r="V17" s="208" t="str">
        <f t="shared" si="1"/>
        <v/>
      </c>
      <c r="W17" s="208" t="str">
        <f t="shared" si="2"/>
        <v/>
      </c>
      <c r="X17" s="208" t="str">
        <f t="shared" si="3"/>
        <v/>
      </c>
      <c r="Y17" s="209" t="str">
        <f t="shared" si="4"/>
        <v/>
      </c>
      <c r="Z17" s="182"/>
      <c r="AA17" s="183"/>
      <c r="AG17" s="35">
        <f t="shared" si="5"/>
        <v>0</v>
      </c>
      <c r="AH17" s="188" t="str">
        <f t="shared" si="6"/>
        <v/>
      </c>
      <c r="AI17" s="188" t="str">
        <f t="shared" si="7"/>
        <v/>
      </c>
      <c r="AK17" s="188">
        <v>8</v>
      </c>
      <c r="AM17" s="188" t="str">
        <f t="array" ref="AM17">IFERROR(INDEX($AK$10:$AK$258, MATCH(0, IF(TRUE=$AH$10:$AH$258, COUNTIF($AM$9:$AM16, $AK$10:$AK$258), ""), 0)),"")</f>
        <v/>
      </c>
      <c r="AN17" s="188" t="str">
        <f t="array" ref="AN17">IFERROR(INDEX($AK$10:$AK$258, MATCH(0, IF(TRUE=$AI$10:$AI$258, COUNTIF($AN$9:$AN16, $AK$10:$AK$258), ""), 0)),"")</f>
        <v/>
      </c>
      <c r="AP17" s="35" t="str">
        <f>IFERROR(INDEX('G-7 Rivers Data'!$AZ$3:$AZ$7,MATCH(D17,'G-7 Rivers Data'!$AY$3:$AY$7,0)),"")</f>
        <v/>
      </c>
    </row>
    <row r="18" spans="3:42" ht="13.8" x14ac:dyDescent="0.25">
      <c r="C18" s="168">
        <v>9</v>
      </c>
      <c r="D18" s="212"/>
      <c r="E18" s="213"/>
      <c r="F18" s="171" t="str">
        <f>IF(D18="","",VLOOKUP(D18,'G-7 Rivers Data'!$B$2:$G$8,2,FALSE))</f>
        <v/>
      </c>
      <c r="G18" s="172" t="str">
        <f>IFERROR(VLOOKUP(F18,'G-7 Rivers Data'!$C$4:$D$8,2,FALSE),"")</f>
        <v/>
      </c>
      <c r="H18" s="173"/>
      <c r="I18" s="172" t="str">
        <f>IFERROR(INDEX('G-7 Rivers Data'!$H$4:$L$8,MATCH(D18,'G-7 Rivers Data'!$B$4:$B$8,0),MATCH(H18,'G-7 Rivers Data'!$H$3:$L$3,0)),"")</f>
        <v/>
      </c>
      <c r="J18" s="173"/>
      <c r="K18" s="172" t="str">
        <f>IF(J18="","",IF(VLOOKUP(J18,'G-7 Rivers Data'!$AK$4:$AM$9,2,FALSE)=0,"Spatial Data Missing",VLOOKUP(J18,'G-7 Rivers Data'!$AK$4:$AM$9,2,FALSE)))</f>
        <v/>
      </c>
      <c r="L18" s="172" t="str">
        <f>IF(J18="","",IF(VLOOKUP(J18,'G-7 Rivers Data'!$AK$4:$AM$9,3,FALSE)=0,"Spatial Data Missing",VLOOKUP(J18,'G-7 Rivers Data'!$AK$4:$AM$9,3,FALSE)))</f>
        <v/>
      </c>
      <c r="M18" s="79"/>
      <c r="N18" s="172" t="str">
        <f>IF(M18="","",IF(VLOOKUP(M18,'G-7 Rivers Data'!$AA$4:$AB$7,2,FALSE)=0,"Spatial Data Missing",VLOOKUP(M18,'G-7 Rivers Data'!$AA$4:$AB$7,2,FALSE)))</f>
        <v/>
      </c>
      <c r="O18" s="187"/>
      <c r="P18" s="172" t="str">
        <f>IF(O18="","",IF(VLOOKUP(O18,'G-7 Rivers Data'!$AD$4:$AE$8,2,FALSE)=0,"Spatial Data Missing",VLOOKUP(O18,'G-7 Rivers Data'!$AD$4:$AE$8,2,FALSE)))</f>
        <v/>
      </c>
      <c r="Q18" s="177" t="str">
        <f>IF(D18="","",VLOOKUP(D18,'G-7 Rivers Data'!$B$2:$G$8,6,FALSE))</f>
        <v/>
      </c>
      <c r="R18" s="207" t="str">
        <f t="shared" si="0"/>
        <v/>
      </c>
      <c r="S18" s="44"/>
      <c r="T18" s="173"/>
      <c r="U18" s="189"/>
      <c r="V18" s="208" t="str">
        <f t="shared" si="1"/>
        <v/>
      </c>
      <c r="W18" s="208" t="str">
        <f t="shared" si="2"/>
        <v/>
      </c>
      <c r="X18" s="208" t="str">
        <f t="shared" si="3"/>
        <v/>
      </c>
      <c r="Y18" s="209" t="str">
        <f t="shared" si="4"/>
        <v/>
      </c>
      <c r="Z18" s="182"/>
      <c r="AA18" s="183"/>
      <c r="AG18" s="35">
        <f t="shared" si="5"/>
        <v>0</v>
      </c>
      <c r="AH18" s="188" t="str">
        <f t="shared" si="6"/>
        <v/>
      </c>
      <c r="AI18" s="188" t="str">
        <f t="shared" si="7"/>
        <v/>
      </c>
      <c r="AK18" s="188">
        <v>9</v>
      </c>
      <c r="AM18" s="188" t="str">
        <f t="array" ref="AM18">IFERROR(INDEX($AK$10:$AK$258, MATCH(0, IF(TRUE=$AH$10:$AH$258, COUNTIF($AM$9:$AM17, $AK$10:$AK$258), ""), 0)),"")</f>
        <v/>
      </c>
      <c r="AN18" s="188" t="str">
        <f t="array" ref="AN18">IFERROR(INDEX($AK$10:$AK$258, MATCH(0, IF(TRUE=$AI$10:$AI$258, COUNTIF($AN$9:$AN17, $AK$10:$AK$258), ""), 0)),"")</f>
        <v/>
      </c>
      <c r="AP18" s="35" t="str">
        <f>IFERROR(INDEX('G-7 Rivers Data'!$AZ$3:$AZ$7,MATCH(D18,'G-7 Rivers Data'!$AY$3:$AY$7,0)),"")</f>
        <v/>
      </c>
    </row>
    <row r="19" spans="3:42" ht="15" customHeight="1" x14ac:dyDescent="0.25">
      <c r="C19" s="168">
        <v>10</v>
      </c>
      <c r="D19" s="212"/>
      <c r="E19" s="213"/>
      <c r="F19" s="171" t="str">
        <f>IF(D19="","",VLOOKUP(D19,'G-7 Rivers Data'!$B$2:$G$8,2,FALSE))</f>
        <v/>
      </c>
      <c r="G19" s="172" t="str">
        <f>IFERROR(VLOOKUP(F19,'G-7 Rivers Data'!$C$4:$D$8,2,FALSE),"")</f>
        <v/>
      </c>
      <c r="H19" s="173"/>
      <c r="I19" s="172" t="str">
        <f>IFERROR(INDEX('G-7 Rivers Data'!$H$4:$L$8,MATCH(D19,'G-7 Rivers Data'!$B$4:$B$8,0),MATCH(H19,'G-7 Rivers Data'!$H$3:$L$3,0)),"")</f>
        <v/>
      </c>
      <c r="J19" s="173"/>
      <c r="K19" s="172" t="str">
        <f>IF(J19="","",IF(VLOOKUP(J19,'G-7 Rivers Data'!$AK$4:$AM$9,2,FALSE)=0,"Spatial Data Missing",VLOOKUP(J19,'G-7 Rivers Data'!$AK$4:$AM$9,2,FALSE)))</f>
        <v/>
      </c>
      <c r="L19" s="172" t="str">
        <f>IF(J19="","",IF(VLOOKUP(J19,'G-7 Rivers Data'!$AK$4:$AM$9,3,FALSE)=0,"Spatial Data Missing",VLOOKUP(J19,'G-7 Rivers Data'!$AK$4:$AM$9,3,FALSE)))</f>
        <v/>
      </c>
      <c r="M19" s="79"/>
      <c r="N19" s="172" t="str">
        <f>IF(M19="","",IF(VLOOKUP(M19,'G-7 Rivers Data'!$AA$4:$AB$7,2,FALSE)=0,"Spatial Data Missing",VLOOKUP(M19,'G-7 Rivers Data'!$AA$4:$AB$7,2,FALSE)))</f>
        <v/>
      </c>
      <c r="O19" s="187"/>
      <c r="P19" s="172" t="str">
        <f>IF(O19="","",IF(VLOOKUP(O19,'G-7 Rivers Data'!$AD$4:$AE$8,2,FALSE)=0,"Spatial Data Missing",VLOOKUP(O19,'G-7 Rivers Data'!$AD$4:$AE$8,2,FALSE)))</f>
        <v/>
      </c>
      <c r="Q19" s="177" t="str">
        <f>IF(D19="","",VLOOKUP(D19,'G-7 Rivers Data'!$B$2:$G$8,6,FALSE))</f>
        <v/>
      </c>
      <c r="R19" s="207" t="str">
        <f t="shared" si="0"/>
        <v/>
      </c>
      <c r="S19" s="44"/>
      <c r="T19" s="173"/>
      <c r="U19" s="189"/>
      <c r="V19" s="208" t="str">
        <f t="shared" si="1"/>
        <v/>
      </c>
      <c r="W19" s="208" t="str">
        <f t="shared" si="2"/>
        <v/>
      </c>
      <c r="X19" s="208" t="str">
        <f t="shared" si="3"/>
        <v/>
      </c>
      <c r="Y19" s="209" t="str">
        <f t="shared" si="4"/>
        <v/>
      </c>
      <c r="Z19" s="182"/>
      <c r="AA19" s="183"/>
      <c r="AG19" s="35">
        <f t="shared" si="5"/>
        <v>0</v>
      </c>
      <c r="AH19" s="188" t="str">
        <f t="shared" si="6"/>
        <v/>
      </c>
      <c r="AI19" s="188" t="str">
        <f t="shared" si="7"/>
        <v/>
      </c>
      <c r="AK19" s="188">
        <v>10</v>
      </c>
      <c r="AM19" s="188" t="str">
        <f t="array" ref="AM19">IFERROR(INDEX($AK$10:$AK$258, MATCH(0, IF(TRUE=$AH$10:$AH$258, COUNTIF($AM$9:$AM18, $AK$10:$AK$258), ""), 0)),"")</f>
        <v/>
      </c>
      <c r="AN19" s="188" t="str">
        <f t="array" ref="AN19">IFERROR(INDEX($AK$10:$AK$258, MATCH(0, IF(TRUE=$AI$10:$AI$258, COUNTIF($AN$9:$AN18, $AK$10:$AK$258), ""), 0)),"")</f>
        <v/>
      </c>
      <c r="AP19" s="35" t="str">
        <f>IFERROR(INDEX('G-7 Rivers Data'!$AZ$3:$AZ$7,MATCH(D19,'G-7 Rivers Data'!$AY$3:$AY$7,0)),"")</f>
        <v/>
      </c>
    </row>
    <row r="20" spans="3:42" ht="13.8" x14ac:dyDescent="0.25">
      <c r="C20" s="168">
        <v>11</v>
      </c>
      <c r="D20" s="212"/>
      <c r="E20" s="213"/>
      <c r="F20" s="171" t="str">
        <f>IF(D20="","",VLOOKUP(D20,'G-7 Rivers Data'!$B$2:$G$8,2,FALSE))</f>
        <v/>
      </c>
      <c r="G20" s="172" t="str">
        <f>IFERROR(VLOOKUP(F20,'G-7 Rivers Data'!$C$4:$D$8,2,FALSE),"")</f>
        <v/>
      </c>
      <c r="H20" s="173"/>
      <c r="I20" s="172" t="str">
        <f>IFERROR(INDEX('G-7 Rivers Data'!$H$4:$L$8,MATCH(D20,'G-7 Rivers Data'!$B$4:$B$8,0),MATCH(H20,'G-7 Rivers Data'!$H$3:$L$3,0)),"")</f>
        <v/>
      </c>
      <c r="J20" s="173"/>
      <c r="K20" s="172" t="str">
        <f>IF(J20="","",IF(VLOOKUP(J20,'G-7 Rivers Data'!$AK$4:$AM$9,2,FALSE)=0,"Spatial Data Missing",VLOOKUP(J20,'G-7 Rivers Data'!$AK$4:$AM$9,2,FALSE)))</f>
        <v/>
      </c>
      <c r="L20" s="172" t="str">
        <f>IF(J20="","",IF(VLOOKUP(J20,'G-7 Rivers Data'!$AK$4:$AM$9,3,FALSE)=0,"Spatial Data Missing",VLOOKUP(J20,'G-7 Rivers Data'!$AK$4:$AM$9,3,FALSE)))</f>
        <v/>
      </c>
      <c r="M20" s="79"/>
      <c r="N20" s="172" t="str">
        <f>IF(M20="","",IF(VLOOKUP(M20,'G-7 Rivers Data'!$AA$4:$AB$7,2,FALSE)=0,"Spatial Data Missing",VLOOKUP(M20,'G-7 Rivers Data'!$AA$4:$AB$7,2,FALSE)))</f>
        <v/>
      </c>
      <c r="O20" s="187"/>
      <c r="P20" s="172" t="str">
        <f>IF(O20="","",IF(VLOOKUP(O20,'G-7 Rivers Data'!$AD$4:$AE$8,2,FALSE)=0,"Spatial Data Missing",VLOOKUP(O20,'G-7 Rivers Data'!$AD$4:$AE$8,2,FALSE)))</f>
        <v/>
      </c>
      <c r="Q20" s="177" t="str">
        <f>IF(D20="","",VLOOKUP(D20,'G-7 Rivers Data'!$B$2:$G$8,6,FALSE))</f>
        <v/>
      </c>
      <c r="R20" s="207" t="str">
        <f t="shared" si="0"/>
        <v/>
      </c>
      <c r="S20" s="44"/>
      <c r="T20" s="173"/>
      <c r="U20" s="189"/>
      <c r="V20" s="208" t="str">
        <f t="shared" si="1"/>
        <v/>
      </c>
      <c r="W20" s="208" t="str">
        <f t="shared" si="2"/>
        <v/>
      </c>
      <c r="X20" s="208" t="str">
        <f t="shared" si="3"/>
        <v/>
      </c>
      <c r="Y20" s="209" t="str">
        <f t="shared" si="4"/>
        <v/>
      </c>
      <c r="Z20" s="182"/>
      <c r="AA20" s="183"/>
      <c r="AG20" s="35">
        <f t="shared" si="5"/>
        <v>0</v>
      </c>
      <c r="AH20" s="188" t="str">
        <f t="shared" si="6"/>
        <v/>
      </c>
      <c r="AI20" s="188" t="str">
        <f t="shared" si="7"/>
        <v/>
      </c>
      <c r="AK20" s="188">
        <v>11</v>
      </c>
      <c r="AM20" s="188" t="str">
        <f t="array" ref="AM20">IFERROR(INDEX($AK$10:$AK$258, MATCH(0, IF(TRUE=$AH$10:$AH$258, COUNTIF($AM$9:$AM19, $AK$10:$AK$258), ""), 0)),"")</f>
        <v/>
      </c>
      <c r="AN20" s="188" t="str">
        <f t="array" ref="AN20">IFERROR(INDEX($AK$10:$AK$258, MATCH(0, IF(TRUE=$AI$10:$AI$258, COUNTIF($AN$9:$AN19, $AK$10:$AK$258), ""), 0)),"")</f>
        <v/>
      </c>
      <c r="AP20" s="35" t="str">
        <f>IFERROR(INDEX('G-7 Rivers Data'!$AZ$3:$AZ$7,MATCH(D20,'G-7 Rivers Data'!$AY$3:$AY$7,0)),"")</f>
        <v/>
      </c>
    </row>
    <row r="21" spans="3:42" ht="13.8" x14ac:dyDescent="0.25">
      <c r="C21" s="168">
        <v>12</v>
      </c>
      <c r="D21" s="212"/>
      <c r="E21" s="213"/>
      <c r="F21" s="171" t="str">
        <f>IF(D21="","",VLOOKUP(D21,'G-7 Rivers Data'!$B$2:$G$8,2,FALSE))</f>
        <v/>
      </c>
      <c r="G21" s="172" t="str">
        <f>IFERROR(VLOOKUP(F21,'G-7 Rivers Data'!$C$4:$D$8,2,FALSE),"")</f>
        <v/>
      </c>
      <c r="H21" s="173"/>
      <c r="I21" s="172" t="str">
        <f>IFERROR(INDEX('G-7 Rivers Data'!$H$4:$L$8,MATCH(D21,'G-7 Rivers Data'!$B$4:$B$8,0),MATCH(H21,'G-7 Rivers Data'!$H$3:$L$3,0)),"")</f>
        <v/>
      </c>
      <c r="J21" s="173"/>
      <c r="K21" s="172" t="str">
        <f>IF(J21="","",IF(VLOOKUP(J21,'G-7 Rivers Data'!$AK$4:$AM$9,2,FALSE)=0,"Spatial Data Missing",VLOOKUP(J21,'G-7 Rivers Data'!$AK$4:$AM$9,2,FALSE)))</f>
        <v/>
      </c>
      <c r="L21" s="172" t="str">
        <f>IF(J21="","",IF(VLOOKUP(J21,'G-7 Rivers Data'!$AK$4:$AM$9,3,FALSE)=0,"Spatial Data Missing",VLOOKUP(J21,'G-7 Rivers Data'!$AK$4:$AM$9,3,FALSE)))</f>
        <v/>
      </c>
      <c r="M21" s="79"/>
      <c r="N21" s="172" t="str">
        <f>IF(M21="","",IF(VLOOKUP(M21,'G-7 Rivers Data'!$AA$4:$AB$7,2,FALSE)=0,"Spatial Data Missing",VLOOKUP(M21,'G-7 Rivers Data'!$AA$4:$AB$7,2,FALSE)))</f>
        <v/>
      </c>
      <c r="O21" s="187"/>
      <c r="P21" s="172" t="str">
        <f>IF(O21="","",IF(VLOOKUP(O21,'G-7 Rivers Data'!$AD$4:$AE$8,2,FALSE)=0,"Spatial Data Missing",VLOOKUP(O21,'G-7 Rivers Data'!$AD$4:$AE$8,2,FALSE)))</f>
        <v/>
      </c>
      <c r="Q21" s="177" t="str">
        <f>IF(D21="","",VLOOKUP(D21,'G-7 Rivers Data'!$B$2:$G$8,6,FALSE))</f>
        <v/>
      </c>
      <c r="R21" s="207" t="str">
        <f t="shared" si="0"/>
        <v/>
      </c>
      <c r="S21" s="44"/>
      <c r="T21" s="173"/>
      <c r="U21" s="189"/>
      <c r="V21" s="208" t="str">
        <f t="shared" si="1"/>
        <v/>
      </c>
      <c r="W21" s="208" t="str">
        <f t="shared" si="2"/>
        <v/>
      </c>
      <c r="X21" s="208" t="str">
        <f t="shared" si="3"/>
        <v/>
      </c>
      <c r="Y21" s="209" t="str">
        <f t="shared" si="4"/>
        <v/>
      </c>
      <c r="Z21" s="182"/>
      <c r="AA21" s="183"/>
      <c r="AG21" s="35">
        <f t="shared" si="5"/>
        <v>0</v>
      </c>
      <c r="AH21" s="188" t="str">
        <f t="shared" si="6"/>
        <v/>
      </c>
      <c r="AI21" s="188" t="str">
        <f t="shared" si="7"/>
        <v/>
      </c>
      <c r="AK21" s="188">
        <v>12</v>
      </c>
      <c r="AM21" s="188" t="str">
        <f t="array" ref="AM21">IFERROR(INDEX($AK$10:$AK$258, MATCH(0, IF(TRUE=$AH$10:$AH$258, COUNTIF($AM$9:$AM20, $AK$10:$AK$258), ""), 0)),"")</f>
        <v/>
      </c>
      <c r="AN21" s="188" t="str">
        <f t="array" ref="AN21">IFERROR(INDEX($AK$10:$AK$258, MATCH(0, IF(TRUE=$AI$10:$AI$258, COUNTIF($AN$9:$AN20, $AK$10:$AK$258), ""), 0)),"")</f>
        <v/>
      </c>
      <c r="AP21" s="35" t="str">
        <f>IFERROR(INDEX('G-7 Rivers Data'!$AZ$3:$AZ$7,MATCH(D21,'G-7 Rivers Data'!$AY$3:$AY$7,0)),"")</f>
        <v/>
      </c>
    </row>
    <row r="22" spans="3:42" ht="13.8" x14ac:dyDescent="0.25">
      <c r="C22" s="168">
        <v>13</v>
      </c>
      <c r="D22" s="212"/>
      <c r="E22" s="213"/>
      <c r="F22" s="171" t="str">
        <f>IF(D22="","",VLOOKUP(D22,'G-7 Rivers Data'!$B$2:$G$8,2,FALSE))</f>
        <v/>
      </c>
      <c r="G22" s="172" t="str">
        <f>IFERROR(VLOOKUP(F22,'G-7 Rivers Data'!$C$4:$D$8,2,FALSE),"")</f>
        <v/>
      </c>
      <c r="H22" s="173"/>
      <c r="I22" s="172" t="str">
        <f>IFERROR(INDEX('G-7 Rivers Data'!$H$4:$L$8,MATCH(D22,'G-7 Rivers Data'!$B$4:$B$8,0),MATCH(H22,'G-7 Rivers Data'!$H$3:$L$3,0)),"")</f>
        <v/>
      </c>
      <c r="J22" s="173"/>
      <c r="K22" s="172" t="str">
        <f>IF(J22="","",IF(VLOOKUP(J22,'G-7 Rivers Data'!$AK$4:$AM$9,2,FALSE)=0,"Spatial Data Missing",VLOOKUP(J22,'G-7 Rivers Data'!$AK$4:$AM$9,2,FALSE)))</f>
        <v/>
      </c>
      <c r="L22" s="172" t="str">
        <f>IF(J22="","",IF(VLOOKUP(J22,'G-7 Rivers Data'!$AK$4:$AM$9,3,FALSE)=0,"Spatial Data Missing",VLOOKUP(J22,'G-7 Rivers Data'!$AK$4:$AM$9,3,FALSE)))</f>
        <v/>
      </c>
      <c r="M22" s="79"/>
      <c r="N22" s="172" t="str">
        <f>IF(M22="","",IF(VLOOKUP(M22,'G-7 Rivers Data'!$AA$4:$AB$7,2,FALSE)=0,"Spatial Data Missing",VLOOKUP(M22,'G-7 Rivers Data'!$AA$4:$AB$7,2,FALSE)))</f>
        <v/>
      </c>
      <c r="O22" s="187"/>
      <c r="P22" s="172" t="str">
        <f>IF(O22="","",IF(VLOOKUP(O22,'G-7 Rivers Data'!$AD$4:$AE$8,2,FALSE)=0,"Spatial Data Missing",VLOOKUP(O22,'G-7 Rivers Data'!$AD$4:$AE$8,2,FALSE)))</f>
        <v/>
      </c>
      <c r="Q22" s="177" t="str">
        <f>IF(D22="","",VLOOKUP(D22,'G-7 Rivers Data'!$B$2:$G$8,6,FALSE))</f>
        <v/>
      </c>
      <c r="R22" s="207" t="str">
        <f t="shared" si="0"/>
        <v/>
      </c>
      <c r="S22" s="44"/>
      <c r="T22" s="173"/>
      <c r="U22" s="189"/>
      <c r="V22" s="208" t="str">
        <f t="shared" si="1"/>
        <v/>
      </c>
      <c r="W22" s="208" t="str">
        <f t="shared" si="2"/>
        <v/>
      </c>
      <c r="X22" s="208" t="str">
        <f t="shared" si="3"/>
        <v/>
      </c>
      <c r="Y22" s="209" t="str">
        <f t="shared" si="4"/>
        <v/>
      </c>
      <c r="Z22" s="182"/>
      <c r="AA22" s="183"/>
      <c r="AG22" s="35">
        <f t="shared" si="5"/>
        <v>0</v>
      </c>
      <c r="AH22" s="188" t="str">
        <f t="shared" si="6"/>
        <v/>
      </c>
      <c r="AI22" s="188" t="str">
        <f t="shared" si="7"/>
        <v/>
      </c>
      <c r="AK22" s="188">
        <v>13</v>
      </c>
      <c r="AM22" s="188" t="str">
        <f t="array" ref="AM22">IFERROR(INDEX($AK$10:$AK$258, MATCH(0, IF(TRUE=$AH$10:$AH$258, COUNTIF($AM$9:$AM21, $AK$10:$AK$258), ""), 0)),"")</f>
        <v/>
      </c>
      <c r="AN22" s="188" t="str">
        <f t="array" ref="AN22">IFERROR(INDEX($AK$10:$AK$258, MATCH(0, IF(TRUE=$AI$10:$AI$258, COUNTIF($AN$9:$AN21, $AK$10:$AK$258), ""), 0)),"")</f>
        <v/>
      </c>
      <c r="AP22" s="35" t="str">
        <f>IFERROR(INDEX('G-7 Rivers Data'!$AZ$3:$AZ$7,MATCH(D22,'G-7 Rivers Data'!$AY$3:$AY$7,0)),"")</f>
        <v/>
      </c>
    </row>
    <row r="23" spans="3:42" ht="13.8" x14ac:dyDescent="0.25">
      <c r="C23" s="168">
        <v>14</v>
      </c>
      <c r="D23" s="212"/>
      <c r="E23" s="213"/>
      <c r="F23" s="171" t="str">
        <f>IF(D23="","",VLOOKUP(D23,'G-7 Rivers Data'!$B$2:$G$8,2,FALSE))</f>
        <v/>
      </c>
      <c r="G23" s="172" t="str">
        <f>IFERROR(VLOOKUP(F23,'G-7 Rivers Data'!$C$4:$D$8,2,FALSE),"")</f>
        <v/>
      </c>
      <c r="H23" s="173"/>
      <c r="I23" s="172" t="str">
        <f>IFERROR(INDEX('G-7 Rivers Data'!$H$4:$L$8,MATCH(D23,'G-7 Rivers Data'!$B$4:$B$8,0),MATCH(H23,'G-7 Rivers Data'!$H$3:$L$3,0)),"")</f>
        <v/>
      </c>
      <c r="J23" s="173"/>
      <c r="K23" s="172" t="str">
        <f>IF(J23="","",IF(VLOOKUP(J23,'G-7 Rivers Data'!$AK$4:$AM$9,2,FALSE)=0,"Spatial Data Missing",VLOOKUP(J23,'G-7 Rivers Data'!$AK$4:$AM$9,2,FALSE)))</f>
        <v/>
      </c>
      <c r="L23" s="172" t="str">
        <f>IF(J23="","",IF(VLOOKUP(J23,'G-7 Rivers Data'!$AK$4:$AM$9,3,FALSE)=0,"Spatial Data Missing",VLOOKUP(J23,'G-7 Rivers Data'!$AK$4:$AM$9,3,FALSE)))</f>
        <v/>
      </c>
      <c r="M23" s="79"/>
      <c r="N23" s="172" t="str">
        <f>IF(M23="","",IF(VLOOKUP(M23,'G-7 Rivers Data'!$AA$4:$AB$7,2,FALSE)=0,"Spatial Data Missing",VLOOKUP(M23,'G-7 Rivers Data'!$AA$4:$AB$7,2,FALSE)))</f>
        <v/>
      </c>
      <c r="O23" s="187"/>
      <c r="P23" s="172" t="str">
        <f>IF(O23="","",IF(VLOOKUP(O23,'G-7 Rivers Data'!$AD$4:$AE$8,2,FALSE)=0,"Spatial Data Missing",VLOOKUP(O23,'G-7 Rivers Data'!$AD$4:$AE$8,2,FALSE)))</f>
        <v/>
      </c>
      <c r="Q23" s="177" t="str">
        <f>IF(D23="","",VLOOKUP(D23,'G-7 Rivers Data'!$B$2:$G$8,6,FALSE))</f>
        <v/>
      </c>
      <c r="R23" s="207" t="str">
        <f t="shared" si="0"/>
        <v/>
      </c>
      <c r="S23" s="44"/>
      <c r="T23" s="173"/>
      <c r="U23" s="189"/>
      <c r="V23" s="208" t="str">
        <f t="shared" si="1"/>
        <v/>
      </c>
      <c r="W23" s="208" t="str">
        <f t="shared" si="2"/>
        <v/>
      </c>
      <c r="X23" s="208" t="str">
        <f t="shared" si="3"/>
        <v/>
      </c>
      <c r="Y23" s="209" t="str">
        <f t="shared" si="4"/>
        <v/>
      </c>
      <c r="Z23" s="182"/>
      <c r="AA23" s="183"/>
      <c r="AG23" s="35">
        <f t="shared" si="5"/>
        <v>0</v>
      </c>
      <c r="AH23" s="188" t="str">
        <f t="shared" si="6"/>
        <v/>
      </c>
      <c r="AI23" s="188" t="str">
        <f t="shared" si="7"/>
        <v/>
      </c>
      <c r="AK23" s="188">
        <v>14</v>
      </c>
      <c r="AM23" s="188" t="str">
        <f t="array" ref="AM23">IFERROR(INDEX($AK$10:$AK$258, MATCH(0, IF(TRUE=$AH$10:$AH$258, COUNTIF($AM$9:$AM22, $AK$10:$AK$258), ""), 0)),"")</f>
        <v/>
      </c>
      <c r="AN23" s="188" t="str">
        <f t="array" ref="AN23">IFERROR(INDEX($AK$10:$AK$258, MATCH(0, IF(TRUE=$AI$10:$AI$258, COUNTIF($AN$9:$AN22, $AK$10:$AK$258), ""), 0)),"")</f>
        <v/>
      </c>
      <c r="AP23" s="35" t="str">
        <f>IFERROR(INDEX('G-7 Rivers Data'!$AZ$3:$AZ$7,MATCH(D23,'G-7 Rivers Data'!$AY$3:$AY$7,0)),"")</f>
        <v/>
      </c>
    </row>
    <row r="24" spans="3:42" ht="13.8" x14ac:dyDescent="0.25">
      <c r="C24" s="168">
        <v>15</v>
      </c>
      <c r="D24" s="212"/>
      <c r="E24" s="213"/>
      <c r="F24" s="171" t="str">
        <f>IF(D24="","",VLOOKUP(D24,'G-7 Rivers Data'!$B$2:$G$8,2,FALSE))</f>
        <v/>
      </c>
      <c r="G24" s="172" t="str">
        <f>IFERROR(VLOOKUP(F24,'G-7 Rivers Data'!$C$4:$D$8,2,FALSE),"")</f>
        <v/>
      </c>
      <c r="H24" s="173"/>
      <c r="I24" s="172" t="str">
        <f>IFERROR(INDEX('G-7 Rivers Data'!$H$4:$L$8,MATCH(D24,'G-7 Rivers Data'!$B$4:$B$8,0),MATCH(H24,'G-7 Rivers Data'!$H$3:$L$3,0)),"")</f>
        <v/>
      </c>
      <c r="J24" s="173"/>
      <c r="K24" s="172" t="str">
        <f>IF(J24="","",IF(VLOOKUP(J24,'G-7 Rivers Data'!$AK$4:$AM$9,2,FALSE)=0,"Spatial Data Missing",VLOOKUP(J24,'G-7 Rivers Data'!$AK$4:$AM$9,2,FALSE)))</f>
        <v/>
      </c>
      <c r="L24" s="172" t="str">
        <f>IF(J24="","",IF(VLOOKUP(J24,'G-7 Rivers Data'!$AK$4:$AM$9,3,FALSE)=0,"Spatial Data Missing",VLOOKUP(J24,'G-7 Rivers Data'!$AK$4:$AM$9,3,FALSE)))</f>
        <v/>
      </c>
      <c r="M24" s="79"/>
      <c r="N24" s="172" t="str">
        <f>IF(M24="","",IF(VLOOKUP(M24,'G-7 Rivers Data'!$AA$4:$AB$7,2,FALSE)=0,"Spatial Data Missing",VLOOKUP(M24,'G-7 Rivers Data'!$AA$4:$AB$7,2,FALSE)))</f>
        <v/>
      </c>
      <c r="O24" s="187"/>
      <c r="P24" s="172" t="str">
        <f>IF(O24="","",IF(VLOOKUP(O24,'G-7 Rivers Data'!$AD$4:$AE$8,2,FALSE)=0,"Spatial Data Missing",VLOOKUP(O24,'G-7 Rivers Data'!$AD$4:$AE$8,2,FALSE)))</f>
        <v/>
      </c>
      <c r="Q24" s="177" t="str">
        <f>IF(D24="","",VLOOKUP(D24,'G-7 Rivers Data'!$B$2:$G$8,6,FALSE))</f>
        <v/>
      </c>
      <c r="R24" s="207" t="str">
        <f t="shared" si="0"/>
        <v/>
      </c>
      <c r="S24" s="44"/>
      <c r="T24" s="173"/>
      <c r="U24" s="189"/>
      <c r="V24" s="208" t="str">
        <f t="shared" si="1"/>
        <v/>
      </c>
      <c r="W24" s="208" t="str">
        <f t="shared" si="2"/>
        <v/>
      </c>
      <c r="X24" s="208" t="str">
        <f t="shared" si="3"/>
        <v/>
      </c>
      <c r="Y24" s="209" t="str">
        <f t="shared" si="4"/>
        <v/>
      </c>
      <c r="Z24" s="182"/>
      <c r="AA24" s="183"/>
      <c r="AG24" s="35">
        <f t="shared" si="5"/>
        <v>0</v>
      </c>
      <c r="AH24" s="188" t="str">
        <f t="shared" si="6"/>
        <v/>
      </c>
      <c r="AI24" s="188" t="str">
        <f t="shared" si="7"/>
        <v/>
      </c>
      <c r="AK24" s="188">
        <v>15</v>
      </c>
      <c r="AM24" s="188" t="str">
        <f t="array" ref="AM24">IFERROR(INDEX($AK$10:$AK$258, MATCH(0, IF(TRUE=$AH$10:$AH$258, COUNTIF($AM$9:$AM23, $AK$10:$AK$258), ""), 0)),"")</f>
        <v/>
      </c>
      <c r="AN24" s="188" t="str">
        <f t="array" ref="AN24">IFERROR(INDEX($AK$10:$AK$258, MATCH(0, IF(TRUE=$AI$10:$AI$258, COUNTIF($AN$9:$AN23, $AK$10:$AK$258), ""), 0)),"")</f>
        <v/>
      </c>
      <c r="AP24" s="35" t="str">
        <f>IFERROR(INDEX('G-7 Rivers Data'!$AZ$3:$AZ$7,MATCH(D24,'G-7 Rivers Data'!$AY$3:$AY$7,0)),"")</f>
        <v/>
      </c>
    </row>
    <row r="25" spans="3:42" ht="13.8" x14ac:dyDescent="0.25">
      <c r="C25" s="168">
        <v>16</v>
      </c>
      <c r="D25" s="212"/>
      <c r="E25" s="213"/>
      <c r="F25" s="171" t="str">
        <f>IF(D25="","",VLOOKUP(D25,'G-7 Rivers Data'!$B$2:$G$8,2,FALSE))</f>
        <v/>
      </c>
      <c r="G25" s="172" t="str">
        <f>IFERROR(VLOOKUP(F25,'G-7 Rivers Data'!$C$4:$D$8,2,FALSE),"")</f>
        <v/>
      </c>
      <c r="H25" s="173"/>
      <c r="I25" s="172" t="str">
        <f>IFERROR(INDEX('G-7 Rivers Data'!$H$4:$L$8,MATCH(D25,'G-7 Rivers Data'!$B$4:$B$8,0),MATCH(H25,'G-7 Rivers Data'!$H$3:$L$3,0)),"")</f>
        <v/>
      </c>
      <c r="J25" s="173"/>
      <c r="K25" s="172" t="str">
        <f>IF(J25="","",IF(VLOOKUP(J25,'G-7 Rivers Data'!$AK$4:$AM$9,2,FALSE)=0,"Spatial Data Missing",VLOOKUP(J25,'G-7 Rivers Data'!$AK$4:$AM$9,2,FALSE)))</f>
        <v/>
      </c>
      <c r="L25" s="172" t="str">
        <f>IF(J25="","",IF(VLOOKUP(J25,'G-7 Rivers Data'!$AK$4:$AM$9,3,FALSE)=0,"Spatial Data Missing",VLOOKUP(J25,'G-7 Rivers Data'!$AK$4:$AM$9,3,FALSE)))</f>
        <v/>
      </c>
      <c r="M25" s="79"/>
      <c r="N25" s="172" t="str">
        <f>IF(M25="","",IF(VLOOKUP(M25,'G-7 Rivers Data'!$AA$4:$AB$7,2,FALSE)=0,"Spatial Data Missing",VLOOKUP(M25,'G-7 Rivers Data'!$AA$4:$AB$7,2,FALSE)))</f>
        <v/>
      </c>
      <c r="O25" s="187"/>
      <c r="P25" s="172" t="str">
        <f>IF(O25="","",IF(VLOOKUP(O25,'G-7 Rivers Data'!$AD$4:$AE$8,2,FALSE)=0,"Spatial Data Missing",VLOOKUP(O25,'G-7 Rivers Data'!$AD$4:$AE$8,2,FALSE)))</f>
        <v/>
      </c>
      <c r="Q25" s="177" t="str">
        <f>IF(D25="","",VLOOKUP(D25,'G-7 Rivers Data'!$B$2:$G$8,6,FALSE))</f>
        <v/>
      </c>
      <c r="R25" s="207" t="str">
        <f t="shared" si="0"/>
        <v/>
      </c>
      <c r="S25" s="44"/>
      <c r="T25" s="173"/>
      <c r="U25" s="189"/>
      <c r="V25" s="208" t="str">
        <f t="shared" si="1"/>
        <v/>
      </c>
      <c r="W25" s="208" t="str">
        <f t="shared" si="2"/>
        <v/>
      </c>
      <c r="X25" s="208" t="str">
        <f t="shared" si="3"/>
        <v/>
      </c>
      <c r="Y25" s="209" t="str">
        <f t="shared" si="4"/>
        <v/>
      </c>
      <c r="Z25" s="182"/>
      <c r="AA25" s="183"/>
      <c r="AG25" s="35">
        <f t="shared" si="5"/>
        <v>0</v>
      </c>
      <c r="AH25" s="188" t="str">
        <f t="shared" si="6"/>
        <v/>
      </c>
      <c r="AI25" s="188" t="str">
        <f t="shared" si="7"/>
        <v/>
      </c>
      <c r="AK25" s="188">
        <v>16</v>
      </c>
      <c r="AM25" s="188" t="str">
        <f t="array" ref="AM25">IFERROR(INDEX($AK$10:$AK$258, MATCH(0, IF(TRUE=$AH$10:$AH$258, COUNTIF($AM$9:$AM24, $AK$10:$AK$258), ""), 0)),"")</f>
        <v/>
      </c>
      <c r="AN25" s="188" t="str">
        <f t="array" ref="AN25">IFERROR(INDEX($AK$10:$AK$258, MATCH(0, IF(TRUE=$AI$10:$AI$258, COUNTIF($AN$9:$AN24, $AK$10:$AK$258), ""), 0)),"")</f>
        <v/>
      </c>
      <c r="AP25" s="35" t="str">
        <f>IFERROR(INDEX('G-7 Rivers Data'!$AZ$3:$AZ$7,MATCH(D25,'G-7 Rivers Data'!$AY$3:$AY$7,0)),"")</f>
        <v/>
      </c>
    </row>
    <row r="26" spans="3:42" ht="13.8" x14ac:dyDescent="0.25">
      <c r="C26" s="168">
        <v>17</v>
      </c>
      <c r="D26" s="212"/>
      <c r="E26" s="213"/>
      <c r="F26" s="171" t="str">
        <f>IF(D26="","",VLOOKUP(D26,'G-7 Rivers Data'!$B$2:$G$8,2,FALSE))</f>
        <v/>
      </c>
      <c r="G26" s="172" t="str">
        <f>IFERROR(VLOOKUP(F26,'G-7 Rivers Data'!$C$4:$D$8,2,FALSE),"")</f>
        <v/>
      </c>
      <c r="H26" s="173"/>
      <c r="I26" s="172" t="str">
        <f>IFERROR(INDEX('G-7 Rivers Data'!$H$4:$L$8,MATCH(D26,'G-7 Rivers Data'!$B$4:$B$8,0),MATCH(H26,'G-7 Rivers Data'!$H$3:$L$3,0)),"")</f>
        <v/>
      </c>
      <c r="J26" s="173"/>
      <c r="K26" s="172" t="str">
        <f>IF(J26="","",IF(VLOOKUP(J26,'G-7 Rivers Data'!$AK$4:$AM$9,2,FALSE)=0,"Spatial Data Missing",VLOOKUP(J26,'G-7 Rivers Data'!$AK$4:$AM$9,2,FALSE)))</f>
        <v/>
      </c>
      <c r="L26" s="172" t="str">
        <f>IF(J26="","",IF(VLOOKUP(J26,'G-7 Rivers Data'!$AK$4:$AM$9,3,FALSE)=0,"Spatial Data Missing",VLOOKUP(J26,'G-7 Rivers Data'!$AK$4:$AM$9,3,FALSE)))</f>
        <v/>
      </c>
      <c r="M26" s="79"/>
      <c r="N26" s="172" t="str">
        <f>IF(M26="","",IF(VLOOKUP(M26,'G-7 Rivers Data'!$AA$4:$AB$7,2,FALSE)=0,"Spatial Data Missing",VLOOKUP(M26,'G-7 Rivers Data'!$AA$4:$AB$7,2,FALSE)))</f>
        <v/>
      </c>
      <c r="O26" s="187"/>
      <c r="P26" s="172" t="str">
        <f>IF(O26="","",IF(VLOOKUP(O26,'G-7 Rivers Data'!$AD$4:$AE$8,2,FALSE)=0,"Spatial Data Missing",VLOOKUP(O26,'G-7 Rivers Data'!$AD$4:$AE$8,2,FALSE)))</f>
        <v/>
      </c>
      <c r="Q26" s="177" t="str">
        <f>IF(D26="","",VLOOKUP(D26,'G-7 Rivers Data'!$B$2:$G$8,6,FALSE))</f>
        <v/>
      </c>
      <c r="R26" s="207" t="str">
        <f t="shared" si="0"/>
        <v/>
      </c>
      <c r="S26" s="44"/>
      <c r="T26" s="173"/>
      <c r="U26" s="189"/>
      <c r="V26" s="208" t="str">
        <f t="shared" si="1"/>
        <v/>
      </c>
      <c r="W26" s="208" t="str">
        <f t="shared" si="2"/>
        <v/>
      </c>
      <c r="X26" s="208" t="str">
        <f t="shared" si="3"/>
        <v/>
      </c>
      <c r="Y26" s="209" t="str">
        <f t="shared" si="4"/>
        <v/>
      </c>
      <c r="Z26" s="182"/>
      <c r="AA26" s="183"/>
      <c r="AG26" s="35">
        <f t="shared" si="5"/>
        <v>0</v>
      </c>
      <c r="AH26" s="188" t="str">
        <f t="shared" si="6"/>
        <v/>
      </c>
      <c r="AI26" s="188" t="str">
        <f t="shared" si="7"/>
        <v/>
      </c>
      <c r="AK26" s="188">
        <v>17</v>
      </c>
      <c r="AM26" s="188" t="str">
        <f t="array" ref="AM26">IFERROR(INDEX($AK$10:$AK$258, MATCH(0, IF(TRUE=$AH$10:$AH$258, COUNTIF($AM$9:$AM25, $AK$10:$AK$258), ""), 0)),"")</f>
        <v/>
      </c>
      <c r="AN26" s="188" t="str">
        <f t="array" ref="AN26">IFERROR(INDEX($AK$10:$AK$258, MATCH(0, IF(TRUE=$AI$10:$AI$258, COUNTIF($AN$9:$AN25, $AK$10:$AK$258), ""), 0)),"")</f>
        <v/>
      </c>
      <c r="AP26" s="35" t="str">
        <f>IFERROR(INDEX('G-7 Rivers Data'!$AZ$3:$AZ$7,MATCH(D26,'G-7 Rivers Data'!$AY$3:$AY$7,0)),"")</f>
        <v/>
      </c>
    </row>
    <row r="27" spans="3:42" ht="13.8" x14ac:dyDescent="0.25">
      <c r="C27" s="168">
        <v>18</v>
      </c>
      <c r="D27" s="212"/>
      <c r="E27" s="213"/>
      <c r="F27" s="171" t="str">
        <f>IF(D27="","",VLOOKUP(D27,'G-7 Rivers Data'!$B$2:$G$8,2,FALSE))</f>
        <v/>
      </c>
      <c r="G27" s="172" t="str">
        <f>IFERROR(VLOOKUP(F27,'G-7 Rivers Data'!$C$4:$D$8,2,FALSE),"")</f>
        <v/>
      </c>
      <c r="H27" s="173"/>
      <c r="I27" s="172" t="str">
        <f>IFERROR(INDEX('G-7 Rivers Data'!$H$4:$L$8,MATCH(D27,'G-7 Rivers Data'!$B$4:$B$8,0),MATCH(H27,'G-7 Rivers Data'!$H$3:$L$3,0)),"")</f>
        <v/>
      </c>
      <c r="J27" s="173"/>
      <c r="K27" s="172" t="str">
        <f>IF(J27="","",IF(VLOOKUP(J27,'G-7 Rivers Data'!$AK$4:$AM$9,2,FALSE)=0,"Spatial Data Missing",VLOOKUP(J27,'G-7 Rivers Data'!$AK$4:$AM$9,2,FALSE)))</f>
        <v/>
      </c>
      <c r="L27" s="172" t="str">
        <f>IF(J27="","",IF(VLOOKUP(J27,'G-7 Rivers Data'!$AK$4:$AM$9,3,FALSE)=0,"Spatial Data Missing",VLOOKUP(J27,'G-7 Rivers Data'!$AK$4:$AM$9,3,FALSE)))</f>
        <v/>
      </c>
      <c r="M27" s="79"/>
      <c r="N27" s="172" t="str">
        <f>IF(M27="","",IF(VLOOKUP(M27,'G-7 Rivers Data'!$AA$4:$AB$7,2,FALSE)=0,"Spatial Data Missing",VLOOKUP(M27,'G-7 Rivers Data'!$AA$4:$AB$7,2,FALSE)))</f>
        <v/>
      </c>
      <c r="O27" s="187"/>
      <c r="P27" s="172" t="str">
        <f>IF(O27="","",IF(VLOOKUP(O27,'G-7 Rivers Data'!$AD$4:$AE$8,2,FALSE)=0,"Spatial Data Missing",VLOOKUP(O27,'G-7 Rivers Data'!$AD$4:$AE$8,2,FALSE)))</f>
        <v/>
      </c>
      <c r="Q27" s="177" t="str">
        <f>IF(D27="","",VLOOKUP(D27,'G-7 Rivers Data'!$B$2:$G$8,6,FALSE))</f>
        <v/>
      </c>
      <c r="R27" s="207" t="str">
        <f t="shared" si="0"/>
        <v/>
      </c>
      <c r="S27" s="44"/>
      <c r="T27" s="173"/>
      <c r="U27" s="189"/>
      <c r="V27" s="208" t="str">
        <f t="shared" si="1"/>
        <v/>
      </c>
      <c r="W27" s="208" t="str">
        <f t="shared" si="2"/>
        <v/>
      </c>
      <c r="X27" s="208" t="str">
        <f t="shared" si="3"/>
        <v/>
      </c>
      <c r="Y27" s="209" t="str">
        <f t="shared" si="4"/>
        <v/>
      </c>
      <c r="Z27" s="182"/>
      <c r="AA27" s="183"/>
      <c r="AG27" s="35">
        <f t="shared" si="5"/>
        <v>0</v>
      </c>
      <c r="AH27" s="188" t="str">
        <f t="shared" si="6"/>
        <v/>
      </c>
      <c r="AI27" s="188" t="str">
        <f t="shared" si="7"/>
        <v/>
      </c>
      <c r="AK27" s="188">
        <v>18</v>
      </c>
      <c r="AM27" s="188" t="str">
        <f t="array" ref="AM27">IFERROR(INDEX($AK$10:$AK$258, MATCH(0, IF(TRUE=$AH$10:$AH$258, COUNTIF($AM$9:$AM26, $AK$10:$AK$258), ""), 0)),"")</f>
        <v/>
      </c>
      <c r="AN27" s="188" t="str">
        <f t="array" ref="AN27">IFERROR(INDEX($AK$10:$AK$258, MATCH(0, IF(TRUE=$AI$10:$AI$258, COUNTIF($AN$9:$AN26, $AK$10:$AK$258), ""), 0)),"")</f>
        <v/>
      </c>
      <c r="AP27" s="35" t="str">
        <f>IFERROR(INDEX('G-7 Rivers Data'!$AZ$3:$AZ$7,MATCH(D27,'G-7 Rivers Data'!$AY$3:$AY$7,0)),"")</f>
        <v/>
      </c>
    </row>
    <row r="28" spans="3:42" ht="13.8" x14ac:dyDescent="0.25">
      <c r="C28" s="168">
        <v>19</v>
      </c>
      <c r="D28" s="212"/>
      <c r="E28" s="213"/>
      <c r="F28" s="171" t="str">
        <f>IF(D28="","",VLOOKUP(D28,'G-7 Rivers Data'!$B$2:$G$8,2,FALSE))</f>
        <v/>
      </c>
      <c r="G28" s="172" t="str">
        <f>IFERROR(VLOOKUP(F28,'G-7 Rivers Data'!$C$4:$D$8,2,FALSE),"")</f>
        <v/>
      </c>
      <c r="H28" s="173"/>
      <c r="I28" s="172" t="str">
        <f>IFERROR(INDEX('G-7 Rivers Data'!$H$4:$L$8,MATCH(D28,'G-7 Rivers Data'!$B$4:$B$8,0),MATCH(H28,'G-7 Rivers Data'!$H$3:$L$3,0)),"")</f>
        <v/>
      </c>
      <c r="J28" s="173"/>
      <c r="K28" s="172" t="str">
        <f>IF(J28="","",IF(VLOOKUP(J28,'G-7 Rivers Data'!$AK$4:$AM$9,2,FALSE)=0,"Spatial Data Missing",VLOOKUP(J28,'G-7 Rivers Data'!$AK$4:$AM$9,2,FALSE)))</f>
        <v/>
      </c>
      <c r="L28" s="172" t="str">
        <f>IF(J28="","",IF(VLOOKUP(J28,'G-7 Rivers Data'!$AK$4:$AM$9,3,FALSE)=0,"Spatial Data Missing",VLOOKUP(J28,'G-7 Rivers Data'!$AK$4:$AM$9,3,FALSE)))</f>
        <v/>
      </c>
      <c r="M28" s="79"/>
      <c r="N28" s="172" t="str">
        <f>IF(M28="","",IF(VLOOKUP(M28,'G-7 Rivers Data'!$AA$4:$AB$7,2,FALSE)=0,"Spatial Data Missing",VLOOKUP(M28,'G-7 Rivers Data'!$AA$4:$AB$7,2,FALSE)))</f>
        <v/>
      </c>
      <c r="O28" s="187"/>
      <c r="P28" s="172" t="str">
        <f>IF(O28="","",IF(VLOOKUP(O28,'G-7 Rivers Data'!$AD$4:$AE$8,2,FALSE)=0,"Spatial Data Missing",VLOOKUP(O28,'G-7 Rivers Data'!$AD$4:$AE$8,2,FALSE)))</f>
        <v/>
      </c>
      <c r="Q28" s="177" t="str">
        <f>IF(D28="","",VLOOKUP(D28,'G-7 Rivers Data'!$B$2:$G$8,6,FALSE))</f>
        <v/>
      </c>
      <c r="R28" s="207" t="str">
        <f t="shared" si="0"/>
        <v/>
      </c>
      <c r="S28" s="44"/>
      <c r="T28" s="173"/>
      <c r="U28" s="189"/>
      <c r="V28" s="208" t="str">
        <f t="shared" si="1"/>
        <v/>
      </c>
      <c r="W28" s="208" t="str">
        <f t="shared" si="2"/>
        <v/>
      </c>
      <c r="X28" s="208" t="str">
        <f t="shared" si="3"/>
        <v/>
      </c>
      <c r="Y28" s="209" t="str">
        <f t="shared" si="4"/>
        <v/>
      </c>
      <c r="Z28" s="182"/>
      <c r="AA28" s="183"/>
      <c r="AG28" s="35">
        <f t="shared" si="5"/>
        <v>0</v>
      </c>
      <c r="AH28" s="188" t="str">
        <f t="shared" si="6"/>
        <v/>
      </c>
      <c r="AI28" s="188" t="str">
        <f t="shared" si="7"/>
        <v/>
      </c>
      <c r="AK28" s="188">
        <v>19</v>
      </c>
      <c r="AM28" s="188" t="str">
        <f t="array" ref="AM28">IFERROR(INDEX($AK$10:$AK$258, MATCH(0, IF(TRUE=$AH$10:$AH$258, COUNTIF($AM$9:$AM27, $AK$10:$AK$258), ""), 0)),"")</f>
        <v/>
      </c>
      <c r="AN28" s="188" t="str">
        <f t="array" ref="AN28">IFERROR(INDEX($AK$10:$AK$258, MATCH(0, IF(TRUE=$AI$10:$AI$258, COUNTIF($AN$9:$AN27, $AK$10:$AK$258), ""), 0)),"")</f>
        <v/>
      </c>
      <c r="AP28" s="35" t="str">
        <f>IFERROR(INDEX('G-7 Rivers Data'!$AZ$3:$AZ$7,MATCH(D28,'G-7 Rivers Data'!$AY$3:$AY$7,0)),"")</f>
        <v/>
      </c>
    </row>
    <row r="29" spans="3:42" ht="13.8" x14ac:dyDescent="0.25">
      <c r="C29" s="168">
        <v>20</v>
      </c>
      <c r="D29" s="212"/>
      <c r="E29" s="213"/>
      <c r="F29" s="171" t="str">
        <f>IF(D29="","",VLOOKUP(D29,'G-7 Rivers Data'!$B$2:$G$8,2,FALSE))</f>
        <v/>
      </c>
      <c r="G29" s="172" t="str">
        <f>IFERROR(VLOOKUP(F29,'G-7 Rivers Data'!$C$4:$D$8,2,FALSE),"")</f>
        <v/>
      </c>
      <c r="H29" s="173"/>
      <c r="I29" s="172" t="str">
        <f>IFERROR(INDEX('G-7 Rivers Data'!$H$4:$L$8,MATCH(D29,'G-7 Rivers Data'!$B$4:$B$8,0),MATCH(H29,'G-7 Rivers Data'!$H$3:$L$3,0)),"")</f>
        <v/>
      </c>
      <c r="J29" s="173"/>
      <c r="K29" s="172" t="str">
        <f>IF(J29="","",IF(VLOOKUP(J29,'G-7 Rivers Data'!$AK$4:$AM$9,2,FALSE)=0,"Spatial Data Missing",VLOOKUP(J29,'G-7 Rivers Data'!$AK$4:$AM$9,2,FALSE)))</f>
        <v/>
      </c>
      <c r="L29" s="172" t="str">
        <f>IF(J29="","",IF(VLOOKUP(J29,'G-7 Rivers Data'!$AK$4:$AM$9,3,FALSE)=0,"Spatial Data Missing",VLOOKUP(J29,'G-7 Rivers Data'!$AK$4:$AM$9,3,FALSE)))</f>
        <v/>
      </c>
      <c r="M29" s="79"/>
      <c r="N29" s="172" t="str">
        <f>IF(M29="","",IF(VLOOKUP(M29,'G-7 Rivers Data'!$AA$4:$AB$7,2,FALSE)=0,"Spatial Data Missing",VLOOKUP(M29,'G-7 Rivers Data'!$AA$4:$AB$7,2,FALSE)))</f>
        <v/>
      </c>
      <c r="O29" s="187"/>
      <c r="P29" s="172" t="str">
        <f>IF(O29="","",IF(VLOOKUP(O29,'G-7 Rivers Data'!$AD$4:$AE$8,2,FALSE)=0,"Spatial Data Missing",VLOOKUP(O29,'G-7 Rivers Data'!$AD$4:$AE$8,2,FALSE)))</f>
        <v/>
      </c>
      <c r="Q29" s="177" t="str">
        <f>IF(D29="","",VLOOKUP(D29,'G-7 Rivers Data'!$B$2:$G$8,6,FALSE))</f>
        <v/>
      </c>
      <c r="R29" s="207" t="str">
        <f t="shared" si="0"/>
        <v/>
      </c>
      <c r="S29" s="44"/>
      <c r="T29" s="173"/>
      <c r="U29" s="189"/>
      <c r="V29" s="208" t="str">
        <f t="shared" si="1"/>
        <v/>
      </c>
      <c r="W29" s="208" t="str">
        <f t="shared" si="2"/>
        <v/>
      </c>
      <c r="X29" s="208" t="str">
        <f t="shared" si="3"/>
        <v/>
      </c>
      <c r="Y29" s="209" t="str">
        <f t="shared" si="4"/>
        <v/>
      </c>
      <c r="Z29" s="182"/>
      <c r="AA29" s="183"/>
      <c r="AG29" s="35">
        <f t="shared" si="5"/>
        <v>0</v>
      </c>
      <c r="AH29" s="188" t="str">
        <f t="shared" si="6"/>
        <v/>
      </c>
      <c r="AI29" s="188" t="str">
        <f t="shared" si="7"/>
        <v/>
      </c>
      <c r="AK29" s="188">
        <v>20</v>
      </c>
      <c r="AM29" s="188" t="str">
        <f t="array" ref="AM29">IFERROR(INDEX($AK$10:$AK$258, MATCH(0, IF(TRUE=$AH$10:$AH$258, COUNTIF($AM$9:$AM28, $AK$10:$AK$258), ""), 0)),"")</f>
        <v/>
      </c>
      <c r="AN29" s="188" t="str">
        <f t="array" ref="AN29">IFERROR(INDEX($AK$10:$AK$258, MATCH(0, IF(TRUE=$AI$10:$AI$258, COUNTIF($AN$9:$AN28, $AK$10:$AK$258), ""), 0)),"")</f>
        <v/>
      </c>
      <c r="AP29" s="35" t="str">
        <f>IFERROR(INDEX('G-7 Rivers Data'!$AZ$3:$AZ$7,MATCH(D29,'G-7 Rivers Data'!$AY$3:$AY$7,0)),"")</f>
        <v/>
      </c>
    </row>
    <row r="30" spans="3:42" ht="13.8" x14ac:dyDescent="0.25">
      <c r="C30" s="168">
        <v>21</v>
      </c>
      <c r="D30" s="212"/>
      <c r="E30" s="213"/>
      <c r="F30" s="171" t="str">
        <f>IF(D30="","",VLOOKUP(D30,'G-7 Rivers Data'!$B$2:$G$8,2,FALSE))</f>
        <v/>
      </c>
      <c r="G30" s="172" t="str">
        <f>IFERROR(VLOOKUP(F30,'G-7 Rivers Data'!$C$4:$D$8,2,FALSE),"")</f>
        <v/>
      </c>
      <c r="H30" s="173"/>
      <c r="I30" s="172" t="str">
        <f>IFERROR(INDEX('G-7 Rivers Data'!$H$4:$L$8,MATCH(D30,'G-7 Rivers Data'!$B$4:$B$8,0),MATCH(H30,'G-7 Rivers Data'!$H$3:$L$3,0)),"")</f>
        <v/>
      </c>
      <c r="J30" s="173"/>
      <c r="K30" s="172" t="str">
        <f>IF(J30="","",IF(VLOOKUP(J30,'G-7 Rivers Data'!$AK$4:$AM$9,2,FALSE)=0,"Spatial Data Missing",VLOOKUP(J30,'G-7 Rivers Data'!$AK$4:$AM$9,2,FALSE)))</f>
        <v/>
      </c>
      <c r="L30" s="172" t="str">
        <f>IF(J30="","",IF(VLOOKUP(J30,'G-7 Rivers Data'!$AK$4:$AM$9,3,FALSE)=0,"Spatial Data Missing",VLOOKUP(J30,'G-7 Rivers Data'!$AK$4:$AM$9,3,FALSE)))</f>
        <v/>
      </c>
      <c r="M30" s="79"/>
      <c r="N30" s="172" t="str">
        <f>IF(M30="","",IF(VLOOKUP(M30,'G-7 Rivers Data'!$AA$4:$AB$7,2,FALSE)=0,"Spatial Data Missing",VLOOKUP(M30,'G-7 Rivers Data'!$AA$4:$AB$7,2,FALSE)))</f>
        <v/>
      </c>
      <c r="O30" s="187"/>
      <c r="P30" s="172" t="str">
        <f>IF(O30="","",IF(VLOOKUP(O30,'G-7 Rivers Data'!$AD$4:$AE$8,2,FALSE)=0,"Spatial Data Missing",VLOOKUP(O30,'G-7 Rivers Data'!$AD$4:$AE$8,2,FALSE)))</f>
        <v/>
      </c>
      <c r="Q30" s="177" t="str">
        <f>IF(D30="","",VLOOKUP(D30,'G-7 Rivers Data'!$B$2:$G$8,6,FALSE))</f>
        <v/>
      </c>
      <c r="R30" s="207" t="str">
        <f t="shared" si="0"/>
        <v/>
      </c>
      <c r="S30" s="44"/>
      <c r="T30" s="173"/>
      <c r="U30" s="189"/>
      <c r="V30" s="208" t="str">
        <f t="shared" si="1"/>
        <v/>
      </c>
      <c r="W30" s="208" t="str">
        <f t="shared" si="2"/>
        <v/>
      </c>
      <c r="X30" s="208" t="str">
        <f t="shared" si="3"/>
        <v/>
      </c>
      <c r="Y30" s="209" t="str">
        <f t="shared" si="4"/>
        <v/>
      </c>
      <c r="Z30" s="182"/>
      <c r="AA30" s="183"/>
      <c r="AG30" s="35">
        <f t="shared" si="5"/>
        <v>0</v>
      </c>
      <c r="AH30" s="188" t="str">
        <f t="shared" si="6"/>
        <v/>
      </c>
      <c r="AI30" s="188" t="str">
        <f t="shared" si="7"/>
        <v/>
      </c>
      <c r="AK30" s="188">
        <v>21</v>
      </c>
      <c r="AM30" s="188" t="str">
        <f t="array" ref="AM30">IFERROR(INDEX($AK$10:$AK$258, MATCH(0, IF(TRUE=$AH$10:$AH$258, COUNTIF($AM$9:$AM29, $AK$10:$AK$258), ""), 0)),"")</f>
        <v/>
      </c>
      <c r="AN30" s="188" t="str">
        <f t="array" ref="AN30">IFERROR(INDEX($AK$10:$AK$258, MATCH(0, IF(TRUE=$AI$10:$AI$258, COUNTIF($AN$9:$AN29, $AK$10:$AK$258), ""), 0)),"")</f>
        <v/>
      </c>
      <c r="AP30" s="35" t="str">
        <f>IFERROR(INDEX('G-7 Rivers Data'!$AZ$3:$AZ$7,MATCH(D30,'G-7 Rivers Data'!$AY$3:$AY$7,0)),"")</f>
        <v/>
      </c>
    </row>
    <row r="31" spans="3:42" ht="13.8" x14ac:dyDescent="0.25">
      <c r="C31" s="168">
        <v>22</v>
      </c>
      <c r="D31" s="212"/>
      <c r="E31" s="213"/>
      <c r="F31" s="171" t="str">
        <f>IF(D31="","",VLOOKUP(D31,'G-7 Rivers Data'!$B$2:$G$8,2,FALSE))</f>
        <v/>
      </c>
      <c r="G31" s="172" t="str">
        <f>IFERROR(VLOOKUP(F31,'G-7 Rivers Data'!$C$4:$D$8,2,FALSE),"")</f>
        <v/>
      </c>
      <c r="H31" s="173"/>
      <c r="I31" s="172" t="str">
        <f>IFERROR(INDEX('G-7 Rivers Data'!$H$4:$L$8,MATCH(D31,'G-7 Rivers Data'!$B$4:$B$8,0),MATCH(H31,'G-7 Rivers Data'!$H$3:$L$3,0)),"")</f>
        <v/>
      </c>
      <c r="J31" s="173"/>
      <c r="K31" s="172" t="str">
        <f>IF(J31="","",IF(VLOOKUP(J31,'G-7 Rivers Data'!$AK$4:$AM$9,2,FALSE)=0,"Spatial Data Missing",VLOOKUP(J31,'G-7 Rivers Data'!$AK$4:$AM$9,2,FALSE)))</f>
        <v/>
      </c>
      <c r="L31" s="172" t="str">
        <f>IF(J31="","",IF(VLOOKUP(J31,'G-7 Rivers Data'!$AK$4:$AM$9,3,FALSE)=0,"Spatial Data Missing",VLOOKUP(J31,'G-7 Rivers Data'!$AK$4:$AM$9,3,FALSE)))</f>
        <v/>
      </c>
      <c r="M31" s="79"/>
      <c r="N31" s="172" t="str">
        <f>IF(M31="","",IF(VLOOKUP(M31,'G-7 Rivers Data'!$AA$4:$AB$7,2,FALSE)=0,"Spatial Data Missing",VLOOKUP(M31,'G-7 Rivers Data'!$AA$4:$AB$7,2,FALSE)))</f>
        <v/>
      </c>
      <c r="O31" s="187"/>
      <c r="P31" s="172" t="str">
        <f>IF(O31="","",IF(VLOOKUP(O31,'G-7 Rivers Data'!$AD$4:$AE$8,2,FALSE)=0,"Spatial Data Missing",VLOOKUP(O31,'G-7 Rivers Data'!$AD$4:$AE$8,2,FALSE)))</f>
        <v/>
      </c>
      <c r="Q31" s="177" t="str">
        <f>IF(D31="","",VLOOKUP(D31,'G-7 Rivers Data'!$B$2:$G$8,6,FALSE))</f>
        <v/>
      </c>
      <c r="R31" s="207" t="str">
        <f t="shared" si="0"/>
        <v/>
      </c>
      <c r="S31" s="44"/>
      <c r="T31" s="173"/>
      <c r="U31" s="189"/>
      <c r="V31" s="208" t="str">
        <f t="shared" si="1"/>
        <v/>
      </c>
      <c r="W31" s="208" t="str">
        <f t="shared" si="2"/>
        <v/>
      </c>
      <c r="X31" s="208" t="str">
        <f t="shared" si="3"/>
        <v/>
      </c>
      <c r="Y31" s="209" t="str">
        <f t="shared" si="4"/>
        <v/>
      </c>
      <c r="Z31" s="182"/>
      <c r="AA31" s="183"/>
      <c r="AG31" s="35">
        <f t="shared" si="5"/>
        <v>0</v>
      </c>
      <c r="AH31" s="188" t="str">
        <f t="shared" si="6"/>
        <v/>
      </c>
      <c r="AI31" s="188" t="str">
        <f t="shared" si="7"/>
        <v/>
      </c>
      <c r="AK31" s="188">
        <v>22</v>
      </c>
      <c r="AM31" s="188" t="str">
        <f t="array" ref="AM31">IFERROR(INDEX($AK$10:$AK$258, MATCH(0, IF(TRUE=$AH$10:$AH$258, COUNTIF($AM$9:$AM30, $AK$10:$AK$258), ""), 0)),"")</f>
        <v/>
      </c>
      <c r="AN31" s="188" t="str">
        <f t="array" ref="AN31">IFERROR(INDEX($AK$10:$AK$258, MATCH(0, IF(TRUE=$AI$10:$AI$258, COUNTIF($AN$9:$AN30, $AK$10:$AK$258), ""), 0)),"")</f>
        <v/>
      </c>
      <c r="AP31" s="35" t="str">
        <f>IFERROR(INDEX('G-7 Rivers Data'!$AZ$3:$AZ$7,MATCH(D31,'G-7 Rivers Data'!$AY$3:$AY$7,0)),"")</f>
        <v/>
      </c>
    </row>
    <row r="32" spans="3:42" ht="13.8" x14ac:dyDescent="0.25">
      <c r="C32" s="168">
        <v>23</v>
      </c>
      <c r="D32" s="212"/>
      <c r="E32" s="213"/>
      <c r="F32" s="171" t="str">
        <f>IF(D32="","",VLOOKUP(D32,'G-7 Rivers Data'!$B$2:$G$8,2,FALSE))</f>
        <v/>
      </c>
      <c r="G32" s="172" t="str">
        <f>IFERROR(VLOOKUP(F32,'G-7 Rivers Data'!$C$4:$D$8,2,FALSE),"")</f>
        <v/>
      </c>
      <c r="H32" s="173"/>
      <c r="I32" s="172" t="str">
        <f>IFERROR(INDEX('G-7 Rivers Data'!$H$4:$L$8,MATCH(D32,'G-7 Rivers Data'!$B$4:$B$8,0),MATCH(H32,'G-7 Rivers Data'!$H$3:$L$3,0)),"")</f>
        <v/>
      </c>
      <c r="J32" s="173"/>
      <c r="K32" s="172" t="str">
        <f>IF(J32="","",IF(VLOOKUP(J32,'G-7 Rivers Data'!$AK$4:$AM$9,2,FALSE)=0,"Spatial Data Missing",VLOOKUP(J32,'G-7 Rivers Data'!$AK$4:$AM$9,2,FALSE)))</f>
        <v/>
      </c>
      <c r="L32" s="172" t="str">
        <f>IF(J32="","",IF(VLOOKUP(J32,'G-7 Rivers Data'!$AK$4:$AM$9,3,FALSE)=0,"Spatial Data Missing",VLOOKUP(J32,'G-7 Rivers Data'!$AK$4:$AM$9,3,FALSE)))</f>
        <v/>
      </c>
      <c r="M32" s="79"/>
      <c r="N32" s="172" t="str">
        <f>IF(M32="","",IF(VLOOKUP(M32,'G-7 Rivers Data'!$AA$4:$AB$7,2,FALSE)=0,"Spatial Data Missing",VLOOKUP(M32,'G-7 Rivers Data'!$AA$4:$AB$7,2,FALSE)))</f>
        <v/>
      </c>
      <c r="O32" s="187"/>
      <c r="P32" s="172" t="str">
        <f>IF(O32="","",IF(VLOOKUP(O32,'G-7 Rivers Data'!$AD$4:$AE$8,2,FALSE)=0,"Spatial Data Missing",VLOOKUP(O32,'G-7 Rivers Data'!$AD$4:$AE$8,2,FALSE)))</f>
        <v/>
      </c>
      <c r="Q32" s="177" t="str">
        <f>IF(D32="","",VLOOKUP(D32,'G-7 Rivers Data'!$B$2:$G$8,6,FALSE))</f>
        <v/>
      </c>
      <c r="R32" s="207" t="str">
        <f t="shared" si="0"/>
        <v/>
      </c>
      <c r="S32" s="44"/>
      <c r="T32" s="173"/>
      <c r="U32" s="189"/>
      <c r="V32" s="208" t="str">
        <f t="shared" si="1"/>
        <v/>
      </c>
      <c r="W32" s="208" t="str">
        <f t="shared" si="2"/>
        <v/>
      </c>
      <c r="X32" s="208" t="str">
        <f t="shared" si="3"/>
        <v/>
      </c>
      <c r="Y32" s="209" t="str">
        <f t="shared" si="4"/>
        <v/>
      </c>
      <c r="Z32" s="182"/>
      <c r="AA32" s="183"/>
      <c r="AG32" s="35">
        <f t="shared" si="5"/>
        <v>0</v>
      </c>
      <c r="AH32" s="188" t="str">
        <f t="shared" si="6"/>
        <v/>
      </c>
      <c r="AI32" s="188" t="str">
        <f t="shared" si="7"/>
        <v/>
      </c>
      <c r="AK32" s="188">
        <v>23</v>
      </c>
      <c r="AM32" s="188" t="str">
        <f t="array" ref="AM32">IFERROR(INDEX($AK$10:$AK$258, MATCH(0, IF(TRUE=$AH$10:$AH$258, COUNTIF($AM$9:$AM31, $AK$10:$AK$258), ""), 0)),"")</f>
        <v/>
      </c>
      <c r="AN32" s="188" t="str">
        <f t="array" ref="AN32">IFERROR(INDEX($AK$10:$AK$258, MATCH(0, IF(TRUE=$AI$10:$AI$258, COUNTIF($AN$9:$AN31, $AK$10:$AK$258), ""), 0)),"")</f>
        <v/>
      </c>
      <c r="AP32" s="35" t="str">
        <f>IFERROR(INDEX('G-7 Rivers Data'!$AZ$3:$AZ$7,MATCH(D32,'G-7 Rivers Data'!$AY$3:$AY$7,0)),"")</f>
        <v/>
      </c>
    </row>
    <row r="33" spans="3:42" ht="13.8" x14ac:dyDescent="0.25">
      <c r="C33" s="168">
        <v>24</v>
      </c>
      <c r="D33" s="212"/>
      <c r="E33" s="213"/>
      <c r="F33" s="171" t="str">
        <f>IF(D33="","",VLOOKUP(D33,'G-7 Rivers Data'!$B$2:$G$8,2,FALSE))</f>
        <v/>
      </c>
      <c r="G33" s="172" t="str">
        <f>IFERROR(VLOOKUP(F33,'G-7 Rivers Data'!$C$4:$D$8,2,FALSE),"")</f>
        <v/>
      </c>
      <c r="H33" s="173"/>
      <c r="I33" s="172" t="str">
        <f>IFERROR(INDEX('G-7 Rivers Data'!$H$4:$L$8,MATCH(D33,'G-7 Rivers Data'!$B$4:$B$8,0),MATCH(H33,'G-7 Rivers Data'!$H$3:$L$3,0)),"")</f>
        <v/>
      </c>
      <c r="J33" s="173"/>
      <c r="K33" s="172" t="str">
        <f>IF(J33="","",IF(VLOOKUP(J33,'G-7 Rivers Data'!$AK$4:$AM$9,2,FALSE)=0,"Spatial Data Missing",VLOOKUP(J33,'G-7 Rivers Data'!$AK$4:$AM$9,2,FALSE)))</f>
        <v/>
      </c>
      <c r="L33" s="172" t="str">
        <f>IF(J33="","",IF(VLOOKUP(J33,'G-7 Rivers Data'!$AK$4:$AM$9,3,FALSE)=0,"Spatial Data Missing",VLOOKUP(J33,'G-7 Rivers Data'!$AK$4:$AM$9,3,FALSE)))</f>
        <v/>
      </c>
      <c r="M33" s="79"/>
      <c r="N33" s="172" t="str">
        <f>IF(M33="","",IF(VLOOKUP(M33,'G-7 Rivers Data'!$AA$4:$AB$7,2,FALSE)=0,"Spatial Data Missing",VLOOKUP(M33,'G-7 Rivers Data'!$AA$4:$AB$7,2,FALSE)))</f>
        <v/>
      </c>
      <c r="O33" s="187"/>
      <c r="P33" s="172" t="str">
        <f>IF(O33="","",IF(VLOOKUP(O33,'G-7 Rivers Data'!$AD$4:$AE$8,2,FALSE)=0,"Spatial Data Missing",VLOOKUP(O33,'G-7 Rivers Data'!$AD$4:$AE$8,2,FALSE)))</f>
        <v/>
      </c>
      <c r="Q33" s="177" t="str">
        <f>IF(D33="","",VLOOKUP(D33,'G-7 Rivers Data'!$B$2:$G$8,6,FALSE))</f>
        <v/>
      </c>
      <c r="R33" s="207" t="str">
        <f t="shared" si="0"/>
        <v/>
      </c>
      <c r="S33" s="44"/>
      <c r="T33" s="173"/>
      <c r="U33" s="189"/>
      <c r="V33" s="208" t="str">
        <f t="shared" si="1"/>
        <v/>
      </c>
      <c r="W33" s="208" t="str">
        <f t="shared" si="2"/>
        <v/>
      </c>
      <c r="X33" s="208" t="str">
        <f t="shared" si="3"/>
        <v/>
      </c>
      <c r="Y33" s="209" t="str">
        <f t="shared" si="4"/>
        <v/>
      </c>
      <c r="Z33" s="182"/>
      <c r="AA33" s="183"/>
      <c r="AG33" s="35">
        <f t="shared" si="5"/>
        <v>0</v>
      </c>
      <c r="AH33" s="188" t="str">
        <f t="shared" si="6"/>
        <v/>
      </c>
      <c r="AI33" s="188" t="str">
        <f t="shared" si="7"/>
        <v/>
      </c>
      <c r="AK33" s="188">
        <v>24</v>
      </c>
      <c r="AM33" s="188" t="str">
        <f t="array" ref="AM33">IFERROR(INDEX($AK$10:$AK$258, MATCH(0, IF(TRUE=$AH$10:$AH$258, COUNTIF($AM$9:$AM32, $AK$10:$AK$258), ""), 0)),"")</f>
        <v/>
      </c>
      <c r="AN33" s="188" t="str">
        <f t="array" ref="AN33">IFERROR(INDEX($AK$10:$AK$258, MATCH(0, IF(TRUE=$AI$10:$AI$258, COUNTIF($AN$9:$AN32, $AK$10:$AK$258), ""), 0)),"")</f>
        <v/>
      </c>
      <c r="AP33" s="35" t="str">
        <f>IFERROR(INDEX('G-7 Rivers Data'!$AZ$3:$AZ$7,MATCH(D33,'G-7 Rivers Data'!$AY$3:$AY$7,0)),"")</f>
        <v/>
      </c>
    </row>
    <row r="34" spans="3:42" ht="13.8" x14ac:dyDescent="0.25">
      <c r="C34" s="168">
        <v>25</v>
      </c>
      <c r="D34" s="212"/>
      <c r="E34" s="213"/>
      <c r="F34" s="171" t="str">
        <f>IF(D34="","",VLOOKUP(D34,'G-7 Rivers Data'!$B$2:$G$8,2,FALSE))</f>
        <v/>
      </c>
      <c r="G34" s="172" t="str">
        <f>IFERROR(VLOOKUP(F34,'G-7 Rivers Data'!$C$4:$D$8,2,FALSE),"")</f>
        <v/>
      </c>
      <c r="H34" s="173"/>
      <c r="I34" s="172" t="str">
        <f>IFERROR(INDEX('G-7 Rivers Data'!$H$4:$L$8,MATCH(D34,'G-7 Rivers Data'!$B$4:$B$8,0),MATCH(H34,'G-7 Rivers Data'!$H$3:$L$3,0)),"")</f>
        <v/>
      </c>
      <c r="J34" s="173"/>
      <c r="K34" s="172" t="str">
        <f>IF(J34="","",IF(VLOOKUP(J34,'G-7 Rivers Data'!$AK$4:$AM$9,2,FALSE)=0,"Spatial Data Missing",VLOOKUP(J34,'G-7 Rivers Data'!$AK$4:$AM$9,2,FALSE)))</f>
        <v/>
      </c>
      <c r="L34" s="172" t="str">
        <f>IF(J34="","",IF(VLOOKUP(J34,'G-7 Rivers Data'!$AK$4:$AM$9,3,FALSE)=0,"Spatial Data Missing",VLOOKUP(J34,'G-7 Rivers Data'!$AK$4:$AM$9,3,FALSE)))</f>
        <v/>
      </c>
      <c r="M34" s="79"/>
      <c r="N34" s="172" t="str">
        <f>IF(M34="","",IF(VLOOKUP(M34,'G-7 Rivers Data'!$AA$4:$AB$7,2,FALSE)=0,"Spatial Data Missing",VLOOKUP(M34,'G-7 Rivers Data'!$AA$4:$AB$7,2,FALSE)))</f>
        <v/>
      </c>
      <c r="O34" s="187"/>
      <c r="P34" s="172" t="str">
        <f>IF(O34="","",IF(VLOOKUP(O34,'G-7 Rivers Data'!$AD$4:$AE$8,2,FALSE)=0,"Spatial Data Missing",VLOOKUP(O34,'G-7 Rivers Data'!$AD$4:$AE$8,2,FALSE)))</f>
        <v/>
      </c>
      <c r="Q34" s="177" t="str">
        <f>IF(D34="","",VLOOKUP(D34,'G-7 Rivers Data'!$B$2:$G$8,6,FALSE))</f>
        <v/>
      </c>
      <c r="R34" s="207" t="str">
        <f t="shared" si="0"/>
        <v/>
      </c>
      <c r="S34" s="44"/>
      <c r="T34" s="173"/>
      <c r="U34" s="189"/>
      <c r="V34" s="208" t="str">
        <f t="shared" si="1"/>
        <v/>
      </c>
      <c r="W34" s="208" t="str">
        <f t="shared" si="2"/>
        <v/>
      </c>
      <c r="X34" s="208" t="str">
        <f t="shared" si="3"/>
        <v/>
      </c>
      <c r="Y34" s="209" t="str">
        <f t="shared" si="4"/>
        <v/>
      </c>
      <c r="Z34" s="182"/>
      <c r="AA34" s="183"/>
      <c r="AG34" s="35">
        <f t="shared" si="5"/>
        <v>0</v>
      </c>
      <c r="AH34" s="188" t="str">
        <f t="shared" si="6"/>
        <v/>
      </c>
      <c r="AI34" s="188" t="str">
        <f t="shared" si="7"/>
        <v/>
      </c>
      <c r="AK34" s="188">
        <v>25</v>
      </c>
      <c r="AM34" s="188" t="str">
        <f t="array" ref="AM34">IFERROR(INDEX($AK$10:$AK$258, MATCH(0, IF(TRUE=$AH$10:$AH$258, COUNTIF($AM$9:$AM33, $AK$10:$AK$258), ""), 0)),"")</f>
        <v/>
      </c>
      <c r="AN34" s="188" t="str">
        <f t="array" ref="AN34">IFERROR(INDEX($AK$10:$AK$258, MATCH(0, IF(TRUE=$AI$10:$AI$258, COUNTIF($AN$9:$AN33, $AK$10:$AK$258), ""), 0)),"")</f>
        <v/>
      </c>
      <c r="AP34" s="35" t="str">
        <f>IFERROR(INDEX('G-7 Rivers Data'!$AZ$3:$AZ$7,MATCH(D34,'G-7 Rivers Data'!$AY$3:$AY$7,0)),"")</f>
        <v/>
      </c>
    </row>
    <row r="35" spans="3:42" ht="13.8" x14ac:dyDescent="0.25">
      <c r="C35" s="168">
        <v>26</v>
      </c>
      <c r="D35" s="212"/>
      <c r="E35" s="213"/>
      <c r="F35" s="171" t="str">
        <f>IF(D35="","",VLOOKUP(D35,'G-7 Rivers Data'!$B$2:$G$8,2,FALSE))</f>
        <v/>
      </c>
      <c r="G35" s="172" t="str">
        <f>IFERROR(VLOOKUP(F35,'G-7 Rivers Data'!$C$4:$D$8,2,FALSE),"")</f>
        <v/>
      </c>
      <c r="H35" s="173"/>
      <c r="I35" s="172" t="str">
        <f>IFERROR(INDEX('G-7 Rivers Data'!$H$4:$L$8,MATCH(D35,'G-7 Rivers Data'!$B$4:$B$8,0),MATCH(H35,'G-7 Rivers Data'!$H$3:$L$3,0)),"")</f>
        <v/>
      </c>
      <c r="J35" s="173"/>
      <c r="K35" s="172" t="str">
        <f>IF(J35="","",IF(VLOOKUP(J35,'G-7 Rivers Data'!$AK$4:$AM$9,2,FALSE)=0,"Spatial Data Missing",VLOOKUP(J35,'G-7 Rivers Data'!$AK$4:$AM$9,2,FALSE)))</f>
        <v/>
      </c>
      <c r="L35" s="172" t="str">
        <f>IF(J35="","",IF(VLOOKUP(J35,'G-7 Rivers Data'!$AK$4:$AM$9,3,FALSE)=0,"Spatial Data Missing",VLOOKUP(J35,'G-7 Rivers Data'!$AK$4:$AM$9,3,FALSE)))</f>
        <v/>
      </c>
      <c r="M35" s="79"/>
      <c r="N35" s="172" t="str">
        <f>IF(M35="","",IF(VLOOKUP(M35,'G-7 Rivers Data'!$AA$4:$AB$7,2,FALSE)=0,"Spatial Data Missing",VLOOKUP(M35,'G-7 Rivers Data'!$AA$4:$AB$7,2,FALSE)))</f>
        <v/>
      </c>
      <c r="O35" s="187"/>
      <c r="P35" s="172" t="str">
        <f>IF(O35="","",IF(VLOOKUP(O35,'G-7 Rivers Data'!$AD$4:$AE$8,2,FALSE)=0,"Spatial Data Missing",VLOOKUP(O35,'G-7 Rivers Data'!$AD$4:$AE$8,2,FALSE)))</f>
        <v/>
      </c>
      <c r="Q35" s="177" t="str">
        <f>IF(D35="","",VLOOKUP(D35,'G-7 Rivers Data'!$B$2:$G$8,6,FALSE))</f>
        <v/>
      </c>
      <c r="R35" s="207" t="str">
        <f t="shared" si="0"/>
        <v/>
      </c>
      <c r="S35" s="44"/>
      <c r="T35" s="173"/>
      <c r="U35" s="189"/>
      <c r="V35" s="208" t="str">
        <f t="shared" si="1"/>
        <v/>
      </c>
      <c r="W35" s="208" t="str">
        <f t="shared" si="2"/>
        <v/>
      </c>
      <c r="X35" s="208" t="str">
        <f t="shared" si="3"/>
        <v/>
      </c>
      <c r="Y35" s="209" t="str">
        <f t="shared" si="4"/>
        <v/>
      </c>
      <c r="Z35" s="182"/>
      <c r="AA35" s="183"/>
      <c r="AG35" s="35">
        <f t="shared" si="5"/>
        <v>0</v>
      </c>
      <c r="AH35" s="188" t="str">
        <f t="shared" si="6"/>
        <v/>
      </c>
      <c r="AI35" s="188" t="str">
        <f t="shared" si="7"/>
        <v/>
      </c>
      <c r="AK35" s="188">
        <v>26</v>
      </c>
      <c r="AM35" s="188" t="str">
        <f t="array" ref="AM35">IFERROR(INDEX($AK$10:$AK$258, MATCH(0, IF(TRUE=$AH$10:$AH$258, COUNTIF($AM$9:$AM34, $AK$10:$AK$258), ""), 0)),"")</f>
        <v/>
      </c>
      <c r="AN35" s="188" t="str">
        <f t="array" ref="AN35">IFERROR(INDEX($AK$10:$AK$258, MATCH(0, IF(TRUE=$AI$10:$AI$258, COUNTIF($AN$9:$AN34, $AK$10:$AK$258), ""), 0)),"")</f>
        <v/>
      </c>
      <c r="AP35" s="35" t="str">
        <f>IFERROR(INDEX('G-7 Rivers Data'!$AZ$3:$AZ$7,MATCH(D35,'G-7 Rivers Data'!$AY$3:$AY$7,0)),"")</f>
        <v/>
      </c>
    </row>
    <row r="36" spans="3:42" ht="13.8" x14ac:dyDescent="0.25">
      <c r="C36" s="168">
        <v>27</v>
      </c>
      <c r="D36" s="212"/>
      <c r="E36" s="213"/>
      <c r="F36" s="171" t="str">
        <f>IF(D36="","",VLOOKUP(D36,'G-7 Rivers Data'!$B$2:$G$8,2,FALSE))</f>
        <v/>
      </c>
      <c r="G36" s="172" t="str">
        <f>IFERROR(VLOOKUP(F36,'G-7 Rivers Data'!$C$4:$D$8,2,FALSE),"")</f>
        <v/>
      </c>
      <c r="H36" s="173"/>
      <c r="I36" s="172" t="str">
        <f>IFERROR(INDEX('G-7 Rivers Data'!$H$4:$L$8,MATCH(D36,'G-7 Rivers Data'!$B$4:$B$8,0),MATCH(H36,'G-7 Rivers Data'!$H$3:$L$3,0)),"")</f>
        <v/>
      </c>
      <c r="J36" s="173"/>
      <c r="K36" s="172" t="str">
        <f>IF(J36="","",IF(VLOOKUP(J36,'G-7 Rivers Data'!$AK$4:$AM$9,2,FALSE)=0,"Spatial Data Missing",VLOOKUP(J36,'G-7 Rivers Data'!$AK$4:$AM$9,2,FALSE)))</f>
        <v/>
      </c>
      <c r="L36" s="172" t="str">
        <f>IF(J36="","",IF(VLOOKUP(J36,'G-7 Rivers Data'!$AK$4:$AM$9,3,FALSE)=0,"Spatial Data Missing",VLOOKUP(J36,'G-7 Rivers Data'!$AK$4:$AM$9,3,FALSE)))</f>
        <v/>
      </c>
      <c r="M36" s="79"/>
      <c r="N36" s="172" t="str">
        <f>IF(M36="","",IF(VLOOKUP(M36,'G-7 Rivers Data'!$AA$4:$AB$7,2,FALSE)=0,"Spatial Data Missing",VLOOKUP(M36,'G-7 Rivers Data'!$AA$4:$AB$7,2,FALSE)))</f>
        <v/>
      </c>
      <c r="O36" s="187"/>
      <c r="P36" s="172" t="str">
        <f>IF(O36="","",IF(VLOOKUP(O36,'G-7 Rivers Data'!$AD$4:$AE$8,2,FALSE)=0,"Spatial Data Missing",VLOOKUP(O36,'G-7 Rivers Data'!$AD$4:$AE$8,2,FALSE)))</f>
        <v/>
      </c>
      <c r="Q36" s="177" t="str">
        <f>IF(D36="","",VLOOKUP(D36,'G-7 Rivers Data'!$B$2:$G$8,6,FALSE))</f>
        <v/>
      </c>
      <c r="R36" s="207" t="str">
        <f t="shared" si="0"/>
        <v/>
      </c>
      <c r="S36" s="44"/>
      <c r="T36" s="173"/>
      <c r="U36" s="189"/>
      <c r="V36" s="208" t="str">
        <f t="shared" si="1"/>
        <v/>
      </c>
      <c r="W36" s="208" t="str">
        <f t="shared" si="2"/>
        <v/>
      </c>
      <c r="X36" s="208" t="str">
        <f t="shared" si="3"/>
        <v/>
      </c>
      <c r="Y36" s="209" t="str">
        <f t="shared" si="4"/>
        <v/>
      </c>
      <c r="Z36" s="182"/>
      <c r="AA36" s="183"/>
      <c r="AG36" s="35">
        <f t="shared" si="5"/>
        <v>0</v>
      </c>
      <c r="AH36" s="188" t="str">
        <f t="shared" si="6"/>
        <v/>
      </c>
      <c r="AI36" s="188" t="str">
        <f t="shared" si="7"/>
        <v/>
      </c>
      <c r="AK36" s="188">
        <v>27</v>
      </c>
      <c r="AM36" s="188" t="str">
        <f t="array" ref="AM36">IFERROR(INDEX($AK$10:$AK$258, MATCH(0, IF(TRUE=$AH$10:$AH$258, COUNTIF($AM$9:$AM35, $AK$10:$AK$258), ""), 0)),"")</f>
        <v/>
      </c>
      <c r="AN36" s="188" t="str">
        <f t="array" ref="AN36">IFERROR(INDEX($AK$10:$AK$258, MATCH(0, IF(TRUE=$AI$10:$AI$258, COUNTIF($AN$9:$AN35, $AK$10:$AK$258), ""), 0)),"")</f>
        <v/>
      </c>
      <c r="AP36" s="35" t="str">
        <f>IFERROR(INDEX('G-7 Rivers Data'!$AZ$3:$AZ$7,MATCH(D36,'G-7 Rivers Data'!$AY$3:$AY$7,0)),"")</f>
        <v/>
      </c>
    </row>
    <row r="37" spans="3:42" ht="13.8" x14ac:dyDescent="0.25">
      <c r="C37" s="168">
        <v>28</v>
      </c>
      <c r="D37" s="212"/>
      <c r="E37" s="213"/>
      <c r="F37" s="171" t="str">
        <f>IF(D37="","",VLOOKUP(D37,'G-7 Rivers Data'!$B$2:$G$8,2,FALSE))</f>
        <v/>
      </c>
      <c r="G37" s="172" t="str">
        <f>IFERROR(VLOOKUP(F37,'G-7 Rivers Data'!$C$4:$D$8,2,FALSE),"")</f>
        <v/>
      </c>
      <c r="H37" s="173"/>
      <c r="I37" s="172" t="str">
        <f>IFERROR(INDEX('G-7 Rivers Data'!$H$4:$L$8,MATCH(D37,'G-7 Rivers Data'!$B$4:$B$8,0),MATCH(H37,'G-7 Rivers Data'!$H$3:$L$3,0)),"")</f>
        <v/>
      </c>
      <c r="J37" s="173"/>
      <c r="K37" s="172" t="str">
        <f>IF(J37="","",IF(VLOOKUP(J37,'G-7 Rivers Data'!$AK$4:$AM$9,2,FALSE)=0,"Spatial Data Missing",VLOOKUP(J37,'G-7 Rivers Data'!$AK$4:$AM$9,2,FALSE)))</f>
        <v/>
      </c>
      <c r="L37" s="172" t="str">
        <f>IF(J37="","",IF(VLOOKUP(J37,'G-7 Rivers Data'!$AK$4:$AM$9,3,FALSE)=0,"Spatial Data Missing",VLOOKUP(J37,'G-7 Rivers Data'!$AK$4:$AM$9,3,FALSE)))</f>
        <v/>
      </c>
      <c r="M37" s="79"/>
      <c r="N37" s="172" t="str">
        <f>IF(M37="","",IF(VLOOKUP(M37,'G-7 Rivers Data'!$AA$4:$AB$7,2,FALSE)=0,"Spatial Data Missing",VLOOKUP(M37,'G-7 Rivers Data'!$AA$4:$AB$7,2,FALSE)))</f>
        <v/>
      </c>
      <c r="O37" s="187"/>
      <c r="P37" s="172" t="str">
        <f>IF(O37="","",IF(VLOOKUP(O37,'G-7 Rivers Data'!$AD$4:$AE$8,2,FALSE)=0,"Spatial Data Missing",VLOOKUP(O37,'G-7 Rivers Data'!$AD$4:$AE$8,2,FALSE)))</f>
        <v/>
      </c>
      <c r="Q37" s="177" t="str">
        <f>IF(D37="","",VLOOKUP(D37,'G-7 Rivers Data'!$B$2:$G$8,6,FALSE))</f>
        <v/>
      </c>
      <c r="R37" s="207" t="str">
        <f t="shared" si="0"/>
        <v/>
      </c>
      <c r="S37" s="44"/>
      <c r="T37" s="173"/>
      <c r="U37" s="189"/>
      <c r="V37" s="208" t="str">
        <f t="shared" si="1"/>
        <v/>
      </c>
      <c r="W37" s="208" t="str">
        <f t="shared" si="2"/>
        <v/>
      </c>
      <c r="X37" s="208" t="str">
        <f t="shared" si="3"/>
        <v/>
      </c>
      <c r="Y37" s="209" t="str">
        <f t="shared" si="4"/>
        <v/>
      </c>
      <c r="Z37" s="182"/>
      <c r="AA37" s="183"/>
      <c r="AG37" s="35">
        <f t="shared" si="5"/>
        <v>0</v>
      </c>
      <c r="AH37" s="188" t="str">
        <f t="shared" si="6"/>
        <v/>
      </c>
      <c r="AI37" s="188" t="str">
        <f t="shared" si="7"/>
        <v/>
      </c>
      <c r="AK37" s="188">
        <v>28</v>
      </c>
      <c r="AM37" s="188" t="str">
        <f t="array" ref="AM37">IFERROR(INDEX($AK$10:$AK$258, MATCH(0, IF(TRUE=$AH$10:$AH$258, COUNTIF($AM$9:$AM36, $AK$10:$AK$258), ""), 0)),"")</f>
        <v/>
      </c>
      <c r="AN37" s="188" t="str">
        <f t="array" ref="AN37">IFERROR(INDEX($AK$10:$AK$258, MATCH(0, IF(TRUE=$AI$10:$AI$258, COUNTIF($AN$9:$AN36, $AK$10:$AK$258), ""), 0)),"")</f>
        <v/>
      </c>
      <c r="AP37" s="35" t="str">
        <f>IFERROR(INDEX('G-7 Rivers Data'!$AZ$3:$AZ$7,MATCH(D37,'G-7 Rivers Data'!$AY$3:$AY$7,0)),"")</f>
        <v/>
      </c>
    </row>
    <row r="38" spans="3:42" ht="13.8" x14ac:dyDescent="0.25">
      <c r="C38" s="168">
        <v>29</v>
      </c>
      <c r="D38" s="212"/>
      <c r="E38" s="213"/>
      <c r="F38" s="171" t="str">
        <f>IF(D38="","",VLOOKUP(D38,'G-7 Rivers Data'!$B$2:$G$8,2,FALSE))</f>
        <v/>
      </c>
      <c r="G38" s="172" t="str">
        <f>IFERROR(VLOOKUP(F38,'G-7 Rivers Data'!$C$4:$D$8,2,FALSE),"")</f>
        <v/>
      </c>
      <c r="H38" s="173"/>
      <c r="I38" s="172" t="str">
        <f>IFERROR(INDEX('G-7 Rivers Data'!$H$4:$L$8,MATCH(D38,'G-7 Rivers Data'!$B$4:$B$8,0),MATCH(H38,'G-7 Rivers Data'!$H$3:$L$3,0)),"")</f>
        <v/>
      </c>
      <c r="J38" s="173"/>
      <c r="K38" s="172" t="str">
        <f>IF(J38="","",IF(VLOOKUP(J38,'G-7 Rivers Data'!$AK$4:$AM$9,2,FALSE)=0,"Spatial Data Missing",VLOOKUP(J38,'G-7 Rivers Data'!$AK$4:$AM$9,2,FALSE)))</f>
        <v/>
      </c>
      <c r="L38" s="172" t="str">
        <f>IF(J38="","",IF(VLOOKUP(J38,'G-7 Rivers Data'!$AK$4:$AM$9,3,FALSE)=0,"Spatial Data Missing",VLOOKUP(J38,'G-7 Rivers Data'!$AK$4:$AM$9,3,FALSE)))</f>
        <v/>
      </c>
      <c r="M38" s="79"/>
      <c r="N38" s="172" t="str">
        <f>IF(M38="","",IF(VLOOKUP(M38,'G-7 Rivers Data'!$AA$4:$AB$7,2,FALSE)=0,"Spatial Data Missing",VLOOKUP(M38,'G-7 Rivers Data'!$AA$4:$AB$7,2,FALSE)))</f>
        <v/>
      </c>
      <c r="O38" s="187"/>
      <c r="P38" s="172" t="str">
        <f>IF(O38="","",IF(VLOOKUP(O38,'G-7 Rivers Data'!$AD$4:$AE$8,2,FALSE)=0,"Spatial Data Missing",VLOOKUP(O38,'G-7 Rivers Data'!$AD$4:$AE$8,2,FALSE)))</f>
        <v/>
      </c>
      <c r="Q38" s="177" t="str">
        <f>IF(D38="","",VLOOKUP(D38,'G-7 Rivers Data'!$B$2:$G$8,6,FALSE))</f>
        <v/>
      </c>
      <c r="R38" s="207" t="str">
        <f t="shared" si="0"/>
        <v/>
      </c>
      <c r="S38" s="44"/>
      <c r="T38" s="173"/>
      <c r="U38" s="189"/>
      <c r="V38" s="208" t="str">
        <f t="shared" si="1"/>
        <v/>
      </c>
      <c r="W38" s="208" t="str">
        <f t="shared" si="2"/>
        <v/>
      </c>
      <c r="X38" s="208" t="str">
        <f t="shared" si="3"/>
        <v/>
      </c>
      <c r="Y38" s="209" t="str">
        <f t="shared" si="4"/>
        <v/>
      </c>
      <c r="Z38" s="182"/>
      <c r="AA38" s="183"/>
      <c r="AG38" s="35">
        <f t="shared" si="5"/>
        <v>0</v>
      </c>
      <c r="AH38" s="188" t="str">
        <f t="shared" si="6"/>
        <v/>
      </c>
      <c r="AI38" s="188" t="str">
        <f t="shared" si="7"/>
        <v/>
      </c>
      <c r="AK38" s="188">
        <v>29</v>
      </c>
      <c r="AM38" s="188" t="str">
        <f t="array" ref="AM38">IFERROR(INDEX($AK$10:$AK$258, MATCH(0, IF(TRUE=$AH$10:$AH$258, COUNTIF($AM$9:$AM37, $AK$10:$AK$258), ""), 0)),"")</f>
        <v/>
      </c>
      <c r="AN38" s="188" t="str">
        <f t="array" ref="AN38">IFERROR(INDEX($AK$10:$AK$258, MATCH(0, IF(TRUE=$AI$10:$AI$258, COUNTIF($AN$9:$AN37, $AK$10:$AK$258), ""), 0)),"")</f>
        <v/>
      </c>
      <c r="AP38" s="35" t="str">
        <f>IFERROR(INDEX('G-7 Rivers Data'!$AZ$3:$AZ$7,MATCH(D38,'G-7 Rivers Data'!$AY$3:$AY$7,0)),"")</f>
        <v/>
      </c>
    </row>
    <row r="39" spans="3:42" ht="13.8" x14ac:dyDescent="0.25">
      <c r="C39" s="168">
        <v>30</v>
      </c>
      <c r="D39" s="212"/>
      <c r="E39" s="213"/>
      <c r="F39" s="171" t="str">
        <f>IF(D39="","",VLOOKUP(D39,'G-7 Rivers Data'!$B$2:$G$8,2,FALSE))</f>
        <v/>
      </c>
      <c r="G39" s="172" t="str">
        <f>IFERROR(VLOOKUP(F39,'G-7 Rivers Data'!$C$4:$D$8,2,FALSE),"")</f>
        <v/>
      </c>
      <c r="H39" s="173"/>
      <c r="I39" s="172" t="str">
        <f>IFERROR(INDEX('G-7 Rivers Data'!$H$4:$L$8,MATCH(D39,'G-7 Rivers Data'!$B$4:$B$8,0),MATCH(H39,'G-7 Rivers Data'!$H$3:$L$3,0)),"")</f>
        <v/>
      </c>
      <c r="J39" s="173"/>
      <c r="K39" s="172" t="str">
        <f>IF(J39="","",IF(VLOOKUP(J39,'G-7 Rivers Data'!$AK$4:$AM$9,2,FALSE)=0,"Spatial Data Missing",VLOOKUP(J39,'G-7 Rivers Data'!$AK$4:$AM$9,2,FALSE)))</f>
        <v/>
      </c>
      <c r="L39" s="172" t="str">
        <f>IF(J39="","",IF(VLOOKUP(J39,'G-7 Rivers Data'!$AK$4:$AM$9,3,FALSE)=0,"Spatial Data Missing",VLOOKUP(J39,'G-7 Rivers Data'!$AK$4:$AM$9,3,FALSE)))</f>
        <v/>
      </c>
      <c r="M39" s="79"/>
      <c r="N39" s="172" t="str">
        <f>IF(M39="","",IF(VLOOKUP(M39,'G-7 Rivers Data'!$AA$4:$AB$7,2,FALSE)=0,"Spatial Data Missing",VLOOKUP(M39,'G-7 Rivers Data'!$AA$4:$AB$7,2,FALSE)))</f>
        <v/>
      </c>
      <c r="O39" s="187"/>
      <c r="P39" s="172" t="str">
        <f>IF(O39="","",IF(VLOOKUP(O39,'G-7 Rivers Data'!$AD$4:$AE$8,2,FALSE)=0,"Spatial Data Missing",VLOOKUP(O39,'G-7 Rivers Data'!$AD$4:$AE$8,2,FALSE)))</f>
        <v/>
      </c>
      <c r="Q39" s="177" t="str">
        <f>IF(D39="","",VLOOKUP(D39,'G-7 Rivers Data'!$B$2:$G$8,6,FALSE))</f>
        <v/>
      </c>
      <c r="R39" s="207" t="str">
        <f t="shared" si="0"/>
        <v/>
      </c>
      <c r="S39" s="44"/>
      <c r="T39" s="173"/>
      <c r="U39" s="189"/>
      <c r="V39" s="208" t="str">
        <f t="shared" si="1"/>
        <v/>
      </c>
      <c r="W39" s="208" t="str">
        <f t="shared" si="2"/>
        <v/>
      </c>
      <c r="X39" s="208" t="str">
        <f t="shared" si="3"/>
        <v/>
      </c>
      <c r="Y39" s="209" t="str">
        <f t="shared" si="4"/>
        <v/>
      </c>
      <c r="Z39" s="182"/>
      <c r="AA39" s="183"/>
      <c r="AG39" s="35">
        <f t="shared" si="5"/>
        <v>0</v>
      </c>
      <c r="AH39" s="188" t="str">
        <f t="shared" si="6"/>
        <v/>
      </c>
      <c r="AI39" s="188" t="str">
        <f t="shared" si="7"/>
        <v/>
      </c>
      <c r="AK39" s="188">
        <v>30</v>
      </c>
      <c r="AM39" s="188" t="str">
        <f t="array" ref="AM39">IFERROR(INDEX($AK$10:$AK$258, MATCH(0, IF(TRUE=$AH$10:$AH$258, COUNTIF($AM$9:$AM38, $AK$10:$AK$258), ""), 0)),"")</f>
        <v/>
      </c>
      <c r="AN39" s="188" t="str">
        <f t="array" ref="AN39">IFERROR(INDEX($AK$10:$AK$258, MATCH(0, IF(TRUE=$AI$10:$AI$258, COUNTIF($AN$9:$AN38, $AK$10:$AK$258), ""), 0)),"")</f>
        <v/>
      </c>
      <c r="AP39" s="35" t="str">
        <f>IFERROR(INDEX('G-7 Rivers Data'!$AZ$3:$AZ$7,MATCH(D39,'G-7 Rivers Data'!$AY$3:$AY$7,0)),"")</f>
        <v/>
      </c>
    </row>
    <row r="40" spans="3:42" ht="13.8" x14ac:dyDescent="0.25">
      <c r="C40" s="168">
        <v>31</v>
      </c>
      <c r="D40" s="212"/>
      <c r="E40" s="213"/>
      <c r="F40" s="171" t="str">
        <f>IF(D40="","",VLOOKUP(D40,'G-7 Rivers Data'!$B$2:$G$8,2,FALSE))</f>
        <v/>
      </c>
      <c r="G40" s="172" t="str">
        <f>IFERROR(VLOOKUP(F40,'G-7 Rivers Data'!$C$4:$D$8,2,FALSE),"")</f>
        <v/>
      </c>
      <c r="H40" s="173"/>
      <c r="I40" s="172" t="str">
        <f>IFERROR(INDEX('G-7 Rivers Data'!$H$4:$L$8,MATCH(D40,'G-7 Rivers Data'!$B$4:$B$8,0),MATCH(H40,'G-7 Rivers Data'!$H$3:$L$3,0)),"")</f>
        <v/>
      </c>
      <c r="J40" s="173"/>
      <c r="K40" s="172" t="str">
        <f>IF(J40="","",IF(VLOOKUP(J40,'G-7 Rivers Data'!$AK$4:$AM$9,2,FALSE)=0,"Spatial Data Missing",VLOOKUP(J40,'G-7 Rivers Data'!$AK$4:$AM$9,2,FALSE)))</f>
        <v/>
      </c>
      <c r="L40" s="172" t="str">
        <f>IF(J40="","",IF(VLOOKUP(J40,'G-7 Rivers Data'!$AK$4:$AM$9,3,FALSE)=0,"Spatial Data Missing",VLOOKUP(J40,'G-7 Rivers Data'!$AK$4:$AM$9,3,FALSE)))</f>
        <v/>
      </c>
      <c r="M40" s="79"/>
      <c r="N40" s="172" t="str">
        <f>IF(M40="","",IF(VLOOKUP(M40,'G-7 Rivers Data'!$AA$4:$AB$7,2,FALSE)=0,"Spatial Data Missing",VLOOKUP(M40,'G-7 Rivers Data'!$AA$4:$AB$7,2,FALSE)))</f>
        <v/>
      </c>
      <c r="O40" s="187"/>
      <c r="P40" s="172" t="str">
        <f>IF(O40="","",IF(VLOOKUP(O40,'G-7 Rivers Data'!$AD$4:$AE$8,2,FALSE)=0,"Spatial Data Missing",VLOOKUP(O40,'G-7 Rivers Data'!$AD$4:$AE$8,2,FALSE)))</f>
        <v/>
      </c>
      <c r="Q40" s="177" t="str">
        <f>IF(D40="","",VLOOKUP(D40,'G-7 Rivers Data'!$B$2:$G$8,6,FALSE))</f>
        <v/>
      </c>
      <c r="R40" s="207" t="str">
        <f t="shared" si="0"/>
        <v/>
      </c>
      <c r="S40" s="44"/>
      <c r="T40" s="173"/>
      <c r="U40" s="189"/>
      <c r="V40" s="208" t="str">
        <f t="shared" si="1"/>
        <v/>
      </c>
      <c r="W40" s="208" t="str">
        <f t="shared" si="2"/>
        <v/>
      </c>
      <c r="X40" s="208" t="str">
        <f t="shared" si="3"/>
        <v/>
      </c>
      <c r="Y40" s="209" t="str">
        <f t="shared" si="4"/>
        <v/>
      </c>
      <c r="Z40" s="182"/>
      <c r="AA40" s="183"/>
      <c r="AG40" s="35">
        <f t="shared" si="5"/>
        <v>0</v>
      </c>
      <c r="AH40" s="188" t="str">
        <f t="shared" si="6"/>
        <v/>
      </c>
      <c r="AI40" s="188" t="str">
        <f t="shared" si="7"/>
        <v/>
      </c>
      <c r="AK40" s="188">
        <v>31</v>
      </c>
      <c r="AM40" s="188" t="str">
        <f t="array" ref="AM40">IFERROR(INDEX($AK$10:$AK$258, MATCH(0, IF(TRUE=$AH$10:$AH$258, COUNTIF($AM$9:$AM39, $AK$10:$AK$258), ""), 0)),"")</f>
        <v/>
      </c>
      <c r="AN40" s="188" t="str">
        <f t="array" ref="AN40">IFERROR(INDEX($AK$10:$AK$258, MATCH(0, IF(TRUE=$AI$10:$AI$258, COUNTIF($AN$9:$AN39, $AK$10:$AK$258), ""), 0)),"")</f>
        <v/>
      </c>
      <c r="AP40" s="35" t="str">
        <f>IFERROR(INDEX('G-7 Rivers Data'!$AZ$3:$AZ$7,MATCH(D40,'G-7 Rivers Data'!$AY$3:$AY$7,0)),"")</f>
        <v/>
      </c>
    </row>
    <row r="41" spans="3:42" ht="13.8" x14ac:dyDescent="0.25">
      <c r="C41" s="168">
        <v>32</v>
      </c>
      <c r="D41" s="212"/>
      <c r="E41" s="213"/>
      <c r="F41" s="171" t="str">
        <f>IF(D41="","",VLOOKUP(D41,'G-7 Rivers Data'!$B$2:$G$8,2,FALSE))</f>
        <v/>
      </c>
      <c r="G41" s="172" t="str">
        <f>IFERROR(VLOOKUP(F41,'G-7 Rivers Data'!$C$4:$D$8,2,FALSE),"")</f>
        <v/>
      </c>
      <c r="H41" s="173"/>
      <c r="I41" s="172" t="str">
        <f>IFERROR(INDEX('G-7 Rivers Data'!$H$4:$L$8,MATCH(D41,'G-7 Rivers Data'!$B$4:$B$8,0),MATCH(H41,'G-7 Rivers Data'!$H$3:$L$3,0)),"")</f>
        <v/>
      </c>
      <c r="J41" s="173"/>
      <c r="K41" s="172" t="str">
        <f>IF(J41="","",IF(VLOOKUP(J41,'G-7 Rivers Data'!$AK$4:$AM$9,2,FALSE)=0,"Spatial Data Missing",VLOOKUP(J41,'G-7 Rivers Data'!$AK$4:$AM$9,2,FALSE)))</f>
        <v/>
      </c>
      <c r="L41" s="172" t="str">
        <f>IF(J41="","",IF(VLOOKUP(J41,'G-7 Rivers Data'!$AK$4:$AM$9,3,FALSE)=0,"Spatial Data Missing",VLOOKUP(J41,'G-7 Rivers Data'!$AK$4:$AM$9,3,FALSE)))</f>
        <v/>
      </c>
      <c r="M41" s="79"/>
      <c r="N41" s="172" t="str">
        <f>IF(M41="","",IF(VLOOKUP(M41,'G-7 Rivers Data'!$AA$4:$AB$7,2,FALSE)=0,"Spatial Data Missing",VLOOKUP(M41,'G-7 Rivers Data'!$AA$4:$AB$7,2,FALSE)))</f>
        <v/>
      </c>
      <c r="O41" s="187"/>
      <c r="P41" s="172" t="str">
        <f>IF(O41="","",IF(VLOOKUP(O41,'G-7 Rivers Data'!$AD$4:$AE$8,2,FALSE)=0,"Spatial Data Missing",VLOOKUP(O41,'G-7 Rivers Data'!$AD$4:$AE$8,2,FALSE)))</f>
        <v/>
      </c>
      <c r="Q41" s="177" t="str">
        <f>IF(D41="","",VLOOKUP(D41,'G-7 Rivers Data'!$B$2:$G$8,6,FALSE))</f>
        <v/>
      </c>
      <c r="R41" s="207" t="str">
        <f t="shared" si="0"/>
        <v/>
      </c>
      <c r="S41" s="44"/>
      <c r="T41" s="173"/>
      <c r="U41" s="189"/>
      <c r="V41" s="208" t="str">
        <f t="shared" si="1"/>
        <v/>
      </c>
      <c r="W41" s="208" t="str">
        <f t="shared" si="2"/>
        <v/>
      </c>
      <c r="X41" s="208" t="str">
        <f t="shared" si="3"/>
        <v/>
      </c>
      <c r="Y41" s="209" t="str">
        <f t="shared" si="4"/>
        <v/>
      </c>
      <c r="Z41" s="182"/>
      <c r="AA41" s="183"/>
      <c r="AG41" s="35">
        <f t="shared" si="5"/>
        <v>0</v>
      </c>
      <c r="AH41" s="188" t="str">
        <f t="shared" si="6"/>
        <v/>
      </c>
      <c r="AI41" s="188" t="str">
        <f t="shared" si="7"/>
        <v/>
      </c>
      <c r="AK41" s="188">
        <v>32</v>
      </c>
      <c r="AM41" s="188" t="str">
        <f t="array" ref="AM41">IFERROR(INDEX($AK$10:$AK$258, MATCH(0, IF(TRUE=$AH$10:$AH$258, COUNTIF($AM$9:$AM40, $AK$10:$AK$258), ""), 0)),"")</f>
        <v/>
      </c>
      <c r="AN41" s="188" t="str">
        <f t="array" ref="AN41">IFERROR(INDEX($AK$10:$AK$258, MATCH(0, IF(TRUE=$AI$10:$AI$258, COUNTIF($AN$9:$AN40, $AK$10:$AK$258), ""), 0)),"")</f>
        <v/>
      </c>
      <c r="AP41" s="35" t="str">
        <f>IFERROR(INDEX('G-7 Rivers Data'!$AZ$3:$AZ$7,MATCH(D41,'G-7 Rivers Data'!$AY$3:$AY$7,0)),"")</f>
        <v/>
      </c>
    </row>
    <row r="42" spans="3:42" ht="13.8" x14ac:dyDescent="0.25">
      <c r="C42" s="168">
        <v>33</v>
      </c>
      <c r="D42" s="212"/>
      <c r="E42" s="213"/>
      <c r="F42" s="171" t="str">
        <f>IF(D42="","",VLOOKUP(D42,'G-7 Rivers Data'!$B$2:$G$8,2,FALSE))</f>
        <v/>
      </c>
      <c r="G42" s="172" t="str">
        <f>IFERROR(VLOOKUP(F42,'G-7 Rivers Data'!$C$4:$D$8,2,FALSE),"")</f>
        <v/>
      </c>
      <c r="H42" s="173"/>
      <c r="I42" s="172" t="str">
        <f>IFERROR(INDEX('G-7 Rivers Data'!$H$4:$L$8,MATCH(D42,'G-7 Rivers Data'!$B$4:$B$8,0),MATCH(H42,'G-7 Rivers Data'!$H$3:$L$3,0)),"")</f>
        <v/>
      </c>
      <c r="J42" s="173"/>
      <c r="K42" s="172" t="str">
        <f>IF(J42="","",IF(VLOOKUP(J42,'G-7 Rivers Data'!$AK$4:$AM$9,2,FALSE)=0,"Spatial Data Missing",VLOOKUP(J42,'G-7 Rivers Data'!$AK$4:$AM$9,2,FALSE)))</f>
        <v/>
      </c>
      <c r="L42" s="172" t="str">
        <f>IF(J42="","",IF(VLOOKUP(J42,'G-7 Rivers Data'!$AK$4:$AM$9,3,FALSE)=0,"Spatial Data Missing",VLOOKUP(J42,'G-7 Rivers Data'!$AK$4:$AM$9,3,FALSE)))</f>
        <v/>
      </c>
      <c r="M42" s="79"/>
      <c r="N42" s="172" t="str">
        <f>IF(M42="","",IF(VLOOKUP(M42,'G-7 Rivers Data'!$AA$4:$AB$7,2,FALSE)=0,"Spatial Data Missing",VLOOKUP(M42,'G-7 Rivers Data'!$AA$4:$AB$7,2,FALSE)))</f>
        <v/>
      </c>
      <c r="O42" s="187"/>
      <c r="P42" s="172" t="str">
        <f>IF(O42="","",IF(VLOOKUP(O42,'G-7 Rivers Data'!$AD$4:$AE$8,2,FALSE)=0,"Spatial Data Missing",VLOOKUP(O42,'G-7 Rivers Data'!$AD$4:$AE$8,2,FALSE)))</f>
        <v/>
      </c>
      <c r="Q42" s="177" t="str">
        <f>IF(D42="","",VLOOKUP(D42,'G-7 Rivers Data'!$B$2:$G$8,6,FALSE))</f>
        <v/>
      </c>
      <c r="R42" s="207" t="str">
        <f t="shared" si="0"/>
        <v/>
      </c>
      <c r="S42" s="44"/>
      <c r="T42" s="173"/>
      <c r="U42" s="189"/>
      <c r="V42" s="208" t="str">
        <f t="shared" si="1"/>
        <v/>
      </c>
      <c r="W42" s="208" t="str">
        <f t="shared" si="2"/>
        <v/>
      </c>
      <c r="X42" s="208" t="str">
        <f t="shared" si="3"/>
        <v/>
      </c>
      <c r="Y42" s="209" t="str">
        <f t="shared" si="4"/>
        <v/>
      </c>
      <c r="Z42" s="182"/>
      <c r="AA42" s="183"/>
      <c r="AG42" s="35">
        <f t="shared" si="5"/>
        <v>0</v>
      </c>
      <c r="AH42" s="188" t="str">
        <f t="shared" si="6"/>
        <v/>
      </c>
      <c r="AI42" s="188" t="str">
        <f t="shared" si="7"/>
        <v/>
      </c>
      <c r="AK42" s="188">
        <v>33</v>
      </c>
      <c r="AM42" s="188" t="str">
        <f t="array" ref="AM42">IFERROR(INDEX($AK$10:$AK$258, MATCH(0, IF(TRUE=$AH$10:$AH$258, COUNTIF($AM$9:$AM41, $AK$10:$AK$258), ""), 0)),"")</f>
        <v/>
      </c>
      <c r="AN42" s="188" t="str">
        <f t="array" ref="AN42">IFERROR(INDEX($AK$10:$AK$258, MATCH(0, IF(TRUE=$AI$10:$AI$258, COUNTIF($AN$9:$AN41, $AK$10:$AK$258), ""), 0)),"")</f>
        <v/>
      </c>
      <c r="AP42" s="35" t="str">
        <f>IFERROR(INDEX('G-7 Rivers Data'!$AZ$3:$AZ$7,MATCH(D42,'G-7 Rivers Data'!$AY$3:$AY$7,0)),"")</f>
        <v/>
      </c>
    </row>
    <row r="43" spans="3:42" ht="13.8" x14ac:dyDescent="0.25">
      <c r="C43" s="168">
        <v>34</v>
      </c>
      <c r="D43" s="212"/>
      <c r="E43" s="213"/>
      <c r="F43" s="171" t="str">
        <f>IF(D43="","",VLOOKUP(D43,'G-7 Rivers Data'!$B$2:$G$8,2,FALSE))</f>
        <v/>
      </c>
      <c r="G43" s="172" t="str">
        <f>IFERROR(VLOOKUP(F43,'G-7 Rivers Data'!$C$4:$D$8,2,FALSE),"")</f>
        <v/>
      </c>
      <c r="H43" s="173"/>
      <c r="I43" s="172" t="str">
        <f>IFERROR(INDEX('G-7 Rivers Data'!$H$4:$L$8,MATCH(D43,'G-7 Rivers Data'!$B$4:$B$8,0),MATCH(H43,'G-7 Rivers Data'!$H$3:$L$3,0)),"")</f>
        <v/>
      </c>
      <c r="J43" s="173"/>
      <c r="K43" s="172" t="str">
        <f>IF(J43="","",IF(VLOOKUP(J43,'G-7 Rivers Data'!$AK$4:$AM$9,2,FALSE)=0,"Spatial Data Missing",VLOOKUP(J43,'G-7 Rivers Data'!$AK$4:$AM$9,2,FALSE)))</f>
        <v/>
      </c>
      <c r="L43" s="172" t="str">
        <f>IF(J43="","",IF(VLOOKUP(J43,'G-7 Rivers Data'!$AK$4:$AM$9,3,FALSE)=0,"Spatial Data Missing",VLOOKUP(J43,'G-7 Rivers Data'!$AK$4:$AM$9,3,FALSE)))</f>
        <v/>
      </c>
      <c r="M43" s="79"/>
      <c r="N43" s="172" t="str">
        <f>IF(M43="","",IF(VLOOKUP(M43,'G-7 Rivers Data'!$AA$4:$AB$7,2,FALSE)=0,"Spatial Data Missing",VLOOKUP(M43,'G-7 Rivers Data'!$AA$4:$AB$7,2,FALSE)))</f>
        <v/>
      </c>
      <c r="O43" s="187"/>
      <c r="P43" s="172" t="str">
        <f>IF(O43="","",IF(VLOOKUP(O43,'G-7 Rivers Data'!$AD$4:$AE$8,2,FALSE)=0,"Spatial Data Missing",VLOOKUP(O43,'G-7 Rivers Data'!$AD$4:$AE$8,2,FALSE)))</f>
        <v/>
      </c>
      <c r="Q43" s="177" t="str">
        <f>IF(D43="","",VLOOKUP(D43,'G-7 Rivers Data'!$B$2:$G$8,6,FALSE))</f>
        <v/>
      </c>
      <c r="R43" s="207" t="str">
        <f t="shared" si="0"/>
        <v/>
      </c>
      <c r="S43" s="44"/>
      <c r="T43" s="173"/>
      <c r="U43" s="189"/>
      <c r="V43" s="208" t="str">
        <f t="shared" si="1"/>
        <v/>
      </c>
      <c r="W43" s="208" t="str">
        <f t="shared" si="2"/>
        <v/>
      </c>
      <c r="X43" s="208" t="str">
        <f t="shared" si="3"/>
        <v/>
      </c>
      <c r="Y43" s="209" t="str">
        <f t="shared" si="4"/>
        <v/>
      </c>
      <c r="Z43" s="182"/>
      <c r="AA43" s="183"/>
      <c r="AG43" s="35">
        <f t="shared" si="5"/>
        <v>0</v>
      </c>
      <c r="AH43" s="188" t="str">
        <f t="shared" si="6"/>
        <v/>
      </c>
      <c r="AI43" s="188" t="str">
        <f t="shared" si="7"/>
        <v/>
      </c>
      <c r="AK43" s="188">
        <v>34</v>
      </c>
      <c r="AM43" s="188" t="str">
        <f t="array" ref="AM43">IFERROR(INDEX($AK$10:$AK$258, MATCH(0, IF(TRUE=$AH$10:$AH$258, COUNTIF($AM$9:$AM42, $AK$10:$AK$258), ""), 0)),"")</f>
        <v/>
      </c>
      <c r="AN43" s="188" t="str">
        <f t="array" ref="AN43">IFERROR(INDEX($AK$10:$AK$258, MATCH(0, IF(TRUE=$AI$10:$AI$258, COUNTIF($AN$9:$AN42, $AK$10:$AK$258), ""), 0)),"")</f>
        <v/>
      </c>
      <c r="AP43" s="35" t="str">
        <f>IFERROR(INDEX('G-7 Rivers Data'!$AZ$3:$AZ$7,MATCH(D43,'G-7 Rivers Data'!$AY$3:$AY$7,0)),"")</f>
        <v/>
      </c>
    </row>
    <row r="44" spans="3:42" ht="13.8" x14ac:dyDescent="0.25">
      <c r="C44" s="168">
        <v>35</v>
      </c>
      <c r="D44" s="212"/>
      <c r="E44" s="213"/>
      <c r="F44" s="171" t="str">
        <f>IF(D44="","",VLOOKUP(D44,'G-7 Rivers Data'!$B$2:$G$8,2,FALSE))</f>
        <v/>
      </c>
      <c r="G44" s="172" t="str">
        <f>IFERROR(VLOOKUP(F44,'G-7 Rivers Data'!$C$4:$D$8,2,FALSE),"")</f>
        <v/>
      </c>
      <c r="H44" s="173"/>
      <c r="I44" s="172" t="str">
        <f>IFERROR(INDEX('G-7 Rivers Data'!$H$4:$L$8,MATCH(D44,'G-7 Rivers Data'!$B$4:$B$8,0),MATCH(H44,'G-7 Rivers Data'!$H$3:$L$3,0)),"")</f>
        <v/>
      </c>
      <c r="J44" s="173"/>
      <c r="K44" s="172" t="str">
        <f>IF(J44="","",IF(VLOOKUP(J44,'G-7 Rivers Data'!$AK$4:$AM$9,2,FALSE)=0,"Spatial Data Missing",VLOOKUP(J44,'G-7 Rivers Data'!$AK$4:$AM$9,2,FALSE)))</f>
        <v/>
      </c>
      <c r="L44" s="172" t="str">
        <f>IF(J44="","",IF(VLOOKUP(J44,'G-7 Rivers Data'!$AK$4:$AM$9,3,FALSE)=0,"Spatial Data Missing",VLOOKUP(J44,'G-7 Rivers Data'!$AK$4:$AM$9,3,FALSE)))</f>
        <v/>
      </c>
      <c r="M44" s="79"/>
      <c r="N44" s="172" t="str">
        <f>IF(M44="","",IF(VLOOKUP(M44,'G-7 Rivers Data'!$AA$4:$AB$7,2,FALSE)=0,"Spatial Data Missing",VLOOKUP(M44,'G-7 Rivers Data'!$AA$4:$AB$7,2,FALSE)))</f>
        <v/>
      </c>
      <c r="O44" s="187"/>
      <c r="P44" s="172" t="str">
        <f>IF(O44="","",IF(VLOOKUP(O44,'G-7 Rivers Data'!$AD$4:$AE$8,2,FALSE)=0,"Spatial Data Missing",VLOOKUP(O44,'G-7 Rivers Data'!$AD$4:$AE$8,2,FALSE)))</f>
        <v/>
      </c>
      <c r="Q44" s="177" t="str">
        <f>IF(D44="","",VLOOKUP(D44,'G-7 Rivers Data'!$B$2:$G$8,6,FALSE))</f>
        <v/>
      </c>
      <c r="R44" s="207" t="str">
        <f t="shared" si="0"/>
        <v/>
      </c>
      <c r="S44" s="44"/>
      <c r="T44" s="173"/>
      <c r="U44" s="189"/>
      <c r="V44" s="208" t="str">
        <f t="shared" si="1"/>
        <v/>
      </c>
      <c r="W44" s="208" t="str">
        <f t="shared" si="2"/>
        <v/>
      </c>
      <c r="X44" s="208" t="str">
        <f t="shared" si="3"/>
        <v/>
      </c>
      <c r="Y44" s="209" t="str">
        <f t="shared" si="4"/>
        <v/>
      </c>
      <c r="Z44" s="182"/>
      <c r="AA44" s="183"/>
      <c r="AG44" s="35">
        <f t="shared" si="5"/>
        <v>0</v>
      </c>
      <c r="AH44" s="188" t="str">
        <f t="shared" si="6"/>
        <v/>
      </c>
      <c r="AI44" s="188" t="str">
        <f t="shared" si="7"/>
        <v/>
      </c>
      <c r="AK44" s="188">
        <v>35</v>
      </c>
      <c r="AM44" s="188" t="str">
        <f t="array" ref="AM44">IFERROR(INDEX($AK$10:$AK$258, MATCH(0, IF(TRUE=$AH$10:$AH$258, COUNTIF($AM$9:$AM43, $AK$10:$AK$258), ""), 0)),"")</f>
        <v/>
      </c>
      <c r="AN44" s="188" t="str">
        <f t="array" ref="AN44">IFERROR(INDEX($AK$10:$AK$258, MATCH(0, IF(TRUE=$AI$10:$AI$258, COUNTIF($AN$9:$AN43, $AK$10:$AK$258), ""), 0)),"")</f>
        <v/>
      </c>
      <c r="AP44" s="35" t="str">
        <f>IFERROR(INDEX('G-7 Rivers Data'!$AZ$3:$AZ$7,MATCH(D44,'G-7 Rivers Data'!$AY$3:$AY$7,0)),"")</f>
        <v/>
      </c>
    </row>
    <row r="45" spans="3:42" ht="13.8" x14ac:dyDescent="0.25">
      <c r="C45" s="168">
        <v>36</v>
      </c>
      <c r="D45" s="212"/>
      <c r="E45" s="213"/>
      <c r="F45" s="171" t="str">
        <f>IF(D45="","",VLOOKUP(D45,'G-7 Rivers Data'!$B$2:$G$8,2,FALSE))</f>
        <v/>
      </c>
      <c r="G45" s="172" t="str">
        <f>IFERROR(VLOOKUP(F45,'G-7 Rivers Data'!$C$4:$D$8,2,FALSE),"")</f>
        <v/>
      </c>
      <c r="H45" s="173"/>
      <c r="I45" s="172" t="str">
        <f>IFERROR(INDEX('G-7 Rivers Data'!$H$4:$L$8,MATCH(D45,'G-7 Rivers Data'!$B$4:$B$8,0),MATCH(H45,'G-7 Rivers Data'!$H$3:$L$3,0)),"")</f>
        <v/>
      </c>
      <c r="J45" s="173"/>
      <c r="K45" s="172" t="str">
        <f>IF(J45="","",IF(VLOOKUP(J45,'G-7 Rivers Data'!$AK$4:$AM$9,2,FALSE)=0,"Spatial Data Missing",VLOOKUP(J45,'G-7 Rivers Data'!$AK$4:$AM$9,2,FALSE)))</f>
        <v/>
      </c>
      <c r="L45" s="172" t="str">
        <f>IF(J45="","",IF(VLOOKUP(J45,'G-7 Rivers Data'!$AK$4:$AM$9,3,FALSE)=0,"Spatial Data Missing",VLOOKUP(J45,'G-7 Rivers Data'!$AK$4:$AM$9,3,FALSE)))</f>
        <v/>
      </c>
      <c r="M45" s="79"/>
      <c r="N45" s="172" t="str">
        <f>IF(M45="","",IF(VLOOKUP(M45,'G-7 Rivers Data'!$AA$4:$AB$7,2,FALSE)=0,"Spatial Data Missing",VLOOKUP(M45,'G-7 Rivers Data'!$AA$4:$AB$7,2,FALSE)))</f>
        <v/>
      </c>
      <c r="O45" s="187"/>
      <c r="P45" s="172" t="str">
        <f>IF(O45="","",IF(VLOOKUP(O45,'G-7 Rivers Data'!$AD$4:$AE$8,2,FALSE)=0,"Spatial Data Missing",VLOOKUP(O45,'G-7 Rivers Data'!$AD$4:$AE$8,2,FALSE)))</f>
        <v/>
      </c>
      <c r="Q45" s="177" t="str">
        <f>IF(D45="","",VLOOKUP(D45,'G-7 Rivers Data'!$B$2:$G$8,6,FALSE))</f>
        <v/>
      </c>
      <c r="R45" s="207" t="str">
        <f t="shared" si="0"/>
        <v/>
      </c>
      <c r="S45" s="44"/>
      <c r="T45" s="173"/>
      <c r="U45" s="189"/>
      <c r="V45" s="208" t="str">
        <f t="shared" si="1"/>
        <v/>
      </c>
      <c r="W45" s="208" t="str">
        <f t="shared" si="2"/>
        <v/>
      </c>
      <c r="X45" s="208" t="str">
        <f t="shared" si="3"/>
        <v/>
      </c>
      <c r="Y45" s="209" t="str">
        <f t="shared" si="4"/>
        <v/>
      </c>
      <c r="Z45" s="182"/>
      <c r="AA45" s="183"/>
      <c r="AG45" s="35">
        <f t="shared" si="5"/>
        <v>0</v>
      </c>
      <c r="AH45" s="188" t="str">
        <f t="shared" si="6"/>
        <v/>
      </c>
      <c r="AI45" s="188" t="str">
        <f t="shared" si="7"/>
        <v/>
      </c>
      <c r="AK45" s="188">
        <v>36</v>
      </c>
      <c r="AM45" s="188" t="str">
        <f t="array" ref="AM45">IFERROR(INDEX($AK$10:$AK$258, MATCH(0, IF(TRUE=$AH$10:$AH$258, COUNTIF($AM$9:$AM44, $AK$10:$AK$258), ""), 0)),"")</f>
        <v/>
      </c>
      <c r="AN45" s="188" t="str">
        <f t="array" ref="AN45">IFERROR(INDEX($AK$10:$AK$258, MATCH(0, IF(TRUE=$AI$10:$AI$258, COUNTIF($AN$9:$AN44, $AK$10:$AK$258), ""), 0)),"")</f>
        <v/>
      </c>
      <c r="AP45" s="35" t="str">
        <f>IFERROR(INDEX('G-7 Rivers Data'!$AZ$3:$AZ$7,MATCH(D45,'G-7 Rivers Data'!$AY$3:$AY$7,0)),"")</f>
        <v/>
      </c>
    </row>
    <row r="46" spans="3:42" ht="13.8" x14ac:dyDescent="0.25">
      <c r="C46" s="168">
        <v>37</v>
      </c>
      <c r="D46" s="212"/>
      <c r="E46" s="213"/>
      <c r="F46" s="171" t="str">
        <f>IF(D46="","",VLOOKUP(D46,'G-7 Rivers Data'!$B$2:$G$8,2,FALSE))</f>
        <v/>
      </c>
      <c r="G46" s="172" t="str">
        <f>IFERROR(VLOOKUP(F46,'G-7 Rivers Data'!$C$4:$D$8,2,FALSE),"")</f>
        <v/>
      </c>
      <c r="H46" s="173"/>
      <c r="I46" s="172" t="str">
        <f>IFERROR(INDEX('G-7 Rivers Data'!$H$4:$L$8,MATCH(D46,'G-7 Rivers Data'!$B$4:$B$8,0),MATCH(H46,'G-7 Rivers Data'!$H$3:$L$3,0)),"")</f>
        <v/>
      </c>
      <c r="J46" s="173"/>
      <c r="K46" s="172" t="str">
        <f>IF(J46="","",IF(VLOOKUP(J46,'G-7 Rivers Data'!$AK$4:$AM$9,2,FALSE)=0,"Spatial Data Missing",VLOOKUP(J46,'G-7 Rivers Data'!$AK$4:$AM$9,2,FALSE)))</f>
        <v/>
      </c>
      <c r="L46" s="172" t="str">
        <f>IF(J46="","",IF(VLOOKUP(J46,'G-7 Rivers Data'!$AK$4:$AM$9,3,FALSE)=0,"Spatial Data Missing",VLOOKUP(J46,'G-7 Rivers Data'!$AK$4:$AM$9,3,FALSE)))</f>
        <v/>
      </c>
      <c r="M46" s="79"/>
      <c r="N46" s="172" t="str">
        <f>IF(M46="","",IF(VLOOKUP(M46,'G-7 Rivers Data'!$AA$4:$AB$7,2,FALSE)=0,"Spatial Data Missing",VLOOKUP(M46,'G-7 Rivers Data'!$AA$4:$AB$7,2,FALSE)))</f>
        <v/>
      </c>
      <c r="O46" s="187"/>
      <c r="P46" s="172" t="str">
        <f>IF(O46="","",IF(VLOOKUP(O46,'G-7 Rivers Data'!$AD$4:$AE$8,2,FALSE)=0,"Spatial Data Missing",VLOOKUP(O46,'G-7 Rivers Data'!$AD$4:$AE$8,2,FALSE)))</f>
        <v/>
      </c>
      <c r="Q46" s="177" t="str">
        <f>IF(D46="","",VLOOKUP(D46,'G-7 Rivers Data'!$B$2:$G$8,6,FALSE))</f>
        <v/>
      </c>
      <c r="R46" s="207" t="str">
        <f t="shared" si="0"/>
        <v/>
      </c>
      <c r="S46" s="44"/>
      <c r="T46" s="173"/>
      <c r="U46" s="189"/>
      <c r="V46" s="208" t="str">
        <f t="shared" si="1"/>
        <v/>
      </c>
      <c r="W46" s="208" t="str">
        <f t="shared" si="2"/>
        <v/>
      </c>
      <c r="X46" s="208" t="str">
        <f t="shared" si="3"/>
        <v/>
      </c>
      <c r="Y46" s="209" t="str">
        <f t="shared" si="4"/>
        <v/>
      </c>
      <c r="Z46" s="182"/>
      <c r="AA46" s="183"/>
      <c r="AG46" s="35">
        <f t="shared" si="5"/>
        <v>0</v>
      </c>
      <c r="AH46" s="188" t="str">
        <f t="shared" si="6"/>
        <v/>
      </c>
      <c r="AI46" s="188" t="str">
        <f t="shared" si="7"/>
        <v/>
      </c>
      <c r="AK46" s="188">
        <v>37</v>
      </c>
      <c r="AM46" s="188" t="str">
        <f t="array" ref="AM46">IFERROR(INDEX($AK$10:$AK$258, MATCH(0, IF(TRUE=$AH$10:$AH$258, COUNTIF($AM$9:$AM45, $AK$10:$AK$258), ""), 0)),"")</f>
        <v/>
      </c>
      <c r="AN46" s="188" t="str">
        <f t="array" ref="AN46">IFERROR(INDEX($AK$10:$AK$258, MATCH(0, IF(TRUE=$AI$10:$AI$258, COUNTIF($AN$9:$AN45, $AK$10:$AK$258), ""), 0)),"")</f>
        <v/>
      </c>
      <c r="AP46" s="35" t="str">
        <f>IFERROR(INDEX('G-7 Rivers Data'!$AZ$3:$AZ$7,MATCH(D46,'G-7 Rivers Data'!$AY$3:$AY$7,0)),"")</f>
        <v/>
      </c>
    </row>
    <row r="47" spans="3:42" ht="13.8" x14ac:dyDescent="0.25">
      <c r="C47" s="168">
        <v>38</v>
      </c>
      <c r="D47" s="212"/>
      <c r="E47" s="213"/>
      <c r="F47" s="171" t="str">
        <f>IF(D47="","",VLOOKUP(D47,'G-7 Rivers Data'!$B$2:$G$8,2,FALSE))</f>
        <v/>
      </c>
      <c r="G47" s="172" t="str">
        <f>IFERROR(VLOOKUP(F47,'G-7 Rivers Data'!$C$4:$D$8,2,FALSE),"")</f>
        <v/>
      </c>
      <c r="H47" s="173"/>
      <c r="I47" s="172" t="str">
        <f>IFERROR(INDEX('G-7 Rivers Data'!$H$4:$L$8,MATCH(D47,'G-7 Rivers Data'!$B$4:$B$8,0),MATCH(H47,'G-7 Rivers Data'!$H$3:$L$3,0)),"")</f>
        <v/>
      </c>
      <c r="J47" s="173"/>
      <c r="K47" s="172" t="str">
        <f>IF(J47="","",IF(VLOOKUP(J47,'G-7 Rivers Data'!$AK$4:$AM$9,2,FALSE)=0,"Spatial Data Missing",VLOOKUP(J47,'G-7 Rivers Data'!$AK$4:$AM$9,2,FALSE)))</f>
        <v/>
      </c>
      <c r="L47" s="172" t="str">
        <f>IF(J47="","",IF(VLOOKUP(J47,'G-7 Rivers Data'!$AK$4:$AM$9,3,FALSE)=0,"Spatial Data Missing",VLOOKUP(J47,'G-7 Rivers Data'!$AK$4:$AM$9,3,FALSE)))</f>
        <v/>
      </c>
      <c r="M47" s="79"/>
      <c r="N47" s="172" t="str">
        <f>IF(M47="","",IF(VLOOKUP(M47,'G-7 Rivers Data'!$AA$4:$AB$7,2,FALSE)=0,"Spatial Data Missing",VLOOKUP(M47,'G-7 Rivers Data'!$AA$4:$AB$7,2,FALSE)))</f>
        <v/>
      </c>
      <c r="O47" s="187"/>
      <c r="P47" s="172" t="str">
        <f>IF(O47="","",IF(VLOOKUP(O47,'G-7 Rivers Data'!$AD$4:$AE$8,2,FALSE)=0,"Spatial Data Missing",VLOOKUP(O47,'G-7 Rivers Data'!$AD$4:$AE$8,2,FALSE)))</f>
        <v/>
      </c>
      <c r="Q47" s="177" t="str">
        <f>IF(D47="","",VLOOKUP(D47,'G-7 Rivers Data'!$B$2:$G$8,6,FALSE))</f>
        <v/>
      </c>
      <c r="R47" s="207" t="str">
        <f t="shared" si="0"/>
        <v/>
      </c>
      <c r="S47" s="44"/>
      <c r="T47" s="173"/>
      <c r="U47" s="189"/>
      <c r="V47" s="208" t="str">
        <f t="shared" si="1"/>
        <v/>
      </c>
      <c r="W47" s="208" t="str">
        <f t="shared" si="2"/>
        <v/>
      </c>
      <c r="X47" s="208" t="str">
        <f t="shared" si="3"/>
        <v/>
      </c>
      <c r="Y47" s="209" t="str">
        <f t="shared" si="4"/>
        <v/>
      </c>
      <c r="Z47" s="182"/>
      <c r="AA47" s="183"/>
      <c r="AG47" s="35">
        <f t="shared" si="5"/>
        <v>0</v>
      </c>
      <c r="AH47" s="188" t="str">
        <f t="shared" si="6"/>
        <v/>
      </c>
      <c r="AI47" s="188" t="str">
        <f t="shared" si="7"/>
        <v/>
      </c>
      <c r="AK47" s="188">
        <v>38</v>
      </c>
      <c r="AM47" s="188" t="str">
        <f t="array" ref="AM47">IFERROR(INDEX($AK$10:$AK$258, MATCH(0, IF(TRUE=$AH$10:$AH$258, COUNTIF($AM$9:$AM46, $AK$10:$AK$258), ""), 0)),"")</f>
        <v/>
      </c>
      <c r="AN47" s="188" t="str">
        <f t="array" ref="AN47">IFERROR(INDEX($AK$10:$AK$258, MATCH(0, IF(TRUE=$AI$10:$AI$258, COUNTIF($AN$9:$AN46, $AK$10:$AK$258), ""), 0)),"")</f>
        <v/>
      </c>
      <c r="AP47" s="35" t="str">
        <f>IFERROR(INDEX('G-7 Rivers Data'!$AZ$3:$AZ$7,MATCH(D47,'G-7 Rivers Data'!$AY$3:$AY$7,0)),"")</f>
        <v/>
      </c>
    </row>
    <row r="48" spans="3:42" ht="13.8" x14ac:dyDescent="0.25">
      <c r="C48" s="168">
        <v>39</v>
      </c>
      <c r="D48" s="212"/>
      <c r="E48" s="213"/>
      <c r="F48" s="171" t="str">
        <f>IF(D48="","",VLOOKUP(D48,'G-7 Rivers Data'!$B$2:$G$8,2,FALSE))</f>
        <v/>
      </c>
      <c r="G48" s="172" t="str">
        <f>IFERROR(VLOOKUP(F48,'G-7 Rivers Data'!$C$4:$D$8,2,FALSE),"")</f>
        <v/>
      </c>
      <c r="H48" s="173"/>
      <c r="I48" s="172" t="str">
        <f>IFERROR(INDEX('G-7 Rivers Data'!$H$4:$L$8,MATCH(D48,'G-7 Rivers Data'!$B$4:$B$8,0),MATCH(H48,'G-7 Rivers Data'!$H$3:$L$3,0)),"")</f>
        <v/>
      </c>
      <c r="J48" s="173"/>
      <c r="K48" s="172" t="str">
        <f>IF(J48="","",IF(VLOOKUP(J48,'G-7 Rivers Data'!$AK$4:$AM$9,2,FALSE)=0,"Spatial Data Missing",VLOOKUP(J48,'G-7 Rivers Data'!$AK$4:$AM$9,2,FALSE)))</f>
        <v/>
      </c>
      <c r="L48" s="172" t="str">
        <f>IF(J48="","",IF(VLOOKUP(J48,'G-7 Rivers Data'!$AK$4:$AM$9,3,FALSE)=0,"Spatial Data Missing",VLOOKUP(J48,'G-7 Rivers Data'!$AK$4:$AM$9,3,FALSE)))</f>
        <v/>
      </c>
      <c r="M48" s="79"/>
      <c r="N48" s="172" t="str">
        <f>IF(M48="","",IF(VLOOKUP(M48,'G-7 Rivers Data'!$AA$4:$AB$7,2,FALSE)=0,"Spatial Data Missing",VLOOKUP(M48,'G-7 Rivers Data'!$AA$4:$AB$7,2,FALSE)))</f>
        <v/>
      </c>
      <c r="O48" s="187"/>
      <c r="P48" s="172" t="str">
        <f>IF(O48="","",IF(VLOOKUP(O48,'G-7 Rivers Data'!$AD$4:$AE$8,2,FALSE)=0,"Spatial Data Missing",VLOOKUP(O48,'G-7 Rivers Data'!$AD$4:$AE$8,2,FALSE)))</f>
        <v/>
      </c>
      <c r="Q48" s="177" t="str">
        <f>IF(D48="","",VLOOKUP(D48,'G-7 Rivers Data'!$B$2:$G$8,6,FALSE))</f>
        <v/>
      </c>
      <c r="R48" s="207" t="str">
        <f t="shared" si="0"/>
        <v/>
      </c>
      <c r="S48" s="44"/>
      <c r="T48" s="173"/>
      <c r="U48" s="189"/>
      <c r="V48" s="208" t="str">
        <f t="shared" si="1"/>
        <v/>
      </c>
      <c r="W48" s="208" t="str">
        <f t="shared" si="2"/>
        <v/>
      </c>
      <c r="X48" s="208" t="str">
        <f t="shared" si="3"/>
        <v/>
      </c>
      <c r="Y48" s="209" t="str">
        <f t="shared" si="4"/>
        <v/>
      </c>
      <c r="Z48" s="182"/>
      <c r="AA48" s="183"/>
      <c r="AG48" s="35">
        <f t="shared" si="5"/>
        <v>0</v>
      </c>
      <c r="AH48" s="188" t="str">
        <f t="shared" si="6"/>
        <v/>
      </c>
      <c r="AI48" s="188" t="str">
        <f t="shared" si="7"/>
        <v/>
      </c>
      <c r="AK48" s="188">
        <v>39</v>
      </c>
      <c r="AM48" s="188" t="str">
        <f t="array" ref="AM48">IFERROR(INDEX($AK$10:$AK$258, MATCH(0, IF(TRUE=$AH$10:$AH$258, COUNTIF($AM$9:$AM47, $AK$10:$AK$258), ""), 0)),"")</f>
        <v/>
      </c>
      <c r="AN48" s="188" t="str">
        <f t="array" ref="AN48">IFERROR(INDEX($AK$10:$AK$258, MATCH(0, IF(TRUE=$AI$10:$AI$258, COUNTIF($AN$9:$AN47, $AK$10:$AK$258), ""), 0)),"")</f>
        <v/>
      </c>
      <c r="AP48" s="35" t="str">
        <f>IFERROR(INDEX('G-7 Rivers Data'!$AZ$3:$AZ$7,MATCH(D48,'G-7 Rivers Data'!$AY$3:$AY$7,0)),"")</f>
        <v/>
      </c>
    </row>
    <row r="49" spans="3:42" ht="13.8" x14ac:dyDescent="0.25">
      <c r="C49" s="168">
        <v>40</v>
      </c>
      <c r="D49" s="212"/>
      <c r="E49" s="213"/>
      <c r="F49" s="171" t="str">
        <f>IF(D49="","",VLOOKUP(D49,'G-7 Rivers Data'!$B$2:$G$8,2,FALSE))</f>
        <v/>
      </c>
      <c r="G49" s="172" t="str">
        <f>IFERROR(VLOOKUP(F49,'G-7 Rivers Data'!$C$4:$D$8,2,FALSE),"")</f>
        <v/>
      </c>
      <c r="H49" s="173"/>
      <c r="I49" s="172" t="str">
        <f>IFERROR(INDEX('G-7 Rivers Data'!$H$4:$L$8,MATCH(D49,'G-7 Rivers Data'!$B$4:$B$8,0),MATCH(H49,'G-7 Rivers Data'!$H$3:$L$3,0)),"")</f>
        <v/>
      </c>
      <c r="J49" s="173"/>
      <c r="K49" s="172" t="str">
        <f>IF(J49="","",IF(VLOOKUP(J49,'G-7 Rivers Data'!$AK$4:$AM$9,2,FALSE)=0,"Spatial Data Missing",VLOOKUP(J49,'G-7 Rivers Data'!$AK$4:$AM$9,2,FALSE)))</f>
        <v/>
      </c>
      <c r="L49" s="172" t="str">
        <f>IF(J49="","",IF(VLOOKUP(J49,'G-7 Rivers Data'!$AK$4:$AM$9,3,FALSE)=0,"Spatial Data Missing",VLOOKUP(J49,'G-7 Rivers Data'!$AK$4:$AM$9,3,FALSE)))</f>
        <v/>
      </c>
      <c r="M49" s="79"/>
      <c r="N49" s="172" t="str">
        <f>IF(M49="","",IF(VLOOKUP(M49,'G-7 Rivers Data'!$AA$4:$AB$7,2,FALSE)=0,"Spatial Data Missing",VLOOKUP(M49,'G-7 Rivers Data'!$AA$4:$AB$7,2,FALSE)))</f>
        <v/>
      </c>
      <c r="O49" s="187"/>
      <c r="P49" s="172" t="str">
        <f>IF(O49="","",IF(VLOOKUP(O49,'G-7 Rivers Data'!$AD$4:$AE$8,2,FALSE)=0,"Spatial Data Missing",VLOOKUP(O49,'G-7 Rivers Data'!$AD$4:$AE$8,2,FALSE)))</f>
        <v/>
      </c>
      <c r="Q49" s="177" t="str">
        <f>IF(D49="","",VLOOKUP(D49,'G-7 Rivers Data'!$B$2:$G$8,6,FALSE))</f>
        <v/>
      </c>
      <c r="R49" s="207" t="str">
        <f t="shared" si="0"/>
        <v/>
      </c>
      <c r="S49" s="44"/>
      <c r="T49" s="173"/>
      <c r="U49" s="189"/>
      <c r="V49" s="208" t="str">
        <f t="shared" si="1"/>
        <v/>
      </c>
      <c r="W49" s="208" t="str">
        <f t="shared" si="2"/>
        <v/>
      </c>
      <c r="X49" s="208" t="str">
        <f t="shared" si="3"/>
        <v/>
      </c>
      <c r="Y49" s="209" t="str">
        <f t="shared" si="4"/>
        <v/>
      </c>
      <c r="Z49" s="182"/>
      <c r="AA49" s="183"/>
      <c r="AG49" s="35">
        <f t="shared" si="5"/>
        <v>0</v>
      </c>
      <c r="AH49" s="188" t="str">
        <f t="shared" si="6"/>
        <v/>
      </c>
      <c r="AI49" s="188" t="str">
        <f t="shared" si="7"/>
        <v/>
      </c>
      <c r="AK49" s="188">
        <v>40</v>
      </c>
      <c r="AM49" s="188" t="str">
        <f t="array" ref="AM49">IFERROR(INDEX($AK$10:$AK$258, MATCH(0, IF(TRUE=$AH$10:$AH$258, COUNTIF($AM$9:$AM48, $AK$10:$AK$258), ""), 0)),"")</f>
        <v/>
      </c>
      <c r="AN49" s="188" t="str">
        <f t="array" ref="AN49">IFERROR(INDEX($AK$10:$AK$258, MATCH(0, IF(TRUE=$AI$10:$AI$258, COUNTIF($AN$9:$AN48, $AK$10:$AK$258), ""), 0)),"")</f>
        <v/>
      </c>
      <c r="AP49" s="35" t="str">
        <f>IFERROR(INDEX('G-7 Rivers Data'!$AZ$3:$AZ$7,MATCH(D49,'G-7 Rivers Data'!$AY$3:$AY$7,0)),"")</f>
        <v/>
      </c>
    </row>
    <row r="50" spans="3:42" ht="13.8" x14ac:dyDescent="0.25">
      <c r="C50" s="168">
        <v>41</v>
      </c>
      <c r="D50" s="212"/>
      <c r="E50" s="213"/>
      <c r="F50" s="171" t="str">
        <f>IF(D50="","",VLOOKUP(D50,'G-7 Rivers Data'!$B$2:$G$8,2,FALSE))</f>
        <v/>
      </c>
      <c r="G50" s="172" t="str">
        <f>IFERROR(VLOOKUP(F50,'G-7 Rivers Data'!$C$4:$D$8,2,FALSE),"")</f>
        <v/>
      </c>
      <c r="H50" s="173"/>
      <c r="I50" s="172" t="str">
        <f>IFERROR(INDEX('G-7 Rivers Data'!$H$4:$L$8,MATCH(D50,'G-7 Rivers Data'!$B$4:$B$8,0),MATCH(H50,'G-7 Rivers Data'!$H$3:$L$3,0)),"")</f>
        <v/>
      </c>
      <c r="J50" s="173"/>
      <c r="K50" s="172" t="str">
        <f>IF(J50="","",IF(VLOOKUP(J50,'G-7 Rivers Data'!$AK$4:$AM$9,2,FALSE)=0,"Spatial Data Missing",VLOOKUP(J50,'G-7 Rivers Data'!$AK$4:$AM$9,2,FALSE)))</f>
        <v/>
      </c>
      <c r="L50" s="172" t="str">
        <f>IF(J50="","",IF(VLOOKUP(J50,'G-7 Rivers Data'!$AK$4:$AM$9,3,FALSE)=0,"Spatial Data Missing",VLOOKUP(J50,'G-7 Rivers Data'!$AK$4:$AM$9,3,FALSE)))</f>
        <v/>
      </c>
      <c r="M50" s="79"/>
      <c r="N50" s="172" t="str">
        <f>IF(M50="","",IF(VLOOKUP(M50,'G-7 Rivers Data'!$AA$4:$AB$7,2,FALSE)=0,"Spatial Data Missing",VLOOKUP(M50,'G-7 Rivers Data'!$AA$4:$AB$7,2,FALSE)))</f>
        <v/>
      </c>
      <c r="O50" s="187"/>
      <c r="P50" s="172" t="str">
        <f>IF(O50="","",IF(VLOOKUP(O50,'G-7 Rivers Data'!$AD$4:$AE$8,2,FALSE)=0,"Spatial Data Missing",VLOOKUP(O50,'G-7 Rivers Data'!$AD$4:$AE$8,2,FALSE)))</f>
        <v/>
      </c>
      <c r="Q50" s="177" t="str">
        <f>IF(D50="","",VLOOKUP(D50,'G-7 Rivers Data'!$B$2:$G$8,6,FALSE))</f>
        <v/>
      </c>
      <c r="R50" s="207" t="str">
        <f t="shared" si="0"/>
        <v/>
      </c>
      <c r="S50" s="44"/>
      <c r="T50" s="173"/>
      <c r="U50" s="189"/>
      <c r="V50" s="208" t="str">
        <f t="shared" si="1"/>
        <v/>
      </c>
      <c r="W50" s="208" t="str">
        <f t="shared" si="2"/>
        <v/>
      </c>
      <c r="X50" s="208" t="str">
        <f t="shared" si="3"/>
        <v/>
      </c>
      <c r="Y50" s="209" t="str">
        <f t="shared" si="4"/>
        <v/>
      </c>
      <c r="Z50" s="182"/>
      <c r="AA50" s="183"/>
      <c r="AG50" s="35">
        <f t="shared" si="5"/>
        <v>0</v>
      </c>
      <c r="AH50" s="188" t="str">
        <f t="shared" si="6"/>
        <v/>
      </c>
      <c r="AI50" s="188" t="str">
        <f t="shared" si="7"/>
        <v/>
      </c>
      <c r="AK50" s="188">
        <v>41</v>
      </c>
      <c r="AM50" s="188" t="str">
        <f t="array" ref="AM50">IFERROR(INDEX($AK$10:$AK$258, MATCH(0, IF(TRUE=$AH$10:$AH$258, COUNTIF($AM$9:$AM49, $AK$10:$AK$258), ""), 0)),"")</f>
        <v/>
      </c>
      <c r="AN50" s="188" t="str">
        <f t="array" ref="AN50">IFERROR(INDEX($AK$10:$AK$258, MATCH(0, IF(TRUE=$AI$10:$AI$258, COUNTIF($AN$9:$AN49, $AK$10:$AK$258), ""), 0)),"")</f>
        <v/>
      </c>
      <c r="AP50" s="35" t="str">
        <f>IFERROR(INDEX('G-7 Rivers Data'!$AZ$3:$AZ$7,MATCH(D50,'G-7 Rivers Data'!$AY$3:$AY$7,0)),"")</f>
        <v/>
      </c>
    </row>
    <row r="51" spans="3:42" ht="13.8" x14ac:dyDescent="0.25">
      <c r="C51" s="168">
        <v>42</v>
      </c>
      <c r="D51" s="212"/>
      <c r="E51" s="213"/>
      <c r="F51" s="171" t="str">
        <f>IF(D51="","",VLOOKUP(D51,'G-7 Rivers Data'!$B$2:$G$8,2,FALSE))</f>
        <v/>
      </c>
      <c r="G51" s="172" t="str">
        <f>IFERROR(VLOOKUP(F51,'G-7 Rivers Data'!$C$4:$D$8,2,FALSE),"")</f>
        <v/>
      </c>
      <c r="H51" s="173"/>
      <c r="I51" s="172" t="str">
        <f>IFERROR(INDEX('G-7 Rivers Data'!$H$4:$L$8,MATCH(D51,'G-7 Rivers Data'!$B$4:$B$8,0),MATCH(H51,'G-7 Rivers Data'!$H$3:$L$3,0)),"")</f>
        <v/>
      </c>
      <c r="J51" s="173"/>
      <c r="K51" s="172" t="str">
        <f>IF(J51="","",IF(VLOOKUP(J51,'G-7 Rivers Data'!$AK$4:$AM$9,2,FALSE)=0,"Spatial Data Missing",VLOOKUP(J51,'G-7 Rivers Data'!$AK$4:$AM$9,2,FALSE)))</f>
        <v/>
      </c>
      <c r="L51" s="172" t="str">
        <f>IF(J51="","",IF(VLOOKUP(J51,'G-7 Rivers Data'!$AK$4:$AM$9,3,FALSE)=0,"Spatial Data Missing",VLOOKUP(J51,'G-7 Rivers Data'!$AK$4:$AM$9,3,FALSE)))</f>
        <v/>
      </c>
      <c r="M51" s="79"/>
      <c r="N51" s="172" t="str">
        <f>IF(M51="","",IF(VLOOKUP(M51,'G-7 Rivers Data'!$AA$4:$AB$7,2,FALSE)=0,"Spatial Data Missing",VLOOKUP(M51,'G-7 Rivers Data'!$AA$4:$AB$7,2,FALSE)))</f>
        <v/>
      </c>
      <c r="O51" s="187"/>
      <c r="P51" s="172" t="str">
        <f>IF(O51="","",IF(VLOOKUP(O51,'G-7 Rivers Data'!$AD$4:$AE$8,2,FALSE)=0,"Spatial Data Missing",VLOOKUP(O51,'G-7 Rivers Data'!$AD$4:$AE$8,2,FALSE)))</f>
        <v/>
      </c>
      <c r="Q51" s="177" t="str">
        <f>IF(D51="","",VLOOKUP(D51,'G-7 Rivers Data'!$B$2:$G$8,6,FALSE))</f>
        <v/>
      </c>
      <c r="R51" s="207" t="str">
        <f t="shared" si="0"/>
        <v/>
      </c>
      <c r="S51" s="44"/>
      <c r="T51" s="173"/>
      <c r="U51" s="189"/>
      <c r="V51" s="208" t="str">
        <f t="shared" si="1"/>
        <v/>
      </c>
      <c r="W51" s="208" t="str">
        <f t="shared" si="2"/>
        <v/>
      </c>
      <c r="X51" s="208" t="str">
        <f t="shared" si="3"/>
        <v/>
      </c>
      <c r="Y51" s="209" t="str">
        <f t="shared" si="4"/>
        <v/>
      </c>
      <c r="Z51" s="182"/>
      <c r="AA51" s="183"/>
      <c r="AG51" s="35">
        <f t="shared" si="5"/>
        <v>0</v>
      </c>
      <c r="AH51" s="188" t="str">
        <f t="shared" si="6"/>
        <v/>
      </c>
      <c r="AI51" s="188" t="str">
        <f t="shared" si="7"/>
        <v/>
      </c>
      <c r="AK51" s="188">
        <v>42</v>
      </c>
      <c r="AM51" s="188" t="str">
        <f t="array" ref="AM51">IFERROR(INDEX($AK$10:$AK$258, MATCH(0, IF(TRUE=$AH$10:$AH$258, COUNTIF($AM$9:$AM50, $AK$10:$AK$258), ""), 0)),"")</f>
        <v/>
      </c>
      <c r="AN51" s="188" t="str">
        <f t="array" ref="AN51">IFERROR(INDEX($AK$10:$AK$258, MATCH(0, IF(TRUE=$AI$10:$AI$258, COUNTIF($AN$9:$AN50, $AK$10:$AK$258), ""), 0)),"")</f>
        <v/>
      </c>
      <c r="AP51" s="35" t="str">
        <f>IFERROR(INDEX('G-7 Rivers Data'!$AZ$3:$AZ$7,MATCH(D51,'G-7 Rivers Data'!$AY$3:$AY$7,0)),"")</f>
        <v/>
      </c>
    </row>
    <row r="52" spans="3:42" ht="13.8" x14ac:dyDescent="0.25">
      <c r="C52" s="168">
        <v>43</v>
      </c>
      <c r="D52" s="212"/>
      <c r="E52" s="213"/>
      <c r="F52" s="171" t="str">
        <f>IF(D52="","",VLOOKUP(D52,'G-7 Rivers Data'!$B$2:$G$8,2,FALSE))</f>
        <v/>
      </c>
      <c r="G52" s="172" t="str">
        <f>IFERROR(VLOOKUP(F52,'G-7 Rivers Data'!$C$4:$D$8,2,FALSE),"")</f>
        <v/>
      </c>
      <c r="H52" s="173"/>
      <c r="I52" s="172" t="str">
        <f>IFERROR(INDEX('G-7 Rivers Data'!$H$4:$L$8,MATCH(D52,'G-7 Rivers Data'!$B$4:$B$8,0),MATCH(H52,'G-7 Rivers Data'!$H$3:$L$3,0)),"")</f>
        <v/>
      </c>
      <c r="J52" s="173"/>
      <c r="K52" s="172" t="str">
        <f>IF(J52="","",IF(VLOOKUP(J52,'G-7 Rivers Data'!$AK$4:$AM$9,2,FALSE)=0,"Spatial Data Missing",VLOOKUP(J52,'G-7 Rivers Data'!$AK$4:$AM$9,2,FALSE)))</f>
        <v/>
      </c>
      <c r="L52" s="172" t="str">
        <f>IF(J52="","",IF(VLOOKUP(J52,'G-7 Rivers Data'!$AK$4:$AM$9,3,FALSE)=0,"Spatial Data Missing",VLOOKUP(J52,'G-7 Rivers Data'!$AK$4:$AM$9,3,FALSE)))</f>
        <v/>
      </c>
      <c r="M52" s="79"/>
      <c r="N52" s="172" t="str">
        <f>IF(M52="","",IF(VLOOKUP(M52,'G-7 Rivers Data'!$AA$4:$AB$7,2,FALSE)=0,"Spatial Data Missing",VLOOKUP(M52,'G-7 Rivers Data'!$AA$4:$AB$7,2,FALSE)))</f>
        <v/>
      </c>
      <c r="O52" s="187"/>
      <c r="P52" s="172" t="str">
        <f>IF(O52="","",IF(VLOOKUP(O52,'G-7 Rivers Data'!$AD$4:$AE$8,2,FALSE)=0,"Spatial Data Missing",VLOOKUP(O52,'G-7 Rivers Data'!$AD$4:$AE$8,2,FALSE)))</f>
        <v/>
      </c>
      <c r="Q52" s="177" t="str">
        <f>IF(D52="","",VLOOKUP(D52,'G-7 Rivers Data'!$B$2:$G$8,6,FALSE))</f>
        <v/>
      </c>
      <c r="R52" s="207" t="str">
        <f t="shared" si="0"/>
        <v/>
      </c>
      <c r="S52" s="44"/>
      <c r="T52" s="173"/>
      <c r="U52" s="189"/>
      <c r="V52" s="208" t="str">
        <f t="shared" si="1"/>
        <v/>
      </c>
      <c r="W52" s="208" t="str">
        <f t="shared" si="2"/>
        <v/>
      </c>
      <c r="X52" s="208" t="str">
        <f t="shared" si="3"/>
        <v/>
      </c>
      <c r="Y52" s="209" t="str">
        <f t="shared" si="4"/>
        <v/>
      </c>
      <c r="Z52" s="182"/>
      <c r="AA52" s="183"/>
      <c r="AG52" s="35">
        <f t="shared" si="5"/>
        <v>0</v>
      </c>
      <c r="AH52" s="188" t="str">
        <f t="shared" si="6"/>
        <v/>
      </c>
      <c r="AI52" s="188" t="str">
        <f t="shared" si="7"/>
        <v/>
      </c>
      <c r="AK52" s="188">
        <v>43</v>
      </c>
      <c r="AM52" s="188" t="str">
        <f t="array" ref="AM52">IFERROR(INDEX($AK$10:$AK$258, MATCH(0, IF(TRUE=$AH$10:$AH$258, COUNTIF($AM$9:$AM51, $AK$10:$AK$258), ""), 0)),"")</f>
        <v/>
      </c>
      <c r="AN52" s="188" t="str">
        <f t="array" ref="AN52">IFERROR(INDEX($AK$10:$AK$258, MATCH(0, IF(TRUE=$AI$10:$AI$258, COUNTIF($AN$9:$AN51, $AK$10:$AK$258), ""), 0)),"")</f>
        <v/>
      </c>
      <c r="AP52" s="35" t="str">
        <f>IFERROR(INDEX('G-7 Rivers Data'!$AZ$3:$AZ$7,MATCH(D52,'G-7 Rivers Data'!$AY$3:$AY$7,0)),"")</f>
        <v/>
      </c>
    </row>
    <row r="53" spans="3:42" ht="13.8" x14ac:dyDescent="0.25">
      <c r="C53" s="168">
        <v>44</v>
      </c>
      <c r="D53" s="212"/>
      <c r="E53" s="213"/>
      <c r="F53" s="171" t="str">
        <f>IF(D53="","",VLOOKUP(D53,'G-7 Rivers Data'!$B$2:$G$8,2,FALSE))</f>
        <v/>
      </c>
      <c r="G53" s="172" t="str">
        <f>IFERROR(VLOOKUP(F53,'G-7 Rivers Data'!$C$4:$D$8,2,FALSE),"")</f>
        <v/>
      </c>
      <c r="H53" s="173"/>
      <c r="I53" s="172" t="str">
        <f>IFERROR(INDEX('G-7 Rivers Data'!$H$4:$L$8,MATCH(D53,'G-7 Rivers Data'!$B$4:$B$8,0),MATCH(H53,'G-7 Rivers Data'!$H$3:$L$3,0)),"")</f>
        <v/>
      </c>
      <c r="J53" s="173"/>
      <c r="K53" s="172" t="str">
        <f>IF(J53="","",IF(VLOOKUP(J53,'G-7 Rivers Data'!$AK$4:$AM$9,2,FALSE)=0,"Spatial Data Missing",VLOOKUP(J53,'G-7 Rivers Data'!$AK$4:$AM$9,2,FALSE)))</f>
        <v/>
      </c>
      <c r="L53" s="172" t="str">
        <f>IF(J53="","",IF(VLOOKUP(J53,'G-7 Rivers Data'!$AK$4:$AM$9,3,FALSE)=0,"Spatial Data Missing",VLOOKUP(J53,'G-7 Rivers Data'!$AK$4:$AM$9,3,FALSE)))</f>
        <v/>
      </c>
      <c r="M53" s="79"/>
      <c r="N53" s="172" t="str">
        <f>IF(M53="","",IF(VLOOKUP(M53,'G-7 Rivers Data'!$AA$4:$AB$7,2,FALSE)=0,"Spatial Data Missing",VLOOKUP(M53,'G-7 Rivers Data'!$AA$4:$AB$7,2,FALSE)))</f>
        <v/>
      </c>
      <c r="O53" s="187"/>
      <c r="P53" s="172" t="str">
        <f>IF(O53="","",IF(VLOOKUP(O53,'G-7 Rivers Data'!$AD$4:$AE$8,2,FALSE)=0,"Spatial Data Missing",VLOOKUP(O53,'G-7 Rivers Data'!$AD$4:$AE$8,2,FALSE)))</f>
        <v/>
      </c>
      <c r="Q53" s="177" t="str">
        <f>IF(D53="","",VLOOKUP(D53,'G-7 Rivers Data'!$B$2:$G$8,6,FALSE))</f>
        <v/>
      </c>
      <c r="R53" s="207" t="str">
        <f t="shared" si="0"/>
        <v/>
      </c>
      <c r="S53" s="44"/>
      <c r="T53" s="173"/>
      <c r="U53" s="189"/>
      <c r="V53" s="208" t="str">
        <f t="shared" si="1"/>
        <v/>
      </c>
      <c r="W53" s="208" t="str">
        <f t="shared" si="2"/>
        <v/>
      </c>
      <c r="X53" s="208" t="str">
        <f t="shared" si="3"/>
        <v/>
      </c>
      <c r="Y53" s="209" t="str">
        <f t="shared" si="4"/>
        <v/>
      </c>
      <c r="Z53" s="182"/>
      <c r="AA53" s="183"/>
      <c r="AG53" s="35">
        <f t="shared" si="5"/>
        <v>0</v>
      </c>
      <c r="AH53" s="188" t="str">
        <f t="shared" si="6"/>
        <v/>
      </c>
      <c r="AI53" s="188" t="str">
        <f t="shared" si="7"/>
        <v/>
      </c>
      <c r="AK53" s="188">
        <v>44</v>
      </c>
      <c r="AM53" s="188" t="str">
        <f t="array" ref="AM53">IFERROR(INDEX($AK$10:$AK$258, MATCH(0, IF(TRUE=$AH$10:$AH$258, COUNTIF($AM$9:$AM52, $AK$10:$AK$258), ""), 0)),"")</f>
        <v/>
      </c>
      <c r="AN53" s="188" t="str">
        <f t="array" ref="AN53">IFERROR(INDEX($AK$10:$AK$258, MATCH(0, IF(TRUE=$AI$10:$AI$258, COUNTIF($AN$9:$AN52, $AK$10:$AK$258), ""), 0)),"")</f>
        <v/>
      </c>
      <c r="AP53" s="35" t="str">
        <f>IFERROR(INDEX('G-7 Rivers Data'!$AZ$3:$AZ$7,MATCH(D53,'G-7 Rivers Data'!$AY$3:$AY$7,0)),"")</f>
        <v/>
      </c>
    </row>
    <row r="54" spans="3:42" ht="13.8" x14ac:dyDescent="0.25">
      <c r="C54" s="168">
        <v>45</v>
      </c>
      <c r="D54" s="212"/>
      <c r="E54" s="213"/>
      <c r="F54" s="171" t="str">
        <f>IF(D54="","",VLOOKUP(D54,'G-7 Rivers Data'!$B$2:$G$8,2,FALSE))</f>
        <v/>
      </c>
      <c r="G54" s="172" t="str">
        <f>IFERROR(VLOOKUP(F54,'G-7 Rivers Data'!$C$4:$D$8,2,FALSE),"")</f>
        <v/>
      </c>
      <c r="H54" s="173"/>
      <c r="I54" s="172" t="str">
        <f>IFERROR(INDEX('G-7 Rivers Data'!$H$4:$L$8,MATCH(D54,'G-7 Rivers Data'!$B$4:$B$8,0),MATCH(H54,'G-7 Rivers Data'!$H$3:$L$3,0)),"")</f>
        <v/>
      </c>
      <c r="J54" s="173"/>
      <c r="K54" s="172" t="str">
        <f>IF(J54="","",IF(VLOOKUP(J54,'G-7 Rivers Data'!$AK$4:$AM$9,2,FALSE)=0,"Spatial Data Missing",VLOOKUP(J54,'G-7 Rivers Data'!$AK$4:$AM$9,2,FALSE)))</f>
        <v/>
      </c>
      <c r="L54" s="172" t="str">
        <f>IF(J54="","",IF(VLOOKUP(J54,'G-7 Rivers Data'!$AK$4:$AM$9,3,FALSE)=0,"Spatial Data Missing",VLOOKUP(J54,'G-7 Rivers Data'!$AK$4:$AM$9,3,FALSE)))</f>
        <v/>
      </c>
      <c r="M54" s="79"/>
      <c r="N54" s="172" t="str">
        <f>IF(M54="","",IF(VLOOKUP(M54,'G-7 Rivers Data'!$AA$4:$AB$7,2,FALSE)=0,"Spatial Data Missing",VLOOKUP(M54,'G-7 Rivers Data'!$AA$4:$AB$7,2,FALSE)))</f>
        <v/>
      </c>
      <c r="O54" s="187"/>
      <c r="P54" s="172" t="str">
        <f>IF(O54="","",IF(VLOOKUP(O54,'G-7 Rivers Data'!$AD$4:$AE$8,2,FALSE)=0,"Spatial Data Missing",VLOOKUP(O54,'G-7 Rivers Data'!$AD$4:$AE$8,2,FALSE)))</f>
        <v/>
      </c>
      <c r="Q54" s="177" t="str">
        <f>IF(D54="","",VLOOKUP(D54,'G-7 Rivers Data'!$B$2:$G$8,6,FALSE))</f>
        <v/>
      </c>
      <c r="R54" s="207" t="str">
        <f t="shared" si="0"/>
        <v/>
      </c>
      <c r="S54" s="44"/>
      <c r="T54" s="173"/>
      <c r="U54" s="189"/>
      <c r="V54" s="208" t="str">
        <f t="shared" si="1"/>
        <v/>
      </c>
      <c r="W54" s="208" t="str">
        <f t="shared" si="2"/>
        <v/>
      </c>
      <c r="X54" s="208" t="str">
        <f t="shared" si="3"/>
        <v/>
      </c>
      <c r="Y54" s="209" t="str">
        <f t="shared" si="4"/>
        <v/>
      </c>
      <c r="Z54" s="182"/>
      <c r="AA54" s="183"/>
      <c r="AG54" s="35">
        <f t="shared" si="5"/>
        <v>0</v>
      </c>
      <c r="AH54" s="188" t="str">
        <f t="shared" si="6"/>
        <v/>
      </c>
      <c r="AI54" s="188" t="str">
        <f t="shared" si="7"/>
        <v/>
      </c>
      <c r="AK54" s="188">
        <v>45</v>
      </c>
      <c r="AM54" s="188" t="str">
        <f t="array" ref="AM54">IFERROR(INDEX($AK$10:$AK$258, MATCH(0, IF(TRUE=$AH$10:$AH$258, COUNTIF($AM$9:$AM53, $AK$10:$AK$258), ""), 0)),"")</f>
        <v/>
      </c>
      <c r="AN54" s="188" t="str">
        <f t="array" ref="AN54">IFERROR(INDEX($AK$10:$AK$258, MATCH(0, IF(TRUE=$AI$10:$AI$258, COUNTIF($AN$9:$AN53, $AK$10:$AK$258), ""), 0)),"")</f>
        <v/>
      </c>
      <c r="AP54" s="35" t="str">
        <f>IFERROR(INDEX('G-7 Rivers Data'!$AZ$3:$AZ$7,MATCH(D54,'G-7 Rivers Data'!$AY$3:$AY$7,0)),"")</f>
        <v/>
      </c>
    </row>
    <row r="55" spans="3:42" ht="13.8" x14ac:dyDescent="0.25">
      <c r="C55" s="168">
        <v>46</v>
      </c>
      <c r="D55" s="212"/>
      <c r="E55" s="213"/>
      <c r="F55" s="171" t="str">
        <f>IF(D55="","",VLOOKUP(D55,'G-7 Rivers Data'!$B$2:$G$8,2,FALSE))</f>
        <v/>
      </c>
      <c r="G55" s="172" t="str">
        <f>IFERROR(VLOOKUP(F55,'G-7 Rivers Data'!$C$4:$D$8,2,FALSE),"")</f>
        <v/>
      </c>
      <c r="H55" s="173"/>
      <c r="I55" s="172" t="str">
        <f>IFERROR(INDEX('G-7 Rivers Data'!$H$4:$L$8,MATCH(D55,'G-7 Rivers Data'!$B$4:$B$8,0),MATCH(H55,'G-7 Rivers Data'!$H$3:$L$3,0)),"")</f>
        <v/>
      </c>
      <c r="J55" s="173"/>
      <c r="K55" s="172" t="str">
        <f>IF(J55="","",IF(VLOOKUP(J55,'G-7 Rivers Data'!$AK$4:$AM$9,2,FALSE)=0,"Spatial Data Missing",VLOOKUP(J55,'G-7 Rivers Data'!$AK$4:$AM$9,2,FALSE)))</f>
        <v/>
      </c>
      <c r="L55" s="172" t="str">
        <f>IF(J55="","",IF(VLOOKUP(J55,'G-7 Rivers Data'!$AK$4:$AM$9,3,FALSE)=0,"Spatial Data Missing",VLOOKUP(J55,'G-7 Rivers Data'!$AK$4:$AM$9,3,FALSE)))</f>
        <v/>
      </c>
      <c r="M55" s="79"/>
      <c r="N55" s="172" t="str">
        <f>IF(M55="","",IF(VLOOKUP(M55,'G-7 Rivers Data'!$AA$4:$AB$7,2,FALSE)=0,"Spatial Data Missing",VLOOKUP(M55,'G-7 Rivers Data'!$AA$4:$AB$7,2,FALSE)))</f>
        <v/>
      </c>
      <c r="O55" s="187"/>
      <c r="P55" s="172" t="str">
        <f>IF(O55="","",IF(VLOOKUP(O55,'G-7 Rivers Data'!$AD$4:$AE$8,2,FALSE)=0,"Spatial Data Missing",VLOOKUP(O55,'G-7 Rivers Data'!$AD$4:$AE$8,2,FALSE)))</f>
        <v/>
      </c>
      <c r="Q55" s="177" t="str">
        <f>IF(D55="","",VLOOKUP(D55,'G-7 Rivers Data'!$B$2:$G$8,6,FALSE))</f>
        <v/>
      </c>
      <c r="R55" s="207" t="str">
        <f t="shared" si="0"/>
        <v/>
      </c>
      <c r="S55" s="44"/>
      <c r="T55" s="173"/>
      <c r="U55" s="189"/>
      <c r="V55" s="208" t="str">
        <f t="shared" si="1"/>
        <v/>
      </c>
      <c r="W55" s="208" t="str">
        <f t="shared" si="2"/>
        <v/>
      </c>
      <c r="X55" s="208" t="str">
        <f t="shared" si="3"/>
        <v/>
      </c>
      <c r="Y55" s="209" t="str">
        <f t="shared" si="4"/>
        <v/>
      </c>
      <c r="Z55" s="182"/>
      <c r="AA55" s="183"/>
      <c r="AG55" s="35">
        <f t="shared" si="5"/>
        <v>0</v>
      </c>
      <c r="AH55" s="188" t="str">
        <f t="shared" si="6"/>
        <v/>
      </c>
      <c r="AI55" s="188" t="str">
        <f t="shared" si="7"/>
        <v/>
      </c>
      <c r="AK55" s="188">
        <v>46</v>
      </c>
      <c r="AM55" s="188" t="str">
        <f t="array" ref="AM55">IFERROR(INDEX($AK$10:$AK$258, MATCH(0, IF(TRUE=$AH$10:$AH$258, COUNTIF($AM$9:$AM54, $AK$10:$AK$258), ""), 0)),"")</f>
        <v/>
      </c>
      <c r="AN55" s="188" t="str">
        <f t="array" ref="AN55">IFERROR(INDEX($AK$10:$AK$258, MATCH(0, IF(TRUE=$AI$10:$AI$258, COUNTIF($AN$9:$AN54, $AK$10:$AK$258), ""), 0)),"")</f>
        <v/>
      </c>
      <c r="AP55" s="35" t="str">
        <f>IFERROR(INDEX('G-7 Rivers Data'!$AZ$3:$AZ$7,MATCH(D55,'G-7 Rivers Data'!$AY$3:$AY$7,0)),"")</f>
        <v/>
      </c>
    </row>
    <row r="56" spans="3:42" ht="13.8" x14ac:dyDescent="0.25">
      <c r="C56" s="168">
        <v>47</v>
      </c>
      <c r="D56" s="212"/>
      <c r="E56" s="213"/>
      <c r="F56" s="171" t="str">
        <f>IF(D56="","",VLOOKUP(D56,'G-7 Rivers Data'!$B$2:$G$8,2,FALSE))</f>
        <v/>
      </c>
      <c r="G56" s="172" t="str">
        <f>IFERROR(VLOOKUP(F56,'G-7 Rivers Data'!$C$4:$D$8,2,FALSE),"")</f>
        <v/>
      </c>
      <c r="H56" s="173"/>
      <c r="I56" s="172" t="str">
        <f>IFERROR(INDEX('G-7 Rivers Data'!$H$4:$L$8,MATCH(D56,'G-7 Rivers Data'!$B$4:$B$8,0),MATCH(H56,'G-7 Rivers Data'!$H$3:$L$3,0)),"")</f>
        <v/>
      </c>
      <c r="J56" s="173"/>
      <c r="K56" s="172" t="str">
        <f>IF(J56="","",IF(VLOOKUP(J56,'G-7 Rivers Data'!$AK$4:$AM$9,2,FALSE)=0,"Spatial Data Missing",VLOOKUP(J56,'G-7 Rivers Data'!$AK$4:$AM$9,2,FALSE)))</f>
        <v/>
      </c>
      <c r="L56" s="172" t="str">
        <f>IF(J56="","",IF(VLOOKUP(J56,'G-7 Rivers Data'!$AK$4:$AM$9,3,FALSE)=0,"Spatial Data Missing",VLOOKUP(J56,'G-7 Rivers Data'!$AK$4:$AM$9,3,FALSE)))</f>
        <v/>
      </c>
      <c r="M56" s="79"/>
      <c r="N56" s="172" t="str">
        <f>IF(M56="","",IF(VLOOKUP(M56,'G-7 Rivers Data'!$AA$4:$AB$7,2,FALSE)=0,"Spatial Data Missing",VLOOKUP(M56,'G-7 Rivers Data'!$AA$4:$AB$7,2,FALSE)))</f>
        <v/>
      </c>
      <c r="O56" s="187"/>
      <c r="P56" s="172" t="str">
        <f>IF(O56="","",IF(VLOOKUP(O56,'G-7 Rivers Data'!$AD$4:$AE$8,2,FALSE)=0,"Spatial Data Missing",VLOOKUP(O56,'G-7 Rivers Data'!$AD$4:$AE$8,2,FALSE)))</f>
        <v/>
      </c>
      <c r="Q56" s="177" t="str">
        <f>IF(D56="","",VLOOKUP(D56,'G-7 Rivers Data'!$B$2:$G$8,6,FALSE))</f>
        <v/>
      </c>
      <c r="R56" s="207" t="str">
        <f t="shared" si="0"/>
        <v/>
      </c>
      <c r="S56" s="44"/>
      <c r="T56" s="173"/>
      <c r="U56" s="189"/>
      <c r="V56" s="208" t="str">
        <f t="shared" si="1"/>
        <v/>
      </c>
      <c r="W56" s="208" t="str">
        <f t="shared" si="2"/>
        <v/>
      </c>
      <c r="X56" s="208" t="str">
        <f t="shared" si="3"/>
        <v/>
      </c>
      <c r="Y56" s="209" t="str">
        <f t="shared" si="4"/>
        <v/>
      </c>
      <c r="Z56" s="182"/>
      <c r="AA56" s="183"/>
      <c r="AG56" s="35">
        <f t="shared" si="5"/>
        <v>0</v>
      </c>
      <c r="AH56" s="188" t="str">
        <f t="shared" si="6"/>
        <v/>
      </c>
      <c r="AI56" s="188" t="str">
        <f t="shared" si="7"/>
        <v/>
      </c>
      <c r="AK56" s="188">
        <v>47</v>
      </c>
      <c r="AM56" s="188" t="str">
        <f t="array" ref="AM56">IFERROR(INDEX($AK$10:$AK$258, MATCH(0, IF(TRUE=$AH$10:$AH$258, COUNTIF($AM$9:$AM55, $AK$10:$AK$258), ""), 0)),"")</f>
        <v/>
      </c>
      <c r="AN56" s="188" t="str">
        <f t="array" ref="AN56">IFERROR(INDEX($AK$10:$AK$258, MATCH(0, IF(TRUE=$AI$10:$AI$258, COUNTIF($AN$9:$AN55, $AK$10:$AK$258), ""), 0)),"")</f>
        <v/>
      </c>
      <c r="AP56" s="35" t="str">
        <f>IFERROR(INDEX('G-7 Rivers Data'!$AZ$3:$AZ$7,MATCH(D56,'G-7 Rivers Data'!$AY$3:$AY$7,0)),"")</f>
        <v/>
      </c>
    </row>
    <row r="57" spans="3:42" ht="13.8" x14ac:dyDescent="0.25">
      <c r="C57" s="168">
        <v>48</v>
      </c>
      <c r="D57" s="212"/>
      <c r="E57" s="213"/>
      <c r="F57" s="171" t="str">
        <f>IF(D57="","",VLOOKUP(D57,'G-7 Rivers Data'!$B$2:$G$8,2,FALSE))</f>
        <v/>
      </c>
      <c r="G57" s="172" t="str">
        <f>IFERROR(VLOOKUP(F57,'G-7 Rivers Data'!$C$4:$D$8,2,FALSE),"")</f>
        <v/>
      </c>
      <c r="H57" s="173"/>
      <c r="I57" s="172" t="str">
        <f>IFERROR(INDEX('G-7 Rivers Data'!$H$4:$L$8,MATCH(D57,'G-7 Rivers Data'!$B$4:$B$8,0),MATCH(H57,'G-7 Rivers Data'!$H$3:$L$3,0)),"")</f>
        <v/>
      </c>
      <c r="J57" s="173"/>
      <c r="K57" s="172" t="str">
        <f>IF(J57="","",IF(VLOOKUP(J57,'G-7 Rivers Data'!$AK$4:$AM$9,2,FALSE)=0,"Spatial Data Missing",VLOOKUP(J57,'G-7 Rivers Data'!$AK$4:$AM$9,2,FALSE)))</f>
        <v/>
      </c>
      <c r="L57" s="172" t="str">
        <f>IF(J57="","",IF(VLOOKUP(J57,'G-7 Rivers Data'!$AK$4:$AM$9,3,FALSE)=0,"Spatial Data Missing",VLOOKUP(J57,'G-7 Rivers Data'!$AK$4:$AM$9,3,FALSE)))</f>
        <v/>
      </c>
      <c r="M57" s="79"/>
      <c r="N57" s="172" t="str">
        <f>IF(M57="","",IF(VLOOKUP(M57,'G-7 Rivers Data'!$AA$4:$AB$7,2,FALSE)=0,"Spatial Data Missing",VLOOKUP(M57,'G-7 Rivers Data'!$AA$4:$AB$7,2,FALSE)))</f>
        <v/>
      </c>
      <c r="O57" s="187"/>
      <c r="P57" s="172" t="str">
        <f>IF(O57="","",IF(VLOOKUP(O57,'G-7 Rivers Data'!$AD$4:$AE$8,2,FALSE)=0,"Spatial Data Missing",VLOOKUP(O57,'G-7 Rivers Data'!$AD$4:$AE$8,2,FALSE)))</f>
        <v/>
      </c>
      <c r="Q57" s="177" t="str">
        <f>IF(D57="","",VLOOKUP(D57,'G-7 Rivers Data'!$B$2:$G$8,6,FALSE))</f>
        <v/>
      </c>
      <c r="R57" s="207" t="str">
        <f t="shared" si="0"/>
        <v/>
      </c>
      <c r="S57" s="44"/>
      <c r="T57" s="173"/>
      <c r="U57" s="189"/>
      <c r="V57" s="208" t="str">
        <f t="shared" si="1"/>
        <v/>
      </c>
      <c r="W57" s="208" t="str">
        <f t="shared" si="2"/>
        <v/>
      </c>
      <c r="X57" s="208" t="str">
        <f t="shared" si="3"/>
        <v/>
      </c>
      <c r="Y57" s="209" t="str">
        <f t="shared" si="4"/>
        <v/>
      </c>
      <c r="Z57" s="182"/>
      <c r="AA57" s="183"/>
      <c r="AG57" s="35">
        <f t="shared" si="5"/>
        <v>0</v>
      </c>
      <c r="AH57" s="188" t="str">
        <f t="shared" si="6"/>
        <v/>
      </c>
      <c r="AI57" s="188" t="str">
        <f t="shared" si="7"/>
        <v/>
      </c>
      <c r="AK57" s="188">
        <v>48</v>
      </c>
      <c r="AM57" s="188" t="str">
        <f t="array" ref="AM57">IFERROR(INDEX($AK$10:$AK$258, MATCH(0, IF(TRUE=$AH$10:$AH$258, COUNTIF($AM$9:$AM56, $AK$10:$AK$258), ""), 0)),"")</f>
        <v/>
      </c>
      <c r="AN57" s="188" t="str">
        <f t="array" ref="AN57">IFERROR(INDEX($AK$10:$AK$258, MATCH(0, IF(TRUE=$AI$10:$AI$258, COUNTIF($AN$9:$AN56, $AK$10:$AK$258), ""), 0)),"")</f>
        <v/>
      </c>
      <c r="AP57" s="35" t="str">
        <f>IFERROR(INDEX('G-7 Rivers Data'!$AZ$3:$AZ$7,MATCH(D57,'G-7 Rivers Data'!$AY$3:$AY$7,0)),"")</f>
        <v/>
      </c>
    </row>
    <row r="58" spans="3:42" ht="13.8" x14ac:dyDescent="0.25">
      <c r="C58" s="168">
        <v>49</v>
      </c>
      <c r="D58" s="212"/>
      <c r="E58" s="213"/>
      <c r="F58" s="171" t="str">
        <f>IF(D58="","",VLOOKUP(D58,'G-7 Rivers Data'!$B$2:$G$8,2,FALSE))</f>
        <v/>
      </c>
      <c r="G58" s="172" t="str">
        <f>IFERROR(VLOOKUP(F58,'G-7 Rivers Data'!$C$4:$D$8,2,FALSE),"")</f>
        <v/>
      </c>
      <c r="H58" s="173"/>
      <c r="I58" s="172" t="str">
        <f>IFERROR(INDEX('G-7 Rivers Data'!$H$4:$L$8,MATCH(D58,'G-7 Rivers Data'!$B$4:$B$8,0),MATCH(H58,'G-7 Rivers Data'!$H$3:$L$3,0)),"")</f>
        <v/>
      </c>
      <c r="J58" s="173"/>
      <c r="K58" s="172" t="str">
        <f>IF(J58="","",IF(VLOOKUP(J58,'G-7 Rivers Data'!$AK$4:$AM$9,2,FALSE)=0,"Spatial Data Missing",VLOOKUP(J58,'G-7 Rivers Data'!$AK$4:$AM$9,2,FALSE)))</f>
        <v/>
      </c>
      <c r="L58" s="172" t="str">
        <f>IF(J58="","",IF(VLOOKUP(J58,'G-7 Rivers Data'!$AK$4:$AM$9,3,FALSE)=0,"Spatial Data Missing",VLOOKUP(J58,'G-7 Rivers Data'!$AK$4:$AM$9,3,FALSE)))</f>
        <v/>
      </c>
      <c r="M58" s="79"/>
      <c r="N58" s="172" t="str">
        <f>IF(M58="","",IF(VLOOKUP(M58,'G-7 Rivers Data'!$AA$4:$AB$7,2,FALSE)=0,"Spatial Data Missing",VLOOKUP(M58,'G-7 Rivers Data'!$AA$4:$AB$7,2,FALSE)))</f>
        <v/>
      </c>
      <c r="O58" s="187"/>
      <c r="P58" s="172" t="str">
        <f>IF(O58="","",IF(VLOOKUP(O58,'G-7 Rivers Data'!$AD$4:$AE$8,2,FALSE)=0,"Spatial Data Missing",VLOOKUP(O58,'G-7 Rivers Data'!$AD$4:$AE$8,2,FALSE)))</f>
        <v/>
      </c>
      <c r="Q58" s="177" t="str">
        <f>IF(D58="","",VLOOKUP(D58,'G-7 Rivers Data'!$B$2:$G$8,6,FALSE))</f>
        <v/>
      </c>
      <c r="R58" s="207" t="str">
        <f t="shared" si="0"/>
        <v/>
      </c>
      <c r="S58" s="44"/>
      <c r="T58" s="173"/>
      <c r="U58" s="189"/>
      <c r="V58" s="208" t="str">
        <f t="shared" si="1"/>
        <v/>
      </c>
      <c r="W58" s="208" t="str">
        <f t="shared" si="2"/>
        <v/>
      </c>
      <c r="X58" s="208" t="str">
        <f t="shared" si="3"/>
        <v/>
      </c>
      <c r="Y58" s="209" t="str">
        <f t="shared" si="4"/>
        <v/>
      </c>
      <c r="Z58" s="182"/>
      <c r="AA58" s="183"/>
      <c r="AG58" s="35">
        <f t="shared" si="5"/>
        <v>0</v>
      </c>
      <c r="AH58" s="188" t="str">
        <f t="shared" si="6"/>
        <v/>
      </c>
      <c r="AI58" s="188" t="str">
        <f t="shared" si="7"/>
        <v/>
      </c>
      <c r="AK58" s="188">
        <v>49</v>
      </c>
      <c r="AM58" s="188" t="str">
        <f t="array" ref="AM58">IFERROR(INDEX($AK$10:$AK$258, MATCH(0, IF(TRUE=$AH$10:$AH$258, COUNTIF($AM$9:$AM57, $AK$10:$AK$258), ""), 0)),"")</f>
        <v/>
      </c>
      <c r="AN58" s="188" t="str">
        <f t="array" ref="AN58">IFERROR(INDEX($AK$10:$AK$258, MATCH(0, IF(TRUE=$AI$10:$AI$258, COUNTIF($AN$9:$AN57, $AK$10:$AK$258), ""), 0)),"")</f>
        <v/>
      </c>
      <c r="AP58" s="35" t="str">
        <f>IFERROR(INDEX('G-7 Rivers Data'!$AZ$3:$AZ$7,MATCH(D58,'G-7 Rivers Data'!$AY$3:$AY$7,0)),"")</f>
        <v/>
      </c>
    </row>
    <row r="59" spans="3:42" ht="13.8" x14ac:dyDescent="0.25">
      <c r="C59" s="168">
        <v>50</v>
      </c>
      <c r="D59" s="212"/>
      <c r="E59" s="213"/>
      <c r="F59" s="171" t="str">
        <f>IF(D59="","",VLOOKUP(D59,'G-7 Rivers Data'!$B$2:$G$8,2,FALSE))</f>
        <v/>
      </c>
      <c r="G59" s="172" t="str">
        <f>IFERROR(VLOOKUP(F59,'G-7 Rivers Data'!$C$4:$D$8,2,FALSE),"")</f>
        <v/>
      </c>
      <c r="H59" s="173"/>
      <c r="I59" s="172" t="str">
        <f>IFERROR(INDEX('G-7 Rivers Data'!$H$4:$L$8,MATCH(D59,'G-7 Rivers Data'!$B$4:$B$8,0),MATCH(H59,'G-7 Rivers Data'!$H$3:$L$3,0)),"")</f>
        <v/>
      </c>
      <c r="J59" s="173"/>
      <c r="K59" s="172" t="str">
        <f>IF(J59="","",IF(VLOOKUP(J59,'G-7 Rivers Data'!$AK$4:$AM$9,2,FALSE)=0,"Spatial Data Missing",VLOOKUP(J59,'G-7 Rivers Data'!$AK$4:$AM$9,2,FALSE)))</f>
        <v/>
      </c>
      <c r="L59" s="172" t="str">
        <f>IF(J59="","",IF(VLOOKUP(J59,'G-7 Rivers Data'!$AK$4:$AM$9,3,FALSE)=0,"Spatial Data Missing",VLOOKUP(J59,'G-7 Rivers Data'!$AK$4:$AM$9,3,FALSE)))</f>
        <v/>
      </c>
      <c r="M59" s="79"/>
      <c r="N59" s="172" t="str">
        <f>IF(M59="","",IF(VLOOKUP(M59,'G-7 Rivers Data'!$AA$4:$AB$7,2,FALSE)=0,"Spatial Data Missing",VLOOKUP(M59,'G-7 Rivers Data'!$AA$4:$AB$7,2,FALSE)))</f>
        <v/>
      </c>
      <c r="O59" s="187"/>
      <c r="P59" s="172" t="str">
        <f>IF(O59="","",IF(VLOOKUP(O59,'G-7 Rivers Data'!$AD$4:$AE$8,2,FALSE)=0,"Spatial Data Missing",VLOOKUP(O59,'G-7 Rivers Data'!$AD$4:$AE$8,2,FALSE)))</f>
        <v/>
      </c>
      <c r="Q59" s="177" t="str">
        <f>IF(D59="","",VLOOKUP(D59,'G-7 Rivers Data'!$B$2:$G$8,6,FALSE))</f>
        <v/>
      </c>
      <c r="R59" s="207" t="str">
        <f t="shared" si="0"/>
        <v/>
      </c>
      <c r="S59" s="44"/>
      <c r="T59" s="173"/>
      <c r="U59" s="189"/>
      <c r="V59" s="208" t="str">
        <f t="shared" si="1"/>
        <v/>
      </c>
      <c r="W59" s="208" t="str">
        <f t="shared" si="2"/>
        <v/>
      </c>
      <c r="X59" s="208" t="str">
        <f t="shared" si="3"/>
        <v/>
      </c>
      <c r="Y59" s="209" t="str">
        <f t="shared" si="4"/>
        <v/>
      </c>
      <c r="Z59" s="182"/>
      <c r="AA59" s="183"/>
      <c r="AG59" s="35">
        <f t="shared" si="5"/>
        <v>0</v>
      </c>
      <c r="AH59" s="188" t="str">
        <f t="shared" si="6"/>
        <v/>
      </c>
      <c r="AI59" s="188" t="str">
        <f t="shared" si="7"/>
        <v/>
      </c>
      <c r="AK59" s="188">
        <v>50</v>
      </c>
      <c r="AM59" s="188" t="str">
        <f t="array" ref="AM59">IFERROR(INDEX($AK$10:$AK$258, MATCH(0, IF(TRUE=$AH$10:$AH$258, COUNTIF($AM$9:$AM58, $AK$10:$AK$258), ""), 0)),"")</f>
        <v/>
      </c>
      <c r="AN59" s="188" t="str">
        <f t="array" ref="AN59">IFERROR(INDEX($AK$10:$AK$258, MATCH(0, IF(TRUE=$AI$10:$AI$258, COUNTIF($AN$9:$AN58, $AK$10:$AK$258), ""), 0)),"")</f>
        <v/>
      </c>
      <c r="AP59" s="35" t="str">
        <f>IFERROR(INDEX('G-7 Rivers Data'!$AZ$3:$AZ$7,MATCH(D59,'G-7 Rivers Data'!$AY$3:$AY$7,0)),"")</f>
        <v/>
      </c>
    </row>
    <row r="60" spans="3:42" ht="13.8" x14ac:dyDescent="0.25">
      <c r="C60" s="168">
        <v>51</v>
      </c>
      <c r="D60" s="212"/>
      <c r="E60" s="213"/>
      <c r="F60" s="171" t="str">
        <f>IF(D60="","",VLOOKUP(D60,'G-7 Rivers Data'!$B$2:$G$8,2,FALSE))</f>
        <v/>
      </c>
      <c r="G60" s="172" t="str">
        <f>IFERROR(VLOOKUP(F60,'G-7 Rivers Data'!$C$4:$D$8,2,FALSE),"")</f>
        <v/>
      </c>
      <c r="H60" s="173"/>
      <c r="I60" s="172" t="str">
        <f>IFERROR(INDEX('G-7 Rivers Data'!$H$4:$L$8,MATCH(D60,'G-7 Rivers Data'!$B$4:$B$8,0),MATCH(H60,'G-7 Rivers Data'!$H$3:$L$3,0)),"")</f>
        <v/>
      </c>
      <c r="J60" s="173"/>
      <c r="K60" s="172" t="str">
        <f>IF(J60="","",IF(VLOOKUP(J60,'G-7 Rivers Data'!$AK$4:$AM$9,2,FALSE)=0,"Spatial Data Missing",VLOOKUP(J60,'G-7 Rivers Data'!$AK$4:$AM$9,2,FALSE)))</f>
        <v/>
      </c>
      <c r="L60" s="172" t="str">
        <f>IF(J60="","",IF(VLOOKUP(J60,'G-7 Rivers Data'!$AK$4:$AM$9,3,FALSE)=0,"Spatial Data Missing",VLOOKUP(J60,'G-7 Rivers Data'!$AK$4:$AM$9,3,FALSE)))</f>
        <v/>
      </c>
      <c r="M60" s="79"/>
      <c r="N60" s="172" t="str">
        <f>IF(M60="","",IF(VLOOKUP(M60,'G-7 Rivers Data'!$AA$4:$AB$7,2,FALSE)=0,"Spatial Data Missing",VLOOKUP(M60,'G-7 Rivers Data'!$AA$4:$AB$7,2,FALSE)))</f>
        <v/>
      </c>
      <c r="O60" s="187"/>
      <c r="P60" s="172" t="str">
        <f>IF(O60="","",IF(VLOOKUP(O60,'G-7 Rivers Data'!$AD$4:$AE$8,2,FALSE)=0,"Spatial Data Missing",VLOOKUP(O60,'G-7 Rivers Data'!$AD$4:$AE$8,2,FALSE)))</f>
        <v/>
      </c>
      <c r="Q60" s="177" t="str">
        <f>IF(D60="","",VLOOKUP(D60,'G-7 Rivers Data'!$B$2:$G$8,6,FALSE))</f>
        <v/>
      </c>
      <c r="R60" s="207" t="str">
        <f t="shared" si="0"/>
        <v/>
      </c>
      <c r="S60" s="44"/>
      <c r="T60" s="173"/>
      <c r="U60" s="189"/>
      <c r="V60" s="208" t="str">
        <f t="shared" si="1"/>
        <v/>
      </c>
      <c r="W60" s="208" t="str">
        <f t="shared" si="2"/>
        <v/>
      </c>
      <c r="X60" s="208" t="str">
        <f t="shared" si="3"/>
        <v/>
      </c>
      <c r="Y60" s="209" t="str">
        <f t="shared" si="4"/>
        <v/>
      </c>
      <c r="Z60" s="182"/>
      <c r="AA60" s="183"/>
      <c r="AG60" s="35">
        <f t="shared" si="5"/>
        <v>0</v>
      </c>
      <c r="AH60" s="188" t="str">
        <f t="shared" si="6"/>
        <v/>
      </c>
      <c r="AI60" s="188" t="str">
        <f t="shared" si="7"/>
        <v/>
      </c>
      <c r="AK60" s="188">
        <v>51</v>
      </c>
      <c r="AM60" s="188" t="str">
        <f t="array" ref="AM60">IFERROR(INDEX($AK$10:$AK$258, MATCH(0, IF(TRUE=$AH$10:$AH$258, COUNTIF($AM$9:$AM59, $AK$10:$AK$258), ""), 0)),"")</f>
        <v/>
      </c>
      <c r="AN60" s="188" t="str">
        <f t="array" ref="AN60">IFERROR(INDEX($AK$10:$AK$258, MATCH(0, IF(TRUE=$AI$10:$AI$258, COUNTIF($AN$9:$AN59, $AK$10:$AK$258), ""), 0)),"")</f>
        <v/>
      </c>
      <c r="AP60" s="35" t="str">
        <f>IFERROR(INDEX('G-7 Rivers Data'!$AZ$3:$AZ$7,MATCH(D60,'G-7 Rivers Data'!$AY$3:$AY$7,0)),"")</f>
        <v/>
      </c>
    </row>
    <row r="61" spans="3:42" ht="13.8" x14ac:dyDescent="0.25">
      <c r="C61" s="168">
        <v>52</v>
      </c>
      <c r="D61" s="212"/>
      <c r="E61" s="213"/>
      <c r="F61" s="171" t="str">
        <f>IF(D61="","",VLOOKUP(D61,'G-7 Rivers Data'!$B$2:$G$8,2,FALSE))</f>
        <v/>
      </c>
      <c r="G61" s="172" t="str">
        <f>IFERROR(VLOOKUP(F61,'G-7 Rivers Data'!$C$4:$D$8,2,FALSE),"")</f>
        <v/>
      </c>
      <c r="H61" s="173"/>
      <c r="I61" s="172" t="str">
        <f>IFERROR(INDEX('G-7 Rivers Data'!$H$4:$L$8,MATCH(D61,'G-7 Rivers Data'!$B$4:$B$8,0),MATCH(H61,'G-7 Rivers Data'!$H$3:$L$3,0)),"")</f>
        <v/>
      </c>
      <c r="J61" s="173"/>
      <c r="K61" s="172" t="str">
        <f>IF(J61="","",IF(VLOOKUP(J61,'G-7 Rivers Data'!$AK$4:$AM$9,2,FALSE)=0,"Spatial Data Missing",VLOOKUP(J61,'G-7 Rivers Data'!$AK$4:$AM$9,2,FALSE)))</f>
        <v/>
      </c>
      <c r="L61" s="172" t="str">
        <f>IF(J61="","",IF(VLOOKUP(J61,'G-7 Rivers Data'!$AK$4:$AM$9,3,FALSE)=0,"Spatial Data Missing",VLOOKUP(J61,'G-7 Rivers Data'!$AK$4:$AM$9,3,FALSE)))</f>
        <v/>
      </c>
      <c r="M61" s="79"/>
      <c r="N61" s="172" t="str">
        <f>IF(M61="","",IF(VLOOKUP(M61,'G-7 Rivers Data'!$AA$4:$AB$7,2,FALSE)=0,"Spatial Data Missing",VLOOKUP(M61,'G-7 Rivers Data'!$AA$4:$AB$7,2,FALSE)))</f>
        <v/>
      </c>
      <c r="O61" s="187"/>
      <c r="P61" s="172" t="str">
        <f>IF(O61="","",IF(VLOOKUP(O61,'G-7 Rivers Data'!$AD$4:$AE$8,2,FALSE)=0,"Spatial Data Missing",VLOOKUP(O61,'G-7 Rivers Data'!$AD$4:$AE$8,2,FALSE)))</f>
        <v/>
      </c>
      <c r="Q61" s="177" t="str">
        <f>IF(D61="","",VLOOKUP(D61,'G-7 Rivers Data'!$B$2:$G$8,6,FALSE))</f>
        <v/>
      </c>
      <c r="R61" s="207" t="str">
        <f t="shared" si="0"/>
        <v/>
      </c>
      <c r="S61" s="44"/>
      <c r="T61" s="173"/>
      <c r="U61" s="189"/>
      <c r="V61" s="208" t="str">
        <f t="shared" si="1"/>
        <v/>
      </c>
      <c r="W61" s="208" t="str">
        <f t="shared" si="2"/>
        <v/>
      </c>
      <c r="X61" s="208" t="str">
        <f t="shared" si="3"/>
        <v/>
      </c>
      <c r="Y61" s="209" t="str">
        <f t="shared" si="4"/>
        <v/>
      </c>
      <c r="Z61" s="182"/>
      <c r="AA61" s="183"/>
      <c r="AG61" s="35">
        <f t="shared" si="5"/>
        <v>0</v>
      </c>
      <c r="AH61" s="188" t="str">
        <f t="shared" si="6"/>
        <v/>
      </c>
      <c r="AI61" s="188" t="str">
        <f t="shared" si="7"/>
        <v/>
      </c>
      <c r="AK61" s="188">
        <v>52</v>
      </c>
      <c r="AM61" s="188" t="str">
        <f t="array" ref="AM61">IFERROR(INDEX($AK$10:$AK$258, MATCH(0, IF(TRUE=$AH$10:$AH$258, COUNTIF($AM$9:$AM60, $AK$10:$AK$258), ""), 0)),"")</f>
        <v/>
      </c>
      <c r="AN61" s="188" t="str">
        <f t="array" ref="AN61">IFERROR(INDEX($AK$10:$AK$258, MATCH(0, IF(TRUE=$AI$10:$AI$258, COUNTIF($AN$9:$AN60, $AK$10:$AK$258), ""), 0)),"")</f>
        <v/>
      </c>
      <c r="AP61" s="35" t="str">
        <f>IFERROR(INDEX('G-7 Rivers Data'!$AZ$3:$AZ$7,MATCH(D61,'G-7 Rivers Data'!$AY$3:$AY$7,0)),"")</f>
        <v/>
      </c>
    </row>
    <row r="62" spans="3:42" ht="13.8" x14ac:dyDescent="0.25">
      <c r="C62" s="168">
        <v>53</v>
      </c>
      <c r="D62" s="212"/>
      <c r="E62" s="213"/>
      <c r="F62" s="171" t="str">
        <f>IF(D62="","",VLOOKUP(D62,'G-7 Rivers Data'!$B$2:$G$8,2,FALSE))</f>
        <v/>
      </c>
      <c r="G62" s="172" t="str">
        <f>IFERROR(VLOOKUP(F62,'G-7 Rivers Data'!$C$4:$D$8,2,FALSE),"")</f>
        <v/>
      </c>
      <c r="H62" s="173"/>
      <c r="I62" s="172" t="str">
        <f>IFERROR(INDEX('G-7 Rivers Data'!$H$4:$L$8,MATCH(D62,'G-7 Rivers Data'!$B$4:$B$8,0),MATCH(H62,'G-7 Rivers Data'!$H$3:$L$3,0)),"")</f>
        <v/>
      </c>
      <c r="J62" s="173"/>
      <c r="K62" s="172" t="str">
        <f>IF(J62="","",IF(VLOOKUP(J62,'G-7 Rivers Data'!$AK$4:$AM$9,2,FALSE)=0,"Spatial Data Missing",VLOOKUP(J62,'G-7 Rivers Data'!$AK$4:$AM$9,2,FALSE)))</f>
        <v/>
      </c>
      <c r="L62" s="172" t="str">
        <f>IF(J62="","",IF(VLOOKUP(J62,'G-7 Rivers Data'!$AK$4:$AM$9,3,FALSE)=0,"Spatial Data Missing",VLOOKUP(J62,'G-7 Rivers Data'!$AK$4:$AM$9,3,FALSE)))</f>
        <v/>
      </c>
      <c r="M62" s="79"/>
      <c r="N62" s="172" t="str">
        <f>IF(M62="","",IF(VLOOKUP(M62,'G-7 Rivers Data'!$AA$4:$AB$7,2,FALSE)=0,"Spatial Data Missing",VLOOKUP(M62,'G-7 Rivers Data'!$AA$4:$AB$7,2,FALSE)))</f>
        <v/>
      </c>
      <c r="O62" s="187"/>
      <c r="P62" s="172" t="str">
        <f>IF(O62="","",IF(VLOOKUP(O62,'G-7 Rivers Data'!$AD$4:$AE$8,2,FALSE)=0,"Spatial Data Missing",VLOOKUP(O62,'G-7 Rivers Data'!$AD$4:$AE$8,2,FALSE)))</f>
        <v/>
      </c>
      <c r="Q62" s="177" t="str">
        <f>IF(D62="","",VLOOKUP(D62,'G-7 Rivers Data'!$B$2:$G$8,6,FALSE))</f>
        <v/>
      </c>
      <c r="R62" s="207" t="str">
        <f t="shared" si="0"/>
        <v/>
      </c>
      <c r="S62" s="44"/>
      <c r="T62" s="173"/>
      <c r="U62" s="189"/>
      <c r="V62" s="208" t="str">
        <f t="shared" si="1"/>
        <v/>
      </c>
      <c r="W62" s="208" t="str">
        <f t="shared" si="2"/>
        <v/>
      </c>
      <c r="X62" s="208" t="str">
        <f t="shared" si="3"/>
        <v/>
      </c>
      <c r="Y62" s="209" t="str">
        <f t="shared" si="4"/>
        <v/>
      </c>
      <c r="Z62" s="182"/>
      <c r="AA62" s="183"/>
      <c r="AG62" s="35">
        <f t="shared" si="5"/>
        <v>0</v>
      </c>
      <c r="AH62" s="188" t="str">
        <f t="shared" si="6"/>
        <v/>
      </c>
      <c r="AI62" s="188" t="str">
        <f t="shared" si="7"/>
        <v/>
      </c>
      <c r="AK62" s="188">
        <v>53</v>
      </c>
      <c r="AM62" s="188" t="str">
        <f t="array" ref="AM62">IFERROR(INDEX($AK$10:$AK$258, MATCH(0, IF(TRUE=$AH$10:$AH$258, COUNTIF($AM$9:$AM61, $AK$10:$AK$258), ""), 0)),"")</f>
        <v/>
      </c>
      <c r="AN62" s="188" t="str">
        <f t="array" ref="AN62">IFERROR(INDEX($AK$10:$AK$258, MATCH(0, IF(TRUE=$AI$10:$AI$258, COUNTIF($AN$9:$AN61, $AK$10:$AK$258), ""), 0)),"")</f>
        <v/>
      </c>
      <c r="AP62" s="35" t="str">
        <f>IFERROR(INDEX('G-7 Rivers Data'!$AZ$3:$AZ$7,MATCH(D62,'G-7 Rivers Data'!$AY$3:$AY$7,0)),"")</f>
        <v/>
      </c>
    </row>
    <row r="63" spans="3:42" ht="13.8" x14ac:dyDescent="0.25">
      <c r="C63" s="168">
        <v>54</v>
      </c>
      <c r="D63" s="212"/>
      <c r="E63" s="213"/>
      <c r="F63" s="171" t="str">
        <f>IF(D63="","",VLOOKUP(D63,'G-7 Rivers Data'!$B$2:$G$8,2,FALSE))</f>
        <v/>
      </c>
      <c r="G63" s="172" t="str">
        <f>IFERROR(VLOOKUP(F63,'G-7 Rivers Data'!$C$4:$D$8,2,FALSE),"")</f>
        <v/>
      </c>
      <c r="H63" s="173"/>
      <c r="I63" s="172" t="str">
        <f>IFERROR(INDEX('G-7 Rivers Data'!$H$4:$L$8,MATCH(D63,'G-7 Rivers Data'!$B$4:$B$8,0),MATCH(H63,'G-7 Rivers Data'!$H$3:$L$3,0)),"")</f>
        <v/>
      </c>
      <c r="J63" s="173"/>
      <c r="K63" s="172" t="str">
        <f>IF(J63="","",IF(VLOOKUP(J63,'G-7 Rivers Data'!$AK$4:$AM$9,2,FALSE)=0,"Spatial Data Missing",VLOOKUP(J63,'G-7 Rivers Data'!$AK$4:$AM$9,2,FALSE)))</f>
        <v/>
      </c>
      <c r="L63" s="172" t="str">
        <f>IF(J63="","",IF(VLOOKUP(J63,'G-7 Rivers Data'!$AK$4:$AM$9,3,FALSE)=0,"Spatial Data Missing",VLOOKUP(J63,'G-7 Rivers Data'!$AK$4:$AM$9,3,FALSE)))</f>
        <v/>
      </c>
      <c r="M63" s="79"/>
      <c r="N63" s="172" t="str">
        <f>IF(M63="","",IF(VLOOKUP(M63,'G-7 Rivers Data'!$AA$4:$AB$7,2,FALSE)=0,"Spatial Data Missing",VLOOKUP(M63,'G-7 Rivers Data'!$AA$4:$AB$7,2,FALSE)))</f>
        <v/>
      </c>
      <c r="O63" s="187"/>
      <c r="P63" s="172" t="str">
        <f>IF(O63="","",IF(VLOOKUP(O63,'G-7 Rivers Data'!$AD$4:$AE$8,2,FALSE)=0,"Spatial Data Missing",VLOOKUP(O63,'G-7 Rivers Data'!$AD$4:$AE$8,2,FALSE)))</f>
        <v/>
      </c>
      <c r="Q63" s="177" t="str">
        <f>IF(D63="","",VLOOKUP(D63,'G-7 Rivers Data'!$B$2:$G$8,6,FALSE))</f>
        <v/>
      </c>
      <c r="R63" s="207" t="str">
        <f t="shared" si="0"/>
        <v/>
      </c>
      <c r="S63" s="44"/>
      <c r="T63" s="173"/>
      <c r="U63" s="189"/>
      <c r="V63" s="208" t="str">
        <f t="shared" si="1"/>
        <v/>
      </c>
      <c r="W63" s="208" t="str">
        <f t="shared" si="2"/>
        <v/>
      </c>
      <c r="X63" s="208" t="str">
        <f t="shared" si="3"/>
        <v/>
      </c>
      <c r="Y63" s="209" t="str">
        <f t="shared" si="4"/>
        <v/>
      </c>
      <c r="Z63" s="182"/>
      <c r="AA63" s="183"/>
      <c r="AG63" s="35">
        <f t="shared" si="5"/>
        <v>0</v>
      </c>
      <c r="AH63" s="188" t="str">
        <f t="shared" si="6"/>
        <v/>
      </c>
      <c r="AI63" s="188" t="str">
        <f t="shared" si="7"/>
        <v/>
      </c>
      <c r="AK63" s="188">
        <v>54</v>
      </c>
      <c r="AM63" s="188" t="str">
        <f t="array" ref="AM63">IFERROR(INDEX($AK$10:$AK$258, MATCH(0, IF(TRUE=$AH$10:$AH$258, COUNTIF($AM$9:$AM62, $AK$10:$AK$258), ""), 0)),"")</f>
        <v/>
      </c>
      <c r="AN63" s="188" t="str">
        <f t="array" ref="AN63">IFERROR(INDEX($AK$10:$AK$258, MATCH(0, IF(TRUE=$AI$10:$AI$258, COUNTIF($AN$9:$AN62, $AK$10:$AK$258), ""), 0)),"")</f>
        <v/>
      </c>
      <c r="AP63" s="35" t="str">
        <f>IFERROR(INDEX('G-7 Rivers Data'!$AZ$3:$AZ$7,MATCH(D63,'G-7 Rivers Data'!$AY$3:$AY$7,0)),"")</f>
        <v/>
      </c>
    </row>
    <row r="64" spans="3:42" ht="13.8" x14ac:dyDescent="0.25">
      <c r="C64" s="168">
        <v>55</v>
      </c>
      <c r="D64" s="212"/>
      <c r="E64" s="213"/>
      <c r="F64" s="171" t="str">
        <f>IF(D64="","",VLOOKUP(D64,'G-7 Rivers Data'!$B$2:$G$8,2,FALSE))</f>
        <v/>
      </c>
      <c r="G64" s="172" t="str">
        <f>IFERROR(VLOOKUP(F64,'G-7 Rivers Data'!$C$4:$D$8,2,FALSE),"")</f>
        <v/>
      </c>
      <c r="H64" s="173"/>
      <c r="I64" s="172" t="str">
        <f>IFERROR(INDEX('G-7 Rivers Data'!$H$4:$L$8,MATCH(D64,'G-7 Rivers Data'!$B$4:$B$8,0),MATCH(H64,'G-7 Rivers Data'!$H$3:$L$3,0)),"")</f>
        <v/>
      </c>
      <c r="J64" s="173"/>
      <c r="K64" s="172" t="str">
        <f>IF(J64="","",IF(VLOOKUP(J64,'G-7 Rivers Data'!$AK$4:$AM$9,2,FALSE)=0,"Spatial Data Missing",VLOOKUP(J64,'G-7 Rivers Data'!$AK$4:$AM$9,2,FALSE)))</f>
        <v/>
      </c>
      <c r="L64" s="172" t="str">
        <f>IF(J64="","",IF(VLOOKUP(J64,'G-7 Rivers Data'!$AK$4:$AM$9,3,FALSE)=0,"Spatial Data Missing",VLOOKUP(J64,'G-7 Rivers Data'!$AK$4:$AM$9,3,FALSE)))</f>
        <v/>
      </c>
      <c r="M64" s="79"/>
      <c r="N64" s="172" t="str">
        <f>IF(M64="","",IF(VLOOKUP(M64,'G-7 Rivers Data'!$AA$4:$AB$7,2,FALSE)=0,"Spatial Data Missing",VLOOKUP(M64,'G-7 Rivers Data'!$AA$4:$AB$7,2,FALSE)))</f>
        <v/>
      </c>
      <c r="O64" s="187"/>
      <c r="P64" s="172" t="str">
        <f>IF(O64="","",IF(VLOOKUP(O64,'G-7 Rivers Data'!$AD$4:$AE$8,2,FALSE)=0,"Spatial Data Missing",VLOOKUP(O64,'G-7 Rivers Data'!$AD$4:$AE$8,2,FALSE)))</f>
        <v/>
      </c>
      <c r="Q64" s="177" t="str">
        <f>IF(D64="","",VLOOKUP(D64,'G-7 Rivers Data'!$B$2:$G$8,6,FALSE))</f>
        <v/>
      </c>
      <c r="R64" s="207" t="str">
        <f t="shared" si="0"/>
        <v/>
      </c>
      <c r="S64" s="44"/>
      <c r="T64" s="173"/>
      <c r="U64" s="189"/>
      <c r="V64" s="208" t="str">
        <f t="shared" si="1"/>
        <v/>
      </c>
      <c r="W64" s="208" t="str">
        <f t="shared" si="2"/>
        <v/>
      </c>
      <c r="X64" s="208" t="str">
        <f t="shared" si="3"/>
        <v/>
      </c>
      <c r="Y64" s="209" t="str">
        <f t="shared" si="4"/>
        <v/>
      </c>
      <c r="Z64" s="182"/>
      <c r="AA64" s="183"/>
      <c r="AG64" s="35">
        <f t="shared" si="5"/>
        <v>0</v>
      </c>
      <c r="AH64" s="188" t="str">
        <f t="shared" si="6"/>
        <v/>
      </c>
      <c r="AI64" s="188" t="str">
        <f t="shared" si="7"/>
        <v/>
      </c>
      <c r="AK64" s="188">
        <v>55</v>
      </c>
      <c r="AM64" s="188" t="str">
        <f t="array" ref="AM64">IFERROR(INDEX($AK$10:$AK$258, MATCH(0, IF(TRUE=$AH$10:$AH$258, COUNTIF($AM$9:$AM63, $AK$10:$AK$258), ""), 0)),"")</f>
        <v/>
      </c>
      <c r="AN64" s="188" t="str">
        <f t="array" ref="AN64">IFERROR(INDEX($AK$10:$AK$258, MATCH(0, IF(TRUE=$AI$10:$AI$258, COUNTIF($AN$9:$AN63, $AK$10:$AK$258), ""), 0)),"")</f>
        <v/>
      </c>
      <c r="AP64" s="35" t="str">
        <f>IFERROR(INDEX('G-7 Rivers Data'!$AZ$3:$AZ$7,MATCH(D64,'G-7 Rivers Data'!$AY$3:$AY$7,0)),"")</f>
        <v/>
      </c>
    </row>
    <row r="65" spans="3:42" ht="13.8" x14ac:dyDescent="0.25">
      <c r="C65" s="168">
        <v>56</v>
      </c>
      <c r="D65" s="212"/>
      <c r="E65" s="213"/>
      <c r="F65" s="171" t="str">
        <f>IF(D65="","",VLOOKUP(D65,'G-7 Rivers Data'!$B$2:$G$8,2,FALSE))</f>
        <v/>
      </c>
      <c r="G65" s="172" t="str">
        <f>IFERROR(VLOOKUP(F65,'G-7 Rivers Data'!$C$4:$D$8,2,FALSE),"")</f>
        <v/>
      </c>
      <c r="H65" s="173"/>
      <c r="I65" s="172" t="str">
        <f>IFERROR(INDEX('G-7 Rivers Data'!$H$4:$L$8,MATCH(D65,'G-7 Rivers Data'!$B$4:$B$8,0),MATCH(H65,'G-7 Rivers Data'!$H$3:$L$3,0)),"")</f>
        <v/>
      </c>
      <c r="J65" s="173"/>
      <c r="K65" s="172" t="str">
        <f>IF(J65="","",IF(VLOOKUP(J65,'G-7 Rivers Data'!$AK$4:$AM$9,2,FALSE)=0,"Spatial Data Missing",VLOOKUP(J65,'G-7 Rivers Data'!$AK$4:$AM$9,2,FALSE)))</f>
        <v/>
      </c>
      <c r="L65" s="172" t="str">
        <f>IF(J65="","",IF(VLOOKUP(J65,'G-7 Rivers Data'!$AK$4:$AM$9,3,FALSE)=0,"Spatial Data Missing",VLOOKUP(J65,'G-7 Rivers Data'!$AK$4:$AM$9,3,FALSE)))</f>
        <v/>
      </c>
      <c r="M65" s="79"/>
      <c r="N65" s="172" t="str">
        <f>IF(M65="","",IF(VLOOKUP(M65,'G-7 Rivers Data'!$AA$4:$AB$7,2,FALSE)=0,"Spatial Data Missing",VLOOKUP(M65,'G-7 Rivers Data'!$AA$4:$AB$7,2,FALSE)))</f>
        <v/>
      </c>
      <c r="O65" s="187"/>
      <c r="P65" s="172" t="str">
        <f>IF(O65="","",IF(VLOOKUP(O65,'G-7 Rivers Data'!$AD$4:$AE$8,2,FALSE)=0,"Spatial Data Missing",VLOOKUP(O65,'G-7 Rivers Data'!$AD$4:$AE$8,2,FALSE)))</f>
        <v/>
      </c>
      <c r="Q65" s="177" t="str">
        <f>IF(D65="","",VLOOKUP(D65,'G-7 Rivers Data'!$B$2:$G$8,6,FALSE))</f>
        <v/>
      </c>
      <c r="R65" s="207" t="str">
        <f t="shared" si="0"/>
        <v/>
      </c>
      <c r="S65" s="44"/>
      <c r="T65" s="173"/>
      <c r="U65" s="189"/>
      <c r="V65" s="208" t="str">
        <f t="shared" si="1"/>
        <v/>
      </c>
      <c r="W65" s="208" t="str">
        <f t="shared" si="2"/>
        <v/>
      </c>
      <c r="X65" s="208" t="str">
        <f t="shared" si="3"/>
        <v/>
      </c>
      <c r="Y65" s="209" t="str">
        <f t="shared" si="4"/>
        <v/>
      </c>
      <c r="Z65" s="182"/>
      <c r="AA65" s="183"/>
      <c r="AG65" s="35">
        <f t="shared" si="5"/>
        <v>0</v>
      </c>
      <c r="AH65" s="188" t="str">
        <f t="shared" si="6"/>
        <v/>
      </c>
      <c r="AI65" s="188" t="str">
        <f t="shared" si="7"/>
        <v/>
      </c>
      <c r="AK65" s="188">
        <v>56</v>
      </c>
      <c r="AM65" s="188" t="str">
        <f t="array" ref="AM65">IFERROR(INDEX($AK$10:$AK$258, MATCH(0, IF(TRUE=$AH$10:$AH$258, COUNTIF($AM$9:$AM64, $AK$10:$AK$258), ""), 0)),"")</f>
        <v/>
      </c>
      <c r="AN65" s="188" t="str">
        <f t="array" ref="AN65">IFERROR(INDEX($AK$10:$AK$258, MATCH(0, IF(TRUE=$AI$10:$AI$258, COUNTIF($AN$9:$AN64, $AK$10:$AK$258), ""), 0)),"")</f>
        <v/>
      </c>
      <c r="AP65" s="35" t="str">
        <f>IFERROR(INDEX('G-7 Rivers Data'!$AZ$3:$AZ$7,MATCH(D65,'G-7 Rivers Data'!$AY$3:$AY$7,0)),"")</f>
        <v/>
      </c>
    </row>
    <row r="66" spans="3:42" ht="13.8" x14ac:dyDescent="0.25">
      <c r="C66" s="168">
        <v>57</v>
      </c>
      <c r="D66" s="212"/>
      <c r="E66" s="213"/>
      <c r="F66" s="171" t="str">
        <f>IF(D66="","",VLOOKUP(D66,'G-7 Rivers Data'!$B$2:$G$8,2,FALSE))</f>
        <v/>
      </c>
      <c r="G66" s="172" t="str">
        <f>IFERROR(VLOOKUP(F66,'G-7 Rivers Data'!$C$4:$D$8,2,FALSE),"")</f>
        <v/>
      </c>
      <c r="H66" s="173"/>
      <c r="I66" s="172" t="str">
        <f>IFERROR(INDEX('G-7 Rivers Data'!$H$4:$L$8,MATCH(D66,'G-7 Rivers Data'!$B$4:$B$8,0),MATCH(H66,'G-7 Rivers Data'!$H$3:$L$3,0)),"")</f>
        <v/>
      </c>
      <c r="J66" s="173"/>
      <c r="K66" s="172" t="str">
        <f>IF(J66="","",IF(VLOOKUP(J66,'G-7 Rivers Data'!$AK$4:$AM$9,2,FALSE)=0,"Spatial Data Missing",VLOOKUP(J66,'G-7 Rivers Data'!$AK$4:$AM$9,2,FALSE)))</f>
        <v/>
      </c>
      <c r="L66" s="172" t="str">
        <f>IF(J66="","",IF(VLOOKUP(J66,'G-7 Rivers Data'!$AK$4:$AM$9,3,FALSE)=0,"Spatial Data Missing",VLOOKUP(J66,'G-7 Rivers Data'!$AK$4:$AM$9,3,FALSE)))</f>
        <v/>
      </c>
      <c r="M66" s="79"/>
      <c r="N66" s="172" t="str">
        <f>IF(M66="","",IF(VLOOKUP(M66,'G-7 Rivers Data'!$AA$4:$AB$7,2,FALSE)=0,"Spatial Data Missing",VLOOKUP(M66,'G-7 Rivers Data'!$AA$4:$AB$7,2,FALSE)))</f>
        <v/>
      </c>
      <c r="O66" s="187"/>
      <c r="P66" s="172" t="str">
        <f>IF(O66="","",IF(VLOOKUP(O66,'G-7 Rivers Data'!$AD$4:$AE$8,2,FALSE)=0,"Spatial Data Missing",VLOOKUP(O66,'G-7 Rivers Data'!$AD$4:$AE$8,2,FALSE)))</f>
        <v/>
      </c>
      <c r="Q66" s="177" t="str">
        <f>IF(D66="","",VLOOKUP(D66,'G-7 Rivers Data'!$B$2:$G$8,6,FALSE))</f>
        <v/>
      </c>
      <c r="R66" s="207" t="str">
        <f t="shared" si="0"/>
        <v/>
      </c>
      <c r="S66" s="44"/>
      <c r="T66" s="173"/>
      <c r="U66" s="189"/>
      <c r="V66" s="208" t="str">
        <f t="shared" si="1"/>
        <v/>
      </c>
      <c r="W66" s="208" t="str">
        <f t="shared" si="2"/>
        <v/>
      </c>
      <c r="X66" s="208" t="str">
        <f t="shared" si="3"/>
        <v/>
      </c>
      <c r="Y66" s="209" t="str">
        <f t="shared" si="4"/>
        <v/>
      </c>
      <c r="Z66" s="182"/>
      <c r="AA66" s="183"/>
      <c r="AG66" s="35">
        <f t="shared" si="5"/>
        <v>0</v>
      </c>
      <c r="AH66" s="188" t="str">
        <f t="shared" si="6"/>
        <v/>
      </c>
      <c r="AI66" s="188" t="str">
        <f t="shared" si="7"/>
        <v/>
      </c>
      <c r="AK66" s="188">
        <v>57</v>
      </c>
      <c r="AM66" s="188" t="str">
        <f t="array" ref="AM66">IFERROR(INDEX($AK$10:$AK$258, MATCH(0, IF(TRUE=$AH$10:$AH$258, COUNTIF($AM$9:$AM65, $AK$10:$AK$258), ""), 0)),"")</f>
        <v/>
      </c>
      <c r="AN66" s="188" t="str">
        <f t="array" ref="AN66">IFERROR(INDEX($AK$10:$AK$258, MATCH(0, IF(TRUE=$AI$10:$AI$258, COUNTIF($AN$9:$AN65, $AK$10:$AK$258), ""), 0)),"")</f>
        <v/>
      </c>
      <c r="AP66" s="35" t="str">
        <f>IFERROR(INDEX('G-7 Rivers Data'!$AZ$3:$AZ$7,MATCH(D66,'G-7 Rivers Data'!$AY$3:$AY$7,0)),"")</f>
        <v/>
      </c>
    </row>
    <row r="67" spans="3:42" ht="13.8" x14ac:dyDescent="0.25">
      <c r="C67" s="168">
        <v>58</v>
      </c>
      <c r="D67" s="212"/>
      <c r="E67" s="213"/>
      <c r="F67" s="171" t="str">
        <f>IF(D67="","",VLOOKUP(D67,'G-7 Rivers Data'!$B$2:$G$8,2,FALSE))</f>
        <v/>
      </c>
      <c r="G67" s="172" t="str">
        <f>IFERROR(VLOOKUP(F67,'G-7 Rivers Data'!$C$4:$D$8,2,FALSE),"")</f>
        <v/>
      </c>
      <c r="H67" s="173"/>
      <c r="I67" s="172" t="str">
        <f>IFERROR(INDEX('G-7 Rivers Data'!$H$4:$L$8,MATCH(D67,'G-7 Rivers Data'!$B$4:$B$8,0),MATCH(H67,'G-7 Rivers Data'!$H$3:$L$3,0)),"")</f>
        <v/>
      </c>
      <c r="J67" s="173"/>
      <c r="K67" s="172" t="str">
        <f>IF(J67="","",IF(VLOOKUP(J67,'G-7 Rivers Data'!$AK$4:$AM$9,2,FALSE)=0,"Spatial Data Missing",VLOOKUP(J67,'G-7 Rivers Data'!$AK$4:$AM$9,2,FALSE)))</f>
        <v/>
      </c>
      <c r="L67" s="172" t="str">
        <f>IF(J67="","",IF(VLOOKUP(J67,'G-7 Rivers Data'!$AK$4:$AM$9,3,FALSE)=0,"Spatial Data Missing",VLOOKUP(J67,'G-7 Rivers Data'!$AK$4:$AM$9,3,FALSE)))</f>
        <v/>
      </c>
      <c r="M67" s="79"/>
      <c r="N67" s="172" t="str">
        <f>IF(M67="","",IF(VLOOKUP(M67,'G-7 Rivers Data'!$AA$4:$AB$7,2,FALSE)=0,"Spatial Data Missing",VLOOKUP(M67,'G-7 Rivers Data'!$AA$4:$AB$7,2,FALSE)))</f>
        <v/>
      </c>
      <c r="O67" s="187"/>
      <c r="P67" s="172" t="str">
        <f>IF(O67="","",IF(VLOOKUP(O67,'G-7 Rivers Data'!$AD$4:$AE$8,2,FALSE)=0,"Spatial Data Missing",VLOOKUP(O67,'G-7 Rivers Data'!$AD$4:$AE$8,2,FALSE)))</f>
        <v/>
      </c>
      <c r="Q67" s="177" t="str">
        <f>IF(D67="","",VLOOKUP(D67,'G-7 Rivers Data'!$B$2:$G$8,6,FALSE))</f>
        <v/>
      </c>
      <c r="R67" s="207" t="str">
        <f t="shared" si="0"/>
        <v/>
      </c>
      <c r="S67" s="44"/>
      <c r="T67" s="173"/>
      <c r="U67" s="189"/>
      <c r="V67" s="208" t="str">
        <f t="shared" si="1"/>
        <v/>
      </c>
      <c r="W67" s="208" t="str">
        <f t="shared" si="2"/>
        <v/>
      </c>
      <c r="X67" s="208" t="str">
        <f t="shared" si="3"/>
        <v/>
      </c>
      <c r="Y67" s="209" t="str">
        <f t="shared" si="4"/>
        <v/>
      </c>
      <c r="Z67" s="182"/>
      <c r="AA67" s="183"/>
      <c r="AG67" s="35">
        <f t="shared" si="5"/>
        <v>0</v>
      </c>
      <c r="AH67" s="188" t="str">
        <f t="shared" si="6"/>
        <v/>
      </c>
      <c r="AI67" s="188" t="str">
        <f t="shared" si="7"/>
        <v/>
      </c>
      <c r="AK67" s="188">
        <v>58</v>
      </c>
      <c r="AM67" s="188" t="str">
        <f t="array" ref="AM67">IFERROR(INDEX($AK$10:$AK$258, MATCH(0, IF(TRUE=$AH$10:$AH$258, COUNTIF($AM$9:$AM66, $AK$10:$AK$258), ""), 0)),"")</f>
        <v/>
      </c>
      <c r="AN67" s="188" t="str">
        <f t="array" ref="AN67">IFERROR(INDEX($AK$10:$AK$258, MATCH(0, IF(TRUE=$AI$10:$AI$258, COUNTIF($AN$9:$AN66, $AK$10:$AK$258), ""), 0)),"")</f>
        <v/>
      </c>
      <c r="AP67" s="35" t="str">
        <f>IFERROR(INDEX('G-7 Rivers Data'!$AZ$3:$AZ$7,MATCH(D67,'G-7 Rivers Data'!$AY$3:$AY$7,0)),"")</f>
        <v/>
      </c>
    </row>
    <row r="68" spans="3:42" ht="13.8" x14ac:dyDescent="0.25">
      <c r="C68" s="168">
        <v>59</v>
      </c>
      <c r="D68" s="212"/>
      <c r="E68" s="213"/>
      <c r="F68" s="171" t="str">
        <f>IF(D68="","",VLOOKUP(D68,'G-7 Rivers Data'!$B$2:$G$8,2,FALSE))</f>
        <v/>
      </c>
      <c r="G68" s="172" t="str">
        <f>IFERROR(VLOOKUP(F68,'G-7 Rivers Data'!$C$4:$D$8,2,FALSE),"")</f>
        <v/>
      </c>
      <c r="H68" s="173"/>
      <c r="I68" s="172" t="str">
        <f>IFERROR(INDEX('G-7 Rivers Data'!$H$4:$L$8,MATCH(D68,'G-7 Rivers Data'!$B$4:$B$8,0),MATCH(H68,'G-7 Rivers Data'!$H$3:$L$3,0)),"")</f>
        <v/>
      </c>
      <c r="J68" s="173"/>
      <c r="K68" s="172" t="str">
        <f>IF(J68="","",IF(VLOOKUP(J68,'G-7 Rivers Data'!$AK$4:$AM$9,2,FALSE)=0,"Spatial Data Missing",VLOOKUP(J68,'G-7 Rivers Data'!$AK$4:$AM$9,2,FALSE)))</f>
        <v/>
      </c>
      <c r="L68" s="172" t="str">
        <f>IF(J68="","",IF(VLOOKUP(J68,'G-7 Rivers Data'!$AK$4:$AM$9,3,FALSE)=0,"Spatial Data Missing",VLOOKUP(J68,'G-7 Rivers Data'!$AK$4:$AM$9,3,FALSE)))</f>
        <v/>
      </c>
      <c r="M68" s="79"/>
      <c r="N68" s="172" t="str">
        <f>IF(M68="","",IF(VLOOKUP(M68,'G-7 Rivers Data'!$AA$4:$AB$7,2,FALSE)=0,"Spatial Data Missing",VLOOKUP(M68,'G-7 Rivers Data'!$AA$4:$AB$7,2,FALSE)))</f>
        <v/>
      </c>
      <c r="O68" s="187"/>
      <c r="P68" s="172" t="str">
        <f>IF(O68="","",IF(VLOOKUP(O68,'G-7 Rivers Data'!$AD$4:$AE$8,2,FALSE)=0,"Spatial Data Missing",VLOOKUP(O68,'G-7 Rivers Data'!$AD$4:$AE$8,2,FALSE)))</f>
        <v/>
      </c>
      <c r="Q68" s="177" t="str">
        <f>IF(D68="","",VLOOKUP(D68,'G-7 Rivers Data'!$B$2:$G$8,6,FALSE))</f>
        <v/>
      </c>
      <c r="R68" s="207" t="str">
        <f t="shared" si="0"/>
        <v/>
      </c>
      <c r="S68" s="44"/>
      <c r="T68" s="173"/>
      <c r="U68" s="189"/>
      <c r="V68" s="208" t="str">
        <f t="shared" si="1"/>
        <v/>
      </c>
      <c r="W68" s="208" t="str">
        <f t="shared" si="2"/>
        <v/>
      </c>
      <c r="X68" s="208" t="str">
        <f t="shared" si="3"/>
        <v/>
      </c>
      <c r="Y68" s="209" t="str">
        <f t="shared" si="4"/>
        <v/>
      </c>
      <c r="Z68" s="182"/>
      <c r="AA68" s="183"/>
      <c r="AG68" s="35">
        <f t="shared" si="5"/>
        <v>0</v>
      </c>
      <c r="AH68" s="188" t="str">
        <f t="shared" si="6"/>
        <v/>
      </c>
      <c r="AI68" s="188" t="str">
        <f t="shared" si="7"/>
        <v/>
      </c>
      <c r="AK68" s="188">
        <v>59</v>
      </c>
      <c r="AM68" s="188" t="str">
        <f t="array" ref="AM68">IFERROR(INDEX($AK$10:$AK$258, MATCH(0, IF(TRUE=$AH$10:$AH$258, COUNTIF($AM$9:$AM67, $AK$10:$AK$258), ""), 0)),"")</f>
        <v/>
      </c>
      <c r="AN68" s="188" t="str">
        <f t="array" ref="AN68">IFERROR(INDEX($AK$10:$AK$258, MATCH(0, IF(TRUE=$AI$10:$AI$258, COUNTIF($AN$9:$AN67, $AK$10:$AK$258), ""), 0)),"")</f>
        <v/>
      </c>
      <c r="AP68" s="35" t="str">
        <f>IFERROR(INDEX('G-7 Rivers Data'!$AZ$3:$AZ$7,MATCH(D68,'G-7 Rivers Data'!$AY$3:$AY$7,0)),"")</f>
        <v/>
      </c>
    </row>
    <row r="69" spans="3:42" ht="13.8" x14ac:dyDescent="0.25">
      <c r="C69" s="168">
        <v>60</v>
      </c>
      <c r="D69" s="212"/>
      <c r="E69" s="213"/>
      <c r="F69" s="171" t="str">
        <f>IF(D69="","",VLOOKUP(D69,'G-7 Rivers Data'!$B$2:$G$8,2,FALSE))</f>
        <v/>
      </c>
      <c r="G69" s="172" t="str">
        <f>IFERROR(VLOOKUP(F69,'G-7 Rivers Data'!$C$4:$D$8,2,FALSE),"")</f>
        <v/>
      </c>
      <c r="H69" s="173"/>
      <c r="I69" s="172" t="str">
        <f>IFERROR(INDEX('G-7 Rivers Data'!$H$4:$L$8,MATCH(D69,'G-7 Rivers Data'!$B$4:$B$8,0),MATCH(H69,'G-7 Rivers Data'!$H$3:$L$3,0)),"")</f>
        <v/>
      </c>
      <c r="J69" s="173"/>
      <c r="K69" s="172" t="str">
        <f>IF(J69="","",IF(VLOOKUP(J69,'G-7 Rivers Data'!$AK$4:$AM$9,2,FALSE)=0,"Spatial Data Missing",VLOOKUP(J69,'G-7 Rivers Data'!$AK$4:$AM$9,2,FALSE)))</f>
        <v/>
      </c>
      <c r="L69" s="172" t="str">
        <f>IF(J69="","",IF(VLOOKUP(J69,'G-7 Rivers Data'!$AK$4:$AM$9,3,FALSE)=0,"Spatial Data Missing",VLOOKUP(J69,'G-7 Rivers Data'!$AK$4:$AM$9,3,FALSE)))</f>
        <v/>
      </c>
      <c r="M69" s="79"/>
      <c r="N69" s="172" t="str">
        <f>IF(M69="","",IF(VLOOKUP(M69,'G-7 Rivers Data'!$AA$4:$AB$7,2,FALSE)=0,"Spatial Data Missing",VLOOKUP(M69,'G-7 Rivers Data'!$AA$4:$AB$7,2,FALSE)))</f>
        <v/>
      </c>
      <c r="O69" s="187"/>
      <c r="P69" s="172" t="str">
        <f>IF(O69="","",IF(VLOOKUP(O69,'G-7 Rivers Data'!$AD$4:$AE$8,2,FALSE)=0,"Spatial Data Missing",VLOOKUP(O69,'G-7 Rivers Data'!$AD$4:$AE$8,2,FALSE)))</f>
        <v/>
      </c>
      <c r="Q69" s="177" t="str">
        <f>IF(D69="","",VLOOKUP(D69,'G-7 Rivers Data'!$B$2:$G$8,6,FALSE))</f>
        <v/>
      </c>
      <c r="R69" s="207" t="str">
        <f t="shared" si="0"/>
        <v/>
      </c>
      <c r="S69" s="44"/>
      <c r="T69" s="173"/>
      <c r="U69" s="189"/>
      <c r="V69" s="208" t="str">
        <f t="shared" si="1"/>
        <v/>
      </c>
      <c r="W69" s="208" t="str">
        <f t="shared" si="2"/>
        <v/>
      </c>
      <c r="X69" s="208" t="str">
        <f t="shared" si="3"/>
        <v/>
      </c>
      <c r="Y69" s="209" t="str">
        <f t="shared" si="4"/>
        <v/>
      </c>
      <c r="Z69" s="182"/>
      <c r="AA69" s="183"/>
      <c r="AG69" s="35">
        <f t="shared" si="5"/>
        <v>0</v>
      </c>
      <c r="AH69" s="188" t="str">
        <f t="shared" si="6"/>
        <v/>
      </c>
      <c r="AI69" s="188" t="str">
        <f t="shared" si="7"/>
        <v/>
      </c>
      <c r="AK69" s="188">
        <v>60</v>
      </c>
      <c r="AM69" s="188" t="str">
        <f t="array" ref="AM69">IFERROR(INDEX($AK$10:$AK$258, MATCH(0, IF(TRUE=$AH$10:$AH$258, COUNTIF($AM$9:$AM68, $AK$10:$AK$258), ""), 0)),"")</f>
        <v/>
      </c>
      <c r="AN69" s="188" t="str">
        <f t="array" ref="AN69">IFERROR(INDEX($AK$10:$AK$258, MATCH(0, IF(TRUE=$AI$10:$AI$258, COUNTIF($AN$9:$AN68, $AK$10:$AK$258), ""), 0)),"")</f>
        <v/>
      </c>
      <c r="AP69" s="35" t="str">
        <f>IFERROR(INDEX('G-7 Rivers Data'!$AZ$3:$AZ$7,MATCH(D69,'G-7 Rivers Data'!$AY$3:$AY$7,0)),"")</f>
        <v/>
      </c>
    </row>
    <row r="70" spans="3:42" ht="13.8" x14ac:dyDescent="0.25">
      <c r="C70" s="168">
        <v>61</v>
      </c>
      <c r="D70" s="212"/>
      <c r="E70" s="213"/>
      <c r="F70" s="171" t="str">
        <f>IF(D70="","",VLOOKUP(D70,'G-7 Rivers Data'!$B$2:$G$8,2,FALSE))</f>
        <v/>
      </c>
      <c r="G70" s="172" t="str">
        <f>IFERROR(VLOOKUP(F70,'G-7 Rivers Data'!$C$4:$D$8,2,FALSE),"")</f>
        <v/>
      </c>
      <c r="H70" s="173"/>
      <c r="I70" s="172" t="str">
        <f>IFERROR(INDEX('G-7 Rivers Data'!$H$4:$L$8,MATCH(D70,'G-7 Rivers Data'!$B$4:$B$8,0),MATCH(H70,'G-7 Rivers Data'!$H$3:$L$3,0)),"")</f>
        <v/>
      </c>
      <c r="J70" s="173"/>
      <c r="K70" s="172" t="str">
        <f>IF(J70="","",IF(VLOOKUP(J70,'G-7 Rivers Data'!$AK$4:$AM$9,2,FALSE)=0,"Spatial Data Missing",VLOOKUP(J70,'G-7 Rivers Data'!$AK$4:$AM$9,2,FALSE)))</f>
        <v/>
      </c>
      <c r="L70" s="172" t="str">
        <f>IF(J70="","",IF(VLOOKUP(J70,'G-7 Rivers Data'!$AK$4:$AM$9,3,FALSE)=0,"Spatial Data Missing",VLOOKUP(J70,'G-7 Rivers Data'!$AK$4:$AM$9,3,FALSE)))</f>
        <v/>
      </c>
      <c r="M70" s="79"/>
      <c r="N70" s="172" t="str">
        <f>IF(M70="","",IF(VLOOKUP(M70,'G-7 Rivers Data'!$AA$4:$AB$7,2,FALSE)=0,"Spatial Data Missing",VLOOKUP(M70,'G-7 Rivers Data'!$AA$4:$AB$7,2,FALSE)))</f>
        <v/>
      </c>
      <c r="O70" s="187"/>
      <c r="P70" s="172" t="str">
        <f>IF(O70="","",IF(VLOOKUP(O70,'G-7 Rivers Data'!$AD$4:$AE$8,2,FALSE)=0,"Spatial Data Missing",VLOOKUP(O70,'G-7 Rivers Data'!$AD$4:$AE$8,2,FALSE)))</f>
        <v/>
      </c>
      <c r="Q70" s="177" t="str">
        <f>IF(D70="","",VLOOKUP(D70,'G-7 Rivers Data'!$B$2:$G$8,6,FALSE))</f>
        <v/>
      </c>
      <c r="R70" s="207" t="str">
        <f t="shared" si="0"/>
        <v/>
      </c>
      <c r="S70" s="44"/>
      <c r="T70" s="173"/>
      <c r="U70" s="189"/>
      <c r="V70" s="208" t="str">
        <f t="shared" si="1"/>
        <v/>
      </c>
      <c r="W70" s="208" t="str">
        <f t="shared" si="2"/>
        <v/>
      </c>
      <c r="X70" s="208" t="str">
        <f t="shared" si="3"/>
        <v/>
      </c>
      <c r="Y70" s="209" t="str">
        <f t="shared" si="4"/>
        <v/>
      </c>
      <c r="Z70" s="182"/>
      <c r="AA70" s="183"/>
      <c r="AG70" s="35">
        <f t="shared" si="5"/>
        <v>0</v>
      </c>
      <c r="AH70" s="188" t="str">
        <f t="shared" si="6"/>
        <v/>
      </c>
      <c r="AI70" s="188" t="str">
        <f t="shared" si="7"/>
        <v/>
      </c>
      <c r="AK70" s="188">
        <v>61</v>
      </c>
      <c r="AM70" s="188" t="str">
        <f t="array" ref="AM70">IFERROR(INDEX($AK$10:$AK$258, MATCH(0, IF(TRUE=$AH$10:$AH$258, COUNTIF($AM$9:$AM69, $AK$10:$AK$258), ""), 0)),"")</f>
        <v/>
      </c>
      <c r="AN70" s="188" t="str">
        <f t="array" ref="AN70">IFERROR(INDEX($AK$10:$AK$258, MATCH(0, IF(TRUE=$AI$10:$AI$258, COUNTIF($AN$9:$AN69, $AK$10:$AK$258), ""), 0)),"")</f>
        <v/>
      </c>
      <c r="AP70" s="35" t="str">
        <f>IFERROR(INDEX('G-7 Rivers Data'!$AZ$3:$AZ$7,MATCH(D70,'G-7 Rivers Data'!$AY$3:$AY$7,0)),"")</f>
        <v/>
      </c>
    </row>
    <row r="71" spans="3:42" ht="13.8" x14ac:dyDescent="0.25">
      <c r="C71" s="168">
        <v>62</v>
      </c>
      <c r="D71" s="212"/>
      <c r="E71" s="213"/>
      <c r="F71" s="171" t="str">
        <f>IF(D71="","",VLOOKUP(D71,'G-7 Rivers Data'!$B$2:$G$8,2,FALSE))</f>
        <v/>
      </c>
      <c r="G71" s="172" t="str">
        <f>IFERROR(VLOOKUP(F71,'G-7 Rivers Data'!$C$4:$D$8,2,FALSE),"")</f>
        <v/>
      </c>
      <c r="H71" s="173"/>
      <c r="I71" s="172" t="str">
        <f>IFERROR(INDEX('G-7 Rivers Data'!$H$4:$L$8,MATCH(D71,'G-7 Rivers Data'!$B$4:$B$8,0),MATCH(H71,'G-7 Rivers Data'!$H$3:$L$3,0)),"")</f>
        <v/>
      </c>
      <c r="J71" s="173"/>
      <c r="K71" s="172" t="str">
        <f>IF(J71="","",IF(VLOOKUP(J71,'G-7 Rivers Data'!$AK$4:$AM$9,2,FALSE)=0,"Spatial Data Missing",VLOOKUP(J71,'G-7 Rivers Data'!$AK$4:$AM$9,2,FALSE)))</f>
        <v/>
      </c>
      <c r="L71" s="172" t="str">
        <f>IF(J71="","",IF(VLOOKUP(J71,'G-7 Rivers Data'!$AK$4:$AM$9,3,FALSE)=0,"Spatial Data Missing",VLOOKUP(J71,'G-7 Rivers Data'!$AK$4:$AM$9,3,FALSE)))</f>
        <v/>
      </c>
      <c r="M71" s="79"/>
      <c r="N71" s="172" t="str">
        <f>IF(M71="","",IF(VLOOKUP(M71,'G-7 Rivers Data'!$AA$4:$AB$7,2,FALSE)=0,"Spatial Data Missing",VLOOKUP(M71,'G-7 Rivers Data'!$AA$4:$AB$7,2,FALSE)))</f>
        <v/>
      </c>
      <c r="O71" s="187"/>
      <c r="P71" s="172" t="str">
        <f>IF(O71="","",IF(VLOOKUP(O71,'G-7 Rivers Data'!$AD$4:$AE$8,2,FALSE)=0,"Spatial Data Missing",VLOOKUP(O71,'G-7 Rivers Data'!$AD$4:$AE$8,2,FALSE)))</f>
        <v/>
      </c>
      <c r="Q71" s="177" t="str">
        <f>IF(D71="","",VLOOKUP(D71,'G-7 Rivers Data'!$B$2:$G$8,6,FALSE))</f>
        <v/>
      </c>
      <c r="R71" s="207" t="str">
        <f t="shared" si="0"/>
        <v/>
      </c>
      <c r="S71" s="44"/>
      <c r="T71" s="173"/>
      <c r="U71" s="189"/>
      <c r="V71" s="208" t="str">
        <f t="shared" si="1"/>
        <v/>
      </c>
      <c r="W71" s="208" t="str">
        <f t="shared" si="2"/>
        <v/>
      </c>
      <c r="X71" s="208" t="str">
        <f t="shared" si="3"/>
        <v/>
      </c>
      <c r="Y71" s="209" t="str">
        <f t="shared" si="4"/>
        <v/>
      </c>
      <c r="Z71" s="182"/>
      <c r="AA71" s="183"/>
      <c r="AG71" s="35">
        <f t="shared" si="5"/>
        <v>0</v>
      </c>
      <c r="AH71" s="188" t="str">
        <f t="shared" si="6"/>
        <v/>
      </c>
      <c r="AI71" s="188" t="str">
        <f t="shared" si="7"/>
        <v/>
      </c>
      <c r="AK71" s="188">
        <v>62</v>
      </c>
      <c r="AM71" s="188" t="str">
        <f t="array" ref="AM71">IFERROR(INDEX($AK$10:$AK$258, MATCH(0, IF(TRUE=$AH$10:$AH$258, COUNTIF($AM$9:$AM70, $AK$10:$AK$258), ""), 0)),"")</f>
        <v/>
      </c>
      <c r="AN71" s="188" t="str">
        <f t="array" ref="AN71">IFERROR(INDEX($AK$10:$AK$258, MATCH(0, IF(TRUE=$AI$10:$AI$258, COUNTIF($AN$9:$AN70, $AK$10:$AK$258), ""), 0)),"")</f>
        <v/>
      </c>
      <c r="AP71" s="35" t="str">
        <f>IFERROR(INDEX('G-7 Rivers Data'!$AZ$3:$AZ$7,MATCH(D71,'G-7 Rivers Data'!$AY$3:$AY$7,0)),"")</f>
        <v/>
      </c>
    </row>
    <row r="72" spans="3:42" ht="13.8" x14ac:dyDescent="0.25">
      <c r="C72" s="168">
        <v>63</v>
      </c>
      <c r="D72" s="212"/>
      <c r="E72" s="213"/>
      <c r="F72" s="171" t="str">
        <f>IF(D72="","",VLOOKUP(D72,'G-7 Rivers Data'!$B$2:$G$8,2,FALSE))</f>
        <v/>
      </c>
      <c r="G72" s="172" t="str">
        <f>IFERROR(VLOOKUP(F72,'G-7 Rivers Data'!$C$4:$D$8,2,FALSE),"")</f>
        <v/>
      </c>
      <c r="H72" s="173"/>
      <c r="I72" s="172" t="str">
        <f>IFERROR(INDEX('G-7 Rivers Data'!$H$4:$L$8,MATCH(D72,'G-7 Rivers Data'!$B$4:$B$8,0),MATCH(H72,'G-7 Rivers Data'!$H$3:$L$3,0)),"")</f>
        <v/>
      </c>
      <c r="J72" s="173"/>
      <c r="K72" s="172" t="str">
        <f>IF(J72="","",IF(VLOOKUP(J72,'G-7 Rivers Data'!$AK$4:$AM$9,2,FALSE)=0,"Spatial Data Missing",VLOOKUP(J72,'G-7 Rivers Data'!$AK$4:$AM$9,2,FALSE)))</f>
        <v/>
      </c>
      <c r="L72" s="172" t="str">
        <f>IF(J72="","",IF(VLOOKUP(J72,'G-7 Rivers Data'!$AK$4:$AM$9,3,FALSE)=0,"Spatial Data Missing",VLOOKUP(J72,'G-7 Rivers Data'!$AK$4:$AM$9,3,FALSE)))</f>
        <v/>
      </c>
      <c r="M72" s="79"/>
      <c r="N72" s="172" t="str">
        <f>IF(M72="","",IF(VLOOKUP(M72,'G-7 Rivers Data'!$AA$4:$AB$7,2,FALSE)=0,"Spatial Data Missing",VLOOKUP(M72,'G-7 Rivers Data'!$AA$4:$AB$7,2,FALSE)))</f>
        <v/>
      </c>
      <c r="O72" s="187"/>
      <c r="P72" s="172" t="str">
        <f>IF(O72="","",IF(VLOOKUP(O72,'G-7 Rivers Data'!$AD$4:$AE$8,2,FALSE)=0,"Spatial Data Missing",VLOOKUP(O72,'G-7 Rivers Data'!$AD$4:$AE$8,2,FALSE)))</f>
        <v/>
      </c>
      <c r="Q72" s="177" t="str">
        <f>IF(D72="","",VLOOKUP(D72,'G-7 Rivers Data'!$B$2:$G$8,6,FALSE))</f>
        <v/>
      </c>
      <c r="R72" s="207" t="str">
        <f t="shared" si="0"/>
        <v/>
      </c>
      <c r="S72" s="44"/>
      <c r="T72" s="173"/>
      <c r="U72" s="189"/>
      <c r="V72" s="208" t="str">
        <f t="shared" si="1"/>
        <v/>
      </c>
      <c r="W72" s="208" t="str">
        <f t="shared" si="2"/>
        <v/>
      </c>
      <c r="X72" s="208" t="str">
        <f t="shared" si="3"/>
        <v/>
      </c>
      <c r="Y72" s="209" t="str">
        <f t="shared" si="4"/>
        <v/>
      </c>
      <c r="Z72" s="182"/>
      <c r="AA72" s="183"/>
      <c r="AG72" s="35">
        <f t="shared" si="5"/>
        <v>0</v>
      </c>
      <c r="AH72" s="188" t="str">
        <f t="shared" si="6"/>
        <v/>
      </c>
      <c r="AI72" s="188" t="str">
        <f t="shared" si="7"/>
        <v/>
      </c>
      <c r="AK72" s="188">
        <v>63</v>
      </c>
      <c r="AM72" s="188" t="str">
        <f t="array" ref="AM72">IFERROR(INDEX($AK$10:$AK$258, MATCH(0, IF(TRUE=$AH$10:$AH$258, COUNTIF($AM$9:$AM71, $AK$10:$AK$258), ""), 0)),"")</f>
        <v/>
      </c>
      <c r="AN72" s="188" t="str">
        <f t="array" ref="AN72">IFERROR(INDEX($AK$10:$AK$258, MATCH(0, IF(TRUE=$AI$10:$AI$258, COUNTIF($AN$9:$AN71, $AK$10:$AK$258), ""), 0)),"")</f>
        <v/>
      </c>
      <c r="AP72" s="35" t="str">
        <f>IFERROR(INDEX('G-7 Rivers Data'!$AZ$3:$AZ$7,MATCH(D72,'G-7 Rivers Data'!$AY$3:$AY$7,0)),"")</f>
        <v/>
      </c>
    </row>
    <row r="73" spans="3:42" ht="13.8" x14ac:dyDescent="0.25">
      <c r="C73" s="168">
        <v>64</v>
      </c>
      <c r="D73" s="212"/>
      <c r="E73" s="213"/>
      <c r="F73" s="171" t="str">
        <f>IF(D73="","",VLOOKUP(D73,'G-7 Rivers Data'!$B$2:$G$8,2,FALSE))</f>
        <v/>
      </c>
      <c r="G73" s="172" t="str">
        <f>IFERROR(VLOOKUP(F73,'G-7 Rivers Data'!$C$4:$D$8,2,FALSE),"")</f>
        <v/>
      </c>
      <c r="H73" s="173"/>
      <c r="I73" s="172" t="str">
        <f>IFERROR(INDEX('G-7 Rivers Data'!$H$4:$L$8,MATCH(D73,'G-7 Rivers Data'!$B$4:$B$8,0),MATCH(H73,'G-7 Rivers Data'!$H$3:$L$3,0)),"")</f>
        <v/>
      </c>
      <c r="J73" s="173"/>
      <c r="K73" s="172" t="str">
        <f>IF(J73="","",IF(VLOOKUP(J73,'G-7 Rivers Data'!$AK$4:$AM$9,2,FALSE)=0,"Spatial Data Missing",VLOOKUP(J73,'G-7 Rivers Data'!$AK$4:$AM$9,2,FALSE)))</f>
        <v/>
      </c>
      <c r="L73" s="172" t="str">
        <f>IF(J73="","",IF(VLOOKUP(J73,'G-7 Rivers Data'!$AK$4:$AM$9,3,FALSE)=0,"Spatial Data Missing",VLOOKUP(J73,'G-7 Rivers Data'!$AK$4:$AM$9,3,FALSE)))</f>
        <v/>
      </c>
      <c r="M73" s="79"/>
      <c r="N73" s="172" t="str">
        <f>IF(M73="","",IF(VLOOKUP(M73,'G-7 Rivers Data'!$AA$4:$AB$7,2,FALSE)=0,"Spatial Data Missing",VLOOKUP(M73,'G-7 Rivers Data'!$AA$4:$AB$7,2,FALSE)))</f>
        <v/>
      </c>
      <c r="O73" s="187"/>
      <c r="P73" s="172" t="str">
        <f>IF(O73="","",IF(VLOOKUP(O73,'G-7 Rivers Data'!$AD$4:$AE$8,2,FALSE)=0,"Spatial Data Missing",VLOOKUP(O73,'G-7 Rivers Data'!$AD$4:$AE$8,2,FALSE)))</f>
        <v/>
      </c>
      <c r="Q73" s="177" t="str">
        <f>IF(D73="","",VLOOKUP(D73,'G-7 Rivers Data'!$B$2:$G$8,6,FALSE))</f>
        <v/>
      </c>
      <c r="R73" s="207" t="str">
        <f t="shared" si="0"/>
        <v/>
      </c>
      <c r="S73" s="44"/>
      <c r="T73" s="173"/>
      <c r="U73" s="189"/>
      <c r="V73" s="208" t="str">
        <f t="shared" si="1"/>
        <v/>
      </c>
      <c r="W73" s="208" t="str">
        <f t="shared" si="2"/>
        <v/>
      </c>
      <c r="X73" s="208" t="str">
        <f t="shared" si="3"/>
        <v/>
      </c>
      <c r="Y73" s="209" t="str">
        <f t="shared" si="4"/>
        <v/>
      </c>
      <c r="Z73" s="182"/>
      <c r="AA73" s="183"/>
      <c r="AG73" s="35">
        <f t="shared" si="5"/>
        <v>0</v>
      </c>
      <c r="AH73" s="188" t="str">
        <f t="shared" si="6"/>
        <v/>
      </c>
      <c r="AI73" s="188" t="str">
        <f t="shared" si="7"/>
        <v/>
      </c>
      <c r="AK73" s="188">
        <v>64</v>
      </c>
      <c r="AM73" s="188" t="str">
        <f t="array" ref="AM73">IFERROR(INDEX($AK$10:$AK$258, MATCH(0, IF(TRUE=$AH$10:$AH$258, COUNTIF($AM$9:$AM72, $AK$10:$AK$258), ""), 0)),"")</f>
        <v/>
      </c>
      <c r="AN73" s="188" t="str">
        <f t="array" ref="AN73">IFERROR(INDEX($AK$10:$AK$258, MATCH(0, IF(TRUE=$AI$10:$AI$258, COUNTIF($AN$9:$AN72, $AK$10:$AK$258), ""), 0)),"")</f>
        <v/>
      </c>
      <c r="AP73" s="35" t="str">
        <f>IFERROR(INDEX('G-7 Rivers Data'!$AZ$3:$AZ$7,MATCH(D73,'G-7 Rivers Data'!$AY$3:$AY$7,0)),"")</f>
        <v/>
      </c>
    </row>
    <row r="74" spans="3:42" ht="13.8" x14ac:dyDescent="0.25">
      <c r="C74" s="168">
        <v>65</v>
      </c>
      <c r="D74" s="212"/>
      <c r="E74" s="213"/>
      <c r="F74" s="171" t="str">
        <f>IF(D74="","",VLOOKUP(D74,'G-7 Rivers Data'!$B$2:$G$8,2,FALSE))</f>
        <v/>
      </c>
      <c r="G74" s="172" t="str">
        <f>IFERROR(VLOOKUP(F74,'G-7 Rivers Data'!$C$4:$D$8,2,FALSE),"")</f>
        <v/>
      </c>
      <c r="H74" s="173"/>
      <c r="I74" s="172" t="str">
        <f>IFERROR(INDEX('G-7 Rivers Data'!$H$4:$L$8,MATCH(D74,'G-7 Rivers Data'!$B$4:$B$8,0),MATCH(H74,'G-7 Rivers Data'!$H$3:$L$3,0)),"")</f>
        <v/>
      </c>
      <c r="J74" s="173"/>
      <c r="K74" s="172" t="str">
        <f>IF(J74="","",IF(VLOOKUP(J74,'G-7 Rivers Data'!$AK$4:$AM$9,2,FALSE)=0,"Spatial Data Missing",VLOOKUP(J74,'G-7 Rivers Data'!$AK$4:$AM$9,2,FALSE)))</f>
        <v/>
      </c>
      <c r="L74" s="172" t="str">
        <f>IF(J74="","",IF(VLOOKUP(J74,'G-7 Rivers Data'!$AK$4:$AM$9,3,FALSE)=0,"Spatial Data Missing",VLOOKUP(J74,'G-7 Rivers Data'!$AK$4:$AM$9,3,FALSE)))</f>
        <v/>
      </c>
      <c r="M74" s="79"/>
      <c r="N74" s="172" t="str">
        <f>IF(M74="","",IF(VLOOKUP(M74,'G-7 Rivers Data'!$AA$4:$AB$7,2,FALSE)=0,"Spatial Data Missing",VLOOKUP(M74,'G-7 Rivers Data'!$AA$4:$AB$7,2,FALSE)))</f>
        <v/>
      </c>
      <c r="O74" s="187"/>
      <c r="P74" s="172" t="str">
        <f>IF(O74="","",IF(VLOOKUP(O74,'G-7 Rivers Data'!$AD$4:$AE$8,2,FALSE)=0,"Spatial Data Missing",VLOOKUP(O74,'G-7 Rivers Data'!$AD$4:$AE$8,2,FALSE)))</f>
        <v/>
      </c>
      <c r="Q74" s="177" t="str">
        <f>IF(D74="","",VLOOKUP(D74,'G-7 Rivers Data'!$B$2:$G$8,6,FALSE))</f>
        <v/>
      </c>
      <c r="R74" s="207" t="str">
        <f t="shared" si="0"/>
        <v/>
      </c>
      <c r="S74" s="44"/>
      <c r="T74" s="173"/>
      <c r="U74" s="189"/>
      <c r="V74" s="208" t="str">
        <f t="shared" si="1"/>
        <v/>
      </c>
      <c r="W74" s="208" t="str">
        <f t="shared" si="2"/>
        <v/>
      </c>
      <c r="X74" s="208" t="str">
        <f t="shared" si="3"/>
        <v/>
      </c>
      <c r="Y74" s="209" t="str">
        <f t="shared" si="4"/>
        <v/>
      </c>
      <c r="Z74" s="182"/>
      <c r="AA74" s="183"/>
      <c r="AG74" s="35">
        <f t="shared" si="5"/>
        <v>0</v>
      </c>
      <c r="AH74" s="188" t="str">
        <f t="shared" si="6"/>
        <v/>
      </c>
      <c r="AI74" s="188" t="str">
        <f t="shared" si="7"/>
        <v/>
      </c>
      <c r="AK74" s="188">
        <v>65</v>
      </c>
      <c r="AM74" s="188" t="str">
        <f t="array" ref="AM74">IFERROR(INDEX($AK$10:$AK$258, MATCH(0, IF(TRUE=$AH$10:$AH$258, COUNTIF($AM$9:$AM73, $AK$10:$AK$258), ""), 0)),"")</f>
        <v/>
      </c>
      <c r="AN74" s="188" t="str">
        <f t="array" ref="AN74">IFERROR(INDEX($AK$10:$AK$258, MATCH(0, IF(TRUE=$AI$10:$AI$258, COUNTIF($AN$9:$AN73, $AK$10:$AK$258), ""), 0)),"")</f>
        <v/>
      </c>
      <c r="AP74" s="35" t="str">
        <f>IFERROR(INDEX('G-7 Rivers Data'!$AZ$3:$AZ$7,MATCH(D74,'G-7 Rivers Data'!$AY$3:$AY$7,0)),"")</f>
        <v/>
      </c>
    </row>
    <row r="75" spans="3:42" ht="13.8" x14ac:dyDescent="0.25">
      <c r="C75" s="168">
        <v>66</v>
      </c>
      <c r="D75" s="212"/>
      <c r="E75" s="213"/>
      <c r="F75" s="171" t="str">
        <f>IF(D75="","",VLOOKUP(D75,'G-7 Rivers Data'!$B$2:$G$8,2,FALSE))</f>
        <v/>
      </c>
      <c r="G75" s="172" t="str">
        <f>IFERROR(VLOOKUP(F75,'G-7 Rivers Data'!$C$4:$D$8,2,FALSE),"")</f>
        <v/>
      </c>
      <c r="H75" s="173"/>
      <c r="I75" s="172" t="str">
        <f>IFERROR(INDEX('G-7 Rivers Data'!$H$4:$L$8,MATCH(D75,'G-7 Rivers Data'!$B$4:$B$8,0),MATCH(H75,'G-7 Rivers Data'!$H$3:$L$3,0)),"")</f>
        <v/>
      </c>
      <c r="J75" s="173"/>
      <c r="K75" s="172" t="str">
        <f>IF(J75="","",IF(VLOOKUP(J75,'G-7 Rivers Data'!$AK$4:$AM$9,2,FALSE)=0,"Spatial Data Missing",VLOOKUP(J75,'G-7 Rivers Data'!$AK$4:$AM$9,2,FALSE)))</f>
        <v/>
      </c>
      <c r="L75" s="172" t="str">
        <f>IF(J75="","",IF(VLOOKUP(J75,'G-7 Rivers Data'!$AK$4:$AM$9,3,FALSE)=0,"Spatial Data Missing",VLOOKUP(J75,'G-7 Rivers Data'!$AK$4:$AM$9,3,FALSE)))</f>
        <v/>
      </c>
      <c r="M75" s="79"/>
      <c r="N75" s="172" t="str">
        <f>IF(M75="","",IF(VLOOKUP(M75,'G-7 Rivers Data'!$AA$4:$AB$7,2,FALSE)=0,"Spatial Data Missing",VLOOKUP(M75,'G-7 Rivers Data'!$AA$4:$AB$7,2,FALSE)))</f>
        <v/>
      </c>
      <c r="O75" s="187"/>
      <c r="P75" s="172" t="str">
        <f>IF(O75="","",IF(VLOOKUP(O75,'G-7 Rivers Data'!$AD$4:$AE$8,2,FALSE)=0,"Spatial Data Missing",VLOOKUP(O75,'G-7 Rivers Data'!$AD$4:$AE$8,2,FALSE)))</f>
        <v/>
      </c>
      <c r="Q75" s="177" t="str">
        <f>IF(D75="","",VLOOKUP(D75,'G-7 Rivers Data'!$B$2:$G$8,6,FALSE))</f>
        <v/>
      </c>
      <c r="R75" s="207" t="str">
        <f t="shared" ref="R75:R138" si="8">IFERROR(IF(D75="","",E75*G75*I75*L75*N75*P75),"")</f>
        <v/>
      </c>
      <c r="S75" s="44"/>
      <c r="T75" s="173"/>
      <c r="U75" s="189"/>
      <c r="V75" s="208" t="str">
        <f t="shared" ref="V75:V138" si="9">IFERROR(IF(T75&gt;E75,"Check Lengths",T75*G75*I75*L75*N75*P75),"")</f>
        <v/>
      </c>
      <c r="W75" s="208" t="str">
        <f t="shared" ref="W75:W138" si="10">IFERROR(IF(D75="","",U75*G75*I75*L75*N75*P75),"")</f>
        <v/>
      </c>
      <c r="X75" s="208" t="str">
        <f t="shared" ref="X75:X138" si="11">IFERROR(IF(D75="","",IF(E75&gt;(T75+U75),E75-T75-U75,0)),"")</f>
        <v/>
      </c>
      <c r="Y75" s="209" t="str">
        <f t="shared" ref="Y75:Y138" si="12">IFERROR(IF(E75="","",IF((V75+W75)&gt;R75,0,R75-V75-W75)),"Check Data")</f>
        <v/>
      </c>
      <c r="Z75" s="182"/>
      <c r="AA75" s="183"/>
      <c r="AG75" s="35">
        <f t="shared" ref="AG75:AG138" si="13">IFERROR(IF(T75+U75&gt;E75,1,0),"")</f>
        <v>0</v>
      </c>
      <c r="AH75" s="188" t="str">
        <f t="shared" ref="AH75:AH138" si="14">IF(D75="","",IF(T75&gt;0,TRUE,FALSE))</f>
        <v/>
      </c>
      <c r="AI75" s="188" t="str">
        <f t="shared" ref="AI75:AI138" si="15">IF(D75="","",IF(U75&gt;0,TRUE,FALSE))</f>
        <v/>
      </c>
      <c r="AK75" s="188">
        <v>66</v>
      </c>
      <c r="AM75" s="188" t="str">
        <f t="array" ref="AM75">IFERROR(INDEX($AK$10:$AK$258, MATCH(0, IF(TRUE=$AH$10:$AH$258, COUNTIF($AM$9:$AM74, $AK$10:$AK$258), ""), 0)),"")</f>
        <v/>
      </c>
      <c r="AN75" s="188" t="str">
        <f t="array" ref="AN75">IFERROR(INDEX($AK$10:$AK$258, MATCH(0, IF(TRUE=$AI$10:$AI$258, COUNTIF($AN$9:$AN74, $AK$10:$AK$258), ""), 0)),"")</f>
        <v/>
      </c>
      <c r="AP75" s="35" t="str">
        <f>IFERROR(INDEX('G-7 Rivers Data'!$AZ$3:$AZ$7,MATCH(D75,'G-7 Rivers Data'!$AY$3:$AY$7,0)),"")</f>
        <v/>
      </c>
    </row>
    <row r="76" spans="3:42" ht="13.8" x14ac:dyDescent="0.25">
      <c r="C76" s="168">
        <v>67</v>
      </c>
      <c r="D76" s="212"/>
      <c r="E76" s="213"/>
      <c r="F76" s="171" t="str">
        <f>IF(D76="","",VLOOKUP(D76,'G-7 Rivers Data'!$B$2:$G$8,2,FALSE))</f>
        <v/>
      </c>
      <c r="G76" s="172" t="str">
        <f>IFERROR(VLOOKUP(F76,'G-7 Rivers Data'!$C$4:$D$8,2,FALSE),"")</f>
        <v/>
      </c>
      <c r="H76" s="173"/>
      <c r="I76" s="172" t="str">
        <f>IFERROR(INDEX('G-7 Rivers Data'!$H$4:$L$8,MATCH(D76,'G-7 Rivers Data'!$B$4:$B$8,0),MATCH(H76,'G-7 Rivers Data'!$H$3:$L$3,0)),"")</f>
        <v/>
      </c>
      <c r="J76" s="173"/>
      <c r="K76" s="172" t="str">
        <f>IF(J76="","",IF(VLOOKUP(J76,'G-7 Rivers Data'!$AK$4:$AM$9,2,FALSE)=0,"Spatial Data Missing",VLOOKUP(J76,'G-7 Rivers Data'!$AK$4:$AM$9,2,FALSE)))</f>
        <v/>
      </c>
      <c r="L76" s="172" t="str">
        <f>IF(J76="","",IF(VLOOKUP(J76,'G-7 Rivers Data'!$AK$4:$AM$9,3,FALSE)=0,"Spatial Data Missing",VLOOKUP(J76,'G-7 Rivers Data'!$AK$4:$AM$9,3,FALSE)))</f>
        <v/>
      </c>
      <c r="M76" s="79"/>
      <c r="N76" s="172" t="str">
        <f>IF(M76="","",IF(VLOOKUP(M76,'G-7 Rivers Data'!$AA$4:$AB$7,2,FALSE)=0,"Spatial Data Missing",VLOOKUP(M76,'G-7 Rivers Data'!$AA$4:$AB$7,2,FALSE)))</f>
        <v/>
      </c>
      <c r="O76" s="187"/>
      <c r="P76" s="172" t="str">
        <f>IF(O76="","",IF(VLOOKUP(O76,'G-7 Rivers Data'!$AD$4:$AE$8,2,FALSE)=0,"Spatial Data Missing",VLOOKUP(O76,'G-7 Rivers Data'!$AD$4:$AE$8,2,FALSE)))</f>
        <v/>
      </c>
      <c r="Q76" s="177" t="str">
        <f>IF(D76="","",VLOOKUP(D76,'G-7 Rivers Data'!$B$2:$G$8,6,FALSE))</f>
        <v/>
      </c>
      <c r="R76" s="207" t="str">
        <f t="shared" si="8"/>
        <v/>
      </c>
      <c r="S76" s="44"/>
      <c r="T76" s="173"/>
      <c r="U76" s="189"/>
      <c r="V76" s="208" t="str">
        <f t="shared" si="9"/>
        <v/>
      </c>
      <c r="W76" s="208" t="str">
        <f t="shared" si="10"/>
        <v/>
      </c>
      <c r="X76" s="208" t="str">
        <f t="shared" si="11"/>
        <v/>
      </c>
      <c r="Y76" s="209" t="str">
        <f t="shared" si="12"/>
        <v/>
      </c>
      <c r="Z76" s="182"/>
      <c r="AA76" s="183"/>
      <c r="AG76" s="35">
        <f t="shared" si="13"/>
        <v>0</v>
      </c>
      <c r="AH76" s="188" t="str">
        <f t="shared" si="14"/>
        <v/>
      </c>
      <c r="AI76" s="188" t="str">
        <f t="shared" si="15"/>
        <v/>
      </c>
      <c r="AK76" s="188">
        <v>67</v>
      </c>
      <c r="AM76" s="188" t="str">
        <f t="array" ref="AM76">IFERROR(INDEX($AK$10:$AK$258, MATCH(0, IF(TRUE=$AH$10:$AH$258, COUNTIF($AM$9:$AM75, $AK$10:$AK$258), ""), 0)),"")</f>
        <v/>
      </c>
      <c r="AN76" s="188" t="str">
        <f t="array" ref="AN76">IFERROR(INDEX($AK$10:$AK$258, MATCH(0, IF(TRUE=$AI$10:$AI$258, COUNTIF($AN$9:$AN75, $AK$10:$AK$258), ""), 0)),"")</f>
        <v/>
      </c>
      <c r="AP76" s="35" t="str">
        <f>IFERROR(INDEX('G-7 Rivers Data'!$AZ$3:$AZ$7,MATCH(D76,'G-7 Rivers Data'!$AY$3:$AY$7,0)),"")</f>
        <v/>
      </c>
    </row>
    <row r="77" spans="3:42" ht="13.8" x14ac:dyDescent="0.25">
      <c r="C77" s="168">
        <v>68</v>
      </c>
      <c r="D77" s="212"/>
      <c r="E77" s="213"/>
      <c r="F77" s="171" t="str">
        <f>IF(D77="","",VLOOKUP(D77,'G-7 Rivers Data'!$B$2:$G$8,2,FALSE))</f>
        <v/>
      </c>
      <c r="G77" s="172" t="str">
        <f>IFERROR(VLOOKUP(F77,'G-7 Rivers Data'!$C$4:$D$8,2,FALSE),"")</f>
        <v/>
      </c>
      <c r="H77" s="173"/>
      <c r="I77" s="172" t="str">
        <f>IFERROR(INDEX('G-7 Rivers Data'!$H$4:$L$8,MATCH(D77,'G-7 Rivers Data'!$B$4:$B$8,0),MATCH(H77,'G-7 Rivers Data'!$H$3:$L$3,0)),"")</f>
        <v/>
      </c>
      <c r="J77" s="173"/>
      <c r="K77" s="172" t="str">
        <f>IF(J77="","",IF(VLOOKUP(J77,'G-7 Rivers Data'!$AK$4:$AM$9,2,FALSE)=0,"Spatial Data Missing",VLOOKUP(J77,'G-7 Rivers Data'!$AK$4:$AM$9,2,FALSE)))</f>
        <v/>
      </c>
      <c r="L77" s="172" t="str">
        <f>IF(J77="","",IF(VLOOKUP(J77,'G-7 Rivers Data'!$AK$4:$AM$9,3,FALSE)=0,"Spatial Data Missing",VLOOKUP(J77,'G-7 Rivers Data'!$AK$4:$AM$9,3,FALSE)))</f>
        <v/>
      </c>
      <c r="M77" s="79"/>
      <c r="N77" s="172" t="str">
        <f>IF(M77="","",IF(VLOOKUP(M77,'G-7 Rivers Data'!$AA$4:$AB$7,2,FALSE)=0,"Spatial Data Missing",VLOOKUP(M77,'G-7 Rivers Data'!$AA$4:$AB$7,2,FALSE)))</f>
        <v/>
      </c>
      <c r="O77" s="187"/>
      <c r="P77" s="172" t="str">
        <f>IF(O77="","",IF(VLOOKUP(O77,'G-7 Rivers Data'!$AD$4:$AE$8,2,FALSE)=0,"Spatial Data Missing",VLOOKUP(O77,'G-7 Rivers Data'!$AD$4:$AE$8,2,FALSE)))</f>
        <v/>
      </c>
      <c r="Q77" s="177" t="str">
        <f>IF(D77="","",VLOOKUP(D77,'G-7 Rivers Data'!$B$2:$G$8,6,FALSE))</f>
        <v/>
      </c>
      <c r="R77" s="207" t="str">
        <f t="shared" si="8"/>
        <v/>
      </c>
      <c r="S77" s="44"/>
      <c r="T77" s="173"/>
      <c r="U77" s="189"/>
      <c r="V77" s="208" t="str">
        <f t="shared" si="9"/>
        <v/>
      </c>
      <c r="W77" s="208" t="str">
        <f t="shared" si="10"/>
        <v/>
      </c>
      <c r="X77" s="208" t="str">
        <f t="shared" si="11"/>
        <v/>
      </c>
      <c r="Y77" s="209" t="str">
        <f t="shared" si="12"/>
        <v/>
      </c>
      <c r="Z77" s="182"/>
      <c r="AA77" s="183"/>
      <c r="AG77" s="35">
        <f t="shared" si="13"/>
        <v>0</v>
      </c>
      <c r="AH77" s="188" t="str">
        <f t="shared" si="14"/>
        <v/>
      </c>
      <c r="AI77" s="188" t="str">
        <f t="shared" si="15"/>
        <v/>
      </c>
      <c r="AK77" s="188">
        <v>68</v>
      </c>
      <c r="AM77" s="188" t="str">
        <f t="array" ref="AM77">IFERROR(INDEX($AK$10:$AK$258, MATCH(0, IF(TRUE=$AH$10:$AH$258, COUNTIF($AM$9:$AM76, $AK$10:$AK$258), ""), 0)),"")</f>
        <v/>
      </c>
      <c r="AN77" s="188" t="str">
        <f t="array" ref="AN77">IFERROR(INDEX($AK$10:$AK$258, MATCH(0, IF(TRUE=$AI$10:$AI$258, COUNTIF($AN$9:$AN76, $AK$10:$AK$258), ""), 0)),"")</f>
        <v/>
      </c>
      <c r="AP77" s="35" t="str">
        <f>IFERROR(INDEX('G-7 Rivers Data'!$AZ$3:$AZ$7,MATCH(D77,'G-7 Rivers Data'!$AY$3:$AY$7,0)),"")</f>
        <v/>
      </c>
    </row>
    <row r="78" spans="3:42" ht="13.8" x14ac:dyDescent="0.25">
      <c r="C78" s="168">
        <v>69</v>
      </c>
      <c r="D78" s="212"/>
      <c r="E78" s="213"/>
      <c r="F78" s="171" t="str">
        <f>IF(D78="","",VLOOKUP(D78,'G-7 Rivers Data'!$B$2:$G$8,2,FALSE))</f>
        <v/>
      </c>
      <c r="G78" s="172" t="str">
        <f>IFERROR(VLOOKUP(F78,'G-7 Rivers Data'!$C$4:$D$8,2,FALSE),"")</f>
        <v/>
      </c>
      <c r="H78" s="173"/>
      <c r="I78" s="172" t="str">
        <f>IFERROR(INDEX('G-7 Rivers Data'!$H$4:$L$8,MATCH(D78,'G-7 Rivers Data'!$B$4:$B$8,0),MATCH(H78,'G-7 Rivers Data'!$H$3:$L$3,0)),"")</f>
        <v/>
      </c>
      <c r="J78" s="173"/>
      <c r="K78" s="172" t="str">
        <f>IF(J78="","",IF(VLOOKUP(J78,'G-7 Rivers Data'!$AK$4:$AM$9,2,FALSE)=0,"Spatial Data Missing",VLOOKUP(J78,'G-7 Rivers Data'!$AK$4:$AM$9,2,FALSE)))</f>
        <v/>
      </c>
      <c r="L78" s="172" t="str">
        <f>IF(J78="","",IF(VLOOKUP(J78,'G-7 Rivers Data'!$AK$4:$AM$9,3,FALSE)=0,"Spatial Data Missing",VLOOKUP(J78,'G-7 Rivers Data'!$AK$4:$AM$9,3,FALSE)))</f>
        <v/>
      </c>
      <c r="M78" s="79"/>
      <c r="N78" s="172" t="str">
        <f>IF(M78="","",IF(VLOOKUP(M78,'G-7 Rivers Data'!$AA$4:$AB$7,2,FALSE)=0,"Spatial Data Missing",VLOOKUP(M78,'G-7 Rivers Data'!$AA$4:$AB$7,2,FALSE)))</f>
        <v/>
      </c>
      <c r="O78" s="187"/>
      <c r="P78" s="172" t="str">
        <f>IF(O78="","",IF(VLOOKUP(O78,'G-7 Rivers Data'!$AD$4:$AE$8,2,FALSE)=0,"Spatial Data Missing",VLOOKUP(O78,'G-7 Rivers Data'!$AD$4:$AE$8,2,FALSE)))</f>
        <v/>
      </c>
      <c r="Q78" s="177" t="str">
        <f>IF(D78="","",VLOOKUP(D78,'G-7 Rivers Data'!$B$2:$G$8,6,FALSE))</f>
        <v/>
      </c>
      <c r="R78" s="207" t="str">
        <f t="shared" si="8"/>
        <v/>
      </c>
      <c r="S78" s="44"/>
      <c r="T78" s="173"/>
      <c r="U78" s="189"/>
      <c r="V78" s="208" t="str">
        <f t="shared" si="9"/>
        <v/>
      </c>
      <c r="W78" s="208" t="str">
        <f t="shared" si="10"/>
        <v/>
      </c>
      <c r="X78" s="208" t="str">
        <f t="shared" si="11"/>
        <v/>
      </c>
      <c r="Y78" s="209" t="str">
        <f t="shared" si="12"/>
        <v/>
      </c>
      <c r="Z78" s="182"/>
      <c r="AA78" s="183"/>
      <c r="AG78" s="35">
        <f t="shared" si="13"/>
        <v>0</v>
      </c>
      <c r="AH78" s="188" t="str">
        <f t="shared" si="14"/>
        <v/>
      </c>
      <c r="AI78" s="188" t="str">
        <f t="shared" si="15"/>
        <v/>
      </c>
      <c r="AK78" s="188">
        <v>69</v>
      </c>
      <c r="AM78" s="188" t="str">
        <f t="array" ref="AM78">IFERROR(INDEX($AK$10:$AK$258, MATCH(0, IF(TRUE=$AH$10:$AH$258, COUNTIF($AM$9:$AM77, $AK$10:$AK$258), ""), 0)),"")</f>
        <v/>
      </c>
      <c r="AN78" s="188" t="str">
        <f t="array" ref="AN78">IFERROR(INDEX($AK$10:$AK$258, MATCH(0, IF(TRUE=$AI$10:$AI$258, COUNTIF($AN$9:$AN77, $AK$10:$AK$258), ""), 0)),"")</f>
        <v/>
      </c>
      <c r="AP78" s="35" t="str">
        <f>IFERROR(INDEX('G-7 Rivers Data'!$AZ$3:$AZ$7,MATCH(D78,'G-7 Rivers Data'!$AY$3:$AY$7,0)),"")</f>
        <v/>
      </c>
    </row>
    <row r="79" spans="3:42" ht="13.8" x14ac:dyDescent="0.25">
      <c r="C79" s="168">
        <v>70</v>
      </c>
      <c r="D79" s="212"/>
      <c r="E79" s="213"/>
      <c r="F79" s="171" t="str">
        <f>IF(D79="","",VLOOKUP(D79,'G-7 Rivers Data'!$B$2:$G$8,2,FALSE))</f>
        <v/>
      </c>
      <c r="G79" s="172" t="str">
        <f>IFERROR(VLOOKUP(F79,'G-7 Rivers Data'!$C$4:$D$8,2,FALSE),"")</f>
        <v/>
      </c>
      <c r="H79" s="173"/>
      <c r="I79" s="172" t="str">
        <f>IFERROR(INDEX('G-7 Rivers Data'!$H$4:$L$8,MATCH(D79,'G-7 Rivers Data'!$B$4:$B$8,0),MATCH(H79,'G-7 Rivers Data'!$H$3:$L$3,0)),"")</f>
        <v/>
      </c>
      <c r="J79" s="173"/>
      <c r="K79" s="172" t="str">
        <f>IF(J79="","",IF(VLOOKUP(J79,'G-7 Rivers Data'!$AK$4:$AM$9,2,FALSE)=0,"Spatial Data Missing",VLOOKUP(J79,'G-7 Rivers Data'!$AK$4:$AM$9,2,FALSE)))</f>
        <v/>
      </c>
      <c r="L79" s="172" t="str">
        <f>IF(J79="","",IF(VLOOKUP(J79,'G-7 Rivers Data'!$AK$4:$AM$9,3,FALSE)=0,"Spatial Data Missing",VLOOKUP(J79,'G-7 Rivers Data'!$AK$4:$AM$9,3,FALSE)))</f>
        <v/>
      </c>
      <c r="M79" s="79"/>
      <c r="N79" s="172" t="str">
        <f>IF(M79="","",IF(VLOOKUP(M79,'G-7 Rivers Data'!$AA$4:$AB$7,2,FALSE)=0,"Spatial Data Missing",VLOOKUP(M79,'G-7 Rivers Data'!$AA$4:$AB$7,2,FALSE)))</f>
        <v/>
      </c>
      <c r="O79" s="187"/>
      <c r="P79" s="172" t="str">
        <f>IF(O79="","",IF(VLOOKUP(O79,'G-7 Rivers Data'!$AD$4:$AE$8,2,FALSE)=0,"Spatial Data Missing",VLOOKUP(O79,'G-7 Rivers Data'!$AD$4:$AE$8,2,FALSE)))</f>
        <v/>
      </c>
      <c r="Q79" s="177" t="str">
        <f>IF(D79="","",VLOOKUP(D79,'G-7 Rivers Data'!$B$2:$G$8,6,FALSE))</f>
        <v/>
      </c>
      <c r="R79" s="207" t="str">
        <f t="shared" si="8"/>
        <v/>
      </c>
      <c r="S79" s="44"/>
      <c r="T79" s="173"/>
      <c r="U79" s="189"/>
      <c r="V79" s="208" t="str">
        <f t="shared" si="9"/>
        <v/>
      </c>
      <c r="W79" s="208" t="str">
        <f t="shared" si="10"/>
        <v/>
      </c>
      <c r="X79" s="208" t="str">
        <f t="shared" si="11"/>
        <v/>
      </c>
      <c r="Y79" s="209" t="str">
        <f t="shared" si="12"/>
        <v/>
      </c>
      <c r="Z79" s="182"/>
      <c r="AA79" s="183"/>
      <c r="AG79" s="35">
        <f t="shared" si="13"/>
        <v>0</v>
      </c>
      <c r="AH79" s="188" t="str">
        <f t="shared" si="14"/>
        <v/>
      </c>
      <c r="AI79" s="188" t="str">
        <f t="shared" si="15"/>
        <v/>
      </c>
      <c r="AK79" s="188">
        <v>70</v>
      </c>
      <c r="AM79" s="188" t="str">
        <f t="array" ref="AM79">IFERROR(INDEX($AK$10:$AK$258, MATCH(0, IF(TRUE=$AH$10:$AH$258, COUNTIF($AM$9:$AM78, $AK$10:$AK$258), ""), 0)),"")</f>
        <v/>
      </c>
      <c r="AN79" s="188" t="str">
        <f t="array" ref="AN79">IFERROR(INDEX($AK$10:$AK$258, MATCH(0, IF(TRUE=$AI$10:$AI$258, COUNTIF($AN$9:$AN78, $AK$10:$AK$258), ""), 0)),"")</f>
        <v/>
      </c>
      <c r="AP79" s="35" t="str">
        <f>IFERROR(INDEX('G-7 Rivers Data'!$AZ$3:$AZ$7,MATCH(D79,'G-7 Rivers Data'!$AY$3:$AY$7,0)),"")</f>
        <v/>
      </c>
    </row>
    <row r="80" spans="3:42" ht="13.8" x14ac:dyDescent="0.25">
      <c r="C80" s="168">
        <v>71</v>
      </c>
      <c r="D80" s="212"/>
      <c r="E80" s="213"/>
      <c r="F80" s="171" t="str">
        <f>IF(D80="","",VLOOKUP(D80,'G-7 Rivers Data'!$B$2:$G$8,2,FALSE))</f>
        <v/>
      </c>
      <c r="G80" s="172" t="str">
        <f>IFERROR(VLOOKUP(F80,'G-7 Rivers Data'!$C$4:$D$8,2,FALSE),"")</f>
        <v/>
      </c>
      <c r="H80" s="173"/>
      <c r="I80" s="172" t="str">
        <f>IFERROR(INDEX('G-7 Rivers Data'!$H$4:$L$8,MATCH(D80,'G-7 Rivers Data'!$B$4:$B$8,0),MATCH(H80,'G-7 Rivers Data'!$H$3:$L$3,0)),"")</f>
        <v/>
      </c>
      <c r="J80" s="173"/>
      <c r="K80" s="172" t="str">
        <f>IF(J80="","",IF(VLOOKUP(J80,'G-7 Rivers Data'!$AK$4:$AM$9,2,FALSE)=0,"Spatial Data Missing",VLOOKUP(J80,'G-7 Rivers Data'!$AK$4:$AM$9,2,FALSE)))</f>
        <v/>
      </c>
      <c r="L80" s="172" t="str">
        <f>IF(J80="","",IF(VLOOKUP(J80,'G-7 Rivers Data'!$AK$4:$AM$9,3,FALSE)=0,"Spatial Data Missing",VLOOKUP(J80,'G-7 Rivers Data'!$AK$4:$AM$9,3,FALSE)))</f>
        <v/>
      </c>
      <c r="M80" s="79"/>
      <c r="N80" s="172" t="str">
        <f>IF(M80="","",IF(VLOOKUP(M80,'G-7 Rivers Data'!$AA$4:$AB$7,2,FALSE)=0,"Spatial Data Missing",VLOOKUP(M80,'G-7 Rivers Data'!$AA$4:$AB$7,2,FALSE)))</f>
        <v/>
      </c>
      <c r="O80" s="187"/>
      <c r="P80" s="172" t="str">
        <f>IF(O80="","",IF(VLOOKUP(O80,'G-7 Rivers Data'!$AD$4:$AE$8,2,FALSE)=0,"Spatial Data Missing",VLOOKUP(O80,'G-7 Rivers Data'!$AD$4:$AE$8,2,FALSE)))</f>
        <v/>
      </c>
      <c r="Q80" s="177" t="str">
        <f>IF(D80="","",VLOOKUP(D80,'G-7 Rivers Data'!$B$2:$G$8,6,FALSE))</f>
        <v/>
      </c>
      <c r="R80" s="207" t="str">
        <f t="shared" si="8"/>
        <v/>
      </c>
      <c r="S80" s="44"/>
      <c r="T80" s="173"/>
      <c r="U80" s="189"/>
      <c r="V80" s="208" t="str">
        <f t="shared" si="9"/>
        <v/>
      </c>
      <c r="W80" s="208" t="str">
        <f t="shared" si="10"/>
        <v/>
      </c>
      <c r="X80" s="208" t="str">
        <f t="shared" si="11"/>
        <v/>
      </c>
      <c r="Y80" s="209" t="str">
        <f t="shared" si="12"/>
        <v/>
      </c>
      <c r="Z80" s="182"/>
      <c r="AA80" s="183"/>
      <c r="AG80" s="35">
        <f t="shared" si="13"/>
        <v>0</v>
      </c>
      <c r="AH80" s="188" t="str">
        <f t="shared" si="14"/>
        <v/>
      </c>
      <c r="AI80" s="188" t="str">
        <f t="shared" si="15"/>
        <v/>
      </c>
      <c r="AK80" s="188">
        <v>71</v>
      </c>
      <c r="AM80" s="188" t="str">
        <f t="array" ref="AM80">IFERROR(INDEX($AK$10:$AK$258, MATCH(0, IF(TRUE=$AH$10:$AH$258, COUNTIF($AM$9:$AM79, $AK$10:$AK$258), ""), 0)),"")</f>
        <v/>
      </c>
      <c r="AN80" s="188" t="str">
        <f t="array" ref="AN80">IFERROR(INDEX($AK$10:$AK$258, MATCH(0, IF(TRUE=$AI$10:$AI$258, COUNTIF($AN$9:$AN79, $AK$10:$AK$258), ""), 0)),"")</f>
        <v/>
      </c>
      <c r="AP80" s="35" t="str">
        <f>IFERROR(INDEX('G-7 Rivers Data'!$AZ$3:$AZ$7,MATCH(D80,'G-7 Rivers Data'!$AY$3:$AY$7,0)),"")</f>
        <v/>
      </c>
    </row>
    <row r="81" spans="3:42" ht="13.8" x14ac:dyDescent="0.25">
      <c r="C81" s="168">
        <v>72</v>
      </c>
      <c r="D81" s="212"/>
      <c r="E81" s="213"/>
      <c r="F81" s="171" t="str">
        <f>IF(D81="","",VLOOKUP(D81,'G-7 Rivers Data'!$B$2:$G$8,2,FALSE))</f>
        <v/>
      </c>
      <c r="G81" s="172" t="str">
        <f>IFERROR(VLOOKUP(F81,'G-7 Rivers Data'!$C$4:$D$8,2,FALSE),"")</f>
        <v/>
      </c>
      <c r="H81" s="173"/>
      <c r="I81" s="172" t="str">
        <f>IFERROR(INDEX('G-7 Rivers Data'!$H$4:$L$8,MATCH(D81,'G-7 Rivers Data'!$B$4:$B$8,0),MATCH(H81,'G-7 Rivers Data'!$H$3:$L$3,0)),"")</f>
        <v/>
      </c>
      <c r="J81" s="173"/>
      <c r="K81" s="172" t="str">
        <f>IF(J81="","",IF(VLOOKUP(J81,'G-7 Rivers Data'!$AK$4:$AM$9,2,FALSE)=0,"Spatial Data Missing",VLOOKUP(J81,'G-7 Rivers Data'!$AK$4:$AM$9,2,FALSE)))</f>
        <v/>
      </c>
      <c r="L81" s="172" t="str">
        <f>IF(J81="","",IF(VLOOKUP(J81,'G-7 Rivers Data'!$AK$4:$AM$9,3,FALSE)=0,"Spatial Data Missing",VLOOKUP(J81,'G-7 Rivers Data'!$AK$4:$AM$9,3,FALSE)))</f>
        <v/>
      </c>
      <c r="M81" s="79"/>
      <c r="N81" s="172" t="str">
        <f>IF(M81="","",IF(VLOOKUP(M81,'G-7 Rivers Data'!$AA$4:$AB$7,2,FALSE)=0,"Spatial Data Missing",VLOOKUP(M81,'G-7 Rivers Data'!$AA$4:$AB$7,2,FALSE)))</f>
        <v/>
      </c>
      <c r="O81" s="187"/>
      <c r="P81" s="172" t="str">
        <f>IF(O81="","",IF(VLOOKUP(O81,'G-7 Rivers Data'!$AD$4:$AE$8,2,FALSE)=0,"Spatial Data Missing",VLOOKUP(O81,'G-7 Rivers Data'!$AD$4:$AE$8,2,FALSE)))</f>
        <v/>
      </c>
      <c r="Q81" s="177" t="str">
        <f>IF(D81="","",VLOOKUP(D81,'G-7 Rivers Data'!$B$2:$G$8,6,FALSE))</f>
        <v/>
      </c>
      <c r="R81" s="207" t="str">
        <f t="shared" si="8"/>
        <v/>
      </c>
      <c r="S81" s="44"/>
      <c r="T81" s="173"/>
      <c r="U81" s="189"/>
      <c r="V81" s="208" t="str">
        <f t="shared" si="9"/>
        <v/>
      </c>
      <c r="W81" s="208" t="str">
        <f t="shared" si="10"/>
        <v/>
      </c>
      <c r="X81" s="208" t="str">
        <f t="shared" si="11"/>
        <v/>
      </c>
      <c r="Y81" s="209" t="str">
        <f t="shared" si="12"/>
        <v/>
      </c>
      <c r="Z81" s="182"/>
      <c r="AA81" s="183"/>
      <c r="AG81" s="35">
        <f t="shared" si="13"/>
        <v>0</v>
      </c>
      <c r="AH81" s="188" t="str">
        <f t="shared" si="14"/>
        <v/>
      </c>
      <c r="AI81" s="188" t="str">
        <f t="shared" si="15"/>
        <v/>
      </c>
      <c r="AK81" s="188">
        <v>72</v>
      </c>
      <c r="AM81" s="188" t="str">
        <f t="array" ref="AM81">IFERROR(INDEX($AK$10:$AK$258, MATCH(0, IF(TRUE=$AH$10:$AH$258, COUNTIF($AM$9:$AM80, $AK$10:$AK$258), ""), 0)),"")</f>
        <v/>
      </c>
      <c r="AN81" s="188" t="str">
        <f t="array" ref="AN81">IFERROR(INDEX($AK$10:$AK$258, MATCH(0, IF(TRUE=$AI$10:$AI$258, COUNTIF($AN$9:$AN80, $AK$10:$AK$258), ""), 0)),"")</f>
        <v/>
      </c>
      <c r="AP81" s="35" t="str">
        <f>IFERROR(INDEX('G-7 Rivers Data'!$AZ$3:$AZ$7,MATCH(D81,'G-7 Rivers Data'!$AY$3:$AY$7,0)),"")</f>
        <v/>
      </c>
    </row>
    <row r="82" spans="3:42" ht="13.8" x14ac:dyDescent="0.25">
      <c r="C82" s="168">
        <v>73</v>
      </c>
      <c r="D82" s="212"/>
      <c r="E82" s="213"/>
      <c r="F82" s="171" t="str">
        <f>IF(D82="","",VLOOKUP(D82,'G-7 Rivers Data'!$B$2:$G$8,2,FALSE))</f>
        <v/>
      </c>
      <c r="G82" s="172" t="str">
        <f>IFERROR(VLOOKUP(F82,'G-7 Rivers Data'!$C$4:$D$8,2,FALSE),"")</f>
        <v/>
      </c>
      <c r="H82" s="173"/>
      <c r="I82" s="172" t="str">
        <f>IFERROR(INDEX('G-7 Rivers Data'!$H$4:$L$8,MATCH(D82,'G-7 Rivers Data'!$B$4:$B$8,0),MATCH(H82,'G-7 Rivers Data'!$H$3:$L$3,0)),"")</f>
        <v/>
      </c>
      <c r="J82" s="173"/>
      <c r="K82" s="172" t="str">
        <f>IF(J82="","",IF(VLOOKUP(J82,'G-7 Rivers Data'!$AK$4:$AM$9,2,FALSE)=0,"Spatial Data Missing",VLOOKUP(J82,'G-7 Rivers Data'!$AK$4:$AM$9,2,FALSE)))</f>
        <v/>
      </c>
      <c r="L82" s="172" t="str">
        <f>IF(J82="","",IF(VLOOKUP(J82,'G-7 Rivers Data'!$AK$4:$AM$9,3,FALSE)=0,"Spatial Data Missing",VLOOKUP(J82,'G-7 Rivers Data'!$AK$4:$AM$9,3,FALSE)))</f>
        <v/>
      </c>
      <c r="M82" s="79"/>
      <c r="N82" s="172" t="str">
        <f>IF(M82="","",IF(VLOOKUP(M82,'G-7 Rivers Data'!$AA$4:$AB$7,2,FALSE)=0,"Spatial Data Missing",VLOOKUP(M82,'G-7 Rivers Data'!$AA$4:$AB$7,2,FALSE)))</f>
        <v/>
      </c>
      <c r="O82" s="187"/>
      <c r="P82" s="172" t="str">
        <f>IF(O82="","",IF(VLOOKUP(O82,'G-7 Rivers Data'!$AD$4:$AE$8,2,FALSE)=0,"Spatial Data Missing",VLOOKUP(O82,'G-7 Rivers Data'!$AD$4:$AE$8,2,FALSE)))</f>
        <v/>
      </c>
      <c r="Q82" s="177" t="str">
        <f>IF(D82="","",VLOOKUP(D82,'G-7 Rivers Data'!$B$2:$G$8,6,FALSE))</f>
        <v/>
      </c>
      <c r="R82" s="207" t="str">
        <f t="shared" si="8"/>
        <v/>
      </c>
      <c r="S82" s="44"/>
      <c r="T82" s="173"/>
      <c r="U82" s="189"/>
      <c r="V82" s="208" t="str">
        <f t="shared" si="9"/>
        <v/>
      </c>
      <c r="W82" s="208" t="str">
        <f t="shared" si="10"/>
        <v/>
      </c>
      <c r="X82" s="208" t="str">
        <f t="shared" si="11"/>
        <v/>
      </c>
      <c r="Y82" s="209" t="str">
        <f t="shared" si="12"/>
        <v/>
      </c>
      <c r="Z82" s="182"/>
      <c r="AA82" s="183"/>
      <c r="AG82" s="35">
        <f t="shared" si="13"/>
        <v>0</v>
      </c>
      <c r="AH82" s="188" t="str">
        <f t="shared" si="14"/>
        <v/>
      </c>
      <c r="AI82" s="188" t="str">
        <f t="shared" si="15"/>
        <v/>
      </c>
      <c r="AK82" s="188">
        <v>73</v>
      </c>
      <c r="AM82" s="188" t="str">
        <f t="array" ref="AM82">IFERROR(INDEX($AK$10:$AK$258, MATCH(0, IF(TRUE=$AH$10:$AH$258, COUNTIF($AM$9:$AM81, $AK$10:$AK$258), ""), 0)),"")</f>
        <v/>
      </c>
      <c r="AN82" s="188" t="str">
        <f t="array" ref="AN82">IFERROR(INDEX($AK$10:$AK$258, MATCH(0, IF(TRUE=$AI$10:$AI$258, COUNTIF($AN$9:$AN81, $AK$10:$AK$258), ""), 0)),"")</f>
        <v/>
      </c>
      <c r="AP82" s="35" t="str">
        <f>IFERROR(INDEX('G-7 Rivers Data'!$AZ$3:$AZ$7,MATCH(D82,'G-7 Rivers Data'!$AY$3:$AY$7,0)),"")</f>
        <v/>
      </c>
    </row>
    <row r="83" spans="3:42" ht="13.8" x14ac:dyDescent="0.25">
      <c r="C83" s="168">
        <v>74</v>
      </c>
      <c r="D83" s="212"/>
      <c r="E83" s="213"/>
      <c r="F83" s="171" t="str">
        <f>IF(D83="","",VLOOKUP(D83,'G-7 Rivers Data'!$B$2:$G$8,2,FALSE))</f>
        <v/>
      </c>
      <c r="G83" s="172" t="str">
        <f>IFERROR(VLOOKUP(F83,'G-7 Rivers Data'!$C$4:$D$8,2,FALSE),"")</f>
        <v/>
      </c>
      <c r="H83" s="173"/>
      <c r="I83" s="172" t="str">
        <f>IFERROR(INDEX('G-7 Rivers Data'!$H$4:$L$8,MATCH(D83,'G-7 Rivers Data'!$B$4:$B$8,0),MATCH(H83,'G-7 Rivers Data'!$H$3:$L$3,0)),"")</f>
        <v/>
      </c>
      <c r="J83" s="173"/>
      <c r="K83" s="172" t="str">
        <f>IF(J83="","",IF(VLOOKUP(J83,'G-7 Rivers Data'!$AK$4:$AM$9,2,FALSE)=0,"Spatial Data Missing",VLOOKUP(J83,'G-7 Rivers Data'!$AK$4:$AM$9,2,FALSE)))</f>
        <v/>
      </c>
      <c r="L83" s="172" t="str">
        <f>IF(J83="","",IF(VLOOKUP(J83,'G-7 Rivers Data'!$AK$4:$AM$9,3,FALSE)=0,"Spatial Data Missing",VLOOKUP(J83,'G-7 Rivers Data'!$AK$4:$AM$9,3,FALSE)))</f>
        <v/>
      </c>
      <c r="M83" s="79"/>
      <c r="N83" s="172" t="str">
        <f>IF(M83="","",IF(VLOOKUP(M83,'G-7 Rivers Data'!$AA$4:$AB$7,2,FALSE)=0,"Spatial Data Missing",VLOOKUP(M83,'G-7 Rivers Data'!$AA$4:$AB$7,2,FALSE)))</f>
        <v/>
      </c>
      <c r="O83" s="187"/>
      <c r="P83" s="172" t="str">
        <f>IF(O83="","",IF(VLOOKUP(O83,'G-7 Rivers Data'!$AD$4:$AE$8,2,FALSE)=0,"Spatial Data Missing",VLOOKUP(O83,'G-7 Rivers Data'!$AD$4:$AE$8,2,FALSE)))</f>
        <v/>
      </c>
      <c r="Q83" s="177" t="str">
        <f>IF(D83="","",VLOOKUP(D83,'G-7 Rivers Data'!$B$2:$G$8,6,FALSE))</f>
        <v/>
      </c>
      <c r="R83" s="207" t="str">
        <f t="shared" si="8"/>
        <v/>
      </c>
      <c r="S83" s="44"/>
      <c r="T83" s="173"/>
      <c r="U83" s="189"/>
      <c r="V83" s="208" t="str">
        <f t="shared" si="9"/>
        <v/>
      </c>
      <c r="W83" s="208" t="str">
        <f t="shared" si="10"/>
        <v/>
      </c>
      <c r="X83" s="208" t="str">
        <f t="shared" si="11"/>
        <v/>
      </c>
      <c r="Y83" s="209" t="str">
        <f t="shared" si="12"/>
        <v/>
      </c>
      <c r="Z83" s="182"/>
      <c r="AA83" s="183"/>
      <c r="AG83" s="35">
        <f t="shared" si="13"/>
        <v>0</v>
      </c>
      <c r="AH83" s="188" t="str">
        <f t="shared" si="14"/>
        <v/>
      </c>
      <c r="AI83" s="188" t="str">
        <f t="shared" si="15"/>
        <v/>
      </c>
      <c r="AK83" s="188">
        <v>74</v>
      </c>
      <c r="AM83" s="188" t="str">
        <f t="array" ref="AM83">IFERROR(INDEX($AK$10:$AK$258, MATCH(0, IF(TRUE=$AH$10:$AH$258, COUNTIF($AM$9:$AM82, $AK$10:$AK$258), ""), 0)),"")</f>
        <v/>
      </c>
      <c r="AN83" s="188" t="str">
        <f t="array" ref="AN83">IFERROR(INDEX($AK$10:$AK$258, MATCH(0, IF(TRUE=$AI$10:$AI$258, COUNTIF($AN$9:$AN82, $AK$10:$AK$258), ""), 0)),"")</f>
        <v/>
      </c>
      <c r="AP83" s="35" t="str">
        <f>IFERROR(INDEX('G-7 Rivers Data'!$AZ$3:$AZ$7,MATCH(D83,'G-7 Rivers Data'!$AY$3:$AY$7,0)),"")</f>
        <v/>
      </c>
    </row>
    <row r="84" spans="3:42" ht="13.8" x14ac:dyDescent="0.25">
      <c r="C84" s="168">
        <v>75</v>
      </c>
      <c r="D84" s="212"/>
      <c r="E84" s="213"/>
      <c r="F84" s="171" t="str">
        <f>IF(D84="","",VLOOKUP(D84,'G-7 Rivers Data'!$B$2:$G$8,2,FALSE))</f>
        <v/>
      </c>
      <c r="G84" s="172" t="str">
        <f>IFERROR(VLOOKUP(F84,'G-7 Rivers Data'!$C$4:$D$8,2,FALSE),"")</f>
        <v/>
      </c>
      <c r="H84" s="173"/>
      <c r="I84" s="172" t="str">
        <f>IFERROR(INDEX('G-7 Rivers Data'!$H$4:$L$8,MATCH(D84,'G-7 Rivers Data'!$B$4:$B$8,0),MATCH(H84,'G-7 Rivers Data'!$H$3:$L$3,0)),"")</f>
        <v/>
      </c>
      <c r="J84" s="173"/>
      <c r="K84" s="172" t="str">
        <f>IF(J84="","",IF(VLOOKUP(J84,'G-7 Rivers Data'!$AK$4:$AM$9,2,FALSE)=0,"Spatial Data Missing",VLOOKUP(J84,'G-7 Rivers Data'!$AK$4:$AM$9,2,FALSE)))</f>
        <v/>
      </c>
      <c r="L84" s="172" t="str">
        <f>IF(J84="","",IF(VLOOKUP(J84,'G-7 Rivers Data'!$AK$4:$AM$9,3,FALSE)=0,"Spatial Data Missing",VLOOKUP(J84,'G-7 Rivers Data'!$AK$4:$AM$9,3,FALSE)))</f>
        <v/>
      </c>
      <c r="M84" s="79"/>
      <c r="N84" s="172" t="str">
        <f>IF(M84="","",IF(VLOOKUP(M84,'G-7 Rivers Data'!$AA$4:$AB$7,2,FALSE)=0,"Spatial Data Missing",VLOOKUP(M84,'G-7 Rivers Data'!$AA$4:$AB$7,2,FALSE)))</f>
        <v/>
      </c>
      <c r="O84" s="187"/>
      <c r="P84" s="172" t="str">
        <f>IF(O84="","",IF(VLOOKUP(O84,'G-7 Rivers Data'!$AD$4:$AE$8,2,FALSE)=0,"Spatial Data Missing",VLOOKUP(O84,'G-7 Rivers Data'!$AD$4:$AE$8,2,FALSE)))</f>
        <v/>
      </c>
      <c r="Q84" s="177" t="str">
        <f>IF(D84="","",VLOOKUP(D84,'G-7 Rivers Data'!$B$2:$G$8,6,FALSE))</f>
        <v/>
      </c>
      <c r="R84" s="207" t="str">
        <f t="shared" si="8"/>
        <v/>
      </c>
      <c r="S84" s="44"/>
      <c r="T84" s="173"/>
      <c r="U84" s="189"/>
      <c r="V84" s="208" t="str">
        <f t="shared" si="9"/>
        <v/>
      </c>
      <c r="W84" s="208" t="str">
        <f t="shared" si="10"/>
        <v/>
      </c>
      <c r="X84" s="208" t="str">
        <f t="shared" si="11"/>
        <v/>
      </c>
      <c r="Y84" s="209" t="str">
        <f t="shared" si="12"/>
        <v/>
      </c>
      <c r="Z84" s="182"/>
      <c r="AA84" s="183"/>
      <c r="AG84" s="35">
        <f t="shared" si="13"/>
        <v>0</v>
      </c>
      <c r="AH84" s="188" t="str">
        <f t="shared" si="14"/>
        <v/>
      </c>
      <c r="AI84" s="188" t="str">
        <f t="shared" si="15"/>
        <v/>
      </c>
      <c r="AK84" s="188">
        <v>75</v>
      </c>
      <c r="AM84" s="188" t="str">
        <f t="array" ref="AM84">IFERROR(INDEX($AK$10:$AK$258, MATCH(0, IF(TRUE=$AH$10:$AH$258, COUNTIF($AM$9:$AM83, $AK$10:$AK$258), ""), 0)),"")</f>
        <v/>
      </c>
      <c r="AN84" s="188" t="str">
        <f t="array" ref="AN84">IFERROR(INDEX($AK$10:$AK$258, MATCH(0, IF(TRUE=$AI$10:$AI$258, COUNTIF($AN$9:$AN83, $AK$10:$AK$258), ""), 0)),"")</f>
        <v/>
      </c>
      <c r="AP84" s="35" t="str">
        <f>IFERROR(INDEX('G-7 Rivers Data'!$AZ$3:$AZ$7,MATCH(D84,'G-7 Rivers Data'!$AY$3:$AY$7,0)),"")</f>
        <v/>
      </c>
    </row>
    <row r="85" spans="3:42" ht="13.8" x14ac:dyDescent="0.25">
      <c r="C85" s="168">
        <v>76</v>
      </c>
      <c r="D85" s="212"/>
      <c r="E85" s="213"/>
      <c r="F85" s="171" t="str">
        <f>IF(D85="","",VLOOKUP(D85,'G-7 Rivers Data'!$B$2:$G$8,2,FALSE))</f>
        <v/>
      </c>
      <c r="G85" s="172" t="str">
        <f>IFERROR(VLOOKUP(F85,'G-7 Rivers Data'!$C$4:$D$8,2,FALSE),"")</f>
        <v/>
      </c>
      <c r="H85" s="173"/>
      <c r="I85" s="172" t="str">
        <f>IFERROR(INDEX('G-7 Rivers Data'!$H$4:$L$8,MATCH(D85,'G-7 Rivers Data'!$B$4:$B$8,0),MATCH(H85,'G-7 Rivers Data'!$H$3:$L$3,0)),"")</f>
        <v/>
      </c>
      <c r="J85" s="173"/>
      <c r="K85" s="172" t="str">
        <f>IF(J85="","",IF(VLOOKUP(J85,'G-7 Rivers Data'!$AK$4:$AM$9,2,FALSE)=0,"Spatial Data Missing",VLOOKUP(J85,'G-7 Rivers Data'!$AK$4:$AM$9,2,FALSE)))</f>
        <v/>
      </c>
      <c r="L85" s="172" t="str">
        <f>IF(J85="","",IF(VLOOKUP(J85,'G-7 Rivers Data'!$AK$4:$AM$9,3,FALSE)=0,"Spatial Data Missing",VLOOKUP(J85,'G-7 Rivers Data'!$AK$4:$AM$9,3,FALSE)))</f>
        <v/>
      </c>
      <c r="M85" s="79"/>
      <c r="N85" s="172" t="str">
        <f>IF(M85="","",IF(VLOOKUP(M85,'G-7 Rivers Data'!$AA$4:$AB$7,2,FALSE)=0,"Spatial Data Missing",VLOOKUP(M85,'G-7 Rivers Data'!$AA$4:$AB$7,2,FALSE)))</f>
        <v/>
      </c>
      <c r="O85" s="187"/>
      <c r="P85" s="172" t="str">
        <f>IF(O85="","",IF(VLOOKUP(O85,'G-7 Rivers Data'!$AD$4:$AE$8,2,FALSE)=0,"Spatial Data Missing",VLOOKUP(O85,'G-7 Rivers Data'!$AD$4:$AE$8,2,FALSE)))</f>
        <v/>
      </c>
      <c r="Q85" s="177" t="str">
        <f>IF(D85="","",VLOOKUP(D85,'G-7 Rivers Data'!$B$2:$G$8,6,FALSE))</f>
        <v/>
      </c>
      <c r="R85" s="207" t="str">
        <f t="shared" si="8"/>
        <v/>
      </c>
      <c r="S85" s="44"/>
      <c r="T85" s="173"/>
      <c r="U85" s="189"/>
      <c r="V85" s="208" t="str">
        <f t="shared" si="9"/>
        <v/>
      </c>
      <c r="W85" s="208" t="str">
        <f t="shared" si="10"/>
        <v/>
      </c>
      <c r="X85" s="208" t="str">
        <f t="shared" si="11"/>
        <v/>
      </c>
      <c r="Y85" s="209" t="str">
        <f t="shared" si="12"/>
        <v/>
      </c>
      <c r="Z85" s="182"/>
      <c r="AA85" s="183"/>
      <c r="AG85" s="35">
        <f t="shared" si="13"/>
        <v>0</v>
      </c>
      <c r="AH85" s="188" t="str">
        <f t="shared" si="14"/>
        <v/>
      </c>
      <c r="AI85" s="188" t="str">
        <f t="shared" si="15"/>
        <v/>
      </c>
      <c r="AK85" s="188">
        <v>76</v>
      </c>
      <c r="AM85" s="188" t="str">
        <f t="array" ref="AM85">IFERROR(INDEX($AK$10:$AK$258, MATCH(0, IF(TRUE=$AH$10:$AH$258, COUNTIF($AM$9:$AM84, $AK$10:$AK$258), ""), 0)),"")</f>
        <v/>
      </c>
      <c r="AN85" s="188" t="str">
        <f t="array" ref="AN85">IFERROR(INDEX($AK$10:$AK$258, MATCH(0, IF(TRUE=$AI$10:$AI$258, COUNTIF($AN$9:$AN84, $AK$10:$AK$258), ""), 0)),"")</f>
        <v/>
      </c>
      <c r="AP85" s="35" t="str">
        <f>IFERROR(INDEX('G-7 Rivers Data'!$AZ$3:$AZ$7,MATCH(D85,'G-7 Rivers Data'!$AY$3:$AY$7,0)),"")</f>
        <v/>
      </c>
    </row>
    <row r="86" spans="3:42" ht="13.8" x14ac:dyDescent="0.25">
      <c r="C86" s="168">
        <v>77</v>
      </c>
      <c r="D86" s="212"/>
      <c r="E86" s="213"/>
      <c r="F86" s="171" t="str">
        <f>IF(D86="","",VLOOKUP(D86,'G-7 Rivers Data'!$B$2:$G$8,2,FALSE))</f>
        <v/>
      </c>
      <c r="G86" s="172" t="str">
        <f>IFERROR(VLOOKUP(F86,'G-7 Rivers Data'!$C$4:$D$8,2,FALSE),"")</f>
        <v/>
      </c>
      <c r="H86" s="173"/>
      <c r="I86" s="172" t="str">
        <f>IFERROR(INDEX('G-7 Rivers Data'!$H$4:$L$8,MATCH(D86,'G-7 Rivers Data'!$B$4:$B$8,0),MATCH(H86,'G-7 Rivers Data'!$H$3:$L$3,0)),"")</f>
        <v/>
      </c>
      <c r="J86" s="173"/>
      <c r="K86" s="172" t="str">
        <f>IF(J86="","",IF(VLOOKUP(J86,'G-7 Rivers Data'!$AK$4:$AM$9,2,FALSE)=0,"Spatial Data Missing",VLOOKUP(J86,'G-7 Rivers Data'!$AK$4:$AM$9,2,FALSE)))</f>
        <v/>
      </c>
      <c r="L86" s="172" t="str">
        <f>IF(J86="","",IF(VLOOKUP(J86,'G-7 Rivers Data'!$AK$4:$AM$9,3,FALSE)=0,"Spatial Data Missing",VLOOKUP(J86,'G-7 Rivers Data'!$AK$4:$AM$9,3,FALSE)))</f>
        <v/>
      </c>
      <c r="M86" s="79"/>
      <c r="N86" s="172" t="str">
        <f>IF(M86="","",IF(VLOOKUP(M86,'G-7 Rivers Data'!$AA$4:$AB$7,2,FALSE)=0,"Spatial Data Missing",VLOOKUP(M86,'G-7 Rivers Data'!$AA$4:$AB$7,2,FALSE)))</f>
        <v/>
      </c>
      <c r="O86" s="187"/>
      <c r="P86" s="172" t="str">
        <f>IF(O86="","",IF(VLOOKUP(O86,'G-7 Rivers Data'!$AD$4:$AE$8,2,FALSE)=0,"Spatial Data Missing",VLOOKUP(O86,'G-7 Rivers Data'!$AD$4:$AE$8,2,FALSE)))</f>
        <v/>
      </c>
      <c r="Q86" s="177" t="str">
        <f>IF(D86="","",VLOOKUP(D86,'G-7 Rivers Data'!$B$2:$G$8,6,FALSE))</f>
        <v/>
      </c>
      <c r="R86" s="207" t="str">
        <f t="shared" si="8"/>
        <v/>
      </c>
      <c r="S86" s="44"/>
      <c r="T86" s="173"/>
      <c r="U86" s="189"/>
      <c r="V86" s="208" t="str">
        <f t="shared" si="9"/>
        <v/>
      </c>
      <c r="W86" s="208" t="str">
        <f t="shared" si="10"/>
        <v/>
      </c>
      <c r="X86" s="208" t="str">
        <f t="shared" si="11"/>
        <v/>
      </c>
      <c r="Y86" s="209" t="str">
        <f t="shared" si="12"/>
        <v/>
      </c>
      <c r="Z86" s="182"/>
      <c r="AA86" s="183"/>
      <c r="AG86" s="35">
        <f t="shared" si="13"/>
        <v>0</v>
      </c>
      <c r="AH86" s="188" t="str">
        <f t="shared" si="14"/>
        <v/>
      </c>
      <c r="AI86" s="188" t="str">
        <f t="shared" si="15"/>
        <v/>
      </c>
      <c r="AK86" s="188">
        <v>77</v>
      </c>
      <c r="AM86" s="188" t="str">
        <f t="array" ref="AM86">IFERROR(INDEX($AK$10:$AK$258, MATCH(0, IF(TRUE=$AH$10:$AH$258, COUNTIF($AM$9:$AM85, $AK$10:$AK$258), ""), 0)),"")</f>
        <v/>
      </c>
      <c r="AN86" s="188" t="str">
        <f t="array" ref="AN86">IFERROR(INDEX($AK$10:$AK$258, MATCH(0, IF(TRUE=$AI$10:$AI$258, COUNTIF($AN$9:$AN85, $AK$10:$AK$258), ""), 0)),"")</f>
        <v/>
      </c>
      <c r="AP86" s="35" t="str">
        <f>IFERROR(INDEX('G-7 Rivers Data'!$AZ$3:$AZ$7,MATCH(D86,'G-7 Rivers Data'!$AY$3:$AY$7,0)),"")</f>
        <v/>
      </c>
    </row>
    <row r="87" spans="3:42" ht="13.8" x14ac:dyDescent="0.25">
      <c r="C87" s="168">
        <v>78</v>
      </c>
      <c r="D87" s="212"/>
      <c r="E87" s="213"/>
      <c r="F87" s="171" t="str">
        <f>IF(D87="","",VLOOKUP(D87,'G-7 Rivers Data'!$B$2:$G$8,2,FALSE))</f>
        <v/>
      </c>
      <c r="G87" s="172" t="str">
        <f>IFERROR(VLOOKUP(F87,'G-7 Rivers Data'!$C$4:$D$8,2,FALSE),"")</f>
        <v/>
      </c>
      <c r="H87" s="173"/>
      <c r="I87" s="172" t="str">
        <f>IFERROR(INDEX('G-7 Rivers Data'!$H$4:$L$8,MATCH(D87,'G-7 Rivers Data'!$B$4:$B$8,0),MATCH(H87,'G-7 Rivers Data'!$H$3:$L$3,0)),"")</f>
        <v/>
      </c>
      <c r="J87" s="173"/>
      <c r="K87" s="172" t="str">
        <f>IF(J87="","",IF(VLOOKUP(J87,'G-7 Rivers Data'!$AK$4:$AM$9,2,FALSE)=0,"Spatial Data Missing",VLOOKUP(J87,'G-7 Rivers Data'!$AK$4:$AM$9,2,FALSE)))</f>
        <v/>
      </c>
      <c r="L87" s="172" t="str">
        <f>IF(J87="","",IF(VLOOKUP(J87,'G-7 Rivers Data'!$AK$4:$AM$9,3,FALSE)=0,"Spatial Data Missing",VLOOKUP(J87,'G-7 Rivers Data'!$AK$4:$AM$9,3,FALSE)))</f>
        <v/>
      </c>
      <c r="M87" s="79"/>
      <c r="N87" s="172" t="str">
        <f>IF(M87="","",IF(VLOOKUP(M87,'G-7 Rivers Data'!$AA$4:$AB$7,2,FALSE)=0,"Spatial Data Missing",VLOOKUP(M87,'G-7 Rivers Data'!$AA$4:$AB$7,2,FALSE)))</f>
        <v/>
      </c>
      <c r="O87" s="187"/>
      <c r="P87" s="172" t="str">
        <f>IF(O87="","",IF(VLOOKUP(O87,'G-7 Rivers Data'!$AD$4:$AE$8,2,FALSE)=0,"Spatial Data Missing",VLOOKUP(O87,'G-7 Rivers Data'!$AD$4:$AE$8,2,FALSE)))</f>
        <v/>
      </c>
      <c r="Q87" s="177" t="str">
        <f>IF(D87="","",VLOOKUP(D87,'G-7 Rivers Data'!$B$2:$G$8,6,FALSE))</f>
        <v/>
      </c>
      <c r="R87" s="207" t="str">
        <f t="shared" si="8"/>
        <v/>
      </c>
      <c r="S87" s="44"/>
      <c r="T87" s="173"/>
      <c r="U87" s="189"/>
      <c r="V87" s="208" t="str">
        <f t="shared" si="9"/>
        <v/>
      </c>
      <c r="W87" s="208" t="str">
        <f t="shared" si="10"/>
        <v/>
      </c>
      <c r="X87" s="208" t="str">
        <f t="shared" si="11"/>
        <v/>
      </c>
      <c r="Y87" s="209" t="str">
        <f t="shared" si="12"/>
        <v/>
      </c>
      <c r="Z87" s="182"/>
      <c r="AA87" s="183"/>
      <c r="AG87" s="35">
        <f t="shared" si="13"/>
        <v>0</v>
      </c>
      <c r="AH87" s="188" t="str">
        <f t="shared" si="14"/>
        <v/>
      </c>
      <c r="AI87" s="188" t="str">
        <f t="shared" si="15"/>
        <v/>
      </c>
      <c r="AK87" s="188">
        <v>78</v>
      </c>
      <c r="AM87" s="188" t="str">
        <f t="array" ref="AM87">IFERROR(INDEX($AK$10:$AK$258, MATCH(0, IF(TRUE=$AH$10:$AH$258, COUNTIF($AM$9:$AM86, $AK$10:$AK$258), ""), 0)),"")</f>
        <v/>
      </c>
      <c r="AN87" s="188" t="str">
        <f t="array" ref="AN87">IFERROR(INDEX($AK$10:$AK$258, MATCH(0, IF(TRUE=$AI$10:$AI$258, COUNTIF($AN$9:$AN86, $AK$10:$AK$258), ""), 0)),"")</f>
        <v/>
      </c>
      <c r="AP87" s="35" t="str">
        <f>IFERROR(INDEX('G-7 Rivers Data'!$AZ$3:$AZ$7,MATCH(D87,'G-7 Rivers Data'!$AY$3:$AY$7,0)),"")</f>
        <v/>
      </c>
    </row>
    <row r="88" spans="3:42" ht="13.8" x14ac:dyDescent="0.25">
      <c r="C88" s="168">
        <v>79</v>
      </c>
      <c r="D88" s="212"/>
      <c r="E88" s="213"/>
      <c r="F88" s="171" t="str">
        <f>IF(D88="","",VLOOKUP(D88,'G-7 Rivers Data'!$B$2:$G$8,2,FALSE))</f>
        <v/>
      </c>
      <c r="G88" s="172" t="str">
        <f>IFERROR(VLOOKUP(F88,'G-7 Rivers Data'!$C$4:$D$8,2,FALSE),"")</f>
        <v/>
      </c>
      <c r="H88" s="173"/>
      <c r="I88" s="172" t="str">
        <f>IFERROR(INDEX('G-7 Rivers Data'!$H$4:$L$8,MATCH(D88,'G-7 Rivers Data'!$B$4:$B$8,0),MATCH(H88,'G-7 Rivers Data'!$H$3:$L$3,0)),"")</f>
        <v/>
      </c>
      <c r="J88" s="173"/>
      <c r="K88" s="172" t="str">
        <f>IF(J88="","",IF(VLOOKUP(J88,'G-7 Rivers Data'!$AK$4:$AM$9,2,FALSE)=0,"Spatial Data Missing",VLOOKUP(J88,'G-7 Rivers Data'!$AK$4:$AM$9,2,FALSE)))</f>
        <v/>
      </c>
      <c r="L88" s="172" t="str">
        <f>IF(J88="","",IF(VLOOKUP(J88,'G-7 Rivers Data'!$AK$4:$AM$9,3,FALSE)=0,"Spatial Data Missing",VLOOKUP(J88,'G-7 Rivers Data'!$AK$4:$AM$9,3,FALSE)))</f>
        <v/>
      </c>
      <c r="M88" s="79"/>
      <c r="N88" s="172" t="str">
        <f>IF(M88="","",IF(VLOOKUP(M88,'G-7 Rivers Data'!$AA$4:$AB$7,2,FALSE)=0,"Spatial Data Missing",VLOOKUP(M88,'G-7 Rivers Data'!$AA$4:$AB$7,2,FALSE)))</f>
        <v/>
      </c>
      <c r="O88" s="187"/>
      <c r="P88" s="172" t="str">
        <f>IF(O88="","",IF(VLOOKUP(O88,'G-7 Rivers Data'!$AD$4:$AE$8,2,FALSE)=0,"Spatial Data Missing",VLOOKUP(O88,'G-7 Rivers Data'!$AD$4:$AE$8,2,FALSE)))</f>
        <v/>
      </c>
      <c r="Q88" s="177" t="str">
        <f>IF(D88="","",VLOOKUP(D88,'G-7 Rivers Data'!$B$2:$G$8,6,FALSE))</f>
        <v/>
      </c>
      <c r="R88" s="207" t="str">
        <f t="shared" si="8"/>
        <v/>
      </c>
      <c r="S88" s="44"/>
      <c r="T88" s="173"/>
      <c r="U88" s="189"/>
      <c r="V88" s="208" t="str">
        <f t="shared" si="9"/>
        <v/>
      </c>
      <c r="W88" s="208" t="str">
        <f t="shared" si="10"/>
        <v/>
      </c>
      <c r="X88" s="208" t="str">
        <f t="shared" si="11"/>
        <v/>
      </c>
      <c r="Y88" s="209" t="str">
        <f t="shared" si="12"/>
        <v/>
      </c>
      <c r="Z88" s="182"/>
      <c r="AA88" s="183"/>
      <c r="AG88" s="35">
        <f t="shared" si="13"/>
        <v>0</v>
      </c>
      <c r="AH88" s="188" t="str">
        <f t="shared" si="14"/>
        <v/>
      </c>
      <c r="AI88" s="188" t="str">
        <f t="shared" si="15"/>
        <v/>
      </c>
      <c r="AK88" s="188">
        <v>79</v>
      </c>
      <c r="AM88" s="188" t="str">
        <f t="array" ref="AM88">IFERROR(INDEX($AK$10:$AK$258, MATCH(0, IF(TRUE=$AH$10:$AH$258, COUNTIF($AM$9:$AM87, $AK$10:$AK$258), ""), 0)),"")</f>
        <v/>
      </c>
      <c r="AN88" s="188" t="str">
        <f t="array" ref="AN88">IFERROR(INDEX($AK$10:$AK$258, MATCH(0, IF(TRUE=$AI$10:$AI$258, COUNTIF($AN$9:$AN87, $AK$10:$AK$258), ""), 0)),"")</f>
        <v/>
      </c>
      <c r="AP88" s="35" t="str">
        <f>IFERROR(INDEX('G-7 Rivers Data'!$AZ$3:$AZ$7,MATCH(D88,'G-7 Rivers Data'!$AY$3:$AY$7,0)),"")</f>
        <v/>
      </c>
    </row>
    <row r="89" spans="3:42" ht="13.8" x14ac:dyDescent="0.25">
      <c r="C89" s="168">
        <v>80</v>
      </c>
      <c r="D89" s="212"/>
      <c r="E89" s="213"/>
      <c r="F89" s="171" t="str">
        <f>IF(D89="","",VLOOKUP(D89,'G-7 Rivers Data'!$B$2:$G$8,2,FALSE))</f>
        <v/>
      </c>
      <c r="G89" s="172" t="str">
        <f>IFERROR(VLOOKUP(F89,'G-7 Rivers Data'!$C$4:$D$8,2,FALSE),"")</f>
        <v/>
      </c>
      <c r="H89" s="173"/>
      <c r="I89" s="172" t="str">
        <f>IFERROR(INDEX('G-7 Rivers Data'!$H$4:$L$8,MATCH(D89,'G-7 Rivers Data'!$B$4:$B$8,0),MATCH(H89,'G-7 Rivers Data'!$H$3:$L$3,0)),"")</f>
        <v/>
      </c>
      <c r="J89" s="173"/>
      <c r="K89" s="172" t="str">
        <f>IF(J89="","",IF(VLOOKUP(J89,'G-7 Rivers Data'!$AK$4:$AM$9,2,FALSE)=0,"Spatial Data Missing",VLOOKUP(J89,'G-7 Rivers Data'!$AK$4:$AM$9,2,FALSE)))</f>
        <v/>
      </c>
      <c r="L89" s="172" t="str">
        <f>IF(J89="","",IF(VLOOKUP(J89,'G-7 Rivers Data'!$AK$4:$AM$9,3,FALSE)=0,"Spatial Data Missing",VLOOKUP(J89,'G-7 Rivers Data'!$AK$4:$AM$9,3,FALSE)))</f>
        <v/>
      </c>
      <c r="M89" s="79"/>
      <c r="N89" s="172" t="str">
        <f>IF(M89="","",IF(VLOOKUP(M89,'G-7 Rivers Data'!$AA$4:$AB$7,2,FALSE)=0,"Spatial Data Missing",VLOOKUP(M89,'G-7 Rivers Data'!$AA$4:$AB$7,2,FALSE)))</f>
        <v/>
      </c>
      <c r="O89" s="187"/>
      <c r="P89" s="172" t="str">
        <f>IF(O89="","",IF(VLOOKUP(O89,'G-7 Rivers Data'!$AD$4:$AE$8,2,FALSE)=0,"Spatial Data Missing",VLOOKUP(O89,'G-7 Rivers Data'!$AD$4:$AE$8,2,FALSE)))</f>
        <v/>
      </c>
      <c r="Q89" s="177" t="str">
        <f>IF(D89="","",VLOOKUP(D89,'G-7 Rivers Data'!$B$2:$G$8,6,FALSE))</f>
        <v/>
      </c>
      <c r="R89" s="207" t="str">
        <f t="shared" si="8"/>
        <v/>
      </c>
      <c r="S89" s="44"/>
      <c r="T89" s="173"/>
      <c r="U89" s="189"/>
      <c r="V89" s="208" t="str">
        <f t="shared" si="9"/>
        <v/>
      </c>
      <c r="W89" s="208" t="str">
        <f t="shared" si="10"/>
        <v/>
      </c>
      <c r="X89" s="208" t="str">
        <f t="shared" si="11"/>
        <v/>
      </c>
      <c r="Y89" s="209" t="str">
        <f t="shared" si="12"/>
        <v/>
      </c>
      <c r="Z89" s="182"/>
      <c r="AA89" s="183"/>
      <c r="AG89" s="35">
        <f t="shared" si="13"/>
        <v>0</v>
      </c>
      <c r="AH89" s="188" t="str">
        <f t="shared" si="14"/>
        <v/>
      </c>
      <c r="AI89" s="188" t="str">
        <f t="shared" si="15"/>
        <v/>
      </c>
      <c r="AK89" s="188">
        <v>80</v>
      </c>
      <c r="AM89" s="188" t="str">
        <f t="array" ref="AM89">IFERROR(INDEX($AK$10:$AK$258, MATCH(0, IF(TRUE=$AH$10:$AH$258, COUNTIF($AM$9:$AM88, $AK$10:$AK$258), ""), 0)),"")</f>
        <v/>
      </c>
      <c r="AN89" s="188" t="str">
        <f t="array" ref="AN89">IFERROR(INDEX($AK$10:$AK$258, MATCH(0, IF(TRUE=$AI$10:$AI$258, COUNTIF($AN$9:$AN88, $AK$10:$AK$258), ""), 0)),"")</f>
        <v/>
      </c>
      <c r="AP89" s="35" t="str">
        <f>IFERROR(INDEX('G-7 Rivers Data'!$AZ$3:$AZ$7,MATCH(D89,'G-7 Rivers Data'!$AY$3:$AY$7,0)),"")</f>
        <v/>
      </c>
    </row>
    <row r="90" spans="3:42" ht="13.8" x14ac:dyDescent="0.25">
      <c r="C90" s="168">
        <v>81</v>
      </c>
      <c r="D90" s="212"/>
      <c r="E90" s="213"/>
      <c r="F90" s="171" t="str">
        <f>IF(D90="","",VLOOKUP(D90,'G-7 Rivers Data'!$B$2:$G$8,2,FALSE))</f>
        <v/>
      </c>
      <c r="G90" s="172" t="str">
        <f>IFERROR(VLOOKUP(F90,'G-7 Rivers Data'!$C$4:$D$8,2,FALSE),"")</f>
        <v/>
      </c>
      <c r="H90" s="173"/>
      <c r="I90" s="172" t="str">
        <f>IFERROR(INDEX('G-7 Rivers Data'!$H$4:$L$8,MATCH(D90,'G-7 Rivers Data'!$B$4:$B$8,0),MATCH(H90,'G-7 Rivers Data'!$H$3:$L$3,0)),"")</f>
        <v/>
      </c>
      <c r="J90" s="173"/>
      <c r="K90" s="172" t="str">
        <f>IF(J90="","",IF(VLOOKUP(J90,'G-7 Rivers Data'!$AK$4:$AM$9,2,FALSE)=0,"Spatial Data Missing",VLOOKUP(J90,'G-7 Rivers Data'!$AK$4:$AM$9,2,FALSE)))</f>
        <v/>
      </c>
      <c r="L90" s="172" t="str">
        <f>IF(J90="","",IF(VLOOKUP(J90,'G-7 Rivers Data'!$AK$4:$AM$9,3,FALSE)=0,"Spatial Data Missing",VLOOKUP(J90,'G-7 Rivers Data'!$AK$4:$AM$9,3,FALSE)))</f>
        <v/>
      </c>
      <c r="M90" s="79"/>
      <c r="N90" s="172" t="str">
        <f>IF(M90="","",IF(VLOOKUP(M90,'G-7 Rivers Data'!$AA$4:$AB$7,2,FALSE)=0,"Spatial Data Missing",VLOOKUP(M90,'G-7 Rivers Data'!$AA$4:$AB$7,2,FALSE)))</f>
        <v/>
      </c>
      <c r="O90" s="187"/>
      <c r="P90" s="172" t="str">
        <f>IF(O90="","",IF(VLOOKUP(O90,'G-7 Rivers Data'!$AD$4:$AE$8,2,FALSE)=0,"Spatial Data Missing",VLOOKUP(O90,'G-7 Rivers Data'!$AD$4:$AE$8,2,FALSE)))</f>
        <v/>
      </c>
      <c r="Q90" s="177" t="str">
        <f>IF(D90="","",VLOOKUP(D90,'G-7 Rivers Data'!$B$2:$G$8,6,FALSE))</f>
        <v/>
      </c>
      <c r="R90" s="207" t="str">
        <f t="shared" si="8"/>
        <v/>
      </c>
      <c r="S90" s="44"/>
      <c r="T90" s="173"/>
      <c r="U90" s="189"/>
      <c r="V90" s="208" t="str">
        <f t="shared" si="9"/>
        <v/>
      </c>
      <c r="W90" s="208" t="str">
        <f t="shared" si="10"/>
        <v/>
      </c>
      <c r="X90" s="208" t="str">
        <f t="shared" si="11"/>
        <v/>
      </c>
      <c r="Y90" s="209" t="str">
        <f t="shared" si="12"/>
        <v/>
      </c>
      <c r="Z90" s="182"/>
      <c r="AA90" s="183"/>
      <c r="AG90" s="35">
        <f t="shared" si="13"/>
        <v>0</v>
      </c>
      <c r="AH90" s="188" t="str">
        <f t="shared" si="14"/>
        <v/>
      </c>
      <c r="AI90" s="188" t="str">
        <f t="shared" si="15"/>
        <v/>
      </c>
      <c r="AK90" s="188">
        <v>81</v>
      </c>
      <c r="AM90" s="188" t="str">
        <f t="array" ref="AM90">IFERROR(INDEX($AK$10:$AK$258, MATCH(0, IF(TRUE=$AH$10:$AH$258, COUNTIF($AM$9:$AM89, $AK$10:$AK$258), ""), 0)),"")</f>
        <v/>
      </c>
      <c r="AN90" s="188" t="str">
        <f t="array" ref="AN90">IFERROR(INDEX($AK$10:$AK$258, MATCH(0, IF(TRUE=$AI$10:$AI$258, COUNTIF($AN$9:$AN89, $AK$10:$AK$258), ""), 0)),"")</f>
        <v/>
      </c>
      <c r="AP90" s="35" t="str">
        <f>IFERROR(INDEX('G-7 Rivers Data'!$AZ$3:$AZ$7,MATCH(D90,'G-7 Rivers Data'!$AY$3:$AY$7,0)),"")</f>
        <v/>
      </c>
    </row>
    <row r="91" spans="3:42" ht="13.8" x14ac:dyDescent="0.25">
      <c r="C91" s="168">
        <v>82</v>
      </c>
      <c r="D91" s="212"/>
      <c r="E91" s="213"/>
      <c r="F91" s="171" t="str">
        <f>IF(D91="","",VLOOKUP(D91,'G-7 Rivers Data'!$B$2:$G$8,2,FALSE))</f>
        <v/>
      </c>
      <c r="G91" s="172" t="str">
        <f>IFERROR(VLOOKUP(F91,'G-7 Rivers Data'!$C$4:$D$8,2,FALSE),"")</f>
        <v/>
      </c>
      <c r="H91" s="173"/>
      <c r="I91" s="172" t="str">
        <f>IFERROR(INDEX('G-7 Rivers Data'!$H$4:$L$8,MATCH(D91,'G-7 Rivers Data'!$B$4:$B$8,0),MATCH(H91,'G-7 Rivers Data'!$H$3:$L$3,0)),"")</f>
        <v/>
      </c>
      <c r="J91" s="173"/>
      <c r="K91" s="172" t="str">
        <f>IF(J91="","",IF(VLOOKUP(J91,'G-7 Rivers Data'!$AK$4:$AM$9,2,FALSE)=0,"Spatial Data Missing",VLOOKUP(J91,'G-7 Rivers Data'!$AK$4:$AM$9,2,FALSE)))</f>
        <v/>
      </c>
      <c r="L91" s="172" t="str">
        <f>IF(J91="","",IF(VLOOKUP(J91,'G-7 Rivers Data'!$AK$4:$AM$9,3,FALSE)=0,"Spatial Data Missing",VLOOKUP(J91,'G-7 Rivers Data'!$AK$4:$AM$9,3,FALSE)))</f>
        <v/>
      </c>
      <c r="M91" s="79"/>
      <c r="N91" s="172" t="str">
        <f>IF(M91="","",IF(VLOOKUP(M91,'G-7 Rivers Data'!$AA$4:$AB$7,2,FALSE)=0,"Spatial Data Missing",VLOOKUP(M91,'G-7 Rivers Data'!$AA$4:$AB$7,2,FALSE)))</f>
        <v/>
      </c>
      <c r="O91" s="187"/>
      <c r="P91" s="172" t="str">
        <f>IF(O91="","",IF(VLOOKUP(O91,'G-7 Rivers Data'!$AD$4:$AE$8,2,FALSE)=0,"Spatial Data Missing",VLOOKUP(O91,'G-7 Rivers Data'!$AD$4:$AE$8,2,FALSE)))</f>
        <v/>
      </c>
      <c r="Q91" s="177" t="str">
        <f>IF(D91="","",VLOOKUP(D91,'G-7 Rivers Data'!$B$2:$G$8,6,FALSE))</f>
        <v/>
      </c>
      <c r="R91" s="207" t="str">
        <f t="shared" si="8"/>
        <v/>
      </c>
      <c r="S91" s="44"/>
      <c r="T91" s="173"/>
      <c r="U91" s="189"/>
      <c r="V91" s="208" t="str">
        <f t="shared" si="9"/>
        <v/>
      </c>
      <c r="W91" s="208" t="str">
        <f t="shared" si="10"/>
        <v/>
      </c>
      <c r="X91" s="208" t="str">
        <f t="shared" si="11"/>
        <v/>
      </c>
      <c r="Y91" s="209" t="str">
        <f t="shared" si="12"/>
        <v/>
      </c>
      <c r="Z91" s="182"/>
      <c r="AA91" s="183"/>
      <c r="AG91" s="35">
        <f t="shared" si="13"/>
        <v>0</v>
      </c>
      <c r="AH91" s="188" t="str">
        <f t="shared" si="14"/>
        <v/>
      </c>
      <c r="AI91" s="188" t="str">
        <f t="shared" si="15"/>
        <v/>
      </c>
      <c r="AK91" s="188">
        <v>82</v>
      </c>
      <c r="AM91" s="188" t="str">
        <f t="array" ref="AM91">IFERROR(INDEX($AK$10:$AK$258, MATCH(0, IF(TRUE=$AH$10:$AH$258, COUNTIF($AM$9:$AM90, $AK$10:$AK$258), ""), 0)),"")</f>
        <v/>
      </c>
      <c r="AN91" s="188" t="str">
        <f t="array" ref="AN91">IFERROR(INDEX($AK$10:$AK$258, MATCH(0, IF(TRUE=$AI$10:$AI$258, COUNTIF($AN$9:$AN90, $AK$10:$AK$258), ""), 0)),"")</f>
        <v/>
      </c>
      <c r="AP91" s="35" t="str">
        <f>IFERROR(INDEX('G-7 Rivers Data'!$AZ$3:$AZ$7,MATCH(D91,'G-7 Rivers Data'!$AY$3:$AY$7,0)),"")</f>
        <v/>
      </c>
    </row>
    <row r="92" spans="3:42" ht="13.8" x14ac:dyDescent="0.25">
      <c r="C92" s="168">
        <v>83</v>
      </c>
      <c r="D92" s="212"/>
      <c r="E92" s="213"/>
      <c r="F92" s="171" t="str">
        <f>IF(D92="","",VLOOKUP(D92,'G-7 Rivers Data'!$B$2:$G$8,2,FALSE))</f>
        <v/>
      </c>
      <c r="G92" s="172" t="str">
        <f>IFERROR(VLOOKUP(F92,'G-7 Rivers Data'!$C$4:$D$8,2,FALSE),"")</f>
        <v/>
      </c>
      <c r="H92" s="173"/>
      <c r="I92" s="172" t="str">
        <f>IFERROR(INDEX('G-7 Rivers Data'!$H$4:$L$8,MATCH(D92,'G-7 Rivers Data'!$B$4:$B$8,0),MATCH(H92,'G-7 Rivers Data'!$H$3:$L$3,0)),"")</f>
        <v/>
      </c>
      <c r="J92" s="173"/>
      <c r="K92" s="172" t="str">
        <f>IF(J92="","",IF(VLOOKUP(J92,'G-7 Rivers Data'!$AK$4:$AM$9,2,FALSE)=0,"Spatial Data Missing",VLOOKUP(J92,'G-7 Rivers Data'!$AK$4:$AM$9,2,FALSE)))</f>
        <v/>
      </c>
      <c r="L92" s="172" t="str">
        <f>IF(J92="","",IF(VLOOKUP(J92,'G-7 Rivers Data'!$AK$4:$AM$9,3,FALSE)=0,"Spatial Data Missing",VLOOKUP(J92,'G-7 Rivers Data'!$AK$4:$AM$9,3,FALSE)))</f>
        <v/>
      </c>
      <c r="M92" s="79"/>
      <c r="N92" s="172" t="str">
        <f>IF(M92="","",IF(VLOOKUP(M92,'G-7 Rivers Data'!$AA$4:$AB$7,2,FALSE)=0,"Spatial Data Missing",VLOOKUP(M92,'G-7 Rivers Data'!$AA$4:$AB$7,2,FALSE)))</f>
        <v/>
      </c>
      <c r="O92" s="187"/>
      <c r="P92" s="172" t="str">
        <f>IF(O92="","",IF(VLOOKUP(O92,'G-7 Rivers Data'!$AD$4:$AE$8,2,FALSE)=0,"Spatial Data Missing",VLOOKUP(O92,'G-7 Rivers Data'!$AD$4:$AE$8,2,FALSE)))</f>
        <v/>
      </c>
      <c r="Q92" s="177" t="str">
        <f>IF(D92="","",VLOOKUP(D92,'G-7 Rivers Data'!$B$2:$G$8,6,FALSE))</f>
        <v/>
      </c>
      <c r="R92" s="207" t="str">
        <f t="shared" si="8"/>
        <v/>
      </c>
      <c r="S92" s="44"/>
      <c r="T92" s="173"/>
      <c r="U92" s="189"/>
      <c r="V92" s="208" t="str">
        <f t="shared" si="9"/>
        <v/>
      </c>
      <c r="W92" s="208" t="str">
        <f t="shared" si="10"/>
        <v/>
      </c>
      <c r="X92" s="208" t="str">
        <f t="shared" si="11"/>
        <v/>
      </c>
      <c r="Y92" s="209" t="str">
        <f t="shared" si="12"/>
        <v/>
      </c>
      <c r="Z92" s="182"/>
      <c r="AA92" s="183"/>
      <c r="AG92" s="35">
        <f t="shared" si="13"/>
        <v>0</v>
      </c>
      <c r="AH92" s="188" t="str">
        <f t="shared" si="14"/>
        <v/>
      </c>
      <c r="AI92" s="188" t="str">
        <f t="shared" si="15"/>
        <v/>
      </c>
      <c r="AK92" s="188">
        <v>83</v>
      </c>
      <c r="AM92" s="188" t="str">
        <f t="array" ref="AM92">IFERROR(INDEX($AK$10:$AK$258, MATCH(0, IF(TRUE=$AH$10:$AH$258, COUNTIF($AM$9:$AM91, $AK$10:$AK$258), ""), 0)),"")</f>
        <v/>
      </c>
      <c r="AN92" s="188" t="str">
        <f t="array" ref="AN92">IFERROR(INDEX($AK$10:$AK$258, MATCH(0, IF(TRUE=$AI$10:$AI$258, COUNTIF($AN$9:$AN91, $AK$10:$AK$258), ""), 0)),"")</f>
        <v/>
      </c>
      <c r="AP92" s="35" t="str">
        <f>IFERROR(INDEX('G-7 Rivers Data'!$AZ$3:$AZ$7,MATCH(D92,'G-7 Rivers Data'!$AY$3:$AY$7,0)),"")</f>
        <v/>
      </c>
    </row>
    <row r="93" spans="3:42" ht="13.8" x14ac:dyDescent="0.25">
      <c r="C93" s="168">
        <v>84</v>
      </c>
      <c r="D93" s="212"/>
      <c r="E93" s="213"/>
      <c r="F93" s="171" t="str">
        <f>IF(D93="","",VLOOKUP(D93,'G-7 Rivers Data'!$B$2:$G$8,2,FALSE))</f>
        <v/>
      </c>
      <c r="G93" s="172" t="str">
        <f>IFERROR(VLOOKUP(F93,'G-7 Rivers Data'!$C$4:$D$8,2,FALSE),"")</f>
        <v/>
      </c>
      <c r="H93" s="173"/>
      <c r="I93" s="172" t="str">
        <f>IFERROR(INDEX('G-7 Rivers Data'!$H$4:$L$8,MATCH(D93,'G-7 Rivers Data'!$B$4:$B$8,0),MATCH(H93,'G-7 Rivers Data'!$H$3:$L$3,0)),"")</f>
        <v/>
      </c>
      <c r="J93" s="173"/>
      <c r="K93" s="172" t="str">
        <f>IF(J93="","",IF(VLOOKUP(J93,'G-7 Rivers Data'!$AK$4:$AM$9,2,FALSE)=0,"Spatial Data Missing",VLOOKUP(J93,'G-7 Rivers Data'!$AK$4:$AM$9,2,FALSE)))</f>
        <v/>
      </c>
      <c r="L93" s="172" t="str">
        <f>IF(J93="","",IF(VLOOKUP(J93,'G-7 Rivers Data'!$AK$4:$AM$9,3,FALSE)=0,"Spatial Data Missing",VLOOKUP(J93,'G-7 Rivers Data'!$AK$4:$AM$9,3,FALSE)))</f>
        <v/>
      </c>
      <c r="M93" s="79"/>
      <c r="N93" s="172" t="str">
        <f>IF(M93="","",IF(VLOOKUP(M93,'G-7 Rivers Data'!$AA$4:$AB$7,2,FALSE)=0,"Spatial Data Missing",VLOOKUP(M93,'G-7 Rivers Data'!$AA$4:$AB$7,2,FALSE)))</f>
        <v/>
      </c>
      <c r="O93" s="187"/>
      <c r="P93" s="172" t="str">
        <f>IF(O93="","",IF(VLOOKUP(O93,'G-7 Rivers Data'!$AD$4:$AE$8,2,FALSE)=0,"Spatial Data Missing",VLOOKUP(O93,'G-7 Rivers Data'!$AD$4:$AE$8,2,FALSE)))</f>
        <v/>
      </c>
      <c r="Q93" s="177" t="str">
        <f>IF(D93="","",VLOOKUP(D93,'G-7 Rivers Data'!$B$2:$G$8,6,FALSE))</f>
        <v/>
      </c>
      <c r="R93" s="207" t="str">
        <f t="shared" si="8"/>
        <v/>
      </c>
      <c r="S93" s="44"/>
      <c r="T93" s="173"/>
      <c r="U93" s="189"/>
      <c r="V93" s="208" t="str">
        <f t="shared" si="9"/>
        <v/>
      </c>
      <c r="W93" s="208" t="str">
        <f t="shared" si="10"/>
        <v/>
      </c>
      <c r="X93" s="208" t="str">
        <f t="shared" si="11"/>
        <v/>
      </c>
      <c r="Y93" s="209" t="str">
        <f t="shared" si="12"/>
        <v/>
      </c>
      <c r="Z93" s="182"/>
      <c r="AA93" s="183"/>
      <c r="AG93" s="35">
        <f t="shared" si="13"/>
        <v>0</v>
      </c>
      <c r="AH93" s="188" t="str">
        <f t="shared" si="14"/>
        <v/>
      </c>
      <c r="AI93" s="188" t="str">
        <f t="shared" si="15"/>
        <v/>
      </c>
      <c r="AK93" s="188">
        <v>84</v>
      </c>
      <c r="AM93" s="188" t="str">
        <f t="array" ref="AM93">IFERROR(INDEX($AK$10:$AK$258, MATCH(0, IF(TRUE=$AH$10:$AH$258, COUNTIF($AM$9:$AM92, $AK$10:$AK$258), ""), 0)),"")</f>
        <v/>
      </c>
      <c r="AN93" s="188" t="str">
        <f t="array" ref="AN93">IFERROR(INDEX($AK$10:$AK$258, MATCH(0, IF(TRUE=$AI$10:$AI$258, COUNTIF($AN$9:$AN92, $AK$10:$AK$258), ""), 0)),"")</f>
        <v/>
      </c>
      <c r="AP93" s="35" t="str">
        <f>IFERROR(INDEX('G-7 Rivers Data'!$AZ$3:$AZ$7,MATCH(D93,'G-7 Rivers Data'!$AY$3:$AY$7,0)),"")</f>
        <v/>
      </c>
    </row>
    <row r="94" spans="3:42" ht="13.8" x14ac:dyDescent="0.25">
      <c r="C94" s="168">
        <v>85</v>
      </c>
      <c r="D94" s="212"/>
      <c r="E94" s="213"/>
      <c r="F94" s="171" t="str">
        <f>IF(D94="","",VLOOKUP(D94,'G-7 Rivers Data'!$B$2:$G$8,2,FALSE))</f>
        <v/>
      </c>
      <c r="G94" s="172" t="str">
        <f>IFERROR(VLOOKUP(F94,'G-7 Rivers Data'!$C$4:$D$8,2,FALSE),"")</f>
        <v/>
      </c>
      <c r="H94" s="173"/>
      <c r="I94" s="172" t="str">
        <f>IFERROR(INDEX('G-7 Rivers Data'!$H$4:$L$8,MATCH(D94,'G-7 Rivers Data'!$B$4:$B$8,0),MATCH(H94,'G-7 Rivers Data'!$H$3:$L$3,0)),"")</f>
        <v/>
      </c>
      <c r="J94" s="173"/>
      <c r="K94" s="172" t="str">
        <f>IF(J94="","",IF(VLOOKUP(J94,'G-7 Rivers Data'!$AK$4:$AM$9,2,FALSE)=0,"Spatial Data Missing",VLOOKUP(J94,'G-7 Rivers Data'!$AK$4:$AM$9,2,FALSE)))</f>
        <v/>
      </c>
      <c r="L94" s="172" t="str">
        <f>IF(J94="","",IF(VLOOKUP(J94,'G-7 Rivers Data'!$AK$4:$AM$9,3,FALSE)=0,"Spatial Data Missing",VLOOKUP(J94,'G-7 Rivers Data'!$AK$4:$AM$9,3,FALSE)))</f>
        <v/>
      </c>
      <c r="M94" s="79"/>
      <c r="N94" s="172" t="str">
        <f>IF(M94="","",IF(VLOOKUP(M94,'G-7 Rivers Data'!$AA$4:$AB$7,2,FALSE)=0,"Spatial Data Missing",VLOOKUP(M94,'G-7 Rivers Data'!$AA$4:$AB$7,2,FALSE)))</f>
        <v/>
      </c>
      <c r="O94" s="187"/>
      <c r="P94" s="172" t="str">
        <f>IF(O94="","",IF(VLOOKUP(O94,'G-7 Rivers Data'!$AD$4:$AE$8,2,FALSE)=0,"Spatial Data Missing",VLOOKUP(O94,'G-7 Rivers Data'!$AD$4:$AE$8,2,FALSE)))</f>
        <v/>
      </c>
      <c r="Q94" s="177" t="str">
        <f>IF(D94="","",VLOOKUP(D94,'G-7 Rivers Data'!$B$2:$G$8,6,FALSE))</f>
        <v/>
      </c>
      <c r="R94" s="207" t="str">
        <f t="shared" si="8"/>
        <v/>
      </c>
      <c r="S94" s="44"/>
      <c r="T94" s="173"/>
      <c r="U94" s="189"/>
      <c r="V94" s="208" t="str">
        <f t="shared" si="9"/>
        <v/>
      </c>
      <c r="W94" s="208" t="str">
        <f t="shared" si="10"/>
        <v/>
      </c>
      <c r="X94" s="208" t="str">
        <f t="shared" si="11"/>
        <v/>
      </c>
      <c r="Y94" s="209" t="str">
        <f t="shared" si="12"/>
        <v/>
      </c>
      <c r="Z94" s="182"/>
      <c r="AA94" s="183"/>
      <c r="AG94" s="35">
        <f t="shared" si="13"/>
        <v>0</v>
      </c>
      <c r="AH94" s="188" t="str">
        <f t="shared" si="14"/>
        <v/>
      </c>
      <c r="AI94" s="188" t="str">
        <f t="shared" si="15"/>
        <v/>
      </c>
      <c r="AK94" s="188">
        <v>85</v>
      </c>
      <c r="AM94" s="188" t="str">
        <f t="array" ref="AM94">IFERROR(INDEX($AK$10:$AK$258, MATCH(0, IF(TRUE=$AH$10:$AH$258, COUNTIF($AM$9:$AM93, $AK$10:$AK$258), ""), 0)),"")</f>
        <v/>
      </c>
      <c r="AN94" s="188" t="str">
        <f t="array" ref="AN94">IFERROR(INDEX($AK$10:$AK$258, MATCH(0, IF(TRUE=$AI$10:$AI$258, COUNTIF($AN$9:$AN93, $AK$10:$AK$258), ""), 0)),"")</f>
        <v/>
      </c>
      <c r="AP94" s="35" t="str">
        <f>IFERROR(INDEX('G-7 Rivers Data'!$AZ$3:$AZ$7,MATCH(D94,'G-7 Rivers Data'!$AY$3:$AY$7,0)),"")</f>
        <v/>
      </c>
    </row>
    <row r="95" spans="3:42" ht="13.8" x14ac:dyDescent="0.25">
      <c r="C95" s="168">
        <v>86</v>
      </c>
      <c r="D95" s="212"/>
      <c r="E95" s="213"/>
      <c r="F95" s="171" t="str">
        <f>IF(D95="","",VLOOKUP(D95,'G-7 Rivers Data'!$B$2:$G$8,2,FALSE))</f>
        <v/>
      </c>
      <c r="G95" s="172" t="str">
        <f>IFERROR(VLOOKUP(F95,'G-7 Rivers Data'!$C$4:$D$8,2,FALSE),"")</f>
        <v/>
      </c>
      <c r="H95" s="173"/>
      <c r="I95" s="172" t="str">
        <f>IFERROR(INDEX('G-7 Rivers Data'!$H$4:$L$8,MATCH(D95,'G-7 Rivers Data'!$B$4:$B$8,0),MATCH(H95,'G-7 Rivers Data'!$H$3:$L$3,0)),"")</f>
        <v/>
      </c>
      <c r="J95" s="173"/>
      <c r="K95" s="172" t="str">
        <f>IF(J95="","",IF(VLOOKUP(J95,'G-7 Rivers Data'!$AK$4:$AM$9,2,FALSE)=0,"Spatial Data Missing",VLOOKUP(J95,'G-7 Rivers Data'!$AK$4:$AM$9,2,FALSE)))</f>
        <v/>
      </c>
      <c r="L95" s="172" t="str">
        <f>IF(J95="","",IF(VLOOKUP(J95,'G-7 Rivers Data'!$AK$4:$AM$9,3,FALSE)=0,"Spatial Data Missing",VLOOKUP(J95,'G-7 Rivers Data'!$AK$4:$AM$9,3,FALSE)))</f>
        <v/>
      </c>
      <c r="M95" s="79"/>
      <c r="N95" s="172" t="str">
        <f>IF(M95="","",IF(VLOOKUP(M95,'G-7 Rivers Data'!$AA$4:$AB$7,2,FALSE)=0,"Spatial Data Missing",VLOOKUP(M95,'G-7 Rivers Data'!$AA$4:$AB$7,2,FALSE)))</f>
        <v/>
      </c>
      <c r="O95" s="187"/>
      <c r="P95" s="172" t="str">
        <f>IF(O95="","",IF(VLOOKUP(O95,'G-7 Rivers Data'!$AD$4:$AE$8,2,FALSE)=0,"Spatial Data Missing",VLOOKUP(O95,'G-7 Rivers Data'!$AD$4:$AE$8,2,FALSE)))</f>
        <v/>
      </c>
      <c r="Q95" s="177" t="str">
        <f>IF(D95="","",VLOOKUP(D95,'G-7 Rivers Data'!$B$2:$G$8,6,FALSE))</f>
        <v/>
      </c>
      <c r="R95" s="207" t="str">
        <f t="shared" si="8"/>
        <v/>
      </c>
      <c r="S95" s="44"/>
      <c r="T95" s="173"/>
      <c r="U95" s="189"/>
      <c r="V95" s="208" t="str">
        <f t="shared" si="9"/>
        <v/>
      </c>
      <c r="W95" s="208" t="str">
        <f t="shared" si="10"/>
        <v/>
      </c>
      <c r="X95" s="208" t="str">
        <f t="shared" si="11"/>
        <v/>
      </c>
      <c r="Y95" s="209" t="str">
        <f t="shared" si="12"/>
        <v/>
      </c>
      <c r="Z95" s="182"/>
      <c r="AA95" s="183"/>
      <c r="AG95" s="35">
        <f t="shared" si="13"/>
        <v>0</v>
      </c>
      <c r="AH95" s="188" t="str">
        <f t="shared" si="14"/>
        <v/>
      </c>
      <c r="AI95" s="188" t="str">
        <f t="shared" si="15"/>
        <v/>
      </c>
      <c r="AK95" s="188">
        <v>86</v>
      </c>
      <c r="AM95" s="188" t="str">
        <f t="array" ref="AM95">IFERROR(INDEX($AK$10:$AK$258, MATCH(0, IF(TRUE=$AH$10:$AH$258, COUNTIF($AM$9:$AM94, $AK$10:$AK$258), ""), 0)),"")</f>
        <v/>
      </c>
      <c r="AN95" s="188" t="str">
        <f t="array" ref="AN95">IFERROR(INDEX($AK$10:$AK$258, MATCH(0, IF(TRUE=$AI$10:$AI$258, COUNTIF($AN$9:$AN94, $AK$10:$AK$258), ""), 0)),"")</f>
        <v/>
      </c>
      <c r="AP95" s="35" t="str">
        <f>IFERROR(INDEX('G-7 Rivers Data'!$AZ$3:$AZ$7,MATCH(D95,'G-7 Rivers Data'!$AY$3:$AY$7,0)),"")</f>
        <v/>
      </c>
    </row>
    <row r="96" spans="3:42" ht="13.8" x14ac:dyDescent="0.25">
      <c r="C96" s="168">
        <v>87</v>
      </c>
      <c r="D96" s="212"/>
      <c r="E96" s="213"/>
      <c r="F96" s="171" t="str">
        <f>IF(D96="","",VLOOKUP(D96,'G-7 Rivers Data'!$B$2:$G$8,2,FALSE))</f>
        <v/>
      </c>
      <c r="G96" s="172" t="str">
        <f>IFERROR(VLOOKUP(F96,'G-7 Rivers Data'!$C$4:$D$8,2,FALSE),"")</f>
        <v/>
      </c>
      <c r="H96" s="173"/>
      <c r="I96" s="172" t="str">
        <f>IFERROR(INDEX('G-7 Rivers Data'!$H$4:$L$8,MATCH(D96,'G-7 Rivers Data'!$B$4:$B$8,0),MATCH(H96,'G-7 Rivers Data'!$H$3:$L$3,0)),"")</f>
        <v/>
      </c>
      <c r="J96" s="173"/>
      <c r="K96" s="172" t="str">
        <f>IF(J96="","",IF(VLOOKUP(J96,'G-7 Rivers Data'!$AK$4:$AM$9,2,FALSE)=0,"Spatial Data Missing",VLOOKUP(J96,'G-7 Rivers Data'!$AK$4:$AM$9,2,FALSE)))</f>
        <v/>
      </c>
      <c r="L96" s="172" t="str">
        <f>IF(J96="","",IF(VLOOKUP(J96,'G-7 Rivers Data'!$AK$4:$AM$9,3,FALSE)=0,"Spatial Data Missing",VLOOKUP(J96,'G-7 Rivers Data'!$AK$4:$AM$9,3,FALSE)))</f>
        <v/>
      </c>
      <c r="M96" s="79"/>
      <c r="N96" s="172" t="str">
        <f>IF(M96="","",IF(VLOOKUP(M96,'G-7 Rivers Data'!$AA$4:$AB$7,2,FALSE)=0,"Spatial Data Missing",VLOOKUP(M96,'G-7 Rivers Data'!$AA$4:$AB$7,2,FALSE)))</f>
        <v/>
      </c>
      <c r="O96" s="187"/>
      <c r="P96" s="172" t="str">
        <f>IF(O96="","",IF(VLOOKUP(O96,'G-7 Rivers Data'!$AD$4:$AE$8,2,FALSE)=0,"Spatial Data Missing",VLOOKUP(O96,'G-7 Rivers Data'!$AD$4:$AE$8,2,FALSE)))</f>
        <v/>
      </c>
      <c r="Q96" s="177" t="str">
        <f>IF(D96="","",VLOOKUP(D96,'G-7 Rivers Data'!$B$2:$G$8,6,FALSE))</f>
        <v/>
      </c>
      <c r="R96" s="207" t="str">
        <f t="shared" si="8"/>
        <v/>
      </c>
      <c r="S96" s="44"/>
      <c r="T96" s="173"/>
      <c r="U96" s="189"/>
      <c r="V96" s="208" t="str">
        <f t="shared" si="9"/>
        <v/>
      </c>
      <c r="W96" s="208" t="str">
        <f t="shared" si="10"/>
        <v/>
      </c>
      <c r="X96" s="208" t="str">
        <f t="shared" si="11"/>
        <v/>
      </c>
      <c r="Y96" s="209" t="str">
        <f t="shared" si="12"/>
        <v/>
      </c>
      <c r="Z96" s="182"/>
      <c r="AA96" s="183"/>
      <c r="AG96" s="35">
        <f t="shared" si="13"/>
        <v>0</v>
      </c>
      <c r="AH96" s="188" t="str">
        <f t="shared" si="14"/>
        <v/>
      </c>
      <c r="AI96" s="188" t="str">
        <f t="shared" si="15"/>
        <v/>
      </c>
      <c r="AK96" s="188">
        <v>87</v>
      </c>
      <c r="AM96" s="188" t="str">
        <f t="array" ref="AM96">IFERROR(INDEX($AK$10:$AK$258, MATCH(0, IF(TRUE=$AH$10:$AH$258, COUNTIF($AM$9:$AM95, $AK$10:$AK$258), ""), 0)),"")</f>
        <v/>
      </c>
      <c r="AN96" s="188" t="str">
        <f t="array" ref="AN96">IFERROR(INDEX($AK$10:$AK$258, MATCH(0, IF(TRUE=$AI$10:$AI$258, COUNTIF($AN$9:$AN95, $AK$10:$AK$258), ""), 0)),"")</f>
        <v/>
      </c>
      <c r="AP96" s="35" t="str">
        <f>IFERROR(INDEX('G-7 Rivers Data'!$AZ$3:$AZ$7,MATCH(D96,'G-7 Rivers Data'!$AY$3:$AY$7,0)),"")</f>
        <v/>
      </c>
    </row>
    <row r="97" spans="3:42" ht="13.8" x14ac:dyDescent="0.25">
      <c r="C97" s="168">
        <v>88</v>
      </c>
      <c r="D97" s="212"/>
      <c r="E97" s="213"/>
      <c r="F97" s="171" t="str">
        <f>IF(D97="","",VLOOKUP(D97,'G-7 Rivers Data'!$B$2:$G$8,2,FALSE))</f>
        <v/>
      </c>
      <c r="G97" s="172" t="str">
        <f>IFERROR(VLOOKUP(F97,'G-7 Rivers Data'!$C$4:$D$8,2,FALSE),"")</f>
        <v/>
      </c>
      <c r="H97" s="173"/>
      <c r="I97" s="172" t="str">
        <f>IFERROR(INDEX('G-7 Rivers Data'!$H$4:$L$8,MATCH(D97,'G-7 Rivers Data'!$B$4:$B$8,0),MATCH(H97,'G-7 Rivers Data'!$H$3:$L$3,0)),"")</f>
        <v/>
      </c>
      <c r="J97" s="173"/>
      <c r="K97" s="172" t="str">
        <f>IF(J97="","",IF(VLOOKUP(J97,'G-7 Rivers Data'!$AK$4:$AM$9,2,FALSE)=0,"Spatial Data Missing",VLOOKUP(J97,'G-7 Rivers Data'!$AK$4:$AM$9,2,FALSE)))</f>
        <v/>
      </c>
      <c r="L97" s="172" t="str">
        <f>IF(J97="","",IF(VLOOKUP(J97,'G-7 Rivers Data'!$AK$4:$AM$9,3,FALSE)=0,"Spatial Data Missing",VLOOKUP(J97,'G-7 Rivers Data'!$AK$4:$AM$9,3,FALSE)))</f>
        <v/>
      </c>
      <c r="M97" s="79"/>
      <c r="N97" s="172" t="str">
        <f>IF(M97="","",IF(VLOOKUP(M97,'G-7 Rivers Data'!$AA$4:$AB$7,2,FALSE)=0,"Spatial Data Missing",VLOOKUP(M97,'G-7 Rivers Data'!$AA$4:$AB$7,2,FALSE)))</f>
        <v/>
      </c>
      <c r="O97" s="187"/>
      <c r="P97" s="172" t="str">
        <f>IF(O97="","",IF(VLOOKUP(O97,'G-7 Rivers Data'!$AD$4:$AE$8,2,FALSE)=0,"Spatial Data Missing",VLOOKUP(O97,'G-7 Rivers Data'!$AD$4:$AE$8,2,FALSE)))</f>
        <v/>
      </c>
      <c r="Q97" s="177" t="str">
        <f>IF(D97="","",VLOOKUP(D97,'G-7 Rivers Data'!$B$2:$G$8,6,FALSE))</f>
        <v/>
      </c>
      <c r="R97" s="207" t="str">
        <f t="shared" si="8"/>
        <v/>
      </c>
      <c r="S97" s="44"/>
      <c r="T97" s="173"/>
      <c r="U97" s="189"/>
      <c r="V97" s="208" t="str">
        <f t="shared" si="9"/>
        <v/>
      </c>
      <c r="W97" s="208" t="str">
        <f t="shared" si="10"/>
        <v/>
      </c>
      <c r="X97" s="208" t="str">
        <f t="shared" si="11"/>
        <v/>
      </c>
      <c r="Y97" s="209" t="str">
        <f t="shared" si="12"/>
        <v/>
      </c>
      <c r="Z97" s="182"/>
      <c r="AA97" s="183"/>
      <c r="AG97" s="35">
        <f t="shared" si="13"/>
        <v>0</v>
      </c>
      <c r="AH97" s="188" t="str">
        <f t="shared" si="14"/>
        <v/>
      </c>
      <c r="AI97" s="188" t="str">
        <f t="shared" si="15"/>
        <v/>
      </c>
      <c r="AK97" s="188">
        <v>88</v>
      </c>
      <c r="AM97" s="188" t="str">
        <f t="array" ref="AM97">IFERROR(INDEX($AK$10:$AK$258, MATCH(0, IF(TRUE=$AH$10:$AH$258, COUNTIF($AM$9:$AM96, $AK$10:$AK$258), ""), 0)),"")</f>
        <v/>
      </c>
      <c r="AN97" s="188" t="str">
        <f t="array" ref="AN97">IFERROR(INDEX($AK$10:$AK$258, MATCH(0, IF(TRUE=$AI$10:$AI$258, COUNTIF($AN$9:$AN96, $AK$10:$AK$258), ""), 0)),"")</f>
        <v/>
      </c>
      <c r="AP97" s="35" t="str">
        <f>IFERROR(INDEX('G-7 Rivers Data'!$AZ$3:$AZ$7,MATCH(D97,'G-7 Rivers Data'!$AY$3:$AY$7,0)),"")</f>
        <v/>
      </c>
    </row>
    <row r="98" spans="3:42" ht="13.8" x14ac:dyDescent="0.25">
      <c r="C98" s="168">
        <v>89</v>
      </c>
      <c r="D98" s="212"/>
      <c r="E98" s="213"/>
      <c r="F98" s="171" t="str">
        <f>IF(D98="","",VLOOKUP(D98,'G-7 Rivers Data'!$B$2:$G$8,2,FALSE))</f>
        <v/>
      </c>
      <c r="G98" s="172" t="str">
        <f>IFERROR(VLOOKUP(F98,'G-7 Rivers Data'!$C$4:$D$8,2,FALSE),"")</f>
        <v/>
      </c>
      <c r="H98" s="173"/>
      <c r="I98" s="172" t="str">
        <f>IFERROR(INDEX('G-7 Rivers Data'!$H$4:$L$8,MATCH(D98,'G-7 Rivers Data'!$B$4:$B$8,0),MATCH(H98,'G-7 Rivers Data'!$H$3:$L$3,0)),"")</f>
        <v/>
      </c>
      <c r="J98" s="173"/>
      <c r="K98" s="172" t="str">
        <f>IF(J98="","",IF(VLOOKUP(J98,'G-7 Rivers Data'!$AK$4:$AM$9,2,FALSE)=0,"Spatial Data Missing",VLOOKUP(J98,'G-7 Rivers Data'!$AK$4:$AM$9,2,FALSE)))</f>
        <v/>
      </c>
      <c r="L98" s="172" t="str">
        <f>IF(J98="","",IF(VLOOKUP(J98,'G-7 Rivers Data'!$AK$4:$AM$9,3,FALSE)=0,"Spatial Data Missing",VLOOKUP(J98,'G-7 Rivers Data'!$AK$4:$AM$9,3,FALSE)))</f>
        <v/>
      </c>
      <c r="M98" s="79"/>
      <c r="N98" s="172" t="str">
        <f>IF(M98="","",IF(VLOOKUP(M98,'G-7 Rivers Data'!$AA$4:$AB$7,2,FALSE)=0,"Spatial Data Missing",VLOOKUP(M98,'G-7 Rivers Data'!$AA$4:$AB$7,2,FALSE)))</f>
        <v/>
      </c>
      <c r="O98" s="187"/>
      <c r="P98" s="172" t="str">
        <f>IF(O98="","",IF(VLOOKUP(O98,'G-7 Rivers Data'!$AD$4:$AE$8,2,FALSE)=0,"Spatial Data Missing",VLOOKUP(O98,'G-7 Rivers Data'!$AD$4:$AE$8,2,FALSE)))</f>
        <v/>
      </c>
      <c r="Q98" s="177" t="str">
        <f>IF(D98="","",VLOOKUP(D98,'G-7 Rivers Data'!$B$2:$G$8,6,FALSE))</f>
        <v/>
      </c>
      <c r="R98" s="207" t="str">
        <f t="shared" si="8"/>
        <v/>
      </c>
      <c r="S98" s="44"/>
      <c r="T98" s="173"/>
      <c r="U98" s="189"/>
      <c r="V98" s="208" t="str">
        <f t="shared" si="9"/>
        <v/>
      </c>
      <c r="W98" s="208" t="str">
        <f t="shared" si="10"/>
        <v/>
      </c>
      <c r="X98" s="208" t="str">
        <f t="shared" si="11"/>
        <v/>
      </c>
      <c r="Y98" s="209" t="str">
        <f t="shared" si="12"/>
        <v/>
      </c>
      <c r="Z98" s="182"/>
      <c r="AA98" s="183"/>
      <c r="AG98" s="35">
        <f t="shared" si="13"/>
        <v>0</v>
      </c>
      <c r="AH98" s="188" t="str">
        <f t="shared" si="14"/>
        <v/>
      </c>
      <c r="AI98" s="188" t="str">
        <f t="shared" si="15"/>
        <v/>
      </c>
      <c r="AK98" s="188">
        <v>89</v>
      </c>
      <c r="AM98" s="188" t="str">
        <f t="array" ref="AM98">IFERROR(INDEX($AK$10:$AK$258, MATCH(0, IF(TRUE=$AH$10:$AH$258, COUNTIF($AM$9:$AM97, $AK$10:$AK$258), ""), 0)),"")</f>
        <v/>
      </c>
      <c r="AN98" s="188" t="str">
        <f t="array" ref="AN98">IFERROR(INDEX($AK$10:$AK$258, MATCH(0, IF(TRUE=$AI$10:$AI$258, COUNTIF($AN$9:$AN97, $AK$10:$AK$258), ""), 0)),"")</f>
        <v/>
      </c>
      <c r="AP98" s="35" t="str">
        <f>IFERROR(INDEX('G-7 Rivers Data'!$AZ$3:$AZ$7,MATCH(D98,'G-7 Rivers Data'!$AY$3:$AY$7,0)),"")</f>
        <v/>
      </c>
    </row>
    <row r="99" spans="3:42" ht="13.8" x14ac:dyDescent="0.25">
      <c r="C99" s="168">
        <v>90</v>
      </c>
      <c r="D99" s="212"/>
      <c r="E99" s="213"/>
      <c r="F99" s="171" t="str">
        <f>IF(D99="","",VLOOKUP(D99,'G-7 Rivers Data'!$B$2:$G$8,2,FALSE))</f>
        <v/>
      </c>
      <c r="G99" s="172" t="str">
        <f>IFERROR(VLOOKUP(F99,'G-7 Rivers Data'!$C$4:$D$8,2,FALSE),"")</f>
        <v/>
      </c>
      <c r="H99" s="173"/>
      <c r="I99" s="172" t="str">
        <f>IFERROR(INDEX('G-7 Rivers Data'!$H$4:$L$8,MATCH(D99,'G-7 Rivers Data'!$B$4:$B$8,0),MATCH(H99,'G-7 Rivers Data'!$H$3:$L$3,0)),"")</f>
        <v/>
      </c>
      <c r="J99" s="173"/>
      <c r="K99" s="172" t="str">
        <f>IF(J99="","",IF(VLOOKUP(J99,'G-7 Rivers Data'!$AK$4:$AM$9,2,FALSE)=0,"Spatial Data Missing",VLOOKUP(J99,'G-7 Rivers Data'!$AK$4:$AM$9,2,FALSE)))</f>
        <v/>
      </c>
      <c r="L99" s="172" t="str">
        <f>IF(J99="","",IF(VLOOKUP(J99,'G-7 Rivers Data'!$AK$4:$AM$9,3,FALSE)=0,"Spatial Data Missing",VLOOKUP(J99,'G-7 Rivers Data'!$AK$4:$AM$9,3,FALSE)))</f>
        <v/>
      </c>
      <c r="M99" s="79"/>
      <c r="N99" s="172" t="str">
        <f>IF(M99="","",IF(VLOOKUP(M99,'G-7 Rivers Data'!$AA$4:$AB$7,2,FALSE)=0,"Spatial Data Missing",VLOOKUP(M99,'G-7 Rivers Data'!$AA$4:$AB$7,2,FALSE)))</f>
        <v/>
      </c>
      <c r="O99" s="187"/>
      <c r="P99" s="172" t="str">
        <f>IF(O99="","",IF(VLOOKUP(O99,'G-7 Rivers Data'!$AD$4:$AE$8,2,FALSE)=0,"Spatial Data Missing",VLOOKUP(O99,'G-7 Rivers Data'!$AD$4:$AE$8,2,FALSE)))</f>
        <v/>
      </c>
      <c r="Q99" s="177" t="str">
        <f>IF(D99="","",VLOOKUP(D99,'G-7 Rivers Data'!$B$2:$G$8,6,FALSE))</f>
        <v/>
      </c>
      <c r="R99" s="207" t="str">
        <f t="shared" si="8"/>
        <v/>
      </c>
      <c r="S99" s="44"/>
      <c r="T99" s="173"/>
      <c r="U99" s="189"/>
      <c r="V99" s="208" t="str">
        <f t="shared" si="9"/>
        <v/>
      </c>
      <c r="W99" s="208" t="str">
        <f t="shared" si="10"/>
        <v/>
      </c>
      <c r="X99" s="208" t="str">
        <f t="shared" si="11"/>
        <v/>
      </c>
      <c r="Y99" s="209" t="str">
        <f t="shared" si="12"/>
        <v/>
      </c>
      <c r="Z99" s="182"/>
      <c r="AA99" s="183"/>
      <c r="AG99" s="35">
        <f t="shared" si="13"/>
        <v>0</v>
      </c>
      <c r="AH99" s="188" t="str">
        <f t="shared" si="14"/>
        <v/>
      </c>
      <c r="AI99" s="188" t="str">
        <f t="shared" si="15"/>
        <v/>
      </c>
      <c r="AK99" s="188">
        <v>90</v>
      </c>
      <c r="AM99" s="188" t="str">
        <f t="array" ref="AM99">IFERROR(INDEX($AK$10:$AK$258, MATCH(0, IF(TRUE=$AH$10:$AH$258, COUNTIF($AM$9:$AM98, $AK$10:$AK$258), ""), 0)),"")</f>
        <v/>
      </c>
      <c r="AN99" s="188" t="str">
        <f t="array" ref="AN99">IFERROR(INDEX($AK$10:$AK$258, MATCH(0, IF(TRUE=$AI$10:$AI$258, COUNTIF($AN$9:$AN98, $AK$10:$AK$258), ""), 0)),"")</f>
        <v/>
      </c>
      <c r="AP99" s="35" t="str">
        <f>IFERROR(INDEX('G-7 Rivers Data'!$AZ$3:$AZ$7,MATCH(D99,'G-7 Rivers Data'!$AY$3:$AY$7,0)),"")</f>
        <v/>
      </c>
    </row>
    <row r="100" spans="3:42" ht="13.8" x14ac:dyDescent="0.25">
      <c r="C100" s="168">
        <v>91</v>
      </c>
      <c r="D100" s="212"/>
      <c r="E100" s="213"/>
      <c r="F100" s="171" t="str">
        <f>IF(D100="","",VLOOKUP(D100,'G-7 Rivers Data'!$B$2:$G$8,2,FALSE))</f>
        <v/>
      </c>
      <c r="G100" s="172" t="str">
        <f>IFERROR(VLOOKUP(F100,'G-7 Rivers Data'!$C$4:$D$8,2,FALSE),"")</f>
        <v/>
      </c>
      <c r="H100" s="173"/>
      <c r="I100" s="172" t="str">
        <f>IFERROR(INDEX('G-7 Rivers Data'!$H$4:$L$8,MATCH(D100,'G-7 Rivers Data'!$B$4:$B$8,0),MATCH(H100,'G-7 Rivers Data'!$H$3:$L$3,0)),"")</f>
        <v/>
      </c>
      <c r="J100" s="173"/>
      <c r="K100" s="172" t="str">
        <f>IF(J100="","",IF(VLOOKUP(J100,'G-7 Rivers Data'!$AK$4:$AM$9,2,FALSE)=0,"Spatial Data Missing",VLOOKUP(J100,'G-7 Rivers Data'!$AK$4:$AM$9,2,FALSE)))</f>
        <v/>
      </c>
      <c r="L100" s="172" t="str">
        <f>IF(J100="","",IF(VLOOKUP(J100,'G-7 Rivers Data'!$AK$4:$AM$9,3,FALSE)=0,"Spatial Data Missing",VLOOKUP(J100,'G-7 Rivers Data'!$AK$4:$AM$9,3,FALSE)))</f>
        <v/>
      </c>
      <c r="M100" s="79"/>
      <c r="N100" s="172" t="str">
        <f>IF(M100="","",IF(VLOOKUP(M100,'G-7 Rivers Data'!$AA$4:$AB$7,2,FALSE)=0,"Spatial Data Missing",VLOOKUP(M100,'G-7 Rivers Data'!$AA$4:$AB$7,2,FALSE)))</f>
        <v/>
      </c>
      <c r="O100" s="187"/>
      <c r="P100" s="172" t="str">
        <f>IF(O100="","",IF(VLOOKUP(O100,'G-7 Rivers Data'!$AD$4:$AE$8,2,FALSE)=0,"Spatial Data Missing",VLOOKUP(O100,'G-7 Rivers Data'!$AD$4:$AE$8,2,FALSE)))</f>
        <v/>
      </c>
      <c r="Q100" s="177" t="str">
        <f>IF(D100="","",VLOOKUP(D100,'G-7 Rivers Data'!$B$2:$G$8,6,FALSE))</f>
        <v/>
      </c>
      <c r="R100" s="207" t="str">
        <f t="shared" si="8"/>
        <v/>
      </c>
      <c r="S100" s="44"/>
      <c r="T100" s="173"/>
      <c r="U100" s="189"/>
      <c r="V100" s="208" t="str">
        <f t="shared" si="9"/>
        <v/>
      </c>
      <c r="W100" s="208" t="str">
        <f t="shared" si="10"/>
        <v/>
      </c>
      <c r="X100" s="208" t="str">
        <f t="shared" si="11"/>
        <v/>
      </c>
      <c r="Y100" s="209" t="str">
        <f t="shared" si="12"/>
        <v/>
      </c>
      <c r="Z100" s="182"/>
      <c r="AA100" s="183"/>
      <c r="AG100" s="35">
        <f t="shared" si="13"/>
        <v>0</v>
      </c>
      <c r="AH100" s="188" t="str">
        <f t="shared" si="14"/>
        <v/>
      </c>
      <c r="AI100" s="188" t="str">
        <f t="shared" si="15"/>
        <v/>
      </c>
      <c r="AK100" s="188">
        <v>91</v>
      </c>
      <c r="AM100" s="188" t="str">
        <f t="array" ref="AM100">IFERROR(INDEX($AK$10:$AK$258, MATCH(0, IF(TRUE=$AH$10:$AH$258, COUNTIF($AM$9:$AM99, $AK$10:$AK$258), ""), 0)),"")</f>
        <v/>
      </c>
      <c r="AN100" s="188" t="str">
        <f t="array" ref="AN100">IFERROR(INDEX($AK$10:$AK$258, MATCH(0, IF(TRUE=$AI$10:$AI$258, COUNTIF($AN$9:$AN99, $AK$10:$AK$258), ""), 0)),"")</f>
        <v/>
      </c>
      <c r="AP100" s="35" t="str">
        <f>IFERROR(INDEX('G-7 Rivers Data'!$AZ$3:$AZ$7,MATCH(D100,'G-7 Rivers Data'!$AY$3:$AY$7,0)),"")</f>
        <v/>
      </c>
    </row>
    <row r="101" spans="3:42" ht="13.8" x14ac:dyDescent="0.25">
      <c r="C101" s="168">
        <v>92</v>
      </c>
      <c r="D101" s="212"/>
      <c r="E101" s="213"/>
      <c r="F101" s="171" t="str">
        <f>IF(D101="","",VLOOKUP(D101,'G-7 Rivers Data'!$B$2:$G$8,2,FALSE))</f>
        <v/>
      </c>
      <c r="G101" s="172" t="str">
        <f>IFERROR(VLOOKUP(F101,'G-7 Rivers Data'!$C$4:$D$8,2,FALSE),"")</f>
        <v/>
      </c>
      <c r="H101" s="173"/>
      <c r="I101" s="172" t="str">
        <f>IFERROR(INDEX('G-7 Rivers Data'!$H$4:$L$8,MATCH(D101,'G-7 Rivers Data'!$B$4:$B$8,0),MATCH(H101,'G-7 Rivers Data'!$H$3:$L$3,0)),"")</f>
        <v/>
      </c>
      <c r="J101" s="173"/>
      <c r="K101" s="172" t="str">
        <f>IF(J101="","",IF(VLOOKUP(J101,'G-7 Rivers Data'!$AK$4:$AM$9,2,FALSE)=0,"Spatial Data Missing",VLOOKUP(J101,'G-7 Rivers Data'!$AK$4:$AM$9,2,FALSE)))</f>
        <v/>
      </c>
      <c r="L101" s="172" t="str">
        <f>IF(J101="","",IF(VLOOKUP(J101,'G-7 Rivers Data'!$AK$4:$AM$9,3,FALSE)=0,"Spatial Data Missing",VLOOKUP(J101,'G-7 Rivers Data'!$AK$4:$AM$9,3,FALSE)))</f>
        <v/>
      </c>
      <c r="M101" s="79"/>
      <c r="N101" s="172" t="str">
        <f>IF(M101="","",IF(VLOOKUP(M101,'G-7 Rivers Data'!$AA$4:$AB$7,2,FALSE)=0,"Spatial Data Missing",VLOOKUP(M101,'G-7 Rivers Data'!$AA$4:$AB$7,2,FALSE)))</f>
        <v/>
      </c>
      <c r="O101" s="187"/>
      <c r="P101" s="172" t="str">
        <f>IF(O101="","",IF(VLOOKUP(O101,'G-7 Rivers Data'!$AD$4:$AE$8,2,FALSE)=0,"Spatial Data Missing",VLOOKUP(O101,'G-7 Rivers Data'!$AD$4:$AE$8,2,FALSE)))</f>
        <v/>
      </c>
      <c r="Q101" s="177" t="str">
        <f>IF(D101="","",VLOOKUP(D101,'G-7 Rivers Data'!$B$2:$G$8,6,FALSE))</f>
        <v/>
      </c>
      <c r="R101" s="207" t="str">
        <f t="shared" si="8"/>
        <v/>
      </c>
      <c r="S101" s="44"/>
      <c r="T101" s="173"/>
      <c r="U101" s="189"/>
      <c r="V101" s="208" t="str">
        <f t="shared" si="9"/>
        <v/>
      </c>
      <c r="W101" s="208" t="str">
        <f t="shared" si="10"/>
        <v/>
      </c>
      <c r="X101" s="208" t="str">
        <f t="shared" si="11"/>
        <v/>
      </c>
      <c r="Y101" s="209" t="str">
        <f t="shared" si="12"/>
        <v/>
      </c>
      <c r="Z101" s="182"/>
      <c r="AA101" s="183"/>
      <c r="AG101" s="35">
        <f t="shared" si="13"/>
        <v>0</v>
      </c>
      <c r="AH101" s="188" t="str">
        <f t="shared" si="14"/>
        <v/>
      </c>
      <c r="AI101" s="188" t="str">
        <f t="shared" si="15"/>
        <v/>
      </c>
      <c r="AK101" s="188">
        <v>92</v>
      </c>
      <c r="AM101" s="188" t="str">
        <f t="array" ref="AM101">IFERROR(INDEX($AK$10:$AK$258, MATCH(0, IF(TRUE=$AH$10:$AH$258, COUNTIF($AM$9:$AM100, $AK$10:$AK$258), ""), 0)),"")</f>
        <v/>
      </c>
      <c r="AN101" s="188" t="str">
        <f t="array" ref="AN101">IFERROR(INDEX($AK$10:$AK$258, MATCH(0, IF(TRUE=$AI$10:$AI$258, COUNTIF($AN$9:$AN100, $AK$10:$AK$258), ""), 0)),"")</f>
        <v/>
      </c>
      <c r="AP101" s="35" t="str">
        <f>IFERROR(INDEX('G-7 Rivers Data'!$AZ$3:$AZ$7,MATCH(D101,'G-7 Rivers Data'!$AY$3:$AY$7,0)),"")</f>
        <v/>
      </c>
    </row>
    <row r="102" spans="3:42" ht="13.8" x14ac:dyDescent="0.25">
      <c r="C102" s="168">
        <v>93</v>
      </c>
      <c r="D102" s="212"/>
      <c r="E102" s="213"/>
      <c r="F102" s="171" t="str">
        <f>IF(D102="","",VLOOKUP(D102,'G-7 Rivers Data'!$B$2:$G$8,2,FALSE))</f>
        <v/>
      </c>
      <c r="G102" s="172" t="str">
        <f>IFERROR(VLOOKUP(F102,'G-7 Rivers Data'!$C$4:$D$8,2,FALSE),"")</f>
        <v/>
      </c>
      <c r="H102" s="173"/>
      <c r="I102" s="172" t="str">
        <f>IFERROR(INDEX('G-7 Rivers Data'!$H$4:$L$8,MATCH(D102,'G-7 Rivers Data'!$B$4:$B$8,0),MATCH(H102,'G-7 Rivers Data'!$H$3:$L$3,0)),"")</f>
        <v/>
      </c>
      <c r="J102" s="173"/>
      <c r="K102" s="172" t="str">
        <f>IF(J102="","",IF(VLOOKUP(J102,'G-7 Rivers Data'!$AK$4:$AM$9,2,FALSE)=0,"Spatial Data Missing",VLOOKUP(J102,'G-7 Rivers Data'!$AK$4:$AM$9,2,FALSE)))</f>
        <v/>
      </c>
      <c r="L102" s="172" t="str">
        <f>IF(J102="","",IF(VLOOKUP(J102,'G-7 Rivers Data'!$AK$4:$AM$9,3,FALSE)=0,"Spatial Data Missing",VLOOKUP(J102,'G-7 Rivers Data'!$AK$4:$AM$9,3,FALSE)))</f>
        <v/>
      </c>
      <c r="M102" s="79"/>
      <c r="N102" s="172" t="str">
        <f>IF(M102="","",IF(VLOOKUP(M102,'G-7 Rivers Data'!$AA$4:$AB$7,2,FALSE)=0,"Spatial Data Missing",VLOOKUP(M102,'G-7 Rivers Data'!$AA$4:$AB$7,2,FALSE)))</f>
        <v/>
      </c>
      <c r="O102" s="187"/>
      <c r="P102" s="172" t="str">
        <f>IF(O102="","",IF(VLOOKUP(O102,'G-7 Rivers Data'!$AD$4:$AE$8,2,FALSE)=0,"Spatial Data Missing",VLOOKUP(O102,'G-7 Rivers Data'!$AD$4:$AE$8,2,FALSE)))</f>
        <v/>
      </c>
      <c r="Q102" s="177" t="str">
        <f>IF(D102="","",VLOOKUP(D102,'G-7 Rivers Data'!$B$2:$G$8,6,FALSE))</f>
        <v/>
      </c>
      <c r="R102" s="207" t="str">
        <f t="shared" si="8"/>
        <v/>
      </c>
      <c r="S102" s="44"/>
      <c r="T102" s="173"/>
      <c r="U102" s="189"/>
      <c r="V102" s="208" t="str">
        <f t="shared" si="9"/>
        <v/>
      </c>
      <c r="W102" s="208" t="str">
        <f t="shared" si="10"/>
        <v/>
      </c>
      <c r="X102" s="208" t="str">
        <f t="shared" si="11"/>
        <v/>
      </c>
      <c r="Y102" s="209" t="str">
        <f t="shared" si="12"/>
        <v/>
      </c>
      <c r="Z102" s="182"/>
      <c r="AA102" s="183"/>
      <c r="AG102" s="35">
        <f t="shared" si="13"/>
        <v>0</v>
      </c>
      <c r="AH102" s="188" t="str">
        <f t="shared" si="14"/>
        <v/>
      </c>
      <c r="AI102" s="188" t="str">
        <f t="shared" si="15"/>
        <v/>
      </c>
      <c r="AK102" s="188">
        <v>93</v>
      </c>
      <c r="AM102" s="188" t="str">
        <f t="array" ref="AM102">IFERROR(INDEX($AK$10:$AK$258, MATCH(0, IF(TRUE=$AH$10:$AH$258, COUNTIF($AM$9:$AM101, $AK$10:$AK$258), ""), 0)),"")</f>
        <v/>
      </c>
      <c r="AN102" s="188" t="str">
        <f t="array" ref="AN102">IFERROR(INDEX($AK$10:$AK$258, MATCH(0, IF(TRUE=$AI$10:$AI$258, COUNTIF($AN$9:$AN101, $AK$10:$AK$258), ""), 0)),"")</f>
        <v/>
      </c>
      <c r="AP102" s="35" t="str">
        <f>IFERROR(INDEX('G-7 Rivers Data'!$AZ$3:$AZ$7,MATCH(D102,'G-7 Rivers Data'!$AY$3:$AY$7,0)),"")</f>
        <v/>
      </c>
    </row>
    <row r="103" spans="3:42" ht="13.8" x14ac:dyDescent="0.25">
      <c r="C103" s="168">
        <v>94</v>
      </c>
      <c r="D103" s="212"/>
      <c r="E103" s="213"/>
      <c r="F103" s="171" t="str">
        <f>IF(D103="","",VLOOKUP(D103,'G-7 Rivers Data'!$B$2:$G$8,2,FALSE))</f>
        <v/>
      </c>
      <c r="G103" s="172" t="str">
        <f>IFERROR(VLOOKUP(F103,'G-7 Rivers Data'!$C$4:$D$8,2,FALSE),"")</f>
        <v/>
      </c>
      <c r="H103" s="173"/>
      <c r="I103" s="172" t="str">
        <f>IFERROR(INDEX('G-7 Rivers Data'!$H$4:$L$8,MATCH(D103,'G-7 Rivers Data'!$B$4:$B$8,0),MATCH(H103,'G-7 Rivers Data'!$H$3:$L$3,0)),"")</f>
        <v/>
      </c>
      <c r="J103" s="173"/>
      <c r="K103" s="172" t="str">
        <f>IF(J103="","",IF(VLOOKUP(J103,'G-7 Rivers Data'!$AK$4:$AM$9,2,FALSE)=0,"Spatial Data Missing",VLOOKUP(J103,'G-7 Rivers Data'!$AK$4:$AM$9,2,FALSE)))</f>
        <v/>
      </c>
      <c r="L103" s="172" t="str">
        <f>IF(J103="","",IF(VLOOKUP(J103,'G-7 Rivers Data'!$AK$4:$AM$9,3,FALSE)=0,"Spatial Data Missing",VLOOKUP(J103,'G-7 Rivers Data'!$AK$4:$AM$9,3,FALSE)))</f>
        <v/>
      </c>
      <c r="M103" s="79"/>
      <c r="N103" s="172" t="str">
        <f>IF(M103="","",IF(VLOOKUP(M103,'G-7 Rivers Data'!$AA$4:$AB$7,2,FALSE)=0,"Spatial Data Missing",VLOOKUP(M103,'G-7 Rivers Data'!$AA$4:$AB$7,2,FALSE)))</f>
        <v/>
      </c>
      <c r="O103" s="187"/>
      <c r="P103" s="172" t="str">
        <f>IF(O103="","",IF(VLOOKUP(O103,'G-7 Rivers Data'!$AD$4:$AE$8,2,FALSE)=0,"Spatial Data Missing",VLOOKUP(O103,'G-7 Rivers Data'!$AD$4:$AE$8,2,FALSE)))</f>
        <v/>
      </c>
      <c r="Q103" s="177" t="str">
        <f>IF(D103="","",VLOOKUP(D103,'G-7 Rivers Data'!$B$2:$G$8,6,FALSE))</f>
        <v/>
      </c>
      <c r="R103" s="207" t="str">
        <f t="shared" si="8"/>
        <v/>
      </c>
      <c r="S103" s="44"/>
      <c r="T103" s="173"/>
      <c r="U103" s="189"/>
      <c r="V103" s="208" t="str">
        <f t="shared" si="9"/>
        <v/>
      </c>
      <c r="W103" s="208" t="str">
        <f t="shared" si="10"/>
        <v/>
      </c>
      <c r="X103" s="208" t="str">
        <f t="shared" si="11"/>
        <v/>
      </c>
      <c r="Y103" s="209" t="str">
        <f t="shared" si="12"/>
        <v/>
      </c>
      <c r="Z103" s="182"/>
      <c r="AA103" s="183"/>
      <c r="AG103" s="35">
        <f t="shared" si="13"/>
        <v>0</v>
      </c>
      <c r="AH103" s="188" t="str">
        <f t="shared" si="14"/>
        <v/>
      </c>
      <c r="AI103" s="188" t="str">
        <f t="shared" si="15"/>
        <v/>
      </c>
      <c r="AK103" s="188">
        <v>94</v>
      </c>
      <c r="AM103" s="188" t="str">
        <f t="array" ref="AM103">IFERROR(INDEX($AK$10:$AK$258, MATCH(0, IF(TRUE=$AH$10:$AH$258, COUNTIF($AM$9:$AM102, $AK$10:$AK$258), ""), 0)),"")</f>
        <v/>
      </c>
      <c r="AN103" s="188" t="str">
        <f t="array" ref="AN103">IFERROR(INDEX($AK$10:$AK$258, MATCH(0, IF(TRUE=$AI$10:$AI$258, COUNTIF($AN$9:$AN102, $AK$10:$AK$258), ""), 0)),"")</f>
        <v/>
      </c>
      <c r="AP103" s="35" t="str">
        <f>IFERROR(INDEX('G-7 Rivers Data'!$AZ$3:$AZ$7,MATCH(D103,'G-7 Rivers Data'!$AY$3:$AY$7,0)),"")</f>
        <v/>
      </c>
    </row>
    <row r="104" spans="3:42" ht="13.8" x14ac:dyDescent="0.25">
      <c r="C104" s="168">
        <v>95</v>
      </c>
      <c r="D104" s="212"/>
      <c r="E104" s="213"/>
      <c r="F104" s="171" t="str">
        <f>IF(D104="","",VLOOKUP(D104,'G-7 Rivers Data'!$B$2:$G$8,2,FALSE))</f>
        <v/>
      </c>
      <c r="G104" s="172" t="str">
        <f>IFERROR(VLOOKUP(F104,'G-7 Rivers Data'!$C$4:$D$8,2,FALSE),"")</f>
        <v/>
      </c>
      <c r="H104" s="173"/>
      <c r="I104" s="172" t="str">
        <f>IFERROR(INDEX('G-7 Rivers Data'!$H$4:$L$8,MATCH(D104,'G-7 Rivers Data'!$B$4:$B$8,0),MATCH(H104,'G-7 Rivers Data'!$H$3:$L$3,0)),"")</f>
        <v/>
      </c>
      <c r="J104" s="173"/>
      <c r="K104" s="172" t="str">
        <f>IF(J104="","",IF(VLOOKUP(J104,'G-7 Rivers Data'!$AK$4:$AM$9,2,FALSE)=0,"Spatial Data Missing",VLOOKUP(J104,'G-7 Rivers Data'!$AK$4:$AM$9,2,FALSE)))</f>
        <v/>
      </c>
      <c r="L104" s="172" t="str">
        <f>IF(J104="","",IF(VLOOKUP(J104,'G-7 Rivers Data'!$AK$4:$AM$9,3,FALSE)=0,"Spatial Data Missing",VLOOKUP(J104,'G-7 Rivers Data'!$AK$4:$AM$9,3,FALSE)))</f>
        <v/>
      </c>
      <c r="M104" s="79"/>
      <c r="N104" s="172" t="str">
        <f>IF(M104="","",IF(VLOOKUP(M104,'G-7 Rivers Data'!$AA$4:$AB$7,2,FALSE)=0,"Spatial Data Missing",VLOOKUP(M104,'G-7 Rivers Data'!$AA$4:$AB$7,2,FALSE)))</f>
        <v/>
      </c>
      <c r="O104" s="187"/>
      <c r="P104" s="172" t="str">
        <f>IF(O104="","",IF(VLOOKUP(O104,'G-7 Rivers Data'!$AD$4:$AE$8,2,FALSE)=0,"Spatial Data Missing",VLOOKUP(O104,'G-7 Rivers Data'!$AD$4:$AE$8,2,FALSE)))</f>
        <v/>
      </c>
      <c r="Q104" s="177" t="str">
        <f>IF(D104="","",VLOOKUP(D104,'G-7 Rivers Data'!$B$2:$G$8,6,FALSE))</f>
        <v/>
      </c>
      <c r="R104" s="207" t="str">
        <f t="shared" si="8"/>
        <v/>
      </c>
      <c r="S104" s="44"/>
      <c r="T104" s="173"/>
      <c r="U104" s="189"/>
      <c r="V104" s="208" t="str">
        <f t="shared" si="9"/>
        <v/>
      </c>
      <c r="W104" s="208" t="str">
        <f t="shared" si="10"/>
        <v/>
      </c>
      <c r="X104" s="208" t="str">
        <f t="shared" si="11"/>
        <v/>
      </c>
      <c r="Y104" s="209" t="str">
        <f t="shared" si="12"/>
        <v/>
      </c>
      <c r="Z104" s="182"/>
      <c r="AA104" s="183"/>
      <c r="AG104" s="35">
        <f t="shared" si="13"/>
        <v>0</v>
      </c>
      <c r="AH104" s="188" t="str">
        <f t="shared" si="14"/>
        <v/>
      </c>
      <c r="AI104" s="188" t="str">
        <f t="shared" si="15"/>
        <v/>
      </c>
      <c r="AK104" s="188">
        <v>95</v>
      </c>
      <c r="AM104" s="188" t="str">
        <f t="array" ref="AM104">IFERROR(INDEX($AK$10:$AK$258, MATCH(0, IF(TRUE=$AH$10:$AH$258, COUNTIF($AM$9:$AM103, $AK$10:$AK$258), ""), 0)),"")</f>
        <v/>
      </c>
      <c r="AN104" s="188" t="str">
        <f t="array" ref="AN104">IFERROR(INDEX($AK$10:$AK$258, MATCH(0, IF(TRUE=$AI$10:$AI$258, COUNTIF($AN$9:$AN103, $AK$10:$AK$258), ""), 0)),"")</f>
        <v/>
      </c>
      <c r="AP104" s="35" t="str">
        <f>IFERROR(INDEX('G-7 Rivers Data'!$AZ$3:$AZ$7,MATCH(D104,'G-7 Rivers Data'!$AY$3:$AY$7,0)),"")</f>
        <v/>
      </c>
    </row>
    <row r="105" spans="3:42" ht="13.8" x14ac:dyDescent="0.25">
      <c r="C105" s="168">
        <v>96</v>
      </c>
      <c r="D105" s="212"/>
      <c r="E105" s="213"/>
      <c r="F105" s="171" t="str">
        <f>IF(D105="","",VLOOKUP(D105,'G-7 Rivers Data'!$B$2:$G$8,2,FALSE))</f>
        <v/>
      </c>
      <c r="G105" s="172" t="str">
        <f>IFERROR(VLOOKUP(F105,'G-7 Rivers Data'!$C$4:$D$8,2,FALSE),"")</f>
        <v/>
      </c>
      <c r="H105" s="173"/>
      <c r="I105" s="172" t="str">
        <f>IFERROR(INDEX('G-7 Rivers Data'!$H$4:$L$8,MATCH(D105,'G-7 Rivers Data'!$B$4:$B$8,0),MATCH(H105,'G-7 Rivers Data'!$H$3:$L$3,0)),"")</f>
        <v/>
      </c>
      <c r="J105" s="173"/>
      <c r="K105" s="172" t="str">
        <f>IF(J105="","",IF(VLOOKUP(J105,'G-7 Rivers Data'!$AK$4:$AM$9,2,FALSE)=0,"Spatial Data Missing",VLOOKUP(J105,'G-7 Rivers Data'!$AK$4:$AM$9,2,FALSE)))</f>
        <v/>
      </c>
      <c r="L105" s="172" t="str">
        <f>IF(J105="","",IF(VLOOKUP(J105,'G-7 Rivers Data'!$AK$4:$AM$9,3,FALSE)=0,"Spatial Data Missing",VLOOKUP(J105,'G-7 Rivers Data'!$AK$4:$AM$9,3,FALSE)))</f>
        <v/>
      </c>
      <c r="M105" s="79"/>
      <c r="N105" s="172" t="str">
        <f>IF(M105="","",IF(VLOOKUP(M105,'G-7 Rivers Data'!$AA$4:$AB$7,2,FALSE)=0,"Spatial Data Missing",VLOOKUP(M105,'G-7 Rivers Data'!$AA$4:$AB$7,2,FALSE)))</f>
        <v/>
      </c>
      <c r="O105" s="187"/>
      <c r="P105" s="172" t="str">
        <f>IF(O105="","",IF(VLOOKUP(O105,'G-7 Rivers Data'!$AD$4:$AE$8,2,FALSE)=0,"Spatial Data Missing",VLOOKUP(O105,'G-7 Rivers Data'!$AD$4:$AE$8,2,FALSE)))</f>
        <v/>
      </c>
      <c r="Q105" s="177" t="str">
        <f>IF(D105="","",VLOOKUP(D105,'G-7 Rivers Data'!$B$2:$G$8,6,FALSE))</f>
        <v/>
      </c>
      <c r="R105" s="207" t="str">
        <f t="shared" si="8"/>
        <v/>
      </c>
      <c r="S105" s="44"/>
      <c r="T105" s="173"/>
      <c r="U105" s="189"/>
      <c r="V105" s="208" t="str">
        <f t="shared" si="9"/>
        <v/>
      </c>
      <c r="W105" s="208" t="str">
        <f t="shared" si="10"/>
        <v/>
      </c>
      <c r="X105" s="208" t="str">
        <f t="shared" si="11"/>
        <v/>
      </c>
      <c r="Y105" s="209" t="str">
        <f t="shared" si="12"/>
        <v/>
      </c>
      <c r="Z105" s="182"/>
      <c r="AA105" s="183"/>
      <c r="AG105" s="35">
        <f t="shared" si="13"/>
        <v>0</v>
      </c>
      <c r="AH105" s="188" t="str">
        <f t="shared" si="14"/>
        <v/>
      </c>
      <c r="AI105" s="188" t="str">
        <f t="shared" si="15"/>
        <v/>
      </c>
      <c r="AK105" s="188">
        <v>96</v>
      </c>
      <c r="AM105" s="188" t="str">
        <f t="array" ref="AM105">IFERROR(INDEX($AK$10:$AK$258, MATCH(0, IF(TRUE=$AH$10:$AH$258, COUNTIF($AM$9:$AM104, $AK$10:$AK$258), ""), 0)),"")</f>
        <v/>
      </c>
      <c r="AN105" s="188" t="str">
        <f t="array" ref="AN105">IFERROR(INDEX($AK$10:$AK$258, MATCH(0, IF(TRUE=$AI$10:$AI$258, COUNTIF($AN$9:$AN104, $AK$10:$AK$258), ""), 0)),"")</f>
        <v/>
      </c>
      <c r="AP105" s="35" t="str">
        <f>IFERROR(INDEX('G-7 Rivers Data'!$AZ$3:$AZ$7,MATCH(D105,'G-7 Rivers Data'!$AY$3:$AY$7,0)),"")</f>
        <v/>
      </c>
    </row>
    <row r="106" spans="3:42" ht="13.8" x14ac:dyDescent="0.25">
      <c r="C106" s="168">
        <v>97</v>
      </c>
      <c r="D106" s="212"/>
      <c r="E106" s="213"/>
      <c r="F106" s="171" t="str">
        <f>IF(D106="","",VLOOKUP(D106,'G-7 Rivers Data'!$B$2:$G$8,2,FALSE))</f>
        <v/>
      </c>
      <c r="G106" s="172" t="str">
        <f>IFERROR(VLOOKUP(F106,'G-7 Rivers Data'!$C$4:$D$8,2,FALSE),"")</f>
        <v/>
      </c>
      <c r="H106" s="173"/>
      <c r="I106" s="172" t="str">
        <f>IFERROR(INDEX('G-7 Rivers Data'!$H$4:$L$8,MATCH(D106,'G-7 Rivers Data'!$B$4:$B$8,0),MATCH(H106,'G-7 Rivers Data'!$H$3:$L$3,0)),"")</f>
        <v/>
      </c>
      <c r="J106" s="173"/>
      <c r="K106" s="172" t="str">
        <f>IF(J106="","",IF(VLOOKUP(J106,'G-7 Rivers Data'!$AK$4:$AM$9,2,FALSE)=0,"Spatial Data Missing",VLOOKUP(J106,'G-7 Rivers Data'!$AK$4:$AM$9,2,FALSE)))</f>
        <v/>
      </c>
      <c r="L106" s="172" t="str">
        <f>IF(J106="","",IF(VLOOKUP(J106,'G-7 Rivers Data'!$AK$4:$AM$9,3,FALSE)=0,"Spatial Data Missing",VLOOKUP(J106,'G-7 Rivers Data'!$AK$4:$AM$9,3,FALSE)))</f>
        <v/>
      </c>
      <c r="M106" s="79"/>
      <c r="N106" s="172" t="str">
        <f>IF(M106="","",IF(VLOOKUP(M106,'G-7 Rivers Data'!$AA$4:$AB$7,2,FALSE)=0,"Spatial Data Missing",VLOOKUP(M106,'G-7 Rivers Data'!$AA$4:$AB$7,2,FALSE)))</f>
        <v/>
      </c>
      <c r="O106" s="187"/>
      <c r="P106" s="172" t="str">
        <f>IF(O106="","",IF(VLOOKUP(O106,'G-7 Rivers Data'!$AD$4:$AE$8,2,FALSE)=0,"Spatial Data Missing",VLOOKUP(O106,'G-7 Rivers Data'!$AD$4:$AE$8,2,FALSE)))</f>
        <v/>
      </c>
      <c r="Q106" s="177" t="str">
        <f>IF(D106="","",VLOOKUP(D106,'G-7 Rivers Data'!$B$2:$G$8,6,FALSE))</f>
        <v/>
      </c>
      <c r="R106" s="207" t="str">
        <f t="shared" si="8"/>
        <v/>
      </c>
      <c r="S106" s="44"/>
      <c r="T106" s="173"/>
      <c r="U106" s="189"/>
      <c r="V106" s="208" t="str">
        <f t="shared" si="9"/>
        <v/>
      </c>
      <c r="W106" s="208" t="str">
        <f t="shared" si="10"/>
        <v/>
      </c>
      <c r="X106" s="208" t="str">
        <f t="shared" si="11"/>
        <v/>
      </c>
      <c r="Y106" s="209" t="str">
        <f t="shared" si="12"/>
        <v/>
      </c>
      <c r="Z106" s="182"/>
      <c r="AA106" s="183"/>
      <c r="AG106" s="35">
        <f t="shared" si="13"/>
        <v>0</v>
      </c>
      <c r="AH106" s="188" t="str">
        <f t="shared" si="14"/>
        <v/>
      </c>
      <c r="AI106" s="188" t="str">
        <f t="shared" si="15"/>
        <v/>
      </c>
      <c r="AK106" s="188">
        <v>97</v>
      </c>
      <c r="AM106" s="188" t="str">
        <f t="array" ref="AM106">IFERROR(INDEX($AK$10:$AK$258, MATCH(0, IF(TRUE=$AH$10:$AH$258, COUNTIF($AM$9:$AM105, $AK$10:$AK$258), ""), 0)),"")</f>
        <v/>
      </c>
      <c r="AN106" s="188" t="str">
        <f t="array" ref="AN106">IFERROR(INDEX($AK$10:$AK$258, MATCH(0, IF(TRUE=$AI$10:$AI$258, COUNTIF($AN$9:$AN105, $AK$10:$AK$258), ""), 0)),"")</f>
        <v/>
      </c>
      <c r="AP106" s="35" t="str">
        <f>IFERROR(INDEX('G-7 Rivers Data'!$AZ$3:$AZ$7,MATCH(D106,'G-7 Rivers Data'!$AY$3:$AY$7,0)),"")</f>
        <v/>
      </c>
    </row>
    <row r="107" spans="3:42" ht="13.8" x14ac:dyDescent="0.25">
      <c r="C107" s="168">
        <v>98</v>
      </c>
      <c r="D107" s="212"/>
      <c r="E107" s="213"/>
      <c r="F107" s="171" t="str">
        <f>IF(D107="","",VLOOKUP(D107,'G-7 Rivers Data'!$B$2:$G$8,2,FALSE))</f>
        <v/>
      </c>
      <c r="G107" s="172" t="str">
        <f>IFERROR(VLOOKUP(F107,'G-7 Rivers Data'!$C$4:$D$8,2,FALSE),"")</f>
        <v/>
      </c>
      <c r="H107" s="173"/>
      <c r="I107" s="172" t="str">
        <f>IFERROR(INDEX('G-7 Rivers Data'!$H$4:$L$8,MATCH(D107,'G-7 Rivers Data'!$B$4:$B$8,0),MATCH(H107,'G-7 Rivers Data'!$H$3:$L$3,0)),"")</f>
        <v/>
      </c>
      <c r="J107" s="173"/>
      <c r="K107" s="172" t="str">
        <f>IF(J107="","",IF(VLOOKUP(J107,'G-7 Rivers Data'!$AK$4:$AM$9,2,FALSE)=0,"Spatial Data Missing",VLOOKUP(J107,'G-7 Rivers Data'!$AK$4:$AM$9,2,FALSE)))</f>
        <v/>
      </c>
      <c r="L107" s="172" t="str">
        <f>IF(J107="","",IF(VLOOKUP(J107,'G-7 Rivers Data'!$AK$4:$AM$9,3,FALSE)=0,"Spatial Data Missing",VLOOKUP(J107,'G-7 Rivers Data'!$AK$4:$AM$9,3,FALSE)))</f>
        <v/>
      </c>
      <c r="M107" s="79"/>
      <c r="N107" s="172" t="str">
        <f>IF(M107="","",IF(VLOOKUP(M107,'G-7 Rivers Data'!$AA$4:$AB$7,2,FALSE)=0,"Spatial Data Missing",VLOOKUP(M107,'G-7 Rivers Data'!$AA$4:$AB$7,2,FALSE)))</f>
        <v/>
      </c>
      <c r="O107" s="187"/>
      <c r="P107" s="172" t="str">
        <f>IF(O107="","",IF(VLOOKUP(O107,'G-7 Rivers Data'!$AD$4:$AE$8,2,FALSE)=0,"Spatial Data Missing",VLOOKUP(O107,'G-7 Rivers Data'!$AD$4:$AE$8,2,FALSE)))</f>
        <v/>
      </c>
      <c r="Q107" s="177" t="str">
        <f>IF(D107="","",VLOOKUP(D107,'G-7 Rivers Data'!$B$2:$G$8,6,FALSE))</f>
        <v/>
      </c>
      <c r="R107" s="207" t="str">
        <f t="shared" si="8"/>
        <v/>
      </c>
      <c r="S107" s="44"/>
      <c r="T107" s="173"/>
      <c r="U107" s="189"/>
      <c r="V107" s="208" t="str">
        <f t="shared" si="9"/>
        <v/>
      </c>
      <c r="W107" s="208" t="str">
        <f t="shared" si="10"/>
        <v/>
      </c>
      <c r="X107" s="208" t="str">
        <f t="shared" si="11"/>
        <v/>
      </c>
      <c r="Y107" s="209" t="str">
        <f t="shared" si="12"/>
        <v/>
      </c>
      <c r="Z107" s="182"/>
      <c r="AA107" s="183"/>
      <c r="AG107" s="35">
        <f t="shared" si="13"/>
        <v>0</v>
      </c>
      <c r="AH107" s="188" t="str">
        <f t="shared" si="14"/>
        <v/>
      </c>
      <c r="AI107" s="188" t="str">
        <f t="shared" si="15"/>
        <v/>
      </c>
      <c r="AK107" s="188">
        <v>98</v>
      </c>
      <c r="AM107" s="188" t="str">
        <f t="array" ref="AM107">IFERROR(INDEX($AK$10:$AK$258, MATCH(0, IF(TRUE=$AH$10:$AH$258, COUNTIF($AM$9:$AM106, $AK$10:$AK$258), ""), 0)),"")</f>
        <v/>
      </c>
      <c r="AN107" s="188" t="str">
        <f t="array" ref="AN107">IFERROR(INDEX($AK$10:$AK$258, MATCH(0, IF(TRUE=$AI$10:$AI$258, COUNTIF($AN$9:$AN106, $AK$10:$AK$258), ""), 0)),"")</f>
        <v/>
      </c>
      <c r="AP107" s="35" t="str">
        <f>IFERROR(INDEX('G-7 Rivers Data'!$AZ$3:$AZ$7,MATCH(D107,'G-7 Rivers Data'!$AY$3:$AY$7,0)),"")</f>
        <v/>
      </c>
    </row>
    <row r="108" spans="3:42" ht="13.8" x14ac:dyDescent="0.25">
      <c r="C108" s="168">
        <v>99</v>
      </c>
      <c r="D108" s="212"/>
      <c r="E108" s="213"/>
      <c r="F108" s="171" t="str">
        <f>IF(D108="","",VLOOKUP(D108,'G-7 Rivers Data'!$B$2:$G$8,2,FALSE))</f>
        <v/>
      </c>
      <c r="G108" s="172" t="str">
        <f>IFERROR(VLOOKUP(F108,'G-7 Rivers Data'!$C$4:$D$8,2,FALSE),"")</f>
        <v/>
      </c>
      <c r="H108" s="173"/>
      <c r="I108" s="172" t="str">
        <f>IFERROR(INDEX('G-7 Rivers Data'!$H$4:$L$8,MATCH(D108,'G-7 Rivers Data'!$B$4:$B$8,0),MATCH(H108,'G-7 Rivers Data'!$H$3:$L$3,0)),"")</f>
        <v/>
      </c>
      <c r="J108" s="173"/>
      <c r="K108" s="172" t="str">
        <f>IF(J108="","",IF(VLOOKUP(J108,'G-7 Rivers Data'!$AK$4:$AM$9,2,FALSE)=0,"Spatial Data Missing",VLOOKUP(J108,'G-7 Rivers Data'!$AK$4:$AM$9,2,FALSE)))</f>
        <v/>
      </c>
      <c r="L108" s="172" t="str">
        <f>IF(J108="","",IF(VLOOKUP(J108,'G-7 Rivers Data'!$AK$4:$AM$9,3,FALSE)=0,"Spatial Data Missing",VLOOKUP(J108,'G-7 Rivers Data'!$AK$4:$AM$9,3,FALSE)))</f>
        <v/>
      </c>
      <c r="M108" s="79"/>
      <c r="N108" s="172" t="str">
        <f>IF(M108="","",IF(VLOOKUP(M108,'G-7 Rivers Data'!$AA$4:$AB$7,2,FALSE)=0,"Spatial Data Missing",VLOOKUP(M108,'G-7 Rivers Data'!$AA$4:$AB$7,2,FALSE)))</f>
        <v/>
      </c>
      <c r="O108" s="187"/>
      <c r="P108" s="172" t="str">
        <f>IF(O108="","",IF(VLOOKUP(O108,'G-7 Rivers Data'!$AD$4:$AE$8,2,FALSE)=0,"Spatial Data Missing",VLOOKUP(O108,'G-7 Rivers Data'!$AD$4:$AE$8,2,FALSE)))</f>
        <v/>
      </c>
      <c r="Q108" s="177" t="str">
        <f>IF(D108="","",VLOOKUP(D108,'G-7 Rivers Data'!$B$2:$G$8,6,FALSE))</f>
        <v/>
      </c>
      <c r="R108" s="207" t="str">
        <f t="shared" si="8"/>
        <v/>
      </c>
      <c r="S108" s="44"/>
      <c r="T108" s="173"/>
      <c r="U108" s="189"/>
      <c r="V108" s="208" t="str">
        <f t="shared" si="9"/>
        <v/>
      </c>
      <c r="W108" s="208" t="str">
        <f t="shared" si="10"/>
        <v/>
      </c>
      <c r="X108" s="208" t="str">
        <f t="shared" si="11"/>
        <v/>
      </c>
      <c r="Y108" s="209" t="str">
        <f t="shared" si="12"/>
        <v/>
      </c>
      <c r="Z108" s="182"/>
      <c r="AA108" s="183"/>
      <c r="AG108" s="35">
        <f t="shared" si="13"/>
        <v>0</v>
      </c>
      <c r="AH108" s="188" t="str">
        <f t="shared" si="14"/>
        <v/>
      </c>
      <c r="AI108" s="188" t="str">
        <f t="shared" si="15"/>
        <v/>
      </c>
      <c r="AK108" s="188">
        <v>99</v>
      </c>
      <c r="AM108" s="188" t="str">
        <f t="array" ref="AM108">IFERROR(INDEX($AK$10:$AK$258, MATCH(0, IF(TRUE=$AH$10:$AH$258, COUNTIF($AM$9:$AM107, $AK$10:$AK$258), ""), 0)),"")</f>
        <v/>
      </c>
      <c r="AN108" s="188" t="str">
        <f t="array" ref="AN108">IFERROR(INDEX($AK$10:$AK$258, MATCH(0, IF(TRUE=$AI$10:$AI$258, COUNTIF($AN$9:$AN107, $AK$10:$AK$258), ""), 0)),"")</f>
        <v/>
      </c>
      <c r="AP108" s="35" t="str">
        <f>IFERROR(INDEX('G-7 Rivers Data'!$AZ$3:$AZ$7,MATCH(D108,'G-7 Rivers Data'!$AY$3:$AY$7,0)),"")</f>
        <v/>
      </c>
    </row>
    <row r="109" spans="3:42" ht="13.8" x14ac:dyDescent="0.25">
      <c r="C109" s="168">
        <v>100</v>
      </c>
      <c r="D109" s="212"/>
      <c r="E109" s="213"/>
      <c r="F109" s="171" t="str">
        <f>IF(D109="","",VLOOKUP(D109,'G-7 Rivers Data'!$B$2:$G$8,2,FALSE))</f>
        <v/>
      </c>
      <c r="G109" s="172" t="str">
        <f>IFERROR(VLOOKUP(F109,'G-7 Rivers Data'!$C$4:$D$8,2,FALSE),"")</f>
        <v/>
      </c>
      <c r="H109" s="173"/>
      <c r="I109" s="172" t="str">
        <f>IFERROR(INDEX('G-7 Rivers Data'!$H$4:$L$8,MATCH(D109,'G-7 Rivers Data'!$B$4:$B$8,0),MATCH(H109,'G-7 Rivers Data'!$H$3:$L$3,0)),"")</f>
        <v/>
      </c>
      <c r="J109" s="173"/>
      <c r="K109" s="172" t="str">
        <f>IF(J109="","",IF(VLOOKUP(J109,'G-7 Rivers Data'!$AK$4:$AM$9,2,FALSE)=0,"Spatial Data Missing",VLOOKUP(J109,'G-7 Rivers Data'!$AK$4:$AM$9,2,FALSE)))</f>
        <v/>
      </c>
      <c r="L109" s="172" t="str">
        <f>IF(J109="","",IF(VLOOKUP(J109,'G-7 Rivers Data'!$AK$4:$AM$9,3,FALSE)=0,"Spatial Data Missing",VLOOKUP(J109,'G-7 Rivers Data'!$AK$4:$AM$9,3,FALSE)))</f>
        <v/>
      </c>
      <c r="M109" s="79"/>
      <c r="N109" s="172" t="str">
        <f>IF(M109="","",IF(VLOOKUP(M109,'G-7 Rivers Data'!$AA$4:$AB$7,2,FALSE)=0,"Spatial Data Missing",VLOOKUP(M109,'G-7 Rivers Data'!$AA$4:$AB$7,2,FALSE)))</f>
        <v/>
      </c>
      <c r="O109" s="187"/>
      <c r="P109" s="172" t="str">
        <f>IF(O109="","",IF(VLOOKUP(O109,'G-7 Rivers Data'!$AD$4:$AE$8,2,FALSE)=0,"Spatial Data Missing",VLOOKUP(O109,'G-7 Rivers Data'!$AD$4:$AE$8,2,FALSE)))</f>
        <v/>
      </c>
      <c r="Q109" s="177" t="str">
        <f>IF(D109="","",VLOOKUP(D109,'G-7 Rivers Data'!$B$2:$G$8,6,FALSE))</f>
        <v/>
      </c>
      <c r="R109" s="207" t="str">
        <f t="shared" si="8"/>
        <v/>
      </c>
      <c r="S109" s="44"/>
      <c r="T109" s="173"/>
      <c r="U109" s="189"/>
      <c r="V109" s="208" t="str">
        <f t="shared" si="9"/>
        <v/>
      </c>
      <c r="W109" s="208" t="str">
        <f t="shared" si="10"/>
        <v/>
      </c>
      <c r="X109" s="208" t="str">
        <f t="shared" si="11"/>
        <v/>
      </c>
      <c r="Y109" s="209" t="str">
        <f t="shared" si="12"/>
        <v/>
      </c>
      <c r="Z109" s="182"/>
      <c r="AA109" s="183"/>
      <c r="AG109" s="35">
        <f t="shared" si="13"/>
        <v>0</v>
      </c>
      <c r="AH109" s="188" t="str">
        <f t="shared" si="14"/>
        <v/>
      </c>
      <c r="AI109" s="188" t="str">
        <f t="shared" si="15"/>
        <v/>
      </c>
      <c r="AK109" s="188">
        <v>100</v>
      </c>
      <c r="AM109" s="188" t="str">
        <f t="array" ref="AM109">IFERROR(INDEX($AK$10:$AK$258, MATCH(0, IF(TRUE=$AH$10:$AH$258, COUNTIF($AM$9:$AM108, $AK$10:$AK$258), ""), 0)),"")</f>
        <v/>
      </c>
      <c r="AN109" s="188" t="str">
        <f t="array" ref="AN109">IFERROR(INDEX($AK$10:$AK$258, MATCH(0, IF(TRUE=$AI$10:$AI$258, COUNTIF($AN$9:$AN108, $AK$10:$AK$258), ""), 0)),"")</f>
        <v/>
      </c>
      <c r="AP109" s="35" t="str">
        <f>IFERROR(INDEX('G-7 Rivers Data'!$AZ$3:$AZ$7,MATCH(D109,'G-7 Rivers Data'!$AY$3:$AY$7,0)),"")</f>
        <v/>
      </c>
    </row>
    <row r="110" spans="3:42" ht="13.8" x14ac:dyDescent="0.25">
      <c r="C110" s="168">
        <v>101</v>
      </c>
      <c r="D110" s="212"/>
      <c r="E110" s="213"/>
      <c r="F110" s="171" t="str">
        <f>IF(D110="","",VLOOKUP(D110,'G-7 Rivers Data'!$B$2:$G$8,2,FALSE))</f>
        <v/>
      </c>
      <c r="G110" s="172" t="str">
        <f>IFERROR(VLOOKUP(F110,'G-7 Rivers Data'!$C$4:$D$8,2,FALSE),"")</f>
        <v/>
      </c>
      <c r="H110" s="173"/>
      <c r="I110" s="172" t="str">
        <f>IFERROR(INDEX('G-7 Rivers Data'!$H$4:$L$8,MATCH(D110,'G-7 Rivers Data'!$B$4:$B$8,0),MATCH(H110,'G-7 Rivers Data'!$H$3:$L$3,0)),"")</f>
        <v/>
      </c>
      <c r="J110" s="173"/>
      <c r="K110" s="172" t="str">
        <f>IF(J110="","",IF(VLOOKUP(J110,'G-7 Rivers Data'!$AK$4:$AM$9,2,FALSE)=0,"Spatial Data Missing",VLOOKUP(J110,'G-7 Rivers Data'!$AK$4:$AM$9,2,FALSE)))</f>
        <v/>
      </c>
      <c r="L110" s="172" t="str">
        <f>IF(J110="","",IF(VLOOKUP(J110,'G-7 Rivers Data'!$AK$4:$AM$9,3,FALSE)=0,"Spatial Data Missing",VLOOKUP(J110,'G-7 Rivers Data'!$AK$4:$AM$9,3,FALSE)))</f>
        <v/>
      </c>
      <c r="M110" s="79"/>
      <c r="N110" s="172" t="str">
        <f>IF(M110="","",IF(VLOOKUP(M110,'G-7 Rivers Data'!$AA$4:$AB$7,2,FALSE)=0,"Spatial Data Missing",VLOOKUP(M110,'G-7 Rivers Data'!$AA$4:$AB$7,2,FALSE)))</f>
        <v/>
      </c>
      <c r="O110" s="187"/>
      <c r="P110" s="172" t="str">
        <f>IF(O110="","",IF(VLOOKUP(O110,'G-7 Rivers Data'!$AD$4:$AE$8,2,FALSE)=0,"Spatial Data Missing",VLOOKUP(O110,'G-7 Rivers Data'!$AD$4:$AE$8,2,FALSE)))</f>
        <v/>
      </c>
      <c r="Q110" s="177" t="str">
        <f>IF(D110="","",VLOOKUP(D110,'G-7 Rivers Data'!$B$2:$G$8,6,FALSE))</f>
        <v/>
      </c>
      <c r="R110" s="207" t="str">
        <f t="shared" si="8"/>
        <v/>
      </c>
      <c r="S110" s="44"/>
      <c r="T110" s="173"/>
      <c r="U110" s="189"/>
      <c r="V110" s="208" t="str">
        <f t="shared" si="9"/>
        <v/>
      </c>
      <c r="W110" s="208" t="str">
        <f t="shared" si="10"/>
        <v/>
      </c>
      <c r="X110" s="208" t="str">
        <f t="shared" si="11"/>
        <v/>
      </c>
      <c r="Y110" s="209" t="str">
        <f t="shared" si="12"/>
        <v/>
      </c>
      <c r="Z110" s="182"/>
      <c r="AA110" s="183"/>
      <c r="AG110" s="35">
        <f t="shared" si="13"/>
        <v>0</v>
      </c>
      <c r="AH110" s="188" t="str">
        <f t="shared" si="14"/>
        <v/>
      </c>
      <c r="AI110" s="188" t="str">
        <f t="shared" si="15"/>
        <v/>
      </c>
      <c r="AK110" s="188">
        <v>101</v>
      </c>
      <c r="AM110" s="188" t="str">
        <f t="array" ref="AM110">IFERROR(INDEX($AK$10:$AK$258, MATCH(0, IF(TRUE=$AH$10:$AH$258, COUNTIF($AM$9:$AM109, $AK$10:$AK$258), ""), 0)),"")</f>
        <v/>
      </c>
      <c r="AN110" s="188" t="str">
        <f t="array" ref="AN110">IFERROR(INDEX($AK$10:$AK$258, MATCH(0, IF(TRUE=$AI$10:$AI$258, COUNTIF($AN$9:$AN109, $AK$10:$AK$258), ""), 0)),"")</f>
        <v/>
      </c>
      <c r="AP110" s="35" t="str">
        <f>IFERROR(INDEX('G-7 Rivers Data'!$AZ$3:$AZ$7,MATCH(D110,'G-7 Rivers Data'!$AY$3:$AY$7,0)),"")</f>
        <v/>
      </c>
    </row>
    <row r="111" spans="3:42" ht="13.8" x14ac:dyDescent="0.25">
      <c r="C111" s="168">
        <v>102</v>
      </c>
      <c r="D111" s="212"/>
      <c r="E111" s="213"/>
      <c r="F111" s="171" t="str">
        <f>IF(D111="","",VLOOKUP(D111,'G-7 Rivers Data'!$B$2:$G$8,2,FALSE))</f>
        <v/>
      </c>
      <c r="G111" s="172" t="str">
        <f>IFERROR(VLOOKUP(F111,'G-7 Rivers Data'!$C$4:$D$8,2,FALSE),"")</f>
        <v/>
      </c>
      <c r="H111" s="173"/>
      <c r="I111" s="172" t="str">
        <f>IFERROR(INDEX('G-7 Rivers Data'!$H$4:$L$8,MATCH(D111,'G-7 Rivers Data'!$B$4:$B$8,0),MATCH(H111,'G-7 Rivers Data'!$H$3:$L$3,0)),"")</f>
        <v/>
      </c>
      <c r="J111" s="173"/>
      <c r="K111" s="172" t="str">
        <f>IF(J111="","",IF(VLOOKUP(J111,'G-7 Rivers Data'!$AK$4:$AM$9,2,FALSE)=0,"Spatial Data Missing",VLOOKUP(J111,'G-7 Rivers Data'!$AK$4:$AM$9,2,FALSE)))</f>
        <v/>
      </c>
      <c r="L111" s="172" t="str">
        <f>IF(J111="","",IF(VLOOKUP(J111,'G-7 Rivers Data'!$AK$4:$AM$9,3,FALSE)=0,"Spatial Data Missing",VLOOKUP(J111,'G-7 Rivers Data'!$AK$4:$AM$9,3,FALSE)))</f>
        <v/>
      </c>
      <c r="M111" s="79"/>
      <c r="N111" s="172" t="str">
        <f>IF(M111="","",IF(VLOOKUP(M111,'G-7 Rivers Data'!$AA$4:$AB$7,2,FALSE)=0,"Spatial Data Missing",VLOOKUP(M111,'G-7 Rivers Data'!$AA$4:$AB$7,2,FALSE)))</f>
        <v/>
      </c>
      <c r="O111" s="187"/>
      <c r="P111" s="172" t="str">
        <f>IF(O111="","",IF(VLOOKUP(O111,'G-7 Rivers Data'!$AD$4:$AE$8,2,FALSE)=0,"Spatial Data Missing",VLOOKUP(O111,'G-7 Rivers Data'!$AD$4:$AE$8,2,FALSE)))</f>
        <v/>
      </c>
      <c r="Q111" s="177" t="str">
        <f>IF(D111="","",VLOOKUP(D111,'G-7 Rivers Data'!$B$2:$G$8,6,FALSE))</f>
        <v/>
      </c>
      <c r="R111" s="207" t="str">
        <f t="shared" si="8"/>
        <v/>
      </c>
      <c r="S111" s="44"/>
      <c r="T111" s="173"/>
      <c r="U111" s="189"/>
      <c r="V111" s="208" t="str">
        <f t="shared" si="9"/>
        <v/>
      </c>
      <c r="W111" s="208" t="str">
        <f t="shared" si="10"/>
        <v/>
      </c>
      <c r="X111" s="208" t="str">
        <f t="shared" si="11"/>
        <v/>
      </c>
      <c r="Y111" s="209" t="str">
        <f t="shared" si="12"/>
        <v/>
      </c>
      <c r="Z111" s="182"/>
      <c r="AA111" s="183"/>
      <c r="AG111" s="35">
        <f t="shared" si="13"/>
        <v>0</v>
      </c>
      <c r="AH111" s="188" t="str">
        <f t="shared" si="14"/>
        <v/>
      </c>
      <c r="AI111" s="188" t="str">
        <f t="shared" si="15"/>
        <v/>
      </c>
      <c r="AK111" s="188">
        <v>102</v>
      </c>
      <c r="AM111" s="188" t="str">
        <f t="array" ref="AM111">IFERROR(INDEX($AK$10:$AK$258, MATCH(0, IF(TRUE=$AH$10:$AH$258, COUNTIF($AM$9:$AM110, $AK$10:$AK$258), ""), 0)),"")</f>
        <v/>
      </c>
      <c r="AN111" s="188" t="str">
        <f t="array" ref="AN111">IFERROR(INDEX($AK$10:$AK$258, MATCH(0, IF(TRUE=$AI$10:$AI$258, COUNTIF($AN$9:$AN110, $AK$10:$AK$258), ""), 0)),"")</f>
        <v/>
      </c>
      <c r="AP111" s="35" t="str">
        <f>IFERROR(INDEX('G-7 Rivers Data'!$AZ$3:$AZ$7,MATCH(D111,'G-7 Rivers Data'!$AY$3:$AY$7,0)),"")</f>
        <v/>
      </c>
    </row>
    <row r="112" spans="3:42" ht="13.8" x14ac:dyDescent="0.25">
      <c r="C112" s="168">
        <v>103</v>
      </c>
      <c r="D112" s="212"/>
      <c r="E112" s="213"/>
      <c r="F112" s="171" t="str">
        <f>IF(D112="","",VLOOKUP(D112,'G-7 Rivers Data'!$B$2:$G$8,2,FALSE))</f>
        <v/>
      </c>
      <c r="G112" s="172" t="str">
        <f>IFERROR(VLOOKUP(F112,'G-7 Rivers Data'!$C$4:$D$8,2,FALSE),"")</f>
        <v/>
      </c>
      <c r="H112" s="173"/>
      <c r="I112" s="172" t="str">
        <f>IFERROR(INDEX('G-7 Rivers Data'!$H$4:$L$8,MATCH(D112,'G-7 Rivers Data'!$B$4:$B$8,0),MATCH(H112,'G-7 Rivers Data'!$H$3:$L$3,0)),"")</f>
        <v/>
      </c>
      <c r="J112" s="173"/>
      <c r="K112" s="172" t="str">
        <f>IF(J112="","",IF(VLOOKUP(J112,'G-7 Rivers Data'!$AK$4:$AM$9,2,FALSE)=0,"Spatial Data Missing",VLOOKUP(J112,'G-7 Rivers Data'!$AK$4:$AM$9,2,FALSE)))</f>
        <v/>
      </c>
      <c r="L112" s="172" t="str">
        <f>IF(J112="","",IF(VLOOKUP(J112,'G-7 Rivers Data'!$AK$4:$AM$9,3,FALSE)=0,"Spatial Data Missing",VLOOKUP(J112,'G-7 Rivers Data'!$AK$4:$AM$9,3,FALSE)))</f>
        <v/>
      </c>
      <c r="M112" s="79"/>
      <c r="N112" s="172" t="str">
        <f>IF(M112="","",IF(VLOOKUP(M112,'G-7 Rivers Data'!$AA$4:$AB$7,2,FALSE)=0,"Spatial Data Missing",VLOOKUP(M112,'G-7 Rivers Data'!$AA$4:$AB$7,2,FALSE)))</f>
        <v/>
      </c>
      <c r="O112" s="187"/>
      <c r="P112" s="172" t="str">
        <f>IF(O112="","",IF(VLOOKUP(O112,'G-7 Rivers Data'!$AD$4:$AE$8,2,FALSE)=0,"Spatial Data Missing",VLOOKUP(O112,'G-7 Rivers Data'!$AD$4:$AE$8,2,FALSE)))</f>
        <v/>
      </c>
      <c r="Q112" s="177" t="str">
        <f>IF(D112="","",VLOOKUP(D112,'G-7 Rivers Data'!$B$2:$G$8,6,FALSE))</f>
        <v/>
      </c>
      <c r="R112" s="207" t="str">
        <f t="shared" si="8"/>
        <v/>
      </c>
      <c r="S112" s="44"/>
      <c r="T112" s="173"/>
      <c r="U112" s="189"/>
      <c r="V112" s="208" t="str">
        <f t="shared" si="9"/>
        <v/>
      </c>
      <c r="W112" s="208" t="str">
        <f t="shared" si="10"/>
        <v/>
      </c>
      <c r="X112" s="208" t="str">
        <f t="shared" si="11"/>
        <v/>
      </c>
      <c r="Y112" s="209" t="str">
        <f t="shared" si="12"/>
        <v/>
      </c>
      <c r="Z112" s="182"/>
      <c r="AA112" s="183"/>
      <c r="AG112" s="35">
        <f t="shared" si="13"/>
        <v>0</v>
      </c>
      <c r="AH112" s="188" t="str">
        <f t="shared" si="14"/>
        <v/>
      </c>
      <c r="AI112" s="188" t="str">
        <f t="shared" si="15"/>
        <v/>
      </c>
      <c r="AK112" s="188">
        <v>103</v>
      </c>
      <c r="AM112" s="188" t="str">
        <f t="array" ref="AM112">IFERROR(INDEX($AK$10:$AK$258, MATCH(0, IF(TRUE=$AH$10:$AH$258, COUNTIF($AM$9:$AM111, $AK$10:$AK$258), ""), 0)),"")</f>
        <v/>
      </c>
      <c r="AN112" s="188" t="str">
        <f t="array" ref="AN112">IFERROR(INDEX($AK$10:$AK$258, MATCH(0, IF(TRUE=$AI$10:$AI$258, COUNTIF($AN$9:$AN111, $AK$10:$AK$258), ""), 0)),"")</f>
        <v/>
      </c>
      <c r="AP112" s="35" t="str">
        <f>IFERROR(INDEX('G-7 Rivers Data'!$AZ$3:$AZ$7,MATCH(D112,'G-7 Rivers Data'!$AY$3:$AY$7,0)),"")</f>
        <v/>
      </c>
    </row>
    <row r="113" spans="3:42" ht="13.8" x14ac:dyDescent="0.25">
      <c r="C113" s="168">
        <v>104</v>
      </c>
      <c r="D113" s="212"/>
      <c r="E113" s="213"/>
      <c r="F113" s="171" t="str">
        <f>IF(D113="","",VLOOKUP(D113,'G-7 Rivers Data'!$B$2:$G$8,2,FALSE))</f>
        <v/>
      </c>
      <c r="G113" s="172" t="str">
        <f>IFERROR(VLOOKUP(F113,'G-7 Rivers Data'!$C$4:$D$8,2,FALSE),"")</f>
        <v/>
      </c>
      <c r="H113" s="173"/>
      <c r="I113" s="172" t="str">
        <f>IFERROR(INDEX('G-7 Rivers Data'!$H$4:$L$8,MATCH(D113,'G-7 Rivers Data'!$B$4:$B$8,0),MATCH(H113,'G-7 Rivers Data'!$H$3:$L$3,0)),"")</f>
        <v/>
      </c>
      <c r="J113" s="173"/>
      <c r="K113" s="172" t="str">
        <f>IF(J113="","",IF(VLOOKUP(J113,'G-7 Rivers Data'!$AK$4:$AM$9,2,FALSE)=0,"Spatial Data Missing",VLOOKUP(J113,'G-7 Rivers Data'!$AK$4:$AM$9,2,FALSE)))</f>
        <v/>
      </c>
      <c r="L113" s="172" t="str">
        <f>IF(J113="","",IF(VLOOKUP(J113,'G-7 Rivers Data'!$AK$4:$AM$9,3,FALSE)=0,"Spatial Data Missing",VLOOKUP(J113,'G-7 Rivers Data'!$AK$4:$AM$9,3,FALSE)))</f>
        <v/>
      </c>
      <c r="M113" s="79"/>
      <c r="N113" s="172" t="str">
        <f>IF(M113="","",IF(VLOOKUP(M113,'G-7 Rivers Data'!$AA$4:$AB$7,2,FALSE)=0,"Spatial Data Missing",VLOOKUP(M113,'G-7 Rivers Data'!$AA$4:$AB$7,2,FALSE)))</f>
        <v/>
      </c>
      <c r="O113" s="187"/>
      <c r="P113" s="172" t="str">
        <f>IF(O113="","",IF(VLOOKUP(O113,'G-7 Rivers Data'!$AD$4:$AE$8,2,FALSE)=0,"Spatial Data Missing",VLOOKUP(O113,'G-7 Rivers Data'!$AD$4:$AE$8,2,FALSE)))</f>
        <v/>
      </c>
      <c r="Q113" s="177" t="str">
        <f>IF(D113="","",VLOOKUP(D113,'G-7 Rivers Data'!$B$2:$G$8,6,FALSE))</f>
        <v/>
      </c>
      <c r="R113" s="207" t="str">
        <f t="shared" si="8"/>
        <v/>
      </c>
      <c r="S113" s="44"/>
      <c r="T113" s="173"/>
      <c r="U113" s="189"/>
      <c r="V113" s="208" t="str">
        <f t="shared" si="9"/>
        <v/>
      </c>
      <c r="W113" s="208" t="str">
        <f t="shared" si="10"/>
        <v/>
      </c>
      <c r="X113" s="208" t="str">
        <f t="shared" si="11"/>
        <v/>
      </c>
      <c r="Y113" s="209" t="str">
        <f t="shared" si="12"/>
        <v/>
      </c>
      <c r="Z113" s="182"/>
      <c r="AA113" s="183"/>
      <c r="AG113" s="35">
        <f t="shared" si="13"/>
        <v>0</v>
      </c>
      <c r="AH113" s="188" t="str">
        <f t="shared" si="14"/>
        <v/>
      </c>
      <c r="AI113" s="188" t="str">
        <f t="shared" si="15"/>
        <v/>
      </c>
      <c r="AK113" s="188">
        <v>104</v>
      </c>
      <c r="AM113" s="188" t="str">
        <f t="array" ref="AM113">IFERROR(INDEX($AK$10:$AK$258, MATCH(0, IF(TRUE=$AH$10:$AH$258, COUNTIF($AM$9:$AM112, $AK$10:$AK$258), ""), 0)),"")</f>
        <v/>
      </c>
      <c r="AN113" s="188" t="str">
        <f t="array" ref="AN113">IFERROR(INDEX($AK$10:$AK$258, MATCH(0, IF(TRUE=$AI$10:$AI$258, COUNTIF($AN$9:$AN112, $AK$10:$AK$258), ""), 0)),"")</f>
        <v/>
      </c>
      <c r="AP113" s="35" t="str">
        <f>IFERROR(INDEX('G-7 Rivers Data'!$AZ$3:$AZ$7,MATCH(D113,'G-7 Rivers Data'!$AY$3:$AY$7,0)),"")</f>
        <v/>
      </c>
    </row>
    <row r="114" spans="3:42" ht="13.8" x14ac:dyDescent="0.25">
      <c r="C114" s="168">
        <v>105</v>
      </c>
      <c r="D114" s="212"/>
      <c r="E114" s="213"/>
      <c r="F114" s="171" t="str">
        <f>IF(D114="","",VLOOKUP(D114,'G-7 Rivers Data'!$B$2:$G$8,2,FALSE))</f>
        <v/>
      </c>
      <c r="G114" s="172" t="str">
        <f>IFERROR(VLOOKUP(F114,'G-7 Rivers Data'!$C$4:$D$8,2,FALSE),"")</f>
        <v/>
      </c>
      <c r="H114" s="173"/>
      <c r="I114" s="172" t="str">
        <f>IFERROR(INDEX('G-7 Rivers Data'!$H$4:$L$8,MATCH(D114,'G-7 Rivers Data'!$B$4:$B$8,0),MATCH(H114,'G-7 Rivers Data'!$H$3:$L$3,0)),"")</f>
        <v/>
      </c>
      <c r="J114" s="173"/>
      <c r="K114" s="172" t="str">
        <f>IF(J114="","",IF(VLOOKUP(J114,'G-7 Rivers Data'!$AK$4:$AM$9,2,FALSE)=0,"Spatial Data Missing",VLOOKUP(J114,'G-7 Rivers Data'!$AK$4:$AM$9,2,FALSE)))</f>
        <v/>
      </c>
      <c r="L114" s="172" t="str">
        <f>IF(J114="","",IF(VLOOKUP(J114,'G-7 Rivers Data'!$AK$4:$AM$9,3,FALSE)=0,"Spatial Data Missing",VLOOKUP(J114,'G-7 Rivers Data'!$AK$4:$AM$9,3,FALSE)))</f>
        <v/>
      </c>
      <c r="M114" s="79"/>
      <c r="N114" s="172" t="str">
        <f>IF(M114="","",IF(VLOOKUP(M114,'G-7 Rivers Data'!$AA$4:$AB$7,2,FALSE)=0,"Spatial Data Missing",VLOOKUP(M114,'G-7 Rivers Data'!$AA$4:$AB$7,2,FALSE)))</f>
        <v/>
      </c>
      <c r="O114" s="187"/>
      <c r="P114" s="172" t="str">
        <f>IF(O114="","",IF(VLOOKUP(O114,'G-7 Rivers Data'!$AD$4:$AE$8,2,FALSE)=0,"Spatial Data Missing",VLOOKUP(O114,'G-7 Rivers Data'!$AD$4:$AE$8,2,FALSE)))</f>
        <v/>
      </c>
      <c r="Q114" s="177" t="str">
        <f>IF(D114="","",VLOOKUP(D114,'G-7 Rivers Data'!$B$2:$G$8,6,FALSE))</f>
        <v/>
      </c>
      <c r="R114" s="207" t="str">
        <f t="shared" si="8"/>
        <v/>
      </c>
      <c r="S114" s="44"/>
      <c r="T114" s="173"/>
      <c r="U114" s="189"/>
      <c r="V114" s="208" t="str">
        <f t="shared" si="9"/>
        <v/>
      </c>
      <c r="W114" s="208" t="str">
        <f t="shared" si="10"/>
        <v/>
      </c>
      <c r="X114" s="208" t="str">
        <f t="shared" si="11"/>
        <v/>
      </c>
      <c r="Y114" s="209" t="str">
        <f t="shared" si="12"/>
        <v/>
      </c>
      <c r="Z114" s="182"/>
      <c r="AA114" s="183"/>
      <c r="AG114" s="35">
        <f t="shared" si="13"/>
        <v>0</v>
      </c>
      <c r="AH114" s="188" t="str">
        <f t="shared" si="14"/>
        <v/>
      </c>
      <c r="AI114" s="188" t="str">
        <f t="shared" si="15"/>
        <v/>
      </c>
      <c r="AK114" s="188">
        <v>105</v>
      </c>
      <c r="AM114" s="188" t="str">
        <f t="array" ref="AM114">IFERROR(INDEX($AK$10:$AK$258, MATCH(0, IF(TRUE=$AH$10:$AH$258, COUNTIF($AM$9:$AM113, $AK$10:$AK$258), ""), 0)),"")</f>
        <v/>
      </c>
      <c r="AN114" s="188" t="str">
        <f t="array" ref="AN114">IFERROR(INDEX($AK$10:$AK$258, MATCH(0, IF(TRUE=$AI$10:$AI$258, COUNTIF($AN$9:$AN113, $AK$10:$AK$258), ""), 0)),"")</f>
        <v/>
      </c>
      <c r="AP114" s="35" t="str">
        <f>IFERROR(INDEX('G-7 Rivers Data'!$AZ$3:$AZ$7,MATCH(D114,'G-7 Rivers Data'!$AY$3:$AY$7,0)),"")</f>
        <v/>
      </c>
    </row>
    <row r="115" spans="3:42" ht="13.8" x14ac:dyDescent="0.25">
      <c r="C115" s="168">
        <v>106</v>
      </c>
      <c r="D115" s="212"/>
      <c r="E115" s="213"/>
      <c r="F115" s="171" t="str">
        <f>IF(D115="","",VLOOKUP(D115,'G-7 Rivers Data'!$B$2:$G$8,2,FALSE))</f>
        <v/>
      </c>
      <c r="G115" s="172" t="str">
        <f>IFERROR(VLOOKUP(F115,'G-7 Rivers Data'!$C$4:$D$8,2,FALSE),"")</f>
        <v/>
      </c>
      <c r="H115" s="173"/>
      <c r="I115" s="172" t="str">
        <f>IFERROR(INDEX('G-7 Rivers Data'!$H$4:$L$8,MATCH(D115,'G-7 Rivers Data'!$B$4:$B$8,0),MATCH(H115,'G-7 Rivers Data'!$H$3:$L$3,0)),"")</f>
        <v/>
      </c>
      <c r="J115" s="173"/>
      <c r="K115" s="172" t="str">
        <f>IF(J115="","",IF(VLOOKUP(J115,'G-7 Rivers Data'!$AK$4:$AM$9,2,FALSE)=0,"Spatial Data Missing",VLOOKUP(J115,'G-7 Rivers Data'!$AK$4:$AM$9,2,FALSE)))</f>
        <v/>
      </c>
      <c r="L115" s="172" t="str">
        <f>IF(J115="","",IF(VLOOKUP(J115,'G-7 Rivers Data'!$AK$4:$AM$9,3,FALSE)=0,"Spatial Data Missing",VLOOKUP(J115,'G-7 Rivers Data'!$AK$4:$AM$9,3,FALSE)))</f>
        <v/>
      </c>
      <c r="M115" s="79"/>
      <c r="N115" s="172" t="str">
        <f>IF(M115="","",IF(VLOOKUP(M115,'G-7 Rivers Data'!$AA$4:$AB$7,2,FALSE)=0,"Spatial Data Missing",VLOOKUP(M115,'G-7 Rivers Data'!$AA$4:$AB$7,2,FALSE)))</f>
        <v/>
      </c>
      <c r="O115" s="187"/>
      <c r="P115" s="172" t="str">
        <f>IF(O115="","",IF(VLOOKUP(O115,'G-7 Rivers Data'!$AD$4:$AE$8,2,FALSE)=0,"Spatial Data Missing",VLOOKUP(O115,'G-7 Rivers Data'!$AD$4:$AE$8,2,FALSE)))</f>
        <v/>
      </c>
      <c r="Q115" s="177" t="str">
        <f>IF(D115="","",VLOOKUP(D115,'G-7 Rivers Data'!$B$2:$G$8,6,FALSE))</f>
        <v/>
      </c>
      <c r="R115" s="207" t="str">
        <f t="shared" si="8"/>
        <v/>
      </c>
      <c r="S115" s="44"/>
      <c r="T115" s="173"/>
      <c r="U115" s="189"/>
      <c r="V115" s="208" t="str">
        <f t="shared" si="9"/>
        <v/>
      </c>
      <c r="W115" s="208" t="str">
        <f t="shared" si="10"/>
        <v/>
      </c>
      <c r="X115" s="208" t="str">
        <f t="shared" si="11"/>
        <v/>
      </c>
      <c r="Y115" s="209" t="str">
        <f t="shared" si="12"/>
        <v/>
      </c>
      <c r="Z115" s="182"/>
      <c r="AA115" s="183"/>
      <c r="AG115" s="35">
        <f t="shared" si="13"/>
        <v>0</v>
      </c>
      <c r="AH115" s="188" t="str">
        <f t="shared" si="14"/>
        <v/>
      </c>
      <c r="AI115" s="188" t="str">
        <f t="shared" si="15"/>
        <v/>
      </c>
      <c r="AK115" s="188">
        <v>106</v>
      </c>
      <c r="AM115" s="188" t="str">
        <f t="array" ref="AM115">IFERROR(INDEX($AK$10:$AK$258, MATCH(0, IF(TRUE=$AH$10:$AH$258, COUNTIF($AM$9:$AM114, $AK$10:$AK$258), ""), 0)),"")</f>
        <v/>
      </c>
      <c r="AN115" s="188" t="str">
        <f t="array" ref="AN115">IFERROR(INDEX($AK$10:$AK$258, MATCH(0, IF(TRUE=$AI$10:$AI$258, COUNTIF($AN$9:$AN114, $AK$10:$AK$258), ""), 0)),"")</f>
        <v/>
      </c>
      <c r="AP115" s="35" t="str">
        <f>IFERROR(INDEX('G-7 Rivers Data'!$AZ$3:$AZ$7,MATCH(D115,'G-7 Rivers Data'!$AY$3:$AY$7,0)),"")</f>
        <v/>
      </c>
    </row>
    <row r="116" spans="3:42" ht="13.8" x14ac:dyDescent="0.25">
      <c r="C116" s="168">
        <v>107</v>
      </c>
      <c r="D116" s="212"/>
      <c r="E116" s="213"/>
      <c r="F116" s="171" t="str">
        <f>IF(D116="","",VLOOKUP(D116,'G-7 Rivers Data'!$B$2:$G$8,2,FALSE))</f>
        <v/>
      </c>
      <c r="G116" s="172" t="str">
        <f>IFERROR(VLOOKUP(F116,'G-7 Rivers Data'!$C$4:$D$8,2,FALSE),"")</f>
        <v/>
      </c>
      <c r="H116" s="173"/>
      <c r="I116" s="172" t="str">
        <f>IFERROR(INDEX('G-7 Rivers Data'!$H$4:$L$8,MATCH(D116,'G-7 Rivers Data'!$B$4:$B$8,0),MATCH(H116,'G-7 Rivers Data'!$H$3:$L$3,0)),"")</f>
        <v/>
      </c>
      <c r="J116" s="173"/>
      <c r="K116" s="172" t="str">
        <f>IF(J116="","",IF(VLOOKUP(J116,'G-7 Rivers Data'!$AK$4:$AM$9,2,FALSE)=0,"Spatial Data Missing",VLOOKUP(J116,'G-7 Rivers Data'!$AK$4:$AM$9,2,FALSE)))</f>
        <v/>
      </c>
      <c r="L116" s="172" t="str">
        <f>IF(J116="","",IF(VLOOKUP(J116,'G-7 Rivers Data'!$AK$4:$AM$9,3,FALSE)=0,"Spatial Data Missing",VLOOKUP(J116,'G-7 Rivers Data'!$AK$4:$AM$9,3,FALSE)))</f>
        <v/>
      </c>
      <c r="M116" s="79"/>
      <c r="N116" s="172" t="str">
        <f>IF(M116="","",IF(VLOOKUP(M116,'G-7 Rivers Data'!$AA$4:$AB$7,2,FALSE)=0,"Spatial Data Missing",VLOOKUP(M116,'G-7 Rivers Data'!$AA$4:$AB$7,2,FALSE)))</f>
        <v/>
      </c>
      <c r="O116" s="187"/>
      <c r="P116" s="172" t="str">
        <f>IF(O116="","",IF(VLOOKUP(O116,'G-7 Rivers Data'!$AD$4:$AE$8,2,FALSE)=0,"Spatial Data Missing",VLOOKUP(O116,'G-7 Rivers Data'!$AD$4:$AE$8,2,FALSE)))</f>
        <v/>
      </c>
      <c r="Q116" s="177" t="str">
        <f>IF(D116="","",VLOOKUP(D116,'G-7 Rivers Data'!$B$2:$G$8,6,FALSE))</f>
        <v/>
      </c>
      <c r="R116" s="207" t="str">
        <f t="shared" si="8"/>
        <v/>
      </c>
      <c r="S116" s="44"/>
      <c r="T116" s="173"/>
      <c r="U116" s="189"/>
      <c r="V116" s="208" t="str">
        <f t="shared" si="9"/>
        <v/>
      </c>
      <c r="W116" s="208" t="str">
        <f t="shared" si="10"/>
        <v/>
      </c>
      <c r="X116" s="208" t="str">
        <f t="shared" si="11"/>
        <v/>
      </c>
      <c r="Y116" s="209" t="str">
        <f t="shared" si="12"/>
        <v/>
      </c>
      <c r="Z116" s="182"/>
      <c r="AA116" s="183"/>
      <c r="AG116" s="35">
        <f t="shared" si="13"/>
        <v>0</v>
      </c>
      <c r="AH116" s="188" t="str">
        <f t="shared" si="14"/>
        <v/>
      </c>
      <c r="AI116" s="188" t="str">
        <f t="shared" si="15"/>
        <v/>
      </c>
      <c r="AK116" s="188">
        <v>107</v>
      </c>
      <c r="AM116" s="188" t="str">
        <f t="array" ref="AM116">IFERROR(INDEX($AK$10:$AK$258, MATCH(0, IF(TRUE=$AH$10:$AH$258, COUNTIF($AM$9:$AM115, $AK$10:$AK$258), ""), 0)),"")</f>
        <v/>
      </c>
      <c r="AN116" s="188" t="str">
        <f t="array" ref="AN116">IFERROR(INDEX($AK$10:$AK$258, MATCH(0, IF(TRUE=$AI$10:$AI$258, COUNTIF($AN$9:$AN115, $AK$10:$AK$258), ""), 0)),"")</f>
        <v/>
      </c>
      <c r="AP116" s="35" t="str">
        <f>IFERROR(INDEX('G-7 Rivers Data'!$AZ$3:$AZ$7,MATCH(D116,'G-7 Rivers Data'!$AY$3:$AY$7,0)),"")</f>
        <v/>
      </c>
    </row>
    <row r="117" spans="3:42" ht="13.8" x14ac:dyDescent="0.25">
      <c r="C117" s="168">
        <v>108</v>
      </c>
      <c r="D117" s="212"/>
      <c r="E117" s="213"/>
      <c r="F117" s="171" t="str">
        <f>IF(D117="","",VLOOKUP(D117,'G-7 Rivers Data'!$B$2:$G$8,2,FALSE))</f>
        <v/>
      </c>
      <c r="G117" s="172" t="str">
        <f>IFERROR(VLOOKUP(F117,'G-7 Rivers Data'!$C$4:$D$8,2,FALSE),"")</f>
        <v/>
      </c>
      <c r="H117" s="173"/>
      <c r="I117" s="172" t="str">
        <f>IFERROR(INDEX('G-7 Rivers Data'!$H$4:$L$8,MATCH(D117,'G-7 Rivers Data'!$B$4:$B$8,0),MATCH(H117,'G-7 Rivers Data'!$H$3:$L$3,0)),"")</f>
        <v/>
      </c>
      <c r="J117" s="173"/>
      <c r="K117" s="172" t="str">
        <f>IF(J117="","",IF(VLOOKUP(J117,'G-7 Rivers Data'!$AK$4:$AM$9,2,FALSE)=0,"Spatial Data Missing",VLOOKUP(J117,'G-7 Rivers Data'!$AK$4:$AM$9,2,FALSE)))</f>
        <v/>
      </c>
      <c r="L117" s="172" t="str">
        <f>IF(J117="","",IF(VLOOKUP(J117,'G-7 Rivers Data'!$AK$4:$AM$9,3,FALSE)=0,"Spatial Data Missing",VLOOKUP(J117,'G-7 Rivers Data'!$AK$4:$AM$9,3,FALSE)))</f>
        <v/>
      </c>
      <c r="M117" s="79"/>
      <c r="N117" s="172" t="str">
        <f>IF(M117="","",IF(VLOOKUP(M117,'G-7 Rivers Data'!$AA$4:$AB$7,2,FALSE)=0,"Spatial Data Missing",VLOOKUP(M117,'G-7 Rivers Data'!$AA$4:$AB$7,2,FALSE)))</f>
        <v/>
      </c>
      <c r="O117" s="187"/>
      <c r="P117" s="172" t="str">
        <f>IF(O117="","",IF(VLOOKUP(O117,'G-7 Rivers Data'!$AD$4:$AE$8,2,FALSE)=0,"Spatial Data Missing",VLOOKUP(O117,'G-7 Rivers Data'!$AD$4:$AE$8,2,FALSE)))</f>
        <v/>
      </c>
      <c r="Q117" s="177" t="str">
        <f>IF(D117="","",VLOOKUP(D117,'G-7 Rivers Data'!$B$2:$G$8,6,FALSE))</f>
        <v/>
      </c>
      <c r="R117" s="207" t="str">
        <f t="shared" si="8"/>
        <v/>
      </c>
      <c r="S117" s="44"/>
      <c r="T117" s="173"/>
      <c r="U117" s="189"/>
      <c r="V117" s="208" t="str">
        <f t="shared" si="9"/>
        <v/>
      </c>
      <c r="W117" s="208" t="str">
        <f t="shared" si="10"/>
        <v/>
      </c>
      <c r="X117" s="208" t="str">
        <f t="shared" si="11"/>
        <v/>
      </c>
      <c r="Y117" s="209" t="str">
        <f t="shared" si="12"/>
        <v/>
      </c>
      <c r="Z117" s="182"/>
      <c r="AA117" s="183"/>
      <c r="AG117" s="35">
        <f t="shared" si="13"/>
        <v>0</v>
      </c>
      <c r="AH117" s="188" t="str">
        <f t="shared" si="14"/>
        <v/>
      </c>
      <c r="AI117" s="188" t="str">
        <f t="shared" si="15"/>
        <v/>
      </c>
      <c r="AK117" s="188">
        <v>108</v>
      </c>
      <c r="AM117" s="188" t="str">
        <f t="array" ref="AM117">IFERROR(INDEX($AK$10:$AK$258, MATCH(0, IF(TRUE=$AH$10:$AH$258, COUNTIF($AM$9:$AM116, $AK$10:$AK$258), ""), 0)),"")</f>
        <v/>
      </c>
      <c r="AN117" s="188" t="str">
        <f t="array" ref="AN117">IFERROR(INDEX($AK$10:$AK$258, MATCH(0, IF(TRUE=$AI$10:$AI$258, COUNTIF($AN$9:$AN116, $AK$10:$AK$258), ""), 0)),"")</f>
        <v/>
      </c>
      <c r="AP117" s="35" t="str">
        <f>IFERROR(INDEX('G-7 Rivers Data'!$AZ$3:$AZ$7,MATCH(D117,'G-7 Rivers Data'!$AY$3:$AY$7,0)),"")</f>
        <v/>
      </c>
    </row>
    <row r="118" spans="3:42" ht="13.8" x14ac:dyDescent="0.25">
      <c r="C118" s="168">
        <v>109</v>
      </c>
      <c r="D118" s="212"/>
      <c r="E118" s="213"/>
      <c r="F118" s="171" t="str">
        <f>IF(D118="","",VLOOKUP(D118,'G-7 Rivers Data'!$B$2:$G$8,2,FALSE))</f>
        <v/>
      </c>
      <c r="G118" s="172" t="str">
        <f>IFERROR(VLOOKUP(F118,'G-7 Rivers Data'!$C$4:$D$8,2,FALSE),"")</f>
        <v/>
      </c>
      <c r="H118" s="173"/>
      <c r="I118" s="172" t="str">
        <f>IFERROR(INDEX('G-7 Rivers Data'!$H$4:$L$8,MATCH(D118,'G-7 Rivers Data'!$B$4:$B$8,0),MATCH(H118,'G-7 Rivers Data'!$H$3:$L$3,0)),"")</f>
        <v/>
      </c>
      <c r="J118" s="173"/>
      <c r="K118" s="172" t="str">
        <f>IF(J118="","",IF(VLOOKUP(J118,'G-7 Rivers Data'!$AK$4:$AM$9,2,FALSE)=0,"Spatial Data Missing",VLOOKUP(J118,'G-7 Rivers Data'!$AK$4:$AM$9,2,FALSE)))</f>
        <v/>
      </c>
      <c r="L118" s="172" t="str">
        <f>IF(J118="","",IF(VLOOKUP(J118,'G-7 Rivers Data'!$AK$4:$AM$9,3,FALSE)=0,"Spatial Data Missing",VLOOKUP(J118,'G-7 Rivers Data'!$AK$4:$AM$9,3,FALSE)))</f>
        <v/>
      </c>
      <c r="M118" s="79"/>
      <c r="N118" s="172" t="str">
        <f>IF(M118="","",IF(VLOOKUP(M118,'G-7 Rivers Data'!$AA$4:$AB$7,2,FALSE)=0,"Spatial Data Missing",VLOOKUP(M118,'G-7 Rivers Data'!$AA$4:$AB$7,2,FALSE)))</f>
        <v/>
      </c>
      <c r="O118" s="187"/>
      <c r="P118" s="172" t="str">
        <f>IF(O118="","",IF(VLOOKUP(O118,'G-7 Rivers Data'!$AD$4:$AE$8,2,FALSE)=0,"Spatial Data Missing",VLOOKUP(O118,'G-7 Rivers Data'!$AD$4:$AE$8,2,FALSE)))</f>
        <v/>
      </c>
      <c r="Q118" s="177" t="str">
        <f>IF(D118="","",VLOOKUP(D118,'G-7 Rivers Data'!$B$2:$G$8,6,FALSE))</f>
        <v/>
      </c>
      <c r="R118" s="207" t="str">
        <f t="shared" si="8"/>
        <v/>
      </c>
      <c r="S118" s="44"/>
      <c r="T118" s="173"/>
      <c r="U118" s="189"/>
      <c r="V118" s="208" t="str">
        <f t="shared" si="9"/>
        <v/>
      </c>
      <c r="W118" s="208" t="str">
        <f t="shared" si="10"/>
        <v/>
      </c>
      <c r="X118" s="208" t="str">
        <f t="shared" si="11"/>
        <v/>
      </c>
      <c r="Y118" s="209" t="str">
        <f t="shared" si="12"/>
        <v/>
      </c>
      <c r="Z118" s="182"/>
      <c r="AA118" s="183"/>
      <c r="AG118" s="35">
        <f t="shared" si="13"/>
        <v>0</v>
      </c>
      <c r="AH118" s="188" t="str">
        <f t="shared" si="14"/>
        <v/>
      </c>
      <c r="AI118" s="188" t="str">
        <f t="shared" si="15"/>
        <v/>
      </c>
      <c r="AK118" s="188">
        <v>109</v>
      </c>
      <c r="AM118" s="188" t="str">
        <f t="array" ref="AM118">IFERROR(INDEX($AK$10:$AK$258, MATCH(0, IF(TRUE=$AH$10:$AH$258, COUNTIF($AM$9:$AM117, $AK$10:$AK$258), ""), 0)),"")</f>
        <v/>
      </c>
      <c r="AN118" s="188" t="str">
        <f t="array" ref="AN118">IFERROR(INDEX($AK$10:$AK$258, MATCH(0, IF(TRUE=$AI$10:$AI$258, COUNTIF($AN$9:$AN117, $AK$10:$AK$258), ""), 0)),"")</f>
        <v/>
      </c>
      <c r="AP118" s="35" t="str">
        <f>IFERROR(INDEX('G-7 Rivers Data'!$AZ$3:$AZ$7,MATCH(D118,'G-7 Rivers Data'!$AY$3:$AY$7,0)),"")</f>
        <v/>
      </c>
    </row>
    <row r="119" spans="3:42" ht="13.8" x14ac:dyDescent="0.25">
      <c r="C119" s="168">
        <v>110</v>
      </c>
      <c r="D119" s="212"/>
      <c r="E119" s="213"/>
      <c r="F119" s="171" t="str">
        <f>IF(D119="","",VLOOKUP(D119,'G-7 Rivers Data'!$B$2:$G$8,2,FALSE))</f>
        <v/>
      </c>
      <c r="G119" s="172" t="str">
        <f>IFERROR(VLOOKUP(F119,'G-7 Rivers Data'!$C$4:$D$8,2,FALSE),"")</f>
        <v/>
      </c>
      <c r="H119" s="173"/>
      <c r="I119" s="172" t="str">
        <f>IFERROR(INDEX('G-7 Rivers Data'!$H$4:$L$8,MATCH(D119,'G-7 Rivers Data'!$B$4:$B$8,0),MATCH(H119,'G-7 Rivers Data'!$H$3:$L$3,0)),"")</f>
        <v/>
      </c>
      <c r="J119" s="173"/>
      <c r="K119" s="172" t="str">
        <f>IF(J119="","",IF(VLOOKUP(J119,'G-7 Rivers Data'!$AK$4:$AM$9,2,FALSE)=0,"Spatial Data Missing",VLOOKUP(J119,'G-7 Rivers Data'!$AK$4:$AM$9,2,FALSE)))</f>
        <v/>
      </c>
      <c r="L119" s="172" t="str">
        <f>IF(J119="","",IF(VLOOKUP(J119,'G-7 Rivers Data'!$AK$4:$AM$9,3,FALSE)=0,"Spatial Data Missing",VLOOKUP(J119,'G-7 Rivers Data'!$AK$4:$AM$9,3,FALSE)))</f>
        <v/>
      </c>
      <c r="M119" s="79"/>
      <c r="N119" s="172" t="str">
        <f>IF(M119="","",IF(VLOOKUP(M119,'G-7 Rivers Data'!$AA$4:$AB$7,2,FALSE)=0,"Spatial Data Missing",VLOOKUP(M119,'G-7 Rivers Data'!$AA$4:$AB$7,2,FALSE)))</f>
        <v/>
      </c>
      <c r="O119" s="187"/>
      <c r="P119" s="172" t="str">
        <f>IF(O119="","",IF(VLOOKUP(O119,'G-7 Rivers Data'!$AD$4:$AE$8,2,FALSE)=0,"Spatial Data Missing",VLOOKUP(O119,'G-7 Rivers Data'!$AD$4:$AE$8,2,FALSE)))</f>
        <v/>
      </c>
      <c r="Q119" s="177" t="str">
        <f>IF(D119="","",VLOOKUP(D119,'G-7 Rivers Data'!$B$2:$G$8,6,FALSE))</f>
        <v/>
      </c>
      <c r="R119" s="207" t="str">
        <f t="shared" si="8"/>
        <v/>
      </c>
      <c r="S119" s="44"/>
      <c r="T119" s="173"/>
      <c r="U119" s="189"/>
      <c r="V119" s="208" t="str">
        <f t="shared" si="9"/>
        <v/>
      </c>
      <c r="W119" s="208" t="str">
        <f t="shared" si="10"/>
        <v/>
      </c>
      <c r="X119" s="208" t="str">
        <f t="shared" si="11"/>
        <v/>
      </c>
      <c r="Y119" s="209" t="str">
        <f t="shared" si="12"/>
        <v/>
      </c>
      <c r="Z119" s="182"/>
      <c r="AA119" s="183"/>
      <c r="AG119" s="35">
        <f t="shared" si="13"/>
        <v>0</v>
      </c>
      <c r="AH119" s="188" t="str">
        <f t="shared" si="14"/>
        <v/>
      </c>
      <c r="AI119" s="188" t="str">
        <f t="shared" si="15"/>
        <v/>
      </c>
      <c r="AK119" s="188">
        <v>110</v>
      </c>
      <c r="AM119" s="188" t="str">
        <f t="array" ref="AM119">IFERROR(INDEX($AK$10:$AK$258, MATCH(0, IF(TRUE=$AH$10:$AH$258, COUNTIF($AM$9:$AM118, $AK$10:$AK$258), ""), 0)),"")</f>
        <v/>
      </c>
      <c r="AN119" s="188" t="str">
        <f t="array" ref="AN119">IFERROR(INDEX($AK$10:$AK$258, MATCH(0, IF(TRUE=$AI$10:$AI$258, COUNTIF($AN$9:$AN118, $AK$10:$AK$258), ""), 0)),"")</f>
        <v/>
      </c>
      <c r="AP119" s="35" t="str">
        <f>IFERROR(INDEX('G-7 Rivers Data'!$AZ$3:$AZ$7,MATCH(D119,'G-7 Rivers Data'!$AY$3:$AY$7,0)),"")</f>
        <v/>
      </c>
    </row>
    <row r="120" spans="3:42" ht="13.8" x14ac:dyDescent="0.25">
      <c r="C120" s="168">
        <v>111</v>
      </c>
      <c r="D120" s="212"/>
      <c r="E120" s="213"/>
      <c r="F120" s="171" t="str">
        <f>IF(D120="","",VLOOKUP(D120,'G-7 Rivers Data'!$B$2:$G$8,2,FALSE))</f>
        <v/>
      </c>
      <c r="G120" s="172" t="str">
        <f>IFERROR(VLOOKUP(F120,'G-7 Rivers Data'!$C$4:$D$8,2,FALSE),"")</f>
        <v/>
      </c>
      <c r="H120" s="173"/>
      <c r="I120" s="172" t="str">
        <f>IFERROR(INDEX('G-7 Rivers Data'!$H$4:$L$8,MATCH(D120,'G-7 Rivers Data'!$B$4:$B$8,0),MATCH(H120,'G-7 Rivers Data'!$H$3:$L$3,0)),"")</f>
        <v/>
      </c>
      <c r="J120" s="173"/>
      <c r="K120" s="172" t="str">
        <f>IF(J120="","",IF(VLOOKUP(J120,'G-7 Rivers Data'!$AK$4:$AM$9,2,FALSE)=0,"Spatial Data Missing",VLOOKUP(J120,'G-7 Rivers Data'!$AK$4:$AM$9,2,FALSE)))</f>
        <v/>
      </c>
      <c r="L120" s="172" t="str">
        <f>IF(J120="","",IF(VLOOKUP(J120,'G-7 Rivers Data'!$AK$4:$AM$9,3,FALSE)=0,"Spatial Data Missing",VLOOKUP(J120,'G-7 Rivers Data'!$AK$4:$AM$9,3,FALSE)))</f>
        <v/>
      </c>
      <c r="M120" s="79"/>
      <c r="N120" s="172" t="str">
        <f>IF(M120="","",IF(VLOOKUP(M120,'G-7 Rivers Data'!$AA$4:$AB$7,2,FALSE)=0,"Spatial Data Missing",VLOOKUP(M120,'G-7 Rivers Data'!$AA$4:$AB$7,2,FALSE)))</f>
        <v/>
      </c>
      <c r="O120" s="187"/>
      <c r="P120" s="172" t="str">
        <f>IF(O120="","",IF(VLOOKUP(O120,'G-7 Rivers Data'!$AD$4:$AE$8,2,FALSE)=0,"Spatial Data Missing",VLOOKUP(O120,'G-7 Rivers Data'!$AD$4:$AE$8,2,FALSE)))</f>
        <v/>
      </c>
      <c r="Q120" s="177" t="str">
        <f>IF(D120="","",VLOOKUP(D120,'G-7 Rivers Data'!$B$2:$G$8,6,FALSE))</f>
        <v/>
      </c>
      <c r="R120" s="207" t="str">
        <f t="shared" si="8"/>
        <v/>
      </c>
      <c r="S120" s="44"/>
      <c r="T120" s="173"/>
      <c r="U120" s="189"/>
      <c r="V120" s="208" t="str">
        <f t="shared" si="9"/>
        <v/>
      </c>
      <c r="W120" s="208" t="str">
        <f t="shared" si="10"/>
        <v/>
      </c>
      <c r="X120" s="208" t="str">
        <f t="shared" si="11"/>
        <v/>
      </c>
      <c r="Y120" s="209" t="str">
        <f t="shared" si="12"/>
        <v/>
      </c>
      <c r="Z120" s="182"/>
      <c r="AA120" s="183"/>
      <c r="AG120" s="35">
        <f t="shared" si="13"/>
        <v>0</v>
      </c>
      <c r="AH120" s="188" t="str">
        <f t="shared" si="14"/>
        <v/>
      </c>
      <c r="AI120" s="188" t="str">
        <f t="shared" si="15"/>
        <v/>
      </c>
      <c r="AK120" s="188">
        <v>111</v>
      </c>
      <c r="AM120" s="188" t="str">
        <f t="array" ref="AM120">IFERROR(INDEX($AK$10:$AK$258, MATCH(0, IF(TRUE=$AH$10:$AH$258, COUNTIF($AM$9:$AM119, $AK$10:$AK$258), ""), 0)),"")</f>
        <v/>
      </c>
      <c r="AN120" s="188" t="str">
        <f t="array" ref="AN120">IFERROR(INDEX($AK$10:$AK$258, MATCH(0, IF(TRUE=$AI$10:$AI$258, COUNTIF($AN$9:$AN119, $AK$10:$AK$258), ""), 0)),"")</f>
        <v/>
      </c>
      <c r="AP120" s="35" t="str">
        <f>IFERROR(INDEX('G-7 Rivers Data'!$AZ$3:$AZ$7,MATCH(D120,'G-7 Rivers Data'!$AY$3:$AY$7,0)),"")</f>
        <v/>
      </c>
    </row>
    <row r="121" spans="3:42" ht="13.8" x14ac:dyDescent="0.25">
      <c r="C121" s="168">
        <v>112</v>
      </c>
      <c r="D121" s="212"/>
      <c r="E121" s="213"/>
      <c r="F121" s="171" t="str">
        <f>IF(D121="","",VLOOKUP(D121,'G-7 Rivers Data'!$B$2:$G$8,2,FALSE))</f>
        <v/>
      </c>
      <c r="G121" s="172" t="str">
        <f>IFERROR(VLOOKUP(F121,'G-7 Rivers Data'!$C$4:$D$8,2,FALSE),"")</f>
        <v/>
      </c>
      <c r="H121" s="173"/>
      <c r="I121" s="172" t="str">
        <f>IFERROR(INDEX('G-7 Rivers Data'!$H$4:$L$8,MATCH(D121,'G-7 Rivers Data'!$B$4:$B$8,0),MATCH(H121,'G-7 Rivers Data'!$H$3:$L$3,0)),"")</f>
        <v/>
      </c>
      <c r="J121" s="173"/>
      <c r="K121" s="172" t="str">
        <f>IF(J121="","",IF(VLOOKUP(J121,'G-7 Rivers Data'!$AK$4:$AM$9,2,FALSE)=0,"Spatial Data Missing",VLOOKUP(J121,'G-7 Rivers Data'!$AK$4:$AM$9,2,FALSE)))</f>
        <v/>
      </c>
      <c r="L121" s="172" t="str">
        <f>IF(J121="","",IF(VLOOKUP(J121,'G-7 Rivers Data'!$AK$4:$AM$9,3,FALSE)=0,"Spatial Data Missing",VLOOKUP(J121,'G-7 Rivers Data'!$AK$4:$AM$9,3,FALSE)))</f>
        <v/>
      </c>
      <c r="M121" s="79"/>
      <c r="N121" s="172" t="str">
        <f>IF(M121="","",IF(VLOOKUP(M121,'G-7 Rivers Data'!$AA$4:$AB$7,2,FALSE)=0,"Spatial Data Missing",VLOOKUP(M121,'G-7 Rivers Data'!$AA$4:$AB$7,2,FALSE)))</f>
        <v/>
      </c>
      <c r="O121" s="187"/>
      <c r="P121" s="172" t="str">
        <f>IF(O121="","",IF(VLOOKUP(O121,'G-7 Rivers Data'!$AD$4:$AE$8,2,FALSE)=0,"Spatial Data Missing",VLOOKUP(O121,'G-7 Rivers Data'!$AD$4:$AE$8,2,FALSE)))</f>
        <v/>
      </c>
      <c r="Q121" s="177" t="str">
        <f>IF(D121="","",VLOOKUP(D121,'G-7 Rivers Data'!$B$2:$G$8,6,FALSE))</f>
        <v/>
      </c>
      <c r="R121" s="207" t="str">
        <f t="shared" si="8"/>
        <v/>
      </c>
      <c r="S121" s="44"/>
      <c r="T121" s="173"/>
      <c r="U121" s="189"/>
      <c r="V121" s="208" t="str">
        <f t="shared" si="9"/>
        <v/>
      </c>
      <c r="W121" s="208" t="str">
        <f t="shared" si="10"/>
        <v/>
      </c>
      <c r="X121" s="208" t="str">
        <f t="shared" si="11"/>
        <v/>
      </c>
      <c r="Y121" s="209" t="str">
        <f t="shared" si="12"/>
        <v/>
      </c>
      <c r="Z121" s="182"/>
      <c r="AA121" s="183"/>
      <c r="AG121" s="35">
        <f t="shared" si="13"/>
        <v>0</v>
      </c>
      <c r="AH121" s="188" t="str">
        <f t="shared" si="14"/>
        <v/>
      </c>
      <c r="AI121" s="188" t="str">
        <f t="shared" si="15"/>
        <v/>
      </c>
      <c r="AK121" s="188">
        <v>112</v>
      </c>
      <c r="AM121" s="188" t="str">
        <f t="array" ref="AM121">IFERROR(INDEX($AK$10:$AK$258, MATCH(0, IF(TRUE=$AH$10:$AH$258, COUNTIF($AM$9:$AM120, $AK$10:$AK$258), ""), 0)),"")</f>
        <v/>
      </c>
      <c r="AN121" s="188" t="str">
        <f t="array" ref="AN121">IFERROR(INDEX($AK$10:$AK$258, MATCH(0, IF(TRUE=$AI$10:$AI$258, COUNTIF($AN$9:$AN120, $AK$10:$AK$258), ""), 0)),"")</f>
        <v/>
      </c>
      <c r="AP121" s="35" t="str">
        <f>IFERROR(INDEX('G-7 Rivers Data'!$AZ$3:$AZ$7,MATCH(D121,'G-7 Rivers Data'!$AY$3:$AY$7,0)),"")</f>
        <v/>
      </c>
    </row>
    <row r="122" spans="3:42" ht="13.8" x14ac:dyDescent="0.25">
      <c r="C122" s="168">
        <v>113</v>
      </c>
      <c r="D122" s="212"/>
      <c r="E122" s="213"/>
      <c r="F122" s="171" t="str">
        <f>IF(D122="","",VLOOKUP(D122,'G-7 Rivers Data'!$B$2:$G$8,2,FALSE))</f>
        <v/>
      </c>
      <c r="G122" s="172" t="str">
        <f>IFERROR(VLOOKUP(F122,'G-7 Rivers Data'!$C$4:$D$8,2,FALSE),"")</f>
        <v/>
      </c>
      <c r="H122" s="173"/>
      <c r="I122" s="172" t="str">
        <f>IFERROR(INDEX('G-7 Rivers Data'!$H$4:$L$8,MATCH(D122,'G-7 Rivers Data'!$B$4:$B$8,0),MATCH(H122,'G-7 Rivers Data'!$H$3:$L$3,0)),"")</f>
        <v/>
      </c>
      <c r="J122" s="173"/>
      <c r="K122" s="172" t="str">
        <f>IF(J122="","",IF(VLOOKUP(J122,'G-7 Rivers Data'!$AK$4:$AM$9,2,FALSE)=0,"Spatial Data Missing",VLOOKUP(J122,'G-7 Rivers Data'!$AK$4:$AM$9,2,FALSE)))</f>
        <v/>
      </c>
      <c r="L122" s="172" t="str">
        <f>IF(J122="","",IF(VLOOKUP(J122,'G-7 Rivers Data'!$AK$4:$AM$9,3,FALSE)=0,"Spatial Data Missing",VLOOKUP(J122,'G-7 Rivers Data'!$AK$4:$AM$9,3,FALSE)))</f>
        <v/>
      </c>
      <c r="M122" s="79"/>
      <c r="N122" s="172" t="str">
        <f>IF(M122="","",IF(VLOOKUP(M122,'G-7 Rivers Data'!$AA$4:$AB$7,2,FALSE)=0,"Spatial Data Missing",VLOOKUP(M122,'G-7 Rivers Data'!$AA$4:$AB$7,2,FALSE)))</f>
        <v/>
      </c>
      <c r="O122" s="187"/>
      <c r="P122" s="172" t="str">
        <f>IF(O122="","",IF(VLOOKUP(O122,'G-7 Rivers Data'!$AD$4:$AE$8,2,FALSE)=0,"Spatial Data Missing",VLOOKUP(O122,'G-7 Rivers Data'!$AD$4:$AE$8,2,FALSE)))</f>
        <v/>
      </c>
      <c r="Q122" s="177" t="str">
        <f>IF(D122="","",VLOOKUP(D122,'G-7 Rivers Data'!$B$2:$G$8,6,FALSE))</f>
        <v/>
      </c>
      <c r="R122" s="207" t="str">
        <f t="shared" si="8"/>
        <v/>
      </c>
      <c r="S122" s="44"/>
      <c r="T122" s="173"/>
      <c r="U122" s="189"/>
      <c r="V122" s="208" t="str">
        <f t="shared" si="9"/>
        <v/>
      </c>
      <c r="W122" s="208" t="str">
        <f t="shared" si="10"/>
        <v/>
      </c>
      <c r="X122" s="208" t="str">
        <f t="shared" si="11"/>
        <v/>
      </c>
      <c r="Y122" s="209" t="str">
        <f t="shared" si="12"/>
        <v/>
      </c>
      <c r="Z122" s="182"/>
      <c r="AA122" s="183"/>
      <c r="AG122" s="35">
        <f t="shared" si="13"/>
        <v>0</v>
      </c>
      <c r="AH122" s="188" t="str">
        <f t="shared" si="14"/>
        <v/>
      </c>
      <c r="AI122" s="188" t="str">
        <f t="shared" si="15"/>
        <v/>
      </c>
      <c r="AK122" s="188">
        <v>113</v>
      </c>
      <c r="AM122" s="188" t="str">
        <f t="array" ref="AM122">IFERROR(INDEX($AK$10:$AK$258, MATCH(0, IF(TRUE=$AH$10:$AH$258, COUNTIF($AM$9:$AM121, $AK$10:$AK$258), ""), 0)),"")</f>
        <v/>
      </c>
      <c r="AN122" s="188" t="str">
        <f t="array" ref="AN122">IFERROR(INDEX($AK$10:$AK$258, MATCH(0, IF(TRUE=$AI$10:$AI$258, COUNTIF($AN$9:$AN121, $AK$10:$AK$258), ""), 0)),"")</f>
        <v/>
      </c>
      <c r="AP122" s="35" t="str">
        <f>IFERROR(INDEX('G-7 Rivers Data'!$AZ$3:$AZ$7,MATCH(D122,'G-7 Rivers Data'!$AY$3:$AY$7,0)),"")</f>
        <v/>
      </c>
    </row>
    <row r="123" spans="3:42" ht="13.8" x14ac:dyDescent="0.25">
      <c r="C123" s="168">
        <v>114</v>
      </c>
      <c r="D123" s="212"/>
      <c r="E123" s="213"/>
      <c r="F123" s="171" t="str">
        <f>IF(D123="","",VLOOKUP(D123,'G-7 Rivers Data'!$B$2:$G$8,2,FALSE))</f>
        <v/>
      </c>
      <c r="G123" s="172" t="str">
        <f>IFERROR(VLOOKUP(F123,'G-7 Rivers Data'!$C$4:$D$8,2,FALSE),"")</f>
        <v/>
      </c>
      <c r="H123" s="173"/>
      <c r="I123" s="172" t="str">
        <f>IFERROR(INDEX('G-7 Rivers Data'!$H$4:$L$8,MATCH(D123,'G-7 Rivers Data'!$B$4:$B$8,0),MATCH(H123,'G-7 Rivers Data'!$H$3:$L$3,0)),"")</f>
        <v/>
      </c>
      <c r="J123" s="173"/>
      <c r="K123" s="172" t="str">
        <f>IF(J123="","",IF(VLOOKUP(J123,'G-7 Rivers Data'!$AK$4:$AM$9,2,FALSE)=0,"Spatial Data Missing",VLOOKUP(J123,'G-7 Rivers Data'!$AK$4:$AM$9,2,FALSE)))</f>
        <v/>
      </c>
      <c r="L123" s="172" t="str">
        <f>IF(J123="","",IF(VLOOKUP(J123,'G-7 Rivers Data'!$AK$4:$AM$9,3,FALSE)=0,"Spatial Data Missing",VLOOKUP(J123,'G-7 Rivers Data'!$AK$4:$AM$9,3,FALSE)))</f>
        <v/>
      </c>
      <c r="M123" s="79"/>
      <c r="N123" s="172" t="str">
        <f>IF(M123="","",IF(VLOOKUP(M123,'G-7 Rivers Data'!$AA$4:$AB$7,2,FALSE)=0,"Spatial Data Missing",VLOOKUP(M123,'G-7 Rivers Data'!$AA$4:$AB$7,2,FALSE)))</f>
        <v/>
      </c>
      <c r="O123" s="187"/>
      <c r="P123" s="172" t="str">
        <f>IF(O123="","",IF(VLOOKUP(O123,'G-7 Rivers Data'!$AD$4:$AE$8,2,FALSE)=0,"Spatial Data Missing",VLOOKUP(O123,'G-7 Rivers Data'!$AD$4:$AE$8,2,FALSE)))</f>
        <v/>
      </c>
      <c r="Q123" s="177" t="str">
        <f>IF(D123="","",VLOOKUP(D123,'G-7 Rivers Data'!$B$2:$G$8,6,FALSE))</f>
        <v/>
      </c>
      <c r="R123" s="207" t="str">
        <f t="shared" si="8"/>
        <v/>
      </c>
      <c r="S123" s="44"/>
      <c r="T123" s="173"/>
      <c r="U123" s="189"/>
      <c r="V123" s="208" t="str">
        <f t="shared" si="9"/>
        <v/>
      </c>
      <c r="W123" s="208" t="str">
        <f t="shared" si="10"/>
        <v/>
      </c>
      <c r="X123" s="208" t="str">
        <f t="shared" si="11"/>
        <v/>
      </c>
      <c r="Y123" s="209" t="str">
        <f t="shared" si="12"/>
        <v/>
      </c>
      <c r="Z123" s="182"/>
      <c r="AA123" s="183"/>
      <c r="AG123" s="35">
        <f t="shared" si="13"/>
        <v>0</v>
      </c>
      <c r="AH123" s="188" t="str">
        <f t="shared" si="14"/>
        <v/>
      </c>
      <c r="AI123" s="188" t="str">
        <f t="shared" si="15"/>
        <v/>
      </c>
      <c r="AK123" s="188">
        <v>114</v>
      </c>
      <c r="AM123" s="188" t="str">
        <f t="array" ref="AM123">IFERROR(INDEX($AK$10:$AK$258, MATCH(0, IF(TRUE=$AH$10:$AH$258, COUNTIF($AM$9:$AM122, $AK$10:$AK$258), ""), 0)),"")</f>
        <v/>
      </c>
      <c r="AN123" s="188" t="str">
        <f t="array" ref="AN123">IFERROR(INDEX($AK$10:$AK$258, MATCH(0, IF(TRUE=$AI$10:$AI$258, COUNTIF($AN$9:$AN122, $AK$10:$AK$258), ""), 0)),"")</f>
        <v/>
      </c>
      <c r="AP123" s="35" t="str">
        <f>IFERROR(INDEX('G-7 Rivers Data'!$AZ$3:$AZ$7,MATCH(D123,'G-7 Rivers Data'!$AY$3:$AY$7,0)),"")</f>
        <v/>
      </c>
    </row>
    <row r="124" spans="3:42" ht="13.8" x14ac:dyDescent="0.25">
      <c r="C124" s="168">
        <v>115</v>
      </c>
      <c r="D124" s="212"/>
      <c r="E124" s="213"/>
      <c r="F124" s="171" t="str">
        <f>IF(D124="","",VLOOKUP(D124,'G-7 Rivers Data'!$B$2:$G$8,2,FALSE))</f>
        <v/>
      </c>
      <c r="G124" s="172" t="str">
        <f>IFERROR(VLOOKUP(F124,'G-7 Rivers Data'!$C$4:$D$8,2,FALSE),"")</f>
        <v/>
      </c>
      <c r="H124" s="173"/>
      <c r="I124" s="172" t="str">
        <f>IFERROR(INDEX('G-7 Rivers Data'!$H$4:$L$8,MATCH(D124,'G-7 Rivers Data'!$B$4:$B$8,0),MATCH(H124,'G-7 Rivers Data'!$H$3:$L$3,0)),"")</f>
        <v/>
      </c>
      <c r="J124" s="173"/>
      <c r="K124" s="172" t="str">
        <f>IF(J124="","",IF(VLOOKUP(J124,'G-7 Rivers Data'!$AK$4:$AM$9,2,FALSE)=0,"Spatial Data Missing",VLOOKUP(J124,'G-7 Rivers Data'!$AK$4:$AM$9,2,FALSE)))</f>
        <v/>
      </c>
      <c r="L124" s="172" t="str">
        <f>IF(J124="","",IF(VLOOKUP(J124,'G-7 Rivers Data'!$AK$4:$AM$9,3,FALSE)=0,"Spatial Data Missing",VLOOKUP(J124,'G-7 Rivers Data'!$AK$4:$AM$9,3,FALSE)))</f>
        <v/>
      </c>
      <c r="M124" s="79"/>
      <c r="N124" s="172" t="str">
        <f>IF(M124="","",IF(VLOOKUP(M124,'G-7 Rivers Data'!$AA$4:$AB$7,2,FALSE)=0,"Spatial Data Missing",VLOOKUP(M124,'G-7 Rivers Data'!$AA$4:$AB$7,2,FALSE)))</f>
        <v/>
      </c>
      <c r="O124" s="187"/>
      <c r="P124" s="172" t="str">
        <f>IF(O124="","",IF(VLOOKUP(O124,'G-7 Rivers Data'!$AD$4:$AE$8,2,FALSE)=0,"Spatial Data Missing",VLOOKUP(O124,'G-7 Rivers Data'!$AD$4:$AE$8,2,FALSE)))</f>
        <v/>
      </c>
      <c r="Q124" s="177" t="str">
        <f>IF(D124="","",VLOOKUP(D124,'G-7 Rivers Data'!$B$2:$G$8,6,FALSE))</f>
        <v/>
      </c>
      <c r="R124" s="207" t="str">
        <f t="shared" si="8"/>
        <v/>
      </c>
      <c r="S124" s="44"/>
      <c r="T124" s="173"/>
      <c r="U124" s="189"/>
      <c r="V124" s="208" t="str">
        <f t="shared" si="9"/>
        <v/>
      </c>
      <c r="W124" s="208" t="str">
        <f t="shared" si="10"/>
        <v/>
      </c>
      <c r="X124" s="208" t="str">
        <f t="shared" si="11"/>
        <v/>
      </c>
      <c r="Y124" s="209" t="str">
        <f t="shared" si="12"/>
        <v/>
      </c>
      <c r="Z124" s="182"/>
      <c r="AA124" s="183"/>
      <c r="AG124" s="35">
        <f t="shared" si="13"/>
        <v>0</v>
      </c>
      <c r="AH124" s="188" t="str">
        <f t="shared" si="14"/>
        <v/>
      </c>
      <c r="AI124" s="188" t="str">
        <f t="shared" si="15"/>
        <v/>
      </c>
      <c r="AK124" s="188">
        <v>115</v>
      </c>
      <c r="AM124" s="188" t="str">
        <f t="array" ref="AM124">IFERROR(INDEX($AK$10:$AK$258, MATCH(0, IF(TRUE=$AH$10:$AH$258, COUNTIF($AM$9:$AM123, $AK$10:$AK$258), ""), 0)),"")</f>
        <v/>
      </c>
      <c r="AN124" s="188" t="str">
        <f t="array" ref="AN124">IFERROR(INDEX($AK$10:$AK$258, MATCH(0, IF(TRUE=$AI$10:$AI$258, COUNTIF($AN$9:$AN123, $AK$10:$AK$258), ""), 0)),"")</f>
        <v/>
      </c>
      <c r="AP124" s="35" t="str">
        <f>IFERROR(INDEX('G-7 Rivers Data'!$AZ$3:$AZ$7,MATCH(D124,'G-7 Rivers Data'!$AY$3:$AY$7,0)),"")</f>
        <v/>
      </c>
    </row>
    <row r="125" spans="3:42" ht="13.8" x14ac:dyDescent="0.25">
      <c r="C125" s="168">
        <v>116</v>
      </c>
      <c r="D125" s="212"/>
      <c r="E125" s="213"/>
      <c r="F125" s="171" t="str">
        <f>IF(D125="","",VLOOKUP(D125,'G-7 Rivers Data'!$B$2:$G$8,2,FALSE))</f>
        <v/>
      </c>
      <c r="G125" s="172" t="str">
        <f>IFERROR(VLOOKUP(F125,'G-7 Rivers Data'!$C$4:$D$8,2,FALSE),"")</f>
        <v/>
      </c>
      <c r="H125" s="173"/>
      <c r="I125" s="172" t="str">
        <f>IFERROR(INDEX('G-7 Rivers Data'!$H$4:$L$8,MATCH(D125,'G-7 Rivers Data'!$B$4:$B$8,0),MATCH(H125,'G-7 Rivers Data'!$H$3:$L$3,0)),"")</f>
        <v/>
      </c>
      <c r="J125" s="173"/>
      <c r="K125" s="172" t="str">
        <f>IF(J125="","",IF(VLOOKUP(J125,'G-7 Rivers Data'!$AK$4:$AM$9,2,FALSE)=0,"Spatial Data Missing",VLOOKUP(J125,'G-7 Rivers Data'!$AK$4:$AM$9,2,FALSE)))</f>
        <v/>
      </c>
      <c r="L125" s="172" t="str">
        <f>IF(J125="","",IF(VLOOKUP(J125,'G-7 Rivers Data'!$AK$4:$AM$9,3,FALSE)=0,"Spatial Data Missing",VLOOKUP(J125,'G-7 Rivers Data'!$AK$4:$AM$9,3,FALSE)))</f>
        <v/>
      </c>
      <c r="M125" s="79"/>
      <c r="N125" s="172" t="str">
        <f>IF(M125="","",IF(VLOOKUP(M125,'G-7 Rivers Data'!$AA$4:$AB$7,2,FALSE)=0,"Spatial Data Missing",VLOOKUP(M125,'G-7 Rivers Data'!$AA$4:$AB$7,2,FALSE)))</f>
        <v/>
      </c>
      <c r="O125" s="187"/>
      <c r="P125" s="172" t="str">
        <f>IF(O125="","",IF(VLOOKUP(O125,'G-7 Rivers Data'!$AD$4:$AE$8,2,FALSE)=0,"Spatial Data Missing",VLOOKUP(O125,'G-7 Rivers Data'!$AD$4:$AE$8,2,FALSE)))</f>
        <v/>
      </c>
      <c r="Q125" s="177" t="str">
        <f>IF(D125="","",VLOOKUP(D125,'G-7 Rivers Data'!$B$2:$G$8,6,FALSE))</f>
        <v/>
      </c>
      <c r="R125" s="207" t="str">
        <f t="shared" si="8"/>
        <v/>
      </c>
      <c r="S125" s="44"/>
      <c r="T125" s="173"/>
      <c r="U125" s="189"/>
      <c r="V125" s="208" t="str">
        <f t="shared" si="9"/>
        <v/>
      </c>
      <c r="W125" s="208" t="str">
        <f t="shared" si="10"/>
        <v/>
      </c>
      <c r="X125" s="208" t="str">
        <f t="shared" si="11"/>
        <v/>
      </c>
      <c r="Y125" s="209" t="str">
        <f t="shared" si="12"/>
        <v/>
      </c>
      <c r="Z125" s="182"/>
      <c r="AA125" s="183"/>
      <c r="AG125" s="35">
        <f t="shared" si="13"/>
        <v>0</v>
      </c>
      <c r="AH125" s="188" t="str">
        <f t="shared" si="14"/>
        <v/>
      </c>
      <c r="AI125" s="188" t="str">
        <f t="shared" si="15"/>
        <v/>
      </c>
      <c r="AK125" s="188">
        <v>116</v>
      </c>
      <c r="AM125" s="188" t="str">
        <f t="array" ref="AM125">IFERROR(INDEX($AK$10:$AK$258, MATCH(0, IF(TRUE=$AH$10:$AH$258, COUNTIF($AM$9:$AM124, $AK$10:$AK$258), ""), 0)),"")</f>
        <v/>
      </c>
      <c r="AN125" s="188" t="str">
        <f t="array" ref="AN125">IFERROR(INDEX($AK$10:$AK$258, MATCH(0, IF(TRUE=$AI$10:$AI$258, COUNTIF($AN$9:$AN124, $AK$10:$AK$258), ""), 0)),"")</f>
        <v/>
      </c>
      <c r="AP125" s="35" t="str">
        <f>IFERROR(INDEX('G-7 Rivers Data'!$AZ$3:$AZ$7,MATCH(D125,'G-7 Rivers Data'!$AY$3:$AY$7,0)),"")</f>
        <v/>
      </c>
    </row>
    <row r="126" spans="3:42" ht="13.8" x14ac:dyDescent="0.25">
      <c r="C126" s="168">
        <v>117</v>
      </c>
      <c r="D126" s="212"/>
      <c r="E126" s="213"/>
      <c r="F126" s="171" t="str">
        <f>IF(D126="","",VLOOKUP(D126,'G-7 Rivers Data'!$B$2:$G$8,2,FALSE))</f>
        <v/>
      </c>
      <c r="G126" s="172" t="str">
        <f>IFERROR(VLOOKUP(F126,'G-7 Rivers Data'!$C$4:$D$8,2,FALSE),"")</f>
        <v/>
      </c>
      <c r="H126" s="173"/>
      <c r="I126" s="172" t="str">
        <f>IFERROR(INDEX('G-7 Rivers Data'!$H$4:$L$8,MATCH(D126,'G-7 Rivers Data'!$B$4:$B$8,0),MATCH(H126,'G-7 Rivers Data'!$H$3:$L$3,0)),"")</f>
        <v/>
      </c>
      <c r="J126" s="173"/>
      <c r="K126" s="172" t="str">
        <f>IF(J126="","",IF(VLOOKUP(J126,'G-7 Rivers Data'!$AK$4:$AM$9,2,FALSE)=0,"Spatial Data Missing",VLOOKUP(J126,'G-7 Rivers Data'!$AK$4:$AM$9,2,FALSE)))</f>
        <v/>
      </c>
      <c r="L126" s="172" t="str">
        <f>IF(J126="","",IF(VLOOKUP(J126,'G-7 Rivers Data'!$AK$4:$AM$9,3,FALSE)=0,"Spatial Data Missing",VLOOKUP(J126,'G-7 Rivers Data'!$AK$4:$AM$9,3,FALSE)))</f>
        <v/>
      </c>
      <c r="M126" s="79"/>
      <c r="N126" s="172" t="str">
        <f>IF(M126="","",IF(VLOOKUP(M126,'G-7 Rivers Data'!$AA$4:$AB$7,2,FALSE)=0,"Spatial Data Missing",VLOOKUP(M126,'G-7 Rivers Data'!$AA$4:$AB$7,2,FALSE)))</f>
        <v/>
      </c>
      <c r="O126" s="187"/>
      <c r="P126" s="172" t="str">
        <f>IF(O126="","",IF(VLOOKUP(O126,'G-7 Rivers Data'!$AD$4:$AE$8,2,FALSE)=0,"Spatial Data Missing",VLOOKUP(O126,'G-7 Rivers Data'!$AD$4:$AE$8,2,FALSE)))</f>
        <v/>
      </c>
      <c r="Q126" s="177" t="str">
        <f>IF(D126="","",VLOOKUP(D126,'G-7 Rivers Data'!$B$2:$G$8,6,FALSE))</f>
        <v/>
      </c>
      <c r="R126" s="207" t="str">
        <f t="shared" si="8"/>
        <v/>
      </c>
      <c r="S126" s="44"/>
      <c r="T126" s="173"/>
      <c r="U126" s="189"/>
      <c r="V126" s="208" t="str">
        <f t="shared" si="9"/>
        <v/>
      </c>
      <c r="W126" s="208" t="str">
        <f t="shared" si="10"/>
        <v/>
      </c>
      <c r="X126" s="208" t="str">
        <f t="shared" si="11"/>
        <v/>
      </c>
      <c r="Y126" s="209" t="str">
        <f t="shared" si="12"/>
        <v/>
      </c>
      <c r="Z126" s="182"/>
      <c r="AA126" s="183"/>
      <c r="AG126" s="35">
        <f t="shared" si="13"/>
        <v>0</v>
      </c>
      <c r="AH126" s="188" t="str">
        <f t="shared" si="14"/>
        <v/>
      </c>
      <c r="AI126" s="188" t="str">
        <f t="shared" si="15"/>
        <v/>
      </c>
      <c r="AK126" s="188">
        <v>117</v>
      </c>
      <c r="AM126" s="188" t="str">
        <f t="array" ref="AM126">IFERROR(INDEX($AK$10:$AK$258, MATCH(0, IF(TRUE=$AH$10:$AH$258, COUNTIF($AM$9:$AM125, $AK$10:$AK$258), ""), 0)),"")</f>
        <v/>
      </c>
      <c r="AN126" s="188" t="str">
        <f t="array" ref="AN126">IFERROR(INDEX($AK$10:$AK$258, MATCH(0, IF(TRUE=$AI$10:$AI$258, COUNTIF($AN$9:$AN125, $AK$10:$AK$258), ""), 0)),"")</f>
        <v/>
      </c>
      <c r="AP126" s="35" t="str">
        <f>IFERROR(INDEX('G-7 Rivers Data'!$AZ$3:$AZ$7,MATCH(D126,'G-7 Rivers Data'!$AY$3:$AY$7,0)),"")</f>
        <v/>
      </c>
    </row>
    <row r="127" spans="3:42" ht="13.8" x14ac:dyDescent="0.25">
      <c r="C127" s="168">
        <v>118</v>
      </c>
      <c r="D127" s="212"/>
      <c r="E127" s="213"/>
      <c r="F127" s="171" t="str">
        <f>IF(D127="","",VLOOKUP(D127,'G-7 Rivers Data'!$B$2:$G$8,2,FALSE))</f>
        <v/>
      </c>
      <c r="G127" s="172" t="str">
        <f>IFERROR(VLOOKUP(F127,'G-7 Rivers Data'!$C$4:$D$8,2,FALSE),"")</f>
        <v/>
      </c>
      <c r="H127" s="173"/>
      <c r="I127" s="172" t="str">
        <f>IFERROR(INDEX('G-7 Rivers Data'!$H$4:$L$8,MATCH(D127,'G-7 Rivers Data'!$B$4:$B$8,0),MATCH(H127,'G-7 Rivers Data'!$H$3:$L$3,0)),"")</f>
        <v/>
      </c>
      <c r="J127" s="173"/>
      <c r="K127" s="172" t="str">
        <f>IF(J127="","",IF(VLOOKUP(J127,'G-7 Rivers Data'!$AK$4:$AM$9,2,FALSE)=0,"Spatial Data Missing",VLOOKUP(J127,'G-7 Rivers Data'!$AK$4:$AM$9,2,FALSE)))</f>
        <v/>
      </c>
      <c r="L127" s="172" t="str">
        <f>IF(J127="","",IF(VLOOKUP(J127,'G-7 Rivers Data'!$AK$4:$AM$9,3,FALSE)=0,"Spatial Data Missing",VLOOKUP(J127,'G-7 Rivers Data'!$AK$4:$AM$9,3,FALSE)))</f>
        <v/>
      </c>
      <c r="M127" s="79"/>
      <c r="N127" s="172" t="str">
        <f>IF(M127="","",IF(VLOOKUP(M127,'G-7 Rivers Data'!$AA$4:$AB$7,2,FALSE)=0,"Spatial Data Missing",VLOOKUP(M127,'G-7 Rivers Data'!$AA$4:$AB$7,2,FALSE)))</f>
        <v/>
      </c>
      <c r="O127" s="187"/>
      <c r="P127" s="172" t="str">
        <f>IF(O127="","",IF(VLOOKUP(O127,'G-7 Rivers Data'!$AD$4:$AE$8,2,FALSE)=0,"Spatial Data Missing",VLOOKUP(O127,'G-7 Rivers Data'!$AD$4:$AE$8,2,FALSE)))</f>
        <v/>
      </c>
      <c r="Q127" s="177" t="str">
        <f>IF(D127="","",VLOOKUP(D127,'G-7 Rivers Data'!$B$2:$G$8,6,FALSE))</f>
        <v/>
      </c>
      <c r="R127" s="207" t="str">
        <f t="shared" si="8"/>
        <v/>
      </c>
      <c r="S127" s="44"/>
      <c r="T127" s="173"/>
      <c r="U127" s="189"/>
      <c r="V127" s="208" t="str">
        <f t="shared" si="9"/>
        <v/>
      </c>
      <c r="W127" s="208" t="str">
        <f t="shared" si="10"/>
        <v/>
      </c>
      <c r="X127" s="208" t="str">
        <f t="shared" si="11"/>
        <v/>
      </c>
      <c r="Y127" s="209" t="str">
        <f t="shared" si="12"/>
        <v/>
      </c>
      <c r="Z127" s="182"/>
      <c r="AA127" s="183"/>
      <c r="AG127" s="35">
        <f t="shared" si="13"/>
        <v>0</v>
      </c>
      <c r="AH127" s="188" t="str">
        <f t="shared" si="14"/>
        <v/>
      </c>
      <c r="AI127" s="188" t="str">
        <f t="shared" si="15"/>
        <v/>
      </c>
      <c r="AK127" s="188">
        <v>118</v>
      </c>
      <c r="AM127" s="188" t="str">
        <f t="array" ref="AM127">IFERROR(INDEX($AK$10:$AK$258, MATCH(0, IF(TRUE=$AH$10:$AH$258, COUNTIF($AM$9:$AM126, $AK$10:$AK$258), ""), 0)),"")</f>
        <v/>
      </c>
      <c r="AN127" s="188" t="str">
        <f t="array" ref="AN127">IFERROR(INDEX($AK$10:$AK$258, MATCH(0, IF(TRUE=$AI$10:$AI$258, COUNTIF($AN$9:$AN126, $AK$10:$AK$258), ""), 0)),"")</f>
        <v/>
      </c>
      <c r="AP127" s="35" t="str">
        <f>IFERROR(INDEX('G-7 Rivers Data'!$AZ$3:$AZ$7,MATCH(D127,'G-7 Rivers Data'!$AY$3:$AY$7,0)),"")</f>
        <v/>
      </c>
    </row>
    <row r="128" spans="3:42" ht="13.8" x14ac:dyDescent="0.25">
      <c r="C128" s="168">
        <v>119</v>
      </c>
      <c r="D128" s="212"/>
      <c r="E128" s="213"/>
      <c r="F128" s="171" t="str">
        <f>IF(D128="","",VLOOKUP(D128,'G-7 Rivers Data'!$B$2:$G$8,2,FALSE))</f>
        <v/>
      </c>
      <c r="G128" s="172" t="str">
        <f>IFERROR(VLOOKUP(F128,'G-7 Rivers Data'!$C$4:$D$8,2,FALSE),"")</f>
        <v/>
      </c>
      <c r="H128" s="173"/>
      <c r="I128" s="172" t="str">
        <f>IFERROR(INDEX('G-7 Rivers Data'!$H$4:$L$8,MATCH(D128,'G-7 Rivers Data'!$B$4:$B$8,0),MATCH(H128,'G-7 Rivers Data'!$H$3:$L$3,0)),"")</f>
        <v/>
      </c>
      <c r="J128" s="173"/>
      <c r="K128" s="172" t="str">
        <f>IF(J128="","",IF(VLOOKUP(J128,'G-7 Rivers Data'!$AK$4:$AM$9,2,FALSE)=0,"Spatial Data Missing",VLOOKUP(J128,'G-7 Rivers Data'!$AK$4:$AM$9,2,FALSE)))</f>
        <v/>
      </c>
      <c r="L128" s="172" t="str">
        <f>IF(J128="","",IF(VLOOKUP(J128,'G-7 Rivers Data'!$AK$4:$AM$9,3,FALSE)=0,"Spatial Data Missing",VLOOKUP(J128,'G-7 Rivers Data'!$AK$4:$AM$9,3,FALSE)))</f>
        <v/>
      </c>
      <c r="M128" s="79"/>
      <c r="N128" s="172" t="str">
        <f>IF(M128="","",IF(VLOOKUP(M128,'G-7 Rivers Data'!$AA$4:$AB$7,2,FALSE)=0,"Spatial Data Missing",VLOOKUP(M128,'G-7 Rivers Data'!$AA$4:$AB$7,2,FALSE)))</f>
        <v/>
      </c>
      <c r="O128" s="187"/>
      <c r="P128" s="172" t="str">
        <f>IF(O128="","",IF(VLOOKUP(O128,'G-7 Rivers Data'!$AD$4:$AE$8,2,FALSE)=0,"Spatial Data Missing",VLOOKUP(O128,'G-7 Rivers Data'!$AD$4:$AE$8,2,FALSE)))</f>
        <v/>
      </c>
      <c r="Q128" s="177" t="str">
        <f>IF(D128="","",VLOOKUP(D128,'G-7 Rivers Data'!$B$2:$G$8,6,FALSE))</f>
        <v/>
      </c>
      <c r="R128" s="207" t="str">
        <f t="shared" si="8"/>
        <v/>
      </c>
      <c r="S128" s="44"/>
      <c r="T128" s="173"/>
      <c r="U128" s="189"/>
      <c r="V128" s="208" t="str">
        <f t="shared" si="9"/>
        <v/>
      </c>
      <c r="W128" s="208" t="str">
        <f t="shared" si="10"/>
        <v/>
      </c>
      <c r="X128" s="208" t="str">
        <f t="shared" si="11"/>
        <v/>
      </c>
      <c r="Y128" s="209" t="str">
        <f t="shared" si="12"/>
        <v/>
      </c>
      <c r="Z128" s="182"/>
      <c r="AA128" s="183"/>
      <c r="AG128" s="35">
        <f t="shared" si="13"/>
        <v>0</v>
      </c>
      <c r="AH128" s="188" t="str">
        <f t="shared" si="14"/>
        <v/>
      </c>
      <c r="AI128" s="188" t="str">
        <f t="shared" si="15"/>
        <v/>
      </c>
      <c r="AK128" s="188">
        <v>119</v>
      </c>
      <c r="AM128" s="188" t="str">
        <f t="array" ref="AM128">IFERROR(INDEX($AK$10:$AK$258, MATCH(0, IF(TRUE=$AH$10:$AH$258, COUNTIF($AM$9:$AM127, $AK$10:$AK$258), ""), 0)),"")</f>
        <v/>
      </c>
      <c r="AN128" s="188" t="str">
        <f t="array" ref="AN128">IFERROR(INDEX($AK$10:$AK$258, MATCH(0, IF(TRUE=$AI$10:$AI$258, COUNTIF($AN$9:$AN127, $AK$10:$AK$258), ""), 0)),"")</f>
        <v/>
      </c>
      <c r="AP128" s="35" t="str">
        <f>IFERROR(INDEX('G-7 Rivers Data'!$AZ$3:$AZ$7,MATCH(D128,'G-7 Rivers Data'!$AY$3:$AY$7,0)),"")</f>
        <v/>
      </c>
    </row>
    <row r="129" spans="3:42" ht="13.8" x14ac:dyDescent="0.25">
      <c r="C129" s="168">
        <v>120</v>
      </c>
      <c r="D129" s="212"/>
      <c r="E129" s="213"/>
      <c r="F129" s="171" t="str">
        <f>IF(D129="","",VLOOKUP(D129,'G-7 Rivers Data'!$B$2:$G$8,2,FALSE))</f>
        <v/>
      </c>
      <c r="G129" s="172" t="str">
        <f>IFERROR(VLOOKUP(F129,'G-7 Rivers Data'!$C$4:$D$8,2,FALSE),"")</f>
        <v/>
      </c>
      <c r="H129" s="173"/>
      <c r="I129" s="172" t="str">
        <f>IFERROR(INDEX('G-7 Rivers Data'!$H$4:$L$8,MATCH(D129,'G-7 Rivers Data'!$B$4:$B$8,0),MATCH(H129,'G-7 Rivers Data'!$H$3:$L$3,0)),"")</f>
        <v/>
      </c>
      <c r="J129" s="173"/>
      <c r="K129" s="172" t="str">
        <f>IF(J129="","",IF(VLOOKUP(J129,'G-7 Rivers Data'!$AK$4:$AM$9,2,FALSE)=0,"Spatial Data Missing",VLOOKUP(J129,'G-7 Rivers Data'!$AK$4:$AM$9,2,FALSE)))</f>
        <v/>
      </c>
      <c r="L129" s="172" t="str">
        <f>IF(J129="","",IF(VLOOKUP(J129,'G-7 Rivers Data'!$AK$4:$AM$9,3,FALSE)=0,"Spatial Data Missing",VLOOKUP(J129,'G-7 Rivers Data'!$AK$4:$AM$9,3,FALSE)))</f>
        <v/>
      </c>
      <c r="M129" s="79"/>
      <c r="N129" s="172" t="str">
        <f>IF(M129="","",IF(VLOOKUP(M129,'G-7 Rivers Data'!$AA$4:$AB$7,2,FALSE)=0,"Spatial Data Missing",VLOOKUP(M129,'G-7 Rivers Data'!$AA$4:$AB$7,2,FALSE)))</f>
        <v/>
      </c>
      <c r="O129" s="187"/>
      <c r="P129" s="172" t="str">
        <f>IF(O129="","",IF(VLOOKUP(O129,'G-7 Rivers Data'!$AD$4:$AE$8,2,FALSE)=0,"Spatial Data Missing",VLOOKUP(O129,'G-7 Rivers Data'!$AD$4:$AE$8,2,FALSE)))</f>
        <v/>
      </c>
      <c r="Q129" s="177" t="str">
        <f>IF(D129="","",VLOOKUP(D129,'G-7 Rivers Data'!$B$2:$G$8,6,FALSE))</f>
        <v/>
      </c>
      <c r="R129" s="207" t="str">
        <f t="shared" si="8"/>
        <v/>
      </c>
      <c r="S129" s="44"/>
      <c r="T129" s="173"/>
      <c r="U129" s="189"/>
      <c r="V129" s="208" t="str">
        <f t="shared" si="9"/>
        <v/>
      </c>
      <c r="W129" s="208" t="str">
        <f t="shared" si="10"/>
        <v/>
      </c>
      <c r="X129" s="208" t="str">
        <f t="shared" si="11"/>
        <v/>
      </c>
      <c r="Y129" s="209" t="str">
        <f t="shared" si="12"/>
        <v/>
      </c>
      <c r="Z129" s="182"/>
      <c r="AA129" s="183"/>
      <c r="AG129" s="35">
        <f t="shared" si="13"/>
        <v>0</v>
      </c>
      <c r="AH129" s="188" t="str">
        <f t="shared" si="14"/>
        <v/>
      </c>
      <c r="AI129" s="188" t="str">
        <f t="shared" si="15"/>
        <v/>
      </c>
      <c r="AK129" s="188">
        <v>120</v>
      </c>
      <c r="AM129" s="188" t="str">
        <f t="array" ref="AM129">IFERROR(INDEX($AK$10:$AK$258, MATCH(0, IF(TRUE=$AH$10:$AH$258, COUNTIF($AM$9:$AM128, $AK$10:$AK$258), ""), 0)),"")</f>
        <v/>
      </c>
      <c r="AN129" s="188" t="str">
        <f t="array" ref="AN129">IFERROR(INDEX($AK$10:$AK$258, MATCH(0, IF(TRUE=$AI$10:$AI$258, COUNTIF($AN$9:$AN128, $AK$10:$AK$258), ""), 0)),"")</f>
        <v/>
      </c>
      <c r="AP129" s="35" t="str">
        <f>IFERROR(INDEX('G-7 Rivers Data'!$AZ$3:$AZ$7,MATCH(D129,'G-7 Rivers Data'!$AY$3:$AY$7,0)),"")</f>
        <v/>
      </c>
    </row>
    <row r="130" spans="3:42" ht="13.8" x14ac:dyDescent="0.25">
      <c r="C130" s="168">
        <v>121</v>
      </c>
      <c r="D130" s="212"/>
      <c r="E130" s="213"/>
      <c r="F130" s="171" t="str">
        <f>IF(D130="","",VLOOKUP(D130,'G-7 Rivers Data'!$B$2:$G$8,2,FALSE))</f>
        <v/>
      </c>
      <c r="G130" s="172" t="str">
        <f>IFERROR(VLOOKUP(F130,'G-7 Rivers Data'!$C$4:$D$8,2,FALSE),"")</f>
        <v/>
      </c>
      <c r="H130" s="173"/>
      <c r="I130" s="172" t="str">
        <f>IFERROR(INDEX('G-7 Rivers Data'!$H$4:$L$8,MATCH(D130,'G-7 Rivers Data'!$B$4:$B$8,0),MATCH(H130,'G-7 Rivers Data'!$H$3:$L$3,0)),"")</f>
        <v/>
      </c>
      <c r="J130" s="173"/>
      <c r="K130" s="172" t="str">
        <f>IF(J130="","",IF(VLOOKUP(J130,'G-7 Rivers Data'!$AK$4:$AM$9,2,FALSE)=0,"Spatial Data Missing",VLOOKUP(J130,'G-7 Rivers Data'!$AK$4:$AM$9,2,FALSE)))</f>
        <v/>
      </c>
      <c r="L130" s="172" t="str">
        <f>IF(J130="","",IF(VLOOKUP(J130,'G-7 Rivers Data'!$AK$4:$AM$9,3,FALSE)=0,"Spatial Data Missing",VLOOKUP(J130,'G-7 Rivers Data'!$AK$4:$AM$9,3,FALSE)))</f>
        <v/>
      </c>
      <c r="M130" s="79"/>
      <c r="N130" s="172" t="str">
        <f>IF(M130="","",IF(VLOOKUP(M130,'G-7 Rivers Data'!$AA$4:$AB$7,2,FALSE)=0,"Spatial Data Missing",VLOOKUP(M130,'G-7 Rivers Data'!$AA$4:$AB$7,2,FALSE)))</f>
        <v/>
      </c>
      <c r="O130" s="187"/>
      <c r="P130" s="172" t="str">
        <f>IF(O130="","",IF(VLOOKUP(O130,'G-7 Rivers Data'!$AD$4:$AE$8,2,FALSE)=0,"Spatial Data Missing",VLOOKUP(O130,'G-7 Rivers Data'!$AD$4:$AE$8,2,FALSE)))</f>
        <v/>
      </c>
      <c r="Q130" s="177" t="str">
        <f>IF(D130="","",VLOOKUP(D130,'G-7 Rivers Data'!$B$2:$G$8,6,FALSE))</f>
        <v/>
      </c>
      <c r="R130" s="207" t="str">
        <f t="shared" si="8"/>
        <v/>
      </c>
      <c r="S130" s="44"/>
      <c r="T130" s="173"/>
      <c r="U130" s="189"/>
      <c r="V130" s="208" t="str">
        <f t="shared" si="9"/>
        <v/>
      </c>
      <c r="W130" s="208" t="str">
        <f t="shared" si="10"/>
        <v/>
      </c>
      <c r="X130" s="208" t="str">
        <f t="shared" si="11"/>
        <v/>
      </c>
      <c r="Y130" s="209" t="str">
        <f t="shared" si="12"/>
        <v/>
      </c>
      <c r="Z130" s="182"/>
      <c r="AA130" s="183"/>
      <c r="AG130" s="35">
        <f t="shared" si="13"/>
        <v>0</v>
      </c>
      <c r="AH130" s="188" t="str">
        <f t="shared" si="14"/>
        <v/>
      </c>
      <c r="AI130" s="188" t="str">
        <f t="shared" si="15"/>
        <v/>
      </c>
      <c r="AK130" s="188">
        <v>121</v>
      </c>
      <c r="AM130" s="188" t="str">
        <f t="array" ref="AM130">IFERROR(INDEX($AK$10:$AK$258, MATCH(0, IF(TRUE=$AH$10:$AH$258, COUNTIF($AM$9:$AM129, $AK$10:$AK$258), ""), 0)),"")</f>
        <v/>
      </c>
      <c r="AN130" s="188" t="str">
        <f t="array" ref="AN130">IFERROR(INDEX($AK$10:$AK$258, MATCH(0, IF(TRUE=$AI$10:$AI$258, COUNTIF($AN$9:$AN129, $AK$10:$AK$258), ""), 0)),"")</f>
        <v/>
      </c>
      <c r="AP130" s="35" t="str">
        <f>IFERROR(INDEX('G-7 Rivers Data'!$AZ$3:$AZ$7,MATCH(D130,'G-7 Rivers Data'!$AY$3:$AY$7,0)),"")</f>
        <v/>
      </c>
    </row>
    <row r="131" spans="3:42" ht="13.8" x14ac:dyDescent="0.25">
      <c r="C131" s="168">
        <v>122</v>
      </c>
      <c r="D131" s="212"/>
      <c r="E131" s="213"/>
      <c r="F131" s="171" t="str">
        <f>IF(D131="","",VLOOKUP(D131,'G-7 Rivers Data'!$B$2:$G$8,2,FALSE))</f>
        <v/>
      </c>
      <c r="G131" s="172" t="str">
        <f>IFERROR(VLOOKUP(F131,'G-7 Rivers Data'!$C$4:$D$8,2,FALSE),"")</f>
        <v/>
      </c>
      <c r="H131" s="173"/>
      <c r="I131" s="172" t="str">
        <f>IFERROR(INDEX('G-7 Rivers Data'!$H$4:$L$8,MATCH(D131,'G-7 Rivers Data'!$B$4:$B$8,0),MATCH(H131,'G-7 Rivers Data'!$H$3:$L$3,0)),"")</f>
        <v/>
      </c>
      <c r="J131" s="173"/>
      <c r="K131" s="172" t="str">
        <f>IF(J131="","",IF(VLOOKUP(J131,'G-7 Rivers Data'!$AK$4:$AM$9,2,FALSE)=0,"Spatial Data Missing",VLOOKUP(J131,'G-7 Rivers Data'!$AK$4:$AM$9,2,FALSE)))</f>
        <v/>
      </c>
      <c r="L131" s="172" t="str">
        <f>IF(J131="","",IF(VLOOKUP(J131,'G-7 Rivers Data'!$AK$4:$AM$9,3,FALSE)=0,"Spatial Data Missing",VLOOKUP(J131,'G-7 Rivers Data'!$AK$4:$AM$9,3,FALSE)))</f>
        <v/>
      </c>
      <c r="M131" s="79"/>
      <c r="N131" s="172" t="str">
        <f>IF(M131="","",IF(VLOOKUP(M131,'G-7 Rivers Data'!$AA$4:$AB$7,2,FALSE)=0,"Spatial Data Missing",VLOOKUP(M131,'G-7 Rivers Data'!$AA$4:$AB$7,2,FALSE)))</f>
        <v/>
      </c>
      <c r="O131" s="187"/>
      <c r="P131" s="172" t="str">
        <f>IF(O131="","",IF(VLOOKUP(O131,'G-7 Rivers Data'!$AD$4:$AE$8,2,FALSE)=0,"Spatial Data Missing",VLOOKUP(O131,'G-7 Rivers Data'!$AD$4:$AE$8,2,FALSE)))</f>
        <v/>
      </c>
      <c r="Q131" s="177" t="str">
        <f>IF(D131="","",VLOOKUP(D131,'G-7 Rivers Data'!$B$2:$G$8,6,FALSE))</f>
        <v/>
      </c>
      <c r="R131" s="207" t="str">
        <f t="shared" si="8"/>
        <v/>
      </c>
      <c r="S131" s="44"/>
      <c r="T131" s="173"/>
      <c r="U131" s="189"/>
      <c r="V131" s="208" t="str">
        <f t="shared" si="9"/>
        <v/>
      </c>
      <c r="W131" s="208" t="str">
        <f t="shared" si="10"/>
        <v/>
      </c>
      <c r="X131" s="208" t="str">
        <f t="shared" si="11"/>
        <v/>
      </c>
      <c r="Y131" s="209" t="str">
        <f t="shared" si="12"/>
        <v/>
      </c>
      <c r="Z131" s="182"/>
      <c r="AA131" s="183"/>
      <c r="AG131" s="35">
        <f t="shared" si="13"/>
        <v>0</v>
      </c>
      <c r="AH131" s="188" t="str">
        <f t="shared" si="14"/>
        <v/>
      </c>
      <c r="AI131" s="188" t="str">
        <f t="shared" si="15"/>
        <v/>
      </c>
      <c r="AK131" s="188">
        <v>122</v>
      </c>
      <c r="AM131" s="188" t="str">
        <f t="array" ref="AM131">IFERROR(INDEX($AK$10:$AK$258, MATCH(0, IF(TRUE=$AH$10:$AH$258, COUNTIF($AM$9:$AM130, $AK$10:$AK$258), ""), 0)),"")</f>
        <v/>
      </c>
      <c r="AN131" s="188" t="str">
        <f t="array" ref="AN131">IFERROR(INDEX($AK$10:$AK$258, MATCH(0, IF(TRUE=$AI$10:$AI$258, COUNTIF($AN$9:$AN130, $AK$10:$AK$258), ""), 0)),"")</f>
        <v/>
      </c>
      <c r="AP131" s="35" t="str">
        <f>IFERROR(INDEX('G-7 Rivers Data'!$AZ$3:$AZ$7,MATCH(D131,'G-7 Rivers Data'!$AY$3:$AY$7,0)),"")</f>
        <v/>
      </c>
    </row>
    <row r="132" spans="3:42" ht="13.8" x14ac:dyDescent="0.25">
      <c r="C132" s="168">
        <v>123</v>
      </c>
      <c r="D132" s="212"/>
      <c r="E132" s="213"/>
      <c r="F132" s="171" t="str">
        <f>IF(D132="","",VLOOKUP(D132,'G-7 Rivers Data'!$B$2:$G$8,2,FALSE))</f>
        <v/>
      </c>
      <c r="G132" s="172" t="str">
        <f>IFERROR(VLOOKUP(F132,'G-7 Rivers Data'!$C$4:$D$8,2,FALSE),"")</f>
        <v/>
      </c>
      <c r="H132" s="173"/>
      <c r="I132" s="172" t="str">
        <f>IFERROR(INDEX('G-7 Rivers Data'!$H$4:$L$8,MATCH(D132,'G-7 Rivers Data'!$B$4:$B$8,0),MATCH(H132,'G-7 Rivers Data'!$H$3:$L$3,0)),"")</f>
        <v/>
      </c>
      <c r="J132" s="173"/>
      <c r="K132" s="172" t="str">
        <f>IF(J132="","",IF(VLOOKUP(J132,'G-7 Rivers Data'!$AK$4:$AM$9,2,FALSE)=0,"Spatial Data Missing",VLOOKUP(J132,'G-7 Rivers Data'!$AK$4:$AM$9,2,FALSE)))</f>
        <v/>
      </c>
      <c r="L132" s="172" t="str">
        <f>IF(J132="","",IF(VLOOKUP(J132,'G-7 Rivers Data'!$AK$4:$AM$9,3,FALSE)=0,"Spatial Data Missing",VLOOKUP(J132,'G-7 Rivers Data'!$AK$4:$AM$9,3,FALSE)))</f>
        <v/>
      </c>
      <c r="M132" s="79"/>
      <c r="N132" s="172" t="str">
        <f>IF(M132="","",IF(VLOOKUP(M132,'G-7 Rivers Data'!$AA$4:$AB$7,2,FALSE)=0,"Spatial Data Missing",VLOOKUP(M132,'G-7 Rivers Data'!$AA$4:$AB$7,2,FALSE)))</f>
        <v/>
      </c>
      <c r="O132" s="187"/>
      <c r="P132" s="172" t="str">
        <f>IF(O132="","",IF(VLOOKUP(O132,'G-7 Rivers Data'!$AD$4:$AE$8,2,FALSE)=0,"Spatial Data Missing",VLOOKUP(O132,'G-7 Rivers Data'!$AD$4:$AE$8,2,FALSE)))</f>
        <v/>
      </c>
      <c r="Q132" s="177" t="str">
        <f>IF(D132="","",VLOOKUP(D132,'G-7 Rivers Data'!$B$2:$G$8,6,FALSE))</f>
        <v/>
      </c>
      <c r="R132" s="207" t="str">
        <f t="shared" si="8"/>
        <v/>
      </c>
      <c r="S132" s="44"/>
      <c r="T132" s="173"/>
      <c r="U132" s="189"/>
      <c r="V132" s="208" t="str">
        <f t="shared" si="9"/>
        <v/>
      </c>
      <c r="W132" s="208" t="str">
        <f t="shared" si="10"/>
        <v/>
      </c>
      <c r="X132" s="208" t="str">
        <f t="shared" si="11"/>
        <v/>
      </c>
      <c r="Y132" s="209" t="str">
        <f t="shared" si="12"/>
        <v/>
      </c>
      <c r="Z132" s="182"/>
      <c r="AA132" s="183"/>
      <c r="AG132" s="35">
        <f t="shared" si="13"/>
        <v>0</v>
      </c>
      <c r="AH132" s="188" t="str">
        <f t="shared" si="14"/>
        <v/>
      </c>
      <c r="AI132" s="188" t="str">
        <f t="shared" si="15"/>
        <v/>
      </c>
      <c r="AK132" s="188">
        <v>123</v>
      </c>
      <c r="AM132" s="188" t="str">
        <f t="array" ref="AM132">IFERROR(INDEX($AK$10:$AK$258, MATCH(0, IF(TRUE=$AH$10:$AH$258, COUNTIF($AM$9:$AM131, $AK$10:$AK$258), ""), 0)),"")</f>
        <v/>
      </c>
      <c r="AN132" s="188" t="str">
        <f t="array" ref="AN132">IFERROR(INDEX($AK$10:$AK$258, MATCH(0, IF(TRUE=$AI$10:$AI$258, COUNTIF($AN$9:$AN131, $AK$10:$AK$258), ""), 0)),"")</f>
        <v/>
      </c>
      <c r="AP132" s="35" t="str">
        <f>IFERROR(INDEX('G-7 Rivers Data'!$AZ$3:$AZ$7,MATCH(D132,'G-7 Rivers Data'!$AY$3:$AY$7,0)),"")</f>
        <v/>
      </c>
    </row>
    <row r="133" spans="3:42" ht="13.8" x14ac:dyDescent="0.25">
      <c r="C133" s="168">
        <v>124</v>
      </c>
      <c r="D133" s="212"/>
      <c r="E133" s="213"/>
      <c r="F133" s="171" t="str">
        <f>IF(D133="","",VLOOKUP(D133,'G-7 Rivers Data'!$B$2:$G$8,2,FALSE))</f>
        <v/>
      </c>
      <c r="G133" s="172" t="str">
        <f>IFERROR(VLOOKUP(F133,'G-7 Rivers Data'!$C$4:$D$8,2,FALSE),"")</f>
        <v/>
      </c>
      <c r="H133" s="173"/>
      <c r="I133" s="172" t="str">
        <f>IFERROR(INDEX('G-7 Rivers Data'!$H$4:$L$8,MATCH(D133,'G-7 Rivers Data'!$B$4:$B$8,0),MATCH(H133,'G-7 Rivers Data'!$H$3:$L$3,0)),"")</f>
        <v/>
      </c>
      <c r="J133" s="173"/>
      <c r="K133" s="172" t="str">
        <f>IF(J133="","",IF(VLOOKUP(J133,'G-7 Rivers Data'!$AK$4:$AM$9,2,FALSE)=0,"Spatial Data Missing",VLOOKUP(J133,'G-7 Rivers Data'!$AK$4:$AM$9,2,FALSE)))</f>
        <v/>
      </c>
      <c r="L133" s="172" t="str">
        <f>IF(J133="","",IF(VLOOKUP(J133,'G-7 Rivers Data'!$AK$4:$AM$9,3,FALSE)=0,"Spatial Data Missing",VLOOKUP(J133,'G-7 Rivers Data'!$AK$4:$AM$9,3,FALSE)))</f>
        <v/>
      </c>
      <c r="M133" s="79"/>
      <c r="N133" s="172" t="str">
        <f>IF(M133="","",IF(VLOOKUP(M133,'G-7 Rivers Data'!$AA$4:$AB$7,2,FALSE)=0,"Spatial Data Missing",VLOOKUP(M133,'G-7 Rivers Data'!$AA$4:$AB$7,2,FALSE)))</f>
        <v/>
      </c>
      <c r="O133" s="187"/>
      <c r="P133" s="172" t="str">
        <f>IF(O133="","",IF(VLOOKUP(O133,'G-7 Rivers Data'!$AD$4:$AE$8,2,FALSE)=0,"Spatial Data Missing",VLOOKUP(O133,'G-7 Rivers Data'!$AD$4:$AE$8,2,FALSE)))</f>
        <v/>
      </c>
      <c r="Q133" s="177" t="str">
        <f>IF(D133="","",VLOOKUP(D133,'G-7 Rivers Data'!$B$2:$G$8,6,FALSE))</f>
        <v/>
      </c>
      <c r="R133" s="207" t="str">
        <f t="shared" si="8"/>
        <v/>
      </c>
      <c r="S133" s="44"/>
      <c r="T133" s="173"/>
      <c r="U133" s="189"/>
      <c r="V133" s="208" t="str">
        <f t="shared" si="9"/>
        <v/>
      </c>
      <c r="W133" s="208" t="str">
        <f t="shared" si="10"/>
        <v/>
      </c>
      <c r="X133" s="208" t="str">
        <f t="shared" si="11"/>
        <v/>
      </c>
      <c r="Y133" s="209" t="str">
        <f t="shared" si="12"/>
        <v/>
      </c>
      <c r="Z133" s="182"/>
      <c r="AA133" s="183"/>
      <c r="AG133" s="35">
        <f t="shared" si="13"/>
        <v>0</v>
      </c>
      <c r="AH133" s="188" t="str">
        <f t="shared" si="14"/>
        <v/>
      </c>
      <c r="AI133" s="188" t="str">
        <f t="shared" si="15"/>
        <v/>
      </c>
      <c r="AK133" s="188">
        <v>124</v>
      </c>
      <c r="AM133" s="188" t="str">
        <f t="array" ref="AM133">IFERROR(INDEX($AK$10:$AK$258, MATCH(0, IF(TRUE=$AH$10:$AH$258, COUNTIF($AM$9:$AM132, $AK$10:$AK$258), ""), 0)),"")</f>
        <v/>
      </c>
      <c r="AN133" s="188" t="str">
        <f t="array" ref="AN133">IFERROR(INDEX($AK$10:$AK$258, MATCH(0, IF(TRUE=$AI$10:$AI$258, COUNTIF($AN$9:$AN132, $AK$10:$AK$258), ""), 0)),"")</f>
        <v/>
      </c>
      <c r="AP133" s="35" t="str">
        <f>IFERROR(INDEX('G-7 Rivers Data'!$AZ$3:$AZ$7,MATCH(D133,'G-7 Rivers Data'!$AY$3:$AY$7,0)),"")</f>
        <v/>
      </c>
    </row>
    <row r="134" spans="3:42" ht="13.8" x14ac:dyDescent="0.25">
      <c r="C134" s="168">
        <v>125</v>
      </c>
      <c r="D134" s="212"/>
      <c r="E134" s="213"/>
      <c r="F134" s="171" t="str">
        <f>IF(D134="","",VLOOKUP(D134,'G-7 Rivers Data'!$B$2:$G$8,2,FALSE))</f>
        <v/>
      </c>
      <c r="G134" s="172" t="str">
        <f>IFERROR(VLOOKUP(F134,'G-7 Rivers Data'!$C$4:$D$8,2,FALSE),"")</f>
        <v/>
      </c>
      <c r="H134" s="173"/>
      <c r="I134" s="172" t="str">
        <f>IFERROR(INDEX('G-7 Rivers Data'!$H$4:$L$8,MATCH(D134,'G-7 Rivers Data'!$B$4:$B$8,0),MATCH(H134,'G-7 Rivers Data'!$H$3:$L$3,0)),"")</f>
        <v/>
      </c>
      <c r="J134" s="173"/>
      <c r="K134" s="172" t="str">
        <f>IF(J134="","",IF(VLOOKUP(J134,'G-7 Rivers Data'!$AK$4:$AM$9,2,FALSE)=0,"Spatial Data Missing",VLOOKUP(J134,'G-7 Rivers Data'!$AK$4:$AM$9,2,FALSE)))</f>
        <v/>
      </c>
      <c r="L134" s="172" t="str">
        <f>IF(J134="","",IF(VLOOKUP(J134,'G-7 Rivers Data'!$AK$4:$AM$9,3,FALSE)=0,"Spatial Data Missing",VLOOKUP(J134,'G-7 Rivers Data'!$AK$4:$AM$9,3,FALSE)))</f>
        <v/>
      </c>
      <c r="M134" s="79"/>
      <c r="N134" s="172" t="str">
        <f>IF(M134="","",IF(VLOOKUP(M134,'G-7 Rivers Data'!$AA$4:$AB$7,2,FALSE)=0,"Spatial Data Missing",VLOOKUP(M134,'G-7 Rivers Data'!$AA$4:$AB$7,2,FALSE)))</f>
        <v/>
      </c>
      <c r="O134" s="187"/>
      <c r="P134" s="172" t="str">
        <f>IF(O134="","",IF(VLOOKUP(O134,'G-7 Rivers Data'!$AD$4:$AE$8,2,FALSE)=0,"Spatial Data Missing",VLOOKUP(O134,'G-7 Rivers Data'!$AD$4:$AE$8,2,FALSE)))</f>
        <v/>
      </c>
      <c r="Q134" s="177" t="str">
        <f>IF(D134="","",VLOOKUP(D134,'G-7 Rivers Data'!$B$2:$G$8,6,FALSE))</f>
        <v/>
      </c>
      <c r="R134" s="207" t="str">
        <f t="shared" si="8"/>
        <v/>
      </c>
      <c r="S134" s="44"/>
      <c r="T134" s="173"/>
      <c r="U134" s="189"/>
      <c r="V134" s="208" t="str">
        <f t="shared" si="9"/>
        <v/>
      </c>
      <c r="W134" s="208" t="str">
        <f t="shared" si="10"/>
        <v/>
      </c>
      <c r="X134" s="208" t="str">
        <f t="shared" si="11"/>
        <v/>
      </c>
      <c r="Y134" s="209" t="str">
        <f t="shared" si="12"/>
        <v/>
      </c>
      <c r="Z134" s="182"/>
      <c r="AA134" s="183"/>
      <c r="AG134" s="35">
        <f t="shared" si="13"/>
        <v>0</v>
      </c>
      <c r="AH134" s="188" t="str">
        <f t="shared" si="14"/>
        <v/>
      </c>
      <c r="AI134" s="188" t="str">
        <f t="shared" si="15"/>
        <v/>
      </c>
      <c r="AK134" s="188">
        <v>125</v>
      </c>
      <c r="AM134" s="188" t="str">
        <f t="array" ref="AM134">IFERROR(INDEX($AK$10:$AK$258, MATCH(0, IF(TRUE=$AH$10:$AH$258, COUNTIF($AM$9:$AM133, $AK$10:$AK$258), ""), 0)),"")</f>
        <v/>
      </c>
      <c r="AN134" s="188" t="str">
        <f t="array" ref="AN134">IFERROR(INDEX($AK$10:$AK$258, MATCH(0, IF(TRUE=$AI$10:$AI$258, COUNTIF($AN$9:$AN133, $AK$10:$AK$258), ""), 0)),"")</f>
        <v/>
      </c>
      <c r="AP134" s="35" t="str">
        <f>IFERROR(INDEX('G-7 Rivers Data'!$AZ$3:$AZ$7,MATCH(D134,'G-7 Rivers Data'!$AY$3:$AY$7,0)),"")</f>
        <v/>
      </c>
    </row>
    <row r="135" spans="3:42" ht="13.8" x14ac:dyDescent="0.25">
      <c r="C135" s="168">
        <v>126</v>
      </c>
      <c r="D135" s="212"/>
      <c r="E135" s="213"/>
      <c r="F135" s="171" t="str">
        <f>IF(D135="","",VLOOKUP(D135,'G-7 Rivers Data'!$B$2:$G$8,2,FALSE))</f>
        <v/>
      </c>
      <c r="G135" s="172" t="str">
        <f>IFERROR(VLOOKUP(F135,'G-7 Rivers Data'!$C$4:$D$8,2,FALSE),"")</f>
        <v/>
      </c>
      <c r="H135" s="173"/>
      <c r="I135" s="172" t="str">
        <f>IFERROR(INDEX('G-7 Rivers Data'!$H$4:$L$8,MATCH(D135,'G-7 Rivers Data'!$B$4:$B$8,0),MATCH(H135,'G-7 Rivers Data'!$H$3:$L$3,0)),"")</f>
        <v/>
      </c>
      <c r="J135" s="173"/>
      <c r="K135" s="172" t="str">
        <f>IF(J135="","",IF(VLOOKUP(J135,'G-7 Rivers Data'!$AK$4:$AM$9,2,FALSE)=0,"Spatial Data Missing",VLOOKUP(J135,'G-7 Rivers Data'!$AK$4:$AM$9,2,FALSE)))</f>
        <v/>
      </c>
      <c r="L135" s="172" t="str">
        <f>IF(J135="","",IF(VLOOKUP(J135,'G-7 Rivers Data'!$AK$4:$AM$9,3,FALSE)=0,"Spatial Data Missing",VLOOKUP(J135,'G-7 Rivers Data'!$AK$4:$AM$9,3,FALSE)))</f>
        <v/>
      </c>
      <c r="M135" s="79"/>
      <c r="N135" s="172" t="str">
        <f>IF(M135="","",IF(VLOOKUP(M135,'G-7 Rivers Data'!$AA$4:$AB$7,2,FALSE)=0,"Spatial Data Missing",VLOOKUP(M135,'G-7 Rivers Data'!$AA$4:$AB$7,2,FALSE)))</f>
        <v/>
      </c>
      <c r="O135" s="187"/>
      <c r="P135" s="172" t="str">
        <f>IF(O135="","",IF(VLOOKUP(O135,'G-7 Rivers Data'!$AD$4:$AE$8,2,FALSE)=0,"Spatial Data Missing",VLOOKUP(O135,'G-7 Rivers Data'!$AD$4:$AE$8,2,FALSE)))</f>
        <v/>
      </c>
      <c r="Q135" s="177" t="str">
        <f>IF(D135="","",VLOOKUP(D135,'G-7 Rivers Data'!$B$2:$G$8,6,FALSE))</f>
        <v/>
      </c>
      <c r="R135" s="207" t="str">
        <f t="shared" si="8"/>
        <v/>
      </c>
      <c r="S135" s="44"/>
      <c r="T135" s="173"/>
      <c r="U135" s="189"/>
      <c r="V135" s="208" t="str">
        <f t="shared" si="9"/>
        <v/>
      </c>
      <c r="W135" s="208" t="str">
        <f t="shared" si="10"/>
        <v/>
      </c>
      <c r="X135" s="208" t="str">
        <f t="shared" si="11"/>
        <v/>
      </c>
      <c r="Y135" s="209" t="str">
        <f t="shared" si="12"/>
        <v/>
      </c>
      <c r="Z135" s="182"/>
      <c r="AA135" s="183"/>
      <c r="AG135" s="35">
        <f t="shared" si="13"/>
        <v>0</v>
      </c>
      <c r="AH135" s="188" t="str">
        <f t="shared" si="14"/>
        <v/>
      </c>
      <c r="AI135" s="188" t="str">
        <f t="shared" si="15"/>
        <v/>
      </c>
      <c r="AK135" s="188">
        <v>126</v>
      </c>
      <c r="AM135" s="188" t="str">
        <f t="array" ref="AM135">IFERROR(INDEX($AK$10:$AK$258, MATCH(0, IF(TRUE=$AH$10:$AH$258, COUNTIF($AM$9:$AM134, $AK$10:$AK$258), ""), 0)),"")</f>
        <v/>
      </c>
      <c r="AN135" s="188" t="str">
        <f t="array" ref="AN135">IFERROR(INDEX($AK$10:$AK$258, MATCH(0, IF(TRUE=$AI$10:$AI$258, COUNTIF($AN$9:$AN134, $AK$10:$AK$258), ""), 0)),"")</f>
        <v/>
      </c>
      <c r="AP135" s="35" t="str">
        <f>IFERROR(INDEX('G-7 Rivers Data'!$AZ$3:$AZ$7,MATCH(D135,'G-7 Rivers Data'!$AY$3:$AY$7,0)),"")</f>
        <v/>
      </c>
    </row>
    <row r="136" spans="3:42" ht="13.8" x14ac:dyDescent="0.25">
      <c r="C136" s="168">
        <v>127</v>
      </c>
      <c r="D136" s="212"/>
      <c r="E136" s="213"/>
      <c r="F136" s="171" t="str">
        <f>IF(D136="","",VLOOKUP(D136,'G-7 Rivers Data'!$B$2:$G$8,2,FALSE))</f>
        <v/>
      </c>
      <c r="G136" s="172" t="str">
        <f>IFERROR(VLOOKUP(F136,'G-7 Rivers Data'!$C$4:$D$8,2,FALSE),"")</f>
        <v/>
      </c>
      <c r="H136" s="173"/>
      <c r="I136" s="172" t="str">
        <f>IFERROR(INDEX('G-7 Rivers Data'!$H$4:$L$8,MATCH(D136,'G-7 Rivers Data'!$B$4:$B$8,0),MATCH(H136,'G-7 Rivers Data'!$H$3:$L$3,0)),"")</f>
        <v/>
      </c>
      <c r="J136" s="173"/>
      <c r="K136" s="172" t="str">
        <f>IF(J136="","",IF(VLOOKUP(J136,'G-7 Rivers Data'!$AK$4:$AM$9,2,FALSE)=0,"Spatial Data Missing",VLOOKUP(J136,'G-7 Rivers Data'!$AK$4:$AM$9,2,FALSE)))</f>
        <v/>
      </c>
      <c r="L136" s="172" t="str">
        <f>IF(J136="","",IF(VLOOKUP(J136,'G-7 Rivers Data'!$AK$4:$AM$9,3,FALSE)=0,"Spatial Data Missing",VLOOKUP(J136,'G-7 Rivers Data'!$AK$4:$AM$9,3,FALSE)))</f>
        <v/>
      </c>
      <c r="M136" s="79"/>
      <c r="N136" s="172" t="str">
        <f>IF(M136="","",IF(VLOOKUP(M136,'G-7 Rivers Data'!$AA$4:$AB$7,2,FALSE)=0,"Spatial Data Missing",VLOOKUP(M136,'G-7 Rivers Data'!$AA$4:$AB$7,2,FALSE)))</f>
        <v/>
      </c>
      <c r="O136" s="187"/>
      <c r="P136" s="172" t="str">
        <f>IF(O136="","",IF(VLOOKUP(O136,'G-7 Rivers Data'!$AD$4:$AE$8,2,FALSE)=0,"Spatial Data Missing",VLOOKUP(O136,'G-7 Rivers Data'!$AD$4:$AE$8,2,FALSE)))</f>
        <v/>
      </c>
      <c r="Q136" s="177" t="str">
        <f>IF(D136="","",VLOOKUP(D136,'G-7 Rivers Data'!$B$2:$G$8,6,FALSE))</f>
        <v/>
      </c>
      <c r="R136" s="207" t="str">
        <f t="shared" si="8"/>
        <v/>
      </c>
      <c r="S136" s="44"/>
      <c r="T136" s="173"/>
      <c r="U136" s="189"/>
      <c r="V136" s="208" t="str">
        <f t="shared" si="9"/>
        <v/>
      </c>
      <c r="W136" s="208" t="str">
        <f t="shared" si="10"/>
        <v/>
      </c>
      <c r="X136" s="208" t="str">
        <f t="shared" si="11"/>
        <v/>
      </c>
      <c r="Y136" s="209" t="str">
        <f t="shared" si="12"/>
        <v/>
      </c>
      <c r="Z136" s="182"/>
      <c r="AA136" s="183"/>
      <c r="AG136" s="35">
        <f t="shared" si="13"/>
        <v>0</v>
      </c>
      <c r="AH136" s="188" t="str">
        <f t="shared" si="14"/>
        <v/>
      </c>
      <c r="AI136" s="188" t="str">
        <f t="shared" si="15"/>
        <v/>
      </c>
      <c r="AK136" s="188">
        <v>127</v>
      </c>
      <c r="AM136" s="188" t="str">
        <f t="array" ref="AM136">IFERROR(INDEX($AK$10:$AK$258, MATCH(0, IF(TRUE=$AH$10:$AH$258, COUNTIF($AM$9:$AM135, $AK$10:$AK$258), ""), 0)),"")</f>
        <v/>
      </c>
      <c r="AN136" s="188" t="str">
        <f t="array" ref="AN136">IFERROR(INDEX($AK$10:$AK$258, MATCH(0, IF(TRUE=$AI$10:$AI$258, COUNTIF($AN$9:$AN135, $AK$10:$AK$258), ""), 0)),"")</f>
        <v/>
      </c>
      <c r="AP136" s="35" t="str">
        <f>IFERROR(INDEX('G-7 Rivers Data'!$AZ$3:$AZ$7,MATCH(D136,'G-7 Rivers Data'!$AY$3:$AY$7,0)),"")</f>
        <v/>
      </c>
    </row>
    <row r="137" spans="3:42" ht="13.8" x14ac:dyDescent="0.25">
      <c r="C137" s="168">
        <v>128</v>
      </c>
      <c r="D137" s="212"/>
      <c r="E137" s="213"/>
      <c r="F137" s="171" t="str">
        <f>IF(D137="","",VLOOKUP(D137,'G-7 Rivers Data'!$B$2:$G$8,2,FALSE))</f>
        <v/>
      </c>
      <c r="G137" s="172" t="str">
        <f>IFERROR(VLOOKUP(F137,'G-7 Rivers Data'!$C$4:$D$8,2,FALSE),"")</f>
        <v/>
      </c>
      <c r="H137" s="173"/>
      <c r="I137" s="172" t="str">
        <f>IFERROR(INDEX('G-7 Rivers Data'!$H$4:$L$8,MATCH(D137,'G-7 Rivers Data'!$B$4:$B$8,0),MATCH(H137,'G-7 Rivers Data'!$H$3:$L$3,0)),"")</f>
        <v/>
      </c>
      <c r="J137" s="173"/>
      <c r="K137" s="172" t="str">
        <f>IF(J137="","",IF(VLOOKUP(J137,'G-7 Rivers Data'!$AK$4:$AM$9,2,FALSE)=0,"Spatial Data Missing",VLOOKUP(J137,'G-7 Rivers Data'!$AK$4:$AM$9,2,FALSE)))</f>
        <v/>
      </c>
      <c r="L137" s="172" t="str">
        <f>IF(J137="","",IF(VLOOKUP(J137,'G-7 Rivers Data'!$AK$4:$AM$9,3,FALSE)=0,"Spatial Data Missing",VLOOKUP(J137,'G-7 Rivers Data'!$AK$4:$AM$9,3,FALSE)))</f>
        <v/>
      </c>
      <c r="M137" s="79"/>
      <c r="N137" s="172" t="str">
        <f>IF(M137="","",IF(VLOOKUP(M137,'G-7 Rivers Data'!$AA$4:$AB$7,2,FALSE)=0,"Spatial Data Missing",VLOOKUP(M137,'G-7 Rivers Data'!$AA$4:$AB$7,2,FALSE)))</f>
        <v/>
      </c>
      <c r="O137" s="187"/>
      <c r="P137" s="172" t="str">
        <f>IF(O137="","",IF(VLOOKUP(O137,'G-7 Rivers Data'!$AD$4:$AE$8,2,FALSE)=0,"Spatial Data Missing",VLOOKUP(O137,'G-7 Rivers Data'!$AD$4:$AE$8,2,FALSE)))</f>
        <v/>
      </c>
      <c r="Q137" s="177" t="str">
        <f>IF(D137="","",VLOOKUP(D137,'G-7 Rivers Data'!$B$2:$G$8,6,FALSE))</f>
        <v/>
      </c>
      <c r="R137" s="207" t="str">
        <f t="shared" si="8"/>
        <v/>
      </c>
      <c r="S137" s="44"/>
      <c r="T137" s="173"/>
      <c r="U137" s="189"/>
      <c r="V137" s="208" t="str">
        <f t="shared" si="9"/>
        <v/>
      </c>
      <c r="W137" s="208" t="str">
        <f t="shared" si="10"/>
        <v/>
      </c>
      <c r="X137" s="208" t="str">
        <f t="shared" si="11"/>
        <v/>
      </c>
      <c r="Y137" s="209" t="str">
        <f t="shared" si="12"/>
        <v/>
      </c>
      <c r="Z137" s="182"/>
      <c r="AA137" s="183"/>
      <c r="AG137" s="35">
        <f t="shared" si="13"/>
        <v>0</v>
      </c>
      <c r="AH137" s="188" t="str">
        <f t="shared" si="14"/>
        <v/>
      </c>
      <c r="AI137" s="188" t="str">
        <f t="shared" si="15"/>
        <v/>
      </c>
      <c r="AK137" s="188">
        <v>128</v>
      </c>
      <c r="AM137" s="188" t="str">
        <f t="array" ref="AM137">IFERROR(INDEX($AK$10:$AK$258, MATCH(0, IF(TRUE=$AH$10:$AH$258, COUNTIF($AM$9:$AM136, $AK$10:$AK$258), ""), 0)),"")</f>
        <v/>
      </c>
      <c r="AN137" s="188" t="str">
        <f t="array" ref="AN137">IFERROR(INDEX($AK$10:$AK$258, MATCH(0, IF(TRUE=$AI$10:$AI$258, COUNTIF($AN$9:$AN136, $AK$10:$AK$258), ""), 0)),"")</f>
        <v/>
      </c>
      <c r="AP137" s="35" t="str">
        <f>IFERROR(INDEX('G-7 Rivers Data'!$AZ$3:$AZ$7,MATCH(D137,'G-7 Rivers Data'!$AY$3:$AY$7,0)),"")</f>
        <v/>
      </c>
    </row>
    <row r="138" spans="3:42" ht="13.8" x14ac:dyDescent="0.25">
      <c r="C138" s="168">
        <v>129</v>
      </c>
      <c r="D138" s="212"/>
      <c r="E138" s="213"/>
      <c r="F138" s="171" t="str">
        <f>IF(D138="","",VLOOKUP(D138,'G-7 Rivers Data'!$B$2:$G$8,2,FALSE))</f>
        <v/>
      </c>
      <c r="G138" s="172" t="str">
        <f>IFERROR(VLOOKUP(F138,'G-7 Rivers Data'!$C$4:$D$8,2,FALSE),"")</f>
        <v/>
      </c>
      <c r="H138" s="173"/>
      <c r="I138" s="172" t="str">
        <f>IFERROR(INDEX('G-7 Rivers Data'!$H$4:$L$8,MATCH(D138,'G-7 Rivers Data'!$B$4:$B$8,0),MATCH(H138,'G-7 Rivers Data'!$H$3:$L$3,0)),"")</f>
        <v/>
      </c>
      <c r="J138" s="173"/>
      <c r="K138" s="172" t="str">
        <f>IF(J138="","",IF(VLOOKUP(J138,'G-7 Rivers Data'!$AK$4:$AM$9,2,FALSE)=0,"Spatial Data Missing",VLOOKUP(J138,'G-7 Rivers Data'!$AK$4:$AM$9,2,FALSE)))</f>
        <v/>
      </c>
      <c r="L138" s="172" t="str">
        <f>IF(J138="","",IF(VLOOKUP(J138,'G-7 Rivers Data'!$AK$4:$AM$9,3,FALSE)=0,"Spatial Data Missing",VLOOKUP(J138,'G-7 Rivers Data'!$AK$4:$AM$9,3,FALSE)))</f>
        <v/>
      </c>
      <c r="M138" s="79"/>
      <c r="N138" s="172" t="str">
        <f>IF(M138="","",IF(VLOOKUP(M138,'G-7 Rivers Data'!$AA$4:$AB$7,2,FALSE)=0,"Spatial Data Missing",VLOOKUP(M138,'G-7 Rivers Data'!$AA$4:$AB$7,2,FALSE)))</f>
        <v/>
      </c>
      <c r="O138" s="187"/>
      <c r="P138" s="172" t="str">
        <f>IF(O138="","",IF(VLOOKUP(O138,'G-7 Rivers Data'!$AD$4:$AE$8,2,FALSE)=0,"Spatial Data Missing",VLOOKUP(O138,'G-7 Rivers Data'!$AD$4:$AE$8,2,FALSE)))</f>
        <v/>
      </c>
      <c r="Q138" s="177" t="str">
        <f>IF(D138="","",VLOOKUP(D138,'G-7 Rivers Data'!$B$2:$G$8,6,FALSE))</f>
        <v/>
      </c>
      <c r="R138" s="207" t="str">
        <f t="shared" si="8"/>
        <v/>
      </c>
      <c r="S138" s="44"/>
      <c r="T138" s="173"/>
      <c r="U138" s="189"/>
      <c r="V138" s="208" t="str">
        <f t="shared" si="9"/>
        <v/>
      </c>
      <c r="W138" s="208" t="str">
        <f t="shared" si="10"/>
        <v/>
      </c>
      <c r="X138" s="208" t="str">
        <f t="shared" si="11"/>
        <v/>
      </c>
      <c r="Y138" s="209" t="str">
        <f t="shared" si="12"/>
        <v/>
      </c>
      <c r="Z138" s="182"/>
      <c r="AA138" s="183"/>
      <c r="AG138" s="35">
        <f t="shared" si="13"/>
        <v>0</v>
      </c>
      <c r="AH138" s="188" t="str">
        <f t="shared" si="14"/>
        <v/>
      </c>
      <c r="AI138" s="188" t="str">
        <f t="shared" si="15"/>
        <v/>
      </c>
      <c r="AK138" s="188">
        <v>129</v>
      </c>
      <c r="AM138" s="188" t="str">
        <f t="array" ref="AM138">IFERROR(INDEX($AK$10:$AK$258, MATCH(0, IF(TRUE=$AH$10:$AH$258, COUNTIF($AM$9:$AM137, $AK$10:$AK$258), ""), 0)),"")</f>
        <v/>
      </c>
      <c r="AN138" s="188" t="str">
        <f t="array" ref="AN138">IFERROR(INDEX($AK$10:$AK$258, MATCH(0, IF(TRUE=$AI$10:$AI$258, COUNTIF($AN$9:$AN137, $AK$10:$AK$258), ""), 0)),"")</f>
        <v/>
      </c>
      <c r="AP138" s="35" t="str">
        <f>IFERROR(INDEX('G-7 Rivers Data'!$AZ$3:$AZ$7,MATCH(D138,'G-7 Rivers Data'!$AY$3:$AY$7,0)),"")</f>
        <v/>
      </c>
    </row>
    <row r="139" spans="3:42" ht="13.8" x14ac:dyDescent="0.25">
      <c r="C139" s="168">
        <v>130</v>
      </c>
      <c r="D139" s="212"/>
      <c r="E139" s="213"/>
      <c r="F139" s="171" t="str">
        <f>IF(D139="","",VLOOKUP(D139,'G-7 Rivers Data'!$B$2:$G$8,2,FALSE))</f>
        <v/>
      </c>
      <c r="G139" s="172" t="str">
        <f>IFERROR(VLOOKUP(F139,'G-7 Rivers Data'!$C$4:$D$8,2,FALSE),"")</f>
        <v/>
      </c>
      <c r="H139" s="173"/>
      <c r="I139" s="172" t="str">
        <f>IFERROR(INDEX('G-7 Rivers Data'!$H$4:$L$8,MATCH(D139,'G-7 Rivers Data'!$B$4:$B$8,0),MATCH(H139,'G-7 Rivers Data'!$H$3:$L$3,0)),"")</f>
        <v/>
      </c>
      <c r="J139" s="173"/>
      <c r="K139" s="172" t="str">
        <f>IF(J139="","",IF(VLOOKUP(J139,'G-7 Rivers Data'!$AK$4:$AM$9,2,FALSE)=0,"Spatial Data Missing",VLOOKUP(J139,'G-7 Rivers Data'!$AK$4:$AM$9,2,FALSE)))</f>
        <v/>
      </c>
      <c r="L139" s="172" t="str">
        <f>IF(J139="","",IF(VLOOKUP(J139,'G-7 Rivers Data'!$AK$4:$AM$9,3,FALSE)=0,"Spatial Data Missing",VLOOKUP(J139,'G-7 Rivers Data'!$AK$4:$AM$9,3,FALSE)))</f>
        <v/>
      </c>
      <c r="M139" s="79"/>
      <c r="N139" s="172" t="str">
        <f>IF(M139="","",IF(VLOOKUP(M139,'G-7 Rivers Data'!$AA$4:$AB$7,2,FALSE)=0,"Spatial Data Missing",VLOOKUP(M139,'G-7 Rivers Data'!$AA$4:$AB$7,2,FALSE)))</f>
        <v/>
      </c>
      <c r="O139" s="187"/>
      <c r="P139" s="172" t="str">
        <f>IF(O139="","",IF(VLOOKUP(O139,'G-7 Rivers Data'!$AD$4:$AE$8,2,FALSE)=0,"Spatial Data Missing",VLOOKUP(O139,'G-7 Rivers Data'!$AD$4:$AE$8,2,FALSE)))</f>
        <v/>
      </c>
      <c r="Q139" s="177" t="str">
        <f>IF(D139="","",VLOOKUP(D139,'G-7 Rivers Data'!$B$2:$G$8,6,FALSE))</f>
        <v/>
      </c>
      <c r="R139" s="207" t="str">
        <f t="shared" ref="R139:R202" si="16">IFERROR(IF(D139="","",E139*G139*I139*L139*N139*P139),"")</f>
        <v/>
      </c>
      <c r="S139" s="44"/>
      <c r="T139" s="173"/>
      <c r="U139" s="189"/>
      <c r="V139" s="208" t="str">
        <f t="shared" ref="V139:V202" si="17">IFERROR(IF(T139&gt;E139,"Check Lengths",T139*G139*I139*L139*N139*P139),"")</f>
        <v/>
      </c>
      <c r="W139" s="208" t="str">
        <f t="shared" ref="W139:W202" si="18">IFERROR(IF(D139="","",U139*G139*I139*L139*N139*P139),"")</f>
        <v/>
      </c>
      <c r="X139" s="208" t="str">
        <f t="shared" ref="X139:X202" si="19">IFERROR(IF(D139="","",IF(E139&gt;(T139+U139),E139-T139-U139,0)),"")</f>
        <v/>
      </c>
      <c r="Y139" s="209" t="str">
        <f t="shared" ref="Y139:Y202" si="20">IFERROR(IF(E139="","",IF((V139+W139)&gt;R139,0,R139-V139-W139)),"Check Data")</f>
        <v/>
      </c>
      <c r="Z139" s="182"/>
      <c r="AA139" s="183"/>
      <c r="AG139" s="35">
        <f t="shared" ref="AG139:AG202" si="21">IFERROR(IF(T139+U139&gt;E139,1,0),"")</f>
        <v>0</v>
      </c>
      <c r="AH139" s="188" t="str">
        <f t="shared" ref="AH139:AH202" si="22">IF(D139="","",IF(T139&gt;0,TRUE,FALSE))</f>
        <v/>
      </c>
      <c r="AI139" s="188" t="str">
        <f t="shared" ref="AI139:AI202" si="23">IF(D139="","",IF(U139&gt;0,TRUE,FALSE))</f>
        <v/>
      </c>
      <c r="AK139" s="188">
        <v>130</v>
      </c>
      <c r="AM139" s="188" t="str">
        <f t="array" ref="AM139">IFERROR(INDEX($AK$10:$AK$258, MATCH(0, IF(TRUE=$AH$10:$AH$258, COUNTIF($AM$9:$AM138, $AK$10:$AK$258), ""), 0)),"")</f>
        <v/>
      </c>
      <c r="AN139" s="188" t="str">
        <f t="array" ref="AN139">IFERROR(INDEX($AK$10:$AK$258, MATCH(0, IF(TRUE=$AI$10:$AI$258, COUNTIF($AN$9:$AN138, $AK$10:$AK$258), ""), 0)),"")</f>
        <v/>
      </c>
      <c r="AP139" s="35" t="str">
        <f>IFERROR(INDEX('G-7 Rivers Data'!$AZ$3:$AZ$7,MATCH(D139,'G-7 Rivers Data'!$AY$3:$AY$7,0)),"")</f>
        <v/>
      </c>
    </row>
    <row r="140" spans="3:42" ht="13.8" x14ac:dyDescent="0.25">
      <c r="C140" s="168">
        <v>131</v>
      </c>
      <c r="D140" s="212"/>
      <c r="E140" s="213"/>
      <c r="F140" s="171" t="str">
        <f>IF(D140="","",VLOOKUP(D140,'G-7 Rivers Data'!$B$2:$G$8,2,FALSE))</f>
        <v/>
      </c>
      <c r="G140" s="172" t="str">
        <f>IFERROR(VLOOKUP(F140,'G-7 Rivers Data'!$C$4:$D$8,2,FALSE),"")</f>
        <v/>
      </c>
      <c r="H140" s="173"/>
      <c r="I140" s="172" t="str">
        <f>IFERROR(INDEX('G-7 Rivers Data'!$H$4:$L$8,MATCH(D140,'G-7 Rivers Data'!$B$4:$B$8,0),MATCH(H140,'G-7 Rivers Data'!$H$3:$L$3,0)),"")</f>
        <v/>
      </c>
      <c r="J140" s="173"/>
      <c r="K140" s="172" t="str">
        <f>IF(J140="","",IF(VLOOKUP(J140,'G-7 Rivers Data'!$AK$4:$AM$9,2,FALSE)=0,"Spatial Data Missing",VLOOKUP(J140,'G-7 Rivers Data'!$AK$4:$AM$9,2,FALSE)))</f>
        <v/>
      </c>
      <c r="L140" s="172" t="str">
        <f>IF(J140="","",IF(VLOOKUP(J140,'G-7 Rivers Data'!$AK$4:$AM$9,3,FALSE)=0,"Spatial Data Missing",VLOOKUP(J140,'G-7 Rivers Data'!$AK$4:$AM$9,3,FALSE)))</f>
        <v/>
      </c>
      <c r="M140" s="79"/>
      <c r="N140" s="172" t="str">
        <f>IF(M140="","",IF(VLOOKUP(M140,'G-7 Rivers Data'!$AA$4:$AB$7,2,FALSE)=0,"Spatial Data Missing",VLOOKUP(M140,'G-7 Rivers Data'!$AA$4:$AB$7,2,FALSE)))</f>
        <v/>
      </c>
      <c r="O140" s="187"/>
      <c r="P140" s="172" t="str">
        <f>IF(O140="","",IF(VLOOKUP(O140,'G-7 Rivers Data'!$AD$4:$AE$8,2,FALSE)=0,"Spatial Data Missing",VLOOKUP(O140,'G-7 Rivers Data'!$AD$4:$AE$8,2,FALSE)))</f>
        <v/>
      </c>
      <c r="Q140" s="177" t="str">
        <f>IF(D140="","",VLOOKUP(D140,'G-7 Rivers Data'!$B$2:$G$8,6,FALSE))</f>
        <v/>
      </c>
      <c r="R140" s="207" t="str">
        <f t="shared" si="16"/>
        <v/>
      </c>
      <c r="S140" s="44"/>
      <c r="T140" s="173"/>
      <c r="U140" s="189"/>
      <c r="V140" s="208" t="str">
        <f t="shared" si="17"/>
        <v/>
      </c>
      <c r="W140" s="208" t="str">
        <f t="shared" si="18"/>
        <v/>
      </c>
      <c r="X140" s="208" t="str">
        <f t="shared" si="19"/>
        <v/>
      </c>
      <c r="Y140" s="209" t="str">
        <f t="shared" si="20"/>
        <v/>
      </c>
      <c r="Z140" s="182"/>
      <c r="AA140" s="183"/>
      <c r="AG140" s="35">
        <f t="shared" si="21"/>
        <v>0</v>
      </c>
      <c r="AH140" s="188" t="str">
        <f t="shared" si="22"/>
        <v/>
      </c>
      <c r="AI140" s="188" t="str">
        <f t="shared" si="23"/>
        <v/>
      </c>
      <c r="AK140" s="188">
        <v>131</v>
      </c>
      <c r="AM140" s="188" t="str">
        <f t="array" ref="AM140">IFERROR(INDEX($AK$10:$AK$258, MATCH(0, IF(TRUE=$AH$10:$AH$258, COUNTIF($AM$9:$AM139, $AK$10:$AK$258), ""), 0)),"")</f>
        <v/>
      </c>
      <c r="AN140" s="188" t="str">
        <f t="array" ref="AN140">IFERROR(INDEX($AK$10:$AK$258, MATCH(0, IF(TRUE=$AI$10:$AI$258, COUNTIF($AN$9:$AN139, $AK$10:$AK$258), ""), 0)),"")</f>
        <v/>
      </c>
      <c r="AP140" s="35" t="str">
        <f>IFERROR(INDEX('G-7 Rivers Data'!$AZ$3:$AZ$7,MATCH(D140,'G-7 Rivers Data'!$AY$3:$AY$7,0)),"")</f>
        <v/>
      </c>
    </row>
    <row r="141" spans="3:42" ht="13.8" x14ac:dyDescent="0.25">
      <c r="C141" s="168">
        <v>132</v>
      </c>
      <c r="D141" s="212"/>
      <c r="E141" s="213"/>
      <c r="F141" s="171" t="str">
        <f>IF(D141="","",VLOOKUP(D141,'G-7 Rivers Data'!$B$2:$G$8,2,FALSE))</f>
        <v/>
      </c>
      <c r="G141" s="172" t="str">
        <f>IFERROR(VLOOKUP(F141,'G-7 Rivers Data'!$C$4:$D$8,2,FALSE),"")</f>
        <v/>
      </c>
      <c r="H141" s="173"/>
      <c r="I141" s="172" t="str">
        <f>IFERROR(INDEX('G-7 Rivers Data'!$H$4:$L$8,MATCH(D141,'G-7 Rivers Data'!$B$4:$B$8,0),MATCH(H141,'G-7 Rivers Data'!$H$3:$L$3,0)),"")</f>
        <v/>
      </c>
      <c r="J141" s="173"/>
      <c r="K141" s="172" t="str">
        <f>IF(J141="","",IF(VLOOKUP(J141,'G-7 Rivers Data'!$AK$4:$AM$9,2,FALSE)=0,"Spatial Data Missing",VLOOKUP(J141,'G-7 Rivers Data'!$AK$4:$AM$9,2,FALSE)))</f>
        <v/>
      </c>
      <c r="L141" s="172" t="str">
        <f>IF(J141="","",IF(VLOOKUP(J141,'G-7 Rivers Data'!$AK$4:$AM$9,3,FALSE)=0,"Spatial Data Missing",VLOOKUP(J141,'G-7 Rivers Data'!$AK$4:$AM$9,3,FALSE)))</f>
        <v/>
      </c>
      <c r="M141" s="79"/>
      <c r="N141" s="172" t="str">
        <f>IF(M141="","",IF(VLOOKUP(M141,'G-7 Rivers Data'!$AA$4:$AB$7,2,FALSE)=0,"Spatial Data Missing",VLOOKUP(M141,'G-7 Rivers Data'!$AA$4:$AB$7,2,FALSE)))</f>
        <v/>
      </c>
      <c r="O141" s="187"/>
      <c r="P141" s="172" t="str">
        <f>IF(O141="","",IF(VLOOKUP(O141,'G-7 Rivers Data'!$AD$4:$AE$8,2,FALSE)=0,"Spatial Data Missing",VLOOKUP(O141,'G-7 Rivers Data'!$AD$4:$AE$8,2,FALSE)))</f>
        <v/>
      </c>
      <c r="Q141" s="177" t="str">
        <f>IF(D141="","",VLOOKUP(D141,'G-7 Rivers Data'!$B$2:$G$8,6,FALSE))</f>
        <v/>
      </c>
      <c r="R141" s="207" t="str">
        <f t="shared" si="16"/>
        <v/>
      </c>
      <c r="S141" s="44"/>
      <c r="T141" s="173"/>
      <c r="U141" s="189"/>
      <c r="V141" s="208" t="str">
        <f t="shared" si="17"/>
        <v/>
      </c>
      <c r="W141" s="208" t="str">
        <f t="shared" si="18"/>
        <v/>
      </c>
      <c r="X141" s="208" t="str">
        <f t="shared" si="19"/>
        <v/>
      </c>
      <c r="Y141" s="209" t="str">
        <f t="shared" si="20"/>
        <v/>
      </c>
      <c r="Z141" s="182"/>
      <c r="AA141" s="183"/>
      <c r="AG141" s="35">
        <f t="shared" si="21"/>
        <v>0</v>
      </c>
      <c r="AH141" s="188" t="str">
        <f t="shared" si="22"/>
        <v/>
      </c>
      <c r="AI141" s="188" t="str">
        <f t="shared" si="23"/>
        <v/>
      </c>
      <c r="AK141" s="188">
        <v>132</v>
      </c>
      <c r="AM141" s="188" t="str">
        <f t="array" ref="AM141">IFERROR(INDEX($AK$10:$AK$258, MATCH(0, IF(TRUE=$AH$10:$AH$258, COUNTIF($AM$9:$AM140, $AK$10:$AK$258), ""), 0)),"")</f>
        <v/>
      </c>
      <c r="AN141" s="188" t="str">
        <f t="array" ref="AN141">IFERROR(INDEX($AK$10:$AK$258, MATCH(0, IF(TRUE=$AI$10:$AI$258, COUNTIF($AN$9:$AN140, $AK$10:$AK$258), ""), 0)),"")</f>
        <v/>
      </c>
      <c r="AP141" s="35" t="str">
        <f>IFERROR(INDEX('G-7 Rivers Data'!$AZ$3:$AZ$7,MATCH(D141,'G-7 Rivers Data'!$AY$3:$AY$7,0)),"")</f>
        <v/>
      </c>
    </row>
    <row r="142" spans="3:42" ht="13.8" x14ac:dyDescent="0.25">
      <c r="C142" s="168">
        <v>133</v>
      </c>
      <c r="D142" s="212"/>
      <c r="E142" s="213"/>
      <c r="F142" s="171" t="str">
        <f>IF(D142="","",VLOOKUP(D142,'G-7 Rivers Data'!$B$2:$G$8,2,FALSE))</f>
        <v/>
      </c>
      <c r="G142" s="172" t="str">
        <f>IFERROR(VLOOKUP(F142,'G-7 Rivers Data'!$C$4:$D$8,2,FALSE),"")</f>
        <v/>
      </c>
      <c r="H142" s="173"/>
      <c r="I142" s="172" t="str">
        <f>IFERROR(INDEX('G-7 Rivers Data'!$H$4:$L$8,MATCH(D142,'G-7 Rivers Data'!$B$4:$B$8,0),MATCH(H142,'G-7 Rivers Data'!$H$3:$L$3,0)),"")</f>
        <v/>
      </c>
      <c r="J142" s="173"/>
      <c r="K142" s="172" t="str">
        <f>IF(J142="","",IF(VLOOKUP(J142,'G-7 Rivers Data'!$AK$4:$AM$9,2,FALSE)=0,"Spatial Data Missing",VLOOKUP(J142,'G-7 Rivers Data'!$AK$4:$AM$9,2,FALSE)))</f>
        <v/>
      </c>
      <c r="L142" s="172" t="str">
        <f>IF(J142="","",IF(VLOOKUP(J142,'G-7 Rivers Data'!$AK$4:$AM$9,3,FALSE)=0,"Spatial Data Missing",VLOOKUP(J142,'G-7 Rivers Data'!$AK$4:$AM$9,3,FALSE)))</f>
        <v/>
      </c>
      <c r="M142" s="79"/>
      <c r="N142" s="172" t="str">
        <f>IF(M142="","",IF(VLOOKUP(M142,'G-7 Rivers Data'!$AA$4:$AB$7,2,FALSE)=0,"Spatial Data Missing",VLOOKUP(M142,'G-7 Rivers Data'!$AA$4:$AB$7,2,FALSE)))</f>
        <v/>
      </c>
      <c r="O142" s="187"/>
      <c r="P142" s="172" t="str">
        <f>IF(O142="","",IF(VLOOKUP(O142,'G-7 Rivers Data'!$AD$4:$AE$8,2,FALSE)=0,"Spatial Data Missing",VLOOKUP(O142,'G-7 Rivers Data'!$AD$4:$AE$8,2,FALSE)))</f>
        <v/>
      </c>
      <c r="Q142" s="177" t="str">
        <f>IF(D142="","",VLOOKUP(D142,'G-7 Rivers Data'!$B$2:$G$8,6,FALSE))</f>
        <v/>
      </c>
      <c r="R142" s="207" t="str">
        <f t="shared" si="16"/>
        <v/>
      </c>
      <c r="S142" s="44"/>
      <c r="T142" s="173"/>
      <c r="U142" s="189"/>
      <c r="V142" s="208" t="str">
        <f t="shared" si="17"/>
        <v/>
      </c>
      <c r="W142" s="208" t="str">
        <f t="shared" si="18"/>
        <v/>
      </c>
      <c r="X142" s="208" t="str">
        <f t="shared" si="19"/>
        <v/>
      </c>
      <c r="Y142" s="209" t="str">
        <f t="shared" si="20"/>
        <v/>
      </c>
      <c r="Z142" s="182"/>
      <c r="AA142" s="183"/>
      <c r="AG142" s="35">
        <f t="shared" si="21"/>
        <v>0</v>
      </c>
      <c r="AH142" s="188" t="str">
        <f t="shared" si="22"/>
        <v/>
      </c>
      <c r="AI142" s="188" t="str">
        <f t="shared" si="23"/>
        <v/>
      </c>
      <c r="AK142" s="188">
        <v>133</v>
      </c>
      <c r="AM142" s="188" t="str">
        <f t="array" ref="AM142">IFERROR(INDEX($AK$10:$AK$258, MATCH(0, IF(TRUE=$AH$10:$AH$258, COUNTIF($AM$9:$AM141, $AK$10:$AK$258), ""), 0)),"")</f>
        <v/>
      </c>
      <c r="AN142" s="188" t="str">
        <f t="array" ref="AN142">IFERROR(INDEX($AK$10:$AK$258, MATCH(0, IF(TRUE=$AI$10:$AI$258, COUNTIF($AN$9:$AN141, $AK$10:$AK$258), ""), 0)),"")</f>
        <v/>
      </c>
      <c r="AP142" s="35" t="str">
        <f>IFERROR(INDEX('G-7 Rivers Data'!$AZ$3:$AZ$7,MATCH(D142,'G-7 Rivers Data'!$AY$3:$AY$7,0)),"")</f>
        <v/>
      </c>
    </row>
    <row r="143" spans="3:42" ht="13.8" x14ac:dyDescent="0.25">
      <c r="C143" s="168">
        <v>134</v>
      </c>
      <c r="D143" s="212"/>
      <c r="E143" s="213"/>
      <c r="F143" s="171" t="str">
        <f>IF(D143="","",VLOOKUP(D143,'G-7 Rivers Data'!$B$2:$G$8,2,FALSE))</f>
        <v/>
      </c>
      <c r="G143" s="172" t="str">
        <f>IFERROR(VLOOKUP(F143,'G-7 Rivers Data'!$C$4:$D$8,2,FALSE),"")</f>
        <v/>
      </c>
      <c r="H143" s="173"/>
      <c r="I143" s="172" t="str">
        <f>IFERROR(INDEX('G-7 Rivers Data'!$H$4:$L$8,MATCH(D143,'G-7 Rivers Data'!$B$4:$B$8,0),MATCH(H143,'G-7 Rivers Data'!$H$3:$L$3,0)),"")</f>
        <v/>
      </c>
      <c r="J143" s="173"/>
      <c r="K143" s="172" t="str">
        <f>IF(J143="","",IF(VLOOKUP(J143,'G-7 Rivers Data'!$AK$4:$AM$9,2,FALSE)=0,"Spatial Data Missing",VLOOKUP(J143,'G-7 Rivers Data'!$AK$4:$AM$9,2,FALSE)))</f>
        <v/>
      </c>
      <c r="L143" s="172" t="str">
        <f>IF(J143="","",IF(VLOOKUP(J143,'G-7 Rivers Data'!$AK$4:$AM$9,3,FALSE)=0,"Spatial Data Missing",VLOOKUP(J143,'G-7 Rivers Data'!$AK$4:$AM$9,3,FALSE)))</f>
        <v/>
      </c>
      <c r="M143" s="79"/>
      <c r="N143" s="172" t="str">
        <f>IF(M143="","",IF(VLOOKUP(M143,'G-7 Rivers Data'!$AA$4:$AB$7,2,FALSE)=0,"Spatial Data Missing",VLOOKUP(M143,'G-7 Rivers Data'!$AA$4:$AB$7,2,FALSE)))</f>
        <v/>
      </c>
      <c r="O143" s="187"/>
      <c r="P143" s="172" t="str">
        <f>IF(O143="","",IF(VLOOKUP(O143,'G-7 Rivers Data'!$AD$4:$AE$8,2,FALSE)=0,"Spatial Data Missing",VLOOKUP(O143,'G-7 Rivers Data'!$AD$4:$AE$8,2,FALSE)))</f>
        <v/>
      </c>
      <c r="Q143" s="177" t="str">
        <f>IF(D143="","",VLOOKUP(D143,'G-7 Rivers Data'!$B$2:$G$8,6,FALSE))</f>
        <v/>
      </c>
      <c r="R143" s="207" t="str">
        <f t="shared" si="16"/>
        <v/>
      </c>
      <c r="S143" s="44"/>
      <c r="T143" s="173"/>
      <c r="U143" s="189"/>
      <c r="V143" s="208" t="str">
        <f t="shared" si="17"/>
        <v/>
      </c>
      <c r="W143" s="208" t="str">
        <f t="shared" si="18"/>
        <v/>
      </c>
      <c r="X143" s="208" t="str">
        <f t="shared" si="19"/>
        <v/>
      </c>
      <c r="Y143" s="209" t="str">
        <f t="shared" si="20"/>
        <v/>
      </c>
      <c r="Z143" s="182"/>
      <c r="AA143" s="183"/>
      <c r="AG143" s="35">
        <f t="shared" si="21"/>
        <v>0</v>
      </c>
      <c r="AH143" s="188" t="str">
        <f t="shared" si="22"/>
        <v/>
      </c>
      <c r="AI143" s="188" t="str">
        <f t="shared" si="23"/>
        <v/>
      </c>
      <c r="AK143" s="188">
        <v>134</v>
      </c>
      <c r="AM143" s="188" t="str">
        <f t="array" ref="AM143">IFERROR(INDEX($AK$10:$AK$258, MATCH(0, IF(TRUE=$AH$10:$AH$258, COUNTIF($AM$9:$AM142, $AK$10:$AK$258), ""), 0)),"")</f>
        <v/>
      </c>
      <c r="AN143" s="188" t="str">
        <f t="array" ref="AN143">IFERROR(INDEX($AK$10:$AK$258, MATCH(0, IF(TRUE=$AI$10:$AI$258, COUNTIF($AN$9:$AN142, $AK$10:$AK$258), ""), 0)),"")</f>
        <v/>
      </c>
      <c r="AP143" s="35" t="str">
        <f>IFERROR(INDEX('G-7 Rivers Data'!$AZ$3:$AZ$7,MATCH(D143,'G-7 Rivers Data'!$AY$3:$AY$7,0)),"")</f>
        <v/>
      </c>
    </row>
    <row r="144" spans="3:42" ht="13.8" x14ac:dyDescent="0.25">
      <c r="C144" s="168">
        <v>135</v>
      </c>
      <c r="D144" s="212"/>
      <c r="E144" s="213"/>
      <c r="F144" s="171" t="str">
        <f>IF(D144="","",VLOOKUP(D144,'G-7 Rivers Data'!$B$2:$G$8,2,FALSE))</f>
        <v/>
      </c>
      <c r="G144" s="172" t="str">
        <f>IFERROR(VLOOKUP(F144,'G-7 Rivers Data'!$C$4:$D$8,2,FALSE),"")</f>
        <v/>
      </c>
      <c r="H144" s="173"/>
      <c r="I144" s="172" t="str">
        <f>IFERROR(INDEX('G-7 Rivers Data'!$H$4:$L$8,MATCH(D144,'G-7 Rivers Data'!$B$4:$B$8,0),MATCH(H144,'G-7 Rivers Data'!$H$3:$L$3,0)),"")</f>
        <v/>
      </c>
      <c r="J144" s="173"/>
      <c r="K144" s="172" t="str">
        <f>IF(J144="","",IF(VLOOKUP(J144,'G-7 Rivers Data'!$AK$4:$AM$9,2,FALSE)=0,"Spatial Data Missing",VLOOKUP(J144,'G-7 Rivers Data'!$AK$4:$AM$9,2,FALSE)))</f>
        <v/>
      </c>
      <c r="L144" s="172" t="str">
        <f>IF(J144="","",IF(VLOOKUP(J144,'G-7 Rivers Data'!$AK$4:$AM$9,3,FALSE)=0,"Spatial Data Missing",VLOOKUP(J144,'G-7 Rivers Data'!$AK$4:$AM$9,3,FALSE)))</f>
        <v/>
      </c>
      <c r="M144" s="79"/>
      <c r="N144" s="172" t="str">
        <f>IF(M144="","",IF(VLOOKUP(M144,'G-7 Rivers Data'!$AA$4:$AB$7,2,FALSE)=0,"Spatial Data Missing",VLOOKUP(M144,'G-7 Rivers Data'!$AA$4:$AB$7,2,FALSE)))</f>
        <v/>
      </c>
      <c r="O144" s="187"/>
      <c r="P144" s="172" t="str">
        <f>IF(O144="","",IF(VLOOKUP(O144,'G-7 Rivers Data'!$AD$4:$AE$8,2,FALSE)=0,"Spatial Data Missing",VLOOKUP(O144,'G-7 Rivers Data'!$AD$4:$AE$8,2,FALSE)))</f>
        <v/>
      </c>
      <c r="Q144" s="177" t="str">
        <f>IF(D144="","",VLOOKUP(D144,'G-7 Rivers Data'!$B$2:$G$8,6,FALSE))</f>
        <v/>
      </c>
      <c r="R144" s="207" t="str">
        <f t="shared" si="16"/>
        <v/>
      </c>
      <c r="S144" s="44"/>
      <c r="T144" s="173"/>
      <c r="U144" s="189"/>
      <c r="V144" s="208" t="str">
        <f t="shared" si="17"/>
        <v/>
      </c>
      <c r="W144" s="208" t="str">
        <f t="shared" si="18"/>
        <v/>
      </c>
      <c r="X144" s="208" t="str">
        <f t="shared" si="19"/>
        <v/>
      </c>
      <c r="Y144" s="209" t="str">
        <f t="shared" si="20"/>
        <v/>
      </c>
      <c r="Z144" s="182"/>
      <c r="AA144" s="183"/>
      <c r="AG144" s="35">
        <f t="shared" si="21"/>
        <v>0</v>
      </c>
      <c r="AH144" s="188" t="str">
        <f t="shared" si="22"/>
        <v/>
      </c>
      <c r="AI144" s="188" t="str">
        <f t="shared" si="23"/>
        <v/>
      </c>
      <c r="AK144" s="188">
        <v>135</v>
      </c>
      <c r="AM144" s="188" t="str">
        <f t="array" ref="AM144">IFERROR(INDEX($AK$10:$AK$258, MATCH(0, IF(TRUE=$AH$10:$AH$258, COUNTIF($AM$9:$AM143, $AK$10:$AK$258), ""), 0)),"")</f>
        <v/>
      </c>
      <c r="AN144" s="188" t="str">
        <f t="array" ref="AN144">IFERROR(INDEX($AK$10:$AK$258, MATCH(0, IF(TRUE=$AI$10:$AI$258, COUNTIF($AN$9:$AN143, $AK$10:$AK$258), ""), 0)),"")</f>
        <v/>
      </c>
      <c r="AP144" s="35" t="str">
        <f>IFERROR(INDEX('G-7 Rivers Data'!$AZ$3:$AZ$7,MATCH(D144,'G-7 Rivers Data'!$AY$3:$AY$7,0)),"")</f>
        <v/>
      </c>
    </row>
    <row r="145" spans="3:42" ht="13.8" x14ac:dyDescent="0.25">
      <c r="C145" s="168">
        <v>136</v>
      </c>
      <c r="D145" s="212"/>
      <c r="E145" s="213"/>
      <c r="F145" s="171" t="str">
        <f>IF(D145="","",VLOOKUP(D145,'G-7 Rivers Data'!$B$2:$G$8,2,FALSE))</f>
        <v/>
      </c>
      <c r="G145" s="172" t="str">
        <f>IFERROR(VLOOKUP(F145,'G-7 Rivers Data'!$C$4:$D$8,2,FALSE),"")</f>
        <v/>
      </c>
      <c r="H145" s="173"/>
      <c r="I145" s="172" t="str">
        <f>IFERROR(INDEX('G-7 Rivers Data'!$H$4:$L$8,MATCH(D145,'G-7 Rivers Data'!$B$4:$B$8,0),MATCH(H145,'G-7 Rivers Data'!$H$3:$L$3,0)),"")</f>
        <v/>
      </c>
      <c r="J145" s="173"/>
      <c r="K145" s="172" t="str">
        <f>IF(J145="","",IF(VLOOKUP(J145,'G-7 Rivers Data'!$AK$4:$AM$9,2,FALSE)=0,"Spatial Data Missing",VLOOKUP(J145,'G-7 Rivers Data'!$AK$4:$AM$9,2,FALSE)))</f>
        <v/>
      </c>
      <c r="L145" s="172" t="str">
        <f>IF(J145="","",IF(VLOOKUP(J145,'G-7 Rivers Data'!$AK$4:$AM$9,3,FALSE)=0,"Spatial Data Missing",VLOOKUP(J145,'G-7 Rivers Data'!$AK$4:$AM$9,3,FALSE)))</f>
        <v/>
      </c>
      <c r="M145" s="79"/>
      <c r="N145" s="172" t="str">
        <f>IF(M145="","",IF(VLOOKUP(M145,'G-7 Rivers Data'!$AA$4:$AB$7,2,FALSE)=0,"Spatial Data Missing",VLOOKUP(M145,'G-7 Rivers Data'!$AA$4:$AB$7,2,FALSE)))</f>
        <v/>
      </c>
      <c r="O145" s="187"/>
      <c r="P145" s="172" t="str">
        <f>IF(O145="","",IF(VLOOKUP(O145,'G-7 Rivers Data'!$AD$4:$AE$8,2,FALSE)=0,"Spatial Data Missing",VLOOKUP(O145,'G-7 Rivers Data'!$AD$4:$AE$8,2,FALSE)))</f>
        <v/>
      </c>
      <c r="Q145" s="177" t="str">
        <f>IF(D145="","",VLOOKUP(D145,'G-7 Rivers Data'!$B$2:$G$8,6,FALSE))</f>
        <v/>
      </c>
      <c r="R145" s="207" t="str">
        <f t="shared" si="16"/>
        <v/>
      </c>
      <c r="S145" s="44"/>
      <c r="T145" s="173"/>
      <c r="U145" s="189"/>
      <c r="V145" s="208" t="str">
        <f t="shared" si="17"/>
        <v/>
      </c>
      <c r="W145" s="208" t="str">
        <f t="shared" si="18"/>
        <v/>
      </c>
      <c r="X145" s="208" t="str">
        <f t="shared" si="19"/>
        <v/>
      </c>
      <c r="Y145" s="209" t="str">
        <f t="shared" si="20"/>
        <v/>
      </c>
      <c r="Z145" s="182"/>
      <c r="AA145" s="183"/>
      <c r="AG145" s="35">
        <f t="shared" si="21"/>
        <v>0</v>
      </c>
      <c r="AH145" s="188" t="str">
        <f t="shared" si="22"/>
        <v/>
      </c>
      <c r="AI145" s="188" t="str">
        <f t="shared" si="23"/>
        <v/>
      </c>
      <c r="AK145" s="188">
        <v>136</v>
      </c>
      <c r="AM145" s="188" t="str">
        <f t="array" ref="AM145">IFERROR(INDEX($AK$10:$AK$258, MATCH(0, IF(TRUE=$AH$10:$AH$258, COUNTIF($AM$9:$AM144, $AK$10:$AK$258), ""), 0)),"")</f>
        <v/>
      </c>
      <c r="AN145" s="188" t="str">
        <f t="array" ref="AN145">IFERROR(INDEX($AK$10:$AK$258, MATCH(0, IF(TRUE=$AI$10:$AI$258, COUNTIF($AN$9:$AN144, $AK$10:$AK$258), ""), 0)),"")</f>
        <v/>
      </c>
      <c r="AP145" s="35" t="str">
        <f>IFERROR(INDEX('G-7 Rivers Data'!$AZ$3:$AZ$7,MATCH(D145,'G-7 Rivers Data'!$AY$3:$AY$7,0)),"")</f>
        <v/>
      </c>
    </row>
    <row r="146" spans="3:42" ht="13.8" x14ac:dyDescent="0.25">
      <c r="C146" s="168">
        <v>137</v>
      </c>
      <c r="D146" s="212"/>
      <c r="E146" s="213"/>
      <c r="F146" s="171" t="str">
        <f>IF(D146="","",VLOOKUP(D146,'G-7 Rivers Data'!$B$2:$G$8,2,FALSE))</f>
        <v/>
      </c>
      <c r="G146" s="172" t="str">
        <f>IFERROR(VLOOKUP(F146,'G-7 Rivers Data'!$C$4:$D$8,2,FALSE),"")</f>
        <v/>
      </c>
      <c r="H146" s="173"/>
      <c r="I146" s="172" t="str">
        <f>IFERROR(INDEX('G-7 Rivers Data'!$H$4:$L$8,MATCH(D146,'G-7 Rivers Data'!$B$4:$B$8,0),MATCH(H146,'G-7 Rivers Data'!$H$3:$L$3,0)),"")</f>
        <v/>
      </c>
      <c r="J146" s="173"/>
      <c r="K146" s="172" t="str">
        <f>IF(J146="","",IF(VLOOKUP(J146,'G-7 Rivers Data'!$AK$4:$AM$9,2,FALSE)=0,"Spatial Data Missing",VLOOKUP(J146,'G-7 Rivers Data'!$AK$4:$AM$9,2,FALSE)))</f>
        <v/>
      </c>
      <c r="L146" s="172" t="str">
        <f>IF(J146="","",IF(VLOOKUP(J146,'G-7 Rivers Data'!$AK$4:$AM$9,3,FALSE)=0,"Spatial Data Missing",VLOOKUP(J146,'G-7 Rivers Data'!$AK$4:$AM$9,3,FALSE)))</f>
        <v/>
      </c>
      <c r="M146" s="79"/>
      <c r="N146" s="172" t="str">
        <f>IF(M146="","",IF(VLOOKUP(M146,'G-7 Rivers Data'!$AA$4:$AB$7,2,FALSE)=0,"Spatial Data Missing",VLOOKUP(M146,'G-7 Rivers Data'!$AA$4:$AB$7,2,FALSE)))</f>
        <v/>
      </c>
      <c r="O146" s="187"/>
      <c r="P146" s="172" t="str">
        <f>IF(O146="","",IF(VLOOKUP(O146,'G-7 Rivers Data'!$AD$4:$AE$8,2,FALSE)=0,"Spatial Data Missing",VLOOKUP(O146,'G-7 Rivers Data'!$AD$4:$AE$8,2,FALSE)))</f>
        <v/>
      </c>
      <c r="Q146" s="177" t="str">
        <f>IF(D146="","",VLOOKUP(D146,'G-7 Rivers Data'!$B$2:$G$8,6,FALSE))</f>
        <v/>
      </c>
      <c r="R146" s="207" t="str">
        <f t="shared" si="16"/>
        <v/>
      </c>
      <c r="S146" s="44"/>
      <c r="T146" s="173"/>
      <c r="U146" s="189"/>
      <c r="V146" s="208" t="str">
        <f t="shared" si="17"/>
        <v/>
      </c>
      <c r="W146" s="208" t="str">
        <f t="shared" si="18"/>
        <v/>
      </c>
      <c r="X146" s="208" t="str">
        <f t="shared" si="19"/>
        <v/>
      </c>
      <c r="Y146" s="209" t="str">
        <f t="shared" si="20"/>
        <v/>
      </c>
      <c r="Z146" s="182"/>
      <c r="AA146" s="183"/>
      <c r="AG146" s="35">
        <f t="shared" si="21"/>
        <v>0</v>
      </c>
      <c r="AH146" s="188" t="str">
        <f t="shared" si="22"/>
        <v/>
      </c>
      <c r="AI146" s="188" t="str">
        <f t="shared" si="23"/>
        <v/>
      </c>
      <c r="AK146" s="188">
        <v>137</v>
      </c>
      <c r="AM146" s="188" t="str">
        <f t="array" ref="AM146">IFERROR(INDEX($AK$10:$AK$258, MATCH(0, IF(TRUE=$AH$10:$AH$258, COUNTIF($AM$9:$AM145, $AK$10:$AK$258), ""), 0)),"")</f>
        <v/>
      </c>
      <c r="AN146" s="188" t="str">
        <f t="array" ref="AN146">IFERROR(INDEX($AK$10:$AK$258, MATCH(0, IF(TRUE=$AI$10:$AI$258, COUNTIF($AN$9:$AN145, $AK$10:$AK$258), ""), 0)),"")</f>
        <v/>
      </c>
      <c r="AP146" s="35" t="str">
        <f>IFERROR(INDEX('G-7 Rivers Data'!$AZ$3:$AZ$7,MATCH(D146,'G-7 Rivers Data'!$AY$3:$AY$7,0)),"")</f>
        <v/>
      </c>
    </row>
    <row r="147" spans="3:42" ht="13.8" x14ac:dyDescent="0.25">
      <c r="C147" s="168">
        <v>138</v>
      </c>
      <c r="D147" s="212"/>
      <c r="E147" s="213"/>
      <c r="F147" s="171" t="str">
        <f>IF(D147="","",VLOOKUP(D147,'G-7 Rivers Data'!$B$2:$G$8,2,FALSE))</f>
        <v/>
      </c>
      <c r="G147" s="172" t="str">
        <f>IFERROR(VLOOKUP(F147,'G-7 Rivers Data'!$C$4:$D$8,2,FALSE),"")</f>
        <v/>
      </c>
      <c r="H147" s="173"/>
      <c r="I147" s="172" t="str">
        <f>IFERROR(INDEX('G-7 Rivers Data'!$H$4:$L$8,MATCH(D147,'G-7 Rivers Data'!$B$4:$B$8,0),MATCH(H147,'G-7 Rivers Data'!$H$3:$L$3,0)),"")</f>
        <v/>
      </c>
      <c r="J147" s="173"/>
      <c r="K147" s="172" t="str">
        <f>IF(J147="","",IF(VLOOKUP(J147,'G-7 Rivers Data'!$AK$4:$AM$9,2,FALSE)=0,"Spatial Data Missing",VLOOKUP(J147,'G-7 Rivers Data'!$AK$4:$AM$9,2,FALSE)))</f>
        <v/>
      </c>
      <c r="L147" s="172" t="str">
        <f>IF(J147="","",IF(VLOOKUP(J147,'G-7 Rivers Data'!$AK$4:$AM$9,3,FALSE)=0,"Spatial Data Missing",VLOOKUP(J147,'G-7 Rivers Data'!$AK$4:$AM$9,3,FALSE)))</f>
        <v/>
      </c>
      <c r="M147" s="79"/>
      <c r="N147" s="172" t="str">
        <f>IF(M147="","",IF(VLOOKUP(M147,'G-7 Rivers Data'!$AA$4:$AB$7,2,FALSE)=0,"Spatial Data Missing",VLOOKUP(M147,'G-7 Rivers Data'!$AA$4:$AB$7,2,FALSE)))</f>
        <v/>
      </c>
      <c r="O147" s="187"/>
      <c r="P147" s="172" t="str">
        <f>IF(O147="","",IF(VLOOKUP(O147,'G-7 Rivers Data'!$AD$4:$AE$8,2,FALSE)=0,"Spatial Data Missing",VLOOKUP(O147,'G-7 Rivers Data'!$AD$4:$AE$8,2,FALSE)))</f>
        <v/>
      </c>
      <c r="Q147" s="177" t="str">
        <f>IF(D147="","",VLOOKUP(D147,'G-7 Rivers Data'!$B$2:$G$8,6,FALSE))</f>
        <v/>
      </c>
      <c r="R147" s="207" t="str">
        <f t="shared" si="16"/>
        <v/>
      </c>
      <c r="S147" s="44"/>
      <c r="T147" s="173"/>
      <c r="U147" s="189"/>
      <c r="V147" s="208" t="str">
        <f t="shared" si="17"/>
        <v/>
      </c>
      <c r="W147" s="208" t="str">
        <f t="shared" si="18"/>
        <v/>
      </c>
      <c r="X147" s="208" t="str">
        <f t="shared" si="19"/>
        <v/>
      </c>
      <c r="Y147" s="209" t="str">
        <f t="shared" si="20"/>
        <v/>
      </c>
      <c r="Z147" s="182"/>
      <c r="AA147" s="183"/>
      <c r="AG147" s="35">
        <f t="shared" si="21"/>
        <v>0</v>
      </c>
      <c r="AH147" s="188" t="str">
        <f t="shared" si="22"/>
        <v/>
      </c>
      <c r="AI147" s="188" t="str">
        <f t="shared" si="23"/>
        <v/>
      </c>
      <c r="AK147" s="188">
        <v>138</v>
      </c>
      <c r="AM147" s="188" t="str">
        <f t="array" ref="AM147">IFERROR(INDEX($AK$10:$AK$258, MATCH(0, IF(TRUE=$AH$10:$AH$258, COUNTIF($AM$9:$AM146, $AK$10:$AK$258), ""), 0)),"")</f>
        <v/>
      </c>
      <c r="AN147" s="188" t="str">
        <f t="array" ref="AN147">IFERROR(INDEX($AK$10:$AK$258, MATCH(0, IF(TRUE=$AI$10:$AI$258, COUNTIF($AN$9:$AN146, $AK$10:$AK$258), ""), 0)),"")</f>
        <v/>
      </c>
      <c r="AP147" s="35" t="str">
        <f>IFERROR(INDEX('G-7 Rivers Data'!$AZ$3:$AZ$7,MATCH(D147,'G-7 Rivers Data'!$AY$3:$AY$7,0)),"")</f>
        <v/>
      </c>
    </row>
    <row r="148" spans="3:42" ht="13.8" x14ac:dyDescent="0.25">
      <c r="C148" s="168">
        <v>139</v>
      </c>
      <c r="D148" s="212"/>
      <c r="E148" s="213"/>
      <c r="F148" s="171" t="str">
        <f>IF(D148="","",VLOOKUP(D148,'G-7 Rivers Data'!$B$2:$G$8,2,FALSE))</f>
        <v/>
      </c>
      <c r="G148" s="172" t="str">
        <f>IFERROR(VLOOKUP(F148,'G-7 Rivers Data'!$C$4:$D$8,2,FALSE),"")</f>
        <v/>
      </c>
      <c r="H148" s="173"/>
      <c r="I148" s="172" t="str">
        <f>IFERROR(INDEX('G-7 Rivers Data'!$H$4:$L$8,MATCH(D148,'G-7 Rivers Data'!$B$4:$B$8,0),MATCH(H148,'G-7 Rivers Data'!$H$3:$L$3,0)),"")</f>
        <v/>
      </c>
      <c r="J148" s="173"/>
      <c r="K148" s="172" t="str">
        <f>IF(J148="","",IF(VLOOKUP(J148,'G-7 Rivers Data'!$AK$4:$AM$9,2,FALSE)=0,"Spatial Data Missing",VLOOKUP(J148,'G-7 Rivers Data'!$AK$4:$AM$9,2,FALSE)))</f>
        <v/>
      </c>
      <c r="L148" s="172" t="str">
        <f>IF(J148="","",IF(VLOOKUP(J148,'G-7 Rivers Data'!$AK$4:$AM$9,3,FALSE)=0,"Spatial Data Missing",VLOOKUP(J148,'G-7 Rivers Data'!$AK$4:$AM$9,3,FALSE)))</f>
        <v/>
      </c>
      <c r="M148" s="79"/>
      <c r="N148" s="172" t="str">
        <f>IF(M148="","",IF(VLOOKUP(M148,'G-7 Rivers Data'!$AA$4:$AB$7,2,FALSE)=0,"Spatial Data Missing",VLOOKUP(M148,'G-7 Rivers Data'!$AA$4:$AB$7,2,FALSE)))</f>
        <v/>
      </c>
      <c r="O148" s="187"/>
      <c r="P148" s="172" t="str">
        <f>IF(O148="","",IF(VLOOKUP(O148,'G-7 Rivers Data'!$AD$4:$AE$8,2,FALSE)=0,"Spatial Data Missing",VLOOKUP(O148,'G-7 Rivers Data'!$AD$4:$AE$8,2,FALSE)))</f>
        <v/>
      </c>
      <c r="Q148" s="177" t="str">
        <f>IF(D148="","",VLOOKUP(D148,'G-7 Rivers Data'!$B$2:$G$8,6,FALSE))</f>
        <v/>
      </c>
      <c r="R148" s="207" t="str">
        <f t="shared" si="16"/>
        <v/>
      </c>
      <c r="S148" s="44"/>
      <c r="T148" s="173"/>
      <c r="U148" s="189"/>
      <c r="V148" s="208" t="str">
        <f t="shared" si="17"/>
        <v/>
      </c>
      <c r="W148" s="208" t="str">
        <f t="shared" si="18"/>
        <v/>
      </c>
      <c r="X148" s="208" t="str">
        <f t="shared" si="19"/>
        <v/>
      </c>
      <c r="Y148" s="209" t="str">
        <f t="shared" si="20"/>
        <v/>
      </c>
      <c r="Z148" s="182"/>
      <c r="AA148" s="183"/>
      <c r="AG148" s="35">
        <f t="shared" si="21"/>
        <v>0</v>
      </c>
      <c r="AH148" s="188" t="str">
        <f t="shared" si="22"/>
        <v/>
      </c>
      <c r="AI148" s="188" t="str">
        <f t="shared" si="23"/>
        <v/>
      </c>
      <c r="AK148" s="188">
        <v>139</v>
      </c>
      <c r="AM148" s="188" t="str">
        <f t="array" ref="AM148">IFERROR(INDEX($AK$10:$AK$258, MATCH(0, IF(TRUE=$AH$10:$AH$258, COUNTIF($AM$9:$AM147, $AK$10:$AK$258), ""), 0)),"")</f>
        <v/>
      </c>
      <c r="AN148" s="188" t="str">
        <f t="array" ref="AN148">IFERROR(INDEX($AK$10:$AK$258, MATCH(0, IF(TRUE=$AI$10:$AI$258, COUNTIF($AN$9:$AN147, $AK$10:$AK$258), ""), 0)),"")</f>
        <v/>
      </c>
      <c r="AP148" s="35" t="str">
        <f>IFERROR(INDEX('G-7 Rivers Data'!$AZ$3:$AZ$7,MATCH(D148,'G-7 Rivers Data'!$AY$3:$AY$7,0)),"")</f>
        <v/>
      </c>
    </row>
    <row r="149" spans="3:42" ht="13.8" x14ac:dyDescent="0.25">
      <c r="C149" s="168">
        <v>140</v>
      </c>
      <c r="D149" s="212"/>
      <c r="E149" s="213"/>
      <c r="F149" s="171" t="str">
        <f>IF(D149="","",VLOOKUP(D149,'G-7 Rivers Data'!$B$2:$G$8,2,FALSE))</f>
        <v/>
      </c>
      <c r="G149" s="172" t="str">
        <f>IFERROR(VLOOKUP(F149,'G-7 Rivers Data'!$C$4:$D$8,2,FALSE),"")</f>
        <v/>
      </c>
      <c r="H149" s="173"/>
      <c r="I149" s="172" t="str">
        <f>IFERROR(INDEX('G-7 Rivers Data'!$H$4:$L$8,MATCH(D149,'G-7 Rivers Data'!$B$4:$B$8,0),MATCH(H149,'G-7 Rivers Data'!$H$3:$L$3,0)),"")</f>
        <v/>
      </c>
      <c r="J149" s="173"/>
      <c r="K149" s="172" t="str">
        <f>IF(J149="","",IF(VLOOKUP(J149,'G-7 Rivers Data'!$AK$4:$AM$9,2,FALSE)=0,"Spatial Data Missing",VLOOKUP(J149,'G-7 Rivers Data'!$AK$4:$AM$9,2,FALSE)))</f>
        <v/>
      </c>
      <c r="L149" s="172" t="str">
        <f>IF(J149="","",IF(VLOOKUP(J149,'G-7 Rivers Data'!$AK$4:$AM$9,3,FALSE)=0,"Spatial Data Missing",VLOOKUP(J149,'G-7 Rivers Data'!$AK$4:$AM$9,3,FALSE)))</f>
        <v/>
      </c>
      <c r="M149" s="79"/>
      <c r="N149" s="172" t="str">
        <f>IF(M149="","",IF(VLOOKUP(M149,'G-7 Rivers Data'!$AA$4:$AB$7,2,FALSE)=0,"Spatial Data Missing",VLOOKUP(M149,'G-7 Rivers Data'!$AA$4:$AB$7,2,FALSE)))</f>
        <v/>
      </c>
      <c r="O149" s="187"/>
      <c r="P149" s="172" t="str">
        <f>IF(O149="","",IF(VLOOKUP(O149,'G-7 Rivers Data'!$AD$4:$AE$8,2,FALSE)=0,"Spatial Data Missing",VLOOKUP(O149,'G-7 Rivers Data'!$AD$4:$AE$8,2,FALSE)))</f>
        <v/>
      </c>
      <c r="Q149" s="177" t="str">
        <f>IF(D149="","",VLOOKUP(D149,'G-7 Rivers Data'!$B$2:$G$8,6,FALSE))</f>
        <v/>
      </c>
      <c r="R149" s="207" t="str">
        <f t="shared" si="16"/>
        <v/>
      </c>
      <c r="S149" s="44"/>
      <c r="T149" s="173"/>
      <c r="U149" s="189"/>
      <c r="V149" s="208" t="str">
        <f t="shared" si="17"/>
        <v/>
      </c>
      <c r="W149" s="208" t="str">
        <f t="shared" si="18"/>
        <v/>
      </c>
      <c r="X149" s="208" t="str">
        <f t="shared" si="19"/>
        <v/>
      </c>
      <c r="Y149" s="209" t="str">
        <f t="shared" si="20"/>
        <v/>
      </c>
      <c r="Z149" s="182"/>
      <c r="AA149" s="183"/>
      <c r="AG149" s="35">
        <f t="shared" si="21"/>
        <v>0</v>
      </c>
      <c r="AH149" s="188" t="str">
        <f t="shared" si="22"/>
        <v/>
      </c>
      <c r="AI149" s="188" t="str">
        <f t="shared" si="23"/>
        <v/>
      </c>
      <c r="AK149" s="188">
        <v>140</v>
      </c>
      <c r="AM149" s="188" t="str">
        <f t="array" ref="AM149">IFERROR(INDEX($AK$10:$AK$258, MATCH(0, IF(TRUE=$AH$10:$AH$258, COUNTIF($AM$9:$AM148, $AK$10:$AK$258), ""), 0)),"")</f>
        <v/>
      </c>
      <c r="AN149" s="188" t="str">
        <f t="array" ref="AN149">IFERROR(INDEX($AK$10:$AK$258, MATCH(0, IF(TRUE=$AI$10:$AI$258, COUNTIF($AN$9:$AN148, $AK$10:$AK$258), ""), 0)),"")</f>
        <v/>
      </c>
      <c r="AP149" s="35" t="str">
        <f>IFERROR(INDEX('G-7 Rivers Data'!$AZ$3:$AZ$7,MATCH(D149,'G-7 Rivers Data'!$AY$3:$AY$7,0)),"")</f>
        <v/>
      </c>
    </row>
    <row r="150" spans="3:42" ht="13.8" x14ac:dyDescent="0.25">
      <c r="C150" s="168">
        <v>141</v>
      </c>
      <c r="D150" s="212"/>
      <c r="E150" s="213"/>
      <c r="F150" s="171" t="str">
        <f>IF(D150="","",VLOOKUP(D150,'G-7 Rivers Data'!$B$2:$G$8,2,FALSE))</f>
        <v/>
      </c>
      <c r="G150" s="172" t="str">
        <f>IFERROR(VLOOKUP(F150,'G-7 Rivers Data'!$C$4:$D$8,2,FALSE),"")</f>
        <v/>
      </c>
      <c r="H150" s="173"/>
      <c r="I150" s="172" t="str">
        <f>IFERROR(INDEX('G-7 Rivers Data'!$H$4:$L$8,MATCH(D150,'G-7 Rivers Data'!$B$4:$B$8,0),MATCH(H150,'G-7 Rivers Data'!$H$3:$L$3,0)),"")</f>
        <v/>
      </c>
      <c r="J150" s="173"/>
      <c r="K150" s="172" t="str">
        <f>IF(J150="","",IF(VLOOKUP(J150,'G-7 Rivers Data'!$AK$4:$AM$9,2,FALSE)=0,"Spatial Data Missing",VLOOKUP(J150,'G-7 Rivers Data'!$AK$4:$AM$9,2,FALSE)))</f>
        <v/>
      </c>
      <c r="L150" s="172" t="str">
        <f>IF(J150="","",IF(VLOOKUP(J150,'G-7 Rivers Data'!$AK$4:$AM$9,3,FALSE)=0,"Spatial Data Missing",VLOOKUP(J150,'G-7 Rivers Data'!$AK$4:$AM$9,3,FALSE)))</f>
        <v/>
      </c>
      <c r="M150" s="79"/>
      <c r="N150" s="172" t="str">
        <f>IF(M150="","",IF(VLOOKUP(M150,'G-7 Rivers Data'!$AA$4:$AB$7,2,FALSE)=0,"Spatial Data Missing",VLOOKUP(M150,'G-7 Rivers Data'!$AA$4:$AB$7,2,FALSE)))</f>
        <v/>
      </c>
      <c r="O150" s="187"/>
      <c r="P150" s="172" t="str">
        <f>IF(O150="","",IF(VLOOKUP(O150,'G-7 Rivers Data'!$AD$4:$AE$8,2,FALSE)=0,"Spatial Data Missing",VLOOKUP(O150,'G-7 Rivers Data'!$AD$4:$AE$8,2,FALSE)))</f>
        <v/>
      </c>
      <c r="Q150" s="177" t="str">
        <f>IF(D150="","",VLOOKUP(D150,'G-7 Rivers Data'!$B$2:$G$8,6,FALSE))</f>
        <v/>
      </c>
      <c r="R150" s="207" t="str">
        <f t="shared" si="16"/>
        <v/>
      </c>
      <c r="S150" s="44"/>
      <c r="T150" s="173"/>
      <c r="U150" s="189"/>
      <c r="V150" s="208" t="str">
        <f t="shared" si="17"/>
        <v/>
      </c>
      <c r="W150" s="208" t="str">
        <f t="shared" si="18"/>
        <v/>
      </c>
      <c r="X150" s="208" t="str">
        <f t="shared" si="19"/>
        <v/>
      </c>
      <c r="Y150" s="209" t="str">
        <f t="shared" si="20"/>
        <v/>
      </c>
      <c r="Z150" s="182"/>
      <c r="AA150" s="183"/>
      <c r="AG150" s="35">
        <f t="shared" si="21"/>
        <v>0</v>
      </c>
      <c r="AH150" s="188" t="str">
        <f t="shared" si="22"/>
        <v/>
      </c>
      <c r="AI150" s="188" t="str">
        <f t="shared" si="23"/>
        <v/>
      </c>
      <c r="AK150" s="188">
        <v>141</v>
      </c>
      <c r="AM150" s="188" t="str">
        <f t="array" ref="AM150">IFERROR(INDEX($AK$10:$AK$258, MATCH(0, IF(TRUE=$AH$10:$AH$258, COUNTIF($AM$9:$AM149, $AK$10:$AK$258), ""), 0)),"")</f>
        <v/>
      </c>
      <c r="AN150" s="188" t="str">
        <f t="array" ref="AN150">IFERROR(INDEX($AK$10:$AK$258, MATCH(0, IF(TRUE=$AI$10:$AI$258, COUNTIF($AN$9:$AN149, $AK$10:$AK$258), ""), 0)),"")</f>
        <v/>
      </c>
      <c r="AP150" s="35" t="str">
        <f>IFERROR(INDEX('G-7 Rivers Data'!$AZ$3:$AZ$7,MATCH(D150,'G-7 Rivers Data'!$AY$3:$AY$7,0)),"")</f>
        <v/>
      </c>
    </row>
    <row r="151" spans="3:42" ht="13.8" x14ac:dyDescent="0.25">
      <c r="C151" s="168">
        <v>142</v>
      </c>
      <c r="D151" s="212"/>
      <c r="E151" s="213"/>
      <c r="F151" s="171" t="str">
        <f>IF(D151="","",VLOOKUP(D151,'G-7 Rivers Data'!$B$2:$G$8,2,FALSE))</f>
        <v/>
      </c>
      <c r="G151" s="172" t="str">
        <f>IFERROR(VLOOKUP(F151,'G-7 Rivers Data'!$C$4:$D$8,2,FALSE),"")</f>
        <v/>
      </c>
      <c r="H151" s="173"/>
      <c r="I151" s="172" t="str">
        <f>IFERROR(INDEX('G-7 Rivers Data'!$H$4:$L$8,MATCH(D151,'G-7 Rivers Data'!$B$4:$B$8,0),MATCH(H151,'G-7 Rivers Data'!$H$3:$L$3,0)),"")</f>
        <v/>
      </c>
      <c r="J151" s="173"/>
      <c r="K151" s="172" t="str">
        <f>IF(J151="","",IF(VLOOKUP(J151,'G-7 Rivers Data'!$AK$4:$AM$9,2,FALSE)=0,"Spatial Data Missing",VLOOKUP(J151,'G-7 Rivers Data'!$AK$4:$AM$9,2,FALSE)))</f>
        <v/>
      </c>
      <c r="L151" s="172" t="str">
        <f>IF(J151="","",IF(VLOOKUP(J151,'G-7 Rivers Data'!$AK$4:$AM$9,3,FALSE)=0,"Spatial Data Missing",VLOOKUP(J151,'G-7 Rivers Data'!$AK$4:$AM$9,3,FALSE)))</f>
        <v/>
      </c>
      <c r="M151" s="79"/>
      <c r="N151" s="172" t="str">
        <f>IF(M151="","",IF(VLOOKUP(M151,'G-7 Rivers Data'!$AA$4:$AB$7,2,FALSE)=0,"Spatial Data Missing",VLOOKUP(M151,'G-7 Rivers Data'!$AA$4:$AB$7,2,FALSE)))</f>
        <v/>
      </c>
      <c r="O151" s="187"/>
      <c r="P151" s="172" t="str">
        <f>IF(O151="","",IF(VLOOKUP(O151,'G-7 Rivers Data'!$AD$4:$AE$8,2,FALSE)=0,"Spatial Data Missing",VLOOKUP(O151,'G-7 Rivers Data'!$AD$4:$AE$8,2,FALSE)))</f>
        <v/>
      </c>
      <c r="Q151" s="177" t="str">
        <f>IF(D151="","",VLOOKUP(D151,'G-7 Rivers Data'!$B$2:$G$8,6,FALSE))</f>
        <v/>
      </c>
      <c r="R151" s="207" t="str">
        <f t="shared" si="16"/>
        <v/>
      </c>
      <c r="S151" s="44"/>
      <c r="T151" s="173"/>
      <c r="U151" s="189"/>
      <c r="V151" s="208" t="str">
        <f t="shared" si="17"/>
        <v/>
      </c>
      <c r="W151" s="208" t="str">
        <f t="shared" si="18"/>
        <v/>
      </c>
      <c r="X151" s="208" t="str">
        <f t="shared" si="19"/>
        <v/>
      </c>
      <c r="Y151" s="209" t="str">
        <f t="shared" si="20"/>
        <v/>
      </c>
      <c r="Z151" s="182"/>
      <c r="AA151" s="183"/>
      <c r="AG151" s="35">
        <f t="shared" si="21"/>
        <v>0</v>
      </c>
      <c r="AH151" s="188" t="str">
        <f t="shared" si="22"/>
        <v/>
      </c>
      <c r="AI151" s="188" t="str">
        <f t="shared" si="23"/>
        <v/>
      </c>
      <c r="AK151" s="188">
        <v>142</v>
      </c>
      <c r="AM151" s="188" t="str">
        <f t="array" ref="AM151">IFERROR(INDEX($AK$10:$AK$258, MATCH(0, IF(TRUE=$AH$10:$AH$258, COUNTIF($AM$9:$AM150, $AK$10:$AK$258), ""), 0)),"")</f>
        <v/>
      </c>
      <c r="AN151" s="188" t="str">
        <f t="array" ref="AN151">IFERROR(INDEX($AK$10:$AK$258, MATCH(0, IF(TRUE=$AI$10:$AI$258, COUNTIF($AN$9:$AN150, $AK$10:$AK$258), ""), 0)),"")</f>
        <v/>
      </c>
      <c r="AP151" s="35" t="str">
        <f>IFERROR(INDEX('G-7 Rivers Data'!$AZ$3:$AZ$7,MATCH(D151,'G-7 Rivers Data'!$AY$3:$AY$7,0)),"")</f>
        <v/>
      </c>
    </row>
    <row r="152" spans="3:42" ht="13.8" x14ac:dyDescent="0.25">
      <c r="C152" s="168">
        <v>143</v>
      </c>
      <c r="D152" s="212"/>
      <c r="E152" s="213"/>
      <c r="F152" s="171" t="str">
        <f>IF(D152="","",VLOOKUP(D152,'G-7 Rivers Data'!$B$2:$G$8,2,FALSE))</f>
        <v/>
      </c>
      <c r="G152" s="172" t="str">
        <f>IFERROR(VLOOKUP(F152,'G-7 Rivers Data'!$C$4:$D$8,2,FALSE),"")</f>
        <v/>
      </c>
      <c r="H152" s="173"/>
      <c r="I152" s="172" t="str">
        <f>IFERROR(INDEX('G-7 Rivers Data'!$H$4:$L$8,MATCH(D152,'G-7 Rivers Data'!$B$4:$B$8,0),MATCH(H152,'G-7 Rivers Data'!$H$3:$L$3,0)),"")</f>
        <v/>
      </c>
      <c r="J152" s="173"/>
      <c r="K152" s="172" t="str">
        <f>IF(J152="","",IF(VLOOKUP(J152,'G-7 Rivers Data'!$AK$4:$AM$9,2,FALSE)=0,"Spatial Data Missing",VLOOKUP(J152,'G-7 Rivers Data'!$AK$4:$AM$9,2,FALSE)))</f>
        <v/>
      </c>
      <c r="L152" s="172" t="str">
        <f>IF(J152="","",IF(VLOOKUP(J152,'G-7 Rivers Data'!$AK$4:$AM$9,3,FALSE)=0,"Spatial Data Missing",VLOOKUP(J152,'G-7 Rivers Data'!$AK$4:$AM$9,3,FALSE)))</f>
        <v/>
      </c>
      <c r="M152" s="79"/>
      <c r="N152" s="172" t="str">
        <f>IF(M152="","",IF(VLOOKUP(M152,'G-7 Rivers Data'!$AA$4:$AB$7,2,FALSE)=0,"Spatial Data Missing",VLOOKUP(M152,'G-7 Rivers Data'!$AA$4:$AB$7,2,FALSE)))</f>
        <v/>
      </c>
      <c r="O152" s="187"/>
      <c r="P152" s="172" t="str">
        <f>IF(O152="","",IF(VLOOKUP(O152,'G-7 Rivers Data'!$AD$4:$AE$8,2,FALSE)=0,"Spatial Data Missing",VLOOKUP(O152,'G-7 Rivers Data'!$AD$4:$AE$8,2,FALSE)))</f>
        <v/>
      </c>
      <c r="Q152" s="177" t="str">
        <f>IF(D152="","",VLOOKUP(D152,'G-7 Rivers Data'!$B$2:$G$8,6,FALSE))</f>
        <v/>
      </c>
      <c r="R152" s="207" t="str">
        <f t="shared" si="16"/>
        <v/>
      </c>
      <c r="S152" s="44"/>
      <c r="T152" s="173"/>
      <c r="U152" s="189"/>
      <c r="V152" s="208" t="str">
        <f t="shared" si="17"/>
        <v/>
      </c>
      <c r="W152" s="208" t="str">
        <f t="shared" si="18"/>
        <v/>
      </c>
      <c r="X152" s="208" t="str">
        <f t="shared" si="19"/>
        <v/>
      </c>
      <c r="Y152" s="209" t="str">
        <f t="shared" si="20"/>
        <v/>
      </c>
      <c r="Z152" s="182"/>
      <c r="AA152" s="183"/>
      <c r="AG152" s="35">
        <f t="shared" si="21"/>
        <v>0</v>
      </c>
      <c r="AH152" s="188" t="str">
        <f t="shared" si="22"/>
        <v/>
      </c>
      <c r="AI152" s="188" t="str">
        <f t="shared" si="23"/>
        <v/>
      </c>
      <c r="AK152" s="188">
        <v>143</v>
      </c>
      <c r="AM152" s="188" t="str">
        <f t="array" ref="AM152">IFERROR(INDEX($AK$10:$AK$258, MATCH(0, IF(TRUE=$AH$10:$AH$258, COUNTIF($AM$9:$AM151, $AK$10:$AK$258), ""), 0)),"")</f>
        <v/>
      </c>
      <c r="AN152" s="188" t="str">
        <f t="array" ref="AN152">IFERROR(INDEX($AK$10:$AK$258, MATCH(0, IF(TRUE=$AI$10:$AI$258, COUNTIF($AN$9:$AN151, $AK$10:$AK$258), ""), 0)),"")</f>
        <v/>
      </c>
      <c r="AP152" s="35" t="str">
        <f>IFERROR(INDEX('G-7 Rivers Data'!$AZ$3:$AZ$7,MATCH(D152,'G-7 Rivers Data'!$AY$3:$AY$7,0)),"")</f>
        <v/>
      </c>
    </row>
    <row r="153" spans="3:42" ht="13.8" x14ac:dyDescent="0.25">
      <c r="C153" s="168">
        <v>144</v>
      </c>
      <c r="D153" s="212"/>
      <c r="E153" s="213"/>
      <c r="F153" s="171" t="str">
        <f>IF(D153="","",VLOOKUP(D153,'G-7 Rivers Data'!$B$2:$G$8,2,FALSE))</f>
        <v/>
      </c>
      <c r="G153" s="172" t="str">
        <f>IFERROR(VLOOKUP(F153,'G-7 Rivers Data'!$C$4:$D$8,2,FALSE),"")</f>
        <v/>
      </c>
      <c r="H153" s="173"/>
      <c r="I153" s="172" t="str">
        <f>IFERROR(INDEX('G-7 Rivers Data'!$H$4:$L$8,MATCH(D153,'G-7 Rivers Data'!$B$4:$B$8,0),MATCH(H153,'G-7 Rivers Data'!$H$3:$L$3,0)),"")</f>
        <v/>
      </c>
      <c r="J153" s="173"/>
      <c r="K153" s="172" t="str">
        <f>IF(J153="","",IF(VLOOKUP(J153,'G-7 Rivers Data'!$AK$4:$AM$9,2,FALSE)=0,"Spatial Data Missing",VLOOKUP(J153,'G-7 Rivers Data'!$AK$4:$AM$9,2,FALSE)))</f>
        <v/>
      </c>
      <c r="L153" s="172" t="str">
        <f>IF(J153="","",IF(VLOOKUP(J153,'G-7 Rivers Data'!$AK$4:$AM$9,3,FALSE)=0,"Spatial Data Missing",VLOOKUP(J153,'G-7 Rivers Data'!$AK$4:$AM$9,3,FALSE)))</f>
        <v/>
      </c>
      <c r="M153" s="79"/>
      <c r="N153" s="172" t="str">
        <f>IF(M153="","",IF(VLOOKUP(M153,'G-7 Rivers Data'!$AA$4:$AB$7,2,FALSE)=0,"Spatial Data Missing",VLOOKUP(M153,'G-7 Rivers Data'!$AA$4:$AB$7,2,FALSE)))</f>
        <v/>
      </c>
      <c r="O153" s="187"/>
      <c r="P153" s="172" t="str">
        <f>IF(O153="","",IF(VLOOKUP(O153,'G-7 Rivers Data'!$AD$4:$AE$8,2,FALSE)=0,"Spatial Data Missing",VLOOKUP(O153,'G-7 Rivers Data'!$AD$4:$AE$8,2,FALSE)))</f>
        <v/>
      </c>
      <c r="Q153" s="177" t="str">
        <f>IF(D153="","",VLOOKUP(D153,'G-7 Rivers Data'!$B$2:$G$8,6,FALSE))</f>
        <v/>
      </c>
      <c r="R153" s="207" t="str">
        <f t="shared" si="16"/>
        <v/>
      </c>
      <c r="S153" s="44"/>
      <c r="T153" s="173"/>
      <c r="U153" s="189"/>
      <c r="V153" s="208" t="str">
        <f t="shared" si="17"/>
        <v/>
      </c>
      <c r="W153" s="208" t="str">
        <f t="shared" si="18"/>
        <v/>
      </c>
      <c r="X153" s="208" t="str">
        <f t="shared" si="19"/>
        <v/>
      </c>
      <c r="Y153" s="209" t="str">
        <f t="shared" si="20"/>
        <v/>
      </c>
      <c r="Z153" s="182"/>
      <c r="AA153" s="183"/>
      <c r="AG153" s="35">
        <f t="shared" si="21"/>
        <v>0</v>
      </c>
      <c r="AH153" s="188" t="str">
        <f t="shared" si="22"/>
        <v/>
      </c>
      <c r="AI153" s="188" t="str">
        <f t="shared" si="23"/>
        <v/>
      </c>
      <c r="AK153" s="188">
        <v>144</v>
      </c>
      <c r="AM153" s="188" t="str">
        <f t="array" ref="AM153">IFERROR(INDEX($AK$10:$AK$258, MATCH(0, IF(TRUE=$AH$10:$AH$258, COUNTIF($AM$9:$AM152, $AK$10:$AK$258), ""), 0)),"")</f>
        <v/>
      </c>
      <c r="AN153" s="188" t="str">
        <f t="array" ref="AN153">IFERROR(INDEX($AK$10:$AK$258, MATCH(0, IF(TRUE=$AI$10:$AI$258, COUNTIF($AN$9:$AN152, $AK$10:$AK$258), ""), 0)),"")</f>
        <v/>
      </c>
      <c r="AP153" s="35" t="str">
        <f>IFERROR(INDEX('G-7 Rivers Data'!$AZ$3:$AZ$7,MATCH(D153,'G-7 Rivers Data'!$AY$3:$AY$7,0)),"")</f>
        <v/>
      </c>
    </row>
    <row r="154" spans="3:42" ht="13.8" x14ac:dyDescent="0.25">
      <c r="C154" s="168">
        <v>145</v>
      </c>
      <c r="D154" s="212"/>
      <c r="E154" s="213"/>
      <c r="F154" s="171" t="str">
        <f>IF(D154="","",VLOOKUP(D154,'G-7 Rivers Data'!$B$2:$G$8,2,FALSE))</f>
        <v/>
      </c>
      <c r="G154" s="172" t="str">
        <f>IFERROR(VLOOKUP(F154,'G-7 Rivers Data'!$C$4:$D$8,2,FALSE),"")</f>
        <v/>
      </c>
      <c r="H154" s="173"/>
      <c r="I154" s="172" t="str">
        <f>IFERROR(INDEX('G-7 Rivers Data'!$H$4:$L$8,MATCH(D154,'G-7 Rivers Data'!$B$4:$B$8,0),MATCH(H154,'G-7 Rivers Data'!$H$3:$L$3,0)),"")</f>
        <v/>
      </c>
      <c r="J154" s="173"/>
      <c r="K154" s="172" t="str">
        <f>IF(J154="","",IF(VLOOKUP(J154,'G-7 Rivers Data'!$AK$4:$AM$9,2,FALSE)=0,"Spatial Data Missing",VLOOKUP(J154,'G-7 Rivers Data'!$AK$4:$AM$9,2,FALSE)))</f>
        <v/>
      </c>
      <c r="L154" s="172" t="str">
        <f>IF(J154="","",IF(VLOOKUP(J154,'G-7 Rivers Data'!$AK$4:$AM$9,3,FALSE)=0,"Spatial Data Missing",VLOOKUP(J154,'G-7 Rivers Data'!$AK$4:$AM$9,3,FALSE)))</f>
        <v/>
      </c>
      <c r="M154" s="79"/>
      <c r="N154" s="172" t="str">
        <f>IF(M154="","",IF(VLOOKUP(M154,'G-7 Rivers Data'!$AA$4:$AB$7,2,FALSE)=0,"Spatial Data Missing",VLOOKUP(M154,'G-7 Rivers Data'!$AA$4:$AB$7,2,FALSE)))</f>
        <v/>
      </c>
      <c r="O154" s="187"/>
      <c r="P154" s="172" t="str">
        <f>IF(O154="","",IF(VLOOKUP(O154,'G-7 Rivers Data'!$AD$4:$AE$8,2,FALSE)=0,"Spatial Data Missing",VLOOKUP(O154,'G-7 Rivers Data'!$AD$4:$AE$8,2,FALSE)))</f>
        <v/>
      </c>
      <c r="Q154" s="177" t="str">
        <f>IF(D154="","",VLOOKUP(D154,'G-7 Rivers Data'!$B$2:$G$8,6,FALSE))</f>
        <v/>
      </c>
      <c r="R154" s="207" t="str">
        <f t="shared" si="16"/>
        <v/>
      </c>
      <c r="S154" s="44"/>
      <c r="T154" s="173"/>
      <c r="U154" s="189"/>
      <c r="V154" s="208" t="str">
        <f t="shared" si="17"/>
        <v/>
      </c>
      <c r="W154" s="208" t="str">
        <f t="shared" si="18"/>
        <v/>
      </c>
      <c r="X154" s="208" t="str">
        <f t="shared" si="19"/>
        <v/>
      </c>
      <c r="Y154" s="209" t="str">
        <f t="shared" si="20"/>
        <v/>
      </c>
      <c r="Z154" s="182"/>
      <c r="AA154" s="183"/>
      <c r="AG154" s="35">
        <f t="shared" si="21"/>
        <v>0</v>
      </c>
      <c r="AH154" s="188" t="str">
        <f t="shared" si="22"/>
        <v/>
      </c>
      <c r="AI154" s="188" t="str">
        <f t="shared" si="23"/>
        <v/>
      </c>
      <c r="AK154" s="188">
        <v>145</v>
      </c>
      <c r="AM154" s="188" t="str">
        <f t="array" ref="AM154">IFERROR(INDEX($AK$10:$AK$258, MATCH(0, IF(TRUE=$AH$10:$AH$258, COUNTIF($AM$9:$AM153, $AK$10:$AK$258), ""), 0)),"")</f>
        <v/>
      </c>
      <c r="AN154" s="188" t="str">
        <f t="array" ref="AN154">IFERROR(INDEX($AK$10:$AK$258, MATCH(0, IF(TRUE=$AI$10:$AI$258, COUNTIF($AN$9:$AN153, $AK$10:$AK$258), ""), 0)),"")</f>
        <v/>
      </c>
      <c r="AP154" s="35" t="str">
        <f>IFERROR(INDEX('G-7 Rivers Data'!$AZ$3:$AZ$7,MATCH(D154,'G-7 Rivers Data'!$AY$3:$AY$7,0)),"")</f>
        <v/>
      </c>
    </row>
    <row r="155" spans="3:42" ht="13.8" x14ac:dyDescent="0.25">
      <c r="C155" s="168">
        <v>146</v>
      </c>
      <c r="D155" s="212"/>
      <c r="E155" s="213"/>
      <c r="F155" s="171" t="str">
        <f>IF(D155="","",VLOOKUP(D155,'G-7 Rivers Data'!$B$2:$G$8,2,FALSE))</f>
        <v/>
      </c>
      <c r="G155" s="172" t="str">
        <f>IFERROR(VLOOKUP(F155,'G-7 Rivers Data'!$C$4:$D$8,2,FALSE),"")</f>
        <v/>
      </c>
      <c r="H155" s="173"/>
      <c r="I155" s="172" t="str">
        <f>IFERROR(INDEX('G-7 Rivers Data'!$H$4:$L$8,MATCH(D155,'G-7 Rivers Data'!$B$4:$B$8,0),MATCH(H155,'G-7 Rivers Data'!$H$3:$L$3,0)),"")</f>
        <v/>
      </c>
      <c r="J155" s="173"/>
      <c r="K155" s="172" t="str">
        <f>IF(J155="","",IF(VLOOKUP(J155,'G-7 Rivers Data'!$AK$4:$AM$9,2,FALSE)=0,"Spatial Data Missing",VLOOKUP(J155,'G-7 Rivers Data'!$AK$4:$AM$9,2,FALSE)))</f>
        <v/>
      </c>
      <c r="L155" s="172" t="str">
        <f>IF(J155="","",IF(VLOOKUP(J155,'G-7 Rivers Data'!$AK$4:$AM$9,3,FALSE)=0,"Spatial Data Missing",VLOOKUP(J155,'G-7 Rivers Data'!$AK$4:$AM$9,3,FALSE)))</f>
        <v/>
      </c>
      <c r="M155" s="79"/>
      <c r="N155" s="172" t="str">
        <f>IF(M155="","",IF(VLOOKUP(M155,'G-7 Rivers Data'!$AA$4:$AB$7,2,FALSE)=0,"Spatial Data Missing",VLOOKUP(M155,'G-7 Rivers Data'!$AA$4:$AB$7,2,FALSE)))</f>
        <v/>
      </c>
      <c r="O155" s="187"/>
      <c r="P155" s="172" t="str">
        <f>IF(O155="","",IF(VLOOKUP(O155,'G-7 Rivers Data'!$AD$4:$AE$8,2,FALSE)=0,"Spatial Data Missing",VLOOKUP(O155,'G-7 Rivers Data'!$AD$4:$AE$8,2,FALSE)))</f>
        <v/>
      </c>
      <c r="Q155" s="177" t="str">
        <f>IF(D155="","",VLOOKUP(D155,'G-7 Rivers Data'!$B$2:$G$8,6,FALSE))</f>
        <v/>
      </c>
      <c r="R155" s="207" t="str">
        <f t="shared" si="16"/>
        <v/>
      </c>
      <c r="S155" s="44"/>
      <c r="T155" s="173"/>
      <c r="U155" s="189"/>
      <c r="V155" s="208" t="str">
        <f t="shared" si="17"/>
        <v/>
      </c>
      <c r="W155" s="208" t="str">
        <f t="shared" si="18"/>
        <v/>
      </c>
      <c r="X155" s="208" t="str">
        <f t="shared" si="19"/>
        <v/>
      </c>
      <c r="Y155" s="209" t="str">
        <f t="shared" si="20"/>
        <v/>
      </c>
      <c r="Z155" s="182"/>
      <c r="AA155" s="183"/>
      <c r="AG155" s="35">
        <f t="shared" si="21"/>
        <v>0</v>
      </c>
      <c r="AH155" s="188" t="str">
        <f t="shared" si="22"/>
        <v/>
      </c>
      <c r="AI155" s="188" t="str">
        <f t="shared" si="23"/>
        <v/>
      </c>
      <c r="AK155" s="188">
        <v>146</v>
      </c>
      <c r="AM155" s="188" t="str">
        <f t="array" ref="AM155">IFERROR(INDEX($AK$10:$AK$258, MATCH(0, IF(TRUE=$AH$10:$AH$258, COUNTIF($AM$9:$AM154, $AK$10:$AK$258), ""), 0)),"")</f>
        <v/>
      </c>
      <c r="AN155" s="188" t="str">
        <f t="array" ref="AN155">IFERROR(INDEX($AK$10:$AK$258, MATCH(0, IF(TRUE=$AI$10:$AI$258, COUNTIF($AN$9:$AN154, $AK$10:$AK$258), ""), 0)),"")</f>
        <v/>
      </c>
      <c r="AP155" s="35" t="str">
        <f>IFERROR(INDEX('G-7 Rivers Data'!$AZ$3:$AZ$7,MATCH(D155,'G-7 Rivers Data'!$AY$3:$AY$7,0)),"")</f>
        <v/>
      </c>
    </row>
    <row r="156" spans="3:42" ht="13.8" x14ac:dyDescent="0.25">
      <c r="C156" s="168">
        <v>147</v>
      </c>
      <c r="D156" s="212"/>
      <c r="E156" s="213"/>
      <c r="F156" s="171" t="str">
        <f>IF(D156="","",VLOOKUP(D156,'G-7 Rivers Data'!$B$2:$G$8,2,FALSE))</f>
        <v/>
      </c>
      <c r="G156" s="172" t="str">
        <f>IFERROR(VLOOKUP(F156,'G-7 Rivers Data'!$C$4:$D$8,2,FALSE),"")</f>
        <v/>
      </c>
      <c r="H156" s="173"/>
      <c r="I156" s="172" t="str">
        <f>IFERROR(INDEX('G-7 Rivers Data'!$H$4:$L$8,MATCH(D156,'G-7 Rivers Data'!$B$4:$B$8,0),MATCH(H156,'G-7 Rivers Data'!$H$3:$L$3,0)),"")</f>
        <v/>
      </c>
      <c r="J156" s="173"/>
      <c r="K156" s="172" t="str">
        <f>IF(J156="","",IF(VLOOKUP(J156,'G-7 Rivers Data'!$AK$4:$AM$9,2,FALSE)=0,"Spatial Data Missing",VLOOKUP(J156,'G-7 Rivers Data'!$AK$4:$AM$9,2,FALSE)))</f>
        <v/>
      </c>
      <c r="L156" s="172" t="str">
        <f>IF(J156="","",IF(VLOOKUP(J156,'G-7 Rivers Data'!$AK$4:$AM$9,3,FALSE)=0,"Spatial Data Missing",VLOOKUP(J156,'G-7 Rivers Data'!$AK$4:$AM$9,3,FALSE)))</f>
        <v/>
      </c>
      <c r="M156" s="79"/>
      <c r="N156" s="172" t="str">
        <f>IF(M156="","",IF(VLOOKUP(M156,'G-7 Rivers Data'!$AA$4:$AB$7,2,FALSE)=0,"Spatial Data Missing",VLOOKUP(M156,'G-7 Rivers Data'!$AA$4:$AB$7,2,FALSE)))</f>
        <v/>
      </c>
      <c r="O156" s="187"/>
      <c r="P156" s="172" t="str">
        <f>IF(O156="","",IF(VLOOKUP(O156,'G-7 Rivers Data'!$AD$4:$AE$8,2,FALSE)=0,"Spatial Data Missing",VLOOKUP(O156,'G-7 Rivers Data'!$AD$4:$AE$8,2,FALSE)))</f>
        <v/>
      </c>
      <c r="Q156" s="177" t="str">
        <f>IF(D156="","",VLOOKUP(D156,'G-7 Rivers Data'!$B$2:$G$8,6,FALSE))</f>
        <v/>
      </c>
      <c r="R156" s="207" t="str">
        <f t="shared" si="16"/>
        <v/>
      </c>
      <c r="S156" s="44"/>
      <c r="T156" s="173"/>
      <c r="U156" s="189"/>
      <c r="V156" s="208" t="str">
        <f t="shared" si="17"/>
        <v/>
      </c>
      <c r="W156" s="208" t="str">
        <f t="shared" si="18"/>
        <v/>
      </c>
      <c r="X156" s="208" t="str">
        <f t="shared" si="19"/>
        <v/>
      </c>
      <c r="Y156" s="209" t="str">
        <f t="shared" si="20"/>
        <v/>
      </c>
      <c r="Z156" s="182"/>
      <c r="AA156" s="183"/>
      <c r="AG156" s="35">
        <f t="shared" si="21"/>
        <v>0</v>
      </c>
      <c r="AH156" s="188" t="str">
        <f t="shared" si="22"/>
        <v/>
      </c>
      <c r="AI156" s="188" t="str">
        <f t="shared" si="23"/>
        <v/>
      </c>
      <c r="AK156" s="188">
        <v>147</v>
      </c>
      <c r="AM156" s="188" t="str">
        <f t="array" ref="AM156">IFERROR(INDEX($AK$10:$AK$258, MATCH(0, IF(TRUE=$AH$10:$AH$258, COUNTIF($AM$9:$AM155, $AK$10:$AK$258), ""), 0)),"")</f>
        <v/>
      </c>
      <c r="AN156" s="188" t="str">
        <f t="array" ref="AN156">IFERROR(INDEX($AK$10:$AK$258, MATCH(0, IF(TRUE=$AI$10:$AI$258, COUNTIF($AN$9:$AN155, $AK$10:$AK$258), ""), 0)),"")</f>
        <v/>
      </c>
      <c r="AP156" s="35" t="str">
        <f>IFERROR(INDEX('G-7 Rivers Data'!$AZ$3:$AZ$7,MATCH(D156,'G-7 Rivers Data'!$AY$3:$AY$7,0)),"")</f>
        <v/>
      </c>
    </row>
    <row r="157" spans="3:42" ht="13.8" x14ac:dyDescent="0.25">
      <c r="C157" s="168">
        <v>148</v>
      </c>
      <c r="D157" s="212"/>
      <c r="E157" s="213"/>
      <c r="F157" s="171" t="str">
        <f>IF(D157="","",VLOOKUP(D157,'G-7 Rivers Data'!$B$2:$G$8,2,FALSE))</f>
        <v/>
      </c>
      <c r="G157" s="172" t="str">
        <f>IFERROR(VLOOKUP(F157,'G-7 Rivers Data'!$C$4:$D$8,2,FALSE),"")</f>
        <v/>
      </c>
      <c r="H157" s="173"/>
      <c r="I157" s="172" t="str">
        <f>IFERROR(INDEX('G-7 Rivers Data'!$H$4:$L$8,MATCH(D157,'G-7 Rivers Data'!$B$4:$B$8,0),MATCH(H157,'G-7 Rivers Data'!$H$3:$L$3,0)),"")</f>
        <v/>
      </c>
      <c r="J157" s="173"/>
      <c r="K157" s="172" t="str">
        <f>IF(J157="","",IF(VLOOKUP(J157,'G-7 Rivers Data'!$AK$4:$AM$9,2,FALSE)=0,"Spatial Data Missing",VLOOKUP(J157,'G-7 Rivers Data'!$AK$4:$AM$9,2,FALSE)))</f>
        <v/>
      </c>
      <c r="L157" s="172" t="str">
        <f>IF(J157="","",IF(VLOOKUP(J157,'G-7 Rivers Data'!$AK$4:$AM$9,3,FALSE)=0,"Spatial Data Missing",VLOOKUP(J157,'G-7 Rivers Data'!$AK$4:$AM$9,3,FALSE)))</f>
        <v/>
      </c>
      <c r="M157" s="79"/>
      <c r="N157" s="172" t="str">
        <f>IF(M157="","",IF(VLOOKUP(M157,'G-7 Rivers Data'!$AA$4:$AB$7,2,FALSE)=0,"Spatial Data Missing",VLOOKUP(M157,'G-7 Rivers Data'!$AA$4:$AB$7,2,FALSE)))</f>
        <v/>
      </c>
      <c r="O157" s="187"/>
      <c r="P157" s="172" t="str">
        <f>IF(O157="","",IF(VLOOKUP(O157,'G-7 Rivers Data'!$AD$4:$AE$8,2,FALSE)=0,"Spatial Data Missing",VLOOKUP(O157,'G-7 Rivers Data'!$AD$4:$AE$8,2,FALSE)))</f>
        <v/>
      </c>
      <c r="Q157" s="177" t="str">
        <f>IF(D157="","",VLOOKUP(D157,'G-7 Rivers Data'!$B$2:$G$8,6,FALSE))</f>
        <v/>
      </c>
      <c r="R157" s="207" t="str">
        <f t="shared" si="16"/>
        <v/>
      </c>
      <c r="S157" s="44"/>
      <c r="T157" s="173"/>
      <c r="U157" s="189"/>
      <c r="V157" s="208" t="str">
        <f t="shared" si="17"/>
        <v/>
      </c>
      <c r="W157" s="208" t="str">
        <f t="shared" si="18"/>
        <v/>
      </c>
      <c r="X157" s="208" t="str">
        <f t="shared" si="19"/>
        <v/>
      </c>
      <c r="Y157" s="209" t="str">
        <f t="shared" si="20"/>
        <v/>
      </c>
      <c r="Z157" s="182"/>
      <c r="AA157" s="183"/>
      <c r="AG157" s="35">
        <f t="shared" si="21"/>
        <v>0</v>
      </c>
      <c r="AH157" s="188" t="str">
        <f t="shared" si="22"/>
        <v/>
      </c>
      <c r="AI157" s="188" t="str">
        <f t="shared" si="23"/>
        <v/>
      </c>
      <c r="AK157" s="188">
        <v>148</v>
      </c>
      <c r="AM157" s="188" t="str">
        <f t="array" ref="AM157">IFERROR(INDEX($AK$10:$AK$258, MATCH(0, IF(TRUE=$AH$10:$AH$258, COUNTIF($AM$9:$AM156, $AK$10:$AK$258), ""), 0)),"")</f>
        <v/>
      </c>
      <c r="AN157" s="188" t="str">
        <f t="array" ref="AN157">IFERROR(INDEX($AK$10:$AK$258, MATCH(0, IF(TRUE=$AI$10:$AI$258, COUNTIF($AN$9:$AN156, $AK$10:$AK$258), ""), 0)),"")</f>
        <v/>
      </c>
      <c r="AP157" s="35" t="str">
        <f>IFERROR(INDEX('G-7 Rivers Data'!$AZ$3:$AZ$7,MATCH(D157,'G-7 Rivers Data'!$AY$3:$AY$7,0)),"")</f>
        <v/>
      </c>
    </row>
    <row r="158" spans="3:42" ht="13.8" x14ac:dyDescent="0.25">
      <c r="C158" s="168">
        <v>149</v>
      </c>
      <c r="D158" s="212"/>
      <c r="E158" s="213"/>
      <c r="F158" s="171" t="str">
        <f>IF(D158="","",VLOOKUP(D158,'G-7 Rivers Data'!$B$2:$G$8,2,FALSE))</f>
        <v/>
      </c>
      <c r="G158" s="172" t="str">
        <f>IFERROR(VLOOKUP(F158,'G-7 Rivers Data'!$C$4:$D$8,2,FALSE),"")</f>
        <v/>
      </c>
      <c r="H158" s="173"/>
      <c r="I158" s="172" t="str">
        <f>IFERROR(INDEX('G-7 Rivers Data'!$H$4:$L$8,MATCH(D158,'G-7 Rivers Data'!$B$4:$B$8,0),MATCH(H158,'G-7 Rivers Data'!$H$3:$L$3,0)),"")</f>
        <v/>
      </c>
      <c r="J158" s="173"/>
      <c r="K158" s="172" t="str">
        <f>IF(J158="","",IF(VLOOKUP(J158,'G-7 Rivers Data'!$AK$4:$AM$9,2,FALSE)=0,"Spatial Data Missing",VLOOKUP(J158,'G-7 Rivers Data'!$AK$4:$AM$9,2,FALSE)))</f>
        <v/>
      </c>
      <c r="L158" s="172" t="str">
        <f>IF(J158="","",IF(VLOOKUP(J158,'G-7 Rivers Data'!$AK$4:$AM$9,3,FALSE)=0,"Spatial Data Missing",VLOOKUP(J158,'G-7 Rivers Data'!$AK$4:$AM$9,3,FALSE)))</f>
        <v/>
      </c>
      <c r="M158" s="79"/>
      <c r="N158" s="172" t="str">
        <f>IF(M158="","",IF(VLOOKUP(M158,'G-7 Rivers Data'!$AA$4:$AB$7,2,FALSE)=0,"Spatial Data Missing",VLOOKUP(M158,'G-7 Rivers Data'!$AA$4:$AB$7,2,FALSE)))</f>
        <v/>
      </c>
      <c r="O158" s="187"/>
      <c r="P158" s="172" t="str">
        <f>IF(O158="","",IF(VLOOKUP(O158,'G-7 Rivers Data'!$AD$4:$AE$8,2,FALSE)=0,"Spatial Data Missing",VLOOKUP(O158,'G-7 Rivers Data'!$AD$4:$AE$8,2,FALSE)))</f>
        <v/>
      </c>
      <c r="Q158" s="177" t="str">
        <f>IF(D158="","",VLOOKUP(D158,'G-7 Rivers Data'!$B$2:$G$8,6,FALSE))</f>
        <v/>
      </c>
      <c r="R158" s="207" t="str">
        <f t="shared" si="16"/>
        <v/>
      </c>
      <c r="S158" s="44"/>
      <c r="T158" s="173"/>
      <c r="U158" s="189"/>
      <c r="V158" s="208" t="str">
        <f t="shared" si="17"/>
        <v/>
      </c>
      <c r="W158" s="208" t="str">
        <f t="shared" si="18"/>
        <v/>
      </c>
      <c r="X158" s="208" t="str">
        <f t="shared" si="19"/>
        <v/>
      </c>
      <c r="Y158" s="209" t="str">
        <f t="shared" si="20"/>
        <v/>
      </c>
      <c r="Z158" s="182"/>
      <c r="AA158" s="183"/>
      <c r="AG158" s="35">
        <f t="shared" si="21"/>
        <v>0</v>
      </c>
      <c r="AH158" s="188" t="str">
        <f t="shared" si="22"/>
        <v/>
      </c>
      <c r="AI158" s="188" t="str">
        <f t="shared" si="23"/>
        <v/>
      </c>
      <c r="AK158" s="188">
        <v>149</v>
      </c>
      <c r="AM158" s="188" t="str">
        <f t="array" ref="AM158">IFERROR(INDEX($AK$10:$AK$258, MATCH(0, IF(TRUE=$AH$10:$AH$258, COUNTIF($AM$9:$AM157, $AK$10:$AK$258), ""), 0)),"")</f>
        <v/>
      </c>
      <c r="AN158" s="188" t="str">
        <f t="array" ref="AN158">IFERROR(INDEX($AK$10:$AK$258, MATCH(0, IF(TRUE=$AI$10:$AI$258, COUNTIF($AN$9:$AN157, $AK$10:$AK$258), ""), 0)),"")</f>
        <v/>
      </c>
      <c r="AP158" s="35" t="str">
        <f>IFERROR(INDEX('G-7 Rivers Data'!$AZ$3:$AZ$7,MATCH(D158,'G-7 Rivers Data'!$AY$3:$AY$7,0)),"")</f>
        <v/>
      </c>
    </row>
    <row r="159" spans="3:42" ht="13.8" x14ac:dyDescent="0.25">
      <c r="C159" s="168">
        <v>150</v>
      </c>
      <c r="D159" s="212"/>
      <c r="E159" s="213"/>
      <c r="F159" s="171" t="str">
        <f>IF(D159="","",VLOOKUP(D159,'G-7 Rivers Data'!$B$2:$G$8,2,FALSE))</f>
        <v/>
      </c>
      <c r="G159" s="172" t="str">
        <f>IFERROR(VLOOKUP(F159,'G-7 Rivers Data'!$C$4:$D$8,2,FALSE),"")</f>
        <v/>
      </c>
      <c r="H159" s="173"/>
      <c r="I159" s="172" t="str">
        <f>IFERROR(INDEX('G-7 Rivers Data'!$H$4:$L$8,MATCH(D159,'G-7 Rivers Data'!$B$4:$B$8,0),MATCH(H159,'G-7 Rivers Data'!$H$3:$L$3,0)),"")</f>
        <v/>
      </c>
      <c r="J159" s="173"/>
      <c r="K159" s="172" t="str">
        <f>IF(J159="","",IF(VLOOKUP(J159,'G-7 Rivers Data'!$AK$4:$AM$9,2,FALSE)=0,"Spatial Data Missing",VLOOKUP(J159,'G-7 Rivers Data'!$AK$4:$AM$9,2,FALSE)))</f>
        <v/>
      </c>
      <c r="L159" s="172" t="str">
        <f>IF(J159="","",IF(VLOOKUP(J159,'G-7 Rivers Data'!$AK$4:$AM$9,3,FALSE)=0,"Spatial Data Missing",VLOOKUP(J159,'G-7 Rivers Data'!$AK$4:$AM$9,3,FALSE)))</f>
        <v/>
      </c>
      <c r="M159" s="79"/>
      <c r="N159" s="172" t="str">
        <f>IF(M159="","",IF(VLOOKUP(M159,'G-7 Rivers Data'!$AA$4:$AB$7,2,FALSE)=0,"Spatial Data Missing",VLOOKUP(M159,'G-7 Rivers Data'!$AA$4:$AB$7,2,FALSE)))</f>
        <v/>
      </c>
      <c r="O159" s="187"/>
      <c r="P159" s="172" t="str">
        <f>IF(O159="","",IF(VLOOKUP(O159,'G-7 Rivers Data'!$AD$4:$AE$8,2,FALSE)=0,"Spatial Data Missing",VLOOKUP(O159,'G-7 Rivers Data'!$AD$4:$AE$8,2,FALSE)))</f>
        <v/>
      </c>
      <c r="Q159" s="177" t="str">
        <f>IF(D159="","",VLOOKUP(D159,'G-7 Rivers Data'!$B$2:$G$8,6,FALSE))</f>
        <v/>
      </c>
      <c r="R159" s="207" t="str">
        <f t="shared" si="16"/>
        <v/>
      </c>
      <c r="S159" s="44"/>
      <c r="T159" s="173"/>
      <c r="U159" s="189"/>
      <c r="V159" s="208" t="str">
        <f t="shared" si="17"/>
        <v/>
      </c>
      <c r="W159" s="208" t="str">
        <f t="shared" si="18"/>
        <v/>
      </c>
      <c r="X159" s="208" t="str">
        <f t="shared" si="19"/>
        <v/>
      </c>
      <c r="Y159" s="209" t="str">
        <f t="shared" si="20"/>
        <v/>
      </c>
      <c r="Z159" s="182"/>
      <c r="AA159" s="183"/>
      <c r="AG159" s="35">
        <f t="shared" si="21"/>
        <v>0</v>
      </c>
      <c r="AH159" s="188" t="str">
        <f t="shared" si="22"/>
        <v/>
      </c>
      <c r="AI159" s="188" t="str">
        <f t="shared" si="23"/>
        <v/>
      </c>
      <c r="AK159" s="188">
        <v>150</v>
      </c>
      <c r="AM159" s="188" t="str">
        <f t="array" ref="AM159">IFERROR(INDEX($AK$10:$AK$258, MATCH(0, IF(TRUE=$AH$10:$AH$258, COUNTIF($AM$9:$AM158, $AK$10:$AK$258), ""), 0)),"")</f>
        <v/>
      </c>
      <c r="AN159" s="188" t="str">
        <f t="array" ref="AN159">IFERROR(INDEX($AK$10:$AK$258, MATCH(0, IF(TRUE=$AI$10:$AI$258, COUNTIF($AN$9:$AN158, $AK$10:$AK$258), ""), 0)),"")</f>
        <v/>
      </c>
      <c r="AP159" s="35" t="str">
        <f>IFERROR(INDEX('G-7 Rivers Data'!$AZ$3:$AZ$7,MATCH(D159,'G-7 Rivers Data'!$AY$3:$AY$7,0)),"")</f>
        <v/>
      </c>
    </row>
    <row r="160" spans="3:42" ht="13.8" x14ac:dyDescent="0.25">
      <c r="C160" s="168">
        <v>151</v>
      </c>
      <c r="D160" s="212"/>
      <c r="E160" s="213"/>
      <c r="F160" s="171" t="str">
        <f>IF(D160="","",VLOOKUP(D160,'G-7 Rivers Data'!$B$2:$G$8,2,FALSE))</f>
        <v/>
      </c>
      <c r="G160" s="172" t="str">
        <f>IFERROR(VLOOKUP(F160,'G-7 Rivers Data'!$C$4:$D$8,2,FALSE),"")</f>
        <v/>
      </c>
      <c r="H160" s="173"/>
      <c r="I160" s="172" t="str">
        <f>IFERROR(INDEX('G-7 Rivers Data'!$H$4:$L$8,MATCH(D160,'G-7 Rivers Data'!$B$4:$B$8,0),MATCH(H160,'G-7 Rivers Data'!$H$3:$L$3,0)),"")</f>
        <v/>
      </c>
      <c r="J160" s="173"/>
      <c r="K160" s="172" t="str">
        <f>IF(J160="","",IF(VLOOKUP(J160,'G-7 Rivers Data'!$AK$4:$AM$9,2,FALSE)=0,"Spatial Data Missing",VLOOKUP(J160,'G-7 Rivers Data'!$AK$4:$AM$9,2,FALSE)))</f>
        <v/>
      </c>
      <c r="L160" s="172" t="str">
        <f>IF(J160="","",IF(VLOOKUP(J160,'G-7 Rivers Data'!$AK$4:$AM$9,3,FALSE)=0,"Spatial Data Missing",VLOOKUP(J160,'G-7 Rivers Data'!$AK$4:$AM$9,3,FALSE)))</f>
        <v/>
      </c>
      <c r="M160" s="79"/>
      <c r="N160" s="172" t="str">
        <f>IF(M160="","",IF(VLOOKUP(M160,'G-7 Rivers Data'!$AA$4:$AB$7,2,FALSE)=0,"Spatial Data Missing",VLOOKUP(M160,'G-7 Rivers Data'!$AA$4:$AB$7,2,FALSE)))</f>
        <v/>
      </c>
      <c r="O160" s="187"/>
      <c r="P160" s="172" t="str">
        <f>IF(O160="","",IF(VLOOKUP(O160,'G-7 Rivers Data'!$AD$4:$AE$8,2,FALSE)=0,"Spatial Data Missing",VLOOKUP(O160,'G-7 Rivers Data'!$AD$4:$AE$8,2,FALSE)))</f>
        <v/>
      </c>
      <c r="Q160" s="177" t="str">
        <f>IF(D160="","",VLOOKUP(D160,'G-7 Rivers Data'!$B$2:$G$8,6,FALSE))</f>
        <v/>
      </c>
      <c r="R160" s="207" t="str">
        <f t="shared" si="16"/>
        <v/>
      </c>
      <c r="S160" s="44"/>
      <c r="T160" s="173"/>
      <c r="U160" s="189"/>
      <c r="V160" s="208" t="str">
        <f t="shared" si="17"/>
        <v/>
      </c>
      <c r="W160" s="208" t="str">
        <f t="shared" si="18"/>
        <v/>
      </c>
      <c r="X160" s="208" t="str">
        <f t="shared" si="19"/>
        <v/>
      </c>
      <c r="Y160" s="209" t="str">
        <f t="shared" si="20"/>
        <v/>
      </c>
      <c r="Z160" s="182"/>
      <c r="AA160" s="183"/>
      <c r="AG160" s="35">
        <f t="shared" si="21"/>
        <v>0</v>
      </c>
      <c r="AH160" s="188" t="str">
        <f t="shared" si="22"/>
        <v/>
      </c>
      <c r="AI160" s="188" t="str">
        <f t="shared" si="23"/>
        <v/>
      </c>
      <c r="AK160" s="188">
        <v>151</v>
      </c>
      <c r="AM160" s="188" t="str">
        <f t="array" ref="AM160">IFERROR(INDEX($AK$10:$AK$258, MATCH(0, IF(TRUE=$AH$10:$AH$258, COUNTIF($AM$9:$AM159, $AK$10:$AK$258), ""), 0)),"")</f>
        <v/>
      </c>
      <c r="AN160" s="188" t="str">
        <f t="array" ref="AN160">IFERROR(INDEX($AK$10:$AK$258, MATCH(0, IF(TRUE=$AI$10:$AI$258, COUNTIF($AN$9:$AN159, $AK$10:$AK$258), ""), 0)),"")</f>
        <v/>
      </c>
      <c r="AP160" s="35" t="str">
        <f>IFERROR(INDEX('G-7 Rivers Data'!$AZ$3:$AZ$7,MATCH(D160,'G-7 Rivers Data'!$AY$3:$AY$7,0)),"")</f>
        <v/>
      </c>
    </row>
    <row r="161" spans="3:42" ht="13.8" x14ac:dyDescent="0.25">
      <c r="C161" s="168">
        <v>152</v>
      </c>
      <c r="D161" s="212"/>
      <c r="E161" s="213"/>
      <c r="F161" s="171" t="str">
        <f>IF(D161="","",VLOOKUP(D161,'G-7 Rivers Data'!$B$2:$G$8,2,FALSE))</f>
        <v/>
      </c>
      <c r="G161" s="172" t="str">
        <f>IFERROR(VLOOKUP(F161,'G-7 Rivers Data'!$C$4:$D$8,2,FALSE),"")</f>
        <v/>
      </c>
      <c r="H161" s="173"/>
      <c r="I161" s="172" t="str">
        <f>IFERROR(INDEX('G-7 Rivers Data'!$H$4:$L$8,MATCH(D161,'G-7 Rivers Data'!$B$4:$B$8,0),MATCH(H161,'G-7 Rivers Data'!$H$3:$L$3,0)),"")</f>
        <v/>
      </c>
      <c r="J161" s="173"/>
      <c r="K161" s="172" t="str">
        <f>IF(J161="","",IF(VLOOKUP(J161,'G-7 Rivers Data'!$AK$4:$AM$9,2,FALSE)=0,"Spatial Data Missing",VLOOKUP(J161,'G-7 Rivers Data'!$AK$4:$AM$9,2,FALSE)))</f>
        <v/>
      </c>
      <c r="L161" s="172" t="str">
        <f>IF(J161="","",IF(VLOOKUP(J161,'G-7 Rivers Data'!$AK$4:$AM$9,3,FALSE)=0,"Spatial Data Missing",VLOOKUP(J161,'G-7 Rivers Data'!$AK$4:$AM$9,3,FALSE)))</f>
        <v/>
      </c>
      <c r="M161" s="79"/>
      <c r="N161" s="172" t="str">
        <f>IF(M161="","",IF(VLOOKUP(M161,'G-7 Rivers Data'!$AA$4:$AB$7,2,FALSE)=0,"Spatial Data Missing",VLOOKUP(M161,'G-7 Rivers Data'!$AA$4:$AB$7,2,FALSE)))</f>
        <v/>
      </c>
      <c r="O161" s="187"/>
      <c r="P161" s="172" t="str">
        <f>IF(O161="","",IF(VLOOKUP(O161,'G-7 Rivers Data'!$AD$4:$AE$8,2,FALSE)=0,"Spatial Data Missing",VLOOKUP(O161,'G-7 Rivers Data'!$AD$4:$AE$8,2,FALSE)))</f>
        <v/>
      </c>
      <c r="Q161" s="177" t="str">
        <f>IF(D161="","",VLOOKUP(D161,'G-7 Rivers Data'!$B$2:$G$8,6,FALSE))</f>
        <v/>
      </c>
      <c r="R161" s="207" t="str">
        <f t="shared" si="16"/>
        <v/>
      </c>
      <c r="S161" s="44"/>
      <c r="T161" s="173"/>
      <c r="U161" s="189"/>
      <c r="V161" s="208" t="str">
        <f t="shared" si="17"/>
        <v/>
      </c>
      <c r="W161" s="208" t="str">
        <f t="shared" si="18"/>
        <v/>
      </c>
      <c r="X161" s="208" t="str">
        <f t="shared" si="19"/>
        <v/>
      </c>
      <c r="Y161" s="209" t="str">
        <f t="shared" si="20"/>
        <v/>
      </c>
      <c r="Z161" s="182"/>
      <c r="AA161" s="183"/>
      <c r="AG161" s="35">
        <f t="shared" si="21"/>
        <v>0</v>
      </c>
      <c r="AH161" s="188" t="str">
        <f t="shared" si="22"/>
        <v/>
      </c>
      <c r="AI161" s="188" t="str">
        <f t="shared" si="23"/>
        <v/>
      </c>
      <c r="AK161" s="188">
        <v>152</v>
      </c>
      <c r="AM161" s="188" t="str">
        <f t="array" ref="AM161">IFERROR(INDEX($AK$10:$AK$258, MATCH(0, IF(TRUE=$AH$10:$AH$258, COUNTIF($AM$9:$AM160, $AK$10:$AK$258), ""), 0)),"")</f>
        <v/>
      </c>
      <c r="AN161" s="188" t="str">
        <f t="array" ref="AN161">IFERROR(INDEX($AK$10:$AK$258, MATCH(0, IF(TRUE=$AI$10:$AI$258, COUNTIF($AN$9:$AN160, $AK$10:$AK$258), ""), 0)),"")</f>
        <v/>
      </c>
      <c r="AP161" s="35" t="str">
        <f>IFERROR(INDEX('G-7 Rivers Data'!$AZ$3:$AZ$7,MATCH(D161,'G-7 Rivers Data'!$AY$3:$AY$7,0)),"")</f>
        <v/>
      </c>
    </row>
    <row r="162" spans="3:42" ht="13.8" x14ac:dyDescent="0.25">
      <c r="C162" s="168">
        <v>153</v>
      </c>
      <c r="D162" s="212"/>
      <c r="E162" s="213"/>
      <c r="F162" s="171" t="str">
        <f>IF(D162="","",VLOOKUP(D162,'G-7 Rivers Data'!$B$2:$G$8,2,FALSE))</f>
        <v/>
      </c>
      <c r="G162" s="172" t="str">
        <f>IFERROR(VLOOKUP(F162,'G-7 Rivers Data'!$C$4:$D$8,2,FALSE),"")</f>
        <v/>
      </c>
      <c r="H162" s="173"/>
      <c r="I162" s="172" t="str">
        <f>IFERROR(INDEX('G-7 Rivers Data'!$H$4:$L$8,MATCH(D162,'G-7 Rivers Data'!$B$4:$B$8,0),MATCH(H162,'G-7 Rivers Data'!$H$3:$L$3,0)),"")</f>
        <v/>
      </c>
      <c r="J162" s="173"/>
      <c r="K162" s="172" t="str">
        <f>IF(J162="","",IF(VLOOKUP(J162,'G-7 Rivers Data'!$AK$4:$AM$9,2,FALSE)=0,"Spatial Data Missing",VLOOKUP(J162,'G-7 Rivers Data'!$AK$4:$AM$9,2,FALSE)))</f>
        <v/>
      </c>
      <c r="L162" s="172" t="str">
        <f>IF(J162="","",IF(VLOOKUP(J162,'G-7 Rivers Data'!$AK$4:$AM$9,3,FALSE)=0,"Spatial Data Missing",VLOOKUP(J162,'G-7 Rivers Data'!$AK$4:$AM$9,3,FALSE)))</f>
        <v/>
      </c>
      <c r="M162" s="79"/>
      <c r="N162" s="172" t="str">
        <f>IF(M162="","",IF(VLOOKUP(M162,'G-7 Rivers Data'!$AA$4:$AB$7,2,FALSE)=0,"Spatial Data Missing",VLOOKUP(M162,'G-7 Rivers Data'!$AA$4:$AB$7,2,FALSE)))</f>
        <v/>
      </c>
      <c r="O162" s="187"/>
      <c r="P162" s="172" t="str">
        <f>IF(O162="","",IF(VLOOKUP(O162,'G-7 Rivers Data'!$AD$4:$AE$8,2,FALSE)=0,"Spatial Data Missing",VLOOKUP(O162,'G-7 Rivers Data'!$AD$4:$AE$8,2,FALSE)))</f>
        <v/>
      </c>
      <c r="Q162" s="177" t="str">
        <f>IF(D162="","",VLOOKUP(D162,'G-7 Rivers Data'!$B$2:$G$8,6,FALSE))</f>
        <v/>
      </c>
      <c r="R162" s="207" t="str">
        <f t="shared" si="16"/>
        <v/>
      </c>
      <c r="S162" s="44"/>
      <c r="T162" s="173"/>
      <c r="U162" s="189"/>
      <c r="V162" s="208" t="str">
        <f t="shared" si="17"/>
        <v/>
      </c>
      <c r="W162" s="208" t="str">
        <f t="shared" si="18"/>
        <v/>
      </c>
      <c r="X162" s="208" t="str">
        <f t="shared" si="19"/>
        <v/>
      </c>
      <c r="Y162" s="209" t="str">
        <f t="shared" si="20"/>
        <v/>
      </c>
      <c r="Z162" s="182"/>
      <c r="AA162" s="183"/>
      <c r="AG162" s="35">
        <f t="shared" si="21"/>
        <v>0</v>
      </c>
      <c r="AH162" s="188" t="str">
        <f t="shared" si="22"/>
        <v/>
      </c>
      <c r="AI162" s="188" t="str">
        <f t="shared" si="23"/>
        <v/>
      </c>
      <c r="AK162" s="188">
        <v>153</v>
      </c>
      <c r="AM162" s="188" t="str">
        <f t="array" ref="AM162">IFERROR(INDEX($AK$10:$AK$258, MATCH(0, IF(TRUE=$AH$10:$AH$258, COUNTIF($AM$9:$AM161, $AK$10:$AK$258), ""), 0)),"")</f>
        <v/>
      </c>
      <c r="AN162" s="188" t="str">
        <f t="array" ref="AN162">IFERROR(INDEX($AK$10:$AK$258, MATCH(0, IF(TRUE=$AI$10:$AI$258, COUNTIF($AN$9:$AN161, $AK$10:$AK$258), ""), 0)),"")</f>
        <v/>
      </c>
      <c r="AP162" s="35" t="str">
        <f>IFERROR(INDEX('G-7 Rivers Data'!$AZ$3:$AZ$7,MATCH(D162,'G-7 Rivers Data'!$AY$3:$AY$7,0)),"")</f>
        <v/>
      </c>
    </row>
    <row r="163" spans="3:42" ht="13.8" x14ac:dyDescent="0.25">
      <c r="C163" s="168">
        <v>154</v>
      </c>
      <c r="D163" s="212"/>
      <c r="E163" s="213"/>
      <c r="F163" s="171" t="str">
        <f>IF(D163="","",VLOOKUP(D163,'G-7 Rivers Data'!$B$2:$G$8,2,FALSE))</f>
        <v/>
      </c>
      <c r="G163" s="172" t="str">
        <f>IFERROR(VLOOKUP(F163,'G-7 Rivers Data'!$C$4:$D$8,2,FALSE),"")</f>
        <v/>
      </c>
      <c r="H163" s="173"/>
      <c r="I163" s="172" t="str">
        <f>IFERROR(INDEX('G-7 Rivers Data'!$H$4:$L$8,MATCH(D163,'G-7 Rivers Data'!$B$4:$B$8,0),MATCH(H163,'G-7 Rivers Data'!$H$3:$L$3,0)),"")</f>
        <v/>
      </c>
      <c r="J163" s="173"/>
      <c r="K163" s="172" t="str">
        <f>IF(J163="","",IF(VLOOKUP(J163,'G-7 Rivers Data'!$AK$4:$AM$9,2,FALSE)=0,"Spatial Data Missing",VLOOKUP(J163,'G-7 Rivers Data'!$AK$4:$AM$9,2,FALSE)))</f>
        <v/>
      </c>
      <c r="L163" s="172" t="str">
        <f>IF(J163="","",IF(VLOOKUP(J163,'G-7 Rivers Data'!$AK$4:$AM$9,3,FALSE)=0,"Spatial Data Missing",VLOOKUP(J163,'G-7 Rivers Data'!$AK$4:$AM$9,3,FALSE)))</f>
        <v/>
      </c>
      <c r="M163" s="79"/>
      <c r="N163" s="172" t="str">
        <f>IF(M163="","",IF(VLOOKUP(M163,'G-7 Rivers Data'!$AA$4:$AB$7,2,FALSE)=0,"Spatial Data Missing",VLOOKUP(M163,'G-7 Rivers Data'!$AA$4:$AB$7,2,FALSE)))</f>
        <v/>
      </c>
      <c r="O163" s="187"/>
      <c r="P163" s="172" t="str">
        <f>IF(O163="","",IF(VLOOKUP(O163,'G-7 Rivers Data'!$AD$4:$AE$8,2,FALSE)=0,"Spatial Data Missing",VLOOKUP(O163,'G-7 Rivers Data'!$AD$4:$AE$8,2,FALSE)))</f>
        <v/>
      </c>
      <c r="Q163" s="177" t="str">
        <f>IF(D163="","",VLOOKUP(D163,'G-7 Rivers Data'!$B$2:$G$8,6,FALSE))</f>
        <v/>
      </c>
      <c r="R163" s="207" t="str">
        <f t="shared" si="16"/>
        <v/>
      </c>
      <c r="S163" s="44"/>
      <c r="T163" s="173"/>
      <c r="U163" s="189"/>
      <c r="V163" s="208" t="str">
        <f t="shared" si="17"/>
        <v/>
      </c>
      <c r="W163" s="208" t="str">
        <f t="shared" si="18"/>
        <v/>
      </c>
      <c r="X163" s="208" t="str">
        <f t="shared" si="19"/>
        <v/>
      </c>
      <c r="Y163" s="209" t="str">
        <f t="shared" si="20"/>
        <v/>
      </c>
      <c r="Z163" s="182"/>
      <c r="AA163" s="183"/>
      <c r="AG163" s="35">
        <f t="shared" si="21"/>
        <v>0</v>
      </c>
      <c r="AH163" s="188" t="str">
        <f t="shared" si="22"/>
        <v/>
      </c>
      <c r="AI163" s="188" t="str">
        <f t="shared" si="23"/>
        <v/>
      </c>
      <c r="AK163" s="188">
        <v>154</v>
      </c>
      <c r="AM163" s="188" t="str">
        <f t="array" ref="AM163">IFERROR(INDEX($AK$10:$AK$258, MATCH(0, IF(TRUE=$AH$10:$AH$258, COUNTIF($AM$9:$AM162, $AK$10:$AK$258), ""), 0)),"")</f>
        <v/>
      </c>
      <c r="AN163" s="188" t="str">
        <f t="array" ref="AN163">IFERROR(INDEX($AK$10:$AK$258, MATCH(0, IF(TRUE=$AI$10:$AI$258, COUNTIF($AN$9:$AN162, $AK$10:$AK$258), ""), 0)),"")</f>
        <v/>
      </c>
      <c r="AP163" s="35" t="str">
        <f>IFERROR(INDEX('G-7 Rivers Data'!$AZ$3:$AZ$7,MATCH(D163,'G-7 Rivers Data'!$AY$3:$AY$7,0)),"")</f>
        <v/>
      </c>
    </row>
    <row r="164" spans="3:42" ht="13.8" x14ac:dyDescent="0.25">
      <c r="C164" s="168">
        <v>155</v>
      </c>
      <c r="D164" s="212"/>
      <c r="E164" s="213"/>
      <c r="F164" s="171" t="str">
        <f>IF(D164="","",VLOOKUP(D164,'G-7 Rivers Data'!$B$2:$G$8,2,FALSE))</f>
        <v/>
      </c>
      <c r="G164" s="172" t="str">
        <f>IFERROR(VLOOKUP(F164,'G-7 Rivers Data'!$C$4:$D$8,2,FALSE),"")</f>
        <v/>
      </c>
      <c r="H164" s="173"/>
      <c r="I164" s="172" t="str">
        <f>IFERROR(INDEX('G-7 Rivers Data'!$H$4:$L$8,MATCH(D164,'G-7 Rivers Data'!$B$4:$B$8,0),MATCH(H164,'G-7 Rivers Data'!$H$3:$L$3,0)),"")</f>
        <v/>
      </c>
      <c r="J164" s="173"/>
      <c r="K164" s="172" t="str">
        <f>IF(J164="","",IF(VLOOKUP(J164,'G-7 Rivers Data'!$AK$4:$AM$9,2,FALSE)=0,"Spatial Data Missing",VLOOKUP(J164,'G-7 Rivers Data'!$AK$4:$AM$9,2,FALSE)))</f>
        <v/>
      </c>
      <c r="L164" s="172" t="str">
        <f>IF(J164="","",IF(VLOOKUP(J164,'G-7 Rivers Data'!$AK$4:$AM$9,3,FALSE)=0,"Spatial Data Missing",VLOOKUP(J164,'G-7 Rivers Data'!$AK$4:$AM$9,3,FALSE)))</f>
        <v/>
      </c>
      <c r="M164" s="79"/>
      <c r="N164" s="172" t="str">
        <f>IF(M164="","",IF(VLOOKUP(M164,'G-7 Rivers Data'!$AA$4:$AB$7,2,FALSE)=0,"Spatial Data Missing",VLOOKUP(M164,'G-7 Rivers Data'!$AA$4:$AB$7,2,FALSE)))</f>
        <v/>
      </c>
      <c r="O164" s="187"/>
      <c r="P164" s="172" t="str">
        <f>IF(O164="","",IF(VLOOKUP(O164,'G-7 Rivers Data'!$AD$4:$AE$8,2,FALSE)=0,"Spatial Data Missing",VLOOKUP(O164,'G-7 Rivers Data'!$AD$4:$AE$8,2,FALSE)))</f>
        <v/>
      </c>
      <c r="Q164" s="177" t="str">
        <f>IF(D164="","",VLOOKUP(D164,'G-7 Rivers Data'!$B$2:$G$8,6,FALSE))</f>
        <v/>
      </c>
      <c r="R164" s="207" t="str">
        <f t="shared" si="16"/>
        <v/>
      </c>
      <c r="S164" s="44"/>
      <c r="T164" s="173"/>
      <c r="U164" s="189"/>
      <c r="V164" s="208" t="str">
        <f t="shared" si="17"/>
        <v/>
      </c>
      <c r="W164" s="208" t="str">
        <f t="shared" si="18"/>
        <v/>
      </c>
      <c r="X164" s="208" t="str">
        <f t="shared" si="19"/>
        <v/>
      </c>
      <c r="Y164" s="209" t="str">
        <f t="shared" si="20"/>
        <v/>
      </c>
      <c r="Z164" s="182"/>
      <c r="AA164" s="183"/>
      <c r="AG164" s="35">
        <f t="shared" si="21"/>
        <v>0</v>
      </c>
      <c r="AH164" s="188" t="str">
        <f t="shared" si="22"/>
        <v/>
      </c>
      <c r="AI164" s="188" t="str">
        <f t="shared" si="23"/>
        <v/>
      </c>
      <c r="AK164" s="188">
        <v>155</v>
      </c>
      <c r="AM164" s="188" t="str">
        <f t="array" ref="AM164">IFERROR(INDEX($AK$10:$AK$258, MATCH(0, IF(TRUE=$AH$10:$AH$258, COUNTIF($AM$9:$AM163, $AK$10:$AK$258), ""), 0)),"")</f>
        <v/>
      </c>
      <c r="AN164" s="188" t="str">
        <f t="array" ref="AN164">IFERROR(INDEX($AK$10:$AK$258, MATCH(0, IF(TRUE=$AI$10:$AI$258, COUNTIF($AN$9:$AN163, $AK$10:$AK$258), ""), 0)),"")</f>
        <v/>
      </c>
      <c r="AP164" s="35" t="str">
        <f>IFERROR(INDEX('G-7 Rivers Data'!$AZ$3:$AZ$7,MATCH(D164,'G-7 Rivers Data'!$AY$3:$AY$7,0)),"")</f>
        <v/>
      </c>
    </row>
    <row r="165" spans="3:42" ht="13.8" x14ac:dyDescent="0.25">
      <c r="C165" s="168">
        <v>156</v>
      </c>
      <c r="D165" s="212"/>
      <c r="E165" s="213"/>
      <c r="F165" s="171" t="str">
        <f>IF(D165="","",VLOOKUP(D165,'G-7 Rivers Data'!$B$2:$G$8,2,FALSE))</f>
        <v/>
      </c>
      <c r="G165" s="172" t="str">
        <f>IFERROR(VLOOKUP(F165,'G-7 Rivers Data'!$C$4:$D$8,2,FALSE),"")</f>
        <v/>
      </c>
      <c r="H165" s="173"/>
      <c r="I165" s="172" t="str">
        <f>IFERROR(INDEX('G-7 Rivers Data'!$H$4:$L$8,MATCH(D165,'G-7 Rivers Data'!$B$4:$B$8,0),MATCH(H165,'G-7 Rivers Data'!$H$3:$L$3,0)),"")</f>
        <v/>
      </c>
      <c r="J165" s="173"/>
      <c r="K165" s="172" t="str">
        <f>IF(J165="","",IF(VLOOKUP(J165,'G-7 Rivers Data'!$AK$4:$AM$9,2,FALSE)=0,"Spatial Data Missing",VLOOKUP(J165,'G-7 Rivers Data'!$AK$4:$AM$9,2,FALSE)))</f>
        <v/>
      </c>
      <c r="L165" s="172" t="str">
        <f>IF(J165="","",IF(VLOOKUP(J165,'G-7 Rivers Data'!$AK$4:$AM$9,3,FALSE)=0,"Spatial Data Missing",VLOOKUP(J165,'G-7 Rivers Data'!$AK$4:$AM$9,3,FALSE)))</f>
        <v/>
      </c>
      <c r="M165" s="79"/>
      <c r="N165" s="172" t="str">
        <f>IF(M165="","",IF(VLOOKUP(M165,'G-7 Rivers Data'!$AA$4:$AB$7,2,FALSE)=0,"Spatial Data Missing",VLOOKUP(M165,'G-7 Rivers Data'!$AA$4:$AB$7,2,FALSE)))</f>
        <v/>
      </c>
      <c r="O165" s="187"/>
      <c r="P165" s="172" t="str">
        <f>IF(O165="","",IF(VLOOKUP(O165,'G-7 Rivers Data'!$AD$4:$AE$8,2,FALSE)=0,"Spatial Data Missing",VLOOKUP(O165,'G-7 Rivers Data'!$AD$4:$AE$8,2,FALSE)))</f>
        <v/>
      </c>
      <c r="Q165" s="177" t="str">
        <f>IF(D165="","",VLOOKUP(D165,'G-7 Rivers Data'!$B$2:$G$8,6,FALSE))</f>
        <v/>
      </c>
      <c r="R165" s="207" t="str">
        <f t="shared" si="16"/>
        <v/>
      </c>
      <c r="S165" s="44"/>
      <c r="T165" s="173"/>
      <c r="U165" s="189"/>
      <c r="V165" s="208" t="str">
        <f t="shared" si="17"/>
        <v/>
      </c>
      <c r="W165" s="208" t="str">
        <f t="shared" si="18"/>
        <v/>
      </c>
      <c r="X165" s="208" t="str">
        <f t="shared" si="19"/>
        <v/>
      </c>
      <c r="Y165" s="209" t="str">
        <f t="shared" si="20"/>
        <v/>
      </c>
      <c r="Z165" s="182"/>
      <c r="AA165" s="183"/>
      <c r="AG165" s="35">
        <f t="shared" si="21"/>
        <v>0</v>
      </c>
      <c r="AH165" s="188" t="str">
        <f t="shared" si="22"/>
        <v/>
      </c>
      <c r="AI165" s="188" t="str">
        <f t="shared" si="23"/>
        <v/>
      </c>
      <c r="AK165" s="188">
        <v>156</v>
      </c>
      <c r="AM165" s="188" t="str">
        <f t="array" ref="AM165">IFERROR(INDEX($AK$10:$AK$258, MATCH(0, IF(TRUE=$AH$10:$AH$258, COUNTIF($AM$9:$AM164, $AK$10:$AK$258), ""), 0)),"")</f>
        <v/>
      </c>
      <c r="AN165" s="188" t="str">
        <f t="array" ref="AN165">IFERROR(INDEX($AK$10:$AK$258, MATCH(0, IF(TRUE=$AI$10:$AI$258, COUNTIF($AN$9:$AN164, $AK$10:$AK$258), ""), 0)),"")</f>
        <v/>
      </c>
      <c r="AP165" s="35" t="str">
        <f>IFERROR(INDEX('G-7 Rivers Data'!$AZ$3:$AZ$7,MATCH(D165,'G-7 Rivers Data'!$AY$3:$AY$7,0)),"")</f>
        <v/>
      </c>
    </row>
    <row r="166" spans="3:42" ht="13.8" x14ac:dyDescent="0.25">
      <c r="C166" s="168">
        <v>157</v>
      </c>
      <c r="D166" s="212"/>
      <c r="E166" s="213"/>
      <c r="F166" s="171" t="str">
        <f>IF(D166="","",VLOOKUP(D166,'G-7 Rivers Data'!$B$2:$G$8,2,FALSE))</f>
        <v/>
      </c>
      <c r="G166" s="172" t="str">
        <f>IFERROR(VLOOKUP(F166,'G-7 Rivers Data'!$C$4:$D$8,2,FALSE),"")</f>
        <v/>
      </c>
      <c r="H166" s="173"/>
      <c r="I166" s="172" t="str">
        <f>IFERROR(INDEX('G-7 Rivers Data'!$H$4:$L$8,MATCH(D166,'G-7 Rivers Data'!$B$4:$B$8,0),MATCH(H166,'G-7 Rivers Data'!$H$3:$L$3,0)),"")</f>
        <v/>
      </c>
      <c r="J166" s="173"/>
      <c r="K166" s="172" t="str">
        <f>IF(J166="","",IF(VLOOKUP(J166,'G-7 Rivers Data'!$AK$4:$AM$9,2,FALSE)=0,"Spatial Data Missing",VLOOKUP(J166,'G-7 Rivers Data'!$AK$4:$AM$9,2,FALSE)))</f>
        <v/>
      </c>
      <c r="L166" s="172" t="str">
        <f>IF(J166="","",IF(VLOOKUP(J166,'G-7 Rivers Data'!$AK$4:$AM$9,3,FALSE)=0,"Spatial Data Missing",VLOOKUP(J166,'G-7 Rivers Data'!$AK$4:$AM$9,3,FALSE)))</f>
        <v/>
      </c>
      <c r="M166" s="79"/>
      <c r="N166" s="172" t="str">
        <f>IF(M166="","",IF(VLOOKUP(M166,'G-7 Rivers Data'!$AA$4:$AB$7,2,FALSE)=0,"Spatial Data Missing",VLOOKUP(M166,'G-7 Rivers Data'!$AA$4:$AB$7,2,FALSE)))</f>
        <v/>
      </c>
      <c r="O166" s="187"/>
      <c r="P166" s="172" t="str">
        <f>IF(O166="","",IF(VLOOKUP(O166,'G-7 Rivers Data'!$AD$4:$AE$8,2,FALSE)=0,"Spatial Data Missing",VLOOKUP(O166,'G-7 Rivers Data'!$AD$4:$AE$8,2,FALSE)))</f>
        <v/>
      </c>
      <c r="Q166" s="177" t="str">
        <f>IF(D166="","",VLOOKUP(D166,'G-7 Rivers Data'!$B$2:$G$8,6,FALSE))</f>
        <v/>
      </c>
      <c r="R166" s="207" t="str">
        <f t="shared" si="16"/>
        <v/>
      </c>
      <c r="S166" s="44"/>
      <c r="T166" s="173"/>
      <c r="U166" s="189"/>
      <c r="V166" s="208" t="str">
        <f t="shared" si="17"/>
        <v/>
      </c>
      <c r="W166" s="208" t="str">
        <f t="shared" si="18"/>
        <v/>
      </c>
      <c r="X166" s="208" t="str">
        <f t="shared" si="19"/>
        <v/>
      </c>
      <c r="Y166" s="209" t="str">
        <f t="shared" si="20"/>
        <v/>
      </c>
      <c r="Z166" s="182"/>
      <c r="AA166" s="183"/>
      <c r="AG166" s="35">
        <f t="shared" si="21"/>
        <v>0</v>
      </c>
      <c r="AH166" s="188" t="str">
        <f t="shared" si="22"/>
        <v/>
      </c>
      <c r="AI166" s="188" t="str">
        <f t="shared" si="23"/>
        <v/>
      </c>
      <c r="AK166" s="188">
        <v>157</v>
      </c>
      <c r="AM166" s="188" t="str">
        <f t="array" ref="AM166">IFERROR(INDEX($AK$10:$AK$258, MATCH(0, IF(TRUE=$AH$10:$AH$258, COUNTIF($AM$9:$AM165, $AK$10:$AK$258), ""), 0)),"")</f>
        <v/>
      </c>
      <c r="AN166" s="188" t="str">
        <f t="array" ref="AN166">IFERROR(INDEX($AK$10:$AK$258, MATCH(0, IF(TRUE=$AI$10:$AI$258, COUNTIF($AN$9:$AN165, $AK$10:$AK$258), ""), 0)),"")</f>
        <v/>
      </c>
      <c r="AP166" s="35" t="str">
        <f>IFERROR(INDEX('G-7 Rivers Data'!$AZ$3:$AZ$7,MATCH(D166,'G-7 Rivers Data'!$AY$3:$AY$7,0)),"")</f>
        <v/>
      </c>
    </row>
    <row r="167" spans="3:42" ht="13.8" x14ac:dyDescent="0.25">
      <c r="C167" s="168">
        <v>158</v>
      </c>
      <c r="D167" s="212"/>
      <c r="E167" s="213"/>
      <c r="F167" s="171" t="str">
        <f>IF(D167="","",VLOOKUP(D167,'G-7 Rivers Data'!$B$2:$G$8,2,FALSE))</f>
        <v/>
      </c>
      <c r="G167" s="172" t="str">
        <f>IFERROR(VLOOKUP(F167,'G-7 Rivers Data'!$C$4:$D$8,2,FALSE),"")</f>
        <v/>
      </c>
      <c r="H167" s="173"/>
      <c r="I167" s="172" t="str">
        <f>IFERROR(INDEX('G-7 Rivers Data'!$H$4:$L$8,MATCH(D167,'G-7 Rivers Data'!$B$4:$B$8,0),MATCH(H167,'G-7 Rivers Data'!$H$3:$L$3,0)),"")</f>
        <v/>
      </c>
      <c r="J167" s="173"/>
      <c r="K167" s="172" t="str">
        <f>IF(J167="","",IF(VLOOKUP(J167,'G-7 Rivers Data'!$AK$4:$AM$9,2,FALSE)=0,"Spatial Data Missing",VLOOKUP(J167,'G-7 Rivers Data'!$AK$4:$AM$9,2,FALSE)))</f>
        <v/>
      </c>
      <c r="L167" s="172" t="str">
        <f>IF(J167="","",IF(VLOOKUP(J167,'G-7 Rivers Data'!$AK$4:$AM$9,3,FALSE)=0,"Spatial Data Missing",VLOOKUP(J167,'G-7 Rivers Data'!$AK$4:$AM$9,3,FALSE)))</f>
        <v/>
      </c>
      <c r="M167" s="79"/>
      <c r="N167" s="172" t="str">
        <f>IF(M167="","",IF(VLOOKUP(M167,'G-7 Rivers Data'!$AA$4:$AB$7,2,FALSE)=0,"Spatial Data Missing",VLOOKUP(M167,'G-7 Rivers Data'!$AA$4:$AB$7,2,FALSE)))</f>
        <v/>
      </c>
      <c r="O167" s="187"/>
      <c r="P167" s="172" t="str">
        <f>IF(O167="","",IF(VLOOKUP(O167,'G-7 Rivers Data'!$AD$4:$AE$8,2,FALSE)=0,"Spatial Data Missing",VLOOKUP(O167,'G-7 Rivers Data'!$AD$4:$AE$8,2,FALSE)))</f>
        <v/>
      </c>
      <c r="Q167" s="177" t="str">
        <f>IF(D167="","",VLOOKUP(D167,'G-7 Rivers Data'!$B$2:$G$8,6,FALSE))</f>
        <v/>
      </c>
      <c r="R167" s="207" t="str">
        <f t="shared" si="16"/>
        <v/>
      </c>
      <c r="S167" s="44"/>
      <c r="T167" s="173"/>
      <c r="U167" s="189"/>
      <c r="V167" s="208" t="str">
        <f t="shared" si="17"/>
        <v/>
      </c>
      <c r="W167" s="208" t="str">
        <f t="shared" si="18"/>
        <v/>
      </c>
      <c r="X167" s="208" t="str">
        <f t="shared" si="19"/>
        <v/>
      </c>
      <c r="Y167" s="209" t="str">
        <f t="shared" si="20"/>
        <v/>
      </c>
      <c r="Z167" s="182"/>
      <c r="AA167" s="183"/>
      <c r="AG167" s="35">
        <f t="shared" si="21"/>
        <v>0</v>
      </c>
      <c r="AH167" s="188" t="str">
        <f t="shared" si="22"/>
        <v/>
      </c>
      <c r="AI167" s="188" t="str">
        <f t="shared" si="23"/>
        <v/>
      </c>
      <c r="AK167" s="188">
        <v>158</v>
      </c>
      <c r="AM167" s="188" t="str">
        <f t="array" ref="AM167">IFERROR(INDEX($AK$10:$AK$258, MATCH(0, IF(TRUE=$AH$10:$AH$258, COUNTIF($AM$9:$AM166, $AK$10:$AK$258), ""), 0)),"")</f>
        <v/>
      </c>
      <c r="AN167" s="188" t="str">
        <f t="array" ref="AN167">IFERROR(INDEX($AK$10:$AK$258, MATCH(0, IF(TRUE=$AI$10:$AI$258, COUNTIF($AN$9:$AN166, $AK$10:$AK$258), ""), 0)),"")</f>
        <v/>
      </c>
      <c r="AP167" s="35" t="str">
        <f>IFERROR(INDEX('G-7 Rivers Data'!$AZ$3:$AZ$7,MATCH(D167,'G-7 Rivers Data'!$AY$3:$AY$7,0)),"")</f>
        <v/>
      </c>
    </row>
    <row r="168" spans="3:42" ht="13.8" x14ac:dyDescent="0.25">
      <c r="C168" s="168">
        <v>159</v>
      </c>
      <c r="D168" s="212"/>
      <c r="E168" s="213"/>
      <c r="F168" s="171" t="str">
        <f>IF(D168="","",VLOOKUP(D168,'G-7 Rivers Data'!$B$2:$G$8,2,FALSE))</f>
        <v/>
      </c>
      <c r="G168" s="172" t="str">
        <f>IFERROR(VLOOKUP(F168,'G-7 Rivers Data'!$C$4:$D$8,2,FALSE),"")</f>
        <v/>
      </c>
      <c r="H168" s="173"/>
      <c r="I168" s="172" t="str">
        <f>IFERROR(INDEX('G-7 Rivers Data'!$H$4:$L$8,MATCH(D168,'G-7 Rivers Data'!$B$4:$B$8,0),MATCH(H168,'G-7 Rivers Data'!$H$3:$L$3,0)),"")</f>
        <v/>
      </c>
      <c r="J168" s="173"/>
      <c r="K168" s="172" t="str">
        <f>IF(J168="","",IF(VLOOKUP(J168,'G-7 Rivers Data'!$AK$4:$AM$9,2,FALSE)=0,"Spatial Data Missing",VLOOKUP(J168,'G-7 Rivers Data'!$AK$4:$AM$9,2,FALSE)))</f>
        <v/>
      </c>
      <c r="L168" s="172" t="str">
        <f>IF(J168="","",IF(VLOOKUP(J168,'G-7 Rivers Data'!$AK$4:$AM$9,3,FALSE)=0,"Spatial Data Missing",VLOOKUP(J168,'G-7 Rivers Data'!$AK$4:$AM$9,3,FALSE)))</f>
        <v/>
      </c>
      <c r="M168" s="79"/>
      <c r="N168" s="172" t="str">
        <f>IF(M168="","",IF(VLOOKUP(M168,'G-7 Rivers Data'!$AA$4:$AB$7,2,FALSE)=0,"Spatial Data Missing",VLOOKUP(M168,'G-7 Rivers Data'!$AA$4:$AB$7,2,FALSE)))</f>
        <v/>
      </c>
      <c r="O168" s="187"/>
      <c r="P168" s="172" t="str">
        <f>IF(O168="","",IF(VLOOKUP(O168,'G-7 Rivers Data'!$AD$4:$AE$8,2,FALSE)=0,"Spatial Data Missing",VLOOKUP(O168,'G-7 Rivers Data'!$AD$4:$AE$8,2,FALSE)))</f>
        <v/>
      </c>
      <c r="Q168" s="177" t="str">
        <f>IF(D168="","",VLOOKUP(D168,'G-7 Rivers Data'!$B$2:$G$8,6,FALSE))</f>
        <v/>
      </c>
      <c r="R168" s="207" t="str">
        <f t="shared" si="16"/>
        <v/>
      </c>
      <c r="S168" s="44"/>
      <c r="T168" s="173"/>
      <c r="U168" s="189"/>
      <c r="V168" s="208" t="str">
        <f t="shared" si="17"/>
        <v/>
      </c>
      <c r="W168" s="208" t="str">
        <f t="shared" si="18"/>
        <v/>
      </c>
      <c r="X168" s="208" t="str">
        <f t="shared" si="19"/>
        <v/>
      </c>
      <c r="Y168" s="209" t="str">
        <f t="shared" si="20"/>
        <v/>
      </c>
      <c r="Z168" s="182"/>
      <c r="AA168" s="183"/>
      <c r="AG168" s="35">
        <f t="shared" si="21"/>
        <v>0</v>
      </c>
      <c r="AH168" s="188" t="str">
        <f t="shared" si="22"/>
        <v/>
      </c>
      <c r="AI168" s="188" t="str">
        <f t="shared" si="23"/>
        <v/>
      </c>
      <c r="AK168" s="188">
        <v>159</v>
      </c>
      <c r="AM168" s="188" t="str">
        <f t="array" ref="AM168">IFERROR(INDEX($AK$10:$AK$258, MATCH(0, IF(TRUE=$AH$10:$AH$258, COUNTIF($AM$9:$AM167, $AK$10:$AK$258), ""), 0)),"")</f>
        <v/>
      </c>
      <c r="AN168" s="188" t="str">
        <f t="array" ref="AN168">IFERROR(INDEX($AK$10:$AK$258, MATCH(0, IF(TRUE=$AI$10:$AI$258, COUNTIF($AN$9:$AN167, $AK$10:$AK$258), ""), 0)),"")</f>
        <v/>
      </c>
      <c r="AP168" s="35" t="str">
        <f>IFERROR(INDEX('G-7 Rivers Data'!$AZ$3:$AZ$7,MATCH(D168,'G-7 Rivers Data'!$AY$3:$AY$7,0)),"")</f>
        <v/>
      </c>
    </row>
    <row r="169" spans="3:42" ht="13.8" x14ac:dyDescent="0.25">
      <c r="C169" s="168">
        <v>160</v>
      </c>
      <c r="D169" s="212"/>
      <c r="E169" s="213"/>
      <c r="F169" s="171" t="str">
        <f>IF(D169="","",VLOOKUP(D169,'G-7 Rivers Data'!$B$2:$G$8,2,FALSE))</f>
        <v/>
      </c>
      <c r="G169" s="172" t="str">
        <f>IFERROR(VLOOKUP(F169,'G-7 Rivers Data'!$C$4:$D$8,2,FALSE),"")</f>
        <v/>
      </c>
      <c r="H169" s="173"/>
      <c r="I169" s="172" t="str">
        <f>IFERROR(INDEX('G-7 Rivers Data'!$H$4:$L$8,MATCH(D169,'G-7 Rivers Data'!$B$4:$B$8,0),MATCH(H169,'G-7 Rivers Data'!$H$3:$L$3,0)),"")</f>
        <v/>
      </c>
      <c r="J169" s="173"/>
      <c r="K169" s="172" t="str">
        <f>IF(J169="","",IF(VLOOKUP(J169,'G-7 Rivers Data'!$AK$4:$AM$9,2,FALSE)=0,"Spatial Data Missing",VLOOKUP(J169,'G-7 Rivers Data'!$AK$4:$AM$9,2,FALSE)))</f>
        <v/>
      </c>
      <c r="L169" s="172" t="str">
        <f>IF(J169="","",IF(VLOOKUP(J169,'G-7 Rivers Data'!$AK$4:$AM$9,3,FALSE)=0,"Spatial Data Missing",VLOOKUP(J169,'G-7 Rivers Data'!$AK$4:$AM$9,3,FALSE)))</f>
        <v/>
      </c>
      <c r="M169" s="79"/>
      <c r="N169" s="172" t="str">
        <f>IF(M169="","",IF(VLOOKUP(M169,'G-7 Rivers Data'!$AA$4:$AB$7,2,FALSE)=0,"Spatial Data Missing",VLOOKUP(M169,'G-7 Rivers Data'!$AA$4:$AB$7,2,FALSE)))</f>
        <v/>
      </c>
      <c r="O169" s="187"/>
      <c r="P169" s="172" t="str">
        <f>IF(O169="","",IF(VLOOKUP(O169,'G-7 Rivers Data'!$AD$4:$AE$8,2,FALSE)=0,"Spatial Data Missing",VLOOKUP(O169,'G-7 Rivers Data'!$AD$4:$AE$8,2,FALSE)))</f>
        <v/>
      </c>
      <c r="Q169" s="177" t="str">
        <f>IF(D169="","",VLOOKUP(D169,'G-7 Rivers Data'!$B$2:$G$8,6,FALSE))</f>
        <v/>
      </c>
      <c r="R169" s="207" t="str">
        <f t="shared" si="16"/>
        <v/>
      </c>
      <c r="S169" s="44"/>
      <c r="T169" s="173"/>
      <c r="U169" s="189"/>
      <c r="V169" s="208" t="str">
        <f t="shared" si="17"/>
        <v/>
      </c>
      <c r="W169" s="208" t="str">
        <f t="shared" si="18"/>
        <v/>
      </c>
      <c r="X169" s="208" t="str">
        <f t="shared" si="19"/>
        <v/>
      </c>
      <c r="Y169" s="209" t="str">
        <f t="shared" si="20"/>
        <v/>
      </c>
      <c r="Z169" s="182"/>
      <c r="AA169" s="183"/>
      <c r="AG169" s="35">
        <f t="shared" si="21"/>
        <v>0</v>
      </c>
      <c r="AH169" s="188" t="str">
        <f t="shared" si="22"/>
        <v/>
      </c>
      <c r="AI169" s="188" t="str">
        <f t="shared" si="23"/>
        <v/>
      </c>
      <c r="AK169" s="188">
        <v>160</v>
      </c>
      <c r="AM169" s="188" t="str">
        <f t="array" ref="AM169">IFERROR(INDEX($AK$10:$AK$258, MATCH(0, IF(TRUE=$AH$10:$AH$258, COUNTIF($AM$9:$AM168, $AK$10:$AK$258), ""), 0)),"")</f>
        <v/>
      </c>
      <c r="AN169" s="188" t="str">
        <f t="array" ref="AN169">IFERROR(INDEX($AK$10:$AK$258, MATCH(0, IF(TRUE=$AI$10:$AI$258, COUNTIF($AN$9:$AN168, $AK$10:$AK$258), ""), 0)),"")</f>
        <v/>
      </c>
      <c r="AP169" s="35" t="str">
        <f>IFERROR(INDEX('G-7 Rivers Data'!$AZ$3:$AZ$7,MATCH(D169,'G-7 Rivers Data'!$AY$3:$AY$7,0)),"")</f>
        <v/>
      </c>
    </row>
    <row r="170" spans="3:42" ht="13.8" x14ac:dyDescent="0.25">
      <c r="C170" s="168">
        <v>161</v>
      </c>
      <c r="D170" s="212"/>
      <c r="E170" s="213"/>
      <c r="F170" s="171" t="str">
        <f>IF(D170="","",VLOOKUP(D170,'G-7 Rivers Data'!$B$2:$G$8,2,FALSE))</f>
        <v/>
      </c>
      <c r="G170" s="172" t="str">
        <f>IFERROR(VLOOKUP(F170,'G-7 Rivers Data'!$C$4:$D$8,2,FALSE),"")</f>
        <v/>
      </c>
      <c r="H170" s="173"/>
      <c r="I170" s="172" t="str">
        <f>IFERROR(INDEX('G-7 Rivers Data'!$H$4:$L$8,MATCH(D170,'G-7 Rivers Data'!$B$4:$B$8,0),MATCH(H170,'G-7 Rivers Data'!$H$3:$L$3,0)),"")</f>
        <v/>
      </c>
      <c r="J170" s="173"/>
      <c r="K170" s="172" t="str">
        <f>IF(J170="","",IF(VLOOKUP(J170,'G-7 Rivers Data'!$AK$4:$AM$9,2,FALSE)=0,"Spatial Data Missing",VLOOKUP(J170,'G-7 Rivers Data'!$AK$4:$AM$9,2,FALSE)))</f>
        <v/>
      </c>
      <c r="L170" s="172" t="str">
        <f>IF(J170="","",IF(VLOOKUP(J170,'G-7 Rivers Data'!$AK$4:$AM$9,3,FALSE)=0,"Spatial Data Missing",VLOOKUP(J170,'G-7 Rivers Data'!$AK$4:$AM$9,3,FALSE)))</f>
        <v/>
      </c>
      <c r="M170" s="79"/>
      <c r="N170" s="172" t="str">
        <f>IF(M170="","",IF(VLOOKUP(M170,'G-7 Rivers Data'!$AA$4:$AB$7,2,FALSE)=0,"Spatial Data Missing",VLOOKUP(M170,'G-7 Rivers Data'!$AA$4:$AB$7,2,FALSE)))</f>
        <v/>
      </c>
      <c r="O170" s="187"/>
      <c r="P170" s="172" t="str">
        <f>IF(O170="","",IF(VLOOKUP(O170,'G-7 Rivers Data'!$AD$4:$AE$8,2,FALSE)=0,"Spatial Data Missing",VLOOKUP(O170,'G-7 Rivers Data'!$AD$4:$AE$8,2,FALSE)))</f>
        <v/>
      </c>
      <c r="Q170" s="177" t="str">
        <f>IF(D170="","",VLOOKUP(D170,'G-7 Rivers Data'!$B$2:$G$8,6,FALSE))</f>
        <v/>
      </c>
      <c r="R170" s="207" t="str">
        <f t="shared" si="16"/>
        <v/>
      </c>
      <c r="S170" s="44"/>
      <c r="T170" s="173"/>
      <c r="U170" s="189"/>
      <c r="V170" s="208" t="str">
        <f t="shared" si="17"/>
        <v/>
      </c>
      <c r="W170" s="208" t="str">
        <f t="shared" si="18"/>
        <v/>
      </c>
      <c r="X170" s="208" t="str">
        <f t="shared" si="19"/>
        <v/>
      </c>
      <c r="Y170" s="209" t="str">
        <f t="shared" si="20"/>
        <v/>
      </c>
      <c r="Z170" s="182"/>
      <c r="AA170" s="183"/>
      <c r="AG170" s="35">
        <f t="shared" si="21"/>
        <v>0</v>
      </c>
      <c r="AH170" s="188" t="str">
        <f t="shared" si="22"/>
        <v/>
      </c>
      <c r="AI170" s="188" t="str">
        <f t="shared" si="23"/>
        <v/>
      </c>
      <c r="AK170" s="188">
        <v>161</v>
      </c>
      <c r="AM170" s="188" t="str">
        <f t="array" ref="AM170">IFERROR(INDEX($AK$10:$AK$258, MATCH(0, IF(TRUE=$AH$10:$AH$258, COUNTIF($AM$9:$AM169, $AK$10:$AK$258), ""), 0)),"")</f>
        <v/>
      </c>
      <c r="AN170" s="188" t="str">
        <f t="array" ref="AN170">IFERROR(INDEX($AK$10:$AK$258, MATCH(0, IF(TRUE=$AI$10:$AI$258, COUNTIF($AN$9:$AN169, $AK$10:$AK$258), ""), 0)),"")</f>
        <v/>
      </c>
      <c r="AP170" s="35" t="str">
        <f>IFERROR(INDEX('G-7 Rivers Data'!$AZ$3:$AZ$7,MATCH(D170,'G-7 Rivers Data'!$AY$3:$AY$7,0)),"")</f>
        <v/>
      </c>
    </row>
    <row r="171" spans="3:42" ht="13.8" x14ac:dyDescent="0.25">
      <c r="C171" s="168">
        <v>162</v>
      </c>
      <c r="D171" s="212"/>
      <c r="E171" s="213"/>
      <c r="F171" s="171" t="str">
        <f>IF(D171="","",VLOOKUP(D171,'G-7 Rivers Data'!$B$2:$G$8,2,FALSE))</f>
        <v/>
      </c>
      <c r="G171" s="172" t="str">
        <f>IFERROR(VLOOKUP(F171,'G-7 Rivers Data'!$C$4:$D$8,2,FALSE),"")</f>
        <v/>
      </c>
      <c r="H171" s="173"/>
      <c r="I171" s="172" t="str">
        <f>IFERROR(INDEX('G-7 Rivers Data'!$H$4:$L$8,MATCH(D171,'G-7 Rivers Data'!$B$4:$B$8,0),MATCH(H171,'G-7 Rivers Data'!$H$3:$L$3,0)),"")</f>
        <v/>
      </c>
      <c r="J171" s="173"/>
      <c r="K171" s="172" t="str">
        <f>IF(J171="","",IF(VLOOKUP(J171,'G-7 Rivers Data'!$AK$4:$AM$9,2,FALSE)=0,"Spatial Data Missing",VLOOKUP(J171,'G-7 Rivers Data'!$AK$4:$AM$9,2,FALSE)))</f>
        <v/>
      </c>
      <c r="L171" s="172" t="str">
        <f>IF(J171="","",IF(VLOOKUP(J171,'G-7 Rivers Data'!$AK$4:$AM$9,3,FALSE)=0,"Spatial Data Missing",VLOOKUP(J171,'G-7 Rivers Data'!$AK$4:$AM$9,3,FALSE)))</f>
        <v/>
      </c>
      <c r="M171" s="79"/>
      <c r="N171" s="172" t="str">
        <f>IF(M171="","",IF(VLOOKUP(M171,'G-7 Rivers Data'!$AA$4:$AB$7,2,FALSE)=0,"Spatial Data Missing",VLOOKUP(M171,'G-7 Rivers Data'!$AA$4:$AB$7,2,FALSE)))</f>
        <v/>
      </c>
      <c r="O171" s="187"/>
      <c r="P171" s="172" t="str">
        <f>IF(O171="","",IF(VLOOKUP(O171,'G-7 Rivers Data'!$AD$4:$AE$8,2,FALSE)=0,"Spatial Data Missing",VLOOKUP(O171,'G-7 Rivers Data'!$AD$4:$AE$8,2,FALSE)))</f>
        <v/>
      </c>
      <c r="Q171" s="177" t="str">
        <f>IF(D171="","",VLOOKUP(D171,'G-7 Rivers Data'!$B$2:$G$8,6,FALSE))</f>
        <v/>
      </c>
      <c r="R171" s="207" t="str">
        <f t="shared" si="16"/>
        <v/>
      </c>
      <c r="S171" s="44"/>
      <c r="T171" s="173"/>
      <c r="U171" s="189"/>
      <c r="V171" s="208" t="str">
        <f t="shared" si="17"/>
        <v/>
      </c>
      <c r="W171" s="208" t="str">
        <f t="shared" si="18"/>
        <v/>
      </c>
      <c r="X171" s="208" t="str">
        <f t="shared" si="19"/>
        <v/>
      </c>
      <c r="Y171" s="209" t="str">
        <f t="shared" si="20"/>
        <v/>
      </c>
      <c r="Z171" s="182"/>
      <c r="AA171" s="183"/>
      <c r="AG171" s="35">
        <f t="shared" si="21"/>
        <v>0</v>
      </c>
      <c r="AH171" s="188" t="str">
        <f t="shared" si="22"/>
        <v/>
      </c>
      <c r="AI171" s="188" t="str">
        <f t="shared" si="23"/>
        <v/>
      </c>
      <c r="AK171" s="188">
        <v>162</v>
      </c>
      <c r="AM171" s="188" t="str">
        <f t="array" ref="AM171">IFERROR(INDEX($AK$10:$AK$258, MATCH(0, IF(TRUE=$AH$10:$AH$258, COUNTIF($AM$9:$AM170, $AK$10:$AK$258), ""), 0)),"")</f>
        <v/>
      </c>
      <c r="AN171" s="188" t="str">
        <f t="array" ref="AN171">IFERROR(INDEX($AK$10:$AK$258, MATCH(0, IF(TRUE=$AI$10:$AI$258, COUNTIF($AN$9:$AN170, $AK$10:$AK$258), ""), 0)),"")</f>
        <v/>
      </c>
      <c r="AP171" s="35" t="str">
        <f>IFERROR(INDEX('G-7 Rivers Data'!$AZ$3:$AZ$7,MATCH(D171,'G-7 Rivers Data'!$AY$3:$AY$7,0)),"")</f>
        <v/>
      </c>
    </row>
    <row r="172" spans="3:42" ht="13.8" x14ac:dyDescent="0.25">
      <c r="C172" s="168">
        <v>163</v>
      </c>
      <c r="D172" s="212"/>
      <c r="E172" s="213"/>
      <c r="F172" s="171" t="str">
        <f>IF(D172="","",VLOOKUP(D172,'G-7 Rivers Data'!$B$2:$G$8,2,FALSE))</f>
        <v/>
      </c>
      <c r="G172" s="172" t="str">
        <f>IFERROR(VLOOKUP(F172,'G-7 Rivers Data'!$C$4:$D$8,2,FALSE),"")</f>
        <v/>
      </c>
      <c r="H172" s="173"/>
      <c r="I172" s="172" t="str">
        <f>IFERROR(INDEX('G-7 Rivers Data'!$H$4:$L$8,MATCH(D172,'G-7 Rivers Data'!$B$4:$B$8,0),MATCH(H172,'G-7 Rivers Data'!$H$3:$L$3,0)),"")</f>
        <v/>
      </c>
      <c r="J172" s="173"/>
      <c r="K172" s="172" t="str">
        <f>IF(J172="","",IF(VLOOKUP(J172,'G-7 Rivers Data'!$AK$4:$AM$9,2,FALSE)=0,"Spatial Data Missing",VLOOKUP(J172,'G-7 Rivers Data'!$AK$4:$AM$9,2,FALSE)))</f>
        <v/>
      </c>
      <c r="L172" s="172" t="str">
        <f>IF(J172="","",IF(VLOOKUP(J172,'G-7 Rivers Data'!$AK$4:$AM$9,3,FALSE)=0,"Spatial Data Missing",VLOOKUP(J172,'G-7 Rivers Data'!$AK$4:$AM$9,3,FALSE)))</f>
        <v/>
      </c>
      <c r="M172" s="79"/>
      <c r="N172" s="172" t="str">
        <f>IF(M172="","",IF(VLOOKUP(M172,'G-7 Rivers Data'!$AA$4:$AB$7,2,FALSE)=0,"Spatial Data Missing",VLOOKUP(M172,'G-7 Rivers Data'!$AA$4:$AB$7,2,FALSE)))</f>
        <v/>
      </c>
      <c r="O172" s="187"/>
      <c r="P172" s="172" t="str">
        <f>IF(O172="","",IF(VLOOKUP(O172,'G-7 Rivers Data'!$AD$4:$AE$8,2,FALSE)=0,"Spatial Data Missing",VLOOKUP(O172,'G-7 Rivers Data'!$AD$4:$AE$8,2,FALSE)))</f>
        <v/>
      </c>
      <c r="Q172" s="177" t="str">
        <f>IF(D172="","",VLOOKUP(D172,'G-7 Rivers Data'!$B$2:$G$8,6,FALSE))</f>
        <v/>
      </c>
      <c r="R172" s="207" t="str">
        <f t="shared" si="16"/>
        <v/>
      </c>
      <c r="S172" s="44"/>
      <c r="T172" s="173"/>
      <c r="U172" s="189"/>
      <c r="V172" s="208" t="str">
        <f t="shared" si="17"/>
        <v/>
      </c>
      <c r="W172" s="208" t="str">
        <f t="shared" si="18"/>
        <v/>
      </c>
      <c r="X172" s="208" t="str">
        <f t="shared" si="19"/>
        <v/>
      </c>
      <c r="Y172" s="209" t="str">
        <f t="shared" si="20"/>
        <v/>
      </c>
      <c r="Z172" s="182"/>
      <c r="AA172" s="183"/>
      <c r="AG172" s="35">
        <f t="shared" si="21"/>
        <v>0</v>
      </c>
      <c r="AH172" s="188" t="str">
        <f t="shared" si="22"/>
        <v/>
      </c>
      <c r="AI172" s="188" t="str">
        <f t="shared" si="23"/>
        <v/>
      </c>
      <c r="AK172" s="188">
        <v>163</v>
      </c>
      <c r="AM172" s="188" t="str">
        <f t="array" ref="AM172">IFERROR(INDEX($AK$10:$AK$258, MATCH(0, IF(TRUE=$AH$10:$AH$258, COUNTIF($AM$9:$AM171, $AK$10:$AK$258), ""), 0)),"")</f>
        <v/>
      </c>
      <c r="AN172" s="188" t="str">
        <f t="array" ref="AN172">IFERROR(INDEX($AK$10:$AK$258, MATCH(0, IF(TRUE=$AI$10:$AI$258, COUNTIF($AN$9:$AN171, $AK$10:$AK$258), ""), 0)),"")</f>
        <v/>
      </c>
      <c r="AP172" s="35" t="str">
        <f>IFERROR(INDEX('G-7 Rivers Data'!$AZ$3:$AZ$7,MATCH(D172,'G-7 Rivers Data'!$AY$3:$AY$7,0)),"")</f>
        <v/>
      </c>
    </row>
    <row r="173" spans="3:42" ht="13.8" x14ac:dyDescent="0.25">
      <c r="C173" s="168">
        <v>164</v>
      </c>
      <c r="D173" s="212"/>
      <c r="E173" s="213"/>
      <c r="F173" s="171" t="str">
        <f>IF(D173="","",VLOOKUP(D173,'G-7 Rivers Data'!$B$2:$G$8,2,FALSE))</f>
        <v/>
      </c>
      <c r="G173" s="172" t="str">
        <f>IFERROR(VLOOKUP(F173,'G-7 Rivers Data'!$C$4:$D$8,2,FALSE),"")</f>
        <v/>
      </c>
      <c r="H173" s="173"/>
      <c r="I173" s="172" t="str">
        <f>IFERROR(INDEX('G-7 Rivers Data'!$H$4:$L$8,MATCH(D173,'G-7 Rivers Data'!$B$4:$B$8,0),MATCH(H173,'G-7 Rivers Data'!$H$3:$L$3,0)),"")</f>
        <v/>
      </c>
      <c r="J173" s="173"/>
      <c r="K173" s="172" t="str">
        <f>IF(J173="","",IF(VLOOKUP(J173,'G-7 Rivers Data'!$AK$4:$AM$9,2,FALSE)=0,"Spatial Data Missing",VLOOKUP(J173,'G-7 Rivers Data'!$AK$4:$AM$9,2,FALSE)))</f>
        <v/>
      </c>
      <c r="L173" s="172" t="str">
        <f>IF(J173="","",IF(VLOOKUP(J173,'G-7 Rivers Data'!$AK$4:$AM$9,3,FALSE)=0,"Spatial Data Missing",VLOOKUP(J173,'G-7 Rivers Data'!$AK$4:$AM$9,3,FALSE)))</f>
        <v/>
      </c>
      <c r="M173" s="79"/>
      <c r="N173" s="172" t="str">
        <f>IF(M173="","",IF(VLOOKUP(M173,'G-7 Rivers Data'!$AA$4:$AB$7,2,FALSE)=0,"Spatial Data Missing",VLOOKUP(M173,'G-7 Rivers Data'!$AA$4:$AB$7,2,FALSE)))</f>
        <v/>
      </c>
      <c r="O173" s="187"/>
      <c r="P173" s="172" t="str">
        <f>IF(O173="","",IF(VLOOKUP(O173,'G-7 Rivers Data'!$AD$4:$AE$8,2,FALSE)=0,"Spatial Data Missing",VLOOKUP(O173,'G-7 Rivers Data'!$AD$4:$AE$8,2,FALSE)))</f>
        <v/>
      </c>
      <c r="Q173" s="177" t="str">
        <f>IF(D173="","",VLOOKUP(D173,'G-7 Rivers Data'!$B$2:$G$8,6,FALSE))</f>
        <v/>
      </c>
      <c r="R173" s="207" t="str">
        <f t="shared" si="16"/>
        <v/>
      </c>
      <c r="S173" s="44"/>
      <c r="T173" s="173"/>
      <c r="U173" s="189"/>
      <c r="V173" s="208" t="str">
        <f t="shared" si="17"/>
        <v/>
      </c>
      <c r="W173" s="208" t="str">
        <f t="shared" si="18"/>
        <v/>
      </c>
      <c r="X173" s="208" t="str">
        <f t="shared" si="19"/>
        <v/>
      </c>
      <c r="Y173" s="209" t="str">
        <f t="shared" si="20"/>
        <v/>
      </c>
      <c r="Z173" s="182"/>
      <c r="AA173" s="183"/>
      <c r="AG173" s="35">
        <f t="shared" si="21"/>
        <v>0</v>
      </c>
      <c r="AH173" s="188" t="str">
        <f t="shared" si="22"/>
        <v/>
      </c>
      <c r="AI173" s="188" t="str">
        <f t="shared" si="23"/>
        <v/>
      </c>
      <c r="AK173" s="188">
        <v>164</v>
      </c>
      <c r="AM173" s="188" t="str">
        <f t="array" ref="AM173">IFERROR(INDEX($AK$10:$AK$258, MATCH(0, IF(TRUE=$AH$10:$AH$258, COUNTIF($AM$9:$AM172, $AK$10:$AK$258), ""), 0)),"")</f>
        <v/>
      </c>
      <c r="AN173" s="188" t="str">
        <f t="array" ref="AN173">IFERROR(INDEX($AK$10:$AK$258, MATCH(0, IF(TRUE=$AI$10:$AI$258, COUNTIF($AN$9:$AN172, $AK$10:$AK$258), ""), 0)),"")</f>
        <v/>
      </c>
      <c r="AP173" s="35" t="str">
        <f>IFERROR(INDEX('G-7 Rivers Data'!$AZ$3:$AZ$7,MATCH(D173,'G-7 Rivers Data'!$AY$3:$AY$7,0)),"")</f>
        <v/>
      </c>
    </row>
    <row r="174" spans="3:42" ht="13.8" x14ac:dyDescent="0.25">
      <c r="C174" s="168">
        <v>165</v>
      </c>
      <c r="D174" s="212"/>
      <c r="E174" s="213"/>
      <c r="F174" s="171" t="str">
        <f>IF(D174="","",VLOOKUP(D174,'G-7 Rivers Data'!$B$2:$G$8,2,FALSE))</f>
        <v/>
      </c>
      <c r="G174" s="172" t="str">
        <f>IFERROR(VLOOKUP(F174,'G-7 Rivers Data'!$C$4:$D$8,2,FALSE),"")</f>
        <v/>
      </c>
      <c r="H174" s="173"/>
      <c r="I174" s="172" t="str">
        <f>IFERROR(INDEX('G-7 Rivers Data'!$H$4:$L$8,MATCH(D174,'G-7 Rivers Data'!$B$4:$B$8,0),MATCH(H174,'G-7 Rivers Data'!$H$3:$L$3,0)),"")</f>
        <v/>
      </c>
      <c r="J174" s="173"/>
      <c r="K174" s="172" t="str">
        <f>IF(J174="","",IF(VLOOKUP(J174,'G-7 Rivers Data'!$AK$4:$AM$9,2,FALSE)=0,"Spatial Data Missing",VLOOKUP(J174,'G-7 Rivers Data'!$AK$4:$AM$9,2,FALSE)))</f>
        <v/>
      </c>
      <c r="L174" s="172" t="str">
        <f>IF(J174="","",IF(VLOOKUP(J174,'G-7 Rivers Data'!$AK$4:$AM$9,3,FALSE)=0,"Spatial Data Missing",VLOOKUP(J174,'G-7 Rivers Data'!$AK$4:$AM$9,3,FALSE)))</f>
        <v/>
      </c>
      <c r="M174" s="79"/>
      <c r="N174" s="172" t="str">
        <f>IF(M174="","",IF(VLOOKUP(M174,'G-7 Rivers Data'!$AA$4:$AB$7,2,FALSE)=0,"Spatial Data Missing",VLOOKUP(M174,'G-7 Rivers Data'!$AA$4:$AB$7,2,FALSE)))</f>
        <v/>
      </c>
      <c r="O174" s="187"/>
      <c r="P174" s="172" t="str">
        <f>IF(O174="","",IF(VLOOKUP(O174,'G-7 Rivers Data'!$AD$4:$AE$8,2,FALSE)=0,"Spatial Data Missing",VLOOKUP(O174,'G-7 Rivers Data'!$AD$4:$AE$8,2,FALSE)))</f>
        <v/>
      </c>
      <c r="Q174" s="177" t="str">
        <f>IF(D174="","",VLOOKUP(D174,'G-7 Rivers Data'!$B$2:$G$8,6,FALSE))</f>
        <v/>
      </c>
      <c r="R174" s="207" t="str">
        <f t="shared" si="16"/>
        <v/>
      </c>
      <c r="S174" s="44"/>
      <c r="T174" s="173"/>
      <c r="U174" s="189"/>
      <c r="V174" s="208" t="str">
        <f t="shared" si="17"/>
        <v/>
      </c>
      <c r="W174" s="208" t="str">
        <f t="shared" si="18"/>
        <v/>
      </c>
      <c r="X174" s="208" t="str">
        <f t="shared" si="19"/>
        <v/>
      </c>
      <c r="Y174" s="209" t="str">
        <f t="shared" si="20"/>
        <v/>
      </c>
      <c r="Z174" s="182"/>
      <c r="AA174" s="183"/>
      <c r="AG174" s="35">
        <f t="shared" si="21"/>
        <v>0</v>
      </c>
      <c r="AH174" s="188" t="str">
        <f t="shared" si="22"/>
        <v/>
      </c>
      <c r="AI174" s="188" t="str">
        <f t="shared" si="23"/>
        <v/>
      </c>
      <c r="AK174" s="188">
        <v>165</v>
      </c>
      <c r="AM174" s="188" t="str">
        <f t="array" ref="AM174">IFERROR(INDEX($AK$10:$AK$258, MATCH(0, IF(TRUE=$AH$10:$AH$258, COUNTIF($AM$9:$AM173, $AK$10:$AK$258), ""), 0)),"")</f>
        <v/>
      </c>
      <c r="AN174" s="188" t="str">
        <f t="array" ref="AN174">IFERROR(INDEX($AK$10:$AK$258, MATCH(0, IF(TRUE=$AI$10:$AI$258, COUNTIF($AN$9:$AN173, $AK$10:$AK$258), ""), 0)),"")</f>
        <v/>
      </c>
      <c r="AP174" s="35" t="str">
        <f>IFERROR(INDEX('G-7 Rivers Data'!$AZ$3:$AZ$7,MATCH(D174,'G-7 Rivers Data'!$AY$3:$AY$7,0)),"")</f>
        <v/>
      </c>
    </row>
    <row r="175" spans="3:42" ht="13.8" x14ac:dyDescent="0.25">
      <c r="C175" s="168">
        <v>166</v>
      </c>
      <c r="D175" s="212"/>
      <c r="E175" s="213"/>
      <c r="F175" s="171" t="str">
        <f>IF(D175="","",VLOOKUP(D175,'G-7 Rivers Data'!$B$2:$G$8,2,FALSE))</f>
        <v/>
      </c>
      <c r="G175" s="172" t="str">
        <f>IFERROR(VLOOKUP(F175,'G-7 Rivers Data'!$C$4:$D$8,2,FALSE),"")</f>
        <v/>
      </c>
      <c r="H175" s="173"/>
      <c r="I175" s="172" t="str">
        <f>IFERROR(INDEX('G-7 Rivers Data'!$H$4:$L$8,MATCH(D175,'G-7 Rivers Data'!$B$4:$B$8,0),MATCH(H175,'G-7 Rivers Data'!$H$3:$L$3,0)),"")</f>
        <v/>
      </c>
      <c r="J175" s="173"/>
      <c r="K175" s="172" t="str">
        <f>IF(J175="","",IF(VLOOKUP(J175,'G-7 Rivers Data'!$AK$4:$AM$9,2,FALSE)=0,"Spatial Data Missing",VLOOKUP(J175,'G-7 Rivers Data'!$AK$4:$AM$9,2,FALSE)))</f>
        <v/>
      </c>
      <c r="L175" s="172" t="str">
        <f>IF(J175="","",IF(VLOOKUP(J175,'G-7 Rivers Data'!$AK$4:$AM$9,3,FALSE)=0,"Spatial Data Missing",VLOOKUP(J175,'G-7 Rivers Data'!$AK$4:$AM$9,3,FALSE)))</f>
        <v/>
      </c>
      <c r="M175" s="79"/>
      <c r="N175" s="172" t="str">
        <f>IF(M175="","",IF(VLOOKUP(M175,'G-7 Rivers Data'!$AA$4:$AB$7,2,FALSE)=0,"Spatial Data Missing",VLOOKUP(M175,'G-7 Rivers Data'!$AA$4:$AB$7,2,FALSE)))</f>
        <v/>
      </c>
      <c r="O175" s="187"/>
      <c r="P175" s="172" t="str">
        <f>IF(O175="","",IF(VLOOKUP(O175,'G-7 Rivers Data'!$AD$4:$AE$8,2,FALSE)=0,"Spatial Data Missing",VLOOKUP(O175,'G-7 Rivers Data'!$AD$4:$AE$8,2,FALSE)))</f>
        <v/>
      </c>
      <c r="Q175" s="177" t="str">
        <f>IF(D175="","",VLOOKUP(D175,'G-7 Rivers Data'!$B$2:$G$8,6,FALSE))</f>
        <v/>
      </c>
      <c r="R175" s="207" t="str">
        <f t="shared" si="16"/>
        <v/>
      </c>
      <c r="S175" s="44"/>
      <c r="T175" s="173"/>
      <c r="U175" s="189"/>
      <c r="V175" s="208" t="str">
        <f t="shared" si="17"/>
        <v/>
      </c>
      <c r="W175" s="208" t="str">
        <f t="shared" si="18"/>
        <v/>
      </c>
      <c r="X175" s="208" t="str">
        <f t="shared" si="19"/>
        <v/>
      </c>
      <c r="Y175" s="209" t="str">
        <f t="shared" si="20"/>
        <v/>
      </c>
      <c r="Z175" s="182"/>
      <c r="AA175" s="183"/>
      <c r="AG175" s="35">
        <f t="shared" si="21"/>
        <v>0</v>
      </c>
      <c r="AH175" s="188" t="str">
        <f t="shared" si="22"/>
        <v/>
      </c>
      <c r="AI175" s="188" t="str">
        <f t="shared" si="23"/>
        <v/>
      </c>
      <c r="AK175" s="188">
        <v>166</v>
      </c>
      <c r="AM175" s="188" t="str">
        <f t="array" ref="AM175">IFERROR(INDEX($AK$10:$AK$258, MATCH(0, IF(TRUE=$AH$10:$AH$258, COUNTIF($AM$9:$AM174, $AK$10:$AK$258), ""), 0)),"")</f>
        <v/>
      </c>
      <c r="AN175" s="188" t="str">
        <f t="array" ref="AN175">IFERROR(INDEX($AK$10:$AK$258, MATCH(0, IF(TRUE=$AI$10:$AI$258, COUNTIF($AN$9:$AN174, $AK$10:$AK$258), ""), 0)),"")</f>
        <v/>
      </c>
      <c r="AP175" s="35" t="str">
        <f>IFERROR(INDEX('G-7 Rivers Data'!$AZ$3:$AZ$7,MATCH(D175,'G-7 Rivers Data'!$AY$3:$AY$7,0)),"")</f>
        <v/>
      </c>
    </row>
    <row r="176" spans="3:42" ht="13.8" x14ac:dyDescent="0.25">
      <c r="C176" s="168">
        <v>167</v>
      </c>
      <c r="D176" s="212"/>
      <c r="E176" s="213"/>
      <c r="F176" s="171" t="str">
        <f>IF(D176="","",VLOOKUP(D176,'G-7 Rivers Data'!$B$2:$G$8,2,FALSE))</f>
        <v/>
      </c>
      <c r="G176" s="172" t="str">
        <f>IFERROR(VLOOKUP(F176,'G-7 Rivers Data'!$C$4:$D$8,2,FALSE),"")</f>
        <v/>
      </c>
      <c r="H176" s="173"/>
      <c r="I176" s="172" t="str">
        <f>IFERROR(INDEX('G-7 Rivers Data'!$H$4:$L$8,MATCH(D176,'G-7 Rivers Data'!$B$4:$B$8,0),MATCH(H176,'G-7 Rivers Data'!$H$3:$L$3,0)),"")</f>
        <v/>
      </c>
      <c r="J176" s="173"/>
      <c r="K176" s="172" t="str">
        <f>IF(J176="","",IF(VLOOKUP(J176,'G-7 Rivers Data'!$AK$4:$AM$9,2,FALSE)=0,"Spatial Data Missing",VLOOKUP(J176,'G-7 Rivers Data'!$AK$4:$AM$9,2,FALSE)))</f>
        <v/>
      </c>
      <c r="L176" s="172" t="str">
        <f>IF(J176="","",IF(VLOOKUP(J176,'G-7 Rivers Data'!$AK$4:$AM$9,3,FALSE)=0,"Spatial Data Missing",VLOOKUP(J176,'G-7 Rivers Data'!$AK$4:$AM$9,3,FALSE)))</f>
        <v/>
      </c>
      <c r="M176" s="79"/>
      <c r="N176" s="172" t="str">
        <f>IF(M176="","",IF(VLOOKUP(M176,'G-7 Rivers Data'!$AA$4:$AB$7,2,FALSE)=0,"Spatial Data Missing",VLOOKUP(M176,'G-7 Rivers Data'!$AA$4:$AB$7,2,FALSE)))</f>
        <v/>
      </c>
      <c r="O176" s="187"/>
      <c r="P176" s="172" t="str">
        <f>IF(O176="","",IF(VLOOKUP(O176,'G-7 Rivers Data'!$AD$4:$AE$8,2,FALSE)=0,"Spatial Data Missing",VLOOKUP(O176,'G-7 Rivers Data'!$AD$4:$AE$8,2,FALSE)))</f>
        <v/>
      </c>
      <c r="Q176" s="177" t="str">
        <f>IF(D176="","",VLOOKUP(D176,'G-7 Rivers Data'!$B$2:$G$8,6,FALSE))</f>
        <v/>
      </c>
      <c r="R176" s="207" t="str">
        <f t="shared" si="16"/>
        <v/>
      </c>
      <c r="S176" s="44"/>
      <c r="T176" s="173"/>
      <c r="U176" s="189"/>
      <c r="V176" s="208" t="str">
        <f t="shared" si="17"/>
        <v/>
      </c>
      <c r="W176" s="208" t="str">
        <f t="shared" si="18"/>
        <v/>
      </c>
      <c r="X176" s="208" t="str">
        <f t="shared" si="19"/>
        <v/>
      </c>
      <c r="Y176" s="209" t="str">
        <f t="shared" si="20"/>
        <v/>
      </c>
      <c r="Z176" s="182"/>
      <c r="AA176" s="183"/>
      <c r="AG176" s="35">
        <f t="shared" si="21"/>
        <v>0</v>
      </c>
      <c r="AH176" s="188" t="str">
        <f t="shared" si="22"/>
        <v/>
      </c>
      <c r="AI176" s="188" t="str">
        <f t="shared" si="23"/>
        <v/>
      </c>
      <c r="AK176" s="188">
        <v>167</v>
      </c>
      <c r="AM176" s="188" t="str">
        <f t="array" ref="AM176">IFERROR(INDEX($AK$10:$AK$258, MATCH(0, IF(TRUE=$AH$10:$AH$258, COUNTIF($AM$9:$AM175, $AK$10:$AK$258), ""), 0)),"")</f>
        <v/>
      </c>
      <c r="AN176" s="188" t="str">
        <f t="array" ref="AN176">IFERROR(INDEX($AK$10:$AK$258, MATCH(0, IF(TRUE=$AI$10:$AI$258, COUNTIF($AN$9:$AN175, $AK$10:$AK$258), ""), 0)),"")</f>
        <v/>
      </c>
      <c r="AP176" s="35" t="str">
        <f>IFERROR(INDEX('G-7 Rivers Data'!$AZ$3:$AZ$7,MATCH(D176,'G-7 Rivers Data'!$AY$3:$AY$7,0)),"")</f>
        <v/>
      </c>
    </row>
    <row r="177" spans="3:42" ht="13.8" x14ac:dyDescent="0.25">
      <c r="C177" s="168">
        <v>168</v>
      </c>
      <c r="D177" s="212"/>
      <c r="E177" s="213"/>
      <c r="F177" s="171" t="str">
        <f>IF(D177="","",VLOOKUP(D177,'G-7 Rivers Data'!$B$2:$G$8,2,FALSE))</f>
        <v/>
      </c>
      <c r="G177" s="172" t="str">
        <f>IFERROR(VLOOKUP(F177,'G-7 Rivers Data'!$C$4:$D$8,2,FALSE),"")</f>
        <v/>
      </c>
      <c r="H177" s="173"/>
      <c r="I177" s="172" t="str">
        <f>IFERROR(INDEX('G-7 Rivers Data'!$H$4:$L$8,MATCH(D177,'G-7 Rivers Data'!$B$4:$B$8,0),MATCH(H177,'G-7 Rivers Data'!$H$3:$L$3,0)),"")</f>
        <v/>
      </c>
      <c r="J177" s="173"/>
      <c r="K177" s="172" t="str">
        <f>IF(J177="","",IF(VLOOKUP(J177,'G-7 Rivers Data'!$AK$4:$AM$9,2,FALSE)=0,"Spatial Data Missing",VLOOKUP(J177,'G-7 Rivers Data'!$AK$4:$AM$9,2,FALSE)))</f>
        <v/>
      </c>
      <c r="L177" s="172" t="str">
        <f>IF(J177="","",IF(VLOOKUP(J177,'G-7 Rivers Data'!$AK$4:$AM$9,3,FALSE)=0,"Spatial Data Missing",VLOOKUP(J177,'G-7 Rivers Data'!$AK$4:$AM$9,3,FALSE)))</f>
        <v/>
      </c>
      <c r="M177" s="79"/>
      <c r="N177" s="172" t="str">
        <f>IF(M177="","",IF(VLOOKUP(M177,'G-7 Rivers Data'!$AA$4:$AB$7,2,FALSE)=0,"Spatial Data Missing",VLOOKUP(M177,'G-7 Rivers Data'!$AA$4:$AB$7,2,FALSE)))</f>
        <v/>
      </c>
      <c r="O177" s="187"/>
      <c r="P177" s="172" t="str">
        <f>IF(O177="","",IF(VLOOKUP(O177,'G-7 Rivers Data'!$AD$4:$AE$8,2,FALSE)=0,"Spatial Data Missing",VLOOKUP(O177,'G-7 Rivers Data'!$AD$4:$AE$8,2,FALSE)))</f>
        <v/>
      </c>
      <c r="Q177" s="177" t="str">
        <f>IF(D177="","",VLOOKUP(D177,'G-7 Rivers Data'!$B$2:$G$8,6,FALSE))</f>
        <v/>
      </c>
      <c r="R177" s="207" t="str">
        <f t="shared" si="16"/>
        <v/>
      </c>
      <c r="S177" s="44"/>
      <c r="T177" s="173"/>
      <c r="U177" s="189"/>
      <c r="V177" s="208" t="str">
        <f t="shared" si="17"/>
        <v/>
      </c>
      <c r="W177" s="208" t="str">
        <f t="shared" si="18"/>
        <v/>
      </c>
      <c r="X177" s="208" t="str">
        <f t="shared" si="19"/>
        <v/>
      </c>
      <c r="Y177" s="209" t="str">
        <f t="shared" si="20"/>
        <v/>
      </c>
      <c r="Z177" s="182"/>
      <c r="AA177" s="183"/>
      <c r="AG177" s="35">
        <f t="shared" si="21"/>
        <v>0</v>
      </c>
      <c r="AH177" s="188" t="str">
        <f t="shared" si="22"/>
        <v/>
      </c>
      <c r="AI177" s="188" t="str">
        <f t="shared" si="23"/>
        <v/>
      </c>
      <c r="AK177" s="188">
        <v>168</v>
      </c>
      <c r="AM177" s="188" t="str">
        <f t="array" ref="AM177">IFERROR(INDEX($AK$10:$AK$258, MATCH(0, IF(TRUE=$AH$10:$AH$258, COUNTIF($AM$9:$AM176, $AK$10:$AK$258), ""), 0)),"")</f>
        <v/>
      </c>
      <c r="AN177" s="188" t="str">
        <f t="array" ref="AN177">IFERROR(INDEX($AK$10:$AK$258, MATCH(0, IF(TRUE=$AI$10:$AI$258, COUNTIF($AN$9:$AN176, $AK$10:$AK$258), ""), 0)),"")</f>
        <v/>
      </c>
      <c r="AP177" s="35" t="str">
        <f>IFERROR(INDEX('G-7 Rivers Data'!$AZ$3:$AZ$7,MATCH(D177,'G-7 Rivers Data'!$AY$3:$AY$7,0)),"")</f>
        <v/>
      </c>
    </row>
    <row r="178" spans="3:42" ht="13.8" x14ac:dyDescent="0.25">
      <c r="C178" s="168">
        <v>169</v>
      </c>
      <c r="D178" s="212"/>
      <c r="E178" s="213"/>
      <c r="F178" s="171" t="str">
        <f>IF(D178="","",VLOOKUP(D178,'G-7 Rivers Data'!$B$2:$G$8,2,FALSE))</f>
        <v/>
      </c>
      <c r="G178" s="172" t="str">
        <f>IFERROR(VLOOKUP(F178,'G-7 Rivers Data'!$C$4:$D$8,2,FALSE),"")</f>
        <v/>
      </c>
      <c r="H178" s="173"/>
      <c r="I178" s="172" t="str">
        <f>IFERROR(INDEX('G-7 Rivers Data'!$H$4:$L$8,MATCH(D178,'G-7 Rivers Data'!$B$4:$B$8,0),MATCH(H178,'G-7 Rivers Data'!$H$3:$L$3,0)),"")</f>
        <v/>
      </c>
      <c r="J178" s="173"/>
      <c r="K178" s="172" t="str">
        <f>IF(J178="","",IF(VLOOKUP(J178,'G-7 Rivers Data'!$AK$4:$AM$9,2,FALSE)=0,"Spatial Data Missing",VLOOKUP(J178,'G-7 Rivers Data'!$AK$4:$AM$9,2,FALSE)))</f>
        <v/>
      </c>
      <c r="L178" s="172" t="str">
        <f>IF(J178="","",IF(VLOOKUP(J178,'G-7 Rivers Data'!$AK$4:$AM$9,3,FALSE)=0,"Spatial Data Missing",VLOOKUP(J178,'G-7 Rivers Data'!$AK$4:$AM$9,3,FALSE)))</f>
        <v/>
      </c>
      <c r="M178" s="79"/>
      <c r="N178" s="172" t="str">
        <f>IF(M178="","",IF(VLOOKUP(M178,'G-7 Rivers Data'!$AA$4:$AB$7,2,FALSE)=0,"Spatial Data Missing",VLOOKUP(M178,'G-7 Rivers Data'!$AA$4:$AB$7,2,FALSE)))</f>
        <v/>
      </c>
      <c r="O178" s="187"/>
      <c r="P178" s="172" t="str">
        <f>IF(O178="","",IF(VLOOKUP(O178,'G-7 Rivers Data'!$AD$4:$AE$8,2,FALSE)=0,"Spatial Data Missing",VLOOKUP(O178,'G-7 Rivers Data'!$AD$4:$AE$8,2,FALSE)))</f>
        <v/>
      </c>
      <c r="Q178" s="177" t="str">
        <f>IF(D178="","",VLOOKUP(D178,'G-7 Rivers Data'!$B$2:$G$8,6,FALSE))</f>
        <v/>
      </c>
      <c r="R178" s="207" t="str">
        <f t="shared" si="16"/>
        <v/>
      </c>
      <c r="S178" s="44"/>
      <c r="T178" s="173"/>
      <c r="U178" s="189"/>
      <c r="V178" s="208" t="str">
        <f t="shared" si="17"/>
        <v/>
      </c>
      <c r="W178" s="208" t="str">
        <f t="shared" si="18"/>
        <v/>
      </c>
      <c r="X178" s="208" t="str">
        <f t="shared" si="19"/>
        <v/>
      </c>
      <c r="Y178" s="209" t="str">
        <f t="shared" si="20"/>
        <v/>
      </c>
      <c r="Z178" s="182"/>
      <c r="AA178" s="183"/>
      <c r="AG178" s="35">
        <f t="shared" si="21"/>
        <v>0</v>
      </c>
      <c r="AH178" s="188" t="str">
        <f t="shared" si="22"/>
        <v/>
      </c>
      <c r="AI178" s="188" t="str">
        <f t="shared" si="23"/>
        <v/>
      </c>
      <c r="AK178" s="188">
        <v>169</v>
      </c>
      <c r="AM178" s="188" t="str">
        <f t="array" ref="AM178">IFERROR(INDEX($AK$10:$AK$258, MATCH(0, IF(TRUE=$AH$10:$AH$258, COUNTIF($AM$9:$AM177, $AK$10:$AK$258), ""), 0)),"")</f>
        <v/>
      </c>
      <c r="AN178" s="188" t="str">
        <f t="array" ref="AN178">IFERROR(INDEX($AK$10:$AK$258, MATCH(0, IF(TRUE=$AI$10:$AI$258, COUNTIF($AN$9:$AN177, $AK$10:$AK$258), ""), 0)),"")</f>
        <v/>
      </c>
      <c r="AP178" s="35" t="str">
        <f>IFERROR(INDEX('G-7 Rivers Data'!$AZ$3:$AZ$7,MATCH(D178,'G-7 Rivers Data'!$AY$3:$AY$7,0)),"")</f>
        <v/>
      </c>
    </row>
    <row r="179" spans="3:42" ht="13.8" x14ac:dyDescent="0.25">
      <c r="C179" s="168">
        <v>170</v>
      </c>
      <c r="D179" s="212"/>
      <c r="E179" s="213"/>
      <c r="F179" s="171" t="str">
        <f>IF(D179="","",VLOOKUP(D179,'G-7 Rivers Data'!$B$2:$G$8,2,FALSE))</f>
        <v/>
      </c>
      <c r="G179" s="172" t="str">
        <f>IFERROR(VLOOKUP(F179,'G-7 Rivers Data'!$C$4:$D$8,2,FALSE),"")</f>
        <v/>
      </c>
      <c r="H179" s="173"/>
      <c r="I179" s="172" t="str">
        <f>IFERROR(INDEX('G-7 Rivers Data'!$H$4:$L$8,MATCH(D179,'G-7 Rivers Data'!$B$4:$B$8,0),MATCH(H179,'G-7 Rivers Data'!$H$3:$L$3,0)),"")</f>
        <v/>
      </c>
      <c r="J179" s="173"/>
      <c r="K179" s="172" t="str">
        <f>IF(J179="","",IF(VLOOKUP(J179,'G-7 Rivers Data'!$AK$4:$AM$9,2,FALSE)=0,"Spatial Data Missing",VLOOKUP(J179,'G-7 Rivers Data'!$AK$4:$AM$9,2,FALSE)))</f>
        <v/>
      </c>
      <c r="L179" s="172" t="str">
        <f>IF(J179="","",IF(VLOOKUP(J179,'G-7 Rivers Data'!$AK$4:$AM$9,3,FALSE)=0,"Spatial Data Missing",VLOOKUP(J179,'G-7 Rivers Data'!$AK$4:$AM$9,3,FALSE)))</f>
        <v/>
      </c>
      <c r="M179" s="79"/>
      <c r="N179" s="172" t="str">
        <f>IF(M179="","",IF(VLOOKUP(M179,'G-7 Rivers Data'!$AA$4:$AB$7,2,FALSE)=0,"Spatial Data Missing",VLOOKUP(M179,'G-7 Rivers Data'!$AA$4:$AB$7,2,FALSE)))</f>
        <v/>
      </c>
      <c r="O179" s="187"/>
      <c r="P179" s="172" t="str">
        <f>IF(O179="","",IF(VLOOKUP(O179,'G-7 Rivers Data'!$AD$4:$AE$8,2,FALSE)=0,"Spatial Data Missing",VLOOKUP(O179,'G-7 Rivers Data'!$AD$4:$AE$8,2,FALSE)))</f>
        <v/>
      </c>
      <c r="Q179" s="177" t="str">
        <f>IF(D179="","",VLOOKUP(D179,'G-7 Rivers Data'!$B$2:$G$8,6,FALSE))</f>
        <v/>
      </c>
      <c r="R179" s="207" t="str">
        <f t="shared" si="16"/>
        <v/>
      </c>
      <c r="S179" s="44"/>
      <c r="T179" s="173"/>
      <c r="U179" s="189"/>
      <c r="V179" s="208" t="str">
        <f t="shared" si="17"/>
        <v/>
      </c>
      <c r="W179" s="208" t="str">
        <f t="shared" si="18"/>
        <v/>
      </c>
      <c r="X179" s="208" t="str">
        <f t="shared" si="19"/>
        <v/>
      </c>
      <c r="Y179" s="209" t="str">
        <f t="shared" si="20"/>
        <v/>
      </c>
      <c r="Z179" s="182"/>
      <c r="AA179" s="183"/>
      <c r="AG179" s="35">
        <f t="shared" si="21"/>
        <v>0</v>
      </c>
      <c r="AH179" s="188" t="str">
        <f t="shared" si="22"/>
        <v/>
      </c>
      <c r="AI179" s="188" t="str">
        <f t="shared" si="23"/>
        <v/>
      </c>
      <c r="AK179" s="188">
        <v>170</v>
      </c>
      <c r="AM179" s="188" t="str">
        <f t="array" ref="AM179">IFERROR(INDEX($AK$10:$AK$258, MATCH(0, IF(TRUE=$AH$10:$AH$258, COUNTIF($AM$9:$AM178, $AK$10:$AK$258), ""), 0)),"")</f>
        <v/>
      </c>
      <c r="AN179" s="188" t="str">
        <f t="array" ref="AN179">IFERROR(INDEX($AK$10:$AK$258, MATCH(0, IF(TRUE=$AI$10:$AI$258, COUNTIF($AN$9:$AN178, $AK$10:$AK$258), ""), 0)),"")</f>
        <v/>
      </c>
      <c r="AP179" s="35" t="str">
        <f>IFERROR(INDEX('G-7 Rivers Data'!$AZ$3:$AZ$7,MATCH(D179,'G-7 Rivers Data'!$AY$3:$AY$7,0)),"")</f>
        <v/>
      </c>
    </row>
    <row r="180" spans="3:42" ht="13.8" x14ac:dyDescent="0.25">
      <c r="C180" s="168">
        <v>171</v>
      </c>
      <c r="D180" s="212"/>
      <c r="E180" s="213"/>
      <c r="F180" s="171" t="str">
        <f>IF(D180="","",VLOOKUP(D180,'G-7 Rivers Data'!$B$2:$G$8,2,FALSE))</f>
        <v/>
      </c>
      <c r="G180" s="172" t="str">
        <f>IFERROR(VLOOKUP(F180,'G-7 Rivers Data'!$C$4:$D$8,2,FALSE),"")</f>
        <v/>
      </c>
      <c r="H180" s="173"/>
      <c r="I180" s="172" t="str">
        <f>IFERROR(INDEX('G-7 Rivers Data'!$H$4:$L$8,MATCH(D180,'G-7 Rivers Data'!$B$4:$B$8,0),MATCH(H180,'G-7 Rivers Data'!$H$3:$L$3,0)),"")</f>
        <v/>
      </c>
      <c r="J180" s="173"/>
      <c r="K180" s="172" t="str">
        <f>IF(J180="","",IF(VLOOKUP(J180,'G-7 Rivers Data'!$AK$4:$AM$9,2,FALSE)=0,"Spatial Data Missing",VLOOKUP(J180,'G-7 Rivers Data'!$AK$4:$AM$9,2,FALSE)))</f>
        <v/>
      </c>
      <c r="L180" s="172" t="str">
        <f>IF(J180="","",IF(VLOOKUP(J180,'G-7 Rivers Data'!$AK$4:$AM$9,3,FALSE)=0,"Spatial Data Missing",VLOOKUP(J180,'G-7 Rivers Data'!$AK$4:$AM$9,3,FALSE)))</f>
        <v/>
      </c>
      <c r="M180" s="79"/>
      <c r="N180" s="172" t="str">
        <f>IF(M180="","",IF(VLOOKUP(M180,'G-7 Rivers Data'!$AA$4:$AB$7,2,FALSE)=0,"Spatial Data Missing",VLOOKUP(M180,'G-7 Rivers Data'!$AA$4:$AB$7,2,FALSE)))</f>
        <v/>
      </c>
      <c r="O180" s="187"/>
      <c r="P180" s="172" t="str">
        <f>IF(O180="","",IF(VLOOKUP(O180,'G-7 Rivers Data'!$AD$4:$AE$8,2,FALSE)=0,"Spatial Data Missing",VLOOKUP(O180,'G-7 Rivers Data'!$AD$4:$AE$8,2,FALSE)))</f>
        <v/>
      </c>
      <c r="Q180" s="177" t="str">
        <f>IF(D180="","",VLOOKUP(D180,'G-7 Rivers Data'!$B$2:$G$8,6,FALSE))</f>
        <v/>
      </c>
      <c r="R180" s="207" t="str">
        <f t="shared" si="16"/>
        <v/>
      </c>
      <c r="S180" s="44"/>
      <c r="T180" s="173"/>
      <c r="U180" s="189"/>
      <c r="V180" s="208" t="str">
        <f t="shared" si="17"/>
        <v/>
      </c>
      <c r="W180" s="208" t="str">
        <f t="shared" si="18"/>
        <v/>
      </c>
      <c r="X180" s="208" t="str">
        <f t="shared" si="19"/>
        <v/>
      </c>
      <c r="Y180" s="209" t="str">
        <f t="shared" si="20"/>
        <v/>
      </c>
      <c r="Z180" s="182"/>
      <c r="AA180" s="183"/>
      <c r="AG180" s="35">
        <f t="shared" si="21"/>
        <v>0</v>
      </c>
      <c r="AH180" s="188" t="str">
        <f t="shared" si="22"/>
        <v/>
      </c>
      <c r="AI180" s="188" t="str">
        <f t="shared" si="23"/>
        <v/>
      </c>
      <c r="AK180" s="188">
        <v>171</v>
      </c>
      <c r="AM180" s="188" t="str">
        <f t="array" ref="AM180">IFERROR(INDEX($AK$10:$AK$258, MATCH(0, IF(TRUE=$AH$10:$AH$258, COUNTIF($AM$9:$AM179, $AK$10:$AK$258), ""), 0)),"")</f>
        <v/>
      </c>
      <c r="AN180" s="188" t="str">
        <f t="array" ref="AN180">IFERROR(INDEX($AK$10:$AK$258, MATCH(0, IF(TRUE=$AI$10:$AI$258, COUNTIF($AN$9:$AN179, $AK$10:$AK$258), ""), 0)),"")</f>
        <v/>
      </c>
      <c r="AP180" s="35" t="str">
        <f>IFERROR(INDEX('G-7 Rivers Data'!$AZ$3:$AZ$7,MATCH(D180,'G-7 Rivers Data'!$AY$3:$AY$7,0)),"")</f>
        <v/>
      </c>
    </row>
    <row r="181" spans="3:42" ht="13.8" x14ac:dyDescent="0.25">
      <c r="C181" s="168">
        <v>172</v>
      </c>
      <c r="D181" s="212"/>
      <c r="E181" s="213"/>
      <c r="F181" s="171" t="str">
        <f>IF(D181="","",VLOOKUP(D181,'G-7 Rivers Data'!$B$2:$G$8,2,FALSE))</f>
        <v/>
      </c>
      <c r="G181" s="172" t="str">
        <f>IFERROR(VLOOKUP(F181,'G-7 Rivers Data'!$C$4:$D$8,2,FALSE),"")</f>
        <v/>
      </c>
      <c r="H181" s="173"/>
      <c r="I181" s="172" t="str">
        <f>IFERROR(INDEX('G-7 Rivers Data'!$H$4:$L$8,MATCH(D181,'G-7 Rivers Data'!$B$4:$B$8,0),MATCH(H181,'G-7 Rivers Data'!$H$3:$L$3,0)),"")</f>
        <v/>
      </c>
      <c r="J181" s="173"/>
      <c r="K181" s="172" t="str">
        <f>IF(J181="","",IF(VLOOKUP(J181,'G-7 Rivers Data'!$AK$4:$AM$9,2,FALSE)=0,"Spatial Data Missing",VLOOKUP(J181,'G-7 Rivers Data'!$AK$4:$AM$9,2,FALSE)))</f>
        <v/>
      </c>
      <c r="L181" s="172" t="str">
        <f>IF(J181="","",IF(VLOOKUP(J181,'G-7 Rivers Data'!$AK$4:$AM$9,3,FALSE)=0,"Spatial Data Missing",VLOOKUP(J181,'G-7 Rivers Data'!$AK$4:$AM$9,3,FALSE)))</f>
        <v/>
      </c>
      <c r="M181" s="79"/>
      <c r="N181" s="172" t="str">
        <f>IF(M181="","",IF(VLOOKUP(M181,'G-7 Rivers Data'!$AA$4:$AB$7,2,FALSE)=0,"Spatial Data Missing",VLOOKUP(M181,'G-7 Rivers Data'!$AA$4:$AB$7,2,FALSE)))</f>
        <v/>
      </c>
      <c r="O181" s="187"/>
      <c r="P181" s="172" t="str">
        <f>IF(O181="","",IF(VLOOKUP(O181,'G-7 Rivers Data'!$AD$4:$AE$8,2,FALSE)=0,"Spatial Data Missing",VLOOKUP(O181,'G-7 Rivers Data'!$AD$4:$AE$8,2,FALSE)))</f>
        <v/>
      </c>
      <c r="Q181" s="177" t="str">
        <f>IF(D181="","",VLOOKUP(D181,'G-7 Rivers Data'!$B$2:$G$8,6,FALSE))</f>
        <v/>
      </c>
      <c r="R181" s="207" t="str">
        <f t="shared" si="16"/>
        <v/>
      </c>
      <c r="S181" s="44"/>
      <c r="T181" s="173"/>
      <c r="U181" s="189"/>
      <c r="V181" s="208" t="str">
        <f t="shared" si="17"/>
        <v/>
      </c>
      <c r="W181" s="208" t="str">
        <f t="shared" si="18"/>
        <v/>
      </c>
      <c r="X181" s="208" t="str">
        <f t="shared" si="19"/>
        <v/>
      </c>
      <c r="Y181" s="209" t="str">
        <f t="shared" si="20"/>
        <v/>
      </c>
      <c r="Z181" s="182"/>
      <c r="AA181" s="183"/>
      <c r="AG181" s="35">
        <f t="shared" si="21"/>
        <v>0</v>
      </c>
      <c r="AH181" s="188" t="str">
        <f t="shared" si="22"/>
        <v/>
      </c>
      <c r="AI181" s="188" t="str">
        <f t="shared" si="23"/>
        <v/>
      </c>
      <c r="AK181" s="188">
        <v>172</v>
      </c>
      <c r="AM181" s="188" t="str">
        <f t="array" ref="AM181">IFERROR(INDEX($AK$10:$AK$258, MATCH(0, IF(TRUE=$AH$10:$AH$258, COUNTIF($AM$9:$AM180, $AK$10:$AK$258), ""), 0)),"")</f>
        <v/>
      </c>
      <c r="AN181" s="188" t="str">
        <f t="array" ref="AN181">IFERROR(INDEX($AK$10:$AK$258, MATCH(0, IF(TRUE=$AI$10:$AI$258, COUNTIF($AN$9:$AN180, $AK$10:$AK$258), ""), 0)),"")</f>
        <v/>
      </c>
      <c r="AP181" s="35" t="str">
        <f>IFERROR(INDEX('G-7 Rivers Data'!$AZ$3:$AZ$7,MATCH(D181,'G-7 Rivers Data'!$AY$3:$AY$7,0)),"")</f>
        <v/>
      </c>
    </row>
    <row r="182" spans="3:42" ht="13.8" x14ac:dyDescent="0.25">
      <c r="C182" s="168">
        <v>173</v>
      </c>
      <c r="D182" s="212"/>
      <c r="E182" s="213"/>
      <c r="F182" s="171" t="str">
        <f>IF(D182="","",VLOOKUP(D182,'G-7 Rivers Data'!$B$2:$G$8,2,FALSE))</f>
        <v/>
      </c>
      <c r="G182" s="172" t="str">
        <f>IFERROR(VLOOKUP(F182,'G-7 Rivers Data'!$C$4:$D$8,2,FALSE),"")</f>
        <v/>
      </c>
      <c r="H182" s="173"/>
      <c r="I182" s="172" t="str">
        <f>IFERROR(INDEX('G-7 Rivers Data'!$H$4:$L$8,MATCH(D182,'G-7 Rivers Data'!$B$4:$B$8,0),MATCH(H182,'G-7 Rivers Data'!$H$3:$L$3,0)),"")</f>
        <v/>
      </c>
      <c r="J182" s="173"/>
      <c r="K182" s="172" t="str">
        <f>IF(J182="","",IF(VLOOKUP(J182,'G-7 Rivers Data'!$AK$4:$AM$9,2,FALSE)=0,"Spatial Data Missing",VLOOKUP(J182,'G-7 Rivers Data'!$AK$4:$AM$9,2,FALSE)))</f>
        <v/>
      </c>
      <c r="L182" s="172" t="str">
        <f>IF(J182="","",IF(VLOOKUP(J182,'G-7 Rivers Data'!$AK$4:$AM$9,3,FALSE)=0,"Spatial Data Missing",VLOOKUP(J182,'G-7 Rivers Data'!$AK$4:$AM$9,3,FALSE)))</f>
        <v/>
      </c>
      <c r="M182" s="79"/>
      <c r="N182" s="172" t="str">
        <f>IF(M182="","",IF(VLOOKUP(M182,'G-7 Rivers Data'!$AA$4:$AB$7,2,FALSE)=0,"Spatial Data Missing",VLOOKUP(M182,'G-7 Rivers Data'!$AA$4:$AB$7,2,FALSE)))</f>
        <v/>
      </c>
      <c r="O182" s="187"/>
      <c r="P182" s="172" t="str">
        <f>IF(O182="","",IF(VLOOKUP(O182,'G-7 Rivers Data'!$AD$4:$AE$8,2,FALSE)=0,"Spatial Data Missing",VLOOKUP(O182,'G-7 Rivers Data'!$AD$4:$AE$8,2,FALSE)))</f>
        <v/>
      </c>
      <c r="Q182" s="177" t="str">
        <f>IF(D182="","",VLOOKUP(D182,'G-7 Rivers Data'!$B$2:$G$8,6,FALSE))</f>
        <v/>
      </c>
      <c r="R182" s="207" t="str">
        <f t="shared" si="16"/>
        <v/>
      </c>
      <c r="S182" s="44"/>
      <c r="T182" s="173"/>
      <c r="U182" s="189"/>
      <c r="V182" s="208" t="str">
        <f t="shared" si="17"/>
        <v/>
      </c>
      <c r="W182" s="208" t="str">
        <f t="shared" si="18"/>
        <v/>
      </c>
      <c r="X182" s="208" t="str">
        <f t="shared" si="19"/>
        <v/>
      </c>
      <c r="Y182" s="209" t="str">
        <f t="shared" si="20"/>
        <v/>
      </c>
      <c r="Z182" s="182"/>
      <c r="AA182" s="183"/>
      <c r="AG182" s="35">
        <f t="shared" si="21"/>
        <v>0</v>
      </c>
      <c r="AH182" s="188" t="str">
        <f t="shared" si="22"/>
        <v/>
      </c>
      <c r="AI182" s="188" t="str">
        <f t="shared" si="23"/>
        <v/>
      </c>
      <c r="AK182" s="188">
        <v>173</v>
      </c>
      <c r="AM182" s="188" t="str">
        <f t="array" ref="AM182">IFERROR(INDEX($AK$10:$AK$258, MATCH(0, IF(TRUE=$AH$10:$AH$258, COUNTIF($AM$9:$AM181, $AK$10:$AK$258), ""), 0)),"")</f>
        <v/>
      </c>
      <c r="AN182" s="188" t="str">
        <f t="array" ref="AN182">IFERROR(INDEX($AK$10:$AK$258, MATCH(0, IF(TRUE=$AI$10:$AI$258, COUNTIF($AN$9:$AN181, $AK$10:$AK$258), ""), 0)),"")</f>
        <v/>
      </c>
      <c r="AP182" s="35" t="str">
        <f>IFERROR(INDEX('G-7 Rivers Data'!$AZ$3:$AZ$7,MATCH(D182,'G-7 Rivers Data'!$AY$3:$AY$7,0)),"")</f>
        <v/>
      </c>
    </row>
    <row r="183" spans="3:42" ht="13.8" x14ac:dyDescent="0.25">
      <c r="C183" s="168">
        <v>174</v>
      </c>
      <c r="D183" s="212"/>
      <c r="E183" s="213"/>
      <c r="F183" s="171" t="str">
        <f>IF(D183="","",VLOOKUP(D183,'G-7 Rivers Data'!$B$2:$G$8,2,FALSE))</f>
        <v/>
      </c>
      <c r="G183" s="172" t="str">
        <f>IFERROR(VLOOKUP(F183,'G-7 Rivers Data'!$C$4:$D$8,2,FALSE),"")</f>
        <v/>
      </c>
      <c r="H183" s="173"/>
      <c r="I183" s="172" t="str">
        <f>IFERROR(INDEX('G-7 Rivers Data'!$H$4:$L$8,MATCH(D183,'G-7 Rivers Data'!$B$4:$B$8,0),MATCH(H183,'G-7 Rivers Data'!$H$3:$L$3,0)),"")</f>
        <v/>
      </c>
      <c r="J183" s="173"/>
      <c r="K183" s="172" t="str">
        <f>IF(J183="","",IF(VLOOKUP(J183,'G-7 Rivers Data'!$AK$4:$AM$9,2,FALSE)=0,"Spatial Data Missing",VLOOKUP(J183,'G-7 Rivers Data'!$AK$4:$AM$9,2,FALSE)))</f>
        <v/>
      </c>
      <c r="L183" s="172" t="str">
        <f>IF(J183="","",IF(VLOOKUP(J183,'G-7 Rivers Data'!$AK$4:$AM$9,3,FALSE)=0,"Spatial Data Missing",VLOOKUP(J183,'G-7 Rivers Data'!$AK$4:$AM$9,3,FALSE)))</f>
        <v/>
      </c>
      <c r="M183" s="79"/>
      <c r="N183" s="172" t="str">
        <f>IF(M183="","",IF(VLOOKUP(M183,'G-7 Rivers Data'!$AA$4:$AB$7,2,FALSE)=0,"Spatial Data Missing",VLOOKUP(M183,'G-7 Rivers Data'!$AA$4:$AB$7,2,FALSE)))</f>
        <v/>
      </c>
      <c r="O183" s="187"/>
      <c r="P183" s="172" t="str">
        <f>IF(O183="","",IF(VLOOKUP(O183,'G-7 Rivers Data'!$AD$4:$AE$8,2,FALSE)=0,"Spatial Data Missing",VLOOKUP(O183,'G-7 Rivers Data'!$AD$4:$AE$8,2,FALSE)))</f>
        <v/>
      </c>
      <c r="Q183" s="177" t="str">
        <f>IF(D183="","",VLOOKUP(D183,'G-7 Rivers Data'!$B$2:$G$8,6,FALSE))</f>
        <v/>
      </c>
      <c r="R183" s="207" t="str">
        <f t="shared" si="16"/>
        <v/>
      </c>
      <c r="S183" s="44"/>
      <c r="T183" s="173"/>
      <c r="U183" s="189"/>
      <c r="V183" s="208" t="str">
        <f t="shared" si="17"/>
        <v/>
      </c>
      <c r="W183" s="208" t="str">
        <f t="shared" si="18"/>
        <v/>
      </c>
      <c r="X183" s="208" t="str">
        <f t="shared" si="19"/>
        <v/>
      </c>
      <c r="Y183" s="209" t="str">
        <f t="shared" si="20"/>
        <v/>
      </c>
      <c r="Z183" s="182"/>
      <c r="AA183" s="183"/>
      <c r="AG183" s="35">
        <f t="shared" si="21"/>
        <v>0</v>
      </c>
      <c r="AH183" s="188" t="str">
        <f t="shared" si="22"/>
        <v/>
      </c>
      <c r="AI183" s="188" t="str">
        <f t="shared" si="23"/>
        <v/>
      </c>
      <c r="AK183" s="188">
        <v>174</v>
      </c>
      <c r="AM183" s="188" t="str">
        <f t="array" ref="AM183">IFERROR(INDEX($AK$10:$AK$258, MATCH(0, IF(TRUE=$AH$10:$AH$258, COUNTIF($AM$9:$AM182, $AK$10:$AK$258), ""), 0)),"")</f>
        <v/>
      </c>
      <c r="AN183" s="188" t="str">
        <f t="array" ref="AN183">IFERROR(INDEX($AK$10:$AK$258, MATCH(0, IF(TRUE=$AI$10:$AI$258, COUNTIF($AN$9:$AN182, $AK$10:$AK$258), ""), 0)),"")</f>
        <v/>
      </c>
      <c r="AP183" s="35" t="str">
        <f>IFERROR(INDEX('G-7 Rivers Data'!$AZ$3:$AZ$7,MATCH(D183,'G-7 Rivers Data'!$AY$3:$AY$7,0)),"")</f>
        <v/>
      </c>
    </row>
    <row r="184" spans="3:42" ht="13.8" x14ac:dyDescent="0.25">
      <c r="C184" s="168">
        <v>175</v>
      </c>
      <c r="D184" s="212"/>
      <c r="E184" s="213"/>
      <c r="F184" s="171" t="str">
        <f>IF(D184="","",VLOOKUP(D184,'G-7 Rivers Data'!$B$2:$G$8,2,FALSE))</f>
        <v/>
      </c>
      <c r="G184" s="172" t="str">
        <f>IFERROR(VLOOKUP(F184,'G-7 Rivers Data'!$C$4:$D$8,2,FALSE),"")</f>
        <v/>
      </c>
      <c r="H184" s="173"/>
      <c r="I184" s="172" t="str">
        <f>IFERROR(INDEX('G-7 Rivers Data'!$H$4:$L$8,MATCH(D184,'G-7 Rivers Data'!$B$4:$B$8,0),MATCH(H184,'G-7 Rivers Data'!$H$3:$L$3,0)),"")</f>
        <v/>
      </c>
      <c r="J184" s="173"/>
      <c r="K184" s="172" t="str">
        <f>IF(J184="","",IF(VLOOKUP(J184,'G-7 Rivers Data'!$AK$4:$AM$9,2,FALSE)=0,"Spatial Data Missing",VLOOKUP(J184,'G-7 Rivers Data'!$AK$4:$AM$9,2,FALSE)))</f>
        <v/>
      </c>
      <c r="L184" s="172" t="str">
        <f>IF(J184="","",IF(VLOOKUP(J184,'G-7 Rivers Data'!$AK$4:$AM$9,3,FALSE)=0,"Spatial Data Missing",VLOOKUP(J184,'G-7 Rivers Data'!$AK$4:$AM$9,3,FALSE)))</f>
        <v/>
      </c>
      <c r="M184" s="79"/>
      <c r="N184" s="172" t="str">
        <f>IF(M184="","",IF(VLOOKUP(M184,'G-7 Rivers Data'!$AA$4:$AB$7,2,FALSE)=0,"Spatial Data Missing",VLOOKUP(M184,'G-7 Rivers Data'!$AA$4:$AB$7,2,FALSE)))</f>
        <v/>
      </c>
      <c r="O184" s="187"/>
      <c r="P184" s="172" t="str">
        <f>IF(O184="","",IF(VLOOKUP(O184,'G-7 Rivers Data'!$AD$4:$AE$8,2,FALSE)=0,"Spatial Data Missing",VLOOKUP(O184,'G-7 Rivers Data'!$AD$4:$AE$8,2,FALSE)))</f>
        <v/>
      </c>
      <c r="Q184" s="177" t="str">
        <f>IF(D184="","",VLOOKUP(D184,'G-7 Rivers Data'!$B$2:$G$8,6,FALSE))</f>
        <v/>
      </c>
      <c r="R184" s="207" t="str">
        <f t="shared" si="16"/>
        <v/>
      </c>
      <c r="S184" s="44"/>
      <c r="T184" s="173"/>
      <c r="U184" s="189"/>
      <c r="V184" s="208" t="str">
        <f t="shared" si="17"/>
        <v/>
      </c>
      <c r="W184" s="208" t="str">
        <f t="shared" si="18"/>
        <v/>
      </c>
      <c r="X184" s="208" t="str">
        <f t="shared" si="19"/>
        <v/>
      </c>
      <c r="Y184" s="209" t="str">
        <f t="shared" si="20"/>
        <v/>
      </c>
      <c r="Z184" s="182"/>
      <c r="AA184" s="183"/>
      <c r="AG184" s="35">
        <f t="shared" si="21"/>
        <v>0</v>
      </c>
      <c r="AH184" s="188" t="str">
        <f t="shared" si="22"/>
        <v/>
      </c>
      <c r="AI184" s="188" t="str">
        <f t="shared" si="23"/>
        <v/>
      </c>
      <c r="AK184" s="188">
        <v>175</v>
      </c>
      <c r="AM184" s="188" t="str">
        <f t="array" ref="AM184">IFERROR(INDEX($AK$10:$AK$258, MATCH(0, IF(TRUE=$AH$10:$AH$258, COUNTIF($AM$9:$AM183, $AK$10:$AK$258), ""), 0)),"")</f>
        <v/>
      </c>
      <c r="AN184" s="188" t="str">
        <f t="array" ref="AN184">IFERROR(INDEX($AK$10:$AK$258, MATCH(0, IF(TRUE=$AI$10:$AI$258, COUNTIF($AN$9:$AN183, $AK$10:$AK$258), ""), 0)),"")</f>
        <v/>
      </c>
      <c r="AP184" s="35" t="str">
        <f>IFERROR(INDEX('G-7 Rivers Data'!$AZ$3:$AZ$7,MATCH(D184,'G-7 Rivers Data'!$AY$3:$AY$7,0)),"")</f>
        <v/>
      </c>
    </row>
    <row r="185" spans="3:42" ht="13.8" x14ac:dyDescent="0.25">
      <c r="C185" s="168">
        <v>176</v>
      </c>
      <c r="D185" s="212"/>
      <c r="E185" s="213"/>
      <c r="F185" s="171" t="str">
        <f>IF(D185="","",VLOOKUP(D185,'G-7 Rivers Data'!$B$2:$G$8,2,FALSE))</f>
        <v/>
      </c>
      <c r="G185" s="172" t="str">
        <f>IFERROR(VLOOKUP(F185,'G-7 Rivers Data'!$C$4:$D$8,2,FALSE),"")</f>
        <v/>
      </c>
      <c r="H185" s="173"/>
      <c r="I185" s="172" t="str">
        <f>IFERROR(INDEX('G-7 Rivers Data'!$H$4:$L$8,MATCH(D185,'G-7 Rivers Data'!$B$4:$B$8,0),MATCH(H185,'G-7 Rivers Data'!$H$3:$L$3,0)),"")</f>
        <v/>
      </c>
      <c r="J185" s="173"/>
      <c r="K185" s="172" t="str">
        <f>IF(J185="","",IF(VLOOKUP(J185,'G-7 Rivers Data'!$AK$4:$AM$9,2,FALSE)=0,"Spatial Data Missing",VLOOKUP(J185,'G-7 Rivers Data'!$AK$4:$AM$9,2,FALSE)))</f>
        <v/>
      </c>
      <c r="L185" s="172" t="str">
        <f>IF(J185="","",IF(VLOOKUP(J185,'G-7 Rivers Data'!$AK$4:$AM$9,3,FALSE)=0,"Spatial Data Missing",VLOOKUP(J185,'G-7 Rivers Data'!$AK$4:$AM$9,3,FALSE)))</f>
        <v/>
      </c>
      <c r="M185" s="79"/>
      <c r="N185" s="172" t="str">
        <f>IF(M185="","",IF(VLOOKUP(M185,'G-7 Rivers Data'!$AA$4:$AB$7,2,FALSE)=0,"Spatial Data Missing",VLOOKUP(M185,'G-7 Rivers Data'!$AA$4:$AB$7,2,FALSE)))</f>
        <v/>
      </c>
      <c r="O185" s="187"/>
      <c r="P185" s="172" t="str">
        <f>IF(O185="","",IF(VLOOKUP(O185,'G-7 Rivers Data'!$AD$4:$AE$8,2,FALSE)=0,"Spatial Data Missing",VLOOKUP(O185,'G-7 Rivers Data'!$AD$4:$AE$8,2,FALSE)))</f>
        <v/>
      </c>
      <c r="Q185" s="177" t="str">
        <f>IF(D185="","",VLOOKUP(D185,'G-7 Rivers Data'!$B$2:$G$8,6,FALSE))</f>
        <v/>
      </c>
      <c r="R185" s="207" t="str">
        <f t="shared" si="16"/>
        <v/>
      </c>
      <c r="S185" s="44"/>
      <c r="T185" s="173"/>
      <c r="U185" s="189"/>
      <c r="V185" s="208" t="str">
        <f t="shared" si="17"/>
        <v/>
      </c>
      <c r="W185" s="208" t="str">
        <f t="shared" si="18"/>
        <v/>
      </c>
      <c r="X185" s="208" t="str">
        <f t="shared" si="19"/>
        <v/>
      </c>
      <c r="Y185" s="209" t="str">
        <f t="shared" si="20"/>
        <v/>
      </c>
      <c r="Z185" s="182"/>
      <c r="AA185" s="183"/>
      <c r="AG185" s="35">
        <f t="shared" si="21"/>
        <v>0</v>
      </c>
      <c r="AH185" s="188" t="str">
        <f t="shared" si="22"/>
        <v/>
      </c>
      <c r="AI185" s="188" t="str">
        <f t="shared" si="23"/>
        <v/>
      </c>
      <c r="AK185" s="188">
        <v>176</v>
      </c>
      <c r="AM185" s="188" t="str">
        <f t="array" ref="AM185">IFERROR(INDEX($AK$10:$AK$258, MATCH(0, IF(TRUE=$AH$10:$AH$258, COUNTIF($AM$9:$AM184, $AK$10:$AK$258), ""), 0)),"")</f>
        <v/>
      </c>
      <c r="AN185" s="188" t="str">
        <f t="array" ref="AN185">IFERROR(INDEX($AK$10:$AK$258, MATCH(0, IF(TRUE=$AI$10:$AI$258, COUNTIF($AN$9:$AN184, $AK$10:$AK$258), ""), 0)),"")</f>
        <v/>
      </c>
      <c r="AP185" s="35" t="str">
        <f>IFERROR(INDEX('G-7 Rivers Data'!$AZ$3:$AZ$7,MATCH(D185,'G-7 Rivers Data'!$AY$3:$AY$7,0)),"")</f>
        <v/>
      </c>
    </row>
    <row r="186" spans="3:42" ht="13.8" x14ac:dyDescent="0.25">
      <c r="C186" s="168">
        <v>177</v>
      </c>
      <c r="D186" s="212"/>
      <c r="E186" s="213"/>
      <c r="F186" s="171" t="str">
        <f>IF(D186="","",VLOOKUP(D186,'G-7 Rivers Data'!$B$2:$G$8,2,FALSE))</f>
        <v/>
      </c>
      <c r="G186" s="172" t="str">
        <f>IFERROR(VLOOKUP(F186,'G-7 Rivers Data'!$C$4:$D$8,2,FALSE),"")</f>
        <v/>
      </c>
      <c r="H186" s="173"/>
      <c r="I186" s="172" t="str">
        <f>IFERROR(INDEX('G-7 Rivers Data'!$H$4:$L$8,MATCH(D186,'G-7 Rivers Data'!$B$4:$B$8,0),MATCH(H186,'G-7 Rivers Data'!$H$3:$L$3,0)),"")</f>
        <v/>
      </c>
      <c r="J186" s="173"/>
      <c r="K186" s="172" t="str">
        <f>IF(J186="","",IF(VLOOKUP(J186,'G-7 Rivers Data'!$AK$4:$AM$9,2,FALSE)=0,"Spatial Data Missing",VLOOKUP(J186,'G-7 Rivers Data'!$AK$4:$AM$9,2,FALSE)))</f>
        <v/>
      </c>
      <c r="L186" s="172" t="str">
        <f>IF(J186="","",IF(VLOOKUP(J186,'G-7 Rivers Data'!$AK$4:$AM$9,3,FALSE)=0,"Spatial Data Missing",VLOOKUP(J186,'G-7 Rivers Data'!$AK$4:$AM$9,3,FALSE)))</f>
        <v/>
      </c>
      <c r="M186" s="79"/>
      <c r="N186" s="172" t="str">
        <f>IF(M186="","",IF(VLOOKUP(M186,'G-7 Rivers Data'!$AA$4:$AB$7,2,FALSE)=0,"Spatial Data Missing",VLOOKUP(M186,'G-7 Rivers Data'!$AA$4:$AB$7,2,FALSE)))</f>
        <v/>
      </c>
      <c r="O186" s="187"/>
      <c r="P186" s="172" t="str">
        <f>IF(O186="","",IF(VLOOKUP(O186,'G-7 Rivers Data'!$AD$4:$AE$8,2,FALSE)=0,"Spatial Data Missing",VLOOKUP(O186,'G-7 Rivers Data'!$AD$4:$AE$8,2,FALSE)))</f>
        <v/>
      </c>
      <c r="Q186" s="177" t="str">
        <f>IF(D186="","",VLOOKUP(D186,'G-7 Rivers Data'!$B$2:$G$8,6,FALSE))</f>
        <v/>
      </c>
      <c r="R186" s="207" t="str">
        <f t="shared" si="16"/>
        <v/>
      </c>
      <c r="S186" s="44"/>
      <c r="T186" s="173"/>
      <c r="U186" s="189"/>
      <c r="V186" s="208" t="str">
        <f t="shared" si="17"/>
        <v/>
      </c>
      <c r="W186" s="208" t="str">
        <f t="shared" si="18"/>
        <v/>
      </c>
      <c r="X186" s="208" t="str">
        <f t="shared" si="19"/>
        <v/>
      </c>
      <c r="Y186" s="209" t="str">
        <f t="shared" si="20"/>
        <v/>
      </c>
      <c r="Z186" s="182"/>
      <c r="AA186" s="183"/>
      <c r="AG186" s="35">
        <f t="shared" si="21"/>
        <v>0</v>
      </c>
      <c r="AH186" s="188" t="str">
        <f t="shared" si="22"/>
        <v/>
      </c>
      <c r="AI186" s="188" t="str">
        <f t="shared" si="23"/>
        <v/>
      </c>
      <c r="AK186" s="188">
        <v>177</v>
      </c>
      <c r="AM186" s="188" t="str">
        <f t="array" ref="AM186">IFERROR(INDEX($AK$10:$AK$258, MATCH(0, IF(TRUE=$AH$10:$AH$258, COUNTIF($AM$9:$AM185, $AK$10:$AK$258), ""), 0)),"")</f>
        <v/>
      </c>
      <c r="AN186" s="188" t="str">
        <f t="array" ref="AN186">IFERROR(INDEX($AK$10:$AK$258, MATCH(0, IF(TRUE=$AI$10:$AI$258, COUNTIF($AN$9:$AN185, $AK$10:$AK$258), ""), 0)),"")</f>
        <v/>
      </c>
      <c r="AP186" s="35" t="str">
        <f>IFERROR(INDEX('G-7 Rivers Data'!$AZ$3:$AZ$7,MATCH(D186,'G-7 Rivers Data'!$AY$3:$AY$7,0)),"")</f>
        <v/>
      </c>
    </row>
    <row r="187" spans="3:42" ht="13.8" x14ac:dyDescent="0.25">
      <c r="C187" s="168">
        <v>178</v>
      </c>
      <c r="D187" s="212"/>
      <c r="E187" s="213"/>
      <c r="F187" s="171" t="str">
        <f>IF(D187="","",VLOOKUP(D187,'G-7 Rivers Data'!$B$2:$G$8,2,FALSE))</f>
        <v/>
      </c>
      <c r="G187" s="172" t="str">
        <f>IFERROR(VLOOKUP(F187,'G-7 Rivers Data'!$C$4:$D$8,2,FALSE),"")</f>
        <v/>
      </c>
      <c r="H187" s="173"/>
      <c r="I187" s="172" t="str">
        <f>IFERROR(INDEX('G-7 Rivers Data'!$H$4:$L$8,MATCH(D187,'G-7 Rivers Data'!$B$4:$B$8,0),MATCH(H187,'G-7 Rivers Data'!$H$3:$L$3,0)),"")</f>
        <v/>
      </c>
      <c r="J187" s="173"/>
      <c r="K187" s="172" t="str">
        <f>IF(J187="","",IF(VLOOKUP(J187,'G-7 Rivers Data'!$AK$4:$AM$9,2,FALSE)=0,"Spatial Data Missing",VLOOKUP(J187,'G-7 Rivers Data'!$AK$4:$AM$9,2,FALSE)))</f>
        <v/>
      </c>
      <c r="L187" s="172" t="str">
        <f>IF(J187="","",IF(VLOOKUP(J187,'G-7 Rivers Data'!$AK$4:$AM$9,3,FALSE)=0,"Spatial Data Missing",VLOOKUP(J187,'G-7 Rivers Data'!$AK$4:$AM$9,3,FALSE)))</f>
        <v/>
      </c>
      <c r="M187" s="79"/>
      <c r="N187" s="172" t="str">
        <f>IF(M187="","",IF(VLOOKUP(M187,'G-7 Rivers Data'!$AA$4:$AB$7,2,FALSE)=0,"Spatial Data Missing",VLOOKUP(M187,'G-7 Rivers Data'!$AA$4:$AB$7,2,FALSE)))</f>
        <v/>
      </c>
      <c r="O187" s="187"/>
      <c r="P187" s="172" t="str">
        <f>IF(O187="","",IF(VLOOKUP(O187,'G-7 Rivers Data'!$AD$4:$AE$8,2,FALSE)=0,"Spatial Data Missing",VLOOKUP(O187,'G-7 Rivers Data'!$AD$4:$AE$8,2,FALSE)))</f>
        <v/>
      </c>
      <c r="Q187" s="177" t="str">
        <f>IF(D187="","",VLOOKUP(D187,'G-7 Rivers Data'!$B$2:$G$8,6,FALSE))</f>
        <v/>
      </c>
      <c r="R187" s="207" t="str">
        <f t="shared" si="16"/>
        <v/>
      </c>
      <c r="S187" s="44"/>
      <c r="T187" s="173"/>
      <c r="U187" s="189"/>
      <c r="V187" s="208" t="str">
        <f t="shared" si="17"/>
        <v/>
      </c>
      <c r="W187" s="208" t="str">
        <f t="shared" si="18"/>
        <v/>
      </c>
      <c r="X187" s="208" t="str">
        <f t="shared" si="19"/>
        <v/>
      </c>
      <c r="Y187" s="209" t="str">
        <f t="shared" si="20"/>
        <v/>
      </c>
      <c r="Z187" s="182"/>
      <c r="AA187" s="183"/>
      <c r="AG187" s="35">
        <f t="shared" si="21"/>
        <v>0</v>
      </c>
      <c r="AH187" s="188" t="str">
        <f t="shared" si="22"/>
        <v/>
      </c>
      <c r="AI187" s="188" t="str">
        <f t="shared" si="23"/>
        <v/>
      </c>
      <c r="AK187" s="188">
        <v>178</v>
      </c>
      <c r="AM187" s="188" t="str">
        <f t="array" ref="AM187">IFERROR(INDEX($AK$10:$AK$258, MATCH(0, IF(TRUE=$AH$10:$AH$258, COUNTIF($AM$9:$AM186, $AK$10:$AK$258), ""), 0)),"")</f>
        <v/>
      </c>
      <c r="AN187" s="188" t="str">
        <f t="array" ref="AN187">IFERROR(INDEX($AK$10:$AK$258, MATCH(0, IF(TRUE=$AI$10:$AI$258, COUNTIF($AN$9:$AN186, $AK$10:$AK$258), ""), 0)),"")</f>
        <v/>
      </c>
      <c r="AP187" s="35" t="str">
        <f>IFERROR(INDEX('G-7 Rivers Data'!$AZ$3:$AZ$7,MATCH(D187,'G-7 Rivers Data'!$AY$3:$AY$7,0)),"")</f>
        <v/>
      </c>
    </row>
    <row r="188" spans="3:42" ht="13.8" x14ac:dyDescent="0.25">
      <c r="C188" s="168">
        <v>179</v>
      </c>
      <c r="D188" s="212"/>
      <c r="E188" s="213"/>
      <c r="F188" s="171" t="str">
        <f>IF(D188="","",VLOOKUP(D188,'G-7 Rivers Data'!$B$2:$G$8,2,FALSE))</f>
        <v/>
      </c>
      <c r="G188" s="172" t="str">
        <f>IFERROR(VLOOKUP(F188,'G-7 Rivers Data'!$C$4:$D$8,2,FALSE),"")</f>
        <v/>
      </c>
      <c r="H188" s="173"/>
      <c r="I188" s="172" t="str">
        <f>IFERROR(INDEX('G-7 Rivers Data'!$H$4:$L$8,MATCH(D188,'G-7 Rivers Data'!$B$4:$B$8,0),MATCH(H188,'G-7 Rivers Data'!$H$3:$L$3,0)),"")</f>
        <v/>
      </c>
      <c r="J188" s="173"/>
      <c r="K188" s="172" t="str">
        <f>IF(J188="","",IF(VLOOKUP(J188,'G-7 Rivers Data'!$AK$4:$AM$9,2,FALSE)=0,"Spatial Data Missing",VLOOKUP(J188,'G-7 Rivers Data'!$AK$4:$AM$9,2,FALSE)))</f>
        <v/>
      </c>
      <c r="L188" s="172" t="str">
        <f>IF(J188="","",IF(VLOOKUP(J188,'G-7 Rivers Data'!$AK$4:$AM$9,3,FALSE)=0,"Spatial Data Missing",VLOOKUP(J188,'G-7 Rivers Data'!$AK$4:$AM$9,3,FALSE)))</f>
        <v/>
      </c>
      <c r="M188" s="79"/>
      <c r="N188" s="172" t="str">
        <f>IF(M188="","",IF(VLOOKUP(M188,'G-7 Rivers Data'!$AA$4:$AB$7,2,FALSE)=0,"Spatial Data Missing",VLOOKUP(M188,'G-7 Rivers Data'!$AA$4:$AB$7,2,FALSE)))</f>
        <v/>
      </c>
      <c r="O188" s="187"/>
      <c r="P188" s="172" t="str">
        <f>IF(O188="","",IF(VLOOKUP(O188,'G-7 Rivers Data'!$AD$4:$AE$8,2,FALSE)=0,"Spatial Data Missing",VLOOKUP(O188,'G-7 Rivers Data'!$AD$4:$AE$8,2,FALSE)))</f>
        <v/>
      </c>
      <c r="Q188" s="177" t="str">
        <f>IF(D188="","",VLOOKUP(D188,'G-7 Rivers Data'!$B$2:$G$8,6,FALSE))</f>
        <v/>
      </c>
      <c r="R188" s="207" t="str">
        <f t="shared" si="16"/>
        <v/>
      </c>
      <c r="S188" s="44"/>
      <c r="T188" s="173"/>
      <c r="U188" s="189"/>
      <c r="V188" s="208" t="str">
        <f t="shared" si="17"/>
        <v/>
      </c>
      <c r="W188" s="208" t="str">
        <f t="shared" si="18"/>
        <v/>
      </c>
      <c r="X188" s="208" t="str">
        <f t="shared" si="19"/>
        <v/>
      </c>
      <c r="Y188" s="209" t="str">
        <f t="shared" si="20"/>
        <v/>
      </c>
      <c r="Z188" s="182"/>
      <c r="AA188" s="183"/>
      <c r="AG188" s="35">
        <f t="shared" si="21"/>
        <v>0</v>
      </c>
      <c r="AH188" s="188" t="str">
        <f t="shared" si="22"/>
        <v/>
      </c>
      <c r="AI188" s="188" t="str">
        <f t="shared" si="23"/>
        <v/>
      </c>
      <c r="AK188" s="188">
        <v>179</v>
      </c>
      <c r="AM188" s="188" t="str">
        <f t="array" ref="AM188">IFERROR(INDEX($AK$10:$AK$258, MATCH(0, IF(TRUE=$AH$10:$AH$258, COUNTIF($AM$9:$AM187, $AK$10:$AK$258), ""), 0)),"")</f>
        <v/>
      </c>
      <c r="AN188" s="188" t="str">
        <f t="array" ref="AN188">IFERROR(INDEX($AK$10:$AK$258, MATCH(0, IF(TRUE=$AI$10:$AI$258, COUNTIF($AN$9:$AN187, $AK$10:$AK$258), ""), 0)),"")</f>
        <v/>
      </c>
      <c r="AP188" s="35" t="str">
        <f>IFERROR(INDEX('G-7 Rivers Data'!$AZ$3:$AZ$7,MATCH(D188,'G-7 Rivers Data'!$AY$3:$AY$7,0)),"")</f>
        <v/>
      </c>
    </row>
    <row r="189" spans="3:42" ht="13.8" x14ac:dyDescent="0.25">
      <c r="C189" s="168">
        <v>180</v>
      </c>
      <c r="D189" s="212"/>
      <c r="E189" s="213"/>
      <c r="F189" s="171" t="str">
        <f>IF(D189="","",VLOOKUP(D189,'G-7 Rivers Data'!$B$2:$G$8,2,FALSE))</f>
        <v/>
      </c>
      <c r="G189" s="172" t="str">
        <f>IFERROR(VLOOKUP(F189,'G-7 Rivers Data'!$C$4:$D$8,2,FALSE),"")</f>
        <v/>
      </c>
      <c r="H189" s="173"/>
      <c r="I189" s="172" t="str">
        <f>IFERROR(INDEX('G-7 Rivers Data'!$H$4:$L$8,MATCH(D189,'G-7 Rivers Data'!$B$4:$B$8,0),MATCH(H189,'G-7 Rivers Data'!$H$3:$L$3,0)),"")</f>
        <v/>
      </c>
      <c r="J189" s="173"/>
      <c r="K189" s="172" t="str">
        <f>IF(J189="","",IF(VLOOKUP(J189,'G-7 Rivers Data'!$AK$4:$AM$9,2,FALSE)=0,"Spatial Data Missing",VLOOKUP(J189,'G-7 Rivers Data'!$AK$4:$AM$9,2,FALSE)))</f>
        <v/>
      </c>
      <c r="L189" s="172" t="str">
        <f>IF(J189="","",IF(VLOOKUP(J189,'G-7 Rivers Data'!$AK$4:$AM$9,3,FALSE)=0,"Spatial Data Missing",VLOOKUP(J189,'G-7 Rivers Data'!$AK$4:$AM$9,3,FALSE)))</f>
        <v/>
      </c>
      <c r="M189" s="79"/>
      <c r="N189" s="172" t="str">
        <f>IF(M189="","",IF(VLOOKUP(M189,'G-7 Rivers Data'!$AA$4:$AB$7,2,FALSE)=0,"Spatial Data Missing",VLOOKUP(M189,'G-7 Rivers Data'!$AA$4:$AB$7,2,FALSE)))</f>
        <v/>
      </c>
      <c r="O189" s="187"/>
      <c r="P189" s="172" t="str">
        <f>IF(O189="","",IF(VLOOKUP(O189,'G-7 Rivers Data'!$AD$4:$AE$8,2,FALSE)=0,"Spatial Data Missing",VLOOKUP(O189,'G-7 Rivers Data'!$AD$4:$AE$8,2,FALSE)))</f>
        <v/>
      </c>
      <c r="Q189" s="177" t="str">
        <f>IF(D189="","",VLOOKUP(D189,'G-7 Rivers Data'!$B$2:$G$8,6,FALSE))</f>
        <v/>
      </c>
      <c r="R189" s="207" t="str">
        <f t="shared" si="16"/>
        <v/>
      </c>
      <c r="S189" s="44"/>
      <c r="T189" s="173"/>
      <c r="U189" s="189"/>
      <c r="V189" s="208" t="str">
        <f t="shared" si="17"/>
        <v/>
      </c>
      <c r="W189" s="208" t="str">
        <f t="shared" si="18"/>
        <v/>
      </c>
      <c r="X189" s="208" t="str">
        <f t="shared" si="19"/>
        <v/>
      </c>
      <c r="Y189" s="209" t="str">
        <f t="shared" si="20"/>
        <v/>
      </c>
      <c r="Z189" s="182"/>
      <c r="AA189" s="183"/>
      <c r="AG189" s="35">
        <f t="shared" si="21"/>
        <v>0</v>
      </c>
      <c r="AH189" s="188" t="str">
        <f t="shared" si="22"/>
        <v/>
      </c>
      <c r="AI189" s="188" t="str">
        <f t="shared" si="23"/>
        <v/>
      </c>
      <c r="AK189" s="188">
        <v>180</v>
      </c>
      <c r="AM189" s="188" t="str">
        <f t="array" ref="AM189">IFERROR(INDEX($AK$10:$AK$258, MATCH(0, IF(TRUE=$AH$10:$AH$258, COUNTIF($AM$9:$AM188, $AK$10:$AK$258), ""), 0)),"")</f>
        <v/>
      </c>
      <c r="AN189" s="188" t="str">
        <f t="array" ref="AN189">IFERROR(INDEX($AK$10:$AK$258, MATCH(0, IF(TRUE=$AI$10:$AI$258, COUNTIF($AN$9:$AN188, $AK$10:$AK$258), ""), 0)),"")</f>
        <v/>
      </c>
      <c r="AP189" s="35" t="str">
        <f>IFERROR(INDEX('G-7 Rivers Data'!$AZ$3:$AZ$7,MATCH(D189,'G-7 Rivers Data'!$AY$3:$AY$7,0)),"")</f>
        <v/>
      </c>
    </row>
    <row r="190" spans="3:42" ht="13.8" x14ac:dyDescent="0.25">
      <c r="C190" s="168">
        <v>181</v>
      </c>
      <c r="D190" s="212"/>
      <c r="E190" s="213"/>
      <c r="F190" s="171" t="str">
        <f>IF(D190="","",VLOOKUP(D190,'G-7 Rivers Data'!$B$2:$G$8,2,FALSE))</f>
        <v/>
      </c>
      <c r="G190" s="172" t="str">
        <f>IFERROR(VLOOKUP(F190,'G-7 Rivers Data'!$C$4:$D$8,2,FALSE),"")</f>
        <v/>
      </c>
      <c r="H190" s="173"/>
      <c r="I190" s="172" t="str">
        <f>IFERROR(INDEX('G-7 Rivers Data'!$H$4:$L$8,MATCH(D190,'G-7 Rivers Data'!$B$4:$B$8,0),MATCH(H190,'G-7 Rivers Data'!$H$3:$L$3,0)),"")</f>
        <v/>
      </c>
      <c r="J190" s="173"/>
      <c r="K190" s="172" t="str">
        <f>IF(J190="","",IF(VLOOKUP(J190,'G-7 Rivers Data'!$AK$4:$AM$9,2,FALSE)=0,"Spatial Data Missing",VLOOKUP(J190,'G-7 Rivers Data'!$AK$4:$AM$9,2,FALSE)))</f>
        <v/>
      </c>
      <c r="L190" s="172" t="str">
        <f>IF(J190="","",IF(VLOOKUP(J190,'G-7 Rivers Data'!$AK$4:$AM$9,3,FALSE)=0,"Spatial Data Missing",VLOOKUP(J190,'G-7 Rivers Data'!$AK$4:$AM$9,3,FALSE)))</f>
        <v/>
      </c>
      <c r="M190" s="79"/>
      <c r="N190" s="172" t="str">
        <f>IF(M190="","",IF(VLOOKUP(M190,'G-7 Rivers Data'!$AA$4:$AB$7,2,FALSE)=0,"Spatial Data Missing",VLOOKUP(M190,'G-7 Rivers Data'!$AA$4:$AB$7,2,FALSE)))</f>
        <v/>
      </c>
      <c r="O190" s="187"/>
      <c r="P190" s="172" t="str">
        <f>IF(O190="","",IF(VLOOKUP(O190,'G-7 Rivers Data'!$AD$4:$AE$8,2,FALSE)=0,"Spatial Data Missing",VLOOKUP(O190,'G-7 Rivers Data'!$AD$4:$AE$8,2,FALSE)))</f>
        <v/>
      </c>
      <c r="Q190" s="177" t="str">
        <f>IF(D190="","",VLOOKUP(D190,'G-7 Rivers Data'!$B$2:$G$8,6,FALSE))</f>
        <v/>
      </c>
      <c r="R190" s="207" t="str">
        <f t="shared" si="16"/>
        <v/>
      </c>
      <c r="S190" s="44"/>
      <c r="T190" s="173"/>
      <c r="U190" s="189"/>
      <c r="V190" s="208" t="str">
        <f t="shared" si="17"/>
        <v/>
      </c>
      <c r="W190" s="208" t="str">
        <f t="shared" si="18"/>
        <v/>
      </c>
      <c r="X190" s="208" t="str">
        <f t="shared" si="19"/>
        <v/>
      </c>
      <c r="Y190" s="209" t="str">
        <f t="shared" si="20"/>
        <v/>
      </c>
      <c r="Z190" s="182"/>
      <c r="AA190" s="183"/>
      <c r="AG190" s="35">
        <f t="shared" si="21"/>
        <v>0</v>
      </c>
      <c r="AH190" s="188" t="str">
        <f t="shared" si="22"/>
        <v/>
      </c>
      <c r="AI190" s="188" t="str">
        <f t="shared" si="23"/>
        <v/>
      </c>
      <c r="AK190" s="188">
        <v>181</v>
      </c>
      <c r="AM190" s="188" t="str">
        <f t="array" ref="AM190">IFERROR(INDEX($AK$10:$AK$258, MATCH(0, IF(TRUE=$AH$10:$AH$258, COUNTIF($AM$9:$AM189, $AK$10:$AK$258), ""), 0)),"")</f>
        <v/>
      </c>
      <c r="AN190" s="188" t="str">
        <f t="array" ref="AN190">IFERROR(INDEX($AK$10:$AK$258, MATCH(0, IF(TRUE=$AI$10:$AI$258, COUNTIF($AN$9:$AN189, $AK$10:$AK$258), ""), 0)),"")</f>
        <v/>
      </c>
      <c r="AP190" s="35" t="str">
        <f>IFERROR(INDEX('G-7 Rivers Data'!$AZ$3:$AZ$7,MATCH(D190,'G-7 Rivers Data'!$AY$3:$AY$7,0)),"")</f>
        <v/>
      </c>
    </row>
    <row r="191" spans="3:42" ht="13.8" x14ac:dyDescent="0.25">
      <c r="C191" s="168">
        <v>182</v>
      </c>
      <c r="D191" s="212"/>
      <c r="E191" s="213"/>
      <c r="F191" s="171" t="str">
        <f>IF(D191="","",VLOOKUP(D191,'G-7 Rivers Data'!$B$2:$G$8,2,FALSE))</f>
        <v/>
      </c>
      <c r="G191" s="172" t="str">
        <f>IFERROR(VLOOKUP(F191,'G-7 Rivers Data'!$C$4:$D$8,2,FALSE),"")</f>
        <v/>
      </c>
      <c r="H191" s="173"/>
      <c r="I191" s="172" t="str">
        <f>IFERROR(INDEX('G-7 Rivers Data'!$H$4:$L$8,MATCH(D191,'G-7 Rivers Data'!$B$4:$B$8,0),MATCH(H191,'G-7 Rivers Data'!$H$3:$L$3,0)),"")</f>
        <v/>
      </c>
      <c r="J191" s="173"/>
      <c r="K191" s="172" t="str">
        <f>IF(J191="","",IF(VLOOKUP(J191,'G-7 Rivers Data'!$AK$4:$AM$9,2,FALSE)=0,"Spatial Data Missing",VLOOKUP(J191,'G-7 Rivers Data'!$AK$4:$AM$9,2,FALSE)))</f>
        <v/>
      </c>
      <c r="L191" s="172" t="str">
        <f>IF(J191="","",IF(VLOOKUP(J191,'G-7 Rivers Data'!$AK$4:$AM$9,3,FALSE)=0,"Spatial Data Missing",VLOOKUP(J191,'G-7 Rivers Data'!$AK$4:$AM$9,3,FALSE)))</f>
        <v/>
      </c>
      <c r="M191" s="79"/>
      <c r="N191" s="172" t="str">
        <f>IF(M191="","",IF(VLOOKUP(M191,'G-7 Rivers Data'!$AA$4:$AB$7,2,FALSE)=0,"Spatial Data Missing",VLOOKUP(M191,'G-7 Rivers Data'!$AA$4:$AB$7,2,FALSE)))</f>
        <v/>
      </c>
      <c r="O191" s="187"/>
      <c r="P191" s="172" t="str">
        <f>IF(O191="","",IF(VLOOKUP(O191,'G-7 Rivers Data'!$AD$4:$AE$8,2,FALSE)=0,"Spatial Data Missing",VLOOKUP(O191,'G-7 Rivers Data'!$AD$4:$AE$8,2,FALSE)))</f>
        <v/>
      </c>
      <c r="Q191" s="177" t="str">
        <f>IF(D191="","",VLOOKUP(D191,'G-7 Rivers Data'!$B$2:$G$8,6,FALSE))</f>
        <v/>
      </c>
      <c r="R191" s="207" t="str">
        <f t="shared" si="16"/>
        <v/>
      </c>
      <c r="S191" s="44"/>
      <c r="T191" s="173"/>
      <c r="U191" s="189"/>
      <c r="V191" s="208" t="str">
        <f t="shared" si="17"/>
        <v/>
      </c>
      <c r="W191" s="208" t="str">
        <f t="shared" si="18"/>
        <v/>
      </c>
      <c r="X191" s="208" t="str">
        <f t="shared" si="19"/>
        <v/>
      </c>
      <c r="Y191" s="209" t="str">
        <f t="shared" si="20"/>
        <v/>
      </c>
      <c r="Z191" s="182"/>
      <c r="AA191" s="183"/>
      <c r="AG191" s="35">
        <f t="shared" si="21"/>
        <v>0</v>
      </c>
      <c r="AH191" s="188" t="str">
        <f t="shared" si="22"/>
        <v/>
      </c>
      <c r="AI191" s="188" t="str">
        <f t="shared" si="23"/>
        <v/>
      </c>
      <c r="AK191" s="188">
        <v>182</v>
      </c>
      <c r="AM191" s="188" t="str">
        <f t="array" ref="AM191">IFERROR(INDEX($AK$10:$AK$258, MATCH(0, IF(TRUE=$AH$10:$AH$258, COUNTIF($AM$9:$AM190, $AK$10:$AK$258), ""), 0)),"")</f>
        <v/>
      </c>
      <c r="AN191" s="188" t="str">
        <f t="array" ref="AN191">IFERROR(INDEX($AK$10:$AK$258, MATCH(0, IF(TRUE=$AI$10:$AI$258, COUNTIF($AN$9:$AN190, $AK$10:$AK$258), ""), 0)),"")</f>
        <v/>
      </c>
      <c r="AP191" s="35" t="str">
        <f>IFERROR(INDEX('G-7 Rivers Data'!$AZ$3:$AZ$7,MATCH(D191,'G-7 Rivers Data'!$AY$3:$AY$7,0)),"")</f>
        <v/>
      </c>
    </row>
    <row r="192" spans="3:42" ht="13.8" x14ac:dyDescent="0.25">
      <c r="C192" s="168">
        <v>183</v>
      </c>
      <c r="D192" s="212"/>
      <c r="E192" s="213"/>
      <c r="F192" s="171" t="str">
        <f>IF(D192="","",VLOOKUP(D192,'G-7 Rivers Data'!$B$2:$G$8,2,FALSE))</f>
        <v/>
      </c>
      <c r="G192" s="172" t="str">
        <f>IFERROR(VLOOKUP(F192,'G-7 Rivers Data'!$C$4:$D$8,2,FALSE),"")</f>
        <v/>
      </c>
      <c r="H192" s="173"/>
      <c r="I192" s="172" t="str">
        <f>IFERROR(INDEX('G-7 Rivers Data'!$H$4:$L$8,MATCH(D192,'G-7 Rivers Data'!$B$4:$B$8,0),MATCH(H192,'G-7 Rivers Data'!$H$3:$L$3,0)),"")</f>
        <v/>
      </c>
      <c r="J192" s="173"/>
      <c r="K192" s="172" t="str">
        <f>IF(J192="","",IF(VLOOKUP(J192,'G-7 Rivers Data'!$AK$4:$AM$9,2,FALSE)=0,"Spatial Data Missing",VLOOKUP(J192,'G-7 Rivers Data'!$AK$4:$AM$9,2,FALSE)))</f>
        <v/>
      </c>
      <c r="L192" s="172" t="str">
        <f>IF(J192="","",IF(VLOOKUP(J192,'G-7 Rivers Data'!$AK$4:$AM$9,3,FALSE)=0,"Spatial Data Missing",VLOOKUP(J192,'G-7 Rivers Data'!$AK$4:$AM$9,3,FALSE)))</f>
        <v/>
      </c>
      <c r="M192" s="79"/>
      <c r="N192" s="172" t="str">
        <f>IF(M192="","",IF(VLOOKUP(M192,'G-7 Rivers Data'!$AA$4:$AB$7,2,FALSE)=0,"Spatial Data Missing",VLOOKUP(M192,'G-7 Rivers Data'!$AA$4:$AB$7,2,FALSE)))</f>
        <v/>
      </c>
      <c r="O192" s="187"/>
      <c r="P192" s="172" t="str">
        <f>IF(O192="","",IF(VLOOKUP(O192,'G-7 Rivers Data'!$AD$4:$AE$8,2,FALSE)=0,"Spatial Data Missing",VLOOKUP(O192,'G-7 Rivers Data'!$AD$4:$AE$8,2,FALSE)))</f>
        <v/>
      </c>
      <c r="Q192" s="177" t="str">
        <f>IF(D192="","",VLOOKUP(D192,'G-7 Rivers Data'!$B$2:$G$8,6,FALSE))</f>
        <v/>
      </c>
      <c r="R192" s="207" t="str">
        <f t="shared" si="16"/>
        <v/>
      </c>
      <c r="S192" s="44"/>
      <c r="T192" s="173"/>
      <c r="U192" s="189"/>
      <c r="V192" s="208" t="str">
        <f t="shared" si="17"/>
        <v/>
      </c>
      <c r="W192" s="208" t="str">
        <f t="shared" si="18"/>
        <v/>
      </c>
      <c r="X192" s="208" t="str">
        <f t="shared" si="19"/>
        <v/>
      </c>
      <c r="Y192" s="209" t="str">
        <f t="shared" si="20"/>
        <v/>
      </c>
      <c r="Z192" s="182"/>
      <c r="AA192" s="183"/>
      <c r="AG192" s="35">
        <f t="shared" si="21"/>
        <v>0</v>
      </c>
      <c r="AH192" s="188" t="str">
        <f t="shared" si="22"/>
        <v/>
      </c>
      <c r="AI192" s="188" t="str">
        <f t="shared" si="23"/>
        <v/>
      </c>
      <c r="AK192" s="188">
        <v>183</v>
      </c>
      <c r="AM192" s="188" t="str">
        <f t="array" ref="AM192">IFERROR(INDEX($AK$10:$AK$258, MATCH(0, IF(TRUE=$AH$10:$AH$258, COUNTIF($AM$9:$AM191, $AK$10:$AK$258), ""), 0)),"")</f>
        <v/>
      </c>
      <c r="AN192" s="188" t="str">
        <f t="array" ref="AN192">IFERROR(INDEX($AK$10:$AK$258, MATCH(0, IF(TRUE=$AI$10:$AI$258, COUNTIF($AN$9:$AN191, $AK$10:$AK$258), ""), 0)),"")</f>
        <v/>
      </c>
      <c r="AP192" s="35" t="str">
        <f>IFERROR(INDEX('G-7 Rivers Data'!$AZ$3:$AZ$7,MATCH(D192,'G-7 Rivers Data'!$AY$3:$AY$7,0)),"")</f>
        <v/>
      </c>
    </row>
    <row r="193" spans="3:42" ht="13.8" x14ac:dyDescent="0.25">
      <c r="C193" s="168">
        <v>184</v>
      </c>
      <c r="D193" s="212"/>
      <c r="E193" s="213"/>
      <c r="F193" s="171" t="str">
        <f>IF(D193="","",VLOOKUP(D193,'G-7 Rivers Data'!$B$2:$G$8,2,FALSE))</f>
        <v/>
      </c>
      <c r="G193" s="172" t="str">
        <f>IFERROR(VLOOKUP(F193,'G-7 Rivers Data'!$C$4:$D$8,2,FALSE),"")</f>
        <v/>
      </c>
      <c r="H193" s="173"/>
      <c r="I193" s="172" t="str">
        <f>IFERROR(INDEX('G-7 Rivers Data'!$H$4:$L$8,MATCH(D193,'G-7 Rivers Data'!$B$4:$B$8,0),MATCH(H193,'G-7 Rivers Data'!$H$3:$L$3,0)),"")</f>
        <v/>
      </c>
      <c r="J193" s="173"/>
      <c r="K193" s="172" t="str">
        <f>IF(J193="","",IF(VLOOKUP(J193,'G-7 Rivers Data'!$AK$4:$AM$9,2,FALSE)=0,"Spatial Data Missing",VLOOKUP(J193,'G-7 Rivers Data'!$AK$4:$AM$9,2,FALSE)))</f>
        <v/>
      </c>
      <c r="L193" s="172" t="str">
        <f>IF(J193="","",IF(VLOOKUP(J193,'G-7 Rivers Data'!$AK$4:$AM$9,3,FALSE)=0,"Spatial Data Missing",VLOOKUP(J193,'G-7 Rivers Data'!$AK$4:$AM$9,3,FALSE)))</f>
        <v/>
      </c>
      <c r="M193" s="79"/>
      <c r="N193" s="172" t="str">
        <f>IF(M193="","",IF(VLOOKUP(M193,'G-7 Rivers Data'!$AA$4:$AB$7,2,FALSE)=0,"Spatial Data Missing",VLOOKUP(M193,'G-7 Rivers Data'!$AA$4:$AB$7,2,FALSE)))</f>
        <v/>
      </c>
      <c r="O193" s="187"/>
      <c r="P193" s="172" t="str">
        <f>IF(O193="","",IF(VLOOKUP(O193,'G-7 Rivers Data'!$AD$4:$AE$8,2,FALSE)=0,"Spatial Data Missing",VLOOKUP(O193,'G-7 Rivers Data'!$AD$4:$AE$8,2,FALSE)))</f>
        <v/>
      </c>
      <c r="Q193" s="177" t="str">
        <f>IF(D193="","",VLOOKUP(D193,'G-7 Rivers Data'!$B$2:$G$8,6,FALSE))</f>
        <v/>
      </c>
      <c r="R193" s="207" t="str">
        <f t="shared" si="16"/>
        <v/>
      </c>
      <c r="S193" s="44"/>
      <c r="T193" s="173"/>
      <c r="U193" s="189"/>
      <c r="V193" s="208" t="str">
        <f t="shared" si="17"/>
        <v/>
      </c>
      <c r="W193" s="208" t="str">
        <f t="shared" si="18"/>
        <v/>
      </c>
      <c r="X193" s="208" t="str">
        <f t="shared" si="19"/>
        <v/>
      </c>
      <c r="Y193" s="209" t="str">
        <f t="shared" si="20"/>
        <v/>
      </c>
      <c r="Z193" s="182"/>
      <c r="AA193" s="183"/>
      <c r="AG193" s="35">
        <f t="shared" si="21"/>
        <v>0</v>
      </c>
      <c r="AH193" s="188" t="str">
        <f t="shared" si="22"/>
        <v/>
      </c>
      <c r="AI193" s="188" t="str">
        <f t="shared" si="23"/>
        <v/>
      </c>
      <c r="AK193" s="188">
        <v>184</v>
      </c>
      <c r="AM193" s="188" t="str">
        <f t="array" ref="AM193">IFERROR(INDEX($AK$10:$AK$258, MATCH(0, IF(TRUE=$AH$10:$AH$258, COUNTIF($AM$9:$AM192, $AK$10:$AK$258), ""), 0)),"")</f>
        <v/>
      </c>
      <c r="AN193" s="188" t="str">
        <f t="array" ref="AN193">IFERROR(INDEX($AK$10:$AK$258, MATCH(0, IF(TRUE=$AI$10:$AI$258, COUNTIF($AN$9:$AN192, $AK$10:$AK$258), ""), 0)),"")</f>
        <v/>
      </c>
      <c r="AP193" s="35" t="str">
        <f>IFERROR(INDEX('G-7 Rivers Data'!$AZ$3:$AZ$7,MATCH(D193,'G-7 Rivers Data'!$AY$3:$AY$7,0)),"")</f>
        <v/>
      </c>
    </row>
    <row r="194" spans="3:42" ht="13.8" x14ac:dyDescent="0.25">
      <c r="C194" s="168">
        <v>185</v>
      </c>
      <c r="D194" s="212"/>
      <c r="E194" s="213"/>
      <c r="F194" s="171" t="str">
        <f>IF(D194="","",VLOOKUP(D194,'G-7 Rivers Data'!$B$2:$G$8,2,FALSE))</f>
        <v/>
      </c>
      <c r="G194" s="172" t="str">
        <f>IFERROR(VLOOKUP(F194,'G-7 Rivers Data'!$C$4:$D$8,2,FALSE),"")</f>
        <v/>
      </c>
      <c r="H194" s="173"/>
      <c r="I194" s="172" t="str">
        <f>IFERROR(INDEX('G-7 Rivers Data'!$H$4:$L$8,MATCH(D194,'G-7 Rivers Data'!$B$4:$B$8,0),MATCH(H194,'G-7 Rivers Data'!$H$3:$L$3,0)),"")</f>
        <v/>
      </c>
      <c r="J194" s="173"/>
      <c r="K194" s="172" t="str">
        <f>IF(J194="","",IF(VLOOKUP(J194,'G-7 Rivers Data'!$AK$4:$AM$9,2,FALSE)=0,"Spatial Data Missing",VLOOKUP(J194,'G-7 Rivers Data'!$AK$4:$AM$9,2,FALSE)))</f>
        <v/>
      </c>
      <c r="L194" s="172" t="str">
        <f>IF(J194="","",IF(VLOOKUP(J194,'G-7 Rivers Data'!$AK$4:$AM$9,3,FALSE)=0,"Spatial Data Missing",VLOOKUP(J194,'G-7 Rivers Data'!$AK$4:$AM$9,3,FALSE)))</f>
        <v/>
      </c>
      <c r="M194" s="79"/>
      <c r="N194" s="172" t="str">
        <f>IF(M194="","",IF(VLOOKUP(M194,'G-7 Rivers Data'!$AA$4:$AB$7,2,FALSE)=0,"Spatial Data Missing",VLOOKUP(M194,'G-7 Rivers Data'!$AA$4:$AB$7,2,FALSE)))</f>
        <v/>
      </c>
      <c r="O194" s="187"/>
      <c r="P194" s="172" t="str">
        <f>IF(O194="","",IF(VLOOKUP(O194,'G-7 Rivers Data'!$AD$4:$AE$8,2,FALSE)=0,"Spatial Data Missing",VLOOKUP(O194,'G-7 Rivers Data'!$AD$4:$AE$8,2,FALSE)))</f>
        <v/>
      </c>
      <c r="Q194" s="177" t="str">
        <f>IF(D194="","",VLOOKUP(D194,'G-7 Rivers Data'!$B$2:$G$8,6,FALSE))</f>
        <v/>
      </c>
      <c r="R194" s="207" t="str">
        <f t="shared" si="16"/>
        <v/>
      </c>
      <c r="S194" s="44"/>
      <c r="T194" s="173"/>
      <c r="U194" s="189"/>
      <c r="V194" s="208" t="str">
        <f t="shared" si="17"/>
        <v/>
      </c>
      <c r="W194" s="208" t="str">
        <f t="shared" si="18"/>
        <v/>
      </c>
      <c r="X194" s="208" t="str">
        <f t="shared" si="19"/>
        <v/>
      </c>
      <c r="Y194" s="209" t="str">
        <f t="shared" si="20"/>
        <v/>
      </c>
      <c r="Z194" s="182"/>
      <c r="AA194" s="183"/>
      <c r="AG194" s="35">
        <f t="shared" si="21"/>
        <v>0</v>
      </c>
      <c r="AH194" s="188" t="str">
        <f t="shared" si="22"/>
        <v/>
      </c>
      <c r="AI194" s="188" t="str">
        <f t="shared" si="23"/>
        <v/>
      </c>
      <c r="AK194" s="188">
        <v>185</v>
      </c>
      <c r="AM194" s="188" t="str">
        <f t="array" ref="AM194">IFERROR(INDEX($AK$10:$AK$258, MATCH(0, IF(TRUE=$AH$10:$AH$258, COUNTIF($AM$9:$AM193, $AK$10:$AK$258), ""), 0)),"")</f>
        <v/>
      </c>
      <c r="AN194" s="188" t="str">
        <f t="array" ref="AN194">IFERROR(INDEX($AK$10:$AK$258, MATCH(0, IF(TRUE=$AI$10:$AI$258, COUNTIF($AN$9:$AN193, $AK$10:$AK$258), ""), 0)),"")</f>
        <v/>
      </c>
      <c r="AP194" s="35" t="str">
        <f>IFERROR(INDEX('G-7 Rivers Data'!$AZ$3:$AZ$7,MATCH(D194,'G-7 Rivers Data'!$AY$3:$AY$7,0)),"")</f>
        <v/>
      </c>
    </row>
    <row r="195" spans="3:42" ht="13.8" x14ac:dyDescent="0.25">
      <c r="C195" s="168">
        <v>186</v>
      </c>
      <c r="D195" s="212"/>
      <c r="E195" s="213"/>
      <c r="F195" s="171" t="str">
        <f>IF(D195="","",VLOOKUP(D195,'G-7 Rivers Data'!$B$2:$G$8,2,FALSE))</f>
        <v/>
      </c>
      <c r="G195" s="172" t="str">
        <f>IFERROR(VLOOKUP(F195,'G-7 Rivers Data'!$C$4:$D$8,2,FALSE),"")</f>
        <v/>
      </c>
      <c r="H195" s="173"/>
      <c r="I195" s="172" t="str">
        <f>IFERROR(INDEX('G-7 Rivers Data'!$H$4:$L$8,MATCH(D195,'G-7 Rivers Data'!$B$4:$B$8,0),MATCH(H195,'G-7 Rivers Data'!$H$3:$L$3,0)),"")</f>
        <v/>
      </c>
      <c r="J195" s="173"/>
      <c r="K195" s="172" t="str">
        <f>IF(J195="","",IF(VLOOKUP(J195,'G-7 Rivers Data'!$AK$4:$AM$9,2,FALSE)=0,"Spatial Data Missing",VLOOKUP(J195,'G-7 Rivers Data'!$AK$4:$AM$9,2,FALSE)))</f>
        <v/>
      </c>
      <c r="L195" s="172" t="str">
        <f>IF(J195="","",IF(VLOOKUP(J195,'G-7 Rivers Data'!$AK$4:$AM$9,3,FALSE)=0,"Spatial Data Missing",VLOOKUP(J195,'G-7 Rivers Data'!$AK$4:$AM$9,3,FALSE)))</f>
        <v/>
      </c>
      <c r="M195" s="79"/>
      <c r="N195" s="172" t="str">
        <f>IF(M195="","",IF(VLOOKUP(M195,'G-7 Rivers Data'!$AA$4:$AB$7,2,FALSE)=0,"Spatial Data Missing",VLOOKUP(M195,'G-7 Rivers Data'!$AA$4:$AB$7,2,FALSE)))</f>
        <v/>
      </c>
      <c r="O195" s="187"/>
      <c r="P195" s="172" t="str">
        <f>IF(O195="","",IF(VLOOKUP(O195,'G-7 Rivers Data'!$AD$4:$AE$8,2,FALSE)=0,"Spatial Data Missing",VLOOKUP(O195,'G-7 Rivers Data'!$AD$4:$AE$8,2,FALSE)))</f>
        <v/>
      </c>
      <c r="Q195" s="177" t="str">
        <f>IF(D195="","",VLOOKUP(D195,'G-7 Rivers Data'!$B$2:$G$8,6,FALSE))</f>
        <v/>
      </c>
      <c r="R195" s="207" t="str">
        <f t="shared" si="16"/>
        <v/>
      </c>
      <c r="S195" s="44"/>
      <c r="T195" s="173"/>
      <c r="U195" s="189"/>
      <c r="V195" s="208" t="str">
        <f t="shared" si="17"/>
        <v/>
      </c>
      <c r="W195" s="208" t="str">
        <f t="shared" si="18"/>
        <v/>
      </c>
      <c r="X195" s="208" t="str">
        <f t="shared" si="19"/>
        <v/>
      </c>
      <c r="Y195" s="209" t="str">
        <f t="shared" si="20"/>
        <v/>
      </c>
      <c r="Z195" s="182"/>
      <c r="AA195" s="183"/>
      <c r="AG195" s="35">
        <f t="shared" si="21"/>
        <v>0</v>
      </c>
      <c r="AH195" s="188" t="str">
        <f t="shared" si="22"/>
        <v/>
      </c>
      <c r="AI195" s="188" t="str">
        <f t="shared" si="23"/>
        <v/>
      </c>
      <c r="AK195" s="188">
        <v>186</v>
      </c>
      <c r="AM195" s="188" t="str">
        <f t="array" ref="AM195">IFERROR(INDEX($AK$10:$AK$258, MATCH(0, IF(TRUE=$AH$10:$AH$258, COUNTIF($AM$9:$AM194, $AK$10:$AK$258), ""), 0)),"")</f>
        <v/>
      </c>
      <c r="AN195" s="188" t="str">
        <f t="array" ref="AN195">IFERROR(INDEX($AK$10:$AK$258, MATCH(0, IF(TRUE=$AI$10:$AI$258, COUNTIF($AN$9:$AN194, $AK$10:$AK$258), ""), 0)),"")</f>
        <v/>
      </c>
      <c r="AP195" s="35" t="str">
        <f>IFERROR(INDEX('G-7 Rivers Data'!$AZ$3:$AZ$7,MATCH(D195,'G-7 Rivers Data'!$AY$3:$AY$7,0)),"")</f>
        <v/>
      </c>
    </row>
    <row r="196" spans="3:42" ht="13.8" x14ac:dyDescent="0.25">
      <c r="C196" s="168">
        <v>187</v>
      </c>
      <c r="D196" s="212"/>
      <c r="E196" s="213"/>
      <c r="F196" s="171" t="str">
        <f>IF(D196="","",VLOOKUP(D196,'G-7 Rivers Data'!$B$2:$G$8,2,FALSE))</f>
        <v/>
      </c>
      <c r="G196" s="172" t="str">
        <f>IFERROR(VLOOKUP(F196,'G-7 Rivers Data'!$C$4:$D$8,2,FALSE),"")</f>
        <v/>
      </c>
      <c r="H196" s="173"/>
      <c r="I196" s="172" t="str">
        <f>IFERROR(INDEX('G-7 Rivers Data'!$H$4:$L$8,MATCH(D196,'G-7 Rivers Data'!$B$4:$B$8,0),MATCH(H196,'G-7 Rivers Data'!$H$3:$L$3,0)),"")</f>
        <v/>
      </c>
      <c r="J196" s="173"/>
      <c r="K196" s="172" t="str">
        <f>IF(J196="","",IF(VLOOKUP(J196,'G-7 Rivers Data'!$AK$4:$AM$9,2,FALSE)=0,"Spatial Data Missing",VLOOKUP(J196,'G-7 Rivers Data'!$AK$4:$AM$9,2,FALSE)))</f>
        <v/>
      </c>
      <c r="L196" s="172" t="str">
        <f>IF(J196="","",IF(VLOOKUP(J196,'G-7 Rivers Data'!$AK$4:$AM$9,3,FALSE)=0,"Spatial Data Missing",VLOOKUP(J196,'G-7 Rivers Data'!$AK$4:$AM$9,3,FALSE)))</f>
        <v/>
      </c>
      <c r="M196" s="79"/>
      <c r="N196" s="172" t="str">
        <f>IF(M196="","",IF(VLOOKUP(M196,'G-7 Rivers Data'!$AA$4:$AB$7,2,FALSE)=0,"Spatial Data Missing",VLOOKUP(M196,'G-7 Rivers Data'!$AA$4:$AB$7,2,FALSE)))</f>
        <v/>
      </c>
      <c r="O196" s="187"/>
      <c r="P196" s="172" t="str">
        <f>IF(O196="","",IF(VLOOKUP(O196,'G-7 Rivers Data'!$AD$4:$AE$8,2,FALSE)=0,"Spatial Data Missing",VLOOKUP(O196,'G-7 Rivers Data'!$AD$4:$AE$8,2,FALSE)))</f>
        <v/>
      </c>
      <c r="Q196" s="177" t="str">
        <f>IF(D196="","",VLOOKUP(D196,'G-7 Rivers Data'!$B$2:$G$8,6,FALSE))</f>
        <v/>
      </c>
      <c r="R196" s="207" t="str">
        <f t="shared" si="16"/>
        <v/>
      </c>
      <c r="S196" s="44"/>
      <c r="T196" s="173"/>
      <c r="U196" s="189"/>
      <c r="V196" s="208" t="str">
        <f t="shared" si="17"/>
        <v/>
      </c>
      <c r="W196" s="208" t="str">
        <f t="shared" si="18"/>
        <v/>
      </c>
      <c r="X196" s="208" t="str">
        <f t="shared" si="19"/>
        <v/>
      </c>
      <c r="Y196" s="209" t="str">
        <f t="shared" si="20"/>
        <v/>
      </c>
      <c r="Z196" s="182"/>
      <c r="AA196" s="183"/>
      <c r="AG196" s="35">
        <f t="shared" si="21"/>
        <v>0</v>
      </c>
      <c r="AH196" s="188" t="str">
        <f t="shared" si="22"/>
        <v/>
      </c>
      <c r="AI196" s="188" t="str">
        <f t="shared" si="23"/>
        <v/>
      </c>
      <c r="AK196" s="188">
        <v>187</v>
      </c>
      <c r="AM196" s="188" t="str">
        <f t="array" ref="AM196">IFERROR(INDEX($AK$10:$AK$258, MATCH(0, IF(TRUE=$AH$10:$AH$258, COUNTIF($AM$9:$AM195, $AK$10:$AK$258), ""), 0)),"")</f>
        <v/>
      </c>
      <c r="AN196" s="188" t="str">
        <f t="array" ref="AN196">IFERROR(INDEX($AK$10:$AK$258, MATCH(0, IF(TRUE=$AI$10:$AI$258, COUNTIF($AN$9:$AN195, $AK$10:$AK$258), ""), 0)),"")</f>
        <v/>
      </c>
      <c r="AP196" s="35" t="str">
        <f>IFERROR(INDEX('G-7 Rivers Data'!$AZ$3:$AZ$7,MATCH(D196,'G-7 Rivers Data'!$AY$3:$AY$7,0)),"")</f>
        <v/>
      </c>
    </row>
    <row r="197" spans="3:42" ht="13.8" x14ac:dyDescent="0.25">
      <c r="C197" s="168">
        <v>188</v>
      </c>
      <c r="D197" s="212"/>
      <c r="E197" s="213"/>
      <c r="F197" s="171" t="str">
        <f>IF(D197="","",VLOOKUP(D197,'G-7 Rivers Data'!$B$2:$G$8,2,FALSE))</f>
        <v/>
      </c>
      <c r="G197" s="172" t="str">
        <f>IFERROR(VLOOKUP(F197,'G-7 Rivers Data'!$C$4:$D$8,2,FALSE),"")</f>
        <v/>
      </c>
      <c r="H197" s="173"/>
      <c r="I197" s="172" t="str">
        <f>IFERROR(INDEX('G-7 Rivers Data'!$H$4:$L$8,MATCH(D197,'G-7 Rivers Data'!$B$4:$B$8,0),MATCH(H197,'G-7 Rivers Data'!$H$3:$L$3,0)),"")</f>
        <v/>
      </c>
      <c r="J197" s="173"/>
      <c r="K197" s="172" t="str">
        <f>IF(J197="","",IF(VLOOKUP(J197,'G-7 Rivers Data'!$AK$4:$AM$9,2,FALSE)=0,"Spatial Data Missing",VLOOKUP(J197,'G-7 Rivers Data'!$AK$4:$AM$9,2,FALSE)))</f>
        <v/>
      </c>
      <c r="L197" s="172" t="str">
        <f>IF(J197="","",IF(VLOOKUP(J197,'G-7 Rivers Data'!$AK$4:$AM$9,3,FALSE)=0,"Spatial Data Missing",VLOOKUP(J197,'G-7 Rivers Data'!$AK$4:$AM$9,3,FALSE)))</f>
        <v/>
      </c>
      <c r="M197" s="79"/>
      <c r="N197" s="172" t="str">
        <f>IF(M197="","",IF(VLOOKUP(M197,'G-7 Rivers Data'!$AA$4:$AB$7,2,FALSE)=0,"Spatial Data Missing",VLOOKUP(M197,'G-7 Rivers Data'!$AA$4:$AB$7,2,FALSE)))</f>
        <v/>
      </c>
      <c r="O197" s="187"/>
      <c r="P197" s="172" t="str">
        <f>IF(O197="","",IF(VLOOKUP(O197,'G-7 Rivers Data'!$AD$4:$AE$8,2,FALSE)=0,"Spatial Data Missing",VLOOKUP(O197,'G-7 Rivers Data'!$AD$4:$AE$8,2,FALSE)))</f>
        <v/>
      </c>
      <c r="Q197" s="177" t="str">
        <f>IF(D197="","",VLOOKUP(D197,'G-7 Rivers Data'!$B$2:$G$8,6,FALSE))</f>
        <v/>
      </c>
      <c r="R197" s="207" t="str">
        <f t="shared" si="16"/>
        <v/>
      </c>
      <c r="S197" s="44"/>
      <c r="T197" s="173"/>
      <c r="U197" s="189"/>
      <c r="V197" s="208" t="str">
        <f t="shared" si="17"/>
        <v/>
      </c>
      <c r="W197" s="208" t="str">
        <f t="shared" si="18"/>
        <v/>
      </c>
      <c r="X197" s="208" t="str">
        <f t="shared" si="19"/>
        <v/>
      </c>
      <c r="Y197" s="209" t="str">
        <f t="shared" si="20"/>
        <v/>
      </c>
      <c r="Z197" s="182"/>
      <c r="AA197" s="183"/>
      <c r="AG197" s="35">
        <f t="shared" si="21"/>
        <v>0</v>
      </c>
      <c r="AH197" s="188" t="str">
        <f t="shared" si="22"/>
        <v/>
      </c>
      <c r="AI197" s="188" t="str">
        <f t="shared" si="23"/>
        <v/>
      </c>
      <c r="AK197" s="188">
        <v>188</v>
      </c>
      <c r="AM197" s="188" t="str">
        <f t="array" ref="AM197">IFERROR(INDEX($AK$10:$AK$258, MATCH(0, IF(TRUE=$AH$10:$AH$258, COUNTIF($AM$9:$AM196, $AK$10:$AK$258), ""), 0)),"")</f>
        <v/>
      </c>
      <c r="AN197" s="188" t="str">
        <f t="array" ref="AN197">IFERROR(INDEX($AK$10:$AK$258, MATCH(0, IF(TRUE=$AI$10:$AI$258, COUNTIF($AN$9:$AN196, $AK$10:$AK$258), ""), 0)),"")</f>
        <v/>
      </c>
      <c r="AP197" s="35" t="str">
        <f>IFERROR(INDEX('G-7 Rivers Data'!$AZ$3:$AZ$7,MATCH(D197,'G-7 Rivers Data'!$AY$3:$AY$7,0)),"")</f>
        <v/>
      </c>
    </row>
    <row r="198" spans="3:42" ht="13.8" x14ac:dyDescent="0.25">
      <c r="C198" s="168">
        <v>189</v>
      </c>
      <c r="D198" s="212"/>
      <c r="E198" s="213"/>
      <c r="F198" s="171" t="str">
        <f>IF(D198="","",VLOOKUP(D198,'G-7 Rivers Data'!$B$2:$G$8,2,FALSE))</f>
        <v/>
      </c>
      <c r="G198" s="172" t="str">
        <f>IFERROR(VLOOKUP(F198,'G-7 Rivers Data'!$C$4:$D$8,2,FALSE),"")</f>
        <v/>
      </c>
      <c r="H198" s="173"/>
      <c r="I198" s="172" t="str">
        <f>IFERROR(INDEX('G-7 Rivers Data'!$H$4:$L$8,MATCH(D198,'G-7 Rivers Data'!$B$4:$B$8,0),MATCH(H198,'G-7 Rivers Data'!$H$3:$L$3,0)),"")</f>
        <v/>
      </c>
      <c r="J198" s="173"/>
      <c r="K198" s="172" t="str">
        <f>IF(J198="","",IF(VLOOKUP(J198,'G-7 Rivers Data'!$AK$4:$AM$9,2,FALSE)=0,"Spatial Data Missing",VLOOKUP(J198,'G-7 Rivers Data'!$AK$4:$AM$9,2,FALSE)))</f>
        <v/>
      </c>
      <c r="L198" s="172" t="str">
        <f>IF(J198="","",IF(VLOOKUP(J198,'G-7 Rivers Data'!$AK$4:$AM$9,3,FALSE)=0,"Spatial Data Missing",VLOOKUP(J198,'G-7 Rivers Data'!$AK$4:$AM$9,3,FALSE)))</f>
        <v/>
      </c>
      <c r="M198" s="79"/>
      <c r="N198" s="172" t="str">
        <f>IF(M198="","",IF(VLOOKUP(M198,'G-7 Rivers Data'!$AA$4:$AB$7,2,FALSE)=0,"Spatial Data Missing",VLOOKUP(M198,'G-7 Rivers Data'!$AA$4:$AB$7,2,FALSE)))</f>
        <v/>
      </c>
      <c r="O198" s="187"/>
      <c r="P198" s="172" t="str">
        <f>IF(O198="","",IF(VLOOKUP(O198,'G-7 Rivers Data'!$AD$4:$AE$8,2,FALSE)=0,"Spatial Data Missing",VLOOKUP(O198,'G-7 Rivers Data'!$AD$4:$AE$8,2,FALSE)))</f>
        <v/>
      </c>
      <c r="Q198" s="177" t="str">
        <f>IF(D198="","",VLOOKUP(D198,'G-7 Rivers Data'!$B$2:$G$8,6,FALSE))</f>
        <v/>
      </c>
      <c r="R198" s="207" t="str">
        <f t="shared" si="16"/>
        <v/>
      </c>
      <c r="S198" s="44"/>
      <c r="T198" s="173"/>
      <c r="U198" s="189"/>
      <c r="V198" s="208" t="str">
        <f t="shared" si="17"/>
        <v/>
      </c>
      <c r="W198" s="208" t="str">
        <f t="shared" si="18"/>
        <v/>
      </c>
      <c r="X198" s="208" t="str">
        <f t="shared" si="19"/>
        <v/>
      </c>
      <c r="Y198" s="209" t="str">
        <f t="shared" si="20"/>
        <v/>
      </c>
      <c r="Z198" s="182"/>
      <c r="AA198" s="183"/>
      <c r="AG198" s="35">
        <f t="shared" si="21"/>
        <v>0</v>
      </c>
      <c r="AH198" s="188" t="str">
        <f t="shared" si="22"/>
        <v/>
      </c>
      <c r="AI198" s="188" t="str">
        <f t="shared" si="23"/>
        <v/>
      </c>
      <c r="AK198" s="188">
        <v>189</v>
      </c>
      <c r="AM198" s="188" t="str">
        <f t="array" ref="AM198">IFERROR(INDEX($AK$10:$AK$258, MATCH(0, IF(TRUE=$AH$10:$AH$258, COUNTIF($AM$9:$AM197, $AK$10:$AK$258), ""), 0)),"")</f>
        <v/>
      </c>
      <c r="AN198" s="188" t="str">
        <f t="array" ref="AN198">IFERROR(INDEX($AK$10:$AK$258, MATCH(0, IF(TRUE=$AI$10:$AI$258, COUNTIF($AN$9:$AN197, $AK$10:$AK$258), ""), 0)),"")</f>
        <v/>
      </c>
      <c r="AP198" s="35" t="str">
        <f>IFERROR(INDEX('G-7 Rivers Data'!$AZ$3:$AZ$7,MATCH(D198,'G-7 Rivers Data'!$AY$3:$AY$7,0)),"")</f>
        <v/>
      </c>
    </row>
    <row r="199" spans="3:42" ht="13.8" x14ac:dyDescent="0.25">
      <c r="C199" s="168">
        <v>190</v>
      </c>
      <c r="D199" s="212"/>
      <c r="E199" s="213"/>
      <c r="F199" s="171" t="str">
        <f>IF(D199="","",VLOOKUP(D199,'G-7 Rivers Data'!$B$2:$G$8,2,FALSE))</f>
        <v/>
      </c>
      <c r="G199" s="172" t="str">
        <f>IFERROR(VLOOKUP(F199,'G-7 Rivers Data'!$C$4:$D$8,2,FALSE),"")</f>
        <v/>
      </c>
      <c r="H199" s="173"/>
      <c r="I199" s="172" t="str">
        <f>IFERROR(INDEX('G-7 Rivers Data'!$H$4:$L$8,MATCH(D199,'G-7 Rivers Data'!$B$4:$B$8,0),MATCH(H199,'G-7 Rivers Data'!$H$3:$L$3,0)),"")</f>
        <v/>
      </c>
      <c r="J199" s="173"/>
      <c r="K199" s="172" t="str">
        <f>IF(J199="","",IF(VLOOKUP(J199,'G-7 Rivers Data'!$AK$4:$AM$9,2,FALSE)=0,"Spatial Data Missing",VLOOKUP(J199,'G-7 Rivers Data'!$AK$4:$AM$9,2,FALSE)))</f>
        <v/>
      </c>
      <c r="L199" s="172" t="str">
        <f>IF(J199="","",IF(VLOOKUP(J199,'G-7 Rivers Data'!$AK$4:$AM$9,3,FALSE)=0,"Spatial Data Missing",VLOOKUP(J199,'G-7 Rivers Data'!$AK$4:$AM$9,3,FALSE)))</f>
        <v/>
      </c>
      <c r="M199" s="79"/>
      <c r="N199" s="172" t="str">
        <f>IF(M199="","",IF(VLOOKUP(M199,'G-7 Rivers Data'!$AA$4:$AB$7,2,FALSE)=0,"Spatial Data Missing",VLOOKUP(M199,'G-7 Rivers Data'!$AA$4:$AB$7,2,FALSE)))</f>
        <v/>
      </c>
      <c r="O199" s="187"/>
      <c r="P199" s="172" t="str">
        <f>IF(O199="","",IF(VLOOKUP(O199,'G-7 Rivers Data'!$AD$4:$AE$8,2,FALSE)=0,"Spatial Data Missing",VLOOKUP(O199,'G-7 Rivers Data'!$AD$4:$AE$8,2,FALSE)))</f>
        <v/>
      </c>
      <c r="Q199" s="177" t="str">
        <f>IF(D199="","",VLOOKUP(D199,'G-7 Rivers Data'!$B$2:$G$8,6,FALSE))</f>
        <v/>
      </c>
      <c r="R199" s="207" t="str">
        <f t="shared" si="16"/>
        <v/>
      </c>
      <c r="S199" s="44"/>
      <c r="T199" s="173"/>
      <c r="U199" s="189"/>
      <c r="V199" s="208" t="str">
        <f t="shared" si="17"/>
        <v/>
      </c>
      <c r="W199" s="208" t="str">
        <f t="shared" si="18"/>
        <v/>
      </c>
      <c r="X199" s="208" t="str">
        <f t="shared" si="19"/>
        <v/>
      </c>
      <c r="Y199" s="209" t="str">
        <f t="shared" si="20"/>
        <v/>
      </c>
      <c r="Z199" s="182"/>
      <c r="AA199" s="183"/>
      <c r="AG199" s="35">
        <f t="shared" si="21"/>
        <v>0</v>
      </c>
      <c r="AH199" s="188" t="str">
        <f t="shared" si="22"/>
        <v/>
      </c>
      <c r="AI199" s="188" t="str">
        <f t="shared" si="23"/>
        <v/>
      </c>
      <c r="AK199" s="188">
        <v>190</v>
      </c>
      <c r="AM199" s="188" t="str">
        <f t="array" ref="AM199">IFERROR(INDEX($AK$10:$AK$258, MATCH(0, IF(TRUE=$AH$10:$AH$258, COUNTIF($AM$9:$AM198, $AK$10:$AK$258), ""), 0)),"")</f>
        <v/>
      </c>
      <c r="AN199" s="188" t="str">
        <f t="array" ref="AN199">IFERROR(INDEX($AK$10:$AK$258, MATCH(0, IF(TRUE=$AI$10:$AI$258, COUNTIF($AN$9:$AN198, $AK$10:$AK$258), ""), 0)),"")</f>
        <v/>
      </c>
      <c r="AP199" s="35" t="str">
        <f>IFERROR(INDEX('G-7 Rivers Data'!$AZ$3:$AZ$7,MATCH(D199,'G-7 Rivers Data'!$AY$3:$AY$7,0)),"")</f>
        <v/>
      </c>
    </row>
    <row r="200" spans="3:42" ht="13.8" x14ac:dyDescent="0.25">
      <c r="C200" s="168">
        <v>191</v>
      </c>
      <c r="D200" s="212"/>
      <c r="E200" s="213"/>
      <c r="F200" s="171" t="str">
        <f>IF(D200="","",VLOOKUP(D200,'G-7 Rivers Data'!$B$2:$G$8,2,FALSE))</f>
        <v/>
      </c>
      <c r="G200" s="172" t="str">
        <f>IFERROR(VLOOKUP(F200,'G-7 Rivers Data'!$C$4:$D$8,2,FALSE),"")</f>
        <v/>
      </c>
      <c r="H200" s="173"/>
      <c r="I200" s="172" t="str">
        <f>IFERROR(INDEX('G-7 Rivers Data'!$H$4:$L$8,MATCH(D200,'G-7 Rivers Data'!$B$4:$B$8,0),MATCH(H200,'G-7 Rivers Data'!$H$3:$L$3,0)),"")</f>
        <v/>
      </c>
      <c r="J200" s="173"/>
      <c r="K200" s="172" t="str">
        <f>IF(J200="","",IF(VLOOKUP(J200,'G-7 Rivers Data'!$AK$4:$AM$9,2,FALSE)=0,"Spatial Data Missing",VLOOKUP(J200,'G-7 Rivers Data'!$AK$4:$AM$9,2,FALSE)))</f>
        <v/>
      </c>
      <c r="L200" s="172" t="str">
        <f>IF(J200="","",IF(VLOOKUP(J200,'G-7 Rivers Data'!$AK$4:$AM$9,3,FALSE)=0,"Spatial Data Missing",VLOOKUP(J200,'G-7 Rivers Data'!$AK$4:$AM$9,3,FALSE)))</f>
        <v/>
      </c>
      <c r="M200" s="79"/>
      <c r="N200" s="172" t="str">
        <f>IF(M200="","",IF(VLOOKUP(M200,'G-7 Rivers Data'!$AA$4:$AB$7,2,FALSE)=0,"Spatial Data Missing",VLOOKUP(M200,'G-7 Rivers Data'!$AA$4:$AB$7,2,FALSE)))</f>
        <v/>
      </c>
      <c r="O200" s="187"/>
      <c r="P200" s="172" t="str">
        <f>IF(O200="","",IF(VLOOKUP(O200,'G-7 Rivers Data'!$AD$4:$AE$8,2,FALSE)=0,"Spatial Data Missing",VLOOKUP(O200,'G-7 Rivers Data'!$AD$4:$AE$8,2,FALSE)))</f>
        <v/>
      </c>
      <c r="Q200" s="177" t="str">
        <f>IF(D200="","",VLOOKUP(D200,'G-7 Rivers Data'!$B$2:$G$8,6,FALSE))</f>
        <v/>
      </c>
      <c r="R200" s="207" t="str">
        <f t="shared" si="16"/>
        <v/>
      </c>
      <c r="S200" s="44"/>
      <c r="T200" s="173"/>
      <c r="U200" s="189"/>
      <c r="V200" s="208" t="str">
        <f t="shared" si="17"/>
        <v/>
      </c>
      <c r="W200" s="208" t="str">
        <f t="shared" si="18"/>
        <v/>
      </c>
      <c r="X200" s="208" t="str">
        <f t="shared" si="19"/>
        <v/>
      </c>
      <c r="Y200" s="209" t="str">
        <f t="shared" si="20"/>
        <v/>
      </c>
      <c r="Z200" s="182"/>
      <c r="AA200" s="183"/>
      <c r="AG200" s="35">
        <f t="shared" si="21"/>
        <v>0</v>
      </c>
      <c r="AH200" s="188" t="str">
        <f t="shared" si="22"/>
        <v/>
      </c>
      <c r="AI200" s="188" t="str">
        <f t="shared" si="23"/>
        <v/>
      </c>
      <c r="AK200" s="188">
        <v>191</v>
      </c>
      <c r="AM200" s="188" t="str">
        <f t="array" ref="AM200">IFERROR(INDEX($AK$10:$AK$258, MATCH(0, IF(TRUE=$AH$10:$AH$258, COUNTIF($AM$9:$AM199, $AK$10:$AK$258), ""), 0)),"")</f>
        <v/>
      </c>
      <c r="AN200" s="188" t="str">
        <f t="array" ref="AN200">IFERROR(INDEX($AK$10:$AK$258, MATCH(0, IF(TRUE=$AI$10:$AI$258, COUNTIF($AN$9:$AN199, $AK$10:$AK$258), ""), 0)),"")</f>
        <v/>
      </c>
      <c r="AP200" s="35" t="str">
        <f>IFERROR(INDEX('G-7 Rivers Data'!$AZ$3:$AZ$7,MATCH(D200,'G-7 Rivers Data'!$AY$3:$AY$7,0)),"")</f>
        <v/>
      </c>
    </row>
    <row r="201" spans="3:42" ht="13.8" x14ac:dyDescent="0.25">
      <c r="C201" s="168">
        <v>192</v>
      </c>
      <c r="D201" s="212"/>
      <c r="E201" s="213"/>
      <c r="F201" s="171" t="str">
        <f>IF(D201="","",VLOOKUP(D201,'G-7 Rivers Data'!$B$2:$G$8,2,FALSE))</f>
        <v/>
      </c>
      <c r="G201" s="172" t="str">
        <f>IFERROR(VLOOKUP(F201,'G-7 Rivers Data'!$C$4:$D$8,2,FALSE),"")</f>
        <v/>
      </c>
      <c r="H201" s="173"/>
      <c r="I201" s="172" t="str">
        <f>IFERROR(INDEX('G-7 Rivers Data'!$H$4:$L$8,MATCH(D201,'G-7 Rivers Data'!$B$4:$B$8,0),MATCH(H201,'G-7 Rivers Data'!$H$3:$L$3,0)),"")</f>
        <v/>
      </c>
      <c r="J201" s="173"/>
      <c r="K201" s="172" t="str">
        <f>IF(J201="","",IF(VLOOKUP(J201,'G-7 Rivers Data'!$AK$4:$AM$9,2,FALSE)=0,"Spatial Data Missing",VLOOKUP(J201,'G-7 Rivers Data'!$AK$4:$AM$9,2,FALSE)))</f>
        <v/>
      </c>
      <c r="L201" s="172" t="str">
        <f>IF(J201="","",IF(VLOOKUP(J201,'G-7 Rivers Data'!$AK$4:$AM$9,3,FALSE)=0,"Spatial Data Missing",VLOOKUP(J201,'G-7 Rivers Data'!$AK$4:$AM$9,3,FALSE)))</f>
        <v/>
      </c>
      <c r="M201" s="79"/>
      <c r="N201" s="172" t="str">
        <f>IF(M201="","",IF(VLOOKUP(M201,'G-7 Rivers Data'!$AA$4:$AB$7,2,FALSE)=0,"Spatial Data Missing",VLOOKUP(M201,'G-7 Rivers Data'!$AA$4:$AB$7,2,FALSE)))</f>
        <v/>
      </c>
      <c r="O201" s="187"/>
      <c r="P201" s="172" t="str">
        <f>IF(O201="","",IF(VLOOKUP(O201,'G-7 Rivers Data'!$AD$4:$AE$8,2,FALSE)=0,"Spatial Data Missing",VLOOKUP(O201,'G-7 Rivers Data'!$AD$4:$AE$8,2,FALSE)))</f>
        <v/>
      </c>
      <c r="Q201" s="177" t="str">
        <f>IF(D201="","",VLOOKUP(D201,'G-7 Rivers Data'!$B$2:$G$8,6,FALSE))</f>
        <v/>
      </c>
      <c r="R201" s="207" t="str">
        <f t="shared" si="16"/>
        <v/>
      </c>
      <c r="S201" s="44"/>
      <c r="T201" s="173"/>
      <c r="U201" s="189"/>
      <c r="V201" s="208" t="str">
        <f t="shared" si="17"/>
        <v/>
      </c>
      <c r="W201" s="208" t="str">
        <f t="shared" si="18"/>
        <v/>
      </c>
      <c r="X201" s="208" t="str">
        <f t="shared" si="19"/>
        <v/>
      </c>
      <c r="Y201" s="209" t="str">
        <f t="shared" si="20"/>
        <v/>
      </c>
      <c r="Z201" s="182"/>
      <c r="AA201" s="183"/>
      <c r="AG201" s="35">
        <f t="shared" si="21"/>
        <v>0</v>
      </c>
      <c r="AH201" s="188" t="str">
        <f t="shared" si="22"/>
        <v/>
      </c>
      <c r="AI201" s="188" t="str">
        <f t="shared" si="23"/>
        <v/>
      </c>
      <c r="AK201" s="188">
        <v>192</v>
      </c>
      <c r="AM201" s="188" t="str">
        <f t="array" ref="AM201">IFERROR(INDEX($AK$10:$AK$258, MATCH(0, IF(TRUE=$AH$10:$AH$258, COUNTIF($AM$9:$AM200, $AK$10:$AK$258), ""), 0)),"")</f>
        <v/>
      </c>
      <c r="AN201" s="188" t="str">
        <f t="array" ref="AN201">IFERROR(INDEX($AK$10:$AK$258, MATCH(0, IF(TRUE=$AI$10:$AI$258, COUNTIF($AN$9:$AN200, $AK$10:$AK$258), ""), 0)),"")</f>
        <v/>
      </c>
      <c r="AP201" s="35" t="str">
        <f>IFERROR(INDEX('G-7 Rivers Data'!$AZ$3:$AZ$7,MATCH(D201,'G-7 Rivers Data'!$AY$3:$AY$7,0)),"")</f>
        <v/>
      </c>
    </row>
    <row r="202" spans="3:42" ht="13.8" x14ac:dyDescent="0.25">
      <c r="C202" s="168">
        <v>193</v>
      </c>
      <c r="D202" s="212"/>
      <c r="E202" s="213"/>
      <c r="F202" s="171" t="str">
        <f>IF(D202="","",VLOOKUP(D202,'G-7 Rivers Data'!$B$2:$G$8,2,FALSE))</f>
        <v/>
      </c>
      <c r="G202" s="172" t="str">
        <f>IFERROR(VLOOKUP(F202,'G-7 Rivers Data'!$C$4:$D$8,2,FALSE),"")</f>
        <v/>
      </c>
      <c r="H202" s="173"/>
      <c r="I202" s="172" t="str">
        <f>IFERROR(INDEX('G-7 Rivers Data'!$H$4:$L$8,MATCH(D202,'G-7 Rivers Data'!$B$4:$B$8,0),MATCH(H202,'G-7 Rivers Data'!$H$3:$L$3,0)),"")</f>
        <v/>
      </c>
      <c r="J202" s="173"/>
      <c r="K202" s="172" t="str">
        <f>IF(J202="","",IF(VLOOKUP(J202,'G-7 Rivers Data'!$AK$4:$AM$9,2,FALSE)=0,"Spatial Data Missing",VLOOKUP(J202,'G-7 Rivers Data'!$AK$4:$AM$9,2,FALSE)))</f>
        <v/>
      </c>
      <c r="L202" s="172" t="str">
        <f>IF(J202="","",IF(VLOOKUP(J202,'G-7 Rivers Data'!$AK$4:$AM$9,3,FALSE)=0,"Spatial Data Missing",VLOOKUP(J202,'G-7 Rivers Data'!$AK$4:$AM$9,3,FALSE)))</f>
        <v/>
      </c>
      <c r="M202" s="79"/>
      <c r="N202" s="172" t="str">
        <f>IF(M202="","",IF(VLOOKUP(M202,'G-7 Rivers Data'!$AA$4:$AB$7,2,FALSE)=0,"Spatial Data Missing",VLOOKUP(M202,'G-7 Rivers Data'!$AA$4:$AB$7,2,FALSE)))</f>
        <v/>
      </c>
      <c r="O202" s="187"/>
      <c r="P202" s="172" t="str">
        <f>IF(O202="","",IF(VLOOKUP(O202,'G-7 Rivers Data'!$AD$4:$AE$8,2,FALSE)=0,"Spatial Data Missing",VLOOKUP(O202,'G-7 Rivers Data'!$AD$4:$AE$8,2,FALSE)))</f>
        <v/>
      </c>
      <c r="Q202" s="177" t="str">
        <f>IF(D202="","",VLOOKUP(D202,'G-7 Rivers Data'!$B$2:$G$8,6,FALSE))</f>
        <v/>
      </c>
      <c r="R202" s="207" t="str">
        <f t="shared" si="16"/>
        <v/>
      </c>
      <c r="S202" s="44"/>
      <c r="T202" s="173"/>
      <c r="U202" s="189"/>
      <c r="V202" s="208" t="str">
        <f t="shared" si="17"/>
        <v/>
      </c>
      <c r="W202" s="208" t="str">
        <f t="shared" si="18"/>
        <v/>
      </c>
      <c r="X202" s="208" t="str">
        <f t="shared" si="19"/>
        <v/>
      </c>
      <c r="Y202" s="209" t="str">
        <f t="shared" si="20"/>
        <v/>
      </c>
      <c r="Z202" s="182"/>
      <c r="AA202" s="183"/>
      <c r="AG202" s="35">
        <f t="shared" si="21"/>
        <v>0</v>
      </c>
      <c r="AH202" s="188" t="str">
        <f t="shared" si="22"/>
        <v/>
      </c>
      <c r="AI202" s="188" t="str">
        <f t="shared" si="23"/>
        <v/>
      </c>
      <c r="AK202" s="188">
        <v>193</v>
      </c>
      <c r="AM202" s="188" t="str">
        <f t="array" ref="AM202">IFERROR(INDEX($AK$10:$AK$258, MATCH(0, IF(TRUE=$AH$10:$AH$258, COUNTIF($AM$9:$AM201, $AK$10:$AK$258), ""), 0)),"")</f>
        <v/>
      </c>
      <c r="AN202" s="188" t="str">
        <f t="array" ref="AN202">IFERROR(INDEX($AK$10:$AK$258, MATCH(0, IF(TRUE=$AI$10:$AI$258, COUNTIF($AN$9:$AN201, $AK$10:$AK$258), ""), 0)),"")</f>
        <v/>
      </c>
      <c r="AP202" s="35" t="str">
        <f>IFERROR(INDEX('G-7 Rivers Data'!$AZ$3:$AZ$7,MATCH(D202,'G-7 Rivers Data'!$AY$3:$AY$7,0)),"")</f>
        <v/>
      </c>
    </row>
    <row r="203" spans="3:42" ht="13.8" x14ac:dyDescent="0.25">
      <c r="C203" s="168">
        <v>194</v>
      </c>
      <c r="D203" s="212"/>
      <c r="E203" s="213"/>
      <c r="F203" s="171" t="str">
        <f>IF(D203="","",VLOOKUP(D203,'G-7 Rivers Data'!$B$2:$G$8,2,FALSE))</f>
        <v/>
      </c>
      <c r="G203" s="172" t="str">
        <f>IFERROR(VLOOKUP(F203,'G-7 Rivers Data'!$C$4:$D$8,2,FALSE),"")</f>
        <v/>
      </c>
      <c r="H203" s="173"/>
      <c r="I203" s="172" t="str">
        <f>IFERROR(INDEX('G-7 Rivers Data'!$H$4:$L$8,MATCH(D203,'G-7 Rivers Data'!$B$4:$B$8,0),MATCH(H203,'G-7 Rivers Data'!$H$3:$L$3,0)),"")</f>
        <v/>
      </c>
      <c r="J203" s="173"/>
      <c r="K203" s="172" t="str">
        <f>IF(J203="","",IF(VLOOKUP(J203,'G-7 Rivers Data'!$AK$4:$AM$9,2,FALSE)=0,"Spatial Data Missing",VLOOKUP(J203,'G-7 Rivers Data'!$AK$4:$AM$9,2,FALSE)))</f>
        <v/>
      </c>
      <c r="L203" s="172" t="str">
        <f>IF(J203="","",IF(VLOOKUP(J203,'G-7 Rivers Data'!$AK$4:$AM$9,3,FALSE)=0,"Spatial Data Missing",VLOOKUP(J203,'G-7 Rivers Data'!$AK$4:$AM$9,3,FALSE)))</f>
        <v/>
      </c>
      <c r="M203" s="79"/>
      <c r="N203" s="172" t="str">
        <f>IF(M203="","",IF(VLOOKUP(M203,'G-7 Rivers Data'!$AA$4:$AB$7,2,FALSE)=0,"Spatial Data Missing",VLOOKUP(M203,'G-7 Rivers Data'!$AA$4:$AB$7,2,FALSE)))</f>
        <v/>
      </c>
      <c r="O203" s="187"/>
      <c r="P203" s="172" t="str">
        <f>IF(O203="","",IF(VLOOKUP(O203,'G-7 Rivers Data'!$AD$4:$AE$8,2,FALSE)=0,"Spatial Data Missing",VLOOKUP(O203,'G-7 Rivers Data'!$AD$4:$AE$8,2,FALSE)))</f>
        <v/>
      </c>
      <c r="Q203" s="177" t="str">
        <f>IF(D203="","",VLOOKUP(D203,'G-7 Rivers Data'!$B$2:$G$8,6,FALSE))</f>
        <v/>
      </c>
      <c r="R203" s="207" t="str">
        <f t="shared" ref="R203:R257" si="24">IFERROR(IF(D203="","",E203*G203*I203*L203*N203*P203),"")</f>
        <v/>
      </c>
      <c r="S203" s="44"/>
      <c r="T203" s="173"/>
      <c r="U203" s="189"/>
      <c r="V203" s="208" t="str">
        <f t="shared" ref="V203:V257" si="25">IFERROR(IF(T203&gt;E203,"Check Lengths",T203*G203*I203*L203*N203*P203),"")</f>
        <v/>
      </c>
      <c r="W203" s="208" t="str">
        <f t="shared" ref="W203:W257" si="26">IFERROR(IF(D203="","",U203*G203*I203*L203*N203*P203),"")</f>
        <v/>
      </c>
      <c r="X203" s="208" t="str">
        <f t="shared" ref="X203:X257" si="27">IFERROR(IF(D203="","",IF(E203&gt;(T203+U203),E203-T203-U203,0)),"")</f>
        <v/>
      </c>
      <c r="Y203" s="209" t="str">
        <f t="shared" ref="Y203:Y257" si="28">IFERROR(IF(E203="","",IF((V203+W203)&gt;R203,0,R203-V203-W203)),"Check Data")</f>
        <v/>
      </c>
      <c r="Z203" s="182"/>
      <c r="AA203" s="183"/>
      <c r="AG203" s="35">
        <f t="shared" ref="AG203:AG257" si="29">IFERROR(IF(T203+U203&gt;E203,1,0),"")</f>
        <v>0</v>
      </c>
      <c r="AH203" s="188" t="str">
        <f t="shared" ref="AH203:AH257" si="30">IF(D203="","",IF(T203&gt;0,TRUE,FALSE))</f>
        <v/>
      </c>
      <c r="AI203" s="188" t="str">
        <f t="shared" ref="AI203:AI257" si="31">IF(D203="","",IF(U203&gt;0,TRUE,FALSE))</f>
        <v/>
      </c>
      <c r="AK203" s="188">
        <v>194</v>
      </c>
      <c r="AM203" s="188" t="str">
        <f t="array" ref="AM203">IFERROR(INDEX($AK$10:$AK$258, MATCH(0, IF(TRUE=$AH$10:$AH$258, COUNTIF($AM$9:$AM202, $AK$10:$AK$258), ""), 0)),"")</f>
        <v/>
      </c>
      <c r="AN203" s="188" t="str">
        <f t="array" ref="AN203">IFERROR(INDEX($AK$10:$AK$258, MATCH(0, IF(TRUE=$AI$10:$AI$258, COUNTIF($AN$9:$AN202, $AK$10:$AK$258), ""), 0)),"")</f>
        <v/>
      </c>
      <c r="AP203" s="35" t="str">
        <f>IFERROR(INDEX('G-7 Rivers Data'!$AZ$3:$AZ$7,MATCH(D203,'G-7 Rivers Data'!$AY$3:$AY$7,0)),"")</f>
        <v/>
      </c>
    </row>
    <row r="204" spans="3:42" ht="13.8" x14ac:dyDescent="0.25">
      <c r="C204" s="168">
        <v>195</v>
      </c>
      <c r="D204" s="212"/>
      <c r="E204" s="213"/>
      <c r="F204" s="171" t="str">
        <f>IF(D204="","",VLOOKUP(D204,'G-7 Rivers Data'!$B$2:$G$8,2,FALSE))</f>
        <v/>
      </c>
      <c r="G204" s="172" t="str">
        <f>IFERROR(VLOOKUP(F204,'G-7 Rivers Data'!$C$4:$D$8,2,FALSE),"")</f>
        <v/>
      </c>
      <c r="H204" s="173"/>
      <c r="I204" s="172" t="str">
        <f>IFERROR(INDEX('G-7 Rivers Data'!$H$4:$L$8,MATCH(D204,'G-7 Rivers Data'!$B$4:$B$8,0),MATCH(H204,'G-7 Rivers Data'!$H$3:$L$3,0)),"")</f>
        <v/>
      </c>
      <c r="J204" s="173"/>
      <c r="K204" s="172" t="str">
        <f>IF(J204="","",IF(VLOOKUP(J204,'G-7 Rivers Data'!$AK$4:$AM$9,2,FALSE)=0,"Spatial Data Missing",VLOOKUP(J204,'G-7 Rivers Data'!$AK$4:$AM$9,2,FALSE)))</f>
        <v/>
      </c>
      <c r="L204" s="172" t="str">
        <f>IF(J204="","",IF(VLOOKUP(J204,'G-7 Rivers Data'!$AK$4:$AM$9,3,FALSE)=0,"Spatial Data Missing",VLOOKUP(J204,'G-7 Rivers Data'!$AK$4:$AM$9,3,FALSE)))</f>
        <v/>
      </c>
      <c r="M204" s="79"/>
      <c r="N204" s="172" t="str">
        <f>IF(M204="","",IF(VLOOKUP(M204,'G-7 Rivers Data'!$AA$4:$AB$7,2,FALSE)=0,"Spatial Data Missing",VLOOKUP(M204,'G-7 Rivers Data'!$AA$4:$AB$7,2,FALSE)))</f>
        <v/>
      </c>
      <c r="O204" s="187"/>
      <c r="P204" s="172" t="str">
        <f>IF(O204="","",IF(VLOOKUP(O204,'G-7 Rivers Data'!$AD$4:$AE$8,2,FALSE)=0,"Spatial Data Missing",VLOOKUP(O204,'G-7 Rivers Data'!$AD$4:$AE$8,2,FALSE)))</f>
        <v/>
      </c>
      <c r="Q204" s="177" t="str">
        <f>IF(D204="","",VLOOKUP(D204,'G-7 Rivers Data'!$B$2:$G$8,6,FALSE))</f>
        <v/>
      </c>
      <c r="R204" s="207" t="str">
        <f t="shared" si="24"/>
        <v/>
      </c>
      <c r="S204" s="44"/>
      <c r="T204" s="173"/>
      <c r="U204" s="189"/>
      <c r="V204" s="208" t="str">
        <f t="shared" si="25"/>
        <v/>
      </c>
      <c r="W204" s="208" t="str">
        <f t="shared" si="26"/>
        <v/>
      </c>
      <c r="X204" s="208" t="str">
        <f t="shared" si="27"/>
        <v/>
      </c>
      <c r="Y204" s="209" t="str">
        <f t="shared" si="28"/>
        <v/>
      </c>
      <c r="Z204" s="182"/>
      <c r="AA204" s="183"/>
      <c r="AG204" s="35">
        <f t="shared" si="29"/>
        <v>0</v>
      </c>
      <c r="AH204" s="188" t="str">
        <f t="shared" si="30"/>
        <v/>
      </c>
      <c r="AI204" s="188" t="str">
        <f t="shared" si="31"/>
        <v/>
      </c>
      <c r="AK204" s="188">
        <v>195</v>
      </c>
      <c r="AM204" s="188" t="str">
        <f t="array" ref="AM204">IFERROR(INDEX($AK$10:$AK$258, MATCH(0, IF(TRUE=$AH$10:$AH$258, COUNTIF($AM$9:$AM203, $AK$10:$AK$258), ""), 0)),"")</f>
        <v/>
      </c>
      <c r="AN204" s="188" t="str">
        <f t="array" ref="AN204">IFERROR(INDEX($AK$10:$AK$258, MATCH(0, IF(TRUE=$AI$10:$AI$258, COUNTIF($AN$9:$AN203, $AK$10:$AK$258), ""), 0)),"")</f>
        <v/>
      </c>
      <c r="AP204" s="35" t="str">
        <f>IFERROR(INDEX('G-7 Rivers Data'!$AZ$3:$AZ$7,MATCH(D204,'G-7 Rivers Data'!$AY$3:$AY$7,0)),"")</f>
        <v/>
      </c>
    </row>
    <row r="205" spans="3:42" ht="13.8" x14ac:dyDescent="0.25">
      <c r="C205" s="168">
        <v>196</v>
      </c>
      <c r="D205" s="212"/>
      <c r="E205" s="213"/>
      <c r="F205" s="171" t="str">
        <f>IF(D205="","",VLOOKUP(D205,'G-7 Rivers Data'!$B$2:$G$8,2,FALSE))</f>
        <v/>
      </c>
      <c r="G205" s="172" t="str">
        <f>IFERROR(VLOOKUP(F205,'G-7 Rivers Data'!$C$4:$D$8,2,FALSE),"")</f>
        <v/>
      </c>
      <c r="H205" s="173"/>
      <c r="I205" s="172" t="str">
        <f>IFERROR(INDEX('G-7 Rivers Data'!$H$4:$L$8,MATCH(D205,'G-7 Rivers Data'!$B$4:$B$8,0),MATCH(H205,'G-7 Rivers Data'!$H$3:$L$3,0)),"")</f>
        <v/>
      </c>
      <c r="J205" s="173"/>
      <c r="K205" s="172" t="str">
        <f>IF(J205="","",IF(VLOOKUP(J205,'G-7 Rivers Data'!$AK$4:$AM$9,2,FALSE)=0,"Spatial Data Missing",VLOOKUP(J205,'G-7 Rivers Data'!$AK$4:$AM$9,2,FALSE)))</f>
        <v/>
      </c>
      <c r="L205" s="172" t="str">
        <f>IF(J205="","",IF(VLOOKUP(J205,'G-7 Rivers Data'!$AK$4:$AM$9,3,FALSE)=0,"Spatial Data Missing",VLOOKUP(J205,'G-7 Rivers Data'!$AK$4:$AM$9,3,FALSE)))</f>
        <v/>
      </c>
      <c r="M205" s="79"/>
      <c r="N205" s="172" t="str">
        <f>IF(M205="","",IF(VLOOKUP(M205,'G-7 Rivers Data'!$AA$4:$AB$7,2,FALSE)=0,"Spatial Data Missing",VLOOKUP(M205,'G-7 Rivers Data'!$AA$4:$AB$7,2,FALSE)))</f>
        <v/>
      </c>
      <c r="O205" s="187"/>
      <c r="P205" s="172" t="str">
        <f>IF(O205="","",IF(VLOOKUP(O205,'G-7 Rivers Data'!$AD$4:$AE$8,2,FALSE)=0,"Spatial Data Missing",VLOOKUP(O205,'G-7 Rivers Data'!$AD$4:$AE$8,2,FALSE)))</f>
        <v/>
      </c>
      <c r="Q205" s="177" t="str">
        <f>IF(D205="","",VLOOKUP(D205,'G-7 Rivers Data'!$B$2:$G$8,6,FALSE))</f>
        <v/>
      </c>
      <c r="R205" s="207" t="str">
        <f t="shared" si="24"/>
        <v/>
      </c>
      <c r="S205" s="44"/>
      <c r="T205" s="173"/>
      <c r="U205" s="189"/>
      <c r="V205" s="208" t="str">
        <f t="shared" si="25"/>
        <v/>
      </c>
      <c r="W205" s="208" t="str">
        <f t="shared" si="26"/>
        <v/>
      </c>
      <c r="X205" s="208" t="str">
        <f t="shared" si="27"/>
        <v/>
      </c>
      <c r="Y205" s="209" t="str">
        <f t="shared" si="28"/>
        <v/>
      </c>
      <c r="Z205" s="182"/>
      <c r="AA205" s="183"/>
      <c r="AG205" s="35">
        <f t="shared" si="29"/>
        <v>0</v>
      </c>
      <c r="AH205" s="188" t="str">
        <f t="shared" si="30"/>
        <v/>
      </c>
      <c r="AI205" s="188" t="str">
        <f t="shared" si="31"/>
        <v/>
      </c>
      <c r="AK205" s="188">
        <v>196</v>
      </c>
      <c r="AM205" s="188" t="str">
        <f t="array" ref="AM205">IFERROR(INDEX($AK$10:$AK$258, MATCH(0, IF(TRUE=$AH$10:$AH$258, COUNTIF($AM$9:$AM204, $AK$10:$AK$258), ""), 0)),"")</f>
        <v/>
      </c>
      <c r="AN205" s="188" t="str">
        <f t="array" ref="AN205">IFERROR(INDEX($AK$10:$AK$258, MATCH(0, IF(TRUE=$AI$10:$AI$258, COUNTIF($AN$9:$AN204, $AK$10:$AK$258), ""), 0)),"")</f>
        <v/>
      </c>
      <c r="AP205" s="35" t="str">
        <f>IFERROR(INDEX('G-7 Rivers Data'!$AZ$3:$AZ$7,MATCH(D205,'G-7 Rivers Data'!$AY$3:$AY$7,0)),"")</f>
        <v/>
      </c>
    </row>
    <row r="206" spans="3:42" ht="13.8" x14ac:dyDescent="0.25">
      <c r="C206" s="168">
        <v>197</v>
      </c>
      <c r="D206" s="212"/>
      <c r="E206" s="213"/>
      <c r="F206" s="171" t="str">
        <f>IF(D206="","",VLOOKUP(D206,'G-7 Rivers Data'!$B$2:$G$8,2,FALSE))</f>
        <v/>
      </c>
      <c r="G206" s="172" t="str">
        <f>IFERROR(VLOOKUP(F206,'G-7 Rivers Data'!$C$4:$D$8,2,FALSE),"")</f>
        <v/>
      </c>
      <c r="H206" s="173"/>
      <c r="I206" s="172" t="str">
        <f>IFERROR(INDEX('G-7 Rivers Data'!$H$4:$L$8,MATCH(D206,'G-7 Rivers Data'!$B$4:$B$8,0),MATCH(H206,'G-7 Rivers Data'!$H$3:$L$3,0)),"")</f>
        <v/>
      </c>
      <c r="J206" s="173"/>
      <c r="K206" s="172" t="str">
        <f>IF(J206="","",IF(VLOOKUP(J206,'G-7 Rivers Data'!$AK$4:$AM$9,2,FALSE)=0,"Spatial Data Missing",VLOOKUP(J206,'G-7 Rivers Data'!$AK$4:$AM$9,2,FALSE)))</f>
        <v/>
      </c>
      <c r="L206" s="172" t="str">
        <f>IF(J206="","",IF(VLOOKUP(J206,'G-7 Rivers Data'!$AK$4:$AM$9,3,FALSE)=0,"Spatial Data Missing",VLOOKUP(J206,'G-7 Rivers Data'!$AK$4:$AM$9,3,FALSE)))</f>
        <v/>
      </c>
      <c r="M206" s="79"/>
      <c r="N206" s="172" t="str">
        <f>IF(M206="","",IF(VLOOKUP(M206,'G-7 Rivers Data'!$AA$4:$AB$7,2,FALSE)=0,"Spatial Data Missing",VLOOKUP(M206,'G-7 Rivers Data'!$AA$4:$AB$7,2,FALSE)))</f>
        <v/>
      </c>
      <c r="O206" s="187"/>
      <c r="P206" s="172" t="str">
        <f>IF(O206="","",IF(VLOOKUP(O206,'G-7 Rivers Data'!$AD$4:$AE$8,2,FALSE)=0,"Spatial Data Missing",VLOOKUP(O206,'G-7 Rivers Data'!$AD$4:$AE$8,2,FALSE)))</f>
        <v/>
      </c>
      <c r="Q206" s="177" t="str">
        <f>IF(D206="","",VLOOKUP(D206,'G-7 Rivers Data'!$B$2:$G$8,6,FALSE))</f>
        <v/>
      </c>
      <c r="R206" s="207" t="str">
        <f t="shared" si="24"/>
        <v/>
      </c>
      <c r="S206" s="44"/>
      <c r="T206" s="173"/>
      <c r="U206" s="189"/>
      <c r="V206" s="208" t="str">
        <f t="shared" si="25"/>
        <v/>
      </c>
      <c r="W206" s="208" t="str">
        <f t="shared" si="26"/>
        <v/>
      </c>
      <c r="X206" s="208" t="str">
        <f t="shared" si="27"/>
        <v/>
      </c>
      <c r="Y206" s="209" t="str">
        <f t="shared" si="28"/>
        <v/>
      </c>
      <c r="Z206" s="182"/>
      <c r="AA206" s="183"/>
      <c r="AG206" s="35">
        <f t="shared" si="29"/>
        <v>0</v>
      </c>
      <c r="AH206" s="188" t="str">
        <f t="shared" si="30"/>
        <v/>
      </c>
      <c r="AI206" s="188" t="str">
        <f t="shared" si="31"/>
        <v/>
      </c>
      <c r="AK206" s="188">
        <v>197</v>
      </c>
      <c r="AM206" s="188" t="str">
        <f t="array" ref="AM206">IFERROR(INDEX($AK$10:$AK$258, MATCH(0, IF(TRUE=$AH$10:$AH$258, COUNTIF($AM$9:$AM205, $AK$10:$AK$258), ""), 0)),"")</f>
        <v/>
      </c>
      <c r="AN206" s="188" t="str">
        <f t="array" ref="AN206">IFERROR(INDEX($AK$10:$AK$258, MATCH(0, IF(TRUE=$AI$10:$AI$258, COUNTIF($AN$9:$AN205, $AK$10:$AK$258), ""), 0)),"")</f>
        <v/>
      </c>
      <c r="AP206" s="35" t="str">
        <f>IFERROR(INDEX('G-7 Rivers Data'!$AZ$3:$AZ$7,MATCH(D206,'G-7 Rivers Data'!$AY$3:$AY$7,0)),"")</f>
        <v/>
      </c>
    </row>
    <row r="207" spans="3:42" ht="13.8" x14ac:dyDescent="0.25">
      <c r="C207" s="168">
        <v>198</v>
      </c>
      <c r="D207" s="212"/>
      <c r="E207" s="213"/>
      <c r="F207" s="171" t="str">
        <f>IF(D207="","",VLOOKUP(D207,'G-7 Rivers Data'!$B$2:$G$8,2,FALSE))</f>
        <v/>
      </c>
      <c r="G207" s="172" t="str">
        <f>IFERROR(VLOOKUP(F207,'G-7 Rivers Data'!$C$4:$D$8,2,FALSE),"")</f>
        <v/>
      </c>
      <c r="H207" s="173"/>
      <c r="I207" s="172" t="str">
        <f>IFERROR(INDEX('G-7 Rivers Data'!$H$4:$L$8,MATCH(D207,'G-7 Rivers Data'!$B$4:$B$8,0),MATCH(H207,'G-7 Rivers Data'!$H$3:$L$3,0)),"")</f>
        <v/>
      </c>
      <c r="J207" s="173"/>
      <c r="K207" s="172" t="str">
        <f>IF(J207="","",IF(VLOOKUP(J207,'G-7 Rivers Data'!$AK$4:$AM$9,2,FALSE)=0,"Spatial Data Missing",VLOOKUP(J207,'G-7 Rivers Data'!$AK$4:$AM$9,2,FALSE)))</f>
        <v/>
      </c>
      <c r="L207" s="172" t="str">
        <f>IF(J207="","",IF(VLOOKUP(J207,'G-7 Rivers Data'!$AK$4:$AM$9,3,FALSE)=0,"Spatial Data Missing",VLOOKUP(J207,'G-7 Rivers Data'!$AK$4:$AM$9,3,FALSE)))</f>
        <v/>
      </c>
      <c r="M207" s="79"/>
      <c r="N207" s="172" t="str">
        <f>IF(M207="","",IF(VLOOKUP(M207,'G-7 Rivers Data'!$AA$4:$AB$7,2,FALSE)=0,"Spatial Data Missing",VLOOKUP(M207,'G-7 Rivers Data'!$AA$4:$AB$7,2,FALSE)))</f>
        <v/>
      </c>
      <c r="O207" s="187"/>
      <c r="P207" s="172" t="str">
        <f>IF(O207="","",IF(VLOOKUP(O207,'G-7 Rivers Data'!$AD$4:$AE$8,2,FALSE)=0,"Spatial Data Missing",VLOOKUP(O207,'G-7 Rivers Data'!$AD$4:$AE$8,2,FALSE)))</f>
        <v/>
      </c>
      <c r="Q207" s="177" t="str">
        <f>IF(D207="","",VLOOKUP(D207,'G-7 Rivers Data'!$B$2:$G$8,6,FALSE))</f>
        <v/>
      </c>
      <c r="R207" s="207" t="str">
        <f t="shared" si="24"/>
        <v/>
      </c>
      <c r="S207" s="44"/>
      <c r="T207" s="173"/>
      <c r="U207" s="189"/>
      <c r="V207" s="208" t="str">
        <f t="shared" si="25"/>
        <v/>
      </c>
      <c r="W207" s="208" t="str">
        <f t="shared" si="26"/>
        <v/>
      </c>
      <c r="X207" s="208" t="str">
        <f t="shared" si="27"/>
        <v/>
      </c>
      <c r="Y207" s="209" t="str">
        <f t="shared" si="28"/>
        <v/>
      </c>
      <c r="Z207" s="182"/>
      <c r="AA207" s="183"/>
      <c r="AG207" s="35">
        <f t="shared" si="29"/>
        <v>0</v>
      </c>
      <c r="AH207" s="188" t="str">
        <f t="shared" si="30"/>
        <v/>
      </c>
      <c r="AI207" s="188" t="str">
        <f t="shared" si="31"/>
        <v/>
      </c>
      <c r="AK207" s="188">
        <v>198</v>
      </c>
      <c r="AM207" s="188" t="str">
        <f t="array" ref="AM207">IFERROR(INDEX($AK$10:$AK$258, MATCH(0, IF(TRUE=$AH$10:$AH$258, COUNTIF($AM$9:$AM206, $AK$10:$AK$258), ""), 0)),"")</f>
        <v/>
      </c>
      <c r="AN207" s="188" t="str">
        <f t="array" ref="AN207">IFERROR(INDEX($AK$10:$AK$258, MATCH(0, IF(TRUE=$AI$10:$AI$258, COUNTIF($AN$9:$AN206, $AK$10:$AK$258), ""), 0)),"")</f>
        <v/>
      </c>
      <c r="AP207" s="35" t="str">
        <f>IFERROR(INDEX('G-7 Rivers Data'!$AZ$3:$AZ$7,MATCH(D207,'G-7 Rivers Data'!$AY$3:$AY$7,0)),"")</f>
        <v/>
      </c>
    </row>
    <row r="208" spans="3:42" ht="13.8" x14ac:dyDescent="0.25">
      <c r="C208" s="168">
        <v>199</v>
      </c>
      <c r="D208" s="212"/>
      <c r="E208" s="213"/>
      <c r="F208" s="171" t="str">
        <f>IF(D208="","",VLOOKUP(D208,'G-7 Rivers Data'!$B$2:$G$8,2,FALSE))</f>
        <v/>
      </c>
      <c r="G208" s="172" t="str">
        <f>IFERROR(VLOOKUP(F208,'G-7 Rivers Data'!$C$4:$D$8,2,FALSE),"")</f>
        <v/>
      </c>
      <c r="H208" s="173"/>
      <c r="I208" s="172" t="str">
        <f>IFERROR(INDEX('G-7 Rivers Data'!$H$4:$L$8,MATCH(D208,'G-7 Rivers Data'!$B$4:$B$8,0),MATCH(H208,'G-7 Rivers Data'!$H$3:$L$3,0)),"")</f>
        <v/>
      </c>
      <c r="J208" s="173"/>
      <c r="K208" s="172" t="str">
        <f>IF(J208="","",IF(VLOOKUP(J208,'G-7 Rivers Data'!$AK$4:$AM$9,2,FALSE)=0,"Spatial Data Missing",VLOOKUP(J208,'G-7 Rivers Data'!$AK$4:$AM$9,2,FALSE)))</f>
        <v/>
      </c>
      <c r="L208" s="172" t="str">
        <f>IF(J208="","",IF(VLOOKUP(J208,'G-7 Rivers Data'!$AK$4:$AM$9,3,FALSE)=0,"Spatial Data Missing",VLOOKUP(J208,'G-7 Rivers Data'!$AK$4:$AM$9,3,FALSE)))</f>
        <v/>
      </c>
      <c r="M208" s="79"/>
      <c r="N208" s="172" t="str">
        <f>IF(M208="","",IF(VLOOKUP(M208,'G-7 Rivers Data'!$AA$4:$AB$7,2,FALSE)=0,"Spatial Data Missing",VLOOKUP(M208,'G-7 Rivers Data'!$AA$4:$AB$7,2,FALSE)))</f>
        <v/>
      </c>
      <c r="O208" s="187"/>
      <c r="P208" s="172" t="str">
        <f>IF(O208="","",IF(VLOOKUP(O208,'G-7 Rivers Data'!$AD$4:$AE$8,2,FALSE)=0,"Spatial Data Missing",VLOOKUP(O208,'G-7 Rivers Data'!$AD$4:$AE$8,2,FALSE)))</f>
        <v/>
      </c>
      <c r="Q208" s="177" t="str">
        <f>IF(D208="","",VLOOKUP(D208,'G-7 Rivers Data'!$B$2:$G$8,6,FALSE))</f>
        <v/>
      </c>
      <c r="R208" s="207" t="str">
        <f t="shared" si="24"/>
        <v/>
      </c>
      <c r="S208" s="44"/>
      <c r="T208" s="173"/>
      <c r="U208" s="189"/>
      <c r="V208" s="208" t="str">
        <f t="shared" si="25"/>
        <v/>
      </c>
      <c r="W208" s="208" t="str">
        <f t="shared" si="26"/>
        <v/>
      </c>
      <c r="X208" s="208" t="str">
        <f t="shared" si="27"/>
        <v/>
      </c>
      <c r="Y208" s="209" t="str">
        <f t="shared" si="28"/>
        <v/>
      </c>
      <c r="Z208" s="182"/>
      <c r="AA208" s="183"/>
      <c r="AG208" s="35">
        <f t="shared" si="29"/>
        <v>0</v>
      </c>
      <c r="AH208" s="188" t="str">
        <f t="shared" si="30"/>
        <v/>
      </c>
      <c r="AI208" s="188" t="str">
        <f t="shared" si="31"/>
        <v/>
      </c>
      <c r="AK208" s="188">
        <v>199</v>
      </c>
      <c r="AM208" s="188" t="str">
        <f t="array" ref="AM208">IFERROR(INDEX($AK$10:$AK$258, MATCH(0, IF(TRUE=$AH$10:$AH$258, COUNTIF($AM$9:$AM207, $AK$10:$AK$258), ""), 0)),"")</f>
        <v/>
      </c>
      <c r="AN208" s="188" t="str">
        <f t="array" ref="AN208">IFERROR(INDEX($AK$10:$AK$258, MATCH(0, IF(TRUE=$AI$10:$AI$258, COUNTIF($AN$9:$AN207, $AK$10:$AK$258), ""), 0)),"")</f>
        <v/>
      </c>
      <c r="AP208" s="35" t="str">
        <f>IFERROR(INDEX('G-7 Rivers Data'!$AZ$3:$AZ$7,MATCH(D208,'G-7 Rivers Data'!$AY$3:$AY$7,0)),"")</f>
        <v/>
      </c>
    </row>
    <row r="209" spans="3:42" ht="13.8" x14ac:dyDescent="0.25">
      <c r="C209" s="168">
        <v>200</v>
      </c>
      <c r="D209" s="212"/>
      <c r="E209" s="213"/>
      <c r="F209" s="171" t="str">
        <f>IF(D209="","",VLOOKUP(D209,'G-7 Rivers Data'!$B$2:$G$8,2,FALSE))</f>
        <v/>
      </c>
      <c r="G209" s="172" t="str">
        <f>IFERROR(VLOOKUP(F209,'G-7 Rivers Data'!$C$4:$D$8,2,FALSE),"")</f>
        <v/>
      </c>
      <c r="H209" s="173"/>
      <c r="I209" s="172" t="str">
        <f>IFERROR(INDEX('G-7 Rivers Data'!$H$4:$L$8,MATCH(D209,'G-7 Rivers Data'!$B$4:$B$8,0),MATCH(H209,'G-7 Rivers Data'!$H$3:$L$3,0)),"")</f>
        <v/>
      </c>
      <c r="J209" s="173"/>
      <c r="K209" s="172" t="str">
        <f>IF(J209="","",IF(VLOOKUP(J209,'G-7 Rivers Data'!$AK$4:$AM$9,2,FALSE)=0,"Spatial Data Missing",VLOOKUP(J209,'G-7 Rivers Data'!$AK$4:$AM$9,2,FALSE)))</f>
        <v/>
      </c>
      <c r="L209" s="172" t="str">
        <f>IF(J209="","",IF(VLOOKUP(J209,'G-7 Rivers Data'!$AK$4:$AM$9,3,FALSE)=0,"Spatial Data Missing",VLOOKUP(J209,'G-7 Rivers Data'!$AK$4:$AM$9,3,FALSE)))</f>
        <v/>
      </c>
      <c r="M209" s="79"/>
      <c r="N209" s="172" t="str">
        <f>IF(M209="","",IF(VLOOKUP(M209,'G-7 Rivers Data'!$AA$4:$AB$7,2,FALSE)=0,"Spatial Data Missing",VLOOKUP(M209,'G-7 Rivers Data'!$AA$4:$AB$7,2,FALSE)))</f>
        <v/>
      </c>
      <c r="O209" s="187"/>
      <c r="P209" s="172" t="str">
        <f>IF(O209="","",IF(VLOOKUP(O209,'G-7 Rivers Data'!$AD$4:$AE$8,2,FALSE)=0,"Spatial Data Missing",VLOOKUP(O209,'G-7 Rivers Data'!$AD$4:$AE$8,2,FALSE)))</f>
        <v/>
      </c>
      <c r="Q209" s="177" t="str">
        <f>IF(D209="","",VLOOKUP(D209,'G-7 Rivers Data'!$B$2:$G$8,6,FALSE))</f>
        <v/>
      </c>
      <c r="R209" s="207" t="str">
        <f t="shared" si="24"/>
        <v/>
      </c>
      <c r="S209" s="44"/>
      <c r="T209" s="173"/>
      <c r="U209" s="189"/>
      <c r="V209" s="208" t="str">
        <f t="shared" si="25"/>
        <v/>
      </c>
      <c r="W209" s="208" t="str">
        <f t="shared" si="26"/>
        <v/>
      </c>
      <c r="X209" s="208" t="str">
        <f t="shared" si="27"/>
        <v/>
      </c>
      <c r="Y209" s="209" t="str">
        <f t="shared" si="28"/>
        <v/>
      </c>
      <c r="Z209" s="182"/>
      <c r="AA209" s="183"/>
      <c r="AG209" s="35">
        <f t="shared" si="29"/>
        <v>0</v>
      </c>
      <c r="AH209" s="188" t="str">
        <f t="shared" si="30"/>
        <v/>
      </c>
      <c r="AI209" s="188" t="str">
        <f t="shared" si="31"/>
        <v/>
      </c>
      <c r="AK209" s="188">
        <v>200</v>
      </c>
      <c r="AM209" s="188" t="str">
        <f t="array" ref="AM209">IFERROR(INDEX($AK$10:$AK$258, MATCH(0, IF(TRUE=$AH$10:$AH$258, COUNTIF($AM$9:$AM208, $AK$10:$AK$258), ""), 0)),"")</f>
        <v/>
      </c>
      <c r="AN209" s="188" t="str">
        <f t="array" ref="AN209">IFERROR(INDEX($AK$10:$AK$258, MATCH(0, IF(TRUE=$AI$10:$AI$258, COUNTIF($AN$9:$AN208, $AK$10:$AK$258), ""), 0)),"")</f>
        <v/>
      </c>
      <c r="AP209" s="35" t="str">
        <f>IFERROR(INDEX('G-7 Rivers Data'!$AZ$3:$AZ$7,MATCH(D209,'G-7 Rivers Data'!$AY$3:$AY$7,0)),"")</f>
        <v/>
      </c>
    </row>
    <row r="210" spans="3:42" ht="13.8" x14ac:dyDescent="0.25">
      <c r="C210" s="168">
        <v>201</v>
      </c>
      <c r="D210" s="212"/>
      <c r="E210" s="213"/>
      <c r="F210" s="171" t="str">
        <f>IF(D210="","",VLOOKUP(D210,'G-7 Rivers Data'!$B$2:$G$8,2,FALSE))</f>
        <v/>
      </c>
      <c r="G210" s="172" t="str">
        <f>IFERROR(VLOOKUP(F210,'G-7 Rivers Data'!$C$4:$D$8,2,FALSE),"")</f>
        <v/>
      </c>
      <c r="H210" s="173"/>
      <c r="I210" s="172" t="str">
        <f>IFERROR(INDEX('G-7 Rivers Data'!$H$4:$L$8,MATCH(D210,'G-7 Rivers Data'!$B$4:$B$8,0),MATCH(H210,'G-7 Rivers Data'!$H$3:$L$3,0)),"")</f>
        <v/>
      </c>
      <c r="J210" s="173"/>
      <c r="K210" s="172" t="str">
        <f>IF(J210="","",IF(VLOOKUP(J210,'G-7 Rivers Data'!$AK$4:$AM$9,2,FALSE)=0,"Spatial Data Missing",VLOOKUP(J210,'G-7 Rivers Data'!$AK$4:$AM$9,2,FALSE)))</f>
        <v/>
      </c>
      <c r="L210" s="172" t="str">
        <f>IF(J210="","",IF(VLOOKUP(J210,'G-7 Rivers Data'!$AK$4:$AM$9,3,FALSE)=0,"Spatial Data Missing",VLOOKUP(J210,'G-7 Rivers Data'!$AK$4:$AM$9,3,FALSE)))</f>
        <v/>
      </c>
      <c r="M210" s="79"/>
      <c r="N210" s="172" t="str">
        <f>IF(M210="","",IF(VLOOKUP(M210,'G-7 Rivers Data'!$AA$4:$AB$7,2,FALSE)=0,"Spatial Data Missing",VLOOKUP(M210,'G-7 Rivers Data'!$AA$4:$AB$7,2,FALSE)))</f>
        <v/>
      </c>
      <c r="O210" s="187"/>
      <c r="P210" s="172" t="str">
        <f>IF(O210="","",IF(VLOOKUP(O210,'G-7 Rivers Data'!$AD$4:$AE$8,2,FALSE)=0,"Spatial Data Missing",VLOOKUP(O210,'G-7 Rivers Data'!$AD$4:$AE$8,2,FALSE)))</f>
        <v/>
      </c>
      <c r="Q210" s="177" t="str">
        <f>IF(D210="","",VLOOKUP(D210,'G-7 Rivers Data'!$B$2:$G$8,6,FALSE))</f>
        <v/>
      </c>
      <c r="R210" s="207" t="str">
        <f t="shared" si="24"/>
        <v/>
      </c>
      <c r="S210" s="44"/>
      <c r="T210" s="173"/>
      <c r="U210" s="189"/>
      <c r="V210" s="208" t="str">
        <f t="shared" si="25"/>
        <v/>
      </c>
      <c r="W210" s="208" t="str">
        <f t="shared" si="26"/>
        <v/>
      </c>
      <c r="X210" s="208" t="str">
        <f t="shared" si="27"/>
        <v/>
      </c>
      <c r="Y210" s="209" t="str">
        <f t="shared" si="28"/>
        <v/>
      </c>
      <c r="Z210" s="182"/>
      <c r="AA210" s="183"/>
      <c r="AG210" s="35">
        <f t="shared" si="29"/>
        <v>0</v>
      </c>
      <c r="AH210" s="188" t="str">
        <f t="shared" si="30"/>
        <v/>
      </c>
      <c r="AI210" s="188" t="str">
        <f t="shared" si="31"/>
        <v/>
      </c>
      <c r="AK210" s="188">
        <v>201</v>
      </c>
      <c r="AM210" s="188" t="str">
        <f t="array" ref="AM210">IFERROR(INDEX($AK$10:$AK$258, MATCH(0, IF(TRUE=$AH$10:$AH$258, COUNTIF($AM$9:$AM209, $AK$10:$AK$258), ""), 0)),"")</f>
        <v/>
      </c>
      <c r="AN210" s="188" t="str">
        <f t="array" ref="AN210">IFERROR(INDEX($AK$10:$AK$258, MATCH(0, IF(TRUE=$AI$10:$AI$258, COUNTIF($AN$9:$AN209, $AK$10:$AK$258), ""), 0)),"")</f>
        <v/>
      </c>
      <c r="AP210" s="35" t="str">
        <f>IFERROR(INDEX('G-7 Rivers Data'!$AZ$3:$AZ$7,MATCH(D210,'G-7 Rivers Data'!$AY$3:$AY$7,0)),"")</f>
        <v/>
      </c>
    </row>
    <row r="211" spans="3:42" ht="13.8" x14ac:dyDescent="0.25">
      <c r="C211" s="168">
        <v>202</v>
      </c>
      <c r="D211" s="212"/>
      <c r="E211" s="213"/>
      <c r="F211" s="171" t="str">
        <f>IF(D211="","",VLOOKUP(D211,'G-7 Rivers Data'!$B$2:$G$8,2,FALSE))</f>
        <v/>
      </c>
      <c r="G211" s="172" t="str">
        <f>IFERROR(VLOOKUP(F211,'G-7 Rivers Data'!$C$4:$D$8,2,FALSE),"")</f>
        <v/>
      </c>
      <c r="H211" s="173"/>
      <c r="I211" s="172" t="str">
        <f>IFERROR(INDEX('G-7 Rivers Data'!$H$4:$L$8,MATCH(D211,'G-7 Rivers Data'!$B$4:$B$8,0),MATCH(H211,'G-7 Rivers Data'!$H$3:$L$3,0)),"")</f>
        <v/>
      </c>
      <c r="J211" s="173"/>
      <c r="K211" s="172" t="str">
        <f>IF(J211="","",IF(VLOOKUP(J211,'G-7 Rivers Data'!$AK$4:$AM$9,2,FALSE)=0,"Spatial Data Missing",VLOOKUP(J211,'G-7 Rivers Data'!$AK$4:$AM$9,2,FALSE)))</f>
        <v/>
      </c>
      <c r="L211" s="172" t="str">
        <f>IF(J211="","",IF(VLOOKUP(J211,'G-7 Rivers Data'!$AK$4:$AM$9,3,FALSE)=0,"Spatial Data Missing",VLOOKUP(J211,'G-7 Rivers Data'!$AK$4:$AM$9,3,FALSE)))</f>
        <v/>
      </c>
      <c r="M211" s="79"/>
      <c r="N211" s="172" t="str">
        <f>IF(M211="","",IF(VLOOKUP(M211,'G-7 Rivers Data'!$AA$4:$AB$7,2,FALSE)=0,"Spatial Data Missing",VLOOKUP(M211,'G-7 Rivers Data'!$AA$4:$AB$7,2,FALSE)))</f>
        <v/>
      </c>
      <c r="O211" s="187"/>
      <c r="P211" s="172" t="str">
        <f>IF(O211="","",IF(VLOOKUP(O211,'G-7 Rivers Data'!$AD$4:$AE$8,2,FALSE)=0,"Spatial Data Missing",VLOOKUP(O211,'G-7 Rivers Data'!$AD$4:$AE$8,2,FALSE)))</f>
        <v/>
      </c>
      <c r="Q211" s="177" t="str">
        <f>IF(D211="","",VLOOKUP(D211,'G-7 Rivers Data'!$B$2:$G$8,6,FALSE))</f>
        <v/>
      </c>
      <c r="R211" s="207" t="str">
        <f t="shared" si="24"/>
        <v/>
      </c>
      <c r="S211" s="44"/>
      <c r="T211" s="173"/>
      <c r="U211" s="189"/>
      <c r="V211" s="208" t="str">
        <f t="shared" si="25"/>
        <v/>
      </c>
      <c r="W211" s="208" t="str">
        <f t="shared" si="26"/>
        <v/>
      </c>
      <c r="X211" s="208" t="str">
        <f t="shared" si="27"/>
        <v/>
      </c>
      <c r="Y211" s="209" t="str">
        <f t="shared" si="28"/>
        <v/>
      </c>
      <c r="Z211" s="182"/>
      <c r="AA211" s="183"/>
      <c r="AG211" s="35">
        <f t="shared" si="29"/>
        <v>0</v>
      </c>
      <c r="AH211" s="188" t="str">
        <f t="shared" si="30"/>
        <v/>
      </c>
      <c r="AI211" s="188" t="str">
        <f t="shared" si="31"/>
        <v/>
      </c>
      <c r="AK211" s="188">
        <v>202</v>
      </c>
      <c r="AM211" s="188" t="str">
        <f t="array" ref="AM211">IFERROR(INDEX($AK$10:$AK$258, MATCH(0, IF(TRUE=$AH$10:$AH$258, COUNTIF($AM$9:$AM210, $AK$10:$AK$258), ""), 0)),"")</f>
        <v/>
      </c>
      <c r="AN211" s="188" t="str">
        <f t="array" ref="AN211">IFERROR(INDEX($AK$10:$AK$258, MATCH(0, IF(TRUE=$AI$10:$AI$258, COUNTIF($AN$9:$AN210, $AK$10:$AK$258), ""), 0)),"")</f>
        <v/>
      </c>
      <c r="AP211" s="35" t="str">
        <f>IFERROR(INDEX('G-7 Rivers Data'!$AZ$3:$AZ$7,MATCH(D211,'G-7 Rivers Data'!$AY$3:$AY$7,0)),"")</f>
        <v/>
      </c>
    </row>
    <row r="212" spans="3:42" ht="13.8" x14ac:dyDescent="0.25">
      <c r="C212" s="168">
        <v>203</v>
      </c>
      <c r="D212" s="212"/>
      <c r="E212" s="213"/>
      <c r="F212" s="171" t="str">
        <f>IF(D212="","",VLOOKUP(D212,'G-7 Rivers Data'!$B$2:$G$8,2,FALSE))</f>
        <v/>
      </c>
      <c r="G212" s="172" t="str">
        <f>IFERROR(VLOOKUP(F212,'G-7 Rivers Data'!$C$4:$D$8,2,FALSE),"")</f>
        <v/>
      </c>
      <c r="H212" s="173"/>
      <c r="I212" s="172" t="str">
        <f>IFERROR(INDEX('G-7 Rivers Data'!$H$4:$L$8,MATCH(D212,'G-7 Rivers Data'!$B$4:$B$8,0),MATCH(H212,'G-7 Rivers Data'!$H$3:$L$3,0)),"")</f>
        <v/>
      </c>
      <c r="J212" s="173"/>
      <c r="K212" s="172" t="str">
        <f>IF(J212="","",IF(VLOOKUP(J212,'G-7 Rivers Data'!$AK$4:$AM$9,2,FALSE)=0,"Spatial Data Missing",VLOOKUP(J212,'G-7 Rivers Data'!$AK$4:$AM$9,2,FALSE)))</f>
        <v/>
      </c>
      <c r="L212" s="172" t="str">
        <f>IF(J212="","",IF(VLOOKUP(J212,'G-7 Rivers Data'!$AK$4:$AM$9,3,FALSE)=0,"Spatial Data Missing",VLOOKUP(J212,'G-7 Rivers Data'!$AK$4:$AM$9,3,FALSE)))</f>
        <v/>
      </c>
      <c r="M212" s="79"/>
      <c r="N212" s="172" t="str">
        <f>IF(M212="","",IF(VLOOKUP(M212,'G-7 Rivers Data'!$AA$4:$AB$7,2,FALSE)=0,"Spatial Data Missing",VLOOKUP(M212,'G-7 Rivers Data'!$AA$4:$AB$7,2,FALSE)))</f>
        <v/>
      </c>
      <c r="O212" s="187"/>
      <c r="P212" s="172" t="str">
        <f>IF(O212="","",IF(VLOOKUP(O212,'G-7 Rivers Data'!$AD$4:$AE$8,2,FALSE)=0,"Spatial Data Missing",VLOOKUP(O212,'G-7 Rivers Data'!$AD$4:$AE$8,2,FALSE)))</f>
        <v/>
      </c>
      <c r="Q212" s="177" t="str">
        <f>IF(D212="","",VLOOKUP(D212,'G-7 Rivers Data'!$B$2:$G$8,6,FALSE))</f>
        <v/>
      </c>
      <c r="R212" s="207" t="str">
        <f t="shared" si="24"/>
        <v/>
      </c>
      <c r="S212" s="44"/>
      <c r="T212" s="173"/>
      <c r="U212" s="189"/>
      <c r="V212" s="208" t="str">
        <f t="shared" si="25"/>
        <v/>
      </c>
      <c r="W212" s="208" t="str">
        <f t="shared" si="26"/>
        <v/>
      </c>
      <c r="X212" s="208" t="str">
        <f t="shared" si="27"/>
        <v/>
      </c>
      <c r="Y212" s="209" t="str">
        <f t="shared" si="28"/>
        <v/>
      </c>
      <c r="Z212" s="182"/>
      <c r="AA212" s="183"/>
      <c r="AG212" s="35">
        <f t="shared" si="29"/>
        <v>0</v>
      </c>
      <c r="AH212" s="188" t="str">
        <f t="shared" si="30"/>
        <v/>
      </c>
      <c r="AI212" s="188" t="str">
        <f t="shared" si="31"/>
        <v/>
      </c>
      <c r="AK212" s="188">
        <v>203</v>
      </c>
      <c r="AM212" s="188" t="str">
        <f t="array" ref="AM212">IFERROR(INDEX($AK$10:$AK$258, MATCH(0, IF(TRUE=$AH$10:$AH$258, COUNTIF($AM$9:$AM211, $AK$10:$AK$258), ""), 0)),"")</f>
        <v/>
      </c>
      <c r="AN212" s="188" t="str">
        <f t="array" ref="AN212">IFERROR(INDEX($AK$10:$AK$258, MATCH(0, IF(TRUE=$AI$10:$AI$258, COUNTIF($AN$9:$AN211, $AK$10:$AK$258), ""), 0)),"")</f>
        <v/>
      </c>
      <c r="AP212" s="35" t="str">
        <f>IFERROR(INDEX('G-7 Rivers Data'!$AZ$3:$AZ$7,MATCH(D212,'G-7 Rivers Data'!$AY$3:$AY$7,0)),"")</f>
        <v/>
      </c>
    </row>
    <row r="213" spans="3:42" ht="13.8" x14ac:dyDescent="0.25">
      <c r="C213" s="168">
        <v>204</v>
      </c>
      <c r="D213" s="212"/>
      <c r="E213" s="213"/>
      <c r="F213" s="171" t="str">
        <f>IF(D213="","",VLOOKUP(D213,'G-7 Rivers Data'!$B$2:$G$8,2,FALSE))</f>
        <v/>
      </c>
      <c r="G213" s="172" t="str">
        <f>IFERROR(VLOOKUP(F213,'G-7 Rivers Data'!$C$4:$D$8,2,FALSE),"")</f>
        <v/>
      </c>
      <c r="H213" s="173"/>
      <c r="I213" s="172" t="str">
        <f>IFERROR(INDEX('G-7 Rivers Data'!$H$4:$L$8,MATCH(D213,'G-7 Rivers Data'!$B$4:$B$8,0),MATCH(H213,'G-7 Rivers Data'!$H$3:$L$3,0)),"")</f>
        <v/>
      </c>
      <c r="J213" s="173"/>
      <c r="K213" s="172" t="str">
        <f>IF(J213="","",IF(VLOOKUP(J213,'G-7 Rivers Data'!$AK$4:$AM$9,2,FALSE)=0,"Spatial Data Missing",VLOOKUP(J213,'G-7 Rivers Data'!$AK$4:$AM$9,2,FALSE)))</f>
        <v/>
      </c>
      <c r="L213" s="172" t="str">
        <f>IF(J213="","",IF(VLOOKUP(J213,'G-7 Rivers Data'!$AK$4:$AM$9,3,FALSE)=0,"Spatial Data Missing",VLOOKUP(J213,'G-7 Rivers Data'!$AK$4:$AM$9,3,FALSE)))</f>
        <v/>
      </c>
      <c r="M213" s="79"/>
      <c r="N213" s="172" t="str">
        <f>IF(M213="","",IF(VLOOKUP(M213,'G-7 Rivers Data'!$AA$4:$AB$7,2,FALSE)=0,"Spatial Data Missing",VLOOKUP(M213,'G-7 Rivers Data'!$AA$4:$AB$7,2,FALSE)))</f>
        <v/>
      </c>
      <c r="O213" s="187"/>
      <c r="P213" s="172" t="str">
        <f>IF(O213="","",IF(VLOOKUP(O213,'G-7 Rivers Data'!$AD$4:$AE$8,2,FALSE)=0,"Spatial Data Missing",VLOOKUP(O213,'G-7 Rivers Data'!$AD$4:$AE$8,2,FALSE)))</f>
        <v/>
      </c>
      <c r="Q213" s="177" t="str">
        <f>IF(D213="","",VLOOKUP(D213,'G-7 Rivers Data'!$B$2:$G$8,6,FALSE))</f>
        <v/>
      </c>
      <c r="R213" s="207" t="str">
        <f t="shared" si="24"/>
        <v/>
      </c>
      <c r="S213" s="44"/>
      <c r="T213" s="173"/>
      <c r="U213" s="189"/>
      <c r="V213" s="208" t="str">
        <f t="shared" si="25"/>
        <v/>
      </c>
      <c r="W213" s="208" t="str">
        <f t="shared" si="26"/>
        <v/>
      </c>
      <c r="X213" s="208" t="str">
        <f t="shared" si="27"/>
        <v/>
      </c>
      <c r="Y213" s="209" t="str">
        <f t="shared" si="28"/>
        <v/>
      </c>
      <c r="Z213" s="182"/>
      <c r="AA213" s="183"/>
      <c r="AG213" s="35">
        <f t="shared" si="29"/>
        <v>0</v>
      </c>
      <c r="AH213" s="188" t="str">
        <f t="shared" si="30"/>
        <v/>
      </c>
      <c r="AI213" s="188" t="str">
        <f t="shared" si="31"/>
        <v/>
      </c>
      <c r="AK213" s="188">
        <v>204</v>
      </c>
      <c r="AM213" s="188" t="str">
        <f t="array" ref="AM213">IFERROR(INDEX($AK$10:$AK$258, MATCH(0, IF(TRUE=$AH$10:$AH$258, COUNTIF($AM$9:$AM212, $AK$10:$AK$258), ""), 0)),"")</f>
        <v/>
      </c>
      <c r="AN213" s="188" t="str">
        <f t="array" ref="AN213">IFERROR(INDEX($AK$10:$AK$258, MATCH(0, IF(TRUE=$AI$10:$AI$258, COUNTIF($AN$9:$AN212, $AK$10:$AK$258), ""), 0)),"")</f>
        <v/>
      </c>
      <c r="AP213" s="35" t="str">
        <f>IFERROR(INDEX('G-7 Rivers Data'!$AZ$3:$AZ$7,MATCH(D213,'G-7 Rivers Data'!$AY$3:$AY$7,0)),"")</f>
        <v/>
      </c>
    </row>
    <row r="214" spans="3:42" ht="13.8" x14ac:dyDescent="0.25">
      <c r="C214" s="168">
        <v>205</v>
      </c>
      <c r="D214" s="212"/>
      <c r="E214" s="213"/>
      <c r="F214" s="171" t="str">
        <f>IF(D214="","",VLOOKUP(D214,'G-7 Rivers Data'!$B$2:$G$8,2,FALSE))</f>
        <v/>
      </c>
      <c r="G214" s="172" t="str">
        <f>IFERROR(VLOOKUP(F214,'G-7 Rivers Data'!$C$4:$D$8,2,FALSE),"")</f>
        <v/>
      </c>
      <c r="H214" s="173"/>
      <c r="I214" s="172" t="str">
        <f>IFERROR(INDEX('G-7 Rivers Data'!$H$4:$L$8,MATCH(D214,'G-7 Rivers Data'!$B$4:$B$8,0),MATCH(H214,'G-7 Rivers Data'!$H$3:$L$3,0)),"")</f>
        <v/>
      </c>
      <c r="J214" s="173"/>
      <c r="K214" s="172" t="str">
        <f>IF(J214="","",IF(VLOOKUP(J214,'G-7 Rivers Data'!$AK$4:$AM$9,2,FALSE)=0,"Spatial Data Missing",VLOOKUP(J214,'G-7 Rivers Data'!$AK$4:$AM$9,2,FALSE)))</f>
        <v/>
      </c>
      <c r="L214" s="172" t="str">
        <f>IF(J214="","",IF(VLOOKUP(J214,'G-7 Rivers Data'!$AK$4:$AM$9,3,FALSE)=0,"Spatial Data Missing",VLOOKUP(J214,'G-7 Rivers Data'!$AK$4:$AM$9,3,FALSE)))</f>
        <v/>
      </c>
      <c r="M214" s="79"/>
      <c r="N214" s="172" t="str">
        <f>IF(M214="","",IF(VLOOKUP(M214,'G-7 Rivers Data'!$AA$4:$AB$7,2,FALSE)=0,"Spatial Data Missing",VLOOKUP(M214,'G-7 Rivers Data'!$AA$4:$AB$7,2,FALSE)))</f>
        <v/>
      </c>
      <c r="O214" s="187"/>
      <c r="P214" s="172" t="str">
        <f>IF(O214="","",IF(VLOOKUP(O214,'G-7 Rivers Data'!$AD$4:$AE$8,2,FALSE)=0,"Spatial Data Missing",VLOOKUP(O214,'G-7 Rivers Data'!$AD$4:$AE$8,2,FALSE)))</f>
        <v/>
      </c>
      <c r="Q214" s="177" t="str">
        <f>IF(D214="","",VLOOKUP(D214,'G-7 Rivers Data'!$B$2:$G$8,6,FALSE))</f>
        <v/>
      </c>
      <c r="R214" s="207" t="str">
        <f t="shared" si="24"/>
        <v/>
      </c>
      <c r="S214" s="44"/>
      <c r="T214" s="173"/>
      <c r="U214" s="189"/>
      <c r="V214" s="208" t="str">
        <f t="shared" si="25"/>
        <v/>
      </c>
      <c r="W214" s="208" t="str">
        <f t="shared" si="26"/>
        <v/>
      </c>
      <c r="X214" s="208" t="str">
        <f t="shared" si="27"/>
        <v/>
      </c>
      <c r="Y214" s="209" t="str">
        <f t="shared" si="28"/>
        <v/>
      </c>
      <c r="Z214" s="182"/>
      <c r="AA214" s="183"/>
      <c r="AG214" s="35">
        <f t="shared" si="29"/>
        <v>0</v>
      </c>
      <c r="AH214" s="188" t="str">
        <f t="shared" si="30"/>
        <v/>
      </c>
      <c r="AI214" s="188" t="str">
        <f t="shared" si="31"/>
        <v/>
      </c>
      <c r="AK214" s="188">
        <v>205</v>
      </c>
      <c r="AM214" s="188" t="str">
        <f t="array" ref="AM214">IFERROR(INDEX($AK$10:$AK$258, MATCH(0, IF(TRUE=$AH$10:$AH$258, COUNTIF($AM$9:$AM213, $AK$10:$AK$258), ""), 0)),"")</f>
        <v/>
      </c>
      <c r="AN214" s="188" t="str">
        <f t="array" ref="AN214">IFERROR(INDEX($AK$10:$AK$258, MATCH(0, IF(TRUE=$AI$10:$AI$258, COUNTIF($AN$9:$AN213, $AK$10:$AK$258), ""), 0)),"")</f>
        <v/>
      </c>
      <c r="AP214" s="35" t="str">
        <f>IFERROR(INDEX('G-7 Rivers Data'!$AZ$3:$AZ$7,MATCH(D214,'G-7 Rivers Data'!$AY$3:$AY$7,0)),"")</f>
        <v/>
      </c>
    </row>
    <row r="215" spans="3:42" ht="13.8" x14ac:dyDescent="0.25">
      <c r="C215" s="168">
        <v>206</v>
      </c>
      <c r="D215" s="212"/>
      <c r="E215" s="213"/>
      <c r="F215" s="171" t="str">
        <f>IF(D215="","",VLOOKUP(D215,'G-7 Rivers Data'!$B$2:$G$8,2,FALSE))</f>
        <v/>
      </c>
      <c r="G215" s="172" t="str">
        <f>IFERROR(VLOOKUP(F215,'G-7 Rivers Data'!$C$4:$D$8,2,FALSE),"")</f>
        <v/>
      </c>
      <c r="H215" s="173"/>
      <c r="I215" s="172" t="str">
        <f>IFERROR(INDEX('G-7 Rivers Data'!$H$4:$L$8,MATCH(D215,'G-7 Rivers Data'!$B$4:$B$8,0),MATCH(H215,'G-7 Rivers Data'!$H$3:$L$3,0)),"")</f>
        <v/>
      </c>
      <c r="J215" s="173"/>
      <c r="K215" s="172" t="str">
        <f>IF(J215="","",IF(VLOOKUP(J215,'G-7 Rivers Data'!$AK$4:$AM$9,2,FALSE)=0,"Spatial Data Missing",VLOOKUP(J215,'G-7 Rivers Data'!$AK$4:$AM$9,2,FALSE)))</f>
        <v/>
      </c>
      <c r="L215" s="172" t="str">
        <f>IF(J215="","",IF(VLOOKUP(J215,'G-7 Rivers Data'!$AK$4:$AM$9,3,FALSE)=0,"Spatial Data Missing",VLOOKUP(J215,'G-7 Rivers Data'!$AK$4:$AM$9,3,FALSE)))</f>
        <v/>
      </c>
      <c r="M215" s="79"/>
      <c r="N215" s="172" t="str">
        <f>IF(M215="","",IF(VLOOKUP(M215,'G-7 Rivers Data'!$AA$4:$AB$7,2,FALSE)=0,"Spatial Data Missing",VLOOKUP(M215,'G-7 Rivers Data'!$AA$4:$AB$7,2,FALSE)))</f>
        <v/>
      </c>
      <c r="O215" s="187"/>
      <c r="P215" s="172" t="str">
        <f>IF(O215="","",IF(VLOOKUP(O215,'G-7 Rivers Data'!$AD$4:$AE$8,2,FALSE)=0,"Spatial Data Missing",VLOOKUP(O215,'G-7 Rivers Data'!$AD$4:$AE$8,2,FALSE)))</f>
        <v/>
      </c>
      <c r="Q215" s="177" t="str">
        <f>IF(D215="","",VLOOKUP(D215,'G-7 Rivers Data'!$B$2:$G$8,6,FALSE))</f>
        <v/>
      </c>
      <c r="R215" s="207" t="str">
        <f t="shared" si="24"/>
        <v/>
      </c>
      <c r="S215" s="44"/>
      <c r="T215" s="173"/>
      <c r="U215" s="189"/>
      <c r="V215" s="208" t="str">
        <f t="shared" si="25"/>
        <v/>
      </c>
      <c r="W215" s="208" t="str">
        <f t="shared" si="26"/>
        <v/>
      </c>
      <c r="X215" s="208" t="str">
        <f t="shared" si="27"/>
        <v/>
      </c>
      <c r="Y215" s="209" t="str">
        <f t="shared" si="28"/>
        <v/>
      </c>
      <c r="Z215" s="182"/>
      <c r="AA215" s="183"/>
      <c r="AG215" s="35">
        <f t="shared" si="29"/>
        <v>0</v>
      </c>
      <c r="AH215" s="188" t="str">
        <f t="shared" si="30"/>
        <v/>
      </c>
      <c r="AI215" s="188" t="str">
        <f t="shared" si="31"/>
        <v/>
      </c>
      <c r="AK215" s="188">
        <v>206</v>
      </c>
      <c r="AM215" s="188" t="str">
        <f t="array" ref="AM215">IFERROR(INDEX($AK$10:$AK$258, MATCH(0, IF(TRUE=$AH$10:$AH$258, COUNTIF($AM$9:$AM214, $AK$10:$AK$258), ""), 0)),"")</f>
        <v/>
      </c>
      <c r="AN215" s="188" t="str">
        <f t="array" ref="AN215">IFERROR(INDEX($AK$10:$AK$258, MATCH(0, IF(TRUE=$AI$10:$AI$258, COUNTIF($AN$9:$AN214, $AK$10:$AK$258), ""), 0)),"")</f>
        <v/>
      </c>
      <c r="AP215" s="35" t="str">
        <f>IFERROR(INDEX('G-7 Rivers Data'!$AZ$3:$AZ$7,MATCH(D215,'G-7 Rivers Data'!$AY$3:$AY$7,0)),"")</f>
        <v/>
      </c>
    </row>
    <row r="216" spans="3:42" ht="13.8" x14ac:dyDescent="0.25">
      <c r="C216" s="168">
        <v>207</v>
      </c>
      <c r="D216" s="212"/>
      <c r="E216" s="213"/>
      <c r="F216" s="171" t="str">
        <f>IF(D216="","",VLOOKUP(D216,'G-7 Rivers Data'!$B$2:$G$8,2,FALSE))</f>
        <v/>
      </c>
      <c r="G216" s="172" t="str">
        <f>IFERROR(VLOOKUP(F216,'G-7 Rivers Data'!$C$4:$D$8,2,FALSE),"")</f>
        <v/>
      </c>
      <c r="H216" s="173"/>
      <c r="I216" s="172" t="str">
        <f>IFERROR(INDEX('G-7 Rivers Data'!$H$4:$L$8,MATCH(D216,'G-7 Rivers Data'!$B$4:$B$8,0),MATCH(H216,'G-7 Rivers Data'!$H$3:$L$3,0)),"")</f>
        <v/>
      </c>
      <c r="J216" s="173"/>
      <c r="K216" s="172" t="str">
        <f>IF(J216="","",IF(VLOOKUP(J216,'G-7 Rivers Data'!$AK$4:$AM$9,2,FALSE)=0,"Spatial Data Missing",VLOOKUP(J216,'G-7 Rivers Data'!$AK$4:$AM$9,2,FALSE)))</f>
        <v/>
      </c>
      <c r="L216" s="172" t="str">
        <f>IF(J216="","",IF(VLOOKUP(J216,'G-7 Rivers Data'!$AK$4:$AM$9,3,FALSE)=0,"Spatial Data Missing",VLOOKUP(J216,'G-7 Rivers Data'!$AK$4:$AM$9,3,FALSE)))</f>
        <v/>
      </c>
      <c r="M216" s="79"/>
      <c r="N216" s="172" t="str">
        <f>IF(M216="","",IF(VLOOKUP(M216,'G-7 Rivers Data'!$AA$4:$AB$7,2,FALSE)=0,"Spatial Data Missing",VLOOKUP(M216,'G-7 Rivers Data'!$AA$4:$AB$7,2,FALSE)))</f>
        <v/>
      </c>
      <c r="O216" s="187"/>
      <c r="P216" s="172" t="str">
        <f>IF(O216="","",IF(VLOOKUP(O216,'G-7 Rivers Data'!$AD$4:$AE$8,2,FALSE)=0,"Spatial Data Missing",VLOOKUP(O216,'G-7 Rivers Data'!$AD$4:$AE$8,2,FALSE)))</f>
        <v/>
      </c>
      <c r="Q216" s="177" t="str">
        <f>IF(D216="","",VLOOKUP(D216,'G-7 Rivers Data'!$B$2:$G$8,6,FALSE))</f>
        <v/>
      </c>
      <c r="R216" s="207" t="str">
        <f t="shared" si="24"/>
        <v/>
      </c>
      <c r="S216" s="44"/>
      <c r="T216" s="173"/>
      <c r="U216" s="189"/>
      <c r="V216" s="208" t="str">
        <f t="shared" si="25"/>
        <v/>
      </c>
      <c r="W216" s="208" t="str">
        <f t="shared" si="26"/>
        <v/>
      </c>
      <c r="X216" s="208" t="str">
        <f t="shared" si="27"/>
        <v/>
      </c>
      <c r="Y216" s="209" t="str">
        <f t="shared" si="28"/>
        <v/>
      </c>
      <c r="Z216" s="182"/>
      <c r="AA216" s="183"/>
      <c r="AG216" s="35">
        <f t="shared" si="29"/>
        <v>0</v>
      </c>
      <c r="AH216" s="188" t="str">
        <f t="shared" si="30"/>
        <v/>
      </c>
      <c r="AI216" s="188" t="str">
        <f t="shared" si="31"/>
        <v/>
      </c>
      <c r="AK216" s="188">
        <v>207</v>
      </c>
      <c r="AM216" s="188" t="str">
        <f t="array" ref="AM216">IFERROR(INDEX($AK$10:$AK$258, MATCH(0, IF(TRUE=$AH$10:$AH$258, COUNTIF($AM$9:$AM215, $AK$10:$AK$258), ""), 0)),"")</f>
        <v/>
      </c>
      <c r="AN216" s="188" t="str">
        <f t="array" ref="AN216">IFERROR(INDEX($AK$10:$AK$258, MATCH(0, IF(TRUE=$AI$10:$AI$258, COUNTIF($AN$9:$AN215, $AK$10:$AK$258), ""), 0)),"")</f>
        <v/>
      </c>
      <c r="AP216" s="35" t="str">
        <f>IFERROR(INDEX('G-7 Rivers Data'!$AZ$3:$AZ$7,MATCH(D216,'G-7 Rivers Data'!$AY$3:$AY$7,0)),"")</f>
        <v/>
      </c>
    </row>
    <row r="217" spans="3:42" ht="13.8" x14ac:dyDescent="0.25">
      <c r="C217" s="168">
        <v>208</v>
      </c>
      <c r="D217" s="212"/>
      <c r="E217" s="213"/>
      <c r="F217" s="171" t="str">
        <f>IF(D217="","",VLOOKUP(D217,'G-7 Rivers Data'!$B$2:$G$8,2,FALSE))</f>
        <v/>
      </c>
      <c r="G217" s="172" t="str">
        <f>IFERROR(VLOOKUP(F217,'G-7 Rivers Data'!$C$4:$D$8,2,FALSE),"")</f>
        <v/>
      </c>
      <c r="H217" s="173"/>
      <c r="I217" s="172" t="str">
        <f>IFERROR(INDEX('G-7 Rivers Data'!$H$4:$L$8,MATCH(D217,'G-7 Rivers Data'!$B$4:$B$8,0),MATCH(H217,'G-7 Rivers Data'!$H$3:$L$3,0)),"")</f>
        <v/>
      </c>
      <c r="J217" s="173"/>
      <c r="K217" s="172" t="str">
        <f>IF(J217="","",IF(VLOOKUP(J217,'G-7 Rivers Data'!$AK$4:$AM$9,2,FALSE)=0,"Spatial Data Missing",VLOOKUP(J217,'G-7 Rivers Data'!$AK$4:$AM$9,2,FALSE)))</f>
        <v/>
      </c>
      <c r="L217" s="172" t="str">
        <f>IF(J217="","",IF(VLOOKUP(J217,'G-7 Rivers Data'!$AK$4:$AM$9,3,FALSE)=0,"Spatial Data Missing",VLOOKUP(J217,'G-7 Rivers Data'!$AK$4:$AM$9,3,FALSE)))</f>
        <v/>
      </c>
      <c r="M217" s="79"/>
      <c r="N217" s="172" t="str">
        <f>IF(M217="","",IF(VLOOKUP(M217,'G-7 Rivers Data'!$AA$4:$AB$7,2,FALSE)=0,"Spatial Data Missing",VLOOKUP(M217,'G-7 Rivers Data'!$AA$4:$AB$7,2,FALSE)))</f>
        <v/>
      </c>
      <c r="O217" s="187"/>
      <c r="P217" s="172" t="str">
        <f>IF(O217="","",IF(VLOOKUP(O217,'G-7 Rivers Data'!$AD$4:$AE$8,2,FALSE)=0,"Spatial Data Missing",VLOOKUP(O217,'G-7 Rivers Data'!$AD$4:$AE$8,2,FALSE)))</f>
        <v/>
      </c>
      <c r="Q217" s="177" t="str">
        <f>IF(D217="","",VLOOKUP(D217,'G-7 Rivers Data'!$B$2:$G$8,6,FALSE))</f>
        <v/>
      </c>
      <c r="R217" s="207" t="str">
        <f t="shared" si="24"/>
        <v/>
      </c>
      <c r="S217" s="44"/>
      <c r="T217" s="173"/>
      <c r="U217" s="189"/>
      <c r="V217" s="208" t="str">
        <f t="shared" si="25"/>
        <v/>
      </c>
      <c r="W217" s="208" t="str">
        <f t="shared" si="26"/>
        <v/>
      </c>
      <c r="X217" s="208" t="str">
        <f t="shared" si="27"/>
        <v/>
      </c>
      <c r="Y217" s="209" t="str">
        <f t="shared" si="28"/>
        <v/>
      </c>
      <c r="Z217" s="182"/>
      <c r="AA217" s="183"/>
      <c r="AG217" s="35">
        <f t="shared" si="29"/>
        <v>0</v>
      </c>
      <c r="AH217" s="188" t="str">
        <f t="shared" si="30"/>
        <v/>
      </c>
      <c r="AI217" s="188" t="str">
        <f t="shared" si="31"/>
        <v/>
      </c>
      <c r="AK217" s="188">
        <v>208</v>
      </c>
      <c r="AM217" s="188" t="str">
        <f t="array" ref="AM217">IFERROR(INDEX($AK$10:$AK$258, MATCH(0, IF(TRUE=$AH$10:$AH$258, COUNTIF($AM$9:$AM216, $AK$10:$AK$258), ""), 0)),"")</f>
        <v/>
      </c>
      <c r="AN217" s="188" t="str">
        <f t="array" ref="AN217">IFERROR(INDEX($AK$10:$AK$258, MATCH(0, IF(TRUE=$AI$10:$AI$258, COUNTIF($AN$9:$AN216, $AK$10:$AK$258), ""), 0)),"")</f>
        <v/>
      </c>
      <c r="AP217" s="35" t="str">
        <f>IFERROR(INDEX('G-7 Rivers Data'!$AZ$3:$AZ$7,MATCH(D217,'G-7 Rivers Data'!$AY$3:$AY$7,0)),"")</f>
        <v/>
      </c>
    </row>
    <row r="218" spans="3:42" ht="13.8" x14ac:dyDescent="0.25">
      <c r="C218" s="168">
        <v>209</v>
      </c>
      <c r="D218" s="212"/>
      <c r="E218" s="213"/>
      <c r="F218" s="171" t="str">
        <f>IF(D218="","",VLOOKUP(D218,'G-7 Rivers Data'!$B$2:$G$8,2,FALSE))</f>
        <v/>
      </c>
      <c r="G218" s="172" t="str">
        <f>IFERROR(VLOOKUP(F218,'G-7 Rivers Data'!$C$4:$D$8,2,FALSE),"")</f>
        <v/>
      </c>
      <c r="H218" s="173"/>
      <c r="I218" s="172" t="str">
        <f>IFERROR(INDEX('G-7 Rivers Data'!$H$4:$L$8,MATCH(D218,'G-7 Rivers Data'!$B$4:$B$8,0),MATCH(H218,'G-7 Rivers Data'!$H$3:$L$3,0)),"")</f>
        <v/>
      </c>
      <c r="J218" s="173"/>
      <c r="K218" s="172" t="str">
        <f>IF(J218="","",IF(VLOOKUP(J218,'G-7 Rivers Data'!$AK$4:$AM$9,2,FALSE)=0,"Spatial Data Missing",VLOOKUP(J218,'G-7 Rivers Data'!$AK$4:$AM$9,2,FALSE)))</f>
        <v/>
      </c>
      <c r="L218" s="172" t="str">
        <f>IF(J218="","",IF(VLOOKUP(J218,'G-7 Rivers Data'!$AK$4:$AM$9,3,FALSE)=0,"Spatial Data Missing",VLOOKUP(J218,'G-7 Rivers Data'!$AK$4:$AM$9,3,FALSE)))</f>
        <v/>
      </c>
      <c r="M218" s="79"/>
      <c r="N218" s="172" t="str">
        <f>IF(M218="","",IF(VLOOKUP(M218,'G-7 Rivers Data'!$AA$4:$AB$7,2,FALSE)=0,"Spatial Data Missing",VLOOKUP(M218,'G-7 Rivers Data'!$AA$4:$AB$7,2,FALSE)))</f>
        <v/>
      </c>
      <c r="O218" s="187"/>
      <c r="P218" s="172" t="str">
        <f>IF(O218="","",IF(VLOOKUP(O218,'G-7 Rivers Data'!$AD$4:$AE$8,2,FALSE)=0,"Spatial Data Missing",VLOOKUP(O218,'G-7 Rivers Data'!$AD$4:$AE$8,2,FALSE)))</f>
        <v/>
      </c>
      <c r="Q218" s="177" t="str">
        <f>IF(D218="","",VLOOKUP(D218,'G-7 Rivers Data'!$B$2:$G$8,6,FALSE))</f>
        <v/>
      </c>
      <c r="R218" s="207" t="str">
        <f t="shared" si="24"/>
        <v/>
      </c>
      <c r="S218" s="44"/>
      <c r="T218" s="173"/>
      <c r="U218" s="189"/>
      <c r="V218" s="208" t="str">
        <f t="shared" si="25"/>
        <v/>
      </c>
      <c r="W218" s="208" t="str">
        <f t="shared" si="26"/>
        <v/>
      </c>
      <c r="X218" s="208" t="str">
        <f t="shared" si="27"/>
        <v/>
      </c>
      <c r="Y218" s="209" t="str">
        <f t="shared" si="28"/>
        <v/>
      </c>
      <c r="Z218" s="182"/>
      <c r="AA218" s="183"/>
      <c r="AG218" s="35">
        <f t="shared" si="29"/>
        <v>0</v>
      </c>
      <c r="AH218" s="188" t="str">
        <f t="shared" si="30"/>
        <v/>
      </c>
      <c r="AI218" s="188" t="str">
        <f t="shared" si="31"/>
        <v/>
      </c>
      <c r="AK218" s="188">
        <v>209</v>
      </c>
      <c r="AM218" s="188" t="str">
        <f t="array" ref="AM218">IFERROR(INDEX($AK$10:$AK$258, MATCH(0, IF(TRUE=$AH$10:$AH$258, COUNTIF($AM$9:$AM217, $AK$10:$AK$258), ""), 0)),"")</f>
        <v/>
      </c>
      <c r="AN218" s="188" t="str">
        <f t="array" ref="AN218">IFERROR(INDEX($AK$10:$AK$258, MATCH(0, IF(TRUE=$AI$10:$AI$258, COUNTIF($AN$9:$AN217, $AK$10:$AK$258), ""), 0)),"")</f>
        <v/>
      </c>
      <c r="AP218" s="35" t="str">
        <f>IFERROR(INDEX('G-7 Rivers Data'!$AZ$3:$AZ$7,MATCH(D218,'G-7 Rivers Data'!$AY$3:$AY$7,0)),"")</f>
        <v/>
      </c>
    </row>
    <row r="219" spans="3:42" ht="13.8" x14ac:dyDescent="0.25">
      <c r="C219" s="168">
        <v>210</v>
      </c>
      <c r="D219" s="212"/>
      <c r="E219" s="213"/>
      <c r="F219" s="171" t="str">
        <f>IF(D219="","",VLOOKUP(D219,'G-7 Rivers Data'!$B$2:$G$8,2,FALSE))</f>
        <v/>
      </c>
      <c r="G219" s="172" t="str">
        <f>IFERROR(VLOOKUP(F219,'G-7 Rivers Data'!$C$4:$D$8,2,FALSE),"")</f>
        <v/>
      </c>
      <c r="H219" s="173"/>
      <c r="I219" s="172" t="str">
        <f>IFERROR(INDEX('G-7 Rivers Data'!$H$4:$L$8,MATCH(D219,'G-7 Rivers Data'!$B$4:$B$8,0),MATCH(H219,'G-7 Rivers Data'!$H$3:$L$3,0)),"")</f>
        <v/>
      </c>
      <c r="J219" s="173"/>
      <c r="K219" s="172" t="str">
        <f>IF(J219="","",IF(VLOOKUP(J219,'G-7 Rivers Data'!$AK$4:$AM$9,2,FALSE)=0,"Spatial Data Missing",VLOOKUP(J219,'G-7 Rivers Data'!$AK$4:$AM$9,2,FALSE)))</f>
        <v/>
      </c>
      <c r="L219" s="172" t="str">
        <f>IF(J219="","",IF(VLOOKUP(J219,'G-7 Rivers Data'!$AK$4:$AM$9,3,FALSE)=0,"Spatial Data Missing",VLOOKUP(J219,'G-7 Rivers Data'!$AK$4:$AM$9,3,FALSE)))</f>
        <v/>
      </c>
      <c r="M219" s="79"/>
      <c r="N219" s="172" t="str">
        <f>IF(M219="","",IF(VLOOKUP(M219,'G-7 Rivers Data'!$AA$4:$AB$7,2,FALSE)=0,"Spatial Data Missing",VLOOKUP(M219,'G-7 Rivers Data'!$AA$4:$AB$7,2,FALSE)))</f>
        <v/>
      </c>
      <c r="O219" s="187"/>
      <c r="P219" s="172" t="str">
        <f>IF(O219="","",IF(VLOOKUP(O219,'G-7 Rivers Data'!$AD$4:$AE$8,2,FALSE)=0,"Spatial Data Missing",VLOOKUP(O219,'G-7 Rivers Data'!$AD$4:$AE$8,2,FALSE)))</f>
        <v/>
      </c>
      <c r="Q219" s="177" t="str">
        <f>IF(D219="","",VLOOKUP(D219,'G-7 Rivers Data'!$B$2:$G$8,6,FALSE))</f>
        <v/>
      </c>
      <c r="R219" s="207" t="str">
        <f t="shared" si="24"/>
        <v/>
      </c>
      <c r="S219" s="44"/>
      <c r="T219" s="173"/>
      <c r="U219" s="189"/>
      <c r="V219" s="208" t="str">
        <f t="shared" si="25"/>
        <v/>
      </c>
      <c r="W219" s="208" t="str">
        <f t="shared" si="26"/>
        <v/>
      </c>
      <c r="X219" s="208" t="str">
        <f t="shared" si="27"/>
        <v/>
      </c>
      <c r="Y219" s="209" t="str">
        <f t="shared" si="28"/>
        <v/>
      </c>
      <c r="Z219" s="182"/>
      <c r="AA219" s="183"/>
      <c r="AG219" s="35">
        <f t="shared" si="29"/>
        <v>0</v>
      </c>
      <c r="AH219" s="188" t="str">
        <f t="shared" si="30"/>
        <v/>
      </c>
      <c r="AI219" s="188" t="str">
        <f t="shared" si="31"/>
        <v/>
      </c>
      <c r="AK219" s="188">
        <v>210</v>
      </c>
      <c r="AM219" s="188" t="str">
        <f t="array" ref="AM219">IFERROR(INDEX($AK$10:$AK$258, MATCH(0, IF(TRUE=$AH$10:$AH$258, COUNTIF($AM$9:$AM218, $AK$10:$AK$258), ""), 0)),"")</f>
        <v/>
      </c>
      <c r="AN219" s="188" t="str">
        <f t="array" ref="AN219">IFERROR(INDEX($AK$10:$AK$258, MATCH(0, IF(TRUE=$AI$10:$AI$258, COUNTIF($AN$9:$AN218, $AK$10:$AK$258), ""), 0)),"")</f>
        <v/>
      </c>
      <c r="AP219" s="35" t="str">
        <f>IFERROR(INDEX('G-7 Rivers Data'!$AZ$3:$AZ$7,MATCH(D219,'G-7 Rivers Data'!$AY$3:$AY$7,0)),"")</f>
        <v/>
      </c>
    </row>
    <row r="220" spans="3:42" ht="13.8" x14ac:dyDescent="0.25">
      <c r="C220" s="168">
        <v>211</v>
      </c>
      <c r="D220" s="212"/>
      <c r="E220" s="213"/>
      <c r="F220" s="171" t="str">
        <f>IF(D220="","",VLOOKUP(D220,'G-7 Rivers Data'!$B$2:$G$8,2,FALSE))</f>
        <v/>
      </c>
      <c r="G220" s="172" t="str">
        <f>IFERROR(VLOOKUP(F220,'G-7 Rivers Data'!$C$4:$D$8,2,FALSE),"")</f>
        <v/>
      </c>
      <c r="H220" s="173"/>
      <c r="I220" s="172" t="str">
        <f>IFERROR(INDEX('G-7 Rivers Data'!$H$4:$L$8,MATCH(D220,'G-7 Rivers Data'!$B$4:$B$8,0),MATCH(H220,'G-7 Rivers Data'!$H$3:$L$3,0)),"")</f>
        <v/>
      </c>
      <c r="J220" s="173"/>
      <c r="K220" s="172" t="str">
        <f>IF(J220="","",IF(VLOOKUP(J220,'G-7 Rivers Data'!$AK$4:$AM$9,2,FALSE)=0,"Spatial Data Missing",VLOOKUP(J220,'G-7 Rivers Data'!$AK$4:$AM$9,2,FALSE)))</f>
        <v/>
      </c>
      <c r="L220" s="172" t="str">
        <f>IF(J220="","",IF(VLOOKUP(J220,'G-7 Rivers Data'!$AK$4:$AM$9,3,FALSE)=0,"Spatial Data Missing",VLOOKUP(J220,'G-7 Rivers Data'!$AK$4:$AM$9,3,FALSE)))</f>
        <v/>
      </c>
      <c r="M220" s="79"/>
      <c r="N220" s="172" t="str">
        <f>IF(M220="","",IF(VLOOKUP(M220,'G-7 Rivers Data'!$AA$4:$AB$7,2,FALSE)=0,"Spatial Data Missing",VLOOKUP(M220,'G-7 Rivers Data'!$AA$4:$AB$7,2,FALSE)))</f>
        <v/>
      </c>
      <c r="O220" s="187"/>
      <c r="P220" s="172" t="str">
        <f>IF(O220="","",IF(VLOOKUP(O220,'G-7 Rivers Data'!$AD$4:$AE$8,2,FALSE)=0,"Spatial Data Missing",VLOOKUP(O220,'G-7 Rivers Data'!$AD$4:$AE$8,2,FALSE)))</f>
        <v/>
      </c>
      <c r="Q220" s="177" t="str">
        <f>IF(D220="","",VLOOKUP(D220,'G-7 Rivers Data'!$B$2:$G$8,6,FALSE))</f>
        <v/>
      </c>
      <c r="R220" s="207" t="str">
        <f t="shared" si="24"/>
        <v/>
      </c>
      <c r="S220" s="44"/>
      <c r="T220" s="173"/>
      <c r="U220" s="189"/>
      <c r="V220" s="208" t="str">
        <f t="shared" si="25"/>
        <v/>
      </c>
      <c r="W220" s="208" t="str">
        <f t="shared" si="26"/>
        <v/>
      </c>
      <c r="X220" s="208" t="str">
        <f t="shared" si="27"/>
        <v/>
      </c>
      <c r="Y220" s="209" t="str">
        <f t="shared" si="28"/>
        <v/>
      </c>
      <c r="Z220" s="182"/>
      <c r="AA220" s="183"/>
      <c r="AG220" s="35">
        <f t="shared" si="29"/>
        <v>0</v>
      </c>
      <c r="AH220" s="188" t="str">
        <f t="shared" si="30"/>
        <v/>
      </c>
      <c r="AI220" s="188" t="str">
        <f t="shared" si="31"/>
        <v/>
      </c>
      <c r="AK220" s="188">
        <v>211</v>
      </c>
      <c r="AM220" s="188" t="str">
        <f t="array" ref="AM220">IFERROR(INDEX($AK$10:$AK$258, MATCH(0, IF(TRUE=$AH$10:$AH$258, COUNTIF($AM$9:$AM219, $AK$10:$AK$258), ""), 0)),"")</f>
        <v/>
      </c>
      <c r="AN220" s="188" t="str">
        <f t="array" ref="AN220">IFERROR(INDEX($AK$10:$AK$258, MATCH(0, IF(TRUE=$AI$10:$AI$258, COUNTIF($AN$9:$AN219, $AK$10:$AK$258), ""), 0)),"")</f>
        <v/>
      </c>
      <c r="AP220" s="35" t="str">
        <f>IFERROR(INDEX('G-7 Rivers Data'!$AZ$3:$AZ$7,MATCH(D220,'G-7 Rivers Data'!$AY$3:$AY$7,0)),"")</f>
        <v/>
      </c>
    </row>
    <row r="221" spans="3:42" ht="13.8" x14ac:dyDescent="0.25">
      <c r="C221" s="168">
        <v>212</v>
      </c>
      <c r="D221" s="212"/>
      <c r="E221" s="213"/>
      <c r="F221" s="171" t="str">
        <f>IF(D221="","",VLOOKUP(D221,'G-7 Rivers Data'!$B$2:$G$8,2,FALSE))</f>
        <v/>
      </c>
      <c r="G221" s="172" t="str">
        <f>IFERROR(VLOOKUP(F221,'G-7 Rivers Data'!$C$4:$D$8,2,FALSE),"")</f>
        <v/>
      </c>
      <c r="H221" s="173"/>
      <c r="I221" s="172" t="str">
        <f>IFERROR(INDEX('G-7 Rivers Data'!$H$4:$L$8,MATCH(D221,'G-7 Rivers Data'!$B$4:$B$8,0),MATCH(H221,'G-7 Rivers Data'!$H$3:$L$3,0)),"")</f>
        <v/>
      </c>
      <c r="J221" s="173"/>
      <c r="K221" s="172" t="str">
        <f>IF(J221="","",IF(VLOOKUP(J221,'G-7 Rivers Data'!$AK$4:$AM$9,2,FALSE)=0,"Spatial Data Missing",VLOOKUP(J221,'G-7 Rivers Data'!$AK$4:$AM$9,2,FALSE)))</f>
        <v/>
      </c>
      <c r="L221" s="172" t="str">
        <f>IF(J221="","",IF(VLOOKUP(J221,'G-7 Rivers Data'!$AK$4:$AM$9,3,FALSE)=0,"Spatial Data Missing",VLOOKUP(J221,'G-7 Rivers Data'!$AK$4:$AM$9,3,FALSE)))</f>
        <v/>
      </c>
      <c r="M221" s="79"/>
      <c r="N221" s="172" t="str">
        <f>IF(M221="","",IF(VLOOKUP(M221,'G-7 Rivers Data'!$AA$4:$AB$7,2,FALSE)=0,"Spatial Data Missing",VLOOKUP(M221,'G-7 Rivers Data'!$AA$4:$AB$7,2,FALSE)))</f>
        <v/>
      </c>
      <c r="O221" s="187"/>
      <c r="P221" s="172" t="str">
        <f>IF(O221="","",IF(VLOOKUP(O221,'G-7 Rivers Data'!$AD$4:$AE$8,2,FALSE)=0,"Spatial Data Missing",VLOOKUP(O221,'G-7 Rivers Data'!$AD$4:$AE$8,2,FALSE)))</f>
        <v/>
      </c>
      <c r="Q221" s="177" t="str">
        <f>IF(D221="","",VLOOKUP(D221,'G-7 Rivers Data'!$B$2:$G$8,6,FALSE))</f>
        <v/>
      </c>
      <c r="R221" s="207" t="str">
        <f t="shared" si="24"/>
        <v/>
      </c>
      <c r="S221" s="44"/>
      <c r="T221" s="173"/>
      <c r="U221" s="189"/>
      <c r="V221" s="208" t="str">
        <f t="shared" si="25"/>
        <v/>
      </c>
      <c r="W221" s="208" t="str">
        <f t="shared" si="26"/>
        <v/>
      </c>
      <c r="X221" s="208" t="str">
        <f t="shared" si="27"/>
        <v/>
      </c>
      <c r="Y221" s="209" t="str">
        <f t="shared" si="28"/>
        <v/>
      </c>
      <c r="Z221" s="182"/>
      <c r="AA221" s="183"/>
      <c r="AG221" s="35">
        <f t="shared" si="29"/>
        <v>0</v>
      </c>
      <c r="AH221" s="188" t="str">
        <f t="shared" si="30"/>
        <v/>
      </c>
      <c r="AI221" s="188" t="str">
        <f t="shared" si="31"/>
        <v/>
      </c>
      <c r="AK221" s="188">
        <v>212</v>
      </c>
      <c r="AM221" s="188" t="str">
        <f t="array" ref="AM221">IFERROR(INDEX($AK$10:$AK$258, MATCH(0, IF(TRUE=$AH$10:$AH$258, COUNTIF($AM$9:$AM220, $AK$10:$AK$258), ""), 0)),"")</f>
        <v/>
      </c>
      <c r="AN221" s="188" t="str">
        <f t="array" ref="AN221">IFERROR(INDEX($AK$10:$AK$258, MATCH(0, IF(TRUE=$AI$10:$AI$258, COUNTIF($AN$9:$AN220, $AK$10:$AK$258), ""), 0)),"")</f>
        <v/>
      </c>
      <c r="AP221" s="35" t="str">
        <f>IFERROR(INDEX('G-7 Rivers Data'!$AZ$3:$AZ$7,MATCH(D221,'G-7 Rivers Data'!$AY$3:$AY$7,0)),"")</f>
        <v/>
      </c>
    </row>
    <row r="222" spans="3:42" ht="13.8" x14ac:dyDescent="0.25">
      <c r="C222" s="168">
        <v>213</v>
      </c>
      <c r="D222" s="212"/>
      <c r="E222" s="213"/>
      <c r="F222" s="171" t="str">
        <f>IF(D222="","",VLOOKUP(D222,'G-7 Rivers Data'!$B$2:$G$8,2,FALSE))</f>
        <v/>
      </c>
      <c r="G222" s="172" t="str">
        <f>IFERROR(VLOOKUP(F222,'G-7 Rivers Data'!$C$4:$D$8,2,FALSE),"")</f>
        <v/>
      </c>
      <c r="H222" s="173"/>
      <c r="I222" s="172" t="str">
        <f>IFERROR(INDEX('G-7 Rivers Data'!$H$4:$L$8,MATCH(D222,'G-7 Rivers Data'!$B$4:$B$8,0),MATCH(H222,'G-7 Rivers Data'!$H$3:$L$3,0)),"")</f>
        <v/>
      </c>
      <c r="J222" s="173"/>
      <c r="K222" s="172" t="str">
        <f>IF(J222="","",IF(VLOOKUP(J222,'G-7 Rivers Data'!$AK$4:$AM$9,2,FALSE)=0,"Spatial Data Missing",VLOOKUP(J222,'G-7 Rivers Data'!$AK$4:$AM$9,2,FALSE)))</f>
        <v/>
      </c>
      <c r="L222" s="172" t="str">
        <f>IF(J222="","",IF(VLOOKUP(J222,'G-7 Rivers Data'!$AK$4:$AM$9,3,FALSE)=0,"Spatial Data Missing",VLOOKUP(J222,'G-7 Rivers Data'!$AK$4:$AM$9,3,FALSE)))</f>
        <v/>
      </c>
      <c r="M222" s="79"/>
      <c r="N222" s="172" t="str">
        <f>IF(M222="","",IF(VLOOKUP(M222,'G-7 Rivers Data'!$AA$4:$AB$7,2,FALSE)=0,"Spatial Data Missing",VLOOKUP(M222,'G-7 Rivers Data'!$AA$4:$AB$7,2,FALSE)))</f>
        <v/>
      </c>
      <c r="O222" s="187"/>
      <c r="P222" s="172" t="str">
        <f>IF(O222="","",IF(VLOOKUP(O222,'G-7 Rivers Data'!$AD$4:$AE$8,2,FALSE)=0,"Spatial Data Missing",VLOOKUP(O222,'G-7 Rivers Data'!$AD$4:$AE$8,2,FALSE)))</f>
        <v/>
      </c>
      <c r="Q222" s="177" t="str">
        <f>IF(D222="","",VLOOKUP(D222,'G-7 Rivers Data'!$B$2:$G$8,6,FALSE))</f>
        <v/>
      </c>
      <c r="R222" s="207" t="str">
        <f t="shared" si="24"/>
        <v/>
      </c>
      <c r="S222" s="44"/>
      <c r="T222" s="173"/>
      <c r="U222" s="189"/>
      <c r="V222" s="208" t="str">
        <f t="shared" si="25"/>
        <v/>
      </c>
      <c r="W222" s="208" t="str">
        <f t="shared" si="26"/>
        <v/>
      </c>
      <c r="X222" s="208" t="str">
        <f t="shared" si="27"/>
        <v/>
      </c>
      <c r="Y222" s="209" t="str">
        <f t="shared" si="28"/>
        <v/>
      </c>
      <c r="Z222" s="182"/>
      <c r="AA222" s="183"/>
      <c r="AG222" s="35">
        <f t="shared" si="29"/>
        <v>0</v>
      </c>
      <c r="AH222" s="188" t="str">
        <f t="shared" si="30"/>
        <v/>
      </c>
      <c r="AI222" s="188" t="str">
        <f t="shared" si="31"/>
        <v/>
      </c>
      <c r="AK222" s="188">
        <v>213</v>
      </c>
      <c r="AM222" s="188" t="str">
        <f t="array" ref="AM222">IFERROR(INDEX($AK$10:$AK$258, MATCH(0, IF(TRUE=$AH$10:$AH$258, COUNTIF($AM$9:$AM221, $AK$10:$AK$258), ""), 0)),"")</f>
        <v/>
      </c>
      <c r="AN222" s="188" t="str">
        <f t="array" ref="AN222">IFERROR(INDEX($AK$10:$AK$258, MATCH(0, IF(TRUE=$AI$10:$AI$258, COUNTIF($AN$9:$AN221, $AK$10:$AK$258), ""), 0)),"")</f>
        <v/>
      </c>
      <c r="AP222" s="35" t="str">
        <f>IFERROR(INDEX('G-7 Rivers Data'!$AZ$3:$AZ$7,MATCH(D222,'G-7 Rivers Data'!$AY$3:$AY$7,0)),"")</f>
        <v/>
      </c>
    </row>
    <row r="223" spans="3:42" ht="13.8" x14ac:dyDescent="0.25">
      <c r="C223" s="168">
        <v>214</v>
      </c>
      <c r="D223" s="212"/>
      <c r="E223" s="213"/>
      <c r="F223" s="171" t="str">
        <f>IF(D223="","",VLOOKUP(D223,'G-7 Rivers Data'!$B$2:$G$8,2,FALSE))</f>
        <v/>
      </c>
      <c r="G223" s="172" t="str">
        <f>IFERROR(VLOOKUP(F223,'G-7 Rivers Data'!$C$4:$D$8,2,FALSE),"")</f>
        <v/>
      </c>
      <c r="H223" s="173"/>
      <c r="I223" s="172" t="str">
        <f>IFERROR(INDEX('G-7 Rivers Data'!$H$4:$L$8,MATCH(D223,'G-7 Rivers Data'!$B$4:$B$8,0),MATCH(H223,'G-7 Rivers Data'!$H$3:$L$3,0)),"")</f>
        <v/>
      </c>
      <c r="J223" s="173"/>
      <c r="K223" s="172" t="str">
        <f>IF(J223="","",IF(VLOOKUP(J223,'G-7 Rivers Data'!$AK$4:$AM$9,2,FALSE)=0,"Spatial Data Missing",VLOOKUP(J223,'G-7 Rivers Data'!$AK$4:$AM$9,2,FALSE)))</f>
        <v/>
      </c>
      <c r="L223" s="172" t="str">
        <f>IF(J223="","",IF(VLOOKUP(J223,'G-7 Rivers Data'!$AK$4:$AM$9,3,FALSE)=0,"Spatial Data Missing",VLOOKUP(J223,'G-7 Rivers Data'!$AK$4:$AM$9,3,FALSE)))</f>
        <v/>
      </c>
      <c r="M223" s="79"/>
      <c r="N223" s="172" t="str">
        <f>IF(M223="","",IF(VLOOKUP(M223,'G-7 Rivers Data'!$AA$4:$AB$7,2,FALSE)=0,"Spatial Data Missing",VLOOKUP(M223,'G-7 Rivers Data'!$AA$4:$AB$7,2,FALSE)))</f>
        <v/>
      </c>
      <c r="O223" s="187"/>
      <c r="P223" s="172" t="str">
        <f>IF(O223="","",IF(VLOOKUP(O223,'G-7 Rivers Data'!$AD$4:$AE$8,2,FALSE)=0,"Spatial Data Missing",VLOOKUP(O223,'G-7 Rivers Data'!$AD$4:$AE$8,2,FALSE)))</f>
        <v/>
      </c>
      <c r="Q223" s="177" t="str">
        <f>IF(D223="","",VLOOKUP(D223,'G-7 Rivers Data'!$B$2:$G$8,6,FALSE))</f>
        <v/>
      </c>
      <c r="R223" s="207" t="str">
        <f t="shared" si="24"/>
        <v/>
      </c>
      <c r="S223" s="44"/>
      <c r="T223" s="173"/>
      <c r="U223" s="189"/>
      <c r="V223" s="208" t="str">
        <f t="shared" si="25"/>
        <v/>
      </c>
      <c r="W223" s="208" t="str">
        <f t="shared" si="26"/>
        <v/>
      </c>
      <c r="X223" s="208" t="str">
        <f t="shared" si="27"/>
        <v/>
      </c>
      <c r="Y223" s="209" t="str">
        <f t="shared" si="28"/>
        <v/>
      </c>
      <c r="Z223" s="182"/>
      <c r="AA223" s="183"/>
      <c r="AG223" s="35">
        <f t="shared" si="29"/>
        <v>0</v>
      </c>
      <c r="AH223" s="188" t="str">
        <f t="shared" si="30"/>
        <v/>
      </c>
      <c r="AI223" s="188" t="str">
        <f t="shared" si="31"/>
        <v/>
      </c>
      <c r="AK223" s="188">
        <v>214</v>
      </c>
      <c r="AM223" s="188" t="str">
        <f t="array" ref="AM223">IFERROR(INDEX($AK$10:$AK$258, MATCH(0, IF(TRUE=$AH$10:$AH$258, COUNTIF($AM$9:$AM222, $AK$10:$AK$258), ""), 0)),"")</f>
        <v/>
      </c>
      <c r="AN223" s="188" t="str">
        <f t="array" ref="AN223">IFERROR(INDEX($AK$10:$AK$258, MATCH(0, IF(TRUE=$AI$10:$AI$258, COUNTIF($AN$9:$AN222, $AK$10:$AK$258), ""), 0)),"")</f>
        <v/>
      </c>
      <c r="AP223" s="35" t="str">
        <f>IFERROR(INDEX('G-7 Rivers Data'!$AZ$3:$AZ$7,MATCH(D223,'G-7 Rivers Data'!$AY$3:$AY$7,0)),"")</f>
        <v/>
      </c>
    </row>
    <row r="224" spans="3:42" ht="13.8" x14ac:dyDescent="0.25">
      <c r="C224" s="168">
        <v>215</v>
      </c>
      <c r="D224" s="212"/>
      <c r="E224" s="213"/>
      <c r="F224" s="171" t="str">
        <f>IF(D224="","",VLOOKUP(D224,'G-7 Rivers Data'!$B$2:$G$8,2,FALSE))</f>
        <v/>
      </c>
      <c r="G224" s="172" t="str">
        <f>IFERROR(VLOOKUP(F224,'G-7 Rivers Data'!$C$4:$D$8,2,FALSE),"")</f>
        <v/>
      </c>
      <c r="H224" s="173"/>
      <c r="I224" s="172" t="str">
        <f>IFERROR(INDEX('G-7 Rivers Data'!$H$4:$L$8,MATCH(D224,'G-7 Rivers Data'!$B$4:$B$8,0),MATCH(H224,'G-7 Rivers Data'!$H$3:$L$3,0)),"")</f>
        <v/>
      </c>
      <c r="J224" s="173"/>
      <c r="K224" s="172" t="str">
        <f>IF(J224="","",IF(VLOOKUP(J224,'G-7 Rivers Data'!$AK$4:$AM$9,2,FALSE)=0,"Spatial Data Missing",VLOOKUP(J224,'G-7 Rivers Data'!$AK$4:$AM$9,2,FALSE)))</f>
        <v/>
      </c>
      <c r="L224" s="172" t="str">
        <f>IF(J224="","",IF(VLOOKUP(J224,'G-7 Rivers Data'!$AK$4:$AM$9,3,FALSE)=0,"Spatial Data Missing",VLOOKUP(J224,'G-7 Rivers Data'!$AK$4:$AM$9,3,FALSE)))</f>
        <v/>
      </c>
      <c r="M224" s="79"/>
      <c r="N224" s="172" t="str">
        <f>IF(M224="","",IF(VLOOKUP(M224,'G-7 Rivers Data'!$AA$4:$AB$7,2,FALSE)=0,"Spatial Data Missing",VLOOKUP(M224,'G-7 Rivers Data'!$AA$4:$AB$7,2,FALSE)))</f>
        <v/>
      </c>
      <c r="O224" s="187"/>
      <c r="P224" s="172" t="str">
        <f>IF(O224="","",IF(VLOOKUP(O224,'G-7 Rivers Data'!$AD$4:$AE$8,2,FALSE)=0,"Spatial Data Missing",VLOOKUP(O224,'G-7 Rivers Data'!$AD$4:$AE$8,2,FALSE)))</f>
        <v/>
      </c>
      <c r="Q224" s="177" t="str">
        <f>IF(D224="","",VLOOKUP(D224,'G-7 Rivers Data'!$B$2:$G$8,6,FALSE))</f>
        <v/>
      </c>
      <c r="R224" s="207" t="str">
        <f t="shared" si="24"/>
        <v/>
      </c>
      <c r="S224" s="44"/>
      <c r="T224" s="173"/>
      <c r="U224" s="189"/>
      <c r="V224" s="208" t="str">
        <f t="shared" si="25"/>
        <v/>
      </c>
      <c r="W224" s="208" t="str">
        <f t="shared" si="26"/>
        <v/>
      </c>
      <c r="X224" s="208" t="str">
        <f t="shared" si="27"/>
        <v/>
      </c>
      <c r="Y224" s="209" t="str">
        <f t="shared" si="28"/>
        <v/>
      </c>
      <c r="Z224" s="182"/>
      <c r="AA224" s="183"/>
      <c r="AG224" s="35">
        <f t="shared" si="29"/>
        <v>0</v>
      </c>
      <c r="AH224" s="188" t="str">
        <f t="shared" si="30"/>
        <v/>
      </c>
      <c r="AI224" s="188" t="str">
        <f t="shared" si="31"/>
        <v/>
      </c>
      <c r="AK224" s="188">
        <v>215</v>
      </c>
      <c r="AM224" s="188" t="str">
        <f t="array" ref="AM224">IFERROR(INDEX($AK$10:$AK$258, MATCH(0, IF(TRUE=$AH$10:$AH$258, COUNTIF($AM$9:$AM223, $AK$10:$AK$258), ""), 0)),"")</f>
        <v/>
      </c>
      <c r="AN224" s="188" t="str">
        <f t="array" ref="AN224">IFERROR(INDEX($AK$10:$AK$258, MATCH(0, IF(TRUE=$AI$10:$AI$258, COUNTIF($AN$9:$AN223, $AK$10:$AK$258), ""), 0)),"")</f>
        <v/>
      </c>
      <c r="AP224" s="35" t="str">
        <f>IFERROR(INDEX('G-7 Rivers Data'!$AZ$3:$AZ$7,MATCH(D224,'G-7 Rivers Data'!$AY$3:$AY$7,0)),"")</f>
        <v/>
      </c>
    </row>
    <row r="225" spans="3:42" ht="13.8" x14ac:dyDescent="0.25">
      <c r="C225" s="168">
        <v>216</v>
      </c>
      <c r="D225" s="212"/>
      <c r="E225" s="213"/>
      <c r="F225" s="171" t="str">
        <f>IF(D225="","",VLOOKUP(D225,'G-7 Rivers Data'!$B$2:$G$8,2,FALSE))</f>
        <v/>
      </c>
      <c r="G225" s="172" t="str">
        <f>IFERROR(VLOOKUP(F225,'G-7 Rivers Data'!$C$4:$D$8,2,FALSE),"")</f>
        <v/>
      </c>
      <c r="H225" s="173"/>
      <c r="I225" s="172" t="str">
        <f>IFERROR(INDEX('G-7 Rivers Data'!$H$4:$L$8,MATCH(D225,'G-7 Rivers Data'!$B$4:$B$8,0),MATCH(H225,'G-7 Rivers Data'!$H$3:$L$3,0)),"")</f>
        <v/>
      </c>
      <c r="J225" s="173"/>
      <c r="K225" s="172" t="str">
        <f>IF(J225="","",IF(VLOOKUP(J225,'G-7 Rivers Data'!$AK$4:$AM$9,2,FALSE)=0,"Spatial Data Missing",VLOOKUP(J225,'G-7 Rivers Data'!$AK$4:$AM$9,2,FALSE)))</f>
        <v/>
      </c>
      <c r="L225" s="172" t="str">
        <f>IF(J225="","",IF(VLOOKUP(J225,'G-7 Rivers Data'!$AK$4:$AM$9,3,FALSE)=0,"Spatial Data Missing",VLOOKUP(J225,'G-7 Rivers Data'!$AK$4:$AM$9,3,FALSE)))</f>
        <v/>
      </c>
      <c r="M225" s="79"/>
      <c r="N225" s="172" t="str">
        <f>IF(M225="","",IF(VLOOKUP(M225,'G-7 Rivers Data'!$AA$4:$AB$7,2,FALSE)=0,"Spatial Data Missing",VLOOKUP(M225,'G-7 Rivers Data'!$AA$4:$AB$7,2,FALSE)))</f>
        <v/>
      </c>
      <c r="O225" s="187"/>
      <c r="P225" s="172" t="str">
        <f>IF(O225="","",IF(VLOOKUP(O225,'G-7 Rivers Data'!$AD$4:$AE$8,2,FALSE)=0,"Spatial Data Missing",VLOOKUP(O225,'G-7 Rivers Data'!$AD$4:$AE$8,2,FALSE)))</f>
        <v/>
      </c>
      <c r="Q225" s="177" t="str">
        <f>IF(D225="","",VLOOKUP(D225,'G-7 Rivers Data'!$B$2:$G$8,6,FALSE))</f>
        <v/>
      </c>
      <c r="R225" s="207" t="str">
        <f t="shared" si="24"/>
        <v/>
      </c>
      <c r="S225" s="44"/>
      <c r="T225" s="173"/>
      <c r="U225" s="189"/>
      <c r="V225" s="208" t="str">
        <f t="shared" si="25"/>
        <v/>
      </c>
      <c r="W225" s="208" t="str">
        <f t="shared" si="26"/>
        <v/>
      </c>
      <c r="X225" s="208" t="str">
        <f t="shared" si="27"/>
        <v/>
      </c>
      <c r="Y225" s="209" t="str">
        <f t="shared" si="28"/>
        <v/>
      </c>
      <c r="Z225" s="182"/>
      <c r="AA225" s="183"/>
      <c r="AG225" s="35">
        <f t="shared" si="29"/>
        <v>0</v>
      </c>
      <c r="AH225" s="188" t="str">
        <f t="shared" si="30"/>
        <v/>
      </c>
      <c r="AI225" s="188" t="str">
        <f t="shared" si="31"/>
        <v/>
      </c>
      <c r="AK225" s="188">
        <v>216</v>
      </c>
      <c r="AM225" s="188" t="str">
        <f t="array" ref="AM225">IFERROR(INDEX($AK$10:$AK$258, MATCH(0, IF(TRUE=$AH$10:$AH$258, COUNTIF($AM$9:$AM224, $AK$10:$AK$258), ""), 0)),"")</f>
        <v/>
      </c>
      <c r="AN225" s="188" t="str">
        <f t="array" ref="AN225">IFERROR(INDEX($AK$10:$AK$258, MATCH(0, IF(TRUE=$AI$10:$AI$258, COUNTIF($AN$9:$AN224, $AK$10:$AK$258), ""), 0)),"")</f>
        <v/>
      </c>
      <c r="AP225" s="35" t="str">
        <f>IFERROR(INDEX('G-7 Rivers Data'!$AZ$3:$AZ$7,MATCH(D225,'G-7 Rivers Data'!$AY$3:$AY$7,0)),"")</f>
        <v/>
      </c>
    </row>
    <row r="226" spans="3:42" ht="13.8" x14ac:dyDescent="0.25">
      <c r="C226" s="168">
        <v>217</v>
      </c>
      <c r="D226" s="212"/>
      <c r="E226" s="213"/>
      <c r="F226" s="171" t="str">
        <f>IF(D226="","",VLOOKUP(D226,'G-7 Rivers Data'!$B$2:$G$8,2,FALSE))</f>
        <v/>
      </c>
      <c r="G226" s="172" t="str">
        <f>IFERROR(VLOOKUP(F226,'G-7 Rivers Data'!$C$4:$D$8,2,FALSE),"")</f>
        <v/>
      </c>
      <c r="H226" s="173"/>
      <c r="I226" s="172" t="str">
        <f>IFERROR(INDEX('G-7 Rivers Data'!$H$4:$L$8,MATCH(D226,'G-7 Rivers Data'!$B$4:$B$8,0),MATCH(H226,'G-7 Rivers Data'!$H$3:$L$3,0)),"")</f>
        <v/>
      </c>
      <c r="J226" s="173"/>
      <c r="K226" s="172" t="str">
        <f>IF(J226="","",IF(VLOOKUP(J226,'G-7 Rivers Data'!$AK$4:$AM$9,2,FALSE)=0,"Spatial Data Missing",VLOOKUP(J226,'G-7 Rivers Data'!$AK$4:$AM$9,2,FALSE)))</f>
        <v/>
      </c>
      <c r="L226" s="172" t="str">
        <f>IF(J226="","",IF(VLOOKUP(J226,'G-7 Rivers Data'!$AK$4:$AM$9,3,FALSE)=0,"Spatial Data Missing",VLOOKUP(J226,'G-7 Rivers Data'!$AK$4:$AM$9,3,FALSE)))</f>
        <v/>
      </c>
      <c r="M226" s="79"/>
      <c r="N226" s="172" t="str">
        <f>IF(M226="","",IF(VLOOKUP(M226,'G-7 Rivers Data'!$AA$4:$AB$7,2,FALSE)=0,"Spatial Data Missing",VLOOKUP(M226,'G-7 Rivers Data'!$AA$4:$AB$7,2,FALSE)))</f>
        <v/>
      </c>
      <c r="O226" s="187"/>
      <c r="P226" s="172" t="str">
        <f>IF(O226="","",IF(VLOOKUP(O226,'G-7 Rivers Data'!$AD$4:$AE$8,2,FALSE)=0,"Spatial Data Missing",VLOOKUP(O226,'G-7 Rivers Data'!$AD$4:$AE$8,2,FALSE)))</f>
        <v/>
      </c>
      <c r="Q226" s="177" t="str">
        <f>IF(D226="","",VLOOKUP(D226,'G-7 Rivers Data'!$B$2:$G$8,6,FALSE))</f>
        <v/>
      </c>
      <c r="R226" s="207" t="str">
        <f t="shared" si="24"/>
        <v/>
      </c>
      <c r="S226" s="44"/>
      <c r="T226" s="173"/>
      <c r="U226" s="189"/>
      <c r="V226" s="208" t="str">
        <f t="shared" si="25"/>
        <v/>
      </c>
      <c r="W226" s="208" t="str">
        <f t="shared" si="26"/>
        <v/>
      </c>
      <c r="X226" s="208" t="str">
        <f t="shared" si="27"/>
        <v/>
      </c>
      <c r="Y226" s="209" t="str">
        <f t="shared" si="28"/>
        <v/>
      </c>
      <c r="Z226" s="182"/>
      <c r="AA226" s="183"/>
      <c r="AG226" s="35">
        <f t="shared" si="29"/>
        <v>0</v>
      </c>
      <c r="AH226" s="188" t="str">
        <f t="shared" si="30"/>
        <v/>
      </c>
      <c r="AI226" s="188" t="str">
        <f t="shared" si="31"/>
        <v/>
      </c>
      <c r="AK226" s="188">
        <v>217</v>
      </c>
      <c r="AM226" s="188" t="str">
        <f t="array" ref="AM226">IFERROR(INDEX($AK$10:$AK$258, MATCH(0, IF(TRUE=$AH$10:$AH$258, COUNTIF($AM$9:$AM225, $AK$10:$AK$258), ""), 0)),"")</f>
        <v/>
      </c>
      <c r="AN226" s="188" t="str">
        <f t="array" ref="AN226">IFERROR(INDEX($AK$10:$AK$258, MATCH(0, IF(TRUE=$AI$10:$AI$258, COUNTIF($AN$9:$AN225, $AK$10:$AK$258), ""), 0)),"")</f>
        <v/>
      </c>
      <c r="AP226" s="35" t="str">
        <f>IFERROR(INDEX('G-7 Rivers Data'!$AZ$3:$AZ$7,MATCH(D226,'G-7 Rivers Data'!$AY$3:$AY$7,0)),"")</f>
        <v/>
      </c>
    </row>
    <row r="227" spans="3:42" ht="13.8" x14ac:dyDescent="0.25">
      <c r="C227" s="168">
        <v>218</v>
      </c>
      <c r="D227" s="212"/>
      <c r="E227" s="213"/>
      <c r="F227" s="171" t="str">
        <f>IF(D227="","",VLOOKUP(D227,'G-7 Rivers Data'!$B$2:$G$8,2,FALSE))</f>
        <v/>
      </c>
      <c r="G227" s="172" t="str">
        <f>IFERROR(VLOOKUP(F227,'G-7 Rivers Data'!$C$4:$D$8,2,FALSE),"")</f>
        <v/>
      </c>
      <c r="H227" s="173"/>
      <c r="I227" s="172" t="str">
        <f>IFERROR(INDEX('G-7 Rivers Data'!$H$4:$L$8,MATCH(D227,'G-7 Rivers Data'!$B$4:$B$8,0),MATCH(H227,'G-7 Rivers Data'!$H$3:$L$3,0)),"")</f>
        <v/>
      </c>
      <c r="J227" s="173"/>
      <c r="K227" s="172" t="str">
        <f>IF(J227="","",IF(VLOOKUP(J227,'G-7 Rivers Data'!$AK$4:$AM$9,2,FALSE)=0,"Spatial Data Missing",VLOOKUP(J227,'G-7 Rivers Data'!$AK$4:$AM$9,2,FALSE)))</f>
        <v/>
      </c>
      <c r="L227" s="172" t="str">
        <f>IF(J227="","",IF(VLOOKUP(J227,'G-7 Rivers Data'!$AK$4:$AM$9,3,FALSE)=0,"Spatial Data Missing",VLOOKUP(J227,'G-7 Rivers Data'!$AK$4:$AM$9,3,FALSE)))</f>
        <v/>
      </c>
      <c r="M227" s="79"/>
      <c r="N227" s="172" t="str">
        <f>IF(M227="","",IF(VLOOKUP(M227,'G-7 Rivers Data'!$AA$4:$AB$7,2,FALSE)=0,"Spatial Data Missing",VLOOKUP(M227,'G-7 Rivers Data'!$AA$4:$AB$7,2,FALSE)))</f>
        <v/>
      </c>
      <c r="O227" s="187"/>
      <c r="P227" s="172" t="str">
        <f>IF(O227="","",IF(VLOOKUP(O227,'G-7 Rivers Data'!$AD$4:$AE$8,2,FALSE)=0,"Spatial Data Missing",VLOOKUP(O227,'G-7 Rivers Data'!$AD$4:$AE$8,2,FALSE)))</f>
        <v/>
      </c>
      <c r="Q227" s="177" t="str">
        <f>IF(D227="","",VLOOKUP(D227,'G-7 Rivers Data'!$B$2:$G$8,6,FALSE))</f>
        <v/>
      </c>
      <c r="R227" s="207" t="str">
        <f t="shared" si="24"/>
        <v/>
      </c>
      <c r="S227" s="44"/>
      <c r="T227" s="173"/>
      <c r="U227" s="189"/>
      <c r="V227" s="208" t="str">
        <f t="shared" si="25"/>
        <v/>
      </c>
      <c r="W227" s="208" t="str">
        <f t="shared" si="26"/>
        <v/>
      </c>
      <c r="X227" s="208" t="str">
        <f t="shared" si="27"/>
        <v/>
      </c>
      <c r="Y227" s="209" t="str">
        <f t="shared" si="28"/>
        <v/>
      </c>
      <c r="Z227" s="182"/>
      <c r="AA227" s="183"/>
      <c r="AG227" s="35">
        <f t="shared" si="29"/>
        <v>0</v>
      </c>
      <c r="AH227" s="188" t="str">
        <f t="shared" si="30"/>
        <v/>
      </c>
      <c r="AI227" s="188" t="str">
        <f t="shared" si="31"/>
        <v/>
      </c>
      <c r="AK227" s="188">
        <v>218</v>
      </c>
      <c r="AM227" s="188" t="str">
        <f t="array" ref="AM227">IFERROR(INDEX($AK$10:$AK$258, MATCH(0, IF(TRUE=$AH$10:$AH$258, COUNTIF($AM$9:$AM226, $AK$10:$AK$258), ""), 0)),"")</f>
        <v/>
      </c>
      <c r="AN227" s="188" t="str">
        <f t="array" ref="AN227">IFERROR(INDEX($AK$10:$AK$258, MATCH(0, IF(TRUE=$AI$10:$AI$258, COUNTIF($AN$9:$AN226, $AK$10:$AK$258), ""), 0)),"")</f>
        <v/>
      </c>
      <c r="AP227" s="35" t="str">
        <f>IFERROR(INDEX('G-7 Rivers Data'!$AZ$3:$AZ$7,MATCH(D227,'G-7 Rivers Data'!$AY$3:$AY$7,0)),"")</f>
        <v/>
      </c>
    </row>
    <row r="228" spans="3:42" ht="13.8" x14ac:dyDescent="0.25">
      <c r="C228" s="168">
        <v>219</v>
      </c>
      <c r="D228" s="212"/>
      <c r="E228" s="213"/>
      <c r="F228" s="171" t="str">
        <f>IF(D228="","",VLOOKUP(D228,'G-7 Rivers Data'!$B$2:$G$8,2,FALSE))</f>
        <v/>
      </c>
      <c r="G228" s="172" t="str">
        <f>IFERROR(VLOOKUP(F228,'G-7 Rivers Data'!$C$4:$D$8,2,FALSE),"")</f>
        <v/>
      </c>
      <c r="H228" s="173"/>
      <c r="I228" s="172" t="str">
        <f>IFERROR(INDEX('G-7 Rivers Data'!$H$4:$L$8,MATCH(D228,'G-7 Rivers Data'!$B$4:$B$8,0),MATCH(H228,'G-7 Rivers Data'!$H$3:$L$3,0)),"")</f>
        <v/>
      </c>
      <c r="J228" s="173"/>
      <c r="K228" s="172" t="str">
        <f>IF(J228="","",IF(VLOOKUP(J228,'G-7 Rivers Data'!$AK$4:$AM$9,2,FALSE)=0,"Spatial Data Missing",VLOOKUP(J228,'G-7 Rivers Data'!$AK$4:$AM$9,2,FALSE)))</f>
        <v/>
      </c>
      <c r="L228" s="172" t="str">
        <f>IF(J228="","",IF(VLOOKUP(J228,'G-7 Rivers Data'!$AK$4:$AM$9,3,FALSE)=0,"Spatial Data Missing",VLOOKUP(J228,'G-7 Rivers Data'!$AK$4:$AM$9,3,FALSE)))</f>
        <v/>
      </c>
      <c r="M228" s="79"/>
      <c r="N228" s="172" t="str">
        <f>IF(M228="","",IF(VLOOKUP(M228,'G-7 Rivers Data'!$AA$4:$AB$7,2,FALSE)=0,"Spatial Data Missing",VLOOKUP(M228,'G-7 Rivers Data'!$AA$4:$AB$7,2,FALSE)))</f>
        <v/>
      </c>
      <c r="O228" s="187"/>
      <c r="P228" s="172" t="str">
        <f>IF(O228="","",IF(VLOOKUP(O228,'G-7 Rivers Data'!$AD$4:$AE$8,2,FALSE)=0,"Spatial Data Missing",VLOOKUP(O228,'G-7 Rivers Data'!$AD$4:$AE$8,2,FALSE)))</f>
        <v/>
      </c>
      <c r="Q228" s="177" t="str">
        <f>IF(D228="","",VLOOKUP(D228,'G-7 Rivers Data'!$B$2:$G$8,6,FALSE))</f>
        <v/>
      </c>
      <c r="R228" s="207" t="str">
        <f t="shared" si="24"/>
        <v/>
      </c>
      <c r="S228" s="44"/>
      <c r="T228" s="173"/>
      <c r="U228" s="189"/>
      <c r="V228" s="208" t="str">
        <f t="shared" si="25"/>
        <v/>
      </c>
      <c r="W228" s="208" t="str">
        <f t="shared" si="26"/>
        <v/>
      </c>
      <c r="X228" s="208" t="str">
        <f t="shared" si="27"/>
        <v/>
      </c>
      <c r="Y228" s="209" t="str">
        <f t="shared" si="28"/>
        <v/>
      </c>
      <c r="Z228" s="182"/>
      <c r="AA228" s="183"/>
      <c r="AG228" s="35">
        <f t="shared" si="29"/>
        <v>0</v>
      </c>
      <c r="AH228" s="188" t="str">
        <f t="shared" si="30"/>
        <v/>
      </c>
      <c r="AI228" s="188" t="str">
        <f t="shared" si="31"/>
        <v/>
      </c>
      <c r="AK228" s="188">
        <v>219</v>
      </c>
      <c r="AM228" s="188" t="str">
        <f t="array" ref="AM228">IFERROR(INDEX($AK$10:$AK$258, MATCH(0, IF(TRUE=$AH$10:$AH$258, COUNTIF($AM$9:$AM227, $AK$10:$AK$258), ""), 0)),"")</f>
        <v/>
      </c>
      <c r="AN228" s="188" t="str">
        <f t="array" ref="AN228">IFERROR(INDEX($AK$10:$AK$258, MATCH(0, IF(TRUE=$AI$10:$AI$258, COUNTIF($AN$9:$AN227, $AK$10:$AK$258), ""), 0)),"")</f>
        <v/>
      </c>
      <c r="AP228" s="35" t="str">
        <f>IFERROR(INDEX('G-7 Rivers Data'!$AZ$3:$AZ$7,MATCH(D228,'G-7 Rivers Data'!$AY$3:$AY$7,0)),"")</f>
        <v/>
      </c>
    </row>
    <row r="229" spans="3:42" ht="13.8" x14ac:dyDescent="0.25">
      <c r="C229" s="168">
        <v>220</v>
      </c>
      <c r="D229" s="212"/>
      <c r="E229" s="213"/>
      <c r="F229" s="171" t="str">
        <f>IF(D229="","",VLOOKUP(D229,'G-7 Rivers Data'!$B$2:$G$8,2,FALSE))</f>
        <v/>
      </c>
      <c r="G229" s="172" t="str">
        <f>IFERROR(VLOOKUP(F229,'G-7 Rivers Data'!$C$4:$D$8,2,FALSE),"")</f>
        <v/>
      </c>
      <c r="H229" s="173"/>
      <c r="I229" s="172" t="str">
        <f>IFERROR(INDEX('G-7 Rivers Data'!$H$4:$L$8,MATCH(D229,'G-7 Rivers Data'!$B$4:$B$8,0),MATCH(H229,'G-7 Rivers Data'!$H$3:$L$3,0)),"")</f>
        <v/>
      </c>
      <c r="J229" s="173"/>
      <c r="K229" s="172" t="str">
        <f>IF(J229="","",IF(VLOOKUP(J229,'G-7 Rivers Data'!$AK$4:$AM$9,2,FALSE)=0,"Spatial Data Missing",VLOOKUP(J229,'G-7 Rivers Data'!$AK$4:$AM$9,2,FALSE)))</f>
        <v/>
      </c>
      <c r="L229" s="172" t="str">
        <f>IF(J229="","",IF(VLOOKUP(J229,'G-7 Rivers Data'!$AK$4:$AM$9,3,FALSE)=0,"Spatial Data Missing",VLOOKUP(J229,'G-7 Rivers Data'!$AK$4:$AM$9,3,FALSE)))</f>
        <v/>
      </c>
      <c r="M229" s="79"/>
      <c r="N229" s="172" t="str">
        <f>IF(M229="","",IF(VLOOKUP(M229,'G-7 Rivers Data'!$AA$4:$AB$7,2,FALSE)=0,"Spatial Data Missing",VLOOKUP(M229,'G-7 Rivers Data'!$AA$4:$AB$7,2,FALSE)))</f>
        <v/>
      </c>
      <c r="O229" s="187"/>
      <c r="P229" s="172" t="str">
        <f>IF(O229="","",IF(VLOOKUP(O229,'G-7 Rivers Data'!$AD$4:$AE$8,2,FALSE)=0,"Spatial Data Missing",VLOOKUP(O229,'G-7 Rivers Data'!$AD$4:$AE$8,2,FALSE)))</f>
        <v/>
      </c>
      <c r="Q229" s="177" t="str">
        <f>IF(D229="","",VLOOKUP(D229,'G-7 Rivers Data'!$B$2:$G$8,6,FALSE))</f>
        <v/>
      </c>
      <c r="R229" s="207" t="str">
        <f t="shared" si="24"/>
        <v/>
      </c>
      <c r="S229" s="44"/>
      <c r="T229" s="173"/>
      <c r="U229" s="189"/>
      <c r="V229" s="208" t="str">
        <f t="shared" si="25"/>
        <v/>
      </c>
      <c r="W229" s="208" t="str">
        <f t="shared" si="26"/>
        <v/>
      </c>
      <c r="X229" s="208" t="str">
        <f t="shared" si="27"/>
        <v/>
      </c>
      <c r="Y229" s="209" t="str">
        <f t="shared" si="28"/>
        <v/>
      </c>
      <c r="Z229" s="182"/>
      <c r="AA229" s="183"/>
      <c r="AG229" s="35">
        <f t="shared" si="29"/>
        <v>0</v>
      </c>
      <c r="AH229" s="188" t="str">
        <f t="shared" si="30"/>
        <v/>
      </c>
      <c r="AI229" s="188" t="str">
        <f t="shared" si="31"/>
        <v/>
      </c>
      <c r="AK229" s="188">
        <v>220</v>
      </c>
      <c r="AM229" s="188" t="str">
        <f t="array" ref="AM229">IFERROR(INDEX($AK$10:$AK$258, MATCH(0, IF(TRUE=$AH$10:$AH$258, COUNTIF($AM$9:$AM228, $AK$10:$AK$258), ""), 0)),"")</f>
        <v/>
      </c>
      <c r="AN229" s="188" t="str">
        <f t="array" ref="AN229">IFERROR(INDEX($AK$10:$AK$258, MATCH(0, IF(TRUE=$AI$10:$AI$258, COUNTIF($AN$9:$AN228, $AK$10:$AK$258), ""), 0)),"")</f>
        <v/>
      </c>
      <c r="AP229" s="35" t="str">
        <f>IFERROR(INDEX('G-7 Rivers Data'!$AZ$3:$AZ$7,MATCH(D229,'G-7 Rivers Data'!$AY$3:$AY$7,0)),"")</f>
        <v/>
      </c>
    </row>
    <row r="230" spans="3:42" ht="13.8" x14ac:dyDescent="0.25">
      <c r="C230" s="168">
        <v>221</v>
      </c>
      <c r="D230" s="212"/>
      <c r="E230" s="213"/>
      <c r="F230" s="171" t="str">
        <f>IF(D230="","",VLOOKUP(D230,'G-7 Rivers Data'!$B$2:$G$8,2,FALSE))</f>
        <v/>
      </c>
      <c r="G230" s="172" t="str">
        <f>IFERROR(VLOOKUP(F230,'G-7 Rivers Data'!$C$4:$D$8,2,FALSE),"")</f>
        <v/>
      </c>
      <c r="H230" s="173"/>
      <c r="I230" s="172" t="str">
        <f>IFERROR(INDEX('G-7 Rivers Data'!$H$4:$L$8,MATCH(D230,'G-7 Rivers Data'!$B$4:$B$8,0),MATCH(H230,'G-7 Rivers Data'!$H$3:$L$3,0)),"")</f>
        <v/>
      </c>
      <c r="J230" s="173"/>
      <c r="K230" s="172" t="str">
        <f>IF(J230="","",IF(VLOOKUP(J230,'G-7 Rivers Data'!$AK$4:$AM$9,2,FALSE)=0,"Spatial Data Missing",VLOOKUP(J230,'G-7 Rivers Data'!$AK$4:$AM$9,2,FALSE)))</f>
        <v/>
      </c>
      <c r="L230" s="172" t="str">
        <f>IF(J230="","",IF(VLOOKUP(J230,'G-7 Rivers Data'!$AK$4:$AM$9,3,FALSE)=0,"Spatial Data Missing",VLOOKUP(J230,'G-7 Rivers Data'!$AK$4:$AM$9,3,FALSE)))</f>
        <v/>
      </c>
      <c r="M230" s="79"/>
      <c r="N230" s="172" t="str">
        <f>IF(M230="","",IF(VLOOKUP(M230,'G-7 Rivers Data'!$AA$4:$AB$7,2,FALSE)=0,"Spatial Data Missing",VLOOKUP(M230,'G-7 Rivers Data'!$AA$4:$AB$7,2,FALSE)))</f>
        <v/>
      </c>
      <c r="O230" s="187"/>
      <c r="P230" s="172" t="str">
        <f>IF(O230="","",IF(VLOOKUP(O230,'G-7 Rivers Data'!$AD$4:$AE$8,2,FALSE)=0,"Spatial Data Missing",VLOOKUP(O230,'G-7 Rivers Data'!$AD$4:$AE$8,2,FALSE)))</f>
        <v/>
      </c>
      <c r="Q230" s="177" t="str">
        <f>IF(D230="","",VLOOKUP(D230,'G-7 Rivers Data'!$B$2:$G$8,6,FALSE))</f>
        <v/>
      </c>
      <c r="R230" s="207" t="str">
        <f t="shared" si="24"/>
        <v/>
      </c>
      <c r="S230" s="44"/>
      <c r="T230" s="173"/>
      <c r="U230" s="189"/>
      <c r="V230" s="208" t="str">
        <f t="shared" si="25"/>
        <v/>
      </c>
      <c r="W230" s="208" t="str">
        <f t="shared" si="26"/>
        <v/>
      </c>
      <c r="X230" s="208" t="str">
        <f t="shared" si="27"/>
        <v/>
      </c>
      <c r="Y230" s="209" t="str">
        <f t="shared" si="28"/>
        <v/>
      </c>
      <c r="Z230" s="182"/>
      <c r="AA230" s="183"/>
      <c r="AG230" s="35">
        <f t="shared" si="29"/>
        <v>0</v>
      </c>
      <c r="AH230" s="188" t="str">
        <f t="shared" si="30"/>
        <v/>
      </c>
      <c r="AI230" s="188" t="str">
        <f t="shared" si="31"/>
        <v/>
      </c>
      <c r="AK230" s="188">
        <v>221</v>
      </c>
      <c r="AM230" s="188" t="str">
        <f t="array" ref="AM230">IFERROR(INDEX($AK$10:$AK$258, MATCH(0, IF(TRUE=$AH$10:$AH$258, COUNTIF($AM$9:$AM229, $AK$10:$AK$258), ""), 0)),"")</f>
        <v/>
      </c>
      <c r="AN230" s="188" t="str">
        <f t="array" ref="AN230">IFERROR(INDEX($AK$10:$AK$258, MATCH(0, IF(TRUE=$AI$10:$AI$258, COUNTIF($AN$9:$AN229, $AK$10:$AK$258), ""), 0)),"")</f>
        <v/>
      </c>
      <c r="AP230" s="35" t="str">
        <f>IFERROR(INDEX('G-7 Rivers Data'!$AZ$3:$AZ$7,MATCH(D230,'G-7 Rivers Data'!$AY$3:$AY$7,0)),"")</f>
        <v/>
      </c>
    </row>
    <row r="231" spans="3:42" ht="13.8" x14ac:dyDescent="0.25">
      <c r="C231" s="168">
        <v>222</v>
      </c>
      <c r="D231" s="212"/>
      <c r="E231" s="213"/>
      <c r="F231" s="171" t="str">
        <f>IF(D231="","",VLOOKUP(D231,'G-7 Rivers Data'!$B$2:$G$8,2,FALSE))</f>
        <v/>
      </c>
      <c r="G231" s="172" t="str">
        <f>IFERROR(VLOOKUP(F231,'G-7 Rivers Data'!$C$4:$D$8,2,FALSE),"")</f>
        <v/>
      </c>
      <c r="H231" s="173"/>
      <c r="I231" s="172" t="str">
        <f>IFERROR(INDEX('G-7 Rivers Data'!$H$4:$L$8,MATCH(D231,'G-7 Rivers Data'!$B$4:$B$8,0),MATCH(H231,'G-7 Rivers Data'!$H$3:$L$3,0)),"")</f>
        <v/>
      </c>
      <c r="J231" s="173"/>
      <c r="K231" s="172" t="str">
        <f>IF(J231="","",IF(VLOOKUP(J231,'G-7 Rivers Data'!$AK$4:$AM$9,2,FALSE)=0,"Spatial Data Missing",VLOOKUP(J231,'G-7 Rivers Data'!$AK$4:$AM$9,2,FALSE)))</f>
        <v/>
      </c>
      <c r="L231" s="172" t="str">
        <f>IF(J231="","",IF(VLOOKUP(J231,'G-7 Rivers Data'!$AK$4:$AM$9,3,FALSE)=0,"Spatial Data Missing",VLOOKUP(J231,'G-7 Rivers Data'!$AK$4:$AM$9,3,FALSE)))</f>
        <v/>
      </c>
      <c r="M231" s="79"/>
      <c r="N231" s="172" t="str">
        <f>IF(M231="","",IF(VLOOKUP(M231,'G-7 Rivers Data'!$AA$4:$AB$7,2,FALSE)=0,"Spatial Data Missing",VLOOKUP(M231,'G-7 Rivers Data'!$AA$4:$AB$7,2,FALSE)))</f>
        <v/>
      </c>
      <c r="O231" s="187"/>
      <c r="P231" s="172" t="str">
        <f>IF(O231="","",IF(VLOOKUP(O231,'G-7 Rivers Data'!$AD$4:$AE$8,2,FALSE)=0,"Spatial Data Missing",VLOOKUP(O231,'G-7 Rivers Data'!$AD$4:$AE$8,2,FALSE)))</f>
        <v/>
      </c>
      <c r="Q231" s="177" t="str">
        <f>IF(D231="","",VLOOKUP(D231,'G-7 Rivers Data'!$B$2:$G$8,6,FALSE))</f>
        <v/>
      </c>
      <c r="R231" s="207" t="str">
        <f t="shared" si="24"/>
        <v/>
      </c>
      <c r="S231" s="44"/>
      <c r="T231" s="173"/>
      <c r="U231" s="189"/>
      <c r="V231" s="208" t="str">
        <f t="shared" si="25"/>
        <v/>
      </c>
      <c r="W231" s="208" t="str">
        <f t="shared" si="26"/>
        <v/>
      </c>
      <c r="X231" s="208" t="str">
        <f t="shared" si="27"/>
        <v/>
      </c>
      <c r="Y231" s="209" t="str">
        <f t="shared" si="28"/>
        <v/>
      </c>
      <c r="Z231" s="182"/>
      <c r="AA231" s="183"/>
      <c r="AG231" s="35">
        <f t="shared" si="29"/>
        <v>0</v>
      </c>
      <c r="AH231" s="188" t="str">
        <f t="shared" si="30"/>
        <v/>
      </c>
      <c r="AI231" s="188" t="str">
        <f t="shared" si="31"/>
        <v/>
      </c>
      <c r="AK231" s="188">
        <v>222</v>
      </c>
      <c r="AM231" s="188" t="str">
        <f t="array" ref="AM231">IFERROR(INDEX($AK$10:$AK$258, MATCH(0, IF(TRUE=$AH$10:$AH$258, COUNTIF($AM$9:$AM230, $AK$10:$AK$258), ""), 0)),"")</f>
        <v/>
      </c>
      <c r="AN231" s="188" t="str">
        <f t="array" ref="AN231">IFERROR(INDEX($AK$10:$AK$258, MATCH(0, IF(TRUE=$AI$10:$AI$258, COUNTIF($AN$9:$AN230, $AK$10:$AK$258), ""), 0)),"")</f>
        <v/>
      </c>
      <c r="AP231" s="35" t="str">
        <f>IFERROR(INDEX('G-7 Rivers Data'!$AZ$3:$AZ$7,MATCH(D231,'G-7 Rivers Data'!$AY$3:$AY$7,0)),"")</f>
        <v/>
      </c>
    </row>
    <row r="232" spans="3:42" ht="13.8" x14ac:dyDescent="0.25">
      <c r="C232" s="168">
        <v>223</v>
      </c>
      <c r="D232" s="212"/>
      <c r="E232" s="213"/>
      <c r="F232" s="171" t="str">
        <f>IF(D232="","",VLOOKUP(D232,'G-7 Rivers Data'!$B$2:$G$8,2,FALSE))</f>
        <v/>
      </c>
      <c r="G232" s="172" t="str">
        <f>IFERROR(VLOOKUP(F232,'G-7 Rivers Data'!$C$4:$D$8,2,FALSE),"")</f>
        <v/>
      </c>
      <c r="H232" s="173"/>
      <c r="I232" s="172" t="str">
        <f>IFERROR(INDEX('G-7 Rivers Data'!$H$4:$L$8,MATCH(D232,'G-7 Rivers Data'!$B$4:$B$8,0),MATCH(H232,'G-7 Rivers Data'!$H$3:$L$3,0)),"")</f>
        <v/>
      </c>
      <c r="J232" s="173"/>
      <c r="K232" s="172" t="str">
        <f>IF(J232="","",IF(VLOOKUP(J232,'G-7 Rivers Data'!$AK$4:$AM$9,2,FALSE)=0,"Spatial Data Missing",VLOOKUP(J232,'G-7 Rivers Data'!$AK$4:$AM$9,2,FALSE)))</f>
        <v/>
      </c>
      <c r="L232" s="172" t="str">
        <f>IF(J232="","",IF(VLOOKUP(J232,'G-7 Rivers Data'!$AK$4:$AM$9,3,FALSE)=0,"Spatial Data Missing",VLOOKUP(J232,'G-7 Rivers Data'!$AK$4:$AM$9,3,FALSE)))</f>
        <v/>
      </c>
      <c r="M232" s="79"/>
      <c r="N232" s="172" t="str">
        <f>IF(M232="","",IF(VLOOKUP(M232,'G-7 Rivers Data'!$AA$4:$AB$7,2,FALSE)=0,"Spatial Data Missing",VLOOKUP(M232,'G-7 Rivers Data'!$AA$4:$AB$7,2,FALSE)))</f>
        <v/>
      </c>
      <c r="O232" s="187"/>
      <c r="P232" s="172" t="str">
        <f>IF(O232="","",IF(VLOOKUP(O232,'G-7 Rivers Data'!$AD$4:$AE$8,2,FALSE)=0,"Spatial Data Missing",VLOOKUP(O232,'G-7 Rivers Data'!$AD$4:$AE$8,2,FALSE)))</f>
        <v/>
      </c>
      <c r="Q232" s="177" t="str">
        <f>IF(D232="","",VLOOKUP(D232,'G-7 Rivers Data'!$B$2:$G$8,6,FALSE))</f>
        <v/>
      </c>
      <c r="R232" s="207" t="str">
        <f t="shared" si="24"/>
        <v/>
      </c>
      <c r="S232" s="44"/>
      <c r="T232" s="173"/>
      <c r="U232" s="189"/>
      <c r="V232" s="208" t="str">
        <f t="shared" si="25"/>
        <v/>
      </c>
      <c r="W232" s="208" t="str">
        <f t="shared" si="26"/>
        <v/>
      </c>
      <c r="X232" s="208" t="str">
        <f t="shared" si="27"/>
        <v/>
      </c>
      <c r="Y232" s="209" t="str">
        <f t="shared" si="28"/>
        <v/>
      </c>
      <c r="Z232" s="182"/>
      <c r="AA232" s="183"/>
      <c r="AG232" s="35">
        <f t="shared" si="29"/>
        <v>0</v>
      </c>
      <c r="AH232" s="188" t="str">
        <f t="shared" si="30"/>
        <v/>
      </c>
      <c r="AI232" s="188" t="str">
        <f t="shared" si="31"/>
        <v/>
      </c>
      <c r="AK232" s="188">
        <v>223</v>
      </c>
      <c r="AM232" s="188" t="str">
        <f t="array" ref="AM232">IFERROR(INDEX($AK$10:$AK$258, MATCH(0, IF(TRUE=$AH$10:$AH$258, COUNTIF($AM$9:$AM231, $AK$10:$AK$258), ""), 0)),"")</f>
        <v/>
      </c>
      <c r="AN232" s="188" t="str">
        <f t="array" ref="AN232">IFERROR(INDEX($AK$10:$AK$258, MATCH(0, IF(TRUE=$AI$10:$AI$258, COUNTIF($AN$9:$AN231, $AK$10:$AK$258), ""), 0)),"")</f>
        <v/>
      </c>
      <c r="AP232" s="35" t="str">
        <f>IFERROR(INDEX('G-7 Rivers Data'!$AZ$3:$AZ$7,MATCH(D232,'G-7 Rivers Data'!$AY$3:$AY$7,0)),"")</f>
        <v/>
      </c>
    </row>
    <row r="233" spans="3:42" ht="13.8" x14ac:dyDescent="0.25">
      <c r="C233" s="168">
        <v>224</v>
      </c>
      <c r="D233" s="212"/>
      <c r="E233" s="213"/>
      <c r="F233" s="171" t="str">
        <f>IF(D233="","",VLOOKUP(D233,'G-7 Rivers Data'!$B$2:$G$8,2,FALSE))</f>
        <v/>
      </c>
      <c r="G233" s="172" t="str">
        <f>IFERROR(VLOOKUP(F233,'G-7 Rivers Data'!$C$4:$D$8,2,FALSE),"")</f>
        <v/>
      </c>
      <c r="H233" s="173"/>
      <c r="I233" s="172" t="str">
        <f>IFERROR(INDEX('G-7 Rivers Data'!$H$4:$L$8,MATCH(D233,'G-7 Rivers Data'!$B$4:$B$8,0),MATCH(H233,'G-7 Rivers Data'!$H$3:$L$3,0)),"")</f>
        <v/>
      </c>
      <c r="J233" s="173"/>
      <c r="K233" s="172" t="str">
        <f>IF(J233="","",IF(VLOOKUP(J233,'G-7 Rivers Data'!$AK$4:$AM$9,2,FALSE)=0,"Spatial Data Missing",VLOOKUP(J233,'G-7 Rivers Data'!$AK$4:$AM$9,2,FALSE)))</f>
        <v/>
      </c>
      <c r="L233" s="172" t="str">
        <f>IF(J233="","",IF(VLOOKUP(J233,'G-7 Rivers Data'!$AK$4:$AM$9,3,FALSE)=0,"Spatial Data Missing",VLOOKUP(J233,'G-7 Rivers Data'!$AK$4:$AM$9,3,FALSE)))</f>
        <v/>
      </c>
      <c r="M233" s="79"/>
      <c r="N233" s="172" t="str">
        <f>IF(M233="","",IF(VLOOKUP(M233,'G-7 Rivers Data'!$AA$4:$AB$7,2,FALSE)=0,"Spatial Data Missing",VLOOKUP(M233,'G-7 Rivers Data'!$AA$4:$AB$7,2,FALSE)))</f>
        <v/>
      </c>
      <c r="O233" s="187"/>
      <c r="P233" s="172" t="str">
        <f>IF(O233="","",IF(VLOOKUP(O233,'G-7 Rivers Data'!$AD$4:$AE$8,2,FALSE)=0,"Spatial Data Missing",VLOOKUP(O233,'G-7 Rivers Data'!$AD$4:$AE$8,2,FALSE)))</f>
        <v/>
      </c>
      <c r="Q233" s="177" t="str">
        <f>IF(D233="","",VLOOKUP(D233,'G-7 Rivers Data'!$B$2:$G$8,6,FALSE))</f>
        <v/>
      </c>
      <c r="R233" s="207" t="str">
        <f t="shared" si="24"/>
        <v/>
      </c>
      <c r="S233" s="44"/>
      <c r="T233" s="173"/>
      <c r="U233" s="189"/>
      <c r="V233" s="208" t="str">
        <f t="shared" si="25"/>
        <v/>
      </c>
      <c r="W233" s="208" t="str">
        <f t="shared" si="26"/>
        <v/>
      </c>
      <c r="X233" s="208" t="str">
        <f t="shared" si="27"/>
        <v/>
      </c>
      <c r="Y233" s="209" t="str">
        <f t="shared" si="28"/>
        <v/>
      </c>
      <c r="Z233" s="182"/>
      <c r="AA233" s="183"/>
      <c r="AG233" s="35">
        <f t="shared" si="29"/>
        <v>0</v>
      </c>
      <c r="AH233" s="188" t="str">
        <f t="shared" si="30"/>
        <v/>
      </c>
      <c r="AI233" s="188" t="str">
        <f t="shared" si="31"/>
        <v/>
      </c>
      <c r="AK233" s="188">
        <v>224</v>
      </c>
      <c r="AM233" s="188" t="str">
        <f t="array" ref="AM233">IFERROR(INDEX($AK$10:$AK$258, MATCH(0, IF(TRUE=$AH$10:$AH$258, COUNTIF($AM$9:$AM232, $AK$10:$AK$258), ""), 0)),"")</f>
        <v/>
      </c>
      <c r="AN233" s="188" t="str">
        <f t="array" ref="AN233">IFERROR(INDEX($AK$10:$AK$258, MATCH(0, IF(TRUE=$AI$10:$AI$258, COUNTIF($AN$9:$AN232, $AK$10:$AK$258), ""), 0)),"")</f>
        <v/>
      </c>
      <c r="AP233" s="35" t="str">
        <f>IFERROR(INDEX('G-7 Rivers Data'!$AZ$3:$AZ$7,MATCH(D233,'G-7 Rivers Data'!$AY$3:$AY$7,0)),"")</f>
        <v/>
      </c>
    </row>
    <row r="234" spans="3:42" ht="13.8" x14ac:dyDescent="0.25">
      <c r="C234" s="168">
        <v>225</v>
      </c>
      <c r="D234" s="212"/>
      <c r="E234" s="213"/>
      <c r="F234" s="171" t="str">
        <f>IF(D234="","",VLOOKUP(D234,'G-7 Rivers Data'!$B$2:$G$8,2,FALSE))</f>
        <v/>
      </c>
      <c r="G234" s="172" t="str">
        <f>IFERROR(VLOOKUP(F234,'G-7 Rivers Data'!$C$4:$D$8,2,FALSE),"")</f>
        <v/>
      </c>
      <c r="H234" s="173"/>
      <c r="I234" s="172" t="str">
        <f>IFERROR(INDEX('G-7 Rivers Data'!$H$4:$L$8,MATCH(D234,'G-7 Rivers Data'!$B$4:$B$8,0),MATCH(H234,'G-7 Rivers Data'!$H$3:$L$3,0)),"")</f>
        <v/>
      </c>
      <c r="J234" s="173"/>
      <c r="K234" s="172" t="str">
        <f>IF(J234="","",IF(VLOOKUP(J234,'G-7 Rivers Data'!$AK$4:$AM$9,2,FALSE)=0,"Spatial Data Missing",VLOOKUP(J234,'G-7 Rivers Data'!$AK$4:$AM$9,2,FALSE)))</f>
        <v/>
      </c>
      <c r="L234" s="172" t="str">
        <f>IF(J234="","",IF(VLOOKUP(J234,'G-7 Rivers Data'!$AK$4:$AM$9,3,FALSE)=0,"Spatial Data Missing",VLOOKUP(J234,'G-7 Rivers Data'!$AK$4:$AM$9,3,FALSE)))</f>
        <v/>
      </c>
      <c r="M234" s="79"/>
      <c r="N234" s="172" t="str">
        <f>IF(M234="","",IF(VLOOKUP(M234,'G-7 Rivers Data'!$AA$4:$AB$7,2,FALSE)=0,"Spatial Data Missing",VLOOKUP(M234,'G-7 Rivers Data'!$AA$4:$AB$7,2,FALSE)))</f>
        <v/>
      </c>
      <c r="O234" s="187"/>
      <c r="P234" s="172" t="str">
        <f>IF(O234="","",IF(VLOOKUP(O234,'G-7 Rivers Data'!$AD$4:$AE$8,2,FALSE)=0,"Spatial Data Missing",VLOOKUP(O234,'G-7 Rivers Data'!$AD$4:$AE$8,2,FALSE)))</f>
        <v/>
      </c>
      <c r="Q234" s="177" t="str">
        <f>IF(D234="","",VLOOKUP(D234,'G-7 Rivers Data'!$B$2:$G$8,6,FALSE))</f>
        <v/>
      </c>
      <c r="R234" s="207" t="str">
        <f t="shared" si="24"/>
        <v/>
      </c>
      <c r="S234" s="44"/>
      <c r="T234" s="173"/>
      <c r="U234" s="189"/>
      <c r="V234" s="208" t="str">
        <f t="shared" si="25"/>
        <v/>
      </c>
      <c r="W234" s="208" t="str">
        <f t="shared" si="26"/>
        <v/>
      </c>
      <c r="X234" s="208" t="str">
        <f t="shared" si="27"/>
        <v/>
      </c>
      <c r="Y234" s="209" t="str">
        <f t="shared" si="28"/>
        <v/>
      </c>
      <c r="Z234" s="182"/>
      <c r="AA234" s="183"/>
      <c r="AG234" s="35">
        <f t="shared" si="29"/>
        <v>0</v>
      </c>
      <c r="AH234" s="188" t="str">
        <f t="shared" si="30"/>
        <v/>
      </c>
      <c r="AI234" s="188" t="str">
        <f t="shared" si="31"/>
        <v/>
      </c>
      <c r="AK234" s="188">
        <v>225</v>
      </c>
      <c r="AM234" s="188" t="str">
        <f t="array" ref="AM234">IFERROR(INDEX($AK$10:$AK$258, MATCH(0, IF(TRUE=$AH$10:$AH$258, COUNTIF($AM$9:$AM233, $AK$10:$AK$258), ""), 0)),"")</f>
        <v/>
      </c>
      <c r="AN234" s="188" t="str">
        <f t="array" ref="AN234">IFERROR(INDEX($AK$10:$AK$258, MATCH(0, IF(TRUE=$AI$10:$AI$258, COUNTIF($AN$9:$AN233, $AK$10:$AK$258), ""), 0)),"")</f>
        <v/>
      </c>
      <c r="AP234" s="35" t="str">
        <f>IFERROR(INDEX('G-7 Rivers Data'!$AZ$3:$AZ$7,MATCH(D234,'G-7 Rivers Data'!$AY$3:$AY$7,0)),"")</f>
        <v/>
      </c>
    </row>
    <row r="235" spans="3:42" ht="13.8" x14ac:dyDescent="0.25">
      <c r="C235" s="168">
        <v>226</v>
      </c>
      <c r="D235" s="212"/>
      <c r="E235" s="213"/>
      <c r="F235" s="171" t="str">
        <f>IF(D235="","",VLOOKUP(D235,'G-7 Rivers Data'!$B$2:$G$8,2,FALSE))</f>
        <v/>
      </c>
      <c r="G235" s="172" t="str">
        <f>IFERROR(VLOOKUP(F235,'G-7 Rivers Data'!$C$4:$D$8,2,FALSE),"")</f>
        <v/>
      </c>
      <c r="H235" s="173"/>
      <c r="I235" s="172" t="str">
        <f>IFERROR(INDEX('G-7 Rivers Data'!$H$4:$L$8,MATCH(D235,'G-7 Rivers Data'!$B$4:$B$8,0),MATCH(H235,'G-7 Rivers Data'!$H$3:$L$3,0)),"")</f>
        <v/>
      </c>
      <c r="J235" s="173"/>
      <c r="K235" s="172" t="str">
        <f>IF(J235="","",IF(VLOOKUP(J235,'G-7 Rivers Data'!$AK$4:$AM$9,2,FALSE)=0,"Spatial Data Missing",VLOOKUP(J235,'G-7 Rivers Data'!$AK$4:$AM$9,2,FALSE)))</f>
        <v/>
      </c>
      <c r="L235" s="172" t="str">
        <f>IF(J235="","",IF(VLOOKUP(J235,'G-7 Rivers Data'!$AK$4:$AM$9,3,FALSE)=0,"Spatial Data Missing",VLOOKUP(J235,'G-7 Rivers Data'!$AK$4:$AM$9,3,FALSE)))</f>
        <v/>
      </c>
      <c r="M235" s="79"/>
      <c r="N235" s="172" t="str">
        <f>IF(M235="","",IF(VLOOKUP(M235,'G-7 Rivers Data'!$AA$4:$AB$7,2,FALSE)=0,"Spatial Data Missing",VLOOKUP(M235,'G-7 Rivers Data'!$AA$4:$AB$7,2,FALSE)))</f>
        <v/>
      </c>
      <c r="O235" s="187"/>
      <c r="P235" s="172" t="str">
        <f>IF(O235="","",IF(VLOOKUP(O235,'G-7 Rivers Data'!$AD$4:$AE$8,2,FALSE)=0,"Spatial Data Missing",VLOOKUP(O235,'G-7 Rivers Data'!$AD$4:$AE$8,2,FALSE)))</f>
        <v/>
      </c>
      <c r="Q235" s="177" t="str">
        <f>IF(D235="","",VLOOKUP(D235,'G-7 Rivers Data'!$B$2:$G$8,6,FALSE))</f>
        <v/>
      </c>
      <c r="R235" s="207" t="str">
        <f t="shared" si="24"/>
        <v/>
      </c>
      <c r="S235" s="44"/>
      <c r="T235" s="173"/>
      <c r="U235" s="189"/>
      <c r="V235" s="208" t="str">
        <f t="shared" si="25"/>
        <v/>
      </c>
      <c r="W235" s="208" t="str">
        <f t="shared" si="26"/>
        <v/>
      </c>
      <c r="X235" s="208" t="str">
        <f t="shared" si="27"/>
        <v/>
      </c>
      <c r="Y235" s="209" t="str">
        <f t="shared" si="28"/>
        <v/>
      </c>
      <c r="Z235" s="182"/>
      <c r="AA235" s="183"/>
      <c r="AG235" s="35">
        <f t="shared" si="29"/>
        <v>0</v>
      </c>
      <c r="AH235" s="188" t="str">
        <f t="shared" si="30"/>
        <v/>
      </c>
      <c r="AI235" s="188" t="str">
        <f t="shared" si="31"/>
        <v/>
      </c>
      <c r="AK235" s="188">
        <v>226</v>
      </c>
      <c r="AM235" s="188" t="str">
        <f t="array" ref="AM235">IFERROR(INDEX($AK$10:$AK$258, MATCH(0, IF(TRUE=$AH$10:$AH$258, COUNTIF($AM$9:$AM234, $AK$10:$AK$258), ""), 0)),"")</f>
        <v/>
      </c>
      <c r="AN235" s="188" t="str">
        <f t="array" ref="AN235">IFERROR(INDEX($AK$10:$AK$258, MATCH(0, IF(TRUE=$AI$10:$AI$258, COUNTIF($AN$9:$AN234, $AK$10:$AK$258), ""), 0)),"")</f>
        <v/>
      </c>
      <c r="AP235" s="35" t="str">
        <f>IFERROR(INDEX('G-7 Rivers Data'!$AZ$3:$AZ$7,MATCH(D235,'G-7 Rivers Data'!$AY$3:$AY$7,0)),"")</f>
        <v/>
      </c>
    </row>
    <row r="236" spans="3:42" ht="13.8" x14ac:dyDescent="0.25">
      <c r="C236" s="168">
        <v>227</v>
      </c>
      <c r="D236" s="212"/>
      <c r="E236" s="213"/>
      <c r="F236" s="171" t="str">
        <f>IF(D236="","",VLOOKUP(D236,'G-7 Rivers Data'!$B$2:$G$8,2,FALSE))</f>
        <v/>
      </c>
      <c r="G236" s="172" t="str">
        <f>IFERROR(VLOOKUP(F236,'G-7 Rivers Data'!$C$4:$D$8,2,FALSE),"")</f>
        <v/>
      </c>
      <c r="H236" s="173"/>
      <c r="I236" s="172" t="str">
        <f>IFERROR(INDEX('G-7 Rivers Data'!$H$4:$L$8,MATCH(D236,'G-7 Rivers Data'!$B$4:$B$8,0),MATCH(H236,'G-7 Rivers Data'!$H$3:$L$3,0)),"")</f>
        <v/>
      </c>
      <c r="J236" s="173"/>
      <c r="K236" s="172" t="str">
        <f>IF(J236="","",IF(VLOOKUP(J236,'G-7 Rivers Data'!$AK$4:$AM$9,2,FALSE)=0,"Spatial Data Missing",VLOOKUP(J236,'G-7 Rivers Data'!$AK$4:$AM$9,2,FALSE)))</f>
        <v/>
      </c>
      <c r="L236" s="172" t="str">
        <f>IF(J236="","",IF(VLOOKUP(J236,'G-7 Rivers Data'!$AK$4:$AM$9,3,FALSE)=0,"Spatial Data Missing",VLOOKUP(J236,'G-7 Rivers Data'!$AK$4:$AM$9,3,FALSE)))</f>
        <v/>
      </c>
      <c r="M236" s="79"/>
      <c r="N236" s="172" t="str">
        <f>IF(M236="","",IF(VLOOKUP(M236,'G-7 Rivers Data'!$AA$4:$AB$7,2,FALSE)=0,"Spatial Data Missing",VLOOKUP(M236,'G-7 Rivers Data'!$AA$4:$AB$7,2,FALSE)))</f>
        <v/>
      </c>
      <c r="O236" s="187"/>
      <c r="P236" s="172" t="str">
        <f>IF(O236="","",IF(VLOOKUP(O236,'G-7 Rivers Data'!$AD$4:$AE$8,2,FALSE)=0,"Spatial Data Missing",VLOOKUP(O236,'G-7 Rivers Data'!$AD$4:$AE$8,2,FALSE)))</f>
        <v/>
      </c>
      <c r="Q236" s="177" t="str">
        <f>IF(D236="","",VLOOKUP(D236,'G-7 Rivers Data'!$B$2:$G$8,6,FALSE))</f>
        <v/>
      </c>
      <c r="R236" s="207" t="str">
        <f t="shared" si="24"/>
        <v/>
      </c>
      <c r="S236" s="44"/>
      <c r="T236" s="173"/>
      <c r="U236" s="189"/>
      <c r="V236" s="208" t="str">
        <f t="shared" si="25"/>
        <v/>
      </c>
      <c r="W236" s="208" t="str">
        <f t="shared" si="26"/>
        <v/>
      </c>
      <c r="X236" s="208" t="str">
        <f t="shared" si="27"/>
        <v/>
      </c>
      <c r="Y236" s="209" t="str">
        <f t="shared" si="28"/>
        <v/>
      </c>
      <c r="Z236" s="182"/>
      <c r="AA236" s="183"/>
      <c r="AG236" s="35">
        <f t="shared" si="29"/>
        <v>0</v>
      </c>
      <c r="AH236" s="188" t="str">
        <f t="shared" si="30"/>
        <v/>
      </c>
      <c r="AI236" s="188" t="str">
        <f t="shared" si="31"/>
        <v/>
      </c>
      <c r="AK236" s="188">
        <v>227</v>
      </c>
      <c r="AM236" s="188" t="str">
        <f t="array" ref="AM236">IFERROR(INDEX($AK$10:$AK$258, MATCH(0, IF(TRUE=$AH$10:$AH$258, COUNTIF($AM$9:$AM235, $AK$10:$AK$258), ""), 0)),"")</f>
        <v/>
      </c>
      <c r="AN236" s="188" t="str">
        <f t="array" ref="AN236">IFERROR(INDEX($AK$10:$AK$258, MATCH(0, IF(TRUE=$AI$10:$AI$258, COUNTIF($AN$9:$AN235, $AK$10:$AK$258), ""), 0)),"")</f>
        <v/>
      </c>
      <c r="AP236" s="35" t="str">
        <f>IFERROR(INDEX('G-7 Rivers Data'!$AZ$3:$AZ$7,MATCH(D236,'G-7 Rivers Data'!$AY$3:$AY$7,0)),"")</f>
        <v/>
      </c>
    </row>
    <row r="237" spans="3:42" ht="13.8" x14ac:dyDescent="0.25">
      <c r="C237" s="168">
        <v>228</v>
      </c>
      <c r="D237" s="212"/>
      <c r="E237" s="213"/>
      <c r="F237" s="171" t="str">
        <f>IF(D237="","",VLOOKUP(D237,'G-7 Rivers Data'!$B$2:$G$8,2,FALSE))</f>
        <v/>
      </c>
      <c r="G237" s="172" t="str">
        <f>IFERROR(VLOOKUP(F237,'G-7 Rivers Data'!$C$4:$D$8,2,FALSE),"")</f>
        <v/>
      </c>
      <c r="H237" s="173"/>
      <c r="I237" s="172" t="str">
        <f>IFERROR(INDEX('G-7 Rivers Data'!$H$4:$L$8,MATCH(D237,'G-7 Rivers Data'!$B$4:$B$8,0),MATCH(H237,'G-7 Rivers Data'!$H$3:$L$3,0)),"")</f>
        <v/>
      </c>
      <c r="J237" s="173"/>
      <c r="K237" s="172" t="str">
        <f>IF(J237="","",IF(VLOOKUP(J237,'G-7 Rivers Data'!$AK$4:$AM$9,2,FALSE)=0,"Spatial Data Missing",VLOOKUP(J237,'G-7 Rivers Data'!$AK$4:$AM$9,2,FALSE)))</f>
        <v/>
      </c>
      <c r="L237" s="172" t="str">
        <f>IF(J237="","",IF(VLOOKUP(J237,'G-7 Rivers Data'!$AK$4:$AM$9,3,FALSE)=0,"Spatial Data Missing",VLOOKUP(J237,'G-7 Rivers Data'!$AK$4:$AM$9,3,FALSE)))</f>
        <v/>
      </c>
      <c r="M237" s="79"/>
      <c r="N237" s="172" t="str">
        <f>IF(M237="","",IF(VLOOKUP(M237,'G-7 Rivers Data'!$AA$4:$AB$7,2,FALSE)=0,"Spatial Data Missing",VLOOKUP(M237,'G-7 Rivers Data'!$AA$4:$AB$7,2,FALSE)))</f>
        <v/>
      </c>
      <c r="O237" s="187"/>
      <c r="P237" s="172" t="str">
        <f>IF(O237="","",IF(VLOOKUP(O237,'G-7 Rivers Data'!$AD$4:$AE$8,2,FALSE)=0,"Spatial Data Missing",VLOOKUP(O237,'G-7 Rivers Data'!$AD$4:$AE$8,2,FALSE)))</f>
        <v/>
      </c>
      <c r="Q237" s="177" t="str">
        <f>IF(D237="","",VLOOKUP(D237,'G-7 Rivers Data'!$B$2:$G$8,6,FALSE))</f>
        <v/>
      </c>
      <c r="R237" s="207" t="str">
        <f t="shared" si="24"/>
        <v/>
      </c>
      <c r="S237" s="44"/>
      <c r="T237" s="173"/>
      <c r="U237" s="189"/>
      <c r="V237" s="208" t="str">
        <f t="shared" si="25"/>
        <v/>
      </c>
      <c r="W237" s="208" t="str">
        <f t="shared" si="26"/>
        <v/>
      </c>
      <c r="X237" s="208" t="str">
        <f t="shared" si="27"/>
        <v/>
      </c>
      <c r="Y237" s="209" t="str">
        <f t="shared" si="28"/>
        <v/>
      </c>
      <c r="Z237" s="182"/>
      <c r="AA237" s="183"/>
      <c r="AG237" s="35">
        <f t="shared" si="29"/>
        <v>0</v>
      </c>
      <c r="AH237" s="188" t="str">
        <f t="shared" si="30"/>
        <v/>
      </c>
      <c r="AI237" s="188" t="str">
        <f t="shared" si="31"/>
        <v/>
      </c>
      <c r="AK237" s="188">
        <v>228</v>
      </c>
      <c r="AM237" s="188" t="str">
        <f t="array" ref="AM237">IFERROR(INDEX($AK$10:$AK$258, MATCH(0, IF(TRUE=$AH$10:$AH$258, COUNTIF($AM$9:$AM236, $AK$10:$AK$258), ""), 0)),"")</f>
        <v/>
      </c>
      <c r="AN237" s="188" t="str">
        <f t="array" ref="AN237">IFERROR(INDEX($AK$10:$AK$258, MATCH(0, IF(TRUE=$AI$10:$AI$258, COUNTIF($AN$9:$AN236, $AK$10:$AK$258), ""), 0)),"")</f>
        <v/>
      </c>
      <c r="AP237" s="35" t="str">
        <f>IFERROR(INDEX('G-7 Rivers Data'!$AZ$3:$AZ$7,MATCH(D237,'G-7 Rivers Data'!$AY$3:$AY$7,0)),"")</f>
        <v/>
      </c>
    </row>
    <row r="238" spans="3:42" ht="13.8" x14ac:dyDescent="0.25">
      <c r="C238" s="168">
        <v>229</v>
      </c>
      <c r="D238" s="212"/>
      <c r="E238" s="213"/>
      <c r="F238" s="171" t="str">
        <f>IF(D238="","",VLOOKUP(D238,'G-7 Rivers Data'!$B$2:$G$8,2,FALSE))</f>
        <v/>
      </c>
      <c r="G238" s="172" t="str">
        <f>IFERROR(VLOOKUP(F238,'G-7 Rivers Data'!$C$4:$D$8,2,FALSE),"")</f>
        <v/>
      </c>
      <c r="H238" s="173"/>
      <c r="I238" s="172" t="str">
        <f>IFERROR(INDEX('G-7 Rivers Data'!$H$4:$L$8,MATCH(D238,'G-7 Rivers Data'!$B$4:$B$8,0),MATCH(H238,'G-7 Rivers Data'!$H$3:$L$3,0)),"")</f>
        <v/>
      </c>
      <c r="J238" s="173"/>
      <c r="K238" s="172" t="str">
        <f>IF(J238="","",IF(VLOOKUP(J238,'G-7 Rivers Data'!$AK$4:$AM$9,2,FALSE)=0,"Spatial Data Missing",VLOOKUP(J238,'G-7 Rivers Data'!$AK$4:$AM$9,2,FALSE)))</f>
        <v/>
      </c>
      <c r="L238" s="172" t="str">
        <f>IF(J238="","",IF(VLOOKUP(J238,'G-7 Rivers Data'!$AK$4:$AM$9,3,FALSE)=0,"Spatial Data Missing",VLOOKUP(J238,'G-7 Rivers Data'!$AK$4:$AM$9,3,FALSE)))</f>
        <v/>
      </c>
      <c r="M238" s="79"/>
      <c r="N238" s="172" t="str">
        <f>IF(M238="","",IF(VLOOKUP(M238,'G-7 Rivers Data'!$AA$4:$AB$7,2,FALSE)=0,"Spatial Data Missing",VLOOKUP(M238,'G-7 Rivers Data'!$AA$4:$AB$7,2,FALSE)))</f>
        <v/>
      </c>
      <c r="O238" s="187"/>
      <c r="P238" s="172" t="str">
        <f>IF(O238="","",IF(VLOOKUP(O238,'G-7 Rivers Data'!$AD$4:$AE$8,2,FALSE)=0,"Spatial Data Missing",VLOOKUP(O238,'G-7 Rivers Data'!$AD$4:$AE$8,2,FALSE)))</f>
        <v/>
      </c>
      <c r="Q238" s="177" t="str">
        <f>IF(D238="","",VLOOKUP(D238,'G-7 Rivers Data'!$B$2:$G$8,6,FALSE))</f>
        <v/>
      </c>
      <c r="R238" s="207" t="str">
        <f t="shared" si="24"/>
        <v/>
      </c>
      <c r="S238" s="44"/>
      <c r="T238" s="173"/>
      <c r="U238" s="189"/>
      <c r="V238" s="208" t="str">
        <f t="shared" si="25"/>
        <v/>
      </c>
      <c r="W238" s="208" t="str">
        <f t="shared" si="26"/>
        <v/>
      </c>
      <c r="X238" s="208" t="str">
        <f t="shared" si="27"/>
        <v/>
      </c>
      <c r="Y238" s="209" t="str">
        <f t="shared" si="28"/>
        <v/>
      </c>
      <c r="Z238" s="182"/>
      <c r="AA238" s="183"/>
      <c r="AG238" s="35">
        <f t="shared" si="29"/>
        <v>0</v>
      </c>
      <c r="AH238" s="188" t="str">
        <f t="shared" si="30"/>
        <v/>
      </c>
      <c r="AI238" s="188" t="str">
        <f t="shared" si="31"/>
        <v/>
      </c>
      <c r="AK238" s="188">
        <v>229</v>
      </c>
      <c r="AM238" s="188" t="str">
        <f t="array" ref="AM238">IFERROR(INDEX($AK$10:$AK$258, MATCH(0, IF(TRUE=$AH$10:$AH$258, COUNTIF($AM$9:$AM237, $AK$10:$AK$258), ""), 0)),"")</f>
        <v/>
      </c>
      <c r="AN238" s="188" t="str">
        <f t="array" ref="AN238">IFERROR(INDEX($AK$10:$AK$258, MATCH(0, IF(TRUE=$AI$10:$AI$258, COUNTIF($AN$9:$AN237, $AK$10:$AK$258), ""), 0)),"")</f>
        <v/>
      </c>
      <c r="AP238" s="35" t="str">
        <f>IFERROR(INDEX('G-7 Rivers Data'!$AZ$3:$AZ$7,MATCH(D238,'G-7 Rivers Data'!$AY$3:$AY$7,0)),"")</f>
        <v/>
      </c>
    </row>
    <row r="239" spans="3:42" ht="13.8" x14ac:dyDescent="0.25">
      <c r="C239" s="168">
        <v>230</v>
      </c>
      <c r="D239" s="212"/>
      <c r="E239" s="213"/>
      <c r="F239" s="171" t="str">
        <f>IF(D239="","",VLOOKUP(D239,'G-7 Rivers Data'!$B$2:$G$8,2,FALSE))</f>
        <v/>
      </c>
      <c r="G239" s="172" t="str">
        <f>IFERROR(VLOOKUP(F239,'G-7 Rivers Data'!$C$4:$D$8,2,FALSE),"")</f>
        <v/>
      </c>
      <c r="H239" s="173"/>
      <c r="I239" s="172" t="str">
        <f>IFERROR(INDEX('G-7 Rivers Data'!$H$4:$L$8,MATCH(D239,'G-7 Rivers Data'!$B$4:$B$8,0),MATCH(H239,'G-7 Rivers Data'!$H$3:$L$3,0)),"")</f>
        <v/>
      </c>
      <c r="J239" s="173"/>
      <c r="K239" s="172" t="str">
        <f>IF(J239="","",IF(VLOOKUP(J239,'G-7 Rivers Data'!$AK$4:$AM$9,2,FALSE)=0,"Spatial Data Missing",VLOOKUP(J239,'G-7 Rivers Data'!$AK$4:$AM$9,2,FALSE)))</f>
        <v/>
      </c>
      <c r="L239" s="172" t="str">
        <f>IF(J239="","",IF(VLOOKUP(J239,'G-7 Rivers Data'!$AK$4:$AM$9,3,FALSE)=0,"Spatial Data Missing",VLOOKUP(J239,'G-7 Rivers Data'!$AK$4:$AM$9,3,FALSE)))</f>
        <v/>
      </c>
      <c r="M239" s="79"/>
      <c r="N239" s="172" t="str">
        <f>IF(M239="","",IF(VLOOKUP(M239,'G-7 Rivers Data'!$AA$4:$AB$7,2,FALSE)=0,"Spatial Data Missing",VLOOKUP(M239,'G-7 Rivers Data'!$AA$4:$AB$7,2,FALSE)))</f>
        <v/>
      </c>
      <c r="O239" s="187"/>
      <c r="P239" s="172" t="str">
        <f>IF(O239="","",IF(VLOOKUP(O239,'G-7 Rivers Data'!$AD$4:$AE$8,2,FALSE)=0,"Spatial Data Missing",VLOOKUP(O239,'G-7 Rivers Data'!$AD$4:$AE$8,2,FALSE)))</f>
        <v/>
      </c>
      <c r="Q239" s="177" t="str">
        <f>IF(D239="","",VLOOKUP(D239,'G-7 Rivers Data'!$B$2:$G$8,6,FALSE))</f>
        <v/>
      </c>
      <c r="R239" s="207" t="str">
        <f t="shared" si="24"/>
        <v/>
      </c>
      <c r="S239" s="44"/>
      <c r="T239" s="173"/>
      <c r="U239" s="189"/>
      <c r="V239" s="208" t="str">
        <f t="shared" si="25"/>
        <v/>
      </c>
      <c r="W239" s="208" t="str">
        <f t="shared" si="26"/>
        <v/>
      </c>
      <c r="X239" s="208" t="str">
        <f t="shared" si="27"/>
        <v/>
      </c>
      <c r="Y239" s="209" t="str">
        <f t="shared" si="28"/>
        <v/>
      </c>
      <c r="Z239" s="182"/>
      <c r="AA239" s="183"/>
      <c r="AG239" s="35">
        <f t="shared" si="29"/>
        <v>0</v>
      </c>
      <c r="AH239" s="188" t="str">
        <f t="shared" si="30"/>
        <v/>
      </c>
      <c r="AI239" s="188" t="str">
        <f t="shared" si="31"/>
        <v/>
      </c>
      <c r="AK239" s="188">
        <v>230</v>
      </c>
      <c r="AM239" s="188" t="str">
        <f t="array" ref="AM239">IFERROR(INDEX($AK$10:$AK$258, MATCH(0, IF(TRUE=$AH$10:$AH$258, COUNTIF($AM$9:$AM238, $AK$10:$AK$258), ""), 0)),"")</f>
        <v/>
      </c>
      <c r="AN239" s="188" t="str">
        <f t="array" ref="AN239">IFERROR(INDEX($AK$10:$AK$258, MATCH(0, IF(TRUE=$AI$10:$AI$258, COUNTIF($AN$9:$AN238, $AK$10:$AK$258), ""), 0)),"")</f>
        <v/>
      </c>
      <c r="AP239" s="35" t="str">
        <f>IFERROR(INDEX('G-7 Rivers Data'!$AZ$3:$AZ$7,MATCH(D239,'G-7 Rivers Data'!$AY$3:$AY$7,0)),"")</f>
        <v/>
      </c>
    </row>
    <row r="240" spans="3:42" ht="13.8" x14ac:dyDescent="0.25">
      <c r="C240" s="168">
        <v>231</v>
      </c>
      <c r="D240" s="212"/>
      <c r="E240" s="213"/>
      <c r="F240" s="171" t="str">
        <f>IF(D240="","",VLOOKUP(D240,'G-7 Rivers Data'!$B$2:$G$8,2,FALSE))</f>
        <v/>
      </c>
      <c r="G240" s="172" t="str">
        <f>IFERROR(VLOOKUP(F240,'G-7 Rivers Data'!$C$4:$D$8,2,FALSE),"")</f>
        <v/>
      </c>
      <c r="H240" s="173"/>
      <c r="I240" s="172" t="str">
        <f>IFERROR(INDEX('G-7 Rivers Data'!$H$4:$L$8,MATCH(D240,'G-7 Rivers Data'!$B$4:$B$8,0),MATCH(H240,'G-7 Rivers Data'!$H$3:$L$3,0)),"")</f>
        <v/>
      </c>
      <c r="J240" s="173"/>
      <c r="K240" s="172" t="str">
        <f>IF(J240="","",IF(VLOOKUP(J240,'G-7 Rivers Data'!$AK$4:$AM$9,2,FALSE)=0,"Spatial Data Missing",VLOOKUP(J240,'G-7 Rivers Data'!$AK$4:$AM$9,2,FALSE)))</f>
        <v/>
      </c>
      <c r="L240" s="172" t="str">
        <f>IF(J240="","",IF(VLOOKUP(J240,'G-7 Rivers Data'!$AK$4:$AM$9,3,FALSE)=0,"Spatial Data Missing",VLOOKUP(J240,'G-7 Rivers Data'!$AK$4:$AM$9,3,FALSE)))</f>
        <v/>
      </c>
      <c r="M240" s="79"/>
      <c r="N240" s="172" t="str">
        <f>IF(M240="","",IF(VLOOKUP(M240,'G-7 Rivers Data'!$AA$4:$AB$7,2,FALSE)=0,"Spatial Data Missing",VLOOKUP(M240,'G-7 Rivers Data'!$AA$4:$AB$7,2,FALSE)))</f>
        <v/>
      </c>
      <c r="O240" s="187"/>
      <c r="P240" s="172" t="str">
        <f>IF(O240="","",IF(VLOOKUP(O240,'G-7 Rivers Data'!$AD$4:$AE$8,2,FALSE)=0,"Spatial Data Missing",VLOOKUP(O240,'G-7 Rivers Data'!$AD$4:$AE$8,2,FALSE)))</f>
        <v/>
      </c>
      <c r="Q240" s="177" t="str">
        <f>IF(D240="","",VLOOKUP(D240,'G-7 Rivers Data'!$B$2:$G$8,6,FALSE))</f>
        <v/>
      </c>
      <c r="R240" s="207" t="str">
        <f t="shared" si="24"/>
        <v/>
      </c>
      <c r="S240" s="44"/>
      <c r="T240" s="173"/>
      <c r="U240" s="189"/>
      <c r="V240" s="208" t="str">
        <f t="shared" si="25"/>
        <v/>
      </c>
      <c r="W240" s="208" t="str">
        <f t="shared" si="26"/>
        <v/>
      </c>
      <c r="X240" s="208" t="str">
        <f t="shared" si="27"/>
        <v/>
      </c>
      <c r="Y240" s="209" t="str">
        <f t="shared" si="28"/>
        <v/>
      </c>
      <c r="Z240" s="182"/>
      <c r="AA240" s="183"/>
      <c r="AG240" s="35">
        <f t="shared" si="29"/>
        <v>0</v>
      </c>
      <c r="AH240" s="188" t="str">
        <f t="shared" si="30"/>
        <v/>
      </c>
      <c r="AI240" s="188" t="str">
        <f t="shared" si="31"/>
        <v/>
      </c>
      <c r="AK240" s="188">
        <v>231</v>
      </c>
      <c r="AM240" s="188" t="str">
        <f t="array" ref="AM240">IFERROR(INDEX($AK$10:$AK$258, MATCH(0, IF(TRUE=$AH$10:$AH$258, COUNTIF($AM$9:$AM239, $AK$10:$AK$258), ""), 0)),"")</f>
        <v/>
      </c>
      <c r="AN240" s="188" t="str">
        <f t="array" ref="AN240">IFERROR(INDEX($AK$10:$AK$258, MATCH(0, IF(TRUE=$AI$10:$AI$258, COUNTIF($AN$9:$AN239, $AK$10:$AK$258), ""), 0)),"")</f>
        <v/>
      </c>
      <c r="AP240" s="35" t="str">
        <f>IFERROR(INDEX('G-7 Rivers Data'!$AZ$3:$AZ$7,MATCH(D240,'G-7 Rivers Data'!$AY$3:$AY$7,0)),"")</f>
        <v/>
      </c>
    </row>
    <row r="241" spans="3:42" ht="13.8" x14ac:dyDescent="0.25">
      <c r="C241" s="168">
        <v>232</v>
      </c>
      <c r="D241" s="212"/>
      <c r="E241" s="213"/>
      <c r="F241" s="171" t="str">
        <f>IF(D241="","",VLOOKUP(D241,'G-7 Rivers Data'!$B$2:$G$8,2,FALSE))</f>
        <v/>
      </c>
      <c r="G241" s="172" t="str">
        <f>IFERROR(VLOOKUP(F241,'G-7 Rivers Data'!$C$4:$D$8,2,FALSE),"")</f>
        <v/>
      </c>
      <c r="H241" s="173"/>
      <c r="I241" s="172" t="str">
        <f>IFERROR(INDEX('G-7 Rivers Data'!$H$4:$L$8,MATCH(D241,'G-7 Rivers Data'!$B$4:$B$8,0),MATCH(H241,'G-7 Rivers Data'!$H$3:$L$3,0)),"")</f>
        <v/>
      </c>
      <c r="J241" s="173"/>
      <c r="K241" s="172" t="str">
        <f>IF(J241="","",IF(VLOOKUP(J241,'G-7 Rivers Data'!$AK$4:$AM$9,2,FALSE)=0,"Spatial Data Missing",VLOOKUP(J241,'G-7 Rivers Data'!$AK$4:$AM$9,2,FALSE)))</f>
        <v/>
      </c>
      <c r="L241" s="172" t="str">
        <f>IF(J241="","",IF(VLOOKUP(J241,'G-7 Rivers Data'!$AK$4:$AM$9,3,FALSE)=0,"Spatial Data Missing",VLOOKUP(J241,'G-7 Rivers Data'!$AK$4:$AM$9,3,FALSE)))</f>
        <v/>
      </c>
      <c r="M241" s="79"/>
      <c r="N241" s="172" t="str">
        <f>IF(M241="","",IF(VLOOKUP(M241,'G-7 Rivers Data'!$AA$4:$AB$7,2,FALSE)=0,"Spatial Data Missing",VLOOKUP(M241,'G-7 Rivers Data'!$AA$4:$AB$7,2,FALSE)))</f>
        <v/>
      </c>
      <c r="O241" s="187"/>
      <c r="P241" s="172" t="str">
        <f>IF(O241="","",IF(VLOOKUP(O241,'G-7 Rivers Data'!$AD$4:$AE$8,2,FALSE)=0,"Spatial Data Missing",VLOOKUP(O241,'G-7 Rivers Data'!$AD$4:$AE$8,2,FALSE)))</f>
        <v/>
      </c>
      <c r="Q241" s="177" t="str">
        <f>IF(D241="","",VLOOKUP(D241,'G-7 Rivers Data'!$B$2:$G$8,6,FALSE))</f>
        <v/>
      </c>
      <c r="R241" s="207" t="str">
        <f t="shared" si="24"/>
        <v/>
      </c>
      <c r="S241" s="44"/>
      <c r="T241" s="173"/>
      <c r="U241" s="189"/>
      <c r="V241" s="208" t="str">
        <f t="shared" si="25"/>
        <v/>
      </c>
      <c r="W241" s="208" t="str">
        <f t="shared" si="26"/>
        <v/>
      </c>
      <c r="X241" s="208" t="str">
        <f t="shared" si="27"/>
        <v/>
      </c>
      <c r="Y241" s="209" t="str">
        <f t="shared" si="28"/>
        <v/>
      </c>
      <c r="Z241" s="182"/>
      <c r="AA241" s="183"/>
      <c r="AG241" s="35">
        <f t="shared" si="29"/>
        <v>0</v>
      </c>
      <c r="AH241" s="188" t="str">
        <f t="shared" si="30"/>
        <v/>
      </c>
      <c r="AI241" s="188" t="str">
        <f t="shared" si="31"/>
        <v/>
      </c>
      <c r="AK241" s="188">
        <v>232</v>
      </c>
      <c r="AM241" s="188" t="str">
        <f t="array" ref="AM241">IFERROR(INDEX($AK$10:$AK$258, MATCH(0, IF(TRUE=$AH$10:$AH$258, COUNTIF($AM$9:$AM240, $AK$10:$AK$258), ""), 0)),"")</f>
        <v/>
      </c>
      <c r="AN241" s="188" t="str">
        <f t="array" ref="AN241">IFERROR(INDEX($AK$10:$AK$258, MATCH(0, IF(TRUE=$AI$10:$AI$258, COUNTIF($AN$9:$AN240, $AK$10:$AK$258), ""), 0)),"")</f>
        <v/>
      </c>
      <c r="AP241" s="35" t="str">
        <f>IFERROR(INDEX('G-7 Rivers Data'!$AZ$3:$AZ$7,MATCH(D241,'G-7 Rivers Data'!$AY$3:$AY$7,0)),"")</f>
        <v/>
      </c>
    </row>
    <row r="242" spans="3:42" ht="13.8" x14ac:dyDescent="0.25">
      <c r="C242" s="168">
        <v>233</v>
      </c>
      <c r="D242" s="212"/>
      <c r="E242" s="213"/>
      <c r="F242" s="171" t="str">
        <f>IF(D242="","",VLOOKUP(D242,'G-7 Rivers Data'!$B$2:$G$8,2,FALSE))</f>
        <v/>
      </c>
      <c r="G242" s="172" t="str">
        <f>IFERROR(VLOOKUP(F242,'G-7 Rivers Data'!$C$4:$D$8,2,FALSE),"")</f>
        <v/>
      </c>
      <c r="H242" s="173"/>
      <c r="I242" s="172" t="str">
        <f>IFERROR(INDEX('G-7 Rivers Data'!$H$4:$L$8,MATCH(D242,'G-7 Rivers Data'!$B$4:$B$8,0),MATCH(H242,'G-7 Rivers Data'!$H$3:$L$3,0)),"")</f>
        <v/>
      </c>
      <c r="J242" s="173"/>
      <c r="K242" s="172" t="str">
        <f>IF(J242="","",IF(VLOOKUP(J242,'G-7 Rivers Data'!$AK$4:$AM$9,2,FALSE)=0,"Spatial Data Missing",VLOOKUP(J242,'G-7 Rivers Data'!$AK$4:$AM$9,2,FALSE)))</f>
        <v/>
      </c>
      <c r="L242" s="172" t="str">
        <f>IF(J242="","",IF(VLOOKUP(J242,'G-7 Rivers Data'!$AK$4:$AM$9,3,FALSE)=0,"Spatial Data Missing",VLOOKUP(J242,'G-7 Rivers Data'!$AK$4:$AM$9,3,FALSE)))</f>
        <v/>
      </c>
      <c r="M242" s="79"/>
      <c r="N242" s="172" t="str">
        <f>IF(M242="","",IF(VLOOKUP(M242,'G-7 Rivers Data'!$AA$4:$AB$7,2,FALSE)=0,"Spatial Data Missing",VLOOKUP(M242,'G-7 Rivers Data'!$AA$4:$AB$7,2,FALSE)))</f>
        <v/>
      </c>
      <c r="O242" s="187"/>
      <c r="P242" s="172" t="str">
        <f>IF(O242="","",IF(VLOOKUP(O242,'G-7 Rivers Data'!$AD$4:$AE$8,2,FALSE)=0,"Spatial Data Missing",VLOOKUP(O242,'G-7 Rivers Data'!$AD$4:$AE$8,2,FALSE)))</f>
        <v/>
      </c>
      <c r="Q242" s="177" t="str">
        <f>IF(D242="","",VLOOKUP(D242,'G-7 Rivers Data'!$B$2:$G$8,6,FALSE))</f>
        <v/>
      </c>
      <c r="R242" s="207" t="str">
        <f t="shared" si="24"/>
        <v/>
      </c>
      <c r="S242" s="44"/>
      <c r="T242" s="173"/>
      <c r="U242" s="189"/>
      <c r="V242" s="208" t="str">
        <f t="shared" si="25"/>
        <v/>
      </c>
      <c r="W242" s="208" t="str">
        <f t="shared" si="26"/>
        <v/>
      </c>
      <c r="X242" s="208" t="str">
        <f t="shared" si="27"/>
        <v/>
      </c>
      <c r="Y242" s="209" t="str">
        <f t="shared" si="28"/>
        <v/>
      </c>
      <c r="Z242" s="182"/>
      <c r="AA242" s="183"/>
      <c r="AG242" s="35">
        <f t="shared" si="29"/>
        <v>0</v>
      </c>
      <c r="AH242" s="188" t="str">
        <f t="shared" si="30"/>
        <v/>
      </c>
      <c r="AI242" s="188" t="str">
        <f t="shared" si="31"/>
        <v/>
      </c>
      <c r="AK242" s="188">
        <v>233</v>
      </c>
      <c r="AM242" s="188" t="str">
        <f t="array" ref="AM242">IFERROR(INDEX($AK$10:$AK$258, MATCH(0, IF(TRUE=$AH$10:$AH$258, COUNTIF($AM$9:$AM241, $AK$10:$AK$258), ""), 0)),"")</f>
        <v/>
      </c>
      <c r="AN242" s="188" t="str">
        <f t="array" ref="AN242">IFERROR(INDEX($AK$10:$AK$258, MATCH(0, IF(TRUE=$AI$10:$AI$258, COUNTIF($AN$9:$AN241, $AK$10:$AK$258), ""), 0)),"")</f>
        <v/>
      </c>
      <c r="AP242" s="35" t="str">
        <f>IFERROR(INDEX('G-7 Rivers Data'!$AZ$3:$AZ$7,MATCH(D242,'G-7 Rivers Data'!$AY$3:$AY$7,0)),"")</f>
        <v/>
      </c>
    </row>
    <row r="243" spans="3:42" ht="13.8" x14ac:dyDescent="0.25">
      <c r="C243" s="168">
        <v>234</v>
      </c>
      <c r="D243" s="212"/>
      <c r="E243" s="213"/>
      <c r="F243" s="171" t="str">
        <f>IF(D243="","",VLOOKUP(D243,'G-7 Rivers Data'!$B$2:$G$8,2,FALSE))</f>
        <v/>
      </c>
      <c r="G243" s="172" t="str">
        <f>IFERROR(VLOOKUP(F243,'G-7 Rivers Data'!$C$4:$D$8,2,FALSE),"")</f>
        <v/>
      </c>
      <c r="H243" s="173"/>
      <c r="I243" s="172" t="str">
        <f>IFERROR(INDEX('G-7 Rivers Data'!$H$4:$L$8,MATCH(D243,'G-7 Rivers Data'!$B$4:$B$8,0),MATCH(H243,'G-7 Rivers Data'!$H$3:$L$3,0)),"")</f>
        <v/>
      </c>
      <c r="J243" s="173"/>
      <c r="K243" s="172" t="str">
        <f>IF(J243="","",IF(VLOOKUP(J243,'G-7 Rivers Data'!$AK$4:$AM$9,2,FALSE)=0,"Spatial Data Missing",VLOOKUP(J243,'G-7 Rivers Data'!$AK$4:$AM$9,2,FALSE)))</f>
        <v/>
      </c>
      <c r="L243" s="172" t="str">
        <f>IF(J243="","",IF(VLOOKUP(J243,'G-7 Rivers Data'!$AK$4:$AM$9,3,FALSE)=0,"Spatial Data Missing",VLOOKUP(J243,'G-7 Rivers Data'!$AK$4:$AM$9,3,FALSE)))</f>
        <v/>
      </c>
      <c r="M243" s="79"/>
      <c r="N243" s="172" t="str">
        <f>IF(M243="","",IF(VLOOKUP(M243,'G-7 Rivers Data'!$AA$4:$AB$7,2,FALSE)=0,"Spatial Data Missing",VLOOKUP(M243,'G-7 Rivers Data'!$AA$4:$AB$7,2,FALSE)))</f>
        <v/>
      </c>
      <c r="O243" s="187"/>
      <c r="P243" s="172" t="str">
        <f>IF(O243="","",IF(VLOOKUP(O243,'G-7 Rivers Data'!$AD$4:$AE$8,2,FALSE)=0,"Spatial Data Missing",VLOOKUP(O243,'G-7 Rivers Data'!$AD$4:$AE$8,2,FALSE)))</f>
        <v/>
      </c>
      <c r="Q243" s="177" t="str">
        <f>IF(D243="","",VLOOKUP(D243,'G-7 Rivers Data'!$B$2:$G$8,6,FALSE))</f>
        <v/>
      </c>
      <c r="R243" s="207" t="str">
        <f t="shared" si="24"/>
        <v/>
      </c>
      <c r="S243" s="44"/>
      <c r="T243" s="173"/>
      <c r="U243" s="189"/>
      <c r="V243" s="208" t="str">
        <f t="shared" si="25"/>
        <v/>
      </c>
      <c r="W243" s="208" t="str">
        <f t="shared" si="26"/>
        <v/>
      </c>
      <c r="X243" s="208" t="str">
        <f t="shared" si="27"/>
        <v/>
      </c>
      <c r="Y243" s="209" t="str">
        <f t="shared" si="28"/>
        <v/>
      </c>
      <c r="Z243" s="182"/>
      <c r="AA243" s="183"/>
      <c r="AG243" s="35">
        <f t="shared" si="29"/>
        <v>0</v>
      </c>
      <c r="AH243" s="188" t="str">
        <f t="shared" si="30"/>
        <v/>
      </c>
      <c r="AI243" s="188" t="str">
        <f t="shared" si="31"/>
        <v/>
      </c>
      <c r="AK243" s="188">
        <v>234</v>
      </c>
      <c r="AM243" s="188" t="str">
        <f t="array" ref="AM243">IFERROR(INDEX($AK$10:$AK$258, MATCH(0, IF(TRUE=$AH$10:$AH$258, COUNTIF($AM$9:$AM242, $AK$10:$AK$258), ""), 0)),"")</f>
        <v/>
      </c>
      <c r="AN243" s="188" t="str">
        <f t="array" ref="AN243">IFERROR(INDEX($AK$10:$AK$258, MATCH(0, IF(TRUE=$AI$10:$AI$258, COUNTIF($AN$9:$AN242, $AK$10:$AK$258), ""), 0)),"")</f>
        <v/>
      </c>
      <c r="AP243" s="35" t="str">
        <f>IFERROR(INDEX('G-7 Rivers Data'!$AZ$3:$AZ$7,MATCH(D243,'G-7 Rivers Data'!$AY$3:$AY$7,0)),"")</f>
        <v/>
      </c>
    </row>
    <row r="244" spans="3:42" ht="13.8" x14ac:dyDescent="0.25">
      <c r="C244" s="168">
        <v>235</v>
      </c>
      <c r="D244" s="212"/>
      <c r="E244" s="213"/>
      <c r="F244" s="171" t="str">
        <f>IF(D244="","",VLOOKUP(D244,'G-7 Rivers Data'!$B$2:$G$8,2,FALSE))</f>
        <v/>
      </c>
      <c r="G244" s="172" t="str">
        <f>IFERROR(VLOOKUP(F244,'G-7 Rivers Data'!$C$4:$D$8,2,FALSE),"")</f>
        <v/>
      </c>
      <c r="H244" s="173"/>
      <c r="I244" s="172" t="str">
        <f>IFERROR(INDEX('G-7 Rivers Data'!$H$4:$L$8,MATCH(D244,'G-7 Rivers Data'!$B$4:$B$8,0),MATCH(H244,'G-7 Rivers Data'!$H$3:$L$3,0)),"")</f>
        <v/>
      </c>
      <c r="J244" s="173"/>
      <c r="K244" s="172" t="str">
        <f>IF(J244="","",IF(VLOOKUP(J244,'G-7 Rivers Data'!$AK$4:$AM$9,2,FALSE)=0,"Spatial Data Missing",VLOOKUP(J244,'G-7 Rivers Data'!$AK$4:$AM$9,2,FALSE)))</f>
        <v/>
      </c>
      <c r="L244" s="172" t="str">
        <f>IF(J244="","",IF(VLOOKUP(J244,'G-7 Rivers Data'!$AK$4:$AM$9,3,FALSE)=0,"Spatial Data Missing",VLOOKUP(J244,'G-7 Rivers Data'!$AK$4:$AM$9,3,FALSE)))</f>
        <v/>
      </c>
      <c r="M244" s="79"/>
      <c r="N244" s="172" t="str">
        <f>IF(M244="","",IF(VLOOKUP(M244,'G-7 Rivers Data'!$AA$4:$AB$7,2,FALSE)=0,"Spatial Data Missing",VLOOKUP(M244,'G-7 Rivers Data'!$AA$4:$AB$7,2,FALSE)))</f>
        <v/>
      </c>
      <c r="O244" s="187"/>
      <c r="P244" s="172" t="str">
        <f>IF(O244="","",IF(VLOOKUP(O244,'G-7 Rivers Data'!$AD$4:$AE$8,2,FALSE)=0,"Spatial Data Missing",VLOOKUP(O244,'G-7 Rivers Data'!$AD$4:$AE$8,2,FALSE)))</f>
        <v/>
      </c>
      <c r="Q244" s="177" t="str">
        <f>IF(D244="","",VLOOKUP(D244,'G-7 Rivers Data'!$B$2:$G$8,6,FALSE))</f>
        <v/>
      </c>
      <c r="R244" s="207" t="str">
        <f t="shared" si="24"/>
        <v/>
      </c>
      <c r="S244" s="44"/>
      <c r="T244" s="173"/>
      <c r="U244" s="189"/>
      <c r="V244" s="208" t="str">
        <f t="shared" si="25"/>
        <v/>
      </c>
      <c r="W244" s="208" t="str">
        <f t="shared" si="26"/>
        <v/>
      </c>
      <c r="X244" s="208" t="str">
        <f t="shared" si="27"/>
        <v/>
      </c>
      <c r="Y244" s="209" t="str">
        <f t="shared" si="28"/>
        <v/>
      </c>
      <c r="Z244" s="182"/>
      <c r="AA244" s="183"/>
      <c r="AG244" s="35">
        <f t="shared" si="29"/>
        <v>0</v>
      </c>
      <c r="AH244" s="188" t="str">
        <f t="shared" si="30"/>
        <v/>
      </c>
      <c r="AI244" s="188" t="str">
        <f t="shared" si="31"/>
        <v/>
      </c>
      <c r="AK244" s="188">
        <v>235</v>
      </c>
      <c r="AM244" s="188" t="str">
        <f t="array" ref="AM244">IFERROR(INDEX($AK$10:$AK$258, MATCH(0, IF(TRUE=$AH$10:$AH$258, COUNTIF($AM$9:$AM243, $AK$10:$AK$258), ""), 0)),"")</f>
        <v/>
      </c>
      <c r="AN244" s="188" t="str">
        <f t="array" ref="AN244">IFERROR(INDEX($AK$10:$AK$258, MATCH(0, IF(TRUE=$AI$10:$AI$258, COUNTIF($AN$9:$AN243, $AK$10:$AK$258), ""), 0)),"")</f>
        <v/>
      </c>
      <c r="AP244" s="35" t="str">
        <f>IFERROR(INDEX('G-7 Rivers Data'!$AZ$3:$AZ$7,MATCH(D244,'G-7 Rivers Data'!$AY$3:$AY$7,0)),"")</f>
        <v/>
      </c>
    </row>
    <row r="245" spans="3:42" ht="13.8" x14ac:dyDescent="0.25">
      <c r="C245" s="168">
        <v>236</v>
      </c>
      <c r="D245" s="212"/>
      <c r="E245" s="213"/>
      <c r="F245" s="171" t="str">
        <f>IF(D245="","",VLOOKUP(D245,'G-7 Rivers Data'!$B$2:$G$8,2,FALSE))</f>
        <v/>
      </c>
      <c r="G245" s="172" t="str">
        <f>IFERROR(VLOOKUP(F245,'G-7 Rivers Data'!$C$4:$D$8,2,FALSE),"")</f>
        <v/>
      </c>
      <c r="H245" s="173"/>
      <c r="I245" s="172" t="str">
        <f>IFERROR(INDEX('G-7 Rivers Data'!$H$4:$L$8,MATCH(D245,'G-7 Rivers Data'!$B$4:$B$8,0),MATCH(H245,'G-7 Rivers Data'!$H$3:$L$3,0)),"")</f>
        <v/>
      </c>
      <c r="J245" s="173"/>
      <c r="K245" s="172" t="str">
        <f>IF(J245="","",IF(VLOOKUP(J245,'G-7 Rivers Data'!$AK$4:$AM$9,2,FALSE)=0,"Spatial Data Missing",VLOOKUP(J245,'G-7 Rivers Data'!$AK$4:$AM$9,2,FALSE)))</f>
        <v/>
      </c>
      <c r="L245" s="172" t="str">
        <f>IF(J245="","",IF(VLOOKUP(J245,'G-7 Rivers Data'!$AK$4:$AM$9,3,FALSE)=0,"Spatial Data Missing",VLOOKUP(J245,'G-7 Rivers Data'!$AK$4:$AM$9,3,FALSE)))</f>
        <v/>
      </c>
      <c r="M245" s="79"/>
      <c r="N245" s="172" t="str">
        <f>IF(M245="","",IF(VLOOKUP(M245,'G-7 Rivers Data'!$AA$4:$AB$7,2,FALSE)=0,"Spatial Data Missing",VLOOKUP(M245,'G-7 Rivers Data'!$AA$4:$AB$7,2,FALSE)))</f>
        <v/>
      </c>
      <c r="O245" s="187"/>
      <c r="P245" s="172" t="str">
        <f>IF(O245="","",IF(VLOOKUP(O245,'G-7 Rivers Data'!$AD$4:$AE$8,2,FALSE)=0,"Spatial Data Missing",VLOOKUP(O245,'G-7 Rivers Data'!$AD$4:$AE$8,2,FALSE)))</f>
        <v/>
      </c>
      <c r="Q245" s="177" t="str">
        <f>IF(D245="","",VLOOKUP(D245,'G-7 Rivers Data'!$B$2:$G$8,6,FALSE))</f>
        <v/>
      </c>
      <c r="R245" s="207" t="str">
        <f t="shared" si="24"/>
        <v/>
      </c>
      <c r="S245" s="44"/>
      <c r="T245" s="173"/>
      <c r="U245" s="189"/>
      <c r="V245" s="208" t="str">
        <f t="shared" si="25"/>
        <v/>
      </c>
      <c r="W245" s="208" t="str">
        <f t="shared" si="26"/>
        <v/>
      </c>
      <c r="X245" s="208" t="str">
        <f t="shared" si="27"/>
        <v/>
      </c>
      <c r="Y245" s="209" t="str">
        <f t="shared" si="28"/>
        <v/>
      </c>
      <c r="Z245" s="182"/>
      <c r="AA245" s="183"/>
      <c r="AG245" s="35">
        <f t="shared" si="29"/>
        <v>0</v>
      </c>
      <c r="AH245" s="188" t="str">
        <f t="shared" si="30"/>
        <v/>
      </c>
      <c r="AI245" s="188" t="str">
        <f t="shared" si="31"/>
        <v/>
      </c>
      <c r="AK245" s="188">
        <v>236</v>
      </c>
      <c r="AM245" s="188" t="str">
        <f t="array" ref="AM245">IFERROR(INDEX($AK$10:$AK$258, MATCH(0, IF(TRUE=$AH$10:$AH$258, COUNTIF($AM$9:$AM244, $AK$10:$AK$258), ""), 0)),"")</f>
        <v/>
      </c>
      <c r="AN245" s="188" t="str">
        <f t="array" ref="AN245">IFERROR(INDEX($AK$10:$AK$258, MATCH(0, IF(TRUE=$AI$10:$AI$258, COUNTIF($AN$9:$AN244, $AK$10:$AK$258), ""), 0)),"")</f>
        <v/>
      </c>
      <c r="AP245" s="35" t="str">
        <f>IFERROR(INDEX('G-7 Rivers Data'!$AZ$3:$AZ$7,MATCH(D245,'G-7 Rivers Data'!$AY$3:$AY$7,0)),"")</f>
        <v/>
      </c>
    </row>
    <row r="246" spans="3:42" ht="13.8" x14ac:dyDescent="0.25">
      <c r="C246" s="168">
        <v>237</v>
      </c>
      <c r="D246" s="212"/>
      <c r="E246" s="213"/>
      <c r="F246" s="171" t="str">
        <f>IF(D246="","",VLOOKUP(D246,'G-7 Rivers Data'!$B$2:$G$8,2,FALSE))</f>
        <v/>
      </c>
      <c r="G246" s="172" t="str">
        <f>IFERROR(VLOOKUP(F246,'G-7 Rivers Data'!$C$4:$D$8,2,FALSE),"")</f>
        <v/>
      </c>
      <c r="H246" s="173"/>
      <c r="I246" s="172" t="str">
        <f>IFERROR(INDEX('G-7 Rivers Data'!$H$4:$L$8,MATCH(D246,'G-7 Rivers Data'!$B$4:$B$8,0),MATCH(H246,'G-7 Rivers Data'!$H$3:$L$3,0)),"")</f>
        <v/>
      </c>
      <c r="J246" s="173"/>
      <c r="K246" s="172" t="str">
        <f>IF(J246="","",IF(VLOOKUP(J246,'G-7 Rivers Data'!$AK$4:$AM$9,2,FALSE)=0,"Spatial Data Missing",VLOOKUP(J246,'G-7 Rivers Data'!$AK$4:$AM$9,2,FALSE)))</f>
        <v/>
      </c>
      <c r="L246" s="172" t="str">
        <f>IF(J246="","",IF(VLOOKUP(J246,'G-7 Rivers Data'!$AK$4:$AM$9,3,FALSE)=0,"Spatial Data Missing",VLOOKUP(J246,'G-7 Rivers Data'!$AK$4:$AM$9,3,FALSE)))</f>
        <v/>
      </c>
      <c r="M246" s="79"/>
      <c r="N246" s="172" t="str">
        <f>IF(M246="","",IF(VLOOKUP(M246,'G-7 Rivers Data'!$AA$4:$AB$7,2,FALSE)=0,"Spatial Data Missing",VLOOKUP(M246,'G-7 Rivers Data'!$AA$4:$AB$7,2,FALSE)))</f>
        <v/>
      </c>
      <c r="O246" s="187"/>
      <c r="P246" s="172" t="str">
        <f>IF(O246="","",IF(VLOOKUP(O246,'G-7 Rivers Data'!$AD$4:$AE$8,2,FALSE)=0,"Spatial Data Missing",VLOOKUP(O246,'G-7 Rivers Data'!$AD$4:$AE$8,2,FALSE)))</f>
        <v/>
      </c>
      <c r="Q246" s="177" t="str">
        <f>IF(D246="","",VLOOKUP(D246,'G-7 Rivers Data'!$B$2:$G$8,6,FALSE))</f>
        <v/>
      </c>
      <c r="R246" s="207" t="str">
        <f t="shared" si="24"/>
        <v/>
      </c>
      <c r="S246" s="44"/>
      <c r="T246" s="173"/>
      <c r="U246" s="189"/>
      <c r="V246" s="208" t="str">
        <f t="shared" si="25"/>
        <v/>
      </c>
      <c r="W246" s="208" t="str">
        <f t="shared" si="26"/>
        <v/>
      </c>
      <c r="X246" s="208" t="str">
        <f t="shared" si="27"/>
        <v/>
      </c>
      <c r="Y246" s="209" t="str">
        <f t="shared" si="28"/>
        <v/>
      </c>
      <c r="Z246" s="182"/>
      <c r="AA246" s="183"/>
      <c r="AG246" s="35">
        <f t="shared" si="29"/>
        <v>0</v>
      </c>
      <c r="AH246" s="188" t="str">
        <f t="shared" si="30"/>
        <v/>
      </c>
      <c r="AI246" s="188" t="str">
        <f t="shared" si="31"/>
        <v/>
      </c>
      <c r="AK246" s="188">
        <v>237</v>
      </c>
      <c r="AM246" s="188" t="str">
        <f t="array" ref="AM246">IFERROR(INDEX($AK$10:$AK$258, MATCH(0, IF(TRUE=$AH$10:$AH$258, COUNTIF($AM$9:$AM245, $AK$10:$AK$258), ""), 0)),"")</f>
        <v/>
      </c>
      <c r="AN246" s="188" t="str">
        <f t="array" ref="AN246">IFERROR(INDEX($AK$10:$AK$258, MATCH(0, IF(TRUE=$AI$10:$AI$258, COUNTIF($AN$9:$AN245, $AK$10:$AK$258), ""), 0)),"")</f>
        <v/>
      </c>
      <c r="AP246" s="35" t="str">
        <f>IFERROR(INDEX('G-7 Rivers Data'!$AZ$3:$AZ$7,MATCH(D246,'G-7 Rivers Data'!$AY$3:$AY$7,0)),"")</f>
        <v/>
      </c>
    </row>
    <row r="247" spans="3:42" ht="13.8" x14ac:dyDescent="0.25">
      <c r="C247" s="168">
        <v>238</v>
      </c>
      <c r="D247" s="212"/>
      <c r="E247" s="213"/>
      <c r="F247" s="171" t="str">
        <f>IF(D247="","",VLOOKUP(D247,'G-7 Rivers Data'!$B$2:$G$8,2,FALSE))</f>
        <v/>
      </c>
      <c r="G247" s="172" t="str">
        <f>IFERROR(VLOOKUP(F247,'G-7 Rivers Data'!$C$4:$D$8,2,FALSE),"")</f>
        <v/>
      </c>
      <c r="H247" s="173"/>
      <c r="I247" s="172" t="str">
        <f>IFERROR(INDEX('G-7 Rivers Data'!$H$4:$L$8,MATCH(D247,'G-7 Rivers Data'!$B$4:$B$8,0),MATCH(H247,'G-7 Rivers Data'!$H$3:$L$3,0)),"")</f>
        <v/>
      </c>
      <c r="J247" s="173"/>
      <c r="K247" s="172" t="str">
        <f>IF(J247="","",IF(VLOOKUP(J247,'G-7 Rivers Data'!$AK$4:$AM$9,2,FALSE)=0,"Spatial Data Missing",VLOOKUP(J247,'G-7 Rivers Data'!$AK$4:$AM$9,2,FALSE)))</f>
        <v/>
      </c>
      <c r="L247" s="172" t="str">
        <f>IF(J247="","",IF(VLOOKUP(J247,'G-7 Rivers Data'!$AK$4:$AM$9,3,FALSE)=0,"Spatial Data Missing",VLOOKUP(J247,'G-7 Rivers Data'!$AK$4:$AM$9,3,FALSE)))</f>
        <v/>
      </c>
      <c r="M247" s="79"/>
      <c r="N247" s="172" t="str">
        <f>IF(M247="","",IF(VLOOKUP(M247,'G-7 Rivers Data'!$AA$4:$AB$7,2,FALSE)=0,"Spatial Data Missing",VLOOKUP(M247,'G-7 Rivers Data'!$AA$4:$AB$7,2,FALSE)))</f>
        <v/>
      </c>
      <c r="O247" s="187"/>
      <c r="P247" s="172" t="str">
        <f>IF(O247="","",IF(VLOOKUP(O247,'G-7 Rivers Data'!$AD$4:$AE$8,2,FALSE)=0,"Spatial Data Missing",VLOOKUP(O247,'G-7 Rivers Data'!$AD$4:$AE$8,2,FALSE)))</f>
        <v/>
      </c>
      <c r="Q247" s="177" t="str">
        <f>IF(D247="","",VLOOKUP(D247,'G-7 Rivers Data'!$B$2:$G$8,6,FALSE))</f>
        <v/>
      </c>
      <c r="R247" s="207" t="str">
        <f t="shared" si="24"/>
        <v/>
      </c>
      <c r="S247" s="44"/>
      <c r="T247" s="173"/>
      <c r="U247" s="189"/>
      <c r="V247" s="208" t="str">
        <f t="shared" si="25"/>
        <v/>
      </c>
      <c r="W247" s="208" t="str">
        <f t="shared" si="26"/>
        <v/>
      </c>
      <c r="X247" s="208" t="str">
        <f t="shared" si="27"/>
        <v/>
      </c>
      <c r="Y247" s="209" t="str">
        <f t="shared" si="28"/>
        <v/>
      </c>
      <c r="Z247" s="182"/>
      <c r="AA247" s="183"/>
      <c r="AG247" s="35">
        <f t="shared" si="29"/>
        <v>0</v>
      </c>
      <c r="AH247" s="188" t="str">
        <f t="shared" si="30"/>
        <v/>
      </c>
      <c r="AI247" s="188" t="str">
        <f t="shared" si="31"/>
        <v/>
      </c>
      <c r="AK247" s="188">
        <v>238</v>
      </c>
      <c r="AM247" s="188" t="str">
        <f t="array" ref="AM247">IFERROR(INDEX($AK$10:$AK$258, MATCH(0, IF(TRUE=$AH$10:$AH$258, COUNTIF($AM$9:$AM246, $AK$10:$AK$258), ""), 0)),"")</f>
        <v/>
      </c>
      <c r="AN247" s="188" t="str">
        <f t="array" ref="AN247">IFERROR(INDEX($AK$10:$AK$258, MATCH(0, IF(TRUE=$AI$10:$AI$258, COUNTIF($AN$9:$AN246, $AK$10:$AK$258), ""), 0)),"")</f>
        <v/>
      </c>
      <c r="AP247" s="35" t="str">
        <f>IFERROR(INDEX('G-7 Rivers Data'!$AZ$3:$AZ$7,MATCH(D247,'G-7 Rivers Data'!$AY$3:$AY$7,0)),"")</f>
        <v/>
      </c>
    </row>
    <row r="248" spans="3:42" ht="13.8" x14ac:dyDescent="0.25">
      <c r="C248" s="168">
        <v>239</v>
      </c>
      <c r="D248" s="212"/>
      <c r="E248" s="213"/>
      <c r="F248" s="171" t="str">
        <f>IF(D248="","",VLOOKUP(D248,'G-7 Rivers Data'!$B$2:$G$8,2,FALSE))</f>
        <v/>
      </c>
      <c r="G248" s="172" t="str">
        <f>IFERROR(VLOOKUP(F248,'G-7 Rivers Data'!$C$4:$D$8,2,FALSE),"")</f>
        <v/>
      </c>
      <c r="H248" s="173"/>
      <c r="I248" s="172" t="str">
        <f>IFERROR(INDEX('G-7 Rivers Data'!$H$4:$L$8,MATCH(D248,'G-7 Rivers Data'!$B$4:$B$8,0),MATCH(H248,'G-7 Rivers Data'!$H$3:$L$3,0)),"")</f>
        <v/>
      </c>
      <c r="J248" s="173"/>
      <c r="K248" s="172" t="str">
        <f>IF(J248="","",IF(VLOOKUP(J248,'G-7 Rivers Data'!$AK$4:$AM$9,2,FALSE)=0,"Spatial Data Missing",VLOOKUP(J248,'G-7 Rivers Data'!$AK$4:$AM$9,2,FALSE)))</f>
        <v/>
      </c>
      <c r="L248" s="172" t="str">
        <f>IF(J248="","",IF(VLOOKUP(J248,'G-7 Rivers Data'!$AK$4:$AM$9,3,FALSE)=0,"Spatial Data Missing",VLOOKUP(J248,'G-7 Rivers Data'!$AK$4:$AM$9,3,FALSE)))</f>
        <v/>
      </c>
      <c r="M248" s="79"/>
      <c r="N248" s="172" t="str">
        <f>IF(M248="","",IF(VLOOKUP(M248,'G-7 Rivers Data'!$AA$4:$AB$7,2,FALSE)=0,"Spatial Data Missing",VLOOKUP(M248,'G-7 Rivers Data'!$AA$4:$AB$7,2,FALSE)))</f>
        <v/>
      </c>
      <c r="O248" s="187"/>
      <c r="P248" s="172" t="str">
        <f>IF(O248="","",IF(VLOOKUP(O248,'G-7 Rivers Data'!$AD$4:$AE$8,2,FALSE)=0,"Spatial Data Missing",VLOOKUP(O248,'G-7 Rivers Data'!$AD$4:$AE$8,2,FALSE)))</f>
        <v/>
      </c>
      <c r="Q248" s="177" t="str">
        <f>IF(D248="","",VLOOKUP(D248,'G-7 Rivers Data'!$B$2:$G$8,6,FALSE))</f>
        <v/>
      </c>
      <c r="R248" s="207" t="str">
        <f t="shared" si="24"/>
        <v/>
      </c>
      <c r="S248" s="44"/>
      <c r="T248" s="173"/>
      <c r="U248" s="189"/>
      <c r="V248" s="208" t="str">
        <f t="shared" si="25"/>
        <v/>
      </c>
      <c r="W248" s="208" t="str">
        <f t="shared" si="26"/>
        <v/>
      </c>
      <c r="X248" s="208" t="str">
        <f t="shared" si="27"/>
        <v/>
      </c>
      <c r="Y248" s="209" t="str">
        <f t="shared" si="28"/>
        <v/>
      </c>
      <c r="Z248" s="182"/>
      <c r="AA248" s="183"/>
      <c r="AG248" s="35">
        <f t="shared" si="29"/>
        <v>0</v>
      </c>
      <c r="AH248" s="188" t="str">
        <f t="shared" si="30"/>
        <v/>
      </c>
      <c r="AI248" s="188" t="str">
        <f t="shared" si="31"/>
        <v/>
      </c>
      <c r="AK248" s="188">
        <v>239</v>
      </c>
      <c r="AM248" s="188" t="str">
        <f t="array" ref="AM248">IFERROR(INDEX($AK$10:$AK$258, MATCH(0, IF(TRUE=$AH$10:$AH$258, COUNTIF($AM$9:$AM247, $AK$10:$AK$258), ""), 0)),"")</f>
        <v/>
      </c>
      <c r="AN248" s="188" t="str">
        <f t="array" ref="AN248">IFERROR(INDEX($AK$10:$AK$258, MATCH(0, IF(TRUE=$AI$10:$AI$258, COUNTIF($AN$9:$AN247, $AK$10:$AK$258), ""), 0)),"")</f>
        <v/>
      </c>
      <c r="AP248" s="35" t="str">
        <f>IFERROR(INDEX('G-7 Rivers Data'!$AZ$3:$AZ$7,MATCH(D248,'G-7 Rivers Data'!$AY$3:$AY$7,0)),"")</f>
        <v/>
      </c>
    </row>
    <row r="249" spans="3:42" ht="13.8" x14ac:dyDescent="0.25">
      <c r="C249" s="168">
        <v>240</v>
      </c>
      <c r="D249" s="212"/>
      <c r="E249" s="213"/>
      <c r="F249" s="171" t="str">
        <f>IF(D249="","",VLOOKUP(D249,'G-7 Rivers Data'!$B$2:$G$8,2,FALSE))</f>
        <v/>
      </c>
      <c r="G249" s="172" t="str">
        <f>IFERROR(VLOOKUP(F249,'G-7 Rivers Data'!$C$4:$D$8,2,FALSE),"")</f>
        <v/>
      </c>
      <c r="H249" s="173"/>
      <c r="I249" s="172" t="str">
        <f>IFERROR(INDEX('G-7 Rivers Data'!$H$4:$L$8,MATCH(D249,'G-7 Rivers Data'!$B$4:$B$8,0),MATCH(H249,'G-7 Rivers Data'!$H$3:$L$3,0)),"")</f>
        <v/>
      </c>
      <c r="J249" s="173"/>
      <c r="K249" s="172" t="str">
        <f>IF(J249="","",IF(VLOOKUP(J249,'G-7 Rivers Data'!$AK$4:$AM$9,2,FALSE)=0,"Spatial Data Missing",VLOOKUP(J249,'G-7 Rivers Data'!$AK$4:$AM$9,2,FALSE)))</f>
        <v/>
      </c>
      <c r="L249" s="172" t="str">
        <f>IF(J249="","",IF(VLOOKUP(J249,'G-7 Rivers Data'!$AK$4:$AM$9,3,FALSE)=0,"Spatial Data Missing",VLOOKUP(J249,'G-7 Rivers Data'!$AK$4:$AM$9,3,FALSE)))</f>
        <v/>
      </c>
      <c r="M249" s="79"/>
      <c r="N249" s="172" t="str">
        <f>IF(M249="","",IF(VLOOKUP(M249,'G-7 Rivers Data'!$AA$4:$AB$7,2,FALSE)=0,"Spatial Data Missing",VLOOKUP(M249,'G-7 Rivers Data'!$AA$4:$AB$7,2,FALSE)))</f>
        <v/>
      </c>
      <c r="O249" s="187"/>
      <c r="P249" s="172" t="str">
        <f>IF(O249="","",IF(VLOOKUP(O249,'G-7 Rivers Data'!$AD$4:$AE$8,2,FALSE)=0,"Spatial Data Missing",VLOOKUP(O249,'G-7 Rivers Data'!$AD$4:$AE$8,2,FALSE)))</f>
        <v/>
      </c>
      <c r="Q249" s="177" t="str">
        <f>IF(D249="","",VLOOKUP(D249,'G-7 Rivers Data'!$B$2:$G$8,6,FALSE))</f>
        <v/>
      </c>
      <c r="R249" s="207" t="str">
        <f t="shared" si="24"/>
        <v/>
      </c>
      <c r="S249" s="44"/>
      <c r="T249" s="173"/>
      <c r="U249" s="189"/>
      <c r="V249" s="208" t="str">
        <f t="shared" si="25"/>
        <v/>
      </c>
      <c r="W249" s="208" t="str">
        <f t="shared" si="26"/>
        <v/>
      </c>
      <c r="X249" s="208" t="str">
        <f t="shared" si="27"/>
        <v/>
      </c>
      <c r="Y249" s="209" t="str">
        <f t="shared" si="28"/>
        <v/>
      </c>
      <c r="Z249" s="182"/>
      <c r="AA249" s="183"/>
      <c r="AG249" s="35">
        <f t="shared" si="29"/>
        <v>0</v>
      </c>
      <c r="AH249" s="188" t="str">
        <f t="shared" si="30"/>
        <v/>
      </c>
      <c r="AI249" s="188" t="str">
        <f t="shared" si="31"/>
        <v/>
      </c>
      <c r="AK249" s="188">
        <v>240</v>
      </c>
      <c r="AM249" s="188" t="str">
        <f t="array" ref="AM249">IFERROR(INDEX($AK$10:$AK$258, MATCH(0, IF(TRUE=$AH$10:$AH$258, COUNTIF($AM$9:$AM248, $AK$10:$AK$258), ""), 0)),"")</f>
        <v/>
      </c>
      <c r="AN249" s="188" t="str">
        <f t="array" ref="AN249">IFERROR(INDEX($AK$10:$AK$258, MATCH(0, IF(TRUE=$AI$10:$AI$258, COUNTIF($AN$9:$AN248, $AK$10:$AK$258), ""), 0)),"")</f>
        <v/>
      </c>
      <c r="AP249" s="35" t="str">
        <f>IFERROR(INDEX('G-7 Rivers Data'!$AZ$3:$AZ$7,MATCH(D249,'G-7 Rivers Data'!$AY$3:$AY$7,0)),"")</f>
        <v/>
      </c>
    </row>
    <row r="250" spans="3:42" ht="13.8" x14ac:dyDescent="0.25">
      <c r="C250" s="168">
        <v>241</v>
      </c>
      <c r="D250" s="212"/>
      <c r="E250" s="213"/>
      <c r="F250" s="171" t="str">
        <f>IF(D250="","",VLOOKUP(D250,'G-7 Rivers Data'!$B$2:$G$8,2,FALSE))</f>
        <v/>
      </c>
      <c r="G250" s="172" t="str">
        <f>IFERROR(VLOOKUP(F250,'G-7 Rivers Data'!$C$4:$D$8,2,FALSE),"")</f>
        <v/>
      </c>
      <c r="H250" s="173"/>
      <c r="I250" s="172" t="str">
        <f>IFERROR(INDEX('G-7 Rivers Data'!$H$4:$L$8,MATCH(D250,'G-7 Rivers Data'!$B$4:$B$8,0),MATCH(H250,'G-7 Rivers Data'!$H$3:$L$3,0)),"")</f>
        <v/>
      </c>
      <c r="J250" s="173"/>
      <c r="K250" s="172" t="str">
        <f>IF(J250="","",IF(VLOOKUP(J250,'G-7 Rivers Data'!$AK$4:$AM$9,2,FALSE)=0,"Spatial Data Missing",VLOOKUP(J250,'G-7 Rivers Data'!$AK$4:$AM$9,2,FALSE)))</f>
        <v/>
      </c>
      <c r="L250" s="172" t="str">
        <f>IF(J250="","",IF(VLOOKUP(J250,'G-7 Rivers Data'!$AK$4:$AM$9,3,FALSE)=0,"Spatial Data Missing",VLOOKUP(J250,'G-7 Rivers Data'!$AK$4:$AM$9,3,FALSE)))</f>
        <v/>
      </c>
      <c r="M250" s="79"/>
      <c r="N250" s="172" t="str">
        <f>IF(M250="","",IF(VLOOKUP(M250,'G-7 Rivers Data'!$AA$4:$AB$7,2,FALSE)=0,"Spatial Data Missing",VLOOKUP(M250,'G-7 Rivers Data'!$AA$4:$AB$7,2,FALSE)))</f>
        <v/>
      </c>
      <c r="O250" s="187"/>
      <c r="P250" s="172" t="str">
        <f>IF(O250="","",IF(VLOOKUP(O250,'G-7 Rivers Data'!$AD$4:$AE$8,2,FALSE)=0,"Spatial Data Missing",VLOOKUP(O250,'G-7 Rivers Data'!$AD$4:$AE$8,2,FALSE)))</f>
        <v/>
      </c>
      <c r="Q250" s="177" t="str">
        <f>IF(D250="","",VLOOKUP(D250,'G-7 Rivers Data'!$B$2:$G$8,6,FALSE))</f>
        <v/>
      </c>
      <c r="R250" s="207" t="str">
        <f t="shared" si="24"/>
        <v/>
      </c>
      <c r="S250" s="44"/>
      <c r="T250" s="173"/>
      <c r="U250" s="189"/>
      <c r="V250" s="208" t="str">
        <f t="shared" si="25"/>
        <v/>
      </c>
      <c r="W250" s="208" t="str">
        <f t="shared" si="26"/>
        <v/>
      </c>
      <c r="X250" s="208" t="str">
        <f t="shared" si="27"/>
        <v/>
      </c>
      <c r="Y250" s="209" t="str">
        <f t="shared" si="28"/>
        <v/>
      </c>
      <c r="Z250" s="182"/>
      <c r="AA250" s="183"/>
      <c r="AG250" s="35">
        <f t="shared" si="29"/>
        <v>0</v>
      </c>
      <c r="AH250" s="188" t="str">
        <f t="shared" si="30"/>
        <v/>
      </c>
      <c r="AI250" s="188" t="str">
        <f t="shared" si="31"/>
        <v/>
      </c>
      <c r="AK250" s="188">
        <v>241</v>
      </c>
      <c r="AM250" s="188" t="str">
        <f t="array" ref="AM250">IFERROR(INDEX($AK$10:$AK$258, MATCH(0, IF(TRUE=$AH$10:$AH$258, COUNTIF($AM$9:$AM249, $AK$10:$AK$258), ""), 0)),"")</f>
        <v/>
      </c>
      <c r="AN250" s="188" t="str">
        <f t="array" ref="AN250">IFERROR(INDEX($AK$10:$AK$258, MATCH(0, IF(TRUE=$AI$10:$AI$258, COUNTIF($AN$9:$AN249, $AK$10:$AK$258), ""), 0)),"")</f>
        <v/>
      </c>
      <c r="AP250" s="35" t="str">
        <f>IFERROR(INDEX('G-7 Rivers Data'!$AZ$3:$AZ$7,MATCH(D250,'G-7 Rivers Data'!$AY$3:$AY$7,0)),"")</f>
        <v/>
      </c>
    </row>
    <row r="251" spans="3:42" ht="13.8" x14ac:dyDescent="0.25">
      <c r="C251" s="168">
        <v>242</v>
      </c>
      <c r="D251" s="212"/>
      <c r="E251" s="213"/>
      <c r="F251" s="171" t="str">
        <f>IF(D251="","",VLOOKUP(D251,'G-7 Rivers Data'!$B$2:$G$8,2,FALSE))</f>
        <v/>
      </c>
      <c r="G251" s="172" t="str">
        <f>IFERROR(VLOOKUP(F251,'G-7 Rivers Data'!$C$4:$D$8,2,FALSE),"")</f>
        <v/>
      </c>
      <c r="H251" s="173"/>
      <c r="I251" s="172" t="str">
        <f>IFERROR(INDEX('G-7 Rivers Data'!$H$4:$L$8,MATCH(D251,'G-7 Rivers Data'!$B$4:$B$8,0),MATCH(H251,'G-7 Rivers Data'!$H$3:$L$3,0)),"")</f>
        <v/>
      </c>
      <c r="J251" s="173"/>
      <c r="K251" s="172" t="str">
        <f>IF(J251="","",IF(VLOOKUP(J251,'G-7 Rivers Data'!$AK$4:$AM$9,2,FALSE)=0,"Spatial Data Missing",VLOOKUP(J251,'G-7 Rivers Data'!$AK$4:$AM$9,2,FALSE)))</f>
        <v/>
      </c>
      <c r="L251" s="172" t="str">
        <f>IF(J251="","",IF(VLOOKUP(J251,'G-7 Rivers Data'!$AK$4:$AM$9,3,FALSE)=0,"Spatial Data Missing",VLOOKUP(J251,'G-7 Rivers Data'!$AK$4:$AM$9,3,FALSE)))</f>
        <v/>
      </c>
      <c r="M251" s="79"/>
      <c r="N251" s="172" t="str">
        <f>IF(M251="","",IF(VLOOKUP(M251,'G-7 Rivers Data'!$AA$4:$AB$7,2,FALSE)=0,"Spatial Data Missing",VLOOKUP(M251,'G-7 Rivers Data'!$AA$4:$AB$7,2,FALSE)))</f>
        <v/>
      </c>
      <c r="O251" s="187"/>
      <c r="P251" s="172" t="str">
        <f>IF(O251="","",IF(VLOOKUP(O251,'G-7 Rivers Data'!$AD$4:$AE$8,2,FALSE)=0,"Spatial Data Missing",VLOOKUP(O251,'G-7 Rivers Data'!$AD$4:$AE$8,2,FALSE)))</f>
        <v/>
      </c>
      <c r="Q251" s="177" t="str">
        <f>IF(D251="","",VLOOKUP(D251,'G-7 Rivers Data'!$B$2:$G$8,6,FALSE))</f>
        <v/>
      </c>
      <c r="R251" s="207" t="str">
        <f t="shared" si="24"/>
        <v/>
      </c>
      <c r="S251" s="44"/>
      <c r="T251" s="173"/>
      <c r="U251" s="189"/>
      <c r="V251" s="208" t="str">
        <f t="shared" si="25"/>
        <v/>
      </c>
      <c r="W251" s="208" t="str">
        <f t="shared" si="26"/>
        <v/>
      </c>
      <c r="X251" s="208" t="str">
        <f t="shared" si="27"/>
        <v/>
      </c>
      <c r="Y251" s="209" t="str">
        <f t="shared" si="28"/>
        <v/>
      </c>
      <c r="Z251" s="182"/>
      <c r="AA251" s="183"/>
      <c r="AG251" s="35">
        <f t="shared" si="29"/>
        <v>0</v>
      </c>
      <c r="AH251" s="188" t="str">
        <f t="shared" si="30"/>
        <v/>
      </c>
      <c r="AI251" s="188" t="str">
        <f t="shared" si="31"/>
        <v/>
      </c>
      <c r="AK251" s="188">
        <v>242</v>
      </c>
      <c r="AM251" s="188" t="str">
        <f t="array" ref="AM251">IFERROR(INDEX($AK$10:$AK$258, MATCH(0, IF(TRUE=$AH$10:$AH$258, COUNTIF($AM$9:$AM250, $AK$10:$AK$258), ""), 0)),"")</f>
        <v/>
      </c>
      <c r="AN251" s="188" t="str">
        <f t="array" ref="AN251">IFERROR(INDEX($AK$10:$AK$258, MATCH(0, IF(TRUE=$AI$10:$AI$258, COUNTIF($AN$9:$AN250, $AK$10:$AK$258), ""), 0)),"")</f>
        <v/>
      </c>
      <c r="AP251" s="35" t="str">
        <f>IFERROR(INDEX('G-7 Rivers Data'!$AZ$3:$AZ$7,MATCH(D251,'G-7 Rivers Data'!$AY$3:$AY$7,0)),"")</f>
        <v/>
      </c>
    </row>
    <row r="252" spans="3:42" ht="13.8" x14ac:dyDescent="0.25">
      <c r="C252" s="168">
        <v>243</v>
      </c>
      <c r="D252" s="212"/>
      <c r="E252" s="213"/>
      <c r="F252" s="171" t="str">
        <f>IF(D252="","",VLOOKUP(D252,'G-7 Rivers Data'!$B$2:$G$8,2,FALSE))</f>
        <v/>
      </c>
      <c r="G252" s="172" t="str">
        <f>IFERROR(VLOOKUP(F252,'G-7 Rivers Data'!$C$4:$D$8,2,FALSE),"")</f>
        <v/>
      </c>
      <c r="H252" s="173"/>
      <c r="I252" s="172" t="str">
        <f>IFERROR(INDEX('G-7 Rivers Data'!$H$4:$L$8,MATCH(D252,'G-7 Rivers Data'!$B$4:$B$8,0),MATCH(H252,'G-7 Rivers Data'!$H$3:$L$3,0)),"")</f>
        <v/>
      </c>
      <c r="J252" s="173"/>
      <c r="K252" s="172" t="str">
        <f>IF(J252="","",IF(VLOOKUP(J252,'G-7 Rivers Data'!$AK$4:$AM$9,2,FALSE)=0,"Spatial Data Missing",VLOOKUP(J252,'G-7 Rivers Data'!$AK$4:$AM$9,2,FALSE)))</f>
        <v/>
      </c>
      <c r="L252" s="172" t="str">
        <f>IF(J252="","",IF(VLOOKUP(J252,'G-7 Rivers Data'!$AK$4:$AM$9,3,FALSE)=0,"Spatial Data Missing",VLOOKUP(J252,'G-7 Rivers Data'!$AK$4:$AM$9,3,FALSE)))</f>
        <v/>
      </c>
      <c r="M252" s="79"/>
      <c r="N252" s="172" t="str">
        <f>IF(M252="","",IF(VLOOKUP(M252,'G-7 Rivers Data'!$AA$4:$AB$7,2,FALSE)=0,"Spatial Data Missing",VLOOKUP(M252,'G-7 Rivers Data'!$AA$4:$AB$7,2,FALSE)))</f>
        <v/>
      </c>
      <c r="O252" s="187"/>
      <c r="P252" s="172" t="str">
        <f>IF(O252="","",IF(VLOOKUP(O252,'G-7 Rivers Data'!$AD$4:$AE$8,2,FALSE)=0,"Spatial Data Missing",VLOOKUP(O252,'G-7 Rivers Data'!$AD$4:$AE$8,2,FALSE)))</f>
        <v/>
      </c>
      <c r="Q252" s="177" t="str">
        <f>IF(D252="","",VLOOKUP(D252,'G-7 Rivers Data'!$B$2:$G$8,6,FALSE))</f>
        <v/>
      </c>
      <c r="R252" s="207" t="str">
        <f t="shared" si="24"/>
        <v/>
      </c>
      <c r="S252" s="44"/>
      <c r="T252" s="173"/>
      <c r="U252" s="189"/>
      <c r="V252" s="208" t="str">
        <f t="shared" si="25"/>
        <v/>
      </c>
      <c r="W252" s="208" t="str">
        <f t="shared" si="26"/>
        <v/>
      </c>
      <c r="X252" s="208" t="str">
        <f t="shared" si="27"/>
        <v/>
      </c>
      <c r="Y252" s="209" t="str">
        <f t="shared" si="28"/>
        <v/>
      </c>
      <c r="Z252" s="182"/>
      <c r="AA252" s="183"/>
      <c r="AG252" s="35">
        <f t="shared" si="29"/>
        <v>0</v>
      </c>
      <c r="AH252" s="188" t="str">
        <f t="shared" si="30"/>
        <v/>
      </c>
      <c r="AI252" s="188" t="str">
        <f t="shared" si="31"/>
        <v/>
      </c>
      <c r="AK252" s="188">
        <v>243</v>
      </c>
      <c r="AM252" s="188" t="str">
        <f t="array" ref="AM252">IFERROR(INDEX($AK$10:$AK$258, MATCH(0, IF(TRUE=$AH$10:$AH$258, COUNTIF($AM$9:$AM251, $AK$10:$AK$258), ""), 0)),"")</f>
        <v/>
      </c>
      <c r="AN252" s="188" t="str">
        <f t="array" ref="AN252">IFERROR(INDEX($AK$10:$AK$258, MATCH(0, IF(TRUE=$AI$10:$AI$258, COUNTIF($AN$9:$AN251, $AK$10:$AK$258), ""), 0)),"")</f>
        <v/>
      </c>
      <c r="AP252" s="35" t="str">
        <f>IFERROR(INDEX('G-7 Rivers Data'!$AZ$3:$AZ$7,MATCH(D252,'G-7 Rivers Data'!$AY$3:$AY$7,0)),"")</f>
        <v/>
      </c>
    </row>
    <row r="253" spans="3:42" ht="13.8" x14ac:dyDescent="0.25">
      <c r="C253" s="168">
        <v>244</v>
      </c>
      <c r="D253" s="212"/>
      <c r="E253" s="213"/>
      <c r="F253" s="171" t="str">
        <f>IF(D253="","",VLOOKUP(D253,'G-7 Rivers Data'!$B$2:$G$8,2,FALSE))</f>
        <v/>
      </c>
      <c r="G253" s="172" t="str">
        <f>IFERROR(VLOOKUP(F253,'G-7 Rivers Data'!$C$4:$D$8,2,FALSE),"")</f>
        <v/>
      </c>
      <c r="H253" s="173"/>
      <c r="I253" s="172" t="str">
        <f>IFERROR(INDEX('G-7 Rivers Data'!$H$4:$L$8,MATCH(D253,'G-7 Rivers Data'!$B$4:$B$8,0),MATCH(H253,'G-7 Rivers Data'!$H$3:$L$3,0)),"")</f>
        <v/>
      </c>
      <c r="J253" s="173"/>
      <c r="K253" s="172" t="str">
        <f>IF(J253="","",IF(VLOOKUP(J253,'G-7 Rivers Data'!$AK$4:$AM$9,2,FALSE)=0,"Spatial Data Missing",VLOOKUP(J253,'G-7 Rivers Data'!$AK$4:$AM$9,2,FALSE)))</f>
        <v/>
      </c>
      <c r="L253" s="172" t="str">
        <f>IF(J253="","",IF(VLOOKUP(J253,'G-7 Rivers Data'!$AK$4:$AM$9,3,FALSE)=0,"Spatial Data Missing",VLOOKUP(J253,'G-7 Rivers Data'!$AK$4:$AM$9,3,FALSE)))</f>
        <v/>
      </c>
      <c r="M253" s="79"/>
      <c r="N253" s="172" t="str">
        <f>IF(M253="","",IF(VLOOKUP(M253,'G-7 Rivers Data'!$AA$4:$AB$7,2,FALSE)=0,"Spatial Data Missing",VLOOKUP(M253,'G-7 Rivers Data'!$AA$4:$AB$7,2,FALSE)))</f>
        <v/>
      </c>
      <c r="O253" s="187"/>
      <c r="P253" s="172" t="str">
        <f>IF(O253="","",IF(VLOOKUP(O253,'G-7 Rivers Data'!$AD$4:$AE$8,2,FALSE)=0,"Spatial Data Missing",VLOOKUP(O253,'G-7 Rivers Data'!$AD$4:$AE$8,2,FALSE)))</f>
        <v/>
      </c>
      <c r="Q253" s="177" t="str">
        <f>IF(D253="","",VLOOKUP(D253,'G-7 Rivers Data'!$B$2:$G$8,6,FALSE))</f>
        <v/>
      </c>
      <c r="R253" s="207" t="str">
        <f t="shared" si="24"/>
        <v/>
      </c>
      <c r="S253" s="44"/>
      <c r="T253" s="173"/>
      <c r="U253" s="189"/>
      <c r="V253" s="208" t="str">
        <f t="shared" si="25"/>
        <v/>
      </c>
      <c r="W253" s="208" t="str">
        <f t="shared" si="26"/>
        <v/>
      </c>
      <c r="X253" s="208" t="str">
        <f t="shared" si="27"/>
        <v/>
      </c>
      <c r="Y253" s="209" t="str">
        <f t="shared" si="28"/>
        <v/>
      </c>
      <c r="Z253" s="182"/>
      <c r="AA253" s="183"/>
      <c r="AG253" s="35">
        <f t="shared" si="29"/>
        <v>0</v>
      </c>
      <c r="AH253" s="188" t="str">
        <f t="shared" si="30"/>
        <v/>
      </c>
      <c r="AI253" s="188" t="str">
        <f t="shared" si="31"/>
        <v/>
      </c>
      <c r="AK253" s="188">
        <v>244</v>
      </c>
      <c r="AM253" s="188" t="str">
        <f t="array" ref="AM253">IFERROR(INDEX($AK$10:$AK$258, MATCH(0, IF(TRUE=$AH$10:$AH$258, COUNTIF($AM$9:$AM252, $AK$10:$AK$258), ""), 0)),"")</f>
        <v/>
      </c>
      <c r="AN253" s="188" t="str">
        <f t="array" ref="AN253">IFERROR(INDEX($AK$10:$AK$258, MATCH(0, IF(TRUE=$AI$10:$AI$258, COUNTIF($AN$9:$AN252, $AK$10:$AK$258), ""), 0)),"")</f>
        <v/>
      </c>
      <c r="AP253" s="35" t="str">
        <f>IFERROR(INDEX('G-7 Rivers Data'!$AZ$3:$AZ$7,MATCH(D253,'G-7 Rivers Data'!$AY$3:$AY$7,0)),"")</f>
        <v/>
      </c>
    </row>
    <row r="254" spans="3:42" ht="13.8" x14ac:dyDescent="0.25">
      <c r="C254" s="168">
        <v>245</v>
      </c>
      <c r="D254" s="212"/>
      <c r="E254" s="213"/>
      <c r="F254" s="171" t="str">
        <f>IF(D254="","",VLOOKUP(D254,'G-7 Rivers Data'!$B$2:$G$8,2,FALSE))</f>
        <v/>
      </c>
      <c r="G254" s="172" t="str">
        <f>IFERROR(VLOOKUP(F254,'G-7 Rivers Data'!$C$4:$D$8,2,FALSE),"")</f>
        <v/>
      </c>
      <c r="H254" s="173"/>
      <c r="I254" s="172" t="str">
        <f>IFERROR(INDEX('G-7 Rivers Data'!$H$4:$L$8,MATCH(D254,'G-7 Rivers Data'!$B$4:$B$8,0),MATCH(H254,'G-7 Rivers Data'!$H$3:$L$3,0)),"")</f>
        <v/>
      </c>
      <c r="J254" s="173"/>
      <c r="K254" s="172" t="str">
        <f>IF(J254="","",IF(VLOOKUP(J254,'G-7 Rivers Data'!$AK$4:$AM$9,2,FALSE)=0,"Spatial Data Missing",VLOOKUP(J254,'G-7 Rivers Data'!$AK$4:$AM$9,2,FALSE)))</f>
        <v/>
      </c>
      <c r="L254" s="172" t="str">
        <f>IF(J254="","",IF(VLOOKUP(J254,'G-7 Rivers Data'!$AK$4:$AM$9,3,FALSE)=0,"Spatial Data Missing",VLOOKUP(J254,'G-7 Rivers Data'!$AK$4:$AM$9,3,FALSE)))</f>
        <v/>
      </c>
      <c r="M254" s="79"/>
      <c r="N254" s="172" t="str">
        <f>IF(M254="","",IF(VLOOKUP(M254,'G-7 Rivers Data'!$AA$4:$AB$7,2,FALSE)=0,"Spatial Data Missing",VLOOKUP(M254,'G-7 Rivers Data'!$AA$4:$AB$7,2,FALSE)))</f>
        <v/>
      </c>
      <c r="O254" s="187"/>
      <c r="P254" s="172" t="str">
        <f>IF(O254="","",IF(VLOOKUP(O254,'G-7 Rivers Data'!$AD$4:$AE$8,2,FALSE)=0,"Spatial Data Missing",VLOOKUP(O254,'G-7 Rivers Data'!$AD$4:$AE$8,2,FALSE)))</f>
        <v/>
      </c>
      <c r="Q254" s="177" t="str">
        <f>IF(D254="","",VLOOKUP(D254,'G-7 Rivers Data'!$B$2:$G$8,6,FALSE))</f>
        <v/>
      </c>
      <c r="R254" s="207" t="str">
        <f t="shared" si="24"/>
        <v/>
      </c>
      <c r="S254" s="44"/>
      <c r="T254" s="173"/>
      <c r="U254" s="189"/>
      <c r="V254" s="208" t="str">
        <f t="shared" si="25"/>
        <v/>
      </c>
      <c r="W254" s="208" t="str">
        <f t="shared" si="26"/>
        <v/>
      </c>
      <c r="X254" s="208" t="str">
        <f t="shared" si="27"/>
        <v/>
      </c>
      <c r="Y254" s="209" t="str">
        <f t="shared" si="28"/>
        <v/>
      </c>
      <c r="Z254" s="182"/>
      <c r="AA254" s="183"/>
      <c r="AG254" s="35">
        <f t="shared" si="29"/>
        <v>0</v>
      </c>
      <c r="AH254" s="188" t="str">
        <f t="shared" si="30"/>
        <v/>
      </c>
      <c r="AI254" s="188" t="str">
        <f t="shared" si="31"/>
        <v/>
      </c>
      <c r="AK254" s="188">
        <v>245</v>
      </c>
      <c r="AM254" s="188" t="str">
        <f t="array" ref="AM254">IFERROR(INDEX($AK$10:$AK$258, MATCH(0, IF(TRUE=$AH$10:$AH$258, COUNTIF($AM$9:$AM253, $AK$10:$AK$258), ""), 0)),"")</f>
        <v/>
      </c>
      <c r="AN254" s="188" t="str">
        <f t="array" ref="AN254">IFERROR(INDEX($AK$10:$AK$258, MATCH(0, IF(TRUE=$AI$10:$AI$258, COUNTIF($AN$9:$AN253, $AK$10:$AK$258), ""), 0)),"")</f>
        <v/>
      </c>
      <c r="AP254" s="35" t="str">
        <f>IFERROR(INDEX('G-7 Rivers Data'!$AZ$3:$AZ$7,MATCH(D254,'G-7 Rivers Data'!$AY$3:$AY$7,0)),"")</f>
        <v/>
      </c>
    </row>
    <row r="255" spans="3:42" ht="13.8" x14ac:dyDescent="0.25">
      <c r="C255" s="168">
        <v>246</v>
      </c>
      <c r="D255" s="212"/>
      <c r="E255" s="213"/>
      <c r="F255" s="171" t="str">
        <f>IF(D255="","",VLOOKUP(D255,'G-7 Rivers Data'!$B$2:$G$8,2,FALSE))</f>
        <v/>
      </c>
      <c r="G255" s="172" t="str">
        <f>IFERROR(VLOOKUP(F255,'G-7 Rivers Data'!$C$4:$D$8,2,FALSE),"")</f>
        <v/>
      </c>
      <c r="H255" s="173"/>
      <c r="I255" s="172" t="str">
        <f>IFERROR(INDEX('G-7 Rivers Data'!$H$4:$L$8,MATCH(D255,'G-7 Rivers Data'!$B$4:$B$8,0),MATCH(H255,'G-7 Rivers Data'!$H$3:$L$3,0)),"")</f>
        <v/>
      </c>
      <c r="J255" s="173"/>
      <c r="K255" s="172" t="str">
        <f>IF(J255="","",IF(VLOOKUP(J255,'G-7 Rivers Data'!$AK$4:$AM$9,2,FALSE)=0,"Spatial Data Missing",VLOOKUP(J255,'G-7 Rivers Data'!$AK$4:$AM$9,2,FALSE)))</f>
        <v/>
      </c>
      <c r="L255" s="172" t="str">
        <f>IF(J255="","",IF(VLOOKUP(J255,'G-7 Rivers Data'!$AK$4:$AM$9,3,FALSE)=0,"Spatial Data Missing",VLOOKUP(J255,'G-7 Rivers Data'!$AK$4:$AM$9,3,FALSE)))</f>
        <v/>
      </c>
      <c r="M255" s="79"/>
      <c r="N255" s="172" t="str">
        <f>IF(M255="","",IF(VLOOKUP(M255,'G-7 Rivers Data'!$AA$4:$AB$7,2,FALSE)=0,"Spatial Data Missing",VLOOKUP(M255,'G-7 Rivers Data'!$AA$4:$AB$7,2,FALSE)))</f>
        <v/>
      </c>
      <c r="O255" s="187"/>
      <c r="P255" s="172" t="str">
        <f>IF(O255="","",IF(VLOOKUP(O255,'G-7 Rivers Data'!$AD$4:$AE$8,2,FALSE)=0,"Spatial Data Missing",VLOOKUP(O255,'G-7 Rivers Data'!$AD$4:$AE$8,2,FALSE)))</f>
        <v/>
      </c>
      <c r="Q255" s="177" t="str">
        <f>IF(D255="","",VLOOKUP(D255,'G-7 Rivers Data'!$B$2:$G$8,6,FALSE))</f>
        <v/>
      </c>
      <c r="R255" s="207" t="str">
        <f t="shared" si="24"/>
        <v/>
      </c>
      <c r="S255" s="44"/>
      <c r="T255" s="173"/>
      <c r="U255" s="189"/>
      <c r="V255" s="208" t="str">
        <f t="shared" si="25"/>
        <v/>
      </c>
      <c r="W255" s="208" t="str">
        <f t="shared" si="26"/>
        <v/>
      </c>
      <c r="X255" s="208" t="str">
        <f t="shared" si="27"/>
        <v/>
      </c>
      <c r="Y255" s="209" t="str">
        <f t="shared" si="28"/>
        <v/>
      </c>
      <c r="Z255" s="182"/>
      <c r="AA255" s="183"/>
      <c r="AG255" s="35">
        <f t="shared" si="29"/>
        <v>0</v>
      </c>
      <c r="AH255" s="188" t="str">
        <f t="shared" si="30"/>
        <v/>
      </c>
      <c r="AI255" s="188" t="str">
        <f t="shared" si="31"/>
        <v/>
      </c>
      <c r="AK255" s="188">
        <v>246</v>
      </c>
      <c r="AM255" s="188" t="str">
        <f t="array" ref="AM255">IFERROR(INDEX($AK$10:$AK$258, MATCH(0, IF(TRUE=$AH$10:$AH$258, COUNTIF($AM$9:$AM254, $AK$10:$AK$258), ""), 0)),"")</f>
        <v/>
      </c>
      <c r="AN255" s="188" t="str">
        <f t="array" ref="AN255">IFERROR(INDEX($AK$10:$AK$258, MATCH(0, IF(TRUE=$AI$10:$AI$258, COUNTIF($AN$9:$AN254, $AK$10:$AK$258), ""), 0)),"")</f>
        <v/>
      </c>
      <c r="AP255" s="35" t="str">
        <f>IFERROR(INDEX('G-7 Rivers Data'!$AZ$3:$AZ$7,MATCH(D255,'G-7 Rivers Data'!$AY$3:$AY$7,0)),"")</f>
        <v/>
      </c>
    </row>
    <row r="256" spans="3:42" ht="13.95" customHeight="1" x14ac:dyDescent="0.25">
      <c r="C256" s="168">
        <v>247</v>
      </c>
      <c r="D256" s="212"/>
      <c r="E256" s="213"/>
      <c r="F256" s="171" t="str">
        <f>IF(D256="","",VLOOKUP(D256,'G-7 Rivers Data'!$B$2:$G$8,2,FALSE))</f>
        <v/>
      </c>
      <c r="G256" s="172" t="str">
        <f>IFERROR(VLOOKUP(F256,'G-7 Rivers Data'!$C$4:$D$8,2,FALSE),"")</f>
        <v/>
      </c>
      <c r="H256" s="173"/>
      <c r="I256" s="172" t="str">
        <f>IFERROR(INDEX('G-7 Rivers Data'!$H$4:$L$8,MATCH(D256,'G-7 Rivers Data'!$B$4:$B$8,0),MATCH(H256,'G-7 Rivers Data'!$H$3:$L$3,0)),"")</f>
        <v/>
      </c>
      <c r="J256" s="173"/>
      <c r="K256" s="172" t="str">
        <f>IF(J256="","",IF(VLOOKUP(J256,'G-7 Rivers Data'!$AK$4:$AM$9,2,FALSE)=0,"Spatial Data Missing",VLOOKUP(J256,'G-7 Rivers Data'!$AK$4:$AM$9,2,FALSE)))</f>
        <v/>
      </c>
      <c r="L256" s="172" t="str">
        <f>IF(J256="","",IF(VLOOKUP(J256,'G-7 Rivers Data'!$AK$4:$AM$9,3,FALSE)=0,"Spatial Data Missing",VLOOKUP(J256,'G-7 Rivers Data'!$AK$4:$AM$9,3,FALSE)))</f>
        <v/>
      </c>
      <c r="M256" s="79"/>
      <c r="N256" s="172" t="str">
        <f>IF(M256="","",IF(VLOOKUP(M256,'G-7 Rivers Data'!$AA$4:$AB$7,2,FALSE)=0,"Spatial Data Missing",VLOOKUP(M256,'G-7 Rivers Data'!$AA$4:$AB$7,2,FALSE)))</f>
        <v/>
      </c>
      <c r="O256" s="187"/>
      <c r="P256" s="172" t="str">
        <f>IF(O256="","",IF(VLOOKUP(O256,'G-7 Rivers Data'!$AD$4:$AE$8,2,FALSE)=0,"Spatial Data Missing",VLOOKUP(O256,'G-7 Rivers Data'!$AD$4:$AE$8,2,FALSE)))</f>
        <v/>
      </c>
      <c r="Q256" s="177" t="str">
        <f>IF(D256="","",VLOOKUP(D256,'G-7 Rivers Data'!$B$2:$G$8,6,FALSE))</f>
        <v/>
      </c>
      <c r="R256" s="207" t="str">
        <f t="shared" si="24"/>
        <v/>
      </c>
      <c r="S256" s="44"/>
      <c r="T256" s="173"/>
      <c r="U256" s="189"/>
      <c r="V256" s="208" t="str">
        <f t="shared" si="25"/>
        <v/>
      </c>
      <c r="W256" s="208" t="str">
        <f t="shared" si="26"/>
        <v/>
      </c>
      <c r="X256" s="208" t="str">
        <f t="shared" si="27"/>
        <v/>
      </c>
      <c r="Y256" s="209" t="str">
        <f t="shared" si="28"/>
        <v/>
      </c>
      <c r="Z256" s="182"/>
      <c r="AA256" s="183"/>
      <c r="AG256" s="35">
        <f t="shared" si="29"/>
        <v>0</v>
      </c>
      <c r="AH256" s="188" t="str">
        <f t="shared" si="30"/>
        <v/>
      </c>
      <c r="AI256" s="188" t="str">
        <f t="shared" si="31"/>
        <v/>
      </c>
      <c r="AK256" s="188">
        <v>247</v>
      </c>
      <c r="AM256" s="188" t="str">
        <f t="array" ref="AM256">IFERROR(INDEX($AK$10:$AK$258, MATCH(0, IF(TRUE=$AH$10:$AH$258, COUNTIF($AM$9:$AM255, $AK$10:$AK$258), ""), 0)),"")</f>
        <v/>
      </c>
      <c r="AN256" s="188" t="str">
        <f t="array" ref="AN256">IFERROR(INDEX($AK$10:$AK$258, MATCH(0, IF(TRUE=$AI$10:$AI$258, COUNTIF($AN$9:$AN255, $AK$10:$AK$258), ""), 0)),"")</f>
        <v/>
      </c>
      <c r="AP256" s="35" t="str">
        <f>IFERROR(INDEX('G-7 Rivers Data'!$AZ$3:$AZ$7,MATCH(D256,'G-7 Rivers Data'!$AY$3:$AY$7,0)),"")</f>
        <v/>
      </c>
    </row>
    <row r="257" spans="2:42" ht="13.95" customHeight="1" thickBot="1" x14ac:dyDescent="0.3">
      <c r="C257" s="190">
        <v>248</v>
      </c>
      <c r="D257" s="212"/>
      <c r="E257" s="213"/>
      <c r="F257" s="248" t="str">
        <f>IF(D257="","",VLOOKUP(D257,'G-7 Rivers Data'!$B$2:$G$8,2,FALSE))</f>
        <v/>
      </c>
      <c r="G257" s="195" t="str">
        <f>IFERROR(VLOOKUP(F257,'G-7 Rivers Data'!$C$4:$D$8,2,FALSE),"")</f>
        <v/>
      </c>
      <c r="H257" s="193"/>
      <c r="I257" s="195" t="str">
        <f>IFERROR(INDEX('G-7 Rivers Data'!$H$4:$L$8,MATCH(D257,'G-7 Rivers Data'!$B$4:$B$8,0),MATCH(H257,'G-7 Rivers Data'!$H$3:$L$3,0)),"")</f>
        <v/>
      </c>
      <c r="J257" s="193"/>
      <c r="K257" s="195" t="str">
        <f>IF(J257="","",IF(VLOOKUP(J257,'G-7 Rivers Data'!$AK$4:$AM$9,2,FALSE)=0,"Spatial Data Missing",VLOOKUP(J257,'G-7 Rivers Data'!$AK$4:$AM$9,2,FALSE)))</f>
        <v/>
      </c>
      <c r="L257" s="195" t="str">
        <f>IF(J257="","",IF(VLOOKUP(J257,'G-7 Rivers Data'!$AK$4:$AM$9,3,FALSE)=0,"Spatial Data Missing",VLOOKUP(J257,'G-7 Rivers Data'!$AK$4:$AM$9,3,FALSE)))</f>
        <v/>
      </c>
      <c r="M257" s="709"/>
      <c r="N257" s="172" t="str">
        <f>IF(M257="","",IF(VLOOKUP(M257,'G-7 Rivers Data'!$AA$4:$AB$7,2,FALSE)=0,"Spatial Data Missing",VLOOKUP(M257,'G-7 Rivers Data'!$AA$4:$AB$7,2,FALSE)))</f>
        <v/>
      </c>
      <c r="O257" s="404"/>
      <c r="P257" s="195" t="str">
        <f>IF(O257="","",IF(VLOOKUP(O257,'G-7 Rivers Data'!$AD$4:$AE$8,2,FALSE)=0,"Spatial Data Missing",VLOOKUP(O257,'G-7 Rivers Data'!$AD$4:$AE$8,2,FALSE)))</f>
        <v/>
      </c>
      <c r="Q257" s="405" t="str">
        <f>IF(D257="","",VLOOKUP(D257,'G-7 Rivers Data'!$B$2:$G$8,6,FALSE))</f>
        <v/>
      </c>
      <c r="R257" s="406" t="str">
        <f t="shared" si="24"/>
        <v/>
      </c>
      <c r="S257" s="44"/>
      <c r="T257" s="629"/>
      <c r="U257" s="630"/>
      <c r="V257" s="208" t="str">
        <f t="shared" si="25"/>
        <v/>
      </c>
      <c r="W257" s="208" t="str">
        <f t="shared" si="26"/>
        <v/>
      </c>
      <c r="X257" s="208" t="str">
        <f t="shared" si="27"/>
        <v/>
      </c>
      <c r="Y257" s="209" t="str">
        <f t="shared" si="28"/>
        <v/>
      </c>
      <c r="Z257" s="197"/>
      <c r="AA257" s="198"/>
      <c r="AG257" s="35">
        <f t="shared" si="29"/>
        <v>0</v>
      </c>
      <c r="AH257" s="188" t="str">
        <f t="shared" si="30"/>
        <v/>
      </c>
      <c r="AI257" s="188" t="str">
        <f t="shared" si="31"/>
        <v/>
      </c>
      <c r="AK257" s="188">
        <v>248</v>
      </c>
      <c r="AM257" s="188" t="str">
        <f t="array" ref="AM257">IFERROR(INDEX($AK$10:$AK$258, MATCH(0, IF(TRUE=$AH$10:$AH$258, COUNTIF($AM$9:$AM256, $AK$10:$AK$258), ""), 0)),"")</f>
        <v/>
      </c>
      <c r="AN257" s="188" t="str">
        <f t="array" ref="AN257">IFERROR(INDEX($AK$10:$AK$258, MATCH(0, IF(TRUE=$AI$10:$AI$258, COUNTIF($AN$9:$AN256, $AK$10:$AK$258), ""), 0)),"")</f>
        <v/>
      </c>
      <c r="AP257" s="35" t="str">
        <f>IFERROR(INDEX('G-7 Rivers Data'!$AZ$3:$AZ$7,MATCH(D257,'G-7 Rivers Data'!$AY$3:$AY$7,0)),"")</f>
        <v/>
      </c>
    </row>
    <row r="258" spans="2:42" ht="13.95" customHeight="1" thickBot="1" x14ac:dyDescent="0.3">
      <c r="B258" s="35"/>
      <c r="C258" s="51"/>
      <c r="D258" s="696"/>
      <c r="E258" s="648">
        <f>SUM(E10:E257)</f>
        <v>0</v>
      </c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1055"/>
      <c r="Q258" s="1056"/>
      <c r="R258" s="648">
        <f>SUM(R10:R257)</f>
        <v>0</v>
      </c>
      <c r="S258" s="201"/>
      <c r="T258" s="202">
        <f>SUM(T10:T257)</f>
        <v>0</v>
      </c>
      <c r="U258" s="203">
        <f>SUM(U10:U257)</f>
        <v>0</v>
      </c>
      <c r="V258" s="203">
        <f>SUM(V10:V257)</f>
        <v>0</v>
      </c>
      <c r="W258" s="203">
        <f t="shared" ref="W258:X258" si="32">SUM(W10:W257)</f>
        <v>0</v>
      </c>
      <c r="X258" s="203">
        <f t="shared" si="32"/>
        <v>0</v>
      </c>
      <c r="Y258" s="204">
        <f>SUM(Y10:Y257)</f>
        <v>0</v>
      </c>
    </row>
    <row r="259" spans="2:42" ht="13.8" x14ac:dyDescent="0.25">
      <c r="B259" s="35"/>
      <c r="C259" s="35"/>
      <c r="S259" s="201"/>
      <c r="T259" s="201"/>
      <c r="U259" s="201"/>
      <c r="V259" s="201"/>
      <c r="W259" s="201"/>
      <c r="X259" s="201"/>
      <c r="Y259" s="201"/>
    </row>
    <row r="260" spans="2:42" ht="13.8" x14ac:dyDescent="0.25"/>
    <row r="261" spans="2:42" ht="13.8" x14ac:dyDescent="0.25"/>
    <row r="262" spans="2:42" ht="13.8" x14ac:dyDescent="0.25"/>
    <row r="263" spans="2:42" ht="13.8" x14ac:dyDescent="0.25"/>
    <row r="264" spans="2:42" ht="13.8" x14ac:dyDescent="0.25"/>
    <row r="265" spans="2:42" ht="13.8" x14ac:dyDescent="0.25"/>
    <row r="266" spans="2:42" ht="13.8" x14ac:dyDescent="0.25"/>
    <row r="267" spans="2:42" ht="13.8" x14ac:dyDescent="0.25"/>
    <row r="268" spans="2:42" ht="13.8" x14ac:dyDescent="0.25"/>
    <row r="269" spans="2:42" ht="13.8" x14ac:dyDescent="0.25"/>
    <row r="270" spans="2:42" ht="13.8" x14ac:dyDescent="0.25"/>
    <row r="271" spans="2:42" ht="13.8" x14ac:dyDescent="0.25"/>
    <row r="272" spans="2:42" ht="13.8" x14ac:dyDescent="0.25"/>
  </sheetData>
  <sheetProtection algorithmName="SHA-512" hashValue="fWzNB9kLQwG+ax6l7kpo8Yw8P/A/On8yrcTBpuAcsX59k97TYBg7os7oaMDpubkHbT85j++JN58JdOQ8qUivng==" saltValue="G8y2TGqsp3xaq4V9j08mCw==" spinCount="100000" sheet="1" objects="1" scenarios="1"/>
  <customSheetViews>
    <customSheetView guid="{8BDA793C-C9C5-4FC6-A0A5-F1109F6D4F22}" state="hidden">
      <pane ySplit="9" topLeftCell="A10" activePane="bottomLeft" state="frozen"/>
      <selection pane="bottomLeft" activeCell="D14" sqref="D14"/>
    </customSheetView>
  </customSheetViews>
  <mergeCells count="13">
    <mergeCell ref="P258:Q258"/>
    <mergeCell ref="Z8:AA8"/>
    <mergeCell ref="B2:D2"/>
    <mergeCell ref="B3:D4"/>
    <mergeCell ref="C8:E8"/>
    <mergeCell ref="F8:G8"/>
    <mergeCell ref="H8:I8"/>
    <mergeCell ref="J8:L8"/>
    <mergeCell ref="M8:N8"/>
    <mergeCell ref="O8:P8"/>
    <mergeCell ref="Q8:Q9"/>
    <mergeCell ref="T8:Y8"/>
    <mergeCell ref="T5:Y6"/>
  </mergeCells>
  <conditionalFormatting sqref="Q10:Q257">
    <cfRule type="containsText" dxfId="60" priority="19" operator="containsText" text="Restore">
      <formula>NOT(ISERROR(SEARCH("Restore",Q10)))</formula>
    </cfRule>
  </conditionalFormatting>
  <conditionalFormatting sqref="K10:L257">
    <cfRule type="containsText" dxfId="59" priority="14" operator="containsText" text="Spatial">
      <formula>NOT(ISERROR(SEARCH("Spatial",K10)))</formula>
    </cfRule>
  </conditionalFormatting>
  <conditionalFormatting sqref="P10:P257">
    <cfRule type="containsText" dxfId="58" priority="13" operator="containsText" text="Spatial">
      <formula>NOT(ISERROR(SEARCH("Spatial",P10)))</formula>
    </cfRule>
  </conditionalFormatting>
  <conditionalFormatting sqref="X10:X257">
    <cfRule type="containsText" dxfId="57" priority="12" operator="containsText" text="Error">
      <formula>NOT(ISERROR(SEARCH("Error",X10)))</formula>
    </cfRule>
  </conditionalFormatting>
  <conditionalFormatting sqref="Y10:Y257">
    <cfRule type="containsText" dxfId="56" priority="10" operator="containsText" text="Check">
      <formula>NOT(ISERROR(SEARCH("Check",Y10)))</formula>
    </cfRule>
    <cfRule type="containsText" dxfId="55" priority="11" operator="containsText" text="Error">
      <formula>NOT(ISERROR(SEARCH("Error",Y10)))</formula>
    </cfRule>
  </conditionalFormatting>
  <conditionalFormatting sqref="T5:Y6">
    <cfRule type="containsText" dxfId="54" priority="1" operator="containsText" text="Check">
      <formula>NOT(ISERROR(SEARCH("Check",T5)))</formula>
    </cfRule>
  </conditionalFormatting>
  <dataValidations count="1">
    <dataValidation type="list" allowBlank="1" showInputMessage="1" showErrorMessage="1" sqref="H10:H14" xr:uid="{00000000-0002-0000-1700-000000000000}">
      <formula1>INDIRECT(AP10)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1700-000001000000}">
          <x14:formula1>
            <xm:f>'G-7 Rivers Data'!$H$3:$L$3</xm:f>
          </x14:formula1>
          <xm:sqref>H15:H257</xm:sqref>
        </x14:dataValidation>
        <x14:dataValidation type="list" allowBlank="1" showInputMessage="1" showErrorMessage="1" xr:uid="{00000000-0002-0000-1700-000002000000}">
          <x14:formula1>
            <xm:f>'G-7 Rivers Data'!$AK$4:$AK$9</xm:f>
          </x14:formula1>
          <xm:sqref>J10:J257</xm:sqref>
        </x14:dataValidation>
        <x14:dataValidation type="list" allowBlank="1" showInputMessage="1" showErrorMessage="1" xr:uid="{00000000-0002-0000-1700-000004000000}">
          <x14:formula1>
            <xm:f>'G-7 Rivers Data'!$AD$4:$AD$7</xm:f>
          </x14:formula1>
          <xm:sqref>O10:O257</xm:sqref>
        </x14:dataValidation>
        <x14:dataValidation type="list" allowBlank="1" showInputMessage="1" showErrorMessage="1" xr:uid="{00000000-0002-0000-1700-000005000000}">
          <x14:formula1>
            <xm:f>'G-7 Rivers Data'!$B$4:$B$8</xm:f>
          </x14:formula1>
          <xm:sqref>D10:D257</xm:sqref>
        </x14:dataValidation>
        <x14:dataValidation type="list" allowBlank="1" showInputMessage="1" showErrorMessage="1" xr:uid="{EA200A12-2AB4-41A2-8065-78EBD76ED851}">
          <x14:formula1>
            <xm:f>'G-7 Rivers Data'!$AA$4:$AA$7</xm:f>
          </x14:formula1>
          <xm:sqref>M10:M257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">
    <tabColor rgb="FF00B0F0"/>
  </sheetPr>
  <dimension ref="A1:AH268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C12" sqref="C12"/>
    </sheetView>
  </sheetViews>
  <sheetFormatPr defaultColWidth="0" defaultRowHeight="0" customHeight="1" zeroHeight="1" x14ac:dyDescent="0.25"/>
  <cols>
    <col min="1" max="1" width="2.88671875" style="35" customWidth="1"/>
    <col min="2" max="2" width="10.6640625" style="35" customWidth="1"/>
    <col min="3" max="3" width="41" style="35" customWidth="1"/>
    <col min="4" max="4" width="10" style="35" customWidth="1"/>
    <col min="5" max="5" width="18.33203125" style="35" customWidth="1"/>
    <col min="6" max="6" width="13.109375" style="35" customWidth="1"/>
    <col min="7" max="7" width="12.5546875" style="35" bestFit="1" customWidth="1"/>
    <col min="8" max="8" width="12.5546875" style="35" customWidth="1"/>
    <col min="9" max="9" width="33.6640625" style="35" customWidth="1"/>
    <col min="10" max="10" width="22.33203125" style="35" customWidth="1"/>
    <col min="11" max="11" width="12.33203125" style="35" customWidth="1"/>
    <col min="12" max="16" width="17.6640625" style="35" customWidth="1"/>
    <col min="17" max="17" width="15.33203125" style="35" customWidth="1"/>
    <col min="18" max="18" width="10.6640625" style="35" customWidth="1"/>
    <col min="19" max="19" width="21.88671875" style="35" customWidth="1"/>
    <col min="20" max="20" width="15.5546875" style="35" customWidth="1"/>
    <col min="21" max="21" width="13.88671875" style="35" customWidth="1"/>
    <col min="22" max="22" width="17.88671875" style="35" customWidth="1"/>
    <col min="23" max="23" width="12.33203125" style="35" customWidth="1"/>
    <col min="24" max="24" width="21.33203125" style="35" customWidth="1"/>
    <col min="25" max="25" width="13.33203125" style="35" customWidth="1"/>
    <col min="26" max="26" width="17.33203125" style="35" customWidth="1"/>
    <col min="27" max="28" width="34.88671875" style="35" customWidth="1"/>
    <col min="29" max="32" width="8.88671875" style="35" customWidth="1"/>
    <col min="33" max="33" width="8.88671875" style="35" hidden="1" customWidth="1"/>
    <col min="34" max="34" width="10.88671875" style="35" hidden="1" customWidth="1"/>
    <col min="35" max="16384" width="8.88671875" style="35" hidden="1"/>
  </cols>
  <sheetData>
    <row r="1" spans="2:34" ht="14.4" hidden="1" thickBot="1" x14ac:dyDescent="0.3"/>
    <row r="2" spans="2:34" ht="24.6" customHeight="1" thickBot="1" x14ac:dyDescent="0.3">
      <c r="B2" s="1031" t="str">
        <f>IF([2]Start!F12="","",[2]Start!F12)</f>
        <v/>
      </c>
      <c r="C2" s="1032"/>
      <c r="D2" s="1032"/>
      <c r="E2" s="1033"/>
    </row>
    <row r="3" spans="2:34" ht="15.6" customHeight="1" thickBot="1" x14ac:dyDescent="0.3">
      <c r="B3" s="1061" t="str">
        <f ca="1">MID(CELL("filename",A1),FIND("]",CELL("filename",A1))+1,256)</f>
        <v>C-2 Site River Creation</v>
      </c>
      <c r="C3" s="1062"/>
      <c r="D3" s="1062"/>
      <c r="E3" s="1063"/>
      <c r="L3" s="958" t="str">
        <f>IF(OR(COUNTIF(L$12:$L260,"*30+*")&gt;0,COUNTIF(P$12:$P260,"*30+*")&gt;0),"Note; Habitat selected has a time to target condition greater than 30 years. Non standard agreement may be required.","")</f>
        <v/>
      </c>
      <c r="M3" s="958"/>
      <c r="N3" s="958"/>
      <c r="O3" s="958"/>
      <c r="P3" s="958"/>
      <c r="Q3" s="958"/>
    </row>
    <row r="4" spans="2:34" ht="15" customHeight="1" thickBot="1" x14ac:dyDescent="0.3">
      <c r="B4" s="1061"/>
      <c r="C4" s="1062"/>
      <c r="D4" s="1062"/>
      <c r="E4" s="1063"/>
      <c r="L4" s="958"/>
      <c r="M4" s="958"/>
      <c r="N4" s="958"/>
      <c r="O4" s="958"/>
      <c r="P4" s="958"/>
      <c r="Q4" s="958"/>
    </row>
    <row r="5" spans="2:34" ht="26.4" customHeight="1" x14ac:dyDescent="0.25">
      <c r="L5" s="958"/>
      <c r="M5" s="958"/>
      <c r="N5" s="958"/>
      <c r="O5" s="958"/>
      <c r="P5" s="958"/>
      <c r="Q5" s="958"/>
    </row>
    <row r="6" spans="2:34" ht="23.25" customHeight="1" x14ac:dyDescent="0.25">
      <c r="L6" s="622"/>
      <c r="M6" s="622"/>
      <c r="N6" s="622"/>
      <c r="O6" s="622"/>
      <c r="P6" s="622"/>
    </row>
    <row r="7" spans="2:34" ht="6" customHeight="1" x14ac:dyDescent="0.25">
      <c r="L7" s="622"/>
      <c r="M7" s="622"/>
      <c r="N7" s="622"/>
      <c r="O7" s="622"/>
      <c r="P7" s="622"/>
    </row>
    <row r="8" spans="2:34" ht="6" customHeight="1" x14ac:dyDescent="0.25"/>
    <row r="9" spans="2:34" ht="15.75" customHeight="1" thickBot="1" x14ac:dyDescent="0.3"/>
    <row r="10" spans="2:34" s="46" customFormat="1" ht="29.25" customHeight="1" thickBot="1" x14ac:dyDescent="0.3">
      <c r="B10" s="367"/>
      <c r="C10" s="984" t="s">
        <v>1079</v>
      </c>
      <c r="D10" s="984"/>
      <c r="E10" s="984" t="s">
        <v>981</v>
      </c>
      <c r="F10" s="984"/>
      <c r="G10" s="984" t="s">
        <v>982</v>
      </c>
      <c r="H10" s="984"/>
      <c r="I10" s="984" t="s">
        <v>362</v>
      </c>
      <c r="J10" s="984"/>
      <c r="K10" s="984"/>
      <c r="L10" s="1011" t="s">
        <v>988</v>
      </c>
      <c r="M10" s="1012"/>
      <c r="N10" s="1012"/>
      <c r="O10" s="1012"/>
      <c r="P10" s="1012"/>
      <c r="Q10" s="1013"/>
      <c r="R10" s="1011" t="s">
        <v>989</v>
      </c>
      <c r="S10" s="1012"/>
      <c r="T10" s="1012"/>
      <c r="U10" s="1013"/>
      <c r="V10" s="984" t="s">
        <v>1188</v>
      </c>
      <c r="W10" s="984"/>
      <c r="X10" s="984" t="s">
        <v>1036</v>
      </c>
      <c r="Y10" s="984"/>
      <c r="Z10" s="983" t="s">
        <v>1035</v>
      </c>
      <c r="AA10" s="921" t="s">
        <v>145</v>
      </c>
      <c r="AB10" s="919"/>
    </row>
    <row r="11" spans="2:34" s="46" customFormat="1" ht="55.2" x14ac:dyDescent="0.25">
      <c r="B11" s="162" t="s">
        <v>840</v>
      </c>
      <c r="C11" s="272" t="s">
        <v>799</v>
      </c>
      <c r="D11" s="273" t="s">
        <v>309</v>
      </c>
      <c r="E11" s="561" t="s">
        <v>127</v>
      </c>
      <c r="F11" s="273" t="s">
        <v>140</v>
      </c>
      <c r="G11" s="561" t="s">
        <v>141</v>
      </c>
      <c r="H11" s="273" t="s">
        <v>140</v>
      </c>
      <c r="I11" s="561" t="s">
        <v>362</v>
      </c>
      <c r="J11" s="272" t="s">
        <v>362</v>
      </c>
      <c r="K11" s="273" t="s">
        <v>983</v>
      </c>
      <c r="L11" s="561" t="s">
        <v>1200</v>
      </c>
      <c r="M11" s="272" t="s">
        <v>1177</v>
      </c>
      <c r="N11" s="272" t="s">
        <v>1178</v>
      </c>
      <c r="O11" s="272" t="s">
        <v>1179</v>
      </c>
      <c r="P11" s="272" t="s">
        <v>1183</v>
      </c>
      <c r="Q11" s="273" t="s">
        <v>1201</v>
      </c>
      <c r="R11" s="561" t="s">
        <v>1186</v>
      </c>
      <c r="S11" s="272" t="s">
        <v>1489</v>
      </c>
      <c r="T11" s="272" t="s">
        <v>1187</v>
      </c>
      <c r="U11" s="273" t="s">
        <v>1182</v>
      </c>
      <c r="V11" s="168" t="s">
        <v>1037</v>
      </c>
      <c r="W11" s="552" t="s">
        <v>55</v>
      </c>
      <c r="X11" s="168" t="s">
        <v>1037</v>
      </c>
      <c r="Y11" s="552" t="s">
        <v>55</v>
      </c>
      <c r="Z11" s="984"/>
      <c r="AA11" s="168" t="s">
        <v>991</v>
      </c>
      <c r="AB11" s="552" t="s">
        <v>992</v>
      </c>
      <c r="AH11" s="381" t="s">
        <v>1298</v>
      </c>
    </row>
    <row r="12" spans="2:34" ht="13.8" x14ac:dyDescent="0.25">
      <c r="B12" s="561">
        <v>1</v>
      </c>
      <c r="C12" s="380"/>
      <c r="D12" s="76"/>
      <c r="E12" s="171" t="str">
        <f>IF(C12="","",VLOOKUP(C12,'G-7 Rivers Data'!$B$2:$G$8,2,FALSE))</f>
        <v/>
      </c>
      <c r="F12" s="172" t="str">
        <f>IFERROR(VLOOKUP(E12,'G-7 Rivers Data'!$C$4:$D$8,2,FALSE),"")</f>
        <v/>
      </c>
      <c r="G12" s="173"/>
      <c r="H12" s="172" t="str">
        <f>IFERROR(INDEX('G-7 Rivers Data'!$H$4:$L$8,MATCH(C12,'G-7 Rivers Data'!$B$4:$B$8,0),MATCH(G12,'G-7 Rivers Data'!$H$3:$L$3,0)),"")</f>
        <v/>
      </c>
      <c r="I12" s="79"/>
      <c r="J12" s="179" t="str">
        <f>IF(I12="","",IF(VLOOKUP(I12,'G-7 Rivers Data'!$AG$4:$AI$9,2,FALSE)=0,"Spatial Data Missing",VLOOKUP(I12,'G-7 Rivers Data'!$AG$4:$AI$9,2,FALSE)))</f>
        <v/>
      </c>
      <c r="K12" s="172" t="str">
        <f>IF(I12="","",IF(VLOOKUP(I12,'G-7 Rivers Data'!$AG$4:$AI$9,3,FALSE)=0,"Spatial Data Missing",VLOOKUP(I12,'G-7 Rivers Data'!$AG$4:$AI$9,3,FALSE)))</f>
        <v/>
      </c>
      <c r="L12" s="171" t="str">
        <f>IFERROR(INDEX('G-7 Rivers Data'!$O$3:$O$7,MATCH(G12,'G-7 Rivers Data'!$N$3:$N$7,0)),"")</f>
        <v/>
      </c>
      <c r="M12" s="94"/>
      <c r="N12" s="94"/>
      <c r="O12" s="179" t="str">
        <f>IF(L12="","",IF(AND(M12&gt;0,N12&gt;0),"Error -both advance and delayed habitat creation",IF(AND(OR(M12="Habitat already in target condition",L12&lt;=M12),N12=0),"Check details - Is there evidence that habitat has reached target condition?",IF(M12&gt;0,"Check details - Is there evidence habitat creation started/in place?",IF(N12&gt;0,"Check details- Delay in starting habitat in required condition?","Standard time to target condition applied")))))</f>
        <v/>
      </c>
      <c r="P12" s="262" t="str">
        <f>IF(LEFT(O12,5)="Error","Check Data",IF(L12="","",IF(M12="30+",0,IF(N12="30+","30+",IF(L12+N12&gt;30,"30+",IF(L12+N12-M12&gt;0,L12+N12-M12,IF(L12-M12&lt;0,0,L12+N12-M12)))))))</f>
        <v/>
      </c>
      <c r="Q12" s="382" t="str">
        <f>IFERROR(IF(P12="Check Data","Check Data",VLOOKUP(P12,'G-4 Temporal multipliers'!$A$4:$C$37,3,FALSE)),"")</f>
        <v/>
      </c>
      <c r="R12" s="171" t="str">
        <f>IF(C12="","",VLOOKUP(C12,'G-7 Rivers Data'!$B$4:$G$8,4,FALSE))</f>
        <v/>
      </c>
      <c r="S12" s="179" t="str">
        <f>IF(C12="","",IF(P12="Check Data","Check Data",IF(G12="","",IF($O12="Check details - Is there evidence that habitat has reached target condition?","Low Difficulty - only applicable if all habitat created before losses","Standard difficulty applied"))))</f>
        <v/>
      </c>
      <c r="T12" s="269" t="str">
        <f>(IF(AND(S12="Standard difficulty applied",L12&gt;M12),R12,IF(AND(S12="Low Difficulty - only applicable if all habitat created before losses",M12&gt;=L12),"Low",R12)))</f>
        <v/>
      </c>
      <c r="U12" s="172" t="str">
        <f t="shared" ref="U12" si="0">IF(C12="","",VLOOKUP(R12,Difficulty,2,FALSE))</f>
        <v/>
      </c>
      <c r="V12" s="174"/>
      <c r="W12" s="172" t="str">
        <f>IF(V12="","",IF(VLOOKUP(V12,'G-7 Rivers Data'!$AA$4:$AB$7,2,FALSE)=0,"Spatial Data Missing",VLOOKUP(V12,'G-7 Rivers Data'!$AA$4:$AB$7,2,FALSE)))</f>
        <v/>
      </c>
      <c r="X12" s="90"/>
      <c r="Y12" s="172" t="str">
        <f>IF(X12="","",IF(VLOOKUP(X12,'G-7 Rivers Data'!$AD$4:$AE$8,2,FALSE)=0,"Enrcoachment Data Missing",VLOOKUP(X12,'G-7 Rivers Data'!$AD$4:$AE$8,2,FALSE)))</f>
        <v/>
      </c>
      <c r="Z12" s="265" t="str">
        <f>IFERROR(IF(C12="","",D12*F12*H12*K12*Q12*U12*Y12*W12),"")</f>
        <v/>
      </c>
      <c r="AA12" s="180"/>
      <c r="AB12" s="181"/>
      <c r="AH12" s="35" t="str">
        <f>IFERROR(INDEX('G-7 Rivers Data'!$AZ$3:$AZ$7,MATCH(C12,'G-7 Rivers Data'!$AY$3:$AY$7,0)),"")</f>
        <v/>
      </c>
    </row>
    <row r="13" spans="2:34" ht="13.8" x14ac:dyDescent="0.25">
      <c r="B13" s="168">
        <v>2</v>
      </c>
      <c r="C13" s="206"/>
      <c r="D13" s="76"/>
      <c r="E13" s="171" t="str">
        <f>IF(C13="","",VLOOKUP(C13,'G-7 Rivers Data'!$B$2:$G$8,2,FALSE))</f>
        <v/>
      </c>
      <c r="F13" s="172" t="str">
        <f>IFERROR(VLOOKUP(E13,'G-7 Rivers Data'!$C$4:$D$8,2,FALSE),"")</f>
        <v/>
      </c>
      <c r="G13" s="173"/>
      <c r="H13" s="172" t="str">
        <f>IFERROR(INDEX('G-7 Rivers Data'!$H$4:$L$8,MATCH(C13,'G-7 Rivers Data'!$B$4:$B$8,0),MATCH(G13,'G-7 Rivers Data'!$H$3:$L$3,0)),"")</f>
        <v/>
      </c>
      <c r="I13" s="174"/>
      <c r="J13" s="175" t="str">
        <f>IF(I13="","",IF(VLOOKUP(I13,'G-7 Rivers Data'!$AG$4:$AI$9,2,FALSE)=0,"Spatial Data Missing",VLOOKUP(I13,'G-7 Rivers Data'!$AG$4:$AI$9,2,FALSE)))</f>
        <v/>
      </c>
      <c r="K13" s="176" t="str">
        <f>IF(I13="","",IF(VLOOKUP(I13,'G-7 Rivers Data'!$AG$4:$AI$9,3,FALSE)=0,"Spatial Data Missing",VLOOKUP(I13,'G-7 Rivers Data'!$AG$4:$AI$9,3,FALSE)))</f>
        <v/>
      </c>
      <c r="L13" s="171" t="str">
        <f>IFERROR(INDEX('G-7 Rivers Data'!$O$3:$O$7,MATCH(G13,'G-7 Rivers Data'!$N$3:$N$7,0)),"")</f>
        <v/>
      </c>
      <c r="M13" s="94"/>
      <c r="N13" s="94"/>
      <c r="O13" s="175" t="str">
        <f t="shared" ref="O13:O76" si="1">IF(L13="","",IF(AND(M13&gt;0,N13&gt;0),"Error -both advance and delayed habitat creation",IF(AND(OR(M13="Habitat already in target condition",L13&lt;=M13),N13=0),"Check details - Is there evidence that habitat has reached target condition?",IF(M13&gt;0,"Check details - Is there evidence habitat creation started/in place?",IF(N13&gt;0,"Check details- Delay in starting habitat in required condition?","Standard time to target condition applied")))))</f>
        <v/>
      </c>
      <c r="P13" s="242" t="str">
        <f t="shared" ref="P13:P76" si="2">IF(LEFT(O13,5)="Error","Check Data",IF(L13="","",IF(M13="30+",0,IF(N13="30+","30+",IF(L13+N13&gt;30,"30+",IF(L13+N13-M13&gt;0,L13+N13-M13,IF(L13-M13&lt;0,0,L13+N13-M13)))))))</f>
        <v/>
      </c>
      <c r="Q13" s="383" t="str">
        <f>IFERROR(IF(P13="Check Data","Check Data",VLOOKUP(P13,'G-4 Temporal multipliers'!$A$4:$C$37,3,FALSE)),"")</f>
        <v/>
      </c>
      <c r="R13" s="171" t="str">
        <f>IF(C13="","",VLOOKUP(C13,'G-7 Rivers Data'!$B$4:$G$8,4,FALSE))</f>
        <v/>
      </c>
      <c r="S13" s="179" t="str">
        <f t="shared" ref="S13:S76" si="3">IF(C13="","",IF(P13="Check Data","Check Data",IF(G13="","",IF($O13="Check details - Is there evidence that habitat has reached target condition?","Low Difficulty - only applicable if all habitat created before losses","Standard difficulty applied"))))</f>
        <v/>
      </c>
      <c r="T13" s="269" t="str">
        <f t="shared" ref="T13:T76" si="4">(IF(AND(S13="Standard difficulty applied",L13&gt;M13),R13,IF(AND(S13="Low Difficulty - only applicable if all habitat created before losses",M13&gt;=L13),"Low",R13)))</f>
        <v/>
      </c>
      <c r="U13" s="172" t="str">
        <f t="shared" ref="U13:U76" si="5">IF(C13="","",VLOOKUP(R13,Difficulty,2,FALSE))</f>
        <v/>
      </c>
      <c r="V13" s="79"/>
      <c r="W13" s="172" t="str">
        <f>IF(V13="","",IF(VLOOKUP(V13,'G-7 Rivers Data'!$AA$4:$AB$7,2,FALSE)=0,"Spatial Data Missing",VLOOKUP(V13,'G-7 Rivers Data'!$AA$4:$AB$7,2,FALSE)))</f>
        <v/>
      </c>
      <c r="X13" s="90"/>
      <c r="Y13" s="172" t="str">
        <f>IF(X13="","",IF(VLOOKUP(X13,'G-7 Rivers Data'!$AD$4:$AE$8,2,FALSE)=0,"Enrcoachment Data Missing",VLOOKUP(X13,'G-7 Rivers Data'!$AD$4:$AE$8,2,FALSE)))</f>
        <v/>
      </c>
      <c r="Z13" s="265" t="str">
        <f t="shared" ref="Z13:Z76" si="6">IFERROR(IF(C13="","",D13*F13*H13*K13*Q13*U13*Y13*W13),"")</f>
        <v/>
      </c>
      <c r="AA13" s="180"/>
      <c r="AB13" s="181"/>
      <c r="AH13" s="35" t="str">
        <f>IFERROR(INDEX('G-7 Rivers Data'!$AZ$3:$AZ$7,MATCH(C13,'G-7 Rivers Data'!$AY$3:$AY$7,0)),"")</f>
        <v/>
      </c>
    </row>
    <row r="14" spans="2:34" ht="13.8" x14ac:dyDescent="0.25">
      <c r="B14" s="168">
        <v>3</v>
      </c>
      <c r="C14" s="206"/>
      <c r="D14" s="76"/>
      <c r="E14" s="171" t="str">
        <f>IF(C14="","",VLOOKUP(C14,'G-7 Rivers Data'!$B$2:$G$8,2,FALSE))</f>
        <v/>
      </c>
      <c r="F14" s="172" t="str">
        <f>IFERROR(VLOOKUP(E14,'G-7 Rivers Data'!$C$4:$D$8,2,FALSE),"")</f>
        <v/>
      </c>
      <c r="G14" s="173"/>
      <c r="H14" s="172" t="str">
        <f>IFERROR(INDEX('G-7 Rivers Data'!$H$4:$L$8,MATCH(C14,'G-7 Rivers Data'!$B$4:$B$8,0),MATCH(G14,'G-7 Rivers Data'!$H$3:$L$3,0)),"")</f>
        <v/>
      </c>
      <c r="I14" s="174"/>
      <c r="J14" s="175" t="str">
        <f>IF(I14="","",IF(VLOOKUP(I14,'G-7 Rivers Data'!$AG$4:$AI$9,2,FALSE)=0,"Spatial Data Missing",VLOOKUP(I14,'G-7 Rivers Data'!$AG$4:$AI$9,2,FALSE)))</f>
        <v/>
      </c>
      <c r="K14" s="176" t="str">
        <f>IF(I14="","",IF(VLOOKUP(I14,'G-7 Rivers Data'!$AG$4:$AI$9,3,FALSE)=0,"Spatial Data Missing",VLOOKUP(I14,'G-7 Rivers Data'!$AG$4:$AI$9,3,FALSE)))</f>
        <v/>
      </c>
      <c r="L14" s="171" t="str">
        <f>IFERROR(INDEX('G-7 Rivers Data'!$O$3:$O$7,MATCH(G14,'G-7 Rivers Data'!$N$3:$N$7,0)),"")</f>
        <v/>
      </c>
      <c r="M14" s="94"/>
      <c r="N14" s="94"/>
      <c r="O14" s="175" t="str">
        <f t="shared" si="1"/>
        <v/>
      </c>
      <c r="P14" s="242" t="str">
        <f t="shared" si="2"/>
        <v/>
      </c>
      <c r="Q14" s="383" t="str">
        <f>IFERROR(IF(P14="Check Data","Check Data",VLOOKUP(P14,'G-4 Temporal multipliers'!$A$4:$C$37,3,FALSE)),"")</f>
        <v/>
      </c>
      <c r="R14" s="171" t="str">
        <f>IF(C14="","",VLOOKUP(C14,'G-7 Rivers Data'!$B$4:$G$8,4,FALSE))</f>
        <v/>
      </c>
      <c r="S14" s="179" t="str">
        <f t="shared" si="3"/>
        <v/>
      </c>
      <c r="T14" s="269" t="str">
        <f t="shared" si="4"/>
        <v/>
      </c>
      <c r="U14" s="172" t="str">
        <f t="shared" si="5"/>
        <v/>
      </c>
      <c r="V14" s="79"/>
      <c r="W14" s="172" t="str">
        <f>IF(V14="","",IF(VLOOKUP(V14,'G-7 Rivers Data'!$AA$4:$AB$7,2,FALSE)=0,"Spatial Data Missing",VLOOKUP(V14,'G-7 Rivers Data'!$AA$4:$AB$7,2,FALSE)))</f>
        <v/>
      </c>
      <c r="X14" s="90"/>
      <c r="Y14" s="172" t="str">
        <f>IF(X14="","",IF(VLOOKUP(X14,'G-7 Rivers Data'!$AD$4:$AE$8,2,FALSE)=0,"Enrcoachment Data Missing",VLOOKUP(X14,'G-7 Rivers Data'!$AD$4:$AE$8,2,FALSE)))</f>
        <v/>
      </c>
      <c r="Z14" s="265" t="str">
        <f t="shared" si="6"/>
        <v/>
      </c>
      <c r="AA14" s="180"/>
      <c r="AB14" s="181"/>
      <c r="AH14" s="35" t="str">
        <f>IFERROR(INDEX('G-7 Rivers Data'!$AZ$3:$AZ$7,MATCH(C14,'G-7 Rivers Data'!$AY$3:$AY$7,0)),"")</f>
        <v/>
      </c>
    </row>
    <row r="15" spans="2:34" ht="13.8" x14ac:dyDescent="0.25">
      <c r="B15" s="168">
        <v>4</v>
      </c>
      <c r="C15" s="206"/>
      <c r="D15" s="76"/>
      <c r="E15" s="171" t="str">
        <f>IF(C15="","",VLOOKUP(C15,'G-7 Rivers Data'!$B$2:$G$8,2,FALSE))</f>
        <v/>
      </c>
      <c r="F15" s="172" t="str">
        <f>IFERROR(VLOOKUP(E15,'G-7 Rivers Data'!$C$4:$D$8,2,FALSE),"")</f>
        <v/>
      </c>
      <c r="G15" s="173"/>
      <c r="H15" s="172" t="str">
        <f>IFERROR(INDEX('G-7 Rivers Data'!$H$4:$L$8,MATCH(C15,'G-7 Rivers Data'!$B$4:$B$8,0),MATCH(G15,'G-7 Rivers Data'!$H$3:$L$3,0)),"")</f>
        <v/>
      </c>
      <c r="I15" s="174"/>
      <c r="J15" s="175" t="str">
        <f>IF(I15="","",IF(VLOOKUP(I15,'G-7 Rivers Data'!$AG$4:$AI$9,2,FALSE)=0,"Spatial Data Missing",VLOOKUP(I15,'G-7 Rivers Data'!$AG$4:$AI$9,2,FALSE)))</f>
        <v/>
      </c>
      <c r="K15" s="176" t="str">
        <f>IF(I15="","",IF(VLOOKUP(I15,'G-7 Rivers Data'!$AG$4:$AI$9,3,FALSE)=0,"Spatial Data Missing",VLOOKUP(I15,'G-7 Rivers Data'!$AG$4:$AI$9,3,FALSE)))</f>
        <v/>
      </c>
      <c r="L15" s="171" t="str">
        <f>IFERROR(INDEX('G-7 Rivers Data'!$O$3:$O$7,MATCH(G15,'G-7 Rivers Data'!$N$3:$N$7,0)),"")</f>
        <v/>
      </c>
      <c r="M15" s="94"/>
      <c r="N15" s="94"/>
      <c r="O15" s="175" t="str">
        <f t="shared" si="1"/>
        <v/>
      </c>
      <c r="P15" s="242" t="str">
        <f t="shared" si="2"/>
        <v/>
      </c>
      <c r="Q15" s="383" t="str">
        <f>IFERROR(IF(P15="Check Data","Check Data",VLOOKUP(P15,'G-4 Temporal multipliers'!$A$4:$C$37,3,FALSE)),"")</f>
        <v/>
      </c>
      <c r="R15" s="171" t="str">
        <f>IF(C15="","",VLOOKUP(C15,'G-7 Rivers Data'!$B$4:$G$8,4,FALSE))</f>
        <v/>
      </c>
      <c r="S15" s="179" t="str">
        <f t="shared" si="3"/>
        <v/>
      </c>
      <c r="T15" s="269" t="str">
        <f t="shared" si="4"/>
        <v/>
      </c>
      <c r="U15" s="172" t="str">
        <f t="shared" si="5"/>
        <v/>
      </c>
      <c r="V15" s="79"/>
      <c r="W15" s="172" t="str">
        <f>IF(V15="","",IF(VLOOKUP(V15,'G-7 Rivers Data'!$AA$4:$AB$7,2,FALSE)=0,"Spatial Data Missing",VLOOKUP(V15,'G-7 Rivers Data'!$AA$4:$AB$7,2,FALSE)))</f>
        <v/>
      </c>
      <c r="X15" s="90"/>
      <c r="Y15" s="172" t="str">
        <f>IF(X15="","",IF(VLOOKUP(X15,'G-7 Rivers Data'!$AD$4:$AE$8,2,FALSE)=0,"Enrcoachment Data Missing",VLOOKUP(X15,'G-7 Rivers Data'!$AD$4:$AE$8,2,FALSE)))</f>
        <v/>
      </c>
      <c r="Z15" s="265" t="str">
        <f t="shared" si="6"/>
        <v/>
      </c>
      <c r="AA15" s="180"/>
      <c r="AB15" s="181"/>
      <c r="AH15" s="35" t="str">
        <f>IFERROR(INDEX('G-7 Rivers Data'!$AZ$3:$AZ$7,MATCH(C15,'G-7 Rivers Data'!$AY$3:$AY$7,0)),"")</f>
        <v/>
      </c>
    </row>
    <row r="16" spans="2:34" ht="13.8" x14ac:dyDescent="0.25">
      <c r="B16" s="168">
        <v>5</v>
      </c>
      <c r="C16" s="212"/>
      <c r="D16" s="213"/>
      <c r="E16" s="171" t="str">
        <f>IF(C16="","",VLOOKUP(C16,'G-7 Rivers Data'!$B$2:$G$8,2,FALSE))</f>
        <v/>
      </c>
      <c r="F16" s="172" t="str">
        <f>IFERROR(VLOOKUP(E16,'G-7 Rivers Data'!$C$4:$D$8,2,FALSE),"")</f>
        <v/>
      </c>
      <c r="G16" s="173"/>
      <c r="H16" s="172" t="str">
        <f>IFERROR(INDEX('G-7 Rivers Data'!$H$4:$L$8,MATCH(C16,'G-7 Rivers Data'!$B$4:$B$8,0),MATCH(G16,'G-7 Rivers Data'!$H$3:$L$3,0)),"")</f>
        <v/>
      </c>
      <c r="I16" s="174"/>
      <c r="J16" s="175" t="str">
        <f>IF(I16="","",IF(VLOOKUP(I16,'G-7 Rivers Data'!$AG$4:$AI$9,2,FALSE)=0,"Spatial Data Missing",VLOOKUP(I16,'G-7 Rivers Data'!$AG$4:$AI$9,2,FALSE)))</f>
        <v/>
      </c>
      <c r="K16" s="176" t="str">
        <f>IF(I16="","",IF(VLOOKUP(I16,'G-7 Rivers Data'!$AG$4:$AI$9,3,FALSE)=0,"Spatial Data Missing",VLOOKUP(I16,'G-7 Rivers Data'!$AG$4:$AI$9,3,FALSE)))</f>
        <v/>
      </c>
      <c r="L16" s="171" t="str">
        <f>IFERROR(INDEX('G-7 Rivers Data'!$O$3:$O$7,MATCH(G16,'G-7 Rivers Data'!$N$3:$N$7,0)),"")</f>
        <v/>
      </c>
      <c r="M16" s="94"/>
      <c r="N16" s="261"/>
      <c r="O16" s="175" t="str">
        <f t="shared" si="1"/>
        <v/>
      </c>
      <c r="P16" s="242" t="str">
        <f t="shared" si="2"/>
        <v/>
      </c>
      <c r="Q16" s="383" t="str">
        <f>IFERROR(IF(P16="Check Data","Check Data",VLOOKUP(P16,'G-4 Temporal multipliers'!$A$4:$C$37,3,FALSE)),"")</f>
        <v/>
      </c>
      <c r="R16" s="171" t="str">
        <f>IF(C16="","",VLOOKUP(C16,'G-7 Rivers Data'!$B$4:$G$8,4,FALSE))</f>
        <v/>
      </c>
      <c r="S16" s="179" t="str">
        <f t="shared" si="3"/>
        <v/>
      </c>
      <c r="T16" s="269" t="str">
        <f t="shared" si="4"/>
        <v/>
      </c>
      <c r="U16" s="172" t="str">
        <f t="shared" si="5"/>
        <v/>
      </c>
      <c r="V16" s="79"/>
      <c r="W16" s="172" t="str">
        <f>IF(V16="","",IF(VLOOKUP(V16,'G-7 Rivers Data'!$AA$4:$AB$7,2,FALSE)=0,"Spatial Data Missing",VLOOKUP(V16,'G-7 Rivers Data'!$AA$4:$AB$7,2,FALSE)))</f>
        <v/>
      </c>
      <c r="X16" s="90"/>
      <c r="Y16" s="172" t="str">
        <f>IF(X16="","",IF(VLOOKUP(X16,'G-7 Rivers Data'!$AD$4:$AE$8,2,FALSE)=0,"Enrcoachment Data Missing",VLOOKUP(X16,'G-7 Rivers Data'!$AD$4:$AE$8,2,FALSE)))</f>
        <v/>
      </c>
      <c r="Z16" s="265" t="str">
        <f t="shared" si="6"/>
        <v/>
      </c>
      <c r="AA16" s="180"/>
      <c r="AB16" s="181"/>
      <c r="AH16" s="35" t="str">
        <f>IFERROR(INDEX('G-7 Rivers Data'!$AZ$3:$AZ$7,MATCH(C16,'G-7 Rivers Data'!$AY$3:$AY$7,0)),"")</f>
        <v/>
      </c>
    </row>
    <row r="17" spans="2:34" ht="13.8" x14ac:dyDescent="0.25">
      <c r="B17" s="168">
        <v>6</v>
      </c>
      <c r="C17" s="212"/>
      <c r="D17" s="213"/>
      <c r="E17" s="171" t="str">
        <f>IF(C17="","",VLOOKUP(C17,'G-7 Rivers Data'!$B$2:$G$8,2,FALSE))</f>
        <v/>
      </c>
      <c r="F17" s="172" t="str">
        <f>IFERROR(VLOOKUP(E17,'G-7 Rivers Data'!$C$4:$D$8,2,FALSE),"")</f>
        <v/>
      </c>
      <c r="G17" s="173"/>
      <c r="H17" s="172" t="str">
        <f>IFERROR(INDEX('G-7 Rivers Data'!$H$4:$L$8,MATCH(C17,'G-7 Rivers Data'!$B$4:$B$8,0),MATCH(G17,'G-7 Rivers Data'!$H$3:$L$3,0)),"")</f>
        <v/>
      </c>
      <c r="I17" s="186"/>
      <c r="J17" s="175" t="str">
        <f>IF(I17="","",IF(VLOOKUP(I17,'G-7 Rivers Data'!$AG$4:$AI$9,2,FALSE)=0,"Spatial Data Missing",VLOOKUP(I17,'G-7 Rivers Data'!$AG$4:$AI$9,2,FALSE)))</f>
        <v/>
      </c>
      <c r="K17" s="176" t="str">
        <f>IF(I17="","",IF(VLOOKUP(I17,'G-7 Rivers Data'!$AG$4:$AI$9,3,FALSE)=0,"Spatial Data Missing",VLOOKUP(I17,'G-7 Rivers Data'!$AG$4:$AI$9,3,FALSE)))</f>
        <v/>
      </c>
      <c r="L17" s="171" t="str">
        <f>IFERROR(INDEX('G-7 Rivers Data'!$O$3:$O$7,MATCH(G17,'G-7 Rivers Data'!$N$3:$N$7,0)),"")</f>
        <v/>
      </c>
      <c r="M17" s="94"/>
      <c r="N17" s="261"/>
      <c r="O17" s="175" t="str">
        <f t="shared" si="1"/>
        <v/>
      </c>
      <c r="P17" s="242" t="str">
        <f t="shared" si="2"/>
        <v/>
      </c>
      <c r="Q17" s="383" t="str">
        <f>IFERROR(IF(P17="Check Data","Check Data",VLOOKUP(P17,'G-4 Temporal multipliers'!$A$4:$C$37,3,FALSE)),"")</f>
        <v/>
      </c>
      <c r="R17" s="171" t="str">
        <f>IF(C17="","",VLOOKUP(C17,'G-7 Rivers Data'!$B$4:$G$8,4,FALSE))</f>
        <v/>
      </c>
      <c r="S17" s="179" t="str">
        <f t="shared" si="3"/>
        <v/>
      </c>
      <c r="T17" s="269" t="str">
        <f t="shared" si="4"/>
        <v/>
      </c>
      <c r="U17" s="172" t="str">
        <f t="shared" si="5"/>
        <v/>
      </c>
      <c r="V17" s="79"/>
      <c r="W17" s="172" t="str">
        <f>IF(V17="","",IF(VLOOKUP(V17,'G-7 Rivers Data'!$AA$4:$AB$7,2,FALSE)=0,"Spatial Data Missing",VLOOKUP(V17,'G-7 Rivers Data'!$AA$4:$AB$7,2,FALSE)))</f>
        <v/>
      </c>
      <c r="X17" s="187"/>
      <c r="Y17" s="172" t="str">
        <f>IF(X17="","",IF(VLOOKUP(X17,'G-7 Rivers Data'!$AD$4:$AE$8,2,FALSE)=0,"Enrcoachment Data Missing",VLOOKUP(X17,'G-7 Rivers Data'!$AD$4:$AE$8,2,FALSE)))</f>
        <v/>
      </c>
      <c r="Z17" s="265" t="str">
        <f t="shared" si="6"/>
        <v/>
      </c>
      <c r="AA17" s="180"/>
      <c r="AB17" s="181"/>
      <c r="AH17" s="35" t="str">
        <f>IFERROR(INDEX('G-7 Rivers Data'!$AZ$3:$AZ$7,MATCH(C17,'G-7 Rivers Data'!$AY$3:$AY$7,0)),"")</f>
        <v/>
      </c>
    </row>
    <row r="18" spans="2:34" ht="13.8" x14ac:dyDescent="0.25">
      <c r="B18" s="168">
        <v>7</v>
      </c>
      <c r="C18" s="212"/>
      <c r="D18" s="213"/>
      <c r="E18" s="171" t="str">
        <f>IF(C18="","",VLOOKUP(C18,'G-7 Rivers Data'!$B$2:$G$8,2,FALSE))</f>
        <v/>
      </c>
      <c r="F18" s="172" t="str">
        <f>IFERROR(VLOOKUP(E18,'G-7 Rivers Data'!$C$4:$D$8,2,FALSE),"")</f>
        <v/>
      </c>
      <c r="G18" s="173"/>
      <c r="H18" s="172" t="str">
        <f>IFERROR(INDEX('G-7 Rivers Data'!$H$4:$L$8,MATCH(C18,'G-7 Rivers Data'!$B$4:$B$8,0),MATCH(G18,'G-7 Rivers Data'!$H$3:$L$3,0)),"")</f>
        <v/>
      </c>
      <c r="I18" s="186"/>
      <c r="J18" s="175" t="str">
        <f>IF(I18="","",IF(VLOOKUP(I18,'G-7 Rivers Data'!$AG$4:$AI$9,2,FALSE)=0,"Spatial Data Missing",VLOOKUP(I18,'G-7 Rivers Data'!$AG$4:$AI$9,2,FALSE)))</f>
        <v/>
      </c>
      <c r="K18" s="176" t="str">
        <f>IF(I18="","",IF(VLOOKUP(I18,'G-7 Rivers Data'!$AG$4:$AI$9,3,FALSE)=0,"Spatial Data Missing",VLOOKUP(I18,'G-7 Rivers Data'!$AG$4:$AI$9,3,FALSE)))</f>
        <v/>
      </c>
      <c r="L18" s="171" t="str">
        <f>IFERROR(INDEX('G-7 Rivers Data'!$O$3:$O$7,MATCH(G18,'G-7 Rivers Data'!$N$3:$N$7,0)),"")</f>
        <v/>
      </c>
      <c r="M18" s="94"/>
      <c r="N18" s="261"/>
      <c r="O18" s="175" t="str">
        <f t="shared" si="1"/>
        <v/>
      </c>
      <c r="P18" s="242" t="str">
        <f t="shared" si="2"/>
        <v/>
      </c>
      <c r="Q18" s="383" t="str">
        <f>IFERROR(IF(P18="Check Data","Check Data",VLOOKUP(P18,'G-4 Temporal multipliers'!$A$4:$C$37,3,FALSE)),"")</f>
        <v/>
      </c>
      <c r="R18" s="171" t="str">
        <f>IF(C18="","",VLOOKUP(C18,'G-7 Rivers Data'!$B$4:$G$8,4,FALSE))</f>
        <v/>
      </c>
      <c r="S18" s="179" t="str">
        <f t="shared" si="3"/>
        <v/>
      </c>
      <c r="T18" s="269" t="str">
        <f t="shared" si="4"/>
        <v/>
      </c>
      <c r="U18" s="172" t="str">
        <f t="shared" si="5"/>
        <v/>
      </c>
      <c r="V18" s="79"/>
      <c r="W18" s="172" t="str">
        <f>IF(V18="","",IF(VLOOKUP(V18,'G-7 Rivers Data'!$AA$4:$AB$7,2,FALSE)=0,"Spatial Data Missing",VLOOKUP(V18,'G-7 Rivers Data'!$AA$4:$AB$7,2,FALSE)))</f>
        <v/>
      </c>
      <c r="X18" s="187"/>
      <c r="Y18" s="172" t="str">
        <f>IF(X18="","",IF(VLOOKUP(X18,'G-7 Rivers Data'!$AD$4:$AE$8,2,FALSE)=0,"Enrcoachment Data Missing",VLOOKUP(X18,'G-7 Rivers Data'!$AD$4:$AE$8,2,FALSE)))</f>
        <v/>
      </c>
      <c r="Z18" s="265" t="str">
        <f t="shared" si="6"/>
        <v/>
      </c>
      <c r="AA18" s="180"/>
      <c r="AB18" s="181"/>
      <c r="AH18" s="35" t="str">
        <f>IFERROR(INDEX('G-7 Rivers Data'!$AZ$3:$AZ$7,MATCH(C18,'G-7 Rivers Data'!$AY$3:$AY$7,0)),"")</f>
        <v/>
      </c>
    </row>
    <row r="19" spans="2:34" ht="13.8" x14ac:dyDescent="0.25">
      <c r="B19" s="168">
        <v>8</v>
      </c>
      <c r="C19" s="212"/>
      <c r="D19" s="213"/>
      <c r="E19" s="171" t="str">
        <f>IF(C19="","",VLOOKUP(C19,'G-7 Rivers Data'!$B$2:$G$8,2,FALSE))</f>
        <v/>
      </c>
      <c r="F19" s="172" t="str">
        <f>IFERROR(VLOOKUP(E19,'G-7 Rivers Data'!$C$4:$D$8,2,FALSE),"")</f>
        <v/>
      </c>
      <c r="G19" s="173"/>
      <c r="H19" s="172" t="str">
        <f>IFERROR(INDEX('G-7 Rivers Data'!$H$4:$L$8,MATCH(C19,'G-7 Rivers Data'!$B$4:$B$8,0),MATCH(G19,'G-7 Rivers Data'!$H$3:$L$3,0)),"")</f>
        <v/>
      </c>
      <c r="I19" s="186"/>
      <c r="J19" s="175" t="str">
        <f>IF(I19="","",IF(VLOOKUP(I19,'G-7 Rivers Data'!$AG$4:$AI$9,2,FALSE)=0,"Spatial Data Missing",VLOOKUP(I19,'G-7 Rivers Data'!$AG$4:$AI$9,2,FALSE)))</f>
        <v/>
      </c>
      <c r="K19" s="176" t="str">
        <f>IF(I19="","",IF(VLOOKUP(I19,'G-7 Rivers Data'!$AG$4:$AI$9,3,FALSE)=0,"Spatial Data Missing",VLOOKUP(I19,'G-7 Rivers Data'!$AG$4:$AI$9,3,FALSE)))</f>
        <v/>
      </c>
      <c r="L19" s="171" t="str">
        <f>IFERROR(INDEX('G-7 Rivers Data'!$O$3:$O$7,MATCH(G19,'G-7 Rivers Data'!$N$3:$N$7,0)),"")</f>
        <v/>
      </c>
      <c r="M19" s="94"/>
      <c r="N19" s="261"/>
      <c r="O19" s="175" t="str">
        <f t="shared" si="1"/>
        <v/>
      </c>
      <c r="P19" s="242" t="str">
        <f t="shared" si="2"/>
        <v/>
      </c>
      <c r="Q19" s="383" t="str">
        <f>IFERROR(IF(P19="Check Data","Check Data",VLOOKUP(P19,'G-4 Temporal multipliers'!$A$4:$C$37,3,FALSE)),"")</f>
        <v/>
      </c>
      <c r="R19" s="171" t="str">
        <f>IF(C19="","",VLOOKUP(C19,'G-7 Rivers Data'!$B$4:$G$8,4,FALSE))</f>
        <v/>
      </c>
      <c r="S19" s="179" t="str">
        <f t="shared" si="3"/>
        <v/>
      </c>
      <c r="T19" s="269" t="str">
        <f t="shared" si="4"/>
        <v/>
      </c>
      <c r="U19" s="172" t="str">
        <f t="shared" si="5"/>
        <v/>
      </c>
      <c r="V19" s="79"/>
      <c r="W19" s="172" t="str">
        <f>IF(V19="","",IF(VLOOKUP(V19,'G-7 Rivers Data'!$AA$4:$AB$7,2,FALSE)=0,"Spatial Data Missing",VLOOKUP(V19,'G-7 Rivers Data'!$AA$4:$AB$7,2,FALSE)))</f>
        <v/>
      </c>
      <c r="X19" s="187"/>
      <c r="Y19" s="172" t="str">
        <f>IF(X19="","",IF(VLOOKUP(X19,'G-7 Rivers Data'!$AD$4:$AE$8,2,FALSE)=0,"Enrcoachment Data Missing",VLOOKUP(X19,'G-7 Rivers Data'!$AD$4:$AE$8,2,FALSE)))</f>
        <v/>
      </c>
      <c r="Z19" s="265" t="str">
        <f t="shared" si="6"/>
        <v/>
      </c>
      <c r="AA19" s="180"/>
      <c r="AB19" s="181"/>
      <c r="AH19" s="35" t="str">
        <f>IFERROR(INDEX('G-7 Rivers Data'!$AZ$3:$AZ$7,MATCH(C19,'G-7 Rivers Data'!$AY$3:$AY$7,0)),"")</f>
        <v/>
      </c>
    </row>
    <row r="20" spans="2:34" ht="13.8" x14ac:dyDescent="0.25">
      <c r="B20" s="168">
        <v>9</v>
      </c>
      <c r="C20" s="212"/>
      <c r="D20" s="213"/>
      <c r="E20" s="171" t="str">
        <f>IF(C20="","",VLOOKUP(C20,'G-7 Rivers Data'!$B$2:$G$8,2,FALSE))</f>
        <v/>
      </c>
      <c r="F20" s="172" t="str">
        <f>IFERROR(VLOOKUP(E20,'G-7 Rivers Data'!$C$4:$D$8,2,FALSE),"")</f>
        <v/>
      </c>
      <c r="G20" s="173"/>
      <c r="H20" s="172" t="str">
        <f>IFERROR(INDEX('G-7 Rivers Data'!$H$4:$L$8,MATCH(C20,'G-7 Rivers Data'!$B$4:$B$8,0),MATCH(G20,'G-7 Rivers Data'!$H$3:$L$3,0)),"")</f>
        <v/>
      </c>
      <c r="I20" s="186"/>
      <c r="J20" s="175" t="str">
        <f>IF(I20="","",IF(VLOOKUP(I20,'G-7 Rivers Data'!$AG$4:$AI$9,2,FALSE)=0,"Spatial Data Missing",VLOOKUP(I20,'G-7 Rivers Data'!$AG$4:$AI$9,2,FALSE)))</f>
        <v/>
      </c>
      <c r="K20" s="176" t="str">
        <f>IF(I20="","",IF(VLOOKUP(I20,'G-7 Rivers Data'!$AG$4:$AI$9,3,FALSE)=0,"Spatial Data Missing",VLOOKUP(I20,'G-7 Rivers Data'!$AG$4:$AI$9,3,FALSE)))</f>
        <v/>
      </c>
      <c r="L20" s="171" t="str">
        <f>IFERROR(INDEX('G-7 Rivers Data'!$O$3:$O$7,MATCH(G20,'G-7 Rivers Data'!$N$3:$N$7,0)),"")</f>
        <v/>
      </c>
      <c r="M20" s="94"/>
      <c r="N20" s="261"/>
      <c r="O20" s="175" t="str">
        <f t="shared" si="1"/>
        <v/>
      </c>
      <c r="P20" s="242" t="str">
        <f t="shared" si="2"/>
        <v/>
      </c>
      <c r="Q20" s="383" t="str">
        <f>IFERROR(IF(P20="Check Data","Check Data",VLOOKUP(P20,'G-4 Temporal multipliers'!$A$4:$C$37,3,FALSE)),"")</f>
        <v/>
      </c>
      <c r="R20" s="171" t="str">
        <f>IF(C20="","",VLOOKUP(C20,'G-7 Rivers Data'!$B$4:$G$8,4,FALSE))</f>
        <v/>
      </c>
      <c r="S20" s="179" t="str">
        <f t="shared" si="3"/>
        <v/>
      </c>
      <c r="T20" s="269" t="str">
        <f t="shared" si="4"/>
        <v/>
      </c>
      <c r="U20" s="172" t="str">
        <f t="shared" si="5"/>
        <v/>
      </c>
      <c r="V20" s="79"/>
      <c r="W20" s="172" t="str">
        <f>IF(V20="","",IF(VLOOKUP(V20,'G-7 Rivers Data'!$AA$4:$AB$7,2,FALSE)=0,"Spatial Data Missing",VLOOKUP(V20,'G-7 Rivers Data'!$AA$4:$AB$7,2,FALSE)))</f>
        <v/>
      </c>
      <c r="X20" s="187"/>
      <c r="Y20" s="172" t="str">
        <f>IF(X20="","",IF(VLOOKUP(X20,'G-7 Rivers Data'!$AD$4:$AE$8,2,FALSE)=0,"Enrcoachment Data Missing",VLOOKUP(X20,'G-7 Rivers Data'!$AD$4:$AE$8,2,FALSE)))</f>
        <v/>
      </c>
      <c r="Z20" s="265" t="str">
        <f t="shared" si="6"/>
        <v/>
      </c>
      <c r="AA20" s="180"/>
      <c r="AB20" s="181"/>
      <c r="AH20" s="35" t="str">
        <f>IFERROR(INDEX('G-7 Rivers Data'!$AZ$3:$AZ$7,MATCH(C20,'G-7 Rivers Data'!$AY$3:$AY$7,0)),"")</f>
        <v/>
      </c>
    </row>
    <row r="21" spans="2:34" ht="13.8" x14ac:dyDescent="0.25">
      <c r="B21" s="168">
        <v>10</v>
      </c>
      <c r="C21" s="212"/>
      <c r="D21" s="213"/>
      <c r="E21" s="171" t="str">
        <f>IF(C21="","",VLOOKUP(C21,'G-7 Rivers Data'!$B$2:$G$8,2,FALSE))</f>
        <v/>
      </c>
      <c r="F21" s="172" t="str">
        <f>IFERROR(VLOOKUP(E21,'G-7 Rivers Data'!$C$4:$D$8,2,FALSE),"")</f>
        <v/>
      </c>
      <c r="G21" s="173"/>
      <c r="H21" s="172" t="str">
        <f>IFERROR(INDEX('G-7 Rivers Data'!$H$4:$L$8,MATCH(C21,'G-7 Rivers Data'!$B$4:$B$8,0),MATCH(G21,'G-7 Rivers Data'!$H$3:$L$3,0)),"")</f>
        <v/>
      </c>
      <c r="I21" s="186"/>
      <c r="J21" s="175" t="str">
        <f>IF(I21="","",IF(VLOOKUP(I21,'G-7 Rivers Data'!$AG$4:$AI$9,2,FALSE)=0,"Spatial Data Missing",VLOOKUP(I21,'G-7 Rivers Data'!$AG$4:$AI$9,2,FALSE)))</f>
        <v/>
      </c>
      <c r="K21" s="176" t="str">
        <f>IF(I21="","",IF(VLOOKUP(I21,'G-7 Rivers Data'!$AG$4:$AI$9,3,FALSE)=0,"Spatial Data Missing",VLOOKUP(I21,'G-7 Rivers Data'!$AG$4:$AI$9,3,FALSE)))</f>
        <v/>
      </c>
      <c r="L21" s="171" t="str">
        <f>IFERROR(INDEX('G-7 Rivers Data'!$O$3:$O$7,MATCH(G21,'G-7 Rivers Data'!$N$3:$N$7,0)),"")</f>
        <v/>
      </c>
      <c r="M21" s="94"/>
      <c r="N21" s="261"/>
      <c r="O21" s="175" t="str">
        <f t="shared" si="1"/>
        <v/>
      </c>
      <c r="P21" s="242" t="str">
        <f t="shared" si="2"/>
        <v/>
      </c>
      <c r="Q21" s="383" t="str">
        <f>IFERROR(IF(P21="Check Data","Check Data",VLOOKUP(P21,'G-4 Temporal multipliers'!$A$4:$C$37,3,FALSE)),"")</f>
        <v/>
      </c>
      <c r="R21" s="171" t="str">
        <f>IF(C21="","",VLOOKUP(C21,'G-7 Rivers Data'!$B$4:$G$8,4,FALSE))</f>
        <v/>
      </c>
      <c r="S21" s="179" t="str">
        <f t="shared" si="3"/>
        <v/>
      </c>
      <c r="T21" s="269" t="str">
        <f t="shared" si="4"/>
        <v/>
      </c>
      <c r="U21" s="172" t="str">
        <f t="shared" si="5"/>
        <v/>
      </c>
      <c r="V21" s="79"/>
      <c r="W21" s="172" t="str">
        <f>IF(V21="","",IF(VLOOKUP(V21,'G-7 Rivers Data'!$AA$4:$AB$7,2,FALSE)=0,"Spatial Data Missing",VLOOKUP(V21,'G-7 Rivers Data'!$AA$4:$AB$7,2,FALSE)))</f>
        <v/>
      </c>
      <c r="X21" s="187"/>
      <c r="Y21" s="172" t="str">
        <f>IF(X21="","",IF(VLOOKUP(X21,'G-7 Rivers Data'!$AD$4:$AE$8,2,FALSE)=0,"Enrcoachment Data Missing",VLOOKUP(X21,'G-7 Rivers Data'!$AD$4:$AE$8,2,FALSE)))</f>
        <v/>
      </c>
      <c r="Z21" s="265" t="str">
        <f t="shared" si="6"/>
        <v/>
      </c>
      <c r="AA21" s="180"/>
      <c r="AB21" s="181"/>
      <c r="AH21" s="35" t="str">
        <f>IFERROR(INDEX('G-7 Rivers Data'!$AZ$3:$AZ$7,MATCH(C21,'G-7 Rivers Data'!$AY$3:$AY$7,0)),"")</f>
        <v/>
      </c>
    </row>
    <row r="22" spans="2:34" ht="13.8" x14ac:dyDescent="0.25">
      <c r="B22" s="168">
        <v>11</v>
      </c>
      <c r="C22" s="212"/>
      <c r="D22" s="213"/>
      <c r="E22" s="171" t="str">
        <f>IF(C22="","",VLOOKUP(C22,'G-7 Rivers Data'!$B$2:$G$8,2,FALSE))</f>
        <v/>
      </c>
      <c r="F22" s="172" t="str">
        <f>IFERROR(VLOOKUP(E22,'G-7 Rivers Data'!$C$4:$D$8,2,FALSE),"")</f>
        <v/>
      </c>
      <c r="G22" s="173"/>
      <c r="H22" s="172" t="str">
        <f>IFERROR(INDEX('G-7 Rivers Data'!$H$4:$L$8,MATCH(C22,'G-7 Rivers Data'!$B$4:$B$8,0),MATCH(G22,'G-7 Rivers Data'!$H$3:$L$3,0)),"")</f>
        <v/>
      </c>
      <c r="I22" s="186"/>
      <c r="J22" s="175" t="str">
        <f>IF(I22="","",IF(VLOOKUP(I22,'G-7 Rivers Data'!$AG$4:$AI$9,2,FALSE)=0,"Spatial Data Missing",VLOOKUP(I22,'G-7 Rivers Data'!$AG$4:$AI$9,2,FALSE)))</f>
        <v/>
      </c>
      <c r="K22" s="176" t="str">
        <f>IF(I22="","",IF(VLOOKUP(I22,'G-7 Rivers Data'!$AG$4:$AI$9,3,FALSE)=0,"Spatial Data Missing",VLOOKUP(I22,'G-7 Rivers Data'!$AG$4:$AI$9,3,FALSE)))</f>
        <v/>
      </c>
      <c r="L22" s="171" t="str">
        <f>IFERROR(INDEX('G-7 Rivers Data'!$O$3:$O$7,MATCH(G22,'G-7 Rivers Data'!$N$3:$N$7,0)),"")</f>
        <v/>
      </c>
      <c r="M22" s="94"/>
      <c r="N22" s="261"/>
      <c r="O22" s="175" t="str">
        <f t="shared" si="1"/>
        <v/>
      </c>
      <c r="P22" s="242" t="str">
        <f t="shared" si="2"/>
        <v/>
      </c>
      <c r="Q22" s="383" t="str">
        <f>IFERROR(IF(P22="Check Data","Check Data",VLOOKUP(P22,'G-4 Temporal multipliers'!$A$4:$C$37,3,FALSE)),"")</f>
        <v/>
      </c>
      <c r="R22" s="171" t="str">
        <f>IF(C22="","",VLOOKUP(C22,'G-7 Rivers Data'!$B$4:$G$8,4,FALSE))</f>
        <v/>
      </c>
      <c r="S22" s="179" t="str">
        <f t="shared" si="3"/>
        <v/>
      </c>
      <c r="T22" s="269" t="str">
        <f t="shared" si="4"/>
        <v/>
      </c>
      <c r="U22" s="172" t="str">
        <f t="shared" si="5"/>
        <v/>
      </c>
      <c r="V22" s="79"/>
      <c r="W22" s="172" t="str">
        <f>IF(V22="","",IF(VLOOKUP(V22,'G-7 Rivers Data'!$AA$4:$AB$7,2,FALSE)=0,"Spatial Data Missing",VLOOKUP(V22,'G-7 Rivers Data'!$AA$4:$AB$7,2,FALSE)))</f>
        <v/>
      </c>
      <c r="X22" s="187"/>
      <c r="Y22" s="172" t="str">
        <f>IF(X22="","",IF(VLOOKUP(X22,'G-7 Rivers Data'!$AD$4:$AE$8,2,FALSE)=0,"Enrcoachment Data Missing",VLOOKUP(X22,'G-7 Rivers Data'!$AD$4:$AE$8,2,FALSE)))</f>
        <v/>
      </c>
      <c r="Z22" s="265" t="str">
        <f t="shared" si="6"/>
        <v/>
      </c>
      <c r="AA22" s="180"/>
      <c r="AB22" s="181"/>
      <c r="AH22" s="35" t="str">
        <f>IFERROR(INDEX('G-7 Rivers Data'!$AZ$3:$AZ$7,MATCH(C22,'G-7 Rivers Data'!$AY$3:$AY$7,0)),"")</f>
        <v/>
      </c>
    </row>
    <row r="23" spans="2:34" ht="13.8" x14ac:dyDescent="0.25">
      <c r="B23" s="168">
        <v>12</v>
      </c>
      <c r="C23" s="212"/>
      <c r="D23" s="213"/>
      <c r="E23" s="171" t="str">
        <f>IF(C23="","",VLOOKUP(C23,'G-7 Rivers Data'!$B$2:$G$8,2,FALSE))</f>
        <v/>
      </c>
      <c r="F23" s="172" t="str">
        <f>IFERROR(VLOOKUP(E23,'G-7 Rivers Data'!$C$4:$D$8,2,FALSE),"")</f>
        <v/>
      </c>
      <c r="G23" s="173"/>
      <c r="H23" s="172" t="str">
        <f>IFERROR(INDEX('G-7 Rivers Data'!$H$4:$L$8,MATCH(C23,'G-7 Rivers Data'!$B$4:$B$8,0),MATCH(G23,'G-7 Rivers Data'!$H$3:$L$3,0)),"")</f>
        <v/>
      </c>
      <c r="I23" s="186"/>
      <c r="J23" s="175" t="str">
        <f>IF(I23="","",IF(VLOOKUP(I23,'G-7 Rivers Data'!$AG$4:$AI$9,2,FALSE)=0,"Spatial Data Missing",VLOOKUP(I23,'G-7 Rivers Data'!$AG$4:$AI$9,2,FALSE)))</f>
        <v/>
      </c>
      <c r="K23" s="176" t="str">
        <f>IF(I23="","",IF(VLOOKUP(I23,'G-7 Rivers Data'!$AG$4:$AI$9,3,FALSE)=0,"Spatial Data Missing",VLOOKUP(I23,'G-7 Rivers Data'!$AG$4:$AI$9,3,FALSE)))</f>
        <v/>
      </c>
      <c r="L23" s="171" t="str">
        <f>IFERROR(INDEX('G-7 Rivers Data'!$O$3:$O$7,MATCH(G23,'G-7 Rivers Data'!$N$3:$N$7,0)),"")</f>
        <v/>
      </c>
      <c r="M23" s="94"/>
      <c r="N23" s="261"/>
      <c r="O23" s="175" t="str">
        <f t="shared" si="1"/>
        <v/>
      </c>
      <c r="P23" s="242" t="str">
        <f t="shared" si="2"/>
        <v/>
      </c>
      <c r="Q23" s="383" t="str">
        <f>IFERROR(IF(P23="Check Data","Check Data",VLOOKUP(P23,'G-4 Temporal multipliers'!$A$4:$C$37,3,FALSE)),"")</f>
        <v/>
      </c>
      <c r="R23" s="171" t="str">
        <f>IF(C23="","",VLOOKUP(C23,'G-7 Rivers Data'!$B$4:$G$8,4,FALSE))</f>
        <v/>
      </c>
      <c r="S23" s="179" t="str">
        <f t="shared" si="3"/>
        <v/>
      </c>
      <c r="T23" s="269" t="str">
        <f t="shared" si="4"/>
        <v/>
      </c>
      <c r="U23" s="172" t="str">
        <f t="shared" si="5"/>
        <v/>
      </c>
      <c r="V23" s="79"/>
      <c r="W23" s="172" t="str">
        <f>IF(V23="","",IF(VLOOKUP(V23,'G-7 Rivers Data'!$AA$4:$AB$7,2,FALSE)=0,"Spatial Data Missing",VLOOKUP(V23,'G-7 Rivers Data'!$AA$4:$AB$7,2,FALSE)))</f>
        <v/>
      </c>
      <c r="X23" s="187"/>
      <c r="Y23" s="172" t="str">
        <f>IF(X23="","",IF(VLOOKUP(X23,'G-7 Rivers Data'!$AD$4:$AE$8,2,FALSE)=0,"Enrcoachment Data Missing",VLOOKUP(X23,'G-7 Rivers Data'!$AD$4:$AE$8,2,FALSE)))</f>
        <v/>
      </c>
      <c r="Z23" s="265" t="str">
        <f t="shared" si="6"/>
        <v/>
      </c>
      <c r="AA23" s="180"/>
      <c r="AB23" s="181"/>
      <c r="AH23" s="35" t="str">
        <f>IFERROR(INDEX('G-7 Rivers Data'!$AZ$3:$AZ$7,MATCH(C23,'G-7 Rivers Data'!$AY$3:$AY$7,0)),"")</f>
        <v/>
      </c>
    </row>
    <row r="24" spans="2:34" ht="13.8" x14ac:dyDescent="0.25">
      <c r="B24" s="168">
        <v>13</v>
      </c>
      <c r="C24" s="212"/>
      <c r="D24" s="213"/>
      <c r="E24" s="171" t="str">
        <f>IF(C24="","",VLOOKUP(C24,'G-7 Rivers Data'!$B$2:$G$8,2,FALSE))</f>
        <v/>
      </c>
      <c r="F24" s="172" t="str">
        <f>IFERROR(VLOOKUP(E24,'G-7 Rivers Data'!$C$4:$D$8,2,FALSE),"")</f>
        <v/>
      </c>
      <c r="G24" s="173"/>
      <c r="H24" s="172" t="str">
        <f>IFERROR(INDEX('G-7 Rivers Data'!$H$4:$L$8,MATCH(C24,'G-7 Rivers Data'!$B$4:$B$8,0),MATCH(G24,'G-7 Rivers Data'!$H$3:$L$3,0)),"")</f>
        <v/>
      </c>
      <c r="I24" s="186"/>
      <c r="J24" s="175" t="str">
        <f>IF(I24="","",IF(VLOOKUP(I24,'G-7 Rivers Data'!$AG$4:$AI$9,2,FALSE)=0,"Spatial Data Missing",VLOOKUP(I24,'G-7 Rivers Data'!$AG$4:$AI$9,2,FALSE)))</f>
        <v/>
      </c>
      <c r="K24" s="176" t="str">
        <f>IF(I24="","",IF(VLOOKUP(I24,'G-7 Rivers Data'!$AG$4:$AI$9,3,FALSE)=0,"Spatial Data Missing",VLOOKUP(I24,'G-7 Rivers Data'!$AG$4:$AI$9,3,FALSE)))</f>
        <v/>
      </c>
      <c r="L24" s="171" t="str">
        <f>IFERROR(INDEX('G-7 Rivers Data'!$O$3:$O$7,MATCH(G24,'G-7 Rivers Data'!$N$3:$N$7,0)),"")</f>
        <v/>
      </c>
      <c r="M24" s="94"/>
      <c r="N24" s="261"/>
      <c r="O24" s="175" t="str">
        <f t="shared" si="1"/>
        <v/>
      </c>
      <c r="P24" s="242" t="str">
        <f t="shared" si="2"/>
        <v/>
      </c>
      <c r="Q24" s="383" t="str">
        <f>IFERROR(IF(P24="Check Data","Check Data",VLOOKUP(P24,'G-4 Temporal multipliers'!$A$4:$C$37,3,FALSE)),"")</f>
        <v/>
      </c>
      <c r="R24" s="171" t="str">
        <f>IF(C24="","",VLOOKUP(C24,'G-7 Rivers Data'!$B$4:$G$8,4,FALSE))</f>
        <v/>
      </c>
      <c r="S24" s="179" t="str">
        <f t="shared" si="3"/>
        <v/>
      </c>
      <c r="T24" s="269" t="str">
        <f t="shared" si="4"/>
        <v/>
      </c>
      <c r="U24" s="172" t="str">
        <f t="shared" si="5"/>
        <v/>
      </c>
      <c r="V24" s="79"/>
      <c r="W24" s="172" t="str">
        <f>IF(V24="","",IF(VLOOKUP(V24,'G-7 Rivers Data'!$AA$4:$AB$7,2,FALSE)=0,"Spatial Data Missing",VLOOKUP(V24,'G-7 Rivers Data'!$AA$4:$AB$7,2,FALSE)))</f>
        <v/>
      </c>
      <c r="X24" s="187"/>
      <c r="Y24" s="172" t="str">
        <f>IF(X24="","",IF(VLOOKUP(X24,'G-7 Rivers Data'!$AD$4:$AE$8,2,FALSE)=0,"Enrcoachment Data Missing",VLOOKUP(X24,'G-7 Rivers Data'!$AD$4:$AE$8,2,FALSE)))</f>
        <v/>
      </c>
      <c r="Z24" s="265" t="str">
        <f t="shared" si="6"/>
        <v/>
      </c>
      <c r="AA24" s="180"/>
      <c r="AB24" s="181"/>
      <c r="AH24" s="35" t="str">
        <f>IFERROR(INDEX('G-7 Rivers Data'!$AZ$3:$AZ$7,MATCH(C24,'G-7 Rivers Data'!$AY$3:$AY$7,0)),"")</f>
        <v/>
      </c>
    </row>
    <row r="25" spans="2:34" ht="13.8" x14ac:dyDescent="0.25">
      <c r="B25" s="168">
        <v>14</v>
      </c>
      <c r="C25" s="212"/>
      <c r="D25" s="213"/>
      <c r="E25" s="171" t="str">
        <f>IF(C25="","",VLOOKUP(C25,'G-7 Rivers Data'!$B$2:$G$8,2,FALSE))</f>
        <v/>
      </c>
      <c r="F25" s="172" t="str">
        <f>IFERROR(VLOOKUP(E25,'G-7 Rivers Data'!$C$4:$D$8,2,FALSE),"")</f>
        <v/>
      </c>
      <c r="G25" s="173"/>
      <c r="H25" s="172" t="str">
        <f>IFERROR(INDEX('G-7 Rivers Data'!$H$4:$L$8,MATCH(C25,'G-7 Rivers Data'!$B$4:$B$8,0),MATCH(G25,'G-7 Rivers Data'!$H$3:$L$3,0)),"")</f>
        <v/>
      </c>
      <c r="I25" s="186"/>
      <c r="J25" s="175" t="str">
        <f>IF(I25="","",IF(VLOOKUP(I25,'G-7 Rivers Data'!$AG$4:$AI$9,2,FALSE)=0,"Spatial Data Missing",VLOOKUP(I25,'G-7 Rivers Data'!$AG$4:$AI$9,2,FALSE)))</f>
        <v/>
      </c>
      <c r="K25" s="176" t="str">
        <f>IF(I25="","",IF(VLOOKUP(I25,'G-7 Rivers Data'!$AG$4:$AI$9,3,FALSE)=0,"Spatial Data Missing",VLOOKUP(I25,'G-7 Rivers Data'!$AG$4:$AI$9,3,FALSE)))</f>
        <v/>
      </c>
      <c r="L25" s="171" t="str">
        <f>IFERROR(INDEX('G-7 Rivers Data'!$O$3:$O$7,MATCH(G25,'G-7 Rivers Data'!$N$3:$N$7,0)),"")</f>
        <v/>
      </c>
      <c r="M25" s="94"/>
      <c r="N25" s="261"/>
      <c r="O25" s="175" t="str">
        <f t="shared" si="1"/>
        <v/>
      </c>
      <c r="P25" s="242" t="str">
        <f t="shared" si="2"/>
        <v/>
      </c>
      <c r="Q25" s="383" t="str">
        <f>IFERROR(IF(P25="Check Data","Check Data",VLOOKUP(P25,'G-4 Temporal multipliers'!$A$4:$C$37,3,FALSE)),"")</f>
        <v/>
      </c>
      <c r="R25" s="171" t="str">
        <f>IF(C25="","",VLOOKUP(C25,'G-7 Rivers Data'!$B$4:$G$8,4,FALSE))</f>
        <v/>
      </c>
      <c r="S25" s="179" t="str">
        <f t="shared" si="3"/>
        <v/>
      </c>
      <c r="T25" s="269" t="str">
        <f t="shared" si="4"/>
        <v/>
      </c>
      <c r="U25" s="172" t="str">
        <f t="shared" si="5"/>
        <v/>
      </c>
      <c r="V25" s="79"/>
      <c r="W25" s="172" t="str">
        <f>IF(V25="","",IF(VLOOKUP(V25,'G-7 Rivers Data'!$AA$4:$AB$7,2,FALSE)=0,"Spatial Data Missing",VLOOKUP(V25,'G-7 Rivers Data'!$AA$4:$AB$7,2,FALSE)))</f>
        <v/>
      </c>
      <c r="X25" s="187"/>
      <c r="Y25" s="172" t="str">
        <f>IF(X25="","",IF(VLOOKUP(X25,'G-7 Rivers Data'!$AD$4:$AE$8,2,FALSE)=0,"Enrcoachment Data Missing",VLOOKUP(X25,'G-7 Rivers Data'!$AD$4:$AE$8,2,FALSE)))</f>
        <v/>
      </c>
      <c r="Z25" s="265" t="str">
        <f t="shared" si="6"/>
        <v/>
      </c>
      <c r="AA25" s="180"/>
      <c r="AB25" s="181"/>
      <c r="AH25" s="35" t="str">
        <f>IFERROR(INDEX('G-7 Rivers Data'!$AZ$3:$AZ$7,MATCH(C25,'G-7 Rivers Data'!$AY$3:$AY$7,0)),"")</f>
        <v/>
      </c>
    </row>
    <row r="26" spans="2:34" ht="13.8" x14ac:dyDescent="0.25">
      <c r="B26" s="168">
        <v>15</v>
      </c>
      <c r="C26" s="212"/>
      <c r="D26" s="213"/>
      <c r="E26" s="171" t="str">
        <f>IF(C26="","",VLOOKUP(C26,'G-7 Rivers Data'!$B$2:$G$8,2,FALSE))</f>
        <v/>
      </c>
      <c r="F26" s="172" t="str">
        <f>IFERROR(VLOOKUP(E26,'G-7 Rivers Data'!$C$4:$D$8,2,FALSE),"")</f>
        <v/>
      </c>
      <c r="G26" s="173"/>
      <c r="H26" s="172" t="str">
        <f>IFERROR(INDEX('G-7 Rivers Data'!$H$4:$L$8,MATCH(C26,'G-7 Rivers Data'!$B$4:$B$8,0),MATCH(G26,'G-7 Rivers Data'!$H$3:$L$3,0)),"")</f>
        <v/>
      </c>
      <c r="I26" s="186"/>
      <c r="J26" s="175" t="str">
        <f>IF(I26="","",IF(VLOOKUP(I26,'G-7 Rivers Data'!$AG$4:$AI$9,2,FALSE)=0,"Spatial Data Missing",VLOOKUP(I26,'G-7 Rivers Data'!$AG$4:$AI$9,2,FALSE)))</f>
        <v/>
      </c>
      <c r="K26" s="176" t="str">
        <f>IF(I26="","",IF(VLOOKUP(I26,'G-7 Rivers Data'!$AG$4:$AI$9,3,FALSE)=0,"Spatial Data Missing",VLOOKUP(I26,'G-7 Rivers Data'!$AG$4:$AI$9,3,FALSE)))</f>
        <v/>
      </c>
      <c r="L26" s="171" t="str">
        <f>IFERROR(INDEX('G-7 Rivers Data'!$O$3:$O$7,MATCH(G26,'G-7 Rivers Data'!$N$3:$N$7,0)),"")</f>
        <v/>
      </c>
      <c r="M26" s="94"/>
      <c r="N26" s="261"/>
      <c r="O26" s="175" t="str">
        <f t="shared" si="1"/>
        <v/>
      </c>
      <c r="P26" s="242" t="str">
        <f t="shared" si="2"/>
        <v/>
      </c>
      <c r="Q26" s="383" t="str">
        <f>IFERROR(IF(P26="Check Data","Check Data",VLOOKUP(P26,'G-4 Temporal multipliers'!$A$4:$C$37,3,FALSE)),"")</f>
        <v/>
      </c>
      <c r="R26" s="171" t="str">
        <f>IF(C26="","",VLOOKUP(C26,'G-7 Rivers Data'!$B$4:$G$8,4,FALSE))</f>
        <v/>
      </c>
      <c r="S26" s="179" t="str">
        <f t="shared" si="3"/>
        <v/>
      </c>
      <c r="T26" s="269" t="str">
        <f t="shared" si="4"/>
        <v/>
      </c>
      <c r="U26" s="172" t="str">
        <f t="shared" si="5"/>
        <v/>
      </c>
      <c r="V26" s="79"/>
      <c r="W26" s="172" t="str">
        <f>IF(V26="","",IF(VLOOKUP(V26,'G-7 Rivers Data'!$AA$4:$AB$7,2,FALSE)=0,"Spatial Data Missing",VLOOKUP(V26,'G-7 Rivers Data'!$AA$4:$AB$7,2,FALSE)))</f>
        <v/>
      </c>
      <c r="X26" s="187"/>
      <c r="Y26" s="172" t="str">
        <f>IF(X26="","",IF(VLOOKUP(X26,'G-7 Rivers Data'!$AD$4:$AE$8,2,FALSE)=0,"Enrcoachment Data Missing",VLOOKUP(X26,'G-7 Rivers Data'!$AD$4:$AE$8,2,FALSE)))</f>
        <v/>
      </c>
      <c r="Z26" s="265" t="str">
        <f t="shared" si="6"/>
        <v/>
      </c>
      <c r="AA26" s="180"/>
      <c r="AB26" s="181"/>
      <c r="AH26" s="35" t="str">
        <f>IFERROR(INDEX('G-7 Rivers Data'!$AZ$3:$AZ$7,MATCH(C26,'G-7 Rivers Data'!$AY$3:$AY$7,0)),"")</f>
        <v/>
      </c>
    </row>
    <row r="27" spans="2:34" ht="13.8" x14ac:dyDescent="0.25">
      <c r="B27" s="168">
        <v>16</v>
      </c>
      <c r="C27" s="212"/>
      <c r="D27" s="213"/>
      <c r="E27" s="171" t="str">
        <f>IF(C27="","",VLOOKUP(C27,'G-7 Rivers Data'!$B$2:$G$8,2,FALSE))</f>
        <v/>
      </c>
      <c r="F27" s="172" t="str">
        <f>IFERROR(VLOOKUP(E27,'G-7 Rivers Data'!$C$4:$D$8,2,FALSE),"")</f>
        <v/>
      </c>
      <c r="G27" s="173"/>
      <c r="H27" s="172" t="str">
        <f>IFERROR(INDEX('G-7 Rivers Data'!$H$4:$L$8,MATCH(C27,'G-7 Rivers Data'!$B$4:$B$8,0),MATCH(G27,'G-7 Rivers Data'!$H$3:$L$3,0)),"")</f>
        <v/>
      </c>
      <c r="I27" s="186"/>
      <c r="J27" s="175" t="str">
        <f>IF(I27="","",IF(VLOOKUP(I27,'G-7 Rivers Data'!$AG$4:$AI$9,2,FALSE)=0,"Spatial Data Missing",VLOOKUP(I27,'G-7 Rivers Data'!$AG$4:$AI$9,2,FALSE)))</f>
        <v/>
      </c>
      <c r="K27" s="176" t="str">
        <f>IF(I27="","",IF(VLOOKUP(I27,'G-7 Rivers Data'!$AG$4:$AI$9,3,FALSE)=0,"Spatial Data Missing",VLOOKUP(I27,'G-7 Rivers Data'!$AG$4:$AI$9,3,FALSE)))</f>
        <v/>
      </c>
      <c r="L27" s="171" t="str">
        <f>IFERROR(INDEX('G-7 Rivers Data'!$O$3:$O$7,MATCH(G27,'G-7 Rivers Data'!$N$3:$N$7,0)),"")</f>
        <v/>
      </c>
      <c r="M27" s="94"/>
      <c r="N27" s="261"/>
      <c r="O27" s="175" t="str">
        <f t="shared" si="1"/>
        <v/>
      </c>
      <c r="P27" s="242" t="str">
        <f t="shared" si="2"/>
        <v/>
      </c>
      <c r="Q27" s="383" t="str">
        <f>IFERROR(IF(P27="Check Data","Check Data",VLOOKUP(P27,'G-4 Temporal multipliers'!$A$4:$C$37,3,FALSE)),"")</f>
        <v/>
      </c>
      <c r="R27" s="171" t="str">
        <f>IF(C27="","",VLOOKUP(C27,'G-7 Rivers Data'!$B$4:$G$8,4,FALSE))</f>
        <v/>
      </c>
      <c r="S27" s="179" t="str">
        <f t="shared" si="3"/>
        <v/>
      </c>
      <c r="T27" s="269" t="str">
        <f t="shared" si="4"/>
        <v/>
      </c>
      <c r="U27" s="172" t="str">
        <f t="shared" si="5"/>
        <v/>
      </c>
      <c r="V27" s="79"/>
      <c r="W27" s="172" t="str">
        <f>IF(V27="","",IF(VLOOKUP(V27,'G-7 Rivers Data'!$AA$4:$AB$7,2,FALSE)=0,"Spatial Data Missing",VLOOKUP(V27,'G-7 Rivers Data'!$AA$4:$AB$7,2,FALSE)))</f>
        <v/>
      </c>
      <c r="X27" s="187"/>
      <c r="Y27" s="172" t="str">
        <f>IF(X27="","",IF(VLOOKUP(X27,'G-7 Rivers Data'!$AD$4:$AE$8,2,FALSE)=0,"Enrcoachment Data Missing",VLOOKUP(X27,'G-7 Rivers Data'!$AD$4:$AE$8,2,FALSE)))</f>
        <v/>
      </c>
      <c r="Z27" s="265" t="str">
        <f t="shared" si="6"/>
        <v/>
      </c>
      <c r="AA27" s="180"/>
      <c r="AB27" s="181"/>
      <c r="AH27" s="35" t="str">
        <f>IFERROR(INDEX('G-7 Rivers Data'!$AZ$3:$AZ$7,MATCH(C27,'G-7 Rivers Data'!$AY$3:$AY$7,0)),"")</f>
        <v/>
      </c>
    </row>
    <row r="28" spans="2:34" ht="13.8" x14ac:dyDescent="0.25">
      <c r="B28" s="168">
        <v>17</v>
      </c>
      <c r="C28" s="212"/>
      <c r="D28" s="213"/>
      <c r="E28" s="171" t="str">
        <f>IF(C28="","",VLOOKUP(C28,'G-7 Rivers Data'!$B$2:$G$8,2,FALSE))</f>
        <v/>
      </c>
      <c r="F28" s="172" t="str">
        <f>IFERROR(VLOOKUP(E28,'G-7 Rivers Data'!$C$4:$D$8,2,FALSE),"")</f>
        <v/>
      </c>
      <c r="G28" s="173"/>
      <c r="H28" s="172" t="str">
        <f>IFERROR(INDEX('G-7 Rivers Data'!$H$4:$L$8,MATCH(C28,'G-7 Rivers Data'!$B$4:$B$8,0),MATCH(G28,'G-7 Rivers Data'!$H$3:$L$3,0)),"")</f>
        <v/>
      </c>
      <c r="I28" s="186"/>
      <c r="J28" s="175" t="str">
        <f>IF(I28="","",IF(VLOOKUP(I28,'G-7 Rivers Data'!$AG$4:$AI$9,2,FALSE)=0,"Spatial Data Missing",VLOOKUP(I28,'G-7 Rivers Data'!$AG$4:$AI$9,2,FALSE)))</f>
        <v/>
      </c>
      <c r="K28" s="176" t="str">
        <f>IF(I28="","",IF(VLOOKUP(I28,'G-7 Rivers Data'!$AG$4:$AI$9,3,FALSE)=0,"Spatial Data Missing",VLOOKUP(I28,'G-7 Rivers Data'!$AG$4:$AI$9,3,FALSE)))</f>
        <v/>
      </c>
      <c r="L28" s="171" t="str">
        <f>IFERROR(INDEX('G-7 Rivers Data'!$O$3:$O$7,MATCH(G28,'G-7 Rivers Data'!$N$3:$N$7,0)),"")</f>
        <v/>
      </c>
      <c r="M28" s="94"/>
      <c r="N28" s="261"/>
      <c r="O28" s="175" t="str">
        <f t="shared" si="1"/>
        <v/>
      </c>
      <c r="P28" s="242" t="str">
        <f t="shared" si="2"/>
        <v/>
      </c>
      <c r="Q28" s="383" t="str">
        <f>IFERROR(IF(P28="Check Data","Check Data",VLOOKUP(P28,'G-4 Temporal multipliers'!$A$4:$C$37,3,FALSE)),"")</f>
        <v/>
      </c>
      <c r="R28" s="171" t="str">
        <f>IF(C28="","",VLOOKUP(C28,'G-7 Rivers Data'!$B$4:$G$8,4,FALSE))</f>
        <v/>
      </c>
      <c r="S28" s="179" t="str">
        <f t="shared" si="3"/>
        <v/>
      </c>
      <c r="T28" s="269" t="str">
        <f t="shared" si="4"/>
        <v/>
      </c>
      <c r="U28" s="172" t="str">
        <f t="shared" si="5"/>
        <v/>
      </c>
      <c r="V28" s="79"/>
      <c r="W28" s="172" t="str">
        <f>IF(V28="","",IF(VLOOKUP(V28,'G-7 Rivers Data'!$AA$4:$AB$7,2,FALSE)=0,"Spatial Data Missing",VLOOKUP(V28,'G-7 Rivers Data'!$AA$4:$AB$7,2,FALSE)))</f>
        <v/>
      </c>
      <c r="X28" s="187"/>
      <c r="Y28" s="172" t="str">
        <f>IF(X28="","",IF(VLOOKUP(X28,'G-7 Rivers Data'!$AD$4:$AE$8,2,FALSE)=0,"Enrcoachment Data Missing",VLOOKUP(X28,'G-7 Rivers Data'!$AD$4:$AE$8,2,FALSE)))</f>
        <v/>
      </c>
      <c r="Z28" s="265" t="str">
        <f t="shared" si="6"/>
        <v/>
      </c>
      <c r="AA28" s="180"/>
      <c r="AB28" s="181"/>
      <c r="AH28" s="35" t="str">
        <f>IFERROR(INDEX('G-7 Rivers Data'!$AZ$3:$AZ$7,MATCH(C28,'G-7 Rivers Data'!$AY$3:$AY$7,0)),"")</f>
        <v/>
      </c>
    </row>
    <row r="29" spans="2:34" ht="13.8" x14ac:dyDescent="0.25">
      <c r="B29" s="168">
        <v>18</v>
      </c>
      <c r="C29" s="212"/>
      <c r="D29" s="213"/>
      <c r="E29" s="171" t="str">
        <f>IF(C29="","",VLOOKUP(C29,'G-7 Rivers Data'!$B$2:$G$8,2,FALSE))</f>
        <v/>
      </c>
      <c r="F29" s="172" t="str">
        <f>IFERROR(VLOOKUP(E29,'G-7 Rivers Data'!$C$4:$D$8,2,FALSE),"")</f>
        <v/>
      </c>
      <c r="G29" s="173"/>
      <c r="H29" s="172" t="str">
        <f>IFERROR(INDEX('G-7 Rivers Data'!$H$4:$L$8,MATCH(C29,'G-7 Rivers Data'!$B$4:$B$8,0),MATCH(G29,'G-7 Rivers Data'!$H$3:$L$3,0)),"")</f>
        <v/>
      </c>
      <c r="I29" s="186"/>
      <c r="J29" s="175" t="str">
        <f>IF(I29="","",IF(VLOOKUP(I29,'G-7 Rivers Data'!$AG$4:$AI$9,2,FALSE)=0,"Spatial Data Missing",VLOOKUP(I29,'G-7 Rivers Data'!$AG$4:$AI$9,2,FALSE)))</f>
        <v/>
      </c>
      <c r="K29" s="176" t="str">
        <f>IF(I29="","",IF(VLOOKUP(I29,'G-7 Rivers Data'!$AG$4:$AI$9,3,FALSE)=0,"Spatial Data Missing",VLOOKUP(I29,'G-7 Rivers Data'!$AG$4:$AI$9,3,FALSE)))</f>
        <v/>
      </c>
      <c r="L29" s="171" t="str">
        <f>IFERROR(INDEX('G-7 Rivers Data'!$O$3:$O$7,MATCH(G29,'G-7 Rivers Data'!$N$3:$N$7,0)),"")</f>
        <v/>
      </c>
      <c r="M29" s="94"/>
      <c r="N29" s="261"/>
      <c r="O29" s="175" t="str">
        <f t="shared" si="1"/>
        <v/>
      </c>
      <c r="P29" s="242" t="str">
        <f t="shared" si="2"/>
        <v/>
      </c>
      <c r="Q29" s="383" t="str">
        <f>IFERROR(IF(P29="Check Data","Check Data",VLOOKUP(P29,'G-4 Temporal multipliers'!$A$4:$C$37,3,FALSE)),"")</f>
        <v/>
      </c>
      <c r="R29" s="171" t="str">
        <f>IF(C29="","",VLOOKUP(C29,'G-7 Rivers Data'!$B$4:$G$8,4,FALSE))</f>
        <v/>
      </c>
      <c r="S29" s="179" t="str">
        <f t="shared" si="3"/>
        <v/>
      </c>
      <c r="T29" s="269" t="str">
        <f t="shared" si="4"/>
        <v/>
      </c>
      <c r="U29" s="172" t="str">
        <f t="shared" si="5"/>
        <v/>
      </c>
      <c r="V29" s="79"/>
      <c r="W29" s="172" t="str">
        <f>IF(V29="","",IF(VLOOKUP(V29,'G-7 Rivers Data'!$AA$4:$AB$7,2,FALSE)=0,"Spatial Data Missing",VLOOKUP(V29,'G-7 Rivers Data'!$AA$4:$AB$7,2,FALSE)))</f>
        <v/>
      </c>
      <c r="X29" s="187"/>
      <c r="Y29" s="172" t="str">
        <f>IF(X29="","",IF(VLOOKUP(X29,'G-7 Rivers Data'!$AD$4:$AE$8,2,FALSE)=0,"Enrcoachment Data Missing",VLOOKUP(X29,'G-7 Rivers Data'!$AD$4:$AE$8,2,FALSE)))</f>
        <v/>
      </c>
      <c r="Z29" s="265" t="str">
        <f t="shared" si="6"/>
        <v/>
      </c>
      <c r="AA29" s="180"/>
      <c r="AB29" s="181"/>
      <c r="AH29" s="35" t="str">
        <f>IFERROR(INDEX('G-7 Rivers Data'!$AZ$3:$AZ$7,MATCH(C29,'G-7 Rivers Data'!$AY$3:$AY$7,0)),"")</f>
        <v/>
      </c>
    </row>
    <row r="30" spans="2:34" ht="13.8" x14ac:dyDescent="0.25">
      <c r="B30" s="168">
        <v>19</v>
      </c>
      <c r="C30" s="212"/>
      <c r="D30" s="213"/>
      <c r="E30" s="171" t="str">
        <f>IF(C30="","",VLOOKUP(C30,'G-7 Rivers Data'!$B$2:$G$8,2,FALSE))</f>
        <v/>
      </c>
      <c r="F30" s="172" t="str">
        <f>IFERROR(VLOOKUP(E30,'G-7 Rivers Data'!$C$4:$D$8,2,FALSE),"")</f>
        <v/>
      </c>
      <c r="G30" s="173"/>
      <c r="H30" s="172" t="str">
        <f>IFERROR(INDEX('G-7 Rivers Data'!$H$4:$L$8,MATCH(C30,'G-7 Rivers Data'!$B$4:$B$8,0),MATCH(G30,'G-7 Rivers Data'!$H$3:$L$3,0)),"")</f>
        <v/>
      </c>
      <c r="I30" s="186"/>
      <c r="J30" s="175" t="str">
        <f>IF(I30="","",IF(VLOOKUP(I30,'G-7 Rivers Data'!$AG$4:$AI$9,2,FALSE)=0,"Spatial Data Missing",VLOOKUP(I30,'G-7 Rivers Data'!$AG$4:$AI$9,2,FALSE)))</f>
        <v/>
      </c>
      <c r="K30" s="176" t="str">
        <f>IF(I30="","",IF(VLOOKUP(I30,'G-7 Rivers Data'!$AG$4:$AI$9,3,FALSE)=0,"Spatial Data Missing",VLOOKUP(I30,'G-7 Rivers Data'!$AG$4:$AI$9,3,FALSE)))</f>
        <v/>
      </c>
      <c r="L30" s="171" t="str">
        <f>IFERROR(INDEX('G-7 Rivers Data'!$O$3:$O$7,MATCH(G30,'G-7 Rivers Data'!$N$3:$N$7,0)),"")</f>
        <v/>
      </c>
      <c r="M30" s="94"/>
      <c r="N30" s="261"/>
      <c r="O30" s="175" t="str">
        <f t="shared" si="1"/>
        <v/>
      </c>
      <c r="P30" s="242" t="str">
        <f t="shared" si="2"/>
        <v/>
      </c>
      <c r="Q30" s="383" t="str">
        <f>IFERROR(IF(P30="Check Data","Check Data",VLOOKUP(P30,'G-4 Temporal multipliers'!$A$4:$C$37,3,FALSE)),"")</f>
        <v/>
      </c>
      <c r="R30" s="171" t="str">
        <f>IF(C30="","",VLOOKUP(C30,'G-7 Rivers Data'!$B$4:$G$8,4,FALSE))</f>
        <v/>
      </c>
      <c r="S30" s="179" t="str">
        <f t="shared" si="3"/>
        <v/>
      </c>
      <c r="T30" s="269" t="str">
        <f t="shared" si="4"/>
        <v/>
      </c>
      <c r="U30" s="172" t="str">
        <f t="shared" si="5"/>
        <v/>
      </c>
      <c r="V30" s="79"/>
      <c r="W30" s="172" t="str">
        <f>IF(V30="","",IF(VLOOKUP(V30,'G-7 Rivers Data'!$AA$4:$AB$7,2,FALSE)=0,"Spatial Data Missing",VLOOKUP(V30,'G-7 Rivers Data'!$AA$4:$AB$7,2,FALSE)))</f>
        <v/>
      </c>
      <c r="X30" s="187"/>
      <c r="Y30" s="172" t="str">
        <f>IF(X30="","",IF(VLOOKUP(X30,'G-7 Rivers Data'!$AD$4:$AE$8,2,FALSE)=0,"Enrcoachment Data Missing",VLOOKUP(X30,'G-7 Rivers Data'!$AD$4:$AE$8,2,FALSE)))</f>
        <v/>
      </c>
      <c r="Z30" s="265" t="str">
        <f t="shared" si="6"/>
        <v/>
      </c>
      <c r="AA30" s="180"/>
      <c r="AB30" s="181"/>
      <c r="AH30" s="35" t="str">
        <f>IFERROR(INDEX('G-7 Rivers Data'!$AZ$3:$AZ$7,MATCH(C30,'G-7 Rivers Data'!$AY$3:$AY$7,0)),"")</f>
        <v/>
      </c>
    </row>
    <row r="31" spans="2:34" ht="13.8" x14ac:dyDescent="0.25">
      <c r="B31" s="168">
        <v>20</v>
      </c>
      <c r="C31" s="212"/>
      <c r="D31" s="213"/>
      <c r="E31" s="171" t="str">
        <f>IF(C31="","",VLOOKUP(C31,'G-7 Rivers Data'!$B$2:$G$8,2,FALSE))</f>
        <v/>
      </c>
      <c r="F31" s="172" t="str">
        <f>IFERROR(VLOOKUP(E31,'G-7 Rivers Data'!$C$4:$D$8,2,FALSE),"")</f>
        <v/>
      </c>
      <c r="G31" s="173"/>
      <c r="H31" s="172" t="str">
        <f>IFERROR(INDEX('G-7 Rivers Data'!$H$4:$L$8,MATCH(C31,'G-7 Rivers Data'!$B$4:$B$8,0),MATCH(G31,'G-7 Rivers Data'!$H$3:$L$3,0)),"")</f>
        <v/>
      </c>
      <c r="I31" s="186"/>
      <c r="J31" s="175" t="str">
        <f>IF(I31="","",IF(VLOOKUP(I31,'G-7 Rivers Data'!$AG$4:$AI$9,2,FALSE)=0,"Spatial Data Missing",VLOOKUP(I31,'G-7 Rivers Data'!$AG$4:$AI$9,2,FALSE)))</f>
        <v/>
      </c>
      <c r="K31" s="176" t="str">
        <f>IF(I31="","",IF(VLOOKUP(I31,'G-7 Rivers Data'!$AG$4:$AI$9,3,FALSE)=0,"Spatial Data Missing",VLOOKUP(I31,'G-7 Rivers Data'!$AG$4:$AI$9,3,FALSE)))</f>
        <v/>
      </c>
      <c r="L31" s="171" t="str">
        <f>IFERROR(INDEX('G-7 Rivers Data'!$O$3:$O$7,MATCH(G31,'G-7 Rivers Data'!$N$3:$N$7,0)),"")</f>
        <v/>
      </c>
      <c r="M31" s="94"/>
      <c r="N31" s="261"/>
      <c r="O31" s="175" t="str">
        <f t="shared" si="1"/>
        <v/>
      </c>
      <c r="P31" s="242" t="str">
        <f t="shared" si="2"/>
        <v/>
      </c>
      <c r="Q31" s="383" t="str">
        <f>IFERROR(IF(P31="Check Data","Check Data",VLOOKUP(P31,'G-4 Temporal multipliers'!$A$4:$C$37,3,FALSE)),"")</f>
        <v/>
      </c>
      <c r="R31" s="171" t="str">
        <f>IF(C31="","",VLOOKUP(C31,'G-7 Rivers Data'!$B$4:$G$8,4,FALSE))</f>
        <v/>
      </c>
      <c r="S31" s="179" t="str">
        <f t="shared" si="3"/>
        <v/>
      </c>
      <c r="T31" s="269" t="str">
        <f t="shared" si="4"/>
        <v/>
      </c>
      <c r="U31" s="172" t="str">
        <f t="shared" si="5"/>
        <v/>
      </c>
      <c r="V31" s="79"/>
      <c r="W31" s="172" t="str">
        <f>IF(V31="","",IF(VLOOKUP(V31,'G-7 Rivers Data'!$AA$4:$AB$7,2,FALSE)=0,"Spatial Data Missing",VLOOKUP(V31,'G-7 Rivers Data'!$AA$4:$AB$7,2,FALSE)))</f>
        <v/>
      </c>
      <c r="X31" s="187"/>
      <c r="Y31" s="172" t="str">
        <f>IF(X31="","",IF(VLOOKUP(X31,'G-7 Rivers Data'!$AD$4:$AE$8,2,FALSE)=0,"Enrcoachment Data Missing",VLOOKUP(X31,'G-7 Rivers Data'!$AD$4:$AE$8,2,FALSE)))</f>
        <v/>
      </c>
      <c r="Z31" s="265" t="str">
        <f t="shared" si="6"/>
        <v/>
      </c>
      <c r="AA31" s="180"/>
      <c r="AB31" s="181"/>
      <c r="AH31" s="35" t="str">
        <f>IFERROR(INDEX('G-7 Rivers Data'!$AZ$3:$AZ$7,MATCH(C31,'G-7 Rivers Data'!$AY$3:$AY$7,0)),"")</f>
        <v/>
      </c>
    </row>
    <row r="32" spans="2:34" ht="13.8" x14ac:dyDescent="0.25">
      <c r="B32" s="168">
        <v>21</v>
      </c>
      <c r="C32" s="212"/>
      <c r="D32" s="213"/>
      <c r="E32" s="171" t="str">
        <f>IF(C32="","",VLOOKUP(C32,'G-7 Rivers Data'!$B$2:$G$8,2,FALSE))</f>
        <v/>
      </c>
      <c r="F32" s="172" t="str">
        <f>IFERROR(VLOOKUP(E32,'G-7 Rivers Data'!$C$4:$D$8,2,FALSE),"")</f>
        <v/>
      </c>
      <c r="G32" s="173"/>
      <c r="H32" s="172" t="str">
        <f>IFERROR(INDEX('G-7 Rivers Data'!$H$4:$L$8,MATCH(C32,'G-7 Rivers Data'!$B$4:$B$8,0),MATCH(G32,'G-7 Rivers Data'!$H$3:$L$3,0)),"")</f>
        <v/>
      </c>
      <c r="I32" s="186"/>
      <c r="J32" s="175" t="str">
        <f>IF(I32="","",IF(VLOOKUP(I32,'G-7 Rivers Data'!$AG$4:$AI$9,2,FALSE)=0,"Spatial Data Missing",VLOOKUP(I32,'G-7 Rivers Data'!$AG$4:$AI$9,2,FALSE)))</f>
        <v/>
      </c>
      <c r="K32" s="176" t="str">
        <f>IF(I32="","",IF(VLOOKUP(I32,'G-7 Rivers Data'!$AG$4:$AI$9,3,FALSE)=0,"Spatial Data Missing",VLOOKUP(I32,'G-7 Rivers Data'!$AG$4:$AI$9,3,FALSE)))</f>
        <v/>
      </c>
      <c r="L32" s="171" t="str">
        <f>IFERROR(INDEX('G-7 Rivers Data'!$O$3:$O$7,MATCH(G32,'G-7 Rivers Data'!$N$3:$N$7,0)),"")</f>
        <v/>
      </c>
      <c r="M32" s="94"/>
      <c r="N32" s="261"/>
      <c r="O32" s="175" t="str">
        <f t="shared" si="1"/>
        <v/>
      </c>
      <c r="P32" s="242" t="str">
        <f t="shared" si="2"/>
        <v/>
      </c>
      <c r="Q32" s="383" t="str">
        <f>IFERROR(IF(P32="Check Data","Check Data",VLOOKUP(P32,'G-4 Temporal multipliers'!$A$4:$C$37,3,FALSE)),"")</f>
        <v/>
      </c>
      <c r="R32" s="171" t="str">
        <f>IF(C32="","",VLOOKUP(C32,'G-7 Rivers Data'!$B$4:$G$8,4,FALSE))</f>
        <v/>
      </c>
      <c r="S32" s="179" t="str">
        <f t="shared" si="3"/>
        <v/>
      </c>
      <c r="T32" s="269" t="str">
        <f t="shared" si="4"/>
        <v/>
      </c>
      <c r="U32" s="172" t="str">
        <f t="shared" si="5"/>
        <v/>
      </c>
      <c r="V32" s="79"/>
      <c r="W32" s="172" t="str">
        <f>IF(V32="","",IF(VLOOKUP(V32,'G-7 Rivers Data'!$AA$4:$AB$7,2,FALSE)=0,"Spatial Data Missing",VLOOKUP(V32,'G-7 Rivers Data'!$AA$4:$AB$7,2,FALSE)))</f>
        <v/>
      </c>
      <c r="X32" s="187"/>
      <c r="Y32" s="172" t="str">
        <f>IF(X32="","",IF(VLOOKUP(X32,'G-7 Rivers Data'!$AD$4:$AE$8,2,FALSE)=0,"Enrcoachment Data Missing",VLOOKUP(X32,'G-7 Rivers Data'!$AD$4:$AE$8,2,FALSE)))</f>
        <v/>
      </c>
      <c r="Z32" s="265" t="str">
        <f t="shared" si="6"/>
        <v/>
      </c>
      <c r="AA32" s="180"/>
      <c r="AB32" s="181"/>
      <c r="AH32" s="35" t="str">
        <f>IFERROR(INDEX('G-7 Rivers Data'!$AZ$3:$AZ$7,MATCH(C32,'G-7 Rivers Data'!$AY$3:$AY$7,0)),"")</f>
        <v/>
      </c>
    </row>
    <row r="33" spans="2:34" ht="13.8" x14ac:dyDescent="0.25">
      <c r="B33" s="168">
        <v>22</v>
      </c>
      <c r="C33" s="212"/>
      <c r="D33" s="213"/>
      <c r="E33" s="171" t="str">
        <f>IF(C33="","",VLOOKUP(C33,'G-7 Rivers Data'!$B$2:$G$8,2,FALSE))</f>
        <v/>
      </c>
      <c r="F33" s="172" t="str">
        <f>IFERROR(VLOOKUP(E33,'G-7 Rivers Data'!$C$4:$D$8,2,FALSE),"")</f>
        <v/>
      </c>
      <c r="G33" s="173"/>
      <c r="H33" s="172" t="str">
        <f>IFERROR(INDEX('G-7 Rivers Data'!$H$4:$L$8,MATCH(C33,'G-7 Rivers Data'!$B$4:$B$8,0),MATCH(G33,'G-7 Rivers Data'!$H$3:$L$3,0)),"")</f>
        <v/>
      </c>
      <c r="I33" s="186"/>
      <c r="J33" s="175" t="str">
        <f>IF(I33="","",IF(VLOOKUP(I33,'G-7 Rivers Data'!$AG$4:$AI$9,2,FALSE)=0,"Spatial Data Missing",VLOOKUP(I33,'G-7 Rivers Data'!$AG$4:$AI$9,2,FALSE)))</f>
        <v/>
      </c>
      <c r="K33" s="176" t="str">
        <f>IF(I33="","",IF(VLOOKUP(I33,'G-7 Rivers Data'!$AG$4:$AI$9,3,FALSE)=0,"Spatial Data Missing",VLOOKUP(I33,'G-7 Rivers Data'!$AG$4:$AI$9,3,FALSE)))</f>
        <v/>
      </c>
      <c r="L33" s="171" t="str">
        <f>IFERROR(INDEX('G-7 Rivers Data'!$O$3:$O$7,MATCH(G33,'G-7 Rivers Data'!$N$3:$N$7,0)),"")</f>
        <v/>
      </c>
      <c r="M33" s="94"/>
      <c r="N33" s="261"/>
      <c r="O33" s="175" t="str">
        <f t="shared" si="1"/>
        <v/>
      </c>
      <c r="P33" s="242" t="str">
        <f t="shared" si="2"/>
        <v/>
      </c>
      <c r="Q33" s="383" t="str">
        <f>IFERROR(IF(P33="Check Data","Check Data",VLOOKUP(P33,'G-4 Temporal multipliers'!$A$4:$C$37,3,FALSE)),"")</f>
        <v/>
      </c>
      <c r="R33" s="171" t="str">
        <f>IF(C33="","",VLOOKUP(C33,'G-7 Rivers Data'!$B$4:$G$8,4,FALSE))</f>
        <v/>
      </c>
      <c r="S33" s="179" t="str">
        <f t="shared" si="3"/>
        <v/>
      </c>
      <c r="T33" s="269" t="str">
        <f t="shared" si="4"/>
        <v/>
      </c>
      <c r="U33" s="172" t="str">
        <f t="shared" si="5"/>
        <v/>
      </c>
      <c r="V33" s="79"/>
      <c r="W33" s="172" t="str">
        <f>IF(V33="","",IF(VLOOKUP(V33,'G-7 Rivers Data'!$AA$4:$AB$7,2,FALSE)=0,"Spatial Data Missing",VLOOKUP(V33,'G-7 Rivers Data'!$AA$4:$AB$7,2,FALSE)))</f>
        <v/>
      </c>
      <c r="X33" s="187"/>
      <c r="Y33" s="172" t="str">
        <f>IF(X33="","",IF(VLOOKUP(X33,'G-7 Rivers Data'!$AD$4:$AE$8,2,FALSE)=0,"Enrcoachment Data Missing",VLOOKUP(X33,'G-7 Rivers Data'!$AD$4:$AE$8,2,FALSE)))</f>
        <v/>
      </c>
      <c r="Z33" s="265" t="str">
        <f t="shared" si="6"/>
        <v/>
      </c>
      <c r="AA33" s="180"/>
      <c r="AB33" s="181"/>
      <c r="AH33" s="35" t="str">
        <f>IFERROR(INDEX('G-7 Rivers Data'!$AZ$3:$AZ$7,MATCH(C33,'G-7 Rivers Data'!$AY$3:$AY$7,0)),"")</f>
        <v/>
      </c>
    </row>
    <row r="34" spans="2:34" ht="13.8" x14ac:dyDescent="0.25">
      <c r="B34" s="168">
        <v>23</v>
      </c>
      <c r="C34" s="212"/>
      <c r="D34" s="213"/>
      <c r="E34" s="171" t="str">
        <f>IF(C34="","",VLOOKUP(C34,'G-7 Rivers Data'!$B$2:$G$8,2,FALSE))</f>
        <v/>
      </c>
      <c r="F34" s="172" t="str">
        <f>IFERROR(VLOOKUP(E34,'G-7 Rivers Data'!$C$4:$D$8,2,FALSE),"")</f>
        <v/>
      </c>
      <c r="G34" s="173"/>
      <c r="H34" s="172" t="str">
        <f>IFERROR(INDEX('G-7 Rivers Data'!$H$4:$L$8,MATCH(C34,'G-7 Rivers Data'!$B$4:$B$8,0),MATCH(G34,'G-7 Rivers Data'!$H$3:$L$3,0)),"")</f>
        <v/>
      </c>
      <c r="I34" s="186"/>
      <c r="J34" s="175" t="str">
        <f>IF(I34="","",IF(VLOOKUP(I34,'G-7 Rivers Data'!$AG$4:$AI$9,2,FALSE)=0,"Spatial Data Missing",VLOOKUP(I34,'G-7 Rivers Data'!$AG$4:$AI$9,2,FALSE)))</f>
        <v/>
      </c>
      <c r="K34" s="176" t="str">
        <f>IF(I34="","",IF(VLOOKUP(I34,'G-7 Rivers Data'!$AG$4:$AI$9,3,FALSE)=0,"Spatial Data Missing",VLOOKUP(I34,'G-7 Rivers Data'!$AG$4:$AI$9,3,FALSE)))</f>
        <v/>
      </c>
      <c r="L34" s="171" t="str">
        <f>IFERROR(INDEX('G-7 Rivers Data'!$O$3:$O$7,MATCH(G34,'G-7 Rivers Data'!$N$3:$N$7,0)),"")</f>
        <v/>
      </c>
      <c r="M34" s="94"/>
      <c r="N34" s="261"/>
      <c r="O34" s="175" t="str">
        <f t="shared" si="1"/>
        <v/>
      </c>
      <c r="P34" s="242" t="str">
        <f t="shared" si="2"/>
        <v/>
      </c>
      <c r="Q34" s="383" t="str">
        <f>IFERROR(IF(P34="Check Data","Check Data",VLOOKUP(P34,'G-4 Temporal multipliers'!$A$4:$C$37,3,FALSE)),"")</f>
        <v/>
      </c>
      <c r="R34" s="171" t="str">
        <f>IF(C34="","",VLOOKUP(C34,'G-7 Rivers Data'!$B$4:$G$8,4,FALSE))</f>
        <v/>
      </c>
      <c r="S34" s="179" t="str">
        <f t="shared" si="3"/>
        <v/>
      </c>
      <c r="T34" s="269" t="str">
        <f t="shared" si="4"/>
        <v/>
      </c>
      <c r="U34" s="172" t="str">
        <f t="shared" si="5"/>
        <v/>
      </c>
      <c r="V34" s="79"/>
      <c r="W34" s="172" t="str">
        <f>IF(V34="","",IF(VLOOKUP(V34,'G-7 Rivers Data'!$AA$4:$AB$7,2,FALSE)=0,"Spatial Data Missing",VLOOKUP(V34,'G-7 Rivers Data'!$AA$4:$AB$7,2,FALSE)))</f>
        <v/>
      </c>
      <c r="X34" s="187"/>
      <c r="Y34" s="172" t="str">
        <f>IF(X34="","",IF(VLOOKUP(X34,'G-7 Rivers Data'!$AD$4:$AE$8,2,FALSE)=0,"Enrcoachment Data Missing",VLOOKUP(X34,'G-7 Rivers Data'!$AD$4:$AE$8,2,FALSE)))</f>
        <v/>
      </c>
      <c r="Z34" s="265" t="str">
        <f t="shared" si="6"/>
        <v/>
      </c>
      <c r="AA34" s="180"/>
      <c r="AB34" s="181"/>
      <c r="AH34" s="35" t="str">
        <f>IFERROR(INDEX('G-7 Rivers Data'!$AZ$3:$AZ$7,MATCH(C34,'G-7 Rivers Data'!$AY$3:$AY$7,0)),"")</f>
        <v/>
      </c>
    </row>
    <row r="35" spans="2:34" ht="13.8" x14ac:dyDescent="0.25">
      <c r="B35" s="168">
        <v>24</v>
      </c>
      <c r="C35" s="212"/>
      <c r="D35" s="213"/>
      <c r="E35" s="171" t="str">
        <f>IF(C35="","",VLOOKUP(C35,'G-7 Rivers Data'!$B$2:$G$8,2,FALSE))</f>
        <v/>
      </c>
      <c r="F35" s="172" t="str">
        <f>IFERROR(VLOOKUP(E35,'G-7 Rivers Data'!$C$4:$D$8,2,FALSE),"")</f>
        <v/>
      </c>
      <c r="G35" s="173"/>
      <c r="H35" s="172" t="str">
        <f>IFERROR(INDEX('G-7 Rivers Data'!$H$4:$L$8,MATCH(C35,'G-7 Rivers Data'!$B$4:$B$8,0),MATCH(G35,'G-7 Rivers Data'!$H$3:$L$3,0)),"")</f>
        <v/>
      </c>
      <c r="I35" s="186"/>
      <c r="J35" s="175" t="str">
        <f>IF(I35="","",IF(VLOOKUP(I35,'G-7 Rivers Data'!$AG$4:$AI$9,2,FALSE)=0,"Spatial Data Missing",VLOOKUP(I35,'G-7 Rivers Data'!$AG$4:$AI$9,2,FALSE)))</f>
        <v/>
      </c>
      <c r="K35" s="176" t="str">
        <f>IF(I35="","",IF(VLOOKUP(I35,'G-7 Rivers Data'!$AG$4:$AI$9,3,FALSE)=0,"Spatial Data Missing",VLOOKUP(I35,'G-7 Rivers Data'!$AG$4:$AI$9,3,FALSE)))</f>
        <v/>
      </c>
      <c r="L35" s="171" t="str">
        <f>IFERROR(INDEX('G-7 Rivers Data'!$O$3:$O$7,MATCH(G35,'G-7 Rivers Data'!$N$3:$N$7,0)),"")</f>
        <v/>
      </c>
      <c r="M35" s="94"/>
      <c r="N35" s="261"/>
      <c r="O35" s="175" t="str">
        <f t="shared" si="1"/>
        <v/>
      </c>
      <c r="P35" s="242" t="str">
        <f t="shared" si="2"/>
        <v/>
      </c>
      <c r="Q35" s="383" t="str">
        <f>IFERROR(IF(P35="Check Data","Check Data",VLOOKUP(P35,'G-4 Temporal multipliers'!$A$4:$C$37,3,FALSE)),"")</f>
        <v/>
      </c>
      <c r="R35" s="171" t="str">
        <f>IF(C35="","",VLOOKUP(C35,'G-7 Rivers Data'!$B$4:$G$8,4,FALSE))</f>
        <v/>
      </c>
      <c r="S35" s="179" t="str">
        <f t="shared" si="3"/>
        <v/>
      </c>
      <c r="T35" s="269" t="str">
        <f t="shared" si="4"/>
        <v/>
      </c>
      <c r="U35" s="172" t="str">
        <f t="shared" si="5"/>
        <v/>
      </c>
      <c r="V35" s="79"/>
      <c r="W35" s="172" t="str">
        <f>IF(V35="","",IF(VLOOKUP(V35,'G-7 Rivers Data'!$AA$4:$AB$7,2,FALSE)=0,"Spatial Data Missing",VLOOKUP(V35,'G-7 Rivers Data'!$AA$4:$AB$7,2,FALSE)))</f>
        <v/>
      </c>
      <c r="X35" s="187"/>
      <c r="Y35" s="172" t="str">
        <f>IF(X35="","",IF(VLOOKUP(X35,'G-7 Rivers Data'!$AD$4:$AE$8,2,FALSE)=0,"Enrcoachment Data Missing",VLOOKUP(X35,'G-7 Rivers Data'!$AD$4:$AE$8,2,FALSE)))</f>
        <v/>
      </c>
      <c r="Z35" s="265" t="str">
        <f t="shared" si="6"/>
        <v/>
      </c>
      <c r="AA35" s="180"/>
      <c r="AB35" s="181"/>
      <c r="AH35" s="35" t="str">
        <f>IFERROR(INDEX('G-7 Rivers Data'!$AZ$3:$AZ$7,MATCH(C35,'G-7 Rivers Data'!$AY$3:$AY$7,0)),"")</f>
        <v/>
      </c>
    </row>
    <row r="36" spans="2:34" ht="13.8" x14ac:dyDescent="0.25">
      <c r="B36" s="168">
        <v>25</v>
      </c>
      <c r="C36" s="212"/>
      <c r="D36" s="213"/>
      <c r="E36" s="171" t="str">
        <f>IF(C36="","",VLOOKUP(C36,'G-7 Rivers Data'!$B$2:$G$8,2,FALSE))</f>
        <v/>
      </c>
      <c r="F36" s="172" t="str">
        <f>IFERROR(VLOOKUP(E36,'G-7 Rivers Data'!$C$4:$D$8,2,FALSE),"")</f>
        <v/>
      </c>
      <c r="G36" s="173"/>
      <c r="H36" s="172" t="str">
        <f>IFERROR(INDEX('G-7 Rivers Data'!$H$4:$L$8,MATCH(C36,'G-7 Rivers Data'!$B$4:$B$8,0),MATCH(G36,'G-7 Rivers Data'!$H$3:$L$3,0)),"")</f>
        <v/>
      </c>
      <c r="I36" s="186"/>
      <c r="J36" s="175" t="str">
        <f>IF(I36="","",IF(VLOOKUP(I36,'G-7 Rivers Data'!$AG$4:$AI$9,2,FALSE)=0,"Spatial Data Missing",VLOOKUP(I36,'G-7 Rivers Data'!$AG$4:$AI$9,2,FALSE)))</f>
        <v/>
      </c>
      <c r="K36" s="176" t="str">
        <f>IF(I36="","",IF(VLOOKUP(I36,'G-7 Rivers Data'!$AG$4:$AI$9,3,FALSE)=0,"Spatial Data Missing",VLOOKUP(I36,'G-7 Rivers Data'!$AG$4:$AI$9,3,FALSE)))</f>
        <v/>
      </c>
      <c r="L36" s="171" t="str">
        <f>IFERROR(INDEX('G-7 Rivers Data'!$O$3:$O$7,MATCH(G36,'G-7 Rivers Data'!$N$3:$N$7,0)),"")</f>
        <v/>
      </c>
      <c r="M36" s="94"/>
      <c r="N36" s="261"/>
      <c r="O36" s="175" t="str">
        <f t="shared" si="1"/>
        <v/>
      </c>
      <c r="P36" s="242" t="str">
        <f t="shared" si="2"/>
        <v/>
      </c>
      <c r="Q36" s="383" t="str">
        <f>IFERROR(IF(P36="Check Data","Check Data",VLOOKUP(P36,'G-4 Temporal multipliers'!$A$4:$C$37,3,FALSE)),"")</f>
        <v/>
      </c>
      <c r="R36" s="171" t="str">
        <f>IF(C36="","",VLOOKUP(C36,'G-7 Rivers Data'!$B$4:$G$8,4,FALSE))</f>
        <v/>
      </c>
      <c r="S36" s="179" t="str">
        <f t="shared" si="3"/>
        <v/>
      </c>
      <c r="T36" s="269" t="str">
        <f t="shared" si="4"/>
        <v/>
      </c>
      <c r="U36" s="172" t="str">
        <f t="shared" si="5"/>
        <v/>
      </c>
      <c r="V36" s="79"/>
      <c r="W36" s="172" t="str">
        <f>IF(V36="","",IF(VLOOKUP(V36,'G-7 Rivers Data'!$AA$4:$AB$7,2,FALSE)=0,"Spatial Data Missing",VLOOKUP(V36,'G-7 Rivers Data'!$AA$4:$AB$7,2,FALSE)))</f>
        <v/>
      </c>
      <c r="X36" s="187"/>
      <c r="Y36" s="172" t="str">
        <f>IF(X36="","",IF(VLOOKUP(X36,'G-7 Rivers Data'!$AD$4:$AE$8,2,FALSE)=0,"Enrcoachment Data Missing",VLOOKUP(X36,'G-7 Rivers Data'!$AD$4:$AE$8,2,FALSE)))</f>
        <v/>
      </c>
      <c r="Z36" s="265" t="str">
        <f t="shared" si="6"/>
        <v/>
      </c>
      <c r="AA36" s="180"/>
      <c r="AB36" s="181"/>
      <c r="AH36" s="35" t="str">
        <f>IFERROR(INDEX('G-7 Rivers Data'!$AZ$3:$AZ$7,MATCH(C36,'G-7 Rivers Data'!$AY$3:$AY$7,0)),"")</f>
        <v/>
      </c>
    </row>
    <row r="37" spans="2:34" ht="13.8" x14ac:dyDescent="0.25">
      <c r="B37" s="168">
        <v>26</v>
      </c>
      <c r="C37" s="212"/>
      <c r="D37" s="213"/>
      <c r="E37" s="171" t="str">
        <f>IF(C37="","",VLOOKUP(C37,'G-7 Rivers Data'!$B$2:$G$8,2,FALSE))</f>
        <v/>
      </c>
      <c r="F37" s="172" t="str">
        <f>IFERROR(VLOOKUP(E37,'G-7 Rivers Data'!$C$4:$D$8,2,FALSE),"")</f>
        <v/>
      </c>
      <c r="G37" s="173"/>
      <c r="H37" s="172" t="str">
        <f>IFERROR(INDEX('G-7 Rivers Data'!$H$4:$L$8,MATCH(C37,'G-7 Rivers Data'!$B$4:$B$8,0),MATCH(G37,'G-7 Rivers Data'!$H$3:$L$3,0)),"")</f>
        <v/>
      </c>
      <c r="I37" s="186"/>
      <c r="J37" s="175" t="str">
        <f>IF(I37="","",IF(VLOOKUP(I37,'G-7 Rivers Data'!$AG$4:$AI$9,2,FALSE)=0,"Spatial Data Missing",VLOOKUP(I37,'G-7 Rivers Data'!$AG$4:$AI$9,2,FALSE)))</f>
        <v/>
      </c>
      <c r="K37" s="176" t="str">
        <f>IF(I37="","",IF(VLOOKUP(I37,'G-7 Rivers Data'!$AG$4:$AI$9,3,FALSE)=0,"Spatial Data Missing",VLOOKUP(I37,'G-7 Rivers Data'!$AG$4:$AI$9,3,FALSE)))</f>
        <v/>
      </c>
      <c r="L37" s="171" t="str">
        <f>IFERROR(INDEX('G-7 Rivers Data'!$O$3:$O$7,MATCH(G37,'G-7 Rivers Data'!$N$3:$N$7,0)),"")</f>
        <v/>
      </c>
      <c r="M37" s="94"/>
      <c r="N37" s="261"/>
      <c r="O37" s="175" t="str">
        <f t="shared" si="1"/>
        <v/>
      </c>
      <c r="P37" s="242" t="str">
        <f t="shared" si="2"/>
        <v/>
      </c>
      <c r="Q37" s="383" t="str">
        <f>IFERROR(IF(P37="Check Data","Check Data",VLOOKUP(P37,'G-4 Temporal multipliers'!$A$4:$C$37,3,FALSE)),"")</f>
        <v/>
      </c>
      <c r="R37" s="171" t="str">
        <f>IF(C37="","",VLOOKUP(C37,'G-7 Rivers Data'!$B$4:$G$8,4,FALSE))</f>
        <v/>
      </c>
      <c r="S37" s="179" t="str">
        <f t="shared" si="3"/>
        <v/>
      </c>
      <c r="T37" s="269" t="str">
        <f t="shared" si="4"/>
        <v/>
      </c>
      <c r="U37" s="172" t="str">
        <f t="shared" si="5"/>
        <v/>
      </c>
      <c r="V37" s="79"/>
      <c r="W37" s="172" t="str">
        <f>IF(V37="","",IF(VLOOKUP(V37,'G-7 Rivers Data'!$AA$4:$AB$7,2,FALSE)=0,"Spatial Data Missing",VLOOKUP(V37,'G-7 Rivers Data'!$AA$4:$AB$7,2,FALSE)))</f>
        <v/>
      </c>
      <c r="X37" s="187"/>
      <c r="Y37" s="172" t="str">
        <f>IF(X37="","",IF(VLOOKUP(X37,'G-7 Rivers Data'!$AD$4:$AE$8,2,FALSE)=0,"Enrcoachment Data Missing",VLOOKUP(X37,'G-7 Rivers Data'!$AD$4:$AE$8,2,FALSE)))</f>
        <v/>
      </c>
      <c r="Z37" s="265" t="str">
        <f t="shared" si="6"/>
        <v/>
      </c>
      <c r="AA37" s="180"/>
      <c r="AB37" s="181"/>
      <c r="AH37" s="35" t="str">
        <f>IFERROR(INDEX('G-7 Rivers Data'!$AZ$3:$AZ$7,MATCH(C37,'G-7 Rivers Data'!$AY$3:$AY$7,0)),"")</f>
        <v/>
      </c>
    </row>
    <row r="38" spans="2:34" ht="13.8" x14ac:dyDescent="0.25">
      <c r="B38" s="168">
        <v>27</v>
      </c>
      <c r="C38" s="212"/>
      <c r="D38" s="213"/>
      <c r="E38" s="171" t="str">
        <f>IF(C38="","",VLOOKUP(C38,'G-7 Rivers Data'!$B$2:$G$8,2,FALSE))</f>
        <v/>
      </c>
      <c r="F38" s="172" t="str">
        <f>IFERROR(VLOOKUP(E38,'G-7 Rivers Data'!$C$4:$D$8,2,FALSE),"")</f>
        <v/>
      </c>
      <c r="G38" s="173"/>
      <c r="H38" s="172" t="str">
        <f>IFERROR(INDEX('G-7 Rivers Data'!$H$4:$L$8,MATCH(C38,'G-7 Rivers Data'!$B$4:$B$8,0),MATCH(G38,'G-7 Rivers Data'!$H$3:$L$3,0)),"")</f>
        <v/>
      </c>
      <c r="I38" s="186"/>
      <c r="J38" s="175" t="str">
        <f>IF(I38="","",IF(VLOOKUP(I38,'G-7 Rivers Data'!$AG$4:$AI$9,2,FALSE)=0,"Spatial Data Missing",VLOOKUP(I38,'G-7 Rivers Data'!$AG$4:$AI$9,2,FALSE)))</f>
        <v/>
      </c>
      <c r="K38" s="176" t="str">
        <f>IF(I38="","",IF(VLOOKUP(I38,'G-7 Rivers Data'!$AG$4:$AI$9,3,FALSE)=0,"Spatial Data Missing",VLOOKUP(I38,'G-7 Rivers Data'!$AG$4:$AI$9,3,FALSE)))</f>
        <v/>
      </c>
      <c r="L38" s="171" t="str">
        <f>IFERROR(INDEX('G-7 Rivers Data'!$O$3:$O$7,MATCH(G38,'G-7 Rivers Data'!$N$3:$N$7,0)),"")</f>
        <v/>
      </c>
      <c r="M38" s="94"/>
      <c r="N38" s="261"/>
      <c r="O38" s="175" t="str">
        <f t="shared" si="1"/>
        <v/>
      </c>
      <c r="P38" s="242" t="str">
        <f t="shared" si="2"/>
        <v/>
      </c>
      <c r="Q38" s="383" t="str">
        <f>IFERROR(IF(P38="Check Data","Check Data",VLOOKUP(P38,'G-4 Temporal multipliers'!$A$4:$C$37,3,FALSE)),"")</f>
        <v/>
      </c>
      <c r="R38" s="171" t="str">
        <f>IF(C38="","",VLOOKUP(C38,'G-7 Rivers Data'!$B$4:$G$8,4,FALSE))</f>
        <v/>
      </c>
      <c r="S38" s="179" t="str">
        <f t="shared" si="3"/>
        <v/>
      </c>
      <c r="T38" s="269" t="str">
        <f t="shared" si="4"/>
        <v/>
      </c>
      <c r="U38" s="172" t="str">
        <f t="shared" si="5"/>
        <v/>
      </c>
      <c r="V38" s="79"/>
      <c r="W38" s="172" t="str">
        <f>IF(V38="","",IF(VLOOKUP(V38,'G-7 Rivers Data'!$AA$4:$AB$7,2,FALSE)=0,"Spatial Data Missing",VLOOKUP(V38,'G-7 Rivers Data'!$AA$4:$AB$7,2,FALSE)))</f>
        <v/>
      </c>
      <c r="X38" s="187"/>
      <c r="Y38" s="172" t="str">
        <f>IF(X38="","",IF(VLOOKUP(X38,'G-7 Rivers Data'!$AD$4:$AE$8,2,FALSE)=0,"Enrcoachment Data Missing",VLOOKUP(X38,'G-7 Rivers Data'!$AD$4:$AE$8,2,FALSE)))</f>
        <v/>
      </c>
      <c r="Z38" s="265" t="str">
        <f t="shared" si="6"/>
        <v/>
      </c>
      <c r="AA38" s="180"/>
      <c r="AB38" s="181"/>
      <c r="AH38" s="35" t="str">
        <f>IFERROR(INDEX('G-7 Rivers Data'!$AZ$3:$AZ$7,MATCH(C38,'G-7 Rivers Data'!$AY$3:$AY$7,0)),"")</f>
        <v/>
      </c>
    </row>
    <row r="39" spans="2:34" ht="13.8" x14ac:dyDescent="0.25">
      <c r="B39" s="168">
        <v>28</v>
      </c>
      <c r="C39" s="212"/>
      <c r="D39" s="213"/>
      <c r="E39" s="171" t="str">
        <f>IF(C39="","",VLOOKUP(C39,'G-7 Rivers Data'!$B$2:$G$8,2,FALSE))</f>
        <v/>
      </c>
      <c r="F39" s="172" t="str">
        <f>IFERROR(VLOOKUP(E39,'G-7 Rivers Data'!$C$4:$D$8,2,FALSE),"")</f>
        <v/>
      </c>
      <c r="G39" s="173"/>
      <c r="H39" s="172" t="str">
        <f>IFERROR(INDEX('G-7 Rivers Data'!$H$4:$L$8,MATCH(C39,'G-7 Rivers Data'!$B$4:$B$8,0),MATCH(G39,'G-7 Rivers Data'!$H$3:$L$3,0)),"")</f>
        <v/>
      </c>
      <c r="I39" s="186"/>
      <c r="J39" s="175" t="str">
        <f>IF(I39="","",IF(VLOOKUP(I39,'G-7 Rivers Data'!$AG$4:$AI$9,2,FALSE)=0,"Spatial Data Missing",VLOOKUP(I39,'G-7 Rivers Data'!$AG$4:$AI$9,2,FALSE)))</f>
        <v/>
      </c>
      <c r="K39" s="176" t="str">
        <f>IF(I39="","",IF(VLOOKUP(I39,'G-7 Rivers Data'!$AG$4:$AI$9,3,FALSE)=0,"Spatial Data Missing",VLOOKUP(I39,'G-7 Rivers Data'!$AG$4:$AI$9,3,FALSE)))</f>
        <v/>
      </c>
      <c r="L39" s="171" t="str">
        <f>IFERROR(INDEX('G-7 Rivers Data'!$O$3:$O$7,MATCH(G39,'G-7 Rivers Data'!$N$3:$N$7,0)),"")</f>
        <v/>
      </c>
      <c r="M39" s="94"/>
      <c r="N39" s="261"/>
      <c r="O39" s="175" t="str">
        <f t="shared" si="1"/>
        <v/>
      </c>
      <c r="P39" s="242" t="str">
        <f t="shared" si="2"/>
        <v/>
      </c>
      <c r="Q39" s="383" t="str">
        <f>IFERROR(IF(P39="Check Data","Check Data",VLOOKUP(P39,'G-4 Temporal multipliers'!$A$4:$C$37,3,FALSE)),"")</f>
        <v/>
      </c>
      <c r="R39" s="171" t="str">
        <f>IF(C39="","",VLOOKUP(C39,'G-7 Rivers Data'!$B$4:$G$8,4,FALSE))</f>
        <v/>
      </c>
      <c r="S39" s="179" t="str">
        <f t="shared" si="3"/>
        <v/>
      </c>
      <c r="T39" s="269" t="str">
        <f t="shared" si="4"/>
        <v/>
      </c>
      <c r="U39" s="172" t="str">
        <f t="shared" si="5"/>
        <v/>
      </c>
      <c r="V39" s="79"/>
      <c r="W39" s="172" t="str">
        <f>IF(V39="","",IF(VLOOKUP(V39,'G-7 Rivers Data'!$AA$4:$AB$7,2,FALSE)=0,"Spatial Data Missing",VLOOKUP(V39,'G-7 Rivers Data'!$AA$4:$AB$7,2,FALSE)))</f>
        <v/>
      </c>
      <c r="X39" s="187"/>
      <c r="Y39" s="172" t="str">
        <f>IF(X39="","",IF(VLOOKUP(X39,'G-7 Rivers Data'!$AD$4:$AE$8,2,FALSE)=0,"Enrcoachment Data Missing",VLOOKUP(X39,'G-7 Rivers Data'!$AD$4:$AE$8,2,FALSE)))</f>
        <v/>
      </c>
      <c r="Z39" s="265" t="str">
        <f t="shared" si="6"/>
        <v/>
      </c>
      <c r="AA39" s="180"/>
      <c r="AB39" s="181"/>
      <c r="AH39" s="35" t="str">
        <f>IFERROR(INDEX('G-7 Rivers Data'!$AZ$3:$AZ$7,MATCH(C39,'G-7 Rivers Data'!$AY$3:$AY$7,0)),"")</f>
        <v/>
      </c>
    </row>
    <row r="40" spans="2:34" ht="13.8" x14ac:dyDescent="0.25">
      <c r="B40" s="168">
        <v>29</v>
      </c>
      <c r="C40" s="212"/>
      <c r="D40" s="213"/>
      <c r="E40" s="171" t="str">
        <f>IF(C40="","",VLOOKUP(C40,'G-7 Rivers Data'!$B$2:$G$8,2,FALSE))</f>
        <v/>
      </c>
      <c r="F40" s="172" t="str">
        <f>IFERROR(VLOOKUP(E40,'G-7 Rivers Data'!$C$4:$D$8,2,FALSE),"")</f>
        <v/>
      </c>
      <c r="G40" s="173"/>
      <c r="H40" s="172" t="str">
        <f>IFERROR(INDEX('G-7 Rivers Data'!$H$4:$L$8,MATCH(C40,'G-7 Rivers Data'!$B$4:$B$8,0),MATCH(G40,'G-7 Rivers Data'!$H$3:$L$3,0)),"")</f>
        <v/>
      </c>
      <c r="I40" s="186"/>
      <c r="J40" s="175" t="str">
        <f>IF(I40="","",IF(VLOOKUP(I40,'G-7 Rivers Data'!$AG$4:$AI$9,2,FALSE)=0,"Spatial Data Missing",VLOOKUP(I40,'G-7 Rivers Data'!$AG$4:$AI$9,2,FALSE)))</f>
        <v/>
      </c>
      <c r="K40" s="176" t="str">
        <f>IF(I40="","",IF(VLOOKUP(I40,'G-7 Rivers Data'!$AG$4:$AI$9,3,FALSE)=0,"Spatial Data Missing",VLOOKUP(I40,'G-7 Rivers Data'!$AG$4:$AI$9,3,FALSE)))</f>
        <v/>
      </c>
      <c r="L40" s="171" t="str">
        <f>IFERROR(INDEX('G-7 Rivers Data'!$O$3:$O$7,MATCH(G40,'G-7 Rivers Data'!$N$3:$N$7,0)),"")</f>
        <v/>
      </c>
      <c r="M40" s="94"/>
      <c r="N40" s="261"/>
      <c r="O40" s="175" t="str">
        <f t="shared" si="1"/>
        <v/>
      </c>
      <c r="P40" s="242" t="str">
        <f t="shared" si="2"/>
        <v/>
      </c>
      <c r="Q40" s="383" t="str">
        <f>IFERROR(IF(P40="Check Data","Check Data",VLOOKUP(P40,'G-4 Temporal multipliers'!$A$4:$C$37,3,FALSE)),"")</f>
        <v/>
      </c>
      <c r="R40" s="171" t="str">
        <f>IF(C40="","",VLOOKUP(C40,'G-7 Rivers Data'!$B$4:$G$8,4,FALSE))</f>
        <v/>
      </c>
      <c r="S40" s="179" t="str">
        <f t="shared" si="3"/>
        <v/>
      </c>
      <c r="T40" s="269" t="str">
        <f t="shared" si="4"/>
        <v/>
      </c>
      <c r="U40" s="172" t="str">
        <f t="shared" si="5"/>
        <v/>
      </c>
      <c r="V40" s="79"/>
      <c r="W40" s="172" t="str">
        <f>IF(V40="","",IF(VLOOKUP(V40,'G-7 Rivers Data'!$AA$4:$AB$7,2,FALSE)=0,"Spatial Data Missing",VLOOKUP(V40,'G-7 Rivers Data'!$AA$4:$AB$7,2,FALSE)))</f>
        <v/>
      </c>
      <c r="X40" s="187"/>
      <c r="Y40" s="172" t="str">
        <f>IF(X40="","",IF(VLOOKUP(X40,'G-7 Rivers Data'!$AD$4:$AE$8,2,FALSE)=0,"Enrcoachment Data Missing",VLOOKUP(X40,'G-7 Rivers Data'!$AD$4:$AE$8,2,FALSE)))</f>
        <v/>
      </c>
      <c r="Z40" s="265" t="str">
        <f t="shared" si="6"/>
        <v/>
      </c>
      <c r="AA40" s="180"/>
      <c r="AB40" s="181"/>
      <c r="AH40" s="35" t="str">
        <f>IFERROR(INDEX('G-7 Rivers Data'!$AZ$3:$AZ$7,MATCH(C40,'G-7 Rivers Data'!$AY$3:$AY$7,0)),"")</f>
        <v/>
      </c>
    </row>
    <row r="41" spans="2:34" ht="13.8" x14ac:dyDescent="0.25">
      <c r="B41" s="168">
        <v>30</v>
      </c>
      <c r="C41" s="212"/>
      <c r="D41" s="213"/>
      <c r="E41" s="171" t="str">
        <f>IF(C41="","",VLOOKUP(C41,'G-7 Rivers Data'!$B$2:$G$8,2,FALSE))</f>
        <v/>
      </c>
      <c r="F41" s="172" t="str">
        <f>IFERROR(VLOOKUP(E41,'G-7 Rivers Data'!$C$4:$D$8,2,FALSE),"")</f>
        <v/>
      </c>
      <c r="G41" s="173"/>
      <c r="H41" s="172" t="str">
        <f>IFERROR(INDEX('G-7 Rivers Data'!$H$4:$L$8,MATCH(C41,'G-7 Rivers Data'!$B$4:$B$8,0),MATCH(G41,'G-7 Rivers Data'!$H$3:$L$3,0)),"")</f>
        <v/>
      </c>
      <c r="I41" s="186"/>
      <c r="J41" s="175" t="str">
        <f>IF(I41="","",IF(VLOOKUP(I41,'G-7 Rivers Data'!$AG$4:$AI$9,2,FALSE)=0,"Spatial Data Missing",VLOOKUP(I41,'G-7 Rivers Data'!$AG$4:$AI$9,2,FALSE)))</f>
        <v/>
      </c>
      <c r="K41" s="176" t="str">
        <f>IF(I41="","",IF(VLOOKUP(I41,'G-7 Rivers Data'!$AG$4:$AI$9,3,FALSE)=0,"Spatial Data Missing",VLOOKUP(I41,'G-7 Rivers Data'!$AG$4:$AI$9,3,FALSE)))</f>
        <v/>
      </c>
      <c r="L41" s="171" t="str">
        <f>IFERROR(INDEX('G-7 Rivers Data'!$O$3:$O$7,MATCH(G41,'G-7 Rivers Data'!$N$3:$N$7,0)),"")</f>
        <v/>
      </c>
      <c r="M41" s="94"/>
      <c r="N41" s="261"/>
      <c r="O41" s="175" t="str">
        <f t="shared" si="1"/>
        <v/>
      </c>
      <c r="P41" s="242" t="str">
        <f t="shared" si="2"/>
        <v/>
      </c>
      <c r="Q41" s="383" t="str">
        <f>IFERROR(IF(P41="Check Data","Check Data",VLOOKUP(P41,'G-4 Temporal multipliers'!$A$4:$C$37,3,FALSE)),"")</f>
        <v/>
      </c>
      <c r="R41" s="171" t="str">
        <f>IF(C41="","",VLOOKUP(C41,'G-7 Rivers Data'!$B$4:$G$8,4,FALSE))</f>
        <v/>
      </c>
      <c r="S41" s="179" t="str">
        <f t="shared" si="3"/>
        <v/>
      </c>
      <c r="T41" s="269" t="str">
        <f t="shared" si="4"/>
        <v/>
      </c>
      <c r="U41" s="172" t="str">
        <f t="shared" si="5"/>
        <v/>
      </c>
      <c r="V41" s="79"/>
      <c r="W41" s="172" t="str">
        <f>IF(V41="","",IF(VLOOKUP(V41,'G-7 Rivers Data'!$AA$4:$AB$7,2,FALSE)=0,"Spatial Data Missing",VLOOKUP(V41,'G-7 Rivers Data'!$AA$4:$AB$7,2,FALSE)))</f>
        <v/>
      </c>
      <c r="X41" s="187"/>
      <c r="Y41" s="172" t="str">
        <f>IF(X41="","",IF(VLOOKUP(X41,'G-7 Rivers Data'!$AD$4:$AE$8,2,FALSE)=0,"Enrcoachment Data Missing",VLOOKUP(X41,'G-7 Rivers Data'!$AD$4:$AE$8,2,FALSE)))</f>
        <v/>
      </c>
      <c r="Z41" s="265" t="str">
        <f t="shared" si="6"/>
        <v/>
      </c>
      <c r="AA41" s="180"/>
      <c r="AB41" s="181"/>
      <c r="AH41" s="35" t="str">
        <f>IFERROR(INDEX('G-7 Rivers Data'!$AZ$3:$AZ$7,MATCH(C41,'G-7 Rivers Data'!$AY$3:$AY$7,0)),"")</f>
        <v/>
      </c>
    </row>
    <row r="42" spans="2:34" ht="13.8" x14ac:dyDescent="0.25">
      <c r="B42" s="168">
        <v>31</v>
      </c>
      <c r="C42" s="212"/>
      <c r="D42" s="213"/>
      <c r="E42" s="171" t="str">
        <f>IF(C42="","",VLOOKUP(C42,'G-7 Rivers Data'!$B$2:$G$8,2,FALSE))</f>
        <v/>
      </c>
      <c r="F42" s="172" t="str">
        <f>IFERROR(VLOOKUP(E42,'G-7 Rivers Data'!$C$4:$D$8,2,FALSE),"")</f>
        <v/>
      </c>
      <c r="G42" s="173"/>
      <c r="H42" s="172" t="str">
        <f>IFERROR(INDEX('G-7 Rivers Data'!$H$4:$L$8,MATCH(C42,'G-7 Rivers Data'!$B$4:$B$8,0),MATCH(G42,'G-7 Rivers Data'!$H$3:$L$3,0)),"")</f>
        <v/>
      </c>
      <c r="I42" s="186"/>
      <c r="J42" s="175" t="str">
        <f>IF(I42="","",IF(VLOOKUP(I42,'G-7 Rivers Data'!$AG$4:$AI$9,2,FALSE)=0,"Spatial Data Missing",VLOOKUP(I42,'G-7 Rivers Data'!$AG$4:$AI$9,2,FALSE)))</f>
        <v/>
      </c>
      <c r="K42" s="176" t="str">
        <f>IF(I42="","",IF(VLOOKUP(I42,'G-7 Rivers Data'!$AG$4:$AI$9,3,FALSE)=0,"Spatial Data Missing",VLOOKUP(I42,'G-7 Rivers Data'!$AG$4:$AI$9,3,FALSE)))</f>
        <v/>
      </c>
      <c r="L42" s="171" t="str">
        <f>IFERROR(INDEX('G-7 Rivers Data'!$O$3:$O$7,MATCH(G42,'G-7 Rivers Data'!$N$3:$N$7,0)),"")</f>
        <v/>
      </c>
      <c r="M42" s="94"/>
      <c r="N42" s="261"/>
      <c r="O42" s="175" t="str">
        <f t="shared" si="1"/>
        <v/>
      </c>
      <c r="P42" s="242" t="str">
        <f t="shared" si="2"/>
        <v/>
      </c>
      <c r="Q42" s="383" t="str">
        <f>IFERROR(IF(P42="Check Data","Check Data",VLOOKUP(P42,'G-4 Temporal multipliers'!$A$4:$C$37,3,FALSE)),"")</f>
        <v/>
      </c>
      <c r="R42" s="171" t="str">
        <f>IF(C42="","",VLOOKUP(C42,'G-7 Rivers Data'!$B$4:$G$8,4,FALSE))</f>
        <v/>
      </c>
      <c r="S42" s="179" t="str">
        <f t="shared" si="3"/>
        <v/>
      </c>
      <c r="T42" s="269" t="str">
        <f t="shared" si="4"/>
        <v/>
      </c>
      <c r="U42" s="172" t="str">
        <f t="shared" si="5"/>
        <v/>
      </c>
      <c r="V42" s="79"/>
      <c r="W42" s="172" t="str">
        <f>IF(V42="","",IF(VLOOKUP(V42,'G-7 Rivers Data'!$AA$4:$AB$7,2,FALSE)=0,"Spatial Data Missing",VLOOKUP(V42,'G-7 Rivers Data'!$AA$4:$AB$7,2,FALSE)))</f>
        <v/>
      </c>
      <c r="X42" s="187"/>
      <c r="Y42" s="172" t="str">
        <f>IF(X42="","",IF(VLOOKUP(X42,'G-7 Rivers Data'!$AD$4:$AE$8,2,FALSE)=0,"Enrcoachment Data Missing",VLOOKUP(X42,'G-7 Rivers Data'!$AD$4:$AE$8,2,FALSE)))</f>
        <v/>
      </c>
      <c r="Z42" s="265" t="str">
        <f t="shared" si="6"/>
        <v/>
      </c>
      <c r="AA42" s="180"/>
      <c r="AB42" s="181"/>
      <c r="AH42" s="35" t="str">
        <f>IFERROR(INDEX('G-7 Rivers Data'!$AZ$3:$AZ$7,MATCH(C42,'G-7 Rivers Data'!$AY$3:$AY$7,0)),"")</f>
        <v/>
      </c>
    </row>
    <row r="43" spans="2:34" ht="13.8" x14ac:dyDescent="0.25">
      <c r="B43" s="168">
        <v>32</v>
      </c>
      <c r="C43" s="212"/>
      <c r="D43" s="213"/>
      <c r="E43" s="171" t="str">
        <f>IF(C43="","",VLOOKUP(C43,'G-7 Rivers Data'!$B$2:$G$8,2,FALSE))</f>
        <v/>
      </c>
      <c r="F43" s="172" t="str">
        <f>IFERROR(VLOOKUP(E43,'G-7 Rivers Data'!$C$4:$D$8,2,FALSE),"")</f>
        <v/>
      </c>
      <c r="G43" s="173"/>
      <c r="H43" s="172" t="str">
        <f>IFERROR(INDEX('G-7 Rivers Data'!$H$4:$L$8,MATCH(C43,'G-7 Rivers Data'!$B$4:$B$8,0),MATCH(G43,'G-7 Rivers Data'!$H$3:$L$3,0)),"")</f>
        <v/>
      </c>
      <c r="I43" s="186"/>
      <c r="J43" s="175" t="str">
        <f>IF(I43="","",IF(VLOOKUP(I43,'G-7 Rivers Data'!$AG$4:$AI$9,2,FALSE)=0,"Spatial Data Missing",VLOOKUP(I43,'G-7 Rivers Data'!$AG$4:$AI$9,2,FALSE)))</f>
        <v/>
      </c>
      <c r="K43" s="176" t="str">
        <f>IF(I43="","",IF(VLOOKUP(I43,'G-7 Rivers Data'!$AG$4:$AI$9,3,FALSE)=0,"Spatial Data Missing",VLOOKUP(I43,'G-7 Rivers Data'!$AG$4:$AI$9,3,FALSE)))</f>
        <v/>
      </c>
      <c r="L43" s="171" t="str">
        <f>IFERROR(INDEX('G-7 Rivers Data'!$O$3:$O$7,MATCH(G43,'G-7 Rivers Data'!$N$3:$N$7,0)),"")</f>
        <v/>
      </c>
      <c r="M43" s="94"/>
      <c r="N43" s="261"/>
      <c r="O43" s="175" t="str">
        <f t="shared" si="1"/>
        <v/>
      </c>
      <c r="P43" s="242" t="str">
        <f t="shared" si="2"/>
        <v/>
      </c>
      <c r="Q43" s="383" t="str">
        <f>IFERROR(IF(P43="Check Data","Check Data",VLOOKUP(P43,'G-4 Temporal multipliers'!$A$4:$C$37,3,FALSE)),"")</f>
        <v/>
      </c>
      <c r="R43" s="171" t="str">
        <f>IF(C43="","",VLOOKUP(C43,'G-7 Rivers Data'!$B$4:$G$8,4,FALSE))</f>
        <v/>
      </c>
      <c r="S43" s="179" t="str">
        <f t="shared" si="3"/>
        <v/>
      </c>
      <c r="T43" s="269" t="str">
        <f t="shared" si="4"/>
        <v/>
      </c>
      <c r="U43" s="172" t="str">
        <f t="shared" si="5"/>
        <v/>
      </c>
      <c r="V43" s="79"/>
      <c r="W43" s="172" t="str">
        <f>IF(V43="","",IF(VLOOKUP(V43,'G-7 Rivers Data'!$AA$4:$AB$7,2,FALSE)=0,"Spatial Data Missing",VLOOKUP(V43,'G-7 Rivers Data'!$AA$4:$AB$7,2,FALSE)))</f>
        <v/>
      </c>
      <c r="X43" s="187"/>
      <c r="Y43" s="172" t="str">
        <f>IF(X43="","",IF(VLOOKUP(X43,'G-7 Rivers Data'!$AD$4:$AE$8,2,FALSE)=0,"Enrcoachment Data Missing",VLOOKUP(X43,'G-7 Rivers Data'!$AD$4:$AE$8,2,FALSE)))</f>
        <v/>
      </c>
      <c r="Z43" s="265" t="str">
        <f t="shared" si="6"/>
        <v/>
      </c>
      <c r="AA43" s="180"/>
      <c r="AB43" s="181"/>
      <c r="AH43" s="35" t="str">
        <f>IFERROR(INDEX('G-7 Rivers Data'!$AZ$3:$AZ$7,MATCH(C43,'G-7 Rivers Data'!$AY$3:$AY$7,0)),"")</f>
        <v/>
      </c>
    </row>
    <row r="44" spans="2:34" ht="13.8" x14ac:dyDescent="0.25">
      <c r="B44" s="168">
        <v>33</v>
      </c>
      <c r="C44" s="212"/>
      <c r="D44" s="213"/>
      <c r="E44" s="171" t="str">
        <f>IF(C44="","",VLOOKUP(C44,'G-7 Rivers Data'!$B$2:$G$8,2,FALSE))</f>
        <v/>
      </c>
      <c r="F44" s="172" t="str">
        <f>IFERROR(VLOOKUP(E44,'G-7 Rivers Data'!$C$4:$D$8,2,FALSE),"")</f>
        <v/>
      </c>
      <c r="G44" s="173"/>
      <c r="H44" s="172" t="str">
        <f>IFERROR(INDEX('G-7 Rivers Data'!$H$4:$L$8,MATCH(C44,'G-7 Rivers Data'!$B$4:$B$8,0),MATCH(G44,'G-7 Rivers Data'!$H$3:$L$3,0)),"")</f>
        <v/>
      </c>
      <c r="I44" s="186"/>
      <c r="J44" s="175" t="str">
        <f>IF(I44="","",IF(VLOOKUP(I44,'G-7 Rivers Data'!$AG$4:$AI$9,2,FALSE)=0,"Spatial Data Missing",VLOOKUP(I44,'G-7 Rivers Data'!$AG$4:$AI$9,2,FALSE)))</f>
        <v/>
      </c>
      <c r="K44" s="176" t="str">
        <f>IF(I44="","",IF(VLOOKUP(I44,'G-7 Rivers Data'!$AG$4:$AI$9,3,FALSE)=0,"Spatial Data Missing",VLOOKUP(I44,'G-7 Rivers Data'!$AG$4:$AI$9,3,FALSE)))</f>
        <v/>
      </c>
      <c r="L44" s="171" t="str">
        <f>IFERROR(INDEX('G-7 Rivers Data'!$O$3:$O$7,MATCH(G44,'G-7 Rivers Data'!$N$3:$N$7,0)),"")</f>
        <v/>
      </c>
      <c r="M44" s="94"/>
      <c r="N44" s="261"/>
      <c r="O44" s="175" t="str">
        <f t="shared" si="1"/>
        <v/>
      </c>
      <c r="P44" s="242" t="str">
        <f t="shared" si="2"/>
        <v/>
      </c>
      <c r="Q44" s="383" t="str">
        <f>IFERROR(IF(P44="Check Data","Check Data",VLOOKUP(P44,'G-4 Temporal multipliers'!$A$4:$C$37,3,FALSE)),"")</f>
        <v/>
      </c>
      <c r="R44" s="171" t="str">
        <f>IF(C44="","",VLOOKUP(C44,'G-7 Rivers Data'!$B$4:$G$8,4,FALSE))</f>
        <v/>
      </c>
      <c r="S44" s="179" t="str">
        <f t="shared" si="3"/>
        <v/>
      </c>
      <c r="T44" s="269" t="str">
        <f t="shared" si="4"/>
        <v/>
      </c>
      <c r="U44" s="172" t="str">
        <f t="shared" si="5"/>
        <v/>
      </c>
      <c r="V44" s="79"/>
      <c r="W44" s="172" t="str">
        <f>IF(V44="","",IF(VLOOKUP(V44,'G-7 Rivers Data'!$AA$4:$AB$7,2,FALSE)=0,"Spatial Data Missing",VLOOKUP(V44,'G-7 Rivers Data'!$AA$4:$AB$7,2,FALSE)))</f>
        <v/>
      </c>
      <c r="X44" s="187"/>
      <c r="Y44" s="172" t="str">
        <f>IF(X44="","",IF(VLOOKUP(X44,'G-7 Rivers Data'!$AD$4:$AE$8,2,FALSE)=0,"Enrcoachment Data Missing",VLOOKUP(X44,'G-7 Rivers Data'!$AD$4:$AE$8,2,FALSE)))</f>
        <v/>
      </c>
      <c r="Z44" s="265" t="str">
        <f t="shared" si="6"/>
        <v/>
      </c>
      <c r="AA44" s="180"/>
      <c r="AB44" s="181"/>
      <c r="AH44" s="35" t="str">
        <f>IFERROR(INDEX('G-7 Rivers Data'!$AZ$3:$AZ$7,MATCH(C44,'G-7 Rivers Data'!$AY$3:$AY$7,0)),"")</f>
        <v/>
      </c>
    </row>
    <row r="45" spans="2:34" ht="13.8" x14ac:dyDescent="0.25">
      <c r="B45" s="168">
        <v>34</v>
      </c>
      <c r="C45" s="212"/>
      <c r="D45" s="213"/>
      <c r="E45" s="171" t="str">
        <f>IF(C45="","",VLOOKUP(C45,'G-7 Rivers Data'!$B$2:$G$8,2,FALSE))</f>
        <v/>
      </c>
      <c r="F45" s="172" t="str">
        <f>IFERROR(VLOOKUP(E45,'G-7 Rivers Data'!$C$4:$D$8,2,FALSE),"")</f>
        <v/>
      </c>
      <c r="G45" s="173"/>
      <c r="H45" s="172" t="str">
        <f>IFERROR(INDEX('G-7 Rivers Data'!$H$4:$L$8,MATCH(C45,'G-7 Rivers Data'!$B$4:$B$8,0),MATCH(G45,'G-7 Rivers Data'!$H$3:$L$3,0)),"")</f>
        <v/>
      </c>
      <c r="I45" s="186"/>
      <c r="J45" s="175" t="str">
        <f>IF(I45="","",IF(VLOOKUP(I45,'G-7 Rivers Data'!$AG$4:$AI$9,2,FALSE)=0,"Spatial Data Missing",VLOOKUP(I45,'G-7 Rivers Data'!$AG$4:$AI$9,2,FALSE)))</f>
        <v/>
      </c>
      <c r="K45" s="176" t="str">
        <f>IF(I45="","",IF(VLOOKUP(I45,'G-7 Rivers Data'!$AG$4:$AI$9,3,FALSE)=0,"Spatial Data Missing",VLOOKUP(I45,'G-7 Rivers Data'!$AG$4:$AI$9,3,FALSE)))</f>
        <v/>
      </c>
      <c r="L45" s="171" t="str">
        <f>IFERROR(INDEX('G-7 Rivers Data'!$O$3:$O$7,MATCH(G45,'G-7 Rivers Data'!$N$3:$N$7,0)),"")</f>
        <v/>
      </c>
      <c r="M45" s="94"/>
      <c r="N45" s="261"/>
      <c r="O45" s="175" t="str">
        <f t="shared" si="1"/>
        <v/>
      </c>
      <c r="P45" s="242" t="str">
        <f t="shared" si="2"/>
        <v/>
      </c>
      <c r="Q45" s="383" t="str">
        <f>IFERROR(IF(P45="Check Data","Check Data",VLOOKUP(P45,'G-4 Temporal multipliers'!$A$4:$C$37,3,FALSE)),"")</f>
        <v/>
      </c>
      <c r="R45" s="171" t="str">
        <f>IF(C45="","",VLOOKUP(C45,'G-7 Rivers Data'!$B$4:$G$8,4,FALSE))</f>
        <v/>
      </c>
      <c r="S45" s="179" t="str">
        <f t="shared" si="3"/>
        <v/>
      </c>
      <c r="T45" s="269" t="str">
        <f t="shared" si="4"/>
        <v/>
      </c>
      <c r="U45" s="172" t="str">
        <f t="shared" si="5"/>
        <v/>
      </c>
      <c r="V45" s="79"/>
      <c r="W45" s="172" t="str">
        <f>IF(V45="","",IF(VLOOKUP(V45,'G-7 Rivers Data'!$AA$4:$AB$7,2,FALSE)=0,"Spatial Data Missing",VLOOKUP(V45,'G-7 Rivers Data'!$AA$4:$AB$7,2,FALSE)))</f>
        <v/>
      </c>
      <c r="X45" s="187"/>
      <c r="Y45" s="172" t="str">
        <f>IF(X45="","",IF(VLOOKUP(X45,'G-7 Rivers Data'!$AD$4:$AE$8,2,FALSE)=0,"Enrcoachment Data Missing",VLOOKUP(X45,'G-7 Rivers Data'!$AD$4:$AE$8,2,FALSE)))</f>
        <v/>
      </c>
      <c r="Z45" s="265" t="str">
        <f t="shared" si="6"/>
        <v/>
      </c>
      <c r="AA45" s="180"/>
      <c r="AB45" s="181"/>
      <c r="AH45" s="35" t="str">
        <f>IFERROR(INDEX('G-7 Rivers Data'!$AZ$3:$AZ$7,MATCH(C45,'G-7 Rivers Data'!$AY$3:$AY$7,0)),"")</f>
        <v/>
      </c>
    </row>
    <row r="46" spans="2:34" ht="13.8" x14ac:dyDescent="0.25">
      <c r="B46" s="168">
        <v>35</v>
      </c>
      <c r="C46" s="212"/>
      <c r="D46" s="213"/>
      <c r="E46" s="171" t="str">
        <f>IF(C46="","",VLOOKUP(C46,'G-7 Rivers Data'!$B$2:$G$8,2,FALSE))</f>
        <v/>
      </c>
      <c r="F46" s="172" t="str">
        <f>IFERROR(VLOOKUP(E46,'G-7 Rivers Data'!$C$4:$D$8,2,FALSE),"")</f>
        <v/>
      </c>
      <c r="G46" s="173"/>
      <c r="H46" s="172" t="str">
        <f>IFERROR(INDEX('G-7 Rivers Data'!$H$4:$L$8,MATCH(C46,'G-7 Rivers Data'!$B$4:$B$8,0),MATCH(G46,'G-7 Rivers Data'!$H$3:$L$3,0)),"")</f>
        <v/>
      </c>
      <c r="I46" s="186"/>
      <c r="J46" s="175" t="str">
        <f>IF(I46="","",IF(VLOOKUP(I46,'G-7 Rivers Data'!$AG$4:$AI$9,2,FALSE)=0,"Spatial Data Missing",VLOOKUP(I46,'G-7 Rivers Data'!$AG$4:$AI$9,2,FALSE)))</f>
        <v/>
      </c>
      <c r="K46" s="176" t="str">
        <f>IF(I46="","",IF(VLOOKUP(I46,'G-7 Rivers Data'!$AG$4:$AI$9,3,FALSE)=0,"Spatial Data Missing",VLOOKUP(I46,'G-7 Rivers Data'!$AG$4:$AI$9,3,FALSE)))</f>
        <v/>
      </c>
      <c r="L46" s="171" t="str">
        <f>IFERROR(INDEX('G-7 Rivers Data'!$O$3:$O$7,MATCH(G46,'G-7 Rivers Data'!$N$3:$N$7,0)),"")</f>
        <v/>
      </c>
      <c r="M46" s="94"/>
      <c r="N46" s="261"/>
      <c r="O46" s="175" t="str">
        <f t="shared" si="1"/>
        <v/>
      </c>
      <c r="P46" s="242" t="str">
        <f t="shared" si="2"/>
        <v/>
      </c>
      <c r="Q46" s="383" t="str">
        <f>IFERROR(IF(P46="Check Data","Check Data",VLOOKUP(P46,'G-4 Temporal multipliers'!$A$4:$C$37,3,FALSE)),"")</f>
        <v/>
      </c>
      <c r="R46" s="171" t="str">
        <f>IF(C46="","",VLOOKUP(C46,'G-7 Rivers Data'!$B$4:$G$8,4,FALSE))</f>
        <v/>
      </c>
      <c r="S46" s="179" t="str">
        <f t="shared" si="3"/>
        <v/>
      </c>
      <c r="T46" s="269" t="str">
        <f t="shared" si="4"/>
        <v/>
      </c>
      <c r="U46" s="172" t="str">
        <f t="shared" si="5"/>
        <v/>
      </c>
      <c r="V46" s="79"/>
      <c r="W46" s="172" t="str">
        <f>IF(V46="","",IF(VLOOKUP(V46,'G-7 Rivers Data'!$AA$4:$AB$7,2,FALSE)=0,"Spatial Data Missing",VLOOKUP(V46,'G-7 Rivers Data'!$AA$4:$AB$7,2,FALSE)))</f>
        <v/>
      </c>
      <c r="X46" s="187"/>
      <c r="Y46" s="172" t="str">
        <f>IF(X46="","",IF(VLOOKUP(X46,'G-7 Rivers Data'!$AD$4:$AE$8,2,FALSE)=0,"Enrcoachment Data Missing",VLOOKUP(X46,'G-7 Rivers Data'!$AD$4:$AE$8,2,FALSE)))</f>
        <v/>
      </c>
      <c r="Z46" s="265" t="str">
        <f t="shared" si="6"/>
        <v/>
      </c>
      <c r="AA46" s="180"/>
      <c r="AB46" s="181"/>
      <c r="AH46" s="35" t="str">
        <f>IFERROR(INDEX('G-7 Rivers Data'!$AZ$3:$AZ$7,MATCH(C46,'G-7 Rivers Data'!$AY$3:$AY$7,0)),"")</f>
        <v/>
      </c>
    </row>
    <row r="47" spans="2:34" ht="13.8" x14ac:dyDescent="0.25">
      <c r="B47" s="168">
        <v>36</v>
      </c>
      <c r="C47" s="212"/>
      <c r="D47" s="213"/>
      <c r="E47" s="171" t="str">
        <f>IF(C47="","",VLOOKUP(C47,'G-7 Rivers Data'!$B$2:$G$8,2,FALSE))</f>
        <v/>
      </c>
      <c r="F47" s="172" t="str">
        <f>IFERROR(VLOOKUP(E47,'G-7 Rivers Data'!$C$4:$D$8,2,FALSE),"")</f>
        <v/>
      </c>
      <c r="G47" s="173"/>
      <c r="H47" s="172" t="str">
        <f>IFERROR(INDEX('G-7 Rivers Data'!$H$4:$L$8,MATCH(C47,'G-7 Rivers Data'!$B$4:$B$8,0),MATCH(G47,'G-7 Rivers Data'!$H$3:$L$3,0)),"")</f>
        <v/>
      </c>
      <c r="I47" s="186"/>
      <c r="J47" s="175" t="str">
        <f>IF(I47="","",IF(VLOOKUP(I47,'G-7 Rivers Data'!$AG$4:$AI$9,2,FALSE)=0,"Spatial Data Missing",VLOOKUP(I47,'G-7 Rivers Data'!$AG$4:$AI$9,2,FALSE)))</f>
        <v/>
      </c>
      <c r="K47" s="176" t="str">
        <f>IF(I47="","",IF(VLOOKUP(I47,'G-7 Rivers Data'!$AG$4:$AI$9,3,FALSE)=0,"Spatial Data Missing",VLOOKUP(I47,'G-7 Rivers Data'!$AG$4:$AI$9,3,FALSE)))</f>
        <v/>
      </c>
      <c r="L47" s="171" t="str">
        <f>IFERROR(INDEX('G-7 Rivers Data'!$O$3:$O$7,MATCH(G47,'G-7 Rivers Data'!$N$3:$N$7,0)),"")</f>
        <v/>
      </c>
      <c r="M47" s="94"/>
      <c r="N47" s="261"/>
      <c r="O47" s="175" t="str">
        <f t="shared" si="1"/>
        <v/>
      </c>
      <c r="P47" s="242" t="str">
        <f t="shared" si="2"/>
        <v/>
      </c>
      <c r="Q47" s="383" t="str">
        <f>IFERROR(IF(P47="Check Data","Check Data",VLOOKUP(P47,'G-4 Temporal multipliers'!$A$4:$C$37,3,FALSE)),"")</f>
        <v/>
      </c>
      <c r="R47" s="171" t="str">
        <f>IF(C47="","",VLOOKUP(C47,'G-7 Rivers Data'!$B$4:$G$8,4,FALSE))</f>
        <v/>
      </c>
      <c r="S47" s="179" t="str">
        <f t="shared" si="3"/>
        <v/>
      </c>
      <c r="T47" s="269" t="str">
        <f t="shared" si="4"/>
        <v/>
      </c>
      <c r="U47" s="172" t="str">
        <f t="shared" si="5"/>
        <v/>
      </c>
      <c r="V47" s="79"/>
      <c r="W47" s="172" t="str">
        <f>IF(V47="","",IF(VLOOKUP(V47,'G-7 Rivers Data'!$AA$4:$AB$7,2,FALSE)=0,"Spatial Data Missing",VLOOKUP(V47,'G-7 Rivers Data'!$AA$4:$AB$7,2,FALSE)))</f>
        <v/>
      </c>
      <c r="X47" s="187"/>
      <c r="Y47" s="172" t="str">
        <f>IF(X47="","",IF(VLOOKUP(X47,'G-7 Rivers Data'!$AD$4:$AE$8,2,FALSE)=0,"Enrcoachment Data Missing",VLOOKUP(X47,'G-7 Rivers Data'!$AD$4:$AE$8,2,FALSE)))</f>
        <v/>
      </c>
      <c r="Z47" s="265" t="str">
        <f t="shared" si="6"/>
        <v/>
      </c>
      <c r="AA47" s="180"/>
      <c r="AB47" s="181"/>
      <c r="AH47" s="35" t="str">
        <f>IFERROR(INDEX('G-7 Rivers Data'!$AZ$3:$AZ$7,MATCH(C47,'G-7 Rivers Data'!$AY$3:$AY$7,0)),"")</f>
        <v/>
      </c>
    </row>
    <row r="48" spans="2:34" ht="13.8" x14ac:dyDescent="0.25">
      <c r="B48" s="168">
        <v>37</v>
      </c>
      <c r="C48" s="212"/>
      <c r="D48" s="213"/>
      <c r="E48" s="171" t="str">
        <f>IF(C48="","",VLOOKUP(C48,'G-7 Rivers Data'!$B$2:$G$8,2,FALSE))</f>
        <v/>
      </c>
      <c r="F48" s="172" t="str">
        <f>IFERROR(VLOOKUP(E48,'G-7 Rivers Data'!$C$4:$D$8,2,FALSE),"")</f>
        <v/>
      </c>
      <c r="G48" s="173"/>
      <c r="H48" s="172" t="str">
        <f>IFERROR(INDEX('G-7 Rivers Data'!$H$4:$L$8,MATCH(C48,'G-7 Rivers Data'!$B$4:$B$8,0),MATCH(G48,'G-7 Rivers Data'!$H$3:$L$3,0)),"")</f>
        <v/>
      </c>
      <c r="I48" s="186"/>
      <c r="J48" s="175" t="str">
        <f>IF(I48="","",IF(VLOOKUP(I48,'G-7 Rivers Data'!$AG$4:$AI$9,2,FALSE)=0,"Spatial Data Missing",VLOOKUP(I48,'G-7 Rivers Data'!$AG$4:$AI$9,2,FALSE)))</f>
        <v/>
      </c>
      <c r="K48" s="176" t="str">
        <f>IF(I48="","",IF(VLOOKUP(I48,'G-7 Rivers Data'!$AG$4:$AI$9,3,FALSE)=0,"Spatial Data Missing",VLOOKUP(I48,'G-7 Rivers Data'!$AG$4:$AI$9,3,FALSE)))</f>
        <v/>
      </c>
      <c r="L48" s="171" t="str">
        <f>IFERROR(INDEX('G-7 Rivers Data'!$O$3:$O$7,MATCH(G48,'G-7 Rivers Data'!$N$3:$N$7,0)),"")</f>
        <v/>
      </c>
      <c r="M48" s="94"/>
      <c r="N48" s="261"/>
      <c r="O48" s="175" t="str">
        <f t="shared" si="1"/>
        <v/>
      </c>
      <c r="P48" s="242" t="str">
        <f t="shared" si="2"/>
        <v/>
      </c>
      <c r="Q48" s="383" t="str">
        <f>IFERROR(IF(P48="Check Data","Check Data",VLOOKUP(P48,'G-4 Temporal multipliers'!$A$4:$C$37,3,FALSE)),"")</f>
        <v/>
      </c>
      <c r="R48" s="171" t="str">
        <f>IF(C48="","",VLOOKUP(C48,'G-7 Rivers Data'!$B$4:$G$8,4,FALSE))</f>
        <v/>
      </c>
      <c r="S48" s="179" t="str">
        <f t="shared" si="3"/>
        <v/>
      </c>
      <c r="T48" s="269" t="str">
        <f t="shared" si="4"/>
        <v/>
      </c>
      <c r="U48" s="172" t="str">
        <f t="shared" si="5"/>
        <v/>
      </c>
      <c r="V48" s="79"/>
      <c r="W48" s="172" t="str">
        <f>IF(V48="","",IF(VLOOKUP(V48,'G-7 Rivers Data'!$AA$4:$AB$7,2,FALSE)=0,"Spatial Data Missing",VLOOKUP(V48,'G-7 Rivers Data'!$AA$4:$AB$7,2,FALSE)))</f>
        <v/>
      </c>
      <c r="X48" s="187"/>
      <c r="Y48" s="172" t="str">
        <f>IF(X48="","",IF(VLOOKUP(X48,'G-7 Rivers Data'!$AD$4:$AE$8,2,FALSE)=0,"Enrcoachment Data Missing",VLOOKUP(X48,'G-7 Rivers Data'!$AD$4:$AE$8,2,FALSE)))</f>
        <v/>
      </c>
      <c r="Z48" s="265" t="str">
        <f t="shared" si="6"/>
        <v/>
      </c>
      <c r="AA48" s="180"/>
      <c r="AB48" s="181"/>
      <c r="AH48" s="35" t="str">
        <f>IFERROR(INDEX('G-7 Rivers Data'!$AZ$3:$AZ$7,MATCH(C48,'G-7 Rivers Data'!$AY$3:$AY$7,0)),"")</f>
        <v/>
      </c>
    </row>
    <row r="49" spans="2:34" ht="13.8" x14ac:dyDescent="0.25">
      <c r="B49" s="168">
        <v>38</v>
      </c>
      <c r="C49" s="212"/>
      <c r="D49" s="213"/>
      <c r="E49" s="171" t="str">
        <f>IF(C49="","",VLOOKUP(C49,'G-7 Rivers Data'!$B$2:$G$8,2,FALSE))</f>
        <v/>
      </c>
      <c r="F49" s="172" t="str">
        <f>IFERROR(VLOOKUP(E49,'G-7 Rivers Data'!$C$4:$D$8,2,FALSE),"")</f>
        <v/>
      </c>
      <c r="G49" s="173"/>
      <c r="H49" s="172" t="str">
        <f>IFERROR(INDEX('G-7 Rivers Data'!$H$4:$L$8,MATCH(C49,'G-7 Rivers Data'!$B$4:$B$8,0),MATCH(G49,'G-7 Rivers Data'!$H$3:$L$3,0)),"")</f>
        <v/>
      </c>
      <c r="I49" s="186"/>
      <c r="J49" s="175" t="str">
        <f>IF(I49="","",IF(VLOOKUP(I49,'G-7 Rivers Data'!$AG$4:$AI$9,2,FALSE)=0,"Spatial Data Missing",VLOOKUP(I49,'G-7 Rivers Data'!$AG$4:$AI$9,2,FALSE)))</f>
        <v/>
      </c>
      <c r="K49" s="176" t="str">
        <f>IF(I49="","",IF(VLOOKUP(I49,'G-7 Rivers Data'!$AG$4:$AI$9,3,FALSE)=0,"Spatial Data Missing",VLOOKUP(I49,'G-7 Rivers Data'!$AG$4:$AI$9,3,FALSE)))</f>
        <v/>
      </c>
      <c r="L49" s="171" t="str">
        <f>IFERROR(INDEX('G-7 Rivers Data'!$O$3:$O$7,MATCH(G49,'G-7 Rivers Data'!$N$3:$N$7,0)),"")</f>
        <v/>
      </c>
      <c r="M49" s="94"/>
      <c r="N49" s="261"/>
      <c r="O49" s="175" t="str">
        <f t="shared" si="1"/>
        <v/>
      </c>
      <c r="P49" s="242" t="str">
        <f t="shared" si="2"/>
        <v/>
      </c>
      <c r="Q49" s="383" t="str">
        <f>IFERROR(IF(P49="Check Data","Check Data",VLOOKUP(P49,'G-4 Temporal multipliers'!$A$4:$C$37,3,FALSE)),"")</f>
        <v/>
      </c>
      <c r="R49" s="171" t="str">
        <f>IF(C49="","",VLOOKUP(C49,'G-7 Rivers Data'!$B$4:$G$8,4,FALSE))</f>
        <v/>
      </c>
      <c r="S49" s="179" t="str">
        <f t="shared" si="3"/>
        <v/>
      </c>
      <c r="T49" s="269" t="str">
        <f t="shared" si="4"/>
        <v/>
      </c>
      <c r="U49" s="172" t="str">
        <f t="shared" si="5"/>
        <v/>
      </c>
      <c r="V49" s="79"/>
      <c r="W49" s="172" t="str">
        <f>IF(V49="","",IF(VLOOKUP(V49,'G-7 Rivers Data'!$AA$4:$AB$7,2,FALSE)=0,"Spatial Data Missing",VLOOKUP(V49,'G-7 Rivers Data'!$AA$4:$AB$7,2,FALSE)))</f>
        <v/>
      </c>
      <c r="X49" s="187"/>
      <c r="Y49" s="172" t="str">
        <f>IF(X49="","",IF(VLOOKUP(X49,'G-7 Rivers Data'!$AD$4:$AE$8,2,FALSE)=0,"Enrcoachment Data Missing",VLOOKUP(X49,'G-7 Rivers Data'!$AD$4:$AE$8,2,FALSE)))</f>
        <v/>
      </c>
      <c r="Z49" s="265" t="str">
        <f t="shared" si="6"/>
        <v/>
      </c>
      <c r="AA49" s="180"/>
      <c r="AB49" s="181"/>
      <c r="AH49" s="35" t="str">
        <f>IFERROR(INDEX('G-7 Rivers Data'!$AZ$3:$AZ$7,MATCH(C49,'G-7 Rivers Data'!$AY$3:$AY$7,0)),"")</f>
        <v/>
      </c>
    </row>
    <row r="50" spans="2:34" ht="13.8" x14ac:dyDescent="0.25">
      <c r="B50" s="168">
        <v>39</v>
      </c>
      <c r="C50" s="212"/>
      <c r="D50" s="213"/>
      <c r="E50" s="171" t="str">
        <f>IF(C50="","",VLOOKUP(C50,'G-7 Rivers Data'!$B$2:$G$8,2,FALSE))</f>
        <v/>
      </c>
      <c r="F50" s="172" t="str">
        <f>IFERROR(VLOOKUP(E50,'G-7 Rivers Data'!$C$4:$D$8,2,FALSE),"")</f>
        <v/>
      </c>
      <c r="G50" s="173"/>
      <c r="H50" s="172" t="str">
        <f>IFERROR(INDEX('G-7 Rivers Data'!$H$4:$L$8,MATCH(C50,'G-7 Rivers Data'!$B$4:$B$8,0),MATCH(G50,'G-7 Rivers Data'!$H$3:$L$3,0)),"")</f>
        <v/>
      </c>
      <c r="I50" s="186"/>
      <c r="J50" s="175" t="str">
        <f>IF(I50="","",IF(VLOOKUP(I50,'G-7 Rivers Data'!$AG$4:$AI$9,2,FALSE)=0,"Spatial Data Missing",VLOOKUP(I50,'G-7 Rivers Data'!$AG$4:$AI$9,2,FALSE)))</f>
        <v/>
      </c>
      <c r="K50" s="176" t="str">
        <f>IF(I50="","",IF(VLOOKUP(I50,'G-7 Rivers Data'!$AG$4:$AI$9,3,FALSE)=0,"Spatial Data Missing",VLOOKUP(I50,'G-7 Rivers Data'!$AG$4:$AI$9,3,FALSE)))</f>
        <v/>
      </c>
      <c r="L50" s="171" t="str">
        <f>IFERROR(INDEX('G-7 Rivers Data'!$O$3:$O$7,MATCH(G50,'G-7 Rivers Data'!$N$3:$N$7,0)),"")</f>
        <v/>
      </c>
      <c r="M50" s="94"/>
      <c r="N50" s="261"/>
      <c r="O50" s="175" t="str">
        <f t="shared" si="1"/>
        <v/>
      </c>
      <c r="P50" s="242" t="str">
        <f t="shared" si="2"/>
        <v/>
      </c>
      <c r="Q50" s="383" t="str">
        <f>IFERROR(IF(P50="Check Data","Check Data",VLOOKUP(P50,'G-4 Temporal multipliers'!$A$4:$C$37,3,FALSE)),"")</f>
        <v/>
      </c>
      <c r="R50" s="171" t="str">
        <f>IF(C50="","",VLOOKUP(C50,'G-7 Rivers Data'!$B$4:$G$8,4,FALSE))</f>
        <v/>
      </c>
      <c r="S50" s="179" t="str">
        <f t="shared" si="3"/>
        <v/>
      </c>
      <c r="T50" s="269" t="str">
        <f t="shared" si="4"/>
        <v/>
      </c>
      <c r="U50" s="172" t="str">
        <f t="shared" si="5"/>
        <v/>
      </c>
      <c r="V50" s="79"/>
      <c r="W50" s="172" t="str">
        <f>IF(V50="","",IF(VLOOKUP(V50,'G-7 Rivers Data'!$AA$4:$AB$7,2,FALSE)=0,"Spatial Data Missing",VLOOKUP(V50,'G-7 Rivers Data'!$AA$4:$AB$7,2,FALSE)))</f>
        <v/>
      </c>
      <c r="X50" s="187"/>
      <c r="Y50" s="172" t="str">
        <f>IF(X50="","",IF(VLOOKUP(X50,'G-7 Rivers Data'!$AD$4:$AE$8,2,FALSE)=0,"Enrcoachment Data Missing",VLOOKUP(X50,'G-7 Rivers Data'!$AD$4:$AE$8,2,FALSE)))</f>
        <v/>
      </c>
      <c r="Z50" s="265" t="str">
        <f t="shared" si="6"/>
        <v/>
      </c>
      <c r="AA50" s="180"/>
      <c r="AB50" s="181"/>
      <c r="AH50" s="35" t="str">
        <f>IFERROR(INDEX('G-7 Rivers Data'!$AZ$3:$AZ$7,MATCH(C50,'G-7 Rivers Data'!$AY$3:$AY$7,0)),"")</f>
        <v/>
      </c>
    </row>
    <row r="51" spans="2:34" ht="13.8" x14ac:dyDescent="0.25">
      <c r="B51" s="168">
        <v>40</v>
      </c>
      <c r="C51" s="212"/>
      <c r="D51" s="213"/>
      <c r="E51" s="171" t="str">
        <f>IF(C51="","",VLOOKUP(C51,'G-7 Rivers Data'!$B$2:$G$8,2,FALSE))</f>
        <v/>
      </c>
      <c r="F51" s="172" t="str">
        <f>IFERROR(VLOOKUP(E51,'G-7 Rivers Data'!$C$4:$D$8,2,FALSE),"")</f>
        <v/>
      </c>
      <c r="G51" s="173"/>
      <c r="H51" s="172" t="str">
        <f>IFERROR(INDEX('G-7 Rivers Data'!$H$4:$L$8,MATCH(C51,'G-7 Rivers Data'!$B$4:$B$8,0),MATCH(G51,'G-7 Rivers Data'!$H$3:$L$3,0)),"")</f>
        <v/>
      </c>
      <c r="I51" s="186"/>
      <c r="J51" s="175" t="str">
        <f>IF(I51="","",IF(VLOOKUP(I51,'G-7 Rivers Data'!$AG$4:$AI$9,2,FALSE)=0,"Spatial Data Missing",VLOOKUP(I51,'G-7 Rivers Data'!$AG$4:$AI$9,2,FALSE)))</f>
        <v/>
      </c>
      <c r="K51" s="176" t="str">
        <f>IF(I51="","",IF(VLOOKUP(I51,'G-7 Rivers Data'!$AG$4:$AI$9,3,FALSE)=0,"Spatial Data Missing",VLOOKUP(I51,'G-7 Rivers Data'!$AG$4:$AI$9,3,FALSE)))</f>
        <v/>
      </c>
      <c r="L51" s="171" t="str">
        <f>IFERROR(INDEX('G-7 Rivers Data'!$O$3:$O$7,MATCH(G51,'G-7 Rivers Data'!$N$3:$N$7,0)),"")</f>
        <v/>
      </c>
      <c r="M51" s="94"/>
      <c r="N51" s="261"/>
      <c r="O51" s="175" t="str">
        <f t="shared" si="1"/>
        <v/>
      </c>
      <c r="P51" s="242" t="str">
        <f t="shared" si="2"/>
        <v/>
      </c>
      <c r="Q51" s="383" t="str">
        <f>IFERROR(IF(P51="Check Data","Check Data",VLOOKUP(P51,'G-4 Temporal multipliers'!$A$4:$C$37,3,FALSE)),"")</f>
        <v/>
      </c>
      <c r="R51" s="171" t="str">
        <f>IF(C51="","",VLOOKUP(C51,'G-7 Rivers Data'!$B$4:$G$8,4,FALSE))</f>
        <v/>
      </c>
      <c r="S51" s="179" t="str">
        <f t="shared" si="3"/>
        <v/>
      </c>
      <c r="T51" s="269" t="str">
        <f t="shared" si="4"/>
        <v/>
      </c>
      <c r="U51" s="172" t="str">
        <f t="shared" si="5"/>
        <v/>
      </c>
      <c r="V51" s="79"/>
      <c r="W51" s="172" t="str">
        <f>IF(V51="","",IF(VLOOKUP(V51,'G-7 Rivers Data'!$AA$4:$AB$7,2,FALSE)=0,"Spatial Data Missing",VLOOKUP(V51,'G-7 Rivers Data'!$AA$4:$AB$7,2,FALSE)))</f>
        <v/>
      </c>
      <c r="X51" s="187"/>
      <c r="Y51" s="172" t="str">
        <f>IF(X51="","",IF(VLOOKUP(X51,'G-7 Rivers Data'!$AD$4:$AE$8,2,FALSE)=0,"Enrcoachment Data Missing",VLOOKUP(X51,'G-7 Rivers Data'!$AD$4:$AE$8,2,FALSE)))</f>
        <v/>
      </c>
      <c r="Z51" s="265" t="str">
        <f t="shared" si="6"/>
        <v/>
      </c>
      <c r="AA51" s="180"/>
      <c r="AB51" s="181"/>
      <c r="AH51" s="35" t="str">
        <f>IFERROR(INDEX('G-7 Rivers Data'!$AZ$3:$AZ$7,MATCH(C51,'G-7 Rivers Data'!$AY$3:$AY$7,0)),"")</f>
        <v/>
      </c>
    </row>
    <row r="52" spans="2:34" ht="13.8" x14ac:dyDescent="0.25">
      <c r="B52" s="168">
        <v>41</v>
      </c>
      <c r="C52" s="212"/>
      <c r="D52" s="213"/>
      <c r="E52" s="171" t="str">
        <f>IF(C52="","",VLOOKUP(C52,'G-7 Rivers Data'!$B$2:$G$8,2,FALSE))</f>
        <v/>
      </c>
      <c r="F52" s="172" t="str">
        <f>IFERROR(VLOOKUP(E52,'G-7 Rivers Data'!$C$4:$D$8,2,FALSE),"")</f>
        <v/>
      </c>
      <c r="G52" s="173"/>
      <c r="H52" s="172" t="str">
        <f>IFERROR(INDEX('G-7 Rivers Data'!$H$4:$L$8,MATCH(C52,'G-7 Rivers Data'!$B$4:$B$8,0),MATCH(G52,'G-7 Rivers Data'!$H$3:$L$3,0)),"")</f>
        <v/>
      </c>
      <c r="I52" s="186"/>
      <c r="J52" s="175" t="str">
        <f>IF(I52="","",IF(VLOOKUP(I52,'G-7 Rivers Data'!$AG$4:$AI$9,2,FALSE)=0,"Spatial Data Missing",VLOOKUP(I52,'G-7 Rivers Data'!$AG$4:$AI$9,2,FALSE)))</f>
        <v/>
      </c>
      <c r="K52" s="176" t="str">
        <f>IF(I52="","",IF(VLOOKUP(I52,'G-7 Rivers Data'!$AG$4:$AI$9,3,FALSE)=0,"Spatial Data Missing",VLOOKUP(I52,'G-7 Rivers Data'!$AG$4:$AI$9,3,FALSE)))</f>
        <v/>
      </c>
      <c r="L52" s="171" t="str">
        <f>IFERROR(INDEX('G-7 Rivers Data'!$O$3:$O$7,MATCH(G52,'G-7 Rivers Data'!$N$3:$N$7,0)),"")</f>
        <v/>
      </c>
      <c r="M52" s="94"/>
      <c r="N52" s="261"/>
      <c r="O52" s="175" t="str">
        <f t="shared" si="1"/>
        <v/>
      </c>
      <c r="P52" s="242" t="str">
        <f t="shared" si="2"/>
        <v/>
      </c>
      <c r="Q52" s="383" t="str">
        <f>IFERROR(IF(P52="Check Data","Check Data",VLOOKUP(P52,'G-4 Temporal multipliers'!$A$4:$C$37,3,FALSE)),"")</f>
        <v/>
      </c>
      <c r="R52" s="171" t="str">
        <f>IF(C52="","",VLOOKUP(C52,'G-7 Rivers Data'!$B$4:$G$8,4,FALSE))</f>
        <v/>
      </c>
      <c r="S52" s="179" t="str">
        <f t="shared" si="3"/>
        <v/>
      </c>
      <c r="T52" s="269" t="str">
        <f t="shared" si="4"/>
        <v/>
      </c>
      <c r="U52" s="172" t="str">
        <f t="shared" si="5"/>
        <v/>
      </c>
      <c r="V52" s="79"/>
      <c r="W52" s="172" t="str">
        <f>IF(V52="","",IF(VLOOKUP(V52,'G-7 Rivers Data'!$AA$4:$AB$7,2,FALSE)=0,"Spatial Data Missing",VLOOKUP(V52,'G-7 Rivers Data'!$AA$4:$AB$7,2,FALSE)))</f>
        <v/>
      </c>
      <c r="X52" s="187"/>
      <c r="Y52" s="172" t="str">
        <f>IF(X52="","",IF(VLOOKUP(X52,'G-7 Rivers Data'!$AD$4:$AE$8,2,FALSE)=0,"Enrcoachment Data Missing",VLOOKUP(X52,'G-7 Rivers Data'!$AD$4:$AE$8,2,FALSE)))</f>
        <v/>
      </c>
      <c r="Z52" s="265" t="str">
        <f t="shared" si="6"/>
        <v/>
      </c>
      <c r="AA52" s="180"/>
      <c r="AB52" s="181"/>
      <c r="AH52" s="35" t="str">
        <f>IFERROR(INDEX('G-7 Rivers Data'!$AZ$3:$AZ$7,MATCH(C52,'G-7 Rivers Data'!$AY$3:$AY$7,0)),"")</f>
        <v/>
      </c>
    </row>
    <row r="53" spans="2:34" ht="13.8" x14ac:dyDescent="0.25">
      <c r="B53" s="168">
        <v>42</v>
      </c>
      <c r="C53" s="212"/>
      <c r="D53" s="213"/>
      <c r="E53" s="171" t="str">
        <f>IF(C53="","",VLOOKUP(C53,'G-7 Rivers Data'!$B$2:$G$8,2,FALSE))</f>
        <v/>
      </c>
      <c r="F53" s="172" t="str">
        <f>IFERROR(VLOOKUP(E53,'G-7 Rivers Data'!$C$4:$D$8,2,FALSE),"")</f>
        <v/>
      </c>
      <c r="G53" s="173"/>
      <c r="H53" s="172" t="str">
        <f>IFERROR(INDEX('G-7 Rivers Data'!$H$4:$L$8,MATCH(C53,'G-7 Rivers Data'!$B$4:$B$8,0),MATCH(G53,'G-7 Rivers Data'!$H$3:$L$3,0)),"")</f>
        <v/>
      </c>
      <c r="I53" s="186"/>
      <c r="J53" s="175" t="str">
        <f>IF(I53="","",IF(VLOOKUP(I53,'G-7 Rivers Data'!$AG$4:$AI$9,2,FALSE)=0,"Spatial Data Missing",VLOOKUP(I53,'G-7 Rivers Data'!$AG$4:$AI$9,2,FALSE)))</f>
        <v/>
      </c>
      <c r="K53" s="176" t="str">
        <f>IF(I53="","",IF(VLOOKUP(I53,'G-7 Rivers Data'!$AG$4:$AI$9,3,FALSE)=0,"Spatial Data Missing",VLOOKUP(I53,'G-7 Rivers Data'!$AG$4:$AI$9,3,FALSE)))</f>
        <v/>
      </c>
      <c r="L53" s="171" t="str">
        <f>IFERROR(INDEX('G-7 Rivers Data'!$O$3:$O$7,MATCH(G53,'G-7 Rivers Data'!$N$3:$N$7,0)),"")</f>
        <v/>
      </c>
      <c r="M53" s="94"/>
      <c r="N53" s="261"/>
      <c r="O53" s="175" t="str">
        <f t="shared" si="1"/>
        <v/>
      </c>
      <c r="P53" s="242" t="str">
        <f t="shared" si="2"/>
        <v/>
      </c>
      <c r="Q53" s="383" t="str">
        <f>IFERROR(IF(P53="Check Data","Check Data",VLOOKUP(P53,'G-4 Temporal multipliers'!$A$4:$C$37,3,FALSE)),"")</f>
        <v/>
      </c>
      <c r="R53" s="171" t="str">
        <f>IF(C53="","",VLOOKUP(C53,'G-7 Rivers Data'!$B$4:$G$8,4,FALSE))</f>
        <v/>
      </c>
      <c r="S53" s="179" t="str">
        <f t="shared" si="3"/>
        <v/>
      </c>
      <c r="T53" s="269" t="str">
        <f t="shared" si="4"/>
        <v/>
      </c>
      <c r="U53" s="172" t="str">
        <f t="shared" si="5"/>
        <v/>
      </c>
      <c r="V53" s="79"/>
      <c r="W53" s="172" t="str">
        <f>IF(V53="","",IF(VLOOKUP(V53,'G-7 Rivers Data'!$AA$4:$AB$7,2,FALSE)=0,"Spatial Data Missing",VLOOKUP(V53,'G-7 Rivers Data'!$AA$4:$AB$7,2,FALSE)))</f>
        <v/>
      </c>
      <c r="X53" s="187"/>
      <c r="Y53" s="172" t="str">
        <f>IF(X53="","",IF(VLOOKUP(X53,'G-7 Rivers Data'!$AD$4:$AE$8,2,FALSE)=0,"Enrcoachment Data Missing",VLOOKUP(X53,'G-7 Rivers Data'!$AD$4:$AE$8,2,FALSE)))</f>
        <v/>
      </c>
      <c r="Z53" s="265" t="str">
        <f t="shared" si="6"/>
        <v/>
      </c>
      <c r="AA53" s="180"/>
      <c r="AB53" s="181"/>
      <c r="AH53" s="35" t="str">
        <f>IFERROR(INDEX('G-7 Rivers Data'!$AZ$3:$AZ$7,MATCH(C53,'G-7 Rivers Data'!$AY$3:$AY$7,0)),"")</f>
        <v/>
      </c>
    </row>
    <row r="54" spans="2:34" ht="13.8" x14ac:dyDescent="0.25">
      <c r="B54" s="168">
        <v>43</v>
      </c>
      <c r="C54" s="212"/>
      <c r="D54" s="213"/>
      <c r="E54" s="171" t="str">
        <f>IF(C54="","",VLOOKUP(C54,'G-7 Rivers Data'!$B$2:$G$8,2,FALSE))</f>
        <v/>
      </c>
      <c r="F54" s="172" t="str">
        <f>IFERROR(VLOOKUP(E54,'G-7 Rivers Data'!$C$4:$D$8,2,FALSE),"")</f>
        <v/>
      </c>
      <c r="G54" s="173"/>
      <c r="H54" s="172" t="str">
        <f>IFERROR(INDEX('G-7 Rivers Data'!$H$4:$L$8,MATCH(C54,'G-7 Rivers Data'!$B$4:$B$8,0),MATCH(G54,'G-7 Rivers Data'!$H$3:$L$3,0)),"")</f>
        <v/>
      </c>
      <c r="I54" s="186"/>
      <c r="J54" s="175" t="str">
        <f>IF(I54="","",IF(VLOOKUP(I54,'G-7 Rivers Data'!$AG$4:$AI$9,2,FALSE)=0,"Spatial Data Missing",VLOOKUP(I54,'G-7 Rivers Data'!$AG$4:$AI$9,2,FALSE)))</f>
        <v/>
      </c>
      <c r="K54" s="176" t="str">
        <f>IF(I54="","",IF(VLOOKUP(I54,'G-7 Rivers Data'!$AG$4:$AI$9,3,FALSE)=0,"Spatial Data Missing",VLOOKUP(I54,'G-7 Rivers Data'!$AG$4:$AI$9,3,FALSE)))</f>
        <v/>
      </c>
      <c r="L54" s="171" t="str">
        <f>IFERROR(INDEX('G-7 Rivers Data'!$O$3:$O$7,MATCH(G54,'G-7 Rivers Data'!$N$3:$N$7,0)),"")</f>
        <v/>
      </c>
      <c r="M54" s="94"/>
      <c r="N54" s="261"/>
      <c r="O54" s="175" t="str">
        <f t="shared" si="1"/>
        <v/>
      </c>
      <c r="P54" s="242" t="str">
        <f t="shared" si="2"/>
        <v/>
      </c>
      <c r="Q54" s="383" t="str">
        <f>IFERROR(IF(P54="Check Data","Check Data",VLOOKUP(P54,'G-4 Temporal multipliers'!$A$4:$C$37,3,FALSE)),"")</f>
        <v/>
      </c>
      <c r="R54" s="171" t="str">
        <f>IF(C54="","",VLOOKUP(C54,'G-7 Rivers Data'!$B$4:$G$8,4,FALSE))</f>
        <v/>
      </c>
      <c r="S54" s="179" t="str">
        <f t="shared" si="3"/>
        <v/>
      </c>
      <c r="T54" s="269" t="str">
        <f t="shared" si="4"/>
        <v/>
      </c>
      <c r="U54" s="172" t="str">
        <f t="shared" si="5"/>
        <v/>
      </c>
      <c r="V54" s="79"/>
      <c r="W54" s="172" t="str">
        <f>IF(V54="","",IF(VLOOKUP(V54,'G-7 Rivers Data'!$AA$4:$AB$7,2,FALSE)=0,"Spatial Data Missing",VLOOKUP(V54,'G-7 Rivers Data'!$AA$4:$AB$7,2,FALSE)))</f>
        <v/>
      </c>
      <c r="X54" s="187"/>
      <c r="Y54" s="172" t="str">
        <f>IF(X54="","",IF(VLOOKUP(X54,'G-7 Rivers Data'!$AD$4:$AE$8,2,FALSE)=0,"Enrcoachment Data Missing",VLOOKUP(X54,'G-7 Rivers Data'!$AD$4:$AE$8,2,FALSE)))</f>
        <v/>
      </c>
      <c r="Z54" s="265" t="str">
        <f t="shared" si="6"/>
        <v/>
      </c>
      <c r="AA54" s="180"/>
      <c r="AB54" s="181"/>
      <c r="AH54" s="35" t="str">
        <f>IFERROR(INDEX('G-7 Rivers Data'!$AZ$3:$AZ$7,MATCH(C54,'G-7 Rivers Data'!$AY$3:$AY$7,0)),"")</f>
        <v/>
      </c>
    </row>
    <row r="55" spans="2:34" ht="13.8" x14ac:dyDescent="0.25">
      <c r="B55" s="168">
        <v>44</v>
      </c>
      <c r="C55" s="212"/>
      <c r="D55" s="213"/>
      <c r="E55" s="171" t="str">
        <f>IF(C55="","",VLOOKUP(C55,'G-7 Rivers Data'!$B$2:$G$8,2,FALSE))</f>
        <v/>
      </c>
      <c r="F55" s="172" t="str">
        <f>IFERROR(VLOOKUP(E55,'G-7 Rivers Data'!$C$4:$D$8,2,FALSE),"")</f>
        <v/>
      </c>
      <c r="G55" s="173"/>
      <c r="H55" s="172" t="str">
        <f>IFERROR(INDEX('G-7 Rivers Data'!$H$4:$L$8,MATCH(C55,'G-7 Rivers Data'!$B$4:$B$8,0),MATCH(G55,'G-7 Rivers Data'!$H$3:$L$3,0)),"")</f>
        <v/>
      </c>
      <c r="I55" s="186"/>
      <c r="J55" s="175" t="str">
        <f>IF(I55="","",IF(VLOOKUP(I55,'G-7 Rivers Data'!$AG$4:$AI$9,2,FALSE)=0,"Spatial Data Missing",VLOOKUP(I55,'G-7 Rivers Data'!$AG$4:$AI$9,2,FALSE)))</f>
        <v/>
      </c>
      <c r="K55" s="176" t="str">
        <f>IF(I55="","",IF(VLOOKUP(I55,'G-7 Rivers Data'!$AG$4:$AI$9,3,FALSE)=0,"Spatial Data Missing",VLOOKUP(I55,'G-7 Rivers Data'!$AG$4:$AI$9,3,FALSE)))</f>
        <v/>
      </c>
      <c r="L55" s="171" t="str">
        <f>IFERROR(INDEX('G-7 Rivers Data'!$O$3:$O$7,MATCH(G55,'G-7 Rivers Data'!$N$3:$N$7,0)),"")</f>
        <v/>
      </c>
      <c r="M55" s="94"/>
      <c r="N55" s="261"/>
      <c r="O55" s="175" t="str">
        <f t="shared" si="1"/>
        <v/>
      </c>
      <c r="P55" s="242" t="str">
        <f t="shared" si="2"/>
        <v/>
      </c>
      <c r="Q55" s="383" t="str">
        <f>IFERROR(IF(P55="Check Data","Check Data",VLOOKUP(P55,'G-4 Temporal multipliers'!$A$4:$C$37,3,FALSE)),"")</f>
        <v/>
      </c>
      <c r="R55" s="171" t="str">
        <f>IF(C55="","",VLOOKUP(C55,'G-7 Rivers Data'!$B$4:$G$8,4,FALSE))</f>
        <v/>
      </c>
      <c r="S55" s="179" t="str">
        <f t="shared" si="3"/>
        <v/>
      </c>
      <c r="T55" s="269" t="str">
        <f t="shared" si="4"/>
        <v/>
      </c>
      <c r="U55" s="172" t="str">
        <f t="shared" si="5"/>
        <v/>
      </c>
      <c r="V55" s="79"/>
      <c r="W55" s="172" t="str">
        <f>IF(V55="","",IF(VLOOKUP(V55,'G-7 Rivers Data'!$AA$4:$AB$7,2,FALSE)=0,"Spatial Data Missing",VLOOKUP(V55,'G-7 Rivers Data'!$AA$4:$AB$7,2,FALSE)))</f>
        <v/>
      </c>
      <c r="X55" s="187"/>
      <c r="Y55" s="172" t="str">
        <f>IF(X55="","",IF(VLOOKUP(X55,'G-7 Rivers Data'!$AD$4:$AE$8,2,FALSE)=0,"Enrcoachment Data Missing",VLOOKUP(X55,'G-7 Rivers Data'!$AD$4:$AE$8,2,FALSE)))</f>
        <v/>
      </c>
      <c r="Z55" s="265" t="str">
        <f t="shared" si="6"/>
        <v/>
      </c>
      <c r="AA55" s="180"/>
      <c r="AB55" s="181"/>
      <c r="AH55" s="35" t="str">
        <f>IFERROR(INDEX('G-7 Rivers Data'!$AZ$3:$AZ$7,MATCH(C55,'G-7 Rivers Data'!$AY$3:$AY$7,0)),"")</f>
        <v/>
      </c>
    </row>
    <row r="56" spans="2:34" ht="13.8" x14ac:dyDescent="0.25">
      <c r="B56" s="168">
        <v>45</v>
      </c>
      <c r="C56" s="212"/>
      <c r="D56" s="213"/>
      <c r="E56" s="171" t="str">
        <f>IF(C56="","",VLOOKUP(C56,'G-7 Rivers Data'!$B$2:$G$8,2,FALSE))</f>
        <v/>
      </c>
      <c r="F56" s="172" t="str">
        <f>IFERROR(VLOOKUP(E56,'G-7 Rivers Data'!$C$4:$D$8,2,FALSE),"")</f>
        <v/>
      </c>
      <c r="G56" s="173"/>
      <c r="H56" s="172" t="str">
        <f>IFERROR(INDEX('G-7 Rivers Data'!$H$4:$L$8,MATCH(C56,'G-7 Rivers Data'!$B$4:$B$8,0),MATCH(G56,'G-7 Rivers Data'!$H$3:$L$3,0)),"")</f>
        <v/>
      </c>
      <c r="I56" s="186"/>
      <c r="J56" s="175" t="str">
        <f>IF(I56="","",IF(VLOOKUP(I56,'G-7 Rivers Data'!$AG$4:$AI$9,2,FALSE)=0,"Spatial Data Missing",VLOOKUP(I56,'G-7 Rivers Data'!$AG$4:$AI$9,2,FALSE)))</f>
        <v/>
      </c>
      <c r="K56" s="176" t="str">
        <f>IF(I56="","",IF(VLOOKUP(I56,'G-7 Rivers Data'!$AG$4:$AI$9,3,FALSE)=0,"Spatial Data Missing",VLOOKUP(I56,'G-7 Rivers Data'!$AG$4:$AI$9,3,FALSE)))</f>
        <v/>
      </c>
      <c r="L56" s="171" t="str">
        <f>IFERROR(INDEX('G-7 Rivers Data'!$O$3:$O$7,MATCH(G56,'G-7 Rivers Data'!$N$3:$N$7,0)),"")</f>
        <v/>
      </c>
      <c r="M56" s="94"/>
      <c r="N56" s="261"/>
      <c r="O56" s="175" t="str">
        <f t="shared" si="1"/>
        <v/>
      </c>
      <c r="P56" s="242" t="str">
        <f t="shared" si="2"/>
        <v/>
      </c>
      <c r="Q56" s="383" t="str">
        <f>IFERROR(IF(P56="Check Data","Check Data",VLOOKUP(P56,'G-4 Temporal multipliers'!$A$4:$C$37,3,FALSE)),"")</f>
        <v/>
      </c>
      <c r="R56" s="171" t="str">
        <f>IF(C56="","",VLOOKUP(C56,'G-7 Rivers Data'!$B$4:$G$8,4,FALSE))</f>
        <v/>
      </c>
      <c r="S56" s="179" t="str">
        <f t="shared" si="3"/>
        <v/>
      </c>
      <c r="T56" s="269" t="str">
        <f t="shared" si="4"/>
        <v/>
      </c>
      <c r="U56" s="172" t="str">
        <f t="shared" si="5"/>
        <v/>
      </c>
      <c r="V56" s="79"/>
      <c r="W56" s="172" t="str">
        <f>IF(V56="","",IF(VLOOKUP(V56,'G-7 Rivers Data'!$AA$4:$AB$7,2,FALSE)=0,"Spatial Data Missing",VLOOKUP(V56,'G-7 Rivers Data'!$AA$4:$AB$7,2,FALSE)))</f>
        <v/>
      </c>
      <c r="X56" s="187"/>
      <c r="Y56" s="172" t="str">
        <f>IF(X56="","",IF(VLOOKUP(X56,'G-7 Rivers Data'!$AD$4:$AE$8,2,FALSE)=0,"Enrcoachment Data Missing",VLOOKUP(X56,'G-7 Rivers Data'!$AD$4:$AE$8,2,FALSE)))</f>
        <v/>
      </c>
      <c r="Z56" s="265" t="str">
        <f t="shared" si="6"/>
        <v/>
      </c>
      <c r="AA56" s="180"/>
      <c r="AB56" s="181"/>
      <c r="AH56" s="35" t="str">
        <f>IFERROR(INDEX('G-7 Rivers Data'!$AZ$3:$AZ$7,MATCH(C56,'G-7 Rivers Data'!$AY$3:$AY$7,0)),"")</f>
        <v/>
      </c>
    </row>
    <row r="57" spans="2:34" ht="13.8" x14ac:dyDescent="0.25">
      <c r="B57" s="168">
        <v>46</v>
      </c>
      <c r="C57" s="212"/>
      <c r="D57" s="213"/>
      <c r="E57" s="171" t="str">
        <f>IF(C57="","",VLOOKUP(C57,'G-7 Rivers Data'!$B$2:$G$8,2,FALSE))</f>
        <v/>
      </c>
      <c r="F57" s="172" t="str">
        <f>IFERROR(VLOOKUP(E57,'G-7 Rivers Data'!$C$4:$D$8,2,FALSE),"")</f>
        <v/>
      </c>
      <c r="G57" s="173"/>
      <c r="H57" s="172" t="str">
        <f>IFERROR(INDEX('G-7 Rivers Data'!$H$4:$L$8,MATCH(C57,'G-7 Rivers Data'!$B$4:$B$8,0),MATCH(G57,'G-7 Rivers Data'!$H$3:$L$3,0)),"")</f>
        <v/>
      </c>
      <c r="I57" s="186"/>
      <c r="J57" s="175" t="str">
        <f>IF(I57="","",IF(VLOOKUP(I57,'G-7 Rivers Data'!$AG$4:$AI$9,2,FALSE)=0,"Spatial Data Missing",VLOOKUP(I57,'G-7 Rivers Data'!$AG$4:$AI$9,2,FALSE)))</f>
        <v/>
      </c>
      <c r="K57" s="176" t="str">
        <f>IF(I57="","",IF(VLOOKUP(I57,'G-7 Rivers Data'!$AG$4:$AI$9,3,FALSE)=0,"Spatial Data Missing",VLOOKUP(I57,'G-7 Rivers Data'!$AG$4:$AI$9,3,FALSE)))</f>
        <v/>
      </c>
      <c r="L57" s="171" t="str">
        <f>IFERROR(INDEX('G-7 Rivers Data'!$O$3:$O$7,MATCH(G57,'G-7 Rivers Data'!$N$3:$N$7,0)),"")</f>
        <v/>
      </c>
      <c r="M57" s="94"/>
      <c r="N57" s="261"/>
      <c r="O57" s="175" t="str">
        <f t="shared" si="1"/>
        <v/>
      </c>
      <c r="P57" s="242" t="str">
        <f t="shared" si="2"/>
        <v/>
      </c>
      <c r="Q57" s="383" t="str">
        <f>IFERROR(IF(P57="Check Data","Check Data",VLOOKUP(P57,'G-4 Temporal multipliers'!$A$4:$C$37,3,FALSE)),"")</f>
        <v/>
      </c>
      <c r="R57" s="171" t="str">
        <f>IF(C57="","",VLOOKUP(C57,'G-7 Rivers Data'!$B$4:$G$8,4,FALSE))</f>
        <v/>
      </c>
      <c r="S57" s="179" t="str">
        <f t="shared" si="3"/>
        <v/>
      </c>
      <c r="T57" s="269" t="str">
        <f t="shared" si="4"/>
        <v/>
      </c>
      <c r="U57" s="172" t="str">
        <f t="shared" si="5"/>
        <v/>
      </c>
      <c r="V57" s="79"/>
      <c r="W57" s="172" t="str">
        <f>IF(V57="","",IF(VLOOKUP(V57,'G-7 Rivers Data'!$AA$4:$AB$7,2,FALSE)=0,"Spatial Data Missing",VLOOKUP(V57,'G-7 Rivers Data'!$AA$4:$AB$7,2,FALSE)))</f>
        <v/>
      </c>
      <c r="X57" s="187"/>
      <c r="Y57" s="172" t="str">
        <f>IF(X57="","",IF(VLOOKUP(X57,'G-7 Rivers Data'!$AD$4:$AE$8,2,FALSE)=0,"Enrcoachment Data Missing",VLOOKUP(X57,'G-7 Rivers Data'!$AD$4:$AE$8,2,FALSE)))</f>
        <v/>
      </c>
      <c r="Z57" s="265" t="str">
        <f t="shared" si="6"/>
        <v/>
      </c>
      <c r="AA57" s="180"/>
      <c r="AB57" s="181"/>
      <c r="AH57" s="35" t="str">
        <f>IFERROR(INDEX('G-7 Rivers Data'!$AZ$3:$AZ$7,MATCH(C57,'G-7 Rivers Data'!$AY$3:$AY$7,0)),"")</f>
        <v/>
      </c>
    </row>
    <row r="58" spans="2:34" ht="13.8" x14ac:dyDescent="0.25">
      <c r="B58" s="168">
        <v>47</v>
      </c>
      <c r="C58" s="212"/>
      <c r="D58" s="213"/>
      <c r="E58" s="171" t="str">
        <f>IF(C58="","",VLOOKUP(C58,'G-7 Rivers Data'!$B$2:$G$8,2,FALSE))</f>
        <v/>
      </c>
      <c r="F58" s="172" t="str">
        <f>IFERROR(VLOOKUP(E58,'G-7 Rivers Data'!$C$4:$D$8,2,FALSE),"")</f>
        <v/>
      </c>
      <c r="G58" s="173"/>
      <c r="H58" s="172" t="str">
        <f>IFERROR(INDEX('G-7 Rivers Data'!$H$4:$L$8,MATCH(C58,'G-7 Rivers Data'!$B$4:$B$8,0),MATCH(G58,'G-7 Rivers Data'!$H$3:$L$3,0)),"")</f>
        <v/>
      </c>
      <c r="I58" s="186"/>
      <c r="J58" s="175" t="str">
        <f>IF(I58="","",IF(VLOOKUP(I58,'G-7 Rivers Data'!$AG$4:$AI$9,2,FALSE)=0,"Spatial Data Missing",VLOOKUP(I58,'G-7 Rivers Data'!$AG$4:$AI$9,2,FALSE)))</f>
        <v/>
      </c>
      <c r="K58" s="176" t="str">
        <f>IF(I58="","",IF(VLOOKUP(I58,'G-7 Rivers Data'!$AG$4:$AI$9,3,FALSE)=0,"Spatial Data Missing",VLOOKUP(I58,'G-7 Rivers Data'!$AG$4:$AI$9,3,FALSE)))</f>
        <v/>
      </c>
      <c r="L58" s="171" t="str">
        <f>IFERROR(INDEX('G-7 Rivers Data'!$O$3:$O$7,MATCH(G58,'G-7 Rivers Data'!$N$3:$N$7,0)),"")</f>
        <v/>
      </c>
      <c r="M58" s="94"/>
      <c r="N58" s="261"/>
      <c r="O58" s="175" t="str">
        <f t="shared" si="1"/>
        <v/>
      </c>
      <c r="P58" s="242" t="str">
        <f t="shared" si="2"/>
        <v/>
      </c>
      <c r="Q58" s="383" t="str">
        <f>IFERROR(IF(P58="Check Data","Check Data",VLOOKUP(P58,'G-4 Temporal multipliers'!$A$4:$C$37,3,FALSE)),"")</f>
        <v/>
      </c>
      <c r="R58" s="171" t="str">
        <f>IF(C58="","",VLOOKUP(C58,'G-7 Rivers Data'!$B$4:$G$8,4,FALSE))</f>
        <v/>
      </c>
      <c r="S58" s="179" t="str">
        <f t="shared" si="3"/>
        <v/>
      </c>
      <c r="T58" s="269" t="str">
        <f t="shared" si="4"/>
        <v/>
      </c>
      <c r="U58" s="172" t="str">
        <f t="shared" si="5"/>
        <v/>
      </c>
      <c r="V58" s="79"/>
      <c r="W58" s="172" t="str">
        <f>IF(V58="","",IF(VLOOKUP(V58,'G-7 Rivers Data'!$AA$4:$AB$7,2,FALSE)=0,"Spatial Data Missing",VLOOKUP(V58,'G-7 Rivers Data'!$AA$4:$AB$7,2,FALSE)))</f>
        <v/>
      </c>
      <c r="X58" s="187"/>
      <c r="Y58" s="172" t="str">
        <f>IF(X58="","",IF(VLOOKUP(X58,'G-7 Rivers Data'!$AD$4:$AE$8,2,FALSE)=0,"Enrcoachment Data Missing",VLOOKUP(X58,'G-7 Rivers Data'!$AD$4:$AE$8,2,FALSE)))</f>
        <v/>
      </c>
      <c r="Z58" s="265" t="str">
        <f t="shared" si="6"/>
        <v/>
      </c>
      <c r="AA58" s="180"/>
      <c r="AB58" s="181"/>
      <c r="AH58" s="35" t="str">
        <f>IFERROR(INDEX('G-7 Rivers Data'!$AZ$3:$AZ$7,MATCH(C58,'G-7 Rivers Data'!$AY$3:$AY$7,0)),"")</f>
        <v/>
      </c>
    </row>
    <row r="59" spans="2:34" ht="13.8" x14ac:dyDescent="0.25">
      <c r="B59" s="168">
        <v>48</v>
      </c>
      <c r="C59" s="212"/>
      <c r="D59" s="213"/>
      <c r="E59" s="171" t="str">
        <f>IF(C59="","",VLOOKUP(C59,'G-7 Rivers Data'!$B$2:$G$8,2,FALSE))</f>
        <v/>
      </c>
      <c r="F59" s="172" t="str">
        <f>IFERROR(VLOOKUP(E59,'G-7 Rivers Data'!$C$4:$D$8,2,FALSE),"")</f>
        <v/>
      </c>
      <c r="G59" s="173"/>
      <c r="H59" s="172" t="str">
        <f>IFERROR(INDEX('G-7 Rivers Data'!$H$4:$L$8,MATCH(C59,'G-7 Rivers Data'!$B$4:$B$8,0),MATCH(G59,'G-7 Rivers Data'!$H$3:$L$3,0)),"")</f>
        <v/>
      </c>
      <c r="I59" s="186"/>
      <c r="J59" s="175" t="str">
        <f>IF(I59="","",IF(VLOOKUP(I59,'G-7 Rivers Data'!$AG$4:$AI$9,2,FALSE)=0,"Spatial Data Missing",VLOOKUP(I59,'G-7 Rivers Data'!$AG$4:$AI$9,2,FALSE)))</f>
        <v/>
      </c>
      <c r="K59" s="176" t="str">
        <f>IF(I59="","",IF(VLOOKUP(I59,'G-7 Rivers Data'!$AG$4:$AI$9,3,FALSE)=0,"Spatial Data Missing",VLOOKUP(I59,'G-7 Rivers Data'!$AG$4:$AI$9,3,FALSE)))</f>
        <v/>
      </c>
      <c r="L59" s="171" t="str">
        <f>IFERROR(INDEX('G-7 Rivers Data'!$O$3:$O$7,MATCH(G59,'G-7 Rivers Data'!$N$3:$N$7,0)),"")</f>
        <v/>
      </c>
      <c r="M59" s="94"/>
      <c r="N59" s="261"/>
      <c r="O59" s="175" t="str">
        <f t="shared" si="1"/>
        <v/>
      </c>
      <c r="P59" s="242" t="str">
        <f t="shared" si="2"/>
        <v/>
      </c>
      <c r="Q59" s="383" t="str">
        <f>IFERROR(IF(P59="Check Data","Check Data",VLOOKUP(P59,'G-4 Temporal multipliers'!$A$4:$C$37,3,FALSE)),"")</f>
        <v/>
      </c>
      <c r="R59" s="171" t="str">
        <f>IF(C59="","",VLOOKUP(C59,'G-7 Rivers Data'!$B$4:$G$8,4,FALSE))</f>
        <v/>
      </c>
      <c r="S59" s="179" t="str">
        <f t="shared" si="3"/>
        <v/>
      </c>
      <c r="T59" s="269" t="str">
        <f t="shared" si="4"/>
        <v/>
      </c>
      <c r="U59" s="172" t="str">
        <f t="shared" si="5"/>
        <v/>
      </c>
      <c r="V59" s="79"/>
      <c r="W59" s="172" t="str">
        <f>IF(V59="","",IF(VLOOKUP(V59,'G-7 Rivers Data'!$AA$4:$AB$7,2,FALSE)=0,"Spatial Data Missing",VLOOKUP(V59,'G-7 Rivers Data'!$AA$4:$AB$7,2,FALSE)))</f>
        <v/>
      </c>
      <c r="X59" s="187"/>
      <c r="Y59" s="172" t="str">
        <f>IF(X59="","",IF(VLOOKUP(X59,'G-7 Rivers Data'!$AD$4:$AE$8,2,FALSE)=0,"Enrcoachment Data Missing",VLOOKUP(X59,'G-7 Rivers Data'!$AD$4:$AE$8,2,FALSE)))</f>
        <v/>
      </c>
      <c r="Z59" s="265" t="str">
        <f t="shared" si="6"/>
        <v/>
      </c>
      <c r="AA59" s="180"/>
      <c r="AB59" s="181"/>
      <c r="AH59" s="35" t="str">
        <f>IFERROR(INDEX('G-7 Rivers Data'!$AZ$3:$AZ$7,MATCH(C59,'G-7 Rivers Data'!$AY$3:$AY$7,0)),"")</f>
        <v/>
      </c>
    </row>
    <row r="60" spans="2:34" ht="13.8" x14ac:dyDescent="0.25">
      <c r="B60" s="168">
        <v>49</v>
      </c>
      <c r="C60" s="212"/>
      <c r="D60" s="213"/>
      <c r="E60" s="171" t="str">
        <f>IF(C60="","",VLOOKUP(C60,'G-7 Rivers Data'!$B$2:$G$8,2,FALSE))</f>
        <v/>
      </c>
      <c r="F60" s="172" t="str">
        <f>IFERROR(VLOOKUP(E60,'G-7 Rivers Data'!$C$4:$D$8,2,FALSE),"")</f>
        <v/>
      </c>
      <c r="G60" s="173"/>
      <c r="H60" s="172" t="str">
        <f>IFERROR(INDEX('G-7 Rivers Data'!$H$4:$L$8,MATCH(C60,'G-7 Rivers Data'!$B$4:$B$8,0),MATCH(G60,'G-7 Rivers Data'!$H$3:$L$3,0)),"")</f>
        <v/>
      </c>
      <c r="I60" s="186"/>
      <c r="J60" s="175" t="str">
        <f>IF(I60="","",IF(VLOOKUP(I60,'G-7 Rivers Data'!$AG$4:$AI$9,2,FALSE)=0,"Spatial Data Missing",VLOOKUP(I60,'G-7 Rivers Data'!$AG$4:$AI$9,2,FALSE)))</f>
        <v/>
      </c>
      <c r="K60" s="176" t="str">
        <f>IF(I60="","",IF(VLOOKUP(I60,'G-7 Rivers Data'!$AG$4:$AI$9,3,FALSE)=0,"Spatial Data Missing",VLOOKUP(I60,'G-7 Rivers Data'!$AG$4:$AI$9,3,FALSE)))</f>
        <v/>
      </c>
      <c r="L60" s="171" t="str">
        <f>IFERROR(INDEX('G-7 Rivers Data'!$O$3:$O$7,MATCH(G60,'G-7 Rivers Data'!$N$3:$N$7,0)),"")</f>
        <v/>
      </c>
      <c r="M60" s="94"/>
      <c r="N60" s="261"/>
      <c r="O60" s="175" t="str">
        <f t="shared" si="1"/>
        <v/>
      </c>
      <c r="P60" s="242" t="str">
        <f t="shared" si="2"/>
        <v/>
      </c>
      <c r="Q60" s="383" t="str">
        <f>IFERROR(IF(P60="Check Data","Check Data",VLOOKUP(P60,'G-4 Temporal multipliers'!$A$4:$C$37,3,FALSE)),"")</f>
        <v/>
      </c>
      <c r="R60" s="171" t="str">
        <f>IF(C60="","",VLOOKUP(C60,'G-7 Rivers Data'!$B$4:$G$8,4,FALSE))</f>
        <v/>
      </c>
      <c r="S60" s="179" t="str">
        <f t="shared" si="3"/>
        <v/>
      </c>
      <c r="T60" s="269" t="str">
        <f t="shared" si="4"/>
        <v/>
      </c>
      <c r="U60" s="172" t="str">
        <f t="shared" si="5"/>
        <v/>
      </c>
      <c r="V60" s="79"/>
      <c r="W60" s="172" t="str">
        <f>IF(V60="","",IF(VLOOKUP(V60,'G-7 Rivers Data'!$AA$4:$AB$7,2,FALSE)=0,"Spatial Data Missing",VLOOKUP(V60,'G-7 Rivers Data'!$AA$4:$AB$7,2,FALSE)))</f>
        <v/>
      </c>
      <c r="X60" s="187"/>
      <c r="Y60" s="172" t="str">
        <f>IF(X60="","",IF(VLOOKUP(X60,'G-7 Rivers Data'!$AD$4:$AE$8,2,FALSE)=0,"Enrcoachment Data Missing",VLOOKUP(X60,'G-7 Rivers Data'!$AD$4:$AE$8,2,FALSE)))</f>
        <v/>
      </c>
      <c r="Z60" s="265" t="str">
        <f t="shared" si="6"/>
        <v/>
      </c>
      <c r="AA60" s="180"/>
      <c r="AB60" s="181"/>
      <c r="AH60" s="35" t="str">
        <f>IFERROR(INDEX('G-7 Rivers Data'!$AZ$3:$AZ$7,MATCH(C60,'G-7 Rivers Data'!$AY$3:$AY$7,0)),"")</f>
        <v/>
      </c>
    </row>
    <row r="61" spans="2:34" ht="13.8" x14ac:dyDescent="0.25">
      <c r="B61" s="168">
        <v>50</v>
      </c>
      <c r="C61" s="212"/>
      <c r="D61" s="213"/>
      <c r="E61" s="171" t="str">
        <f>IF(C61="","",VLOOKUP(C61,'G-7 Rivers Data'!$B$2:$G$8,2,FALSE))</f>
        <v/>
      </c>
      <c r="F61" s="172" t="str">
        <f>IFERROR(VLOOKUP(E61,'G-7 Rivers Data'!$C$4:$D$8,2,FALSE),"")</f>
        <v/>
      </c>
      <c r="G61" s="173"/>
      <c r="H61" s="172" t="str">
        <f>IFERROR(INDEX('G-7 Rivers Data'!$H$4:$L$8,MATCH(C61,'G-7 Rivers Data'!$B$4:$B$8,0),MATCH(G61,'G-7 Rivers Data'!$H$3:$L$3,0)),"")</f>
        <v/>
      </c>
      <c r="I61" s="186"/>
      <c r="J61" s="175" t="str">
        <f>IF(I61="","",IF(VLOOKUP(I61,'G-7 Rivers Data'!$AG$4:$AI$9,2,FALSE)=0,"Spatial Data Missing",VLOOKUP(I61,'G-7 Rivers Data'!$AG$4:$AI$9,2,FALSE)))</f>
        <v/>
      </c>
      <c r="K61" s="176" t="str">
        <f>IF(I61="","",IF(VLOOKUP(I61,'G-7 Rivers Data'!$AG$4:$AI$9,3,FALSE)=0,"Spatial Data Missing",VLOOKUP(I61,'G-7 Rivers Data'!$AG$4:$AI$9,3,FALSE)))</f>
        <v/>
      </c>
      <c r="L61" s="171" t="str">
        <f>IFERROR(INDEX('G-7 Rivers Data'!$O$3:$O$7,MATCH(G61,'G-7 Rivers Data'!$N$3:$N$7,0)),"")</f>
        <v/>
      </c>
      <c r="M61" s="94"/>
      <c r="N61" s="261"/>
      <c r="O61" s="175" t="str">
        <f t="shared" si="1"/>
        <v/>
      </c>
      <c r="P61" s="242" t="str">
        <f t="shared" si="2"/>
        <v/>
      </c>
      <c r="Q61" s="383" t="str">
        <f>IFERROR(IF(P61="Check Data","Check Data",VLOOKUP(P61,'G-4 Temporal multipliers'!$A$4:$C$37,3,FALSE)),"")</f>
        <v/>
      </c>
      <c r="R61" s="171" t="str">
        <f>IF(C61="","",VLOOKUP(C61,'G-7 Rivers Data'!$B$4:$G$8,4,FALSE))</f>
        <v/>
      </c>
      <c r="S61" s="179" t="str">
        <f t="shared" si="3"/>
        <v/>
      </c>
      <c r="T61" s="269" t="str">
        <f t="shared" si="4"/>
        <v/>
      </c>
      <c r="U61" s="172" t="str">
        <f t="shared" si="5"/>
        <v/>
      </c>
      <c r="V61" s="79"/>
      <c r="W61" s="172" t="str">
        <f>IF(V61="","",IF(VLOOKUP(V61,'G-7 Rivers Data'!$AA$4:$AB$7,2,FALSE)=0,"Spatial Data Missing",VLOOKUP(V61,'G-7 Rivers Data'!$AA$4:$AB$7,2,FALSE)))</f>
        <v/>
      </c>
      <c r="X61" s="187"/>
      <c r="Y61" s="172" t="str">
        <f>IF(X61="","",IF(VLOOKUP(X61,'G-7 Rivers Data'!$AD$4:$AE$8,2,FALSE)=0,"Enrcoachment Data Missing",VLOOKUP(X61,'G-7 Rivers Data'!$AD$4:$AE$8,2,FALSE)))</f>
        <v/>
      </c>
      <c r="Z61" s="265" t="str">
        <f t="shared" si="6"/>
        <v/>
      </c>
      <c r="AA61" s="180"/>
      <c r="AB61" s="181"/>
      <c r="AH61" s="35" t="str">
        <f>IFERROR(INDEX('G-7 Rivers Data'!$AZ$3:$AZ$7,MATCH(C61,'G-7 Rivers Data'!$AY$3:$AY$7,0)),"")</f>
        <v/>
      </c>
    </row>
    <row r="62" spans="2:34" ht="13.8" x14ac:dyDescent="0.25">
      <c r="B62" s="168">
        <v>51</v>
      </c>
      <c r="C62" s="212"/>
      <c r="D62" s="213"/>
      <c r="E62" s="171" t="str">
        <f>IF(C62="","",VLOOKUP(C62,'G-7 Rivers Data'!$B$2:$G$8,2,FALSE))</f>
        <v/>
      </c>
      <c r="F62" s="172" t="str">
        <f>IFERROR(VLOOKUP(E62,'G-7 Rivers Data'!$C$4:$D$8,2,FALSE),"")</f>
        <v/>
      </c>
      <c r="G62" s="173"/>
      <c r="H62" s="172" t="str">
        <f>IFERROR(INDEX('G-7 Rivers Data'!$H$4:$L$8,MATCH(C62,'G-7 Rivers Data'!$B$4:$B$8,0),MATCH(G62,'G-7 Rivers Data'!$H$3:$L$3,0)),"")</f>
        <v/>
      </c>
      <c r="I62" s="186"/>
      <c r="J62" s="175" t="str">
        <f>IF(I62="","",IF(VLOOKUP(I62,'G-7 Rivers Data'!$AG$4:$AI$9,2,FALSE)=0,"Spatial Data Missing",VLOOKUP(I62,'G-7 Rivers Data'!$AG$4:$AI$9,2,FALSE)))</f>
        <v/>
      </c>
      <c r="K62" s="176" t="str">
        <f>IF(I62="","",IF(VLOOKUP(I62,'G-7 Rivers Data'!$AG$4:$AI$9,3,FALSE)=0,"Spatial Data Missing",VLOOKUP(I62,'G-7 Rivers Data'!$AG$4:$AI$9,3,FALSE)))</f>
        <v/>
      </c>
      <c r="L62" s="171" t="str">
        <f>IFERROR(INDEX('G-7 Rivers Data'!$O$3:$O$7,MATCH(G62,'G-7 Rivers Data'!$N$3:$N$7,0)),"")</f>
        <v/>
      </c>
      <c r="M62" s="94"/>
      <c r="N62" s="261"/>
      <c r="O62" s="175" t="str">
        <f t="shared" si="1"/>
        <v/>
      </c>
      <c r="P62" s="242" t="str">
        <f t="shared" si="2"/>
        <v/>
      </c>
      <c r="Q62" s="383" t="str">
        <f>IFERROR(IF(P62="Check Data","Check Data",VLOOKUP(P62,'G-4 Temporal multipliers'!$A$4:$C$37,3,FALSE)),"")</f>
        <v/>
      </c>
      <c r="R62" s="171" t="str">
        <f>IF(C62="","",VLOOKUP(C62,'G-7 Rivers Data'!$B$4:$G$8,4,FALSE))</f>
        <v/>
      </c>
      <c r="S62" s="179" t="str">
        <f t="shared" si="3"/>
        <v/>
      </c>
      <c r="T62" s="269" t="str">
        <f t="shared" si="4"/>
        <v/>
      </c>
      <c r="U62" s="172" t="str">
        <f t="shared" si="5"/>
        <v/>
      </c>
      <c r="V62" s="79"/>
      <c r="W62" s="172" t="str">
        <f>IF(V62="","",IF(VLOOKUP(V62,'G-7 Rivers Data'!$AA$4:$AB$7,2,FALSE)=0,"Spatial Data Missing",VLOOKUP(V62,'G-7 Rivers Data'!$AA$4:$AB$7,2,FALSE)))</f>
        <v/>
      </c>
      <c r="X62" s="187"/>
      <c r="Y62" s="172" t="str">
        <f>IF(X62="","",IF(VLOOKUP(X62,'G-7 Rivers Data'!$AD$4:$AE$8,2,FALSE)=0,"Enrcoachment Data Missing",VLOOKUP(X62,'G-7 Rivers Data'!$AD$4:$AE$8,2,FALSE)))</f>
        <v/>
      </c>
      <c r="Z62" s="265" t="str">
        <f t="shared" si="6"/>
        <v/>
      </c>
      <c r="AA62" s="180"/>
      <c r="AB62" s="181"/>
      <c r="AH62" s="35" t="str">
        <f>IFERROR(INDEX('G-7 Rivers Data'!$AZ$3:$AZ$7,MATCH(C62,'G-7 Rivers Data'!$AY$3:$AY$7,0)),"")</f>
        <v/>
      </c>
    </row>
    <row r="63" spans="2:34" ht="13.8" x14ac:dyDescent="0.25">
      <c r="B63" s="168">
        <v>52</v>
      </c>
      <c r="C63" s="212"/>
      <c r="D63" s="213"/>
      <c r="E63" s="171" t="str">
        <f>IF(C63="","",VLOOKUP(C63,'G-7 Rivers Data'!$B$2:$G$8,2,FALSE))</f>
        <v/>
      </c>
      <c r="F63" s="172" t="str">
        <f>IFERROR(VLOOKUP(E63,'G-7 Rivers Data'!$C$4:$D$8,2,FALSE),"")</f>
        <v/>
      </c>
      <c r="G63" s="173"/>
      <c r="H63" s="172" t="str">
        <f>IFERROR(INDEX('G-7 Rivers Data'!$H$4:$L$8,MATCH(C63,'G-7 Rivers Data'!$B$4:$B$8,0),MATCH(G63,'G-7 Rivers Data'!$H$3:$L$3,0)),"")</f>
        <v/>
      </c>
      <c r="I63" s="186"/>
      <c r="J63" s="175" t="str">
        <f>IF(I63="","",IF(VLOOKUP(I63,'G-7 Rivers Data'!$AG$4:$AI$9,2,FALSE)=0,"Spatial Data Missing",VLOOKUP(I63,'G-7 Rivers Data'!$AG$4:$AI$9,2,FALSE)))</f>
        <v/>
      </c>
      <c r="K63" s="176" t="str">
        <f>IF(I63="","",IF(VLOOKUP(I63,'G-7 Rivers Data'!$AG$4:$AI$9,3,FALSE)=0,"Spatial Data Missing",VLOOKUP(I63,'G-7 Rivers Data'!$AG$4:$AI$9,3,FALSE)))</f>
        <v/>
      </c>
      <c r="L63" s="171" t="str">
        <f>IFERROR(INDEX('G-7 Rivers Data'!$O$3:$O$7,MATCH(G63,'G-7 Rivers Data'!$N$3:$N$7,0)),"")</f>
        <v/>
      </c>
      <c r="M63" s="94"/>
      <c r="N63" s="261"/>
      <c r="O63" s="175" t="str">
        <f t="shared" si="1"/>
        <v/>
      </c>
      <c r="P63" s="242" t="str">
        <f t="shared" si="2"/>
        <v/>
      </c>
      <c r="Q63" s="383" t="str">
        <f>IFERROR(IF(P63="Check Data","Check Data",VLOOKUP(P63,'G-4 Temporal multipliers'!$A$4:$C$37,3,FALSE)),"")</f>
        <v/>
      </c>
      <c r="R63" s="171" t="str">
        <f>IF(C63="","",VLOOKUP(C63,'G-7 Rivers Data'!$B$4:$G$8,4,FALSE))</f>
        <v/>
      </c>
      <c r="S63" s="179" t="str">
        <f t="shared" si="3"/>
        <v/>
      </c>
      <c r="T63" s="269" t="str">
        <f t="shared" si="4"/>
        <v/>
      </c>
      <c r="U63" s="172" t="str">
        <f t="shared" si="5"/>
        <v/>
      </c>
      <c r="V63" s="79"/>
      <c r="W63" s="172" t="str">
        <f>IF(V63="","",IF(VLOOKUP(V63,'G-7 Rivers Data'!$AA$4:$AB$7,2,FALSE)=0,"Spatial Data Missing",VLOOKUP(V63,'G-7 Rivers Data'!$AA$4:$AB$7,2,FALSE)))</f>
        <v/>
      </c>
      <c r="X63" s="187"/>
      <c r="Y63" s="172" t="str">
        <f>IF(X63="","",IF(VLOOKUP(X63,'G-7 Rivers Data'!$AD$4:$AE$8,2,FALSE)=0,"Enrcoachment Data Missing",VLOOKUP(X63,'G-7 Rivers Data'!$AD$4:$AE$8,2,FALSE)))</f>
        <v/>
      </c>
      <c r="Z63" s="265" t="str">
        <f t="shared" si="6"/>
        <v/>
      </c>
      <c r="AA63" s="180"/>
      <c r="AB63" s="181"/>
      <c r="AH63" s="35" t="str">
        <f>IFERROR(INDEX('G-7 Rivers Data'!$AZ$3:$AZ$7,MATCH(C63,'G-7 Rivers Data'!$AY$3:$AY$7,0)),"")</f>
        <v/>
      </c>
    </row>
    <row r="64" spans="2:34" ht="13.8" x14ac:dyDescent="0.25">
      <c r="B64" s="168">
        <v>53</v>
      </c>
      <c r="C64" s="212"/>
      <c r="D64" s="213"/>
      <c r="E64" s="171" t="str">
        <f>IF(C64="","",VLOOKUP(C64,'G-7 Rivers Data'!$B$2:$G$8,2,FALSE))</f>
        <v/>
      </c>
      <c r="F64" s="172" t="str">
        <f>IFERROR(VLOOKUP(E64,'G-7 Rivers Data'!$C$4:$D$8,2,FALSE),"")</f>
        <v/>
      </c>
      <c r="G64" s="173"/>
      <c r="H64" s="172" t="str">
        <f>IFERROR(INDEX('G-7 Rivers Data'!$H$4:$L$8,MATCH(C64,'G-7 Rivers Data'!$B$4:$B$8,0),MATCH(G64,'G-7 Rivers Data'!$H$3:$L$3,0)),"")</f>
        <v/>
      </c>
      <c r="I64" s="186"/>
      <c r="J64" s="175" t="str">
        <f>IF(I64="","",IF(VLOOKUP(I64,'G-7 Rivers Data'!$AG$4:$AI$9,2,FALSE)=0,"Spatial Data Missing",VLOOKUP(I64,'G-7 Rivers Data'!$AG$4:$AI$9,2,FALSE)))</f>
        <v/>
      </c>
      <c r="K64" s="176" t="str">
        <f>IF(I64="","",IF(VLOOKUP(I64,'G-7 Rivers Data'!$AG$4:$AI$9,3,FALSE)=0,"Spatial Data Missing",VLOOKUP(I64,'G-7 Rivers Data'!$AG$4:$AI$9,3,FALSE)))</f>
        <v/>
      </c>
      <c r="L64" s="171" t="str">
        <f>IFERROR(INDEX('G-7 Rivers Data'!$O$3:$O$7,MATCH(G64,'G-7 Rivers Data'!$N$3:$N$7,0)),"")</f>
        <v/>
      </c>
      <c r="M64" s="94"/>
      <c r="N64" s="261"/>
      <c r="O64" s="175" t="str">
        <f t="shared" si="1"/>
        <v/>
      </c>
      <c r="P64" s="242" t="str">
        <f t="shared" si="2"/>
        <v/>
      </c>
      <c r="Q64" s="383" t="str">
        <f>IFERROR(IF(P64="Check Data","Check Data",VLOOKUP(P64,'G-4 Temporal multipliers'!$A$4:$C$37,3,FALSE)),"")</f>
        <v/>
      </c>
      <c r="R64" s="171" t="str">
        <f>IF(C64="","",VLOOKUP(C64,'G-7 Rivers Data'!$B$4:$G$8,4,FALSE))</f>
        <v/>
      </c>
      <c r="S64" s="179" t="str">
        <f t="shared" si="3"/>
        <v/>
      </c>
      <c r="T64" s="269" t="str">
        <f t="shared" si="4"/>
        <v/>
      </c>
      <c r="U64" s="172" t="str">
        <f t="shared" si="5"/>
        <v/>
      </c>
      <c r="V64" s="79"/>
      <c r="W64" s="172" t="str">
        <f>IF(V64="","",IF(VLOOKUP(V64,'G-7 Rivers Data'!$AA$4:$AB$7,2,FALSE)=0,"Spatial Data Missing",VLOOKUP(V64,'G-7 Rivers Data'!$AA$4:$AB$7,2,FALSE)))</f>
        <v/>
      </c>
      <c r="X64" s="187"/>
      <c r="Y64" s="172" t="str">
        <f>IF(X64="","",IF(VLOOKUP(X64,'G-7 Rivers Data'!$AD$4:$AE$8,2,FALSE)=0,"Enrcoachment Data Missing",VLOOKUP(X64,'G-7 Rivers Data'!$AD$4:$AE$8,2,FALSE)))</f>
        <v/>
      </c>
      <c r="Z64" s="265" t="str">
        <f t="shared" si="6"/>
        <v/>
      </c>
      <c r="AA64" s="180"/>
      <c r="AB64" s="181"/>
      <c r="AH64" s="35" t="str">
        <f>IFERROR(INDEX('G-7 Rivers Data'!$AZ$3:$AZ$7,MATCH(C64,'G-7 Rivers Data'!$AY$3:$AY$7,0)),"")</f>
        <v/>
      </c>
    </row>
    <row r="65" spans="2:34" ht="13.8" x14ac:dyDescent="0.25">
      <c r="B65" s="168">
        <v>54</v>
      </c>
      <c r="C65" s="212"/>
      <c r="D65" s="213"/>
      <c r="E65" s="171" t="str">
        <f>IF(C65="","",VLOOKUP(C65,'G-7 Rivers Data'!$B$2:$G$8,2,FALSE))</f>
        <v/>
      </c>
      <c r="F65" s="172" t="str">
        <f>IFERROR(VLOOKUP(E65,'G-7 Rivers Data'!$C$4:$D$8,2,FALSE),"")</f>
        <v/>
      </c>
      <c r="G65" s="173"/>
      <c r="H65" s="172" t="str">
        <f>IFERROR(INDEX('G-7 Rivers Data'!$H$4:$L$8,MATCH(C65,'G-7 Rivers Data'!$B$4:$B$8,0),MATCH(G65,'G-7 Rivers Data'!$H$3:$L$3,0)),"")</f>
        <v/>
      </c>
      <c r="I65" s="186"/>
      <c r="J65" s="175" t="str">
        <f>IF(I65="","",IF(VLOOKUP(I65,'G-7 Rivers Data'!$AG$4:$AI$9,2,FALSE)=0,"Spatial Data Missing",VLOOKUP(I65,'G-7 Rivers Data'!$AG$4:$AI$9,2,FALSE)))</f>
        <v/>
      </c>
      <c r="K65" s="176" t="str">
        <f>IF(I65="","",IF(VLOOKUP(I65,'G-7 Rivers Data'!$AG$4:$AI$9,3,FALSE)=0,"Spatial Data Missing",VLOOKUP(I65,'G-7 Rivers Data'!$AG$4:$AI$9,3,FALSE)))</f>
        <v/>
      </c>
      <c r="L65" s="171" t="str">
        <f>IFERROR(INDEX('G-7 Rivers Data'!$O$3:$O$7,MATCH(G65,'G-7 Rivers Data'!$N$3:$N$7,0)),"")</f>
        <v/>
      </c>
      <c r="M65" s="94"/>
      <c r="N65" s="261"/>
      <c r="O65" s="175" t="str">
        <f t="shared" si="1"/>
        <v/>
      </c>
      <c r="P65" s="242" t="str">
        <f t="shared" si="2"/>
        <v/>
      </c>
      <c r="Q65" s="383" t="str">
        <f>IFERROR(IF(P65="Check Data","Check Data",VLOOKUP(P65,'G-4 Temporal multipliers'!$A$4:$C$37,3,FALSE)),"")</f>
        <v/>
      </c>
      <c r="R65" s="171" t="str">
        <f>IF(C65="","",VLOOKUP(C65,'G-7 Rivers Data'!$B$4:$G$8,4,FALSE))</f>
        <v/>
      </c>
      <c r="S65" s="179" t="str">
        <f t="shared" si="3"/>
        <v/>
      </c>
      <c r="T65" s="269" t="str">
        <f t="shared" si="4"/>
        <v/>
      </c>
      <c r="U65" s="172" t="str">
        <f t="shared" si="5"/>
        <v/>
      </c>
      <c r="V65" s="79"/>
      <c r="W65" s="172" t="str">
        <f>IF(V65="","",IF(VLOOKUP(V65,'G-7 Rivers Data'!$AA$4:$AB$7,2,FALSE)=0,"Spatial Data Missing",VLOOKUP(V65,'G-7 Rivers Data'!$AA$4:$AB$7,2,FALSE)))</f>
        <v/>
      </c>
      <c r="X65" s="187"/>
      <c r="Y65" s="172" t="str">
        <f>IF(X65="","",IF(VLOOKUP(X65,'G-7 Rivers Data'!$AD$4:$AE$8,2,FALSE)=0,"Enrcoachment Data Missing",VLOOKUP(X65,'G-7 Rivers Data'!$AD$4:$AE$8,2,FALSE)))</f>
        <v/>
      </c>
      <c r="Z65" s="265" t="str">
        <f t="shared" si="6"/>
        <v/>
      </c>
      <c r="AA65" s="180"/>
      <c r="AB65" s="181"/>
      <c r="AH65" s="35" t="str">
        <f>IFERROR(INDEX('G-7 Rivers Data'!$AZ$3:$AZ$7,MATCH(C65,'G-7 Rivers Data'!$AY$3:$AY$7,0)),"")</f>
        <v/>
      </c>
    </row>
    <row r="66" spans="2:34" ht="13.8" x14ac:dyDescent="0.25">
      <c r="B66" s="168">
        <v>55</v>
      </c>
      <c r="C66" s="212"/>
      <c r="D66" s="213"/>
      <c r="E66" s="171" t="str">
        <f>IF(C66="","",VLOOKUP(C66,'G-7 Rivers Data'!$B$2:$G$8,2,FALSE))</f>
        <v/>
      </c>
      <c r="F66" s="172" t="str">
        <f>IFERROR(VLOOKUP(E66,'G-7 Rivers Data'!$C$4:$D$8,2,FALSE),"")</f>
        <v/>
      </c>
      <c r="G66" s="173"/>
      <c r="H66" s="172" t="str">
        <f>IFERROR(INDEX('G-7 Rivers Data'!$H$4:$L$8,MATCH(C66,'G-7 Rivers Data'!$B$4:$B$8,0),MATCH(G66,'G-7 Rivers Data'!$H$3:$L$3,0)),"")</f>
        <v/>
      </c>
      <c r="I66" s="186"/>
      <c r="J66" s="175" t="str">
        <f>IF(I66="","",IF(VLOOKUP(I66,'G-7 Rivers Data'!$AG$4:$AI$9,2,FALSE)=0,"Spatial Data Missing",VLOOKUP(I66,'G-7 Rivers Data'!$AG$4:$AI$9,2,FALSE)))</f>
        <v/>
      </c>
      <c r="K66" s="176" t="str">
        <f>IF(I66="","",IF(VLOOKUP(I66,'G-7 Rivers Data'!$AG$4:$AI$9,3,FALSE)=0,"Spatial Data Missing",VLOOKUP(I66,'G-7 Rivers Data'!$AG$4:$AI$9,3,FALSE)))</f>
        <v/>
      </c>
      <c r="L66" s="171" t="str">
        <f>IFERROR(INDEX('G-7 Rivers Data'!$O$3:$O$7,MATCH(G66,'G-7 Rivers Data'!$N$3:$N$7,0)),"")</f>
        <v/>
      </c>
      <c r="M66" s="94"/>
      <c r="N66" s="261"/>
      <c r="O66" s="175" t="str">
        <f t="shared" si="1"/>
        <v/>
      </c>
      <c r="P66" s="242" t="str">
        <f t="shared" si="2"/>
        <v/>
      </c>
      <c r="Q66" s="383" t="str">
        <f>IFERROR(IF(P66="Check Data","Check Data",VLOOKUP(P66,'G-4 Temporal multipliers'!$A$4:$C$37,3,FALSE)),"")</f>
        <v/>
      </c>
      <c r="R66" s="171" t="str">
        <f>IF(C66="","",VLOOKUP(C66,'G-7 Rivers Data'!$B$4:$G$8,4,FALSE))</f>
        <v/>
      </c>
      <c r="S66" s="179" t="str">
        <f t="shared" si="3"/>
        <v/>
      </c>
      <c r="T66" s="269" t="str">
        <f t="shared" si="4"/>
        <v/>
      </c>
      <c r="U66" s="172" t="str">
        <f t="shared" si="5"/>
        <v/>
      </c>
      <c r="V66" s="79"/>
      <c r="W66" s="172" t="str">
        <f>IF(V66="","",IF(VLOOKUP(V66,'G-7 Rivers Data'!$AA$4:$AB$7,2,FALSE)=0,"Spatial Data Missing",VLOOKUP(V66,'G-7 Rivers Data'!$AA$4:$AB$7,2,FALSE)))</f>
        <v/>
      </c>
      <c r="X66" s="187"/>
      <c r="Y66" s="172" t="str">
        <f>IF(X66="","",IF(VLOOKUP(X66,'G-7 Rivers Data'!$AD$4:$AE$8,2,FALSE)=0,"Enrcoachment Data Missing",VLOOKUP(X66,'G-7 Rivers Data'!$AD$4:$AE$8,2,FALSE)))</f>
        <v/>
      </c>
      <c r="Z66" s="265" t="str">
        <f t="shared" si="6"/>
        <v/>
      </c>
      <c r="AA66" s="180"/>
      <c r="AB66" s="181"/>
      <c r="AH66" s="35" t="str">
        <f>IFERROR(INDEX('G-7 Rivers Data'!$AZ$3:$AZ$7,MATCH(C66,'G-7 Rivers Data'!$AY$3:$AY$7,0)),"")</f>
        <v/>
      </c>
    </row>
    <row r="67" spans="2:34" ht="13.8" x14ac:dyDescent="0.25">
      <c r="B67" s="168">
        <v>56</v>
      </c>
      <c r="C67" s="212"/>
      <c r="D67" s="213"/>
      <c r="E67" s="171" t="str">
        <f>IF(C67="","",VLOOKUP(C67,'G-7 Rivers Data'!$B$2:$G$8,2,FALSE))</f>
        <v/>
      </c>
      <c r="F67" s="172" t="str">
        <f>IFERROR(VLOOKUP(E67,'G-7 Rivers Data'!$C$4:$D$8,2,FALSE),"")</f>
        <v/>
      </c>
      <c r="G67" s="173"/>
      <c r="H67" s="172" t="str">
        <f>IFERROR(INDEX('G-7 Rivers Data'!$H$4:$L$8,MATCH(C67,'G-7 Rivers Data'!$B$4:$B$8,0),MATCH(G67,'G-7 Rivers Data'!$H$3:$L$3,0)),"")</f>
        <v/>
      </c>
      <c r="I67" s="186"/>
      <c r="J67" s="175" t="str">
        <f>IF(I67="","",IF(VLOOKUP(I67,'G-7 Rivers Data'!$AG$4:$AI$9,2,FALSE)=0,"Spatial Data Missing",VLOOKUP(I67,'G-7 Rivers Data'!$AG$4:$AI$9,2,FALSE)))</f>
        <v/>
      </c>
      <c r="K67" s="176" t="str">
        <f>IF(I67="","",IF(VLOOKUP(I67,'G-7 Rivers Data'!$AG$4:$AI$9,3,FALSE)=0,"Spatial Data Missing",VLOOKUP(I67,'G-7 Rivers Data'!$AG$4:$AI$9,3,FALSE)))</f>
        <v/>
      </c>
      <c r="L67" s="171" t="str">
        <f>IFERROR(INDEX('G-7 Rivers Data'!$O$3:$O$7,MATCH(G67,'G-7 Rivers Data'!$N$3:$N$7,0)),"")</f>
        <v/>
      </c>
      <c r="M67" s="94"/>
      <c r="N67" s="261"/>
      <c r="O67" s="175" t="str">
        <f t="shared" si="1"/>
        <v/>
      </c>
      <c r="P67" s="242" t="str">
        <f t="shared" si="2"/>
        <v/>
      </c>
      <c r="Q67" s="383" t="str">
        <f>IFERROR(IF(P67="Check Data","Check Data",VLOOKUP(P67,'G-4 Temporal multipliers'!$A$4:$C$37,3,FALSE)),"")</f>
        <v/>
      </c>
      <c r="R67" s="171" t="str">
        <f>IF(C67="","",VLOOKUP(C67,'G-7 Rivers Data'!$B$4:$G$8,4,FALSE))</f>
        <v/>
      </c>
      <c r="S67" s="179" t="str">
        <f t="shared" si="3"/>
        <v/>
      </c>
      <c r="T67" s="269" t="str">
        <f t="shared" si="4"/>
        <v/>
      </c>
      <c r="U67" s="172" t="str">
        <f t="shared" si="5"/>
        <v/>
      </c>
      <c r="V67" s="79"/>
      <c r="W67" s="172" t="str">
        <f>IF(V67="","",IF(VLOOKUP(V67,'G-7 Rivers Data'!$AA$4:$AB$7,2,FALSE)=0,"Spatial Data Missing",VLOOKUP(V67,'G-7 Rivers Data'!$AA$4:$AB$7,2,FALSE)))</f>
        <v/>
      </c>
      <c r="X67" s="187"/>
      <c r="Y67" s="172" t="str">
        <f>IF(X67="","",IF(VLOOKUP(X67,'G-7 Rivers Data'!$AD$4:$AE$8,2,FALSE)=0,"Enrcoachment Data Missing",VLOOKUP(X67,'G-7 Rivers Data'!$AD$4:$AE$8,2,FALSE)))</f>
        <v/>
      </c>
      <c r="Z67" s="265" t="str">
        <f t="shared" si="6"/>
        <v/>
      </c>
      <c r="AA67" s="180"/>
      <c r="AB67" s="181"/>
      <c r="AH67" s="35" t="str">
        <f>IFERROR(INDEX('G-7 Rivers Data'!$AZ$3:$AZ$7,MATCH(C67,'G-7 Rivers Data'!$AY$3:$AY$7,0)),"")</f>
        <v/>
      </c>
    </row>
    <row r="68" spans="2:34" ht="13.8" x14ac:dyDescent="0.25">
      <c r="B68" s="168">
        <v>57</v>
      </c>
      <c r="C68" s="212"/>
      <c r="D68" s="213"/>
      <c r="E68" s="171" t="str">
        <f>IF(C68="","",VLOOKUP(C68,'G-7 Rivers Data'!$B$2:$G$8,2,FALSE))</f>
        <v/>
      </c>
      <c r="F68" s="172" t="str">
        <f>IFERROR(VLOOKUP(E68,'G-7 Rivers Data'!$C$4:$D$8,2,FALSE),"")</f>
        <v/>
      </c>
      <c r="G68" s="173"/>
      <c r="H68" s="172" t="str">
        <f>IFERROR(INDEX('G-7 Rivers Data'!$H$4:$L$8,MATCH(C68,'G-7 Rivers Data'!$B$4:$B$8,0),MATCH(G68,'G-7 Rivers Data'!$H$3:$L$3,0)),"")</f>
        <v/>
      </c>
      <c r="I68" s="186"/>
      <c r="J68" s="175" t="str">
        <f>IF(I68="","",IF(VLOOKUP(I68,'G-7 Rivers Data'!$AG$4:$AI$9,2,FALSE)=0,"Spatial Data Missing",VLOOKUP(I68,'G-7 Rivers Data'!$AG$4:$AI$9,2,FALSE)))</f>
        <v/>
      </c>
      <c r="K68" s="176" t="str">
        <f>IF(I68="","",IF(VLOOKUP(I68,'G-7 Rivers Data'!$AG$4:$AI$9,3,FALSE)=0,"Spatial Data Missing",VLOOKUP(I68,'G-7 Rivers Data'!$AG$4:$AI$9,3,FALSE)))</f>
        <v/>
      </c>
      <c r="L68" s="171" t="str">
        <f>IFERROR(INDEX('G-7 Rivers Data'!$O$3:$O$7,MATCH(G68,'G-7 Rivers Data'!$N$3:$N$7,0)),"")</f>
        <v/>
      </c>
      <c r="M68" s="94"/>
      <c r="N68" s="261"/>
      <c r="O68" s="175" t="str">
        <f t="shared" si="1"/>
        <v/>
      </c>
      <c r="P68" s="242" t="str">
        <f t="shared" si="2"/>
        <v/>
      </c>
      <c r="Q68" s="383" t="str">
        <f>IFERROR(IF(P68="Check Data","Check Data",VLOOKUP(P68,'G-4 Temporal multipliers'!$A$4:$C$37,3,FALSE)),"")</f>
        <v/>
      </c>
      <c r="R68" s="171" t="str">
        <f>IF(C68="","",VLOOKUP(C68,'G-7 Rivers Data'!$B$4:$G$8,4,FALSE))</f>
        <v/>
      </c>
      <c r="S68" s="179" t="str">
        <f t="shared" si="3"/>
        <v/>
      </c>
      <c r="T68" s="269" t="str">
        <f t="shared" si="4"/>
        <v/>
      </c>
      <c r="U68" s="172" t="str">
        <f t="shared" si="5"/>
        <v/>
      </c>
      <c r="V68" s="79"/>
      <c r="W68" s="172" t="str">
        <f>IF(V68="","",IF(VLOOKUP(V68,'G-7 Rivers Data'!$AA$4:$AB$7,2,FALSE)=0,"Spatial Data Missing",VLOOKUP(V68,'G-7 Rivers Data'!$AA$4:$AB$7,2,FALSE)))</f>
        <v/>
      </c>
      <c r="X68" s="187"/>
      <c r="Y68" s="172" t="str">
        <f>IF(X68="","",IF(VLOOKUP(X68,'G-7 Rivers Data'!$AD$4:$AE$8,2,FALSE)=0,"Enrcoachment Data Missing",VLOOKUP(X68,'G-7 Rivers Data'!$AD$4:$AE$8,2,FALSE)))</f>
        <v/>
      </c>
      <c r="Z68" s="265" t="str">
        <f t="shared" si="6"/>
        <v/>
      </c>
      <c r="AA68" s="180"/>
      <c r="AB68" s="181"/>
      <c r="AH68" s="35" t="str">
        <f>IFERROR(INDEX('G-7 Rivers Data'!$AZ$3:$AZ$7,MATCH(C68,'G-7 Rivers Data'!$AY$3:$AY$7,0)),"")</f>
        <v/>
      </c>
    </row>
    <row r="69" spans="2:34" ht="13.8" x14ac:dyDescent="0.25">
      <c r="B69" s="168">
        <v>58</v>
      </c>
      <c r="C69" s="212"/>
      <c r="D69" s="213"/>
      <c r="E69" s="171" t="str">
        <f>IF(C69="","",VLOOKUP(C69,'G-7 Rivers Data'!$B$2:$G$8,2,FALSE))</f>
        <v/>
      </c>
      <c r="F69" s="172" t="str">
        <f>IFERROR(VLOOKUP(E69,'G-7 Rivers Data'!$C$4:$D$8,2,FALSE),"")</f>
        <v/>
      </c>
      <c r="G69" s="173"/>
      <c r="H69" s="172" t="str">
        <f>IFERROR(INDEX('G-7 Rivers Data'!$H$4:$L$8,MATCH(C69,'G-7 Rivers Data'!$B$4:$B$8,0),MATCH(G69,'G-7 Rivers Data'!$H$3:$L$3,0)),"")</f>
        <v/>
      </c>
      <c r="I69" s="186"/>
      <c r="J69" s="175" t="str">
        <f>IF(I69="","",IF(VLOOKUP(I69,'G-7 Rivers Data'!$AG$4:$AI$9,2,FALSE)=0,"Spatial Data Missing",VLOOKUP(I69,'G-7 Rivers Data'!$AG$4:$AI$9,2,FALSE)))</f>
        <v/>
      </c>
      <c r="K69" s="176" t="str">
        <f>IF(I69="","",IF(VLOOKUP(I69,'G-7 Rivers Data'!$AG$4:$AI$9,3,FALSE)=0,"Spatial Data Missing",VLOOKUP(I69,'G-7 Rivers Data'!$AG$4:$AI$9,3,FALSE)))</f>
        <v/>
      </c>
      <c r="L69" s="171" t="str">
        <f>IFERROR(INDEX('G-7 Rivers Data'!$O$3:$O$7,MATCH(G69,'G-7 Rivers Data'!$N$3:$N$7,0)),"")</f>
        <v/>
      </c>
      <c r="M69" s="94"/>
      <c r="N69" s="261"/>
      <c r="O69" s="175" t="str">
        <f t="shared" si="1"/>
        <v/>
      </c>
      <c r="P69" s="242" t="str">
        <f t="shared" si="2"/>
        <v/>
      </c>
      <c r="Q69" s="383" t="str">
        <f>IFERROR(IF(P69="Check Data","Check Data",VLOOKUP(P69,'G-4 Temporal multipliers'!$A$4:$C$37,3,FALSE)),"")</f>
        <v/>
      </c>
      <c r="R69" s="171" t="str">
        <f>IF(C69="","",VLOOKUP(C69,'G-7 Rivers Data'!$B$4:$G$8,4,FALSE))</f>
        <v/>
      </c>
      <c r="S69" s="179" t="str">
        <f t="shared" si="3"/>
        <v/>
      </c>
      <c r="T69" s="269" t="str">
        <f t="shared" si="4"/>
        <v/>
      </c>
      <c r="U69" s="172" t="str">
        <f t="shared" si="5"/>
        <v/>
      </c>
      <c r="V69" s="79"/>
      <c r="W69" s="172" t="str">
        <f>IF(V69="","",IF(VLOOKUP(V69,'G-7 Rivers Data'!$AA$4:$AB$7,2,FALSE)=0,"Spatial Data Missing",VLOOKUP(V69,'G-7 Rivers Data'!$AA$4:$AB$7,2,FALSE)))</f>
        <v/>
      </c>
      <c r="X69" s="187"/>
      <c r="Y69" s="172" t="str">
        <f>IF(X69="","",IF(VLOOKUP(X69,'G-7 Rivers Data'!$AD$4:$AE$8,2,FALSE)=0,"Enrcoachment Data Missing",VLOOKUP(X69,'G-7 Rivers Data'!$AD$4:$AE$8,2,FALSE)))</f>
        <v/>
      </c>
      <c r="Z69" s="265" t="str">
        <f t="shared" si="6"/>
        <v/>
      </c>
      <c r="AA69" s="180"/>
      <c r="AB69" s="181"/>
      <c r="AH69" s="35" t="str">
        <f>IFERROR(INDEX('G-7 Rivers Data'!$AZ$3:$AZ$7,MATCH(C69,'G-7 Rivers Data'!$AY$3:$AY$7,0)),"")</f>
        <v/>
      </c>
    </row>
    <row r="70" spans="2:34" ht="13.8" x14ac:dyDescent="0.25">
      <c r="B70" s="168">
        <v>59</v>
      </c>
      <c r="C70" s="212"/>
      <c r="D70" s="213"/>
      <c r="E70" s="171" t="str">
        <f>IF(C70="","",VLOOKUP(C70,'G-7 Rivers Data'!$B$2:$G$8,2,FALSE))</f>
        <v/>
      </c>
      <c r="F70" s="172" t="str">
        <f>IFERROR(VLOOKUP(E70,'G-7 Rivers Data'!$C$4:$D$8,2,FALSE),"")</f>
        <v/>
      </c>
      <c r="G70" s="173"/>
      <c r="H70" s="172" t="str">
        <f>IFERROR(INDEX('G-7 Rivers Data'!$H$4:$L$8,MATCH(C70,'G-7 Rivers Data'!$B$4:$B$8,0),MATCH(G70,'G-7 Rivers Data'!$H$3:$L$3,0)),"")</f>
        <v/>
      </c>
      <c r="I70" s="186"/>
      <c r="J70" s="175" t="str">
        <f>IF(I70="","",IF(VLOOKUP(I70,'G-7 Rivers Data'!$AG$4:$AI$9,2,FALSE)=0,"Spatial Data Missing",VLOOKUP(I70,'G-7 Rivers Data'!$AG$4:$AI$9,2,FALSE)))</f>
        <v/>
      </c>
      <c r="K70" s="176" t="str">
        <f>IF(I70="","",IF(VLOOKUP(I70,'G-7 Rivers Data'!$AG$4:$AI$9,3,FALSE)=0,"Spatial Data Missing",VLOOKUP(I70,'G-7 Rivers Data'!$AG$4:$AI$9,3,FALSE)))</f>
        <v/>
      </c>
      <c r="L70" s="171" t="str">
        <f>IFERROR(INDEX('G-7 Rivers Data'!$O$3:$O$7,MATCH(G70,'G-7 Rivers Data'!$N$3:$N$7,0)),"")</f>
        <v/>
      </c>
      <c r="M70" s="94"/>
      <c r="N70" s="261"/>
      <c r="O70" s="175" t="str">
        <f t="shared" si="1"/>
        <v/>
      </c>
      <c r="P70" s="242" t="str">
        <f t="shared" si="2"/>
        <v/>
      </c>
      <c r="Q70" s="383" t="str">
        <f>IFERROR(IF(P70="Check Data","Check Data",VLOOKUP(P70,'G-4 Temporal multipliers'!$A$4:$C$37,3,FALSE)),"")</f>
        <v/>
      </c>
      <c r="R70" s="171" t="str">
        <f>IF(C70="","",VLOOKUP(C70,'G-7 Rivers Data'!$B$4:$G$8,4,FALSE))</f>
        <v/>
      </c>
      <c r="S70" s="179" t="str">
        <f t="shared" si="3"/>
        <v/>
      </c>
      <c r="T70" s="269" t="str">
        <f t="shared" si="4"/>
        <v/>
      </c>
      <c r="U70" s="172" t="str">
        <f t="shared" si="5"/>
        <v/>
      </c>
      <c r="V70" s="79"/>
      <c r="W70" s="172" t="str">
        <f>IF(V70="","",IF(VLOOKUP(V70,'G-7 Rivers Data'!$AA$4:$AB$7,2,FALSE)=0,"Spatial Data Missing",VLOOKUP(V70,'G-7 Rivers Data'!$AA$4:$AB$7,2,FALSE)))</f>
        <v/>
      </c>
      <c r="X70" s="187"/>
      <c r="Y70" s="172" t="str">
        <f>IF(X70="","",IF(VLOOKUP(X70,'G-7 Rivers Data'!$AD$4:$AE$8,2,FALSE)=0,"Enrcoachment Data Missing",VLOOKUP(X70,'G-7 Rivers Data'!$AD$4:$AE$8,2,FALSE)))</f>
        <v/>
      </c>
      <c r="Z70" s="265" t="str">
        <f t="shared" si="6"/>
        <v/>
      </c>
      <c r="AA70" s="180"/>
      <c r="AB70" s="181"/>
      <c r="AH70" s="35" t="str">
        <f>IFERROR(INDEX('G-7 Rivers Data'!$AZ$3:$AZ$7,MATCH(C70,'G-7 Rivers Data'!$AY$3:$AY$7,0)),"")</f>
        <v/>
      </c>
    </row>
    <row r="71" spans="2:34" ht="13.8" x14ac:dyDescent="0.25">
      <c r="B71" s="168">
        <v>60</v>
      </c>
      <c r="C71" s="212"/>
      <c r="D71" s="213"/>
      <c r="E71" s="171" t="str">
        <f>IF(C71="","",VLOOKUP(C71,'G-7 Rivers Data'!$B$2:$G$8,2,FALSE))</f>
        <v/>
      </c>
      <c r="F71" s="172" t="str">
        <f>IFERROR(VLOOKUP(E71,'G-7 Rivers Data'!$C$4:$D$8,2,FALSE),"")</f>
        <v/>
      </c>
      <c r="G71" s="173"/>
      <c r="H71" s="172" t="str">
        <f>IFERROR(INDEX('G-7 Rivers Data'!$H$4:$L$8,MATCH(C71,'G-7 Rivers Data'!$B$4:$B$8,0),MATCH(G71,'G-7 Rivers Data'!$H$3:$L$3,0)),"")</f>
        <v/>
      </c>
      <c r="I71" s="186"/>
      <c r="J71" s="175" t="str">
        <f>IF(I71="","",IF(VLOOKUP(I71,'G-7 Rivers Data'!$AG$4:$AI$9,2,FALSE)=0,"Spatial Data Missing",VLOOKUP(I71,'G-7 Rivers Data'!$AG$4:$AI$9,2,FALSE)))</f>
        <v/>
      </c>
      <c r="K71" s="176" t="str">
        <f>IF(I71="","",IF(VLOOKUP(I71,'G-7 Rivers Data'!$AG$4:$AI$9,3,FALSE)=0,"Spatial Data Missing",VLOOKUP(I71,'G-7 Rivers Data'!$AG$4:$AI$9,3,FALSE)))</f>
        <v/>
      </c>
      <c r="L71" s="171" t="str">
        <f>IFERROR(INDEX('G-7 Rivers Data'!$O$3:$O$7,MATCH(G71,'G-7 Rivers Data'!$N$3:$N$7,0)),"")</f>
        <v/>
      </c>
      <c r="M71" s="94"/>
      <c r="N71" s="261"/>
      <c r="O71" s="175" t="str">
        <f t="shared" si="1"/>
        <v/>
      </c>
      <c r="P71" s="242" t="str">
        <f t="shared" si="2"/>
        <v/>
      </c>
      <c r="Q71" s="383" t="str">
        <f>IFERROR(IF(P71="Check Data","Check Data",VLOOKUP(P71,'G-4 Temporal multipliers'!$A$4:$C$37,3,FALSE)),"")</f>
        <v/>
      </c>
      <c r="R71" s="171" t="str">
        <f>IF(C71="","",VLOOKUP(C71,'G-7 Rivers Data'!$B$4:$G$8,4,FALSE))</f>
        <v/>
      </c>
      <c r="S71" s="179" t="str">
        <f t="shared" si="3"/>
        <v/>
      </c>
      <c r="T71" s="269" t="str">
        <f t="shared" si="4"/>
        <v/>
      </c>
      <c r="U71" s="172" t="str">
        <f t="shared" si="5"/>
        <v/>
      </c>
      <c r="V71" s="79"/>
      <c r="W71" s="172" t="str">
        <f>IF(V71="","",IF(VLOOKUP(V71,'G-7 Rivers Data'!$AA$4:$AB$7,2,FALSE)=0,"Spatial Data Missing",VLOOKUP(V71,'G-7 Rivers Data'!$AA$4:$AB$7,2,FALSE)))</f>
        <v/>
      </c>
      <c r="X71" s="187"/>
      <c r="Y71" s="172" t="str">
        <f>IF(X71="","",IF(VLOOKUP(X71,'G-7 Rivers Data'!$AD$4:$AE$8,2,FALSE)=0,"Enrcoachment Data Missing",VLOOKUP(X71,'G-7 Rivers Data'!$AD$4:$AE$8,2,FALSE)))</f>
        <v/>
      </c>
      <c r="Z71" s="265" t="str">
        <f t="shared" si="6"/>
        <v/>
      </c>
      <c r="AA71" s="180"/>
      <c r="AB71" s="181"/>
      <c r="AH71" s="35" t="str">
        <f>IFERROR(INDEX('G-7 Rivers Data'!$AZ$3:$AZ$7,MATCH(C71,'G-7 Rivers Data'!$AY$3:$AY$7,0)),"")</f>
        <v/>
      </c>
    </row>
    <row r="72" spans="2:34" ht="13.8" x14ac:dyDescent="0.25">
      <c r="B72" s="168">
        <v>61</v>
      </c>
      <c r="C72" s="212"/>
      <c r="D72" s="213"/>
      <c r="E72" s="171" t="str">
        <f>IF(C72="","",VLOOKUP(C72,'G-7 Rivers Data'!$B$2:$G$8,2,FALSE))</f>
        <v/>
      </c>
      <c r="F72" s="172" t="str">
        <f>IFERROR(VLOOKUP(E72,'G-7 Rivers Data'!$C$4:$D$8,2,FALSE),"")</f>
        <v/>
      </c>
      <c r="G72" s="173"/>
      <c r="H72" s="172" t="str">
        <f>IFERROR(INDEX('G-7 Rivers Data'!$H$4:$L$8,MATCH(C72,'G-7 Rivers Data'!$B$4:$B$8,0),MATCH(G72,'G-7 Rivers Data'!$H$3:$L$3,0)),"")</f>
        <v/>
      </c>
      <c r="I72" s="186"/>
      <c r="J72" s="175" t="str">
        <f>IF(I72="","",IF(VLOOKUP(I72,'G-7 Rivers Data'!$AG$4:$AI$9,2,FALSE)=0,"Spatial Data Missing",VLOOKUP(I72,'G-7 Rivers Data'!$AG$4:$AI$9,2,FALSE)))</f>
        <v/>
      </c>
      <c r="K72" s="176" t="str">
        <f>IF(I72="","",IF(VLOOKUP(I72,'G-7 Rivers Data'!$AG$4:$AI$9,3,FALSE)=0,"Spatial Data Missing",VLOOKUP(I72,'G-7 Rivers Data'!$AG$4:$AI$9,3,FALSE)))</f>
        <v/>
      </c>
      <c r="L72" s="171" t="str">
        <f>IFERROR(INDEX('G-7 Rivers Data'!$O$3:$O$7,MATCH(G72,'G-7 Rivers Data'!$N$3:$N$7,0)),"")</f>
        <v/>
      </c>
      <c r="M72" s="94"/>
      <c r="N72" s="261"/>
      <c r="O72" s="175" t="str">
        <f t="shared" si="1"/>
        <v/>
      </c>
      <c r="P72" s="242" t="str">
        <f t="shared" si="2"/>
        <v/>
      </c>
      <c r="Q72" s="383" t="str">
        <f>IFERROR(IF(P72="Check Data","Check Data",VLOOKUP(P72,'G-4 Temporal multipliers'!$A$4:$C$37,3,FALSE)),"")</f>
        <v/>
      </c>
      <c r="R72" s="171" t="str">
        <f>IF(C72="","",VLOOKUP(C72,'G-7 Rivers Data'!$B$4:$G$8,4,FALSE))</f>
        <v/>
      </c>
      <c r="S72" s="179" t="str">
        <f t="shared" si="3"/>
        <v/>
      </c>
      <c r="T72" s="269" t="str">
        <f t="shared" si="4"/>
        <v/>
      </c>
      <c r="U72" s="172" t="str">
        <f t="shared" si="5"/>
        <v/>
      </c>
      <c r="V72" s="79"/>
      <c r="W72" s="172" t="str">
        <f>IF(V72="","",IF(VLOOKUP(V72,'G-7 Rivers Data'!$AA$4:$AB$7,2,FALSE)=0,"Spatial Data Missing",VLOOKUP(V72,'G-7 Rivers Data'!$AA$4:$AB$7,2,FALSE)))</f>
        <v/>
      </c>
      <c r="X72" s="187"/>
      <c r="Y72" s="172" t="str">
        <f>IF(X72="","",IF(VLOOKUP(X72,'G-7 Rivers Data'!$AD$4:$AE$8,2,FALSE)=0,"Enrcoachment Data Missing",VLOOKUP(X72,'G-7 Rivers Data'!$AD$4:$AE$8,2,FALSE)))</f>
        <v/>
      </c>
      <c r="Z72" s="265" t="str">
        <f t="shared" si="6"/>
        <v/>
      </c>
      <c r="AA72" s="180"/>
      <c r="AB72" s="181"/>
      <c r="AH72" s="35" t="str">
        <f>IFERROR(INDEX('G-7 Rivers Data'!$AZ$3:$AZ$7,MATCH(C72,'G-7 Rivers Data'!$AY$3:$AY$7,0)),"")</f>
        <v/>
      </c>
    </row>
    <row r="73" spans="2:34" ht="13.8" x14ac:dyDescent="0.25">
      <c r="B73" s="168">
        <v>62</v>
      </c>
      <c r="C73" s="212"/>
      <c r="D73" s="213"/>
      <c r="E73" s="171" t="str">
        <f>IF(C73="","",VLOOKUP(C73,'G-7 Rivers Data'!$B$2:$G$8,2,FALSE))</f>
        <v/>
      </c>
      <c r="F73" s="172" t="str">
        <f>IFERROR(VLOOKUP(E73,'G-7 Rivers Data'!$C$4:$D$8,2,FALSE),"")</f>
        <v/>
      </c>
      <c r="G73" s="173"/>
      <c r="H73" s="172" t="str">
        <f>IFERROR(INDEX('G-7 Rivers Data'!$H$4:$L$8,MATCH(C73,'G-7 Rivers Data'!$B$4:$B$8,0),MATCH(G73,'G-7 Rivers Data'!$H$3:$L$3,0)),"")</f>
        <v/>
      </c>
      <c r="I73" s="186"/>
      <c r="J73" s="175" t="str">
        <f>IF(I73="","",IF(VLOOKUP(I73,'G-7 Rivers Data'!$AG$4:$AI$9,2,FALSE)=0,"Spatial Data Missing",VLOOKUP(I73,'G-7 Rivers Data'!$AG$4:$AI$9,2,FALSE)))</f>
        <v/>
      </c>
      <c r="K73" s="176" t="str">
        <f>IF(I73="","",IF(VLOOKUP(I73,'G-7 Rivers Data'!$AG$4:$AI$9,3,FALSE)=0,"Spatial Data Missing",VLOOKUP(I73,'G-7 Rivers Data'!$AG$4:$AI$9,3,FALSE)))</f>
        <v/>
      </c>
      <c r="L73" s="171" t="str">
        <f>IFERROR(INDEX('G-7 Rivers Data'!$O$3:$O$7,MATCH(G73,'G-7 Rivers Data'!$N$3:$N$7,0)),"")</f>
        <v/>
      </c>
      <c r="M73" s="94"/>
      <c r="N73" s="261"/>
      <c r="O73" s="175" t="str">
        <f t="shared" si="1"/>
        <v/>
      </c>
      <c r="P73" s="242" t="str">
        <f t="shared" si="2"/>
        <v/>
      </c>
      <c r="Q73" s="383" t="str">
        <f>IFERROR(IF(P73="Check Data","Check Data",VLOOKUP(P73,'G-4 Temporal multipliers'!$A$4:$C$37,3,FALSE)),"")</f>
        <v/>
      </c>
      <c r="R73" s="171" t="str">
        <f>IF(C73="","",VLOOKUP(C73,'G-7 Rivers Data'!$B$4:$G$8,4,FALSE))</f>
        <v/>
      </c>
      <c r="S73" s="179" t="str">
        <f t="shared" si="3"/>
        <v/>
      </c>
      <c r="T73" s="269" t="str">
        <f t="shared" si="4"/>
        <v/>
      </c>
      <c r="U73" s="172" t="str">
        <f t="shared" si="5"/>
        <v/>
      </c>
      <c r="V73" s="79"/>
      <c r="W73" s="172" t="str">
        <f>IF(V73="","",IF(VLOOKUP(V73,'G-7 Rivers Data'!$AA$4:$AB$7,2,FALSE)=0,"Spatial Data Missing",VLOOKUP(V73,'G-7 Rivers Data'!$AA$4:$AB$7,2,FALSE)))</f>
        <v/>
      </c>
      <c r="X73" s="187"/>
      <c r="Y73" s="172" t="str">
        <f>IF(X73="","",IF(VLOOKUP(X73,'G-7 Rivers Data'!$AD$4:$AE$8,2,FALSE)=0,"Enrcoachment Data Missing",VLOOKUP(X73,'G-7 Rivers Data'!$AD$4:$AE$8,2,FALSE)))</f>
        <v/>
      </c>
      <c r="Z73" s="265" t="str">
        <f t="shared" si="6"/>
        <v/>
      </c>
      <c r="AA73" s="180"/>
      <c r="AB73" s="181"/>
      <c r="AH73" s="35" t="str">
        <f>IFERROR(INDEX('G-7 Rivers Data'!$AZ$3:$AZ$7,MATCH(C73,'G-7 Rivers Data'!$AY$3:$AY$7,0)),"")</f>
        <v/>
      </c>
    </row>
    <row r="74" spans="2:34" ht="13.8" x14ac:dyDescent="0.25">
      <c r="B74" s="168">
        <v>63</v>
      </c>
      <c r="C74" s="212"/>
      <c r="D74" s="213"/>
      <c r="E74" s="171" t="str">
        <f>IF(C74="","",VLOOKUP(C74,'G-7 Rivers Data'!$B$2:$G$8,2,FALSE))</f>
        <v/>
      </c>
      <c r="F74" s="172" t="str">
        <f>IFERROR(VLOOKUP(E74,'G-7 Rivers Data'!$C$4:$D$8,2,FALSE),"")</f>
        <v/>
      </c>
      <c r="G74" s="173"/>
      <c r="H74" s="172" t="str">
        <f>IFERROR(INDEX('G-7 Rivers Data'!$H$4:$L$8,MATCH(C74,'G-7 Rivers Data'!$B$4:$B$8,0),MATCH(G74,'G-7 Rivers Data'!$H$3:$L$3,0)),"")</f>
        <v/>
      </c>
      <c r="I74" s="186"/>
      <c r="J74" s="175" t="str">
        <f>IF(I74="","",IF(VLOOKUP(I74,'G-7 Rivers Data'!$AG$4:$AI$9,2,FALSE)=0,"Spatial Data Missing",VLOOKUP(I74,'G-7 Rivers Data'!$AG$4:$AI$9,2,FALSE)))</f>
        <v/>
      </c>
      <c r="K74" s="176" t="str">
        <f>IF(I74="","",IF(VLOOKUP(I74,'G-7 Rivers Data'!$AG$4:$AI$9,3,FALSE)=0,"Spatial Data Missing",VLOOKUP(I74,'G-7 Rivers Data'!$AG$4:$AI$9,3,FALSE)))</f>
        <v/>
      </c>
      <c r="L74" s="171" t="str">
        <f>IFERROR(INDEX('G-7 Rivers Data'!$O$3:$O$7,MATCH(G74,'G-7 Rivers Data'!$N$3:$N$7,0)),"")</f>
        <v/>
      </c>
      <c r="M74" s="94"/>
      <c r="N74" s="261"/>
      <c r="O74" s="175" t="str">
        <f t="shared" si="1"/>
        <v/>
      </c>
      <c r="P74" s="242" t="str">
        <f t="shared" si="2"/>
        <v/>
      </c>
      <c r="Q74" s="383" t="str">
        <f>IFERROR(IF(P74="Check Data","Check Data",VLOOKUP(P74,'G-4 Temporal multipliers'!$A$4:$C$37,3,FALSE)),"")</f>
        <v/>
      </c>
      <c r="R74" s="171" t="str">
        <f>IF(C74="","",VLOOKUP(C74,'G-7 Rivers Data'!$B$4:$G$8,4,FALSE))</f>
        <v/>
      </c>
      <c r="S74" s="179" t="str">
        <f t="shared" si="3"/>
        <v/>
      </c>
      <c r="T74" s="269" t="str">
        <f t="shared" si="4"/>
        <v/>
      </c>
      <c r="U74" s="172" t="str">
        <f t="shared" si="5"/>
        <v/>
      </c>
      <c r="V74" s="79"/>
      <c r="W74" s="172" t="str">
        <f>IF(V74="","",IF(VLOOKUP(V74,'G-7 Rivers Data'!$AA$4:$AB$7,2,FALSE)=0,"Spatial Data Missing",VLOOKUP(V74,'G-7 Rivers Data'!$AA$4:$AB$7,2,FALSE)))</f>
        <v/>
      </c>
      <c r="X74" s="187"/>
      <c r="Y74" s="172" t="str">
        <f>IF(X74="","",IF(VLOOKUP(X74,'G-7 Rivers Data'!$AD$4:$AE$8,2,FALSE)=0,"Enrcoachment Data Missing",VLOOKUP(X74,'G-7 Rivers Data'!$AD$4:$AE$8,2,FALSE)))</f>
        <v/>
      </c>
      <c r="Z74" s="265" t="str">
        <f t="shared" si="6"/>
        <v/>
      </c>
      <c r="AA74" s="180"/>
      <c r="AB74" s="181"/>
      <c r="AH74" s="35" t="str">
        <f>IFERROR(INDEX('G-7 Rivers Data'!$AZ$3:$AZ$7,MATCH(C74,'G-7 Rivers Data'!$AY$3:$AY$7,0)),"")</f>
        <v/>
      </c>
    </row>
    <row r="75" spans="2:34" ht="13.8" x14ac:dyDescent="0.25">
      <c r="B75" s="168">
        <v>64</v>
      </c>
      <c r="C75" s="212"/>
      <c r="D75" s="213"/>
      <c r="E75" s="171" t="str">
        <f>IF(C75="","",VLOOKUP(C75,'G-7 Rivers Data'!$B$2:$G$8,2,FALSE))</f>
        <v/>
      </c>
      <c r="F75" s="172" t="str">
        <f>IFERROR(VLOOKUP(E75,'G-7 Rivers Data'!$C$4:$D$8,2,FALSE),"")</f>
        <v/>
      </c>
      <c r="G75" s="173"/>
      <c r="H75" s="172" t="str">
        <f>IFERROR(INDEX('G-7 Rivers Data'!$H$4:$L$8,MATCH(C75,'G-7 Rivers Data'!$B$4:$B$8,0),MATCH(G75,'G-7 Rivers Data'!$H$3:$L$3,0)),"")</f>
        <v/>
      </c>
      <c r="I75" s="186"/>
      <c r="J75" s="175" t="str">
        <f>IF(I75="","",IF(VLOOKUP(I75,'G-7 Rivers Data'!$AG$4:$AI$9,2,FALSE)=0,"Spatial Data Missing",VLOOKUP(I75,'G-7 Rivers Data'!$AG$4:$AI$9,2,FALSE)))</f>
        <v/>
      </c>
      <c r="K75" s="176" t="str">
        <f>IF(I75="","",IF(VLOOKUP(I75,'G-7 Rivers Data'!$AG$4:$AI$9,3,FALSE)=0,"Spatial Data Missing",VLOOKUP(I75,'G-7 Rivers Data'!$AG$4:$AI$9,3,FALSE)))</f>
        <v/>
      </c>
      <c r="L75" s="171" t="str">
        <f>IFERROR(INDEX('G-7 Rivers Data'!$O$3:$O$7,MATCH(G75,'G-7 Rivers Data'!$N$3:$N$7,0)),"")</f>
        <v/>
      </c>
      <c r="M75" s="94"/>
      <c r="N75" s="261"/>
      <c r="O75" s="175" t="str">
        <f t="shared" si="1"/>
        <v/>
      </c>
      <c r="P75" s="242" t="str">
        <f t="shared" si="2"/>
        <v/>
      </c>
      <c r="Q75" s="383" t="str">
        <f>IFERROR(IF(P75="Check Data","Check Data",VLOOKUP(P75,'G-4 Temporal multipliers'!$A$4:$C$37,3,FALSE)),"")</f>
        <v/>
      </c>
      <c r="R75" s="171" t="str">
        <f>IF(C75="","",VLOOKUP(C75,'G-7 Rivers Data'!$B$4:$G$8,4,FALSE))</f>
        <v/>
      </c>
      <c r="S75" s="179" t="str">
        <f t="shared" si="3"/>
        <v/>
      </c>
      <c r="T75" s="269" t="str">
        <f t="shared" si="4"/>
        <v/>
      </c>
      <c r="U75" s="172" t="str">
        <f t="shared" si="5"/>
        <v/>
      </c>
      <c r="V75" s="79"/>
      <c r="W75" s="172" t="str">
        <f>IF(V75="","",IF(VLOOKUP(V75,'G-7 Rivers Data'!$AA$4:$AB$7,2,FALSE)=0,"Spatial Data Missing",VLOOKUP(V75,'G-7 Rivers Data'!$AA$4:$AB$7,2,FALSE)))</f>
        <v/>
      </c>
      <c r="X75" s="187"/>
      <c r="Y75" s="172" t="str">
        <f>IF(X75="","",IF(VLOOKUP(X75,'G-7 Rivers Data'!$AD$4:$AE$8,2,FALSE)=0,"Enrcoachment Data Missing",VLOOKUP(X75,'G-7 Rivers Data'!$AD$4:$AE$8,2,FALSE)))</f>
        <v/>
      </c>
      <c r="Z75" s="265" t="str">
        <f t="shared" si="6"/>
        <v/>
      </c>
      <c r="AA75" s="180"/>
      <c r="AB75" s="181"/>
      <c r="AH75" s="35" t="str">
        <f>IFERROR(INDEX('G-7 Rivers Data'!$AZ$3:$AZ$7,MATCH(C75,'G-7 Rivers Data'!$AY$3:$AY$7,0)),"")</f>
        <v/>
      </c>
    </row>
    <row r="76" spans="2:34" ht="13.8" x14ac:dyDescent="0.25">
      <c r="B76" s="168">
        <v>65</v>
      </c>
      <c r="C76" s="212"/>
      <c r="D76" s="213"/>
      <c r="E76" s="171" t="str">
        <f>IF(C76="","",VLOOKUP(C76,'G-7 Rivers Data'!$B$2:$G$8,2,FALSE))</f>
        <v/>
      </c>
      <c r="F76" s="172" t="str">
        <f>IFERROR(VLOOKUP(E76,'G-7 Rivers Data'!$C$4:$D$8,2,FALSE),"")</f>
        <v/>
      </c>
      <c r="G76" s="173"/>
      <c r="H76" s="172" t="str">
        <f>IFERROR(INDEX('G-7 Rivers Data'!$H$4:$L$8,MATCH(C76,'G-7 Rivers Data'!$B$4:$B$8,0),MATCH(G76,'G-7 Rivers Data'!$H$3:$L$3,0)),"")</f>
        <v/>
      </c>
      <c r="I76" s="186"/>
      <c r="J76" s="175" t="str">
        <f>IF(I76="","",IF(VLOOKUP(I76,'G-7 Rivers Data'!$AG$4:$AI$9,2,FALSE)=0,"Spatial Data Missing",VLOOKUP(I76,'G-7 Rivers Data'!$AG$4:$AI$9,2,FALSE)))</f>
        <v/>
      </c>
      <c r="K76" s="176" t="str">
        <f>IF(I76="","",IF(VLOOKUP(I76,'G-7 Rivers Data'!$AG$4:$AI$9,3,FALSE)=0,"Spatial Data Missing",VLOOKUP(I76,'G-7 Rivers Data'!$AG$4:$AI$9,3,FALSE)))</f>
        <v/>
      </c>
      <c r="L76" s="171" t="str">
        <f>IFERROR(INDEX('G-7 Rivers Data'!$O$3:$O$7,MATCH(G76,'G-7 Rivers Data'!$N$3:$N$7,0)),"")</f>
        <v/>
      </c>
      <c r="M76" s="94"/>
      <c r="N76" s="261"/>
      <c r="O76" s="175" t="str">
        <f t="shared" si="1"/>
        <v/>
      </c>
      <c r="P76" s="242" t="str">
        <f t="shared" si="2"/>
        <v/>
      </c>
      <c r="Q76" s="383" t="str">
        <f>IFERROR(IF(P76="Check Data","Check Data",VLOOKUP(P76,'G-4 Temporal multipliers'!$A$4:$C$37,3,FALSE)),"")</f>
        <v/>
      </c>
      <c r="R76" s="171" t="str">
        <f>IF(C76="","",VLOOKUP(C76,'G-7 Rivers Data'!$B$4:$G$8,4,FALSE))</f>
        <v/>
      </c>
      <c r="S76" s="179" t="str">
        <f t="shared" si="3"/>
        <v/>
      </c>
      <c r="T76" s="269" t="str">
        <f t="shared" si="4"/>
        <v/>
      </c>
      <c r="U76" s="172" t="str">
        <f t="shared" si="5"/>
        <v/>
      </c>
      <c r="V76" s="79"/>
      <c r="W76" s="172" t="str">
        <f>IF(V76="","",IF(VLOOKUP(V76,'G-7 Rivers Data'!$AA$4:$AB$7,2,FALSE)=0,"Spatial Data Missing",VLOOKUP(V76,'G-7 Rivers Data'!$AA$4:$AB$7,2,FALSE)))</f>
        <v/>
      </c>
      <c r="X76" s="187"/>
      <c r="Y76" s="172" t="str">
        <f>IF(X76="","",IF(VLOOKUP(X76,'G-7 Rivers Data'!$AD$4:$AE$8,2,FALSE)=0,"Enrcoachment Data Missing",VLOOKUP(X76,'G-7 Rivers Data'!$AD$4:$AE$8,2,FALSE)))</f>
        <v/>
      </c>
      <c r="Z76" s="265" t="str">
        <f t="shared" si="6"/>
        <v/>
      </c>
      <c r="AA76" s="180"/>
      <c r="AB76" s="181"/>
      <c r="AH76" s="35" t="str">
        <f>IFERROR(INDEX('G-7 Rivers Data'!$AZ$3:$AZ$7,MATCH(C76,'G-7 Rivers Data'!$AY$3:$AY$7,0)),"")</f>
        <v/>
      </c>
    </row>
    <row r="77" spans="2:34" ht="13.8" x14ac:dyDescent="0.25">
      <c r="B77" s="168">
        <v>66</v>
      </c>
      <c r="C77" s="212"/>
      <c r="D77" s="213"/>
      <c r="E77" s="171" t="str">
        <f>IF(C77="","",VLOOKUP(C77,'G-7 Rivers Data'!$B$2:$G$8,2,FALSE))</f>
        <v/>
      </c>
      <c r="F77" s="172" t="str">
        <f>IFERROR(VLOOKUP(E77,'G-7 Rivers Data'!$C$4:$D$8,2,FALSE),"")</f>
        <v/>
      </c>
      <c r="G77" s="173"/>
      <c r="H77" s="172" t="str">
        <f>IFERROR(INDEX('G-7 Rivers Data'!$H$4:$L$8,MATCH(C77,'G-7 Rivers Data'!$B$4:$B$8,0),MATCH(G77,'G-7 Rivers Data'!$H$3:$L$3,0)),"")</f>
        <v/>
      </c>
      <c r="I77" s="186"/>
      <c r="J77" s="175" t="str">
        <f>IF(I77="","",IF(VLOOKUP(I77,'G-7 Rivers Data'!$AG$4:$AI$9,2,FALSE)=0,"Spatial Data Missing",VLOOKUP(I77,'G-7 Rivers Data'!$AG$4:$AI$9,2,FALSE)))</f>
        <v/>
      </c>
      <c r="K77" s="176" t="str">
        <f>IF(I77="","",IF(VLOOKUP(I77,'G-7 Rivers Data'!$AG$4:$AI$9,3,FALSE)=0,"Spatial Data Missing",VLOOKUP(I77,'G-7 Rivers Data'!$AG$4:$AI$9,3,FALSE)))</f>
        <v/>
      </c>
      <c r="L77" s="171" t="str">
        <f>IFERROR(INDEX('G-7 Rivers Data'!$O$3:$O$7,MATCH(G77,'G-7 Rivers Data'!$N$3:$N$7,0)),"")</f>
        <v/>
      </c>
      <c r="M77" s="94"/>
      <c r="N77" s="261"/>
      <c r="O77" s="175" t="str">
        <f t="shared" ref="O77:O140" si="7">IF(L77="","",IF(AND(M77&gt;0,N77&gt;0),"Error -both advance and delayed habitat creation",IF(AND(OR(M77="Habitat already in target condition",L77&lt;=M77),N77=0),"Check details - Is there evidence that habitat has reached target condition?",IF(M77&gt;0,"Check details - Is there evidence habitat creation started/in place?",IF(N77&gt;0,"Check details- Delay in starting habitat in required condition?","Standard time to target condition applied")))))</f>
        <v/>
      </c>
      <c r="P77" s="242" t="str">
        <f t="shared" ref="P77:P140" si="8">IF(LEFT(O77,5)="Error","Check Data",IF(L77="","",IF(M77="30+",0,IF(N77="30+","30+",IF(L77+N77&gt;30,"30+",IF(L77+N77-M77&gt;0,L77+N77-M77,IF(L77-M77&lt;0,0,L77+N77-M77)))))))</f>
        <v/>
      </c>
      <c r="Q77" s="383" t="str">
        <f>IFERROR(IF(P77="Check Data","Check Data",VLOOKUP(P77,'G-4 Temporal multipliers'!$A$4:$C$37,3,FALSE)),"")</f>
        <v/>
      </c>
      <c r="R77" s="171" t="str">
        <f>IF(C77="","",VLOOKUP(C77,'G-7 Rivers Data'!$B$4:$G$8,4,FALSE))</f>
        <v/>
      </c>
      <c r="S77" s="179" t="str">
        <f t="shared" ref="S77:S140" si="9">IF(C77="","",IF(P77="Check Data","Check Data",IF(G77="","",IF($O77="Check details - Is there evidence that habitat has reached target condition?","Low Difficulty - only applicable if all habitat created before losses","Standard difficulty applied"))))</f>
        <v/>
      </c>
      <c r="T77" s="269" t="str">
        <f t="shared" ref="T77:T140" si="10">(IF(AND(S77="Standard difficulty applied",L77&gt;M77),R77,IF(AND(S77="Low Difficulty - only applicable if all habitat created before losses",M77&gt;=L77),"Low",R77)))</f>
        <v/>
      </c>
      <c r="U77" s="172" t="str">
        <f t="shared" ref="U77:U140" si="11">IF(C77="","",VLOOKUP(R77,Difficulty,2,FALSE))</f>
        <v/>
      </c>
      <c r="V77" s="79"/>
      <c r="W77" s="172" t="str">
        <f>IF(V77="","",IF(VLOOKUP(V77,'G-7 Rivers Data'!$AA$4:$AB$7,2,FALSE)=0,"Spatial Data Missing",VLOOKUP(V77,'G-7 Rivers Data'!$AA$4:$AB$7,2,FALSE)))</f>
        <v/>
      </c>
      <c r="X77" s="187"/>
      <c r="Y77" s="172" t="str">
        <f>IF(X77="","",IF(VLOOKUP(X77,'G-7 Rivers Data'!$AD$4:$AE$8,2,FALSE)=0,"Enrcoachment Data Missing",VLOOKUP(X77,'G-7 Rivers Data'!$AD$4:$AE$8,2,FALSE)))</f>
        <v/>
      </c>
      <c r="Z77" s="265" t="str">
        <f t="shared" ref="Z77:Z140" si="12">IFERROR(IF(C77="","",D77*F77*H77*K77*Q77*U77*Y77*W77),"")</f>
        <v/>
      </c>
      <c r="AA77" s="180"/>
      <c r="AB77" s="181"/>
      <c r="AH77" s="35" t="str">
        <f>IFERROR(INDEX('G-7 Rivers Data'!$AZ$3:$AZ$7,MATCH(C77,'G-7 Rivers Data'!$AY$3:$AY$7,0)),"")</f>
        <v/>
      </c>
    </row>
    <row r="78" spans="2:34" ht="13.8" x14ac:dyDescent="0.25">
      <c r="B78" s="168">
        <v>67</v>
      </c>
      <c r="C78" s="212"/>
      <c r="D78" s="213"/>
      <c r="E78" s="171" t="str">
        <f>IF(C78="","",VLOOKUP(C78,'G-7 Rivers Data'!$B$2:$G$8,2,FALSE))</f>
        <v/>
      </c>
      <c r="F78" s="172" t="str">
        <f>IFERROR(VLOOKUP(E78,'G-7 Rivers Data'!$C$4:$D$8,2,FALSE),"")</f>
        <v/>
      </c>
      <c r="G78" s="173"/>
      <c r="H78" s="172" t="str">
        <f>IFERROR(INDEX('G-7 Rivers Data'!$H$4:$L$8,MATCH(C78,'G-7 Rivers Data'!$B$4:$B$8,0),MATCH(G78,'G-7 Rivers Data'!$H$3:$L$3,0)),"")</f>
        <v/>
      </c>
      <c r="I78" s="186"/>
      <c r="J78" s="175" t="str">
        <f>IF(I78="","",IF(VLOOKUP(I78,'G-7 Rivers Data'!$AG$4:$AI$9,2,FALSE)=0,"Spatial Data Missing",VLOOKUP(I78,'G-7 Rivers Data'!$AG$4:$AI$9,2,FALSE)))</f>
        <v/>
      </c>
      <c r="K78" s="176" t="str">
        <f>IF(I78="","",IF(VLOOKUP(I78,'G-7 Rivers Data'!$AG$4:$AI$9,3,FALSE)=0,"Spatial Data Missing",VLOOKUP(I78,'G-7 Rivers Data'!$AG$4:$AI$9,3,FALSE)))</f>
        <v/>
      </c>
      <c r="L78" s="171" t="str">
        <f>IFERROR(INDEX('G-7 Rivers Data'!$O$3:$O$7,MATCH(G78,'G-7 Rivers Data'!$N$3:$N$7,0)),"")</f>
        <v/>
      </c>
      <c r="M78" s="94"/>
      <c r="N78" s="261"/>
      <c r="O78" s="175" t="str">
        <f t="shared" si="7"/>
        <v/>
      </c>
      <c r="P78" s="242" t="str">
        <f t="shared" si="8"/>
        <v/>
      </c>
      <c r="Q78" s="383" t="str">
        <f>IFERROR(IF(P78="Check Data","Check Data",VLOOKUP(P78,'G-4 Temporal multipliers'!$A$4:$C$37,3,FALSE)),"")</f>
        <v/>
      </c>
      <c r="R78" s="171" t="str">
        <f>IF(C78="","",VLOOKUP(C78,'G-7 Rivers Data'!$B$4:$G$8,4,FALSE))</f>
        <v/>
      </c>
      <c r="S78" s="179" t="str">
        <f t="shared" si="9"/>
        <v/>
      </c>
      <c r="T78" s="269" t="str">
        <f t="shared" si="10"/>
        <v/>
      </c>
      <c r="U78" s="172" t="str">
        <f t="shared" si="11"/>
        <v/>
      </c>
      <c r="V78" s="79"/>
      <c r="W78" s="172" t="str">
        <f>IF(V78="","",IF(VLOOKUP(V78,'G-7 Rivers Data'!$AA$4:$AB$7,2,FALSE)=0,"Spatial Data Missing",VLOOKUP(V78,'G-7 Rivers Data'!$AA$4:$AB$7,2,FALSE)))</f>
        <v/>
      </c>
      <c r="X78" s="187"/>
      <c r="Y78" s="172" t="str">
        <f>IF(X78="","",IF(VLOOKUP(X78,'G-7 Rivers Data'!$AD$4:$AE$8,2,FALSE)=0,"Enrcoachment Data Missing",VLOOKUP(X78,'G-7 Rivers Data'!$AD$4:$AE$8,2,FALSE)))</f>
        <v/>
      </c>
      <c r="Z78" s="265" t="str">
        <f t="shared" si="12"/>
        <v/>
      </c>
      <c r="AA78" s="180"/>
      <c r="AB78" s="181"/>
      <c r="AH78" s="35" t="str">
        <f>IFERROR(INDEX('G-7 Rivers Data'!$AZ$3:$AZ$7,MATCH(C78,'G-7 Rivers Data'!$AY$3:$AY$7,0)),"")</f>
        <v/>
      </c>
    </row>
    <row r="79" spans="2:34" ht="13.8" x14ac:dyDescent="0.25">
      <c r="B79" s="168">
        <v>68</v>
      </c>
      <c r="C79" s="212"/>
      <c r="D79" s="213"/>
      <c r="E79" s="171" t="str">
        <f>IF(C79="","",VLOOKUP(C79,'G-7 Rivers Data'!$B$2:$G$8,2,FALSE))</f>
        <v/>
      </c>
      <c r="F79" s="172" t="str">
        <f>IFERROR(VLOOKUP(E79,'G-7 Rivers Data'!$C$4:$D$8,2,FALSE),"")</f>
        <v/>
      </c>
      <c r="G79" s="173"/>
      <c r="H79" s="172" t="str">
        <f>IFERROR(INDEX('G-7 Rivers Data'!$H$4:$L$8,MATCH(C79,'G-7 Rivers Data'!$B$4:$B$8,0),MATCH(G79,'G-7 Rivers Data'!$H$3:$L$3,0)),"")</f>
        <v/>
      </c>
      <c r="I79" s="186"/>
      <c r="J79" s="175" t="str">
        <f>IF(I79="","",IF(VLOOKUP(I79,'G-7 Rivers Data'!$AG$4:$AI$9,2,FALSE)=0,"Spatial Data Missing",VLOOKUP(I79,'G-7 Rivers Data'!$AG$4:$AI$9,2,FALSE)))</f>
        <v/>
      </c>
      <c r="K79" s="176" t="str">
        <f>IF(I79="","",IF(VLOOKUP(I79,'G-7 Rivers Data'!$AG$4:$AI$9,3,FALSE)=0,"Spatial Data Missing",VLOOKUP(I79,'G-7 Rivers Data'!$AG$4:$AI$9,3,FALSE)))</f>
        <v/>
      </c>
      <c r="L79" s="171" t="str">
        <f>IFERROR(INDEX('G-7 Rivers Data'!$O$3:$O$7,MATCH(G79,'G-7 Rivers Data'!$N$3:$N$7,0)),"")</f>
        <v/>
      </c>
      <c r="M79" s="94"/>
      <c r="N79" s="261"/>
      <c r="O79" s="175" t="str">
        <f t="shared" si="7"/>
        <v/>
      </c>
      <c r="P79" s="242" t="str">
        <f t="shared" si="8"/>
        <v/>
      </c>
      <c r="Q79" s="383" t="str">
        <f>IFERROR(IF(P79="Check Data","Check Data",VLOOKUP(P79,'G-4 Temporal multipliers'!$A$4:$C$37,3,FALSE)),"")</f>
        <v/>
      </c>
      <c r="R79" s="171" t="str">
        <f>IF(C79="","",VLOOKUP(C79,'G-7 Rivers Data'!$B$4:$G$8,4,FALSE))</f>
        <v/>
      </c>
      <c r="S79" s="179" t="str">
        <f t="shared" si="9"/>
        <v/>
      </c>
      <c r="T79" s="269" t="str">
        <f t="shared" si="10"/>
        <v/>
      </c>
      <c r="U79" s="172" t="str">
        <f t="shared" si="11"/>
        <v/>
      </c>
      <c r="V79" s="79"/>
      <c r="W79" s="172" t="str">
        <f>IF(V79="","",IF(VLOOKUP(V79,'G-7 Rivers Data'!$AA$4:$AB$7,2,FALSE)=0,"Spatial Data Missing",VLOOKUP(V79,'G-7 Rivers Data'!$AA$4:$AB$7,2,FALSE)))</f>
        <v/>
      </c>
      <c r="X79" s="187"/>
      <c r="Y79" s="172" t="str">
        <f>IF(X79="","",IF(VLOOKUP(X79,'G-7 Rivers Data'!$AD$4:$AE$8,2,FALSE)=0,"Enrcoachment Data Missing",VLOOKUP(X79,'G-7 Rivers Data'!$AD$4:$AE$8,2,FALSE)))</f>
        <v/>
      </c>
      <c r="Z79" s="265" t="str">
        <f t="shared" si="12"/>
        <v/>
      </c>
      <c r="AA79" s="180"/>
      <c r="AB79" s="181"/>
      <c r="AH79" s="35" t="str">
        <f>IFERROR(INDEX('G-7 Rivers Data'!$AZ$3:$AZ$7,MATCH(C79,'G-7 Rivers Data'!$AY$3:$AY$7,0)),"")</f>
        <v/>
      </c>
    </row>
    <row r="80" spans="2:34" ht="13.8" x14ac:dyDescent="0.25">
      <c r="B80" s="168">
        <v>69</v>
      </c>
      <c r="C80" s="212"/>
      <c r="D80" s="213"/>
      <c r="E80" s="171" t="str">
        <f>IF(C80="","",VLOOKUP(C80,'G-7 Rivers Data'!$B$2:$G$8,2,FALSE))</f>
        <v/>
      </c>
      <c r="F80" s="172" t="str">
        <f>IFERROR(VLOOKUP(E80,'G-7 Rivers Data'!$C$4:$D$8,2,FALSE),"")</f>
        <v/>
      </c>
      <c r="G80" s="173"/>
      <c r="H80" s="172" t="str">
        <f>IFERROR(INDEX('G-7 Rivers Data'!$H$4:$L$8,MATCH(C80,'G-7 Rivers Data'!$B$4:$B$8,0),MATCH(G80,'G-7 Rivers Data'!$H$3:$L$3,0)),"")</f>
        <v/>
      </c>
      <c r="I80" s="186"/>
      <c r="J80" s="175" t="str">
        <f>IF(I80="","",IF(VLOOKUP(I80,'G-7 Rivers Data'!$AG$4:$AI$9,2,FALSE)=0,"Spatial Data Missing",VLOOKUP(I80,'G-7 Rivers Data'!$AG$4:$AI$9,2,FALSE)))</f>
        <v/>
      </c>
      <c r="K80" s="176" t="str">
        <f>IF(I80="","",IF(VLOOKUP(I80,'G-7 Rivers Data'!$AG$4:$AI$9,3,FALSE)=0,"Spatial Data Missing",VLOOKUP(I80,'G-7 Rivers Data'!$AG$4:$AI$9,3,FALSE)))</f>
        <v/>
      </c>
      <c r="L80" s="171" t="str">
        <f>IFERROR(INDEX('G-7 Rivers Data'!$O$3:$O$7,MATCH(G80,'G-7 Rivers Data'!$N$3:$N$7,0)),"")</f>
        <v/>
      </c>
      <c r="M80" s="94"/>
      <c r="N80" s="261"/>
      <c r="O80" s="175" t="str">
        <f t="shared" si="7"/>
        <v/>
      </c>
      <c r="P80" s="242" t="str">
        <f t="shared" si="8"/>
        <v/>
      </c>
      <c r="Q80" s="383" t="str">
        <f>IFERROR(IF(P80="Check Data","Check Data",VLOOKUP(P80,'G-4 Temporal multipliers'!$A$4:$C$37,3,FALSE)),"")</f>
        <v/>
      </c>
      <c r="R80" s="171" t="str">
        <f>IF(C80="","",VLOOKUP(C80,'G-7 Rivers Data'!$B$4:$G$8,4,FALSE))</f>
        <v/>
      </c>
      <c r="S80" s="179" t="str">
        <f t="shared" si="9"/>
        <v/>
      </c>
      <c r="T80" s="269" t="str">
        <f t="shared" si="10"/>
        <v/>
      </c>
      <c r="U80" s="172" t="str">
        <f t="shared" si="11"/>
        <v/>
      </c>
      <c r="V80" s="79"/>
      <c r="W80" s="172" t="str">
        <f>IF(V80="","",IF(VLOOKUP(V80,'G-7 Rivers Data'!$AA$4:$AB$7,2,FALSE)=0,"Spatial Data Missing",VLOOKUP(V80,'G-7 Rivers Data'!$AA$4:$AB$7,2,FALSE)))</f>
        <v/>
      </c>
      <c r="X80" s="187"/>
      <c r="Y80" s="172" t="str">
        <f>IF(X80="","",IF(VLOOKUP(X80,'G-7 Rivers Data'!$AD$4:$AE$8,2,FALSE)=0,"Enrcoachment Data Missing",VLOOKUP(X80,'G-7 Rivers Data'!$AD$4:$AE$8,2,FALSE)))</f>
        <v/>
      </c>
      <c r="Z80" s="265" t="str">
        <f t="shared" si="12"/>
        <v/>
      </c>
      <c r="AA80" s="180"/>
      <c r="AB80" s="181"/>
      <c r="AH80" s="35" t="str">
        <f>IFERROR(INDEX('G-7 Rivers Data'!$AZ$3:$AZ$7,MATCH(C80,'G-7 Rivers Data'!$AY$3:$AY$7,0)),"")</f>
        <v/>
      </c>
    </row>
    <row r="81" spans="2:34" ht="13.8" x14ac:dyDescent="0.25">
      <c r="B81" s="168">
        <v>70</v>
      </c>
      <c r="C81" s="212"/>
      <c r="D81" s="213"/>
      <c r="E81" s="171" t="str">
        <f>IF(C81="","",VLOOKUP(C81,'G-7 Rivers Data'!$B$2:$G$8,2,FALSE))</f>
        <v/>
      </c>
      <c r="F81" s="172" t="str">
        <f>IFERROR(VLOOKUP(E81,'G-7 Rivers Data'!$C$4:$D$8,2,FALSE),"")</f>
        <v/>
      </c>
      <c r="G81" s="173"/>
      <c r="H81" s="172" t="str">
        <f>IFERROR(INDEX('G-7 Rivers Data'!$H$4:$L$8,MATCH(C81,'G-7 Rivers Data'!$B$4:$B$8,0),MATCH(G81,'G-7 Rivers Data'!$H$3:$L$3,0)),"")</f>
        <v/>
      </c>
      <c r="I81" s="186"/>
      <c r="J81" s="175" t="str">
        <f>IF(I81="","",IF(VLOOKUP(I81,'G-7 Rivers Data'!$AG$4:$AI$9,2,FALSE)=0,"Spatial Data Missing",VLOOKUP(I81,'G-7 Rivers Data'!$AG$4:$AI$9,2,FALSE)))</f>
        <v/>
      </c>
      <c r="K81" s="176" t="str">
        <f>IF(I81="","",IF(VLOOKUP(I81,'G-7 Rivers Data'!$AG$4:$AI$9,3,FALSE)=0,"Spatial Data Missing",VLOOKUP(I81,'G-7 Rivers Data'!$AG$4:$AI$9,3,FALSE)))</f>
        <v/>
      </c>
      <c r="L81" s="171" t="str">
        <f>IFERROR(INDEX('G-7 Rivers Data'!$O$3:$O$7,MATCH(G81,'G-7 Rivers Data'!$N$3:$N$7,0)),"")</f>
        <v/>
      </c>
      <c r="M81" s="94"/>
      <c r="N81" s="261"/>
      <c r="O81" s="175" t="str">
        <f t="shared" si="7"/>
        <v/>
      </c>
      <c r="P81" s="242" t="str">
        <f t="shared" si="8"/>
        <v/>
      </c>
      <c r="Q81" s="383" t="str">
        <f>IFERROR(IF(P81="Check Data","Check Data",VLOOKUP(P81,'G-4 Temporal multipliers'!$A$4:$C$37,3,FALSE)),"")</f>
        <v/>
      </c>
      <c r="R81" s="171" t="str">
        <f>IF(C81="","",VLOOKUP(C81,'G-7 Rivers Data'!$B$4:$G$8,4,FALSE))</f>
        <v/>
      </c>
      <c r="S81" s="179" t="str">
        <f t="shared" si="9"/>
        <v/>
      </c>
      <c r="T81" s="269" t="str">
        <f t="shared" si="10"/>
        <v/>
      </c>
      <c r="U81" s="172" t="str">
        <f t="shared" si="11"/>
        <v/>
      </c>
      <c r="V81" s="79"/>
      <c r="W81" s="172" t="str">
        <f>IF(V81="","",IF(VLOOKUP(V81,'G-7 Rivers Data'!$AA$4:$AB$7,2,FALSE)=0,"Spatial Data Missing",VLOOKUP(V81,'G-7 Rivers Data'!$AA$4:$AB$7,2,FALSE)))</f>
        <v/>
      </c>
      <c r="X81" s="187"/>
      <c r="Y81" s="172" t="str">
        <f>IF(X81="","",IF(VLOOKUP(X81,'G-7 Rivers Data'!$AD$4:$AE$8,2,FALSE)=0,"Enrcoachment Data Missing",VLOOKUP(X81,'G-7 Rivers Data'!$AD$4:$AE$8,2,FALSE)))</f>
        <v/>
      </c>
      <c r="Z81" s="265" t="str">
        <f t="shared" si="12"/>
        <v/>
      </c>
      <c r="AA81" s="180"/>
      <c r="AB81" s="181"/>
      <c r="AH81" s="35" t="str">
        <f>IFERROR(INDEX('G-7 Rivers Data'!$AZ$3:$AZ$7,MATCH(C81,'G-7 Rivers Data'!$AY$3:$AY$7,0)),"")</f>
        <v/>
      </c>
    </row>
    <row r="82" spans="2:34" ht="13.8" x14ac:dyDescent="0.25">
      <c r="B82" s="168">
        <v>71</v>
      </c>
      <c r="C82" s="212"/>
      <c r="D82" s="213"/>
      <c r="E82" s="171" t="str">
        <f>IF(C82="","",VLOOKUP(C82,'G-7 Rivers Data'!$B$2:$G$8,2,FALSE))</f>
        <v/>
      </c>
      <c r="F82" s="172" t="str">
        <f>IFERROR(VLOOKUP(E82,'G-7 Rivers Data'!$C$4:$D$8,2,FALSE),"")</f>
        <v/>
      </c>
      <c r="G82" s="173"/>
      <c r="H82" s="172" t="str">
        <f>IFERROR(INDEX('G-7 Rivers Data'!$H$4:$L$8,MATCH(C82,'G-7 Rivers Data'!$B$4:$B$8,0),MATCH(G82,'G-7 Rivers Data'!$H$3:$L$3,0)),"")</f>
        <v/>
      </c>
      <c r="I82" s="186"/>
      <c r="J82" s="175" t="str">
        <f>IF(I82="","",IF(VLOOKUP(I82,'G-7 Rivers Data'!$AG$4:$AI$9,2,FALSE)=0,"Spatial Data Missing",VLOOKUP(I82,'G-7 Rivers Data'!$AG$4:$AI$9,2,FALSE)))</f>
        <v/>
      </c>
      <c r="K82" s="176" t="str">
        <f>IF(I82="","",IF(VLOOKUP(I82,'G-7 Rivers Data'!$AG$4:$AI$9,3,FALSE)=0,"Spatial Data Missing",VLOOKUP(I82,'G-7 Rivers Data'!$AG$4:$AI$9,3,FALSE)))</f>
        <v/>
      </c>
      <c r="L82" s="171" t="str">
        <f>IFERROR(INDEX('G-7 Rivers Data'!$O$3:$O$7,MATCH(G82,'G-7 Rivers Data'!$N$3:$N$7,0)),"")</f>
        <v/>
      </c>
      <c r="M82" s="94"/>
      <c r="N82" s="261"/>
      <c r="O82" s="175" t="str">
        <f t="shared" si="7"/>
        <v/>
      </c>
      <c r="P82" s="242" t="str">
        <f t="shared" si="8"/>
        <v/>
      </c>
      <c r="Q82" s="383" t="str">
        <f>IFERROR(IF(P82="Check Data","Check Data",VLOOKUP(P82,'G-4 Temporal multipliers'!$A$4:$C$37,3,FALSE)),"")</f>
        <v/>
      </c>
      <c r="R82" s="171" t="str">
        <f>IF(C82="","",VLOOKUP(C82,'G-7 Rivers Data'!$B$4:$G$8,4,FALSE))</f>
        <v/>
      </c>
      <c r="S82" s="179" t="str">
        <f t="shared" si="9"/>
        <v/>
      </c>
      <c r="T82" s="269" t="str">
        <f t="shared" si="10"/>
        <v/>
      </c>
      <c r="U82" s="172" t="str">
        <f t="shared" si="11"/>
        <v/>
      </c>
      <c r="V82" s="79"/>
      <c r="W82" s="172" t="str">
        <f>IF(V82="","",IF(VLOOKUP(V82,'G-7 Rivers Data'!$AA$4:$AB$7,2,FALSE)=0,"Spatial Data Missing",VLOOKUP(V82,'G-7 Rivers Data'!$AA$4:$AB$7,2,FALSE)))</f>
        <v/>
      </c>
      <c r="X82" s="187"/>
      <c r="Y82" s="172" t="str">
        <f>IF(X82="","",IF(VLOOKUP(X82,'G-7 Rivers Data'!$AD$4:$AE$8,2,FALSE)=0,"Enrcoachment Data Missing",VLOOKUP(X82,'G-7 Rivers Data'!$AD$4:$AE$8,2,FALSE)))</f>
        <v/>
      </c>
      <c r="Z82" s="265" t="str">
        <f t="shared" si="12"/>
        <v/>
      </c>
      <c r="AA82" s="180"/>
      <c r="AB82" s="181"/>
      <c r="AH82" s="35" t="str">
        <f>IFERROR(INDEX('G-7 Rivers Data'!$AZ$3:$AZ$7,MATCH(C82,'G-7 Rivers Data'!$AY$3:$AY$7,0)),"")</f>
        <v/>
      </c>
    </row>
    <row r="83" spans="2:34" ht="13.8" x14ac:dyDescent="0.25">
      <c r="B83" s="168">
        <v>72</v>
      </c>
      <c r="C83" s="212"/>
      <c r="D83" s="213"/>
      <c r="E83" s="171" t="str">
        <f>IF(C83="","",VLOOKUP(C83,'G-7 Rivers Data'!$B$2:$G$8,2,FALSE))</f>
        <v/>
      </c>
      <c r="F83" s="172" t="str">
        <f>IFERROR(VLOOKUP(E83,'G-7 Rivers Data'!$C$4:$D$8,2,FALSE),"")</f>
        <v/>
      </c>
      <c r="G83" s="173"/>
      <c r="H83" s="172" t="str">
        <f>IFERROR(INDEX('G-7 Rivers Data'!$H$4:$L$8,MATCH(C83,'G-7 Rivers Data'!$B$4:$B$8,0),MATCH(G83,'G-7 Rivers Data'!$H$3:$L$3,0)),"")</f>
        <v/>
      </c>
      <c r="I83" s="186"/>
      <c r="J83" s="175" t="str">
        <f>IF(I83="","",IF(VLOOKUP(I83,'G-7 Rivers Data'!$AG$4:$AI$9,2,FALSE)=0,"Spatial Data Missing",VLOOKUP(I83,'G-7 Rivers Data'!$AG$4:$AI$9,2,FALSE)))</f>
        <v/>
      </c>
      <c r="K83" s="176" t="str">
        <f>IF(I83="","",IF(VLOOKUP(I83,'G-7 Rivers Data'!$AG$4:$AI$9,3,FALSE)=0,"Spatial Data Missing",VLOOKUP(I83,'G-7 Rivers Data'!$AG$4:$AI$9,3,FALSE)))</f>
        <v/>
      </c>
      <c r="L83" s="171" t="str">
        <f>IFERROR(INDEX('G-7 Rivers Data'!$O$3:$O$7,MATCH(G83,'G-7 Rivers Data'!$N$3:$N$7,0)),"")</f>
        <v/>
      </c>
      <c r="M83" s="94"/>
      <c r="N83" s="261"/>
      <c r="O83" s="175" t="str">
        <f t="shared" si="7"/>
        <v/>
      </c>
      <c r="P83" s="242" t="str">
        <f t="shared" si="8"/>
        <v/>
      </c>
      <c r="Q83" s="383" t="str">
        <f>IFERROR(IF(P83="Check Data","Check Data",VLOOKUP(P83,'G-4 Temporal multipliers'!$A$4:$C$37,3,FALSE)),"")</f>
        <v/>
      </c>
      <c r="R83" s="171" t="str">
        <f>IF(C83="","",VLOOKUP(C83,'G-7 Rivers Data'!$B$4:$G$8,4,FALSE))</f>
        <v/>
      </c>
      <c r="S83" s="179" t="str">
        <f t="shared" si="9"/>
        <v/>
      </c>
      <c r="T83" s="269" t="str">
        <f t="shared" si="10"/>
        <v/>
      </c>
      <c r="U83" s="172" t="str">
        <f t="shared" si="11"/>
        <v/>
      </c>
      <c r="V83" s="79"/>
      <c r="W83" s="172" t="str">
        <f>IF(V83="","",IF(VLOOKUP(V83,'G-7 Rivers Data'!$AA$4:$AB$7,2,FALSE)=0,"Spatial Data Missing",VLOOKUP(V83,'G-7 Rivers Data'!$AA$4:$AB$7,2,FALSE)))</f>
        <v/>
      </c>
      <c r="X83" s="187"/>
      <c r="Y83" s="172" t="str">
        <f>IF(X83="","",IF(VLOOKUP(X83,'G-7 Rivers Data'!$AD$4:$AE$8,2,FALSE)=0,"Enrcoachment Data Missing",VLOOKUP(X83,'G-7 Rivers Data'!$AD$4:$AE$8,2,FALSE)))</f>
        <v/>
      </c>
      <c r="Z83" s="265" t="str">
        <f t="shared" si="12"/>
        <v/>
      </c>
      <c r="AA83" s="180"/>
      <c r="AB83" s="181"/>
      <c r="AH83" s="35" t="str">
        <f>IFERROR(INDEX('G-7 Rivers Data'!$AZ$3:$AZ$7,MATCH(C83,'G-7 Rivers Data'!$AY$3:$AY$7,0)),"")</f>
        <v/>
      </c>
    </row>
    <row r="84" spans="2:34" ht="13.8" x14ac:dyDescent="0.25">
      <c r="B84" s="168">
        <v>73</v>
      </c>
      <c r="C84" s="212"/>
      <c r="D84" s="213"/>
      <c r="E84" s="171" t="str">
        <f>IF(C84="","",VLOOKUP(C84,'G-7 Rivers Data'!$B$2:$G$8,2,FALSE))</f>
        <v/>
      </c>
      <c r="F84" s="172" t="str">
        <f>IFERROR(VLOOKUP(E84,'G-7 Rivers Data'!$C$4:$D$8,2,FALSE),"")</f>
        <v/>
      </c>
      <c r="G84" s="173"/>
      <c r="H84" s="172" t="str">
        <f>IFERROR(INDEX('G-7 Rivers Data'!$H$4:$L$8,MATCH(C84,'G-7 Rivers Data'!$B$4:$B$8,0),MATCH(G84,'G-7 Rivers Data'!$H$3:$L$3,0)),"")</f>
        <v/>
      </c>
      <c r="I84" s="186"/>
      <c r="J84" s="175" t="str">
        <f>IF(I84="","",IF(VLOOKUP(I84,'G-7 Rivers Data'!$AG$4:$AI$9,2,FALSE)=0,"Spatial Data Missing",VLOOKUP(I84,'G-7 Rivers Data'!$AG$4:$AI$9,2,FALSE)))</f>
        <v/>
      </c>
      <c r="K84" s="176" t="str">
        <f>IF(I84="","",IF(VLOOKUP(I84,'G-7 Rivers Data'!$AG$4:$AI$9,3,FALSE)=0,"Spatial Data Missing",VLOOKUP(I84,'G-7 Rivers Data'!$AG$4:$AI$9,3,FALSE)))</f>
        <v/>
      </c>
      <c r="L84" s="171" t="str">
        <f>IFERROR(INDEX('G-7 Rivers Data'!$O$3:$O$7,MATCH(G84,'G-7 Rivers Data'!$N$3:$N$7,0)),"")</f>
        <v/>
      </c>
      <c r="M84" s="94"/>
      <c r="N84" s="261"/>
      <c r="O84" s="175" t="str">
        <f t="shared" si="7"/>
        <v/>
      </c>
      <c r="P84" s="242" t="str">
        <f t="shared" si="8"/>
        <v/>
      </c>
      <c r="Q84" s="383" t="str">
        <f>IFERROR(IF(P84="Check Data","Check Data",VLOOKUP(P84,'G-4 Temporal multipliers'!$A$4:$C$37,3,FALSE)),"")</f>
        <v/>
      </c>
      <c r="R84" s="171" t="str">
        <f>IF(C84="","",VLOOKUP(C84,'G-7 Rivers Data'!$B$4:$G$8,4,FALSE))</f>
        <v/>
      </c>
      <c r="S84" s="179" t="str">
        <f t="shared" si="9"/>
        <v/>
      </c>
      <c r="T84" s="269" t="str">
        <f t="shared" si="10"/>
        <v/>
      </c>
      <c r="U84" s="172" t="str">
        <f t="shared" si="11"/>
        <v/>
      </c>
      <c r="V84" s="79"/>
      <c r="W84" s="172" t="str">
        <f>IF(V84="","",IF(VLOOKUP(V84,'G-7 Rivers Data'!$AA$4:$AB$7,2,FALSE)=0,"Spatial Data Missing",VLOOKUP(V84,'G-7 Rivers Data'!$AA$4:$AB$7,2,FALSE)))</f>
        <v/>
      </c>
      <c r="X84" s="187"/>
      <c r="Y84" s="172" t="str">
        <f>IF(X84="","",IF(VLOOKUP(X84,'G-7 Rivers Data'!$AD$4:$AE$8,2,FALSE)=0,"Enrcoachment Data Missing",VLOOKUP(X84,'G-7 Rivers Data'!$AD$4:$AE$8,2,FALSE)))</f>
        <v/>
      </c>
      <c r="Z84" s="265" t="str">
        <f t="shared" si="12"/>
        <v/>
      </c>
      <c r="AA84" s="180"/>
      <c r="AB84" s="181"/>
      <c r="AH84" s="35" t="str">
        <f>IFERROR(INDEX('G-7 Rivers Data'!$AZ$3:$AZ$7,MATCH(C84,'G-7 Rivers Data'!$AY$3:$AY$7,0)),"")</f>
        <v/>
      </c>
    </row>
    <row r="85" spans="2:34" ht="13.8" x14ac:dyDescent="0.25">
      <c r="B85" s="168">
        <v>74</v>
      </c>
      <c r="C85" s="212"/>
      <c r="D85" s="213"/>
      <c r="E85" s="171" t="str">
        <f>IF(C85="","",VLOOKUP(C85,'G-7 Rivers Data'!$B$2:$G$8,2,FALSE))</f>
        <v/>
      </c>
      <c r="F85" s="172" t="str">
        <f>IFERROR(VLOOKUP(E85,'G-7 Rivers Data'!$C$4:$D$8,2,FALSE),"")</f>
        <v/>
      </c>
      <c r="G85" s="173"/>
      <c r="H85" s="172" t="str">
        <f>IFERROR(INDEX('G-7 Rivers Data'!$H$4:$L$8,MATCH(C85,'G-7 Rivers Data'!$B$4:$B$8,0),MATCH(G85,'G-7 Rivers Data'!$H$3:$L$3,0)),"")</f>
        <v/>
      </c>
      <c r="I85" s="186"/>
      <c r="J85" s="175" t="str">
        <f>IF(I85="","",IF(VLOOKUP(I85,'G-7 Rivers Data'!$AG$4:$AI$9,2,FALSE)=0,"Spatial Data Missing",VLOOKUP(I85,'G-7 Rivers Data'!$AG$4:$AI$9,2,FALSE)))</f>
        <v/>
      </c>
      <c r="K85" s="176" t="str">
        <f>IF(I85="","",IF(VLOOKUP(I85,'G-7 Rivers Data'!$AG$4:$AI$9,3,FALSE)=0,"Spatial Data Missing",VLOOKUP(I85,'G-7 Rivers Data'!$AG$4:$AI$9,3,FALSE)))</f>
        <v/>
      </c>
      <c r="L85" s="171" t="str">
        <f>IFERROR(INDEX('G-7 Rivers Data'!$O$3:$O$7,MATCH(G85,'G-7 Rivers Data'!$N$3:$N$7,0)),"")</f>
        <v/>
      </c>
      <c r="M85" s="94"/>
      <c r="N85" s="261"/>
      <c r="O85" s="175" t="str">
        <f t="shared" si="7"/>
        <v/>
      </c>
      <c r="P85" s="242" t="str">
        <f t="shared" si="8"/>
        <v/>
      </c>
      <c r="Q85" s="383" t="str">
        <f>IFERROR(IF(P85="Check Data","Check Data",VLOOKUP(P85,'G-4 Temporal multipliers'!$A$4:$C$37,3,FALSE)),"")</f>
        <v/>
      </c>
      <c r="R85" s="171" t="str">
        <f>IF(C85="","",VLOOKUP(C85,'G-7 Rivers Data'!$B$4:$G$8,4,FALSE))</f>
        <v/>
      </c>
      <c r="S85" s="179" t="str">
        <f t="shared" si="9"/>
        <v/>
      </c>
      <c r="T85" s="269" t="str">
        <f t="shared" si="10"/>
        <v/>
      </c>
      <c r="U85" s="172" t="str">
        <f t="shared" si="11"/>
        <v/>
      </c>
      <c r="V85" s="79"/>
      <c r="W85" s="172" t="str">
        <f>IF(V85="","",IF(VLOOKUP(V85,'G-7 Rivers Data'!$AA$4:$AB$7,2,FALSE)=0,"Spatial Data Missing",VLOOKUP(V85,'G-7 Rivers Data'!$AA$4:$AB$7,2,FALSE)))</f>
        <v/>
      </c>
      <c r="X85" s="187"/>
      <c r="Y85" s="172" t="str">
        <f>IF(X85="","",IF(VLOOKUP(X85,'G-7 Rivers Data'!$AD$4:$AE$8,2,FALSE)=0,"Enrcoachment Data Missing",VLOOKUP(X85,'G-7 Rivers Data'!$AD$4:$AE$8,2,FALSE)))</f>
        <v/>
      </c>
      <c r="Z85" s="265" t="str">
        <f t="shared" si="12"/>
        <v/>
      </c>
      <c r="AA85" s="180"/>
      <c r="AB85" s="181"/>
      <c r="AH85" s="35" t="str">
        <f>IFERROR(INDEX('G-7 Rivers Data'!$AZ$3:$AZ$7,MATCH(C85,'G-7 Rivers Data'!$AY$3:$AY$7,0)),"")</f>
        <v/>
      </c>
    </row>
    <row r="86" spans="2:34" ht="13.8" x14ac:dyDescent="0.25">
      <c r="B86" s="168">
        <v>75</v>
      </c>
      <c r="C86" s="212"/>
      <c r="D86" s="213"/>
      <c r="E86" s="171" t="str">
        <f>IF(C86="","",VLOOKUP(C86,'G-7 Rivers Data'!$B$2:$G$8,2,FALSE))</f>
        <v/>
      </c>
      <c r="F86" s="172" t="str">
        <f>IFERROR(VLOOKUP(E86,'G-7 Rivers Data'!$C$4:$D$8,2,FALSE),"")</f>
        <v/>
      </c>
      <c r="G86" s="173"/>
      <c r="H86" s="172" t="str">
        <f>IFERROR(INDEX('G-7 Rivers Data'!$H$4:$L$8,MATCH(C86,'G-7 Rivers Data'!$B$4:$B$8,0),MATCH(G86,'G-7 Rivers Data'!$H$3:$L$3,0)),"")</f>
        <v/>
      </c>
      <c r="I86" s="186"/>
      <c r="J86" s="175" t="str">
        <f>IF(I86="","",IF(VLOOKUP(I86,'G-7 Rivers Data'!$AG$4:$AI$9,2,FALSE)=0,"Spatial Data Missing",VLOOKUP(I86,'G-7 Rivers Data'!$AG$4:$AI$9,2,FALSE)))</f>
        <v/>
      </c>
      <c r="K86" s="176" t="str">
        <f>IF(I86="","",IF(VLOOKUP(I86,'G-7 Rivers Data'!$AG$4:$AI$9,3,FALSE)=0,"Spatial Data Missing",VLOOKUP(I86,'G-7 Rivers Data'!$AG$4:$AI$9,3,FALSE)))</f>
        <v/>
      </c>
      <c r="L86" s="171" t="str">
        <f>IFERROR(INDEX('G-7 Rivers Data'!$O$3:$O$7,MATCH(G86,'G-7 Rivers Data'!$N$3:$N$7,0)),"")</f>
        <v/>
      </c>
      <c r="M86" s="94"/>
      <c r="N86" s="261"/>
      <c r="O86" s="175" t="str">
        <f t="shared" si="7"/>
        <v/>
      </c>
      <c r="P86" s="242" t="str">
        <f t="shared" si="8"/>
        <v/>
      </c>
      <c r="Q86" s="383" t="str">
        <f>IFERROR(IF(P86="Check Data","Check Data",VLOOKUP(P86,'G-4 Temporal multipliers'!$A$4:$C$37,3,FALSE)),"")</f>
        <v/>
      </c>
      <c r="R86" s="171" t="str">
        <f>IF(C86="","",VLOOKUP(C86,'G-7 Rivers Data'!$B$4:$G$8,4,FALSE))</f>
        <v/>
      </c>
      <c r="S86" s="179" t="str">
        <f t="shared" si="9"/>
        <v/>
      </c>
      <c r="T86" s="269" t="str">
        <f t="shared" si="10"/>
        <v/>
      </c>
      <c r="U86" s="172" t="str">
        <f t="shared" si="11"/>
        <v/>
      </c>
      <c r="V86" s="79"/>
      <c r="W86" s="172" t="str">
        <f>IF(V86="","",IF(VLOOKUP(V86,'G-7 Rivers Data'!$AA$4:$AB$7,2,FALSE)=0,"Spatial Data Missing",VLOOKUP(V86,'G-7 Rivers Data'!$AA$4:$AB$7,2,FALSE)))</f>
        <v/>
      </c>
      <c r="X86" s="187"/>
      <c r="Y86" s="172" t="str">
        <f>IF(X86="","",IF(VLOOKUP(X86,'G-7 Rivers Data'!$AD$4:$AE$8,2,FALSE)=0,"Enrcoachment Data Missing",VLOOKUP(X86,'G-7 Rivers Data'!$AD$4:$AE$8,2,FALSE)))</f>
        <v/>
      </c>
      <c r="Z86" s="265" t="str">
        <f t="shared" si="12"/>
        <v/>
      </c>
      <c r="AA86" s="180"/>
      <c r="AB86" s="181"/>
      <c r="AH86" s="35" t="str">
        <f>IFERROR(INDEX('G-7 Rivers Data'!$AZ$3:$AZ$7,MATCH(C86,'G-7 Rivers Data'!$AY$3:$AY$7,0)),"")</f>
        <v/>
      </c>
    </row>
    <row r="87" spans="2:34" ht="13.8" x14ac:dyDescent="0.25">
      <c r="B87" s="168">
        <v>76</v>
      </c>
      <c r="C87" s="212"/>
      <c r="D87" s="213"/>
      <c r="E87" s="171" t="str">
        <f>IF(C87="","",VLOOKUP(C87,'G-7 Rivers Data'!$B$2:$G$8,2,FALSE))</f>
        <v/>
      </c>
      <c r="F87" s="172" t="str">
        <f>IFERROR(VLOOKUP(E87,'G-7 Rivers Data'!$C$4:$D$8,2,FALSE),"")</f>
        <v/>
      </c>
      <c r="G87" s="173"/>
      <c r="H87" s="172" t="str">
        <f>IFERROR(INDEX('G-7 Rivers Data'!$H$4:$L$8,MATCH(C87,'G-7 Rivers Data'!$B$4:$B$8,0),MATCH(G87,'G-7 Rivers Data'!$H$3:$L$3,0)),"")</f>
        <v/>
      </c>
      <c r="I87" s="186"/>
      <c r="J87" s="175" t="str">
        <f>IF(I87="","",IF(VLOOKUP(I87,'G-7 Rivers Data'!$AG$4:$AI$9,2,FALSE)=0,"Spatial Data Missing",VLOOKUP(I87,'G-7 Rivers Data'!$AG$4:$AI$9,2,FALSE)))</f>
        <v/>
      </c>
      <c r="K87" s="176" t="str">
        <f>IF(I87="","",IF(VLOOKUP(I87,'G-7 Rivers Data'!$AG$4:$AI$9,3,FALSE)=0,"Spatial Data Missing",VLOOKUP(I87,'G-7 Rivers Data'!$AG$4:$AI$9,3,FALSE)))</f>
        <v/>
      </c>
      <c r="L87" s="171" t="str">
        <f>IFERROR(INDEX('G-7 Rivers Data'!$O$3:$O$7,MATCH(G87,'G-7 Rivers Data'!$N$3:$N$7,0)),"")</f>
        <v/>
      </c>
      <c r="M87" s="94"/>
      <c r="N87" s="261"/>
      <c r="O87" s="175" t="str">
        <f t="shared" si="7"/>
        <v/>
      </c>
      <c r="P87" s="242" t="str">
        <f t="shared" si="8"/>
        <v/>
      </c>
      <c r="Q87" s="383" t="str">
        <f>IFERROR(IF(P87="Check Data","Check Data",VLOOKUP(P87,'G-4 Temporal multipliers'!$A$4:$C$37,3,FALSE)),"")</f>
        <v/>
      </c>
      <c r="R87" s="171" t="str">
        <f>IF(C87="","",VLOOKUP(C87,'G-7 Rivers Data'!$B$4:$G$8,4,FALSE))</f>
        <v/>
      </c>
      <c r="S87" s="179" t="str">
        <f t="shared" si="9"/>
        <v/>
      </c>
      <c r="T87" s="269" t="str">
        <f t="shared" si="10"/>
        <v/>
      </c>
      <c r="U87" s="172" t="str">
        <f t="shared" si="11"/>
        <v/>
      </c>
      <c r="V87" s="79"/>
      <c r="W87" s="172" t="str">
        <f>IF(V87="","",IF(VLOOKUP(V87,'G-7 Rivers Data'!$AA$4:$AB$7,2,FALSE)=0,"Spatial Data Missing",VLOOKUP(V87,'G-7 Rivers Data'!$AA$4:$AB$7,2,FALSE)))</f>
        <v/>
      </c>
      <c r="X87" s="187"/>
      <c r="Y87" s="172" t="str">
        <f>IF(X87="","",IF(VLOOKUP(X87,'G-7 Rivers Data'!$AD$4:$AE$8,2,FALSE)=0,"Enrcoachment Data Missing",VLOOKUP(X87,'G-7 Rivers Data'!$AD$4:$AE$8,2,FALSE)))</f>
        <v/>
      </c>
      <c r="Z87" s="265" t="str">
        <f t="shared" si="12"/>
        <v/>
      </c>
      <c r="AA87" s="180"/>
      <c r="AB87" s="181"/>
      <c r="AH87" s="35" t="str">
        <f>IFERROR(INDEX('G-7 Rivers Data'!$AZ$3:$AZ$7,MATCH(C87,'G-7 Rivers Data'!$AY$3:$AY$7,0)),"")</f>
        <v/>
      </c>
    </row>
    <row r="88" spans="2:34" ht="13.8" x14ac:dyDescent="0.25">
      <c r="B88" s="168">
        <v>77</v>
      </c>
      <c r="C88" s="212"/>
      <c r="D88" s="213"/>
      <c r="E88" s="171" t="str">
        <f>IF(C88="","",VLOOKUP(C88,'G-7 Rivers Data'!$B$2:$G$8,2,FALSE))</f>
        <v/>
      </c>
      <c r="F88" s="172" t="str">
        <f>IFERROR(VLOOKUP(E88,'G-7 Rivers Data'!$C$4:$D$8,2,FALSE),"")</f>
        <v/>
      </c>
      <c r="G88" s="173"/>
      <c r="H88" s="172" t="str">
        <f>IFERROR(INDEX('G-7 Rivers Data'!$H$4:$L$8,MATCH(C88,'G-7 Rivers Data'!$B$4:$B$8,0),MATCH(G88,'G-7 Rivers Data'!$H$3:$L$3,0)),"")</f>
        <v/>
      </c>
      <c r="I88" s="186"/>
      <c r="J88" s="175" t="str">
        <f>IF(I88="","",IF(VLOOKUP(I88,'G-7 Rivers Data'!$AG$4:$AI$9,2,FALSE)=0,"Spatial Data Missing",VLOOKUP(I88,'G-7 Rivers Data'!$AG$4:$AI$9,2,FALSE)))</f>
        <v/>
      </c>
      <c r="K88" s="176" t="str">
        <f>IF(I88="","",IF(VLOOKUP(I88,'G-7 Rivers Data'!$AG$4:$AI$9,3,FALSE)=0,"Spatial Data Missing",VLOOKUP(I88,'G-7 Rivers Data'!$AG$4:$AI$9,3,FALSE)))</f>
        <v/>
      </c>
      <c r="L88" s="171" t="str">
        <f>IFERROR(INDEX('G-7 Rivers Data'!$O$3:$O$7,MATCH(G88,'G-7 Rivers Data'!$N$3:$N$7,0)),"")</f>
        <v/>
      </c>
      <c r="M88" s="94"/>
      <c r="N88" s="261"/>
      <c r="O88" s="175" t="str">
        <f t="shared" si="7"/>
        <v/>
      </c>
      <c r="P88" s="242" t="str">
        <f t="shared" si="8"/>
        <v/>
      </c>
      <c r="Q88" s="383" t="str">
        <f>IFERROR(IF(P88="Check Data","Check Data",VLOOKUP(P88,'G-4 Temporal multipliers'!$A$4:$C$37,3,FALSE)),"")</f>
        <v/>
      </c>
      <c r="R88" s="171" t="str">
        <f>IF(C88="","",VLOOKUP(C88,'G-7 Rivers Data'!$B$4:$G$8,4,FALSE))</f>
        <v/>
      </c>
      <c r="S88" s="179" t="str">
        <f t="shared" si="9"/>
        <v/>
      </c>
      <c r="T88" s="269" t="str">
        <f t="shared" si="10"/>
        <v/>
      </c>
      <c r="U88" s="172" t="str">
        <f t="shared" si="11"/>
        <v/>
      </c>
      <c r="V88" s="79"/>
      <c r="W88" s="172" t="str">
        <f>IF(V88="","",IF(VLOOKUP(V88,'G-7 Rivers Data'!$AA$4:$AB$7,2,FALSE)=0,"Spatial Data Missing",VLOOKUP(V88,'G-7 Rivers Data'!$AA$4:$AB$7,2,FALSE)))</f>
        <v/>
      </c>
      <c r="X88" s="187"/>
      <c r="Y88" s="172" t="str">
        <f>IF(X88="","",IF(VLOOKUP(X88,'G-7 Rivers Data'!$AD$4:$AE$8,2,FALSE)=0,"Enrcoachment Data Missing",VLOOKUP(X88,'G-7 Rivers Data'!$AD$4:$AE$8,2,FALSE)))</f>
        <v/>
      </c>
      <c r="Z88" s="265" t="str">
        <f t="shared" si="12"/>
        <v/>
      </c>
      <c r="AA88" s="180"/>
      <c r="AB88" s="181"/>
      <c r="AH88" s="35" t="str">
        <f>IFERROR(INDEX('G-7 Rivers Data'!$AZ$3:$AZ$7,MATCH(C88,'G-7 Rivers Data'!$AY$3:$AY$7,0)),"")</f>
        <v/>
      </c>
    </row>
    <row r="89" spans="2:34" ht="13.8" x14ac:dyDescent="0.25">
      <c r="B89" s="168">
        <v>78</v>
      </c>
      <c r="C89" s="212"/>
      <c r="D89" s="213"/>
      <c r="E89" s="171" t="str">
        <f>IF(C89="","",VLOOKUP(C89,'G-7 Rivers Data'!$B$2:$G$8,2,FALSE))</f>
        <v/>
      </c>
      <c r="F89" s="172" t="str">
        <f>IFERROR(VLOOKUP(E89,'G-7 Rivers Data'!$C$4:$D$8,2,FALSE),"")</f>
        <v/>
      </c>
      <c r="G89" s="173"/>
      <c r="H89" s="172" t="str">
        <f>IFERROR(INDEX('G-7 Rivers Data'!$H$4:$L$8,MATCH(C89,'G-7 Rivers Data'!$B$4:$B$8,0),MATCH(G89,'G-7 Rivers Data'!$H$3:$L$3,0)),"")</f>
        <v/>
      </c>
      <c r="I89" s="186"/>
      <c r="J89" s="175" t="str">
        <f>IF(I89="","",IF(VLOOKUP(I89,'G-7 Rivers Data'!$AG$4:$AI$9,2,FALSE)=0,"Spatial Data Missing",VLOOKUP(I89,'G-7 Rivers Data'!$AG$4:$AI$9,2,FALSE)))</f>
        <v/>
      </c>
      <c r="K89" s="176" t="str">
        <f>IF(I89="","",IF(VLOOKUP(I89,'G-7 Rivers Data'!$AG$4:$AI$9,3,FALSE)=0,"Spatial Data Missing",VLOOKUP(I89,'G-7 Rivers Data'!$AG$4:$AI$9,3,FALSE)))</f>
        <v/>
      </c>
      <c r="L89" s="171" t="str">
        <f>IFERROR(INDEX('G-7 Rivers Data'!$O$3:$O$7,MATCH(G89,'G-7 Rivers Data'!$N$3:$N$7,0)),"")</f>
        <v/>
      </c>
      <c r="M89" s="94"/>
      <c r="N89" s="261"/>
      <c r="O89" s="175" t="str">
        <f t="shared" si="7"/>
        <v/>
      </c>
      <c r="P89" s="242" t="str">
        <f t="shared" si="8"/>
        <v/>
      </c>
      <c r="Q89" s="383" t="str">
        <f>IFERROR(IF(P89="Check Data","Check Data",VLOOKUP(P89,'G-4 Temporal multipliers'!$A$4:$C$37,3,FALSE)),"")</f>
        <v/>
      </c>
      <c r="R89" s="171" t="str">
        <f>IF(C89="","",VLOOKUP(C89,'G-7 Rivers Data'!$B$4:$G$8,4,FALSE))</f>
        <v/>
      </c>
      <c r="S89" s="179" t="str">
        <f t="shared" si="9"/>
        <v/>
      </c>
      <c r="T89" s="269" t="str">
        <f t="shared" si="10"/>
        <v/>
      </c>
      <c r="U89" s="172" t="str">
        <f t="shared" si="11"/>
        <v/>
      </c>
      <c r="V89" s="79"/>
      <c r="W89" s="172" t="str">
        <f>IF(V89="","",IF(VLOOKUP(V89,'G-7 Rivers Data'!$AA$4:$AB$7,2,FALSE)=0,"Spatial Data Missing",VLOOKUP(V89,'G-7 Rivers Data'!$AA$4:$AB$7,2,FALSE)))</f>
        <v/>
      </c>
      <c r="X89" s="187"/>
      <c r="Y89" s="172" t="str">
        <f>IF(X89="","",IF(VLOOKUP(X89,'G-7 Rivers Data'!$AD$4:$AE$8,2,FALSE)=0,"Enrcoachment Data Missing",VLOOKUP(X89,'G-7 Rivers Data'!$AD$4:$AE$8,2,FALSE)))</f>
        <v/>
      </c>
      <c r="Z89" s="265" t="str">
        <f t="shared" si="12"/>
        <v/>
      </c>
      <c r="AA89" s="180"/>
      <c r="AB89" s="181"/>
      <c r="AH89" s="35" t="str">
        <f>IFERROR(INDEX('G-7 Rivers Data'!$AZ$3:$AZ$7,MATCH(C89,'G-7 Rivers Data'!$AY$3:$AY$7,0)),"")</f>
        <v/>
      </c>
    </row>
    <row r="90" spans="2:34" ht="13.8" x14ac:dyDescent="0.25">
      <c r="B90" s="168">
        <v>79</v>
      </c>
      <c r="C90" s="212"/>
      <c r="D90" s="213"/>
      <c r="E90" s="171" t="str">
        <f>IF(C90="","",VLOOKUP(C90,'G-7 Rivers Data'!$B$2:$G$8,2,FALSE))</f>
        <v/>
      </c>
      <c r="F90" s="172" t="str">
        <f>IFERROR(VLOOKUP(E90,'G-7 Rivers Data'!$C$4:$D$8,2,FALSE),"")</f>
        <v/>
      </c>
      <c r="G90" s="173"/>
      <c r="H90" s="172" t="str">
        <f>IFERROR(INDEX('G-7 Rivers Data'!$H$4:$L$8,MATCH(C90,'G-7 Rivers Data'!$B$4:$B$8,0),MATCH(G90,'G-7 Rivers Data'!$H$3:$L$3,0)),"")</f>
        <v/>
      </c>
      <c r="I90" s="186"/>
      <c r="J90" s="175" t="str">
        <f>IF(I90="","",IF(VLOOKUP(I90,'G-7 Rivers Data'!$AG$4:$AI$9,2,FALSE)=0,"Spatial Data Missing",VLOOKUP(I90,'G-7 Rivers Data'!$AG$4:$AI$9,2,FALSE)))</f>
        <v/>
      </c>
      <c r="K90" s="176" t="str">
        <f>IF(I90="","",IF(VLOOKUP(I90,'G-7 Rivers Data'!$AG$4:$AI$9,3,FALSE)=0,"Spatial Data Missing",VLOOKUP(I90,'G-7 Rivers Data'!$AG$4:$AI$9,3,FALSE)))</f>
        <v/>
      </c>
      <c r="L90" s="171" t="str">
        <f>IFERROR(INDEX('G-7 Rivers Data'!$O$3:$O$7,MATCH(G90,'G-7 Rivers Data'!$N$3:$N$7,0)),"")</f>
        <v/>
      </c>
      <c r="M90" s="94"/>
      <c r="N90" s="261"/>
      <c r="O90" s="175" t="str">
        <f t="shared" si="7"/>
        <v/>
      </c>
      <c r="P90" s="242" t="str">
        <f t="shared" si="8"/>
        <v/>
      </c>
      <c r="Q90" s="383" t="str">
        <f>IFERROR(IF(P90="Check Data","Check Data",VLOOKUP(P90,'G-4 Temporal multipliers'!$A$4:$C$37,3,FALSE)),"")</f>
        <v/>
      </c>
      <c r="R90" s="171" t="str">
        <f>IF(C90="","",VLOOKUP(C90,'G-7 Rivers Data'!$B$4:$G$8,4,FALSE))</f>
        <v/>
      </c>
      <c r="S90" s="179" t="str">
        <f t="shared" si="9"/>
        <v/>
      </c>
      <c r="T90" s="269" t="str">
        <f t="shared" si="10"/>
        <v/>
      </c>
      <c r="U90" s="172" t="str">
        <f t="shared" si="11"/>
        <v/>
      </c>
      <c r="V90" s="79"/>
      <c r="W90" s="172" t="str">
        <f>IF(V90="","",IF(VLOOKUP(V90,'G-7 Rivers Data'!$AA$4:$AB$7,2,FALSE)=0,"Spatial Data Missing",VLOOKUP(V90,'G-7 Rivers Data'!$AA$4:$AB$7,2,FALSE)))</f>
        <v/>
      </c>
      <c r="X90" s="187"/>
      <c r="Y90" s="172" t="str">
        <f>IF(X90="","",IF(VLOOKUP(X90,'G-7 Rivers Data'!$AD$4:$AE$8,2,FALSE)=0,"Enrcoachment Data Missing",VLOOKUP(X90,'G-7 Rivers Data'!$AD$4:$AE$8,2,FALSE)))</f>
        <v/>
      </c>
      <c r="Z90" s="265" t="str">
        <f t="shared" si="12"/>
        <v/>
      </c>
      <c r="AA90" s="180"/>
      <c r="AB90" s="181"/>
      <c r="AH90" s="35" t="str">
        <f>IFERROR(INDEX('G-7 Rivers Data'!$AZ$3:$AZ$7,MATCH(C90,'G-7 Rivers Data'!$AY$3:$AY$7,0)),"")</f>
        <v/>
      </c>
    </row>
    <row r="91" spans="2:34" ht="13.8" x14ac:dyDescent="0.25">
      <c r="B91" s="168">
        <v>80</v>
      </c>
      <c r="C91" s="212"/>
      <c r="D91" s="213"/>
      <c r="E91" s="171" t="str">
        <f>IF(C91="","",VLOOKUP(C91,'G-7 Rivers Data'!$B$2:$G$8,2,FALSE))</f>
        <v/>
      </c>
      <c r="F91" s="172" t="str">
        <f>IFERROR(VLOOKUP(E91,'G-7 Rivers Data'!$C$4:$D$8,2,FALSE),"")</f>
        <v/>
      </c>
      <c r="G91" s="173"/>
      <c r="H91" s="172" t="str">
        <f>IFERROR(INDEX('G-7 Rivers Data'!$H$4:$L$8,MATCH(C91,'G-7 Rivers Data'!$B$4:$B$8,0),MATCH(G91,'G-7 Rivers Data'!$H$3:$L$3,0)),"")</f>
        <v/>
      </c>
      <c r="I91" s="186"/>
      <c r="J91" s="175" t="str">
        <f>IF(I91="","",IF(VLOOKUP(I91,'G-7 Rivers Data'!$AG$4:$AI$9,2,FALSE)=0,"Spatial Data Missing",VLOOKUP(I91,'G-7 Rivers Data'!$AG$4:$AI$9,2,FALSE)))</f>
        <v/>
      </c>
      <c r="K91" s="176" t="str">
        <f>IF(I91="","",IF(VLOOKUP(I91,'G-7 Rivers Data'!$AG$4:$AI$9,3,FALSE)=0,"Spatial Data Missing",VLOOKUP(I91,'G-7 Rivers Data'!$AG$4:$AI$9,3,FALSE)))</f>
        <v/>
      </c>
      <c r="L91" s="171" t="str">
        <f>IFERROR(INDEX('G-7 Rivers Data'!$O$3:$O$7,MATCH(G91,'G-7 Rivers Data'!$N$3:$N$7,0)),"")</f>
        <v/>
      </c>
      <c r="M91" s="94"/>
      <c r="N91" s="261"/>
      <c r="O91" s="175" t="str">
        <f t="shared" si="7"/>
        <v/>
      </c>
      <c r="P91" s="242" t="str">
        <f t="shared" si="8"/>
        <v/>
      </c>
      <c r="Q91" s="383" t="str">
        <f>IFERROR(IF(P91="Check Data","Check Data",VLOOKUP(P91,'G-4 Temporal multipliers'!$A$4:$C$37,3,FALSE)),"")</f>
        <v/>
      </c>
      <c r="R91" s="171" t="str">
        <f>IF(C91="","",VLOOKUP(C91,'G-7 Rivers Data'!$B$4:$G$8,4,FALSE))</f>
        <v/>
      </c>
      <c r="S91" s="179" t="str">
        <f t="shared" si="9"/>
        <v/>
      </c>
      <c r="T91" s="269" t="str">
        <f t="shared" si="10"/>
        <v/>
      </c>
      <c r="U91" s="172" t="str">
        <f t="shared" si="11"/>
        <v/>
      </c>
      <c r="V91" s="79"/>
      <c r="W91" s="172" t="str">
        <f>IF(V91="","",IF(VLOOKUP(V91,'G-7 Rivers Data'!$AA$4:$AB$7,2,FALSE)=0,"Spatial Data Missing",VLOOKUP(V91,'G-7 Rivers Data'!$AA$4:$AB$7,2,FALSE)))</f>
        <v/>
      </c>
      <c r="X91" s="187"/>
      <c r="Y91" s="172" t="str">
        <f>IF(X91="","",IF(VLOOKUP(X91,'G-7 Rivers Data'!$AD$4:$AE$8,2,FALSE)=0,"Enrcoachment Data Missing",VLOOKUP(X91,'G-7 Rivers Data'!$AD$4:$AE$8,2,FALSE)))</f>
        <v/>
      </c>
      <c r="Z91" s="265" t="str">
        <f t="shared" si="12"/>
        <v/>
      </c>
      <c r="AA91" s="180"/>
      <c r="AB91" s="181"/>
      <c r="AH91" s="35" t="str">
        <f>IFERROR(INDEX('G-7 Rivers Data'!$AZ$3:$AZ$7,MATCH(C91,'G-7 Rivers Data'!$AY$3:$AY$7,0)),"")</f>
        <v/>
      </c>
    </row>
    <row r="92" spans="2:34" ht="13.8" x14ac:dyDescent="0.25">
      <c r="B92" s="168">
        <v>81</v>
      </c>
      <c r="C92" s="212"/>
      <c r="D92" s="213"/>
      <c r="E92" s="171" t="str">
        <f>IF(C92="","",VLOOKUP(C92,'G-7 Rivers Data'!$B$2:$G$8,2,FALSE))</f>
        <v/>
      </c>
      <c r="F92" s="172" t="str">
        <f>IFERROR(VLOOKUP(E92,'G-7 Rivers Data'!$C$4:$D$8,2,FALSE),"")</f>
        <v/>
      </c>
      <c r="G92" s="173"/>
      <c r="H92" s="172" t="str">
        <f>IFERROR(INDEX('G-7 Rivers Data'!$H$4:$L$8,MATCH(C92,'G-7 Rivers Data'!$B$4:$B$8,0),MATCH(G92,'G-7 Rivers Data'!$H$3:$L$3,0)),"")</f>
        <v/>
      </c>
      <c r="I92" s="186"/>
      <c r="J92" s="175" t="str">
        <f>IF(I92="","",IF(VLOOKUP(I92,'G-7 Rivers Data'!$AG$4:$AI$9,2,FALSE)=0,"Spatial Data Missing",VLOOKUP(I92,'G-7 Rivers Data'!$AG$4:$AI$9,2,FALSE)))</f>
        <v/>
      </c>
      <c r="K92" s="176" t="str">
        <f>IF(I92="","",IF(VLOOKUP(I92,'G-7 Rivers Data'!$AG$4:$AI$9,3,FALSE)=0,"Spatial Data Missing",VLOOKUP(I92,'G-7 Rivers Data'!$AG$4:$AI$9,3,FALSE)))</f>
        <v/>
      </c>
      <c r="L92" s="171" t="str">
        <f>IFERROR(INDEX('G-7 Rivers Data'!$O$3:$O$7,MATCH(G92,'G-7 Rivers Data'!$N$3:$N$7,0)),"")</f>
        <v/>
      </c>
      <c r="M92" s="94"/>
      <c r="N92" s="261"/>
      <c r="O92" s="175" t="str">
        <f t="shared" si="7"/>
        <v/>
      </c>
      <c r="P92" s="242" t="str">
        <f t="shared" si="8"/>
        <v/>
      </c>
      <c r="Q92" s="383" t="str">
        <f>IFERROR(IF(P92="Check Data","Check Data",VLOOKUP(P92,'G-4 Temporal multipliers'!$A$4:$C$37,3,FALSE)),"")</f>
        <v/>
      </c>
      <c r="R92" s="171" t="str">
        <f>IF(C92="","",VLOOKUP(C92,'G-7 Rivers Data'!$B$4:$G$8,4,FALSE))</f>
        <v/>
      </c>
      <c r="S92" s="179" t="str">
        <f t="shared" si="9"/>
        <v/>
      </c>
      <c r="T92" s="269" t="str">
        <f t="shared" si="10"/>
        <v/>
      </c>
      <c r="U92" s="172" t="str">
        <f t="shared" si="11"/>
        <v/>
      </c>
      <c r="V92" s="79"/>
      <c r="W92" s="172" t="str">
        <f>IF(V92="","",IF(VLOOKUP(V92,'G-7 Rivers Data'!$AA$4:$AB$7,2,FALSE)=0,"Spatial Data Missing",VLOOKUP(V92,'G-7 Rivers Data'!$AA$4:$AB$7,2,FALSE)))</f>
        <v/>
      </c>
      <c r="X92" s="187"/>
      <c r="Y92" s="172" t="str">
        <f>IF(X92="","",IF(VLOOKUP(X92,'G-7 Rivers Data'!$AD$4:$AE$8,2,FALSE)=0,"Enrcoachment Data Missing",VLOOKUP(X92,'G-7 Rivers Data'!$AD$4:$AE$8,2,FALSE)))</f>
        <v/>
      </c>
      <c r="Z92" s="265" t="str">
        <f t="shared" si="12"/>
        <v/>
      </c>
      <c r="AA92" s="180"/>
      <c r="AB92" s="181"/>
      <c r="AH92" s="35" t="str">
        <f>IFERROR(INDEX('G-7 Rivers Data'!$AZ$3:$AZ$7,MATCH(C92,'G-7 Rivers Data'!$AY$3:$AY$7,0)),"")</f>
        <v/>
      </c>
    </row>
    <row r="93" spans="2:34" ht="13.8" x14ac:dyDescent="0.25">
      <c r="B93" s="168">
        <v>82</v>
      </c>
      <c r="C93" s="212"/>
      <c r="D93" s="213"/>
      <c r="E93" s="171" t="str">
        <f>IF(C93="","",VLOOKUP(C93,'G-7 Rivers Data'!$B$2:$G$8,2,FALSE))</f>
        <v/>
      </c>
      <c r="F93" s="172" t="str">
        <f>IFERROR(VLOOKUP(E93,'G-7 Rivers Data'!$C$4:$D$8,2,FALSE),"")</f>
        <v/>
      </c>
      <c r="G93" s="173"/>
      <c r="H93" s="172" t="str">
        <f>IFERROR(INDEX('G-7 Rivers Data'!$H$4:$L$8,MATCH(C93,'G-7 Rivers Data'!$B$4:$B$8,0),MATCH(G93,'G-7 Rivers Data'!$H$3:$L$3,0)),"")</f>
        <v/>
      </c>
      <c r="I93" s="186"/>
      <c r="J93" s="175" t="str">
        <f>IF(I93="","",IF(VLOOKUP(I93,'G-7 Rivers Data'!$AG$4:$AI$9,2,FALSE)=0,"Spatial Data Missing",VLOOKUP(I93,'G-7 Rivers Data'!$AG$4:$AI$9,2,FALSE)))</f>
        <v/>
      </c>
      <c r="K93" s="176" t="str">
        <f>IF(I93="","",IF(VLOOKUP(I93,'G-7 Rivers Data'!$AG$4:$AI$9,3,FALSE)=0,"Spatial Data Missing",VLOOKUP(I93,'G-7 Rivers Data'!$AG$4:$AI$9,3,FALSE)))</f>
        <v/>
      </c>
      <c r="L93" s="171" t="str">
        <f>IFERROR(INDEX('G-7 Rivers Data'!$O$3:$O$7,MATCH(G93,'G-7 Rivers Data'!$N$3:$N$7,0)),"")</f>
        <v/>
      </c>
      <c r="M93" s="94"/>
      <c r="N93" s="261"/>
      <c r="O93" s="175" t="str">
        <f t="shared" si="7"/>
        <v/>
      </c>
      <c r="P93" s="242" t="str">
        <f t="shared" si="8"/>
        <v/>
      </c>
      <c r="Q93" s="383" t="str">
        <f>IFERROR(IF(P93="Check Data","Check Data",VLOOKUP(P93,'G-4 Temporal multipliers'!$A$4:$C$37,3,FALSE)),"")</f>
        <v/>
      </c>
      <c r="R93" s="171" t="str">
        <f>IF(C93="","",VLOOKUP(C93,'G-7 Rivers Data'!$B$4:$G$8,4,FALSE))</f>
        <v/>
      </c>
      <c r="S93" s="179" t="str">
        <f t="shared" si="9"/>
        <v/>
      </c>
      <c r="T93" s="269" t="str">
        <f t="shared" si="10"/>
        <v/>
      </c>
      <c r="U93" s="172" t="str">
        <f t="shared" si="11"/>
        <v/>
      </c>
      <c r="V93" s="79"/>
      <c r="W93" s="172" t="str">
        <f>IF(V93="","",IF(VLOOKUP(V93,'G-7 Rivers Data'!$AA$4:$AB$7,2,FALSE)=0,"Spatial Data Missing",VLOOKUP(V93,'G-7 Rivers Data'!$AA$4:$AB$7,2,FALSE)))</f>
        <v/>
      </c>
      <c r="X93" s="187"/>
      <c r="Y93" s="172" t="str">
        <f>IF(X93="","",IF(VLOOKUP(X93,'G-7 Rivers Data'!$AD$4:$AE$8,2,FALSE)=0,"Enrcoachment Data Missing",VLOOKUP(X93,'G-7 Rivers Data'!$AD$4:$AE$8,2,FALSE)))</f>
        <v/>
      </c>
      <c r="Z93" s="265" t="str">
        <f t="shared" si="12"/>
        <v/>
      </c>
      <c r="AA93" s="180"/>
      <c r="AB93" s="181"/>
      <c r="AH93" s="35" t="str">
        <f>IFERROR(INDEX('G-7 Rivers Data'!$AZ$3:$AZ$7,MATCH(C93,'G-7 Rivers Data'!$AY$3:$AY$7,0)),"")</f>
        <v/>
      </c>
    </row>
    <row r="94" spans="2:34" ht="13.8" x14ac:dyDescent="0.25">
      <c r="B94" s="168">
        <v>83</v>
      </c>
      <c r="C94" s="212"/>
      <c r="D94" s="213"/>
      <c r="E94" s="171" t="str">
        <f>IF(C94="","",VLOOKUP(C94,'G-7 Rivers Data'!$B$2:$G$8,2,FALSE))</f>
        <v/>
      </c>
      <c r="F94" s="172" t="str">
        <f>IFERROR(VLOOKUP(E94,'G-7 Rivers Data'!$C$4:$D$8,2,FALSE),"")</f>
        <v/>
      </c>
      <c r="G94" s="173"/>
      <c r="H94" s="172" t="str">
        <f>IFERROR(INDEX('G-7 Rivers Data'!$H$4:$L$8,MATCH(C94,'G-7 Rivers Data'!$B$4:$B$8,0),MATCH(G94,'G-7 Rivers Data'!$H$3:$L$3,0)),"")</f>
        <v/>
      </c>
      <c r="I94" s="186"/>
      <c r="J94" s="175" t="str">
        <f>IF(I94="","",IF(VLOOKUP(I94,'G-7 Rivers Data'!$AG$4:$AI$9,2,FALSE)=0,"Spatial Data Missing",VLOOKUP(I94,'G-7 Rivers Data'!$AG$4:$AI$9,2,FALSE)))</f>
        <v/>
      </c>
      <c r="K94" s="176" t="str">
        <f>IF(I94="","",IF(VLOOKUP(I94,'G-7 Rivers Data'!$AG$4:$AI$9,3,FALSE)=0,"Spatial Data Missing",VLOOKUP(I94,'G-7 Rivers Data'!$AG$4:$AI$9,3,FALSE)))</f>
        <v/>
      </c>
      <c r="L94" s="171" t="str">
        <f>IFERROR(INDEX('G-7 Rivers Data'!$O$3:$O$7,MATCH(G94,'G-7 Rivers Data'!$N$3:$N$7,0)),"")</f>
        <v/>
      </c>
      <c r="M94" s="94"/>
      <c r="N94" s="261"/>
      <c r="O94" s="175" t="str">
        <f t="shared" si="7"/>
        <v/>
      </c>
      <c r="P94" s="242" t="str">
        <f t="shared" si="8"/>
        <v/>
      </c>
      <c r="Q94" s="383" t="str">
        <f>IFERROR(IF(P94="Check Data","Check Data",VLOOKUP(P94,'G-4 Temporal multipliers'!$A$4:$C$37,3,FALSE)),"")</f>
        <v/>
      </c>
      <c r="R94" s="171" t="str">
        <f>IF(C94="","",VLOOKUP(C94,'G-7 Rivers Data'!$B$4:$G$8,4,FALSE))</f>
        <v/>
      </c>
      <c r="S94" s="179" t="str">
        <f t="shared" si="9"/>
        <v/>
      </c>
      <c r="T94" s="269" t="str">
        <f t="shared" si="10"/>
        <v/>
      </c>
      <c r="U94" s="172" t="str">
        <f t="shared" si="11"/>
        <v/>
      </c>
      <c r="V94" s="79"/>
      <c r="W94" s="172" t="str">
        <f>IF(V94="","",IF(VLOOKUP(V94,'G-7 Rivers Data'!$AA$4:$AB$7,2,FALSE)=0,"Spatial Data Missing",VLOOKUP(V94,'G-7 Rivers Data'!$AA$4:$AB$7,2,FALSE)))</f>
        <v/>
      </c>
      <c r="X94" s="187"/>
      <c r="Y94" s="172" t="str">
        <f>IF(X94="","",IF(VLOOKUP(X94,'G-7 Rivers Data'!$AD$4:$AE$8,2,FALSE)=0,"Enrcoachment Data Missing",VLOOKUP(X94,'G-7 Rivers Data'!$AD$4:$AE$8,2,FALSE)))</f>
        <v/>
      </c>
      <c r="Z94" s="265" t="str">
        <f t="shared" si="12"/>
        <v/>
      </c>
      <c r="AA94" s="180"/>
      <c r="AB94" s="181"/>
      <c r="AH94" s="35" t="str">
        <f>IFERROR(INDEX('G-7 Rivers Data'!$AZ$3:$AZ$7,MATCH(C94,'G-7 Rivers Data'!$AY$3:$AY$7,0)),"")</f>
        <v/>
      </c>
    </row>
    <row r="95" spans="2:34" ht="13.8" x14ac:dyDescent="0.25">
      <c r="B95" s="168">
        <v>84</v>
      </c>
      <c r="C95" s="212"/>
      <c r="D95" s="213"/>
      <c r="E95" s="171" t="str">
        <f>IF(C95="","",VLOOKUP(C95,'G-7 Rivers Data'!$B$2:$G$8,2,FALSE))</f>
        <v/>
      </c>
      <c r="F95" s="172" t="str">
        <f>IFERROR(VLOOKUP(E95,'G-7 Rivers Data'!$C$4:$D$8,2,FALSE),"")</f>
        <v/>
      </c>
      <c r="G95" s="173"/>
      <c r="H95" s="172" t="str">
        <f>IFERROR(INDEX('G-7 Rivers Data'!$H$4:$L$8,MATCH(C95,'G-7 Rivers Data'!$B$4:$B$8,0),MATCH(G95,'G-7 Rivers Data'!$H$3:$L$3,0)),"")</f>
        <v/>
      </c>
      <c r="I95" s="186"/>
      <c r="J95" s="175" t="str">
        <f>IF(I95="","",IF(VLOOKUP(I95,'G-7 Rivers Data'!$AG$4:$AI$9,2,FALSE)=0,"Spatial Data Missing",VLOOKUP(I95,'G-7 Rivers Data'!$AG$4:$AI$9,2,FALSE)))</f>
        <v/>
      </c>
      <c r="K95" s="176" t="str">
        <f>IF(I95="","",IF(VLOOKUP(I95,'G-7 Rivers Data'!$AG$4:$AI$9,3,FALSE)=0,"Spatial Data Missing",VLOOKUP(I95,'G-7 Rivers Data'!$AG$4:$AI$9,3,FALSE)))</f>
        <v/>
      </c>
      <c r="L95" s="171" t="str">
        <f>IFERROR(INDEX('G-7 Rivers Data'!$O$3:$O$7,MATCH(G95,'G-7 Rivers Data'!$N$3:$N$7,0)),"")</f>
        <v/>
      </c>
      <c r="M95" s="94"/>
      <c r="N95" s="261"/>
      <c r="O95" s="175" t="str">
        <f t="shared" si="7"/>
        <v/>
      </c>
      <c r="P95" s="242" t="str">
        <f t="shared" si="8"/>
        <v/>
      </c>
      <c r="Q95" s="383" t="str">
        <f>IFERROR(IF(P95="Check Data","Check Data",VLOOKUP(P95,'G-4 Temporal multipliers'!$A$4:$C$37,3,FALSE)),"")</f>
        <v/>
      </c>
      <c r="R95" s="171" t="str">
        <f>IF(C95="","",VLOOKUP(C95,'G-7 Rivers Data'!$B$4:$G$8,4,FALSE))</f>
        <v/>
      </c>
      <c r="S95" s="179" t="str">
        <f t="shared" si="9"/>
        <v/>
      </c>
      <c r="T95" s="269" t="str">
        <f t="shared" si="10"/>
        <v/>
      </c>
      <c r="U95" s="172" t="str">
        <f t="shared" si="11"/>
        <v/>
      </c>
      <c r="V95" s="79"/>
      <c r="W95" s="172" t="str">
        <f>IF(V95="","",IF(VLOOKUP(V95,'G-7 Rivers Data'!$AA$4:$AB$7,2,FALSE)=0,"Spatial Data Missing",VLOOKUP(V95,'G-7 Rivers Data'!$AA$4:$AB$7,2,FALSE)))</f>
        <v/>
      </c>
      <c r="X95" s="187"/>
      <c r="Y95" s="172" t="str">
        <f>IF(X95="","",IF(VLOOKUP(X95,'G-7 Rivers Data'!$AD$4:$AE$8,2,FALSE)=0,"Enrcoachment Data Missing",VLOOKUP(X95,'G-7 Rivers Data'!$AD$4:$AE$8,2,FALSE)))</f>
        <v/>
      </c>
      <c r="Z95" s="265" t="str">
        <f t="shared" si="12"/>
        <v/>
      </c>
      <c r="AA95" s="180"/>
      <c r="AB95" s="181"/>
      <c r="AH95" s="35" t="str">
        <f>IFERROR(INDEX('G-7 Rivers Data'!$AZ$3:$AZ$7,MATCH(C95,'G-7 Rivers Data'!$AY$3:$AY$7,0)),"")</f>
        <v/>
      </c>
    </row>
    <row r="96" spans="2:34" ht="13.8" x14ac:dyDescent="0.25">
      <c r="B96" s="168">
        <v>85</v>
      </c>
      <c r="C96" s="212"/>
      <c r="D96" s="213"/>
      <c r="E96" s="171" t="str">
        <f>IF(C96="","",VLOOKUP(C96,'G-7 Rivers Data'!$B$2:$G$8,2,FALSE))</f>
        <v/>
      </c>
      <c r="F96" s="172" t="str">
        <f>IFERROR(VLOOKUP(E96,'G-7 Rivers Data'!$C$4:$D$8,2,FALSE),"")</f>
        <v/>
      </c>
      <c r="G96" s="173"/>
      <c r="H96" s="172" t="str">
        <f>IFERROR(INDEX('G-7 Rivers Data'!$H$4:$L$8,MATCH(C96,'G-7 Rivers Data'!$B$4:$B$8,0),MATCH(G96,'G-7 Rivers Data'!$H$3:$L$3,0)),"")</f>
        <v/>
      </c>
      <c r="I96" s="186"/>
      <c r="J96" s="175" t="str">
        <f>IF(I96="","",IF(VLOOKUP(I96,'G-7 Rivers Data'!$AG$4:$AI$9,2,FALSE)=0,"Spatial Data Missing",VLOOKUP(I96,'G-7 Rivers Data'!$AG$4:$AI$9,2,FALSE)))</f>
        <v/>
      </c>
      <c r="K96" s="176" t="str">
        <f>IF(I96="","",IF(VLOOKUP(I96,'G-7 Rivers Data'!$AG$4:$AI$9,3,FALSE)=0,"Spatial Data Missing",VLOOKUP(I96,'G-7 Rivers Data'!$AG$4:$AI$9,3,FALSE)))</f>
        <v/>
      </c>
      <c r="L96" s="171" t="str">
        <f>IFERROR(INDEX('G-7 Rivers Data'!$O$3:$O$7,MATCH(G96,'G-7 Rivers Data'!$N$3:$N$7,0)),"")</f>
        <v/>
      </c>
      <c r="M96" s="94"/>
      <c r="N96" s="261"/>
      <c r="O96" s="175" t="str">
        <f t="shared" si="7"/>
        <v/>
      </c>
      <c r="P96" s="242" t="str">
        <f t="shared" si="8"/>
        <v/>
      </c>
      <c r="Q96" s="383" t="str">
        <f>IFERROR(IF(P96="Check Data","Check Data",VLOOKUP(P96,'G-4 Temporal multipliers'!$A$4:$C$37,3,FALSE)),"")</f>
        <v/>
      </c>
      <c r="R96" s="171" t="str">
        <f>IF(C96="","",VLOOKUP(C96,'G-7 Rivers Data'!$B$4:$G$8,4,FALSE))</f>
        <v/>
      </c>
      <c r="S96" s="179" t="str">
        <f t="shared" si="9"/>
        <v/>
      </c>
      <c r="T96" s="269" t="str">
        <f t="shared" si="10"/>
        <v/>
      </c>
      <c r="U96" s="172" t="str">
        <f t="shared" si="11"/>
        <v/>
      </c>
      <c r="V96" s="79"/>
      <c r="W96" s="172" t="str">
        <f>IF(V96="","",IF(VLOOKUP(V96,'G-7 Rivers Data'!$AA$4:$AB$7,2,FALSE)=0,"Spatial Data Missing",VLOOKUP(V96,'G-7 Rivers Data'!$AA$4:$AB$7,2,FALSE)))</f>
        <v/>
      </c>
      <c r="X96" s="187"/>
      <c r="Y96" s="172" t="str">
        <f>IF(X96="","",IF(VLOOKUP(X96,'G-7 Rivers Data'!$AD$4:$AE$8,2,FALSE)=0,"Enrcoachment Data Missing",VLOOKUP(X96,'G-7 Rivers Data'!$AD$4:$AE$8,2,FALSE)))</f>
        <v/>
      </c>
      <c r="Z96" s="265" t="str">
        <f t="shared" si="12"/>
        <v/>
      </c>
      <c r="AA96" s="180"/>
      <c r="AB96" s="181"/>
      <c r="AH96" s="35" t="str">
        <f>IFERROR(INDEX('G-7 Rivers Data'!$AZ$3:$AZ$7,MATCH(C96,'G-7 Rivers Data'!$AY$3:$AY$7,0)),"")</f>
        <v/>
      </c>
    </row>
    <row r="97" spans="2:34" ht="13.8" x14ac:dyDescent="0.25">
      <c r="B97" s="168">
        <v>86</v>
      </c>
      <c r="C97" s="212"/>
      <c r="D97" s="213"/>
      <c r="E97" s="171" t="str">
        <f>IF(C97="","",VLOOKUP(C97,'G-7 Rivers Data'!$B$2:$G$8,2,FALSE))</f>
        <v/>
      </c>
      <c r="F97" s="172" t="str">
        <f>IFERROR(VLOOKUP(E97,'G-7 Rivers Data'!$C$4:$D$8,2,FALSE),"")</f>
        <v/>
      </c>
      <c r="G97" s="173"/>
      <c r="H97" s="172" t="str">
        <f>IFERROR(INDEX('G-7 Rivers Data'!$H$4:$L$8,MATCH(C97,'G-7 Rivers Data'!$B$4:$B$8,0),MATCH(G97,'G-7 Rivers Data'!$H$3:$L$3,0)),"")</f>
        <v/>
      </c>
      <c r="I97" s="186"/>
      <c r="J97" s="175" t="str">
        <f>IF(I97="","",IF(VLOOKUP(I97,'G-7 Rivers Data'!$AG$4:$AI$9,2,FALSE)=0,"Spatial Data Missing",VLOOKUP(I97,'G-7 Rivers Data'!$AG$4:$AI$9,2,FALSE)))</f>
        <v/>
      </c>
      <c r="K97" s="176" t="str">
        <f>IF(I97="","",IF(VLOOKUP(I97,'G-7 Rivers Data'!$AG$4:$AI$9,3,FALSE)=0,"Spatial Data Missing",VLOOKUP(I97,'G-7 Rivers Data'!$AG$4:$AI$9,3,FALSE)))</f>
        <v/>
      </c>
      <c r="L97" s="171" t="str">
        <f>IFERROR(INDEX('G-7 Rivers Data'!$O$3:$O$7,MATCH(G97,'G-7 Rivers Data'!$N$3:$N$7,0)),"")</f>
        <v/>
      </c>
      <c r="M97" s="94"/>
      <c r="N97" s="261"/>
      <c r="O97" s="175" t="str">
        <f t="shared" si="7"/>
        <v/>
      </c>
      <c r="P97" s="242" t="str">
        <f t="shared" si="8"/>
        <v/>
      </c>
      <c r="Q97" s="383" t="str">
        <f>IFERROR(IF(P97="Check Data","Check Data",VLOOKUP(P97,'G-4 Temporal multipliers'!$A$4:$C$37,3,FALSE)),"")</f>
        <v/>
      </c>
      <c r="R97" s="171" t="str">
        <f>IF(C97="","",VLOOKUP(C97,'G-7 Rivers Data'!$B$4:$G$8,4,FALSE))</f>
        <v/>
      </c>
      <c r="S97" s="179" t="str">
        <f t="shared" si="9"/>
        <v/>
      </c>
      <c r="T97" s="269" t="str">
        <f t="shared" si="10"/>
        <v/>
      </c>
      <c r="U97" s="172" t="str">
        <f t="shared" si="11"/>
        <v/>
      </c>
      <c r="V97" s="79"/>
      <c r="W97" s="172" t="str">
        <f>IF(V97="","",IF(VLOOKUP(V97,'G-7 Rivers Data'!$AA$4:$AB$7,2,FALSE)=0,"Spatial Data Missing",VLOOKUP(V97,'G-7 Rivers Data'!$AA$4:$AB$7,2,FALSE)))</f>
        <v/>
      </c>
      <c r="X97" s="187"/>
      <c r="Y97" s="172" t="str">
        <f>IF(X97="","",IF(VLOOKUP(X97,'G-7 Rivers Data'!$AD$4:$AE$8,2,FALSE)=0,"Enrcoachment Data Missing",VLOOKUP(X97,'G-7 Rivers Data'!$AD$4:$AE$8,2,FALSE)))</f>
        <v/>
      </c>
      <c r="Z97" s="265" t="str">
        <f t="shared" si="12"/>
        <v/>
      </c>
      <c r="AA97" s="180"/>
      <c r="AB97" s="181"/>
      <c r="AH97" s="35" t="str">
        <f>IFERROR(INDEX('G-7 Rivers Data'!$AZ$3:$AZ$7,MATCH(C97,'G-7 Rivers Data'!$AY$3:$AY$7,0)),"")</f>
        <v/>
      </c>
    </row>
    <row r="98" spans="2:34" ht="13.8" x14ac:dyDescent="0.25">
      <c r="B98" s="168">
        <v>87</v>
      </c>
      <c r="C98" s="212"/>
      <c r="D98" s="213"/>
      <c r="E98" s="171" t="str">
        <f>IF(C98="","",VLOOKUP(C98,'G-7 Rivers Data'!$B$2:$G$8,2,FALSE))</f>
        <v/>
      </c>
      <c r="F98" s="172" t="str">
        <f>IFERROR(VLOOKUP(E98,'G-7 Rivers Data'!$C$4:$D$8,2,FALSE),"")</f>
        <v/>
      </c>
      <c r="G98" s="173"/>
      <c r="H98" s="172" t="str">
        <f>IFERROR(INDEX('G-7 Rivers Data'!$H$4:$L$8,MATCH(C98,'G-7 Rivers Data'!$B$4:$B$8,0),MATCH(G98,'G-7 Rivers Data'!$H$3:$L$3,0)),"")</f>
        <v/>
      </c>
      <c r="I98" s="186"/>
      <c r="J98" s="175" t="str">
        <f>IF(I98="","",IF(VLOOKUP(I98,'G-7 Rivers Data'!$AG$4:$AI$9,2,FALSE)=0,"Spatial Data Missing",VLOOKUP(I98,'G-7 Rivers Data'!$AG$4:$AI$9,2,FALSE)))</f>
        <v/>
      </c>
      <c r="K98" s="176" t="str">
        <f>IF(I98="","",IF(VLOOKUP(I98,'G-7 Rivers Data'!$AG$4:$AI$9,3,FALSE)=0,"Spatial Data Missing",VLOOKUP(I98,'G-7 Rivers Data'!$AG$4:$AI$9,3,FALSE)))</f>
        <v/>
      </c>
      <c r="L98" s="171" t="str">
        <f>IFERROR(INDEX('G-7 Rivers Data'!$O$3:$O$7,MATCH(G98,'G-7 Rivers Data'!$N$3:$N$7,0)),"")</f>
        <v/>
      </c>
      <c r="M98" s="94"/>
      <c r="N98" s="261"/>
      <c r="O98" s="175" t="str">
        <f t="shared" si="7"/>
        <v/>
      </c>
      <c r="P98" s="242" t="str">
        <f t="shared" si="8"/>
        <v/>
      </c>
      <c r="Q98" s="383" t="str">
        <f>IFERROR(IF(P98="Check Data","Check Data",VLOOKUP(P98,'G-4 Temporal multipliers'!$A$4:$C$37,3,FALSE)),"")</f>
        <v/>
      </c>
      <c r="R98" s="171" t="str">
        <f>IF(C98="","",VLOOKUP(C98,'G-7 Rivers Data'!$B$4:$G$8,4,FALSE))</f>
        <v/>
      </c>
      <c r="S98" s="179" t="str">
        <f t="shared" si="9"/>
        <v/>
      </c>
      <c r="T98" s="269" t="str">
        <f t="shared" si="10"/>
        <v/>
      </c>
      <c r="U98" s="172" t="str">
        <f t="shared" si="11"/>
        <v/>
      </c>
      <c r="V98" s="79"/>
      <c r="W98" s="172" t="str">
        <f>IF(V98="","",IF(VLOOKUP(V98,'G-7 Rivers Data'!$AA$4:$AB$7,2,FALSE)=0,"Spatial Data Missing",VLOOKUP(V98,'G-7 Rivers Data'!$AA$4:$AB$7,2,FALSE)))</f>
        <v/>
      </c>
      <c r="X98" s="187"/>
      <c r="Y98" s="172" t="str">
        <f>IF(X98="","",IF(VLOOKUP(X98,'G-7 Rivers Data'!$AD$4:$AE$8,2,FALSE)=0,"Enrcoachment Data Missing",VLOOKUP(X98,'G-7 Rivers Data'!$AD$4:$AE$8,2,FALSE)))</f>
        <v/>
      </c>
      <c r="Z98" s="265" t="str">
        <f t="shared" si="12"/>
        <v/>
      </c>
      <c r="AA98" s="180"/>
      <c r="AB98" s="181"/>
      <c r="AH98" s="35" t="str">
        <f>IFERROR(INDEX('G-7 Rivers Data'!$AZ$3:$AZ$7,MATCH(C98,'G-7 Rivers Data'!$AY$3:$AY$7,0)),"")</f>
        <v/>
      </c>
    </row>
    <row r="99" spans="2:34" ht="13.8" x14ac:dyDescent="0.25">
      <c r="B99" s="168">
        <v>88</v>
      </c>
      <c r="C99" s="212"/>
      <c r="D99" s="213"/>
      <c r="E99" s="171" t="str">
        <f>IF(C99="","",VLOOKUP(C99,'G-7 Rivers Data'!$B$2:$G$8,2,FALSE))</f>
        <v/>
      </c>
      <c r="F99" s="172" t="str">
        <f>IFERROR(VLOOKUP(E99,'G-7 Rivers Data'!$C$4:$D$8,2,FALSE),"")</f>
        <v/>
      </c>
      <c r="G99" s="173"/>
      <c r="H99" s="172" t="str">
        <f>IFERROR(INDEX('G-7 Rivers Data'!$H$4:$L$8,MATCH(C99,'G-7 Rivers Data'!$B$4:$B$8,0),MATCH(G99,'G-7 Rivers Data'!$H$3:$L$3,0)),"")</f>
        <v/>
      </c>
      <c r="I99" s="186"/>
      <c r="J99" s="175" t="str">
        <f>IF(I99="","",IF(VLOOKUP(I99,'G-7 Rivers Data'!$AG$4:$AI$9,2,FALSE)=0,"Spatial Data Missing",VLOOKUP(I99,'G-7 Rivers Data'!$AG$4:$AI$9,2,FALSE)))</f>
        <v/>
      </c>
      <c r="K99" s="176" t="str">
        <f>IF(I99="","",IF(VLOOKUP(I99,'G-7 Rivers Data'!$AG$4:$AI$9,3,FALSE)=0,"Spatial Data Missing",VLOOKUP(I99,'G-7 Rivers Data'!$AG$4:$AI$9,3,FALSE)))</f>
        <v/>
      </c>
      <c r="L99" s="171" t="str">
        <f>IFERROR(INDEX('G-7 Rivers Data'!$O$3:$O$7,MATCH(G99,'G-7 Rivers Data'!$N$3:$N$7,0)),"")</f>
        <v/>
      </c>
      <c r="M99" s="94"/>
      <c r="N99" s="261"/>
      <c r="O99" s="175" t="str">
        <f t="shared" si="7"/>
        <v/>
      </c>
      <c r="P99" s="242" t="str">
        <f t="shared" si="8"/>
        <v/>
      </c>
      <c r="Q99" s="383" t="str">
        <f>IFERROR(IF(P99="Check Data","Check Data",VLOOKUP(P99,'G-4 Temporal multipliers'!$A$4:$C$37,3,FALSE)),"")</f>
        <v/>
      </c>
      <c r="R99" s="171" t="str">
        <f>IF(C99="","",VLOOKUP(C99,'G-7 Rivers Data'!$B$4:$G$8,4,FALSE))</f>
        <v/>
      </c>
      <c r="S99" s="179" t="str">
        <f t="shared" si="9"/>
        <v/>
      </c>
      <c r="T99" s="269" t="str">
        <f t="shared" si="10"/>
        <v/>
      </c>
      <c r="U99" s="172" t="str">
        <f t="shared" si="11"/>
        <v/>
      </c>
      <c r="V99" s="79"/>
      <c r="W99" s="172" t="str">
        <f>IF(V99="","",IF(VLOOKUP(V99,'G-7 Rivers Data'!$AA$4:$AB$7,2,FALSE)=0,"Spatial Data Missing",VLOOKUP(V99,'G-7 Rivers Data'!$AA$4:$AB$7,2,FALSE)))</f>
        <v/>
      </c>
      <c r="X99" s="187"/>
      <c r="Y99" s="172" t="str">
        <f>IF(X99="","",IF(VLOOKUP(X99,'G-7 Rivers Data'!$AD$4:$AE$8,2,FALSE)=0,"Enrcoachment Data Missing",VLOOKUP(X99,'G-7 Rivers Data'!$AD$4:$AE$8,2,FALSE)))</f>
        <v/>
      </c>
      <c r="Z99" s="265" t="str">
        <f t="shared" si="12"/>
        <v/>
      </c>
      <c r="AA99" s="180"/>
      <c r="AB99" s="181"/>
      <c r="AH99" s="35" t="str">
        <f>IFERROR(INDEX('G-7 Rivers Data'!$AZ$3:$AZ$7,MATCH(C99,'G-7 Rivers Data'!$AY$3:$AY$7,0)),"")</f>
        <v/>
      </c>
    </row>
    <row r="100" spans="2:34" ht="13.8" x14ac:dyDescent="0.25">
      <c r="B100" s="168">
        <v>89</v>
      </c>
      <c r="C100" s="212"/>
      <c r="D100" s="213"/>
      <c r="E100" s="171" t="str">
        <f>IF(C100="","",VLOOKUP(C100,'G-7 Rivers Data'!$B$2:$G$8,2,FALSE))</f>
        <v/>
      </c>
      <c r="F100" s="172" t="str">
        <f>IFERROR(VLOOKUP(E100,'G-7 Rivers Data'!$C$4:$D$8,2,FALSE),"")</f>
        <v/>
      </c>
      <c r="G100" s="173"/>
      <c r="H100" s="172" t="str">
        <f>IFERROR(INDEX('G-7 Rivers Data'!$H$4:$L$8,MATCH(C100,'G-7 Rivers Data'!$B$4:$B$8,0),MATCH(G100,'G-7 Rivers Data'!$H$3:$L$3,0)),"")</f>
        <v/>
      </c>
      <c r="I100" s="186"/>
      <c r="J100" s="175" t="str">
        <f>IF(I100="","",IF(VLOOKUP(I100,'G-7 Rivers Data'!$AG$4:$AI$9,2,FALSE)=0,"Spatial Data Missing",VLOOKUP(I100,'G-7 Rivers Data'!$AG$4:$AI$9,2,FALSE)))</f>
        <v/>
      </c>
      <c r="K100" s="176" t="str">
        <f>IF(I100="","",IF(VLOOKUP(I100,'G-7 Rivers Data'!$AG$4:$AI$9,3,FALSE)=0,"Spatial Data Missing",VLOOKUP(I100,'G-7 Rivers Data'!$AG$4:$AI$9,3,FALSE)))</f>
        <v/>
      </c>
      <c r="L100" s="171" t="str">
        <f>IFERROR(INDEX('G-7 Rivers Data'!$O$3:$O$7,MATCH(G100,'G-7 Rivers Data'!$N$3:$N$7,0)),"")</f>
        <v/>
      </c>
      <c r="M100" s="94"/>
      <c r="N100" s="261"/>
      <c r="O100" s="175" t="str">
        <f t="shared" si="7"/>
        <v/>
      </c>
      <c r="P100" s="242" t="str">
        <f t="shared" si="8"/>
        <v/>
      </c>
      <c r="Q100" s="383" t="str">
        <f>IFERROR(IF(P100="Check Data","Check Data",VLOOKUP(P100,'G-4 Temporal multipliers'!$A$4:$C$37,3,FALSE)),"")</f>
        <v/>
      </c>
      <c r="R100" s="171" t="str">
        <f>IF(C100="","",VLOOKUP(C100,'G-7 Rivers Data'!$B$4:$G$8,4,FALSE))</f>
        <v/>
      </c>
      <c r="S100" s="179" t="str">
        <f t="shared" si="9"/>
        <v/>
      </c>
      <c r="T100" s="269" t="str">
        <f t="shared" si="10"/>
        <v/>
      </c>
      <c r="U100" s="172" t="str">
        <f t="shared" si="11"/>
        <v/>
      </c>
      <c r="V100" s="79"/>
      <c r="W100" s="172" t="str">
        <f>IF(V100="","",IF(VLOOKUP(V100,'G-7 Rivers Data'!$AA$4:$AB$7,2,FALSE)=0,"Spatial Data Missing",VLOOKUP(V100,'G-7 Rivers Data'!$AA$4:$AB$7,2,FALSE)))</f>
        <v/>
      </c>
      <c r="X100" s="187"/>
      <c r="Y100" s="172" t="str">
        <f>IF(X100="","",IF(VLOOKUP(X100,'G-7 Rivers Data'!$AD$4:$AE$8,2,FALSE)=0,"Enrcoachment Data Missing",VLOOKUP(X100,'G-7 Rivers Data'!$AD$4:$AE$8,2,FALSE)))</f>
        <v/>
      </c>
      <c r="Z100" s="265" t="str">
        <f t="shared" si="12"/>
        <v/>
      </c>
      <c r="AA100" s="180"/>
      <c r="AB100" s="181"/>
      <c r="AH100" s="35" t="str">
        <f>IFERROR(INDEX('G-7 Rivers Data'!$AZ$3:$AZ$7,MATCH(C100,'G-7 Rivers Data'!$AY$3:$AY$7,0)),"")</f>
        <v/>
      </c>
    </row>
    <row r="101" spans="2:34" ht="13.8" x14ac:dyDescent="0.25">
      <c r="B101" s="168">
        <v>90</v>
      </c>
      <c r="C101" s="212"/>
      <c r="D101" s="213"/>
      <c r="E101" s="171" t="str">
        <f>IF(C101="","",VLOOKUP(C101,'G-7 Rivers Data'!$B$2:$G$8,2,FALSE))</f>
        <v/>
      </c>
      <c r="F101" s="172" t="str">
        <f>IFERROR(VLOOKUP(E101,'G-7 Rivers Data'!$C$4:$D$8,2,FALSE),"")</f>
        <v/>
      </c>
      <c r="G101" s="173"/>
      <c r="H101" s="172" t="str">
        <f>IFERROR(INDEX('G-7 Rivers Data'!$H$4:$L$8,MATCH(C101,'G-7 Rivers Data'!$B$4:$B$8,0),MATCH(G101,'G-7 Rivers Data'!$H$3:$L$3,0)),"")</f>
        <v/>
      </c>
      <c r="I101" s="186"/>
      <c r="J101" s="175" t="str">
        <f>IF(I101="","",IF(VLOOKUP(I101,'G-7 Rivers Data'!$AG$4:$AI$9,2,FALSE)=0,"Spatial Data Missing",VLOOKUP(I101,'G-7 Rivers Data'!$AG$4:$AI$9,2,FALSE)))</f>
        <v/>
      </c>
      <c r="K101" s="176" t="str">
        <f>IF(I101="","",IF(VLOOKUP(I101,'G-7 Rivers Data'!$AG$4:$AI$9,3,FALSE)=0,"Spatial Data Missing",VLOOKUP(I101,'G-7 Rivers Data'!$AG$4:$AI$9,3,FALSE)))</f>
        <v/>
      </c>
      <c r="L101" s="171" t="str">
        <f>IFERROR(INDEX('G-7 Rivers Data'!$O$3:$O$7,MATCH(G101,'G-7 Rivers Data'!$N$3:$N$7,0)),"")</f>
        <v/>
      </c>
      <c r="M101" s="94"/>
      <c r="N101" s="261"/>
      <c r="O101" s="175" t="str">
        <f t="shared" si="7"/>
        <v/>
      </c>
      <c r="P101" s="242" t="str">
        <f t="shared" si="8"/>
        <v/>
      </c>
      <c r="Q101" s="383" t="str">
        <f>IFERROR(IF(P101="Check Data","Check Data",VLOOKUP(P101,'G-4 Temporal multipliers'!$A$4:$C$37,3,FALSE)),"")</f>
        <v/>
      </c>
      <c r="R101" s="171" t="str">
        <f>IF(C101="","",VLOOKUP(C101,'G-7 Rivers Data'!$B$4:$G$8,4,FALSE))</f>
        <v/>
      </c>
      <c r="S101" s="179" t="str">
        <f t="shared" si="9"/>
        <v/>
      </c>
      <c r="T101" s="269" t="str">
        <f t="shared" si="10"/>
        <v/>
      </c>
      <c r="U101" s="172" t="str">
        <f t="shared" si="11"/>
        <v/>
      </c>
      <c r="V101" s="79"/>
      <c r="W101" s="172" t="str">
        <f>IF(V101="","",IF(VLOOKUP(V101,'G-7 Rivers Data'!$AA$4:$AB$7,2,FALSE)=0,"Spatial Data Missing",VLOOKUP(V101,'G-7 Rivers Data'!$AA$4:$AB$7,2,FALSE)))</f>
        <v/>
      </c>
      <c r="X101" s="187"/>
      <c r="Y101" s="172" t="str">
        <f>IF(X101="","",IF(VLOOKUP(X101,'G-7 Rivers Data'!$AD$4:$AE$8,2,FALSE)=0,"Enrcoachment Data Missing",VLOOKUP(X101,'G-7 Rivers Data'!$AD$4:$AE$8,2,FALSE)))</f>
        <v/>
      </c>
      <c r="Z101" s="265" t="str">
        <f t="shared" si="12"/>
        <v/>
      </c>
      <c r="AA101" s="180"/>
      <c r="AB101" s="181"/>
      <c r="AH101" s="35" t="str">
        <f>IFERROR(INDEX('G-7 Rivers Data'!$AZ$3:$AZ$7,MATCH(C101,'G-7 Rivers Data'!$AY$3:$AY$7,0)),"")</f>
        <v/>
      </c>
    </row>
    <row r="102" spans="2:34" ht="13.8" x14ac:dyDescent="0.25">
      <c r="B102" s="168">
        <v>91</v>
      </c>
      <c r="C102" s="212"/>
      <c r="D102" s="213"/>
      <c r="E102" s="171" t="str">
        <f>IF(C102="","",VLOOKUP(C102,'G-7 Rivers Data'!$B$2:$G$8,2,FALSE))</f>
        <v/>
      </c>
      <c r="F102" s="172" t="str">
        <f>IFERROR(VLOOKUP(E102,'G-7 Rivers Data'!$C$4:$D$8,2,FALSE),"")</f>
        <v/>
      </c>
      <c r="G102" s="173"/>
      <c r="H102" s="172" t="str">
        <f>IFERROR(INDEX('G-7 Rivers Data'!$H$4:$L$8,MATCH(C102,'G-7 Rivers Data'!$B$4:$B$8,0),MATCH(G102,'G-7 Rivers Data'!$H$3:$L$3,0)),"")</f>
        <v/>
      </c>
      <c r="I102" s="186"/>
      <c r="J102" s="175" t="str">
        <f>IF(I102="","",IF(VLOOKUP(I102,'G-7 Rivers Data'!$AG$4:$AI$9,2,FALSE)=0,"Spatial Data Missing",VLOOKUP(I102,'G-7 Rivers Data'!$AG$4:$AI$9,2,FALSE)))</f>
        <v/>
      </c>
      <c r="K102" s="176" t="str">
        <f>IF(I102="","",IF(VLOOKUP(I102,'G-7 Rivers Data'!$AG$4:$AI$9,3,FALSE)=0,"Spatial Data Missing",VLOOKUP(I102,'G-7 Rivers Data'!$AG$4:$AI$9,3,FALSE)))</f>
        <v/>
      </c>
      <c r="L102" s="171" t="str">
        <f>IFERROR(INDEX('G-7 Rivers Data'!$O$3:$O$7,MATCH(G102,'G-7 Rivers Data'!$N$3:$N$7,0)),"")</f>
        <v/>
      </c>
      <c r="M102" s="94"/>
      <c r="N102" s="261"/>
      <c r="O102" s="175" t="str">
        <f t="shared" si="7"/>
        <v/>
      </c>
      <c r="P102" s="242" t="str">
        <f t="shared" si="8"/>
        <v/>
      </c>
      <c r="Q102" s="383" t="str">
        <f>IFERROR(IF(P102="Check Data","Check Data",VLOOKUP(P102,'G-4 Temporal multipliers'!$A$4:$C$37,3,FALSE)),"")</f>
        <v/>
      </c>
      <c r="R102" s="171" t="str">
        <f>IF(C102="","",VLOOKUP(C102,'G-7 Rivers Data'!$B$4:$G$8,4,FALSE))</f>
        <v/>
      </c>
      <c r="S102" s="179" t="str">
        <f t="shared" si="9"/>
        <v/>
      </c>
      <c r="T102" s="269" t="str">
        <f t="shared" si="10"/>
        <v/>
      </c>
      <c r="U102" s="172" t="str">
        <f t="shared" si="11"/>
        <v/>
      </c>
      <c r="V102" s="79"/>
      <c r="W102" s="172" t="str">
        <f>IF(V102="","",IF(VLOOKUP(V102,'G-7 Rivers Data'!$AA$4:$AB$7,2,FALSE)=0,"Spatial Data Missing",VLOOKUP(V102,'G-7 Rivers Data'!$AA$4:$AB$7,2,FALSE)))</f>
        <v/>
      </c>
      <c r="X102" s="187"/>
      <c r="Y102" s="172" t="str">
        <f>IF(X102="","",IF(VLOOKUP(X102,'G-7 Rivers Data'!$AD$4:$AE$8,2,FALSE)=0,"Enrcoachment Data Missing",VLOOKUP(X102,'G-7 Rivers Data'!$AD$4:$AE$8,2,FALSE)))</f>
        <v/>
      </c>
      <c r="Z102" s="265" t="str">
        <f t="shared" si="12"/>
        <v/>
      </c>
      <c r="AA102" s="180"/>
      <c r="AB102" s="181"/>
      <c r="AH102" s="35" t="str">
        <f>IFERROR(INDEX('G-7 Rivers Data'!$AZ$3:$AZ$7,MATCH(C102,'G-7 Rivers Data'!$AY$3:$AY$7,0)),"")</f>
        <v/>
      </c>
    </row>
    <row r="103" spans="2:34" ht="13.8" x14ac:dyDescent="0.25">
      <c r="B103" s="168">
        <v>92</v>
      </c>
      <c r="C103" s="212"/>
      <c r="D103" s="213"/>
      <c r="E103" s="171" t="str">
        <f>IF(C103="","",VLOOKUP(C103,'G-7 Rivers Data'!$B$2:$G$8,2,FALSE))</f>
        <v/>
      </c>
      <c r="F103" s="172" t="str">
        <f>IFERROR(VLOOKUP(E103,'G-7 Rivers Data'!$C$4:$D$8,2,FALSE),"")</f>
        <v/>
      </c>
      <c r="G103" s="173"/>
      <c r="H103" s="172" t="str">
        <f>IFERROR(INDEX('G-7 Rivers Data'!$H$4:$L$8,MATCH(C103,'G-7 Rivers Data'!$B$4:$B$8,0),MATCH(G103,'G-7 Rivers Data'!$H$3:$L$3,0)),"")</f>
        <v/>
      </c>
      <c r="I103" s="186"/>
      <c r="J103" s="175" t="str">
        <f>IF(I103="","",IF(VLOOKUP(I103,'G-7 Rivers Data'!$AG$4:$AI$9,2,FALSE)=0,"Spatial Data Missing",VLOOKUP(I103,'G-7 Rivers Data'!$AG$4:$AI$9,2,FALSE)))</f>
        <v/>
      </c>
      <c r="K103" s="176" t="str">
        <f>IF(I103="","",IF(VLOOKUP(I103,'G-7 Rivers Data'!$AG$4:$AI$9,3,FALSE)=0,"Spatial Data Missing",VLOOKUP(I103,'G-7 Rivers Data'!$AG$4:$AI$9,3,FALSE)))</f>
        <v/>
      </c>
      <c r="L103" s="171" t="str">
        <f>IFERROR(INDEX('G-7 Rivers Data'!$O$3:$O$7,MATCH(G103,'G-7 Rivers Data'!$N$3:$N$7,0)),"")</f>
        <v/>
      </c>
      <c r="M103" s="94"/>
      <c r="N103" s="261"/>
      <c r="O103" s="175" t="str">
        <f t="shared" si="7"/>
        <v/>
      </c>
      <c r="P103" s="242" t="str">
        <f t="shared" si="8"/>
        <v/>
      </c>
      <c r="Q103" s="383" t="str">
        <f>IFERROR(IF(P103="Check Data","Check Data",VLOOKUP(P103,'G-4 Temporal multipliers'!$A$4:$C$37,3,FALSE)),"")</f>
        <v/>
      </c>
      <c r="R103" s="171" t="str">
        <f>IF(C103="","",VLOOKUP(C103,'G-7 Rivers Data'!$B$4:$G$8,4,FALSE))</f>
        <v/>
      </c>
      <c r="S103" s="179" t="str">
        <f t="shared" si="9"/>
        <v/>
      </c>
      <c r="T103" s="269" t="str">
        <f t="shared" si="10"/>
        <v/>
      </c>
      <c r="U103" s="172" t="str">
        <f t="shared" si="11"/>
        <v/>
      </c>
      <c r="V103" s="79"/>
      <c r="W103" s="172" t="str">
        <f>IF(V103="","",IF(VLOOKUP(V103,'G-7 Rivers Data'!$AA$4:$AB$7,2,FALSE)=0,"Spatial Data Missing",VLOOKUP(V103,'G-7 Rivers Data'!$AA$4:$AB$7,2,FALSE)))</f>
        <v/>
      </c>
      <c r="X103" s="187"/>
      <c r="Y103" s="172" t="str">
        <f>IF(X103="","",IF(VLOOKUP(X103,'G-7 Rivers Data'!$AD$4:$AE$8,2,FALSE)=0,"Enrcoachment Data Missing",VLOOKUP(X103,'G-7 Rivers Data'!$AD$4:$AE$8,2,FALSE)))</f>
        <v/>
      </c>
      <c r="Z103" s="265" t="str">
        <f t="shared" si="12"/>
        <v/>
      </c>
      <c r="AA103" s="180"/>
      <c r="AB103" s="181"/>
      <c r="AH103" s="35" t="str">
        <f>IFERROR(INDEX('G-7 Rivers Data'!$AZ$3:$AZ$7,MATCH(C103,'G-7 Rivers Data'!$AY$3:$AY$7,0)),"")</f>
        <v/>
      </c>
    </row>
    <row r="104" spans="2:34" ht="13.8" x14ac:dyDescent="0.25">
      <c r="B104" s="168">
        <v>93</v>
      </c>
      <c r="C104" s="212"/>
      <c r="D104" s="213"/>
      <c r="E104" s="171" t="str">
        <f>IF(C104="","",VLOOKUP(C104,'G-7 Rivers Data'!$B$2:$G$8,2,FALSE))</f>
        <v/>
      </c>
      <c r="F104" s="172" t="str">
        <f>IFERROR(VLOOKUP(E104,'G-7 Rivers Data'!$C$4:$D$8,2,FALSE),"")</f>
        <v/>
      </c>
      <c r="G104" s="173"/>
      <c r="H104" s="172" t="str">
        <f>IFERROR(INDEX('G-7 Rivers Data'!$H$4:$L$8,MATCH(C104,'G-7 Rivers Data'!$B$4:$B$8,0),MATCH(G104,'G-7 Rivers Data'!$H$3:$L$3,0)),"")</f>
        <v/>
      </c>
      <c r="I104" s="186"/>
      <c r="J104" s="175" t="str">
        <f>IF(I104="","",IF(VLOOKUP(I104,'G-7 Rivers Data'!$AG$4:$AI$9,2,FALSE)=0,"Spatial Data Missing",VLOOKUP(I104,'G-7 Rivers Data'!$AG$4:$AI$9,2,FALSE)))</f>
        <v/>
      </c>
      <c r="K104" s="176" t="str">
        <f>IF(I104="","",IF(VLOOKUP(I104,'G-7 Rivers Data'!$AG$4:$AI$9,3,FALSE)=0,"Spatial Data Missing",VLOOKUP(I104,'G-7 Rivers Data'!$AG$4:$AI$9,3,FALSE)))</f>
        <v/>
      </c>
      <c r="L104" s="171" t="str">
        <f>IFERROR(INDEX('G-7 Rivers Data'!$O$3:$O$7,MATCH(G104,'G-7 Rivers Data'!$N$3:$N$7,0)),"")</f>
        <v/>
      </c>
      <c r="M104" s="94"/>
      <c r="N104" s="261"/>
      <c r="O104" s="175" t="str">
        <f t="shared" si="7"/>
        <v/>
      </c>
      <c r="P104" s="242" t="str">
        <f t="shared" si="8"/>
        <v/>
      </c>
      <c r="Q104" s="383" t="str">
        <f>IFERROR(IF(P104="Check Data","Check Data",VLOOKUP(P104,'G-4 Temporal multipliers'!$A$4:$C$37,3,FALSE)),"")</f>
        <v/>
      </c>
      <c r="R104" s="171" t="str">
        <f>IF(C104="","",VLOOKUP(C104,'G-7 Rivers Data'!$B$4:$G$8,4,FALSE))</f>
        <v/>
      </c>
      <c r="S104" s="179" t="str">
        <f t="shared" si="9"/>
        <v/>
      </c>
      <c r="T104" s="269" t="str">
        <f t="shared" si="10"/>
        <v/>
      </c>
      <c r="U104" s="172" t="str">
        <f t="shared" si="11"/>
        <v/>
      </c>
      <c r="V104" s="79"/>
      <c r="W104" s="172" t="str">
        <f>IF(V104="","",IF(VLOOKUP(V104,'G-7 Rivers Data'!$AA$4:$AB$7,2,FALSE)=0,"Spatial Data Missing",VLOOKUP(V104,'G-7 Rivers Data'!$AA$4:$AB$7,2,FALSE)))</f>
        <v/>
      </c>
      <c r="X104" s="187"/>
      <c r="Y104" s="172" t="str">
        <f>IF(X104="","",IF(VLOOKUP(X104,'G-7 Rivers Data'!$AD$4:$AE$8,2,FALSE)=0,"Enrcoachment Data Missing",VLOOKUP(X104,'G-7 Rivers Data'!$AD$4:$AE$8,2,FALSE)))</f>
        <v/>
      </c>
      <c r="Z104" s="265" t="str">
        <f t="shared" si="12"/>
        <v/>
      </c>
      <c r="AA104" s="180"/>
      <c r="AB104" s="181"/>
      <c r="AH104" s="35" t="str">
        <f>IFERROR(INDEX('G-7 Rivers Data'!$AZ$3:$AZ$7,MATCH(C104,'G-7 Rivers Data'!$AY$3:$AY$7,0)),"")</f>
        <v/>
      </c>
    </row>
    <row r="105" spans="2:34" ht="13.8" x14ac:dyDescent="0.25">
      <c r="B105" s="168">
        <v>94</v>
      </c>
      <c r="C105" s="212"/>
      <c r="D105" s="213"/>
      <c r="E105" s="171" t="str">
        <f>IF(C105="","",VLOOKUP(C105,'G-7 Rivers Data'!$B$2:$G$8,2,FALSE))</f>
        <v/>
      </c>
      <c r="F105" s="172" t="str">
        <f>IFERROR(VLOOKUP(E105,'G-7 Rivers Data'!$C$4:$D$8,2,FALSE),"")</f>
        <v/>
      </c>
      <c r="G105" s="173"/>
      <c r="H105" s="172" t="str">
        <f>IFERROR(INDEX('G-7 Rivers Data'!$H$4:$L$8,MATCH(C105,'G-7 Rivers Data'!$B$4:$B$8,0),MATCH(G105,'G-7 Rivers Data'!$H$3:$L$3,0)),"")</f>
        <v/>
      </c>
      <c r="I105" s="186"/>
      <c r="J105" s="175" t="str">
        <f>IF(I105="","",IF(VLOOKUP(I105,'G-7 Rivers Data'!$AG$4:$AI$9,2,FALSE)=0,"Spatial Data Missing",VLOOKUP(I105,'G-7 Rivers Data'!$AG$4:$AI$9,2,FALSE)))</f>
        <v/>
      </c>
      <c r="K105" s="176" t="str">
        <f>IF(I105="","",IF(VLOOKUP(I105,'G-7 Rivers Data'!$AG$4:$AI$9,3,FALSE)=0,"Spatial Data Missing",VLOOKUP(I105,'G-7 Rivers Data'!$AG$4:$AI$9,3,FALSE)))</f>
        <v/>
      </c>
      <c r="L105" s="171" t="str">
        <f>IFERROR(INDEX('G-7 Rivers Data'!$O$3:$O$7,MATCH(G105,'G-7 Rivers Data'!$N$3:$N$7,0)),"")</f>
        <v/>
      </c>
      <c r="M105" s="94"/>
      <c r="N105" s="261"/>
      <c r="O105" s="175" t="str">
        <f t="shared" si="7"/>
        <v/>
      </c>
      <c r="P105" s="242" t="str">
        <f t="shared" si="8"/>
        <v/>
      </c>
      <c r="Q105" s="383" t="str">
        <f>IFERROR(IF(P105="Check Data","Check Data",VLOOKUP(P105,'G-4 Temporal multipliers'!$A$4:$C$37,3,FALSE)),"")</f>
        <v/>
      </c>
      <c r="R105" s="171" t="str">
        <f>IF(C105="","",VLOOKUP(C105,'G-7 Rivers Data'!$B$4:$G$8,4,FALSE))</f>
        <v/>
      </c>
      <c r="S105" s="179" t="str">
        <f t="shared" si="9"/>
        <v/>
      </c>
      <c r="T105" s="269" t="str">
        <f t="shared" si="10"/>
        <v/>
      </c>
      <c r="U105" s="172" t="str">
        <f t="shared" si="11"/>
        <v/>
      </c>
      <c r="V105" s="79"/>
      <c r="W105" s="172" t="str">
        <f>IF(V105="","",IF(VLOOKUP(V105,'G-7 Rivers Data'!$AA$4:$AB$7,2,FALSE)=0,"Spatial Data Missing",VLOOKUP(V105,'G-7 Rivers Data'!$AA$4:$AB$7,2,FALSE)))</f>
        <v/>
      </c>
      <c r="X105" s="187"/>
      <c r="Y105" s="172" t="str">
        <f>IF(X105="","",IF(VLOOKUP(X105,'G-7 Rivers Data'!$AD$4:$AE$8,2,FALSE)=0,"Enrcoachment Data Missing",VLOOKUP(X105,'G-7 Rivers Data'!$AD$4:$AE$8,2,FALSE)))</f>
        <v/>
      </c>
      <c r="Z105" s="265" t="str">
        <f t="shared" si="12"/>
        <v/>
      </c>
      <c r="AA105" s="180"/>
      <c r="AB105" s="181"/>
      <c r="AH105" s="35" t="str">
        <f>IFERROR(INDEX('G-7 Rivers Data'!$AZ$3:$AZ$7,MATCH(C105,'G-7 Rivers Data'!$AY$3:$AY$7,0)),"")</f>
        <v/>
      </c>
    </row>
    <row r="106" spans="2:34" ht="13.8" x14ac:dyDescent="0.25">
      <c r="B106" s="168">
        <v>95</v>
      </c>
      <c r="C106" s="212"/>
      <c r="D106" s="213"/>
      <c r="E106" s="171" t="str">
        <f>IF(C106="","",VLOOKUP(C106,'G-7 Rivers Data'!$B$2:$G$8,2,FALSE))</f>
        <v/>
      </c>
      <c r="F106" s="172" t="str">
        <f>IFERROR(VLOOKUP(E106,'G-7 Rivers Data'!$C$4:$D$8,2,FALSE),"")</f>
        <v/>
      </c>
      <c r="G106" s="173"/>
      <c r="H106" s="172" t="str">
        <f>IFERROR(INDEX('G-7 Rivers Data'!$H$4:$L$8,MATCH(C106,'G-7 Rivers Data'!$B$4:$B$8,0),MATCH(G106,'G-7 Rivers Data'!$H$3:$L$3,0)),"")</f>
        <v/>
      </c>
      <c r="I106" s="186"/>
      <c r="J106" s="175" t="str">
        <f>IF(I106="","",IF(VLOOKUP(I106,'G-7 Rivers Data'!$AG$4:$AI$9,2,FALSE)=0,"Spatial Data Missing",VLOOKUP(I106,'G-7 Rivers Data'!$AG$4:$AI$9,2,FALSE)))</f>
        <v/>
      </c>
      <c r="K106" s="176" t="str">
        <f>IF(I106="","",IF(VLOOKUP(I106,'G-7 Rivers Data'!$AG$4:$AI$9,3,FALSE)=0,"Spatial Data Missing",VLOOKUP(I106,'G-7 Rivers Data'!$AG$4:$AI$9,3,FALSE)))</f>
        <v/>
      </c>
      <c r="L106" s="171" t="str">
        <f>IFERROR(INDEX('G-7 Rivers Data'!$O$3:$O$7,MATCH(G106,'G-7 Rivers Data'!$N$3:$N$7,0)),"")</f>
        <v/>
      </c>
      <c r="M106" s="94"/>
      <c r="N106" s="261"/>
      <c r="O106" s="175" t="str">
        <f t="shared" si="7"/>
        <v/>
      </c>
      <c r="P106" s="242" t="str">
        <f t="shared" si="8"/>
        <v/>
      </c>
      <c r="Q106" s="383" t="str">
        <f>IFERROR(IF(P106="Check Data","Check Data",VLOOKUP(P106,'G-4 Temporal multipliers'!$A$4:$C$37,3,FALSE)),"")</f>
        <v/>
      </c>
      <c r="R106" s="171" t="str">
        <f>IF(C106="","",VLOOKUP(C106,'G-7 Rivers Data'!$B$4:$G$8,4,FALSE))</f>
        <v/>
      </c>
      <c r="S106" s="179" t="str">
        <f t="shared" si="9"/>
        <v/>
      </c>
      <c r="T106" s="269" t="str">
        <f t="shared" si="10"/>
        <v/>
      </c>
      <c r="U106" s="172" t="str">
        <f t="shared" si="11"/>
        <v/>
      </c>
      <c r="V106" s="79"/>
      <c r="W106" s="172" t="str">
        <f>IF(V106="","",IF(VLOOKUP(V106,'G-7 Rivers Data'!$AA$4:$AB$7,2,FALSE)=0,"Spatial Data Missing",VLOOKUP(V106,'G-7 Rivers Data'!$AA$4:$AB$7,2,FALSE)))</f>
        <v/>
      </c>
      <c r="X106" s="187"/>
      <c r="Y106" s="172" t="str">
        <f>IF(X106="","",IF(VLOOKUP(X106,'G-7 Rivers Data'!$AD$4:$AE$8,2,FALSE)=0,"Enrcoachment Data Missing",VLOOKUP(X106,'G-7 Rivers Data'!$AD$4:$AE$8,2,FALSE)))</f>
        <v/>
      </c>
      <c r="Z106" s="265" t="str">
        <f t="shared" si="12"/>
        <v/>
      </c>
      <c r="AA106" s="180"/>
      <c r="AB106" s="181"/>
      <c r="AH106" s="35" t="str">
        <f>IFERROR(INDEX('G-7 Rivers Data'!$AZ$3:$AZ$7,MATCH(C106,'G-7 Rivers Data'!$AY$3:$AY$7,0)),"")</f>
        <v/>
      </c>
    </row>
    <row r="107" spans="2:34" ht="13.8" x14ac:dyDescent="0.25">
      <c r="B107" s="168">
        <v>96</v>
      </c>
      <c r="C107" s="212"/>
      <c r="D107" s="213"/>
      <c r="E107" s="171" t="str">
        <f>IF(C107="","",VLOOKUP(C107,'G-7 Rivers Data'!$B$2:$G$8,2,FALSE))</f>
        <v/>
      </c>
      <c r="F107" s="172" t="str">
        <f>IFERROR(VLOOKUP(E107,'G-7 Rivers Data'!$C$4:$D$8,2,FALSE),"")</f>
        <v/>
      </c>
      <c r="G107" s="173"/>
      <c r="H107" s="172" t="str">
        <f>IFERROR(INDEX('G-7 Rivers Data'!$H$4:$L$8,MATCH(C107,'G-7 Rivers Data'!$B$4:$B$8,0),MATCH(G107,'G-7 Rivers Data'!$H$3:$L$3,0)),"")</f>
        <v/>
      </c>
      <c r="I107" s="186"/>
      <c r="J107" s="175" t="str">
        <f>IF(I107="","",IF(VLOOKUP(I107,'G-7 Rivers Data'!$AG$4:$AI$9,2,FALSE)=0,"Spatial Data Missing",VLOOKUP(I107,'G-7 Rivers Data'!$AG$4:$AI$9,2,FALSE)))</f>
        <v/>
      </c>
      <c r="K107" s="176" t="str">
        <f>IF(I107="","",IF(VLOOKUP(I107,'G-7 Rivers Data'!$AG$4:$AI$9,3,FALSE)=0,"Spatial Data Missing",VLOOKUP(I107,'G-7 Rivers Data'!$AG$4:$AI$9,3,FALSE)))</f>
        <v/>
      </c>
      <c r="L107" s="171" t="str">
        <f>IFERROR(INDEX('G-7 Rivers Data'!$O$3:$O$7,MATCH(G107,'G-7 Rivers Data'!$N$3:$N$7,0)),"")</f>
        <v/>
      </c>
      <c r="M107" s="94"/>
      <c r="N107" s="261"/>
      <c r="O107" s="175" t="str">
        <f t="shared" si="7"/>
        <v/>
      </c>
      <c r="P107" s="242" t="str">
        <f t="shared" si="8"/>
        <v/>
      </c>
      <c r="Q107" s="383" t="str">
        <f>IFERROR(IF(P107="Check Data","Check Data",VLOOKUP(P107,'G-4 Temporal multipliers'!$A$4:$C$37,3,FALSE)),"")</f>
        <v/>
      </c>
      <c r="R107" s="171" t="str">
        <f>IF(C107="","",VLOOKUP(C107,'G-7 Rivers Data'!$B$4:$G$8,4,FALSE))</f>
        <v/>
      </c>
      <c r="S107" s="179" t="str">
        <f t="shared" si="9"/>
        <v/>
      </c>
      <c r="T107" s="269" t="str">
        <f t="shared" si="10"/>
        <v/>
      </c>
      <c r="U107" s="172" t="str">
        <f t="shared" si="11"/>
        <v/>
      </c>
      <c r="V107" s="79"/>
      <c r="W107" s="172" t="str">
        <f>IF(V107="","",IF(VLOOKUP(V107,'G-7 Rivers Data'!$AA$4:$AB$7,2,FALSE)=0,"Spatial Data Missing",VLOOKUP(V107,'G-7 Rivers Data'!$AA$4:$AB$7,2,FALSE)))</f>
        <v/>
      </c>
      <c r="X107" s="187"/>
      <c r="Y107" s="172" t="str">
        <f>IF(X107="","",IF(VLOOKUP(X107,'G-7 Rivers Data'!$AD$4:$AE$8,2,FALSE)=0,"Enrcoachment Data Missing",VLOOKUP(X107,'G-7 Rivers Data'!$AD$4:$AE$8,2,FALSE)))</f>
        <v/>
      </c>
      <c r="Z107" s="265" t="str">
        <f t="shared" si="12"/>
        <v/>
      </c>
      <c r="AA107" s="180"/>
      <c r="AB107" s="181"/>
      <c r="AH107" s="35" t="str">
        <f>IFERROR(INDEX('G-7 Rivers Data'!$AZ$3:$AZ$7,MATCH(C107,'G-7 Rivers Data'!$AY$3:$AY$7,0)),"")</f>
        <v/>
      </c>
    </row>
    <row r="108" spans="2:34" ht="13.8" x14ac:dyDescent="0.25">
      <c r="B108" s="168">
        <v>97</v>
      </c>
      <c r="C108" s="212"/>
      <c r="D108" s="213"/>
      <c r="E108" s="171" t="str">
        <f>IF(C108="","",VLOOKUP(C108,'G-7 Rivers Data'!$B$2:$G$8,2,FALSE))</f>
        <v/>
      </c>
      <c r="F108" s="172" t="str">
        <f>IFERROR(VLOOKUP(E108,'G-7 Rivers Data'!$C$4:$D$8,2,FALSE),"")</f>
        <v/>
      </c>
      <c r="G108" s="173"/>
      <c r="H108" s="172" t="str">
        <f>IFERROR(INDEX('G-7 Rivers Data'!$H$4:$L$8,MATCH(C108,'G-7 Rivers Data'!$B$4:$B$8,0),MATCH(G108,'G-7 Rivers Data'!$H$3:$L$3,0)),"")</f>
        <v/>
      </c>
      <c r="I108" s="186"/>
      <c r="J108" s="175" t="str">
        <f>IF(I108="","",IF(VLOOKUP(I108,'G-7 Rivers Data'!$AG$4:$AI$9,2,FALSE)=0,"Spatial Data Missing",VLOOKUP(I108,'G-7 Rivers Data'!$AG$4:$AI$9,2,FALSE)))</f>
        <v/>
      </c>
      <c r="K108" s="176" t="str">
        <f>IF(I108="","",IF(VLOOKUP(I108,'G-7 Rivers Data'!$AG$4:$AI$9,3,FALSE)=0,"Spatial Data Missing",VLOOKUP(I108,'G-7 Rivers Data'!$AG$4:$AI$9,3,FALSE)))</f>
        <v/>
      </c>
      <c r="L108" s="171" t="str">
        <f>IFERROR(INDEX('G-7 Rivers Data'!$O$3:$O$7,MATCH(G108,'G-7 Rivers Data'!$N$3:$N$7,0)),"")</f>
        <v/>
      </c>
      <c r="M108" s="94"/>
      <c r="N108" s="261"/>
      <c r="O108" s="175" t="str">
        <f t="shared" si="7"/>
        <v/>
      </c>
      <c r="P108" s="242" t="str">
        <f t="shared" si="8"/>
        <v/>
      </c>
      <c r="Q108" s="383" t="str">
        <f>IFERROR(IF(P108="Check Data","Check Data",VLOOKUP(P108,'G-4 Temporal multipliers'!$A$4:$C$37,3,FALSE)),"")</f>
        <v/>
      </c>
      <c r="R108" s="171" t="str">
        <f>IF(C108="","",VLOOKUP(C108,'G-7 Rivers Data'!$B$4:$G$8,4,FALSE))</f>
        <v/>
      </c>
      <c r="S108" s="179" t="str">
        <f t="shared" si="9"/>
        <v/>
      </c>
      <c r="T108" s="269" t="str">
        <f t="shared" si="10"/>
        <v/>
      </c>
      <c r="U108" s="172" t="str">
        <f t="shared" si="11"/>
        <v/>
      </c>
      <c r="V108" s="79"/>
      <c r="W108" s="172" t="str">
        <f>IF(V108="","",IF(VLOOKUP(V108,'G-7 Rivers Data'!$AA$4:$AB$7,2,FALSE)=0,"Spatial Data Missing",VLOOKUP(V108,'G-7 Rivers Data'!$AA$4:$AB$7,2,FALSE)))</f>
        <v/>
      </c>
      <c r="X108" s="187"/>
      <c r="Y108" s="172" t="str">
        <f>IF(X108="","",IF(VLOOKUP(X108,'G-7 Rivers Data'!$AD$4:$AE$8,2,FALSE)=0,"Enrcoachment Data Missing",VLOOKUP(X108,'G-7 Rivers Data'!$AD$4:$AE$8,2,FALSE)))</f>
        <v/>
      </c>
      <c r="Z108" s="265" t="str">
        <f t="shared" si="12"/>
        <v/>
      </c>
      <c r="AA108" s="180"/>
      <c r="AB108" s="181"/>
      <c r="AH108" s="35" t="str">
        <f>IFERROR(INDEX('G-7 Rivers Data'!$AZ$3:$AZ$7,MATCH(C108,'G-7 Rivers Data'!$AY$3:$AY$7,0)),"")</f>
        <v/>
      </c>
    </row>
    <row r="109" spans="2:34" ht="13.8" x14ac:dyDescent="0.25">
      <c r="B109" s="168">
        <v>98</v>
      </c>
      <c r="C109" s="212"/>
      <c r="D109" s="213"/>
      <c r="E109" s="171" t="str">
        <f>IF(C109="","",VLOOKUP(C109,'G-7 Rivers Data'!$B$2:$G$8,2,FALSE))</f>
        <v/>
      </c>
      <c r="F109" s="172" t="str">
        <f>IFERROR(VLOOKUP(E109,'G-7 Rivers Data'!$C$4:$D$8,2,FALSE),"")</f>
        <v/>
      </c>
      <c r="G109" s="173"/>
      <c r="H109" s="172" t="str">
        <f>IFERROR(INDEX('G-7 Rivers Data'!$H$4:$L$8,MATCH(C109,'G-7 Rivers Data'!$B$4:$B$8,0),MATCH(G109,'G-7 Rivers Data'!$H$3:$L$3,0)),"")</f>
        <v/>
      </c>
      <c r="I109" s="186"/>
      <c r="J109" s="175" t="str">
        <f>IF(I109="","",IF(VLOOKUP(I109,'G-7 Rivers Data'!$AG$4:$AI$9,2,FALSE)=0,"Spatial Data Missing",VLOOKUP(I109,'G-7 Rivers Data'!$AG$4:$AI$9,2,FALSE)))</f>
        <v/>
      </c>
      <c r="K109" s="176" t="str">
        <f>IF(I109="","",IF(VLOOKUP(I109,'G-7 Rivers Data'!$AG$4:$AI$9,3,FALSE)=0,"Spatial Data Missing",VLOOKUP(I109,'G-7 Rivers Data'!$AG$4:$AI$9,3,FALSE)))</f>
        <v/>
      </c>
      <c r="L109" s="171" t="str">
        <f>IFERROR(INDEX('G-7 Rivers Data'!$O$3:$O$7,MATCH(G109,'G-7 Rivers Data'!$N$3:$N$7,0)),"")</f>
        <v/>
      </c>
      <c r="M109" s="94"/>
      <c r="N109" s="261"/>
      <c r="O109" s="175" t="str">
        <f t="shared" si="7"/>
        <v/>
      </c>
      <c r="P109" s="242" t="str">
        <f t="shared" si="8"/>
        <v/>
      </c>
      <c r="Q109" s="383" t="str">
        <f>IFERROR(IF(P109="Check Data","Check Data",VLOOKUP(P109,'G-4 Temporal multipliers'!$A$4:$C$37,3,FALSE)),"")</f>
        <v/>
      </c>
      <c r="R109" s="171" t="str">
        <f>IF(C109="","",VLOOKUP(C109,'G-7 Rivers Data'!$B$4:$G$8,4,FALSE))</f>
        <v/>
      </c>
      <c r="S109" s="179" t="str">
        <f t="shared" si="9"/>
        <v/>
      </c>
      <c r="T109" s="269" t="str">
        <f t="shared" si="10"/>
        <v/>
      </c>
      <c r="U109" s="172" t="str">
        <f t="shared" si="11"/>
        <v/>
      </c>
      <c r="V109" s="79"/>
      <c r="W109" s="172" t="str">
        <f>IF(V109="","",IF(VLOOKUP(V109,'G-7 Rivers Data'!$AA$4:$AB$7,2,FALSE)=0,"Spatial Data Missing",VLOOKUP(V109,'G-7 Rivers Data'!$AA$4:$AB$7,2,FALSE)))</f>
        <v/>
      </c>
      <c r="X109" s="187"/>
      <c r="Y109" s="172" t="str">
        <f>IF(X109="","",IF(VLOOKUP(X109,'G-7 Rivers Data'!$AD$4:$AE$8,2,FALSE)=0,"Enrcoachment Data Missing",VLOOKUP(X109,'G-7 Rivers Data'!$AD$4:$AE$8,2,FALSE)))</f>
        <v/>
      </c>
      <c r="Z109" s="265" t="str">
        <f t="shared" si="12"/>
        <v/>
      </c>
      <c r="AA109" s="180"/>
      <c r="AB109" s="181"/>
      <c r="AH109" s="35" t="str">
        <f>IFERROR(INDEX('G-7 Rivers Data'!$AZ$3:$AZ$7,MATCH(C109,'G-7 Rivers Data'!$AY$3:$AY$7,0)),"")</f>
        <v/>
      </c>
    </row>
    <row r="110" spans="2:34" ht="13.8" x14ac:dyDescent="0.25">
      <c r="B110" s="168">
        <v>99</v>
      </c>
      <c r="C110" s="212"/>
      <c r="D110" s="213"/>
      <c r="E110" s="171" t="str">
        <f>IF(C110="","",VLOOKUP(C110,'G-7 Rivers Data'!$B$2:$G$8,2,FALSE))</f>
        <v/>
      </c>
      <c r="F110" s="172" t="str">
        <f>IFERROR(VLOOKUP(E110,'G-7 Rivers Data'!$C$4:$D$8,2,FALSE),"")</f>
        <v/>
      </c>
      <c r="G110" s="173"/>
      <c r="H110" s="172" t="str">
        <f>IFERROR(INDEX('G-7 Rivers Data'!$H$4:$L$8,MATCH(C110,'G-7 Rivers Data'!$B$4:$B$8,0),MATCH(G110,'G-7 Rivers Data'!$H$3:$L$3,0)),"")</f>
        <v/>
      </c>
      <c r="I110" s="186"/>
      <c r="J110" s="175" t="str">
        <f>IF(I110="","",IF(VLOOKUP(I110,'G-7 Rivers Data'!$AG$4:$AI$9,2,FALSE)=0,"Spatial Data Missing",VLOOKUP(I110,'G-7 Rivers Data'!$AG$4:$AI$9,2,FALSE)))</f>
        <v/>
      </c>
      <c r="K110" s="176" t="str">
        <f>IF(I110="","",IF(VLOOKUP(I110,'G-7 Rivers Data'!$AG$4:$AI$9,3,FALSE)=0,"Spatial Data Missing",VLOOKUP(I110,'G-7 Rivers Data'!$AG$4:$AI$9,3,FALSE)))</f>
        <v/>
      </c>
      <c r="L110" s="171" t="str">
        <f>IFERROR(INDEX('G-7 Rivers Data'!$O$3:$O$7,MATCH(G110,'G-7 Rivers Data'!$N$3:$N$7,0)),"")</f>
        <v/>
      </c>
      <c r="M110" s="94"/>
      <c r="N110" s="261"/>
      <c r="O110" s="175" t="str">
        <f t="shared" si="7"/>
        <v/>
      </c>
      <c r="P110" s="242" t="str">
        <f t="shared" si="8"/>
        <v/>
      </c>
      <c r="Q110" s="383" t="str">
        <f>IFERROR(IF(P110="Check Data","Check Data",VLOOKUP(P110,'G-4 Temporal multipliers'!$A$4:$C$37,3,FALSE)),"")</f>
        <v/>
      </c>
      <c r="R110" s="171" t="str">
        <f>IF(C110="","",VLOOKUP(C110,'G-7 Rivers Data'!$B$4:$G$8,4,FALSE))</f>
        <v/>
      </c>
      <c r="S110" s="179" t="str">
        <f t="shared" si="9"/>
        <v/>
      </c>
      <c r="T110" s="269" t="str">
        <f t="shared" si="10"/>
        <v/>
      </c>
      <c r="U110" s="172" t="str">
        <f t="shared" si="11"/>
        <v/>
      </c>
      <c r="V110" s="79"/>
      <c r="W110" s="172" t="str">
        <f>IF(V110="","",IF(VLOOKUP(V110,'G-7 Rivers Data'!$AA$4:$AB$7,2,FALSE)=0,"Spatial Data Missing",VLOOKUP(V110,'G-7 Rivers Data'!$AA$4:$AB$7,2,FALSE)))</f>
        <v/>
      </c>
      <c r="X110" s="187"/>
      <c r="Y110" s="172" t="str">
        <f>IF(X110="","",IF(VLOOKUP(X110,'G-7 Rivers Data'!$AD$4:$AE$8,2,FALSE)=0,"Enrcoachment Data Missing",VLOOKUP(X110,'G-7 Rivers Data'!$AD$4:$AE$8,2,FALSE)))</f>
        <v/>
      </c>
      <c r="Z110" s="265" t="str">
        <f t="shared" si="12"/>
        <v/>
      </c>
      <c r="AA110" s="180"/>
      <c r="AB110" s="181"/>
      <c r="AH110" s="35" t="str">
        <f>IFERROR(INDEX('G-7 Rivers Data'!$AZ$3:$AZ$7,MATCH(C110,'G-7 Rivers Data'!$AY$3:$AY$7,0)),"")</f>
        <v/>
      </c>
    </row>
    <row r="111" spans="2:34" ht="13.8" x14ac:dyDescent="0.25">
      <c r="B111" s="168">
        <v>100</v>
      </c>
      <c r="C111" s="212"/>
      <c r="D111" s="213"/>
      <c r="E111" s="171" t="str">
        <f>IF(C111="","",VLOOKUP(C111,'G-7 Rivers Data'!$B$2:$G$8,2,FALSE))</f>
        <v/>
      </c>
      <c r="F111" s="172" t="str">
        <f>IFERROR(VLOOKUP(E111,'G-7 Rivers Data'!$C$4:$D$8,2,FALSE),"")</f>
        <v/>
      </c>
      <c r="G111" s="173"/>
      <c r="H111" s="172" t="str">
        <f>IFERROR(INDEX('G-7 Rivers Data'!$H$4:$L$8,MATCH(C111,'G-7 Rivers Data'!$B$4:$B$8,0),MATCH(G111,'G-7 Rivers Data'!$H$3:$L$3,0)),"")</f>
        <v/>
      </c>
      <c r="I111" s="186"/>
      <c r="J111" s="175" t="str">
        <f>IF(I111="","",IF(VLOOKUP(I111,'G-7 Rivers Data'!$AG$4:$AI$9,2,FALSE)=0,"Spatial Data Missing",VLOOKUP(I111,'G-7 Rivers Data'!$AG$4:$AI$9,2,FALSE)))</f>
        <v/>
      </c>
      <c r="K111" s="176" t="str">
        <f>IF(I111="","",IF(VLOOKUP(I111,'G-7 Rivers Data'!$AG$4:$AI$9,3,FALSE)=0,"Spatial Data Missing",VLOOKUP(I111,'G-7 Rivers Data'!$AG$4:$AI$9,3,FALSE)))</f>
        <v/>
      </c>
      <c r="L111" s="171" t="str">
        <f>IFERROR(INDEX('G-7 Rivers Data'!$O$3:$O$7,MATCH(G111,'G-7 Rivers Data'!$N$3:$N$7,0)),"")</f>
        <v/>
      </c>
      <c r="M111" s="94"/>
      <c r="N111" s="261"/>
      <c r="O111" s="175" t="str">
        <f t="shared" si="7"/>
        <v/>
      </c>
      <c r="P111" s="242" t="str">
        <f t="shared" si="8"/>
        <v/>
      </c>
      <c r="Q111" s="383" t="str">
        <f>IFERROR(IF(P111="Check Data","Check Data",VLOOKUP(P111,'G-4 Temporal multipliers'!$A$4:$C$37,3,FALSE)),"")</f>
        <v/>
      </c>
      <c r="R111" s="171" t="str">
        <f>IF(C111="","",VLOOKUP(C111,'G-7 Rivers Data'!$B$4:$G$8,4,FALSE))</f>
        <v/>
      </c>
      <c r="S111" s="179" t="str">
        <f t="shared" si="9"/>
        <v/>
      </c>
      <c r="T111" s="269" t="str">
        <f t="shared" si="10"/>
        <v/>
      </c>
      <c r="U111" s="172" t="str">
        <f t="shared" si="11"/>
        <v/>
      </c>
      <c r="V111" s="79"/>
      <c r="W111" s="172" t="str">
        <f>IF(V111="","",IF(VLOOKUP(V111,'G-7 Rivers Data'!$AA$4:$AB$7,2,FALSE)=0,"Spatial Data Missing",VLOOKUP(V111,'G-7 Rivers Data'!$AA$4:$AB$7,2,FALSE)))</f>
        <v/>
      </c>
      <c r="X111" s="187"/>
      <c r="Y111" s="172" t="str">
        <f>IF(X111="","",IF(VLOOKUP(X111,'G-7 Rivers Data'!$AD$4:$AE$8,2,FALSE)=0,"Enrcoachment Data Missing",VLOOKUP(X111,'G-7 Rivers Data'!$AD$4:$AE$8,2,FALSE)))</f>
        <v/>
      </c>
      <c r="Z111" s="265" t="str">
        <f t="shared" si="12"/>
        <v/>
      </c>
      <c r="AA111" s="180"/>
      <c r="AB111" s="181"/>
      <c r="AH111" s="35" t="str">
        <f>IFERROR(INDEX('G-7 Rivers Data'!$AZ$3:$AZ$7,MATCH(C111,'G-7 Rivers Data'!$AY$3:$AY$7,0)),"")</f>
        <v/>
      </c>
    </row>
    <row r="112" spans="2:34" ht="13.8" x14ac:dyDescent="0.25">
      <c r="B112" s="168">
        <v>101</v>
      </c>
      <c r="C112" s="212"/>
      <c r="D112" s="213"/>
      <c r="E112" s="171" t="str">
        <f>IF(C112="","",VLOOKUP(C112,'G-7 Rivers Data'!$B$2:$G$8,2,FALSE))</f>
        <v/>
      </c>
      <c r="F112" s="172" t="str">
        <f>IFERROR(VLOOKUP(E112,'G-7 Rivers Data'!$C$4:$D$8,2,FALSE),"")</f>
        <v/>
      </c>
      <c r="G112" s="173"/>
      <c r="H112" s="172" t="str">
        <f>IFERROR(INDEX('G-7 Rivers Data'!$H$4:$L$8,MATCH(C112,'G-7 Rivers Data'!$B$4:$B$8,0),MATCH(G112,'G-7 Rivers Data'!$H$3:$L$3,0)),"")</f>
        <v/>
      </c>
      <c r="I112" s="186"/>
      <c r="J112" s="175" t="str">
        <f>IF(I112="","",IF(VLOOKUP(I112,'G-7 Rivers Data'!$AG$4:$AI$9,2,FALSE)=0,"Spatial Data Missing",VLOOKUP(I112,'G-7 Rivers Data'!$AG$4:$AI$9,2,FALSE)))</f>
        <v/>
      </c>
      <c r="K112" s="176" t="str">
        <f>IF(I112="","",IF(VLOOKUP(I112,'G-7 Rivers Data'!$AG$4:$AI$9,3,FALSE)=0,"Spatial Data Missing",VLOOKUP(I112,'G-7 Rivers Data'!$AG$4:$AI$9,3,FALSE)))</f>
        <v/>
      </c>
      <c r="L112" s="171" t="str">
        <f>IFERROR(INDEX('G-7 Rivers Data'!$O$3:$O$7,MATCH(G112,'G-7 Rivers Data'!$N$3:$N$7,0)),"")</f>
        <v/>
      </c>
      <c r="M112" s="94"/>
      <c r="N112" s="261"/>
      <c r="O112" s="175" t="str">
        <f t="shared" si="7"/>
        <v/>
      </c>
      <c r="P112" s="242" t="str">
        <f t="shared" si="8"/>
        <v/>
      </c>
      <c r="Q112" s="383" t="str">
        <f>IFERROR(IF(P112="Check Data","Check Data",VLOOKUP(P112,'G-4 Temporal multipliers'!$A$4:$C$37,3,FALSE)),"")</f>
        <v/>
      </c>
      <c r="R112" s="171" t="str">
        <f>IF(C112="","",VLOOKUP(C112,'G-7 Rivers Data'!$B$4:$G$8,4,FALSE))</f>
        <v/>
      </c>
      <c r="S112" s="179" t="str">
        <f t="shared" si="9"/>
        <v/>
      </c>
      <c r="T112" s="269" t="str">
        <f t="shared" si="10"/>
        <v/>
      </c>
      <c r="U112" s="172" t="str">
        <f t="shared" si="11"/>
        <v/>
      </c>
      <c r="V112" s="79"/>
      <c r="W112" s="172" t="str">
        <f>IF(V112="","",IF(VLOOKUP(V112,'G-7 Rivers Data'!$AA$4:$AB$7,2,FALSE)=0,"Spatial Data Missing",VLOOKUP(V112,'G-7 Rivers Data'!$AA$4:$AB$7,2,FALSE)))</f>
        <v/>
      </c>
      <c r="X112" s="187"/>
      <c r="Y112" s="172" t="str">
        <f>IF(X112="","",IF(VLOOKUP(X112,'G-7 Rivers Data'!$AD$4:$AE$8,2,FALSE)=0,"Enrcoachment Data Missing",VLOOKUP(X112,'G-7 Rivers Data'!$AD$4:$AE$8,2,FALSE)))</f>
        <v/>
      </c>
      <c r="Z112" s="265" t="str">
        <f t="shared" si="12"/>
        <v/>
      </c>
      <c r="AA112" s="180"/>
      <c r="AB112" s="181"/>
      <c r="AH112" s="35" t="str">
        <f>IFERROR(INDEX('G-7 Rivers Data'!$AZ$3:$AZ$7,MATCH(C112,'G-7 Rivers Data'!$AY$3:$AY$7,0)),"")</f>
        <v/>
      </c>
    </row>
    <row r="113" spans="2:34" ht="13.8" x14ac:dyDescent="0.25">
      <c r="B113" s="168">
        <v>102</v>
      </c>
      <c r="C113" s="212"/>
      <c r="D113" s="213"/>
      <c r="E113" s="171" t="str">
        <f>IF(C113="","",VLOOKUP(C113,'G-7 Rivers Data'!$B$2:$G$8,2,FALSE))</f>
        <v/>
      </c>
      <c r="F113" s="172" t="str">
        <f>IFERROR(VLOOKUP(E113,'G-7 Rivers Data'!$C$4:$D$8,2,FALSE),"")</f>
        <v/>
      </c>
      <c r="G113" s="173"/>
      <c r="H113" s="172" t="str">
        <f>IFERROR(INDEX('G-7 Rivers Data'!$H$4:$L$8,MATCH(C113,'G-7 Rivers Data'!$B$4:$B$8,0),MATCH(G113,'G-7 Rivers Data'!$H$3:$L$3,0)),"")</f>
        <v/>
      </c>
      <c r="I113" s="186"/>
      <c r="J113" s="175" t="str">
        <f>IF(I113="","",IF(VLOOKUP(I113,'G-7 Rivers Data'!$AG$4:$AI$9,2,FALSE)=0,"Spatial Data Missing",VLOOKUP(I113,'G-7 Rivers Data'!$AG$4:$AI$9,2,FALSE)))</f>
        <v/>
      </c>
      <c r="K113" s="176" t="str">
        <f>IF(I113="","",IF(VLOOKUP(I113,'G-7 Rivers Data'!$AG$4:$AI$9,3,FALSE)=0,"Spatial Data Missing",VLOOKUP(I113,'G-7 Rivers Data'!$AG$4:$AI$9,3,FALSE)))</f>
        <v/>
      </c>
      <c r="L113" s="171" t="str">
        <f>IFERROR(INDEX('G-7 Rivers Data'!$O$3:$O$7,MATCH(G113,'G-7 Rivers Data'!$N$3:$N$7,0)),"")</f>
        <v/>
      </c>
      <c r="M113" s="94"/>
      <c r="N113" s="261"/>
      <c r="O113" s="175" t="str">
        <f t="shared" si="7"/>
        <v/>
      </c>
      <c r="P113" s="242" t="str">
        <f t="shared" si="8"/>
        <v/>
      </c>
      <c r="Q113" s="383" t="str">
        <f>IFERROR(IF(P113="Check Data","Check Data",VLOOKUP(P113,'G-4 Temporal multipliers'!$A$4:$C$37,3,FALSE)),"")</f>
        <v/>
      </c>
      <c r="R113" s="171" t="str">
        <f>IF(C113="","",VLOOKUP(C113,'G-7 Rivers Data'!$B$4:$G$8,4,FALSE))</f>
        <v/>
      </c>
      <c r="S113" s="179" t="str">
        <f t="shared" si="9"/>
        <v/>
      </c>
      <c r="T113" s="269" t="str">
        <f t="shared" si="10"/>
        <v/>
      </c>
      <c r="U113" s="172" t="str">
        <f t="shared" si="11"/>
        <v/>
      </c>
      <c r="V113" s="79"/>
      <c r="W113" s="172" t="str">
        <f>IF(V113="","",IF(VLOOKUP(V113,'G-7 Rivers Data'!$AA$4:$AB$7,2,FALSE)=0,"Spatial Data Missing",VLOOKUP(V113,'G-7 Rivers Data'!$AA$4:$AB$7,2,FALSE)))</f>
        <v/>
      </c>
      <c r="X113" s="187"/>
      <c r="Y113" s="172" t="str">
        <f>IF(X113="","",IF(VLOOKUP(X113,'G-7 Rivers Data'!$AD$4:$AE$8,2,FALSE)=0,"Enrcoachment Data Missing",VLOOKUP(X113,'G-7 Rivers Data'!$AD$4:$AE$8,2,FALSE)))</f>
        <v/>
      </c>
      <c r="Z113" s="265" t="str">
        <f t="shared" si="12"/>
        <v/>
      </c>
      <c r="AA113" s="180"/>
      <c r="AB113" s="181"/>
      <c r="AH113" s="35" t="str">
        <f>IFERROR(INDEX('G-7 Rivers Data'!$AZ$3:$AZ$7,MATCH(C113,'G-7 Rivers Data'!$AY$3:$AY$7,0)),"")</f>
        <v/>
      </c>
    </row>
    <row r="114" spans="2:34" ht="13.8" x14ac:dyDescent="0.25">
      <c r="B114" s="168">
        <v>103</v>
      </c>
      <c r="C114" s="212"/>
      <c r="D114" s="213"/>
      <c r="E114" s="171" t="str">
        <f>IF(C114="","",VLOOKUP(C114,'G-7 Rivers Data'!$B$2:$G$8,2,FALSE))</f>
        <v/>
      </c>
      <c r="F114" s="172" t="str">
        <f>IFERROR(VLOOKUP(E114,'G-7 Rivers Data'!$C$4:$D$8,2,FALSE),"")</f>
        <v/>
      </c>
      <c r="G114" s="173"/>
      <c r="H114" s="172" t="str">
        <f>IFERROR(INDEX('G-7 Rivers Data'!$H$4:$L$8,MATCH(C114,'G-7 Rivers Data'!$B$4:$B$8,0),MATCH(G114,'G-7 Rivers Data'!$H$3:$L$3,0)),"")</f>
        <v/>
      </c>
      <c r="I114" s="186"/>
      <c r="J114" s="175" t="str">
        <f>IF(I114="","",IF(VLOOKUP(I114,'G-7 Rivers Data'!$AG$4:$AI$9,2,FALSE)=0,"Spatial Data Missing",VLOOKUP(I114,'G-7 Rivers Data'!$AG$4:$AI$9,2,FALSE)))</f>
        <v/>
      </c>
      <c r="K114" s="176" t="str">
        <f>IF(I114="","",IF(VLOOKUP(I114,'G-7 Rivers Data'!$AG$4:$AI$9,3,FALSE)=0,"Spatial Data Missing",VLOOKUP(I114,'G-7 Rivers Data'!$AG$4:$AI$9,3,FALSE)))</f>
        <v/>
      </c>
      <c r="L114" s="171" t="str">
        <f>IFERROR(INDEX('G-7 Rivers Data'!$O$3:$O$7,MATCH(G114,'G-7 Rivers Data'!$N$3:$N$7,0)),"")</f>
        <v/>
      </c>
      <c r="M114" s="94"/>
      <c r="N114" s="261"/>
      <c r="O114" s="175" t="str">
        <f t="shared" si="7"/>
        <v/>
      </c>
      <c r="P114" s="242" t="str">
        <f t="shared" si="8"/>
        <v/>
      </c>
      <c r="Q114" s="383" t="str">
        <f>IFERROR(IF(P114="Check Data","Check Data",VLOOKUP(P114,'G-4 Temporal multipliers'!$A$4:$C$37,3,FALSE)),"")</f>
        <v/>
      </c>
      <c r="R114" s="171" t="str">
        <f>IF(C114="","",VLOOKUP(C114,'G-7 Rivers Data'!$B$4:$G$8,4,FALSE))</f>
        <v/>
      </c>
      <c r="S114" s="179" t="str">
        <f t="shared" si="9"/>
        <v/>
      </c>
      <c r="T114" s="269" t="str">
        <f t="shared" si="10"/>
        <v/>
      </c>
      <c r="U114" s="172" t="str">
        <f t="shared" si="11"/>
        <v/>
      </c>
      <c r="V114" s="79"/>
      <c r="W114" s="172" t="str">
        <f>IF(V114="","",IF(VLOOKUP(V114,'G-7 Rivers Data'!$AA$4:$AB$7,2,FALSE)=0,"Spatial Data Missing",VLOOKUP(V114,'G-7 Rivers Data'!$AA$4:$AB$7,2,FALSE)))</f>
        <v/>
      </c>
      <c r="X114" s="187"/>
      <c r="Y114" s="172" t="str">
        <f>IF(X114="","",IF(VLOOKUP(X114,'G-7 Rivers Data'!$AD$4:$AE$8,2,FALSE)=0,"Enrcoachment Data Missing",VLOOKUP(X114,'G-7 Rivers Data'!$AD$4:$AE$8,2,FALSE)))</f>
        <v/>
      </c>
      <c r="Z114" s="265" t="str">
        <f t="shared" si="12"/>
        <v/>
      </c>
      <c r="AA114" s="180"/>
      <c r="AB114" s="181"/>
      <c r="AH114" s="35" t="str">
        <f>IFERROR(INDEX('G-7 Rivers Data'!$AZ$3:$AZ$7,MATCH(C114,'G-7 Rivers Data'!$AY$3:$AY$7,0)),"")</f>
        <v/>
      </c>
    </row>
    <row r="115" spans="2:34" ht="13.8" x14ac:dyDescent="0.25">
      <c r="B115" s="168">
        <v>104</v>
      </c>
      <c r="C115" s="212"/>
      <c r="D115" s="213"/>
      <c r="E115" s="171" t="str">
        <f>IF(C115="","",VLOOKUP(C115,'G-7 Rivers Data'!$B$2:$G$8,2,FALSE))</f>
        <v/>
      </c>
      <c r="F115" s="172" t="str">
        <f>IFERROR(VLOOKUP(E115,'G-7 Rivers Data'!$C$4:$D$8,2,FALSE),"")</f>
        <v/>
      </c>
      <c r="G115" s="173"/>
      <c r="H115" s="172" t="str">
        <f>IFERROR(INDEX('G-7 Rivers Data'!$H$4:$L$8,MATCH(C115,'G-7 Rivers Data'!$B$4:$B$8,0),MATCH(G115,'G-7 Rivers Data'!$H$3:$L$3,0)),"")</f>
        <v/>
      </c>
      <c r="I115" s="186"/>
      <c r="J115" s="175" t="str">
        <f>IF(I115="","",IF(VLOOKUP(I115,'G-7 Rivers Data'!$AG$4:$AI$9,2,FALSE)=0,"Spatial Data Missing",VLOOKUP(I115,'G-7 Rivers Data'!$AG$4:$AI$9,2,FALSE)))</f>
        <v/>
      </c>
      <c r="K115" s="176" t="str">
        <f>IF(I115="","",IF(VLOOKUP(I115,'G-7 Rivers Data'!$AG$4:$AI$9,3,FALSE)=0,"Spatial Data Missing",VLOOKUP(I115,'G-7 Rivers Data'!$AG$4:$AI$9,3,FALSE)))</f>
        <v/>
      </c>
      <c r="L115" s="171" t="str">
        <f>IFERROR(INDEX('G-7 Rivers Data'!$O$3:$O$7,MATCH(G115,'G-7 Rivers Data'!$N$3:$N$7,0)),"")</f>
        <v/>
      </c>
      <c r="M115" s="94"/>
      <c r="N115" s="261"/>
      <c r="O115" s="175" t="str">
        <f t="shared" si="7"/>
        <v/>
      </c>
      <c r="P115" s="242" t="str">
        <f t="shared" si="8"/>
        <v/>
      </c>
      <c r="Q115" s="383" t="str">
        <f>IFERROR(IF(P115="Check Data","Check Data",VLOOKUP(P115,'G-4 Temporal multipliers'!$A$4:$C$37,3,FALSE)),"")</f>
        <v/>
      </c>
      <c r="R115" s="171" t="str">
        <f>IF(C115="","",VLOOKUP(C115,'G-7 Rivers Data'!$B$4:$G$8,4,FALSE))</f>
        <v/>
      </c>
      <c r="S115" s="179" t="str">
        <f t="shared" si="9"/>
        <v/>
      </c>
      <c r="T115" s="269" t="str">
        <f t="shared" si="10"/>
        <v/>
      </c>
      <c r="U115" s="172" t="str">
        <f t="shared" si="11"/>
        <v/>
      </c>
      <c r="V115" s="79"/>
      <c r="W115" s="172" t="str">
        <f>IF(V115="","",IF(VLOOKUP(V115,'G-7 Rivers Data'!$AA$4:$AB$7,2,FALSE)=0,"Spatial Data Missing",VLOOKUP(V115,'G-7 Rivers Data'!$AA$4:$AB$7,2,FALSE)))</f>
        <v/>
      </c>
      <c r="X115" s="187"/>
      <c r="Y115" s="172" t="str">
        <f>IF(X115="","",IF(VLOOKUP(X115,'G-7 Rivers Data'!$AD$4:$AE$8,2,FALSE)=0,"Enrcoachment Data Missing",VLOOKUP(X115,'G-7 Rivers Data'!$AD$4:$AE$8,2,FALSE)))</f>
        <v/>
      </c>
      <c r="Z115" s="265" t="str">
        <f t="shared" si="12"/>
        <v/>
      </c>
      <c r="AA115" s="180"/>
      <c r="AB115" s="181"/>
      <c r="AH115" s="35" t="str">
        <f>IFERROR(INDEX('G-7 Rivers Data'!$AZ$3:$AZ$7,MATCH(C115,'G-7 Rivers Data'!$AY$3:$AY$7,0)),"")</f>
        <v/>
      </c>
    </row>
    <row r="116" spans="2:34" ht="13.8" x14ac:dyDescent="0.25">
      <c r="B116" s="168">
        <v>105</v>
      </c>
      <c r="C116" s="212"/>
      <c r="D116" s="213"/>
      <c r="E116" s="171" t="str">
        <f>IF(C116="","",VLOOKUP(C116,'G-7 Rivers Data'!$B$2:$G$8,2,FALSE))</f>
        <v/>
      </c>
      <c r="F116" s="172" t="str">
        <f>IFERROR(VLOOKUP(E116,'G-7 Rivers Data'!$C$4:$D$8,2,FALSE),"")</f>
        <v/>
      </c>
      <c r="G116" s="173"/>
      <c r="H116" s="172" t="str">
        <f>IFERROR(INDEX('G-7 Rivers Data'!$H$4:$L$8,MATCH(C116,'G-7 Rivers Data'!$B$4:$B$8,0),MATCH(G116,'G-7 Rivers Data'!$H$3:$L$3,0)),"")</f>
        <v/>
      </c>
      <c r="I116" s="186"/>
      <c r="J116" s="175" t="str">
        <f>IF(I116="","",IF(VLOOKUP(I116,'G-7 Rivers Data'!$AG$4:$AI$9,2,FALSE)=0,"Spatial Data Missing",VLOOKUP(I116,'G-7 Rivers Data'!$AG$4:$AI$9,2,FALSE)))</f>
        <v/>
      </c>
      <c r="K116" s="176" t="str">
        <f>IF(I116="","",IF(VLOOKUP(I116,'G-7 Rivers Data'!$AG$4:$AI$9,3,FALSE)=0,"Spatial Data Missing",VLOOKUP(I116,'G-7 Rivers Data'!$AG$4:$AI$9,3,FALSE)))</f>
        <v/>
      </c>
      <c r="L116" s="171" t="str">
        <f>IFERROR(INDEX('G-7 Rivers Data'!$O$3:$O$7,MATCH(G116,'G-7 Rivers Data'!$N$3:$N$7,0)),"")</f>
        <v/>
      </c>
      <c r="M116" s="94"/>
      <c r="N116" s="261"/>
      <c r="O116" s="175" t="str">
        <f t="shared" si="7"/>
        <v/>
      </c>
      <c r="P116" s="242" t="str">
        <f t="shared" si="8"/>
        <v/>
      </c>
      <c r="Q116" s="383" t="str">
        <f>IFERROR(IF(P116="Check Data","Check Data",VLOOKUP(P116,'G-4 Temporal multipliers'!$A$4:$C$37,3,FALSE)),"")</f>
        <v/>
      </c>
      <c r="R116" s="171" t="str">
        <f>IF(C116="","",VLOOKUP(C116,'G-7 Rivers Data'!$B$4:$G$8,4,FALSE))</f>
        <v/>
      </c>
      <c r="S116" s="179" t="str">
        <f t="shared" si="9"/>
        <v/>
      </c>
      <c r="T116" s="269" t="str">
        <f t="shared" si="10"/>
        <v/>
      </c>
      <c r="U116" s="172" t="str">
        <f t="shared" si="11"/>
        <v/>
      </c>
      <c r="V116" s="79"/>
      <c r="W116" s="172" t="str">
        <f>IF(V116="","",IF(VLOOKUP(V116,'G-7 Rivers Data'!$AA$4:$AB$7,2,FALSE)=0,"Spatial Data Missing",VLOOKUP(V116,'G-7 Rivers Data'!$AA$4:$AB$7,2,FALSE)))</f>
        <v/>
      </c>
      <c r="X116" s="187"/>
      <c r="Y116" s="172" t="str">
        <f>IF(X116="","",IF(VLOOKUP(X116,'G-7 Rivers Data'!$AD$4:$AE$8,2,FALSE)=0,"Enrcoachment Data Missing",VLOOKUP(X116,'G-7 Rivers Data'!$AD$4:$AE$8,2,FALSE)))</f>
        <v/>
      </c>
      <c r="Z116" s="265" t="str">
        <f t="shared" si="12"/>
        <v/>
      </c>
      <c r="AA116" s="180"/>
      <c r="AB116" s="181"/>
      <c r="AH116" s="35" t="str">
        <f>IFERROR(INDEX('G-7 Rivers Data'!$AZ$3:$AZ$7,MATCH(C116,'G-7 Rivers Data'!$AY$3:$AY$7,0)),"")</f>
        <v/>
      </c>
    </row>
    <row r="117" spans="2:34" ht="13.8" x14ac:dyDescent="0.25">
      <c r="B117" s="168">
        <v>106</v>
      </c>
      <c r="C117" s="212"/>
      <c r="D117" s="213"/>
      <c r="E117" s="171" t="str">
        <f>IF(C117="","",VLOOKUP(C117,'G-7 Rivers Data'!$B$2:$G$8,2,FALSE))</f>
        <v/>
      </c>
      <c r="F117" s="172" t="str">
        <f>IFERROR(VLOOKUP(E117,'G-7 Rivers Data'!$C$4:$D$8,2,FALSE),"")</f>
        <v/>
      </c>
      <c r="G117" s="173"/>
      <c r="H117" s="172" t="str">
        <f>IFERROR(INDEX('G-7 Rivers Data'!$H$4:$L$8,MATCH(C117,'G-7 Rivers Data'!$B$4:$B$8,0),MATCH(G117,'G-7 Rivers Data'!$H$3:$L$3,0)),"")</f>
        <v/>
      </c>
      <c r="I117" s="186"/>
      <c r="J117" s="175" t="str">
        <f>IF(I117="","",IF(VLOOKUP(I117,'G-7 Rivers Data'!$AG$4:$AI$9,2,FALSE)=0,"Spatial Data Missing",VLOOKUP(I117,'G-7 Rivers Data'!$AG$4:$AI$9,2,FALSE)))</f>
        <v/>
      </c>
      <c r="K117" s="176" t="str">
        <f>IF(I117="","",IF(VLOOKUP(I117,'G-7 Rivers Data'!$AG$4:$AI$9,3,FALSE)=0,"Spatial Data Missing",VLOOKUP(I117,'G-7 Rivers Data'!$AG$4:$AI$9,3,FALSE)))</f>
        <v/>
      </c>
      <c r="L117" s="171" t="str">
        <f>IFERROR(INDEX('G-7 Rivers Data'!$O$3:$O$7,MATCH(G117,'G-7 Rivers Data'!$N$3:$N$7,0)),"")</f>
        <v/>
      </c>
      <c r="M117" s="94"/>
      <c r="N117" s="261"/>
      <c r="O117" s="175" t="str">
        <f t="shared" si="7"/>
        <v/>
      </c>
      <c r="P117" s="242" t="str">
        <f t="shared" si="8"/>
        <v/>
      </c>
      <c r="Q117" s="383" t="str">
        <f>IFERROR(IF(P117="Check Data","Check Data",VLOOKUP(P117,'G-4 Temporal multipliers'!$A$4:$C$37,3,FALSE)),"")</f>
        <v/>
      </c>
      <c r="R117" s="171" t="str">
        <f>IF(C117="","",VLOOKUP(C117,'G-7 Rivers Data'!$B$4:$G$8,4,FALSE))</f>
        <v/>
      </c>
      <c r="S117" s="179" t="str">
        <f t="shared" si="9"/>
        <v/>
      </c>
      <c r="T117" s="269" t="str">
        <f t="shared" si="10"/>
        <v/>
      </c>
      <c r="U117" s="172" t="str">
        <f t="shared" si="11"/>
        <v/>
      </c>
      <c r="V117" s="79"/>
      <c r="W117" s="172" t="str">
        <f>IF(V117="","",IF(VLOOKUP(V117,'G-7 Rivers Data'!$AA$4:$AB$7,2,FALSE)=0,"Spatial Data Missing",VLOOKUP(V117,'G-7 Rivers Data'!$AA$4:$AB$7,2,FALSE)))</f>
        <v/>
      </c>
      <c r="X117" s="187"/>
      <c r="Y117" s="172" t="str">
        <f>IF(X117="","",IF(VLOOKUP(X117,'G-7 Rivers Data'!$AD$4:$AE$8,2,FALSE)=0,"Enrcoachment Data Missing",VLOOKUP(X117,'G-7 Rivers Data'!$AD$4:$AE$8,2,FALSE)))</f>
        <v/>
      </c>
      <c r="Z117" s="265" t="str">
        <f t="shared" si="12"/>
        <v/>
      </c>
      <c r="AA117" s="180"/>
      <c r="AB117" s="181"/>
      <c r="AH117" s="35" t="str">
        <f>IFERROR(INDEX('G-7 Rivers Data'!$AZ$3:$AZ$7,MATCH(C117,'G-7 Rivers Data'!$AY$3:$AY$7,0)),"")</f>
        <v/>
      </c>
    </row>
    <row r="118" spans="2:34" ht="13.8" x14ac:dyDescent="0.25">
      <c r="B118" s="168">
        <v>107</v>
      </c>
      <c r="C118" s="212"/>
      <c r="D118" s="213"/>
      <c r="E118" s="171" t="str">
        <f>IF(C118="","",VLOOKUP(C118,'G-7 Rivers Data'!$B$2:$G$8,2,FALSE))</f>
        <v/>
      </c>
      <c r="F118" s="172" t="str">
        <f>IFERROR(VLOOKUP(E118,'G-7 Rivers Data'!$C$4:$D$8,2,FALSE),"")</f>
        <v/>
      </c>
      <c r="G118" s="173"/>
      <c r="H118" s="172" t="str">
        <f>IFERROR(INDEX('G-7 Rivers Data'!$H$4:$L$8,MATCH(C118,'G-7 Rivers Data'!$B$4:$B$8,0),MATCH(G118,'G-7 Rivers Data'!$H$3:$L$3,0)),"")</f>
        <v/>
      </c>
      <c r="I118" s="186"/>
      <c r="J118" s="175" t="str">
        <f>IF(I118="","",IF(VLOOKUP(I118,'G-7 Rivers Data'!$AG$4:$AI$9,2,FALSE)=0,"Spatial Data Missing",VLOOKUP(I118,'G-7 Rivers Data'!$AG$4:$AI$9,2,FALSE)))</f>
        <v/>
      </c>
      <c r="K118" s="176" t="str">
        <f>IF(I118="","",IF(VLOOKUP(I118,'G-7 Rivers Data'!$AG$4:$AI$9,3,FALSE)=0,"Spatial Data Missing",VLOOKUP(I118,'G-7 Rivers Data'!$AG$4:$AI$9,3,FALSE)))</f>
        <v/>
      </c>
      <c r="L118" s="171" t="str">
        <f>IFERROR(INDEX('G-7 Rivers Data'!$O$3:$O$7,MATCH(G118,'G-7 Rivers Data'!$N$3:$N$7,0)),"")</f>
        <v/>
      </c>
      <c r="M118" s="94"/>
      <c r="N118" s="261"/>
      <c r="O118" s="175" t="str">
        <f t="shared" si="7"/>
        <v/>
      </c>
      <c r="P118" s="242" t="str">
        <f t="shared" si="8"/>
        <v/>
      </c>
      <c r="Q118" s="383" t="str">
        <f>IFERROR(IF(P118="Check Data","Check Data",VLOOKUP(P118,'G-4 Temporal multipliers'!$A$4:$C$37,3,FALSE)),"")</f>
        <v/>
      </c>
      <c r="R118" s="171" t="str">
        <f>IF(C118="","",VLOOKUP(C118,'G-7 Rivers Data'!$B$4:$G$8,4,FALSE))</f>
        <v/>
      </c>
      <c r="S118" s="179" t="str">
        <f t="shared" si="9"/>
        <v/>
      </c>
      <c r="T118" s="269" t="str">
        <f t="shared" si="10"/>
        <v/>
      </c>
      <c r="U118" s="172" t="str">
        <f t="shared" si="11"/>
        <v/>
      </c>
      <c r="V118" s="79"/>
      <c r="W118" s="172" t="str">
        <f>IF(V118="","",IF(VLOOKUP(V118,'G-7 Rivers Data'!$AA$4:$AB$7,2,FALSE)=0,"Spatial Data Missing",VLOOKUP(V118,'G-7 Rivers Data'!$AA$4:$AB$7,2,FALSE)))</f>
        <v/>
      </c>
      <c r="X118" s="187"/>
      <c r="Y118" s="172" t="str">
        <f>IF(X118="","",IF(VLOOKUP(X118,'G-7 Rivers Data'!$AD$4:$AE$8,2,FALSE)=0,"Enrcoachment Data Missing",VLOOKUP(X118,'G-7 Rivers Data'!$AD$4:$AE$8,2,FALSE)))</f>
        <v/>
      </c>
      <c r="Z118" s="265" t="str">
        <f t="shared" si="12"/>
        <v/>
      </c>
      <c r="AA118" s="180"/>
      <c r="AB118" s="181"/>
      <c r="AH118" s="35" t="str">
        <f>IFERROR(INDEX('G-7 Rivers Data'!$AZ$3:$AZ$7,MATCH(C118,'G-7 Rivers Data'!$AY$3:$AY$7,0)),"")</f>
        <v/>
      </c>
    </row>
    <row r="119" spans="2:34" ht="13.8" x14ac:dyDescent="0.25">
      <c r="B119" s="168">
        <v>108</v>
      </c>
      <c r="C119" s="212"/>
      <c r="D119" s="213"/>
      <c r="E119" s="171" t="str">
        <f>IF(C119="","",VLOOKUP(C119,'G-7 Rivers Data'!$B$2:$G$8,2,FALSE))</f>
        <v/>
      </c>
      <c r="F119" s="172" t="str">
        <f>IFERROR(VLOOKUP(E119,'G-7 Rivers Data'!$C$4:$D$8,2,FALSE),"")</f>
        <v/>
      </c>
      <c r="G119" s="173"/>
      <c r="H119" s="172" t="str">
        <f>IFERROR(INDEX('G-7 Rivers Data'!$H$4:$L$8,MATCH(C119,'G-7 Rivers Data'!$B$4:$B$8,0),MATCH(G119,'G-7 Rivers Data'!$H$3:$L$3,0)),"")</f>
        <v/>
      </c>
      <c r="I119" s="186"/>
      <c r="J119" s="175" t="str">
        <f>IF(I119="","",IF(VLOOKUP(I119,'G-7 Rivers Data'!$AG$4:$AI$9,2,FALSE)=0,"Spatial Data Missing",VLOOKUP(I119,'G-7 Rivers Data'!$AG$4:$AI$9,2,FALSE)))</f>
        <v/>
      </c>
      <c r="K119" s="176" t="str">
        <f>IF(I119="","",IF(VLOOKUP(I119,'G-7 Rivers Data'!$AG$4:$AI$9,3,FALSE)=0,"Spatial Data Missing",VLOOKUP(I119,'G-7 Rivers Data'!$AG$4:$AI$9,3,FALSE)))</f>
        <v/>
      </c>
      <c r="L119" s="171" t="str">
        <f>IFERROR(INDEX('G-7 Rivers Data'!$O$3:$O$7,MATCH(G119,'G-7 Rivers Data'!$N$3:$N$7,0)),"")</f>
        <v/>
      </c>
      <c r="M119" s="94"/>
      <c r="N119" s="261"/>
      <c r="O119" s="175" t="str">
        <f t="shared" si="7"/>
        <v/>
      </c>
      <c r="P119" s="242" t="str">
        <f t="shared" si="8"/>
        <v/>
      </c>
      <c r="Q119" s="383" t="str">
        <f>IFERROR(IF(P119="Check Data","Check Data",VLOOKUP(P119,'G-4 Temporal multipliers'!$A$4:$C$37,3,FALSE)),"")</f>
        <v/>
      </c>
      <c r="R119" s="171" t="str">
        <f>IF(C119="","",VLOOKUP(C119,'G-7 Rivers Data'!$B$4:$G$8,4,FALSE))</f>
        <v/>
      </c>
      <c r="S119" s="179" t="str">
        <f t="shared" si="9"/>
        <v/>
      </c>
      <c r="T119" s="269" t="str">
        <f t="shared" si="10"/>
        <v/>
      </c>
      <c r="U119" s="172" t="str">
        <f t="shared" si="11"/>
        <v/>
      </c>
      <c r="V119" s="79"/>
      <c r="W119" s="172" t="str">
        <f>IF(V119="","",IF(VLOOKUP(V119,'G-7 Rivers Data'!$AA$4:$AB$7,2,FALSE)=0,"Spatial Data Missing",VLOOKUP(V119,'G-7 Rivers Data'!$AA$4:$AB$7,2,FALSE)))</f>
        <v/>
      </c>
      <c r="X119" s="187"/>
      <c r="Y119" s="172" t="str">
        <f>IF(X119="","",IF(VLOOKUP(X119,'G-7 Rivers Data'!$AD$4:$AE$8,2,FALSE)=0,"Enrcoachment Data Missing",VLOOKUP(X119,'G-7 Rivers Data'!$AD$4:$AE$8,2,FALSE)))</f>
        <v/>
      </c>
      <c r="Z119" s="265" t="str">
        <f t="shared" si="12"/>
        <v/>
      </c>
      <c r="AA119" s="180"/>
      <c r="AB119" s="181"/>
      <c r="AH119" s="35" t="str">
        <f>IFERROR(INDEX('G-7 Rivers Data'!$AZ$3:$AZ$7,MATCH(C119,'G-7 Rivers Data'!$AY$3:$AY$7,0)),"")</f>
        <v/>
      </c>
    </row>
    <row r="120" spans="2:34" ht="13.8" x14ac:dyDescent="0.25">
      <c r="B120" s="168">
        <v>109</v>
      </c>
      <c r="C120" s="212"/>
      <c r="D120" s="213"/>
      <c r="E120" s="171" t="str">
        <f>IF(C120="","",VLOOKUP(C120,'G-7 Rivers Data'!$B$2:$G$8,2,FALSE))</f>
        <v/>
      </c>
      <c r="F120" s="172" t="str">
        <f>IFERROR(VLOOKUP(E120,'G-7 Rivers Data'!$C$4:$D$8,2,FALSE),"")</f>
        <v/>
      </c>
      <c r="G120" s="173"/>
      <c r="H120" s="172" t="str">
        <f>IFERROR(INDEX('G-7 Rivers Data'!$H$4:$L$8,MATCH(C120,'G-7 Rivers Data'!$B$4:$B$8,0),MATCH(G120,'G-7 Rivers Data'!$H$3:$L$3,0)),"")</f>
        <v/>
      </c>
      <c r="I120" s="186"/>
      <c r="J120" s="175" t="str">
        <f>IF(I120="","",IF(VLOOKUP(I120,'G-7 Rivers Data'!$AG$4:$AI$9,2,FALSE)=0,"Spatial Data Missing",VLOOKUP(I120,'G-7 Rivers Data'!$AG$4:$AI$9,2,FALSE)))</f>
        <v/>
      </c>
      <c r="K120" s="176" t="str">
        <f>IF(I120="","",IF(VLOOKUP(I120,'G-7 Rivers Data'!$AG$4:$AI$9,3,FALSE)=0,"Spatial Data Missing",VLOOKUP(I120,'G-7 Rivers Data'!$AG$4:$AI$9,3,FALSE)))</f>
        <v/>
      </c>
      <c r="L120" s="171" t="str">
        <f>IFERROR(INDEX('G-7 Rivers Data'!$O$3:$O$7,MATCH(G120,'G-7 Rivers Data'!$N$3:$N$7,0)),"")</f>
        <v/>
      </c>
      <c r="M120" s="94"/>
      <c r="N120" s="261"/>
      <c r="O120" s="175" t="str">
        <f t="shared" si="7"/>
        <v/>
      </c>
      <c r="P120" s="242" t="str">
        <f t="shared" si="8"/>
        <v/>
      </c>
      <c r="Q120" s="383" t="str">
        <f>IFERROR(IF(P120="Check Data","Check Data",VLOOKUP(P120,'G-4 Temporal multipliers'!$A$4:$C$37,3,FALSE)),"")</f>
        <v/>
      </c>
      <c r="R120" s="171" t="str">
        <f>IF(C120="","",VLOOKUP(C120,'G-7 Rivers Data'!$B$4:$G$8,4,FALSE))</f>
        <v/>
      </c>
      <c r="S120" s="179" t="str">
        <f t="shared" si="9"/>
        <v/>
      </c>
      <c r="T120" s="269" t="str">
        <f t="shared" si="10"/>
        <v/>
      </c>
      <c r="U120" s="172" t="str">
        <f t="shared" si="11"/>
        <v/>
      </c>
      <c r="V120" s="79"/>
      <c r="W120" s="172" t="str">
        <f>IF(V120="","",IF(VLOOKUP(V120,'G-7 Rivers Data'!$AA$4:$AB$7,2,FALSE)=0,"Spatial Data Missing",VLOOKUP(V120,'G-7 Rivers Data'!$AA$4:$AB$7,2,FALSE)))</f>
        <v/>
      </c>
      <c r="X120" s="187"/>
      <c r="Y120" s="172" t="str">
        <f>IF(X120="","",IF(VLOOKUP(X120,'G-7 Rivers Data'!$AD$4:$AE$8,2,FALSE)=0,"Enrcoachment Data Missing",VLOOKUP(X120,'G-7 Rivers Data'!$AD$4:$AE$8,2,FALSE)))</f>
        <v/>
      </c>
      <c r="Z120" s="265" t="str">
        <f t="shared" si="12"/>
        <v/>
      </c>
      <c r="AA120" s="180"/>
      <c r="AB120" s="181"/>
      <c r="AH120" s="35" t="str">
        <f>IFERROR(INDEX('G-7 Rivers Data'!$AZ$3:$AZ$7,MATCH(C120,'G-7 Rivers Data'!$AY$3:$AY$7,0)),"")</f>
        <v/>
      </c>
    </row>
    <row r="121" spans="2:34" ht="13.8" x14ac:dyDescent="0.25">
      <c r="B121" s="168">
        <v>110</v>
      </c>
      <c r="C121" s="212"/>
      <c r="D121" s="213"/>
      <c r="E121" s="171" t="str">
        <f>IF(C121="","",VLOOKUP(C121,'G-7 Rivers Data'!$B$2:$G$8,2,FALSE))</f>
        <v/>
      </c>
      <c r="F121" s="172" t="str">
        <f>IFERROR(VLOOKUP(E121,'G-7 Rivers Data'!$C$4:$D$8,2,FALSE),"")</f>
        <v/>
      </c>
      <c r="G121" s="173"/>
      <c r="H121" s="172" t="str">
        <f>IFERROR(INDEX('G-7 Rivers Data'!$H$4:$L$8,MATCH(C121,'G-7 Rivers Data'!$B$4:$B$8,0),MATCH(G121,'G-7 Rivers Data'!$H$3:$L$3,0)),"")</f>
        <v/>
      </c>
      <c r="I121" s="186"/>
      <c r="J121" s="175" t="str">
        <f>IF(I121="","",IF(VLOOKUP(I121,'G-7 Rivers Data'!$AG$4:$AI$9,2,FALSE)=0,"Spatial Data Missing",VLOOKUP(I121,'G-7 Rivers Data'!$AG$4:$AI$9,2,FALSE)))</f>
        <v/>
      </c>
      <c r="K121" s="176" t="str">
        <f>IF(I121="","",IF(VLOOKUP(I121,'G-7 Rivers Data'!$AG$4:$AI$9,3,FALSE)=0,"Spatial Data Missing",VLOOKUP(I121,'G-7 Rivers Data'!$AG$4:$AI$9,3,FALSE)))</f>
        <v/>
      </c>
      <c r="L121" s="171" t="str">
        <f>IFERROR(INDEX('G-7 Rivers Data'!$O$3:$O$7,MATCH(G121,'G-7 Rivers Data'!$N$3:$N$7,0)),"")</f>
        <v/>
      </c>
      <c r="M121" s="94"/>
      <c r="N121" s="261"/>
      <c r="O121" s="175" t="str">
        <f t="shared" si="7"/>
        <v/>
      </c>
      <c r="P121" s="242" t="str">
        <f t="shared" si="8"/>
        <v/>
      </c>
      <c r="Q121" s="383" t="str">
        <f>IFERROR(IF(P121="Check Data","Check Data",VLOOKUP(P121,'G-4 Temporal multipliers'!$A$4:$C$37,3,FALSE)),"")</f>
        <v/>
      </c>
      <c r="R121" s="171" t="str">
        <f>IF(C121="","",VLOOKUP(C121,'G-7 Rivers Data'!$B$4:$G$8,4,FALSE))</f>
        <v/>
      </c>
      <c r="S121" s="179" t="str">
        <f t="shared" si="9"/>
        <v/>
      </c>
      <c r="T121" s="269" t="str">
        <f t="shared" si="10"/>
        <v/>
      </c>
      <c r="U121" s="172" t="str">
        <f t="shared" si="11"/>
        <v/>
      </c>
      <c r="V121" s="79"/>
      <c r="W121" s="172" t="str">
        <f>IF(V121="","",IF(VLOOKUP(V121,'G-7 Rivers Data'!$AA$4:$AB$7,2,FALSE)=0,"Spatial Data Missing",VLOOKUP(V121,'G-7 Rivers Data'!$AA$4:$AB$7,2,FALSE)))</f>
        <v/>
      </c>
      <c r="X121" s="187"/>
      <c r="Y121" s="172" t="str">
        <f>IF(X121="","",IF(VLOOKUP(X121,'G-7 Rivers Data'!$AD$4:$AE$8,2,FALSE)=0,"Enrcoachment Data Missing",VLOOKUP(X121,'G-7 Rivers Data'!$AD$4:$AE$8,2,FALSE)))</f>
        <v/>
      </c>
      <c r="Z121" s="265" t="str">
        <f t="shared" si="12"/>
        <v/>
      </c>
      <c r="AA121" s="180"/>
      <c r="AB121" s="181"/>
      <c r="AH121" s="35" t="str">
        <f>IFERROR(INDEX('G-7 Rivers Data'!$AZ$3:$AZ$7,MATCH(C121,'G-7 Rivers Data'!$AY$3:$AY$7,0)),"")</f>
        <v/>
      </c>
    </row>
    <row r="122" spans="2:34" ht="13.8" x14ac:dyDescent="0.25">
      <c r="B122" s="168">
        <v>111</v>
      </c>
      <c r="C122" s="212"/>
      <c r="D122" s="213"/>
      <c r="E122" s="171" t="str">
        <f>IF(C122="","",VLOOKUP(C122,'G-7 Rivers Data'!$B$2:$G$8,2,FALSE))</f>
        <v/>
      </c>
      <c r="F122" s="172" t="str">
        <f>IFERROR(VLOOKUP(E122,'G-7 Rivers Data'!$C$4:$D$8,2,FALSE),"")</f>
        <v/>
      </c>
      <c r="G122" s="173"/>
      <c r="H122" s="172" t="str">
        <f>IFERROR(INDEX('G-7 Rivers Data'!$H$4:$L$8,MATCH(C122,'G-7 Rivers Data'!$B$4:$B$8,0),MATCH(G122,'G-7 Rivers Data'!$H$3:$L$3,0)),"")</f>
        <v/>
      </c>
      <c r="I122" s="186"/>
      <c r="J122" s="175" t="str">
        <f>IF(I122="","",IF(VLOOKUP(I122,'G-7 Rivers Data'!$AG$4:$AI$9,2,FALSE)=0,"Spatial Data Missing",VLOOKUP(I122,'G-7 Rivers Data'!$AG$4:$AI$9,2,FALSE)))</f>
        <v/>
      </c>
      <c r="K122" s="176" t="str">
        <f>IF(I122="","",IF(VLOOKUP(I122,'G-7 Rivers Data'!$AG$4:$AI$9,3,FALSE)=0,"Spatial Data Missing",VLOOKUP(I122,'G-7 Rivers Data'!$AG$4:$AI$9,3,FALSE)))</f>
        <v/>
      </c>
      <c r="L122" s="171" t="str">
        <f>IFERROR(INDEX('G-7 Rivers Data'!$O$3:$O$7,MATCH(G122,'G-7 Rivers Data'!$N$3:$N$7,0)),"")</f>
        <v/>
      </c>
      <c r="M122" s="94"/>
      <c r="N122" s="261"/>
      <c r="O122" s="175" t="str">
        <f t="shared" si="7"/>
        <v/>
      </c>
      <c r="P122" s="242" t="str">
        <f t="shared" si="8"/>
        <v/>
      </c>
      <c r="Q122" s="383" t="str">
        <f>IFERROR(IF(P122="Check Data","Check Data",VLOOKUP(P122,'G-4 Temporal multipliers'!$A$4:$C$37,3,FALSE)),"")</f>
        <v/>
      </c>
      <c r="R122" s="171" t="str">
        <f>IF(C122="","",VLOOKUP(C122,'G-7 Rivers Data'!$B$4:$G$8,4,FALSE))</f>
        <v/>
      </c>
      <c r="S122" s="179" t="str">
        <f t="shared" si="9"/>
        <v/>
      </c>
      <c r="T122" s="269" t="str">
        <f t="shared" si="10"/>
        <v/>
      </c>
      <c r="U122" s="172" t="str">
        <f t="shared" si="11"/>
        <v/>
      </c>
      <c r="V122" s="79"/>
      <c r="W122" s="172" t="str">
        <f>IF(V122="","",IF(VLOOKUP(V122,'G-7 Rivers Data'!$AA$4:$AB$7,2,FALSE)=0,"Spatial Data Missing",VLOOKUP(V122,'G-7 Rivers Data'!$AA$4:$AB$7,2,FALSE)))</f>
        <v/>
      </c>
      <c r="X122" s="187"/>
      <c r="Y122" s="172" t="str">
        <f>IF(X122="","",IF(VLOOKUP(X122,'G-7 Rivers Data'!$AD$4:$AE$8,2,FALSE)=0,"Enrcoachment Data Missing",VLOOKUP(X122,'G-7 Rivers Data'!$AD$4:$AE$8,2,FALSE)))</f>
        <v/>
      </c>
      <c r="Z122" s="265" t="str">
        <f t="shared" si="12"/>
        <v/>
      </c>
      <c r="AA122" s="180"/>
      <c r="AB122" s="181"/>
      <c r="AH122" s="35" t="str">
        <f>IFERROR(INDEX('G-7 Rivers Data'!$AZ$3:$AZ$7,MATCH(C122,'G-7 Rivers Data'!$AY$3:$AY$7,0)),"")</f>
        <v/>
      </c>
    </row>
    <row r="123" spans="2:34" ht="13.8" x14ac:dyDescent="0.25">
      <c r="B123" s="168">
        <v>112</v>
      </c>
      <c r="C123" s="212"/>
      <c r="D123" s="213"/>
      <c r="E123" s="171" t="str">
        <f>IF(C123="","",VLOOKUP(C123,'G-7 Rivers Data'!$B$2:$G$8,2,FALSE))</f>
        <v/>
      </c>
      <c r="F123" s="172" t="str">
        <f>IFERROR(VLOOKUP(E123,'G-7 Rivers Data'!$C$4:$D$8,2,FALSE),"")</f>
        <v/>
      </c>
      <c r="G123" s="173"/>
      <c r="H123" s="172" t="str">
        <f>IFERROR(INDEX('G-7 Rivers Data'!$H$4:$L$8,MATCH(C123,'G-7 Rivers Data'!$B$4:$B$8,0),MATCH(G123,'G-7 Rivers Data'!$H$3:$L$3,0)),"")</f>
        <v/>
      </c>
      <c r="I123" s="186"/>
      <c r="J123" s="175" t="str">
        <f>IF(I123="","",IF(VLOOKUP(I123,'G-7 Rivers Data'!$AG$4:$AI$9,2,FALSE)=0,"Spatial Data Missing",VLOOKUP(I123,'G-7 Rivers Data'!$AG$4:$AI$9,2,FALSE)))</f>
        <v/>
      </c>
      <c r="K123" s="176" t="str">
        <f>IF(I123="","",IF(VLOOKUP(I123,'G-7 Rivers Data'!$AG$4:$AI$9,3,FALSE)=0,"Spatial Data Missing",VLOOKUP(I123,'G-7 Rivers Data'!$AG$4:$AI$9,3,FALSE)))</f>
        <v/>
      </c>
      <c r="L123" s="171" t="str">
        <f>IFERROR(INDEX('G-7 Rivers Data'!$O$3:$O$7,MATCH(G123,'G-7 Rivers Data'!$N$3:$N$7,0)),"")</f>
        <v/>
      </c>
      <c r="M123" s="94"/>
      <c r="N123" s="261"/>
      <c r="O123" s="175" t="str">
        <f t="shared" si="7"/>
        <v/>
      </c>
      <c r="P123" s="242" t="str">
        <f t="shared" si="8"/>
        <v/>
      </c>
      <c r="Q123" s="383" t="str">
        <f>IFERROR(IF(P123="Check Data","Check Data",VLOOKUP(P123,'G-4 Temporal multipliers'!$A$4:$C$37,3,FALSE)),"")</f>
        <v/>
      </c>
      <c r="R123" s="171" t="str">
        <f>IF(C123="","",VLOOKUP(C123,'G-7 Rivers Data'!$B$4:$G$8,4,FALSE))</f>
        <v/>
      </c>
      <c r="S123" s="179" t="str">
        <f t="shared" si="9"/>
        <v/>
      </c>
      <c r="T123" s="269" t="str">
        <f t="shared" si="10"/>
        <v/>
      </c>
      <c r="U123" s="172" t="str">
        <f t="shared" si="11"/>
        <v/>
      </c>
      <c r="V123" s="79"/>
      <c r="W123" s="172" t="str">
        <f>IF(V123="","",IF(VLOOKUP(V123,'G-7 Rivers Data'!$AA$4:$AB$7,2,FALSE)=0,"Spatial Data Missing",VLOOKUP(V123,'G-7 Rivers Data'!$AA$4:$AB$7,2,FALSE)))</f>
        <v/>
      </c>
      <c r="X123" s="187"/>
      <c r="Y123" s="172" t="str">
        <f>IF(X123="","",IF(VLOOKUP(X123,'G-7 Rivers Data'!$AD$4:$AE$8,2,FALSE)=0,"Enrcoachment Data Missing",VLOOKUP(X123,'G-7 Rivers Data'!$AD$4:$AE$8,2,FALSE)))</f>
        <v/>
      </c>
      <c r="Z123" s="265" t="str">
        <f t="shared" si="12"/>
        <v/>
      </c>
      <c r="AA123" s="180"/>
      <c r="AB123" s="181"/>
      <c r="AH123" s="35" t="str">
        <f>IFERROR(INDEX('G-7 Rivers Data'!$AZ$3:$AZ$7,MATCH(C123,'G-7 Rivers Data'!$AY$3:$AY$7,0)),"")</f>
        <v/>
      </c>
    </row>
    <row r="124" spans="2:34" ht="13.8" x14ac:dyDescent="0.25">
      <c r="B124" s="168">
        <v>113</v>
      </c>
      <c r="C124" s="212"/>
      <c r="D124" s="213"/>
      <c r="E124" s="171" t="str">
        <f>IF(C124="","",VLOOKUP(C124,'G-7 Rivers Data'!$B$2:$G$8,2,FALSE))</f>
        <v/>
      </c>
      <c r="F124" s="172" t="str">
        <f>IFERROR(VLOOKUP(E124,'G-7 Rivers Data'!$C$4:$D$8,2,FALSE),"")</f>
        <v/>
      </c>
      <c r="G124" s="173"/>
      <c r="H124" s="172" t="str">
        <f>IFERROR(INDEX('G-7 Rivers Data'!$H$4:$L$8,MATCH(C124,'G-7 Rivers Data'!$B$4:$B$8,0),MATCH(G124,'G-7 Rivers Data'!$H$3:$L$3,0)),"")</f>
        <v/>
      </c>
      <c r="I124" s="186"/>
      <c r="J124" s="175" t="str">
        <f>IF(I124="","",IF(VLOOKUP(I124,'G-7 Rivers Data'!$AG$4:$AI$9,2,FALSE)=0,"Spatial Data Missing",VLOOKUP(I124,'G-7 Rivers Data'!$AG$4:$AI$9,2,FALSE)))</f>
        <v/>
      </c>
      <c r="K124" s="176" t="str">
        <f>IF(I124="","",IF(VLOOKUP(I124,'G-7 Rivers Data'!$AG$4:$AI$9,3,FALSE)=0,"Spatial Data Missing",VLOOKUP(I124,'G-7 Rivers Data'!$AG$4:$AI$9,3,FALSE)))</f>
        <v/>
      </c>
      <c r="L124" s="171" t="str">
        <f>IFERROR(INDEX('G-7 Rivers Data'!$O$3:$O$7,MATCH(G124,'G-7 Rivers Data'!$N$3:$N$7,0)),"")</f>
        <v/>
      </c>
      <c r="M124" s="94"/>
      <c r="N124" s="261"/>
      <c r="O124" s="175" t="str">
        <f t="shared" si="7"/>
        <v/>
      </c>
      <c r="P124" s="242" t="str">
        <f t="shared" si="8"/>
        <v/>
      </c>
      <c r="Q124" s="383" t="str">
        <f>IFERROR(IF(P124="Check Data","Check Data",VLOOKUP(P124,'G-4 Temporal multipliers'!$A$4:$C$37,3,FALSE)),"")</f>
        <v/>
      </c>
      <c r="R124" s="171" t="str">
        <f>IF(C124="","",VLOOKUP(C124,'G-7 Rivers Data'!$B$4:$G$8,4,FALSE))</f>
        <v/>
      </c>
      <c r="S124" s="179" t="str">
        <f t="shared" si="9"/>
        <v/>
      </c>
      <c r="T124" s="269" t="str">
        <f t="shared" si="10"/>
        <v/>
      </c>
      <c r="U124" s="172" t="str">
        <f t="shared" si="11"/>
        <v/>
      </c>
      <c r="V124" s="79"/>
      <c r="W124" s="172" t="str">
        <f>IF(V124="","",IF(VLOOKUP(V124,'G-7 Rivers Data'!$AA$4:$AB$7,2,FALSE)=0,"Spatial Data Missing",VLOOKUP(V124,'G-7 Rivers Data'!$AA$4:$AB$7,2,FALSE)))</f>
        <v/>
      </c>
      <c r="X124" s="187"/>
      <c r="Y124" s="172" t="str">
        <f>IF(X124="","",IF(VLOOKUP(X124,'G-7 Rivers Data'!$AD$4:$AE$8,2,FALSE)=0,"Enrcoachment Data Missing",VLOOKUP(X124,'G-7 Rivers Data'!$AD$4:$AE$8,2,FALSE)))</f>
        <v/>
      </c>
      <c r="Z124" s="265" t="str">
        <f t="shared" si="12"/>
        <v/>
      </c>
      <c r="AA124" s="180"/>
      <c r="AB124" s="181"/>
      <c r="AH124" s="35" t="str">
        <f>IFERROR(INDEX('G-7 Rivers Data'!$AZ$3:$AZ$7,MATCH(C124,'G-7 Rivers Data'!$AY$3:$AY$7,0)),"")</f>
        <v/>
      </c>
    </row>
    <row r="125" spans="2:34" ht="13.8" x14ac:dyDescent="0.25">
      <c r="B125" s="168">
        <v>114</v>
      </c>
      <c r="C125" s="212"/>
      <c r="D125" s="213"/>
      <c r="E125" s="171" t="str">
        <f>IF(C125="","",VLOOKUP(C125,'G-7 Rivers Data'!$B$2:$G$8,2,FALSE))</f>
        <v/>
      </c>
      <c r="F125" s="172" t="str">
        <f>IFERROR(VLOOKUP(E125,'G-7 Rivers Data'!$C$4:$D$8,2,FALSE),"")</f>
        <v/>
      </c>
      <c r="G125" s="173"/>
      <c r="H125" s="172" t="str">
        <f>IFERROR(INDEX('G-7 Rivers Data'!$H$4:$L$8,MATCH(C125,'G-7 Rivers Data'!$B$4:$B$8,0),MATCH(G125,'G-7 Rivers Data'!$H$3:$L$3,0)),"")</f>
        <v/>
      </c>
      <c r="I125" s="186"/>
      <c r="J125" s="175" t="str">
        <f>IF(I125="","",IF(VLOOKUP(I125,'G-7 Rivers Data'!$AG$4:$AI$9,2,FALSE)=0,"Spatial Data Missing",VLOOKUP(I125,'G-7 Rivers Data'!$AG$4:$AI$9,2,FALSE)))</f>
        <v/>
      </c>
      <c r="K125" s="176" t="str">
        <f>IF(I125="","",IF(VLOOKUP(I125,'G-7 Rivers Data'!$AG$4:$AI$9,3,FALSE)=0,"Spatial Data Missing",VLOOKUP(I125,'G-7 Rivers Data'!$AG$4:$AI$9,3,FALSE)))</f>
        <v/>
      </c>
      <c r="L125" s="171" t="str">
        <f>IFERROR(INDEX('G-7 Rivers Data'!$O$3:$O$7,MATCH(G125,'G-7 Rivers Data'!$N$3:$N$7,0)),"")</f>
        <v/>
      </c>
      <c r="M125" s="94"/>
      <c r="N125" s="261"/>
      <c r="O125" s="175" t="str">
        <f t="shared" si="7"/>
        <v/>
      </c>
      <c r="P125" s="242" t="str">
        <f t="shared" si="8"/>
        <v/>
      </c>
      <c r="Q125" s="383" t="str">
        <f>IFERROR(IF(P125="Check Data","Check Data",VLOOKUP(P125,'G-4 Temporal multipliers'!$A$4:$C$37,3,FALSE)),"")</f>
        <v/>
      </c>
      <c r="R125" s="171" t="str">
        <f>IF(C125="","",VLOOKUP(C125,'G-7 Rivers Data'!$B$4:$G$8,4,FALSE))</f>
        <v/>
      </c>
      <c r="S125" s="179" t="str">
        <f t="shared" si="9"/>
        <v/>
      </c>
      <c r="T125" s="269" t="str">
        <f t="shared" si="10"/>
        <v/>
      </c>
      <c r="U125" s="172" t="str">
        <f t="shared" si="11"/>
        <v/>
      </c>
      <c r="V125" s="79"/>
      <c r="W125" s="172" t="str">
        <f>IF(V125="","",IF(VLOOKUP(V125,'G-7 Rivers Data'!$AA$4:$AB$7,2,FALSE)=0,"Spatial Data Missing",VLOOKUP(V125,'G-7 Rivers Data'!$AA$4:$AB$7,2,FALSE)))</f>
        <v/>
      </c>
      <c r="X125" s="187"/>
      <c r="Y125" s="172" t="str">
        <f>IF(X125="","",IF(VLOOKUP(X125,'G-7 Rivers Data'!$AD$4:$AE$8,2,FALSE)=0,"Enrcoachment Data Missing",VLOOKUP(X125,'G-7 Rivers Data'!$AD$4:$AE$8,2,FALSE)))</f>
        <v/>
      </c>
      <c r="Z125" s="265" t="str">
        <f t="shared" si="12"/>
        <v/>
      </c>
      <c r="AA125" s="180"/>
      <c r="AB125" s="181"/>
      <c r="AH125" s="35" t="str">
        <f>IFERROR(INDEX('G-7 Rivers Data'!$AZ$3:$AZ$7,MATCH(C125,'G-7 Rivers Data'!$AY$3:$AY$7,0)),"")</f>
        <v/>
      </c>
    </row>
    <row r="126" spans="2:34" ht="13.8" x14ac:dyDescent="0.25">
      <c r="B126" s="168">
        <v>115</v>
      </c>
      <c r="C126" s="212"/>
      <c r="D126" s="213"/>
      <c r="E126" s="171" t="str">
        <f>IF(C126="","",VLOOKUP(C126,'G-7 Rivers Data'!$B$2:$G$8,2,FALSE))</f>
        <v/>
      </c>
      <c r="F126" s="172" t="str">
        <f>IFERROR(VLOOKUP(E126,'G-7 Rivers Data'!$C$4:$D$8,2,FALSE),"")</f>
        <v/>
      </c>
      <c r="G126" s="173"/>
      <c r="H126" s="172" t="str">
        <f>IFERROR(INDEX('G-7 Rivers Data'!$H$4:$L$8,MATCH(C126,'G-7 Rivers Data'!$B$4:$B$8,0),MATCH(G126,'G-7 Rivers Data'!$H$3:$L$3,0)),"")</f>
        <v/>
      </c>
      <c r="I126" s="186"/>
      <c r="J126" s="175" t="str">
        <f>IF(I126="","",IF(VLOOKUP(I126,'G-7 Rivers Data'!$AG$4:$AI$9,2,FALSE)=0,"Spatial Data Missing",VLOOKUP(I126,'G-7 Rivers Data'!$AG$4:$AI$9,2,FALSE)))</f>
        <v/>
      </c>
      <c r="K126" s="176" t="str">
        <f>IF(I126="","",IF(VLOOKUP(I126,'G-7 Rivers Data'!$AG$4:$AI$9,3,FALSE)=0,"Spatial Data Missing",VLOOKUP(I126,'G-7 Rivers Data'!$AG$4:$AI$9,3,FALSE)))</f>
        <v/>
      </c>
      <c r="L126" s="171" t="str">
        <f>IFERROR(INDEX('G-7 Rivers Data'!$O$3:$O$7,MATCH(G126,'G-7 Rivers Data'!$N$3:$N$7,0)),"")</f>
        <v/>
      </c>
      <c r="M126" s="94"/>
      <c r="N126" s="261"/>
      <c r="O126" s="175" t="str">
        <f t="shared" si="7"/>
        <v/>
      </c>
      <c r="P126" s="242" t="str">
        <f t="shared" si="8"/>
        <v/>
      </c>
      <c r="Q126" s="383" t="str">
        <f>IFERROR(IF(P126="Check Data","Check Data",VLOOKUP(P126,'G-4 Temporal multipliers'!$A$4:$C$37,3,FALSE)),"")</f>
        <v/>
      </c>
      <c r="R126" s="171" t="str">
        <f>IF(C126="","",VLOOKUP(C126,'G-7 Rivers Data'!$B$4:$G$8,4,FALSE))</f>
        <v/>
      </c>
      <c r="S126" s="179" t="str">
        <f t="shared" si="9"/>
        <v/>
      </c>
      <c r="T126" s="269" t="str">
        <f t="shared" si="10"/>
        <v/>
      </c>
      <c r="U126" s="172" t="str">
        <f t="shared" si="11"/>
        <v/>
      </c>
      <c r="V126" s="79"/>
      <c r="W126" s="172" t="str">
        <f>IF(V126="","",IF(VLOOKUP(V126,'G-7 Rivers Data'!$AA$4:$AB$7,2,FALSE)=0,"Spatial Data Missing",VLOOKUP(V126,'G-7 Rivers Data'!$AA$4:$AB$7,2,FALSE)))</f>
        <v/>
      </c>
      <c r="X126" s="187"/>
      <c r="Y126" s="172" t="str">
        <f>IF(X126="","",IF(VLOOKUP(X126,'G-7 Rivers Data'!$AD$4:$AE$8,2,FALSE)=0,"Enrcoachment Data Missing",VLOOKUP(X126,'G-7 Rivers Data'!$AD$4:$AE$8,2,FALSE)))</f>
        <v/>
      </c>
      <c r="Z126" s="265" t="str">
        <f t="shared" si="12"/>
        <v/>
      </c>
      <c r="AA126" s="180"/>
      <c r="AB126" s="181"/>
      <c r="AH126" s="35" t="str">
        <f>IFERROR(INDEX('G-7 Rivers Data'!$AZ$3:$AZ$7,MATCH(C126,'G-7 Rivers Data'!$AY$3:$AY$7,0)),"")</f>
        <v/>
      </c>
    </row>
    <row r="127" spans="2:34" ht="13.8" x14ac:dyDescent="0.25">
      <c r="B127" s="168">
        <v>116</v>
      </c>
      <c r="C127" s="212"/>
      <c r="D127" s="213"/>
      <c r="E127" s="171" t="str">
        <f>IF(C127="","",VLOOKUP(C127,'G-7 Rivers Data'!$B$2:$G$8,2,FALSE))</f>
        <v/>
      </c>
      <c r="F127" s="172" t="str">
        <f>IFERROR(VLOOKUP(E127,'G-7 Rivers Data'!$C$4:$D$8,2,FALSE),"")</f>
        <v/>
      </c>
      <c r="G127" s="173"/>
      <c r="H127" s="172" t="str">
        <f>IFERROR(INDEX('G-7 Rivers Data'!$H$4:$L$8,MATCH(C127,'G-7 Rivers Data'!$B$4:$B$8,0),MATCH(G127,'G-7 Rivers Data'!$H$3:$L$3,0)),"")</f>
        <v/>
      </c>
      <c r="I127" s="186"/>
      <c r="J127" s="175" t="str">
        <f>IF(I127="","",IF(VLOOKUP(I127,'G-7 Rivers Data'!$AG$4:$AI$9,2,FALSE)=0,"Spatial Data Missing",VLOOKUP(I127,'G-7 Rivers Data'!$AG$4:$AI$9,2,FALSE)))</f>
        <v/>
      </c>
      <c r="K127" s="176" t="str">
        <f>IF(I127="","",IF(VLOOKUP(I127,'G-7 Rivers Data'!$AG$4:$AI$9,3,FALSE)=0,"Spatial Data Missing",VLOOKUP(I127,'G-7 Rivers Data'!$AG$4:$AI$9,3,FALSE)))</f>
        <v/>
      </c>
      <c r="L127" s="171" t="str">
        <f>IFERROR(INDEX('G-7 Rivers Data'!$O$3:$O$7,MATCH(G127,'G-7 Rivers Data'!$N$3:$N$7,0)),"")</f>
        <v/>
      </c>
      <c r="M127" s="94"/>
      <c r="N127" s="261"/>
      <c r="O127" s="175" t="str">
        <f t="shared" si="7"/>
        <v/>
      </c>
      <c r="P127" s="242" t="str">
        <f t="shared" si="8"/>
        <v/>
      </c>
      <c r="Q127" s="383" t="str">
        <f>IFERROR(IF(P127="Check Data","Check Data",VLOOKUP(P127,'G-4 Temporal multipliers'!$A$4:$C$37,3,FALSE)),"")</f>
        <v/>
      </c>
      <c r="R127" s="171" t="str">
        <f>IF(C127="","",VLOOKUP(C127,'G-7 Rivers Data'!$B$4:$G$8,4,FALSE))</f>
        <v/>
      </c>
      <c r="S127" s="179" t="str">
        <f t="shared" si="9"/>
        <v/>
      </c>
      <c r="T127" s="269" t="str">
        <f t="shared" si="10"/>
        <v/>
      </c>
      <c r="U127" s="172" t="str">
        <f t="shared" si="11"/>
        <v/>
      </c>
      <c r="V127" s="79"/>
      <c r="W127" s="172" t="str">
        <f>IF(V127="","",IF(VLOOKUP(V127,'G-7 Rivers Data'!$AA$4:$AB$7,2,FALSE)=0,"Spatial Data Missing",VLOOKUP(V127,'G-7 Rivers Data'!$AA$4:$AB$7,2,FALSE)))</f>
        <v/>
      </c>
      <c r="X127" s="187"/>
      <c r="Y127" s="172" t="str">
        <f>IF(X127="","",IF(VLOOKUP(X127,'G-7 Rivers Data'!$AD$4:$AE$8,2,FALSE)=0,"Enrcoachment Data Missing",VLOOKUP(X127,'G-7 Rivers Data'!$AD$4:$AE$8,2,FALSE)))</f>
        <v/>
      </c>
      <c r="Z127" s="265" t="str">
        <f t="shared" si="12"/>
        <v/>
      </c>
      <c r="AA127" s="180"/>
      <c r="AB127" s="181"/>
      <c r="AH127" s="35" t="str">
        <f>IFERROR(INDEX('G-7 Rivers Data'!$AZ$3:$AZ$7,MATCH(C127,'G-7 Rivers Data'!$AY$3:$AY$7,0)),"")</f>
        <v/>
      </c>
    </row>
    <row r="128" spans="2:34" ht="13.8" x14ac:dyDescent="0.25">
      <c r="B128" s="168">
        <v>117</v>
      </c>
      <c r="C128" s="212"/>
      <c r="D128" s="213"/>
      <c r="E128" s="171" t="str">
        <f>IF(C128="","",VLOOKUP(C128,'G-7 Rivers Data'!$B$2:$G$8,2,FALSE))</f>
        <v/>
      </c>
      <c r="F128" s="172" t="str">
        <f>IFERROR(VLOOKUP(E128,'G-7 Rivers Data'!$C$4:$D$8,2,FALSE),"")</f>
        <v/>
      </c>
      <c r="G128" s="173"/>
      <c r="H128" s="172" t="str">
        <f>IFERROR(INDEX('G-7 Rivers Data'!$H$4:$L$8,MATCH(C128,'G-7 Rivers Data'!$B$4:$B$8,0),MATCH(G128,'G-7 Rivers Data'!$H$3:$L$3,0)),"")</f>
        <v/>
      </c>
      <c r="I128" s="186"/>
      <c r="J128" s="175" t="str">
        <f>IF(I128="","",IF(VLOOKUP(I128,'G-7 Rivers Data'!$AG$4:$AI$9,2,FALSE)=0,"Spatial Data Missing",VLOOKUP(I128,'G-7 Rivers Data'!$AG$4:$AI$9,2,FALSE)))</f>
        <v/>
      </c>
      <c r="K128" s="176" t="str">
        <f>IF(I128="","",IF(VLOOKUP(I128,'G-7 Rivers Data'!$AG$4:$AI$9,3,FALSE)=0,"Spatial Data Missing",VLOOKUP(I128,'G-7 Rivers Data'!$AG$4:$AI$9,3,FALSE)))</f>
        <v/>
      </c>
      <c r="L128" s="171" t="str">
        <f>IFERROR(INDEX('G-7 Rivers Data'!$O$3:$O$7,MATCH(G128,'G-7 Rivers Data'!$N$3:$N$7,0)),"")</f>
        <v/>
      </c>
      <c r="M128" s="94"/>
      <c r="N128" s="261"/>
      <c r="O128" s="175" t="str">
        <f t="shared" si="7"/>
        <v/>
      </c>
      <c r="P128" s="242" t="str">
        <f t="shared" si="8"/>
        <v/>
      </c>
      <c r="Q128" s="383" t="str">
        <f>IFERROR(IF(P128="Check Data","Check Data",VLOOKUP(P128,'G-4 Temporal multipliers'!$A$4:$C$37,3,FALSE)),"")</f>
        <v/>
      </c>
      <c r="R128" s="171" t="str">
        <f>IF(C128="","",VLOOKUP(C128,'G-7 Rivers Data'!$B$4:$G$8,4,FALSE))</f>
        <v/>
      </c>
      <c r="S128" s="179" t="str">
        <f t="shared" si="9"/>
        <v/>
      </c>
      <c r="T128" s="269" t="str">
        <f t="shared" si="10"/>
        <v/>
      </c>
      <c r="U128" s="172" t="str">
        <f t="shared" si="11"/>
        <v/>
      </c>
      <c r="V128" s="79"/>
      <c r="W128" s="172" t="str">
        <f>IF(V128="","",IF(VLOOKUP(V128,'G-7 Rivers Data'!$AA$4:$AB$7,2,FALSE)=0,"Spatial Data Missing",VLOOKUP(V128,'G-7 Rivers Data'!$AA$4:$AB$7,2,FALSE)))</f>
        <v/>
      </c>
      <c r="X128" s="187"/>
      <c r="Y128" s="172" t="str">
        <f>IF(X128="","",IF(VLOOKUP(X128,'G-7 Rivers Data'!$AD$4:$AE$8,2,FALSE)=0,"Enrcoachment Data Missing",VLOOKUP(X128,'G-7 Rivers Data'!$AD$4:$AE$8,2,FALSE)))</f>
        <v/>
      </c>
      <c r="Z128" s="265" t="str">
        <f t="shared" si="12"/>
        <v/>
      </c>
      <c r="AA128" s="180"/>
      <c r="AB128" s="181"/>
      <c r="AH128" s="35" t="str">
        <f>IFERROR(INDEX('G-7 Rivers Data'!$AZ$3:$AZ$7,MATCH(C128,'G-7 Rivers Data'!$AY$3:$AY$7,0)),"")</f>
        <v/>
      </c>
    </row>
    <row r="129" spans="2:34" ht="13.8" x14ac:dyDescent="0.25">
      <c r="B129" s="168">
        <v>118</v>
      </c>
      <c r="C129" s="212"/>
      <c r="D129" s="213"/>
      <c r="E129" s="171" t="str">
        <f>IF(C129="","",VLOOKUP(C129,'G-7 Rivers Data'!$B$2:$G$8,2,FALSE))</f>
        <v/>
      </c>
      <c r="F129" s="172" t="str">
        <f>IFERROR(VLOOKUP(E129,'G-7 Rivers Data'!$C$4:$D$8,2,FALSE),"")</f>
        <v/>
      </c>
      <c r="G129" s="173"/>
      <c r="H129" s="172" t="str">
        <f>IFERROR(INDEX('G-7 Rivers Data'!$H$4:$L$8,MATCH(C129,'G-7 Rivers Data'!$B$4:$B$8,0),MATCH(G129,'G-7 Rivers Data'!$H$3:$L$3,0)),"")</f>
        <v/>
      </c>
      <c r="I129" s="186"/>
      <c r="J129" s="175" t="str">
        <f>IF(I129="","",IF(VLOOKUP(I129,'G-7 Rivers Data'!$AG$4:$AI$9,2,FALSE)=0,"Spatial Data Missing",VLOOKUP(I129,'G-7 Rivers Data'!$AG$4:$AI$9,2,FALSE)))</f>
        <v/>
      </c>
      <c r="K129" s="176" t="str">
        <f>IF(I129="","",IF(VLOOKUP(I129,'G-7 Rivers Data'!$AG$4:$AI$9,3,FALSE)=0,"Spatial Data Missing",VLOOKUP(I129,'G-7 Rivers Data'!$AG$4:$AI$9,3,FALSE)))</f>
        <v/>
      </c>
      <c r="L129" s="171" t="str">
        <f>IFERROR(INDEX('G-7 Rivers Data'!$O$3:$O$7,MATCH(G129,'G-7 Rivers Data'!$N$3:$N$7,0)),"")</f>
        <v/>
      </c>
      <c r="M129" s="94"/>
      <c r="N129" s="261"/>
      <c r="O129" s="175" t="str">
        <f t="shared" si="7"/>
        <v/>
      </c>
      <c r="P129" s="242" t="str">
        <f t="shared" si="8"/>
        <v/>
      </c>
      <c r="Q129" s="383" t="str">
        <f>IFERROR(IF(P129="Check Data","Check Data",VLOOKUP(P129,'G-4 Temporal multipliers'!$A$4:$C$37,3,FALSE)),"")</f>
        <v/>
      </c>
      <c r="R129" s="171" t="str">
        <f>IF(C129="","",VLOOKUP(C129,'G-7 Rivers Data'!$B$4:$G$8,4,FALSE))</f>
        <v/>
      </c>
      <c r="S129" s="179" t="str">
        <f t="shared" si="9"/>
        <v/>
      </c>
      <c r="T129" s="269" t="str">
        <f t="shared" si="10"/>
        <v/>
      </c>
      <c r="U129" s="172" t="str">
        <f t="shared" si="11"/>
        <v/>
      </c>
      <c r="V129" s="79"/>
      <c r="W129" s="172" t="str">
        <f>IF(V129="","",IF(VLOOKUP(V129,'G-7 Rivers Data'!$AA$4:$AB$7,2,FALSE)=0,"Spatial Data Missing",VLOOKUP(V129,'G-7 Rivers Data'!$AA$4:$AB$7,2,FALSE)))</f>
        <v/>
      </c>
      <c r="X129" s="187"/>
      <c r="Y129" s="172" t="str">
        <f>IF(X129="","",IF(VLOOKUP(X129,'G-7 Rivers Data'!$AD$4:$AE$8,2,FALSE)=0,"Enrcoachment Data Missing",VLOOKUP(X129,'G-7 Rivers Data'!$AD$4:$AE$8,2,FALSE)))</f>
        <v/>
      </c>
      <c r="Z129" s="265" t="str">
        <f t="shared" si="12"/>
        <v/>
      </c>
      <c r="AA129" s="180"/>
      <c r="AB129" s="181"/>
      <c r="AH129" s="35" t="str">
        <f>IFERROR(INDEX('G-7 Rivers Data'!$AZ$3:$AZ$7,MATCH(C129,'G-7 Rivers Data'!$AY$3:$AY$7,0)),"")</f>
        <v/>
      </c>
    </row>
    <row r="130" spans="2:34" ht="13.8" x14ac:dyDescent="0.25">
      <c r="B130" s="168">
        <v>119</v>
      </c>
      <c r="C130" s="212"/>
      <c r="D130" s="213"/>
      <c r="E130" s="171" t="str">
        <f>IF(C130="","",VLOOKUP(C130,'G-7 Rivers Data'!$B$2:$G$8,2,FALSE))</f>
        <v/>
      </c>
      <c r="F130" s="172" t="str">
        <f>IFERROR(VLOOKUP(E130,'G-7 Rivers Data'!$C$4:$D$8,2,FALSE),"")</f>
        <v/>
      </c>
      <c r="G130" s="173"/>
      <c r="H130" s="172" t="str">
        <f>IFERROR(INDEX('G-7 Rivers Data'!$H$4:$L$8,MATCH(C130,'G-7 Rivers Data'!$B$4:$B$8,0),MATCH(G130,'G-7 Rivers Data'!$H$3:$L$3,0)),"")</f>
        <v/>
      </c>
      <c r="I130" s="186"/>
      <c r="J130" s="175" t="str">
        <f>IF(I130="","",IF(VLOOKUP(I130,'G-7 Rivers Data'!$AG$4:$AI$9,2,FALSE)=0,"Spatial Data Missing",VLOOKUP(I130,'G-7 Rivers Data'!$AG$4:$AI$9,2,FALSE)))</f>
        <v/>
      </c>
      <c r="K130" s="176" t="str">
        <f>IF(I130="","",IF(VLOOKUP(I130,'G-7 Rivers Data'!$AG$4:$AI$9,3,FALSE)=0,"Spatial Data Missing",VLOOKUP(I130,'G-7 Rivers Data'!$AG$4:$AI$9,3,FALSE)))</f>
        <v/>
      </c>
      <c r="L130" s="171" t="str">
        <f>IFERROR(INDEX('G-7 Rivers Data'!$O$3:$O$7,MATCH(G130,'G-7 Rivers Data'!$N$3:$N$7,0)),"")</f>
        <v/>
      </c>
      <c r="M130" s="94"/>
      <c r="N130" s="261"/>
      <c r="O130" s="175" t="str">
        <f t="shared" si="7"/>
        <v/>
      </c>
      <c r="P130" s="242" t="str">
        <f t="shared" si="8"/>
        <v/>
      </c>
      <c r="Q130" s="383" t="str">
        <f>IFERROR(IF(P130="Check Data","Check Data",VLOOKUP(P130,'G-4 Temporal multipliers'!$A$4:$C$37,3,FALSE)),"")</f>
        <v/>
      </c>
      <c r="R130" s="171" t="str">
        <f>IF(C130="","",VLOOKUP(C130,'G-7 Rivers Data'!$B$4:$G$8,4,FALSE))</f>
        <v/>
      </c>
      <c r="S130" s="179" t="str">
        <f t="shared" si="9"/>
        <v/>
      </c>
      <c r="T130" s="269" t="str">
        <f t="shared" si="10"/>
        <v/>
      </c>
      <c r="U130" s="172" t="str">
        <f t="shared" si="11"/>
        <v/>
      </c>
      <c r="V130" s="79"/>
      <c r="W130" s="172" t="str">
        <f>IF(V130="","",IF(VLOOKUP(V130,'G-7 Rivers Data'!$AA$4:$AB$7,2,FALSE)=0,"Spatial Data Missing",VLOOKUP(V130,'G-7 Rivers Data'!$AA$4:$AB$7,2,FALSE)))</f>
        <v/>
      </c>
      <c r="X130" s="187"/>
      <c r="Y130" s="172" t="str">
        <f>IF(X130="","",IF(VLOOKUP(X130,'G-7 Rivers Data'!$AD$4:$AE$8,2,FALSE)=0,"Enrcoachment Data Missing",VLOOKUP(X130,'G-7 Rivers Data'!$AD$4:$AE$8,2,FALSE)))</f>
        <v/>
      </c>
      <c r="Z130" s="265" t="str">
        <f t="shared" si="12"/>
        <v/>
      </c>
      <c r="AA130" s="180"/>
      <c r="AB130" s="181"/>
      <c r="AH130" s="35" t="str">
        <f>IFERROR(INDEX('G-7 Rivers Data'!$AZ$3:$AZ$7,MATCH(C130,'G-7 Rivers Data'!$AY$3:$AY$7,0)),"")</f>
        <v/>
      </c>
    </row>
    <row r="131" spans="2:34" ht="13.8" x14ac:dyDescent="0.25">
      <c r="B131" s="168">
        <v>120</v>
      </c>
      <c r="C131" s="212"/>
      <c r="D131" s="213"/>
      <c r="E131" s="171" t="str">
        <f>IF(C131="","",VLOOKUP(C131,'G-7 Rivers Data'!$B$2:$G$8,2,FALSE))</f>
        <v/>
      </c>
      <c r="F131" s="172" t="str">
        <f>IFERROR(VLOOKUP(E131,'G-7 Rivers Data'!$C$4:$D$8,2,FALSE),"")</f>
        <v/>
      </c>
      <c r="G131" s="173"/>
      <c r="H131" s="172" t="str">
        <f>IFERROR(INDEX('G-7 Rivers Data'!$H$4:$L$8,MATCH(C131,'G-7 Rivers Data'!$B$4:$B$8,0),MATCH(G131,'G-7 Rivers Data'!$H$3:$L$3,0)),"")</f>
        <v/>
      </c>
      <c r="I131" s="186"/>
      <c r="J131" s="175" t="str">
        <f>IF(I131="","",IF(VLOOKUP(I131,'G-7 Rivers Data'!$AG$4:$AI$9,2,FALSE)=0,"Spatial Data Missing",VLOOKUP(I131,'G-7 Rivers Data'!$AG$4:$AI$9,2,FALSE)))</f>
        <v/>
      </c>
      <c r="K131" s="176" t="str">
        <f>IF(I131="","",IF(VLOOKUP(I131,'G-7 Rivers Data'!$AG$4:$AI$9,3,FALSE)=0,"Spatial Data Missing",VLOOKUP(I131,'G-7 Rivers Data'!$AG$4:$AI$9,3,FALSE)))</f>
        <v/>
      </c>
      <c r="L131" s="171" t="str">
        <f>IFERROR(INDEX('G-7 Rivers Data'!$O$3:$O$7,MATCH(G131,'G-7 Rivers Data'!$N$3:$N$7,0)),"")</f>
        <v/>
      </c>
      <c r="M131" s="94"/>
      <c r="N131" s="261"/>
      <c r="O131" s="175" t="str">
        <f t="shared" si="7"/>
        <v/>
      </c>
      <c r="P131" s="242" t="str">
        <f t="shared" si="8"/>
        <v/>
      </c>
      <c r="Q131" s="383" t="str">
        <f>IFERROR(IF(P131="Check Data","Check Data",VLOOKUP(P131,'G-4 Temporal multipliers'!$A$4:$C$37,3,FALSE)),"")</f>
        <v/>
      </c>
      <c r="R131" s="171" t="str">
        <f>IF(C131="","",VLOOKUP(C131,'G-7 Rivers Data'!$B$4:$G$8,4,FALSE))</f>
        <v/>
      </c>
      <c r="S131" s="179" t="str">
        <f t="shared" si="9"/>
        <v/>
      </c>
      <c r="T131" s="269" t="str">
        <f t="shared" si="10"/>
        <v/>
      </c>
      <c r="U131" s="172" t="str">
        <f t="shared" si="11"/>
        <v/>
      </c>
      <c r="V131" s="79"/>
      <c r="W131" s="172" t="str">
        <f>IF(V131="","",IF(VLOOKUP(V131,'G-7 Rivers Data'!$AA$4:$AB$7,2,FALSE)=0,"Spatial Data Missing",VLOOKUP(V131,'G-7 Rivers Data'!$AA$4:$AB$7,2,FALSE)))</f>
        <v/>
      </c>
      <c r="X131" s="187"/>
      <c r="Y131" s="172" t="str">
        <f>IF(X131="","",IF(VLOOKUP(X131,'G-7 Rivers Data'!$AD$4:$AE$8,2,FALSE)=0,"Enrcoachment Data Missing",VLOOKUP(X131,'G-7 Rivers Data'!$AD$4:$AE$8,2,FALSE)))</f>
        <v/>
      </c>
      <c r="Z131" s="265" t="str">
        <f t="shared" si="12"/>
        <v/>
      </c>
      <c r="AA131" s="180"/>
      <c r="AB131" s="181"/>
      <c r="AH131" s="35" t="str">
        <f>IFERROR(INDEX('G-7 Rivers Data'!$AZ$3:$AZ$7,MATCH(C131,'G-7 Rivers Data'!$AY$3:$AY$7,0)),"")</f>
        <v/>
      </c>
    </row>
    <row r="132" spans="2:34" ht="13.8" x14ac:dyDescent="0.25">
      <c r="B132" s="168">
        <v>121</v>
      </c>
      <c r="C132" s="212"/>
      <c r="D132" s="213"/>
      <c r="E132" s="171" t="str">
        <f>IF(C132="","",VLOOKUP(C132,'G-7 Rivers Data'!$B$2:$G$8,2,FALSE))</f>
        <v/>
      </c>
      <c r="F132" s="172" t="str">
        <f>IFERROR(VLOOKUP(E132,'G-7 Rivers Data'!$C$4:$D$8,2,FALSE),"")</f>
        <v/>
      </c>
      <c r="G132" s="173"/>
      <c r="H132" s="172" t="str">
        <f>IFERROR(INDEX('G-7 Rivers Data'!$H$4:$L$8,MATCH(C132,'G-7 Rivers Data'!$B$4:$B$8,0),MATCH(G132,'G-7 Rivers Data'!$H$3:$L$3,0)),"")</f>
        <v/>
      </c>
      <c r="I132" s="186"/>
      <c r="J132" s="175" t="str">
        <f>IF(I132="","",IF(VLOOKUP(I132,'G-7 Rivers Data'!$AG$4:$AI$9,2,FALSE)=0,"Spatial Data Missing",VLOOKUP(I132,'G-7 Rivers Data'!$AG$4:$AI$9,2,FALSE)))</f>
        <v/>
      </c>
      <c r="K132" s="176" t="str">
        <f>IF(I132="","",IF(VLOOKUP(I132,'G-7 Rivers Data'!$AG$4:$AI$9,3,FALSE)=0,"Spatial Data Missing",VLOOKUP(I132,'G-7 Rivers Data'!$AG$4:$AI$9,3,FALSE)))</f>
        <v/>
      </c>
      <c r="L132" s="171" t="str">
        <f>IFERROR(INDEX('G-7 Rivers Data'!$O$3:$O$7,MATCH(G132,'G-7 Rivers Data'!$N$3:$N$7,0)),"")</f>
        <v/>
      </c>
      <c r="M132" s="94"/>
      <c r="N132" s="261"/>
      <c r="O132" s="175" t="str">
        <f t="shared" si="7"/>
        <v/>
      </c>
      <c r="P132" s="242" t="str">
        <f t="shared" si="8"/>
        <v/>
      </c>
      <c r="Q132" s="383" t="str">
        <f>IFERROR(IF(P132="Check Data","Check Data",VLOOKUP(P132,'G-4 Temporal multipliers'!$A$4:$C$37,3,FALSE)),"")</f>
        <v/>
      </c>
      <c r="R132" s="171" t="str">
        <f>IF(C132="","",VLOOKUP(C132,'G-7 Rivers Data'!$B$4:$G$8,4,FALSE))</f>
        <v/>
      </c>
      <c r="S132" s="179" t="str">
        <f t="shared" si="9"/>
        <v/>
      </c>
      <c r="T132" s="269" t="str">
        <f t="shared" si="10"/>
        <v/>
      </c>
      <c r="U132" s="172" t="str">
        <f t="shared" si="11"/>
        <v/>
      </c>
      <c r="V132" s="79"/>
      <c r="W132" s="172" t="str">
        <f>IF(V132="","",IF(VLOOKUP(V132,'G-7 Rivers Data'!$AA$4:$AB$7,2,FALSE)=0,"Spatial Data Missing",VLOOKUP(V132,'G-7 Rivers Data'!$AA$4:$AB$7,2,FALSE)))</f>
        <v/>
      </c>
      <c r="X132" s="187"/>
      <c r="Y132" s="172" t="str">
        <f>IF(X132="","",IF(VLOOKUP(X132,'G-7 Rivers Data'!$AD$4:$AE$8,2,FALSE)=0,"Enrcoachment Data Missing",VLOOKUP(X132,'G-7 Rivers Data'!$AD$4:$AE$8,2,FALSE)))</f>
        <v/>
      </c>
      <c r="Z132" s="265" t="str">
        <f t="shared" si="12"/>
        <v/>
      </c>
      <c r="AA132" s="180"/>
      <c r="AB132" s="181"/>
      <c r="AH132" s="35" t="str">
        <f>IFERROR(INDEX('G-7 Rivers Data'!$AZ$3:$AZ$7,MATCH(C132,'G-7 Rivers Data'!$AY$3:$AY$7,0)),"")</f>
        <v/>
      </c>
    </row>
    <row r="133" spans="2:34" ht="13.8" x14ac:dyDescent="0.25">
      <c r="B133" s="168">
        <v>122</v>
      </c>
      <c r="C133" s="212"/>
      <c r="D133" s="213"/>
      <c r="E133" s="171" t="str">
        <f>IF(C133="","",VLOOKUP(C133,'G-7 Rivers Data'!$B$2:$G$8,2,FALSE))</f>
        <v/>
      </c>
      <c r="F133" s="172" t="str">
        <f>IFERROR(VLOOKUP(E133,'G-7 Rivers Data'!$C$4:$D$8,2,FALSE),"")</f>
        <v/>
      </c>
      <c r="G133" s="173"/>
      <c r="H133" s="172" t="str">
        <f>IFERROR(INDEX('G-7 Rivers Data'!$H$4:$L$8,MATCH(C133,'G-7 Rivers Data'!$B$4:$B$8,0),MATCH(G133,'G-7 Rivers Data'!$H$3:$L$3,0)),"")</f>
        <v/>
      </c>
      <c r="I133" s="186"/>
      <c r="J133" s="175" t="str">
        <f>IF(I133="","",IF(VLOOKUP(I133,'G-7 Rivers Data'!$AG$4:$AI$9,2,FALSE)=0,"Spatial Data Missing",VLOOKUP(I133,'G-7 Rivers Data'!$AG$4:$AI$9,2,FALSE)))</f>
        <v/>
      </c>
      <c r="K133" s="176" t="str">
        <f>IF(I133="","",IF(VLOOKUP(I133,'G-7 Rivers Data'!$AG$4:$AI$9,3,FALSE)=0,"Spatial Data Missing",VLOOKUP(I133,'G-7 Rivers Data'!$AG$4:$AI$9,3,FALSE)))</f>
        <v/>
      </c>
      <c r="L133" s="171" t="str">
        <f>IFERROR(INDEX('G-7 Rivers Data'!$O$3:$O$7,MATCH(G133,'G-7 Rivers Data'!$N$3:$N$7,0)),"")</f>
        <v/>
      </c>
      <c r="M133" s="94"/>
      <c r="N133" s="261"/>
      <c r="O133" s="175" t="str">
        <f t="shared" si="7"/>
        <v/>
      </c>
      <c r="P133" s="242" t="str">
        <f t="shared" si="8"/>
        <v/>
      </c>
      <c r="Q133" s="383" t="str">
        <f>IFERROR(IF(P133="Check Data","Check Data",VLOOKUP(P133,'G-4 Temporal multipliers'!$A$4:$C$37,3,FALSE)),"")</f>
        <v/>
      </c>
      <c r="R133" s="171" t="str">
        <f>IF(C133="","",VLOOKUP(C133,'G-7 Rivers Data'!$B$4:$G$8,4,FALSE))</f>
        <v/>
      </c>
      <c r="S133" s="179" t="str">
        <f t="shared" si="9"/>
        <v/>
      </c>
      <c r="T133" s="269" t="str">
        <f t="shared" si="10"/>
        <v/>
      </c>
      <c r="U133" s="172" t="str">
        <f t="shared" si="11"/>
        <v/>
      </c>
      <c r="V133" s="79"/>
      <c r="W133" s="172" t="str">
        <f>IF(V133="","",IF(VLOOKUP(V133,'G-7 Rivers Data'!$AA$4:$AB$7,2,FALSE)=0,"Spatial Data Missing",VLOOKUP(V133,'G-7 Rivers Data'!$AA$4:$AB$7,2,FALSE)))</f>
        <v/>
      </c>
      <c r="X133" s="187"/>
      <c r="Y133" s="172" t="str">
        <f>IF(X133="","",IF(VLOOKUP(X133,'G-7 Rivers Data'!$AD$4:$AE$8,2,FALSE)=0,"Enrcoachment Data Missing",VLOOKUP(X133,'G-7 Rivers Data'!$AD$4:$AE$8,2,FALSE)))</f>
        <v/>
      </c>
      <c r="Z133" s="265" t="str">
        <f t="shared" si="12"/>
        <v/>
      </c>
      <c r="AA133" s="180"/>
      <c r="AB133" s="181"/>
      <c r="AH133" s="35" t="str">
        <f>IFERROR(INDEX('G-7 Rivers Data'!$AZ$3:$AZ$7,MATCH(C133,'G-7 Rivers Data'!$AY$3:$AY$7,0)),"")</f>
        <v/>
      </c>
    </row>
    <row r="134" spans="2:34" ht="13.8" x14ac:dyDescent="0.25">
      <c r="B134" s="168">
        <v>123</v>
      </c>
      <c r="C134" s="212"/>
      <c r="D134" s="213"/>
      <c r="E134" s="171" t="str">
        <f>IF(C134="","",VLOOKUP(C134,'G-7 Rivers Data'!$B$2:$G$8,2,FALSE))</f>
        <v/>
      </c>
      <c r="F134" s="172" t="str">
        <f>IFERROR(VLOOKUP(E134,'G-7 Rivers Data'!$C$4:$D$8,2,FALSE),"")</f>
        <v/>
      </c>
      <c r="G134" s="173"/>
      <c r="H134" s="172" t="str">
        <f>IFERROR(INDEX('G-7 Rivers Data'!$H$4:$L$8,MATCH(C134,'G-7 Rivers Data'!$B$4:$B$8,0),MATCH(G134,'G-7 Rivers Data'!$H$3:$L$3,0)),"")</f>
        <v/>
      </c>
      <c r="I134" s="186"/>
      <c r="J134" s="175" t="str">
        <f>IF(I134="","",IF(VLOOKUP(I134,'G-7 Rivers Data'!$AG$4:$AI$9,2,FALSE)=0,"Spatial Data Missing",VLOOKUP(I134,'G-7 Rivers Data'!$AG$4:$AI$9,2,FALSE)))</f>
        <v/>
      </c>
      <c r="K134" s="176" t="str">
        <f>IF(I134="","",IF(VLOOKUP(I134,'G-7 Rivers Data'!$AG$4:$AI$9,3,FALSE)=0,"Spatial Data Missing",VLOOKUP(I134,'G-7 Rivers Data'!$AG$4:$AI$9,3,FALSE)))</f>
        <v/>
      </c>
      <c r="L134" s="171" t="str">
        <f>IFERROR(INDEX('G-7 Rivers Data'!$O$3:$O$7,MATCH(G134,'G-7 Rivers Data'!$N$3:$N$7,0)),"")</f>
        <v/>
      </c>
      <c r="M134" s="94"/>
      <c r="N134" s="261"/>
      <c r="O134" s="175" t="str">
        <f t="shared" si="7"/>
        <v/>
      </c>
      <c r="P134" s="242" t="str">
        <f t="shared" si="8"/>
        <v/>
      </c>
      <c r="Q134" s="383" t="str">
        <f>IFERROR(IF(P134="Check Data","Check Data",VLOOKUP(P134,'G-4 Temporal multipliers'!$A$4:$C$37,3,FALSE)),"")</f>
        <v/>
      </c>
      <c r="R134" s="171" t="str">
        <f>IF(C134="","",VLOOKUP(C134,'G-7 Rivers Data'!$B$4:$G$8,4,FALSE))</f>
        <v/>
      </c>
      <c r="S134" s="179" t="str">
        <f t="shared" si="9"/>
        <v/>
      </c>
      <c r="T134" s="269" t="str">
        <f t="shared" si="10"/>
        <v/>
      </c>
      <c r="U134" s="172" t="str">
        <f t="shared" si="11"/>
        <v/>
      </c>
      <c r="V134" s="79"/>
      <c r="W134" s="172" t="str">
        <f>IF(V134="","",IF(VLOOKUP(V134,'G-7 Rivers Data'!$AA$4:$AB$7,2,FALSE)=0,"Spatial Data Missing",VLOOKUP(V134,'G-7 Rivers Data'!$AA$4:$AB$7,2,FALSE)))</f>
        <v/>
      </c>
      <c r="X134" s="187"/>
      <c r="Y134" s="172" t="str">
        <f>IF(X134="","",IF(VLOOKUP(X134,'G-7 Rivers Data'!$AD$4:$AE$8,2,FALSE)=0,"Enrcoachment Data Missing",VLOOKUP(X134,'G-7 Rivers Data'!$AD$4:$AE$8,2,FALSE)))</f>
        <v/>
      </c>
      <c r="Z134" s="265" t="str">
        <f t="shared" si="12"/>
        <v/>
      </c>
      <c r="AA134" s="180"/>
      <c r="AB134" s="181"/>
      <c r="AH134" s="35" t="str">
        <f>IFERROR(INDEX('G-7 Rivers Data'!$AZ$3:$AZ$7,MATCH(C134,'G-7 Rivers Data'!$AY$3:$AY$7,0)),"")</f>
        <v/>
      </c>
    </row>
    <row r="135" spans="2:34" ht="13.8" x14ac:dyDescent="0.25">
      <c r="B135" s="168">
        <v>124</v>
      </c>
      <c r="C135" s="212"/>
      <c r="D135" s="213"/>
      <c r="E135" s="171" t="str">
        <f>IF(C135="","",VLOOKUP(C135,'G-7 Rivers Data'!$B$2:$G$8,2,FALSE))</f>
        <v/>
      </c>
      <c r="F135" s="172" t="str">
        <f>IFERROR(VLOOKUP(E135,'G-7 Rivers Data'!$C$4:$D$8,2,FALSE),"")</f>
        <v/>
      </c>
      <c r="G135" s="173"/>
      <c r="H135" s="172" t="str">
        <f>IFERROR(INDEX('G-7 Rivers Data'!$H$4:$L$8,MATCH(C135,'G-7 Rivers Data'!$B$4:$B$8,0),MATCH(G135,'G-7 Rivers Data'!$H$3:$L$3,0)),"")</f>
        <v/>
      </c>
      <c r="I135" s="186"/>
      <c r="J135" s="175" t="str">
        <f>IF(I135="","",IF(VLOOKUP(I135,'G-7 Rivers Data'!$AG$4:$AI$9,2,FALSE)=0,"Spatial Data Missing",VLOOKUP(I135,'G-7 Rivers Data'!$AG$4:$AI$9,2,FALSE)))</f>
        <v/>
      </c>
      <c r="K135" s="176" t="str">
        <f>IF(I135="","",IF(VLOOKUP(I135,'G-7 Rivers Data'!$AG$4:$AI$9,3,FALSE)=0,"Spatial Data Missing",VLOOKUP(I135,'G-7 Rivers Data'!$AG$4:$AI$9,3,FALSE)))</f>
        <v/>
      </c>
      <c r="L135" s="171" t="str">
        <f>IFERROR(INDEX('G-7 Rivers Data'!$O$3:$O$7,MATCH(G135,'G-7 Rivers Data'!$N$3:$N$7,0)),"")</f>
        <v/>
      </c>
      <c r="M135" s="94"/>
      <c r="N135" s="261"/>
      <c r="O135" s="175" t="str">
        <f t="shared" si="7"/>
        <v/>
      </c>
      <c r="P135" s="242" t="str">
        <f t="shared" si="8"/>
        <v/>
      </c>
      <c r="Q135" s="383" t="str">
        <f>IFERROR(IF(P135="Check Data","Check Data",VLOOKUP(P135,'G-4 Temporal multipliers'!$A$4:$C$37,3,FALSE)),"")</f>
        <v/>
      </c>
      <c r="R135" s="171" t="str">
        <f>IF(C135="","",VLOOKUP(C135,'G-7 Rivers Data'!$B$4:$G$8,4,FALSE))</f>
        <v/>
      </c>
      <c r="S135" s="179" t="str">
        <f t="shared" si="9"/>
        <v/>
      </c>
      <c r="T135" s="269" t="str">
        <f t="shared" si="10"/>
        <v/>
      </c>
      <c r="U135" s="172" t="str">
        <f t="shared" si="11"/>
        <v/>
      </c>
      <c r="V135" s="79"/>
      <c r="W135" s="172" t="str">
        <f>IF(V135="","",IF(VLOOKUP(V135,'G-7 Rivers Data'!$AA$4:$AB$7,2,FALSE)=0,"Spatial Data Missing",VLOOKUP(V135,'G-7 Rivers Data'!$AA$4:$AB$7,2,FALSE)))</f>
        <v/>
      </c>
      <c r="X135" s="187"/>
      <c r="Y135" s="172" t="str">
        <f>IF(X135="","",IF(VLOOKUP(X135,'G-7 Rivers Data'!$AD$4:$AE$8,2,FALSE)=0,"Enrcoachment Data Missing",VLOOKUP(X135,'G-7 Rivers Data'!$AD$4:$AE$8,2,FALSE)))</f>
        <v/>
      </c>
      <c r="Z135" s="265" t="str">
        <f t="shared" si="12"/>
        <v/>
      </c>
      <c r="AA135" s="180"/>
      <c r="AB135" s="181"/>
      <c r="AH135" s="35" t="str">
        <f>IFERROR(INDEX('G-7 Rivers Data'!$AZ$3:$AZ$7,MATCH(C135,'G-7 Rivers Data'!$AY$3:$AY$7,0)),"")</f>
        <v/>
      </c>
    </row>
    <row r="136" spans="2:34" ht="13.8" x14ac:dyDescent="0.25">
      <c r="B136" s="168">
        <v>125</v>
      </c>
      <c r="C136" s="212"/>
      <c r="D136" s="213"/>
      <c r="E136" s="171" t="str">
        <f>IF(C136="","",VLOOKUP(C136,'G-7 Rivers Data'!$B$2:$G$8,2,FALSE))</f>
        <v/>
      </c>
      <c r="F136" s="172" t="str">
        <f>IFERROR(VLOOKUP(E136,'G-7 Rivers Data'!$C$4:$D$8,2,FALSE),"")</f>
        <v/>
      </c>
      <c r="G136" s="173"/>
      <c r="H136" s="172" t="str">
        <f>IFERROR(INDEX('G-7 Rivers Data'!$H$4:$L$8,MATCH(C136,'G-7 Rivers Data'!$B$4:$B$8,0),MATCH(G136,'G-7 Rivers Data'!$H$3:$L$3,0)),"")</f>
        <v/>
      </c>
      <c r="I136" s="186"/>
      <c r="J136" s="175" t="str">
        <f>IF(I136="","",IF(VLOOKUP(I136,'G-7 Rivers Data'!$AG$4:$AI$9,2,FALSE)=0,"Spatial Data Missing",VLOOKUP(I136,'G-7 Rivers Data'!$AG$4:$AI$9,2,FALSE)))</f>
        <v/>
      </c>
      <c r="K136" s="176" t="str">
        <f>IF(I136="","",IF(VLOOKUP(I136,'G-7 Rivers Data'!$AG$4:$AI$9,3,FALSE)=0,"Spatial Data Missing",VLOOKUP(I136,'G-7 Rivers Data'!$AG$4:$AI$9,3,FALSE)))</f>
        <v/>
      </c>
      <c r="L136" s="171" t="str">
        <f>IFERROR(INDEX('G-7 Rivers Data'!$O$3:$O$7,MATCH(G136,'G-7 Rivers Data'!$N$3:$N$7,0)),"")</f>
        <v/>
      </c>
      <c r="M136" s="94"/>
      <c r="N136" s="261"/>
      <c r="O136" s="175" t="str">
        <f t="shared" si="7"/>
        <v/>
      </c>
      <c r="P136" s="242" t="str">
        <f t="shared" si="8"/>
        <v/>
      </c>
      <c r="Q136" s="383" t="str">
        <f>IFERROR(IF(P136="Check Data","Check Data",VLOOKUP(P136,'G-4 Temporal multipliers'!$A$4:$C$37,3,FALSE)),"")</f>
        <v/>
      </c>
      <c r="R136" s="171" t="str">
        <f>IF(C136="","",VLOOKUP(C136,'G-7 Rivers Data'!$B$4:$G$8,4,FALSE))</f>
        <v/>
      </c>
      <c r="S136" s="179" t="str">
        <f t="shared" si="9"/>
        <v/>
      </c>
      <c r="T136" s="269" t="str">
        <f t="shared" si="10"/>
        <v/>
      </c>
      <c r="U136" s="172" t="str">
        <f t="shared" si="11"/>
        <v/>
      </c>
      <c r="V136" s="79"/>
      <c r="W136" s="172" t="str">
        <f>IF(V136="","",IF(VLOOKUP(V136,'G-7 Rivers Data'!$AA$4:$AB$7,2,FALSE)=0,"Spatial Data Missing",VLOOKUP(V136,'G-7 Rivers Data'!$AA$4:$AB$7,2,FALSE)))</f>
        <v/>
      </c>
      <c r="X136" s="187"/>
      <c r="Y136" s="172" t="str">
        <f>IF(X136="","",IF(VLOOKUP(X136,'G-7 Rivers Data'!$AD$4:$AE$8,2,FALSE)=0,"Enrcoachment Data Missing",VLOOKUP(X136,'G-7 Rivers Data'!$AD$4:$AE$8,2,FALSE)))</f>
        <v/>
      </c>
      <c r="Z136" s="265" t="str">
        <f t="shared" si="12"/>
        <v/>
      </c>
      <c r="AA136" s="180"/>
      <c r="AB136" s="181"/>
      <c r="AH136" s="35" t="str">
        <f>IFERROR(INDEX('G-7 Rivers Data'!$AZ$3:$AZ$7,MATCH(C136,'G-7 Rivers Data'!$AY$3:$AY$7,0)),"")</f>
        <v/>
      </c>
    </row>
    <row r="137" spans="2:34" ht="13.8" x14ac:dyDescent="0.25">
      <c r="B137" s="168">
        <v>126</v>
      </c>
      <c r="C137" s="212"/>
      <c r="D137" s="213"/>
      <c r="E137" s="171" t="str">
        <f>IF(C137="","",VLOOKUP(C137,'G-7 Rivers Data'!$B$2:$G$8,2,FALSE))</f>
        <v/>
      </c>
      <c r="F137" s="172" t="str">
        <f>IFERROR(VLOOKUP(E137,'G-7 Rivers Data'!$C$4:$D$8,2,FALSE),"")</f>
        <v/>
      </c>
      <c r="G137" s="173"/>
      <c r="H137" s="172" t="str">
        <f>IFERROR(INDEX('G-7 Rivers Data'!$H$4:$L$8,MATCH(C137,'G-7 Rivers Data'!$B$4:$B$8,0),MATCH(G137,'G-7 Rivers Data'!$H$3:$L$3,0)),"")</f>
        <v/>
      </c>
      <c r="I137" s="186"/>
      <c r="J137" s="175" t="str">
        <f>IF(I137="","",IF(VLOOKUP(I137,'G-7 Rivers Data'!$AG$4:$AI$9,2,FALSE)=0,"Spatial Data Missing",VLOOKUP(I137,'G-7 Rivers Data'!$AG$4:$AI$9,2,FALSE)))</f>
        <v/>
      </c>
      <c r="K137" s="176" t="str">
        <f>IF(I137="","",IF(VLOOKUP(I137,'G-7 Rivers Data'!$AG$4:$AI$9,3,FALSE)=0,"Spatial Data Missing",VLOOKUP(I137,'G-7 Rivers Data'!$AG$4:$AI$9,3,FALSE)))</f>
        <v/>
      </c>
      <c r="L137" s="171" t="str">
        <f>IFERROR(INDEX('G-7 Rivers Data'!$O$3:$O$7,MATCH(G137,'G-7 Rivers Data'!$N$3:$N$7,0)),"")</f>
        <v/>
      </c>
      <c r="M137" s="94"/>
      <c r="N137" s="261"/>
      <c r="O137" s="175" t="str">
        <f t="shared" si="7"/>
        <v/>
      </c>
      <c r="P137" s="242" t="str">
        <f t="shared" si="8"/>
        <v/>
      </c>
      <c r="Q137" s="383" t="str">
        <f>IFERROR(IF(P137="Check Data","Check Data",VLOOKUP(P137,'G-4 Temporal multipliers'!$A$4:$C$37,3,FALSE)),"")</f>
        <v/>
      </c>
      <c r="R137" s="171" t="str">
        <f>IF(C137="","",VLOOKUP(C137,'G-7 Rivers Data'!$B$4:$G$8,4,FALSE))</f>
        <v/>
      </c>
      <c r="S137" s="179" t="str">
        <f t="shared" si="9"/>
        <v/>
      </c>
      <c r="T137" s="269" t="str">
        <f t="shared" si="10"/>
        <v/>
      </c>
      <c r="U137" s="172" t="str">
        <f t="shared" si="11"/>
        <v/>
      </c>
      <c r="V137" s="79"/>
      <c r="W137" s="172" t="str">
        <f>IF(V137="","",IF(VLOOKUP(V137,'G-7 Rivers Data'!$AA$4:$AB$7,2,FALSE)=0,"Spatial Data Missing",VLOOKUP(V137,'G-7 Rivers Data'!$AA$4:$AB$7,2,FALSE)))</f>
        <v/>
      </c>
      <c r="X137" s="187"/>
      <c r="Y137" s="172" t="str">
        <f>IF(X137="","",IF(VLOOKUP(X137,'G-7 Rivers Data'!$AD$4:$AE$8,2,FALSE)=0,"Enrcoachment Data Missing",VLOOKUP(X137,'G-7 Rivers Data'!$AD$4:$AE$8,2,FALSE)))</f>
        <v/>
      </c>
      <c r="Z137" s="265" t="str">
        <f t="shared" si="12"/>
        <v/>
      </c>
      <c r="AA137" s="180"/>
      <c r="AB137" s="181"/>
      <c r="AH137" s="35" t="str">
        <f>IFERROR(INDEX('G-7 Rivers Data'!$AZ$3:$AZ$7,MATCH(C137,'G-7 Rivers Data'!$AY$3:$AY$7,0)),"")</f>
        <v/>
      </c>
    </row>
    <row r="138" spans="2:34" ht="13.8" x14ac:dyDescent="0.25">
      <c r="B138" s="168">
        <v>127</v>
      </c>
      <c r="C138" s="212"/>
      <c r="D138" s="213"/>
      <c r="E138" s="171" t="str">
        <f>IF(C138="","",VLOOKUP(C138,'G-7 Rivers Data'!$B$2:$G$8,2,FALSE))</f>
        <v/>
      </c>
      <c r="F138" s="172" t="str">
        <f>IFERROR(VLOOKUP(E138,'G-7 Rivers Data'!$C$4:$D$8,2,FALSE),"")</f>
        <v/>
      </c>
      <c r="G138" s="173"/>
      <c r="H138" s="172" t="str">
        <f>IFERROR(INDEX('G-7 Rivers Data'!$H$4:$L$8,MATCH(C138,'G-7 Rivers Data'!$B$4:$B$8,0),MATCH(G138,'G-7 Rivers Data'!$H$3:$L$3,0)),"")</f>
        <v/>
      </c>
      <c r="I138" s="186"/>
      <c r="J138" s="175" t="str">
        <f>IF(I138="","",IF(VLOOKUP(I138,'G-7 Rivers Data'!$AG$4:$AI$9,2,FALSE)=0,"Spatial Data Missing",VLOOKUP(I138,'G-7 Rivers Data'!$AG$4:$AI$9,2,FALSE)))</f>
        <v/>
      </c>
      <c r="K138" s="176" t="str">
        <f>IF(I138="","",IF(VLOOKUP(I138,'G-7 Rivers Data'!$AG$4:$AI$9,3,FALSE)=0,"Spatial Data Missing",VLOOKUP(I138,'G-7 Rivers Data'!$AG$4:$AI$9,3,FALSE)))</f>
        <v/>
      </c>
      <c r="L138" s="171" t="str">
        <f>IFERROR(INDEX('G-7 Rivers Data'!$O$3:$O$7,MATCH(G138,'G-7 Rivers Data'!$N$3:$N$7,0)),"")</f>
        <v/>
      </c>
      <c r="M138" s="94"/>
      <c r="N138" s="261"/>
      <c r="O138" s="175" t="str">
        <f t="shared" si="7"/>
        <v/>
      </c>
      <c r="P138" s="242" t="str">
        <f t="shared" si="8"/>
        <v/>
      </c>
      <c r="Q138" s="383" t="str">
        <f>IFERROR(IF(P138="Check Data","Check Data",VLOOKUP(P138,'G-4 Temporal multipliers'!$A$4:$C$37,3,FALSE)),"")</f>
        <v/>
      </c>
      <c r="R138" s="171" t="str">
        <f>IF(C138="","",VLOOKUP(C138,'G-7 Rivers Data'!$B$4:$G$8,4,FALSE))</f>
        <v/>
      </c>
      <c r="S138" s="179" t="str">
        <f t="shared" si="9"/>
        <v/>
      </c>
      <c r="T138" s="269" t="str">
        <f t="shared" si="10"/>
        <v/>
      </c>
      <c r="U138" s="172" t="str">
        <f t="shared" si="11"/>
        <v/>
      </c>
      <c r="V138" s="79"/>
      <c r="W138" s="172" t="str">
        <f>IF(V138="","",IF(VLOOKUP(V138,'G-7 Rivers Data'!$AA$4:$AB$7,2,FALSE)=0,"Spatial Data Missing",VLOOKUP(V138,'G-7 Rivers Data'!$AA$4:$AB$7,2,FALSE)))</f>
        <v/>
      </c>
      <c r="X138" s="187"/>
      <c r="Y138" s="172" t="str">
        <f>IF(X138="","",IF(VLOOKUP(X138,'G-7 Rivers Data'!$AD$4:$AE$8,2,FALSE)=0,"Enrcoachment Data Missing",VLOOKUP(X138,'G-7 Rivers Data'!$AD$4:$AE$8,2,FALSE)))</f>
        <v/>
      </c>
      <c r="Z138" s="265" t="str">
        <f t="shared" si="12"/>
        <v/>
      </c>
      <c r="AA138" s="180"/>
      <c r="AB138" s="181"/>
      <c r="AH138" s="35" t="str">
        <f>IFERROR(INDEX('G-7 Rivers Data'!$AZ$3:$AZ$7,MATCH(C138,'G-7 Rivers Data'!$AY$3:$AY$7,0)),"")</f>
        <v/>
      </c>
    </row>
    <row r="139" spans="2:34" ht="13.8" x14ac:dyDescent="0.25">
      <c r="B139" s="168">
        <v>128</v>
      </c>
      <c r="C139" s="212"/>
      <c r="D139" s="213"/>
      <c r="E139" s="171" t="str">
        <f>IF(C139="","",VLOOKUP(C139,'G-7 Rivers Data'!$B$2:$G$8,2,FALSE))</f>
        <v/>
      </c>
      <c r="F139" s="172" t="str">
        <f>IFERROR(VLOOKUP(E139,'G-7 Rivers Data'!$C$4:$D$8,2,FALSE),"")</f>
        <v/>
      </c>
      <c r="G139" s="173"/>
      <c r="H139" s="172" t="str">
        <f>IFERROR(INDEX('G-7 Rivers Data'!$H$4:$L$8,MATCH(C139,'G-7 Rivers Data'!$B$4:$B$8,0),MATCH(G139,'G-7 Rivers Data'!$H$3:$L$3,0)),"")</f>
        <v/>
      </c>
      <c r="I139" s="186"/>
      <c r="J139" s="175" t="str">
        <f>IF(I139="","",IF(VLOOKUP(I139,'G-7 Rivers Data'!$AG$4:$AI$9,2,FALSE)=0,"Spatial Data Missing",VLOOKUP(I139,'G-7 Rivers Data'!$AG$4:$AI$9,2,FALSE)))</f>
        <v/>
      </c>
      <c r="K139" s="176" t="str">
        <f>IF(I139="","",IF(VLOOKUP(I139,'G-7 Rivers Data'!$AG$4:$AI$9,3,FALSE)=0,"Spatial Data Missing",VLOOKUP(I139,'G-7 Rivers Data'!$AG$4:$AI$9,3,FALSE)))</f>
        <v/>
      </c>
      <c r="L139" s="171" t="str">
        <f>IFERROR(INDEX('G-7 Rivers Data'!$O$3:$O$7,MATCH(G139,'G-7 Rivers Data'!$N$3:$N$7,0)),"")</f>
        <v/>
      </c>
      <c r="M139" s="94"/>
      <c r="N139" s="261"/>
      <c r="O139" s="175" t="str">
        <f t="shared" si="7"/>
        <v/>
      </c>
      <c r="P139" s="242" t="str">
        <f t="shared" si="8"/>
        <v/>
      </c>
      <c r="Q139" s="383" t="str">
        <f>IFERROR(IF(P139="Check Data","Check Data",VLOOKUP(P139,'G-4 Temporal multipliers'!$A$4:$C$37,3,FALSE)),"")</f>
        <v/>
      </c>
      <c r="R139" s="171" t="str">
        <f>IF(C139="","",VLOOKUP(C139,'G-7 Rivers Data'!$B$4:$G$8,4,FALSE))</f>
        <v/>
      </c>
      <c r="S139" s="179" t="str">
        <f t="shared" si="9"/>
        <v/>
      </c>
      <c r="T139" s="269" t="str">
        <f t="shared" si="10"/>
        <v/>
      </c>
      <c r="U139" s="172" t="str">
        <f t="shared" si="11"/>
        <v/>
      </c>
      <c r="V139" s="79"/>
      <c r="W139" s="172" t="str">
        <f>IF(V139="","",IF(VLOOKUP(V139,'G-7 Rivers Data'!$AA$4:$AB$7,2,FALSE)=0,"Spatial Data Missing",VLOOKUP(V139,'G-7 Rivers Data'!$AA$4:$AB$7,2,FALSE)))</f>
        <v/>
      </c>
      <c r="X139" s="187"/>
      <c r="Y139" s="172" t="str">
        <f>IF(X139="","",IF(VLOOKUP(X139,'G-7 Rivers Data'!$AD$4:$AE$8,2,FALSE)=0,"Enrcoachment Data Missing",VLOOKUP(X139,'G-7 Rivers Data'!$AD$4:$AE$8,2,FALSE)))</f>
        <v/>
      </c>
      <c r="Z139" s="265" t="str">
        <f t="shared" si="12"/>
        <v/>
      </c>
      <c r="AA139" s="180"/>
      <c r="AB139" s="181"/>
      <c r="AH139" s="35" t="str">
        <f>IFERROR(INDEX('G-7 Rivers Data'!$AZ$3:$AZ$7,MATCH(C139,'G-7 Rivers Data'!$AY$3:$AY$7,0)),"")</f>
        <v/>
      </c>
    </row>
    <row r="140" spans="2:34" ht="13.8" x14ac:dyDescent="0.25">
      <c r="B140" s="168">
        <v>129</v>
      </c>
      <c r="C140" s="212"/>
      <c r="D140" s="213"/>
      <c r="E140" s="171" t="str">
        <f>IF(C140="","",VLOOKUP(C140,'G-7 Rivers Data'!$B$2:$G$8,2,FALSE))</f>
        <v/>
      </c>
      <c r="F140" s="172" t="str">
        <f>IFERROR(VLOOKUP(E140,'G-7 Rivers Data'!$C$4:$D$8,2,FALSE),"")</f>
        <v/>
      </c>
      <c r="G140" s="173"/>
      <c r="H140" s="172" t="str">
        <f>IFERROR(INDEX('G-7 Rivers Data'!$H$4:$L$8,MATCH(C140,'G-7 Rivers Data'!$B$4:$B$8,0),MATCH(G140,'G-7 Rivers Data'!$H$3:$L$3,0)),"")</f>
        <v/>
      </c>
      <c r="I140" s="186"/>
      <c r="J140" s="175" t="str">
        <f>IF(I140="","",IF(VLOOKUP(I140,'G-7 Rivers Data'!$AG$4:$AI$9,2,FALSE)=0,"Spatial Data Missing",VLOOKUP(I140,'G-7 Rivers Data'!$AG$4:$AI$9,2,FALSE)))</f>
        <v/>
      </c>
      <c r="K140" s="176" t="str">
        <f>IF(I140="","",IF(VLOOKUP(I140,'G-7 Rivers Data'!$AG$4:$AI$9,3,FALSE)=0,"Spatial Data Missing",VLOOKUP(I140,'G-7 Rivers Data'!$AG$4:$AI$9,3,FALSE)))</f>
        <v/>
      </c>
      <c r="L140" s="171" t="str">
        <f>IFERROR(INDEX('G-7 Rivers Data'!$O$3:$O$7,MATCH(G140,'G-7 Rivers Data'!$N$3:$N$7,0)),"")</f>
        <v/>
      </c>
      <c r="M140" s="94"/>
      <c r="N140" s="261"/>
      <c r="O140" s="175" t="str">
        <f t="shared" si="7"/>
        <v/>
      </c>
      <c r="P140" s="242" t="str">
        <f t="shared" si="8"/>
        <v/>
      </c>
      <c r="Q140" s="383" t="str">
        <f>IFERROR(IF(P140="Check Data","Check Data",VLOOKUP(P140,'G-4 Temporal multipliers'!$A$4:$C$37,3,FALSE)),"")</f>
        <v/>
      </c>
      <c r="R140" s="171" t="str">
        <f>IF(C140="","",VLOOKUP(C140,'G-7 Rivers Data'!$B$4:$G$8,4,FALSE))</f>
        <v/>
      </c>
      <c r="S140" s="179" t="str">
        <f t="shared" si="9"/>
        <v/>
      </c>
      <c r="T140" s="269" t="str">
        <f t="shared" si="10"/>
        <v/>
      </c>
      <c r="U140" s="172" t="str">
        <f t="shared" si="11"/>
        <v/>
      </c>
      <c r="V140" s="79"/>
      <c r="W140" s="172" t="str">
        <f>IF(V140="","",IF(VLOOKUP(V140,'G-7 Rivers Data'!$AA$4:$AB$7,2,FALSE)=0,"Spatial Data Missing",VLOOKUP(V140,'G-7 Rivers Data'!$AA$4:$AB$7,2,FALSE)))</f>
        <v/>
      </c>
      <c r="X140" s="187"/>
      <c r="Y140" s="172" t="str">
        <f>IF(X140="","",IF(VLOOKUP(X140,'G-7 Rivers Data'!$AD$4:$AE$8,2,FALSE)=0,"Enrcoachment Data Missing",VLOOKUP(X140,'G-7 Rivers Data'!$AD$4:$AE$8,2,FALSE)))</f>
        <v/>
      </c>
      <c r="Z140" s="265" t="str">
        <f t="shared" si="12"/>
        <v/>
      </c>
      <c r="AA140" s="180"/>
      <c r="AB140" s="181"/>
      <c r="AH140" s="35" t="str">
        <f>IFERROR(INDEX('G-7 Rivers Data'!$AZ$3:$AZ$7,MATCH(C140,'G-7 Rivers Data'!$AY$3:$AY$7,0)),"")</f>
        <v/>
      </c>
    </row>
    <row r="141" spans="2:34" ht="13.8" x14ac:dyDescent="0.25">
      <c r="B141" s="168">
        <v>130</v>
      </c>
      <c r="C141" s="212"/>
      <c r="D141" s="213"/>
      <c r="E141" s="171" t="str">
        <f>IF(C141="","",VLOOKUP(C141,'G-7 Rivers Data'!$B$2:$G$8,2,FALSE))</f>
        <v/>
      </c>
      <c r="F141" s="172" t="str">
        <f>IFERROR(VLOOKUP(E141,'G-7 Rivers Data'!$C$4:$D$8,2,FALSE),"")</f>
        <v/>
      </c>
      <c r="G141" s="173"/>
      <c r="H141" s="172" t="str">
        <f>IFERROR(INDEX('G-7 Rivers Data'!$H$4:$L$8,MATCH(C141,'G-7 Rivers Data'!$B$4:$B$8,0),MATCH(G141,'G-7 Rivers Data'!$H$3:$L$3,0)),"")</f>
        <v/>
      </c>
      <c r="I141" s="186"/>
      <c r="J141" s="175" t="str">
        <f>IF(I141="","",IF(VLOOKUP(I141,'G-7 Rivers Data'!$AG$4:$AI$9,2,FALSE)=0,"Spatial Data Missing",VLOOKUP(I141,'G-7 Rivers Data'!$AG$4:$AI$9,2,FALSE)))</f>
        <v/>
      </c>
      <c r="K141" s="176" t="str">
        <f>IF(I141="","",IF(VLOOKUP(I141,'G-7 Rivers Data'!$AG$4:$AI$9,3,FALSE)=0,"Spatial Data Missing",VLOOKUP(I141,'G-7 Rivers Data'!$AG$4:$AI$9,3,FALSE)))</f>
        <v/>
      </c>
      <c r="L141" s="171" t="str">
        <f>IFERROR(INDEX('G-7 Rivers Data'!$O$3:$O$7,MATCH(G141,'G-7 Rivers Data'!$N$3:$N$7,0)),"")</f>
        <v/>
      </c>
      <c r="M141" s="94"/>
      <c r="N141" s="261"/>
      <c r="O141" s="175" t="str">
        <f t="shared" ref="O141:O204" si="13">IF(L141="","",IF(AND(M141&gt;0,N141&gt;0),"Error -both advance and delayed habitat creation",IF(AND(OR(M141="Habitat already in target condition",L141&lt;=M141),N141=0),"Check details - Is there evidence that habitat has reached target condition?",IF(M141&gt;0,"Check details - Is there evidence habitat creation started/in place?",IF(N141&gt;0,"Check details- Delay in starting habitat in required condition?","Standard time to target condition applied")))))</f>
        <v/>
      </c>
      <c r="P141" s="242" t="str">
        <f t="shared" ref="P141:P204" si="14">IF(LEFT(O141,5)="Error","Check Data",IF(L141="","",IF(M141="30+",0,IF(N141="30+","30+",IF(L141+N141&gt;30,"30+",IF(L141+N141-M141&gt;0,L141+N141-M141,IF(L141-M141&lt;0,0,L141+N141-M141)))))))</f>
        <v/>
      </c>
      <c r="Q141" s="383" t="str">
        <f>IFERROR(IF(P141="Check Data","Check Data",VLOOKUP(P141,'G-4 Temporal multipliers'!$A$4:$C$37,3,FALSE)),"")</f>
        <v/>
      </c>
      <c r="R141" s="171" t="str">
        <f>IF(C141="","",VLOOKUP(C141,'G-7 Rivers Data'!$B$4:$G$8,4,FALSE))</f>
        <v/>
      </c>
      <c r="S141" s="179" t="str">
        <f t="shared" ref="S141:S204" si="15">IF(C141="","",IF(P141="Check Data","Check Data",IF(G141="","",IF($O141="Check details - Is there evidence that habitat has reached target condition?","Low Difficulty - only applicable if all habitat created before losses","Standard difficulty applied"))))</f>
        <v/>
      </c>
      <c r="T141" s="269" t="str">
        <f t="shared" ref="T141:T204" si="16">(IF(AND(S141="Standard difficulty applied",L141&gt;M141),R141,IF(AND(S141="Low Difficulty - only applicable if all habitat created before losses",M141&gt;=L141),"Low",R141)))</f>
        <v/>
      </c>
      <c r="U141" s="172" t="str">
        <f t="shared" ref="U141:U204" si="17">IF(C141="","",VLOOKUP(R141,Difficulty,2,FALSE))</f>
        <v/>
      </c>
      <c r="V141" s="79"/>
      <c r="W141" s="172" t="str">
        <f>IF(V141="","",IF(VLOOKUP(V141,'G-7 Rivers Data'!$AA$4:$AB$7,2,FALSE)=0,"Spatial Data Missing",VLOOKUP(V141,'G-7 Rivers Data'!$AA$4:$AB$7,2,FALSE)))</f>
        <v/>
      </c>
      <c r="X141" s="187"/>
      <c r="Y141" s="172" t="str">
        <f>IF(X141="","",IF(VLOOKUP(X141,'G-7 Rivers Data'!$AD$4:$AE$8,2,FALSE)=0,"Enrcoachment Data Missing",VLOOKUP(X141,'G-7 Rivers Data'!$AD$4:$AE$8,2,FALSE)))</f>
        <v/>
      </c>
      <c r="Z141" s="265" t="str">
        <f t="shared" ref="Z141:Z204" si="18">IFERROR(IF(C141="","",D141*F141*H141*K141*Q141*U141*Y141*W141),"")</f>
        <v/>
      </c>
      <c r="AA141" s="180"/>
      <c r="AB141" s="181"/>
      <c r="AH141" s="35" t="str">
        <f>IFERROR(INDEX('G-7 Rivers Data'!$AZ$3:$AZ$7,MATCH(C141,'G-7 Rivers Data'!$AY$3:$AY$7,0)),"")</f>
        <v/>
      </c>
    </row>
    <row r="142" spans="2:34" ht="13.8" x14ac:dyDescent="0.25">
      <c r="B142" s="168">
        <v>131</v>
      </c>
      <c r="C142" s="212"/>
      <c r="D142" s="213"/>
      <c r="E142" s="171" t="str">
        <f>IF(C142="","",VLOOKUP(C142,'G-7 Rivers Data'!$B$2:$G$8,2,FALSE))</f>
        <v/>
      </c>
      <c r="F142" s="172" t="str">
        <f>IFERROR(VLOOKUP(E142,'G-7 Rivers Data'!$C$4:$D$8,2,FALSE),"")</f>
        <v/>
      </c>
      <c r="G142" s="173"/>
      <c r="H142" s="172" t="str">
        <f>IFERROR(INDEX('G-7 Rivers Data'!$H$4:$L$8,MATCH(C142,'G-7 Rivers Data'!$B$4:$B$8,0),MATCH(G142,'G-7 Rivers Data'!$H$3:$L$3,0)),"")</f>
        <v/>
      </c>
      <c r="I142" s="186"/>
      <c r="J142" s="175" t="str">
        <f>IF(I142="","",IF(VLOOKUP(I142,'G-7 Rivers Data'!$AG$4:$AI$9,2,FALSE)=0,"Spatial Data Missing",VLOOKUP(I142,'G-7 Rivers Data'!$AG$4:$AI$9,2,FALSE)))</f>
        <v/>
      </c>
      <c r="K142" s="176" t="str">
        <f>IF(I142="","",IF(VLOOKUP(I142,'G-7 Rivers Data'!$AG$4:$AI$9,3,FALSE)=0,"Spatial Data Missing",VLOOKUP(I142,'G-7 Rivers Data'!$AG$4:$AI$9,3,FALSE)))</f>
        <v/>
      </c>
      <c r="L142" s="171" t="str">
        <f>IFERROR(INDEX('G-7 Rivers Data'!$O$3:$O$7,MATCH(G142,'G-7 Rivers Data'!$N$3:$N$7,0)),"")</f>
        <v/>
      </c>
      <c r="M142" s="94"/>
      <c r="N142" s="261"/>
      <c r="O142" s="175" t="str">
        <f t="shared" si="13"/>
        <v/>
      </c>
      <c r="P142" s="242" t="str">
        <f t="shared" si="14"/>
        <v/>
      </c>
      <c r="Q142" s="383" t="str">
        <f>IFERROR(IF(P142="Check Data","Check Data",VLOOKUP(P142,'G-4 Temporal multipliers'!$A$4:$C$37,3,FALSE)),"")</f>
        <v/>
      </c>
      <c r="R142" s="171" t="str">
        <f>IF(C142="","",VLOOKUP(C142,'G-7 Rivers Data'!$B$4:$G$8,4,FALSE))</f>
        <v/>
      </c>
      <c r="S142" s="179" t="str">
        <f t="shared" si="15"/>
        <v/>
      </c>
      <c r="T142" s="269" t="str">
        <f t="shared" si="16"/>
        <v/>
      </c>
      <c r="U142" s="172" t="str">
        <f t="shared" si="17"/>
        <v/>
      </c>
      <c r="V142" s="79"/>
      <c r="W142" s="172" t="str">
        <f>IF(V142="","",IF(VLOOKUP(V142,'G-7 Rivers Data'!$AA$4:$AB$7,2,FALSE)=0,"Spatial Data Missing",VLOOKUP(V142,'G-7 Rivers Data'!$AA$4:$AB$7,2,FALSE)))</f>
        <v/>
      </c>
      <c r="X142" s="187"/>
      <c r="Y142" s="172" t="str">
        <f>IF(X142="","",IF(VLOOKUP(X142,'G-7 Rivers Data'!$AD$4:$AE$8,2,FALSE)=0,"Enrcoachment Data Missing",VLOOKUP(X142,'G-7 Rivers Data'!$AD$4:$AE$8,2,FALSE)))</f>
        <v/>
      </c>
      <c r="Z142" s="265" t="str">
        <f t="shared" si="18"/>
        <v/>
      </c>
      <c r="AA142" s="180"/>
      <c r="AB142" s="181"/>
      <c r="AH142" s="35" t="str">
        <f>IFERROR(INDEX('G-7 Rivers Data'!$AZ$3:$AZ$7,MATCH(C142,'G-7 Rivers Data'!$AY$3:$AY$7,0)),"")</f>
        <v/>
      </c>
    </row>
    <row r="143" spans="2:34" ht="13.8" x14ac:dyDescent="0.25">
      <c r="B143" s="168">
        <v>132</v>
      </c>
      <c r="C143" s="212"/>
      <c r="D143" s="213"/>
      <c r="E143" s="171" t="str">
        <f>IF(C143="","",VLOOKUP(C143,'G-7 Rivers Data'!$B$2:$G$8,2,FALSE))</f>
        <v/>
      </c>
      <c r="F143" s="172" t="str">
        <f>IFERROR(VLOOKUP(E143,'G-7 Rivers Data'!$C$4:$D$8,2,FALSE),"")</f>
        <v/>
      </c>
      <c r="G143" s="173"/>
      <c r="H143" s="172" t="str">
        <f>IFERROR(INDEX('G-7 Rivers Data'!$H$4:$L$8,MATCH(C143,'G-7 Rivers Data'!$B$4:$B$8,0),MATCH(G143,'G-7 Rivers Data'!$H$3:$L$3,0)),"")</f>
        <v/>
      </c>
      <c r="I143" s="186"/>
      <c r="J143" s="175" t="str">
        <f>IF(I143="","",IF(VLOOKUP(I143,'G-7 Rivers Data'!$AG$4:$AI$9,2,FALSE)=0,"Spatial Data Missing",VLOOKUP(I143,'G-7 Rivers Data'!$AG$4:$AI$9,2,FALSE)))</f>
        <v/>
      </c>
      <c r="K143" s="176" t="str">
        <f>IF(I143="","",IF(VLOOKUP(I143,'G-7 Rivers Data'!$AG$4:$AI$9,3,FALSE)=0,"Spatial Data Missing",VLOOKUP(I143,'G-7 Rivers Data'!$AG$4:$AI$9,3,FALSE)))</f>
        <v/>
      </c>
      <c r="L143" s="171" t="str">
        <f>IFERROR(INDEX('G-7 Rivers Data'!$O$3:$O$7,MATCH(G143,'G-7 Rivers Data'!$N$3:$N$7,0)),"")</f>
        <v/>
      </c>
      <c r="M143" s="94"/>
      <c r="N143" s="261"/>
      <c r="O143" s="175" t="str">
        <f t="shared" si="13"/>
        <v/>
      </c>
      <c r="P143" s="242" t="str">
        <f t="shared" si="14"/>
        <v/>
      </c>
      <c r="Q143" s="383" t="str">
        <f>IFERROR(IF(P143="Check Data","Check Data",VLOOKUP(P143,'G-4 Temporal multipliers'!$A$4:$C$37,3,FALSE)),"")</f>
        <v/>
      </c>
      <c r="R143" s="171" t="str">
        <f>IF(C143="","",VLOOKUP(C143,'G-7 Rivers Data'!$B$4:$G$8,4,FALSE))</f>
        <v/>
      </c>
      <c r="S143" s="179" t="str">
        <f t="shared" si="15"/>
        <v/>
      </c>
      <c r="T143" s="269" t="str">
        <f t="shared" si="16"/>
        <v/>
      </c>
      <c r="U143" s="172" t="str">
        <f t="shared" si="17"/>
        <v/>
      </c>
      <c r="V143" s="79"/>
      <c r="W143" s="172" t="str">
        <f>IF(V143="","",IF(VLOOKUP(V143,'G-7 Rivers Data'!$AA$4:$AB$7,2,FALSE)=0,"Spatial Data Missing",VLOOKUP(V143,'G-7 Rivers Data'!$AA$4:$AB$7,2,FALSE)))</f>
        <v/>
      </c>
      <c r="X143" s="187"/>
      <c r="Y143" s="172" t="str">
        <f>IF(X143="","",IF(VLOOKUP(X143,'G-7 Rivers Data'!$AD$4:$AE$8,2,FALSE)=0,"Enrcoachment Data Missing",VLOOKUP(X143,'G-7 Rivers Data'!$AD$4:$AE$8,2,FALSE)))</f>
        <v/>
      </c>
      <c r="Z143" s="265" t="str">
        <f t="shared" si="18"/>
        <v/>
      </c>
      <c r="AA143" s="180"/>
      <c r="AB143" s="181"/>
      <c r="AH143" s="35" t="str">
        <f>IFERROR(INDEX('G-7 Rivers Data'!$AZ$3:$AZ$7,MATCH(C143,'G-7 Rivers Data'!$AY$3:$AY$7,0)),"")</f>
        <v/>
      </c>
    </row>
    <row r="144" spans="2:34" ht="13.8" x14ac:dyDescent="0.25">
      <c r="B144" s="168">
        <v>133</v>
      </c>
      <c r="C144" s="212"/>
      <c r="D144" s="213"/>
      <c r="E144" s="171" t="str">
        <f>IF(C144="","",VLOOKUP(C144,'G-7 Rivers Data'!$B$2:$G$8,2,FALSE))</f>
        <v/>
      </c>
      <c r="F144" s="172" t="str">
        <f>IFERROR(VLOOKUP(E144,'G-7 Rivers Data'!$C$4:$D$8,2,FALSE),"")</f>
        <v/>
      </c>
      <c r="G144" s="173"/>
      <c r="H144" s="172" t="str">
        <f>IFERROR(INDEX('G-7 Rivers Data'!$H$4:$L$8,MATCH(C144,'G-7 Rivers Data'!$B$4:$B$8,0),MATCH(G144,'G-7 Rivers Data'!$H$3:$L$3,0)),"")</f>
        <v/>
      </c>
      <c r="I144" s="186"/>
      <c r="J144" s="175" t="str">
        <f>IF(I144="","",IF(VLOOKUP(I144,'G-7 Rivers Data'!$AG$4:$AI$9,2,FALSE)=0,"Spatial Data Missing",VLOOKUP(I144,'G-7 Rivers Data'!$AG$4:$AI$9,2,FALSE)))</f>
        <v/>
      </c>
      <c r="K144" s="176" t="str">
        <f>IF(I144="","",IF(VLOOKUP(I144,'G-7 Rivers Data'!$AG$4:$AI$9,3,FALSE)=0,"Spatial Data Missing",VLOOKUP(I144,'G-7 Rivers Data'!$AG$4:$AI$9,3,FALSE)))</f>
        <v/>
      </c>
      <c r="L144" s="171" t="str">
        <f>IFERROR(INDEX('G-7 Rivers Data'!$O$3:$O$7,MATCH(G144,'G-7 Rivers Data'!$N$3:$N$7,0)),"")</f>
        <v/>
      </c>
      <c r="M144" s="94"/>
      <c r="N144" s="261"/>
      <c r="O144" s="175" t="str">
        <f t="shared" si="13"/>
        <v/>
      </c>
      <c r="P144" s="242" t="str">
        <f t="shared" si="14"/>
        <v/>
      </c>
      <c r="Q144" s="383" t="str">
        <f>IFERROR(IF(P144="Check Data","Check Data",VLOOKUP(P144,'G-4 Temporal multipliers'!$A$4:$C$37,3,FALSE)),"")</f>
        <v/>
      </c>
      <c r="R144" s="171" t="str">
        <f>IF(C144="","",VLOOKUP(C144,'G-7 Rivers Data'!$B$4:$G$8,4,FALSE))</f>
        <v/>
      </c>
      <c r="S144" s="179" t="str">
        <f t="shared" si="15"/>
        <v/>
      </c>
      <c r="T144" s="269" t="str">
        <f t="shared" si="16"/>
        <v/>
      </c>
      <c r="U144" s="172" t="str">
        <f t="shared" si="17"/>
        <v/>
      </c>
      <c r="V144" s="79"/>
      <c r="W144" s="172" t="str">
        <f>IF(V144="","",IF(VLOOKUP(V144,'G-7 Rivers Data'!$AA$4:$AB$7,2,FALSE)=0,"Spatial Data Missing",VLOOKUP(V144,'G-7 Rivers Data'!$AA$4:$AB$7,2,FALSE)))</f>
        <v/>
      </c>
      <c r="X144" s="187"/>
      <c r="Y144" s="172" t="str">
        <f>IF(X144="","",IF(VLOOKUP(X144,'G-7 Rivers Data'!$AD$4:$AE$8,2,FALSE)=0,"Enrcoachment Data Missing",VLOOKUP(X144,'G-7 Rivers Data'!$AD$4:$AE$8,2,FALSE)))</f>
        <v/>
      </c>
      <c r="Z144" s="265" t="str">
        <f t="shared" si="18"/>
        <v/>
      </c>
      <c r="AA144" s="180"/>
      <c r="AB144" s="181"/>
      <c r="AH144" s="35" t="str">
        <f>IFERROR(INDEX('G-7 Rivers Data'!$AZ$3:$AZ$7,MATCH(C144,'G-7 Rivers Data'!$AY$3:$AY$7,0)),"")</f>
        <v/>
      </c>
    </row>
    <row r="145" spans="2:34" ht="13.8" x14ac:dyDescent="0.25">
      <c r="B145" s="168">
        <v>134</v>
      </c>
      <c r="C145" s="212"/>
      <c r="D145" s="213"/>
      <c r="E145" s="171" t="str">
        <f>IF(C145="","",VLOOKUP(C145,'G-7 Rivers Data'!$B$2:$G$8,2,FALSE))</f>
        <v/>
      </c>
      <c r="F145" s="172" t="str">
        <f>IFERROR(VLOOKUP(E145,'G-7 Rivers Data'!$C$4:$D$8,2,FALSE),"")</f>
        <v/>
      </c>
      <c r="G145" s="173"/>
      <c r="H145" s="172" t="str">
        <f>IFERROR(INDEX('G-7 Rivers Data'!$H$4:$L$8,MATCH(C145,'G-7 Rivers Data'!$B$4:$B$8,0),MATCH(G145,'G-7 Rivers Data'!$H$3:$L$3,0)),"")</f>
        <v/>
      </c>
      <c r="I145" s="186"/>
      <c r="J145" s="175" t="str">
        <f>IF(I145="","",IF(VLOOKUP(I145,'G-7 Rivers Data'!$AG$4:$AI$9,2,FALSE)=0,"Spatial Data Missing",VLOOKUP(I145,'G-7 Rivers Data'!$AG$4:$AI$9,2,FALSE)))</f>
        <v/>
      </c>
      <c r="K145" s="176" t="str">
        <f>IF(I145="","",IF(VLOOKUP(I145,'G-7 Rivers Data'!$AG$4:$AI$9,3,FALSE)=0,"Spatial Data Missing",VLOOKUP(I145,'G-7 Rivers Data'!$AG$4:$AI$9,3,FALSE)))</f>
        <v/>
      </c>
      <c r="L145" s="171" t="str">
        <f>IFERROR(INDEX('G-7 Rivers Data'!$O$3:$O$7,MATCH(G145,'G-7 Rivers Data'!$N$3:$N$7,0)),"")</f>
        <v/>
      </c>
      <c r="M145" s="94"/>
      <c r="N145" s="261"/>
      <c r="O145" s="175" t="str">
        <f t="shared" si="13"/>
        <v/>
      </c>
      <c r="P145" s="242" t="str">
        <f t="shared" si="14"/>
        <v/>
      </c>
      <c r="Q145" s="383" t="str">
        <f>IFERROR(IF(P145="Check Data","Check Data",VLOOKUP(P145,'G-4 Temporal multipliers'!$A$4:$C$37,3,FALSE)),"")</f>
        <v/>
      </c>
      <c r="R145" s="171" t="str">
        <f>IF(C145="","",VLOOKUP(C145,'G-7 Rivers Data'!$B$4:$G$8,4,FALSE))</f>
        <v/>
      </c>
      <c r="S145" s="179" t="str">
        <f t="shared" si="15"/>
        <v/>
      </c>
      <c r="T145" s="269" t="str">
        <f t="shared" si="16"/>
        <v/>
      </c>
      <c r="U145" s="172" t="str">
        <f t="shared" si="17"/>
        <v/>
      </c>
      <c r="V145" s="79"/>
      <c r="W145" s="172" t="str">
        <f>IF(V145="","",IF(VLOOKUP(V145,'G-7 Rivers Data'!$AA$4:$AB$7,2,FALSE)=0,"Spatial Data Missing",VLOOKUP(V145,'G-7 Rivers Data'!$AA$4:$AB$7,2,FALSE)))</f>
        <v/>
      </c>
      <c r="X145" s="187"/>
      <c r="Y145" s="172" t="str">
        <f>IF(X145="","",IF(VLOOKUP(X145,'G-7 Rivers Data'!$AD$4:$AE$8,2,FALSE)=0,"Enrcoachment Data Missing",VLOOKUP(X145,'G-7 Rivers Data'!$AD$4:$AE$8,2,FALSE)))</f>
        <v/>
      </c>
      <c r="Z145" s="265" t="str">
        <f t="shared" si="18"/>
        <v/>
      </c>
      <c r="AA145" s="180"/>
      <c r="AB145" s="181"/>
      <c r="AH145" s="35" t="str">
        <f>IFERROR(INDEX('G-7 Rivers Data'!$AZ$3:$AZ$7,MATCH(C145,'G-7 Rivers Data'!$AY$3:$AY$7,0)),"")</f>
        <v/>
      </c>
    </row>
    <row r="146" spans="2:34" ht="13.8" x14ac:dyDescent="0.25">
      <c r="B146" s="168">
        <v>135</v>
      </c>
      <c r="C146" s="212"/>
      <c r="D146" s="213"/>
      <c r="E146" s="171" t="str">
        <f>IF(C146="","",VLOOKUP(C146,'G-7 Rivers Data'!$B$2:$G$8,2,FALSE))</f>
        <v/>
      </c>
      <c r="F146" s="172" t="str">
        <f>IFERROR(VLOOKUP(E146,'G-7 Rivers Data'!$C$4:$D$8,2,FALSE),"")</f>
        <v/>
      </c>
      <c r="G146" s="173"/>
      <c r="H146" s="172" t="str">
        <f>IFERROR(INDEX('G-7 Rivers Data'!$H$4:$L$8,MATCH(C146,'G-7 Rivers Data'!$B$4:$B$8,0),MATCH(G146,'G-7 Rivers Data'!$H$3:$L$3,0)),"")</f>
        <v/>
      </c>
      <c r="I146" s="186"/>
      <c r="J146" s="175" t="str">
        <f>IF(I146="","",IF(VLOOKUP(I146,'G-7 Rivers Data'!$AG$4:$AI$9,2,FALSE)=0,"Spatial Data Missing",VLOOKUP(I146,'G-7 Rivers Data'!$AG$4:$AI$9,2,FALSE)))</f>
        <v/>
      </c>
      <c r="K146" s="176" t="str">
        <f>IF(I146="","",IF(VLOOKUP(I146,'G-7 Rivers Data'!$AG$4:$AI$9,3,FALSE)=0,"Spatial Data Missing",VLOOKUP(I146,'G-7 Rivers Data'!$AG$4:$AI$9,3,FALSE)))</f>
        <v/>
      </c>
      <c r="L146" s="171" t="str">
        <f>IFERROR(INDEX('G-7 Rivers Data'!$O$3:$O$7,MATCH(G146,'G-7 Rivers Data'!$N$3:$N$7,0)),"")</f>
        <v/>
      </c>
      <c r="M146" s="94"/>
      <c r="N146" s="261"/>
      <c r="O146" s="175" t="str">
        <f t="shared" si="13"/>
        <v/>
      </c>
      <c r="P146" s="242" t="str">
        <f t="shared" si="14"/>
        <v/>
      </c>
      <c r="Q146" s="383" t="str">
        <f>IFERROR(IF(P146="Check Data","Check Data",VLOOKUP(P146,'G-4 Temporal multipliers'!$A$4:$C$37,3,FALSE)),"")</f>
        <v/>
      </c>
      <c r="R146" s="171" t="str">
        <f>IF(C146="","",VLOOKUP(C146,'G-7 Rivers Data'!$B$4:$G$8,4,FALSE))</f>
        <v/>
      </c>
      <c r="S146" s="179" t="str">
        <f t="shared" si="15"/>
        <v/>
      </c>
      <c r="T146" s="269" t="str">
        <f t="shared" si="16"/>
        <v/>
      </c>
      <c r="U146" s="172" t="str">
        <f t="shared" si="17"/>
        <v/>
      </c>
      <c r="V146" s="79"/>
      <c r="W146" s="172" t="str">
        <f>IF(V146="","",IF(VLOOKUP(V146,'G-7 Rivers Data'!$AA$4:$AB$7,2,FALSE)=0,"Spatial Data Missing",VLOOKUP(V146,'G-7 Rivers Data'!$AA$4:$AB$7,2,FALSE)))</f>
        <v/>
      </c>
      <c r="X146" s="187"/>
      <c r="Y146" s="172" t="str">
        <f>IF(X146="","",IF(VLOOKUP(X146,'G-7 Rivers Data'!$AD$4:$AE$8,2,FALSE)=0,"Enrcoachment Data Missing",VLOOKUP(X146,'G-7 Rivers Data'!$AD$4:$AE$8,2,FALSE)))</f>
        <v/>
      </c>
      <c r="Z146" s="265" t="str">
        <f t="shared" si="18"/>
        <v/>
      </c>
      <c r="AA146" s="180"/>
      <c r="AB146" s="181"/>
      <c r="AH146" s="35" t="str">
        <f>IFERROR(INDEX('G-7 Rivers Data'!$AZ$3:$AZ$7,MATCH(C146,'G-7 Rivers Data'!$AY$3:$AY$7,0)),"")</f>
        <v/>
      </c>
    </row>
    <row r="147" spans="2:34" ht="13.8" x14ac:dyDescent="0.25">
      <c r="B147" s="168">
        <v>136</v>
      </c>
      <c r="C147" s="212"/>
      <c r="D147" s="213"/>
      <c r="E147" s="171" t="str">
        <f>IF(C147="","",VLOOKUP(C147,'G-7 Rivers Data'!$B$2:$G$8,2,FALSE))</f>
        <v/>
      </c>
      <c r="F147" s="172" t="str">
        <f>IFERROR(VLOOKUP(E147,'G-7 Rivers Data'!$C$4:$D$8,2,FALSE),"")</f>
        <v/>
      </c>
      <c r="G147" s="173"/>
      <c r="H147" s="172" t="str">
        <f>IFERROR(INDEX('G-7 Rivers Data'!$H$4:$L$8,MATCH(C147,'G-7 Rivers Data'!$B$4:$B$8,0),MATCH(G147,'G-7 Rivers Data'!$H$3:$L$3,0)),"")</f>
        <v/>
      </c>
      <c r="I147" s="186"/>
      <c r="J147" s="175" t="str">
        <f>IF(I147="","",IF(VLOOKUP(I147,'G-7 Rivers Data'!$AG$4:$AI$9,2,FALSE)=0,"Spatial Data Missing",VLOOKUP(I147,'G-7 Rivers Data'!$AG$4:$AI$9,2,FALSE)))</f>
        <v/>
      </c>
      <c r="K147" s="176" t="str">
        <f>IF(I147="","",IF(VLOOKUP(I147,'G-7 Rivers Data'!$AG$4:$AI$9,3,FALSE)=0,"Spatial Data Missing",VLOOKUP(I147,'G-7 Rivers Data'!$AG$4:$AI$9,3,FALSE)))</f>
        <v/>
      </c>
      <c r="L147" s="171" t="str">
        <f>IFERROR(INDEX('G-7 Rivers Data'!$O$3:$O$7,MATCH(G147,'G-7 Rivers Data'!$N$3:$N$7,0)),"")</f>
        <v/>
      </c>
      <c r="M147" s="94"/>
      <c r="N147" s="261"/>
      <c r="O147" s="175" t="str">
        <f t="shared" si="13"/>
        <v/>
      </c>
      <c r="P147" s="242" t="str">
        <f t="shared" si="14"/>
        <v/>
      </c>
      <c r="Q147" s="383" t="str">
        <f>IFERROR(IF(P147="Check Data","Check Data",VLOOKUP(P147,'G-4 Temporal multipliers'!$A$4:$C$37,3,FALSE)),"")</f>
        <v/>
      </c>
      <c r="R147" s="171" t="str">
        <f>IF(C147="","",VLOOKUP(C147,'G-7 Rivers Data'!$B$4:$G$8,4,FALSE))</f>
        <v/>
      </c>
      <c r="S147" s="179" t="str">
        <f t="shared" si="15"/>
        <v/>
      </c>
      <c r="T147" s="269" t="str">
        <f t="shared" si="16"/>
        <v/>
      </c>
      <c r="U147" s="172" t="str">
        <f t="shared" si="17"/>
        <v/>
      </c>
      <c r="V147" s="79"/>
      <c r="W147" s="172" t="str">
        <f>IF(V147="","",IF(VLOOKUP(V147,'G-7 Rivers Data'!$AA$4:$AB$7,2,FALSE)=0,"Spatial Data Missing",VLOOKUP(V147,'G-7 Rivers Data'!$AA$4:$AB$7,2,FALSE)))</f>
        <v/>
      </c>
      <c r="X147" s="187"/>
      <c r="Y147" s="172" t="str">
        <f>IF(X147="","",IF(VLOOKUP(X147,'G-7 Rivers Data'!$AD$4:$AE$8,2,FALSE)=0,"Enrcoachment Data Missing",VLOOKUP(X147,'G-7 Rivers Data'!$AD$4:$AE$8,2,FALSE)))</f>
        <v/>
      </c>
      <c r="Z147" s="265" t="str">
        <f t="shared" si="18"/>
        <v/>
      </c>
      <c r="AA147" s="180"/>
      <c r="AB147" s="181"/>
      <c r="AH147" s="35" t="str">
        <f>IFERROR(INDEX('G-7 Rivers Data'!$AZ$3:$AZ$7,MATCH(C147,'G-7 Rivers Data'!$AY$3:$AY$7,0)),"")</f>
        <v/>
      </c>
    </row>
    <row r="148" spans="2:34" ht="13.8" x14ac:dyDescent="0.25">
      <c r="B148" s="168">
        <v>137</v>
      </c>
      <c r="C148" s="212"/>
      <c r="D148" s="213"/>
      <c r="E148" s="171" t="str">
        <f>IF(C148="","",VLOOKUP(C148,'G-7 Rivers Data'!$B$2:$G$8,2,FALSE))</f>
        <v/>
      </c>
      <c r="F148" s="172" t="str">
        <f>IFERROR(VLOOKUP(E148,'G-7 Rivers Data'!$C$4:$D$8,2,FALSE),"")</f>
        <v/>
      </c>
      <c r="G148" s="173"/>
      <c r="H148" s="172" t="str">
        <f>IFERROR(INDEX('G-7 Rivers Data'!$H$4:$L$8,MATCH(C148,'G-7 Rivers Data'!$B$4:$B$8,0),MATCH(G148,'G-7 Rivers Data'!$H$3:$L$3,0)),"")</f>
        <v/>
      </c>
      <c r="I148" s="186"/>
      <c r="J148" s="175" t="str">
        <f>IF(I148="","",IF(VLOOKUP(I148,'G-7 Rivers Data'!$AG$4:$AI$9,2,FALSE)=0,"Spatial Data Missing",VLOOKUP(I148,'G-7 Rivers Data'!$AG$4:$AI$9,2,FALSE)))</f>
        <v/>
      </c>
      <c r="K148" s="176" t="str">
        <f>IF(I148="","",IF(VLOOKUP(I148,'G-7 Rivers Data'!$AG$4:$AI$9,3,FALSE)=0,"Spatial Data Missing",VLOOKUP(I148,'G-7 Rivers Data'!$AG$4:$AI$9,3,FALSE)))</f>
        <v/>
      </c>
      <c r="L148" s="171" t="str">
        <f>IFERROR(INDEX('G-7 Rivers Data'!$O$3:$O$7,MATCH(G148,'G-7 Rivers Data'!$N$3:$N$7,0)),"")</f>
        <v/>
      </c>
      <c r="M148" s="94"/>
      <c r="N148" s="261"/>
      <c r="O148" s="175" t="str">
        <f t="shared" si="13"/>
        <v/>
      </c>
      <c r="P148" s="242" t="str">
        <f t="shared" si="14"/>
        <v/>
      </c>
      <c r="Q148" s="383" t="str">
        <f>IFERROR(IF(P148="Check Data","Check Data",VLOOKUP(P148,'G-4 Temporal multipliers'!$A$4:$C$37,3,FALSE)),"")</f>
        <v/>
      </c>
      <c r="R148" s="171" t="str">
        <f>IF(C148="","",VLOOKUP(C148,'G-7 Rivers Data'!$B$4:$G$8,4,FALSE))</f>
        <v/>
      </c>
      <c r="S148" s="179" t="str">
        <f t="shared" si="15"/>
        <v/>
      </c>
      <c r="T148" s="269" t="str">
        <f t="shared" si="16"/>
        <v/>
      </c>
      <c r="U148" s="172" t="str">
        <f t="shared" si="17"/>
        <v/>
      </c>
      <c r="V148" s="79"/>
      <c r="W148" s="172" t="str">
        <f>IF(V148="","",IF(VLOOKUP(V148,'G-7 Rivers Data'!$AA$4:$AB$7,2,FALSE)=0,"Spatial Data Missing",VLOOKUP(V148,'G-7 Rivers Data'!$AA$4:$AB$7,2,FALSE)))</f>
        <v/>
      </c>
      <c r="X148" s="187"/>
      <c r="Y148" s="172" t="str">
        <f>IF(X148="","",IF(VLOOKUP(X148,'G-7 Rivers Data'!$AD$4:$AE$8,2,FALSE)=0,"Enrcoachment Data Missing",VLOOKUP(X148,'G-7 Rivers Data'!$AD$4:$AE$8,2,FALSE)))</f>
        <v/>
      </c>
      <c r="Z148" s="265" t="str">
        <f t="shared" si="18"/>
        <v/>
      </c>
      <c r="AA148" s="180"/>
      <c r="AB148" s="181"/>
      <c r="AH148" s="35" t="str">
        <f>IFERROR(INDEX('G-7 Rivers Data'!$AZ$3:$AZ$7,MATCH(C148,'G-7 Rivers Data'!$AY$3:$AY$7,0)),"")</f>
        <v/>
      </c>
    </row>
    <row r="149" spans="2:34" ht="13.8" x14ac:dyDescent="0.25">
      <c r="B149" s="168">
        <v>138</v>
      </c>
      <c r="C149" s="212"/>
      <c r="D149" s="213"/>
      <c r="E149" s="171" t="str">
        <f>IF(C149="","",VLOOKUP(C149,'G-7 Rivers Data'!$B$2:$G$8,2,FALSE))</f>
        <v/>
      </c>
      <c r="F149" s="172" t="str">
        <f>IFERROR(VLOOKUP(E149,'G-7 Rivers Data'!$C$4:$D$8,2,FALSE),"")</f>
        <v/>
      </c>
      <c r="G149" s="173"/>
      <c r="H149" s="172" t="str">
        <f>IFERROR(INDEX('G-7 Rivers Data'!$H$4:$L$8,MATCH(C149,'G-7 Rivers Data'!$B$4:$B$8,0),MATCH(G149,'G-7 Rivers Data'!$H$3:$L$3,0)),"")</f>
        <v/>
      </c>
      <c r="I149" s="186"/>
      <c r="J149" s="175" t="str">
        <f>IF(I149="","",IF(VLOOKUP(I149,'G-7 Rivers Data'!$AG$4:$AI$9,2,FALSE)=0,"Spatial Data Missing",VLOOKUP(I149,'G-7 Rivers Data'!$AG$4:$AI$9,2,FALSE)))</f>
        <v/>
      </c>
      <c r="K149" s="176" t="str">
        <f>IF(I149="","",IF(VLOOKUP(I149,'G-7 Rivers Data'!$AG$4:$AI$9,3,FALSE)=0,"Spatial Data Missing",VLOOKUP(I149,'G-7 Rivers Data'!$AG$4:$AI$9,3,FALSE)))</f>
        <v/>
      </c>
      <c r="L149" s="171" t="str">
        <f>IFERROR(INDEX('G-7 Rivers Data'!$O$3:$O$7,MATCH(G149,'G-7 Rivers Data'!$N$3:$N$7,0)),"")</f>
        <v/>
      </c>
      <c r="M149" s="94"/>
      <c r="N149" s="261"/>
      <c r="O149" s="175" t="str">
        <f t="shared" si="13"/>
        <v/>
      </c>
      <c r="P149" s="242" t="str">
        <f t="shared" si="14"/>
        <v/>
      </c>
      <c r="Q149" s="383" t="str">
        <f>IFERROR(IF(P149="Check Data","Check Data",VLOOKUP(P149,'G-4 Temporal multipliers'!$A$4:$C$37,3,FALSE)),"")</f>
        <v/>
      </c>
      <c r="R149" s="171" t="str">
        <f>IF(C149="","",VLOOKUP(C149,'G-7 Rivers Data'!$B$4:$G$8,4,FALSE))</f>
        <v/>
      </c>
      <c r="S149" s="179" t="str">
        <f t="shared" si="15"/>
        <v/>
      </c>
      <c r="T149" s="269" t="str">
        <f t="shared" si="16"/>
        <v/>
      </c>
      <c r="U149" s="172" t="str">
        <f t="shared" si="17"/>
        <v/>
      </c>
      <c r="V149" s="79"/>
      <c r="W149" s="172" t="str">
        <f>IF(V149="","",IF(VLOOKUP(V149,'G-7 Rivers Data'!$AA$4:$AB$7,2,FALSE)=0,"Spatial Data Missing",VLOOKUP(V149,'G-7 Rivers Data'!$AA$4:$AB$7,2,FALSE)))</f>
        <v/>
      </c>
      <c r="X149" s="187"/>
      <c r="Y149" s="172" t="str">
        <f>IF(X149="","",IF(VLOOKUP(X149,'G-7 Rivers Data'!$AD$4:$AE$8,2,FALSE)=0,"Enrcoachment Data Missing",VLOOKUP(X149,'G-7 Rivers Data'!$AD$4:$AE$8,2,FALSE)))</f>
        <v/>
      </c>
      <c r="Z149" s="265" t="str">
        <f t="shared" si="18"/>
        <v/>
      </c>
      <c r="AA149" s="180"/>
      <c r="AB149" s="181"/>
      <c r="AH149" s="35" t="str">
        <f>IFERROR(INDEX('G-7 Rivers Data'!$AZ$3:$AZ$7,MATCH(C149,'G-7 Rivers Data'!$AY$3:$AY$7,0)),"")</f>
        <v/>
      </c>
    </row>
    <row r="150" spans="2:34" ht="13.8" x14ac:dyDescent="0.25">
      <c r="B150" s="168">
        <v>139</v>
      </c>
      <c r="C150" s="212"/>
      <c r="D150" s="213"/>
      <c r="E150" s="171" t="str">
        <f>IF(C150="","",VLOOKUP(C150,'G-7 Rivers Data'!$B$2:$G$8,2,FALSE))</f>
        <v/>
      </c>
      <c r="F150" s="172" t="str">
        <f>IFERROR(VLOOKUP(E150,'G-7 Rivers Data'!$C$4:$D$8,2,FALSE),"")</f>
        <v/>
      </c>
      <c r="G150" s="173"/>
      <c r="H150" s="172" t="str">
        <f>IFERROR(INDEX('G-7 Rivers Data'!$H$4:$L$8,MATCH(C150,'G-7 Rivers Data'!$B$4:$B$8,0),MATCH(G150,'G-7 Rivers Data'!$H$3:$L$3,0)),"")</f>
        <v/>
      </c>
      <c r="I150" s="186"/>
      <c r="J150" s="175" t="str">
        <f>IF(I150="","",IF(VLOOKUP(I150,'G-7 Rivers Data'!$AG$4:$AI$9,2,FALSE)=0,"Spatial Data Missing",VLOOKUP(I150,'G-7 Rivers Data'!$AG$4:$AI$9,2,FALSE)))</f>
        <v/>
      </c>
      <c r="K150" s="176" t="str">
        <f>IF(I150="","",IF(VLOOKUP(I150,'G-7 Rivers Data'!$AG$4:$AI$9,3,FALSE)=0,"Spatial Data Missing",VLOOKUP(I150,'G-7 Rivers Data'!$AG$4:$AI$9,3,FALSE)))</f>
        <v/>
      </c>
      <c r="L150" s="171" t="str">
        <f>IFERROR(INDEX('G-7 Rivers Data'!$O$3:$O$7,MATCH(G150,'G-7 Rivers Data'!$N$3:$N$7,0)),"")</f>
        <v/>
      </c>
      <c r="M150" s="94"/>
      <c r="N150" s="261"/>
      <c r="O150" s="175" t="str">
        <f t="shared" si="13"/>
        <v/>
      </c>
      <c r="P150" s="242" t="str">
        <f t="shared" si="14"/>
        <v/>
      </c>
      <c r="Q150" s="383" t="str">
        <f>IFERROR(IF(P150="Check Data","Check Data",VLOOKUP(P150,'G-4 Temporal multipliers'!$A$4:$C$37,3,FALSE)),"")</f>
        <v/>
      </c>
      <c r="R150" s="171" t="str">
        <f>IF(C150="","",VLOOKUP(C150,'G-7 Rivers Data'!$B$4:$G$8,4,FALSE))</f>
        <v/>
      </c>
      <c r="S150" s="179" t="str">
        <f t="shared" si="15"/>
        <v/>
      </c>
      <c r="T150" s="269" t="str">
        <f t="shared" si="16"/>
        <v/>
      </c>
      <c r="U150" s="172" t="str">
        <f t="shared" si="17"/>
        <v/>
      </c>
      <c r="V150" s="79"/>
      <c r="W150" s="172" t="str">
        <f>IF(V150="","",IF(VLOOKUP(V150,'G-7 Rivers Data'!$AA$4:$AB$7,2,FALSE)=0,"Spatial Data Missing",VLOOKUP(V150,'G-7 Rivers Data'!$AA$4:$AB$7,2,FALSE)))</f>
        <v/>
      </c>
      <c r="X150" s="187"/>
      <c r="Y150" s="172" t="str">
        <f>IF(X150="","",IF(VLOOKUP(X150,'G-7 Rivers Data'!$AD$4:$AE$8,2,FALSE)=0,"Enrcoachment Data Missing",VLOOKUP(X150,'G-7 Rivers Data'!$AD$4:$AE$8,2,FALSE)))</f>
        <v/>
      </c>
      <c r="Z150" s="265" t="str">
        <f t="shared" si="18"/>
        <v/>
      </c>
      <c r="AA150" s="180"/>
      <c r="AB150" s="181"/>
      <c r="AH150" s="35" t="str">
        <f>IFERROR(INDEX('G-7 Rivers Data'!$AZ$3:$AZ$7,MATCH(C150,'G-7 Rivers Data'!$AY$3:$AY$7,0)),"")</f>
        <v/>
      </c>
    </row>
    <row r="151" spans="2:34" ht="13.8" x14ac:dyDescent="0.25">
      <c r="B151" s="168">
        <v>140</v>
      </c>
      <c r="C151" s="212"/>
      <c r="D151" s="213"/>
      <c r="E151" s="171" t="str">
        <f>IF(C151="","",VLOOKUP(C151,'G-7 Rivers Data'!$B$2:$G$8,2,FALSE))</f>
        <v/>
      </c>
      <c r="F151" s="172" t="str">
        <f>IFERROR(VLOOKUP(E151,'G-7 Rivers Data'!$C$4:$D$8,2,FALSE),"")</f>
        <v/>
      </c>
      <c r="G151" s="173"/>
      <c r="H151" s="172" t="str">
        <f>IFERROR(INDEX('G-7 Rivers Data'!$H$4:$L$8,MATCH(C151,'G-7 Rivers Data'!$B$4:$B$8,0),MATCH(G151,'G-7 Rivers Data'!$H$3:$L$3,0)),"")</f>
        <v/>
      </c>
      <c r="I151" s="186"/>
      <c r="J151" s="175" t="str">
        <f>IF(I151="","",IF(VLOOKUP(I151,'G-7 Rivers Data'!$AG$4:$AI$9,2,FALSE)=0,"Spatial Data Missing",VLOOKUP(I151,'G-7 Rivers Data'!$AG$4:$AI$9,2,FALSE)))</f>
        <v/>
      </c>
      <c r="K151" s="176" t="str">
        <f>IF(I151="","",IF(VLOOKUP(I151,'G-7 Rivers Data'!$AG$4:$AI$9,3,FALSE)=0,"Spatial Data Missing",VLOOKUP(I151,'G-7 Rivers Data'!$AG$4:$AI$9,3,FALSE)))</f>
        <v/>
      </c>
      <c r="L151" s="171" t="str">
        <f>IFERROR(INDEX('G-7 Rivers Data'!$O$3:$O$7,MATCH(G151,'G-7 Rivers Data'!$N$3:$N$7,0)),"")</f>
        <v/>
      </c>
      <c r="M151" s="94"/>
      <c r="N151" s="261"/>
      <c r="O151" s="175" t="str">
        <f t="shared" si="13"/>
        <v/>
      </c>
      <c r="P151" s="242" t="str">
        <f t="shared" si="14"/>
        <v/>
      </c>
      <c r="Q151" s="383" t="str">
        <f>IFERROR(IF(P151="Check Data","Check Data",VLOOKUP(P151,'G-4 Temporal multipliers'!$A$4:$C$37,3,FALSE)),"")</f>
        <v/>
      </c>
      <c r="R151" s="171" t="str">
        <f>IF(C151="","",VLOOKUP(C151,'G-7 Rivers Data'!$B$4:$G$8,4,FALSE))</f>
        <v/>
      </c>
      <c r="S151" s="179" t="str">
        <f t="shared" si="15"/>
        <v/>
      </c>
      <c r="T151" s="269" t="str">
        <f t="shared" si="16"/>
        <v/>
      </c>
      <c r="U151" s="172" t="str">
        <f t="shared" si="17"/>
        <v/>
      </c>
      <c r="V151" s="79"/>
      <c r="W151" s="172" t="str">
        <f>IF(V151="","",IF(VLOOKUP(V151,'G-7 Rivers Data'!$AA$4:$AB$7,2,FALSE)=0,"Spatial Data Missing",VLOOKUP(V151,'G-7 Rivers Data'!$AA$4:$AB$7,2,FALSE)))</f>
        <v/>
      </c>
      <c r="X151" s="187"/>
      <c r="Y151" s="172" t="str">
        <f>IF(X151="","",IF(VLOOKUP(X151,'G-7 Rivers Data'!$AD$4:$AE$8,2,FALSE)=0,"Enrcoachment Data Missing",VLOOKUP(X151,'G-7 Rivers Data'!$AD$4:$AE$8,2,FALSE)))</f>
        <v/>
      </c>
      <c r="Z151" s="265" t="str">
        <f t="shared" si="18"/>
        <v/>
      </c>
      <c r="AA151" s="180"/>
      <c r="AB151" s="181"/>
      <c r="AH151" s="35" t="str">
        <f>IFERROR(INDEX('G-7 Rivers Data'!$AZ$3:$AZ$7,MATCH(C151,'G-7 Rivers Data'!$AY$3:$AY$7,0)),"")</f>
        <v/>
      </c>
    </row>
    <row r="152" spans="2:34" ht="13.8" x14ac:dyDescent="0.25">
      <c r="B152" s="168">
        <v>141</v>
      </c>
      <c r="C152" s="212"/>
      <c r="D152" s="213"/>
      <c r="E152" s="171" t="str">
        <f>IF(C152="","",VLOOKUP(C152,'G-7 Rivers Data'!$B$2:$G$8,2,FALSE))</f>
        <v/>
      </c>
      <c r="F152" s="172" t="str">
        <f>IFERROR(VLOOKUP(E152,'G-7 Rivers Data'!$C$4:$D$8,2,FALSE),"")</f>
        <v/>
      </c>
      <c r="G152" s="173"/>
      <c r="H152" s="172" t="str">
        <f>IFERROR(INDEX('G-7 Rivers Data'!$H$4:$L$8,MATCH(C152,'G-7 Rivers Data'!$B$4:$B$8,0),MATCH(G152,'G-7 Rivers Data'!$H$3:$L$3,0)),"")</f>
        <v/>
      </c>
      <c r="I152" s="186"/>
      <c r="J152" s="175" t="str">
        <f>IF(I152="","",IF(VLOOKUP(I152,'G-7 Rivers Data'!$AG$4:$AI$9,2,FALSE)=0,"Spatial Data Missing",VLOOKUP(I152,'G-7 Rivers Data'!$AG$4:$AI$9,2,FALSE)))</f>
        <v/>
      </c>
      <c r="K152" s="176" t="str">
        <f>IF(I152="","",IF(VLOOKUP(I152,'G-7 Rivers Data'!$AG$4:$AI$9,3,FALSE)=0,"Spatial Data Missing",VLOOKUP(I152,'G-7 Rivers Data'!$AG$4:$AI$9,3,FALSE)))</f>
        <v/>
      </c>
      <c r="L152" s="171" t="str">
        <f>IFERROR(INDEX('G-7 Rivers Data'!$O$3:$O$7,MATCH(G152,'G-7 Rivers Data'!$N$3:$N$7,0)),"")</f>
        <v/>
      </c>
      <c r="M152" s="94"/>
      <c r="N152" s="261"/>
      <c r="O152" s="175" t="str">
        <f t="shared" si="13"/>
        <v/>
      </c>
      <c r="P152" s="242" t="str">
        <f t="shared" si="14"/>
        <v/>
      </c>
      <c r="Q152" s="383" t="str">
        <f>IFERROR(IF(P152="Check Data","Check Data",VLOOKUP(P152,'G-4 Temporal multipliers'!$A$4:$C$37,3,FALSE)),"")</f>
        <v/>
      </c>
      <c r="R152" s="171" t="str">
        <f>IF(C152="","",VLOOKUP(C152,'G-7 Rivers Data'!$B$4:$G$8,4,FALSE))</f>
        <v/>
      </c>
      <c r="S152" s="179" t="str">
        <f t="shared" si="15"/>
        <v/>
      </c>
      <c r="T152" s="269" t="str">
        <f t="shared" si="16"/>
        <v/>
      </c>
      <c r="U152" s="172" t="str">
        <f t="shared" si="17"/>
        <v/>
      </c>
      <c r="V152" s="79"/>
      <c r="W152" s="172" t="str">
        <f>IF(V152="","",IF(VLOOKUP(V152,'G-7 Rivers Data'!$AA$4:$AB$7,2,FALSE)=0,"Spatial Data Missing",VLOOKUP(V152,'G-7 Rivers Data'!$AA$4:$AB$7,2,FALSE)))</f>
        <v/>
      </c>
      <c r="X152" s="187"/>
      <c r="Y152" s="172" t="str">
        <f>IF(X152="","",IF(VLOOKUP(X152,'G-7 Rivers Data'!$AD$4:$AE$8,2,FALSE)=0,"Enrcoachment Data Missing",VLOOKUP(X152,'G-7 Rivers Data'!$AD$4:$AE$8,2,FALSE)))</f>
        <v/>
      </c>
      <c r="Z152" s="265" t="str">
        <f t="shared" si="18"/>
        <v/>
      </c>
      <c r="AA152" s="180"/>
      <c r="AB152" s="181"/>
      <c r="AH152" s="35" t="str">
        <f>IFERROR(INDEX('G-7 Rivers Data'!$AZ$3:$AZ$7,MATCH(C152,'G-7 Rivers Data'!$AY$3:$AY$7,0)),"")</f>
        <v/>
      </c>
    </row>
    <row r="153" spans="2:34" ht="13.8" x14ac:dyDescent="0.25">
      <c r="B153" s="168">
        <v>142</v>
      </c>
      <c r="C153" s="212"/>
      <c r="D153" s="213"/>
      <c r="E153" s="171" t="str">
        <f>IF(C153="","",VLOOKUP(C153,'G-7 Rivers Data'!$B$2:$G$8,2,FALSE))</f>
        <v/>
      </c>
      <c r="F153" s="172" t="str">
        <f>IFERROR(VLOOKUP(E153,'G-7 Rivers Data'!$C$4:$D$8,2,FALSE),"")</f>
        <v/>
      </c>
      <c r="G153" s="173"/>
      <c r="H153" s="172" t="str">
        <f>IFERROR(INDEX('G-7 Rivers Data'!$H$4:$L$8,MATCH(C153,'G-7 Rivers Data'!$B$4:$B$8,0),MATCH(G153,'G-7 Rivers Data'!$H$3:$L$3,0)),"")</f>
        <v/>
      </c>
      <c r="I153" s="186"/>
      <c r="J153" s="175" t="str">
        <f>IF(I153="","",IF(VLOOKUP(I153,'G-7 Rivers Data'!$AG$4:$AI$9,2,FALSE)=0,"Spatial Data Missing",VLOOKUP(I153,'G-7 Rivers Data'!$AG$4:$AI$9,2,FALSE)))</f>
        <v/>
      </c>
      <c r="K153" s="176" t="str">
        <f>IF(I153="","",IF(VLOOKUP(I153,'G-7 Rivers Data'!$AG$4:$AI$9,3,FALSE)=0,"Spatial Data Missing",VLOOKUP(I153,'G-7 Rivers Data'!$AG$4:$AI$9,3,FALSE)))</f>
        <v/>
      </c>
      <c r="L153" s="171" t="str">
        <f>IFERROR(INDEX('G-7 Rivers Data'!$O$3:$O$7,MATCH(G153,'G-7 Rivers Data'!$N$3:$N$7,0)),"")</f>
        <v/>
      </c>
      <c r="M153" s="94"/>
      <c r="N153" s="261"/>
      <c r="O153" s="175" t="str">
        <f t="shared" si="13"/>
        <v/>
      </c>
      <c r="P153" s="242" t="str">
        <f t="shared" si="14"/>
        <v/>
      </c>
      <c r="Q153" s="383" t="str">
        <f>IFERROR(IF(P153="Check Data","Check Data",VLOOKUP(P153,'G-4 Temporal multipliers'!$A$4:$C$37,3,FALSE)),"")</f>
        <v/>
      </c>
      <c r="R153" s="171" t="str">
        <f>IF(C153="","",VLOOKUP(C153,'G-7 Rivers Data'!$B$4:$G$8,4,FALSE))</f>
        <v/>
      </c>
      <c r="S153" s="179" t="str">
        <f t="shared" si="15"/>
        <v/>
      </c>
      <c r="T153" s="269" t="str">
        <f t="shared" si="16"/>
        <v/>
      </c>
      <c r="U153" s="172" t="str">
        <f t="shared" si="17"/>
        <v/>
      </c>
      <c r="V153" s="79"/>
      <c r="W153" s="172" t="str">
        <f>IF(V153="","",IF(VLOOKUP(V153,'G-7 Rivers Data'!$AA$4:$AB$7,2,FALSE)=0,"Spatial Data Missing",VLOOKUP(V153,'G-7 Rivers Data'!$AA$4:$AB$7,2,FALSE)))</f>
        <v/>
      </c>
      <c r="X153" s="187"/>
      <c r="Y153" s="172" t="str">
        <f>IF(X153="","",IF(VLOOKUP(X153,'G-7 Rivers Data'!$AD$4:$AE$8,2,FALSE)=0,"Enrcoachment Data Missing",VLOOKUP(X153,'G-7 Rivers Data'!$AD$4:$AE$8,2,FALSE)))</f>
        <v/>
      </c>
      <c r="Z153" s="265" t="str">
        <f t="shared" si="18"/>
        <v/>
      </c>
      <c r="AA153" s="180"/>
      <c r="AB153" s="181"/>
      <c r="AH153" s="35" t="str">
        <f>IFERROR(INDEX('G-7 Rivers Data'!$AZ$3:$AZ$7,MATCH(C153,'G-7 Rivers Data'!$AY$3:$AY$7,0)),"")</f>
        <v/>
      </c>
    </row>
    <row r="154" spans="2:34" ht="13.8" x14ac:dyDescent="0.25">
      <c r="B154" s="168">
        <v>143</v>
      </c>
      <c r="C154" s="212"/>
      <c r="D154" s="213"/>
      <c r="E154" s="171" t="str">
        <f>IF(C154="","",VLOOKUP(C154,'G-7 Rivers Data'!$B$2:$G$8,2,FALSE))</f>
        <v/>
      </c>
      <c r="F154" s="172" t="str">
        <f>IFERROR(VLOOKUP(E154,'G-7 Rivers Data'!$C$4:$D$8,2,FALSE),"")</f>
        <v/>
      </c>
      <c r="G154" s="173"/>
      <c r="H154" s="172" t="str">
        <f>IFERROR(INDEX('G-7 Rivers Data'!$H$4:$L$8,MATCH(C154,'G-7 Rivers Data'!$B$4:$B$8,0),MATCH(G154,'G-7 Rivers Data'!$H$3:$L$3,0)),"")</f>
        <v/>
      </c>
      <c r="I154" s="186"/>
      <c r="J154" s="175" t="str">
        <f>IF(I154="","",IF(VLOOKUP(I154,'G-7 Rivers Data'!$AG$4:$AI$9,2,FALSE)=0,"Spatial Data Missing",VLOOKUP(I154,'G-7 Rivers Data'!$AG$4:$AI$9,2,FALSE)))</f>
        <v/>
      </c>
      <c r="K154" s="176" t="str">
        <f>IF(I154="","",IF(VLOOKUP(I154,'G-7 Rivers Data'!$AG$4:$AI$9,3,FALSE)=0,"Spatial Data Missing",VLOOKUP(I154,'G-7 Rivers Data'!$AG$4:$AI$9,3,FALSE)))</f>
        <v/>
      </c>
      <c r="L154" s="171" t="str">
        <f>IFERROR(INDEX('G-7 Rivers Data'!$O$3:$O$7,MATCH(G154,'G-7 Rivers Data'!$N$3:$N$7,0)),"")</f>
        <v/>
      </c>
      <c r="M154" s="94"/>
      <c r="N154" s="261"/>
      <c r="O154" s="175" t="str">
        <f t="shared" si="13"/>
        <v/>
      </c>
      <c r="P154" s="242" t="str">
        <f t="shared" si="14"/>
        <v/>
      </c>
      <c r="Q154" s="383" t="str">
        <f>IFERROR(IF(P154="Check Data","Check Data",VLOOKUP(P154,'G-4 Temporal multipliers'!$A$4:$C$37,3,FALSE)),"")</f>
        <v/>
      </c>
      <c r="R154" s="171" t="str">
        <f>IF(C154="","",VLOOKUP(C154,'G-7 Rivers Data'!$B$4:$G$8,4,FALSE))</f>
        <v/>
      </c>
      <c r="S154" s="179" t="str">
        <f t="shared" si="15"/>
        <v/>
      </c>
      <c r="T154" s="269" t="str">
        <f t="shared" si="16"/>
        <v/>
      </c>
      <c r="U154" s="172" t="str">
        <f t="shared" si="17"/>
        <v/>
      </c>
      <c r="V154" s="79"/>
      <c r="W154" s="172" t="str">
        <f>IF(V154="","",IF(VLOOKUP(V154,'G-7 Rivers Data'!$AA$4:$AB$7,2,FALSE)=0,"Spatial Data Missing",VLOOKUP(V154,'G-7 Rivers Data'!$AA$4:$AB$7,2,FALSE)))</f>
        <v/>
      </c>
      <c r="X154" s="187"/>
      <c r="Y154" s="172" t="str">
        <f>IF(X154="","",IF(VLOOKUP(X154,'G-7 Rivers Data'!$AD$4:$AE$8,2,FALSE)=0,"Enrcoachment Data Missing",VLOOKUP(X154,'G-7 Rivers Data'!$AD$4:$AE$8,2,FALSE)))</f>
        <v/>
      </c>
      <c r="Z154" s="265" t="str">
        <f t="shared" si="18"/>
        <v/>
      </c>
      <c r="AA154" s="180"/>
      <c r="AB154" s="181"/>
      <c r="AH154" s="35" t="str">
        <f>IFERROR(INDEX('G-7 Rivers Data'!$AZ$3:$AZ$7,MATCH(C154,'G-7 Rivers Data'!$AY$3:$AY$7,0)),"")</f>
        <v/>
      </c>
    </row>
    <row r="155" spans="2:34" ht="13.8" x14ac:dyDescent="0.25">
      <c r="B155" s="168">
        <v>144</v>
      </c>
      <c r="C155" s="212"/>
      <c r="D155" s="213"/>
      <c r="E155" s="171" t="str">
        <f>IF(C155="","",VLOOKUP(C155,'G-7 Rivers Data'!$B$2:$G$8,2,FALSE))</f>
        <v/>
      </c>
      <c r="F155" s="172" t="str">
        <f>IFERROR(VLOOKUP(E155,'G-7 Rivers Data'!$C$4:$D$8,2,FALSE),"")</f>
        <v/>
      </c>
      <c r="G155" s="173"/>
      <c r="H155" s="172" t="str">
        <f>IFERROR(INDEX('G-7 Rivers Data'!$H$4:$L$8,MATCH(C155,'G-7 Rivers Data'!$B$4:$B$8,0),MATCH(G155,'G-7 Rivers Data'!$H$3:$L$3,0)),"")</f>
        <v/>
      </c>
      <c r="I155" s="186"/>
      <c r="J155" s="175" t="str">
        <f>IF(I155="","",IF(VLOOKUP(I155,'G-7 Rivers Data'!$AG$4:$AI$9,2,FALSE)=0,"Spatial Data Missing",VLOOKUP(I155,'G-7 Rivers Data'!$AG$4:$AI$9,2,FALSE)))</f>
        <v/>
      </c>
      <c r="K155" s="176" t="str">
        <f>IF(I155="","",IF(VLOOKUP(I155,'G-7 Rivers Data'!$AG$4:$AI$9,3,FALSE)=0,"Spatial Data Missing",VLOOKUP(I155,'G-7 Rivers Data'!$AG$4:$AI$9,3,FALSE)))</f>
        <v/>
      </c>
      <c r="L155" s="171" t="str">
        <f>IFERROR(INDEX('G-7 Rivers Data'!$O$3:$O$7,MATCH(G155,'G-7 Rivers Data'!$N$3:$N$7,0)),"")</f>
        <v/>
      </c>
      <c r="M155" s="94"/>
      <c r="N155" s="261"/>
      <c r="O155" s="175" t="str">
        <f t="shared" si="13"/>
        <v/>
      </c>
      <c r="P155" s="242" t="str">
        <f t="shared" si="14"/>
        <v/>
      </c>
      <c r="Q155" s="383" t="str">
        <f>IFERROR(IF(P155="Check Data","Check Data",VLOOKUP(P155,'G-4 Temporal multipliers'!$A$4:$C$37,3,FALSE)),"")</f>
        <v/>
      </c>
      <c r="R155" s="171" t="str">
        <f>IF(C155="","",VLOOKUP(C155,'G-7 Rivers Data'!$B$4:$G$8,4,FALSE))</f>
        <v/>
      </c>
      <c r="S155" s="179" t="str">
        <f t="shared" si="15"/>
        <v/>
      </c>
      <c r="T155" s="269" t="str">
        <f t="shared" si="16"/>
        <v/>
      </c>
      <c r="U155" s="172" t="str">
        <f t="shared" si="17"/>
        <v/>
      </c>
      <c r="V155" s="79"/>
      <c r="W155" s="172" t="str">
        <f>IF(V155="","",IF(VLOOKUP(V155,'G-7 Rivers Data'!$AA$4:$AB$7,2,FALSE)=0,"Spatial Data Missing",VLOOKUP(V155,'G-7 Rivers Data'!$AA$4:$AB$7,2,FALSE)))</f>
        <v/>
      </c>
      <c r="X155" s="187"/>
      <c r="Y155" s="172" t="str">
        <f>IF(X155="","",IF(VLOOKUP(X155,'G-7 Rivers Data'!$AD$4:$AE$8,2,FALSE)=0,"Enrcoachment Data Missing",VLOOKUP(X155,'G-7 Rivers Data'!$AD$4:$AE$8,2,FALSE)))</f>
        <v/>
      </c>
      <c r="Z155" s="265" t="str">
        <f t="shared" si="18"/>
        <v/>
      </c>
      <c r="AA155" s="180"/>
      <c r="AB155" s="181"/>
      <c r="AH155" s="35" t="str">
        <f>IFERROR(INDEX('G-7 Rivers Data'!$AZ$3:$AZ$7,MATCH(C155,'G-7 Rivers Data'!$AY$3:$AY$7,0)),"")</f>
        <v/>
      </c>
    </row>
    <row r="156" spans="2:34" ht="13.8" x14ac:dyDescent="0.25">
      <c r="B156" s="168">
        <v>145</v>
      </c>
      <c r="C156" s="212"/>
      <c r="D156" s="213"/>
      <c r="E156" s="171" t="str">
        <f>IF(C156="","",VLOOKUP(C156,'G-7 Rivers Data'!$B$2:$G$8,2,FALSE))</f>
        <v/>
      </c>
      <c r="F156" s="172" t="str">
        <f>IFERROR(VLOOKUP(E156,'G-7 Rivers Data'!$C$4:$D$8,2,FALSE),"")</f>
        <v/>
      </c>
      <c r="G156" s="173"/>
      <c r="H156" s="172" t="str">
        <f>IFERROR(INDEX('G-7 Rivers Data'!$H$4:$L$8,MATCH(C156,'G-7 Rivers Data'!$B$4:$B$8,0),MATCH(G156,'G-7 Rivers Data'!$H$3:$L$3,0)),"")</f>
        <v/>
      </c>
      <c r="I156" s="186"/>
      <c r="J156" s="175" t="str">
        <f>IF(I156="","",IF(VLOOKUP(I156,'G-7 Rivers Data'!$AG$4:$AI$9,2,FALSE)=0,"Spatial Data Missing",VLOOKUP(I156,'G-7 Rivers Data'!$AG$4:$AI$9,2,FALSE)))</f>
        <v/>
      </c>
      <c r="K156" s="176" t="str">
        <f>IF(I156="","",IF(VLOOKUP(I156,'G-7 Rivers Data'!$AG$4:$AI$9,3,FALSE)=0,"Spatial Data Missing",VLOOKUP(I156,'G-7 Rivers Data'!$AG$4:$AI$9,3,FALSE)))</f>
        <v/>
      </c>
      <c r="L156" s="171" t="str">
        <f>IFERROR(INDEX('G-7 Rivers Data'!$O$3:$O$7,MATCH(G156,'G-7 Rivers Data'!$N$3:$N$7,0)),"")</f>
        <v/>
      </c>
      <c r="M156" s="94"/>
      <c r="N156" s="261"/>
      <c r="O156" s="175" t="str">
        <f t="shared" si="13"/>
        <v/>
      </c>
      <c r="P156" s="242" t="str">
        <f t="shared" si="14"/>
        <v/>
      </c>
      <c r="Q156" s="383" t="str">
        <f>IFERROR(IF(P156="Check Data","Check Data",VLOOKUP(P156,'G-4 Temporal multipliers'!$A$4:$C$37,3,FALSE)),"")</f>
        <v/>
      </c>
      <c r="R156" s="171" t="str">
        <f>IF(C156="","",VLOOKUP(C156,'G-7 Rivers Data'!$B$4:$G$8,4,FALSE))</f>
        <v/>
      </c>
      <c r="S156" s="179" t="str">
        <f t="shared" si="15"/>
        <v/>
      </c>
      <c r="T156" s="269" t="str">
        <f t="shared" si="16"/>
        <v/>
      </c>
      <c r="U156" s="172" t="str">
        <f t="shared" si="17"/>
        <v/>
      </c>
      <c r="V156" s="79"/>
      <c r="W156" s="172" t="str">
        <f>IF(V156="","",IF(VLOOKUP(V156,'G-7 Rivers Data'!$AA$4:$AB$7,2,FALSE)=0,"Spatial Data Missing",VLOOKUP(V156,'G-7 Rivers Data'!$AA$4:$AB$7,2,FALSE)))</f>
        <v/>
      </c>
      <c r="X156" s="187"/>
      <c r="Y156" s="172" t="str">
        <f>IF(X156="","",IF(VLOOKUP(X156,'G-7 Rivers Data'!$AD$4:$AE$8,2,FALSE)=0,"Enrcoachment Data Missing",VLOOKUP(X156,'G-7 Rivers Data'!$AD$4:$AE$8,2,FALSE)))</f>
        <v/>
      </c>
      <c r="Z156" s="265" t="str">
        <f t="shared" si="18"/>
        <v/>
      </c>
      <c r="AA156" s="180"/>
      <c r="AB156" s="181"/>
      <c r="AH156" s="35" t="str">
        <f>IFERROR(INDEX('G-7 Rivers Data'!$AZ$3:$AZ$7,MATCH(C156,'G-7 Rivers Data'!$AY$3:$AY$7,0)),"")</f>
        <v/>
      </c>
    </row>
    <row r="157" spans="2:34" ht="13.8" x14ac:dyDescent="0.25">
      <c r="B157" s="168">
        <v>146</v>
      </c>
      <c r="C157" s="212"/>
      <c r="D157" s="213"/>
      <c r="E157" s="171" t="str">
        <f>IF(C157="","",VLOOKUP(C157,'G-7 Rivers Data'!$B$2:$G$8,2,FALSE))</f>
        <v/>
      </c>
      <c r="F157" s="172" t="str">
        <f>IFERROR(VLOOKUP(E157,'G-7 Rivers Data'!$C$4:$D$8,2,FALSE),"")</f>
        <v/>
      </c>
      <c r="G157" s="173"/>
      <c r="H157" s="172" t="str">
        <f>IFERROR(INDEX('G-7 Rivers Data'!$H$4:$L$8,MATCH(C157,'G-7 Rivers Data'!$B$4:$B$8,0),MATCH(G157,'G-7 Rivers Data'!$H$3:$L$3,0)),"")</f>
        <v/>
      </c>
      <c r="I157" s="186"/>
      <c r="J157" s="175" t="str">
        <f>IF(I157="","",IF(VLOOKUP(I157,'G-7 Rivers Data'!$AG$4:$AI$9,2,FALSE)=0,"Spatial Data Missing",VLOOKUP(I157,'G-7 Rivers Data'!$AG$4:$AI$9,2,FALSE)))</f>
        <v/>
      </c>
      <c r="K157" s="176" t="str">
        <f>IF(I157="","",IF(VLOOKUP(I157,'G-7 Rivers Data'!$AG$4:$AI$9,3,FALSE)=0,"Spatial Data Missing",VLOOKUP(I157,'G-7 Rivers Data'!$AG$4:$AI$9,3,FALSE)))</f>
        <v/>
      </c>
      <c r="L157" s="171" t="str">
        <f>IFERROR(INDEX('G-7 Rivers Data'!$O$3:$O$7,MATCH(G157,'G-7 Rivers Data'!$N$3:$N$7,0)),"")</f>
        <v/>
      </c>
      <c r="M157" s="94"/>
      <c r="N157" s="261"/>
      <c r="O157" s="175" t="str">
        <f t="shared" si="13"/>
        <v/>
      </c>
      <c r="P157" s="242" t="str">
        <f t="shared" si="14"/>
        <v/>
      </c>
      <c r="Q157" s="383" t="str">
        <f>IFERROR(IF(P157="Check Data","Check Data",VLOOKUP(P157,'G-4 Temporal multipliers'!$A$4:$C$37,3,FALSE)),"")</f>
        <v/>
      </c>
      <c r="R157" s="171" t="str">
        <f>IF(C157="","",VLOOKUP(C157,'G-7 Rivers Data'!$B$4:$G$8,4,FALSE))</f>
        <v/>
      </c>
      <c r="S157" s="179" t="str">
        <f t="shared" si="15"/>
        <v/>
      </c>
      <c r="T157" s="269" t="str">
        <f t="shared" si="16"/>
        <v/>
      </c>
      <c r="U157" s="172" t="str">
        <f t="shared" si="17"/>
        <v/>
      </c>
      <c r="V157" s="79"/>
      <c r="W157" s="172" t="str">
        <f>IF(V157="","",IF(VLOOKUP(V157,'G-7 Rivers Data'!$AA$4:$AB$7,2,FALSE)=0,"Spatial Data Missing",VLOOKUP(V157,'G-7 Rivers Data'!$AA$4:$AB$7,2,FALSE)))</f>
        <v/>
      </c>
      <c r="X157" s="187"/>
      <c r="Y157" s="172" t="str">
        <f>IF(X157="","",IF(VLOOKUP(X157,'G-7 Rivers Data'!$AD$4:$AE$8,2,FALSE)=0,"Enrcoachment Data Missing",VLOOKUP(X157,'G-7 Rivers Data'!$AD$4:$AE$8,2,FALSE)))</f>
        <v/>
      </c>
      <c r="Z157" s="265" t="str">
        <f t="shared" si="18"/>
        <v/>
      </c>
      <c r="AA157" s="180"/>
      <c r="AB157" s="181"/>
      <c r="AH157" s="35" t="str">
        <f>IFERROR(INDEX('G-7 Rivers Data'!$AZ$3:$AZ$7,MATCH(C157,'G-7 Rivers Data'!$AY$3:$AY$7,0)),"")</f>
        <v/>
      </c>
    </row>
    <row r="158" spans="2:34" ht="13.8" x14ac:dyDescent="0.25">
      <c r="B158" s="168">
        <v>147</v>
      </c>
      <c r="C158" s="212"/>
      <c r="D158" s="213"/>
      <c r="E158" s="171" t="str">
        <f>IF(C158="","",VLOOKUP(C158,'G-7 Rivers Data'!$B$2:$G$8,2,FALSE))</f>
        <v/>
      </c>
      <c r="F158" s="172" t="str">
        <f>IFERROR(VLOOKUP(E158,'G-7 Rivers Data'!$C$4:$D$8,2,FALSE),"")</f>
        <v/>
      </c>
      <c r="G158" s="173"/>
      <c r="H158" s="172" t="str">
        <f>IFERROR(INDEX('G-7 Rivers Data'!$H$4:$L$8,MATCH(C158,'G-7 Rivers Data'!$B$4:$B$8,0),MATCH(G158,'G-7 Rivers Data'!$H$3:$L$3,0)),"")</f>
        <v/>
      </c>
      <c r="I158" s="186"/>
      <c r="J158" s="175" t="str">
        <f>IF(I158="","",IF(VLOOKUP(I158,'G-7 Rivers Data'!$AG$4:$AI$9,2,FALSE)=0,"Spatial Data Missing",VLOOKUP(I158,'G-7 Rivers Data'!$AG$4:$AI$9,2,FALSE)))</f>
        <v/>
      </c>
      <c r="K158" s="176" t="str">
        <f>IF(I158="","",IF(VLOOKUP(I158,'G-7 Rivers Data'!$AG$4:$AI$9,3,FALSE)=0,"Spatial Data Missing",VLOOKUP(I158,'G-7 Rivers Data'!$AG$4:$AI$9,3,FALSE)))</f>
        <v/>
      </c>
      <c r="L158" s="171" t="str">
        <f>IFERROR(INDEX('G-7 Rivers Data'!$O$3:$O$7,MATCH(G158,'G-7 Rivers Data'!$N$3:$N$7,0)),"")</f>
        <v/>
      </c>
      <c r="M158" s="94"/>
      <c r="N158" s="261"/>
      <c r="O158" s="175" t="str">
        <f t="shared" si="13"/>
        <v/>
      </c>
      <c r="P158" s="242" t="str">
        <f t="shared" si="14"/>
        <v/>
      </c>
      <c r="Q158" s="383" t="str">
        <f>IFERROR(IF(P158="Check Data","Check Data",VLOOKUP(P158,'G-4 Temporal multipliers'!$A$4:$C$37,3,FALSE)),"")</f>
        <v/>
      </c>
      <c r="R158" s="171" t="str">
        <f>IF(C158="","",VLOOKUP(C158,'G-7 Rivers Data'!$B$4:$G$8,4,FALSE))</f>
        <v/>
      </c>
      <c r="S158" s="179" t="str">
        <f t="shared" si="15"/>
        <v/>
      </c>
      <c r="T158" s="269" t="str">
        <f t="shared" si="16"/>
        <v/>
      </c>
      <c r="U158" s="172" t="str">
        <f t="shared" si="17"/>
        <v/>
      </c>
      <c r="V158" s="79"/>
      <c r="W158" s="172" t="str">
        <f>IF(V158="","",IF(VLOOKUP(V158,'G-7 Rivers Data'!$AA$4:$AB$7,2,FALSE)=0,"Spatial Data Missing",VLOOKUP(V158,'G-7 Rivers Data'!$AA$4:$AB$7,2,FALSE)))</f>
        <v/>
      </c>
      <c r="X158" s="187"/>
      <c r="Y158" s="172" t="str">
        <f>IF(X158="","",IF(VLOOKUP(X158,'G-7 Rivers Data'!$AD$4:$AE$8,2,FALSE)=0,"Enrcoachment Data Missing",VLOOKUP(X158,'G-7 Rivers Data'!$AD$4:$AE$8,2,FALSE)))</f>
        <v/>
      </c>
      <c r="Z158" s="265" t="str">
        <f t="shared" si="18"/>
        <v/>
      </c>
      <c r="AA158" s="180"/>
      <c r="AB158" s="181"/>
      <c r="AH158" s="35" t="str">
        <f>IFERROR(INDEX('G-7 Rivers Data'!$AZ$3:$AZ$7,MATCH(C158,'G-7 Rivers Data'!$AY$3:$AY$7,0)),"")</f>
        <v/>
      </c>
    </row>
    <row r="159" spans="2:34" ht="13.8" x14ac:dyDescent="0.25">
      <c r="B159" s="168">
        <v>148</v>
      </c>
      <c r="C159" s="212"/>
      <c r="D159" s="213"/>
      <c r="E159" s="171" t="str">
        <f>IF(C159="","",VLOOKUP(C159,'G-7 Rivers Data'!$B$2:$G$8,2,FALSE))</f>
        <v/>
      </c>
      <c r="F159" s="172" t="str">
        <f>IFERROR(VLOOKUP(E159,'G-7 Rivers Data'!$C$4:$D$8,2,FALSE),"")</f>
        <v/>
      </c>
      <c r="G159" s="173"/>
      <c r="H159" s="172" t="str">
        <f>IFERROR(INDEX('G-7 Rivers Data'!$H$4:$L$8,MATCH(C159,'G-7 Rivers Data'!$B$4:$B$8,0),MATCH(G159,'G-7 Rivers Data'!$H$3:$L$3,0)),"")</f>
        <v/>
      </c>
      <c r="I159" s="186"/>
      <c r="J159" s="175" t="str">
        <f>IF(I159="","",IF(VLOOKUP(I159,'G-7 Rivers Data'!$AG$4:$AI$9,2,FALSE)=0,"Spatial Data Missing",VLOOKUP(I159,'G-7 Rivers Data'!$AG$4:$AI$9,2,FALSE)))</f>
        <v/>
      </c>
      <c r="K159" s="176" t="str">
        <f>IF(I159="","",IF(VLOOKUP(I159,'G-7 Rivers Data'!$AG$4:$AI$9,3,FALSE)=0,"Spatial Data Missing",VLOOKUP(I159,'G-7 Rivers Data'!$AG$4:$AI$9,3,FALSE)))</f>
        <v/>
      </c>
      <c r="L159" s="171" t="str">
        <f>IFERROR(INDEX('G-7 Rivers Data'!$O$3:$O$7,MATCH(G159,'G-7 Rivers Data'!$N$3:$N$7,0)),"")</f>
        <v/>
      </c>
      <c r="M159" s="94"/>
      <c r="N159" s="261"/>
      <c r="O159" s="175" t="str">
        <f t="shared" si="13"/>
        <v/>
      </c>
      <c r="P159" s="242" t="str">
        <f t="shared" si="14"/>
        <v/>
      </c>
      <c r="Q159" s="383" t="str">
        <f>IFERROR(IF(P159="Check Data","Check Data",VLOOKUP(P159,'G-4 Temporal multipliers'!$A$4:$C$37,3,FALSE)),"")</f>
        <v/>
      </c>
      <c r="R159" s="171" t="str">
        <f>IF(C159="","",VLOOKUP(C159,'G-7 Rivers Data'!$B$4:$G$8,4,FALSE))</f>
        <v/>
      </c>
      <c r="S159" s="179" t="str">
        <f t="shared" si="15"/>
        <v/>
      </c>
      <c r="T159" s="269" t="str">
        <f t="shared" si="16"/>
        <v/>
      </c>
      <c r="U159" s="172" t="str">
        <f t="shared" si="17"/>
        <v/>
      </c>
      <c r="V159" s="79"/>
      <c r="W159" s="172" t="str">
        <f>IF(V159="","",IF(VLOOKUP(V159,'G-7 Rivers Data'!$AA$4:$AB$7,2,FALSE)=0,"Spatial Data Missing",VLOOKUP(V159,'G-7 Rivers Data'!$AA$4:$AB$7,2,FALSE)))</f>
        <v/>
      </c>
      <c r="X159" s="187"/>
      <c r="Y159" s="172" t="str">
        <f>IF(X159="","",IF(VLOOKUP(X159,'G-7 Rivers Data'!$AD$4:$AE$8,2,FALSE)=0,"Enrcoachment Data Missing",VLOOKUP(X159,'G-7 Rivers Data'!$AD$4:$AE$8,2,FALSE)))</f>
        <v/>
      </c>
      <c r="Z159" s="265" t="str">
        <f t="shared" si="18"/>
        <v/>
      </c>
      <c r="AA159" s="180"/>
      <c r="AB159" s="181"/>
      <c r="AH159" s="35" t="str">
        <f>IFERROR(INDEX('G-7 Rivers Data'!$AZ$3:$AZ$7,MATCH(C159,'G-7 Rivers Data'!$AY$3:$AY$7,0)),"")</f>
        <v/>
      </c>
    </row>
    <row r="160" spans="2:34" ht="13.8" x14ac:dyDescent="0.25">
      <c r="B160" s="168">
        <v>149</v>
      </c>
      <c r="C160" s="212"/>
      <c r="D160" s="213"/>
      <c r="E160" s="171" t="str">
        <f>IF(C160="","",VLOOKUP(C160,'G-7 Rivers Data'!$B$2:$G$8,2,FALSE))</f>
        <v/>
      </c>
      <c r="F160" s="172" t="str">
        <f>IFERROR(VLOOKUP(E160,'G-7 Rivers Data'!$C$4:$D$8,2,FALSE),"")</f>
        <v/>
      </c>
      <c r="G160" s="173"/>
      <c r="H160" s="172" t="str">
        <f>IFERROR(INDEX('G-7 Rivers Data'!$H$4:$L$8,MATCH(C160,'G-7 Rivers Data'!$B$4:$B$8,0),MATCH(G160,'G-7 Rivers Data'!$H$3:$L$3,0)),"")</f>
        <v/>
      </c>
      <c r="I160" s="186"/>
      <c r="J160" s="175" t="str">
        <f>IF(I160="","",IF(VLOOKUP(I160,'G-7 Rivers Data'!$AG$4:$AI$9,2,FALSE)=0,"Spatial Data Missing",VLOOKUP(I160,'G-7 Rivers Data'!$AG$4:$AI$9,2,FALSE)))</f>
        <v/>
      </c>
      <c r="K160" s="176" t="str">
        <f>IF(I160="","",IF(VLOOKUP(I160,'G-7 Rivers Data'!$AG$4:$AI$9,3,FALSE)=0,"Spatial Data Missing",VLOOKUP(I160,'G-7 Rivers Data'!$AG$4:$AI$9,3,FALSE)))</f>
        <v/>
      </c>
      <c r="L160" s="171" t="str">
        <f>IFERROR(INDEX('G-7 Rivers Data'!$O$3:$O$7,MATCH(G160,'G-7 Rivers Data'!$N$3:$N$7,0)),"")</f>
        <v/>
      </c>
      <c r="M160" s="94"/>
      <c r="N160" s="261"/>
      <c r="O160" s="175" t="str">
        <f t="shared" si="13"/>
        <v/>
      </c>
      <c r="P160" s="242" t="str">
        <f t="shared" si="14"/>
        <v/>
      </c>
      <c r="Q160" s="383" t="str">
        <f>IFERROR(IF(P160="Check Data","Check Data",VLOOKUP(P160,'G-4 Temporal multipliers'!$A$4:$C$37,3,FALSE)),"")</f>
        <v/>
      </c>
      <c r="R160" s="171" t="str">
        <f>IF(C160="","",VLOOKUP(C160,'G-7 Rivers Data'!$B$4:$G$8,4,FALSE))</f>
        <v/>
      </c>
      <c r="S160" s="179" t="str">
        <f t="shared" si="15"/>
        <v/>
      </c>
      <c r="T160" s="269" t="str">
        <f t="shared" si="16"/>
        <v/>
      </c>
      <c r="U160" s="172" t="str">
        <f t="shared" si="17"/>
        <v/>
      </c>
      <c r="V160" s="79"/>
      <c r="W160" s="172" t="str">
        <f>IF(V160="","",IF(VLOOKUP(V160,'G-7 Rivers Data'!$AA$4:$AB$7,2,FALSE)=0,"Spatial Data Missing",VLOOKUP(V160,'G-7 Rivers Data'!$AA$4:$AB$7,2,FALSE)))</f>
        <v/>
      </c>
      <c r="X160" s="187"/>
      <c r="Y160" s="172" t="str">
        <f>IF(X160="","",IF(VLOOKUP(X160,'G-7 Rivers Data'!$AD$4:$AE$8,2,FALSE)=0,"Enrcoachment Data Missing",VLOOKUP(X160,'G-7 Rivers Data'!$AD$4:$AE$8,2,FALSE)))</f>
        <v/>
      </c>
      <c r="Z160" s="265" t="str">
        <f t="shared" si="18"/>
        <v/>
      </c>
      <c r="AA160" s="180"/>
      <c r="AB160" s="181"/>
      <c r="AH160" s="35" t="str">
        <f>IFERROR(INDEX('G-7 Rivers Data'!$AZ$3:$AZ$7,MATCH(C160,'G-7 Rivers Data'!$AY$3:$AY$7,0)),"")</f>
        <v/>
      </c>
    </row>
    <row r="161" spans="2:34" ht="13.8" x14ac:dyDescent="0.25">
      <c r="B161" s="168">
        <v>150</v>
      </c>
      <c r="C161" s="212"/>
      <c r="D161" s="213"/>
      <c r="E161" s="171" t="str">
        <f>IF(C161="","",VLOOKUP(C161,'G-7 Rivers Data'!$B$2:$G$8,2,FALSE))</f>
        <v/>
      </c>
      <c r="F161" s="172" t="str">
        <f>IFERROR(VLOOKUP(E161,'G-7 Rivers Data'!$C$4:$D$8,2,FALSE),"")</f>
        <v/>
      </c>
      <c r="G161" s="173"/>
      <c r="H161" s="172" t="str">
        <f>IFERROR(INDEX('G-7 Rivers Data'!$H$4:$L$8,MATCH(C161,'G-7 Rivers Data'!$B$4:$B$8,0),MATCH(G161,'G-7 Rivers Data'!$H$3:$L$3,0)),"")</f>
        <v/>
      </c>
      <c r="I161" s="186"/>
      <c r="J161" s="175" t="str">
        <f>IF(I161="","",IF(VLOOKUP(I161,'G-7 Rivers Data'!$AG$4:$AI$9,2,FALSE)=0,"Spatial Data Missing",VLOOKUP(I161,'G-7 Rivers Data'!$AG$4:$AI$9,2,FALSE)))</f>
        <v/>
      </c>
      <c r="K161" s="176" t="str">
        <f>IF(I161="","",IF(VLOOKUP(I161,'G-7 Rivers Data'!$AG$4:$AI$9,3,FALSE)=0,"Spatial Data Missing",VLOOKUP(I161,'G-7 Rivers Data'!$AG$4:$AI$9,3,FALSE)))</f>
        <v/>
      </c>
      <c r="L161" s="171" t="str">
        <f>IFERROR(INDEX('G-7 Rivers Data'!$O$3:$O$7,MATCH(G161,'G-7 Rivers Data'!$N$3:$N$7,0)),"")</f>
        <v/>
      </c>
      <c r="M161" s="94"/>
      <c r="N161" s="261"/>
      <c r="O161" s="175" t="str">
        <f t="shared" si="13"/>
        <v/>
      </c>
      <c r="P161" s="242" t="str">
        <f t="shared" si="14"/>
        <v/>
      </c>
      <c r="Q161" s="383" t="str">
        <f>IFERROR(IF(P161="Check Data","Check Data",VLOOKUP(P161,'G-4 Temporal multipliers'!$A$4:$C$37,3,FALSE)),"")</f>
        <v/>
      </c>
      <c r="R161" s="171" t="str">
        <f>IF(C161="","",VLOOKUP(C161,'G-7 Rivers Data'!$B$4:$G$8,4,FALSE))</f>
        <v/>
      </c>
      <c r="S161" s="179" t="str">
        <f t="shared" si="15"/>
        <v/>
      </c>
      <c r="T161" s="269" t="str">
        <f t="shared" si="16"/>
        <v/>
      </c>
      <c r="U161" s="172" t="str">
        <f t="shared" si="17"/>
        <v/>
      </c>
      <c r="V161" s="79"/>
      <c r="W161" s="172" t="str">
        <f>IF(V161="","",IF(VLOOKUP(V161,'G-7 Rivers Data'!$AA$4:$AB$7,2,FALSE)=0,"Spatial Data Missing",VLOOKUP(V161,'G-7 Rivers Data'!$AA$4:$AB$7,2,FALSE)))</f>
        <v/>
      </c>
      <c r="X161" s="187"/>
      <c r="Y161" s="172" t="str">
        <f>IF(X161="","",IF(VLOOKUP(X161,'G-7 Rivers Data'!$AD$4:$AE$8,2,FALSE)=0,"Enrcoachment Data Missing",VLOOKUP(X161,'G-7 Rivers Data'!$AD$4:$AE$8,2,FALSE)))</f>
        <v/>
      </c>
      <c r="Z161" s="265" t="str">
        <f t="shared" si="18"/>
        <v/>
      </c>
      <c r="AA161" s="180"/>
      <c r="AB161" s="181"/>
      <c r="AH161" s="35" t="str">
        <f>IFERROR(INDEX('G-7 Rivers Data'!$AZ$3:$AZ$7,MATCH(C161,'G-7 Rivers Data'!$AY$3:$AY$7,0)),"")</f>
        <v/>
      </c>
    </row>
    <row r="162" spans="2:34" ht="13.8" x14ac:dyDescent="0.25">
      <c r="B162" s="168">
        <v>151</v>
      </c>
      <c r="C162" s="212"/>
      <c r="D162" s="213"/>
      <c r="E162" s="171" t="str">
        <f>IF(C162="","",VLOOKUP(C162,'G-7 Rivers Data'!$B$2:$G$8,2,FALSE))</f>
        <v/>
      </c>
      <c r="F162" s="172" t="str">
        <f>IFERROR(VLOOKUP(E162,'G-7 Rivers Data'!$C$4:$D$8,2,FALSE),"")</f>
        <v/>
      </c>
      <c r="G162" s="173"/>
      <c r="H162" s="172" t="str">
        <f>IFERROR(INDEX('G-7 Rivers Data'!$H$4:$L$8,MATCH(C162,'G-7 Rivers Data'!$B$4:$B$8,0),MATCH(G162,'G-7 Rivers Data'!$H$3:$L$3,0)),"")</f>
        <v/>
      </c>
      <c r="I162" s="186"/>
      <c r="J162" s="175" t="str">
        <f>IF(I162="","",IF(VLOOKUP(I162,'G-7 Rivers Data'!$AG$4:$AI$9,2,FALSE)=0,"Spatial Data Missing",VLOOKUP(I162,'G-7 Rivers Data'!$AG$4:$AI$9,2,FALSE)))</f>
        <v/>
      </c>
      <c r="K162" s="176" t="str">
        <f>IF(I162="","",IF(VLOOKUP(I162,'G-7 Rivers Data'!$AG$4:$AI$9,3,FALSE)=0,"Spatial Data Missing",VLOOKUP(I162,'G-7 Rivers Data'!$AG$4:$AI$9,3,FALSE)))</f>
        <v/>
      </c>
      <c r="L162" s="171" t="str">
        <f>IFERROR(INDEX('G-7 Rivers Data'!$O$3:$O$7,MATCH(G162,'G-7 Rivers Data'!$N$3:$N$7,0)),"")</f>
        <v/>
      </c>
      <c r="M162" s="94"/>
      <c r="N162" s="261"/>
      <c r="O162" s="175" t="str">
        <f t="shared" si="13"/>
        <v/>
      </c>
      <c r="P162" s="242" t="str">
        <f t="shared" si="14"/>
        <v/>
      </c>
      <c r="Q162" s="383" t="str">
        <f>IFERROR(IF(P162="Check Data","Check Data",VLOOKUP(P162,'G-4 Temporal multipliers'!$A$4:$C$37,3,FALSE)),"")</f>
        <v/>
      </c>
      <c r="R162" s="171" t="str">
        <f>IF(C162="","",VLOOKUP(C162,'G-7 Rivers Data'!$B$4:$G$8,4,FALSE))</f>
        <v/>
      </c>
      <c r="S162" s="179" t="str">
        <f t="shared" si="15"/>
        <v/>
      </c>
      <c r="T162" s="269" t="str">
        <f t="shared" si="16"/>
        <v/>
      </c>
      <c r="U162" s="172" t="str">
        <f t="shared" si="17"/>
        <v/>
      </c>
      <c r="V162" s="79"/>
      <c r="W162" s="172" t="str">
        <f>IF(V162="","",IF(VLOOKUP(V162,'G-7 Rivers Data'!$AA$4:$AB$7,2,FALSE)=0,"Spatial Data Missing",VLOOKUP(V162,'G-7 Rivers Data'!$AA$4:$AB$7,2,FALSE)))</f>
        <v/>
      </c>
      <c r="X162" s="187"/>
      <c r="Y162" s="172" t="str">
        <f>IF(X162="","",IF(VLOOKUP(X162,'G-7 Rivers Data'!$AD$4:$AE$8,2,FALSE)=0,"Enrcoachment Data Missing",VLOOKUP(X162,'G-7 Rivers Data'!$AD$4:$AE$8,2,FALSE)))</f>
        <v/>
      </c>
      <c r="Z162" s="265" t="str">
        <f t="shared" si="18"/>
        <v/>
      </c>
      <c r="AA162" s="180"/>
      <c r="AB162" s="181"/>
      <c r="AH162" s="35" t="str">
        <f>IFERROR(INDEX('G-7 Rivers Data'!$AZ$3:$AZ$7,MATCH(C162,'G-7 Rivers Data'!$AY$3:$AY$7,0)),"")</f>
        <v/>
      </c>
    </row>
    <row r="163" spans="2:34" ht="13.8" x14ac:dyDescent="0.25">
      <c r="B163" s="168">
        <v>152</v>
      </c>
      <c r="C163" s="212"/>
      <c r="D163" s="213"/>
      <c r="E163" s="171" t="str">
        <f>IF(C163="","",VLOOKUP(C163,'G-7 Rivers Data'!$B$2:$G$8,2,FALSE))</f>
        <v/>
      </c>
      <c r="F163" s="172" t="str">
        <f>IFERROR(VLOOKUP(E163,'G-7 Rivers Data'!$C$4:$D$8,2,FALSE),"")</f>
        <v/>
      </c>
      <c r="G163" s="173"/>
      <c r="H163" s="172" t="str">
        <f>IFERROR(INDEX('G-7 Rivers Data'!$H$4:$L$8,MATCH(C163,'G-7 Rivers Data'!$B$4:$B$8,0),MATCH(G163,'G-7 Rivers Data'!$H$3:$L$3,0)),"")</f>
        <v/>
      </c>
      <c r="I163" s="186"/>
      <c r="J163" s="175" t="str">
        <f>IF(I163="","",IF(VLOOKUP(I163,'G-7 Rivers Data'!$AG$4:$AI$9,2,FALSE)=0,"Spatial Data Missing",VLOOKUP(I163,'G-7 Rivers Data'!$AG$4:$AI$9,2,FALSE)))</f>
        <v/>
      </c>
      <c r="K163" s="176" t="str">
        <f>IF(I163="","",IF(VLOOKUP(I163,'G-7 Rivers Data'!$AG$4:$AI$9,3,FALSE)=0,"Spatial Data Missing",VLOOKUP(I163,'G-7 Rivers Data'!$AG$4:$AI$9,3,FALSE)))</f>
        <v/>
      </c>
      <c r="L163" s="171" t="str">
        <f>IFERROR(INDEX('G-7 Rivers Data'!$O$3:$O$7,MATCH(G163,'G-7 Rivers Data'!$N$3:$N$7,0)),"")</f>
        <v/>
      </c>
      <c r="M163" s="94"/>
      <c r="N163" s="261"/>
      <c r="O163" s="175" t="str">
        <f t="shared" si="13"/>
        <v/>
      </c>
      <c r="P163" s="242" t="str">
        <f t="shared" si="14"/>
        <v/>
      </c>
      <c r="Q163" s="383" t="str">
        <f>IFERROR(IF(P163="Check Data","Check Data",VLOOKUP(P163,'G-4 Temporal multipliers'!$A$4:$C$37,3,FALSE)),"")</f>
        <v/>
      </c>
      <c r="R163" s="171" t="str">
        <f>IF(C163="","",VLOOKUP(C163,'G-7 Rivers Data'!$B$4:$G$8,4,FALSE))</f>
        <v/>
      </c>
      <c r="S163" s="179" t="str">
        <f t="shared" si="15"/>
        <v/>
      </c>
      <c r="T163" s="269" t="str">
        <f t="shared" si="16"/>
        <v/>
      </c>
      <c r="U163" s="172" t="str">
        <f t="shared" si="17"/>
        <v/>
      </c>
      <c r="V163" s="79"/>
      <c r="W163" s="172" t="str">
        <f>IF(V163="","",IF(VLOOKUP(V163,'G-7 Rivers Data'!$AA$4:$AB$7,2,FALSE)=0,"Spatial Data Missing",VLOOKUP(V163,'G-7 Rivers Data'!$AA$4:$AB$7,2,FALSE)))</f>
        <v/>
      </c>
      <c r="X163" s="187"/>
      <c r="Y163" s="172" t="str">
        <f>IF(X163="","",IF(VLOOKUP(X163,'G-7 Rivers Data'!$AD$4:$AE$8,2,FALSE)=0,"Enrcoachment Data Missing",VLOOKUP(X163,'G-7 Rivers Data'!$AD$4:$AE$8,2,FALSE)))</f>
        <v/>
      </c>
      <c r="Z163" s="265" t="str">
        <f t="shared" si="18"/>
        <v/>
      </c>
      <c r="AA163" s="180"/>
      <c r="AB163" s="181"/>
      <c r="AH163" s="35" t="str">
        <f>IFERROR(INDEX('G-7 Rivers Data'!$AZ$3:$AZ$7,MATCH(C163,'G-7 Rivers Data'!$AY$3:$AY$7,0)),"")</f>
        <v/>
      </c>
    </row>
    <row r="164" spans="2:34" ht="13.8" x14ac:dyDescent="0.25">
      <c r="B164" s="168">
        <v>153</v>
      </c>
      <c r="C164" s="212"/>
      <c r="D164" s="213"/>
      <c r="E164" s="171" t="str">
        <f>IF(C164="","",VLOOKUP(C164,'G-7 Rivers Data'!$B$2:$G$8,2,FALSE))</f>
        <v/>
      </c>
      <c r="F164" s="172" t="str">
        <f>IFERROR(VLOOKUP(E164,'G-7 Rivers Data'!$C$4:$D$8,2,FALSE),"")</f>
        <v/>
      </c>
      <c r="G164" s="173"/>
      <c r="H164" s="172" t="str">
        <f>IFERROR(INDEX('G-7 Rivers Data'!$H$4:$L$8,MATCH(C164,'G-7 Rivers Data'!$B$4:$B$8,0),MATCH(G164,'G-7 Rivers Data'!$H$3:$L$3,0)),"")</f>
        <v/>
      </c>
      <c r="I164" s="186"/>
      <c r="J164" s="175" t="str">
        <f>IF(I164="","",IF(VLOOKUP(I164,'G-7 Rivers Data'!$AG$4:$AI$9,2,FALSE)=0,"Spatial Data Missing",VLOOKUP(I164,'G-7 Rivers Data'!$AG$4:$AI$9,2,FALSE)))</f>
        <v/>
      </c>
      <c r="K164" s="176" t="str">
        <f>IF(I164="","",IF(VLOOKUP(I164,'G-7 Rivers Data'!$AG$4:$AI$9,3,FALSE)=0,"Spatial Data Missing",VLOOKUP(I164,'G-7 Rivers Data'!$AG$4:$AI$9,3,FALSE)))</f>
        <v/>
      </c>
      <c r="L164" s="171" t="str">
        <f>IFERROR(INDEX('G-7 Rivers Data'!$O$3:$O$7,MATCH(G164,'G-7 Rivers Data'!$N$3:$N$7,0)),"")</f>
        <v/>
      </c>
      <c r="M164" s="94"/>
      <c r="N164" s="261"/>
      <c r="O164" s="175" t="str">
        <f t="shared" si="13"/>
        <v/>
      </c>
      <c r="P164" s="242" t="str">
        <f t="shared" si="14"/>
        <v/>
      </c>
      <c r="Q164" s="383" t="str">
        <f>IFERROR(IF(P164="Check Data","Check Data",VLOOKUP(P164,'G-4 Temporal multipliers'!$A$4:$C$37,3,FALSE)),"")</f>
        <v/>
      </c>
      <c r="R164" s="171" t="str">
        <f>IF(C164="","",VLOOKUP(C164,'G-7 Rivers Data'!$B$4:$G$8,4,FALSE))</f>
        <v/>
      </c>
      <c r="S164" s="179" t="str">
        <f t="shared" si="15"/>
        <v/>
      </c>
      <c r="T164" s="269" t="str">
        <f t="shared" si="16"/>
        <v/>
      </c>
      <c r="U164" s="172" t="str">
        <f t="shared" si="17"/>
        <v/>
      </c>
      <c r="V164" s="79"/>
      <c r="W164" s="172" t="str">
        <f>IF(V164="","",IF(VLOOKUP(V164,'G-7 Rivers Data'!$AA$4:$AB$7,2,FALSE)=0,"Spatial Data Missing",VLOOKUP(V164,'G-7 Rivers Data'!$AA$4:$AB$7,2,FALSE)))</f>
        <v/>
      </c>
      <c r="X164" s="187"/>
      <c r="Y164" s="172" t="str">
        <f>IF(X164="","",IF(VLOOKUP(X164,'G-7 Rivers Data'!$AD$4:$AE$8,2,FALSE)=0,"Enrcoachment Data Missing",VLOOKUP(X164,'G-7 Rivers Data'!$AD$4:$AE$8,2,FALSE)))</f>
        <v/>
      </c>
      <c r="Z164" s="265" t="str">
        <f t="shared" si="18"/>
        <v/>
      </c>
      <c r="AA164" s="180"/>
      <c r="AB164" s="181"/>
      <c r="AH164" s="35" t="str">
        <f>IFERROR(INDEX('G-7 Rivers Data'!$AZ$3:$AZ$7,MATCH(C164,'G-7 Rivers Data'!$AY$3:$AY$7,0)),"")</f>
        <v/>
      </c>
    </row>
    <row r="165" spans="2:34" ht="13.8" x14ac:dyDescent="0.25">
      <c r="B165" s="168">
        <v>154</v>
      </c>
      <c r="C165" s="212"/>
      <c r="D165" s="213"/>
      <c r="E165" s="171" t="str">
        <f>IF(C165="","",VLOOKUP(C165,'G-7 Rivers Data'!$B$2:$G$8,2,FALSE))</f>
        <v/>
      </c>
      <c r="F165" s="172" t="str">
        <f>IFERROR(VLOOKUP(E165,'G-7 Rivers Data'!$C$4:$D$8,2,FALSE),"")</f>
        <v/>
      </c>
      <c r="G165" s="173"/>
      <c r="H165" s="172" t="str">
        <f>IFERROR(INDEX('G-7 Rivers Data'!$H$4:$L$8,MATCH(C165,'G-7 Rivers Data'!$B$4:$B$8,0),MATCH(G165,'G-7 Rivers Data'!$H$3:$L$3,0)),"")</f>
        <v/>
      </c>
      <c r="I165" s="186"/>
      <c r="J165" s="175" t="str">
        <f>IF(I165="","",IF(VLOOKUP(I165,'G-7 Rivers Data'!$AG$4:$AI$9,2,FALSE)=0,"Spatial Data Missing",VLOOKUP(I165,'G-7 Rivers Data'!$AG$4:$AI$9,2,FALSE)))</f>
        <v/>
      </c>
      <c r="K165" s="176" t="str">
        <f>IF(I165="","",IF(VLOOKUP(I165,'G-7 Rivers Data'!$AG$4:$AI$9,3,FALSE)=0,"Spatial Data Missing",VLOOKUP(I165,'G-7 Rivers Data'!$AG$4:$AI$9,3,FALSE)))</f>
        <v/>
      </c>
      <c r="L165" s="171" t="str">
        <f>IFERROR(INDEX('G-7 Rivers Data'!$O$3:$O$7,MATCH(G165,'G-7 Rivers Data'!$N$3:$N$7,0)),"")</f>
        <v/>
      </c>
      <c r="M165" s="94"/>
      <c r="N165" s="261"/>
      <c r="O165" s="175" t="str">
        <f t="shared" si="13"/>
        <v/>
      </c>
      <c r="P165" s="242" t="str">
        <f t="shared" si="14"/>
        <v/>
      </c>
      <c r="Q165" s="383" t="str">
        <f>IFERROR(IF(P165="Check Data","Check Data",VLOOKUP(P165,'G-4 Temporal multipliers'!$A$4:$C$37,3,FALSE)),"")</f>
        <v/>
      </c>
      <c r="R165" s="171" t="str">
        <f>IF(C165="","",VLOOKUP(C165,'G-7 Rivers Data'!$B$4:$G$8,4,FALSE))</f>
        <v/>
      </c>
      <c r="S165" s="179" t="str">
        <f t="shared" si="15"/>
        <v/>
      </c>
      <c r="T165" s="269" t="str">
        <f t="shared" si="16"/>
        <v/>
      </c>
      <c r="U165" s="172" t="str">
        <f t="shared" si="17"/>
        <v/>
      </c>
      <c r="V165" s="79"/>
      <c r="W165" s="172" t="str">
        <f>IF(V165="","",IF(VLOOKUP(V165,'G-7 Rivers Data'!$AA$4:$AB$7,2,FALSE)=0,"Spatial Data Missing",VLOOKUP(V165,'G-7 Rivers Data'!$AA$4:$AB$7,2,FALSE)))</f>
        <v/>
      </c>
      <c r="X165" s="187"/>
      <c r="Y165" s="172" t="str">
        <f>IF(X165="","",IF(VLOOKUP(X165,'G-7 Rivers Data'!$AD$4:$AE$8,2,FALSE)=0,"Enrcoachment Data Missing",VLOOKUP(X165,'G-7 Rivers Data'!$AD$4:$AE$8,2,FALSE)))</f>
        <v/>
      </c>
      <c r="Z165" s="265" t="str">
        <f t="shared" si="18"/>
        <v/>
      </c>
      <c r="AA165" s="180"/>
      <c r="AB165" s="181"/>
      <c r="AH165" s="35" t="str">
        <f>IFERROR(INDEX('G-7 Rivers Data'!$AZ$3:$AZ$7,MATCH(C165,'G-7 Rivers Data'!$AY$3:$AY$7,0)),"")</f>
        <v/>
      </c>
    </row>
    <row r="166" spans="2:34" ht="13.8" x14ac:dyDescent="0.25">
      <c r="B166" s="168">
        <v>155</v>
      </c>
      <c r="C166" s="212"/>
      <c r="D166" s="213"/>
      <c r="E166" s="171" t="str">
        <f>IF(C166="","",VLOOKUP(C166,'G-7 Rivers Data'!$B$2:$G$8,2,FALSE))</f>
        <v/>
      </c>
      <c r="F166" s="172" t="str">
        <f>IFERROR(VLOOKUP(E166,'G-7 Rivers Data'!$C$4:$D$8,2,FALSE),"")</f>
        <v/>
      </c>
      <c r="G166" s="173"/>
      <c r="H166" s="172" t="str">
        <f>IFERROR(INDEX('G-7 Rivers Data'!$H$4:$L$8,MATCH(C166,'G-7 Rivers Data'!$B$4:$B$8,0),MATCH(G166,'G-7 Rivers Data'!$H$3:$L$3,0)),"")</f>
        <v/>
      </c>
      <c r="I166" s="186"/>
      <c r="J166" s="175" t="str">
        <f>IF(I166="","",IF(VLOOKUP(I166,'G-7 Rivers Data'!$AG$4:$AI$9,2,FALSE)=0,"Spatial Data Missing",VLOOKUP(I166,'G-7 Rivers Data'!$AG$4:$AI$9,2,FALSE)))</f>
        <v/>
      </c>
      <c r="K166" s="176" t="str">
        <f>IF(I166="","",IF(VLOOKUP(I166,'G-7 Rivers Data'!$AG$4:$AI$9,3,FALSE)=0,"Spatial Data Missing",VLOOKUP(I166,'G-7 Rivers Data'!$AG$4:$AI$9,3,FALSE)))</f>
        <v/>
      </c>
      <c r="L166" s="171" t="str">
        <f>IFERROR(INDEX('G-7 Rivers Data'!$O$3:$O$7,MATCH(G166,'G-7 Rivers Data'!$N$3:$N$7,0)),"")</f>
        <v/>
      </c>
      <c r="M166" s="94"/>
      <c r="N166" s="261"/>
      <c r="O166" s="175" t="str">
        <f t="shared" si="13"/>
        <v/>
      </c>
      <c r="P166" s="242" t="str">
        <f t="shared" si="14"/>
        <v/>
      </c>
      <c r="Q166" s="383" t="str">
        <f>IFERROR(IF(P166="Check Data","Check Data",VLOOKUP(P166,'G-4 Temporal multipliers'!$A$4:$C$37,3,FALSE)),"")</f>
        <v/>
      </c>
      <c r="R166" s="171" t="str">
        <f>IF(C166="","",VLOOKUP(C166,'G-7 Rivers Data'!$B$4:$G$8,4,FALSE))</f>
        <v/>
      </c>
      <c r="S166" s="179" t="str">
        <f t="shared" si="15"/>
        <v/>
      </c>
      <c r="T166" s="269" t="str">
        <f t="shared" si="16"/>
        <v/>
      </c>
      <c r="U166" s="172" t="str">
        <f t="shared" si="17"/>
        <v/>
      </c>
      <c r="V166" s="79"/>
      <c r="W166" s="172" t="str">
        <f>IF(V166="","",IF(VLOOKUP(V166,'G-7 Rivers Data'!$AA$4:$AB$7,2,FALSE)=0,"Spatial Data Missing",VLOOKUP(V166,'G-7 Rivers Data'!$AA$4:$AB$7,2,FALSE)))</f>
        <v/>
      </c>
      <c r="X166" s="187"/>
      <c r="Y166" s="172" t="str">
        <f>IF(X166="","",IF(VLOOKUP(X166,'G-7 Rivers Data'!$AD$4:$AE$8,2,FALSE)=0,"Enrcoachment Data Missing",VLOOKUP(X166,'G-7 Rivers Data'!$AD$4:$AE$8,2,FALSE)))</f>
        <v/>
      </c>
      <c r="Z166" s="265" t="str">
        <f t="shared" si="18"/>
        <v/>
      </c>
      <c r="AA166" s="180"/>
      <c r="AB166" s="181"/>
      <c r="AH166" s="35" t="str">
        <f>IFERROR(INDEX('G-7 Rivers Data'!$AZ$3:$AZ$7,MATCH(C166,'G-7 Rivers Data'!$AY$3:$AY$7,0)),"")</f>
        <v/>
      </c>
    </row>
    <row r="167" spans="2:34" ht="13.8" x14ac:dyDescent="0.25">
      <c r="B167" s="168">
        <v>156</v>
      </c>
      <c r="C167" s="212"/>
      <c r="D167" s="213"/>
      <c r="E167" s="171" t="str">
        <f>IF(C167="","",VLOOKUP(C167,'G-7 Rivers Data'!$B$2:$G$8,2,FALSE))</f>
        <v/>
      </c>
      <c r="F167" s="172" t="str">
        <f>IFERROR(VLOOKUP(E167,'G-7 Rivers Data'!$C$4:$D$8,2,FALSE),"")</f>
        <v/>
      </c>
      <c r="G167" s="173"/>
      <c r="H167" s="172" t="str">
        <f>IFERROR(INDEX('G-7 Rivers Data'!$H$4:$L$8,MATCH(C167,'G-7 Rivers Data'!$B$4:$B$8,0),MATCH(G167,'G-7 Rivers Data'!$H$3:$L$3,0)),"")</f>
        <v/>
      </c>
      <c r="I167" s="186"/>
      <c r="J167" s="175" t="str">
        <f>IF(I167="","",IF(VLOOKUP(I167,'G-7 Rivers Data'!$AG$4:$AI$9,2,FALSE)=0,"Spatial Data Missing",VLOOKUP(I167,'G-7 Rivers Data'!$AG$4:$AI$9,2,FALSE)))</f>
        <v/>
      </c>
      <c r="K167" s="176" t="str">
        <f>IF(I167="","",IF(VLOOKUP(I167,'G-7 Rivers Data'!$AG$4:$AI$9,3,FALSE)=0,"Spatial Data Missing",VLOOKUP(I167,'G-7 Rivers Data'!$AG$4:$AI$9,3,FALSE)))</f>
        <v/>
      </c>
      <c r="L167" s="171" t="str">
        <f>IFERROR(INDEX('G-7 Rivers Data'!$O$3:$O$7,MATCH(G167,'G-7 Rivers Data'!$N$3:$N$7,0)),"")</f>
        <v/>
      </c>
      <c r="M167" s="94"/>
      <c r="N167" s="261"/>
      <c r="O167" s="175" t="str">
        <f t="shared" si="13"/>
        <v/>
      </c>
      <c r="P167" s="242" t="str">
        <f t="shared" si="14"/>
        <v/>
      </c>
      <c r="Q167" s="383" t="str">
        <f>IFERROR(IF(P167="Check Data","Check Data",VLOOKUP(P167,'G-4 Temporal multipliers'!$A$4:$C$37,3,FALSE)),"")</f>
        <v/>
      </c>
      <c r="R167" s="171" t="str">
        <f>IF(C167="","",VLOOKUP(C167,'G-7 Rivers Data'!$B$4:$G$8,4,FALSE))</f>
        <v/>
      </c>
      <c r="S167" s="179" t="str">
        <f t="shared" si="15"/>
        <v/>
      </c>
      <c r="T167" s="269" t="str">
        <f t="shared" si="16"/>
        <v/>
      </c>
      <c r="U167" s="172" t="str">
        <f t="shared" si="17"/>
        <v/>
      </c>
      <c r="V167" s="79"/>
      <c r="W167" s="172" t="str">
        <f>IF(V167="","",IF(VLOOKUP(V167,'G-7 Rivers Data'!$AA$4:$AB$7,2,FALSE)=0,"Spatial Data Missing",VLOOKUP(V167,'G-7 Rivers Data'!$AA$4:$AB$7,2,FALSE)))</f>
        <v/>
      </c>
      <c r="X167" s="187"/>
      <c r="Y167" s="172" t="str">
        <f>IF(X167="","",IF(VLOOKUP(X167,'G-7 Rivers Data'!$AD$4:$AE$8,2,FALSE)=0,"Enrcoachment Data Missing",VLOOKUP(X167,'G-7 Rivers Data'!$AD$4:$AE$8,2,FALSE)))</f>
        <v/>
      </c>
      <c r="Z167" s="265" t="str">
        <f t="shared" si="18"/>
        <v/>
      </c>
      <c r="AA167" s="180"/>
      <c r="AB167" s="181"/>
      <c r="AH167" s="35" t="str">
        <f>IFERROR(INDEX('G-7 Rivers Data'!$AZ$3:$AZ$7,MATCH(C167,'G-7 Rivers Data'!$AY$3:$AY$7,0)),"")</f>
        <v/>
      </c>
    </row>
    <row r="168" spans="2:34" ht="13.8" x14ac:dyDescent="0.25">
      <c r="B168" s="168">
        <v>157</v>
      </c>
      <c r="C168" s="212"/>
      <c r="D168" s="213"/>
      <c r="E168" s="171" t="str">
        <f>IF(C168="","",VLOOKUP(C168,'G-7 Rivers Data'!$B$2:$G$8,2,FALSE))</f>
        <v/>
      </c>
      <c r="F168" s="172" t="str">
        <f>IFERROR(VLOOKUP(E168,'G-7 Rivers Data'!$C$4:$D$8,2,FALSE),"")</f>
        <v/>
      </c>
      <c r="G168" s="173"/>
      <c r="H168" s="172" t="str">
        <f>IFERROR(INDEX('G-7 Rivers Data'!$H$4:$L$8,MATCH(C168,'G-7 Rivers Data'!$B$4:$B$8,0),MATCH(G168,'G-7 Rivers Data'!$H$3:$L$3,0)),"")</f>
        <v/>
      </c>
      <c r="I168" s="186"/>
      <c r="J168" s="175" t="str">
        <f>IF(I168="","",IF(VLOOKUP(I168,'G-7 Rivers Data'!$AG$4:$AI$9,2,FALSE)=0,"Spatial Data Missing",VLOOKUP(I168,'G-7 Rivers Data'!$AG$4:$AI$9,2,FALSE)))</f>
        <v/>
      </c>
      <c r="K168" s="176" t="str">
        <f>IF(I168="","",IF(VLOOKUP(I168,'G-7 Rivers Data'!$AG$4:$AI$9,3,FALSE)=0,"Spatial Data Missing",VLOOKUP(I168,'G-7 Rivers Data'!$AG$4:$AI$9,3,FALSE)))</f>
        <v/>
      </c>
      <c r="L168" s="171" t="str">
        <f>IFERROR(INDEX('G-7 Rivers Data'!$O$3:$O$7,MATCH(G168,'G-7 Rivers Data'!$N$3:$N$7,0)),"")</f>
        <v/>
      </c>
      <c r="M168" s="94"/>
      <c r="N168" s="261"/>
      <c r="O168" s="175" t="str">
        <f t="shared" si="13"/>
        <v/>
      </c>
      <c r="P168" s="242" t="str">
        <f t="shared" si="14"/>
        <v/>
      </c>
      <c r="Q168" s="383" t="str">
        <f>IFERROR(IF(P168="Check Data","Check Data",VLOOKUP(P168,'G-4 Temporal multipliers'!$A$4:$C$37,3,FALSE)),"")</f>
        <v/>
      </c>
      <c r="R168" s="171" t="str">
        <f>IF(C168="","",VLOOKUP(C168,'G-7 Rivers Data'!$B$4:$G$8,4,FALSE))</f>
        <v/>
      </c>
      <c r="S168" s="179" t="str">
        <f t="shared" si="15"/>
        <v/>
      </c>
      <c r="T168" s="269" t="str">
        <f t="shared" si="16"/>
        <v/>
      </c>
      <c r="U168" s="172" t="str">
        <f t="shared" si="17"/>
        <v/>
      </c>
      <c r="V168" s="79"/>
      <c r="W168" s="172" t="str">
        <f>IF(V168="","",IF(VLOOKUP(V168,'G-7 Rivers Data'!$AA$4:$AB$7,2,FALSE)=0,"Spatial Data Missing",VLOOKUP(V168,'G-7 Rivers Data'!$AA$4:$AB$7,2,FALSE)))</f>
        <v/>
      </c>
      <c r="X168" s="187"/>
      <c r="Y168" s="172" t="str">
        <f>IF(X168="","",IF(VLOOKUP(X168,'G-7 Rivers Data'!$AD$4:$AE$8,2,FALSE)=0,"Enrcoachment Data Missing",VLOOKUP(X168,'G-7 Rivers Data'!$AD$4:$AE$8,2,FALSE)))</f>
        <v/>
      </c>
      <c r="Z168" s="265" t="str">
        <f t="shared" si="18"/>
        <v/>
      </c>
      <c r="AA168" s="180"/>
      <c r="AB168" s="181"/>
      <c r="AH168" s="35" t="str">
        <f>IFERROR(INDEX('G-7 Rivers Data'!$AZ$3:$AZ$7,MATCH(C168,'G-7 Rivers Data'!$AY$3:$AY$7,0)),"")</f>
        <v/>
      </c>
    </row>
    <row r="169" spans="2:34" ht="13.8" x14ac:dyDescent="0.25">
      <c r="B169" s="168">
        <v>158</v>
      </c>
      <c r="C169" s="212"/>
      <c r="D169" s="213"/>
      <c r="E169" s="171" t="str">
        <f>IF(C169="","",VLOOKUP(C169,'G-7 Rivers Data'!$B$2:$G$8,2,FALSE))</f>
        <v/>
      </c>
      <c r="F169" s="172" t="str">
        <f>IFERROR(VLOOKUP(E169,'G-7 Rivers Data'!$C$4:$D$8,2,FALSE),"")</f>
        <v/>
      </c>
      <c r="G169" s="173"/>
      <c r="H169" s="172" t="str">
        <f>IFERROR(INDEX('G-7 Rivers Data'!$H$4:$L$8,MATCH(C169,'G-7 Rivers Data'!$B$4:$B$8,0),MATCH(G169,'G-7 Rivers Data'!$H$3:$L$3,0)),"")</f>
        <v/>
      </c>
      <c r="I169" s="186"/>
      <c r="J169" s="175" t="str">
        <f>IF(I169="","",IF(VLOOKUP(I169,'G-7 Rivers Data'!$AG$4:$AI$9,2,FALSE)=0,"Spatial Data Missing",VLOOKUP(I169,'G-7 Rivers Data'!$AG$4:$AI$9,2,FALSE)))</f>
        <v/>
      </c>
      <c r="K169" s="176" t="str">
        <f>IF(I169="","",IF(VLOOKUP(I169,'G-7 Rivers Data'!$AG$4:$AI$9,3,FALSE)=0,"Spatial Data Missing",VLOOKUP(I169,'G-7 Rivers Data'!$AG$4:$AI$9,3,FALSE)))</f>
        <v/>
      </c>
      <c r="L169" s="171" t="str">
        <f>IFERROR(INDEX('G-7 Rivers Data'!$O$3:$O$7,MATCH(G169,'G-7 Rivers Data'!$N$3:$N$7,0)),"")</f>
        <v/>
      </c>
      <c r="M169" s="94"/>
      <c r="N169" s="261"/>
      <c r="O169" s="175" t="str">
        <f t="shared" si="13"/>
        <v/>
      </c>
      <c r="P169" s="242" t="str">
        <f t="shared" si="14"/>
        <v/>
      </c>
      <c r="Q169" s="383" t="str">
        <f>IFERROR(IF(P169="Check Data","Check Data",VLOOKUP(P169,'G-4 Temporal multipliers'!$A$4:$C$37,3,FALSE)),"")</f>
        <v/>
      </c>
      <c r="R169" s="171" t="str">
        <f>IF(C169="","",VLOOKUP(C169,'G-7 Rivers Data'!$B$4:$G$8,4,FALSE))</f>
        <v/>
      </c>
      <c r="S169" s="179" t="str">
        <f t="shared" si="15"/>
        <v/>
      </c>
      <c r="T169" s="269" t="str">
        <f t="shared" si="16"/>
        <v/>
      </c>
      <c r="U169" s="172" t="str">
        <f t="shared" si="17"/>
        <v/>
      </c>
      <c r="V169" s="79"/>
      <c r="W169" s="172" t="str">
        <f>IF(V169="","",IF(VLOOKUP(V169,'G-7 Rivers Data'!$AA$4:$AB$7,2,FALSE)=0,"Spatial Data Missing",VLOOKUP(V169,'G-7 Rivers Data'!$AA$4:$AB$7,2,FALSE)))</f>
        <v/>
      </c>
      <c r="X169" s="187"/>
      <c r="Y169" s="172" t="str">
        <f>IF(X169="","",IF(VLOOKUP(X169,'G-7 Rivers Data'!$AD$4:$AE$8,2,FALSE)=0,"Enrcoachment Data Missing",VLOOKUP(X169,'G-7 Rivers Data'!$AD$4:$AE$8,2,FALSE)))</f>
        <v/>
      </c>
      <c r="Z169" s="265" t="str">
        <f t="shared" si="18"/>
        <v/>
      </c>
      <c r="AA169" s="180"/>
      <c r="AB169" s="181"/>
      <c r="AH169" s="35" t="str">
        <f>IFERROR(INDEX('G-7 Rivers Data'!$AZ$3:$AZ$7,MATCH(C169,'G-7 Rivers Data'!$AY$3:$AY$7,0)),"")</f>
        <v/>
      </c>
    </row>
    <row r="170" spans="2:34" ht="13.8" x14ac:dyDescent="0.25">
      <c r="B170" s="168">
        <v>159</v>
      </c>
      <c r="C170" s="212"/>
      <c r="D170" s="213"/>
      <c r="E170" s="171" t="str">
        <f>IF(C170="","",VLOOKUP(C170,'G-7 Rivers Data'!$B$2:$G$8,2,FALSE))</f>
        <v/>
      </c>
      <c r="F170" s="172" t="str">
        <f>IFERROR(VLOOKUP(E170,'G-7 Rivers Data'!$C$4:$D$8,2,FALSE),"")</f>
        <v/>
      </c>
      <c r="G170" s="173"/>
      <c r="H170" s="172" t="str">
        <f>IFERROR(INDEX('G-7 Rivers Data'!$H$4:$L$8,MATCH(C170,'G-7 Rivers Data'!$B$4:$B$8,0),MATCH(G170,'G-7 Rivers Data'!$H$3:$L$3,0)),"")</f>
        <v/>
      </c>
      <c r="I170" s="186"/>
      <c r="J170" s="175" t="str">
        <f>IF(I170="","",IF(VLOOKUP(I170,'G-7 Rivers Data'!$AG$4:$AI$9,2,FALSE)=0,"Spatial Data Missing",VLOOKUP(I170,'G-7 Rivers Data'!$AG$4:$AI$9,2,FALSE)))</f>
        <v/>
      </c>
      <c r="K170" s="176" t="str">
        <f>IF(I170="","",IF(VLOOKUP(I170,'G-7 Rivers Data'!$AG$4:$AI$9,3,FALSE)=0,"Spatial Data Missing",VLOOKUP(I170,'G-7 Rivers Data'!$AG$4:$AI$9,3,FALSE)))</f>
        <v/>
      </c>
      <c r="L170" s="171" t="str">
        <f>IFERROR(INDEX('G-7 Rivers Data'!$O$3:$O$7,MATCH(G170,'G-7 Rivers Data'!$N$3:$N$7,0)),"")</f>
        <v/>
      </c>
      <c r="M170" s="94"/>
      <c r="N170" s="261"/>
      <c r="O170" s="175" t="str">
        <f t="shared" si="13"/>
        <v/>
      </c>
      <c r="P170" s="242" t="str">
        <f t="shared" si="14"/>
        <v/>
      </c>
      <c r="Q170" s="383" t="str">
        <f>IFERROR(IF(P170="Check Data","Check Data",VLOOKUP(P170,'G-4 Temporal multipliers'!$A$4:$C$37,3,FALSE)),"")</f>
        <v/>
      </c>
      <c r="R170" s="171" t="str">
        <f>IF(C170="","",VLOOKUP(C170,'G-7 Rivers Data'!$B$4:$G$8,4,FALSE))</f>
        <v/>
      </c>
      <c r="S170" s="179" t="str">
        <f t="shared" si="15"/>
        <v/>
      </c>
      <c r="T170" s="269" t="str">
        <f t="shared" si="16"/>
        <v/>
      </c>
      <c r="U170" s="172" t="str">
        <f t="shared" si="17"/>
        <v/>
      </c>
      <c r="V170" s="79"/>
      <c r="W170" s="172" t="str">
        <f>IF(V170="","",IF(VLOOKUP(V170,'G-7 Rivers Data'!$AA$4:$AB$7,2,FALSE)=0,"Spatial Data Missing",VLOOKUP(V170,'G-7 Rivers Data'!$AA$4:$AB$7,2,FALSE)))</f>
        <v/>
      </c>
      <c r="X170" s="187"/>
      <c r="Y170" s="172" t="str">
        <f>IF(X170="","",IF(VLOOKUP(X170,'G-7 Rivers Data'!$AD$4:$AE$8,2,FALSE)=0,"Enrcoachment Data Missing",VLOOKUP(X170,'G-7 Rivers Data'!$AD$4:$AE$8,2,FALSE)))</f>
        <v/>
      </c>
      <c r="Z170" s="265" t="str">
        <f t="shared" si="18"/>
        <v/>
      </c>
      <c r="AA170" s="180"/>
      <c r="AB170" s="181"/>
      <c r="AH170" s="35" t="str">
        <f>IFERROR(INDEX('G-7 Rivers Data'!$AZ$3:$AZ$7,MATCH(C170,'G-7 Rivers Data'!$AY$3:$AY$7,0)),"")</f>
        <v/>
      </c>
    </row>
    <row r="171" spans="2:34" ht="13.8" x14ac:dyDescent="0.25">
      <c r="B171" s="168">
        <v>160</v>
      </c>
      <c r="C171" s="212"/>
      <c r="D171" s="213"/>
      <c r="E171" s="171" t="str">
        <f>IF(C171="","",VLOOKUP(C171,'G-7 Rivers Data'!$B$2:$G$8,2,FALSE))</f>
        <v/>
      </c>
      <c r="F171" s="172" t="str">
        <f>IFERROR(VLOOKUP(E171,'G-7 Rivers Data'!$C$4:$D$8,2,FALSE),"")</f>
        <v/>
      </c>
      <c r="G171" s="173"/>
      <c r="H171" s="172" t="str">
        <f>IFERROR(INDEX('G-7 Rivers Data'!$H$4:$L$8,MATCH(C171,'G-7 Rivers Data'!$B$4:$B$8,0),MATCH(G171,'G-7 Rivers Data'!$H$3:$L$3,0)),"")</f>
        <v/>
      </c>
      <c r="I171" s="186"/>
      <c r="J171" s="175" t="str">
        <f>IF(I171="","",IF(VLOOKUP(I171,'G-7 Rivers Data'!$AG$4:$AI$9,2,FALSE)=0,"Spatial Data Missing",VLOOKUP(I171,'G-7 Rivers Data'!$AG$4:$AI$9,2,FALSE)))</f>
        <v/>
      </c>
      <c r="K171" s="176" t="str">
        <f>IF(I171="","",IF(VLOOKUP(I171,'G-7 Rivers Data'!$AG$4:$AI$9,3,FALSE)=0,"Spatial Data Missing",VLOOKUP(I171,'G-7 Rivers Data'!$AG$4:$AI$9,3,FALSE)))</f>
        <v/>
      </c>
      <c r="L171" s="171" t="str">
        <f>IFERROR(INDEX('G-7 Rivers Data'!$O$3:$O$7,MATCH(G171,'G-7 Rivers Data'!$N$3:$N$7,0)),"")</f>
        <v/>
      </c>
      <c r="M171" s="94"/>
      <c r="N171" s="261"/>
      <c r="O171" s="175" t="str">
        <f t="shared" si="13"/>
        <v/>
      </c>
      <c r="P171" s="242" t="str">
        <f t="shared" si="14"/>
        <v/>
      </c>
      <c r="Q171" s="383" t="str">
        <f>IFERROR(IF(P171="Check Data","Check Data",VLOOKUP(P171,'G-4 Temporal multipliers'!$A$4:$C$37,3,FALSE)),"")</f>
        <v/>
      </c>
      <c r="R171" s="171" t="str">
        <f>IF(C171="","",VLOOKUP(C171,'G-7 Rivers Data'!$B$4:$G$8,4,FALSE))</f>
        <v/>
      </c>
      <c r="S171" s="179" t="str">
        <f t="shared" si="15"/>
        <v/>
      </c>
      <c r="T171" s="269" t="str">
        <f t="shared" si="16"/>
        <v/>
      </c>
      <c r="U171" s="172" t="str">
        <f t="shared" si="17"/>
        <v/>
      </c>
      <c r="V171" s="79"/>
      <c r="W171" s="172" t="str">
        <f>IF(V171="","",IF(VLOOKUP(V171,'G-7 Rivers Data'!$AA$4:$AB$7,2,FALSE)=0,"Spatial Data Missing",VLOOKUP(V171,'G-7 Rivers Data'!$AA$4:$AB$7,2,FALSE)))</f>
        <v/>
      </c>
      <c r="X171" s="187"/>
      <c r="Y171" s="172" t="str">
        <f>IF(X171="","",IF(VLOOKUP(X171,'G-7 Rivers Data'!$AD$4:$AE$8,2,FALSE)=0,"Enrcoachment Data Missing",VLOOKUP(X171,'G-7 Rivers Data'!$AD$4:$AE$8,2,FALSE)))</f>
        <v/>
      </c>
      <c r="Z171" s="265" t="str">
        <f t="shared" si="18"/>
        <v/>
      </c>
      <c r="AA171" s="180"/>
      <c r="AB171" s="181"/>
      <c r="AH171" s="35" t="str">
        <f>IFERROR(INDEX('G-7 Rivers Data'!$AZ$3:$AZ$7,MATCH(C171,'G-7 Rivers Data'!$AY$3:$AY$7,0)),"")</f>
        <v/>
      </c>
    </row>
    <row r="172" spans="2:34" ht="13.8" x14ac:dyDescent="0.25">
      <c r="B172" s="168">
        <v>161</v>
      </c>
      <c r="C172" s="212"/>
      <c r="D172" s="213"/>
      <c r="E172" s="171" t="str">
        <f>IF(C172="","",VLOOKUP(C172,'G-7 Rivers Data'!$B$2:$G$8,2,FALSE))</f>
        <v/>
      </c>
      <c r="F172" s="172" t="str">
        <f>IFERROR(VLOOKUP(E172,'G-7 Rivers Data'!$C$4:$D$8,2,FALSE),"")</f>
        <v/>
      </c>
      <c r="G172" s="173"/>
      <c r="H172" s="172" t="str">
        <f>IFERROR(INDEX('G-7 Rivers Data'!$H$4:$L$8,MATCH(C172,'G-7 Rivers Data'!$B$4:$B$8,0),MATCH(G172,'G-7 Rivers Data'!$H$3:$L$3,0)),"")</f>
        <v/>
      </c>
      <c r="I172" s="186"/>
      <c r="J172" s="175" t="str">
        <f>IF(I172="","",IF(VLOOKUP(I172,'G-7 Rivers Data'!$AG$4:$AI$9,2,FALSE)=0,"Spatial Data Missing",VLOOKUP(I172,'G-7 Rivers Data'!$AG$4:$AI$9,2,FALSE)))</f>
        <v/>
      </c>
      <c r="K172" s="176" t="str">
        <f>IF(I172="","",IF(VLOOKUP(I172,'G-7 Rivers Data'!$AG$4:$AI$9,3,FALSE)=0,"Spatial Data Missing",VLOOKUP(I172,'G-7 Rivers Data'!$AG$4:$AI$9,3,FALSE)))</f>
        <v/>
      </c>
      <c r="L172" s="171" t="str">
        <f>IFERROR(INDEX('G-7 Rivers Data'!$O$3:$O$7,MATCH(G172,'G-7 Rivers Data'!$N$3:$N$7,0)),"")</f>
        <v/>
      </c>
      <c r="M172" s="94"/>
      <c r="N172" s="261"/>
      <c r="O172" s="175" t="str">
        <f t="shared" si="13"/>
        <v/>
      </c>
      <c r="P172" s="242" t="str">
        <f t="shared" si="14"/>
        <v/>
      </c>
      <c r="Q172" s="383" t="str">
        <f>IFERROR(IF(P172="Check Data","Check Data",VLOOKUP(P172,'G-4 Temporal multipliers'!$A$4:$C$37,3,FALSE)),"")</f>
        <v/>
      </c>
      <c r="R172" s="171" t="str">
        <f>IF(C172="","",VLOOKUP(C172,'G-7 Rivers Data'!$B$4:$G$8,4,FALSE))</f>
        <v/>
      </c>
      <c r="S172" s="179" t="str">
        <f t="shared" si="15"/>
        <v/>
      </c>
      <c r="T172" s="269" t="str">
        <f t="shared" si="16"/>
        <v/>
      </c>
      <c r="U172" s="172" t="str">
        <f t="shared" si="17"/>
        <v/>
      </c>
      <c r="V172" s="79"/>
      <c r="W172" s="172" t="str">
        <f>IF(V172="","",IF(VLOOKUP(V172,'G-7 Rivers Data'!$AA$4:$AB$7,2,FALSE)=0,"Spatial Data Missing",VLOOKUP(V172,'G-7 Rivers Data'!$AA$4:$AB$7,2,FALSE)))</f>
        <v/>
      </c>
      <c r="X172" s="187"/>
      <c r="Y172" s="172" t="str">
        <f>IF(X172="","",IF(VLOOKUP(X172,'G-7 Rivers Data'!$AD$4:$AE$8,2,FALSE)=0,"Enrcoachment Data Missing",VLOOKUP(X172,'G-7 Rivers Data'!$AD$4:$AE$8,2,FALSE)))</f>
        <v/>
      </c>
      <c r="Z172" s="265" t="str">
        <f t="shared" si="18"/>
        <v/>
      </c>
      <c r="AA172" s="180"/>
      <c r="AB172" s="181"/>
      <c r="AH172" s="35" t="str">
        <f>IFERROR(INDEX('G-7 Rivers Data'!$AZ$3:$AZ$7,MATCH(C172,'G-7 Rivers Data'!$AY$3:$AY$7,0)),"")</f>
        <v/>
      </c>
    </row>
    <row r="173" spans="2:34" ht="13.8" x14ac:dyDescent="0.25">
      <c r="B173" s="168">
        <v>162</v>
      </c>
      <c r="C173" s="212"/>
      <c r="D173" s="213"/>
      <c r="E173" s="171" t="str">
        <f>IF(C173="","",VLOOKUP(C173,'G-7 Rivers Data'!$B$2:$G$8,2,FALSE))</f>
        <v/>
      </c>
      <c r="F173" s="172" t="str">
        <f>IFERROR(VLOOKUP(E173,'G-7 Rivers Data'!$C$4:$D$8,2,FALSE),"")</f>
        <v/>
      </c>
      <c r="G173" s="173"/>
      <c r="H173" s="172" t="str">
        <f>IFERROR(INDEX('G-7 Rivers Data'!$H$4:$L$8,MATCH(C173,'G-7 Rivers Data'!$B$4:$B$8,0),MATCH(G173,'G-7 Rivers Data'!$H$3:$L$3,0)),"")</f>
        <v/>
      </c>
      <c r="I173" s="186"/>
      <c r="J173" s="175" t="str">
        <f>IF(I173="","",IF(VLOOKUP(I173,'G-7 Rivers Data'!$AG$4:$AI$9,2,FALSE)=0,"Spatial Data Missing",VLOOKUP(I173,'G-7 Rivers Data'!$AG$4:$AI$9,2,FALSE)))</f>
        <v/>
      </c>
      <c r="K173" s="176" t="str">
        <f>IF(I173="","",IF(VLOOKUP(I173,'G-7 Rivers Data'!$AG$4:$AI$9,3,FALSE)=0,"Spatial Data Missing",VLOOKUP(I173,'G-7 Rivers Data'!$AG$4:$AI$9,3,FALSE)))</f>
        <v/>
      </c>
      <c r="L173" s="171" t="str">
        <f>IFERROR(INDEX('G-7 Rivers Data'!$O$3:$O$7,MATCH(G173,'G-7 Rivers Data'!$N$3:$N$7,0)),"")</f>
        <v/>
      </c>
      <c r="M173" s="94"/>
      <c r="N173" s="261"/>
      <c r="O173" s="175" t="str">
        <f t="shared" si="13"/>
        <v/>
      </c>
      <c r="P173" s="242" t="str">
        <f t="shared" si="14"/>
        <v/>
      </c>
      <c r="Q173" s="383" t="str">
        <f>IFERROR(IF(P173="Check Data","Check Data",VLOOKUP(P173,'G-4 Temporal multipliers'!$A$4:$C$37,3,FALSE)),"")</f>
        <v/>
      </c>
      <c r="R173" s="171" t="str">
        <f>IF(C173="","",VLOOKUP(C173,'G-7 Rivers Data'!$B$4:$G$8,4,FALSE))</f>
        <v/>
      </c>
      <c r="S173" s="179" t="str">
        <f t="shared" si="15"/>
        <v/>
      </c>
      <c r="T173" s="269" t="str">
        <f t="shared" si="16"/>
        <v/>
      </c>
      <c r="U173" s="172" t="str">
        <f t="shared" si="17"/>
        <v/>
      </c>
      <c r="V173" s="79"/>
      <c r="W173" s="172" t="str">
        <f>IF(V173="","",IF(VLOOKUP(V173,'G-7 Rivers Data'!$AA$4:$AB$7,2,FALSE)=0,"Spatial Data Missing",VLOOKUP(V173,'G-7 Rivers Data'!$AA$4:$AB$7,2,FALSE)))</f>
        <v/>
      </c>
      <c r="X173" s="187"/>
      <c r="Y173" s="172" t="str">
        <f>IF(X173="","",IF(VLOOKUP(X173,'G-7 Rivers Data'!$AD$4:$AE$8,2,FALSE)=0,"Enrcoachment Data Missing",VLOOKUP(X173,'G-7 Rivers Data'!$AD$4:$AE$8,2,FALSE)))</f>
        <v/>
      </c>
      <c r="Z173" s="265" t="str">
        <f t="shared" si="18"/>
        <v/>
      </c>
      <c r="AA173" s="180"/>
      <c r="AB173" s="181"/>
      <c r="AH173" s="35" t="str">
        <f>IFERROR(INDEX('G-7 Rivers Data'!$AZ$3:$AZ$7,MATCH(C173,'G-7 Rivers Data'!$AY$3:$AY$7,0)),"")</f>
        <v/>
      </c>
    </row>
    <row r="174" spans="2:34" ht="13.8" x14ac:dyDescent="0.25">
      <c r="B174" s="168">
        <v>163</v>
      </c>
      <c r="C174" s="212"/>
      <c r="D174" s="213"/>
      <c r="E174" s="171" t="str">
        <f>IF(C174="","",VLOOKUP(C174,'G-7 Rivers Data'!$B$2:$G$8,2,FALSE))</f>
        <v/>
      </c>
      <c r="F174" s="172" t="str">
        <f>IFERROR(VLOOKUP(E174,'G-7 Rivers Data'!$C$4:$D$8,2,FALSE),"")</f>
        <v/>
      </c>
      <c r="G174" s="173"/>
      <c r="H174" s="172" t="str">
        <f>IFERROR(INDEX('G-7 Rivers Data'!$H$4:$L$8,MATCH(C174,'G-7 Rivers Data'!$B$4:$B$8,0),MATCH(G174,'G-7 Rivers Data'!$H$3:$L$3,0)),"")</f>
        <v/>
      </c>
      <c r="I174" s="186"/>
      <c r="J174" s="175" t="str">
        <f>IF(I174="","",IF(VLOOKUP(I174,'G-7 Rivers Data'!$AG$4:$AI$9,2,FALSE)=0,"Spatial Data Missing",VLOOKUP(I174,'G-7 Rivers Data'!$AG$4:$AI$9,2,FALSE)))</f>
        <v/>
      </c>
      <c r="K174" s="176" t="str">
        <f>IF(I174="","",IF(VLOOKUP(I174,'G-7 Rivers Data'!$AG$4:$AI$9,3,FALSE)=0,"Spatial Data Missing",VLOOKUP(I174,'G-7 Rivers Data'!$AG$4:$AI$9,3,FALSE)))</f>
        <v/>
      </c>
      <c r="L174" s="171" t="str">
        <f>IFERROR(INDEX('G-7 Rivers Data'!$O$3:$O$7,MATCH(G174,'G-7 Rivers Data'!$N$3:$N$7,0)),"")</f>
        <v/>
      </c>
      <c r="M174" s="94"/>
      <c r="N174" s="261"/>
      <c r="O174" s="175" t="str">
        <f t="shared" si="13"/>
        <v/>
      </c>
      <c r="P174" s="242" t="str">
        <f t="shared" si="14"/>
        <v/>
      </c>
      <c r="Q174" s="383" t="str">
        <f>IFERROR(IF(P174="Check Data","Check Data",VLOOKUP(P174,'G-4 Temporal multipliers'!$A$4:$C$37,3,FALSE)),"")</f>
        <v/>
      </c>
      <c r="R174" s="171" t="str">
        <f>IF(C174="","",VLOOKUP(C174,'G-7 Rivers Data'!$B$4:$G$8,4,FALSE))</f>
        <v/>
      </c>
      <c r="S174" s="179" t="str">
        <f t="shared" si="15"/>
        <v/>
      </c>
      <c r="T174" s="269" t="str">
        <f t="shared" si="16"/>
        <v/>
      </c>
      <c r="U174" s="172" t="str">
        <f t="shared" si="17"/>
        <v/>
      </c>
      <c r="V174" s="79"/>
      <c r="W174" s="172" t="str">
        <f>IF(V174="","",IF(VLOOKUP(V174,'G-7 Rivers Data'!$AA$4:$AB$7,2,FALSE)=0,"Spatial Data Missing",VLOOKUP(V174,'G-7 Rivers Data'!$AA$4:$AB$7,2,FALSE)))</f>
        <v/>
      </c>
      <c r="X174" s="187"/>
      <c r="Y174" s="172" t="str">
        <f>IF(X174="","",IF(VLOOKUP(X174,'G-7 Rivers Data'!$AD$4:$AE$8,2,FALSE)=0,"Enrcoachment Data Missing",VLOOKUP(X174,'G-7 Rivers Data'!$AD$4:$AE$8,2,FALSE)))</f>
        <v/>
      </c>
      <c r="Z174" s="265" t="str">
        <f t="shared" si="18"/>
        <v/>
      </c>
      <c r="AA174" s="180"/>
      <c r="AB174" s="181"/>
      <c r="AH174" s="35" t="str">
        <f>IFERROR(INDEX('G-7 Rivers Data'!$AZ$3:$AZ$7,MATCH(C174,'G-7 Rivers Data'!$AY$3:$AY$7,0)),"")</f>
        <v/>
      </c>
    </row>
    <row r="175" spans="2:34" ht="13.8" x14ac:dyDescent="0.25">
      <c r="B175" s="168">
        <v>164</v>
      </c>
      <c r="C175" s="212"/>
      <c r="D175" s="213"/>
      <c r="E175" s="171" t="str">
        <f>IF(C175="","",VLOOKUP(C175,'G-7 Rivers Data'!$B$2:$G$8,2,FALSE))</f>
        <v/>
      </c>
      <c r="F175" s="172" t="str">
        <f>IFERROR(VLOOKUP(E175,'G-7 Rivers Data'!$C$4:$D$8,2,FALSE),"")</f>
        <v/>
      </c>
      <c r="G175" s="173"/>
      <c r="H175" s="172" t="str">
        <f>IFERROR(INDEX('G-7 Rivers Data'!$H$4:$L$8,MATCH(C175,'G-7 Rivers Data'!$B$4:$B$8,0),MATCH(G175,'G-7 Rivers Data'!$H$3:$L$3,0)),"")</f>
        <v/>
      </c>
      <c r="I175" s="186"/>
      <c r="J175" s="175" t="str">
        <f>IF(I175="","",IF(VLOOKUP(I175,'G-7 Rivers Data'!$AG$4:$AI$9,2,FALSE)=0,"Spatial Data Missing",VLOOKUP(I175,'G-7 Rivers Data'!$AG$4:$AI$9,2,FALSE)))</f>
        <v/>
      </c>
      <c r="K175" s="176" t="str">
        <f>IF(I175="","",IF(VLOOKUP(I175,'G-7 Rivers Data'!$AG$4:$AI$9,3,FALSE)=0,"Spatial Data Missing",VLOOKUP(I175,'G-7 Rivers Data'!$AG$4:$AI$9,3,FALSE)))</f>
        <v/>
      </c>
      <c r="L175" s="171" t="str">
        <f>IFERROR(INDEX('G-7 Rivers Data'!$O$3:$O$7,MATCH(G175,'G-7 Rivers Data'!$N$3:$N$7,0)),"")</f>
        <v/>
      </c>
      <c r="M175" s="94"/>
      <c r="N175" s="261"/>
      <c r="O175" s="175" t="str">
        <f t="shared" si="13"/>
        <v/>
      </c>
      <c r="P175" s="242" t="str">
        <f t="shared" si="14"/>
        <v/>
      </c>
      <c r="Q175" s="383" t="str">
        <f>IFERROR(IF(P175="Check Data","Check Data",VLOOKUP(P175,'G-4 Temporal multipliers'!$A$4:$C$37,3,FALSE)),"")</f>
        <v/>
      </c>
      <c r="R175" s="171" t="str">
        <f>IF(C175="","",VLOOKUP(C175,'G-7 Rivers Data'!$B$4:$G$8,4,FALSE))</f>
        <v/>
      </c>
      <c r="S175" s="179" t="str">
        <f t="shared" si="15"/>
        <v/>
      </c>
      <c r="T175" s="269" t="str">
        <f t="shared" si="16"/>
        <v/>
      </c>
      <c r="U175" s="172" t="str">
        <f t="shared" si="17"/>
        <v/>
      </c>
      <c r="V175" s="79"/>
      <c r="W175" s="172" t="str">
        <f>IF(V175="","",IF(VLOOKUP(V175,'G-7 Rivers Data'!$AA$4:$AB$7,2,FALSE)=0,"Spatial Data Missing",VLOOKUP(V175,'G-7 Rivers Data'!$AA$4:$AB$7,2,FALSE)))</f>
        <v/>
      </c>
      <c r="X175" s="187"/>
      <c r="Y175" s="172" t="str">
        <f>IF(X175="","",IF(VLOOKUP(X175,'G-7 Rivers Data'!$AD$4:$AE$8,2,FALSE)=0,"Enrcoachment Data Missing",VLOOKUP(X175,'G-7 Rivers Data'!$AD$4:$AE$8,2,FALSE)))</f>
        <v/>
      </c>
      <c r="Z175" s="265" t="str">
        <f t="shared" si="18"/>
        <v/>
      </c>
      <c r="AA175" s="180"/>
      <c r="AB175" s="181"/>
      <c r="AH175" s="35" t="str">
        <f>IFERROR(INDEX('G-7 Rivers Data'!$AZ$3:$AZ$7,MATCH(C175,'G-7 Rivers Data'!$AY$3:$AY$7,0)),"")</f>
        <v/>
      </c>
    </row>
    <row r="176" spans="2:34" ht="13.8" x14ac:dyDescent="0.25">
      <c r="B176" s="168">
        <v>165</v>
      </c>
      <c r="C176" s="212"/>
      <c r="D176" s="213"/>
      <c r="E176" s="171" t="str">
        <f>IF(C176="","",VLOOKUP(C176,'G-7 Rivers Data'!$B$2:$G$8,2,FALSE))</f>
        <v/>
      </c>
      <c r="F176" s="172" t="str">
        <f>IFERROR(VLOOKUP(E176,'G-7 Rivers Data'!$C$4:$D$8,2,FALSE),"")</f>
        <v/>
      </c>
      <c r="G176" s="173"/>
      <c r="H176" s="172" t="str">
        <f>IFERROR(INDEX('G-7 Rivers Data'!$H$4:$L$8,MATCH(C176,'G-7 Rivers Data'!$B$4:$B$8,0),MATCH(G176,'G-7 Rivers Data'!$H$3:$L$3,0)),"")</f>
        <v/>
      </c>
      <c r="I176" s="186"/>
      <c r="J176" s="175" t="str">
        <f>IF(I176="","",IF(VLOOKUP(I176,'G-7 Rivers Data'!$AG$4:$AI$9,2,FALSE)=0,"Spatial Data Missing",VLOOKUP(I176,'G-7 Rivers Data'!$AG$4:$AI$9,2,FALSE)))</f>
        <v/>
      </c>
      <c r="K176" s="176" t="str">
        <f>IF(I176="","",IF(VLOOKUP(I176,'G-7 Rivers Data'!$AG$4:$AI$9,3,FALSE)=0,"Spatial Data Missing",VLOOKUP(I176,'G-7 Rivers Data'!$AG$4:$AI$9,3,FALSE)))</f>
        <v/>
      </c>
      <c r="L176" s="171" t="str">
        <f>IFERROR(INDEX('G-7 Rivers Data'!$O$3:$O$7,MATCH(G176,'G-7 Rivers Data'!$N$3:$N$7,0)),"")</f>
        <v/>
      </c>
      <c r="M176" s="94"/>
      <c r="N176" s="261"/>
      <c r="O176" s="175" t="str">
        <f t="shared" si="13"/>
        <v/>
      </c>
      <c r="P176" s="242" t="str">
        <f t="shared" si="14"/>
        <v/>
      </c>
      <c r="Q176" s="383" t="str">
        <f>IFERROR(IF(P176="Check Data","Check Data",VLOOKUP(P176,'G-4 Temporal multipliers'!$A$4:$C$37,3,FALSE)),"")</f>
        <v/>
      </c>
      <c r="R176" s="171" t="str">
        <f>IF(C176="","",VLOOKUP(C176,'G-7 Rivers Data'!$B$4:$G$8,4,FALSE))</f>
        <v/>
      </c>
      <c r="S176" s="179" t="str">
        <f t="shared" si="15"/>
        <v/>
      </c>
      <c r="T176" s="269" t="str">
        <f t="shared" si="16"/>
        <v/>
      </c>
      <c r="U176" s="172" t="str">
        <f t="shared" si="17"/>
        <v/>
      </c>
      <c r="V176" s="79"/>
      <c r="W176" s="172" t="str">
        <f>IF(V176="","",IF(VLOOKUP(V176,'G-7 Rivers Data'!$AA$4:$AB$7,2,FALSE)=0,"Spatial Data Missing",VLOOKUP(V176,'G-7 Rivers Data'!$AA$4:$AB$7,2,FALSE)))</f>
        <v/>
      </c>
      <c r="X176" s="187"/>
      <c r="Y176" s="172" t="str">
        <f>IF(X176="","",IF(VLOOKUP(X176,'G-7 Rivers Data'!$AD$4:$AE$8,2,FALSE)=0,"Enrcoachment Data Missing",VLOOKUP(X176,'G-7 Rivers Data'!$AD$4:$AE$8,2,FALSE)))</f>
        <v/>
      </c>
      <c r="Z176" s="265" t="str">
        <f t="shared" si="18"/>
        <v/>
      </c>
      <c r="AA176" s="180"/>
      <c r="AB176" s="181"/>
      <c r="AH176" s="35" t="str">
        <f>IFERROR(INDEX('G-7 Rivers Data'!$AZ$3:$AZ$7,MATCH(C176,'G-7 Rivers Data'!$AY$3:$AY$7,0)),"")</f>
        <v/>
      </c>
    </row>
    <row r="177" spans="2:34" ht="13.8" x14ac:dyDescent="0.25">
      <c r="B177" s="168">
        <v>166</v>
      </c>
      <c r="C177" s="212"/>
      <c r="D177" s="213"/>
      <c r="E177" s="171" t="str">
        <f>IF(C177="","",VLOOKUP(C177,'G-7 Rivers Data'!$B$2:$G$8,2,FALSE))</f>
        <v/>
      </c>
      <c r="F177" s="172" t="str">
        <f>IFERROR(VLOOKUP(E177,'G-7 Rivers Data'!$C$4:$D$8,2,FALSE),"")</f>
        <v/>
      </c>
      <c r="G177" s="173"/>
      <c r="H177" s="172" t="str">
        <f>IFERROR(INDEX('G-7 Rivers Data'!$H$4:$L$8,MATCH(C177,'G-7 Rivers Data'!$B$4:$B$8,0),MATCH(G177,'G-7 Rivers Data'!$H$3:$L$3,0)),"")</f>
        <v/>
      </c>
      <c r="I177" s="186"/>
      <c r="J177" s="175" t="str">
        <f>IF(I177="","",IF(VLOOKUP(I177,'G-7 Rivers Data'!$AG$4:$AI$9,2,FALSE)=0,"Spatial Data Missing",VLOOKUP(I177,'G-7 Rivers Data'!$AG$4:$AI$9,2,FALSE)))</f>
        <v/>
      </c>
      <c r="K177" s="176" t="str">
        <f>IF(I177="","",IF(VLOOKUP(I177,'G-7 Rivers Data'!$AG$4:$AI$9,3,FALSE)=0,"Spatial Data Missing",VLOOKUP(I177,'G-7 Rivers Data'!$AG$4:$AI$9,3,FALSE)))</f>
        <v/>
      </c>
      <c r="L177" s="171" t="str">
        <f>IFERROR(INDEX('G-7 Rivers Data'!$O$3:$O$7,MATCH(G177,'G-7 Rivers Data'!$N$3:$N$7,0)),"")</f>
        <v/>
      </c>
      <c r="M177" s="94"/>
      <c r="N177" s="261"/>
      <c r="O177" s="175" t="str">
        <f t="shared" si="13"/>
        <v/>
      </c>
      <c r="P177" s="242" t="str">
        <f t="shared" si="14"/>
        <v/>
      </c>
      <c r="Q177" s="383" t="str">
        <f>IFERROR(IF(P177="Check Data","Check Data",VLOOKUP(P177,'G-4 Temporal multipliers'!$A$4:$C$37,3,FALSE)),"")</f>
        <v/>
      </c>
      <c r="R177" s="171" t="str">
        <f>IF(C177="","",VLOOKUP(C177,'G-7 Rivers Data'!$B$4:$G$8,4,FALSE))</f>
        <v/>
      </c>
      <c r="S177" s="179" t="str">
        <f t="shared" si="15"/>
        <v/>
      </c>
      <c r="T177" s="269" t="str">
        <f t="shared" si="16"/>
        <v/>
      </c>
      <c r="U177" s="172" t="str">
        <f t="shared" si="17"/>
        <v/>
      </c>
      <c r="V177" s="79"/>
      <c r="W177" s="172" t="str">
        <f>IF(V177="","",IF(VLOOKUP(V177,'G-7 Rivers Data'!$AA$4:$AB$7,2,FALSE)=0,"Spatial Data Missing",VLOOKUP(V177,'G-7 Rivers Data'!$AA$4:$AB$7,2,FALSE)))</f>
        <v/>
      </c>
      <c r="X177" s="187"/>
      <c r="Y177" s="172" t="str">
        <f>IF(X177="","",IF(VLOOKUP(X177,'G-7 Rivers Data'!$AD$4:$AE$8,2,FALSE)=0,"Enrcoachment Data Missing",VLOOKUP(X177,'G-7 Rivers Data'!$AD$4:$AE$8,2,FALSE)))</f>
        <v/>
      </c>
      <c r="Z177" s="265" t="str">
        <f t="shared" si="18"/>
        <v/>
      </c>
      <c r="AA177" s="180"/>
      <c r="AB177" s="181"/>
      <c r="AH177" s="35" t="str">
        <f>IFERROR(INDEX('G-7 Rivers Data'!$AZ$3:$AZ$7,MATCH(C177,'G-7 Rivers Data'!$AY$3:$AY$7,0)),"")</f>
        <v/>
      </c>
    </row>
    <row r="178" spans="2:34" ht="13.8" x14ac:dyDescent="0.25">
      <c r="B178" s="168">
        <v>167</v>
      </c>
      <c r="C178" s="212"/>
      <c r="D178" s="213"/>
      <c r="E178" s="171" t="str">
        <f>IF(C178="","",VLOOKUP(C178,'G-7 Rivers Data'!$B$2:$G$8,2,FALSE))</f>
        <v/>
      </c>
      <c r="F178" s="172" t="str">
        <f>IFERROR(VLOOKUP(E178,'G-7 Rivers Data'!$C$4:$D$8,2,FALSE),"")</f>
        <v/>
      </c>
      <c r="G178" s="173"/>
      <c r="H178" s="172" t="str">
        <f>IFERROR(INDEX('G-7 Rivers Data'!$H$4:$L$8,MATCH(C178,'G-7 Rivers Data'!$B$4:$B$8,0),MATCH(G178,'G-7 Rivers Data'!$H$3:$L$3,0)),"")</f>
        <v/>
      </c>
      <c r="I178" s="186"/>
      <c r="J178" s="175" t="str">
        <f>IF(I178="","",IF(VLOOKUP(I178,'G-7 Rivers Data'!$AG$4:$AI$9,2,FALSE)=0,"Spatial Data Missing",VLOOKUP(I178,'G-7 Rivers Data'!$AG$4:$AI$9,2,FALSE)))</f>
        <v/>
      </c>
      <c r="K178" s="176" t="str">
        <f>IF(I178="","",IF(VLOOKUP(I178,'G-7 Rivers Data'!$AG$4:$AI$9,3,FALSE)=0,"Spatial Data Missing",VLOOKUP(I178,'G-7 Rivers Data'!$AG$4:$AI$9,3,FALSE)))</f>
        <v/>
      </c>
      <c r="L178" s="171" t="str">
        <f>IFERROR(INDEX('G-7 Rivers Data'!$O$3:$O$7,MATCH(G178,'G-7 Rivers Data'!$N$3:$N$7,0)),"")</f>
        <v/>
      </c>
      <c r="M178" s="94"/>
      <c r="N178" s="261"/>
      <c r="O178" s="175" t="str">
        <f t="shared" si="13"/>
        <v/>
      </c>
      <c r="P178" s="242" t="str">
        <f t="shared" si="14"/>
        <v/>
      </c>
      <c r="Q178" s="383" t="str">
        <f>IFERROR(IF(P178="Check Data","Check Data",VLOOKUP(P178,'G-4 Temporal multipliers'!$A$4:$C$37,3,FALSE)),"")</f>
        <v/>
      </c>
      <c r="R178" s="171" t="str">
        <f>IF(C178="","",VLOOKUP(C178,'G-7 Rivers Data'!$B$4:$G$8,4,FALSE))</f>
        <v/>
      </c>
      <c r="S178" s="179" t="str">
        <f t="shared" si="15"/>
        <v/>
      </c>
      <c r="T178" s="269" t="str">
        <f t="shared" si="16"/>
        <v/>
      </c>
      <c r="U178" s="172" t="str">
        <f t="shared" si="17"/>
        <v/>
      </c>
      <c r="V178" s="79"/>
      <c r="W178" s="172" t="str">
        <f>IF(V178="","",IF(VLOOKUP(V178,'G-7 Rivers Data'!$AA$4:$AB$7,2,FALSE)=0,"Spatial Data Missing",VLOOKUP(V178,'G-7 Rivers Data'!$AA$4:$AB$7,2,FALSE)))</f>
        <v/>
      </c>
      <c r="X178" s="187"/>
      <c r="Y178" s="172" t="str">
        <f>IF(X178="","",IF(VLOOKUP(X178,'G-7 Rivers Data'!$AD$4:$AE$8,2,FALSE)=0,"Enrcoachment Data Missing",VLOOKUP(X178,'G-7 Rivers Data'!$AD$4:$AE$8,2,FALSE)))</f>
        <v/>
      </c>
      <c r="Z178" s="265" t="str">
        <f t="shared" si="18"/>
        <v/>
      </c>
      <c r="AA178" s="180"/>
      <c r="AB178" s="181"/>
      <c r="AH178" s="35" t="str">
        <f>IFERROR(INDEX('G-7 Rivers Data'!$AZ$3:$AZ$7,MATCH(C178,'G-7 Rivers Data'!$AY$3:$AY$7,0)),"")</f>
        <v/>
      </c>
    </row>
    <row r="179" spans="2:34" ht="13.8" x14ac:dyDescent="0.25">
      <c r="B179" s="168">
        <v>168</v>
      </c>
      <c r="C179" s="212"/>
      <c r="D179" s="213"/>
      <c r="E179" s="171" t="str">
        <f>IF(C179="","",VLOOKUP(C179,'G-7 Rivers Data'!$B$2:$G$8,2,FALSE))</f>
        <v/>
      </c>
      <c r="F179" s="172" t="str">
        <f>IFERROR(VLOOKUP(E179,'G-7 Rivers Data'!$C$4:$D$8,2,FALSE),"")</f>
        <v/>
      </c>
      <c r="G179" s="173"/>
      <c r="H179" s="172" t="str">
        <f>IFERROR(INDEX('G-7 Rivers Data'!$H$4:$L$8,MATCH(C179,'G-7 Rivers Data'!$B$4:$B$8,0),MATCH(G179,'G-7 Rivers Data'!$H$3:$L$3,0)),"")</f>
        <v/>
      </c>
      <c r="I179" s="186"/>
      <c r="J179" s="175" t="str">
        <f>IF(I179="","",IF(VLOOKUP(I179,'G-7 Rivers Data'!$AG$4:$AI$9,2,FALSE)=0,"Spatial Data Missing",VLOOKUP(I179,'G-7 Rivers Data'!$AG$4:$AI$9,2,FALSE)))</f>
        <v/>
      </c>
      <c r="K179" s="176" t="str">
        <f>IF(I179="","",IF(VLOOKUP(I179,'G-7 Rivers Data'!$AG$4:$AI$9,3,FALSE)=0,"Spatial Data Missing",VLOOKUP(I179,'G-7 Rivers Data'!$AG$4:$AI$9,3,FALSE)))</f>
        <v/>
      </c>
      <c r="L179" s="171" t="str">
        <f>IFERROR(INDEX('G-7 Rivers Data'!$O$3:$O$7,MATCH(G179,'G-7 Rivers Data'!$N$3:$N$7,0)),"")</f>
        <v/>
      </c>
      <c r="M179" s="94"/>
      <c r="N179" s="261"/>
      <c r="O179" s="175" t="str">
        <f t="shared" si="13"/>
        <v/>
      </c>
      <c r="P179" s="242" t="str">
        <f t="shared" si="14"/>
        <v/>
      </c>
      <c r="Q179" s="383" t="str">
        <f>IFERROR(IF(P179="Check Data","Check Data",VLOOKUP(P179,'G-4 Temporal multipliers'!$A$4:$C$37,3,FALSE)),"")</f>
        <v/>
      </c>
      <c r="R179" s="171" t="str">
        <f>IF(C179="","",VLOOKUP(C179,'G-7 Rivers Data'!$B$4:$G$8,4,FALSE))</f>
        <v/>
      </c>
      <c r="S179" s="179" t="str">
        <f t="shared" si="15"/>
        <v/>
      </c>
      <c r="T179" s="269" t="str">
        <f t="shared" si="16"/>
        <v/>
      </c>
      <c r="U179" s="172" t="str">
        <f t="shared" si="17"/>
        <v/>
      </c>
      <c r="V179" s="79"/>
      <c r="W179" s="172" t="str">
        <f>IF(V179="","",IF(VLOOKUP(V179,'G-7 Rivers Data'!$AA$4:$AB$7,2,FALSE)=0,"Spatial Data Missing",VLOOKUP(V179,'G-7 Rivers Data'!$AA$4:$AB$7,2,FALSE)))</f>
        <v/>
      </c>
      <c r="X179" s="187"/>
      <c r="Y179" s="172" t="str">
        <f>IF(X179="","",IF(VLOOKUP(X179,'G-7 Rivers Data'!$AD$4:$AE$8,2,FALSE)=0,"Enrcoachment Data Missing",VLOOKUP(X179,'G-7 Rivers Data'!$AD$4:$AE$8,2,FALSE)))</f>
        <v/>
      </c>
      <c r="Z179" s="265" t="str">
        <f t="shared" si="18"/>
        <v/>
      </c>
      <c r="AA179" s="180"/>
      <c r="AB179" s="181"/>
      <c r="AH179" s="35" t="str">
        <f>IFERROR(INDEX('G-7 Rivers Data'!$AZ$3:$AZ$7,MATCH(C179,'G-7 Rivers Data'!$AY$3:$AY$7,0)),"")</f>
        <v/>
      </c>
    </row>
    <row r="180" spans="2:34" ht="13.8" x14ac:dyDescent="0.25">
      <c r="B180" s="168">
        <v>169</v>
      </c>
      <c r="C180" s="212"/>
      <c r="D180" s="213"/>
      <c r="E180" s="171" t="str">
        <f>IF(C180="","",VLOOKUP(C180,'G-7 Rivers Data'!$B$2:$G$8,2,FALSE))</f>
        <v/>
      </c>
      <c r="F180" s="172" t="str">
        <f>IFERROR(VLOOKUP(E180,'G-7 Rivers Data'!$C$4:$D$8,2,FALSE),"")</f>
        <v/>
      </c>
      <c r="G180" s="173"/>
      <c r="H180" s="172" t="str">
        <f>IFERROR(INDEX('G-7 Rivers Data'!$H$4:$L$8,MATCH(C180,'G-7 Rivers Data'!$B$4:$B$8,0),MATCH(G180,'G-7 Rivers Data'!$H$3:$L$3,0)),"")</f>
        <v/>
      </c>
      <c r="I180" s="186"/>
      <c r="J180" s="175" t="str">
        <f>IF(I180="","",IF(VLOOKUP(I180,'G-7 Rivers Data'!$AG$4:$AI$9,2,FALSE)=0,"Spatial Data Missing",VLOOKUP(I180,'G-7 Rivers Data'!$AG$4:$AI$9,2,FALSE)))</f>
        <v/>
      </c>
      <c r="K180" s="176" t="str">
        <f>IF(I180="","",IF(VLOOKUP(I180,'G-7 Rivers Data'!$AG$4:$AI$9,3,FALSE)=0,"Spatial Data Missing",VLOOKUP(I180,'G-7 Rivers Data'!$AG$4:$AI$9,3,FALSE)))</f>
        <v/>
      </c>
      <c r="L180" s="171" t="str">
        <f>IFERROR(INDEX('G-7 Rivers Data'!$O$3:$O$7,MATCH(G180,'G-7 Rivers Data'!$N$3:$N$7,0)),"")</f>
        <v/>
      </c>
      <c r="M180" s="94"/>
      <c r="N180" s="261"/>
      <c r="O180" s="175" t="str">
        <f t="shared" si="13"/>
        <v/>
      </c>
      <c r="P180" s="242" t="str">
        <f t="shared" si="14"/>
        <v/>
      </c>
      <c r="Q180" s="383" t="str">
        <f>IFERROR(IF(P180="Check Data","Check Data",VLOOKUP(P180,'G-4 Temporal multipliers'!$A$4:$C$37,3,FALSE)),"")</f>
        <v/>
      </c>
      <c r="R180" s="171" t="str">
        <f>IF(C180="","",VLOOKUP(C180,'G-7 Rivers Data'!$B$4:$G$8,4,FALSE))</f>
        <v/>
      </c>
      <c r="S180" s="179" t="str">
        <f t="shared" si="15"/>
        <v/>
      </c>
      <c r="T180" s="269" t="str">
        <f t="shared" si="16"/>
        <v/>
      </c>
      <c r="U180" s="172" t="str">
        <f t="shared" si="17"/>
        <v/>
      </c>
      <c r="V180" s="79"/>
      <c r="W180" s="172" t="str">
        <f>IF(V180="","",IF(VLOOKUP(V180,'G-7 Rivers Data'!$AA$4:$AB$7,2,FALSE)=0,"Spatial Data Missing",VLOOKUP(V180,'G-7 Rivers Data'!$AA$4:$AB$7,2,FALSE)))</f>
        <v/>
      </c>
      <c r="X180" s="187"/>
      <c r="Y180" s="172" t="str">
        <f>IF(X180="","",IF(VLOOKUP(X180,'G-7 Rivers Data'!$AD$4:$AE$8,2,FALSE)=0,"Enrcoachment Data Missing",VLOOKUP(X180,'G-7 Rivers Data'!$AD$4:$AE$8,2,FALSE)))</f>
        <v/>
      </c>
      <c r="Z180" s="265" t="str">
        <f t="shared" si="18"/>
        <v/>
      </c>
      <c r="AA180" s="180"/>
      <c r="AB180" s="181"/>
      <c r="AH180" s="35" t="str">
        <f>IFERROR(INDEX('G-7 Rivers Data'!$AZ$3:$AZ$7,MATCH(C180,'G-7 Rivers Data'!$AY$3:$AY$7,0)),"")</f>
        <v/>
      </c>
    </row>
    <row r="181" spans="2:34" ht="13.8" x14ac:dyDescent="0.25">
      <c r="B181" s="168">
        <v>170</v>
      </c>
      <c r="C181" s="212"/>
      <c r="D181" s="213"/>
      <c r="E181" s="171" t="str">
        <f>IF(C181="","",VLOOKUP(C181,'G-7 Rivers Data'!$B$2:$G$8,2,FALSE))</f>
        <v/>
      </c>
      <c r="F181" s="172" t="str">
        <f>IFERROR(VLOOKUP(E181,'G-7 Rivers Data'!$C$4:$D$8,2,FALSE),"")</f>
        <v/>
      </c>
      <c r="G181" s="173"/>
      <c r="H181" s="172" t="str">
        <f>IFERROR(INDEX('G-7 Rivers Data'!$H$4:$L$8,MATCH(C181,'G-7 Rivers Data'!$B$4:$B$8,0),MATCH(G181,'G-7 Rivers Data'!$H$3:$L$3,0)),"")</f>
        <v/>
      </c>
      <c r="I181" s="186"/>
      <c r="J181" s="175" t="str">
        <f>IF(I181="","",IF(VLOOKUP(I181,'G-7 Rivers Data'!$AG$4:$AI$9,2,FALSE)=0,"Spatial Data Missing",VLOOKUP(I181,'G-7 Rivers Data'!$AG$4:$AI$9,2,FALSE)))</f>
        <v/>
      </c>
      <c r="K181" s="176" t="str">
        <f>IF(I181="","",IF(VLOOKUP(I181,'G-7 Rivers Data'!$AG$4:$AI$9,3,FALSE)=0,"Spatial Data Missing",VLOOKUP(I181,'G-7 Rivers Data'!$AG$4:$AI$9,3,FALSE)))</f>
        <v/>
      </c>
      <c r="L181" s="171" t="str">
        <f>IFERROR(INDEX('G-7 Rivers Data'!$O$3:$O$7,MATCH(G181,'G-7 Rivers Data'!$N$3:$N$7,0)),"")</f>
        <v/>
      </c>
      <c r="M181" s="94"/>
      <c r="N181" s="261"/>
      <c r="O181" s="175" t="str">
        <f t="shared" si="13"/>
        <v/>
      </c>
      <c r="P181" s="242" t="str">
        <f t="shared" si="14"/>
        <v/>
      </c>
      <c r="Q181" s="383" t="str">
        <f>IFERROR(IF(P181="Check Data","Check Data",VLOOKUP(P181,'G-4 Temporal multipliers'!$A$4:$C$37,3,FALSE)),"")</f>
        <v/>
      </c>
      <c r="R181" s="171" t="str">
        <f>IF(C181="","",VLOOKUP(C181,'G-7 Rivers Data'!$B$4:$G$8,4,FALSE))</f>
        <v/>
      </c>
      <c r="S181" s="179" t="str">
        <f t="shared" si="15"/>
        <v/>
      </c>
      <c r="T181" s="269" t="str">
        <f t="shared" si="16"/>
        <v/>
      </c>
      <c r="U181" s="172" t="str">
        <f t="shared" si="17"/>
        <v/>
      </c>
      <c r="V181" s="79"/>
      <c r="W181" s="172" t="str">
        <f>IF(V181="","",IF(VLOOKUP(V181,'G-7 Rivers Data'!$AA$4:$AB$7,2,FALSE)=0,"Spatial Data Missing",VLOOKUP(V181,'G-7 Rivers Data'!$AA$4:$AB$7,2,FALSE)))</f>
        <v/>
      </c>
      <c r="X181" s="187"/>
      <c r="Y181" s="172" t="str">
        <f>IF(X181="","",IF(VLOOKUP(X181,'G-7 Rivers Data'!$AD$4:$AE$8,2,FALSE)=0,"Enrcoachment Data Missing",VLOOKUP(X181,'G-7 Rivers Data'!$AD$4:$AE$8,2,FALSE)))</f>
        <v/>
      </c>
      <c r="Z181" s="265" t="str">
        <f t="shared" si="18"/>
        <v/>
      </c>
      <c r="AA181" s="180"/>
      <c r="AB181" s="181"/>
      <c r="AH181" s="35" t="str">
        <f>IFERROR(INDEX('G-7 Rivers Data'!$AZ$3:$AZ$7,MATCH(C181,'G-7 Rivers Data'!$AY$3:$AY$7,0)),"")</f>
        <v/>
      </c>
    </row>
    <row r="182" spans="2:34" ht="13.8" x14ac:dyDescent="0.25">
      <c r="B182" s="168">
        <v>171</v>
      </c>
      <c r="C182" s="212"/>
      <c r="D182" s="213"/>
      <c r="E182" s="171" t="str">
        <f>IF(C182="","",VLOOKUP(C182,'G-7 Rivers Data'!$B$2:$G$8,2,FALSE))</f>
        <v/>
      </c>
      <c r="F182" s="172" t="str">
        <f>IFERROR(VLOOKUP(E182,'G-7 Rivers Data'!$C$4:$D$8,2,FALSE),"")</f>
        <v/>
      </c>
      <c r="G182" s="173"/>
      <c r="H182" s="172" t="str">
        <f>IFERROR(INDEX('G-7 Rivers Data'!$H$4:$L$8,MATCH(C182,'G-7 Rivers Data'!$B$4:$B$8,0),MATCH(G182,'G-7 Rivers Data'!$H$3:$L$3,0)),"")</f>
        <v/>
      </c>
      <c r="I182" s="186"/>
      <c r="J182" s="175" t="str">
        <f>IF(I182="","",IF(VLOOKUP(I182,'G-7 Rivers Data'!$AG$4:$AI$9,2,FALSE)=0,"Spatial Data Missing",VLOOKUP(I182,'G-7 Rivers Data'!$AG$4:$AI$9,2,FALSE)))</f>
        <v/>
      </c>
      <c r="K182" s="176" t="str">
        <f>IF(I182="","",IF(VLOOKUP(I182,'G-7 Rivers Data'!$AG$4:$AI$9,3,FALSE)=0,"Spatial Data Missing",VLOOKUP(I182,'G-7 Rivers Data'!$AG$4:$AI$9,3,FALSE)))</f>
        <v/>
      </c>
      <c r="L182" s="171" t="str">
        <f>IFERROR(INDEX('G-7 Rivers Data'!$O$3:$O$7,MATCH(G182,'G-7 Rivers Data'!$N$3:$N$7,0)),"")</f>
        <v/>
      </c>
      <c r="M182" s="94"/>
      <c r="N182" s="261"/>
      <c r="O182" s="175" t="str">
        <f t="shared" si="13"/>
        <v/>
      </c>
      <c r="P182" s="242" t="str">
        <f t="shared" si="14"/>
        <v/>
      </c>
      <c r="Q182" s="383" t="str">
        <f>IFERROR(IF(P182="Check Data","Check Data",VLOOKUP(P182,'G-4 Temporal multipliers'!$A$4:$C$37,3,FALSE)),"")</f>
        <v/>
      </c>
      <c r="R182" s="171" t="str">
        <f>IF(C182="","",VLOOKUP(C182,'G-7 Rivers Data'!$B$4:$G$8,4,FALSE))</f>
        <v/>
      </c>
      <c r="S182" s="179" t="str">
        <f t="shared" si="15"/>
        <v/>
      </c>
      <c r="T182" s="269" t="str">
        <f t="shared" si="16"/>
        <v/>
      </c>
      <c r="U182" s="172" t="str">
        <f t="shared" si="17"/>
        <v/>
      </c>
      <c r="V182" s="79"/>
      <c r="W182" s="172" t="str">
        <f>IF(V182="","",IF(VLOOKUP(V182,'G-7 Rivers Data'!$AA$4:$AB$7,2,FALSE)=0,"Spatial Data Missing",VLOOKUP(V182,'G-7 Rivers Data'!$AA$4:$AB$7,2,FALSE)))</f>
        <v/>
      </c>
      <c r="X182" s="187"/>
      <c r="Y182" s="172" t="str">
        <f>IF(X182="","",IF(VLOOKUP(X182,'G-7 Rivers Data'!$AD$4:$AE$8,2,FALSE)=0,"Enrcoachment Data Missing",VLOOKUP(X182,'G-7 Rivers Data'!$AD$4:$AE$8,2,FALSE)))</f>
        <v/>
      </c>
      <c r="Z182" s="265" t="str">
        <f t="shared" si="18"/>
        <v/>
      </c>
      <c r="AA182" s="180"/>
      <c r="AB182" s="181"/>
      <c r="AH182" s="35" t="str">
        <f>IFERROR(INDEX('G-7 Rivers Data'!$AZ$3:$AZ$7,MATCH(C182,'G-7 Rivers Data'!$AY$3:$AY$7,0)),"")</f>
        <v/>
      </c>
    </row>
    <row r="183" spans="2:34" ht="13.8" x14ac:dyDescent="0.25">
      <c r="B183" s="168">
        <v>172</v>
      </c>
      <c r="C183" s="212"/>
      <c r="D183" s="213"/>
      <c r="E183" s="171" t="str">
        <f>IF(C183="","",VLOOKUP(C183,'G-7 Rivers Data'!$B$2:$G$8,2,FALSE))</f>
        <v/>
      </c>
      <c r="F183" s="172" t="str">
        <f>IFERROR(VLOOKUP(E183,'G-7 Rivers Data'!$C$4:$D$8,2,FALSE),"")</f>
        <v/>
      </c>
      <c r="G183" s="173"/>
      <c r="H183" s="172" t="str">
        <f>IFERROR(INDEX('G-7 Rivers Data'!$H$4:$L$8,MATCH(C183,'G-7 Rivers Data'!$B$4:$B$8,0),MATCH(G183,'G-7 Rivers Data'!$H$3:$L$3,0)),"")</f>
        <v/>
      </c>
      <c r="I183" s="186"/>
      <c r="J183" s="175" t="str">
        <f>IF(I183="","",IF(VLOOKUP(I183,'G-7 Rivers Data'!$AG$4:$AI$9,2,FALSE)=0,"Spatial Data Missing",VLOOKUP(I183,'G-7 Rivers Data'!$AG$4:$AI$9,2,FALSE)))</f>
        <v/>
      </c>
      <c r="K183" s="176" t="str">
        <f>IF(I183="","",IF(VLOOKUP(I183,'G-7 Rivers Data'!$AG$4:$AI$9,3,FALSE)=0,"Spatial Data Missing",VLOOKUP(I183,'G-7 Rivers Data'!$AG$4:$AI$9,3,FALSE)))</f>
        <v/>
      </c>
      <c r="L183" s="171" t="str">
        <f>IFERROR(INDEX('G-7 Rivers Data'!$O$3:$O$7,MATCH(G183,'G-7 Rivers Data'!$N$3:$N$7,0)),"")</f>
        <v/>
      </c>
      <c r="M183" s="94"/>
      <c r="N183" s="261"/>
      <c r="O183" s="175" t="str">
        <f t="shared" si="13"/>
        <v/>
      </c>
      <c r="P183" s="242" t="str">
        <f t="shared" si="14"/>
        <v/>
      </c>
      <c r="Q183" s="383" t="str">
        <f>IFERROR(IF(P183="Check Data","Check Data",VLOOKUP(P183,'G-4 Temporal multipliers'!$A$4:$C$37,3,FALSE)),"")</f>
        <v/>
      </c>
      <c r="R183" s="171" t="str">
        <f>IF(C183="","",VLOOKUP(C183,'G-7 Rivers Data'!$B$4:$G$8,4,FALSE))</f>
        <v/>
      </c>
      <c r="S183" s="179" t="str">
        <f t="shared" si="15"/>
        <v/>
      </c>
      <c r="T183" s="269" t="str">
        <f t="shared" si="16"/>
        <v/>
      </c>
      <c r="U183" s="172" t="str">
        <f t="shared" si="17"/>
        <v/>
      </c>
      <c r="V183" s="79"/>
      <c r="W183" s="172" t="str">
        <f>IF(V183="","",IF(VLOOKUP(V183,'G-7 Rivers Data'!$AA$4:$AB$7,2,FALSE)=0,"Spatial Data Missing",VLOOKUP(V183,'G-7 Rivers Data'!$AA$4:$AB$7,2,FALSE)))</f>
        <v/>
      </c>
      <c r="X183" s="187"/>
      <c r="Y183" s="172" t="str">
        <f>IF(X183="","",IF(VLOOKUP(X183,'G-7 Rivers Data'!$AD$4:$AE$8,2,FALSE)=0,"Enrcoachment Data Missing",VLOOKUP(X183,'G-7 Rivers Data'!$AD$4:$AE$8,2,FALSE)))</f>
        <v/>
      </c>
      <c r="Z183" s="265" t="str">
        <f t="shared" si="18"/>
        <v/>
      </c>
      <c r="AA183" s="180"/>
      <c r="AB183" s="181"/>
      <c r="AH183" s="35" t="str">
        <f>IFERROR(INDEX('G-7 Rivers Data'!$AZ$3:$AZ$7,MATCH(C183,'G-7 Rivers Data'!$AY$3:$AY$7,0)),"")</f>
        <v/>
      </c>
    </row>
    <row r="184" spans="2:34" ht="13.8" x14ac:dyDescent="0.25">
      <c r="B184" s="168">
        <v>173</v>
      </c>
      <c r="C184" s="212"/>
      <c r="D184" s="213"/>
      <c r="E184" s="171" t="str">
        <f>IF(C184="","",VLOOKUP(C184,'G-7 Rivers Data'!$B$2:$G$8,2,FALSE))</f>
        <v/>
      </c>
      <c r="F184" s="172" t="str">
        <f>IFERROR(VLOOKUP(E184,'G-7 Rivers Data'!$C$4:$D$8,2,FALSE),"")</f>
        <v/>
      </c>
      <c r="G184" s="173"/>
      <c r="H184" s="172" t="str">
        <f>IFERROR(INDEX('G-7 Rivers Data'!$H$4:$L$8,MATCH(C184,'G-7 Rivers Data'!$B$4:$B$8,0),MATCH(G184,'G-7 Rivers Data'!$H$3:$L$3,0)),"")</f>
        <v/>
      </c>
      <c r="I184" s="186"/>
      <c r="J184" s="175" t="str">
        <f>IF(I184="","",IF(VLOOKUP(I184,'G-7 Rivers Data'!$AG$4:$AI$9,2,FALSE)=0,"Spatial Data Missing",VLOOKUP(I184,'G-7 Rivers Data'!$AG$4:$AI$9,2,FALSE)))</f>
        <v/>
      </c>
      <c r="K184" s="176" t="str">
        <f>IF(I184="","",IF(VLOOKUP(I184,'G-7 Rivers Data'!$AG$4:$AI$9,3,FALSE)=0,"Spatial Data Missing",VLOOKUP(I184,'G-7 Rivers Data'!$AG$4:$AI$9,3,FALSE)))</f>
        <v/>
      </c>
      <c r="L184" s="171" t="str">
        <f>IFERROR(INDEX('G-7 Rivers Data'!$O$3:$O$7,MATCH(G184,'G-7 Rivers Data'!$N$3:$N$7,0)),"")</f>
        <v/>
      </c>
      <c r="M184" s="94"/>
      <c r="N184" s="261"/>
      <c r="O184" s="175" t="str">
        <f t="shared" si="13"/>
        <v/>
      </c>
      <c r="P184" s="242" t="str">
        <f t="shared" si="14"/>
        <v/>
      </c>
      <c r="Q184" s="383" t="str">
        <f>IFERROR(IF(P184="Check Data","Check Data",VLOOKUP(P184,'G-4 Temporal multipliers'!$A$4:$C$37,3,FALSE)),"")</f>
        <v/>
      </c>
      <c r="R184" s="171" t="str">
        <f>IF(C184="","",VLOOKUP(C184,'G-7 Rivers Data'!$B$4:$G$8,4,FALSE))</f>
        <v/>
      </c>
      <c r="S184" s="179" t="str">
        <f t="shared" si="15"/>
        <v/>
      </c>
      <c r="T184" s="269" t="str">
        <f t="shared" si="16"/>
        <v/>
      </c>
      <c r="U184" s="172" t="str">
        <f t="shared" si="17"/>
        <v/>
      </c>
      <c r="V184" s="79"/>
      <c r="W184" s="172" t="str">
        <f>IF(V184="","",IF(VLOOKUP(V184,'G-7 Rivers Data'!$AA$4:$AB$7,2,FALSE)=0,"Spatial Data Missing",VLOOKUP(V184,'G-7 Rivers Data'!$AA$4:$AB$7,2,FALSE)))</f>
        <v/>
      </c>
      <c r="X184" s="187"/>
      <c r="Y184" s="172" t="str">
        <f>IF(X184="","",IF(VLOOKUP(X184,'G-7 Rivers Data'!$AD$4:$AE$8,2,FALSE)=0,"Enrcoachment Data Missing",VLOOKUP(X184,'G-7 Rivers Data'!$AD$4:$AE$8,2,FALSE)))</f>
        <v/>
      </c>
      <c r="Z184" s="265" t="str">
        <f t="shared" si="18"/>
        <v/>
      </c>
      <c r="AA184" s="180"/>
      <c r="AB184" s="181"/>
      <c r="AH184" s="35" t="str">
        <f>IFERROR(INDEX('G-7 Rivers Data'!$AZ$3:$AZ$7,MATCH(C184,'G-7 Rivers Data'!$AY$3:$AY$7,0)),"")</f>
        <v/>
      </c>
    </row>
    <row r="185" spans="2:34" ht="13.8" x14ac:dyDescent="0.25">
      <c r="B185" s="168">
        <v>174</v>
      </c>
      <c r="C185" s="212"/>
      <c r="D185" s="213"/>
      <c r="E185" s="171" t="str">
        <f>IF(C185="","",VLOOKUP(C185,'G-7 Rivers Data'!$B$2:$G$8,2,FALSE))</f>
        <v/>
      </c>
      <c r="F185" s="172" t="str">
        <f>IFERROR(VLOOKUP(E185,'G-7 Rivers Data'!$C$4:$D$8,2,FALSE),"")</f>
        <v/>
      </c>
      <c r="G185" s="173"/>
      <c r="H185" s="172" t="str">
        <f>IFERROR(INDEX('G-7 Rivers Data'!$H$4:$L$8,MATCH(C185,'G-7 Rivers Data'!$B$4:$B$8,0),MATCH(G185,'G-7 Rivers Data'!$H$3:$L$3,0)),"")</f>
        <v/>
      </c>
      <c r="I185" s="186"/>
      <c r="J185" s="175" t="str">
        <f>IF(I185="","",IF(VLOOKUP(I185,'G-7 Rivers Data'!$AG$4:$AI$9,2,FALSE)=0,"Spatial Data Missing",VLOOKUP(I185,'G-7 Rivers Data'!$AG$4:$AI$9,2,FALSE)))</f>
        <v/>
      </c>
      <c r="K185" s="176" t="str">
        <f>IF(I185="","",IF(VLOOKUP(I185,'G-7 Rivers Data'!$AG$4:$AI$9,3,FALSE)=0,"Spatial Data Missing",VLOOKUP(I185,'G-7 Rivers Data'!$AG$4:$AI$9,3,FALSE)))</f>
        <v/>
      </c>
      <c r="L185" s="171" t="str">
        <f>IFERROR(INDEX('G-7 Rivers Data'!$O$3:$O$7,MATCH(G185,'G-7 Rivers Data'!$N$3:$N$7,0)),"")</f>
        <v/>
      </c>
      <c r="M185" s="94"/>
      <c r="N185" s="261"/>
      <c r="O185" s="175" t="str">
        <f t="shared" si="13"/>
        <v/>
      </c>
      <c r="P185" s="242" t="str">
        <f t="shared" si="14"/>
        <v/>
      </c>
      <c r="Q185" s="383" t="str">
        <f>IFERROR(IF(P185="Check Data","Check Data",VLOOKUP(P185,'G-4 Temporal multipliers'!$A$4:$C$37,3,FALSE)),"")</f>
        <v/>
      </c>
      <c r="R185" s="171" t="str">
        <f>IF(C185="","",VLOOKUP(C185,'G-7 Rivers Data'!$B$4:$G$8,4,FALSE))</f>
        <v/>
      </c>
      <c r="S185" s="179" t="str">
        <f t="shared" si="15"/>
        <v/>
      </c>
      <c r="T185" s="269" t="str">
        <f t="shared" si="16"/>
        <v/>
      </c>
      <c r="U185" s="172" t="str">
        <f t="shared" si="17"/>
        <v/>
      </c>
      <c r="V185" s="79"/>
      <c r="W185" s="172" t="str">
        <f>IF(V185="","",IF(VLOOKUP(V185,'G-7 Rivers Data'!$AA$4:$AB$7,2,FALSE)=0,"Spatial Data Missing",VLOOKUP(V185,'G-7 Rivers Data'!$AA$4:$AB$7,2,FALSE)))</f>
        <v/>
      </c>
      <c r="X185" s="187"/>
      <c r="Y185" s="172" t="str">
        <f>IF(X185="","",IF(VLOOKUP(X185,'G-7 Rivers Data'!$AD$4:$AE$8,2,FALSE)=0,"Enrcoachment Data Missing",VLOOKUP(X185,'G-7 Rivers Data'!$AD$4:$AE$8,2,FALSE)))</f>
        <v/>
      </c>
      <c r="Z185" s="265" t="str">
        <f t="shared" si="18"/>
        <v/>
      </c>
      <c r="AA185" s="180"/>
      <c r="AB185" s="181"/>
      <c r="AH185" s="35" t="str">
        <f>IFERROR(INDEX('G-7 Rivers Data'!$AZ$3:$AZ$7,MATCH(C185,'G-7 Rivers Data'!$AY$3:$AY$7,0)),"")</f>
        <v/>
      </c>
    </row>
    <row r="186" spans="2:34" ht="13.8" x14ac:dyDescent="0.25">
      <c r="B186" s="168">
        <v>175</v>
      </c>
      <c r="C186" s="212"/>
      <c r="D186" s="213"/>
      <c r="E186" s="171" t="str">
        <f>IF(C186="","",VLOOKUP(C186,'G-7 Rivers Data'!$B$2:$G$8,2,FALSE))</f>
        <v/>
      </c>
      <c r="F186" s="172" t="str">
        <f>IFERROR(VLOOKUP(E186,'G-7 Rivers Data'!$C$4:$D$8,2,FALSE),"")</f>
        <v/>
      </c>
      <c r="G186" s="173"/>
      <c r="H186" s="172" t="str">
        <f>IFERROR(INDEX('G-7 Rivers Data'!$H$4:$L$8,MATCH(C186,'G-7 Rivers Data'!$B$4:$B$8,0),MATCH(G186,'G-7 Rivers Data'!$H$3:$L$3,0)),"")</f>
        <v/>
      </c>
      <c r="I186" s="186"/>
      <c r="J186" s="175" t="str">
        <f>IF(I186="","",IF(VLOOKUP(I186,'G-7 Rivers Data'!$AG$4:$AI$9,2,FALSE)=0,"Spatial Data Missing",VLOOKUP(I186,'G-7 Rivers Data'!$AG$4:$AI$9,2,FALSE)))</f>
        <v/>
      </c>
      <c r="K186" s="176" t="str">
        <f>IF(I186="","",IF(VLOOKUP(I186,'G-7 Rivers Data'!$AG$4:$AI$9,3,FALSE)=0,"Spatial Data Missing",VLOOKUP(I186,'G-7 Rivers Data'!$AG$4:$AI$9,3,FALSE)))</f>
        <v/>
      </c>
      <c r="L186" s="171" t="str">
        <f>IFERROR(INDEX('G-7 Rivers Data'!$O$3:$O$7,MATCH(G186,'G-7 Rivers Data'!$N$3:$N$7,0)),"")</f>
        <v/>
      </c>
      <c r="M186" s="94"/>
      <c r="N186" s="261"/>
      <c r="O186" s="175" t="str">
        <f t="shared" si="13"/>
        <v/>
      </c>
      <c r="P186" s="242" t="str">
        <f t="shared" si="14"/>
        <v/>
      </c>
      <c r="Q186" s="383" t="str">
        <f>IFERROR(IF(P186="Check Data","Check Data",VLOOKUP(P186,'G-4 Temporal multipliers'!$A$4:$C$37,3,FALSE)),"")</f>
        <v/>
      </c>
      <c r="R186" s="171" t="str">
        <f>IF(C186="","",VLOOKUP(C186,'G-7 Rivers Data'!$B$4:$G$8,4,FALSE))</f>
        <v/>
      </c>
      <c r="S186" s="179" t="str">
        <f t="shared" si="15"/>
        <v/>
      </c>
      <c r="T186" s="269" t="str">
        <f t="shared" si="16"/>
        <v/>
      </c>
      <c r="U186" s="172" t="str">
        <f t="shared" si="17"/>
        <v/>
      </c>
      <c r="V186" s="79"/>
      <c r="W186" s="172" t="str">
        <f>IF(V186="","",IF(VLOOKUP(V186,'G-7 Rivers Data'!$AA$4:$AB$7,2,FALSE)=0,"Spatial Data Missing",VLOOKUP(V186,'G-7 Rivers Data'!$AA$4:$AB$7,2,FALSE)))</f>
        <v/>
      </c>
      <c r="X186" s="187"/>
      <c r="Y186" s="172" t="str">
        <f>IF(X186="","",IF(VLOOKUP(X186,'G-7 Rivers Data'!$AD$4:$AE$8,2,FALSE)=0,"Enrcoachment Data Missing",VLOOKUP(X186,'G-7 Rivers Data'!$AD$4:$AE$8,2,FALSE)))</f>
        <v/>
      </c>
      <c r="Z186" s="265" t="str">
        <f t="shared" si="18"/>
        <v/>
      </c>
      <c r="AA186" s="180"/>
      <c r="AB186" s="181"/>
      <c r="AH186" s="35" t="str">
        <f>IFERROR(INDEX('G-7 Rivers Data'!$AZ$3:$AZ$7,MATCH(C186,'G-7 Rivers Data'!$AY$3:$AY$7,0)),"")</f>
        <v/>
      </c>
    </row>
    <row r="187" spans="2:34" ht="13.8" x14ac:dyDescent="0.25">
      <c r="B187" s="168">
        <v>176</v>
      </c>
      <c r="C187" s="212"/>
      <c r="D187" s="213"/>
      <c r="E187" s="171" t="str">
        <f>IF(C187="","",VLOOKUP(C187,'G-7 Rivers Data'!$B$2:$G$8,2,FALSE))</f>
        <v/>
      </c>
      <c r="F187" s="172" t="str">
        <f>IFERROR(VLOOKUP(E187,'G-7 Rivers Data'!$C$4:$D$8,2,FALSE),"")</f>
        <v/>
      </c>
      <c r="G187" s="173"/>
      <c r="H187" s="172" t="str">
        <f>IFERROR(INDEX('G-7 Rivers Data'!$H$4:$L$8,MATCH(C187,'G-7 Rivers Data'!$B$4:$B$8,0),MATCH(G187,'G-7 Rivers Data'!$H$3:$L$3,0)),"")</f>
        <v/>
      </c>
      <c r="I187" s="186"/>
      <c r="J187" s="175" t="str">
        <f>IF(I187="","",IF(VLOOKUP(I187,'G-7 Rivers Data'!$AG$4:$AI$9,2,FALSE)=0,"Spatial Data Missing",VLOOKUP(I187,'G-7 Rivers Data'!$AG$4:$AI$9,2,FALSE)))</f>
        <v/>
      </c>
      <c r="K187" s="176" t="str">
        <f>IF(I187="","",IF(VLOOKUP(I187,'G-7 Rivers Data'!$AG$4:$AI$9,3,FALSE)=0,"Spatial Data Missing",VLOOKUP(I187,'G-7 Rivers Data'!$AG$4:$AI$9,3,FALSE)))</f>
        <v/>
      </c>
      <c r="L187" s="171" t="str">
        <f>IFERROR(INDEX('G-7 Rivers Data'!$O$3:$O$7,MATCH(G187,'G-7 Rivers Data'!$N$3:$N$7,0)),"")</f>
        <v/>
      </c>
      <c r="M187" s="94"/>
      <c r="N187" s="261"/>
      <c r="O187" s="175" t="str">
        <f t="shared" si="13"/>
        <v/>
      </c>
      <c r="P187" s="242" t="str">
        <f t="shared" si="14"/>
        <v/>
      </c>
      <c r="Q187" s="383" t="str">
        <f>IFERROR(IF(P187="Check Data","Check Data",VLOOKUP(P187,'G-4 Temporal multipliers'!$A$4:$C$37,3,FALSE)),"")</f>
        <v/>
      </c>
      <c r="R187" s="171" t="str">
        <f>IF(C187="","",VLOOKUP(C187,'G-7 Rivers Data'!$B$4:$G$8,4,FALSE))</f>
        <v/>
      </c>
      <c r="S187" s="179" t="str">
        <f t="shared" si="15"/>
        <v/>
      </c>
      <c r="T187" s="269" t="str">
        <f t="shared" si="16"/>
        <v/>
      </c>
      <c r="U187" s="172" t="str">
        <f t="shared" si="17"/>
        <v/>
      </c>
      <c r="V187" s="79"/>
      <c r="W187" s="172" t="str">
        <f>IF(V187="","",IF(VLOOKUP(V187,'G-7 Rivers Data'!$AA$4:$AB$7,2,FALSE)=0,"Spatial Data Missing",VLOOKUP(V187,'G-7 Rivers Data'!$AA$4:$AB$7,2,FALSE)))</f>
        <v/>
      </c>
      <c r="X187" s="187"/>
      <c r="Y187" s="172" t="str">
        <f>IF(X187="","",IF(VLOOKUP(X187,'G-7 Rivers Data'!$AD$4:$AE$8,2,FALSE)=0,"Enrcoachment Data Missing",VLOOKUP(X187,'G-7 Rivers Data'!$AD$4:$AE$8,2,FALSE)))</f>
        <v/>
      </c>
      <c r="Z187" s="265" t="str">
        <f t="shared" si="18"/>
        <v/>
      </c>
      <c r="AA187" s="180"/>
      <c r="AB187" s="181"/>
      <c r="AH187" s="35" t="str">
        <f>IFERROR(INDEX('G-7 Rivers Data'!$AZ$3:$AZ$7,MATCH(C187,'G-7 Rivers Data'!$AY$3:$AY$7,0)),"")</f>
        <v/>
      </c>
    </row>
    <row r="188" spans="2:34" ht="13.8" x14ac:dyDescent="0.25">
      <c r="B188" s="168">
        <v>177</v>
      </c>
      <c r="C188" s="212"/>
      <c r="D188" s="213"/>
      <c r="E188" s="171" t="str">
        <f>IF(C188="","",VLOOKUP(C188,'G-7 Rivers Data'!$B$2:$G$8,2,FALSE))</f>
        <v/>
      </c>
      <c r="F188" s="172" t="str">
        <f>IFERROR(VLOOKUP(E188,'G-7 Rivers Data'!$C$4:$D$8,2,FALSE),"")</f>
        <v/>
      </c>
      <c r="G188" s="173"/>
      <c r="H188" s="172" t="str">
        <f>IFERROR(INDEX('G-7 Rivers Data'!$H$4:$L$8,MATCH(C188,'G-7 Rivers Data'!$B$4:$B$8,0),MATCH(G188,'G-7 Rivers Data'!$H$3:$L$3,0)),"")</f>
        <v/>
      </c>
      <c r="I188" s="186"/>
      <c r="J188" s="175" t="str">
        <f>IF(I188="","",IF(VLOOKUP(I188,'G-7 Rivers Data'!$AG$4:$AI$9,2,FALSE)=0,"Spatial Data Missing",VLOOKUP(I188,'G-7 Rivers Data'!$AG$4:$AI$9,2,FALSE)))</f>
        <v/>
      </c>
      <c r="K188" s="176" t="str">
        <f>IF(I188="","",IF(VLOOKUP(I188,'G-7 Rivers Data'!$AG$4:$AI$9,3,FALSE)=0,"Spatial Data Missing",VLOOKUP(I188,'G-7 Rivers Data'!$AG$4:$AI$9,3,FALSE)))</f>
        <v/>
      </c>
      <c r="L188" s="171" t="str">
        <f>IFERROR(INDEX('G-7 Rivers Data'!$O$3:$O$7,MATCH(G188,'G-7 Rivers Data'!$N$3:$N$7,0)),"")</f>
        <v/>
      </c>
      <c r="M188" s="94"/>
      <c r="N188" s="261"/>
      <c r="O188" s="175" t="str">
        <f t="shared" si="13"/>
        <v/>
      </c>
      <c r="P188" s="242" t="str">
        <f t="shared" si="14"/>
        <v/>
      </c>
      <c r="Q188" s="383" t="str">
        <f>IFERROR(IF(P188="Check Data","Check Data",VLOOKUP(P188,'G-4 Temporal multipliers'!$A$4:$C$37,3,FALSE)),"")</f>
        <v/>
      </c>
      <c r="R188" s="171" t="str">
        <f>IF(C188="","",VLOOKUP(C188,'G-7 Rivers Data'!$B$4:$G$8,4,FALSE))</f>
        <v/>
      </c>
      <c r="S188" s="179" t="str">
        <f t="shared" si="15"/>
        <v/>
      </c>
      <c r="T188" s="269" t="str">
        <f t="shared" si="16"/>
        <v/>
      </c>
      <c r="U188" s="172" t="str">
        <f t="shared" si="17"/>
        <v/>
      </c>
      <c r="V188" s="79"/>
      <c r="W188" s="172" t="str">
        <f>IF(V188="","",IF(VLOOKUP(V188,'G-7 Rivers Data'!$AA$4:$AB$7,2,FALSE)=0,"Spatial Data Missing",VLOOKUP(V188,'G-7 Rivers Data'!$AA$4:$AB$7,2,FALSE)))</f>
        <v/>
      </c>
      <c r="X188" s="187"/>
      <c r="Y188" s="172" t="str">
        <f>IF(X188="","",IF(VLOOKUP(X188,'G-7 Rivers Data'!$AD$4:$AE$8,2,FALSE)=0,"Enrcoachment Data Missing",VLOOKUP(X188,'G-7 Rivers Data'!$AD$4:$AE$8,2,FALSE)))</f>
        <v/>
      </c>
      <c r="Z188" s="265" t="str">
        <f t="shared" si="18"/>
        <v/>
      </c>
      <c r="AA188" s="180"/>
      <c r="AB188" s="181"/>
      <c r="AH188" s="35" t="str">
        <f>IFERROR(INDEX('G-7 Rivers Data'!$AZ$3:$AZ$7,MATCH(C188,'G-7 Rivers Data'!$AY$3:$AY$7,0)),"")</f>
        <v/>
      </c>
    </row>
    <row r="189" spans="2:34" ht="13.8" x14ac:dyDescent="0.25">
      <c r="B189" s="168">
        <v>178</v>
      </c>
      <c r="C189" s="212"/>
      <c r="D189" s="213"/>
      <c r="E189" s="171" t="str">
        <f>IF(C189="","",VLOOKUP(C189,'G-7 Rivers Data'!$B$2:$G$8,2,FALSE))</f>
        <v/>
      </c>
      <c r="F189" s="172" t="str">
        <f>IFERROR(VLOOKUP(E189,'G-7 Rivers Data'!$C$4:$D$8,2,FALSE),"")</f>
        <v/>
      </c>
      <c r="G189" s="173"/>
      <c r="H189" s="172" t="str">
        <f>IFERROR(INDEX('G-7 Rivers Data'!$H$4:$L$8,MATCH(C189,'G-7 Rivers Data'!$B$4:$B$8,0),MATCH(G189,'G-7 Rivers Data'!$H$3:$L$3,0)),"")</f>
        <v/>
      </c>
      <c r="I189" s="186"/>
      <c r="J189" s="175" t="str">
        <f>IF(I189="","",IF(VLOOKUP(I189,'G-7 Rivers Data'!$AG$4:$AI$9,2,FALSE)=0,"Spatial Data Missing",VLOOKUP(I189,'G-7 Rivers Data'!$AG$4:$AI$9,2,FALSE)))</f>
        <v/>
      </c>
      <c r="K189" s="176" t="str">
        <f>IF(I189="","",IF(VLOOKUP(I189,'G-7 Rivers Data'!$AG$4:$AI$9,3,FALSE)=0,"Spatial Data Missing",VLOOKUP(I189,'G-7 Rivers Data'!$AG$4:$AI$9,3,FALSE)))</f>
        <v/>
      </c>
      <c r="L189" s="171" t="str">
        <f>IFERROR(INDEX('G-7 Rivers Data'!$O$3:$O$7,MATCH(G189,'G-7 Rivers Data'!$N$3:$N$7,0)),"")</f>
        <v/>
      </c>
      <c r="M189" s="94"/>
      <c r="N189" s="261"/>
      <c r="O189" s="175" t="str">
        <f t="shared" si="13"/>
        <v/>
      </c>
      <c r="P189" s="242" t="str">
        <f t="shared" si="14"/>
        <v/>
      </c>
      <c r="Q189" s="383" t="str">
        <f>IFERROR(IF(P189="Check Data","Check Data",VLOOKUP(P189,'G-4 Temporal multipliers'!$A$4:$C$37,3,FALSE)),"")</f>
        <v/>
      </c>
      <c r="R189" s="171" t="str">
        <f>IF(C189="","",VLOOKUP(C189,'G-7 Rivers Data'!$B$4:$G$8,4,FALSE))</f>
        <v/>
      </c>
      <c r="S189" s="179" t="str">
        <f t="shared" si="15"/>
        <v/>
      </c>
      <c r="T189" s="269" t="str">
        <f t="shared" si="16"/>
        <v/>
      </c>
      <c r="U189" s="172" t="str">
        <f t="shared" si="17"/>
        <v/>
      </c>
      <c r="V189" s="79"/>
      <c r="W189" s="172" t="str">
        <f>IF(V189="","",IF(VLOOKUP(V189,'G-7 Rivers Data'!$AA$4:$AB$7,2,FALSE)=0,"Spatial Data Missing",VLOOKUP(V189,'G-7 Rivers Data'!$AA$4:$AB$7,2,FALSE)))</f>
        <v/>
      </c>
      <c r="X189" s="187"/>
      <c r="Y189" s="172" t="str">
        <f>IF(X189="","",IF(VLOOKUP(X189,'G-7 Rivers Data'!$AD$4:$AE$8,2,FALSE)=0,"Enrcoachment Data Missing",VLOOKUP(X189,'G-7 Rivers Data'!$AD$4:$AE$8,2,FALSE)))</f>
        <v/>
      </c>
      <c r="Z189" s="265" t="str">
        <f t="shared" si="18"/>
        <v/>
      </c>
      <c r="AA189" s="180"/>
      <c r="AB189" s="181"/>
      <c r="AH189" s="35" t="str">
        <f>IFERROR(INDEX('G-7 Rivers Data'!$AZ$3:$AZ$7,MATCH(C189,'G-7 Rivers Data'!$AY$3:$AY$7,0)),"")</f>
        <v/>
      </c>
    </row>
    <row r="190" spans="2:34" ht="13.8" x14ac:dyDescent="0.25">
      <c r="B190" s="168">
        <v>179</v>
      </c>
      <c r="C190" s="212"/>
      <c r="D190" s="213"/>
      <c r="E190" s="171" t="str">
        <f>IF(C190="","",VLOOKUP(C190,'G-7 Rivers Data'!$B$2:$G$8,2,FALSE))</f>
        <v/>
      </c>
      <c r="F190" s="172" t="str">
        <f>IFERROR(VLOOKUP(E190,'G-7 Rivers Data'!$C$4:$D$8,2,FALSE),"")</f>
        <v/>
      </c>
      <c r="G190" s="173"/>
      <c r="H190" s="172" t="str">
        <f>IFERROR(INDEX('G-7 Rivers Data'!$H$4:$L$8,MATCH(C190,'G-7 Rivers Data'!$B$4:$B$8,0),MATCH(G190,'G-7 Rivers Data'!$H$3:$L$3,0)),"")</f>
        <v/>
      </c>
      <c r="I190" s="186"/>
      <c r="J190" s="175" t="str">
        <f>IF(I190="","",IF(VLOOKUP(I190,'G-7 Rivers Data'!$AG$4:$AI$9,2,FALSE)=0,"Spatial Data Missing",VLOOKUP(I190,'G-7 Rivers Data'!$AG$4:$AI$9,2,FALSE)))</f>
        <v/>
      </c>
      <c r="K190" s="176" t="str">
        <f>IF(I190="","",IF(VLOOKUP(I190,'G-7 Rivers Data'!$AG$4:$AI$9,3,FALSE)=0,"Spatial Data Missing",VLOOKUP(I190,'G-7 Rivers Data'!$AG$4:$AI$9,3,FALSE)))</f>
        <v/>
      </c>
      <c r="L190" s="171" t="str">
        <f>IFERROR(INDEX('G-7 Rivers Data'!$O$3:$O$7,MATCH(G190,'G-7 Rivers Data'!$N$3:$N$7,0)),"")</f>
        <v/>
      </c>
      <c r="M190" s="94"/>
      <c r="N190" s="261"/>
      <c r="O190" s="175" t="str">
        <f t="shared" si="13"/>
        <v/>
      </c>
      <c r="P190" s="242" t="str">
        <f t="shared" si="14"/>
        <v/>
      </c>
      <c r="Q190" s="383" t="str">
        <f>IFERROR(IF(P190="Check Data","Check Data",VLOOKUP(P190,'G-4 Temporal multipliers'!$A$4:$C$37,3,FALSE)),"")</f>
        <v/>
      </c>
      <c r="R190" s="171" t="str">
        <f>IF(C190="","",VLOOKUP(C190,'G-7 Rivers Data'!$B$4:$G$8,4,FALSE))</f>
        <v/>
      </c>
      <c r="S190" s="179" t="str">
        <f t="shared" si="15"/>
        <v/>
      </c>
      <c r="T190" s="269" t="str">
        <f t="shared" si="16"/>
        <v/>
      </c>
      <c r="U190" s="172" t="str">
        <f t="shared" si="17"/>
        <v/>
      </c>
      <c r="V190" s="79"/>
      <c r="W190" s="172" t="str">
        <f>IF(V190="","",IF(VLOOKUP(V190,'G-7 Rivers Data'!$AA$4:$AB$7,2,FALSE)=0,"Spatial Data Missing",VLOOKUP(V190,'G-7 Rivers Data'!$AA$4:$AB$7,2,FALSE)))</f>
        <v/>
      </c>
      <c r="X190" s="187"/>
      <c r="Y190" s="172" t="str">
        <f>IF(X190="","",IF(VLOOKUP(X190,'G-7 Rivers Data'!$AD$4:$AE$8,2,FALSE)=0,"Enrcoachment Data Missing",VLOOKUP(X190,'G-7 Rivers Data'!$AD$4:$AE$8,2,FALSE)))</f>
        <v/>
      </c>
      <c r="Z190" s="265" t="str">
        <f t="shared" si="18"/>
        <v/>
      </c>
      <c r="AA190" s="180"/>
      <c r="AB190" s="181"/>
      <c r="AH190" s="35" t="str">
        <f>IFERROR(INDEX('G-7 Rivers Data'!$AZ$3:$AZ$7,MATCH(C190,'G-7 Rivers Data'!$AY$3:$AY$7,0)),"")</f>
        <v/>
      </c>
    </row>
    <row r="191" spans="2:34" ht="13.8" x14ac:dyDescent="0.25">
      <c r="B191" s="168">
        <v>180</v>
      </c>
      <c r="C191" s="212"/>
      <c r="D191" s="213"/>
      <c r="E191" s="171" t="str">
        <f>IF(C191="","",VLOOKUP(C191,'G-7 Rivers Data'!$B$2:$G$8,2,FALSE))</f>
        <v/>
      </c>
      <c r="F191" s="172" t="str">
        <f>IFERROR(VLOOKUP(E191,'G-7 Rivers Data'!$C$4:$D$8,2,FALSE),"")</f>
        <v/>
      </c>
      <c r="G191" s="173"/>
      <c r="H191" s="172" t="str">
        <f>IFERROR(INDEX('G-7 Rivers Data'!$H$4:$L$8,MATCH(C191,'G-7 Rivers Data'!$B$4:$B$8,0),MATCH(G191,'G-7 Rivers Data'!$H$3:$L$3,0)),"")</f>
        <v/>
      </c>
      <c r="I191" s="186"/>
      <c r="J191" s="175" t="str">
        <f>IF(I191="","",IF(VLOOKUP(I191,'G-7 Rivers Data'!$AG$4:$AI$9,2,FALSE)=0,"Spatial Data Missing",VLOOKUP(I191,'G-7 Rivers Data'!$AG$4:$AI$9,2,FALSE)))</f>
        <v/>
      </c>
      <c r="K191" s="176" t="str">
        <f>IF(I191="","",IF(VLOOKUP(I191,'G-7 Rivers Data'!$AG$4:$AI$9,3,FALSE)=0,"Spatial Data Missing",VLOOKUP(I191,'G-7 Rivers Data'!$AG$4:$AI$9,3,FALSE)))</f>
        <v/>
      </c>
      <c r="L191" s="171" t="str">
        <f>IFERROR(INDEX('G-7 Rivers Data'!$O$3:$O$7,MATCH(G191,'G-7 Rivers Data'!$N$3:$N$7,0)),"")</f>
        <v/>
      </c>
      <c r="M191" s="94"/>
      <c r="N191" s="261"/>
      <c r="O191" s="175" t="str">
        <f t="shared" si="13"/>
        <v/>
      </c>
      <c r="P191" s="242" t="str">
        <f t="shared" si="14"/>
        <v/>
      </c>
      <c r="Q191" s="383" t="str">
        <f>IFERROR(IF(P191="Check Data","Check Data",VLOOKUP(P191,'G-4 Temporal multipliers'!$A$4:$C$37,3,FALSE)),"")</f>
        <v/>
      </c>
      <c r="R191" s="171" t="str">
        <f>IF(C191="","",VLOOKUP(C191,'G-7 Rivers Data'!$B$4:$G$8,4,FALSE))</f>
        <v/>
      </c>
      <c r="S191" s="179" t="str">
        <f t="shared" si="15"/>
        <v/>
      </c>
      <c r="T191" s="269" t="str">
        <f t="shared" si="16"/>
        <v/>
      </c>
      <c r="U191" s="172" t="str">
        <f t="shared" si="17"/>
        <v/>
      </c>
      <c r="V191" s="79"/>
      <c r="W191" s="172" t="str">
        <f>IF(V191="","",IF(VLOOKUP(V191,'G-7 Rivers Data'!$AA$4:$AB$7,2,FALSE)=0,"Spatial Data Missing",VLOOKUP(V191,'G-7 Rivers Data'!$AA$4:$AB$7,2,FALSE)))</f>
        <v/>
      </c>
      <c r="X191" s="187"/>
      <c r="Y191" s="172" t="str">
        <f>IF(X191="","",IF(VLOOKUP(X191,'G-7 Rivers Data'!$AD$4:$AE$8,2,FALSE)=0,"Enrcoachment Data Missing",VLOOKUP(X191,'G-7 Rivers Data'!$AD$4:$AE$8,2,FALSE)))</f>
        <v/>
      </c>
      <c r="Z191" s="265" t="str">
        <f t="shared" si="18"/>
        <v/>
      </c>
      <c r="AA191" s="180"/>
      <c r="AB191" s="181"/>
      <c r="AH191" s="35" t="str">
        <f>IFERROR(INDEX('G-7 Rivers Data'!$AZ$3:$AZ$7,MATCH(C191,'G-7 Rivers Data'!$AY$3:$AY$7,0)),"")</f>
        <v/>
      </c>
    </row>
    <row r="192" spans="2:34" ht="13.8" x14ac:dyDescent="0.25">
      <c r="B192" s="168">
        <v>181</v>
      </c>
      <c r="C192" s="212"/>
      <c r="D192" s="213"/>
      <c r="E192" s="171" t="str">
        <f>IF(C192="","",VLOOKUP(C192,'G-7 Rivers Data'!$B$2:$G$8,2,FALSE))</f>
        <v/>
      </c>
      <c r="F192" s="172" t="str">
        <f>IFERROR(VLOOKUP(E192,'G-7 Rivers Data'!$C$4:$D$8,2,FALSE),"")</f>
        <v/>
      </c>
      <c r="G192" s="173"/>
      <c r="H192" s="172" t="str">
        <f>IFERROR(INDEX('G-7 Rivers Data'!$H$4:$L$8,MATCH(C192,'G-7 Rivers Data'!$B$4:$B$8,0),MATCH(G192,'G-7 Rivers Data'!$H$3:$L$3,0)),"")</f>
        <v/>
      </c>
      <c r="I192" s="186"/>
      <c r="J192" s="175" t="str">
        <f>IF(I192="","",IF(VLOOKUP(I192,'G-7 Rivers Data'!$AG$4:$AI$9,2,FALSE)=0,"Spatial Data Missing",VLOOKUP(I192,'G-7 Rivers Data'!$AG$4:$AI$9,2,FALSE)))</f>
        <v/>
      </c>
      <c r="K192" s="176" t="str">
        <f>IF(I192="","",IF(VLOOKUP(I192,'G-7 Rivers Data'!$AG$4:$AI$9,3,FALSE)=0,"Spatial Data Missing",VLOOKUP(I192,'G-7 Rivers Data'!$AG$4:$AI$9,3,FALSE)))</f>
        <v/>
      </c>
      <c r="L192" s="171" t="str">
        <f>IFERROR(INDEX('G-7 Rivers Data'!$O$3:$O$7,MATCH(G192,'G-7 Rivers Data'!$N$3:$N$7,0)),"")</f>
        <v/>
      </c>
      <c r="M192" s="94"/>
      <c r="N192" s="261"/>
      <c r="O192" s="175" t="str">
        <f t="shared" si="13"/>
        <v/>
      </c>
      <c r="P192" s="242" t="str">
        <f t="shared" si="14"/>
        <v/>
      </c>
      <c r="Q192" s="383" t="str">
        <f>IFERROR(IF(P192="Check Data","Check Data",VLOOKUP(P192,'G-4 Temporal multipliers'!$A$4:$C$37,3,FALSE)),"")</f>
        <v/>
      </c>
      <c r="R192" s="171" t="str">
        <f>IF(C192="","",VLOOKUP(C192,'G-7 Rivers Data'!$B$4:$G$8,4,FALSE))</f>
        <v/>
      </c>
      <c r="S192" s="179" t="str">
        <f t="shared" si="15"/>
        <v/>
      </c>
      <c r="T192" s="269" t="str">
        <f t="shared" si="16"/>
        <v/>
      </c>
      <c r="U192" s="172" t="str">
        <f t="shared" si="17"/>
        <v/>
      </c>
      <c r="V192" s="79"/>
      <c r="W192" s="172" t="str">
        <f>IF(V192="","",IF(VLOOKUP(V192,'G-7 Rivers Data'!$AA$4:$AB$7,2,FALSE)=0,"Spatial Data Missing",VLOOKUP(V192,'G-7 Rivers Data'!$AA$4:$AB$7,2,FALSE)))</f>
        <v/>
      </c>
      <c r="X192" s="187"/>
      <c r="Y192" s="172" t="str">
        <f>IF(X192="","",IF(VLOOKUP(X192,'G-7 Rivers Data'!$AD$4:$AE$8,2,FALSE)=0,"Enrcoachment Data Missing",VLOOKUP(X192,'G-7 Rivers Data'!$AD$4:$AE$8,2,FALSE)))</f>
        <v/>
      </c>
      <c r="Z192" s="265" t="str">
        <f t="shared" si="18"/>
        <v/>
      </c>
      <c r="AA192" s="180"/>
      <c r="AB192" s="181"/>
      <c r="AH192" s="35" t="str">
        <f>IFERROR(INDEX('G-7 Rivers Data'!$AZ$3:$AZ$7,MATCH(C192,'G-7 Rivers Data'!$AY$3:$AY$7,0)),"")</f>
        <v/>
      </c>
    </row>
    <row r="193" spans="2:34" ht="13.8" x14ac:dyDescent="0.25">
      <c r="B193" s="168">
        <v>182</v>
      </c>
      <c r="C193" s="212"/>
      <c r="D193" s="213"/>
      <c r="E193" s="171" t="str">
        <f>IF(C193="","",VLOOKUP(C193,'G-7 Rivers Data'!$B$2:$G$8,2,FALSE))</f>
        <v/>
      </c>
      <c r="F193" s="172" t="str">
        <f>IFERROR(VLOOKUP(E193,'G-7 Rivers Data'!$C$4:$D$8,2,FALSE),"")</f>
        <v/>
      </c>
      <c r="G193" s="173"/>
      <c r="H193" s="172" t="str">
        <f>IFERROR(INDEX('G-7 Rivers Data'!$H$4:$L$8,MATCH(C193,'G-7 Rivers Data'!$B$4:$B$8,0),MATCH(G193,'G-7 Rivers Data'!$H$3:$L$3,0)),"")</f>
        <v/>
      </c>
      <c r="I193" s="186"/>
      <c r="J193" s="175" t="str">
        <f>IF(I193="","",IF(VLOOKUP(I193,'G-7 Rivers Data'!$AG$4:$AI$9,2,FALSE)=0,"Spatial Data Missing",VLOOKUP(I193,'G-7 Rivers Data'!$AG$4:$AI$9,2,FALSE)))</f>
        <v/>
      </c>
      <c r="K193" s="176" t="str">
        <f>IF(I193="","",IF(VLOOKUP(I193,'G-7 Rivers Data'!$AG$4:$AI$9,3,FALSE)=0,"Spatial Data Missing",VLOOKUP(I193,'G-7 Rivers Data'!$AG$4:$AI$9,3,FALSE)))</f>
        <v/>
      </c>
      <c r="L193" s="171" t="str">
        <f>IFERROR(INDEX('G-7 Rivers Data'!$O$3:$O$7,MATCH(G193,'G-7 Rivers Data'!$N$3:$N$7,0)),"")</f>
        <v/>
      </c>
      <c r="M193" s="94"/>
      <c r="N193" s="261"/>
      <c r="O193" s="175" t="str">
        <f t="shared" si="13"/>
        <v/>
      </c>
      <c r="P193" s="242" t="str">
        <f t="shared" si="14"/>
        <v/>
      </c>
      <c r="Q193" s="383" t="str">
        <f>IFERROR(IF(P193="Check Data","Check Data",VLOOKUP(P193,'G-4 Temporal multipliers'!$A$4:$C$37,3,FALSE)),"")</f>
        <v/>
      </c>
      <c r="R193" s="171" t="str">
        <f>IF(C193="","",VLOOKUP(C193,'G-7 Rivers Data'!$B$4:$G$8,4,FALSE))</f>
        <v/>
      </c>
      <c r="S193" s="179" t="str">
        <f t="shared" si="15"/>
        <v/>
      </c>
      <c r="T193" s="269" t="str">
        <f t="shared" si="16"/>
        <v/>
      </c>
      <c r="U193" s="172" t="str">
        <f t="shared" si="17"/>
        <v/>
      </c>
      <c r="V193" s="79"/>
      <c r="W193" s="172" t="str">
        <f>IF(V193="","",IF(VLOOKUP(V193,'G-7 Rivers Data'!$AA$4:$AB$7,2,FALSE)=0,"Spatial Data Missing",VLOOKUP(V193,'G-7 Rivers Data'!$AA$4:$AB$7,2,FALSE)))</f>
        <v/>
      </c>
      <c r="X193" s="187"/>
      <c r="Y193" s="172" t="str">
        <f>IF(X193="","",IF(VLOOKUP(X193,'G-7 Rivers Data'!$AD$4:$AE$8,2,FALSE)=0,"Enrcoachment Data Missing",VLOOKUP(X193,'G-7 Rivers Data'!$AD$4:$AE$8,2,FALSE)))</f>
        <v/>
      </c>
      <c r="Z193" s="265" t="str">
        <f t="shared" si="18"/>
        <v/>
      </c>
      <c r="AA193" s="180"/>
      <c r="AB193" s="181"/>
      <c r="AH193" s="35" t="str">
        <f>IFERROR(INDEX('G-7 Rivers Data'!$AZ$3:$AZ$7,MATCH(C193,'G-7 Rivers Data'!$AY$3:$AY$7,0)),"")</f>
        <v/>
      </c>
    </row>
    <row r="194" spans="2:34" ht="13.8" x14ac:dyDescent="0.25">
      <c r="B194" s="168">
        <v>183</v>
      </c>
      <c r="C194" s="212"/>
      <c r="D194" s="213"/>
      <c r="E194" s="171" t="str">
        <f>IF(C194="","",VLOOKUP(C194,'G-7 Rivers Data'!$B$2:$G$8,2,FALSE))</f>
        <v/>
      </c>
      <c r="F194" s="172" t="str">
        <f>IFERROR(VLOOKUP(E194,'G-7 Rivers Data'!$C$4:$D$8,2,FALSE),"")</f>
        <v/>
      </c>
      <c r="G194" s="173"/>
      <c r="H194" s="172" t="str">
        <f>IFERROR(INDEX('G-7 Rivers Data'!$H$4:$L$8,MATCH(C194,'G-7 Rivers Data'!$B$4:$B$8,0),MATCH(G194,'G-7 Rivers Data'!$H$3:$L$3,0)),"")</f>
        <v/>
      </c>
      <c r="I194" s="186"/>
      <c r="J194" s="175" t="str">
        <f>IF(I194="","",IF(VLOOKUP(I194,'G-7 Rivers Data'!$AG$4:$AI$9,2,FALSE)=0,"Spatial Data Missing",VLOOKUP(I194,'G-7 Rivers Data'!$AG$4:$AI$9,2,FALSE)))</f>
        <v/>
      </c>
      <c r="K194" s="176" t="str">
        <f>IF(I194="","",IF(VLOOKUP(I194,'G-7 Rivers Data'!$AG$4:$AI$9,3,FALSE)=0,"Spatial Data Missing",VLOOKUP(I194,'G-7 Rivers Data'!$AG$4:$AI$9,3,FALSE)))</f>
        <v/>
      </c>
      <c r="L194" s="171" t="str">
        <f>IFERROR(INDEX('G-7 Rivers Data'!$O$3:$O$7,MATCH(G194,'G-7 Rivers Data'!$N$3:$N$7,0)),"")</f>
        <v/>
      </c>
      <c r="M194" s="94"/>
      <c r="N194" s="261"/>
      <c r="O194" s="175" t="str">
        <f t="shared" si="13"/>
        <v/>
      </c>
      <c r="P194" s="242" t="str">
        <f t="shared" si="14"/>
        <v/>
      </c>
      <c r="Q194" s="383" t="str">
        <f>IFERROR(IF(P194="Check Data","Check Data",VLOOKUP(P194,'G-4 Temporal multipliers'!$A$4:$C$37,3,FALSE)),"")</f>
        <v/>
      </c>
      <c r="R194" s="171" t="str">
        <f>IF(C194="","",VLOOKUP(C194,'G-7 Rivers Data'!$B$4:$G$8,4,FALSE))</f>
        <v/>
      </c>
      <c r="S194" s="179" t="str">
        <f t="shared" si="15"/>
        <v/>
      </c>
      <c r="T194" s="269" t="str">
        <f t="shared" si="16"/>
        <v/>
      </c>
      <c r="U194" s="172" t="str">
        <f t="shared" si="17"/>
        <v/>
      </c>
      <c r="V194" s="79"/>
      <c r="W194" s="172" t="str">
        <f>IF(V194="","",IF(VLOOKUP(V194,'G-7 Rivers Data'!$AA$4:$AB$7,2,FALSE)=0,"Spatial Data Missing",VLOOKUP(V194,'G-7 Rivers Data'!$AA$4:$AB$7,2,FALSE)))</f>
        <v/>
      </c>
      <c r="X194" s="187"/>
      <c r="Y194" s="172" t="str">
        <f>IF(X194="","",IF(VLOOKUP(X194,'G-7 Rivers Data'!$AD$4:$AE$8,2,FALSE)=0,"Enrcoachment Data Missing",VLOOKUP(X194,'G-7 Rivers Data'!$AD$4:$AE$8,2,FALSE)))</f>
        <v/>
      </c>
      <c r="Z194" s="265" t="str">
        <f t="shared" si="18"/>
        <v/>
      </c>
      <c r="AA194" s="180"/>
      <c r="AB194" s="181"/>
      <c r="AH194" s="35" t="str">
        <f>IFERROR(INDEX('G-7 Rivers Data'!$AZ$3:$AZ$7,MATCH(C194,'G-7 Rivers Data'!$AY$3:$AY$7,0)),"")</f>
        <v/>
      </c>
    </row>
    <row r="195" spans="2:34" ht="13.8" x14ac:dyDescent="0.25">
      <c r="B195" s="168">
        <v>184</v>
      </c>
      <c r="C195" s="212"/>
      <c r="D195" s="213"/>
      <c r="E195" s="171" t="str">
        <f>IF(C195="","",VLOOKUP(C195,'G-7 Rivers Data'!$B$2:$G$8,2,FALSE))</f>
        <v/>
      </c>
      <c r="F195" s="172" t="str">
        <f>IFERROR(VLOOKUP(E195,'G-7 Rivers Data'!$C$4:$D$8,2,FALSE),"")</f>
        <v/>
      </c>
      <c r="G195" s="173"/>
      <c r="H195" s="172" t="str">
        <f>IFERROR(INDEX('G-7 Rivers Data'!$H$4:$L$8,MATCH(C195,'G-7 Rivers Data'!$B$4:$B$8,0),MATCH(G195,'G-7 Rivers Data'!$H$3:$L$3,0)),"")</f>
        <v/>
      </c>
      <c r="I195" s="186"/>
      <c r="J195" s="175" t="str">
        <f>IF(I195="","",IF(VLOOKUP(I195,'G-7 Rivers Data'!$AG$4:$AI$9,2,FALSE)=0,"Spatial Data Missing",VLOOKUP(I195,'G-7 Rivers Data'!$AG$4:$AI$9,2,FALSE)))</f>
        <v/>
      </c>
      <c r="K195" s="176" t="str">
        <f>IF(I195="","",IF(VLOOKUP(I195,'G-7 Rivers Data'!$AG$4:$AI$9,3,FALSE)=0,"Spatial Data Missing",VLOOKUP(I195,'G-7 Rivers Data'!$AG$4:$AI$9,3,FALSE)))</f>
        <v/>
      </c>
      <c r="L195" s="171" t="str">
        <f>IFERROR(INDEX('G-7 Rivers Data'!$O$3:$O$7,MATCH(G195,'G-7 Rivers Data'!$N$3:$N$7,0)),"")</f>
        <v/>
      </c>
      <c r="M195" s="94"/>
      <c r="N195" s="261"/>
      <c r="O195" s="175" t="str">
        <f t="shared" si="13"/>
        <v/>
      </c>
      <c r="P195" s="242" t="str">
        <f t="shared" si="14"/>
        <v/>
      </c>
      <c r="Q195" s="383" t="str">
        <f>IFERROR(IF(P195="Check Data","Check Data",VLOOKUP(P195,'G-4 Temporal multipliers'!$A$4:$C$37,3,FALSE)),"")</f>
        <v/>
      </c>
      <c r="R195" s="171" t="str">
        <f>IF(C195="","",VLOOKUP(C195,'G-7 Rivers Data'!$B$4:$G$8,4,FALSE))</f>
        <v/>
      </c>
      <c r="S195" s="179" t="str">
        <f t="shared" si="15"/>
        <v/>
      </c>
      <c r="T195" s="269" t="str">
        <f t="shared" si="16"/>
        <v/>
      </c>
      <c r="U195" s="172" t="str">
        <f t="shared" si="17"/>
        <v/>
      </c>
      <c r="V195" s="79"/>
      <c r="W195" s="172" t="str">
        <f>IF(V195="","",IF(VLOOKUP(V195,'G-7 Rivers Data'!$AA$4:$AB$7,2,FALSE)=0,"Spatial Data Missing",VLOOKUP(V195,'G-7 Rivers Data'!$AA$4:$AB$7,2,FALSE)))</f>
        <v/>
      </c>
      <c r="X195" s="187"/>
      <c r="Y195" s="172" t="str">
        <f>IF(X195="","",IF(VLOOKUP(X195,'G-7 Rivers Data'!$AD$4:$AE$8,2,FALSE)=0,"Enrcoachment Data Missing",VLOOKUP(X195,'G-7 Rivers Data'!$AD$4:$AE$8,2,FALSE)))</f>
        <v/>
      </c>
      <c r="Z195" s="265" t="str">
        <f t="shared" si="18"/>
        <v/>
      </c>
      <c r="AA195" s="180"/>
      <c r="AB195" s="181"/>
      <c r="AH195" s="35" t="str">
        <f>IFERROR(INDEX('G-7 Rivers Data'!$AZ$3:$AZ$7,MATCH(C195,'G-7 Rivers Data'!$AY$3:$AY$7,0)),"")</f>
        <v/>
      </c>
    </row>
    <row r="196" spans="2:34" ht="13.8" x14ac:dyDescent="0.25">
      <c r="B196" s="168">
        <v>185</v>
      </c>
      <c r="C196" s="212"/>
      <c r="D196" s="213"/>
      <c r="E196" s="171" t="str">
        <f>IF(C196="","",VLOOKUP(C196,'G-7 Rivers Data'!$B$2:$G$8,2,FALSE))</f>
        <v/>
      </c>
      <c r="F196" s="172" t="str">
        <f>IFERROR(VLOOKUP(E196,'G-7 Rivers Data'!$C$4:$D$8,2,FALSE),"")</f>
        <v/>
      </c>
      <c r="G196" s="173"/>
      <c r="H196" s="172" t="str">
        <f>IFERROR(INDEX('G-7 Rivers Data'!$H$4:$L$8,MATCH(C196,'G-7 Rivers Data'!$B$4:$B$8,0),MATCH(G196,'G-7 Rivers Data'!$H$3:$L$3,0)),"")</f>
        <v/>
      </c>
      <c r="I196" s="186"/>
      <c r="J196" s="175" t="str">
        <f>IF(I196="","",IF(VLOOKUP(I196,'G-7 Rivers Data'!$AG$4:$AI$9,2,FALSE)=0,"Spatial Data Missing",VLOOKUP(I196,'G-7 Rivers Data'!$AG$4:$AI$9,2,FALSE)))</f>
        <v/>
      </c>
      <c r="K196" s="176" t="str">
        <f>IF(I196="","",IF(VLOOKUP(I196,'G-7 Rivers Data'!$AG$4:$AI$9,3,FALSE)=0,"Spatial Data Missing",VLOOKUP(I196,'G-7 Rivers Data'!$AG$4:$AI$9,3,FALSE)))</f>
        <v/>
      </c>
      <c r="L196" s="171" t="str">
        <f>IFERROR(INDEX('G-7 Rivers Data'!$O$3:$O$7,MATCH(G196,'G-7 Rivers Data'!$N$3:$N$7,0)),"")</f>
        <v/>
      </c>
      <c r="M196" s="94"/>
      <c r="N196" s="261"/>
      <c r="O196" s="175" t="str">
        <f t="shared" si="13"/>
        <v/>
      </c>
      <c r="P196" s="242" t="str">
        <f t="shared" si="14"/>
        <v/>
      </c>
      <c r="Q196" s="383" t="str">
        <f>IFERROR(IF(P196="Check Data","Check Data",VLOOKUP(P196,'G-4 Temporal multipliers'!$A$4:$C$37,3,FALSE)),"")</f>
        <v/>
      </c>
      <c r="R196" s="171" t="str">
        <f>IF(C196="","",VLOOKUP(C196,'G-7 Rivers Data'!$B$4:$G$8,4,FALSE))</f>
        <v/>
      </c>
      <c r="S196" s="179" t="str">
        <f t="shared" si="15"/>
        <v/>
      </c>
      <c r="T196" s="269" t="str">
        <f t="shared" si="16"/>
        <v/>
      </c>
      <c r="U196" s="172" t="str">
        <f t="shared" si="17"/>
        <v/>
      </c>
      <c r="V196" s="79"/>
      <c r="W196" s="172" t="str">
        <f>IF(V196="","",IF(VLOOKUP(V196,'G-7 Rivers Data'!$AA$4:$AB$7,2,FALSE)=0,"Spatial Data Missing",VLOOKUP(V196,'G-7 Rivers Data'!$AA$4:$AB$7,2,FALSE)))</f>
        <v/>
      </c>
      <c r="X196" s="187"/>
      <c r="Y196" s="172" t="str">
        <f>IF(X196="","",IF(VLOOKUP(X196,'G-7 Rivers Data'!$AD$4:$AE$8,2,FALSE)=0,"Enrcoachment Data Missing",VLOOKUP(X196,'G-7 Rivers Data'!$AD$4:$AE$8,2,FALSE)))</f>
        <v/>
      </c>
      <c r="Z196" s="265" t="str">
        <f t="shared" si="18"/>
        <v/>
      </c>
      <c r="AA196" s="180"/>
      <c r="AB196" s="181"/>
      <c r="AH196" s="35" t="str">
        <f>IFERROR(INDEX('G-7 Rivers Data'!$AZ$3:$AZ$7,MATCH(C196,'G-7 Rivers Data'!$AY$3:$AY$7,0)),"")</f>
        <v/>
      </c>
    </row>
    <row r="197" spans="2:34" ht="13.8" x14ac:dyDescent="0.25">
      <c r="B197" s="168">
        <v>186</v>
      </c>
      <c r="C197" s="212"/>
      <c r="D197" s="213"/>
      <c r="E197" s="171" t="str">
        <f>IF(C197="","",VLOOKUP(C197,'G-7 Rivers Data'!$B$2:$G$8,2,FALSE))</f>
        <v/>
      </c>
      <c r="F197" s="172" t="str">
        <f>IFERROR(VLOOKUP(E197,'G-7 Rivers Data'!$C$4:$D$8,2,FALSE),"")</f>
        <v/>
      </c>
      <c r="G197" s="173"/>
      <c r="H197" s="172" t="str">
        <f>IFERROR(INDEX('G-7 Rivers Data'!$H$4:$L$8,MATCH(C197,'G-7 Rivers Data'!$B$4:$B$8,0),MATCH(G197,'G-7 Rivers Data'!$H$3:$L$3,0)),"")</f>
        <v/>
      </c>
      <c r="I197" s="186"/>
      <c r="J197" s="175" t="str">
        <f>IF(I197="","",IF(VLOOKUP(I197,'G-7 Rivers Data'!$AG$4:$AI$9,2,FALSE)=0,"Spatial Data Missing",VLOOKUP(I197,'G-7 Rivers Data'!$AG$4:$AI$9,2,FALSE)))</f>
        <v/>
      </c>
      <c r="K197" s="176" t="str">
        <f>IF(I197="","",IF(VLOOKUP(I197,'G-7 Rivers Data'!$AG$4:$AI$9,3,FALSE)=0,"Spatial Data Missing",VLOOKUP(I197,'G-7 Rivers Data'!$AG$4:$AI$9,3,FALSE)))</f>
        <v/>
      </c>
      <c r="L197" s="171" t="str">
        <f>IFERROR(INDEX('G-7 Rivers Data'!$O$3:$O$7,MATCH(G197,'G-7 Rivers Data'!$N$3:$N$7,0)),"")</f>
        <v/>
      </c>
      <c r="M197" s="94"/>
      <c r="N197" s="261"/>
      <c r="O197" s="175" t="str">
        <f t="shared" si="13"/>
        <v/>
      </c>
      <c r="P197" s="242" t="str">
        <f t="shared" si="14"/>
        <v/>
      </c>
      <c r="Q197" s="383" t="str">
        <f>IFERROR(IF(P197="Check Data","Check Data",VLOOKUP(P197,'G-4 Temporal multipliers'!$A$4:$C$37,3,FALSE)),"")</f>
        <v/>
      </c>
      <c r="R197" s="171" t="str">
        <f>IF(C197="","",VLOOKUP(C197,'G-7 Rivers Data'!$B$4:$G$8,4,FALSE))</f>
        <v/>
      </c>
      <c r="S197" s="179" t="str">
        <f t="shared" si="15"/>
        <v/>
      </c>
      <c r="T197" s="269" t="str">
        <f t="shared" si="16"/>
        <v/>
      </c>
      <c r="U197" s="172" t="str">
        <f t="shared" si="17"/>
        <v/>
      </c>
      <c r="V197" s="79"/>
      <c r="W197" s="172" t="str">
        <f>IF(V197="","",IF(VLOOKUP(V197,'G-7 Rivers Data'!$AA$4:$AB$7,2,FALSE)=0,"Spatial Data Missing",VLOOKUP(V197,'G-7 Rivers Data'!$AA$4:$AB$7,2,FALSE)))</f>
        <v/>
      </c>
      <c r="X197" s="187"/>
      <c r="Y197" s="172" t="str">
        <f>IF(X197="","",IF(VLOOKUP(X197,'G-7 Rivers Data'!$AD$4:$AE$8,2,FALSE)=0,"Enrcoachment Data Missing",VLOOKUP(X197,'G-7 Rivers Data'!$AD$4:$AE$8,2,FALSE)))</f>
        <v/>
      </c>
      <c r="Z197" s="265" t="str">
        <f t="shared" si="18"/>
        <v/>
      </c>
      <c r="AA197" s="180"/>
      <c r="AB197" s="181"/>
      <c r="AH197" s="35" t="str">
        <f>IFERROR(INDEX('G-7 Rivers Data'!$AZ$3:$AZ$7,MATCH(C197,'G-7 Rivers Data'!$AY$3:$AY$7,0)),"")</f>
        <v/>
      </c>
    </row>
    <row r="198" spans="2:34" ht="13.8" x14ac:dyDescent="0.25">
      <c r="B198" s="168">
        <v>187</v>
      </c>
      <c r="C198" s="212"/>
      <c r="D198" s="213"/>
      <c r="E198" s="171" t="str">
        <f>IF(C198="","",VLOOKUP(C198,'G-7 Rivers Data'!$B$2:$G$8,2,FALSE))</f>
        <v/>
      </c>
      <c r="F198" s="172" t="str">
        <f>IFERROR(VLOOKUP(E198,'G-7 Rivers Data'!$C$4:$D$8,2,FALSE),"")</f>
        <v/>
      </c>
      <c r="G198" s="173"/>
      <c r="H198" s="172" t="str">
        <f>IFERROR(INDEX('G-7 Rivers Data'!$H$4:$L$8,MATCH(C198,'G-7 Rivers Data'!$B$4:$B$8,0),MATCH(G198,'G-7 Rivers Data'!$H$3:$L$3,0)),"")</f>
        <v/>
      </c>
      <c r="I198" s="186"/>
      <c r="J198" s="175" t="str">
        <f>IF(I198="","",IF(VLOOKUP(I198,'G-7 Rivers Data'!$AG$4:$AI$9,2,FALSE)=0,"Spatial Data Missing",VLOOKUP(I198,'G-7 Rivers Data'!$AG$4:$AI$9,2,FALSE)))</f>
        <v/>
      </c>
      <c r="K198" s="176" t="str">
        <f>IF(I198="","",IF(VLOOKUP(I198,'G-7 Rivers Data'!$AG$4:$AI$9,3,FALSE)=0,"Spatial Data Missing",VLOOKUP(I198,'G-7 Rivers Data'!$AG$4:$AI$9,3,FALSE)))</f>
        <v/>
      </c>
      <c r="L198" s="171" t="str">
        <f>IFERROR(INDEX('G-7 Rivers Data'!$O$3:$O$7,MATCH(G198,'G-7 Rivers Data'!$N$3:$N$7,0)),"")</f>
        <v/>
      </c>
      <c r="M198" s="94"/>
      <c r="N198" s="261"/>
      <c r="O198" s="175" t="str">
        <f t="shared" si="13"/>
        <v/>
      </c>
      <c r="P198" s="242" t="str">
        <f t="shared" si="14"/>
        <v/>
      </c>
      <c r="Q198" s="383" t="str">
        <f>IFERROR(IF(P198="Check Data","Check Data",VLOOKUP(P198,'G-4 Temporal multipliers'!$A$4:$C$37,3,FALSE)),"")</f>
        <v/>
      </c>
      <c r="R198" s="171" t="str">
        <f>IF(C198="","",VLOOKUP(C198,'G-7 Rivers Data'!$B$4:$G$8,4,FALSE))</f>
        <v/>
      </c>
      <c r="S198" s="179" t="str">
        <f t="shared" si="15"/>
        <v/>
      </c>
      <c r="T198" s="269" t="str">
        <f t="shared" si="16"/>
        <v/>
      </c>
      <c r="U198" s="172" t="str">
        <f t="shared" si="17"/>
        <v/>
      </c>
      <c r="V198" s="79"/>
      <c r="W198" s="172" t="str">
        <f>IF(V198="","",IF(VLOOKUP(V198,'G-7 Rivers Data'!$AA$4:$AB$7,2,FALSE)=0,"Spatial Data Missing",VLOOKUP(V198,'G-7 Rivers Data'!$AA$4:$AB$7,2,FALSE)))</f>
        <v/>
      </c>
      <c r="X198" s="187"/>
      <c r="Y198" s="172" t="str">
        <f>IF(X198="","",IF(VLOOKUP(X198,'G-7 Rivers Data'!$AD$4:$AE$8,2,FALSE)=0,"Enrcoachment Data Missing",VLOOKUP(X198,'G-7 Rivers Data'!$AD$4:$AE$8,2,FALSE)))</f>
        <v/>
      </c>
      <c r="Z198" s="265" t="str">
        <f t="shared" si="18"/>
        <v/>
      </c>
      <c r="AA198" s="180"/>
      <c r="AB198" s="181"/>
      <c r="AH198" s="35" t="str">
        <f>IFERROR(INDEX('G-7 Rivers Data'!$AZ$3:$AZ$7,MATCH(C198,'G-7 Rivers Data'!$AY$3:$AY$7,0)),"")</f>
        <v/>
      </c>
    </row>
    <row r="199" spans="2:34" ht="13.8" x14ac:dyDescent="0.25">
      <c r="B199" s="168">
        <v>188</v>
      </c>
      <c r="C199" s="212"/>
      <c r="D199" s="213"/>
      <c r="E199" s="171" t="str">
        <f>IF(C199="","",VLOOKUP(C199,'G-7 Rivers Data'!$B$2:$G$8,2,FALSE))</f>
        <v/>
      </c>
      <c r="F199" s="172" t="str">
        <f>IFERROR(VLOOKUP(E199,'G-7 Rivers Data'!$C$4:$D$8,2,FALSE),"")</f>
        <v/>
      </c>
      <c r="G199" s="173"/>
      <c r="H199" s="172" t="str">
        <f>IFERROR(INDEX('G-7 Rivers Data'!$H$4:$L$8,MATCH(C199,'G-7 Rivers Data'!$B$4:$B$8,0),MATCH(G199,'G-7 Rivers Data'!$H$3:$L$3,0)),"")</f>
        <v/>
      </c>
      <c r="I199" s="186"/>
      <c r="J199" s="175" t="str">
        <f>IF(I199="","",IF(VLOOKUP(I199,'G-7 Rivers Data'!$AG$4:$AI$9,2,FALSE)=0,"Spatial Data Missing",VLOOKUP(I199,'G-7 Rivers Data'!$AG$4:$AI$9,2,FALSE)))</f>
        <v/>
      </c>
      <c r="K199" s="176" t="str">
        <f>IF(I199="","",IF(VLOOKUP(I199,'G-7 Rivers Data'!$AG$4:$AI$9,3,FALSE)=0,"Spatial Data Missing",VLOOKUP(I199,'G-7 Rivers Data'!$AG$4:$AI$9,3,FALSE)))</f>
        <v/>
      </c>
      <c r="L199" s="171" t="str">
        <f>IFERROR(INDEX('G-7 Rivers Data'!$O$3:$O$7,MATCH(G199,'G-7 Rivers Data'!$N$3:$N$7,0)),"")</f>
        <v/>
      </c>
      <c r="M199" s="94"/>
      <c r="N199" s="261"/>
      <c r="O199" s="175" t="str">
        <f t="shared" si="13"/>
        <v/>
      </c>
      <c r="P199" s="242" t="str">
        <f t="shared" si="14"/>
        <v/>
      </c>
      <c r="Q199" s="383" t="str">
        <f>IFERROR(IF(P199="Check Data","Check Data",VLOOKUP(P199,'G-4 Temporal multipliers'!$A$4:$C$37,3,FALSE)),"")</f>
        <v/>
      </c>
      <c r="R199" s="171" t="str">
        <f>IF(C199="","",VLOOKUP(C199,'G-7 Rivers Data'!$B$4:$G$8,4,FALSE))</f>
        <v/>
      </c>
      <c r="S199" s="179" t="str">
        <f t="shared" si="15"/>
        <v/>
      </c>
      <c r="T199" s="269" t="str">
        <f t="shared" si="16"/>
        <v/>
      </c>
      <c r="U199" s="172" t="str">
        <f t="shared" si="17"/>
        <v/>
      </c>
      <c r="V199" s="79"/>
      <c r="W199" s="172" t="str">
        <f>IF(V199="","",IF(VLOOKUP(V199,'G-7 Rivers Data'!$AA$4:$AB$7,2,FALSE)=0,"Spatial Data Missing",VLOOKUP(V199,'G-7 Rivers Data'!$AA$4:$AB$7,2,FALSE)))</f>
        <v/>
      </c>
      <c r="X199" s="187"/>
      <c r="Y199" s="172" t="str">
        <f>IF(X199="","",IF(VLOOKUP(X199,'G-7 Rivers Data'!$AD$4:$AE$8,2,FALSE)=0,"Enrcoachment Data Missing",VLOOKUP(X199,'G-7 Rivers Data'!$AD$4:$AE$8,2,FALSE)))</f>
        <v/>
      </c>
      <c r="Z199" s="265" t="str">
        <f t="shared" si="18"/>
        <v/>
      </c>
      <c r="AA199" s="180"/>
      <c r="AB199" s="181"/>
      <c r="AH199" s="35" t="str">
        <f>IFERROR(INDEX('G-7 Rivers Data'!$AZ$3:$AZ$7,MATCH(C199,'G-7 Rivers Data'!$AY$3:$AY$7,0)),"")</f>
        <v/>
      </c>
    </row>
    <row r="200" spans="2:34" ht="13.8" x14ac:dyDescent="0.25">
      <c r="B200" s="168">
        <v>189</v>
      </c>
      <c r="C200" s="212"/>
      <c r="D200" s="213"/>
      <c r="E200" s="171" t="str">
        <f>IF(C200="","",VLOOKUP(C200,'G-7 Rivers Data'!$B$2:$G$8,2,FALSE))</f>
        <v/>
      </c>
      <c r="F200" s="172" t="str">
        <f>IFERROR(VLOOKUP(E200,'G-7 Rivers Data'!$C$4:$D$8,2,FALSE),"")</f>
        <v/>
      </c>
      <c r="G200" s="173"/>
      <c r="H200" s="172" t="str">
        <f>IFERROR(INDEX('G-7 Rivers Data'!$H$4:$L$8,MATCH(C200,'G-7 Rivers Data'!$B$4:$B$8,0),MATCH(G200,'G-7 Rivers Data'!$H$3:$L$3,0)),"")</f>
        <v/>
      </c>
      <c r="I200" s="186"/>
      <c r="J200" s="175" t="str">
        <f>IF(I200="","",IF(VLOOKUP(I200,'G-7 Rivers Data'!$AG$4:$AI$9,2,FALSE)=0,"Spatial Data Missing",VLOOKUP(I200,'G-7 Rivers Data'!$AG$4:$AI$9,2,FALSE)))</f>
        <v/>
      </c>
      <c r="K200" s="176" t="str">
        <f>IF(I200="","",IF(VLOOKUP(I200,'G-7 Rivers Data'!$AG$4:$AI$9,3,FALSE)=0,"Spatial Data Missing",VLOOKUP(I200,'G-7 Rivers Data'!$AG$4:$AI$9,3,FALSE)))</f>
        <v/>
      </c>
      <c r="L200" s="171" t="str">
        <f>IFERROR(INDEX('G-7 Rivers Data'!$O$3:$O$7,MATCH(G200,'G-7 Rivers Data'!$N$3:$N$7,0)),"")</f>
        <v/>
      </c>
      <c r="M200" s="94"/>
      <c r="N200" s="261"/>
      <c r="O200" s="175" t="str">
        <f t="shared" si="13"/>
        <v/>
      </c>
      <c r="P200" s="242" t="str">
        <f t="shared" si="14"/>
        <v/>
      </c>
      <c r="Q200" s="383" t="str">
        <f>IFERROR(IF(P200="Check Data","Check Data",VLOOKUP(P200,'G-4 Temporal multipliers'!$A$4:$C$37,3,FALSE)),"")</f>
        <v/>
      </c>
      <c r="R200" s="171" t="str">
        <f>IF(C200="","",VLOOKUP(C200,'G-7 Rivers Data'!$B$4:$G$8,4,FALSE))</f>
        <v/>
      </c>
      <c r="S200" s="179" t="str">
        <f t="shared" si="15"/>
        <v/>
      </c>
      <c r="T200" s="269" t="str">
        <f t="shared" si="16"/>
        <v/>
      </c>
      <c r="U200" s="172" t="str">
        <f t="shared" si="17"/>
        <v/>
      </c>
      <c r="V200" s="79"/>
      <c r="W200" s="172" t="str">
        <f>IF(V200="","",IF(VLOOKUP(V200,'G-7 Rivers Data'!$AA$4:$AB$7,2,FALSE)=0,"Spatial Data Missing",VLOOKUP(V200,'G-7 Rivers Data'!$AA$4:$AB$7,2,FALSE)))</f>
        <v/>
      </c>
      <c r="X200" s="187"/>
      <c r="Y200" s="172" t="str">
        <f>IF(X200="","",IF(VLOOKUP(X200,'G-7 Rivers Data'!$AD$4:$AE$8,2,FALSE)=0,"Enrcoachment Data Missing",VLOOKUP(X200,'G-7 Rivers Data'!$AD$4:$AE$8,2,FALSE)))</f>
        <v/>
      </c>
      <c r="Z200" s="265" t="str">
        <f t="shared" si="18"/>
        <v/>
      </c>
      <c r="AA200" s="180"/>
      <c r="AB200" s="181"/>
      <c r="AH200" s="35" t="str">
        <f>IFERROR(INDEX('G-7 Rivers Data'!$AZ$3:$AZ$7,MATCH(C200,'G-7 Rivers Data'!$AY$3:$AY$7,0)),"")</f>
        <v/>
      </c>
    </row>
    <row r="201" spans="2:34" ht="13.8" x14ac:dyDescent="0.25">
      <c r="B201" s="168">
        <v>190</v>
      </c>
      <c r="C201" s="212"/>
      <c r="D201" s="213"/>
      <c r="E201" s="171" t="str">
        <f>IF(C201="","",VLOOKUP(C201,'G-7 Rivers Data'!$B$2:$G$8,2,FALSE))</f>
        <v/>
      </c>
      <c r="F201" s="172" t="str">
        <f>IFERROR(VLOOKUP(E201,'G-7 Rivers Data'!$C$4:$D$8,2,FALSE),"")</f>
        <v/>
      </c>
      <c r="G201" s="173"/>
      <c r="H201" s="172" t="str">
        <f>IFERROR(INDEX('G-7 Rivers Data'!$H$4:$L$8,MATCH(C201,'G-7 Rivers Data'!$B$4:$B$8,0),MATCH(G201,'G-7 Rivers Data'!$H$3:$L$3,0)),"")</f>
        <v/>
      </c>
      <c r="I201" s="186"/>
      <c r="J201" s="175" t="str">
        <f>IF(I201="","",IF(VLOOKUP(I201,'G-7 Rivers Data'!$AG$4:$AI$9,2,FALSE)=0,"Spatial Data Missing",VLOOKUP(I201,'G-7 Rivers Data'!$AG$4:$AI$9,2,FALSE)))</f>
        <v/>
      </c>
      <c r="K201" s="176" t="str">
        <f>IF(I201="","",IF(VLOOKUP(I201,'G-7 Rivers Data'!$AG$4:$AI$9,3,FALSE)=0,"Spatial Data Missing",VLOOKUP(I201,'G-7 Rivers Data'!$AG$4:$AI$9,3,FALSE)))</f>
        <v/>
      </c>
      <c r="L201" s="171" t="str">
        <f>IFERROR(INDEX('G-7 Rivers Data'!$O$3:$O$7,MATCH(G201,'G-7 Rivers Data'!$N$3:$N$7,0)),"")</f>
        <v/>
      </c>
      <c r="M201" s="94"/>
      <c r="N201" s="261"/>
      <c r="O201" s="175" t="str">
        <f t="shared" si="13"/>
        <v/>
      </c>
      <c r="P201" s="242" t="str">
        <f t="shared" si="14"/>
        <v/>
      </c>
      <c r="Q201" s="383" t="str">
        <f>IFERROR(IF(P201="Check Data","Check Data",VLOOKUP(P201,'G-4 Temporal multipliers'!$A$4:$C$37,3,FALSE)),"")</f>
        <v/>
      </c>
      <c r="R201" s="171" t="str">
        <f>IF(C201="","",VLOOKUP(C201,'G-7 Rivers Data'!$B$4:$G$8,4,FALSE))</f>
        <v/>
      </c>
      <c r="S201" s="179" t="str">
        <f t="shared" si="15"/>
        <v/>
      </c>
      <c r="T201" s="269" t="str">
        <f t="shared" si="16"/>
        <v/>
      </c>
      <c r="U201" s="172" t="str">
        <f t="shared" si="17"/>
        <v/>
      </c>
      <c r="V201" s="79"/>
      <c r="W201" s="172" t="str">
        <f>IF(V201="","",IF(VLOOKUP(V201,'G-7 Rivers Data'!$AA$4:$AB$7,2,FALSE)=0,"Spatial Data Missing",VLOOKUP(V201,'G-7 Rivers Data'!$AA$4:$AB$7,2,FALSE)))</f>
        <v/>
      </c>
      <c r="X201" s="187"/>
      <c r="Y201" s="172" t="str">
        <f>IF(X201="","",IF(VLOOKUP(X201,'G-7 Rivers Data'!$AD$4:$AE$8,2,FALSE)=0,"Enrcoachment Data Missing",VLOOKUP(X201,'G-7 Rivers Data'!$AD$4:$AE$8,2,FALSE)))</f>
        <v/>
      </c>
      <c r="Z201" s="265" t="str">
        <f t="shared" si="18"/>
        <v/>
      </c>
      <c r="AA201" s="180"/>
      <c r="AB201" s="181"/>
      <c r="AH201" s="35" t="str">
        <f>IFERROR(INDEX('G-7 Rivers Data'!$AZ$3:$AZ$7,MATCH(C201,'G-7 Rivers Data'!$AY$3:$AY$7,0)),"")</f>
        <v/>
      </c>
    </row>
    <row r="202" spans="2:34" ht="13.8" x14ac:dyDescent="0.25">
      <c r="B202" s="168">
        <v>191</v>
      </c>
      <c r="C202" s="212"/>
      <c r="D202" s="213"/>
      <c r="E202" s="171" t="str">
        <f>IF(C202="","",VLOOKUP(C202,'G-7 Rivers Data'!$B$2:$G$8,2,FALSE))</f>
        <v/>
      </c>
      <c r="F202" s="172" t="str">
        <f>IFERROR(VLOOKUP(E202,'G-7 Rivers Data'!$C$4:$D$8,2,FALSE),"")</f>
        <v/>
      </c>
      <c r="G202" s="173"/>
      <c r="H202" s="172" t="str">
        <f>IFERROR(INDEX('G-7 Rivers Data'!$H$4:$L$8,MATCH(C202,'G-7 Rivers Data'!$B$4:$B$8,0),MATCH(G202,'G-7 Rivers Data'!$H$3:$L$3,0)),"")</f>
        <v/>
      </c>
      <c r="I202" s="186"/>
      <c r="J202" s="175" t="str">
        <f>IF(I202="","",IF(VLOOKUP(I202,'G-7 Rivers Data'!$AG$4:$AI$9,2,FALSE)=0,"Spatial Data Missing",VLOOKUP(I202,'G-7 Rivers Data'!$AG$4:$AI$9,2,FALSE)))</f>
        <v/>
      </c>
      <c r="K202" s="176" t="str">
        <f>IF(I202="","",IF(VLOOKUP(I202,'G-7 Rivers Data'!$AG$4:$AI$9,3,FALSE)=0,"Spatial Data Missing",VLOOKUP(I202,'G-7 Rivers Data'!$AG$4:$AI$9,3,FALSE)))</f>
        <v/>
      </c>
      <c r="L202" s="171" t="str">
        <f>IFERROR(INDEX('G-7 Rivers Data'!$O$3:$O$7,MATCH(G202,'G-7 Rivers Data'!$N$3:$N$7,0)),"")</f>
        <v/>
      </c>
      <c r="M202" s="94"/>
      <c r="N202" s="261"/>
      <c r="O202" s="175" t="str">
        <f t="shared" si="13"/>
        <v/>
      </c>
      <c r="P202" s="242" t="str">
        <f t="shared" si="14"/>
        <v/>
      </c>
      <c r="Q202" s="383" t="str">
        <f>IFERROR(IF(P202="Check Data","Check Data",VLOOKUP(P202,'G-4 Temporal multipliers'!$A$4:$C$37,3,FALSE)),"")</f>
        <v/>
      </c>
      <c r="R202" s="171" t="str">
        <f>IF(C202="","",VLOOKUP(C202,'G-7 Rivers Data'!$B$4:$G$8,4,FALSE))</f>
        <v/>
      </c>
      <c r="S202" s="179" t="str">
        <f t="shared" si="15"/>
        <v/>
      </c>
      <c r="T202" s="269" t="str">
        <f t="shared" si="16"/>
        <v/>
      </c>
      <c r="U202" s="172" t="str">
        <f t="shared" si="17"/>
        <v/>
      </c>
      <c r="V202" s="79"/>
      <c r="W202" s="172" t="str">
        <f>IF(V202="","",IF(VLOOKUP(V202,'G-7 Rivers Data'!$AA$4:$AB$7,2,FALSE)=0,"Spatial Data Missing",VLOOKUP(V202,'G-7 Rivers Data'!$AA$4:$AB$7,2,FALSE)))</f>
        <v/>
      </c>
      <c r="X202" s="187"/>
      <c r="Y202" s="172" t="str">
        <f>IF(X202="","",IF(VLOOKUP(X202,'G-7 Rivers Data'!$AD$4:$AE$8,2,FALSE)=0,"Enrcoachment Data Missing",VLOOKUP(X202,'G-7 Rivers Data'!$AD$4:$AE$8,2,FALSE)))</f>
        <v/>
      </c>
      <c r="Z202" s="265" t="str">
        <f t="shared" si="18"/>
        <v/>
      </c>
      <c r="AA202" s="180"/>
      <c r="AB202" s="181"/>
      <c r="AH202" s="35" t="str">
        <f>IFERROR(INDEX('G-7 Rivers Data'!$AZ$3:$AZ$7,MATCH(C202,'G-7 Rivers Data'!$AY$3:$AY$7,0)),"")</f>
        <v/>
      </c>
    </row>
    <row r="203" spans="2:34" ht="13.8" x14ac:dyDescent="0.25">
      <c r="B203" s="168">
        <v>192</v>
      </c>
      <c r="C203" s="212"/>
      <c r="D203" s="213"/>
      <c r="E203" s="171" t="str">
        <f>IF(C203="","",VLOOKUP(C203,'G-7 Rivers Data'!$B$2:$G$8,2,FALSE))</f>
        <v/>
      </c>
      <c r="F203" s="172" t="str">
        <f>IFERROR(VLOOKUP(E203,'G-7 Rivers Data'!$C$4:$D$8,2,FALSE),"")</f>
        <v/>
      </c>
      <c r="G203" s="173"/>
      <c r="H203" s="172" t="str">
        <f>IFERROR(INDEX('G-7 Rivers Data'!$H$4:$L$8,MATCH(C203,'G-7 Rivers Data'!$B$4:$B$8,0),MATCH(G203,'G-7 Rivers Data'!$H$3:$L$3,0)),"")</f>
        <v/>
      </c>
      <c r="I203" s="186"/>
      <c r="J203" s="175" t="str">
        <f>IF(I203="","",IF(VLOOKUP(I203,'G-7 Rivers Data'!$AG$4:$AI$9,2,FALSE)=0,"Spatial Data Missing",VLOOKUP(I203,'G-7 Rivers Data'!$AG$4:$AI$9,2,FALSE)))</f>
        <v/>
      </c>
      <c r="K203" s="176" t="str">
        <f>IF(I203="","",IF(VLOOKUP(I203,'G-7 Rivers Data'!$AG$4:$AI$9,3,FALSE)=0,"Spatial Data Missing",VLOOKUP(I203,'G-7 Rivers Data'!$AG$4:$AI$9,3,FALSE)))</f>
        <v/>
      </c>
      <c r="L203" s="171" t="str">
        <f>IFERROR(INDEX('G-7 Rivers Data'!$O$3:$O$7,MATCH(G203,'G-7 Rivers Data'!$N$3:$N$7,0)),"")</f>
        <v/>
      </c>
      <c r="M203" s="94"/>
      <c r="N203" s="261"/>
      <c r="O203" s="175" t="str">
        <f t="shared" si="13"/>
        <v/>
      </c>
      <c r="P203" s="242" t="str">
        <f t="shared" si="14"/>
        <v/>
      </c>
      <c r="Q203" s="383" t="str">
        <f>IFERROR(IF(P203="Check Data","Check Data",VLOOKUP(P203,'G-4 Temporal multipliers'!$A$4:$C$37,3,FALSE)),"")</f>
        <v/>
      </c>
      <c r="R203" s="171" t="str">
        <f>IF(C203="","",VLOOKUP(C203,'G-7 Rivers Data'!$B$4:$G$8,4,FALSE))</f>
        <v/>
      </c>
      <c r="S203" s="179" t="str">
        <f t="shared" si="15"/>
        <v/>
      </c>
      <c r="T203" s="269" t="str">
        <f t="shared" si="16"/>
        <v/>
      </c>
      <c r="U203" s="172" t="str">
        <f t="shared" si="17"/>
        <v/>
      </c>
      <c r="V203" s="79"/>
      <c r="W203" s="172" t="str">
        <f>IF(V203="","",IF(VLOOKUP(V203,'G-7 Rivers Data'!$AA$4:$AB$7,2,FALSE)=0,"Spatial Data Missing",VLOOKUP(V203,'G-7 Rivers Data'!$AA$4:$AB$7,2,FALSE)))</f>
        <v/>
      </c>
      <c r="X203" s="187"/>
      <c r="Y203" s="172" t="str">
        <f>IF(X203="","",IF(VLOOKUP(X203,'G-7 Rivers Data'!$AD$4:$AE$8,2,FALSE)=0,"Enrcoachment Data Missing",VLOOKUP(X203,'G-7 Rivers Data'!$AD$4:$AE$8,2,FALSE)))</f>
        <v/>
      </c>
      <c r="Z203" s="265" t="str">
        <f t="shared" si="18"/>
        <v/>
      </c>
      <c r="AA203" s="180"/>
      <c r="AB203" s="181"/>
      <c r="AH203" s="35" t="str">
        <f>IFERROR(INDEX('G-7 Rivers Data'!$AZ$3:$AZ$7,MATCH(C203,'G-7 Rivers Data'!$AY$3:$AY$7,0)),"")</f>
        <v/>
      </c>
    </row>
    <row r="204" spans="2:34" ht="13.8" x14ac:dyDescent="0.25">
      <c r="B204" s="168">
        <v>193</v>
      </c>
      <c r="C204" s="212"/>
      <c r="D204" s="213"/>
      <c r="E204" s="171" t="str">
        <f>IF(C204="","",VLOOKUP(C204,'G-7 Rivers Data'!$B$2:$G$8,2,FALSE))</f>
        <v/>
      </c>
      <c r="F204" s="172" t="str">
        <f>IFERROR(VLOOKUP(E204,'G-7 Rivers Data'!$C$4:$D$8,2,FALSE),"")</f>
        <v/>
      </c>
      <c r="G204" s="173"/>
      <c r="H204" s="172" t="str">
        <f>IFERROR(INDEX('G-7 Rivers Data'!$H$4:$L$8,MATCH(C204,'G-7 Rivers Data'!$B$4:$B$8,0),MATCH(G204,'G-7 Rivers Data'!$H$3:$L$3,0)),"")</f>
        <v/>
      </c>
      <c r="I204" s="186"/>
      <c r="J204" s="175" t="str">
        <f>IF(I204="","",IF(VLOOKUP(I204,'G-7 Rivers Data'!$AG$4:$AI$9,2,FALSE)=0,"Spatial Data Missing",VLOOKUP(I204,'G-7 Rivers Data'!$AG$4:$AI$9,2,FALSE)))</f>
        <v/>
      </c>
      <c r="K204" s="176" t="str">
        <f>IF(I204="","",IF(VLOOKUP(I204,'G-7 Rivers Data'!$AG$4:$AI$9,3,FALSE)=0,"Spatial Data Missing",VLOOKUP(I204,'G-7 Rivers Data'!$AG$4:$AI$9,3,FALSE)))</f>
        <v/>
      </c>
      <c r="L204" s="171" t="str">
        <f>IFERROR(INDEX('G-7 Rivers Data'!$O$3:$O$7,MATCH(G204,'G-7 Rivers Data'!$N$3:$N$7,0)),"")</f>
        <v/>
      </c>
      <c r="M204" s="94"/>
      <c r="N204" s="261"/>
      <c r="O204" s="175" t="str">
        <f t="shared" si="13"/>
        <v/>
      </c>
      <c r="P204" s="242" t="str">
        <f t="shared" si="14"/>
        <v/>
      </c>
      <c r="Q204" s="383" t="str">
        <f>IFERROR(IF(P204="Check Data","Check Data",VLOOKUP(P204,'G-4 Temporal multipliers'!$A$4:$C$37,3,FALSE)),"")</f>
        <v/>
      </c>
      <c r="R204" s="171" t="str">
        <f>IF(C204="","",VLOOKUP(C204,'G-7 Rivers Data'!$B$4:$G$8,4,FALSE))</f>
        <v/>
      </c>
      <c r="S204" s="179" t="str">
        <f t="shared" si="15"/>
        <v/>
      </c>
      <c r="T204" s="269" t="str">
        <f t="shared" si="16"/>
        <v/>
      </c>
      <c r="U204" s="172" t="str">
        <f t="shared" si="17"/>
        <v/>
      </c>
      <c r="V204" s="79"/>
      <c r="W204" s="172" t="str">
        <f>IF(V204="","",IF(VLOOKUP(V204,'G-7 Rivers Data'!$AA$4:$AB$7,2,FALSE)=0,"Spatial Data Missing",VLOOKUP(V204,'G-7 Rivers Data'!$AA$4:$AB$7,2,FALSE)))</f>
        <v/>
      </c>
      <c r="X204" s="187"/>
      <c r="Y204" s="172" t="str">
        <f>IF(X204="","",IF(VLOOKUP(X204,'G-7 Rivers Data'!$AD$4:$AE$8,2,FALSE)=0,"Enrcoachment Data Missing",VLOOKUP(X204,'G-7 Rivers Data'!$AD$4:$AE$8,2,FALSE)))</f>
        <v/>
      </c>
      <c r="Z204" s="265" t="str">
        <f t="shared" si="18"/>
        <v/>
      </c>
      <c r="AA204" s="180"/>
      <c r="AB204" s="181"/>
      <c r="AH204" s="35" t="str">
        <f>IFERROR(INDEX('G-7 Rivers Data'!$AZ$3:$AZ$7,MATCH(C204,'G-7 Rivers Data'!$AY$3:$AY$7,0)),"")</f>
        <v/>
      </c>
    </row>
    <row r="205" spans="2:34" ht="13.8" x14ac:dyDescent="0.25">
      <c r="B205" s="168">
        <v>194</v>
      </c>
      <c r="C205" s="212"/>
      <c r="D205" s="213"/>
      <c r="E205" s="171" t="str">
        <f>IF(C205="","",VLOOKUP(C205,'G-7 Rivers Data'!$B$2:$G$8,2,FALSE))</f>
        <v/>
      </c>
      <c r="F205" s="172" t="str">
        <f>IFERROR(VLOOKUP(E205,'G-7 Rivers Data'!$C$4:$D$8,2,FALSE),"")</f>
        <v/>
      </c>
      <c r="G205" s="173"/>
      <c r="H205" s="172" t="str">
        <f>IFERROR(INDEX('G-7 Rivers Data'!$H$4:$L$8,MATCH(C205,'G-7 Rivers Data'!$B$4:$B$8,0),MATCH(G205,'G-7 Rivers Data'!$H$3:$L$3,0)),"")</f>
        <v/>
      </c>
      <c r="I205" s="186"/>
      <c r="J205" s="175" t="str">
        <f>IF(I205="","",IF(VLOOKUP(I205,'G-7 Rivers Data'!$AG$4:$AI$9,2,FALSE)=0,"Spatial Data Missing",VLOOKUP(I205,'G-7 Rivers Data'!$AG$4:$AI$9,2,FALSE)))</f>
        <v/>
      </c>
      <c r="K205" s="176" t="str">
        <f>IF(I205="","",IF(VLOOKUP(I205,'G-7 Rivers Data'!$AG$4:$AI$9,3,FALSE)=0,"Spatial Data Missing",VLOOKUP(I205,'G-7 Rivers Data'!$AG$4:$AI$9,3,FALSE)))</f>
        <v/>
      </c>
      <c r="L205" s="171" t="str">
        <f>IFERROR(INDEX('G-7 Rivers Data'!$O$3:$O$7,MATCH(G205,'G-7 Rivers Data'!$N$3:$N$7,0)),"")</f>
        <v/>
      </c>
      <c r="M205" s="94"/>
      <c r="N205" s="261"/>
      <c r="O205" s="175" t="str">
        <f t="shared" ref="O205:O259" si="19">IF(L205="","",IF(AND(M205&gt;0,N205&gt;0),"Error -both advance and delayed habitat creation",IF(AND(OR(M205="Habitat already in target condition",L205&lt;=M205),N205=0),"Check details - Is there evidence that habitat has reached target condition?",IF(M205&gt;0,"Check details - Is there evidence habitat creation started/in place?",IF(N205&gt;0,"Check details- Delay in starting habitat in required condition?","Standard time to target condition applied")))))</f>
        <v/>
      </c>
      <c r="P205" s="242" t="str">
        <f t="shared" ref="P205:P259" si="20">IF(LEFT(O205,5)="Error","Check Data",IF(L205="","",IF(M205="30+",0,IF(N205="30+","30+",IF(L205+N205&gt;30,"30+",IF(L205+N205-M205&gt;0,L205+N205-M205,IF(L205-M205&lt;0,0,L205+N205-M205)))))))</f>
        <v/>
      </c>
      <c r="Q205" s="383" t="str">
        <f>IFERROR(IF(P205="Check Data","Check Data",VLOOKUP(P205,'G-4 Temporal multipliers'!$A$4:$C$37,3,FALSE)),"")</f>
        <v/>
      </c>
      <c r="R205" s="171" t="str">
        <f>IF(C205="","",VLOOKUP(C205,'G-7 Rivers Data'!$B$4:$G$8,4,FALSE))</f>
        <v/>
      </c>
      <c r="S205" s="179" t="str">
        <f t="shared" ref="S205:S259" si="21">IF(C205="","",IF(P205="Check Data","Check Data",IF(G205="","",IF($O205="Check details - Is there evidence that habitat has reached target condition?","Low Difficulty - only applicable if all habitat created before losses","Standard difficulty applied"))))</f>
        <v/>
      </c>
      <c r="T205" s="269" t="str">
        <f t="shared" ref="T205:T259" si="22">(IF(AND(S205="Standard difficulty applied",L205&gt;M205),R205,IF(AND(S205="Low Difficulty - only applicable if all habitat created before losses",M205&gt;=L205),"Low",R205)))</f>
        <v/>
      </c>
      <c r="U205" s="172" t="str">
        <f t="shared" ref="U205:U259" si="23">IF(C205="","",VLOOKUP(R205,Difficulty,2,FALSE))</f>
        <v/>
      </c>
      <c r="V205" s="79"/>
      <c r="W205" s="172" t="str">
        <f>IF(V205="","",IF(VLOOKUP(V205,'G-7 Rivers Data'!$AA$4:$AB$7,2,FALSE)=0,"Spatial Data Missing",VLOOKUP(V205,'G-7 Rivers Data'!$AA$4:$AB$7,2,FALSE)))</f>
        <v/>
      </c>
      <c r="X205" s="187"/>
      <c r="Y205" s="172" t="str">
        <f>IF(X205="","",IF(VLOOKUP(X205,'G-7 Rivers Data'!$AD$4:$AE$8,2,FALSE)=0,"Enrcoachment Data Missing",VLOOKUP(X205,'G-7 Rivers Data'!$AD$4:$AE$8,2,FALSE)))</f>
        <v/>
      </c>
      <c r="Z205" s="265" t="str">
        <f t="shared" ref="Z205:Z259" si="24">IFERROR(IF(C205="","",D205*F205*H205*K205*Q205*U205*Y205*W205),"")</f>
        <v/>
      </c>
      <c r="AA205" s="180"/>
      <c r="AB205" s="181"/>
      <c r="AH205" s="35" t="str">
        <f>IFERROR(INDEX('G-7 Rivers Data'!$AZ$3:$AZ$7,MATCH(C205,'G-7 Rivers Data'!$AY$3:$AY$7,0)),"")</f>
        <v/>
      </c>
    </row>
    <row r="206" spans="2:34" ht="13.8" x14ac:dyDescent="0.25">
      <c r="B206" s="168">
        <v>195</v>
      </c>
      <c r="C206" s="212"/>
      <c r="D206" s="213"/>
      <c r="E206" s="171" t="str">
        <f>IF(C206="","",VLOOKUP(C206,'G-7 Rivers Data'!$B$2:$G$8,2,FALSE))</f>
        <v/>
      </c>
      <c r="F206" s="172" t="str">
        <f>IFERROR(VLOOKUP(E206,'G-7 Rivers Data'!$C$4:$D$8,2,FALSE),"")</f>
        <v/>
      </c>
      <c r="G206" s="173"/>
      <c r="H206" s="172" t="str">
        <f>IFERROR(INDEX('G-7 Rivers Data'!$H$4:$L$8,MATCH(C206,'G-7 Rivers Data'!$B$4:$B$8,0),MATCH(G206,'G-7 Rivers Data'!$H$3:$L$3,0)),"")</f>
        <v/>
      </c>
      <c r="I206" s="186"/>
      <c r="J206" s="175" t="str">
        <f>IF(I206="","",IF(VLOOKUP(I206,'G-7 Rivers Data'!$AG$4:$AI$9,2,FALSE)=0,"Spatial Data Missing",VLOOKUP(I206,'G-7 Rivers Data'!$AG$4:$AI$9,2,FALSE)))</f>
        <v/>
      </c>
      <c r="K206" s="176" t="str">
        <f>IF(I206="","",IF(VLOOKUP(I206,'G-7 Rivers Data'!$AG$4:$AI$9,3,FALSE)=0,"Spatial Data Missing",VLOOKUP(I206,'G-7 Rivers Data'!$AG$4:$AI$9,3,FALSE)))</f>
        <v/>
      </c>
      <c r="L206" s="171" t="str">
        <f>IFERROR(INDEX('G-7 Rivers Data'!$O$3:$O$7,MATCH(G206,'G-7 Rivers Data'!$N$3:$N$7,0)),"")</f>
        <v/>
      </c>
      <c r="M206" s="94"/>
      <c r="N206" s="261"/>
      <c r="O206" s="175" t="str">
        <f t="shared" si="19"/>
        <v/>
      </c>
      <c r="P206" s="242" t="str">
        <f t="shared" si="20"/>
        <v/>
      </c>
      <c r="Q206" s="383" t="str">
        <f>IFERROR(IF(P206="Check Data","Check Data",VLOOKUP(P206,'G-4 Temporal multipliers'!$A$4:$C$37,3,FALSE)),"")</f>
        <v/>
      </c>
      <c r="R206" s="171" t="str">
        <f>IF(C206="","",VLOOKUP(C206,'G-7 Rivers Data'!$B$4:$G$8,4,FALSE))</f>
        <v/>
      </c>
      <c r="S206" s="179" t="str">
        <f t="shared" si="21"/>
        <v/>
      </c>
      <c r="T206" s="269" t="str">
        <f t="shared" si="22"/>
        <v/>
      </c>
      <c r="U206" s="172" t="str">
        <f t="shared" si="23"/>
        <v/>
      </c>
      <c r="V206" s="79"/>
      <c r="W206" s="172" t="str">
        <f>IF(V206="","",IF(VLOOKUP(V206,'G-7 Rivers Data'!$AA$4:$AB$7,2,FALSE)=0,"Spatial Data Missing",VLOOKUP(V206,'G-7 Rivers Data'!$AA$4:$AB$7,2,FALSE)))</f>
        <v/>
      </c>
      <c r="X206" s="187"/>
      <c r="Y206" s="172" t="str">
        <f>IF(X206="","",IF(VLOOKUP(X206,'G-7 Rivers Data'!$AD$4:$AE$8,2,FALSE)=0,"Enrcoachment Data Missing",VLOOKUP(X206,'G-7 Rivers Data'!$AD$4:$AE$8,2,FALSE)))</f>
        <v/>
      </c>
      <c r="Z206" s="265" t="str">
        <f t="shared" si="24"/>
        <v/>
      </c>
      <c r="AA206" s="180"/>
      <c r="AB206" s="181"/>
      <c r="AH206" s="35" t="str">
        <f>IFERROR(INDEX('G-7 Rivers Data'!$AZ$3:$AZ$7,MATCH(C206,'G-7 Rivers Data'!$AY$3:$AY$7,0)),"")</f>
        <v/>
      </c>
    </row>
    <row r="207" spans="2:34" ht="13.8" x14ac:dyDescent="0.25">
      <c r="B207" s="168">
        <v>196</v>
      </c>
      <c r="C207" s="212"/>
      <c r="D207" s="213"/>
      <c r="E207" s="171" t="str">
        <f>IF(C207="","",VLOOKUP(C207,'G-7 Rivers Data'!$B$2:$G$8,2,FALSE))</f>
        <v/>
      </c>
      <c r="F207" s="172" t="str">
        <f>IFERROR(VLOOKUP(E207,'G-7 Rivers Data'!$C$4:$D$8,2,FALSE),"")</f>
        <v/>
      </c>
      <c r="G207" s="173"/>
      <c r="H207" s="172" t="str">
        <f>IFERROR(INDEX('G-7 Rivers Data'!$H$4:$L$8,MATCH(C207,'G-7 Rivers Data'!$B$4:$B$8,0),MATCH(G207,'G-7 Rivers Data'!$H$3:$L$3,0)),"")</f>
        <v/>
      </c>
      <c r="I207" s="186"/>
      <c r="J207" s="175" t="str">
        <f>IF(I207="","",IF(VLOOKUP(I207,'G-7 Rivers Data'!$AG$4:$AI$9,2,FALSE)=0,"Spatial Data Missing",VLOOKUP(I207,'G-7 Rivers Data'!$AG$4:$AI$9,2,FALSE)))</f>
        <v/>
      </c>
      <c r="K207" s="176" t="str">
        <f>IF(I207="","",IF(VLOOKUP(I207,'G-7 Rivers Data'!$AG$4:$AI$9,3,FALSE)=0,"Spatial Data Missing",VLOOKUP(I207,'G-7 Rivers Data'!$AG$4:$AI$9,3,FALSE)))</f>
        <v/>
      </c>
      <c r="L207" s="171" t="str">
        <f>IFERROR(INDEX('G-7 Rivers Data'!$O$3:$O$7,MATCH(G207,'G-7 Rivers Data'!$N$3:$N$7,0)),"")</f>
        <v/>
      </c>
      <c r="M207" s="94"/>
      <c r="N207" s="261"/>
      <c r="O207" s="175" t="str">
        <f t="shared" si="19"/>
        <v/>
      </c>
      <c r="P207" s="242" t="str">
        <f t="shared" si="20"/>
        <v/>
      </c>
      <c r="Q207" s="383" t="str">
        <f>IFERROR(IF(P207="Check Data","Check Data",VLOOKUP(P207,'G-4 Temporal multipliers'!$A$4:$C$37,3,FALSE)),"")</f>
        <v/>
      </c>
      <c r="R207" s="171" t="str">
        <f>IF(C207="","",VLOOKUP(C207,'G-7 Rivers Data'!$B$4:$G$8,4,FALSE))</f>
        <v/>
      </c>
      <c r="S207" s="179" t="str">
        <f t="shared" si="21"/>
        <v/>
      </c>
      <c r="T207" s="269" t="str">
        <f t="shared" si="22"/>
        <v/>
      </c>
      <c r="U207" s="172" t="str">
        <f t="shared" si="23"/>
        <v/>
      </c>
      <c r="V207" s="79"/>
      <c r="W207" s="172" t="str">
        <f>IF(V207="","",IF(VLOOKUP(V207,'G-7 Rivers Data'!$AA$4:$AB$7,2,FALSE)=0,"Spatial Data Missing",VLOOKUP(V207,'G-7 Rivers Data'!$AA$4:$AB$7,2,FALSE)))</f>
        <v/>
      </c>
      <c r="X207" s="187"/>
      <c r="Y207" s="172" t="str">
        <f>IF(X207="","",IF(VLOOKUP(X207,'G-7 Rivers Data'!$AD$4:$AE$8,2,FALSE)=0,"Enrcoachment Data Missing",VLOOKUP(X207,'G-7 Rivers Data'!$AD$4:$AE$8,2,FALSE)))</f>
        <v/>
      </c>
      <c r="Z207" s="265" t="str">
        <f t="shared" si="24"/>
        <v/>
      </c>
      <c r="AA207" s="180"/>
      <c r="AB207" s="181"/>
      <c r="AH207" s="35" t="str">
        <f>IFERROR(INDEX('G-7 Rivers Data'!$AZ$3:$AZ$7,MATCH(C207,'G-7 Rivers Data'!$AY$3:$AY$7,0)),"")</f>
        <v/>
      </c>
    </row>
    <row r="208" spans="2:34" ht="13.8" x14ac:dyDescent="0.25">
      <c r="B208" s="168">
        <v>197</v>
      </c>
      <c r="C208" s="212"/>
      <c r="D208" s="213"/>
      <c r="E208" s="171" t="str">
        <f>IF(C208="","",VLOOKUP(C208,'G-7 Rivers Data'!$B$2:$G$8,2,FALSE))</f>
        <v/>
      </c>
      <c r="F208" s="172" t="str">
        <f>IFERROR(VLOOKUP(E208,'G-7 Rivers Data'!$C$4:$D$8,2,FALSE),"")</f>
        <v/>
      </c>
      <c r="G208" s="173"/>
      <c r="H208" s="172" t="str">
        <f>IFERROR(INDEX('G-7 Rivers Data'!$H$4:$L$8,MATCH(C208,'G-7 Rivers Data'!$B$4:$B$8,0),MATCH(G208,'G-7 Rivers Data'!$H$3:$L$3,0)),"")</f>
        <v/>
      </c>
      <c r="I208" s="186"/>
      <c r="J208" s="175" t="str">
        <f>IF(I208="","",IF(VLOOKUP(I208,'G-7 Rivers Data'!$AG$4:$AI$9,2,FALSE)=0,"Spatial Data Missing",VLOOKUP(I208,'G-7 Rivers Data'!$AG$4:$AI$9,2,FALSE)))</f>
        <v/>
      </c>
      <c r="K208" s="176" t="str">
        <f>IF(I208="","",IF(VLOOKUP(I208,'G-7 Rivers Data'!$AG$4:$AI$9,3,FALSE)=0,"Spatial Data Missing",VLOOKUP(I208,'G-7 Rivers Data'!$AG$4:$AI$9,3,FALSE)))</f>
        <v/>
      </c>
      <c r="L208" s="171" t="str">
        <f>IFERROR(INDEX('G-7 Rivers Data'!$O$3:$O$7,MATCH(G208,'G-7 Rivers Data'!$N$3:$N$7,0)),"")</f>
        <v/>
      </c>
      <c r="M208" s="94"/>
      <c r="N208" s="261"/>
      <c r="O208" s="175" t="str">
        <f t="shared" si="19"/>
        <v/>
      </c>
      <c r="P208" s="242" t="str">
        <f t="shared" si="20"/>
        <v/>
      </c>
      <c r="Q208" s="383" t="str">
        <f>IFERROR(IF(P208="Check Data","Check Data",VLOOKUP(P208,'G-4 Temporal multipliers'!$A$4:$C$37,3,FALSE)),"")</f>
        <v/>
      </c>
      <c r="R208" s="171" t="str">
        <f>IF(C208="","",VLOOKUP(C208,'G-7 Rivers Data'!$B$4:$G$8,4,FALSE))</f>
        <v/>
      </c>
      <c r="S208" s="179" t="str">
        <f t="shared" si="21"/>
        <v/>
      </c>
      <c r="T208" s="269" t="str">
        <f t="shared" si="22"/>
        <v/>
      </c>
      <c r="U208" s="172" t="str">
        <f t="shared" si="23"/>
        <v/>
      </c>
      <c r="V208" s="79"/>
      <c r="W208" s="172" t="str">
        <f>IF(V208="","",IF(VLOOKUP(V208,'G-7 Rivers Data'!$AA$4:$AB$7,2,FALSE)=0,"Spatial Data Missing",VLOOKUP(V208,'G-7 Rivers Data'!$AA$4:$AB$7,2,FALSE)))</f>
        <v/>
      </c>
      <c r="X208" s="187"/>
      <c r="Y208" s="172" t="str">
        <f>IF(X208="","",IF(VLOOKUP(X208,'G-7 Rivers Data'!$AD$4:$AE$8,2,FALSE)=0,"Enrcoachment Data Missing",VLOOKUP(X208,'G-7 Rivers Data'!$AD$4:$AE$8,2,FALSE)))</f>
        <v/>
      </c>
      <c r="Z208" s="265" t="str">
        <f t="shared" si="24"/>
        <v/>
      </c>
      <c r="AA208" s="180"/>
      <c r="AB208" s="181"/>
      <c r="AH208" s="35" t="str">
        <f>IFERROR(INDEX('G-7 Rivers Data'!$AZ$3:$AZ$7,MATCH(C208,'G-7 Rivers Data'!$AY$3:$AY$7,0)),"")</f>
        <v/>
      </c>
    </row>
    <row r="209" spans="2:34" ht="13.8" x14ac:dyDescent="0.25">
      <c r="B209" s="168">
        <v>198</v>
      </c>
      <c r="C209" s="212"/>
      <c r="D209" s="213"/>
      <c r="E209" s="171" t="str">
        <f>IF(C209="","",VLOOKUP(C209,'G-7 Rivers Data'!$B$2:$G$8,2,FALSE))</f>
        <v/>
      </c>
      <c r="F209" s="172" t="str">
        <f>IFERROR(VLOOKUP(E209,'G-7 Rivers Data'!$C$4:$D$8,2,FALSE),"")</f>
        <v/>
      </c>
      <c r="G209" s="173"/>
      <c r="H209" s="172" t="str">
        <f>IFERROR(INDEX('G-7 Rivers Data'!$H$4:$L$8,MATCH(C209,'G-7 Rivers Data'!$B$4:$B$8,0),MATCH(G209,'G-7 Rivers Data'!$H$3:$L$3,0)),"")</f>
        <v/>
      </c>
      <c r="I209" s="186"/>
      <c r="J209" s="175" t="str">
        <f>IF(I209="","",IF(VLOOKUP(I209,'G-7 Rivers Data'!$AG$4:$AI$9,2,FALSE)=0,"Spatial Data Missing",VLOOKUP(I209,'G-7 Rivers Data'!$AG$4:$AI$9,2,FALSE)))</f>
        <v/>
      </c>
      <c r="K209" s="176" t="str">
        <f>IF(I209="","",IF(VLOOKUP(I209,'G-7 Rivers Data'!$AG$4:$AI$9,3,FALSE)=0,"Spatial Data Missing",VLOOKUP(I209,'G-7 Rivers Data'!$AG$4:$AI$9,3,FALSE)))</f>
        <v/>
      </c>
      <c r="L209" s="171" t="str">
        <f>IFERROR(INDEX('G-7 Rivers Data'!$O$3:$O$7,MATCH(G209,'G-7 Rivers Data'!$N$3:$N$7,0)),"")</f>
        <v/>
      </c>
      <c r="M209" s="94"/>
      <c r="N209" s="261"/>
      <c r="O209" s="175" t="str">
        <f t="shared" si="19"/>
        <v/>
      </c>
      <c r="P209" s="242" t="str">
        <f t="shared" si="20"/>
        <v/>
      </c>
      <c r="Q209" s="383" t="str">
        <f>IFERROR(IF(P209="Check Data","Check Data",VLOOKUP(P209,'G-4 Temporal multipliers'!$A$4:$C$37,3,FALSE)),"")</f>
        <v/>
      </c>
      <c r="R209" s="171" t="str">
        <f>IF(C209="","",VLOOKUP(C209,'G-7 Rivers Data'!$B$4:$G$8,4,FALSE))</f>
        <v/>
      </c>
      <c r="S209" s="179" t="str">
        <f t="shared" si="21"/>
        <v/>
      </c>
      <c r="T209" s="269" t="str">
        <f t="shared" si="22"/>
        <v/>
      </c>
      <c r="U209" s="172" t="str">
        <f t="shared" si="23"/>
        <v/>
      </c>
      <c r="V209" s="79"/>
      <c r="W209" s="172" t="str">
        <f>IF(V209="","",IF(VLOOKUP(V209,'G-7 Rivers Data'!$AA$4:$AB$7,2,FALSE)=0,"Spatial Data Missing",VLOOKUP(V209,'G-7 Rivers Data'!$AA$4:$AB$7,2,FALSE)))</f>
        <v/>
      </c>
      <c r="X209" s="187"/>
      <c r="Y209" s="172" t="str">
        <f>IF(X209="","",IF(VLOOKUP(X209,'G-7 Rivers Data'!$AD$4:$AE$8,2,FALSE)=0,"Enrcoachment Data Missing",VLOOKUP(X209,'G-7 Rivers Data'!$AD$4:$AE$8,2,FALSE)))</f>
        <v/>
      </c>
      <c r="Z209" s="265" t="str">
        <f t="shared" si="24"/>
        <v/>
      </c>
      <c r="AA209" s="180"/>
      <c r="AB209" s="181"/>
      <c r="AH209" s="35" t="str">
        <f>IFERROR(INDEX('G-7 Rivers Data'!$AZ$3:$AZ$7,MATCH(C209,'G-7 Rivers Data'!$AY$3:$AY$7,0)),"")</f>
        <v/>
      </c>
    </row>
    <row r="210" spans="2:34" ht="13.8" x14ac:dyDescent="0.25">
      <c r="B210" s="168">
        <v>199</v>
      </c>
      <c r="C210" s="212"/>
      <c r="D210" s="213"/>
      <c r="E210" s="171" t="str">
        <f>IF(C210="","",VLOOKUP(C210,'G-7 Rivers Data'!$B$2:$G$8,2,FALSE))</f>
        <v/>
      </c>
      <c r="F210" s="172" t="str">
        <f>IFERROR(VLOOKUP(E210,'G-7 Rivers Data'!$C$4:$D$8,2,FALSE),"")</f>
        <v/>
      </c>
      <c r="G210" s="173"/>
      <c r="H210" s="172" t="str">
        <f>IFERROR(INDEX('G-7 Rivers Data'!$H$4:$L$8,MATCH(C210,'G-7 Rivers Data'!$B$4:$B$8,0),MATCH(G210,'G-7 Rivers Data'!$H$3:$L$3,0)),"")</f>
        <v/>
      </c>
      <c r="I210" s="186"/>
      <c r="J210" s="175" t="str">
        <f>IF(I210="","",IF(VLOOKUP(I210,'G-7 Rivers Data'!$AG$4:$AI$9,2,FALSE)=0,"Spatial Data Missing",VLOOKUP(I210,'G-7 Rivers Data'!$AG$4:$AI$9,2,FALSE)))</f>
        <v/>
      </c>
      <c r="K210" s="176" t="str">
        <f>IF(I210="","",IF(VLOOKUP(I210,'G-7 Rivers Data'!$AG$4:$AI$9,3,FALSE)=0,"Spatial Data Missing",VLOOKUP(I210,'G-7 Rivers Data'!$AG$4:$AI$9,3,FALSE)))</f>
        <v/>
      </c>
      <c r="L210" s="171" t="str">
        <f>IFERROR(INDEX('G-7 Rivers Data'!$O$3:$O$7,MATCH(G210,'G-7 Rivers Data'!$N$3:$N$7,0)),"")</f>
        <v/>
      </c>
      <c r="M210" s="94"/>
      <c r="N210" s="261"/>
      <c r="O210" s="175" t="str">
        <f t="shared" si="19"/>
        <v/>
      </c>
      <c r="P210" s="242" t="str">
        <f t="shared" si="20"/>
        <v/>
      </c>
      <c r="Q210" s="383" t="str">
        <f>IFERROR(IF(P210="Check Data","Check Data",VLOOKUP(P210,'G-4 Temporal multipliers'!$A$4:$C$37,3,FALSE)),"")</f>
        <v/>
      </c>
      <c r="R210" s="171" t="str">
        <f>IF(C210="","",VLOOKUP(C210,'G-7 Rivers Data'!$B$4:$G$8,4,FALSE))</f>
        <v/>
      </c>
      <c r="S210" s="179" t="str">
        <f t="shared" si="21"/>
        <v/>
      </c>
      <c r="T210" s="269" t="str">
        <f t="shared" si="22"/>
        <v/>
      </c>
      <c r="U210" s="172" t="str">
        <f t="shared" si="23"/>
        <v/>
      </c>
      <c r="V210" s="79"/>
      <c r="W210" s="172" t="str">
        <f>IF(V210="","",IF(VLOOKUP(V210,'G-7 Rivers Data'!$AA$4:$AB$7,2,FALSE)=0,"Spatial Data Missing",VLOOKUP(V210,'G-7 Rivers Data'!$AA$4:$AB$7,2,FALSE)))</f>
        <v/>
      </c>
      <c r="X210" s="187"/>
      <c r="Y210" s="172" t="str">
        <f>IF(X210="","",IF(VLOOKUP(X210,'G-7 Rivers Data'!$AD$4:$AE$8,2,FALSE)=0,"Enrcoachment Data Missing",VLOOKUP(X210,'G-7 Rivers Data'!$AD$4:$AE$8,2,FALSE)))</f>
        <v/>
      </c>
      <c r="Z210" s="265" t="str">
        <f t="shared" si="24"/>
        <v/>
      </c>
      <c r="AA210" s="180"/>
      <c r="AB210" s="181"/>
      <c r="AH210" s="35" t="str">
        <f>IFERROR(INDEX('G-7 Rivers Data'!$AZ$3:$AZ$7,MATCH(C210,'G-7 Rivers Data'!$AY$3:$AY$7,0)),"")</f>
        <v/>
      </c>
    </row>
    <row r="211" spans="2:34" ht="13.8" x14ac:dyDescent="0.25">
      <c r="B211" s="168">
        <v>200</v>
      </c>
      <c r="C211" s="212"/>
      <c r="D211" s="213"/>
      <c r="E211" s="171" t="str">
        <f>IF(C211="","",VLOOKUP(C211,'G-7 Rivers Data'!$B$2:$G$8,2,FALSE))</f>
        <v/>
      </c>
      <c r="F211" s="172" t="str">
        <f>IFERROR(VLOOKUP(E211,'G-7 Rivers Data'!$C$4:$D$8,2,FALSE),"")</f>
        <v/>
      </c>
      <c r="G211" s="173"/>
      <c r="H211" s="172" t="str">
        <f>IFERROR(INDEX('G-7 Rivers Data'!$H$4:$L$8,MATCH(C211,'G-7 Rivers Data'!$B$4:$B$8,0),MATCH(G211,'G-7 Rivers Data'!$H$3:$L$3,0)),"")</f>
        <v/>
      </c>
      <c r="I211" s="186"/>
      <c r="J211" s="175" t="str">
        <f>IF(I211="","",IF(VLOOKUP(I211,'G-7 Rivers Data'!$AG$4:$AI$9,2,FALSE)=0,"Spatial Data Missing",VLOOKUP(I211,'G-7 Rivers Data'!$AG$4:$AI$9,2,FALSE)))</f>
        <v/>
      </c>
      <c r="K211" s="176" t="str">
        <f>IF(I211="","",IF(VLOOKUP(I211,'G-7 Rivers Data'!$AG$4:$AI$9,3,FALSE)=0,"Spatial Data Missing",VLOOKUP(I211,'G-7 Rivers Data'!$AG$4:$AI$9,3,FALSE)))</f>
        <v/>
      </c>
      <c r="L211" s="171" t="str">
        <f>IFERROR(INDEX('G-7 Rivers Data'!$O$3:$O$7,MATCH(G211,'G-7 Rivers Data'!$N$3:$N$7,0)),"")</f>
        <v/>
      </c>
      <c r="M211" s="94"/>
      <c r="N211" s="261"/>
      <c r="O211" s="175" t="str">
        <f t="shared" si="19"/>
        <v/>
      </c>
      <c r="P211" s="242" t="str">
        <f t="shared" si="20"/>
        <v/>
      </c>
      <c r="Q211" s="383" t="str">
        <f>IFERROR(IF(P211="Check Data","Check Data",VLOOKUP(P211,'G-4 Temporal multipliers'!$A$4:$C$37,3,FALSE)),"")</f>
        <v/>
      </c>
      <c r="R211" s="171" t="str">
        <f>IF(C211="","",VLOOKUP(C211,'G-7 Rivers Data'!$B$4:$G$8,4,FALSE))</f>
        <v/>
      </c>
      <c r="S211" s="179" t="str">
        <f t="shared" si="21"/>
        <v/>
      </c>
      <c r="T211" s="269" t="str">
        <f t="shared" si="22"/>
        <v/>
      </c>
      <c r="U211" s="172" t="str">
        <f t="shared" si="23"/>
        <v/>
      </c>
      <c r="V211" s="79"/>
      <c r="W211" s="172" t="str">
        <f>IF(V211="","",IF(VLOOKUP(V211,'G-7 Rivers Data'!$AA$4:$AB$7,2,FALSE)=0,"Spatial Data Missing",VLOOKUP(V211,'G-7 Rivers Data'!$AA$4:$AB$7,2,FALSE)))</f>
        <v/>
      </c>
      <c r="X211" s="187"/>
      <c r="Y211" s="172" t="str">
        <f>IF(X211="","",IF(VLOOKUP(X211,'G-7 Rivers Data'!$AD$4:$AE$8,2,FALSE)=0,"Enrcoachment Data Missing",VLOOKUP(X211,'G-7 Rivers Data'!$AD$4:$AE$8,2,FALSE)))</f>
        <v/>
      </c>
      <c r="Z211" s="265" t="str">
        <f t="shared" si="24"/>
        <v/>
      </c>
      <c r="AA211" s="180"/>
      <c r="AB211" s="181"/>
      <c r="AH211" s="35" t="str">
        <f>IFERROR(INDEX('G-7 Rivers Data'!$AZ$3:$AZ$7,MATCH(C211,'G-7 Rivers Data'!$AY$3:$AY$7,0)),"")</f>
        <v/>
      </c>
    </row>
    <row r="212" spans="2:34" ht="13.8" x14ac:dyDescent="0.25">
      <c r="B212" s="168">
        <v>201</v>
      </c>
      <c r="C212" s="212"/>
      <c r="D212" s="213"/>
      <c r="E212" s="171" t="str">
        <f>IF(C212="","",VLOOKUP(C212,'G-7 Rivers Data'!$B$2:$G$8,2,FALSE))</f>
        <v/>
      </c>
      <c r="F212" s="172" t="str">
        <f>IFERROR(VLOOKUP(E212,'G-7 Rivers Data'!$C$4:$D$8,2,FALSE),"")</f>
        <v/>
      </c>
      <c r="G212" s="173"/>
      <c r="H212" s="172" t="str">
        <f>IFERROR(INDEX('G-7 Rivers Data'!$H$4:$L$8,MATCH(C212,'G-7 Rivers Data'!$B$4:$B$8,0),MATCH(G212,'G-7 Rivers Data'!$H$3:$L$3,0)),"")</f>
        <v/>
      </c>
      <c r="I212" s="186"/>
      <c r="J212" s="175" t="str">
        <f>IF(I212="","",IF(VLOOKUP(I212,'G-7 Rivers Data'!$AG$4:$AI$9,2,FALSE)=0,"Spatial Data Missing",VLOOKUP(I212,'G-7 Rivers Data'!$AG$4:$AI$9,2,FALSE)))</f>
        <v/>
      </c>
      <c r="K212" s="176" t="str">
        <f>IF(I212="","",IF(VLOOKUP(I212,'G-7 Rivers Data'!$AG$4:$AI$9,3,FALSE)=0,"Spatial Data Missing",VLOOKUP(I212,'G-7 Rivers Data'!$AG$4:$AI$9,3,FALSE)))</f>
        <v/>
      </c>
      <c r="L212" s="171" t="str">
        <f>IFERROR(INDEX('G-7 Rivers Data'!$O$3:$O$7,MATCH(G212,'G-7 Rivers Data'!$N$3:$N$7,0)),"")</f>
        <v/>
      </c>
      <c r="M212" s="94"/>
      <c r="N212" s="261"/>
      <c r="O212" s="175" t="str">
        <f t="shared" si="19"/>
        <v/>
      </c>
      <c r="P212" s="242" t="str">
        <f t="shared" si="20"/>
        <v/>
      </c>
      <c r="Q212" s="383" t="str">
        <f>IFERROR(IF(P212="Check Data","Check Data",VLOOKUP(P212,'G-4 Temporal multipliers'!$A$4:$C$37,3,FALSE)),"")</f>
        <v/>
      </c>
      <c r="R212" s="171" t="str">
        <f>IF(C212="","",VLOOKUP(C212,'G-7 Rivers Data'!$B$4:$G$8,4,FALSE))</f>
        <v/>
      </c>
      <c r="S212" s="179" t="str">
        <f t="shared" si="21"/>
        <v/>
      </c>
      <c r="T212" s="269" t="str">
        <f t="shared" si="22"/>
        <v/>
      </c>
      <c r="U212" s="172" t="str">
        <f t="shared" si="23"/>
        <v/>
      </c>
      <c r="V212" s="79"/>
      <c r="W212" s="172" t="str">
        <f>IF(V212="","",IF(VLOOKUP(V212,'G-7 Rivers Data'!$AA$4:$AB$7,2,FALSE)=0,"Spatial Data Missing",VLOOKUP(V212,'G-7 Rivers Data'!$AA$4:$AB$7,2,FALSE)))</f>
        <v/>
      </c>
      <c r="X212" s="187"/>
      <c r="Y212" s="172" t="str">
        <f>IF(X212="","",IF(VLOOKUP(X212,'G-7 Rivers Data'!$AD$4:$AE$8,2,FALSE)=0,"Enrcoachment Data Missing",VLOOKUP(X212,'G-7 Rivers Data'!$AD$4:$AE$8,2,FALSE)))</f>
        <v/>
      </c>
      <c r="Z212" s="265" t="str">
        <f t="shared" si="24"/>
        <v/>
      </c>
      <c r="AA212" s="180"/>
      <c r="AB212" s="181"/>
      <c r="AH212" s="35" t="str">
        <f>IFERROR(INDEX('G-7 Rivers Data'!$AZ$3:$AZ$7,MATCH(C212,'G-7 Rivers Data'!$AY$3:$AY$7,0)),"")</f>
        <v/>
      </c>
    </row>
    <row r="213" spans="2:34" ht="13.8" x14ac:dyDescent="0.25">
      <c r="B213" s="168">
        <v>202</v>
      </c>
      <c r="C213" s="212"/>
      <c r="D213" s="213"/>
      <c r="E213" s="171" t="str">
        <f>IF(C213="","",VLOOKUP(C213,'G-7 Rivers Data'!$B$2:$G$8,2,FALSE))</f>
        <v/>
      </c>
      <c r="F213" s="172" t="str">
        <f>IFERROR(VLOOKUP(E213,'G-7 Rivers Data'!$C$4:$D$8,2,FALSE),"")</f>
        <v/>
      </c>
      <c r="G213" s="173"/>
      <c r="H213" s="172" t="str">
        <f>IFERROR(INDEX('G-7 Rivers Data'!$H$4:$L$8,MATCH(C213,'G-7 Rivers Data'!$B$4:$B$8,0),MATCH(G213,'G-7 Rivers Data'!$H$3:$L$3,0)),"")</f>
        <v/>
      </c>
      <c r="I213" s="186"/>
      <c r="J213" s="175" t="str">
        <f>IF(I213="","",IF(VLOOKUP(I213,'G-7 Rivers Data'!$AG$4:$AI$9,2,FALSE)=0,"Spatial Data Missing",VLOOKUP(I213,'G-7 Rivers Data'!$AG$4:$AI$9,2,FALSE)))</f>
        <v/>
      </c>
      <c r="K213" s="176" t="str">
        <f>IF(I213="","",IF(VLOOKUP(I213,'G-7 Rivers Data'!$AG$4:$AI$9,3,FALSE)=0,"Spatial Data Missing",VLOOKUP(I213,'G-7 Rivers Data'!$AG$4:$AI$9,3,FALSE)))</f>
        <v/>
      </c>
      <c r="L213" s="171" t="str">
        <f>IFERROR(INDEX('G-7 Rivers Data'!$O$3:$O$7,MATCH(G213,'G-7 Rivers Data'!$N$3:$N$7,0)),"")</f>
        <v/>
      </c>
      <c r="M213" s="94"/>
      <c r="N213" s="261"/>
      <c r="O213" s="175" t="str">
        <f t="shared" si="19"/>
        <v/>
      </c>
      <c r="P213" s="242" t="str">
        <f t="shared" si="20"/>
        <v/>
      </c>
      <c r="Q213" s="383" t="str">
        <f>IFERROR(IF(P213="Check Data","Check Data",VLOOKUP(P213,'G-4 Temporal multipliers'!$A$4:$C$37,3,FALSE)),"")</f>
        <v/>
      </c>
      <c r="R213" s="171" t="str">
        <f>IF(C213="","",VLOOKUP(C213,'G-7 Rivers Data'!$B$4:$G$8,4,FALSE))</f>
        <v/>
      </c>
      <c r="S213" s="179" t="str">
        <f t="shared" si="21"/>
        <v/>
      </c>
      <c r="T213" s="269" t="str">
        <f t="shared" si="22"/>
        <v/>
      </c>
      <c r="U213" s="172" t="str">
        <f t="shared" si="23"/>
        <v/>
      </c>
      <c r="V213" s="79"/>
      <c r="W213" s="172" t="str">
        <f>IF(V213="","",IF(VLOOKUP(V213,'G-7 Rivers Data'!$AA$4:$AB$7,2,FALSE)=0,"Spatial Data Missing",VLOOKUP(V213,'G-7 Rivers Data'!$AA$4:$AB$7,2,FALSE)))</f>
        <v/>
      </c>
      <c r="X213" s="187"/>
      <c r="Y213" s="172" t="str">
        <f>IF(X213="","",IF(VLOOKUP(X213,'G-7 Rivers Data'!$AD$4:$AE$8,2,FALSE)=0,"Enrcoachment Data Missing",VLOOKUP(X213,'G-7 Rivers Data'!$AD$4:$AE$8,2,FALSE)))</f>
        <v/>
      </c>
      <c r="Z213" s="265" t="str">
        <f t="shared" si="24"/>
        <v/>
      </c>
      <c r="AA213" s="180"/>
      <c r="AB213" s="181"/>
      <c r="AH213" s="35" t="str">
        <f>IFERROR(INDEX('G-7 Rivers Data'!$AZ$3:$AZ$7,MATCH(C213,'G-7 Rivers Data'!$AY$3:$AY$7,0)),"")</f>
        <v/>
      </c>
    </row>
    <row r="214" spans="2:34" ht="13.8" x14ac:dyDescent="0.25">
      <c r="B214" s="168">
        <v>203</v>
      </c>
      <c r="C214" s="212"/>
      <c r="D214" s="213"/>
      <c r="E214" s="171" t="str">
        <f>IF(C214="","",VLOOKUP(C214,'G-7 Rivers Data'!$B$2:$G$8,2,FALSE))</f>
        <v/>
      </c>
      <c r="F214" s="172" t="str">
        <f>IFERROR(VLOOKUP(E214,'G-7 Rivers Data'!$C$4:$D$8,2,FALSE),"")</f>
        <v/>
      </c>
      <c r="G214" s="173"/>
      <c r="H214" s="172" t="str">
        <f>IFERROR(INDEX('G-7 Rivers Data'!$H$4:$L$8,MATCH(C214,'G-7 Rivers Data'!$B$4:$B$8,0),MATCH(G214,'G-7 Rivers Data'!$H$3:$L$3,0)),"")</f>
        <v/>
      </c>
      <c r="I214" s="186"/>
      <c r="J214" s="175" t="str">
        <f>IF(I214="","",IF(VLOOKUP(I214,'G-7 Rivers Data'!$AG$4:$AI$9,2,FALSE)=0,"Spatial Data Missing",VLOOKUP(I214,'G-7 Rivers Data'!$AG$4:$AI$9,2,FALSE)))</f>
        <v/>
      </c>
      <c r="K214" s="176" t="str">
        <f>IF(I214="","",IF(VLOOKUP(I214,'G-7 Rivers Data'!$AG$4:$AI$9,3,FALSE)=0,"Spatial Data Missing",VLOOKUP(I214,'G-7 Rivers Data'!$AG$4:$AI$9,3,FALSE)))</f>
        <v/>
      </c>
      <c r="L214" s="171" t="str">
        <f>IFERROR(INDEX('G-7 Rivers Data'!$O$3:$O$7,MATCH(G214,'G-7 Rivers Data'!$N$3:$N$7,0)),"")</f>
        <v/>
      </c>
      <c r="M214" s="94"/>
      <c r="N214" s="261"/>
      <c r="O214" s="175" t="str">
        <f t="shared" si="19"/>
        <v/>
      </c>
      <c r="P214" s="242" t="str">
        <f t="shared" si="20"/>
        <v/>
      </c>
      <c r="Q214" s="383" t="str">
        <f>IFERROR(IF(P214="Check Data","Check Data",VLOOKUP(P214,'G-4 Temporal multipliers'!$A$4:$C$37,3,FALSE)),"")</f>
        <v/>
      </c>
      <c r="R214" s="171" t="str">
        <f>IF(C214="","",VLOOKUP(C214,'G-7 Rivers Data'!$B$4:$G$8,4,FALSE))</f>
        <v/>
      </c>
      <c r="S214" s="179" t="str">
        <f t="shared" si="21"/>
        <v/>
      </c>
      <c r="T214" s="269" t="str">
        <f t="shared" si="22"/>
        <v/>
      </c>
      <c r="U214" s="172" t="str">
        <f t="shared" si="23"/>
        <v/>
      </c>
      <c r="V214" s="79"/>
      <c r="W214" s="172" t="str">
        <f>IF(V214="","",IF(VLOOKUP(V214,'G-7 Rivers Data'!$AA$4:$AB$7,2,FALSE)=0,"Spatial Data Missing",VLOOKUP(V214,'G-7 Rivers Data'!$AA$4:$AB$7,2,FALSE)))</f>
        <v/>
      </c>
      <c r="X214" s="187"/>
      <c r="Y214" s="172" t="str">
        <f>IF(X214="","",IF(VLOOKUP(X214,'G-7 Rivers Data'!$AD$4:$AE$8,2,FALSE)=0,"Enrcoachment Data Missing",VLOOKUP(X214,'G-7 Rivers Data'!$AD$4:$AE$8,2,FALSE)))</f>
        <v/>
      </c>
      <c r="Z214" s="265" t="str">
        <f t="shared" si="24"/>
        <v/>
      </c>
      <c r="AA214" s="180"/>
      <c r="AB214" s="181"/>
      <c r="AH214" s="35" t="str">
        <f>IFERROR(INDEX('G-7 Rivers Data'!$AZ$3:$AZ$7,MATCH(C214,'G-7 Rivers Data'!$AY$3:$AY$7,0)),"")</f>
        <v/>
      </c>
    </row>
    <row r="215" spans="2:34" ht="13.8" x14ac:dyDescent="0.25">
      <c r="B215" s="168">
        <v>204</v>
      </c>
      <c r="C215" s="212"/>
      <c r="D215" s="213"/>
      <c r="E215" s="171" t="str">
        <f>IF(C215="","",VLOOKUP(C215,'G-7 Rivers Data'!$B$2:$G$8,2,FALSE))</f>
        <v/>
      </c>
      <c r="F215" s="172" t="str">
        <f>IFERROR(VLOOKUP(E215,'G-7 Rivers Data'!$C$4:$D$8,2,FALSE),"")</f>
        <v/>
      </c>
      <c r="G215" s="173"/>
      <c r="H215" s="172" t="str">
        <f>IFERROR(INDEX('G-7 Rivers Data'!$H$4:$L$8,MATCH(C215,'G-7 Rivers Data'!$B$4:$B$8,0),MATCH(G215,'G-7 Rivers Data'!$H$3:$L$3,0)),"")</f>
        <v/>
      </c>
      <c r="I215" s="186"/>
      <c r="J215" s="175" t="str">
        <f>IF(I215="","",IF(VLOOKUP(I215,'G-7 Rivers Data'!$AG$4:$AI$9,2,FALSE)=0,"Spatial Data Missing",VLOOKUP(I215,'G-7 Rivers Data'!$AG$4:$AI$9,2,FALSE)))</f>
        <v/>
      </c>
      <c r="K215" s="176" t="str">
        <f>IF(I215="","",IF(VLOOKUP(I215,'G-7 Rivers Data'!$AG$4:$AI$9,3,FALSE)=0,"Spatial Data Missing",VLOOKUP(I215,'G-7 Rivers Data'!$AG$4:$AI$9,3,FALSE)))</f>
        <v/>
      </c>
      <c r="L215" s="171" t="str">
        <f>IFERROR(INDEX('G-7 Rivers Data'!$O$3:$O$7,MATCH(G215,'G-7 Rivers Data'!$N$3:$N$7,0)),"")</f>
        <v/>
      </c>
      <c r="M215" s="94"/>
      <c r="N215" s="261"/>
      <c r="O215" s="175" t="str">
        <f t="shared" si="19"/>
        <v/>
      </c>
      <c r="P215" s="242" t="str">
        <f t="shared" si="20"/>
        <v/>
      </c>
      <c r="Q215" s="383" t="str">
        <f>IFERROR(IF(P215="Check Data","Check Data",VLOOKUP(P215,'G-4 Temporal multipliers'!$A$4:$C$37,3,FALSE)),"")</f>
        <v/>
      </c>
      <c r="R215" s="171" t="str">
        <f>IF(C215="","",VLOOKUP(C215,'G-7 Rivers Data'!$B$4:$G$8,4,FALSE))</f>
        <v/>
      </c>
      <c r="S215" s="179" t="str">
        <f t="shared" si="21"/>
        <v/>
      </c>
      <c r="T215" s="269" t="str">
        <f t="shared" si="22"/>
        <v/>
      </c>
      <c r="U215" s="172" t="str">
        <f t="shared" si="23"/>
        <v/>
      </c>
      <c r="V215" s="79"/>
      <c r="W215" s="172" t="str">
        <f>IF(V215="","",IF(VLOOKUP(V215,'G-7 Rivers Data'!$AA$4:$AB$7,2,FALSE)=0,"Spatial Data Missing",VLOOKUP(V215,'G-7 Rivers Data'!$AA$4:$AB$7,2,FALSE)))</f>
        <v/>
      </c>
      <c r="X215" s="187"/>
      <c r="Y215" s="172" t="str">
        <f>IF(X215="","",IF(VLOOKUP(X215,'G-7 Rivers Data'!$AD$4:$AE$8,2,FALSE)=0,"Enrcoachment Data Missing",VLOOKUP(X215,'G-7 Rivers Data'!$AD$4:$AE$8,2,FALSE)))</f>
        <v/>
      </c>
      <c r="Z215" s="265" t="str">
        <f t="shared" si="24"/>
        <v/>
      </c>
      <c r="AA215" s="180"/>
      <c r="AB215" s="181"/>
      <c r="AH215" s="35" t="str">
        <f>IFERROR(INDEX('G-7 Rivers Data'!$AZ$3:$AZ$7,MATCH(C215,'G-7 Rivers Data'!$AY$3:$AY$7,0)),"")</f>
        <v/>
      </c>
    </row>
    <row r="216" spans="2:34" ht="13.8" x14ac:dyDescent="0.25">
      <c r="B216" s="168">
        <v>205</v>
      </c>
      <c r="C216" s="212"/>
      <c r="D216" s="213"/>
      <c r="E216" s="171" t="str">
        <f>IF(C216="","",VLOOKUP(C216,'G-7 Rivers Data'!$B$2:$G$8,2,FALSE))</f>
        <v/>
      </c>
      <c r="F216" s="172" t="str">
        <f>IFERROR(VLOOKUP(E216,'G-7 Rivers Data'!$C$4:$D$8,2,FALSE),"")</f>
        <v/>
      </c>
      <c r="G216" s="173"/>
      <c r="H216" s="172" t="str">
        <f>IFERROR(INDEX('G-7 Rivers Data'!$H$4:$L$8,MATCH(C216,'G-7 Rivers Data'!$B$4:$B$8,0),MATCH(G216,'G-7 Rivers Data'!$H$3:$L$3,0)),"")</f>
        <v/>
      </c>
      <c r="I216" s="186"/>
      <c r="J216" s="175" t="str">
        <f>IF(I216="","",IF(VLOOKUP(I216,'G-7 Rivers Data'!$AG$4:$AI$9,2,FALSE)=0,"Spatial Data Missing",VLOOKUP(I216,'G-7 Rivers Data'!$AG$4:$AI$9,2,FALSE)))</f>
        <v/>
      </c>
      <c r="K216" s="176" t="str">
        <f>IF(I216="","",IF(VLOOKUP(I216,'G-7 Rivers Data'!$AG$4:$AI$9,3,FALSE)=0,"Spatial Data Missing",VLOOKUP(I216,'G-7 Rivers Data'!$AG$4:$AI$9,3,FALSE)))</f>
        <v/>
      </c>
      <c r="L216" s="171" t="str">
        <f>IFERROR(INDEX('G-7 Rivers Data'!$O$3:$O$7,MATCH(G216,'G-7 Rivers Data'!$N$3:$N$7,0)),"")</f>
        <v/>
      </c>
      <c r="M216" s="94"/>
      <c r="N216" s="261"/>
      <c r="O216" s="175" t="str">
        <f t="shared" si="19"/>
        <v/>
      </c>
      <c r="P216" s="242" t="str">
        <f t="shared" si="20"/>
        <v/>
      </c>
      <c r="Q216" s="383" t="str">
        <f>IFERROR(IF(P216="Check Data","Check Data",VLOOKUP(P216,'G-4 Temporal multipliers'!$A$4:$C$37,3,FALSE)),"")</f>
        <v/>
      </c>
      <c r="R216" s="171" t="str">
        <f>IF(C216="","",VLOOKUP(C216,'G-7 Rivers Data'!$B$4:$G$8,4,FALSE))</f>
        <v/>
      </c>
      <c r="S216" s="179" t="str">
        <f t="shared" si="21"/>
        <v/>
      </c>
      <c r="T216" s="269" t="str">
        <f t="shared" si="22"/>
        <v/>
      </c>
      <c r="U216" s="172" t="str">
        <f t="shared" si="23"/>
        <v/>
      </c>
      <c r="V216" s="79"/>
      <c r="W216" s="172" t="str">
        <f>IF(V216="","",IF(VLOOKUP(V216,'G-7 Rivers Data'!$AA$4:$AB$7,2,FALSE)=0,"Spatial Data Missing",VLOOKUP(V216,'G-7 Rivers Data'!$AA$4:$AB$7,2,FALSE)))</f>
        <v/>
      </c>
      <c r="X216" s="187"/>
      <c r="Y216" s="172" t="str">
        <f>IF(X216="","",IF(VLOOKUP(X216,'G-7 Rivers Data'!$AD$4:$AE$8,2,FALSE)=0,"Enrcoachment Data Missing",VLOOKUP(X216,'G-7 Rivers Data'!$AD$4:$AE$8,2,FALSE)))</f>
        <v/>
      </c>
      <c r="Z216" s="265" t="str">
        <f t="shared" si="24"/>
        <v/>
      </c>
      <c r="AA216" s="180"/>
      <c r="AB216" s="181"/>
      <c r="AH216" s="35" t="str">
        <f>IFERROR(INDEX('G-7 Rivers Data'!$AZ$3:$AZ$7,MATCH(C216,'G-7 Rivers Data'!$AY$3:$AY$7,0)),"")</f>
        <v/>
      </c>
    </row>
    <row r="217" spans="2:34" ht="13.8" x14ac:dyDescent="0.25">
      <c r="B217" s="168">
        <v>206</v>
      </c>
      <c r="C217" s="212"/>
      <c r="D217" s="213"/>
      <c r="E217" s="171" t="str">
        <f>IF(C217="","",VLOOKUP(C217,'G-7 Rivers Data'!$B$2:$G$8,2,FALSE))</f>
        <v/>
      </c>
      <c r="F217" s="172" t="str">
        <f>IFERROR(VLOOKUP(E217,'G-7 Rivers Data'!$C$4:$D$8,2,FALSE),"")</f>
        <v/>
      </c>
      <c r="G217" s="173"/>
      <c r="H217" s="172" t="str">
        <f>IFERROR(INDEX('G-7 Rivers Data'!$H$4:$L$8,MATCH(C217,'G-7 Rivers Data'!$B$4:$B$8,0),MATCH(G217,'G-7 Rivers Data'!$H$3:$L$3,0)),"")</f>
        <v/>
      </c>
      <c r="I217" s="186"/>
      <c r="J217" s="175" t="str">
        <f>IF(I217="","",IF(VLOOKUP(I217,'G-7 Rivers Data'!$AG$4:$AI$9,2,FALSE)=0,"Spatial Data Missing",VLOOKUP(I217,'G-7 Rivers Data'!$AG$4:$AI$9,2,FALSE)))</f>
        <v/>
      </c>
      <c r="K217" s="176" t="str">
        <f>IF(I217="","",IF(VLOOKUP(I217,'G-7 Rivers Data'!$AG$4:$AI$9,3,FALSE)=0,"Spatial Data Missing",VLOOKUP(I217,'G-7 Rivers Data'!$AG$4:$AI$9,3,FALSE)))</f>
        <v/>
      </c>
      <c r="L217" s="171" t="str">
        <f>IFERROR(INDEX('G-7 Rivers Data'!$O$3:$O$7,MATCH(G217,'G-7 Rivers Data'!$N$3:$N$7,0)),"")</f>
        <v/>
      </c>
      <c r="M217" s="94"/>
      <c r="N217" s="261"/>
      <c r="O217" s="175" t="str">
        <f t="shared" si="19"/>
        <v/>
      </c>
      <c r="P217" s="242" t="str">
        <f t="shared" si="20"/>
        <v/>
      </c>
      <c r="Q217" s="383" t="str">
        <f>IFERROR(IF(P217="Check Data","Check Data",VLOOKUP(P217,'G-4 Temporal multipliers'!$A$4:$C$37,3,FALSE)),"")</f>
        <v/>
      </c>
      <c r="R217" s="171" t="str">
        <f>IF(C217="","",VLOOKUP(C217,'G-7 Rivers Data'!$B$4:$G$8,4,FALSE))</f>
        <v/>
      </c>
      <c r="S217" s="179" t="str">
        <f t="shared" si="21"/>
        <v/>
      </c>
      <c r="T217" s="269" t="str">
        <f t="shared" si="22"/>
        <v/>
      </c>
      <c r="U217" s="172" t="str">
        <f t="shared" si="23"/>
        <v/>
      </c>
      <c r="V217" s="79"/>
      <c r="W217" s="172" t="str">
        <f>IF(V217="","",IF(VLOOKUP(V217,'G-7 Rivers Data'!$AA$4:$AB$7,2,FALSE)=0,"Spatial Data Missing",VLOOKUP(V217,'G-7 Rivers Data'!$AA$4:$AB$7,2,FALSE)))</f>
        <v/>
      </c>
      <c r="X217" s="187"/>
      <c r="Y217" s="172" t="str">
        <f>IF(X217="","",IF(VLOOKUP(X217,'G-7 Rivers Data'!$AD$4:$AE$8,2,FALSE)=0,"Enrcoachment Data Missing",VLOOKUP(X217,'G-7 Rivers Data'!$AD$4:$AE$8,2,FALSE)))</f>
        <v/>
      </c>
      <c r="Z217" s="265" t="str">
        <f t="shared" si="24"/>
        <v/>
      </c>
      <c r="AA217" s="180"/>
      <c r="AB217" s="181"/>
      <c r="AH217" s="35" t="str">
        <f>IFERROR(INDEX('G-7 Rivers Data'!$AZ$3:$AZ$7,MATCH(C217,'G-7 Rivers Data'!$AY$3:$AY$7,0)),"")</f>
        <v/>
      </c>
    </row>
    <row r="218" spans="2:34" ht="13.8" x14ac:dyDescent="0.25">
      <c r="B218" s="168">
        <v>207</v>
      </c>
      <c r="C218" s="212"/>
      <c r="D218" s="213"/>
      <c r="E218" s="171" t="str">
        <f>IF(C218="","",VLOOKUP(C218,'G-7 Rivers Data'!$B$2:$G$8,2,FALSE))</f>
        <v/>
      </c>
      <c r="F218" s="172" t="str">
        <f>IFERROR(VLOOKUP(E218,'G-7 Rivers Data'!$C$4:$D$8,2,FALSE),"")</f>
        <v/>
      </c>
      <c r="G218" s="173"/>
      <c r="H218" s="172" t="str">
        <f>IFERROR(INDEX('G-7 Rivers Data'!$H$4:$L$8,MATCH(C218,'G-7 Rivers Data'!$B$4:$B$8,0),MATCH(G218,'G-7 Rivers Data'!$H$3:$L$3,0)),"")</f>
        <v/>
      </c>
      <c r="I218" s="186"/>
      <c r="J218" s="175" t="str">
        <f>IF(I218="","",IF(VLOOKUP(I218,'G-7 Rivers Data'!$AG$4:$AI$9,2,FALSE)=0,"Spatial Data Missing",VLOOKUP(I218,'G-7 Rivers Data'!$AG$4:$AI$9,2,FALSE)))</f>
        <v/>
      </c>
      <c r="K218" s="176" t="str">
        <f>IF(I218="","",IF(VLOOKUP(I218,'G-7 Rivers Data'!$AG$4:$AI$9,3,FALSE)=0,"Spatial Data Missing",VLOOKUP(I218,'G-7 Rivers Data'!$AG$4:$AI$9,3,FALSE)))</f>
        <v/>
      </c>
      <c r="L218" s="171" t="str">
        <f>IFERROR(INDEX('G-7 Rivers Data'!$O$3:$O$7,MATCH(G218,'G-7 Rivers Data'!$N$3:$N$7,0)),"")</f>
        <v/>
      </c>
      <c r="M218" s="94"/>
      <c r="N218" s="261"/>
      <c r="O218" s="175" t="str">
        <f t="shared" si="19"/>
        <v/>
      </c>
      <c r="P218" s="242" t="str">
        <f t="shared" si="20"/>
        <v/>
      </c>
      <c r="Q218" s="383" t="str">
        <f>IFERROR(IF(P218="Check Data","Check Data",VLOOKUP(P218,'G-4 Temporal multipliers'!$A$4:$C$37,3,FALSE)),"")</f>
        <v/>
      </c>
      <c r="R218" s="171" t="str">
        <f>IF(C218="","",VLOOKUP(C218,'G-7 Rivers Data'!$B$4:$G$8,4,FALSE))</f>
        <v/>
      </c>
      <c r="S218" s="179" t="str">
        <f t="shared" si="21"/>
        <v/>
      </c>
      <c r="T218" s="269" t="str">
        <f t="shared" si="22"/>
        <v/>
      </c>
      <c r="U218" s="172" t="str">
        <f t="shared" si="23"/>
        <v/>
      </c>
      <c r="V218" s="79"/>
      <c r="W218" s="172" t="str">
        <f>IF(V218="","",IF(VLOOKUP(V218,'G-7 Rivers Data'!$AA$4:$AB$7,2,FALSE)=0,"Spatial Data Missing",VLOOKUP(V218,'G-7 Rivers Data'!$AA$4:$AB$7,2,FALSE)))</f>
        <v/>
      </c>
      <c r="X218" s="187"/>
      <c r="Y218" s="172" t="str">
        <f>IF(X218="","",IF(VLOOKUP(X218,'G-7 Rivers Data'!$AD$4:$AE$8,2,FALSE)=0,"Enrcoachment Data Missing",VLOOKUP(X218,'G-7 Rivers Data'!$AD$4:$AE$8,2,FALSE)))</f>
        <v/>
      </c>
      <c r="Z218" s="265" t="str">
        <f t="shared" si="24"/>
        <v/>
      </c>
      <c r="AA218" s="180"/>
      <c r="AB218" s="181"/>
      <c r="AH218" s="35" t="str">
        <f>IFERROR(INDEX('G-7 Rivers Data'!$AZ$3:$AZ$7,MATCH(C218,'G-7 Rivers Data'!$AY$3:$AY$7,0)),"")</f>
        <v/>
      </c>
    </row>
    <row r="219" spans="2:34" ht="13.8" x14ac:dyDescent="0.25">
      <c r="B219" s="168">
        <v>208</v>
      </c>
      <c r="C219" s="212"/>
      <c r="D219" s="213"/>
      <c r="E219" s="171" t="str">
        <f>IF(C219="","",VLOOKUP(C219,'G-7 Rivers Data'!$B$2:$G$8,2,FALSE))</f>
        <v/>
      </c>
      <c r="F219" s="172" t="str">
        <f>IFERROR(VLOOKUP(E219,'G-7 Rivers Data'!$C$4:$D$8,2,FALSE),"")</f>
        <v/>
      </c>
      <c r="G219" s="173"/>
      <c r="H219" s="172" t="str">
        <f>IFERROR(INDEX('G-7 Rivers Data'!$H$4:$L$8,MATCH(C219,'G-7 Rivers Data'!$B$4:$B$8,0),MATCH(G219,'G-7 Rivers Data'!$H$3:$L$3,0)),"")</f>
        <v/>
      </c>
      <c r="I219" s="186"/>
      <c r="J219" s="175" t="str">
        <f>IF(I219="","",IF(VLOOKUP(I219,'G-7 Rivers Data'!$AG$4:$AI$9,2,FALSE)=0,"Spatial Data Missing",VLOOKUP(I219,'G-7 Rivers Data'!$AG$4:$AI$9,2,FALSE)))</f>
        <v/>
      </c>
      <c r="K219" s="176" t="str">
        <f>IF(I219="","",IF(VLOOKUP(I219,'G-7 Rivers Data'!$AG$4:$AI$9,3,FALSE)=0,"Spatial Data Missing",VLOOKUP(I219,'G-7 Rivers Data'!$AG$4:$AI$9,3,FALSE)))</f>
        <v/>
      </c>
      <c r="L219" s="171" t="str">
        <f>IFERROR(INDEX('G-7 Rivers Data'!$O$3:$O$7,MATCH(G219,'G-7 Rivers Data'!$N$3:$N$7,0)),"")</f>
        <v/>
      </c>
      <c r="M219" s="94"/>
      <c r="N219" s="261"/>
      <c r="O219" s="175" t="str">
        <f t="shared" si="19"/>
        <v/>
      </c>
      <c r="P219" s="242" t="str">
        <f t="shared" si="20"/>
        <v/>
      </c>
      <c r="Q219" s="383" t="str">
        <f>IFERROR(IF(P219="Check Data","Check Data",VLOOKUP(P219,'G-4 Temporal multipliers'!$A$4:$C$37,3,FALSE)),"")</f>
        <v/>
      </c>
      <c r="R219" s="171" t="str">
        <f>IF(C219="","",VLOOKUP(C219,'G-7 Rivers Data'!$B$4:$G$8,4,FALSE))</f>
        <v/>
      </c>
      <c r="S219" s="179" t="str">
        <f t="shared" si="21"/>
        <v/>
      </c>
      <c r="T219" s="269" t="str">
        <f t="shared" si="22"/>
        <v/>
      </c>
      <c r="U219" s="172" t="str">
        <f t="shared" si="23"/>
        <v/>
      </c>
      <c r="V219" s="79"/>
      <c r="W219" s="172" t="str">
        <f>IF(V219="","",IF(VLOOKUP(V219,'G-7 Rivers Data'!$AA$4:$AB$7,2,FALSE)=0,"Spatial Data Missing",VLOOKUP(V219,'G-7 Rivers Data'!$AA$4:$AB$7,2,FALSE)))</f>
        <v/>
      </c>
      <c r="X219" s="187"/>
      <c r="Y219" s="172" t="str">
        <f>IF(X219="","",IF(VLOOKUP(X219,'G-7 Rivers Data'!$AD$4:$AE$8,2,FALSE)=0,"Enrcoachment Data Missing",VLOOKUP(X219,'G-7 Rivers Data'!$AD$4:$AE$8,2,FALSE)))</f>
        <v/>
      </c>
      <c r="Z219" s="265" t="str">
        <f t="shared" si="24"/>
        <v/>
      </c>
      <c r="AA219" s="180"/>
      <c r="AB219" s="181"/>
      <c r="AH219" s="35" t="str">
        <f>IFERROR(INDEX('G-7 Rivers Data'!$AZ$3:$AZ$7,MATCH(C219,'G-7 Rivers Data'!$AY$3:$AY$7,0)),"")</f>
        <v/>
      </c>
    </row>
    <row r="220" spans="2:34" ht="13.8" x14ac:dyDescent="0.25">
      <c r="B220" s="168">
        <v>209</v>
      </c>
      <c r="C220" s="212"/>
      <c r="D220" s="213"/>
      <c r="E220" s="171" t="str">
        <f>IF(C220="","",VLOOKUP(C220,'G-7 Rivers Data'!$B$2:$G$8,2,FALSE))</f>
        <v/>
      </c>
      <c r="F220" s="172" t="str">
        <f>IFERROR(VLOOKUP(E220,'G-7 Rivers Data'!$C$4:$D$8,2,FALSE),"")</f>
        <v/>
      </c>
      <c r="G220" s="173"/>
      <c r="H220" s="172" t="str">
        <f>IFERROR(INDEX('G-7 Rivers Data'!$H$4:$L$8,MATCH(C220,'G-7 Rivers Data'!$B$4:$B$8,0),MATCH(G220,'G-7 Rivers Data'!$H$3:$L$3,0)),"")</f>
        <v/>
      </c>
      <c r="I220" s="186"/>
      <c r="J220" s="175" t="str">
        <f>IF(I220="","",IF(VLOOKUP(I220,'G-7 Rivers Data'!$AG$4:$AI$9,2,FALSE)=0,"Spatial Data Missing",VLOOKUP(I220,'G-7 Rivers Data'!$AG$4:$AI$9,2,FALSE)))</f>
        <v/>
      </c>
      <c r="K220" s="176" t="str">
        <f>IF(I220="","",IF(VLOOKUP(I220,'G-7 Rivers Data'!$AG$4:$AI$9,3,FALSE)=0,"Spatial Data Missing",VLOOKUP(I220,'G-7 Rivers Data'!$AG$4:$AI$9,3,FALSE)))</f>
        <v/>
      </c>
      <c r="L220" s="171" t="str">
        <f>IFERROR(INDEX('G-7 Rivers Data'!$O$3:$O$7,MATCH(G220,'G-7 Rivers Data'!$N$3:$N$7,0)),"")</f>
        <v/>
      </c>
      <c r="M220" s="94"/>
      <c r="N220" s="261"/>
      <c r="O220" s="175" t="str">
        <f t="shared" si="19"/>
        <v/>
      </c>
      <c r="P220" s="242" t="str">
        <f t="shared" si="20"/>
        <v/>
      </c>
      <c r="Q220" s="383" t="str">
        <f>IFERROR(IF(P220="Check Data","Check Data",VLOOKUP(P220,'G-4 Temporal multipliers'!$A$4:$C$37,3,FALSE)),"")</f>
        <v/>
      </c>
      <c r="R220" s="171" t="str">
        <f>IF(C220="","",VLOOKUP(C220,'G-7 Rivers Data'!$B$4:$G$8,4,FALSE))</f>
        <v/>
      </c>
      <c r="S220" s="179" t="str">
        <f t="shared" si="21"/>
        <v/>
      </c>
      <c r="T220" s="269" t="str">
        <f t="shared" si="22"/>
        <v/>
      </c>
      <c r="U220" s="172" t="str">
        <f t="shared" si="23"/>
        <v/>
      </c>
      <c r="V220" s="79"/>
      <c r="W220" s="172" t="str">
        <f>IF(V220="","",IF(VLOOKUP(V220,'G-7 Rivers Data'!$AA$4:$AB$7,2,FALSE)=0,"Spatial Data Missing",VLOOKUP(V220,'G-7 Rivers Data'!$AA$4:$AB$7,2,FALSE)))</f>
        <v/>
      </c>
      <c r="X220" s="187"/>
      <c r="Y220" s="172" t="str">
        <f>IF(X220="","",IF(VLOOKUP(X220,'G-7 Rivers Data'!$AD$4:$AE$8,2,FALSE)=0,"Enrcoachment Data Missing",VLOOKUP(X220,'G-7 Rivers Data'!$AD$4:$AE$8,2,FALSE)))</f>
        <v/>
      </c>
      <c r="Z220" s="265" t="str">
        <f t="shared" si="24"/>
        <v/>
      </c>
      <c r="AA220" s="180"/>
      <c r="AB220" s="181"/>
      <c r="AH220" s="35" t="str">
        <f>IFERROR(INDEX('G-7 Rivers Data'!$AZ$3:$AZ$7,MATCH(C220,'G-7 Rivers Data'!$AY$3:$AY$7,0)),"")</f>
        <v/>
      </c>
    </row>
    <row r="221" spans="2:34" ht="13.8" x14ac:dyDescent="0.25">
      <c r="B221" s="168">
        <v>210</v>
      </c>
      <c r="C221" s="212"/>
      <c r="D221" s="213"/>
      <c r="E221" s="171" t="str">
        <f>IF(C221="","",VLOOKUP(C221,'G-7 Rivers Data'!$B$2:$G$8,2,FALSE))</f>
        <v/>
      </c>
      <c r="F221" s="172" t="str">
        <f>IFERROR(VLOOKUP(E221,'G-7 Rivers Data'!$C$4:$D$8,2,FALSE),"")</f>
        <v/>
      </c>
      <c r="G221" s="173"/>
      <c r="H221" s="172" t="str">
        <f>IFERROR(INDEX('G-7 Rivers Data'!$H$4:$L$8,MATCH(C221,'G-7 Rivers Data'!$B$4:$B$8,0),MATCH(G221,'G-7 Rivers Data'!$H$3:$L$3,0)),"")</f>
        <v/>
      </c>
      <c r="I221" s="186"/>
      <c r="J221" s="175" t="str">
        <f>IF(I221="","",IF(VLOOKUP(I221,'G-7 Rivers Data'!$AG$4:$AI$9,2,FALSE)=0,"Spatial Data Missing",VLOOKUP(I221,'G-7 Rivers Data'!$AG$4:$AI$9,2,FALSE)))</f>
        <v/>
      </c>
      <c r="K221" s="176" t="str">
        <f>IF(I221="","",IF(VLOOKUP(I221,'G-7 Rivers Data'!$AG$4:$AI$9,3,FALSE)=0,"Spatial Data Missing",VLOOKUP(I221,'G-7 Rivers Data'!$AG$4:$AI$9,3,FALSE)))</f>
        <v/>
      </c>
      <c r="L221" s="171" t="str">
        <f>IFERROR(INDEX('G-7 Rivers Data'!$O$3:$O$7,MATCH(G221,'G-7 Rivers Data'!$N$3:$N$7,0)),"")</f>
        <v/>
      </c>
      <c r="M221" s="94"/>
      <c r="N221" s="261"/>
      <c r="O221" s="175" t="str">
        <f t="shared" si="19"/>
        <v/>
      </c>
      <c r="P221" s="242" t="str">
        <f t="shared" si="20"/>
        <v/>
      </c>
      <c r="Q221" s="383" t="str">
        <f>IFERROR(IF(P221="Check Data","Check Data",VLOOKUP(P221,'G-4 Temporal multipliers'!$A$4:$C$37,3,FALSE)),"")</f>
        <v/>
      </c>
      <c r="R221" s="171" t="str">
        <f>IF(C221="","",VLOOKUP(C221,'G-7 Rivers Data'!$B$4:$G$8,4,FALSE))</f>
        <v/>
      </c>
      <c r="S221" s="179" t="str">
        <f t="shared" si="21"/>
        <v/>
      </c>
      <c r="T221" s="269" t="str">
        <f t="shared" si="22"/>
        <v/>
      </c>
      <c r="U221" s="172" t="str">
        <f t="shared" si="23"/>
        <v/>
      </c>
      <c r="V221" s="79"/>
      <c r="W221" s="172" t="str">
        <f>IF(V221="","",IF(VLOOKUP(V221,'G-7 Rivers Data'!$AA$4:$AB$7,2,FALSE)=0,"Spatial Data Missing",VLOOKUP(V221,'G-7 Rivers Data'!$AA$4:$AB$7,2,FALSE)))</f>
        <v/>
      </c>
      <c r="X221" s="187"/>
      <c r="Y221" s="172" t="str">
        <f>IF(X221="","",IF(VLOOKUP(X221,'G-7 Rivers Data'!$AD$4:$AE$8,2,FALSE)=0,"Enrcoachment Data Missing",VLOOKUP(X221,'G-7 Rivers Data'!$AD$4:$AE$8,2,FALSE)))</f>
        <v/>
      </c>
      <c r="Z221" s="265" t="str">
        <f t="shared" si="24"/>
        <v/>
      </c>
      <c r="AA221" s="180"/>
      <c r="AB221" s="181"/>
      <c r="AH221" s="35" t="str">
        <f>IFERROR(INDEX('G-7 Rivers Data'!$AZ$3:$AZ$7,MATCH(C221,'G-7 Rivers Data'!$AY$3:$AY$7,0)),"")</f>
        <v/>
      </c>
    </row>
    <row r="222" spans="2:34" ht="13.8" x14ac:dyDescent="0.25">
      <c r="B222" s="168">
        <v>211</v>
      </c>
      <c r="C222" s="212"/>
      <c r="D222" s="213"/>
      <c r="E222" s="171" t="str">
        <f>IF(C222="","",VLOOKUP(C222,'G-7 Rivers Data'!$B$2:$G$8,2,FALSE))</f>
        <v/>
      </c>
      <c r="F222" s="172" t="str">
        <f>IFERROR(VLOOKUP(E222,'G-7 Rivers Data'!$C$4:$D$8,2,FALSE),"")</f>
        <v/>
      </c>
      <c r="G222" s="173"/>
      <c r="H222" s="172" t="str">
        <f>IFERROR(INDEX('G-7 Rivers Data'!$H$4:$L$8,MATCH(C222,'G-7 Rivers Data'!$B$4:$B$8,0),MATCH(G222,'G-7 Rivers Data'!$H$3:$L$3,0)),"")</f>
        <v/>
      </c>
      <c r="I222" s="186"/>
      <c r="J222" s="175" t="str">
        <f>IF(I222="","",IF(VLOOKUP(I222,'G-7 Rivers Data'!$AG$4:$AI$9,2,FALSE)=0,"Spatial Data Missing",VLOOKUP(I222,'G-7 Rivers Data'!$AG$4:$AI$9,2,FALSE)))</f>
        <v/>
      </c>
      <c r="K222" s="176" t="str">
        <f>IF(I222="","",IF(VLOOKUP(I222,'G-7 Rivers Data'!$AG$4:$AI$9,3,FALSE)=0,"Spatial Data Missing",VLOOKUP(I222,'G-7 Rivers Data'!$AG$4:$AI$9,3,FALSE)))</f>
        <v/>
      </c>
      <c r="L222" s="171" t="str">
        <f>IFERROR(INDEX('G-7 Rivers Data'!$O$3:$O$7,MATCH(G222,'G-7 Rivers Data'!$N$3:$N$7,0)),"")</f>
        <v/>
      </c>
      <c r="M222" s="94"/>
      <c r="N222" s="261"/>
      <c r="O222" s="175" t="str">
        <f t="shared" si="19"/>
        <v/>
      </c>
      <c r="P222" s="242" t="str">
        <f t="shared" si="20"/>
        <v/>
      </c>
      <c r="Q222" s="383" t="str">
        <f>IFERROR(IF(P222="Check Data","Check Data",VLOOKUP(P222,'G-4 Temporal multipliers'!$A$4:$C$37,3,FALSE)),"")</f>
        <v/>
      </c>
      <c r="R222" s="171" t="str">
        <f>IF(C222="","",VLOOKUP(C222,'G-7 Rivers Data'!$B$4:$G$8,4,FALSE))</f>
        <v/>
      </c>
      <c r="S222" s="179" t="str">
        <f t="shared" si="21"/>
        <v/>
      </c>
      <c r="T222" s="269" t="str">
        <f t="shared" si="22"/>
        <v/>
      </c>
      <c r="U222" s="172" t="str">
        <f t="shared" si="23"/>
        <v/>
      </c>
      <c r="V222" s="79"/>
      <c r="W222" s="172" t="str">
        <f>IF(V222="","",IF(VLOOKUP(V222,'G-7 Rivers Data'!$AA$4:$AB$7,2,FALSE)=0,"Spatial Data Missing",VLOOKUP(V222,'G-7 Rivers Data'!$AA$4:$AB$7,2,FALSE)))</f>
        <v/>
      </c>
      <c r="X222" s="187"/>
      <c r="Y222" s="172" t="str">
        <f>IF(X222="","",IF(VLOOKUP(X222,'G-7 Rivers Data'!$AD$4:$AE$8,2,FALSE)=0,"Enrcoachment Data Missing",VLOOKUP(X222,'G-7 Rivers Data'!$AD$4:$AE$8,2,FALSE)))</f>
        <v/>
      </c>
      <c r="Z222" s="265" t="str">
        <f t="shared" si="24"/>
        <v/>
      </c>
      <c r="AA222" s="180"/>
      <c r="AB222" s="181"/>
      <c r="AH222" s="35" t="str">
        <f>IFERROR(INDEX('G-7 Rivers Data'!$AZ$3:$AZ$7,MATCH(C222,'G-7 Rivers Data'!$AY$3:$AY$7,0)),"")</f>
        <v/>
      </c>
    </row>
    <row r="223" spans="2:34" ht="13.8" x14ac:dyDescent="0.25">
      <c r="B223" s="168">
        <v>212</v>
      </c>
      <c r="C223" s="212"/>
      <c r="D223" s="213"/>
      <c r="E223" s="171" t="str">
        <f>IF(C223="","",VLOOKUP(C223,'G-7 Rivers Data'!$B$2:$G$8,2,FALSE))</f>
        <v/>
      </c>
      <c r="F223" s="172" t="str">
        <f>IFERROR(VLOOKUP(E223,'G-7 Rivers Data'!$C$4:$D$8,2,FALSE),"")</f>
        <v/>
      </c>
      <c r="G223" s="173"/>
      <c r="H223" s="172" t="str">
        <f>IFERROR(INDEX('G-7 Rivers Data'!$H$4:$L$8,MATCH(C223,'G-7 Rivers Data'!$B$4:$B$8,0),MATCH(G223,'G-7 Rivers Data'!$H$3:$L$3,0)),"")</f>
        <v/>
      </c>
      <c r="I223" s="186"/>
      <c r="J223" s="175" t="str">
        <f>IF(I223="","",IF(VLOOKUP(I223,'G-7 Rivers Data'!$AG$4:$AI$9,2,FALSE)=0,"Spatial Data Missing",VLOOKUP(I223,'G-7 Rivers Data'!$AG$4:$AI$9,2,FALSE)))</f>
        <v/>
      </c>
      <c r="K223" s="176" t="str">
        <f>IF(I223="","",IF(VLOOKUP(I223,'G-7 Rivers Data'!$AG$4:$AI$9,3,FALSE)=0,"Spatial Data Missing",VLOOKUP(I223,'G-7 Rivers Data'!$AG$4:$AI$9,3,FALSE)))</f>
        <v/>
      </c>
      <c r="L223" s="171" t="str">
        <f>IFERROR(INDEX('G-7 Rivers Data'!$O$3:$O$7,MATCH(G223,'G-7 Rivers Data'!$N$3:$N$7,0)),"")</f>
        <v/>
      </c>
      <c r="M223" s="94"/>
      <c r="N223" s="261"/>
      <c r="O223" s="175" t="str">
        <f t="shared" si="19"/>
        <v/>
      </c>
      <c r="P223" s="242" t="str">
        <f t="shared" si="20"/>
        <v/>
      </c>
      <c r="Q223" s="383" t="str">
        <f>IFERROR(IF(P223="Check Data","Check Data",VLOOKUP(P223,'G-4 Temporal multipliers'!$A$4:$C$37,3,FALSE)),"")</f>
        <v/>
      </c>
      <c r="R223" s="171" t="str">
        <f>IF(C223="","",VLOOKUP(C223,'G-7 Rivers Data'!$B$4:$G$8,4,FALSE))</f>
        <v/>
      </c>
      <c r="S223" s="179" t="str">
        <f t="shared" si="21"/>
        <v/>
      </c>
      <c r="T223" s="269" t="str">
        <f t="shared" si="22"/>
        <v/>
      </c>
      <c r="U223" s="172" t="str">
        <f t="shared" si="23"/>
        <v/>
      </c>
      <c r="V223" s="79"/>
      <c r="W223" s="172" t="str">
        <f>IF(V223="","",IF(VLOOKUP(V223,'G-7 Rivers Data'!$AA$4:$AB$7,2,FALSE)=0,"Spatial Data Missing",VLOOKUP(V223,'G-7 Rivers Data'!$AA$4:$AB$7,2,FALSE)))</f>
        <v/>
      </c>
      <c r="X223" s="187"/>
      <c r="Y223" s="172" t="str">
        <f>IF(X223="","",IF(VLOOKUP(X223,'G-7 Rivers Data'!$AD$4:$AE$8,2,FALSE)=0,"Enrcoachment Data Missing",VLOOKUP(X223,'G-7 Rivers Data'!$AD$4:$AE$8,2,FALSE)))</f>
        <v/>
      </c>
      <c r="Z223" s="265" t="str">
        <f t="shared" si="24"/>
        <v/>
      </c>
      <c r="AA223" s="180"/>
      <c r="AB223" s="181"/>
      <c r="AH223" s="35" t="str">
        <f>IFERROR(INDEX('G-7 Rivers Data'!$AZ$3:$AZ$7,MATCH(C223,'G-7 Rivers Data'!$AY$3:$AY$7,0)),"")</f>
        <v/>
      </c>
    </row>
    <row r="224" spans="2:34" ht="13.8" x14ac:dyDescent="0.25">
      <c r="B224" s="168">
        <v>213</v>
      </c>
      <c r="C224" s="212"/>
      <c r="D224" s="213"/>
      <c r="E224" s="171" t="str">
        <f>IF(C224="","",VLOOKUP(C224,'G-7 Rivers Data'!$B$2:$G$8,2,FALSE))</f>
        <v/>
      </c>
      <c r="F224" s="172" t="str">
        <f>IFERROR(VLOOKUP(E224,'G-7 Rivers Data'!$C$4:$D$8,2,FALSE),"")</f>
        <v/>
      </c>
      <c r="G224" s="173"/>
      <c r="H224" s="172" t="str">
        <f>IFERROR(INDEX('G-7 Rivers Data'!$H$4:$L$8,MATCH(C224,'G-7 Rivers Data'!$B$4:$B$8,0),MATCH(G224,'G-7 Rivers Data'!$H$3:$L$3,0)),"")</f>
        <v/>
      </c>
      <c r="I224" s="186"/>
      <c r="J224" s="175" t="str">
        <f>IF(I224="","",IF(VLOOKUP(I224,'G-7 Rivers Data'!$AG$4:$AI$9,2,FALSE)=0,"Spatial Data Missing",VLOOKUP(I224,'G-7 Rivers Data'!$AG$4:$AI$9,2,FALSE)))</f>
        <v/>
      </c>
      <c r="K224" s="176" t="str">
        <f>IF(I224="","",IF(VLOOKUP(I224,'G-7 Rivers Data'!$AG$4:$AI$9,3,FALSE)=0,"Spatial Data Missing",VLOOKUP(I224,'G-7 Rivers Data'!$AG$4:$AI$9,3,FALSE)))</f>
        <v/>
      </c>
      <c r="L224" s="171" t="str">
        <f>IFERROR(INDEX('G-7 Rivers Data'!$O$3:$O$7,MATCH(G224,'G-7 Rivers Data'!$N$3:$N$7,0)),"")</f>
        <v/>
      </c>
      <c r="M224" s="94"/>
      <c r="N224" s="261"/>
      <c r="O224" s="175" t="str">
        <f t="shared" si="19"/>
        <v/>
      </c>
      <c r="P224" s="242" t="str">
        <f t="shared" si="20"/>
        <v/>
      </c>
      <c r="Q224" s="383" t="str">
        <f>IFERROR(IF(P224="Check Data","Check Data",VLOOKUP(P224,'G-4 Temporal multipliers'!$A$4:$C$37,3,FALSE)),"")</f>
        <v/>
      </c>
      <c r="R224" s="171" t="str">
        <f>IF(C224="","",VLOOKUP(C224,'G-7 Rivers Data'!$B$4:$G$8,4,FALSE))</f>
        <v/>
      </c>
      <c r="S224" s="179" t="str">
        <f t="shared" si="21"/>
        <v/>
      </c>
      <c r="T224" s="269" t="str">
        <f t="shared" si="22"/>
        <v/>
      </c>
      <c r="U224" s="172" t="str">
        <f t="shared" si="23"/>
        <v/>
      </c>
      <c r="V224" s="79"/>
      <c r="W224" s="172" t="str">
        <f>IF(V224="","",IF(VLOOKUP(V224,'G-7 Rivers Data'!$AA$4:$AB$7,2,FALSE)=0,"Spatial Data Missing",VLOOKUP(V224,'G-7 Rivers Data'!$AA$4:$AB$7,2,FALSE)))</f>
        <v/>
      </c>
      <c r="X224" s="187"/>
      <c r="Y224" s="172" t="str">
        <f>IF(X224="","",IF(VLOOKUP(X224,'G-7 Rivers Data'!$AD$4:$AE$8,2,FALSE)=0,"Enrcoachment Data Missing",VLOOKUP(X224,'G-7 Rivers Data'!$AD$4:$AE$8,2,FALSE)))</f>
        <v/>
      </c>
      <c r="Z224" s="265" t="str">
        <f t="shared" si="24"/>
        <v/>
      </c>
      <c r="AA224" s="180"/>
      <c r="AB224" s="181"/>
      <c r="AH224" s="35" t="str">
        <f>IFERROR(INDEX('G-7 Rivers Data'!$AZ$3:$AZ$7,MATCH(C224,'G-7 Rivers Data'!$AY$3:$AY$7,0)),"")</f>
        <v/>
      </c>
    </row>
    <row r="225" spans="2:34" ht="13.8" x14ac:dyDescent="0.25">
      <c r="B225" s="168">
        <v>214</v>
      </c>
      <c r="C225" s="212"/>
      <c r="D225" s="213"/>
      <c r="E225" s="171" t="str">
        <f>IF(C225="","",VLOOKUP(C225,'G-7 Rivers Data'!$B$2:$G$8,2,FALSE))</f>
        <v/>
      </c>
      <c r="F225" s="172" t="str">
        <f>IFERROR(VLOOKUP(E225,'G-7 Rivers Data'!$C$4:$D$8,2,FALSE),"")</f>
        <v/>
      </c>
      <c r="G225" s="173"/>
      <c r="H225" s="172" t="str">
        <f>IFERROR(INDEX('G-7 Rivers Data'!$H$4:$L$8,MATCH(C225,'G-7 Rivers Data'!$B$4:$B$8,0),MATCH(G225,'G-7 Rivers Data'!$H$3:$L$3,0)),"")</f>
        <v/>
      </c>
      <c r="I225" s="186"/>
      <c r="J225" s="175" t="str">
        <f>IF(I225="","",IF(VLOOKUP(I225,'G-7 Rivers Data'!$AG$4:$AI$9,2,FALSE)=0,"Spatial Data Missing",VLOOKUP(I225,'G-7 Rivers Data'!$AG$4:$AI$9,2,FALSE)))</f>
        <v/>
      </c>
      <c r="K225" s="176" t="str">
        <f>IF(I225="","",IF(VLOOKUP(I225,'G-7 Rivers Data'!$AG$4:$AI$9,3,FALSE)=0,"Spatial Data Missing",VLOOKUP(I225,'G-7 Rivers Data'!$AG$4:$AI$9,3,FALSE)))</f>
        <v/>
      </c>
      <c r="L225" s="171" t="str">
        <f>IFERROR(INDEX('G-7 Rivers Data'!$O$3:$O$7,MATCH(G225,'G-7 Rivers Data'!$N$3:$N$7,0)),"")</f>
        <v/>
      </c>
      <c r="M225" s="94"/>
      <c r="N225" s="261"/>
      <c r="O225" s="175" t="str">
        <f t="shared" si="19"/>
        <v/>
      </c>
      <c r="P225" s="242" t="str">
        <f t="shared" si="20"/>
        <v/>
      </c>
      <c r="Q225" s="383" t="str">
        <f>IFERROR(IF(P225="Check Data","Check Data",VLOOKUP(P225,'G-4 Temporal multipliers'!$A$4:$C$37,3,FALSE)),"")</f>
        <v/>
      </c>
      <c r="R225" s="171" t="str">
        <f>IF(C225="","",VLOOKUP(C225,'G-7 Rivers Data'!$B$4:$G$8,4,FALSE))</f>
        <v/>
      </c>
      <c r="S225" s="179" t="str">
        <f t="shared" si="21"/>
        <v/>
      </c>
      <c r="T225" s="269" t="str">
        <f t="shared" si="22"/>
        <v/>
      </c>
      <c r="U225" s="172" t="str">
        <f t="shared" si="23"/>
        <v/>
      </c>
      <c r="V225" s="79"/>
      <c r="W225" s="172" t="str">
        <f>IF(V225="","",IF(VLOOKUP(V225,'G-7 Rivers Data'!$AA$4:$AB$7,2,FALSE)=0,"Spatial Data Missing",VLOOKUP(V225,'G-7 Rivers Data'!$AA$4:$AB$7,2,FALSE)))</f>
        <v/>
      </c>
      <c r="X225" s="187"/>
      <c r="Y225" s="172" t="str">
        <f>IF(X225="","",IF(VLOOKUP(X225,'G-7 Rivers Data'!$AD$4:$AE$8,2,FALSE)=0,"Enrcoachment Data Missing",VLOOKUP(X225,'G-7 Rivers Data'!$AD$4:$AE$8,2,FALSE)))</f>
        <v/>
      </c>
      <c r="Z225" s="265" t="str">
        <f t="shared" si="24"/>
        <v/>
      </c>
      <c r="AA225" s="180"/>
      <c r="AB225" s="181"/>
      <c r="AH225" s="35" t="str">
        <f>IFERROR(INDEX('G-7 Rivers Data'!$AZ$3:$AZ$7,MATCH(C225,'G-7 Rivers Data'!$AY$3:$AY$7,0)),"")</f>
        <v/>
      </c>
    </row>
    <row r="226" spans="2:34" ht="13.8" x14ac:dyDescent="0.25">
      <c r="B226" s="168">
        <v>215</v>
      </c>
      <c r="C226" s="212"/>
      <c r="D226" s="213"/>
      <c r="E226" s="171" t="str">
        <f>IF(C226="","",VLOOKUP(C226,'G-7 Rivers Data'!$B$2:$G$8,2,FALSE))</f>
        <v/>
      </c>
      <c r="F226" s="172" t="str">
        <f>IFERROR(VLOOKUP(E226,'G-7 Rivers Data'!$C$4:$D$8,2,FALSE),"")</f>
        <v/>
      </c>
      <c r="G226" s="173"/>
      <c r="H226" s="172" t="str">
        <f>IFERROR(INDEX('G-7 Rivers Data'!$H$4:$L$8,MATCH(C226,'G-7 Rivers Data'!$B$4:$B$8,0),MATCH(G226,'G-7 Rivers Data'!$H$3:$L$3,0)),"")</f>
        <v/>
      </c>
      <c r="I226" s="186"/>
      <c r="J226" s="175" t="str">
        <f>IF(I226="","",IF(VLOOKUP(I226,'G-7 Rivers Data'!$AG$4:$AI$9,2,FALSE)=0,"Spatial Data Missing",VLOOKUP(I226,'G-7 Rivers Data'!$AG$4:$AI$9,2,FALSE)))</f>
        <v/>
      </c>
      <c r="K226" s="176" t="str">
        <f>IF(I226="","",IF(VLOOKUP(I226,'G-7 Rivers Data'!$AG$4:$AI$9,3,FALSE)=0,"Spatial Data Missing",VLOOKUP(I226,'G-7 Rivers Data'!$AG$4:$AI$9,3,FALSE)))</f>
        <v/>
      </c>
      <c r="L226" s="171" t="str">
        <f>IFERROR(INDEX('G-7 Rivers Data'!$O$3:$O$7,MATCH(G226,'G-7 Rivers Data'!$N$3:$N$7,0)),"")</f>
        <v/>
      </c>
      <c r="M226" s="94"/>
      <c r="N226" s="261"/>
      <c r="O226" s="175" t="str">
        <f t="shared" si="19"/>
        <v/>
      </c>
      <c r="P226" s="242" t="str">
        <f t="shared" si="20"/>
        <v/>
      </c>
      <c r="Q226" s="383" t="str">
        <f>IFERROR(IF(P226="Check Data","Check Data",VLOOKUP(P226,'G-4 Temporal multipliers'!$A$4:$C$37,3,FALSE)),"")</f>
        <v/>
      </c>
      <c r="R226" s="171" t="str">
        <f>IF(C226="","",VLOOKUP(C226,'G-7 Rivers Data'!$B$4:$G$8,4,FALSE))</f>
        <v/>
      </c>
      <c r="S226" s="179" t="str">
        <f t="shared" si="21"/>
        <v/>
      </c>
      <c r="T226" s="269" t="str">
        <f t="shared" si="22"/>
        <v/>
      </c>
      <c r="U226" s="172" t="str">
        <f t="shared" si="23"/>
        <v/>
      </c>
      <c r="V226" s="79"/>
      <c r="W226" s="172" t="str">
        <f>IF(V226="","",IF(VLOOKUP(V226,'G-7 Rivers Data'!$AA$4:$AB$7,2,FALSE)=0,"Spatial Data Missing",VLOOKUP(V226,'G-7 Rivers Data'!$AA$4:$AB$7,2,FALSE)))</f>
        <v/>
      </c>
      <c r="X226" s="187"/>
      <c r="Y226" s="172" t="str">
        <f>IF(X226="","",IF(VLOOKUP(X226,'G-7 Rivers Data'!$AD$4:$AE$8,2,FALSE)=0,"Enrcoachment Data Missing",VLOOKUP(X226,'G-7 Rivers Data'!$AD$4:$AE$8,2,FALSE)))</f>
        <v/>
      </c>
      <c r="Z226" s="265" t="str">
        <f t="shared" si="24"/>
        <v/>
      </c>
      <c r="AA226" s="180"/>
      <c r="AB226" s="181"/>
      <c r="AH226" s="35" t="str">
        <f>IFERROR(INDEX('G-7 Rivers Data'!$AZ$3:$AZ$7,MATCH(C226,'G-7 Rivers Data'!$AY$3:$AY$7,0)),"")</f>
        <v/>
      </c>
    </row>
    <row r="227" spans="2:34" ht="13.8" x14ac:dyDescent="0.25">
      <c r="B227" s="168">
        <v>216</v>
      </c>
      <c r="C227" s="212"/>
      <c r="D227" s="213"/>
      <c r="E227" s="171" t="str">
        <f>IF(C227="","",VLOOKUP(C227,'G-7 Rivers Data'!$B$2:$G$8,2,FALSE))</f>
        <v/>
      </c>
      <c r="F227" s="172" t="str">
        <f>IFERROR(VLOOKUP(E227,'G-7 Rivers Data'!$C$4:$D$8,2,FALSE),"")</f>
        <v/>
      </c>
      <c r="G227" s="173"/>
      <c r="H227" s="172" t="str">
        <f>IFERROR(INDEX('G-7 Rivers Data'!$H$4:$L$8,MATCH(C227,'G-7 Rivers Data'!$B$4:$B$8,0),MATCH(G227,'G-7 Rivers Data'!$H$3:$L$3,0)),"")</f>
        <v/>
      </c>
      <c r="I227" s="186"/>
      <c r="J227" s="175" t="str">
        <f>IF(I227="","",IF(VLOOKUP(I227,'G-7 Rivers Data'!$AG$4:$AI$9,2,FALSE)=0,"Spatial Data Missing",VLOOKUP(I227,'G-7 Rivers Data'!$AG$4:$AI$9,2,FALSE)))</f>
        <v/>
      </c>
      <c r="K227" s="176" t="str">
        <f>IF(I227="","",IF(VLOOKUP(I227,'G-7 Rivers Data'!$AG$4:$AI$9,3,FALSE)=0,"Spatial Data Missing",VLOOKUP(I227,'G-7 Rivers Data'!$AG$4:$AI$9,3,FALSE)))</f>
        <v/>
      </c>
      <c r="L227" s="171" t="str">
        <f>IFERROR(INDEX('G-7 Rivers Data'!$O$3:$O$7,MATCH(G227,'G-7 Rivers Data'!$N$3:$N$7,0)),"")</f>
        <v/>
      </c>
      <c r="M227" s="94"/>
      <c r="N227" s="261"/>
      <c r="O227" s="175" t="str">
        <f t="shared" si="19"/>
        <v/>
      </c>
      <c r="P227" s="242" t="str">
        <f t="shared" si="20"/>
        <v/>
      </c>
      <c r="Q227" s="383" t="str">
        <f>IFERROR(IF(P227="Check Data","Check Data",VLOOKUP(P227,'G-4 Temporal multipliers'!$A$4:$C$37,3,FALSE)),"")</f>
        <v/>
      </c>
      <c r="R227" s="171" t="str">
        <f>IF(C227="","",VLOOKUP(C227,'G-7 Rivers Data'!$B$4:$G$8,4,FALSE))</f>
        <v/>
      </c>
      <c r="S227" s="179" t="str">
        <f t="shared" si="21"/>
        <v/>
      </c>
      <c r="T227" s="269" t="str">
        <f t="shared" si="22"/>
        <v/>
      </c>
      <c r="U227" s="172" t="str">
        <f t="shared" si="23"/>
        <v/>
      </c>
      <c r="V227" s="79"/>
      <c r="W227" s="172" t="str">
        <f>IF(V227="","",IF(VLOOKUP(V227,'G-7 Rivers Data'!$AA$4:$AB$7,2,FALSE)=0,"Spatial Data Missing",VLOOKUP(V227,'G-7 Rivers Data'!$AA$4:$AB$7,2,FALSE)))</f>
        <v/>
      </c>
      <c r="X227" s="187"/>
      <c r="Y227" s="172" t="str">
        <f>IF(X227="","",IF(VLOOKUP(X227,'G-7 Rivers Data'!$AD$4:$AE$8,2,FALSE)=0,"Enrcoachment Data Missing",VLOOKUP(X227,'G-7 Rivers Data'!$AD$4:$AE$8,2,FALSE)))</f>
        <v/>
      </c>
      <c r="Z227" s="265" t="str">
        <f t="shared" si="24"/>
        <v/>
      </c>
      <c r="AA227" s="180"/>
      <c r="AB227" s="181"/>
      <c r="AH227" s="35" t="str">
        <f>IFERROR(INDEX('G-7 Rivers Data'!$AZ$3:$AZ$7,MATCH(C227,'G-7 Rivers Data'!$AY$3:$AY$7,0)),"")</f>
        <v/>
      </c>
    </row>
    <row r="228" spans="2:34" ht="13.8" x14ac:dyDescent="0.25">
      <c r="B228" s="168">
        <v>217</v>
      </c>
      <c r="C228" s="212"/>
      <c r="D228" s="213"/>
      <c r="E228" s="171" t="str">
        <f>IF(C228="","",VLOOKUP(C228,'G-7 Rivers Data'!$B$2:$G$8,2,FALSE))</f>
        <v/>
      </c>
      <c r="F228" s="172" t="str">
        <f>IFERROR(VLOOKUP(E228,'G-7 Rivers Data'!$C$4:$D$8,2,FALSE),"")</f>
        <v/>
      </c>
      <c r="G228" s="173"/>
      <c r="H228" s="172" t="str">
        <f>IFERROR(INDEX('G-7 Rivers Data'!$H$4:$L$8,MATCH(C228,'G-7 Rivers Data'!$B$4:$B$8,0),MATCH(G228,'G-7 Rivers Data'!$H$3:$L$3,0)),"")</f>
        <v/>
      </c>
      <c r="I228" s="186"/>
      <c r="J228" s="175" t="str">
        <f>IF(I228="","",IF(VLOOKUP(I228,'G-7 Rivers Data'!$AG$4:$AI$9,2,FALSE)=0,"Spatial Data Missing",VLOOKUP(I228,'G-7 Rivers Data'!$AG$4:$AI$9,2,FALSE)))</f>
        <v/>
      </c>
      <c r="K228" s="176" t="str">
        <f>IF(I228="","",IF(VLOOKUP(I228,'G-7 Rivers Data'!$AG$4:$AI$9,3,FALSE)=0,"Spatial Data Missing",VLOOKUP(I228,'G-7 Rivers Data'!$AG$4:$AI$9,3,FALSE)))</f>
        <v/>
      </c>
      <c r="L228" s="171" t="str">
        <f>IFERROR(INDEX('G-7 Rivers Data'!$O$3:$O$7,MATCH(G228,'G-7 Rivers Data'!$N$3:$N$7,0)),"")</f>
        <v/>
      </c>
      <c r="M228" s="94"/>
      <c r="N228" s="261"/>
      <c r="O228" s="175" t="str">
        <f t="shared" si="19"/>
        <v/>
      </c>
      <c r="P228" s="242" t="str">
        <f t="shared" si="20"/>
        <v/>
      </c>
      <c r="Q228" s="383" t="str">
        <f>IFERROR(IF(P228="Check Data","Check Data",VLOOKUP(P228,'G-4 Temporal multipliers'!$A$4:$C$37,3,FALSE)),"")</f>
        <v/>
      </c>
      <c r="R228" s="171" t="str">
        <f>IF(C228="","",VLOOKUP(C228,'G-7 Rivers Data'!$B$4:$G$8,4,FALSE))</f>
        <v/>
      </c>
      <c r="S228" s="179" t="str">
        <f t="shared" si="21"/>
        <v/>
      </c>
      <c r="T228" s="269" t="str">
        <f t="shared" si="22"/>
        <v/>
      </c>
      <c r="U228" s="172" t="str">
        <f t="shared" si="23"/>
        <v/>
      </c>
      <c r="V228" s="79"/>
      <c r="W228" s="172" t="str">
        <f>IF(V228="","",IF(VLOOKUP(V228,'G-7 Rivers Data'!$AA$4:$AB$7,2,FALSE)=0,"Spatial Data Missing",VLOOKUP(V228,'G-7 Rivers Data'!$AA$4:$AB$7,2,FALSE)))</f>
        <v/>
      </c>
      <c r="X228" s="187"/>
      <c r="Y228" s="172" t="str">
        <f>IF(X228="","",IF(VLOOKUP(X228,'G-7 Rivers Data'!$AD$4:$AE$8,2,FALSE)=0,"Enrcoachment Data Missing",VLOOKUP(X228,'G-7 Rivers Data'!$AD$4:$AE$8,2,FALSE)))</f>
        <v/>
      </c>
      <c r="Z228" s="265" t="str">
        <f t="shared" si="24"/>
        <v/>
      </c>
      <c r="AA228" s="180"/>
      <c r="AB228" s="181"/>
      <c r="AH228" s="35" t="str">
        <f>IFERROR(INDEX('G-7 Rivers Data'!$AZ$3:$AZ$7,MATCH(C228,'G-7 Rivers Data'!$AY$3:$AY$7,0)),"")</f>
        <v/>
      </c>
    </row>
    <row r="229" spans="2:34" ht="13.8" x14ac:dyDescent="0.25">
      <c r="B229" s="168">
        <v>218</v>
      </c>
      <c r="C229" s="212"/>
      <c r="D229" s="213"/>
      <c r="E229" s="171" t="str">
        <f>IF(C229="","",VLOOKUP(C229,'G-7 Rivers Data'!$B$2:$G$8,2,FALSE))</f>
        <v/>
      </c>
      <c r="F229" s="172" t="str">
        <f>IFERROR(VLOOKUP(E229,'G-7 Rivers Data'!$C$4:$D$8,2,FALSE),"")</f>
        <v/>
      </c>
      <c r="G229" s="173"/>
      <c r="H229" s="172" t="str">
        <f>IFERROR(INDEX('G-7 Rivers Data'!$H$4:$L$8,MATCH(C229,'G-7 Rivers Data'!$B$4:$B$8,0),MATCH(G229,'G-7 Rivers Data'!$H$3:$L$3,0)),"")</f>
        <v/>
      </c>
      <c r="I229" s="186"/>
      <c r="J229" s="175" t="str">
        <f>IF(I229="","",IF(VLOOKUP(I229,'G-7 Rivers Data'!$AG$4:$AI$9,2,FALSE)=0,"Spatial Data Missing",VLOOKUP(I229,'G-7 Rivers Data'!$AG$4:$AI$9,2,FALSE)))</f>
        <v/>
      </c>
      <c r="K229" s="176" t="str">
        <f>IF(I229="","",IF(VLOOKUP(I229,'G-7 Rivers Data'!$AG$4:$AI$9,3,FALSE)=0,"Spatial Data Missing",VLOOKUP(I229,'G-7 Rivers Data'!$AG$4:$AI$9,3,FALSE)))</f>
        <v/>
      </c>
      <c r="L229" s="171" t="str">
        <f>IFERROR(INDEX('G-7 Rivers Data'!$O$3:$O$7,MATCH(G229,'G-7 Rivers Data'!$N$3:$N$7,0)),"")</f>
        <v/>
      </c>
      <c r="M229" s="94"/>
      <c r="N229" s="261"/>
      <c r="O229" s="175" t="str">
        <f t="shared" si="19"/>
        <v/>
      </c>
      <c r="P229" s="242" t="str">
        <f t="shared" si="20"/>
        <v/>
      </c>
      <c r="Q229" s="383" t="str">
        <f>IFERROR(IF(P229="Check Data","Check Data",VLOOKUP(P229,'G-4 Temporal multipliers'!$A$4:$C$37,3,FALSE)),"")</f>
        <v/>
      </c>
      <c r="R229" s="171" t="str">
        <f>IF(C229="","",VLOOKUP(C229,'G-7 Rivers Data'!$B$4:$G$8,4,FALSE))</f>
        <v/>
      </c>
      <c r="S229" s="179" t="str">
        <f t="shared" si="21"/>
        <v/>
      </c>
      <c r="T229" s="269" t="str">
        <f t="shared" si="22"/>
        <v/>
      </c>
      <c r="U229" s="172" t="str">
        <f t="shared" si="23"/>
        <v/>
      </c>
      <c r="V229" s="79"/>
      <c r="W229" s="172" t="str">
        <f>IF(V229="","",IF(VLOOKUP(V229,'G-7 Rivers Data'!$AA$4:$AB$7,2,FALSE)=0,"Spatial Data Missing",VLOOKUP(V229,'G-7 Rivers Data'!$AA$4:$AB$7,2,FALSE)))</f>
        <v/>
      </c>
      <c r="X229" s="187"/>
      <c r="Y229" s="172" t="str">
        <f>IF(X229="","",IF(VLOOKUP(X229,'G-7 Rivers Data'!$AD$4:$AE$8,2,FALSE)=0,"Enrcoachment Data Missing",VLOOKUP(X229,'G-7 Rivers Data'!$AD$4:$AE$8,2,FALSE)))</f>
        <v/>
      </c>
      <c r="Z229" s="265" t="str">
        <f t="shared" si="24"/>
        <v/>
      </c>
      <c r="AA229" s="180"/>
      <c r="AB229" s="181"/>
      <c r="AH229" s="35" t="str">
        <f>IFERROR(INDEX('G-7 Rivers Data'!$AZ$3:$AZ$7,MATCH(C229,'G-7 Rivers Data'!$AY$3:$AY$7,0)),"")</f>
        <v/>
      </c>
    </row>
    <row r="230" spans="2:34" ht="13.8" x14ac:dyDescent="0.25">
      <c r="B230" s="168">
        <v>219</v>
      </c>
      <c r="C230" s="212"/>
      <c r="D230" s="213"/>
      <c r="E230" s="171" t="str">
        <f>IF(C230="","",VLOOKUP(C230,'G-7 Rivers Data'!$B$2:$G$8,2,FALSE))</f>
        <v/>
      </c>
      <c r="F230" s="172" t="str">
        <f>IFERROR(VLOOKUP(E230,'G-7 Rivers Data'!$C$4:$D$8,2,FALSE),"")</f>
        <v/>
      </c>
      <c r="G230" s="173"/>
      <c r="H230" s="172" t="str">
        <f>IFERROR(INDEX('G-7 Rivers Data'!$H$4:$L$8,MATCH(C230,'G-7 Rivers Data'!$B$4:$B$8,0),MATCH(G230,'G-7 Rivers Data'!$H$3:$L$3,0)),"")</f>
        <v/>
      </c>
      <c r="I230" s="186"/>
      <c r="J230" s="175" t="str">
        <f>IF(I230="","",IF(VLOOKUP(I230,'G-7 Rivers Data'!$AG$4:$AI$9,2,FALSE)=0,"Spatial Data Missing",VLOOKUP(I230,'G-7 Rivers Data'!$AG$4:$AI$9,2,FALSE)))</f>
        <v/>
      </c>
      <c r="K230" s="176" t="str">
        <f>IF(I230="","",IF(VLOOKUP(I230,'G-7 Rivers Data'!$AG$4:$AI$9,3,FALSE)=0,"Spatial Data Missing",VLOOKUP(I230,'G-7 Rivers Data'!$AG$4:$AI$9,3,FALSE)))</f>
        <v/>
      </c>
      <c r="L230" s="171" t="str">
        <f>IFERROR(INDEX('G-7 Rivers Data'!$O$3:$O$7,MATCH(G230,'G-7 Rivers Data'!$N$3:$N$7,0)),"")</f>
        <v/>
      </c>
      <c r="M230" s="94"/>
      <c r="N230" s="261"/>
      <c r="O230" s="175" t="str">
        <f t="shared" si="19"/>
        <v/>
      </c>
      <c r="P230" s="242" t="str">
        <f t="shared" si="20"/>
        <v/>
      </c>
      <c r="Q230" s="383" t="str">
        <f>IFERROR(IF(P230="Check Data","Check Data",VLOOKUP(P230,'G-4 Temporal multipliers'!$A$4:$C$37,3,FALSE)),"")</f>
        <v/>
      </c>
      <c r="R230" s="171" t="str">
        <f>IF(C230="","",VLOOKUP(C230,'G-7 Rivers Data'!$B$4:$G$8,4,FALSE))</f>
        <v/>
      </c>
      <c r="S230" s="179" t="str">
        <f t="shared" si="21"/>
        <v/>
      </c>
      <c r="T230" s="269" t="str">
        <f t="shared" si="22"/>
        <v/>
      </c>
      <c r="U230" s="172" t="str">
        <f t="shared" si="23"/>
        <v/>
      </c>
      <c r="V230" s="79"/>
      <c r="W230" s="172" t="str">
        <f>IF(V230="","",IF(VLOOKUP(V230,'G-7 Rivers Data'!$AA$4:$AB$7,2,FALSE)=0,"Spatial Data Missing",VLOOKUP(V230,'G-7 Rivers Data'!$AA$4:$AB$7,2,FALSE)))</f>
        <v/>
      </c>
      <c r="X230" s="187"/>
      <c r="Y230" s="172" t="str">
        <f>IF(X230="","",IF(VLOOKUP(X230,'G-7 Rivers Data'!$AD$4:$AE$8,2,FALSE)=0,"Enrcoachment Data Missing",VLOOKUP(X230,'G-7 Rivers Data'!$AD$4:$AE$8,2,FALSE)))</f>
        <v/>
      </c>
      <c r="Z230" s="265" t="str">
        <f t="shared" si="24"/>
        <v/>
      </c>
      <c r="AA230" s="180"/>
      <c r="AB230" s="181"/>
      <c r="AH230" s="35" t="str">
        <f>IFERROR(INDEX('G-7 Rivers Data'!$AZ$3:$AZ$7,MATCH(C230,'G-7 Rivers Data'!$AY$3:$AY$7,0)),"")</f>
        <v/>
      </c>
    </row>
    <row r="231" spans="2:34" ht="13.8" x14ac:dyDescent="0.25">
      <c r="B231" s="168">
        <v>220</v>
      </c>
      <c r="C231" s="212"/>
      <c r="D231" s="213"/>
      <c r="E231" s="171" t="str">
        <f>IF(C231="","",VLOOKUP(C231,'G-7 Rivers Data'!$B$2:$G$8,2,FALSE))</f>
        <v/>
      </c>
      <c r="F231" s="172" t="str">
        <f>IFERROR(VLOOKUP(E231,'G-7 Rivers Data'!$C$4:$D$8,2,FALSE),"")</f>
        <v/>
      </c>
      <c r="G231" s="173"/>
      <c r="H231" s="172" t="str">
        <f>IFERROR(INDEX('G-7 Rivers Data'!$H$4:$L$8,MATCH(C231,'G-7 Rivers Data'!$B$4:$B$8,0),MATCH(G231,'G-7 Rivers Data'!$H$3:$L$3,0)),"")</f>
        <v/>
      </c>
      <c r="I231" s="186"/>
      <c r="J231" s="175" t="str">
        <f>IF(I231="","",IF(VLOOKUP(I231,'G-7 Rivers Data'!$AG$4:$AI$9,2,FALSE)=0,"Spatial Data Missing",VLOOKUP(I231,'G-7 Rivers Data'!$AG$4:$AI$9,2,FALSE)))</f>
        <v/>
      </c>
      <c r="K231" s="176" t="str">
        <f>IF(I231="","",IF(VLOOKUP(I231,'G-7 Rivers Data'!$AG$4:$AI$9,3,FALSE)=0,"Spatial Data Missing",VLOOKUP(I231,'G-7 Rivers Data'!$AG$4:$AI$9,3,FALSE)))</f>
        <v/>
      </c>
      <c r="L231" s="171" t="str">
        <f>IFERROR(INDEX('G-7 Rivers Data'!$O$3:$O$7,MATCH(G231,'G-7 Rivers Data'!$N$3:$N$7,0)),"")</f>
        <v/>
      </c>
      <c r="M231" s="94"/>
      <c r="N231" s="261"/>
      <c r="O231" s="175" t="str">
        <f t="shared" si="19"/>
        <v/>
      </c>
      <c r="P231" s="242" t="str">
        <f t="shared" si="20"/>
        <v/>
      </c>
      <c r="Q231" s="383" t="str">
        <f>IFERROR(IF(P231="Check Data","Check Data",VLOOKUP(P231,'G-4 Temporal multipliers'!$A$4:$C$37,3,FALSE)),"")</f>
        <v/>
      </c>
      <c r="R231" s="171" t="str">
        <f>IF(C231="","",VLOOKUP(C231,'G-7 Rivers Data'!$B$4:$G$8,4,FALSE))</f>
        <v/>
      </c>
      <c r="S231" s="179" t="str">
        <f t="shared" si="21"/>
        <v/>
      </c>
      <c r="T231" s="269" t="str">
        <f t="shared" si="22"/>
        <v/>
      </c>
      <c r="U231" s="172" t="str">
        <f t="shared" si="23"/>
        <v/>
      </c>
      <c r="V231" s="79"/>
      <c r="W231" s="172" t="str">
        <f>IF(V231="","",IF(VLOOKUP(V231,'G-7 Rivers Data'!$AA$4:$AB$7,2,FALSE)=0,"Spatial Data Missing",VLOOKUP(V231,'G-7 Rivers Data'!$AA$4:$AB$7,2,FALSE)))</f>
        <v/>
      </c>
      <c r="X231" s="187"/>
      <c r="Y231" s="172" t="str">
        <f>IF(X231="","",IF(VLOOKUP(X231,'G-7 Rivers Data'!$AD$4:$AE$8,2,FALSE)=0,"Enrcoachment Data Missing",VLOOKUP(X231,'G-7 Rivers Data'!$AD$4:$AE$8,2,FALSE)))</f>
        <v/>
      </c>
      <c r="Z231" s="265" t="str">
        <f t="shared" si="24"/>
        <v/>
      </c>
      <c r="AA231" s="180"/>
      <c r="AB231" s="181"/>
      <c r="AH231" s="35" t="str">
        <f>IFERROR(INDEX('G-7 Rivers Data'!$AZ$3:$AZ$7,MATCH(C231,'G-7 Rivers Data'!$AY$3:$AY$7,0)),"")</f>
        <v/>
      </c>
    </row>
    <row r="232" spans="2:34" ht="13.8" x14ac:dyDescent="0.25">
      <c r="B232" s="168">
        <v>221</v>
      </c>
      <c r="C232" s="212"/>
      <c r="D232" s="213"/>
      <c r="E232" s="171" t="str">
        <f>IF(C232="","",VLOOKUP(C232,'G-7 Rivers Data'!$B$2:$G$8,2,FALSE))</f>
        <v/>
      </c>
      <c r="F232" s="172" t="str">
        <f>IFERROR(VLOOKUP(E232,'G-7 Rivers Data'!$C$4:$D$8,2,FALSE),"")</f>
        <v/>
      </c>
      <c r="G232" s="173"/>
      <c r="H232" s="172" t="str">
        <f>IFERROR(INDEX('G-7 Rivers Data'!$H$4:$L$8,MATCH(C232,'G-7 Rivers Data'!$B$4:$B$8,0),MATCH(G232,'G-7 Rivers Data'!$H$3:$L$3,0)),"")</f>
        <v/>
      </c>
      <c r="I232" s="186"/>
      <c r="J232" s="175" t="str">
        <f>IF(I232="","",IF(VLOOKUP(I232,'G-7 Rivers Data'!$AG$4:$AI$9,2,FALSE)=0,"Spatial Data Missing",VLOOKUP(I232,'G-7 Rivers Data'!$AG$4:$AI$9,2,FALSE)))</f>
        <v/>
      </c>
      <c r="K232" s="176" t="str">
        <f>IF(I232="","",IF(VLOOKUP(I232,'G-7 Rivers Data'!$AG$4:$AI$9,3,FALSE)=0,"Spatial Data Missing",VLOOKUP(I232,'G-7 Rivers Data'!$AG$4:$AI$9,3,FALSE)))</f>
        <v/>
      </c>
      <c r="L232" s="171" t="str">
        <f>IFERROR(INDEX('G-7 Rivers Data'!$O$3:$O$7,MATCH(G232,'G-7 Rivers Data'!$N$3:$N$7,0)),"")</f>
        <v/>
      </c>
      <c r="M232" s="94"/>
      <c r="N232" s="261"/>
      <c r="O232" s="175" t="str">
        <f t="shared" si="19"/>
        <v/>
      </c>
      <c r="P232" s="242" t="str">
        <f t="shared" si="20"/>
        <v/>
      </c>
      <c r="Q232" s="383" t="str">
        <f>IFERROR(IF(P232="Check Data","Check Data",VLOOKUP(P232,'G-4 Temporal multipliers'!$A$4:$C$37,3,FALSE)),"")</f>
        <v/>
      </c>
      <c r="R232" s="171" t="str">
        <f>IF(C232="","",VLOOKUP(C232,'G-7 Rivers Data'!$B$4:$G$8,4,FALSE))</f>
        <v/>
      </c>
      <c r="S232" s="179" t="str">
        <f t="shared" si="21"/>
        <v/>
      </c>
      <c r="T232" s="269" t="str">
        <f t="shared" si="22"/>
        <v/>
      </c>
      <c r="U232" s="172" t="str">
        <f t="shared" si="23"/>
        <v/>
      </c>
      <c r="V232" s="79"/>
      <c r="W232" s="172" t="str">
        <f>IF(V232="","",IF(VLOOKUP(V232,'G-7 Rivers Data'!$AA$4:$AB$7,2,FALSE)=0,"Spatial Data Missing",VLOOKUP(V232,'G-7 Rivers Data'!$AA$4:$AB$7,2,FALSE)))</f>
        <v/>
      </c>
      <c r="X232" s="187"/>
      <c r="Y232" s="172" t="str">
        <f>IF(X232="","",IF(VLOOKUP(X232,'G-7 Rivers Data'!$AD$4:$AE$8,2,FALSE)=0,"Enrcoachment Data Missing",VLOOKUP(X232,'G-7 Rivers Data'!$AD$4:$AE$8,2,FALSE)))</f>
        <v/>
      </c>
      <c r="Z232" s="265" t="str">
        <f t="shared" si="24"/>
        <v/>
      </c>
      <c r="AA232" s="180"/>
      <c r="AB232" s="181"/>
      <c r="AH232" s="35" t="str">
        <f>IFERROR(INDEX('G-7 Rivers Data'!$AZ$3:$AZ$7,MATCH(C232,'G-7 Rivers Data'!$AY$3:$AY$7,0)),"")</f>
        <v/>
      </c>
    </row>
    <row r="233" spans="2:34" ht="13.8" x14ac:dyDescent="0.25">
      <c r="B233" s="168">
        <v>222</v>
      </c>
      <c r="C233" s="212"/>
      <c r="D233" s="213"/>
      <c r="E233" s="171" t="str">
        <f>IF(C233="","",VLOOKUP(C233,'G-7 Rivers Data'!$B$2:$G$8,2,FALSE))</f>
        <v/>
      </c>
      <c r="F233" s="172" t="str">
        <f>IFERROR(VLOOKUP(E233,'G-7 Rivers Data'!$C$4:$D$8,2,FALSE),"")</f>
        <v/>
      </c>
      <c r="G233" s="173"/>
      <c r="H233" s="172" t="str">
        <f>IFERROR(INDEX('G-7 Rivers Data'!$H$4:$L$8,MATCH(C233,'G-7 Rivers Data'!$B$4:$B$8,0),MATCH(G233,'G-7 Rivers Data'!$H$3:$L$3,0)),"")</f>
        <v/>
      </c>
      <c r="I233" s="186"/>
      <c r="J233" s="175" t="str">
        <f>IF(I233="","",IF(VLOOKUP(I233,'G-7 Rivers Data'!$AG$4:$AI$9,2,FALSE)=0,"Spatial Data Missing",VLOOKUP(I233,'G-7 Rivers Data'!$AG$4:$AI$9,2,FALSE)))</f>
        <v/>
      </c>
      <c r="K233" s="176" t="str">
        <f>IF(I233="","",IF(VLOOKUP(I233,'G-7 Rivers Data'!$AG$4:$AI$9,3,FALSE)=0,"Spatial Data Missing",VLOOKUP(I233,'G-7 Rivers Data'!$AG$4:$AI$9,3,FALSE)))</f>
        <v/>
      </c>
      <c r="L233" s="171" t="str">
        <f>IFERROR(INDEX('G-7 Rivers Data'!$O$3:$O$7,MATCH(G233,'G-7 Rivers Data'!$N$3:$N$7,0)),"")</f>
        <v/>
      </c>
      <c r="M233" s="94"/>
      <c r="N233" s="261"/>
      <c r="O233" s="175" t="str">
        <f t="shared" si="19"/>
        <v/>
      </c>
      <c r="P233" s="242" t="str">
        <f t="shared" si="20"/>
        <v/>
      </c>
      <c r="Q233" s="383" t="str">
        <f>IFERROR(IF(P233="Check Data","Check Data",VLOOKUP(P233,'G-4 Temporal multipliers'!$A$4:$C$37,3,FALSE)),"")</f>
        <v/>
      </c>
      <c r="R233" s="171" t="str">
        <f>IF(C233="","",VLOOKUP(C233,'G-7 Rivers Data'!$B$4:$G$8,4,FALSE))</f>
        <v/>
      </c>
      <c r="S233" s="179" t="str">
        <f t="shared" si="21"/>
        <v/>
      </c>
      <c r="T233" s="269" t="str">
        <f t="shared" si="22"/>
        <v/>
      </c>
      <c r="U233" s="172" t="str">
        <f t="shared" si="23"/>
        <v/>
      </c>
      <c r="V233" s="79"/>
      <c r="W233" s="172" t="str">
        <f>IF(V233="","",IF(VLOOKUP(V233,'G-7 Rivers Data'!$AA$4:$AB$7,2,FALSE)=0,"Spatial Data Missing",VLOOKUP(V233,'G-7 Rivers Data'!$AA$4:$AB$7,2,FALSE)))</f>
        <v/>
      </c>
      <c r="X233" s="187"/>
      <c r="Y233" s="172" t="str">
        <f>IF(X233="","",IF(VLOOKUP(X233,'G-7 Rivers Data'!$AD$4:$AE$8,2,FALSE)=0,"Enrcoachment Data Missing",VLOOKUP(X233,'G-7 Rivers Data'!$AD$4:$AE$8,2,FALSE)))</f>
        <v/>
      </c>
      <c r="Z233" s="265" t="str">
        <f t="shared" si="24"/>
        <v/>
      </c>
      <c r="AA233" s="180"/>
      <c r="AB233" s="181"/>
      <c r="AH233" s="35" t="str">
        <f>IFERROR(INDEX('G-7 Rivers Data'!$AZ$3:$AZ$7,MATCH(C233,'G-7 Rivers Data'!$AY$3:$AY$7,0)),"")</f>
        <v/>
      </c>
    </row>
    <row r="234" spans="2:34" ht="13.8" x14ac:dyDescent="0.25">
      <c r="B234" s="168">
        <v>223</v>
      </c>
      <c r="C234" s="212"/>
      <c r="D234" s="213"/>
      <c r="E234" s="171" t="str">
        <f>IF(C234="","",VLOOKUP(C234,'G-7 Rivers Data'!$B$2:$G$8,2,FALSE))</f>
        <v/>
      </c>
      <c r="F234" s="172" t="str">
        <f>IFERROR(VLOOKUP(E234,'G-7 Rivers Data'!$C$4:$D$8,2,FALSE),"")</f>
        <v/>
      </c>
      <c r="G234" s="173"/>
      <c r="H234" s="172" t="str">
        <f>IFERROR(INDEX('G-7 Rivers Data'!$H$4:$L$8,MATCH(C234,'G-7 Rivers Data'!$B$4:$B$8,0),MATCH(G234,'G-7 Rivers Data'!$H$3:$L$3,0)),"")</f>
        <v/>
      </c>
      <c r="I234" s="186"/>
      <c r="J234" s="175" t="str">
        <f>IF(I234="","",IF(VLOOKUP(I234,'G-7 Rivers Data'!$AG$4:$AI$9,2,FALSE)=0,"Spatial Data Missing",VLOOKUP(I234,'G-7 Rivers Data'!$AG$4:$AI$9,2,FALSE)))</f>
        <v/>
      </c>
      <c r="K234" s="176" t="str">
        <f>IF(I234="","",IF(VLOOKUP(I234,'G-7 Rivers Data'!$AG$4:$AI$9,3,FALSE)=0,"Spatial Data Missing",VLOOKUP(I234,'G-7 Rivers Data'!$AG$4:$AI$9,3,FALSE)))</f>
        <v/>
      </c>
      <c r="L234" s="171" t="str">
        <f>IFERROR(INDEX('G-7 Rivers Data'!$O$3:$O$7,MATCH(G234,'G-7 Rivers Data'!$N$3:$N$7,0)),"")</f>
        <v/>
      </c>
      <c r="M234" s="94"/>
      <c r="N234" s="261"/>
      <c r="O234" s="175" t="str">
        <f t="shared" si="19"/>
        <v/>
      </c>
      <c r="P234" s="242" t="str">
        <f t="shared" si="20"/>
        <v/>
      </c>
      <c r="Q234" s="383" t="str">
        <f>IFERROR(IF(P234="Check Data","Check Data",VLOOKUP(P234,'G-4 Temporal multipliers'!$A$4:$C$37,3,FALSE)),"")</f>
        <v/>
      </c>
      <c r="R234" s="171" t="str">
        <f>IF(C234="","",VLOOKUP(C234,'G-7 Rivers Data'!$B$4:$G$8,4,FALSE))</f>
        <v/>
      </c>
      <c r="S234" s="179" t="str">
        <f t="shared" si="21"/>
        <v/>
      </c>
      <c r="T234" s="269" t="str">
        <f t="shared" si="22"/>
        <v/>
      </c>
      <c r="U234" s="172" t="str">
        <f t="shared" si="23"/>
        <v/>
      </c>
      <c r="V234" s="79"/>
      <c r="W234" s="172" t="str">
        <f>IF(V234="","",IF(VLOOKUP(V234,'G-7 Rivers Data'!$AA$4:$AB$7,2,FALSE)=0,"Spatial Data Missing",VLOOKUP(V234,'G-7 Rivers Data'!$AA$4:$AB$7,2,FALSE)))</f>
        <v/>
      </c>
      <c r="X234" s="187"/>
      <c r="Y234" s="172" t="str">
        <f>IF(X234="","",IF(VLOOKUP(X234,'G-7 Rivers Data'!$AD$4:$AE$8,2,FALSE)=0,"Enrcoachment Data Missing",VLOOKUP(X234,'G-7 Rivers Data'!$AD$4:$AE$8,2,FALSE)))</f>
        <v/>
      </c>
      <c r="Z234" s="265" t="str">
        <f t="shared" si="24"/>
        <v/>
      </c>
      <c r="AA234" s="180"/>
      <c r="AB234" s="181"/>
      <c r="AH234" s="35" t="str">
        <f>IFERROR(INDEX('G-7 Rivers Data'!$AZ$3:$AZ$7,MATCH(C234,'G-7 Rivers Data'!$AY$3:$AY$7,0)),"")</f>
        <v/>
      </c>
    </row>
    <row r="235" spans="2:34" ht="13.8" x14ac:dyDescent="0.25">
      <c r="B235" s="168">
        <v>224</v>
      </c>
      <c r="C235" s="212"/>
      <c r="D235" s="213"/>
      <c r="E235" s="171" t="str">
        <f>IF(C235="","",VLOOKUP(C235,'G-7 Rivers Data'!$B$2:$G$8,2,FALSE))</f>
        <v/>
      </c>
      <c r="F235" s="172" t="str">
        <f>IFERROR(VLOOKUP(E235,'G-7 Rivers Data'!$C$4:$D$8,2,FALSE),"")</f>
        <v/>
      </c>
      <c r="G235" s="173"/>
      <c r="H235" s="172" t="str">
        <f>IFERROR(INDEX('G-7 Rivers Data'!$H$4:$L$8,MATCH(C235,'G-7 Rivers Data'!$B$4:$B$8,0),MATCH(G235,'G-7 Rivers Data'!$H$3:$L$3,0)),"")</f>
        <v/>
      </c>
      <c r="I235" s="186"/>
      <c r="J235" s="175" t="str">
        <f>IF(I235="","",IF(VLOOKUP(I235,'G-7 Rivers Data'!$AG$4:$AI$9,2,FALSE)=0,"Spatial Data Missing",VLOOKUP(I235,'G-7 Rivers Data'!$AG$4:$AI$9,2,FALSE)))</f>
        <v/>
      </c>
      <c r="K235" s="176" t="str">
        <f>IF(I235="","",IF(VLOOKUP(I235,'G-7 Rivers Data'!$AG$4:$AI$9,3,FALSE)=0,"Spatial Data Missing",VLOOKUP(I235,'G-7 Rivers Data'!$AG$4:$AI$9,3,FALSE)))</f>
        <v/>
      </c>
      <c r="L235" s="171" t="str">
        <f>IFERROR(INDEX('G-7 Rivers Data'!$O$3:$O$7,MATCH(G235,'G-7 Rivers Data'!$N$3:$N$7,0)),"")</f>
        <v/>
      </c>
      <c r="M235" s="94"/>
      <c r="N235" s="261"/>
      <c r="O235" s="175" t="str">
        <f t="shared" si="19"/>
        <v/>
      </c>
      <c r="P235" s="242" t="str">
        <f t="shared" si="20"/>
        <v/>
      </c>
      <c r="Q235" s="383" t="str">
        <f>IFERROR(IF(P235="Check Data","Check Data",VLOOKUP(P235,'G-4 Temporal multipliers'!$A$4:$C$37,3,FALSE)),"")</f>
        <v/>
      </c>
      <c r="R235" s="171" t="str">
        <f>IF(C235="","",VLOOKUP(C235,'G-7 Rivers Data'!$B$4:$G$8,4,FALSE))</f>
        <v/>
      </c>
      <c r="S235" s="179" t="str">
        <f t="shared" si="21"/>
        <v/>
      </c>
      <c r="T235" s="269" t="str">
        <f t="shared" si="22"/>
        <v/>
      </c>
      <c r="U235" s="172" t="str">
        <f t="shared" si="23"/>
        <v/>
      </c>
      <c r="V235" s="79"/>
      <c r="W235" s="172" t="str">
        <f>IF(V235="","",IF(VLOOKUP(V235,'G-7 Rivers Data'!$AA$4:$AB$7,2,FALSE)=0,"Spatial Data Missing",VLOOKUP(V235,'G-7 Rivers Data'!$AA$4:$AB$7,2,FALSE)))</f>
        <v/>
      </c>
      <c r="X235" s="187"/>
      <c r="Y235" s="172" t="str">
        <f>IF(X235="","",IF(VLOOKUP(X235,'G-7 Rivers Data'!$AD$4:$AE$8,2,FALSE)=0,"Enrcoachment Data Missing",VLOOKUP(X235,'G-7 Rivers Data'!$AD$4:$AE$8,2,FALSE)))</f>
        <v/>
      </c>
      <c r="Z235" s="265" t="str">
        <f t="shared" si="24"/>
        <v/>
      </c>
      <c r="AA235" s="180"/>
      <c r="AB235" s="181"/>
      <c r="AH235" s="35" t="str">
        <f>IFERROR(INDEX('G-7 Rivers Data'!$AZ$3:$AZ$7,MATCH(C235,'G-7 Rivers Data'!$AY$3:$AY$7,0)),"")</f>
        <v/>
      </c>
    </row>
    <row r="236" spans="2:34" ht="13.8" x14ac:dyDescent="0.25">
      <c r="B236" s="168">
        <v>225</v>
      </c>
      <c r="C236" s="212"/>
      <c r="D236" s="213"/>
      <c r="E236" s="171" t="str">
        <f>IF(C236="","",VLOOKUP(C236,'G-7 Rivers Data'!$B$2:$G$8,2,FALSE))</f>
        <v/>
      </c>
      <c r="F236" s="172" t="str">
        <f>IFERROR(VLOOKUP(E236,'G-7 Rivers Data'!$C$4:$D$8,2,FALSE),"")</f>
        <v/>
      </c>
      <c r="G236" s="173"/>
      <c r="H236" s="172" t="str">
        <f>IFERROR(INDEX('G-7 Rivers Data'!$H$4:$L$8,MATCH(C236,'G-7 Rivers Data'!$B$4:$B$8,0),MATCH(G236,'G-7 Rivers Data'!$H$3:$L$3,0)),"")</f>
        <v/>
      </c>
      <c r="I236" s="186"/>
      <c r="J236" s="175" t="str">
        <f>IF(I236="","",IF(VLOOKUP(I236,'G-7 Rivers Data'!$AG$4:$AI$9,2,FALSE)=0,"Spatial Data Missing",VLOOKUP(I236,'G-7 Rivers Data'!$AG$4:$AI$9,2,FALSE)))</f>
        <v/>
      </c>
      <c r="K236" s="176" t="str">
        <f>IF(I236="","",IF(VLOOKUP(I236,'G-7 Rivers Data'!$AG$4:$AI$9,3,FALSE)=0,"Spatial Data Missing",VLOOKUP(I236,'G-7 Rivers Data'!$AG$4:$AI$9,3,FALSE)))</f>
        <v/>
      </c>
      <c r="L236" s="171" t="str">
        <f>IFERROR(INDEX('G-7 Rivers Data'!$O$3:$O$7,MATCH(G236,'G-7 Rivers Data'!$N$3:$N$7,0)),"")</f>
        <v/>
      </c>
      <c r="M236" s="94"/>
      <c r="N236" s="261"/>
      <c r="O236" s="175" t="str">
        <f t="shared" si="19"/>
        <v/>
      </c>
      <c r="P236" s="242" t="str">
        <f t="shared" si="20"/>
        <v/>
      </c>
      <c r="Q236" s="383" t="str">
        <f>IFERROR(IF(P236="Check Data","Check Data",VLOOKUP(P236,'G-4 Temporal multipliers'!$A$4:$C$37,3,FALSE)),"")</f>
        <v/>
      </c>
      <c r="R236" s="171" t="str">
        <f>IF(C236="","",VLOOKUP(C236,'G-7 Rivers Data'!$B$4:$G$8,4,FALSE))</f>
        <v/>
      </c>
      <c r="S236" s="179" t="str">
        <f t="shared" si="21"/>
        <v/>
      </c>
      <c r="T236" s="269" t="str">
        <f t="shared" si="22"/>
        <v/>
      </c>
      <c r="U236" s="172" t="str">
        <f t="shared" si="23"/>
        <v/>
      </c>
      <c r="V236" s="79"/>
      <c r="W236" s="172" t="str">
        <f>IF(V236="","",IF(VLOOKUP(V236,'G-7 Rivers Data'!$AA$4:$AB$7,2,FALSE)=0,"Spatial Data Missing",VLOOKUP(V236,'G-7 Rivers Data'!$AA$4:$AB$7,2,FALSE)))</f>
        <v/>
      </c>
      <c r="X236" s="187"/>
      <c r="Y236" s="172" t="str">
        <f>IF(X236="","",IF(VLOOKUP(X236,'G-7 Rivers Data'!$AD$4:$AE$8,2,FALSE)=0,"Enrcoachment Data Missing",VLOOKUP(X236,'G-7 Rivers Data'!$AD$4:$AE$8,2,FALSE)))</f>
        <v/>
      </c>
      <c r="Z236" s="265" t="str">
        <f t="shared" si="24"/>
        <v/>
      </c>
      <c r="AA236" s="180"/>
      <c r="AB236" s="181"/>
      <c r="AH236" s="35" t="str">
        <f>IFERROR(INDEX('G-7 Rivers Data'!$AZ$3:$AZ$7,MATCH(C236,'G-7 Rivers Data'!$AY$3:$AY$7,0)),"")</f>
        <v/>
      </c>
    </row>
    <row r="237" spans="2:34" ht="13.8" x14ac:dyDescent="0.25">
      <c r="B237" s="168">
        <v>226</v>
      </c>
      <c r="C237" s="212"/>
      <c r="D237" s="213"/>
      <c r="E237" s="171" t="str">
        <f>IF(C237="","",VLOOKUP(C237,'G-7 Rivers Data'!$B$2:$G$8,2,FALSE))</f>
        <v/>
      </c>
      <c r="F237" s="172" t="str">
        <f>IFERROR(VLOOKUP(E237,'G-7 Rivers Data'!$C$4:$D$8,2,FALSE),"")</f>
        <v/>
      </c>
      <c r="G237" s="173"/>
      <c r="H237" s="172" t="str">
        <f>IFERROR(INDEX('G-7 Rivers Data'!$H$4:$L$8,MATCH(C237,'G-7 Rivers Data'!$B$4:$B$8,0),MATCH(G237,'G-7 Rivers Data'!$H$3:$L$3,0)),"")</f>
        <v/>
      </c>
      <c r="I237" s="186"/>
      <c r="J237" s="175" t="str">
        <f>IF(I237="","",IF(VLOOKUP(I237,'G-7 Rivers Data'!$AG$4:$AI$9,2,FALSE)=0,"Spatial Data Missing",VLOOKUP(I237,'G-7 Rivers Data'!$AG$4:$AI$9,2,FALSE)))</f>
        <v/>
      </c>
      <c r="K237" s="176" t="str">
        <f>IF(I237="","",IF(VLOOKUP(I237,'G-7 Rivers Data'!$AG$4:$AI$9,3,FALSE)=0,"Spatial Data Missing",VLOOKUP(I237,'G-7 Rivers Data'!$AG$4:$AI$9,3,FALSE)))</f>
        <v/>
      </c>
      <c r="L237" s="171" t="str">
        <f>IFERROR(INDEX('G-7 Rivers Data'!$O$3:$O$7,MATCH(G237,'G-7 Rivers Data'!$N$3:$N$7,0)),"")</f>
        <v/>
      </c>
      <c r="M237" s="94"/>
      <c r="N237" s="261"/>
      <c r="O237" s="175" t="str">
        <f t="shared" si="19"/>
        <v/>
      </c>
      <c r="P237" s="242" t="str">
        <f t="shared" si="20"/>
        <v/>
      </c>
      <c r="Q237" s="383" t="str">
        <f>IFERROR(IF(P237="Check Data","Check Data",VLOOKUP(P237,'G-4 Temporal multipliers'!$A$4:$C$37,3,FALSE)),"")</f>
        <v/>
      </c>
      <c r="R237" s="171" t="str">
        <f>IF(C237="","",VLOOKUP(C237,'G-7 Rivers Data'!$B$4:$G$8,4,FALSE))</f>
        <v/>
      </c>
      <c r="S237" s="179" t="str">
        <f t="shared" si="21"/>
        <v/>
      </c>
      <c r="T237" s="269" t="str">
        <f t="shared" si="22"/>
        <v/>
      </c>
      <c r="U237" s="172" t="str">
        <f t="shared" si="23"/>
        <v/>
      </c>
      <c r="V237" s="79"/>
      <c r="W237" s="172" t="str">
        <f>IF(V237="","",IF(VLOOKUP(V237,'G-7 Rivers Data'!$AA$4:$AB$7,2,FALSE)=0,"Spatial Data Missing",VLOOKUP(V237,'G-7 Rivers Data'!$AA$4:$AB$7,2,FALSE)))</f>
        <v/>
      </c>
      <c r="X237" s="187"/>
      <c r="Y237" s="172" t="str">
        <f>IF(X237="","",IF(VLOOKUP(X237,'G-7 Rivers Data'!$AD$4:$AE$8,2,FALSE)=0,"Enrcoachment Data Missing",VLOOKUP(X237,'G-7 Rivers Data'!$AD$4:$AE$8,2,FALSE)))</f>
        <v/>
      </c>
      <c r="Z237" s="265" t="str">
        <f t="shared" si="24"/>
        <v/>
      </c>
      <c r="AA237" s="180"/>
      <c r="AB237" s="181"/>
      <c r="AH237" s="35" t="str">
        <f>IFERROR(INDEX('G-7 Rivers Data'!$AZ$3:$AZ$7,MATCH(C237,'G-7 Rivers Data'!$AY$3:$AY$7,0)),"")</f>
        <v/>
      </c>
    </row>
    <row r="238" spans="2:34" ht="13.8" x14ac:dyDescent="0.25">
      <c r="B238" s="168">
        <v>227</v>
      </c>
      <c r="C238" s="212"/>
      <c r="D238" s="213"/>
      <c r="E238" s="171" t="str">
        <f>IF(C238="","",VLOOKUP(C238,'G-7 Rivers Data'!$B$2:$G$8,2,FALSE))</f>
        <v/>
      </c>
      <c r="F238" s="172" t="str">
        <f>IFERROR(VLOOKUP(E238,'G-7 Rivers Data'!$C$4:$D$8,2,FALSE),"")</f>
        <v/>
      </c>
      <c r="G238" s="173"/>
      <c r="H238" s="172" t="str">
        <f>IFERROR(INDEX('G-7 Rivers Data'!$H$4:$L$8,MATCH(C238,'G-7 Rivers Data'!$B$4:$B$8,0),MATCH(G238,'G-7 Rivers Data'!$H$3:$L$3,0)),"")</f>
        <v/>
      </c>
      <c r="I238" s="186"/>
      <c r="J238" s="175" t="str">
        <f>IF(I238="","",IF(VLOOKUP(I238,'G-7 Rivers Data'!$AG$4:$AI$9,2,FALSE)=0,"Spatial Data Missing",VLOOKUP(I238,'G-7 Rivers Data'!$AG$4:$AI$9,2,FALSE)))</f>
        <v/>
      </c>
      <c r="K238" s="176" t="str">
        <f>IF(I238="","",IF(VLOOKUP(I238,'G-7 Rivers Data'!$AG$4:$AI$9,3,FALSE)=0,"Spatial Data Missing",VLOOKUP(I238,'G-7 Rivers Data'!$AG$4:$AI$9,3,FALSE)))</f>
        <v/>
      </c>
      <c r="L238" s="171" t="str">
        <f>IFERROR(INDEX('G-7 Rivers Data'!$O$3:$O$7,MATCH(G238,'G-7 Rivers Data'!$N$3:$N$7,0)),"")</f>
        <v/>
      </c>
      <c r="M238" s="94"/>
      <c r="N238" s="261"/>
      <c r="O238" s="175" t="str">
        <f t="shared" si="19"/>
        <v/>
      </c>
      <c r="P238" s="242" t="str">
        <f t="shared" si="20"/>
        <v/>
      </c>
      <c r="Q238" s="383" t="str">
        <f>IFERROR(IF(P238="Check Data","Check Data",VLOOKUP(P238,'G-4 Temporal multipliers'!$A$4:$C$37,3,FALSE)),"")</f>
        <v/>
      </c>
      <c r="R238" s="171" t="str">
        <f>IF(C238="","",VLOOKUP(C238,'G-7 Rivers Data'!$B$4:$G$8,4,FALSE))</f>
        <v/>
      </c>
      <c r="S238" s="179" t="str">
        <f t="shared" si="21"/>
        <v/>
      </c>
      <c r="T238" s="269" t="str">
        <f t="shared" si="22"/>
        <v/>
      </c>
      <c r="U238" s="172" t="str">
        <f t="shared" si="23"/>
        <v/>
      </c>
      <c r="V238" s="79"/>
      <c r="W238" s="172" t="str">
        <f>IF(V238="","",IF(VLOOKUP(V238,'G-7 Rivers Data'!$AA$4:$AB$7,2,FALSE)=0,"Spatial Data Missing",VLOOKUP(V238,'G-7 Rivers Data'!$AA$4:$AB$7,2,FALSE)))</f>
        <v/>
      </c>
      <c r="X238" s="187"/>
      <c r="Y238" s="172" t="str">
        <f>IF(X238="","",IF(VLOOKUP(X238,'G-7 Rivers Data'!$AD$4:$AE$8,2,FALSE)=0,"Enrcoachment Data Missing",VLOOKUP(X238,'G-7 Rivers Data'!$AD$4:$AE$8,2,FALSE)))</f>
        <v/>
      </c>
      <c r="Z238" s="265" t="str">
        <f t="shared" si="24"/>
        <v/>
      </c>
      <c r="AA238" s="180"/>
      <c r="AB238" s="181"/>
      <c r="AH238" s="35" t="str">
        <f>IFERROR(INDEX('G-7 Rivers Data'!$AZ$3:$AZ$7,MATCH(C238,'G-7 Rivers Data'!$AY$3:$AY$7,0)),"")</f>
        <v/>
      </c>
    </row>
    <row r="239" spans="2:34" ht="13.8" x14ac:dyDescent="0.25">
      <c r="B239" s="168">
        <v>228</v>
      </c>
      <c r="C239" s="212"/>
      <c r="D239" s="213"/>
      <c r="E239" s="171" t="str">
        <f>IF(C239="","",VLOOKUP(C239,'G-7 Rivers Data'!$B$2:$G$8,2,FALSE))</f>
        <v/>
      </c>
      <c r="F239" s="172" t="str">
        <f>IFERROR(VLOOKUP(E239,'G-7 Rivers Data'!$C$4:$D$8,2,FALSE),"")</f>
        <v/>
      </c>
      <c r="G239" s="173"/>
      <c r="H239" s="172" t="str">
        <f>IFERROR(INDEX('G-7 Rivers Data'!$H$4:$L$8,MATCH(C239,'G-7 Rivers Data'!$B$4:$B$8,0),MATCH(G239,'G-7 Rivers Data'!$H$3:$L$3,0)),"")</f>
        <v/>
      </c>
      <c r="I239" s="186"/>
      <c r="J239" s="175" t="str">
        <f>IF(I239="","",IF(VLOOKUP(I239,'G-7 Rivers Data'!$AG$4:$AI$9,2,FALSE)=0,"Spatial Data Missing",VLOOKUP(I239,'G-7 Rivers Data'!$AG$4:$AI$9,2,FALSE)))</f>
        <v/>
      </c>
      <c r="K239" s="176" t="str">
        <f>IF(I239="","",IF(VLOOKUP(I239,'G-7 Rivers Data'!$AG$4:$AI$9,3,FALSE)=0,"Spatial Data Missing",VLOOKUP(I239,'G-7 Rivers Data'!$AG$4:$AI$9,3,FALSE)))</f>
        <v/>
      </c>
      <c r="L239" s="171" t="str">
        <f>IFERROR(INDEX('G-7 Rivers Data'!$O$3:$O$7,MATCH(G239,'G-7 Rivers Data'!$N$3:$N$7,0)),"")</f>
        <v/>
      </c>
      <c r="M239" s="94"/>
      <c r="N239" s="261"/>
      <c r="O239" s="175" t="str">
        <f t="shared" si="19"/>
        <v/>
      </c>
      <c r="P239" s="242" t="str">
        <f t="shared" si="20"/>
        <v/>
      </c>
      <c r="Q239" s="383" t="str">
        <f>IFERROR(IF(P239="Check Data","Check Data",VLOOKUP(P239,'G-4 Temporal multipliers'!$A$4:$C$37,3,FALSE)),"")</f>
        <v/>
      </c>
      <c r="R239" s="171" t="str">
        <f>IF(C239="","",VLOOKUP(C239,'G-7 Rivers Data'!$B$4:$G$8,4,FALSE))</f>
        <v/>
      </c>
      <c r="S239" s="179" t="str">
        <f t="shared" si="21"/>
        <v/>
      </c>
      <c r="T239" s="269" t="str">
        <f t="shared" si="22"/>
        <v/>
      </c>
      <c r="U239" s="172" t="str">
        <f t="shared" si="23"/>
        <v/>
      </c>
      <c r="V239" s="79"/>
      <c r="W239" s="172" t="str">
        <f>IF(V239="","",IF(VLOOKUP(V239,'G-7 Rivers Data'!$AA$4:$AB$7,2,FALSE)=0,"Spatial Data Missing",VLOOKUP(V239,'G-7 Rivers Data'!$AA$4:$AB$7,2,FALSE)))</f>
        <v/>
      </c>
      <c r="X239" s="187"/>
      <c r="Y239" s="172" t="str">
        <f>IF(X239="","",IF(VLOOKUP(X239,'G-7 Rivers Data'!$AD$4:$AE$8,2,FALSE)=0,"Enrcoachment Data Missing",VLOOKUP(X239,'G-7 Rivers Data'!$AD$4:$AE$8,2,FALSE)))</f>
        <v/>
      </c>
      <c r="Z239" s="265" t="str">
        <f t="shared" si="24"/>
        <v/>
      </c>
      <c r="AA239" s="180"/>
      <c r="AB239" s="181"/>
      <c r="AH239" s="35" t="str">
        <f>IFERROR(INDEX('G-7 Rivers Data'!$AZ$3:$AZ$7,MATCH(C239,'G-7 Rivers Data'!$AY$3:$AY$7,0)),"")</f>
        <v/>
      </c>
    </row>
    <row r="240" spans="2:34" ht="13.8" x14ac:dyDescent="0.25">
      <c r="B240" s="168">
        <v>229</v>
      </c>
      <c r="C240" s="212"/>
      <c r="D240" s="213"/>
      <c r="E240" s="171" t="str">
        <f>IF(C240="","",VLOOKUP(C240,'G-7 Rivers Data'!$B$2:$G$8,2,FALSE))</f>
        <v/>
      </c>
      <c r="F240" s="172" t="str">
        <f>IFERROR(VLOOKUP(E240,'G-7 Rivers Data'!$C$4:$D$8,2,FALSE),"")</f>
        <v/>
      </c>
      <c r="G240" s="173"/>
      <c r="H240" s="172" t="str">
        <f>IFERROR(INDEX('G-7 Rivers Data'!$H$4:$L$8,MATCH(C240,'G-7 Rivers Data'!$B$4:$B$8,0),MATCH(G240,'G-7 Rivers Data'!$H$3:$L$3,0)),"")</f>
        <v/>
      </c>
      <c r="I240" s="186"/>
      <c r="J240" s="175" t="str">
        <f>IF(I240="","",IF(VLOOKUP(I240,'G-7 Rivers Data'!$AG$4:$AI$9,2,FALSE)=0,"Spatial Data Missing",VLOOKUP(I240,'G-7 Rivers Data'!$AG$4:$AI$9,2,FALSE)))</f>
        <v/>
      </c>
      <c r="K240" s="176" t="str">
        <f>IF(I240="","",IF(VLOOKUP(I240,'G-7 Rivers Data'!$AG$4:$AI$9,3,FALSE)=0,"Spatial Data Missing",VLOOKUP(I240,'G-7 Rivers Data'!$AG$4:$AI$9,3,FALSE)))</f>
        <v/>
      </c>
      <c r="L240" s="171" t="str">
        <f>IFERROR(INDEX('G-7 Rivers Data'!$O$3:$O$7,MATCH(G240,'G-7 Rivers Data'!$N$3:$N$7,0)),"")</f>
        <v/>
      </c>
      <c r="M240" s="94"/>
      <c r="N240" s="261"/>
      <c r="O240" s="175" t="str">
        <f t="shared" si="19"/>
        <v/>
      </c>
      <c r="P240" s="242" t="str">
        <f t="shared" si="20"/>
        <v/>
      </c>
      <c r="Q240" s="383" t="str">
        <f>IFERROR(IF(P240="Check Data","Check Data",VLOOKUP(P240,'G-4 Temporal multipliers'!$A$4:$C$37,3,FALSE)),"")</f>
        <v/>
      </c>
      <c r="R240" s="171" t="str">
        <f>IF(C240="","",VLOOKUP(C240,'G-7 Rivers Data'!$B$4:$G$8,4,FALSE))</f>
        <v/>
      </c>
      <c r="S240" s="179" t="str">
        <f t="shared" si="21"/>
        <v/>
      </c>
      <c r="T240" s="269" t="str">
        <f t="shared" si="22"/>
        <v/>
      </c>
      <c r="U240" s="172" t="str">
        <f t="shared" si="23"/>
        <v/>
      </c>
      <c r="V240" s="79"/>
      <c r="W240" s="172" t="str">
        <f>IF(V240="","",IF(VLOOKUP(V240,'G-7 Rivers Data'!$AA$4:$AB$7,2,FALSE)=0,"Spatial Data Missing",VLOOKUP(V240,'G-7 Rivers Data'!$AA$4:$AB$7,2,FALSE)))</f>
        <v/>
      </c>
      <c r="X240" s="187"/>
      <c r="Y240" s="172" t="str">
        <f>IF(X240="","",IF(VLOOKUP(X240,'G-7 Rivers Data'!$AD$4:$AE$8,2,FALSE)=0,"Enrcoachment Data Missing",VLOOKUP(X240,'G-7 Rivers Data'!$AD$4:$AE$8,2,FALSE)))</f>
        <v/>
      </c>
      <c r="Z240" s="265" t="str">
        <f t="shared" si="24"/>
        <v/>
      </c>
      <c r="AA240" s="180"/>
      <c r="AB240" s="181"/>
      <c r="AH240" s="35" t="str">
        <f>IFERROR(INDEX('G-7 Rivers Data'!$AZ$3:$AZ$7,MATCH(C240,'G-7 Rivers Data'!$AY$3:$AY$7,0)),"")</f>
        <v/>
      </c>
    </row>
    <row r="241" spans="2:34" ht="13.8" x14ac:dyDescent="0.25">
      <c r="B241" s="168">
        <v>230</v>
      </c>
      <c r="C241" s="212"/>
      <c r="D241" s="213"/>
      <c r="E241" s="171" t="str">
        <f>IF(C241="","",VLOOKUP(C241,'G-7 Rivers Data'!$B$2:$G$8,2,FALSE))</f>
        <v/>
      </c>
      <c r="F241" s="172" t="str">
        <f>IFERROR(VLOOKUP(E241,'G-7 Rivers Data'!$C$4:$D$8,2,FALSE),"")</f>
        <v/>
      </c>
      <c r="G241" s="173"/>
      <c r="H241" s="172" t="str">
        <f>IFERROR(INDEX('G-7 Rivers Data'!$H$4:$L$8,MATCH(C241,'G-7 Rivers Data'!$B$4:$B$8,0),MATCH(G241,'G-7 Rivers Data'!$H$3:$L$3,0)),"")</f>
        <v/>
      </c>
      <c r="I241" s="186"/>
      <c r="J241" s="175" t="str">
        <f>IF(I241="","",IF(VLOOKUP(I241,'G-7 Rivers Data'!$AG$4:$AI$9,2,FALSE)=0,"Spatial Data Missing",VLOOKUP(I241,'G-7 Rivers Data'!$AG$4:$AI$9,2,FALSE)))</f>
        <v/>
      </c>
      <c r="K241" s="176" t="str">
        <f>IF(I241="","",IF(VLOOKUP(I241,'G-7 Rivers Data'!$AG$4:$AI$9,3,FALSE)=0,"Spatial Data Missing",VLOOKUP(I241,'G-7 Rivers Data'!$AG$4:$AI$9,3,FALSE)))</f>
        <v/>
      </c>
      <c r="L241" s="171" t="str">
        <f>IFERROR(INDEX('G-7 Rivers Data'!$O$3:$O$7,MATCH(G241,'G-7 Rivers Data'!$N$3:$N$7,0)),"")</f>
        <v/>
      </c>
      <c r="M241" s="94"/>
      <c r="N241" s="261"/>
      <c r="O241" s="175" t="str">
        <f t="shared" si="19"/>
        <v/>
      </c>
      <c r="P241" s="242" t="str">
        <f t="shared" si="20"/>
        <v/>
      </c>
      <c r="Q241" s="383" t="str">
        <f>IFERROR(IF(P241="Check Data","Check Data",VLOOKUP(P241,'G-4 Temporal multipliers'!$A$4:$C$37,3,FALSE)),"")</f>
        <v/>
      </c>
      <c r="R241" s="171" t="str">
        <f>IF(C241="","",VLOOKUP(C241,'G-7 Rivers Data'!$B$4:$G$8,4,FALSE))</f>
        <v/>
      </c>
      <c r="S241" s="179" t="str">
        <f t="shared" si="21"/>
        <v/>
      </c>
      <c r="T241" s="269" t="str">
        <f t="shared" si="22"/>
        <v/>
      </c>
      <c r="U241" s="172" t="str">
        <f t="shared" si="23"/>
        <v/>
      </c>
      <c r="V241" s="79"/>
      <c r="W241" s="172" t="str">
        <f>IF(V241="","",IF(VLOOKUP(V241,'G-7 Rivers Data'!$AA$4:$AB$7,2,FALSE)=0,"Spatial Data Missing",VLOOKUP(V241,'G-7 Rivers Data'!$AA$4:$AB$7,2,FALSE)))</f>
        <v/>
      </c>
      <c r="X241" s="187"/>
      <c r="Y241" s="172" t="str">
        <f>IF(X241="","",IF(VLOOKUP(X241,'G-7 Rivers Data'!$AD$4:$AE$8,2,FALSE)=0,"Enrcoachment Data Missing",VLOOKUP(X241,'G-7 Rivers Data'!$AD$4:$AE$8,2,FALSE)))</f>
        <v/>
      </c>
      <c r="Z241" s="265" t="str">
        <f t="shared" si="24"/>
        <v/>
      </c>
      <c r="AA241" s="180"/>
      <c r="AB241" s="181"/>
      <c r="AH241" s="35" t="str">
        <f>IFERROR(INDEX('G-7 Rivers Data'!$AZ$3:$AZ$7,MATCH(C241,'G-7 Rivers Data'!$AY$3:$AY$7,0)),"")</f>
        <v/>
      </c>
    </row>
    <row r="242" spans="2:34" ht="13.8" x14ac:dyDescent="0.25">
      <c r="B242" s="168">
        <v>231</v>
      </c>
      <c r="C242" s="212"/>
      <c r="D242" s="213"/>
      <c r="E242" s="171" t="str">
        <f>IF(C242="","",VLOOKUP(C242,'G-7 Rivers Data'!$B$2:$G$8,2,FALSE))</f>
        <v/>
      </c>
      <c r="F242" s="172" t="str">
        <f>IFERROR(VLOOKUP(E242,'G-7 Rivers Data'!$C$4:$D$8,2,FALSE),"")</f>
        <v/>
      </c>
      <c r="G242" s="173"/>
      <c r="H242" s="172" t="str">
        <f>IFERROR(INDEX('G-7 Rivers Data'!$H$4:$L$8,MATCH(C242,'G-7 Rivers Data'!$B$4:$B$8,0),MATCH(G242,'G-7 Rivers Data'!$H$3:$L$3,0)),"")</f>
        <v/>
      </c>
      <c r="I242" s="186"/>
      <c r="J242" s="175" t="str">
        <f>IF(I242="","",IF(VLOOKUP(I242,'G-7 Rivers Data'!$AG$4:$AI$9,2,FALSE)=0,"Spatial Data Missing",VLOOKUP(I242,'G-7 Rivers Data'!$AG$4:$AI$9,2,FALSE)))</f>
        <v/>
      </c>
      <c r="K242" s="176" t="str">
        <f>IF(I242="","",IF(VLOOKUP(I242,'G-7 Rivers Data'!$AG$4:$AI$9,3,FALSE)=0,"Spatial Data Missing",VLOOKUP(I242,'G-7 Rivers Data'!$AG$4:$AI$9,3,FALSE)))</f>
        <v/>
      </c>
      <c r="L242" s="171" t="str">
        <f>IFERROR(INDEX('G-7 Rivers Data'!$O$3:$O$7,MATCH(G242,'G-7 Rivers Data'!$N$3:$N$7,0)),"")</f>
        <v/>
      </c>
      <c r="M242" s="94"/>
      <c r="N242" s="261"/>
      <c r="O242" s="175" t="str">
        <f t="shared" si="19"/>
        <v/>
      </c>
      <c r="P242" s="242" t="str">
        <f t="shared" si="20"/>
        <v/>
      </c>
      <c r="Q242" s="383" t="str">
        <f>IFERROR(IF(P242="Check Data","Check Data",VLOOKUP(P242,'G-4 Temporal multipliers'!$A$4:$C$37,3,FALSE)),"")</f>
        <v/>
      </c>
      <c r="R242" s="171" t="str">
        <f>IF(C242="","",VLOOKUP(C242,'G-7 Rivers Data'!$B$4:$G$8,4,FALSE))</f>
        <v/>
      </c>
      <c r="S242" s="179" t="str">
        <f t="shared" si="21"/>
        <v/>
      </c>
      <c r="T242" s="269" t="str">
        <f t="shared" si="22"/>
        <v/>
      </c>
      <c r="U242" s="172" t="str">
        <f t="shared" si="23"/>
        <v/>
      </c>
      <c r="V242" s="79"/>
      <c r="W242" s="172" t="str">
        <f>IF(V242="","",IF(VLOOKUP(V242,'G-7 Rivers Data'!$AA$4:$AB$7,2,FALSE)=0,"Spatial Data Missing",VLOOKUP(V242,'G-7 Rivers Data'!$AA$4:$AB$7,2,FALSE)))</f>
        <v/>
      </c>
      <c r="X242" s="187"/>
      <c r="Y242" s="172" t="str">
        <f>IF(X242="","",IF(VLOOKUP(X242,'G-7 Rivers Data'!$AD$4:$AE$8,2,FALSE)=0,"Enrcoachment Data Missing",VLOOKUP(X242,'G-7 Rivers Data'!$AD$4:$AE$8,2,FALSE)))</f>
        <v/>
      </c>
      <c r="Z242" s="265" t="str">
        <f t="shared" si="24"/>
        <v/>
      </c>
      <c r="AA242" s="180"/>
      <c r="AB242" s="181"/>
      <c r="AH242" s="35" t="str">
        <f>IFERROR(INDEX('G-7 Rivers Data'!$AZ$3:$AZ$7,MATCH(C242,'G-7 Rivers Data'!$AY$3:$AY$7,0)),"")</f>
        <v/>
      </c>
    </row>
    <row r="243" spans="2:34" ht="13.8" x14ac:dyDescent="0.25">
      <c r="B243" s="168">
        <v>232</v>
      </c>
      <c r="C243" s="212"/>
      <c r="D243" s="213"/>
      <c r="E243" s="171" t="str">
        <f>IF(C243="","",VLOOKUP(C243,'G-7 Rivers Data'!$B$2:$G$8,2,FALSE))</f>
        <v/>
      </c>
      <c r="F243" s="172" t="str">
        <f>IFERROR(VLOOKUP(E243,'G-7 Rivers Data'!$C$4:$D$8,2,FALSE),"")</f>
        <v/>
      </c>
      <c r="G243" s="173"/>
      <c r="H243" s="172" t="str">
        <f>IFERROR(INDEX('G-7 Rivers Data'!$H$4:$L$8,MATCH(C243,'G-7 Rivers Data'!$B$4:$B$8,0),MATCH(G243,'G-7 Rivers Data'!$H$3:$L$3,0)),"")</f>
        <v/>
      </c>
      <c r="I243" s="186"/>
      <c r="J243" s="175" t="str">
        <f>IF(I243="","",IF(VLOOKUP(I243,'G-7 Rivers Data'!$AG$4:$AI$9,2,FALSE)=0,"Spatial Data Missing",VLOOKUP(I243,'G-7 Rivers Data'!$AG$4:$AI$9,2,FALSE)))</f>
        <v/>
      </c>
      <c r="K243" s="176" t="str">
        <f>IF(I243="","",IF(VLOOKUP(I243,'G-7 Rivers Data'!$AG$4:$AI$9,3,FALSE)=0,"Spatial Data Missing",VLOOKUP(I243,'G-7 Rivers Data'!$AG$4:$AI$9,3,FALSE)))</f>
        <v/>
      </c>
      <c r="L243" s="171" t="str">
        <f>IFERROR(INDEX('G-7 Rivers Data'!$O$3:$O$7,MATCH(G243,'G-7 Rivers Data'!$N$3:$N$7,0)),"")</f>
        <v/>
      </c>
      <c r="M243" s="94"/>
      <c r="N243" s="261"/>
      <c r="O243" s="175" t="str">
        <f t="shared" si="19"/>
        <v/>
      </c>
      <c r="P243" s="242" t="str">
        <f t="shared" si="20"/>
        <v/>
      </c>
      <c r="Q243" s="383" t="str">
        <f>IFERROR(IF(P243="Check Data","Check Data",VLOOKUP(P243,'G-4 Temporal multipliers'!$A$4:$C$37,3,FALSE)),"")</f>
        <v/>
      </c>
      <c r="R243" s="171" t="str">
        <f>IF(C243="","",VLOOKUP(C243,'G-7 Rivers Data'!$B$4:$G$8,4,FALSE))</f>
        <v/>
      </c>
      <c r="S243" s="179" t="str">
        <f t="shared" si="21"/>
        <v/>
      </c>
      <c r="T243" s="269" t="str">
        <f t="shared" si="22"/>
        <v/>
      </c>
      <c r="U243" s="172" t="str">
        <f t="shared" si="23"/>
        <v/>
      </c>
      <c r="V243" s="79"/>
      <c r="W243" s="172" t="str">
        <f>IF(V243="","",IF(VLOOKUP(V243,'G-7 Rivers Data'!$AA$4:$AB$7,2,FALSE)=0,"Spatial Data Missing",VLOOKUP(V243,'G-7 Rivers Data'!$AA$4:$AB$7,2,FALSE)))</f>
        <v/>
      </c>
      <c r="X243" s="187"/>
      <c r="Y243" s="172" t="str">
        <f>IF(X243="","",IF(VLOOKUP(X243,'G-7 Rivers Data'!$AD$4:$AE$8,2,FALSE)=0,"Enrcoachment Data Missing",VLOOKUP(X243,'G-7 Rivers Data'!$AD$4:$AE$8,2,FALSE)))</f>
        <v/>
      </c>
      <c r="Z243" s="265" t="str">
        <f t="shared" si="24"/>
        <v/>
      </c>
      <c r="AA243" s="180"/>
      <c r="AB243" s="181"/>
      <c r="AH243" s="35" t="str">
        <f>IFERROR(INDEX('G-7 Rivers Data'!$AZ$3:$AZ$7,MATCH(C243,'G-7 Rivers Data'!$AY$3:$AY$7,0)),"")</f>
        <v/>
      </c>
    </row>
    <row r="244" spans="2:34" ht="13.8" x14ac:dyDescent="0.25">
      <c r="B244" s="168">
        <v>233</v>
      </c>
      <c r="C244" s="212"/>
      <c r="D244" s="213"/>
      <c r="E244" s="171" t="str">
        <f>IF(C244="","",VLOOKUP(C244,'G-7 Rivers Data'!$B$2:$G$8,2,FALSE))</f>
        <v/>
      </c>
      <c r="F244" s="172" t="str">
        <f>IFERROR(VLOOKUP(E244,'G-7 Rivers Data'!$C$4:$D$8,2,FALSE),"")</f>
        <v/>
      </c>
      <c r="G244" s="173"/>
      <c r="H244" s="172" t="str">
        <f>IFERROR(INDEX('G-7 Rivers Data'!$H$4:$L$8,MATCH(C244,'G-7 Rivers Data'!$B$4:$B$8,0),MATCH(G244,'G-7 Rivers Data'!$H$3:$L$3,0)),"")</f>
        <v/>
      </c>
      <c r="I244" s="186"/>
      <c r="J244" s="175" t="str">
        <f>IF(I244="","",IF(VLOOKUP(I244,'G-7 Rivers Data'!$AG$4:$AI$9,2,FALSE)=0,"Spatial Data Missing",VLOOKUP(I244,'G-7 Rivers Data'!$AG$4:$AI$9,2,FALSE)))</f>
        <v/>
      </c>
      <c r="K244" s="176" t="str">
        <f>IF(I244="","",IF(VLOOKUP(I244,'G-7 Rivers Data'!$AG$4:$AI$9,3,FALSE)=0,"Spatial Data Missing",VLOOKUP(I244,'G-7 Rivers Data'!$AG$4:$AI$9,3,FALSE)))</f>
        <v/>
      </c>
      <c r="L244" s="171" t="str">
        <f>IFERROR(INDEX('G-7 Rivers Data'!$O$3:$O$7,MATCH(G244,'G-7 Rivers Data'!$N$3:$N$7,0)),"")</f>
        <v/>
      </c>
      <c r="M244" s="94"/>
      <c r="N244" s="261"/>
      <c r="O244" s="175" t="str">
        <f t="shared" si="19"/>
        <v/>
      </c>
      <c r="P244" s="242" t="str">
        <f t="shared" si="20"/>
        <v/>
      </c>
      <c r="Q244" s="383" t="str">
        <f>IFERROR(IF(P244="Check Data","Check Data",VLOOKUP(P244,'G-4 Temporal multipliers'!$A$4:$C$37,3,FALSE)),"")</f>
        <v/>
      </c>
      <c r="R244" s="171" t="str">
        <f>IF(C244="","",VLOOKUP(C244,'G-7 Rivers Data'!$B$4:$G$8,4,FALSE))</f>
        <v/>
      </c>
      <c r="S244" s="179" t="str">
        <f t="shared" si="21"/>
        <v/>
      </c>
      <c r="T244" s="269" t="str">
        <f t="shared" si="22"/>
        <v/>
      </c>
      <c r="U244" s="172" t="str">
        <f t="shared" si="23"/>
        <v/>
      </c>
      <c r="V244" s="79"/>
      <c r="W244" s="172" t="str">
        <f>IF(V244="","",IF(VLOOKUP(V244,'G-7 Rivers Data'!$AA$4:$AB$7,2,FALSE)=0,"Spatial Data Missing",VLOOKUP(V244,'G-7 Rivers Data'!$AA$4:$AB$7,2,FALSE)))</f>
        <v/>
      </c>
      <c r="X244" s="187"/>
      <c r="Y244" s="172" t="str">
        <f>IF(X244="","",IF(VLOOKUP(X244,'G-7 Rivers Data'!$AD$4:$AE$8,2,FALSE)=0,"Enrcoachment Data Missing",VLOOKUP(X244,'G-7 Rivers Data'!$AD$4:$AE$8,2,FALSE)))</f>
        <v/>
      </c>
      <c r="Z244" s="265" t="str">
        <f t="shared" si="24"/>
        <v/>
      </c>
      <c r="AA244" s="180"/>
      <c r="AB244" s="181"/>
      <c r="AH244" s="35" t="str">
        <f>IFERROR(INDEX('G-7 Rivers Data'!$AZ$3:$AZ$7,MATCH(C244,'G-7 Rivers Data'!$AY$3:$AY$7,0)),"")</f>
        <v/>
      </c>
    </row>
    <row r="245" spans="2:34" ht="13.8" x14ac:dyDescent="0.25">
      <c r="B245" s="168">
        <v>234</v>
      </c>
      <c r="C245" s="212"/>
      <c r="D245" s="213"/>
      <c r="E245" s="171" t="str">
        <f>IF(C245="","",VLOOKUP(C245,'G-7 Rivers Data'!$B$2:$G$8,2,FALSE))</f>
        <v/>
      </c>
      <c r="F245" s="172" t="str">
        <f>IFERROR(VLOOKUP(E245,'G-7 Rivers Data'!$C$4:$D$8,2,FALSE),"")</f>
        <v/>
      </c>
      <c r="G245" s="173"/>
      <c r="H245" s="172" t="str">
        <f>IFERROR(INDEX('G-7 Rivers Data'!$H$4:$L$8,MATCH(C245,'G-7 Rivers Data'!$B$4:$B$8,0),MATCH(G245,'G-7 Rivers Data'!$H$3:$L$3,0)),"")</f>
        <v/>
      </c>
      <c r="I245" s="186"/>
      <c r="J245" s="175" t="str">
        <f>IF(I245="","",IF(VLOOKUP(I245,'G-7 Rivers Data'!$AG$4:$AI$9,2,FALSE)=0,"Spatial Data Missing",VLOOKUP(I245,'G-7 Rivers Data'!$AG$4:$AI$9,2,FALSE)))</f>
        <v/>
      </c>
      <c r="K245" s="176" t="str">
        <f>IF(I245="","",IF(VLOOKUP(I245,'G-7 Rivers Data'!$AG$4:$AI$9,3,FALSE)=0,"Spatial Data Missing",VLOOKUP(I245,'G-7 Rivers Data'!$AG$4:$AI$9,3,FALSE)))</f>
        <v/>
      </c>
      <c r="L245" s="171" t="str">
        <f>IFERROR(INDEX('G-7 Rivers Data'!$O$3:$O$7,MATCH(G245,'G-7 Rivers Data'!$N$3:$N$7,0)),"")</f>
        <v/>
      </c>
      <c r="M245" s="94"/>
      <c r="N245" s="261"/>
      <c r="O245" s="175" t="str">
        <f t="shared" si="19"/>
        <v/>
      </c>
      <c r="P245" s="242" t="str">
        <f t="shared" si="20"/>
        <v/>
      </c>
      <c r="Q245" s="383" t="str">
        <f>IFERROR(IF(P245="Check Data","Check Data",VLOOKUP(P245,'G-4 Temporal multipliers'!$A$4:$C$37,3,FALSE)),"")</f>
        <v/>
      </c>
      <c r="R245" s="171" t="str">
        <f>IF(C245="","",VLOOKUP(C245,'G-7 Rivers Data'!$B$4:$G$8,4,FALSE))</f>
        <v/>
      </c>
      <c r="S245" s="179" t="str">
        <f t="shared" si="21"/>
        <v/>
      </c>
      <c r="T245" s="269" t="str">
        <f t="shared" si="22"/>
        <v/>
      </c>
      <c r="U245" s="172" t="str">
        <f t="shared" si="23"/>
        <v/>
      </c>
      <c r="V245" s="79"/>
      <c r="W245" s="172" t="str">
        <f>IF(V245="","",IF(VLOOKUP(V245,'G-7 Rivers Data'!$AA$4:$AB$7,2,FALSE)=0,"Spatial Data Missing",VLOOKUP(V245,'G-7 Rivers Data'!$AA$4:$AB$7,2,FALSE)))</f>
        <v/>
      </c>
      <c r="X245" s="187"/>
      <c r="Y245" s="172" t="str">
        <f>IF(X245="","",IF(VLOOKUP(X245,'G-7 Rivers Data'!$AD$4:$AE$8,2,FALSE)=0,"Enrcoachment Data Missing",VLOOKUP(X245,'G-7 Rivers Data'!$AD$4:$AE$8,2,FALSE)))</f>
        <v/>
      </c>
      <c r="Z245" s="265" t="str">
        <f t="shared" si="24"/>
        <v/>
      </c>
      <c r="AA245" s="180"/>
      <c r="AB245" s="181"/>
      <c r="AH245" s="35" t="str">
        <f>IFERROR(INDEX('G-7 Rivers Data'!$AZ$3:$AZ$7,MATCH(C245,'G-7 Rivers Data'!$AY$3:$AY$7,0)),"")</f>
        <v/>
      </c>
    </row>
    <row r="246" spans="2:34" ht="13.8" x14ac:dyDescent="0.25">
      <c r="B246" s="168">
        <v>235</v>
      </c>
      <c r="C246" s="212"/>
      <c r="D246" s="213"/>
      <c r="E246" s="171" t="str">
        <f>IF(C246="","",VLOOKUP(C246,'G-7 Rivers Data'!$B$2:$G$8,2,FALSE))</f>
        <v/>
      </c>
      <c r="F246" s="172" t="str">
        <f>IFERROR(VLOOKUP(E246,'G-7 Rivers Data'!$C$4:$D$8,2,FALSE),"")</f>
        <v/>
      </c>
      <c r="G246" s="173"/>
      <c r="H246" s="172" t="str">
        <f>IFERROR(INDEX('G-7 Rivers Data'!$H$4:$L$8,MATCH(C246,'G-7 Rivers Data'!$B$4:$B$8,0),MATCH(G246,'G-7 Rivers Data'!$H$3:$L$3,0)),"")</f>
        <v/>
      </c>
      <c r="I246" s="186"/>
      <c r="J246" s="175" t="str">
        <f>IF(I246="","",IF(VLOOKUP(I246,'G-7 Rivers Data'!$AG$4:$AI$9,2,FALSE)=0,"Spatial Data Missing",VLOOKUP(I246,'G-7 Rivers Data'!$AG$4:$AI$9,2,FALSE)))</f>
        <v/>
      </c>
      <c r="K246" s="176" t="str">
        <f>IF(I246="","",IF(VLOOKUP(I246,'G-7 Rivers Data'!$AG$4:$AI$9,3,FALSE)=0,"Spatial Data Missing",VLOOKUP(I246,'G-7 Rivers Data'!$AG$4:$AI$9,3,FALSE)))</f>
        <v/>
      </c>
      <c r="L246" s="171" t="str">
        <f>IFERROR(INDEX('G-7 Rivers Data'!$O$3:$O$7,MATCH(G246,'G-7 Rivers Data'!$N$3:$N$7,0)),"")</f>
        <v/>
      </c>
      <c r="M246" s="94"/>
      <c r="N246" s="261"/>
      <c r="O246" s="175" t="str">
        <f t="shared" si="19"/>
        <v/>
      </c>
      <c r="P246" s="242" t="str">
        <f t="shared" si="20"/>
        <v/>
      </c>
      <c r="Q246" s="383" t="str">
        <f>IFERROR(IF(P246="Check Data","Check Data",VLOOKUP(P246,'G-4 Temporal multipliers'!$A$4:$C$37,3,FALSE)),"")</f>
        <v/>
      </c>
      <c r="R246" s="171" t="str">
        <f>IF(C246="","",VLOOKUP(C246,'G-7 Rivers Data'!$B$4:$G$8,4,FALSE))</f>
        <v/>
      </c>
      <c r="S246" s="179" t="str">
        <f t="shared" si="21"/>
        <v/>
      </c>
      <c r="T246" s="269" t="str">
        <f t="shared" si="22"/>
        <v/>
      </c>
      <c r="U246" s="172" t="str">
        <f t="shared" si="23"/>
        <v/>
      </c>
      <c r="V246" s="79"/>
      <c r="W246" s="172" t="str">
        <f>IF(V246="","",IF(VLOOKUP(V246,'G-7 Rivers Data'!$AA$4:$AB$7,2,FALSE)=0,"Spatial Data Missing",VLOOKUP(V246,'G-7 Rivers Data'!$AA$4:$AB$7,2,FALSE)))</f>
        <v/>
      </c>
      <c r="X246" s="187"/>
      <c r="Y246" s="172" t="str">
        <f>IF(X246="","",IF(VLOOKUP(X246,'G-7 Rivers Data'!$AD$4:$AE$8,2,FALSE)=0,"Enrcoachment Data Missing",VLOOKUP(X246,'G-7 Rivers Data'!$AD$4:$AE$8,2,FALSE)))</f>
        <v/>
      </c>
      <c r="Z246" s="265" t="str">
        <f t="shared" si="24"/>
        <v/>
      </c>
      <c r="AA246" s="180"/>
      <c r="AB246" s="181"/>
      <c r="AH246" s="35" t="str">
        <f>IFERROR(INDEX('G-7 Rivers Data'!$AZ$3:$AZ$7,MATCH(C246,'G-7 Rivers Data'!$AY$3:$AY$7,0)),"")</f>
        <v/>
      </c>
    </row>
    <row r="247" spans="2:34" ht="13.8" x14ac:dyDescent="0.25">
      <c r="B247" s="168">
        <v>236</v>
      </c>
      <c r="C247" s="212"/>
      <c r="D247" s="213"/>
      <c r="E247" s="171" t="str">
        <f>IF(C247="","",VLOOKUP(C247,'G-7 Rivers Data'!$B$2:$G$8,2,FALSE))</f>
        <v/>
      </c>
      <c r="F247" s="172" t="str">
        <f>IFERROR(VLOOKUP(E247,'G-7 Rivers Data'!$C$4:$D$8,2,FALSE),"")</f>
        <v/>
      </c>
      <c r="G247" s="173"/>
      <c r="H247" s="172" t="str">
        <f>IFERROR(INDEX('G-7 Rivers Data'!$H$4:$L$8,MATCH(C247,'G-7 Rivers Data'!$B$4:$B$8,0),MATCH(G247,'G-7 Rivers Data'!$H$3:$L$3,0)),"")</f>
        <v/>
      </c>
      <c r="I247" s="186"/>
      <c r="J247" s="175" t="str">
        <f>IF(I247="","",IF(VLOOKUP(I247,'G-7 Rivers Data'!$AG$4:$AI$9,2,FALSE)=0,"Spatial Data Missing",VLOOKUP(I247,'G-7 Rivers Data'!$AG$4:$AI$9,2,FALSE)))</f>
        <v/>
      </c>
      <c r="K247" s="176" t="str">
        <f>IF(I247="","",IF(VLOOKUP(I247,'G-7 Rivers Data'!$AG$4:$AI$9,3,FALSE)=0,"Spatial Data Missing",VLOOKUP(I247,'G-7 Rivers Data'!$AG$4:$AI$9,3,FALSE)))</f>
        <v/>
      </c>
      <c r="L247" s="171" t="str">
        <f>IFERROR(INDEX('G-7 Rivers Data'!$O$3:$O$7,MATCH(G247,'G-7 Rivers Data'!$N$3:$N$7,0)),"")</f>
        <v/>
      </c>
      <c r="M247" s="94"/>
      <c r="N247" s="261"/>
      <c r="O247" s="175" t="str">
        <f t="shared" si="19"/>
        <v/>
      </c>
      <c r="P247" s="242" t="str">
        <f t="shared" si="20"/>
        <v/>
      </c>
      <c r="Q247" s="383" t="str">
        <f>IFERROR(IF(P247="Check Data","Check Data",VLOOKUP(P247,'G-4 Temporal multipliers'!$A$4:$C$37,3,FALSE)),"")</f>
        <v/>
      </c>
      <c r="R247" s="171" t="str">
        <f>IF(C247="","",VLOOKUP(C247,'G-7 Rivers Data'!$B$4:$G$8,4,FALSE))</f>
        <v/>
      </c>
      <c r="S247" s="179" t="str">
        <f t="shared" si="21"/>
        <v/>
      </c>
      <c r="T247" s="269" t="str">
        <f t="shared" si="22"/>
        <v/>
      </c>
      <c r="U247" s="172" t="str">
        <f t="shared" si="23"/>
        <v/>
      </c>
      <c r="V247" s="79"/>
      <c r="W247" s="172" t="str">
        <f>IF(V247="","",IF(VLOOKUP(V247,'G-7 Rivers Data'!$AA$4:$AB$7,2,FALSE)=0,"Spatial Data Missing",VLOOKUP(V247,'G-7 Rivers Data'!$AA$4:$AB$7,2,FALSE)))</f>
        <v/>
      </c>
      <c r="X247" s="187"/>
      <c r="Y247" s="172" t="str">
        <f>IF(X247="","",IF(VLOOKUP(X247,'G-7 Rivers Data'!$AD$4:$AE$8,2,FALSE)=0,"Enrcoachment Data Missing",VLOOKUP(X247,'G-7 Rivers Data'!$AD$4:$AE$8,2,FALSE)))</f>
        <v/>
      </c>
      <c r="Z247" s="265" t="str">
        <f t="shared" si="24"/>
        <v/>
      </c>
      <c r="AA247" s="180"/>
      <c r="AB247" s="181"/>
      <c r="AH247" s="35" t="str">
        <f>IFERROR(INDEX('G-7 Rivers Data'!$AZ$3:$AZ$7,MATCH(C247,'G-7 Rivers Data'!$AY$3:$AY$7,0)),"")</f>
        <v/>
      </c>
    </row>
    <row r="248" spans="2:34" ht="13.8" x14ac:dyDescent="0.25">
      <c r="B248" s="168">
        <v>237</v>
      </c>
      <c r="C248" s="212"/>
      <c r="D248" s="213"/>
      <c r="E248" s="171" t="str">
        <f>IF(C248="","",VLOOKUP(C248,'G-7 Rivers Data'!$B$2:$G$8,2,FALSE))</f>
        <v/>
      </c>
      <c r="F248" s="172" t="str">
        <f>IFERROR(VLOOKUP(E248,'G-7 Rivers Data'!$C$4:$D$8,2,FALSE),"")</f>
        <v/>
      </c>
      <c r="G248" s="173"/>
      <c r="H248" s="172" t="str">
        <f>IFERROR(INDEX('G-7 Rivers Data'!$H$4:$L$8,MATCH(C248,'G-7 Rivers Data'!$B$4:$B$8,0),MATCH(G248,'G-7 Rivers Data'!$H$3:$L$3,0)),"")</f>
        <v/>
      </c>
      <c r="I248" s="186"/>
      <c r="J248" s="175" t="str">
        <f>IF(I248="","",IF(VLOOKUP(I248,'G-7 Rivers Data'!$AG$4:$AI$9,2,FALSE)=0,"Spatial Data Missing",VLOOKUP(I248,'G-7 Rivers Data'!$AG$4:$AI$9,2,FALSE)))</f>
        <v/>
      </c>
      <c r="K248" s="176" t="str">
        <f>IF(I248="","",IF(VLOOKUP(I248,'G-7 Rivers Data'!$AG$4:$AI$9,3,FALSE)=0,"Spatial Data Missing",VLOOKUP(I248,'G-7 Rivers Data'!$AG$4:$AI$9,3,FALSE)))</f>
        <v/>
      </c>
      <c r="L248" s="171" t="str">
        <f>IFERROR(INDEX('G-7 Rivers Data'!$O$3:$O$7,MATCH(G248,'G-7 Rivers Data'!$N$3:$N$7,0)),"")</f>
        <v/>
      </c>
      <c r="M248" s="94"/>
      <c r="N248" s="261"/>
      <c r="O248" s="175" t="str">
        <f t="shared" si="19"/>
        <v/>
      </c>
      <c r="P248" s="242" t="str">
        <f t="shared" si="20"/>
        <v/>
      </c>
      <c r="Q248" s="383" t="str">
        <f>IFERROR(IF(P248="Check Data","Check Data",VLOOKUP(P248,'G-4 Temporal multipliers'!$A$4:$C$37,3,FALSE)),"")</f>
        <v/>
      </c>
      <c r="R248" s="171" t="str">
        <f>IF(C248="","",VLOOKUP(C248,'G-7 Rivers Data'!$B$4:$G$8,4,FALSE))</f>
        <v/>
      </c>
      <c r="S248" s="179" t="str">
        <f t="shared" si="21"/>
        <v/>
      </c>
      <c r="T248" s="269" t="str">
        <f t="shared" si="22"/>
        <v/>
      </c>
      <c r="U248" s="172" t="str">
        <f t="shared" si="23"/>
        <v/>
      </c>
      <c r="V248" s="79"/>
      <c r="W248" s="172" t="str">
        <f>IF(V248="","",IF(VLOOKUP(V248,'G-7 Rivers Data'!$AA$4:$AB$7,2,FALSE)=0,"Spatial Data Missing",VLOOKUP(V248,'G-7 Rivers Data'!$AA$4:$AB$7,2,FALSE)))</f>
        <v/>
      </c>
      <c r="X248" s="187"/>
      <c r="Y248" s="172" t="str">
        <f>IF(X248="","",IF(VLOOKUP(X248,'G-7 Rivers Data'!$AD$4:$AE$8,2,FALSE)=0,"Enrcoachment Data Missing",VLOOKUP(X248,'G-7 Rivers Data'!$AD$4:$AE$8,2,FALSE)))</f>
        <v/>
      </c>
      <c r="Z248" s="265" t="str">
        <f t="shared" si="24"/>
        <v/>
      </c>
      <c r="AA248" s="180"/>
      <c r="AB248" s="181"/>
      <c r="AH248" s="35" t="str">
        <f>IFERROR(INDEX('G-7 Rivers Data'!$AZ$3:$AZ$7,MATCH(C248,'G-7 Rivers Data'!$AY$3:$AY$7,0)),"")</f>
        <v/>
      </c>
    </row>
    <row r="249" spans="2:34" ht="13.8" x14ac:dyDescent="0.25">
      <c r="B249" s="168">
        <v>238</v>
      </c>
      <c r="C249" s="212"/>
      <c r="D249" s="213"/>
      <c r="E249" s="171" t="str">
        <f>IF(C249="","",VLOOKUP(C249,'G-7 Rivers Data'!$B$2:$G$8,2,FALSE))</f>
        <v/>
      </c>
      <c r="F249" s="172" t="str">
        <f>IFERROR(VLOOKUP(E249,'G-7 Rivers Data'!$C$4:$D$8,2,FALSE),"")</f>
        <v/>
      </c>
      <c r="G249" s="173"/>
      <c r="H249" s="172" t="str">
        <f>IFERROR(INDEX('G-7 Rivers Data'!$H$4:$L$8,MATCH(C249,'G-7 Rivers Data'!$B$4:$B$8,0),MATCH(G249,'G-7 Rivers Data'!$H$3:$L$3,0)),"")</f>
        <v/>
      </c>
      <c r="I249" s="186"/>
      <c r="J249" s="175" t="str">
        <f>IF(I249="","",IF(VLOOKUP(I249,'G-7 Rivers Data'!$AG$4:$AI$9,2,FALSE)=0,"Spatial Data Missing",VLOOKUP(I249,'G-7 Rivers Data'!$AG$4:$AI$9,2,FALSE)))</f>
        <v/>
      </c>
      <c r="K249" s="176" t="str">
        <f>IF(I249="","",IF(VLOOKUP(I249,'G-7 Rivers Data'!$AG$4:$AI$9,3,FALSE)=0,"Spatial Data Missing",VLOOKUP(I249,'G-7 Rivers Data'!$AG$4:$AI$9,3,FALSE)))</f>
        <v/>
      </c>
      <c r="L249" s="171" t="str">
        <f>IFERROR(INDEX('G-7 Rivers Data'!$O$3:$O$7,MATCH(G249,'G-7 Rivers Data'!$N$3:$N$7,0)),"")</f>
        <v/>
      </c>
      <c r="M249" s="94"/>
      <c r="N249" s="261"/>
      <c r="O249" s="175" t="str">
        <f t="shared" si="19"/>
        <v/>
      </c>
      <c r="P249" s="242" t="str">
        <f t="shared" si="20"/>
        <v/>
      </c>
      <c r="Q249" s="383" t="str">
        <f>IFERROR(IF(P249="Check Data","Check Data",VLOOKUP(P249,'G-4 Temporal multipliers'!$A$4:$C$37,3,FALSE)),"")</f>
        <v/>
      </c>
      <c r="R249" s="171" t="str">
        <f>IF(C249="","",VLOOKUP(C249,'G-7 Rivers Data'!$B$4:$G$8,4,FALSE))</f>
        <v/>
      </c>
      <c r="S249" s="179" t="str">
        <f t="shared" si="21"/>
        <v/>
      </c>
      <c r="T249" s="269" t="str">
        <f t="shared" si="22"/>
        <v/>
      </c>
      <c r="U249" s="172" t="str">
        <f t="shared" si="23"/>
        <v/>
      </c>
      <c r="V249" s="79"/>
      <c r="W249" s="172" t="str">
        <f>IF(V249="","",IF(VLOOKUP(V249,'G-7 Rivers Data'!$AA$4:$AB$7,2,FALSE)=0,"Spatial Data Missing",VLOOKUP(V249,'G-7 Rivers Data'!$AA$4:$AB$7,2,FALSE)))</f>
        <v/>
      </c>
      <c r="X249" s="187"/>
      <c r="Y249" s="172" t="str">
        <f>IF(X249="","",IF(VLOOKUP(X249,'G-7 Rivers Data'!$AD$4:$AE$8,2,FALSE)=0,"Enrcoachment Data Missing",VLOOKUP(X249,'G-7 Rivers Data'!$AD$4:$AE$8,2,FALSE)))</f>
        <v/>
      </c>
      <c r="Z249" s="265" t="str">
        <f t="shared" si="24"/>
        <v/>
      </c>
      <c r="AA249" s="180"/>
      <c r="AB249" s="181"/>
      <c r="AH249" s="35" t="str">
        <f>IFERROR(INDEX('G-7 Rivers Data'!$AZ$3:$AZ$7,MATCH(C249,'G-7 Rivers Data'!$AY$3:$AY$7,0)),"")</f>
        <v/>
      </c>
    </row>
    <row r="250" spans="2:34" ht="13.8" x14ac:dyDescent="0.25">
      <c r="B250" s="168">
        <v>239</v>
      </c>
      <c r="C250" s="212"/>
      <c r="D250" s="213"/>
      <c r="E250" s="171" t="str">
        <f>IF(C250="","",VLOOKUP(C250,'G-7 Rivers Data'!$B$2:$G$8,2,FALSE))</f>
        <v/>
      </c>
      <c r="F250" s="172" t="str">
        <f>IFERROR(VLOOKUP(E250,'G-7 Rivers Data'!$C$4:$D$8,2,FALSE),"")</f>
        <v/>
      </c>
      <c r="G250" s="173"/>
      <c r="H250" s="172" t="str">
        <f>IFERROR(INDEX('G-7 Rivers Data'!$H$4:$L$8,MATCH(C250,'G-7 Rivers Data'!$B$4:$B$8,0),MATCH(G250,'G-7 Rivers Data'!$H$3:$L$3,0)),"")</f>
        <v/>
      </c>
      <c r="I250" s="186"/>
      <c r="J250" s="175" t="str">
        <f>IF(I250="","",IF(VLOOKUP(I250,'G-7 Rivers Data'!$AG$4:$AI$9,2,FALSE)=0,"Spatial Data Missing",VLOOKUP(I250,'G-7 Rivers Data'!$AG$4:$AI$9,2,FALSE)))</f>
        <v/>
      </c>
      <c r="K250" s="176" t="str">
        <f>IF(I250="","",IF(VLOOKUP(I250,'G-7 Rivers Data'!$AG$4:$AI$9,3,FALSE)=0,"Spatial Data Missing",VLOOKUP(I250,'G-7 Rivers Data'!$AG$4:$AI$9,3,FALSE)))</f>
        <v/>
      </c>
      <c r="L250" s="171" t="str">
        <f>IFERROR(INDEX('G-7 Rivers Data'!$O$3:$O$7,MATCH(G250,'G-7 Rivers Data'!$N$3:$N$7,0)),"")</f>
        <v/>
      </c>
      <c r="M250" s="94"/>
      <c r="N250" s="261"/>
      <c r="O250" s="175" t="str">
        <f t="shared" si="19"/>
        <v/>
      </c>
      <c r="P250" s="242" t="str">
        <f t="shared" si="20"/>
        <v/>
      </c>
      <c r="Q250" s="383" t="str">
        <f>IFERROR(IF(P250="Check Data","Check Data",VLOOKUP(P250,'G-4 Temporal multipliers'!$A$4:$C$37,3,FALSE)),"")</f>
        <v/>
      </c>
      <c r="R250" s="171" t="str">
        <f>IF(C250="","",VLOOKUP(C250,'G-7 Rivers Data'!$B$4:$G$8,4,FALSE))</f>
        <v/>
      </c>
      <c r="S250" s="179" t="str">
        <f t="shared" si="21"/>
        <v/>
      </c>
      <c r="T250" s="269" t="str">
        <f t="shared" si="22"/>
        <v/>
      </c>
      <c r="U250" s="172" t="str">
        <f t="shared" si="23"/>
        <v/>
      </c>
      <c r="V250" s="79"/>
      <c r="W250" s="172" t="str">
        <f>IF(V250="","",IF(VLOOKUP(V250,'G-7 Rivers Data'!$AA$4:$AB$7,2,FALSE)=0,"Spatial Data Missing",VLOOKUP(V250,'G-7 Rivers Data'!$AA$4:$AB$7,2,FALSE)))</f>
        <v/>
      </c>
      <c r="X250" s="187"/>
      <c r="Y250" s="172" t="str">
        <f>IF(X250="","",IF(VLOOKUP(X250,'G-7 Rivers Data'!$AD$4:$AE$8,2,FALSE)=0,"Enrcoachment Data Missing",VLOOKUP(X250,'G-7 Rivers Data'!$AD$4:$AE$8,2,FALSE)))</f>
        <v/>
      </c>
      <c r="Z250" s="265" t="str">
        <f t="shared" si="24"/>
        <v/>
      </c>
      <c r="AA250" s="180"/>
      <c r="AB250" s="181"/>
      <c r="AH250" s="35" t="str">
        <f>IFERROR(INDEX('G-7 Rivers Data'!$AZ$3:$AZ$7,MATCH(C250,'G-7 Rivers Data'!$AY$3:$AY$7,0)),"")</f>
        <v/>
      </c>
    </row>
    <row r="251" spans="2:34" ht="13.8" x14ac:dyDescent="0.25">
      <c r="B251" s="168">
        <v>240</v>
      </c>
      <c r="C251" s="212"/>
      <c r="D251" s="213"/>
      <c r="E251" s="171" t="str">
        <f>IF(C251="","",VLOOKUP(C251,'G-7 Rivers Data'!$B$2:$G$8,2,FALSE))</f>
        <v/>
      </c>
      <c r="F251" s="172" t="str">
        <f>IFERROR(VLOOKUP(E251,'G-7 Rivers Data'!$C$4:$D$8,2,FALSE),"")</f>
        <v/>
      </c>
      <c r="G251" s="173"/>
      <c r="H251" s="172" t="str">
        <f>IFERROR(INDEX('G-7 Rivers Data'!$H$4:$L$8,MATCH(C251,'G-7 Rivers Data'!$B$4:$B$8,0),MATCH(G251,'G-7 Rivers Data'!$H$3:$L$3,0)),"")</f>
        <v/>
      </c>
      <c r="I251" s="186"/>
      <c r="J251" s="175" t="str">
        <f>IF(I251="","",IF(VLOOKUP(I251,'G-7 Rivers Data'!$AG$4:$AI$9,2,FALSE)=0,"Spatial Data Missing",VLOOKUP(I251,'G-7 Rivers Data'!$AG$4:$AI$9,2,FALSE)))</f>
        <v/>
      </c>
      <c r="K251" s="176" t="str">
        <f>IF(I251="","",IF(VLOOKUP(I251,'G-7 Rivers Data'!$AG$4:$AI$9,3,FALSE)=0,"Spatial Data Missing",VLOOKUP(I251,'G-7 Rivers Data'!$AG$4:$AI$9,3,FALSE)))</f>
        <v/>
      </c>
      <c r="L251" s="171" t="str">
        <f>IFERROR(INDEX('G-7 Rivers Data'!$O$3:$O$7,MATCH(G251,'G-7 Rivers Data'!$N$3:$N$7,0)),"")</f>
        <v/>
      </c>
      <c r="M251" s="94"/>
      <c r="N251" s="261"/>
      <c r="O251" s="175" t="str">
        <f t="shared" si="19"/>
        <v/>
      </c>
      <c r="P251" s="242" t="str">
        <f t="shared" si="20"/>
        <v/>
      </c>
      <c r="Q251" s="383" t="str">
        <f>IFERROR(IF(P251="Check Data","Check Data",VLOOKUP(P251,'G-4 Temporal multipliers'!$A$4:$C$37,3,FALSE)),"")</f>
        <v/>
      </c>
      <c r="R251" s="171" t="str">
        <f>IF(C251="","",VLOOKUP(C251,'G-7 Rivers Data'!$B$4:$G$8,4,FALSE))</f>
        <v/>
      </c>
      <c r="S251" s="179" t="str">
        <f t="shared" si="21"/>
        <v/>
      </c>
      <c r="T251" s="269" t="str">
        <f t="shared" si="22"/>
        <v/>
      </c>
      <c r="U251" s="172" t="str">
        <f t="shared" si="23"/>
        <v/>
      </c>
      <c r="V251" s="79"/>
      <c r="W251" s="172" t="str">
        <f>IF(V251="","",IF(VLOOKUP(V251,'G-7 Rivers Data'!$AA$4:$AB$7,2,FALSE)=0,"Spatial Data Missing",VLOOKUP(V251,'G-7 Rivers Data'!$AA$4:$AB$7,2,FALSE)))</f>
        <v/>
      </c>
      <c r="X251" s="187"/>
      <c r="Y251" s="172" t="str">
        <f>IF(X251="","",IF(VLOOKUP(X251,'G-7 Rivers Data'!$AD$4:$AE$8,2,FALSE)=0,"Enrcoachment Data Missing",VLOOKUP(X251,'G-7 Rivers Data'!$AD$4:$AE$8,2,FALSE)))</f>
        <v/>
      </c>
      <c r="Z251" s="265" t="str">
        <f t="shared" si="24"/>
        <v/>
      </c>
      <c r="AA251" s="180"/>
      <c r="AB251" s="181"/>
      <c r="AH251" s="35" t="str">
        <f>IFERROR(INDEX('G-7 Rivers Data'!$AZ$3:$AZ$7,MATCH(C251,'G-7 Rivers Data'!$AY$3:$AY$7,0)),"")</f>
        <v/>
      </c>
    </row>
    <row r="252" spans="2:34" ht="13.8" x14ac:dyDescent="0.25">
      <c r="B252" s="168">
        <v>241</v>
      </c>
      <c r="C252" s="212"/>
      <c r="D252" s="213"/>
      <c r="E252" s="171" t="str">
        <f>IF(C252="","",VLOOKUP(C252,'G-7 Rivers Data'!$B$2:$G$8,2,FALSE))</f>
        <v/>
      </c>
      <c r="F252" s="172" t="str">
        <f>IFERROR(VLOOKUP(E252,'G-7 Rivers Data'!$C$4:$D$8,2,FALSE),"")</f>
        <v/>
      </c>
      <c r="G252" s="173"/>
      <c r="H252" s="172" t="str">
        <f>IFERROR(INDEX('G-7 Rivers Data'!$H$4:$L$8,MATCH(C252,'G-7 Rivers Data'!$B$4:$B$8,0),MATCH(G252,'G-7 Rivers Data'!$H$3:$L$3,0)),"")</f>
        <v/>
      </c>
      <c r="I252" s="186"/>
      <c r="J252" s="175" t="str">
        <f>IF(I252="","",IF(VLOOKUP(I252,'G-7 Rivers Data'!$AG$4:$AI$9,2,FALSE)=0,"Spatial Data Missing",VLOOKUP(I252,'G-7 Rivers Data'!$AG$4:$AI$9,2,FALSE)))</f>
        <v/>
      </c>
      <c r="K252" s="176" t="str">
        <f>IF(I252="","",IF(VLOOKUP(I252,'G-7 Rivers Data'!$AG$4:$AI$9,3,FALSE)=0,"Spatial Data Missing",VLOOKUP(I252,'G-7 Rivers Data'!$AG$4:$AI$9,3,FALSE)))</f>
        <v/>
      </c>
      <c r="L252" s="171" t="str">
        <f>IFERROR(INDEX('G-7 Rivers Data'!$O$3:$O$7,MATCH(G252,'G-7 Rivers Data'!$N$3:$N$7,0)),"")</f>
        <v/>
      </c>
      <c r="M252" s="94"/>
      <c r="N252" s="261"/>
      <c r="O252" s="175" t="str">
        <f t="shared" si="19"/>
        <v/>
      </c>
      <c r="P252" s="242" t="str">
        <f t="shared" si="20"/>
        <v/>
      </c>
      <c r="Q252" s="383" t="str">
        <f>IFERROR(IF(P252="Check Data","Check Data",VLOOKUP(P252,'G-4 Temporal multipliers'!$A$4:$C$37,3,FALSE)),"")</f>
        <v/>
      </c>
      <c r="R252" s="171" t="str">
        <f>IF(C252="","",VLOOKUP(C252,'G-7 Rivers Data'!$B$4:$G$8,4,FALSE))</f>
        <v/>
      </c>
      <c r="S252" s="179" t="str">
        <f t="shared" si="21"/>
        <v/>
      </c>
      <c r="T252" s="269" t="str">
        <f t="shared" si="22"/>
        <v/>
      </c>
      <c r="U252" s="172" t="str">
        <f t="shared" si="23"/>
        <v/>
      </c>
      <c r="V252" s="79"/>
      <c r="W252" s="172" t="str">
        <f>IF(V252="","",IF(VLOOKUP(V252,'G-7 Rivers Data'!$AA$4:$AB$7,2,FALSE)=0,"Spatial Data Missing",VLOOKUP(V252,'G-7 Rivers Data'!$AA$4:$AB$7,2,FALSE)))</f>
        <v/>
      </c>
      <c r="X252" s="187"/>
      <c r="Y252" s="172" t="str">
        <f>IF(X252="","",IF(VLOOKUP(X252,'G-7 Rivers Data'!$AD$4:$AE$8,2,FALSE)=0,"Enrcoachment Data Missing",VLOOKUP(X252,'G-7 Rivers Data'!$AD$4:$AE$8,2,FALSE)))</f>
        <v/>
      </c>
      <c r="Z252" s="265" t="str">
        <f t="shared" si="24"/>
        <v/>
      </c>
      <c r="AA252" s="180"/>
      <c r="AB252" s="181"/>
      <c r="AH252" s="35" t="str">
        <f>IFERROR(INDEX('G-7 Rivers Data'!$AZ$3:$AZ$7,MATCH(C252,'G-7 Rivers Data'!$AY$3:$AY$7,0)),"")</f>
        <v/>
      </c>
    </row>
    <row r="253" spans="2:34" ht="13.8" x14ac:dyDescent="0.25">
      <c r="B253" s="168">
        <v>242</v>
      </c>
      <c r="C253" s="212"/>
      <c r="D253" s="213"/>
      <c r="E253" s="171" t="str">
        <f>IF(C253="","",VLOOKUP(C253,'G-7 Rivers Data'!$B$2:$G$8,2,FALSE))</f>
        <v/>
      </c>
      <c r="F253" s="172" t="str">
        <f>IFERROR(VLOOKUP(E253,'G-7 Rivers Data'!$C$4:$D$8,2,FALSE),"")</f>
        <v/>
      </c>
      <c r="G253" s="173"/>
      <c r="H253" s="172" t="str">
        <f>IFERROR(INDEX('G-7 Rivers Data'!$H$4:$L$8,MATCH(C253,'G-7 Rivers Data'!$B$4:$B$8,0),MATCH(G253,'G-7 Rivers Data'!$H$3:$L$3,0)),"")</f>
        <v/>
      </c>
      <c r="I253" s="186"/>
      <c r="J253" s="175" t="str">
        <f>IF(I253="","",IF(VLOOKUP(I253,'G-7 Rivers Data'!$AG$4:$AI$9,2,FALSE)=0,"Spatial Data Missing",VLOOKUP(I253,'G-7 Rivers Data'!$AG$4:$AI$9,2,FALSE)))</f>
        <v/>
      </c>
      <c r="K253" s="176" t="str">
        <f>IF(I253="","",IF(VLOOKUP(I253,'G-7 Rivers Data'!$AG$4:$AI$9,3,FALSE)=0,"Spatial Data Missing",VLOOKUP(I253,'G-7 Rivers Data'!$AG$4:$AI$9,3,FALSE)))</f>
        <v/>
      </c>
      <c r="L253" s="171" t="str">
        <f>IFERROR(INDEX('G-7 Rivers Data'!$O$3:$O$7,MATCH(G253,'G-7 Rivers Data'!$N$3:$N$7,0)),"")</f>
        <v/>
      </c>
      <c r="M253" s="94"/>
      <c r="N253" s="261"/>
      <c r="O253" s="175" t="str">
        <f t="shared" si="19"/>
        <v/>
      </c>
      <c r="P253" s="242" t="str">
        <f t="shared" si="20"/>
        <v/>
      </c>
      <c r="Q253" s="383" t="str">
        <f>IFERROR(IF(P253="Check Data","Check Data",VLOOKUP(P253,'G-4 Temporal multipliers'!$A$4:$C$37,3,FALSE)),"")</f>
        <v/>
      </c>
      <c r="R253" s="171" t="str">
        <f>IF(C253="","",VLOOKUP(C253,'G-7 Rivers Data'!$B$4:$G$8,4,FALSE))</f>
        <v/>
      </c>
      <c r="S253" s="179" t="str">
        <f t="shared" si="21"/>
        <v/>
      </c>
      <c r="T253" s="269" t="str">
        <f t="shared" si="22"/>
        <v/>
      </c>
      <c r="U253" s="172" t="str">
        <f t="shared" si="23"/>
        <v/>
      </c>
      <c r="V253" s="79"/>
      <c r="W253" s="172" t="str">
        <f>IF(V253="","",IF(VLOOKUP(V253,'G-7 Rivers Data'!$AA$4:$AB$7,2,FALSE)=0,"Spatial Data Missing",VLOOKUP(V253,'G-7 Rivers Data'!$AA$4:$AB$7,2,FALSE)))</f>
        <v/>
      </c>
      <c r="X253" s="187"/>
      <c r="Y253" s="172" t="str">
        <f>IF(X253="","",IF(VLOOKUP(X253,'G-7 Rivers Data'!$AD$4:$AE$8,2,FALSE)=0,"Enrcoachment Data Missing",VLOOKUP(X253,'G-7 Rivers Data'!$AD$4:$AE$8,2,FALSE)))</f>
        <v/>
      </c>
      <c r="Z253" s="265" t="str">
        <f t="shared" si="24"/>
        <v/>
      </c>
      <c r="AA253" s="180"/>
      <c r="AB253" s="181"/>
      <c r="AH253" s="35" t="str">
        <f>IFERROR(INDEX('G-7 Rivers Data'!$AZ$3:$AZ$7,MATCH(C253,'G-7 Rivers Data'!$AY$3:$AY$7,0)),"")</f>
        <v/>
      </c>
    </row>
    <row r="254" spans="2:34" ht="13.8" x14ac:dyDescent="0.25">
      <c r="B254" s="168">
        <v>243</v>
      </c>
      <c r="C254" s="212"/>
      <c r="D254" s="213"/>
      <c r="E254" s="171" t="str">
        <f>IF(C254="","",VLOOKUP(C254,'G-7 Rivers Data'!$B$2:$G$8,2,FALSE))</f>
        <v/>
      </c>
      <c r="F254" s="172" t="str">
        <f>IFERROR(VLOOKUP(E254,'G-7 Rivers Data'!$C$4:$D$8,2,FALSE),"")</f>
        <v/>
      </c>
      <c r="G254" s="173"/>
      <c r="H254" s="172" t="str">
        <f>IFERROR(INDEX('G-7 Rivers Data'!$H$4:$L$8,MATCH(C254,'G-7 Rivers Data'!$B$4:$B$8,0),MATCH(G254,'G-7 Rivers Data'!$H$3:$L$3,0)),"")</f>
        <v/>
      </c>
      <c r="I254" s="186"/>
      <c r="J254" s="175" t="str">
        <f>IF(I254="","",IF(VLOOKUP(I254,'G-7 Rivers Data'!$AG$4:$AI$9,2,FALSE)=0,"Spatial Data Missing",VLOOKUP(I254,'G-7 Rivers Data'!$AG$4:$AI$9,2,FALSE)))</f>
        <v/>
      </c>
      <c r="K254" s="176" t="str">
        <f>IF(I254="","",IF(VLOOKUP(I254,'G-7 Rivers Data'!$AG$4:$AI$9,3,FALSE)=0,"Spatial Data Missing",VLOOKUP(I254,'G-7 Rivers Data'!$AG$4:$AI$9,3,FALSE)))</f>
        <v/>
      </c>
      <c r="L254" s="171" t="str">
        <f>IFERROR(INDEX('G-7 Rivers Data'!$O$3:$O$7,MATCH(G254,'G-7 Rivers Data'!$N$3:$N$7,0)),"")</f>
        <v/>
      </c>
      <c r="M254" s="94"/>
      <c r="N254" s="261"/>
      <c r="O254" s="175" t="str">
        <f t="shared" si="19"/>
        <v/>
      </c>
      <c r="P254" s="242" t="str">
        <f t="shared" si="20"/>
        <v/>
      </c>
      <c r="Q254" s="383" t="str">
        <f>IFERROR(IF(P254="Check Data","Check Data",VLOOKUP(P254,'G-4 Temporal multipliers'!$A$4:$C$37,3,FALSE)),"")</f>
        <v/>
      </c>
      <c r="R254" s="171" t="str">
        <f>IF(C254="","",VLOOKUP(C254,'G-7 Rivers Data'!$B$4:$G$8,4,FALSE))</f>
        <v/>
      </c>
      <c r="S254" s="179" t="str">
        <f t="shared" si="21"/>
        <v/>
      </c>
      <c r="T254" s="269" t="str">
        <f t="shared" si="22"/>
        <v/>
      </c>
      <c r="U254" s="172" t="str">
        <f t="shared" si="23"/>
        <v/>
      </c>
      <c r="V254" s="79"/>
      <c r="W254" s="172" t="str">
        <f>IF(V254="","",IF(VLOOKUP(V254,'G-7 Rivers Data'!$AA$4:$AB$7,2,FALSE)=0,"Spatial Data Missing",VLOOKUP(V254,'G-7 Rivers Data'!$AA$4:$AB$7,2,FALSE)))</f>
        <v/>
      </c>
      <c r="X254" s="187"/>
      <c r="Y254" s="172" t="str">
        <f>IF(X254="","",IF(VLOOKUP(X254,'G-7 Rivers Data'!$AD$4:$AE$8,2,FALSE)=0,"Enrcoachment Data Missing",VLOOKUP(X254,'G-7 Rivers Data'!$AD$4:$AE$8,2,FALSE)))</f>
        <v/>
      </c>
      <c r="Z254" s="265" t="str">
        <f t="shared" si="24"/>
        <v/>
      </c>
      <c r="AA254" s="180"/>
      <c r="AB254" s="181"/>
      <c r="AH254" s="35" t="str">
        <f>IFERROR(INDEX('G-7 Rivers Data'!$AZ$3:$AZ$7,MATCH(C254,'G-7 Rivers Data'!$AY$3:$AY$7,0)),"")</f>
        <v/>
      </c>
    </row>
    <row r="255" spans="2:34" ht="13.8" x14ac:dyDescent="0.25">
      <c r="B255" s="168">
        <v>244</v>
      </c>
      <c r="C255" s="212"/>
      <c r="D255" s="213"/>
      <c r="E255" s="171" t="str">
        <f>IF(C255="","",VLOOKUP(C255,'G-7 Rivers Data'!$B$2:$G$8,2,FALSE))</f>
        <v/>
      </c>
      <c r="F255" s="172" t="str">
        <f>IFERROR(VLOOKUP(E255,'G-7 Rivers Data'!$C$4:$D$8,2,FALSE),"")</f>
        <v/>
      </c>
      <c r="G255" s="173"/>
      <c r="H255" s="172" t="str">
        <f>IFERROR(INDEX('G-7 Rivers Data'!$H$4:$L$8,MATCH(C255,'G-7 Rivers Data'!$B$4:$B$8,0),MATCH(G255,'G-7 Rivers Data'!$H$3:$L$3,0)),"")</f>
        <v/>
      </c>
      <c r="I255" s="186"/>
      <c r="J255" s="175" t="str">
        <f>IF(I255="","",IF(VLOOKUP(I255,'G-7 Rivers Data'!$AG$4:$AI$9,2,FALSE)=0,"Spatial Data Missing",VLOOKUP(I255,'G-7 Rivers Data'!$AG$4:$AI$9,2,FALSE)))</f>
        <v/>
      </c>
      <c r="K255" s="176" t="str">
        <f>IF(I255="","",IF(VLOOKUP(I255,'G-7 Rivers Data'!$AG$4:$AI$9,3,FALSE)=0,"Spatial Data Missing",VLOOKUP(I255,'G-7 Rivers Data'!$AG$4:$AI$9,3,FALSE)))</f>
        <v/>
      </c>
      <c r="L255" s="171" t="str">
        <f>IFERROR(INDEX('G-7 Rivers Data'!$O$3:$O$7,MATCH(G255,'G-7 Rivers Data'!$N$3:$N$7,0)),"")</f>
        <v/>
      </c>
      <c r="M255" s="94"/>
      <c r="N255" s="261"/>
      <c r="O255" s="175" t="str">
        <f t="shared" si="19"/>
        <v/>
      </c>
      <c r="P255" s="242" t="str">
        <f t="shared" si="20"/>
        <v/>
      </c>
      <c r="Q255" s="383" t="str">
        <f>IFERROR(IF(P255="Check Data","Check Data",VLOOKUP(P255,'G-4 Temporal multipliers'!$A$4:$C$37,3,FALSE)),"")</f>
        <v/>
      </c>
      <c r="R255" s="171" t="str">
        <f>IF(C255="","",VLOOKUP(C255,'G-7 Rivers Data'!$B$4:$G$8,4,FALSE))</f>
        <v/>
      </c>
      <c r="S255" s="179" t="str">
        <f t="shared" si="21"/>
        <v/>
      </c>
      <c r="T255" s="269" t="str">
        <f t="shared" si="22"/>
        <v/>
      </c>
      <c r="U255" s="172" t="str">
        <f t="shared" si="23"/>
        <v/>
      </c>
      <c r="V255" s="79"/>
      <c r="W255" s="172" t="str">
        <f>IF(V255="","",IF(VLOOKUP(V255,'G-7 Rivers Data'!$AA$4:$AB$7,2,FALSE)=0,"Spatial Data Missing",VLOOKUP(V255,'G-7 Rivers Data'!$AA$4:$AB$7,2,FALSE)))</f>
        <v/>
      </c>
      <c r="X255" s="187"/>
      <c r="Y255" s="172" t="str">
        <f>IF(X255="","",IF(VLOOKUP(X255,'G-7 Rivers Data'!$AD$4:$AE$8,2,FALSE)=0,"Enrcoachment Data Missing",VLOOKUP(X255,'G-7 Rivers Data'!$AD$4:$AE$8,2,FALSE)))</f>
        <v/>
      </c>
      <c r="Z255" s="265" t="str">
        <f t="shared" si="24"/>
        <v/>
      </c>
      <c r="AA255" s="180"/>
      <c r="AB255" s="181"/>
      <c r="AH255" s="35" t="str">
        <f>IFERROR(INDEX('G-7 Rivers Data'!$AZ$3:$AZ$7,MATCH(C255,'G-7 Rivers Data'!$AY$3:$AY$7,0)),"")</f>
        <v/>
      </c>
    </row>
    <row r="256" spans="2:34" ht="13.8" x14ac:dyDescent="0.25">
      <c r="B256" s="168">
        <v>245</v>
      </c>
      <c r="C256" s="212"/>
      <c r="D256" s="213"/>
      <c r="E256" s="171" t="str">
        <f>IF(C256="","",VLOOKUP(C256,'G-7 Rivers Data'!$B$2:$G$8,2,FALSE))</f>
        <v/>
      </c>
      <c r="F256" s="172" t="str">
        <f>IFERROR(VLOOKUP(E256,'G-7 Rivers Data'!$C$4:$D$8,2,FALSE),"")</f>
        <v/>
      </c>
      <c r="G256" s="173"/>
      <c r="H256" s="172" t="str">
        <f>IFERROR(INDEX('G-7 Rivers Data'!$H$4:$L$8,MATCH(C256,'G-7 Rivers Data'!$B$4:$B$8,0),MATCH(G256,'G-7 Rivers Data'!$H$3:$L$3,0)),"")</f>
        <v/>
      </c>
      <c r="I256" s="186"/>
      <c r="J256" s="175" t="str">
        <f>IF(I256="","",IF(VLOOKUP(I256,'G-7 Rivers Data'!$AG$4:$AI$9,2,FALSE)=0,"Spatial Data Missing",VLOOKUP(I256,'G-7 Rivers Data'!$AG$4:$AI$9,2,FALSE)))</f>
        <v/>
      </c>
      <c r="K256" s="176" t="str">
        <f>IF(I256="","",IF(VLOOKUP(I256,'G-7 Rivers Data'!$AG$4:$AI$9,3,FALSE)=0,"Spatial Data Missing",VLOOKUP(I256,'G-7 Rivers Data'!$AG$4:$AI$9,3,FALSE)))</f>
        <v/>
      </c>
      <c r="L256" s="171" t="str">
        <f>IFERROR(INDEX('G-7 Rivers Data'!$O$3:$O$7,MATCH(G256,'G-7 Rivers Data'!$N$3:$N$7,0)),"")</f>
        <v/>
      </c>
      <c r="M256" s="94"/>
      <c r="N256" s="261"/>
      <c r="O256" s="175" t="str">
        <f t="shared" si="19"/>
        <v/>
      </c>
      <c r="P256" s="242" t="str">
        <f t="shared" si="20"/>
        <v/>
      </c>
      <c r="Q256" s="383" t="str">
        <f>IFERROR(IF(P256="Check Data","Check Data",VLOOKUP(P256,'G-4 Temporal multipliers'!$A$4:$C$37,3,FALSE)),"")</f>
        <v/>
      </c>
      <c r="R256" s="171" t="str">
        <f>IF(C256="","",VLOOKUP(C256,'G-7 Rivers Data'!$B$4:$G$8,4,FALSE))</f>
        <v/>
      </c>
      <c r="S256" s="179" t="str">
        <f t="shared" si="21"/>
        <v/>
      </c>
      <c r="T256" s="269" t="str">
        <f t="shared" si="22"/>
        <v/>
      </c>
      <c r="U256" s="172" t="str">
        <f t="shared" si="23"/>
        <v/>
      </c>
      <c r="V256" s="79"/>
      <c r="W256" s="172" t="str">
        <f>IF(V256="","",IF(VLOOKUP(V256,'G-7 Rivers Data'!$AA$4:$AB$7,2,FALSE)=0,"Spatial Data Missing",VLOOKUP(V256,'G-7 Rivers Data'!$AA$4:$AB$7,2,FALSE)))</f>
        <v/>
      </c>
      <c r="X256" s="187"/>
      <c r="Y256" s="172" t="str">
        <f>IF(X256="","",IF(VLOOKUP(X256,'G-7 Rivers Data'!$AD$4:$AE$8,2,FALSE)=0,"Enrcoachment Data Missing",VLOOKUP(X256,'G-7 Rivers Data'!$AD$4:$AE$8,2,FALSE)))</f>
        <v/>
      </c>
      <c r="Z256" s="265" t="str">
        <f t="shared" si="24"/>
        <v/>
      </c>
      <c r="AA256" s="180"/>
      <c r="AB256" s="181"/>
      <c r="AH256" s="35" t="str">
        <f>IFERROR(INDEX('G-7 Rivers Data'!$AZ$3:$AZ$7,MATCH(C256,'G-7 Rivers Data'!$AY$3:$AY$7,0)),"")</f>
        <v/>
      </c>
    </row>
    <row r="257" spans="2:34" ht="13.8" x14ac:dyDescent="0.25">
      <c r="B257" s="168">
        <v>246</v>
      </c>
      <c r="C257" s="212"/>
      <c r="D257" s="213"/>
      <c r="E257" s="171" t="str">
        <f>IF(C257="","",VLOOKUP(C257,'G-7 Rivers Data'!$B$2:$G$8,2,FALSE))</f>
        <v/>
      </c>
      <c r="F257" s="172" t="str">
        <f>IFERROR(VLOOKUP(E257,'G-7 Rivers Data'!$C$4:$D$8,2,FALSE),"")</f>
        <v/>
      </c>
      <c r="G257" s="173"/>
      <c r="H257" s="172" t="str">
        <f>IFERROR(INDEX('G-7 Rivers Data'!$H$4:$L$8,MATCH(C257,'G-7 Rivers Data'!$B$4:$B$8,0),MATCH(G257,'G-7 Rivers Data'!$H$3:$L$3,0)),"")</f>
        <v/>
      </c>
      <c r="I257" s="186"/>
      <c r="J257" s="175" t="str">
        <f>IF(I257="","",IF(VLOOKUP(I257,'G-7 Rivers Data'!$AG$4:$AI$9,2,FALSE)=0,"Spatial Data Missing",VLOOKUP(I257,'G-7 Rivers Data'!$AG$4:$AI$9,2,FALSE)))</f>
        <v/>
      </c>
      <c r="K257" s="176" t="str">
        <f>IF(I257="","",IF(VLOOKUP(I257,'G-7 Rivers Data'!$AG$4:$AI$9,3,FALSE)=0,"Spatial Data Missing",VLOOKUP(I257,'G-7 Rivers Data'!$AG$4:$AI$9,3,FALSE)))</f>
        <v/>
      </c>
      <c r="L257" s="171" t="str">
        <f>IFERROR(INDEX('G-7 Rivers Data'!$O$3:$O$7,MATCH(G257,'G-7 Rivers Data'!$N$3:$N$7,0)),"")</f>
        <v/>
      </c>
      <c r="M257" s="94"/>
      <c r="N257" s="261"/>
      <c r="O257" s="175" t="str">
        <f t="shared" si="19"/>
        <v/>
      </c>
      <c r="P257" s="242" t="str">
        <f t="shared" si="20"/>
        <v/>
      </c>
      <c r="Q257" s="383" t="str">
        <f>IFERROR(IF(P257="Check Data","Check Data",VLOOKUP(P257,'G-4 Temporal multipliers'!$A$4:$C$37,3,FALSE)),"")</f>
        <v/>
      </c>
      <c r="R257" s="171" t="str">
        <f>IF(C257="","",VLOOKUP(C257,'G-7 Rivers Data'!$B$4:$G$8,4,FALSE))</f>
        <v/>
      </c>
      <c r="S257" s="179" t="str">
        <f t="shared" si="21"/>
        <v/>
      </c>
      <c r="T257" s="269" t="str">
        <f t="shared" si="22"/>
        <v/>
      </c>
      <c r="U257" s="172" t="str">
        <f t="shared" si="23"/>
        <v/>
      </c>
      <c r="V257" s="79"/>
      <c r="W257" s="172" t="str">
        <f>IF(V257="","",IF(VLOOKUP(V257,'G-7 Rivers Data'!$AA$4:$AB$7,2,FALSE)=0,"Spatial Data Missing",VLOOKUP(V257,'G-7 Rivers Data'!$AA$4:$AB$7,2,FALSE)))</f>
        <v/>
      </c>
      <c r="X257" s="187"/>
      <c r="Y257" s="172" t="str">
        <f>IF(X257="","",IF(VLOOKUP(X257,'G-7 Rivers Data'!$AD$4:$AE$8,2,FALSE)=0,"Enrcoachment Data Missing",VLOOKUP(X257,'G-7 Rivers Data'!$AD$4:$AE$8,2,FALSE)))</f>
        <v/>
      </c>
      <c r="Z257" s="265" t="str">
        <f t="shared" si="24"/>
        <v/>
      </c>
      <c r="AA257" s="180"/>
      <c r="AB257" s="181"/>
      <c r="AH257" s="35" t="str">
        <f>IFERROR(INDEX('G-7 Rivers Data'!$AZ$3:$AZ$7,MATCH(C257,'G-7 Rivers Data'!$AY$3:$AY$7,0)),"")</f>
        <v/>
      </c>
    </row>
    <row r="258" spans="2:34" ht="13.8" x14ac:dyDescent="0.25">
      <c r="B258" s="168">
        <v>247</v>
      </c>
      <c r="C258" s="212"/>
      <c r="D258" s="213"/>
      <c r="E258" s="171" t="str">
        <f>IF(C258="","",VLOOKUP(C258,'G-7 Rivers Data'!$B$2:$G$8,2,FALSE))</f>
        <v/>
      </c>
      <c r="F258" s="172" t="str">
        <f>IFERROR(VLOOKUP(E258,'G-7 Rivers Data'!$C$4:$D$8,2,FALSE),"")</f>
        <v/>
      </c>
      <c r="G258" s="173"/>
      <c r="H258" s="172" t="str">
        <f>IFERROR(INDEX('G-7 Rivers Data'!$H$4:$L$8,MATCH(C258,'G-7 Rivers Data'!$B$4:$B$8,0),MATCH(G258,'G-7 Rivers Data'!$H$3:$L$3,0)),"")</f>
        <v/>
      </c>
      <c r="I258" s="186"/>
      <c r="J258" s="175" t="str">
        <f>IF(I258="","",IF(VLOOKUP(I258,'G-7 Rivers Data'!$AG$4:$AI$9,2,FALSE)=0,"Spatial Data Missing",VLOOKUP(I258,'G-7 Rivers Data'!$AG$4:$AI$9,2,FALSE)))</f>
        <v/>
      </c>
      <c r="K258" s="176" t="str">
        <f>IF(I258="","",IF(VLOOKUP(I258,'G-7 Rivers Data'!$AG$4:$AI$9,3,FALSE)=0,"Spatial Data Missing",VLOOKUP(I258,'G-7 Rivers Data'!$AG$4:$AI$9,3,FALSE)))</f>
        <v/>
      </c>
      <c r="L258" s="171" t="str">
        <f>IFERROR(INDEX('G-7 Rivers Data'!$O$3:$O$7,MATCH(G258,'G-7 Rivers Data'!$N$3:$N$7,0)),"")</f>
        <v/>
      </c>
      <c r="M258" s="94"/>
      <c r="N258" s="261"/>
      <c r="O258" s="175" t="str">
        <f t="shared" si="19"/>
        <v/>
      </c>
      <c r="P258" s="242" t="str">
        <f t="shared" si="20"/>
        <v/>
      </c>
      <c r="Q258" s="383" t="str">
        <f>IFERROR(IF(P258="Check Data","Check Data",VLOOKUP(P258,'G-4 Temporal multipliers'!$A$4:$C$37,3,FALSE)),"")</f>
        <v/>
      </c>
      <c r="R258" s="171" t="str">
        <f>IF(C258="","",VLOOKUP(C258,'G-7 Rivers Data'!$B$4:$G$8,4,FALSE))</f>
        <v/>
      </c>
      <c r="S258" s="179" t="str">
        <f t="shared" si="21"/>
        <v/>
      </c>
      <c r="T258" s="269" t="str">
        <f t="shared" si="22"/>
        <v/>
      </c>
      <c r="U258" s="172" t="str">
        <f t="shared" si="23"/>
        <v/>
      </c>
      <c r="V258" s="79"/>
      <c r="W258" s="172" t="str">
        <f>IF(V258="","",IF(VLOOKUP(V258,'G-7 Rivers Data'!$AA$4:$AB$7,2,FALSE)=0,"Spatial Data Missing",VLOOKUP(V258,'G-7 Rivers Data'!$AA$4:$AB$7,2,FALSE)))</f>
        <v/>
      </c>
      <c r="X258" s="187"/>
      <c r="Y258" s="172" t="str">
        <f>IF(X258="","",IF(VLOOKUP(X258,'G-7 Rivers Data'!$AD$4:$AE$8,2,FALSE)=0,"Enrcoachment Data Missing",VLOOKUP(X258,'G-7 Rivers Data'!$AD$4:$AE$8,2,FALSE)))</f>
        <v/>
      </c>
      <c r="Z258" s="265" t="str">
        <f t="shared" si="24"/>
        <v/>
      </c>
      <c r="AA258" s="180"/>
      <c r="AB258" s="181"/>
      <c r="AH258" s="35" t="str">
        <f>IFERROR(INDEX('G-7 Rivers Data'!$AZ$3:$AZ$7,MATCH(C258,'G-7 Rivers Data'!$AY$3:$AY$7,0)),"")</f>
        <v/>
      </c>
    </row>
    <row r="259" spans="2:34" ht="14.4" thickBot="1" x14ac:dyDescent="0.3">
      <c r="B259" s="190">
        <v>248</v>
      </c>
      <c r="C259" s="191"/>
      <c r="D259" s="192"/>
      <c r="E259" s="248" t="str">
        <f>IF(C259="","",VLOOKUP(C259,'G-7 Rivers Data'!$B$2:$G$8,2,FALSE))</f>
        <v/>
      </c>
      <c r="F259" s="195" t="str">
        <f>IFERROR(VLOOKUP(E259,'G-7 Rivers Data'!$C$4:$D$8,2,FALSE),"")</f>
        <v/>
      </c>
      <c r="G259" s="193"/>
      <c r="H259" s="195" t="str">
        <f>IFERROR(INDEX('G-7 Rivers Data'!$H$4:$L$8,MATCH(C259,'G-7 Rivers Data'!$B$4:$B$8,0),MATCH(G259,'G-7 Rivers Data'!$H$3:$L$3,0)),"")</f>
        <v/>
      </c>
      <c r="I259" s="193"/>
      <c r="J259" s="194" t="str">
        <f>IF(I259="","",IF(VLOOKUP(I259,'G-7 Rivers Data'!$AG$4:$AI$9,2,FALSE)=0,"Spatial Data Missing",VLOOKUP(I259,'G-7 Rivers Data'!$AG$4:$AI$9,2,FALSE)))</f>
        <v/>
      </c>
      <c r="K259" s="195" t="str">
        <f>IF(I259="","",IF(VLOOKUP(I259,'G-7 Rivers Data'!$AG$4:$AI$9,3,FALSE)=0,"Spatial Data Missing",VLOOKUP(I259,'G-7 Rivers Data'!$AG$4:$AI$9,3,FALSE)))</f>
        <v/>
      </c>
      <c r="L259" s="248" t="str">
        <f>IFERROR(INDEX('G-7 Rivers Data'!$O$3:$O$7,MATCH(G259,'G-7 Rivers Data'!$N$3:$N$7,0)),"")</f>
        <v/>
      </c>
      <c r="M259" s="94"/>
      <c r="N259" s="279"/>
      <c r="O259" s="194" t="str">
        <f t="shared" si="19"/>
        <v/>
      </c>
      <c r="P259" s="251" t="str">
        <f t="shared" si="20"/>
        <v/>
      </c>
      <c r="Q259" s="408" t="str">
        <f>IFERROR(IF(P259="Check Data","Check Data",VLOOKUP(P259,'G-4 Temporal multipliers'!$A$4:$C$37,3,FALSE)),"")</f>
        <v/>
      </c>
      <c r="R259" s="248" t="str">
        <f>IF(C259="","",VLOOKUP(C259,'G-7 Rivers Data'!$B$4:$G$8,4,FALSE))</f>
        <v/>
      </c>
      <c r="S259" s="194" t="str">
        <f t="shared" si="21"/>
        <v/>
      </c>
      <c r="T259" s="194" t="str">
        <f t="shared" si="22"/>
        <v/>
      </c>
      <c r="U259" s="195" t="str">
        <f t="shared" si="23"/>
        <v/>
      </c>
      <c r="V259" s="709"/>
      <c r="W259" s="172" t="str">
        <f>IF(V259="","",IF(VLOOKUP(V259,'G-7 Rivers Data'!$AA$4:$AB$7,2,FALSE)=0,"Spatial Data Missing",VLOOKUP(V259,'G-7 Rivers Data'!$AA$4:$AB$7,2,FALSE)))</f>
        <v/>
      </c>
      <c r="X259" s="404"/>
      <c r="Y259" s="195" t="str">
        <f>IF(X259="","",IF(VLOOKUP(X259,'G-7 Rivers Data'!$AD$4:$AE$8,2,FALSE)=0,"Enrcoachment Data Missing",VLOOKUP(X259,'G-7 Rivers Data'!$AD$4:$AE$8,2,FALSE)))</f>
        <v/>
      </c>
      <c r="Z259" s="402" t="str">
        <f t="shared" si="24"/>
        <v/>
      </c>
      <c r="AA259" s="197"/>
      <c r="AB259" s="198"/>
      <c r="AH259" s="35" t="str">
        <f>IFERROR(INDEX('G-7 Rivers Data'!$AZ$3:$AZ$7,MATCH(C259,'G-7 Rivers Data'!$AY$3:$AY$7,0)),"")</f>
        <v/>
      </c>
    </row>
    <row r="260" spans="2:34" ht="14.4" thickBot="1" x14ac:dyDescent="0.3">
      <c r="B260" s="51"/>
      <c r="C260" s="413"/>
      <c r="D260" s="200">
        <f>SUM(D12:D259)</f>
        <v>0</v>
      </c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1055"/>
      <c r="Y260" s="1055"/>
      <c r="Z260" s="200">
        <f>SUM(Z12:Z259)</f>
        <v>0</v>
      </c>
      <c r="AA260" s="51"/>
      <c r="AB260" s="51"/>
    </row>
    <row r="261" spans="2:34" ht="28.95" customHeight="1" x14ac:dyDescent="0.25"/>
    <row r="262" spans="2:34" ht="27" customHeight="1" x14ac:dyDescent="0.25"/>
    <row r="263" spans="2:34" ht="13.8" hidden="1" x14ac:dyDescent="0.25"/>
    <row r="264" spans="2:34" ht="13.8" hidden="1" x14ac:dyDescent="0.25"/>
    <row r="265" spans="2:34" ht="13.8" hidden="1" x14ac:dyDescent="0.25"/>
    <row r="266" spans="2:34" ht="13.8" hidden="1" x14ac:dyDescent="0.25"/>
    <row r="267" spans="2:34" ht="13.8" hidden="1" x14ac:dyDescent="0.25"/>
    <row r="268" spans="2:34" ht="13.8" hidden="1" x14ac:dyDescent="0.25"/>
  </sheetData>
  <sheetProtection algorithmName="SHA-512" hashValue="gOy3CGOx7ABBmurgygjHvKxWD9KW1s3I4BlyiFZfByptx78KhmA37bQI1GetU2IepsIHzetItXwyFN65tXO36w==" saltValue="vlCxDJj/SEZMQE2d/R9hqw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4">
    <mergeCell ref="X260:Y260"/>
    <mergeCell ref="B2:E2"/>
    <mergeCell ref="B3:E4"/>
    <mergeCell ref="AA10:AB10"/>
    <mergeCell ref="L10:Q10"/>
    <mergeCell ref="V10:W10"/>
    <mergeCell ref="X10:Y10"/>
    <mergeCell ref="Z10:Z11"/>
    <mergeCell ref="R10:U10"/>
    <mergeCell ref="I10:K10"/>
    <mergeCell ref="C10:D10"/>
    <mergeCell ref="E10:F10"/>
    <mergeCell ref="G10:H10"/>
    <mergeCell ref="L3:Q5"/>
  </mergeCells>
  <conditionalFormatting sqref="Z12:Z259">
    <cfRule type="containsText" dxfId="53" priority="13" operator="containsText" text="Existing Value Not Required">
      <formula>NOT(ISERROR(SEARCH("Existing Value Not Required",Z12)))</formula>
    </cfRule>
    <cfRule type="containsText" dxfId="52" priority="14" operator="containsText" text="Existing Value Required">
      <formula>NOT(ISERROR(SEARCH("Existing Value Required",Z12)))</formula>
    </cfRule>
  </conditionalFormatting>
  <conditionalFormatting sqref="J12:K259">
    <cfRule type="containsText" dxfId="51" priority="12" operator="containsText" text="Spatial">
      <formula>NOT(ISERROR(SEARCH("Spatial",J12)))</formula>
    </cfRule>
  </conditionalFormatting>
  <conditionalFormatting sqref="O12:Q259">
    <cfRule type="containsText" dxfId="50" priority="10" operator="containsText" text="Check">
      <formula>NOT(ISERROR(SEARCH("Check",O12)))</formula>
    </cfRule>
    <cfRule type="containsText" dxfId="49" priority="11" operator="containsText" text="Error">
      <formula>NOT(ISERROR(SEARCH("Error",O12)))</formula>
    </cfRule>
  </conditionalFormatting>
  <conditionalFormatting sqref="S12:Z259">
    <cfRule type="containsText" dxfId="48" priority="6" operator="containsText" text="Error">
      <formula>NOT(ISERROR(SEARCH("Error",S12)))</formula>
    </cfRule>
    <cfRule type="containsText" dxfId="47" priority="7" operator="containsText" text="Check">
      <formula>NOT(ISERROR(SEARCH("Check",S12)))</formula>
    </cfRule>
  </conditionalFormatting>
  <conditionalFormatting sqref="S12:S259">
    <cfRule type="beginsWith" dxfId="46" priority="5" operator="beginsWith" text="No - Low Difficulty">
      <formula>LEFT(S12,LEN("No - Low Difficulty"))="No - Low Difficulty"</formula>
    </cfRule>
  </conditionalFormatting>
  <conditionalFormatting sqref="W12:W259">
    <cfRule type="containsText" dxfId="45" priority="4" operator="containsText" text="Spatial">
      <formula>NOT(ISERROR(SEARCH("Spatial",W12)))</formula>
    </cfRule>
  </conditionalFormatting>
  <conditionalFormatting sqref="Y12:Y259">
    <cfRule type="containsText" dxfId="44" priority="3" operator="containsText" text="Missing">
      <formula>NOT(ISERROR(SEARCH("Missing",Y12)))</formula>
    </cfRule>
  </conditionalFormatting>
  <conditionalFormatting sqref="H12:H259">
    <cfRule type="beginsWith" dxfId="43" priority="2" operator="beginsWith" text="Not Possible">
      <formula>LEFT(H12,LEN("Not Possible"))="Not Possible"</formula>
    </cfRule>
  </conditionalFormatting>
  <conditionalFormatting sqref="L6:P7 L3">
    <cfRule type="containsText" dxfId="42" priority="1" operator="containsText" text="Note">
      <formula>NOT(ISERROR(SEARCH("Note",L3)))</formula>
    </cfRule>
  </conditionalFormatting>
  <dataValidations count="1">
    <dataValidation type="list" allowBlank="1" showInputMessage="1" showErrorMessage="1" sqref="G12:G259" xr:uid="{00000000-0002-0000-1900-000000000000}">
      <formula1>INDIRECT(AH12)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1900-000001000000}">
          <x14:formula1>
            <xm:f>'G-7 Rivers Data'!$AG$4:$AG$9</xm:f>
          </x14:formula1>
          <xm:sqref>I12:I259</xm:sqref>
        </x14:dataValidation>
        <x14:dataValidation type="list" allowBlank="1" showInputMessage="1" showErrorMessage="1" xr:uid="{00000000-0002-0000-1900-000003000000}">
          <x14:formula1>
            <xm:f>'G-7 Rivers Data'!$AD$4:$AD$7</xm:f>
          </x14:formula1>
          <xm:sqref>X12:X259</xm:sqref>
        </x14:dataValidation>
        <x14:dataValidation type="list" allowBlank="1" showInputMessage="1" showErrorMessage="1" xr:uid="{00000000-0002-0000-1900-000004000000}">
          <x14:formula1>
            <xm:f>'G-7 Rivers Data'!$B$4:$B$8</xm:f>
          </x14:formula1>
          <xm:sqref>C12:C259</xm:sqref>
        </x14:dataValidation>
        <x14:dataValidation type="list" allowBlank="1" showInputMessage="1" showErrorMessage="1" xr:uid="{00000000-0002-0000-1900-000006000000}">
          <x14:formula1>
            <xm:f>'G-4 Temporal multipliers'!$A$41:$A$72</xm:f>
          </x14:formula1>
          <xm:sqref>M12:N259</xm:sqref>
        </x14:dataValidation>
        <x14:dataValidation type="list" allowBlank="1" showInputMessage="1" showErrorMessage="1" xr:uid="{1A659836-616D-4FB4-92A9-95519AA112E8}">
          <x14:formula1>
            <xm:f>'G-7 Rivers Data'!$AA$4:$AA$7</xm:f>
          </x14:formula1>
          <xm:sqref>V12:V259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">
    <tabColor rgb="FF00B0F0"/>
  </sheetPr>
  <dimension ref="A1:BD266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H24" sqref="H24"/>
    </sheetView>
  </sheetViews>
  <sheetFormatPr defaultColWidth="0" defaultRowHeight="0" customHeight="1" zeroHeight="1" x14ac:dyDescent="0.25"/>
  <cols>
    <col min="1" max="1" width="2.88671875" style="35" customWidth="1"/>
    <col min="2" max="2" width="14.109375" style="35" customWidth="1"/>
    <col min="3" max="3" width="41.33203125" style="35" customWidth="1"/>
    <col min="4" max="4" width="9" style="35" customWidth="1"/>
    <col min="5" max="5" width="18.88671875" style="35" customWidth="1"/>
    <col min="6" max="6" width="18.33203125" style="35" customWidth="1"/>
    <col min="7" max="7" width="18.109375" style="35" customWidth="1"/>
    <col min="8" max="8" width="19.33203125" style="35" customWidth="1"/>
    <col min="9" max="9" width="25.88671875" style="35" customWidth="1"/>
    <col min="10" max="13" width="19.33203125" style="35" customWidth="1"/>
    <col min="14" max="14" width="45.6640625" style="35" customWidth="1"/>
    <col min="15" max="16" width="34.33203125" style="35" customWidth="1"/>
    <col min="17" max="17" width="10" style="35" customWidth="1"/>
    <col min="18" max="18" width="19.44140625" style="35" customWidth="1"/>
    <col min="19" max="19" width="13.109375" style="35" customWidth="1"/>
    <col min="20" max="20" width="12.5546875" style="35" bestFit="1" customWidth="1"/>
    <col min="21" max="21" width="12.5546875" style="35" customWidth="1"/>
    <col min="22" max="22" width="33.6640625" style="35" customWidth="1"/>
    <col min="23" max="23" width="15.44140625" style="35" customWidth="1"/>
    <col min="24" max="24" width="12.33203125" style="35" customWidth="1"/>
    <col min="25" max="25" width="18.44140625" style="35" customWidth="1"/>
    <col min="26" max="26" width="21" style="35" customWidth="1"/>
    <col min="27" max="27" width="24.44140625" style="35" customWidth="1"/>
    <col min="28" max="28" width="34.44140625" style="35" customWidth="1"/>
    <col min="29" max="29" width="18.44140625" style="35" customWidth="1"/>
    <col min="30" max="30" width="15.33203125" style="35" customWidth="1"/>
    <col min="31" max="31" width="16.5546875" style="35" customWidth="1"/>
    <col min="32" max="32" width="28.33203125" style="35" customWidth="1"/>
    <col min="33" max="33" width="16.33203125" style="35" customWidth="1"/>
    <col min="34" max="34" width="15.33203125" style="35" customWidth="1"/>
    <col min="35" max="35" width="17.5546875" style="35" customWidth="1"/>
    <col min="36" max="36" width="15.33203125" style="35" customWidth="1"/>
    <col min="37" max="37" width="19.5546875" style="35" customWidth="1"/>
    <col min="38" max="39" width="12.6640625" style="35" customWidth="1"/>
    <col min="40" max="41" width="34.88671875" style="35" customWidth="1"/>
    <col min="42" max="47" width="8.88671875" style="35" customWidth="1"/>
    <col min="48" max="48" width="10.88671875" style="35" hidden="1" customWidth="1"/>
    <col min="49" max="56" width="0" style="35" hidden="1" customWidth="1"/>
    <col min="57" max="16384" width="8.88671875" style="35" hidden="1"/>
  </cols>
  <sheetData>
    <row r="1" spans="2:48" ht="20.399999999999999" customHeight="1" thickBot="1" x14ac:dyDescent="0.3"/>
    <row r="2" spans="2:48" ht="27" customHeight="1" thickBot="1" x14ac:dyDescent="0.3">
      <c r="B2" s="1031" t="str">
        <f>IF([2]Start!F12="","",[2]Start!F12)</f>
        <v/>
      </c>
      <c r="C2" s="1032"/>
      <c r="D2" s="1032"/>
      <c r="E2" s="1033"/>
      <c r="R2" s="159"/>
      <c r="Y2" s="958" t="str">
        <f>IF(OR(COUNTIF($Y$12:Y259,"*30+*")&gt;0,COUNTIF($AC$12:AC259,"*30+*")&gt;0),"Note; Habitat selected has a time to target condition greater than 30 years. Non standard agreement may be required.","")</f>
        <v/>
      </c>
      <c r="Z2" s="958"/>
      <c r="AA2" s="958"/>
      <c r="AB2" s="958"/>
      <c r="AC2" s="958"/>
      <c r="AD2" s="958"/>
    </row>
    <row r="3" spans="2:48" ht="18" customHeight="1" thickBot="1" x14ac:dyDescent="0.3">
      <c r="B3" s="1061" t="str">
        <f ca="1">MID(CELL("filename",A1),FIND("]",CELL("filename",A1))+1,256)</f>
        <v>C-3 Site River Enhancement</v>
      </c>
      <c r="C3" s="1062"/>
      <c r="D3" s="1062"/>
      <c r="E3" s="1063"/>
      <c r="Y3" s="958"/>
      <c r="Z3" s="958"/>
      <c r="AA3" s="958"/>
      <c r="AB3" s="958"/>
      <c r="AC3" s="958"/>
      <c r="AD3" s="958"/>
    </row>
    <row r="4" spans="2:48" ht="21" customHeight="1" thickBot="1" x14ac:dyDescent="0.3">
      <c r="B4" s="1061"/>
      <c r="C4" s="1062"/>
      <c r="D4" s="1062"/>
      <c r="E4" s="1063"/>
      <c r="Y4" s="958"/>
      <c r="Z4" s="958"/>
      <c r="AA4" s="958"/>
      <c r="AB4" s="958"/>
      <c r="AC4" s="958"/>
      <c r="AD4" s="958"/>
    </row>
    <row r="5" spans="2:48" ht="15.6" customHeight="1" x14ac:dyDescent="0.3">
      <c r="AH5" s="257"/>
      <c r="AI5" s="257"/>
      <c r="AJ5" s="257"/>
      <c r="AK5" s="257"/>
      <c r="AL5" s="257"/>
    </row>
    <row r="6" spans="2:48" ht="16.2" customHeight="1" x14ac:dyDescent="0.25">
      <c r="F6" s="158"/>
    </row>
    <row r="7" spans="2:48" ht="13.8" x14ac:dyDescent="0.25"/>
    <row r="8" spans="2:48" ht="14.4" thickBot="1" x14ac:dyDescent="0.3"/>
    <row r="9" spans="2:48" ht="14.4" thickBot="1" x14ac:dyDescent="0.3"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995" t="s">
        <v>990</v>
      </c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7"/>
      <c r="AM9" s="707"/>
    </row>
    <row r="10" spans="2:48" s="46" customFormat="1" ht="27" customHeight="1" thickBot="1" x14ac:dyDescent="0.3">
      <c r="C10" s="983" t="s">
        <v>1003</v>
      </c>
      <c r="D10" s="983"/>
      <c r="E10" s="983"/>
      <c r="F10" s="983"/>
      <c r="G10" s="983"/>
      <c r="H10" s="983"/>
      <c r="I10" s="983"/>
      <c r="J10" s="983"/>
      <c r="K10" s="983"/>
      <c r="L10" s="983"/>
      <c r="M10" s="983"/>
      <c r="N10" s="1011" t="s">
        <v>1314</v>
      </c>
      <c r="O10" s="1037" t="s">
        <v>1065</v>
      </c>
      <c r="P10" s="1037"/>
      <c r="Q10" s="984" t="s">
        <v>369</v>
      </c>
      <c r="R10" s="984" t="s">
        <v>981</v>
      </c>
      <c r="S10" s="984"/>
      <c r="T10" s="984" t="s">
        <v>982</v>
      </c>
      <c r="U10" s="984"/>
      <c r="V10" s="1011" t="s">
        <v>362</v>
      </c>
      <c r="W10" s="1012"/>
      <c r="X10" s="1013"/>
      <c r="Y10" s="1011" t="s">
        <v>988</v>
      </c>
      <c r="Z10" s="1012"/>
      <c r="AA10" s="1012"/>
      <c r="AB10" s="1012"/>
      <c r="AC10" s="1012"/>
      <c r="AD10" s="1013"/>
      <c r="AE10" s="1011" t="s">
        <v>989</v>
      </c>
      <c r="AF10" s="1012"/>
      <c r="AG10" s="1012"/>
      <c r="AH10" s="1013"/>
      <c r="AI10" s="984" t="s">
        <v>1188</v>
      </c>
      <c r="AJ10" s="984"/>
      <c r="AK10" s="1011" t="s">
        <v>1036</v>
      </c>
      <c r="AL10" s="1013"/>
      <c r="AM10" s="984" t="s">
        <v>1035</v>
      </c>
      <c r="AN10" s="921" t="s">
        <v>145</v>
      </c>
      <c r="AO10" s="919"/>
    </row>
    <row r="11" spans="2:48" ht="62.25" customHeight="1" x14ac:dyDescent="0.25">
      <c r="B11" s="162" t="s">
        <v>840</v>
      </c>
      <c r="C11" s="272" t="s">
        <v>997</v>
      </c>
      <c r="D11" s="272" t="s">
        <v>369</v>
      </c>
      <c r="E11" s="272" t="s">
        <v>999</v>
      </c>
      <c r="F11" s="272" t="s">
        <v>1000</v>
      </c>
      <c r="G11" s="272" t="s">
        <v>1001</v>
      </c>
      <c r="H11" s="272" t="s">
        <v>1002</v>
      </c>
      <c r="I11" s="272" t="s">
        <v>1004</v>
      </c>
      <c r="J11" s="272" t="s">
        <v>362</v>
      </c>
      <c r="K11" s="272" t="s">
        <v>1029</v>
      </c>
      <c r="L11" s="272" t="s">
        <v>1019</v>
      </c>
      <c r="M11" s="273" t="s">
        <v>1038</v>
      </c>
      <c r="N11" s="1064"/>
      <c r="O11" s="168" t="s">
        <v>1007</v>
      </c>
      <c r="P11" s="552" t="s">
        <v>360</v>
      </c>
      <c r="Q11" s="1029"/>
      <c r="R11" s="168" t="s">
        <v>127</v>
      </c>
      <c r="S11" s="552" t="s">
        <v>140</v>
      </c>
      <c r="T11" s="168" t="s">
        <v>141</v>
      </c>
      <c r="U11" s="552" t="s">
        <v>140</v>
      </c>
      <c r="V11" s="168" t="s">
        <v>362</v>
      </c>
      <c r="W11" s="128" t="s">
        <v>362</v>
      </c>
      <c r="X11" s="552" t="s">
        <v>983</v>
      </c>
      <c r="Y11" s="168" t="s">
        <v>1200</v>
      </c>
      <c r="Z11" s="128" t="s">
        <v>1202</v>
      </c>
      <c r="AA11" s="128" t="s">
        <v>1478</v>
      </c>
      <c r="AB11" s="128" t="s">
        <v>1179</v>
      </c>
      <c r="AC11" s="128" t="s">
        <v>1183</v>
      </c>
      <c r="AD11" s="552" t="s">
        <v>1201</v>
      </c>
      <c r="AE11" s="168" t="s">
        <v>1297</v>
      </c>
      <c r="AF11" s="128" t="s">
        <v>1490</v>
      </c>
      <c r="AG11" s="128" t="s">
        <v>1185</v>
      </c>
      <c r="AH11" s="552" t="s">
        <v>1182</v>
      </c>
      <c r="AI11" s="168" t="s">
        <v>1037</v>
      </c>
      <c r="AJ11" s="552" t="s">
        <v>55</v>
      </c>
      <c r="AK11" s="168" t="s">
        <v>1037</v>
      </c>
      <c r="AL11" s="552" t="s">
        <v>55</v>
      </c>
      <c r="AM11" s="1029"/>
      <c r="AN11" s="168" t="s">
        <v>991</v>
      </c>
      <c r="AO11" s="552" t="s">
        <v>992</v>
      </c>
      <c r="AV11" s="381" t="s">
        <v>1298</v>
      </c>
    </row>
    <row r="12" spans="2:48" ht="13.8" x14ac:dyDescent="0.25">
      <c r="B12" s="259" t="str">
        <f>'C-1 Site River Baseline'!AN10</f>
        <v/>
      </c>
      <c r="C12" s="179" t="str">
        <f>IF(B12="","",VLOOKUP($B12,'C-1 Site River Baseline'!$C$9:$R$257,2,FALSE))</f>
        <v/>
      </c>
      <c r="D12" s="179" t="str">
        <f>IF(C12="","",VLOOKUP($B12,'C-1 Site River Baseline'!$C$9:$R$257,3,FALSE))</f>
        <v/>
      </c>
      <c r="E12" s="179" t="str">
        <f>IF(D12="","",VLOOKUP($B12,'C-1 Site River Baseline'!$C$9:$R$257,4,FALSE))</f>
        <v/>
      </c>
      <c r="F12" s="179" t="str">
        <f>IF(E12="","",VLOOKUP($B12,'C-1 Site River Baseline'!$C$9:$R$257,5,FALSE))</f>
        <v/>
      </c>
      <c r="G12" s="179" t="str">
        <f>IF(F12="","",VLOOKUP($B12,'C-1 Site River Baseline'!$C$9:$R$257,6,FALSE))</f>
        <v/>
      </c>
      <c r="H12" s="179" t="str">
        <f>IF(G12="","",VLOOKUP($B12,'C-1 Site River Baseline'!$C$9:$R$257,7,FALSE))</f>
        <v/>
      </c>
      <c r="I12" s="179" t="str">
        <f>IF(H12="","",VLOOKUP($B12,'C-1 Site River Baseline'!$C$9:$R$257,8,FALSE))</f>
        <v/>
      </c>
      <c r="J12" s="179" t="str">
        <f>IF(I12="","",VLOOKUP($B12,'C-1 Site River Baseline'!$C$9:$R$257,9,FALSE))</f>
        <v/>
      </c>
      <c r="K12" s="179" t="str">
        <f>IF(J12="","",VLOOKUP($B12,'C-1 Site River Baseline'!$C$9:$R$257,10,FALSE))</f>
        <v/>
      </c>
      <c r="L12" s="179" t="str">
        <f>IF(B12="","",VLOOKUP($B12,'C-1 Site River Baseline'!$C$9:$R$257,15,FALSE))</f>
        <v/>
      </c>
      <c r="M12" s="172" t="str">
        <f>IF(L12="","",VLOOKUP($B12,'C-1 Site River Baseline'!$C$9:$R$257,16,FALSE))</f>
        <v/>
      </c>
      <c r="N12" s="661" t="str">
        <f t="shared" ref="N12:N76" si="0">C12</f>
        <v/>
      </c>
      <c r="O12" s="171" t="str">
        <f>IF(B12="","",IF(S12&lt;F12,"Error Trading Down",E12&amp;" - "&amp;R12))</f>
        <v/>
      </c>
      <c r="P12" s="172" t="str">
        <f>IF(C12="","",IF(AND(LEFT(C12,55)&lt;&gt;LEFT(N12,55),O12="High - High"),"Error - Not like for like",IF(AND(F12=S12,H12&gt;U12),"Error - Can not reduce condition",IF(AND(F12=S12,H12=U12,AJ12='C-1 Site River Baseline'!N10,'C-1 Site River Baseline'!P10=AL12),"Error - No enhancement",IF(AND(C12&lt;&gt;N12,F12&lt;S12),"Lower Distinctiveness Habitat"&amp;" - "&amp;T12,G12&amp;" - "&amp;T12)))))</f>
        <v/>
      </c>
      <c r="Q12" s="660" t="str">
        <f>IF(N12="","",VLOOKUP(B12,'C-1 Site River Baseline'!$C$10:$AA$257,19,FALSE))</f>
        <v/>
      </c>
      <c r="R12" s="171" t="str">
        <f>IF(N12="","",VLOOKUP(N12,'G-7 Rivers Data'!$B$2:$G$8,2,FALSE))</f>
        <v/>
      </c>
      <c r="S12" s="172" t="str">
        <f>IFERROR(VLOOKUP(R12,'G-7 Rivers Data'!$C$4:$D$8,2,FALSE),"")</f>
        <v/>
      </c>
      <c r="T12" s="173"/>
      <c r="U12" s="172" t="str">
        <f>IFERROR(INDEX('G-7 Rivers Data'!$H$4:$L$8,MATCH(N12,'G-7 Rivers Data'!$B$4:$B$8,0),MATCH(T12,'G-7 Rivers Data'!$H$3:$L$3,0)),"")</f>
        <v/>
      </c>
      <c r="V12" s="173"/>
      <c r="W12" s="179" t="str">
        <f>IF(V12="","",IF(VLOOKUP(V12,'G-7 Rivers Data'!$AG$4:$AI$9,2,FALSE)=0,"Spatial Data Missing",VLOOKUP(V12,'G-7 Rivers Data'!$AG$4:$AI$9,2,FALSE)))</f>
        <v/>
      </c>
      <c r="X12" s="172" t="str">
        <f>IF(V12="","",IF(VLOOKUP(V12,'G-7 Rivers Data'!$AG$4:$AI$9,3,FALSE)=0,"Spatial Data Missing",VLOOKUP(V12,'G-7 Rivers Data'!$AG$4:$AI$9,3,FALSE)))</f>
        <v/>
      </c>
      <c r="Y12" s="171" t="str">
        <f>IFERROR(IF(OR(LEFT(P12,5)="Error",LEFT(O12,5)="Error"),"Check Data",IF(F12&lt;S12,'G-7 Rivers Data'!$R$3,INDEX('G-7 Rivers Data'!$U$5:$Y$9,MATCH(G12,'G-7 Rivers Data'!$T$5:$T$9,0),MATCH(T12,'G-7 Rivers Data'!$U$4:$Y$4,0)))),"")</f>
        <v/>
      </c>
      <c r="Z12" s="261"/>
      <c r="AA12" s="261"/>
      <c r="AB12" s="179" t="str">
        <f>IF(Y12="","",IF(Y12="Check Data","Check Data",IF(AND(Z12&gt;0,AA12&gt;0),"Error -both advance and delayed habitat creation",IF(AND(OR(Z12="Habitat already in target condition",Y12&lt;=Z12),AA12=0),"Check details - Is there evidence that habitat has reached target condition?",IF(Z12&gt;0,"Check details - Is there evidence habitat creation started/in place?",IF(AA12&gt;0,"Check details- Delay in starting habitat in required condition?","Standard time to target condition applied"))))))</f>
        <v/>
      </c>
      <c r="AC12" s="262" t="str">
        <f>IF(LEFT(AB12,5)="Error","Check Data",IF(AB12="Check Data","Check Data",IF(Y12="","",IF(Z12="30+",0,IF(AA12="30+","30+",IF(Y12+AA12&gt;30,"30+",IF(Y12+AA12-Z12&gt;0,Y12+AA12-Z12,IF(Y12-Z12&lt;0,0,Y12+AA12-Z12))))))))</f>
        <v/>
      </c>
      <c r="AD12" s="382" t="str">
        <f>IFERROR(IF(AC12="Check Data","Check Data",VLOOKUP(AC12,'G-4 Temporal multipliers'!$A$4:$C$37,3,FALSE)),"")</f>
        <v/>
      </c>
      <c r="AE12" s="171" t="str">
        <f>IF(N12="","",VLOOKUP(N12,'G-7 Rivers Data'!$B$4:$G$8,5,FALSE))</f>
        <v/>
      </c>
      <c r="AF12" s="179" t="str">
        <f>IF(N12="","",IF(AC12="Check Data","Check Data",IF(T12="","",IF($AB12="Check details - Is there evidence that habitat has reached target condition?","Low Difficulty - only applicable if all habitat created before losses","Standard difficulty applied"))))</f>
        <v/>
      </c>
      <c r="AG12" s="269" t="str">
        <f>(IF(AND(AF12="Standard difficulty applied",Y12&gt;Z12),AE12,IF(AND(AF12="Low Difficulty - only applicable if all habitat created before losses",Z12&gt;=Y12),"Low",AE12)))</f>
        <v/>
      </c>
      <c r="AH12" s="172" t="str">
        <f t="shared" ref="AH12:AH75" si="1">IF(N12="","",VLOOKUP(AE12,Difficulty,2,FALSE))</f>
        <v/>
      </c>
      <c r="AI12" s="186"/>
      <c r="AJ12" s="172" t="str">
        <f>IF(AI12="","",IF(VLOOKUP(AI12,'G-7 Rivers Data'!$AA$4:$AB$7,2,FALSE)=0,"Spatial Data Missing",VLOOKUP(AI12,'G-7 Rivers Data'!$AA$4:$AB$7,2,FALSE)))</f>
        <v/>
      </c>
      <c r="AK12" s="187"/>
      <c r="AL12" s="172" t="str">
        <f>IF(AK12="","",IF(VLOOKUP(AK12,'G-7 Rivers Data'!$AD$4:$AE$8,2,FALSE)=0,"Spatial Data Missing",VLOOKUP(AK12,'G-7 Rivers Data'!$AD$4:$AE$8,2,FALSE)))</f>
        <v/>
      </c>
      <c r="AM12" s="265" t="str">
        <f>IFERROR(IF(C12="","",IF(Q12&gt;D12,((((Q12*S12*U12)-(D12*F12*H12))*(AH12*AD12))+(D12*F12*H12))*(AL12*X12*AJ12),((((Q12*S12*U12)-(Q12*F12*H12))*(AH12*AD12))+(Q12*F12*H12))*(AL12*X12*AJ12))),"")</f>
        <v/>
      </c>
      <c r="AN12" s="180"/>
      <c r="AO12" s="181"/>
      <c r="AV12" s="35" t="str">
        <f>IFERROR(INDEX('G-7 Rivers Data'!$AZ$3:$AZ$7,MATCH(N12,'G-7 Rivers Data'!$AY$3:$AY$7,0)),"")</f>
        <v/>
      </c>
    </row>
    <row r="13" spans="2:48" ht="13.8" x14ac:dyDescent="0.25">
      <c r="B13" s="259" t="str">
        <f>'C-1 Site River Baseline'!AN11</f>
        <v/>
      </c>
      <c r="C13" s="175" t="str">
        <f>IF(B13="","",VLOOKUP($B13,'C-1 Site River Baseline'!$C$9:$R$257,2,FALSE))</f>
        <v/>
      </c>
      <c r="D13" s="175" t="str">
        <f>IF(C13="","",VLOOKUP($B13,'C-1 Site River Baseline'!$C$9:$R$257,3,FALSE))</f>
        <v/>
      </c>
      <c r="E13" s="175" t="str">
        <f>IF(D13="","",VLOOKUP($B13,'C-1 Site River Baseline'!$C$9:$R$257,4,FALSE))</f>
        <v/>
      </c>
      <c r="F13" s="175" t="str">
        <f>IF(E13="","",VLOOKUP($B13,'C-1 Site River Baseline'!$C$9:$R$257,5,FALSE))</f>
        <v/>
      </c>
      <c r="G13" s="175" t="str">
        <f>IF(F13="","",VLOOKUP($B13,'C-1 Site River Baseline'!$C$9:$R$257,6,FALSE))</f>
        <v/>
      </c>
      <c r="H13" s="175" t="str">
        <f>IF(G13="","",VLOOKUP($B13,'C-1 Site River Baseline'!$C$9:$R$257,7,FALSE))</f>
        <v/>
      </c>
      <c r="I13" s="175" t="str">
        <f>IF(H13="","",VLOOKUP($B13,'C-1 Site River Baseline'!$C$9:$R$257,8,FALSE))</f>
        <v/>
      </c>
      <c r="J13" s="175" t="str">
        <f>IF(I13="","",VLOOKUP($B13,'C-1 Site River Baseline'!$C$9:$R$257,9,FALSE))</f>
        <v/>
      </c>
      <c r="K13" s="175" t="str">
        <f>IF(J13="","",VLOOKUP($B13,'C-1 Site River Baseline'!$C$9:$R$257,10,FALSE))</f>
        <v/>
      </c>
      <c r="L13" s="175" t="str">
        <f>IF(B13="","",VLOOKUP($B13,'C-1 Site River Baseline'!$C$9:$R$257,15,FALSE))</f>
        <v/>
      </c>
      <c r="M13" s="176" t="str">
        <f>IF(L13="","",VLOOKUP($B13,'C-1 Site River Baseline'!$C$9:$R$257,16,FALSE))</f>
        <v/>
      </c>
      <c r="N13" s="661" t="str">
        <f t="shared" si="0"/>
        <v/>
      </c>
      <c r="O13" s="239" t="str">
        <f t="shared" ref="O13:O76" si="2">IF(B13="","",IF(S13&lt;F13,"Error Trading Down",E13&amp;" - "&amp;R13))</f>
        <v/>
      </c>
      <c r="P13" s="172" t="str">
        <f>IF(C13="","",IF(AND(LEFT(C13,55)&lt;&gt;LEFT(N13,55),O13="High - High"),"Error - Not like for like",IF(AND(F13=S13,H13&gt;U13),"Error - Can not reduce condition",IF(AND(F13=S13,H13=U13,AJ13='C-1 Site River Baseline'!N11,'C-1 Site River Baseline'!P11=AL13),"Error - No enhancement",IF(AND(C13&lt;&gt;N13,F13&lt;S13),"Lower Distinctiveness Habitat"&amp;" - "&amp;T13,G13&amp;" - "&amp;T13)))))</f>
        <v/>
      </c>
      <c r="Q13" s="660" t="str">
        <f>IF(N13="","",VLOOKUP(B13,'C-1 Site River Baseline'!$C$10:$AA$257,19,FALSE))</f>
        <v/>
      </c>
      <c r="R13" s="171" t="str">
        <f>IF(N13="","",VLOOKUP(N13,'G-7 Rivers Data'!$B$2:$G$8,2,FALSE))</f>
        <v/>
      </c>
      <c r="S13" s="172" t="str">
        <f>IFERROR(VLOOKUP(R13,'G-7 Rivers Data'!$C$4:$D$8,2,FALSE),"")</f>
        <v/>
      </c>
      <c r="T13" s="173"/>
      <c r="U13" s="172" t="str">
        <f>IFERROR(INDEX('G-7 Rivers Data'!$H$4:$L$8,MATCH(N13,'G-7 Rivers Data'!$B$4:$B$8,0),MATCH(T13,'G-7 Rivers Data'!$H$3:$L$3,0)),"")</f>
        <v/>
      </c>
      <c r="V13" s="186"/>
      <c r="W13" s="175" t="str">
        <f>IF(V13="","",IF(VLOOKUP(V13,'G-7 Rivers Data'!$AG$4:$AI$9,2,FALSE)=0,"Spatial Data Missing",VLOOKUP(V13,'G-7 Rivers Data'!$AG$4:$AI$9,2,FALSE)))</f>
        <v/>
      </c>
      <c r="X13" s="176" t="str">
        <f>IF(V13="","",IF(VLOOKUP(V13,'G-7 Rivers Data'!$AG$4:$AI$9,3,FALSE)=0,"Spatial Data Missing",VLOOKUP(V13,'G-7 Rivers Data'!$AG$4:$AI$9,3,FALSE)))</f>
        <v/>
      </c>
      <c r="Y13" s="171" t="str">
        <f>IFERROR(IF(OR(LEFT(P13,5)="Error",LEFT(O13,5)="Error"),"Check Data",IF(F13&lt;S13,'G-7 Rivers Data'!$R$3,INDEX('G-7 Rivers Data'!$U$5:$Y$9,MATCH(G13,'G-7 Rivers Data'!$T$5:$T$9,0),MATCH(T13,'G-7 Rivers Data'!$U$4:$Y$4,0)))),"")</f>
        <v/>
      </c>
      <c r="Z13" s="261"/>
      <c r="AA13" s="261"/>
      <c r="AB13" s="179" t="str">
        <f t="shared" ref="AB13:AB76" si="3">IF(Y13="","",IF(Y13="Check Data","Check Data",IF(AND(Z13&gt;0,AA13&gt;0),"Error -both advance and delayed habitat creation",IF(AND(OR(Z13="Habitat already in target condition",Y13&lt;=Z13),AA13=0),"Check details - Is there evidence that habitat has reached target condition?",IF(Z13&gt;0,"Check details - Is there evidence habitat creation started/in place?",IF(AA13&gt;0,"Check details- Delay in starting habitat in required condition?","Standard time to target condition applied"))))))</f>
        <v/>
      </c>
      <c r="AC13" s="262" t="str">
        <f t="shared" ref="AC13:AC76" si="4">IF(LEFT(AB13,5)="Error","Check Data",IF(AB13="Check Data","Check Data",IF(Y13="","",IF(Z13="30+",0,IF(AA13="30+","30+",IF(Y13+AA13&gt;30,"30+",IF(Y13+AA13-Z13&gt;0,Y13+AA13-Z13,IF(Y13-Z13&lt;0,0,Y13+AA13-Z13))))))))</f>
        <v/>
      </c>
      <c r="AD13" s="382" t="str">
        <f>IFERROR(IF(AC13="Check Data","Check Data",VLOOKUP(AC13,'G-4 Temporal multipliers'!$A$4:$C$37,3,FALSE)),"")</f>
        <v/>
      </c>
      <c r="AE13" s="171" t="str">
        <f>IF(N13="","",VLOOKUP(N13,'G-7 Rivers Data'!$B$4:$G$8,5,FALSE))</f>
        <v/>
      </c>
      <c r="AF13" s="179" t="str">
        <f t="shared" ref="AF13:AF76" si="5">IF(N13="","",IF(AC13="Check Data","Check Data",IF(T13="","",IF($AB13="Check details - Is there evidence that habitat has reached target condition?","Low Difficulty - only applicable if all habitat created before losses","Standard difficulty applied"))))</f>
        <v/>
      </c>
      <c r="AG13" s="269" t="str">
        <f t="shared" ref="AG13:AG76" si="6">(IF(AND(AF13="Standard difficulty applied",Y13&gt;Z13),AE13,IF(AND(AF13="Low Difficulty - only applicable if all habitat created before losses",Z13&gt;=Y13),"Low",AE13)))</f>
        <v/>
      </c>
      <c r="AH13" s="172" t="str">
        <f t="shared" si="1"/>
        <v/>
      </c>
      <c r="AI13" s="173"/>
      <c r="AJ13" s="172" t="str">
        <f>IF(AI13="","",IF(VLOOKUP(AI13,'G-7 Rivers Data'!$AA$4:$AB$7,2,FALSE)=0,"Spatial Data Missing",VLOOKUP(AI13,'G-7 Rivers Data'!$AA$4:$AB$7,2,FALSE)))</f>
        <v/>
      </c>
      <c r="AK13" s="187"/>
      <c r="AL13" s="172" t="str">
        <f>IF(AK13="","",IF(VLOOKUP(AK13,'G-7 Rivers Data'!$AD$4:$AE$8,2,FALSE)=0,"Spatial Data Missing",VLOOKUP(AK13,'G-7 Rivers Data'!$AD$4:$AE$8,2,FALSE)))</f>
        <v/>
      </c>
      <c r="AM13" s="265" t="str">
        <f>IFERROR(IF(C13="","",IF(Q13&gt;D13,((((Q13*S13*U13)-(D13*F13*H13))*(AH13*AD13))+(D13*F13*H13))*(AL13*X13*AJ13),((((Q13*S13*U13)-(Q13*F13*H13))*(AH13*AD13))+(Q13*F13*H13))*(AL13*X13*AJ13))),"")</f>
        <v/>
      </c>
      <c r="AN13" s="180"/>
      <c r="AO13" s="181"/>
      <c r="AV13" s="35" t="str">
        <f>IFERROR(INDEX('G-7 Rivers Data'!$AZ$3:$AZ$7,MATCH(N13,'G-7 Rivers Data'!$AY$3:$AY$7,0)),"")</f>
        <v/>
      </c>
    </row>
    <row r="14" spans="2:48" ht="13.8" x14ac:dyDescent="0.25">
      <c r="B14" s="259" t="str">
        <f>'C-1 Site River Baseline'!AN12</f>
        <v/>
      </c>
      <c r="C14" s="175" t="str">
        <f>IF(B14="","",VLOOKUP($B14,'C-1 Site River Baseline'!$C$9:$R$257,2,FALSE))</f>
        <v/>
      </c>
      <c r="D14" s="175" t="str">
        <f>IF(C14="","",VLOOKUP($B14,'C-1 Site River Baseline'!$C$9:$R$257,3,FALSE))</f>
        <v/>
      </c>
      <c r="E14" s="175" t="str">
        <f>IF(D14="","",VLOOKUP($B14,'C-1 Site River Baseline'!$C$9:$R$257,4,FALSE))</f>
        <v/>
      </c>
      <c r="F14" s="175" t="str">
        <f>IF(E14="","",VLOOKUP($B14,'C-1 Site River Baseline'!$C$9:$R$257,5,FALSE))</f>
        <v/>
      </c>
      <c r="G14" s="175" t="str">
        <f>IF(F14="","",VLOOKUP($B14,'C-1 Site River Baseline'!$C$9:$R$257,6,FALSE))</f>
        <v/>
      </c>
      <c r="H14" s="175" t="str">
        <f>IF(G14="","",VLOOKUP($B14,'C-1 Site River Baseline'!$C$9:$R$257,7,FALSE))</f>
        <v/>
      </c>
      <c r="I14" s="175" t="str">
        <f>IF(H14="","",VLOOKUP($B14,'C-1 Site River Baseline'!$C$9:$R$257,8,FALSE))</f>
        <v/>
      </c>
      <c r="J14" s="175" t="str">
        <f>IF(I14="","",VLOOKUP($B14,'C-1 Site River Baseline'!$C$9:$R$257,9,FALSE))</f>
        <v/>
      </c>
      <c r="K14" s="175" t="str">
        <f>IF(J14="","",VLOOKUP($B14,'C-1 Site River Baseline'!$C$9:$R$257,10,FALSE))</f>
        <v/>
      </c>
      <c r="L14" s="175" t="str">
        <f>IF(B14="","",VLOOKUP($B14,'C-1 Site River Baseline'!$C$9:$R$257,15,FALSE))</f>
        <v/>
      </c>
      <c r="M14" s="176" t="str">
        <f>IF(L14="","",VLOOKUP($B14,'C-1 Site River Baseline'!$C$9:$R$257,16,FALSE))</f>
        <v/>
      </c>
      <c r="N14" s="661" t="str">
        <f t="shared" si="0"/>
        <v/>
      </c>
      <c r="O14" s="239" t="str">
        <f t="shared" si="2"/>
        <v/>
      </c>
      <c r="P14" s="172" t="str">
        <f>IF(C14="","",IF(AND(LEFT(C14,55)&lt;&gt;LEFT(N14,55),O14="High - High"),"Error - Not like for like",IF(AND(F14=S14,H14&gt;U14),"Error - Can not reduce condition",IF(AND(F14=S14,H14=U14,AJ14='C-1 Site River Baseline'!N12,'C-1 Site River Baseline'!P12=AL14),"Error - No enhancement",IF(AND(C14&lt;&gt;N14,F14&lt;S14),"Lower Distinctiveness Habitat"&amp;" - "&amp;T14,G14&amp;" - "&amp;T14)))))</f>
        <v/>
      </c>
      <c r="Q14" s="660" t="str">
        <f>IF(N14="","",VLOOKUP(B14,'C-1 Site River Baseline'!$C$10:$AA$257,19,FALSE))</f>
        <v/>
      </c>
      <c r="R14" s="171" t="str">
        <f>IF(N14="","",VLOOKUP(N14,'G-7 Rivers Data'!$B$2:$G$8,2,FALSE))</f>
        <v/>
      </c>
      <c r="S14" s="172" t="str">
        <f>IFERROR(VLOOKUP(R14,'G-7 Rivers Data'!$C$4:$D$8,2,FALSE),"")</f>
        <v/>
      </c>
      <c r="T14" s="173"/>
      <c r="U14" s="172" t="str">
        <f>IFERROR(INDEX('G-7 Rivers Data'!$H$4:$L$8,MATCH(N14,'G-7 Rivers Data'!$B$4:$B$8,0),MATCH(T14,'G-7 Rivers Data'!$H$3:$L$3,0)),"")</f>
        <v/>
      </c>
      <c r="V14" s="186"/>
      <c r="W14" s="175" t="str">
        <f>IF(V14="","",IF(VLOOKUP(V14,'G-7 Rivers Data'!$AG$4:$AI$9,2,FALSE)=0,"Spatial Data Missing",VLOOKUP(V14,'G-7 Rivers Data'!$AG$4:$AI$9,2,FALSE)))</f>
        <v/>
      </c>
      <c r="X14" s="176" t="str">
        <f>IF(V14="","",IF(VLOOKUP(V14,'G-7 Rivers Data'!$AG$4:$AI$9,3,FALSE)=0,"Spatial Data Missing",VLOOKUP(V14,'G-7 Rivers Data'!$AG$4:$AI$9,3,FALSE)))</f>
        <v/>
      </c>
      <c r="Y14" s="171" t="str">
        <f>IFERROR(IF(OR(LEFT(P14,5)="Error",LEFT(O14,5)="Error"),"Check Data",IF(F14&lt;S14,'G-7 Rivers Data'!$R$3,INDEX('G-7 Rivers Data'!$U$5:$Y$9,MATCH(G14,'G-7 Rivers Data'!$T$5:$T$9,0),MATCH(T14,'G-7 Rivers Data'!$U$4:$Y$4,0)))),"")</f>
        <v/>
      </c>
      <c r="Z14" s="261"/>
      <c r="AA14" s="261"/>
      <c r="AB14" s="179" t="str">
        <f t="shared" si="3"/>
        <v/>
      </c>
      <c r="AC14" s="262" t="str">
        <f t="shared" si="4"/>
        <v/>
      </c>
      <c r="AD14" s="382" t="str">
        <f>IFERROR(IF(AC14="Check Data","Check Data",VLOOKUP(AC14,'G-4 Temporal multipliers'!$A$4:$C$37,3,FALSE)),"")</f>
        <v/>
      </c>
      <c r="AE14" s="171" t="str">
        <f>IF(N14="","",VLOOKUP(N14,'G-7 Rivers Data'!$B$4:$G$8,5,FALSE))</f>
        <v/>
      </c>
      <c r="AF14" s="179" t="str">
        <f t="shared" si="5"/>
        <v/>
      </c>
      <c r="AG14" s="269" t="str">
        <f t="shared" si="6"/>
        <v/>
      </c>
      <c r="AH14" s="172" t="str">
        <f t="shared" si="1"/>
        <v/>
      </c>
      <c r="AI14" s="173"/>
      <c r="AJ14" s="172" t="str">
        <f>IF(AI14="","",IF(VLOOKUP(AI14,'G-7 Rivers Data'!$AA$4:$AB$7,2,FALSE)=0,"Spatial Data Missing",VLOOKUP(AI14,'G-7 Rivers Data'!$AA$4:$AB$7,2,FALSE)))</f>
        <v/>
      </c>
      <c r="AK14" s="187"/>
      <c r="AL14" s="172" t="str">
        <f>IF(AK14="","",IF(VLOOKUP(AK14,'G-7 Rivers Data'!$AD$4:$AE$8,2,FALSE)=0,"Spatial Data Missing",VLOOKUP(AK14,'G-7 Rivers Data'!$AD$4:$AE$8,2,FALSE)))</f>
        <v/>
      </c>
      <c r="AM14" s="265" t="str">
        <f t="shared" ref="AM14:AM77" si="7">IFERROR(IF(C14="","",IF(Q14&gt;D14,((((Q14*S14*U14)-(D14*F14*H14))*(AH14*AD14))+(D14*F14*H14))*(AL14*X14*AJ14),((((Q14*S14*U14)-(Q14*F14*H14))*(AH14*AD14))+(Q14*F14*H14))*(AL14*X14*AJ14))),"")</f>
        <v/>
      </c>
      <c r="AN14" s="180"/>
      <c r="AO14" s="181"/>
      <c r="AV14" s="35" t="str">
        <f>IFERROR(INDEX('G-7 Rivers Data'!$AZ$3:$AZ$7,MATCH(N14,'G-7 Rivers Data'!$AY$3:$AY$7,0)),"")</f>
        <v/>
      </c>
    </row>
    <row r="15" spans="2:48" ht="13.8" x14ac:dyDescent="0.25">
      <c r="B15" s="259" t="str">
        <f>'C-1 Site River Baseline'!AN13</f>
        <v/>
      </c>
      <c r="C15" s="175" t="str">
        <f>IF(B15="","",VLOOKUP($B15,'C-1 Site River Baseline'!$C$9:$R$257,2,FALSE))</f>
        <v/>
      </c>
      <c r="D15" s="175" t="str">
        <f>IF(C15="","",VLOOKUP($B15,'C-1 Site River Baseline'!$C$9:$R$257,3,FALSE))</f>
        <v/>
      </c>
      <c r="E15" s="175" t="str">
        <f>IF(D15="","",VLOOKUP($B15,'C-1 Site River Baseline'!$C$9:$R$257,4,FALSE))</f>
        <v/>
      </c>
      <c r="F15" s="175" t="str">
        <f>IF(E15="","",VLOOKUP($B15,'C-1 Site River Baseline'!$C$9:$R$257,5,FALSE))</f>
        <v/>
      </c>
      <c r="G15" s="175" t="str">
        <f>IF(F15="","",VLOOKUP($B15,'C-1 Site River Baseline'!$C$9:$R$257,6,FALSE))</f>
        <v/>
      </c>
      <c r="H15" s="175" t="str">
        <f>IF(G15="","",VLOOKUP($B15,'C-1 Site River Baseline'!$C$9:$R$257,7,FALSE))</f>
        <v/>
      </c>
      <c r="I15" s="175" t="str">
        <f>IF(H15="","",VLOOKUP($B15,'C-1 Site River Baseline'!$C$9:$R$257,8,FALSE))</f>
        <v/>
      </c>
      <c r="J15" s="175" t="str">
        <f>IF(I15="","",VLOOKUP($B15,'C-1 Site River Baseline'!$C$9:$R$257,9,FALSE))</f>
        <v/>
      </c>
      <c r="K15" s="175" t="str">
        <f>IF(J15="","",VLOOKUP($B15,'C-1 Site River Baseline'!$C$9:$R$257,10,FALSE))</f>
        <v/>
      </c>
      <c r="L15" s="175" t="str">
        <f>IF(B15="","",VLOOKUP($B15,'C-1 Site River Baseline'!$C$9:$R$257,15,FALSE))</f>
        <v/>
      </c>
      <c r="M15" s="176" t="str">
        <f>IF(L15="","",VLOOKUP($B15,'C-1 Site River Baseline'!$C$9:$R$257,16,FALSE))</f>
        <v/>
      </c>
      <c r="N15" s="661" t="str">
        <f t="shared" si="0"/>
        <v/>
      </c>
      <c r="O15" s="239" t="str">
        <f t="shared" si="2"/>
        <v/>
      </c>
      <c r="P15" s="172" t="str">
        <f>IF(C15="","",IF(AND(LEFT(C15,55)&lt;&gt;LEFT(N15,55),O15="High - High"),"Error - Not like for like",IF(AND(F15=S15,H15&gt;U15),"Error - Can not reduce condition",IF(AND(F15=S15,H15=U15,AJ15='C-1 Site River Baseline'!N13,'C-1 Site River Baseline'!P13=AL15),"Error - No enhancement",IF(AND(C15&lt;&gt;N15,F15&lt;S15),"Lower Distinctiveness Habitat"&amp;" - "&amp;T15,G15&amp;" - "&amp;T15)))))</f>
        <v/>
      </c>
      <c r="Q15" s="660" t="str">
        <f>IF(N15="","",VLOOKUP(B15,'C-1 Site River Baseline'!$C$10:$AA$257,19,FALSE))</f>
        <v/>
      </c>
      <c r="R15" s="171" t="str">
        <f>IF(N15="","",VLOOKUP(N15,'G-7 Rivers Data'!$B$2:$G$8,2,FALSE))</f>
        <v/>
      </c>
      <c r="S15" s="172" t="str">
        <f>IFERROR(VLOOKUP(R15,'G-7 Rivers Data'!$C$4:$D$8,2,FALSE),"")</f>
        <v/>
      </c>
      <c r="T15" s="173"/>
      <c r="U15" s="172" t="str">
        <f>IFERROR(INDEX('G-7 Rivers Data'!$H$4:$L$8,MATCH(N15,'G-7 Rivers Data'!$B$4:$B$8,0),MATCH(T15,'G-7 Rivers Data'!$H$3:$L$3,0)),"")</f>
        <v/>
      </c>
      <c r="V15" s="186"/>
      <c r="W15" s="175" t="str">
        <f>IF(V15="","",IF(VLOOKUP(V15,'G-7 Rivers Data'!$AG$4:$AI$9,2,FALSE)=0,"Spatial Data Missing",VLOOKUP(V15,'G-7 Rivers Data'!$AG$4:$AI$9,2,FALSE)))</f>
        <v/>
      </c>
      <c r="X15" s="176" t="str">
        <f>IF(V15="","",IF(VLOOKUP(V15,'G-7 Rivers Data'!$AG$4:$AI$9,3,FALSE)=0,"Spatial Data Missing",VLOOKUP(V15,'G-7 Rivers Data'!$AG$4:$AI$9,3,FALSE)))</f>
        <v/>
      </c>
      <c r="Y15" s="171" t="str">
        <f>IFERROR(IF(OR(LEFT(P15,5)="Error",LEFT(O15,5)="Error"),"Check Data",IF(F15&lt;S15,'G-7 Rivers Data'!$R$3,INDEX('G-7 Rivers Data'!$U$5:$Y$9,MATCH(G15,'G-7 Rivers Data'!$T$5:$T$9,0),MATCH(T15,'G-7 Rivers Data'!$U$4:$Y$4,0)))),"")</f>
        <v/>
      </c>
      <c r="Z15" s="261"/>
      <c r="AA15" s="261"/>
      <c r="AB15" s="179" t="str">
        <f t="shared" si="3"/>
        <v/>
      </c>
      <c r="AC15" s="262" t="str">
        <f t="shared" si="4"/>
        <v/>
      </c>
      <c r="AD15" s="382" t="str">
        <f>IFERROR(IF(AC15="Check Data","Check Data",VLOOKUP(AC15,'G-4 Temporal multipliers'!$A$4:$C$37,3,FALSE)),"")</f>
        <v/>
      </c>
      <c r="AE15" s="171" t="str">
        <f>IF(N15="","",VLOOKUP(N15,'G-7 Rivers Data'!$B$4:$G$8,5,FALSE))</f>
        <v/>
      </c>
      <c r="AF15" s="179" t="str">
        <f t="shared" si="5"/>
        <v/>
      </c>
      <c r="AG15" s="269" t="str">
        <f t="shared" si="6"/>
        <v/>
      </c>
      <c r="AH15" s="172" t="str">
        <f t="shared" si="1"/>
        <v/>
      </c>
      <c r="AI15" s="173"/>
      <c r="AJ15" s="172" t="str">
        <f>IF(AI15="","",IF(VLOOKUP(AI15,'G-7 Rivers Data'!$AA$4:$AB$7,2,FALSE)=0,"Spatial Data Missing",VLOOKUP(AI15,'G-7 Rivers Data'!$AA$4:$AB$7,2,FALSE)))</f>
        <v/>
      </c>
      <c r="AK15" s="187"/>
      <c r="AL15" s="172" t="str">
        <f>IF(AK15="","",IF(VLOOKUP(AK15,'G-7 Rivers Data'!$AD$4:$AE$8,2,FALSE)=0,"Spatial Data Missing",VLOOKUP(AK15,'G-7 Rivers Data'!$AD$4:$AE$8,2,FALSE)))</f>
        <v/>
      </c>
      <c r="AM15" s="265" t="str">
        <f t="shared" si="7"/>
        <v/>
      </c>
      <c r="AN15" s="180"/>
      <c r="AO15" s="181"/>
      <c r="AV15" s="35" t="str">
        <f>IFERROR(INDEX('G-7 Rivers Data'!$AZ$3:$AZ$7,MATCH(N15,'G-7 Rivers Data'!$AY$3:$AY$7,0)),"")</f>
        <v/>
      </c>
    </row>
    <row r="16" spans="2:48" ht="13.8" x14ac:dyDescent="0.25">
      <c r="B16" s="259" t="str">
        <f>'C-1 Site River Baseline'!AN14</f>
        <v/>
      </c>
      <c r="C16" s="175" t="str">
        <f>IF(B16="","",VLOOKUP($B16,'C-1 Site River Baseline'!$C$9:$R$257,2,FALSE))</f>
        <v/>
      </c>
      <c r="D16" s="175" t="str">
        <f>IF(C16="","",VLOOKUP($B16,'C-1 Site River Baseline'!$C$9:$R$257,3,FALSE))</f>
        <v/>
      </c>
      <c r="E16" s="175" t="str">
        <f>IF(D16="","",VLOOKUP($B16,'C-1 Site River Baseline'!$C$9:$R$257,4,FALSE))</f>
        <v/>
      </c>
      <c r="F16" s="175" t="str">
        <f>IF(E16="","",VLOOKUP($B16,'C-1 Site River Baseline'!$C$9:$R$257,5,FALSE))</f>
        <v/>
      </c>
      <c r="G16" s="175" t="str">
        <f>IF(F16="","",VLOOKUP($B16,'C-1 Site River Baseline'!$C$9:$R$257,6,FALSE))</f>
        <v/>
      </c>
      <c r="H16" s="175" t="str">
        <f>IF(G16="","",VLOOKUP($B16,'C-1 Site River Baseline'!$C$9:$R$257,7,FALSE))</f>
        <v/>
      </c>
      <c r="I16" s="175" t="str">
        <f>IF(H16="","",VLOOKUP($B16,'C-1 Site River Baseline'!$C$9:$R$257,8,FALSE))</f>
        <v/>
      </c>
      <c r="J16" s="175" t="str">
        <f>IF(I16="","",VLOOKUP($B16,'C-1 Site River Baseline'!$C$9:$R$257,9,FALSE))</f>
        <v/>
      </c>
      <c r="K16" s="175" t="str">
        <f>IF(J16="","",VLOOKUP($B16,'C-1 Site River Baseline'!$C$9:$R$257,10,FALSE))</f>
        <v/>
      </c>
      <c r="L16" s="175" t="str">
        <f>IF(B16="","",VLOOKUP($B16,'C-1 Site River Baseline'!$C$9:$R$257,15,FALSE))</f>
        <v/>
      </c>
      <c r="M16" s="176" t="str">
        <f>IF(L16="","",VLOOKUP($B16,'C-1 Site River Baseline'!$C$9:$R$257,16,FALSE))</f>
        <v/>
      </c>
      <c r="N16" s="661" t="str">
        <f t="shared" si="0"/>
        <v/>
      </c>
      <c r="O16" s="239" t="str">
        <f t="shared" si="2"/>
        <v/>
      </c>
      <c r="P16" s="172" t="str">
        <f>IF(C16="","",IF(AND(LEFT(C16,55)&lt;&gt;LEFT(N16,55),O16="High - High"),"Error - Not like for like",IF(AND(F16=S16,H16&gt;U16),"Error - Can not reduce condition",IF(AND(F16=S16,H16=U16,AJ16='C-1 Site River Baseline'!N14,'C-1 Site River Baseline'!P14=AL16),"Error - No enhancement",IF(AND(C16&lt;&gt;N16,F16&lt;S16),"Lower Distinctiveness Habitat"&amp;" - "&amp;T16,G16&amp;" - "&amp;T16)))))</f>
        <v/>
      </c>
      <c r="Q16" s="660" t="str">
        <f>IF(N16="","",VLOOKUP(B16,'C-1 Site River Baseline'!$C$10:$AA$257,19,FALSE))</f>
        <v/>
      </c>
      <c r="R16" s="171" t="str">
        <f>IF(N16="","",VLOOKUP(N16,'G-7 Rivers Data'!$B$2:$G$8,2,FALSE))</f>
        <v/>
      </c>
      <c r="S16" s="172" t="str">
        <f>IFERROR(VLOOKUP(R16,'G-7 Rivers Data'!$C$4:$D$8,2,FALSE),"")</f>
        <v/>
      </c>
      <c r="T16" s="173"/>
      <c r="U16" s="172" t="str">
        <f>IFERROR(INDEX('G-7 Rivers Data'!$H$4:$L$8,MATCH(N16,'G-7 Rivers Data'!$B$4:$B$8,0),MATCH(T16,'G-7 Rivers Data'!$H$3:$L$3,0)),"")</f>
        <v/>
      </c>
      <c r="V16" s="186"/>
      <c r="W16" s="175" t="str">
        <f>IF(V16="","",IF(VLOOKUP(V16,'G-7 Rivers Data'!$AG$4:$AI$9,2,FALSE)=0,"Spatial Data Missing",VLOOKUP(V16,'G-7 Rivers Data'!$AG$4:$AI$9,2,FALSE)))</f>
        <v/>
      </c>
      <c r="X16" s="176" t="str">
        <f>IF(V16="","",IF(VLOOKUP(V16,'G-7 Rivers Data'!$AG$4:$AI$9,3,FALSE)=0,"Spatial Data Missing",VLOOKUP(V16,'G-7 Rivers Data'!$AG$4:$AI$9,3,FALSE)))</f>
        <v/>
      </c>
      <c r="Y16" s="171" t="str">
        <f>IFERROR(IF(OR(LEFT(P16,5)="Error",LEFT(O16,5)="Error"),"Check Data",IF(F16&lt;S16,'G-7 Rivers Data'!$R$3,INDEX('G-7 Rivers Data'!$U$5:$Y$9,MATCH(G16,'G-7 Rivers Data'!$T$5:$T$9,0),MATCH(T16,'G-7 Rivers Data'!$U$4:$Y$4,0)))),"")</f>
        <v/>
      </c>
      <c r="Z16" s="261"/>
      <c r="AA16" s="261"/>
      <c r="AB16" s="179" t="str">
        <f t="shared" si="3"/>
        <v/>
      </c>
      <c r="AC16" s="262" t="str">
        <f t="shared" si="4"/>
        <v/>
      </c>
      <c r="AD16" s="382" t="str">
        <f>IFERROR(IF(AC16="Check Data","Check Data",VLOOKUP(AC16,'G-4 Temporal multipliers'!$A$4:$C$37,3,FALSE)),"")</f>
        <v/>
      </c>
      <c r="AE16" s="171" t="str">
        <f>IF(N16="","",VLOOKUP(N16,'G-7 Rivers Data'!$B$4:$G$8,5,FALSE))</f>
        <v/>
      </c>
      <c r="AF16" s="179" t="str">
        <f t="shared" si="5"/>
        <v/>
      </c>
      <c r="AG16" s="269" t="str">
        <f t="shared" si="6"/>
        <v/>
      </c>
      <c r="AH16" s="172" t="str">
        <f t="shared" si="1"/>
        <v/>
      </c>
      <c r="AI16" s="173"/>
      <c r="AJ16" s="172" t="str">
        <f>IF(AI16="","",IF(VLOOKUP(AI16,'G-7 Rivers Data'!$AA$4:$AB$7,2,FALSE)=0,"Spatial Data Missing",VLOOKUP(AI16,'G-7 Rivers Data'!$AA$4:$AB$7,2,FALSE)))</f>
        <v/>
      </c>
      <c r="AK16" s="187"/>
      <c r="AL16" s="172" t="str">
        <f>IF(AK16="","",IF(VLOOKUP(AK16,'G-7 Rivers Data'!$AD$4:$AE$8,2,FALSE)=0,"Spatial Data Missing",VLOOKUP(AK16,'G-7 Rivers Data'!$AD$4:$AE$8,2,FALSE)))</f>
        <v/>
      </c>
      <c r="AM16" s="265" t="str">
        <f t="shared" si="7"/>
        <v/>
      </c>
      <c r="AN16" s="180"/>
      <c r="AO16" s="181"/>
      <c r="AV16" s="35" t="str">
        <f>IFERROR(INDEX('G-7 Rivers Data'!$AZ$3:$AZ$7,MATCH(N16,'G-7 Rivers Data'!$AY$3:$AY$7,0)),"")</f>
        <v/>
      </c>
    </row>
    <row r="17" spans="2:48" ht="13.8" x14ac:dyDescent="0.25">
      <c r="B17" s="259" t="str">
        <f>'C-1 Site River Baseline'!AN15</f>
        <v/>
      </c>
      <c r="C17" s="175" t="str">
        <f>IF(B17="","",VLOOKUP($B17,'C-1 Site River Baseline'!$C$9:$R$257,2,FALSE))</f>
        <v/>
      </c>
      <c r="D17" s="175" t="str">
        <f>IF(C17="","",VLOOKUP($B17,'C-1 Site River Baseline'!$C$9:$R$257,3,FALSE))</f>
        <v/>
      </c>
      <c r="E17" s="175" t="str">
        <f>IF(D17="","",VLOOKUP($B17,'C-1 Site River Baseline'!$C$9:$R$257,4,FALSE))</f>
        <v/>
      </c>
      <c r="F17" s="175" t="str">
        <f>IF(E17="","",VLOOKUP($B17,'C-1 Site River Baseline'!$C$9:$R$257,5,FALSE))</f>
        <v/>
      </c>
      <c r="G17" s="175" t="str">
        <f>IF(F17="","",VLOOKUP($B17,'C-1 Site River Baseline'!$C$9:$R$257,6,FALSE))</f>
        <v/>
      </c>
      <c r="H17" s="175" t="str">
        <f>IF(G17="","",VLOOKUP($B17,'C-1 Site River Baseline'!$C$9:$R$257,7,FALSE))</f>
        <v/>
      </c>
      <c r="I17" s="175" t="str">
        <f>IF(H17="","",VLOOKUP($B17,'C-1 Site River Baseline'!$C$9:$R$257,8,FALSE))</f>
        <v/>
      </c>
      <c r="J17" s="175" t="str">
        <f>IF(I17="","",VLOOKUP($B17,'C-1 Site River Baseline'!$C$9:$R$257,9,FALSE))</f>
        <v/>
      </c>
      <c r="K17" s="175" t="str">
        <f>IF(J17="","",VLOOKUP($B17,'C-1 Site River Baseline'!$C$9:$R$257,10,FALSE))</f>
        <v/>
      </c>
      <c r="L17" s="175" t="str">
        <f>IF(B17="","",VLOOKUP($B17,'C-1 Site River Baseline'!$C$9:$R$257,15,FALSE))</f>
        <v/>
      </c>
      <c r="M17" s="176" t="str">
        <f>IF(L17="","",VLOOKUP($B17,'C-1 Site River Baseline'!$C$9:$R$257,16,FALSE))</f>
        <v/>
      </c>
      <c r="N17" s="661" t="str">
        <f t="shared" si="0"/>
        <v/>
      </c>
      <c r="O17" s="239" t="str">
        <f t="shared" si="2"/>
        <v/>
      </c>
      <c r="P17" s="172" t="str">
        <f>IF(C17="","",IF(AND(LEFT(C17,55)&lt;&gt;LEFT(N17,55),O17="High - High"),"Error - Not like for like",IF(AND(F17=S17,H17&gt;U17),"Error - Can not reduce condition",IF(AND(F17=S17,H17=U17,AJ17='C-1 Site River Baseline'!N15,'C-1 Site River Baseline'!P15=AL17),"Error - No enhancement",IF(AND(C17&lt;&gt;N17,F17&lt;S17),"Lower Distinctiveness Habitat"&amp;" - "&amp;T17,G17&amp;" - "&amp;T17)))))</f>
        <v/>
      </c>
      <c r="Q17" s="660" t="str">
        <f>IF(N17="","",VLOOKUP(B17,'C-1 Site River Baseline'!$C$10:$AA$257,19,FALSE))</f>
        <v/>
      </c>
      <c r="R17" s="171" t="str">
        <f>IF(N17="","",VLOOKUP(N17,'G-7 Rivers Data'!$B$2:$G$8,2,FALSE))</f>
        <v/>
      </c>
      <c r="S17" s="172" t="str">
        <f>IFERROR(VLOOKUP(R17,'G-7 Rivers Data'!$C$4:$D$8,2,FALSE),"")</f>
        <v/>
      </c>
      <c r="T17" s="173"/>
      <c r="U17" s="172" t="str">
        <f>IFERROR(INDEX('G-7 Rivers Data'!$H$4:$L$8,MATCH(N17,'G-7 Rivers Data'!$B$4:$B$8,0),MATCH(T17,'G-7 Rivers Data'!$H$3:$L$3,0)),"")</f>
        <v/>
      </c>
      <c r="V17" s="186"/>
      <c r="W17" s="175" t="str">
        <f>IF(V17="","",IF(VLOOKUP(V17,'G-7 Rivers Data'!$AG$4:$AI$9,2,FALSE)=0,"Spatial Data Missing",VLOOKUP(V17,'G-7 Rivers Data'!$AG$4:$AI$9,2,FALSE)))</f>
        <v/>
      </c>
      <c r="X17" s="176" t="str">
        <f>IF(V17="","",IF(VLOOKUP(V17,'G-7 Rivers Data'!$AG$4:$AI$9,3,FALSE)=0,"Spatial Data Missing",VLOOKUP(V17,'G-7 Rivers Data'!$AG$4:$AI$9,3,FALSE)))</f>
        <v/>
      </c>
      <c r="Y17" s="171" t="str">
        <f>IFERROR(IF(OR(LEFT(P17,5)="Error",LEFT(O17,5)="Error"),"Check Data",IF(F17&lt;S17,'G-7 Rivers Data'!$R$3,INDEX('G-7 Rivers Data'!$U$5:$Y$9,MATCH(G17,'G-7 Rivers Data'!$T$5:$T$9,0),MATCH(T17,'G-7 Rivers Data'!$U$4:$Y$4,0)))),"")</f>
        <v/>
      </c>
      <c r="Z17" s="261"/>
      <c r="AA17" s="261"/>
      <c r="AB17" s="179" t="str">
        <f t="shared" si="3"/>
        <v/>
      </c>
      <c r="AC17" s="262" t="str">
        <f t="shared" si="4"/>
        <v/>
      </c>
      <c r="AD17" s="382" t="str">
        <f>IFERROR(IF(AC17="Check Data","Check Data",VLOOKUP(AC17,'G-4 Temporal multipliers'!$A$4:$C$37,3,FALSE)),"")</f>
        <v/>
      </c>
      <c r="AE17" s="171" t="str">
        <f>IF(N17="","",VLOOKUP(N17,'G-7 Rivers Data'!$B$4:$G$8,5,FALSE))</f>
        <v/>
      </c>
      <c r="AF17" s="179" t="str">
        <f t="shared" si="5"/>
        <v/>
      </c>
      <c r="AG17" s="269" t="str">
        <f t="shared" si="6"/>
        <v/>
      </c>
      <c r="AH17" s="172" t="str">
        <f t="shared" si="1"/>
        <v/>
      </c>
      <c r="AI17" s="173"/>
      <c r="AJ17" s="172" t="str">
        <f>IF(AI17="","",IF(VLOOKUP(AI17,'G-7 Rivers Data'!$AA$4:$AB$7,2,FALSE)=0,"Spatial Data Missing",VLOOKUP(AI17,'G-7 Rivers Data'!$AA$4:$AB$7,2,FALSE)))</f>
        <v/>
      </c>
      <c r="AK17" s="187"/>
      <c r="AL17" s="172" t="str">
        <f>IF(AK17="","",IF(VLOOKUP(AK17,'G-7 Rivers Data'!$AD$4:$AE$8,2,FALSE)=0,"Spatial Data Missing",VLOOKUP(AK17,'G-7 Rivers Data'!$AD$4:$AE$8,2,FALSE)))</f>
        <v/>
      </c>
      <c r="AM17" s="265" t="str">
        <f t="shared" si="7"/>
        <v/>
      </c>
      <c r="AN17" s="180"/>
      <c r="AO17" s="181"/>
      <c r="AV17" s="35" t="str">
        <f>IFERROR(INDEX('G-7 Rivers Data'!$AZ$3:$AZ$7,MATCH(N17,'G-7 Rivers Data'!$AY$3:$AY$7,0)),"")</f>
        <v/>
      </c>
    </row>
    <row r="18" spans="2:48" ht="13.8" x14ac:dyDescent="0.25">
      <c r="B18" s="259" t="str">
        <f>'C-1 Site River Baseline'!AN16</f>
        <v/>
      </c>
      <c r="C18" s="175" t="str">
        <f>IF(B18="","",VLOOKUP($B18,'C-1 Site River Baseline'!$C$9:$R$257,2,FALSE))</f>
        <v/>
      </c>
      <c r="D18" s="175" t="str">
        <f>IF(C18="","",VLOOKUP($B18,'C-1 Site River Baseline'!$C$9:$R$257,3,FALSE))</f>
        <v/>
      </c>
      <c r="E18" s="175" t="str">
        <f>IF(D18="","",VLOOKUP($B18,'C-1 Site River Baseline'!$C$9:$R$257,4,FALSE))</f>
        <v/>
      </c>
      <c r="F18" s="175" t="str">
        <f>IF(E18="","",VLOOKUP($B18,'C-1 Site River Baseline'!$C$9:$R$257,5,FALSE))</f>
        <v/>
      </c>
      <c r="G18" s="175" t="str">
        <f>IF(F18="","",VLOOKUP($B18,'C-1 Site River Baseline'!$C$9:$R$257,6,FALSE))</f>
        <v/>
      </c>
      <c r="H18" s="175" t="str">
        <f>IF(G18="","",VLOOKUP($B18,'C-1 Site River Baseline'!$C$9:$R$257,7,FALSE))</f>
        <v/>
      </c>
      <c r="I18" s="175" t="str">
        <f>IF(H18="","",VLOOKUP($B18,'C-1 Site River Baseline'!$C$9:$R$257,8,FALSE))</f>
        <v/>
      </c>
      <c r="J18" s="175" t="str">
        <f>IF(I18="","",VLOOKUP($B18,'C-1 Site River Baseline'!$C$9:$R$257,9,FALSE))</f>
        <v/>
      </c>
      <c r="K18" s="175" t="str">
        <f>IF(J18="","",VLOOKUP($B18,'C-1 Site River Baseline'!$C$9:$R$257,10,FALSE))</f>
        <v/>
      </c>
      <c r="L18" s="175" t="str">
        <f>IF(B18="","",VLOOKUP($B18,'C-1 Site River Baseline'!$C$9:$R$257,15,FALSE))</f>
        <v/>
      </c>
      <c r="M18" s="176" t="str">
        <f>IF(L18="","",VLOOKUP($B18,'C-1 Site River Baseline'!$C$9:$R$257,16,FALSE))</f>
        <v/>
      </c>
      <c r="N18" s="661" t="str">
        <f t="shared" si="0"/>
        <v/>
      </c>
      <c r="O18" s="239" t="str">
        <f t="shared" si="2"/>
        <v/>
      </c>
      <c r="P18" s="172" t="str">
        <f>IF(C18="","",IF(AND(LEFT(C18,55)&lt;&gt;LEFT(N18,55),O18="High - High"),"Error - Not like for like",IF(AND(F18=S18,H18&gt;U18),"Error - Can not reduce condition",IF(AND(F18=S18,H18=U18,AJ18='C-1 Site River Baseline'!N16,'C-1 Site River Baseline'!P16=AL18),"Error - No enhancement",IF(AND(C18&lt;&gt;N18,F18&lt;S18),"Lower Distinctiveness Habitat"&amp;" - "&amp;T18,G18&amp;" - "&amp;T18)))))</f>
        <v/>
      </c>
      <c r="Q18" s="660" t="str">
        <f>IF(N18="","",VLOOKUP(B18,'C-1 Site River Baseline'!$C$10:$AA$257,19,FALSE))</f>
        <v/>
      </c>
      <c r="R18" s="171" t="str">
        <f>IF(N18="","",VLOOKUP(N18,'G-7 Rivers Data'!$B$2:$G$8,2,FALSE))</f>
        <v/>
      </c>
      <c r="S18" s="172" t="str">
        <f>IFERROR(VLOOKUP(R18,'G-7 Rivers Data'!$C$4:$D$8,2,FALSE),"")</f>
        <v/>
      </c>
      <c r="T18" s="173"/>
      <c r="U18" s="172" t="str">
        <f>IFERROR(INDEX('G-7 Rivers Data'!$H$4:$L$8,MATCH(N18,'G-7 Rivers Data'!$B$4:$B$8,0),MATCH(T18,'G-7 Rivers Data'!$H$3:$L$3,0)),"")</f>
        <v/>
      </c>
      <c r="V18" s="186"/>
      <c r="W18" s="175" t="str">
        <f>IF(V18="","",IF(VLOOKUP(V18,'G-7 Rivers Data'!$AG$4:$AI$9,2,FALSE)=0,"Spatial Data Missing",VLOOKUP(V18,'G-7 Rivers Data'!$AG$4:$AI$9,2,FALSE)))</f>
        <v/>
      </c>
      <c r="X18" s="176" t="str">
        <f>IF(V18="","",IF(VLOOKUP(V18,'G-7 Rivers Data'!$AG$4:$AI$9,3,FALSE)=0,"Spatial Data Missing",VLOOKUP(V18,'G-7 Rivers Data'!$AG$4:$AI$9,3,FALSE)))</f>
        <v/>
      </c>
      <c r="Y18" s="171" t="str">
        <f>IFERROR(IF(OR(LEFT(P18,5)="Error",LEFT(O18,5)="Error"),"Check Data",IF(F18&lt;S18,'G-7 Rivers Data'!$R$3,INDEX('G-7 Rivers Data'!$U$5:$Y$9,MATCH(G18,'G-7 Rivers Data'!$T$5:$T$9,0),MATCH(T18,'G-7 Rivers Data'!$U$4:$Y$4,0)))),"")</f>
        <v/>
      </c>
      <c r="Z18" s="261"/>
      <c r="AA18" s="261"/>
      <c r="AB18" s="179" t="str">
        <f t="shared" si="3"/>
        <v/>
      </c>
      <c r="AC18" s="262" t="str">
        <f t="shared" si="4"/>
        <v/>
      </c>
      <c r="AD18" s="382" t="str">
        <f>IFERROR(IF(AC18="Check Data","Check Data",VLOOKUP(AC18,'G-4 Temporal multipliers'!$A$4:$C$37,3,FALSE)),"")</f>
        <v/>
      </c>
      <c r="AE18" s="171" t="str">
        <f>IF(N18="","",VLOOKUP(N18,'G-7 Rivers Data'!$B$4:$G$8,5,FALSE))</f>
        <v/>
      </c>
      <c r="AF18" s="179" t="str">
        <f t="shared" si="5"/>
        <v/>
      </c>
      <c r="AG18" s="269" t="str">
        <f t="shared" si="6"/>
        <v/>
      </c>
      <c r="AH18" s="172" t="str">
        <f t="shared" si="1"/>
        <v/>
      </c>
      <c r="AI18" s="173"/>
      <c r="AJ18" s="172" t="str">
        <f>IF(AI18="","",IF(VLOOKUP(AI18,'G-7 Rivers Data'!$AA$4:$AB$7,2,FALSE)=0,"Spatial Data Missing",VLOOKUP(AI18,'G-7 Rivers Data'!$AA$4:$AB$7,2,FALSE)))</f>
        <v/>
      </c>
      <c r="AK18" s="187"/>
      <c r="AL18" s="172" t="str">
        <f>IF(AK18="","",IF(VLOOKUP(AK18,'G-7 Rivers Data'!$AD$4:$AE$8,2,FALSE)=0,"Spatial Data Missing",VLOOKUP(AK18,'G-7 Rivers Data'!$AD$4:$AE$8,2,FALSE)))</f>
        <v/>
      </c>
      <c r="AM18" s="265" t="str">
        <f t="shared" si="7"/>
        <v/>
      </c>
      <c r="AN18" s="180"/>
      <c r="AO18" s="181"/>
      <c r="AV18" s="35" t="str">
        <f>IFERROR(INDEX('G-7 Rivers Data'!$AZ$3:$AZ$7,MATCH(N18,'G-7 Rivers Data'!$AY$3:$AY$7,0)),"")</f>
        <v/>
      </c>
    </row>
    <row r="19" spans="2:48" ht="13.8" x14ac:dyDescent="0.25">
      <c r="B19" s="259" t="str">
        <f>'C-1 Site River Baseline'!AN17</f>
        <v/>
      </c>
      <c r="C19" s="175" t="str">
        <f>IF(B19="","",VLOOKUP($B19,'C-1 Site River Baseline'!$C$9:$R$257,2,FALSE))</f>
        <v/>
      </c>
      <c r="D19" s="175" t="str">
        <f>IF(C19="","",VLOOKUP($B19,'C-1 Site River Baseline'!$C$9:$R$257,3,FALSE))</f>
        <v/>
      </c>
      <c r="E19" s="175" t="str">
        <f>IF(D19="","",VLOOKUP($B19,'C-1 Site River Baseline'!$C$9:$R$257,4,FALSE))</f>
        <v/>
      </c>
      <c r="F19" s="175" t="str">
        <f>IF(E19="","",VLOOKUP($B19,'C-1 Site River Baseline'!$C$9:$R$257,5,FALSE))</f>
        <v/>
      </c>
      <c r="G19" s="175" t="str">
        <f>IF(F19="","",VLOOKUP($B19,'C-1 Site River Baseline'!$C$9:$R$257,6,FALSE))</f>
        <v/>
      </c>
      <c r="H19" s="175" t="str">
        <f>IF(G19="","",VLOOKUP($B19,'C-1 Site River Baseline'!$C$9:$R$257,7,FALSE))</f>
        <v/>
      </c>
      <c r="I19" s="175" t="str">
        <f>IF(H19="","",VLOOKUP($B19,'C-1 Site River Baseline'!$C$9:$R$257,8,FALSE))</f>
        <v/>
      </c>
      <c r="J19" s="175" t="str">
        <f>IF(I19="","",VLOOKUP($B19,'C-1 Site River Baseline'!$C$9:$R$257,9,FALSE))</f>
        <v/>
      </c>
      <c r="K19" s="175" t="str">
        <f>IF(J19="","",VLOOKUP($B19,'C-1 Site River Baseline'!$C$9:$R$257,10,FALSE))</f>
        <v/>
      </c>
      <c r="L19" s="175" t="str">
        <f>IF(B19="","",VLOOKUP($B19,'C-1 Site River Baseline'!$C$9:$R$257,15,FALSE))</f>
        <v/>
      </c>
      <c r="M19" s="176" t="str">
        <f>IF(L19="","",VLOOKUP($B19,'C-1 Site River Baseline'!$C$9:$R$257,16,FALSE))</f>
        <v/>
      </c>
      <c r="N19" s="661" t="str">
        <f t="shared" si="0"/>
        <v/>
      </c>
      <c r="O19" s="239" t="str">
        <f t="shared" si="2"/>
        <v/>
      </c>
      <c r="P19" s="172" t="str">
        <f>IF(C19="","",IF(AND(LEFT(C19,55)&lt;&gt;LEFT(N19,55),O19="High - High"),"Error - Not like for like",IF(AND(F19=S19,H19&gt;U19),"Error - Can not reduce condition",IF(AND(F19=S19,H19=U19,AJ19='C-1 Site River Baseline'!N17,'C-1 Site River Baseline'!P17=AL19),"Error - No enhancement",IF(AND(C19&lt;&gt;N19,F19&lt;S19),"Lower Distinctiveness Habitat"&amp;" - "&amp;T19,G19&amp;" - "&amp;T19)))))</f>
        <v/>
      </c>
      <c r="Q19" s="660" t="str">
        <f>IF(N19="","",VLOOKUP(B19,'C-1 Site River Baseline'!$C$10:$AA$257,19,FALSE))</f>
        <v/>
      </c>
      <c r="R19" s="171" t="str">
        <f>IF(N19="","",VLOOKUP(N19,'G-7 Rivers Data'!$B$2:$G$8,2,FALSE))</f>
        <v/>
      </c>
      <c r="S19" s="172" t="str">
        <f>IFERROR(VLOOKUP(R19,'G-7 Rivers Data'!$C$4:$D$8,2,FALSE),"")</f>
        <v/>
      </c>
      <c r="T19" s="173"/>
      <c r="U19" s="172" t="str">
        <f>IFERROR(INDEX('G-7 Rivers Data'!$H$4:$L$8,MATCH(N19,'G-7 Rivers Data'!$B$4:$B$8,0),MATCH(T19,'G-7 Rivers Data'!$H$3:$L$3,0)),"")</f>
        <v/>
      </c>
      <c r="V19" s="186"/>
      <c r="W19" s="175" t="str">
        <f>IF(V19="","",IF(VLOOKUP(V19,'G-7 Rivers Data'!$AG$4:$AI$9,2,FALSE)=0,"Spatial Data Missing",VLOOKUP(V19,'G-7 Rivers Data'!$AG$4:$AI$9,2,FALSE)))</f>
        <v/>
      </c>
      <c r="X19" s="176" t="str">
        <f>IF(V19="","",IF(VLOOKUP(V19,'G-7 Rivers Data'!$AG$4:$AI$9,3,FALSE)=0,"Spatial Data Missing",VLOOKUP(V19,'G-7 Rivers Data'!$AG$4:$AI$9,3,FALSE)))</f>
        <v/>
      </c>
      <c r="Y19" s="171" t="str">
        <f>IFERROR(IF(OR(LEFT(P19,5)="Error",LEFT(O19,5)="Error"),"Check Data",IF(F19&lt;S19,'G-7 Rivers Data'!$R$3,INDEX('G-7 Rivers Data'!$U$5:$Y$9,MATCH(G19,'G-7 Rivers Data'!$T$5:$T$9,0),MATCH(T19,'G-7 Rivers Data'!$U$4:$Y$4,0)))),"")</f>
        <v/>
      </c>
      <c r="Z19" s="261"/>
      <c r="AA19" s="261"/>
      <c r="AB19" s="179" t="str">
        <f t="shared" si="3"/>
        <v/>
      </c>
      <c r="AC19" s="262" t="str">
        <f t="shared" si="4"/>
        <v/>
      </c>
      <c r="AD19" s="382" t="str">
        <f>IFERROR(IF(AC19="Check Data","Check Data",VLOOKUP(AC19,'G-4 Temporal multipliers'!$A$4:$C$37,3,FALSE)),"")</f>
        <v/>
      </c>
      <c r="AE19" s="171" t="str">
        <f>IF(N19="","",VLOOKUP(N19,'G-7 Rivers Data'!$B$4:$G$8,5,FALSE))</f>
        <v/>
      </c>
      <c r="AF19" s="179" t="str">
        <f t="shared" si="5"/>
        <v/>
      </c>
      <c r="AG19" s="269" t="str">
        <f t="shared" si="6"/>
        <v/>
      </c>
      <c r="AH19" s="172" t="str">
        <f t="shared" si="1"/>
        <v/>
      </c>
      <c r="AI19" s="173"/>
      <c r="AJ19" s="172" t="str">
        <f>IF(AI19="","",IF(VLOOKUP(AI19,'G-7 Rivers Data'!$AA$4:$AB$7,2,FALSE)=0,"Spatial Data Missing",VLOOKUP(AI19,'G-7 Rivers Data'!$AA$4:$AB$7,2,FALSE)))</f>
        <v/>
      </c>
      <c r="AK19" s="187"/>
      <c r="AL19" s="172" t="str">
        <f>IF(AK19="","",IF(VLOOKUP(AK19,'G-7 Rivers Data'!$AD$4:$AE$8,2,FALSE)=0,"Spatial Data Missing",VLOOKUP(AK19,'G-7 Rivers Data'!$AD$4:$AE$8,2,FALSE)))</f>
        <v/>
      </c>
      <c r="AM19" s="265" t="str">
        <f t="shared" si="7"/>
        <v/>
      </c>
      <c r="AN19" s="180"/>
      <c r="AO19" s="181"/>
      <c r="AV19" s="35" t="str">
        <f>IFERROR(INDEX('G-7 Rivers Data'!$AZ$3:$AZ$7,MATCH(N19,'G-7 Rivers Data'!$AY$3:$AY$7,0)),"")</f>
        <v/>
      </c>
    </row>
    <row r="20" spans="2:48" ht="13.8" x14ac:dyDescent="0.25">
      <c r="B20" s="259" t="str">
        <f>'C-1 Site River Baseline'!AN18</f>
        <v/>
      </c>
      <c r="C20" s="175" t="str">
        <f>IF(B20="","",VLOOKUP($B20,'C-1 Site River Baseline'!$C$9:$R$257,2,FALSE))</f>
        <v/>
      </c>
      <c r="D20" s="175" t="str">
        <f>IF(C20="","",VLOOKUP($B20,'C-1 Site River Baseline'!$C$9:$R$257,3,FALSE))</f>
        <v/>
      </c>
      <c r="E20" s="175" t="str">
        <f>IF(D20="","",VLOOKUP($B20,'C-1 Site River Baseline'!$C$9:$R$257,4,FALSE))</f>
        <v/>
      </c>
      <c r="F20" s="175" t="str">
        <f>IF(E20="","",VLOOKUP($B20,'C-1 Site River Baseline'!$C$9:$R$257,5,FALSE))</f>
        <v/>
      </c>
      <c r="G20" s="175" t="str">
        <f>IF(F20="","",VLOOKUP($B20,'C-1 Site River Baseline'!$C$9:$R$257,6,FALSE))</f>
        <v/>
      </c>
      <c r="H20" s="175" t="str">
        <f>IF(G20="","",VLOOKUP($B20,'C-1 Site River Baseline'!$C$9:$R$257,7,FALSE))</f>
        <v/>
      </c>
      <c r="I20" s="175" t="str">
        <f>IF(H20="","",VLOOKUP($B20,'C-1 Site River Baseline'!$C$9:$R$257,8,FALSE))</f>
        <v/>
      </c>
      <c r="J20" s="175" t="str">
        <f>IF(I20="","",VLOOKUP($B20,'C-1 Site River Baseline'!$C$9:$R$257,9,FALSE))</f>
        <v/>
      </c>
      <c r="K20" s="175" t="str">
        <f>IF(J20="","",VLOOKUP($B20,'C-1 Site River Baseline'!$C$9:$R$257,10,FALSE))</f>
        <v/>
      </c>
      <c r="L20" s="175" t="str">
        <f>IF(B20="","",VLOOKUP($B20,'C-1 Site River Baseline'!$C$9:$R$257,15,FALSE))</f>
        <v/>
      </c>
      <c r="M20" s="176" t="str">
        <f>IF(L20="","",VLOOKUP($B20,'C-1 Site River Baseline'!$C$9:$R$257,16,FALSE))</f>
        <v/>
      </c>
      <c r="N20" s="661" t="str">
        <f t="shared" si="0"/>
        <v/>
      </c>
      <c r="O20" s="239" t="str">
        <f t="shared" si="2"/>
        <v/>
      </c>
      <c r="P20" s="172" t="str">
        <f>IF(C20="","",IF(AND(LEFT(C20,55)&lt;&gt;LEFT(N20,55),O20="High - High"),"Error - Not like for like",IF(AND(F20=S20,H20&gt;U20),"Error - Can not reduce condition",IF(AND(F20=S20,H20=U20,AJ20='C-1 Site River Baseline'!N18,'C-1 Site River Baseline'!P18=AL20),"Error - No enhancement",IF(AND(C20&lt;&gt;N20,F20&lt;S20),"Lower Distinctiveness Habitat"&amp;" - "&amp;T20,G20&amp;" - "&amp;T20)))))</f>
        <v/>
      </c>
      <c r="Q20" s="660" t="str">
        <f>IF(N20="","",VLOOKUP(B20,'C-1 Site River Baseline'!$C$10:$AA$257,19,FALSE))</f>
        <v/>
      </c>
      <c r="R20" s="171" t="str">
        <f>IF(N20="","",VLOOKUP(N20,'G-7 Rivers Data'!$B$2:$G$8,2,FALSE))</f>
        <v/>
      </c>
      <c r="S20" s="172" t="str">
        <f>IFERROR(VLOOKUP(R20,'G-7 Rivers Data'!$C$4:$D$8,2,FALSE),"")</f>
        <v/>
      </c>
      <c r="T20" s="173"/>
      <c r="U20" s="172" t="str">
        <f>IFERROR(INDEX('G-7 Rivers Data'!$H$4:$L$8,MATCH(N20,'G-7 Rivers Data'!$B$4:$B$8,0),MATCH(T20,'G-7 Rivers Data'!$H$3:$L$3,0)),"")</f>
        <v/>
      </c>
      <c r="V20" s="186"/>
      <c r="W20" s="175" t="str">
        <f>IF(V20="","",IF(VLOOKUP(V20,'G-7 Rivers Data'!$AG$4:$AI$9,2,FALSE)=0,"Spatial Data Missing",VLOOKUP(V20,'G-7 Rivers Data'!$AG$4:$AI$9,2,FALSE)))</f>
        <v/>
      </c>
      <c r="X20" s="176" t="str">
        <f>IF(V20="","",IF(VLOOKUP(V20,'G-7 Rivers Data'!$AG$4:$AI$9,3,FALSE)=0,"Spatial Data Missing",VLOOKUP(V20,'G-7 Rivers Data'!$AG$4:$AI$9,3,FALSE)))</f>
        <v/>
      </c>
      <c r="Y20" s="171" t="str">
        <f>IFERROR(IF(OR(LEFT(P20,5)="Error",LEFT(O20,5)="Error"),"Check Data",IF(F20&lt;S20,'G-7 Rivers Data'!$R$3,INDEX('G-7 Rivers Data'!$U$5:$Y$9,MATCH(G20,'G-7 Rivers Data'!$T$5:$T$9,0),MATCH(T20,'G-7 Rivers Data'!$U$4:$Y$4,0)))),"")</f>
        <v/>
      </c>
      <c r="Z20" s="261"/>
      <c r="AA20" s="261"/>
      <c r="AB20" s="179" t="str">
        <f t="shared" si="3"/>
        <v/>
      </c>
      <c r="AC20" s="262" t="str">
        <f t="shared" si="4"/>
        <v/>
      </c>
      <c r="AD20" s="382" t="str">
        <f>IFERROR(IF(AC20="Check Data","Check Data",VLOOKUP(AC20,'G-4 Temporal multipliers'!$A$4:$C$37,3,FALSE)),"")</f>
        <v/>
      </c>
      <c r="AE20" s="171" t="str">
        <f>IF(N20="","",VLOOKUP(N20,'G-7 Rivers Data'!$B$4:$G$8,5,FALSE))</f>
        <v/>
      </c>
      <c r="AF20" s="179" t="str">
        <f t="shared" si="5"/>
        <v/>
      </c>
      <c r="AG20" s="269" t="str">
        <f t="shared" si="6"/>
        <v/>
      </c>
      <c r="AH20" s="172" t="str">
        <f t="shared" si="1"/>
        <v/>
      </c>
      <c r="AI20" s="173"/>
      <c r="AJ20" s="172" t="str">
        <f>IF(AI20="","",IF(VLOOKUP(AI20,'G-7 Rivers Data'!$AA$4:$AB$7,2,FALSE)=0,"Spatial Data Missing",VLOOKUP(AI20,'G-7 Rivers Data'!$AA$4:$AB$7,2,FALSE)))</f>
        <v/>
      </c>
      <c r="AK20" s="187"/>
      <c r="AL20" s="172" t="str">
        <f>IF(AK20="","",IF(VLOOKUP(AK20,'G-7 Rivers Data'!$AD$4:$AE$8,2,FALSE)=0,"Spatial Data Missing",VLOOKUP(AK20,'G-7 Rivers Data'!$AD$4:$AE$8,2,FALSE)))</f>
        <v/>
      </c>
      <c r="AM20" s="265" t="str">
        <f t="shared" si="7"/>
        <v/>
      </c>
      <c r="AN20" s="180"/>
      <c r="AO20" s="181"/>
      <c r="AV20" s="35" t="str">
        <f>IFERROR(INDEX('G-7 Rivers Data'!$AZ$3:$AZ$7,MATCH(N20,'G-7 Rivers Data'!$AY$3:$AY$7,0)),"")</f>
        <v/>
      </c>
    </row>
    <row r="21" spans="2:48" ht="13.8" x14ac:dyDescent="0.25">
      <c r="B21" s="259" t="str">
        <f>'C-1 Site River Baseline'!AN19</f>
        <v/>
      </c>
      <c r="C21" s="175" t="str">
        <f>IF(B21="","",VLOOKUP($B21,'C-1 Site River Baseline'!$C$9:$R$257,2,FALSE))</f>
        <v/>
      </c>
      <c r="D21" s="175" t="str">
        <f>IF(C21="","",VLOOKUP($B21,'C-1 Site River Baseline'!$C$9:$R$257,3,FALSE))</f>
        <v/>
      </c>
      <c r="E21" s="175" t="str">
        <f>IF(D21="","",VLOOKUP($B21,'C-1 Site River Baseline'!$C$9:$R$257,4,FALSE))</f>
        <v/>
      </c>
      <c r="F21" s="175" t="str">
        <f>IF(E21="","",VLOOKUP($B21,'C-1 Site River Baseline'!$C$9:$R$257,5,FALSE))</f>
        <v/>
      </c>
      <c r="G21" s="175" t="str">
        <f>IF(F21="","",VLOOKUP($B21,'C-1 Site River Baseline'!$C$9:$R$257,6,FALSE))</f>
        <v/>
      </c>
      <c r="H21" s="175" t="str">
        <f>IF(G21="","",VLOOKUP($B21,'C-1 Site River Baseline'!$C$9:$R$257,7,FALSE))</f>
        <v/>
      </c>
      <c r="I21" s="175" t="str">
        <f>IF(H21="","",VLOOKUP($B21,'C-1 Site River Baseline'!$C$9:$R$257,8,FALSE))</f>
        <v/>
      </c>
      <c r="J21" s="175" t="str">
        <f>IF(I21="","",VLOOKUP($B21,'C-1 Site River Baseline'!$C$9:$R$257,9,FALSE))</f>
        <v/>
      </c>
      <c r="K21" s="175" t="str">
        <f>IF(J21="","",VLOOKUP($B21,'C-1 Site River Baseline'!$C$9:$R$257,10,FALSE))</f>
        <v/>
      </c>
      <c r="L21" s="175" t="str">
        <f>IF(B21="","",VLOOKUP($B21,'C-1 Site River Baseline'!$C$9:$R$257,15,FALSE))</f>
        <v/>
      </c>
      <c r="M21" s="176" t="str">
        <f>IF(L21="","",VLOOKUP($B21,'C-1 Site River Baseline'!$C$9:$R$257,16,FALSE))</f>
        <v/>
      </c>
      <c r="N21" s="661" t="str">
        <f t="shared" si="0"/>
        <v/>
      </c>
      <c r="O21" s="239" t="str">
        <f t="shared" si="2"/>
        <v/>
      </c>
      <c r="P21" s="172" t="str">
        <f>IF(C21="","",IF(AND(LEFT(C21,55)&lt;&gt;LEFT(N21,55),O21="High - High"),"Error - Not like for like",IF(AND(F21=S21,H21&gt;U21),"Error - Can not reduce condition",IF(AND(F21=S21,H21=U21,AJ21='C-1 Site River Baseline'!N19,'C-1 Site River Baseline'!P19=AL21),"Error - No enhancement",IF(AND(C21&lt;&gt;N21,F21&lt;S21),"Lower Distinctiveness Habitat"&amp;" - "&amp;T21,G21&amp;" - "&amp;T21)))))</f>
        <v/>
      </c>
      <c r="Q21" s="660" t="str">
        <f>IF(N21="","",VLOOKUP(B21,'C-1 Site River Baseline'!$C$10:$AA$257,19,FALSE))</f>
        <v/>
      </c>
      <c r="R21" s="171" t="str">
        <f>IF(N21="","",VLOOKUP(N21,'G-7 Rivers Data'!$B$2:$G$8,2,FALSE))</f>
        <v/>
      </c>
      <c r="S21" s="172" t="str">
        <f>IFERROR(VLOOKUP(R21,'G-7 Rivers Data'!$C$4:$D$8,2,FALSE),"")</f>
        <v/>
      </c>
      <c r="T21" s="173"/>
      <c r="U21" s="172" t="str">
        <f>IFERROR(INDEX('G-7 Rivers Data'!$H$4:$L$8,MATCH(N21,'G-7 Rivers Data'!$B$4:$B$8,0),MATCH(T21,'G-7 Rivers Data'!$H$3:$L$3,0)),"")</f>
        <v/>
      </c>
      <c r="V21" s="186"/>
      <c r="W21" s="175" t="str">
        <f>IF(V21="","",IF(VLOOKUP(V21,'G-7 Rivers Data'!$AG$4:$AI$9,2,FALSE)=0,"Spatial Data Missing",VLOOKUP(V21,'G-7 Rivers Data'!$AG$4:$AI$9,2,FALSE)))</f>
        <v/>
      </c>
      <c r="X21" s="176" t="str">
        <f>IF(V21="","",IF(VLOOKUP(V21,'G-7 Rivers Data'!$AG$4:$AI$9,3,FALSE)=0,"Spatial Data Missing",VLOOKUP(V21,'G-7 Rivers Data'!$AG$4:$AI$9,3,FALSE)))</f>
        <v/>
      </c>
      <c r="Y21" s="171" t="str">
        <f>IFERROR(IF(OR(LEFT(P21,5)="Error",LEFT(O21,5)="Error"),"Check Data",IF(F21&lt;S21,'G-7 Rivers Data'!$R$3,INDEX('G-7 Rivers Data'!$U$5:$Y$9,MATCH(G21,'G-7 Rivers Data'!$T$5:$T$9,0),MATCH(T21,'G-7 Rivers Data'!$U$4:$Y$4,0)))),"")</f>
        <v/>
      </c>
      <c r="Z21" s="261"/>
      <c r="AA21" s="261"/>
      <c r="AB21" s="179" t="str">
        <f t="shared" si="3"/>
        <v/>
      </c>
      <c r="AC21" s="262" t="str">
        <f t="shared" si="4"/>
        <v/>
      </c>
      <c r="AD21" s="382" t="str">
        <f>IFERROR(IF(AC21="Check Data","Check Data",VLOOKUP(AC21,'G-4 Temporal multipliers'!$A$4:$C$37,3,FALSE)),"")</f>
        <v/>
      </c>
      <c r="AE21" s="171" t="str">
        <f>IF(N21="","",VLOOKUP(N21,'G-7 Rivers Data'!$B$4:$G$8,5,FALSE))</f>
        <v/>
      </c>
      <c r="AF21" s="179" t="str">
        <f t="shared" si="5"/>
        <v/>
      </c>
      <c r="AG21" s="269" t="str">
        <f t="shared" si="6"/>
        <v/>
      </c>
      <c r="AH21" s="172" t="str">
        <f t="shared" si="1"/>
        <v/>
      </c>
      <c r="AI21" s="173"/>
      <c r="AJ21" s="172" t="str">
        <f>IF(AI21="","",IF(VLOOKUP(AI21,'G-7 Rivers Data'!$AA$4:$AB$7,2,FALSE)=0,"Spatial Data Missing",VLOOKUP(AI21,'G-7 Rivers Data'!$AA$4:$AB$7,2,FALSE)))</f>
        <v/>
      </c>
      <c r="AK21" s="187"/>
      <c r="AL21" s="172" t="str">
        <f>IF(AK21="","",IF(VLOOKUP(AK21,'G-7 Rivers Data'!$AD$4:$AE$8,2,FALSE)=0,"Spatial Data Missing",VLOOKUP(AK21,'G-7 Rivers Data'!$AD$4:$AE$8,2,FALSE)))</f>
        <v/>
      </c>
      <c r="AM21" s="265" t="str">
        <f t="shared" si="7"/>
        <v/>
      </c>
      <c r="AN21" s="180"/>
      <c r="AO21" s="181"/>
      <c r="AV21" s="35" t="str">
        <f>IFERROR(INDEX('G-7 Rivers Data'!$AZ$3:$AZ$7,MATCH(N21,'G-7 Rivers Data'!$AY$3:$AY$7,0)),"")</f>
        <v/>
      </c>
    </row>
    <row r="22" spans="2:48" ht="13.8" x14ac:dyDescent="0.25">
      <c r="B22" s="259" t="str">
        <f>'C-1 Site River Baseline'!AN20</f>
        <v/>
      </c>
      <c r="C22" s="175" t="str">
        <f>IF(B22="","",VLOOKUP($B22,'C-1 Site River Baseline'!$C$9:$R$257,2,FALSE))</f>
        <v/>
      </c>
      <c r="D22" s="175" t="str">
        <f>IF(C22="","",VLOOKUP($B22,'C-1 Site River Baseline'!$C$9:$R$257,3,FALSE))</f>
        <v/>
      </c>
      <c r="E22" s="175" t="str">
        <f>IF(D22="","",VLOOKUP($B22,'C-1 Site River Baseline'!$C$9:$R$257,4,FALSE))</f>
        <v/>
      </c>
      <c r="F22" s="175" t="str">
        <f>IF(E22="","",VLOOKUP($B22,'C-1 Site River Baseline'!$C$9:$R$257,5,FALSE))</f>
        <v/>
      </c>
      <c r="G22" s="175" t="str">
        <f>IF(F22="","",VLOOKUP($B22,'C-1 Site River Baseline'!$C$9:$R$257,6,FALSE))</f>
        <v/>
      </c>
      <c r="H22" s="175" t="str">
        <f>IF(G22="","",VLOOKUP($B22,'C-1 Site River Baseline'!$C$9:$R$257,7,FALSE))</f>
        <v/>
      </c>
      <c r="I22" s="175" t="str">
        <f>IF(H22="","",VLOOKUP($B22,'C-1 Site River Baseline'!$C$9:$R$257,8,FALSE))</f>
        <v/>
      </c>
      <c r="J22" s="175" t="str">
        <f>IF(I22="","",VLOOKUP($B22,'C-1 Site River Baseline'!$C$9:$R$257,9,FALSE))</f>
        <v/>
      </c>
      <c r="K22" s="175" t="str">
        <f>IF(J22="","",VLOOKUP($B22,'C-1 Site River Baseline'!$C$9:$R$257,10,FALSE))</f>
        <v/>
      </c>
      <c r="L22" s="175" t="str">
        <f>IF(B22="","",VLOOKUP($B22,'C-1 Site River Baseline'!$C$9:$R$257,15,FALSE))</f>
        <v/>
      </c>
      <c r="M22" s="176" t="str">
        <f>IF(L22="","",VLOOKUP($B22,'C-1 Site River Baseline'!$C$9:$R$257,16,FALSE))</f>
        <v/>
      </c>
      <c r="N22" s="661" t="str">
        <f t="shared" si="0"/>
        <v/>
      </c>
      <c r="O22" s="239" t="str">
        <f t="shared" si="2"/>
        <v/>
      </c>
      <c r="P22" s="172" t="str">
        <f>IF(C22="","",IF(AND(LEFT(C22,55)&lt;&gt;LEFT(N22,55),O22="High - High"),"Error - Not like for like",IF(AND(F22=S22,H22&gt;U22),"Error - Can not reduce condition",IF(AND(F22=S22,H22=U22,AJ22='C-1 Site River Baseline'!N20,'C-1 Site River Baseline'!P20=AL22),"Error - No enhancement",IF(AND(C22&lt;&gt;N22,F22&lt;S22),"Lower Distinctiveness Habitat"&amp;" - "&amp;T22,G22&amp;" - "&amp;T22)))))</f>
        <v/>
      </c>
      <c r="Q22" s="660" t="str">
        <f>IF(N22="","",VLOOKUP(B22,'C-1 Site River Baseline'!$C$10:$AA$257,19,FALSE))</f>
        <v/>
      </c>
      <c r="R22" s="171" t="str">
        <f>IF(N22="","",VLOOKUP(N22,'G-7 Rivers Data'!$B$2:$G$8,2,FALSE))</f>
        <v/>
      </c>
      <c r="S22" s="172" t="str">
        <f>IFERROR(VLOOKUP(R22,'G-7 Rivers Data'!$C$4:$D$8,2,FALSE),"")</f>
        <v/>
      </c>
      <c r="T22" s="173"/>
      <c r="U22" s="172" t="str">
        <f>IFERROR(INDEX('G-7 Rivers Data'!$H$4:$L$8,MATCH(N22,'G-7 Rivers Data'!$B$4:$B$8,0),MATCH(T22,'G-7 Rivers Data'!$H$3:$L$3,0)),"")</f>
        <v/>
      </c>
      <c r="V22" s="186"/>
      <c r="W22" s="175" t="str">
        <f>IF(V22="","",IF(VLOOKUP(V22,'G-7 Rivers Data'!$AG$4:$AI$9,2,FALSE)=0,"Spatial Data Missing",VLOOKUP(V22,'G-7 Rivers Data'!$AG$4:$AI$9,2,FALSE)))</f>
        <v/>
      </c>
      <c r="X22" s="176" t="str">
        <f>IF(V22="","",IF(VLOOKUP(V22,'G-7 Rivers Data'!$AG$4:$AI$9,3,FALSE)=0,"Spatial Data Missing",VLOOKUP(V22,'G-7 Rivers Data'!$AG$4:$AI$9,3,FALSE)))</f>
        <v/>
      </c>
      <c r="Y22" s="171" t="str">
        <f>IFERROR(IF(OR(LEFT(P22,5)="Error",LEFT(O22,5)="Error"),"Check Data",IF(F22&lt;S22,'G-7 Rivers Data'!$R$3,INDEX('G-7 Rivers Data'!$U$5:$Y$9,MATCH(G22,'G-7 Rivers Data'!$T$5:$T$9,0),MATCH(T22,'G-7 Rivers Data'!$U$4:$Y$4,0)))),"")</f>
        <v/>
      </c>
      <c r="Z22" s="261"/>
      <c r="AA22" s="261"/>
      <c r="AB22" s="179" t="str">
        <f t="shared" si="3"/>
        <v/>
      </c>
      <c r="AC22" s="262" t="str">
        <f t="shared" si="4"/>
        <v/>
      </c>
      <c r="AD22" s="382" t="str">
        <f>IFERROR(IF(AC22="Check Data","Check Data",VLOOKUP(AC22,'G-4 Temporal multipliers'!$A$4:$C$37,3,FALSE)),"")</f>
        <v/>
      </c>
      <c r="AE22" s="171" t="str">
        <f>IF(N22="","",VLOOKUP(N22,'G-7 Rivers Data'!$B$4:$G$8,5,FALSE))</f>
        <v/>
      </c>
      <c r="AF22" s="179" t="str">
        <f t="shared" si="5"/>
        <v/>
      </c>
      <c r="AG22" s="269" t="str">
        <f t="shared" si="6"/>
        <v/>
      </c>
      <c r="AH22" s="172" t="str">
        <f t="shared" si="1"/>
        <v/>
      </c>
      <c r="AI22" s="173"/>
      <c r="AJ22" s="172" t="str">
        <f>IF(AI22="","",IF(VLOOKUP(AI22,'G-7 Rivers Data'!$AA$4:$AB$7,2,FALSE)=0,"Spatial Data Missing",VLOOKUP(AI22,'G-7 Rivers Data'!$AA$4:$AB$7,2,FALSE)))</f>
        <v/>
      </c>
      <c r="AK22" s="187"/>
      <c r="AL22" s="172" t="str">
        <f>IF(AK22="","",IF(VLOOKUP(AK22,'G-7 Rivers Data'!$AD$4:$AE$8,2,FALSE)=0,"Spatial Data Missing",VLOOKUP(AK22,'G-7 Rivers Data'!$AD$4:$AE$8,2,FALSE)))</f>
        <v/>
      </c>
      <c r="AM22" s="265" t="str">
        <f t="shared" si="7"/>
        <v/>
      </c>
      <c r="AN22" s="180"/>
      <c r="AO22" s="181"/>
      <c r="AV22" s="35" t="str">
        <f>IFERROR(INDEX('G-7 Rivers Data'!$AZ$3:$AZ$7,MATCH(N22,'G-7 Rivers Data'!$AY$3:$AY$7,0)),"")</f>
        <v/>
      </c>
    </row>
    <row r="23" spans="2:48" ht="13.8" x14ac:dyDescent="0.25">
      <c r="B23" s="259" t="str">
        <f>'C-1 Site River Baseline'!AN21</f>
        <v/>
      </c>
      <c r="C23" s="175" t="str">
        <f>IF(B23="","",VLOOKUP($B23,'C-1 Site River Baseline'!$C$9:$R$257,2,FALSE))</f>
        <v/>
      </c>
      <c r="D23" s="175" t="str">
        <f>IF(C23="","",VLOOKUP($B23,'C-1 Site River Baseline'!$C$9:$R$257,3,FALSE))</f>
        <v/>
      </c>
      <c r="E23" s="175" t="str">
        <f>IF(D23="","",VLOOKUP($B23,'C-1 Site River Baseline'!$C$9:$R$257,4,FALSE))</f>
        <v/>
      </c>
      <c r="F23" s="175" t="str">
        <f>IF(E23="","",VLOOKUP($B23,'C-1 Site River Baseline'!$C$9:$R$257,5,FALSE))</f>
        <v/>
      </c>
      <c r="G23" s="175" t="str">
        <f>IF(F23="","",VLOOKUP($B23,'C-1 Site River Baseline'!$C$9:$R$257,6,FALSE))</f>
        <v/>
      </c>
      <c r="H23" s="175" t="str">
        <f>IF(G23="","",VLOOKUP($B23,'C-1 Site River Baseline'!$C$9:$R$257,7,FALSE))</f>
        <v/>
      </c>
      <c r="I23" s="175" t="str">
        <f>IF(H23="","",VLOOKUP($B23,'C-1 Site River Baseline'!$C$9:$R$257,8,FALSE))</f>
        <v/>
      </c>
      <c r="J23" s="175" t="str">
        <f>IF(I23="","",VLOOKUP($B23,'C-1 Site River Baseline'!$C$9:$R$257,9,FALSE))</f>
        <v/>
      </c>
      <c r="K23" s="175" t="str">
        <f>IF(J23="","",VLOOKUP($B23,'C-1 Site River Baseline'!$C$9:$R$257,10,FALSE))</f>
        <v/>
      </c>
      <c r="L23" s="175" t="str">
        <f>IF(B23="","",VLOOKUP($B23,'C-1 Site River Baseline'!$C$9:$R$257,15,FALSE))</f>
        <v/>
      </c>
      <c r="M23" s="176" t="str">
        <f>IF(L23="","",VLOOKUP($B23,'C-1 Site River Baseline'!$C$9:$R$257,16,FALSE))</f>
        <v/>
      </c>
      <c r="N23" s="661" t="str">
        <f t="shared" si="0"/>
        <v/>
      </c>
      <c r="O23" s="239" t="str">
        <f t="shared" si="2"/>
        <v/>
      </c>
      <c r="P23" s="172" t="str">
        <f>IF(C23="","",IF(AND(LEFT(C23,55)&lt;&gt;LEFT(N23,55),O23="High - High"),"Error - Not like for like",IF(AND(F23=S23,H23&gt;U23),"Error - Can not reduce condition",IF(AND(F23=S23,H23=U23,AJ23='C-1 Site River Baseline'!N21,'C-1 Site River Baseline'!P21=AL23),"Error - No enhancement",IF(AND(C23&lt;&gt;N23,F23&lt;S23),"Lower Distinctiveness Habitat"&amp;" - "&amp;T23,G23&amp;" - "&amp;T23)))))</f>
        <v/>
      </c>
      <c r="Q23" s="660" t="str">
        <f>IF(N23="","",VLOOKUP(B23,'C-1 Site River Baseline'!$C$10:$AA$257,19,FALSE))</f>
        <v/>
      </c>
      <c r="R23" s="171" t="str">
        <f>IF(N23="","",VLOOKUP(N23,'G-7 Rivers Data'!$B$2:$G$8,2,FALSE))</f>
        <v/>
      </c>
      <c r="S23" s="172" t="str">
        <f>IFERROR(VLOOKUP(R23,'G-7 Rivers Data'!$C$4:$D$8,2,FALSE),"")</f>
        <v/>
      </c>
      <c r="T23" s="173"/>
      <c r="U23" s="172" t="str">
        <f>IFERROR(INDEX('G-7 Rivers Data'!$H$4:$L$8,MATCH(N23,'G-7 Rivers Data'!$B$4:$B$8,0),MATCH(T23,'G-7 Rivers Data'!$H$3:$L$3,0)),"")</f>
        <v/>
      </c>
      <c r="V23" s="186"/>
      <c r="W23" s="175" t="str">
        <f>IF(V23="","",IF(VLOOKUP(V23,'G-7 Rivers Data'!$AG$4:$AI$9,2,FALSE)=0,"Spatial Data Missing",VLOOKUP(V23,'G-7 Rivers Data'!$AG$4:$AI$9,2,FALSE)))</f>
        <v/>
      </c>
      <c r="X23" s="176" t="str">
        <f>IF(V23="","",IF(VLOOKUP(V23,'G-7 Rivers Data'!$AG$4:$AI$9,3,FALSE)=0,"Spatial Data Missing",VLOOKUP(V23,'G-7 Rivers Data'!$AG$4:$AI$9,3,FALSE)))</f>
        <v/>
      </c>
      <c r="Y23" s="171" t="str">
        <f>IFERROR(IF(OR(LEFT(P23,5)="Error",LEFT(O23,5)="Error"),"Check Data",IF(F23&lt;S23,'G-7 Rivers Data'!$R$3,INDEX('G-7 Rivers Data'!$U$5:$Y$9,MATCH(G23,'G-7 Rivers Data'!$T$5:$T$9,0),MATCH(T23,'G-7 Rivers Data'!$U$4:$Y$4,0)))),"")</f>
        <v/>
      </c>
      <c r="Z23" s="261"/>
      <c r="AA23" s="261"/>
      <c r="AB23" s="179" t="str">
        <f t="shared" si="3"/>
        <v/>
      </c>
      <c r="AC23" s="262" t="str">
        <f t="shared" si="4"/>
        <v/>
      </c>
      <c r="AD23" s="382" t="str">
        <f>IFERROR(IF(AC23="Check Data","Check Data",VLOOKUP(AC23,'G-4 Temporal multipliers'!$A$4:$C$37,3,FALSE)),"")</f>
        <v/>
      </c>
      <c r="AE23" s="171" t="str">
        <f>IF(N23="","",VLOOKUP(N23,'G-7 Rivers Data'!$B$4:$G$8,5,FALSE))</f>
        <v/>
      </c>
      <c r="AF23" s="179" t="str">
        <f t="shared" si="5"/>
        <v/>
      </c>
      <c r="AG23" s="269" t="str">
        <f t="shared" si="6"/>
        <v/>
      </c>
      <c r="AH23" s="172" t="str">
        <f t="shared" si="1"/>
        <v/>
      </c>
      <c r="AI23" s="173"/>
      <c r="AJ23" s="172" t="str">
        <f>IF(AI23="","",IF(VLOOKUP(AI23,'G-7 Rivers Data'!$AA$4:$AB$7,2,FALSE)=0,"Spatial Data Missing",VLOOKUP(AI23,'G-7 Rivers Data'!$AA$4:$AB$7,2,FALSE)))</f>
        <v/>
      </c>
      <c r="AK23" s="187"/>
      <c r="AL23" s="172" t="str">
        <f>IF(AK23="","",IF(VLOOKUP(AK23,'G-7 Rivers Data'!$AD$4:$AE$8,2,FALSE)=0,"Spatial Data Missing",VLOOKUP(AK23,'G-7 Rivers Data'!$AD$4:$AE$8,2,FALSE)))</f>
        <v/>
      </c>
      <c r="AM23" s="265" t="str">
        <f t="shared" si="7"/>
        <v/>
      </c>
      <c r="AN23" s="180"/>
      <c r="AO23" s="181"/>
      <c r="AV23" s="35" t="str">
        <f>IFERROR(INDEX('G-7 Rivers Data'!$AZ$3:$AZ$7,MATCH(N23,'G-7 Rivers Data'!$AY$3:$AY$7,0)),"")</f>
        <v/>
      </c>
    </row>
    <row r="24" spans="2:48" ht="13.8" x14ac:dyDescent="0.25">
      <c r="B24" s="259" t="str">
        <f>'C-1 Site River Baseline'!AN22</f>
        <v/>
      </c>
      <c r="C24" s="175" t="str">
        <f>IF(B24="","",VLOOKUP($B24,'C-1 Site River Baseline'!$C$9:$R$257,2,FALSE))</f>
        <v/>
      </c>
      <c r="D24" s="175" t="str">
        <f>IF(C24="","",VLOOKUP($B24,'C-1 Site River Baseline'!$C$9:$R$257,3,FALSE))</f>
        <v/>
      </c>
      <c r="E24" s="175" t="str">
        <f>IF(D24="","",VLOOKUP($B24,'C-1 Site River Baseline'!$C$9:$R$257,4,FALSE))</f>
        <v/>
      </c>
      <c r="F24" s="175" t="str">
        <f>IF(E24="","",VLOOKUP($B24,'C-1 Site River Baseline'!$C$9:$R$257,5,FALSE))</f>
        <v/>
      </c>
      <c r="G24" s="175" t="str">
        <f>IF(F24="","",VLOOKUP($B24,'C-1 Site River Baseline'!$C$9:$R$257,6,FALSE))</f>
        <v/>
      </c>
      <c r="H24" s="175" t="str">
        <f>IF(G24="","",VLOOKUP($B24,'C-1 Site River Baseline'!$C$9:$R$257,7,FALSE))</f>
        <v/>
      </c>
      <c r="I24" s="175" t="str">
        <f>IF(H24="","",VLOOKUP($B24,'C-1 Site River Baseline'!$C$9:$R$257,8,FALSE))</f>
        <v/>
      </c>
      <c r="J24" s="175" t="str">
        <f>IF(I24="","",VLOOKUP($B24,'C-1 Site River Baseline'!$C$9:$R$257,9,FALSE))</f>
        <v/>
      </c>
      <c r="K24" s="175" t="str">
        <f>IF(J24="","",VLOOKUP($B24,'C-1 Site River Baseline'!$C$9:$R$257,10,FALSE))</f>
        <v/>
      </c>
      <c r="L24" s="175" t="str">
        <f>IF(B24="","",VLOOKUP($B24,'C-1 Site River Baseline'!$C$9:$R$257,15,FALSE))</f>
        <v/>
      </c>
      <c r="M24" s="176" t="str">
        <f>IF(L24="","",VLOOKUP($B24,'C-1 Site River Baseline'!$C$9:$R$257,16,FALSE))</f>
        <v/>
      </c>
      <c r="N24" s="661" t="str">
        <f t="shared" si="0"/>
        <v/>
      </c>
      <c r="O24" s="239" t="str">
        <f t="shared" si="2"/>
        <v/>
      </c>
      <c r="P24" s="172" t="str">
        <f>IF(C24="","",IF(AND(LEFT(C24,55)&lt;&gt;LEFT(N24,55),O24="High - High"),"Error - Not like for like",IF(AND(F24=S24,H24&gt;U24),"Error - Can not reduce condition",IF(AND(F24=S24,H24=U24,AJ24='C-1 Site River Baseline'!N22,'C-1 Site River Baseline'!P22=AL24),"Error - No enhancement",IF(AND(C24&lt;&gt;N24,F24&lt;S24),"Lower Distinctiveness Habitat"&amp;" - "&amp;T24,G24&amp;" - "&amp;T24)))))</f>
        <v/>
      </c>
      <c r="Q24" s="660" t="str">
        <f>IF(N24="","",VLOOKUP(B24,'C-1 Site River Baseline'!$C$10:$AA$257,19,FALSE))</f>
        <v/>
      </c>
      <c r="R24" s="171" t="str">
        <f>IF(N24="","",VLOOKUP(N24,'G-7 Rivers Data'!$B$2:$G$8,2,FALSE))</f>
        <v/>
      </c>
      <c r="S24" s="172" t="str">
        <f>IFERROR(VLOOKUP(R24,'G-7 Rivers Data'!$C$4:$D$8,2,FALSE),"")</f>
        <v/>
      </c>
      <c r="T24" s="173"/>
      <c r="U24" s="172" t="str">
        <f>IFERROR(INDEX('G-7 Rivers Data'!$H$4:$L$8,MATCH(N24,'G-7 Rivers Data'!$B$4:$B$8,0),MATCH(T24,'G-7 Rivers Data'!$H$3:$L$3,0)),"")</f>
        <v/>
      </c>
      <c r="V24" s="186"/>
      <c r="W24" s="175" t="str">
        <f>IF(V24="","",IF(VLOOKUP(V24,'G-7 Rivers Data'!$AG$4:$AI$9,2,FALSE)=0,"Spatial Data Missing",VLOOKUP(V24,'G-7 Rivers Data'!$AG$4:$AI$9,2,FALSE)))</f>
        <v/>
      </c>
      <c r="X24" s="176" t="str">
        <f>IF(V24="","",IF(VLOOKUP(V24,'G-7 Rivers Data'!$AG$4:$AI$9,3,FALSE)=0,"Spatial Data Missing",VLOOKUP(V24,'G-7 Rivers Data'!$AG$4:$AI$9,3,FALSE)))</f>
        <v/>
      </c>
      <c r="Y24" s="171" t="str">
        <f>IFERROR(IF(OR(LEFT(P24,5)="Error",LEFT(O24,5)="Error"),"Check Data",IF(F24&lt;S24,'G-7 Rivers Data'!$R$3,INDEX('G-7 Rivers Data'!$U$5:$Y$9,MATCH(G24,'G-7 Rivers Data'!$T$5:$T$9,0),MATCH(T24,'G-7 Rivers Data'!$U$4:$Y$4,0)))),"")</f>
        <v/>
      </c>
      <c r="Z24" s="261"/>
      <c r="AA24" s="261"/>
      <c r="AB24" s="179" t="str">
        <f t="shared" si="3"/>
        <v/>
      </c>
      <c r="AC24" s="262" t="str">
        <f t="shared" si="4"/>
        <v/>
      </c>
      <c r="AD24" s="382" t="str">
        <f>IFERROR(IF(AC24="Check Data","Check Data",VLOOKUP(AC24,'G-4 Temporal multipliers'!$A$4:$C$37,3,FALSE)),"")</f>
        <v/>
      </c>
      <c r="AE24" s="171" t="str">
        <f>IF(N24="","",VLOOKUP(N24,'G-7 Rivers Data'!$B$4:$G$8,5,FALSE))</f>
        <v/>
      </c>
      <c r="AF24" s="179" t="str">
        <f t="shared" si="5"/>
        <v/>
      </c>
      <c r="AG24" s="269" t="str">
        <f t="shared" si="6"/>
        <v/>
      </c>
      <c r="AH24" s="172" t="str">
        <f t="shared" si="1"/>
        <v/>
      </c>
      <c r="AI24" s="173"/>
      <c r="AJ24" s="172" t="str">
        <f>IF(AI24="","",IF(VLOOKUP(AI24,'G-7 Rivers Data'!$AA$4:$AB$7,2,FALSE)=0,"Spatial Data Missing",VLOOKUP(AI24,'G-7 Rivers Data'!$AA$4:$AB$7,2,FALSE)))</f>
        <v/>
      </c>
      <c r="AK24" s="187"/>
      <c r="AL24" s="172" t="str">
        <f>IF(AK24="","",IF(VLOOKUP(AK24,'G-7 Rivers Data'!$AD$4:$AE$8,2,FALSE)=0,"Spatial Data Missing",VLOOKUP(AK24,'G-7 Rivers Data'!$AD$4:$AE$8,2,FALSE)))</f>
        <v/>
      </c>
      <c r="AM24" s="265" t="str">
        <f t="shared" si="7"/>
        <v/>
      </c>
      <c r="AN24" s="180"/>
      <c r="AO24" s="181"/>
      <c r="AV24" s="35" t="str">
        <f>IFERROR(INDEX('G-7 Rivers Data'!$AZ$3:$AZ$7,MATCH(N24,'G-7 Rivers Data'!$AY$3:$AY$7,0)),"")</f>
        <v/>
      </c>
    </row>
    <row r="25" spans="2:48" ht="13.8" x14ac:dyDescent="0.25">
      <c r="B25" s="259" t="str">
        <f>'C-1 Site River Baseline'!AN23</f>
        <v/>
      </c>
      <c r="C25" s="175" t="str">
        <f>IF(B25="","",VLOOKUP($B25,'C-1 Site River Baseline'!$C$9:$R$257,2,FALSE))</f>
        <v/>
      </c>
      <c r="D25" s="175" t="str">
        <f>IF(C25="","",VLOOKUP($B25,'C-1 Site River Baseline'!$C$9:$R$257,3,FALSE))</f>
        <v/>
      </c>
      <c r="E25" s="175" t="str">
        <f>IF(D25="","",VLOOKUP($B25,'C-1 Site River Baseline'!$C$9:$R$257,4,FALSE))</f>
        <v/>
      </c>
      <c r="F25" s="175" t="str">
        <f>IF(E25="","",VLOOKUP($B25,'C-1 Site River Baseline'!$C$9:$R$257,5,FALSE))</f>
        <v/>
      </c>
      <c r="G25" s="175" t="str">
        <f>IF(F25="","",VLOOKUP($B25,'C-1 Site River Baseline'!$C$9:$R$257,6,FALSE))</f>
        <v/>
      </c>
      <c r="H25" s="175" t="str">
        <f>IF(G25="","",VLOOKUP($B25,'C-1 Site River Baseline'!$C$9:$R$257,7,FALSE))</f>
        <v/>
      </c>
      <c r="I25" s="175" t="str">
        <f>IF(H25="","",VLOOKUP($B25,'C-1 Site River Baseline'!$C$9:$R$257,8,FALSE))</f>
        <v/>
      </c>
      <c r="J25" s="175" t="str">
        <f>IF(I25="","",VLOOKUP($B25,'C-1 Site River Baseline'!$C$9:$R$257,9,FALSE))</f>
        <v/>
      </c>
      <c r="K25" s="175" t="str">
        <f>IF(J25="","",VLOOKUP($B25,'C-1 Site River Baseline'!$C$9:$R$257,10,FALSE))</f>
        <v/>
      </c>
      <c r="L25" s="175" t="str">
        <f>IF(B25="","",VLOOKUP($B25,'C-1 Site River Baseline'!$C$9:$R$257,15,FALSE))</f>
        <v/>
      </c>
      <c r="M25" s="176" t="str">
        <f>IF(L25="","",VLOOKUP($B25,'C-1 Site River Baseline'!$C$9:$R$257,16,FALSE))</f>
        <v/>
      </c>
      <c r="N25" s="661" t="str">
        <f t="shared" si="0"/>
        <v/>
      </c>
      <c r="O25" s="239" t="str">
        <f t="shared" si="2"/>
        <v/>
      </c>
      <c r="P25" s="172" t="str">
        <f>IF(C25="","",IF(AND(LEFT(C25,55)&lt;&gt;LEFT(N25,55),O25="High - High"),"Error - Not like for like",IF(AND(F25=S25,H25&gt;U25),"Error - Can not reduce condition",IF(AND(F25=S25,H25=U25,AJ25='C-1 Site River Baseline'!N23,'C-1 Site River Baseline'!P23=AL25),"Error - No enhancement",IF(AND(C25&lt;&gt;N25,F25&lt;S25),"Lower Distinctiveness Habitat"&amp;" - "&amp;T25,G25&amp;" - "&amp;T25)))))</f>
        <v/>
      </c>
      <c r="Q25" s="660" t="str">
        <f>IF(N25="","",VLOOKUP(B25,'C-1 Site River Baseline'!$C$10:$AA$257,19,FALSE))</f>
        <v/>
      </c>
      <c r="R25" s="171" t="str">
        <f>IF(N25="","",VLOOKUP(N25,'G-7 Rivers Data'!$B$2:$G$8,2,FALSE))</f>
        <v/>
      </c>
      <c r="S25" s="172" t="str">
        <f>IFERROR(VLOOKUP(R25,'G-7 Rivers Data'!$C$4:$D$8,2,FALSE),"")</f>
        <v/>
      </c>
      <c r="T25" s="173"/>
      <c r="U25" s="172" t="str">
        <f>IFERROR(INDEX('G-7 Rivers Data'!$H$4:$L$8,MATCH(N25,'G-7 Rivers Data'!$B$4:$B$8,0),MATCH(T25,'G-7 Rivers Data'!$H$3:$L$3,0)),"")</f>
        <v/>
      </c>
      <c r="V25" s="186"/>
      <c r="W25" s="175" t="str">
        <f>IF(V25="","",IF(VLOOKUP(V25,'G-7 Rivers Data'!$AG$4:$AI$9,2,FALSE)=0,"Spatial Data Missing",VLOOKUP(V25,'G-7 Rivers Data'!$AG$4:$AI$9,2,FALSE)))</f>
        <v/>
      </c>
      <c r="X25" s="176" t="str">
        <f>IF(V25="","",IF(VLOOKUP(V25,'G-7 Rivers Data'!$AG$4:$AI$9,3,FALSE)=0,"Spatial Data Missing",VLOOKUP(V25,'G-7 Rivers Data'!$AG$4:$AI$9,3,FALSE)))</f>
        <v/>
      </c>
      <c r="Y25" s="171" t="str">
        <f>IFERROR(IF(OR(LEFT(P25,5)="Error",LEFT(O25,5)="Error"),"Check Data",IF(F25&lt;S25,'G-7 Rivers Data'!$R$3,INDEX('G-7 Rivers Data'!$U$5:$Y$9,MATCH(G25,'G-7 Rivers Data'!$T$5:$T$9,0),MATCH(T25,'G-7 Rivers Data'!$U$4:$Y$4,0)))),"")</f>
        <v/>
      </c>
      <c r="Z25" s="261"/>
      <c r="AA25" s="261"/>
      <c r="AB25" s="179" t="str">
        <f t="shared" si="3"/>
        <v/>
      </c>
      <c r="AC25" s="262" t="str">
        <f t="shared" si="4"/>
        <v/>
      </c>
      <c r="AD25" s="382" t="str">
        <f>IFERROR(IF(AC25="Check Data","Check Data",VLOOKUP(AC25,'G-4 Temporal multipliers'!$A$4:$C$37,3,FALSE)),"")</f>
        <v/>
      </c>
      <c r="AE25" s="171" t="str">
        <f>IF(N25="","",VLOOKUP(N25,'G-7 Rivers Data'!$B$4:$G$8,5,FALSE))</f>
        <v/>
      </c>
      <c r="AF25" s="179" t="str">
        <f t="shared" si="5"/>
        <v/>
      </c>
      <c r="AG25" s="269" t="str">
        <f t="shared" si="6"/>
        <v/>
      </c>
      <c r="AH25" s="172" t="str">
        <f t="shared" si="1"/>
        <v/>
      </c>
      <c r="AI25" s="173"/>
      <c r="AJ25" s="172" t="str">
        <f>IF(AI25="","",IF(VLOOKUP(AI25,'G-7 Rivers Data'!$AA$4:$AB$7,2,FALSE)=0,"Spatial Data Missing",VLOOKUP(AI25,'G-7 Rivers Data'!$AA$4:$AB$7,2,FALSE)))</f>
        <v/>
      </c>
      <c r="AK25" s="187"/>
      <c r="AL25" s="172" t="str">
        <f>IF(AK25="","",IF(VLOOKUP(AK25,'G-7 Rivers Data'!$AD$4:$AE$8,2,FALSE)=0,"Spatial Data Missing",VLOOKUP(AK25,'G-7 Rivers Data'!$AD$4:$AE$8,2,FALSE)))</f>
        <v/>
      </c>
      <c r="AM25" s="265" t="str">
        <f t="shared" si="7"/>
        <v/>
      </c>
      <c r="AN25" s="180"/>
      <c r="AO25" s="181"/>
      <c r="AV25" s="35" t="str">
        <f>IFERROR(INDEX('G-7 Rivers Data'!$AZ$3:$AZ$7,MATCH(N25,'G-7 Rivers Data'!$AY$3:$AY$7,0)),"")</f>
        <v/>
      </c>
    </row>
    <row r="26" spans="2:48" ht="13.8" x14ac:dyDescent="0.25">
      <c r="B26" s="259" t="str">
        <f>'C-1 Site River Baseline'!AN24</f>
        <v/>
      </c>
      <c r="C26" s="175" t="str">
        <f>IF(B26="","",VLOOKUP($B26,'C-1 Site River Baseline'!$C$9:$R$257,2,FALSE))</f>
        <v/>
      </c>
      <c r="D26" s="175" t="str">
        <f>IF(C26="","",VLOOKUP($B26,'C-1 Site River Baseline'!$C$9:$R$257,3,FALSE))</f>
        <v/>
      </c>
      <c r="E26" s="175" t="str">
        <f>IF(D26="","",VLOOKUP($B26,'C-1 Site River Baseline'!$C$9:$R$257,4,FALSE))</f>
        <v/>
      </c>
      <c r="F26" s="175" t="str">
        <f>IF(E26="","",VLOOKUP($B26,'C-1 Site River Baseline'!$C$9:$R$257,5,FALSE))</f>
        <v/>
      </c>
      <c r="G26" s="175" t="str">
        <f>IF(F26="","",VLOOKUP($B26,'C-1 Site River Baseline'!$C$9:$R$257,6,FALSE))</f>
        <v/>
      </c>
      <c r="H26" s="175" t="str">
        <f>IF(G26="","",VLOOKUP($B26,'C-1 Site River Baseline'!$C$9:$R$257,7,FALSE))</f>
        <v/>
      </c>
      <c r="I26" s="175" t="str">
        <f>IF(H26="","",VLOOKUP($B26,'C-1 Site River Baseline'!$C$9:$R$257,8,FALSE))</f>
        <v/>
      </c>
      <c r="J26" s="175" t="str">
        <f>IF(I26="","",VLOOKUP($B26,'C-1 Site River Baseline'!$C$9:$R$257,9,FALSE))</f>
        <v/>
      </c>
      <c r="K26" s="175" t="str">
        <f>IF(J26="","",VLOOKUP($B26,'C-1 Site River Baseline'!$C$9:$R$257,10,FALSE))</f>
        <v/>
      </c>
      <c r="L26" s="175" t="str">
        <f>IF(B26="","",VLOOKUP($B26,'C-1 Site River Baseline'!$C$9:$R$257,15,FALSE))</f>
        <v/>
      </c>
      <c r="M26" s="176" t="str">
        <f>IF(L26="","",VLOOKUP($B26,'C-1 Site River Baseline'!$C$9:$R$257,16,FALSE))</f>
        <v/>
      </c>
      <c r="N26" s="661" t="str">
        <f t="shared" si="0"/>
        <v/>
      </c>
      <c r="O26" s="239" t="str">
        <f t="shared" si="2"/>
        <v/>
      </c>
      <c r="P26" s="172" t="str">
        <f>IF(C26="","",IF(AND(LEFT(C26,55)&lt;&gt;LEFT(N26,55),O26="High - High"),"Error - Not like for like",IF(AND(F26=S26,H26&gt;U26),"Error - Can not reduce condition",IF(AND(F26=S26,H26=U26,AJ26='C-1 Site River Baseline'!N24,'C-1 Site River Baseline'!P24=AL26),"Error - No enhancement",IF(AND(C26&lt;&gt;N26,F26&lt;S26),"Lower Distinctiveness Habitat"&amp;" - "&amp;T26,G26&amp;" - "&amp;T26)))))</f>
        <v/>
      </c>
      <c r="Q26" s="660" t="str">
        <f>IF(N26="","",VLOOKUP(B26,'C-1 Site River Baseline'!$C$10:$AA$257,19,FALSE))</f>
        <v/>
      </c>
      <c r="R26" s="171" t="str">
        <f>IF(N26="","",VLOOKUP(N26,'G-7 Rivers Data'!$B$2:$G$8,2,FALSE))</f>
        <v/>
      </c>
      <c r="S26" s="172" t="str">
        <f>IFERROR(VLOOKUP(R26,'G-7 Rivers Data'!$C$4:$D$8,2,FALSE),"")</f>
        <v/>
      </c>
      <c r="T26" s="173"/>
      <c r="U26" s="172" t="str">
        <f>IFERROR(INDEX('G-7 Rivers Data'!$H$4:$L$8,MATCH(N26,'G-7 Rivers Data'!$B$4:$B$8,0),MATCH(T26,'G-7 Rivers Data'!$H$3:$L$3,0)),"")</f>
        <v/>
      </c>
      <c r="V26" s="186"/>
      <c r="W26" s="175" t="str">
        <f>IF(V26="","",IF(VLOOKUP(V26,'G-7 Rivers Data'!$AG$4:$AI$9,2,FALSE)=0,"Spatial Data Missing",VLOOKUP(V26,'G-7 Rivers Data'!$AG$4:$AI$9,2,FALSE)))</f>
        <v/>
      </c>
      <c r="X26" s="176" t="str">
        <f>IF(V26="","",IF(VLOOKUP(V26,'G-7 Rivers Data'!$AG$4:$AI$9,3,FALSE)=0,"Spatial Data Missing",VLOOKUP(V26,'G-7 Rivers Data'!$AG$4:$AI$9,3,FALSE)))</f>
        <v/>
      </c>
      <c r="Y26" s="171" t="str">
        <f>IFERROR(IF(OR(LEFT(P26,5)="Error",LEFT(O26,5)="Error"),"Check Data",IF(F26&lt;S26,'G-7 Rivers Data'!$R$3,INDEX('G-7 Rivers Data'!$U$5:$Y$9,MATCH(G26,'G-7 Rivers Data'!$T$5:$T$9,0),MATCH(T26,'G-7 Rivers Data'!$U$4:$Y$4,0)))),"")</f>
        <v/>
      </c>
      <c r="Z26" s="261"/>
      <c r="AA26" s="261"/>
      <c r="AB26" s="179" t="str">
        <f t="shared" si="3"/>
        <v/>
      </c>
      <c r="AC26" s="262" t="str">
        <f t="shared" si="4"/>
        <v/>
      </c>
      <c r="AD26" s="382" t="str">
        <f>IFERROR(IF(AC26="Check Data","Check Data",VLOOKUP(AC26,'G-4 Temporal multipliers'!$A$4:$C$37,3,FALSE)),"")</f>
        <v/>
      </c>
      <c r="AE26" s="171" t="str">
        <f>IF(N26="","",VLOOKUP(N26,'G-7 Rivers Data'!$B$4:$G$8,5,FALSE))</f>
        <v/>
      </c>
      <c r="AF26" s="179" t="str">
        <f t="shared" si="5"/>
        <v/>
      </c>
      <c r="AG26" s="269" t="str">
        <f t="shared" si="6"/>
        <v/>
      </c>
      <c r="AH26" s="172" t="str">
        <f t="shared" si="1"/>
        <v/>
      </c>
      <c r="AI26" s="173"/>
      <c r="AJ26" s="172" t="str">
        <f>IF(AI26="","",IF(VLOOKUP(AI26,'G-7 Rivers Data'!$AA$4:$AB$7,2,FALSE)=0,"Spatial Data Missing",VLOOKUP(AI26,'G-7 Rivers Data'!$AA$4:$AB$7,2,FALSE)))</f>
        <v/>
      </c>
      <c r="AK26" s="187"/>
      <c r="AL26" s="172" t="str">
        <f>IF(AK26="","",IF(VLOOKUP(AK26,'G-7 Rivers Data'!$AD$4:$AE$8,2,FALSE)=0,"Spatial Data Missing",VLOOKUP(AK26,'G-7 Rivers Data'!$AD$4:$AE$8,2,FALSE)))</f>
        <v/>
      </c>
      <c r="AM26" s="265" t="str">
        <f t="shared" si="7"/>
        <v/>
      </c>
      <c r="AN26" s="180"/>
      <c r="AO26" s="181"/>
      <c r="AV26" s="35" t="str">
        <f>IFERROR(INDEX('G-7 Rivers Data'!$AZ$3:$AZ$7,MATCH(N26,'G-7 Rivers Data'!$AY$3:$AY$7,0)),"")</f>
        <v/>
      </c>
    </row>
    <row r="27" spans="2:48" ht="13.8" x14ac:dyDescent="0.25">
      <c r="B27" s="259" t="str">
        <f>'C-1 Site River Baseline'!AN25</f>
        <v/>
      </c>
      <c r="C27" s="175" t="str">
        <f>IF(B27="","",VLOOKUP($B27,'C-1 Site River Baseline'!$C$9:$R$257,2,FALSE))</f>
        <v/>
      </c>
      <c r="D27" s="175" t="str">
        <f>IF(C27="","",VLOOKUP($B27,'C-1 Site River Baseline'!$C$9:$R$257,3,FALSE))</f>
        <v/>
      </c>
      <c r="E27" s="175" t="str">
        <f>IF(D27="","",VLOOKUP($B27,'C-1 Site River Baseline'!$C$9:$R$257,4,FALSE))</f>
        <v/>
      </c>
      <c r="F27" s="175" t="str">
        <f>IF(E27="","",VLOOKUP($B27,'C-1 Site River Baseline'!$C$9:$R$257,5,FALSE))</f>
        <v/>
      </c>
      <c r="G27" s="175" t="str">
        <f>IF(F27="","",VLOOKUP($B27,'C-1 Site River Baseline'!$C$9:$R$257,6,FALSE))</f>
        <v/>
      </c>
      <c r="H27" s="175" t="str">
        <f>IF(G27="","",VLOOKUP($B27,'C-1 Site River Baseline'!$C$9:$R$257,7,FALSE))</f>
        <v/>
      </c>
      <c r="I27" s="175" t="str">
        <f>IF(H27="","",VLOOKUP($B27,'C-1 Site River Baseline'!$C$9:$R$257,8,FALSE))</f>
        <v/>
      </c>
      <c r="J27" s="175" t="str">
        <f>IF(I27="","",VLOOKUP($B27,'C-1 Site River Baseline'!$C$9:$R$257,9,FALSE))</f>
        <v/>
      </c>
      <c r="K27" s="175" t="str">
        <f>IF(J27="","",VLOOKUP($B27,'C-1 Site River Baseline'!$C$9:$R$257,10,FALSE))</f>
        <v/>
      </c>
      <c r="L27" s="175" t="str">
        <f>IF(B27="","",VLOOKUP($B27,'C-1 Site River Baseline'!$C$9:$R$257,15,FALSE))</f>
        <v/>
      </c>
      <c r="M27" s="176" t="str">
        <f>IF(L27="","",VLOOKUP($B27,'C-1 Site River Baseline'!$C$9:$R$257,16,FALSE))</f>
        <v/>
      </c>
      <c r="N27" s="661" t="str">
        <f t="shared" si="0"/>
        <v/>
      </c>
      <c r="O27" s="239" t="str">
        <f t="shared" si="2"/>
        <v/>
      </c>
      <c r="P27" s="172" t="str">
        <f>IF(C27="","",IF(AND(LEFT(C27,55)&lt;&gt;LEFT(N27,55),O27="High - High"),"Error - Not like for like",IF(AND(F27=S27,H27&gt;U27),"Error - Can not reduce condition",IF(AND(F27=S27,H27=U27,AJ27='C-1 Site River Baseline'!N25,'C-1 Site River Baseline'!P25=AL27),"Error - No enhancement",IF(AND(C27&lt;&gt;N27,F27&lt;S27),"Lower Distinctiveness Habitat"&amp;" - "&amp;T27,G27&amp;" - "&amp;T27)))))</f>
        <v/>
      </c>
      <c r="Q27" s="660" t="str">
        <f>IF(N27="","",VLOOKUP(B27,'C-1 Site River Baseline'!$C$10:$AA$257,19,FALSE))</f>
        <v/>
      </c>
      <c r="R27" s="171" t="str">
        <f>IF(N27="","",VLOOKUP(N27,'G-7 Rivers Data'!$B$2:$G$8,2,FALSE))</f>
        <v/>
      </c>
      <c r="S27" s="172" t="str">
        <f>IFERROR(VLOOKUP(R27,'G-7 Rivers Data'!$C$4:$D$8,2,FALSE),"")</f>
        <v/>
      </c>
      <c r="T27" s="173"/>
      <c r="U27" s="172" t="str">
        <f>IFERROR(INDEX('G-7 Rivers Data'!$H$4:$L$8,MATCH(N27,'G-7 Rivers Data'!$B$4:$B$8,0),MATCH(T27,'G-7 Rivers Data'!$H$3:$L$3,0)),"")</f>
        <v/>
      </c>
      <c r="V27" s="186"/>
      <c r="W27" s="175" t="str">
        <f>IF(V27="","",IF(VLOOKUP(V27,'G-7 Rivers Data'!$AG$4:$AI$9,2,FALSE)=0,"Spatial Data Missing",VLOOKUP(V27,'G-7 Rivers Data'!$AG$4:$AI$9,2,FALSE)))</f>
        <v/>
      </c>
      <c r="X27" s="176" t="str">
        <f>IF(V27="","",IF(VLOOKUP(V27,'G-7 Rivers Data'!$AG$4:$AI$9,3,FALSE)=0,"Spatial Data Missing",VLOOKUP(V27,'G-7 Rivers Data'!$AG$4:$AI$9,3,FALSE)))</f>
        <v/>
      </c>
      <c r="Y27" s="171" t="str">
        <f>IFERROR(IF(OR(LEFT(P27,5)="Error",LEFT(O27,5)="Error"),"Check Data",IF(F27&lt;S27,'G-7 Rivers Data'!$R$3,INDEX('G-7 Rivers Data'!$U$5:$Y$9,MATCH(G27,'G-7 Rivers Data'!$T$5:$T$9,0),MATCH(T27,'G-7 Rivers Data'!$U$4:$Y$4,0)))),"")</f>
        <v/>
      </c>
      <c r="Z27" s="261"/>
      <c r="AA27" s="261"/>
      <c r="AB27" s="179" t="str">
        <f t="shared" si="3"/>
        <v/>
      </c>
      <c r="AC27" s="262" t="str">
        <f t="shared" si="4"/>
        <v/>
      </c>
      <c r="AD27" s="382" t="str">
        <f>IFERROR(IF(AC27="Check Data","Check Data",VLOOKUP(AC27,'G-4 Temporal multipliers'!$A$4:$C$37,3,FALSE)),"")</f>
        <v/>
      </c>
      <c r="AE27" s="171" t="str">
        <f>IF(N27="","",VLOOKUP(N27,'G-7 Rivers Data'!$B$4:$G$8,5,FALSE))</f>
        <v/>
      </c>
      <c r="AF27" s="179" t="str">
        <f t="shared" si="5"/>
        <v/>
      </c>
      <c r="AG27" s="269" t="str">
        <f t="shared" si="6"/>
        <v/>
      </c>
      <c r="AH27" s="172" t="str">
        <f t="shared" si="1"/>
        <v/>
      </c>
      <c r="AI27" s="173"/>
      <c r="AJ27" s="172" t="str">
        <f>IF(AI27="","",IF(VLOOKUP(AI27,'G-7 Rivers Data'!$AA$4:$AB$7,2,FALSE)=0,"Spatial Data Missing",VLOOKUP(AI27,'G-7 Rivers Data'!$AA$4:$AB$7,2,FALSE)))</f>
        <v/>
      </c>
      <c r="AK27" s="187"/>
      <c r="AL27" s="172" t="str">
        <f>IF(AK27="","",IF(VLOOKUP(AK27,'G-7 Rivers Data'!$AD$4:$AE$8,2,FALSE)=0,"Spatial Data Missing",VLOOKUP(AK27,'G-7 Rivers Data'!$AD$4:$AE$8,2,FALSE)))</f>
        <v/>
      </c>
      <c r="AM27" s="265" t="str">
        <f t="shared" si="7"/>
        <v/>
      </c>
      <c r="AN27" s="180"/>
      <c r="AO27" s="181"/>
      <c r="AV27" s="35" t="str">
        <f>IFERROR(INDEX('G-7 Rivers Data'!$AZ$3:$AZ$7,MATCH(N27,'G-7 Rivers Data'!$AY$3:$AY$7,0)),"")</f>
        <v/>
      </c>
    </row>
    <row r="28" spans="2:48" ht="13.8" x14ac:dyDescent="0.25">
      <c r="B28" s="259" t="str">
        <f>'C-1 Site River Baseline'!AN26</f>
        <v/>
      </c>
      <c r="C28" s="175" t="str">
        <f>IF(B28="","",VLOOKUP($B28,'C-1 Site River Baseline'!$C$9:$R$257,2,FALSE))</f>
        <v/>
      </c>
      <c r="D28" s="175" t="str">
        <f>IF(C28="","",VLOOKUP($B28,'C-1 Site River Baseline'!$C$9:$R$257,3,FALSE))</f>
        <v/>
      </c>
      <c r="E28" s="175" t="str">
        <f>IF(D28="","",VLOOKUP($B28,'C-1 Site River Baseline'!$C$9:$R$257,4,FALSE))</f>
        <v/>
      </c>
      <c r="F28" s="175" t="str">
        <f>IF(E28="","",VLOOKUP($B28,'C-1 Site River Baseline'!$C$9:$R$257,5,FALSE))</f>
        <v/>
      </c>
      <c r="G28" s="175" t="str">
        <f>IF(F28="","",VLOOKUP($B28,'C-1 Site River Baseline'!$C$9:$R$257,6,FALSE))</f>
        <v/>
      </c>
      <c r="H28" s="175" t="str">
        <f>IF(G28="","",VLOOKUP($B28,'C-1 Site River Baseline'!$C$9:$R$257,7,FALSE))</f>
        <v/>
      </c>
      <c r="I28" s="175" t="str">
        <f>IF(H28="","",VLOOKUP($B28,'C-1 Site River Baseline'!$C$9:$R$257,8,FALSE))</f>
        <v/>
      </c>
      <c r="J28" s="175" t="str">
        <f>IF(I28="","",VLOOKUP($B28,'C-1 Site River Baseline'!$C$9:$R$257,9,FALSE))</f>
        <v/>
      </c>
      <c r="K28" s="175" t="str">
        <f>IF(J28="","",VLOOKUP($B28,'C-1 Site River Baseline'!$C$9:$R$257,10,FALSE))</f>
        <v/>
      </c>
      <c r="L28" s="175" t="str">
        <f>IF(B28="","",VLOOKUP($B28,'C-1 Site River Baseline'!$C$9:$R$257,15,FALSE))</f>
        <v/>
      </c>
      <c r="M28" s="176" t="str">
        <f>IF(L28="","",VLOOKUP($B28,'C-1 Site River Baseline'!$C$9:$R$257,16,FALSE))</f>
        <v/>
      </c>
      <c r="N28" s="661" t="str">
        <f t="shared" si="0"/>
        <v/>
      </c>
      <c r="O28" s="239" t="str">
        <f t="shared" si="2"/>
        <v/>
      </c>
      <c r="P28" s="172" t="str">
        <f>IF(C28="","",IF(AND(LEFT(C28,55)&lt;&gt;LEFT(N28,55),O28="High - High"),"Error - Not like for like",IF(AND(F28=S28,H28&gt;U28),"Error - Can not reduce condition",IF(AND(F28=S28,H28=U28,AJ28='C-1 Site River Baseline'!N26,'C-1 Site River Baseline'!P26=AL28),"Error - No enhancement",IF(AND(C28&lt;&gt;N28,F28&lt;S28),"Lower Distinctiveness Habitat"&amp;" - "&amp;T28,G28&amp;" - "&amp;T28)))))</f>
        <v/>
      </c>
      <c r="Q28" s="660" t="str">
        <f>IF(N28="","",VLOOKUP(B28,'C-1 Site River Baseline'!$C$10:$AA$257,19,FALSE))</f>
        <v/>
      </c>
      <c r="R28" s="171" t="str">
        <f>IF(N28="","",VLOOKUP(N28,'G-7 Rivers Data'!$B$2:$G$8,2,FALSE))</f>
        <v/>
      </c>
      <c r="S28" s="172" t="str">
        <f>IFERROR(VLOOKUP(R28,'G-7 Rivers Data'!$C$4:$D$8,2,FALSE),"")</f>
        <v/>
      </c>
      <c r="T28" s="173"/>
      <c r="U28" s="172" t="str">
        <f>IFERROR(INDEX('G-7 Rivers Data'!$H$4:$L$8,MATCH(N28,'G-7 Rivers Data'!$B$4:$B$8,0),MATCH(T28,'G-7 Rivers Data'!$H$3:$L$3,0)),"")</f>
        <v/>
      </c>
      <c r="V28" s="186"/>
      <c r="W28" s="175" t="str">
        <f>IF(V28="","",IF(VLOOKUP(V28,'G-7 Rivers Data'!$AG$4:$AI$9,2,FALSE)=0,"Spatial Data Missing",VLOOKUP(V28,'G-7 Rivers Data'!$AG$4:$AI$9,2,FALSE)))</f>
        <v/>
      </c>
      <c r="X28" s="176" t="str">
        <f>IF(V28="","",IF(VLOOKUP(V28,'G-7 Rivers Data'!$AG$4:$AI$9,3,FALSE)=0,"Spatial Data Missing",VLOOKUP(V28,'G-7 Rivers Data'!$AG$4:$AI$9,3,FALSE)))</f>
        <v/>
      </c>
      <c r="Y28" s="171" t="str">
        <f>IFERROR(IF(OR(LEFT(P28,5)="Error",LEFT(O28,5)="Error"),"Check Data",IF(F28&lt;S28,'G-7 Rivers Data'!$R$3,INDEX('G-7 Rivers Data'!$U$5:$Y$9,MATCH(G28,'G-7 Rivers Data'!$T$5:$T$9,0),MATCH(T28,'G-7 Rivers Data'!$U$4:$Y$4,0)))),"")</f>
        <v/>
      </c>
      <c r="Z28" s="261"/>
      <c r="AA28" s="261"/>
      <c r="AB28" s="179" t="str">
        <f t="shared" si="3"/>
        <v/>
      </c>
      <c r="AC28" s="262" t="str">
        <f t="shared" si="4"/>
        <v/>
      </c>
      <c r="AD28" s="382" t="str">
        <f>IFERROR(IF(AC28="Check Data","Check Data",VLOOKUP(AC28,'G-4 Temporal multipliers'!$A$4:$C$37,3,FALSE)),"")</f>
        <v/>
      </c>
      <c r="AE28" s="171" t="str">
        <f>IF(N28="","",VLOOKUP(N28,'G-7 Rivers Data'!$B$4:$G$8,5,FALSE))</f>
        <v/>
      </c>
      <c r="AF28" s="179" t="str">
        <f t="shared" si="5"/>
        <v/>
      </c>
      <c r="AG28" s="269" t="str">
        <f t="shared" si="6"/>
        <v/>
      </c>
      <c r="AH28" s="172" t="str">
        <f t="shared" si="1"/>
        <v/>
      </c>
      <c r="AI28" s="173"/>
      <c r="AJ28" s="172" t="str">
        <f>IF(AI28="","",IF(VLOOKUP(AI28,'G-7 Rivers Data'!$AA$4:$AB$7,2,FALSE)=0,"Spatial Data Missing",VLOOKUP(AI28,'G-7 Rivers Data'!$AA$4:$AB$7,2,FALSE)))</f>
        <v/>
      </c>
      <c r="AK28" s="187"/>
      <c r="AL28" s="172" t="str">
        <f>IF(AK28="","",IF(VLOOKUP(AK28,'G-7 Rivers Data'!$AD$4:$AE$8,2,FALSE)=0,"Spatial Data Missing",VLOOKUP(AK28,'G-7 Rivers Data'!$AD$4:$AE$8,2,FALSE)))</f>
        <v/>
      </c>
      <c r="AM28" s="265" t="str">
        <f t="shared" si="7"/>
        <v/>
      </c>
      <c r="AN28" s="180"/>
      <c r="AO28" s="181"/>
      <c r="AV28" s="35" t="str">
        <f>IFERROR(INDEX('G-7 Rivers Data'!$AZ$3:$AZ$7,MATCH(N28,'G-7 Rivers Data'!$AY$3:$AY$7,0)),"")</f>
        <v/>
      </c>
    </row>
    <row r="29" spans="2:48" ht="13.8" x14ac:dyDescent="0.25">
      <c r="B29" s="259" t="str">
        <f>'C-1 Site River Baseline'!AN27</f>
        <v/>
      </c>
      <c r="C29" s="175" t="str">
        <f>IF(B29="","",VLOOKUP($B29,'C-1 Site River Baseline'!$C$9:$R$257,2,FALSE))</f>
        <v/>
      </c>
      <c r="D29" s="175" t="str">
        <f>IF(C29="","",VLOOKUP($B29,'C-1 Site River Baseline'!$C$9:$R$257,3,FALSE))</f>
        <v/>
      </c>
      <c r="E29" s="175" t="str">
        <f>IF(D29="","",VLOOKUP($B29,'C-1 Site River Baseline'!$C$9:$R$257,4,FALSE))</f>
        <v/>
      </c>
      <c r="F29" s="175" t="str">
        <f>IF(E29="","",VLOOKUP($B29,'C-1 Site River Baseline'!$C$9:$R$257,5,FALSE))</f>
        <v/>
      </c>
      <c r="G29" s="175" t="str">
        <f>IF(F29="","",VLOOKUP($B29,'C-1 Site River Baseline'!$C$9:$R$257,6,FALSE))</f>
        <v/>
      </c>
      <c r="H29" s="175" t="str">
        <f>IF(G29="","",VLOOKUP($B29,'C-1 Site River Baseline'!$C$9:$R$257,7,FALSE))</f>
        <v/>
      </c>
      <c r="I29" s="175" t="str">
        <f>IF(H29="","",VLOOKUP($B29,'C-1 Site River Baseline'!$C$9:$R$257,8,FALSE))</f>
        <v/>
      </c>
      <c r="J29" s="175" t="str">
        <f>IF(I29="","",VLOOKUP($B29,'C-1 Site River Baseline'!$C$9:$R$257,9,FALSE))</f>
        <v/>
      </c>
      <c r="K29" s="175" t="str">
        <f>IF(J29="","",VLOOKUP($B29,'C-1 Site River Baseline'!$C$9:$R$257,10,FALSE))</f>
        <v/>
      </c>
      <c r="L29" s="175" t="str">
        <f>IF(B29="","",VLOOKUP($B29,'C-1 Site River Baseline'!$C$9:$R$257,15,FALSE))</f>
        <v/>
      </c>
      <c r="M29" s="176" t="str">
        <f>IF(L29="","",VLOOKUP($B29,'C-1 Site River Baseline'!$C$9:$R$257,16,FALSE))</f>
        <v/>
      </c>
      <c r="N29" s="661" t="str">
        <f t="shared" si="0"/>
        <v/>
      </c>
      <c r="O29" s="239" t="str">
        <f t="shared" si="2"/>
        <v/>
      </c>
      <c r="P29" s="172" t="str">
        <f>IF(C29="","",IF(AND(LEFT(C29,55)&lt;&gt;LEFT(N29,55),O29="High - High"),"Error - Not like for like",IF(AND(F29=S29,H29&gt;U29),"Error - Can not reduce condition",IF(AND(F29=S29,H29=U29,AJ29='C-1 Site River Baseline'!N27,'C-1 Site River Baseline'!P27=AL29),"Error - No enhancement",IF(AND(C29&lt;&gt;N29,F29&lt;S29),"Lower Distinctiveness Habitat"&amp;" - "&amp;T29,G29&amp;" - "&amp;T29)))))</f>
        <v/>
      </c>
      <c r="Q29" s="660" t="str">
        <f>IF(N29="","",VLOOKUP(B29,'C-1 Site River Baseline'!$C$10:$AA$257,19,FALSE))</f>
        <v/>
      </c>
      <c r="R29" s="171" t="str">
        <f>IF(N29="","",VLOOKUP(N29,'G-7 Rivers Data'!$B$2:$G$8,2,FALSE))</f>
        <v/>
      </c>
      <c r="S29" s="172" t="str">
        <f>IFERROR(VLOOKUP(R29,'G-7 Rivers Data'!$C$4:$D$8,2,FALSE),"")</f>
        <v/>
      </c>
      <c r="T29" s="173"/>
      <c r="U29" s="172" t="str">
        <f>IFERROR(INDEX('G-7 Rivers Data'!$H$4:$L$8,MATCH(N29,'G-7 Rivers Data'!$B$4:$B$8,0),MATCH(T29,'G-7 Rivers Data'!$H$3:$L$3,0)),"")</f>
        <v/>
      </c>
      <c r="V29" s="186"/>
      <c r="W29" s="175" t="str">
        <f>IF(V29="","",IF(VLOOKUP(V29,'G-7 Rivers Data'!$AG$4:$AI$9,2,FALSE)=0,"Spatial Data Missing",VLOOKUP(V29,'G-7 Rivers Data'!$AG$4:$AI$9,2,FALSE)))</f>
        <v/>
      </c>
      <c r="X29" s="176" t="str">
        <f>IF(V29="","",IF(VLOOKUP(V29,'G-7 Rivers Data'!$AG$4:$AI$9,3,FALSE)=0,"Spatial Data Missing",VLOOKUP(V29,'G-7 Rivers Data'!$AG$4:$AI$9,3,FALSE)))</f>
        <v/>
      </c>
      <c r="Y29" s="171" t="str">
        <f>IFERROR(IF(OR(LEFT(P29,5)="Error",LEFT(O29,5)="Error"),"Check Data",IF(F29&lt;S29,'G-7 Rivers Data'!$R$3,INDEX('G-7 Rivers Data'!$U$5:$Y$9,MATCH(G29,'G-7 Rivers Data'!$T$5:$T$9,0),MATCH(T29,'G-7 Rivers Data'!$U$4:$Y$4,0)))),"")</f>
        <v/>
      </c>
      <c r="Z29" s="261"/>
      <c r="AA29" s="261"/>
      <c r="AB29" s="179" t="str">
        <f t="shared" si="3"/>
        <v/>
      </c>
      <c r="AC29" s="262" t="str">
        <f t="shared" si="4"/>
        <v/>
      </c>
      <c r="AD29" s="382" t="str">
        <f>IFERROR(IF(AC29="Check Data","Check Data",VLOOKUP(AC29,'G-4 Temporal multipliers'!$A$4:$C$37,3,FALSE)),"")</f>
        <v/>
      </c>
      <c r="AE29" s="171" t="str">
        <f>IF(N29="","",VLOOKUP(N29,'G-7 Rivers Data'!$B$4:$G$8,5,FALSE))</f>
        <v/>
      </c>
      <c r="AF29" s="179" t="str">
        <f t="shared" si="5"/>
        <v/>
      </c>
      <c r="AG29" s="269" t="str">
        <f t="shared" si="6"/>
        <v/>
      </c>
      <c r="AH29" s="172" t="str">
        <f t="shared" si="1"/>
        <v/>
      </c>
      <c r="AI29" s="173"/>
      <c r="AJ29" s="172" t="str">
        <f>IF(AI29="","",IF(VLOOKUP(AI29,'G-7 Rivers Data'!$AA$4:$AB$7,2,FALSE)=0,"Spatial Data Missing",VLOOKUP(AI29,'G-7 Rivers Data'!$AA$4:$AB$7,2,FALSE)))</f>
        <v/>
      </c>
      <c r="AK29" s="187"/>
      <c r="AL29" s="172" t="str">
        <f>IF(AK29="","",IF(VLOOKUP(AK29,'G-7 Rivers Data'!$AD$4:$AE$8,2,FALSE)=0,"Spatial Data Missing",VLOOKUP(AK29,'G-7 Rivers Data'!$AD$4:$AE$8,2,FALSE)))</f>
        <v/>
      </c>
      <c r="AM29" s="265" t="str">
        <f t="shared" si="7"/>
        <v/>
      </c>
      <c r="AN29" s="180"/>
      <c r="AO29" s="181"/>
      <c r="AV29" s="35" t="str">
        <f>IFERROR(INDEX('G-7 Rivers Data'!$AZ$3:$AZ$7,MATCH(N29,'G-7 Rivers Data'!$AY$3:$AY$7,0)),"")</f>
        <v/>
      </c>
    </row>
    <row r="30" spans="2:48" ht="13.8" x14ac:dyDescent="0.25">
      <c r="B30" s="259" t="str">
        <f>'C-1 Site River Baseline'!AN28</f>
        <v/>
      </c>
      <c r="C30" s="175" t="str">
        <f>IF(B30="","",VLOOKUP($B30,'C-1 Site River Baseline'!$C$9:$R$257,2,FALSE))</f>
        <v/>
      </c>
      <c r="D30" s="175" t="str">
        <f>IF(C30="","",VLOOKUP($B30,'C-1 Site River Baseline'!$C$9:$R$257,3,FALSE))</f>
        <v/>
      </c>
      <c r="E30" s="175" t="str">
        <f>IF(D30="","",VLOOKUP($B30,'C-1 Site River Baseline'!$C$9:$R$257,4,FALSE))</f>
        <v/>
      </c>
      <c r="F30" s="175" t="str">
        <f>IF(E30="","",VLOOKUP($B30,'C-1 Site River Baseline'!$C$9:$R$257,5,FALSE))</f>
        <v/>
      </c>
      <c r="G30" s="175" t="str">
        <f>IF(F30="","",VLOOKUP($B30,'C-1 Site River Baseline'!$C$9:$R$257,6,FALSE))</f>
        <v/>
      </c>
      <c r="H30" s="175" t="str">
        <f>IF(G30="","",VLOOKUP($B30,'C-1 Site River Baseline'!$C$9:$R$257,7,FALSE))</f>
        <v/>
      </c>
      <c r="I30" s="175" t="str">
        <f>IF(H30="","",VLOOKUP($B30,'C-1 Site River Baseline'!$C$9:$R$257,8,FALSE))</f>
        <v/>
      </c>
      <c r="J30" s="175" t="str">
        <f>IF(I30="","",VLOOKUP($B30,'C-1 Site River Baseline'!$C$9:$R$257,9,FALSE))</f>
        <v/>
      </c>
      <c r="K30" s="175" t="str">
        <f>IF(J30="","",VLOOKUP($B30,'C-1 Site River Baseline'!$C$9:$R$257,10,FALSE))</f>
        <v/>
      </c>
      <c r="L30" s="175" t="str">
        <f>IF(B30="","",VLOOKUP($B30,'C-1 Site River Baseline'!$C$9:$R$257,15,FALSE))</f>
        <v/>
      </c>
      <c r="M30" s="176" t="str">
        <f>IF(L30="","",VLOOKUP($B30,'C-1 Site River Baseline'!$C$9:$R$257,16,FALSE))</f>
        <v/>
      </c>
      <c r="N30" s="661" t="str">
        <f t="shared" si="0"/>
        <v/>
      </c>
      <c r="O30" s="239" t="str">
        <f t="shared" si="2"/>
        <v/>
      </c>
      <c r="P30" s="172" t="str">
        <f>IF(C30="","",IF(AND(LEFT(C30,55)&lt;&gt;LEFT(N30,55),O30="High - High"),"Error - Not like for like",IF(AND(F30=S30,H30&gt;U30),"Error - Can not reduce condition",IF(AND(F30=S30,H30=U30,AJ30='C-1 Site River Baseline'!N28,'C-1 Site River Baseline'!P28=AL30),"Error - No enhancement",IF(AND(C30&lt;&gt;N30,F30&lt;S30),"Lower Distinctiveness Habitat"&amp;" - "&amp;T30,G30&amp;" - "&amp;T30)))))</f>
        <v/>
      </c>
      <c r="Q30" s="660" t="str">
        <f>IF(N30="","",VLOOKUP(B30,'C-1 Site River Baseline'!$C$10:$AA$257,19,FALSE))</f>
        <v/>
      </c>
      <c r="R30" s="171" t="str">
        <f>IF(N30="","",VLOOKUP(N30,'G-7 Rivers Data'!$B$2:$G$8,2,FALSE))</f>
        <v/>
      </c>
      <c r="S30" s="172" t="str">
        <f>IFERROR(VLOOKUP(R30,'G-7 Rivers Data'!$C$4:$D$8,2,FALSE),"")</f>
        <v/>
      </c>
      <c r="T30" s="173"/>
      <c r="U30" s="172" t="str">
        <f>IFERROR(INDEX('G-7 Rivers Data'!$H$4:$L$8,MATCH(N30,'G-7 Rivers Data'!$B$4:$B$8,0),MATCH(T30,'G-7 Rivers Data'!$H$3:$L$3,0)),"")</f>
        <v/>
      </c>
      <c r="V30" s="186"/>
      <c r="W30" s="175" t="str">
        <f>IF(V30="","",IF(VLOOKUP(V30,'G-7 Rivers Data'!$AG$4:$AI$9,2,FALSE)=0,"Spatial Data Missing",VLOOKUP(V30,'G-7 Rivers Data'!$AG$4:$AI$9,2,FALSE)))</f>
        <v/>
      </c>
      <c r="X30" s="176" t="str">
        <f>IF(V30="","",IF(VLOOKUP(V30,'G-7 Rivers Data'!$AG$4:$AI$9,3,FALSE)=0,"Spatial Data Missing",VLOOKUP(V30,'G-7 Rivers Data'!$AG$4:$AI$9,3,FALSE)))</f>
        <v/>
      </c>
      <c r="Y30" s="171" t="str">
        <f>IFERROR(IF(OR(LEFT(P30,5)="Error",LEFT(O30,5)="Error"),"Check Data",IF(F30&lt;S30,'G-7 Rivers Data'!$R$3,INDEX('G-7 Rivers Data'!$U$5:$Y$9,MATCH(G30,'G-7 Rivers Data'!$T$5:$T$9,0),MATCH(T30,'G-7 Rivers Data'!$U$4:$Y$4,0)))),"")</f>
        <v/>
      </c>
      <c r="Z30" s="261"/>
      <c r="AA30" s="261"/>
      <c r="AB30" s="179" t="str">
        <f t="shared" si="3"/>
        <v/>
      </c>
      <c r="AC30" s="262" t="str">
        <f t="shared" si="4"/>
        <v/>
      </c>
      <c r="AD30" s="382" t="str">
        <f>IFERROR(IF(AC30="Check Data","Check Data",VLOOKUP(AC30,'G-4 Temporal multipliers'!$A$4:$C$37,3,FALSE)),"")</f>
        <v/>
      </c>
      <c r="AE30" s="171" t="str">
        <f>IF(N30="","",VLOOKUP(N30,'G-7 Rivers Data'!$B$4:$G$8,5,FALSE))</f>
        <v/>
      </c>
      <c r="AF30" s="179" t="str">
        <f t="shared" si="5"/>
        <v/>
      </c>
      <c r="AG30" s="269" t="str">
        <f t="shared" si="6"/>
        <v/>
      </c>
      <c r="AH30" s="172" t="str">
        <f t="shared" si="1"/>
        <v/>
      </c>
      <c r="AI30" s="173"/>
      <c r="AJ30" s="172" t="str">
        <f>IF(AI30="","",IF(VLOOKUP(AI30,'G-7 Rivers Data'!$AA$4:$AB$7,2,FALSE)=0,"Spatial Data Missing",VLOOKUP(AI30,'G-7 Rivers Data'!$AA$4:$AB$7,2,FALSE)))</f>
        <v/>
      </c>
      <c r="AK30" s="187"/>
      <c r="AL30" s="172" t="str">
        <f>IF(AK30="","",IF(VLOOKUP(AK30,'G-7 Rivers Data'!$AD$4:$AE$8,2,FALSE)=0,"Spatial Data Missing",VLOOKUP(AK30,'G-7 Rivers Data'!$AD$4:$AE$8,2,FALSE)))</f>
        <v/>
      </c>
      <c r="AM30" s="265" t="str">
        <f t="shared" si="7"/>
        <v/>
      </c>
      <c r="AN30" s="180"/>
      <c r="AO30" s="181"/>
      <c r="AV30" s="35" t="str">
        <f>IFERROR(INDEX('G-7 Rivers Data'!$AZ$3:$AZ$7,MATCH(N30,'G-7 Rivers Data'!$AY$3:$AY$7,0)),"")</f>
        <v/>
      </c>
    </row>
    <row r="31" spans="2:48" ht="13.8" x14ac:dyDescent="0.25">
      <c r="B31" s="259" t="str">
        <f>'C-1 Site River Baseline'!AN29</f>
        <v/>
      </c>
      <c r="C31" s="175" t="str">
        <f>IF(B31="","",VLOOKUP($B31,'C-1 Site River Baseline'!$C$9:$R$257,2,FALSE))</f>
        <v/>
      </c>
      <c r="D31" s="175" t="str">
        <f>IF(C31="","",VLOOKUP($B31,'C-1 Site River Baseline'!$C$9:$R$257,3,FALSE))</f>
        <v/>
      </c>
      <c r="E31" s="175" t="str">
        <f>IF(D31="","",VLOOKUP($B31,'C-1 Site River Baseline'!$C$9:$R$257,4,FALSE))</f>
        <v/>
      </c>
      <c r="F31" s="175" t="str">
        <f>IF(E31="","",VLOOKUP($B31,'C-1 Site River Baseline'!$C$9:$R$257,5,FALSE))</f>
        <v/>
      </c>
      <c r="G31" s="175" t="str">
        <f>IF(F31="","",VLOOKUP($B31,'C-1 Site River Baseline'!$C$9:$R$257,6,FALSE))</f>
        <v/>
      </c>
      <c r="H31" s="175" t="str">
        <f>IF(G31="","",VLOOKUP($B31,'C-1 Site River Baseline'!$C$9:$R$257,7,FALSE))</f>
        <v/>
      </c>
      <c r="I31" s="175" t="str">
        <f>IF(H31="","",VLOOKUP($B31,'C-1 Site River Baseline'!$C$9:$R$257,8,FALSE))</f>
        <v/>
      </c>
      <c r="J31" s="175" t="str">
        <f>IF(I31="","",VLOOKUP($B31,'C-1 Site River Baseline'!$C$9:$R$257,9,FALSE))</f>
        <v/>
      </c>
      <c r="K31" s="175" t="str">
        <f>IF(J31="","",VLOOKUP($B31,'C-1 Site River Baseline'!$C$9:$R$257,10,FALSE))</f>
        <v/>
      </c>
      <c r="L31" s="175" t="str">
        <f>IF(B31="","",VLOOKUP($B31,'C-1 Site River Baseline'!$C$9:$R$257,15,FALSE))</f>
        <v/>
      </c>
      <c r="M31" s="176" t="str">
        <f>IF(L31="","",VLOOKUP($B31,'C-1 Site River Baseline'!$C$9:$R$257,16,FALSE))</f>
        <v/>
      </c>
      <c r="N31" s="661" t="str">
        <f t="shared" si="0"/>
        <v/>
      </c>
      <c r="O31" s="239" t="str">
        <f t="shared" si="2"/>
        <v/>
      </c>
      <c r="P31" s="172" t="str">
        <f>IF(C31="","",IF(AND(LEFT(C31,55)&lt;&gt;LEFT(N31,55),O31="High - High"),"Error - Not like for like",IF(AND(F31=S31,H31&gt;U31),"Error - Can not reduce condition",IF(AND(F31=S31,H31=U31,AJ31='C-1 Site River Baseline'!N29,'C-1 Site River Baseline'!P29=AL31),"Error - No enhancement",IF(AND(C31&lt;&gt;N31,F31&lt;S31),"Lower Distinctiveness Habitat"&amp;" - "&amp;T31,G31&amp;" - "&amp;T31)))))</f>
        <v/>
      </c>
      <c r="Q31" s="660" t="str">
        <f>IF(N31="","",VLOOKUP(B31,'C-1 Site River Baseline'!$C$10:$AA$257,19,FALSE))</f>
        <v/>
      </c>
      <c r="R31" s="171" t="str">
        <f>IF(N31="","",VLOOKUP(N31,'G-7 Rivers Data'!$B$2:$G$8,2,FALSE))</f>
        <v/>
      </c>
      <c r="S31" s="172" t="str">
        <f>IFERROR(VLOOKUP(R31,'G-7 Rivers Data'!$C$4:$D$8,2,FALSE),"")</f>
        <v/>
      </c>
      <c r="T31" s="173"/>
      <c r="U31" s="172" t="str">
        <f>IFERROR(INDEX('G-7 Rivers Data'!$H$4:$L$8,MATCH(N31,'G-7 Rivers Data'!$B$4:$B$8,0),MATCH(T31,'G-7 Rivers Data'!$H$3:$L$3,0)),"")</f>
        <v/>
      </c>
      <c r="V31" s="186"/>
      <c r="W31" s="175" t="str">
        <f>IF(V31="","",IF(VLOOKUP(V31,'G-7 Rivers Data'!$AG$4:$AI$9,2,FALSE)=0,"Spatial Data Missing",VLOOKUP(V31,'G-7 Rivers Data'!$AG$4:$AI$9,2,FALSE)))</f>
        <v/>
      </c>
      <c r="X31" s="176" t="str">
        <f>IF(V31="","",IF(VLOOKUP(V31,'G-7 Rivers Data'!$AG$4:$AI$9,3,FALSE)=0,"Spatial Data Missing",VLOOKUP(V31,'G-7 Rivers Data'!$AG$4:$AI$9,3,FALSE)))</f>
        <v/>
      </c>
      <c r="Y31" s="171" t="str">
        <f>IFERROR(IF(OR(LEFT(P31,5)="Error",LEFT(O31,5)="Error"),"Check Data",IF(F31&lt;S31,'G-7 Rivers Data'!$R$3,INDEX('G-7 Rivers Data'!$U$5:$Y$9,MATCH(G31,'G-7 Rivers Data'!$T$5:$T$9,0),MATCH(T31,'G-7 Rivers Data'!$U$4:$Y$4,0)))),"")</f>
        <v/>
      </c>
      <c r="Z31" s="261"/>
      <c r="AA31" s="261"/>
      <c r="AB31" s="179" t="str">
        <f t="shared" si="3"/>
        <v/>
      </c>
      <c r="AC31" s="262" t="str">
        <f t="shared" si="4"/>
        <v/>
      </c>
      <c r="AD31" s="382" t="str">
        <f>IFERROR(IF(AC31="Check Data","Check Data",VLOOKUP(AC31,'G-4 Temporal multipliers'!$A$4:$C$37,3,FALSE)),"")</f>
        <v/>
      </c>
      <c r="AE31" s="171" t="str">
        <f>IF(N31="","",VLOOKUP(N31,'G-7 Rivers Data'!$B$4:$G$8,5,FALSE))</f>
        <v/>
      </c>
      <c r="AF31" s="179" t="str">
        <f t="shared" si="5"/>
        <v/>
      </c>
      <c r="AG31" s="269" t="str">
        <f t="shared" si="6"/>
        <v/>
      </c>
      <c r="AH31" s="172" t="str">
        <f t="shared" si="1"/>
        <v/>
      </c>
      <c r="AI31" s="173"/>
      <c r="AJ31" s="172" t="str">
        <f>IF(AI31="","",IF(VLOOKUP(AI31,'G-7 Rivers Data'!$AA$4:$AB$7,2,FALSE)=0,"Spatial Data Missing",VLOOKUP(AI31,'G-7 Rivers Data'!$AA$4:$AB$7,2,FALSE)))</f>
        <v/>
      </c>
      <c r="AK31" s="187"/>
      <c r="AL31" s="172" t="str">
        <f>IF(AK31="","",IF(VLOOKUP(AK31,'G-7 Rivers Data'!$AD$4:$AE$8,2,FALSE)=0,"Spatial Data Missing",VLOOKUP(AK31,'G-7 Rivers Data'!$AD$4:$AE$8,2,FALSE)))</f>
        <v/>
      </c>
      <c r="AM31" s="265" t="str">
        <f t="shared" si="7"/>
        <v/>
      </c>
      <c r="AN31" s="180"/>
      <c r="AO31" s="181"/>
      <c r="AV31" s="35" t="str">
        <f>IFERROR(INDEX('G-7 Rivers Data'!$AZ$3:$AZ$7,MATCH(N31,'G-7 Rivers Data'!$AY$3:$AY$7,0)),"")</f>
        <v/>
      </c>
    </row>
    <row r="32" spans="2:48" ht="13.8" x14ac:dyDescent="0.25">
      <c r="B32" s="259" t="str">
        <f>'C-1 Site River Baseline'!AN30</f>
        <v/>
      </c>
      <c r="C32" s="175" t="str">
        <f>IF(B32="","",VLOOKUP($B32,'C-1 Site River Baseline'!$C$9:$R$257,2,FALSE))</f>
        <v/>
      </c>
      <c r="D32" s="175" t="str">
        <f>IF(C32="","",VLOOKUP($B32,'C-1 Site River Baseline'!$C$9:$R$257,3,FALSE))</f>
        <v/>
      </c>
      <c r="E32" s="175" t="str">
        <f>IF(D32="","",VLOOKUP($B32,'C-1 Site River Baseline'!$C$9:$R$257,4,FALSE))</f>
        <v/>
      </c>
      <c r="F32" s="175" t="str">
        <f>IF(E32="","",VLOOKUP($B32,'C-1 Site River Baseline'!$C$9:$R$257,5,FALSE))</f>
        <v/>
      </c>
      <c r="G32" s="175" t="str">
        <f>IF(F32="","",VLOOKUP($B32,'C-1 Site River Baseline'!$C$9:$R$257,6,FALSE))</f>
        <v/>
      </c>
      <c r="H32" s="175" t="str">
        <f>IF(G32="","",VLOOKUP($B32,'C-1 Site River Baseline'!$C$9:$R$257,7,FALSE))</f>
        <v/>
      </c>
      <c r="I32" s="175" t="str">
        <f>IF(H32="","",VLOOKUP($B32,'C-1 Site River Baseline'!$C$9:$R$257,8,FALSE))</f>
        <v/>
      </c>
      <c r="J32" s="175" t="str">
        <f>IF(I32="","",VLOOKUP($B32,'C-1 Site River Baseline'!$C$9:$R$257,9,FALSE))</f>
        <v/>
      </c>
      <c r="K32" s="175" t="str">
        <f>IF(J32="","",VLOOKUP($B32,'C-1 Site River Baseline'!$C$9:$R$257,10,FALSE))</f>
        <v/>
      </c>
      <c r="L32" s="175" t="str">
        <f>IF(B32="","",VLOOKUP($B32,'C-1 Site River Baseline'!$C$9:$R$257,15,FALSE))</f>
        <v/>
      </c>
      <c r="M32" s="176" t="str">
        <f>IF(L32="","",VLOOKUP($B32,'C-1 Site River Baseline'!$C$9:$R$257,16,FALSE))</f>
        <v/>
      </c>
      <c r="N32" s="661" t="str">
        <f t="shared" si="0"/>
        <v/>
      </c>
      <c r="O32" s="239" t="str">
        <f t="shared" si="2"/>
        <v/>
      </c>
      <c r="P32" s="172" t="str">
        <f>IF(C32="","",IF(AND(LEFT(C32,55)&lt;&gt;LEFT(N32,55),O32="High - High"),"Error - Not like for like",IF(AND(F32=S32,H32&gt;U32),"Error - Can not reduce condition",IF(AND(F32=S32,H32=U32,AJ32='C-1 Site River Baseline'!N30,'C-1 Site River Baseline'!P30=AL32),"Error - No enhancement",IF(AND(C32&lt;&gt;N32,F32&lt;S32),"Lower Distinctiveness Habitat"&amp;" - "&amp;T32,G32&amp;" - "&amp;T32)))))</f>
        <v/>
      </c>
      <c r="Q32" s="660" t="str">
        <f>IF(N32="","",VLOOKUP(B32,'C-1 Site River Baseline'!$C$10:$AA$257,19,FALSE))</f>
        <v/>
      </c>
      <c r="R32" s="171" t="str">
        <f>IF(N32="","",VLOOKUP(N32,'G-7 Rivers Data'!$B$2:$G$8,2,FALSE))</f>
        <v/>
      </c>
      <c r="S32" s="172" t="str">
        <f>IFERROR(VLOOKUP(R32,'G-7 Rivers Data'!$C$4:$D$8,2,FALSE),"")</f>
        <v/>
      </c>
      <c r="T32" s="173"/>
      <c r="U32" s="172" t="str">
        <f>IFERROR(INDEX('G-7 Rivers Data'!$H$4:$L$8,MATCH(N32,'G-7 Rivers Data'!$B$4:$B$8,0),MATCH(T32,'G-7 Rivers Data'!$H$3:$L$3,0)),"")</f>
        <v/>
      </c>
      <c r="V32" s="186"/>
      <c r="W32" s="175" t="str">
        <f>IF(V32="","",IF(VLOOKUP(V32,'G-7 Rivers Data'!$AG$4:$AI$9,2,FALSE)=0,"Spatial Data Missing",VLOOKUP(V32,'G-7 Rivers Data'!$AG$4:$AI$9,2,FALSE)))</f>
        <v/>
      </c>
      <c r="X32" s="176" t="str">
        <f>IF(V32="","",IF(VLOOKUP(V32,'G-7 Rivers Data'!$AG$4:$AI$9,3,FALSE)=0,"Spatial Data Missing",VLOOKUP(V32,'G-7 Rivers Data'!$AG$4:$AI$9,3,FALSE)))</f>
        <v/>
      </c>
      <c r="Y32" s="171" t="str">
        <f>IFERROR(IF(OR(LEFT(P32,5)="Error",LEFT(O32,5)="Error"),"Check Data",IF(F32&lt;S32,'G-7 Rivers Data'!$R$3,INDEX('G-7 Rivers Data'!$U$5:$Y$9,MATCH(G32,'G-7 Rivers Data'!$T$5:$T$9,0),MATCH(T32,'G-7 Rivers Data'!$U$4:$Y$4,0)))),"")</f>
        <v/>
      </c>
      <c r="Z32" s="261"/>
      <c r="AA32" s="261"/>
      <c r="AB32" s="179" t="str">
        <f t="shared" si="3"/>
        <v/>
      </c>
      <c r="AC32" s="262" t="str">
        <f t="shared" si="4"/>
        <v/>
      </c>
      <c r="AD32" s="382" t="str">
        <f>IFERROR(IF(AC32="Check Data","Check Data",VLOOKUP(AC32,'G-4 Temporal multipliers'!$A$4:$C$37,3,FALSE)),"")</f>
        <v/>
      </c>
      <c r="AE32" s="171" t="str">
        <f>IF(N32="","",VLOOKUP(N32,'G-7 Rivers Data'!$B$4:$G$8,5,FALSE))</f>
        <v/>
      </c>
      <c r="AF32" s="179" t="str">
        <f t="shared" si="5"/>
        <v/>
      </c>
      <c r="AG32" s="269" t="str">
        <f t="shared" si="6"/>
        <v/>
      </c>
      <c r="AH32" s="172" t="str">
        <f t="shared" si="1"/>
        <v/>
      </c>
      <c r="AI32" s="173"/>
      <c r="AJ32" s="172" t="str">
        <f>IF(AI32="","",IF(VLOOKUP(AI32,'G-7 Rivers Data'!$AA$4:$AB$7,2,FALSE)=0,"Spatial Data Missing",VLOOKUP(AI32,'G-7 Rivers Data'!$AA$4:$AB$7,2,FALSE)))</f>
        <v/>
      </c>
      <c r="AK32" s="187"/>
      <c r="AL32" s="172" t="str">
        <f>IF(AK32="","",IF(VLOOKUP(AK32,'G-7 Rivers Data'!$AD$4:$AE$8,2,FALSE)=0,"Spatial Data Missing",VLOOKUP(AK32,'G-7 Rivers Data'!$AD$4:$AE$8,2,FALSE)))</f>
        <v/>
      </c>
      <c r="AM32" s="265" t="str">
        <f t="shared" si="7"/>
        <v/>
      </c>
      <c r="AN32" s="180"/>
      <c r="AO32" s="181"/>
      <c r="AV32" s="35" t="str">
        <f>IFERROR(INDEX('G-7 Rivers Data'!$AZ$3:$AZ$7,MATCH(N32,'G-7 Rivers Data'!$AY$3:$AY$7,0)),"")</f>
        <v/>
      </c>
    </row>
    <row r="33" spans="2:48" ht="13.8" x14ac:dyDescent="0.25">
      <c r="B33" s="259" t="str">
        <f>'C-1 Site River Baseline'!AN31</f>
        <v/>
      </c>
      <c r="C33" s="175" t="str">
        <f>IF(B33="","",VLOOKUP($B33,'C-1 Site River Baseline'!$C$9:$R$257,2,FALSE))</f>
        <v/>
      </c>
      <c r="D33" s="175" t="str">
        <f>IF(C33="","",VLOOKUP($B33,'C-1 Site River Baseline'!$C$9:$R$257,3,FALSE))</f>
        <v/>
      </c>
      <c r="E33" s="175" t="str">
        <f>IF(D33="","",VLOOKUP($B33,'C-1 Site River Baseline'!$C$9:$R$257,4,FALSE))</f>
        <v/>
      </c>
      <c r="F33" s="175" t="str">
        <f>IF(E33="","",VLOOKUP($B33,'C-1 Site River Baseline'!$C$9:$R$257,5,FALSE))</f>
        <v/>
      </c>
      <c r="G33" s="175" t="str">
        <f>IF(F33="","",VLOOKUP($B33,'C-1 Site River Baseline'!$C$9:$R$257,6,FALSE))</f>
        <v/>
      </c>
      <c r="H33" s="175" t="str">
        <f>IF(G33="","",VLOOKUP($B33,'C-1 Site River Baseline'!$C$9:$R$257,7,FALSE))</f>
        <v/>
      </c>
      <c r="I33" s="175" t="str">
        <f>IF(H33="","",VLOOKUP($B33,'C-1 Site River Baseline'!$C$9:$R$257,8,FALSE))</f>
        <v/>
      </c>
      <c r="J33" s="175" t="str">
        <f>IF(I33="","",VLOOKUP($B33,'C-1 Site River Baseline'!$C$9:$R$257,9,FALSE))</f>
        <v/>
      </c>
      <c r="K33" s="175" t="str">
        <f>IF(J33="","",VLOOKUP($B33,'C-1 Site River Baseline'!$C$9:$R$257,10,FALSE))</f>
        <v/>
      </c>
      <c r="L33" s="175" t="str">
        <f>IF(B33="","",VLOOKUP($B33,'C-1 Site River Baseline'!$C$9:$R$257,15,FALSE))</f>
        <v/>
      </c>
      <c r="M33" s="176" t="str">
        <f>IF(L33="","",VLOOKUP($B33,'C-1 Site River Baseline'!$C$9:$R$257,16,FALSE))</f>
        <v/>
      </c>
      <c r="N33" s="661" t="str">
        <f t="shared" si="0"/>
        <v/>
      </c>
      <c r="O33" s="239" t="str">
        <f t="shared" si="2"/>
        <v/>
      </c>
      <c r="P33" s="172" t="str">
        <f>IF(C33="","",IF(AND(LEFT(C33,55)&lt;&gt;LEFT(N33,55),O33="High - High"),"Error - Not like for like",IF(AND(F33=S33,H33&gt;U33),"Error - Can not reduce condition",IF(AND(F33=S33,H33=U33,AJ33='C-1 Site River Baseline'!N31,'C-1 Site River Baseline'!P31=AL33),"Error - No enhancement",IF(AND(C33&lt;&gt;N33,F33&lt;S33),"Lower Distinctiveness Habitat"&amp;" - "&amp;T33,G33&amp;" - "&amp;T33)))))</f>
        <v/>
      </c>
      <c r="Q33" s="660" t="str">
        <f>IF(N33="","",VLOOKUP(B33,'C-1 Site River Baseline'!$C$10:$AA$257,19,FALSE))</f>
        <v/>
      </c>
      <c r="R33" s="171" t="str">
        <f>IF(N33="","",VLOOKUP(N33,'G-7 Rivers Data'!$B$2:$G$8,2,FALSE))</f>
        <v/>
      </c>
      <c r="S33" s="172" t="str">
        <f>IFERROR(VLOOKUP(R33,'G-7 Rivers Data'!$C$4:$D$8,2,FALSE),"")</f>
        <v/>
      </c>
      <c r="T33" s="173"/>
      <c r="U33" s="172" t="str">
        <f>IFERROR(INDEX('G-7 Rivers Data'!$H$4:$L$8,MATCH(N33,'G-7 Rivers Data'!$B$4:$B$8,0),MATCH(T33,'G-7 Rivers Data'!$H$3:$L$3,0)),"")</f>
        <v/>
      </c>
      <c r="V33" s="186"/>
      <c r="W33" s="175" t="str">
        <f>IF(V33="","",IF(VLOOKUP(V33,'G-7 Rivers Data'!$AG$4:$AI$9,2,FALSE)=0,"Spatial Data Missing",VLOOKUP(V33,'G-7 Rivers Data'!$AG$4:$AI$9,2,FALSE)))</f>
        <v/>
      </c>
      <c r="X33" s="176" t="str">
        <f>IF(V33="","",IF(VLOOKUP(V33,'G-7 Rivers Data'!$AG$4:$AI$9,3,FALSE)=0,"Spatial Data Missing",VLOOKUP(V33,'G-7 Rivers Data'!$AG$4:$AI$9,3,FALSE)))</f>
        <v/>
      </c>
      <c r="Y33" s="171" t="str">
        <f>IFERROR(IF(OR(LEFT(P33,5)="Error",LEFT(O33,5)="Error"),"Check Data",IF(F33&lt;S33,'G-7 Rivers Data'!$R$3,INDEX('G-7 Rivers Data'!$U$5:$Y$9,MATCH(G33,'G-7 Rivers Data'!$T$5:$T$9,0),MATCH(T33,'G-7 Rivers Data'!$U$4:$Y$4,0)))),"")</f>
        <v/>
      </c>
      <c r="Z33" s="261"/>
      <c r="AA33" s="261"/>
      <c r="AB33" s="179" t="str">
        <f t="shared" si="3"/>
        <v/>
      </c>
      <c r="AC33" s="262" t="str">
        <f t="shared" si="4"/>
        <v/>
      </c>
      <c r="AD33" s="382" t="str">
        <f>IFERROR(IF(AC33="Check Data","Check Data",VLOOKUP(AC33,'G-4 Temporal multipliers'!$A$4:$C$37,3,FALSE)),"")</f>
        <v/>
      </c>
      <c r="AE33" s="171" t="str">
        <f>IF(N33="","",VLOOKUP(N33,'G-7 Rivers Data'!$B$4:$G$8,5,FALSE))</f>
        <v/>
      </c>
      <c r="AF33" s="179" t="str">
        <f t="shared" si="5"/>
        <v/>
      </c>
      <c r="AG33" s="269" t="str">
        <f t="shared" si="6"/>
        <v/>
      </c>
      <c r="AH33" s="172" t="str">
        <f t="shared" si="1"/>
        <v/>
      </c>
      <c r="AI33" s="173"/>
      <c r="AJ33" s="172" t="str">
        <f>IF(AI33="","",IF(VLOOKUP(AI33,'G-7 Rivers Data'!$AA$4:$AB$7,2,FALSE)=0,"Spatial Data Missing",VLOOKUP(AI33,'G-7 Rivers Data'!$AA$4:$AB$7,2,FALSE)))</f>
        <v/>
      </c>
      <c r="AK33" s="187"/>
      <c r="AL33" s="172" t="str">
        <f>IF(AK33="","",IF(VLOOKUP(AK33,'G-7 Rivers Data'!$AD$4:$AE$8,2,FALSE)=0,"Spatial Data Missing",VLOOKUP(AK33,'G-7 Rivers Data'!$AD$4:$AE$8,2,FALSE)))</f>
        <v/>
      </c>
      <c r="AM33" s="265" t="str">
        <f t="shared" si="7"/>
        <v/>
      </c>
      <c r="AN33" s="180"/>
      <c r="AO33" s="181"/>
      <c r="AV33" s="35" t="str">
        <f>IFERROR(INDEX('G-7 Rivers Data'!$AZ$3:$AZ$7,MATCH(N33,'G-7 Rivers Data'!$AY$3:$AY$7,0)),"")</f>
        <v/>
      </c>
    </row>
    <row r="34" spans="2:48" ht="13.8" x14ac:dyDescent="0.25">
      <c r="B34" s="259" t="str">
        <f>'C-1 Site River Baseline'!AN32</f>
        <v/>
      </c>
      <c r="C34" s="175" t="str">
        <f>IF(B34="","",VLOOKUP($B34,'C-1 Site River Baseline'!$C$9:$R$257,2,FALSE))</f>
        <v/>
      </c>
      <c r="D34" s="175" t="str">
        <f>IF(C34="","",VLOOKUP($B34,'C-1 Site River Baseline'!$C$9:$R$257,3,FALSE))</f>
        <v/>
      </c>
      <c r="E34" s="175" t="str">
        <f>IF(D34="","",VLOOKUP($B34,'C-1 Site River Baseline'!$C$9:$R$257,4,FALSE))</f>
        <v/>
      </c>
      <c r="F34" s="175" t="str">
        <f>IF(E34="","",VLOOKUP($B34,'C-1 Site River Baseline'!$C$9:$R$257,5,FALSE))</f>
        <v/>
      </c>
      <c r="G34" s="175" t="str">
        <f>IF(F34="","",VLOOKUP($B34,'C-1 Site River Baseline'!$C$9:$R$257,6,FALSE))</f>
        <v/>
      </c>
      <c r="H34" s="175" t="str">
        <f>IF(G34="","",VLOOKUP($B34,'C-1 Site River Baseline'!$C$9:$R$257,7,FALSE))</f>
        <v/>
      </c>
      <c r="I34" s="175" t="str">
        <f>IF(H34="","",VLOOKUP($B34,'C-1 Site River Baseline'!$C$9:$R$257,8,FALSE))</f>
        <v/>
      </c>
      <c r="J34" s="175" t="str">
        <f>IF(I34="","",VLOOKUP($B34,'C-1 Site River Baseline'!$C$9:$R$257,9,FALSE))</f>
        <v/>
      </c>
      <c r="K34" s="175" t="str">
        <f>IF(J34="","",VLOOKUP($B34,'C-1 Site River Baseline'!$C$9:$R$257,10,FALSE))</f>
        <v/>
      </c>
      <c r="L34" s="175" t="str">
        <f>IF(B34="","",VLOOKUP($B34,'C-1 Site River Baseline'!$C$9:$R$257,15,FALSE))</f>
        <v/>
      </c>
      <c r="M34" s="176" t="str">
        <f>IF(L34="","",VLOOKUP($B34,'C-1 Site River Baseline'!$C$9:$R$257,16,FALSE))</f>
        <v/>
      </c>
      <c r="N34" s="661" t="str">
        <f t="shared" si="0"/>
        <v/>
      </c>
      <c r="O34" s="239" t="str">
        <f t="shared" si="2"/>
        <v/>
      </c>
      <c r="P34" s="172" t="str">
        <f>IF(C34="","",IF(AND(LEFT(C34,55)&lt;&gt;LEFT(N34,55),O34="High - High"),"Error - Not like for like",IF(AND(F34=S34,H34&gt;U34),"Error - Can not reduce condition",IF(AND(F34=S34,H34=U34,AJ34='C-1 Site River Baseline'!N32,'C-1 Site River Baseline'!P32=AL34),"Error - No enhancement",IF(AND(C34&lt;&gt;N34,F34&lt;S34),"Lower Distinctiveness Habitat"&amp;" - "&amp;T34,G34&amp;" - "&amp;T34)))))</f>
        <v/>
      </c>
      <c r="Q34" s="660" t="str">
        <f>IF(N34="","",VLOOKUP(B34,'C-1 Site River Baseline'!$C$10:$AA$257,19,FALSE))</f>
        <v/>
      </c>
      <c r="R34" s="171" t="str">
        <f>IF(N34="","",VLOOKUP(N34,'G-7 Rivers Data'!$B$2:$G$8,2,FALSE))</f>
        <v/>
      </c>
      <c r="S34" s="172" t="str">
        <f>IFERROR(VLOOKUP(R34,'G-7 Rivers Data'!$C$4:$D$8,2,FALSE),"")</f>
        <v/>
      </c>
      <c r="T34" s="173"/>
      <c r="U34" s="172" t="str">
        <f>IFERROR(INDEX('G-7 Rivers Data'!$H$4:$L$8,MATCH(N34,'G-7 Rivers Data'!$B$4:$B$8,0),MATCH(T34,'G-7 Rivers Data'!$H$3:$L$3,0)),"")</f>
        <v/>
      </c>
      <c r="V34" s="186"/>
      <c r="W34" s="175" t="str">
        <f>IF(V34="","",IF(VLOOKUP(V34,'G-7 Rivers Data'!$AG$4:$AI$9,2,FALSE)=0,"Spatial Data Missing",VLOOKUP(V34,'G-7 Rivers Data'!$AG$4:$AI$9,2,FALSE)))</f>
        <v/>
      </c>
      <c r="X34" s="176" t="str">
        <f>IF(V34="","",IF(VLOOKUP(V34,'G-7 Rivers Data'!$AG$4:$AI$9,3,FALSE)=0,"Spatial Data Missing",VLOOKUP(V34,'G-7 Rivers Data'!$AG$4:$AI$9,3,FALSE)))</f>
        <v/>
      </c>
      <c r="Y34" s="171" t="str">
        <f>IFERROR(IF(OR(LEFT(P34,5)="Error",LEFT(O34,5)="Error"),"Check Data",IF(F34&lt;S34,'G-7 Rivers Data'!$R$3,INDEX('G-7 Rivers Data'!$U$5:$Y$9,MATCH(G34,'G-7 Rivers Data'!$T$5:$T$9,0),MATCH(T34,'G-7 Rivers Data'!$U$4:$Y$4,0)))),"")</f>
        <v/>
      </c>
      <c r="Z34" s="261"/>
      <c r="AA34" s="261"/>
      <c r="AB34" s="179" t="str">
        <f t="shared" si="3"/>
        <v/>
      </c>
      <c r="AC34" s="262" t="str">
        <f t="shared" si="4"/>
        <v/>
      </c>
      <c r="AD34" s="382" t="str">
        <f>IFERROR(IF(AC34="Check Data","Check Data",VLOOKUP(AC34,'G-4 Temporal multipliers'!$A$4:$C$37,3,FALSE)),"")</f>
        <v/>
      </c>
      <c r="AE34" s="171" t="str">
        <f>IF(N34="","",VLOOKUP(N34,'G-7 Rivers Data'!$B$4:$G$8,5,FALSE))</f>
        <v/>
      </c>
      <c r="AF34" s="179" t="str">
        <f t="shared" si="5"/>
        <v/>
      </c>
      <c r="AG34" s="269" t="str">
        <f t="shared" si="6"/>
        <v/>
      </c>
      <c r="AH34" s="172" t="str">
        <f t="shared" si="1"/>
        <v/>
      </c>
      <c r="AI34" s="173"/>
      <c r="AJ34" s="172" t="str">
        <f>IF(AI34="","",IF(VLOOKUP(AI34,'G-7 Rivers Data'!$AA$4:$AB$7,2,FALSE)=0,"Spatial Data Missing",VLOOKUP(AI34,'G-7 Rivers Data'!$AA$4:$AB$7,2,FALSE)))</f>
        <v/>
      </c>
      <c r="AK34" s="187"/>
      <c r="AL34" s="172" t="str">
        <f>IF(AK34="","",IF(VLOOKUP(AK34,'G-7 Rivers Data'!$AD$4:$AE$8,2,FALSE)=0,"Spatial Data Missing",VLOOKUP(AK34,'G-7 Rivers Data'!$AD$4:$AE$8,2,FALSE)))</f>
        <v/>
      </c>
      <c r="AM34" s="265" t="str">
        <f t="shared" si="7"/>
        <v/>
      </c>
      <c r="AN34" s="180"/>
      <c r="AO34" s="181"/>
      <c r="AV34" s="35" t="str">
        <f>IFERROR(INDEX('G-7 Rivers Data'!$AZ$3:$AZ$7,MATCH(N34,'G-7 Rivers Data'!$AY$3:$AY$7,0)),"")</f>
        <v/>
      </c>
    </row>
    <row r="35" spans="2:48" ht="13.8" x14ac:dyDescent="0.25">
      <c r="B35" s="259" t="str">
        <f>'C-1 Site River Baseline'!AN33</f>
        <v/>
      </c>
      <c r="C35" s="175" t="str">
        <f>IF(B35="","",VLOOKUP($B35,'C-1 Site River Baseline'!$C$9:$R$257,2,FALSE))</f>
        <v/>
      </c>
      <c r="D35" s="175" t="str">
        <f>IF(C35="","",VLOOKUP($B35,'C-1 Site River Baseline'!$C$9:$R$257,3,FALSE))</f>
        <v/>
      </c>
      <c r="E35" s="175" t="str">
        <f>IF(D35="","",VLOOKUP($B35,'C-1 Site River Baseline'!$C$9:$R$257,4,FALSE))</f>
        <v/>
      </c>
      <c r="F35" s="175" t="str">
        <f>IF(E35="","",VLOOKUP($B35,'C-1 Site River Baseline'!$C$9:$R$257,5,FALSE))</f>
        <v/>
      </c>
      <c r="G35" s="175" t="str">
        <f>IF(F35="","",VLOOKUP($B35,'C-1 Site River Baseline'!$C$9:$R$257,6,FALSE))</f>
        <v/>
      </c>
      <c r="H35" s="175" t="str">
        <f>IF(G35="","",VLOOKUP($B35,'C-1 Site River Baseline'!$C$9:$R$257,7,FALSE))</f>
        <v/>
      </c>
      <c r="I35" s="175" t="str">
        <f>IF(H35="","",VLOOKUP($B35,'C-1 Site River Baseline'!$C$9:$R$257,8,FALSE))</f>
        <v/>
      </c>
      <c r="J35" s="175" t="str">
        <f>IF(I35="","",VLOOKUP($B35,'C-1 Site River Baseline'!$C$9:$R$257,9,FALSE))</f>
        <v/>
      </c>
      <c r="K35" s="175" t="str">
        <f>IF(J35="","",VLOOKUP($B35,'C-1 Site River Baseline'!$C$9:$R$257,10,FALSE))</f>
        <v/>
      </c>
      <c r="L35" s="175" t="str">
        <f>IF(B35="","",VLOOKUP($B35,'C-1 Site River Baseline'!$C$9:$R$257,15,FALSE))</f>
        <v/>
      </c>
      <c r="M35" s="176" t="str">
        <f>IF(L35="","",VLOOKUP($B35,'C-1 Site River Baseline'!$C$9:$R$257,16,FALSE))</f>
        <v/>
      </c>
      <c r="N35" s="661" t="str">
        <f t="shared" si="0"/>
        <v/>
      </c>
      <c r="O35" s="239" t="str">
        <f t="shared" si="2"/>
        <v/>
      </c>
      <c r="P35" s="172" t="str">
        <f>IF(C35="","",IF(AND(LEFT(C35,55)&lt;&gt;LEFT(N35,55),O35="High - High"),"Error - Not like for like",IF(AND(F35=S35,H35&gt;U35),"Error - Can not reduce condition",IF(AND(F35=S35,H35=U35,AJ35='C-1 Site River Baseline'!N33,'C-1 Site River Baseline'!P33=AL35),"Error - No enhancement",IF(AND(C35&lt;&gt;N35,F35&lt;S35),"Lower Distinctiveness Habitat"&amp;" - "&amp;T35,G35&amp;" - "&amp;T35)))))</f>
        <v/>
      </c>
      <c r="Q35" s="660" t="str">
        <f>IF(N35="","",VLOOKUP(B35,'C-1 Site River Baseline'!$C$10:$AA$257,19,FALSE))</f>
        <v/>
      </c>
      <c r="R35" s="171" t="str">
        <f>IF(N35="","",VLOOKUP(N35,'G-7 Rivers Data'!$B$2:$G$8,2,FALSE))</f>
        <v/>
      </c>
      <c r="S35" s="172" t="str">
        <f>IFERROR(VLOOKUP(R35,'G-7 Rivers Data'!$C$4:$D$8,2,FALSE),"")</f>
        <v/>
      </c>
      <c r="T35" s="173"/>
      <c r="U35" s="172" t="str">
        <f>IFERROR(INDEX('G-7 Rivers Data'!$H$4:$L$8,MATCH(N35,'G-7 Rivers Data'!$B$4:$B$8,0),MATCH(T35,'G-7 Rivers Data'!$H$3:$L$3,0)),"")</f>
        <v/>
      </c>
      <c r="V35" s="186"/>
      <c r="W35" s="175" t="str">
        <f>IF(V35="","",IF(VLOOKUP(V35,'G-7 Rivers Data'!$AG$4:$AI$9,2,FALSE)=0,"Spatial Data Missing",VLOOKUP(V35,'G-7 Rivers Data'!$AG$4:$AI$9,2,FALSE)))</f>
        <v/>
      </c>
      <c r="X35" s="176" t="str">
        <f>IF(V35="","",IF(VLOOKUP(V35,'G-7 Rivers Data'!$AG$4:$AI$9,3,FALSE)=0,"Spatial Data Missing",VLOOKUP(V35,'G-7 Rivers Data'!$AG$4:$AI$9,3,FALSE)))</f>
        <v/>
      </c>
      <c r="Y35" s="171" t="str">
        <f>IFERROR(IF(OR(LEFT(P35,5)="Error",LEFT(O35,5)="Error"),"Check Data",IF(F35&lt;S35,'G-7 Rivers Data'!$R$3,INDEX('G-7 Rivers Data'!$U$5:$Y$9,MATCH(G35,'G-7 Rivers Data'!$T$5:$T$9,0),MATCH(T35,'G-7 Rivers Data'!$U$4:$Y$4,0)))),"")</f>
        <v/>
      </c>
      <c r="Z35" s="261"/>
      <c r="AA35" s="261"/>
      <c r="AB35" s="179" t="str">
        <f t="shared" si="3"/>
        <v/>
      </c>
      <c r="AC35" s="262" t="str">
        <f t="shared" si="4"/>
        <v/>
      </c>
      <c r="AD35" s="382" t="str">
        <f>IFERROR(IF(AC35="Check Data","Check Data",VLOOKUP(AC35,'G-4 Temporal multipliers'!$A$4:$C$37,3,FALSE)),"")</f>
        <v/>
      </c>
      <c r="AE35" s="171" t="str">
        <f>IF(N35="","",VLOOKUP(N35,'G-7 Rivers Data'!$B$4:$G$8,5,FALSE))</f>
        <v/>
      </c>
      <c r="AF35" s="179" t="str">
        <f t="shared" si="5"/>
        <v/>
      </c>
      <c r="AG35" s="269" t="str">
        <f t="shared" si="6"/>
        <v/>
      </c>
      <c r="AH35" s="172" t="str">
        <f t="shared" si="1"/>
        <v/>
      </c>
      <c r="AI35" s="173"/>
      <c r="AJ35" s="172" t="str">
        <f>IF(AI35="","",IF(VLOOKUP(AI35,'G-7 Rivers Data'!$AA$4:$AB$7,2,FALSE)=0,"Spatial Data Missing",VLOOKUP(AI35,'G-7 Rivers Data'!$AA$4:$AB$7,2,FALSE)))</f>
        <v/>
      </c>
      <c r="AK35" s="187"/>
      <c r="AL35" s="172" t="str">
        <f>IF(AK35="","",IF(VLOOKUP(AK35,'G-7 Rivers Data'!$AD$4:$AE$8,2,FALSE)=0,"Spatial Data Missing",VLOOKUP(AK35,'G-7 Rivers Data'!$AD$4:$AE$8,2,FALSE)))</f>
        <v/>
      </c>
      <c r="AM35" s="265" t="str">
        <f t="shared" si="7"/>
        <v/>
      </c>
      <c r="AN35" s="180"/>
      <c r="AO35" s="181"/>
      <c r="AV35" s="35" t="str">
        <f>IFERROR(INDEX('G-7 Rivers Data'!$AZ$3:$AZ$7,MATCH(N35,'G-7 Rivers Data'!$AY$3:$AY$7,0)),"")</f>
        <v/>
      </c>
    </row>
    <row r="36" spans="2:48" ht="13.8" x14ac:dyDescent="0.25">
      <c r="B36" s="259" t="str">
        <f>'C-1 Site River Baseline'!AN34</f>
        <v/>
      </c>
      <c r="C36" s="175" t="str">
        <f>IF(B36="","",VLOOKUP($B36,'C-1 Site River Baseline'!$C$9:$R$257,2,FALSE))</f>
        <v/>
      </c>
      <c r="D36" s="175" t="str">
        <f>IF(C36="","",VLOOKUP($B36,'C-1 Site River Baseline'!$C$9:$R$257,3,FALSE))</f>
        <v/>
      </c>
      <c r="E36" s="175" t="str">
        <f>IF(D36="","",VLOOKUP($B36,'C-1 Site River Baseline'!$C$9:$R$257,4,FALSE))</f>
        <v/>
      </c>
      <c r="F36" s="175" t="str">
        <f>IF(E36="","",VLOOKUP($B36,'C-1 Site River Baseline'!$C$9:$R$257,5,FALSE))</f>
        <v/>
      </c>
      <c r="G36" s="175" t="str">
        <f>IF(F36="","",VLOOKUP($B36,'C-1 Site River Baseline'!$C$9:$R$257,6,FALSE))</f>
        <v/>
      </c>
      <c r="H36" s="175" t="str">
        <f>IF(G36="","",VLOOKUP($B36,'C-1 Site River Baseline'!$C$9:$R$257,7,FALSE))</f>
        <v/>
      </c>
      <c r="I36" s="175" t="str">
        <f>IF(H36="","",VLOOKUP($B36,'C-1 Site River Baseline'!$C$9:$R$257,8,FALSE))</f>
        <v/>
      </c>
      <c r="J36" s="175" t="str">
        <f>IF(I36="","",VLOOKUP($B36,'C-1 Site River Baseline'!$C$9:$R$257,9,FALSE))</f>
        <v/>
      </c>
      <c r="K36" s="175" t="str">
        <f>IF(J36="","",VLOOKUP($B36,'C-1 Site River Baseline'!$C$9:$R$257,10,FALSE))</f>
        <v/>
      </c>
      <c r="L36" s="175" t="str">
        <f>IF(B36="","",VLOOKUP($B36,'C-1 Site River Baseline'!$C$9:$R$257,15,FALSE))</f>
        <v/>
      </c>
      <c r="M36" s="176" t="str">
        <f>IF(L36="","",VLOOKUP($B36,'C-1 Site River Baseline'!$C$9:$R$257,16,FALSE))</f>
        <v/>
      </c>
      <c r="N36" s="661" t="str">
        <f t="shared" si="0"/>
        <v/>
      </c>
      <c r="O36" s="239" t="str">
        <f t="shared" si="2"/>
        <v/>
      </c>
      <c r="P36" s="172" t="str">
        <f>IF(C36="","",IF(AND(LEFT(C36,55)&lt;&gt;LEFT(N36,55),O36="High - High"),"Error - Not like for like",IF(AND(F36=S36,H36&gt;U36),"Error - Can not reduce condition",IF(AND(F36=S36,H36=U36,AJ36='C-1 Site River Baseline'!N34,'C-1 Site River Baseline'!P34=AL36),"Error - No enhancement",IF(AND(C36&lt;&gt;N36,F36&lt;S36),"Lower Distinctiveness Habitat"&amp;" - "&amp;T36,G36&amp;" - "&amp;T36)))))</f>
        <v/>
      </c>
      <c r="Q36" s="660" t="str">
        <f>IF(N36="","",VLOOKUP(B36,'C-1 Site River Baseline'!$C$10:$AA$257,19,FALSE))</f>
        <v/>
      </c>
      <c r="R36" s="171" t="str">
        <f>IF(N36="","",VLOOKUP(N36,'G-7 Rivers Data'!$B$2:$G$8,2,FALSE))</f>
        <v/>
      </c>
      <c r="S36" s="172" t="str">
        <f>IFERROR(VLOOKUP(R36,'G-7 Rivers Data'!$C$4:$D$8,2,FALSE),"")</f>
        <v/>
      </c>
      <c r="T36" s="173"/>
      <c r="U36" s="172" t="str">
        <f>IFERROR(INDEX('G-7 Rivers Data'!$H$4:$L$8,MATCH(N36,'G-7 Rivers Data'!$B$4:$B$8,0),MATCH(T36,'G-7 Rivers Data'!$H$3:$L$3,0)),"")</f>
        <v/>
      </c>
      <c r="V36" s="186"/>
      <c r="W36" s="175" t="str">
        <f>IF(V36="","",IF(VLOOKUP(V36,'G-7 Rivers Data'!$AG$4:$AI$9,2,FALSE)=0,"Spatial Data Missing",VLOOKUP(V36,'G-7 Rivers Data'!$AG$4:$AI$9,2,FALSE)))</f>
        <v/>
      </c>
      <c r="X36" s="176" t="str">
        <f>IF(V36="","",IF(VLOOKUP(V36,'G-7 Rivers Data'!$AG$4:$AI$9,3,FALSE)=0,"Spatial Data Missing",VLOOKUP(V36,'G-7 Rivers Data'!$AG$4:$AI$9,3,FALSE)))</f>
        <v/>
      </c>
      <c r="Y36" s="171" t="str">
        <f>IFERROR(IF(OR(LEFT(P36,5)="Error",LEFT(O36,5)="Error"),"Check Data",IF(F36&lt;S36,'G-7 Rivers Data'!$R$3,INDEX('G-7 Rivers Data'!$U$5:$Y$9,MATCH(G36,'G-7 Rivers Data'!$T$5:$T$9,0),MATCH(T36,'G-7 Rivers Data'!$U$4:$Y$4,0)))),"")</f>
        <v/>
      </c>
      <c r="Z36" s="261"/>
      <c r="AA36" s="261"/>
      <c r="AB36" s="179" t="str">
        <f t="shared" si="3"/>
        <v/>
      </c>
      <c r="AC36" s="262" t="str">
        <f t="shared" si="4"/>
        <v/>
      </c>
      <c r="AD36" s="382" t="str">
        <f>IFERROR(IF(AC36="Check Data","Check Data",VLOOKUP(AC36,'G-4 Temporal multipliers'!$A$4:$C$37,3,FALSE)),"")</f>
        <v/>
      </c>
      <c r="AE36" s="171" t="str">
        <f>IF(N36="","",VLOOKUP(N36,'G-7 Rivers Data'!$B$4:$G$8,5,FALSE))</f>
        <v/>
      </c>
      <c r="AF36" s="179" t="str">
        <f t="shared" si="5"/>
        <v/>
      </c>
      <c r="AG36" s="269" t="str">
        <f t="shared" si="6"/>
        <v/>
      </c>
      <c r="AH36" s="172" t="str">
        <f t="shared" si="1"/>
        <v/>
      </c>
      <c r="AI36" s="173"/>
      <c r="AJ36" s="172" t="str">
        <f>IF(AI36="","",IF(VLOOKUP(AI36,'G-7 Rivers Data'!$AA$4:$AB$7,2,FALSE)=0,"Spatial Data Missing",VLOOKUP(AI36,'G-7 Rivers Data'!$AA$4:$AB$7,2,FALSE)))</f>
        <v/>
      </c>
      <c r="AK36" s="187"/>
      <c r="AL36" s="172" t="str">
        <f>IF(AK36="","",IF(VLOOKUP(AK36,'G-7 Rivers Data'!$AD$4:$AE$8,2,FALSE)=0,"Spatial Data Missing",VLOOKUP(AK36,'G-7 Rivers Data'!$AD$4:$AE$8,2,FALSE)))</f>
        <v/>
      </c>
      <c r="AM36" s="265" t="str">
        <f t="shared" si="7"/>
        <v/>
      </c>
      <c r="AN36" s="180"/>
      <c r="AO36" s="181"/>
      <c r="AV36" s="35" t="str">
        <f>IFERROR(INDEX('G-7 Rivers Data'!$AZ$3:$AZ$7,MATCH(N36,'G-7 Rivers Data'!$AY$3:$AY$7,0)),"")</f>
        <v/>
      </c>
    </row>
    <row r="37" spans="2:48" ht="13.8" x14ac:dyDescent="0.25">
      <c r="B37" s="259" t="str">
        <f>'C-1 Site River Baseline'!AN35</f>
        <v/>
      </c>
      <c r="C37" s="175" t="str">
        <f>IF(B37="","",VLOOKUP($B37,'C-1 Site River Baseline'!$C$9:$R$257,2,FALSE))</f>
        <v/>
      </c>
      <c r="D37" s="175" t="str">
        <f>IF(C37="","",VLOOKUP($B37,'C-1 Site River Baseline'!$C$9:$R$257,3,FALSE))</f>
        <v/>
      </c>
      <c r="E37" s="175" t="str">
        <f>IF(D37="","",VLOOKUP($B37,'C-1 Site River Baseline'!$C$9:$R$257,4,FALSE))</f>
        <v/>
      </c>
      <c r="F37" s="175" t="str">
        <f>IF(E37="","",VLOOKUP($B37,'C-1 Site River Baseline'!$C$9:$R$257,5,FALSE))</f>
        <v/>
      </c>
      <c r="G37" s="175" t="str">
        <f>IF(F37="","",VLOOKUP($B37,'C-1 Site River Baseline'!$C$9:$R$257,6,FALSE))</f>
        <v/>
      </c>
      <c r="H37" s="175" t="str">
        <f>IF(G37="","",VLOOKUP($B37,'C-1 Site River Baseline'!$C$9:$R$257,7,FALSE))</f>
        <v/>
      </c>
      <c r="I37" s="175" t="str">
        <f>IF(H37="","",VLOOKUP($B37,'C-1 Site River Baseline'!$C$9:$R$257,8,FALSE))</f>
        <v/>
      </c>
      <c r="J37" s="175" t="str">
        <f>IF(I37="","",VLOOKUP($B37,'C-1 Site River Baseline'!$C$9:$R$257,9,FALSE))</f>
        <v/>
      </c>
      <c r="K37" s="175" t="str">
        <f>IF(J37="","",VLOOKUP($B37,'C-1 Site River Baseline'!$C$9:$R$257,10,FALSE))</f>
        <v/>
      </c>
      <c r="L37" s="175" t="str">
        <f>IF(B37="","",VLOOKUP($B37,'C-1 Site River Baseline'!$C$9:$R$257,15,FALSE))</f>
        <v/>
      </c>
      <c r="M37" s="176" t="str">
        <f>IF(L37="","",VLOOKUP($B37,'C-1 Site River Baseline'!$C$9:$R$257,16,FALSE))</f>
        <v/>
      </c>
      <c r="N37" s="661" t="str">
        <f t="shared" si="0"/>
        <v/>
      </c>
      <c r="O37" s="239" t="str">
        <f t="shared" si="2"/>
        <v/>
      </c>
      <c r="P37" s="172" t="str">
        <f>IF(C37="","",IF(AND(LEFT(C37,55)&lt;&gt;LEFT(N37,55),O37="High - High"),"Error - Not like for like",IF(AND(F37=S37,H37&gt;U37),"Error - Can not reduce condition",IF(AND(F37=S37,H37=U37,AJ37='C-1 Site River Baseline'!N35,'C-1 Site River Baseline'!P35=AL37),"Error - No enhancement",IF(AND(C37&lt;&gt;N37,F37&lt;S37),"Lower Distinctiveness Habitat"&amp;" - "&amp;T37,G37&amp;" - "&amp;T37)))))</f>
        <v/>
      </c>
      <c r="Q37" s="660" t="str">
        <f>IF(N37="","",VLOOKUP(B37,'C-1 Site River Baseline'!$C$10:$AA$257,19,FALSE))</f>
        <v/>
      </c>
      <c r="R37" s="171" t="str">
        <f>IF(N37="","",VLOOKUP(N37,'G-7 Rivers Data'!$B$2:$G$8,2,FALSE))</f>
        <v/>
      </c>
      <c r="S37" s="172" t="str">
        <f>IFERROR(VLOOKUP(R37,'G-7 Rivers Data'!$C$4:$D$8,2,FALSE),"")</f>
        <v/>
      </c>
      <c r="T37" s="173"/>
      <c r="U37" s="172" t="str">
        <f>IFERROR(INDEX('G-7 Rivers Data'!$H$4:$L$8,MATCH(N37,'G-7 Rivers Data'!$B$4:$B$8,0),MATCH(T37,'G-7 Rivers Data'!$H$3:$L$3,0)),"")</f>
        <v/>
      </c>
      <c r="V37" s="186"/>
      <c r="W37" s="175" t="str">
        <f>IF(V37="","",IF(VLOOKUP(V37,'G-7 Rivers Data'!$AG$4:$AI$9,2,FALSE)=0,"Spatial Data Missing",VLOOKUP(V37,'G-7 Rivers Data'!$AG$4:$AI$9,2,FALSE)))</f>
        <v/>
      </c>
      <c r="X37" s="176" t="str">
        <f>IF(V37="","",IF(VLOOKUP(V37,'G-7 Rivers Data'!$AG$4:$AI$9,3,FALSE)=0,"Spatial Data Missing",VLOOKUP(V37,'G-7 Rivers Data'!$AG$4:$AI$9,3,FALSE)))</f>
        <v/>
      </c>
      <c r="Y37" s="171" t="str">
        <f>IFERROR(IF(OR(LEFT(P37,5)="Error",LEFT(O37,5)="Error"),"Check Data",IF(F37&lt;S37,'G-7 Rivers Data'!$R$3,INDEX('G-7 Rivers Data'!$U$5:$Y$9,MATCH(G37,'G-7 Rivers Data'!$T$5:$T$9,0),MATCH(T37,'G-7 Rivers Data'!$U$4:$Y$4,0)))),"")</f>
        <v/>
      </c>
      <c r="Z37" s="261"/>
      <c r="AA37" s="261"/>
      <c r="AB37" s="179" t="str">
        <f t="shared" si="3"/>
        <v/>
      </c>
      <c r="AC37" s="262" t="str">
        <f t="shared" si="4"/>
        <v/>
      </c>
      <c r="AD37" s="382" t="str">
        <f>IFERROR(IF(AC37="Check Data","Check Data",VLOOKUP(AC37,'G-4 Temporal multipliers'!$A$4:$C$37,3,FALSE)),"")</f>
        <v/>
      </c>
      <c r="AE37" s="171" t="str">
        <f>IF(N37="","",VLOOKUP(N37,'G-7 Rivers Data'!$B$4:$G$8,5,FALSE))</f>
        <v/>
      </c>
      <c r="AF37" s="179" t="str">
        <f t="shared" si="5"/>
        <v/>
      </c>
      <c r="AG37" s="269" t="str">
        <f t="shared" si="6"/>
        <v/>
      </c>
      <c r="AH37" s="172" t="str">
        <f t="shared" si="1"/>
        <v/>
      </c>
      <c r="AI37" s="173"/>
      <c r="AJ37" s="172" t="str">
        <f>IF(AI37="","",IF(VLOOKUP(AI37,'G-7 Rivers Data'!$AA$4:$AB$7,2,FALSE)=0,"Spatial Data Missing",VLOOKUP(AI37,'G-7 Rivers Data'!$AA$4:$AB$7,2,FALSE)))</f>
        <v/>
      </c>
      <c r="AK37" s="187"/>
      <c r="AL37" s="172" t="str">
        <f>IF(AK37="","",IF(VLOOKUP(AK37,'G-7 Rivers Data'!$AD$4:$AE$8,2,FALSE)=0,"Spatial Data Missing",VLOOKUP(AK37,'G-7 Rivers Data'!$AD$4:$AE$8,2,FALSE)))</f>
        <v/>
      </c>
      <c r="AM37" s="265" t="str">
        <f t="shared" si="7"/>
        <v/>
      </c>
      <c r="AN37" s="180"/>
      <c r="AO37" s="181"/>
      <c r="AV37" s="35" t="str">
        <f>IFERROR(INDEX('G-7 Rivers Data'!$AZ$3:$AZ$7,MATCH(N37,'G-7 Rivers Data'!$AY$3:$AY$7,0)),"")</f>
        <v/>
      </c>
    </row>
    <row r="38" spans="2:48" ht="13.8" x14ac:dyDescent="0.25">
      <c r="B38" s="259" t="str">
        <f>'C-1 Site River Baseline'!AN36</f>
        <v/>
      </c>
      <c r="C38" s="175" t="str">
        <f>IF(B38="","",VLOOKUP($B38,'C-1 Site River Baseline'!$C$9:$R$257,2,FALSE))</f>
        <v/>
      </c>
      <c r="D38" s="175" t="str">
        <f>IF(C38="","",VLOOKUP($B38,'C-1 Site River Baseline'!$C$9:$R$257,3,FALSE))</f>
        <v/>
      </c>
      <c r="E38" s="175" t="str">
        <f>IF(D38="","",VLOOKUP($B38,'C-1 Site River Baseline'!$C$9:$R$257,4,FALSE))</f>
        <v/>
      </c>
      <c r="F38" s="175" t="str">
        <f>IF(E38="","",VLOOKUP($B38,'C-1 Site River Baseline'!$C$9:$R$257,5,FALSE))</f>
        <v/>
      </c>
      <c r="G38" s="175" t="str">
        <f>IF(F38="","",VLOOKUP($B38,'C-1 Site River Baseline'!$C$9:$R$257,6,FALSE))</f>
        <v/>
      </c>
      <c r="H38" s="175" t="str">
        <f>IF(G38="","",VLOOKUP($B38,'C-1 Site River Baseline'!$C$9:$R$257,7,FALSE))</f>
        <v/>
      </c>
      <c r="I38" s="175" t="str">
        <f>IF(H38="","",VLOOKUP($B38,'C-1 Site River Baseline'!$C$9:$R$257,8,FALSE))</f>
        <v/>
      </c>
      <c r="J38" s="175" t="str">
        <f>IF(I38="","",VLOOKUP($B38,'C-1 Site River Baseline'!$C$9:$R$257,9,FALSE))</f>
        <v/>
      </c>
      <c r="K38" s="175" t="str">
        <f>IF(J38="","",VLOOKUP($B38,'C-1 Site River Baseline'!$C$9:$R$257,10,FALSE))</f>
        <v/>
      </c>
      <c r="L38" s="175" t="str">
        <f>IF(B38="","",VLOOKUP($B38,'C-1 Site River Baseline'!$C$9:$R$257,15,FALSE))</f>
        <v/>
      </c>
      <c r="M38" s="176" t="str">
        <f>IF(L38="","",VLOOKUP($B38,'C-1 Site River Baseline'!$C$9:$R$257,16,FALSE))</f>
        <v/>
      </c>
      <c r="N38" s="661" t="str">
        <f t="shared" si="0"/>
        <v/>
      </c>
      <c r="O38" s="239" t="str">
        <f t="shared" si="2"/>
        <v/>
      </c>
      <c r="P38" s="172" t="str">
        <f>IF(C38="","",IF(AND(LEFT(C38,55)&lt;&gt;LEFT(N38,55),O38="High - High"),"Error - Not like for like",IF(AND(F38=S38,H38&gt;U38),"Error - Can not reduce condition",IF(AND(F38=S38,H38=U38,AJ38='C-1 Site River Baseline'!N36,'C-1 Site River Baseline'!P36=AL38),"Error - No enhancement",IF(AND(C38&lt;&gt;N38,F38&lt;S38),"Lower Distinctiveness Habitat"&amp;" - "&amp;T38,G38&amp;" - "&amp;T38)))))</f>
        <v/>
      </c>
      <c r="Q38" s="660" t="str">
        <f>IF(N38="","",VLOOKUP(B38,'C-1 Site River Baseline'!$C$10:$AA$257,19,FALSE))</f>
        <v/>
      </c>
      <c r="R38" s="171" t="str">
        <f>IF(N38="","",VLOOKUP(N38,'G-7 Rivers Data'!$B$2:$G$8,2,FALSE))</f>
        <v/>
      </c>
      <c r="S38" s="172" t="str">
        <f>IFERROR(VLOOKUP(R38,'G-7 Rivers Data'!$C$4:$D$8,2,FALSE),"")</f>
        <v/>
      </c>
      <c r="T38" s="173"/>
      <c r="U38" s="172" t="str">
        <f>IFERROR(INDEX('G-7 Rivers Data'!$H$4:$L$8,MATCH(N38,'G-7 Rivers Data'!$B$4:$B$8,0),MATCH(T38,'G-7 Rivers Data'!$H$3:$L$3,0)),"")</f>
        <v/>
      </c>
      <c r="V38" s="186"/>
      <c r="W38" s="175" t="str">
        <f>IF(V38="","",IF(VLOOKUP(V38,'G-7 Rivers Data'!$AG$4:$AI$9,2,FALSE)=0,"Spatial Data Missing",VLOOKUP(V38,'G-7 Rivers Data'!$AG$4:$AI$9,2,FALSE)))</f>
        <v/>
      </c>
      <c r="X38" s="176" t="str">
        <f>IF(V38="","",IF(VLOOKUP(V38,'G-7 Rivers Data'!$AG$4:$AI$9,3,FALSE)=0,"Spatial Data Missing",VLOOKUP(V38,'G-7 Rivers Data'!$AG$4:$AI$9,3,FALSE)))</f>
        <v/>
      </c>
      <c r="Y38" s="171" t="str">
        <f>IFERROR(IF(OR(LEFT(P38,5)="Error",LEFT(O38,5)="Error"),"Check Data",IF(F38&lt;S38,'G-7 Rivers Data'!$R$3,INDEX('G-7 Rivers Data'!$U$5:$Y$9,MATCH(G38,'G-7 Rivers Data'!$T$5:$T$9,0),MATCH(T38,'G-7 Rivers Data'!$U$4:$Y$4,0)))),"")</f>
        <v/>
      </c>
      <c r="Z38" s="261"/>
      <c r="AA38" s="261"/>
      <c r="AB38" s="179" t="str">
        <f t="shared" si="3"/>
        <v/>
      </c>
      <c r="AC38" s="262" t="str">
        <f t="shared" si="4"/>
        <v/>
      </c>
      <c r="AD38" s="382" t="str">
        <f>IFERROR(IF(AC38="Check Data","Check Data",VLOOKUP(AC38,'G-4 Temporal multipliers'!$A$4:$C$37,3,FALSE)),"")</f>
        <v/>
      </c>
      <c r="AE38" s="171" t="str">
        <f>IF(N38="","",VLOOKUP(N38,'G-7 Rivers Data'!$B$4:$G$8,5,FALSE))</f>
        <v/>
      </c>
      <c r="AF38" s="179" t="str">
        <f t="shared" si="5"/>
        <v/>
      </c>
      <c r="AG38" s="269" t="str">
        <f t="shared" si="6"/>
        <v/>
      </c>
      <c r="AH38" s="172" t="str">
        <f t="shared" si="1"/>
        <v/>
      </c>
      <c r="AI38" s="173"/>
      <c r="AJ38" s="172" t="str">
        <f>IF(AI38="","",IF(VLOOKUP(AI38,'G-7 Rivers Data'!$AA$4:$AB$7,2,FALSE)=0,"Spatial Data Missing",VLOOKUP(AI38,'G-7 Rivers Data'!$AA$4:$AB$7,2,FALSE)))</f>
        <v/>
      </c>
      <c r="AK38" s="187"/>
      <c r="AL38" s="172" t="str">
        <f>IF(AK38="","",IF(VLOOKUP(AK38,'G-7 Rivers Data'!$AD$4:$AE$8,2,FALSE)=0,"Spatial Data Missing",VLOOKUP(AK38,'G-7 Rivers Data'!$AD$4:$AE$8,2,FALSE)))</f>
        <v/>
      </c>
      <c r="AM38" s="265" t="str">
        <f t="shared" si="7"/>
        <v/>
      </c>
      <c r="AN38" s="180"/>
      <c r="AO38" s="181"/>
      <c r="AV38" s="35" t="str">
        <f>IFERROR(INDEX('G-7 Rivers Data'!$AZ$3:$AZ$7,MATCH(N38,'G-7 Rivers Data'!$AY$3:$AY$7,0)),"")</f>
        <v/>
      </c>
    </row>
    <row r="39" spans="2:48" ht="13.8" x14ac:dyDescent="0.25">
      <c r="B39" s="259" t="str">
        <f>'C-1 Site River Baseline'!AN37</f>
        <v/>
      </c>
      <c r="C39" s="175" t="str">
        <f>IF(B39="","",VLOOKUP($B39,'C-1 Site River Baseline'!$C$9:$R$257,2,FALSE))</f>
        <v/>
      </c>
      <c r="D39" s="175" t="str">
        <f>IF(C39="","",VLOOKUP($B39,'C-1 Site River Baseline'!$C$9:$R$257,3,FALSE))</f>
        <v/>
      </c>
      <c r="E39" s="175" t="str">
        <f>IF(D39="","",VLOOKUP($B39,'C-1 Site River Baseline'!$C$9:$R$257,4,FALSE))</f>
        <v/>
      </c>
      <c r="F39" s="175" t="str">
        <f>IF(E39="","",VLOOKUP($B39,'C-1 Site River Baseline'!$C$9:$R$257,5,FALSE))</f>
        <v/>
      </c>
      <c r="G39" s="175" t="str">
        <f>IF(F39="","",VLOOKUP($B39,'C-1 Site River Baseline'!$C$9:$R$257,6,FALSE))</f>
        <v/>
      </c>
      <c r="H39" s="175" t="str">
        <f>IF(G39="","",VLOOKUP($B39,'C-1 Site River Baseline'!$C$9:$R$257,7,FALSE))</f>
        <v/>
      </c>
      <c r="I39" s="175" t="str">
        <f>IF(H39="","",VLOOKUP($B39,'C-1 Site River Baseline'!$C$9:$R$257,8,FALSE))</f>
        <v/>
      </c>
      <c r="J39" s="175" t="str">
        <f>IF(I39="","",VLOOKUP($B39,'C-1 Site River Baseline'!$C$9:$R$257,9,FALSE))</f>
        <v/>
      </c>
      <c r="K39" s="175" t="str">
        <f>IF(J39="","",VLOOKUP($B39,'C-1 Site River Baseline'!$C$9:$R$257,10,FALSE))</f>
        <v/>
      </c>
      <c r="L39" s="175" t="str">
        <f>IF(B39="","",VLOOKUP($B39,'C-1 Site River Baseline'!$C$9:$R$257,15,FALSE))</f>
        <v/>
      </c>
      <c r="M39" s="176" t="str">
        <f>IF(L39="","",VLOOKUP($B39,'C-1 Site River Baseline'!$C$9:$R$257,16,FALSE))</f>
        <v/>
      </c>
      <c r="N39" s="661" t="str">
        <f t="shared" si="0"/>
        <v/>
      </c>
      <c r="O39" s="239" t="str">
        <f t="shared" si="2"/>
        <v/>
      </c>
      <c r="P39" s="172" t="str">
        <f>IF(C39="","",IF(AND(LEFT(C39,55)&lt;&gt;LEFT(N39,55),O39="High - High"),"Error - Not like for like",IF(AND(F39=S39,H39&gt;U39),"Error - Can not reduce condition",IF(AND(F39=S39,H39=U39,AJ39='C-1 Site River Baseline'!N37,'C-1 Site River Baseline'!P37=AL39),"Error - No enhancement",IF(AND(C39&lt;&gt;N39,F39&lt;S39),"Lower Distinctiveness Habitat"&amp;" - "&amp;T39,G39&amp;" - "&amp;T39)))))</f>
        <v/>
      </c>
      <c r="Q39" s="660" t="str">
        <f>IF(N39="","",VLOOKUP(B39,'C-1 Site River Baseline'!$C$10:$AA$257,19,FALSE))</f>
        <v/>
      </c>
      <c r="R39" s="171" t="str">
        <f>IF(N39="","",VLOOKUP(N39,'G-7 Rivers Data'!$B$2:$G$8,2,FALSE))</f>
        <v/>
      </c>
      <c r="S39" s="172" t="str">
        <f>IFERROR(VLOOKUP(R39,'G-7 Rivers Data'!$C$4:$D$8,2,FALSE),"")</f>
        <v/>
      </c>
      <c r="T39" s="173"/>
      <c r="U39" s="172" t="str">
        <f>IFERROR(INDEX('G-7 Rivers Data'!$H$4:$L$8,MATCH(N39,'G-7 Rivers Data'!$B$4:$B$8,0),MATCH(T39,'G-7 Rivers Data'!$H$3:$L$3,0)),"")</f>
        <v/>
      </c>
      <c r="V39" s="186"/>
      <c r="W39" s="175" t="str">
        <f>IF(V39="","",IF(VLOOKUP(V39,'G-7 Rivers Data'!$AG$4:$AI$9,2,FALSE)=0,"Spatial Data Missing",VLOOKUP(V39,'G-7 Rivers Data'!$AG$4:$AI$9,2,FALSE)))</f>
        <v/>
      </c>
      <c r="X39" s="176" t="str">
        <f>IF(V39="","",IF(VLOOKUP(V39,'G-7 Rivers Data'!$AG$4:$AI$9,3,FALSE)=0,"Spatial Data Missing",VLOOKUP(V39,'G-7 Rivers Data'!$AG$4:$AI$9,3,FALSE)))</f>
        <v/>
      </c>
      <c r="Y39" s="171" t="str">
        <f>IFERROR(IF(OR(LEFT(P39,5)="Error",LEFT(O39,5)="Error"),"Check Data",IF(F39&lt;S39,'G-7 Rivers Data'!$R$3,INDEX('G-7 Rivers Data'!$U$5:$Y$9,MATCH(G39,'G-7 Rivers Data'!$T$5:$T$9,0),MATCH(T39,'G-7 Rivers Data'!$U$4:$Y$4,0)))),"")</f>
        <v/>
      </c>
      <c r="Z39" s="261"/>
      <c r="AA39" s="261"/>
      <c r="AB39" s="179" t="str">
        <f t="shared" si="3"/>
        <v/>
      </c>
      <c r="AC39" s="262" t="str">
        <f t="shared" si="4"/>
        <v/>
      </c>
      <c r="AD39" s="382" t="str">
        <f>IFERROR(IF(AC39="Check Data","Check Data",VLOOKUP(AC39,'G-4 Temporal multipliers'!$A$4:$C$37,3,FALSE)),"")</f>
        <v/>
      </c>
      <c r="AE39" s="171" t="str">
        <f>IF(N39="","",VLOOKUP(N39,'G-7 Rivers Data'!$B$4:$G$8,5,FALSE))</f>
        <v/>
      </c>
      <c r="AF39" s="179" t="str">
        <f t="shared" si="5"/>
        <v/>
      </c>
      <c r="AG39" s="269" t="str">
        <f t="shared" si="6"/>
        <v/>
      </c>
      <c r="AH39" s="172" t="str">
        <f t="shared" si="1"/>
        <v/>
      </c>
      <c r="AI39" s="173"/>
      <c r="AJ39" s="172" t="str">
        <f>IF(AI39="","",IF(VLOOKUP(AI39,'G-7 Rivers Data'!$AA$4:$AB$7,2,FALSE)=0,"Spatial Data Missing",VLOOKUP(AI39,'G-7 Rivers Data'!$AA$4:$AB$7,2,FALSE)))</f>
        <v/>
      </c>
      <c r="AK39" s="187"/>
      <c r="AL39" s="172" t="str">
        <f>IF(AK39="","",IF(VLOOKUP(AK39,'G-7 Rivers Data'!$AD$4:$AE$8,2,FALSE)=0,"Spatial Data Missing",VLOOKUP(AK39,'G-7 Rivers Data'!$AD$4:$AE$8,2,FALSE)))</f>
        <v/>
      </c>
      <c r="AM39" s="265" t="str">
        <f t="shared" si="7"/>
        <v/>
      </c>
      <c r="AN39" s="180"/>
      <c r="AO39" s="181"/>
      <c r="AV39" s="35" t="str">
        <f>IFERROR(INDEX('G-7 Rivers Data'!$AZ$3:$AZ$7,MATCH(N39,'G-7 Rivers Data'!$AY$3:$AY$7,0)),"")</f>
        <v/>
      </c>
    </row>
    <row r="40" spans="2:48" ht="13.8" x14ac:dyDescent="0.25">
      <c r="B40" s="259" t="str">
        <f>'C-1 Site River Baseline'!AN38</f>
        <v/>
      </c>
      <c r="C40" s="175" t="str">
        <f>IF(B40="","",VLOOKUP($B40,'C-1 Site River Baseline'!$C$9:$R$257,2,FALSE))</f>
        <v/>
      </c>
      <c r="D40" s="175" t="str">
        <f>IF(C40="","",VLOOKUP($B40,'C-1 Site River Baseline'!$C$9:$R$257,3,FALSE))</f>
        <v/>
      </c>
      <c r="E40" s="175" t="str">
        <f>IF(D40="","",VLOOKUP($B40,'C-1 Site River Baseline'!$C$9:$R$257,4,FALSE))</f>
        <v/>
      </c>
      <c r="F40" s="175" t="str">
        <f>IF(E40="","",VLOOKUP($B40,'C-1 Site River Baseline'!$C$9:$R$257,5,FALSE))</f>
        <v/>
      </c>
      <c r="G40" s="175" t="str">
        <f>IF(F40="","",VLOOKUP($B40,'C-1 Site River Baseline'!$C$9:$R$257,6,FALSE))</f>
        <v/>
      </c>
      <c r="H40" s="175" t="str">
        <f>IF(G40="","",VLOOKUP($B40,'C-1 Site River Baseline'!$C$9:$R$257,7,FALSE))</f>
        <v/>
      </c>
      <c r="I40" s="175" t="str">
        <f>IF(H40="","",VLOOKUP($B40,'C-1 Site River Baseline'!$C$9:$R$257,8,FALSE))</f>
        <v/>
      </c>
      <c r="J40" s="175" t="str">
        <f>IF(I40="","",VLOOKUP($B40,'C-1 Site River Baseline'!$C$9:$R$257,9,FALSE))</f>
        <v/>
      </c>
      <c r="K40" s="175" t="str">
        <f>IF(J40="","",VLOOKUP($B40,'C-1 Site River Baseline'!$C$9:$R$257,10,FALSE))</f>
        <v/>
      </c>
      <c r="L40" s="175" t="str">
        <f>IF(B40="","",VLOOKUP($B40,'C-1 Site River Baseline'!$C$9:$R$257,15,FALSE))</f>
        <v/>
      </c>
      <c r="M40" s="176" t="str">
        <f>IF(L40="","",VLOOKUP($B40,'C-1 Site River Baseline'!$C$9:$R$257,16,FALSE))</f>
        <v/>
      </c>
      <c r="N40" s="639"/>
      <c r="O40" s="239" t="str">
        <f t="shared" si="2"/>
        <v/>
      </c>
      <c r="P40" s="172" t="str">
        <f>IF(C40="","",IF(AND(LEFT(C40,55)&lt;&gt;LEFT(N40,55),O40="High - High"),"Error - Not like for like",IF(AND(F40=S40,H40&gt;U40),"Error - Can not reduce condition",IF(AND(F40=S40,H40=U40,AJ40='C-1 Site River Baseline'!N38,'C-1 Site River Baseline'!P38=AL40),"Error - No enhancement",IF(AND(C40&lt;&gt;N40,F40&lt;S40),"Lower Distinctiveness Habitat"&amp;" - "&amp;T40,G40&amp;" - "&amp;T40)))))</f>
        <v/>
      </c>
      <c r="Q40" s="660" t="str">
        <f>IF(N40="","",VLOOKUP(B40,'C-1 Site River Baseline'!$C$10:$AA$257,19,FALSE))</f>
        <v/>
      </c>
      <c r="R40" s="171" t="str">
        <f>IF(N40="","",VLOOKUP(N40,'G-7 Rivers Data'!$B$2:$G$8,2,FALSE))</f>
        <v/>
      </c>
      <c r="S40" s="172" t="str">
        <f>IFERROR(VLOOKUP(R40,'G-7 Rivers Data'!$C$4:$D$8,2,FALSE),"")</f>
        <v/>
      </c>
      <c r="T40" s="173"/>
      <c r="U40" s="172" t="str">
        <f>IFERROR(INDEX('G-7 Rivers Data'!$H$4:$L$8,MATCH(N40,'G-7 Rivers Data'!$B$4:$B$8,0),MATCH(T40,'G-7 Rivers Data'!$H$3:$L$3,0)),"")</f>
        <v/>
      </c>
      <c r="V40" s="186"/>
      <c r="W40" s="175" t="str">
        <f>IF(V40="","",IF(VLOOKUP(V40,'G-7 Rivers Data'!$AG$4:$AI$9,2,FALSE)=0,"Spatial Data Missing",VLOOKUP(V40,'G-7 Rivers Data'!$AG$4:$AI$9,2,FALSE)))</f>
        <v/>
      </c>
      <c r="X40" s="176" t="str">
        <f>IF(V40="","",IF(VLOOKUP(V40,'G-7 Rivers Data'!$AG$4:$AI$9,3,FALSE)=0,"Spatial Data Missing",VLOOKUP(V40,'G-7 Rivers Data'!$AG$4:$AI$9,3,FALSE)))</f>
        <v/>
      </c>
      <c r="Y40" s="171" t="str">
        <f>IFERROR(IF(OR(LEFT(P40,5)="Error",LEFT(O40,5)="Error"),"Check Data",IF(F40&lt;S40,'G-7 Rivers Data'!$R$3,INDEX('G-7 Rivers Data'!$U$5:$Y$9,MATCH(G40,'G-7 Rivers Data'!$T$5:$T$9,0),MATCH(T40,'G-7 Rivers Data'!$U$4:$Y$4,0)))),"")</f>
        <v/>
      </c>
      <c r="Z40" s="261"/>
      <c r="AA40" s="261"/>
      <c r="AB40" s="179" t="str">
        <f t="shared" si="3"/>
        <v/>
      </c>
      <c r="AC40" s="262" t="str">
        <f t="shared" si="4"/>
        <v/>
      </c>
      <c r="AD40" s="382" t="str">
        <f>IFERROR(IF(AC40="Check Data","Check Data",VLOOKUP(AC40,'G-4 Temporal multipliers'!$A$4:$C$37,3,FALSE)),"")</f>
        <v/>
      </c>
      <c r="AE40" s="171" t="str">
        <f>IF(N40="","",VLOOKUP(N40,'G-7 Rivers Data'!$B$4:$G$8,5,FALSE))</f>
        <v/>
      </c>
      <c r="AF40" s="179" t="str">
        <f t="shared" si="5"/>
        <v/>
      </c>
      <c r="AG40" s="269" t="str">
        <f t="shared" si="6"/>
        <v/>
      </c>
      <c r="AH40" s="172" t="str">
        <f t="shared" si="1"/>
        <v/>
      </c>
      <c r="AI40" s="173"/>
      <c r="AJ40" s="172" t="str">
        <f>IF(AI40="","",IF(VLOOKUP(AI40,'G-7 Rivers Data'!$AA$4:$AB$7,2,FALSE)=0,"Spatial Data Missing",VLOOKUP(AI40,'G-7 Rivers Data'!$AA$4:$AB$7,2,FALSE)))</f>
        <v/>
      </c>
      <c r="AK40" s="187"/>
      <c r="AL40" s="172" t="str">
        <f>IF(AK40="","",IF(VLOOKUP(AK40,'G-7 Rivers Data'!$AD$4:$AE$8,2,FALSE)=0,"Spatial Data Missing",VLOOKUP(AK40,'G-7 Rivers Data'!$AD$4:$AE$8,2,FALSE)))</f>
        <v/>
      </c>
      <c r="AM40" s="265" t="str">
        <f t="shared" si="7"/>
        <v/>
      </c>
      <c r="AN40" s="180"/>
      <c r="AO40" s="181"/>
      <c r="AV40" s="35" t="str">
        <f>IFERROR(INDEX('G-7 Rivers Data'!$AZ$3:$AZ$7,MATCH(N40,'G-7 Rivers Data'!$AY$3:$AY$7,0)),"")</f>
        <v/>
      </c>
    </row>
    <row r="41" spans="2:48" ht="13.8" x14ac:dyDescent="0.25">
      <c r="B41" s="259" t="str">
        <f>'C-1 Site River Baseline'!AN39</f>
        <v/>
      </c>
      <c r="C41" s="175" t="str">
        <f>IF(B41="","",VLOOKUP($B41,'C-1 Site River Baseline'!$C$9:$R$257,2,FALSE))</f>
        <v/>
      </c>
      <c r="D41" s="175" t="str">
        <f>IF(C41="","",VLOOKUP($B41,'C-1 Site River Baseline'!$C$9:$R$257,3,FALSE))</f>
        <v/>
      </c>
      <c r="E41" s="175" t="str">
        <f>IF(D41="","",VLOOKUP($B41,'C-1 Site River Baseline'!$C$9:$R$257,4,FALSE))</f>
        <v/>
      </c>
      <c r="F41" s="175" t="str">
        <f>IF(E41="","",VLOOKUP($B41,'C-1 Site River Baseline'!$C$9:$R$257,5,FALSE))</f>
        <v/>
      </c>
      <c r="G41" s="175" t="str">
        <f>IF(F41="","",VLOOKUP($B41,'C-1 Site River Baseline'!$C$9:$R$257,6,FALSE))</f>
        <v/>
      </c>
      <c r="H41" s="175" t="str">
        <f>IF(G41="","",VLOOKUP($B41,'C-1 Site River Baseline'!$C$9:$R$257,7,FALSE))</f>
        <v/>
      </c>
      <c r="I41" s="175" t="str">
        <f>IF(H41="","",VLOOKUP($B41,'C-1 Site River Baseline'!$C$9:$R$257,8,FALSE))</f>
        <v/>
      </c>
      <c r="J41" s="175" t="str">
        <f>IF(I41="","",VLOOKUP($B41,'C-1 Site River Baseline'!$C$9:$R$257,9,FALSE))</f>
        <v/>
      </c>
      <c r="K41" s="175" t="str">
        <f>IF(J41="","",VLOOKUP($B41,'C-1 Site River Baseline'!$C$9:$R$257,10,FALSE))</f>
        <v/>
      </c>
      <c r="L41" s="175" t="str">
        <f>IF(B41="","",VLOOKUP($B41,'C-1 Site River Baseline'!$C$9:$R$257,15,FALSE))</f>
        <v/>
      </c>
      <c r="M41" s="176" t="str">
        <f>IF(L41="","",VLOOKUP($B41,'C-1 Site River Baseline'!$C$9:$R$257,16,FALSE))</f>
        <v/>
      </c>
      <c r="N41" s="639" t="str">
        <f t="shared" si="0"/>
        <v/>
      </c>
      <c r="O41" s="239" t="str">
        <f t="shared" si="2"/>
        <v/>
      </c>
      <c r="P41" s="172" t="str">
        <f>IF(C41="","",IF(AND(LEFT(C41,55)&lt;&gt;LEFT(N41,55),O41="High - High"),"Error - Not like for like",IF(AND(F41=S41,H41&gt;U41),"Error - Can not reduce condition",IF(AND(F41=S41,H41=U41,AJ41='C-1 Site River Baseline'!N39,'C-1 Site River Baseline'!P39=AL41),"Error - No enhancement",IF(AND(C41&lt;&gt;N41,F41&lt;S41),"Lower Distinctiveness Habitat"&amp;" - "&amp;T41,G41&amp;" - "&amp;T41)))))</f>
        <v/>
      </c>
      <c r="Q41" s="660" t="str">
        <f>IF(N41="","",VLOOKUP(B41,'C-1 Site River Baseline'!$C$10:$AA$257,19,FALSE))</f>
        <v/>
      </c>
      <c r="R41" s="171" t="str">
        <f>IF(N41="","",VLOOKUP(N41,'G-7 Rivers Data'!$B$2:$G$8,2,FALSE))</f>
        <v/>
      </c>
      <c r="S41" s="172" t="str">
        <f>IFERROR(VLOOKUP(R41,'G-7 Rivers Data'!$C$4:$D$8,2,FALSE),"")</f>
        <v/>
      </c>
      <c r="T41" s="173"/>
      <c r="U41" s="172" t="str">
        <f>IFERROR(INDEX('G-7 Rivers Data'!$H$4:$L$8,MATCH(N41,'G-7 Rivers Data'!$B$4:$B$8,0),MATCH(T41,'G-7 Rivers Data'!$H$3:$L$3,0)),"")</f>
        <v/>
      </c>
      <c r="V41" s="186"/>
      <c r="W41" s="175" t="str">
        <f>IF(V41="","",IF(VLOOKUP(V41,'G-7 Rivers Data'!$AG$4:$AI$9,2,FALSE)=0,"Spatial Data Missing",VLOOKUP(V41,'G-7 Rivers Data'!$AG$4:$AI$9,2,FALSE)))</f>
        <v/>
      </c>
      <c r="X41" s="176" t="str">
        <f>IF(V41="","",IF(VLOOKUP(V41,'G-7 Rivers Data'!$AG$4:$AI$9,3,FALSE)=0,"Spatial Data Missing",VLOOKUP(V41,'G-7 Rivers Data'!$AG$4:$AI$9,3,FALSE)))</f>
        <v/>
      </c>
      <c r="Y41" s="171" t="str">
        <f>IFERROR(IF(OR(LEFT(P41,5)="Error",LEFT(O41,5)="Error"),"Check Data",IF(F41&lt;S41,'G-7 Rivers Data'!$R$3,INDEX('G-7 Rivers Data'!$U$5:$Y$9,MATCH(G41,'G-7 Rivers Data'!$T$5:$T$9,0),MATCH(T41,'G-7 Rivers Data'!$U$4:$Y$4,0)))),"")</f>
        <v/>
      </c>
      <c r="Z41" s="261"/>
      <c r="AA41" s="261"/>
      <c r="AB41" s="179" t="str">
        <f t="shared" si="3"/>
        <v/>
      </c>
      <c r="AC41" s="262" t="str">
        <f t="shared" si="4"/>
        <v/>
      </c>
      <c r="AD41" s="382" t="str">
        <f>IFERROR(IF(AC41="Check Data","Check Data",VLOOKUP(AC41,'G-4 Temporal multipliers'!$A$4:$C$37,3,FALSE)),"")</f>
        <v/>
      </c>
      <c r="AE41" s="171" t="str">
        <f>IF(N41="","",VLOOKUP(N41,'G-7 Rivers Data'!$B$4:$G$8,5,FALSE))</f>
        <v/>
      </c>
      <c r="AF41" s="179" t="str">
        <f t="shared" si="5"/>
        <v/>
      </c>
      <c r="AG41" s="269" t="str">
        <f t="shared" si="6"/>
        <v/>
      </c>
      <c r="AH41" s="172" t="str">
        <f t="shared" si="1"/>
        <v/>
      </c>
      <c r="AI41" s="173"/>
      <c r="AJ41" s="172" t="str">
        <f>IF(AI41="","",IF(VLOOKUP(AI41,'G-7 Rivers Data'!$AA$4:$AB$7,2,FALSE)=0,"Spatial Data Missing",VLOOKUP(AI41,'G-7 Rivers Data'!$AA$4:$AB$7,2,FALSE)))</f>
        <v/>
      </c>
      <c r="AK41" s="187"/>
      <c r="AL41" s="172" t="str">
        <f>IF(AK41="","",IF(VLOOKUP(AK41,'G-7 Rivers Data'!$AD$4:$AE$8,2,FALSE)=0,"Spatial Data Missing",VLOOKUP(AK41,'G-7 Rivers Data'!$AD$4:$AE$8,2,FALSE)))</f>
        <v/>
      </c>
      <c r="AM41" s="265" t="str">
        <f t="shared" si="7"/>
        <v/>
      </c>
      <c r="AN41" s="180"/>
      <c r="AO41" s="181"/>
      <c r="AV41" s="35" t="str">
        <f>IFERROR(INDEX('G-7 Rivers Data'!$AZ$3:$AZ$7,MATCH(N41,'G-7 Rivers Data'!$AY$3:$AY$7,0)),"")</f>
        <v/>
      </c>
    </row>
    <row r="42" spans="2:48" ht="13.8" x14ac:dyDescent="0.25">
      <c r="B42" s="259" t="str">
        <f>'C-1 Site River Baseline'!AN40</f>
        <v/>
      </c>
      <c r="C42" s="175" t="str">
        <f>IF(B42="","",VLOOKUP($B42,'C-1 Site River Baseline'!$C$9:$R$257,2,FALSE))</f>
        <v/>
      </c>
      <c r="D42" s="175" t="str">
        <f>IF(C42="","",VLOOKUP($B42,'C-1 Site River Baseline'!$C$9:$R$257,3,FALSE))</f>
        <v/>
      </c>
      <c r="E42" s="175" t="str">
        <f>IF(D42="","",VLOOKUP($B42,'C-1 Site River Baseline'!$C$9:$R$257,4,FALSE))</f>
        <v/>
      </c>
      <c r="F42" s="175" t="str">
        <f>IF(E42="","",VLOOKUP($B42,'C-1 Site River Baseline'!$C$9:$R$257,5,FALSE))</f>
        <v/>
      </c>
      <c r="G42" s="175" t="str">
        <f>IF(F42="","",VLOOKUP($B42,'C-1 Site River Baseline'!$C$9:$R$257,6,FALSE))</f>
        <v/>
      </c>
      <c r="H42" s="175" t="str">
        <f>IF(G42="","",VLOOKUP($B42,'C-1 Site River Baseline'!$C$9:$R$257,7,FALSE))</f>
        <v/>
      </c>
      <c r="I42" s="175" t="str">
        <f>IF(H42="","",VLOOKUP($B42,'C-1 Site River Baseline'!$C$9:$R$257,8,FALSE))</f>
        <v/>
      </c>
      <c r="J42" s="175" t="str">
        <f>IF(I42="","",VLOOKUP($B42,'C-1 Site River Baseline'!$C$9:$R$257,9,FALSE))</f>
        <v/>
      </c>
      <c r="K42" s="175" t="str">
        <f>IF(J42="","",VLOOKUP($B42,'C-1 Site River Baseline'!$C$9:$R$257,10,FALSE))</f>
        <v/>
      </c>
      <c r="L42" s="175" t="str">
        <f>IF(B42="","",VLOOKUP($B42,'C-1 Site River Baseline'!$C$9:$R$257,15,FALSE))</f>
        <v/>
      </c>
      <c r="M42" s="176" t="str">
        <f>IF(L42="","",VLOOKUP($B42,'C-1 Site River Baseline'!$C$9:$R$257,16,FALSE))</f>
        <v/>
      </c>
      <c r="N42" s="639" t="str">
        <f t="shared" si="0"/>
        <v/>
      </c>
      <c r="O42" s="239" t="str">
        <f t="shared" si="2"/>
        <v/>
      </c>
      <c r="P42" s="172" t="str">
        <f>IF(C42="","",IF(AND(LEFT(C42,55)&lt;&gt;LEFT(N42,55),O42="High - High"),"Error - Not like for like",IF(AND(F42=S42,H42&gt;U42),"Error - Can not reduce condition",IF(AND(F42=S42,H42=U42,AJ42='C-1 Site River Baseline'!N40,'C-1 Site River Baseline'!P40=AL42),"Error - No enhancement",IF(AND(C42&lt;&gt;N42,F42&lt;S42),"Lower Distinctiveness Habitat"&amp;" - "&amp;T42,G42&amp;" - "&amp;T42)))))</f>
        <v/>
      </c>
      <c r="Q42" s="660" t="str">
        <f>IF(N42="","",VLOOKUP(B42,'C-1 Site River Baseline'!$C$10:$AA$257,19,FALSE))</f>
        <v/>
      </c>
      <c r="R42" s="171" t="str">
        <f>IF(N42="","",VLOOKUP(N42,'G-7 Rivers Data'!$B$2:$G$8,2,FALSE))</f>
        <v/>
      </c>
      <c r="S42" s="172" t="str">
        <f>IFERROR(VLOOKUP(R42,'G-7 Rivers Data'!$C$4:$D$8,2,FALSE),"")</f>
        <v/>
      </c>
      <c r="T42" s="173"/>
      <c r="U42" s="172" t="str">
        <f>IFERROR(INDEX('G-7 Rivers Data'!$H$4:$L$8,MATCH(N42,'G-7 Rivers Data'!$B$4:$B$8,0),MATCH(T42,'G-7 Rivers Data'!$H$3:$L$3,0)),"")</f>
        <v/>
      </c>
      <c r="V42" s="186"/>
      <c r="W42" s="175" t="str">
        <f>IF(V42="","",IF(VLOOKUP(V42,'G-7 Rivers Data'!$AG$4:$AI$9,2,FALSE)=0,"Spatial Data Missing",VLOOKUP(V42,'G-7 Rivers Data'!$AG$4:$AI$9,2,FALSE)))</f>
        <v/>
      </c>
      <c r="X42" s="176" t="str">
        <f>IF(V42="","",IF(VLOOKUP(V42,'G-7 Rivers Data'!$AG$4:$AI$9,3,FALSE)=0,"Spatial Data Missing",VLOOKUP(V42,'G-7 Rivers Data'!$AG$4:$AI$9,3,FALSE)))</f>
        <v/>
      </c>
      <c r="Y42" s="171" t="str">
        <f>IFERROR(IF(OR(LEFT(P42,5)="Error",LEFT(O42,5)="Error"),"Check Data",IF(F42&lt;S42,'G-7 Rivers Data'!$R$3,INDEX('G-7 Rivers Data'!$U$5:$Y$9,MATCH(G42,'G-7 Rivers Data'!$T$5:$T$9,0),MATCH(T42,'G-7 Rivers Data'!$U$4:$Y$4,0)))),"")</f>
        <v/>
      </c>
      <c r="Z42" s="261"/>
      <c r="AA42" s="261"/>
      <c r="AB42" s="179" t="str">
        <f t="shared" si="3"/>
        <v/>
      </c>
      <c r="AC42" s="262" t="str">
        <f t="shared" si="4"/>
        <v/>
      </c>
      <c r="AD42" s="382" t="str">
        <f>IFERROR(IF(AC42="Check Data","Check Data",VLOOKUP(AC42,'G-4 Temporal multipliers'!$A$4:$C$37,3,FALSE)),"")</f>
        <v/>
      </c>
      <c r="AE42" s="171" t="str">
        <f>IF(N42="","",VLOOKUP(N42,'G-7 Rivers Data'!$B$4:$G$8,5,FALSE))</f>
        <v/>
      </c>
      <c r="AF42" s="179" t="str">
        <f t="shared" si="5"/>
        <v/>
      </c>
      <c r="AG42" s="269" t="str">
        <f t="shared" si="6"/>
        <v/>
      </c>
      <c r="AH42" s="172" t="str">
        <f t="shared" si="1"/>
        <v/>
      </c>
      <c r="AI42" s="173"/>
      <c r="AJ42" s="172" t="str">
        <f>IF(AI42="","",IF(VLOOKUP(AI42,'G-7 Rivers Data'!$AA$4:$AB$7,2,FALSE)=0,"Spatial Data Missing",VLOOKUP(AI42,'G-7 Rivers Data'!$AA$4:$AB$7,2,FALSE)))</f>
        <v/>
      </c>
      <c r="AK42" s="187"/>
      <c r="AL42" s="172" t="str">
        <f>IF(AK42="","",IF(VLOOKUP(AK42,'G-7 Rivers Data'!$AD$4:$AE$8,2,FALSE)=0,"Spatial Data Missing",VLOOKUP(AK42,'G-7 Rivers Data'!$AD$4:$AE$8,2,FALSE)))</f>
        <v/>
      </c>
      <c r="AM42" s="265" t="str">
        <f t="shared" si="7"/>
        <v/>
      </c>
      <c r="AN42" s="180"/>
      <c r="AO42" s="181"/>
      <c r="AV42" s="35" t="str">
        <f>IFERROR(INDEX('G-7 Rivers Data'!$AZ$3:$AZ$7,MATCH(N42,'G-7 Rivers Data'!$AY$3:$AY$7,0)),"")</f>
        <v/>
      </c>
    </row>
    <row r="43" spans="2:48" ht="13.8" x14ac:dyDescent="0.25">
      <c r="B43" s="259" t="str">
        <f>'C-1 Site River Baseline'!AN41</f>
        <v/>
      </c>
      <c r="C43" s="175" t="str">
        <f>IF(B43="","",VLOOKUP($B43,'C-1 Site River Baseline'!$C$9:$R$257,2,FALSE))</f>
        <v/>
      </c>
      <c r="D43" s="175" t="str">
        <f>IF(C43="","",VLOOKUP($B43,'C-1 Site River Baseline'!$C$9:$R$257,3,FALSE))</f>
        <v/>
      </c>
      <c r="E43" s="175" t="str">
        <f>IF(D43="","",VLOOKUP($B43,'C-1 Site River Baseline'!$C$9:$R$257,4,FALSE))</f>
        <v/>
      </c>
      <c r="F43" s="175" t="str">
        <f>IF(E43="","",VLOOKUP($B43,'C-1 Site River Baseline'!$C$9:$R$257,5,FALSE))</f>
        <v/>
      </c>
      <c r="G43" s="175" t="str">
        <f>IF(F43="","",VLOOKUP($B43,'C-1 Site River Baseline'!$C$9:$R$257,6,FALSE))</f>
        <v/>
      </c>
      <c r="H43" s="175" t="str">
        <f>IF(G43="","",VLOOKUP($B43,'C-1 Site River Baseline'!$C$9:$R$257,7,FALSE))</f>
        <v/>
      </c>
      <c r="I43" s="175" t="str">
        <f>IF(H43="","",VLOOKUP($B43,'C-1 Site River Baseline'!$C$9:$R$257,8,FALSE))</f>
        <v/>
      </c>
      <c r="J43" s="175" t="str">
        <f>IF(I43="","",VLOOKUP($B43,'C-1 Site River Baseline'!$C$9:$R$257,9,FALSE))</f>
        <v/>
      </c>
      <c r="K43" s="175" t="str">
        <f>IF(J43="","",VLOOKUP($B43,'C-1 Site River Baseline'!$C$9:$R$257,10,FALSE))</f>
        <v/>
      </c>
      <c r="L43" s="175" t="str">
        <f>IF(B43="","",VLOOKUP($B43,'C-1 Site River Baseline'!$C$9:$R$257,15,FALSE))</f>
        <v/>
      </c>
      <c r="M43" s="176" t="str">
        <f>IF(L43="","",VLOOKUP($B43,'C-1 Site River Baseline'!$C$9:$R$257,16,FALSE))</f>
        <v/>
      </c>
      <c r="N43" s="639" t="str">
        <f t="shared" si="0"/>
        <v/>
      </c>
      <c r="O43" s="239" t="str">
        <f t="shared" si="2"/>
        <v/>
      </c>
      <c r="P43" s="172" t="str">
        <f>IF(C43="","",IF(AND(LEFT(C43,55)&lt;&gt;LEFT(N43,55),O43="High - High"),"Error - Not like for like",IF(AND(F43=S43,H43&gt;U43),"Error - Can not reduce condition",IF(AND(F43=S43,H43=U43,AJ43='C-1 Site River Baseline'!N41,'C-1 Site River Baseline'!P41=AL43),"Error - No enhancement",IF(AND(C43&lt;&gt;N43,F43&lt;S43),"Lower Distinctiveness Habitat"&amp;" - "&amp;T43,G43&amp;" - "&amp;T43)))))</f>
        <v/>
      </c>
      <c r="Q43" s="660" t="str">
        <f>IF(N43="","",VLOOKUP(B43,'C-1 Site River Baseline'!$C$10:$AA$257,19,FALSE))</f>
        <v/>
      </c>
      <c r="R43" s="171" t="str">
        <f>IF(N43="","",VLOOKUP(N43,'G-7 Rivers Data'!$B$2:$G$8,2,FALSE))</f>
        <v/>
      </c>
      <c r="S43" s="172" t="str">
        <f>IFERROR(VLOOKUP(R43,'G-7 Rivers Data'!$C$4:$D$8,2,FALSE),"")</f>
        <v/>
      </c>
      <c r="T43" s="173"/>
      <c r="U43" s="172" t="str">
        <f>IFERROR(INDEX('G-7 Rivers Data'!$H$4:$L$8,MATCH(N43,'G-7 Rivers Data'!$B$4:$B$8,0),MATCH(T43,'G-7 Rivers Data'!$H$3:$L$3,0)),"")</f>
        <v/>
      </c>
      <c r="V43" s="186"/>
      <c r="W43" s="175" t="str">
        <f>IF(V43="","",IF(VLOOKUP(V43,'G-7 Rivers Data'!$AG$4:$AI$9,2,FALSE)=0,"Spatial Data Missing",VLOOKUP(V43,'G-7 Rivers Data'!$AG$4:$AI$9,2,FALSE)))</f>
        <v/>
      </c>
      <c r="X43" s="176" t="str">
        <f>IF(V43="","",IF(VLOOKUP(V43,'G-7 Rivers Data'!$AG$4:$AI$9,3,FALSE)=0,"Spatial Data Missing",VLOOKUP(V43,'G-7 Rivers Data'!$AG$4:$AI$9,3,FALSE)))</f>
        <v/>
      </c>
      <c r="Y43" s="171" t="str">
        <f>IFERROR(IF(OR(LEFT(P43,5)="Error",LEFT(O43,5)="Error"),"Check Data",IF(F43&lt;S43,'G-7 Rivers Data'!$R$3,INDEX('G-7 Rivers Data'!$U$5:$Y$9,MATCH(G43,'G-7 Rivers Data'!$T$5:$T$9,0),MATCH(T43,'G-7 Rivers Data'!$U$4:$Y$4,0)))),"")</f>
        <v/>
      </c>
      <c r="Z43" s="261"/>
      <c r="AA43" s="261"/>
      <c r="AB43" s="179" t="str">
        <f t="shared" si="3"/>
        <v/>
      </c>
      <c r="AC43" s="262" t="str">
        <f t="shared" si="4"/>
        <v/>
      </c>
      <c r="AD43" s="382" t="str">
        <f>IFERROR(IF(AC43="Check Data","Check Data",VLOOKUP(AC43,'G-4 Temporal multipliers'!$A$4:$C$37,3,FALSE)),"")</f>
        <v/>
      </c>
      <c r="AE43" s="171" t="str">
        <f>IF(N43="","",VLOOKUP(N43,'G-7 Rivers Data'!$B$4:$G$8,5,FALSE))</f>
        <v/>
      </c>
      <c r="AF43" s="179" t="str">
        <f t="shared" si="5"/>
        <v/>
      </c>
      <c r="AG43" s="269" t="str">
        <f t="shared" si="6"/>
        <v/>
      </c>
      <c r="AH43" s="172" t="str">
        <f t="shared" si="1"/>
        <v/>
      </c>
      <c r="AI43" s="173"/>
      <c r="AJ43" s="172" t="str">
        <f>IF(AI43="","",IF(VLOOKUP(AI43,'G-7 Rivers Data'!$AA$4:$AB$7,2,FALSE)=0,"Spatial Data Missing",VLOOKUP(AI43,'G-7 Rivers Data'!$AA$4:$AB$7,2,FALSE)))</f>
        <v/>
      </c>
      <c r="AK43" s="187"/>
      <c r="AL43" s="172" t="str">
        <f>IF(AK43="","",IF(VLOOKUP(AK43,'G-7 Rivers Data'!$AD$4:$AE$8,2,FALSE)=0,"Spatial Data Missing",VLOOKUP(AK43,'G-7 Rivers Data'!$AD$4:$AE$8,2,FALSE)))</f>
        <v/>
      </c>
      <c r="AM43" s="265" t="str">
        <f t="shared" si="7"/>
        <v/>
      </c>
      <c r="AN43" s="180"/>
      <c r="AO43" s="181"/>
      <c r="AV43" s="35" t="str">
        <f>IFERROR(INDEX('G-7 Rivers Data'!$AZ$3:$AZ$7,MATCH(N43,'G-7 Rivers Data'!$AY$3:$AY$7,0)),"")</f>
        <v/>
      </c>
    </row>
    <row r="44" spans="2:48" ht="13.8" x14ac:dyDescent="0.25">
      <c r="B44" s="259" t="str">
        <f>'C-1 Site River Baseline'!AN42</f>
        <v/>
      </c>
      <c r="C44" s="175" t="str">
        <f>IF(B44="","",VLOOKUP($B44,'C-1 Site River Baseline'!$C$9:$R$257,2,FALSE))</f>
        <v/>
      </c>
      <c r="D44" s="175" t="str">
        <f>IF(C44="","",VLOOKUP($B44,'C-1 Site River Baseline'!$C$9:$R$257,3,FALSE))</f>
        <v/>
      </c>
      <c r="E44" s="175" t="str">
        <f>IF(D44="","",VLOOKUP($B44,'C-1 Site River Baseline'!$C$9:$R$257,4,FALSE))</f>
        <v/>
      </c>
      <c r="F44" s="175" t="str">
        <f>IF(E44="","",VLOOKUP($B44,'C-1 Site River Baseline'!$C$9:$R$257,5,FALSE))</f>
        <v/>
      </c>
      <c r="G44" s="175" t="str">
        <f>IF(F44="","",VLOOKUP($B44,'C-1 Site River Baseline'!$C$9:$R$257,6,FALSE))</f>
        <v/>
      </c>
      <c r="H44" s="175" t="str">
        <f>IF(G44="","",VLOOKUP($B44,'C-1 Site River Baseline'!$C$9:$R$257,7,FALSE))</f>
        <v/>
      </c>
      <c r="I44" s="175" t="str">
        <f>IF(H44="","",VLOOKUP($B44,'C-1 Site River Baseline'!$C$9:$R$257,8,FALSE))</f>
        <v/>
      </c>
      <c r="J44" s="175" t="str">
        <f>IF(I44="","",VLOOKUP($B44,'C-1 Site River Baseline'!$C$9:$R$257,9,FALSE))</f>
        <v/>
      </c>
      <c r="K44" s="175" t="str">
        <f>IF(J44="","",VLOOKUP($B44,'C-1 Site River Baseline'!$C$9:$R$257,10,FALSE))</f>
        <v/>
      </c>
      <c r="L44" s="175" t="str">
        <f>IF(B44="","",VLOOKUP($B44,'C-1 Site River Baseline'!$C$9:$R$257,15,FALSE))</f>
        <v/>
      </c>
      <c r="M44" s="176" t="str">
        <f>IF(L44="","",VLOOKUP($B44,'C-1 Site River Baseline'!$C$9:$R$257,16,FALSE))</f>
        <v/>
      </c>
      <c r="N44" s="639" t="str">
        <f t="shared" si="0"/>
        <v/>
      </c>
      <c r="O44" s="239" t="str">
        <f t="shared" si="2"/>
        <v/>
      </c>
      <c r="P44" s="172" t="str">
        <f>IF(C44="","",IF(AND(LEFT(C44,55)&lt;&gt;LEFT(N44,55),O44="High - High"),"Error - Not like for like",IF(AND(F44=S44,H44&gt;U44),"Error - Can not reduce condition",IF(AND(F44=S44,H44=U44,AJ44='C-1 Site River Baseline'!N42,'C-1 Site River Baseline'!P42=AL44),"Error - No enhancement",IF(AND(C44&lt;&gt;N44,F44&lt;S44),"Lower Distinctiveness Habitat"&amp;" - "&amp;T44,G44&amp;" - "&amp;T44)))))</f>
        <v/>
      </c>
      <c r="Q44" s="660" t="str">
        <f>IF(N44="","",VLOOKUP(B44,'C-1 Site River Baseline'!$C$10:$AA$257,19,FALSE))</f>
        <v/>
      </c>
      <c r="R44" s="171" t="str">
        <f>IF(N44="","",VLOOKUP(N44,'G-7 Rivers Data'!$B$2:$G$8,2,FALSE))</f>
        <v/>
      </c>
      <c r="S44" s="172" t="str">
        <f>IFERROR(VLOOKUP(R44,'G-7 Rivers Data'!$C$4:$D$8,2,FALSE),"")</f>
        <v/>
      </c>
      <c r="T44" s="173"/>
      <c r="U44" s="172" t="str">
        <f>IFERROR(INDEX('G-7 Rivers Data'!$H$4:$L$8,MATCH(N44,'G-7 Rivers Data'!$B$4:$B$8,0),MATCH(T44,'G-7 Rivers Data'!$H$3:$L$3,0)),"")</f>
        <v/>
      </c>
      <c r="V44" s="186"/>
      <c r="W44" s="175" t="str">
        <f>IF(V44="","",IF(VLOOKUP(V44,'G-7 Rivers Data'!$AG$4:$AI$9,2,FALSE)=0,"Spatial Data Missing",VLOOKUP(V44,'G-7 Rivers Data'!$AG$4:$AI$9,2,FALSE)))</f>
        <v/>
      </c>
      <c r="X44" s="176" t="str">
        <f>IF(V44="","",IF(VLOOKUP(V44,'G-7 Rivers Data'!$AG$4:$AI$9,3,FALSE)=0,"Spatial Data Missing",VLOOKUP(V44,'G-7 Rivers Data'!$AG$4:$AI$9,3,FALSE)))</f>
        <v/>
      </c>
      <c r="Y44" s="171" t="str">
        <f>IFERROR(IF(OR(LEFT(P44,5)="Error",LEFT(O44,5)="Error"),"Check Data",IF(F44&lt;S44,'G-7 Rivers Data'!$R$3,INDEX('G-7 Rivers Data'!$U$5:$Y$9,MATCH(G44,'G-7 Rivers Data'!$T$5:$T$9,0),MATCH(T44,'G-7 Rivers Data'!$U$4:$Y$4,0)))),"")</f>
        <v/>
      </c>
      <c r="Z44" s="261"/>
      <c r="AA44" s="261"/>
      <c r="AB44" s="179" t="str">
        <f t="shared" si="3"/>
        <v/>
      </c>
      <c r="AC44" s="262" t="str">
        <f t="shared" si="4"/>
        <v/>
      </c>
      <c r="AD44" s="382" t="str">
        <f>IFERROR(IF(AC44="Check Data","Check Data",VLOOKUP(AC44,'G-4 Temporal multipliers'!$A$4:$C$37,3,FALSE)),"")</f>
        <v/>
      </c>
      <c r="AE44" s="171" t="str">
        <f>IF(N44="","",VLOOKUP(N44,'G-7 Rivers Data'!$B$4:$G$8,5,FALSE))</f>
        <v/>
      </c>
      <c r="AF44" s="179" t="str">
        <f t="shared" si="5"/>
        <v/>
      </c>
      <c r="AG44" s="269" t="str">
        <f t="shared" si="6"/>
        <v/>
      </c>
      <c r="AH44" s="172" t="str">
        <f t="shared" si="1"/>
        <v/>
      </c>
      <c r="AI44" s="173"/>
      <c r="AJ44" s="172" t="str">
        <f>IF(AI44="","",IF(VLOOKUP(AI44,'G-7 Rivers Data'!$AA$4:$AB$7,2,FALSE)=0,"Spatial Data Missing",VLOOKUP(AI44,'G-7 Rivers Data'!$AA$4:$AB$7,2,FALSE)))</f>
        <v/>
      </c>
      <c r="AK44" s="187"/>
      <c r="AL44" s="172" t="str">
        <f>IF(AK44="","",IF(VLOOKUP(AK44,'G-7 Rivers Data'!$AD$4:$AE$8,2,FALSE)=0,"Spatial Data Missing",VLOOKUP(AK44,'G-7 Rivers Data'!$AD$4:$AE$8,2,FALSE)))</f>
        <v/>
      </c>
      <c r="AM44" s="265" t="str">
        <f t="shared" si="7"/>
        <v/>
      </c>
      <c r="AN44" s="180"/>
      <c r="AO44" s="181"/>
      <c r="AV44" s="35" t="str">
        <f>IFERROR(INDEX('G-7 Rivers Data'!$AZ$3:$AZ$7,MATCH(N44,'G-7 Rivers Data'!$AY$3:$AY$7,0)),"")</f>
        <v/>
      </c>
    </row>
    <row r="45" spans="2:48" ht="13.8" x14ac:dyDescent="0.25">
      <c r="B45" s="259" t="str">
        <f>'C-1 Site River Baseline'!AN43</f>
        <v/>
      </c>
      <c r="C45" s="175" t="str">
        <f>IF(B45="","",VLOOKUP($B45,'C-1 Site River Baseline'!$C$9:$R$257,2,FALSE))</f>
        <v/>
      </c>
      <c r="D45" s="175" t="str">
        <f>IF(C45="","",VLOOKUP($B45,'C-1 Site River Baseline'!$C$9:$R$257,3,FALSE))</f>
        <v/>
      </c>
      <c r="E45" s="175" t="str">
        <f>IF(D45="","",VLOOKUP($B45,'C-1 Site River Baseline'!$C$9:$R$257,4,FALSE))</f>
        <v/>
      </c>
      <c r="F45" s="175" t="str">
        <f>IF(E45="","",VLOOKUP($B45,'C-1 Site River Baseline'!$C$9:$R$257,5,FALSE))</f>
        <v/>
      </c>
      <c r="G45" s="175" t="str">
        <f>IF(F45="","",VLOOKUP($B45,'C-1 Site River Baseline'!$C$9:$R$257,6,FALSE))</f>
        <v/>
      </c>
      <c r="H45" s="175" t="str">
        <f>IF(G45="","",VLOOKUP($B45,'C-1 Site River Baseline'!$C$9:$R$257,7,FALSE))</f>
        <v/>
      </c>
      <c r="I45" s="175" t="str">
        <f>IF(H45="","",VLOOKUP($B45,'C-1 Site River Baseline'!$C$9:$R$257,8,FALSE))</f>
        <v/>
      </c>
      <c r="J45" s="175" t="str">
        <f>IF(I45="","",VLOOKUP($B45,'C-1 Site River Baseline'!$C$9:$R$257,9,FALSE))</f>
        <v/>
      </c>
      <c r="K45" s="175" t="str">
        <f>IF(J45="","",VLOOKUP($B45,'C-1 Site River Baseline'!$C$9:$R$257,10,FALSE))</f>
        <v/>
      </c>
      <c r="L45" s="175" t="str">
        <f>IF(B45="","",VLOOKUP($B45,'C-1 Site River Baseline'!$C$9:$R$257,15,FALSE))</f>
        <v/>
      </c>
      <c r="M45" s="176" t="str">
        <f>IF(L45="","",VLOOKUP($B45,'C-1 Site River Baseline'!$C$9:$R$257,16,FALSE))</f>
        <v/>
      </c>
      <c r="N45" s="639" t="str">
        <f t="shared" si="0"/>
        <v/>
      </c>
      <c r="O45" s="239" t="str">
        <f t="shared" si="2"/>
        <v/>
      </c>
      <c r="P45" s="172" t="str">
        <f>IF(C45="","",IF(AND(LEFT(C45,55)&lt;&gt;LEFT(N45,55),O45="High - High"),"Error - Not like for like",IF(AND(F45=S45,H45&gt;U45),"Error - Can not reduce condition",IF(AND(F45=S45,H45=U45,AJ45='C-1 Site River Baseline'!N43,'C-1 Site River Baseline'!P43=AL45),"Error - No enhancement",IF(AND(C45&lt;&gt;N45,F45&lt;S45),"Lower Distinctiveness Habitat"&amp;" - "&amp;T45,G45&amp;" - "&amp;T45)))))</f>
        <v/>
      </c>
      <c r="Q45" s="660" t="str">
        <f>IF(N45="","",VLOOKUP(B45,'C-1 Site River Baseline'!$C$10:$AA$257,19,FALSE))</f>
        <v/>
      </c>
      <c r="R45" s="171" t="str">
        <f>IF(N45="","",VLOOKUP(N45,'G-7 Rivers Data'!$B$2:$G$8,2,FALSE))</f>
        <v/>
      </c>
      <c r="S45" s="172" t="str">
        <f>IFERROR(VLOOKUP(R45,'G-7 Rivers Data'!$C$4:$D$8,2,FALSE),"")</f>
        <v/>
      </c>
      <c r="T45" s="173"/>
      <c r="U45" s="172" t="str">
        <f>IFERROR(INDEX('G-7 Rivers Data'!$H$4:$L$8,MATCH(N45,'G-7 Rivers Data'!$B$4:$B$8,0),MATCH(T45,'G-7 Rivers Data'!$H$3:$L$3,0)),"")</f>
        <v/>
      </c>
      <c r="V45" s="186"/>
      <c r="W45" s="175" t="str">
        <f>IF(V45="","",IF(VLOOKUP(V45,'G-7 Rivers Data'!$AG$4:$AI$9,2,FALSE)=0,"Spatial Data Missing",VLOOKUP(V45,'G-7 Rivers Data'!$AG$4:$AI$9,2,FALSE)))</f>
        <v/>
      </c>
      <c r="X45" s="176" t="str">
        <f>IF(V45="","",IF(VLOOKUP(V45,'G-7 Rivers Data'!$AG$4:$AI$9,3,FALSE)=0,"Spatial Data Missing",VLOOKUP(V45,'G-7 Rivers Data'!$AG$4:$AI$9,3,FALSE)))</f>
        <v/>
      </c>
      <c r="Y45" s="171" t="str">
        <f>IFERROR(IF(OR(LEFT(P45,5)="Error",LEFT(O45,5)="Error"),"Check Data",IF(F45&lt;S45,'G-7 Rivers Data'!$R$3,INDEX('G-7 Rivers Data'!$U$5:$Y$9,MATCH(G45,'G-7 Rivers Data'!$T$5:$T$9,0),MATCH(T45,'G-7 Rivers Data'!$U$4:$Y$4,0)))),"")</f>
        <v/>
      </c>
      <c r="Z45" s="261"/>
      <c r="AA45" s="261"/>
      <c r="AB45" s="179" t="str">
        <f t="shared" si="3"/>
        <v/>
      </c>
      <c r="AC45" s="262" t="str">
        <f t="shared" si="4"/>
        <v/>
      </c>
      <c r="AD45" s="382" t="str">
        <f>IFERROR(IF(AC45="Check Data","Check Data",VLOOKUP(AC45,'G-4 Temporal multipliers'!$A$4:$C$37,3,FALSE)),"")</f>
        <v/>
      </c>
      <c r="AE45" s="171" t="str">
        <f>IF(N45="","",VLOOKUP(N45,'G-7 Rivers Data'!$B$4:$G$8,5,FALSE))</f>
        <v/>
      </c>
      <c r="AF45" s="179" t="str">
        <f t="shared" si="5"/>
        <v/>
      </c>
      <c r="AG45" s="269" t="str">
        <f t="shared" si="6"/>
        <v/>
      </c>
      <c r="AH45" s="172" t="str">
        <f t="shared" si="1"/>
        <v/>
      </c>
      <c r="AI45" s="173"/>
      <c r="AJ45" s="172" t="str">
        <f>IF(AI45="","",IF(VLOOKUP(AI45,'G-7 Rivers Data'!$AA$4:$AB$7,2,FALSE)=0,"Spatial Data Missing",VLOOKUP(AI45,'G-7 Rivers Data'!$AA$4:$AB$7,2,FALSE)))</f>
        <v/>
      </c>
      <c r="AK45" s="187"/>
      <c r="AL45" s="172" t="str">
        <f>IF(AK45="","",IF(VLOOKUP(AK45,'G-7 Rivers Data'!$AD$4:$AE$8,2,FALSE)=0,"Spatial Data Missing",VLOOKUP(AK45,'G-7 Rivers Data'!$AD$4:$AE$8,2,FALSE)))</f>
        <v/>
      </c>
      <c r="AM45" s="265" t="str">
        <f t="shared" si="7"/>
        <v/>
      </c>
      <c r="AN45" s="180"/>
      <c r="AO45" s="181"/>
      <c r="AV45" s="35" t="str">
        <f>IFERROR(INDEX('G-7 Rivers Data'!$AZ$3:$AZ$7,MATCH(N45,'G-7 Rivers Data'!$AY$3:$AY$7,0)),"")</f>
        <v/>
      </c>
    </row>
    <row r="46" spans="2:48" ht="13.8" x14ac:dyDescent="0.25">
      <c r="B46" s="259" t="str">
        <f>'C-1 Site River Baseline'!AN44</f>
        <v/>
      </c>
      <c r="C46" s="175" t="str">
        <f>IF(B46="","",VLOOKUP($B46,'C-1 Site River Baseline'!$C$9:$R$257,2,FALSE))</f>
        <v/>
      </c>
      <c r="D46" s="175" t="str">
        <f>IF(C46="","",VLOOKUP($B46,'C-1 Site River Baseline'!$C$9:$R$257,3,FALSE))</f>
        <v/>
      </c>
      <c r="E46" s="175" t="str">
        <f>IF(D46="","",VLOOKUP($B46,'C-1 Site River Baseline'!$C$9:$R$257,4,FALSE))</f>
        <v/>
      </c>
      <c r="F46" s="175" t="str">
        <f>IF(E46="","",VLOOKUP($B46,'C-1 Site River Baseline'!$C$9:$R$257,5,FALSE))</f>
        <v/>
      </c>
      <c r="G46" s="175" t="str">
        <f>IF(F46="","",VLOOKUP($B46,'C-1 Site River Baseline'!$C$9:$R$257,6,FALSE))</f>
        <v/>
      </c>
      <c r="H46" s="175" t="str">
        <f>IF(G46="","",VLOOKUP($B46,'C-1 Site River Baseline'!$C$9:$R$257,7,FALSE))</f>
        <v/>
      </c>
      <c r="I46" s="175" t="str">
        <f>IF(H46="","",VLOOKUP($B46,'C-1 Site River Baseline'!$C$9:$R$257,8,FALSE))</f>
        <v/>
      </c>
      <c r="J46" s="175" t="str">
        <f>IF(I46="","",VLOOKUP($B46,'C-1 Site River Baseline'!$C$9:$R$257,9,FALSE))</f>
        <v/>
      </c>
      <c r="K46" s="175" t="str">
        <f>IF(J46="","",VLOOKUP($B46,'C-1 Site River Baseline'!$C$9:$R$257,10,FALSE))</f>
        <v/>
      </c>
      <c r="L46" s="175" t="str">
        <f>IF(B46="","",VLOOKUP($B46,'C-1 Site River Baseline'!$C$9:$R$257,15,FALSE))</f>
        <v/>
      </c>
      <c r="M46" s="176" t="str">
        <f>IF(L46="","",VLOOKUP($B46,'C-1 Site River Baseline'!$C$9:$R$257,16,FALSE))</f>
        <v/>
      </c>
      <c r="N46" s="639" t="str">
        <f t="shared" si="0"/>
        <v/>
      </c>
      <c r="O46" s="239" t="str">
        <f t="shared" si="2"/>
        <v/>
      </c>
      <c r="P46" s="172" t="str">
        <f>IF(C46="","",IF(AND(LEFT(C46,55)&lt;&gt;LEFT(N46,55),O46="High - High"),"Error - Not like for like",IF(AND(F46=S46,H46&gt;U46),"Error - Can not reduce condition",IF(AND(F46=S46,H46=U46,AJ46='C-1 Site River Baseline'!N44,'C-1 Site River Baseline'!P44=AL46),"Error - No enhancement",IF(AND(C46&lt;&gt;N46,F46&lt;S46),"Lower Distinctiveness Habitat"&amp;" - "&amp;T46,G46&amp;" - "&amp;T46)))))</f>
        <v/>
      </c>
      <c r="Q46" s="660" t="str">
        <f>IF(N46="","",VLOOKUP(B46,'C-1 Site River Baseline'!$C$10:$AA$257,19,FALSE))</f>
        <v/>
      </c>
      <c r="R46" s="171" t="str">
        <f>IF(N46="","",VLOOKUP(N46,'G-7 Rivers Data'!$B$2:$G$8,2,FALSE))</f>
        <v/>
      </c>
      <c r="S46" s="172" t="str">
        <f>IFERROR(VLOOKUP(R46,'G-7 Rivers Data'!$C$4:$D$8,2,FALSE),"")</f>
        <v/>
      </c>
      <c r="T46" s="173"/>
      <c r="U46" s="172" t="str">
        <f>IFERROR(INDEX('G-7 Rivers Data'!$H$4:$L$8,MATCH(N46,'G-7 Rivers Data'!$B$4:$B$8,0),MATCH(T46,'G-7 Rivers Data'!$H$3:$L$3,0)),"")</f>
        <v/>
      </c>
      <c r="V46" s="186"/>
      <c r="W46" s="175" t="str">
        <f>IF(V46="","",IF(VLOOKUP(V46,'G-7 Rivers Data'!$AG$4:$AI$9,2,FALSE)=0,"Spatial Data Missing",VLOOKUP(V46,'G-7 Rivers Data'!$AG$4:$AI$9,2,FALSE)))</f>
        <v/>
      </c>
      <c r="X46" s="176" t="str">
        <f>IF(V46="","",IF(VLOOKUP(V46,'G-7 Rivers Data'!$AG$4:$AI$9,3,FALSE)=0,"Spatial Data Missing",VLOOKUP(V46,'G-7 Rivers Data'!$AG$4:$AI$9,3,FALSE)))</f>
        <v/>
      </c>
      <c r="Y46" s="171" t="str">
        <f>IFERROR(IF(OR(LEFT(P46,5)="Error",LEFT(O46,5)="Error"),"Check Data",IF(F46&lt;S46,'G-7 Rivers Data'!$R$3,INDEX('G-7 Rivers Data'!$U$5:$Y$9,MATCH(G46,'G-7 Rivers Data'!$T$5:$T$9,0),MATCH(T46,'G-7 Rivers Data'!$U$4:$Y$4,0)))),"")</f>
        <v/>
      </c>
      <c r="Z46" s="261"/>
      <c r="AA46" s="261"/>
      <c r="AB46" s="179" t="str">
        <f t="shared" si="3"/>
        <v/>
      </c>
      <c r="AC46" s="262" t="str">
        <f t="shared" si="4"/>
        <v/>
      </c>
      <c r="AD46" s="382" t="str">
        <f>IFERROR(IF(AC46="Check Data","Check Data",VLOOKUP(AC46,'G-4 Temporal multipliers'!$A$4:$C$37,3,FALSE)),"")</f>
        <v/>
      </c>
      <c r="AE46" s="171" t="str">
        <f>IF(N46="","",VLOOKUP(N46,'G-7 Rivers Data'!$B$4:$G$8,5,FALSE))</f>
        <v/>
      </c>
      <c r="AF46" s="179" t="str">
        <f t="shared" si="5"/>
        <v/>
      </c>
      <c r="AG46" s="269" t="str">
        <f t="shared" si="6"/>
        <v/>
      </c>
      <c r="AH46" s="172" t="str">
        <f t="shared" si="1"/>
        <v/>
      </c>
      <c r="AI46" s="173"/>
      <c r="AJ46" s="172" t="str">
        <f>IF(AI46="","",IF(VLOOKUP(AI46,'G-7 Rivers Data'!$AA$4:$AB$7,2,FALSE)=0,"Spatial Data Missing",VLOOKUP(AI46,'G-7 Rivers Data'!$AA$4:$AB$7,2,FALSE)))</f>
        <v/>
      </c>
      <c r="AK46" s="187"/>
      <c r="AL46" s="172" t="str">
        <f>IF(AK46="","",IF(VLOOKUP(AK46,'G-7 Rivers Data'!$AD$4:$AE$8,2,FALSE)=0,"Spatial Data Missing",VLOOKUP(AK46,'G-7 Rivers Data'!$AD$4:$AE$8,2,FALSE)))</f>
        <v/>
      </c>
      <c r="AM46" s="265" t="str">
        <f t="shared" si="7"/>
        <v/>
      </c>
      <c r="AN46" s="180"/>
      <c r="AO46" s="181"/>
      <c r="AV46" s="35" t="str">
        <f>IFERROR(INDEX('G-7 Rivers Data'!$AZ$3:$AZ$7,MATCH(N46,'G-7 Rivers Data'!$AY$3:$AY$7,0)),"")</f>
        <v/>
      </c>
    </row>
    <row r="47" spans="2:48" ht="13.8" x14ac:dyDescent="0.25">
      <c r="B47" s="259" t="str">
        <f>'C-1 Site River Baseline'!AN45</f>
        <v/>
      </c>
      <c r="C47" s="175" t="str">
        <f>IF(B47="","",VLOOKUP($B47,'C-1 Site River Baseline'!$C$9:$R$257,2,FALSE))</f>
        <v/>
      </c>
      <c r="D47" s="175" t="str">
        <f>IF(C47="","",VLOOKUP($B47,'C-1 Site River Baseline'!$C$9:$R$257,3,FALSE))</f>
        <v/>
      </c>
      <c r="E47" s="175" t="str">
        <f>IF(D47="","",VLOOKUP($B47,'C-1 Site River Baseline'!$C$9:$R$257,4,FALSE))</f>
        <v/>
      </c>
      <c r="F47" s="175" t="str">
        <f>IF(E47="","",VLOOKUP($B47,'C-1 Site River Baseline'!$C$9:$R$257,5,FALSE))</f>
        <v/>
      </c>
      <c r="G47" s="175" t="str">
        <f>IF(F47="","",VLOOKUP($B47,'C-1 Site River Baseline'!$C$9:$R$257,6,FALSE))</f>
        <v/>
      </c>
      <c r="H47" s="175" t="str">
        <f>IF(G47="","",VLOOKUP($B47,'C-1 Site River Baseline'!$C$9:$R$257,7,FALSE))</f>
        <v/>
      </c>
      <c r="I47" s="175" t="str">
        <f>IF(H47="","",VLOOKUP($B47,'C-1 Site River Baseline'!$C$9:$R$257,8,FALSE))</f>
        <v/>
      </c>
      <c r="J47" s="175" t="str">
        <f>IF(I47="","",VLOOKUP($B47,'C-1 Site River Baseline'!$C$9:$R$257,9,FALSE))</f>
        <v/>
      </c>
      <c r="K47" s="175" t="str">
        <f>IF(J47="","",VLOOKUP($B47,'C-1 Site River Baseline'!$C$9:$R$257,10,FALSE))</f>
        <v/>
      </c>
      <c r="L47" s="175" t="str">
        <f>IF(B47="","",VLOOKUP($B47,'C-1 Site River Baseline'!$C$9:$R$257,15,FALSE))</f>
        <v/>
      </c>
      <c r="M47" s="176" t="str">
        <f>IF(L47="","",VLOOKUP($B47,'C-1 Site River Baseline'!$C$9:$R$257,16,FALSE))</f>
        <v/>
      </c>
      <c r="N47" s="639" t="str">
        <f t="shared" si="0"/>
        <v/>
      </c>
      <c r="O47" s="239" t="str">
        <f t="shared" si="2"/>
        <v/>
      </c>
      <c r="P47" s="172" t="str">
        <f>IF(C47="","",IF(AND(LEFT(C47,55)&lt;&gt;LEFT(N47,55),O47="High - High"),"Error - Not like for like",IF(AND(F47=S47,H47&gt;U47),"Error - Can not reduce condition",IF(AND(F47=S47,H47=U47,AJ47='C-1 Site River Baseline'!N45,'C-1 Site River Baseline'!P45=AL47),"Error - No enhancement",IF(AND(C47&lt;&gt;N47,F47&lt;S47),"Lower Distinctiveness Habitat"&amp;" - "&amp;T47,G47&amp;" - "&amp;T47)))))</f>
        <v/>
      </c>
      <c r="Q47" s="660" t="str">
        <f>IF(N47="","",VLOOKUP(B47,'C-1 Site River Baseline'!$C$10:$AA$257,19,FALSE))</f>
        <v/>
      </c>
      <c r="R47" s="171" t="str">
        <f>IF(N47="","",VLOOKUP(N47,'G-7 Rivers Data'!$B$2:$G$8,2,FALSE))</f>
        <v/>
      </c>
      <c r="S47" s="172" t="str">
        <f>IFERROR(VLOOKUP(R47,'G-7 Rivers Data'!$C$4:$D$8,2,FALSE),"")</f>
        <v/>
      </c>
      <c r="T47" s="173"/>
      <c r="U47" s="172" t="str">
        <f>IFERROR(INDEX('G-7 Rivers Data'!$H$4:$L$8,MATCH(N47,'G-7 Rivers Data'!$B$4:$B$8,0),MATCH(T47,'G-7 Rivers Data'!$H$3:$L$3,0)),"")</f>
        <v/>
      </c>
      <c r="V47" s="186"/>
      <c r="W47" s="175" t="str">
        <f>IF(V47="","",IF(VLOOKUP(V47,'G-7 Rivers Data'!$AG$4:$AI$9,2,FALSE)=0,"Spatial Data Missing",VLOOKUP(V47,'G-7 Rivers Data'!$AG$4:$AI$9,2,FALSE)))</f>
        <v/>
      </c>
      <c r="X47" s="176" t="str">
        <f>IF(V47="","",IF(VLOOKUP(V47,'G-7 Rivers Data'!$AG$4:$AI$9,3,FALSE)=0,"Spatial Data Missing",VLOOKUP(V47,'G-7 Rivers Data'!$AG$4:$AI$9,3,FALSE)))</f>
        <v/>
      </c>
      <c r="Y47" s="171" t="str">
        <f>IFERROR(IF(OR(LEFT(P47,5)="Error",LEFT(O47,5)="Error"),"Check Data",IF(F47&lt;S47,'G-7 Rivers Data'!$R$3,INDEX('G-7 Rivers Data'!$U$5:$Y$9,MATCH(G47,'G-7 Rivers Data'!$T$5:$T$9,0),MATCH(T47,'G-7 Rivers Data'!$U$4:$Y$4,0)))),"")</f>
        <v/>
      </c>
      <c r="Z47" s="261"/>
      <c r="AA47" s="261"/>
      <c r="AB47" s="179" t="str">
        <f t="shared" si="3"/>
        <v/>
      </c>
      <c r="AC47" s="262" t="str">
        <f t="shared" si="4"/>
        <v/>
      </c>
      <c r="AD47" s="382" t="str">
        <f>IFERROR(IF(AC47="Check Data","Check Data",VLOOKUP(AC47,'G-4 Temporal multipliers'!$A$4:$C$37,3,FALSE)),"")</f>
        <v/>
      </c>
      <c r="AE47" s="171" t="str">
        <f>IF(N47="","",VLOOKUP(N47,'G-7 Rivers Data'!$B$4:$G$8,5,FALSE))</f>
        <v/>
      </c>
      <c r="AF47" s="179" t="str">
        <f t="shared" si="5"/>
        <v/>
      </c>
      <c r="AG47" s="269" t="str">
        <f t="shared" si="6"/>
        <v/>
      </c>
      <c r="AH47" s="172" t="str">
        <f t="shared" si="1"/>
        <v/>
      </c>
      <c r="AI47" s="173"/>
      <c r="AJ47" s="172" t="str">
        <f>IF(AI47="","",IF(VLOOKUP(AI47,'G-7 Rivers Data'!$AA$4:$AB$7,2,FALSE)=0,"Spatial Data Missing",VLOOKUP(AI47,'G-7 Rivers Data'!$AA$4:$AB$7,2,FALSE)))</f>
        <v/>
      </c>
      <c r="AK47" s="187"/>
      <c r="AL47" s="172" t="str">
        <f>IF(AK47="","",IF(VLOOKUP(AK47,'G-7 Rivers Data'!$AD$4:$AE$8,2,FALSE)=0,"Spatial Data Missing",VLOOKUP(AK47,'G-7 Rivers Data'!$AD$4:$AE$8,2,FALSE)))</f>
        <v/>
      </c>
      <c r="AM47" s="265" t="str">
        <f t="shared" si="7"/>
        <v/>
      </c>
      <c r="AN47" s="180"/>
      <c r="AO47" s="181"/>
      <c r="AV47" s="35" t="str">
        <f>IFERROR(INDEX('G-7 Rivers Data'!$AZ$3:$AZ$7,MATCH(N47,'G-7 Rivers Data'!$AY$3:$AY$7,0)),"")</f>
        <v/>
      </c>
    </row>
    <row r="48" spans="2:48" ht="13.8" x14ac:dyDescent="0.25">
      <c r="B48" s="259" t="str">
        <f>'C-1 Site River Baseline'!AN46</f>
        <v/>
      </c>
      <c r="C48" s="175" t="str">
        <f>IF(B48="","",VLOOKUP($B48,'C-1 Site River Baseline'!$C$9:$R$257,2,FALSE))</f>
        <v/>
      </c>
      <c r="D48" s="175" t="str">
        <f>IF(C48="","",VLOOKUP($B48,'C-1 Site River Baseline'!$C$9:$R$257,3,FALSE))</f>
        <v/>
      </c>
      <c r="E48" s="175" t="str">
        <f>IF(D48="","",VLOOKUP($B48,'C-1 Site River Baseline'!$C$9:$R$257,4,FALSE))</f>
        <v/>
      </c>
      <c r="F48" s="175" t="str">
        <f>IF(E48="","",VLOOKUP($B48,'C-1 Site River Baseline'!$C$9:$R$257,5,FALSE))</f>
        <v/>
      </c>
      <c r="G48" s="175" t="str">
        <f>IF(F48="","",VLOOKUP($B48,'C-1 Site River Baseline'!$C$9:$R$257,6,FALSE))</f>
        <v/>
      </c>
      <c r="H48" s="175" t="str">
        <f>IF(G48="","",VLOOKUP($B48,'C-1 Site River Baseline'!$C$9:$R$257,7,FALSE))</f>
        <v/>
      </c>
      <c r="I48" s="175" t="str">
        <f>IF(H48="","",VLOOKUP($B48,'C-1 Site River Baseline'!$C$9:$R$257,8,FALSE))</f>
        <v/>
      </c>
      <c r="J48" s="175" t="str">
        <f>IF(I48="","",VLOOKUP($B48,'C-1 Site River Baseline'!$C$9:$R$257,9,FALSE))</f>
        <v/>
      </c>
      <c r="K48" s="175" t="str">
        <f>IF(J48="","",VLOOKUP($B48,'C-1 Site River Baseline'!$C$9:$R$257,10,FALSE))</f>
        <v/>
      </c>
      <c r="L48" s="175" t="str">
        <f>IF(B48="","",VLOOKUP($B48,'C-1 Site River Baseline'!$C$9:$R$257,15,FALSE))</f>
        <v/>
      </c>
      <c r="M48" s="176" t="str">
        <f>IF(L48="","",VLOOKUP($B48,'C-1 Site River Baseline'!$C$9:$R$257,16,FALSE))</f>
        <v/>
      </c>
      <c r="N48" s="639" t="str">
        <f t="shared" si="0"/>
        <v/>
      </c>
      <c r="O48" s="239" t="str">
        <f t="shared" si="2"/>
        <v/>
      </c>
      <c r="P48" s="172" t="str">
        <f>IF(C48="","",IF(AND(LEFT(C48,55)&lt;&gt;LEFT(N48,55),O48="High - High"),"Error - Not like for like",IF(AND(F48=S48,H48&gt;U48),"Error - Can not reduce condition",IF(AND(F48=S48,H48=U48,AJ48='C-1 Site River Baseline'!N46,'C-1 Site River Baseline'!P46=AL48),"Error - No enhancement",IF(AND(C48&lt;&gt;N48,F48&lt;S48),"Lower Distinctiveness Habitat"&amp;" - "&amp;T48,G48&amp;" - "&amp;T48)))))</f>
        <v/>
      </c>
      <c r="Q48" s="660" t="str">
        <f>IF(N48="","",VLOOKUP(B48,'C-1 Site River Baseline'!$C$10:$AA$257,19,FALSE))</f>
        <v/>
      </c>
      <c r="R48" s="171" t="str">
        <f>IF(N48="","",VLOOKUP(N48,'G-7 Rivers Data'!$B$2:$G$8,2,FALSE))</f>
        <v/>
      </c>
      <c r="S48" s="172" t="str">
        <f>IFERROR(VLOOKUP(R48,'G-7 Rivers Data'!$C$4:$D$8,2,FALSE),"")</f>
        <v/>
      </c>
      <c r="T48" s="173"/>
      <c r="U48" s="172" t="str">
        <f>IFERROR(INDEX('G-7 Rivers Data'!$H$4:$L$8,MATCH(N48,'G-7 Rivers Data'!$B$4:$B$8,0),MATCH(T48,'G-7 Rivers Data'!$H$3:$L$3,0)),"")</f>
        <v/>
      </c>
      <c r="V48" s="186"/>
      <c r="W48" s="175" t="str">
        <f>IF(V48="","",IF(VLOOKUP(V48,'G-7 Rivers Data'!$AG$4:$AI$9,2,FALSE)=0,"Spatial Data Missing",VLOOKUP(V48,'G-7 Rivers Data'!$AG$4:$AI$9,2,FALSE)))</f>
        <v/>
      </c>
      <c r="X48" s="176" t="str">
        <f>IF(V48="","",IF(VLOOKUP(V48,'G-7 Rivers Data'!$AG$4:$AI$9,3,FALSE)=0,"Spatial Data Missing",VLOOKUP(V48,'G-7 Rivers Data'!$AG$4:$AI$9,3,FALSE)))</f>
        <v/>
      </c>
      <c r="Y48" s="171" t="str">
        <f>IFERROR(IF(OR(LEFT(P48,5)="Error",LEFT(O48,5)="Error"),"Check Data",IF(F48&lt;S48,'G-7 Rivers Data'!$R$3,INDEX('G-7 Rivers Data'!$U$5:$Y$9,MATCH(G48,'G-7 Rivers Data'!$T$5:$T$9,0),MATCH(T48,'G-7 Rivers Data'!$U$4:$Y$4,0)))),"")</f>
        <v/>
      </c>
      <c r="Z48" s="261"/>
      <c r="AA48" s="261"/>
      <c r="AB48" s="179" t="str">
        <f t="shared" si="3"/>
        <v/>
      </c>
      <c r="AC48" s="262" t="str">
        <f t="shared" si="4"/>
        <v/>
      </c>
      <c r="AD48" s="382" t="str">
        <f>IFERROR(IF(AC48="Check Data","Check Data",VLOOKUP(AC48,'G-4 Temporal multipliers'!$A$4:$C$37,3,FALSE)),"")</f>
        <v/>
      </c>
      <c r="AE48" s="171" t="str">
        <f>IF(N48="","",VLOOKUP(N48,'G-7 Rivers Data'!$B$4:$G$8,5,FALSE))</f>
        <v/>
      </c>
      <c r="AF48" s="179" t="str">
        <f t="shared" si="5"/>
        <v/>
      </c>
      <c r="AG48" s="269" t="str">
        <f t="shared" si="6"/>
        <v/>
      </c>
      <c r="AH48" s="172" t="str">
        <f t="shared" si="1"/>
        <v/>
      </c>
      <c r="AI48" s="173"/>
      <c r="AJ48" s="172" t="str">
        <f>IF(AI48="","",IF(VLOOKUP(AI48,'G-7 Rivers Data'!$AA$4:$AB$7,2,FALSE)=0,"Spatial Data Missing",VLOOKUP(AI48,'G-7 Rivers Data'!$AA$4:$AB$7,2,FALSE)))</f>
        <v/>
      </c>
      <c r="AK48" s="187"/>
      <c r="AL48" s="172" t="str">
        <f>IF(AK48="","",IF(VLOOKUP(AK48,'G-7 Rivers Data'!$AD$4:$AE$8,2,FALSE)=0,"Spatial Data Missing",VLOOKUP(AK48,'G-7 Rivers Data'!$AD$4:$AE$8,2,FALSE)))</f>
        <v/>
      </c>
      <c r="AM48" s="265" t="str">
        <f t="shared" si="7"/>
        <v/>
      </c>
      <c r="AN48" s="180"/>
      <c r="AO48" s="181"/>
      <c r="AV48" s="35" t="str">
        <f>IFERROR(INDEX('G-7 Rivers Data'!$AZ$3:$AZ$7,MATCH(N48,'G-7 Rivers Data'!$AY$3:$AY$7,0)),"")</f>
        <v/>
      </c>
    </row>
    <row r="49" spans="2:48" ht="13.8" x14ac:dyDescent="0.25">
      <c r="B49" s="259" t="str">
        <f>'C-1 Site River Baseline'!AN47</f>
        <v/>
      </c>
      <c r="C49" s="175" t="str">
        <f>IF(B49="","",VLOOKUP($B49,'C-1 Site River Baseline'!$C$9:$R$257,2,FALSE))</f>
        <v/>
      </c>
      <c r="D49" s="175" t="str">
        <f>IF(C49="","",VLOOKUP($B49,'C-1 Site River Baseline'!$C$9:$R$257,3,FALSE))</f>
        <v/>
      </c>
      <c r="E49" s="175" t="str">
        <f>IF(D49="","",VLOOKUP($B49,'C-1 Site River Baseline'!$C$9:$R$257,4,FALSE))</f>
        <v/>
      </c>
      <c r="F49" s="175" t="str">
        <f>IF(E49="","",VLOOKUP($B49,'C-1 Site River Baseline'!$C$9:$R$257,5,FALSE))</f>
        <v/>
      </c>
      <c r="G49" s="175" t="str">
        <f>IF(F49="","",VLOOKUP($B49,'C-1 Site River Baseline'!$C$9:$R$257,6,FALSE))</f>
        <v/>
      </c>
      <c r="H49" s="175" t="str">
        <f>IF(G49="","",VLOOKUP($B49,'C-1 Site River Baseline'!$C$9:$R$257,7,FALSE))</f>
        <v/>
      </c>
      <c r="I49" s="175" t="str">
        <f>IF(H49="","",VLOOKUP($B49,'C-1 Site River Baseline'!$C$9:$R$257,8,FALSE))</f>
        <v/>
      </c>
      <c r="J49" s="175" t="str">
        <f>IF(I49="","",VLOOKUP($B49,'C-1 Site River Baseline'!$C$9:$R$257,9,FALSE))</f>
        <v/>
      </c>
      <c r="K49" s="175" t="str">
        <f>IF(J49="","",VLOOKUP($B49,'C-1 Site River Baseline'!$C$9:$R$257,10,FALSE))</f>
        <v/>
      </c>
      <c r="L49" s="175" t="str">
        <f>IF(B49="","",VLOOKUP($B49,'C-1 Site River Baseline'!$C$9:$R$257,15,FALSE))</f>
        <v/>
      </c>
      <c r="M49" s="176" t="str">
        <f>IF(L49="","",VLOOKUP($B49,'C-1 Site River Baseline'!$C$9:$R$257,16,FALSE))</f>
        <v/>
      </c>
      <c r="N49" s="639" t="str">
        <f t="shared" si="0"/>
        <v/>
      </c>
      <c r="O49" s="239" t="str">
        <f t="shared" si="2"/>
        <v/>
      </c>
      <c r="P49" s="172" t="str">
        <f>IF(C49="","",IF(AND(LEFT(C49,55)&lt;&gt;LEFT(N49,55),O49="High - High"),"Error - Not like for like",IF(AND(F49=S49,H49&gt;U49),"Error - Can not reduce condition",IF(AND(F49=S49,H49=U49,AJ49='C-1 Site River Baseline'!N47,'C-1 Site River Baseline'!P47=AL49),"Error - No enhancement",IF(AND(C49&lt;&gt;N49,F49&lt;S49),"Lower Distinctiveness Habitat"&amp;" - "&amp;T49,G49&amp;" - "&amp;T49)))))</f>
        <v/>
      </c>
      <c r="Q49" s="660" t="str">
        <f>IF(N49="","",VLOOKUP(B49,'C-1 Site River Baseline'!$C$10:$AA$257,19,FALSE))</f>
        <v/>
      </c>
      <c r="R49" s="171" t="str">
        <f>IF(N49="","",VLOOKUP(N49,'G-7 Rivers Data'!$B$2:$G$8,2,FALSE))</f>
        <v/>
      </c>
      <c r="S49" s="172" t="str">
        <f>IFERROR(VLOOKUP(R49,'G-7 Rivers Data'!$C$4:$D$8,2,FALSE),"")</f>
        <v/>
      </c>
      <c r="T49" s="173"/>
      <c r="U49" s="172" t="str">
        <f>IFERROR(INDEX('G-7 Rivers Data'!$H$4:$L$8,MATCH(N49,'G-7 Rivers Data'!$B$4:$B$8,0),MATCH(T49,'G-7 Rivers Data'!$H$3:$L$3,0)),"")</f>
        <v/>
      </c>
      <c r="V49" s="186"/>
      <c r="W49" s="175" t="str">
        <f>IF(V49="","",IF(VLOOKUP(V49,'G-7 Rivers Data'!$AG$4:$AI$9,2,FALSE)=0,"Spatial Data Missing",VLOOKUP(V49,'G-7 Rivers Data'!$AG$4:$AI$9,2,FALSE)))</f>
        <v/>
      </c>
      <c r="X49" s="176" t="str">
        <f>IF(V49="","",IF(VLOOKUP(V49,'G-7 Rivers Data'!$AG$4:$AI$9,3,FALSE)=0,"Spatial Data Missing",VLOOKUP(V49,'G-7 Rivers Data'!$AG$4:$AI$9,3,FALSE)))</f>
        <v/>
      </c>
      <c r="Y49" s="171" t="str">
        <f>IFERROR(IF(OR(LEFT(P49,5)="Error",LEFT(O49,5)="Error"),"Check Data",IF(F49&lt;S49,'G-7 Rivers Data'!$R$3,INDEX('G-7 Rivers Data'!$U$5:$Y$9,MATCH(G49,'G-7 Rivers Data'!$T$5:$T$9,0),MATCH(T49,'G-7 Rivers Data'!$U$4:$Y$4,0)))),"")</f>
        <v/>
      </c>
      <c r="Z49" s="261"/>
      <c r="AA49" s="261"/>
      <c r="AB49" s="179" t="str">
        <f t="shared" si="3"/>
        <v/>
      </c>
      <c r="AC49" s="262" t="str">
        <f t="shared" si="4"/>
        <v/>
      </c>
      <c r="AD49" s="382" t="str">
        <f>IFERROR(IF(AC49="Check Data","Check Data",VLOOKUP(AC49,'G-4 Temporal multipliers'!$A$4:$C$37,3,FALSE)),"")</f>
        <v/>
      </c>
      <c r="AE49" s="171" t="str">
        <f>IF(N49="","",VLOOKUP(N49,'G-7 Rivers Data'!$B$4:$G$8,5,FALSE))</f>
        <v/>
      </c>
      <c r="AF49" s="179" t="str">
        <f t="shared" si="5"/>
        <v/>
      </c>
      <c r="AG49" s="269" t="str">
        <f t="shared" si="6"/>
        <v/>
      </c>
      <c r="AH49" s="172" t="str">
        <f t="shared" si="1"/>
        <v/>
      </c>
      <c r="AI49" s="173"/>
      <c r="AJ49" s="172" t="str">
        <f>IF(AI49="","",IF(VLOOKUP(AI49,'G-7 Rivers Data'!$AA$4:$AB$7,2,FALSE)=0,"Spatial Data Missing",VLOOKUP(AI49,'G-7 Rivers Data'!$AA$4:$AB$7,2,FALSE)))</f>
        <v/>
      </c>
      <c r="AK49" s="187"/>
      <c r="AL49" s="172" t="str">
        <f>IF(AK49="","",IF(VLOOKUP(AK49,'G-7 Rivers Data'!$AD$4:$AE$8,2,FALSE)=0,"Spatial Data Missing",VLOOKUP(AK49,'G-7 Rivers Data'!$AD$4:$AE$8,2,FALSE)))</f>
        <v/>
      </c>
      <c r="AM49" s="265" t="str">
        <f t="shared" si="7"/>
        <v/>
      </c>
      <c r="AN49" s="180"/>
      <c r="AO49" s="181"/>
      <c r="AV49" s="35" t="str">
        <f>IFERROR(INDEX('G-7 Rivers Data'!$AZ$3:$AZ$7,MATCH(N49,'G-7 Rivers Data'!$AY$3:$AY$7,0)),"")</f>
        <v/>
      </c>
    </row>
    <row r="50" spans="2:48" ht="13.8" x14ac:dyDescent="0.25">
      <c r="B50" s="259" t="str">
        <f>'C-1 Site River Baseline'!AN48</f>
        <v/>
      </c>
      <c r="C50" s="175" t="str">
        <f>IF(B50="","",VLOOKUP($B50,'C-1 Site River Baseline'!$C$9:$R$257,2,FALSE))</f>
        <v/>
      </c>
      <c r="D50" s="175" t="str">
        <f>IF(C50="","",VLOOKUP($B50,'C-1 Site River Baseline'!$C$9:$R$257,3,FALSE))</f>
        <v/>
      </c>
      <c r="E50" s="175" t="str">
        <f>IF(D50="","",VLOOKUP($B50,'C-1 Site River Baseline'!$C$9:$R$257,4,FALSE))</f>
        <v/>
      </c>
      <c r="F50" s="175" t="str">
        <f>IF(E50="","",VLOOKUP($B50,'C-1 Site River Baseline'!$C$9:$R$257,5,FALSE))</f>
        <v/>
      </c>
      <c r="G50" s="175" t="str">
        <f>IF(F50="","",VLOOKUP($B50,'C-1 Site River Baseline'!$C$9:$R$257,6,FALSE))</f>
        <v/>
      </c>
      <c r="H50" s="175" t="str">
        <f>IF(G50="","",VLOOKUP($B50,'C-1 Site River Baseline'!$C$9:$R$257,7,FALSE))</f>
        <v/>
      </c>
      <c r="I50" s="175" t="str">
        <f>IF(H50="","",VLOOKUP($B50,'C-1 Site River Baseline'!$C$9:$R$257,8,FALSE))</f>
        <v/>
      </c>
      <c r="J50" s="175" t="str">
        <f>IF(I50="","",VLOOKUP($B50,'C-1 Site River Baseline'!$C$9:$R$257,9,FALSE))</f>
        <v/>
      </c>
      <c r="K50" s="175" t="str">
        <f>IF(J50="","",VLOOKUP($B50,'C-1 Site River Baseline'!$C$9:$R$257,10,FALSE))</f>
        <v/>
      </c>
      <c r="L50" s="175" t="str">
        <f>IF(B50="","",VLOOKUP($B50,'C-1 Site River Baseline'!$C$9:$R$257,15,FALSE))</f>
        <v/>
      </c>
      <c r="M50" s="176" t="str">
        <f>IF(L50="","",VLOOKUP($B50,'C-1 Site River Baseline'!$C$9:$R$257,16,FALSE))</f>
        <v/>
      </c>
      <c r="N50" s="639" t="str">
        <f t="shared" si="0"/>
        <v/>
      </c>
      <c r="O50" s="239" t="str">
        <f t="shared" si="2"/>
        <v/>
      </c>
      <c r="P50" s="172" t="str">
        <f>IF(C50="","",IF(AND(LEFT(C50,55)&lt;&gt;LEFT(N50,55),O50="High - High"),"Error - Not like for like",IF(AND(F50=S50,H50&gt;U50),"Error - Can not reduce condition",IF(AND(F50=S50,H50=U50,AJ50='C-1 Site River Baseline'!N48,'C-1 Site River Baseline'!P48=AL50),"Error - No enhancement",IF(AND(C50&lt;&gt;N50,F50&lt;S50),"Lower Distinctiveness Habitat"&amp;" - "&amp;T50,G50&amp;" - "&amp;T50)))))</f>
        <v/>
      </c>
      <c r="Q50" s="660" t="str">
        <f>IF(N50="","",VLOOKUP(B50,'C-1 Site River Baseline'!$C$10:$AA$257,19,FALSE))</f>
        <v/>
      </c>
      <c r="R50" s="171" t="str">
        <f>IF(N50="","",VLOOKUP(N50,'G-7 Rivers Data'!$B$2:$G$8,2,FALSE))</f>
        <v/>
      </c>
      <c r="S50" s="172" t="str">
        <f>IFERROR(VLOOKUP(R50,'G-7 Rivers Data'!$C$4:$D$8,2,FALSE),"")</f>
        <v/>
      </c>
      <c r="T50" s="173"/>
      <c r="U50" s="172" t="str">
        <f>IFERROR(INDEX('G-7 Rivers Data'!$H$4:$L$8,MATCH(N50,'G-7 Rivers Data'!$B$4:$B$8,0),MATCH(T50,'G-7 Rivers Data'!$H$3:$L$3,0)),"")</f>
        <v/>
      </c>
      <c r="V50" s="186"/>
      <c r="W50" s="175" t="str">
        <f>IF(V50="","",IF(VLOOKUP(V50,'G-7 Rivers Data'!$AG$4:$AI$9,2,FALSE)=0,"Spatial Data Missing",VLOOKUP(V50,'G-7 Rivers Data'!$AG$4:$AI$9,2,FALSE)))</f>
        <v/>
      </c>
      <c r="X50" s="176" t="str">
        <f>IF(V50="","",IF(VLOOKUP(V50,'G-7 Rivers Data'!$AG$4:$AI$9,3,FALSE)=0,"Spatial Data Missing",VLOOKUP(V50,'G-7 Rivers Data'!$AG$4:$AI$9,3,FALSE)))</f>
        <v/>
      </c>
      <c r="Y50" s="171" t="str">
        <f>IFERROR(IF(OR(LEFT(P50,5)="Error",LEFT(O50,5)="Error"),"Check Data",IF(F50&lt;S50,'G-7 Rivers Data'!$R$3,INDEX('G-7 Rivers Data'!$U$5:$Y$9,MATCH(G50,'G-7 Rivers Data'!$T$5:$T$9,0),MATCH(T50,'G-7 Rivers Data'!$U$4:$Y$4,0)))),"")</f>
        <v/>
      </c>
      <c r="Z50" s="261"/>
      <c r="AA50" s="261"/>
      <c r="AB50" s="179" t="str">
        <f t="shared" si="3"/>
        <v/>
      </c>
      <c r="AC50" s="262" t="str">
        <f t="shared" si="4"/>
        <v/>
      </c>
      <c r="AD50" s="382" t="str">
        <f>IFERROR(IF(AC50="Check Data","Check Data",VLOOKUP(AC50,'G-4 Temporal multipliers'!$A$4:$C$37,3,FALSE)),"")</f>
        <v/>
      </c>
      <c r="AE50" s="171" t="str">
        <f>IF(N50="","",VLOOKUP(N50,'G-7 Rivers Data'!$B$4:$G$8,5,FALSE))</f>
        <v/>
      </c>
      <c r="AF50" s="179" t="str">
        <f t="shared" si="5"/>
        <v/>
      </c>
      <c r="AG50" s="269" t="str">
        <f t="shared" si="6"/>
        <v/>
      </c>
      <c r="AH50" s="172" t="str">
        <f t="shared" si="1"/>
        <v/>
      </c>
      <c r="AI50" s="173"/>
      <c r="AJ50" s="172" t="str">
        <f>IF(AI50="","",IF(VLOOKUP(AI50,'G-7 Rivers Data'!$AA$4:$AB$7,2,FALSE)=0,"Spatial Data Missing",VLOOKUP(AI50,'G-7 Rivers Data'!$AA$4:$AB$7,2,FALSE)))</f>
        <v/>
      </c>
      <c r="AK50" s="187"/>
      <c r="AL50" s="172" t="str">
        <f>IF(AK50="","",IF(VLOOKUP(AK50,'G-7 Rivers Data'!$AD$4:$AE$8,2,FALSE)=0,"Spatial Data Missing",VLOOKUP(AK50,'G-7 Rivers Data'!$AD$4:$AE$8,2,FALSE)))</f>
        <v/>
      </c>
      <c r="AM50" s="265" t="str">
        <f t="shared" si="7"/>
        <v/>
      </c>
      <c r="AN50" s="180"/>
      <c r="AO50" s="181"/>
      <c r="AV50" s="35" t="str">
        <f>IFERROR(INDEX('G-7 Rivers Data'!$AZ$3:$AZ$7,MATCH(N50,'G-7 Rivers Data'!$AY$3:$AY$7,0)),"")</f>
        <v/>
      </c>
    </row>
    <row r="51" spans="2:48" ht="13.8" x14ac:dyDescent="0.25">
      <c r="B51" s="259" t="str">
        <f>'C-1 Site River Baseline'!AN49</f>
        <v/>
      </c>
      <c r="C51" s="175" t="str">
        <f>IF(B51="","",VLOOKUP($B51,'C-1 Site River Baseline'!$C$9:$R$257,2,FALSE))</f>
        <v/>
      </c>
      <c r="D51" s="175" t="str">
        <f>IF(C51="","",VLOOKUP($B51,'C-1 Site River Baseline'!$C$9:$R$257,3,FALSE))</f>
        <v/>
      </c>
      <c r="E51" s="175" t="str">
        <f>IF(D51="","",VLOOKUP($B51,'C-1 Site River Baseline'!$C$9:$R$257,4,FALSE))</f>
        <v/>
      </c>
      <c r="F51" s="175" t="str">
        <f>IF(E51="","",VLOOKUP($B51,'C-1 Site River Baseline'!$C$9:$R$257,5,FALSE))</f>
        <v/>
      </c>
      <c r="G51" s="175" t="str">
        <f>IF(F51="","",VLOOKUP($B51,'C-1 Site River Baseline'!$C$9:$R$257,6,FALSE))</f>
        <v/>
      </c>
      <c r="H51" s="175" t="str">
        <f>IF(G51="","",VLOOKUP($B51,'C-1 Site River Baseline'!$C$9:$R$257,7,FALSE))</f>
        <v/>
      </c>
      <c r="I51" s="175" t="str">
        <f>IF(H51="","",VLOOKUP($B51,'C-1 Site River Baseline'!$C$9:$R$257,8,FALSE))</f>
        <v/>
      </c>
      <c r="J51" s="175" t="str">
        <f>IF(I51="","",VLOOKUP($B51,'C-1 Site River Baseline'!$C$9:$R$257,9,FALSE))</f>
        <v/>
      </c>
      <c r="K51" s="175" t="str">
        <f>IF(J51="","",VLOOKUP($B51,'C-1 Site River Baseline'!$C$9:$R$257,10,FALSE))</f>
        <v/>
      </c>
      <c r="L51" s="175" t="str">
        <f>IF(B51="","",VLOOKUP($B51,'C-1 Site River Baseline'!$C$9:$R$257,15,FALSE))</f>
        <v/>
      </c>
      <c r="M51" s="176" t="str">
        <f>IF(L51="","",VLOOKUP($B51,'C-1 Site River Baseline'!$C$9:$R$257,16,FALSE))</f>
        <v/>
      </c>
      <c r="N51" s="639" t="str">
        <f t="shared" si="0"/>
        <v/>
      </c>
      <c r="O51" s="239" t="str">
        <f t="shared" si="2"/>
        <v/>
      </c>
      <c r="P51" s="172" t="str">
        <f>IF(C51="","",IF(AND(LEFT(C51,55)&lt;&gt;LEFT(N51,55),O51="High - High"),"Error - Not like for like",IF(AND(F51=S51,H51&gt;U51),"Error - Can not reduce condition",IF(AND(F51=S51,H51=U51,AJ51='C-1 Site River Baseline'!N49,'C-1 Site River Baseline'!P49=AL51),"Error - No enhancement",IF(AND(C51&lt;&gt;N51,F51&lt;S51),"Lower Distinctiveness Habitat"&amp;" - "&amp;T51,G51&amp;" - "&amp;T51)))))</f>
        <v/>
      </c>
      <c r="Q51" s="660" t="str">
        <f>IF(N51="","",VLOOKUP(B51,'C-1 Site River Baseline'!$C$10:$AA$257,19,FALSE))</f>
        <v/>
      </c>
      <c r="R51" s="171" t="str">
        <f>IF(N51="","",VLOOKUP(N51,'G-7 Rivers Data'!$B$2:$G$8,2,FALSE))</f>
        <v/>
      </c>
      <c r="S51" s="172" t="str">
        <f>IFERROR(VLOOKUP(R51,'G-7 Rivers Data'!$C$4:$D$8,2,FALSE),"")</f>
        <v/>
      </c>
      <c r="T51" s="173"/>
      <c r="U51" s="172" t="str">
        <f>IFERROR(INDEX('G-7 Rivers Data'!$H$4:$L$8,MATCH(N51,'G-7 Rivers Data'!$B$4:$B$8,0),MATCH(T51,'G-7 Rivers Data'!$H$3:$L$3,0)),"")</f>
        <v/>
      </c>
      <c r="V51" s="186"/>
      <c r="W51" s="175" t="str">
        <f>IF(V51="","",IF(VLOOKUP(V51,'G-7 Rivers Data'!$AG$4:$AI$9,2,FALSE)=0,"Spatial Data Missing",VLOOKUP(V51,'G-7 Rivers Data'!$AG$4:$AI$9,2,FALSE)))</f>
        <v/>
      </c>
      <c r="X51" s="176" t="str">
        <f>IF(V51="","",IF(VLOOKUP(V51,'G-7 Rivers Data'!$AG$4:$AI$9,3,FALSE)=0,"Spatial Data Missing",VLOOKUP(V51,'G-7 Rivers Data'!$AG$4:$AI$9,3,FALSE)))</f>
        <v/>
      </c>
      <c r="Y51" s="171" t="str">
        <f>IFERROR(IF(OR(LEFT(P51,5)="Error",LEFT(O51,5)="Error"),"Check Data",IF(F51&lt;S51,'G-7 Rivers Data'!$R$3,INDEX('G-7 Rivers Data'!$U$5:$Y$9,MATCH(G51,'G-7 Rivers Data'!$T$5:$T$9,0),MATCH(T51,'G-7 Rivers Data'!$U$4:$Y$4,0)))),"")</f>
        <v/>
      </c>
      <c r="Z51" s="261"/>
      <c r="AA51" s="261"/>
      <c r="AB51" s="179" t="str">
        <f t="shared" si="3"/>
        <v/>
      </c>
      <c r="AC51" s="262" t="str">
        <f t="shared" si="4"/>
        <v/>
      </c>
      <c r="AD51" s="382" t="str">
        <f>IFERROR(IF(AC51="Check Data","Check Data",VLOOKUP(AC51,'G-4 Temporal multipliers'!$A$4:$C$37,3,FALSE)),"")</f>
        <v/>
      </c>
      <c r="AE51" s="171" t="str">
        <f>IF(N51="","",VLOOKUP(N51,'G-7 Rivers Data'!$B$4:$G$8,5,FALSE))</f>
        <v/>
      </c>
      <c r="AF51" s="179" t="str">
        <f t="shared" si="5"/>
        <v/>
      </c>
      <c r="AG51" s="269" t="str">
        <f t="shared" si="6"/>
        <v/>
      </c>
      <c r="AH51" s="172" t="str">
        <f t="shared" si="1"/>
        <v/>
      </c>
      <c r="AI51" s="173"/>
      <c r="AJ51" s="172" t="str">
        <f>IF(AI51="","",IF(VLOOKUP(AI51,'G-7 Rivers Data'!$AA$4:$AB$7,2,FALSE)=0,"Spatial Data Missing",VLOOKUP(AI51,'G-7 Rivers Data'!$AA$4:$AB$7,2,FALSE)))</f>
        <v/>
      </c>
      <c r="AK51" s="187"/>
      <c r="AL51" s="172" t="str">
        <f>IF(AK51="","",IF(VLOOKUP(AK51,'G-7 Rivers Data'!$AD$4:$AE$8,2,FALSE)=0,"Spatial Data Missing",VLOOKUP(AK51,'G-7 Rivers Data'!$AD$4:$AE$8,2,FALSE)))</f>
        <v/>
      </c>
      <c r="AM51" s="265" t="str">
        <f t="shared" si="7"/>
        <v/>
      </c>
      <c r="AN51" s="180"/>
      <c r="AO51" s="181"/>
      <c r="AV51" s="35" t="str">
        <f>IFERROR(INDEX('G-7 Rivers Data'!$AZ$3:$AZ$7,MATCH(N51,'G-7 Rivers Data'!$AY$3:$AY$7,0)),"")</f>
        <v/>
      </c>
    </row>
    <row r="52" spans="2:48" ht="13.8" x14ac:dyDescent="0.25">
      <c r="B52" s="259" t="str">
        <f>'C-1 Site River Baseline'!AN50</f>
        <v/>
      </c>
      <c r="C52" s="175" t="str">
        <f>IF(B52="","",VLOOKUP($B52,'C-1 Site River Baseline'!$C$9:$R$257,2,FALSE))</f>
        <v/>
      </c>
      <c r="D52" s="175" t="str">
        <f>IF(C52="","",VLOOKUP($B52,'C-1 Site River Baseline'!$C$9:$R$257,3,FALSE))</f>
        <v/>
      </c>
      <c r="E52" s="175" t="str">
        <f>IF(D52="","",VLOOKUP($B52,'C-1 Site River Baseline'!$C$9:$R$257,4,FALSE))</f>
        <v/>
      </c>
      <c r="F52" s="175" t="str">
        <f>IF(E52="","",VLOOKUP($B52,'C-1 Site River Baseline'!$C$9:$R$257,5,FALSE))</f>
        <v/>
      </c>
      <c r="G52" s="175" t="str">
        <f>IF(F52="","",VLOOKUP($B52,'C-1 Site River Baseline'!$C$9:$R$257,6,FALSE))</f>
        <v/>
      </c>
      <c r="H52" s="175" t="str">
        <f>IF(G52="","",VLOOKUP($B52,'C-1 Site River Baseline'!$C$9:$R$257,7,FALSE))</f>
        <v/>
      </c>
      <c r="I52" s="175" t="str">
        <f>IF(H52="","",VLOOKUP($B52,'C-1 Site River Baseline'!$C$9:$R$257,8,FALSE))</f>
        <v/>
      </c>
      <c r="J52" s="175" t="str">
        <f>IF(I52="","",VLOOKUP($B52,'C-1 Site River Baseline'!$C$9:$R$257,9,FALSE))</f>
        <v/>
      </c>
      <c r="K52" s="175" t="str">
        <f>IF(J52="","",VLOOKUP($B52,'C-1 Site River Baseline'!$C$9:$R$257,10,FALSE))</f>
        <v/>
      </c>
      <c r="L52" s="175" t="str">
        <f>IF(B52="","",VLOOKUP($B52,'C-1 Site River Baseline'!$C$9:$R$257,15,FALSE))</f>
        <v/>
      </c>
      <c r="M52" s="176" t="str">
        <f>IF(L52="","",VLOOKUP($B52,'C-1 Site River Baseline'!$C$9:$R$257,16,FALSE))</f>
        <v/>
      </c>
      <c r="N52" s="639" t="str">
        <f t="shared" si="0"/>
        <v/>
      </c>
      <c r="O52" s="239" t="str">
        <f t="shared" si="2"/>
        <v/>
      </c>
      <c r="P52" s="172" t="str">
        <f>IF(C52="","",IF(AND(LEFT(C52,55)&lt;&gt;LEFT(N52,55),O52="High - High"),"Error - Not like for like",IF(AND(F52=S52,H52&gt;U52),"Error - Can not reduce condition",IF(AND(F52=S52,H52=U52,AJ52='C-1 Site River Baseline'!N50,'C-1 Site River Baseline'!P50=AL52),"Error - No enhancement",IF(AND(C52&lt;&gt;N52,F52&lt;S52),"Lower Distinctiveness Habitat"&amp;" - "&amp;T52,G52&amp;" - "&amp;T52)))))</f>
        <v/>
      </c>
      <c r="Q52" s="660" t="str">
        <f>IF(N52="","",VLOOKUP(B52,'C-1 Site River Baseline'!$C$10:$AA$257,19,FALSE))</f>
        <v/>
      </c>
      <c r="R52" s="171" t="str">
        <f>IF(N52="","",VLOOKUP(N52,'G-7 Rivers Data'!$B$2:$G$8,2,FALSE))</f>
        <v/>
      </c>
      <c r="S52" s="172" t="str">
        <f>IFERROR(VLOOKUP(R52,'G-7 Rivers Data'!$C$4:$D$8,2,FALSE),"")</f>
        <v/>
      </c>
      <c r="T52" s="173"/>
      <c r="U52" s="172" t="str">
        <f>IFERROR(INDEX('G-7 Rivers Data'!$H$4:$L$8,MATCH(N52,'G-7 Rivers Data'!$B$4:$B$8,0),MATCH(T52,'G-7 Rivers Data'!$H$3:$L$3,0)),"")</f>
        <v/>
      </c>
      <c r="V52" s="186"/>
      <c r="W52" s="175" t="str">
        <f>IF(V52="","",IF(VLOOKUP(V52,'G-7 Rivers Data'!$AG$4:$AI$9,2,FALSE)=0,"Spatial Data Missing",VLOOKUP(V52,'G-7 Rivers Data'!$AG$4:$AI$9,2,FALSE)))</f>
        <v/>
      </c>
      <c r="X52" s="176" t="str">
        <f>IF(V52="","",IF(VLOOKUP(V52,'G-7 Rivers Data'!$AG$4:$AI$9,3,FALSE)=0,"Spatial Data Missing",VLOOKUP(V52,'G-7 Rivers Data'!$AG$4:$AI$9,3,FALSE)))</f>
        <v/>
      </c>
      <c r="Y52" s="171" t="str">
        <f>IFERROR(IF(OR(LEFT(P52,5)="Error",LEFT(O52,5)="Error"),"Check Data",IF(F52&lt;S52,'G-7 Rivers Data'!$R$3,INDEX('G-7 Rivers Data'!$U$5:$Y$9,MATCH(G52,'G-7 Rivers Data'!$T$5:$T$9,0),MATCH(T52,'G-7 Rivers Data'!$U$4:$Y$4,0)))),"")</f>
        <v/>
      </c>
      <c r="Z52" s="261"/>
      <c r="AA52" s="261"/>
      <c r="AB52" s="179" t="str">
        <f t="shared" si="3"/>
        <v/>
      </c>
      <c r="AC52" s="262" t="str">
        <f t="shared" si="4"/>
        <v/>
      </c>
      <c r="AD52" s="382" t="str">
        <f>IFERROR(IF(AC52="Check Data","Check Data",VLOOKUP(AC52,'G-4 Temporal multipliers'!$A$4:$C$37,3,FALSE)),"")</f>
        <v/>
      </c>
      <c r="AE52" s="171" t="str">
        <f>IF(N52="","",VLOOKUP(N52,'G-7 Rivers Data'!$B$4:$G$8,5,FALSE))</f>
        <v/>
      </c>
      <c r="AF52" s="179" t="str">
        <f t="shared" si="5"/>
        <v/>
      </c>
      <c r="AG52" s="269" t="str">
        <f t="shared" si="6"/>
        <v/>
      </c>
      <c r="AH52" s="172" t="str">
        <f t="shared" si="1"/>
        <v/>
      </c>
      <c r="AI52" s="173"/>
      <c r="AJ52" s="172" t="str">
        <f>IF(AI52="","",IF(VLOOKUP(AI52,'G-7 Rivers Data'!$AA$4:$AB$7,2,FALSE)=0,"Spatial Data Missing",VLOOKUP(AI52,'G-7 Rivers Data'!$AA$4:$AB$7,2,FALSE)))</f>
        <v/>
      </c>
      <c r="AK52" s="187"/>
      <c r="AL52" s="172" t="str">
        <f>IF(AK52="","",IF(VLOOKUP(AK52,'G-7 Rivers Data'!$AD$4:$AE$8,2,FALSE)=0,"Spatial Data Missing",VLOOKUP(AK52,'G-7 Rivers Data'!$AD$4:$AE$8,2,FALSE)))</f>
        <v/>
      </c>
      <c r="AM52" s="265" t="str">
        <f t="shared" si="7"/>
        <v/>
      </c>
      <c r="AN52" s="180"/>
      <c r="AO52" s="181"/>
      <c r="AV52" s="35" t="str">
        <f>IFERROR(INDEX('G-7 Rivers Data'!$AZ$3:$AZ$7,MATCH(N52,'G-7 Rivers Data'!$AY$3:$AY$7,0)),"")</f>
        <v/>
      </c>
    </row>
    <row r="53" spans="2:48" ht="13.8" x14ac:dyDescent="0.25">
      <c r="B53" s="259" t="str">
        <f>'C-1 Site River Baseline'!AN51</f>
        <v/>
      </c>
      <c r="C53" s="175" t="str">
        <f>IF(B53="","",VLOOKUP($B53,'C-1 Site River Baseline'!$C$9:$R$257,2,FALSE))</f>
        <v/>
      </c>
      <c r="D53" s="175" t="str">
        <f>IF(C53="","",VLOOKUP($B53,'C-1 Site River Baseline'!$C$9:$R$257,3,FALSE))</f>
        <v/>
      </c>
      <c r="E53" s="175" t="str">
        <f>IF(D53="","",VLOOKUP($B53,'C-1 Site River Baseline'!$C$9:$R$257,4,FALSE))</f>
        <v/>
      </c>
      <c r="F53" s="175" t="str">
        <f>IF(E53="","",VLOOKUP($B53,'C-1 Site River Baseline'!$C$9:$R$257,5,FALSE))</f>
        <v/>
      </c>
      <c r="G53" s="175" t="str">
        <f>IF(F53="","",VLOOKUP($B53,'C-1 Site River Baseline'!$C$9:$R$257,6,FALSE))</f>
        <v/>
      </c>
      <c r="H53" s="175" t="str">
        <f>IF(G53="","",VLOOKUP($B53,'C-1 Site River Baseline'!$C$9:$R$257,7,FALSE))</f>
        <v/>
      </c>
      <c r="I53" s="175" t="str">
        <f>IF(H53="","",VLOOKUP($B53,'C-1 Site River Baseline'!$C$9:$R$257,8,FALSE))</f>
        <v/>
      </c>
      <c r="J53" s="175" t="str">
        <f>IF(I53="","",VLOOKUP($B53,'C-1 Site River Baseline'!$C$9:$R$257,9,FALSE))</f>
        <v/>
      </c>
      <c r="K53" s="175" t="str">
        <f>IF(J53="","",VLOOKUP($B53,'C-1 Site River Baseline'!$C$9:$R$257,10,FALSE))</f>
        <v/>
      </c>
      <c r="L53" s="175" t="str">
        <f>IF(B53="","",VLOOKUP($B53,'C-1 Site River Baseline'!$C$9:$R$257,15,FALSE))</f>
        <v/>
      </c>
      <c r="M53" s="176" t="str">
        <f>IF(L53="","",VLOOKUP($B53,'C-1 Site River Baseline'!$C$9:$R$257,16,FALSE))</f>
        <v/>
      </c>
      <c r="N53" s="639" t="str">
        <f t="shared" si="0"/>
        <v/>
      </c>
      <c r="O53" s="239" t="str">
        <f t="shared" si="2"/>
        <v/>
      </c>
      <c r="P53" s="172" t="str">
        <f>IF(C53="","",IF(AND(LEFT(C53,55)&lt;&gt;LEFT(N53,55),O53="High - High"),"Error - Not like for like",IF(AND(F53=S53,H53&gt;U53),"Error - Can not reduce condition",IF(AND(F53=S53,H53=U53,AJ53='C-1 Site River Baseline'!N51,'C-1 Site River Baseline'!P51=AL53),"Error - No enhancement",IF(AND(C53&lt;&gt;N53,F53&lt;S53),"Lower Distinctiveness Habitat"&amp;" - "&amp;T53,G53&amp;" - "&amp;T53)))))</f>
        <v/>
      </c>
      <c r="Q53" s="660" t="str">
        <f>IF(N53="","",VLOOKUP(B53,'C-1 Site River Baseline'!$C$10:$AA$257,19,FALSE))</f>
        <v/>
      </c>
      <c r="R53" s="171" t="str">
        <f>IF(N53="","",VLOOKUP(N53,'G-7 Rivers Data'!$B$2:$G$8,2,FALSE))</f>
        <v/>
      </c>
      <c r="S53" s="172" t="str">
        <f>IFERROR(VLOOKUP(R53,'G-7 Rivers Data'!$C$4:$D$8,2,FALSE),"")</f>
        <v/>
      </c>
      <c r="T53" s="173"/>
      <c r="U53" s="172" t="str">
        <f>IFERROR(INDEX('G-7 Rivers Data'!$H$4:$L$8,MATCH(N53,'G-7 Rivers Data'!$B$4:$B$8,0),MATCH(T53,'G-7 Rivers Data'!$H$3:$L$3,0)),"")</f>
        <v/>
      </c>
      <c r="V53" s="186"/>
      <c r="W53" s="175" t="str">
        <f>IF(V53="","",IF(VLOOKUP(V53,'G-7 Rivers Data'!$AG$4:$AI$9,2,FALSE)=0,"Spatial Data Missing",VLOOKUP(V53,'G-7 Rivers Data'!$AG$4:$AI$9,2,FALSE)))</f>
        <v/>
      </c>
      <c r="X53" s="176" t="str">
        <f>IF(V53="","",IF(VLOOKUP(V53,'G-7 Rivers Data'!$AG$4:$AI$9,3,FALSE)=0,"Spatial Data Missing",VLOOKUP(V53,'G-7 Rivers Data'!$AG$4:$AI$9,3,FALSE)))</f>
        <v/>
      </c>
      <c r="Y53" s="171" t="str">
        <f>IFERROR(IF(OR(LEFT(P53,5)="Error",LEFT(O53,5)="Error"),"Check Data",IF(F53&lt;S53,'G-7 Rivers Data'!$R$3,INDEX('G-7 Rivers Data'!$U$5:$Y$9,MATCH(G53,'G-7 Rivers Data'!$T$5:$T$9,0),MATCH(T53,'G-7 Rivers Data'!$U$4:$Y$4,0)))),"")</f>
        <v/>
      </c>
      <c r="Z53" s="261"/>
      <c r="AA53" s="261"/>
      <c r="AB53" s="179" t="str">
        <f t="shared" si="3"/>
        <v/>
      </c>
      <c r="AC53" s="262" t="str">
        <f t="shared" si="4"/>
        <v/>
      </c>
      <c r="AD53" s="382" t="str">
        <f>IFERROR(IF(AC53="Check Data","Check Data",VLOOKUP(AC53,'G-4 Temporal multipliers'!$A$4:$C$37,3,FALSE)),"")</f>
        <v/>
      </c>
      <c r="AE53" s="171" t="str">
        <f>IF(N53="","",VLOOKUP(N53,'G-7 Rivers Data'!$B$4:$G$8,5,FALSE))</f>
        <v/>
      </c>
      <c r="AF53" s="179" t="str">
        <f t="shared" si="5"/>
        <v/>
      </c>
      <c r="AG53" s="269" t="str">
        <f t="shared" si="6"/>
        <v/>
      </c>
      <c r="AH53" s="172" t="str">
        <f t="shared" si="1"/>
        <v/>
      </c>
      <c r="AI53" s="173"/>
      <c r="AJ53" s="172" t="str">
        <f>IF(AI53="","",IF(VLOOKUP(AI53,'G-7 Rivers Data'!$AA$4:$AB$7,2,FALSE)=0,"Spatial Data Missing",VLOOKUP(AI53,'G-7 Rivers Data'!$AA$4:$AB$7,2,FALSE)))</f>
        <v/>
      </c>
      <c r="AK53" s="187"/>
      <c r="AL53" s="172" t="str">
        <f>IF(AK53="","",IF(VLOOKUP(AK53,'G-7 Rivers Data'!$AD$4:$AE$8,2,FALSE)=0,"Spatial Data Missing",VLOOKUP(AK53,'G-7 Rivers Data'!$AD$4:$AE$8,2,FALSE)))</f>
        <v/>
      </c>
      <c r="AM53" s="265" t="str">
        <f t="shared" si="7"/>
        <v/>
      </c>
      <c r="AN53" s="180"/>
      <c r="AO53" s="181"/>
      <c r="AV53" s="35" t="str">
        <f>IFERROR(INDEX('G-7 Rivers Data'!$AZ$3:$AZ$7,MATCH(N53,'G-7 Rivers Data'!$AY$3:$AY$7,0)),"")</f>
        <v/>
      </c>
    </row>
    <row r="54" spans="2:48" ht="13.8" x14ac:dyDescent="0.25">
      <c r="B54" s="259" t="str">
        <f>'C-1 Site River Baseline'!AN52</f>
        <v/>
      </c>
      <c r="C54" s="175" t="str">
        <f>IF(B54="","",VLOOKUP($B54,'C-1 Site River Baseline'!$C$9:$R$257,2,FALSE))</f>
        <v/>
      </c>
      <c r="D54" s="175" t="str">
        <f>IF(C54="","",VLOOKUP($B54,'C-1 Site River Baseline'!$C$9:$R$257,3,FALSE))</f>
        <v/>
      </c>
      <c r="E54" s="175" t="str">
        <f>IF(D54="","",VLOOKUP($B54,'C-1 Site River Baseline'!$C$9:$R$257,4,FALSE))</f>
        <v/>
      </c>
      <c r="F54" s="175" t="str">
        <f>IF(E54="","",VLOOKUP($B54,'C-1 Site River Baseline'!$C$9:$R$257,5,FALSE))</f>
        <v/>
      </c>
      <c r="G54" s="175" t="str">
        <f>IF(F54="","",VLOOKUP($B54,'C-1 Site River Baseline'!$C$9:$R$257,6,FALSE))</f>
        <v/>
      </c>
      <c r="H54" s="175" t="str">
        <f>IF(G54="","",VLOOKUP($B54,'C-1 Site River Baseline'!$C$9:$R$257,7,FALSE))</f>
        <v/>
      </c>
      <c r="I54" s="175" t="str">
        <f>IF(H54="","",VLOOKUP($B54,'C-1 Site River Baseline'!$C$9:$R$257,8,FALSE))</f>
        <v/>
      </c>
      <c r="J54" s="175" t="str">
        <f>IF(I54="","",VLOOKUP($B54,'C-1 Site River Baseline'!$C$9:$R$257,9,FALSE))</f>
        <v/>
      </c>
      <c r="K54" s="175" t="str">
        <f>IF(J54="","",VLOOKUP($B54,'C-1 Site River Baseline'!$C$9:$R$257,10,FALSE))</f>
        <v/>
      </c>
      <c r="L54" s="175" t="str">
        <f>IF(B54="","",VLOOKUP($B54,'C-1 Site River Baseline'!$C$9:$R$257,15,FALSE))</f>
        <v/>
      </c>
      <c r="M54" s="176" t="str">
        <f>IF(L54="","",VLOOKUP($B54,'C-1 Site River Baseline'!$C$9:$R$257,16,FALSE))</f>
        <v/>
      </c>
      <c r="N54" s="639" t="str">
        <f t="shared" si="0"/>
        <v/>
      </c>
      <c r="O54" s="239" t="str">
        <f t="shared" si="2"/>
        <v/>
      </c>
      <c r="P54" s="172" t="str">
        <f>IF(C54="","",IF(AND(LEFT(C54,55)&lt;&gt;LEFT(N54,55),O54="High - High"),"Error - Not like for like",IF(AND(F54=S54,H54&gt;U54),"Error - Can not reduce condition",IF(AND(F54=S54,H54=U54,AJ54='C-1 Site River Baseline'!N52,'C-1 Site River Baseline'!P52=AL54),"Error - No enhancement",IF(AND(C54&lt;&gt;N54,F54&lt;S54),"Lower Distinctiveness Habitat"&amp;" - "&amp;T54,G54&amp;" - "&amp;T54)))))</f>
        <v/>
      </c>
      <c r="Q54" s="660" t="str">
        <f>IF(N54="","",VLOOKUP(B54,'C-1 Site River Baseline'!$C$10:$AA$257,19,FALSE))</f>
        <v/>
      </c>
      <c r="R54" s="171" t="str">
        <f>IF(N54="","",VLOOKUP(N54,'G-7 Rivers Data'!$B$2:$G$8,2,FALSE))</f>
        <v/>
      </c>
      <c r="S54" s="172" t="str">
        <f>IFERROR(VLOOKUP(R54,'G-7 Rivers Data'!$C$4:$D$8,2,FALSE),"")</f>
        <v/>
      </c>
      <c r="T54" s="173"/>
      <c r="U54" s="172" t="str">
        <f>IFERROR(INDEX('G-7 Rivers Data'!$H$4:$L$8,MATCH(N54,'G-7 Rivers Data'!$B$4:$B$8,0),MATCH(T54,'G-7 Rivers Data'!$H$3:$L$3,0)),"")</f>
        <v/>
      </c>
      <c r="V54" s="186"/>
      <c r="W54" s="175" t="str">
        <f>IF(V54="","",IF(VLOOKUP(V54,'G-7 Rivers Data'!$AG$4:$AI$9,2,FALSE)=0,"Spatial Data Missing",VLOOKUP(V54,'G-7 Rivers Data'!$AG$4:$AI$9,2,FALSE)))</f>
        <v/>
      </c>
      <c r="X54" s="176" t="str">
        <f>IF(V54="","",IF(VLOOKUP(V54,'G-7 Rivers Data'!$AG$4:$AI$9,3,FALSE)=0,"Spatial Data Missing",VLOOKUP(V54,'G-7 Rivers Data'!$AG$4:$AI$9,3,FALSE)))</f>
        <v/>
      </c>
      <c r="Y54" s="171" t="str">
        <f>IFERROR(IF(OR(LEFT(P54,5)="Error",LEFT(O54,5)="Error"),"Check Data",IF(F54&lt;S54,'G-7 Rivers Data'!$R$3,INDEX('G-7 Rivers Data'!$U$5:$Y$9,MATCH(G54,'G-7 Rivers Data'!$T$5:$T$9,0),MATCH(T54,'G-7 Rivers Data'!$U$4:$Y$4,0)))),"")</f>
        <v/>
      </c>
      <c r="Z54" s="261"/>
      <c r="AA54" s="261"/>
      <c r="AB54" s="179" t="str">
        <f t="shared" si="3"/>
        <v/>
      </c>
      <c r="AC54" s="262" t="str">
        <f t="shared" si="4"/>
        <v/>
      </c>
      <c r="AD54" s="382" t="str">
        <f>IFERROR(IF(AC54="Check Data","Check Data",VLOOKUP(AC54,'G-4 Temporal multipliers'!$A$4:$C$37,3,FALSE)),"")</f>
        <v/>
      </c>
      <c r="AE54" s="171" t="str">
        <f>IF(N54="","",VLOOKUP(N54,'G-7 Rivers Data'!$B$4:$G$8,5,FALSE))</f>
        <v/>
      </c>
      <c r="AF54" s="179" t="str">
        <f t="shared" si="5"/>
        <v/>
      </c>
      <c r="AG54" s="269" t="str">
        <f t="shared" si="6"/>
        <v/>
      </c>
      <c r="AH54" s="172" t="str">
        <f t="shared" si="1"/>
        <v/>
      </c>
      <c r="AI54" s="173"/>
      <c r="AJ54" s="172" t="str">
        <f>IF(AI54="","",IF(VLOOKUP(AI54,'G-7 Rivers Data'!$AA$4:$AB$7,2,FALSE)=0,"Spatial Data Missing",VLOOKUP(AI54,'G-7 Rivers Data'!$AA$4:$AB$7,2,FALSE)))</f>
        <v/>
      </c>
      <c r="AK54" s="187"/>
      <c r="AL54" s="172" t="str">
        <f>IF(AK54="","",IF(VLOOKUP(AK54,'G-7 Rivers Data'!$AD$4:$AE$8,2,FALSE)=0,"Spatial Data Missing",VLOOKUP(AK54,'G-7 Rivers Data'!$AD$4:$AE$8,2,FALSE)))</f>
        <v/>
      </c>
      <c r="AM54" s="265" t="str">
        <f t="shared" si="7"/>
        <v/>
      </c>
      <c r="AN54" s="180"/>
      <c r="AO54" s="181"/>
      <c r="AV54" s="35" t="str">
        <f>IFERROR(INDEX('G-7 Rivers Data'!$AZ$3:$AZ$7,MATCH(N54,'G-7 Rivers Data'!$AY$3:$AY$7,0)),"")</f>
        <v/>
      </c>
    </row>
    <row r="55" spans="2:48" ht="13.8" x14ac:dyDescent="0.25">
      <c r="B55" s="259" t="str">
        <f>'C-1 Site River Baseline'!AN53</f>
        <v/>
      </c>
      <c r="C55" s="175" t="str">
        <f>IF(B55="","",VLOOKUP($B55,'C-1 Site River Baseline'!$C$9:$R$257,2,FALSE))</f>
        <v/>
      </c>
      <c r="D55" s="175" t="str">
        <f>IF(C55="","",VLOOKUP($B55,'C-1 Site River Baseline'!$C$9:$R$257,3,FALSE))</f>
        <v/>
      </c>
      <c r="E55" s="175" t="str">
        <f>IF(D55="","",VLOOKUP($B55,'C-1 Site River Baseline'!$C$9:$R$257,4,FALSE))</f>
        <v/>
      </c>
      <c r="F55" s="175" t="str">
        <f>IF(E55="","",VLOOKUP($B55,'C-1 Site River Baseline'!$C$9:$R$257,5,FALSE))</f>
        <v/>
      </c>
      <c r="G55" s="175" t="str">
        <f>IF(F55="","",VLOOKUP($B55,'C-1 Site River Baseline'!$C$9:$R$257,6,FALSE))</f>
        <v/>
      </c>
      <c r="H55" s="175" t="str">
        <f>IF(G55="","",VLOOKUP($B55,'C-1 Site River Baseline'!$C$9:$R$257,7,FALSE))</f>
        <v/>
      </c>
      <c r="I55" s="175" t="str">
        <f>IF(H55="","",VLOOKUP($B55,'C-1 Site River Baseline'!$C$9:$R$257,8,FALSE))</f>
        <v/>
      </c>
      <c r="J55" s="175" t="str">
        <f>IF(I55="","",VLOOKUP($B55,'C-1 Site River Baseline'!$C$9:$R$257,9,FALSE))</f>
        <v/>
      </c>
      <c r="K55" s="175" t="str">
        <f>IF(J55="","",VLOOKUP($B55,'C-1 Site River Baseline'!$C$9:$R$257,10,FALSE))</f>
        <v/>
      </c>
      <c r="L55" s="175" t="str">
        <f>IF(B55="","",VLOOKUP($B55,'C-1 Site River Baseline'!$C$9:$R$257,15,FALSE))</f>
        <v/>
      </c>
      <c r="M55" s="176" t="str">
        <f>IF(L55="","",VLOOKUP($B55,'C-1 Site River Baseline'!$C$9:$R$257,16,FALSE))</f>
        <v/>
      </c>
      <c r="N55" s="639" t="str">
        <f t="shared" si="0"/>
        <v/>
      </c>
      <c r="O55" s="239" t="str">
        <f t="shared" si="2"/>
        <v/>
      </c>
      <c r="P55" s="172" t="str">
        <f>IF(C55="","",IF(AND(LEFT(C55,55)&lt;&gt;LEFT(N55,55),O55="High - High"),"Error - Not like for like",IF(AND(F55=S55,H55&gt;U55),"Error - Can not reduce condition",IF(AND(F55=S55,H55=U55,AJ55='C-1 Site River Baseline'!N53,'C-1 Site River Baseline'!P53=AL55),"Error - No enhancement",IF(AND(C55&lt;&gt;N55,F55&lt;S55),"Lower Distinctiveness Habitat"&amp;" - "&amp;T55,G55&amp;" - "&amp;T55)))))</f>
        <v/>
      </c>
      <c r="Q55" s="660" t="str">
        <f>IF(N55="","",VLOOKUP(B55,'C-1 Site River Baseline'!$C$10:$AA$257,19,FALSE))</f>
        <v/>
      </c>
      <c r="R55" s="171" t="str">
        <f>IF(N55="","",VLOOKUP(N55,'G-7 Rivers Data'!$B$2:$G$8,2,FALSE))</f>
        <v/>
      </c>
      <c r="S55" s="172" t="str">
        <f>IFERROR(VLOOKUP(R55,'G-7 Rivers Data'!$C$4:$D$8,2,FALSE),"")</f>
        <v/>
      </c>
      <c r="T55" s="173"/>
      <c r="U55" s="172" t="str">
        <f>IFERROR(INDEX('G-7 Rivers Data'!$H$4:$L$8,MATCH(N55,'G-7 Rivers Data'!$B$4:$B$8,0),MATCH(T55,'G-7 Rivers Data'!$H$3:$L$3,0)),"")</f>
        <v/>
      </c>
      <c r="V55" s="186"/>
      <c r="W55" s="175" t="str">
        <f>IF(V55="","",IF(VLOOKUP(V55,'G-7 Rivers Data'!$AG$4:$AI$9,2,FALSE)=0,"Spatial Data Missing",VLOOKUP(V55,'G-7 Rivers Data'!$AG$4:$AI$9,2,FALSE)))</f>
        <v/>
      </c>
      <c r="X55" s="176" t="str">
        <f>IF(V55="","",IF(VLOOKUP(V55,'G-7 Rivers Data'!$AG$4:$AI$9,3,FALSE)=0,"Spatial Data Missing",VLOOKUP(V55,'G-7 Rivers Data'!$AG$4:$AI$9,3,FALSE)))</f>
        <v/>
      </c>
      <c r="Y55" s="171" t="str">
        <f>IFERROR(IF(OR(LEFT(P55,5)="Error",LEFT(O55,5)="Error"),"Check Data",IF(F55&lt;S55,'G-7 Rivers Data'!$R$3,INDEX('G-7 Rivers Data'!$U$5:$Y$9,MATCH(G55,'G-7 Rivers Data'!$T$5:$T$9,0),MATCH(T55,'G-7 Rivers Data'!$U$4:$Y$4,0)))),"")</f>
        <v/>
      </c>
      <c r="Z55" s="261"/>
      <c r="AA55" s="261"/>
      <c r="AB55" s="179" t="str">
        <f t="shared" si="3"/>
        <v/>
      </c>
      <c r="AC55" s="262" t="str">
        <f t="shared" si="4"/>
        <v/>
      </c>
      <c r="AD55" s="382" t="str">
        <f>IFERROR(IF(AC55="Check Data","Check Data",VLOOKUP(AC55,'G-4 Temporal multipliers'!$A$4:$C$37,3,FALSE)),"")</f>
        <v/>
      </c>
      <c r="AE55" s="171" t="str">
        <f>IF(N55="","",VLOOKUP(N55,'G-7 Rivers Data'!$B$4:$G$8,5,FALSE))</f>
        <v/>
      </c>
      <c r="AF55" s="179" t="str">
        <f t="shared" si="5"/>
        <v/>
      </c>
      <c r="AG55" s="269" t="str">
        <f t="shared" si="6"/>
        <v/>
      </c>
      <c r="AH55" s="172" t="str">
        <f t="shared" si="1"/>
        <v/>
      </c>
      <c r="AI55" s="173"/>
      <c r="AJ55" s="172" t="str">
        <f>IF(AI55="","",IF(VLOOKUP(AI55,'G-7 Rivers Data'!$AA$4:$AB$7,2,FALSE)=0,"Spatial Data Missing",VLOOKUP(AI55,'G-7 Rivers Data'!$AA$4:$AB$7,2,FALSE)))</f>
        <v/>
      </c>
      <c r="AK55" s="187"/>
      <c r="AL55" s="172" t="str">
        <f>IF(AK55="","",IF(VLOOKUP(AK55,'G-7 Rivers Data'!$AD$4:$AE$8,2,FALSE)=0,"Spatial Data Missing",VLOOKUP(AK55,'G-7 Rivers Data'!$AD$4:$AE$8,2,FALSE)))</f>
        <v/>
      </c>
      <c r="AM55" s="265" t="str">
        <f t="shared" si="7"/>
        <v/>
      </c>
      <c r="AN55" s="180"/>
      <c r="AO55" s="181"/>
      <c r="AV55" s="35" t="str">
        <f>IFERROR(INDEX('G-7 Rivers Data'!$AZ$3:$AZ$7,MATCH(N55,'G-7 Rivers Data'!$AY$3:$AY$7,0)),"")</f>
        <v/>
      </c>
    </row>
    <row r="56" spans="2:48" ht="13.8" x14ac:dyDescent="0.25">
      <c r="B56" s="259" t="str">
        <f>'C-1 Site River Baseline'!AN54</f>
        <v/>
      </c>
      <c r="C56" s="175" t="str">
        <f>IF(B56="","",VLOOKUP($B56,'C-1 Site River Baseline'!$C$9:$R$257,2,FALSE))</f>
        <v/>
      </c>
      <c r="D56" s="175" t="str">
        <f>IF(C56="","",VLOOKUP($B56,'C-1 Site River Baseline'!$C$9:$R$257,3,FALSE))</f>
        <v/>
      </c>
      <c r="E56" s="175" t="str">
        <f>IF(D56="","",VLOOKUP($B56,'C-1 Site River Baseline'!$C$9:$R$257,4,FALSE))</f>
        <v/>
      </c>
      <c r="F56" s="175" t="str">
        <f>IF(E56="","",VLOOKUP($B56,'C-1 Site River Baseline'!$C$9:$R$257,5,FALSE))</f>
        <v/>
      </c>
      <c r="G56" s="175" t="str">
        <f>IF(F56="","",VLOOKUP($B56,'C-1 Site River Baseline'!$C$9:$R$257,6,FALSE))</f>
        <v/>
      </c>
      <c r="H56" s="175" t="str">
        <f>IF(G56="","",VLOOKUP($B56,'C-1 Site River Baseline'!$C$9:$R$257,7,FALSE))</f>
        <v/>
      </c>
      <c r="I56" s="175" t="str">
        <f>IF(H56="","",VLOOKUP($B56,'C-1 Site River Baseline'!$C$9:$R$257,8,FALSE))</f>
        <v/>
      </c>
      <c r="J56" s="175" t="str">
        <f>IF(I56="","",VLOOKUP($B56,'C-1 Site River Baseline'!$C$9:$R$257,9,FALSE))</f>
        <v/>
      </c>
      <c r="K56" s="175" t="str">
        <f>IF(J56="","",VLOOKUP($B56,'C-1 Site River Baseline'!$C$9:$R$257,10,FALSE))</f>
        <v/>
      </c>
      <c r="L56" s="175" t="str">
        <f>IF(B56="","",VLOOKUP($B56,'C-1 Site River Baseline'!$C$9:$R$257,15,FALSE))</f>
        <v/>
      </c>
      <c r="M56" s="176" t="str">
        <f>IF(L56="","",VLOOKUP($B56,'C-1 Site River Baseline'!$C$9:$R$257,16,FALSE))</f>
        <v/>
      </c>
      <c r="N56" s="639" t="str">
        <f t="shared" si="0"/>
        <v/>
      </c>
      <c r="O56" s="239" t="str">
        <f t="shared" si="2"/>
        <v/>
      </c>
      <c r="P56" s="172" t="str">
        <f>IF(C56="","",IF(AND(LEFT(C56,55)&lt;&gt;LEFT(N56,55),O56="High - High"),"Error - Not like for like",IF(AND(F56=S56,H56&gt;U56),"Error - Can not reduce condition",IF(AND(F56=S56,H56=U56,AJ56='C-1 Site River Baseline'!N54,'C-1 Site River Baseline'!P54=AL56),"Error - No enhancement",IF(AND(C56&lt;&gt;N56,F56&lt;S56),"Lower Distinctiveness Habitat"&amp;" - "&amp;T56,G56&amp;" - "&amp;T56)))))</f>
        <v/>
      </c>
      <c r="Q56" s="660" t="str">
        <f>IF(N56="","",VLOOKUP(B56,'C-1 Site River Baseline'!$C$10:$AA$257,19,FALSE))</f>
        <v/>
      </c>
      <c r="R56" s="171" t="str">
        <f>IF(N56="","",VLOOKUP(N56,'G-7 Rivers Data'!$B$2:$G$8,2,FALSE))</f>
        <v/>
      </c>
      <c r="S56" s="172" t="str">
        <f>IFERROR(VLOOKUP(R56,'G-7 Rivers Data'!$C$4:$D$8,2,FALSE),"")</f>
        <v/>
      </c>
      <c r="T56" s="173"/>
      <c r="U56" s="172" t="str">
        <f>IFERROR(INDEX('G-7 Rivers Data'!$H$4:$L$8,MATCH(N56,'G-7 Rivers Data'!$B$4:$B$8,0),MATCH(T56,'G-7 Rivers Data'!$H$3:$L$3,0)),"")</f>
        <v/>
      </c>
      <c r="V56" s="186"/>
      <c r="W56" s="175" t="str">
        <f>IF(V56="","",IF(VLOOKUP(V56,'G-7 Rivers Data'!$AG$4:$AI$9,2,FALSE)=0,"Spatial Data Missing",VLOOKUP(V56,'G-7 Rivers Data'!$AG$4:$AI$9,2,FALSE)))</f>
        <v/>
      </c>
      <c r="X56" s="176" t="str">
        <f>IF(V56="","",IF(VLOOKUP(V56,'G-7 Rivers Data'!$AG$4:$AI$9,3,FALSE)=0,"Spatial Data Missing",VLOOKUP(V56,'G-7 Rivers Data'!$AG$4:$AI$9,3,FALSE)))</f>
        <v/>
      </c>
      <c r="Y56" s="171" t="str">
        <f>IFERROR(IF(OR(LEFT(P56,5)="Error",LEFT(O56,5)="Error"),"Check Data",IF(F56&lt;S56,'G-7 Rivers Data'!$R$3,INDEX('G-7 Rivers Data'!$U$5:$Y$9,MATCH(G56,'G-7 Rivers Data'!$T$5:$T$9,0),MATCH(T56,'G-7 Rivers Data'!$U$4:$Y$4,0)))),"")</f>
        <v/>
      </c>
      <c r="Z56" s="261"/>
      <c r="AA56" s="261"/>
      <c r="AB56" s="179" t="str">
        <f t="shared" si="3"/>
        <v/>
      </c>
      <c r="AC56" s="262" t="str">
        <f t="shared" si="4"/>
        <v/>
      </c>
      <c r="AD56" s="382" t="str">
        <f>IFERROR(IF(AC56="Check Data","Check Data",VLOOKUP(AC56,'G-4 Temporal multipliers'!$A$4:$C$37,3,FALSE)),"")</f>
        <v/>
      </c>
      <c r="AE56" s="171" t="str">
        <f>IF(N56="","",VLOOKUP(N56,'G-7 Rivers Data'!$B$4:$G$8,5,FALSE))</f>
        <v/>
      </c>
      <c r="AF56" s="179" t="str">
        <f t="shared" si="5"/>
        <v/>
      </c>
      <c r="AG56" s="269" t="str">
        <f t="shared" si="6"/>
        <v/>
      </c>
      <c r="AH56" s="172" t="str">
        <f t="shared" si="1"/>
        <v/>
      </c>
      <c r="AI56" s="173"/>
      <c r="AJ56" s="172" t="str">
        <f>IF(AI56="","",IF(VLOOKUP(AI56,'G-7 Rivers Data'!$AA$4:$AB$7,2,FALSE)=0,"Spatial Data Missing",VLOOKUP(AI56,'G-7 Rivers Data'!$AA$4:$AB$7,2,FALSE)))</f>
        <v/>
      </c>
      <c r="AK56" s="187"/>
      <c r="AL56" s="172" t="str">
        <f>IF(AK56="","",IF(VLOOKUP(AK56,'G-7 Rivers Data'!$AD$4:$AE$8,2,FALSE)=0,"Spatial Data Missing",VLOOKUP(AK56,'G-7 Rivers Data'!$AD$4:$AE$8,2,FALSE)))</f>
        <v/>
      </c>
      <c r="AM56" s="265" t="str">
        <f t="shared" si="7"/>
        <v/>
      </c>
      <c r="AN56" s="180"/>
      <c r="AO56" s="181"/>
      <c r="AV56" s="35" t="str">
        <f>IFERROR(INDEX('G-7 Rivers Data'!$AZ$3:$AZ$7,MATCH(N56,'G-7 Rivers Data'!$AY$3:$AY$7,0)),"")</f>
        <v/>
      </c>
    </row>
    <row r="57" spans="2:48" ht="13.8" x14ac:dyDescent="0.25">
      <c r="B57" s="259" t="str">
        <f>'C-1 Site River Baseline'!AN55</f>
        <v/>
      </c>
      <c r="C57" s="175" t="str">
        <f>IF(B57="","",VLOOKUP($B57,'C-1 Site River Baseline'!$C$9:$R$257,2,FALSE))</f>
        <v/>
      </c>
      <c r="D57" s="175" t="str">
        <f>IF(C57="","",VLOOKUP($B57,'C-1 Site River Baseline'!$C$9:$R$257,3,FALSE))</f>
        <v/>
      </c>
      <c r="E57" s="175" t="str">
        <f>IF(D57="","",VLOOKUP($B57,'C-1 Site River Baseline'!$C$9:$R$257,4,FALSE))</f>
        <v/>
      </c>
      <c r="F57" s="175" t="str">
        <f>IF(E57="","",VLOOKUP($B57,'C-1 Site River Baseline'!$C$9:$R$257,5,FALSE))</f>
        <v/>
      </c>
      <c r="G57" s="175" t="str">
        <f>IF(F57="","",VLOOKUP($B57,'C-1 Site River Baseline'!$C$9:$R$257,6,FALSE))</f>
        <v/>
      </c>
      <c r="H57" s="175" t="str">
        <f>IF(G57="","",VLOOKUP($B57,'C-1 Site River Baseline'!$C$9:$R$257,7,FALSE))</f>
        <v/>
      </c>
      <c r="I57" s="175" t="str">
        <f>IF(H57="","",VLOOKUP($B57,'C-1 Site River Baseline'!$C$9:$R$257,8,FALSE))</f>
        <v/>
      </c>
      <c r="J57" s="175" t="str">
        <f>IF(I57="","",VLOOKUP($B57,'C-1 Site River Baseline'!$C$9:$R$257,9,FALSE))</f>
        <v/>
      </c>
      <c r="K57" s="175" t="str">
        <f>IF(J57="","",VLOOKUP($B57,'C-1 Site River Baseline'!$C$9:$R$257,10,FALSE))</f>
        <v/>
      </c>
      <c r="L57" s="175" t="str">
        <f>IF(B57="","",VLOOKUP($B57,'C-1 Site River Baseline'!$C$9:$R$257,15,FALSE))</f>
        <v/>
      </c>
      <c r="M57" s="176" t="str">
        <f>IF(L57="","",VLOOKUP($B57,'C-1 Site River Baseline'!$C$9:$R$257,16,FALSE))</f>
        <v/>
      </c>
      <c r="N57" s="639" t="str">
        <f t="shared" si="0"/>
        <v/>
      </c>
      <c r="O57" s="239" t="str">
        <f t="shared" si="2"/>
        <v/>
      </c>
      <c r="P57" s="172" t="str">
        <f>IF(C57="","",IF(AND(LEFT(C57,55)&lt;&gt;LEFT(N57,55),O57="High - High"),"Error - Not like for like",IF(AND(F57=S57,H57&gt;U57),"Error - Can not reduce condition",IF(AND(F57=S57,H57=U57,AJ57='C-1 Site River Baseline'!N55,'C-1 Site River Baseline'!P55=AL57),"Error - No enhancement",IF(AND(C57&lt;&gt;N57,F57&lt;S57),"Lower Distinctiveness Habitat"&amp;" - "&amp;T57,G57&amp;" - "&amp;T57)))))</f>
        <v/>
      </c>
      <c r="Q57" s="660" t="str">
        <f>IF(N57="","",VLOOKUP(B57,'C-1 Site River Baseline'!$C$10:$AA$257,19,FALSE))</f>
        <v/>
      </c>
      <c r="R57" s="171" t="str">
        <f>IF(N57="","",VLOOKUP(N57,'G-7 Rivers Data'!$B$2:$G$8,2,FALSE))</f>
        <v/>
      </c>
      <c r="S57" s="172" t="str">
        <f>IFERROR(VLOOKUP(R57,'G-7 Rivers Data'!$C$4:$D$8,2,FALSE),"")</f>
        <v/>
      </c>
      <c r="T57" s="173"/>
      <c r="U57" s="172" t="str">
        <f>IFERROR(INDEX('G-7 Rivers Data'!$H$4:$L$8,MATCH(N57,'G-7 Rivers Data'!$B$4:$B$8,0),MATCH(T57,'G-7 Rivers Data'!$H$3:$L$3,0)),"")</f>
        <v/>
      </c>
      <c r="V57" s="186"/>
      <c r="W57" s="175" t="str">
        <f>IF(V57="","",IF(VLOOKUP(V57,'G-7 Rivers Data'!$AG$4:$AI$9,2,FALSE)=0,"Spatial Data Missing",VLOOKUP(V57,'G-7 Rivers Data'!$AG$4:$AI$9,2,FALSE)))</f>
        <v/>
      </c>
      <c r="X57" s="176" t="str">
        <f>IF(V57="","",IF(VLOOKUP(V57,'G-7 Rivers Data'!$AG$4:$AI$9,3,FALSE)=0,"Spatial Data Missing",VLOOKUP(V57,'G-7 Rivers Data'!$AG$4:$AI$9,3,FALSE)))</f>
        <v/>
      </c>
      <c r="Y57" s="171" t="str">
        <f>IFERROR(IF(OR(LEFT(P57,5)="Error",LEFT(O57,5)="Error"),"Check Data",IF(F57&lt;S57,'G-7 Rivers Data'!$R$3,INDEX('G-7 Rivers Data'!$U$5:$Y$9,MATCH(G57,'G-7 Rivers Data'!$T$5:$T$9,0),MATCH(T57,'G-7 Rivers Data'!$U$4:$Y$4,0)))),"")</f>
        <v/>
      </c>
      <c r="Z57" s="261"/>
      <c r="AA57" s="261"/>
      <c r="AB57" s="179" t="str">
        <f t="shared" si="3"/>
        <v/>
      </c>
      <c r="AC57" s="262" t="str">
        <f t="shared" si="4"/>
        <v/>
      </c>
      <c r="AD57" s="382" t="str">
        <f>IFERROR(IF(AC57="Check Data","Check Data",VLOOKUP(AC57,'G-4 Temporal multipliers'!$A$4:$C$37,3,FALSE)),"")</f>
        <v/>
      </c>
      <c r="AE57" s="171" t="str">
        <f>IF(N57="","",VLOOKUP(N57,'G-7 Rivers Data'!$B$4:$G$8,5,FALSE))</f>
        <v/>
      </c>
      <c r="AF57" s="179" t="str">
        <f t="shared" si="5"/>
        <v/>
      </c>
      <c r="AG57" s="269" t="str">
        <f t="shared" si="6"/>
        <v/>
      </c>
      <c r="AH57" s="172" t="str">
        <f t="shared" si="1"/>
        <v/>
      </c>
      <c r="AI57" s="173"/>
      <c r="AJ57" s="172" t="str">
        <f>IF(AI57="","",IF(VLOOKUP(AI57,'G-7 Rivers Data'!$AA$4:$AB$7,2,FALSE)=0,"Spatial Data Missing",VLOOKUP(AI57,'G-7 Rivers Data'!$AA$4:$AB$7,2,FALSE)))</f>
        <v/>
      </c>
      <c r="AK57" s="187"/>
      <c r="AL57" s="172" t="str">
        <f>IF(AK57="","",IF(VLOOKUP(AK57,'G-7 Rivers Data'!$AD$4:$AE$8,2,FALSE)=0,"Spatial Data Missing",VLOOKUP(AK57,'G-7 Rivers Data'!$AD$4:$AE$8,2,FALSE)))</f>
        <v/>
      </c>
      <c r="AM57" s="265" t="str">
        <f t="shared" si="7"/>
        <v/>
      </c>
      <c r="AN57" s="180"/>
      <c r="AO57" s="181"/>
      <c r="AV57" s="35" t="str">
        <f>IFERROR(INDEX('G-7 Rivers Data'!$AZ$3:$AZ$7,MATCH(N57,'G-7 Rivers Data'!$AY$3:$AY$7,0)),"")</f>
        <v/>
      </c>
    </row>
    <row r="58" spans="2:48" ht="13.8" x14ac:dyDescent="0.25">
      <c r="B58" s="259" t="str">
        <f>'C-1 Site River Baseline'!AN56</f>
        <v/>
      </c>
      <c r="C58" s="175" t="str">
        <f>IF(B58="","",VLOOKUP($B58,'C-1 Site River Baseline'!$C$9:$R$257,2,FALSE))</f>
        <v/>
      </c>
      <c r="D58" s="175" t="str">
        <f>IF(C58="","",VLOOKUP($B58,'C-1 Site River Baseline'!$C$9:$R$257,3,FALSE))</f>
        <v/>
      </c>
      <c r="E58" s="175" t="str">
        <f>IF(D58="","",VLOOKUP($B58,'C-1 Site River Baseline'!$C$9:$R$257,4,FALSE))</f>
        <v/>
      </c>
      <c r="F58" s="175" t="str">
        <f>IF(E58="","",VLOOKUP($B58,'C-1 Site River Baseline'!$C$9:$R$257,5,FALSE))</f>
        <v/>
      </c>
      <c r="G58" s="175" t="str">
        <f>IF(F58="","",VLOOKUP($B58,'C-1 Site River Baseline'!$C$9:$R$257,6,FALSE))</f>
        <v/>
      </c>
      <c r="H58" s="175" t="str">
        <f>IF(G58="","",VLOOKUP($B58,'C-1 Site River Baseline'!$C$9:$R$257,7,FALSE))</f>
        <v/>
      </c>
      <c r="I58" s="175" t="str">
        <f>IF(H58="","",VLOOKUP($B58,'C-1 Site River Baseline'!$C$9:$R$257,8,FALSE))</f>
        <v/>
      </c>
      <c r="J58" s="175" t="str">
        <f>IF(I58="","",VLOOKUP($B58,'C-1 Site River Baseline'!$C$9:$R$257,9,FALSE))</f>
        <v/>
      </c>
      <c r="K58" s="175" t="str">
        <f>IF(J58="","",VLOOKUP($B58,'C-1 Site River Baseline'!$C$9:$R$257,10,FALSE))</f>
        <v/>
      </c>
      <c r="L58" s="175" t="str">
        <f>IF(B58="","",VLOOKUP($B58,'C-1 Site River Baseline'!$C$9:$R$257,15,FALSE))</f>
        <v/>
      </c>
      <c r="M58" s="176" t="str">
        <f>IF(L58="","",VLOOKUP($B58,'C-1 Site River Baseline'!$C$9:$R$257,16,FALSE))</f>
        <v/>
      </c>
      <c r="N58" s="639" t="str">
        <f t="shared" si="0"/>
        <v/>
      </c>
      <c r="O58" s="239" t="str">
        <f t="shared" si="2"/>
        <v/>
      </c>
      <c r="P58" s="172" t="str">
        <f>IF(C58="","",IF(AND(LEFT(C58,55)&lt;&gt;LEFT(N58,55),O58="High - High"),"Error - Not like for like",IF(AND(F58=S58,H58&gt;U58),"Error - Can not reduce condition",IF(AND(F58=S58,H58=U58,AJ58='C-1 Site River Baseline'!N56,'C-1 Site River Baseline'!P56=AL58),"Error - No enhancement",IF(AND(C58&lt;&gt;N58,F58&lt;S58),"Lower Distinctiveness Habitat"&amp;" - "&amp;T58,G58&amp;" - "&amp;T58)))))</f>
        <v/>
      </c>
      <c r="Q58" s="660" t="str">
        <f>IF(N58="","",VLOOKUP(B58,'C-1 Site River Baseline'!$C$10:$AA$257,19,FALSE))</f>
        <v/>
      </c>
      <c r="R58" s="171" t="str">
        <f>IF(N58="","",VLOOKUP(N58,'G-7 Rivers Data'!$B$2:$G$8,2,FALSE))</f>
        <v/>
      </c>
      <c r="S58" s="172" t="str">
        <f>IFERROR(VLOOKUP(R58,'G-7 Rivers Data'!$C$4:$D$8,2,FALSE),"")</f>
        <v/>
      </c>
      <c r="T58" s="173"/>
      <c r="U58" s="172" t="str">
        <f>IFERROR(INDEX('G-7 Rivers Data'!$H$4:$L$8,MATCH(N58,'G-7 Rivers Data'!$B$4:$B$8,0),MATCH(T58,'G-7 Rivers Data'!$H$3:$L$3,0)),"")</f>
        <v/>
      </c>
      <c r="V58" s="186"/>
      <c r="W58" s="175" t="str">
        <f>IF(V58="","",IF(VLOOKUP(V58,'G-7 Rivers Data'!$AG$4:$AI$9,2,FALSE)=0,"Spatial Data Missing",VLOOKUP(V58,'G-7 Rivers Data'!$AG$4:$AI$9,2,FALSE)))</f>
        <v/>
      </c>
      <c r="X58" s="176" t="str">
        <f>IF(V58="","",IF(VLOOKUP(V58,'G-7 Rivers Data'!$AG$4:$AI$9,3,FALSE)=0,"Spatial Data Missing",VLOOKUP(V58,'G-7 Rivers Data'!$AG$4:$AI$9,3,FALSE)))</f>
        <v/>
      </c>
      <c r="Y58" s="171" t="str">
        <f>IFERROR(IF(OR(LEFT(P58,5)="Error",LEFT(O58,5)="Error"),"Check Data",IF(F58&lt;S58,'G-7 Rivers Data'!$R$3,INDEX('G-7 Rivers Data'!$U$5:$Y$9,MATCH(G58,'G-7 Rivers Data'!$T$5:$T$9,0),MATCH(T58,'G-7 Rivers Data'!$U$4:$Y$4,0)))),"")</f>
        <v/>
      </c>
      <c r="Z58" s="261"/>
      <c r="AA58" s="261"/>
      <c r="AB58" s="179" t="str">
        <f t="shared" si="3"/>
        <v/>
      </c>
      <c r="AC58" s="262" t="str">
        <f t="shared" si="4"/>
        <v/>
      </c>
      <c r="AD58" s="382" t="str">
        <f>IFERROR(IF(AC58="Check Data","Check Data",VLOOKUP(AC58,'G-4 Temporal multipliers'!$A$4:$C$37,3,FALSE)),"")</f>
        <v/>
      </c>
      <c r="AE58" s="171" t="str">
        <f>IF(N58="","",VLOOKUP(N58,'G-7 Rivers Data'!$B$4:$G$8,5,FALSE))</f>
        <v/>
      </c>
      <c r="AF58" s="179" t="str">
        <f t="shared" si="5"/>
        <v/>
      </c>
      <c r="AG58" s="269" t="str">
        <f t="shared" si="6"/>
        <v/>
      </c>
      <c r="AH58" s="172" t="str">
        <f t="shared" si="1"/>
        <v/>
      </c>
      <c r="AI58" s="173"/>
      <c r="AJ58" s="172" t="str">
        <f>IF(AI58="","",IF(VLOOKUP(AI58,'G-7 Rivers Data'!$AA$4:$AB$7,2,FALSE)=0,"Spatial Data Missing",VLOOKUP(AI58,'G-7 Rivers Data'!$AA$4:$AB$7,2,FALSE)))</f>
        <v/>
      </c>
      <c r="AK58" s="187"/>
      <c r="AL58" s="172" t="str">
        <f>IF(AK58="","",IF(VLOOKUP(AK58,'G-7 Rivers Data'!$AD$4:$AE$8,2,FALSE)=0,"Spatial Data Missing",VLOOKUP(AK58,'G-7 Rivers Data'!$AD$4:$AE$8,2,FALSE)))</f>
        <v/>
      </c>
      <c r="AM58" s="265" t="str">
        <f t="shared" si="7"/>
        <v/>
      </c>
      <c r="AN58" s="180"/>
      <c r="AO58" s="181"/>
      <c r="AV58" s="35" t="str">
        <f>IFERROR(INDEX('G-7 Rivers Data'!$AZ$3:$AZ$7,MATCH(N58,'G-7 Rivers Data'!$AY$3:$AY$7,0)),"")</f>
        <v/>
      </c>
    </row>
    <row r="59" spans="2:48" ht="13.8" x14ac:dyDescent="0.25">
      <c r="B59" s="259" t="str">
        <f>'C-1 Site River Baseline'!AN57</f>
        <v/>
      </c>
      <c r="C59" s="175" t="str">
        <f>IF(B59="","",VLOOKUP($B59,'C-1 Site River Baseline'!$C$9:$R$257,2,FALSE))</f>
        <v/>
      </c>
      <c r="D59" s="175" t="str">
        <f>IF(C59="","",VLOOKUP($B59,'C-1 Site River Baseline'!$C$9:$R$257,3,FALSE))</f>
        <v/>
      </c>
      <c r="E59" s="175" t="str">
        <f>IF(D59="","",VLOOKUP($B59,'C-1 Site River Baseline'!$C$9:$R$257,4,FALSE))</f>
        <v/>
      </c>
      <c r="F59" s="175" t="str">
        <f>IF(E59="","",VLOOKUP($B59,'C-1 Site River Baseline'!$C$9:$R$257,5,FALSE))</f>
        <v/>
      </c>
      <c r="G59" s="175" t="str">
        <f>IF(F59="","",VLOOKUP($B59,'C-1 Site River Baseline'!$C$9:$R$257,6,FALSE))</f>
        <v/>
      </c>
      <c r="H59" s="175" t="str">
        <f>IF(G59="","",VLOOKUP($B59,'C-1 Site River Baseline'!$C$9:$R$257,7,FALSE))</f>
        <v/>
      </c>
      <c r="I59" s="175" t="str">
        <f>IF(H59="","",VLOOKUP($B59,'C-1 Site River Baseline'!$C$9:$R$257,8,FALSE))</f>
        <v/>
      </c>
      <c r="J59" s="175" t="str">
        <f>IF(I59="","",VLOOKUP($B59,'C-1 Site River Baseline'!$C$9:$R$257,9,FALSE))</f>
        <v/>
      </c>
      <c r="K59" s="175" t="str">
        <f>IF(J59="","",VLOOKUP($B59,'C-1 Site River Baseline'!$C$9:$R$257,10,FALSE))</f>
        <v/>
      </c>
      <c r="L59" s="175" t="str">
        <f>IF(B59="","",VLOOKUP($B59,'C-1 Site River Baseline'!$C$9:$R$257,15,FALSE))</f>
        <v/>
      </c>
      <c r="M59" s="176" t="str">
        <f>IF(L59="","",VLOOKUP($B59,'C-1 Site River Baseline'!$C$9:$R$257,16,FALSE))</f>
        <v/>
      </c>
      <c r="N59" s="639" t="str">
        <f t="shared" si="0"/>
        <v/>
      </c>
      <c r="O59" s="239" t="str">
        <f t="shared" si="2"/>
        <v/>
      </c>
      <c r="P59" s="172" t="str">
        <f>IF(C59="","",IF(AND(LEFT(C59,55)&lt;&gt;LEFT(N59,55),O59="High - High"),"Error - Not like for like",IF(AND(F59=S59,H59&gt;U59),"Error - Can not reduce condition",IF(AND(F59=S59,H59=U59,AJ59='C-1 Site River Baseline'!N57,'C-1 Site River Baseline'!P57=AL59),"Error - No enhancement",IF(AND(C59&lt;&gt;N59,F59&lt;S59),"Lower Distinctiveness Habitat"&amp;" - "&amp;T59,G59&amp;" - "&amp;T59)))))</f>
        <v/>
      </c>
      <c r="Q59" s="660" t="str">
        <f>IF(N59="","",VLOOKUP(B59,'C-1 Site River Baseline'!$C$10:$AA$257,19,FALSE))</f>
        <v/>
      </c>
      <c r="R59" s="171" t="str">
        <f>IF(N59="","",VLOOKUP(N59,'G-7 Rivers Data'!$B$2:$G$8,2,FALSE))</f>
        <v/>
      </c>
      <c r="S59" s="172" t="str">
        <f>IFERROR(VLOOKUP(R59,'G-7 Rivers Data'!$C$4:$D$8,2,FALSE),"")</f>
        <v/>
      </c>
      <c r="T59" s="173"/>
      <c r="U59" s="172" t="str">
        <f>IFERROR(INDEX('G-7 Rivers Data'!$H$4:$L$8,MATCH(N59,'G-7 Rivers Data'!$B$4:$B$8,0),MATCH(T59,'G-7 Rivers Data'!$H$3:$L$3,0)),"")</f>
        <v/>
      </c>
      <c r="V59" s="186"/>
      <c r="W59" s="175" t="str">
        <f>IF(V59="","",IF(VLOOKUP(V59,'G-7 Rivers Data'!$AG$4:$AI$9,2,FALSE)=0,"Spatial Data Missing",VLOOKUP(V59,'G-7 Rivers Data'!$AG$4:$AI$9,2,FALSE)))</f>
        <v/>
      </c>
      <c r="X59" s="176" t="str">
        <f>IF(V59="","",IF(VLOOKUP(V59,'G-7 Rivers Data'!$AG$4:$AI$9,3,FALSE)=0,"Spatial Data Missing",VLOOKUP(V59,'G-7 Rivers Data'!$AG$4:$AI$9,3,FALSE)))</f>
        <v/>
      </c>
      <c r="Y59" s="171" t="str">
        <f>IFERROR(IF(OR(LEFT(P59,5)="Error",LEFT(O59,5)="Error"),"Check Data",IF(F59&lt;S59,'G-7 Rivers Data'!$R$3,INDEX('G-7 Rivers Data'!$U$5:$Y$9,MATCH(G59,'G-7 Rivers Data'!$T$5:$T$9,0),MATCH(T59,'G-7 Rivers Data'!$U$4:$Y$4,0)))),"")</f>
        <v/>
      </c>
      <c r="Z59" s="261"/>
      <c r="AA59" s="261"/>
      <c r="AB59" s="179" t="str">
        <f t="shared" si="3"/>
        <v/>
      </c>
      <c r="AC59" s="262" t="str">
        <f t="shared" si="4"/>
        <v/>
      </c>
      <c r="AD59" s="382" t="str">
        <f>IFERROR(IF(AC59="Check Data","Check Data",VLOOKUP(AC59,'G-4 Temporal multipliers'!$A$4:$C$37,3,FALSE)),"")</f>
        <v/>
      </c>
      <c r="AE59" s="171" t="str">
        <f>IF(N59="","",VLOOKUP(N59,'G-7 Rivers Data'!$B$4:$G$8,5,FALSE))</f>
        <v/>
      </c>
      <c r="AF59" s="179" t="str">
        <f t="shared" si="5"/>
        <v/>
      </c>
      <c r="AG59" s="269" t="str">
        <f t="shared" si="6"/>
        <v/>
      </c>
      <c r="AH59" s="172" t="str">
        <f t="shared" si="1"/>
        <v/>
      </c>
      <c r="AI59" s="173"/>
      <c r="AJ59" s="172" t="str">
        <f>IF(AI59="","",IF(VLOOKUP(AI59,'G-7 Rivers Data'!$AA$4:$AB$7,2,FALSE)=0,"Spatial Data Missing",VLOOKUP(AI59,'G-7 Rivers Data'!$AA$4:$AB$7,2,FALSE)))</f>
        <v/>
      </c>
      <c r="AK59" s="187"/>
      <c r="AL59" s="172" t="str">
        <f>IF(AK59="","",IF(VLOOKUP(AK59,'G-7 Rivers Data'!$AD$4:$AE$8,2,FALSE)=0,"Spatial Data Missing",VLOOKUP(AK59,'G-7 Rivers Data'!$AD$4:$AE$8,2,FALSE)))</f>
        <v/>
      </c>
      <c r="AM59" s="265" t="str">
        <f t="shared" si="7"/>
        <v/>
      </c>
      <c r="AN59" s="180"/>
      <c r="AO59" s="181"/>
      <c r="AV59" s="35" t="str">
        <f>IFERROR(INDEX('G-7 Rivers Data'!$AZ$3:$AZ$7,MATCH(N59,'G-7 Rivers Data'!$AY$3:$AY$7,0)),"")</f>
        <v/>
      </c>
    </row>
    <row r="60" spans="2:48" ht="13.8" x14ac:dyDescent="0.25">
      <c r="B60" s="259" t="str">
        <f>'C-1 Site River Baseline'!AN58</f>
        <v/>
      </c>
      <c r="C60" s="175" t="str">
        <f>IF(B60="","",VLOOKUP($B60,'C-1 Site River Baseline'!$C$9:$R$257,2,FALSE))</f>
        <v/>
      </c>
      <c r="D60" s="175" t="str">
        <f>IF(C60="","",VLOOKUP($B60,'C-1 Site River Baseline'!$C$9:$R$257,3,FALSE))</f>
        <v/>
      </c>
      <c r="E60" s="175" t="str">
        <f>IF(D60="","",VLOOKUP($B60,'C-1 Site River Baseline'!$C$9:$R$257,4,FALSE))</f>
        <v/>
      </c>
      <c r="F60" s="175" t="str">
        <f>IF(E60="","",VLOOKUP($B60,'C-1 Site River Baseline'!$C$9:$R$257,5,FALSE))</f>
        <v/>
      </c>
      <c r="G60" s="175" t="str">
        <f>IF(F60="","",VLOOKUP($B60,'C-1 Site River Baseline'!$C$9:$R$257,6,FALSE))</f>
        <v/>
      </c>
      <c r="H60" s="175" t="str">
        <f>IF(G60="","",VLOOKUP($B60,'C-1 Site River Baseline'!$C$9:$R$257,7,FALSE))</f>
        <v/>
      </c>
      <c r="I60" s="175" t="str">
        <f>IF(H60="","",VLOOKUP($B60,'C-1 Site River Baseline'!$C$9:$R$257,8,FALSE))</f>
        <v/>
      </c>
      <c r="J60" s="175" t="str">
        <f>IF(I60="","",VLOOKUP($B60,'C-1 Site River Baseline'!$C$9:$R$257,9,FALSE))</f>
        <v/>
      </c>
      <c r="K60" s="175" t="str">
        <f>IF(J60="","",VLOOKUP($B60,'C-1 Site River Baseline'!$C$9:$R$257,10,FALSE))</f>
        <v/>
      </c>
      <c r="L60" s="175" t="str">
        <f>IF(B60="","",VLOOKUP($B60,'C-1 Site River Baseline'!$C$9:$R$257,15,FALSE))</f>
        <v/>
      </c>
      <c r="M60" s="176" t="str">
        <f>IF(L60="","",VLOOKUP($B60,'C-1 Site River Baseline'!$C$9:$R$257,16,FALSE))</f>
        <v/>
      </c>
      <c r="N60" s="639" t="str">
        <f t="shared" si="0"/>
        <v/>
      </c>
      <c r="O60" s="239" t="str">
        <f t="shared" si="2"/>
        <v/>
      </c>
      <c r="P60" s="172" t="str">
        <f>IF(C60="","",IF(AND(LEFT(C60,55)&lt;&gt;LEFT(N60,55),O60="High - High"),"Error - Not like for like",IF(AND(F60=S60,H60&gt;U60),"Error - Can not reduce condition",IF(AND(F60=S60,H60=U60,AJ60='C-1 Site River Baseline'!N58,'C-1 Site River Baseline'!P58=AL60),"Error - No enhancement",IF(AND(C60&lt;&gt;N60,F60&lt;S60),"Lower Distinctiveness Habitat"&amp;" - "&amp;T60,G60&amp;" - "&amp;T60)))))</f>
        <v/>
      </c>
      <c r="Q60" s="660" t="str">
        <f>IF(N60="","",VLOOKUP(B60,'C-1 Site River Baseline'!$C$10:$AA$257,19,FALSE))</f>
        <v/>
      </c>
      <c r="R60" s="171" t="str">
        <f>IF(N60="","",VLOOKUP(N60,'G-7 Rivers Data'!$B$2:$G$8,2,FALSE))</f>
        <v/>
      </c>
      <c r="S60" s="172" t="str">
        <f>IFERROR(VLOOKUP(R60,'G-7 Rivers Data'!$C$4:$D$8,2,FALSE),"")</f>
        <v/>
      </c>
      <c r="T60" s="173"/>
      <c r="U60" s="172" t="str">
        <f>IFERROR(INDEX('G-7 Rivers Data'!$H$4:$L$8,MATCH(N60,'G-7 Rivers Data'!$B$4:$B$8,0),MATCH(T60,'G-7 Rivers Data'!$H$3:$L$3,0)),"")</f>
        <v/>
      </c>
      <c r="V60" s="186"/>
      <c r="W60" s="175" t="str">
        <f>IF(V60="","",IF(VLOOKUP(V60,'G-7 Rivers Data'!$AG$4:$AI$9,2,FALSE)=0,"Spatial Data Missing",VLOOKUP(V60,'G-7 Rivers Data'!$AG$4:$AI$9,2,FALSE)))</f>
        <v/>
      </c>
      <c r="X60" s="176" t="str">
        <f>IF(V60="","",IF(VLOOKUP(V60,'G-7 Rivers Data'!$AG$4:$AI$9,3,FALSE)=0,"Spatial Data Missing",VLOOKUP(V60,'G-7 Rivers Data'!$AG$4:$AI$9,3,FALSE)))</f>
        <v/>
      </c>
      <c r="Y60" s="171" t="str">
        <f>IFERROR(IF(OR(LEFT(P60,5)="Error",LEFT(O60,5)="Error"),"Check Data",IF(F60&lt;S60,'G-7 Rivers Data'!$R$3,INDEX('G-7 Rivers Data'!$U$5:$Y$9,MATCH(G60,'G-7 Rivers Data'!$T$5:$T$9,0),MATCH(T60,'G-7 Rivers Data'!$U$4:$Y$4,0)))),"")</f>
        <v/>
      </c>
      <c r="Z60" s="261"/>
      <c r="AA60" s="261"/>
      <c r="AB60" s="179" t="str">
        <f t="shared" si="3"/>
        <v/>
      </c>
      <c r="AC60" s="262" t="str">
        <f t="shared" si="4"/>
        <v/>
      </c>
      <c r="AD60" s="382" t="str">
        <f>IFERROR(IF(AC60="Check Data","Check Data",VLOOKUP(AC60,'G-4 Temporal multipliers'!$A$4:$C$37,3,FALSE)),"")</f>
        <v/>
      </c>
      <c r="AE60" s="171" t="str">
        <f>IF(N60="","",VLOOKUP(N60,'G-7 Rivers Data'!$B$4:$G$8,5,FALSE))</f>
        <v/>
      </c>
      <c r="AF60" s="179" t="str">
        <f t="shared" si="5"/>
        <v/>
      </c>
      <c r="AG60" s="269" t="str">
        <f t="shared" si="6"/>
        <v/>
      </c>
      <c r="AH60" s="172" t="str">
        <f t="shared" si="1"/>
        <v/>
      </c>
      <c r="AI60" s="173"/>
      <c r="AJ60" s="172" t="str">
        <f>IF(AI60="","",IF(VLOOKUP(AI60,'G-7 Rivers Data'!$AA$4:$AB$7,2,FALSE)=0,"Spatial Data Missing",VLOOKUP(AI60,'G-7 Rivers Data'!$AA$4:$AB$7,2,FALSE)))</f>
        <v/>
      </c>
      <c r="AK60" s="187"/>
      <c r="AL60" s="172" t="str">
        <f>IF(AK60="","",IF(VLOOKUP(AK60,'G-7 Rivers Data'!$AD$4:$AE$8,2,FALSE)=0,"Spatial Data Missing",VLOOKUP(AK60,'G-7 Rivers Data'!$AD$4:$AE$8,2,FALSE)))</f>
        <v/>
      </c>
      <c r="AM60" s="265" t="str">
        <f t="shared" si="7"/>
        <v/>
      </c>
      <c r="AN60" s="180"/>
      <c r="AO60" s="181"/>
      <c r="AV60" s="35" t="str">
        <f>IFERROR(INDEX('G-7 Rivers Data'!$AZ$3:$AZ$7,MATCH(N60,'G-7 Rivers Data'!$AY$3:$AY$7,0)),"")</f>
        <v/>
      </c>
    </row>
    <row r="61" spans="2:48" ht="13.8" x14ac:dyDescent="0.25">
      <c r="B61" s="259" t="str">
        <f>'C-1 Site River Baseline'!AN59</f>
        <v/>
      </c>
      <c r="C61" s="175" t="str">
        <f>IF(B61="","",VLOOKUP($B61,'C-1 Site River Baseline'!$C$9:$R$257,2,FALSE))</f>
        <v/>
      </c>
      <c r="D61" s="175" t="str">
        <f>IF(C61="","",VLOOKUP($B61,'C-1 Site River Baseline'!$C$9:$R$257,3,FALSE))</f>
        <v/>
      </c>
      <c r="E61" s="175" t="str">
        <f>IF(D61="","",VLOOKUP($B61,'C-1 Site River Baseline'!$C$9:$R$257,4,FALSE))</f>
        <v/>
      </c>
      <c r="F61" s="175" t="str">
        <f>IF(E61="","",VLOOKUP($B61,'C-1 Site River Baseline'!$C$9:$R$257,5,FALSE))</f>
        <v/>
      </c>
      <c r="G61" s="175" t="str">
        <f>IF(F61="","",VLOOKUP($B61,'C-1 Site River Baseline'!$C$9:$R$257,6,FALSE))</f>
        <v/>
      </c>
      <c r="H61" s="175" t="str">
        <f>IF(G61="","",VLOOKUP($B61,'C-1 Site River Baseline'!$C$9:$R$257,7,FALSE))</f>
        <v/>
      </c>
      <c r="I61" s="175" t="str">
        <f>IF(H61="","",VLOOKUP($B61,'C-1 Site River Baseline'!$C$9:$R$257,8,FALSE))</f>
        <v/>
      </c>
      <c r="J61" s="175" t="str">
        <f>IF(I61="","",VLOOKUP($B61,'C-1 Site River Baseline'!$C$9:$R$257,9,FALSE))</f>
        <v/>
      </c>
      <c r="K61" s="175" t="str">
        <f>IF(J61="","",VLOOKUP($B61,'C-1 Site River Baseline'!$C$9:$R$257,10,FALSE))</f>
        <v/>
      </c>
      <c r="L61" s="175" t="str">
        <f>IF(B61="","",VLOOKUP($B61,'C-1 Site River Baseline'!$C$9:$R$257,15,FALSE))</f>
        <v/>
      </c>
      <c r="M61" s="176" t="str">
        <f>IF(L61="","",VLOOKUP($B61,'C-1 Site River Baseline'!$C$9:$R$257,16,FALSE))</f>
        <v/>
      </c>
      <c r="N61" s="639" t="str">
        <f t="shared" si="0"/>
        <v/>
      </c>
      <c r="O61" s="239" t="str">
        <f t="shared" si="2"/>
        <v/>
      </c>
      <c r="P61" s="172" t="str">
        <f>IF(C61="","",IF(AND(LEFT(C61,55)&lt;&gt;LEFT(N61,55),O61="High - High"),"Error - Not like for like",IF(AND(F61=S61,H61&gt;U61),"Error - Can not reduce condition",IF(AND(F61=S61,H61=U61,AJ61='C-1 Site River Baseline'!N59,'C-1 Site River Baseline'!P59=AL61),"Error - No enhancement",IF(AND(C61&lt;&gt;N61,F61&lt;S61),"Lower Distinctiveness Habitat"&amp;" - "&amp;T61,G61&amp;" - "&amp;T61)))))</f>
        <v/>
      </c>
      <c r="Q61" s="660" t="str">
        <f>IF(N61="","",VLOOKUP(B61,'C-1 Site River Baseline'!$C$10:$AA$257,19,FALSE))</f>
        <v/>
      </c>
      <c r="R61" s="171" t="str">
        <f>IF(N61="","",VLOOKUP(N61,'G-7 Rivers Data'!$B$2:$G$8,2,FALSE))</f>
        <v/>
      </c>
      <c r="S61" s="172" t="str">
        <f>IFERROR(VLOOKUP(R61,'G-7 Rivers Data'!$C$4:$D$8,2,FALSE),"")</f>
        <v/>
      </c>
      <c r="T61" s="173"/>
      <c r="U61" s="172" t="str">
        <f>IFERROR(INDEX('G-7 Rivers Data'!$H$4:$L$8,MATCH(N61,'G-7 Rivers Data'!$B$4:$B$8,0),MATCH(T61,'G-7 Rivers Data'!$H$3:$L$3,0)),"")</f>
        <v/>
      </c>
      <c r="V61" s="186"/>
      <c r="W61" s="175" t="str">
        <f>IF(V61="","",IF(VLOOKUP(V61,'G-7 Rivers Data'!$AG$4:$AI$9,2,FALSE)=0,"Spatial Data Missing",VLOOKUP(V61,'G-7 Rivers Data'!$AG$4:$AI$9,2,FALSE)))</f>
        <v/>
      </c>
      <c r="X61" s="176" t="str">
        <f>IF(V61="","",IF(VLOOKUP(V61,'G-7 Rivers Data'!$AG$4:$AI$9,3,FALSE)=0,"Spatial Data Missing",VLOOKUP(V61,'G-7 Rivers Data'!$AG$4:$AI$9,3,FALSE)))</f>
        <v/>
      </c>
      <c r="Y61" s="171" t="str">
        <f>IFERROR(IF(OR(LEFT(P61,5)="Error",LEFT(O61,5)="Error"),"Check Data",IF(F61&lt;S61,'G-7 Rivers Data'!$R$3,INDEX('G-7 Rivers Data'!$U$5:$Y$9,MATCH(G61,'G-7 Rivers Data'!$T$5:$T$9,0),MATCH(T61,'G-7 Rivers Data'!$U$4:$Y$4,0)))),"")</f>
        <v/>
      </c>
      <c r="Z61" s="261"/>
      <c r="AA61" s="261"/>
      <c r="AB61" s="179" t="str">
        <f t="shared" si="3"/>
        <v/>
      </c>
      <c r="AC61" s="262" t="str">
        <f t="shared" si="4"/>
        <v/>
      </c>
      <c r="AD61" s="382" t="str">
        <f>IFERROR(IF(AC61="Check Data","Check Data",VLOOKUP(AC61,'G-4 Temporal multipliers'!$A$4:$C$37,3,FALSE)),"")</f>
        <v/>
      </c>
      <c r="AE61" s="171" t="str">
        <f>IF(N61="","",VLOOKUP(N61,'G-7 Rivers Data'!$B$4:$G$8,5,FALSE))</f>
        <v/>
      </c>
      <c r="AF61" s="179" t="str">
        <f t="shared" si="5"/>
        <v/>
      </c>
      <c r="AG61" s="269" t="str">
        <f t="shared" si="6"/>
        <v/>
      </c>
      <c r="AH61" s="172" t="str">
        <f t="shared" si="1"/>
        <v/>
      </c>
      <c r="AI61" s="173"/>
      <c r="AJ61" s="172" t="str">
        <f>IF(AI61="","",IF(VLOOKUP(AI61,'G-7 Rivers Data'!$AA$4:$AB$7,2,FALSE)=0,"Spatial Data Missing",VLOOKUP(AI61,'G-7 Rivers Data'!$AA$4:$AB$7,2,FALSE)))</f>
        <v/>
      </c>
      <c r="AK61" s="187"/>
      <c r="AL61" s="172" t="str">
        <f>IF(AK61="","",IF(VLOOKUP(AK61,'G-7 Rivers Data'!$AD$4:$AE$8,2,FALSE)=0,"Spatial Data Missing",VLOOKUP(AK61,'G-7 Rivers Data'!$AD$4:$AE$8,2,FALSE)))</f>
        <v/>
      </c>
      <c r="AM61" s="265" t="str">
        <f t="shared" si="7"/>
        <v/>
      </c>
      <c r="AN61" s="180"/>
      <c r="AO61" s="181"/>
      <c r="AV61" s="35" t="str">
        <f>IFERROR(INDEX('G-7 Rivers Data'!$AZ$3:$AZ$7,MATCH(N61,'G-7 Rivers Data'!$AY$3:$AY$7,0)),"")</f>
        <v/>
      </c>
    </row>
    <row r="62" spans="2:48" ht="13.8" x14ac:dyDescent="0.25">
      <c r="B62" s="259" t="str">
        <f>'C-1 Site River Baseline'!AN60</f>
        <v/>
      </c>
      <c r="C62" s="175" t="str">
        <f>IF(B62="","",VLOOKUP($B62,'C-1 Site River Baseline'!$C$9:$R$257,2,FALSE))</f>
        <v/>
      </c>
      <c r="D62" s="175" t="str">
        <f>IF(C62="","",VLOOKUP($B62,'C-1 Site River Baseline'!$C$9:$R$257,3,FALSE))</f>
        <v/>
      </c>
      <c r="E62" s="175" t="str">
        <f>IF(D62="","",VLOOKUP($B62,'C-1 Site River Baseline'!$C$9:$R$257,4,FALSE))</f>
        <v/>
      </c>
      <c r="F62" s="175" t="str">
        <f>IF(E62="","",VLOOKUP($B62,'C-1 Site River Baseline'!$C$9:$R$257,5,FALSE))</f>
        <v/>
      </c>
      <c r="G62" s="175" t="str">
        <f>IF(F62="","",VLOOKUP($B62,'C-1 Site River Baseline'!$C$9:$R$257,6,FALSE))</f>
        <v/>
      </c>
      <c r="H62" s="175" t="str">
        <f>IF(G62="","",VLOOKUP($B62,'C-1 Site River Baseline'!$C$9:$R$257,7,FALSE))</f>
        <v/>
      </c>
      <c r="I62" s="175" t="str">
        <f>IF(H62="","",VLOOKUP($B62,'C-1 Site River Baseline'!$C$9:$R$257,8,FALSE))</f>
        <v/>
      </c>
      <c r="J62" s="175" t="str">
        <f>IF(I62="","",VLOOKUP($B62,'C-1 Site River Baseline'!$C$9:$R$257,9,FALSE))</f>
        <v/>
      </c>
      <c r="K62" s="175" t="str">
        <f>IF(J62="","",VLOOKUP($B62,'C-1 Site River Baseline'!$C$9:$R$257,10,FALSE))</f>
        <v/>
      </c>
      <c r="L62" s="175" t="str">
        <f>IF(B62="","",VLOOKUP($B62,'C-1 Site River Baseline'!$C$9:$R$257,15,FALSE))</f>
        <v/>
      </c>
      <c r="M62" s="176" t="str">
        <f>IF(L62="","",VLOOKUP($B62,'C-1 Site River Baseline'!$C$9:$R$257,16,FALSE))</f>
        <v/>
      </c>
      <c r="N62" s="639" t="str">
        <f t="shared" si="0"/>
        <v/>
      </c>
      <c r="O62" s="239" t="str">
        <f t="shared" si="2"/>
        <v/>
      </c>
      <c r="P62" s="172" t="str">
        <f>IF(C62="","",IF(AND(LEFT(C62,55)&lt;&gt;LEFT(N62,55),O62="High - High"),"Error - Not like for like",IF(AND(F62=S62,H62&gt;U62),"Error - Can not reduce condition",IF(AND(F62=S62,H62=U62,AJ62='C-1 Site River Baseline'!N60,'C-1 Site River Baseline'!P60=AL62),"Error - No enhancement",IF(AND(C62&lt;&gt;N62,F62&lt;S62),"Lower Distinctiveness Habitat"&amp;" - "&amp;T62,G62&amp;" - "&amp;T62)))))</f>
        <v/>
      </c>
      <c r="Q62" s="660" t="str">
        <f>IF(N62="","",VLOOKUP(B62,'C-1 Site River Baseline'!$C$10:$AA$257,19,FALSE))</f>
        <v/>
      </c>
      <c r="R62" s="171" t="str">
        <f>IF(N62="","",VLOOKUP(N62,'G-7 Rivers Data'!$B$2:$G$8,2,FALSE))</f>
        <v/>
      </c>
      <c r="S62" s="172" t="str">
        <f>IFERROR(VLOOKUP(R62,'G-7 Rivers Data'!$C$4:$D$8,2,FALSE),"")</f>
        <v/>
      </c>
      <c r="T62" s="173"/>
      <c r="U62" s="172" t="str">
        <f>IFERROR(INDEX('G-7 Rivers Data'!$H$4:$L$8,MATCH(N62,'G-7 Rivers Data'!$B$4:$B$8,0),MATCH(T62,'G-7 Rivers Data'!$H$3:$L$3,0)),"")</f>
        <v/>
      </c>
      <c r="V62" s="186"/>
      <c r="W62" s="175" t="str">
        <f>IF(V62="","",IF(VLOOKUP(V62,'G-7 Rivers Data'!$AG$4:$AI$9,2,FALSE)=0,"Spatial Data Missing",VLOOKUP(V62,'G-7 Rivers Data'!$AG$4:$AI$9,2,FALSE)))</f>
        <v/>
      </c>
      <c r="X62" s="176" t="str">
        <f>IF(V62="","",IF(VLOOKUP(V62,'G-7 Rivers Data'!$AG$4:$AI$9,3,FALSE)=0,"Spatial Data Missing",VLOOKUP(V62,'G-7 Rivers Data'!$AG$4:$AI$9,3,FALSE)))</f>
        <v/>
      </c>
      <c r="Y62" s="171" t="str">
        <f>IFERROR(IF(OR(LEFT(P62,5)="Error",LEFT(O62,5)="Error"),"Check Data",IF(F62&lt;S62,'G-7 Rivers Data'!$R$3,INDEX('G-7 Rivers Data'!$U$5:$Y$9,MATCH(G62,'G-7 Rivers Data'!$T$5:$T$9,0),MATCH(T62,'G-7 Rivers Data'!$U$4:$Y$4,0)))),"")</f>
        <v/>
      </c>
      <c r="Z62" s="261"/>
      <c r="AA62" s="261"/>
      <c r="AB62" s="179" t="str">
        <f t="shared" si="3"/>
        <v/>
      </c>
      <c r="AC62" s="262" t="str">
        <f t="shared" si="4"/>
        <v/>
      </c>
      <c r="AD62" s="382" t="str">
        <f>IFERROR(IF(AC62="Check Data","Check Data",VLOOKUP(AC62,'G-4 Temporal multipliers'!$A$4:$C$37,3,FALSE)),"")</f>
        <v/>
      </c>
      <c r="AE62" s="171" t="str">
        <f>IF(N62="","",VLOOKUP(N62,'G-7 Rivers Data'!$B$4:$G$8,5,FALSE))</f>
        <v/>
      </c>
      <c r="AF62" s="179" t="str">
        <f t="shared" si="5"/>
        <v/>
      </c>
      <c r="AG62" s="269" t="str">
        <f t="shared" si="6"/>
        <v/>
      </c>
      <c r="AH62" s="172" t="str">
        <f t="shared" si="1"/>
        <v/>
      </c>
      <c r="AI62" s="173"/>
      <c r="AJ62" s="172" t="str">
        <f>IF(AI62="","",IF(VLOOKUP(AI62,'G-7 Rivers Data'!$AA$4:$AB$7,2,FALSE)=0,"Spatial Data Missing",VLOOKUP(AI62,'G-7 Rivers Data'!$AA$4:$AB$7,2,FALSE)))</f>
        <v/>
      </c>
      <c r="AK62" s="187"/>
      <c r="AL62" s="172" t="str">
        <f>IF(AK62="","",IF(VLOOKUP(AK62,'G-7 Rivers Data'!$AD$4:$AE$8,2,FALSE)=0,"Spatial Data Missing",VLOOKUP(AK62,'G-7 Rivers Data'!$AD$4:$AE$8,2,FALSE)))</f>
        <v/>
      </c>
      <c r="AM62" s="265" t="str">
        <f t="shared" si="7"/>
        <v/>
      </c>
      <c r="AN62" s="180"/>
      <c r="AO62" s="181"/>
      <c r="AV62" s="35" t="str">
        <f>IFERROR(INDEX('G-7 Rivers Data'!$AZ$3:$AZ$7,MATCH(N62,'G-7 Rivers Data'!$AY$3:$AY$7,0)),"")</f>
        <v/>
      </c>
    </row>
    <row r="63" spans="2:48" ht="13.8" x14ac:dyDescent="0.25">
      <c r="B63" s="259" t="str">
        <f>'C-1 Site River Baseline'!AN61</f>
        <v/>
      </c>
      <c r="C63" s="175" t="str">
        <f>IF(B63="","",VLOOKUP($B63,'C-1 Site River Baseline'!$C$9:$R$257,2,FALSE))</f>
        <v/>
      </c>
      <c r="D63" s="175" t="str">
        <f>IF(C63="","",VLOOKUP($B63,'C-1 Site River Baseline'!$C$9:$R$257,3,FALSE))</f>
        <v/>
      </c>
      <c r="E63" s="175" t="str">
        <f>IF(D63="","",VLOOKUP($B63,'C-1 Site River Baseline'!$C$9:$R$257,4,FALSE))</f>
        <v/>
      </c>
      <c r="F63" s="175" t="str">
        <f>IF(E63="","",VLOOKUP($B63,'C-1 Site River Baseline'!$C$9:$R$257,5,FALSE))</f>
        <v/>
      </c>
      <c r="G63" s="175" t="str">
        <f>IF(F63="","",VLOOKUP($B63,'C-1 Site River Baseline'!$C$9:$R$257,6,FALSE))</f>
        <v/>
      </c>
      <c r="H63" s="175" t="str">
        <f>IF(G63="","",VLOOKUP($B63,'C-1 Site River Baseline'!$C$9:$R$257,7,FALSE))</f>
        <v/>
      </c>
      <c r="I63" s="175" t="str">
        <f>IF(H63="","",VLOOKUP($B63,'C-1 Site River Baseline'!$C$9:$R$257,8,FALSE))</f>
        <v/>
      </c>
      <c r="J63" s="175" t="str">
        <f>IF(I63="","",VLOOKUP($B63,'C-1 Site River Baseline'!$C$9:$R$257,9,FALSE))</f>
        <v/>
      </c>
      <c r="K63" s="175" t="str">
        <f>IF(J63="","",VLOOKUP($B63,'C-1 Site River Baseline'!$C$9:$R$257,10,FALSE))</f>
        <v/>
      </c>
      <c r="L63" s="175" t="str">
        <f>IF(B63="","",VLOOKUP($B63,'C-1 Site River Baseline'!$C$9:$R$257,15,FALSE))</f>
        <v/>
      </c>
      <c r="M63" s="176" t="str">
        <f>IF(L63="","",VLOOKUP($B63,'C-1 Site River Baseline'!$C$9:$R$257,16,FALSE))</f>
        <v/>
      </c>
      <c r="N63" s="639" t="str">
        <f t="shared" si="0"/>
        <v/>
      </c>
      <c r="O63" s="239" t="str">
        <f t="shared" si="2"/>
        <v/>
      </c>
      <c r="P63" s="172" t="str">
        <f>IF(C63="","",IF(AND(LEFT(C63,55)&lt;&gt;LEFT(N63,55),O63="High - High"),"Error - Not like for like",IF(AND(F63=S63,H63&gt;U63),"Error - Can not reduce condition",IF(AND(F63=S63,H63=U63,AJ63='C-1 Site River Baseline'!N61,'C-1 Site River Baseline'!P61=AL63),"Error - No enhancement",IF(AND(C63&lt;&gt;N63,F63&lt;S63),"Lower Distinctiveness Habitat"&amp;" - "&amp;T63,G63&amp;" - "&amp;T63)))))</f>
        <v/>
      </c>
      <c r="Q63" s="660" t="str">
        <f>IF(N63="","",VLOOKUP(B63,'C-1 Site River Baseline'!$C$10:$AA$257,19,FALSE))</f>
        <v/>
      </c>
      <c r="R63" s="171" t="str">
        <f>IF(N63="","",VLOOKUP(N63,'G-7 Rivers Data'!$B$2:$G$8,2,FALSE))</f>
        <v/>
      </c>
      <c r="S63" s="172" t="str">
        <f>IFERROR(VLOOKUP(R63,'G-7 Rivers Data'!$C$4:$D$8,2,FALSE),"")</f>
        <v/>
      </c>
      <c r="T63" s="173"/>
      <c r="U63" s="172" t="str">
        <f>IFERROR(INDEX('G-7 Rivers Data'!$H$4:$L$8,MATCH(N63,'G-7 Rivers Data'!$B$4:$B$8,0),MATCH(T63,'G-7 Rivers Data'!$H$3:$L$3,0)),"")</f>
        <v/>
      </c>
      <c r="V63" s="186"/>
      <c r="W63" s="175" t="str">
        <f>IF(V63="","",IF(VLOOKUP(V63,'G-7 Rivers Data'!$AG$4:$AI$9,2,FALSE)=0,"Spatial Data Missing",VLOOKUP(V63,'G-7 Rivers Data'!$AG$4:$AI$9,2,FALSE)))</f>
        <v/>
      </c>
      <c r="X63" s="176" t="str">
        <f>IF(V63="","",IF(VLOOKUP(V63,'G-7 Rivers Data'!$AG$4:$AI$9,3,FALSE)=0,"Spatial Data Missing",VLOOKUP(V63,'G-7 Rivers Data'!$AG$4:$AI$9,3,FALSE)))</f>
        <v/>
      </c>
      <c r="Y63" s="171" t="str">
        <f>IFERROR(IF(OR(LEFT(P63,5)="Error",LEFT(O63,5)="Error"),"Check Data",IF(F63&lt;S63,'G-7 Rivers Data'!$R$3,INDEX('G-7 Rivers Data'!$U$5:$Y$9,MATCH(G63,'G-7 Rivers Data'!$T$5:$T$9,0),MATCH(T63,'G-7 Rivers Data'!$U$4:$Y$4,0)))),"")</f>
        <v/>
      </c>
      <c r="Z63" s="261"/>
      <c r="AA63" s="261"/>
      <c r="AB63" s="179" t="str">
        <f t="shared" si="3"/>
        <v/>
      </c>
      <c r="AC63" s="262" t="str">
        <f t="shared" si="4"/>
        <v/>
      </c>
      <c r="AD63" s="382" t="str">
        <f>IFERROR(IF(AC63="Check Data","Check Data",VLOOKUP(AC63,'G-4 Temporal multipliers'!$A$4:$C$37,3,FALSE)),"")</f>
        <v/>
      </c>
      <c r="AE63" s="171" t="str">
        <f>IF(N63="","",VLOOKUP(N63,'G-7 Rivers Data'!$B$4:$G$8,5,FALSE))</f>
        <v/>
      </c>
      <c r="AF63" s="179" t="str">
        <f t="shared" si="5"/>
        <v/>
      </c>
      <c r="AG63" s="269" t="str">
        <f t="shared" si="6"/>
        <v/>
      </c>
      <c r="AH63" s="172" t="str">
        <f t="shared" si="1"/>
        <v/>
      </c>
      <c r="AI63" s="173"/>
      <c r="AJ63" s="172" t="str">
        <f>IF(AI63="","",IF(VLOOKUP(AI63,'G-7 Rivers Data'!$AA$4:$AB$7,2,FALSE)=0,"Spatial Data Missing",VLOOKUP(AI63,'G-7 Rivers Data'!$AA$4:$AB$7,2,FALSE)))</f>
        <v/>
      </c>
      <c r="AK63" s="187"/>
      <c r="AL63" s="172" t="str">
        <f>IF(AK63="","",IF(VLOOKUP(AK63,'G-7 Rivers Data'!$AD$4:$AE$8,2,FALSE)=0,"Spatial Data Missing",VLOOKUP(AK63,'G-7 Rivers Data'!$AD$4:$AE$8,2,FALSE)))</f>
        <v/>
      </c>
      <c r="AM63" s="265" t="str">
        <f t="shared" si="7"/>
        <v/>
      </c>
      <c r="AN63" s="180"/>
      <c r="AO63" s="181"/>
      <c r="AV63" s="35" t="str">
        <f>IFERROR(INDEX('G-7 Rivers Data'!$AZ$3:$AZ$7,MATCH(N63,'G-7 Rivers Data'!$AY$3:$AY$7,0)),"")</f>
        <v/>
      </c>
    </row>
    <row r="64" spans="2:48" ht="13.8" x14ac:dyDescent="0.25">
      <c r="B64" s="259" t="str">
        <f>'C-1 Site River Baseline'!AN62</f>
        <v/>
      </c>
      <c r="C64" s="175" t="str">
        <f>IF(B64="","",VLOOKUP($B64,'C-1 Site River Baseline'!$C$9:$R$257,2,FALSE))</f>
        <v/>
      </c>
      <c r="D64" s="175" t="str">
        <f>IF(C64="","",VLOOKUP($B64,'C-1 Site River Baseline'!$C$9:$R$257,3,FALSE))</f>
        <v/>
      </c>
      <c r="E64" s="175" t="str">
        <f>IF(D64="","",VLOOKUP($B64,'C-1 Site River Baseline'!$C$9:$R$257,4,FALSE))</f>
        <v/>
      </c>
      <c r="F64" s="175" t="str">
        <f>IF(E64="","",VLOOKUP($B64,'C-1 Site River Baseline'!$C$9:$R$257,5,FALSE))</f>
        <v/>
      </c>
      <c r="G64" s="175" t="str">
        <f>IF(F64="","",VLOOKUP($B64,'C-1 Site River Baseline'!$C$9:$R$257,6,FALSE))</f>
        <v/>
      </c>
      <c r="H64" s="175" t="str">
        <f>IF(G64="","",VLOOKUP($B64,'C-1 Site River Baseline'!$C$9:$R$257,7,FALSE))</f>
        <v/>
      </c>
      <c r="I64" s="175" t="str">
        <f>IF(H64="","",VLOOKUP($B64,'C-1 Site River Baseline'!$C$9:$R$257,8,FALSE))</f>
        <v/>
      </c>
      <c r="J64" s="175" t="str">
        <f>IF(I64="","",VLOOKUP($B64,'C-1 Site River Baseline'!$C$9:$R$257,9,FALSE))</f>
        <v/>
      </c>
      <c r="K64" s="175" t="str">
        <f>IF(J64="","",VLOOKUP($B64,'C-1 Site River Baseline'!$C$9:$R$257,10,FALSE))</f>
        <v/>
      </c>
      <c r="L64" s="175" t="str">
        <f>IF(B64="","",VLOOKUP($B64,'C-1 Site River Baseline'!$C$9:$R$257,15,FALSE))</f>
        <v/>
      </c>
      <c r="M64" s="176" t="str">
        <f>IF(L64="","",VLOOKUP($B64,'C-1 Site River Baseline'!$C$9:$R$257,16,FALSE))</f>
        <v/>
      </c>
      <c r="N64" s="639" t="str">
        <f t="shared" si="0"/>
        <v/>
      </c>
      <c r="O64" s="239" t="str">
        <f t="shared" si="2"/>
        <v/>
      </c>
      <c r="P64" s="172" t="str">
        <f>IF(C64="","",IF(AND(LEFT(C64,55)&lt;&gt;LEFT(N64,55),O64="High - High"),"Error - Not like for like",IF(AND(F64=S64,H64&gt;U64),"Error - Can not reduce condition",IF(AND(F64=S64,H64=U64,AJ64='C-1 Site River Baseline'!N62,'C-1 Site River Baseline'!P62=AL64),"Error - No enhancement",IF(AND(C64&lt;&gt;N64,F64&lt;S64),"Lower Distinctiveness Habitat"&amp;" - "&amp;T64,G64&amp;" - "&amp;T64)))))</f>
        <v/>
      </c>
      <c r="Q64" s="660" t="str">
        <f>IF(N64="","",VLOOKUP(B64,'C-1 Site River Baseline'!$C$10:$AA$257,19,FALSE))</f>
        <v/>
      </c>
      <c r="R64" s="171" t="str">
        <f>IF(N64="","",VLOOKUP(N64,'G-7 Rivers Data'!$B$2:$G$8,2,FALSE))</f>
        <v/>
      </c>
      <c r="S64" s="172" t="str">
        <f>IFERROR(VLOOKUP(R64,'G-7 Rivers Data'!$C$4:$D$8,2,FALSE),"")</f>
        <v/>
      </c>
      <c r="T64" s="173"/>
      <c r="U64" s="172" t="str">
        <f>IFERROR(INDEX('G-7 Rivers Data'!$H$4:$L$8,MATCH(N64,'G-7 Rivers Data'!$B$4:$B$8,0),MATCH(T64,'G-7 Rivers Data'!$H$3:$L$3,0)),"")</f>
        <v/>
      </c>
      <c r="V64" s="186"/>
      <c r="W64" s="175" t="str">
        <f>IF(V64="","",IF(VLOOKUP(V64,'G-7 Rivers Data'!$AG$4:$AI$9,2,FALSE)=0,"Spatial Data Missing",VLOOKUP(V64,'G-7 Rivers Data'!$AG$4:$AI$9,2,FALSE)))</f>
        <v/>
      </c>
      <c r="X64" s="176" t="str">
        <f>IF(V64="","",IF(VLOOKUP(V64,'G-7 Rivers Data'!$AG$4:$AI$9,3,FALSE)=0,"Spatial Data Missing",VLOOKUP(V64,'G-7 Rivers Data'!$AG$4:$AI$9,3,FALSE)))</f>
        <v/>
      </c>
      <c r="Y64" s="171" t="str">
        <f>IFERROR(IF(OR(LEFT(P64,5)="Error",LEFT(O64,5)="Error"),"Check Data",IF(F64&lt;S64,'G-7 Rivers Data'!$R$3,INDEX('G-7 Rivers Data'!$U$5:$Y$9,MATCH(G64,'G-7 Rivers Data'!$T$5:$T$9,0),MATCH(T64,'G-7 Rivers Data'!$U$4:$Y$4,0)))),"")</f>
        <v/>
      </c>
      <c r="Z64" s="261"/>
      <c r="AA64" s="261"/>
      <c r="AB64" s="179" t="str">
        <f t="shared" si="3"/>
        <v/>
      </c>
      <c r="AC64" s="262" t="str">
        <f t="shared" si="4"/>
        <v/>
      </c>
      <c r="AD64" s="382" t="str">
        <f>IFERROR(IF(AC64="Check Data","Check Data",VLOOKUP(AC64,'G-4 Temporal multipliers'!$A$4:$C$37,3,FALSE)),"")</f>
        <v/>
      </c>
      <c r="AE64" s="171" t="str">
        <f>IF(N64="","",VLOOKUP(N64,'G-7 Rivers Data'!$B$4:$G$8,5,FALSE))</f>
        <v/>
      </c>
      <c r="AF64" s="179" t="str">
        <f t="shared" si="5"/>
        <v/>
      </c>
      <c r="AG64" s="269" t="str">
        <f t="shared" si="6"/>
        <v/>
      </c>
      <c r="AH64" s="172" t="str">
        <f t="shared" si="1"/>
        <v/>
      </c>
      <c r="AI64" s="173"/>
      <c r="AJ64" s="172" t="str">
        <f>IF(AI64="","",IF(VLOOKUP(AI64,'G-7 Rivers Data'!$AA$4:$AB$7,2,FALSE)=0,"Spatial Data Missing",VLOOKUP(AI64,'G-7 Rivers Data'!$AA$4:$AB$7,2,FALSE)))</f>
        <v/>
      </c>
      <c r="AK64" s="187"/>
      <c r="AL64" s="172" t="str">
        <f>IF(AK64="","",IF(VLOOKUP(AK64,'G-7 Rivers Data'!$AD$4:$AE$8,2,FALSE)=0,"Spatial Data Missing",VLOOKUP(AK64,'G-7 Rivers Data'!$AD$4:$AE$8,2,FALSE)))</f>
        <v/>
      </c>
      <c r="AM64" s="265" t="str">
        <f t="shared" si="7"/>
        <v/>
      </c>
      <c r="AN64" s="180"/>
      <c r="AO64" s="181"/>
      <c r="AV64" s="35" t="str">
        <f>IFERROR(INDEX('G-7 Rivers Data'!$AZ$3:$AZ$7,MATCH(N64,'G-7 Rivers Data'!$AY$3:$AY$7,0)),"")</f>
        <v/>
      </c>
    </row>
    <row r="65" spans="2:48" ht="13.8" x14ac:dyDescent="0.25">
      <c r="B65" s="259" t="str">
        <f>'C-1 Site River Baseline'!AN63</f>
        <v/>
      </c>
      <c r="C65" s="175" t="str">
        <f>IF(B65="","",VLOOKUP($B65,'C-1 Site River Baseline'!$C$9:$R$257,2,FALSE))</f>
        <v/>
      </c>
      <c r="D65" s="175" t="str">
        <f>IF(C65="","",VLOOKUP($B65,'C-1 Site River Baseline'!$C$9:$R$257,3,FALSE))</f>
        <v/>
      </c>
      <c r="E65" s="175" t="str">
        <f>IF(D65="","",VLOOKUP($B65,'C-1 Site River Baseline'!$C$9:$R$257,4,FALSE))</f>
        <v/>
      </c>
      <c r="F65" s="175" t="str">
        <f>IF(E65="","",VLOOKUP($B65,'C-1 Site River Baseline'!$C$9:$R$257,5,FALSE))</f>
        <v/>
      </c>
      <c r="G65" s="175" t="str">
        <f>IF(F65="","",VLOOKUP($B65,'C-1 Site River Baseline'!$C$9:$R$257,6,FALSE))</f>
        <v/>
      </c>
      <c r="H65" s="175" t="str">
        <f>IF(G65="","",VLOOKUP($B65,'C-1 Site River Baseline'!$C$9:$R$257,7,FALSE))</f>
        <v/>
      </c>
      <c r="I65" s="175" t="str">
        <f>IF(H65="","",VLOOKUP($B65,'C-1 Site River Baseline'!$C$9:$R$257,8,FALSE))</f>
        <v/>
      </c>
      <c r="J65" s="175" t="str">
        <f>IF(I65="","",VLOOKUP($B65,'C-1 Site River Baseline'!$C$9:$R$257,9,FALSE))</f>
        <v/>
      </c>
      <c r="K65" s="175" t="str">
        <f>IF(J65="","",VLOOKUP($B65,'C-1 Site River Baseline'!$C$9:$R$257,10,FALSE))</f>
        <v/>
      </c>
      <c r="L65" s="175" t="str">
        <f>IF(B65="","",VLOOKUP($B65,'C-1 Site River Baseline'!$C$9:$R$257,15,FALSE))</f>
        <v/>
      </c>
      <c r="M65" s="176" t="str">
        <f>IF(L65="","",VLOOKUP($B65,'C-1 Site River Baseline'!$C$9:$R$257,16,FALSE))</f>
        <v/>
      </c>
      <c r="N65" s="639" t="str">
        <f t="shared" si="0"/>
        <v/>
      </c>
      <c r="O65" s="239" t="str">
        <f t="shared" si="2"/>
        <v/>
      </c>
      <c r="P65" s="172" t="str">
        <f>IF(C65="","",IF(AND(LEFT(C65,55)&lt;&gt;LEFT(N65,55),O65="High - High"),"Error - Not like for like",IF(AND(F65=S65,H65&gt;U65),"Error - Can not reduce condition",IF(AND(F65=S65,H65=U65,AJ65='C-1 Site River Baseline'!N63,'C-1 Site River Baseline'!P63=AL65),"Error - No enhancement",IF(AND(C65&lt;&gt;N65,F65&lt;S65),"Lower Distinctiveness Habitat"&amp;" - "&amp;T65,G65&amp;" - "&amp;T65)))))</f>
        <v/>
      </c>
      <c r="Q65" s="660" t="str">
        <f>IF(N65="","",VLOOKUP(B65,'C-1 Site River Baseline'!$C$10:$AA$257,19,FALSE))</f>
        <v/>
      </c>
      <c r="R65" s="171" t="str">
        <f>IF(N65="","",VLOOKUP(N65,'G-7 Rivers Data'!$B$2:$G$8,2,FALSE))</f>
        <v/>
      </c>
      <c r="S65" s="172" t="str">
        <f>IFERROR(VLOOKUP(R65,'G-7 Rivers Data'!$C$4:$D$8,2,FALSE),"")</f>
        <v/>
      </c>
      <c r="T65" s="173"/>
      <c r="U65" s="172" t="str">
        <f>IFERROR(INDEX('G-7 Rivers Data'!$H$4:$L$8,MATCH(N65,'G-7 Rivers Data'!$B$4:$B$8,0),MATCH(T65,'G-7 Rivers Data'!$H$3:$L$3,0)),"")</f>
        <v/>
      </c>
      <c r="V65" s="186"/>
      <c r="W65" s="175" t="str">
        <f>IF(V65="","",IF(VLOOKUP(V65,'G-7 Rivers Data'!$AG$4:$AI$9,2,FALSE)=0,"Spatial Data Missing",VLOOKUP(V65,'G-7 Rivers Data'!$AG$4:$AI$9,2,FALSE)))</f>
        <v/>
      </c>
      <c r="X65" s="176" t="str">
        <f>IF(V65="","",IF(VLOOKUP(V65,'G-7 Rivers Data'!$AG$4:$AI$9,3,FALSE)=0,"Spatial Data Missing",VLOOKUP(V65,'G-7 Rivers Data'!$AG$4:$AI$9,3,FALSE)))</f>
        <v/>
      </c>
      <c r="Y65" s="171" t="str">
        <f>IFERROR(IF(OR(LEFT(P65,5)="Error",LEFT(O65,5)="Error"),"Check Data",IF(F65&lt;S65,'G-7 Rivers Data'!$R$3,INDEX('G-7 Rivers Data'!$U$5:$Y$9,MATCH(G65,'G-7 Rivers Data'!$T$5:$T$9,0),MATCH(T65,'G-7 Rivers Data'!$U$4:$Y$4,0)))),"")</f>
        <v/>
      </c>
      <c r="Z65" s="261"/>
      <c r="AA65" s="261"/>
      <c r="AB65" s="179" t="str">
        <f t="shared" si="3"/>
        <v/>
      </c>
      <c r="AC65" s="262" t="str">
        <f t="shared" si="4"/>
        <v/>
      </c>
      <c r="AD65" s="382" t="str">
        <f>IFERROR(IF(AC65="Check Data","Check Data",VLOOKUP(AC65,'G-4 Temporal multipliers'!$A$4:$C$37,3,FALSE)),"")</f>
        <v/>
      </c>
      <c r="AE65" s="171" t="str">
        <f>IF(N65="","",VLOOKUP(N65,'G-7 Rivers Data'!$B$4:$G$8,5,FALSE))</f>
        <v/>
      </c>
      <c r="AF65" s="179" t="str">
        <f t="shared" si="5"/>
        <v/>
      </c>
      <c r="AG65" s="269" t="str">
        <f t="shared" si="6"/>
        <v/>
      </c>
      <c r="AH65" s="172" t="str">
        <f t="shared" si="1"/>
        <v/>
      </c>
      <c r="AI65" s="173"/>
      <c r="AJ65" s="172" t="str">
        <f>IF(AI65="","",IF(VLOOKUP(AI65,'G-7 Rivers Data'!$AA$4:$AB$7,2,FALSE)=0,"Spatial Data Missing",VLOOKUP(AI65,'G-7 Rivers Data'!$AA$4:$AB$7,2,FALSE)))</f>
        <v/>
      </c>
      <c r="AK65" s="187"/>
      <c r="AL65" s="172" t="str">
        <f>IF(AK65="","",IF(VLOOKUP(AK65,'G-7 Rivers Data'!$AD$4:$AE$8,2,FALSE)=0,"Spatial Data Missing",VLOOKUP(AK65,'G-7 Rivers Data'!$AD$4:$AE$8,2,FALSE)))</f>
        <v/>
      </c>
      <c r="AM65" s="265" t="str">
        <f t="shared" si="7"/>
        <v/>
      </c>
      <c r="AN65" s="180"/>
      <c r="AO65" s="181"/>
      <c r="AV65" s="35" t="str">
        <f>IFERROR(INDEX('G-7 Rivers Data'!$AZ$3:$AZ$7,MATCH(N65,'G-7 Rivers Data'!$AY$3:$AY$7,0)),"")</f>
        <v/>
      </c>
    </row>
    <row r="66" spans="2:48" ht="13.8" x14ac:dyDescent="0.25">
      <c r="B66" s="259" t="str">
        <f>'C-1 Site River Baseline'!AN64</f>
        <v/>
      </c>
      <c r="C66" s="175" t="str">
        <f>IF(B66="","",VLOOKUP($B66,'C-1 Site River Baseline'!$C$9:$R$257,2,FALSE))</f>
        <v/>
      </c>
      <c r="D66" s="175" t="str">
        <f>IF(C66="","",VLOOKUP($B66,'C-1 Site River Baseline'!$C$9:$R$257,3,FALSE))</f>
        <v/>
      </c>
      <c r="E66" s="175" t="str">
        <f>IF(D66="","",VLOOKUP($B66,'C-1 Site River Baseline'!$C$9:$R$257,4,FALSE))</f>
        <v/>
      </c>
      <c r="F66" s="175" t="str">
        <f>IF(E66="","",VLOOKUP($B66,'C-1 Site River Baseline'!$C$9:$R$257,5,FALSE))</f>
        <v/>
      </c>
      <c r="G66" s="175" t="str">
        <f>IF(F66="","",VLOOKUP($B66,'C-1 Site River Baseline'!$C$9:$R$257,6,FALSE))</f>
        <v/>
      </c>
      <c r="H66" s="175" t="str">
        <f>IF(G66="","",VLOOKUP($B66,'C-1 Site River Baseline'!$C$9:$R$257,7,FALSE))</f>
        <v/>
      </c>
      <c r="I66" s="175" t="str">
        <f>IF(H66="","",VLOOKUP($B66,'C-1 Site River Baseline'!$C$9:$R$257,8,FALSE))</f>
        <v/>
      </c>
      <c r="J66" s="175" t="str">
        <f>IF(I66="","",VLOOKUP($B66,'C-1 Site River Baseline'!$C$9:$R$257,9,FALSE))</f>
        <v/>
      </c>
      <c r="K66" s="175" t="str">
        <f>IF(J66="","",VLOOKUP($B66,'C-1 Site River Baseline'!$C$9:$R$257,10,FALSE))</f>
        <v/>
      </c>
      <c r="L66" s="175" t="str">
        <f>IF(B66="","",VLOOKUP($B66,'C-1 Site River Baseline'!$C$9:$R$257,15,FALSE))</f>
        <v/>
      </c>
      <c r="M66" s="176" t="str">
        <f>IF(L66="","",VLOOKUP($B66,'C-1 Site River Baseline'!$C$9:$R$257,16,FALSE))</f>
        <v/>
      </c>
      <c r="N66" s="639" t="str">
        <f t="shared" si="0"/>
        <v/>
      </c>
      <c r="O66" s="239" t="str">
        <f t="shared" si="2"/>
        <v/>
      </c>
      <c r="P66" s="172" t="str">
        <f>IF(C66="","",IF(AND(LEFT(C66,55)&lt;&gt;LEFT(N66,55),O66="High - High"),"Error - Not like for like",IF(AND(F66=S66,H66&gt;U66),"Error - Can not reduce condition",IF(AND(F66=S66,H66=U66,AJ66='C-1 Site River Baseline'!N64,'C-1 Site River Baseline'!P64=AL66),"Error - No enhancement",IF(AND(C66&lt;&gt;N66,F66&lt;S66),"Lower Distinctiveness Habitat"&amp;" - "&amp;T66,G66&amp;" - "&amp;T66)))))</f>
        <v/>
      </c>
      <c r="Q66" s="660" t="str">
        <f>IF(N66="","",VLOOKUP(B66,'C-1 Site River Baseline'!$C$10:$AA$257,19,FALSE))</f>
        <v/>
      </c>
      <c r="R66" s="171" t="str">
        <f>IF(N66="","",VLOOKUP(N66,'G-7 Rivers Data'!$B$2:$G$8,2,FALSE))</f>
        <v/>
      </c>
      <c r="S66" s="172" t="str">
        <f>IFERROR(VLOOKUP(R66,'G-7 Rivers Data'!$C$4:$D$8,2,FALSE),"")</f>
        <v/>
      </c>
      <c r="T66" s="173"/>
      <c r="U66" s="172" t="str">
        <f>IFERROR(INDEX('G-7 Rivers Data'!$H$4:$L$8,MATCH(N66,'G-7 Rivers Data'!$B$4:$B$8,0),MATCH(T66,'G-7 Rivers Data'!$H$3:$L$3,0)),"")</f>
        <v/>
      </c>
      <c r="V66" s="186"/>
      <c r="W66" s="175" t="str">
        <f>IF(V66="","",IF(VLOOKUP(V66,'G-7 Rivers Data'!$AG$4:$AI$9,2,FALSE)=0,"Spatial Data Missing",VLOOKUP(V66,'G-7 Rivers Data'!$AG$4:$AI$9,2,FALSE)))</f>
        <v/>
      </c>
      <c r="X66" s="176" t="str">
        <f>IF(V66="","",IF(VLOOKUP(V66,'G-7 Rivers Data'!$AG$4:$AI$9,3,FALSE)=0,"Spatial Data Missing",VLOOKUP(V66,'G-7 Rivers Data'!$AG$4:$AI$9,3,FALSE)))</f>
        <v/>
      </c>
      <c r="Y66" s="171" t="str">
        <f>IFERROR(IF(OR(LEFT(P66,5)="Error",LEFT(O66,5)="Error"),"Check Data",IF(F66&lt;S66,'G-7 Rivers Data'!$R$3,INDEX('G-7 Rivers Data'!$U$5:$Y$9,MATCH(G66,'G-7 Rivers Data'!$T$5:$T$9,0),MATCH(T66,'G-7 Rivers Data'!$U$4:$Y$4,0)))),"")</f>
        <v/>
      </c>
      <c r="Z66" s="261"/>
      <c r="AA66" s="261"/>
      <c r="AB66" s="179" t="str">
        <f t="shared" si="3"/>
        <v/>
      </c>
      <c r="AC66" s="262" t="str">
        <f t="shared" si="4"/>
        <v/>
      </c>
      <c r="AD66" s="382" t="str">
        <f>IFERROR(IF(AC66="Check Data","Check Data",VLOOKUP(AC66,'G-4 Temporal multipliers'!$A$4:$C$37,3,FALSE)),"")</f>
        <v/>
      </c>
      <c r="AE66" s="171" t="str">
        <f>IF(N66="","",VLOOKUP(N66,'G-7 Rivers Data'!$B$4:$G$8,5,FALSE))</f>
        <v/>
      </c>
      <c r="AF66" s="179" t="str">
        <f t="shared" si="5"/>
        <v/>
      </c>
      <c r="AG66" s="269" t="str">
        <f t="shared" si="6"/>
        <v/>
      </c>
      <c r="AH66" s="172" t="str">
        <f t="shared" si="1"/>
        <v/>
      </c>
      <c r="AI66" s="173"/>
      <c r="AJ66" s="172" t="str">
        <f>IF(AI66="","",IF(VLOOKUP(AI66,'G-7 Rivers Data'!$AA$4:$AB$7,2,FALSE)=0,"Spatial Data Missing",VLOOKUP(AI66,'G-7 Rivers Data'!$AA$4:$AB$7,2,FALSE)))</f>
        <v/>
      </c>
      <c r="AK66" s="187"/>
      <c r="AL66" s="172" t="str">
        <f>IF(AK66="","",IF(VLOOKUP(AK66,'G-7 Rivers Data'!$AD$4:$AE$8,2,FALSE)=0,"Spatial Data Missing",VLOOKUP(AK66,'G-7 Rivers Data'!$AD$4:$AE$8,2,FALSE)))</f>
        <v/>
      </c>
      <c r="AM66" s="265" t="str">
        <f t="shared" si="7"/>
        <v/>
      </c>
      <c r="AN66" s="180"/>
      <c r="AO66" s="181"/>
      <c r="AV66" s="35" t="str">
        <f>IFERROR(INDEX('G-7 Rivers Data'!$AZ$3:$AZ$7,MATCH(N66,'G-7 Rivers Data'!$AY$3:$AY$7,0)),"")</f>
        <v/>
      </c>
    </row>
    <row r="67" spans="2:48" ht="13.8" x14ac:dyDescent="0.25">
      <c r="B67" s="259" t="str">
        <f>'C-1 Site River Baseline'!AN65</f>
        <v/>
      </c>
      <c r="C67" s="175" t="str">
        <f>IF(B67="","",VLOOKUP($B67,'C-1 Site River Baseline'!$C$9:$R$257,2,FALSE))</f>
        <v/>
      </c>
      <c r="D67" s="175" t="str">
        <f>IF(C67="","",VLOOKUP($B67,'C-1 Site River Baseline'!$C$9:$R$257,3,FALSE))</f>
        <v/>
      </c>
      <c r="E67" s="175" t="str">
        <f>IF(D67="","",VLOOKUP($B67,'C-1 Site River Baseline'!$C$9:$R$257,4,FALSE))</f>
        <v/>
      </c>
      <c r="F67" s="175" t="str">
        <f>IF(E67="","",VLOOKUP($B67,'C-1 Site River Baseline'!$C$9:$R$257,5,FALSE))</f>
        <v/>
      </c>
      <c r="G67" s="175" t="str">
        <f>IF(F67="","",VLOOKUP($B67,'C-1 Site River Baseline'!$C$9:$R$257,6,FALSE))</f>
        <v/>
      </c>
      <c r="H67" s="175" t="str">
        <f>IF(G67="","",VLOOKUP($B67,'C-1 Site River Baseline'!$C$9:$R$257,7,FALSE))</f>
        <v/>
      </c>
      <c r="I67" s="175" t="str">
        <f>IF(H67="","",VLOOKUP($B67,'C-1 Site River Baseline'!$C$9:$R$257,8,FALSE))</f>
        <v/>
      </c>
      <c r="J67" s="175" t="str">
        <f>IF(I67="","",VLOOKUP($B67,'C-1 Site River Baseline'!$C$9:$R$257,9,FALSE))</f>
        <v/>
      </c>
      <c r="K67" s="175" t="str">
        <f>IF(J67="","",VLOOKUP($B67,'C-1 Site River Baseline'!$C$9:$R$257,10,FALSE))</f>
        <v/>
      </c>
      <c r="L67" s="175" t="str">
        <f>IF(B67="","",VLOOKUP($B67,'C-1 Site River Baseline'!$C$9:$R$257,15,FALSE))</f>
        <v/>
      </c>
      <c r="M67" s="176" t="str">
        <f>IF(L67="","",VLOOKUP($B67,'C-1 Site River Baseline'!$C$9:$R$257,16,FALSE))</f>
        <v/>
      </c>
      <c r="N67" s="639" t="str">
        <f t="shared" si="0"/>
        <v/>
      </c>
      <c r="O67" s="239" t="str">
        <f t="shared" si="2"/>
        <v/>
      </c>
      <c r="P67" s="172" t="str">
        <f>IF(C67="","",IF(AND(LEFT(C67,55)&lt;&gt;LEFT(N67,55),O67="High - High"),"Error - Not like for like",IF(AND(F67=S67,H67&gt;U67),"Error - Can not reduce condition",IF(AND(F67=S67,H67=U67,AJ67='C-1 Site River Baseline'!N65,'C-1 Site River Baseline'!P65=AL67),"Error - No enhancement",IF(AND(C67&lt;&gt;N67,F67&lt;S67),"Lower Distinctiveness Habitat"&amp;" - "&amp;T67,G67&amp;" - "&amp;T67)))))</f>
        <v/>
      </c>
      <c r="Q67" s="660" t="str">
        <f>IF(N67="","",VLOOKUP(B67,'C-1 Site River Baseline'!$C$10:$AA$257,19,FALSE))</f>
        <v/>
      </c>
      <c r="R67" s="171" t="str">
        <f>IF(N67="","",VLOOKUP(N67,'G-7 Rivers Data'!$B$2:$G$8,2,FALSE))</f>
        <v/>
      </c>
      <c r="S67" s="172" t="str">
        <f>IFERROR(VLOOKUP(R67,'G-7 Rivers Data'!$C$4:$D$8,2,FALSE),"")</f>
        <v/>
      </c>
      <c r="T67" s="173"/>
      <c r="U67" s="172" t="str">
        <f>IFERROR(INDEX('G-7 Rivers Data'!$H$4:$L$8,MATCH(N67,'G-7 Rivers Data'!$B$4:$B$8,0),MATCH(T67,'G-7 Rivers Data'!$H$3:$L$3,0)),"")</f>
        <v/>
      </c>
      <c r="V67" s="186"/>
      <c r="W67" s="175" t="str">
        <f>IF(V67="","",IF(VLOOKUP(V67,'G-7 Rivers Data'!$AG$4:$AI$9,2,FALSE)=0,"Spatial Data Missing",VLOOKUP(V67,'G-7 Rivers Data'!$AG$4:$AI$9,2,FALSE)))</f>
        <v/>
      </c>
      <c r="X67" s="176" t="str">
        <f>IF(V67="","",IF(VLOOKUP(V67,'G-7 Rivers Data'!$AG$4:$AI$9,3,FALSE)=0,"Spatial Data Missing",VLOOKUP(V67,'G-7 Rivers Data'!$AG$4:$AI$9,3,FALSE)))</f>
        <v/>
      </c>
      <c r="Y67" s="171" t="str">
        <f>IFERROR(IF(OR(LEFT(P67,5)="Error",LEFT(O67,5)="Error"),"Check Data",IF(F67&lt;S67,'G-7 Rivers Data'!$R$3,INDEX('G-7 Rivers Data'!$U$5:$Y$9,MATCH(G67,'G-7 Rivers Data'!$T$5:$T$9,0),MATCH(T67,'G-7 Rivers Data'!$U$4:$Y$4,0)))),"")</f>
        <v/>
      </c>
      <c r="Z67" s="261"/>
      <c r="AA67" s="261"/>
      <c r="AB67" s="179" t="str">
        <f t="shared" si="3"/>
        <v/>
      </c>
      <c r="AC67" s="262" t="str">
        <f t="shared" si="4"/>
        <v/>
      </c>
      <c r="AD67" s="382" t="str">
        <f>IFERROR(IF(AC67="Check Data","Check Data",VLOOKUP(AC67,'G-4 Temporal multipliers'!$A$4:$C$37,3,FALSE)),"")</f>
        <v/>
      </c>
      <c r="AE67" s="171" t="str">
        <f>IF(N67="","",VLOOKUP(N67,'G-7 Rivers Data'!$B$4:$G$8,5,FALSE))</f>
        <v/>
      </c>
      <c r="AF67" s="179" t="str">
        <f t="shared" si="5"/>
        <v/>
      </c>
      <c r="AG67" s="269" t="str">
        <f t="shared" si="6"/>
        <v/>
      </c>
      <c r="AH67" s="172" t="str">
        <f t="shared" si="1"/>
        <v/>
      </c>
      <c r="AI67" s="173"/>
      <c r="AJ67" s="172" t="str">
        <f>IF(AI67="","",IF(VLOOKUP(AI67,'G-7 Rivers Data'!$AA$4:$AB$7,2,FALSE)=0,"Spatial Data Missing",VLOOKUP(AI67,'G-7 Rivers Data'!$AA$4:$AB$7,2,FALSE)))</f>
        <v/>
      </c>
      <c r="AK67" s="187"/>
      <c r="AL67" s="172" t="str">
        <f>IF(AK67="","",IF(VLOOKUP(AK67,'G-7 Rivers Data'!$AD$4:$AE$8,2,FALSE)=0,"Spatial Data Missing",VLOOKUP(AK67,'G-7 Rivers Data'!$AD$4:$AE$8,2,FALSE)))</f>
        <v/>
      </c>
      <c r="AM67" s="265" t="str">
        <f t="shared" si="7"/>
        <v/>
      </c>
      <c r="AN67" s="180"/>
      <c r="AO67" s="181"/>
      <c r="AV67" s="35" t="str">
        <f>IFERROR(INDEX('G-7 Rivers Data'!$AZ$3:$AZ$7,MATCH(N67,'G-7 Rivers Data'!$AY$3:$AY$7,0)),"")</f>
        <v/>
      </c>
    </row>
    <row r="68" spans="2:48" ht="13.8" x14ac:dyDescent="0.25">
      <c r="B68" s="259" t="str">
        <f>'C-1 Site River Baseline'!AN66</f>
        <v/>
      </c>
      <c r="C68" s="175" t="str">
        <f>IF(B68="","",VLOOKUP($B68,'C-1 Site River Baseline'!$C$9:$R$257,2,FALSE))</f>
        <v/>
      </c>
      <c r="D68" s="175" t="str">
        <f>IF(C68="","",VLOOKUP($B68,'C-1 Site River Baseline'!$C$9:$R$257,3,FALSE))</f>
        <v/>
      </c>
      <c r="E68" s="175" t="str">
        <f>IF(D68="","",VLOOKUP($B68,'C-1 Site River Baseline'!$C$9:$R$257,4,FALSE))</f>
        <v/>
      </c>
      <c r="F68" s="175" t="str">
        <f>IF(E68="","",VLOOKUP($B68,'C-1 Site River Baseline'!$C$9:$R$257,5,FALSE))</f>
        <v/>
      </c>
      <c r="G68" s="175" t="str">
        <f>IF(F68="","",VLOOKUP($B68,'C-1 Site River Baseline'!$C$9:$R$257,6,FALSE))</f>
        <v/>
      </c>
      <c r="H68" s="175" t="str">
        <f>IF(G68="","",VLOOKUP($B68,'C-1 Site River Baseline'!$C$9:$R$257,7,FALSE))</f>
        <v/>
      </c>
      <c r="I68" s="175" t="str">
        <f>IF(H68="","",VLOOKUP($B68,'C-1 Site River Baseline'!$C$9:$R$257,8,FALSE))</f>
        <v/>
      </c>
      <c r="J68" s="175" t="str">
        <f>IF(I68="","",VLOOKUP($B68,'C-1 Site River Baseline'!$C$9:$R$257,9,FALSE))</f>
        <v/>
      </c>
      <c r="K68" s="175" t="str">
        <f>IF(J68="","",VLOOKUP($B68,'C-1 Site River Baseline'!$C$9:$R$257,10,FALSE))</f>
        <v/>
      </c>
      <c r="L68" s="175" t="str">
        <f>IF(B68="","",VLOOKUP($B68,'C-1 Site River Baseline'!$C$9:$R$257,15,FALSE))</f>
        <v/>
      </c>
      <c r="M68" s="176" t="str">
        <f>IF(L68="","",VLOOKUP($B68,'C-1 Site River Baseline'!$C$9:$R$257,16,FALSE))</f>
        <v/>
      </c>
      <c r="N68" s="639" t="str">
        <f t="shared" si="0"/>
        <v/>
      </c>
      <c r="O68" s="239" t="str">
        <f t="shared" si="2"/>
        <v/>
      </c>
      <c r="P68" s="172" t="str">
        <f>IF(C68="","",IF(AND(LEFT(C68,55)&lt;&gt;LEFT(N68,55),O68="High - High"),"Error - Not like for like",IF(AND(F68=S68,H68&gt;U68),"Error - Can not reduce condition",IF(AND(F68=S68,H68=U68,AJ68='C-1 Site River Baseline'!N66,'C-1 Site River Baseline'!P66=AL68),"Error - No enhancement",IF(AND(C68&lt;&gt;N68,F68&lt;S68),"Lower Distinctiveness Habitat"&amp;" - "&amp;T68,G68&amp;" - "&amp;T68)))))</f>
        <v/>
      </c>
      <c r="Q68" s="660" t="str">
        <f>IF(N68="","",VLOOKUP(B68,'C-1 Site River Baseline'!$C$10:$AA$257,19,FALSE))</f>
        <v/>
      </c>
      <c r="R68" s="171" t="str">
        <f>IF(N68="","",VLOOKUP(N68,'G-7 Rivers Data'!$B$2:$G$8,2,FALSE))</f>
        <v/>
      </c>
      <c r="S68" s="172" t="str">
        <f>IFERROR(VLOOKUP(R68,'G-7 Rivers Data'!$C$4:$D$8,2,FALSE),"")</f>
        <v/>
      </c>
      <c r="T68" s="173"/>
      <c r="U68" s="172" t="str">
        <f>IFERROR(INDEX('G-7 Rivers Data'!$H$4:$L$8,MATCH(N68,'G-7 Rivers Data'!$B$4:$B$8,0),MATCH(T68,'G-7 Rivers Data'!$H$3:$L$3,0)),"")</f>
        <v/>
      </c>
      <c r="V68" s="186"/>
      <c r="W68" s="175" t="str">
        <f>IF(V68="","",IF(VLOOKUP(V68,'G-7 Rivers Data'!$AG$4:$AI$9,2,FALSE)=0,"Spatial Data Missing",VLOOKUP(V68,'G-7 Rivers Data'!$AG$4:$AI$9,2,FALSE)))</f>
        <v/>
      </c>
      <c r="X68" s="176" t="str">
        <f>IF(V68="","",IF(VLOOKUP(V68,'G-7 Rivers Data'!$AG$4:$AI$9,3,FALSE)=0,"Spatial Data Missing",VLOOKUP(V68,'G-7 Rivers Data'!$AG$4:$AI$9,3,FALSE)))</f>
        <v/>
      </c>
      <c r="Y68" s="171" t="str">
        <f>IFERROR(IF(OR(LEFT(P68,5)="Error",LEFT(O68,5)="Error"),"Check Data",IF(F68&lt;S68,'G-7 Rivers Data'!$R$3,INDEX('G-7 Rivers Data'!$U$5:$Y$9,MATCH(G68,'G-7 Rivers Data'!$T$5:$T$9,0),MATCH(T68,'G-7 Rivers Data'!$U$4:$Y$4,0)))),"")</f>
        <v/>
      </c>
      <c r="Z68" s="261"/>
      <c r="AA68" s="261"/>
      <c r="AB68" s="179" t="str">
        <f t="shared" si="3"/>
        <v/>
      </c>
      <c r="AC68" s="262" t="str">
        <f t="shared" si="4"/>
        <v/>
      </c>
      <c r="AD68" s="382" t="str">
        <f>IFERROR(IF(AC68="Check Data","Check Data",VLOOKUP(AC68,'G-4 Temporal multipliers'!$A$4:$C$37,3,FALSE)),"")</f>
        <v/>
      </c>
      <c r="AE68" s="171" t="str">
        <f>IF(N68="","",VLOOKUP(N68,'G-7 Rivers Data'!$B$4:$G$8,5,FALSE))</f>
        <v/>
      </c>
      <c r="AF68" s="179" t="str">
        <f t="shared" si="5"/>
        <v/>
      </c>
      <c r="AG68" s="269" t="str">
        <f t="shared" si="6"/>
        <v/>
      </c>
      <c r="AH68" s="172" t="str">
        <f t="shared" si="1"/>
        <v/>
      </c>
      <c r="AI68" s="173"/>
      <c r="AJ68" s="172" t="str">
        <f>IF(AI68="","",IF(VLOOKUP(AI68,'G-7 Rivers Data'!$AA$4:$AB$7,2,FALSE)=0,"Spatial Data Missing",VLOOKUP(AI68,'G-7 Rivers Data'!$AA$4:$AB$7,2,FALSE)))</f>
        <v/>
      </c>
      <c r="AK68" s="187"/>
      <c r="AL68" s="172" t="str">
        <f>IF(AK68="","",IF(VLOOKUP(AK68,'G-7 Rivers Data'!$AD$4:$AE$8,2,FALSE)=0,"Spatial Data Missing",VLOOKUP(AK68,'G-7 Rivers Data'!$AD$4:$AE$8,2,FALSE)))</f>
        <v/>
      </c>
      <c r="AM68" s="265" t="str">
        <f t="shared" si="7"/>
        <v/>
      </c>
      <c r="AN68" s="180"/>
      <c r="AO68" s="181"/>
      <c r="AV68" s="35" t="str">
        <f>IFERROR(INDEX('G-7 Rivers Data'!$AZ$3:$AZ$7,MATCH(N68,'G-7 Rivers Data'!$AY$3:$AY$7,0)),"")</f>
        <v/>
      </c>
    </row>
    <row r="69" spans="2:48" ht="13.8" x14ac:dyDescent="0.25">
      <c r="B69" s="259" t="str">
        <f>'C-1 Site River Baseline'!AN67</f>
        <v/>
      </c>
      <c r="C69" s="175" t="str">
        <f>IF(B69="","",VLOOKUP($B69,'C-1 Site River Baseline'!$C$9:$R$257,2,FALSE))</f>
        <v/>
      </c>
      <c r="D69" s="175" t="str">
        <f>IF(C69="","",VLOOKUP($B69,'C-1 Site River Baseline'!$C$9:$R$257,3,FALSE))</f>
        <v/>
      </c>
      <c r="E69" s="175" t="str">
        <f>IF(D69="","",VLOOKUP($B69,'C-1 Site River Baseline'!$C$9:$R$257,4,FALSE))</f>
        <v/>
      </c>
      <c r="F69" s="175" t="str">
        <f>IF(E69="","",VLOOKUP($B69,'C-1 Site River Baseline'!$C$9:$R$257,5,FALSE))</f>
        <v/>
      </c>
      <c r="G69" s="175" t="str">
        <f>IF(F69="","",VLOOKUP($B69,'C-1 Site River Baseline'!$C$9:$R$257,6,FALSE))</f>
        <v/>
      </c>
      <c r="H69" s="175" t="str">
        <f>IF(G69="","",VLOOKUP($B69,'C-1 Site River Baseline'!$C$9:$R$257,7,FALSE))</f>
        <v/>
      </c>
      <c r="I69" s="175" t="str">
        <f>IF(H69="","",VLOOKUP($B69,'C-1 Site River Baseline'!$C$9:$R$257,8,FALSE))</f>
        <v/>
      </c>
      <c r="J69" s="175" t="str">
        <f>IF(I69="","",VLOOKUP($B69,'C-1 Site River Baseline'!$C$9:$R$257,9,FALSE))</f>
        <v/>
      </c>
      <c r="K69" s="175" t="str">
        <f>IF(J69="","",VLOOKUP($B69,'C-1 Site River Baseline'!$C$9:$R$257,10,FALSE))</f>
        <v/>
      </c>
      <c r="L69" s="175" t="str">
        <f>IF(B69="","",VLOOKUP($B69,'C-1 Site River Baseline'!$C$9:$R$257,15,FALSE))</f>
        <v/>
      </c>
      <c r="M69" s="176" t="str">
        <f>IF(L69="","",VLOOKUP($B69,'C-1 Site River Baseline'!$C$9:$R$257,16,FALSE))</f>
        <v/>
      </c>
      <c r="N69" s="639" t="str">
        <f t="shared" si="0"/>
        <v/>
      </c>
      <c r="O69" s="239" t="str">
        <f t="shared" si="2"/>
        <v/>
      </c>
      <c r="P69" s="172" t="str">
        <f>IF(C69="","",IF(AND(LEFT(C69,55)&lt;&gt;LEFT(N69,55),O69="High - High"),"Error - Not like for like",IF(AND(F69=S69,H69&gt;U69),"Error - Can not reduce condition",IF(AND(F69=S69,H69=U69,AJ69='C-1 Site River Baseline'!N67,'C-1 Site River Baseline'!P67=AL69),"Error - No enhancement",IF(AND(C69&lt;&gt;N69,F69&lt;S69),"Lower Distinctiveness Habitat"&amp;" - "&amp;T69,G69&amp;" - "&amp;T69)))))</f>
        <v/>
      </c>
      <c r="Q69" s="660" t="str">
        <f>IF(N69="","",VLOOKUP(B69,'C-1 Site River Baseline'!$C$10:$AA$257,19,FALSE))</f>
        <v/>
      </c>
      <c r="R69" s="171" t="str">
        <f>IF(N69="","",VLOOKUP(N69,'G-7 Rivers Data'!$B$2:$G$8,2,FALSE))</f>
        <v/>
      </c>
      <c r="S69" s="172" t="str">
        <f>IFERROR(VLOOKUP(R69,'G-7 Rivers Data'!$C$4:$D$8,2,FALSE),"")</f>
        <v/>
      </c>
      <c r="T69" s="173"/>
      <c r="U69" s="172" t="str">
        <f>IFERROR(INDEX('G-7 Rivers Data'!$H$4:$L$8,MATCH(N69,'G-7 Rivers Data'!$B$4:$B$8,0),MATCH(T69,'G-7 Rivers Data'!$H$3:$L$3,0)),"")</f>
        <v/>
      </c>
      <c r="V69" s="186"/>
      <c r="W69" s="175" t="str">
        <f>IF(V69="","",IF(VLOOKUP(V69,'G-7 Rivers Data'!$AG$4:$AI$9,2,FALSE)=0,"Spatial Data Missing",VLOOKUP(V69,'G-7 Rivers Data'!$AG$4:$AI$9,2,FALSE)))</f>
        <v/>
      </c>
      <c r="X69" s="176" t="str">
        <f>IF(V69="","",IF(VLOOKUP(V69,'G-7 Rivers Data'!$AG$4:$AI$9,3,FALSE)=0,"Spatial Data Missing",VLOOKUP(V69,'G-7 Rivers Data'!$AG$4:$AI$9,3,FALSE)))</f>
        <v/>
      </c>
      <c r="Y69" s="171" t="str">
        <f>IFERROR(IF(OR(LEFT(P69,5)="Error",LEFT(O69,5)="Error"),"Check Data",IF(F69&lt;S69,'G-7 Rivers Data'!$R$3,INDEX('G-7 Rivers Data'!$U$5:$Y$9,MATCH(G69,'G-7 Rivers Data'!$T$5:$T$9,0),MATCH(T69,'G-7 Rivers Data'!$U$4:$Y$4,0)))),"")</f>
        <v/>
      </c>
      <c r="Z69" s="261"/>
      <c r="AA69" s="261"/>
      <c r="AB69" s="179" t="str">
        <f t="shared" si="3"/>
        <v/>
      </c>
      <c r="AC69" s="262" t="str">
        <f t="shared" si="4"/>
        <v/>
      </c>
      <c r="AD69" s="382" t="str">
        <f>IFERROR(IF(AC69="Check Data","Check Data",VLOOKUP(AC69,'G-4 Temporal multipliers'!$A$4:$C$37,3,FALSE)),"")</f>
        <v/>
      </c>
      <c r="AE69" s="171" t="str">
        <f>IF(N69="","",VLOOKUP(N69,'G-7 Rivers Data'!$B$4:$G$8,5,FALSE))</f>
        <v/>
      </c>
      <c r="AF69" s="179" t="str">
        <f t="shared" si="5"/>
        <v/>
      </c>
      <c r="AG69" s="269" t="str">
        <f t="shared" si="6"/>
        <v/>
      </c>
      <c r="AH69" s="172" t="str">
        <f t="shared" si="1"/>
        <v/>
      </c>
      <c r="AI69" s="173"/>
      <c r="AJ69" s="172" t="str">
        <f>IF(AI69="","",IF(VLOOKUP(AI69,'G-7 Rivers Data'!$AA$4:$AB$7,2,FALSE)=0,"Spatial Data Missing",VLOOKUP(AI69,'G-7 Rivers Data'!$AA$4:$AB$7,2,FALSE)))</f>
        <v/>
      </c>
      <c r="AK69" s="187"/>
      <c r="AL69" s="172" t="str">
        <f>IF(AK69="","",IF(VLOOKUP(AK69,'G-7 Rivers Data'!$AD$4:$AE$8,2,FALSE)=0,"Spatial Data Missing",VLOOKUP(AK69,'G-7 Rivers Data'!$AD$4:$AE$8,2,FALSE)))</f>
        <v/>
      </c>
      <c r="AM69" s="265" t="str">
        <f t="shared" si="7"/>
        <v/>
      </c>
      <c r="AN69" s="180"/>
      <c r="AO69" s="181"/>
      <c r="AV69" s="35" t="str">
        <f>IFERROR(INDEX('G-7 Rivers Data'!$AZ$3:$AZ$7,MATCH(N69,'G-7 Rivers Data'!$AY$3:$AY$7,0)),"")</f>
        <v/>
      </c>
    </row>
    <row r="70" spans="2:48" ht="13.8" x14ac:dyDescent="0.25">
      <c r="B70" s="259" t="str">
        <f>'C-1 Site River Baseline'!AN68</f>
        <v/>
      </c>
      <c r="C70" s="175" t="str">
        <f>IF(B70="","",VLOOKUP($B70,'C-1 Site River Baseline'!$C$9:$R$257,2,FALSE))</f>
        <v/>
      </c>
      <c r="D70" s="175" t="str">
        <f>IF(C70="","",VLOOKUP($B70,'C-1 Site River Baseline'!$C$9:$R$257,3,FALSE))</f>
        <v/>
      </c>
      <c r="E70" s="175" t="str">
        <f>IF(D70="","",VLOOKUP($B70,'C-1 Site River Baseline'!$C$9:$R$257,4,FALSE))</f>
        <v/>
      </c>
      <c r="F70" s="175" t="str">
        <f>IF(E70="","",VLOOKUP($B70,'C-1 Site River Baseline'!$C$9:$R$257,5,FALSE))</f>
        <v/>
      </c>
      <c r="G70" s="175" t="str">
        <f>IF(F70="","",VLOOKUP($B70,'C-1 Site River Baseline'!$C$9:$R$257,6,FALSE))</f>
        <v/>
      </c>
      <c r="H70" s="175" t="str">
        <f>IF(G70="","",VLOOKUP($B70,'C-1 Site River Baseline'!$C$9:$R$257,7,FALSE))</f>
        <v/>
      </c>
      <c r="I70" s="175" t="str">
        <f>IF(H70="","",VLOOKUP($B70,'C-1 Site River Baseline'!$C$9:$R$257,8,FALSE))</f>
        <v/>
      </c>
      <c r="J70" s="175" t="str">
        <f>IF(I70="","",VLOOKUP($B70,'C-1 Site River Baseline'!$C$9:$R$257,9,FALSE))</f>
        <v/>
      </c>
      <c r="K70" s="175" t="str">
        <f>IF(J70="","",VLOOKUP($B70,'C-1 Site River Baseline'!$C$9:$R$257,10,FALSE))</f>
        <v/>
      </c>
      <c r="L70" s="175" t="str">
        <f>IF(B70="","",VLOOKUP($B70,'C-1 Site River Baseline'!$C$9:$R$257,15,FALSE))</f>
        <v/>
      </c>
      <c r="M70" s="176" t="str">
        <f>IF(L70="","",VLOOKUP($B70,'C-1 Site River Baseline'!$C$9:$R$257,16,FALSE))</f>
        <v/>
      </c>
      <c r="N70" s="639" t="str">
        <f t="shared" si="0"/>
        <v/>
      </c>
      <c r="O70" s="239" t="str">
        <f t="shared" si="2"/>
        <v/>
      </c>
      <c r="P70" s="172" t="str">
        <f>IF(C70="","",IF(AND(LEFT(C70,55)&lt;&gt;LEFT(N70,55),O70="High - High"),"Error - Not like for like",IF(AND(F70=S70,H70&gt;U70),"Error - Can not reduce condition",IF(AND(F70=S70,H70=U70,AJ70='C-1 Site River Baseline'!N68,'C-1 Site River Baseline'!P68=AL70),"Error - No enhancement",IF(AND(C70&lt;&gt;N70,F70&lt;S70),"Lower Distinctiveness Habitat"&amp;" - "&amp;T70,G70&amp;" - "&amp;T70)))))</f>
        <v/>
      </c>
      <c r="Q70" s="660" t="str">
        <f>IF(N70="","",VLOOKUP(B70,'C-1 Site River Baseline'!$C$10:$AA$257,19,FALSE))</f>
        <v/>
      </c>
      <c r="R70" s="171" t="str">
        <f>IF(N70="","",VLOOKUP(N70,'G-7 Rivers Data'!$B$2:$G$8,2,FALSE))</f>
        <v/>
      </c>
      <c r="S70" s="172" t="str">
        <f>IFERROR(VLOOKUP(R70,'G-7 Rivers Data'!$C$4:$D$8,2,FALSE),"")</f>
        <v/>
      </c>
      <c r="T70" s="173"/>
      <c r="U70" s="172" t="str">
        <f>IFERROR(INDEX('G-7 Rivers Data'!$H$4:$L$8,MATCH(N70,'G-7 Rivers Data'!$B$4:$B$8,0),MATCH(T70,'G-7 Rivers Data'!$H$3:$L$3,0)),"")</f>
        <v/>
      </c>
      <c r="V70" s="186"/>
      <c r="W70" s="175" t="str">
        <f>IF(V70="","",IF(VLOOKUP(V70,'G-7 Rivers Data'!$AG$4:$AI$9,2,FALSE)=0,"Spatial Data Missing",VLOOKUP(V70,'G-7 Rivers Data'!$AG$4:$AI$9,2,FALSE)))</f>
        <v/>
      </c>
      <c r="X70" s="176" t="str">
        <f>IF(V70="","",IF(VLOOKUP(V70,'G-7 Rivers Data'!$AG$4:$AI$9,3,FALSE)=0,"Spatial Data Missing",VLOOKUP(V70,'G-7 Rivers Data'!$AG$4:$AI$9,3,FALSE)))</f>
        <v/>
      </c>
      <c r="Y70" s="171" t="str">
        <f>IFERROR(IF(OR(LEFT(P70,5)="Error",LEFT(O70,5)="Error"),"Check Data",IF(F70&lt;S70,'G-7 Rivers Data'!$R$3,INDEX('G-7 Rivers Data'!$U$5:$Y$9,MATCH(G70,'G-7 Rivers Data'!$T$5:$T$9,0),MATCH(T70,'G-7 Rivers Data'!$U$4:$Y$4,0)))),"")</f>
        <v/>
      </c>
      <c r="Z70" s="261"/>
      <c r="AA70" s="261"/>
      <c r="AB70" s="179" t="str">
        <f t="shared" si="3"/>
        <v/>
      </c>
      <c r="AC70" s="262" t="str">
        <f t="shared" si="4"/>
        <v/>
      </c>
      <c r="AD70" s="382" t="str">
        <f>IFERROR(IF(AC70="Check Data","Check Data",VLOOKUP(AC70,'G-4 Temporal multipliers'!$A$4:$C$37,3,FALSE)),"")</f>
        <v/>
      </c>
      <c r="AE70" s="171" t="str">
        <f>IF(N70="","",VLOOKUP(N70,'G-7 Rivers Data'!$B$4:$G$8,5,FALSE))</f>
        <v/>
      </c>
      <c r="AF70" s="179" t="str">
        <f t="shared" si="5"/>
        <v/>
      </c>
      <c r="AG70" s="269" t="str">
        <f t="shared" si="6"/>
        <v/>
      </c>
      <c r="AH70" s="172" t="str">
        <f t="shared" si="1"/>
        <v/>
      </c>
      <c r="AI70" s="173"/>
      <c r="AJ70" s="172" t="str">
        <f>IF(AI70="","",IF(VLOOKUP(AI70,'G-7 Rivers Data'!$AA$4:$AB$7,2,FALSE)=0,"Spatial Data Missing",VLOOKUP(AI70,'G-7 Rivers Data'!$AA$4:$AB$7,2,FALSE)))</f>
        <v/>
      </c>
      <c r="AK70" s="187"/>
      <c r="AL70" s="172" t="str">
        <f>IF(AK70="","",IF(VLOOKUP(AK70,'G-7 Rivers Data'!$AD$4:$AE$8,2,FALSE)=0,"Spatial Data Missing",VLOOKUP(AK70,'G-7 Rivers Data'!$AD$4:$AE$8,2,FALSE)))</f>
        <v/>
      </c>
      <c r="AM70" s="265" t="str">
        <f t="shared" si="7"/>
        <v/>
      </c>
      <c r="AN70" s="180"/>
      <c r="AO70" s="181"/>
      <c r="AV70" s="35" t="str">
        <f>IFERROR(INDEX('G-7 Rivers Data'!$AZ$3:$AZ$7,MATCH(N70,'G-7 Rivers Data'!$AY$3:$AY$7,0)),"")</f>
        <v/>
      </c>
    </row>
    <row r="71" spans="2:48" ht="13.8" x14ac:dyDescent="0.25">
      <c r="B71" s="259" t="str">
        <f>'C-1 Site River Baseline'!AN69</f>
        <v/>
      </c>
      <c r="C71" s="175" t="str">
        <f>IF(B71="","",VLOOKUP($B71,'C-1 Site River Baseline'!$C$9:$R$257,2,FALSE))</f>
        <v/>
      </c>
      <c r="D71" s="175" t="str">
        <f>IF(C71="","",VLOOKUP($B71,'C-1 Site River Baseline'!$C$9:$R$257,3,FALSE))</f>
        <v/>
      </c>
      <c r="E71" s="175" t="str">
        <f>IF(D71="","",VLOOKUP($B71,'C-1 Site River Baseline'!$C$9:$R$257,4,FALSE))</f>
        <v/>
      </c>
      <c r="F71" s="175" t="str">
        <f>IF(E71="","",VLOOKUP($B71,'C-1 Site River Baseline'!$C$9:$R$257,5,FALSE))</f>
        <v/>
      </c>
      <c r="G71" s="175" t="str">
        <f>IF(F71="","",VLOOKUP($B71,'C-1 Site River Baseline'!$C$9:$R$257,6,FALSE))</f>
        <v/>
      </c>
      <c r="H71" s="175" t="str">
        <f>IF(G71="","",VLOOKUP($B71,'C-1 Site River Baseline'!$C$9:$R$257,7,FALSE))</f>
        <v/>
      </c>
      <c r="I71" s="175" t="str">
        <f>IF(H71="","",VLOOKUP($B71,'C-1 Site River Baseline'!$C$9:$R$257,8,FALSE))</f>
        <v/>
      </c>
      <c r="J71" s="175" t="str">
        <f>IF(I71="","",VLOOKUP($B71,'C-1 Site River Baseline'!$C$9:$R$257,9,FALSE))</f>
        <v/>
      </c>
      <c r="K71" s="175" t="str">
        <f>IF(J71="","",VLOOKUP($B71,'C-1 Site River Baseline'!$C$9:$R$257,10,FALSE))</f>
        <v/>
      </c>
      <c r="L71" s="175" t="str">
        <f>IF(B71="","",VLOOKUP($B71,'C-1 Site River Baseline'!$C$9:$R$257,15,FALSE))</f>
        <v/>
      </c>
      <c r="M71" s="176" t="str">
        <f>IF(L71="","",VLOOKUP($B71,'C-1 Site River Baseline'!$C$9:$R$257,16,FALSE))</f>
        <v/>
      </c>
      <c r="N71" s="639" t="str">
        <f t="shared" si="0"/>
        <v/>
      </c>
      <c r="O71" s="239" t="str">
        <f t="shared" si="2"/>
        <v/>
      </c>
      <c r="P71" s="172" t="str">
        <f>IF(C71="","",IF(AND(LEFT(C71,55)&lt;&gt;LEFT(N71,55),O71="High - High"),"Error - Not like for like",IF(AND(F71=S71,H71&gt;U71),"Error - Can not reduce condition",IF(AND(F71=S71,H71=U71,AJ71='C-1 Site River Baseline'!N69,'C-1 Site River Baseline'!P69=AL71),"Error - No enhancement",IF(AND(C71&lt;&gt;N71,F71&lt;S71),"Lower Distinctiveness Habitat"&amp;" - "&amp;T71,G71&amp;" - "&amp;T71)))))</f>
        <v/>
      </c>
      <c r="Q71" s="660" t="str">
        <f>IF(N71="","",VLOOKUP(B71,'C-1 Site River Baseline'!$C$10:$AA$257,19,FALSE))</f>
        <v/>
      </c>
      <c r="R71" s="171" t="str">
        <f>IF(N71="","",VLOOKUP(N71,'G-7 Rivers Data'!$B$2:$G$8,2,FALSE))</f>
        <v/>
      </c>
      <c r="S71" s="172" t="str">
        <f>IFERROR(VLOOKUP(R71,'G-7 Rivers Data'!$C$4:$D$8,2,FALSE),"")</f>
        <v/>
      </c>
      <c r="T71" s="173"/>
      <c r="U71" s="172" t="str">
        <f>IFERROR(INDEX('G-7 Rivers Data'!$H$4:$L$8,MATCH(N71,'G-7 Rivers Data'!$B$4:$B$8,0),MATCH(T71,'G-7 Rivers Data'!$H$3:$L$3,0)),"")</f>
        <v/>
      </c>
      <c r="V71" s="186"/>
      <c r="W71" s="175" t="str">
        <f>IF(V71="","",IF(VLOOKUP(V71,'G-7 Rivers Data'!$AG$4:$AI$9,2,FALSE)=0,"Spatial Data Missing",VLOOKUP(V71,'G-7 Rivers Data'!$AG$4:$AI$9,2,FALSE)))</f>
        <v/>
      </c>
      <c r="X71" s="176" t="str">
        <f>IF(V71="","",IF(VLOOKUP(V71,'G-7 Rivers Data'!$AG$4:$AI$9,3,FALSE)=0,"Spatial Data Missing",VLOOKUP(V71,'G-7 Rivers Data'!$AG$4:$AI$9,3,FALSE)))</f>
        <v/>
      </c>
      <c r="Y71" s="171" t="str">
        <f>IFERROR(IF(OR(LEFT(P71,5)="Error",LEFT(O71,5)="Error"),"Check Data",IF(F71&lt;S71,'G-7 Rivers Data'!$R$3,INDEX('G-7 Rivers Data'!$U$5:$Y$9,MATCH(G71,'G-7 Rivers Data'!$T$5:$T$9,0),MATCH(T71,'G-7 Rivers Data'!$U$4:$Y$4,0)))),"")</f>
        <v/>
      </c>
      <c r="Z71" s="261"/>
      <c r="AA71" s="261"/>
      <c r="AB71" s="179" t="str">
        <f t="shared" si="3"/>
        <v/>
      </c>
      <c r="AC71" s="262" t="str">
        <f t="shared" si="4"/>
        <v/>
      </c>
      <c r="AD71" s="382" t="str">
        <f>IFERROR(IF(AC71="Check Data","Check Data",VLOOKUP(AC71,'G-4 Temporal multipliers'!$A$4:$C$37,3,FALSE)),"")</f>
        <v/>
      </c>
      <c r="AE71" s="171" t="str">
        <f>IF(N71="","",VLOOKUP(N71,'G-7 Rivers Data'!$B$4:$G$8,5,FALSE))</f>
        <v/>
      </c>
      <c r="AF71" s="179" t="str">
        <f t="shared" si="5"/>
        <v/>
      </c>
      <c r="AG71" s="269" t="str">
        <f t="shared" si="6"/>
        <v/>
      </c>
      <c r="AH71" s="172" t="str">
        <f t="shared" si="1"/>
        <v/>
      </c>
      <c r="AI71" s="173"/>
      <c r="AJ71" s="172" t="str">
        <f>IF(AI71="","",IF(VLOOKUP(AI71,'G-7 Rivers Data'!$AA$4:$AB$7,2,FALSE)=0,"Spatial Data Missing",VLOOKUP(AI71,'G-7 Rivers Data'!$AA$4:$AB$7,2,FALSE)))</f>
        <v/>
      </c>
      <c r="AK71" s="187"/>
      <c r="AL71" s="172" t="str">
        <f>IF(AK71="","",IF(VLOOKUP(AK71,'G-7 Rivers Data'!$AD$4:$AE$8,2,FALSE)=0,"Spatial Data Missing",VLOOKUP(AK71,'G-7 Rivers Data'!$AD$4:$AE$8,2,FALSE)))</f>
        <v/>
      </c>
      <c r="AM71" s="265" t="str">
        <f t="shared" si="7"/>
        <v/>
      </c>
      <c r="AN71" s="180"/>
      <c r="AO71" s="181"/>
      <c r="AV71" s="35" t="str">
        <f>IFERROR(INDEX('G-7 Rivers Data'!$AZ$3:$AZ$7,MATCH(N71,'G-7 Rivers Data'!$AY$3:$AY$7,0)),"")</f>
        <v/>
      </c>
    </row>
    <row r="72" spans="2:48" ht="13.8" x14ac:dyDescent="0.25">
      <c r="B72" s="259" t="str">
        <f>'C-1 Site River Baseline'!AN70</f>
        <v/>
      </c>
      <c r="C72" s="175" t="str">
        <f>IF(B72="","",VLOOKUP($B72,'C-1 Site River Baseline'!$C$9:$R$257,2,FALSE))</f>
        <v/>
      </c>
      <c r="D72" s="175" t="str">
        <f>IF(C72="","",VLOOKUP($B72,'C-1 Site River Baseline'!$C$9:$R$257,3,FALSE))</f>
        <v/>
      </c>
      <c r="E72" s="175" t="str">
        <f>IF(D72="","",VLOOKUP($B72,'C-1 Site River Baseline'!$C$9:$R$257,4,FALSE))</f>
        <v/>
      </c>
      <c r="F72" s="175" t="str">
        <f>IF(E72="","",VLOOKUP($B72,'C-1 Site River Baseline'!$C$9:$R$257,5,FALSE))</f>
        <v/>
      </c>
      <c r="G72" s="175" t="str">
        <f>IF(F72="","",VLOOKUP($B72,'C-1 Site River Baseline'!$C$9:$R$257,6,FALSE))</f>
        <v/>
      </c>
      <c r="H72" s="175" t="str">
        <f>IF(G72="","",VLOOKUP($B72,'C-1 Site River Baseline'!$C$9:$R$257,7,FALSE))</f>
        <v/>
      </c>
      <c r="I72" s="175" t="str">
        <f>IF(H72="","",VLOOKUP($B72,'C-1 Site River Baseline'!$C$9:$R$257,8,FALSE))</f>
        <v/>
      </c>
      <c r="J72" s="175" t="str">
        <f>IF(I72="","",VLOOKUP($B72,'C-1 Site River Baseline'!$C$9:$R$257,9,FALSE))</f>
        <v/>
      </c>
      <c r="K72" s="175" t="str">
        <f>IF(J72="","",VLOOKUP($B72,'C-1 Site River Baseline'!$C$9:$R$257,10,FALSE))</f>
        <v/>
      </c>
      <c r="L72" s="175" t="str">
        <f>IF(B72="","",VLOOKUP($B72,'C-1 Site River Baseline'!$C$9:$R$257,15,FALSE))</f>
        <v/>
      </c>
      <c r="M72" s="176" t="str">
        <f>IF(L72="","",VLOOKUP($B72,'C-1 Site River Baseline'!$C$9:$R$257,16,FALSE))</f>
        <v/>
      </c>
      <c r="N72" s="639" t="str">
        <f t="shared" si="0"/>
        <v/>
      </c>
      <c r="O72" s="239" t="str">
        <f t="shared" si="2"/>
        <v/>
      </c>
      <c r="P72" s="172" t="str">
        <f>IF(C72="","",IF(AND(LEFT(C72,55)&lt;&gt;LEFT(N72,55),O72="High - High"),"Error - Not like for like",IF(AND(F72=S72,H72&gt;U72),"Error - Can not reduce condition",IF(AND(F72=S72,H72=U72,AJ72='C-1 Site River Baseline'!N70,'C-1 Site River Baseline'!P70=AL72),"Error - No enhancement",IF(AND(C72&lt;&gt;N72,F72&lt;S72),"Lower Distinctiveness Habitat"&amp;" - "&amp;T72,G72&amp;" - "&amp;T72)))))</f>
        <v/>
      </c>
      <c r="Q72" s="660" t="str">
        <f>IF(N72="","",VLOOKUP(B72,'C-1 Site River Baseline'!$C$10:$AA$257,19,FALSE))</f>
        <v/>
      </c>
      <c r="R72" s="171" t="str">
        <f>IF(N72="","",VLOOKUP(N72,'G-7 Rivers Data'!$B$2:$G$8,2,FALSE))</f>
        <v/>
      </c>
      <c r="S72" s="172" t="str">
        <f>IFERROR(VLOOKUP(R72,'G-7 Rivers Data'!$C$4:$D$8,2,FALSE),"")</f>
        <v/>
      </c>
      <c r="T72" s="173"/>
      <c r="U72" s="172" t="str">
        <f>IFERROR(INDEX('G-7 Rivers Data'!$H$4:$L$8,MATCH(N72,'G-7 Rivers Data'!$B$4:$B$8,0),MATCH(T72,'G-7 Rivers Data'!$H$3:$L$3,0)),"")</f>
        <v/>
      </c>
      <c r="V72" s="186"/>
      <c r="W72" s="175" t="str">
        <f>IF(V72="","",IF(VLOOKUP(V72,'G-7 Rivers Data'!$AG$4:$AI$9,2,FALSE)=0,"Spatial Data Missing",VLOOKUP(V72,'G-7 Rivers Data'!$AG$4:$AI$9,2,FALSE)))</f>
        <v/>
      </c>
      <c r="X72" s="176" t="str">
        <f>IF(V72="","",IF(VLOOKUP(V72,'G-7 Rivers Data'!$AG$4:$AI$9,3,FALSE)=0,"Spatial Data Missing",VLOOKUP(V72,'G-7 Rivers Data'!$AG$4:$AI$9,3,FALSE)))</f>
        <v/>
      </c>
      <c r="Y72" s="171" t="str">
        <f>IFERROR(IF(OR(LEFT(P72,5)="Error",LEFT(O72,5)="Error"),"Check Data",IF(F72&lt;S72,'G-7 Rivers Data'!$R$3,INDEX('G-7 Rivers Data'!$U$5:$Y$9,MATCH(G72,'G-7 Rivers Data'!$T$5:$T$9,0),MATCH(T72,'G-7 Rivers Data'!$U$4:$Y$4,0)))),"")</f>
        <v/>
      </c>
      <c r="Z72" s="261"/>
      <c r="AA72" s="261"/>
      <c r="AB72" s="179" t="str">
        <f t="shared" si="3"/>
        <v/>
      </c>
      <c r="AC72" s="262" t="str">
        <f t="shared" si="4"/>
        <v/>
      </c>
      <c r="AD72" s="382" t="str">
        <f>IFERROR(IF(AC72="Check Data","Check Data",VLOOKUP(AC72,'G-4 Temporal multipliers'!$A$4:$C$37,3,FALSE)),"")</f>
        <v/>
      </c>
      <c r="AE72" s="171" t="str">
        <f>IF(N72="","",VLOOKUP(N72,'G-7 Rivers Data'!$B$4:$G$8,5,FALSE))</f>
        <v/>
      </c>
      <c r="AF72" s="179" t="str">
        <f t="shared" si="5"/>
        <v/>
      </c>
      <c r="AG72" s="269" t="str">
        <f t="shared" si="6"/>
        <v/>
      </c>
      <c r="AH72" s="172" t="str">
        <f t="shared" si="1"/>
        <v/>
      </c>
      <c r="AI72" s="173"/>
      <c r="AJ72" s="172" t="str">
        <f>IF(AI72="","",IF(VLOOKUP(AI72,'G-7 Rivers Data'!$AA$4:$AB$7,2,FALSE)=0,"Spatial Data Missing",VLOOKUP(AI72,'G-7 Rivers Data'!$AA$4:$AB$7,2,FALSE)))</f>
        <v/>
      </c>
      <c r="AK72" s="187"/>
      <c r="AL72" s="172" t="str">
        <f>IF(AK72="","",IF(VLOOKUP(AK72,'G-7 Rivers Data'!$AD$4:$AE$8,2,FALSE)=0,"Spatial Data Missing",VLOOKUP(AK72,'G-7 Rivers Data'!$AD$4:$AE$8,2,FALSE)))</f>
        <v/>
      </c>
      <c r="AM72" s="265" t="str">
        <f t="shared" si="7"/>
        <v/>
      </c>
      <c r="AN72" s="180"/>
      <c r="AO72" s="181"/>
      <c r="AV72" s="35" t="str">
        <f>IFERROR(INDEX('G-7 Rivers Data'!$AZ$3:$AZ$7,MATCH(N72,'G-7 Rivers Data'!$AY$3:$AY$7,0)),"")</f>
        <v/>
      </c>
    </row>
    <row r="73" spans="2:48" ht="13.8" x14ac:dyDescent="0.25">
      <c r="B73" s="259" t="str">
        <f>'C-1 Site River Baseline'!AN71</f>
        <v/>
      </c>
      <c r="C73" s="175" t="str">
        <f>IF(B73="","",VLOOKUP($B73,'C-1 Site River Baseline'!$C$9:$R$257,2,FALSE))</f>
        <v/>
      </c>
      <c r="D73" s="175" t="str">
        <f>IF(C73="","",VLOOKUP($B73,'C-1 Site River Baseline'!$C$9:$R$257,3,FALSE))</f>
        <v/>
      </c>
      <c r="E73" s="175" t="str">
        <f>IF(D73="","",VLOOKUP($B73,'C-1 Site River Baseline'!$C$9:$R$257,4,FALSE))</f>
        <v/>
      </c>
      <c r="F73" s="175" t="str">
        <f>IF(E73="","",VLOOKUP($B73,'C-1 Site River Baseline'!$C$9:$R$257,5,FALSE))</f>
        <v/>
      </c>
      <c r="G73" s="175" t="str">
        <f>IF(F73="","",VLOOKUP($B73,'C-1 Site River Baseline'!$C$9:$R$257,6,FALSE))</f>
        <v/>
      </c>
      <c r="H73" s="175" t="str">
        <f>IF(G73="","",VLOOKUP($B73,'C-1 Site River Baseline'!$C$9:$R$257,7,FALSE))</f>
        <v/>
      </c>
      <c r="I73" s="175" t="str">
        <f>IF(H73="","",VLOOKUP($B73,'C-1 Site River Baseline'!$C$9:$R$257,8,FALSE))</f>
        <v/>
      </c>
      <c r="J73" s="175" t="str">
        <f>IF(I73="","",VLOOKUP($B73,'C-1 Site River Baseline'!$C$9:$R$257,9,FALSE))</f>
        <v/>
      </c>
      <c r="K73" s="175" t="str">
        <f>IF(J73="","",VLOOKUP($B73,'C-1 Site River Baseline'!$C$9:$R$257,10,FALSE))</f>
        <v/>
      </c>
      <c r="L73" s="175" t="str">
        <f>IF(B73="","",VLOOKUP($B73,'C-1 Site River Baseline'!$C$9:$R$257,15,FALSE))</f>
        <v/>
      </c>
      <c r="M73" s="176" t="str">
        <f>IF(L73="","",VLOOKUP($B73,'C-1 Site River Baseline'!$C$9:$R$257,16,FALSE))</f>
        <v/>
      </c>
      <c r="N73" s="639" t="str">
        <f t="shared" si="0"/>
        <v/>
      </c>
      <c r="O73" s="239" t="str">
        <f t="shared" si="2"/>
        <v/>
      </c>
      <c r="P73" s="172" t="str">
        <f>IF(C73="","",IF(AND(LEFT(C73,55)&lt;&gt;LEFT(N73,55),O73="High - High"),"Error - Not like for like",IF(AND(F73=S73,H73&gt;U73),"Error - Can not reduce condition",IF(AND(F73=S73,H73=U73,AJ73='C-1 Site River Baseline'!N71,'C-1 Site River Baseline'!P71=AL73),"Error - No enhancement",IF(AND(C73&lt;&gt;N73,F73&lt;S73),"Lower Distinctiveness Habitat"&amp;" - "&amp;T73,G73&amp;" - "&amp;T73)))))</f>
        <v/>
      </c>
      <c r="Q73" s="660" t="str">
        <f>IF(N73="","",VLOOKUP(B73,'C-1 Site River Baseline'!$C$10:$AA$257,19,FALSE))</f>
        <v/>
      </c>
      <c r="R73" s="171" t="str">
        <f>IF(N73="","",VLOOKUP(N73,'G-7 Rivers Data'!$B$2:$G$8,2,FALSE))</f>
        <v/>
      </c>
      <c r="S73" s="172" t="str">
        <f>IFERROR(VLOOKUP(R73,'G-7 Rivers Data'!$C$4:$D$8,2,FALSE),"")</f>
        <v/>
      </c>
      <c r="T73" s="173"/>
      <c r="U73" s="172" t="str">
        <f>IFERROR(INDEX('G-7 Rivers Data'!$H$4:$L$8,MATCH(N73,'G-7 Rivers Data'!$B$4:$B$8,0),MATCH(T73,'G-7 Rivers Data'!$H$3:$L$3,0)),"")</f>
        <v/>
      </c>
      <c r="V73" s="186"/>
      <c r="W73" s="175" t="str">
        <f>IF(V73="","",IF(VLOOKUP(V73,'G-7 Rivers Data'!$AG$4:$AI$9,2,FALSE)=0,"Spatial Data Missing",VLOOKUP(V73,'G-7 Rivers Data'!$AG$4:$AI$9,2,FALSE)))</f>
        <v/>
      </c>
      <c r="X73" s="176" t="str">
        <f>IF(V73="","",IF(VLOOKUP(V73,'G-7 Rivers Data'!$AG$4:$AI$9,3,FALSE)=0,"Spatial Data Missing",VLOOKUP(V73,'G-7 Rivers Data'!$AG$4:$AI$9,3,FALSE)))</f>
        <v/>
      </c>
      <c r="Y73" s="171" t="str">
        <f>IFERROR(IF(OR(LEFT(P73,5)="Error",LEFT(O73,5)="Error"),"Check Data",IF(F73&lt;S73,'G-7 Rivers Data'!$R$3,INDEX('G-7 Rivers Data'!$U$5:$Y$9,MATCH(G73,'G-7 Rivers Data'!$T$5:$T$9,0),MATCH(T73,'G-7 Rivers Data'!$U$4:$Y$4,0)))),"")</f>
        <v/>
      </c>
      <c r="Z73" s="261"/>
      <c r="AA73" s="261"/>
      <c r="AB73" s="179" t="str">
        <f t="shared" si="3"/>
        <v/>
      </c>
      <c r="AC73" s="262" t="str">
        <f t="shared" si="4"/>
        <v/>
      </c>
      <c r="AD73" s="382" t="str">
        <f>IFERROR(IF(AC73="Check Data","Check Data",VLOOKUP(AC73,'G-4 Temporal multipliers'!$A$4:$C$37,3,FALSE)),"")</f>
        <v/>
      </c>
      <c r="AE73" s="171" t="str">
        <f>IF(N73="","",VLOOKUP(N73,'G-7 Rivers Data'!$B$4:$G$8,5,FALSE))</f>
        <v/>
      </c>
      <c r="AF73" s="179" t="str">
        <f t="shared" si="5"/>
        <v/>
      </c>
      <c r="AG73" s="269" t="str">
        <f t="shared" si="6"/>
        <v/>
      </c>
      <c r="AH73" s="172" t="str">
        <f t="shared" si="1"/>
        <v/>
      </c>
      <c r="AI73" s="173"/>
      <c r="AJ73" s="172" t="str">
        <f>IF(AI73="","",IF(VLOOKUP(AI73,'G-7 Rivers Data'!$AA$4:$AB$7,2,FALSE)=0,"Spatial Data Missing",VLOOKUP(AI73,'G-7 Rivers Data'!$AA$4:$AB$7,2,FALSE)))</f>
        <v/>
      </c>
      <c r="AK73" s="187"/>
      <c r="AL73" s="172" t="str">
        <f>IF(AK73="","",IF(VLOOKUP(AK73,'G-7 Rivers Data'!$AD$4:$AE$8,2,FALSE)=0,"Spatial Data Missing",VLOOKUP(AK73,'G-7 Rivers Data'!$AD$4:$AE$8,2,FALSE)))</f>
        <v/>
      </c>
      <c r="AM73" s="265" t="str">
        <f t="shared" si="7"/>
        <v/>
      </c>
      <c r="AN73" s="180"/>
      <c r="AO73" s="181"/>
      <c r="AV73" s="35" t="str">
        <f>IFERROR(INDEX('G-7 Rivers Data'!$AZ$3:$AZ$7,MATCH(N73,'G-7 Rivers Data'!$AY$3:$AY$7,0)),"")</f>
        <v/>
      </c>
    </row>
    <row r="74" spans="2:48" ht="13.8" x14ac:dyDescent="0.25">
      <c r="B74" s="259" t="str">
        <f>'C-1 Site River Baseline'!AN72</f>
        <v/>
      </c>
      <c r="C74" s="175" t="str">
        <f>IF(B74="","",VLOOKUP($B74,'C-1 Site River Baseline'!$C$9:$R$257,2,FALSE))</f>
        <v/>
      </c>
      <c r="D74" s="175" t="str">
        <f>IF(C74="","",VLOOKUP($B74,'C-1 Site River Baseline'!$C$9:$R$257,3,FALSE))</f>
        <v/>
      </c>
      <c r="E74" s="175" t="str">
        <f>IF(D74="","",VLOOKUP($B74,'C-1 Site River Baseline'!$C$9:$R$257,4,FALSE))</f>
        <v/>
      </c>
      <c r="F74" s="175" t="str">
        <f>IF(E74="","",VLOOKUP($B74,'C-1 Site River Baseline'!$C$9:$R$257,5,FALSE))</f>
        <v/>
      </c>
      <c r="G74" s="175" t="str">
        <f>IF(F74="","",VLOOKUP($B74,'C-1 Site River Baseline'!$C$9:$R$257,6,FALSE))</f>
        <v/>
      </c>
      <c r="H74" s="175" t="str">
        <f>IF(G74="","",VLOOKUP($B74,'C-1 Site River Baseline'!$C$9:$R$257,7,FALSE))</f>
        <v/>
      </c>
      <c r="I74" s="175" t="str">
        <f>IF(H74="","",VLOOKUP($B74,'C-1 Site River Baseline'!$C$9:$R$257,8,FALSE))</f>
        <v/>
      </c>
      <c r="J74" s="175" t="str">
        <f>IF(I74="","",VLOOKUP($B74,'C-1 Site River Baseline'!$C$9:$R$257,9,FALSE))</f>
        <v/>
      </c>
      <c r="K74" s="175" t="str">
        <f>IF(J74="","",VLOOKUP($B74,'C-1 Site River Baseline'!$C$9:$R$257,10,FALSE))</f>
        <v/>
      </c>
      <c r="L74" s="175" t="str">
        <f>IF(B74="","",VLOOKUP($B74,'C-1 Site River Baseline'!$C$9:$R$257,15,FALSE))</f>
        <v/>
      </c>
      <c r="M74" s="176" t="str">
        <f>IF(L74="","",VLOOKUP($B74,'C-1 Site River Baseline'!$C$9:$R$257,16,FALSE))</f>
        <v/>
      </c>
      <c r="N74" s="639" t="str">
        <f t="shared" si="0"/>
        <v/>
      </c>
      <c r="O74" s="239" t="str">
        <f t="shared" si="2"/>
        <v/>
      </c>
      <c r="P74" s="172" t="str">
        <f>IF(C74="","",IF(AND(LEFT(C74,55)&lt;&gt;LEFT(N74,55),O74="High - High"),"Error - Not like for like",IF(AND(F74=S74,H74&gt;U74),"Error - Can not reduce condition",IF(AND(F74=S74,H74=U74,AJ74='C-1 Site River Baseline'!N72,'C-1 Site River Baseline'!P72=AL74),"Error - No enhancement",IF(AND(C74&lt;&gt;N74,F74&lt;S74),"Lower Distinctiveness Habitat"&amp;" - "&amp;T74,G74&amp;" - "&amp;T74)))))</f>
        <v/>
      </c>
      <c r="Q74" s="660" t="str">
        <f>IF(N74="","",VLOOKUP(B74,'C-1 Site River Baseline'!$C$10:$AA$257,19,FALSE))</f>
        <v/>
      </c>
      <c r="R74" s="171" t="str">
        <f>IF(N74="","",VLOOKUP(N74,'G-7 Rivers Data'!$B$2:$G$8,2,FALSE))</f>
        <v/>
      </c>
      <c r="S74" s="172" t="str">
        <f>IFERROR(VLOOKUP(R74,'G-7 Rivers Data'!$C$4:$D$8,2,FALSE),"")</f>
        <v/>
      </c>
      <c r="T74" s="173"/>
      <c r="U74" s="172" t="str">
        <f>IFERROR(INDEX('G-7 Rivers Data'!$H$4:$L$8,MATCH(N74,'G-7 Rivers Data'!$B$4:$B$8,0),MATCH(T74,'G-7 Rivers Data'!$H$3:$L$3,0)),"")</f>
        <v/>
      </c>
      <c r="V74" s="186"/>
      <c r="W74" s="175" t="str">
        <f>IF(V74="","",IF(VLOOKUP(V74,'G-7 Rivers Data'!$AG$4:$AI$9,2,FALSE)=0,"Spatial Data Missing",VLOOKUP(V74,'G-7 Rivers Data'!$AG$4:$AI$9,2,FALSE)))</f>
        <v/>
      </c>
      <c r="X74" s="176" t="str">
        <f>IF(V74="","",IF(VLOOKUP(V74,'G-7 Rivers Data'!$AG$4:$AI$9,3,FALSE)=0,"Spatial Data Missing",VLOOKUP(V74,'G-7 Rivers Data'!$AG$4:$AI$9,3,FALSE)))</f>
        <v/>
      </c>
      <c r="Y74" s="171" t="str">
        <f>IFERROR(IF(OR(LEFT(P74,5)="Error",LEFT(O74,5)="Error"),"Check Data",IF(F74&lt;S74,'G-7 Rivers Data'!$R$3,INDEX('G-7 Rivers Data'!$U$5:$Y$9,MATCH(G74,'G-7 Rivers Data'!$T$5:$T$9,0),MATCH(T74,'G-7 Rivers Data'!$U$4:$Y$4,0)))),"")</f>
        <v/>
      </c>
      <c r="Z74" s="261"/>
      <c r="AA74" s="261"/>
      <c r="AB74" s="179" t="str">
        <f t="shared" si="3"/>
        <v/>
      </c>
      <c r="AC74" s="262" t="str">
        <f t="shared" si="4"/>
        <v/>
      </c>
      <c r="AD74" s="382" t="str">
        <f>IFERROR(IF(AC74="Check Data","Check Data",VLOOKUP(AC74,'G-4 Temporal multipliers'!$A$4:$C$37,3,FALSE)),"")</f>
        <v/>
      </c>
      <c r="AE74" s="171" t="str">
        <f>IF(N74="","",VLOOKUP(N74,'G-7 Rivers Data'!$B$4:$G$8,5,FALSE))</f>
        <v/>
      </c>
      <c r="AF74" s="179" t="str">
        <f t="shared" si="5"/>
        <v/>
      </c>
      <c r="AG74" s="269" t="str">
        <f t="shared" si="6"/>
        <v/>
      </c>
      <c r="AH74" s="172" t="str">
        <f t="shared" si="1"/>
        <v/>
      </c>
      <c r="AI74" s="173"/>
      <c r="AJ74" s="172" t="str">
        <f>IF(AI74="","",IF(VLOOKUP(AI74,'G-7 Rivers Data'!$AA$4:$AB$7,2,FALSE)=0,"Spatial Data Missing",VLOOKUP(AI74,'G-7 Rivers Data'!$AA$4:$AB$7,2,FALSE)))</f>
        <v/>
      </c>
      <c r="AK74" s="187"/>
      <c r="AL74" s="172" t="str">
        <f>IF(AK74="","",IF(VLOOKUP(AK74,'G-7 Rivers Data'!$AD$4:$AE$8,2,FALSE)=0,"Spatial Data Missing",VLOOKUP(AK74,'G-7 Rivers Data'!$AD$4:$AE$8,2,FALSE)))</f>
        <v/>
      </c>
      <c r="AM74" s="265" t="str">
        <f t="shared" si="7"/>
        <v/>
      </c>
      <c r="AN74" s="180"/>
      <c r="AO74" s="181"/>
      <c r="AV74" s="35" t="str">
        <f>IFERROR(INDEX('G-7 Rivers Data'!$AZ$3:$AZ$7,MATCH(N74,'G-7 Rivers Data'!$AY$3:$AY$7,0)),"")</f>
        <v/>
      </c>
    </row>
    <row r="75" spans="2:48" ht="13.8" x14ac:dyDescent="0.25">
      <c r="B75" s="259" t="str">
        <f>'C-1 Site River Baseline'!AN73</f>
        <v/>
      </c>
      <c r="C75" s="175" t="str">
        <f>IF(B75="","",VLOOKUP($B75,'C-1 Site River Baseline'!$C$9:$R$257,2,FALSE))</f>
        <v/>
      </c>
      <c r="D75" s="175" t="str">
        <f>IF(C75="","",VLOOKUP($B75,'C-1 Site River Baseline'!$C$9:$R$257,3,FALSE))</f>
        <v/>
      </c>
      <c r="E75" s="175" t="str">
        <f>IF(D75="","",VLOOKUP($B75,'C-1 Site River Baseline'!$C$9:$R$257,4,FALSE))</f>
        <v/>
      </c>
      <c r="F75" s="175" t="str">
        <f>IF(E75="","",VLOOKUP($B75,'C-1 Site River Baseline'!$C$9:$R$257,5,FALSE))</f>
        <v/>
      </c>
      <c r="G75" s="175" t="str">
        <f>IF(F75="","",VLOOKUP($B75,'C-1 Site River Baseline'!$C$9:$R$257,6,FALSE))</f>
        <v/>
      </c>
      <c r="H75" s="175" t="str">
        <f>IF(G75="","",VLOOKUP($B75,'C-1 Site River Baseline'!$C$9:$R$257,7,FALSE))</f>
        <v/>
      </c>
      <c r="I75" s="175" t="str">
        <f>IF(H75="","",VLOOKUP($B75,'C-1 Site River Baseline'!$C$9:$R$257,8,FALSE))</f>
        <v/>
      </c>
      <c r="J75" s="175" t="str">
        <f>IF(I75="","",VLOOKUP($B75,'C-1 Site River Baseline'!$C$9:$R$257,9,FALSE))</f>
        <v/>
      </c>
      <c r="K75" s="175" t="str">
        <f>IF(J75="","",VLOOKUP($B75,'C-1 Site River Baseline'!$C$9:$R$257,10,FALSE))</f>
        <v/>
      </c>
      <c r="L75" s="175" t="str">
        <f>IF(B75="","",VLOOKUP($B75,'C-1 Site River Baseline'!$C$9:$R$257,15,FALSE))</f>
        <v/>
      </c>
      <c r="M75" s="176" t="str">
        <f>IF(L75="","",VLOOKUP($B75,'C-1 Site River Baseline'!$C$9:$R$257,16,FALSE))</f>
        <v/>
      </c>
      <c r="N75" s="639" t="str">
        <f t="shared" si="0"/>
        <v/>
      </c>
      <c r="O75" s="239" t="str">
        <f t="shared" si="2"/>
        <v/>
      </c>
      <c r="P75" s="172" t="str">
        <f>IF(C75="","",IF(AND(LEFT(C75,55)&lt;&gt;LEFT(N75,55),O75="High - High"),"Error - Not like for like",IF(AND(F75=S75,H75&gt;U75),"Error - Can not reduce condition",IF(AND(F75=S75,H75=U75,AJ75='C-1 Site River Baseline'!N73,'C-1 Site River Baseline'!P73=AL75),"Error - No enhancement",IF(AND(C75&lt;&gt;N75,F75&lt;S75),"Lower Distinctiveness Habitat"&amp;" - "&amp;T75,G75&amp;" - "&amp;T75)))))</f>
        <v/>
      </c>
      <c r="Q75" s="660" t="str">
        <f>IF(N75="","",VLOOKUP(B75,'C-1 Site River Baseline'!$C$10:$AA$257,19,FALSE))</f>
        <v/>
      </c>
      <c r="R75" s="171" t="str">
        <f>IF(N75="","",VLOOKUP(N75,'G-7 Rivers Data'!$B$2:$G$8,2,FALSE))</f>
        <v/>
      </c>
      <c r="S75" s="172" t="str">
        <f>IFERROR(VLOOKUP(R75,'G-7 Rivers Data'!$C$4:$D$8,2,FALSE),"")</f>
        <v/>
      </c>
      <c r="T75" s="173"/>
      <c r="U75" s="172" t="str">
        <f>IFERROR(INDEX('G-7 Rivers Data'!$H$4:$L$8,MATCH(N75,'G-7 Rivers Data'!$B$4:$B$8,0),MATCH(T75,'G-7 Rivers Data'!$H$3:$L$3,0)),"")</f>
        <v/>
      </c>
      <c r="V75" s="186"/>
      <c r="W75" s="175" t="str">
        <f>IF(V75="","",IF(VLOOKUP(V75,'G-7 Rivers Data'!$AG$4:$AI$9,2,FALSE)=0,"Spatial Data Missing",VLOOKUP(V75,'G-7 Rivers Data'!$AG$4:$AI$9,2,FALSE)))</f>
        <v/>
      </c>
      <c r="X75" s="176" t="str">
        <f>IF(V75="","",IF(VLOOKUP(V75,'G-7 Rivers Data'!$AG$4:$AI$9,3,FALSE)=0,"Spatial Data Missing",VLOOKUP(V75,'G-7 Rivers Data'!$AG$4:$AI$9,3,FALSE)))</f>
        <v/>
      </c>
      <c r="Y75" s="171" t="str">
        <f>IFERROR(IF(OR(LEFT(P75,5)="Error",LEFT(O75,5)="Error"),"Check Data",IF(F75&lt;S75,'G-7 Rivers Data'!$R$3,INDEX('G-7 Rivers Data'!$U$5:$Y$9,MATCH(G75,'G-7 Rivers Data'!$T$5:$T$9,0),MATCH(T75,'G-7 Rivers Data'!$U$4:$Y$4,0)))),"")</f>
        <v/>
      </c>
      <c r="Z75" s="261"/>
      <c r="AA75" s="261"/>
      <c r="AB75" s="179" t="str">
        <f t="shared" si="3"/>
        <v/>
      </c>
      <c r="AC75" s="262" t="str">
        <f t="shared" si="4"/>
        <v/>
      </c>
      <c r="AD75" s="382" t="str">
        <f>IFERROR(IF(AC75="Check Data","Check Data",VLOOKUP(AC75,'G-4 Temporal multipliers'!$A$4:$C$37,3,FALSE)),"")</f>
        <v/>
      </c>
      <c r="AE75" s="171" t="str">
        <f>IF(N75="","",VLOOKUP(N75,'G-7 Rivers Data'!$B$4:$G$8,5,FALSE))</f>
        <v/>
      </c>
      <c r="AF75" s="179" t="str">
        <f t="shared" si="5"/>
        <v/>
      </c>
      <c r="AG75" s="269" t="str">
        <f t="shared" si="6"/>
        <v/>
      </c>
      <c r="AH75" s="172" t="str">
        <f t="shared" si="1"/>
        <v/>
      </c>
      <c r="AI75" s="173"/>
      <c r="AJ75" s="172" t="str">
        <f>IF(AI75="","",IF(VLOOKUP(AI75,'G-7 Rivers Data'!$AA$4:$AB$7,2,FALSE)=0,"Spatial Data Missing",VLOOKUP(AI75,'G-7 Rivers Data'!$AA$4:$AB$7,2,FALSE)))</f>
        <v/>
      </c>
      <c r="AK75" s="187"/>
      <c r="AL75" s="172" t="str">
        <f>IF(AK75="","",IF(VLOOKUP(AK75,'G-7 Rivers Data'!$AD$4:$AE$8,2,FALSE)=0,"Spatial Data Missing",VLOOKUP(AK75,'G-7 Rivers Data'!$AD$4:$AE$8,2,FALSE)))</f>
        <v/>
      </c>
      <c r="AM75" s="265" t="str">
        <f t="shared" si="7"/>
        <v/>
      </c>
      <c r="AN75" s="180"/>
      <c r="AO75" s="181"/>
      <c r="AV75" s="35" t="str">
        <f>IFERROR(INDEX('G-7 Rivers Data'!$AZ$3:$AZ$7,MATCH(N75,'G-7 Rivers Data'!$AY$3:$AY$7,0)),"")</f>
        <v/>
      </c>
    </row>
    <row r="76" spans="2:48" ht="13.8" x14ac:dyDescent="0.25">
      <c r="B76" s="259" t="str">
        <f>'C-1 Site River Baseline'!AN74</f>
        <v/>
      </c>
      <c r="C76" s="175" t="str">
        <f>IF(B76="","",VLOOKUP($B76,'C-1 Site River Baseline'!$C$9:$R$257,2,FALSE))</f>
        <v/>
      </c>
      <c r="D76" s="175" t="str">
        <f>IF(C76="","",VLOOKUP($B76,'C-1 Site River Baseline'!$C$9:$R$257,3,FALSE))</f>
        <v/>
      </c>
      <c r="E76" s="175" t="str">
        <f>IF(D76="","",VLOOKUP($B76,'C-1 Site River Baseline'!$C$9:$R$257,4,FALSE))</f>
        <v/>
      </c>
      <c r="F76" s="175" t="str">
        <f>IF(E76="","",VLOOKUP($B76,'C-1 Site River Baseline'!$C$9:$R$257,5,FALSE))</f>
        <v/>
      </c>
      <c r="G76" s="175" t="str">
        <f>IF(F76="","",VLOOKUP($B76,'C-1 Site River Baseline'!$C$9:$R$257,6,FALSE))</f>
        <v/>
      </c>
      <c r="H76" s="175" t="str">
        <f>IF(G76="","",VLOOKUP($B76,'C-1 Site River Baseline'!$C$9:$R$257,7,FALSE))</f>
        <v/>
      </c>
      <c r="I76" s="175" t="str">
        <f>IF(H76="","",VLOOKUP($B76,'C-1 Site River Baseline'!$C$9:$R$257,8,FALSE))</f>
        <v/>
      </c>
      <c r="J76" s="175" t="str">
        <f>IF(I76="","",VLOOKUP($B76,'C-1 Site River Baseline'!$C$9:$R$257,9,FALSE))</f>
        <v/>
      </c>
      <c r="K76" s="175" t="str">
        <f>IF(J76="","",VLOOKUP($B76,'C-1 Site River Baseline'!$C$9:$R$257,10,FALSE))</f>
        <v/>
      </c>
      <c r="L76" s="175" t="str">
        <f>IF(B76="","",VLOOKUP($B76,'C-1 Site River Baseline'!$C$9:$R$257,15,FALSE))</f>
        <v/>
      </c>
      <c r="M76" s="176" t="str">
        <f>IF(L76="","",VLOOKUP($B76,'C-1 Site River Baseline'!$C$9:$R$257,16,FALSE))</f>
        <v/>
      </c>
      <c r="N76" s="639" t="str">
        <f t="shared" si="0"/>
        <v/>
      </c>
      <c r="O76" s="239" t="str">
        <f t="shared" si="2"/>
        <v/>
      </c>
      <c r="P76" s="172" t="str">
        <f>IF(C76="","",IF(AND(LEFT(C76,55)&lt;&gt;LEFT(N76,55),O76="High - High"),"Error - Not like for like",IF(AND(F76=S76,H76&gt;U76),"Error - Can not reduce condition",IF(AND(F76=S76,H76=U76,AJ76='C-1 Site River Baseline'!N74,'C-1 Site River Baseline'!P74=AL76),"Error - No enhancement",IF(AND(C76&lt;&gt;N76,F76&lt;S76),"Lower Distinctiveness Habitat"&amp;" - "&amp;T76,G76&amp;" - "&amp;T76)))))</f>
        <v/>
      </c>
      <c r="Q76" s="660" t="str">
        <f>IF(N76="","",VLOOKUP(B76,'C-1 Site River Baseline'!$C$10:$AA$257,19,FALSE))</f>
        <v/>
      </c>
      <c r="R76" s="171" t="str">
        <f>IF(N76="","",VLOOKUP(N76,'G-7 Rivers Data'!$B$2:$G$8,2,FALSE))</f>
        <v/>
      </c>
      <c r="S76" s="172" t="str">
        <f>IFERROR(VLOOKUP(R76,'G-7 Rivers Data'!$C$4:$D$8,2,FALSE),"")</f>
        <v/>
      </c>
      <c r="T76" s="173"/>
      <c r="U76" s="172" t="str">
        <f>IFERROR(INDEX('G-7 Rivers Data'!$H$4:$L$8,MATCH(N76,'G-7 Rivers Data'!$B$4:$B$8,0),MATCH(T76,'G-7 Rivers Data'!$H$3:$L$3,0)),"")</f>
        <v/>
      </c>
      <c r="V76" s="186"/>
      <c r="W76" s="175" t="str">
        <f>IF(V76="","",IF(VLOOKUP(V76,'G-7 Rivers Data'!$AG$4:$AI$9,2,FALSE)=0,"Spatial Data Missing",VLOOKUP(V76,'G-7 Rivers Data'!$AG$4:$AI$9,2,FALSE)))</f>
        <v/>
      </c>
      <c r="X76" s="176" t="str">
        <f>IF(V76="","",IF(VLOOKUP(V76,'G-7 Rivers Data'!$AG$4:$AI$9,3,FALSE)=0,"Spatial Data Missing",VLOOKUP(V76,'G-7 Rivers Data'!$AG$4:$AI$9,3,FALSE)))</f>
        <v/>
      </c>
      <c r="Y76" s="171" t="str">
        <f>IFERROR(IF(OR(LEFT(P76,5)="Error",LEFT(O76,5)="Error"),"Check Data",IF(F76&lt;S76,'G-7 Rivers Data'!$R$3,INDEX('G-7 Rivers Data'!$U$5:$Y$9,MATCH(G76,'G-7 Rivers Data'!$T$5:$T$9,0),MATCH(T76,'G-7 Rivers Data'!$U$4:$Y$4,0)))),"")</f>
        <v/>
      </c>
      <c r="Z76" s="261"/>
      <c r="AA76" s="261"/>
      <c r="AB76" s="179" t="str">
        <f t="shared" si="3"/>
        <v/>
      </c>
      <c r="AC76" s="262" t="str">
        <f t="shared" si="4"/>
        <v/>
      </c>
      <c r="AD76" s="382" t="str">
        <f>IFERROR(IF(AC76="Check Data","Check Data",VLOOKUP(AC76,'G-4 Temporal multipliers'!$A$4:$C$37,3,FALSE)),"")</f>
        <v/>
      </c>
      <c r="AE76" s="171" t="str">
        <f>IF(N76="","",VLOOKUP(N76,'G-7 Rivers Data'!$B$4:$G$8,5,FALSE))</f>
        <v/>
      </c>
      <c r="AF76" s="179" t="str">
        <f t="shared" si="5"/>
        <v/>
      </c>
      <c r="AG76" s="269" t="str">
        <f t="shared" si="6"/>
        <v/>
      </c>
      <c r="AH76" s="172" t="str">
        <f t="shared" ref="AH76:AH139" si="8">IF(N76="","",VLOOKUP(AE76,Difficulty,2,FALSE))</f>
        <v/>
      </c>
      <c r="AI76" s="173"/>
      <c r="AJ76" s="172" t="str">
        <f>IF(AI76="","",IF(VLOOKUP(AI76,'G-7 Rivers Data'!$AA$4:$AB$7,2,FALSE)=0,"Spatial Data Missing",VLOOKUP(AI76,'G-7 Rivers Data'!$AA$4:$AB$7,2,FALSE)))</f>
        <v/>
      </c>
      <c r="AK76" s="187"/>
      <c r="AL76" s="172" t="str">
        <f>IF(AK76="","",IF(VLOOKUP(AK76,'G-7 Rivers Data'!$AD$4:$AE$8,2,FALSE)=0,"Spatial Data Missing",VLOOKUP(AK76,'G-7 Rivers Data'!$AD$4:$AE$8,2,FALSE)))</f>
        <v/>
      </c>
      <c r="AM76" s="265" t="str">
        <f t="shared" si="7"/>
        <v/>
      </c>
      <c r="AN76" s="180"/>
      <c r="AO76" s="181"/>
      <c r="AV76" s="35" t="str">
        <f>IFERROR(INDEX('G-7 Rivers Data'!$AZ$3:$AZ$7,MATCH(N76,'G-7 Rivers Data'!$AY$3:$AY$7,0)),"")</f>
        <v/>
      </c>
    </row>
    <row r="77" spans="2:48" ht="13.8" x14ac:dyDescent="0.25">
      <c r="B77" s="259" t="str">
        <f>'C-1 Site River Baseline'!AN75</f>
        <v/>
      </c>
      <c r="C77" s="175" t="str">
        <f>IF(B77="","",VLOOKUP($B77,'C-1 Site River Baseline'!$C$9:$R$257,2,FALSE))</f>
        <v/>
      </c>
      <c r="D77" s="175" t="str">
        <f>IF(C77="","",VLOOKUP($B77,'C-1 Site River Baseline'!$C$9:$R$257,3,FALSE))</f>
        <v/>
      </c>
      <c r="E77" s="175" t="str">
        <f>IF(D77="","",VLOOKUP($B77,'C-1 Site River Baseline'!$C$9:$R$257,4,FALSE))</f>
        <v/>
      </c>
      <c r="F77" s="175" t="str">
        <f>IF(E77="","",VLOOKUP($B77,'C-1 Site River Baseline'!$C$9:$R$257,5,FALSE))</f>
        <v/>
      </c>
      <c r="G77" s="175" t="str">
        <f>IF(F77="","",VLOOKUP($B77,'C-1 Site River Baseline'!$C$9:$R$257,6,FALSE))</f>
        <v/>
      </c>
      <c r="H77" s="175" t="str">
        <f>IF(G77="","",VLOOKUP($B77,'C-1 Site River Baseline'!$C$9:$R$257,7,FALSE))</f>
        <v/>
      </c>
      <c r="I77" s="175" t="str">
        <f>IF(H77="","",VLOOKUP($B77,'C-1 Site River Baseline'!$C$9:$R$257,8,FALSE))</f>
        <v/>
      </c>
      <c r="J77" s="175" t="str">
        <f>IF(I77="","",VLOOKUP($B77,'C-1 Site River Baseline'!$C$9:$R$257,9,FALSE))</f>
        <v/>
      </c>
      <c r="K77" s="175" t="str">
        <f>IF(J77="","",VLOOKUP($B77,'C-1 Site River Baseline'!$C$9:$R$257,10,FALSE))</f>
        <v/>
      </c>
      <c r="L77" s="175" t="str">
        <f>IF(B77="","",VLOOKUP($B77,'C-1 Site River Baseline'!$C$9:$R$257,15,FALSE))</f>
        <v/>
      </c>
      <c r="M77" s="176" t="str">
        <f>IF(L77="","",VLOOKUP($B77,'C-1 Site River Baseline'!$C$9:$R$257,16,FALSE))</f>
        <v/>
      </c>
      <c r="N77" s="639" t="str">
        <f t="shared" ref="N77:N140" si="9">C77</f>
        <v/>
      </c>
      <c r="O77" s="239" t="str">
        <f t="shared" ref="O77:O140" si="10">IF(B77="","",IF(S77&lt;F77,"Error Trading Down",E77&amp;" - "&amp;R77))</f>
        <v/>
      </c>
      <c r="P77" s="172" t="str">
        <f>IF(C77="","",IF(AND(LEFT(C77,55)&lt;&gt;LEFT(N77,55),O77="High - High"),"Error - Not like for like",IF(AND(F77=S77,H77&gt;U77),"Error - Can not reduce condition",IF(AND(F77=S77,H77=U77,AJ77='C-1 Site River Baseline'!N75,'C-1 Site River Baseline'!P75=AL77),"Error - No enhancement",IF(AND(C77&lt;&gt;N77,F77&lt;S77),"Lower Distinctiveness Habitat"&amp;" - "&amp;T77,G77&amp;" - "&amp;T77)))))</f>
        <v/>
      </c>
      <c r="Q77" s="660" t="str">
        <f>IF(N77="","",VLOOKUP(B77,'C-1 Site River Baseline'!$C$10:$AA$257,19,FALSE))</f>
        <v/>
      </c>
      <c r="R77" s="171" t="str">
        <f>IF(N77="","",VLOOKUP(N77,'G-7 Rivers Data'!$B$2:$G$8,2,FALSE))</f>
        <v/>
      </c>
      <c r="S77" s="172" t="str">
        <f>IFERROR(VLOOKUP(R77,'G-7 Rivers Data'!$C$4:$D$8,2,FALSE),"")</f>
        <v/>
      </c>
      <c r="T77" s="173"/>
      <c r="U77" s="172" t="str">
        <f>IFERROR(INDEX('G-7 Rivers Data'!$H$4:$L$8,MATCH(N77,'G-7 Rivers Data'!$B$4:$B$8,0),MATCH(T77,'G-7 Rivers Data'!$H$3:$L$3,0)),"")</f>
        <v/>
      </c>
      <c r="V77" s="186"/>
      <c r="W77" s="175" t="str">
        <f>IF(V77="","",IF(VLOOKUP(V77,'G-7 Rivers Data'!$AG$4:$AI$9,2,FALSE)=0,"Spatial Data Missing",VLOOKUP(V77,'G-7 Rivers Data'!$AG$4:$AI$9,2,FALSE)))</f>
        <v/>
      </c>
      <c r="X77" s="176" t="str">
        <f>IF(V77="","",IF(VLOOKUP(V77,'G-7 Rivers Data'!$AG$4:$AI$9,3,FALSE)=0,"Spatial Data Missing",VLOOKUP(V77,'G-7 Rivers Data'!$AG$4:$AI$9,3,FALSE)))</f>
        <v/>
      </c>
      <c r="Y77" s="171" t="str">
        <f>IFERROR(IF(OR(LEFT(P77,5)="Error",LEFT(O77,5)="Error"),"Check Data",IF(F77&lt;S77,'G-7 Rivers Data'!$R$3,INDEX('G-7 Rivers Data'!$U$5:$Y$9,MATCH(G77,'G-7 Rivers Data'!$T$5:$T$9,0),MATCH(T77,'G-7 Rivers Data'!$U$4:$Y$4,0)))),"")</f>
        <v/>
      </c>
      <c r="Z77" s="261"/>
      <c r="AA77" s="261"/>
      <c r="AB77" s="179" t="str">
        <f t="shared" ref="AB77:AB140" si="11">IF(Y77="","",IF(Y77="Check Data","Check Data",IF(AND(Z77&gt;0,AA77&gt;0),"Error -both advance and delayed habitat creation",IF(AND(OR(Z77="Habitat already in target condition",Y77&lt;=Z77),AA77=0),"Check details - Is there evidence that habitat has reached target condition?",IF(Z77&gt;0,"Check details - Is there evidence habitat creation started/in place?",IF(AA77&gt;0,"Check details- Delay in starting habitat in required condition?","Standard time to target condition applied"))))))</f>
        <v/>
      </c>
      <c r="AC77" s="262" t="str">
        <f t="shared" ref="AC77:AC140" si="12">IF(LEFT(AB77,5)="Error","Check Data",IF(AB77="Check Data","Check Data",IF(Y77="","",IF(Z77="30+",0,IF(AA77="30+","30+",IF(Y77+AA77&gt;30,"30+",IF(Y77+AA77-Z77&gt;0,Y77+AA77-Z77,IF(Y77-Z77&lt;0,0,Y77+AA77-Z77))))))))</f>
        <v/>
      </c>
      <c r="AD77" s="382" t="str">
        <f>IFERROR(IF(AC77="Check Data","Check Data",VLOOKUP(AC77,'G-4 Temporal multipliers'!$A$4:$C$37,3,FALSE)),"")</f>
        <v/>
      </c>
      <c r="AE77" s="171" t="str">
        <f>IF(N77="","",VLOOKUP(N77,'G-7 Rivers Data'!$B$4:$G$8,5,FALSE))</f>
        <v/>
      </c>
      <c r="AF77" s="179" t="str">
        <f t="shared" ref="AF77:AF140" si="13">IF(N77="","",IF(AC77="Check Data","Check Data",IF(T77="","",IF($AB77="Check details - Is there evidence that habitat has reached target condition?","Low Difficulty - only applicable if all habitat created before losses","Standard difficulty applied"))))</f>
        <v/>
      </c>
      <c r="AG77" s="269" t="str">
        <f t="shared" ref="AG77:AG140" si="14">(IF(AND(AF77="Standard difficulty applied",Y77&gt;Z77),AE77,IF(AND(AF77="Low Difficulty - only applicable if all habitat created before losses",Z77&gt;=Y77),"Low",AE77)))</f>
        <v/>
      </c>
      <c r="AH77" s="172" t="str">
        <f t="shared" si="8"/>
        <v/>
      </c>
      <c r="AI77" s="173"/>
      <c r="AJ77" s="172" t="str">
        <f>IF(AI77="","",IF(VLOOKUP(AI77,'G-7 Rivers Data'!$AA$4:$AB$7,2,FALSE)=0,"Spatial Data Missing",VLOOKUP(AI77,'G-7 Rivers Data'!$AA$4:$AB$7,2,FALSE)))</f>
        <v/>
      </c>
      <c r="AK77" s="187"/>
      <c r="AL77" s="172" t="str">
        <f>IF(AK77="","",IF(VLOOKUP(AK77,'G-7 Rivers Data'!$AD$4:$AE$8,2,FALSE)=0,"Spatial Data Missing",VLOOKUP(AK77,'G-7 Rivers Data'!$AD$4:$AE$8,2,FALSE)))</f>
        <v/>
      </c>
      <c r="AM77" s="265" t="str">
        <f t="shared" si="7"/>
        <v/>
      </c>
      <c r="AN77" s="180"/>
      <c r="AO77" s="181"/>
      <c r="AV77" s="35" t="str">
        <f>IFERROR(INDEX('G-7 Rivers Data'!$AZ$3:$AZ$7,MATCH(N77,'G-7 Rivers Data'!$AY$3:$AY$7,0)),"")</f>
        <v/>
      </c>
    </row>
    <row r="78" spans="2:48" ht="13.8" x14ac:dyDescent="0.25">
      <c r="B78" s="259" t="str">
        <f>'C-1 Site River Baseline'!AN76</f>
        <v/>
      </c>
      <c r="C78" s="175" t="str">
        <f>IF(B78="","",VLOOKUP($B78,'C-1 Site River Baseline'!$C$9:$R$257,2,FALSE))</f>
        <v/>
      </c>
      <c r="D78" s="175" t="str">
        <f>IF(C78="","",VLOOKUP($B78,'C-1 Site River Baseline'!$C$9:$R$257,3,FALSE))</f>
        <v/>
      </c>
      <c r="E78" s="175" t="str">
        <f>IF(D78="","",VLOOKUP($B78,'C-1 Site River Baseline'!$C$9:$R$257,4,FALSE))</f>
        <v/>
      </c>
      <c r="F78" s="175" t="str">
        <f>IF(E78="","",VLOOKUP($B78,'C-1 Site River Baseline'!$C$9:$R$257,5,FALSE))</f>
        <v/>
      </c>
      <c r="G78" s="175" t="str">
        <f>IF(F78="","",VLOOKUP($B78,'C-1 Site River Baseline'!$C$9:$R$257,6,FALSE))</f>
        <v/>
      </c>
      <c r="H78" s="175" t="str">
        <f>IF(G78="","",VLOOKUP($B78,'C-1 Site River Baseline'!$C$9:$R$257,7,FALSE))</f>
        <v/>
      </c>
      <c r="I78" s="175" t="str">
        <f>IF(H78="","",VLOOKUP($B78,'C-1 Site River Baseline'!$C$9:$R$257,8,FALSE))</f>
        <v/>
      </c>
      <c r="J78" s="175" t="str">
        <f>IF(I78="","",VLOOKUP($B78,'C-1 Site River Baseline'!$C$9:$R$257,9,FALSE))</f>
        <v/>
      </c>
      <c r="K78" s="175" t="str">
        <f>IF(J78="","",VLOOKUP($B78,'C-1 Site River Baseline'!$C$9:$R$257,10,FALSE))</f>
        <v/>
      </c>
      <c r="L78" s="175" t="str">
        <f>IF(B78="","",VLOOKUP($B78,'C-1 Site River Baseline'!$C$9:$R$257,15,FALSE))</f>
        <v/>
      </c>
      <c r="M78" s="176" t="str">
        <f>IF(L78="","",VLOOKUP($B78,'C-1 Site River Baseline'!$C$9:$R$257,16,FALSE))</f>
        <v/>
      </c>
      <c r="N78" s="639" t="str">
        <f t="shared" si="9"/>
        <v/>
      </c>
      <c r="O78" s="239" t="str">
        <f t="shared" si="10"/>
        <v/>
      </c>
      <c r="P78" s="172" t="str">
        <f>IF(C78="","",IF(AND(LEFT(C78,55)&lt;&gt;LEFT(N78,55),O78="High - High"),"Error - Not like for like",IF(AND(F78=S78,H78&gt;U78),"Error - Can not reduce condition",IF(AND(F78=S78,H78=U78,AJ78='C-1 Site River Baseline'!N76,'C-1 Site River Baseline'!P76=AL78),"Error - No enhancement",IF(AND(C78&lt;&gt;N78,F78&lt;S78),"Lower Distinctiveness Habitat"&amp;" - "&amp;T78,G78&amp;" - "&amp;T78)))))</f>
        <v/>
      </c>
      <c r="Q78" s="660" t="str">
        <f>IF(N78="","",VLOOKUP(B78,'C-1 Site River Baseline'!$C$10:$AA$257,19,FALSE))</f>
        <v/>
      </c>
      <c r="R78" s="171" t="str">
        <f>IF(N78="","",VLOOKUP(N78,'G-7 Rivers Data'!$B$2:$G$8,2,FALSE))</f>
        <v/>
      </c>
      <c r="S78" s="172" t="str">
        <f>IFERROR(VLOOKUP(R78,'G-7 Rivers Data'!$C$4:$D$8,2,FALSE),"")</f>
        <v/>
      </c>
      <c r="T78" s="173"/>
      <c r="U78" s="172" t="str">
        <f>IFERROR(INDEX('G-7 Rivers Data'!$H$4:$L$8,MATCH(N78,'G-7 Rivers Data'!$B$4:$B$8,0),MATCH(T78,'G-7 Rivers Data'!$H$3:$L$3,0)),"")</f>
        <v/>
      </c>
      <c r="V78" s="186"/>
      <c r="W78" s="175" t="str">
        <f>IF(V78="","",IF(VLOOKUP(V78,'G-7 Rivers Data'!$AG$4:$AI$9,2,FALSE)=0,"Spatial Data Missing",VLOOKUP(V78,'G-7 Rivers Data'!$AG$4:$AI$9,2,FALSE)))</f>
        <v/>
      </c>
      <c r="X78" s="176" t="str">
        <f>IF(V78="","",IF(VLOOKUP(V78,'G-7 Rivers Data'!$AG$4:$AI$9,3,FALSE)=0,"Spatial Data Missing",VLOOKUP(V78,'G-7 Rivers Data'!$AG$4:$AI$9,3,FALSE)))</f>
        <v/>
      </c>
      <c r="Y78" s="171" t="str">
        <f>IFERROR(IF(OR(LEFT(P78,5)="Error",LEFT(O78,5)="Error"),"Check Data",IF(F78&lt;S78,'G-7 Rivers Data'!$R$3,INDEX('G-7 Rivers Data'!$U$5:$Y$9,MATCH(G78,'G-7 Rivers Data'!$T$5:$T$9,0),MATCH(T78,'G-7 Rivers Data'!$U$4:$Y$4,0)))),"")</f>
        <v/>
      </c>
      <c r="Z78" s="261"/>
      <c r="AA78" s="261"/>
      <c r="AB78" s="179" t="str">
        <f t="shared" si="11"/>
        <v/>
      </c>
      <c r="AC78" s="262" t="str">
        <f t="shared" si="12"/>
        <v/>
      </c>
      <c r="AD78" s="382" t="str">
        <f>IFERROR(IF(AC78="Check Data","Check Data",VLOOKUP(AC78,'G-4 Temporal multipliers'!$A$4:$C$37,3,FALSE)),"")</f>
        <v/>
      </c>
      <c r="AE78" s="171" t="str">
        <f>IF(N78="","",VLOOKUP(N78,'G-7 Rivers Data'!$B$4:$G$8,5,FALSE))</f>
        <v/>
      </c>
      <c r="AF78" s="179" t="str">
        <f t="shared" si="13"/>
        <v/>
      </c>
      <c r="AG78" s="269" t="str">
        <f t="shared" si="14"/>
        <v/>
      </c>
      <c r="AH78" s="172" t="str">
        <f t="shared" si="8"/>
        <v/>
      </c>
      <c r="AI78" s="173"/>
      <c r="AJ78" s="172" t="str">
        <f>IF(AI78="","",IF(VLOOKUP(AI78,'G-7 Rivers Data'!$AA$4:$AB$7,2,FALSE)=0,"Spatial Data Missing",VLOOKUP(AI78,'G-7 Rivers Data'!$AA$4:$AB$7,2,FALSE)))</f>
        <v/>
      </c>
      <c r="AK78" s="187"/>
      <c r="AL78" s="172" t="str">
        <f>IF(AK78="","",IF(VLOOKUP(AK78,'G-7 Rivers Data'!$AD$4:$AE$8,2,FALSE)=0,"Spatial Data Missing",VLOOKUP(AK78,'G-7 Rivers Data'!$AD$4:$AE$8,2,FALSE)))</f>
        <v/>
      </c>
      <c r="AM78" s="265" t="str">
        <f t="shared" ref="AM78:AM141" si="15">IFERROR(IF(C78="","",IF(Q78&gt;D78,((((Q78*S78*U78)-(D78*F78*H78))*(AH78*AD78))+(D78*F78*H78))*(AL78*X78*AJ78),((((Q78*S78*U78)-(Q78*F78*H78))*(AH78*AD78))+(Q78*F78*H78))*(AL78*X78*AJ78))),"")</f>
        <v/>
      </c>
      <c r="AN78" s="180"/>
      <c r="AO78" s="181"/>
      <c r="AV78" s="35" t="str">
        <f>IFERROR(INDEX('G-7 Rivers Data'!$AZ$3:$AZ$7,MATCH(N78,'G-7 Rivers Data'!$AY$3:$AY$7,0)),"")</f>
        <v/>
      </c>
    </row>
    <row r="79" spans="2:48" ht="13.8" x14ac:dyDescent="0.25">
      <c r="B79" s="259" t="str">
        <f>'C-1 Site River Baseline'!AN77</f>
        <v/>
      </c>
      <c r="C79" s="175" t="str">
        <f>IF(B79="","",VLOOKUP($B79,'C-1 Site River Baseline'!$C$9:$R$257,2,FALSE))</f>
        <v/>
      </c>
      <c r="D79" s="175" t="str">
        <f>IF(C79="","",VLOOKUP($B79,'C-1 Site River Baseline'!$C$9:$R$257,3,FALSE))</f>
        <v/>
      </c>
      <c r="E79" s="175" t="str">
        <f>IF(D79="","",VLOOKUP($B79,'C-1 Site River Baseline'!$C$9:$R$257,4,FALSE))</f>
        <v/>
      </c>
      <c r="F79" s="175" t="str">
        <f>IF(E79="","",VLOOKUP($B79,'C-1 Site River Baseline'!$C$9:$R$257,5,FALSE))</f>
        <v/>
      </c>
      <c r="G79" s="175" t="str">
        <f>IF(F79="","",VLOOKUP($B79,'C-1 Site River Baseline'!$C$9:$R$257,6,FALSE))</f>
        <v/>
      </c>
      <c r="H79" s="175" t="str">
        <f>IF(G79="","",VLOOKUP($B79,'C-1 Site River Baseline'!$C$9:$R$257,7,FALSE))</f>
        <v/>
      </c>
      <c r="I79" s="175" t="str">
        <f>IF(H79="","",VLOOKUP($B79,'C-1 Site River Baseline'!$C$9:$R$257,8,FALSE))</f>
        <v/>
      </c>
      <c r="J79" s="175" t="str">
        <f>IF(I79="","",VLOOKUP($B79,'C-1 Site River Baseline'!$C$9:$R$257,9,FALSE))</f>
        <v/>
      </c>
      <c r="K79" s="175" t="str">
        <f>IF(J79="","",VLOOKUP($B79,'C-1 Site River Baseline'!$C$9:$R$257,10,FALSE))</f>
        <v/>
      </c>
      <c r="L79" s="175" t="str">
        <f>IF(B79="","",VLOOKUP($B79,'C-1 Site River Baseline'!$C$9:$R$257,15,FALSE))</f>
        <v/>
      </c>
      <c r="M79" s="176" t="str">
        <f>IF(L79="","",VLOOKUP($B79,'C-1 Site River Baseline'!$C$9:$R$257,16,FALSE))</f>
        <v/>
      </c>
      <c r="N79" s="639" t="str">
        <f t="shared" si="9"/>
        <v/>
      </c>
      <c r="O79" s="239" t="str">
        <f t="shared" si="10"/>
        <v/>
      </c>
      <c r="P79" s="172" t="str">
        <f>IF(C79="","",IF(AND(LEFT(C79,55)&lt;&gt;LEFT(N79,55),O79="High - High"),"Error - Not like for like",IF(AND(F79=S79,H79&gt;U79),"Error - Can not reduce condition",IF(AND(F79=S79,H79=U79,AJ79='C-1 Site River Baseline'!N77,'C-1 Site River Baseline'!P77=AL79),"Error - No enhancement",IF(AND(C79&lt;&gt;N79,F79&lt;S79),"Lower Distinctiveness Habitat"&amp;" - "&amp;T79,G79&amp;" - "&amp;T79)))))</f>
        <v/>
      </c>
      <c r="Q79" s="660" t="str">
        <f>IF(N79="","",VLOOKUP(B79,'C-1 Site River Baseline'!$C$10:$AA$257,19,FALSE))</f>
        <v/>
      </c>
      <c r="R79" s="171" t="str">
        <f>IF(N79="","",VLOOKUP(N79,'G-7 Rivers Data'!$B$2:$G$8,2,FALSE))</f>
        <v/>
      </c>
      <c r="S79" s="172" t="str">
        <f>IFERROR(VLOOKUP(R79,'G-7 Rivers Data'!$C$4:$D$8,2,FALSE),"")</f>
        <v/>
      </c>
      <c r="T79" s="173"/>
      <c r="U79" s="172" t="str">
        <f>IFERROR(INDEX('G-7 Rivers Data'!$H$4:$L$8,MATCH(N79,'G-7 Rivers Data'!$B$4:$B$8,0),MATCH(T79,'G-7 Rivers Data'!$H$3:$L$3,0)),"")</f>
        <v/>
      </c>
      <c r="V79" s="186"/>
      <c r="W79" s="175" t="str">
        <f>IF(V79="","",IF(VLOOKUP(V79,'G-7 Rivers Data'!$AG$4:$AI$9,2,FALSE)=0,"Spatial Data Missing",VLOOKUP(V79,'G-7 Rivers Data'!$AG$4:$AI$9,2,FALSE)))</f>
        <v/>
      </c>
      <c r="X79" s="176" t="str">
        <f>IF(V79="","",IF(VLOOKUP(V79,'G-7 Rivers Data'!$AG$4:$AI$9,3,FALSE)=0,"Spatial Data Missing",VLOOKUP(V79,'G-7 Rivers Data'!$AG$4:$AI$9,3,FALSE)))</f>
        <v/>
      </c>
      <c r="Y79" s="171" t="str">
        <f>IFERROR(IF(OR(LEFT(P79,5)="Error",LEFT(O79,5)="Error"),"Check Data",IF(F79&lt;S79,'G-7 Rivers Data'!$R$3,INDEX('G-7 Rivers Data'!$U$5:$Y$9,MATCH(G79,'G-7 Rivers Data'!$T$5:$T$9,0),MATCH(T79,'G-7 Rivers Data'!$U$4:$Y$4,0)))),"")</f>
        <v/>
      </c>
      <c r="Z79" s="261"/>
      <c r="AA79" s="261"/>
      <c r="AB79" s="179" t="str">
        <f t="shared" si="11"/>
        <v/>
      </c>
      <c r="AC79" s="262" t="str">
        <f t="shared" si="12"/>
        <v/>
      </c>
      <c r="AD79" s="382" t="str">
        <f>IFERROR(IF(AC79="Check Data","Check Data",VLOOKUP(AC79,'G-4 Temporal multipliers'!$A$4:$C$37,3,FALSE)),"")</f>
        <v/>
      </c>
      <c r="AE79" s="171" t="str">
        <f>IF(N79="","",VLOOKUP(N79,'G-7 Rivers Data'!$B$4:$G$8,5,FALSE))</f>
        <v/>
      </c>
      <c r="AF79" s="179" t="str">
        <f t="shared" si="13"/>
        <v/>
      </c>
      <c r="AG79" s="269" t="str">
        <f t="shared" si="14"/>
        <v/>
      </c>
      <c r="AH79" s="172" t="str">
        <f t="shared" si="8"/>
        <v/>
      </c>
      <c r="AI79" s="173"/>
      <c r="AJ79" s="172" t="str">
        <f>IF(AI79="","",IF(VLOOKUP(AI79,'G-7 Rivers Data'!$AA$4:$AB$7,2,FALSE)=0,"Spatial Data Missing",VLOOKUP(AI79,'G-7 Rivers Data'!$AA$4:$AB$7,2,FALSE)))</f>
        <v/>
      </c>
      <c r="AK79" s="187"/>
      <c r="AL79" s="172" t="str">
        <f>IF(AK79="","",IF(VLOOKUP(AK79,'G-7 Rivers Data'!$AD$4:$AE$8,2,FALSE)=0,"Spatial Data Missing",VLOOKUP(AK79,'G-7 Rivers Data'!$AD$4:$AE$8,2,FALSE)))</f>
        <v/>
      </c>
      <c r="AM79" s="265" t="str">
        <f t="shared" si="15"/>
        <v/>
      </c>
      <c r="AN79" s="180"/>
      <c r="AO79" s="181"/>
      <c r="AV79" s="35" t="str">
        <f>IFERROR(INDEX('G-7 Rivers Data'!$AZ$3:$AZ$7,MATCH(N79,'G-7 Rivers Data'!$AY$3:$AY$7,0)),"")</f>
        <v/>
      </c>
    </row>
    <row r="80" spans="2:48" ht="13.8" x14ac:dyDescent="0.25">
      <c r="B80" s="259" t="str">
        <f>'C-1 Site River Baseline'!AN78</f>
        <v/>
      </c>
      <c r="C80" s="175" t="str">
        <f>IF(B80="","",VLOOKUP($B80,'C-1 Site River Baseline'!$C$9:$R$257,2,FALSE))</f>
        <v/>
      </c>
      <c r="D80" s="175" t="str">
        <f>IF(C80="","",VLOOKUP($B80,'C-1 Site River Baseline'!$C$9:$R$257,3,FALSE))</f>
        <v/>
      </c>
      <c r="E80" s="175" t="str">
        <f>IF(D80="","",VLOOKUP($B80,'C-1 Site River Baseline'!$C$9:$R$257,4,FALSE))</f>
        <v/>
      </c>
      <c r="F80" s="175" t="str">
        <f>IF(E80="","",VLOOKUP($B80,'C-1 Site River Baseline'!$C$9:$R$257,5,FALSE))</f>
        <v/>
      </c>
      <c r="G80" s="175" t="str">
        <f>IF(F80="","",VLOOKUP($B80,'C-1 Site River Baseline'!$C$9:$R$257,6,FALSE))</f>
        <v/>
      </c>
      <c r="H80" s="175" t="str">
        <f>IF(G80="","",VLOOKUP($B80,'C-1 Site River Baseline'!$C$9:$R$257,7,FALSE))</f>
        <v/>
      </c>
      <c r="I80" s="175" t="str">
        <f>IF(H80="","",VLOOKUP($B80,'C-1 Site River Baseline'!$C$9:$R$257,8,FALSE))</f>
        <v/>
      </c>
      <c r="J80" s="175" t="str">
        <f>IF(I80="","",VLOOKUP($B80,'C-1 Site River Baseline'!$C$9:$R$257,9,FALSE))</f>
        <v/>
      </c>
      <c r="K80" s="175" t="str">
        <f>IF(J80="","",VLOOKUP($B80,'C-1 Site River Baseline'!$C$9:$R$257,10,FALSE))</f>
        <v/>
      </c>
      <c r="L80" s="175" t="str">
        <f>IF(B80="","",VLOOKUP($B80,'C-1 Site River Baseline'!$C$9:$R$257,15,FALSE))</f>
        <v/>
      </c>
      <c r="M80" s="176" t="str">
        <f>IF(L80="","",VLOOKUP($B80,'C-1 Site River Baseline'!$C$9:$R$257,16,FALSE))</f>
        <v/>
      </c>
      <c r="N80" s="639" t="str">
        <f t="shared" si="9"/>
        <v/>
      </c>
      <c r="O80" s="239" t="str">
        <f t="shared" si="10"/>
        <v/>
      </c>
      <c r="P80" s="172" t="str">
        <f>IF(C80="","",IF(AND(LEFT(C80,55)&lt;&gt;LEFT(N80,55),O80="High - High"),"Error - Not like for like",IF(AND(F80=S80,H80&gt;U80),"Error - Can not reduce condition",IF(AND(F80=S80,H80=U80,AJ80='C-1 Site River Baseline'!N78,'C-1 Site River Baseline'!P78=AL80),"Error - No enhancement",IF(AND(C80&lt;&gt;N80,F80&lt;S80),"Lower Distinctiveness Habitat"&amp;" - "&amp;T80,G80&amp;" - "&amp;T80)))))</f>
        <v/>
      </c>
      <c r="Q80" s="660" t="str">
        <f>IF(N80="","",VLOOKUP(B80,'C-1 Site River Baseline'!$C$10:$AA$257,19,FALSE))</f>
        <v/>
      </c>
      <c r="R80" s="171" t="str">
        <f>IF(N80="","",VLOOKUP(N80,'G-7 Rivers Data'!$B$2:$G$8,2,FALSE))</f>
        <v/>
      </c>
      <c r="S80" s="172" t="str">
        <f>IFERROR(VLOOKUP(R80,'G-7 Rivers Data'!$C$4:$D$8,2,FALSE),"")</f>
        <v/>
      </c>
      <c r="T80" s="173"/>
      <c r="U80" s="172" t="str">
        <f>IFERROR(INDEX('G-7 Rivers Data'!$H$4:$L$8,MATCH(N80,'G-7 Rivers Data'!$B$4:$B$8,0),MATCH(T80,'G-7 Rivers Data'!$H$3:$L$3,0)),"")</f>
        <v/>
      </c>
      <c r="V80" s="186"/>
      <c r="W80" s="175" t="str">
        <f>IF(V80="","",IF(VLOOKUP(V80,'G-7 Rivers Data'!$AG$4:$AI$9,2,FALSE)=0,"Spatial Data Missing",VLOOKUP(V80,'G-7 Rivers Data'!$AG$4:$AI$9,2,FALSE)))</f>
        <v/>
      </c>
      <c r="X80" s="176" t="str">
        <f>IF(V80="","",IF(VLOOKUP(V80,'G-7 Rivers Data'!$AG$4:$AI$9,3,FALSE)=0,"Spatial Data Missing",VLOOKUP(V80,'G-7 Rivers Data'!$AG$4:$AI$9,3,FALSE)))</f>
        <v/>
      </c>
      <c r="Y80" s="171" t="str">
        <f>IFERROR(IF(OR(LEFT(P80,5)="Error",LEFT(O80,5)="Error"),"Check Data",IF(F80&lt;S80,'G-7 Rivers Data'!$R$3,INDEX('G-7 Rivers Data'!$U$5:$Y$9,MATCH(G80,'G-7 Rivers Data'!$T$5:$T$9,0),MATCH(T80,'G-7 Rivers Data'!$U$4:$Y$4,0)))),"")</f>
        <v/>
      </c>
      <c r="Z80" s="261"/>
      <c r="AA80" s="261"/>
      <c r="AB80" s="179" t="str">
        <f t="shared" si="11"/>
        <v/>
      </c>
      <c r="AC80" s="262" t="str">
        <f t="shared" si="12"/>
        <v/>
      </c>
      <c r="AD80" s="382" t="str">
        <f>IFERROR(IF(AC80="Check Data","Check Data",VLOOKUP(AC80,'G-4 Temporal multipliers'!$A$4:$C$37,3,FALSE)),"")</f>
        <v/>
      </c>
      <c r="AE80" s="171" t="str">
        <f>IF(N80="","",VLOOKUP(N80,'G-7 Rivers Data'!$B$4:$G$8,5,FALSE))</f>
        <v/>
      </c>
      <c r="AF80" s="179" t="str">
        <f t="shared" si="13"/>
        <v/>
      </c>
      <c r="AG80" s="269" t="str">
        <f t="shared" si="14"/>
        <v/>
      </c>
      <c r="AH80" s="172" t="str">
        <f t="shared" si="8"/>
        <v/>
      </c>
      <c r="AI80" s="173"/>
      <c r="AJ80" s="172" t="str">
        <f>IF(AI80="","",IF(VLOOKUP(AI80,'G-7 Rivers Data'!$AA$4:$AB$7,2,FALSE)=0,"Spatial Data Missing",VLOOKUP(AI80,'G-7 Rivers Data'!$AA$4:$AB$7,2,FALSE)))</f>
        <v/>
      </c>
      <c r="AK80" s="187"/>
      <c r="AL80" s="172" t="str">
        <f>IF(AK80="","",IF(VLOOKUP(AK80,'G-7 Rivers Data'!$AD$4:$AE$8,2,FALSE)=0,"Spatial Data Missing",VLOOKUP(AK80,'G-7 Rivers Data'!$AD$4:$AE$8,2,FALSE)))</f>
        <v/>
      </c>
      <c r="AM80" s="265" t="str">
        <f t="shared" si="15"/>
        <v/>
      </c>
      <c r="AN80" s="180"/>
      <c r="AO80" s="181"/>
      <c r="AV80" s="35" t="str">
        <f>IFERROR(INDEX('G-7 Rivers Data'!$AZ$3:$AZ$7,MATCH(N80,'G-7 Rivers Data'!$AY$3:$AY$7,0)),"")</f>
        <v/>
      </c>
    </row>
    <row r="81" spans="2:48" ht="13.8" x14ac:dyDescent="0.25">
      <c r="B81" s="259" t="str">
        <f>'C-1 Site River Baseline'!AN79</f>
        <v/>
      </c>
      <c r="C81" s="175" t="str">
        <f>IF(B81="","",VLOOKUP($B81,'C-1 Site River Baseline'!$C$9:$R$257,2,FALSE))</f>
        <v/>
      </c>
      <c r="D81" s="175" t="str">
        <f>IF(C81="","",VLOOKUP($B81,'C-1 Site River Baseline'!$C$9:$R$257,3,FALSE))</f>
        <v/>
      </c>
      <c r="E81" s="175" t="str">
        <f>IF(D81="","",VLOOKUP($B81,'C-1 Site River Baseline'!$C$9:$R$257,4,FALSE))</f>
        <v/>
      </c>
      <c r="F81" s="175" t="str">
        <f>IF(E81="","",VLOOKUP($B81,'C-1 Site River Baseline'!$C$9:$R$257,5,FALSE))</f>
        <v/>
      </c>
      <c r="G81" s="175" t="str">
        <f>IF(F81="","",VLOOKUP($B81,'C-1 Site River Baseline'!$C$9:$R$257,6,FALSE))</f>
        <v/>
      </c>
      <c r="H81" s="175" t="str">
        <f>IF(G81="","",VLOOKUP($B81,'C-1 Site River Baseline'!$C$9:$R$257,7,FALSE))</f>
        <v/>
      </c>
      <c r="I81" s="175" t="str">
        <f>IF(H81="","",VLOOKUP($B81,'C-1 Site River Baseline'!$C$9:$R$257,8,FALSE))</f>
        <v/>
      </c>
      <c r="J81" s="175" t="str">
        <f>IF(I81="","",VLOOKUP($B81,'C-1 Site River Baseline'!$C$9:$R$257,9,FALSE))</f>
        <v/>
      </c>
      <c r="K81" s="175" t="str">
        <f>IF(J81="","",VLOOKUP($B81,'C-1 Site River Baseline'!$C$9:$R$257,10,FALSE))</f>
        <v/>
      </c>
      <c r="L81" s="175" t="str">
        <f>IF(B81="","",VLOOKUP($B81,'C-1 Site River Baseline'!$C$9:$R$257,15,FALSE))</f>
        <v/>
      </c>
      <c r="M81" s="176" t="str">
        <f>IF(L81="","",VLOOKUP($B81,'C-1 Site River Baseline'!$C$9:$R$257,16,FALSE))</f>
        <v/>
      </c>
      <c r="N81" s="639" t="str">
        <f t="shared" si="9"/>
        <v/>
      </c>
      <c r="O81" s="239" t="str">
        <f t="shared" si="10"/>
        <v/>
      </c>
      <c r="P81" s="172" t="str">
        <f>IF(C81="","",IF(AND(LEFT(C81,55)&lt;&gt;LEFT(N81,55),O81="High - High"),"Error - Not like for like",IF(AND(F81=S81,H81&gt;U81),"Error - Can not reduce condition",IF(AND(F81=S81,H81=U81,AJ81='C-1 Site River Baseline'!N79,'C-1 Site River Baseline'!P79=AL81),"Error - No enhancement",IF(AND(C81&lt;&gt;N81,F81&lt;S81),"Lower Distinctiveness Habitat"&amp;" - "&amp;T81,G81&amp;" - "&amp;T81)))))</f>
        <v/>
      </c>
      <c r="Q81" s="660" t="str">
        <f>IF(N81="","",VLOOKUP(B81,'C-1 Site River Baseline'!$C$10:$AA$257,19,FALSE))</f>
        <v/>
      </c>
      <c r="R81" s="171" t="str">
        <f>IF(N81="","",VLOOKUP(N81,'G-7 Rivers Data'!$B$2:$G$8,2,FALSE))</f>
        <v/>
      </c>
      <c r="S81" s="172" t="str">
        <f>IFERROR(VLOOKUP(R81,'G-7 Rivers Data'!$C$4:$D$8,2,FALSE),"")</f>
        <v/>
      </c>
      <c r="T81" s="173"/>
      <c r="U81" s="172" t="str">
        <f>IFERROR(INDEX('G-7 Rivers Data'!$H$4:$L$8,MATCH(N81,'G-7 Rivers Data'!$B$4:$B$8,0),MATCH(T81,'G-7 Rivers Data'!$H$3:$L$3,0)),"")</f>
        <v/>
      </c>
      <c r="V81" s="186"/>
      <c r="W81" s="175" t="str">
        <f>IF(V81="","",IF(VLOOKUP(V81,'G-7 Rivers Data'!$AG$4:$AI$9,2,FALSE)=0,"Spatial Data Missing",VLOOKUP(V81,'G-7 Rivers Data'!$AG$4:$AI$9,2,FALSE)))</f>
        <v/>
      </c>
      <c r="X81" s="176" t="str">
        <f>IF(V81="","",IF(VLOOKUP(V81,'G-7 Rivers Data'!$AG$4:$AI$9,3,FALSE)=0,"Spatial Data Missing",VLOOKUP(V81,'G-7 Rivers Data'!$AG$4:$AI$9,3,FALSE)))</f>
        <v/>
      </c>
      <c r="Y81" s="171" t="str">
        <f>IFERROR(IF(OR(LEFT(P81,5)="Error",LEFT(O81,5)="Error"),"Check Data",IF(F81&lt;S81,'G-7 Rivers Data'!$R$3,INDEX('G-7 Rivers Data'!$U$5:$Y$9,MATCH(G81,'G-7 Rivers Data'!$T$5:$T$9,0),MATCH(T81,'G-7 Rivers Data'!$U$4:$Y$4,0)))),"")</f>
        <v/>
      </c>
      <c r="Z81" s="261"/>
      <c r="AA81" s="261"/>
      <c r="AB81" s="179" t="str">
        <f t="shared" si="11"/>
        <v/>
      </c>
      <c r="AC81" s="262" t="str">
        <f t="shared" si="12"/>
        <v/>
      </c>
      <c r="AD81" s="382" t="str">
        <f>IFERROR(IF(AC81="Check Data","Check Data",VLOOKUP(AC81,'G-4 Temporal multipliers'!$A$4:$C$37,3,FALSE)),"")</f>
        <v/>
      </c>
      <c r="AE81" s="171" t="str">
        <f>IF(N81="","",VLOOKUP(N81,'G-7 Rivers Data'!$B$4:$G$8,5,FALSE))</f>
        <v/>
      </c>
      <c r="AF81" s="179" t="str">
        <f t="shared" si="13"/>
        <v/>
      </c>
      <c r="AG81" s="269" t="str">
        <f t="shared" si="14"/>
        <v/>
      </c>
      <c r="AH81" s="172" t="str">
        <f t="shared" si="8"/>
        <v/>
      </c>
      <c r="AI81" s="173"/>
      <c r="AJ81" s="172" t="str">
        <f>IF(AI81="","",IF(VLOOKUP(AI81,'G-7 Rivers Data'!$AA$4:$AB$7,2,FALSE)=0,"Spatial Data Missing",VLOOKUP(AI81,'G-7 Rivers Data'!$AA$4:$AB$7,2,FALSE)))</f>
        <v/>
      </c>
      <c r="AK81" s="187"/>
      <c r="AL81" s="172" t="str">
        <f>IF(AK81="","",IF(VLOOKUP(AK81,'G-7 Rivers Data'!$AD$4:$AE$8,2,FALSE)=0,"Spatial Data Missing",VLOOKUP(AK81,'G-7 Rivers Data'!$AD$4:$AE$8,2,FALSE)))</f>
        <v/>
      </c>
      <c r="AM81" s="265" t="str">
        <f t="shared" si="15"/>
        <v/>
      </c>
      <c r="AN81" s="180"/>
      <c r="AO81" s="181"/>
      <c r="AV81" s="35" t="str">
        <f>IFERROR(INDEX('G-7 Rivers Data'!$AZ$3:$AZ$7,MATCH(N81,'G-7 Rivers Data'!$AY$3:$AY$7,0)),"")</f>
        <v/>
      </c>
    </row>
    <row r="82" spans="2:48" ht="13.8" x14ac:dyDescent="0.25">
      <c r="B82" s="259" t="str">
        <f>'C-1 Site River Baseline'!AN80</f>
        <v/>
      </c>
      <c r="C82" s="175" t="str">
        <f>IF(B82="","",VLOOKUP($B82,'C-1 Site River Baseline'!$C$9:$R$257,2,FALSE))</f>
        <v/>
      </c>
      <c r="D82" s="175" t="str">
        <f>IF(C82="","",VLOOKUP($B82,'C-1 Site River Baseline'!$C$9:$R$257,3,FALSE))</f>
        <v/>
      </c>
      <c r="E82" s="175" t="str">
        <f>IF(D82="","",VLOOKUP($B82,'C-1 Site River Baseline'!$C$9:$R$257,4,FALSE))</f>
        <v/>
      </c>
      <c r="F82" s="175" t="str">
        <f>IF(E82="","",VLOOKUP($B82,'C-1 Site River Baseline'!$C$9:$R$257,5,FALSE))</f>
        <v/>
      </c>
      <c r="G82" s="175" t="str">
        <f>IF(F82="","",VLOOKUP($B82,'C-1 Site River Baseline'!$C$9:$R$257,6,FALSE))</f>
        <v/>
      </c>
      <c r="H82" s="175" t="str">
        <f>IF(G82="","",VLOOKUP($B82,'C-1 Site River Baseline'!$C$9:$R$257,7,FALSE))</f>
        <v/>
      </c>
      <c r="I82" s="175" t="str">
        <f>IF(H82="","",VLOOKUP($B82,'C-1 Site River Baseline'!$C$9:$R$257,8,FALSE))</f>
        <v/>
      </c>
      <c r="J82" s="175" t="str">
        <f>IF(I82="","",VLOOKUP($B82,'C-1 Site River Baseline'!$C$9:$R$257,9,FALSE))</f>
        <v/>
      </c>
      <c r="K82" s="175" t="str">
        <f>IF(J82="","",VLOOKUP($B82,'C-1 Site River Baseline'!$C$9:$R$257,10,FALSE))</f>
        <v/>
      </c>
      <c r="L82" s="175" t="str">
        <f>IF(B82="","",VLOOKUP($B82,'C-1 Site River Baseline'!$C$9:$R$257,15,FALSE))</f>
        <v/>
      </c>
      <c r="M82" s="176" t="str">
        <f>IF(L82="","",VLOOKUP($B82,'C-1 Site River Baseline'!$C$9:$R$257,16,FALSE))</f>
        <v/>
      </c>
      <c r="N82" s="639" t="str">
        <f t="shared" si="9"/>
        <v/>
      </c>
      <c r="O82" s="239" t="str">
        <f t="shared" si="10"/>
        <v/>
      </c>
      <c r="P82" s="172" t="str">
        <f>IF(C82="","",IF(AND(LEFT(C82,55)&lt;&gt;LEFT(N82,55),O82="High - High"),"Error - Not like for like",IF(AND(F82=S82,H82&gt;U82),"Error - Can not reduce condition",IF(AND(F82=S82,H82=U82,AJ82='C-1 Site River Baseline'!N80,'C-1 Site River Baseline'!P80=AL82),"Error - No enhancement",IF(AND(C82&lt;&gt;N82,F82&lt;S82),"Lower Distinctiveness Habitat"&amp;" - "&amp;T82,G82&amp;" - "&amp;T82)))))</f>
        <v/>
      </c>
      <c r="Q82" s="660" t="str">
        <f>IF(N82="","",VLOOKUP(B82,'C-1 Site River Baseline'!$C$10:$AA$257,19,FALSE))</f>
        <v/>
      </c>
      <c r="R82" s="171" t="str">
        <f>IF(N82="","",VLOOKUP(N82,'G-7 Rivers Data'!$B$2:$G$8,2,FALSE))</f>
        <v/>
      </c>
      <c r="S82" s="172" t="str">
        <f>IFERROR(VLOOKUP(R82,'G-7 Rivers Data'!$C$4:$D$8,2,FALSE),"")</f>
        <v/>
      </c>
      <c r="T82" s="173"/>
      <c r="U82" s="172" t="str">
        <f>IFERROR(INDEX('G-7 Rivers Data'!$H$4:$L$8,MATCH(N82,'G-7 Rivers Data'!$B$4:$B$8,0),MATCH(T82,'G-7 Rivers Data'!$H$3:$L$3,0)),"")</f>
        <v/>
      </c>
      <c r="V82" s="186"/>
      <c r="W82" s="175" t="str">
        <f>IF(V82="","",IF(VLOOKUP(V82,'G-7 Rivers Data'!$AG$4:$AI$9,2,FALSE)=0,"Spatial Data Missing",VLOOKUP(V82,'G-7 Rivers Data'!$AG$4:$AI$9,2,FALSE)))</f>
        <v/>
      </c>
      <c r="X82" s="176" t="str">
        <f>IF(V82="","",IF(VLOOKUP(V82,'G-7 Rivers Data'!$AG$4:$AI$9,3,FALSE)=0,"Spatial Data Missing",VLOOKUP(V82,'G-7 Rivers Data'!$AG$4:$AI$9,3,FALSE)))</f>
        <v/>
      </c>
      <c r="Y82" s="171" t="str">
        <f>IFERROR(IF(OR(LEFT(P82,5)="Error",LEFT(O82,5)="Error"),"Check Data",IF(F82&lt;S82,'G-7 Rivers Data'!$R$3,INDEX('G-7 Rivers Data'!$U$5:$Y$9,MATCH(G82,'G-7 Rivers Data'!$T$5:$T$9,0),MATCH(T82,'G-7 Rivers Data'!$U$4:$Y$4,0)))),"")</f>
        <v/>
      </c>
      <c r="Z82" s="261"/>
      <c r="AA82" s="261"/>
      <c r="AB82" s="179" t="str">
        <f t="shared" si="11"/>
        <v/>
      </c>
      <c r="AC82" s="262" t="str">
        <f t="shared" si="12"/>
        <v/>
      </c>
      <c r="AD82" s="382" t="str">
        <f>IFERROR(IF(AC82="Check Data","Check Data",VLOOKUP(AC82,'G-4 Temporal multipliers'!$A$4:$C$37,3,FALSE)),"")</f>
        <v/>
      </c>
      <c r="AE82" s="171" t="str">
        <f>IF(N82="","",VLOOKUP(N82,'G-7 Rivers Data'!$B$4:$G$8,5,FALSE))</f>
        <v/>
      </c>
      <c r="AF82" s="179" t="str">
        <f t="shared" si="13"/>
        <v/>
      </c>
      <c r="AG82" s="269" t="str">
        <f t="shared" si="14"/>
        <v/>
      </c>
      <c r="AH82" s="172" t="str">
        <f t="shared" si="8"/>
        <v/>
      </c>
      <c r="AI82" s="173"/>
      <c r="AJ82" s="172" t="str">
        <f>IF(AI82="","",IF(VLOOKUP(AI82,'G-7 Rivers Data'!$AA$4:$AB$7,2,FALSE)=0,"Spatial Data Missing",VLOOKUP(AI82,'G-7 Rivers Data'!$AA$4:$AB$7,2,FALSE)))</f>
        <v/>
      </c>
      <c r="AK82" s="187"/>
      <c r="AL82" s="172" t="str">
        <f>IF(AK82="","",IF(VLOOKUP(AK82,'G-7 Rivers Data'!$AD$4:$AE$8,2,FALSE)=0,"Spatial Data Missing",VLOOKUP(AK82,'G-7 Rivers Data'!$AD$4:$AE$8,2,FALSE)))</f>
        <v/>
      </c>
      <c r="AM82" s="265" t="str">
        <f t="shared" si="15"/>
        <v/>
      </c>
      <c r="AN82" s="180"/>
      <c r="AO82" s="181"/>
      <c r="AV82" s="35" t="str">
        <f>IFERROR(INDEX('G-7 Rivers Data'!$AZ$3:$AZ$7,MATCH(N82,'G-7 Rivers Data'!$AY$3:$AY$7,0)),"")</f>
        <v/>
      </c>
    </row>
    <row r="83" spans="2:48" ht="13.8" x14ac:dyDescent="0.25">
      <c r="B83" s="259" t="str">
        <f>'C-1 Site River Baseline'!AN81</f>
        <v/>
      </c>
      <c r="C83" s="175" t="str">
        <f>IF(B83="","",VLOOKUP($B83,'C-1 Site River Baseline'!$C$9:$R$257,2,FALSE))</f>
        <v/>
      </c>
      <c r="D83" s="175" t="str">
        <f>IF(C83="","",VLOOKUP($B83,'C-1 Site River Baseline'!$C$9:$R$257,3,FALSE))</f>
        <v/>
      </c>
      <c r="E83" s="175" t="str">
        <f>IF(D83="","",VLOOKUP($B83,'C-1 Site River Baseline'!$C$9:$R$257,4,FALSE))</f>
        <v/>
      </c>
      <c r="F83" s="175" t="str">
        <f>IF(E83="","",VLOOKUP($B83,'C-1 Site River Baseline'!$C$9:$R$257,5,FALSE))</f>
        <v/>
      </c>
      <c r="G83" s="175" t="str">
        <f>IF(F83="","",VLOOKUP($B83,'C-1 Site River Baseline'!$C$9:$R$257,6,FALSE))</f>
        <v/>
      </c>
      <c r="H83" s="175" t="str">
        <f>IF(G83="","",VLOOKUP($B83,'C-1 Site River Baseline'!$C$9:$R$257,7,FALSE))</f>
        <v/>
      </c>
      <c r="I83" s="175" t="str">
        <f>IF(H83="","",VLOOKUP($B83,'C-1 Site River Baseline'!$C$9:$R$257,8,FALSE))</f>
        <v/>
      </c>
      <c r="J83" s="175" t="str">
        <f>IF(I83="","",VLOOKUP($B83,'C-1 Site River Baseline'!$C$9:$R$257,9,FALSE))</f>
        <v/>
      </c>
      <c r="K83" s="175" t="str">
        <f>IF(J83="","",VLOOKUP($B83,'C-1 Site River Baseline'!$C$9:$R$257,10,FALSE))</f>
        <v/>
      </c>
      <c r="L83" s="175" t="str">
        <f>IF(B83="","",VLOOKUP($B83,'C-1 Site River Baseline'!$C$9:$R$257,15,FALSE))</f>
        <v/>
      </c>
      <c r="M83" s="176" t="str">
        <f>IF(L83="","",VLOOKUP($B83,'C-1 Site River Baseline'!$C$9:$R$257,16,FALSE))</f>
        <v/>
      </c>
      <c r="N83" s="639" t="str">
        <f t="shared" si="9"/>
        <v/>
      </c>
      <c r="O83" s="239" t="str">
        <f t="shared" si="10"/>
        <v/>
      </c>
      <c r="P83" s="172" t="str">
        <f>IF(C83="","",IF(AND(LEFT(C83,55)&lt;&gt;LEFT(N83,55),O83="High - High"),"Error - Not like for like",IF(AND(F83=S83,H83&gt;U83),"Error - Can not reduce condition",IF(AND(F83=S83,H83=U83,AJ83='C-1 Site River Baseline'!N81,'C-1 Site River Baseline'!P81=AL83),"Error - No enhancement",IF(AND(C83&lt;&gt;N83,F83&lt;S83),"Lower Distinctiveness Habitat"&amp;" - "&amp;T83,G83&amp;" - "&amp;T83)))))</f>
        <v/>
      </c>
      <c r="Q83" s="660" t="str">
        <f>IF(N83="","",VLOOKUP(B83,'C-1 Site River Baseline'!$C$10:$AA$257,19,FALSE))</f>
        <v/>
      </c>
      <c r="R83" s="171" t="str">
        <f>IF(N83="","",VLOOKUP(N83,'G-7 Rivers Data'!$B$2:$G$8,2,FALSE))</f>
        <v/>
      </c>
      <c r="S83" s="172" t="str">
        <f>IFERROR(VLOOKUP(R83,'G-7 Rivers Data'!$C$4:$D$8,2,FALSE),"")</f>
        <v/>
      </c>
      <c r="T83" s="173"/>
      <c r="U83" s="172" t="str">
        <f>IFERROR(INDEX('G-7 Rivers Data'!$H$4:$L$8,MATCH(N83,'G-7 Rivers Data'!$B$4:$B$8,0),MATCH(T83,'G-7 Rivers Data'!$H$3:$L$3,0)),"")</f>
        <v/>
      </c>
      <c r="V83" s="186"/>
      <c r="W83" s="175" t="str">
        <f>IF(V83="","",IF(VLOOKUP(V83,'G-7 Rivers Data'!$AG$4:$AI$9,2,FALSE)=0,"Spatial Data Missing",VLOOKUP(V83,'G-7 Rivers Data'!$AG$4:$AI$9,2,FALSE)))</f>
        <v/>
      </c>
      <c r="X83" s="176" t="str">
        <f>IF(V83="","",IF(VLOOKUP(V83,'G-7 Rivers Data'!$AG$4:$AI$9,3,FALSE)=0,"Spatial Data Missing",VLOOKUP(V83,'G-7 Rivers Data'!$AG$4:$AI$9,3,FALSE)))</f>
        <v/>
      </c>
      <c r="Y83" s="171" t="str">
        <f>IFERROR(IF(OR(LEFT(P83,5)="Error",LEFT(O83,5)="Error"),"Check Data",IF(F83&lt;S83,'G-7 Rivers Data'!$R$3,INDEX('G-7 Rivers Data'!$U$5:$Y$9,MATCH(G83,'G-7 Rivers Data'!$T$5:$T$9,0),MATCH(T83,'G-7 Rivers Data'!$U$4:$Y$4,0)))),"")</f>
        <v/>
      </c>
      <c r="Z83" s="261"/>
      <c r="AA83" s="261"/>
      <c r="AB83" s="179" t="str">
        <f t="shared" si="11"/>
        <v/>
      </c>
      <c r="AC83" s="262" t="str">
        <f t="shared" si="12"/>
        <v/>
      </c>
      <c r="AD83" s="382" t="str">
        <f>IFERROR(IF(AC83="Check Data","Check Data",VLOOKUP(AC83,'G-4 Temporal multipliers'!$A$4:$C$37,3,FALSE)),"")</f>
        <v/>
      </c>
      <c r="AE83" s="171" t="str">
        <f>IF(N83="","",VLOOKUP(N83,'G-7 Rivers Data'!$B$4:$G$8,5,FALSE))</f>
        <v/>
      </c>
      <c r="AF83" s="179" t="str">
        <f t="shared" si="13"/>
        <v/>
      </c>
      <c r="AG83" s="269" t="str">
        <f t="shared" si="14"/>
        <v/>
      </c>
      <c r="AH83" s="172" t="str">
        <f t="shared" si="8"/>
        <v/>
      </c>
      <c r="AI83" s="173"/>
      <c r="AJ83" s="172" t="str">
        <f>IF(AI83="","",IF(VLOOKUP(AI83,'G-7 Rivers Data'!$AA$4:$AB$7,2,FALSE)=0,"Spatial Data Missing",VLOOKUP(AI83,'G-7 Rivers Data'!$AA$4:$AB$7,2,FALSE)))</f>
        <v/>
      </c>
      <c r="AK83" s="187"/>
      <c r="AL83" s="172" t="str">
        <f>IF(AK83="","",IF(VLOOKUP(AK83,'G-7 Rivers Data'!$AD$4:$AE$8,2,FALSE)=0,"Spatial Data Missing",VLOOKUP(AK83,'G-7 Rivers Data'!$AD$4:$AE$8,2,FALSE)))</f>
        <v/>
      </c>
      <c r="AM83" s="265" t="str">
        <f t="shared" si="15"/>
        <v/>
      </c>
      <c r="AN83" s="180"/>
      <c r="AO83" s="181"/>
      <c r="AV83" s="35" t="str">
        <f>IFERROR(INDEX('G-7 Rivers Data'!$AZ$3:$AZ$7,MATCH(N83,'G-7 Rivers Data'!$AY$3:$AY$7,0)),"")</f>
        <v/>
      </c>
    </row>
    <row r="84" spans="2:48" ht="13.8" x14ac:dyDescent="0.25">
      <c r="B84" s="259" t="str">
        <f>'C-1 Site River Baseline'!AN82</f>
        <v/>
      </c>
      <c r="C84" s="175" t="str">
        <f>IF(B84="","",VLOOKUP($B84,'C-1 Site River Baseline'!$C$9:$R$257,2,FALSE))</f>
        <v/>
      </c>
      <c r="D84" s="175" t="str">
        <f>IF(C84="","",VLOOKUP($B84,'C-1 Site River Baseline'!$C$9:$R$257,3,FALSE))</f>
        <v/>
      </c>
      <c r="E84" s="175" t="str">
        <f>IF(D84="","",VLOOKUP($B84,'C-1 Site River Baseline'!$C$9:$R$257,4,FALSE))</f>
        <v/>
      </c>
      <c r="F84" s="175" t="str">
        <f>IF(E84="","",VLOOKUP($B84,'C-1 Site River Baseline'!$C$9:$R$257,5,FALSE))</f>
        <v/>
      </c>
      <c r="G84" s="175" t="str">
        <f>IF(F84="","",VLOOKUP($B84,'C-1 Site River Baseline'!$C$9:$R$257,6,FALSE))</f>
        <v/>
      </c>
      <c r="H84" s="175" t="str">
        <f>IF(G84="","",VLOOKUP($B84,'C-1 Site River Baseline'!$C$9:$R$257,7,FALSE))</f>
        <v/>
      </c>
      <c r="I84" s="175" t="str">
        <f>IF(H84="","",VLOOKUP($B84,'C-1 Site River Baseline'!$C$9:$R$257,8,FALSE))</f>
        <v/>
      </c>
      <c r="J84" s="175" t="str">
        <f>IF(I84="","",VLOOKUP($B84,'C-1 Site River Baseline'!$C$9:$R$257,9,FALSE))</f>
        <v/>
      </c>
      <c r="K84" s="175" t="str">
        <f>IF(J84="","",VLOOKUP($B84,'C-1 Site River Baseline'!$C$9:$R$257,10,FALSE))</f>
        <v/>
      </c>
      <c r="L84" s="175" t="str">
        <f>IF(B84="","",VLOOKUP($B84,'C-1 Site River Baseline'!$C$9:$R$257,15,FALSE))</f>
        <v/>
      </c>
      <c r="M84" s="176" t="str">
        <f>IF(L84="","",VLOOKUP($B84,'C-1 Site River Baseline'!$C$9:$R$257,16,FALSE))</f>
        <v/>
      </c>
      <c r="N84" s="639" t="str">
        <f t="shared" si="9"/>
        <v/>
      </c>
      <c r="O84" s="239" t="str">
        <f t="shared" si="10"/>
        <v/>
      </c>
      <c r="P84" s="172" t="str">
        <f>IF(C84="","",IF(AND(LEFT(C84,55)&lt;&gt;LEFT(N84,55),O84="High - High"),"Error - Not like for like",IF(AND(F84=S84,H84&gt;U84),"Error - Can not reduce condition",IF(AND(F84=S84,H84=U84,AJ84='C-1 Site River Baseline'!N82,'C-1 Site River Baseline'!P82=AL84),"Error - No enhancement",IF(AND(C84&lt;&gt;N84,F84&lt;S84),"Lower Distinctiveness Habitat"&amp;" - "&amp;T84,G84&amp;" - "&amp;T84)))))</f>
        <v/>
      </c>
      <c r="Q84" s="660" t="str">
        <f>IF(N84="","",VLOOKUP(B84,'C-1 Site River Baseline'!$C$10:$AA$257,19,FALSE))</f>
        <v/>
      </c>
      <c r="R84" s="171" t="str">
        <f>IF(N84="","",VLOOKUP(N84,'G-7 Rivers Data'!$B$2:$G$8,2,FALSE))</f>
        <v/>
      </c>
      <c r="S84" s="172" t="str">
        <f>IFERROR(VLOOKUP(R84,'G-7 Rivers Data'!$C$4:$D$8,2,FALSE),"")</f>
        <v/>
      </c>
      <c r="T84" s="173"/>
      <c r="U84" s="172" t="str">
        <f>IFERROR(INDEX('G-7 Rivers Data'!$H$4:$L$8,MATCH(N84,'G-7 Rivers Data'!$B$4:$B$8,0),MATCH(T84,'G-7 Rivers Data'!$H$3:$L$3,0)),"")</f>
        <v/>
      </c>
      <c r="V84" s="186"/>
      <c r="W84" s="175" t="str">
        <f>IF(V84="","",IF(VLOOKUP(V84,'G-7 Rivers Data'!$AG$4:$AI$9,2,FALSE)=0,"Spatial Data Missing",VLOOKUP(V84,'G-7 Rivers Data'!$AG$4:$AI$9,2,FALSE)))</f>
        <v/>
      </c>
      <c r="X84" s="176" t="str">
        <f>IF(V84="","",IF(VLOOKUP(V84,'G-7 Rivers Data'!$AG$4:$AI$9,3,FALSE)=0,"Spatial Data Missing",VLOOKUP(V84,'G-7 Rivers Data'!$AG$4:$AI$9,3,FALSE)))</f>
        <v/>
      </c>
      <c r="Y84" s="171" t="str">
        <f>IFERROR(IF(OR(LEFT(P84,5)="Error",LEFT(O84,5)="Error"),"Check Data",IF(F84&lt;S84,'G-7 Rivers Data'!$R$3,INDEX('G-7 Rivers Data'!$U$5:$Y$9,MATCH(G84,'G-7 Rivers Data'!$T$5:$T$9,0),MATCH(T84,'G-7 Rivers Data'!$U$4:$Y$4,0)))),"")</f>
        <v/>
      </c>
      <c r="Z84" s="261"/>
      <c r="AA84" s="261"/>
      <c r="AB84" s="179" t="str">
        <f t="shared" si="11"/>
        <v/>
      </c>
      <c r="AC84" s="262" t="str">
        <f t="shared" si="12"/>
        <v/>
      </c>
      <c r="AD84" s="382" t="str">
        <f>IFERROR(IF(AC84="Check Data","Check Data",VLOOKUP(AC84,'G-4 Temporal multipliers'!$A$4:$C$37,3,FALSE)),"")</f>
        <v/>
      </c>
      <c r="AE84" s="171" t="str">
        <f>IF(N84="","",VLOOKUP(N84,'G-7 Rivers Data'!$B$4:$G$8,5,FALSE))</f>
        <v/>
      </c>
      <c r="AF84" s="179" t="str">
        <f t="shared" si="13"/>
        <v/>
      </c>
      <c r="AG84" s="269" t="str">
        <f t="shared" si="14"/>
        <v/>
      </c>
      <c r="AH84" s="172" t="str">
        <f t="shared" si="8"/>
        <v/>
      </c>
      <c r="AI84" s="173"/>
      <c r="AJ84" s="172" t="str">
        <f>IF(AI84="","",IF(VLOOKUP(AI84,'G-7 Rivers Data'!$AA$4:$AB$7,2,FALSE)=0,"Spatial Data Missing",VLOOKUP(AI84,'G-7 Rivers Data'!$AA$4:$AB$7,2,FALSE)))</f>
        <v/>
      </c>
      <c r="AK84" s="187"/>
      <c r="AL84" s="172" t="str">
        <f>IF(AK84="","",IF(VLOOKUP(AK84,'G-7 Rivers Data'!$AD$4:$AE$8,2,FALSE)=0,"Spatial Data Missing",VLOOKUP(AK84,'G-7 Rivers Data'!$AD$4:$AE$8,2,FALSE)))</f>
        <v/>
      </c>
      <c r="AM84" s="265" t="str">
        <f t="shared" si="15"/>
        <v/>
      </c>
      <c r="AN84" s="180"/>
      <c r="AO84" s="181"/>
      <c r="AV84" s="35" t="str">
        <f>IFERROR(INDEX('G-7 Rivers Data'!$AZ$3:$AZ$7,MATCH(N84,'G-7 Rivers Data'!$AY$3:$AY$7,0)),"")</f>
        <v/>
      </c>
    </row>
    <row r="85" spans="2:48" ht="13.8" x14ac:dyDescent="0.25">
      <c r="B85" s="259" t="str">
        <f>'C-1 Site River Baseline'!AN83</f>
        <v/>
      </c>
      <c r="C85" s="175" t="str">
        <f>IF(B85="","",VLOOKUP($B85,'C-1 Site River Baseline'!$C$9:$R$257,2,FALSE))</f>
        <v/>
      </c>
      <c r="D85" s="175" t="str">
        <f>IF(C85="","",VLOOKUP($B85,'C-1 Site River Baseline'!$C$9:$R$257,3,FALSE))</f>
        <v/>
      </c>
      <c r="E85" s="175" t="str">
        <f>IF(D85="","",VLOOKUP($B85,'C-1 Site River Baseline'!$C$9:$R$257,4,FALSE))</f>
        <v/>
      </c>
      <c r="F85" s="175" t="str">
        <f>IF(E85="","",VLOOKUP($B85,'C-1 Site River Baseline'!$C$9:$R$257,5,FALSE))</f>
        <v/>
      </c>
      <c r="G85" s="175" t="str">
        <f>IF(F85="","",VLOOKUP($B85,'C-1 Site River Baseline'!$C$9:$R$257,6,FALSE))</f>
        <v/>
      </c>
      <c r="H85" s="175" t="str">
        <f>IF(G85="","",VLOOKUP($B85,'C-1 Site River Baseline'!$C$9:$R$257,7,FALSE))</f>
        <v/>
      </c>
      <c r="I85" s="175" t="str">
        <f>IF(H85="","",VLOOKUP($B85,'C-1 Site River Baseline'!$C$9:$R$257,8,FALSE))</f>
        <v/>
      </c>
      <c r="J85" s="175" t="str">
        <f>IF(I85="","",VLOOKUP($B85,'C-1 Site River Baseline'!$C$9:$R$257,9,FALSE))</f>
        <v/>
      </c>
      <c r="K85" s="175" t="str">
        <f>IF(J85="","",VLOOKUP($B85,'C-1 Site River Baseline'!$C$9:$R$257,10,FALSE))</f>
        <v/>
      </c>
      <c r="L85" s="175" t="str">
        <f>IF(B85="","",VLOOKUP($B85,'C-1 Site River Baseline'!$C$9:$R$257,15,FALSE))</f>
        <v/>
      </c>
      <c r="M85" s="176" t="str">
        <f>IF(L85="","",VLOOKUP($B85,'C-1 Site River Baseline'!$C$9:$R$257,16,FALSE))</f>
        <v/>
      </c>
      <c r="N85" s="639" t="str">
        <f t="shared" si="9"/>
        <v/>
      </c>
      <c r="O85" s="239" t="str">
        <f t="shared" si="10"/>
        <v/>
      </c>
      <c r="P85" s="172" t="str">
        <f>IF(C85="","",IF(AND(LEFT(C85,55)&lt;&gt;LEFT(N85,55),O85="High - High"),"Error - Not like for like",IF(AND(F85=S85,H85&gt;U85),"Error - Can not reduce condition",IF(AND(F85=S85,H85=U85,AJ85='C-1 Site River Baseline'!N83,'C-1 Site River Baseline'!P83=AL85),"Error - No enhancement",IF(AND(C85&lt;&gt;N85,F85&lt;S85),"Lower Distinctiveness Habitat"&amp;" - "&amp;T85,G85&amp;" - "&amp;T85)))))</f>
        <v/>
      </c>
      <c r="Q85" s="660" t="str">
        <f>IF(N85="","",VLOOKUP(B85,'C-1 Site River Baseline'!$C$10:$AA$257,19,FALSE))</f>
        <v/>
      </c>
      <c r="R85" s="171" t="str">
        <f>IF(N85="","",VLOOKUP(N85,'G-7 Rivers Data'!$B$2:$G$8,2,FALSE))</f>
        <v/>
      </c>
      <c r="S85" s="172" t="str">
        <f>IFERROR(VLOOKUP(R85,'G-7 Rivers Data'!$C$4:$D$8,2,FALSE),"")</f>
        <v/>
      </c>
      <c r="T85" s="173"/>
      <c r="U85" s="172" t="str">
        <f>IFERROR(INDEX('G-7 Rivers Data'!$H$4:$L$8,MATCH(N85,'G-7 Rivers Data'!$B$4:$B$8,0),MATCH(T85,'G-7 Rivers Data'!$H$3:$L$3,0)),"")</f>
        <v/>
      </c>
      <c r="V85" s="186"/>
      <c r="W85" s="175" t="str">
        <f>IF(V85="","",IF(VLOOKUP(V85,'G-7 Rivers Data'!$AG$4:$AI$9,2,FALSE)=0,"Spatial Data Missing",VLOOKUP(V85,'G-7 Rivers Data'!$AG$4:$AI$9,2,FALSE)))</f>
        <v/>
      </c>
      <c r="X85" s="176" t="str">
        <f>IF(V85="","",IF(VLOOKUP(V85,'G-7 Rivers Data'!$AG$4:$AI$9,3,FALSE)=0,"Spatial Data Missing",VLOOKUP(V85,'G-7 Rivers Data'!$AG$4:$AI$9,3,FALSE)))</f>
        <v/>
      </c>
      <c r="Y85" s="171" t="str">
        <f>IFERROR(IF(OR(LEFT(P85,5)="Error",LEFT(O85,5)="Error"),"Check Data",IF(F85&lt;S85,'G-7 Rivers Data'!$R$3,INDEX('G-7 Rivers Data'!$U$5:$Y$9,MATCH(G85,'G-7 Rivers Data'!$T$5:$T$9,0),MATCH(T85,'G-7 Rivers Data'!$U$4:$Y$4,0)))),"")</f>
        <v/>
      </c>
      <c r="Z85" s="261"/>
      <c r="AA85" s="261"/>
      <c r="AB85" s="179" t="str">
        <f t="shared" si="11"/>
        <v/>
      </c>
      <c r="AC85" s="262" t="str">
        <f t="shared" si="12"/>
        <v/>
      </c>
      <c r="AD85" s="382" t="str">
        <f>IFERROR(IF(AC85="Check Data","Check Data",VLOOKUP(AC85,'G-4 Temporal multipliers'!$A$4:$C$37,3,FALSE)),"")</f>
        <v/>
      </c>
      <c r="AE85" s="171" t="str">
        <f>IF(N85="","",VLOOKUP(N85,'G-7 Rivers Data'!$B$4:$G$8,5,FALSE))</f>
        <v/>
      </c>
      <c r="AF85" s="179" t="str">
        <f t="shared" si="13"/>
        <v/>
      </c>
      <c r="AG85" s="269" t="str">
        <f t="shared" si="14"/>
        <v/>
      </c>
      <c r="AH85" s="172" t="str">
        <f t="shared" si="8"/>
        <v/>
      </c>
      <c r="AI85" s="173"/>
      <c r="AJ85" s="172" t="str">
        <f>IF(AI85="","",IF(VLOOKUP(AI85,'G-7 Rivers Data'!$AA$4:$AB$7,2,FALSE)=0,"Spatial Data Missing",VLOOKUP(AI85,'G-7 Rivers Data'!$AA$4:$AB$7,2,FALSE)))</f>
        <v/>
      </c>
      <c r="AK85" s="187"/>
      <c r="AL85" s="172" t="str">
        <f>IF(AK85="","",IF(VLOOKUP(AK85,'G-7 Rivers Data'!$AD$4:$AE$8,2,FALSE)=0,"Spatial Data Missing",VLOOKUP(AK85,'G-7 Rivers Data'!$AD$4:$AE$8,2,FALSE)))</f>
        <v/>
      </c>
      <c r="AM85" s="265" t="str">
        <f t="shared" si="15"/>
        <v/>
      </c>
      <c r="AN85" s="180"/>
      <c r="AO85" s="181"/>
      <c r="AV85" s="35" t="str">
        <f>IFERROR(INDEX('G-7 Rivers Data'!$AZ$3:$AZ$7,MATCH(N85,'G-7 Rivers Data'!$AY$3:$AY$7,0)),"")</f>
        <v/>
      </c>
    </row>
    <row r="86" spans="2:48" ht="13.8" x14ac:dyDescent="0.25">
      <c r="B86" s="259" t="str">
        <f>'C-1 Site River Baseline'!AN84</f>
        <v/>
      </c>
      <c r="C86" s="175" t="str">
        <f>IF(B86="","",VLOOKUP($B86,'C-1 Site River Baseline'!$C$9:$R$257,2,FALSE))</f>
        <v/>
      </c>
      <c r="D86" s="175" t="str">
        <f>IF(C86="","",VLOOKUP($B86,'C-1 Site River Baseline'!$C$9:$R$257,3,FALSE))</f>
        <v/>
      </c>
      <c r="E86" s="175" t="str">
        <f>IF(D86="","",VLOOKUP($B86,'C-1 Site River Baseline'!$C$9:$R$257,4,FALSE))</f>
        <v/>
      </c>
      <c r="F86" s="175" t="str">
        <f>IF(E86="","",VLOOKUP($B86,'C-1 Site River Baseline'!$C$9:$R$257,5,FALSE))</f>
        <v/>
      </c>
      <c r="G86" s="175" t="str">
        <f>IF(F86="","",VLOOKUP($B86,'C-1 Site River Baseline'!$C$9:$R$257,6,FALSE))</f>
        <v/>
      </c>
      <c r="H86" s="175" t="str">
        <f>IF(G86="","",VLOOKUP($B86,'C-1 Site River Baseline'!$C$9:$R$257,7,FALSE))</f>
        <v/>
      </c>
      <c r="I86" s="175" t="str">
        <f>IF(H86="","",VLOOKUP($B86,'C-1 Site River Baseline'!$C$9:$R$257,8,FALSE))</f>
        <v/>
      </c>
      <c r="J86" s="175" t="str">
        <f>IF(I86="","",VLOOKUP($B86,'C-1 Site River Baseline'!$C$9:$R$257,9,FALSE))</f>
        <v/>
      </c>
      <c r="K86" s="175" t="str">
        <f>IF(J86="","",VLOOKUP($B86,'C-1 Site River Baseline'!$C$9:$R$257,10,FALSE))</f>
        <v/>
      </c>
      <c r="L86" s="175" t="str">
        <f>IF(B86="","",VLOOKUP($B86,'C-1 Site River Baseline'!$C$9:$R$257,15,FALSE))</f>
        <v/>
      </c>
      <c r="M86" s="176" t="str">
        <f>IF(L86="","",VLOOKUP($B86,'C-1 Site River Baseline'!$C$9:$R$257,16,FALSE))</f>
        <v/>
      </c>
      <c r="N86" s="639" t="str">
        <f t="shared" si="9"/>
        <v/>
      </c>
      <c r="O86" s="239" t="str">
        <f t="shared" si="10"/>
        <v/>
      </c>
      <c r="P86" s="172" t="str">
        <f>IF(C86="","",IF(AND(LEFT(C86,55)&lt;&gt;LEFT(N86,55),O86="High - High"),"Error - Not like for like",IF(AND(F86=S86,H86&gt;U86),"Error - Can not reduce condition",IF(AND(F86=S86,H86=U86,AJ86='C-1 Site River Baseline'!N84,'C-1 Site River Baseline'!P84=AL86),"Error - No enhancement",IF(AND(C86&lt;&gt;N86,F86&lt;S86),"Lower Distinctiveness Habitat"&amp;" - "&amp;T86,G86&amp;" - "&amp;T86)))))</f>
        <v/>
      </c>
      <c r="Q86" s="660" t="str">
        <f>IF(N86="","",VLOOKUP(B86,'C-1 Site River Baseline'!$C$10:$AA$257,19,FALSE))</f>
        <v/>
      </c>
      <c r="R86" s="171" t="str">
        <f>IF(N86="","",VLOOKUP(N86,'G-7 Rivers Data'!$B$2:$G$8,2,FALSE))</f>
        <v/>
      </c>
      <c r="S86" s="172" t="str">
        <f>IFERROR(VLOOKUP(R86,'G-7 Rivers Data'!$C$4:$D$8,2,FALSE),"")</f>
        <v/>
      </c>
      <c r="T86" s="173"/>
      <c r="U86" s="172" t="str">
        <f>IFERROR(INDEX('G-7 Rivers Data'!$H$4:$L$8,MATCH(N86,'G-7 Rivers Data'!$B$4:$B$8,0),MATCH(T86,'G-7 Rivers Data'!$H$3:$L$3,0)),"")</f>
        <v/>
      </c>
      <c r="V86" s="186"/>
      <c r="W86" s="175" t="str">
        <f>IF(V86="","",IF(VLOOKUP(V86,'G-7 Rivers Data'!$AG$4:$AI$9,2,FALSE)=0,"Spatial Data Missing",VLOOKUP(V86,'G-7 Rivers Data'!$AG$4:$AI$9,2,FALSE)))</f>
        <v/>
      </c>
      <c r="X86" s="176" t="str">
        <f>IF(V86="","",IF(VLOOKUP(V86,'G-7 Rivers Data'!$AG$4:$AI$9,3,FALSE)=0,"Spatial Data Missing",VLOOKUP(V86,'G-7 Rivers Data'!$AG$4:$AI$9,3,FALSE)))</f>
        <v/>
      </c>
      <c r="Y86" s="171" t="str">
        <f>IFERROR(IF(OR(LEFT(P86,5)="Error",LEFT(O86,5)="Error"),"Check Data",IF(F86&lt;S86,'G-7 Rivers Data'!$R$3,INDEX('G-7 Rivers Data'!$U$5:$Y$9,MATCH(G86,'G-7 Rivers Data'!$T$5:$T$9,0),MATCH(T86,'G-7 Rivers Data'!$U$4:$Y$4,0)))),"")</f>
        <v/>
      </c>
      <c r="Z86" s="261"/>
      <c r="AA86" s="261"/>
      <c r="AB86" s="179" t="str">
        <f t="shared" si="11"/>
        <v/>
      </c>
      <c r="AC86" s="262" t="str">
        <f t="shared" si="12"/>
        <v/>
      </c>
      <c r="AD86" s="382" t="str">
        <f>IFERROR(IF(AC86="Check Data","Check Data",VLOOKUP(AC86,'G-4 Temporal multipliers'!$A$4:$C$37,3,FALSE)),"")</f>
        <v/>
      </c>
      <c r="AE86" s="171" t="str">
        <f>IF(N86="","",VLOOKUP(N86,'G-7 Rivers Data'!$B$4:$G$8,5,FALSE))</f>
        <v/>
      </c>
      <c r="AF86" s="179" t="str">
        <f t="shared" si="13"/>
        <v/>
      </c>
      <c r="AG86" s="269" t="str">
        <f t="shared" si="14"/>
        <v/>
      </c>
      <c r="AH86" s="172" t="str">
        <f t="shared" si="8"/>
        <v/>
      </c>
      <c r="AI86" s="173"/>
      <c r="AJ86" s="172" t="str">
        <f>IF(AI86="","",IF(VLOOKUP(AI86,'G-7 Rivers Data'!$AA$4:$AB$7,2,FALSE)=0,"Spatial Data Missing",VLOOKUP(AI86,'G-7 Rivers Data'!$AA$4:$AB$7,2,FALSE)))</f>
        <v/>
      </c>
      <c r="AK86" s="187"/>
      <c r="AL86" s="172" t="str">
        <f>IF(AK86="","",IF(VLOOKUP(AK86,'G-7 Rivers Data'!$AD$4:$AE$8,2,FALSE)=0,"Spatial Data Missing",VLOOKUP(AK86,'G-7 Rivers Data'!$AD$4:$AE$8,2,FALSE)))</f>
        <v/>
      </c>
      <c r="AM86" s="265" t="str">
        <f t="shared" si="15"/>
        <v/>
      </c>
      <c r="AN86" s="180"/>
      <c r="AO86" s="181"/>
      <c r="AV86" s="35" t="str">
        <f>IFERROR(INDEX('G-7 Rivers Data'!$AZ$3:$AZ$7,MATCH(N86,'G-7 Rivers Data'!$AY$3:$AY$7,0)),"")</f>
        <v/>
      </c>
    </row>
    <row r="87" spans="2:48" ht="13.8" x14ac:dyDescent="0.25">
      <c r="B87" s="259" t="str">
        <f>'C-1 Site River Baseline'!AN85</f>
        <v/>
      </c>
      <c r="C87" s="175" t="str">
        <f>IF(B87="","",VLOOKUP($B87,'C-1 Site River Baseline'!$C$9:$R$257,2,FALSE))</f>
        <v/>
      </c>
      <c r="D87" s="175" t="str">
        <f>IF(C87="","",VLOOKUP($B87,'C-1 Site River Baseline'!$C$9:$R$257,3,FALSE))</f>
        <v/>
      </c>
      <c r="E87" s="175" t="str">
        <f>IF(D87="","",VLOOKUP($B87,'C-1 Site River Baseline'!$C$9:$R$257,4,FALSE))</f>
        <v/>
      </c>
      <c r="F87" s="175" t="str">
        <f>IF(E87="","",VLOOKUP($B87,'C-1 Site River Baseline'!$C$9:$R$257,5,FALSE))</f>
        <v/>
      </c>
      <c r="G87" s="175" t="str">
        <f>IF(F87="","",VLOOKUP($B87,'C-1 Site River Baseline'!$C$9:$R$257,6,FALSE))</f>
        <v/>
      </c>
      <c r="H87" s="175" t="str">
        <f>IF(G87="","",VLOOKUP($B87,'C-1 Site River Baseline'!$C$9:$R$257,7,FALSE))</f>
        <v/>
      </c>
      <c r="I87" s="175" t="str">
        <f>IF(H87="","",VLOOKUP($B87,'C-1 Site River Baseline'!$C$9:$R$257,8,FALSE))</f>
        <v/>
      </c>
      <c r="J87" s="175" t="str">
        <f>IF(I87="","",VLOOKUP($B87,'C-1 Site River Baseline'!$C$9:$R$257,9,FALSE))</f>
        <v/>
      </c>
      <c r="K87" s="175" t="str">
        <f>IF(J87="","",VLOOKUP($B87,'C-1 Site River Baseline'!$C$9:$R$257,10,FALSE))</f>
        <v/>
      </c>
      <c r="L87" s="175" t="str">
        <f>IF(B87="","",VLOOKUP($B87,'C-1 Site River Baseline'!$C$9:$R$257,15,FALSE))</f>
        <v/>
      </c>
      <c r="M87" s="176" t="str">
        <f>IF(L87="","",VLOOKUP($B87,'C-1 Site River Baseline'!$C$9:$R$257,16,FALSE))</f>
        <v/>
      </c>
      <c r="N87" s="639" t="str">
        <f t="shared" si="9"/>
        <v/>
      </c>
      <c r="O87" s="239" t="str">
        <f t="shared" si="10"/>
        <v/>
      </c>
      <c r="P87" s="172" t="str">
        <f>IF(C87="","",IF(AND(LEFT(C87,55)&lt;&gt;LEFT(N87,55),O87="High - High"),"Error - Not like for like",IF(AND(F87=S87,H87&gt;U87),"Error - Can not reduce condition",IF(AND(F87=S87,H87=U87,AJ87='C-1 Site River Baseline'!N85,'C-1 Site River Baseline'!P85=AL87),"Error - No enhancement",IF(AND(C87&lt;&gt;N87,F87&lt;S87),"Lower Distinctiveness Habitat"&amp;" - "&amp;T87,G87&amp;" - "&amp;T87)))))</f>
        <v/>
      </c>
      <c r="Q87" s="660" t="str">
        <f>IF(N87="","",VLOOKUP(B87,'C-1 Site River Baseline'!$C$10:$AA$257,19,FALSE))</f>
        <v/>
      </c>
      <c r="R87" s="171" t="str">
        <f>IF(N87="","",VLOOKUP(N87,'G-7 Rivers Data'!$B$2:$G$8,2,FALSE))</f>
        <v/>
      </c>
      <c r="S87" s="172" t="str">
        <f>IFERROR(VLOOKUP(R87,'G-7 Rivers Data'!$C$4:$D$8,2,FALSE),"")</f>
        <v/>
      </c>
      <c r="T87" s="173"/>
      <c r="U87" s="172" t="str">
        <f>IFERROR(INDEX('G-7 Rivers Data'!$H$4:$L$8,MATCH(N87,'G-7 Rivers Data'!$B$4:$B$8,0),MATCH(T87,'G-7 Rivers Data'!$H$3:$L$3,0)),"")</f>
        <v/>
      </c>
      <c r="V87" s="186"/>
      <c r="W87" s="175" t="str">
        <f>IF(V87="","",IF(VLOOKUP(V87,'G-7 Rivers Data'!$AG$4:$AI$9,2,FALSE)=0,"Spatial Data Missing",VLOOKUP(V87,'G-7 Rivers Data'!$AG$4:$AI$9,2,FALSE)))</f>
        <v/>
      </c>
      <c r="X87" s="176" t="str">
        <f>IF(V87="","",IF(VLOOKUP(V87,'G-7 Rivers Data'!$AG$4:$AI$9,3,FALSE)=0,"Spatial Data Missing",VLOOKUP(V87,'G-7 Rivers Data'!$AG$4:$AI$9,3,FALSE)))</f>
        <v/>
      </c>
      <c r="Y87" s="171" t="str">
        <f>IFERROR(IF(OR(LEFT(P87,5)="Error",LEFT(O87,5)="Error"),"Check Data",IF(F87&lt;S87,'G-7 Rivers Data'!$R$3,INDEX('G-7 Rivers Data'!$U$5:$Y$9,MATCH(G87,'G-7 Rivers Data'!$T$5:$T$9,0),MATCH(T87,'G-7 Rivers Data'!$U$4:$Y$4,0)))),"")</f>
        <v/>
      </c>
      <c r="Z87" s="261"/>
      <c r="AA87" s="261"/>
      <c r="AB87" s="179" t="str">
        <f t="shared" si="11"/>
        <v/>
      </c>
      <c r="AC87" s="262" t="str">
        <f t="shared" si="12"/>
        <v/>
      </c>
      <c r="AD87" s="382" t="str">
        <f>IFERROR(IF(AC87="Check Data","Check Data",VLOOKUP(AC87,'G-4 Temporal multipliers'!$A$4:$C$37,3,FALSE)),"")</f>
        <v/>
      </c>
      <c r="AE87" s="171" t="str">
        <f>IF(N87="","",VLOOKUP(N87,'G-7 Rivers Data'!$B$4:$G$8,5,FALSE))</f>
        <v/>
      </c>
      <c r="AF87" s="179" t="str">
        <f t="shared" si="13"/>
        <v/>
      </c>
      <c r="AG87" s="269" t="str">
        <f t="shared" si="14"/>
        <v/>
      </c>
      <c r="AH87" s="172" t="str">
        <f t="shared" si="8"/>
        <v/>
      </c>
      <c r="AI87" s="173"/>
      <c r="AJ87" s="172" t="str">
        <f>IF(AI87="","",IF(VLOOKUP(AI87,'G-7 Rivers Data'!$AA$4:$AB$7,2,FALSE)=0,"Spatial Data Missing",VLOOKUP(AI87,'G-7 Rivers Data'!$AA$4:$AB$7,2,FALSE)))</f>
        <v/>
      </c>
      <c r="AK87" s="187"/>
      <c r="AL87" s="172" t="str">
        <f>IF(AK87="","",IF(VLOOKUP(AK87,'G-7 Rivers Data'!$AD$4:$AE$8,2,FALSE)=0,"Spatial Data Missing",VLOOKUP(AK87,'G-7 Rivers Data'!$AD$4:$AE$8,2,FALSE)))</f>
        <v/>
      </c>
      <c r="AM87" s="265" t="str">
        <f t="shared" si="15"/>
        <v/>
      </c>
      <c r="AN87" s="180"/>
      <c r="AO87" s="181"/>
      <c r="AV87" s="35" t="str">
        <f>IFERROR(INDEX('G-7 Rivers Data'!$AZ$3:$AZ$7,MATCH(N87,'G-7 Rivers Data'!$AY$3:$AY$7,0)),"")</f>
        <v/>
      </c>
    </row>
    <row r="88" spans="2:48" ht="13.8" x14ac:dyDescent="0.25">
      <c r="B88" s="259" t="str">
        <f>'C-1 Site River Baseline'!AN86</f>
        <v/>
      </c>
      <c r="C88" s="175" t="str">
        <f>IF(B88="","",VLOOKUP($B88,'C-1 Site River Baseline'!$C$9:$R$257,2,FALSE))</f>
        <v/>
      </c>
      <c r="D88" s="175" t="str">
        <f>IF(C88="","",VLOOKUP($B88,'C-1 Site River Baseline'!$C$9:$R$257,3,FALSE))</f>
        <v/>
      </c>
      <c r="E88" s="175" t="str">
        <f>IF(D88="","",VLOOKUP($B88,'C-1 Site River Baseline'!$C$9:$R$257,4,FALSE))</f>
        <v/>
      </c>
      <c r="F88" s="175" t="str">
        <f>IF(E88="","",VLOOKUP($B88,'C-1 Site River Baseline'!$C$9:$R$257,5,FALSE))</f>
        <v/>
      </c>
      <c r="G88" s="175" t="str">
        <f>IF(F88="","",VLOOKUP($B88,'C-1 Site River Baseline'!$C$9:$R$257,6,FALSE))</f>
        <v/>
      </c>
      <c r="H88" s="175" t="str">
        <f>IF(G88="","",VLOOKUP($B88,'C-1 Site River Baseline'!$C$9:$R$257,7,FALSE))</f>
        <v/>
      </c>
      <c r="I88" s="175" t="str">
        <f>IF(H88="","",VLOOKUP($B88,'C-1 Site River Baseline'!$C$9:$R$257,8,FALSE))</f>
        <v/>
      </c>
      <c r="J88" s="175" t="str">
        <f>IF(I88="","",VLOOKUP($B88,'C-1 Site River Baseline'!$C$9:$R$257,9,FALSE))</f>
        <v/>
      </c>
      <c r="K88" s="175" t="str">
        <f>IF(J88="","",VLOOKUP($B88,'C-1 Site River Baseline'!$C$9:$R$257,10,FALSE))</f>
        <v/>
      </c>
      <c r="L88" s="175" t="str">
        <f>IF(B88="","",VLOOKUP($B88,'C-1 Site River Baseline'!$C$9:$R$257,15,FALSE))</f>
        <v/>
      </c>
      <c r="M88" s="176" t="str">
        <f>IF(L88="","",VLOOKUP($B88,'C-1 Site River Baseline'!$C$9:$R$257,16,FALSE))</f>
        <v/>
      </c>
      <c r="N88" s="639" t="str">
        <f t="shared" si="9"/>
        <v/>
      </c>
      <c r="O88" s="239" t="str">
        <f t="shared" si="10"/>
        <v/>
      </c>
      <c r="P88" s="172" t="str">
        <f>IF(C88="","",IF(AND(LEFT(C88,55)&lt;&gt;LEFT(N88,55),O88="High - High"),"Error - Not like for like",IF(AND(F88=S88,H88&gt;U88),"Error - Can not reduce condition",IF(AND(F88=S88,H88=U88,AJ88='C-1 Site River Baseline'!N86,'C-1 Site River Baseline'!P86=AL88),"Error - No enhancement",IF(AND(C88&lt;&gt;N88,F88&lt;S88),"Lower Distinctiveness Habitat"&amp;" - "&amp;T88,G88&amp;" - "&amp;T88)))))</f>
        <v/>
      </c>
      <c r="Q88" s="660" t="str">
        <f>IF(N88="","",VLOOKUP(B88,'C-1 Site River Baseline'!$C$10:$AA$257,19,FALSE))</f>
        <v/>
      </c>
      <c r="R88" s="171" t="str">
        <f>IF(N88="","",VLOOKUP(N88,'G-7 Rivers Data'!$B$2:$G$8,2,FALSE))</f>
        <v/>
      </c>
      <c r="S88" s="172" t="str">
        <f>IFERROR(VLOOKUP(R88,'G-7 Rivers Data'!$C$4:$D$8,2,FALSE),"")</f>
        <v/>
      </c>
      <c r="T88" s="173"/>
      <c r="U88" s="172" t="str">
        <f>IFERROR(INDEX('G-7 Rivers Data'!$H$4:$L$8,MATCH(N88,'G-7 Rivers Data'!$B$4:$B$8,0),MATCH(T88,'G-7 Rivers Data'!$H$3:$L$3,0)),"")</f>
        <v/>
      </c>
      <c r="V88" s="186"/>
      <c r="W88" s="175" t="str">
        <f>IF(V88="","",IF(VLOOKUP(V88,'G-7 Rivers Data'!$AG$4:$AI$9,2,FALSE)=0,"Spatial Data Missing",VLOOKUP(V88,'G-7 Rivers Data'!$AG$4:$AI$9,2,FALSE)))</f>
        <v/>
      </c>
      <c r="X88" s="176" t="str">
        <f>IF(V88="","",IF(VLOOKUP(V88,'G-7 Rivers Data'!$AG$4:$AI$9,3,FALSE)=0,"Spatial Data Missing",VLOOKUP(V88,'G-7 Rivers Data'!$AG$4:$AI$9,3,FALSE)))</f>
        <v/>
      </c>
      <c r="Y88" s="171" t="str">
        <f>IFERROR(IF(OR(LEFT(P88,5)="Error",LEFT(O88,5)="Error"),"Check Data",IF(F88&lt;S88,'G-7 Rivers Data'!$R$3,INDEX('G-7 Rivers Data'!$U$5:$Y$9,MATCH(G88,'G-7 Rivers Data'!$T$5:$T$9,0),MATCH(T88,'G-7 Rivers Data'!$U$4:$Y$4,0)))),"")</f>
        <v/>
      </c>
      <c r="Z88" s="261"/>
      <c r="AA88" s="261"/>
      <c r="AB88" s="179" t="str">
        <f t="shared" si="11"/>
        <v/>
      </c>
      <c r="AC88" s="262" t="str">
        <f t="shared" si="12"/>
        <v/>
      </c>
      <c r="AD88" s="382" t="str">
        <f>IFERROR(IF(AC88="Check Data","Check Data",VLOOKUP(AC88,'G-4 Temporal multipliers'!$A$4:$C$37,3,FALSE)),"")</f>
        <v/>
      </c>
      <c r="AE88" s="171" t="str">
        <f>IF(N88="","",VLOOKUP(N88,'G-7 Rivers Data'!$B$4:$G$8,5,FALSE))</f>
        <v/>
      </c>
      <c r="AF88" s="179" t="str">
        <f t="shared" si="13"/>
        <v/>
      </c>
      <c r="AG88" s="269" t="str">
        <f t="shared" si="14"/>
        <v/>
      </c>
      <c r="AH88" s="172" t="str">
        <f t="shared" si="8"/>
        <v/>
      </c>
      <c r="AI88" s="173"/>
      <c r="AJ88" s="172" t="str">
        <f>IF(AI88="","",IF(VLOOKUP(AI88,'G-7 Rivers Data'!$AA$4:$AB$7,2,FALSE)=0,"Spatial Data Missing",VLOOKUP(AI88,'G-7 Rivers Data'!$AA$4:$AB$7,2,FALSE)))</f>
        <v/>
      </c>
      <c r="AK88" s="187"/>
      <c r="AL88" s="172" t="str">
        <f>IF(AK88="","",IF(VLOOKUP(AK88,'G-7 Rivers Data'!$AD$4:$AE$8,2,FALSE)=0,"Spatial Data Missing",VLOOKUP(AK88,'G-7 Rivers Data'!$AD$4:$AE$8,2,FALSE)))</f>
        <v/>
      </c>
      <c r="AM88" s="265" t="str">
        <f t="shared" si="15"/>
        <v/>
      </c>
      <c r="AN88" s="180"/>
      <c r="AO88" s="181"/>
      <c r="AV88" s="35" t="str">
        <f>IFERROR(INDEX('G-7 Rivers Data'!$AZ$3:$AZ$7,MATCH(N88,'G-7 Rivers Data'!$AY$3:$AY$7,0)),"")</f>
        <v/>
      </c>
    </row>
    <row r="89" spans="2:48" ht="13.8" x14ac:dyDescent="0.25">
      <c r="B89" s="259" t="str">
        <f>'C-1 Site River Baseline'!AN87</f>
        <v/>
      </c>
      <c r="C89" s="175" t="str">
        <f>IF(B89="","",VLOOKUP($B89,'C-1 Site River Baseline'!$C$9:$R$257,2,FALSE))</f>
        <v/>
      </c>
      <c r="D89" s="175" t="str">
        <f>IF(C89="","",VLOOKUP($B89,'C-1 Site River Baseline'!$C$9:$R$257,3,FALSE))</f>
        <v/>
      </c>
      <c r="E89" s="175" t="str">
        <f>IF(D89="","",VLOOKUP($B89,'C-1 Site River Baseline'!$C$9:$R$257,4,FALSE))</f>
        <v/>
      </c>
      <c r="F89" s="175" t="str">
        <f>IF(E89="","",VLOOKUP($B89,'C-1 Site River Baseline'!$C$9:$R$257,5,FALSE))</f>
        <v/>
      </c>
      <c r="G89" s="175" t="str">
        <f>IF(F89="","",VLOOKUP($B89,'C-1 Site River Baseline'!$C$9:$R$257,6,FALSE))</f>
        <v/>
      </c>
      <c r="H89" s="175" t="str">
        <f>IF(G89="","",VLOOKUP($B89,'C-1 Site River Baseline'!$C$9:$R$257,7,FALSE))</f>
        <v/>
      </c>
      <c r="I89" s="175" t="str">
        <f>IF(H89="","",VLOOKUP($B89,'C-1 Site River Baseline'!$C$9:$R$257,8,FALSE))</f>
        <v/>
      </c>
      <c r="J89" s="175" t="str">
        <f>IF(I89="","",VLOOKUP($B89,'C-1 Site River Baseline'!$C$9:$R$257,9,FALSE))</f>
        <v/>
      </c>
      <c r="K89" s="175" t="str">
        <f>IF(J89="","",VLOOKUP($B89,'C-1 Site River Baseline'!$C$9:$R$257,10,FALSE))</f>
        <v/>
      </c>
      <c r="L89" s="175" t="str">
        <f>IF(B89="","",VLOOKUP($B89,'C-1 Site River Baseline'!$C$9:$R$257,15,FALSE))</f>
        <v/>
      </c>
      <c r="M89" s="176" t="str">
        <f>IF(L89="","",VLOOKUP($B89,'C-1 Site River Baseline'!$C$9:$R$257,16,FALSE))</f>
        <v/>
      </c>
      <c r="N89" s="639" t="str">
        <f t="shared" si="9"/>
        <v/>
      </c>
      <c r="O89" s="239" t="str">
        <f t="shared" si="10"/>
        <v/>
      </c>
      <c r="P89" s="172" t="str">
        <f>IF(C89="","",IF(AND(LEFT(C89,55)&lt;&gt;LEFT(N89,55),O89="High - High"),"Error - Not like for like",IF(AND(F89=S89,H89&gt;U89),"Error - Can not reduce condition",IF(AND(F89=S89,H89=U89,AJ89='C-1 Site River Baseline'!N87,'C-1 Site River Baseline'!P87=AL89),"Error - No enhancement",IF(AND(C89&lt;&gt;N89,F89&lt;S89),"Lower Distinctiveness Habitat"&amp;" - "&amp;T89,G89&amp;" - "&amp;T89)))))</f>
        <v/>
      </c>
      <c r="Q89" s="660" t="str">
        <f>IF(N89="","",VLOOKUP(B89,'C-1 Site River Baseline'!$C$10:$AA$257,19,FALSE))</f>
        <v/>
      </c>
      <c r="R89" s="171" t="str">
        <f>IF(N89="","",VLOOKUP(N89,'G-7 Rivers Data'!$B$2:$G$8,2,FALSE))</f>
        <v/>
      </c>
      <c r="S89" s="172" t="str">
        <f>IFERROR(VLOOKUP(R89,'G-7 Rivers Data'!$C$4:$D$8,2,FALSE),"")</f>
        <v/>
      </c>
      <c r="T89" s="173"/>
      <c r="U89" s="172" t="str">
        <f>IFERROR(INDEX('G-7 Rivers Data'!$H$4:$L$8,MATCH(N89,'G-7 Rivers Data'!$B$4:$B$8,0),MATCH(T89,'G-7 Rivers Data'!$H$3:$L$3,0)),"")</f>
        <v/>
      </c>
      <c r="V89" s="186"/>
      <c r="W89" s="175" t="str">
        <f>IF(V89="","",IF(VLOOKUP(V89,'G-7 Rivers Data'!$AG$4:$AI$9,2,FALSE)=0,"Spatial Data Missing",VLOOKUP(V89,'G-7 Rivers Data'!$AG$4:$AI$9,2,FALSE)))</f>
        <v/>
      </c>
      <c r="X89" s="176" t="str">
        <f>IF(V89="","",IF(VLOOKUP(V89,'G-7 Rivers Data'!$AG$4:$AI$9,3,FALSE)=0,"Spatial Data Missing",VLOOKUP(V89,'G-7 Rivers Data'!$AG$4:$AI$9,3,FALSE)))</f>
        <v/>
      </c>
      <c r="Y89" s="171" t="str">
        <f>IFERROR(IF(OR(LEFT(P89,5)="Error",LEFT(O89,5)="Error"),"Check Data",IF(F89&lt;S89,'G-7 Rivers Data'!$R$3,INDEX('G-7 Rivers Data'!$U$5:$Y$9,MATCH(G89,'G-7 Rivers Data'!$T$5:$T$9,0),MATCH(T89,'G-7 Rivers Data'!$U$4:$Y$4,0)))),"")</f>
        <v/>
      </c>
      <c r="Z89" s="261"/>
      <c r="AA89" s="261"/>
      <c r="AB89" s="179" t="str">
        <f t="shared" si="11"/>
        <v/>
      </c>
      <c r="AC89" s="262" t="str">
        <f t="shared" si="12"/>
        <v/>
      </c>
      <c r="AD89" s="382" t="str">
        <f>IFERROR(IF(AC89="Check Data","Check Data",VLOOKUP(AC89,'G-4 Temporal multipliers'!$A$4:$C$37,3,FALSE)),"")</f>
        <v/>
      </c>
      <c r="AE89" s="171" t="str">
        <f>IF(N89="","",VLOOKUP(N89,'G-7 Rivers Data'!$B$4:$G$8,5,FALSE))</f>
        <v/>
      </c>
      <c r="AF89" s="179" t="str">
        <f t="shared" si="13"/>
        <v/>
      </c>
      <c r="AG89" s="269" t="str">
        <f t="shared" si="14"/>
        <v/>
      </c>
      <c r="AH89" s="172" t="str">
        <f t="shared" si="8"/>
        <v/>
      </c>
      <c r="AI89" s="173"/>
      <c r="AJ89" s="172" t="str">
        <f>IF(AI89="","",IF(VLOOKUP(AI89,'G-7 Rivers Data'!$AA$4:$AB$7,2,FALSE)=0,"Spatial Data Missing",VLOOKUP(AI89,'G-7 Rivers Data'!$AA$4:$AB$7,2,FALSE)))</f>
        <v/>
      </c>
      <c r="AK89" s="187"/>
      <c r="AL89" s="172" t="str">
        <f>IF(AK89="","",IF(VLOOKUP(AK89,'G-7 Rivers Data'!$AD$4:$AE$8,2,FALSE)=0,"Spatial Data Missing",VLOOKUP(AK89,'G-7 Rivers Data'!$AD$4:$AE$8,2,FALSE)))</f>
        <v/>
      </c>
      <c r="AM89" s="265" t="str">
        <f t="shared" si="15"/>
        <v/>
      </c>
      <c r="AN89" s="180"/>
      <c r="AO89" s="181"/>
      <c r="AV89" s="35" t="str">
        <f>IFERROR(INDEX('G-7 Rivers Data'!$AZ$3:$AZ$7,MATCH(N89,'G-7 Rivers Data'!$AY$3:$AY$7,0)),"")</f>
        <v/>
      </c>
    </row>
    <row r="90" spans="2:48" ht="13.8" x14ac:dyDescent="0.25">
      <c r="B90" s="259" t="str">
        <f>'C-1 Site River Baseline'!AN88</f>
        <v/>
      </c>
      <c r="C90" s="175" t="str">
        <f>IF(B90="","",VLOOKUP($B90,'C-1 Site River Baseline'!$C$9:$R$257,2,FALSE))</f>
        <v/>
      </c>
      <c r="D90" s="175" t="str">
        <f>IF(C90="","",VLOOKUP($B90,'C-1 Site River Baseline'!$C$9:$R$257,3,FALSE))</f>
        <v/>
      </c>
      <c r="E90" s="175" t="str">
        <f>IF(D90="","",VLOOKUP($B90,'C-1 Site River Baseline'!$C$9:$R$257,4,FALSE))</f>
        <v/>
      </c>
      <c r="F90" s="175" t="str">
        <f>IF(E90="","",VLOOKUP($B90,'C-1 Site River Baseline'!$C$9:$R$257,5,FALSE))</f>
        <v/>
      </c>
      <c r="G90" s="175" t="str">
        <f>IF(F90="","",VLOOKUP($B90,'C-1 Site River Baseline'!$C$9:$R$257,6,FALSE))</f>
        <v/>
      </c>
      <c r="H90" s="175" t="str">
        <f>IF(G90="","",VLOOKUP($B90,'C-1 Site River Baseline'!$C$9:$R$257,7,FALSE))</f>
        <v/>
      </c>
      <c r="I90" s="175" t="str">
        <f>IF(H90="","",VLOOKUP($B90,'C-1 Site River Baseline'!$C$9:$R$257,8,FALSE))</f>
        <v/>
      </c>
      <c r="J90" s="175" t="str">
        <f>IF(I90="","",VLOOKUP($B90,'C-1 Site River Baseline'!$C$9:$R$257,9,FALSE))</f>
        <v/>
      </c>
      <c r="K90" s="175" t="str">
        <f>IF(J90="","",VLOOKUP($B90,'C-1 Site River Baseline'!$C$9:$R$257,10,FALSE))</f>
        <v/>
      </c>
      <c r="L90" s="175" t="str">
        <f>IF(B90="","",VLOOKUP($B90,'C-1 Site River Baseline'!$C$9:$R$257,15,FALSE))</f>
        <v/>
      </c>
      <c r="M90" s="176" t="str">
        <f>IF(L90="","",VLOOKUP($B90,'C-1 Site River Baseline'!$C$9:$R$257,16,FALSE))</f>
        <v/>
      </c>
      <c r="N90" s="639" t="str">
        <f t="shared" si="9"/>
        <v/>
      </c>
      <c r="O90" s="239" t="str">
        <f t="shared" si="10"/>
        <v/>
      </c>
      <c r="P90" s="172" t="str">
        <f>IF(C90="","",IF(AND(LEFT(C90,55)&lt;&gt;LEFT(N90,55),O90="High - High"),"Error - Not like for like",IF(AND(F90=S90,H90&gt;U90),"Error - Can not reduce condition",IF(AND(F90=S90,H90=U90,AJ90='C-1 Site River Baseline'!N88,'C-1 Site River Baseline'!P88=AL90),"Error - No enhancement",IF(AND(C90&lt;&gt;N90,F90&lt;S90),"Lower Distinctiveness Habitat"&amp;" - "&amp;T90,G90&amp;" - "&amp;T90)))))</f>
        <v/>
      </c>
      <c r="Q90" s="660" t="str">
        <f>IF(N90="","",VLOOKUP(B90,'C-1 Site River Baseline'!$C$10:$AA$257,19,FALSE))</f>
        <v/>
      </c>
      <c r="R90" s="171" t="str">
        <f>IF(N90="","",VLOOKUP(N90,'G-7 Rivers Data'!$B$2:$G$8,2,FALSE))</f>
        <v/>
      </c>
      <c r="S90" s="172" t="str">
        <f>IFERROR(VLOOKUP(R90,'G-7 Rivers Data'!$C$4:$D$8,2,FALSE),"")</f>
        <v/>
      </c>
      <c r="T90" s="173"/>
      <c r="U90" s="172" t="str">
        <f>IFERROR(INDEX('G-7 Rivers Data'!$H$4:$L$8,MATCH(N90,'G-7 Rivers Data'!$B$4:$B$8,0),MATCH(T90,'G-7 Rivers Data'!$H$3:$L$3,0)),"")</f>
        <v/>
      </c>
      <c r="V90" s="186"/>
      <c r="W90" s="175" t="str">
        <f>IF(V90="","",IF(VLOOKUP(V90,'G-7 Rivers Data'!$AG$4:$AI$9,2,FALSE)=0,"Spatial Data Missing",VLOOKUP(V90,'G-7 Rivers Data'!$AG$4:$AI$9,2,FALSE)))</f>
        <v/>
      </c>
      <c r="X90" s="176" t="str">
        <f>IF(V90="","",IF(VLOOKUP(V90,'G-7 Rivers Data'!$AG$4:$AI$9,3,FALSE)=0,"Spatial Data Missing",VLOOKUP(V90,'G-7 Rivers Data'!$AG$4:$AI$9,3,FALSE)))</f>
        <v/>
      </c>
      <c r="Y90" s="171" t="str">
        <f>IFERROR(IF(OR(LEFT(P90,5)="Error",LEFT(O90,5)="Error"),"Check Data",IF(F90&lt;S90,'G-7 Rivers Data'!$R$3,INDEX('G-7 Rivers Data'!$U$5:$Y$9,MATCH(G90,'G-7 Rivers Data'!$T$5:$T$9,0),MATCH(T90,'G-7 Rivers Data'!$U$4:$Y$4,0)))),"")</f>
        <v/>
      </c>
      <c r="Z90" s="261"/>
      <c r="AA90" s="261"/>
      <c r="AB90" s="179" t="str">
        <f t="shared" si="11"/>
        <v/>
      </c>
      <c r="AC90" s="262" t="str">
        <f t="shared" si="12"/>
        <v/>
      </c>
      <c r="AD90" s="382" t="str">
        <f>IFERROR(IF(AC90="Check Data","Check Data",VLOOKUP(AC90,'G-4 Temporal multipliers'!$A$4:$C$37,3,FALSE)),"")</f>
        <v/>
      </c>
      <c r="AE90" s="171" t="str">
        <f>IF(N90="","",VLOOKUP(N90,'G-7 Rivers Data'!$B$4:$G$8,5,FALSE))</f>
        <v/>
      </c>
      <c r="AF90" s="179" t="str">
        <f t="shared" si="13"/>
        <v/>
      </c>
      <c r="AG90" s="269" t="str">
        <f t="shared" si="14"/>
        <v/>
      </c>
      <c r="AH90" s="172" t="str">
        <f t="shared" si="8"/>
        <v/>
      </c>
      <c r="AI90" s="173"/>
      <c r="AJ90" s="172" t="str">
        <f>IF(AI90="","",IF(VLOOKUP(AI90,'G-7 Rivers Data'!$AA$4:$AB$7,2,FALSE)=0,"Spatial Data Missing",VLOOKUP(AI90,'G-7 Rivers Data'!$AA$4:$AB$7,2,FALSE)))</f>
        <v/>
      </c>
      <c r="AK90" s="187"/>
      <c r="AL90" s="172" t="str">
        <f>IF(AK90="","",IF(VLOOKUP(AK90,'G-7 Rivers Data'!$AD$4:$AE$8,2,FALSE)=0,"Spatial Data Missing",VLOOKUP(AK90,'G-7 Rivers Data'!$AD$4:$AE$8,2,FALSE)))</f>
        <v/>
      </c>
      <c r="AM90" s="265" t="str">
        <f t="shared" si="15"/>
        <v/>
      </c>
      <c r="AN90" s="180"/>
      <c r="AO90" s="181"/>
      <c r="AV90" s="35" t="str">
        <f>IFERROR(INDEX('G-7 Rivers Data'!$AZ$3:$AZ$7,MATCH(N90,'G-7 Rivers Data'!$AY$3:$AY$7,0)),"")</f>
        <v/>
      </c>
    </row>
    <row r="91" spans="2:48" ht="13.8" x14ac:dyDescent="0.25">
      <c r="B91" s="259" t="str">
        <f>'C-1 Site River Baseline'!AN89</f>
        <v/>
      </c>
      <c r="C91" s="175" t="str">
        <f>IF(B91="","",VLOOKUP($B91,'C-1 Site River Baseline'!$C$9:$R$257,2,FALSE))</f>
        <v/>
      </c>
      <c r="D91" s="175" t="str">
        <f>IF(C91="","",VLOOKUP($B91,'C-1 Site River Baseline'!$C$9:$R$257,3,FALSE))</f>
        <v/>
      </c>
      <c r="E91" s="175" t="str">
        <f>IF(D91="","",VLOOKUP($B91,'C-1 Site River Baseline'!$C$9:$R$257,4,FALSE))</f>
        <v/>
      </c>
      <c r="F91" s="175" t="str">
        <f>IF(E91="","",VLOOKUP($B91,'C-1 Site River Baseline'!$C$9:$R$257,5,FALSE))</f>
        <v/>
      </c>
      <c r="G91" s="175" t="str">
        <f>IF(F91="","",VLOOKUP($B91,'C-1 Site River Baseline'!$C$9:$R$257,6,FALSE))</f>
        <v/>
      </c>
      <c r="H91" s="175" t="str">
        <f>IF(G91="","",VLOOKUP($B91,'C-1 Site River Baseline'!$C$9:$R$257,7,FALSE))</f>
        <v/>
      </c>
      <c r="I91" s="175" t="str">
        <f>IF(H91="","",VLOOKUP($B91,'C-1 Site River Baseline'!$C$9:$R$257,8,FALSE))</f>
        <v/>
      </c>
      <c r="J91" s="175" t="str">
        <f>IF(I91="","",VLOOKUP($B91,'C-1 Site River Baseline'!$C$9:$R$257,9,FALSE))</f>
        <v/>
      </c>
      <c r="K91" s="175" t="str">
        <f>IF(J91="","",VLOOKUP($B91,'C-1 Site River Baseline'!$C$9:$R$257,10,FALSE))</f>
        <v/>
      </c>
      <c r="L91" s="175" t="str">
        <f>IF(B91="","",VLOOKUP($B91,'C-1 Site River Baseline'!$C$9:$R$257,15,FALSE))</f>
        <v/>
      </c>
      <c r="M91" s="176" t="str">
        <f>IF(L91="","",VLOOKUP($B91,'C-1 Site River Baseline'!$C$9:$R$257,16,FALSE))</f>
        <v/>
      </c>
      <c r="N91" s="639" t="str">
        <f t="shared" si="9"/>
        <v/>
      </c>
      <c r="O91" s="239" t="str">
        <f t="shared" si="10"/>
        <v/>
      </c>
      <c r="P91" s="172" t="str">
        <f>IF(C91="","",IF(AND(LEFT(C91,55)&lt;&gt;LEFT(N91,55),O91="High - High"),"Error - Not like for like",IF(AND(F91=S91,H91&gt;U91),"Error - Can not reduce condition",IF(AND(F91=S91,H91=U91,AJ91='C-1 Site River Baseline'!N89,'C-1 Site River Baseline'!P89=AL91),"Error - No enhancement",IF(AND(C91&lt;&gt;N91,F91&lt;S91),"Lower Distinctiveness Habitat"&amp;" - "&amp;T91,G91&amp;" - "&amp;T91)))))</f>
        <v/>
      </c>
      <c r="Q91" s="660" t="str">
        <f>IF(N91="","",VLOOKUP(B91,'C-1 Site River Baseline'!$C$10:$AA$257,19,FALSE))</f>
        <v/>
      </c>
      <c r="R91" s="171" t="str">
        <f>IF(N91="","",VLOOKUP(N91,'G-7 Rivers Data'!$B$2:$G$8,2,FALSE))</f>
        <v/>
      </c>
      <c r="S91" s="172" t="str">
        <f>IFERROR(VLOOKUP(R91,'G-7 Rivers Data'!$C$4:$D$8,2,FALSE),"")</f>
        <v/>
      </c>
      <c r="T91" s="173"/>
      <c r="U91" s="172" t="str">
        <f>IFERROR(INDEX('G-7 Rivers Data'!$H$4:$L$8,MATCH(N91,'G-7 Rivers Data'!$B$4:$B$8,0),MATCH(T91,'G-7 Rivers Data'!$H$3:$L$3,0)),"")</f>
        <v/>
      </c>
      <c r="V91" s="186"/>
      <c r="W91" s="175" t="str">
        <f>IF(V91="","",IF(VLOOKUP(V91,'G-7 Rivers Data'!$AG$4:$AI$9,2,FALSE)=0,"Spatial Data Missing",VLOOKUP(V91,'G-7 Rivers Data'!$AG$4:$AI$9,2,FALSE)))</f>
        <v/>
      </c>
      <c r="X91" s="176" t="str">
        <f>IF(V91="","",IF(VLOOKUP(V91,'G-7 Rivers Data'!$AG$4:$AI$9,3,FALSE)=0,"Spatial Data Missing",VLOOKUP(V91,'G-7 Rivers Data'!$AG$4:$AI$9,3,FALSE)))</f>
        <v/>
      </c>
      <c r="Y91" s="171" t="str">
        <f>IFERROR(IF(OR(LEFT(P91,5)="Error",LEFT(O91,5)="Error"),"Check Data",IF(F91&lt;S91,'G-7 Rivers Data'!$R$3,INDEX('G-7 Rivers Data'!$U$5:$Y$9,MATCH(G91,'G-7 Rivers Data'!$T$5:$T$9,0),MATCH(T91,'G-7 Rivers Data'!$U$4:$Y$4,0)))),"")</f>
        <v/>
      </c>
      <c r="Z91" s="261"/>
      <c r="AA91" s="261"/>
      <c r="AB91" s="179" t="str">
        <f t="shared" si="11"/>
        <v/>
      </c>
      <c r="AC91" s="262" t="str">
        <f t="shared" si="12"/>
        <v/>
      </c>
      <c r="AD91" s="382" t="str">
        <f>IFERROR(IF(AC91="Check Data","Check Data",VLOOKUP(AC91,'G-4 Temporal multipliers'!$A$4:$C$37,3,FALSE)),"")</f>
        <v/>
      </c>
      <c r="AE91" s="171" t="str">
        <f>IF(N91="","",VLOOKUP(N91,'G-7 Rivers Data'!$B$4:$G$8,5,FALSE))</f>
        <v/>
      </c>
      <c r="AF91" s="179" t="str">
        <f t="shared" si="13"/>
        <v/>
      </c>
      <c r="AG91" s="269" t="str">
        <f t="shared" si="14"/>
        <v/>
      </c>
      <c r="AH91" s="172" t="str">
        <f t="shared" si="8"/>
        <v/>
      </c>
      <c r="AI91" s="173"/>
      <c r="AJ91" s="172" t="str">
        <f>IF(AI91="","",IF(VLOOKUP(AI91,'G-7 Rivers Data'!$AA$4:$AB$7,2,FALSE)=0,"Spatial Data Missing",VLOOKUP(AI91,'G-7 Rivers Data'!$AA$4:$AB$7,2,FALSE)))</f>
        <v/>
      </c>
      <c r="AK91" s="187"/>
      <c r="AL91" s="172" t="str">
        <f>IF(AK91="","",IF(VLOOKUP(AK91,'G-7 Rivers Data'!$AD$4:$AE$8,2,FALSE)=0,"Spatial Data Missing",VLOOKUP(AK91,'G-7 Rivers Data'!$AD$4:$AE$8,2,FALSE)))</f>
        <v/>
      </c>
      <c r="AM91" s="265" t="str">
        <f t="shared" si="15"/>
        <v/>
      </c>
      <c r="AN91" s="180"/>
      <c r="AO91" s="181"/>
      <c r="AV91" s="35" t="str">
        <f>IFERROR(INDEX('G-7 Rivers Data'!$AZ$3:$AZ$7,MATCH(N91,'G-7 Rivers Data'!$AY$3:$AY$7,0)),"")</f>
        <v/>
      </c>
    </row>
    <row r="92" spans="2:48" ht="13.8" x14ac:dyDescent="0.25">
      <c r="B92" s="259" t="str">
        <f>'C-1 Site River Baseline'!AN90</f>
        <v/>
      </c>
      <c r="C92" s="175" t="str">
        <f>IF(B92="","",VLOOKUP($B92,'C-1 Site River Baseline'!$C$9:$R$257,2,FALSE))</f>
        <v/>
      </c>
      <c r="D92" s="175" t="str">
        <f>IF(C92="","",VLOOKUP($B92,'C-1 Site River Baseline'!$C$9:$R$257,3,FALSE))</f>
        <v/>
      </c>
      <c r="E92" s="175" t="str">
        <f>IF(D92="","",VLOOKUP($B92,'C-1 Site River Baseline'!$C$9:$R$257,4,FALSE))</f>
        <v/>
      </c>
      <c r="F92" s="175" t="str">
        <f>IF(E92="","",VLOOKUP($B92,'C-1 Site River Baseline'!$C$9:$R$257,5,FALSE))</f>
        <v/>
      </c>
      <c r="G92" s="175" t="str">
        <f>IF(F92="","",VLOOKUP($B92,'C-1 Site River Baseline'!$C$9:$R$257,6,FALSE))</f>
        <v/>
      </c>
      <c r="H92" s="175" t="str">
        <f>IF(G92="","",VLOOKUP($B92,'C-1 Site River Baseline'!$C$9:$R$257,7,FALSE))</f>
        <v/>
      </c>
      <c r="I92" s="175" t="str">
        <f>IF(H92="","",VLOOKUP($B92,'C-1 Site River Baseline'!$C$9:$R$257,8,FALSE))</f>
        <v/>
      </c>
      <c r="J92" s="175" t="str">
        <f>IF(I92="","",VLOOKUP($B92,'C-1 Site River Baseline'!$C$9:$R$257,9,FALSE))</f>
        <v/>
      </c>
      <c r="K92" s="175" t="str">
        <f>IF(J92="","",VLOOKUP($B92,'C-1 Site River Baseline'!$C$9:$R$257,10,FALSE))</f>
        <v/>
      </c>
      <c r="L92" s="175" t="str">
        <f>IF(B92="","",VLOOKUP($B92,'C-1 Site River Baseline'!$C$9:$R$257,15,FALSE))</f>
        <v/>
      </c>
      <c r="M92" s="176" t="str">
        <f>IF(L92="","",VLOOKUP($B92,'C-1 Site River Baseline'!$C$9:$R$257,16,FALSE))</f>
        <v/>
      </c>
      <c r="N92" s="639" t="str">
        <f t="shared" si="9"/>
        <v/>
      </c>
      <c r="O92" s="239" t="str">
        <f t="shared" si="10"/>
        <v/>
      </c>
      <c r="P92" s="172" t="str">
        <f>IF(C92="","",IF(AND(LEFT(C92,55)&lt;&gt;LEFT(N92,55),O92="High - High"),"Error - Not like for like",IF(AND(F92=S92,H92&gt;U92),"Error - Can not reduce condition",IF(AND(F92=S92,H92=U92,AJ92='C-1 Site River Baseline'!N90,'C-1 Site River Baseline'!P90=AL92),"Error - No enhancement",IF(AND(C92&lt;&gt;N92,F92&lt;S92),"Lower Distinctiveness Habitat"&amp;" - "&amp;T92,G92&amp;" - "&amp;T92)))))</f>
        <v/>
      </c>
      <c r="Q92" s="660" t="str">
        <f>IF(N92="","",VLOOKUP(B92,'C-1 Site River Baseline'!$C$10:$AA$257,19,FALSE))</f>
        <v/>
      </c>
      <c r="R92" s="171" t="str">
        <f>IF(N92="","",VLOOKUP(N92,'G-7 Rivers Data'!$B$2:$G$8,2,FALSE))</f>
        <v/>
      </c>
      <c r="S92" s="172" t="str">
        <f>IFERROR(VLOOKUP(R92,'G-7 Rivers Data'!$C$4:$D$8,2,FALSE),"")</f>
        <v/>
      </c>
      <c r="T92" s="173"/>
      <c r="U92" s="172" t="str">
        <f>IFERROR(INDEX('G-7 Rivers Data'!$H$4:$L$8,MATCH(N92,'G-7 Rivers Data'!$B$4:$B$8,0),MATCH(T92,'G-7 Rivers Data'!$H$3:$L$3,0)),"")</f>
        <v/>
      </c>
      <c r="V92" s="186"/>
      <c r="W92" s="175" t="str">
        <f>IF(V92="","",IF(VLOOKUP(V92,'G-7 Rivers Data'!$AG$4:$AI$9,2,FALSE)=0,"Spatial Data Missing",VLOOKUP(V92,'G-7 Rivers Data'!$AG$4:$AI$9,2,FALSE)))</f>
        <v/>
      </c>
      <c r="X92" s="176" t="str">
        <f>IF(V92="","",IF(VLOOKUP(V92,'G-7 Rivers Data'!$AG$4:$AI$9,3,FALSE)=0,"Spatial Data Missing",VLOOKUP(V92,'G-7 Rivers Data'!$AG$4:$AI$9,3,FALSE)))</f>
        <v/>
      </c>
      <c r="Y92" s="171" t="str">
        <f>IFERROR(IF(OR(LEFT(P92,5)="Error",LEFT(O92,5)="Error"),"Check Data",IF(F92&lt;S92,'G-7 Rivers Data'!$R$3,INDEX('G-7 Rivers Data'!$U$5:$Y$9,MATCH(G92,'G-7 Rivers Data'!$T$5:$T$9,0),MATCH(T92,'G-7 Rivers Data'!$U$4:$Y$4,0)))),"")</f>
        <v/>
      </c>
      <c r="Z92" s="261"/>
      <c r="AA92" s="261"/>
      <c r="AB92" s="179" t="str">
        <f t="shared" si="11"/>
        <v/>
      </c>
      <c r="AC92" s="262" t="str">
        <f t="shared" si="12"/>
        <v/>
      </c>
      <c r="AD92" s="382" t="str">
        <f>IFERROR(IF(AC92="Check Data","Check Data",VLOOKUP(AC92,'G-4 Temporal multipliers'!$A$4:$C$37,3,FALSE)),"")</f>
        <v/>
      </c>
      <c r="AE92" s="171" t="str">
        <f>IF(N92="","",VLOOKUP(N92,'G-7 Rivers Data'!$B$4:$G$8,5,FALSE))</f>
        <v/>
      </c>
      <c r="AF92" s="179" t="str">
        <f t="shared" si="13"/>
        <v/>
      </c>
      <c r="AG92" s="269" t="str">
        <f t="shared" si="14"/>
        <v/>
      </c>
      <c r="AH92" s="172" t="str">
        <f t="shared" si="8"/>
        <v/>
      </c>
      <c r="AI92" s="173"/>
      <c r="AJ92" s="172" t="str">
        <f>IF(AI92="","",IF(VLOOKUP(AI92,'G-7 Rivers Data'!$AA$4:$AB$7,2,FALSE)=0,"Spatial Data Missing",VLOOKUP(AI92,'G-7 Rivers Data'!$AA$4:$AB$7,2,FALSE)))</f>
        <v/>
      </c>
      <c r="AK92" s="187"/>
      <c r="AL92" s="172" t="str">
        <f>IF(AK92="","",IF(VLOOKUP(AK92,'G-7 Rivers Data'!$AD$4:$AE$8,2,FALSE)=0,"Spatial Data Missing",VLOOKUP(AK92,'G-7 Rivers Data'!$AD$4:$AE$8,2,FALSE)))</f>
        <v/>
      </c>
      <c r="AM92" s="265" t="str">
        <f t="shared" si="15"/>
        <v/>
      </c>
      <c r="AN92" s="180"/>
      <c r="AO92" s="181"/>
      <c r="AV92" s="35" t="str">
        <f>IFERROR(INDEX('G-7 Rivers Data'!$AZ$3:$AZ$7,MATCH(N92,'G-7 Rivers Data'!$AY$3:$AY$7,0)),"")</f>
        <v/>
      </c>
    </row>
    <row r="93" spans="2:48" ht="13.8" x14ac:dyDescent="0.25">
      <c r="B93" s="259" t="str">
        <f>'C-1 Site River Baseline'!AN91</f>
        <v/>
      </c>
      <c r="C93" s="175" t="str">
        <f>IF(B93="","",VLOOKUP($B93,'C-1 Site River Baseline'!$C$9:$R$257,2,FALSE))</f>
        <v/>
      </c>
      <c r="D93" s="175" t="str">
        <f>IF(C93="","",VLOOKUP($B93,'C-1 Site River Baseline'!$C$9:$R$257,3,FALSE))</f>
        <v/>
      </c>
      <c r="E93" s="175" t="str">
        <f>IF(D93="","",VLOOKUP($B93,'C-1 Site River Baseline'!$C$9:$R$257,4,FALSE))</f>
        <v/>
      </c>
      <c r="F93" s="175" t="str">
        <f>IF(E93="","",VLOOKUP($B93,'C-1 Site River Baseline'!$C$9:$R$257,5,FALSE))</f>
        <v/>
      </c>
      <c r="G93" s="175" t="str">
        <f>IF(F93="","",VLOOKUP($B93,'C-1 Site River Baseline'!$C$9:$R$257,6,FALSE))</f>
        <v/>
      </c>
      <c r="H93" s="175" t="str">
        <f>IF(G93="","",VLOOKUP($B93,'C-1 Site River Baseline'!$C$9:$R$257,7,FALSE))</f>
        <v/>
      </c>
      <c r="I93" s="175" t="str">
        <f>IF(H93="","",VLOOKUP($B93,'C-1 Site River Baseline'!$C$9:$R$257,8,FALSE))</f>
        <v/>
      </c>
      <c r="J93" s="175" t="str">
        <f>IF(I93="","",VLOOKUP($B93,'C-1 Site River Baseline'!$C$9:$R$257,9,FALSE))</f>
        <v/>
      </c>
      <c r="K93" s="175" t="str">
        <f>IF(J93="","",VLOOKUP($B93,'C-1 Site River Baseline'!$C$9:$R$257,10,FALSE))</f>
        <v/>
      </c>
      <c r="L93" s="175" t="str">
        <f>IF(B93="","",VLOOKUP($B93,'C-1 Site River Baseline'!$C$9:$R$257,15,FALSE))</f>
        <v/>
      </c>
      <c r="M93" s="176" t="str">
        <f>IF(L93="","",VLOOKUP($B93,'C-1 Site River Baseline'!$C$9:$R$257,16,FALSE))</f>
        <v/>
      </c>
      <c r="N93" s="639" t="str">
        <f t="shared" si="9"/>
        <v/>
      </c>
      <c r="O93" s="239" t="str">
        <f t="shared" si="10"/>
        <v/>
      </c>
      <c r="P93" s="172" t="str">
        <f>IF(C93="","",IF(AND(LEFT(C93,55)&lt;&gt;LEFT(N93,55),O93="High - High"),"Error - Not like for like",IF(AND(F93=S93,H93&gt;U93),"Error - Can not reduce condition",IF(AND(F93=S93,H93=U93,AJ93='C-1 Site River Baseline'!N91,'C-1 Site River Baseline'!P91=AL93),"Error - No enhancement",IF(AND(C93&lt;&gt;N93,F93&lt;S93),"Lower Distinctiveness Habitat"&amp;" - "&amp;T93,G93&amp;" - "&amp;T93)))))</f>
        <v/>
      </c>
      <c r="Q93" s="660" t="str">
        <f>IF(N93="","",VLOOKUP(B93,'C-1 Site River Baseline'!$C$10:$AA$257,19,FALSE))</f>
        <v/>
      </c>
      <c r="R93" s="171" t="str">
        <f>IF(N93="","",VLOOKUP(N93,'G-7 Rivers Data'!$B$2:$G$8,2,FALSE))</f>
        <v/>
      </c>
      <c r="S93" s="172" t="str">
        <f>IFERROR(VLOOKUP(R93,'G-7 Rivers Data'!$C$4:$D$8,2,FALSE),"")</f>
        <v/>
      </c>
      <c r="T93" s="173"/>
      <c r="U93" s="172" t="str">
        <f>IFERROR(INDEX('G-7 Rivers Data'!$H$4:$L$8,MATCH(N93,'G-7 Rivers Data'!$B$4:$B$8,0),MATCH(T93,'G-7 Rivers Data'!$H$3:$L$3,0)),"")</f>
        <v/>
      </c>
      <c r="V93" s="186"/>
      <c r="W93" s="175" t="str">
        <f>IF(V93="","",IF(VLOOKUP(V93,'G-7 Rivers Data'!$AG$4:$AI$9,2,FALSE)=0,"Spatial Data Missing",VLOOKUP(V93,'G-7 Rivers Data'!$AG$4:$AI$9,2,FALSE)))</f>
        <v/>
      </c>
      <c r="X93" s="176" t="str">
        <f>IF(V93="","",IF(VLOOKUP(V93,'G-7 Rivers Data'!$AG$4:$AI$9,3,FALSE)=0,"Spatial Data Missing",VLOOKUP(V93,'G-7 Rivers Data'!$AG$4:$AI$9,3,FALSE)))</f>
        <v/>
      </c>
      <c r="Y93" s="171" t="str">
        <f>IFERROR(IF(OR(LEFT(P93,5)="Error",LEFT(O93,5)="Error"),"Check Data",IF(F93&lt;S93,'G-7 Rivers Data'!$R$3,INDEX('G-7 Rivers Data'!$U$5:$Y$9,MATCH(G93,'G-7 Rivers Data'!$T$5:$T$9,0),MATCH(T93,'G-7 Rivers Data'!$U$4:$Y$4,0)))),"")</f>
        <v/>
      </c>
      <c r="Z93" s="261"/>
      <c r="AA93" s="261"/>
      <c r="AB93" s="179" t="str">
        <f t="shared" si="11"/>
        <v/>
      </c>
      <c r="AC93" s="262" t="str">
        <f t="shared" si="12"/>
        <v/>
      </c>
      <c r="AD93" s="382" t="str">
        <f>IFERROR(IF(AC93="Check Data","Check Data",VLOOKUP(AC93,'G-4 Temporal multipliers'!$A$4:$C$37,3,FALSE)),"")</f>
        <v/>
      </c>
      <c r="AE93" s="171" t="str">
        <f>IF(N93="","",VLOOKUP(N93,'G-7 Rivers Data'!$B$4:$G$8,5,FALSE))</f>
        <v/>
      </c>
      <c r="AF93" s="179" t="str">
        <f t="shared" si="13"/>
        <v/>
      </c>
      <c r="AG93" s="269" t="str">
        <f t="shared" si="14"/>
        <v/>
      </c>
      <c r="AH93" s="172" t="str">
        <f t="shared" si="8"/>
        <v/>
      </c>
      <c r="AI93" s="173"/>
      <c r="AJ93" s="172" t="str">
        <f>IF(AI93="","",IF(VLOOKUP(AI93,'G-7 Rivers Data'!$AA$4:$AB$7,2,FALSE)=0,"Spatial Data Missing",VLOOKUP(AI93,'G-7 Rivers Data'!$AA$4:$AB$7,2,FALSE)))</f>
        <v/>
      </c>
      <c r="AK93" s="187"/>
      <c r="AL93" s="172" t="str">
        <f>IF(AK93="","",IF(VLOOKUP(AK93,'G-7 Rivers Data'!$AD$4:$AE$8,2,FALSE)=0,"Spatial Data Missing",VLOOKUP(AK93,'G-7 Rivers Data'!$AD$4:$AE$8,2,FALSE)))</f>
        <v/>
      </c>
      <c r="AM93" s="265" t="str">
        <f t="shared" si="15"/>
        <v/>
      </c>
      <c r="AN93" s="180"/>
      <c r="AO93" s="181"/>
      <c r="AV93" s="35" t="str">
        <f>IFERROR(INDEX('G-7 Rivers Data'!$AZ$3:$AZ$7,MATCH(N93,'G-7 Rivers Data'!$AY$3:$AY$7,0)),"")</f>
        <v/>
      </c>
    </row>
    <row r="94" spans="2:48" ht="13.8" x14ac:dyDescent="0.25">
      <c r="B94" s="259" t="str">
        <f>'C-1 Site River Baseline'!AN92</f>
        <v/>
      </c>
      <c r="C94" s="175" t="str">
        <f>IF(B94="","",VLOOKUP($B94,'C-1 Site River Baseline'!$C$9:$R$257,2,FALSE))</f>
        <v/>
      </c>
      <c r="D94" s="175" t="str">
        <f>IF(C94="","",VLOOKUP($B94,'C-1 Site River Baseline'!$C$9:$R$257,3,FALSE))</f>
        <v/>
      </c>
      <c r="E94" s="175" t="str">
        <f>IF(D94="","",VLOOKUP($B94,'C-1 Site River Baseline'!$C$9:$R$257,4,FALSE))</f>
        <v/>
      </c>
      <c r="F94" s="175" t="str">
        <f>IF(E94="","",VLOOKUP($B94,'C-1 Site River Baseline'!$C$9:$R$257,5,FALSE))</f>
        <v/>
      </c>
      <c r="G94" s="175" t="str">
        <f>IF(F94="","",VLOOKUP($B94,'C-1 Site River Baseline'!$C$9:$R$257,6,FALSE))</f>
        <v/>
      </c>
      <c r="H94" s="175" t="str">
        <f>IF(G94="","",VLOOKUP($B94,'C-1 Site River Baseline'!$C$9:$R$257,7,FALSE))</f>
        <v/>
      </c>
      <c r="I94" s="175" t="str">
        <f>IF(H94="","",VLOOKUP($B94,'C-1 Site River Baseline'!$C$9:$R$257,8,FALSE))</f>
        <v/>
      </c>
      <c r="J94" s="175" t="str">
        <f>IF(I94="","",VLOOKUP($B94,'C-1 Site River Baseline'!$C$9:$R$257,9,FALSE))</f>
        <v/>
      </c>
      <c r="K94" s="175" t="str">
        <f>IF(J94="","",VLOOKUP($B94,'C-1 Site River Baseline'!$C$9:$R$257,10,FALSE))</f>
        <v/>
      </c>
      <c r="L94" s="175" t="str">
        <f>IF(B94="","",VLOOKUP($B94,'C-1 Site River Baseline'!$C$9:$R$257,15,FALSE))</f>
        <v/>
      </c>
      <c r="M94" s="176" t="str">
        <f>IF(L94="","",VLOOKUP($B94,'C-1 Site River Baseline'!$C$9:$R$257,16,FALSE))</f>
        <v/>
      </c>
      <c r="N94" s="639" t="str">
        <f t="shared" si="9"/>
        <v/>
      </c>
      <c r="O94" s="239" t="str">
        <f t="shared" si="10"/>
        <v/>
      </c>
      <c r="P94" s="172" t="str">
        <f>IF(C94="","",IF(AND(LEFT(C94,55)&lt;&gt;LEFT(N94,55),O94="High - High"),"Error - Not like for like",IF(AND(F94=S94,H94&gt;U94),"Error - Can not reduce condition",IF(AND(F94=S94,H94=U94,AJ94='C-1 Site River Baseline'!N92,'C-1 Site River Baseline'!P92=AL94),"Error - No enhancement",IF(AND(C94&lt;&gt;N94,F94&lt;S94),"Lower Distinctiveness Habitat"&amp;" - "&amp;T94,G94&amp;" - "&amp;T94)))))</f>
        <v/>
      </c>
      <c r="Q94" s="660" t="str">
        <f>IF(N94="","",VLOOKUP(B94,'C-1 Site River Baseline'!$C$10:$AA$257,19,FALSE))</f>
        <v/>
      </c>
      <c r="R94" s="171" t="str">
        <f>IF(N94="","",VLOOKUP(N94,'G-7 Rivers Data'!$B$2:$G$8,2,FALSE))</f>
        <v/>
      </c>
      <c r="S94" s="172" t="str">
        <f>IFERROR(VLOOKUP(R94,'G-7 Rivers Data'!$C$4:$D$8,2,FALSE),"")</f>
        <v/>
      </c>
      <c r="T94" s="173"/>
      <c r="U94" s="172" t="str">
        <f>IFERROR(INDEX('G-7 Rivers Data'!$H$4:$L$8,MATCH(N94,'G-7 Rivers Data'!$B$4:$B$8,0),MATCH(T94,'G-7 Rivers Data'!$H$3:$L$3,0)),"")</f>
        <v/>
      </c>
      <c r="V94" s="186"/>
      <c r="W94" s="175" t="str">
        <f>IF(V94="","",IF(VLOOKUP(V94,'G-7 Rivers Data'!$AG$4:$AI$9,2,FALSE)=0,"Spatial Data Missing",VLOOKUP(V94,'G-7 Rivers Data'!$AG$4:$AI$9,2,FALSE)))</f>
        <v/>
      </c>
      <c r="X94" s="176" t="str">
        <f>IF(V94="","",IF(VLOOKUP(V94,'G-7 Rivers Data'!$AG$4:$AI$9,3,FALSE)=0,"Spatial Data Missing",VLOOKUP(V94,'G-7 Rivers Data'!$AG$4:$AI$9,3,FALSE)))</f>
        <v/>
      </c>
      <c r="Y94" s="171" t="str">
        <f>IFERROR(IF(OR(LEFT(P94,5)="Error",LEFT(O94,5)="Error"),"Check Data",IF(F94&lt;S94,'G-7 Rivers Data'!$R$3,INDEX('G-7 Rivers Data'!$U$5:$Y$9,MATCH(G94,'G-7 Rivers Data'!$T$5:$T$9,0),MATCH(T94,'G-7 Rivers Data'!$U$4:$Y$4,0)))),"")</f>
        <v/>
      </c>
      <c r="Z94" s="261"/>
      <c r="AA94" s="261"/>
      <c r="AB94" s="179" t="str">
        <f t="shared" si="11"/>
        <v/>
      </c>
      <c r="AC94" s="262" t="str">
        <f t="shared" si="12"/>
        <v/>
      </c>
      <c r="AD94" s="382" t="str">
        <f>IFERROR(IF(AC94="Check Data","Check Data",VLOOKUP(AC94,'G-4 Temporal multipliers'!$A$4:$C$37,3,FALSE)),"")</f>
        <v/>
      </c>
      <c r="AE94" s="171" t="str">
        <f>IF(N94="","",VLOOKUP(N94,'G-7 Rivers Data'!$B$4:$G$8,5,FALSE))</f>
        <v/>
      </c>
      <c r="AF94" s="179" t="str">
        <f t="shared" si="13"/>
        <v/>
      </c>
      <c r="AG94" s="269" t="str">
        <f t="shared" si="14"/>
        <v/>
      </c>
      <c r="AH94" s="172" t="str">
        <f t="shared" si="8"/>
        <v/>
      </c>
      <c r="AI94" s="173"/>
      <c r="AJ94" s="172" t="str">
        <f>IF(AI94="","",IF(VLOOKUP(AI94,'G-7 Rivers Data'!$AA$4:$AB$7,2,FALSE)=0,"Spatial Data Missing",VLOOKUP(AI94,'G-7 Rivers Data'!$AA$4:$AB$7,2,FALSE)))</f>
        <v/>
      </c>
      <c r="AK94" s="187"/>
      <c r="AL94" s="172" t="str">
        <f>IF(AK94="","",IF(VLOOKUP(AK94,'G-7 Rivers Data'!$AD$4:$AE$8,2,FALSE)=0,"Spatial Data Missing",VLOOKUP(AK94,'G-7 Rivers Data'!$AD$4:$AE$8,2,FALSE)))</f>
        <v/>
      </c>
      <c r="AM94" s="265" t="str">
        <f t="shared" si="15"/>
        <v/>
      </c>
      <c r="AN94" s="180"/>
      <c r="AO94" s="181"/>
      <c r="AV94" s="35" t="str">
        <f>IFERROR(INDEX('G-7 Rivers Data'!$AZ$3:$AZ$7,MATCH(N94,'G-7 Rivers Data'!$AY$3:$AY$7,0)),"")</f>
        <v/>
      </c>
    </row>
    <row r="95" spans="2:48" ht="13.8" x14ac:dyDescent="0.25">
      <c r="B95" s="259" t="str">
        <f>'C-1 Site River Baseline'!AN93</f>
        <v/>
      </c>
      <c r="C95" s="175" t="str">
        <f>IF(B95="","",VLOOKUP($B95,'C-1 Site River Baseline'!$C$9:$R$257,2,FALSE))</f>
        <v/>
      </c>
      <c r="D95" s="175" t="str">
        <f>IF(C95="","",VLOOKUP($B95,'C-1 Site River Baseline'!$C$9:$R$257,3,FALSE))</f>
        <v/>
      </c>
      <c r="E95" s="175" t="str">
        <f>IF(D95="","",VLOOKUP($B95,'C-1 Site River Baseline'!$C$9:$R$257,4,FALSE))</f>
        <v/>
      </c>
      <c r="F95" s="175" t="str">
        <f>IF(E95="","",VLOOKUP($B95,'C-1 Site River Baseline'!$C$9:$R$257,5,FALSE))</f>
        <v/>
      </c>
      <c r="G95" s="175" t="str">
        <f>IF(F95="","",VLOOKUP($B95,'C-1 Site River Baseline'!$C$9:$R$257,6,FALSE))</f>
        <v/>
      </c>
      <c r="H95" s="175" t="str">
        <f>IF(G95="","",VLOOKUP($B95,'C-1 Site River Baseline'!$C$9:$R$257,7,FALSE))</f>
        <v/>
      </c>
      <c r="I95" s="175" t="str">
        <f>IF(H95="","",VLOOKUP($B95,'C-1 Site River Baseline'!$C$9:$R$257,8,FALSE))</f>
        <v/>
      </c>
      <c r="J95" s="175" t="str">
        <f>IF(I95="","",VLOOKUP($B95,'C-1 Site River Baseline'!$C$9:$R$257,9,FALSE))</f>
        <v/>
      </c>
      <c r="K95" s="175" t="str">
        <f>IF(J95="","",VLOOKUP($B95,'C-1 Site River Baseline'!$C$9:$R$257,10,FALSE))</f>
        <v/>
      </c>
      <c r="L95" s="175" t="str">
        <f>IF(B95="","",VLOOKUP($B95,'C-1 Site River Baseline'!$C$9:$R$257,15,FALSE))</f>
        <v/>
      </c>
      <c r="M95" s="176" t="str">
        <f>IF(L95="","",VLOOKUP($B95,'C-1 Site River Baseline'!$C$9:$R$257,16,FALSE))</f>
        <v/>
      </c>
      <c r="N95" s="639" t="str">
        <f t="shared" si="9"/>
        <v/>
      </c>
      <c r="O95" s="239" t="str">
        <f t="shared" si="10"/>
        <v/>
      </c>
      <c r="P95" s="172" t="str">
        <f>IF(C95="","",IF(AND(LEFT(C95,55)&lt;&gt;LEFT(N95,55),O95="High - High"),"Error - Not like for like",IF(AND(F95=S95,H95&gt;U95),"Error - Can not reduce condition",IF(AND(F95=S95,H95=U95,AJ95='C-1 Site River Baseline'!N93,'C-1 Site River Baseline'!P93=AL95),"Error - No enhancement",IF(AND(C95&lt;&gt;N95,F95&lt;S95),"Lower Distinctiveness Habitat"&amp;" - "&amp;T95,G95&amp;" - "&amp;T95)))))</f>
        <v/>
      </c>
      <c r="Q95" s="660" t="str">
        <f>IF(N95="","",VLOOKUP(B95,'C-1 Site River Baseline'!$C$10:$AA$257,19,FALSE))</f>
        <v/>
      </c>
      <c r="R95" s="171" t="str">
        <f>IF(N95="","",VLOOKUP(N95,'G-7 Rivers Data'!$B$2:$G$8,2,FALSE))</f>
        <v/>
      </c>
      <c r="S95" s="172" t="str">
        <f>IFERROR(VLOOKUP(R95,'G-7 Rivers Data'!$C$4:$D$8,2,FALSE),"")</f>
        <v/>
      </c>
      <c r="T95" s="173"/>
      <c r="U95" s="172" t="str">
        <f>IFERROR(INDEX('G-7 Rivers Data'!$H$4:$L$8,MATCH(N95,'G-7 Rivers Data'!$B$4:$B$8,0),MATCH(T95,'G-7 Rivers Data'!$H$3:$L$3,0)),"")</f>
        <v/>
      </c>
      <c r="V95" s="186"/>
      <c r="W95" s="175" t="str">
        <f>IF(V95="","",IF(VLOOKUP(V95,'G-7 Rivers Data'!$AG$4:$AI$9,2,FALSE)=0,"Spatial Data Missing",VLOOKUP(V95,'G-7 Rivers Data'!$AG$4:$AI$9,2,FALSE)))</f>
        <v/>
      </c>
      <c r="X95" s="176" t="str">
        <f>IF(V95="","",IF(VLOOKUP(V95,'G-7 Rivers Data'!$AG$4:$AI$9,3,FALSE)=0,"Spatial Data Missing",VLOOKUP(V95,'G-7 Rivers Data'!$AG$4:$AI$9,3,FALSE)))</f>
        <v/>
      </c>
      <c r="Y95" s="171" t="str">
        <f>IFERROR(IF(OR(LEFT(P95,5)="Error",LEFT(O95,5)="Error"),"Check Data",IF(F95&lt;S95,'G-7 Rivers Data'!$R$3,INDEX('G-7 Rivers Data'!$U$5:$Y$9,MATCH(G95,'G-7 Rivers Data'!$T$5:$T$9,0),MATCH(T95,'G-7 Rivers Data'!$U$4:$Y$4,0)))),"")</f>
        <v/>
      </c>
      <c r="Z95" s="261"/>
      <c r="AA95" s="261"/>
      <c r="AB95" s="179" t="str">
        <f t="shared" si="11"/>
        <v/>
      </c>
      <c r="AC95" s="262" t="str">
        <f t="shared" si="12"/>
        <v/>
      </c>
      <c r="AD95" s="382" t="str">
        <f>IFERROR(IF(AC95="Check Data","Check Data",VLOOKUP(AC95,'G-4 Temporal multipliers'!$A$4:$C$37,3,FALSE)),"")</f>
        <v/>
      </c>
      <c r="AE95" s="171" t="str">
        <f>IF(N95="","",VLOOKUP(N95,'G-7 Rivers Data'!$B$4:$G$8,5,FALSE))</f>
        <v/>
      </c>
      <c r="AF95" s="179" t="str">
        <f t="shared" si="13"/>
        <v/>
      </c>
      <c r="AG95" s="269" t="str">
        <f t="shared" si="14"/>
        <v/>
      </c>
      <c r="AH95" s="172" t="str">
        <f t="shared" si="8"/>
        <v/>
      </c>
      <c r="AI95" s="173"/>
      <c r="AJ95" s="172" t="str">
        <f>IF(AI95="","",IF(VLOOKUP(AI95,'G-7 Rivers Data'!$AA$4:$AB$7,2,FALSE)=0,"Spatial Data Missing",VLOOKUP(AI95,'G-7 Rivers Data'!$AA$4:$AB$7,2,FALSE)))</f>
        <v/>
      </c>
      <c r="AK95" s="187"/>
      <c r="AL95" s="172" t="str">
        <f>IF(AK95="","",IF(VLOOKUP(AK95,'G-7 Rivers Data'!$AD$4:$AE$8,2,FALSE)=0,"Spatial Data Missing",VLOOKUP(AK95,'G-7 Rivers Data'!$AD$4:$AE$8,2,FALSE)))</f>
        <v/>
      </c>
      <c r="AM95" s="265" t="str">
        <f t="shared" si="15"/>
        <v/>
      </c>
      <c r="AN95" s="180"/>
      <c r="AO95" s="181"/>
      <c r="AV95" s="35" t="str">
        <f>IFERROR(INDEX('G-7 Rivers Data'!$AZ$3:$AZ$7,MATCH(N95,'G-7 Rivers Data'!$AY$3:$AY$7,0)),"")</f>
        <v/>
      </c>
    </row>
    <row r="96" spans="2:48" ht="13.8" x14ac:dyDescent="0.25">
      <c r="B96" s="259" t="str">
        <f>'C-1 Site River Baseline'!AN94</f>
        <v/>
      </c>
      <c r="C96" s="175" t="str">
        <f>IF(B96="","",VLOOKUP($B96,'C-1 Site River Baseline'!$C$9:$R$257,2,FALSE))</f>
        <v/>
      </c>
      <c r="D96" s="175" t="str">
        <f>IF(C96="","",VLOOKUP($B96,'C-1 Site River Baseline'!$C$9:$R$257,3,FALSE))</f>
        <v/>
      </c>
      <c r="E96" s="175" t="str">
        <f>IF(D96="","",VLOOKUP($B96,'C-1 Site River Baseline'!$C$9:$R$257,4,FALSE))</f>
        <v/>
      </c>
      <c r="F96" s="175" t="str">
        <f>IF(E96="","",VLOOKUP($B96,'C-1 Site River Baseline'!$C$9:$R$257,5,FALSE))</f>
        <v/>
      </c>
      <c r="G96" s="175" t="str">
        <f>IF(F96="","",VLOOKUP($B96,'C-1 Site River Baseline'!$C$9:$R$257,6,FALSE))</f>
        <v/>
      </c>
      <c r="H96" s="175" t="str">
        <f>IF(G96="","",VLOOKUP($B96,'C-1 Site River Baseline'!$C$9:$R$257,7,FALSE))</f>
        <v/>
      </c>
      <c r="I96" s="175" t="str">
        <f>IF(H96="","",VLOOKUP($B96,'C-1 Site River Baseline'!$C$9:$R$257,8,FALSE))</f>
        <v/>
      </c>
      <c r="J96" s="175" t="str">
        <f>IF(I96="","",VLOOKUP($B96,'C-1 Site River Baseline'!$C$9:$R$257,9,FALSE))</f>
        <v/>
      </c>
      <c r="K96" s="175" t="str">
        <f>IF(J96="","",VLOOKUP($B96,'C-1 Site River Baseline'!$C$9:$R$257,10,FALSE))</f>
        <v/>
      </c>
      <c r="L96" s="175" t="str">
        <f>IF(B96="","",VLOOKUP($B96,'C-1 Site River Baseline'!$C$9:$R$257,15,FALSE))</f>
        <v/>
      </c>
      <c r="M96" s="176" t="str">
        <f>IF(L96="","",VLOOKUP($B96,'C-1 Site River Baseline'!$C$9:$R$257,16,FALSE))</f>
        <v/>
      </c>
      <c r="N96" s="639" t="str">
        <f t="shared" si="9"/>
        <v/>
      </c>
      <c r="O96" s="239" t="str">
        <f t="shared" si="10"/>
        <v/>
      </c>
      <c r="P96" s="172" t="str">
        <f>IF(C96="","",IF(AND(LEFT(C96,55)&lt;&gt;LEFT(N96,55),O96="High - High"),"Error - Not like for like",IF(AND(F96=S96,H96&gt;U96),"Error - Can not reduce condition",IF(AND(F96=S96,H96=U96,AJ96='C-1 Site River Baseline'!N94,'C-1 Site River Baseline'!P94=AL96),"Error - No enhancement",IF(AND(C96&lt;&gt;N96,F96&lt;S96),"Lower Distinctiveness Habitat"&amp;" - "&amp;T96,G96&amp;" - "&amp;T96)))))</f>
        <v/>
      </c>
      <c r="Q96" s="660" t="str">
        <f>IF(N96="","",VLOOKUP(B96,'C-1 Site River Baseline'!$C$10:$AA$257,19,FALSE))</f>
        <v/>
      </c>
      <c r="R96" s="171" t="str">
        <f>IF(N96="","",VLOOKUP(N96,'G-7 Rivers Data'!$B$2:$G$8,2,FALSE))</f>
        <v/>
      </c>
      <c r="S96" s="172" t="str">
        <f>IFERROR(VLOOKUP(R96,'G-7 Rivers Data'!$C$4:$D$8,2,FALSE),"")</f>
        <v/>
      </c>
      <c r="T96" s="173"/>
      <c r="U96" s="172" t="str">
        <f>IFERROR(INDEX('G-7 Rivers Data'!$H$4:$L$8,MATCH(N96,'G-7 Rivers Data'!$B$4:$B$8,0),MATCH(T96,'G-7 Rivers Data'!$H$3:$L$3,0)),"")</f>
        <v/>
      </c>
      <c r="V96" s="186"/>
      <c r="W96" s="175" t="str">
        <f>IF(V96="","",IF(VLOOKUP(V96,'G-7 Rivers Data'!$AG$4:$AI$9,2,FALSE)=0,"Spatial Data Missing",VLOOKUP(V96,'G-7 Rivers Data'!$AG$4:$AI$9,2,FALSE)))</f>
        <v/>
      </c>
      <c r="X96" s="176" t="str">
        <f>IF(V96="","",IF(VLOOKUP(V96,'G-7 Rivers Data'!$AG$4:$AI$9,3,FALSE)=0,"Spatial Data Missing",VLOOKUP(V96,'G-7 Rivers Data'!$AG$4:$AI$9,3,FALSE)))</f>
        <v/>
      </c>
      <c r="Y96" s="171" t="str">
        <f>IFERROR(IF(OR(LEFT(P96,5)="Error",LEFT(O96,5)="Error"),"Check Data",IF(F96&lt;S96,'G-7 Rivers Data'!$R$3,INDEX('G-7 Rivers Data'!$U$5:$Y$9,MATCH(G96,'G-7 Rivers Data'!$T$5:$T$9,0),MATCH(T96,'G-7 Rivers Data'!$U$4:$Y$4,0)))),"")</f>
        <v/>
      </c>
      <c r="Z96" s="261"/>
      <c r="AA96" s="261"/>
      <c r="AB96" s="179" t="str">
        <f t="shared" si="11"/>
        <v/>
      </c>
      <c r="AC96" s="262" t="str">
        <f t="shared" si="12"/>
        <v/>
      </c>
      <c r="AD96" s="382" t="str">
        <f>IFERROR(IF(AC96="Check Data","Check Data",VLOOKUP(AC96,'G-4 Temporal multipliers'!$A$4:$C$37,3,FALSE)),"")</f>
        <v/>
      </c>
      <c r="AE96" s="171" t="str">
        <f>IF(N96="","",VLOOKUP(N96,'G-7 Rivers Data'!$B$4:$G$8,5,FALSE))</f>
        <v/>
      </c>
      <c r="AF96" s="179" t="str">
        <f t="shared" si="13"/>
        <v/>
      </c>
      <c r="AG96" s="269" t="str">
        <f t="shared" si="14"/>
        <v/>
      </c>
      <c r="AH96" s="172" t="str">
        <f t="shared" si="8"/>
        <v/>
      </c>
      <c r="AI96" s="173"/>
      <c r="AJ96" s="172" t="str">
        <f>IF(AI96="","",IF(VLOOKUP(AI96,'G-7 Rivers Data'!$AA$4:$AB$7,2,FALSE)=0,"Spatial Data Missing",VLOOKUP(AI96,'G-7 Rivers Data'!$AA$4:$AB$7,2,FALSE)))</f>
        <v/>
      </c>
      <c r="AK96" s="187"/>
      <c r="AL96" s="172" t="str">
        <f>IF(AK96="","",IF(VLOOKUP(AK96,'G-7 Rivers Data'!$AD$4:$AE$8,2,FALSE)=0,"Spatial Data Missing",VLOOKUP(AK96,'G-7 Rivers Data'!$AD$4:$AE$8,2,FALSE)))</f>
        <v/>
      </c>
      <c r="AM96" s="265" t="str">
        <f t="shared" si="15"/>
        <v/>
      </c>
      <c r="AN96" s="180"/>
      <c r="AO96" s="181"/>
      <c r="AV96" s="35" t="str">
        <f>IFERROR(INDEX('G-7 Rivers Data'!$AZ$3:$AZ$7,MATCH(N96,'G-7 Rivers Data'!$AY$3:$AY$7,0)),"")</f>
        <v/>
      </c>
    </row>
    <row r="97" spans="2:48" ht="13.8" x14ac:dyDescent="0.25">
      <c r="B97" s="259" t="str">
        <f>'C-1 Site River Baseline'!AN95</f>
        <v/>
      </c>
      <c r="C97" s="175" t="str">
        <f>IF(B97="","",VLOOKUP($B97,'C-1 Site River Baseline'!$C$9:$R$257,2,FALSE))</f>
        <v/>
      </c>
      <c r="D97" s="175" t="str">
        <f>IF(C97="","",VLOOKUP($B97,'C-1 Site River Baseline'!$C$9:$R$257,3,FALSE))</f>
        <v/>
      </c>
      <c r="E97" s="175" t="str">
        <f>IF(D97="","",VLOOKUP($B97,'C-1 Site River Baseline'!$C$9:$R$257,4,FALSE))</f>
        <v/>
      </c>
      <c r="F97" s="175" t="str">
        <f>IF(E97="","",VLOOKUP($B97,'C-1 Site River Baseline'!$C$9:$R$257,5,FALSE))</f>
        <v/>
      </c>
      <c r="G97" s="175" t="str">
        <f>IF(F97="","",VLOOKUP($B97,'C-1 Site River Baseline'!$C$9:$R$257,6,FALSE))</f>
        <v/>
      </c>
      <c r="H97" s="175" t="str">
        <f>IF(G97="","",VLOOKUP($B97,'C-1 Site River Baseline'!$C$9:$R$257,7,FALSE))</f>
        <v/>
      </c>
      <c r="I97" s="175" t="str">
        <f>IF(H97="","",VLOOKUP($B97,'C-1 Site River Baseline'!$C$9:$R$257,8,FALSE))</f>
        <v/>
      </c>
      <c r="J97" s="175" t="str">
        <f>IF(I97="","",VLOOKUP($B97,'C-1 Site River Baseline'!$C$9:$R$257,9,FALSE))</f>
        <v/>
      </c>
      <c r="K97" s="175" t="str">
        <f>IF(J97="","",VLOOKUP($B97,'C-1 Site River Baseline'!$C$9:$R$257,10,FALSE))</f>
        <v/>
      </c>
      <c r="L97" s="175" t="str">
        <f>IF(B97="","",VLOOKUP($B97,'C-1 Site River Baseline'!$C$9:$R$257,15,FALSE))</f>
        <v/>
      </c>
      <c r="M97" s="176" t="str">
        <f>IF(L97="","",VLOOKUP($B97,'C-1 Site River Baseline'!$C$9:$R$257,16,FALSE))</f>
        <v/>
      </c>
      <c r="N97" s="639" t="str">
        <f t="shared" si="9"/>
        <v/>
      </c>
      <c r="O97" s="239" t="str">
        <f t="shared" si="10"/>
        <v/>
      </c>
      <c r="P97" s="172" t="str">
        <f>IF(C97="","",IF(AND(LEFT(C97,55)&lt;&gt;LEFT(N97,55),O97="High - High"),"Error - Not like for like",IF(AND(F97=S97,H97&gt;U97),"Error - Can not reduce condition",IF(AND(F97=S97,H97=U97,AJ97='C-1 Site River Baseline'!N95,'C-1 Site River Baseline'!P95=AL97),"Error - No enhancement",IF(AND(C97&lt;&gt;N97,F97&lt;S97),"Lower Distinctiveness Habitat"&amp;" - "&amp;T97,G97&amp;" - "&amp;T97)))))</f>
        <v/>
      </c>
      <c r="Q97" s="660" t="str">
        <f>IF(N97="","",VLOOKUP(B97,'C-1 Site River Baseline'!$C$10:$AA$257,19,FALSE))</f>
        <v/>
      </c>
      <c r="R97" s="171" t="str">
        <f>IF(N97="","",VLOOKUP(N97,'G-7 Rivers Data'!$B$2:$G$8,2,FALSE))</f>
        <v/>
      </c>
      <c r="S97" s="172" t="str">
        <f>IFERROR(VLOOKUP(R97,'G-7 Rivers Data'!$C$4:$D$8,2,FALSE),"")</f>
        <v/>
      </c>
      <c r="T97" s="173"/>
      <c r="U97" s="172" t="str">
        <f>IFERROR(INDEX('G-7 Rivers Data'!$H$4:$L$8,MATCH(N97,'G-7 Rivers Data'!$B$4:$B$8,0),MATCH(T97,'G-7 Rivers Data'!$H$3:$L$3,0)),"")</f>
        <v/>
      </c>
      <c r="V97" s="186"/>
      <c r="W97" s="175" t="str">
        <f>IF(V97="","",IF(VLOOKUP(V97,'G-7 Rivers Data'!$AG$4:$AI$9,2,FALSE)=0,"Spatial Data Missing",VLOOKUP(V97,'G-7 Rivers Data'!$AG$4:$AI$9,2,FALSE)))</f>
        <v/>
      </c>
      <c r="X97" s="176" t="str">
        <f>IF(V97="","",IF(VLOOKUP(V97,'G-7 Rivers Data'!$AG$4:$AI$9,3,FALSE)=0,"Spatial Data Missing",VLOOKUP(V97,'G-7 Rivers Data'!$AG$4:$AI$9,3,FALSE)))</f>
        <v/>
      </c>
      <c r="Y97" s="171" t="str">
        <f>IFERROR(IF(OR(LEFT(P97,5)="Error",LEFT(O97,5)="Error"),"Check Data",IF(F97&lt;S97,'G-7 Rivers Data'!$R$3,INDEX('G-7 Rivers Data'!$U$5:$Y$9,MATCH(G97,'G-7 Rivers Data'!$T$5:$T$9,0),MATCH(T97,'G-7 Rivers Data'!$U$4:$Y$4,0)))),"")</f>
        <v/>
      </c>
      <c r="Z97" s="261"/>
      <c r="AA97" s="261"/>
      <c r="AB97" s="179" t="str">
        <f t="shared" si="11"/>
        <v/>
      </c>
      <c r="AC97" s="262" t="str">
        <f t="shared" si="12"/>
        <v/>
      </c>
      <c r="AD97" s="382" t="str">
        <f>IFERROR(IF(AC97="Check Data","Check Data",VLOOKUP(AC97,'G-4 Temporal multipliers'!$A$4:$C$37,3,FALSE)),"")</f>
        <v/>
      </c>
      <c r="AE97" s="171" t="str">
        <f>IF(N97="","",VLOOKUP(N97,'G-7 Rivers Data'!$B$4:$G$8,5,FALSE))</f>
        <v/>
      </c>
      <c r="AF97" s="179" t="str">
        <f t="shared" si="13"/>
        <v/>
      </c>
      <c r="AG97" s="269" t="str">
        <f t="shared" si="14"/>
        <v/>
      </c>
      <c r="AH97" s="172" t="str">
        <f t="shared" si="8"/>
        <v/>
      </c>
      <c r="AI97" s="173"/>
      <c r="AJ97" s="172" t="str">
        <f>IF(AI97="","",IF(VLOOKUP(AI97,'G-7 Rivers Data'!$AA$4:$AB$7,2,FALSE)=0,"Spatial Data Missing",VLOOKUP(AI97,'G-7 Rivers Data'!$AA$4:$AB$7,2,FALSE)))</f>
        <v/>
      </c>
      <c r="AK97" s="187"/>
      <c r="AL97" s="172" t="str">
        <f>IF(AK97="","",IF(VLOOKUP(AK97,'G-7 Rivers Data'!$AD$4:$AE$8,2,FALSE)=0,"Spatial Data Missing",VLOOKUP(AK97,'G-7 Rivers Data'!$AD$4:$AE$8,2,FALSE)))</f>
        <v/>
      </c>
      <c r="AM97" s="265" t="str">
        <f t="shared" si="15"/>
        <v/>
      </c>
      <c r="AN97" s="180"/>
      <c r="AO97" s="181"/>
      <c r="AV97" s="35" t="str">
        <f>IFERROR(INDEX('G-7 Rivers Data'!$AZ$3:$AZ$7,MATCH(N97,'G-7 Rivers Data'!$AY$3:$AY$7,0)),"")</f>
        <v/>
      </c>
    </row>
    <row r="98" spans="2:48" ht="13.8" x14ac:dyDescent="0.25">
      <c r="B98" s="259" t="str">
        <f>'C-1 Site River Baseline'!AN96</f>
        <v/>
      </c>
      <c r="C98" s="175" t="str">
        <f>IF(B98="","",VLOOKUP($B98,'C-1 Site River Baseline'!$C$9:$R$257,2,FALSE))</f>
        <v/>
      </c>
      <c r="D98" s="175" t="str">
        <f>IF(C98="","",VLOOKUP($B98,'C-1 Site River Baseline'!$C$9:$R$257,3,FALSE))</f>
        <v/>
      </c>
      <c r="E98" s="175" t="str">
        <f>IF(D98="","",VLOOKUP($B98,'C-1 Site River Baseline'!$C$9:$R$257,4,FALSE))</f>
        <v/>
      </c>
      <c r="F98" s="175" t="str">
        <f>IF(E98="","",VLOOKUP($B98,'C-1 Site River Baseline'!$C$9:$R$257,5,FALSE))</f>
        <v/>
      </c>
      <c r="G98" s="175" t="str">
        <f>IF(F98="","",VLOOKUP($B98,'C-1 Site River Baseline'!$C$9:$R$257,6,FALSE))</f>
        <v/>
      </c>
      <c r="H98" s="175" t="str">
        <f>IF(G98="","",VLOOKUP($B98,'C-1 Site River Baseline'!$C$9:$R$257,7,FALSE))</f>
        <v/>
      </c>
      <c r="I98" s="175" t="str">
        <f>IF(H98="","",VLOOKUP($B98,'C-1 Site River Baseline'!$C$9:$R$257,8,FALSE))</f>
        <v/>
      </c>
      <c r="J98" s="175" t="str">
        <f>IF(I98="","",VLOOKUP($B98,'C-1 Site River Baseline'!$C$9:$R$257,9,FALSE))</f>
        <v/>
      </c>
      <c r="K98" s="175" t="str">
        <f>IF(J98="","",VLOOKUP($B98,'C-1 Site River Baseline'!$C$9:$R$257,10,FALSE))</f>
        <v/>
      </c>
      <c r="L98" s="175" t="str">
        <f>IF(B98="","",VLOOKUP($B98,'C-1 Site River Baseline'!$C$9:$R$257,15,FALSE))</f>
        <v/>
      </c>
      <c r="M98" s="176" t="str">
        <f>IF(L98="","",VLOOKUP($B98,'C-1 Site River Baseline'!$C$9:$R$257,16,FALSE))</f>
        <v/>
      </c>
      <c r="N98" s="639" t="str">
        <f t="shared" si="9"/>
        <v/>
      </c>
      <c r="O98" s="239" t="str">
        <f t="shared" si="10"/>
        <v/>
      </c>
      <c r="P98" s="172" t="str">
        <f>IF(C98="","",IF(AND(LEFT(C98,55)&lt;&gt;LEFT(N98,55),O98="High - High"),"Error - Not like for like",IF(AND(F98=S98,H98&gt;U98),"Error - Can not reduce condition",IF(AND(F98=S98,H98=U98,AJ98='C-1 Site River Baseline'!N96,'C-1 Site River Baseline'!P96=AL98),"Error - No enhancement",IF(AND(C98&lt;&gt;N98,F98&lt;S98),"Lower Distinctiveness Habitat"&amp;" - "&amp;T98,G98&amp;" - "&amp;T98)))))</f>
        <v/>
      </c>
      <c r="Q98" s="660" t="str">
        <f>IF(N98="","",VLOOKUP(B98,'C-1 Site River Baseline'!$C$10:$AA$257,19,FALSE))</f>
        <v/>
      </c>
      <c r="R98" s="171" t="str">
        <f>IF(N98="","",VLOOKUP(N98,'G-7 Rivers Data'!$B$2:$G$8,2,FALSE))</f>
        <v/>
      </c>
      <c r="S98" s="172" t="str">
        <f>IFERROR(VLOOKUP(R98,'G-7 Rivers Data'!$C$4:$D$8,2,FALSE),"")</f>
        <v/>
      </c>
      <c r="T98" s="173"/>
      <c r="U98" s="172" t="str">
        <f>IFERROR(INDEX('G-7 Rivers Data'!$H$4:$L$8,MATCH(N98,'G-7 Rivers Data'!$B$4:$B$8,0),MATCH(T98,'G-7 Rivers Data'!$H$3:$L$3,0)),"")</f>
        <v/>
      </c>
      <c r="V98" s="186"/>
      <c r="W98" s="175" t="str">
        <f>IF(V98="","",IF(VLOOKUP(V98,'G-7 Rivers Data'!$AG$4:$AI$9,2,FALSE)=0,"Spatial Data Missing",VLOOKUP(V98,'G-7 Rivers Data'!$AG$4:$AI$9,2,FALSE)))</f>
        <v/>
      </c>
      <c r="X98" s="176" t="str">
        <f>IF(V98="","",IF(VLOOKUP(V98,'G-7 Rivers Data'!$AG$4:$AI$9,3,FALSE)=0,"Spatial Data Missing",VLOOKUP(V98,'G-7 Rivers Data'!$AG$4:$AI$9,3,FALSE)))</f>
        <v/>
      </c>
      <c r="Y98" s="171" t="str">
        <f>IFERROR(IF(OR(LEFT(P98,5)="Error",LEFT(O98,5)="Error"),"Check Data",IF(F98&lt;S98,'G-7 Rivers Data'!$R$3,INDEX('G-7 Rivers Data'!$U$5:$Y$9,MATCH(G98,'G-7 Rivers Data'!$T$5:$T$9,0),MATCH(T98,'G-7 Rivers Data'!$U$4:$Y$4,0)))),"")</f>
        <v/>
      </c>
      <c r="Z98" s="261"/>
      <c r="AA98" s="261"/>
      <c r="AB98" s="179" t="str">
        <f t="shared" si="11"/>
        <v/>
      </c>
      <c r="AC98" s="262" t="str">
        <f t="shared" si="12"/>
        <v/>
      </c>
      <c r="AD98" s="382" t="str">
        <f>IFERROR(IF(AC98="Check Data","Check Data",VLOOKUP(AC98,'G-4 Temporal multipliers'!$A$4:$C$37,3,FALSE)),"")</f>
        <v/>
      </c>
      <c r="AE98" s="171" t="str">
        <f>IF(N98="","",VLOOKUP(N98,'G-7 Rivers Data'!$B$4:$G$8,5,FALSE))</f>
        <v/>
      </c>
      <c r="AF98" s="179" t="str">
        <f t="shared" si="13"/>
        <v/>
      </c>
      <c r="AG98" s="269" t="str">
        <f t="shared" si="14"/>
        <v/>
      </c>
      <c r="AH98" s="172" t="str">
        <f t="shared" si="8"/>
        <v/>
      </c>
      <c r="AI98" s="173"/>
      <c r="AJ98" s="172" t="str">
        <f>IF(AI98="","",IF(VLOOKUP(AI98,'G-7 Rivers Data'!$AA$4:$AB$7,2,FALSE)=0,"Spatial Data Missing",VLOOKUP(AI98,'G-7 Rivers Data'!$AA$4:$AB$7,2,FALSE)))</f>
        <v/>
      </c>
      <c r="AK98" s="187"/>
      <c r="AL98" s="172" t="str">
        <f>IF(AK98="","",IF(VLOOKUP(AK98,'G-7 Rivers Data'!$AD$4:$AE$8,2,FALSE)=0,"Spatial Data Missing",VLOOKUP(AK98,'G-7 Rivers Data'!$AD$4:$AE$8,2,FALSE)))</f>
        <v/>
      </c>
      <c r="AM98" s="265" t="str">
        <f t="shared" si="15"/>
        <v/>
      </c>
      <c r="AN98" s="180"/>
      <c r="AO98" s="181"/>
      <c r="AV98" s="35" t="str">
        <f>IFERROR(INDEX('G-7 Rivers Data'!$AZ$3:$AZ$7,MATCH(N98,'G-7 Rivers Data'!$AY$3:$AY$7,0)),"")</f>
        <v/>
      </c>
    </row>
    <row r="99" spans="2:48" ht="13.8" x14ac:dyDescent="0.25">
      <c r="B99" s="259" t="str">
        <f>'C-1 Site River Baseline'!AN97</f>
        <v/>
      </c>
      <c r="C99" s="175" t="str">
        <f>IF(B99="","",VLOOKUP($B99,'C-1 Site River Baseline'!$C$9:$R$257,2,FALSE))</f>
        <v/>
      </c>
      <c r="D99" s="175" t="str">
        <f>IF(C99="","",VLOOKUP($B99,'C-1 Site River Baseline'!$C$9:$R$257,3,FALSE))</f>
        <v/>
      </c>
      <c r="E99" s="175" t="str">
        <f>IF(D99="","",VLOOKUP($B99,'C-1 Site River Baseline'!$C$9:$R$257,4,FALSE))</f>
        <v/>
      </c>
      <c r="F99" s="175" t="str">
        <f>IF(E99="","",VLOOKUP($B99,'C-1 Site River Baseline'!$C$9:$R$257,5,FALSE))</f>
        <v/>
      </c>
      <c r="G99" s="175" t="str">
        <f>IF(F99="","",VLOOKUP($B99,'C-1 Site River Baseline'!$C$9:$R$257,6,FALSE))</f>
        <v/>
      </c>
      <c r="H99" s="175" t="str">
        <f>IF(G99="","",VLOOKUP($B99,'C-1 Site River Baseline'!$C$9:$R$257,7,FALSE))</f>
        <v/>
      </c>
      <c r="I99" s="175" t="str">
        <f>IF(H99="","",VLOOKUP($B99,'C-1 Site River Baseline'!$C$9:$R$257,8,FALSE))</f>
        <v/>
      </c>
      <c r="J99" s="175" t="str">
        <f>IF(I99="","",VLOOKUP($B99,'C-1 Site River Baseline'!$C$9:$R$257,9,FALSE))</f>
        <v/>
      </c>
      <c r="K99" s="175" t="str">
        <f>IF(J99="","",VLOOKUP($B99,'C-1 Site River Baseline'!$C$9:$R$257,10,FALSE))</f>
        <v/>
      </c>
      <c r="L99" s="175" t="str">
        <f>IF(B99="","",VLOOKUP($B99,'C-1 Site River Baseline'!$C$9:$R$257,15,FALSE))</f>
        <v/>
      </c>
      <c r="M99" s="176" t="str">
        <f>IF(L99="","",VLOOKUP($B99,'C-1 Site River Baseline'!$C$9:$R$257,16,FALSE))</f>
        <v/>
      </c>
      <c r="N99" s="639" t="str">
        <f t="shared" si="9"/>
        <v/>
      </c>
      <c r="O99" s="239" t="str">
        <f t="shared" si="10"/>
        <v/>
      </c>
      <c r="P99" s="172" t="str">
        <f>IF(C99="","",IF(AND(LEFT(C99,55)&lt;&gt;LEFT(N99,55),O99="High - High"),"Error - Not like for like",IF(AND(F99=S99,H99&gt;U99),"Error - Can not reduce condition",IF(AND(F99=S99,H99=U99,AJ99='C-1 Site River Baseline'!N97,'C-1 Site River Baseline'!P97=AL99),"Error - No enhancement",IF(AND(C99&lt;&gt;N99,F99&lt;S99),"Lower Distinctiveness Habitat"&amp;" - "&amp;T99,G99&amp;" - "&amp;T99)))))</f>
        <v/>
      </c>
      <c r="Q99" s="660" t="str">
        <f>IF(N99="","",VLOOKUP(B99,'C-1 Site River Baseline'!$C$10:$AA$257,19,FALSE))</f>
        <v/>
      </c>
      <c r="R99" s="171" t="str">
        <f>IF(N99="","",VLOOKUP(N99,'G-7 Rivers Data'!$B$2:$G$8,2,FALSE))</f>
        <v/>
      </c>
      <c r="S99" s="172" t="str">
        <f>IFERROR(VLOOKUP(R99,'G-7 Rivers Data'!$C$4:$D$8,2,FALSE),"")</f>
        <v/>
      </c>
      <c r="T99" s="173"/>
      <c r="U99" s="172" t="str">
        <f>IFERROR(INDEX('G-7 Rivers Data'!$H$4:$L$8,MATCH(N99,'G-7 Rivers Data'!$B$4:$B$8,0),MATCH(T99,'G-7 Rivers Data'!$H$3:$L$3,0)),"")</f>
        <v/>
      </c>
      <c r="V99" s="186"/>
      <c r="W99" s="175" t="str">
        <f>IF(V99="","",IF(VLOOKUP(V99,'G-7 Rivers Data'!$AG$4:$AI$9,2,FALSE)=0,"Spatial Data Missing",VLOOKUP(V99,'G-7 Rivers Data'!$AG$4:$AI$9,2,FALSE)))</f>
        <v/>
      </c>
      <c r="X99" s="176" t="str">
        <f>IF(V99="","",IF(VLOOKUP(V99,'G-7 Rivers Data'!$AG$4:$AI$9,3,FALSE)=0,"Spatial Data Missing",VLOOKUP(V99,'G-7 Rivers Data'!$AG$4:$AI$9,3,FALSE)))</f>
        <v/>
      </c>
      <c r="Y99" s="171" t="str">
        <f>IFERROR(IF(OR(LEFT(P99,5)="Error",LEFT(O99,5)="Error"),"Check Data",IF(F99&lt;S99,'G-7 Rivers Data'!$R$3,INDEX('G-7 Rivers Data'!$U$5:$Y$9,MATCH(G99,'G-7 Rivers Data'!$T$5:$T$9,0),MATCH(T99,'G-7 Rivers Data'!$U$4:$Y$4,0)))),"")</f>
        <v/>
      </c>
      <c r="Z99" s="261"/>
      <c r="AA99" s="261"/>
      <c r="AB99" s="179" t="str">
        <f t="shared" si="11"/>
        <v/>
      </c>
      <c r="AC99" s="262" t="str">
        <f t="shared" si="12"/>
        <v/>
      </c>
      <c r="AD99" s="382" t="str">
        <f>IFERROR(IF(AC99="Check Data","Check Data",VLOOKUP(AC99,'G-4 Temporal multipliers'!$A$4:$C$37,3,FALSE)),"")</f>
        <v/>
      </c>
      <c r="AE99" s="171" t="str">
        <f>IF(N99="","",VLOOKUP(N99,'G-7 Rivers Data'!$B$4:$G$8,5,FALSE))</f>
        <v/>
      </c>
      <c r="AF99" s="179" t="str">
        <f t="shared" si="13"/>
        <v/>
      </c>
      <c r="AG99" s="269" t="str">
        <f t="shared" si="14"/>
        <v/>
      </c>
      <c r="AH99" s="172" t="str">
        <f t="shared" si="8"/>
        <v/>
      </c>
      <c r="AI99" s="173"/>
      <c r="AJ99" s="172" t="str">
        <f>IF(AI99="","",IF(VLOOKUP(AI99,'G-7 Rivers Data'!$AA$4:$AB$7,2,FALSE)=0,"Spatial Data Missing",VLOOKUP(AI99,'G-7 Rivers Data'!$AA$4:$AB$7,2,FALSE)))</f>
        <v/>
      </c>
      <c r="AK99" s="187"/>
      <c r="AL99" s="172" t="str">
        <f>IF(AK99="","",IF(VLOOKUP(AK99,'G-7 Rivers Data'!$AD$4:$AE$8,2,FALSE)=0,"Spatial Data Missing",VLOOKUP(AK99,'G-7 Rivers Data'!$AD$4:$AE$8,2,FALSE)))</f>
        <v/>
      </c>
      <c r="AM99" s="265" t="str">
        <f t="shared" si="15"/>
        <v/>
      </c>
      <c r="AN99" s="180"/>
      <c r="AO99" s="181"/>
      <c r="AV99" s="35" t="str">
        <f>IFERROR(INDEX('G-7 Rivers Data'!$AZ$3:$AZ$7,MATCH(N99,'G-7 Rivers Data'!$AY$3:$AY$7,0)),"")</f>
        <v/>
      </c>
    </row>
    <row r="100" spans="2:48" ht="13.8" x14ac:dyDescent="0.25">
      <c r="B100" s="259" t="str">
        <f>'C-1 Site River Baseline'!AN98</f>
        <v/>
      </c>
      <c r="C100" s="175" t="str">
        <f>IF(B100="","",VLOOKUP($B100,'C-1 Site River Baseline'!$C$9:$R$257,2,FALSE))</f>
        <v/>
      </c>
      <c r="D100" s="175" t="str">
        <f>IF(C100="","",VLOOKUP($B100,'C-1 Site River Baseline'!$C$9:$R$257,3,FALSE))</f>
        <v/>
      </c>
      <c r="E100" s="175" t="str">
        <f>IF(D100="","",VLOOKUP($B100,'C-1 Site River Baseline'!$C$9:$R$257,4,FALSE))</f>
        <v/>
      </c>
      <c r="F100" s="175" t="str">
        <f>IF(E100="","",VLOOKUP($B100,'C-1 Site River Baseline'!$C$9:$R$257,5,FALSE))</f>
        <v/>
      </c>
      <c r="G100" s="175" t="str">
        <f>IF(F100="","",VLOOKUP($B100,'C-1 Site River Baseline'!$C$9:$R$257,6,FALSE))</f>
        <v/>
      </c>
      <c r="H100" s="175" t="str">
        <f>IF(G100="","",VLOOKUP($B100,'C-1 Site River Baseline'!$C$9:$R$257,7,FALSE))</f>
        <v/>
      </c>
      <c r="I100" s="175" t="str">
        <f>IF(H100="","",VLOOKUP($B100,'C-1 Site River Baseline'!$C$9:$R$257,8,FALSE))</f>
        <v/>
      </c>
      <c r="J100" s="175" t="str">
        <f>IF(I100="","",VLOOKUP($B100,'C-1 Site River Baseline'!$C$9:$R$257,9,FALSE))</f>
        <v/>
      </c>
      <c r="K100" s="175" t="str">
        <f>IF(J100="","",VLOOKUP($B100,'C-1 Site River Baseline'!$C$9:$R$257,10,FALSE))</f>
        <v/>
      </c>
      <c r="L100" s="175" t="str">
        <f>IF(B100="","",VLOOKUP($B100,'C-1 Site River Baseline'!$C$9:$R$257,15,FALSE))</f>
        <v/>
      </c>
      <c r="M100" s="176" t="str">
        <f>IF(L100="","",VLOOKUP($B100,'C-1 Site River Baseline'!$C$9:$R$257,16,FALSE))</f>
        <v/>
      </c>
      <c r="N100" s="639" t="str">
        <f t="shared" si="9"/>
        <v/>
      </c>
      <c r="O100" s="239" t="str">
        <f t="shared" si="10"/>
        <v/>
      </c>
      <c r="P100" s="172" t="str">
        <f>IF(C100="","",IF(AND(LEFT(C100,55)&lt;&gt;LEFT(N100,55),O100="High - High"),"Error - Not like for like",IF(AND(F100=S100,H100&gt;U100),"Error - Can not reduce condition",IF(AND(F100=S100,H100=U100,AJ100='C-1 Site River Baseline'!N98,'C-1 Site River Baseline'!P98=AL100),"Error - No enhancement",IF(AND(C100&lt;&gt;N100,F100&lt;S100),"Lower Distinctiveness Habitat"&amp;" - "&amp;T100,G100&amp;" - "&amp;T100)))))</f>
        <v/>
      </c>
      <c r="Q100" s="660" t="str">
        <f>IF(N100="","",VLOOKUP(B100,'C-1 Site River Baseline'!$C$10:$AA$257,19,FALSE))</f>
        <v/>
      </c>
      <c r="R100" s="171" t="str">
        <f>IF(N100="","",VLOOKUP(N100,'G-7 Rivers Data'!$B$2:$G$8,2,FALSE))</f>
        <v/>
      </c>
      <c r="S100" s="172" t="str">
        <f>IFERROR(VLOOKUP(R100,'G-7 Rivers Data'!$C$4:$D$8,2,FALSE),"")</f>
        <v/>
      </c>
      <c r="T100" s="173"/>
      <c r="U100" s="172" t="str">
        <f>IFERROR(INDEX('G-7 Rivers Data'!$H$4:$L$8,MATCH(N100,'G-7 Rivers Data'!$B$4:$B$8,0),MATCH(T100,'G-7 Rivers Data'!$H$3:$L$3,0)),"")</f>
        <v/>
      </c>
      <c r="V100" s="186"/>
      <c r="W100" s="175" t="str">
        <f>IF(V100="","",IF(VLOOKUP(V100,'G-7 Rivers Data'!$AG$4:$AI$9,2,FALSE)=0,"Spatial Data Missing",VLOOKUP(V100,'G-7 Rivers Data'!$AG$4:$AI$9,2,FALSE)))</f>
        <v/>
      </c>
      <c r="X100" s="176" t="str">
        <f>IF(V100="","",IF(VLOOKUP(V100,'G-7 Rivers Data'!$AG$4:$AI$9,3,FALSE)=0,"Spatial Data Missing",VLOOKUP(V100,'G-7 Rivers Data'!$AG$4:$AI$9,3,FALSE)))</f>
        <v/>
      </c>
      <c r="Y100" s="171" t="str">
        <f>IFERROR(IF(OR(LEFT(P100,5)="Error",LEFT(O100,5)="Error"),"Check Data",IF(F100&lt;S100,'G-7 Rivers Data'!$R$3,INDEX('G-7 Rivers Data'!$U$5:$Y$9,MATCH(G100,'G-7 Rivers Data'!$T$5:$T$9,0),MATCH(T100,'G-7 Rivers Data'!$U$4:$Y$4,0)))),"")</f>
        <v/>
      </c>
      <c r="Z100" s="261"/>
      <c r="AA100" s="261"/>
      <c r="AB100" s="179" t="str">
        <f t="shared" si="11"/>
        <v/>
      </c>
      <c r="AC100" s="262" t="str">
        <f t="shared" si="12"/>
        <v/>
      </c>
      <c r="AD100" s="382" t="str">
        <f>IFERROR(IF(AC100="Check Data","Check Data",VLOOKUP(AC100,'G-4 Temporal multipliers'!$A$4:$C$37,3,FALSE)),"")</f>
        <v/>
      </c>
      <c r="AE100" s="171" t="str">
        <f>IF(N100="","",VLOOKUP(N100,'G-7 Rivers Data'!$B$4:$G$8,5,FALSE))</f>
        <v/>
      </c>
      <c r="AF100" s="179" t="str">
        <f t="shared" si="13"/>
        <v/>
      </c>
      <c r="AG100" s="269" t="str">
        <f t="shared" si="14"/>
        <v/>
      </c>
      <c r="AH100" s="172" t="str">
        <f t="shared" si="8"/>
        <v/>
      </c>
      <c r="AI100" s="173"/>
      <c r="AJ100" s="172" t="str">
        <f>IF(AI100="","",IF(VLOOKUP(AI100,'G-7 Rivers Data'!$AA$4:$AB$7,2,FALSE)=0,"Spatial Data Missing",VLOOKUP(AI100,'G-7 Rivers Data'!$AA$4:$AB$7,2,FALSE)))</f>
        <v/>
      </c>
      <c r="AK100" s="187"/>
      <c r="AL100" s="172" t="str">
        <f>IF(AK100="","",IF(VLOOKUP(AK100,'G-7 Rivers Data'!$AD$4:$AE$8,2,FALSE)=0,"Spatial Data Missing",VLOOKUP(AK100,'G-7 Rivers Data'!$AD$4:$AE$8,2,FALSE)))</f>
        <v/>
      </c>
      <c r="AM100" s="265" t="str">
        <f t="shared" si="15"/>
        <v/>
      </c>
      <c r="AN100" s="180"/>
      <c r="AO100" s="181"/>
      <c r="AV100" s="35" t="str">
        <f>IFERROR(INDEX('G-7 Rivers Data'!$AZ$3:$AZ$7,MATCH(N100,'G-7 Rivers Data'!$AY$3:$AY$7,0)),"")</f>
        <v/>
      </c>
    </row>
    <row r="101" spans="2:48" ht="13.8" x14ac:dyDescent="0.25">
      <c r="B101" s="259" t="str">
        <f>'C-1 Site River Baseline'!AN99</f>
        <v/>
      </c>
      <c r="C101" s="175" t="str">
        <f>IF(B101="","",VLOOKUP($B101,'C-1 Site River Baseline'!$C$9:$R$257,2,FALSE))</f>
        <v/>
      </c>
      <c r="D101" s="175" t="str">
        <f>IF(C101="","",VLOOKUP($B101,'C-1 Site River Baseline'!$C$9:$R$257,3,FALSE))</f>
        <v/>
      </c>
      <c r="E101" s="175" t="str">
        <f>IF(D101="","",VLOOKUP($B101,'C-1 Site River Baseline'!$C$9:$R$257,4,FALSE))</f>
        <v/>
      </c>
      <c r="F101" s="175" t="str">
        <f>IF(E101="","",VLOOKUP($B101,'C-1 Site River Baseline'!$C$9:$R$257,5,FALSE))</f>
        <v/>
      </c>
      <c r="G101" s="175" t="str">
        <f>IF(F101="","",VLOOKUP($B101,'C-1 Site River Baseline'!$C$9:$R$257,6,FALSE))</f>
        <v/>
      </c>
      <c r="H101" s="175" t="str">
        <f>IF(G101="","",VLOOKUP($B101,'C-1 Site River Baseline'!$C$9:$R$257,7,FALSE))</f>
        <v/>
      </c>
      <c r="I101" s="175" t="str">
        <f>IF(H101="","",VLOOKUP($B101,'C-1 Site River Baseline'!$C$9:$R$257,8,FALSE))</f>
        <v/>
      </c>
      <c r="J101" s="175" t="str">
        <f>IF(I101="","",VLOOKUP($B101,'C-1 Site River Baseline'!$C$9:$R$257,9,FALSE))</f>
        <v/>
      </c>
      <c r="K101" s="175" t="str">
        <f>IF(J101="","",VLOOKUP($B101,'C-1 Site River Baseline'!$C$9:$R$257,10,FALSE))</f>
        <v/>
      </c>
      <c r="L101" s="175" t="str">
        <f>IF(B101="","",VLOOKUP($B101,'C-1 Site River Baseline'!$C$9:$R$257,15,FALSE))</f>
        <v/>
      </c>
      <c r="M101" s="176" t="str">
        <f>IF(L101="","",VLOOKUP($B101,'C-1 Site River Baseline'!$C$9:$R$257,16,FALSE))</f>
        <v/>
      </c>
      <c r="N101" s="639" t="str">
        <f t="shared" si="9"/>
        <v/>
      </c>
      <c r="O101" s="239" t="str">
        <f t="shared" si="10"/>
        <v/>
      </c>
      <c r="P101" s="172" t="str">
        <f>IF(C101="","",IF(AND(LEFT(C101,55)&lt;&gt;LEFT(N101,55),O101="High - High"),"Error - Not like for like",IF(AND(F101=S101,H101&gt;U101),"Error - Can not reduce condition",IF(AND(F101=S101,H101=U101,AJ101='C-1 Site River Baseline'!N99,'C-1 Site River Baseline'!P99=AL101),"Error - No enhancement",IF(AND(C101&lt;&gt;N101,F101&lt;S101),"Lower Distinctiveness Habitat"&amp;" - "&amp;T101,G101&amp;" - "&amp;T101)))))</f>
        <v/>
      </c>
      <c r="Q101" s="660" t="str">
        <f>IF(N101="","",VLOOKUP(B101,'C-1 Site River Baseline'!$C$10:$AA$257,19,FALSE))</f>
        <v/>
      </c>
      <c r="R101" s="171" t="str">
        <f>IF(N101="","",VLOOKUP(N101,'G-7 Rivers Data'!$B$2:$G$8,2,FALSE))</f>
        <v/>
      </c>
      <c r="S101" s="172" t="str">
        <f>IFERROR(VLOOKUP(R101,'G-7 Rivers Data'!$C$4:$D$8,2,FALSE),"")</f>
        <v/>
      </c>
      <c r="T101" s="173"/>
      <c r="U101" s="172" t="str">
        <f>IFERROR(INDEX('G-7 Rivers Data'!$H$4:$L$8,MATCH(N101,'G-7 Rivers Data'!$B$4:$B$8,0),MATCH(T101,'G-7 Rivers Data'!$H$3:$L$3,0)),"")</f>
        <v/>
      </c>
      <c r="V101" s="186"/>
      <c r="W101" s="175" t="str">
        <f>IF(V101="","",IF(VLOOKUP(V101,'G-7 Rivers Data'!$AG$4:$AI$9,2,FALSE)=0,"Spatial Data Missing",VLOOKUP(V101,'G-7 Rivers Data'!$AG$4:$AI$9,2,FALSE)))</f>
        <v/>
      </c>
      <c r="X101" s="176" t="str">
        <f>IF(V101="","",IF(VLOOKUP(V101,'G-7 Rivers Data'!$AG$4:$AI$9,3,FALSE)=0,"Spatial Data Missing",VLOOKUP(V101,'G-7 Rivers Data'!$AG$4:$AI$9,3,FALSE)))</f>
        <v/>
      </c>
      <c r="Y101" s="171" t="str">
        <f>IFERROR(IF(OR(LEFT(P101,5)="Error",LEFT(O101,5)="Error"),"Check Data",IF(F101&lt;S101,'G-7 Rivers Data'!$R$3,INDEX('G-7 Rivers Data'!$U$5:$Y$9,MATCH(G101,'G-7 Rivers Data'!$T$5:$T$9,0),MATCH(T101,'G-7 Rivers Data'!$U$4:$Y$4,0)))),"")</f>
        <v/>
      </c>
      <c r="Z101" s="261"/>
      <c r="AA101" s="261"/>
      <c r="AB101" s="179" t="str">
        <f t="shared" si="11"/>
        <v/>
      </c>
      <c r="AC101" s="262" t="str">
        <f t="shared" si="12"/>
        <v/>
      </c>
      <c r="AD101" s="382" t="str">
        <f>IFERROR(IF(AC101="Check Data","Check Data",VLOOKUP(AC101,'G-4 Temporal multipliers'!$A$4:$C$37,3,FALSE)),"")</f>
        <v/>
      </c>
      <c r="AE101" s="171" t="str">
        <f>IF(N101="","",VLOOKUP(N101,'G-7 Rivers Data'!$B$4:$G$8,5,FALSE))</f>
        <v/>
      </c>
      <c r="AF101" s="179" t="str">
        <f t="shared" si="13"/>
        <v/>
      </c>
      <c r="AG101" s="269" t="str">
        <f t="shared" si="14"/>
        <v/>
      </c>
      <c r="AH101" s="172" t="str">
        <f t="shared" si="8"/>
        <v/>
      </c>
      <c r="AI101" s="173"/>
      <c r="AJ101" s="172" t="str">
        <f>IF(AI101="","",IF(VLOOKUP(AI101,'G-7 Rivers Data'!$AA$4:$AB$7,2,FALSE)=0,"Spatial Data Missing",VLOOKUP(AI101,'G-7 Rivers Data'!$AA$4:$AB$7,2,FALSE)))</f>
        <v/>
      </c>
      <c r="AK101" s="187"/>
      <c r="AL101" s="172" t="str">
        <f>IF(AK101="","",IF(VLOOKUP(AK101,'G-7 Rivers Data'!$AD$4:$AE$8,2,FALSE)=0,"Spatial Data Missing",VLOOKUP(AK101,'G-7 Rivers Data'!$AD$4:$AE$8,2,FALSE)))</f>
        <v/>
      </c>
      <c r="AM101" s="265" t="str">
        <f t="shared" si="15"/>
        <v/>
      </c>
      <c r="AN101" s="180"/>
      <c r="AO101" s="181"/>
      <c r="AV101" s="35" t="str">
        <f>IFERROR(INDEX('G-7 Rivers Data'!$AZ$3:$AZ$7,MATCH(N101,'G-7 Rivers Data'!$AY$3:$AY$7,0)),"")</f>
        <v/>
      </c>
    </row>
    <row r="102" spans="2:48" ht="13.8" x14ac:dyDescent="0.25">
      <c r="B102" s="259" t="str">
        <f>'C-1 Site River Baseline'!AN100</f>
        <v/>
      </c>
      <c r="C102" s="175" t="str">
        <f>IF(B102="","",VLOOKUP($B102,'C-1 Site River Baseline'!$C$9:$R$257,2,FALSE))</f>
        <v/>
      </c>
      <c r="D102" s="175" t="str">
        <f>IF(C102="","",VLOOKUP($B102,'C-1 Site River Baseline'!$C$9:$R$257,3,FALSE))</f>
        <v/>
      </c>
      <c r="E102" s="175" t="str">
        <f>IF(D102="","",VLOOKUP($B102,'C-1 Site River Baseline'!$C$9:$R$257,4,FALSE))</f>
        <v/>
      </c>
      <c r="F102" s="175" t="str">
        <f>IF(E102="","",VLOOKUP($B102,'C-1 Site River Baseline'!$C$9:$R$257,5,FALSE))</f>
        <v/>
      </c>
      <c r="G102" s="175" t="str">
        <f>IF(F102="","",VLOOKUP($B102,'C-1 Site River Baseline'!$C$9:$R$257,6,FALSE))</f>
        <v/>
      </c>
      <c r="H102" s="175" t="str">
        <f>IF(G102="","",VLOOKUP($B102,'C-1 Site River Baseline'!$C$9:$R$257,7,FALSE))</f>
        <v/>
      </c>
      <c r="I102" s="175" t="str">
        <f>IF(H102="","",VLOOKUP($B102,'C-1 Site River Baseline'!$C$9:$R$257,8,FALSE))</f>
        <v/>
      </c>
      <c r="J102" s="175" t="str">
        <f>IF(I102="","",VLOOKUP($B102,'C-1 Site River Baseline'!$C$9:$R$257,9,FALSE))</f>
        <v/>
      </c>
      <c r="K102" s="175" t="str">
        <f>IF(J102="","",VLOOKUP($B102,'C-1 Site River Baseline'!$C$9:$R$257,10,FALSE))</f>
        <v/>
      </c>
      <c r="L102" s="175" t="str">
        <f>IF(B102="","",VLOOKUP($B102,'C-1 Site River Baseline'!$C$9:$R$257,15,FALSE))</f>
        <v/>
      </c>
      <c r="M102" s="176" t="str">
        <f>IF(L102="","",VLOOKUP($B102,'C-1 Site River Baseline'!$C$9:$R$257,16,FALSE))</f>
        <v/>
      </c>
      <c r="N102" s="639" t="str">
        <f t="shared" si="9"/>
        <v/>
      </c>
      <c r="O102" s="239" t="str">
        <f t="shared" si="10"/>
        <v/>
      </c>
      <c r="P102" s="172" t="str">
        <f>IF(C102="","",IF(AND(LEFT(C102,55)&lt;&gt;LEFT(N102,55),O102="High - High"),"Error - Not like for like",IF(AND(F102=S102,H102&gt;U102),"Error - Can not reduce condition",IF(AND(F102=S102,H102=U102,AJ102='C-1 Site River Baseline'!N100,'C-1 Site River Baseline'!P100=AL102),"Error - No enhancement",IF(AND(C102&lt;&gt;N102,F102&lt;S102),"Lower Distinctiveness Habitat"&amp;" - "&amp;T102,G102&amp;" - "&amp;T102)))))</f>
        <v/>
      </c>
      <c r="Q102" s="660" t="str">
        <f>IF(N102="","",VLOOKUP(B102,'C-1 Site River Baseline'!$C$10:$AA$257,19,FALSE))</f>
        <v/>
      </c>
      <c r="R102" s="171" t="str">
        <f>IF(N102="","",VLOOKUP(N102,'G-7 Rivers Data'!$B$2:$G$8,2,FALSE))</f>
        <v/>
      </c>
      <c r="S102" s="172" t="str">
        <f>IFERROR(VLOOKUP(R102,'G-7 Rivers Data'!$C$4:$D$8,2,FALSE),"")</f>
        <v/>
      </c>
      <c r="T102" s="173"/>
      <c r="U102" s="172" t="str">
        <f>IFERROR(INDEX('G-7 Rivers Data'!$H$4:$L$8,MATCH(N102,'G-7 Rivers Data'!$B$4:$B$8,0),MATCH(T102,'G-7 Rivers Data'!$H$3:$L$3,0)),"")</f>
        <v/>
      </c>
      <c r="V102" s="186"/>
      <c r="W102" s="175" t="str">
        <f>IF(V102="","",IF(VLOOKUP(V102,'G-7 Rivers Data'!$AG$4:$AI$9,2,FALSE)=0,"Spatial Data Missing",VLOOKUP(V102,'G-7 Rivers Data'!$AG$4:$AI$9,2,FALSE)))</f>
        <v/>
      </c>
      <c r="X102" s="176" t="str">
        <f>IF(V102="","",IF(VLOOKUP(V102,'G-7 Rivers Data'!$AG$4:$AI$9,3,FALSE)=0,"Spatial Data Missing",VLOOKUP(V102,'G-7 Rivers Data'!$AG$4:$AI$9,3,FALSE)))</f>
        <v/>
      </c>
      <c r="Y102" s="171" t="str">
        <f>IFERROR(IF(OR(LEFT(P102,5)="Error",LEFT(O102,5)="Error"),"Check Data",IF(F102&lt;S102,'G-7 Rivers Data'!$R$3,INDEX('G-7 Rivers Data'!$U$5:$Y$9,MATCH(G102,'G-7 Rivers Data'!$T$5:$T$9,0),MATCH(T102,'G-7 Rivers Data'!$U$4:$Y$4,0)))),"")</f>
        <v/>
      </c>
      <c r="Z102" s="261"/>
      <c r="AA102" s="261"/>
      <c r="AB102" s="179" t="str">
        <f t="shared" si="11"/>
        <v/>
      </c>
      <c r="AC102" s="262" t="str">
        <f t="shared" si="12"/>
        <v/>
      </c>
      <c r="AD102" s="382" t="str">
        <f>IFERROR(IF(AC102="Check Data","Check Data",VLOOKUP(AC102,'G-4 Temporal multipliers'!$A$4:$C$37,3,FALSE)),"")</f>
        <v/>
      </c>
      <c r="AE102" s="171" t="str">
        <f>IF(N102="","",VLOOKUP(N102,'G-7 Rivers Data'!$B$4:$G$8,5,FALSE))</f>
        <v/>
      </c>
      <c r="AF102" s="179" t="str">
        <f t="shared" si="13"/>
        <v/>
      </c>
      <c r="AG102" s="269" t="str">
        <f t="shared" si="14"/>
        <v/>
      </c>
      <c r="AH102" s="172" t="str">
        <f t="shared" si="8"/>
        <v/>
      </c>
      <c r="AI102" s="173"/>
      <c r="AJ102" s="172" t="str">
        <f>IF(AI102="","",IF(VLOOKUP(AI102,'G-7 Rivers Data'!$AA$4:$AB$7,2,FALSE)=0,"Spatial Data Missing",VLOOKUP(AI102,'G-7 Rivers Data'!$AA$4:$AB$7,2,FALSE)))</f>
        <v/>
      </c>
      <c r="AK102" s="187"/>
      <c r="AL102" s="172" t="str">
        <f>IF(AK102="","",IF(VLOOKUP(AK102,'G-7 Rivers Data'!$AD$4:$AE$8,2,FALSE)=0,"Spatial Data Missing",VLOOKUP(AK102,'G-7 Rivers Data'!$AD$4:$AE$8,2,FALSE)))</f>
        <v/>
      </c>
      <c r="AM102" s="265" t="str">
        <f t="shared" si="15"/>
        <v/>
      </c>
      <c r="AN102" s="180"/>
      <c r="AO102" s="181"/>
      <c r="AV102" s="35" t="str">
        <f>IFERROR(INDEX('G-7 Rivers Data'!$AZ$3:$AZ$7,MATCH(N102,'G-7 Rivers Data'!$AY$3:$AY$7,0)),"")</f>
        <v/>
      </c>
    </row>
    <row r="103" spans="2:48" ht="13.8" x14ac:dyDescent="0.25">
      <c r="B103" s="259" t="str">
        <f>'C-1 Site River Baseline'!AN101</f>
        <v/>
      </c>
      <c r="C103" s="175" t="str">
        <f>IF(B103="","",VLOOKUP($B103,'C-1 Site River Baseline'!$C$9:$R$257,2,FALSE))</f>
        <v/>
      </c>
      <c r="D103" s="175" t="str">
        <f>IF(C103="","",VLOOKUP($B103,'C-1 Site River Baseline'!$C$9:$R$257,3,FALSE))</f>
        <v/>
      </c>
      <c r="E103" s="175" t="str">
        <f>IF(D103="","",VLOOKUP($B103,'C-1 Site River Baseline'!$C$9:$R$257,4,FALSE))</f>
        <v/>
      </c>
      <c r="F103" s="175" t="str">
        <f>IF(E103="","",VLOOKUP($B103,'C-1 Site River Baseline'!$C$9:$R$257,5,FALSE))</f>
        <v/>
      </c>
      <c r="G103" s="175" t="str">
        <f>IF(F103="","",VLOOKUP($B103,'C-1 Site River Baseline'!$C$9:$R$257,6,FALSE))</f>
        <v/>
      </c>
      <c r="H103" s="175" t="str">
        <f>IF(G103="","",VLOOKUP($B103,'C-1 Site River Baseline'!$C$9:$R$257,7,FALSE))</f>
        <v/>
      </c>
      <c r="I103" s="175" t="str">
        <f>IF(H103="","",VLOOKUP($B103,'C-1 Site River Baseline'!$C$9:$R$257,8,FALSE))</f>
        <v/>
      </c>
      <c r="J103" s="175" t="str">
        <f>IF(I103="","",VLOOKUP($B103,'C-1 Site River Baseline'!$C$9:$R$257,9,FALSE))</f>
        <v/>
      </c>
      <c r="K103" s="175" t="str">
        <f>IF(J103="","",VLOOKUP($B103,'C-1 Site River Baseline'!$C$9:$R$257,10,FALSE))</f>
        <v/>
      </c>
      <c r="L103" s="175" t="str">
        <f>IF(B103="","",VLOOKUP($B103,'C-1 Site River Baseline'!$C$9:$R$257,15,FALSE))</f>
        <v/>
      </c>
      <c r="M103" s="176" t="str">
        <f>IF(L103="","",VLOOKUP($B103,'C-1 Site River Baseline'!$C$9:$R$257,16,FALSE))</f>
        <v/>
      </c>
      <c r="N103" s="639" t="str">
        <f t="shared" si="9"/>
        <v/>
      </c>
      <c r="O103" s="239" t="str">
        <f t="shared" si="10"/>
        <v/>
      </c>
      <c r="P103" s="172" t="str">
        <f>IF(C103="","",IF(AND(LEFT(C103,55)&lt;&gt;LEFT(N103,55),O103="High - High"),"Error - Not like for like",IF(AND(F103=S103,H103&gt;U103),"Error - Can not reduce condition",IF(AND(F103=S103,H103=U103,AJ103='C-1 Site River Baseline'!N101,'C-1 Site River Baseline'!P101=AL103),"Error - No enhancement",IF(AND(C103&lt;&gt;N103,F103&lt;S103),"Lower Distinctiveness Habitat"&amp;" - "&amp;T103,G103&amp;" - "&amp;T103)))))</f>
        <v/>
      </c>
      <c r="Q103" s="660" t="str">
        <f>IF(N103="","",VLOOKUP(B103,'C-1 Site River Baseline'!$C$10:$AA$257,19,FALSE))</f>
        <v/>
      </c>
      <c r="R103" s="171" t="str">
        <f>IF(N103="","",VLOOKUP(N103,'G-7 Rivers Data'!$B$2:$G$8,2,FALSE))</f>
        <v/>
      </c>
      <c r="S103" s="172" t="str">
        <f>IFERROR(VLOOKUP(R103,'G-7 Rivers Data'!$C$4:$D$8,2,FALSE),"")</f>
        <v/>
      </c>
      <c r="T103" s="173"/>
      <c r="U103" s="172" t="str">
        <f>IFERROR(INDEX('G-7 Rivers Data'!$H$4:$L$8,MATCH(N103,'G-7 Rivers Data'!$B$4:$B$8,0),MATCH(T103,'G-7 Rivers Data'!$H$3:$L$3,0)),"")</f>
        <v/>
      </c>
      <c r="V103" s="186"/>
      <c r="W103" s="175" t="str">
        <f>IF(V103="","",IF(VLOOKUP(V103,'G-7 Rivers Data'!$AG$4:$AI$9,2,FALSE)=0,"Spatial Data Missing",VLOOKUP(V103,'G-7 Rivers Data'!$AG$4:$AI$9,2,FALSE)))</f>
        <v/>
      </c>
      <c r="X103" s="176" t="str">
        <f>IF(V103="","",IF(VLOOKUP(V103,'G-7 Rivers Data'!$AG$4:$AI$9,3,FALSE)=0,"Spatial Data Missing",VLOOKUP(V103,'G-7 Rivers Data'!$AG$4:$AI$9,3,FALSE)))</f>
        <v/>
      </c>
      <c r="Y103" s="171" t="str">
        <f>IFERROR(IF(OR(LEFT(P103,5)="Error",LEFT(O103,5)="Error"),"Check Data",IF(F103&lt;S103,'G-7 Rivers Data'!$R$3,INDEX('G-7 Rivers Data'!$U$5:$Y$9,MATCH(G103,'G-7 Rivers Data'!$T$5:$T$9,0),MATCH(T103,'G-7 Rivers Data'!$U$4:$Y$4,0)))),"")</f>
        <v/>
      </c>
      <c r="Z103" s="261"/>
      <c r="AA103" s="261"/>
      <c r="AB103" s="179" t="str">
        <f t="shared" si="11"/>
        <v/>
      </c>
      <c r="AC103" s="262" t="str">
        <f t="shared" si="12"/>
        <v/>
      </c>
      <c r="AD103" s="382" t="str">
        <f>IFERROR(IF(AC103="Check Data","Check Data",VLOOKUP(AC103,'G-4 Temporal multipliers'!$A$4:$C$37,3,FALSE)),"")</f>
        <v/>
      </c>
      <c r="AE103" s="171" t="str">
        <f>IF(N103="","",VLOOKUP(N103,'G-7 Rivers Data'!$B$4:$G$8,5,FALSE))</f>
        <v/>
      </c>
      <c r="AF103" s="179" t="str">
        <f t="shared" si="13"/>
        <v/>
      </c>
      <c r="AG103" s="269" t="str">
        <f t="shared" si="14"/>
        <v/>
      </c>
      <c r="AH103" s="172" t="str">
        <f t="shared" si="8"/>
        <v/>
      </c>
      <c r="AI103" s="173"/>
      <c r="AJ103" s="172" t="str">
        <f>IF(AI103="","",IF(VLOOKUP(AI103,'G-7 Rivers Data'!$AA$4:$AB$7,2,FALSE)=0,"Spatial Data Missing",VLOOKUP(AI103,'G-7 Rivers Data'!$AA$4:$AB$7,2,FALSE)))</f>
        <v/>
      </c>
      <c r="AK103" s="187"/>
      <c r="AL103" s="172" t="str">
        <f>IF(AK103="","",IF(VLOOKUP(AK103,'G-7 Rivers Data'!$AD$4:$AE$8,2,FALSE)=0,"Spatial Data Missing",VLOOKUP(AK103,'G-7 Rivers Data'!$AD$4:$AE$8,2,FALSE)))</f>
        <v/>
      </c>
      <c r="AM103" s="265" t="str">
        <f t="shared" si="15"/>
        <v/>
      </c>
      <c r="AN103" s="180"/>
      <c r="AO103" s="181"/>
      <c r="AV103" s="35" t="str">
        <f>IFERROR(INDEX('G-7 Rivers Data'!$AZ$3:$AZ$7,MATCH(N103,'G-7 Rivers Data'!$AY$3:$AY$7,0)),"")</f>
        <v/>
      </c>
    </row>
    <row r="104" spans="2:48" ht="13.8" x14ac:dyDescent="0.25">
      <c r="B104" s="259" t="str">
        <f>'C-1 Site River Baseline'!AN102</f>
        <v/>
      </c>
      <c r="C104" s="175" t="str">
        <f>IF(B104="","",VLOOKUP($B104,'C-1 Site River Baseline'!$C$9:$R$257,2,FALSE))</f>
        <v/>
      </c>
      <c r="D104" s="175" t="str">
        <f>IF(C104="","",VLOOKUP($B104,'C-1 Site River Baseline'!$C$9:$R$257,3,FALSE))</f>
        <v/>
      </c>
      <c r="E104" s="175" t="str">
        <f>IF(D104="","",VLOOKUP($B104,'C-1 Site River Baseline'!$C$9:$R$257,4,FALSE))</f>
        <v/>
      </c>
      <c r="F104" s="175" t="str">
        <f>IF(E104="","",VLOOKUP($B104,'C-1 Site River Baseline'!$C$9:$R$257,5,FALSE))</f>
        <v/>
      </c>
      <c r="G104" s="175" t="str">
        <f>IF(F104="","",VLOOKUP($B104,'C-1 Site River Baseline'!$C$9:$R$257,6,FALSE))</f>
        <v/>
      </c>
      <c r="H104" s="175" t="str">
        <f>IF(G104="","",VLOOKUP($B104,'C-1 Site River Baseline'!$C$9:$R$257,7,FALSE))</f>
        <v/>
      </c>
      <c r="I104" s="175" t="str">
        <f>IF(H104="","",VLOOKUP($B104,'C-1 Site River Baseline'!$C$9:$R$257,8,FALSE))</f>
        <v/>
      </c>
      <c r="J104" s="175" t="str">
        <f>IF(I104="","",VLOOKUP($B104,'C-1 Site River Baseline'!$C$9:$R$257,9,FALSE))</f>
        <v/>
      </c>
      <c r="K104" s="175" t="str">
        <f>IF(J104="","",VLOOKUP($B104,'C-1 Site River Baseline'!$C$9:$R$257,10,FALSE))</f>
        <v/>
      </c>
      <c r="L104" s="175" t="str">
        <f>IF(B104="","",VLOOKUP($B104,'C-1 Site River Baseline'!$C$9:$R$257,15,FALSE))</f>
        <v/>
      </c>
      <c r="M104" s="176" t="str">
        <f>IF(L104="","",VLOOKUP($B104,'C-1 Site River Baseline'!$C$9:$R$257,16,FALSE))</f>
        <v/>
      </c>
      <c r="N104" s="639" t="str">
        <f t="shared" si="9"/>
        <v/>
      </c>
      <c r="O104" s="239" t="str">
        <f t="shared" si="10"/>
        <v/>
      </c>
      <c r="P104" s="172" t="str">
        <f>IF(C104="","",IF(AND(LEFT(C104,55)&lt;&gt;LEFT(N104,55),O104="High - High"),"Error - Not like for like",IF(AND(F104=S104,H104&gt;U104),"Error - Can not reduce condition",IF(AND(F104=S104,H104=U104,AJ104='C-1 Site River Baseline'!N102,'C-1 Site River Baseline'!P102=AL104),"Error - No enhancement",IF(AND(C104&lt;&gt;N104,F104&lt;S104),"Lower Distinctiveness Habitat"&amp;" - "&amp;T104,G104&amp;" - "&amp;T104)))))</f>
        <v/>
      </c>
      <c r="Q104" s="660" t="str">
        <f>IF(N104="","",VLOOKUP(B104,'C-1 Site River Baseline'!$C$10:$AA$257,19,FALSE))</f>
        <v/>
      </c>
      <c r="R104" s="171" t="str">
        <f>IF(N104="","",VLOOKUP(N104,'G-7 Rivers Data'!$B$2:$G$8,2,FALSE))</f>
        <v/>
      </c>
      <c r="S104" s="172" t="str">
        <f>IFERROR(VLOOKUP(R104,'G-7 Rivers Data'!$C$4:$D$8,2,FALSE),"")</f>
        <v/>
      </c>
      <c r="T104" s="173"/>
      <c r="U104" s="172" t="str">
        <f>IFERROR(INDEX('G-7 Rivers Data'!$H$4:$L$8,MATCH(N104,'G-7 Rivers Data'!$B$4:$B$8,0),MATCH(T104,'G-7 Rivers Data'!$H$3:$L$3,0)),"")</f>
        <v/>
      </c>
      <c r="V104" s="186"/>
      <c r="W104" s="175" t="str">
        <f>IF(V104="","",IF(VLOOKUP(V104,'G-7 Rivers Data'!$AG$4:$AI$9,2,FALSE)=0,"Spatial Data Missing",VLOOKUP(V104,'G-7 Rivers Data'!$AG$4:$AI$9,2,FALSE)))</f>
        <v/>
      </c>
      <c r="X104" s="176" t="str">
        <f>IF(V104="","",IF(VLOOKUP(V104,'G-7 Rivers Data'!$AG$4:$AI$9,3,FALSE)=0,"Spatial Data Missing",VLOOKUP(V104,'G-7 Rivers Data'!$AG$4:$AI$9,3,FALSE)))</f>
        <v/>
      </c>
      <c r="Y104" s="171" t="str">
        <f>IFERROR(IF(OR(LEFT(P104,5)="Error",LEFT(O104,5)="Error"),"Check Data",IF(F104&lt;S104,'G-7 Rivers Data'!$R$3,INDEX('G-7 Rivers Data'!$U$5:$Y$9,MATCH(G104,'G-7 Rivers Data'!$T$5:$T$9,0),MATCH(T104,'G-7 Rivers Data'!$U$4:$Y$4,0)))),"")</f>
        <v/>
      </c>
      <c r="Z104" s="261"/>
      <c r="AA104" s="261"/>
      <c r="AB104" s="179" t="str">
        <f t="shared" si="11"/>
        <v/>
      </c>
      <c r="AC104" s="262" t="str">
        <f t="shared" si="12"/>
        <v/>
      </c>
      <c r="AD104" s="382" t="str">
        <f>IFERROR(IF(AC104="Check Data","Check Data",VLOOKUP(AC104,'G-4 Temporal multipliers'!$A$4:$C$37,3,FALSE)),"")</f>
        <v/>
      </c>
      <c r="AE104" s="171" t="str">
        <f>IF(N104="","",VLOOKUP(N104,'G-7 Rivers Data'!$B$4:$G$8,5,FALSE))</f>
        <v/>
      </c>
      <c r="AF104" s="179" t="str">
        <f t="shared" si="13"/>
        <v/>
      </c>
      <c r="AG104" s="269" t="str">
        <f t="shared" si="14"/>
        <v/>
      </c>
      <c r="AH104" s="172" t="str">
        <f t="shared" si="8"/>
        <v/>
      </c>
      <c r="AI104" s="173"/>
      <c r="AJ104" s="172" t="str">
        <f>IF(AI104="","",IF(VLOOKUP(AI104,'G-7 Rivers Data'!$AA$4:$AB$7,2,FALSE)=0,"Spatial Data Missing",VLOOKUP(AI104,'G-7 Rivers Data'!$AA$4:$AB$7,2,FALSE)))</f>
        <v/>
      </c>
      <c r="AK104" s="187"/>
      <c r="AL104" s="172" t="str">
        <f>IF(AK104="","",IF(VLOOKUP(AK104,'G-7 Rivers Data'!$AD$4:$AE$8,2,FALSE)=0,"Spatial Data Missing",VLOOKUP(AK104,'G-7 Rivers Data'!$AD$4:$AE$8,2,FALSE)))</f>
        <v/>
      </c>
      <c r="AM104" s="265" t="str">
        <f t="shared" si="15"/>
        <v/>
      </c>
      <c r="AN104" s="180"/>
      <c r="AO104" s="181"/>
      <c r="AV104" s="35" t="str">
        <f>IFERROR(INDEX('G-7 Rivers Data'!$AZ$3:$AZ$7,MATCH(N104,'G-7 Rivers Data'!$AY$3:$AY$7,0)),"")</f>
        <v/>
      </c>
    </row>
    <row r="105" spans="2:48" ht="13.8" x14ac:dyDescent="0.25">
      <c r="B105" s="259" t="str">
        <f>'C-1 Site River Baseline'!AN103</f>
        <v/>
      </c>
      <c r="C105" s="175" t="str">
        <f>IF(B105="","",VLOOKUP($B105,'C-1 Site River Baseline'!$C$9:$R$257,2,FALSE))</f>
        <v/>
      </c>
      <c r="D105" s="175" t="str">
        <f>IF(C105="","",VLOOKUP($B105,'C-1 Site River Baseline'!$C$9:$R$257,3,FALSE))</f>
        <v/>
      </c>
      <c r="E105" s="175" t="str">
        <f>IF(D105="","",VLOOKUP($B105,'C-1 Site River Baseline'!$C$9:$R$257,4,FALSE))</f>
        <v/>
      </c>
      <c r="F105" s="175" t="str">
        <f>IF(E105="","",VLOOKUP($B105,'C-1 Site River Baseline'!$C$9:$R$257,5,FALSE))</f>
        <v/>
      </c>
      <c r="G105" s="175" t="str">
        <f>IF(F105="","",VLOOKUP($B105,'C-1 Site River Baseline'!$C$9:$R$257,6,FALSE))</f>
        <v/>
      </c>
      <c r="H105" s="175" t="str">
        <f>IF(G105="","",VLOOKUP($B105,'C-1 Site River Baseline'!$C$9:$R$257,7,FALSE))</f>
        <v/>
      </c>
      <c r="I105" s="175" t="str">
        <f>IF(H105="","",VLOOKUP($B105,'C-1 Site River Baseline'!$C$9:$R$257,8,FALSE))</f>
        <v/>
      </c>
      <c r="J105" s="175" t="str">
        <f>IF(I105="","",VLOOKUP($B105,'C-1 Site River Baseline'!$C$9:$R$257,9,FALSE))</f>
        <v/>
      </c>
      <c r="K105" s="175" t="str">
        <f>IF(J105="","",VLOOKUP($B105,'C-1 Site River Baseline'!$C$9:$R$257,10,FALSE))</f>
        <v/>
      </c>
      <c r="L105" s="175" t="str">
        <f>IF(B105="","",VLOOKUP($B105,'C-1 Site River Baseline'!$C$9:$R$257,15,FALSE))</f>
        <v/>
      </c>
      <c r="M105" s="176" t="str">
        <f>IF(L105="","",VLOOKUP($B105,'C-1 Site River Baseline'!$C$9:$R$257,16,FALSE))</f>
        <v/>
      </c>
      <c r="N105" s="639" t="str">
        <f t="shared" si="9"/>
        <v/>
      </c>
      <c r="O105" s="239" t="str">
        <f t="shared" si="10"/>
        <v/>
      </c>
      <c r="P105" s="172" t="str">
        <f>IF(C105="","",IF(AND(LEFT(C105,55)&lt;&gt;LEFT(N105,55),O105="High - High"),"Error - Not like for like",IF(AND(F105=S105,H105&gt;U105),"Error - Can not reduce condition",IF(AND(F105=S105,H105=U105,AJ105='C-1 Site River Baseline'!N103,'C-1 Site River Baseline'!P103=AL105),"Error - No enhancement",IF(AND(C105&lt;&gt;N105,F105&lt;S105),"Lower Distinctiveness Habitat"&amp;" - "&amp;T105,G105&amp;" - "&amp;T105)))))</f>
        <v/>
      </c>
      <c r="Q105" s="660" t="str">
        <f>IF(N105="","",VLOOKUP(B105,'C-1 Site River Baseline'!$C$10:$AA$257,19,FALSE))</f>
        <v/>
      </c>
      <c r="R105" s="171" t="str">
        <f>IF(N105="","",VLOOKUP(N105,'G-7 Rivers Data'!$B$2:$G$8,2,FALSE))</f>
        <v/>
      </c>
      <c r="S105" s="172" t="str">
        <f>IFERROR(VLOOKUP(R105,'G-7 Rivers Data'!$C$4:$D$8,2,FALSE),"")</f>
        <v/>
      </c>
      <c r="T105" s="173"/>
      <c r="U105" s="172" t="str">
        <f>IFERROR(INDEX('G-7 Rivers Data'!$H$4:$L$8,MATCH(N105,'G-7 Rivers Data'!$B$4:$B$8,0),MATCH(T105,'G-7 Rivers Data'!$H$3:$L$3,0)),"")</f>
        <v/>
      </c>
      <c r="V105" s="186"/>
      <c r="W105" s="175" t="str">
        <f>IF(V105="","",IF(VLOOKUP(V105,'G-7 Rivers Data'!$AG$4:$AI$9,2,FALSE)=0,"Spatial Data Missing",VLOOKUP(V105,'G-7 Rivers Data'!$AG$4:$AI$9,2,FALSE)))</f>
        <v/>
      </c>
      <c r="X105" s="176" t="str">
        <f>IF(V105="","",IF(VLOOKUP(V105,'G-7 Rivers Data'!$AG$4:$AI$9,3,FALSE)=0,"Spatial Data Missing",VLOOKUP(V105,'G-7 Rivers Data'!$AG$4:$AI$9,3,FALSE)))</f>
        <v/>
      </c>
      <c r="Y105" s="171" t="str">
        <f>IFERROR(IF(OR(LEFT(P105,5)="Error",LEFT(O105,5)="Error"),"Check Data",IF(F105&lt;S105,'G-7 Rivers Data'!$R$3,INDEX('G-7 Rivers Data'!$U$5:$Y$9,MATCH(G105,'G-7 Rivers Data'!$T$5:$T$9,0),MATCH(T105,'G-7 Rivers Data'!$U$4:$Y$4,0)))),"")</f>
        <v/>
      </c>
      <c r="Z105" s="261"/>
      <c r="AA105" s="261"/>
      <c r="AB105" s="179" t="str">
        <f t="shared" si="11"/>
        <v/>
      </c>
      <c r="AC105" s="262" t="str">
        <f t="shared" si="12"/>
        <v/>
      </c>
      <c r="AD105" s="382" t="str">
        <f>IFERROR(IF(AC105="Check Data","Check Data",VLOOKUP(AC105,'G-4 Temporal multipliers'!$A$4:$C$37,3,FALSE)),"")</f>
        <v/>
      </c>
      <c r="AE105" s="171" t="str">
        <f>IF(N105="","",VLOOKUP(N105,'G-7 Rivers Data'!$B$4:$G$8,5,FALSE))</f>
        <v/>
      </c>
      <c r="AF105" s="179" t="str">
        <f t="shared" si="13"/>
        <v/>
      </c>
      <c r="AG105" s="269" t="str">
        <f t="shared" si="14"/>
        <v/>
      </c>
      <c r="AH105" s="172" t="str">
        <f t="shared" si="8"/>
        <v/>
      </c>
      <c r="AI105" s="173"/>
      <c r="AJ105" s="172" t="str">
        <f>IF(AI105="","",IF(VLOOKUP(AI105,'G-7 Rivers Data'!$AA$4:$AB$7,2,FALSE)=0,"Spatial Data Missing",VLOOKUP(AI105,'G-7 Rivers Data'!$AA$4:$AB$7,2,FALSE)))</f>
        <v/>
      </c>
      <c r="AK105" s="187"/>
      <c r="AL105" s="172" t="str">
        <f>IF(AK105="","",IF(VLOOKUP(AK105,'G-7 Rivers Data'!$AD$4:$AE$8,2,FALSE)=0,"Spatial Data Missing",VLOOKUP(AK105,'G-7 Rivers Data'!$AD$4:$AE$8,2,FALSE)))</f>
        <v/>
      </c>
      <c r="AM105" s="265" t="str">
        <f t="shared" si="15"/>
        <v/>
      </c>
      <c r="AN105" s="180"/>
      <c r="AO105" s="181"/>
      <c r="AV105" s="35" t="str">
        <f>IFERROR(INDEX('G-7 Rivers Data'!$AZ$3:$AZ$7,MATCH(N105,'G-7 Rivers Data'!$AY$3:$AY$7,0)),"")</f>
        <v/>
      </c>
    </row>
    <row r="106" spans="2:48" ht="13.8" x14ac:dyDescent="0.25">
      <c r="B106" s="259" t="str">
        <f>'C-1 Site River Baseline'!AN104</f>
        <v/>
      </c>
      <c r="C106" s="175" t="str">
        <f>IF(B106="","",VLOOKUP($B106,'C-1 Site River Baseline'!$C$9:$R$257,2,FALSE))</f>
        <v/>
      </c>
      <c r="D106" s="175" t="str">
        <f>IF(C106="","",VLOOKUP($B106,'C-1 Site River Baseline'!$C$9:$R$257,3,FALSE))</f>
        <v/>
      </c>
      <c r="E106" s="175" t="str">
        <f>IF(D106="","",VLOOKUP($B106,'C-1 Site River Baseline'!$C$9:$R$257,4,FALSE))</f>
        <v/>
      </c>
      <c r="F106" s="175" t="str">
        <f>IF(E106="","",VLOOKUP($B106,'C-1 Site River Baseline'!$C$9:$R$257,5,FALSE))</f>
        <v/>
      </c>
      <c r="G106" s="175" t="str">
        <f>IF(F106="","",VLOOKUP($B106,'C-1 Site River Baseline'!$C$9:$R$257,6,FALSE))</f>
        <v/>
      </c>
      <c r="H106" s="175" t="str">
        <f>IF(G106="","",VLOOKUP($B106,'C-1 Site River Baseline'!$C$9:$R$257,7,FALSE))</f>
        <v/>
      </c>
      <c r="I106" s="175" t="str">
        <f>IF(H106="","",VLOOKUP($B106,'C-1 Site River Baseline'!$C$9:$R$257,8,FALSE))</f>
        <v/>
      </c>
      <c r="J106" s="175" t="str">
        <f>IF(I106="","",VLOOKUP($B106,'C-1 Site River Baseline'!$C$9:$R$257,9,FALSE))</f>
        <v/>
      </c>
      <c r="K106" s="175" t="str">
        <f>IF(J106="","",VLOOKUP($B106,'C-1 Site River Baseline'!$C$9:$R$257,10,FALSE))</f>
        <v/>
      </c>
      <c r="L106" s="175" t="str">
        <f>IF(B106="","",VLOOKUP($B106,'C-1 Site River Baseline'!$C$9:$R$257,15,FALSE))</f>
        <v/>
      </c>
      <c r="M106" s="176" t="str">
        <f>IF(L106="","",VLOOKUP($B106,'C-1 Site River Baseline'!$C$9:$R$257,16,FALSE))</f>
        <v/>
      </c>
      <c r="N106" s="639" t="str">
        <f t="shared" si="9"/>
        <v/>
      </c>
      <c r="O106" s="239" t="str">
        <f t="shared" si="10"/>
        <v/>
      </c>
      <c r="P106" s="172" t="str">
        <f>IF(C106="","",IF(AND(LEFT(C106,55)&lt;&gt;LEFT(N106,55),O106="High - High"),"Error - Not like for like",IF(AND(F106=S106,H106&gt;U106),"Error - Can not reduce condition",IF(AND(F106=S106,H106=U106,AJ106='C-1 Site River Baseline'!N104,'C-1 Site River Baseline'!P104=AL106),"Error - No enhancement",IF(AND(C106&lt;&gt;N106,F106&lt;S106),"Lower Distinctiveness Habitat"&amp;" - "&amp;T106,G106&amp;" - "&amp;T106)))))</f>
        <v/>
      </c>
      <c r="Q106" s="660" t="str">
        <f>IF(N106="","",VLOOKUP(B106,'C-1 Site River Baseline'!$C$10:$AA$257,19,FALSE))</f>
        <v/>
      </c>
      <c r="R106" s="171" t="str">
        <f>IF(N106="","",VLOOKUP(N106,'G-7 Rivers Data'!$B$2:$G$8,2,FALSE))</f>
        <v/>
      </c>
      <c r="S106" s="172" t="str">
        <f>IFERROR(VLOOKUP(R106,'G-7 Rivers Data'!$C$4:$D$8,2,FALSE),"")</f>
        <v/>
      </c>
      <c r="T106" s="173"/>
      <c r="U106" s="172" t="str">
        <f>IFERROR(INDEX('G-7 Rivers Data'!$H$4:$L$8,MATCH(N106,'G-7 Rivers Data'!$B$4:$B$8,0),MATCH(T106,'G-7 Rivers Data'!$H$3:$L$3,0)),"")</f>
        <v/>
      </c>
      <c r="V106" s="186"/>
      <c r="W106" s="175" t="str">
        <f>IF(V106="","",IF(VLOOKUP(V106,'G-7 Rivers Data'!$AG$4:$AI$9,2,FALSE)=0,"Spatial Data Missing",VLOOKUP(V106,'G-7 Rivers Data'!$AG$4:$AI$9,2,FALSE)))</f>
        <v/>
      </c>
      <c r="X106" s="176" t="str">
        <f>IF(V106="","",IF(VLOOKUP(V106,'G-7 Rivers Data'!$AG$4:$AI$9,3,FALSE)=0,"Spatial Data Missing",VLOOKUP(V106,'G-7 Rivers Data'!$AG$4:$AI$9,3,FALSE)))</f>
        <v/>
      </c>
      <c r="Y106" s="171" t="str">
        <f>IFERROR(IF(OR(LEFT(P106,5)="Error",LEFT(O106,5)="Error"),"Check Data",IF(F106&lt;S106,'G-7 Rivers Data'!$R$3,INDEX('G-7 Rivers Data'!$U$5:$Y$9,MATCH(G106,'G-7 Rivers Data'!$T$5:$T$9,0),MATCH(T106,'G-7 Rivers Data'!$U$4:$Y$4,0)))),"")</f>
        <v/>
      </c>
      <c r="Z106" s="261"/>
      <c r="AA106" s="261"/>
      <c r="AB106" s="179" t="str">
        <f t="shared" si="11"/>
        <v/>
      </c>
      <c r="AC106" s="262" t="str">
        <f t="shared" si="12"/>
        <v/>
      </c>
      <c r="AD106" s="382" t="str">
        <f>IFERROR(IF(AC106="Check Data","Check Data",VLOOKUP(AC106,'G-4 Temporal multipliers'!$A$4:$C$37,3,FALSE)),"")</f>
        <v/>
      </c>
      <c r="AE106" s="171" t="str">
        <f>IF(N106="","",VLOOKUP(N106,'G-7 Rivers Data'!$B$4:$G$8,5,FALSE))</f>
        <v/>
      </c>
      <c r="AF106" s="179" t="str">
        <f t="shared" si="13"/>
        <v/>
      </c>
      <c r="AG106" s="269" t="str">
        <f t="shared" si="14"/>
        <v/>
      </c>
      <c r="AH106" s="172" t="str">
        <f t="shared" si="8"/>
        <v/>
      </c>
      <c r="AI106" s="173"/>
      <c r="AJ106" s="172" t="str">
        <f>IF(AI106="","",IF(VLOOKUP(AI106,'G-7 Rivers Data'!$AA$4:$AB$7,2,FALSE)=0,"Spatial Data Missing",VLOOKUP(AI106,'G-7 Rivers Data'!$AA$4:$AB$7,2,FALSE)))</f>
        <v/>
      </c>
      <c r="AK106" s="187"/>
      <c r="AL106" s="172" t="str">
        <f>IF(AK106="","",IF(VLOOKUP(AK106,'G-7 Rivers Data'!$AD$4:$AE$8,2,FALSE)=0,"Spatial Data Missing",VLOOKUP(AK106,'G-7 Rivers Data'!$AD$4:$AE$8,2,FALSE)))</f>
        <v/>
      </c>
      <c r="AM106" s="265" t="str">
        <f t="shared" si="15"/>
        <v/>
      </c>
      <c r="AN106" s="180"/>
      <c r="AO106" s="181"/>
      <c r="AV106" s="35" t="str">
        <f>IFERROR(INDEX('G-7 Rivers Data'!$AZ$3:$AZ$7,MATCH(N106,'G-7 Rivers Data'!$AY$3:$AY$7,0)),"")</f>
        <v/>
      </c>
    </row>
    <row r="107" spans="2:48" ht="13.8" x14ac:dyDescent="0.25">
      <c r="B107" s="259" t="str">
        <f>'C-1 Site River Baseline'!AN105</f>
        <v/>
      </c>
      <c r="C107" s="175" t="str">
        <f>IF(B107="","",VLOOKUP($B107,'C-1 Site River Baseline'!$C$9:$R$257,2,FALSE))</f>
        <v/>
      </c>
      <c r="D107" s="175" t="str">
        <f>IF(C107="","",VLOOKUP($B107,'C-1 Site River Baseline'!$C$9:$R$257,3,FALSE))</f>
        <v/>
      </c>
      <c r="E107" s="175" t="str">
        <f>IF(D107="","",VLOOKUP($B107,'C-1 Site River Baseline'!$C$9:$R$257,4,FALSE))</f>
        <v/>
      </c>
      <c r="F107" s="175" t="str">
        <f>IF(E107="","",VLOOKUP($B107,'C-1 Site River Baseline'!$C$9:$R$257,5,FALSE))</f>
        <v/>
      </c>
      <c r="G107" s="175" t="str">
        <f>IF(F107="","",VLOOKUP($B107,'C-1 Site River Baseline'!$C$9:$R$257,6,FALSE))</f>
        <v/>
      </c>
      <c r="H107" s="175" t="str">
        <f>IF(G107="","",VLOOKUP($B107,'C-1 Site River Baseline'!$C$9:$R$257,7,FALSE))</f>
        <v/>
      </c>
      <c r="I107" s="175" t="str">
        <f>IF(H107="","",VLOOKUP($B107,'C-1 Site River Baseline'!$C$9:$R$257,8,FALSE))</f>
        <v/>
      </c>
      <c r="J107" s="175" t="str">
        <f>IF(I107="","",VLOOKUP($B107,'C-1 Site River Baseline'!$C$9:$R$257,9,FALSE))</f>
        <v/>
      </c>
      <c r="K107" s="175" t="str">
        <f>IF(J107="","",VLOOKUP($B107,'C-1 Site River Baseline'!$C$9:$R$257,10,FALSE))</f>
        <v/>
      </c>
      <c r="L107" s="175" t="str">
        <f>IF(B107="","",VLOOKUP($B107,'C-1 Site River Baseline'!$C$9:$R$257,15,FALSE))</f>
        <v/>
      </c>
      <c r="M107" s="176" t="str">
        <f>IF(L107="","",VLOOKUP($B107,'C-1 Site River Baseline'!$C$9:$R$257,16,FALSE))</f>
        <v/>
      </c>
      <c r="N107" s="639" t="str">
        <f t="shared" si="9"/>
        <v/>
      </c>
      <c r="O107" s="239" t="str">
        <f t="shared" si="10"/>
        <v/>
      </c>
      <c r="P107" s="172" t="str">
        <f>IF(C107="","",IF(AND(LEFT(C107,55)&lt;&gt;LEFT(N107,55),O107="High - High"),"Error - Not like for like",IF(AND(F107=S107,H107&gt;U107),"Error - Can not reduce condition",IF(AND(F107=S107,H107=U107,AJ107='C-1 Site River Baseline'!N105,'C-1 Site River Baseline'!P105=AL107),"Error - No enhancement",IF(AND(C107&lt;&gt;N107,F107&lt;S107),"Lower Distinctiveness Habitat"&amp;" - "&amp;T107,G107&amp;" - "&amp;T107)))))</f>
        <v/>
      </c>
      <c r="Q107" s="660" t="str">
        <f>IF(N107="","",VLOOKUP(B107,'C-1 Site River Baseline'!$C$10:$AA$257,19,FALSE))</f>
        <v/>
      </c>
      <c r="R107" s="171" t="str">
        <f>IF(N107="","",VLOOKUP(N107,'G-7 Rivers Data'!$B$2:$G$8,2,FALSE))</f>
        <v/>
      </c>
      <c r="S107" s="172" t="str">
        <f>IFERROR(VLOOKUP(R107,'G-7 Rivers Data'!$C$4:$D$8,2,FALSE),"")</f>
        <v/>
      </c>
      <c r="T107" s="173"/>
      <c r="U107" s="172" t="str">
        <f>IFERROR(INDEX('G-7 Rivers Data'!$H$4:$L$8,MATCH(N107,'G-7 Rivers Data'!$B$4:$B$8,0),MATCH(T107,'G-7 Rivers Data'!$H$3:$L$3,0)),"")</f>
        <v/>
      </c>
      <c r="V107" s="186"/>
      <c r="W107" s="175" t="str">
        <f>IF(V107="","",IF(VLOOKUP(V107,'G-7 Rivers Data'!$AG$4:$AI$9,2,FALSE)=0,"Spatial Data Missing",VLOOKUP(V107,'G-7 Rivers Data'!$AG$4:$AI$9,2,FALSE)))</f>
        <v/>
      </c>
      <c r="X107" s="176" t="str">
        <f>IF(V107="","",IF(VLOOKUP(V107,'G-7 Rivers Data'!$AG$4:$AI$9,3,FALSE)=0,"Spatial Data Missing",VLOOKUP(V107,'G-7 Rivers Data'!$AG$4:$AI$9,3,FALSE)))</f>
        <v/>
      </c>
      <c r="Y107" s="171" t="str">
        <f>IFERROR(IF(OR(LEFT(P107,5)="Error",LEFT(O107,5)="Error"),"Check Data",IF(F107&lt;S107,'G-7 Rivers Data'!$R$3,INDEX('G-7 Rivers Data'!$U$5:$Y$9,MATCH(G107,'G-7 Rivers Data'!$T$5:$T$9,0),MATCH(T107,'G-7 Rivers Data'!$U$4:$Y$4,0)))),"")</f>
        <v/>
      </c>
      <c r="Z107" s="261"/>
      <c r="AA107" s="261"/>
      <c r="AB107" s="179" t="str">
        <f t="shared" si="11"/>
        <v/>
      </c>
      <c r="AC107" s="262" t="str">
        <f t="shared" si="12"/>
        <v/>
      </c>
      <c r="AD107" s="382" t="str">
        <f>IFERROR(IF(AC107="Check Data","Check Data",VLOOKUP(AC107,'G-4 Temporal multipliers'!$A$4:$C$37,3,FALSE)),"")</f>
        <v/>
      </c>
      <c r="AE107" s="171" t="str">
        <f>IF(N107="","",VLOOKUP(N107,'G-7 Rivers Data'!$B$4:$G$8,5,FALSE))</f>
        <v/>
      </c>
      <c r="AF107" s="179" t="str">
        <f t="shared" si="13"/>
        <v/>
      </c>
      <c r="AG107" s="269" t="str">
        <f t="shared" si="14"/>
        <v/>
      </c>
      <c r="AH107" s="172" t="str">
        <f t="shared" si="8"/>
        <v/>
      </c>
      <c r="AI107" s="173"/>
      <c r="AJ107" s="172" t="str">
        <f>IF(AI107="","",IF(VLOOKUP(AI107,'G-7 Rivers Data'!$AA$4:$AB$7,2,FALSE)=0,"Spatial Data Missing",VLOOKUP(AI107,'G-7 Rivers Data'!$AA$4:$AB$7,2,FALSE)))</f>
        <v/>
      </c>
      <c r="AK107" s="187"/>
      <c r="AL107" s="172" t="str">
        <f>IF(AK107="","",IF(VLOOKUP(AK107,'G-7 Rivers Data'!$AD$4:$AE$8,2,FALSE)=0,"Spatial Data Missing",VLOOKUP(AK107,'G-7 Rivers Data'!$AD$4:$AE$8,2,FALSE)))</f>
        <v/>
      </c>
      <c r="AM107" s="265" t="str">
        <f t="shared" si="15"/>
        <v/>
      </c>
      <c r="AN107" s="180"/>
      <c r="AO107" s="181"/>
      <c r="AV107" s="35" t="str">
        <f>IFERROR(INDEX('G-7 Rivers Data'!$AZ$3:$AZ$7,MATCH(N107,'G-7 Rivers Data'!$AY$3:$AY$7,0)),"")</f>
        <v/>
      </c>
    </row>
    <row r="108" spans="2:48" ht="13.8" x14ac:dyDescent="0.25">
      <c r="B108" s="259" t="str">
        <f>'C-1 Site River Baseline'!AN106</f>
        <v/>
      </c>
      <c r="C108" s="175" t="str">
        <f>IF(B108="","",VLOOKUP($B108,'C-1 Site River Baseline'!$C$9:$R$257,2,FALSE))</f>
        <v/>
      </c>
      <c r="D108" s="175" t="str">
        <f>IF(C108="","",VLOOKUP($B108,'C-1 Site River Baseline'!$C$9:$R$257,3,FALSE))</f>
        <v/>
      </c>
      <c r="E108" s="175" t="str">
        <f>IF(D108="","",VLOOKUP($B108,'C-1 Site River Baseline'!$C$9:$R$257,4,FALSE))</f>
        <v/>
      </c>
      <c r="F108" s="175" t="str">
        <f>IF(E108="","",VLOOKUP($B108,'C-1 Site River Baseline'!$C$9:$R$257,5,FALSE))</f>
        <v/>
      </c>
      <c r="G108" s="175" t="str">
        <f>IF(F108="","",VLOOKUP($B108,'C-1 Site River Baseline'!$C$9:$R$257,6,FALSE))</f>
        <v/>
      </c>
      <c r="H108" s="175" t="str">
        <f>IF(G108="","",VLOOKUP($B108,'C-1 Site River Baseline'!$C$9:$R$257,7,FALSE))</f>
        <v/>
      </c>
      <c r="I108" s="175" t="str">
        <f>IF(H108="","",VLOOKUP($B108,'C-1 Site River Baseline'!$C$9:$R$257,8,FALSE))</f>
        <v/>
      </c>
      <c r="J108" s="175" t="str">
        <f>IF(I108="","",VLOOKUP($B108,'C-1 Site River Baseline'!$C$9:$R$257,9,FALSE))</f>
        <v/>
      </c>
      <c r="K108" s="175" t="str">
        <f>IF(J108="","",VLOOKUP($B108,'C-1 Site River Baseline'!$C$9:$R$257,10,FALSE))</f>
        <v/>
      </c>
      <c r="L108" s="175" t="str">
        <f>IF(B108="","",VLOOKUP($B108,'C-1 Site River Baseline'!$C$9:$R$257,15,FALSE))</f>
        <v/>
      </c>
      <c r="M108" s="176" t="str">
        <f>IF(L108="","",VLOOKUP($B108,'C-1 Site River Baseline'!$C$9:$R$257,16,FALSE))</f>
        <v/>
      </c>
      <c r="N108" s="639" t="str">
        <f t="shared" si="9"/>
        <v/>
      </c>
      <c r="O108" s="239" t="str">
        <f t="shared" si="10"/>
        <v/>
      </c>
      <c r="P108" s="172" t="str">
        <f>IF(C108="","",IF(AND(LEFT(C108,55)&lt;&gt;LEFT(N108,55),O108="High - High"),"Error - Not like for like",IF(AND(F108=S108,H108&gt;U108),"Error - Can not reduce condition",IF(AND(F108=S108,H108=U108,AJ108='C-1 Site River Baseline'!N106,'C-1 Site River Baseline'!P106=AL108),"Error - No enhancement",IF(AND(C108&lt;&gt;N108,F108&lt;S108),"Lower Distinctiveness Habitat"&amp;" - "&amp;T108,G108&amp;" - "&amp;T108)))))</f>
        <v/>
      </c>
      <c r="Q108" s="660" t="str">
        <f>IF(N108="","",VLOOKUP(B108,'C-1 Site River Baseline'!$C$10:$AA$257,19,FALSE))</f>
        <v/>
      </c>
      <c r="R108" s="171" t="str">
        <f>IF(N108="","",VLOOKUP(N108,'G-7 Rivers Data'!$B$2:$G$8,2,FALSE))</f>
        <v/>
      </c>
      <c r="S108" s="172" t="str">
        <f>IFERROR(VLOOKUP(R108,'G-7 Rivers Data'!$C$4:$D$8,2,FALSE),"")</f>
        <v/>
      </c>
      <c r="T108" s="173"/>
      <c r="U108" s="172" t="str">
        <f>IFERROR(INDEX('G-7 Rivers Data'!$H$4:$L$8,MATCH(N108,'G-7 Rivers Data'!$B$4:$B$8,0),MATCH(T108,'G-7 Rivers Data'!$H$3:$L$3,0)),"")</f>
        <v/>
      </c>
      <c r="V108" s="186"/>
      <c r="W108" s="175" t="str">
        <f>IF(V108="","",IF(VLOOKUP(V108,'G-7 Rivers Data'!$AG$4:$AI$9,2,FALSE)=0,"Spatial Data Missing",VLOOKUP(V108,'G-7 Rivers Data'!$AG$4:$AI$9,2,FALSE)))</f>
        <v/>
      </c>
      <c r="X108" s="176" t="str">
        <f>IF(V108="","",IF(VLOOKUP(V108,'G-7 Rivers Data'!$AG$4:$AI$9,3,FALSE)=0,"Spatial Data Missing",VLOOKUP(V108,'G-7 Rivers Data'!$AG$4:$AI$9,3,FALSE)))</f>
        <v/>
      </c>
      <c r="Y108" s="171" t="str">
        <f>IFERROR(IF(OR(LEFT(P108,5)="Error",LEFT(O108,5)="Error"),"Check Data",IF(F108&lt;S108,'G-7 Rivers Data'!$R$3,INDEX('G-7 Rivers Data'!$U$5:$Y$9,MATCH(G108,'G-7 Rivers Data'!$T$5:$T$9,0),MATCH(T108,'G-7 Rivers Data'!$U$4:$Y$4,0)))),"")</f>
        <v/>
      </c>
      <c r="Z108" s="261"/>
      <c r="AA108" s="261"/>
      <c r="AB108" s="179" t="str">
        <f t="shared" si="11"/>
        <v/>
      </c>
      <c r="AC108" s="262" t="str">
        <f t="shared" si="12"/>
        <v/>
      </c>
      <c r="AD108" s="382" t="str">
        <f>IFERROR(IF(AC108="Check Data","Check Data",VLOOKUP(AC108,'G-4 Temporal multipliers'!$A$4:$C$37,3,FALSE)),"")</f>
        <v/>
      </c>
      <c r="AE108" s="171" t="str">
        <f>IF(N108="","",VLOOKUP(N108,'G-7 Rivers Data'!$B$4:$G$8,5,FALSE))</f>
        <v/>
      </c>
      <c r="AF108" s="179" t="str">
        <f t="shared" si="13"/>
        <v/>
      </c>
      <c r="AG108" s="269" t="str">
        <f t="shared" si="14"/>
        <v/>
      </c>
      <c r="AH108" s="172" t="str">
        <f t="shared" si="8"/>
        <v/>
      </c>
      <c r="AI108" s="173"/>
      <c r="AJ108" s="172" t="str">
        <f>IF(AI108="","",IF(VLOOKUP(AI108,'G-7 Rivers Data'!$AA$4:$AB$7,2,FALSE)=0,"Spatial Data Missing",VLOOKUP(AI108,'G-7 Rivers Data'!$AA$4:$AB$7,2,FALSE)))</f>
        <v/>
      </c>
      <c r="AK108" s="187"/>
      <c r="AL108" s="172" t="str">
        <f>IF(AK108="","",IF(VLOOKUP(AK108,'G-7 Rivers Data'!$AD$4:$AE$8,2,FALSE)=0,"Spatial Data Missing",VLOOKUP(AK108,'G-7 Rivers Data'!$AD$4:$AE$8,2,FALSE)))</f>
        <v/>
      </c>
      <c r="AM108" s="265" t="str">
        <f t="shared" si="15"/>
        <v/>
      </c>
      <c r="AN108" s="180"/>
      <c r="AO108" s="181"/>
      <c r="AV108" s="35" t="str">
        <f>IFERROR(INDEX('G-7 Rivers Data'!$AZ$3:$AZ$7,MATCH(N108,'G-7 Rivers Data'!$AY$3:$AY$7,0)),"")</f>
        <v/>
      </c>
    </row>
    <row r="109" spans="2:48" ht="13.8" x14ac:dyDescent="0.25">
      <c r="B109" s="259" t="str">
        <f>'C-1 Site River Baseline'!AN107</f>
        <v/>
      </c>
      <c r="C109" s="175" t="str">
        <f>IF(B109="","",VLOOKUP($B109,'C-1 Site River Baseline'!$C$9:$R$257,2,FALSE))</f>
        <v/>
      </c>
      <c r="D109" s="175" t="str">
        <f>IF(C109="","",VLOOKUP($B109,'C-1 Site River Baseline'!$C$9:$R$257,3,FALSE))</f>
        <v/>
      </c>
      <c r="E109" s="175" t="str">
        <f>IF(D109="","",VLOOKUP($B109,'C-1 Site River Baseline'!$C$9:$R$257,4,FALSE))</f>
        <v/>
      </c>
      <c r="F109" s="175" t="str">
        <f>IF(E109="","",VLOOKUP($B109,'C-1 Site River Baseline'!$C$9:$R$257,5,FALSE))</f>
        <v/>
      </c>
      <c r="G109" s="175" t="str">
        <f>IF(F109="","",VLOOKUP($B109,'C-1 Site River Baseline'!$C$9:$R$257,6,FALSE))</f>
        <v/>
      </c>
      <c r="H109" s="175" t="str">
        <f>IF(G109="","",VLOOKUP($B109,'C-1 Site River Baseline'!$C$9:$R$257,7,FALSE))</f>
        <v/>
      </c>
      <c r="I109" s="175" t="str">
        <f>IF(H109="","",VLOOKUP($B109,'C-1 Site River Baseline'!$C$9:$R$257,8,FALSE))</f>
        <v/>
      </c>
      <c r="J109" s="175" t="str">
        <f>IF(I109="","",VLOOKUP($B109,'C-1 Site River Baseline'!$C$9:$R$257,9,FALSE))</f>
        <v/>
      </c>
      <c r="K109" s="175" t="str">
        <f>IF(J109="","",VLOOKUP($B109,'C-1 Site River Baseline'!$C$9:$R$257,10,FALSE))</f>
        <v/>
      </c>
      <c r="L109" s="175" t="str">
        <f>IF(B109="","",VLOOKUP($B109,'C-1 Site River Baseline'!$C$9:$R$257,15,FALSE))</f>
        <v/>
      </c>
      <c r="M109" s="176" t="str">
        <f>IF(L109="","",VLOOKUP($B109,'C-1 Site River Baseline'!$C$9:$R$257,16,FALSE))</f>
        <v/>
      </c>
      <c r="N109" s="639" t="str">
        <f t="shared" si="9"/>
        <v/>
      </c>
      <c r="O109" s="239" t="str">
        <f t="shared" si="10"/>
        <v/>
      </c>
      <c r="P109" s="172" t="str">
        <f>IF(C109="","",IF(AND(LEFT(C109,55)&lt;&gt;LEFT(N109,55),O109="High - High"),"Error - Not like for like",IF(AND(F109=S109,H109&gt;U109),"Error - Can not reduce condition",IF(AND(F109=S109,H109=U109,AJ109='C-1 Site River Baseline'!N107,'C-1 Site River Baseline'!P107=AL109),"Error - No enhancement",IF(AND(C109&lt;&gt;N109,F109&lt;S109),"Lower Distinctiveness Habitat"&amp;" - "&amp;T109,G109&amp;" - "&amp;T109)))))</f>
        <v/>
      </c>
      <c r="Q109" s="660" t="str">
        <f>IF(N109="","",VLOOKUP(B109,'C-1 Site River Baseline'!$C$10:$AA$257,19,FALSE))</f>
        <v/>
      </c>
      <c r="R109" s="171" t="str">
        <f>IF(N109="","",VLOOKUP(N109,'G-7 Rivers Data'!$B$2:$G$8,2,FALSE))</f>
        <v/>
      </c>
      <c r="S109" s="172" t="str">
        <f>IFERROR(VLOOKUP(R109,'G-7 Rivers Data'!$C$4:$D$8,2,FALSE),"")</f>
        <v/>
      </c>
      <c r="T109" s="173"/>
      <c r="U109" s="172" t="str">
        <f>IFERROR(INDEX('G-7 Rivers Data'!$H$4:$L$8,MATCH(N109,'G-7 Rivers Data'!$B$4:$B$8,0),MATCH(T109,'G-7 Rivers Data'!$H$3:$L$3,0)),"")</f>
        <v/>
      </c>
      <c r="V109" s="186"/>
      <c r="W109" s="175" t="str">
        <f>IF(V109="","",IF(VLOOKUP(V109,'G-7 Rivers Data'!$AG$4:$AI$9,2,FALSE)=0,"Spatial Data Missing",VLOOKUP(V109,'G-7 Rivers Data'!$AG$4:$AI$9,2,FALSE)))</f>
        <v/>
      </c>
      <c r="X109" s="176" t="str">
        <f>IF(V109="","",IF(VLOOKUP(V109,'G-7 Rivers Data'!$AG$4:$AI$9,3,FALSE)=0,"Spatial Data Missing",VLOOKUP(V109,'G-7 Rivers Data'!$AG$4:$AI$9,3,FALSE)))</f>
        <v/>
      </c>
      <c r="Y109" s="171" t="str">
        <f>IFERROR(IF(OR(LEFT(P109,5)="Error",LEFT(O109,5)="Error"),"Check Data",IF(F109&lt;S109,'G-7 Rivers Data'!$R$3,INDEX('G-7 Rivers Data'!$U$5:$Y$9,MATCH(G109,'G-7 Rivers Data'!$T$5:$T$9,0),MATCH(T109,'G-7 Rivers Data'!$U$4:$Y$4,0)))),"")</f>
        <v/>
      </c>
      <c r="Z109" s="261"/>
      <c r="AA109" s="261"/>
      <c r="AB109" s="179" t="str">
        <f t="shared" si="11"/>
        <v/>
      </c>
      <c r="AC109" s="262" t="str">
        <f t="shared" si="12"/>
        <v/>
      </c>
      <c r="AD109" s="382" t="str">
        <f>IFERROR(IF(AC109="Check Data","Check Data",VLOOKUP(AC109,'G-4 Temporal multipliers'!$A$4:$C$37,3,FALSE)),"")</f>
        <v/>
      </c>
      <c r="AE109" s="171" t="str">
        <f>IF(N109="","",VLOOKUP(N109,'G-7 Rivers Data'!$B$4:$G$8,5,FALSE))</f>
        <v/>
      </c>
      <c r="AF109" s="179" t="str">
        <f t="shared" si="13"/>
        <v/>
      </c>
      <c r="AG109" s="269" t="str">
        <f t="shared" si="14"/>
        <v/>
      </c>
      <c r="AH109" s="172" t="str">
        <f t="shared" si="8"/>
        <v/>
      </c>
      <c r="AI109" s="173"/>
      <c r="AJ109" s="172" t="str">
        <f>IF(AI109="","",IF(VLOOKUP(AI109,'G-7 Rivers Data'!$AA$4:$AB$7,2,FALSE)=0,"Spatial Data Missing",VLOOKUP(AI109,'G-7 Rivers Data'!$AA$4:$AB$7,2,FALSE)))</f>
        <v/>
      </c>
      <c r="AK109" s="187"/>
      <c r="AL109" s="172" t="str">
        <f>IF(AK109="","",IF(VLOOKUP(AK109,'G-7 Rivers Data'!$AD$4:$AE$8,2,FALSE)=0,"Spatial Data Missing",VLOOKUP(AK109,'G-7 Rivers Data'!$AD$4:$AE$8,2,FALSE)))</f>
        <v/>
      </c>
      <c r="AM109" s="265" t="str">
        <f t="shared" si="15"/>
        <v/>
      </c>
      <c r="AN109" s="180"/>
      <c r="AO109" s="181"/>
      <c r="AV109" s="35" t="str">
        <f>IFERROR(INDEX('G-7 Rivers Data'!$AZ$3:$AZ$7,MATCH(N109,'G-7 Rivers Data'!$AY$3:$AY$7,0)),"")</f>
        <v/>
      </c>
    </row>
    <row r="110" spans="2:48" ht="13.8" x14ac:dyDescent="0.25">
      <c r="B110" s="259" t="str">
        <f>'C-1 Site River Baseline'!AN108</f>
        <v/>
      </c>
      <c r="C110" s="175" t="str">
        <f>IF(B110="","",VLOOKUP($B110,'C-1 Site River Baseline'!$C$9:$R$257,2,FALSE))</f>
        <v/>
      </c>
      <c r="D110" s="175" t="str">
        <f>IF(C110="","",VLOOKUP($B110,'C-1 Site River Baseline'!$C$9:$R$257,3,FALSE))</f>
        <v/>
      </c>
      <c r="E110" s="175" t="str">
        <f>IF(D110="","",VLOOKUP($B110,'C-1 Site River Baseline'!$C$9:$R$257,4,FALSE))</f>
        <v/>
      </c>
      <c r="F110" s="175" t="str">
        <f>IF(E110="","",VLOOKUP($B110,'C-1 Site River Baseline'!$C$9:$R$257,5,FALSE))</f>
        <v/>
      </c>
      <c r="G110" s="175" t="str">
        <f>IF(F110="","",VLOOKUP($B110,'C-1 Site River Baseline'!$C$9:$R$257,6,FALSE))</f>
        <v/>
      </c>
      <c r="H110" s="175" t="str">
        <f>IF(G110="","",VLOOKUP($B110,'C-1 Site River Baseline'!$C$9:$R$257,7,FALSE))</f>
        <v/>
      </c>
      <c r="I110" s="175" t="str">
        <f>IF(H110="","",VLOOKUP($B110,'C-1 Site River Baseline'!$C$9:$R$257,8,FALSE))</f>
        <v/>
      </c>
      <c r="J110" s="175" t="str">
        <f>IF(I110="","",VLOOKUP($B110,'C-1 Site River Baseline'!$C$9:$R$257,9,FALSE))</f>
        <v/>
      </c>
      <c r="K110" s="175" t="str">
        <f>IF(J110="","",VLOOKUP($B110,'C-1 Site River Baseline'!$C$9:$R$257,10,FALSE))</f>
        <v/>
      </c>
      <c r="L110" s="175" t="str">
        <f>IF(B110="","",VLOOKUP($B110,'C-1 Site River Baseline'!$C$9:$R$257,15,FALSE))</f>
        <v/>
      </c>
      <c r="M110" s="176" t="str">
        <f>IF(L110="","",VLOOKUP($B110,'C-1 Site River Baseline'!$C$9:$R$257,16,FALSE))</f>
        <v/>
      </c>
      <c r="N110" s="639" t="str">
        <f t="shared" si="9"/>
        <v/>
      </c>
      <c r="O110" s="239" t="str">
        <f t="shared" si="10"/>
        <v/>
      </c>
      <c r="P110" s="172" t="str">
        <f>IF(C110="","",IF(AND(LEFT(C110,55)&lt;&gt;LEFT(N110,55),O110="High - High"),"Error - Not like for like",IF(AND(F110=S110,H110&gt;U110),"Error - Can not reduce condition",IF(AND(F110=S110,H110=U110,AJ110='C-1 Site River Baseline'!N108,'C-1 Site River Baseline'!P108=AL110),"Error - No enhancement",IF(AND(C110&lt;&gt;N110,F110&lt;S110),"Lower Distinctiveness Habitat"&amp;" - "&amp;T110,G110&amp;" - "&amp;T110)))))</f>
        <v/>
      </c>
      <c r="Q110" s="660" t="str">
        <f>IF(N110="","",VLOOKUP(B110,'C-1 Site River Baseline'!$C$10:$AA$257,19,FALSE))</f>
        <v/>
      </c>
      <c r="R110" s="171" t="str">
        <f>IF(N110="","",VLOOKUP(N110,'G-7 Rivers Data'!$B$2:$G$8,2,FALSE))</f>
        <v/>
      </c>
      <c r="S110" s="172" t="str">
        <f>IFERROR(VLOOKUP(R110,'G-7 Rivers Data'!$C$4:$D$8,2,FALSE),"")</f>
        <v/>
      </c>
      <c r="T110" s="173"/>
      <c r="U110" s="172" t="str">
        <f>IFERROR(INDEX('G-7 Rivers Data'!$H$4:$L$8,MATCH(N110,'G-7 Rivers Data'!$B$4:$B$8,0),MATCH(T110,'G-7 Rivers Data'!$H$3:$L$3,0)),"")</f>
        <v/>
      </c>
      <c r="V110" s="186"/>
      <c r="W110" s="175" t="str">
        <f>IF(V110="","",IF(VLOOKUP(V110,'G-7 Rivers Data'!$AG$4:$AI$9,2,FALSE)=0,"Spatial Data Missing",VLOOKUP(V110,'G-7 Rivers Data'!$AG$4:$AI$9,2,FALSE)))</f>
        <v/>
      </c>
      <c r="X110" s="176" t="str">
        <f>IF(V110="","",IF(VLOOKUP(V110,'G-7 Rivers Data'!$AG$4:$AI$9,3,FALSE)=0,"Spatial Data Missing",VLOOKUP(V110,'G-7 Rivers Data'!$AG$4:$AI$9,3,FALSE)))</f>
        <v/>
      </c>
      <c r="Y110" s="171" t="str">
        <f>IFERROR(IF(OR(LEFT(P110,5)="Error",LEFT(O110,5)="Error"),"Check Data",IF(F110&lt;S110,'G-7 Rivers Data'!$R$3,INDEX('G-7 Rivers Data'!$U$5:$Y$9,MATCH(G110,'G-7 Rivers Data'!$T$5:$T$9,0),MATCH(T110,'G-7 Rivers Data'!$U$4:$Y$4,0)))),"")</f>
        <v/>
      </c>
      <c r="Z110" s="261"/>
      <c r="AA110" s="261"/>
      <c r="AB110" s="179" t="str">
        <f t="shared" si="11"/>
        <v/>
      </c>
      <c r="AC110" s="262" t="str">
        <f t="shared" si="12"/>
        <v/>
      </c>
      <c r="AD110" s="382" t="str">
        <f>IFERROR(IF(AC110="Check Data","Check Data",VLOOKUP(AC110,'G-4 Temporal multipliers'!$A$4:$C$37,3,FALSE)),"")</f>
        <v/>
      </c>
      <c r="AE110" s="171" t="str">
        <f>IF(N110="","",VLOOKUP(N110,'G-7 Rivers Data'!$B$4:$G$8,5,FALSE))</f>
        <v/>
      </c>
      <c r="AF110" s="179" t="str">
        <f t="shared" si="13"/>
        <v/>
      </c>
      <c r="AG110" s="269" t="str">
        <f t="shared" si="14"/>
        <v/>
      </c>
      <c r="AH110" s="172" t="str">
        <f t="shared" si="8"/>
        <v/>
      </c>
      <c r="AI110" s="173"/>
      <c r="AJ110" s="172" t="str">
        <f>IF(AI110="","",IF(VLOOKUP(AI110,'G-7 Rivers Data'!$AA$4:$AB$7,2,FALSE)=0,"Spatial Data Missing",VLOOKUP(AI110,'G-7 Rivers Data'!$AA$4:$AB$7,2,FALSE)))</f>
        <v/>
      </c>
      <c r="AK110" s="187"/>
      <c r="AL110" s="172" t="str">
        <f>IF(AK110="","",IF(VLOOKUP(AK110,'G-7 Rivers Data'!$AD$4:$AE$8,2,FALSE)=0,"Spatial Data Missing",VLOOKUP(AK110,'G-7 Rivers Data'!$AD$4:$AE$8,2,FALSE)))</f>
        <v/>
      </c>
      <c r="AM110" s="265" t="str">
        <f t="shared" si="15"/>
        <v/>
      </c>
      <c r="AN110" s="180"/>
      <c r="AO110" s="181"/>
      <c r="AV110" s="35" t="str">
        <f>IFERROR(INDEX('G-7 Rivers Data'!$AZ$3:$AZ$7,MATCH(N110,'G-7 Rivers Data'!$AY$3:$AY$7,0)),"")</f>
        <v/>
      </c>
    </row>
    <row r="111" spans="2:48" ht="13.8" x14ac:dyDescent="0.25">
      <c r="B111" s="259" t="str">
        <f>'C-1 Site River Baseline'!AN109</f>
        <v/>
      </c>
      <c r="C111" s="175" t="str">
        <f>IF(B111="","",VLOOKUP($B111,'C-1 Site River Baseline'!$C$9:$R$257,2,FALSE))</f>
        <v/>
      </c>
      <c r="D111" s="175" t="str">
        <f>IF(C111="","",VLOOKUP($B111,'C-1 Site River Baseline'!$C$9:$R$257,3,FALSE))</f>
        <v/>
      </c>
      <c r="E111" s="175" t="str">
        <f>IF(D111="","",VLOOKUP($B111,'C-1 Site River Baseline'!$C$9:$R$257,4,FALSE))</f>
        <v/>
      </c>
      <c r="F111" s="175" t="str">
        <f>IF(E111="","",VLOOKUP($B111,'C-1 Site River Baseline'!$C$9:$R$257,5,FALSE))</f>
        <v/>
      </c>
      <c r="G111" s="175" t="str">
        <f>IF(F111="","",VLOOKUP($B111,'C-1 Site River Baseline'!$C$9:$R$257,6,FALSE))</f>
        <v/>
      </c>
      <c r="H111" s="175" t="str">
        <f>IF(G111="","",VLOOKUP($B111,'C-1 Site River Baseline'!$C$9:$R$257,7,FALSE))</f>
        <v/>
      </c>
      <c r="I111" s="175" t="str">
        <f>IF(H111="","",VLOOKUP($B111,'C-1 Site River Baseline'!$C$9:$R$257,8,FALSE))</f>
        <v/>
      </c>
      <c r="J111" s="175" t="str">
        <f>IF(I111="","",VLOOKUP($B111,'C-1 Site River Baseline'!$C$9:$R$257,9,FALSE))</f>
        <v/>
      </c>
      <c r="K111" s="175" t="str">
        <f>IF(J111="","",VLOOKUP($B111,'C-1 Site River Baseline'!$C$9:$R$257,10,FALSE))</f>
        <v/>
      </c>
      <c r="L111" s="175" t="str">
        <f>IF(B111="","",VLOOKUP($B111,'C-1 Site River Baseline'!$C$9:$R$257,15,FALSE))</f>
        <v/>
      </c>
      <c r="M111" s="176" t="str">
        <f>IF(L111="","",VLOOKUP($B111,'C-1 Site River Baseline'!$C$9:$R$257,16,FALSE))</f>
        <v/>
      </c>
      <c r="N111" s="639" t="str">
        <f t="shared" si="9"/>
        <v/>
      </c>
      <c r="O111" s="239" t="str">
        <f t="shared" si="10"/>
        <v/>
      </c>
      <c r="P111" s="172" t="str">
        <f>IF(C111="","",IF(AND(LEFT(C111,55)&lt;&gt;LEFT(N111,55),O111="High - High"),"Error - Not like for like",IF(AND(F111=S111,H111&gt;U111),"Error - Can not reduce condition",IF(AND(F111=S111,H111=U111,AJ111='C-1 Site River Baseline'!N109,'C-1 Site River Baseline'!P109=AL111),"Error - No enhancement",IF(AND(C111&lt;&gt;N111,F111&lt;S111),"Lower Distinctiveness Habitat"&amp;" - "&amp;T111,G111&amp;" - "&amp;T111)))))</f>
        <v/>
      </c>
      <c r="Q111" s="660" t="str">
        <f>IF(N111="","",VLOOKUP(B111,'C-1 Site River Baseline'!$C$10:$AA$257,19,FALSE))</f>
        <v/>
      </c>
      <c r="R111" s="171" t="str">
        <f>IF(N111="","",VLOOKUP(N111,'G-7 Rivers Data'!$B$2:$G$8,2,FALSE))</f>
        <v/>
      </c>
      <c r="S111" s="172" t="str">
        <f>IFERROR(VLOOKUP(R111,'G-7 Rivers Data'!$C$4:$D$8,2,FALSE),"")</f>
        <v/>
      </c>
      <c r="T111" s="173"/>
      <c r="U111" s="172" t="str">
        <f>IFERROR(INDEX('G-7 Rivers Data'!$H$4:$L$8,MATCH(N111,'G-7 Rivers Data'!$B$4:$B$8,0),MATCH(T111,'G-7 Rivers Data'!$H$3:$L$3,0)),"")</f>
        <v/>
      </c>
      <c r="V111" s="186"/>
      <c r="W111" s="175" t="str">
        <f>IF(V111="","",IF(VLOOKUP(V111,'G-7 Rivers Data'!$AG$4:$AI$9,2,FALSE)=0,"Spatial Data Missing",VLOOKUP(V111,'G-7 Rivers Data'!$AG$4:$AI$9,2,FALSE)))</f>
        <v/>
      </c>
      <c r="X111" s="176" t="str">
        <f>IF(V111="","",IF(VLOOKUP(V111,'G-7 Rivers Data'!$AG$4:$AI$9,3,FALSE)=0,"Spatial Data Missing",VLOOKUP(V111,'G-7 Rivers Data'!$AG$4:$AI$9,3,FALSE)))</f>
        <v/>
      </c>
      <c r="Y111" s="171" t="str">
        <f>IFERROR(IF(OR(LEFT(P111,5)="Error",LEFT(O111,5)="Error"),"Check Data",IF(F111&lt;S111,'G-7 Rivers Data'!$R$3,INDEX('G-7 Rivers Data'!$U$5:$Y$9,MATCH(G111,'G-7 Rivers Data'!$T$5:$T$9,0),MATCH(T111,'G-7 Rivers Data'!$U$4:$Y$4,0)))),"")</f>
        <v/>
      </c>
      <c r="Z111" s="261"/>
      <c r="AA111" s="261"/>
      <c r="AB111" s="179" t="str">
        <f t="shared" si="11"/>
        <v/>
      </c>
      <c r="AC111" s="262" t="str">
        <f t="shared" si="12"/>
        <v/>
      </c>
      <c r="AD111" s="382" t="str">
        <f>IFERROR(IF(AC111="Check Data","Check Data",VLOOKUP(AC111,'G-4 Temporal multipliers'!$A$4:$C$37,3,FALSE)),"")</f>
        <v/>
      </c>
      <c r="AE111" s="171" t="str">
        <f>IF(N111="","",VLOOKUP(N111,'G-7 Rivers Data'!$B$4:$G$8,5,FALSE))</f>
        <v/>
      </c>
      <c r="AF111" s="179" t="str">
        <f t="shared" si="13"/>
        <v/>
      </c>
      <c r="AG111" s="269" t="str">
        <f t="shared" si="14"/>
        <v/>
      </c>
      <c r="AH111" s="172" t="str">
        <f t="shared" si="8"/>
        <v/>
      </c>
      <c r="AI111" s="173"/>
      <c r="AJ111" s="172" t="str">
        <f>IF(AI111="","",IF(VLOOKUP(AI111,'G-7 Rivers Data'!$AA$4:$AB$7,2,FALSE)=0,"Spatial Data Missing",VLOOKUP(AI111,'G-7 Rivers Data'!$AA$4:$AB$7,2,FALSE)))</f>
        <v/>
      </c>
      <c r="AK111" s="187"/>
      <c r="AL111" s="172" t="str">
        <f>IF(AK111="","",IF(VLOOKUP(AK111,'G-7 Rivers Data'!$AD$4:$AE$8,2,FALSE)=0,"Spatial Data Missing",VLOOKUP(AK111,'G-7 Rivers Data'!$AD$4:$AE$8,2,FALSE)))</f>
        <v/>
      </c>
      <c r="AM111" s="265" t="str">
        <f t="shared" si="15"/>
        <v/>
      </c>
      <c r="AN111" s="180"/>
      <c r="AO111" s="181"/>
      <c r="AV111" s="35" t="str">
        <f>IFERROR(INDEX('G-7 Rivers Data'!$AZ$3:$AZ$7,MATCH(N111,'G-7 Rivers Data'!$AY$3:$AY$7,0)),"")</f>
        <v/>
      </c>
    </row>
    <row r="112" spans="2:48" ht="13.8" x14ac:dyDescent="0.25">
      <c r="B112" s="259" t="str">
        <f>'C-1 Site River Baseline'!AN110</f>
        <v/>
      </c>
      <c r="C112" s="175" t="str">
        <f>IF(B112="","",VLOOKUP($B112,'C-1 Site River Baseline'!$C$9:$R$257,2,FALSE))</f>
        <v/>
      </c>
      <c r="D112" s="175" t="str">
        <f>IF(C112="","",VLOOKUP($B112,'C-1 Site River Baseline'!$C$9:$R$257,3,FALSE))</f>
        <v/>
      </c>
      <c r="E112" s="175" t="str">
        <f>IF(D112="","",VLOOKUP($B112,'C-1 Site River Baseline'!$C$9:$R$257,4,FALSE))</f>
        <v/>
      </c>
      <c r="F112" s="175" t="str">
        <f>IF(E112="","",VLOOKUP($B112,'C-1 Site River Baseline'!$C$9:$R$257,5,FALSE))</f>
        <v/>
      </c>
      <c r="G112" s="175" t="str">
        <f>IF(F112="","",VLOOKUP($B112,'C-1 Site River Baseline'!$C$9:$R$257,6,FALSE))</f>
        <v/>
      </c>
      <c r="H112" s="175" t="str">
        <f>IF(G112="","",VLOOKUP($B112,'C-1 Site River Baseline'!$C$9:$R$257,7,FALSE))</f>
        <v/>
      </c>
      <c r="I112" s="175" t="str">
        <f>IF(H112="","",VLOOKUP($B112,'C-1 Site River Baseline'!$C$9:$R$257,8,FALSE))</f>
        <v/>
      </c>
      <c r="J112" s="175" t="str">
        <f>IF(I112="","",VLOOKUP($B112,'C-1 Site River Baseline'!$C$9:$R$257,9,FALSE))</f>
        <v/>
      </c>
      <c r="K112" s="175" t="str">
        <f>IF(J112="","",VLOOKUP($B112,'C-1 Site River Baseline'!$C$9:$R$257,10,FALSE))</f>
        <v/>
      </c>
      <c r="L112" s="175" t="str">
        <f>IF(B112="","",VLOOKUP($B112,'C-1 Site River Baseline'!$C$9:$R$257,15,FALSE))</f>
        <v/>
      </c>
      <c r="M112" s="176" t="str">
        <f>IF(L112="","",VLOOKUP($B112,'C-1 Site River Baseline'!$C$9:$R$257,16,FALSE))</f>
        <v/>
      </c>
      <c r="N112" s="639" t="str">
        <f t="shared" si="9"/>
        <v/>
      </c>
      <c r="O112" s="239" t="str">
        <f t="shared" si="10"/>
        <v/>
      </c>
      <c r="P112" s="172" t="str">
        <f>IF(C112="","",IF(AND(LEFT(C112,55)&lt;&gt;LEFT(N112,55),O112="High - High"),"Error - Not like for like",IF(AND(F112=S112,H112&gt;U112),"Error - Can not reduce condition",IF(AND(F112=S112,H112=U112,AJ112='C-1 Site River Baseline'!N110,'C-1 Site River Baseline'!P110=AL112),"Error - No enhancement",IF(AND(C112&lt;&gt;N112,F112&lt;S112),"Lower Distinctiveness Habitat"&amp;" - "&amp;T112,G112&amp;" - "&amp;T112)))))</f>
        <v/>
      </c>
      <c r="Q112" s="660" t="str">
        <f>IF(N112="","",VLOOKUP(B112,'C-1 Site River Baseline'!$C$10:$AA$257,19,FALSE))</f>
        <v/>
      </c>
      <c r="R112" s="171" t="str">
        <f>IF(N112="","",VLOOKUP(N112,'G-7 Rivers Data'!$B$2:$G$8,2,FALSE))</f>
        <v/>
      </c>
      <c r="S112" s="172" t="str">
        <f>IFERROR(VLOOKUP(R112,'G-7 Rivers Data'!$C$4:$D$8,2,FALSE),"")</f>
        <v/>
      </c>
      <c r="T112" s="173"/>
      <c r="U112" s="172" t="str">
        <f>IFERROR(INDEX('G-7 Rivers Data'!$H$4:$L$8,MATCH(N112,'G-7 Rivers Data'!$B$4:$B$8,0),MATCH(T112,'G-7 Rivers Data'!$H$3:$L$3,0)),"")</f>
        <v/>
      </c>
      <c r="V112" s="186"/>
      <c r="W112" s="175" t="str">
        <f>IF(V112="","",IF(VLOOKUP(V112,'G-7 Rivers Data'!$AG$4:$AI$9,2,FALSE)=0,"Spatial Data Missing",VLOOKUP(V112,'G-7 Rivers Data'!$AG$4:$AI$9,2,FALSE)))</f>
        <v/>
      </c>
      <c r="X112" s="176" t="str">
        <f>IF(V112="","",IF(VLOOKUP(V112,'G-7 Rivers Data'!$AG$4:$AI$9,3,FALSE)=0,"Spatial Data Missing",VLOOKUP(V112,'G-7 Rivers Data'!$AG$4:$AI$9,3,FALSE)))</f>
        <v/>
      </c>
      <c r="Y112" s="171" t="str">
        <f>IFERROR(IF(OR(LEFT(P112,5)="Error",LEFT(O112,5)="Error"),"Check Data",IF(F112&lt;S112,'G-7 Rivers Data'!$R$3,INDEX('G-7 Rivers Data'!$U$5:$Y$9,MATCH(G112,'G-7 Rivers Data'!$T$5:$T$9,0),MATCH(T112,'G-7 Rivers Data'!$U$4:$Y$4,0)))),"")</f>
        <v/>
      </c>
      <c r="Z112" s="261"/>
      <c r="AA112" s="261"/>
      <c r="AB112" s="179" t="str">
        <f t="shared" si="11"/>
        <v/>
      </c>
      <c r="AC112" s="262" t="str">
        <f t="shared" si="12"/>
        <v/>
      </c>
      <c r="AD112" s="382" t="str">
        <f>IFERROR(IF(AC112="Check Data","Check Data",VLOOKUP(AC112,'G-4 Temporal multipliers'!$A$4:$C$37,3,FALSE)),"")</f>
        <v/>
      </c>
      <c r="AE112" s="171" t="str">
        <f>IF(N112="","",VLOOKUP(N112,'G-7 Rivers Data'!$B$4:$G$8,5,FALSE))</f>
        <v/>
      </c>
      <c r="AF112" s="179" t="str">
        <f t="shared" si="13"/>
        <v/>
      </c>
      <c r="AG112" s="269" t="str">
        <f t="shared" si="14"/>
        <v/>
      </c>
      <c r="AH112" s="172" t="str">
        <f t="shared" si="8"/>
        <v/>
      </c>
      <c r="AI112" s="173"/>
      <c r="AJ112" s="172" t="str">
        <f>IF(AI112="","",IF(VLOOKUP(AI112,'G-7 Rivers Data'!$AA$4:$AB$7,2,FALSE)=0,"Spatial Data Missing",VLOOKUP(AI112,'G-7 Rivers Data'!$AA$4:$AB$7,2,FALSE)))</f>
        <v/>
      </c>
      <c r="AK112" s="187"/>
      <c r="AL112" s="172" t="str">
        <f>IF(AK112="","",IF(VLOOKUP(AK112,'G-7 Rivers Data'!$AD$4:$AE$8,2,FALSE)=0,"Spatial Data Missing",VLOOKUP(AK112,'G-7 Rivers Data'!$AD$4:$AE$8,2,FALSE)))</f>
        <v/>
      </c>
      <c r="AM112" s="265" t="str">
        <f t="shared" si="15"/>
        <v/>
      </c>
      <c r="AN112" s="180"/>
      <c r="AO112" s="181"/>
      <c r="AV112" s="35" t="str">
        <f>IFERROR(INDEX('G-7 Rivers Data'!$AZ$3:$AZ$7,MATCH(N112,'G-7 Rivers Data'!$AY$3:$AY$7,0)),"")</f>
        <v/>
      </c>
    </row>
    <row r="113" spans="2:48" ht="13.8" x14ac:dyDescent="0.25">
      <c r="B113" s="259" t="str">
        <f>'C-1 Site River Baseline'!AN111</f>
        <v/>
      </c>
      <c r="C113" s="175" t="str">
        <f>IF(B113="","",VLOOKUP($B113,'C-1 Site River Baseline'!$C$9:$R$257,2,FALSE))</f>
        <v/>
      </c>
      <c r="D113" s="175" t="str">
        <f>IF(C113="","",VLOOKUP($B113,'C-1 Site River Baseline'!$C$9:$R$257,3,FALSE))</f>
        <v/>
      </c>
      <c r="E113" s="175" t="str">
        <f>IF(D113="","",VLOOKUP($B113,'C-1 Site River Baseline'!$C$9:$R$257,4,FALSE))</f>
        <v/>
      </c>
      <c r="F113" s="175" t="str">
        <f>IF(E113="","",VLOOKUP($B113,'C-1 Site River Baseline'!$C$9:$R$257,5,FALSE))</f>
        <v/>
      </c>
      <c r="G113" s="175" t="str">
        <f>IF(F113="","",VLOOKUP($B113,'C-1 Site River Baseline'!$C$9:$R$257,6,FALSE))</f>
        <v/>
      </c>
      <c r="H113" s="175" t="str">
        <f>IF(G113="","",VLOOKUP($B113,'C-1 Site River Baseline'!$C$9:$R$257,7,FALSE))</f>
        <v/>
      </c>
      <c r="I113" s="175" t="str">
        <f>IF(H113="","",VLOOKUP($B113,'C-1 Site River Baseline'!$C$9:$R$257,8,FALSE))</f>
        <v/>
      </c>
      <c r="J113" s="175" t="str">
        <f>IF(I113="","",VLOOKUP($B113,'C-1 Site River Baseline'!$C$9:$R$257,9,FALSE))</f>
        <v/>
      </c>
      <c r="K113" s="175" t="str">
        <f>IF(J113="","",VLOOKUP($B113,'C-1 Site River Baseline'!$C$9:$R$257,10,FALSE))</f>
        <v/>
      </c>
      <c r="L113" s="175" t="str">
        <f>IF(B113="","",VLOOKUP($B113,'C-1 Site River Baseline'!$C$9:$R$257,15,FALSE))</f>
        <v/>
      </c>
      <c r="M113" s="176" t="str">
        <f>IF(L113="","",VLOOKUP($B113,'C-1 Site River Baseline'!$C$9:$R$257,16,FALSE))</f>
        <v/>
      </c>
      <c r="N113" s="639" t="str">
        <f t="shared" si="9"/>
        <v/>
      </c>
      <c r="O113" s="239" t="str">
        <f t="shared" si="10"/>
        <v/>
      </c>
      <c r="P113" s="172" t="str">
        <f>IF(C113="","",IF(AND(LEFT(C113,55)&lt;&gt;LEFT(N113,55),O113="High - High"),"Error - Not like for like",IF(AND(F113=S113,H113&gt;U113),"Error - Can not reduce condition",IF(AND(F113=S113,H113=U113,AJ113='C-1 Site River Baseline'!N111,'C-1 Site River Baseline'!P111=AL113),"Error - No enhancement",IF(AND(C113&lt;&gt;N113,F113&lt;S113),"Lower Distinctiveness Habitat"&amp;" - "&amp;T113,G113&amp;" - "&amp;T113)))))</f>
        <v/>
      </c>
      <c r="Q113" s="660" t="str">
        <f>IF(N113="","",VLOOKUP(B113,'C-1 Site River Baseline'!$C$10:$AA$257,19,FALSE))</f>
        <v/>
      </c>
      <c r="R113" s="171" t="str">
        <f>IF(N113="","",VLOOKUP(N113,'G-7 Rivers Data'!$B$2:$G$8,2,FALSE))</f>
        <v/>
      </c>
      <c r="S113" s="172" t="str">
        <f>IFERROR(VLOOKUP(R113,'G-7 Rivers Data'!$C$4:$D$8,2,FALSE),"")</f>
        <v/>
      </c>
      <c r="T113" s="173"/>
      <c r="U113" s="172" t="str">
        <f>IFERROR(INDEX('G-7 Rivers Data'!$H$4:$L$8,MATCH(N113,'G-7 Rivers Data'!$B$4:$B$8,0),MATCH(T113,'G-7 Rivers Data'!$H$3:$L$3,0)),"")</f>
        <v/>
      </c>
      <c r="V113" s="186"/>
      <c r="W113" s="175" t="str">
        <f>IF(V113="","",IF(VLOOKUP(V113,'G-7 Rivers Data'!$AG$4:$AI$9,2,FALSE)=0,"Spatial Data Missing",VLOOKUP(V113,'G-7 Rivers Data'!$AG$4:$AI$9,2,FALSE)))</f>
        <v/>
      </c>
      <c r="X113" s="176" t="str">
        <f>IF(V113="","",IF(VLOOKUP(V113,'G-7 Rivers Data'!$AG$4:$AI$9,3,FALSE)=0,"Spatial Data Missing",VLOOKUP(V113,'G-7 Rivers Data'!$AG$4:$AI$9,3,FALSE)))</f>
        <v/>
      </c>
      <c r="Y113" s="171" t="str">
        <f>IFERROR(IF(OR(LEFT(P113,5)="Error",LEFT(O113,5)="Error"),"Check Data",IF(F113&lt;S113,'G-7 Rivers Data'!$R$3,INDEX('G-7 Rivers Data'!$U$5:$Y$9,MATCH(G113,'G-7 Rivers Data'!$T$5:$T$9,0),MATCH(T113,'G-7 Rivers Data'!$U$4:$Y$4,0)))),"")</f>
        <v/>
      </c>
      <c r="Z113" s="261"/>
      <c r="AA113" s="261"/>
      <c r="AB113" s="179" t="str">
        <f t="shared" si="11"/>
        <v/>
      </c>
      <c r="AC113" s="262" t="str">
        <f t="shared" si="12"/>
        <v/>
      </c>
      <c r="AD113" s="382" t="str">
        <f>IFERROR(IF(AC113="Check Data","Check Data",VLOOKUP(AC113,'G-4 Temporal multipliers'!$A$4:$C$37,3,FALSE)),"")</f>
        <v/>
      </c>
      <c r="AE113" s="171" t="str">
        <f>IF(N113="","",VLOOKUP(N113,'G-7 Rivers Data'!$B$4:$G$8,5,FALSE))</f>
        <v/>
      </c>
      <c r="AF113" s="179" t="str">
        <f t="shared" si="13"/>
        <v/>
      </c>
      <c r="AG113" s="269" t="str">
        <f t="shared" si="14"/>
        <v/>
      </c>
      <c r="AH113" s="172" t="str">
        <f t="shared" si="8"/>
        <v/>
      </c>
      <c r="AI113" s="173"/>
      <c r="AJ113" s="172" t="str">
        <f>IF(AI113="","",IF(VLOOKUP(AI113,'G-7 Rivers Data'!$AA$4:$AB$7,2,FALSE)=0,"Spatial Data Missing",VLOOKUP(AI113,'G-7 Rivers Data'!$AA$4:$AB$7,2,FALSE)))</f>
        <v/>
      </c>
      <c r="AK113" s="187"/>
      <c r="AL113" s="172" t="str">
        <f>IF(AK113="","",IF(VLOOKUP(AK113,'G-7 Rivers Data'!$AD$4:$AE$8,2,FALSE)=0,"Spatial Data Missing",VLOOKUP(AK113,'G-7 Rivers Data'!$AD$4:$AE$8,2,FALSE)))</f>
        <v/>
      </c>
      <c r="AM113" s="265" t="str">
        <f t="shared" si="15"/>
        <v/>
      </c>
      <c r="AN113" s="180"/>
      <c r="AO113" s="181"/>
      <c r="AV113" s="35" t="str">
        <f>IFERROR(INDEX('G-7 Rivers Data'!$AZ$3:$AZ$7,MATCH(N113,'G-7 Rivers Data'!$AY$3:$AY$7,0)),"")</f>
        <v/>
      </c>
    </row>
    <row r="114" spans="2:48" ht="13.8" x14ac:dyDescent="0.25">
      <c r="B114" s="259" t="str">
        <f>'C-1 Site River Baseline'!AN112</f>
        <v/>
      </c>
      <c r="C114" s="175" t="str">
        <f>IF(B114="","",VLOOKUP($B114,'C-1 Site River Baseline'!$C$9:$R$257,2,FALSE))</f>
        <v/>
      </c>
      <c r="D114" s="175" t="str">
        <f>IF(C114="","",VLOOKUP($B114,'C-1 Site River Baseline'!$C$9:$R$257,3,FALSE))</f>
        <v/>
      </c>
      <c r="E114" s="175" t="str">
        <f>IF(D114="","",VLOOKUP($B114,'C-1 Site River Baseline'!$C$9:$R$257,4,FALSE))</f>
        <v/>
      </c>
      <c r="F114" s="175" t="str">
        <f>IF(E114="","",VLOOKUP($B114,'C-1 Site River Baseline'!$C$9:$R$257,5,FALSE))</f>
        <v/>
      </c>
      <c r="G114" s="175" t="str">
        <f>IF(F114="","",VLOOKUP($B114,'C-1 Site River Baseline'!$C$9:$R$257,6,FALSE))</f>
        <v/>
      </c>
      <c r="H114" s="175" t="str">
        <f>IF(G114="","",VLOOKUP($B114,'C-1 Site River Baseline'!$C$9:$R$257,7,FALSE))</f>
        <v/>
      </c>
      <c r="I114" s="175" t="str">
        <f>IF(H114="","",VLOOKUP($B114,'C-1 Site River Baseline'!$C$9:$R$257,8,FALSE))</f>
        <v/>
      </c>
      <c r="J114" s="175" t="str">
        <f>IF(I114="","",VLOOKUP($B114,'C-1 Site River Baseline'!$C$9:$R$257,9,FALSE))</f>
        <v/>
      </c>
      <c r="K114" s="175" t="str">
        <f>IF(J114="","",VLOOKUP($B114,'C-1 Site River Baseline'!$C$9:$R$257,10,FALSE))</f>
        <v/>
      </c>
      <c r="L114" s="175" t="str">
        <f>IF(B114="","",VLOOKUP($B114,'C-1 Site River Baseline'!$C$9:$R$257,15,FALSE))</f>
        <v/>
      </c>
      <c r="M114" s="176" t="str">
        <f>IF(L114="","",VLOOKUP($B114,'C-1 Site River Baseline'!$C$9:$R$257,16,FALSE))</f>
        <v/>
      </c>
      <c r="N114" s="639" t="str">
        <f t="shared" si="9"/>
        <v/>
      </c>
      <c r="O114" s="239" t="str">
        <f t="shared" si="10"/>
        <v/>
      </c>
      <c r="P114" s="172" t="str">
        <f>IF(C114="","",IF(AND(LEFT(C114,55)&lt;&gt;LEFT(N114,55),O114="High - High"),"Error - Not like for like",IF(AND(F114=S114,H114&gt;U114),"Error - Can not reduce condition",IF(AND(F114=S114,H114=U114,AJ114='C-1 Site River Baseline'!N112,'C-1 Site River Baseline'!P112=AL114),"Error - No enhancement",IF(AND(C114&lt;&gt;N114,F114&lt;S114),"Lower Distinctiveness Habitat"&amp;" - "&amp;T114,G114&amp;" - "&amp;T114)))))</f>
        <v/>
      </c>
      <c r="Q114" s="660" t="str">
        <f>IF(N114="","",VLOOKUP(B114,'C-1 Site River Baseline'!$C$10:$AA$257,19,FALSE))</f>
        <v/>
      </c>
      <c r="R114" s="171" t="str">
        <f>IF(N114="","",VLOOKUP(N114,'G-7 Rivers Data'!$B$2:$G$8,2,FALSE))</f>
        <v/>
      </c>
      <c r="S114" s="172" t="str">
        <f>IFERROR(VLOOKUP(R114,'G-7 Rivers Data'!$C$4:$D$8,2,FALSE),"")</f>
        <v/>
      </c>
      <c r="T114" s="173"/>
      <c r="U114" s="172" t="str">
        <f>IFERROR(INDEX('G-7 Rivers Data'!$H$4:$L$8,MATCH(N114,'G-7 Rivers Data'!$B$4:$B$8,0),MATCH(T114,'G-7 Rivers Data'!$H$3:$L$3,0)),"")</f>
        <v/>
      </c>
      <c r="V114" s="186"/>
      <c r="W114" s="175" t="str">
        <f>IF(V114="","",IF(VLOOKUP(V114,'G-7 Rivers Data'!$AG$4:$AI$9,2,FALSE)=0,"Spatial Data Missing",VLOOKUP(V114,'G-7 Rivers Data'!$AG$4:$AI$9,2,FALSE)))</f>
        <v/>
      </c>
      <c r="X114" s="176" t="str">
        <f>IF(V114="","",IF(VLOOKUP(V114,'G-7 Rivers Data'!$AG$4:$AI$9,3,FALSE)=0,"Spatial Data Missing",VLOOKUP(V114,'G-7 Rivers Data'!$AG$4:$AI$9,3,FALSE)))</f>
        <v/>
      </c>
      <c r="Y114" s="171" t="str">
        <f>IFERROR(IF(OR(LEFT(P114,5)="Error",LEFT(O114,5)="Error"),"Check Data",IF(F114&lt;S114,'G-7 Rivers Data'!$R$3,INDEX('G-7 Rivers Data'!$U$5:$Y$9,MATCH(G114,'G-7 Rivers Data'!$T$5:$T$9,0),MATCH(T114,'G-7 Rivers Data'!$U$4:$Y$4,0)))),"")</f>
        <v/>
      </c>
      <c r="Z114" s="261"/>
      <c r="AA114" s="261"/>
      <c r="AB114" s="179" t="str">
        <f t="shared" si="11"/>
        <v/>
      </c>
      <c r="AC114" s="262" t="str">
        <f t="shared" si="12"/>
        <v/>
      </c>
      <c r="AD114" s="382" t="str">
        <f>IFERROR(IF(AC114="Check Data","Check Data",VLOOKUP(AC114,'G-4 Temporal multipliers'!$A$4:$C$37,3,FALSE)),"")</f>
        <v/>
      </c>
      <c r="AE114" s="171" t="str">
        <f>IF(N114="","",VLOOKUP(N114,'G-7 Rivers Data'!$B$4:$G$8,5,FALSE))</f>
        <v/>
      </c>
      <c r="AF114" s="179" t="str">
        <f t="shared" si="13"/>
        <v/>
      </c>
      <c r="AG114" s="269" t="str">
        <f t="shared" si="14"/>
        <v/>
      </c>
      <c r="AH114" s="172" t="str">
        <f t="shared" si="8"/>
        <v/>
      </c>
      <c r="AI114" s="173"/>
      <c r="AJ114" s="172" t="str">
        <f>IF(AI114="","",IF(VLOOKUP(AI114,'G-7 Rivers Data'!$AA$4:$AB$7,2,FALSE)=0,"Spatial Data Missing",VLOOKUP(AI114,'G-7 Rivers Data'!$AA$4:$AB$7,2,FALSE)))</f>
        <v/>
      </c>
      <c r="AK114" s="187"/>
      <c r="AL114" s="172" t="str">
        <f>IF(AK114="","",IF(VLOOKUP(AK114,'G-7 Rivers Data'!$AD$4:$AE$8,2,FALSE)=0,"Spatial Data Missing",VLOOKUP(AK114,'G-7 Rivers Data'!$AD$4:$AE$8,2,FALSE)))</f>
        <v/>
      </c>
      <c r="AM114" s="265" t="str">
        <f t="shared" si="15"/>
        <v/>
      </c>
      <c r="AN114" s="180"/>
      <c r="AO114" s="181"/>
      <c r="AV114" s="35" t="str">
        <f>IFERROR(INDEX('G-7 Rivers Data'!$AZ$3:$AZ$7,MATCH(N114,'G-7 Rivers Data'!$AY$3:$AY$7,0)),"")</f>
        <v/>
      </c>
    </row>
    <row r="115" spans="2:48" ht="13.8" x14ac:dyDescent="0.25">
      <c r="B115" s="259" t="str">
        <f>'C-1 Site River Baseline'!AN113</f>
        <v/>
      </c>
      <c r="C115" s="175" t="str">
        <f>IF(B115="","",VLOOKUP($B115,'C-1 Site River Baseline'!$C$9:$R$257,2,FALSE))</f>
        <v/>
      </c>
      <c r="D115" s="175" t="str">
        <f>IF(C115="","",VLOOKUP($B115,'C-1 Site River Baseline'!$C$9:$R$257,3,FALSE))</f>
        <v/>
      </c>
      <c r="E115" s="175" t="str">
        <f>IF(D115="","",VLOOKUP($B115,'C-1 Site River Baseline'!$C$9:$R$257,4,FALSE))</f>
        <v/>
      </c>
      <c r="F115" s="175" t="str">
        <f>IF(E115="","",VLOOKUP($B115,'C-1 Site River Baseline'!$C$9:$R$257,5,FALSE))</f>
        <v/>
      </c>
      <c r="G115" s="175" t="str">
        <f>IF(F115="","",VLOOKUP($B115,'C-1 Site River Baseline'!$C$9:$R$257,6,FALSE))</f>
        <v/>
      </c>
      <c r="H115" s="175" t="str">
        <f>IF(G115="","",VLOOKUP($B115,'C-1 Site River Baseline'!$C$9:$R$257,7,FALSE))</f>
        <v/>
      </c>
      <c r="I115" s="175" t="str">
        <f>IF(H115="","",VLOOKUP($B115,'C-1 Site River Baseline'!$C$9:$R$257,8,FALSE))</f>
        <v/>
      </c>
      <c r="J115" s="175" t="str">
        <f>IF(I115="","",VLOOKUP($B115,'C-1 Site River Baseline'!$C$9:$R$257,9,FALSE))</f>
        <v/>
      </c>
      <c r="K115" s="175" t="str">
        <f>IF(J115="","",VLOOKUP($B115,'C-1 Site River Baseline'!$C$9:$R$257,10,FALSE))</f>
        <v/>
      </c>
      <c r="L115" s="175" t="str">
        <f>IF(B115="","",VLOOKUP($B115,'C-1 Site River Baseline'!$C$9:$R$257,15,FALSE))</f>
        <v/>
      </c>
      <c r="M115" s="176" t="str">
        <f>IF(L115="","",VLOOKUP($B115,'C-1 Site River Baseline'!$C$9:$R$257,16,FALSE))</f>
        <v/>
      </c>
      <c r="N115" s="639" t="str">
        <f t="shared" si="9"/>
        <v/>
      </c>
      <c r="O115" s="239" t="str">
        <f t="shared" si="10"/>
        <v/>
      </c>
      <c r="P115" s="172" t="str">
        <f>IF(C115="","",IF(AND(LEFT(C115,55)&lt;&gt;LEFT(N115,55),O115="High - High"),"Error - Not like for like",IF(AND(F115=S115,H115&gt;U115),"Error - Can not reduce condition",IF(AND(F115=S115,H115=U115,AJ115='C-1 Site River Baseline'!N113,'C-1 Site River Baseline'!P113=AL115),"Error - No enhancement",IF(AND(C115&lt;&gt;N115,F115&lt;S115),"Lower Distinctiveness Habitat"&amp;" - "&amp;T115,G115&amp;" - "&amp;T115)))))</f>
        <v/>
      </c>
      <c r="Q115" s="660" t="str">
        <f>IF(N115="","",VLOOKUP(B115,'C-1 Site River Baseline'!$C$10:$AA$257,19,FALSE))</f>
        <v/>
      </c>
      <c r="R115" s="171" t="str">
        <f>IF(N115="","",VLOOKUP(N115,'G-7 Rivers Data'!$B$2:$G$8,2,FALSE))</f>
        <v/>
      </c>
      <c r="S115" s="172" t="str">
        <f>IFERROR(VLOOKUP(R115,'G-7 Rivers Data'!$C$4:$D$8,2,FALSE),"")</f>
        <v/>
      </c>
      <c r="T115" s="173"/>
      <c r="U115" s="172" t="str">
        <f>IFERROR(INDEX('G-7 Rivers Data'!$H$4:$L$8,MATCH(N115,'G-7 Rivers Data'!$B$4:$B$8,0),MATCH(T115,'G-7 Rivers Data'!$H$3:$L$3,0)),"")</f>
        <v/>
      </c>
      <c r="V115" s="186"/>
      <c r="W115" s="175" t="str">
        <f>IF(V115="","",IF(VLOOKUP(V115,'G-7 Rivers Data'!$AG$4:$AI$9,2,FALSE)=0,"Spatial Data Missing",VLOOKUP(V115,'G-7 Rivers Data'!$AG$4:$AI$9,2,FALSE)))</f>
        <v/>
      </c>
      <c r="X115" s="176" t="str">
        <f>IF(V115="","",IF(VLOOKUP(V115,'G-7 Rivers Data'!$AG$4:$AI$9,3,FALSE)=0,"Spatial Data Missing",VLOOKUP(V115,'G-7 Rivers Data'!$AG$4:$AI$9,3,FALSE)))</f>
        <v/>
      </c>
      <c r="Y115" s="171" t="str">
        <f>IFERROR(IF(OR(LEFT(P115,5)="Error",LEFT(O115,5)="Error"),"Check Data",IF(F115&lt;S115,'G-7 Rivers Data'!$R$3,INDEX('G-7 Rivers Data'!$U$5:$Y$9,MATCH(G115,'G-7 Rivers Data'!$T$5:$T$9,0),MATCH(T115,'G-7 Rivers Data'!$U$4:$Y$4,0)))),"")</f>
        <v/>
      </c>
      <c r="Z115" s="261"/>
      <c r="AA115" s="261"/>
      <c r="AB115" s="179" t="str">
        <f t="shared" si="11"/>
        <v/>
      </c>
      <c r="AC115" s="262" t="str">
        <f t="shared" si="12"/>
        <v/>
      </c>
      <c r="AD115" s="382" t="str">
        <f>IFERROR(IF(AC115="Check Data","Check Data",VLOOKUP(AC115,'G-4 Temporal multipliers'!$A$4:$C$37,3,FALSE)),"")</f>
        <v/>
      </c>
      <c r="AE115" s="171" t="str">
        <f>IF(N115="","",VLOOKUP(N115,'G-7 Rivers Data'!$B$4:$G$8,5,FALSE))</f>
        <v/>
      </c>
      <c r="AF115" s="179" t="str">
        <f t="shared" si="13"/>
        <v/>
      </c>
      <c r="AG115" s="269" t="str">
        <f t="shared" si="14"/>
        <v/>
      </c>
      <c r="AH115" s="172" t="str">
        <f t="shared" si="8"/>
        <v/>
      </c>
      <c r="AI115" s="173"/>
      <c r="AJ115" s="172" t="str">
        <f>IF(AI115="","",IF(VLOOKUP(AI115,'G-7 Rivers Data'!$AA$4:$AB$7,2,FALSE)=0,"Spatial Data Missing",VLOOKUP(AI115,'G-7 Rivers Data'!$AA$4:$AB$7,2,FALSE)))</f>
        <v/>
      </c>
      <c r="AK115" s="187"/>
      <c r="AL115" s="172" t="str">
        <f>IF(AK115="","",IF(VLOOKUP(AK115,'G-7 Rivers Data'!$AD$4:$AE$8,2,FALSE)=0,"Spatial Data Missing",VLOOKUP(AK115,'G-7 Rivers Data'!$AD$4:$AE$8,2,FALSE)))</f>
        <v/>
      </c>
      <c r="AM115" s="265" t="str">
        <f t="shared" si="15"/>
        <v/>
      </c>
      <c r="AN115" s="180"/>
      <c r="AO115" s="181"/>
      <c r="AV115" s="35" t="str">
        <f>IFERROR(INDEX('G-7 Rivers Data'!$AZ$3:$AZ$7,MATCH(N115,'G-7 Rivers Data'!$AY$3:$AY$7,0)),"")</f>
        <v/>
      </c>
    </row>
    <row r="116" spans="2:48" ht="13.8" x14ac:dyDescent="0.25">
      <c r="B116" s="259" t="str">
        <f>'C-1 Site River Baseline'!AN114</f>
        <v/>
      </c>
      <c r="C116" s="175" t="str">
        <f>IF(B116="","",VLOOKUP($B116,'C-1 Site River Baseline'!$C$9:$R$257,2,FALSE))</f>
        <v/>
      </c>
      <c r="D116" s="175" t="str">
        <f>IF(C116="","",VLOOKUP($B116,'C-1 Site River Baseline'!$C$9:$R$257,3,FALSE))</f>
        <v/>
      </c>
      <c r="E116" s="175" t="str">
        <f>IF(D116="","",VLOOKUP($B116,'C-1 Site River Baseline'!$C$9:$R$257,4,FALSE))</f>
        <v/>
      </c>
      <c r="F116" s="175" t="str">
        <f>IF(E116="","",VLOOKUP($B116,'C-1 Site River Baseline'!$C$9:$R$257,5,FALSE))</f>
        <v/>
      </c>
      <c r="G116" s="175" t="str">
        <f>IF(F116="","",VLOOKUP($B116,'C-1 Site River Baseline'!$C$9:$R$257,6,FALSE))</f>
        <v/>
      </c>
      <c r="H116" s="175" t="str">
        <f>IF(G116="","",VLOOKUP($B116,'C-1 Site River Baseline'!$C$9:$R$257,7,FALSE))</f>
        <v/>
      </c>
      <c r="I116" s="175" t="str">
        <f>IF(H116="","",VLOOKUP($B116,'C-1 Site River Baseline'!$C$9:$R$257,8,FALSE))</f>
        <v/>
      </c>
      <c r="J116" s="175" t="str">
        <f>IF(I116="","",VLOOKUP($B116,'C-1 Site River Baseline'!$C$9:$R$257,9,FALSE))</f>
        <v/>
      </c>
      <c r="K116" s="175" t="str">
        <f>IF(J116="","",VLOOKUP($B116,'C-1 Site River Baseline'!$C$9:$R$257,10,FALSE))</f>
        <v/>
      </c>
      <c r="L116" s="175" t="str">
        <f>IF(B116="","",VLOOKUP($B116,'C-1 Site River Baseline'!$C$9:$R$257,15,FALSE))</f>
        <v/>
      </c>
      <c r="M116" s="176" t="str">
        <f>IF(L116="","",VLOOKUP($B116,'C-1 Site River Baseline'!$C$9:$R$257,16,FALSE))</f>
        <v/>
      </c>
      <c r="N116" s="639" t="str">
        <f t="shared" si="9"/>
        <v/>
      </c>
      <c r="O116" s="239" t="str">
        <f t="shared" si="10"/>
        <v/>
      </c>
      <c r="P116" s="172" t="str">
        <f>IF(C116="","",IF(AND(LEFT(C116,55)&lt;&gt;LEFT(N116,55),O116="High - High"),"Error - Not like for like",IF(AND(F116=S116,H116&gt;U116),"Error - Can not reduce condition",IF(AND(F116=S116,H116=U116,AJ116='C-1 Site River Baseline'!N114,'C-1 Site River Baseline'!P114=AL116),"Error - No enhancement",IF(AND(C116&lt;&gt;N116,F116&lt;S116),"Lower Distinctiveness Habitat"&amp;" - "&amp;T116,G116&amp;" - "&amp;T116)))))</f>
        <v/>
      </c>
      <c r="Q116" s="660" t="str">
        <f>IF(N116="","",VLOOKUP(B116,'C-1 Site River Baseline'!$C$10:$AA$257,19,FALSE))</f>
        <v/>
      </c>
      <c r="R116" s="171" t="str">
        <f>IF(N116="","",VLOOKUP(N116,'G-7 Rivers Data'!$B$2:$G$8,2,FALSE))</f>
        <v/>
      </c>
      <c r="S116" s="172" t="str">
        <f>IFERROR(VLOOKUP(R116,'G-7 Rivers Data'!$C$4:$D$8,2,FALSE),"")</f>
        <v/>
      </c>
      <c r="T116" s="173"/>
      <c r="U116" s="172" t="str">
        <f>IFERROR(INDEX('G-7 Rivers Data'!$H$4:$L$8,MATCH(N116,'G-7 Rivers Data'!$B$4:$B$8,0),MATCH(T116,'G-7 Rivers Data'!$H$3:$L$3,0)),"")</f>
        <v/>
      </c>
      <c r="V116" s="186"/>
      <c r="W116" s="175" t="str">
        <f>IF(V116="","",IF(VLOOKUP(V116,'G-7 Rivers Data'!$AG$4:$AI$9,2,FALSE)=0,"Spatial Data Missing",VLOOKUP(V116,'G-7 Rivers Data'!$AG$4:$AI$9,2,FALSE)))</f>
        <v/>
      </c>
      <c r="X116" s="176" t="str">
        <f>IF(V116="","",IF(VLOOKUP(V116,'G-7 Rivers Data'!$AG$4:$AI$9,3,FALSE)=0,"Spatial Data Missing",VLOOKUP(V116,'G-7 Rivers Data'!$AG$4:$AI$9,3,FALSE)))</f>
        <v/>
      </c>
      <c r="Y116" s="171" t="str">
        <f>IFERROR(IF(OR(LEFT(P116,5)="Error",LEFT(O116,5)="Error"),"Check Data",IF(F116&lt;S116,'G-7 Rivers Data'!$R$3,INDEX('G-7 Rivers Data'!$U$5:$Y$9,MATCH(G116,'G-7 Rivers Data'!$T$5:$T$9,0),MATCH(T116,'G-7 Rivers Data'!$U$4:$Y$4,0)))),"")</f>
        <v/>
      </c>
      <c r="Z116" s="261"/>
      <c r="AA116" s="261"/>
      <c r="AB116" s="179" t="str">
        <f t="shared" si="11"/>
        <v/>
      </c>
      <c r="AC116" s="262" t="str">
        <f t="shared" si="12"/>
        <v/>
      </c>
      <c r="AD116" s="382" t="str">
        <f>IFERROR(IF(AC116="Check Data","Check Data",VLOOKUP(AC116,'G-4 Temporal multipliers'!$A$4:$C$37,3,FALSE)),"")</f>
        <v/>
      </c>
      <c r="AE116" s="171" t="str">
        <f>IF(N116="","",VLOOKUP(N116,'G-7 Rivers Data'!$B$4:$G$8,5,FALSE))</f>
        <v/>
      </c>
      <c r="AF116" s="179" t="str">
        <f t="shared" si="13"/>
        <v/>
      </c>
      <c r="AG116" s="269" t="str">
        <f t="shared" si="14"/>
        <v/>
      </c>
      <c r="AH116" s="172" t="str">
        <f t="shared" si="8"/>
        <v/>
      </c>
      <c r="AI116" s="173"/>
      <c r="AJ116" s="172" t="str">
        <f>IF(AI116="","",IF(VLOOKUP(AI116,'G-7 Rivers Data'!$AA$4:$AB$7,2,FALSE)=0,"Spatial Data Missing",VLOOKUP(AI116,'G-7 Rivers Data'!$AA$4:$AB$7,2,FALSE)))</f>
        <v/>
      </c>
      <c r="AK116" s="187"/>
      <c r="AL116" s="172" t="str">
        <f>IF(AK116="","",IF(VLOOKUP(AK116,'G-7 Rivers Data'!$AD$4:$AE$8,2,FALSE)=0,"Spatial Data Missing",VLOOKUP(AK116,'G-7 Rivers Data'!$AD$4:$AE$8,2,FALSE)))</f>
        <v/>
      </c>
      <c r="AM116" s="265" t="str">
        <f t="shared" si="15"/>
        <v/>
      </c>
      <c r="AN116" s="180"/>
      <c r="AO116" s="181"/>
      <c r="AV116" s="35" t="str">
        <f>IFERROR(INDEX('G-7 Rivers Data'!$AZ$3:$AZ$7,MATCH(N116,'G-7 Rivers Data'!$AY$3:$AY$7,0)),"")</f>
        <v/>
      </c>
    </row>
    <row r="117" spans="2:48" ht="13.8" x14ac:dyDescent="0.25">
      <c r="B117" s="259" t="str">
        <f>'C-1 Site River Baseline'!AN115</f>
        <v/>
      </c>
      <c r="C117" s="175" t="str">
        <f>IF(B117="","",VLOOKUP($B117,'C-1 Site River Baseline'!$C$9:$R$257,2,FALSE))</f>
        <v/>
      </c>
      <c r="D117" s="175" t="str">
        <f>IF(C117="","",VLOOKUP($B117,'C-1 Site River Baseline'!$C$9:$R$257,3,FALSE))</f>
        <v/>
      </c>
      <c r="E117" s="175" t="str">
        <f>IF(D117="","",VLOOKUP($B117,'C-1 Site River Baseline'!$C$9:$R$257,4,FALSE))</f>
        <v/>
      </c>
      <c r="F117" s="175" t="str">
        <f>IF(E117="","",VLOOKUP($B117,'C-1 Site River Baseline'!$C$9:$R$257,5,FALSE))</f>
        <v/>
      </c>
      <c r="G117" s="175" t="str">
        <f>IF(F117="","",VLOOKUP($B117,'C-1 Site River Baseline'!$C$9:$R$257,6,FALSE))</f>
        <v/>
      </c>
      <c r="H117" s="175" t="str">
        <f>IF(G117="","",VLOOKUP($B117,'C-1 Site River Baseline'!$C$9:$R$257,7,FALSE))</f>
        <v/>
      </c>
      <c r="I117" s="175" t="str">
        <f>IF(H117="","",VLOOKUP($B117,'C-1 Site River Baseline'!$C$9:$R$257,8,FALSE))</f>
        <v/>
      </c>
      <c r="J117" s="175" t="str">
        <f>IF(I117="","",VLOOKUP($B117,'C-1 Site River Baseline'!$C$9:$R$257,9,FALSE))</f>
        <v/>
      </c>
      <c r="K117" s="175" t="str">
        <f>IF(J117="","",VLOOKUP($B117,'C-1 Site River Baseline'!$C$9:$R$257,10,FALSE))</f>
        <v/>
      </c>
      <c r="L117" s="175" t="str">
        <f>IF(B117="","",VLOOKUP($B117,'C-1 Site River Baseline'!$C$9:$R$257,15,FALSE))</f>
        <v/>
      </c>
      <c r="M117" s="176" t="str">
        <f>IF(L117="","",VLOOKUP($B117,'C-1 Site River Baseline'!$C$9:$R$257,16,FALSE))</f>
        <v/>
      </c>
      <c r="N117" s="639" t="str">
        <f t="shared" si="9"/>
        <v/>
      </c>
      <c r="O117" s="239" t="str">
        <f t="shared" si="10"/>
        <v/>
      </c>
      <c r="P117" s="172" t="str">
        <f>IF(C117="","",IF(AND(LEFT(C117,55)&lt;&gt;LEFT(N117,55),O117="High - High"),"Error - Not like for like",IF(AND(F117=S117,H117&gt;U117),"Error - Can not reduce condition",IF(AND(F117=S117,H117=U117,AJ117='C-1 Site River Baseline'!N115,'C-1 Site River Baseline'!P115=AL117),"Error - No enhancement",IF(AND(C117&lt;&gt;N117,F117&lt;S117),"Lower Distinctiveness Habitat"&amp;" - "&amp;T117,G117&amp;" - "&amp;T117)))))</f>
        <v/>
      </c>
      <c r="Q117" s="660" t="str">
        <f>IF(N117="","",VLOOKUP(B117,'C-1 Site River Baseline'!$C$10:$AA$257,19,FALSE))</f>
        <v/>
      </c>
      <c r="R117" s="171" t="str">
        <f>IF(N117="","",VLOOKUP(N117,'G-7 Rivers Data'!$B$2:$G$8,2,FALSE))</f>
        <v/>
      </c>
      <c r="S117" s="172" t="str">
        <f>IFERROR(VLOOKUP(R117,'G-7 Rivers Data'!$C$4:$D$8,2,FALSE),"")</f>
        <v/>
      </c>
      <c r="T117" s="173"/>
      <c r="U117" s="172" t="str">
        <f>IFERROR(INDEX('G-7 Rivers Data'!$H$4:$L$8,MATCH(N117,'G-7 Rivers Data'!$B$4:$B$8,0),MATCH(T117,'G-7 Rivers Data'!$H$3:$L$3,0)),"")</f>
        <v/>
      </c>
      <c r="V117" s="186"/>
      <c r="W117" s="175" t="str">
        <f>IF(V117="","",IF(VLOOKUP(V117,'G-7 Rivers Data'!$AG$4:$AI$9,2,FALSE)=0,"Spatial Data Missing",VLOOKUP(V117,'G-7 Rivers Data'!$AG$4:$AI$9,2,FALSE)))</f>
        <v/>
      </c>
      <c r="X117" s="176" t="str">
        <f>IF(V117="","",IF(VLOOKUP(V117,'G-7 Rivers Data'!$AG$4:$AI$9,3,FALSE)=0,"Spatial Data Missing",VLOOKUP(V117,'G-7 Rivers Data'!$AG$4:$AI$9,3,FALSE)))</f>
        <v/>
      </c>
      <c r="Y117" s="171" t="str">
        <f>IFERROR(IF(OR(LEFT(P117,5)="Error",LEFT(O117,5)="Error"),"Check Data",IF(F117&lt;S117,'G-7 Rivers Data'!$R$3,INDEX('G-7 Rivers Data'!$U$5:$Y$9,MATCH(G117,'G-7 Rivers Data'!$T$5:$T$9,0),MATCH(T117,'G-7 Rivers Data'!$U$4:$Y$4,0)))),"")</f>
        <v/>
      </c>
      <c r="Z117" s="261"/>
      <c r="AA117" s="261"/>
      <c r="AB117" s="179" t="str">
        <f t="shared" si="11"/>
        <v/>
      </c>
      <c r="AC117" s="262" t="str">
        <f t="shared" si="12"/>
        <v/>
      </c>
      <c r="AD117" s="382" t="str">
        <f>IFERROR(IF(AC117="Check Data","Check Data",VLOOKUP(AC117,'G-4 Temporal multipliers'!$A$4:$C$37,3,FALSE)),"")</f>
        <v/>
      </c>
      <c r="AE117" s="171" t="str">
        <f>IF(N117="","",VLOOKUP(N117,'G-7 Rivers Data'!$B$4:$G$8,5,FALSE))</f>
        <v/>
      </c>
      <c r="AF117" s="179" t="str">
        <f t="shared" si="13"/>
        <v/>
      </c>
      <c r="AG117" s="269" t="str">
        <f t="shared" si="14"/>
        <v/>
      </c>
      <c r="AH117" s="172" t="str">
        <f t="shared" si="8"/>
        <v/>
      </c>
      <c r="AI117" s="173"/>
      <c r="AJ117" s="172" t="str">
        <f>IF(AI117="","",IF(VLOOKUP(AI117,'G-7 Rivers Data'!$AA$4:$AB$7,2,FALSE)=0,"Spatial Data Missing",VLOOKUP(AI117,'G-7 Rivers Data'!$AA$4:$AB$7,2,FALSE)))</f>
        <v/>
      </c>
      <c r="AK117" s="187"/>
      <c r="AL117" s="172" t="str">
        <f>IF(AK117="","",IF(VLOOKUP(AK117,'G-7 Rivers Data'!$AD$4:$AE$8,2,FALSE)=0,"Spatial Data Missing",VLOOKUP(AK117,'G-7 Rivers Data'!$AD$4:$AE$8,2,FALSE)))</f>
        <v/>
      </c>
      <c r="AM117" s="265" t="str">
        <f t="shared" si="15"/>
        <v/>
      </c>
      <c r="AN117" s="180"/>
      <c r="AO117" s="181"/>
      <c r="AV117" s="35" t="str">
        <f>IFERROR(INDEX('G-7 Rivers Data'!$AZ$3:$AZ$7,MATCH(N117,'G-7 Rivers Data'!$AY$3:$AY$7,0)),"")</f>
        <v/>
      </c>
    </row>
    <row r="118" spans="2:48" ht="13.8" x14ac:dyDescent="0.25">
      <c r="B118" s="259" t="str">
        <f>'C-1 Site River Baseline'!AN116</f>
        <v/>
      </c>
      <c r="C118" s="175" t="str">
        <f>IF(B118="","",VLOOKUP($B118,'C-1 Site River Baseline'!$C$9:$R$257,2,FALSE))</f>
        <v/>
      </c>
      <c r="D118" s="175" t="str">
        <f>IF(C118="","",VLOOKUP($B118,'C-1 Site River Baseline'!$C$9:$R$257,3,FALSE))</f>
        <v/>
      </c>
      <c r="E118" s="175" t="str">
        <f>IF(D118="","",VLOOKUP($B118,'C-1 Site River Baseline'!$C$9:$R$257,4,FALSE))</f>
        <v/>
      </c>
      <c r="F118" s="175" t="str">
        <f>IF(E118="","",VLOOKUP($B118,'C-1 Site River Baseline'!$C$9:$R$257,5,FALSE))</f>
        <v/>
      </c>
      <c r="G118" s="175" t="str">
        <f>IF(F118="","",VLOOKUP($B118,'C-1 Site River Baseline'!$C$9:$R$257,6,FALSE))</f>
        <v/>
      </c>
      <c r="H118" s="175" t="str">
        <f>IF(G118="","",VLOOKUP($B118,'C-1 Site River Baseline'!$C$9:$R$257,7,FALSE))</f>
        <v/>
      </c>
      <c r="I118" s="175" t="str">
        <f>IF(H118="","",VLOOKUP($B118,'C-1 Site River Baseline'!$C$9:$R$257,8,FALSE))</f>
        <v/>
      </c>
      <c r="J118" s="175" t="str">
        <f>IF(I118="","",VLOOKUP($B118,'C-1 Site River Baseline'!$C$9:$R$257,9,FALSE))</f>
        <v/>
      </c>
      <c r="K118" s="175" t="str">
        <f>IF(J118="","",VLOOKUP($B118,'C-1 Site River Baseline'!$C$9:$R$257,10,FALSE))</f>
        <v/>
      </c>
      <c r="L118" s="175" t="str">
        <f>IF(B118="","",VLOOKUP($B118,'C-1 Site River Baseline'!$C$9:$R$257,15,FALSE))</f>
        <v/>
      </c>
      <c r="M118" s="176" t="str">
        <f>IF(L118="","",VLOOKUP($B118,'C-1 Site River Baseline'!$C$9:$R$257,16,FALSE))</f>
        <v/>
      </c>
      <c r="N118" s="639" t="str">
        <f t="shared" si="9"/>
        <v/>
      </c>
      <c r="O118" s="239" t="str">
        <f t="shared" si="10"/>
        <v/>
      </c>
      <c r="P118" s="172" t="str">
        <f>IF(C118="","",IF(AND(LEFT(C118,55)&lt;&gt;LEFT(N118,55),O118="High - High"),"Error - Not like for like",IF(AND(F118=S118,H118&gt;U118),"Error - Can not reduce condition",IF(AND(F118=S118,H118=U118,AJ118='C-1 Site River Baseline'!N116,'C-1 Site River Baseline'!P116=AL118),"Error - No enhancement",IF(AND(C118&lt;&gt;N118,F118&lt;S118),"Lower Distinctiveness Habitat"&amp;" - "&amp;T118,G118&amp;" - "&amp;T118)))))</f>
        <v/>
      </c>
      <c r="Q118" s="660" t="str">
        <f>IF(N118="","",VLOOKUP(B118,'C-1 Site River Baseline'!$C$10:$AA$257,19,FALSE))</f>
        <v/>
      </c>
      <c r="R118" s="171" t="str">
        <f>IF(N118="","",VLOOKUP(N118,'G-7 Rivers Data'!$B$2:$G$8,2,FALSE))</f>
        <v/>
      </c>
      <c r="S118" s="172" t="str">
        <f>IFERROR(VLOOKUP(R118,'G-7 Rivers Data'!$C$4:$D$8,2,FALSE),"")</f>
        <v/>
      </c>
      <c r="T118" s="173"/>
      <c r="U118" s="172" t="str">
        <f>IFERROR(INDEX('G-7 Rivers Data'!$H$4:$L$8,MATCH(N118,'G-7 Rivers Data'!$B$4:$B$8,0),MATCH(T118,'G-7 Rivers Data'!$H$3:$L$3,0)),"")</f>
        <v/>
      </c>
      <c r="V118" s="186"/>
      <c r="W118" s="175" t="str">
        <f>IF(V118="","",IF(VLOOKUP(V118,'G-7 Rivers Data'!$AG$4:$AI$9,2,FALSE)=0,"Spatial Data Missing",VLOOKUP(V118,'G-7 Rivers Data'!$AG$4:$AI$9,2,FALSE)))</f>
        <v/>
      </c>
      <c r="X118" s="176" t="str">
        <f>IF(V118="","",IF(VLOOKUP(V118,'G-7 Rivers Data'!$AG$4:$AI$9,3,FALSE)=0,"Spatial Data Missing",VLOOKUP(V118,'G-7 Rivers Data'!$AG$4:$AI$9,3,FALSE)))</f>
        <v/>
      </c>
      <c r="Y118" s="171" t="str">
        <f>IFERROR(IF(OR(LEFT(P118,5)="Error",LEFT(O118,5)="Error"),"Check Data",IF(F118&lt;S118,'G-7 Rivers Data'!$R$3,INDEX('G-7 Rivers Data'!$U$5:$Y$9,MATCH(G118,'G-7 Rivers Data'!$T$5:$T$9,0),MATCH(T118,'G-7 Rivers Data'!$U$4:$Y$4,0)))),"")</f>
        <v/>
      </c>
      <c r="Z118" s="261"/>
      <c r="AA118" s="261"/>
      <c r="AB118" s="179" t="str">
        <f t="shared" si="11"/>
        <v/>
      </c>
      <c r="AC118" s="262" t="str">
        <f t="shared" si="12"/>
        <v/>
      </c>
      <c r="AD118" s="382" t="str">
        <f>IFERROR(IF(AC118="Check Data","Check Data",VLOOKUP(AC118,'G-4 Temporal multipliers'!$A$4:$C$37,3,FALSE)),"")</f>
        <v/>
      </c>
      <c r="AE118" s="171" t="str">
        <f>IF(N118="","",VLOOKUP(N118,'G-7 Rivers Data'!$B$4:$G$8,5,FALSE))</f>
        <v/>
      </c>
      <c r="AF118" s="179" t="str">
        <f t="shared" si="13"/>
        <v/>
      </c>
      <c r="AG118" s="269" t="str">
        <f t="shared" si="14"/>
        <v/>
      </c>
      <c r="AH118" s="172" t="str">
        <f t="shared" si="8"/>
        <v/>
      </c>
      <c r="AI118" s="173"/>
      <c r="AJ118" s="172" t="str">
        <f>IF(AI118="","",IF(VLOOKUP(AI118,'G-7 Rivers Data'!$AA$4:$AB$7,2,FALSE)=0,"Spatial Data Missing",VLOOKUP(AI118,'G-7 Rivers Data'!$AA$4:$AB$7,2,FALSE)))</f>
        <v/>
      </c>
      <c r="AK118" s="187"/>
      <c r="AL118" s="172" t="str">
        <f>IF(AK118="","",IF(VLOOKUP(AK118,'G-7 Rivers Data'!$AD$4:$AE$8,2,FALSE)=0,"Spatial Data Missing",VLOOKUP(AK118,'G-7 Rivers Data'!$AD$4:$AE$8,2,FALSE)))</f>
        <v/>
      </c>
      <c r="AM118" s="265" t="str">
        <f t="shared" si="15"/>
        <v/>
      </c>
      <c r="AN118" s="180"/>
      <c r="AO118" s="181"/>
      <c r="AV118" s="35" t="str">
        <f>IFERROR(INDEX('G-7 Rivers Data'!$AZ$3:$AZ$7,MATCH(N118,'G-7 Rivers Data'!$AY$3:$AY$7,0)),"")</f>
        <v/>
      </c>
    </row>
    <row r="119" spans="2:48" ht="13.8" x14ac:dyDescent="0.25">
      <c r="B119" s="259" t="str">
        <f>'C-1 Site River Baseline'!AN117</f>
        <v/>
      </c>
      <c r="C119" s="175" t="str">
        <f>IF(B119="","",VLOOKUP($B119,'C-1 Site River Baseline'!$C$9:$R$257,2,FALSE))</f>
        <v/>
      </c>
      <c r="D119" s="175" t="str">
        <f>IF(C119="","",VLOOKUP($B119,'C-1 Site River Baseline'!$C$9:$R$257,3,FALSE))</f>
        <v/>
      </c>
      <c r="E119" s="175" t="str">
        <f>IF(D119="","",VLOOKUP($B119,'C-1 Site River Baseline'!$C$9:$R$257,4,FALSE))</f>
        <v/>
      </c>
      <c r="F119" s="175" t="str">
        <f>IF(E119="","",VLOOKUP($B119,'C-1 Site River Baseline'!$C$9:$R$257,5,FALSE))</f>
        <v/>
      </c>
      <c r="G119" s="175" t="str">
        <f>IF(F119="","",VLOOKUP($B119,'C-1 Site River Baseline'!$C$9:$R$257,6,FALSE))</f>
        <v/>
      </c>
      <c r="H119" s="175" t="str">
        <f>IF(G119="","",VLOOKUP($B119,'C-1 Site River Baseline'!$C$9:$R$257,7,FALSE))</f>
        <v/>
      </c>
      <c r="I119" s="175" t="str">
        <f>IF(H119="","",VLOOKUP($B119,'C-1 Site River Baseline'!$C$9:$R$257,8,FALSE))</f>
        <v/>
      </c>
      <c r="J119" s="175" t="str">
        <f>IF(I119="","",VLOOKUP($B119,'C-1 Site River Baseline'!$C$9:$R$257,9,FALSE))</f>
        <v/>
      </c>
      <c r="K119" s="175" t="str">
        <f>IF(J119="","",VLOOKUP($B119,'C-1 Site River Baseline'!$C$9:$R$257,10,FALSE))</f>
        <v/>
      </c>
      <c r="L119" s="175" t="str">
        <f>IF(B119="","",VLOOKUP($B119,'C-1 Site River Baseline'!$C$9:$R$257,15,FALSE))</f>
        <v/>
      </c>
      <c r="M119" s="176" t="str">
        <f>IF(L119="","",VLOOKUP($B119,'C-1 Site River Baseline'!$C$9:$R$257,16,FALSE))</f>
        <v/>
      </c>
      <c r="N119" s="639" t="str">
        <f t="shared" si="9"/>
        <v/>
      </c>
      <c r="O119" s="239" t="str">
        <f t="shared" si="10"/>
        <v/>
      </c>
      <c r="P119" s="172" t="str">
        <f>IF(C119="","",IF(AND(LEFT(C119,55)&lt;&gt;LEFT(N119,55),O119="High - High"),"Error - Not like for like",IF(AND(F119=S119,H119&gt;U119),"Error - Can not reduce condition",IF(AND(F119=S119,H119=U119,AJ119='C-1 Site River Baseline'!N117,'C-1 Site River Baseline'!P117=AL119),"Error - No enhancement",IF(AND(C119&lt;&gt;N119,F119&lt;S119),"Lower Distinctiveness Habitat"&amp;" - "&amp;T119,G119&amp;" - "&amp;T119)))))</f>
        <v/>
      </c>
      <c r="Q119" s="660" t="str">
        <f>IF(N119="","",VLOOKUP(B119,'C-1 Site River Baseline'!$C$10:$AA$257,19,FALSE))</f>
        <v/>
      </c>
      <c r="R119" s="171" t="str">
        <f>IF(N119="","",VLOOKUP(N119,'G-7 Rivers Data'!$B$2:$G$8,2,FALSE))</f>
        <v/>
      </c>
      <c r="S119" s="172" t="str">
        <f>IFERROR(VLOOKUP(R119,'G-7 Rivers Data'!$C$4:$D$8,2,FALSE),"")</f>
        <v/>
      </c>
      <c r="T119" s="173"/>
      <c r="U119" s="172" t="str">
        <f>IFERROR(INDEX('G-7 Rivers Data'!$H$4:$L$8,MATCH(N119,'G-7 Rivers Data'!$B$4:$B$8,0),MATCH(T119,'G-7 Rivers Data'!$H$3:$L$3,0)),"")</f>
        <v/>
      </c>
      <c r="V119" s="186"/>
      <c r="W119" s="175" t="str">
        <f>IF(V119="","",IF(VLOOKUP(V119,'G-7 Rivers Data'!$AG$4:$AI$9,2,FALSE)=0,"Spatial Data Missing",VLOOKUP(V119,'G-7 Rivers Data'!$AG$4:$AI$9,2,FALSE)))</f>
        <v/>
      </c>
      <c r="X119" s="176" t="str">
        <f>IF(V119="","",IF(VLOOKUP(V119,'G-7 Rivers Data'!$AG$4:$AI$9,3,FALSE)=0,"Spatial Data Missing",VLOOKUP(V119,'G-7 Rivers Data'!$AG$4:$AI$9,3,FALSE)))</f>
        <v/>
      </c>
      <c r="Y119" s="171" t="str">
        <f>IFERROR(IF(OR(LEFT(P119,5)="Error",LEFT(O119,5)="Error"),"Check Data",IF(F119&lt;S119,'G-7 Rivers Data'!$R$3,INDEX('G-7 Rivers Data'!$U$5:$Y$9,MATCH(G119,'G-7 Rivers Data'!$T$5:$T$9,0),MATCH(T119,'G-7 Rivers Data'!$U$4:$Y$4,0)))),"")</f>
        <v/>
      </c>
      <c r="Z119" s="261"/>
      <c r="AA119" s="261"/>
      <c r="AB119" s="179" t="str">
        <f t="shared" si="11"/>
        <v/>
      </c>
      <c r="AC119" s="262" t="str">
        <f t="shared" si="12"/>
        <v/>
      </c>
      <c r="AD119" s="382" t="str">
        <f>IFERROR(IF(AC119="Check Data","Check Data",VLOOKUP(AC119,'G-4 Temporal multipliers'!$A$4:$C$37,3,FALSE)),"")</f>
        <v/>
      </c>
      <c r="AE119" s="171" t="str">
        <f>IF(N119="","",VLOOKUP(N119,'G-7 Rivers Data'!$B$4:$G$8,5,FALSE))</f>
        <v/>
      </c>
      <c r="AF119" s="179" t="str">
        <f t="shared" si="13"/>
        <v/>
      </c>
      <c r="AG119" s="269" t="str">
        <f t="shared" si="14"/>
        <v/>
      </c>
      <c r="AH119" s="172" t="str">
        <f t="shared" si="8"/>
        <v/>
      </c>
      <c r="AI119" s="173"/>
      <c r="AJ119" s="172" t="str">
        <f>IF(AI119="","",IF(VLOOKUP(AI119,'G-7 Rivers Data'!$AA$4:$AB$7,2,FALSE)=0,"Spatial Data Missing",VLOOKUP(AI119,'G-7 Rivers Data'!$AA$4:$AB$7,2,FALSE)))</f>
        <v/>
      </c>
      <c r="AK119" s="187"/>
      <c r="AL119" s="172" t="str">
        <f>IF(AK119="","",IF(VLOOKUP(AK119,'G-7 Rivers Data'!$AD$4:$AE$8,2,FALSE)=0,"Spatial Data Missing",VLOOKUP(AK119,'G-7 Rivers Data'!$AD$4:$AE$8,2,FALSE)))</f>
        <v/>
      </c>
      <c r="AM119" s="265" t="str">
        <f t="shared" si="15"/>
        <v/>
      </c>
      <c r="AN119" s="180"/>
      <c r="AO119" s="181"/>
      <c r="AV119" s="35" t="str">
        <f>IFERROR(INDEX('G-7 Rivers Data'!$AZ$3:$AZ$7,MATCH(N119,'G-7 Rivers Data'!$AY$3:$AY$7,0)),"")</f>
        <v/>
      </c>
    </row>
    <row r="120" spans="2:48" ht="13.8" x14ac:dyDescent="0.25">
      <c r="B120" s="259" t="str">
        <f>'C-1 Site River Baseline'!AN118</f>
        <v/>
      </c>
      <c r="C120" s="175" t="str">
        <f>IF(B120="","",VLOOKUP($B120,'C-1 Site River Baseline'!$C$9:$R$257,2,FALSE))</f>
        <v/>
      </c>
      <c r="D120" s="175" t="str">
        <f>IF(C120="","",VLOOKUP($B120,'C-1 Site River Baseline'!$C$9:$R$257,3,FALSE))</f>
        <v/>
      </c>
      <c r="E120" s="175" t="str">
        <f>IF(D120="","",VLOOKUP($B120,'C-1 Site River Baseline'!$C$9:$R$257,4,FALSE))</f>
        <v/>
      </c>
      <c r="F120" s="175" t="str">
        <f>IF(E120="","",VLOOKUP($B120,'C-1 Site River Baseline'!$C$9:$R$257,5,FALSE))</f>
        <v/>
      </c>
      <c r="G120" s="175" t="str">
        <f>IF(F120="","",VLOOKUP($B120,'C-1 Site River Baseline'!$C$9:$R$257,6,FALSE))</f>
        <v/>
      </c>
      <c r="H120" s="175" t="str">
        <f>IF(G120="","",VLOOKUP($B120,'C-1 Site River Baseline'!$C$9:$R$257,7,FALSE))</f>
        <v/>
      </c>
      <c r="I120" s="175" t="str">
        <f>IF(H120="","",VLOOKUP($B120,'C-1 Site River Baseline'!$C$9:$R$257,8,FALSE))</f>
        <v/>
      </c>
      <c r="J120" s="175" t="str">
        <f>IF(I120="","",VLOOKUP($B120,'C-1 Site River Baseline'!$C$9:$R$257,9,FALSE))</f>
        <v/>
      </c>
      <c r="K120" s="175" t="str">
        <f>IF(J120="","",VLOOKUP($B120,'C-1 Site River Baseline'!$C$9:$R$257,10,FALSE))</f>
        <v/>
      </c>
      <c r="L120" s="175" t="str">
        <f>IF(B120="","",VLOOKUP($B120,'C-1 Site River Baseline'!$C$9:$R$257,15,FALSE))</f>
        <v/>
      </c>
      <c r="M120" s="176" t="str">
        <f>IF(L120="","",VLOOKUP($B120,'C-1 Site River Baseline'!$C$9:$R$257,16,FALSE))</f>
        <v/>
      </c>
      <c r="N120" s="639" t="str">
        <f t="shared" si="9"/>
        <v/>
      </c>
      <c r="O120" s="239" t="str">
        <f t="shared" si="10"/>
        <v/>
      </c>
      <c r="P120" s="172" t="str">
        <f>IF(C120="","",IF(AND(LEFT(C120,55)&lt;&gt;LEFT(N120,55),O120="High - High"),"Error - Not like for like",IF(AND(F120=S120,H120&gt;U120),"Error - Can not reduce condition",IF(AND(F120=S120,H120=U120,AJ120='C-1 Site River Baseline'!N118,'C-1 Site River Baseline'!P118=AL120),"Error - No enhancement",IF(AND(C120&lt;&gt;N120,F120&lt;S120),"Lower Distinctiveness Habitat"&amp;" - "&amp;T120,G120&amp;" - "&amp;T120)))))</f>
        <v/>
      </c>
      <c r="Q120" s="660" t="str">
        <f>IF(N120="","",VLOOKUP(B120,'C-1 Site River Baseline'!$C$10:$AA$257,19,FALSE))</f>
        <v/>
      </c>
      <c r="R120" s="171" t="str">
        <f>IF(N120="","",VLOOKUP(N120,'G-7 Rivers Data'!$B$2:$G$8,2,FALSE))</f>
        <v/>
      </c>
      <c r="S120" s="172" t="str">
        <f>IFERROR(VLOOKUP(R120,'G-7 Rivers Data'!$C$4:$D$8,2,FALSE),"")</f>
        <v/>
      </c>
      <c r="T120" s="173"/>
      <c r="U120" s="172" t="str">
        <f>IFERROR(INDEX('G-7 Rivers Data'!$H$4:$L$8,MATCH(N120,'G-7 Rivers Data'!$B$4:$B$8,0),MATCH(T120,'G-7 Rivers Data'!$H$3:$L$3,0)),"")</f>
        <v/>
      </c>
      <c r="V120" s="186"/>
      <c r="W120" s="175" t="str">
        <f>IF(V120="","",IF(VLOOKUP(V120,'G-7 Rivers Data'!$AG$4:$AI$9,2,FALSE)=0,"Spatial Data Missing",VLOOKUP(V120,'G-7 Rivers Data'!$AG$4:$AI$9,2,FALSE)))</f>
        <v/>
      </c>
      <c r="X120" s="176" t="str">
        <f>IF(V120="","",IF(VLOOKUP(V120,'G-7 Rivers Data'!$AG$4:$AI$9,3,FALSE)=0,"Spatial Data Missing",VLOOKUP(V120,'G-7 Rivers Data'!$AG$4:$AI$9,3,FALSE)))</f>
        <v/>
      </c>
      <c r="Y120" s="171" t="str">
        <f>IFERROR(IF(OR(LEFT(P120,5)="Error",LEFT(O120,5)="Error"),"Check Data",IF(F120&lt;S120,'G-7 Rivers Data'!$R$3,INDEX('G-7 Rivers Data'!$U$5:$Y$9,MATCH(G120,'G-7 Rivers Data'!$T$5:$T$9,0),MATCH(T120,'G-7 Rivers Data'!$U$4:$Y$4,0)))),"")</f>
        <v/>
      </c>
      <c r="Z120" s="261"/>
      <c r="AA120" s="261"/>
      <c r="AB120" s="179" t="str">
        <f t="shared" si="11"/>
        <v/>
      </c>
      <c r="AC120" s="262" t="str">
        <f t="shared" si="12"/>
        <v/>
      </c>
      <c r="AD120" s="382" t="str">
        <f>IFERROR(IF(AC120="Check Data","Check Data",VLOOKUP(AC120,'G-4 Temporal multipliers'!$A$4:$C$37,3,FALSE)),"")</f>
        <v/>
      </c>
      <c r="AE120" s="171" t="str">
        <f>IF(N120="","",VLOOKUP(N120,'G-7 Rivers Data'!$B$4:$G$8,5,FALSE))</f>
        <v/>
      </c>
      <c r="AF120" s="179" t="str">
        <f t="shared" si="13"/>
        <v/>
      </c>
      <c r="AG120" s="269" t="str">
        <f t="shared" si="14"/>
        <v/>
      </c>
      <c r="AH120" s="172" t="str">
        <f t="shared" si="8"/>
        <v/>
      </c>
      <c r="AI120" s="173"/>
      <c r="AJ120" s="172" t="str">
        <f>IF(AI120="","",IF(VLOOKUP(AI120,'G-7 Rivers Data'!$AA$4:$AB$7,2,FALSE)=0,"Spatial Data Missing",VLOOKUP(AI120,'G-7 Rivers Data'!$AA$4:$AB$7,2,FALSE)))</f>
        <v/>
      </c>
      <c r="AK120" s="187"/>
      <c r="AL120" s="172" t="str">
        <f>IF(AK120="","",IF(VLOOKUP(AK120,'G-7 Rivers Data'!$AD$4:$AE$8,2,FALSE)=0,"Spatial Data Missing",VLOOKUP(AK120,'G-7 Rivers Data'!$AD$4:$AE$8,2,FALSE)))</f>
        <v/>
      </c>
      <c r="AM120" s="265" t="str">
        <f t="shared" si="15"/>
        <v/>
      </c>
      <c r="AN120" s="180"/>
      <c r="AO120" s="181"/>
      <c r="AV120" s="35" t="str">
        <f>IFERROR(INDEX('G-7 Rivers Data'!$AZ$3:$AZ$7,MATCH(N120,'G-7 Rivers Data'!$AY$3:$AY$7,0)),"")</f>
        <v/>
      </c>
    </row>
    <row r="121" spans="2:48" ht="13.8" x14ac:dyDescent="0.25">
      <c r="B121" s="259" t="str">
        <f>'C-1 Site River Baseline'!AN119</f>
        <v/>
      </c>
      <c r="C121" s="175" t="str">
        <f>IF(B121="","",VLOOKUP($B121,'C-1 Site River Baseline'!$C$9:$R$257,2,FALSE))</f>
        <v/>
      </c>
      <c r="D121" s="175" t="str">
        <f>IF(C121="","",VLOOKUP($B121,'C-1 Site River Baseline'!$C$9:$R$257,3,FALSE))</f>
        <v/>
      </c>
      <c r="E121" s="175" t="str">
        <f>IF(D121="","",VLOOKUP($B121,'C-1 Site River Baseline'!$C$9:$R$257,4,FALSE))</f>
        <v/>
      </c>
      <c r="F121" s="175" t="str">
        <f>IF(E121="","",VLOOKUP($B121,'C-1 Site River Baseline'!$C$9:$R$257,5,FALSE))</f>
        <v/>
      </c>
      <c r="G121" s="175" t="str">
        <f>IF(F121="","",VLOOKUP($B121,'C-1 Site River Baseline'!$C$9:$R$257,6,FALSE))</f>
        <v/>
      </c>
      <c r="H121" s="175" t="str">
        <f>IF(G121="","",VLOOKUP($B121,'C-1 Site River Baseline'!$C$9:$R$257,7,FALSE))</f>
        <v/>
      </c>
      <c r="I121" s="175" t="str">
        <f>IF(H121="","",VLOOKUP($B121,'C-1 Site River Baseline'!$C$9:$R$257,8,FALSE))</f>
        <v/>
      </c>
      <c r="J121" s="175" t="str">
        <f>IF(I121="","",VLOOKUP($B121,'C-1 Site River Baseline'!$C$9:$R$257,9,FALSE))</f>
        <v/>
      </c>
      <c r="K121" s="175" t="str">
        <f>IF(J121="","",VLOOKUP($B121,'C-1 Site River Baseline'!$C$9:$R$257,10,FALSE))</f>
        <v/>
      </c>
      <c r="L121" s="175" t="str">
        <f>IF(B121="","",VLOOKUP($B121,'C-1 Site River Baseline'!$C$9:$R$257,15,FALSE))</f>
        <v/>
      </c>
      <c r="M121" s="176" t="str">
        <f>IF(L121="","",VLOOKUP($B121,'C-1 Site River Baseline'!$C$9:$R$257,16,FALSE))</f>
        <v/>
      </c>
      <c r="N121" s="639" t="str">
        <f t="shared" si="9"/>
        <v/>
      </c>
      <c r="O121" s="239" t="str">
        <f t="shared" si="10"/>
        <v/>
      </c>
      <c r="P121" s="172" t="str">
        <f>IF(C121="","",IF(AND(LEFT(C121,55)&lt;&gt;LEFT(N121,55),O121="High - High"),"Error - Not like for like",IF(AND(F121=S121,H121&gt;U121),"Error - Can not reduce condition",IF(AND(F121=S121,H121=U121,AJ121='C-1 Site River Baseline'!N119,'C-1 Site River Baseline'!P119=AL121),"Error - No enhancement",IF(AND(C121&lt;&gt;N121,F121&lt;S121),"Lower Distinctiveness Habitat"&amp;" - "&amp;T121,G121&amp;" - "&amp;T121)))))</f>
        <v/>
      </c>
      <c r="Q121" s="660" t="str">
        <f>IF(N121="","",VLOOKUP(B121,'C-1 Site River Baseline'!$C$10:$AA$257,19,FALSE))</f>
        <v/>
      </c>
      <c r="R121" s="171" t="str">
        <f>IF(N121="","",VLOOKUP(N121,'G-7 Rivers Data'!$B$2:$G$8,2,FALSE))</f>
        <v/>
      </c>
      <c r="S121" s="172" t="str">
        <f>IFERROR(VLOOKUP(R121,'G-7 Rivers Data'!$C$4:$D$8,2,FALSE),"")</f>
        <v/>
      </c>
      <c r="T121" s="173"/>
      <c r="U121" s="172" t="str">
        <f>IFERROR(INDEX('G-7 Rivers Data'!$H$4:$L$8,MATCH(N121,'G-7 Rivers Data'!$B$4:$B$8,0),MATCH(T121,'G-7 Rivers Data'!$H$3:$L$3,0)),"")</f>
        <v/>
      </c>
      <c r="V121" s="186"/>
      <c r="W121" s="175" t="str">
        <f>IF(V121="","",IF(VLOOKUP(V121,'G-7 Rivers Data'!$AG$4:$AI$9,2,FALSE)=0,"Spatial Data Missing",VLOOKUP(V121,'G-7 Rivers Data'!$AG$4:$AI$9,2,FALSE)))</f>
        <v/>
      </c>
      <c r="X121" s="176" t="str">
        <f>IF(V121="","",IF(VLOOKUP(V121,'G-7 Rivers Data'!$AG$4:$AI$9,3,FALSE)=0,"Spatial Data Missing",VLOOKUP(V121,'G-7 Rivers Data'!$AG$4:$AI$9,3,FALSE)))</f>
        <v/>
      </c>
      <c r="Y121" s="171" t="str">
        <f>IFERROR(IF(OR(LEFT(P121,5)="Error",LEFT(O121,5)="Error"),"Check Data",IF(F121&lt;S121,'G-7 Rivers Data'!$R$3,INDEX('G-7 Rivers Data'!$U$5:$Y$9,MATCH(G121,'G-7 Rivers Data'!$T$5:$T$9,0),MATCH(T121,'G-7 Rivers Data'!$U$4:$Y$4,0)))),"")</f>
        <v/>
      </c>
      <c r="Z121" s="261"/>
      <c r="AA121" s="261"/>
      <c r="AB121" s="179" t="str">
        <f t="shared" si="11"/>
        <v/>
      </c>
      <c r="AC121" s="262" t="str">
        <f t="shared" si="12"/>
        <v/>
      </c>
      <c r="AD121" s="382" t="str">
        <f>IFERROR(IF(AC121="Check Data","Check Data",VLOOKUP(AC121,'G-4 Temporal multipliers'!$A$4:$C$37,3,FALSE)),"")</f>
        <v/>
      </c>
      <c r="AE121" s="171" t="str">
        <f>IF(N121="","",VLOOKUP(N121,'G-7 Rivers Data'!$B$4:$G$8,5,FALSE))</f>
        <v/>
      </c>
      <c r="AF121" s="179" t="str">
        <f t="shared" si="13"/>
        <v/>
      </c>
      <c r="AG121" s="269" t="str">
        <f t="shared" si="14"/>
        <v/>
      </c>
      <c r="AH121" s="172" t="str">
        <f t="shared" si="8"/>
        <v/>
      </c>
      <c r="AI121" s="173"/>
      <c r="AJ121" s="172" t="str">
        <f>IF(AI121="","",IF(VLOOKUP(AI121,'G-7 Rivers Data'!$AA$4:$AB$7,2,FALSE)=0,"Spatial Data Missing",VLOOKUP(AI121,'G-7 Rivers Data'!$AA$4:$AB$7,2,FALSE)))</f>
        <v/>
      </c>
      <c r="AK121" s="187"/>
      <c r="AL121" s="172" t="str">
        <f>IF(AK121="","",IF(VLOOKUP(AK121,'G-7 Rivers Data'!$AD$4:$AE$8,2,FALSE)=0,"Spatial Data Missing",VLOOKUP(AK121,'G-7 Rivers Data'!$AD$4:$AE$8,2,FALSE)))</f>
        <v/>
      </c>
      <c r="AM121" s="265" t="str">
        <f t="shared" si="15"/>
        <v/>
      </c>
      <c r="AN121" s="180"/>
      <c r="AO121" s="181"/>
      <c r="AV121" s="35" t="str">
        <f>IFERROR(INDEX('G-7 Rivers Data'!$AZ$3:$AZ$7,MATCH(N121,'G-7 Rivers Data'!$AY$3:$AY$7,0)),"")</f>
        <v/>
      </c>
    </row>
    <row r="122" spans="2:48" ht="13.8" x14ac:dyDescent="0.25">
      <c r="B122" s="259" t="str">
        <f>'C-1 Site River Baseline'!AN120</f>
        <v/>
      </c>
      <c r="C122" s="175" t="str">
        <f>IF(B122="","",VLOOKUP($B122,'C-1 Site River Baseline'!$C$9:$R$257,2,FALSE))</f>
        <v/>
      </c>
      <c r="D122" s="175" t="str">
        <f>IF(C122="","",VLOOKUP($B122,'C-1 Site River Baseline'!$C$9:$R$257,3,FALSE))</f>
        <v/>
      </c>
      <c r="E122" s="175" t="str">
        <f>IF(D122="","",VLOOKUP($B122,'C-1 Site River Baseline'!$C$9:$R$257,4,FALSE))</f>
        <v/>
      </c>
      <c r="F122" s="175" t="str">
        <f>IF(E122="","",VLOOKUP($B122,'C-1 Site River Baseline'!$C$9:$R$257,5,FALSE))</f>
        <v/>
      </c>
      <c r="G122" s="175" t="str">
        <f>IF(F122="","",VLOOKUP($B122,'C-1 Site River Baseline'!$C$9:$R$257,6,FALSE))</f>
        <v/>
      </c>
      <c r="H122" s="175" t="str">
        <f>IF(G122="","",VLOOKUP($B122,'C-1 Site River Baseline'!$C$9:$R$257,7,FALSE))</f>
        <v/>
      </c>
      <c r="I122" s="175" t="str">
        <f>IF(H122="","",VLOOKUP($B122,'C-1 Site River Baseline'!$C$9:$R$257,8,FALSE))</f>
        <v/>
      </c>
      <c r="J122" s="175" t="str">
        <f>IF(I122="","",VLOOKUP($B122,'C-1 Site River Baseline'!$C$9:$R$257,9,FALSE))</f>
        <v/>
      </c>
      <c r="K122" s="175" t="str">
        <f>IF(J122="","",VLOOKUP($B122,'C-1 Site River Baseline'!$C$9:$R$257,10,FALSE))</f>
        <v/>
      </c>
      <c r="L122" s="175" t="str">
        <f>IF(B122="","",VLOOKUP($B122,'C-1 Site River Baseline'!$C$9:$R$257,15,FALSE))</f>
        <v/>
      </c>
      <c r="M122" s="176" t="str">
        <f>IF(L122="","",VLOOKUP($B122,'C-1 Site River Baseline'!$C$9:$R$257,16,FALSE))</f>
        <v/>
      </c>
      <c r="N122" s="639" t="str">
        <f t="shared" si="9"/>
        <v/>
      </c>
      <c r="O122" s="239" t="str">
        <f t="shared" si="10"/>
        <v/>
      </c>
      <c r="P122" s="172" t="str">
        <f>IF(C122="","",IF(AND(LEFT(C122,55)&lt;&gt;LEFT(N122,55),O122="High - High"),"Error - Not like for like",IF(AND(F122=S122,H122&gt;U122),"Error - Can not reduce condition",IF(AND(F122=S122,H122=U122,AJ122='C-1 Site River Baseline'!N120,'C-1 Site River Baseline'!P120=AL122),"Error - No enhancement",IF(AND(C122&lt;&gt;N122,F122&lt;S122),"Lower Distinctiveness Habitat"&amp;" - "&amp;T122,G122&amp;" - "&amp;T122)))))</f>
        <v/>
      </c>
      <c r="Q122" s="660" t="str">
        <f>IF(N122="","",VLOOKUP(B122,'C-1 Site River Baseline'!$C$10:$AA$257,19,FALSE))</f>
        <v/>
      </c>
      <c r="R122" s="171" t="str">
        <f>IF(N122="","",VLOOKUP(N122,'G-7 Rivers Data'!$B$2:$G$8,2,FALSE))</f>
        <v/>
      </c>
      <c r="S122" s="172" t="str">
        <f>IFERROR(VLOOKUP(R122,'G-7 Rivers Data'!$C$4:$D$8,2,FALSE),"")</f>
        <v/>
      </c>
      <c r="T122" s="173"/>
      <c r="U122" s="172" t="str">
        <f>IFERROR(INDEX('G-7 Rivers Data'!$H$4:$L$8,MATCH(N122,'G-7 Rivers Data'!$B$4:$B$8,0),MATCH(T122,'G-7 Rivers Data'!$H$3:$L$3,0)),"")</f>
        <v/>
      </c>
      <c r="V122" s="186"/>
      <c r="W122" s="175" t="str">
        <f>IF(V122="","",IF(VLOOKUP(V122,'G-7 Rivers Data'!$AG$4:$AI$9,2,FALSE)=0,"Spatial Data Missing",VLOOKUP(V122,'G-7 Rivers Data'!$AG$4:$AI$9,2,FALSE)))</f>
        <v/>
      </c>
      <c r="X122" s="176" t="str">
        <f>IF(V122="","",IF(VLOOKUP(V122,'G-7 Rivers Data'!$AG$4:$AI$9,3,FALSE)=0,"Spatial Data Missing",VLOOKUP(V122,'G-7 Rivers Data'!$AG$4:$AI$9,3,FALSE)))</f>
        <v/>
      </c>
      <c r="Y122" s="171" t="str">
        <f>IFERROR(IF(OR(LEFT(P122,5)="Error",LEFT(O122,5)="Error"),"Check Data",IF(F122&lt;S122,'G-7 Rivers Data'!$R$3,INDEX('G-7 Rivers Data'!$U$5:$Y$9,MATCH(G122,'G-7 Rivers Data'!$T$5:$T$9,0),MATCH(T122,'G-7 Rivers Data'!$U$4:$Y$4,0)))),"")</f>
        <v/>
      </c>
      <c r="Z122" s="261"/>
      <c r="AA122" s="261"/>
      <c r="AB122" s="179" t="str">
        <f t="shared" si="11"/>
        <v/>
      </c>
      <c r="AC122" s="262" t="str">
        <f t="shared" si="12"/>
        <v/>
      </c>
      <c r="AD122" s="382" t="str">
        <f>IFERROR(IF(AC122="Check Data","Check Data",VLOOKUP(AC122,'G-4 Temporal multipliers'!$A$4:$C$37,3,FALSE)),"")</f>
        <v/>
      </c>
      <c r="AE122" s="171" t="str">
        <f>IF(N122="","",VLOOKUP(N122,'G-7 Rivers Data'!$B$4:$G$8,5,FALSE))</f>
        <v/>
      </c>
      <c r="AF122" s="179" t="str">
        <f t="shared" si="13"/>
        <v/>
      </c>
      <c r="AG122" s="269" t="str">
        <f t="shared" si="14"/>
        <v/>
      </c>
      <c r="AH122" s="172" t="str">
        <f t="shared" si="8"/>
        <v/>
      </c>
      <c r="AI122" s="173"/>
      <c r="AJ122" s="172" t="str">
        <f>IF(AI122="","",IF(VLOOKUP(AI122,'G-7 Rivers Data'!$AA$4:$AB$7,2,FALSE)=0,"Spatial Data Missing",VLOOKUP(AI122,'G-7 Rivers Data'!$AA$4:$AB$7,2,FALSE)))</f>
        <v/>
      </c>
      <c r="AK122" s="187"/>
      <c r="AL122" s="172" t="str">
        <f>IF(AK122="","",IF(VLOOKUP(AK122,'G-7 Rivers Data'!$AD$4:$AE$8,2,FALSE)=0,"Spatial Data Missing",VLOOKUP(AK122,'G-7 Rivers Data'!$AD$4:$AE$8,2,FALSE)))</f>
        <v/>
      </c>
      <c r="AM122" s="265" t="str">
        <f t="shared" si="15"/>
        <v/>
      </c>
      <c r="AN122" s="180"/>
      <c r="AO122" s="181"/>
      <c r="AV122" s="35" t="str">
        <f>IFERROR(INDEX('G-7 Rivers Data'!$AZ$3:$AZ$7,MATCH(N122,'G-7 Rivers Data'!$AY$3:$AY$7,0)),"")</f>
        <v/>
      </c>
    </row>
    <row r="123" spans="2:48" ht="13.8" x14ac:dyDescent="0.25">
      <c r="B123" s="259" t="str">
        <f>'C-1 Site River Baseline'!AN121</f>
        <v/>
      </c>
      <c r="C123" s="175" t="str">
        <f>IF(B123="","",VLOOKUP($B123,'C-1 Site River Baseline'!$C$9:$R$257,2,FALSE))</f>
        <v/>
      </c>
      <c r="D123" s="175" t="str">
        <f>IF(C123="","",VLOOKUP($B123,'C-1 Site River Baseline'!$C$9:$R$257,3,FALSE))</f>
        <v/>
      </c>
      <c r="E123" s="175" t="str">
        <f>IF(D123="","",VLOOKUP($B123,'C-1 Site River Baseline'!$C$9:$R$257,4,FALSE))</f>
        <v/>
      </c>
      <c r="F123" s="175" t="str">
        <f>IF(E123="","",VLOOKUP($B123,'C-1 Site River Baseline'!$C$9:$R$257,5,FALSE))</f>
        <v/>
      </c>
      <c r="G123" s="175" t="str">
        <f>IF(F123="","",VLOOKUP($B123,'C-1 Site River Baseline'!$C$9:$R$257,6,FALSE))</f>
        <v/>
      </c>
      <c r="H123" s="175" t="str">
        <f>IF(G123="","",VLOOKUP($B123,'C-1 Site River Baseline'!$C$9:$R$257,7,FALSE))</f>
        <v/>
      </c>
      <c r="I123" s="175" t="str">
        <f>IF(H123="","",VLOOKUP($B123,'C-1 Site River Baseline'!$C$9:$R$257,8,FALSE))</f>
        <v/>
      </c>
      <c r="J123" s="175" t="str">
        <f>IF(I123="","",VLOOKUP($B123,'C-1 Site River Baseline'!$C$9:$R$257,9,FALSE))</f>
        <v/>
      </c>
      <c r="K123" s="175" t="str">
        <f>IF(J123="","",VLOOKUP($B123,'C-1 Site River Baseline'!$C$9:$R$257,10,FALSE))</f>
        <v/>
      </c>
      <c r="L123" s="175" t="str">
        <f>IF(B123="","",VLOOKUP($B123,'C-1 Site River Baseline'!$C$9:$R$257,15,FALSE))</f>
        <v/>
      </c>
      <c r="M123" s="176" t="str">
        <f>IF(L123="","",VLOOKUP($B123,'C-1 Site River Baseline'!$C$9:$R$257,16,FALSE))</f>
        <v/>
      </c>
      <c r="N123" s="639" t="str">
        <f t="shared" si="9"/>
        <v/>
      </c>
      <c r="O123" s="239" t="str">
        <f t="shared" si="10"/>
        <v/>
      </c>
      <c r="P123" s="172" t="str">
        <f>IF(C123="","",IF(AND(LEFT(C123,55)&lt;&gt;LEFT(N123,55),O123="High - High"),"Error - Not like for like",IF(AND(F123=S123,H123&gt;U123),"Error - Can not reduce condition",IF(AND(F123=S123,H123=U123,AJ123='C-1 Site River Baseline'!N121,'C-1 Site River Baseline'!P121=AL123),"Error - No enhancement",IF(AND(C123&lt;&gt;N123,F123&lt;S123),"Lower Distinctiveness Habitat"&amp;" - "&amp;T123,G123&amp;" - "&amp;T123)))))</f>
        <v/>
      </c>
      <c r="Q123" s="660" t="str">
        <f>IF(N123="","",VLOOKUP(B123,'C-1 Site River Baseline'!$C$10:$AA$257,19,FALSE))</f>
        <v/>
      </c>
      <c r="R123" s="171" t="str">
        <f>IF(N123="","",VLOOKUP(N123,'G-7 Rivers Data'!$B$2:$G$8,2,FALSE))</f>
        <v/>
      </c>
      <c r="S123" s="172" t="str">
        <f>IFERROR(VLOOKUP(R123,'G-7 Rivers Data'!$C$4:$D$8,2,FALSE),"")</f>
        <v/>
      </c>
      <c r="T123" s="173"/>
      <c r="U123" s="172" t="str">
        <f>IFERROR(INDEX('G-7 Rivers Data'!$H$4:$L$8,MATCH(N123,'G-7 Rivers Data'!$B$4:$B$8,0),MATCH(T123,'G-7 Rivers Data'!$H$3:$L$3,0)),"")</f>
        <v/>
      </c>
      <c r="V123" s="186"/>
      <c r="W123" s="175" t="str">
        <f>IF(V123="","",IF(VLOOKUP(V123,'G-7 Rivers Data'!$AG$4:$AI$9,2,FALSE)=0,"Spatial Data Missing",VLOOKUP(V123,'G-7 Rivers Data'!$AG$4:$AI$9,2,FALSE)))</f>
        <v/>
      </c>
      <c r="X123" s="176" t="str">
        <f>IF(V123="","",IF(VLOOKUP(V123,'G-7 Rivers Data'!$AG$4:$AI$9,3,FALSE)=0,"Spatial Data Missing",VLOOKUP(V123,'G-7 Rivers Data'!$AG$4:$AI$9,3,FALSE)))</f>
        <v/>
      </c>
      <c r="Y123" s="171" t="str">
        <f>IFERROR(IF(OR(LEFT(P123,5)="Error",LEFT(O123,5)="Error"),"Check Data",IF(F123&lt;S123,'G-7 Rivers Data'!$R$3,INDEX('G-7 Rivers Data'!$U$5:$Y$9,MATCH(G123,'G-7 Rivers Data'!$T$5:$T$9,0),MATCH(T123,'G-7 Rivers Data'!$U$4:$Y$4,0)))),"")</f>
        <v/>
      </c>
      <c r="Z123" s="261"/>
      <c r="AA123" s="261"/>
      <c r="AB123" s="179" t="str">
        <f t="shared" si="11"/>
        <v/>
      </c>
      <c r="AC123" s="262" t="str">
        <f t="shared" si="12"/>
        <v/>
      </c>
      <c r="AD123" s="382" t="str">
        <f>IFERROR(IF(AC123="Check Data","Check Data",VLOOKUP(AC123,'G-4 Temporal multipliers'!$A$4:$C$37,3,FALSE)),"")</f>
        <v/>
      </c>
      <c r="AE123" s="171" t="str">
        <f>IF(N123="","",VLOOKUP(N123,'G-7 Rivers Data'!$B$4:$G$8,5,FALSE))</f>
        <v/>
      </c>
      <c r="AF123" s="179" t="str">
        <f t="shared" si="13"/>
        <v/>
      </c>
      <c r="AG123" s="269" t="str">
        <f t="shared" si="14"/>
        <v/>
      </c>
      <c r="AH123" s="172" t="str">
        <f t="shared" si="8"/>
        <v/>
      </c>
      <c r="AI123" s="173"/>
      <c r="AJ123" s="172" t="str">
        <f>IF(AI123="","",IF(VLOOKUP(AI123,'G-7 Rivers Data'!$AA$4:$AB$7,2,FALSE)=0,"Spatial Data Missing",VLOOKUP(AI123,'G-7 Rivers Data'!$AA$4:$AB$7,2,FALSE)))</f>
        <v/>
      </c>
      <c r="AK123" s="187"/>
      <c r="AL123" s="172" t="str">
        <f>IF(AK123="","",IF(VLOOKUP(AK123,'G-7 Rivers Data'!$AD$4:$AE$8,2,FALSE)=0,"Spatial Data Missing",VLOOKUP(AK123,'G-7 Rivers Data'!$AD$4:$AE$8,2,FALSE)))</f>
        <v/>
      </c>
      <c r="AM123" s="265" t="str">
        <f t="shared" si="15"/>
        <v/>
      </c>
      <c r="AN123" s="180"/>
      <c r="AO123" s="181"/>
      <c r="AV123" s="35" t="str">
        <f>IFERROR(INDEX('G-7 Rivers Data'!$AZ$3:$AZ$7,MATCH(N123,'G-7 Rivers Data'!$AY$3:$AY$7,0)),"")</f>
        <v/>
      </c>
    </row>
    <row r="124" spans="2:48" ht="13.8" x14ac:dyDescent="0.25">
      <c r="B124" s="259" t="str">
        <f>'C-1 Site River Baseline'!AN122</f>
        <v/>
      </c>
      <c r="C124" s="175" t="str">
        <f>IF(B124="","",VLOOKUP($B124,'C-1 Site River Baseline'!$C$9:$R$257,2,FALSE))</f>
        <v/>
      </c>
      <c r="D124" s="175" t="str">
        <f>IF(C124="","",VLOOKUP($B124,'C-1 Site River Baseline'!$C$9:$R$257,3,FALSE))</f>
        <v/>
      </c>
      <c r="E124" s="175" t="str">
        <f>IF(D124="","",VLOOKUP($B124,'C-1 Site River Baseline'!$C$9:$R$257,4,FALSE))</f>
        <v/>
      </c>
      <c r="F124" s="175" t="str">
        <f>IF(E124="","",VLOOKUP($B124,'C-1 Site River Baseline'!$C$9:$R$257,5,FALSE))</f>
        <v/>
      </c>
      <c r="G124" s="175" t="str">
        <f>IF(F124="","",VLOOKUP($B124,'C-1 Site River Baseline'!$C$9:$R$257,6,FALSE))</f>
        <v/>
      </c>
      <c r="H124" s="175" t="str">
        <f>IF(G124="","",VLOOKUP($B124,'C-1 Site River Baseline'!$C$9:$R$257,7,FALSE))</f>
        <v/>
      </c>
      <c r="I124" s="175" t="str">
        <f>IF(H124="","",VLOOKUP($B124,'C-1 Site River Baseline'!$C$9:$R$257,8,FALSE))</f>
        <v/>
      </c>
      <c r="J124" s="175" t="str">
        <f>IF(I124="","",VLOOKUP($B124,'C-1 Site River Baseline'!$C$9:$R$257,9,FALSE))</f>
        <v/>
      </c>
      <c r="K124" s="175" t="str">
        <f>IF(J124="","",VLOOKUP($B124,'C-1 Site River Baseline'!$C$9:$R$257,10,FALSE))</f>
        <v/>
      </c>
      <c r="L124" s="175" t="str">
        <f>IF(B124="","",VLOOKUP($B124,'C-1 Site River Baseline'!$C$9:$R$257,15,FALSE))</f>
        <v/>
      </c>
      <c r="M124" s="176" t="str">
        <f>IF(L124="","",VLOOKUP($B124,'C-1 Site River Baseline'!$C$9:$R$257,16,FALSE))</f>
        <v/>
      </c>
      <c r="N124" s="639" t="str">
        <f t="shared" si="9"/>
        <v/>
      </c>
      <c r="O124" s="239" t="str">
        <f t="shared" si="10"/>
        <v/>
      </c>
      <c r="P124" s="172" t="str">
        <f>IF(C124="","",IF(AND(LEFT(C124,55)&lt;&gt;LEFT(N124,55),O124="High - High"),"Error - Not like for like",IF(AND(F124=S124,H124&gt;U124),"Error - Can not reduce condition",IF(AND(F124=S124,H124=U124,AJ124='C-1 Site River Baseline'!N122,'C-1 Site River Baseline'!P122=AL124),"Error - No enhancement",IF(AND(C124&lt;&gt;N124,F124&lt;S124),"Lower Distinctiveness Habitat"&amp;" - "&amp;T124,G124&amp;" - "&amp;T124)))))</f>
        <v/>
      </c>
      <c r="Q124" s="660" t="str">
        <f>IF(N124="","",VLOOKUP(B124,'C-1 Site River Baseline'!$C$10:$AA$257,19,FALSE))</f>
        <v/>
      </c>
      <c r="R124" s="171" t="str">
        <f>IF(N124="","",VLOOKUP(N124,'G-7 Rivers Data'!$B$2:$G$8,2,FALSE))</f>
        <v/>
      </c>
      <c r="S124" s="172" t="str">
        <f>IFERROR(VLOOKUP(R124,'G-7 Rivers Data'!$C$4:$D$8,2,FALSE),"")</f>
        <v/>
      </c>
      <c r="T124" s="173"/>
      <c r="U124" s="172" t="str">
        <f>IFERROR(INDEX('G-7 Rivers Data'!$H$4:$L$8,MATCH(N124,'G-7 Rivers Data'!$B$4:$B$8,0),MATCH(T124,'G-7 Rivers Data'!$H$3:$L$3,0)),"")</f>
        <v/>
      </c>
      <c r="V124" s="186"/>
      <c r="W124" s="175" t="str">
        <f>IF(V124="","",IF(VLOOKUP(V124,'G-7 Rivers Data'!$AG$4:$AI$9,2,FALSE)=0,"Spatial Data Missing",VLOOKUP(V124,'G-7 Rivers Data'!$AG$4:$AI$9,2,FALSE)))</f>
        <v/>
      </c>
      <c r="X124" s="176" t="str">
        <f>IF(V124="","",IF(VLOOKUP(V124,'G-7 Rivers Data'!$AG$4:$AI$9,3,FALSE)=0,"Spatial Data Missing",VLOOKUP(V124,'G-7 Rivers Data'!$AG$4:$AI$9,3,FALSE)))</f>
        <v/>
      </c>
      <c r="Y124" s="171" t="str">
        <f>IFERROR(IF(OR(LEFT(P124,5)="Error",LEFT(O124,5)="Error"),"Check Data",IF(F124&lt;S124,'G-7 Rivers Data'!$R$3,INDEX('G-7 Rivers Data'!$U$5:$Y$9,MATCH(G124,'G-7 Rivers Data'!$T$5:$T$9,0),MATCH(T124,'G-7 Rivers Data'!$U$4:$Y$4,0)))),"")</f>
        <v/>
      </c>
      <c r="Z124" s="261"/>
      <c r="AA124" s="261"/>
      <c r="AB124" s="179" t="str">
        <f t="shared" si="11"/>
        <v/>
      </c>
      <c r="AC124" s="262" t="str">
        <f t="shared" si="12"/>
        <v/>
      </c>
      <c r="AD124" s="382" t="str">
        <f>IFERROR(IF(AC124="Check Data","Check Data",VLOOKUP(AC124,'G-4 Temporal multipliers'!$A$4:$C$37,3,FALSE)),"")</f>
        <v/>
      </c>
      <c r="AE124" s="171" t="str">
        <f>IF(N124="","",VLOOKUP(N124,'G-7 Rivers Data'!$B$4:$G$8,5,FALSE))</f>
        <v/>
      </c>
      <c r="AF124" s="179" t="str">
        <f t="shared" si="13"/>
        <v/>
      </c>
      <c r="AG124" s="269" t="str">
        <f t="shared" si="14"/>
        <v/>
      </c>
      <c r="AH124" s="172" t="str">
        <f t="shared" si="8"/>
        <v/>
      </c>
      <c r="AI124" s="173"/>
      <c r="AJ124" s="172" t="str">
        <f>IF(AI124="","",IF(VLOOKUP(AI124,'G-7 Rivers Data'!$AA$4:$AB$7,2,FALSE)=0,"Spatial Data Missing",VLOOKUP(AI124,'G-7 Rivers Data'!$AA$4:$AB$7,2,FALSE)))</f>
        <v/>
      </c>
      <c r="AK124" s="187"/>
      <c r="AL124" s="172" t="str">
        <f>IF(AK124="","",IF(VLOOKUP(AK124,'G-7 Rivers Data'!$AD$4:$AE$8,2,FALSE)=0,"Spatial Data Missing",VLOOKUP(AK124,'G-7 Rivers Data'!$AD$4:$AE$8,2,FALSE)))</f>
        <v/>
      </c>
      <c r="AM124" s="265" t="str">
        <f t="shared" si="15"/>
        <v/>
      </c>
      <c r="AN124" s="180"/>
      <c r="AO124" s="181"/>
      <c r="AV124" s="35" t="str">
        <f>IFERROR(INDEX('G-7 Rivers Data'!$AZ$3:$AZ$7,MATCH(N124,'G-7 Rivers Data'!$AY$3:$AY$7,0)),"")</f>
        <v/>
      </c>
    </row>
    <row r="125" spans="2:48" ht="13.8" x14ac:dyDescent="0.25">
      <c r="B125" s="259" t="str">
        <f>'C-1 Site River Baseline'!AN123</f>
        <v/>
      </c>
      <c r="C125" s="175" t="str">
        <f>IF(B125="","",VLOOKUP($B125,'C-1 Site River Baseline'!$C$9:$R$257,2,FALSE))</f>
        <v/>
      </c>
      <c r="D125" s="175" t="str">
        <f>IF(C125="","",VLOOKUP($B125,'C-1 Site River Baseline'!$C$9:$R$257,3,FALSE))</f>
        <v/>
      </c>
      <c r="E125" s="175" t="str">
        <f>IF(D125="","",VLOOKUP($B125,'C-1 Site River Baseline'!$C$9:$R$257,4,FALSE))</f>
        <v/>
      </c>
      <c r="F125" s="175" t="str">
        <f>IF(E125="","",VLOOKUP($B125,'C-1 Site River Baseline'!$C$9:$R$257,5,FALSE))</f>
        <v/>
      </c>
      <c r="G125" s="175" t="str">
        <f>IF(F125="","",VLOOKUP($B125,'C-1 Site River Baseline'!$C$9:$R$257,6,FALSE))</f>
        <v/>
      </c>
      <c r="H125" s="175" t="str">
        <f>IF(G125="","",VLOOKUP($B125,'C-1 Site River Baseline'!$C$9:$R$257,7,FALSE))</f>
        <v/>
      </c>
      <c r="I125" s="175" t="str">
        <f>IF(H125="","",VLOOKUP($B125,'C-1 Site River Baseline'!$C$9:$R$257,8,FALSE))</f>
        <v/>
      </c>
      <c r="J125" s="175" t="str">
        <f>IF(I125="","",VLOOKUP($B125,'C-1 Site River Baseline'!$C$9:$R$257,9,FALSE))</f>
        <v/>
      </c>
      <c r="K125" s="175" t="str">
        <f>IF(J125="","",VLOOKUP($B125,'C-1 Site River Baseline'!$C$9:$R$257,10,FALSE))</f>
        <v/>
      </c>
      <c r="L125" s="175" t="str">
        <f>IF(B125="","",VLOOKUP($B125,'C-1 Site River Baseline'!$C$9:$R$257,15,FALSE))</f>
        <v/>
      </c>
      <c r="M125" s="176" t="str">
        <f>IF(L125="","",VLOOKUP($B125,'C-1 Site River Baseline'!$C$9:$R$257,16,FALSE))</f>
        <v/>
      </c>
      <c r="N125" s="639" t="str">
        <f t="shared" si="9"/>
        <v/>
      </c>
      <c r="O125" s="239" t="str">
        <f t="shared" si="10"/>
        <v/>
      </c>
      <c r="P125" s="172" t="str">
        <f>IF(C125="","",IF(AND(LEFT(C125,55)&lt;&gt;LEFT(N125,55),O125="High - High"),"Error - Not like for like",IF(AND(F125=S125,H125&gt;U125),"Error - Can not reduce condition",IF(AND(F125=S125,H125=U125,AJ125='C-1 Site River Baseline'!N123,'C-1 Site River Baseline'!P123=AL125),"Error - No enhancement",IF(AND(C125&lt;&gt;N125,F125&lt;S125),"Lower Distinctiveness Habitat"&amp;" - "&amp;T125,G125&amp;" - "&amp;T125)))))</f>
        <v/>
      </c>
      <c r="Q125" s="660" t="str">
        <f>IF(N125="","",VLOOKUP(B125,'C-1 Site River Baseline'!$C$10:$AA$257,19,FALSE))</f>
        <v/>
      </c>
      <c r="R125" s="171" t="str">
        <f>IF(N125="","",VLOOKUP(N125,'G-7 Rivers Data'!$B$2:$G$8,2,FALSE))</f>
        <v/>
      </c>
      <c r="S125" s="172" t="str">
        <f>IFERROR(VLOOKUP(R125,'G-7 Rivers Data'!$C$4:$D$8,2,FALSE),"")</f>
        <v/>
      </c>
      <c r="T125" s="173"/>
      <c r="U125" s="172" t="str">
        <f>IFERROR(INDEX('G-7 Rivers Data'!$H$4:$L$8,MATCH(N125,'G-7 Rivers Data'!$B$4:$B$8,0),MATCH(T125,'G-7 Rivers Data'!$H$3:$L$3,0)),"")</f>
        <v/>
      </c>
      <c r="V125" s="186"/>
      <c r="W125" s="175" t="str">
        <f>IF(V125="","",IF(VLOOKUP(V125,'G-7 Rivers Data'!$AG$4:$AI$9,2,FALSE)=0,"Spatial Data Missing",VLOOKUP(V125,'G-7 Rivers Data'!$AG$4:$AI$9,2,FALSE)))</f>
        <v/>
      </c>
      <c r="X125" s="176" t="str">
        <f>IF(V125="","",IF(VLOOKUP(V125,'G-7 Rivers Data'!$AG$4:$AI$9,3,FALSE)=0,"Spatial Data Missing",VLOOKUP(V125,'G-7 Rivers Data'!$AG$4:$AI$9,3,FALSE)))</f>
        <v/>
      </c>
      <c r="Y125" s="171" t="str">
        <f>IFERROR(IF(OR(LEFT(P125,5)="Error",LEFT(O125,5)="Error"),"Check Data",IF(F125&lt;S125,'G-7 Rivers Data'!$R$3,INDEX('G-7 Rivers Data'!$U$5:$Y$9,MATCH(G125,'G-7 Rivers Data'!$T$5:$T$9,0),MATCH(T125,'G-7 Rivers Data'!$U$4:$Y$4,0)))),"")</f>
        <v/>
      </c>
      <c r="Z125" s="261"/>
      <c r="AA125" s="261"/>
      <c r="AB125" s="179" t="str">
        <f t="shared" si="11"/>
        <v/>
      </c>
      <c r="AC125" s="262" t="str">
        <f t="shared" si="12"/>
        <v/>
      </c>
      <c r="AD125" s="382" t="str">
        <f>IFERROR(IF(AC125="Check Data","Check Data",VLOOKUP(AC125,'G-4 Temporal multipliers'!$A$4:$C$37,3,FALSE)),"")</f>
        <v/>
      </c>
      <c r="AE125" s="171" t="str">
        <f>IF(N125="","",VLOOKUP(N125,'G-7 Rivers Data'!$B$4:$G$8,5,FALSE))</f>
        <v/>
      </c>
      <c r="AF125" s="179" t="str">
        <f t="shared" si="13"/>
        <v/>
      </c>
      <c r="AG125" s="269" t="str">
        <f t="shared" si="14"/>
        <v/>
      </c>
      <c r="AH125" s="172" t="str">
        <f t="shared" si="8"/>
        <v/>
      </c>
      <c r="AI125" s="173"/>
      <c r="AJ125" s="172" t="str">
        <f>IF(AI125="","",IF(VLOOKUP(AI125,'G-7 Rivers Data'!$AA$4:$AB$7,2,FALSE)=0,"Spatial Data Missing",VLOOKUP(AI125,'G-7 Rivers Data'!$AA$4:$AB$7,2,FALSE)))</f>
        <v/>
      </c>
      <c r="AK125" s="187"/>
      <c r="AL125" s="172" t="str">
        <f>IF(AK125="","",IF(VLOOKUP(AK125,'G-7 Rivers Data'!$AD$4:$AE$8,2,FALSE)=0,"Spatial Data Missing",VLOOKUP(AK125,'G-7 Rivers Data'!$AD$4:$AE$8,2,FALSE)))</f>
        <v/>
      </c>
      <c r="AM125" s="265" t="str">
        <f t="shared" si="15"/>
        <v/>
      </c>
      <c r="AN125" s="180"/>
      <c r="AO125" s="181"/>
      <c r="AV125" s="35" t="str">
        <f>IFERROR(INDEX('G-7 Rivers Data'!$AZ$3:$AZ$7,MATCH(N125,'G-7 Rivers Data'!$AY$3:$AY$7,0)),"")</f>
        <v/>
      </c>
    </row>
    <row r="126" spans="2:48" ht="13.8" x14ac:dyDescent="0.25">
      <c r="B126" s="259" t="str">
        <f>'C-1 Site River Baseline'!AN124</f>
        <v/>
      </c>
      <c r="C126" s="175" t="str">
        <f>IF(B126="","",VLOOKUP($B126,'C-1 Site River Baseline'!$C$9:$R$257,2,FALSE))</f>
        <v/>
      </c>
      <c r="D126" s="175" t="str">
        <f>IF(C126="","",VLOOKUP($B126,'C-1 Site River Baseline'!$C$9:$R$257,3,FALSE))</f>
        <v/>
      </c>
      <c r="E126" s="175" t="str">
        <f>IF(D126="","",VLOOKUP($B126,'C-1 Site River Baseline'!$C$9:$R$257,4,FALSE))</f>
        <v/>
      </c>
      <c r="F126" s="175" t="str">
        <f>IF(E126="","",VLOOKUP($B126,'C-1 Site River Baseline'!$C$9:$R$257,5,FALSE))</f>
        <v/>
      </c>
      <c r="G126" s="175" t="str">
        <f>IF(F126="","",VLOOKUP($B126,'C-1 Site River Baseline'!$C$9:$R$257,6,FALSE))</f>
        <v/>
      </c>
      <c r="H126" s="175" t="str">
        <f>IF(G126="","",VLOOKUP($B126,'C-1 Site River Baseline'!$C$9:$R$257,7,FALSE))</f>
        <v/>
      </c>
      <c r="I126" s="175" t="str">
        <f>IF(H126="","",VLOOKUP($B126,'C-1 Site River Baseline'!$C$9:$R$257,8,FALSE))</f>
        <v/>
      </c>
      <c r="J126" s="175" t="str">
        <f>IF(I126="","",VLOOKUP($B126,'C-1 Site River Baseline'!$C$9:$R$257,9,FALSE))</f>
        <v/>
      </c>
      <c r="K126" s="175" t="str">
        <f>IF(J126="","",VLOOKUP($B126,'C-1 Site River Baseline'!$C$9:$R$257,10,FALSE))</f>
        <v/>
      </c>
      <c r="L126" s="175" t="str">
        <f>IF(B126="","",VLOOKUP($B126,'C-1 Site River Baseline'!$C$9:$R$257,15,FALSE))</f>
        <v/>
      </c>
      <c r="M126" s="176" t="str">
        <f>IF(L126="","",VLOOKUP($B126,'C-1 Site River Baseline'!$C$9:$R$257,16,FALSE))</f>
        <v/>
      </c>
      <c r="N126" s="639" t="str">
        <f t="shared" si="9"/>
        <v/>
      </c>
      <c r="O126" s="239" t="str">
        <f t="shared" si="10"/>
        <v/>
      </c>
      <c r="P126" s="172" t="str">
        <f>IF(C126="","",IF(AND(LEFT(C126,55)&lt;&gt;LEFT(N126,55),O126="High - High"),"Error - Not like for like",IF(AND(F126=S126,H126&gt;U126),"Error - Can not reduce condition",IF(AND(F126=S126,H126=U126,AJ126='C-1 Site River Baseline'!N124,'C-1 Site River Baseline'!P124=AL126),"Error - No enhancement",IF(AND(C126&lt;&gt;N126,F126&lt;S126),"Lower Distinctiveness Habitat"&amp;" - "&amp;T126,G126&amp;" - "&amp;T126)))))</f>
        <v/>
      </c>
      <c r="Q126" s="660" t="str">
        <f>IF(N126="","",VLOOKUP(B126,'C-1 Site River Baseline'!$C$10:$AA$257,19,FALSE))</f>
        <v/>
      </c>
      <c r="R126" s="171" t="str">
        <f>IF(N126="","",VLOOKUP(N126,'G-7 Rivers Data'!$B$2:$G$8,2,FALSE))</f>
        <v/>
      </c>
      <c r="S126" s="172" t="str">
        <f>IFERROR(VLOOKUP(R126,'G-7 Rivers Data'!$C$4:$D$8,2,FALSE),"")</f>
        <v/>
      </c>
      <c r="T126" s="173"/>
      <c r="U126" s="172" t="str">
        <f>IFERROR(INDEX('G-7 Rivers Data'!$H$4:$L$8,MATCH(N126,'G-7 Rivers Data'!$B$4:$B$8,0),MATCH(T126,'G-7 Rivers Data'!$H$3:$L$3,0)),"")</f>
        <v/>
      </c>
      <c r="V126" s="186"/>
      <c r="W126" s="175" t="str">
        <f>IF(V126="","",IF(VLOOKUP(V126,'G-7 Rivers Data'!$AG$4:$AI$9,2,FALSE)=0,"Spatial Data Missing",VLOOKUP(V126,'G-7 Rivers Data'!$AG$4:$AI$9,2,FALSE)))</f>
        <v/>
      </c>
      <c r="X126" s="176" t="str">
        <f>IF(V126="","",IF(VLOOKUP(V126,'G-7 Rivers Data'!$AG$4:$AI$9,3,FALSE)=0,"Spatial Data Missing",VLOOKUP(V126,'G-7 Rivers Data'!$AG$4:$AI$9,3,FALSE)))</f>
        <v/>
      </c>
      <c r="Y126" s="171" t="str">
        <f>IFERROR(IF(OR(LEFT(P126,5)="Error",LEFT(O126,5)="Error"),"Check Data",IF(F126&lt;S126,'G-7 Rivers Data'!$R$3,INDEX('G-7 Rivers Data'!$U$5:$Y$9,MATCH(G126,'G-7 Rivers Data'!$T$5:$T$9,0),MATCH(T126,'G-7 Rivers Data'!$U$4:$Y$4,0)))),"")</f>
        <v/>
      </c>
      <c r="Z126" s="261"/>
      <c r="AA126" s="261"/>
      <c r="AB126" s="179" t="str">
        <f t="shared" si="11"/>
        <v/>
      </c>
      <c r="AC126" s="262" t="str">
        <f t="shared" si="12"/>
        <v/>
      </c>
      <c r="AD126" s="382" t="str">
        <f>IFERROR(IF(AC126="Check Data","Check Data",VLOOKUP(AC126,'G-4 Temporal multipliers'!$A$4:$C$37,3,FALSE)),"")</f>
        <v/>
      </c>
      <c r="AE126" s="171" t="str">
        <f>IF(N126="","",VLOOKUP(N126,'G-7 Rivers Data'!$B$4:$G$8,5,FALSE))</f>
        <v/>
      </c>
      <c r="AF126" s="179" t="str">
        <f t="shared" si="13"/>
        <v/>
      </c>
      <c r="AG126" s="269" t="str">
        <f t="shared" si="14"/>
        <v/>
      </c>
      <c r="AH126" s="172" t="str">
        <f t="shared" si="8"/>
        <v/>
      </c>
      <c r="AI126" s="173"/>
      <c r="AJ126" s="172" t="str">
        <f>IF(AI126="","",IF(VLOOKUP(AI126,'G-7 Rivers Data'!$AA$4:$AB$7,2,FALSE)=0,"Spatial Data Missing",VLOOKUP(AI126,'G-7 Rivers Data'!$AA$4:$AB$7,2,FALSE)))</f>
        <v/>
      </c>
      <c r="AK126" s="187"/>
      <c r="AL126" s="172" t="str">
        <f>IF(AK126="","",IF(VLOOKUP(AK126,'G-7 Rivers Data'!$AD$4:$AE$8,2,FALSE)=0,"Spatial Data Missing",VLOOKUP(AK126,'G-7 Rivers Data'!$AD$4:$AE$8,2,FALSE)))</f>
        <v/>
      </c>
      <c r="AM126" s="265" t="str">
        <f t="shared" si="15"/>
        <v/>
      </c>
      <c r="AN126" s="180"/>
      <c r="AO126" s="181"/>
      <c r="AV126" s="35" t="str">
        <f>IFERROR(INDEX('G-7 Rivers Data'!$AZ$3:$AZ$7,MATCH(N126,'G-7 Rivers Data'!$AY$3:$AY$7,0)),"")</f>
        <v/>
      </c>
    </row>
    <row r="127" spans="2:48" ht="13.8" x14ac:dyDescent="0.25">
      <c r="B127" s="259" t="str">
        <f>'C-1 Site River Baseline'!AN125</f>
        <v/>
      </c>
      <c r="C127" s="175" t="str">
        <f>IF(B127="","",VLOOKUP($B127,'C-1 Site River Baseline'!$C$9:$R$257,2,FALSE))</f>
        <v/>
      </c>
      <c r="D127" s="175" t="str">
        <f>IF(C127="","",VLOOKUP($B127,'C-1 Site River Baseline'!$C$9:$R$257,3,FALSE))</f>
        <v/>
      </c>
      <c r="E127" s="175" t="str">
        <f>IF(D127="","",VLOOKUP($B127,'C-1 Site River Baseline'!$C$9:$R$257,4,FALSE))</f>
        <v/>
      </c>
      <c r="F127" s="175" t="str">
        <f>IF(E127="","",VLOOKUP($B127,'C-1 Site River Baseline'!$C$9:$R$257,5,FALSE))</f>
        <v/>
      </c>
      <c r="G127" s="175" t="str">
        <f>IF(F127="","",VLOOKUP($B127,'C-1 Site River Baseline'!$C$9:$R$257,6,FALSE))</f>
        <v/>
      </c>
      <c r="H127" s="175" t="str">
        <f>IF(G127="","",VLOOKUP($B127,'C-1 Site River Baseline'!$C$9:$R$257,7,FALSE))</f>
        <v/>
      </c>
      <c r="I127" s="175" t="str">
        <f>IF(H127="","",VLOOKUP($B127,'C-1 Site River Baseline'!$C$9:$R$257,8,FALSE))</f>
        <v/>
      </c>
      <c r="J127" s="175" t="str">
        <f>IF(I127="","",VLOOKUP($B127,'C-1 Site River Baseline'!$C$9:$R$257,9,FALSE))</f>
        <v/>
      </c>
      <c r="K127" s="175" t="str">
        <f>IF(J127="","",VLOOKUP($B127,'C-1 Site River Baseline'!$C$9:$R$257,10,FALSE))</f>
        <v/>
      </c>
      <c r="L127" s="175" t="str">
        <f>IF(B127="","",VLOOKUP($B127,'C-1 Site River Baseline'!$C$9:$R$257,15,FALSE))</f>
        <v/>
      </c>
      <c r="M127" s="176" t="str">
        <f>IF(L127="","",VLOOKUP($B127,'C-1 Site River Baseline'!$C$9:$R$257,16,FALSE))</f>
        <v/>
      </c>
      <c r="N127" s="639" t="str">
        <f t="shared" si="9"/>
        <v/>
      </c>
      <c r="O127" s="239" t="str">
        <f t="shared" si="10"/>
        <v/>
      </c>
      <c r="P127" s="172" t="str">
        <f>IF(C127="","",IF(AND(LEFT(C127,55)&lt;&gt;LEFT(N127,55),O127="High - High"),"Error - Not like for like",IF(AND(F127=S127,H127&gt;U127),"Error - Can not reduce condition",IF(AND(F127=S127,H127=U127,AJ127='C-1 Site River Baseline'!N125,'C-1 Site River Baseline'!P125=AL127),"Error - No enhancement",IF(AND(C127&lt;&gt;N127,F127&lt;S127),"Lower Distinctiveness Habitat"&amp;" - "&amp;T127,G127&amp;" - "&amp;T127)))))</f>
        <v/>
      </c>
      <c r="Q127" s="660" t="str">
        <f>IF(N127="","",VLOOKUP(B127,'C-1 Site River Baseline'!$C$10:$AA$257,19,FALSE))</f>
        <v/>
      </c>
      <c r="R127" s="171" t="str">
        <f>IF(N127="","",VLOOKUP(N127,'G-7 Rivers Data'!$B$2:$G$8,2,FALSE))</f>
        <v/>
      </c>
      <c r="S127" s="172" t="str">
        <f>IFERROR(VLOOKUP(R127,'G-7 Rivers Data'!$C$4:$D$8,2,FALSE),"")</f>
        <v/>
      </c>
      <c r="T127" s="173"/>
      <c r="U127" s="172" t="str">
        <f>IFERROR(INDEX('G-7 Rivers Data'!$H$4:$L$8,MATCH(N127,'G-7 Rivers Data'!$B$4:$B$8,0),MATCH(T127,'G-7 Rivers Data'!$H$3:$L$3,0)),"")</f>
        <v/>
      </c>
      <c r="V127" s="186"/>
      <c r="W127" s="175" t="str">
        <f>IF(V127="","",IF(VLOOKUP(V127,'G-7 Rivers Data'!$AG$4:$AI$9,2,FALSE)=0,"Spatial Data Missing",VLOOKUP(V127,'G-7 Rivers Data'!$AG$4:$AI$9,2,FALSE)))</f>
        <v/>
      </c>
      <c r="X127" s="176" t="str">
        <f>IF(V127="","",IF(VLOOKUP(V127,'G-7 Rivers Data'!$AG$4:$AI$9,3,FALSE)=0,"Spatial Data Missing",VLOOKUP(V127,'G-7 Rivers Data'!$AG$4:$AI$9,3,FALSE)))</f>
        <v/>
      </c>
      <c r="Y127" s="171" t="str">
        <f>IFERROR(IF(OR(LEFT(P127,5)="Error",LEFT(O127,5)="Error"),"Check Data",IF(F127&lt;S127,'G-7 Rivers Data'!$R$3,INDEX('G-7 Rivers Data'!$U$5:$Y$9,MATCH(G127,'G-7 Rivers Data'!$T$5:$T$9,0),MATCH(T127,'G-7 Rivers Data'!$U$4:$Y$4,0)))),"")</f>
        <v/>
      </c>
      <c r="Z127" s="261"/>
      <c r="AA127" s="261"/>
      <c r="AB127" s="179" t="str">
        <f t="shared" si="11"/>
        <v/>
      </c>
      <c r="AC127" s="262" t="str">
        <f t="shared" si="12"/>
        <v/>
      </c>
      <c r="AD127" s="382" t="str">
        <f>IFERROR(IF(AC127="Check Data","Check Data",VLOOKUP(AC127,'G-4 Temporal multipliers'!$A$4:$C$37,3,FALSE)),"")</f>
        <v/>
      </c>
      <c r="AE127" s="171" t="str">
        <f>IF(N127="","",VLOOKUP(N127,'G-7 Rivers Data'!$B$4:$G$8,5,FALSE))</f>
        <v/>
      </c>
      <c r="AF127" s="179" t="str">
        <f t="shared" si="13"/>
        <v/>
      </c>
      <c r="AG127" s="269" t="str">
        <f t="shared" si="14"/>
        <v/>
      </c>
      <c r="AH127" s="172" t="str">
        <f t="shared" si="8"/>
        <v/>
      </c>
      <c r="AI127" s="173"/>
      <c r="AJ127" s="172" t="str">
        <f>IF(AI127="","",IF(VLOOKUP(AI127,'G-7 Rivers Data'!$AA$4:$AB$7,2,FALSE)=0,"Spatial Data Missing",VLOOKUP(AI127,'G-7 Rivers Data'!$AA$4:$AB$7,2,FALSE)))</f>
        <v/>
      </c>
      <c r="AK127" s="187"/>
      <c r="AL127" s="172" t="str">
        <f>IF(AK127="","",IF(VLOOKUP(AK127,'G-7 Rivers Data'!$AD$4:$AE$8,2,FALSE)=0,"Spatial Data Missing",VLOOKUP(AK127,'G-7 Rivers Data'!$AD$4:$AE$8,2,FALSE)))</f>
        <v/>
      </c>
      <c r="AM127" s="265" t="str">
        <f t="shared" si="15"/>
        <v/>
      </c>
      <c r="AN127" s="180"/>
      <c r="AO127" s="181"/>
      <c r="AV127" s="35" t="str">
        <f>IFERROR(INDEX('G-7 Rivers Data'!$AZ$3:$AZ$7,MATCH(N127,'G-7 Rivers Data'!$AY$3:$AY$7,0)),"")</f>
        <v/>
      </c>
    </row>
    <row r="128" spans="2:48" ht="13.8" x14ac:dyDescent="0.25">
      <c r="B128" s="259" t="str">
        <f>'C-1 Site River Baseline'!AN126</f>
        <v/>
      </c>
      <c r="C128" s="175" t="str">
        <f>IF(B128="","",VLOOKUP($B128,'C-1 Site River Baseline'!$C$9:$R$257,2,FALSE))</f>
        <v/>
      </c>
      <c r="D128" s="175" t="str">
        <f>IF(C128="","",VLOOKUP($B128,'C-1 Site River Baseline'!$C$9:$R$257,3,FALSE))</f>
        <v/>
      </c>
      <c r="E128" s="175" t="str">
        <f>IF(D128="","",VLOOKUP($B128,'C-1 Site River Baseline'!$C$9:$R$257,4,FALSE))</f>
        <v/>
      </c>
      <c r="F128" s="175" t="str">
        <f>IF(E128="","",VLOOKUP($B128,'C-1 Site River Baseline'!$C$9:$R$257,5,FALSE))</f>
        <v/>
      </c>
      <c r="G128" s="175" t="str">
        <f>IF(F128="","",VLOOKUP($B128,'C-1 Site River Baseline'!$C$9:$R$257,6,FALSE))</f>
        <v/>
      </c>
      <c r="H128" s="175" t="str">
        <f>IF(G128="","",VLOOKUP($B128,'C-1 Site River Baseline'!$C$9:$R$257,7,FALSE))</f>
        <v/>
      </c>
      <c r="I128" s="175" t="str">
        <f>IF(H128="","",VLOOKUP($B128,'C-1 Site River Baseline'!$C$9:$R$257,8,FALSE))</f>
        <v/>
      </c>
      <c r="J128" s="175" t="str">
        <f>IF(I128="","",VLOOKUP($B128,'C-1 Site River Baseline'!$C$9:$R$257,9,FALSE))</f>
        <v/>
      </c>
      <c r="K128" s="175" t="str">
        <f>IF(J128="","",VLOOKUP($B128,'C-1 Site River Baseline'!$C$9:$R$257,10,FALSE))</f>
        <v/>
      </c>
      <c r="L128" s="175" t="str">
        <f>IF(B128="","",VLOOKUP($B128,'C-1 Site River Baseline'!$C$9:$R$257,15,FALSE))</f>
        <v/>
      </c>
      <c r="M128" s="176" t="str">
        <f>IF(L128="","",VLOOKUP($B128,'C-1 Site River Baseline'!$C$9:$R$257,16,FALSE))</f>
        <v/>
      </c>
      <c r="N128" s="639" t="str">
        <f t="shared" si="9"/>
        <v/>
      </c>
      <c r="O128" s="239" t="str">
        <f t="shared" si="10"/>
        <v/>
      </c>
      <c r="P128" s="172" t="str">
        <f>IF(C128="","",IF(AND(LEFT(C128,55)&lt;&gt;LEFT(N128,55),O128="High - High"),"Error - Not like for like",IF(AND(F128=S128,H128&gt;U128),"Error - Can not reduce condition",IF(AND(F128=S128,H128=U128,AJ128='C-1 Site River Baseline'!N126,'C-1 Site River Baseline'!P126=AL128),"Error - No enhancement",IF(AND(C128&lt;&gt;N128,F128&lt;S128),"Lower Distinctiveness Habitat"&amp;" - "&amp;T128,G128&amp;" - "&amp;T128)))))</f>
        <v/>
      </c>
      <c r="Q128" s="660" t="str">
        <f>IF(N128="","",VLOOKUP(B128,'C-1 Site River Baseline'!$C$10:$AA$257,19,FALSE))</f>
        <v/>
      </c>
      <c r="R128" s="171" t="str">
        <f>IF(N128="","",VLOOKUP(N128,'G-7 Rivers Data'!$B$2:$G$8,2,FALSE))</f>
        <v/>
      </c>
      <c r="S128" s="172" t="str">
        <f>IFERROR(VLOOKUP(R128,'G-7 Rivers Data'!$C$4:$D$8,2,FALSE),"")</f>
        <v/>
      </c>
      <c r="T128" s="173"/>
      <c r="U128" s="172" t="str">
        <f>IFERROR(INDEX('G-7 Rivers Data'!$H$4:$L$8,MATCH(N128,'G-7 Rivers Data'!$B$4:$B$8,0),MATCH(T128,'G-7 Rivers Data'!$H$3:$L$3,0)),"")</f>
        <v/>
      </c>
      <c r="V128" s="186"/>
      <c r="W128" s="175" t="str">
        <f>IF(V128="","",IF(VLOOKUP(V128,'G-7 Rivers Data'!$AG$4:$AI$9,2,FALSE)=0,"Spatial Data Missing",VLOOKUP(V128,'G-7 Rivers Data'!$AG$4:$AI$9,2,FALSE)))</f>
        <v/>
      </c>
      <c r="X128" s="176" t="str">
        <f>IF(V128="","",IF(VLOOKUP(V128,'G-7 Rivers Data'!$AG$4:$AI$9,3,FALSE)=0,"Spatial Data Missing",VLOOKUP(V128,'G-7 Rivers Data'!$AG$4:$AI$9,3,FALSE)))</f>
        <v/>
      </c>
      <c r="Y128" s="171" t="str">
        <f>IFERROR(IF(OR(LEFT(P128,5)="Error",LEFT(O128,5)="Error"),"Check Data",IF(F128&lt;S128,'G-7 Rivers Data'!$R$3,INDEX('G-7 Rivers Data'!$U$5:$Y$9,MATCH(G128,'G-7 Rivers Data'!$T$5:$T$9,0),MATCH(T128,'G-7 Rivers Data'!$U$4:$Y$4,0)))),"")</f>
        <v/>
      </c>
      <c r="Z128" s="261"/>
      <c r="AA128" s="261"/>
      <c r="AB128" s="179" t="str">
        <f t="shared" si="11"/>
        <v/>
      </c>
      <c r="AC128" s="262" t="str">
        <f t="shared" si="12"/>
        <v/>
      </c>
      <c r="AD128" s="382" t="str">
        <f>IFERROR(IF(AC128="Check Data","Check Data",VLOOKUP(AC128,'G-4 Temporal multipliers'!$A$4:$C$37,3,FALSE)),"")</f>
        <v/>
      </c>
      <c r="AE128" s="171" t="str">
        <f>IF(N128="","",VLOOKUP(N128,'G-7 Rivers Data'!$B$4:$G$8,5,FALSE))</f>
        <v/>
      </c>
      <c r="AF128" s="179" t="str">
        <f t="shared" si="13"/>
        <v/>
      </c>
      <c r="AG128" s="269" t="str">
        <f t="shared" si="14"/>
        <v/>
      </c>
      <c r="AH128" s="172" t="str">
        <f t="shared" si="8"/>
        <v/>
      </c>
      <c r="AI128" s="173"/>
      <c r="AJ128" s="172" t="str">
        <f>IF(AI128="","",IF(VLOOKUP(AI128,'G-7 Rivers Data'!$AA$4:$AB$7,2,FALSE)=0,"Spatial Data Missing",VLOOKUP(AI128,'G-7 Rivers Data'!$AA$4:$AB$7,2,FALSE)))</f>
        <v/>
      </c>
      <c r="AK128" s="187"/>
      <c r="AL128" s="172" t="str">
        <f>IF(AK128="","",IF(VLOOKUP(AK128,'G-7 Rivers Data'!$AD$4:$AE$8,2,FALSE)=0,"Spatial Data Missing",VLOOKUP(AK128,'G-7 Rivers Data'!$AD$4:$AE$8,2,FALSE)))</f>
        <v/>
      </c>
      <c r="AM128" s="265" t="str">
        <f t="shared" si="15"/>
        <v/>
      </c>
      <c r="AN128" s="180"/>
      <c r="AO128" s="181"/>
      <c r="AV128" s="35" t="str">
        <f>IFERROR(INDEX('G-7 Rivers Data'!$AZ$3:$AZ$7,MATCH(N128,'G-7 Rivers Data'!$AY$3:$AY$7,0)),"")</f>
        <v/>
      </c>
    </row>
    <row r="129" spans="2:48" ht="13.8" x14ac:dyDescent="0.25">
      <c r="B129" s="259" t="str">
        <f>'C-1 Site River Baseline'!AN127</f>
        <v/>
      </c>
      <c r="C129" s="175" t="str">
        <f>IF(B129="","",VLOOKUP($B129,'C-1 Site River Baseline'!$C$9:$R$257,2,FALSE))</f>
        <v/>
      </c>
      <c r="D129" s="175" t="str">
        <f>IF(C129="","",VLOOKUP($B129,'C-1 Site River Baseline'!$C$9:$R$257,3,FALSE))</f>
        <v/>
      </c>
      <c r="E129" s="175" t="str">
        <f>IF(D129="","",VLOOKUP($B129,'C-1 Site River Baseline'!$C$9:$R$257,4,FALSE))</f>
        <v/>
      </c>
      <c r="F129" s="175" t="str">
        <f>IF(E129="","",VLOOKUP($B129,'C-1 Site River Baseline'!$C$9:$R$257,5,FALSE))</f>
        <v/>
      </c>
      <c r="G129" s="175" t="str">
        <f>IF(F129="","",VLOOKUP($B129,'C-1 Site River Baseline'!$C$9:$R$257,6,FALSE))</f>
        <v/>
      </c>
      <c r="H129" s="175" t="str">
        <f>IF(G129="","",VLOOKUP($B129,'C-1 Site River Baseline'!$C$9:$R$257,7,FALSE))</f>
        <v/>
      </c>
      <c r="I129" s="175" t="str">
        <f>IF(H129="","",VLOOKUP($B129,'C-1 Site River Baseline'!$C$9:$R$257,8,FALSE))</f>
        <v/>
      </c>
      <c r="J129" s="175" t="str">
        <f>IF(I129="","",VLOOKUP($B129,'C-1 Site River Baseline'!$C$9:$R$257,9,FALSE))</f>
        <v/>
      </c>
      <c r="K129" s="175" t="str">
        <f>IF(J129="","",VLOOKUP($B129,'C-1 Site River Baseline'!$C$9:$R$257,10,FALSE))</f>
        <v/>
      </c>
      <c r="L129" s="175" t="str">
        <f>IF(B129="","",VLOOKUP($B129,'C-1 Site River Baseline'!$C$9:$R$257,15,FALSE))</f>
        <v/>
      </c>
      <c r="M129" s="176" t="str">
        <f>IF(L129="","",VLOOKUP($B129,'C-1 Site River Baseline'!$C$9:$R$257,16,FALSE))</f>
        <v/>
      </c>
      <c r="N129" s="639" t="str">
        <f t="shared" si="9"/>
        <v/>
      </c>
      <c r="O129" s="239" t="str">
        <f t="shared" si="10"/>
        <v/>
      </c>
      <c r="P129" s="172" t="str">
        <f>IF(C129="","",IF(AND(LEFT(C129,55)&lt;&gt;LEFT(N129,55),O129="High - High"),"Error - Not like for like",IF(AND(F129=S129,H129&gt;U129),"Error - Can not reduce condition",IF(AND(F129=S129,H129=U129,AJ129='C-1 Site River Baseline'!N127,'C-1 Site River Baseline'!P127=AL129),"Error - No enhancement",IF(AND(C129&lt;&gt;N129,F129&lt;S129),"Lower Distinctiveness Habitat"&amp;" - "&amp;T129,G129&amp;" - "&amp;T129)))))</f>
        <v/>
      </c>
      <c r="Q129" s="660" t="str">
        <f>IF(N129="","",VLOOKUP(B129,'C-1 Site River Baseline'!$C$10:$AA$257,19,FALSE))</f>
        <v/>
      </c>
      <c r="R129" s="171" t="str">
        <f>IF(N129="","",VLOOKUP(N129,'G-7 Rivers Data'!$B$2:$G$8,2,FALSE))</f>
        <v/>
      </c>
      <c r="S129" s="172" t="str">
        <f>IFERROR(VLOOKUP(R129,'G-7 Rivers Data'!$C$4:$D$8,2,FALSE),"")</f>
        <v/>
      </c>
      <c r="T129" s="173"/>
      <c r="U129" s="172" t="str">
        <f>IFERROR(INDEX('G-7 Rivers Data'!$H$4:$L$8,MATCH(N129,'G-7 Rivers Data'!$B$4:$B$8,0),MATCH(T129,'G-7 Rivers Data'!$H$3:$L$3,0)),"")</f>
        <v/>
      </c>
      <c r="V129" s="186"/>
      <c r="W129" s="175" t="str">
        <f>IF(V129="","",IF(VLOOKUP(V129,'G-7 Rivers Data'!$AG$4:$AI$9,2,FALSE)=0,"Spatial Data Missing",VLOOKUP(V129,'G-7 Rivers Data'!$AG$4:$AI$9,2,FALSE)))</f>
        <v/>
      </c>
      <c r="X129" s="176" t="str">
        <f>IF(V129="","",IF(VLOOKUP(V129,'G-7 Rivers Data'!$AG$4:$AI$9,3,FALSE)=0,"Spatial Data Missing",VLOOKUP(V129,'G-7 Rivers Data'!$AG$4:$AI$9,3,FALSE)))</f>
        <v/>
      </c>
      <c r="Y129" s="171" t="str">
        <f>IFERROR(IF(OR(LEFT(P129,5)="Error",LEFT(O129,5)="Error"),"Check Data",IF(F129&lt;S129,'G-7 Rivers Data'!$R$3,INDEX('G-7 Rivers Data'!$U$5:$Y$9,MATCH(G129,'G-7 Rivers Data'!$T$5:$T$9,0),MATCH(T129,'G-7 Rivers Data'!$U$4:$Y$4,0)))),"")</f>
        <v/>
      </c>
      <c r="Z129" s="261"/>
      <c r="AA129" s="261"/>
      <c r="AB129" s="179" t="str">
        <f t="shared" si="11"/>
        <v/>
      </c>
      <c r="AC129" s="262" t="str">
        <f t="shared" si="12"/>
        <v/>
      </c>
      <c r="AD129" s="382" t="str">
        <f>IFERROR(IF(AC129="Check Data","Check Data",VLOOKUP(AC129,'G-4 Temporal multipliers'!$A$4:$C$37,3,FALSE)),"")</f>
        <v/>
      </c>
      <c r="AE129" s="171" t="str">
        <f>IF(N129="","",VLOOKUP(N129,'G-7 Rivers Data'!$B$4:$G$8,5,FALSE))</f>
        <v/>
      </c>
      <c r="AF129" s="179" t="str">
        <f t="shared" si="13"/>
        <v/>
      </c>
      <c r="AG129" s="269" t="str">
        <f t="shared" si="14"/>
        <v/>
      </c>
      <c r="AH129" s="172" t="str">
        <f t="shared" si="8"/>
        <v/>
      </c>
      <c r="AI129" s="173"/>
      <c r="AJ129" s="172" t="str">
        <f>IF(AI129="","",IF(VLOOKUP(AI129,'G-7 Rivers Data'!$AA$4:$AB$7,2,FALSE)=0,"Spatial Data Missing",VLOOKUP(AI129,'G-7 Rivers Data'!$AA$4:$AB$7,2,FALSE)))</f>
        <v/>
      </c>
      <c r="AK129" s="187"/>
      <c r="AL129" s="172" t="str">
        <f>IF(AK129="","",IF(VLOOKUP(AK129,'G-7 Rivers Data'!$AD$4:$AE$8,2,FALSE)=0,"Spatial Data Missing",VLOOKUP(AK129,'G-7 Rivers Data'!$AD$4:$AE$8,2,FALSE)))</f>
        <v/>
      </c>
      <c r="AM129" s="265" t="str">
        <f t="shared" si="15"/>
        <v/>
      </c>
      <c r="AN129" s="180"/>
      <c r="AO129" s="181"/>
      <c r="AV129" s="35" t="str">
        <f>IFERROR(INDEX('G-7 Rivers Data'!$AZ$3:$AZ$7,MATCH(N129,'G-7 Rivers Data'!$AY$3:$AY$7,0)),"")</f>
        <v/>
      </c>
    </row>
    <row r="130" spans="2:48" ht="13.8" x14ac:dyDescent="0.25">
      <c r="B130" s="259" t="str">
        <f>'C-1 Site River Baseline'!AN128</f>
        <v/>
      </c>
      <c r="C130" s="175" t="str">
        <f>IF(B130="","",VLOOKUP($B130,'C-1 Site River Baseline'!$C$9:$R$257,2,FALSE))</f>
        <v/>
      </c>
      <c r="D130" s="175" t="str">
        <f>IF(C130="","",VLOOKUP($B130,'C-1 Site River Baseline'!$C$9:$R$257,3,FALSE))</f>
        <v/>
      </c>
      <c r="E130" s="175" t="str">
        <f>IF(D130="","",VLOOKUP($B130,'C-1 Site River Baseline'!$C$9:$R$257,4,FALSE))</f>
        <v/>
      </c>
      <c r="F130" s="175" t="str">
        <f>IF(E130="","",VLOOKUP($B130,'C-1 Site River Baseline'!$C$9:$R$257,5,FALSE))</f>
        <v/>
      </c>
      <c r="G130" s="175" t="str">
        <f>IF(F130="","",VLOOKUP($B130,'C-1 Site River Baseline'!$C$9:$R$257,6,FALSE))</f>
        <v/>
      </c>
      <c r="H130" s="175" t="str">
        <f>IF(G130="","",VLOOKUP($B130,'C-1 Site River Baseline'!$C$9:$R$257,7,FALSE))</f>
        <v/>
      </c>
      <c r="I130" s="175" t="str">
        <f>IF(H130="","",VLOOKUP($B130,'C-1 Site River Baseline'!$C$9:$R$257,8,FALSE))</f>
        <v/>
      </c>
      <c r="J130" s="175" t="str">
        <f>IF(I130="","",VLOOKUP($B130,'C-1 Site River Baseline'!$C$9:$R$257,9,FALSE))</f>
        <v/>
      </c>
      <c r="K130" s="175" t="str">
        <f>IF(J130="","",VLOOKUP($B130,'C-1 Site River Baseline'!$C$9:$R$257,10,FALSE))</f>
        <v/>
      </c>
      <c r="L130" s="175" t="str">
        <f>IF(B130="","",VLOOKUP($B130,'C-1 Site River Baseline'!$C$9:$R$257,15,FALSE))</f>
        <v/>
      </c>
      <c r="M130" s="176" t="str">
        <f>IF(L130="","",VLOOKUP($B130,'C-1 Site River Baseline'!$C$9:$R$257,16,FALSE))</f>
        <v/>
      </c>
      <c r="N130" s="639" t="str">
        <f t="shared" si="9"/>
        <v/>
      </c>
      <c r="O130" s="239" t="str">
        <f t="shared" si="10"/>
        <v/>
      </c>
      <c r="P130" s="172" t="str">
        <f>IF(C130="","",IF(AND(LEFT(C130,55)&lt;&gt;LEFT(N130,55),O130="High - High"),"Error - Not like for like",IF(AND(F130=S130,H130&gt;U130),"Error - Can not reduce condition",IF(AND(F130=S130,H130=U130,AJ130='C-1 Site River Baseline'!N128,'C-1 Site River Baseline'!P128=AL130),"Error - No enhancement",IF(AND(C130&lt;&gt;N130,F130&lt;S130),"Lower Distinctiveness Habitat"&amp;" - "&amp;T130,G130&amp;" - "&amp;T130)))))</f>
        <v/>
      </c>
      <c r="Q130" s="660" t="str">
        <f>IF(N130="","",VLOOKUP(B130,'C-1 Site River Baseline'!$C$10:$AA$257,19,FALSE))</f>
        <v/>
      </c>
      <c r="R130" s="171" t="str">
        <f>IF(N130="","",VLOOKUP(N130,'G-7 Rivers Data'!$B$2:$G$8,2,FALSE))</f>
        <v/>
      </c>
      <c r="S130" s="172" t="str">
        <f>IFERROR(VLOOKUP(R130,'G-7 Rivers Data'!$C$4:$D$8,2,FALSE),"")</f>
        <v/>
      </c>
      <c r="T130" s="173"/>
      <c r="U130" s="172" t="str">
        <f>IFERROR(INDEX('G-7 Rivers Data'!$H$4:$L$8,MATCH(N130,'G-7 Rivers Data'!$B$4:$B$8,0),MATCH(T130,'G-7 Rivers Data'!$H$3:$L$3,0)),"")</f>
        <v/>
      </c>
      <c r="V130" s="186"/>
      <c r="W130" s="175" t="str">
        <f>IF(V130="","",IF(VLOOKUP(V130,'G-7 Rivers Data'!$AG$4:$AI$9,2,FALSE)=0,"Spatial Data Missing",VLOOKUP(V130,'G-7 Rivers Data'!$AG$4:$AI$9,2,FALSE)))</f>
        <v/>
      </c>
      <c r="X130" s="176" t="str">
        <f>IF(V130="","",IF(VLOOKUP(V130,'G-7 Rivers Data'!$AG$4:$AI$9,3,FALSE)=0,"Spatial Data Missing",VLOOKUP(V130,'G-7 Rivers Data'!$AG$4:$AI$9,3,FALSE)))</f>
        <v/>
      </c>
      <c r="Y130" s="171" t="str">
        <f>IFERROR(IF(OR(LEFT(P130,5)="Error",LEFT(O130,5)="Error"),"Check Data",IF(F130&lt;S130,'G-7 Rivers Data'!$R$3,INDEX('G-7 Rivers Data'!$U$5:$Y$9,MATCH(G130,'G-7 Rivers Data'!$T$5:$T$9,0),MATCH(T130,'G-7 Rivers Data'!$U$4:$Y$4,0)))),"")</f>
        <v/>
      </c>
      <c r="Z130" s="261"/>
      <c r="AA130" s="261"/>
      <c r="AB130" s="179" t="str">
        <f t="shared" si="11"/>
        <v/>
      </c>
      <c r="AC130" s="262" t="str">
        <f t="shared" si="12"/>
        <v/>
      </c>
      <c r="AD130" s="382" t="str">
        <f>IFERROR(IF(AC130="Check Data","Check Data",VLOOKUP(AC130,'G-4 Temporal multipliers'!$A$4:$C$37,3,FALSE)),"")</f>
        <v/>
      </c>
      <c r="AE130" s="171" t="str">
        <f>IF(N130="","",VLOOKUP(N130,'G-7 Rivers Data'!$B$4:$G$8,5,FALSE))</f>
        <v/>
      </c>
      <c r="AF130" s="179" t="str">
        <f t="shared" si="13"/>
        <v/>
      </c>
      <c r="AG130" s="269" t="str">
        <f t="shared" si="14"/>
        <v/>
      </c>
      <c r="AH130" s="172" t="str">
        <f t="shared" si="8"/>
        <v/>
      </c>
      <c r="AI130" s="173"/>
      <c r="AJ130" s="172" t="str">
        <f>IF(AI130="","",IF(VLOOKUP(AI130,'G-7 Rivers Data'!$AA$4:$AB$7,2,FALSE)=0,"Spatial Data Missing",VLOOKUP(AI130,'G-7 Rivers Data'!$AA$4:$AB$7,2,FALSE)))</f>
        <v/>
      </c>
      <c r="AK130" s="187"/>
      <c r="AL130" s="172" t="str">
        <f>IF(AK130="","",IF(VLOOKUP(AK130,'G-7 Rivers Data'!$AD$4:$AE$8,2,FALSE)=0,"Spatial Data Missing",VLOOKUP(AK130,'G-7 Rivers Data'!$AD$4:$AE$8,2,FALSE)))</f>
        <v/>
      </c>
      <c r="AM130" s="265" t="str">
        <f t="shared" si="15"/>
        <v/>
      </c>
      <c r="AN130" s="180"/>
      <c r="AO130" s="181"/>
      <c r="AV130" s="35" t="str">
        <f>IFERROR(INDEX('G-7 Rivers Data'!$AZ$3:$AZ$7,MATCH(N130,'G-7 Rivers Data'!$AY$3:$AY$7,0)),"")</f>
        <v/>
      </c>
    </row>
    <row r="131" spans="2:48" ht="13.8" x14ac:dyDescent="0.25">
      <c r="B131" s="259" t="str">
        <f>'C-1 Site River Baseline'!AN129</f>
        <v/>
      </c>
      <c r="C131" s="175" t="str">
        <f>IF(B131="","",VLOOKUP($B131,'C-1 Site River Baseline'!$C$9:$R$257,2,FALSE))</f>
        <v/>
      </c>
      <c r="D131" s="175" t="str">
        <f>IF(C131="","",VLOOKUP($B131,'C-1 Site River Baseline'!$C$9:$R$257,3,FALSE))</f>
        <v/>
      </c>
      <c r="E131" s="175" t="str">
        <f>IF(D131="","",VLOOKUP($B131,'C-1 Site River Baseline'!$C$9:$R$257,4,FALSE))</f>
        <v/>
      </c>
      <c r="F131" s="175" t="str">
        <f>IF(E131="","",VLOOKUP($B131,'C-1 Site River Baseline'!$C$9:$R$257,5,FALSE))</f>
        <v/>
      </c>
      <c r="G131" s="175" t="str">
        <f>IF(F131="","",VLOOKUP($B131,'C-1 Site River Baseline'!$C$9:$R$257,6,FALSE))</f>
        <v/>
      </c>
      <c r="H131" s="175" t="str">
        <f>IF(G131="","",VLOOKUP($B131,'C-1 Site River Baseline'!$C$9:$R$257,7,FALSE))</f>
        <v/>
      </c>
      <c r="I131" s="175" t="str">
        <f>IF(H131="","",VLOOKUP($B131,'C-1 Site River Baseline'!$C$9:$R$257,8,FALSE))</f>
        <v/>
      </c>
      <c r="J131" s="175" t="str">
        <f>IF(I131="","",VLOOKUP($B131,'C-1 Site River Baseline'!$C$9:$R$257,9,FALSE))</f>
        <v/>
      </c>
      <c r="K131" s="175" t="str">
        <f>IF(J131="","",VLOOKUP($B131,'C-1 Site River Baseline'!$C$9:$R$257,10,FALSE))</f>
        <v/>
      </c>
      <c r="L131" s="175" t="str">
        <f>IF(B131="","",VLOOKUP($B131,'C-1 Site River Baseline'!$C$9:$R$257,15,FALSE))</f>
        <v/>
      </c>
      <c r="M131" s="176" t="str">
        <f>IF(L131="","",VLOOKUP($B131,'C-1 Site River Baseline'!$C$9:$R$257,16,FALSE))</f>
        <v/>
      </c>
      <c r="N131" s="639" t="str">
        <f t="shared" si="9"/>
        <v/>
      </c>
      <c r="O131" s="239" t="str">
        <f t="shared" si="10"/>
        <v/>
      </c>
      <c r="P131" s="172" t="str">
        <f>IF(C131="","",IF(AND(LEFT(C131,55)&lt;&gt;LEFT(N131,55),O131="High - High"),"Error - Not like for like",IF(AND(F131=S131,H131&gt;U131),"Error - Can not reduce condition",IF(AND(F131=S131,H131=U131,AJ131='C-1 Site River Baseline'!N129,'C-1 Site River Baseline'!P129=AL131),"Error - No enhancement",IF(AND(C131&lt;&gt;N131,F131&lt;S131),"Lower Distinctiveness Habitat"&amp;" - "&amp;T131,G131&amp;" - "&amp;T131)))))</f>
        <v/>
      </c>
      <c r="Q131" s="660" t="str">
        <f>IF(N131="","",VLOOKUP(B131,'C-1 Site River Baseline'!$C$10:$AA$257,19,FALSE))</f>
        <v/>
      </c>
      <c r="R131" s="171" t="str">
        <f>IF(N131="","",VLOOKUP(N131,'G-7 Rivers Data'!$B$2:$G$8,2,FALSE))</f>
        <v/>
      </c>
      <c r="S131" s="172" t="str">
        <f>IFERROR(VLOOKUP(R131,'G-7 Rivers Data'!$C$4:$D$8,2,FALSE),"")</f>
        <v/>
      </c>
      <c r="T131" s="173"/>
      <c r="U131" s="172" t="str">
        <f>IFERROR(INDEX('G-7 Rivers Data'!$H$4:$L$8,MATCH(N131,'G-7 Rivers Data'!$B$4:$B$8,0),MATCH(T131,'G-7 Rivers Data'!$H$3:$L$3,0)),"")</f>
        <v/>
      </c>
      <c r="V131" s="186"/>
      <c r="W131" s="175" t="str">
        <f>IF(V131="","",IF(VLOOKUP(V131,'G-7 Rivers Data'!$AG$4:$AI$9,2,FALSE)=0,"Spatial Data Missing",VLOOKUP(V131,'G-7 Rivers Data'!$AG$4:$AI$9,2,FALSE)))</f>
        <v/>
      </c>
      <c r="X131" s="176" t="str">
        <f>IF(V131="","",IF(VLOOKUP(V131,'G-7 Rivers Data'!$AG$4:$AI$9,3,FALSE)=0,"Spatial Data Missing",VLOOKUP(V131,'G-7 Rivers Data'!$AG$4:$AI$9,3,FALSE)))</f>
        <v/>
      </c>
      <c r="Y131" s="171" t="str">
        <f>IFERROR(IF(OR(LEFT(P131,5)="Error",LEFT(O131,5)="Error"),"Check Data",IF(F131&lt;S131,'G-7 Rivers Data'!$R$3,INDEX('G-7 Rivers Data'!$U$5:$Y$9,MATCH(G131,'G-7 Rivers Data'!$T$5:$T$9,0),MATCH(T131,'G-7 Rivers Data'!$U$4:$Y$4,0)))),"")</f>
        <v/>
      </c>
      <c r="Z131" s="261"/>
      <c r="AA131" s="261"/>
      <c r="AB131" s="179" t="str">
        <f t="shared" si="11"/>
        <v/>
      </c>
      <c r="AC131" s="262" t="str">
        <f t="shared" si="12"/>
        <v/>
      </c>
      <c r="AD131" s="382" t="str">
        <f>IFERROR(IF(AC131="Check Data","Check Data",VLOOKUP(AC131,'G-4 Temporal multipliers'!$A$4:$C$37,3,FALSE)),"")</f>
        <v/>
      </c>
      <c r="AE131" s="171" t="str">
        <f>IF(N131="","",VLOOKUP(N131,'G-7 Rivers Data'!$B$4:$G$8,5,FALSE))</f>
        <v/>
      </c>
      <c r="AF131" s="179" t="str">
        <f t="shared" si="13"/>
        <v/>
      </c>
      <c r="AG131" s="269" t="str">
        <f t="shared" si="14"/>
        <v/>
      </c>
      <c r="AH131" s="172" t="str">
        <f t="shared" si="8"/>
        <v/>
      </c>
      <c r="AI131" s="173"/>
      <c r="AJ131" s="172" t="str">
        <f>IF(AI131="","",IF(VLOOKUP(AI131,'G-7 Rivers Data'!$AA$4:$AB$7,2,FALSE)=0,"Spatial Data Missing",VLOOKUP(AI131,'G-7 Rivers Data'!$AA$4:$AB$7,2,FALSE)))</f>
        <v/>
      </c>
      <c r="AK131" s="187"/>
      <c r="AL131" s="172" t="str">
        <f>IF(AK131="","",IF(VLOOKUP(AK131,'G-7 Rivers Data'!$AD$4:$AE$8,2,FALSE)=0,"Spatial Data Missing",VLOOKUP(AK131,'G-7 Rivers Data'!$AD$4:$AE$8,2,FALSE)))</f>
        <v/>
      </c>
      <c r="AM131" s="265" t="str">
        <f t="shared" si="15"/>
        <v/>
      </c>
      <c r="AN131" s="180"/>
      <c r="AO131" s="181"/>
      <c r="AV131" s="35" t="str">
        <f>IFERROR(INDEX('G-7 Rivers Data'!$AZ$3:$AZ$7,MATCH(N131,'G-7 Rivers Data'!$AY$3:$AY$7,0)),"")</f>
        <v/>
      </c>
    </row>
    <row r="132" spans="2:48" ht="13.8" x14ac:dyDescent="0.25">
      <c r="B132" s="259" t="str">
        <f>'C-1 Site River Baseline'!AN130</f>
        <v/>
      </c>
      <c r="C132" s="175" t="str">
        <f>IF(B132="","",VLOOKUP($B132,'C-1 Site River Baseline'!$C$9:$R$257,2,FALSE))</f>
        <v/>
      </c>
      <c r="D132" s="175" t="str">
        <f>IF(C132="","",VLOOKUP($B132,'C-1 Site River Baseline'!$C$9:$R$257,3,FALSE))</f>
        <v/>
      </c>
      <c r="E132" s="175" t="str">
        <f>IF(D132="","",VLOOKUP($B132,'C-1 Site River Baseline'!$C$9:$R$257,4,FALSE))</f>
        <v/>
      </c>
      <c r="F132" s="175" t="str">
        <f>IF(E132="","",VLOOKUP($B132,'C-1 Site River Baseline'!$C$9:$R$257,5,FALSE))</f>
        <v/>
      </c>
      <c r="G132" s="175" t="str">
        <f>IF(F132="","",VLOOKUP($B132,'C-1 Site River Baseline'!$C$9:$R$257,6,FALSE))</f>
        <v/>
      </c>
      <c r="H132" s="175" t="str">
        <f>IF(G132="","",VLOOKUP($B132,'C-1 Site River Baseline'!$C$9:$R$257,7,FALSE))</f>
        <v/>
      </c>
      <c r="I132" s="175" t="str">
        <f>IF(H132="","",VLOOKUP($B132,'C-1 Site River Baseline'!$C$9:$R$257,8,FALSE))</f>
        <v/>
      </c>
      <c r="J132" s="175" t="str">
        <f>IF(I132="","",VLOOKUP($B132,'C-1 Site River Baseline'!$C$9:$R$257,9,FALSE))</f>
        <v/>
      </c>
      <c r="K132" s="175" t="str">
        <f>IF(J132="","",VLOOKUP($B132,'C-1 Site River Baseline'!$C$9:$R$257,10,FALSE))</f>
        <v/>
      </c>
      <c r="L132" s="175" t="str">
        <f>IF(B132="","",VLOOKUP($B132,'C-1 Site River Baseline'!$C$9:$R$257,15,FALSE))</f>
        <v/>
      </c>
      <c r="M132" s="176" t="str">
        <f>IF(L132="","",VLOOKUP($B132,'C-1 Site River Baseline'!$C$9:$R$257,16,FALSE))</f>
        <v/>
      </c>
      <c r="N132" s="639" t="str">
        <f t="shared" si="9"/>
        <v/>
      </c>
      <c r="O132" s="239" t="str">
        <f t="shared" si="10"/>
        <v/>
      </c>
      <c r="P132" s="172" t="str">
        <f>IF(C132="","",IF(AND(LEFT(C132,55)&lt;&gt;LEFT(N132,55),O132="High - High"),"Error - Not like for like",IF(AND(F132=S132,H132&gt;U132),"Error - Can not reduce condition",IF(AND(F132=S132,H132=U132,AJ132='C-1 Site River Baseline'!N130,'C-1 Site River Baseline'!P130=AL132),"Error - No enhancement",IF(AND(C132&lt;&gt;N132,F132&lt;S132),"Lower Distinctiveness Habitat"&amp;" - "&amp;T132,G132&amp;" - "&amp;T132)))))</f>
        <v/>
      </c>
      <c r="Q132" s="660" t="str">
        <f>IF(N132="","",VLOOKUP(B132,'C-1 Site River Baseline'!$C$10:$AA$257,19,FALSE))</f>
        <v/>
      </c>
      <c r="R132" s="171" t="str">
        <f>IF(N132="","",VLOOKUP(N132,'G-7 Rivers Data'!$B$2:$G$8,2,FALSE))</f>
        <v/>
      </c>
      <c r="S132" s="172" t="str">
        <f>IFERROR(VLOOKUP(R132,'G-7 Rivers Data'!$C$4:$D$8,2,FALSE),"")</f>
        <v/>
      </c>
      <c r="T132" s="173"/>
      <c r="U132" s="172" t="str">
        <f>IFERROR(INDEX('G-7 Rivers Data'!$H$4:$L$8,MATCH(N132,'G-7 Rivers Data'!$B$4:$B$8,0),MATCH(T132,'G-7 Rivers Data'!$H$3:$L$3,0)),"")</f>
        <v/>
      </c>
      <c r="V132" s="186"/>
      <c r="W132" s="175" t="str">
        <f>IF(V132="","",IF(VLOOKUP(V132,'G-7 Rivers Data'!$AG$4:$AI$9,2,FALSE)=0,"Spatial Data Missing",VLOOKUP(V132,'G-7 Rivers Data'!$AG$4:$AI$9,2,FALSE)))</f>
        <v/>
      </c>
      <c r="X132" s="176" t="str">
        <f>IF(V132="","",IF(VLOOKUP(V132,'G-7 Rivers Data'!$AG$4:$AI$9,3,FALSE)=0,"Spatial Data Missing",VLOOKUP(V132,'G-7 Rivers Data'!$AG$4:$AI$9,3,FALSE)))</f>
        <v/>
      </c>
      <c r="Y132" s="171" t="str">
        <f>IFERROR(IF(OR(LEFT(P132,5)="Error",LEFT(O132,5)="Error"),"Check Data",IF(F132&lt;S132,'G-7 Rivers Data'!$R$3,INDEX('G-7 Rivers Data'!$U$5:$Y$9,MATCH(G132,'G-7 Rivers Data'!$T$5:$T$9,0),MATCH(T132,'G-7 Rivers Data'!$U$4:$Y$4,0)))),"")</f>
        <v/>
      </c>
      <c r="Z132" s="261"/>
      <c r="AA132" s="261"/>
      <c r="AB132" s="179" t="str">
        <f t="shared" si="11"/>
        <v/>
      </c>
      <c r="AC132" s="262" t="str">
        <f t="shared" si="12"/>
        <v/>
      </c>
      <c r="AD132" s="382" t="str">
        <f>IFERROR(IF(AC132="Check Data","Check Data",VLOOKUP(AC132,'G-4 Temporal multipliers'!$A$4:$C$37,3,FALSE)),"")</f>
        <v/>
      </c>
      <c r="AE132" s="171" t="str">
        <f>IF(N132="","",VLOOKUP(N132,'G-7 Rivers Data'!$B$4:$G$8,5,FALSE))</f>
        <v/>
      </c>
      <c r="AF132" s="179" t="str">
        <f t="shared" si="13"/>
        <v/>
      </c>
      <c r="AG132" s="269" t="str">
        <f t="shared" si="14"/>
        <v/>
      </c>
      <c r="AH132" s="172" t="str">
        <f t="shared" si="8"/>
        <v/>
      </c>
      <c r="AI132" s="173"/>
      <c r="AJ132" s="172" t="str">
        <f>IF(AI132="","",IF(VLOOKUP(AI132,'G-7 Rivers Data'!$AA$4:$AB$7,2,FALSE)=0,"Spatial Data Missing",VLOOKUP(AI132,'G-7 Rivers Data'!$AA$4:$AB$7,2,FALSE)))</f>
        <v/>
      </c>
      <c r="AK132" s="187"/>
      <c r="AL132" s="172" t="str">
        <f>IF(AK132="","",IF(VLOOKUP(AK132,'G-7 Rivers Data'!$AD$4:$AE$8,2,FALSE)=0,"Spatial Data Missing",VLOOKUP(AK132,'G-7 Rivers Data'!$AD$4:$AE$8,2,FALSE)))</f>
        <v/>
      </c>
      <c r="AM132" s="265" t="str">
        <f t="shared" si="15"/>
        <v/>
      </c>
      <c r="AN132" s="180"/>
      <c r="AO132" s="181"/>
      <c r="AV132" s="35" t="str">
        <f>IFERROR(INDEX('G-7 Rivers Data'!$AZ$3:$AZ$7,MATCH(N132,'G-7 Rivers Data'!$AY$3:$AY$7,0)),"")</f>
        <v/>
      </c>
    </row>
    <row r="133" spans="2:48" ht="13.8" x14ac:dyDescent="0.25">
      <c r="B133" s="259" t="str">
        <f>'C-1 Site River Baseline'!AN131</f>
        <v/>
      </c>
      <c r="C133" s="175" t="str">
        <f>IF(B133="","",VLOOKUP($B133,'C-1 Site River Baseline'!$C$9:$R$257,2,FALSE))</f>
        <v/>
      </c>
      <c r="D133" s="175" t="str">
        <f>IF(C133="","",VLOOKUP($B133,'C-1 Site River Baseline'!$C$9:$R$257,3,FALSE))</f>
        <v/>
      </c>
      <c r="E133" s="175" t="str">
        <f>IF(D133="","",VLOOKUP($B133,'C-1 Site River Baseline'!$C$9:$R$257,4,FALSE))</f>
        <v/>
      </c>
      <c r="F133" s="175" t="str">
        <f>IF(E133="","",VLOOKUP($B133,'C-1 Site River Baseline'!$C$9:$R$257,5,FALSE))</f>
        <v/>
      </c>
      <c r="G133" s="175" t="str">
        <f>IF(F133="","",VLOOKUP($B133,'C-1 Site River Baseline'!$C$9:$R$257,6,FALSE))</f>
        <v/>
      </c>
      <c r="H133" s="175" t="str">
        <f>IF(G133="","",VLOOKUP($B133,'C-1 Site River Baseline'!$C$9:$R$257,7,FALSE))</f>
        <v/>
      </c>
      <c r="I133" s="175" t="str">
        <f>IF(H133="","",VLOOKUP($B133,'C-1 Site River Baseline'!$C$9:$R$257,8,FALSE))</f>
        <v/>
      </c>
      <c r="J133" s="175" t="str">
        <f>IF(I133="","",VLOOKUP($B133,'C-1 Site River Baseline'!$C$9:$R$257,9,FALSE))</f>
        <v/>
      </c>
      <c r="K133" s="175" t="str">
        <f>IF(J133="","",VLOOKUP($B133,'C-1 Site River Baseline'!$C$9:$R$257,10,FALSE))</f>
        <v/>
      </c>
      <c r="L133" s="175" t="str">
        <f>IF(B133="","",VLOOKUP($B133,'C-1 Site River Baseline'!$C$9:$R$257,15,FALSE))</f>
        <v/>
      </c>
      <c r="M133" s="176" t="str">
        <f>IF(L133="","",VLOOKUP($B133,'C-1 Site River Baseline'!$C$9:$R$257,16,FALSE))</f>
        <v/>
      </c>
      <c r="N133" s="639" t="str">
        <f t="shared" si="9"/>
        <v/>
      </c>
      <c r="O133" s="239" t="str">
        <f t="shared" si="10"/>
        <v/>
      </c>
      <c r="P133" s="172" t="str">
        <f>IF(C133="","",IF(AND(LEFT(C133,55)&lt;&gt;LEFT(N133,55),O133="High - High"),"Error - Not like for like",IF(AND(F133=S133,H133&gt;U133),"Error - Can not reduce condition",IF(AND(F133=S133,H133=U133,AJ133='C-1 Site River Baseline'!N131,'C-1 Site River Baseline'!P131=AL133),"Error - No enhancement",IF(AND(C133&lt;&gt;N133,F133&lt;S133),"Lower Distinctiveness Habitat"&amp;" - "&amp;T133,G133&amp;" - "&amp;T133)))))</f>
        <v/>
      </c>
      <c r="Q133" s="660" t="str">
        <f>IF(N133="","",VLOOKUP(B133,'C-1 Site River Baseline'!$C$10:$AA$257,19,FALSE))</f>
        <v/>
      </c>
      <c r="R133" s="171" t="str">
        <f>IF(N133="","",VLOOKUP(N133,'G-7 Rivers Data'!$B$2:$G$8,2,FALSE))</f>
        <v/>
      </c>
      <c r="S133" s="172" t="str">
        <f>IFERROR(VLOOKUP(R133,'G-7 Rivers Data'!$C$4:$D$8,2,FALSE),"")</f>
        <v/>
      </c>
      <c r="T133" s="173"/>
      <c r="U133" s="172" t="str">
        <f>IFERROR(INDEX('G-7 Rivers Data'!$H$4:$L$8,MATCH(N133,'G-7 Rivers Data'!$B$4:$B$8,0),MATCH(T133,'G-7 Rivers Data'!$H$3:$L$3,0)),"")</f>
        <v/>
      </c>
      <c r="V133" s="186"/>
      <c r="W133" s="175" t="str">
        <f>IF(V133="","",IF(VLOOKUP(V133,'G-7 Rivers Data'!$AG$4:$AI$9,2,FALSE)=0,"Spatial Data Missing",VLOOKUP(V133,'G-7 Rivers Data'!$AG$4:$AI$9,2,FALSE)))</f>
        <v/>
      </c>
      <c r="X133" s="176" t="str">
        <f>IF(V133="","",IF(VLOOKUP(V133,'G-7 Rivers Data'!$AG$4:$AI$9,3,FALSE)=0,"Spatial Data Missing",VLOOKUP(V133,'G-7 Rivers Data'!$AG$4:$AI$9,3,FALSE)))</f>
        <v/>
      </c>
      <c r="Y133" s="171" t="str">
        <f>IFERROR(IF(OR(LEFT(P133,5)="Error",LEFT(O133,5)="Error"),"Check Data",IF(F133&lt;S133,'G-7 Rivers Data'!$R$3,INDEX('G-7 Rivers Data'!$U$5:$Y$9,MATCH(G133,'G-7 Rivers Data'!$T$5:$T$9,0),MATCH(T133,'G-7 Rivers Data'!$U$4:$Y$4,0)))),"")</f>
        <v/>
      </c>
      <c r="Z133" s="261"/>
      <c r="AA133" s="261"/>
      <c r="AB133" s="179" t="str">
        <f t="shared" si="11"/>
        <v/>
      </c>
      <c r="AC133" s="262" t="str">
        <f t="shared" si="12"/>
        <v/>
      </c>
      <c r="AD133" s="382" t="str">
        <f>IFERROR(IF(AC133="Check Data","Check Data",VLOOKUP(AC133,'G-4 Temporal multipliers'!$A$4:$C$37,3,FALSE)),"")</f>
        <v/>
      </c>
      <c r="AE133" s="171" t="str">
        <f>IF(N133="","",VLOOKUP(N133,'G-7 Rivers Data'!$B$4:$G$8,5,FALSE))</f>
        <v/>
      </c>
      <c r="AF133" s="179" t="str">
        <f t="shared" si="13"/>
        <v/>
      </c>
      <c r="AG133" s="269" t="str">
        <f t="shared" si="14"/>
        <v/>
      </c>
      <c r="AH133" s="172" t="str">
        <f t="shared" si="8"/>
        <v/>
      </c>
      <c r="AI133" s="173"/>
      <c r="AJ133" s="172" t="str">
        <f>IF(AI133="","",IF(VLOOKUP(AI133,'G-7 Rivers Data'!$AA$4:$AB$7,2,FALSE)=0,"Spatial Data Missing",VLOOKUP(AI133,'G-7 Rivers Data'!$AA$4:$AB$7,2,FALSE)))</f>
        <v/>
      </c>
      <c r="AK133" s="187"/>
      <c r="AL133" s="172" t="str">
        <f>IF(AK133="","",IF(VLOOKUP(AK133,'G-7 Rivers Data'!$AD$4:$AE$8,2,FALSE)=0,"Spatial Data Missing",VLOOKUP(AK133,'G-7 Rivers Data'!$AD$4:$AE$8,2,FALSE)))</f>
        <v/>
      </c>
      <c r="AM133" s="265" t="str">
        <f t="shared" si="15"/>
        <v/>
      </c>
      <c r="AN133" s="180"/>
      <c r="AO133" s="181"/>
      <c r="AV133" s="35" t="str">
        <f>IFERROR(INDEX('G-7 Rivers Data'!$AZ$3:$AZ$7,MATCH(N133,'G-7 Rivers Data'!$AY$3:$AY$7,0)),"")</f>
        <v/>
      </c>
    </row>
    <row r="134" spans="2:48" ht="13.8" x14ac:dyDescent="0.25">
      <c r="B134" s="259" t="str">
        <f>'C-1 Site River Baseline'!AN132</f>
        <v/>
      </c>
      <c r="C134" s="175" t="str">
        <f>IF(B134="","",VLOOKUP($B134,'C-1 Site River Baseline'!$C$9:$R$257,2,FALSE))</f>
        <v/>
      </c>
      <c r="D134" s="175" t="str">
        <f>IF(C134="","",VLOOKUP($B134,'C-1 Site River Baseline'!$C$9:$R$257,3,FALSE))</f>
        <v/>
      </c>
      <c r="E134" s="175" t="str">
        <f>IF(D134="","",VLOOKUP($B134,'C-1 Site River Baseline'!$C$9:$R$257,4,FALSE))</f>
        <v/>
      </c>
      <c r="F134" s="175" t="str">
        <f>IF(E134="","",VLOOKUP($B134,'C-1 Site River Baseline'!$C$9:$R$257,5,FALSE))</f>
        <v/>
      </c>
      <c r="G134" s="175" t="str">
        <f>IF(F134="","",VLOOKUP($B134,'C-1 Site River Baseline'!$C$9:$R$257,6,FALSE))</f>
        <v/>
      </c>
      <c r="H134" s="175" t="str">
        <f>IF(G134="","",VLOOKUP($B134,'C-1 Site River Baseline'!$C$9:$R$257,7,FALSE))</f>
        <v/>
      </c>
      <c r="I134" s="175" t="str">
        <f>IF(H134="","",VLOOKUP($B134,'C-1 Site River Baseline'!$C$9:$R$257,8,FALSE))</f>
        <v/>
      </c>
      <c r="J134" s="175" t="str">
        <f>IF(I134="","",VLOOKUP($B134,'C-1 Site River Baseline'!$C$9:$R$257,9,FALSE))</f>
        <v/>
      </c>
      <c r="K134" s="175" t="str">
        <f>IF(J134="","",VLOOKUP($B134,'C-1 Site River Baseline'!$C$9:$R$257,10,FALSE))</f>
        <v/>
      </c>
      <c r="L134" s="175" t="str">
        <f>IF(B134="","",VLOOKUP($B134,'C-1 Site River Baseline'!$C$9:$R$257,15,FALSE))</f>
        <v/>
      </c>
      <c r="M134" s="176" t="str">
        <f>IF(L134="","",VLOOKUP($B134,'C-1 Site River Baseline'!$C$9:$R$257,16,FALSE))</f>
        <v/>
      </c>
      <c r="N134" s="639" t="str">
        <f t="shared" si="9"/>
        <v/>
      </c>
      <c r="O134" s="239" t="str">
        <f t="shared" si="10"/>
        <v/>
      </c>
      <c r="P134" s="172" t="str">
        <f>IF(C134="","",IF(AND(LEFT(C134,55)&lt;&gt;LEFT(N134,55),O134="High - High"),"Error - Not like for like",IF(AND(F134=S134,H134&gt;U134),"Error - Can not reduce condition",IF(AND(F134=S134,H134=U134,AJ134='C-1 Site River Baseline'!N132,'C-1 Site River Baseline'!P132=AL134),"Error - No enhancement",IF(AND(C134&lt;&gt;N134,F134&lt;S134),"Lower Distinctiveness Habitat"&amp;" - "&amp;T134,G134&amp;" - "&amp;T134)))))</f>
        <v/>
      </c>
      <c r="Q134" s="660" t="str">
        <f>IF(N134="","",VLOOKUP(B134,'C-1 Site River Baseline'!$C$10:$AA$257,19,FALSE))</f>
        <v/>
      </c>
      <c r="R134" s="171" t="str">
        <f>IF(N134="","",VLOOKUP(N134,'G-7 Rivers Data'!$B$2:$G$8,2,FALSE))</f>
        <v/>
      </c>
      <c r="S134" s="172" t="str">
        <f>IFERROR(VLOOKUP(R134,'G-7 Rivers Data'!$C$4:$D$8,2,FALSE),"")</f>
        <v/>
      </c>
      <c r="T134" s="173"/>
      <c r="U134" s="172" t="str">
        <f>IFERROR(INDEX('G-7 Rivers Data'!$H$4:$L$8,MATCH(N134,'G-7 Rivers Data'!$B$4:$B$8,0),MATCH(T134,'G-7 Rivers Data'!$H$3:$L$3,0)),"")</f>
        <v/>
      </c>
      <c r="V134" s="186"/>
      <c r="W134" s="175" t="str">
        <f>IF(V134="","",IF(VLOOKUP(V134,'G-7 Rivers Data'!$AG$4:$AI$9,2,FALSE)=0,"Spatial Data Missing",VLOOKUP(V134,'G-7 Rivers Data'!$AG$4:$AI$9,2,FALSE)))</f>
        <v/>
      </c>
      <c r="X134" s="176" t="str">
        <f>IF(V134="","",IF(VLOOKUP(V134,'G-7 Rivers Data'!$AG$4:$AI$9,3,FALSE)=0,"Spatial Data Missing",VLOOKUP(V134,'G-7 Rivers Data'!$AG$4:$AI$9,3,FALSE)))</f>
        <v/>
      </c>
      <c r="Y134" s="171" t="str">
        <f>IFERROR(IF(OR(LEFT(P134,5)="Error",LEFT(O134,5)="Error"),"Check Data",IF(F134&lt;S134,'G-7 Rivers Data'!$R$3,INDEX('G-7 Rivers Data'!$U$5:$Y$9,MATCH(G134,'G-7 Rivers Data'!$T$5:$T$9,0),MATCH(T134,'G-7 Rivers Data'!$U$4:$Y$4,0)))),"")</f>
        <v/>
      </c>
      <c r="Z134" s="261"/>
      <c r="AA134" s="261"/>
      <c r="AB134" s="179" t="str">
        <f t="shared" si="11"/>
        <v/>
      </c>
      <c r="AC134" s="262" t="str">
        <f t="shared" si="12"/>
        <v/>
      </c>
      <c r="AD134" s="382" t="str">
        <f>IFERROR(IF(AC134="Check Data","Check Data",VLOOKUP(AC134,'G-4 Temporal multipliers'!$A$4:$C$37,3,FALSE)),"")</f>
        <v/>
      </c>
      <c r="AE134" s="171" t="str">
        <f>IF(N134="","",VLOOKUP(N134,'G-7 Rivers Data'!$B$4:$G$8,5,FALSE))</f>
        <v/>
      </c>
      <c r="AF134" s="179" t="str">
        <f t="shared" si="13"/>
        <v/>
      </c>
      <c r="AG134" s="269" t="str">
        <f t="shared" si="14"/>
        <v/>
      </c>
      <c r="AH134" s="172" t="str">
        <f t="shared" si="8"/>
        <v/>
      </c>
      <c r="AI134" s="173"/>
      <c r="AJ134" s="172" t="str">
        <f>IF(AI134="","",IF(VLOOKUP(AI134,'G-7 Rivers Data'!$AA$4:$AB$7,2,FALSE)=0,"Spatial Data Missing",VLOOKUP(AI134,'G-7 Rivers Data'!$AA$4:$AB$7,2,FALSE)))</f>
        <v/>
      </c>
      <c r="AK134" s="187"/>
      <c r="AL134" s="172" t="str">
        <f>IF(AK134="","",IF(VLOOKUP(AK134,'G-7 Rivers Data'!$AD$4:$AE$8,2,FALSE)=0,"Spatial Data Missing",VLOOKUP(AK134,'G-7 Rivers Data'!$AD$4:$AE$8,2,FALSE)))</f>
        <v/>
      </c>
      <c r="AM134" s="265" t="str">
        <f t="shared" si="15"/>
        <v/>
      </c>
      <c r="AN134" s="180"/>
      <c r="AO134" s="181"/>
      <c r="AV134" s="35" t="str">
        <f>IFERROR(INDEX('G-7 Rivers Data'!$AZ$3:$AZ$7,MATCH(N134,'G-7 Rivers Data'!$AY$3:$AY$7,0)),"")</f>
        <v/>
      </c>
    </row>
    <row r="135" spans="2:48" ht="13.8" x14ac:dyDescent="0.25">
      <c r="B135" s="259" t="str">
        <f>'C-1 Site River Baseline'!AN133</f>
        <v/>
      </c>
      <c r="C135" s="175" t="str">
        <f>IF(B135="","",VLOOKUP($B135,'C-1 Site River Baseline'!$C$9:$R$257,2,FALSE))</f>
        <v/>
      </c>
      <c r="D135" s="175" t="str">
        <f>IF(C135="","",VLOOKUP($B135,'C-1 Site River Baseline'!$C$9:$R$257,3,FALSE))</f>
        <v/>
      </c>
      <c r="E135" s="175" t="str">
        <f>IF(D135="","",VLOOKUP($B135,'C-1 Site River Baseline'!$C$9:$R$257,4,FALSE))</f>
        <v/>
      </c>
      <c r="F135" s="175" t="str">
        <f>IF(E135="","",VLOOKUP($B135,'C-1 Site River Baseline'!$C$9:$R$257,5,FALSE))</f>
        <v/>
      </c>
      <c r="G135" s="175" t="str">
        <f>IF(F135="","",VLOOKUP($B135,'C-1 Site River Baseline'!$C$9:$R$257,6,FALSE))</f>
        <v/>
      </c>
      <c r="H135" s="175" t="str">
        <f>IF(G135="","",VLOOKUP($B135,'C-1 Site River Baseline'!$C$9:$R$257,7,FALSE))</f>
        <v/>
      </c>
      <c r="I135" s="175" t="str">
        <f>IF(H135="","",VLOOKUP($B135,'C-1 Site River Baseline'!$C$9:$R$257,8,FALSE))</f>
        <v/>
      </c>
      <c r="J135" s="175" t="str">
        <f>IF(I135="","",VLOOKUP($B135,'C-1 Site River Baseline'!$C$9:$R$257,9,FALSE))</f>
        <v/>
      </c>
      <c r="K135" s="175" t="str">
        <f>IF(J135="","",VLOOKUP($B135,'C-1 Site River Baseline'!$C$9:$R$257,10,FALSE))</f>
        <v/>
      </c>
      <c r="L135" s="175" t="str">
        <f>IF(B135="","",VLOOKUP($B135,'C-1 Site River Baseline'!$C$9:$R$257,15,FALSE))</f>
        <v/>
      </c>
      <c r="M135" s="176" t="str">
        <f>IF(L135="","",VLOOKUP($B135,'C-1 Site River Baseline'!$C$9:$R$257,16,FALSE))</f>
        <v/>
      </c>
      <c r="N135" s="639" t="str">
        <f t="shared" si="9"/>
        <v/>
      </c>
      <c r="O135" s="239" t="str">
        <f t="shared" si="10"/>
        <v/>
      </c>
      <c r="P135" s="172" t="str">
        <f>IF(C135="","",IF(AND(LEFT(C135,55)&lt;&gt;LEFT(N135,55),O135="High - High"),"Error - Not like for like",IF(AND(F135=S135,H135&gt;U135),"Error - Can not reduce condition",IF(AND(F135=S135,H135=U135,AJ135='C-1 Site River Baseline'!N133,'C-1 Site River Baseline'!P133=AL135),"Error - No enhancement",IF(AND(C135&lt;&gt;N135,F135&lt;S135),"Lower Distinctiveness Habitat"&amp;" - "&amp;T135,G135&amp;" - "&amp;T135)))))</f>
        <v/>
      </c>
      <c r="Q135" s="660" t="str">
        <f>IF(N135="","",VLOOKUP(B135,'C-1 Site River Baseline'!$C$10:$AA$257,19,FALSE))</f>
        <v/>
      </c>
      <c r="R135" s="171" t="str">
        <f>IF(N135="","",VLOOKUP(N135,'G-7 Rivers Data'!$B$2:$G$8,2,FALSE))</f>
        <v/>
      </c>
      <c r="S135" s="172" t="str">
        <f>IFERROR(VLOOKUP(R135,'G-7 Rivers Data'!$C$4:$D$8,2,FALSE),"")</f>
        <v/>
      </c>
      <c r="T135" s="173"/>
      <c r="U135" s="172" t="str">
        <f>IFERROR(INDEX('G-7 Rivers Data'!$H$4:$L$8,MATCH(N135,'G-7 Rivers Data'!$B$4:$B$8,0),MATCH(T135,'G-7 Rivers Data'!$H$3:$L$3,0)),"")</f>
        <v/>
      </c>
      <c r="V135" s="186"/>
      <c r="W135" s="175" t="str">
        <f>IF(V135="","",IF(VLOOKUP(V135,'G-7 Rivers Data'!$AG$4:$AI$9,2,FALSE)=0,"Spatial Data Missing",VLOOKUP(V135,'G-7 Rivers Data'!$AG$4:$AI$9,2,FALSE)))</f>
        <v/>
      </c>
      <c r="X135" s="176" t="str">
        <f>IF(V135="","",IF(VLOOKUP(V135,'G-7 Rivers Data'!$AG$4:$AI$9,3,FALSE)=0,"Spatial Data Missing",VLOOKUP(V135,'G-7 Rivers Data'!$AG$4:$AI$9,3,FALSE)))</f>
        <v/>
      </c>
      <c r="Y135" s="171" t="str">
        <f>IFERROR(IF(OR(LEFT(P135,5)="Error",LEFT(O135,5)="Error"),"Check Data",IF(F135&lt;S135,'G-7 Rivers Data'!$R$3,INDEX('G-7 Rivers Data'!$U$5:$Y$9,MATCH(G135,'G-7 Rivers Data'!$T$5:$T$9,0),MATCH(T135,'G-7 Rivers Data'!$U$4:$Y$4,0)))),"")</f>
        <v/>
      </c>
      <c r="Z135" s="261"/>
      <c r="AA135" s="261"/>
      <c r="AB135" s="179" t="str">
        <f t="shared" si="11"/>
        <v/>
      </c>
      <c r="AC135" s="262" t="str">
        <f t="shared" si="12"/>
        <v/>
      </c>
      <c r="AD135" s="382" t="str">
        <f>IFERROR(IF(AC135="Check Data","Check Data",VLOOKUP(AC135,'G-4 Temporal multipliers'!$A$4:$C$37,3,FALSE)),"")</f>
        <v/>
      </c>
      <c r="AE135" s="171" t="str">
        <f>IF(N135="","",VLOOKUP(N135,'G-7 Rivers Data'!$B$4:$G$8,5,FALSE))</f>
        <v/>
      </c>
      <c r="AF135" s="179" t="str">
        <f t="shared" si="13"/>
        <v/>
      </c>
      <c r="AG135" s="269" t="str">
        <f t="shared" si="14"/>
        <v/>
      </c>
      <c r="AH135" s="172" t="str">
        <f t="shared" si="8"/>
        <v/>
      </c>
      <c r="AI135" s="173"/>
      <c r="AJ135" s="172" t="str">
        <f>IF(AI135="","",IF(VLOOKUP(AI135,'G-7 Rivers Data'!$AA$4:$AB$7,2,FALSE)=0,"Spatial Data Missing",VLOOKUP(AI135,'G-7 Rivers Data'!$AA$4:$AB$7,2,FALSE)))</f>
        <v/>
      </c>
      <c r="AK135" s="187"/>
      <c r="AL135" s="172" t="str">
        <f>IF(AK135="","",IF(VLOOKUP(AK135,'G-7 Rivers Data'!$AD$4:$AE$8,2,FALSE)=0,"Spatial Data Missing",VLOOKUP(AK135,'G-7 Rivers Data'!$AD$4:$AE$8,2,FALSE)))</f>
        <v/>
      </c>
      <c r="AM135" s="265" t="str">
        <f t="shared" si="15"/>
        <v/>
      </c>
      <c r="AN135" s="180"/>
      <c r="AO135" s="181"/>
      <c r="AV135" s="35" t="str">
        <f>IFERROR(INDEX('G-7 Rivers Data'!$AZ$3:$AZ$7,MATCH(N135,'G-7 Rivers Data'!$AY$3:$AY$7,0)),"")</f>
        <v/>
      </c>
    </row>
    <row r="136" spans="2:48" ht="13.8" x14ac:dyDescent="0.25">
      <c r="B136" s="259" t="str">
        <f>'C-1 Site River Baseline'!AN134</f>
        <v/>
      </c>
      <c r="C136" s="175" t="str">
        <f>IF(B136="","",VLOOKUP($B136,'C-1 Site River Baseline'!$C$9:$R$257,2,FALSE))</f>
        <v/>
      </c>
      <c r="D136" s="175" t="str">
        <f>IF(C136="","",VLOOKUP($B136,'C-1 Site River Baseline'!$C$9:$R$257,3,FALSE))</f>
        <v/>
      </c>
      <c r="E136" s="175" t="str">
        <f>IF(D136="","",VLOOKUP($B136,'C-1 Site River Baseline'!$C$9:$R$257,4,FALSE))</f>
        <v/>
      </c>
      <c r="F136" s="175" t="str">
        <f>IF(E136="","",VLOOKUP($B136,'C-1 Site River Baseline'!$C$9:$R$257,5,FALSE))</f>
        <v/>
      </c>
      <c r="G136" s="175" t="str">
        <f>IF(F136="","",VLOOKUP($B136,'C-1 Site River Baseline'!$C$9:$R$257,6,FALSE))</f>
        <v/>
      </c>
      <c r="H136" s="175" t="str">
        <f>IF(G136="","",VLOOKUP($B136,'C-1 Site River Baseline'!$C$9:$R$257,7,FALSE))</f>
        <v/>
      </c>
      <c r="I136" s="175" t="str">
        <f>IF(H136="","",VLOOKUP($B136,'C-1 Site River Baseline'!$C$9:$R$257,8,FALSE))</f>
        <v/>
      </c>
      <c r="J136" s="175" t="str">
        <f>IF(I136="","",VLOOKUP($B136,'C-1 Site River Baseline'!$C$9:$R$257,9,FALSE))</f>
        <v/>
      </c>
      <c r="K136" s="175" t="str">
        <f>IF(J136="","",VLOOKUP($B136,'C-1 Site River Baseline'!$C$9:$R$257,10,FALSE))</f>
        <v/>
      </c>
      <c r="L136" s="175" t="str">
        <f>IF(B136="","",VLOOKUP($B136,'C-1 Site River Baseline'!$C$9:$R$257,15,FALSE))</f>
        <v/>
      </c>
      <c r="M136" s="176" t="str">
        <f>IF(L136="","",VLOOKUP($B136,'C-1 Site River Baseline'!$C$9:$R$257,16,FALSE))</f>
        <v/>
      </c>
      <c r="N136" s="639" t="str">
        <f t="shared" si="9"/>
        <v/>
      </c>
      <c r="O136" s="239" t="str">
        <f t="shared" si="10"/>
        <v/>
      </c>
      <c r="P136" s="172" t="str">
        <f>IF(C136="","",IF(AND(LEFT(C136,55)&lt;&gt;LEFT(N136,55),O136="High - High"),"Error - Not like for like",IF(AND(F136=S136,H136&gt;U136),"Error - Can not reduce condition",IF(AND(F136=S136,H136=U136,AJ136='C-1 Site River Baseline'!N134,'C-1 Site River Baseline'!P134=AL136),"Error - No enhancement",IF(AND(C136&lt;&gt;N136,F136&lt;S136),"Lower Distinctiveness Habitat"&amp;" - "&amp;T136,G136&amp;" - "&amp;T136)))))</f>
        <v/>
      </c>
      <c r="Q136" s="660" t="str">
        <f>IF(N136="","",VLOOKUP(B136,'C-1 Site River Baseline'!$C$10:$AA$257,19,FALSE))</f>
        <v/>
      </c>
      <c r="R136" s="171" t="str">
        <f>IF(N136="","",VLOOKUP(N136,'G-7 Rivers Data'!$B$2:$G$8,2,FALSE))</f>
        <v/>
      </c>
      <c r="S136" s="172" t="str">
        <f>IFERROR(VLOOKUP(R136,'G-7 Rivers Data'!$C$4:$D$8,2,FALSE),"")</f>
        <v/>
      </c>
      <c r="T136" s="173"/>
      <c r="U136" s="172" t="str">
        <f>IFERROR(INDEX('G-7 Rivers Data'!$H$4:$L$8,MATCH(N136,'G-7 Rivers Data'!$B$4:$B$8,0),MATCH(T136,'G-7 Rivers Data'!$H$3:$L$3,0)),"")</f>
        <v/>
      </c>
      <c r="V136" s="186"/>
      <c r="W136" s="175" t="str">
        <f>IF(V136="","",IF(VLOOKUP(V136,'G-7 Rivers Data'!$AG$4:$AI$9,2,FALSE)=0,"Spatial Data Missing",VLOOKUP(V136,'G-7 Rivers Data'!$AG$4:$AI$9,2,FALSE)))</f>
        <v/>
      </c>
      <c r="X136" s="176" t="str">
        <f>IF(V136="","",IF(VLOOKUP(V136,'G-7 Rivers Data'!$AG$4:$AI$9,3,FALSE)=0,"Spatial Data Missing",VLOOKUP(V136,'G-7 Rivers Data'!$AG$4:$AI$9,3,FALSE)))</f>
        <v/>
      </c>
      <c r="Y136" s="171" t="str">
        <f>IFERROR(IF(OR(LEFT(P136,5)="Error",LEFT(O136,5)="Error"),"Check Data",IF(F136&lt;S136,'G-7 Rivers Data'!$R$3,INDEX('G-7 Rivers Data'!$U$5:$Y$9,MATCH(G136,'G-7 Rivers Data'!$T$5:$T$9,0),MATCH(T136,'G-7 Rivers Data'!$U$4:$Y$4,0)))),"")</f>
        <v/>
      </c>
      <c r="Z136" s="261"/>
      <c r="AA136" s="261"/>
      <c r="AB136" s="179" t="str">
        <f t="shared" si="11"/>
        <v/>
      </c>
      <c r="AC136" s="262" t="str">
        <f t="shared" si="12"/>
        <v/>
      </c>
      <c r="AD136" s="382" t="str">
        <f>IFERROR(IF(AC136="Check Data","Check Data",VLOOKUP(AC136,'G-4 Temporal multipliers'!$A$4:$C$37,3,FALSE)),"")</f>
        <v/>
      </c>
      <c r="AE136" s="171" t="str">
        <f>IF(N136="","",VLOOKUP(N136,'G-7 Rivers Data'!$B$4:$G$8,5,FALSE))</f>
        <v/>
      </c>
      <c r="AF136" s="179" t="str">
        <f t="shared" si="13"/>
        <v/>
      </c>
      <c r="AG136" s="269" t="str">
        <f t="shared" si="14"/>
        <v/>
      </c>
      <c r="AH136" s="172" t="str">
        <f t="shared" si="8"/>
        <v/>
      </c>
      <c r="AI136" s="173"/>
      <c r="AJ136" s="172" t="str">
        <f>IF(AI136="","",IF(VLOOKUP(AI136,'G-7 Rivers Data'!$AA$4:$AB$7,2,FALSE)=0,"Spatial Data Missing",VLOOKUP(AI136,'G-7 Rivers Data'!$AA$4:$AB$7,2,FALSE)))</f>
        <v/>
      </c>
      <c r="AK136" s="187"/>
      <c r="AL136" s="172" t="str">
        <f>IF(AK136="","",IF(VLOOKUP(AK136,'G-7 Rivers Data'!$AD$4:$AE$8,2,FALSE)=0,"Spatial Data Missing",VLOOKUP(AK136,'G-7 Rivers Data'!$AD$4:$AE$8,2,FALSE)))</f>
        <v/>
      </c>
      <c r="AM136" s="265" t="str">
        <f t="shared" si="15"/>
        <v/>
      </c>
      <c r="AN136" s="180"/>
      <c r="AO136" s="181"/>
      <c r="AV136" s="35" t="str">
        <f>IFERROR(INDEX('G-7 Rivers Data'!$AZ$3:$AZ$7,MATCH(N136,'G-7 Rivers Data'!$AY$3:$AY$7,0)),"")</f>
        <v/>
      </c>
    </row>
    <row r="137" spans="2:48" ht="13.8" x14ac:dyDescent="0.25">
      <c r="B137" s="259" t="str">
        <f>'C-1 Site River Baseline'!AN135</f>
        <v/>
      </c>
      <c r="C137" s="175" t="str">
        <f>IF(B137="","",VLOOKUP($B137,'C-1 Site River Baseline'!$C$9:$R$257,2,FALSE))</f>
        <v/>
      </c>
      <c r="D137" s="175" t="str">
        <f>IF(C137="","",VLOOKUP($B137,'C-1 Site River Baseline'!$C$9:$R$257,3,FALSE))</f>
        <v/>
      </c>
      <c r="E137" s="175" t="str">
        <f>IF(D137="","",VLOOKUP($B137,'C-1 Site River Baseline'!$C$9:$R$257,4,FALSE))</f>
        <v/>
      </c>
      <c r="F137" s="175" t="str">
        <f>IF(E137="","",VLOOKUP($B137,'C-1 Site River Baseline'!$C$9:$R$257,5,FALSE))</f>
        <v/>
      </c>
      <c r="G137" s="175" t="str">
        <f>IF(F137="","",VLOOKUP($B137,'C-1 Site River Baseline'!$C$9:$R$257,6,FALSE))</f>
        <v/>
      </c>
      <c r="H137" s="175" t="str">
        <f>IF(G137="","",VLOOKUP($B137,'C-1 Site River Baseline'!$C$9:$R$257,7,FALSE))</f>
        <v/>
      </c>
      <c r="I137" s="175" t="str">
        <f>IF(H137="","",VLOOKUP($B137,'C-1 Site River Baseline'!$C$9:$R$257,8,FALSE))</f>
        <v/>
      </c>
      <c r="J137" s="175" t="str">
        <f>IF(I137="","",VLOOKUP($B137,'C-1 Site River Baseline'!$C$9:$R$257,9,FALSE))</f>
        <v/>
      </c>
      <c r="K137" s="175" t="str">
        <f>IF(J137="","",VLOOKUP($B137,'C-1 Site River Baseline'!$C$9:$R$257,10,FALSE))</f>
        <v/>
      </c>
      <c r="L137" s="175" t="str">
        <f>IF(B137="","",VLOOKUP($B137,'C-1 Site River Baseline'!$C$9:$R$257,15,FALSE))</f>
        <v/>
      </c>
      <c r="M137" s="176" t="str">
        <f>IF(L137="","",VLOOKUP($B137,'C-1 Site River Baseline'!$C$9:$R$257,16,FALSE))</f>
        <v/>
      </c>
      <c r="N137" s="639" t="str">
        <f t="shared" si="9"/>
        <v/>
      </c>
      <c r="O137" s="239" t="str">
        <f t="shared" si="10"/>
        <v/>
      </c>
      <c r="P137" s="172" t="str">
        <f>IF(C137="","",IF(AND(LEFT(C137,55)&lt;&gt;LEFT(N137,55),O137="High - High"),"Error - Not like for like",IF(AND(F137=S137,H137&gt;U137),"Error - Can not reduce condition",IF(AND(F137=S137,H137=U137,AJ137='C-1 Site River Baseline'!N135,'C-1 Site River Baseline'!P135=AL137),"Error - No enhancement",IF(AND(C137&lt;&gt;N137,F137&lt;S137),"Lower Distinctiveness Habitat"&amp;" - "&amp;T137,G137&amp;" - "&amp;T137)))))</f>
        <v/>
      </c>
      <c r="Q137" s="660" t="str">
        <f>IF(N137="","",VLOOKUP(B137,'C-1 Site River Baseline'!$C$10:$AA$257,19,FALSE))</f>
        <v/>
      </c>
      <c r="R137" s="171" t="str">
        <f>IF(N137="","",VLOOKUP(N137,'G-7 Rivers Data'!$B$2:$G$8,2,FALSE))</f>
        <v/>
      </c>
      <c r="S137" s="172" t="str">
        <f>IFERROR(VLOOKUP(R137,'G-7 Rivers Data'!$C$4:$D$8,2,FALSE),"")</f>
        <v/>
      </c>
      <c r="T137" s="173"/>
      <c r="U137" s="172" t="str">
        <f>IFERROR(INDEX('G-7 Rivers Data'!$H$4:$L$8,MATCH(N137,'G-7 Rivers Data'!$B$4:$B$8,0),MATCH(T137,'G-7 Rivers Data'!$H$3:$L$3,0)),"")</f>
        <v/>
      </c>
      <c r="V137" s="186"/>
      <c r="W137" s="175" t="str">
        <f>IF(V137="","",IF(VLOOKUP(V137,'G-7 Rivers Data'!$AG$4:$AI$9,2,FALSE)=0,"Spatial Data Missing",VLOOKUP(V137,'G-7 Rivers Data'!$AG$4:$AI$9,2,FALSE)))</f>
        <v/>
      </c>
      <c r="X137" s="176" t="str">
        <f>IF(V137="","",IF(VLOOKUP(V137,'G-7 Rivers Data'!$AG$4:$AI$9,3,FALSE)=0,"Spatial Data Missing",VLOOKUP(V137,'G-7 Rivers Data'!$AG$4:$AI$9,3,FALSE)))</f>
        <v/>
      </c>
      <c r="Y137" s="171" t="str">
        <f>IFERROR(IF(OR(LEFT(P137,5)="Error",LEFT(O137,5)="Error"),"Check Data",IF(F137&lt;S137,'G-7 Rivers Data'!$R$3,INDEX('G-7 Rivers Data'!$U$5:$Y$9,MATCH(G137,'G-7 Rivers Data'!$T$5:$T$9,0),MATCH(T137,'G-7 Rivers Data'!$U$4:$Y$4,0)))),"")</f>
        <v/>
      </c>
      <c r="Z137" s="261"/>
      <c r="AA137" s="261"/>
      <c r="AB137" s="179" t="str">
        <f t="shared" si="11"/>
        <v/>
      </c>
      <c r="AC137" s="262" t="str">
        <f t="shared" si="12"/>
        <v/>
      </c>
      <c r="AD137" s="382" t="str">
        <f>IFERROR(IF(AC137="Check Data","Check Data",VLOOKUP(AC137,'G-4 Temporal multipliers'!$A$4:$C$37,3,FALSE)),"")</f>
        <v/>
      </c>
      <c r="AE137" s="171" t="str">
        <f>IF(N137="","",VLOOKUP(N137,'G-7 Rivers Data'!$B$4:$G$8,5,FALSE))</f>
        <v/>
      </c>
      <c r="AF137" s="179" t="str">
        <f t="shared" si="13"/>
        <v/>
      </c>
      <c r="AG137" s="269" t="str">
        <f t="shared" si="14"/>
        <v/>
      </c>
      <c r="AH137" s="172" t="str">
        <f t="shared" si="8"/>
        <v/>
      </c>
      <c r="AI137" s="173"/>
      <c r="AJ137" s="172" t="str">
        <f>IF(AI137="","",IF(VLOOKUP(AI137,'G-7 Rivers Data'!$AA$4:$AB$7,2,FALSE)=0,"Spatial Data Missing",VLOOKUP(AI137,'G-7 Rivers Data'!$AA$4:$AB$7,2,FALSE)))</f>
        <v/>
      </c>
      <c r="AK137" s="187"/>
      <c r="AL137" s="172" t="str">
        <f>IF(AK137="","",IF(VLOOKUP(AK137,'G-7 Rivers Data'!$AD$4:$AE$8,2,FALSE)=0,"Spatial Data Missing",VLOOKUP(AK137,'G-7 Rivers Data'!$AD$4:$AE$8,2,FALSE)))</f>
        <v/>
      </c>
      <c r="AM137" s="265" t="str">
        <f t="shared" si="15"/>
        <v/>
      </c>
      <c r="AN137" s="180"/>
      <c r="AO137" s="181"/>
      <c r="AV137" s="35" t="str">
        <f>IFERROR(INDEX('G-7 Rivers Data'!$AZ$3:$AZ$7,MATCH(N137,'G-7 Rivers Data'!$AY$3:$AY$7,0)),"")</f>
        <v/>
      </c>
    </row>
    <row r="138" spans="2:48" ht="13.8" x14ac:dyDescent="0.25">
      <c r="B138" s="259" t="str">
        <f>'C-1 Site River Baseline'!AN136</f>
        <v/>
      </c>
      <c r="C138" s="175" t="str">
        <f>IF(B138="","",VLOOKUP($B138,'C-1 Site River Baseline'!$C$9:$R$257,2,FALSE))</f>
        <v/>
      </c>
      <c r="D138" s="175" t="str">
        <f>IF(C138="","",VLOOKUP($B138,'C-1 Site River Baseline'!$C$9:$R$257,3,FALSE))</f>
        <v/>
      </c>
      <c r="E138" s="175" t="str">
        <f>IF(D138="","",VLOOKUP($B138,'C-1 Site River Baseline'!$C$9:$R$257,4,FALSE))</f>
        <v/>
      </c>
      <c r="F138" s="175" t="str">
        <f>IF(E138="","",VLOOKUP($B138,'C-1 Site River Baseline'!$C$9:$R$257,5,FALSE))</f>
        <v/>
      </c>
      <c r="G138" s="175" t="str">
        <f>IF(F138="","",VLOOKUP($B138,'C-1 Site River Baseline'!$C$9:$R$257,6,FALSE))</f>
        <v/>
      </c>
      <c r="H138" s="175" t="str">
        <f>IF(G138="","",VLOOKUP($B138,'C-1 Site River Baseline'!$C$9:$R$257,7,FALSE))</f>
        <v/>
      </c>
      <c r="I138" s="175" t="str">
        <f>IF(H138="","",VLOOKUP($B138,'C-1 Site River Baseline'!$C$9:$R$257,8,FALSE))</f>
        <v/>
      </c>
      <c r="J138" s="175" t="str">
        <f>IF(I138="","",VLOOKUP($B138,'C-1 Site River Baseline'!$C$9:$R$257,9,FALSE))</f>
        <v/>
      </c>
      <c r="K138" s="175" t="str">
        <f>IF(J138="","",VLOOKUP($B138,'C-1 Site River Baseline'!$C$9:$R$257,10,FALSE))</f>
        <v/>
      </c>
      <c r="L138" s="175" t="str">
        <f>IF(B138="","",VLOOKUP($B138,'C-1 Site River Baseline'!$C$9:$R$257,15,FALSE))</f>
        <v/>
      </c>
      <c r="M138" s="176" t="str">
        <f>IF(L138="","",VLOOKUP($B138,'C-1 Site River Baseline'!$C$9:$R$257,16,FALSE))</f>
        <v/>
      </c>
      <c r="N138" s="639" t="str">
        <f t="shared" si="9"/>
        <v/>
      </c>
      <c r="O138" s="239" t="str">
        <f t="shared" si="10"/>
        <v/>
      </c>
      <c r="P138" s="172" t="str">
        <f>IF(C138="","",IF(AND(LEFT(C138,55)&lt;&gt;LEFT(N138,55),O138="High - High"),"Error - Not like for like",IF(AND(F138=S138,H138&gt;U138),"Error - Can not reduce condition",IF(AND(F138=S138,H138=U138,AJ138='C-1 Site River Baseline'!N136,'C-1 Site River Baseline'!P136=AL138),"Error - No enhancement",IF(AND(C138&lt;&gt;N138,F138&lt;S138),"Lower Distinctiveness Habitat"&amp;" - "&amp;T138,G138&amp;" - "&amp;T138)))))</f>
        <v/>
      </c>
      <c r="Q138" s="660" t="str">
        <f>IF(N138="","",VLOOKUP(B138,'C-1 Site River Baseline'!$C$10:$AA$257,19,FALSE))</f>
        <v/>
      </c>
      <c r="R138" s="171" t="str">
        <f>IF(N138="","",VLOOKUP(N138,'G-7 Rivers Data'!$B$2:$G$8,2,FALSE))</f>
        <v/>
      </c>
      <c r="S138" s="172" t="str">
        <f>IFERROR(VLOOKUP(R138,'G-7 Rivers Data'!$C$4:$D$8,2,FALSE),"")</f>
        <v/>
      </c>
      <c r="T138" s="173"/>
      <c r="U138" s="172" t="str">
        <f>IFERROR(INDEX('G-7 Rivers Data'!$H$4:$L$8,MATCH(N138,'G-7 Rivers Data'!$B$4:$B$8,0),MATCH(T138,'G-7 Rivers Data'!$H$3:$L$3,0)),"")</f>
        <v/>
      </c>
      <c r="V138" s="186"/>
      <c r="W138" s="175" t="str">
        <f>IF(V138="","",IF(VLOOKUP(V138,'G-7 Rivers Data'!$AG$4:$AI$9,2,FALSE)=0,"Spatial Data Missing",VLOOKUP(V138,'G-7 Rivers Data'!$AG$4:$AI$9,2,FALSE)))</f>
        <v/>
      </c>
      <c r="X138" s="176" t="str">
        <f>IF(V138="","",IF(VLOOKUP(V138,'G-7 Rivers Data'!$AG$4:$AI$9,3,FALSE)=0,"Spatial Data Missing",VLOOKUP(V138,'G-7 Rivers Data'!$AG$4:$AI$9,3,FALSE)))</f>
        <v/>
      </c>
      <c r="Y138" s="171" t="str">
        <f>IFERROR(IF(OR(LEFT(P138,5)="Error",LEFT(O138,5)="Error"),"Check Data",IF(F138&lt;S138,'G-7 Rivers Data'!$R$3,INDEX('G-7 Rivers Data'!$U$5:$Y$9,MATCH(G138,'G-7 Rivers Data'!$T$5:$T$9,0),MATCH(T138,'G-7 Rivers Data'!$U$4:$Y$4,0)))),"")</f>
        <v/>
      </c>
      <c r="Z138" s="261"/>
      <c r="AA138" s="261"/>
      <c r="AB138" s="179" t="str">
        <f t="shared" si="11"/>
        <v/>
      </c>
      <c r="AC138" s="262" t="str">
        <f t="shared" si="12"/>
        <v/>
      </c>
      <c r="AD138" s="382" t="str">
        <f>IFERROR(IF(AC138="Check Data","Check Data",VLOOKUP(AC138,'G-4 Temporal multipliers'!$A$4:$C$37,3,FALSE)),"")</f>
        <v/>
      </c>
      <c r="AE138" s="171" t="str">
        <f>IF(N138="","",VLOOKUP(N138,'G-7 Rivers Data'!$B$4:$G$8,5,FALSE))</f>
        <v/>
      </c>
      <c r="AF138" s="179" t="str">
        <f t="shared" si="13"/>
        <v/>
      </c>
      <c r="AG138" s="269" t="str">
        <f t="shared" si="14"/>
        <v/>
      </c>
      <c r="AH138" s="172" t="str">
        <f t="shared" si="8"/>
        <v/>
      </c>
      <c r="AI138" s="173"/>
      <c r="AJ138" s="172" t="str">
        <f>IF(AI138="","",IF(VLOOKUP(AI138,'G-7 Rivers Data'!$AA$4:$AB$7,2,FALSE)=0,"Spatial Data Missing",VLOOKUP(AI138,'G-7 Rivers Data'!$AA$4:$AB$7,2,FALSE)))</f>
        <v/>
      </c>
      <c r="AK138" s="187"/>
      <c r="AL138" s="172" t="str">
        <f>IF(AK138="","",IF(VLOOKUP(AK138,'G-7 Rivers Data'!$AD$4:$AE$8,2,FALSE)=0,"Spatial Data Missing",VLOOKUP(AK138,'G-7 Rivers Data'!$AD$4:$AE$8,2,FALSE)))</f>
        <v/>
      </c>
      <c r="AM138" s="265" t="str">
        <f t="shared" si="15"/>
        <v/>
      </c>
      <c r="AN138" s="180"/>
      <c r="AO138" s="181"/>
      <c r="AV138" s="35" t="str">
        <f>IFERROR(INDEX('G-7 Rivers Data'!$AZ$3:$AZ$7,MATCH(N138,'G-7 Rivers Data'!$AY$3:$AY$7,0)),"")</f>
        <v/>
      </c>
    </row>
    <row r="139" spans="2:48" ht="13.8" x14ac:dyDescent="0.25">
      <c r="B139" s="259" t="str">
        <f>'C-1 Site River Baseline'!AN137</f>
        <v/>
      </c>
      <c r="C139" s="175" t="str">
        <f>IF(B139="","",VLOOKUP($B139,'C-1 Site River Baseline'!$C$9:$R$257,2,FALSE))</f>
        <v/>
      </c>
      <c r="D139" s="175" t="str">
        <f>IF(C139="","",VLOOKUP($B139,'C-1 Site River Baseline'!$C$9:$R$257,3,FALSE))</f>
        <v/>
      </c>
      <c r="E139" s="175" t="str">
        <f>IF(D139="","",VLOOKUP($B139,'C-1 Site River Baseline'!$C$9:$R$257,4,FALSE))</f>
        <v/>
      </c>
      <c r="F139" s="175" t="str">
        <f>IF(E139="","",VLOOKUP($B139,'C-1 Site River Baseline'!$C$9:$R$257,5,FALSE))</f>
        <v/>
      </c>
      <c r="G139" s="175" t="str">
        <f>IF(F139="","",VLOOKUP($B139,'C-1 Site River Baseline'!$C$9:$R$257,6,FALSE))</f>
        <v/>
      </c>
      <c r="H139" s="175" t="str">
        <f>IF(G139="","",VLOOKUP($B139,'C-1 Site River Baseline'!$C$9:$R$257,7,FALSE))</f>
        <v/>
      </c>
      <c r="I139" s="175" t="str">
        <f>IF(H139="","",VLOOKUP($B139,'C-1 Site River Baseline'!$C$9:$R$257,8,FALSE))</f>
        <v/>
      </c>
      <c r="J139" s="175" t="str">
        <f>IF(I139="","",VLOOKUP($B139,'C-1 Site River Baseline'!$C$9:$R$257,9,FALSE))</f>
        <v/>
      </c>
      <c r="K139" s="175" t="str">
        <f>IF(J139="","",VLOOKUP($B139,'C-1 Site River Baseline'!$C$9:$R$257,10,FALSE))</f>
        <v/>
      </c>
      <c r="L139" s="175" t="str">
        <f>IF(B139="","",VLOOKUP($B139,'C-1 Site River Baseline'!$C$9:$R$257,15,FALSE))</f>
        <v/>
      </c>
      <c r="M139" s="176" t="str">
        <f>IF(L139="","",VLOOKUP($B139,'C-1 Site River Baseline'!$C$9:$R$257,16,FALSE))</f>
        <v/>
      </c>
      <c r="N139" s="639" t="str">
        <f t="shared" si="9"/>
        <v/>
      </c>
      <c r="O139" s="239" t="str">
        <f t="shared" si="10"/>
        <v/>
      </c>
      <c r="P139" s="172" t="str">
        <f>IF(C139="","",IF(AND(LEFT(C139,55)&lt;&gt;LEFT(N139,55),O139="High - High"),"Error - Not like for like",IF(AND(F139=S139,H139&gt;U139),"Error - Can not reduce condition",IF(AND(F139=S139,H139=U139,AJ139='C-1 Site River Baseline'!N137,'C-1 Site River Baseline'!P137=AL139),"Error - No enhancement",IF(AND(C139&lt;&gt;N139,F139&lt;S139),"Lower Distinctiveness Habitat"&amp;" - "&amp;T139,G139&amp;" - "&amp;T139)))))</f>
        <v/>
      </c>
      <c r="Q139" s="660" t="str">
        <f>IF(N139="","",VLOOKUP(B139,'C-1 Site River Baseline'!$C$10:$AA$257,19,FALSE))</f>
        <v/>
      </c>
      <c r="R139" s="171" t="str">
        <f>IF(N139="","",VLOOKUP(N139,'G-7 Rivers Data'!$B$2:$G$8,2,FALSE))</f>
        <v/>
      </c>
      <c r="S139" s="172" t="str">
        <f>IFERROR(VLOOKUP(R139,'G-7 Rivers Data'!$C$4:$D$8,2,FALSE),"")</f>
        <v/>
      </c>
      <c r="T139" s="173"/>
      <c r="U139" s="172" t="str">
        <f>IFERROR(INDEX('G-7 Rivers Data'!$H$4:$L$8,MATCH(N139,'G-7 Rivers Data'!$B$4:$B$8,0),MATCH(T139,'G-7 Rivers Data'!$H$3:$L$3,0)),"")</f>
        <v/>
      </c>
      <c r="V139" s="186"/>
      <c r="W139" s="175" t="str">
        <f>IF(V139="","",IF(VLOOKUP(V139,'G-7 Rivers Data'!$AG$4:$AI$9,2,FALSE)=0,"Spatial Data Missing",VLOOKUP(V139,'G-7 Rivers Data'!$AG$4:$AI$9,2,FALSE)))</f>
        <v/>
      </c>
      <c r="X139" s="176" t="str">
        <f>IF(V139="","",IF(VLOOKUP(V139,'G-7 Rivers Data'!$AG$4:$AI$9,3,FALSE)=0,"Spatial Data Missing",VLOOKUP(V139,'G-7 Rivers Data'!$AG$4:$AI$9,3,FALSE)))</f>
        <v/>
      </c>
      <c r="Y139" s="171" t="str">
        <f>IFERROR(IF(OR(LEFT(P139,5)="Error",LEFT(O139,5)="Error"),"Check Data",IF(F139&lt;S139,'G-7 Rivers Data'!$R$3,INDEX('G-7 Rivers Data'!$U$5:$Y$9,MATCH(G139,'G-7 Rivers Data'!$T$5:$T$9,0),MATCH(T139,'G-7 Rivers Data'!$U$4:$Y$4,0)))),"")</f>
        <v/>
      </c>
      <c r="Z139" s="261"/>
      <c r="AA139" s="261"/>
      <c r="AB139" s="179" t="str">
        <f t="shared" si="11"/>
        <v/>
      </c>
      <c r="AC139" s="262" t="str">
        <f t="shared" si="12"/>
        <v/>
      </c>
      <c r="AD139" s="382" t="str">
        <f>IFERROR(IF(AC139="Check Data","Check Data",VLOOKUP(AC139,'G-4 Temporal multipliers'!$A$4:$C$37,3,FALSE)),"")</f>
        <v/>
      </c>
      <c r="AE139" s="171" t="str">
        <f>IF(N139="","",VLOOKUP(N139,'G-7 Rivers Data'!$B$4:$G$8,5,FALSE))</f>
        <v/>
      </c>
      <c r="AF139" s="179" t="str">
        <f t="shared" si="13"/>
        <v/>
      </c>
      <c r="AG139" s="269" t="str">
        <f t="shared" si="14"/>
        <v/>
      </c>
      <c r="AH139" s="172" t="str">
        <f t="shared" si="8"/>
        <v/>
      </c>
      <c r="AI139" s="173"/>
      <c r="AJ139" s="172" t="str">
        <f>IF(AI139="","",IF(VLOOKUP(AI139,'G-7 Rivers Data'!$AA$4:$AB$7,2,FALSE)=0,"Spatial Data Missing",VLOOKUP(AI139,'G-7 Rivers Data'!$AA$4:$AB$7,2,FALSE)))</f>
        <v/>
      </c>
      <c r="AK139" s="187"/>
      <c r="AL139" s="172" t="str">
        <f>IF(AK139="","",IF(VLOOKUP(AK139,'G-7 Rivers Data'!$AD$4:$AE$8,2,FALSE)=0,"Spatial Data Missing",VLOOKUP(AK139,'G-7 Rivers Data'!$AD$4:$AE$8,2,FALSE)))</f>
        <v/>
      </c>
      <c r="AM139" s="265" t="str">
        <f t="shared" si="15"/>
        <v/>
      </c>
      <c r="AN139" s="180"/>
      <c r="AO139" s="181"/>
      <c r="AV139" s="35" t="str">
        <f>IFERROR(INDEX('G-7 Rivers Data'!$AZ$3:$AZ$7,MATCH(N139,'G-7 Rivers Data'!$AY$3:$AY$7,0)),"")</f>
        <v/>
      </c>
    </row>
    <row r="140" spans="2:48" ht="13.8" x14ac:dyDescent="0.25">
      <c r="B140" s="259" t="str">
        <f>'C-1 Site River Baseline'!AN138</f>
        <v/>
      </c>
      <c r="C140" s="175" t="str">
        <f>IF(B140="","",VLOOKUP($B140,'C-1 Site River Baseline'!$C$9:$R$257,2,FALSE))</f>
        <v/>
      </c>
      <c r="D140" s="175" t="str">
        <f>IF(C140="","",VLOOKUP($B140,'C-1 Site River Baseline'!$C$9:$R$257,3,FALSE))</f>
        <v/>
      </c>
      <c r="E140" s="175" t="str">
        <f>IF(D140="","",VLOOKUP($B140,'C-1 Site River Baseline'!$C$9:$R$257,4,FALSE))</f>
        <v/>
      </c>
      <c r="F140" s="175" t="str">
        <f>IF(E140="","",VLOOKUP($B140,'C-1 Site River Baseline'!$C$9:$R$257,5,FALSE))</f>
        <v/>
      </c>
      <c r="G140" s="175" t="str">
        <f>IF(F140="","",VLOOKUP($B140,'C-1 Site River Baseline'!$C$9:$R$257,6,FALSE))</f>
        <v/>
      </c>
      <c r="H140" s="175" t="str">
        <f>IF(G140="","",VLOOKUP($B140,'C-1 Site River Baseline'!$C$9:$R$257,7,FALSE))</f>
        <v/>
      </c>
      <c r="I140" s="175" t="str">
        <f>IF(H140="","",VLOOKUP($B140,'C-1 Site River Baseline'!$C$9:$R$257,8,FALSE))</f>
        <v/>
      </c>
      <c r="J140" s="175" t="str">
        <f>IF(I140="","",VLOOKUP($B140,'C-1 Site River Baseline'!$C$9:$R$257,9,FALSE))</f>
        <v/>
      </c>
      <c r="K140" s="175" t="str">
        <f>IF(J140="","",VLOOKUP($B140,'C-1 Site River Baseline'!$C$9:$R$257,10,FALSE))</f>
        <v/>
      </c>
      <c r="L140" s="175" t="str">
        <f>IF(B140="","",VLOOKUP($B140,'C-1 Site River Baseline'!$C$9:$R$257,15,FALSE))</f>
        <v/>
      </c>
      <c r="M140" s="176" t="str">
        <f>IF(L140="","",VLOOKUP($B140,'C-1 Site River Baseline'!$C$9:$R$257,16,FALSE))</f>
        <v/>
      </c>
      <c r="N140" s="639" t="str">
        <f t="shared" si="9"/>
        <v/>
      </c>
      <c r="O140" s="239" t="str">
        <f t="shared" si="10"/>
        <v/>
      </c>
      <c r="P140" s="172" t="str">
        <f>IF(C140="","",IF(AND(LEFT(C140,55)&lt;&gt;LEFT(N140,55),O140="High - High"),"Error - Not like for like",IF(AND(F140=S140,H140&gt;U140),"Error - Can not reduce condition",IF(AND(F140=S140,H140=U140,AJ140='C-1 Site River Baseline'!N138,'C-1 Site River Baseline'!P138=AL140),"Error - No enhancement",IF(AND(C140&lt;&gt;N140,F140&lt;S140),"Lower Distinctiveness Habitat"&amp;" - "&amp;T140,G140&amp;" - "&amp;T140)))))</f>
        <v/>
      </c>
      <c r="Q140" s="660" t="str">
        <f>IF(N140="","",VLOOKUP(B140,'C-1 Site River Baseline'!$C$10:$AA$257,19,FALSE))</f>
        <v/>
      </c>
      <c r="R140" s="171" t="str">
        <f>IF(N140="","",VLOOKUP(N140,'G-7 Rivers Data'!$B$2:$G$8,2,FALSE))</f>
        <v/>
      </c>
      <c r="S140" s="172" t="str">
        <f>IFERROR(VLOOKUP(R140,'G-7 Rivers Data'!$C$4:$D$8,2,FALSE),"")</f>
        <v/>
      </c>
      <c r="T140" s="173"/>
      <c r="U140" s="172" t="str">
        <f>IFERROR(INDEX('G-7 Rivers Data'!$H$4:$L$8,MATCH(N140,'G-7 Rivers Data'!$B$4:$B$8,0),MATCH(T140,'G-7 Rivers Data'!$H$3:$L$3,0)),"")</f>
        <v/>
      </c>
      <c r="V140" s="186"/>
      <c r="W140" s="175" t="str">
        <f>IF(V140="","",IF(VLOOKUP(V140,'G-7 Rivers Data'!$AG$4:$AI$9,2,FALSE)=0,"Spatial Data Missing",VLOOKUP(V140,'G-7 Rivers Data'!$AG$4:$AI$9,2,FALSE)))</f>
        <v/>
      </c>
      <c r="X140" s="176" t="str">
        <f>IF(V140="","",IF(VLOOKUP(V140,'G-7 Rivers Data'!$AG$4:$AI$9,3,FALSE)=0,"Spatial Data Missing",VLOOKUP(V140,'G-7 Rivers Data'!$AG$4:$AI$9,3,FALSE)))</f>
        <v/>
      </c>
      <c r="Y140" s="171" t="str">
        <f>IFERROR(IF(OR(LEFT(P140,5)="Error",LEFT(O140,5)="Error"),"Check Data",IF(F140&lt;S140,'G-7 Rivers Data'!$R$3,INDEX('G-7 Rivers Data'!$U$5:$Y$9,MATCH(G140,'G-7 Rivers Data'!$T$5:$T$9,0),MATCH(T140,'G-7 Rivers Data'!$U$4:$Y$4,0)))),"")</f>
        <v/>
      </c>
      <c r="Z140" s="261"/>
      <c r="AA140" s="261"/>
      <c r="AB140" s="179" t="str">
        <f t="shared" si="11"/>
        <v/>
      </c>
      <c r="AC140" s="262" t="str">
        <f t="shared" si="12"/>
        <v/>
      </c>
      <c r="AD140" s="382" t="str">
        <f>IFERROR(IF(AC140="Check Data","Check Data",VLOOKUP(AC140,'G-4 Temporal multipliers'!$A$4:$C$37,3,FALSE)),"")</f>
        <v/>
      </c>
      <c r="AE140" s="171" t="str">
        <f>IF(N140="","",VLOOKUP(N140,'G-7 Rivers Data'!$B$4:$G$8,5,FALSE))</f>
        <v/>
      </c>
      <c r="AF140" s="179" t="str">
        <f t="shared" si="13"/>
        <v/>
      </c>
      <c r="AG140" s="269" t="str">
        <f t="shared" si="14"/>
        <v/>
      </c>
      <c r="AH140" s="172" t="str">
        <f t="shared" ref="AH140:AH203" si="16">IF(N140="","",VLOOKUP(AE140,Difficulty,2,FALSE))</f>
        <v/>
      </c>
      <c r="AI140" s="173"/>
      <c r="AJ140" s="172" t="str">
        <f>IF(AI140="","",IF(VLOOKUP(AI140,'G-7 Rivers Data'!$AA$4:$AB$7,2,FALSE)=0,"Spatial Data Missing",VLOOKUP(AI140,'G-7 Rivers Data'!$AA$4:$AB$7,2,FALSE)))</f>
        <v/>
      </c>
      <c r="AK140" s="187"/>
      <c r="AL140" s="172" t="str">
        <f>IF(AK140="","",IF(VLOOKUP(AK140,'G-7 Rivers Data'!$AD$4:$AE$8,2,FALSE)=0,"Spatial Data Missing",VLOOKUP(AK140,'G-7 Rivers Data'!$AD$4:$AE$8,2,FALSE)))</f>
        <v/>
      </c>
      <c r="AM140" s="265" t="str">
        <f t="shared" si="15"/>
        <v/>
      </c>
      <c r="AN140" s="180"/>
      <c r="AO140" s="181"/>
      <c r="AV140" s="35" t="str">
        <f>IFERROR(INDEX('G-7 Rivers Data'!$AZ$3:$AZ$7,MATCH(N140,'G-7 Rivers Data'!$AY$3:$AY$7,0)),"")</f>
        <v/>
      </c>
    </row>
    <row r="141" spans="2:48" ht="13.8" x14ac:dyDescent="0.25">
      <c r="B141" s="259" t="str">
        <f>'C-1 Site River Baseline'!AN139</f>
        <v/>
      </c>
      <c r="C141" s="175" t="str">
        <f>IF(B141="","",VLOOKUP($B141,'C-1 Site River Baseline'!$C$9:$R$257,2,FALSE))</f>
        <v/>
      </c>
      <c r="D141" s="175" t="str">
        <f>IF(C141="","",VLOOKUP($B141,'C-1 Site River Baseline'!$C$9:$R$257,3,FALSE))</f>
        <v/>
      </c>
      <c r="E141" s="175" t="str">
        <f>IF(D141="","",VLOOKUP($B141,'C-1 Site River Baseline'!$C$9:$R$257,4,FALSE))</f>
        <v/>
      </c>
      <c r="F141" s="175" t="str">
        <f>IF(E141="","",VLOOKUP($B141,'C-1 Site River Baseline'!$C$9:$R$257,5,FALSE))</f>
        <v/>
      </c>
      <c r="G141" s="175" t="str">
        <f>IF(F141="","",VLOOKUP($B141,'C-1 Site River Baseline'!$C$9:$R$257,6,FALSE))</f>
        <v/>
      </c>
      <c r="H141" s="175" t="str">
        <f>IF(G141="","",VLOOKUP($B141,'C-1 Site River Baseline'!$C$9:$R$257,7,FALSE))</f>
        <v/>
      </c>
      <c r="I141" s="175" t="str">
        <f>IF(H141="","",VLOOKUP($B141,'C-1 Site River Baseline'!$C$9:$R$257,8,FALSE))</f>
        <v/>
      </c>
      <c r="J141" s="175" t="str">
        <f>IF(I141="","",VLOOKUP($B141,'C-1 Site River Baseline'!$C$9:$R$257,9,FALSE))</f>
        <v/>
      </c>
      <c r="K141" s="175" t="str">
        <f>IF(J141="","",VLOOKUP($B141,'C-1 Site River Baseline'!$C$9:$R$257,10,FALSE))</f>
        <v/>
      </c>
      <c r="L141" s="175" t="str">
        <f>IF(B141="","",VLOOKUP($B141,'C-1 Site River Baseline'!$C$9:$R$257,15,FALSE))</f>
        <v/>
      </c>
      <c r="M141" s="176" t="str">
        <f>IF(L141="","",VLOOKUP($B141,'C-1 Site River Baseline'!$C$9:$R$257,16,FALSE))</f>
        <v/>
      </c>
      <c r="N141" s="639" t="str">
        <f t="shared" ref="N141:N204" si="17">C141</f>
        <v/>
      </c>
      <c r="O141" s="239" t="str">
        <f t="shared" ref="O141:O204" si="18">IF(B141="","",IF(S141&lt;F141,"Error Trading Down",E141&amp;" - "&amp;R141))</f>
        <v/>
      </c>
      <c r="P141" s="172" t="str">
        <f>IF(C141="","",IF(AND(LEFT(C141,55)&lt;&gt;LEFT(N141,55),O141="High - High"),"Error - Not like for like",IF(AND(F141=S141,H141&gt;U141),"Error - Can not reduce condition",IF(AND(F141=S141,H141=U141,AJ141='C-1 Site River Baseline'!N139,'C-1 Site River Baseline'!P139=AL141),"Error - No enhancement",IF(AND(C141&lt;&gt;N141,F141&lt;S141),"Lower Distinctiveness Habitat"&amp;" - "&amp;T141,G141&amp;" - "&amp;T141)))))</f>
        <v/>
      </c>
      <c r="Q141" s="660" t="str">
        <f>IF(N141="","",VLOOKUP(B141,'C-1 Site River Baseline'!$C$10:$AA$257,19,FALSE))</f>
        <v/>
      </c>
      <c r="R141" s="171" t="str">
        <f>IF(N141="","",VLOOKUP(N141,'G-7 Rivers Data'!$B$2:$G$8,2,FALSE))</f>
        <v/>
      </c>
      <c r="S141" s="172" t="str">
        <f>IFERROR(VLOOKUP(R141,'G-7 Rivers Data'!$C$4:$D$8,2,FALSE),"")</f>
        <v/>
      </c>
      <c r="T141" s="173"/>
      <c r="U141" s="172" t="str">
        <f>IFERROR(INDEX('G-7 Rivers Data'!$H$4:$L$8,MATCH(N141,'G-7 Rivers Data'!$B$4:$B$8,0),MATCH(T141,'G-7 Rivers Data'!$H$3:$L$3,0)),"")</f>
        <v/>
      </c>
      <c r="V141" s="186"/>
      <c r="W141" s="175" t="str">
        <f>IF(V141="","",IF(VLOOKUP(V141,'G-7 Rivers Data'!$AG$4:$AI$9,2,FALSE)=0,"Spatial Data Missing",VLOOKUP(V141,'G-7 Rivers Data'!$AG$4:$AI$9,2,FALSE)))</f>
        <v/>
      </c>
      <c r="X141" s="176" t="str">
        <f>IF(V141="","",IF(VLOOKUP(V141,'G-7 Rivers Data'!$AG$4:$AI$9,3,FALSE)=0,"Spatial Data Missing",VLOOKUP(V141,'G-7 Rivers Data'!$AG$4:$AI$9,3,FALSE)))</f>
        <v/>
      </c>
      <c r="Y141" s="171" t="str">
        <f>IFERROR(IF(OR(LEFT(P141,5)="Error",LEFT(O141,5)="Error"),"Check Data",IF(F141&lt;S141,'G-7 Rivers Data'!$R$3,INDEX('G-7 Rivers Data'!$U$5:$Y$9,MATCH(G141,'G-7 Rivers Data'!$T$5:$T$9,0),MATCH(T141,'G-7 Rivers Data'!$U$4:$Y$4,0)))),"")</f>
        <v/>
      </c>
      <c r="Z141" s="261"/>
      <c r="AA141" s="261"/>
      <c r="AB141" s="179" t="str">
        <f t="shared" ref="AB141:AB204" si="19">IF(Y141="","",IF(Y141="Check Data","Check Data",IF(AND(Z141&gt;0,AA141&gt;0),"Error -both advance and delayed habitat creation",IF(AND(OR(Z141="Habitat already in target condition",Y141&lt;=Z141),AA141=0),"Check details - Is there evidence that habitat has reached target condition?",IF(Z141&gt;0,"Check details - Is there evidence habitat creation started/in place?",IF(AA141&gt;0,"Check details- Delay in starting habitat in required condition?","Standard time to target condition applied"))))))</f>
        <v/>
      </c>
      <c r="AC141" s="262" t="str">
        <f t="shared" ref="AC141:AC204" si="20">IF(LEFT(AB141,5)="Error","Check Data",IF(AB141="Check Data","Check Data",IF(Y141="","",IF(Z141="30+",0,IF(AA141="30+","30+",IF(Y141+AA141&gt;30,"30+",IF(Y141+AA141-Z141&gt;0,Y141+AA141-Z141,IF(Y141-Z141&lt;0,0,Y141+AA141-Z141))))))))</f>
        <v/>
      </c>
      <c r="AD141" s="382" t="str">
        <f>IFERROR(IF(AC141="Check Data","Check Data",VLOOKUP(AC141,'G-4 Temporal multipliers'!$A$4:$C$37,3,FALSE)),"")</f>
        <v/>
      </c>
      <c r="AE141" s="171" t="str">
        <f>IF(N141="","",VLOOKUP(N141,'G-7 Rivers Data'!$B$4:$G$8,5,FALSE))</f>
        <v/>
      </c>
      <c r="AF141" s="179" t="str">
        <f t="shared" ref="AF141:AF204" si="21">IF(N141="","",IF(AC141="Check Data","Check Data",IF(T141="","",IF($AB141="Check details - Is there evidence that habitat has reached target condition?","Low Difficulty - only applicable if all habitat created before losses","Standard difficulty applied"))))</f>
        <v/>
      </c>
      <c r="AG141" s="269" t="str">
        <f t="shared" ref="AG141:AG204" si="22">(IF(AND(AF141="Standard difficulty applied",Y141&gt;Z141),AE141,IF(AND(AF141="Low Difficulty - only applicable if all habitat created before losses",Z141&gt;=Y141),"Low",AE141)))</f>
        <v/>
      </c>
      <c r="AH141" s="172" t="str">
        <f t="shared" si="16"/>
        <v/>
      </c>
      <c r="AI141" s="173"/>
      <c r="AJ141" s="172" t="str">
        <f>IF(AI141="","",IF(VLOOKUP(AI141,'G-7 Rivers Data'!$AA$4:$AB$7,2,FALSE)=0,"Spatial Data Missing",VLOOKUP(AI141,'G-7 Rivers Data'!$AA$4:$AB$7,2,FALSE)))</f>
        <v/>
      </c>
      <c r="AK141" s="187"/>
      <c r="AL141" s="172" t="str">
        <f>IF(AK141="","",IF(VLOOKUP(AK141,'G-7 Rivers Data'!$AD$4:$AE$8,2,FALSE)=0,"Spatial Data Missing",VLOOKUP(AK141,'G-7 Rivers Data'!$AD$4:$AE$8,2,FALSE)))</f>
        <v/>
      </c>
      <c r="AM141" s="265" t="str">
        <f t="shared" si="15"/>
        <v/>
      </c>
      <c r="AN141" s="180"/>
      <c r="AO141" s="181"/>
      <c r="AV141" s="35" t="str">
        <f>IFERROR(INDEX('G-7 Rivers Data'!$AZ$3:$AZ$7,MATCH(N141,'G-7 Rivers Data'!$AY$3:$AY$7,0)),"")</f>
        <v/>
      </c>
    </row>
    <row r="142" spans="2:48" ht="13.8" x14ac:dyDescent="0.25">
      <c r="B142" s="259" t="str">
        <f>'C-1 Site River Baseline'!AN140</f>
        <v/>
      </c>
      <c r="C142" s="175" t="str">
        <f>IF(B142="","",VLOOKUP($B142,'C-1 Site River Baseline'!$C$9:$R$257,2,FALSE))</f>
        <v/>
      </c>
      <c r="D142" s="175" t="str">
        <f>IF(C142="","",VLOOKUP($B142,'C-1 Site River Baseline'!$C$9:$R$257,3,FALSE))</f>
        <v/>
      </c>
      <c r="E142" s="175" t="str">
        <f>IF(D142="","",VLOOKUP($B142,'C-1 Site River Baseline'!$C$9:$R$257,4,FALSE))</f>
        <v/>
      </c>
      <c r="F142" s="175" t="str">
        <f>IF(E142="","",VLOOKUP($B142,'C-1 Site River Baseline'!$C$9:$R$257,5,FALSE))</f>
        <v/>
      </c>
      <c r="G142" s="175" t="str">
        <f>IF(F142="","",VLOOKUP($B142,'C-1 Site River Baseline'!$C$9:$R$257,6,FALSE))</f>
        <v/>
      </c>
      <c r="H142" s="175" t="str">
        <f>IF(G142="","",VLOOKUP($B142,'C-1 Site River Baseline'!$C$9:$R$257,7,FALSE))</f>
        <v/>
      </c>
      <c r="I142" s="175" t="str">
        <f>IF(H142="","",VLOOKUP($B142,'C-1 Site River Baseline'!$C$9:$R$257,8,FALSE))</f>
        <v/>
      </c>
      <c r="J142" s="175" t="str">
        <f>IF(I142="","",VLOOKUP($B142,'C-1 Site River Baseline'!$C$9:$R$257,9,FALSE))</f>
        <v/>
      </c>
      <c r="K142" s="175" t="str">
        <f>IF(J142="","",VLOOKUP($B142,'C-1 Site River Baseline'!$C$9:$R$257,10,FALSE))</f>
        <v/>
      </c>
      <c r="L142" s="175" t="str">
        <f>IF(B142="","",VLOOKUP($B142,'C-1 Site River Baseline'!$C$9:$R$257,15,FALSE))</f>
        <v/>
      </c>
      <c r="M142" s="176" t="str">
        <f>IF(L142="","",VLOOKUP($B142,'C-1 Site River Baseline'!$C$9:$R$257,16,FALSE))</f>
        <v/>
      </c>
      <c r="N142" s="639" t="str">
        <f t="shared" si="17"/>
        <v/>
      </c>
      <c r="O142" s="239" t="str">
        <f t="shared" si="18"/>
        <v/>
      </c>
      <c r="P142" s="172" t="str">
        <f>IF(C142="","",IF(AND(LEFT(C142,55)&lt;&gt;LEFT(N142,55),O142="High - High"),"Error - Not like for like",IF(AND(F142=S142,H142&gt;U142),"Error - Can not reduce condition",IF(AND(F142=S142,H142=U142,AJ142='C-1 Site River Baseline'!N140,'C-1 Site River Baseline'!P140=AL142),"Error - No enhancement",IF(AND(C142&lt;&gt;N142,F142&lt;S142),"Lower Distinctiveness Habitat"&amp;" - "&amp;T142,G142&amp;" - "&amp;T142)))))</f>
        <v/>
      </c>
      <c r="Q142" s="660" t="str">
        <f>IF(N142="","",VLOOKUP(B142,'C-1 Site River Baseline'!$C$10:$AA$257,19,FALSE))</f>
        <v/>
      </c>
      <c r="R142" s="171" t="str">
        <f>IF(N142="","",VLOOKUP(N142,'G-7 Rivers Data'!$B$2:$G$8,2,FALSE))</f>
        <v/>
      </c>
      <c r="S142" s="172" t="str">
        <f>IFERROR(VLOOKUP(R142,'G-7 Rivers Data'!$C$4:$D$8,2,FALSE),"")</f>
        <v/>
      </c>
      <c r="T142" s="173"/>
      <c r="U142" s="172" t="str">
        <f>IFERROR(INDEX('G-7 Rivers Data'!$H$4:$L$8,MATCH(N142,'G-7 Rivers Data'!$B$4:$B$8,0),MATCH(T142,'G-7 Rivers Data'!$H$3:$L$3,0)),"")</f>
        <v/>
      </c>
      <c r="V142" s="186"/>
      <c r="W142" s="175" t="str">
        <f>IF(V142="","",IF(VLOOKUP(V142,'G-7 Rivers Data'!$AG$4:$AI$9,2,FALSE)=0,"Spatial Data Missing",VLOOKUP(V142,'G-7 Rivers Data'!$AG$4:$AI$9,2,FALSE)))</f>
        <v/>
      </c>
      <c r="X142" s="176" t="str">
        <f>IF(V142="","",IF(VLOOKUP(V142,'G-7 Rivers Data'!$AG$4:$AI$9,3,FALSE)=0,"Spatial Data Missing",VLOOKUP(V142,'G-7 Rivers Data'!$AG$4:$AI$9,3,FALSE)))</f>
        <v/>
      </c>
      <c r="Y142" s="171" t="str">
        <f>IFERROR(IF(OR(LEFT(P142,5)="Error",LEFT(O142,5)="Error"),"Check Data",IF(F142&lt;S142,'G-7 Rivers Data'!$R$3,INDEX('G-7 Rivers Data'!$U$5:$Y$9,MATCH(G142,'G-7 Rivers Data'!$T$5:$T$9,0),MATCH(T142,'G-7 Rivers Data'!$U$4:$Y$4,0)))),"")</f>
        <v/>
      </c>
      <c r="Z142" s="261"/>
      <c r="AA142" s="261"/>
      <c r="AB142" s="179" t="str">
        <f t="shared" si="19"/>
        <v/>
      </c>
      <c r="AC142" s="262" t="str">
        <f t="shared" si="20"/>
        <v/>
      </c>
      <c r="AD142" s="382" t="str">
        <f>IFERROR(IF(AC142="Check Data","Check Data",VLOOKUP(AC142,'G-4 Temporal multipliers'!$A$4:$C$37,3,FALSE)),"")</f>
        <v/>
      </c>
      <c r="AE142" s="171" t="str">
        <f>IF(N142="","",VLOOKUP(N142,'G-7 Rivers Data'!$B$4:$G$8,5,FALSE))</f>
        <v/>
      </c>
      <c r="AF142" s="179" t="str">
        <f t="shared" si="21"/>
        <v/>
      </c>
      <c r="AG142" s="269" t="str">
        <f t="shared" si="22"/>
        <v/>
      </c>
      <c r="AH142" s="172" t="str">
        <f t="shared" si="16"/>
        <v/>
      </c>
      <c r="AI142" s="173"/>
      <c r="AJ142" s="172" t="str">
        <f>IF(AI142="","",IF(VLOOKUP(AI142,'G-7 Rivers Data'!$AA$4:$AB$7,2,FALSE)=0,"Spatial Data Missing",VLOOKUP(AI142,'G-7 Rivers Data'!$AA$4:$AB$7,2,FALSE)))</f>
        <v/>
      </c>
      <c r="AK142" s="187"/>
      <c r="AL142" s="172" t="str">
        <f>IF(AK142="","",IF(VLOOKUP(AK142,'G-7 Rivers Data'!$AD$4:$AE$8,2,FALSE)=0,"Spatial Data Missing",VLOOKUP(AK142,'G-7 Rivers Data'!$AD$4:$AE$8,2,FALSE)))</f>
        <v/>
      </c>
      <c r="AM142" s="265" t="str">
        <f t="shared" ref="AM142:AM205" si="23">IFERROR(IF(C142="","",IF(Q142&gt;D142,((((Q142*S142*U142)-(D142*F142*H142))*(AH142*AD142))+(D142*F142*H142))*(AL142*X142*AJ142),((((Q142*S142*U142)-(Q142*F142*H142))*(AH142*AD142))+(Q142*F142*H142))*(AL142*X142*AJ142))),"")</f>
        <v/>
      </c>
      <c r="AN142" s="180"/>
      <c r="AO142" s="181"/>
      <c r="AV142" s="35" t="str">
        <f>IFERROR(INDEX('G-7 Rivers Data'!$AZ$3:$AZ$7,MATCH(N142,'G-7 Rivers Data'!$AY$3:$AY$7,0)),"")</f>
        <v/>
      </c>
    </row>
    <row r="143" spans="2:48" ht="13.8" x14ac:dyDescent="0.25">
      <c r="B143" s="259" t="str">
        <f>'C-1 Site River Baseline'!AN141</f>
        <v/>
      </c>
      <c r="C143" s="175" t="str">
        <f>IF(B143="","",VLOOKUP($B143,'C-1 Site River Baseline'!$C$9:$R$257,2,FALSE))</f>
        <v/>
      </c>
      <c r="D143" s="175" t="str">
        <f>IF(C143="","",VLOOKUP($B143,'C-1 Site River Baseline'!$C$9:$R$257,3,FALSE))</f>
        <v/>
      </c>
      <c r="E143" s="175" t="str">
        <f>IF(D143="","",VLOOKUP($B143,'C-1 Site River Baseline'!$C$9:$R$257,4,FALSE))</f>
        <v/>
      </c>
      <c r="F143" s="175" t="str">
        <f>IF(E143="","",VLOOKUP($B143,'C-1 Site River Baseline'!$C$9:$R$257,5,FALSE))</f>
        <v/>
      </c>
      <c r="G143" s="175" t="str">
        <f>IF(F143="","",VLOOKUP($B143,'C-1 Site River Baseline'!$C$9:$R$257,6,FALSE))</f>
        <v/>
      </c>
      <c r="H143" s="175" t="str">
        <f>IF(G143="","",VLOOKUP($B143,'C-1 Site River Baseline'!$C$9:$R$257,7,FALSE))</f>
        <v/>
      </c>
      <c r="I143" s="175" t="str">
        <f>IF(H143="","",VLOOKUP($B143,'C-1 Site River Baseline'!$C$9:$R$257,8,FALSE))</f>
        <v/>
      </c>
      <c r="J143" s="175" t="str">
        <f>IF(I143="","",VLOOKUP($B143,'C-1 Site River Baseline'!$C$9:$R$257,9,FALSE))</f>
        <v/>
      </c>
      <c r="K143" s="175" t="str">
        <f>IF(J143="","",VLOOKUP($B143,'C-1 Site River Baseline'!$C$9:$R$257,10,FALSE))</f>
        <v/>
      </c>
      <c r="L143" s="175" t="str">
        <f>IF(B143="","",VLOOKUP($B143,'C-1 Site River Baseline'!$C$9:$R$257,15,FALSE))</f>
        <v/>
      </c>
      <c r="M143" s="176" t="str">
        <f>IF(L143="","",VLOOKUP($B143,'C-1 Site River Baseline'!$C$9:$R$257,16,FALSE))</f>
        <v/>
      </c>
      <c r="N143" s="639" t="str">
        <f t="shared" si="17"/>
        <v/>
      </c>
      <c r="O143" s="239" t="str">
        <f t="shared" si="18"/>
        <v/>
      </c>
      <c r="P143" s="172" t="str">
        <f>IF(C143="","",IF(AND(LEFT(C143,55)&lt;&gt;LEFT(N143,55),O143="High - High"),"Error - Not like for like",IF(AND(F143=S143,H143&gt;U143),"Error - Can not reduce condition",IF(AND(F143=S143,H143=U143,AJ143='C-1 Site River Baseline'!N141,'C-1 Site River Baseline'!P141=AL143),"Error - No enhancement",IF(AND(C143&lt;&gt;N143,F143&lt;S143),"Lower Distinctiveness Habitat"&amp;" - "&amp;T143,G143&amp;" - "&amp;T143)))))</f>
        <v/>
      </c>
      <c r="Q143" s="660" t="str">
        <f>IF(N143="","",VLOOKUP(B143,'C-1 Site River Baseline'!$C$10:$AA$257,19,FALSE))</f>
        <v/>
      </c>
      <c r="R143" s="171" t="str">
        <f>IF(N143="","",VLOOKUP(N143,'G-7 Rivers Data'!$B$2:$G$8,2,FALSE))</f>
        <v/>
      </c>
      <c r="S143" s="172" t="str">
        <f>IFERROR(VLOOKUP(R143,'G-7 Rivers Data'!$C$4:$D$8,2,FALSE),"")</f>
        <v/>
      </c>
      <c r="T143" s="173"/>
      <c r="U143" s="172" t="str">
        <f>IFERROR(INDEX('G-7 Rivers Data'!$H$4:$L$8,MATCH(N143,'G-7 Rivers Data'!$B$4:$B$8,0),MATCH(T143,'G-7 Rivers Data'!$H$3:$L$3,0)),"")</f>
        <v/>
      </c>
      <c r="V143" s="186"/>
      <c r="W143" s="175" t="str">
        <f>IF(V143="","",IF(VLOOKUP(V143,'G-7 Rivers Data'!$AG$4:$AI$9,2,FALSE)=0,"Spatial Data Missing",VLOOKUP(V143,'G-7 Rivers Data'!$AG$4:$AI$9,2,FALSE)))</f>
        <v/>
      </c>
      <c r="X143" s="176" t="str">
        <f>IF(V143="","",IF(VLOOKUP(V143,'G-7 Rivers Data'!$AG$4:$AI$9,3,FALSE)=0,"Spatial Data Missing",VLOOKUP(V143,'G-7 Rivers Data'!$AG$4:$AI$9,3,FALSE)))</f>
        <v/>
      </c>
      <c r="Y143" s="171" t="str">
        <f>IFERROR(IF(OR(LEFT(P143,5)="Error",LEFT(O143,5)="Error"),"Check Data",IF(F143&lt;S143,'G-7 Rivers Data'!$R$3,INDEX('G-7 Rivers Data'!$U$5:$Y$9,MATCH(G143,'G-7 Rivers Data'!$T$5:$T$9,0),MATCH(T143,'G-7 Rivers Data'!$U$4:$Y$4,0)))),"")</f>
        <v/>
      </c>
      <c r="Z143" s="261"/>
      <c r="AA143" s="261"/>
      <c r="AB143" s="179" t="str">
        <f t="shared" si="19"/>
        <v/>
      </c>
      <c r="AC143" s="262" t="str">
        <f t="shared" si="20"/>
        <v/>
      </c>
      <c r="AD143" s="382" t="str">
        <f>IFERROR(IF(AC143="Check Data","Check Data",VLOOKUP(AC143,'G-4 Temporal multipliers'!$A$4:$C$37,3,FALSE)),"")</f>
        <v/>
      </c>
      <c r="AE143" s="171" t="str">
        <f>IF(N143="","",VLOOKUP(N143,'G-7 Rivers Data'!$B$4:$G$8,5,FALSE))</f>
        <v/>
      </c>
      <c r="AF143" s="179" t="str">
        <f t="shared" si="21"/>
        <v/>
      </c>
      <c r="AG143" s="269" t="str">
        <f t="shared" si="22"/>
        <v/>
      </c>
      <c r="AH143" s="172" t="str">
        <f t="shared" si="16"/>
        <v/>
      </c>
      <c r="AI143" s="173"/>
      <c r="AJ143" s="172" t="str">
        <f>IF(AI143="","",IF(VLOOKUP(AI143,'G-7 Rivers Data'!$AA$4:$AB$7,2,FALSE)=0,"Spatial Data Missing",VLOOKUP(AI143,'G-7 Rivers Data'!$AA$4:$AB$7,2,FALSE)))</f>
        <v/>
      </c>
      <c r="AK143" s="187"/>
      <c r="AL143" s="172" t="str">
        <f>IF(AK143="","",IF(VLOOKUP(AK143,'G-7 Rivers Data'!$AD$4:$AE$8,2,FALSE)=0,"Spatial Data Missing",VLOOKUP(AK143,'G-7 Rivers Data'!$AD$4:$AE$8,2,FALSE)))</f>
        <v/>
      </c>
      <c r="AM143" s="265" t="str">
        <f t="shared" si="23"/>
        <v/>
      </c>
      <c r="AN143" s="180"/>
      <c r="AO143" s="181"/>
      <c r="AV143" s="35" t="str">
        <f>IFERROR(INDEX('G-7 Rivers Data'!$AZ$3:$AZ$7,MATCH(N143,'G-7 Rivers Data'!$AY$3:$AY$7,0)),"")</f>
        <v/>
      </c>
    </row>
    <row r="144" spans="2:48" ht="13.8" x14ac:dyDescent="0.25">
      <c r="B144" s="259" t="str">
        <f>'C-1 Site River Baseline'!AN142</f>
        <v/>
      </c>
      <c r="C144" s="175" t="str">
        <f>IF(B144="","",VLOOKUP($B144,'C-1 Site River Baseline'!$C$9:$R$257,2,FALSE))</f>
        <v/>
      </c>
      <c r="D144" s="175" t="str">
        <f>IF(C144="","",VLOOKUP($B144,'C-1 Site River Baseline'!$C$9:$R$257,3,FALSE))</f>
        <v/>
      </c>
      <c r="E144" s="175" t="str">
        <f>IF(D144="","",VLOOKUP($B144,'C-1 Site River Baseline'!$C$9:$R$257,4,FALSE))</f>
        <v/>
      </c>
      <c r="F144" s="175" t="str">
        <f>IF(E144="","",VLOOKUP($B144,'C-1 Site River Baseline'!$C$9:$R$257,5,FALSE))</f>
        <v/>
      </c>
      <c r="G144" s="175" t="str">
        <f>IF(F144="","",VLOOKUP($B144,'C-1 Site River Baseline'!$C$9:$R$257,6,FALSE))</f>
        <v/>
      </c>
      <c r="H144" s="175" t="str">
        <f>IF(G144="","",VLOOKUP($B144,'C-1 Site River Baseline'!$C$9:$R$257,7,FALSE))</f>
        <v/>
      </c>
      <c r="I144" s="175" t="str">
        <f>IF(H144="","",VLOOKUP($B144,'C-1 Site River Baseline'!$C$9:$R$257,8,FALSE))</f>
        <v/>
      </c>
      <c r="J144" s="175" t="str">
        <f>IF(I144="","",VLOOKUP($B144,'C-1 Site River Baseline'!$C$9:$R$257,9,FALSE))</f>
        <v/>
      </c>
      <c r="K144" s="175" t="str">
        <f>IF(J144="","",VLOOKUP($B144,'C-1 Site River Baseline'!$C$9:$R$257,10,FALSE))</f>
        <v/>
      </c>
      <c r="L144" s="175" t="str">
        <f>IF(B144="","",VLOOKUP($B144,'C-1 Site River Baseline'!$C$9:$R$257,15,FALSE))</f>
        <v/>
      </c>
      <c r="M144" s="176" t="str">
        <f>IF(L144="","",VLOOKUP($B144,'C-1 Site River Baseline'!$C$9:$R$257,16,FALSE))</f>
        <v/>
      </c>
      <c r="N144" s="639" t="str">
        <f t="shared" si="17"/>
        <v/>
      </c>
      <c r="O144" s="239" t="str">
        <f t="shared" si="18"/>
        <v/>
      </c>
      <c r="P144" s="172" t="str">
        <f>IF(C144="","",IF(AND(LEFT(C144,55)&lt;&gt;LEFT(N144,55),O144="High - High"),"Error - Not like for like",IF(AND(F144=S144,H144&gt;U144),"Error - Can not reduce condition",IF(AND(F144=S144,H144=U144,AJ144='C-1 Site River Baseline'!N142,'C-1 Site River Baseline'!P142=AL144),"Error - No enhancement",IF(AND(C144&lt;&gt;N144,F144&lt;S144),"Lower Distinctiveness Habitat"&amp;" - "&amp;T144,G144&amp;" - "&amp;T144)))))</f>
        <v/>
      </c>
      <c r="Q144" s="660" t="str">
        <f>IF(N144="","",VLOOKUP(B144,'C-1 Site River Baseline'!$C$10:$AA$257,19,FALSE))</f>
        <v/>
      </c>
      <c r="R144" s="171" t="str">
        <f>IF(N144="","",VLOOKUP(N144,'G-7 Rivers Data'!$B$2:$G$8,2,FALSE))</f>
        <v/>
      </c>
      <c r="S144" s="172" t="str">
        <f>IFERROR(VLOOKUP(R144,'G-7 Rivers Data'!$C$4:$D$8,2,FALSE),"")</f>
        <v/>
      </c>
      <c r="T144" s="173"/>
      <c r="U144" s="172" t="str">
        <f>IFERROR(INDEX('G-7 Rivers Data'!$H$4:$L$8,MATCH(N144,'G-7 Rivers Data'!$B$4:$B$8,0),MATCH(T144,'G-7 Rivers Data'!$H$3:$L$3,0)),"")</f>
        <v/>
      </c>
      <c r="V144" s="186"/>
      <c r="W144" s="175" t="str">
        <f>IF(V144="","",IF(VLOOKUP(V144,'G-7 Rivers Data'!$AG$4:$AI$9,2,FALSE)=0,"Spatial Data Missing",VLOOKUP(V144,'G-7 Rivers Data'!$AG$4:$AI$9,2,FALSE)))</f>
        <v/>
      </c>
      <c r="X144" s="176" t="str">
        <f>IF(V144="","",IF(VLOOKUP(V144,'G-7 Rivers Data'!$AG$4:$AI$9,3,FALSE)=0,"Spatial Data Missing",VLOOKUP(V144,'G-7 Rivers Data'!$AG$4:$AI$9,3,FALSE)))</f>
        <v/>
      </c>
      <c r="Y144" s="171" t="str">
        <f>IFERROR(IF(OR(LEFT(P144,5)="Error",LEFT(O144,5)="Error"),"Check Data",IF(F144&lt;S144,'G-7 Rivers Data'!$R$3,INDEX('G-7 Rivers Data'!$U$5:$Y$9,MATCH(G144,'G-7 Rivers Data'!$T$5:$T$9,0),MATCH(T144,'G-7 Rivers Data'!$U$4:$Y$4,0)))),"")</f>
        <v/>
      </c>
      <c r="Z144" s="261"/>
      <c r="AA144" s="261"/>
      <c r="AB144" s="179" t="str">
        <f t="shared" si="19"/>
        <v/>
      </c>
      <c r="AC144" s="262" t="str">
        <f t="shared" si="20"/>
        <v/>
      </c>
      <c r="AD144" s="382" t="str">
        <f>IFERROR(IF(AC144="Check Data","Check Data",VLOOKUP(AC144,'G-4 Temporal multipliers'!$A$4:$C$37,3,FALSE)),"")</f>
        <v/>
      </c>
      <c r="AE144" s="171" t="str">
        <f>IF(N144="","",VLOOKUP(N144,'G-7 Rivers Data'!$B$4:$G$8,5,FALSE))</f>
        <v/>
      </c>
      <c r="AF144" s="179" t="str">
        <f t="shared" si="21"/>
        <v/>
      </c>
      <c r="AG144" s="269" t="str">
        <f t="shared" si="22"/>
        <v/>
      </c>
      <c r="AH144" s="172" t="str">
        <f t="shared" si="16"/>
        <v/>
      </c>
      <c r="AI144" s="173"/>
      <c r="AJ144" s="172" t="str">
        <f>IF(AI144="","",IF(VLOOKUP(AI144,'G-7 Rivers Data'!$AA$4:$AB$7,2,FALSE)=0,"Spatial Data Missing",VLOOKUP(AI144,'G-7 Rivers Data'!$AA$4:$AB$7,2,FALSE)))</f>
        <v/>
      </c>
      <c r="AK144" s="187"/>
      <c r="AL144" s="172" t="str">
        <f>IF(AK144="","",IF(VLOOKUP(AK144,'G-7 Rivers Data'!$AD$4:$AE$8,2,FALSE)=0,"Spatial Data Missing",VLOOKUP(AK144,'G-7 Rivers Data'!$AD$4:$AE$8,2,FALSE)))</f>
        <v/>
      </c>
      <c r="AM144" s="265" t="str">
        <f t="shared" si="23"/>
        <v/>
      </c>
      <c r="AN144" s="180"/>
      <c r="AO144" s="181"/>
      <c r="AV144" s="35" t="str">
        <f>IFERROR(INDEX('G-7 Rivers Data'!$AZ$3:$AZ$7,MATCH(N144,'G-7 Rivers Data'!$AY$3:$AY$7,0)),"")</f>
        <v/>
      </c>
    </row>
    <row r="145" spans="2:48" ht="13.8" x14ac:dyDescent="0.25">
      <c r="B145" s="259" t="str">
        <f>'C-1 Site River Baseline'!AN143</f>
        <v/>
      </c>
      <c r="C145" s="175" t="str">
        <f>IF(B145="","",VLOOKUP($B145,'C-1 Site River Baseline'!$C$9:$R$257,2,FALSE))</f>
        <v/>
      </c>
      <c r="D145" s="175" t="str">
        <f>IF(C145="","",VLOOKUP($B145,'C-1 Site River Baseline'!$C$9:$R$257,3,FALSE))</f>
        <v/>
      </c>
      <c r="E145" s="175" t="str">
        <f>IF(D145="","",VLOOKUP($B145,'C-1 Site River Baseline'!$C$9:$R$257,4,FALSE))</f>
        <v/>
      </c>
      <c r="F145" s="175" t="str">
        <f>IF(E145="","",VLOOKUP($B145,'C-1 Site River Baseline'!$C$9:$R$257,5,FALSE))</f>
        <v/>
      </c>
      <c r="G145" s="175" t="str">
        <f>IF(F145="","",VLOOKUP($B145,'C-1 Site River Baseline'!$C$9:$R$257,6,FALSE))</f>
        <v/>
      </c>
      <c r="H145" s="175" t="str">
        <f>IF(G145="","",VLOOKUP($B145,'C-1 Site River Baseline'!$C$9:$R$257,7,FALSE))</f>
        <v/>
      </c>
      <c r="I145" s="175" t="str">
        <f>IF(H145="","",VLOOKUP($B145,'C-1 Site River Baseline'!$C$9:$R$257,8,FALSE))</f>
        <v/>
      </c>
      <c r="J145" s="175" t="str">
        <f>IF(I145="","",VLOOKUP($B145,'C-1 Site River Baseline'!$C$9:$R$257,9,FALSE))</f>
        <v/>
      </c>
      <c r="K145" s="175" t="str">
        <f>IF(J145="","",VLOOKUP($B145,'C-1 Site River Baseline'!$C$9:$R$257,10,FALSE))</f>
        <v/>
      </c>
      <c r="L145" s="175" t="str">
        <f>IF(B145="","",VLOOKUP($B145,'C-1 Site River Baseline'!$C$9:$R$257,15,FALSE))</f>
        <v/>
      </c>
      <c r="M145" s="176" t="str">
        <f>IF(L145="","",VLOOKUP($B145,'C-1 Site River Baseline'!$C$9:$R$257,16,FALSE))</f>
        <v/>
      </c>
      <c r="N145" s="639" t="str">
        <f t="shared" si="17"/>
        <v/>
      </c>
      <c r="O145" s="239" t="str">
        <f t="shared" si="18"/>
        <v/>
      </c>
      <c r="P145" s="172" t="str">
        <f>IF(C145="","",IF(AND(LEFT(C145,55)&lt;&gt;LEFT(N145,55),O145="High - High"),"Error - Not like for like",IF(AND(F145=S145,H145&gt;U145),"Error - Can not reduce condition",IF(AND(F145=S145,H145=U145,AJ145='C-1 Site River Baseline'!N143,'C-1 Site River Baseline'!P143=AL145),"Error - No enhancement",IF(AND(C145&lt;&gt;N145,F145&lt;S145),"Lower Distinctiveness Habitat"&amp;" - "&amp;T145,G145&amp;" - "&amp;T145)))))</f>
        <v/>
      </c>
      <c r="Q145" s="660" t="str">
        <f>IF(N145="","",VLOOKUP(B145,'C-1 Site River Baseline'!$C$10:$AA$257,19,FALSE))</f>
        <v/>
      </c>
      <c r="R145" s="171" t="str">
        <f>IF(N145="","",VLOOKUP(N145,'G-7 Rivers Data'!$B$2:$G$8,2,FALSE))</f>
        <v/>
      </c>
      <c r="S145" s="172" t="str">
        <f>IFERROR(VLOOKUP(R145,'G-7 Rivers Data'!$C$4:$D$8,2,FALSE),"")</f>
        <v/>
      </c>
      <c r="T145" s="173"/>
      <c r="U145" s="172" t="str">
        <f>IFERROR(INDEX('G-7 Rivers Data'!$H$4:$L$8,MATCH(N145,'G-7 Rivers Data'!$B$4:$B$8,0),MATCH(T145,'G-7 Rivers Data'!$H$3:$L$3,0)),"")</f>
        <v/>
      </c>
      <c r="V145" s="186"/>
      <c r="W145" s="175" t="str">
        <f>IF(V145="","",IF(VLOOKUP(V145,'G-7 Rivers Data'!$AG$4:$AI$9,2,FALSE)=0,"Spatial Data Missing",VLOOKUP(V145,'G-7 Rivers Data'!$AG$4:$AI$9,2,FALSE)))</f>
        <v/>
      </c>
      <c r="X145" s="176" t="str">
        <f>IF(V145="","",IF(VLOOKUP(V145,'G-7 Rivers Data'!$AG$4:$AI$9,3,FALSE)=0,"Spatial Data Missing",VLOOKUP(V145,'G-7 Rivers Data'!$AG$4:$AI$9,3,FALSE)))</f>
        <v/>
      </c>
      <c r="Y145" s="171" t="str">
        <f>IFERROR(IF(OR(LEFT(P145,5)="Error",LEFT(O145,5)="Error"),"Check Data",IF(F145&lt;S145,'G-7 Rivers Data'!$R$3,INDEX('G-7 Rivers Data'!$U$5:$Y$9,MATCH(G145,'G-7 Rivers Data'!$T$5:$T$9,0),MATCH(T145,'G-7 Rivers Data'!$U$4:$Y$4,0)))),"")</f>
        <v/>
      </c>
      <c r="Z145" s="261"/>
      <c r="AA145" s="261"/>
      <c r="AB145" s="179" t="str">
        <f t="shared" si="19"/>
        <v/>
      </c>
      <c r="AC145" s="262" t="str">
        <f t="shared" si="20"/>
        <v/>
      </c>
      <c r="AD145" s="382" t="str">
        <f>IFERROR(IF(AC145="Check Data","Check Data",VLOOKUP(AC145,'G-4 Temporal multipliers'!$A$4:$C$37,3,FALSE)),"")</f>
        <v/>
      </c>
      <c r="AE145" s="171" t="str">
        <f>IF(N145="","",VLOOKUP(N145,'G-7 Rivers Data'!$B$4:$G$8,5,FALSE))</f>
        <v/>
      </c>
      <c r="AF145" s="179" t="str">
        <f t="shared" si="21"/>
        <v/>
      </c>
      <c r="AG145" s="269" t="str">
        <f t="shared" si="22"/>
        <v/>
      </c>
      <c r="AH145" s="172" t="str">
        <f t="shared" si="16"/>
        <v/>
      </c>
      <c r="AI145" s="173"/>
      <c r="AJ145" s="172" t="str">
        <f>IF(AI145="","",IF(VLOOKUP(AI145,'G-7 Rivers Data'!$AA$4:$AB$7,2,FALSE)=0,"Spatial Data Missing",VLOOKUP(AI145,'G-7 Rivers Data'!$AA$4:$AB$7,2,FALSE)))</f>
        <v/>
      </c>
      <c r="AK145" s="187"/>
      <c r="AL145" s="172" t="str">
        <f>IF(AK145="","",IF(VLOOKUP(AK145,'G-7 Rivers Data'!$AD$4:$AE$8,2,FALSE)=0,"Spatial Data Missing",VLOOKUP(AK145,'G-7 Rivers Data'!$AD$4:$AE$8,2,FALSE)))</f>
        <v/>
      </c>
      <c r="AM145" s="265" t="str">
        <f t="shared" si="23"/>
        <v/>
      </c>
      <c r="AN145" s="180"/>
      <c r="AO145" s="181"/>
      <c r="AV145" s="35" t="str">
        <f>IFERROR(INDEX('G-7 Rivers Data'!$AZ$3:$AZ$7,MATCH(N145,'G-7 Rivers Data'!$AY$3:$AY$7,0)),"")</f>
        <v/>
      </c>
    </row>
    <row r="146" spans="2:48" ht="13.8" x14ac:dyDescent="0.25">
      <c r="B146" s="259" t="str">
        <f>'C-1 Site River Baseline'!AN144</f>
        <v/>
      </c>
      <c r="C146" s="175" t="str">
        <f>IF(B146="","",VLOOKUP($B146,'C-1 Site River Baseline'!$C$9:$R$257,2,FALSE))</f>
        <v/>
      </c>
      <c r="D146" s="175" t="str">
        <f>IF(C146="","",VLOOKUP($B146,'C-1 Site River Baseline'!$C$9:$R$257,3,FALSE))</f>
        <v/>
      </c>
      <c r="E146" s="175" t="str">
        <f>IF(D146="","",VLOOKUP($B146,'C-1 Site River Baseline'!$C$9:$R$257,4,FALSE))</f>
        <v/>
      </c>
      <c r="F146" s="175" t="str">
        <f>IF(E146="","",VLOOKUP($B146,'C-1 Site River Baseline'!$C$9:$R$257,5,FALSE))</f>
        <v/>
      </c>
      <c r="G146" s="175" t="str">
        <f>IF(F146="","",VLOOKUP($B146,'C-1 Site River Baseline'!$C$9:$R$257,6,FALSE))</f>
        <v/>
      </c>
      <c r="H146" s="175" t="str">
        <f>IF(G146="","",VLOOKUP($B146,'C-1 Site River Baseline'!$C$9:$R$257,7,FALSE))</f>
        <v/>
      </c>
      <c r="I146" s="175" t="str">
        <f>IF(H146="","",VLOOKUP($B146,'C-1 Site River Baseline'!$C$9:$R$257,8,FALSE))</f>
        <v/>
      </c>
      <c r="J146" s="175" t="str">
        <f>IF(I146="","",VLOOKUP($B146,'C-1 Site River Baseline'!$C$9:$R$257,9,FALSE))</f>
        <v/>
      </c>
      <c r="K146" s="175" t="str">
        <f>IF(J146="","",VLOOKUP($B146,'C-1 Site River Baseline'!$C$9:$R$257,10,FALSE))</f>
        <v/>
      </c>
      <c r="L146" s="175" t="str">
        <f>IF(B146="","",VLOOKUP($B146,'C-1 Site River Baseline'!$C$9:$R$257,15,FALSE))</f>
        <v/>
      </c>
      <c r="M146" s="176" t="str">
        <f>IF(L146="","",VLOOKUP($B146,'C-1 Site River Baseline'!$C$9:$R$257,16,FALSE))</f>
        <v/>
      </c>
      <c r="N146" s="639" t="str">
        <f t="shared" si="17"/>
        <v/>
      </c>
      <c r="O146" s="239" t="str">
        <f t="shared" si="18"/>
        <v/>
      </c>
      <c r="P146" s="172" t="str">
        <f>IF(C146="","",IF(AND(LEFT(C146,55)&lt;&gt;LEFT(N146,55),O146="High - High"),"Error - Not like for like",IF(AND(F146=S146,H146&gt;U146),"Error - Can not reduce condition",IF(AND(F146=S146,H146=U146,AJ146='C-1 Site River Baseline'!N144,'C-1 Site River Baseline'!P144=AL146),"Error - No enhancement",IF(AND(C146&lt;&gt;N146,F146&lt;S146),"Lower Distinctiveness Habitat"&amp;" - "&amp;T146,G146&amp;" - "&amp;T146)))))</f>
        <v/>
      </c>
      <c r="Q146" s="660" t="str">
        <f>IF(N146="","",VLOOKUP(B146,'C-1 Site River Baseline'!$C$10:$AA$257,19,FALSE))</f>
        <v/>
      </c>
      <c r="R146" s="171" t="str">
        <f>IF(N146="","",VLOOKUP(N146,'G-7 Rivers Data'!$B$2:$G$8,2,FALSE))</f>
        <v/>
      </c>
      <c r="S146" s="172" t="str">
        <f>IFERROR(VLOOKUP(R146,'G-7 Rivers Data'!$C$4:$D$8,2,FALSE),"")</f>
        <v/>
      </c>
      <c r="T146" s="173"/>
      <c r="U146" s="172" t="str">
        <f>IFERROR(INDEX('G-7 Rivers Data'!$H$4:$L$8,MATCH(N146,'G-7 Rivers Data'!$B$4:$B$8,0),MATCH(T146,'G-7 Rivers Data'!$H$3:$L$3,0)),"")</f>
        <v/>
      </c>
      <c r="V146" s="186"/>
      <c r="W146" s="175" t="str">
        <f>IF(V146="","",IF(VLOOKUP(V146,'G-7 Rivers Data'!$AG$4:$AI$9,2,FALSE)=0,"Spatial Data Missing",VLOOKUP(V146,'G-7 Rivers Data'!$AG$4:$AI$9,2,FALSE)))</f>
        <v/>
      </c>
      <c r="X146" s="176" t="str">
        <f>IF(V146="","",IF(VLOOKUP(V146,'G-7 Rivers Data'!$AG$4:$AI$9,3,FALSE)=0,"Spatial Data Missing",VLOOKUP(V146,'G-7 Rivers Data'!$AG$4:$AI$9,3,FALSE)))</f>
        <v/>
      </c>
      <c r="Y146" s="171" t="str">
        <f>IFERROR(IF(OR(LEFT(P146,5)="Error",LEFT(O146,5)="Error"),"Check Data",IF(F146&lt;S146,'G-7 Rivers Data'!$R$3,INDEX('G-7 Rivers Data'!$U$5:$Y$9,MATCH(G146,'G-7 Rivers Data'!$T$5:$T$9,0),MATCH(T146,'G-7 Rivers Data'!$U$4:$Y$4,0)))),"")</f>
        <v/>
      </c>
      <c r="Z146" s="261"/>
      <c r="AA146" s="261"/>
      <c r="AB146" s="179" t="str">
        <f t="shared" si="19"/>
        <v/>
      </c>
      <c r="AC146" s="262" t="str">
        <f t="shared" si="20"/>
        <v/>
      </c>
      <c r="AD146" s="382" t="str">
        <f>IFERROR(IF(AC146="Check Data","Check Data",VLOOKUP(AC146,'G-4 Temporal multipliers'!$A$4:$C$37,3,FALSE)),"")</f>
        <v/>
      </c>
      <c r="AE146" s="171" t="str">
        <f>IF(N146="","",VLOOKUP(N146,'G-7 Rivers Data'!$B$4:$G$8,5,FALSE))</f>
        <v/>
      </c>
      <c r="AF146" s="179" t="str">
        <f t="shared" si="21"/>
        <v/>
      </c>
      <c r="AG146" s="269" t="str">
        <f t="shared" si="22"/>
        <v/>
      </c>
      <c r="AH146" s="172" t="str">
        <f t="shared" si="16"/>
        <v/>
      </c>
      <c r="AI146" s="173"/>
      <c r="AJ146" s="172" t="str">
        <f>IF(AI146="","",IF(VLOOKUP(AI146,'G-7 Rivers Data'!$AA$4:$AB$7,2,FALSE)=0,"Spatial Data Missing",VLOOKUP(AI146,'G-7 Rivers Data'!$AA$4:$AB$7,2,FALSE)))</f>
        <v/>
      </c>
      <c r="AK146" s="187"/>
      <c r="AL146" s="172" t="str">
        <f>IF(AK146="","",IF(VLOOKUP(AK146,'G-7 Rivers Data'!$AD$4:$AE$8,2,FALSE)=0,"Spatial Data Missing",VLOOKUP(AK146,'G-7 Rivers Data'!$AD$4:$AE$8,2,FALSE)))</f>
        <v/>
      </c>
      <c r="AM146" s="265" t="str">
        <f t="shared" si="23"/>
        <v/>
      </c>
      <c r="AN146" s="180"/>
      <c r="AO146" s="181"/>
      <c r="AV146" s="35" t="str">
        <f>IFERROR(INDEX('G-7 Rivers Data'!$AZ$3:$AZ$7,MATCH(N146,'G-7 Rivers Data'!$AY$3:$AY$7,0)),"")</f>
        <v/>
      </c>
    </row>
    <row r="147" spans="2:48" ht="13.8" x14ac:dyDescent="0.25">
      <c r="B147" s="259" t="str">
        <f>'C-1 Site River Baseline'!AN145</f>
        <v/>
      </c>
      <c r="C147" s="175" t="str">
        <f>IF(B147="","",VLOOKUP($B147,'C-1 Site River Baseline'!$C$9:$R$257,2,FALSE))</f>
        <v/>
      </c>
      <c r="D147" s="175" t="str">
        <f>IF(C147="","",VLOOKUP($B147,'C-1 Site River Baseline'!$C$9:$R$257,3,FALSE))</f>
        <v/>
      </c>
      <c r="E147" s="175" t="str">
        <f>IF(D147="","",VLOOKUP($B147,'C-1 Site River Baseline'!$C$9:$R$257,4,FALSE))</f>
        <v/>
      </c>
      <c r="F147" s="175" t="str">
        <f>IF(E147="","",VLOOKUP($B147,'C-1 Site River Baseline'!$C$9:$R$257,5,FALSE))</f>
        <v/>
      </c>
      <c r="G147" s="175" t="str">
        <f>IF(F147="","",VLOOKUP($B147,'C-1 Site River Baseline'!$C$9:$R$257,6,FALSE))</f>
        <v/>
      </c>
      <c r="H147" s="175" t="str">
        <f>IF(G147="","",VLOOKUP($B147,'C-1 Site River Baseline'!$C$9:$R$257,7,FALSE))</f>
        <v/>
      </c>
      <c r="I147" s="175" t="str">
        <f>IF(H147="","",VLOOKUP($B147,'C-1 Site River Baseline'!$C$9:$R$257,8,FALSE))</f>
        <v/>
      </c>
      <c r="J147" s="175" t="str">
        <f>IF(I147="","",VLOOKUP($B147,'C-1 Site River Baseline'!$C$9:$R$257,9,FALSE))</f>
        <v/>
      </c>
      <c r="K147" s="175" t="str">
        <f>IF(J147="","",VLOOKUP($B147,'C-1 Site River Baseline'!$C$9:$R$257,10,FALSE))</f>
        <v/>
      </c>
      <c r="L147" s="175" t="str">
        <f>IF(B147="","",VLOOKUP($B147,'C-1 Site River Baseline'!$C$9:$R$257,15,FALSE))</f>
        <v/>
      </c>
      <c r="M147" s="176" t="str">
        <f>IF(L147="","",VLOOKUP($B147,'C-1 Site River Baseline'!$C$9:$R$257,16,FALSE))</f>
        <v/>
      </c>
      <c r="N147" s="639" t="str">
        <f t="shared" si="17"/>
        <v/>
      </c>
      <c r="O147" s="239" t="str">
        <f t="shared" si="18"/>
        <v/>
      </c>
      <c r="P147" s="172" t="str">
        <f>IF(C147="","",IF(AND(LEFT(C147,55)&lt;&gt;LEFT(N147,55),O147="High - High"),"Error - Not like for like",IF(AND(F147=S147,H147&gt;U147),"Error - Can not reduce condition",IF(AND(F147=S147,H147=U147,AJ147='C-1 Site River Baseline'!N145,'C-1 Site River Baseline'!P145=AL147),"Error - No enhancement",IF(AND(C147&lt;&gt;N147,F147&lt;S147),"Lower Distinctiveness Habitat"&amp;" - "&amp;T147,G147&amp;" - "&amp;T147)))))</f>
        <v/>
      </c>
      <c r="Q147" s="660" t="str">
        <f>IF(N147="","",VLOOKUP(B147,'C-1 Site River Baseline'!$C$10:$AA$257,19,FALSE))</f>
        <v/>
      </c>
      <c r="R147" s="171" t="str">
        <f>IF(N147="","",VLOOKUP(N147,'G-7 Rivers Data'!$B$2:$G$8,2,FALSE))</f>
        <v/>
      </c>
      <c r="S147" s="172" t="str">
        <f>IFERROR(VLOOKUP(R147,'G-7 Rivers Data'!$C$4:$D$8,2,FALSE),"")</f>
        <v/>
      </c>
      <c r="T147" s="173"/>
      <c r="U147" s="172" t="str">
        <f>IFERROR(INDEX('G-7 Rivers Data'!$H$4:$L$8,MATCH(N147,'G-7 Rivers Data'!$B$4:$B$8,0),MATCH(T147,'G-7 Rivers Data'!$H$3:$L$3,0)),"")</f>
        <v/>
      </c>
      <c r="V147" s="186"/>
      <c r="W147" s="175" t="str">
        <f>IF(V147="","",IF(VLOOKUP(V147,'G-7 Rivers Data'!$AG$4:$AI$9,2,FALSE)=0,"Spatial Data Missing",VLOOKUP(V147,'G-7 Rivers Data'!$AG$4:$AI$9,2,FALSE)))</f>
        <v/>
      </c>
      <c r="X147" s="176" t="str">
        <f>IF(V147="","",IF(VLOOKUP(V147,'G-7 Rivers Data'!$AG$4:$AI$9,3,FALSE)=0,"Spatial Data Missing",VLOOKUP(V147,'G-7 Rivers Data'!$AG$4:$AI$9,3,FALSE)))</f>
        <v/>
      </c>
      <c r="Y147" s="171" t="str">
        <f>IFERROR(IF(OR(LEFT(P147,5)="Error",LEFT(O147,5)="Error"),"Check Data",IF(F147&lt;S147,'G-7 Rivers Data'!$R$3,INDEX('G-7 Rivers Data'!$U$5:$Y$9,MATCH(G147,'G-7 Rivers Data'!$T$5:$T$9,0),MATCH(T147,'G-7 Rivers Data'!$U$4:$Y$4,0)))),"")</f>
        <v/>
      </c>
      <c r="Z147" s="261"/>
      <c r="AA147" s="261"/>
      <c r="AB147" s="179" t="str">
        <f t="shared" si="19"/>
        <v/>
      </c>
      <c r="AC147" s="262" t="str">
        <f t="shared" si="20"/>
        <v/>
      </c>
      <c r="AD147" s="382" t="str">
        <f>IFERROR(IF(AC147="Check Data","Check Data",VLOOKUP(AC147,'G-4 Temporal multipliers'!$A$4:$C$37,3,FALSE)),"")</f>
        <v/>
      </c>
      <c r="AE147" s="171" t="str">
        <f>IF(N147="","",VLOOKUP(N147,'G-7 Rivers Data'!$B$4:$G$8,5,FALSE))</f>
        <v/>
      </c>
      <c r="AF147" s="179" t="str">
        <f t="shared" si="21"/>
        <v/>
      </c>
      <c r="AG147" s="269" t="str">
        <f t="shared" si="22"/>
        <v/>
      </c>
      <c r="AH147" s="172" t="str">
        <f t="shared" si="16"/>
        <v/>
      </c>
      <c r="AI147" s="173"/>
      <c r="AJ147" s="172" t="str">
        <f>IF(AI147="","",IF(VLOOKUP(AI147,'G-7 Rivers Data'!$AA$4:$AB$7,2,FALSE)=0,"Spatial Data Missing",VLOOKUP(AI147,'G-7 Rivers Data'!$AA$4:$AB$7,2,FALSE)))</f>
        <v/>
      </c>
      <c r="AK147" s="187"/>
      <c r="AL147" s="172" t="str">
        <f>IF(AK147="","",IF(VLOOKUP(AK147,'G-7 Rivers Data'!$AD$4:$AE$8,2,FALSE)=0,"Spatial Data Missing",VLOOKUP(AK147,'G-7 Rivers Data'!$AD$4:$AE$8,2,FALSE)))</f>
        <v/>
      </c>
      <c r="AM147" s="265" t="str">
        <f t="shared" si="23"/>
        <v/>
      </c>
      <c r="AN147" s="180"/>
      <c r="AO147" s="181"/>
      <c r="AV147" s="35" t="str">
        <f>IFERROR(INDEX('G-7 Rivers Data'!$AZ$3:$AZ$7,MATCH(N147,'G-7 Rivers Data'!$AY$3:$AY$7,0)),"")</f>
        <v/>
      </c>
    </row>
    <row r="148" spans="2:48" ht="13.8" x14ac:dyDescent="0.25">
      <c r="B148" s="259" t="str">
        <f>'C-1 Site River Baseline'!AN146</f>
        <v/>
      </c>
      <c r="C148" s="175" t="str">
        <f>IF(B148="","",VLOOKUP($B148,'C-1 Site River Baseline'!$C$9:$R$257,2,FALSE))</f>
        <v/>
      </c>
      <c r="D148" s="175" t="str">
        <f>IF(C148="","",VLOOKUP($B148,'C-1 Site River Baseline'!$C$9:$R$257,3,FALSE))</f>
        <v/>
      </c>
      <c r="E148" s="175" t="str">
        <f>IF(D148="","",VLOOKUP($B148,'C-1 Site River Baseline'!$C$9:$R$257,4,FALSE))</f>
        <v/>
      </c>
      <c r="F148" s="175" t="str">
        <f>IF(E148="","",VLOOKUP($B148,'C-1 Site River Baseline'!$C$9:$R$257,5,FALSE))</f>
        <v/>
      </c>
      <c r="G148" s="175" t="str">
        <f>IF(F148="","",VLOOKUP($B148,'C-1 Site River Baseline'!$C$9:$R$257,6,FALSE))</f>
        <v/>
      </c>
      <c r="H148" s="175" t="str">
        <f>IF(G148="","",VLOOKUP($B148,'C-1 Site River Baseline'!$C$9:$R$257,7,FALSE))</f>
        <v/>
      </c>
      <c r="I148" s="175" t="str">
        <f>IF(H148="","",VLOOKUP($B148,'C-1 Site River Baseline'!$C$9:$R$257,8,FALSE))</f>
        <v/>
      </c>
      <c r="J148" s="175" t="str">
        <f>IF(I148="","",VLOOKUP($B148,'C-1 Site River Baseline'!$C$9:$R$257,9,FALSE))</f>
        <v/>
      </c>
      <c r="K148" s="175" t="str">
        <f>IF(J148="","",VLOOKUP($B148,'C-1 Site River Baseline'!$C$9:$R$257,10,FALSE))</f>
        <v/>
      </c>
      <c r="L148" s="175" t="str">
        <f>IF(B148="","",VLOOKUP($B148,'C-1 Site River Baseline'!$C$9:$R$257,15,FALSE))</f>
        <v/>
      </c>
      <c r="M148" s="176" t="str">
        <f>IF(L148="","",VLOOKUP($B148,'C-1 Site River Baseline'!$C$9:$R$257,16,FALSE))</f>
        <v/>
      </c>
      <c r="N148" s="639" t="str">
        <f t="shared" si="17"/>
        <v/>
      </c>
      <c r="O148" s="239" t="str">
        <f t="shared" si="18"/>
        <v/>
      </c>
      <c r="P148" s="172" t="str">
        <f>IF(C148="","",IF(AND(LEFT(C148,55)&lt;&gt;LEFT(N148,55),O148="High - High"),"Error - Not like for like",IF(AND(F148=S148,H148&gt;U148),"Error - Can not reduce condition",IF(AND(F148=S148,H148=U148,AJ148='C-1 Site River Baseline'!N146,'C-1 Site River Baseline'!P146=AL148),"Error - No enhancement",IF(AND(C148&lt;&gt;N148,F148&lt;S148),"Lower Distinctiveness Habitat"&amp;" - "&amp;T148,G148&amp;" - "&amp;T148)))))</f>
        <v/>
      </c>
      <c r="Q148" s="660" t="str">
        <f>IF(N148="","",VLOOKUP(B148,'C-1 Site River Baseline'!$C$10:$AA$257,19,FALSE))</f>
        <v/>
      </c>
      <c r="R148" s="171" t="str">
        <f>IF(N148="","",VLOOKUP(N148,'G-7 Rivers Data'!$B$2:$G$8,2,FALSE))</f>
        <v/>
      </c>
      <c r="S148" s="172" t="str">
        <f>IFERROR(VLOOKUP(R148,'G-7 Rivers Data'!$C$4:$D$8,2,FALSE),"")</f>
        <v/>
      </c>
      <c r="T148" s="173"/>
      <c r="U148" s="172" t="str">
        <f>IFERROR(INDEX('G-7 Rivers Data'!$H$4:$L$8,MATCH(N148,'G-7 Rivers Data'!$B$4:$B$8,0),MATCH(T148,'G-7 Rivers Data'!$H$3:$L$3,0)),"")</f>
        <v/>
      </c>
      <c r="V148" s="186"/>
      <c r="W148" s="175" t="str">
        <f>IF(V148="","",IF(VLOOKUP(V148,'G-7 Rivers Data'!$AG$4:$AI$9,2,FALSE)=0,"Spatial Data Missing",VLOOKUP(V148,'G-7 Rivers Data'!$AG$4:$AI$9,2,FALSE)))</f>
        <v/>
      </c>
      <c r="X148" s="176" t="str">
        <f>IF(V148="","",IF(VLOOKUP(V148,'G-7 Rivers Data'!$AG$4:$AI$9,3,FALSE)=0,"Spatial Data Missing",VLOOKUP(V148,'G-7 Rivers Data'!$AG$4:$AI$9,3,FALSE)))</f>
        <v/>
      </c>
      <c r="Y148" s="171" t="str">
        <f>IFERROR(IF(OR(LEFT(P148,5)="Error",LEFT(O148,5)="Error"),"Check Data",IF(F148&lt;S148,'G-7 Rivers Data'!$R$3,INDEX('G-7 Rivers Data'!$U$5:$Y$9,MATCH(G148,'G-7 Rivers Data'!$T$5:$T$9,0),MATCH(T148,'G-7 Rivers Data'!$U$4:$Y$4,0)))),"")</f>
        <v/>
      </c>
      <c r="Z148" s="261"/>
      <c r="AA148" s="261"/>
      <c r="AB148" s="179" t="str">
        <f t="shared" si="19"/>
        <v/>
      </c>
      <c r="AC148" s="262" t="str">
        <f t="shared" si="20"/>
        <v/>
      </c>
      <c r="AD148" s="382" t="str">
        <f>IFERROR(IF(AC148="Check Data","Check Data",VLOOKUP(AC148,'G-4 Temporal multipliers'!$A$4:$C$37,3,FALSE)),"")</f>
        <v/>
      </c>
      <c r="AE148" s="171" t="str">
        <f>IF(N148="","",VLOOKUP(N148,'G-7 Rivers Data'!$B$4:$G$8,5,FALSE))</f>
        <v/>
      </c>
      <c r="AF148" s="179" t="str">
        <f t="shared" si="21"/>
        <v/>
      </c>
      <c r="AG148" s="269" t="str">
        <f t="shared" si="22"/>
        <v/>
      </c>
      <c r="AH148" s="172" t="str">
        <f t="shared" si="16"/>
        <v/>
      </c>
      <c r="AI148" s="173"/>
      <c r="AJ148" s="172" t="str">
        <f>IF(AI148="","",IF(VLOOKUP(AI148,'G-7 Rivers Data'!$AA$4:$AB$7,2,FALSE)=0,"Spatial Data Missing",VLOOKUP(AI148,'G-7 Rivers Data'!$AA$4:$AB$7,2,FALSE)))</f>
        <v/>
      </c>
      <c r="AK148" s="187"/>
      <c r="AL148" s="172" t="str">
        <f>IF(AK148="","",IF(VLOOKUP(AK148,'G-7 Rivers Data'!$AD$4:$AE$8,2,FALSE)=0,"Spatial Data Missing",VLOOKUP(AK148,'G-7 Rivers Data'!$AD$4:$AE$8,2,FALSE)))</f>
        <v/>
      </c>
      <c r="AM148" s="265" t="str">
        <f t="shared" si="23"/>
        <v/>
      </c>
      <c r="AN148" s="180"/>
      <c r="AO148" s="181"/>
      <c r="AV148" s="35" t="str">
        <f>IFERROR(INDEX('G-7 Rivers Data'!$AZ$3:$AZ$7,MATCH(N148,'G-7 Rivers Data'!$AY$3:$AY$7,0)),"")</f>
        <v/>
      </c>
    </row>
    <row r="149" spans="2:48" ht="13.8" x14ac:dyDescent="0.25">
      <c r="B149" s="259" t="str">
        <f>'C-1 Site River Baseline'!AN147</f>
        <v/>
      </c>
      <c r="C149" s="175" t="str">
        <f>IF(B149="","",VLOOKUP($B149,'C-1 Site River Baseline'!$C$9:$R$257,2,FALSE))</f>
        <v/>
      </c>
      <c r="D149" s="175" t="str">
        <f>IF(C149="","",VLOOKUP($B149,'C-1 Site River Baseline'!$C$9:$R$257,3,FALSE))</f>
        <v/>
      </c>
      <c r="E149" s="175" t="str">
        <f>IF(D149="","",VLOOKUP($B149,'C-1 Site River Baseline'!$C$9:$R$257,4,FALSE))</f>
        <v/>
      </c>
      <c r="F149" s="175" t="str">
        <f>IF(E149="","",VLOOKUP($B149,'C-1 Site River Baseline'!$C$9:$R$257,5,FALSE))</f>
        <v/>
      </c>
      <c r="G149" s="175" t="str">
        <f>IF(F149="","",VLOOKUP($B149,'C-1 Site River Baseline'!$C$9:$R$257,6,FALSE))</f>
        <v/>
      </c>
      <c r="H149" s="175" t="str">
        <f>IF(G149="","",VLOOKUP($B149,'C-1 Site River Baseline'!$C$9:$R$257,7,FALSE))</f>
        <v/>
      </c>
      <c r="I149" s="175" t="str">
        <f>IF(H149="","",VLOOKUP($B149,'C-1 Site River Baseline'!$C$9:$R$257,8,FALSE))</f>
        <v/>
      </c>
      <c r="J149" s="175" t="str">
        <f>IF(I149="","",VLOOKUP($B149,'C-1 Site River Baseline'!$C$9:$R$257,9,FALSE))</f>
        <v/>
      </c>
      <c r="K149" s="175" t="str">
        <f>IF(J149="","",VLOOKUP($B149,'C-1 Site River Baseline'!$C$9:$R$257,10,FALSE))</f>
        <v/>
      </c>
      <c r="L149" s="175" t="str">
        <f>IF(B149="","",VLOOKUP($B149,'C-1 Site River Baseline'!$C$9:$R$257,15,FALSE))</f>
        <v/>
      </c>
      <c r="M149" s="176" t="str">
        <f>IF(L149="","",VLOOKUP($B149,'C-1 Site River Baseline'!$C$9:$R$257,16,FALSE))</f>
        <v/>
      </c>
      <c r="N149" s="639" t="str">
        <f t="shared" si="17"/>
        <v/>
      </c>
      <c r="O149" s="239" t="str">
        <f t="shared" si="18"/>
        <v/>
      </c>
      <c r="P149" s="172" t="str">
        <f>IF(C149="","",IF(AND(LEFT(C149,55)&lt;&gt;LEFT(N149,55),O149="High - High"),"Error - Not like for like",IF(AND(F149=S149,H149&gt;U149),"Error - Can not reduce condition",IF(AND(F149=S149,H149=U149,AJ149='C-1 Site River Baseline'!N147,'C-1 Site River Baseline'!P147=AL149),"Error - No enhancement",IF(AND(C149&lt;&gt;N149,F149&lt;S149),"Lower Distinctiveness Habitat"&amp;" - "&amp;T149,G149&amp;" - "&amp;T149)))))</f>
        <v/>
      </c>
      <c r="Q149" s="660" t="str">
        <f>IF(N149="","",VLOOKUP(B149,'C-1 Site River Baseline'!$C$10:$AA$257,19,FALSE))</f>
        <v/>
      </c>
      <c r="R149" s="171" t="str">
        <f>IF(N149="","",VLOOKUP(N149,'G-7 Rivers Data'!$B$2:$G$8,2,FALSE))</f>
        <v/>
      </c>
      <c r="S149" s="172" t="str">
        <f>IFERROR(VLOOKUP(R149,'G-7 Rivers Data'!$C$4:$D$8,2,FALSE),"")</f>
        <v/>
      </c>
      <c r="T149" s="173"/>
      <c r="U149" s="172" t="str">
        <f>IFERROR(INDEX('G-7 Rivers Data'!$H$4:$L$8,MATCH(N149,'G-7 Rivers Data'!$B$4:$B$8,0),MATCH(T149,'G-7 Rivers Data'!$H$3:$L$3,0)),"")</f>
        <v/>
      </c>
      <c r="V149" s="186"/>
      <c r="W149" s="175" t="str">
        <f>IF(V149="","",IF(VLOOKUP(V149,'G-7 Rivers Data'!$AG$4:$AI$9,2,FALSE)=0,"Spatial Data Missing",VLOOKUP(V149,'G-7 Rivers Data'!$AG$4:$AI$9,2,FALSE)))</f>
        <v/>
      </c>
      <c r="X149" s="176" t="str">
        <f>IF(V149="","",IF(VLOOKUP(V149,'G-7 Rivers Data'!$AG$4:$AI$9,3,FALSE)=0,"Spatial Data Missing",VLOOKUP(V149,'G-7 Rivers Data'!$AG$4:$AI$9,3,FALSE)))</f>
        <v/>
      </c>
      <c r="Y149" s="171" t="str">
        <f>IFERROR(IF(OR(LEFT(P149,5)="Error",LEFT(O149,5)="Error"),"Check Data",IF(F149&lt;S149,'G-7 Rivers Data'!$R$3,INDEX('G-7 Rivers Data'!$U$5:$Y$9,MATCH(G149,'G-7 Rivers Data'!$T$5:$T$9,0),MATCH(T149,'G-7 Rivers Data'!$U$4:$Y$4,0)))),"")</f>
        <v/>
      </c>
      <c r="Z149" s="261"/>
      <c r="AA149" s="261"/>
      <c r="AB149" s="179" t="str">
        <f t="shared" si="19"/>
        <v/>
      </c>
      <c r="AC149" s="262" t="str">
        <f t="shared" si="20"/>
        <v/>
      </c>
      <c r="AD149" s="382" t="str">
        <f>IFERROR(IF(AC149="Check Data","Check Data",VLOOKUP(AC149,'G-4 Temporal multipliers'!$A$4:$C$37,3,FALSE)),"")</f>
        <v/>
      </c>
      <c r="AE149" s="171" t="str">
        <f>IF(N149="","",VLOOKUP(N149,'G-7 Rivers Data'!$B$4:$G$8,5,FALSE))</f>
        <v/>
      </c>
      <c r="AF149" s="179" t="str">
        <f t="shared" si="21"/>
        <v/>
      </c>
      <c r="AG149" s="269" t="str">
        <f t="shared" si="22"/>
        <v/>
      </c>
      <c r="AH149" s="172" t="str">
        <f t="shared" si="16"/>
        <v/>
      </c>
      <c r="AI149" s="173"/>
      <c r="AJ149" s="172" t="str">
        <f>IF(AI149="","",IF(VLOOKUP(AI149,'G-7 Rivers Data'!$AA$4:$AB$7,2,FALSE)=0,"Spatial Data Missing",VLOOKUP(AI149,'G-7 Rivers Data'!$AA$4:$AB$7,2,FALSE)))</f>
        <v/>
      </c>
      <c r="AK149" s="187"/>
      <c r="AL149" s="172" t="str">
        <f>IF(AK149="","",IF(VLOOKUP(AK149,'G-7 Rivers Data'!$AD$4:$AE$8,2,FALSE)=0,"Spatial Data Missing",VLOOKUP(AK149,'G-7 Rivers Data'!$AD$4:$AE$8,2,FALSE)))</f>
        <v/>
      </c>
      <c r="AM149" s="265" t="str">
        <f t="shared" si="23"/>
        <v/>
      </c>
      <c r="AN149" s="180"/>
      <c r="AO149" s="181"/>
      <c r="AV149" s="35" t="str">
        <f>IFERROR(INDEX('G-7 Rivers Data'!$AZ$3:$AZ$7,MATCH(N149,'G-7 Rivers Data'!$AY$3:$AY$7,0)),"")</f>
        <v/>
      </c>
    </row>
    <row r="150" spans="2:48" ht="13.8" x14ac:dyDescent="0.25">
      <c r="B150" s="259" t="str">
        <f>'C-1 Site River Baseline'!AN148</f>
        <v/>
      </c>
      <c r="C150" s="175" t="str">
        <f>IF(B150="","",VLOOKUP($B150,'C-1 Site River Baseline'!$C$9:$R$257,2,FALSE))</f>
        <v/>
      </c>
      <c r="D150" s="175" t="str">
        <f>IF(C150="","",VLOOKUP($B150,'C-1 Site River Baseline'!$C$9:$R$257,3,FALSE))</f>
        <v/>
      </c>
      <c r="E150" s="175" t="str">
        <f>IF(D150="","",VLOOKUP($B150,'C-1 Site River Baseline'!$C$9:$R$257,4,FALSE))</f>
        <v/>
      </c>
      <c r="F150" s="175" t="str">
        <f>IF(E150="","",VLOOKUP($B150,'C-1 Site River Baseline'!$C$9:$R$257,5,FALSE))</f>
        <v/>
      </c>
      <c r="G150" s="175" t="str">
        <f>IF(F150="","",VLOOKUP($B150,'C-1 Site River Baseline'!$C$9:$R$257,6,FALSE))</f>
        <v/>
      </c>
      <c r="H150" s="175" t="str">
        <f>IF(G150="","",VLOOKUP($B150,'C-1 Site River Baseline'!$C$9:$R$257,7,FALSE))</f>
        <v/>
      </c>
      <c r="I150" s="175" t="str">
        <f>IF(H150="","",VLOOKUP($B150,'C-1 Site River Baseline'!$C$9:$R$257,8,FALSE))</f>
        <v/>
      </c>
      <c r="J150" s="175" t="str">
        <f>IF(I150="","",VLOOKUP($B150,'C-1 Site River Baseline'!$C$9:$R$257,9,FALSE))</f>
        <v/>
      </c>
      <c r="K150" s="175" t="str">
        <f>IF(J150="","",VLOOKUP($B150,'C-1 Site River Baseline'!$C$9:$R$257,10,FALSE))</f>
        <v/>
      </c>
      <c r="L150" s="175" t="str">
        <f>IF(B150="","",VLOOKUP($B150,'C-1 Site River Baseline'!$C$9:$R$257,15,FALSE))</f>
        <v/>
      </c>
      <c r="M150" s="176" t="str">
        <f>IF(L150="","",VLOOKUP($B150,'C-1 Site River Baseline'!$C$9:$R$257,16,FALSE))</f>
        <v/>
      </c>
      <c r="N150" s="639" t="str">
        <f t="shared" si="17"/>
        <v/>
      </c>
      <c r="O150" s="239" t="str">
        <f t="shared" si="18"/>
        <v/>
      </c>
      <c r="P150" s="172" t="str">
        <f>IF(C150="","",IF(AND(LEFT(C150,55)&lt;&gt;LEFT(N150,55),O150="High - High"),"Error - Not like for like",IF(AND(F150=S150,H150&gt;U150),"Error - Can not reduce condition",IF(AND(F150=S150,H150=U150,AJ150='C-1 Site River Baseline'!N148,'C-1 Site River Baseline'!P148=AL150),"Error - No enhancement",IF(AND(C150&lt;&gt;N150,F150&lt;S150),"Lower Distinctiveness Habitat"&amp;" - "&amp;T150,G150&amp;" - "&amp;T150)))))</f>
        <v/>
      </c>
      <c r="Q150" s="660" t="str">
        <f>IF(N150="","",VLOOKUP(B150,'C-1 Site River Baseline'!$C$10:$AA$257,19,FALSE))</f>
        <v/>
      </c>
      <c r="R150" s="171" t="str">
        <f>IF(N150="","",VLOOKUP(N150,'G-7 Rivers Data'!$B$2:$G$8,2,FALSE))</f>
        <v/>
      </c>
      <c r="S150" s="172" t="str">
        <f>IFERROR(VLOOKUP(R150,'G-7 Rivers Data'!$C$4:$D$8,2,FALSE),"")</f>
        <v/>
      </c>
      <c r="T150" s="173"/>
      <c r="U150" s="172" t="str">
        <f>IFERROR(INDEX('G-7 Rivers Data'!$H$4:$L$8,MATCH(N150,'G-7 Rivers Data'!$B$4:$B$8,0),MATCH(T150,'G-7 Rivers Data'!$H$3:$L$3,0)),"")</f>
        <v/>
      </c>
      <c r="V150" s="186"/>
      <c r="W150" s="175" t="str">
        <f>IF(V150="","",IF(VLOOKUP(V150,'G-7 Rivers Data'!$AG$4:$AI$9,2,FALSE)=0,"Spatial Data Missing",VLOOKUP(V150,'G-7 Rivers Data'!$AG$4:$AI$9,2,FALSE)))</f>
        <v/>
      </c>
      <c r="X150" s="176" t="str">
        <f>IF(V150="","",IF(VLOOKUP(V150,'G-7 Rivers Data'!$AG$4:$AI$9,3,FALSE)=0,"Spatial Data Missing",VLOOKUP(V150,'G-7 Rivers Data'!$AG$4:$AI$9,3,FALSE)))</f>
        <v/>
      </c>
      <c r="Y150" s="171" t="str">
        <f>IFERROR(IF(OR(LEFT(P150,5)="Error",LEFT(O150,5)="Error"),"Check Data",IF(F150&lt;S150,'G-7 Rivers Data'!$R$3,INDEX('G-7 Rivers Data'!$U$5:$Y$9,MATCH(G150,'G-7 Rivers Data'!$T$5:$T$9,0),MATCH(T150,'G-7 Rivers Data'!$U$4:$Y$4,0)))),"")</f>
        <v/>
      </c>
      <c r="Z150" s="261"/>
      <c r="AA150" s="261"/>
      <c r="AB150" s="179" t="str">
        <f t="shared" si="19"/>
        <v/>
      </c>
      <c r="AC150" s="262" t="str">
        <f t="shared" si="20"/>
        <v/>
      </c>
      <c r="AD150" s="382" t="str">
        <f>IFERROR(IF(AC150="Check Data","Check Data",VLOOKUP(AC150,'G-4 Temporal multipliers'!$A$4:$C$37,3,FALSE)),"")</f>
        <v/>
      </c>
      <c r="AE150" s="171" t="str">
        <f>IF(N150="","",VLOOKUP(N150,'G-7 Rivers Data'!$B$4:$G$8,5,FALSE))</f>
        <v/>
      </c>
      <c r="AF150" s="179" t="str">
        <f t="shared" si="21"/>
        <v/>
      </c>
      <c r="AG150" s="269" t="str">
        <f t="shared" si="22"/>
        <v/>
      </c>
      <c r="AH150" s="172" t="str">
        <f t="shared" si="16"/>
        <v/>
      </c>
      <c r="AI150" s="173"/>
      <c r="AJ150" s="172" t="str">
        <f>IF(AI150="","",IF(VLOOKUP(AI150,'G-7 Rivers Data'!$AA$4:$AB$7,2,FALSE)=0,"Spatial Data Missing",VLOOKUP(AI150,'G-7 Rivers Data'!$AA$4:$AB$7,2,FALSE)))</f>
        <v/>
      </c>
      <c r="AK150" s="187"/>
      <c r="AL150" s="172" t="str">
        <f>IF(AK150="","",IF(VLOOKUP(AK150,'G-7 Rivers Data'!$AD$4:$AE$8,2,FALSE)=0,"Spatial Data Missing",VLOOKUP(AK150,'G-7 Rivers Data'!$AD$4:$AE$8,2,FALSE)))</f>
        <v/>
      </c>
      <c r="AM150" s="265" t="str">
        <f t="shared" si="23"/>
        <v/>
      </c>
      <c r="AN150" s="180"/>
      <c r="AO150" s="181"/>
      <c r="AV150" s="35" t="str">
        <f>IFERROR(INDEX('G-7 Rivers Data'!$AZ$3:$AZ$7,MATCH(N150,'G-7 Rivers Data'!$AY$3:$AY$7,0)),"")</f>
        <v/>
      </c>
    </row>
    <row r="151" spans="2:48" ht="13.8" x14ac:dyDescent="0.25">
      <c r="B151" s="259" t="str">
        <f>'C-1 Site River Baseline'!AN149</f>
        <v/>
      </c>
      <c r="C151" s="175" t="str">
        <f>IF(B151="","",VLOOKUP($B151,'C-1 Site River Baseline'!$C$9:$R$257,2,FALSE))</f>
        <v/>
      </c>
      <c r="D151" s="175" t="str">
        <f>IF(C151="","",VLOOKUP($B151,'C-1 Site River Baseline'!$C$9:$R$257,3,FALSE))</f>
        <v/>
      </c>
      <c r="E151" s="175" t="str">
        <f>IF(D151="","",VLOOKUP($B151,'C-1 Site River Baseline'!$C$9:$R$257,4,FALSE))</f>
        <v/>
      </c>
      <c r="F151" s="175" t="str">
        <f>IF(E151="","",VLOOKUP($B151,'C-1 Site River Baseline'!$C$9:$R$257,5,FALSE))</f>
        <v/>
      </c>
      <c r="G151" s="175" t="str">
        <f>IF(F151="","",VLOOKUP($B151,'C-1 Site River Baseline'!$C$9:$R$257,6,FALSE))</f>
        <v/>
      </c>
      <c r="H151" s="175" t="str">
        <f>IF(G151="","",VLOOKUP($B151,'C-1 Site River Baseline'!$C$9:$R$257,7,FALSE))</f>
        <v/>
      </c>
      <c r="I151" s="175" t="str">
        <f>IF(H151="","",VLOOKUP($B151,'C-1 Site River Baseline'!$C$9:$R$257,8,FALSE))</f>
        <v/>
      </c>
      <c r="J151" s="175" t="str">
        <f>IF(I151="","",VLOOKUP($B151,'C-1 Site River Baseline'!$C$9:$R$257,9,FALSE))</f>
        <v/>
      </c>
      <c r="K151" s="175" t="str">
        <f>IF(J151="","",VLOOKUP($B151,'C-1 Site River Baseline'!$C$9:$R$257,10,FALSE))</f>
        <v/>
      </c>
      <c r="L151" s="175" t="str">
        <f>IF(B151="","",VLOOKUP($B151,'C-1 Site River Baseline'!$C$9:$R$257,15,FALSE))</f>
        <v/>
      </c>
      <c r="M151" s="176" t="str">
        <f>IF(L151="","",VLOOKUP($B151,'C-1 Site River Baseline'!$C$9:$R$257,16,FALSE))</f>
        <v/>
      </c>
      <c r="N151" s="639" t="str">
        <f t="shared" si="17"/>
        <v/>
      </c>
      <c r="O151" s="239" t="str">
        <f t="shared" si="18"/>
        <v/>
      </c>
      <c r="P151" s="172" t="str">
        <f>IF(C151="","",IF(AND(LEFT(C151,55)&lt;&gt;LEFT(N151,55),O151="High - High"),"Error - Not like for like",IF(AND(F151=S151,H151&gt;U151),"Error - Can not reduce condition",IF(AND(F151=S151,H151=U151,AJ151='C-1 Site River Baseline'!N149,'C-1 Site River Baseline'!P149=AL151),"Error - No enhancement",IF(AND(C151&lt;&gt;N151,F151&lt;S151),"Lower Distinctiveness Habitat"&amp;" - "&amp;T151,G151&amp;" - "&amp;T151)))))</f>
        <v/>
      </c>
      <c r="Q151" s="660" t="str">
        <f>IF(N151="","",VLOOKUP(B151,'C-1 Site River Baseline'!$C$10:$AA$257,19,FALSE))</f>
        <v/>
      </c>
      <c r="R151" s="171" t="str">
        <f>IF(N151="","",VLOOKUP(N151,'G-7 Rivers Data'!$B$2:$G$8,2,FALSE))</f>
        <v/>
      </c>
      <c r="S151" s="172" t="str">
        <f>IFERROR(VLOOKUP(R151,'G-7 Rivers Data'!$C$4:$D$8,2,FALSE),"")</f>
        <v/>
      </c>
      <c r="T151" s="173"/>
      <c r="U151" s="172" t="str">
        <f>IFERROR(INDEX('G-7 Rivers Data'!$H$4:$L$8,MATCH(N151,'G-7 Rivers Data'!$B$4:$B$8,0),MATCH(T151,'G-7 Rivers Data'!$H$3:$L$3,0)),"")</f>
        <v/>
      </c>
      <c r="V151" s="186"/>
      <c r="W151" s="175" t="str">
        <f>IF(V151="","",IF(VLOOKUP(V151,'G-7 Rivers Data'!$AG$4:$AI$9,2,FALSE)=0,"Spatial Data Missing",VLOOKUP(V151,'G-7 Rivers Data'!$AG$4:$AI$9,2,FALSE)))</f>
        <v/>
      </c>
      <c r="X151" s="176" t="str">
        <f>IF(V151="","",IF(VLOOKUP(V151,'G-7 Rivers Data'!$AG$4:$AI$9,3,FALSE)=0,"Spatial Data Missing",VLOOKUP(V151,'G-7 Rivers Data'!$AG$4:$AI$9,3,FALSE)))</f>
        <v/>
      </c>
      <c r="Y151" s="171" t="str">
        <f>IFERROR(IF(OR(LEFT(P151,5)="Error",LEFT(O151,5)="Error"),"Check Data",IF(F151&lt;S151,'G-7 Rivers Data'!$R$3,INDEX('G-7 Rivers Data'!$U$5:$Y$9,MATCH(G151,'G-7 Rivers Data'!$T$5:$T$9,0),MATCH(T151,'G-7 Rivers Data'!$U$4:$Y$4,0)))),"")</f>
        <v/>
      </c>
      <c r="Z151" s="261"/>
      <c r="AA151" s="261"/>
      <c r="AB151" s="179" t="str">
        <f t="shared" si="19"/>
        <v/>
      </c>
      <c r="AC151" s="262" t="str">
        <f t="shared" si="20"/>
        <v/>
      </c>
      <c r="AD151" s="382" t="str">
        <f>IFERROR(IF(AC151="Check Data","Check Data",VLOOKUP(AC151,'G-4 Temporal multipliers'!$A$4:$C$37,3,FALSE)),"")</f>
        <v/>
      </c>
      <c r="AE151" s="171" t="str">
        <f>IF(N151="","",VLOOKUP(N151,'G-7 Rivers Data'!$B$4:$G$8,5,FALSE))</f>
        <v/>
      </c>
      <c r="AF151" s="179" t="str">
        <f t="shared" si="21"/>
        <v/>
      </c>
      <c r="AG151" s="269" t="str">
        <f t="shared" si="22"/>
        <v/>
      </c>
      <c r="AH151" s="172" t="str">
        <f t="shared" si="16"/>
        <v/>
      </c>
      <c r="AI151" s="173"/>
      <c r="AJ151" s="172" t="str">
        <f>IF(AI151="","",IF(VLOOKUP(AI151,'G-7 Rivers Data'!$AA$4:$AB$7,2,FALSE)=0,"Spatial Data Missing",VLOOKUP(AI151,'G-7 Rivers Data'!$AA$4:$AB$7,2,FALSE)))</f>
        <v/>
      </c>
      <c r="AK151" s="187"/>
      <c r="AL151" s="172" t="str">
        <f>IF(AK151="","",IF(VLOOKUP(AK151,'G-7 Rivers Data'!$AD$4:$AE$8,2,FALSE)=0,"Spatial Data Missing",VLOOKUP(AK151,'G-7 Rivers Data'!$AD$4:$AE$8,2,FALSE)))</f>
        <v/>
      </c>
      <c r="AM151" s="265" t="str">
        <f t="shared" si="23"/>
        <v/>
      </c>
      <c r="AN151" s="180"/>
      <c r="AO151" s="181"/>
      <c r="AV151" s="35" t="str">
        <f>IFERROR(INDEX('G-7 Rivers Data'!$AZ$3:$AZ$7,MATCH(N151,'G-7 Rivers Data'!$AY$3:$AY$7,0)),"")</f>
        <v/>
      </c>
    </row>
    <row r="152" spans="2:48" ht="13.8" x14ac:dyDescent="0.25">
      <c r="B152" s="259" t="str">
        <f>'C-1 Site River Baseline'!AN150</f>
        <v/>
      </c>
      <c r="C152" s="175" t="str">
        <f>IF(B152="","",VLOOKUP($B152,'C-1 Site River Baseline'!$C$9:$R$257,2,FALSE))</f>
        <v/>
      </c>
      <c r="D152" s="175" t="str">
        <f>IF(C152="","",VLOOKUP($B152,'C-1 Site River Baseline'!$C$9:$R$257,3,FALSE))</f>
        <v/>
      </c>
      <c r="E152" s="175" t="str">
        <f>IF(D152="","",VLOOKUP($B152,'C-1 Site River Baseline'!$C$9:$R$257,4,FALSE))</f>
        <v/>
      </c>
      <c r="F152" s="175" t="str">
        <f>IF(E152="","",VLOOKUP($B152,'C-1 Site River Baseline'!$C$9:$R$257,5,FALSE))</f>
        <v/>
      </c>
      <c r="G152" s="175" t="str">
        <f>IF(F152="","",VLOOKUP($B152,'C-1 Site River Baseline'!$C$9:$R$257,6,FALSE))</f>
        <v/>
      </c>
      <c r="H152" s="175" t="str">
        <f>IF(G152="","",VLOOKUP($B152,'C-1 Site River Baseline'!$C$9:$R$257,7,FALSE))</f>
        <v/>
      </c>
      <c r="I152" s="175" t="str">
        <f>IF(H152="","",VLOOKUP($B152,'C-1 Site River Baseline'!$C$9:$R$257,8,FALSE))</f>
        <v/>
      </c>
      <c r="J152" s="175" t="str">
        <f>IF(I152="","",VLOOKUP($B152,'C-1 Site River Baseline'!$C$9:$R$257,9,FALSE))</f>
        <v/>
      </c>
      <c r="K152" s="175" t="str">
        <f>IF(J152="","",VLOOKUP($B152,'C-1 Site River Baseline'!$C$9:$R$257,10,FALSE))</f>
        <v/>
      </c>
      <c r="L152" s="175" t="str">
        <f>IF(B152="","",VLOOKUP($B152,'C-1 Site River Baseline'!$C$9:$R$257,15,FALSE))</f>
        <v/>
      </c>
      <c r="M152" s="176" t="str">
        <f>IF(L152="","",VLOOKUP($B152,'C-1 Site River Baseline'!$C$9:$R$257,16,FALSE))</f>
        <v/>
      </c>
      <c r="N152" s="639" t="str">
        <f t="shared" si="17"/>
        <v/>
      </c>
      <c r="O152" s="239" t="str">
        <f t="shared" si="18"/>
        <v/>
      </c>
      <c r="P152" s="172" t="str">
        <f>IF(C152="","",IF(AND(LEFT(C152,55)&lt;&gt;LEFT(N152,55),O152="High - High"),"Error - Not like for like",IF(AND(F152=S152,H152&gt;U152),"Error - Can not reduce condition",IF(AND(F152=S152,H152=U152,AJ152='C-1 Site River Baseline'!N150,'C-1 Site River Baseline'!P150=AL152),"Error - No enhancement",IF(AND(C152&lt;&gt;N152,F152&lt;S152),"Lower Distinctiveness Habitat"&amp;" - "&amp;T152,G152&amp;" - "&amp;T152)))))</f>
        <v/>
      </c>
      <c r="Q152" s="660" t="str">
        <f>IF(N152="","",VLOOKUP(B152,'C-1 Site River Baseline'!$C$10:$AA$257,19,FALSE))</f>
        <v/>
      </c>
      <c r="R152" s="171" t="str">
        <f>IF(N152="","",VLOOKUP(N152,'G-7 Rivers Data'!$B$2:$G$8,2,FALSE))</f>
        <v/>
      </c>
      <c r="S152" s="172" t="str">
        <f>IFERROR(VLOOKUP(R152,'G-7 Rivers Data'!$C$4:$D$8,2,FALSE),"")</f>
        <v/>
      </c>
      <c r="T152" s="173"/>
      <c r="U152" s="172" t="str">
        <f>IFERROR(INDEX('G-7 Rivers Data'!$H$4:$L$8,MATCH(N152,'G-7 Rivers Data'!$B$4:$B$8,0),MATCH(T152,'G-7 Rivers Data'!$H$3:$L$3,0)),"")</f>
        <v/>
      </c>
      <c r="V152" s="186"/>
      <c r="W152" s="175" t="str">
        <f>IF(V152="","",IF(VLOOKUP(V152,'G-7 Rivers Data'!$AG$4:$AI$9,2,FALSE)=0,"Spatial Data Missing",VLOOKUP(V152,'G-7 Rivers Data'!$AG$4:$AI$9,2,FALSE)))</f>
        <v/>
      </c>
      <c r="X152" s="176" t="str">
        <f>IF(V152="","",IF(VLOOKUP(V152,'G-7 Rivers Data'!$AG$4:$AI$9,3,FALSE)=0,"Spatial Data Missing",VLOOKUP(V152,'G-7 Rivers Data'!$AG$4:$AI$9,3,FALSE)))</f>
        <v/>
      </c>
      <c r="Y152" s="171" t="str">
        <f>IFERROR(IF(OR(LEFT(P152,5)="Error",LEFT(O152,5)="Error"),"Check Data",IF(F152&lt;S152,'G-7 Rivers Data'!$R$3,INDEX('G-7 Rivers Data'!$U$5:$Y$9,MATCH(G152,'G-7 Rivers Data'!$T$5:$T$9,0),MATCH(T152,'G-7 Rivers Data'!$U$4:$Y$4,0)))),"")</f>
        <v/>
      </c>
      <c r="Z152" s="261"/>
      <c r="AA152" s="261"/>
      <c r="AB152" s="179" t="str">
        <f t="shared" si="19"/>
        <v/>
      </c>
      <c r="AC152" s="262" t="str">
        <f t="shared" si="20"/>
        <v/>
      </c>
      <c r="AD152" s="382" t="str">
        <f>IFERROR(IF(AC152="Check Data","Check Data",VLOOKUP(AC152,'G-4 Temporal multipliers'!$A$4:$C$37,3,FALSE)),"")</f>
        <v/>
      </c>
      <c r="AE152" s="171" t="str">
        <f>IF(N152="","",VLOOKUP(N152,'G-7 Rivers Data'!$B$4:$G$8,5,FALSE))</f>
        <v/>
      </c>
      <c r="AF152" s="179" t="str">
        <f t="shared" si="21"/>
        <v/>
      </c>
      <c r="AG152" s="269" t="str">
        <f t="shared" si="22"/>
        <v/>
      </c>
      <c r="AH152" s="172" t="str">
        <f t="shared" si="16"/>
        <v/>
      </c>
      <c r="AI152" s="173"/>
      <c r="AJ152" s="172" t="str">
        <f>IF(AI152="","",IF(VLOOKUP(AI152,'G-7 Rivers Data'!$AA$4:$AB$7,2,FALSE)=0,"Spatial Data Missing",VLOOKUP(AI152,'G-7 Rivers Data'!$AA$4:$AB$7,2,FALSE)))</f>
        <v/>
      </c>
      <c r="AK152" s="187"/>
      <c r="AL152" s="172" t="str">
        <f>IF(AK152="","",IF(VLOOKUP(AK152,'G-7 Rivers Data'!$AD$4:$AE$8,2,FALSE)=0,"Spatial Data Missing",VLOOKUP(AK152,'G-7 Rivers Data'!$AD$4:$AE$8,2,FALSE)))</f>
        <v/>
      </c>
      <c r="AM152" s="265" t="str">
        <f t="shared" si="23"/>
        <v/>
      </c>
      <c r="AN152" s="180"/>
      <c r="AO152" s="181"/>
      <c r="AV152" s="35" t="str">
        <f>IFERROR(INDEX('G-7 Rivers Data'!$AZ$3:$AZ$7,MATCH(N152,'G-7 Rivers Data'!$AY$3:$AY$7,0)),"")</f>
        <v/>
      </c>
    </row>
    <row r="153" spans="2:48" ht="13.8" x14ac:dyDescent="0.25">
      <c r="B153" s="259" t="str">
        <f>'C-1 Site River Baseline'!AN151</f>
        <v/>
      </c>
      <c r="C153" s="175" t="str">
        <f>IF(B153="","",VLOOKUP($B153,'C-1 Site River Baseline'!$C$9:$R$257,2,FALSE))</f>
        <v/>
      </c>
      <c r="D153" s="175" t="str">
        <f>IF(C153="","",VLOOKUP($B153,'C-1 Site River Baseline'!$C$9:$R$257,3,FALSE))</f>
        <v/>
      </c>
      <c r="E153" s="175" t="str">
        <f>IF(D153="","",VLOOKUP($B153,'C-1 Site River Baseline'!$C$9:$R$257,4,FALSE))</f>
        <v/>
      </c>
      <c r="F153" s="175" t="str">
        <f>IF(E153="","",VLOOKUP($B153,'C-1 Site River Baseline'!$C$9:$R$257,5,FALSE))</f>
        <v/>
      </c>
      <c r="G153" s="175" t="str">
        <f>IF(F153="","",VLOOKUP($B153,'C-1 Site River Baseline'!$C$9:$R$257,6,FALSE))</f>
        <v/>
      </c>
      <c r="H153" s="175" t="str">
        <f>IF(G153="","",VLOOKUP($B153,'C-1 Site River Baseline'!$C$9:$R$257,7,FALSE))</f>
        <v/>
      </c>
      <c r="I153" s="175" t="str">
        <f>IF(H153="","",VLOOKUP($B153,'C-1 Site River Baseline'!$C$9:$R$257,8,FALSE))</f>
        <v/>
      </c>
      <c r="J153" s="175" t="str">
        <f>IF(I153="","",VLOOKUP($B153,'C-1 Site River Baseline'!$C$9:$R$257,9,FALSE))</f>
        <v/>
      </c>
      <c r="K153" s="175" t="str">
        <f>IF(J153="","",VLOOKUP($B153,'C-1 Site River Baseline'!$C$9:$R$257,10,FALSE))</f>
        <v/>
      </c>
      <c r="L153" s="175" t="str">
        <f>IF(B153="","",VLOOKUP($B153,'C-1 Site River Baseline'!$C$9:$R$257,15,FALSE))</f>
        <v/>
      </c>
      <c r="M153" s="176" t="str">
        <f>IF(L153="","",VLOOKUP($B153,'C-1 Site River Baseline'!$C$9:$R$257,16,FALSE))</f>
        <v/>
      </c>
      <c r="N153" s="639" t="str">
        <f t="shared" si="17"/>
        <v/>
      </c>
      <c r="O153" s="239" t="str">
        <f t="shared" si="18"/>
        <v/>
      </c>
      <c r="P153" s="172" t="str">
        <f>IF(C153="","",IF(AND(LEFT(C153,55)&lt;&gt;LEFT(N153,55),O153="High - High"),"Error - Not like for like",IF(AND(F153=S153,H153&gt;U153),"Error - Can not reduce condition",IF(AND(F153=S153,H153=U153,AJ153='C-1 Site River Baseline'!N151,'C-1 Site River Baseline'!P151=AL153),"Error - No enhancement",IF(AND(C153&lt;&gt;N153,F153&lt;S153),"Lower Distinctiveness Habitat"&amp;" - "&amp;T153,G153&amp;" - "&amp;T153)))))</f>
        <v/>
      </c>
      <c r="Q153" s="660" t="str">
        <f>IF(N153="","",VLOOKUP(B153,'C-1 Site River Baseline'!$C$10:$AA$257,19,FALSE))</f>
        <v/>
      </c>
      <c r="R153" s="171" t="str">
        <f>IF(N153="","",VLOOKUP(N153,'G-7 Rivers Data'!$B$2:$G$8,2,FALSE))</f>
        <v/>
      </c>
      <c r="S153" s="172" t="str">
        <f>IFERROR(VLOOKUP(R153,'G-7 Rivers Data'!$C$4:$D$8,2,FALSE),"")</f>
        <v/>
      </c>
      <c r="T153" s="173"/>
      <c r="U153" s="172" t="str">
        <f>IFERROR(INDEX('G-7 Rivers Data'!$H$4:$L$8,MATCH(N153,'G-7 Rivers Data'!$B$4:$B$8,0),MATCH(T153,'G-7 Rivers Data'!$H$3:$L$3,0)),"")</f>
        <v/>
      </c>
      <c r="V153" s="186"/>
      <c r="W153" s="175" t="str">
        <f>IF(V153="","",IF(VLOOKUP(V153,'G-7 Rivers Data'!$AG$4:$AI$9,2,FALSE)=0,"Spatial Data Missing",VLOOKUP(V153,'G-7 Rivers Data'!$AG$4:$AI$9,2,FALSE)))</f>
        <v/>
      </c>
      <c r="X153" s="176" t="str">
        <f>IF(V153="","",IF(VLOOKUP(V153,'G-7 Rivers Data'!$AG$4:$AI$9,3,FALSE)=0,"Spatial Data Missing",VLOOKUP(V153,'G-7 Rivers Data'!$AG$4:$AI$9,3,FALSE)))</f>
        <v/>
      </c>
      <c r="Y153" s="171" t="str">
        <f>IFERROR(IF(OR(LEFT(P153,5)="Error",LEFT(O153,5)="Error"),"Check Data",IF(F153&lt;S153,'G-7 Rivers Data'!$R$3,INDEX('G-7 Rivers Data'!$U$5:$Y$9,MATCH(G153,'G-7 Rivers Data'!$T$5:$T$9,0),MATCH(T153,'G-7 Rivers Data'!$U$4:$Y$4,0)))),"")</f>
        <v/>
      </c>
      <c r="Z153" s="261"/>
      <c r="AA153" s="261"/>
      <c r="AB153" s="179" t="str">
        <f t="shared" si="19"/>
        <v/>
      </c>
      <c r="AC153" s="262" t="str">
        <f t="shared" si="20"/>
        <v/>
      </c>
      <c r="AD153" s="382" t="str">
        <f>IFERROR(IF(AC153="Check Data","Check Data",VLOOKUP(AC153,'G-4 Temporal multipliers'!$A$4:$C$37,3,FALSE)),"")</f>
        <v/>
      </c>
      <c r="AE153" s="171" t="str">
        <f>IF(N153="","",VLOOKUP(N153,'G-7 Rivers Data'!$B$4:$G$8,5,FALSE))</f>
        <v/>
      </c>
      <c r="AF153" s="179" t="str">
        <f t="shared" si="21"/>
        <v/>
      </c>
      <c r="AG153" s="269" t="str">
        <f t="shared" si="22"/>
        <v/>
      </c>
      <c r="AH153" s="172" t="str">
        <f t="shared" si="16"/>
        <v/>
      </c>
      <c r="AI153" s="173"/>
      <c r="AJ153" s="172" t="str">
        <f>IF(AI153="","",IF(VLOOKUP(AI153,'G-7 Rivers Data'!$AA$4:$AB$7,2,FALSE)=0,"Spatial Data Missing",VLOOKUP(AI153,'G-7 Rivers Data'!$AA$4:$AB$7,2,FALSE)))</f>
        <v/>
      </c>
      <c r="AK153" s="187"/>
      <c r="AL153" s="172" t="str">
        <f>IF(AK153="","",IF(VLOOKUP(AK153,'G-7 Rivers Data'!$AD$4:$AE$8,2,FALSE)=0,"Spatial Data Missing",VLOOKUP(AK153,'G-7 Rivers Data'!$AD$4:$AE$8,2,FALSE)))</f>
        <v/>
      </c>
      <c r="AM153" s="265" t="str">
        <f t="shared" si="23"/>
        <v/>
      </c>
      <c r="AN153" s="180"/>
      <c r="AO153" s="181"/>
      <c r="AV153" s="35" t="str">
        <f>IFERROR(INDEX('G-7 Rivers Data'!$AZ$3:$AZ$7,MATCH(N153,'G-7 Rivers Data'!$AY$3:$AY$7,0)),"")</f>
        <v/>
      </c>
    </row>
    <row r="154" spans="2:48" ht="13.8" x14ac:dyDescent="0.25">
      <c r="B154" s="259" t="str">
        <f>'C-1 Site River Baseline'!AN152</f>
        <v/>
      </c>
      <c r="C154" s="175" t="str">
        <f>IF(B154="","",VLOOKUP($B154,'C-1 Site River Baseline'!$C$9:$R$257,2,FALSE))</f>
        <v/>
      </c>
      <c r="D154" s="175" t="str">
        <f>IF(C154="","",VLOOKUP($B154,'C-1 Site River Baseline'!$C$9:$R$257,3,FALSE))</f>
        <v/>
      </c>
      <c r="E154" s="175" t="str">
        <f>IF(D154="","",VLOOKUP($B154,'C-1 Site River Baseline'!$C$9:$R$257,4,FALSE))</f>
        <v/>
      </c>
      <c r="F154" s="175" t="str">
        <f>IF(E154="","",VLOOKUP($B154,'C-1 Site River Baseline'!$C$9:$R$257,5,FALSE))</f>
        <v/>
      </c>
      <c r="G154" s="175" t="str">
        <f>IF(F154="","",VLOOKUP($B154,'C-1 Site River Baseline'!$C$9:$R$257,6,FALSE))</f>
        <v/>
      </c>
      <c r="H154" s="175" t="str">
        <f>IF(G154="","",VLOOKUP($B154,'C-1 Site River Baseline'!$C$9:$R$257,7,FALSE))</f>
        <v/>
      </c>
      <c r="I154" s="175" t="str">
        <f>IF(H154="","",VLOOKUP($B154,'C-1 Site River Baseline'!$C$9:$R$257,8,FALSE))</f>
        <v/>
      </c>
      <c r="J154" s="175" t="str">
        <f>IF(I154="","",VLOOKUP($B154,'C-1 Site River Baseline'!$C$9:$R$257,9,FALSE))</f>
        <v/>
      </c>
      <c r="K154" s="175" t="str">
        <f>IF(J154="","",VLOOKUP($B154,'C-1 Site River Baseline'!$C$9:$R$257,10,FALSE))</f>
        <v/>
      </c>
      <c r="L154" s="175" t="str">
        <f>IF(B154="","",VLOOKUP($B154,'C-1 Site River Baseline'!$C$9:$R$257,15,FALSE))</f>
        <v/>
      </c>
      <c r="M154" s="176" t="str">
        <f>IF(L154="","",VLOOKUP($B154,'C-1 Site River Baseline'!$C$9:$R$257,16,FALSE))</f>
        <v/>
      </c>
      <c r="N154" s="639" t="str">
        <f t="shared" si="17"/>
        <v/>
      </c>
      <c r="O154" s="239" t="str">
        <f t="shared" si="18"/>
        <v/>
      </c>
      <c r="P154" s="172" t="str">
        <f>IF(C154="","",IF(AND(LEFT(C154,55)&lt;&gt;LEFT(N154,55),O154="High - High"),"Error - Not like for like",IF(AND(F154=S154,H154&gt;U154),"Error - Can not reduce condition",IF(AND(F154=S154,H154=U154,AJ154='C-1 Site River Baseline'!N152,'C-1 Site River Baseline'!P152=AL154),"Error - No enhancement",IF(AND(C154&lt;&gt;N154,F154&lt;S154),"Lower Distinctiveness Habitat"&amp;" - "&amp;T154,G154&amp;" - "&amp;T154)))))</f>
        <v/>
      </c>
      <c r="Q154" s="660" t="str">
        <f>IF(N154="","",VLOOKUP(B154,'C-1 Site River Baseline'!$C$10:$AA$257,19,FALSE))</f>
        <v/>
      </c>
      <c r="R154" s="171" t="str">
        <f>IF(N154="","",VLOOKUP(N154,'G-7 Rivers Data'!$B$2:$G$8,2,FALSE))</f>
        <v/>
      </c>
      <c r="S154" s="172" t="str">
        <f>IFERROR(VLOOKUP(R154,'G-7 Rivers Data'!$C$4:$D$8,2,FALSE),"")</f>
        <v/>
      </c>
      <c r="T154" s="173"/>
      <c r="U154" s="172" t="str">
        <f>IFERROR(INDEX('G-7 Rivers Data'!$H$4:$L$8,MATCH(N154,'G-7 Rivers Data'!$B$4:$B$8,0),MATCH(T154,'G-7 Rivers Data'!$H$3:$L$3,0)),"")</f>
        <v/>
      </c>
      <c r="V154" s="186"/>
      <c r="W154" s="175" t="str">
        <f>IF(V154="","",IF(VLOOKUP(V154,'G-7 Rivers Data'!$AG$4:$AI$9,2,FALSE)=0,"Spatial Data Missing",VLOOKUP(V154,'G-7 Rivers Data'!$AG$4:$AI$9,2,FALSE)))</f>
        <v/>
      </c>
      <c r="X154" s="176" t="str">
        <f>IF(V154="","",IF(VLOOKUP(V154,'G-7 Rivers Data'!$AG$4:$AI$9,3,FALSE)=0,"Spatial Data Missing",VLOOKUP(V154,'G-7 Rivers Data'!$AG$4:$AI$9,3,FALSE)))</f>
        <v/>
      </c>
      <c r="Y154" s="171" t="str">
        <f>IFERROR(IF(OR(LEFT(P154,5)="Error",LEFT(O154,5)="Error"),"Check Data",IF(F154&lt;S154,'G-7 Rivers Data'!$R$3,INDEX('G-7 Rivers Data'!$U$5:$Y$9,MATCH(G154,'G-7 Rivers Data'!$T$5:$T$9,0),MATCH(T154,'G-7 Rivers Data'!$U$4:$Y$4,0)))),"")</f>
        <v/>
      </c>
      <c r="Z154" s="261"/>
      <c r="AA154" s="261"/>
      <c r="AB154" s="179" t="str">
        <f t="shared" si="19"/>
        <v/>
      </c>
      <c r="AC154" s="262" t="str">
        <f t="shared" si="20"/>
        <v/>
      </c>
      <c r="AD154" s="382" t="str">
        <f>IFERROR(IF(AC154="Check Data","Check Data",VLOOKUP(AC154,'G-4 Temporal multipliers'!$A$4:$C$37,3,FALSE)),"")</f>
        <v/>
      </c>
      <c r="AE154" s="171" t="str">
        <f>IF(N154="","",VLOOKUP(N154,'G-7 Rivers Data'!$B$4:$G$8,5,FALSE))</f>
        <v/>
      </c>
      <c r="AF154" s="179" t="str">
        <f t="shared" si="21"/>
        <v/>
      </c>
      <c r="AG154" s="269" t="str">
        <f t="shared" si="22"/>
        <v/>
      </c>
      <c r="AH154" s="172" t="str">
        <f t="shared" si="16"/>
        <v/>
      </c>
      <c r="AI154" s="173"/>
      <c r="AJ154" s="172" t="str">
        <f>IF(AI154="","",IF(VLOOKUP(AI154,'G-7 Rivers Data'!$AA$4:$AB$7,2,FALSE)=0,"Spatial Data Missing",VLOOKUP(AI154,'G-7 Rivers Data'!$AA$4:$AB$7,2,FALSE)))</f>
        <v/>
      </c>
      <c r="AK154" s="187"/>
      <c r="AL154" s="172" t="str">
        <f>IF(AK154="","",IF(VLOOKUP(AK154,'G-7 Rivers Data'!$AD$4:$AE$8,2,FALSE)=0,"Spatial Data Missing",VLOOKUP(AK154,'G-7 Rivers Data'!$AD$4:$AE$8,2,FALSE)))</f>
        <v/>
      </c>
      <c r="AM154" s="265" t="str">
        <f t="shared" si="23"/>
        <v/>
      </c>
      <c r="AN154" s="180"/>
      <c r="AO154" s="181"/>
      <c r="AV154" s="35" t="str">
        <f>IFERROR(INDEX('G-7 Rivers Data'!$AZ$3:$AZ$7,MATCH(N154,'G-7 Rivers Data'!$AY$3:$AY$7,0)),"")</f>
        <v/>
      </c>
    </row>
    <row r="155" spans="2:48" ht="13.8" x14ac:dyDescent="0.25">
      <c r="B155" s="259" t="str">
        <f>'C-1 Site River Baseline'!AN153</f>
        <v/>
      </c>
      <c r="C155" s="175" t="str">
        <f>IF(B155="","",VLOOKUP($B155,'C-1 Site River Baseline'!$C$9:$R$257,2,FALSE))</f>
        <v/>
      </c>
      <c r="D155" s="175" t="str">
        <f>IF(C155="","",VLOOKUP($B155,'C-1 Site River Baseline'!$C$9:$R$257,3,FALSE))</f>
        <v/>
      </c>
      <c r="E155" s="175" t="str">
        <f>IF(D155="","",VLOOKUP($B155,'C-1 Site River Baseline'!$C$9:$R$257,4,FALSE))</f>
        <v/>
      </c>
      <c r="F155" s="175" t="str">
        <f>IF(E155="","",VLOOKUP($B155,'C-1 Site River Baseline'!$C$9:$R$257,5,FALSE))</f>
        <v/>
      </c>
      <c r="G155" s="175" t="str">
        <f>IF(F155="","",VLOOKUP($B155,'C-1 Site River Baseline'!$C$9:$R$257,6,FALSE))</f>
        <v/>
      </c>
      <c r="H155" s="175" t="str">
        <f>IF(G155="","",VLOOKUP($B155,'C-1 Site River Baseline'!$C$9:$R$257,7,FALSE))</f>
        <v/>
      </c>
      <c r="I155" s="175" t="str">
        <f>IF(H155="","",VLOOKUP($B155,'C-1 Site River Baseline'!$C$9:$R$257,8,FALSE))</f>
        <v/>
      </c>
      <c r="J155" s="175" t="str">
        <f>IF(I155="","",VLOOKUP($B155,'C-1 Site River Baseline'!$C$9:$R$257,9,FALSE))</f>
        <v/>
      </c>
      <c r="K155" s="175" t="str">
        <f>IF(J155="","",VLOOKUP($B155,'C-1 Site River Baseline'!$C$9:$R$257,10,FALSE))</f>
        <v/>
      </c>
      <c r="L155" s="175" t="str">
        <f>IF(B155="","",VLOOKUP($B155,'C-1 Site River Baseline'!$C$9:$R$257,15,FALSE))</f>
        <v/>
      </c>
      <c r="M155" s="176" t="str">
        <f>IF(L155="","",VLOOKUP($B155,'C-1 Site River Baseline'!$C$9:$R$257,16,FALSE))</f>
        <v/>
      </c>
      <c r="N155" s="639" t="str">
        <f t="shared" si="17"/>
        <v/>
      </c>
      <c r="O155" s="239" t="str">
        <f t="shared" si="18"/>
        <v/>
      </c>
      <c r="P155" s="172" t="str">
        <f>IF(C155="","",IF(AND(LEFT(C155,55)&lt;&gt;LEFT(N155,55),O155="High - High"),"Error - Not like for like",IF(AND(F155=S155,H155&gt;U155),"Error - Can not reduce condition",IF(AND(F155=S155,H155=U155,AJ155='C-1 Site River Baseline'!N153,'C-1 Site River Baseline'!P153=AL155),"Error - No enhancement",IF(AND(C155&lt;&gt;N155,F155&lt;S155),"Lower Distinctiveness Habitat"&amp;" - "&amp;T155,G155&amp;" - "&amp;T155)))))</f>
        <v/>
      </c>
      <c r="Q155" s="660" t="str">
        <f>IF(N155="","",VLOOKUP(B155,'C-1 Site River Baseline'!$C$10:$AA$257,19,FALSE))</f>
        <v/>
      </c>
      <c r="R155" s="171" t="str">
        <f>IF(N155="","",VLOOKUP(N155,'G-7 Rivers Data'!$B$2:$G$8,2,FALSE))</f>
        <v/>
      </c>
      <c r="S155" s="172" t="str">
        <f>IFERROR(VLOOKUP(R155,'G-7 Rivers Data'!$C$4:$D$8,2,FALSE),"")</f>
        <v/>
      </c>
      <c r="T155" s="173"/>
      <c r="U155" s="172" t="str">
        <f>IFERROR(INDEX('G-7 Rivers Data'!$H$4:$L$8,MATCH(N155,'G-7 Rivers Data'!$B$4:$B$8,0),MATCH(T155,'G-7 Rivers Data'!$H$3:$L$3,0)),"")</f>
        <v/>
      </c>
      <c r="V155" s="186"/>
      <c r="W155" s="175" t="str">
        <f>IF(V155="","",IF(VLOOKUP(V155,'G-7 Rivers Data'!$AG$4:$AI$9,2,FALSE)=0,"Spatial Data Missing",VLOOKUP(V155,'G-7 Rivers Data'!$AG$4:$AI$9,2,FALSE)))</f>
        <v/>
      </c>
      <c r="X155" s="176" t="str">
        <f>IF(V155="","",IF(VLOOKUP(V155,'G-7 Rivers Data'!$AG$4:$AI$9,3,FALSE)=0,"Spatial Data Missing",VLOOKUP(V155,'G-7 Rivers Data'!$AG$4:$AI$9,3,FALSE)))</f>
        <v/>
      </c>
      <c r="Y155" s="171" t="str">
        <f>IFERROR(IF(OR(LEFT(P155,5)="Error",LEFT(O155,5)="Error"),"Check Data",IF(F155&lt;S155,'G-7 Rivers Data'!$R$3,INDEX('G-7 Rivers Data'!$U$5:$Y$9,MATCH(G155,'G-7 Rivers Data'!$T$5:$T$9,0),MATCH(T155,'G-7 Rivers Data'!$U$4:$Y$4,0)))),"")</f>
        <v/>
      </c>
      <c r="Z155" s="261"/>
      <c r="AA155" s="261"/>
      <c r="AB155" s="179" t="str">
        <f t="shared" si="19"/>
        <v/>
      </c>
      <c r="AC155" s="262" t="str">
        <f t="shared" si="20"/>
        <v/>
      </c>
      <c r="AD155" s="382" t="str">
        <f>IFERROR(IF(AC155="Check Data","Check Data",VLOOKUP(AC155,'G-4 Temporal multipliers'!$A$4:$C$37,3,FALSE)),"")</f>
        <v/>
      </c>
      <c r="AE155" s="171" t="str">
        <f>IF(N155="","",VLOOKUP(N155,'G-7 Rivers Data'!$B$4:$G$8,5,FALSE))</f>
        <v/>
      </c>
      <c r="AF155" s="179" t="str">
        <f t="shared" si="21"/>
        <v/>
      </c>
      <c r="AG155" s="269" t="str">
        <f t="shared" si="22"/>
        <v/>
      </c>
      <c r="AH155" s="172" t="str">
        <f t="shared" si="16"/>
        <v/>
      </c>
      <c r="AI155" s="173"/>
      <c r="AJ155" s="172" t="str">
        <f>IF(AI155="","",IF(VLOOKUP(AI155,'G-7 Rivers Data'!$AA$4:$AB$7,2,FALSE)=0,"Spatial Data Missing",VLOOKUP(AI155,'G-7 Rivers Data'!$AA$4:$AB$7,2,FALSE)))</f>
        <v/>
      </c>
      <c r="AK155" s="187"/>
      <c r="AL155" s="172" t="str">
        <f>IF(AK155="","",IF(VLOOKUP(AK155,'G-7 Rivers Data'!$AD$4:$AE$8,2,FALSE)=0,"Spatial Data Missing",VLOOKUP(AK155,'G-7 Rivers Data'!$AD$4:$AE$8,2,FALSE)))</f>
        <v/>
      </c>
      <c r="AM155" s="265" t="str">
        <f t="shared" si="23"/>
        <v/>
      </c>
      <c r="AN155" s="180"/>
      <c r="AO155" s="181"/>
      <c r="AV155" s="35" t="str">
        <f>IFERROR(INDEX('G-7 Rivers Data'!$AZ$3:$AZ$7,MATCH(N155,'G-7 Rivers Data'!$AY$3:$AY$7,0)),"")</f>
        <v/>
      </c>
    </row>
    <row r="156" spans="2:48" ht="13.8" x14ac:dyDescent="0.25">
      <c r="B156" s="259" t="str">
        <f>'C-1 Site River Baseline'!AN154</f>
        <v/>
      </c>
      <c r="C156" s="175" t="str">
        <f>IF(B156="","",VLOOKUP($B156,'C-1 Site River Baseline'!$C$9:$R$257,2,FALSE))</f>
        <v/>
      </c>
      <c r="D156" s="175" t="str">
        <f>IF(C156="","",VLOOKUP($B156,'C-1 Site River Baseline'!$C$9:$R$257,3,FALSE))</f>
        <v/>
      </c>
      <c r="E156" s="175" t="str">
        <f>IF(D156="","",VLOOKUP($B156,'C-1 Site River Baseline'!$C$9:$R$257,4,FALSE))</f>
        <v/>
      </c>
      <c r="F156" s="175" t="str">
        <f>IF(E156="","",VLOOKUP($B156,'C-1 Site River Baseline'!$C$9:$R$257,5,FALSE))</f>
        <v/>
      </c>
      <c r="G156" s="175" t="str">
        <f>IF(F156="","",VLOOKUP($B156,'C-1 Site River Baseline'!$C$9:$R$257,6,FALSE))</f>
        <v/>
      </c>
      <c r="H156" s="175" t="str">
        <f>IF(G156="","",VLOOKUP($B156,'C-1 Site River Baseline'!$C$9:$R$257,7,FALSE))</f>
        <v/>
      </c>
      <c r="I156" s="175" t="str">
        <f>IF(H156="","",VLOOKUP($B156,'C-1 Site River Baseline'!$C$9:$R$257,8,FALSE))</f>
        <v/>
      </c>
      <c r="J156" s="175" t="str">
        <f>IF(I156="","",VLOOKUP($B156,'C-1 Site River Baseline'!$C$9:$R$257,9,FALSE))</f>
        <v/>
      </c>
      <c r="K156" s="175" t="str">
        <f>IF(J156="","",VLOOKUP($B156,'C-1 Site River Baseline'!$C$9:$R$257,10,FALSE))</f>
        <v/>
      </c>
      <c r="L156" s="175" t="str">
        <f>IF(B156="","",VLOOKUP($B156,'C-1 Site River Baseline'!$C$9:$R$257,15,FALSE))</f>
        <v/>
      </c>
      <c r="M156" s="176" t="str">
        <f>IF(L156="","",VLOOKUP($B156,'C-1 Site River Baseline'!$C$9:$R$257,16,FALSE))</f>
        <v/>
      </c>
      <c r="N156" s="639" t="str">
        <f t="shared" si="17"/>
        <v/>
      </c>
      <c r="O156" s="239" t="str">
        <f t="shared" si="18"/>
        <v/>
      </c>
      <c r="P156" s="172" t="str">
        <f>IF(C156="","",IF(AND(LEFT(C156,55)&lt;&gt;LEFT(N156,55),O156="High - High"),"Error - Not like for like",IF(AND(F156=S156,H156&gt;U156),"Error - Can not reduce condition",IF(AND(F156=S156,H156=U156,AJ156='C-1 Site River Baseline'!N154,'C-1 Site River Baseline'!P154=AL156),"Error - No enhancement",IF(AND(C156&lt;&gt;N156,F156&lt;S156),"Lower Distinctiveness Habitat"&amp;" - "&amp;T156,G156&amp;" - "&amp;T156)))))</f>
        <v/>
      </c>
      <c r="Q156" s="660" t="str">
        <f>IF(N156="","",VLOOKUP(B156,'C-1 Site River Baseline'!$C$10:$AA$257,19,FALSE))</f>
        <v/>
      </c>
      <c r="R156" s="171" t="str">
        <f>IF(N156="","",VLOOKUP(N156,'G-7 Rivers Data'!$B$2:$G$8,2,FALSE))</f>
        <v/>
      </c>
      <c r="S156" s="172" t="str">
        <f>IFERROR(VLOOKUP(R156,'G-7 Rivers Data'!$C$4:$D$8,2,FALSE),"")</f>
        <v/>
      </c>
      <c r="T156" s="173"/>
      <c r="U156" s="172" t="str">
        <f>IFERROR(INDEX('G-7 Rivers Data'!$H$4:$L$8,MATCH(N156,'G-7 Rivers Data'!$B$4:$B$8,0),MATCH(T156,'G-7 Rivers Data'!$H$3:$L$3,0)),"")</f>
        <v/>
      </c>
      <c r="V156" s="186"/>
      <c r="W156" s="175" t="str">
        <f>IF(V156="","",IF(VLOOKUP(V156,'G-7 Rivers Data'!$AG$4:$AI$9,2,FALSE)=0,"Spatial Data Missing",VLOOKUP(V156,'G-7 Rivers Data'!$AG$4:$AI$9,2,FALSE)))</f>
        <v/>
      </c>
      <c r="X156" s="176" t="str">
        <f>IF(V156="","",IF(VLOOKUP(V156,'G-7 Rivers Data'!$AG$4:$AI$9,3,FALSE)=0,"Spatial Data Missing",VLOOKUP(V156,'G-7 Rivers Data'!$AG$4:$AI$9,3,FALSE)))</f>
        <v/>
      </c>
      <c r="Y156" s="171" t="str">
        <f>IFERROR(IF(OR(LEFT(P156,5)="Error",LEFT(O156,5)="Error"),"Check Data",IF(F156&lt;S156,'G-7 Rivers Data'!$R$3,INDEX('G-7 Rivers Data'!$U$5:$Y$9,MATCH(G156,'G-7 Rivers Data'!$T$5:$T$9,0),MATCH(T156,'G-7 Rivers Data'!$U$4:$Y$4,0)))),"")</f>
        <v/>
      </c>
      <c r="Z156" s="261"/>
      <c r="AA156" s="261"/>
      <c r="AB156" s="179" t="str">
        <f t="shared" si="19"/>
        <v/>
      </c>
      <c r="AC156" s="262" t="str">
        <f t="shared" si="20"/>
        <v/>
      </c>
      <c r="AD156" s="382" t="str">
        <f>IFERROR(IF(AC156="Check Data","Check Data",VLOOKUP(AC156,'G-4 Temporal multipliers'!$A$4:$C$37,3,FALSE)),"")</f>
        <v/>
      </c>
      <c r="AE156" s="171" t="str">
        <f>IF(N156="","",VLOOKUP(N156,'G-7 Rivers Data'!$B$4:$G$8,5,FALSE))</f>
        <v/>
      </c>
      <c r="AF156" s="179" t="str">
        <f t="shared" si="21"/>
        <v/>
      </c>
      <c r="AG156" s="269" t="str">
        <f t="shared" si="22"/>
        <v/>
      </c>
      <c r="AH156" s="172" t="str">
        <f t="shared" si="16"/>
        <v/>
      </c>
      <c r="AI156" s="173"/>
      <c r="AJ156" s="172" t="str">
        <f>IF(AI156="","",IF(VLOOKUP(AI156,'G-7 Rivers Data'!$AA$4:$AB$7,2,FALSE)=0,"Spatial Data Missing",VLOOKUP(AI156,'G-7 Rivers Data'!$AA$4:$AB$7,2,FALSE)))</f>
        <v/>
      </c>
      <c r="AK156" s="187"/>
      <c r="AL156" s="172" t="str">
        <f>IF(AK156="","",IF(VLOOKUP(AK156,'G-7 Rivers Data'!$AD$4:$AE$8,2,FALSE)=0,"Spatial Data Missing",VLOOKUP(AK156,'G-7 Rivers Data'!$AD$4:$AE$8,2,FALSE)))</f>
        <v/>
      </c>
      <c r="AM156" s="265" t="str">
        <f t="shared" si="23"/>
        <v/>
      </c>
      <c r="AN156" s="180"/>
      <c r="AO156" s="181"/>
      <c r="AV156" s="35" t="str">
        <f>IFERROR(INDEX('G-7 Rivers Data'!$AZ$3:$AZ$7,MATCH(N156,'G-7 Rivers Data'!$AY$3:$AY$7,0)),"")</f>
        <v/>
      </c>
    </row>
    <row r="157" spans="2:48" ht="13.8" x14ac:dyDescent="0.25">
      <c r="B157" s="259" t="str">
        <f>'C-1 Site River Baseline'!AN155</f>
        <v/>
      </c>
      <c r="C157" s="175" t="str">
        <f>IF(B157="","",VLOOKUP($B157,'C-1 Site River Baseline'!$C$9:$R$257,2,FALSE))</f>
        <v/>
      </c>
      <c r="D157" s="175" t="str">
        <f>IF(C157="","",VLOOKUP($B157,'C-1 Site River Baseline'!$C$9:$R$257,3,FALSE))</f>
        <v/>
      </c>
      <c r="E157" s="175" t="str">
        <f>IF(D157="","",VLOOKUP($B157,'C-1 Site River Baseline'!$C$9:$R$257,4,FALSE))</f>
        <v/>
      </c>
      <c r="F157" s="175" t="str">
        <f>IF(E157="","",VLOOKUP($B157,'C-1 Site River Baseline'!$C$9:$R$257,5,FALSE))</f>
        <v/>
      </c>
      <c r="G157" s="175" t="str">
        <f>IF(F157="","",VLOOKUP($B157,'C-1 Site River Baseline'!$C$9:$R$257,6,FALSE))</f>
        <v/>
      </c>
      <c r="H157" s="175" t="str">
        <f>IF(G157="","",VLOOKUP($B157,'C-1 Site River Baseline'!$C$9:$R$257,7,FALSE))</f>
        <v/>
      </c>
      <c r="I157" s="175" t="str">
        <f>IF(H157="","",VLOOKUP($B157,'C-1 Site River Baseline'!$C$9:$R$257,8,FALSE))</f>
        <v/>
      </c>
      <c r="J157" s="175" t="str">
        <f>IF(I157="","",VLOOKUP($B157,'C-1 Site River Baseline'!$C$9:$R$257,9,FALSE))</f>
        <v/>
      </c>
      <c r="K157" s="175" t="str">
        <f>IF(J157="","",VLOOKUP($B157,'C-1 Site River Baseline'!$C$9:$R$257,10,FALSE))</f>
        <v/>
      </c>
      <c r="L157" s="175" t="str">
        <f>IF(B157="","",VLOOKUP($B157,'C-1 Site River Baseline'!$C$9:$R$257,15,FALSE))</f>
        <v/>
      </c>
      <c r="M157" s="176" t="str">
        <f>IF(L157="","",VLOOKUP($B157,'C-1 Site River Baseline'!$C$9:$R$257,16,FALSE))</f>
        <v/>
      </c>
      <c r="N157" s="639" t="str">
        <f t="shared" si="17"/>
        <v/>
      </c>
      <c r="O157" s="239" t="str">
        <f t="shared" si="18"/>
        <v/>
      </c>
      <c r="P157" s="172" t="str">
        <f>IF(C157="","",IF(AND(LEFT(C157,55)&lt;&gt;LEFT(N157,55),O157="High - High"),"Error - Not like for like",IF(AND(F157=S157,H157&gt;U157),"Error - Can not reduce condition",IF(AND(F157=S157,H157=U157,AJ157='C-1 Site River Baseline'!N155,'C-1 Site River Baseline'!P155=AL157),"Error - No enhancement",IF(AND(C157&lt;&gt;N157,F157&lt;S157),"Lower Distinctiveness Habitat"&amp;" - "&amp;T157,G157&amp;" - "&amp;T157)))))</f>
        <v/>
      </c>
      <c r="Q157" s="660" t="str">
        <f>IF(N157="","",VLOOKUP(B157,'C-1 Site River Baseline'!$C$10:$AA$257,19,FALSE))</f>
        <v/>
      </c>
      <c r="R157" s="171" t="str">
        <f>IF(N157="","",VLOOKUP(N157,'G-7 Rivers Data'!$B$2:$G$8,2,FALSE))</f>
        <v/>
      </c>
      <c r="S157" s="172" t="str">
        <f>IFERROR(VLOOKUP(R157,'G-7 Rivers Data'!$C$4:$D$8,2,FALSE),"")</f>
        <v/>
      </c>
      <c r="T157" s="173"/>
      <c r="U157" s="172" t="str">
        <f>IFERROR(INDEX('G-7 Rivers Data'!$H$4:$L$8,MATCH(N157,'G-7 Rivers Data'!$B$4:$B$8,0),MATCH(T157,'G-7 Rivers Data'!$H$3:$L$3,0)),"")</f>
        <v/>
      </c>
      <c r="V157" s="186"/>
      <c r="W157" s="175" t="str">
        <f>IF(V157="","",IF(VLOOKUP(V157,'G-7 Rivers Data'!$AG$4:$AI$9,2,FALSE)=0,"Spatial Data Missing",VLOOKUP(V157,'G-7 Rivers Data'!$AG$4:$AI$9,2,FALSE)))</f>
        <v/>
      </c>
      <c r="X157" s="176" t="str">
        <f>IF(V157="","",IF(VLOOKUP(V157,'G-7 Rivers Data'!$AG$4:$AI$9,3,FALSE)=0,"Spatial Data Missing",VLOOKUP(V157,'G-7 Rivers Data'!$AG$4:$AI$9,3,FALSE)))</f>
        <v/>
      </c>
      <c r="Y157" s="171" t="str">
        <f>IFERROR(IF(OR(LEFT(P157,5)="Error",LEFT(O157,5)="Error"),"Check Data",IF(F157&lt;S157,'G-7 Rivers Data'!$R$3,INDEX('G-7 Rivers Data'!$U$5:$Y$9,MATCH(G157,'G-7 Rivers Data'!$T$5:$T$9,0),MATCH(T157,'G-7 Rivers Data'!$U$4:$Y$4,0)))),"")</f>
        <v/>
      </c>
      <c r="Z157" s="261"/>
      <c r="AA157" s="261"/>
      <c r="AB157" s="179" t="str">
        <f t="shared" si="19"/>
        <v/>
      </c>
      <c r="AC157" s="262" t="str">
        <f t="shared" si="20"/>
        <v/>
      </c>
      <c r="AD157" s="382" t="str">
        <f>IFERROR(IF(AC157="Check Data","Check Data",VLOOKUP(AC157,'G-4 Temporal multipliers'!$A$4:$C$37,3,FALSE)),"")</f>
        <v/>
      </c>
      <c r="AE157" s="171" t="str">
        <f>IF(N157="","",VLOOKUP(N157,'G-7 Rivers Data'!$B$4:$G$8,5,FALSE))</f>
        <v/>
      </c>
      <c r="AF157" s="179" t="str">
        <f t="shared" si="21"/>
        <v/>
      </c>
      <c r="AG157" s="269" t="str">
        <f t="shared" si="22"/>
        <v/>
      </c>
      <c r="AH157" s="172" t="str">
        <f t="shared" si="16"/>
        <v/>
      </c>
      <c r="AI157" s="173"/>
      <c r="AJ157" s="172" t="str">
        <f>IF(AI157="","",IF(VLOOKUP(AI157,'G-7 Rivers Data'!$AA$4:$AB$7,2,FALSE)=0,"Spatial Data Missing",VLOOKUP(AI157,'G-7 Rivers Data'!$AA$4:$AB$7,2,FALSE)))</f>
        <v/>
      </c>
      <c r="AK157" s="187"/>
      <c r="AL157" s="172" t="str">
        <f>IF(AK157="","",IF(VLOOKUP(AK157,'G-7 Rivers Data'!$AD$4:$AE$8,2,FALSE)=0,"Spatial Data Missing",VLOOKUP(AK157,'G-7 Rivers Data'!$AD$4:$AE$8,2,FALSE)))</f>
        <v/>
      </c>
      <c r="AM157" s="265" t="str">
        <f t="shared" si="23"/>
        <v/>
      </c>
      <c r="AN157" s="180"/>
      <c r="AO157" s="181"/>
      <c r="AV157" s="35" t="str">
        <f>IFERROR(INDEX('G-7 Rivers Data'!$AZ$3:$AZ$7,MATCH(N157,'G-7 Rivers Data'!$AY$3:$AY$7,0)),"")</f>
        <v/>
      </c>
    </row>
    <row r="158" spans="2:48" ht="13.8" x14ac:dyDescent="0.25">
      <c r="B158" s="259" t="str">
        <f>'C-1 Site River Baseline'!AN156</f>
        <v/>
      </c>
      <c r="C158" s="175" t="str">
        <f>IF(B158="","",VLOOKUP($B158,'C-1 Site River Baseline'!$C$9:$R$257,2,FALSE))</f>
        <v/>
      </c>
      <c r="D158" s="175" t="str">
        <f>IF(C158="","",VLOOKUP($B158,'C-1 Site River Baseline'!$C$9:$R$257,3,FALSE))</f>
        <v/>
      </c>
      <c r="E158" s="175" t="str">
        <f>IF(D158="","",VLOOKUP($B158,'C-1 Site River Baseline'!$C$9:$R$257,4,FALSE))</f>
        <v/>
      </c>
      <c r="F158" s="175" t="str">
        <f>IF(E158="","",VLOOKUP($B158,'C-1 Site River Baseline'!$C$9:$R$257,5,FALSE))</f>
        <v/>
      </c>
      <c r="G158" s="175" t="str">
        <f>IF(F158="","",VLOOKUP($B158,'C-1 Site River Baseline'!$C$9:$R$257,6,FALSE))</f>
        <v/>
      </c>
      <c r="H158" s="175" t="str">
        <f>IF(G158="","",VLOOKUP($B158,'C-1 Site River Baseline'!$C$9:$R$257,7,FALSE))</f>
        <v/>
      </c>
      <c r="I158" s="175" t="str">
        <f>IF(H158="","",VLOOKUP($B158,'C-1 Site River Baseline'!$C$9:$R$257,8,FALSE))</f>
        <v/>
      </c>
      <c r="J158" s="175" t="str">
        <f>IF(I158="","",VLOOKUP($B158,'C-1 Site River Baseline'!$C$9:$R$257,9,FALSE))</f>
        <v/>
      </c>
      <c r="K158" s="175" t="str">
        <f>IF(J158="","",VLOOKUP($B158,'C-1 Site River Baseline'!$C$9:$R$257,10,FALSE))</f>
        <v/>
      </c>
      <c r="L158" s="175" t="str">
        <f>IF(B158="","",VLOOKUP($B158,'C-1 Site River Baseline'!$C$9:$R$257,15,FALSE))</f>
        <v/>
      </c>
      <c r="M158" s="176" t="str">
        <f>IF(L158="","",VLOOKUP($B158,'C-1 Site River Baseline'!$C$9:$R$257,16,FALSE))</f>
        <v/>
      </c>
      <c r="N158" s="639" t="str">
        <f t="shared" si="17"/>
        <v/>
      </c>
      <c r="O158" s="239" t="str">
        <f t="shared" si="18"/>
        <v/>
      </c>
      <c r="P158" s="172" t="str">
        <f>IF(C158="","",IF(AND(LEFT(C158,55)&lt;&gt;LEFT(N158,55),O158="High - High"),"Error - Not like for like",IF(AND(F158=S158,H158&gt;U158),"Error - Can not reduce condition",IF(AND(F158=S158,H158=U158,AJ158='C-1 Site River Baseline'!N156,'C-1 Site River Baseline'!P156=AL158),"Error - No enhancement",IF(AND(C158&lt;&gt;N158,F158&lt;S158),"Lower Distinctiveness Habitat"&amp;" - "&amp;T158,G158&amp;" - "&amp;T158)))))</f>
        <v/>
      </c>
      <c r="Q158" s="660" t="str">
        <f>IF(N158="","",VLOOKUP(B158,'C-1 Site River Baseline'!$C$10:$AA$257,19,FALSE))</f>
        <v/>
      </c>
      <c r="R158" s="171" t="str">
        <f>IF(N158="","",VLOOKUP(N158,'G-7 Rivers Data'!$B$2:$G$8,2,FALSE))</f>
        <v/>
      </c>
      <c r="S158" s="172" t="str">
        <f>IFERROR(VLOOKUP(R158,'G-7 Rivers Data'!$C$4:$D$8,2,FALSE),"")</f>
        <v/>
      </c>
      <c r="T158" s="173"/>
      <c r="U158" s="172" t="str">
        <f>IFERROR(INDEX('G-7 Rivers Data'!$H$4:$L$8,MATCH(N158,'G-7 Rivers Data'!$B$4:$B$8,0),MATCH(T158,'G-7 Rivers Data'!$H$3:$L$3,0)),"")</f>
        <v/>
      </c>
      <c r="V158" s="186"/>
      <c r="W158" s="175" t="str">
        <f>IF(V158="","",IF(VLOOKUP(V158,'G-7 Rivers Data'!$AG$4:$AI$9,2,FALSE)=0,"Spatial Data Missing",VLOOKUP(V158,'G-7 Rivers Data'!$AG$4:$AI$9,2,FALSE)))</f>
        <v/>
      </c>
      <c r="X158" s="176" t="str">
        <f>IF(V158="","",IF(VLOOKUP(V158,'G-7 Rivers Data'!$AG$4:$AI$9,3,FALSE)=0,"Spatial Data Missing",VLOOKUP(V158,'G-7 Rivers Data'!$AG$4:$AI$9,3,FALSE)))</f>
        <v/>
      </c>
      <c r="Y158" s="171" t="str">
        <f>IFERROR(IF(OR(LEFT(P158,5)="Error",LEFT(O158,5)="Error"),"Check Data",IF(F158&lt;S158,'G-7 Rivers Data'!$R$3,INDEX('G-7 Rivers Data'!$U$5:$Y$9,MATCH(G158,'G-7 Rivers Data'!$T$5:$T$9,0),MATCH(T158,'G-7 Rivers Data'!$U$4:$Y$4,0)))),"")</f>
        <v/>
      </c>
      <c r="Z158" s="261"/>
      <c r="AA158" s="261"/>
      <c r="AB158" s="179" t="str">
        <f t="shared" si="19"/>
        <v/>
      </c>
      <c r="AC158" s="262" t="str">
        <f t="shared" si="20"/>
        <v/>
      </c>
      <c r="AD158" s="382" t="str">
        <f>IFERROR(IF(AC158="Check Data","Check Data",VLOOKUP(AC158,'G-4 Temporal multipliers'!$A$4:$C$37,3,FALSE)),"")</f>
        <v/>
      </c>
      <c r="AE158" s="171" t="str">
        <f>IF(N158="","",VLOOKUP(N158,'G-7 Rivers Data'!$B$4:$G$8,5,FALSE))</f>
        <v/>
      </c>
      <c r="AF158" s="179" t="str">
        <f t="shared" si="21"/>
        <v/>
      </c>
      <c r="AG158" s="269" t="str">
        <f t="shared" si="22"/>
        <v/>
      </c>
      <c r="AH158" s="172" t="str">
        <f t="shared" si="16"/>
        <v/>
      </c>
      <c r="AI158" s="173"/>
      <c r="AJ158" s="172" t="str">
        <f>IF(AI158="","",IF(VLOOKUP(AI158,'G-7 Rivers Data'!$AA$4:$AB$7,2,FALSE)=0,"Spatial Data Missing",VLOOKUP(AI158,'G-7 Rivers Data'!$AA$4:$AB$7,2,FALSE)))</f>
        <v/>
      </c>
      <c r="AK158" s="187"/>
      <c r="AL158" s="172" t="str">
        <f>IF(AK158="","",IF(VLOOKUP(AK158,'G-7 Rivers Data'!$AD$4:$AE$8,2,FALSE)=0,"Spatial Data Missing",VLOOKUP(AK158,'G-7 Rivers Data'!$AD$4:$AE$8,2,FALSE)))</f>
        <v/>
      </c>
      <c r="AM158" s="265" t="str">
        <f t="shared" si="23"/>
        <v/>
      </c>
      <c r="AN158" s="180"/>
      <c r="AO158" s="181"/>
      <c r="AV158" s="35" t="str">
        <f>IFERROR(INDEX('G-7 Rivers Data'!$AZ$3:$AZ$7,MATCH(N158,'G-7 Rivers Data'!$AY$3:$AY$7,0)),"")</f>
        <v/>
      </c>
    </row>
    <row r="159" spans="2:48" ht="13.8" x14ac:dyDescent="0.25">
      <c r="B159" s="259" t="str">
        <f>'C-1 Site River Baseline'!AN157</f>
        <v/>
      </c>
      <c r="C159" s="175" t="str">
        <f>IF(B159="","",VLOOKUP($B159,'C-1 Site River Baseline'!$C$9:$R$257,2,FALSE))</f>
        <v/>
      </c>
      <c r="D159" s="175" t="str">
        <f>IF(C159="","",VLOOKUP($B159,'C-1 Site River Baseline'!$C$9:$R$257,3,FALSE))</f>
        <v/>
      </c>
      <c r="E159" s="175" t="str">
        <f>IF(D159="","",VLOOKUP($B159,'C-1 Site River Baseline'!$C$9:$R$257,4,FALSE))</f>
        <v/>
      </c>
      <c r="F159" s="175" t="str">
        <f>IF(E159="","",VLOOKUP($B159,'C-1 Site River Baseline'!$C$9:$R$257,5,FALSE))</f>
        <v/>
      </c>
      <c r="G159" s="175" t="str">
        <f>IF(F159="","",VLOOKUP($B159,'C-1 Site River Baseline'!$C$9:$R$257,6,FALSE))</f>
        <v/>
      </c>
      <c r="H159" s="175" t="str">
        <f>IF(G159="","",VLOOKUP($B159,'C-1 Site River Baseline'!$C$9:$R$257,7,FALSE))</f>
        <v/>
      </c>
      <c r="I159" s="175" t="str">
        <f>IF(H159="","",VLOOKUP($B159,'C-1 Site River Baseline'!$C$9:$R$257,8,FALSE))</f>
        <v/>
      </c>
      <c r="J159" s="175" t="str">
        <f>IF(I159="","",VLOOKUP($B159,'C-1 Site River Baseline'!$C$9:$R$257,9,FALSE))</f>
        <v/>
      </c>
      <c r="K159" s="175" t="str">
        <f>IF(J159="","",VLOOKUP($B159,'C-1 Site River Baseline'!$C$9:$R$257,10,FALSE))</f>
        <v/>
      </c>
      <c r="L159" s="175" t="str">
        <f>IF(B159="","",VLOOKUP($B159,'C-1 Site River Baseline'!$C$9:$R$257,15,FALSE))</f>
        <v/>
      </c>
      <c r="M159" s="176" t="str">
        <f>IF(L159="","",VLOOKUP($B159,'C-1 Site River Baseline'!$C$9:$R$257,16,FALSE))</f>
        <v/>
      </c>
      <c r="N159" s="639" t="str">
        <f t="shared" si="17"/>
        <v/>
      </c>
      <c r="O159" s="239" t="str">
        <f t="shared" si="18"/>
        <v/>
      </c>
      <c r="P159" s="172" t="str">
        <f>IF(C159="","",IF(AND(LEFT(C159,55)&lt;&gt;LEFT(N159,55),O159="High - High"),"Error - Not like for like",IF(AND(F159=S159,H159&gt;U159),"Error - Can not reduce condition",IF(AND(F159=S159,H159=U159,AJ159='C-1 Site River Baseline'!N157,'C-1 Site River Baseline'!P157=AL159),"Error - No enhancement",IF(AND(C159&lt;&gt;N159,F159&lt;S159),"Lower Distinctiveness Habitat"&amp;" - "&amp;T159,G159&amp;" - "&amp;T159)))))</f>
        <v/>
      </c>
      <c r="Q159" s="660" t="str">
        <f>IF(N159="","",VLOOKUP(B159,'C-1 Site River Baseline'!$C$10:$AA$257,19,FALSE))</f>
        <v/>
      </c>
      <c r="R159" s="171" t="str">
        <f>IF(N159="","",VLOOKUP(N159,'G-7 Rivers Data'!$B$2:$G$8,2,FALSE))</f>
        <v/>
      </c>
      <c r="S159" s="172" t="str">
        <f>IFERROR(VLOOKUP(R159,'G-7 Rivers Data'!$C$4:$D$8,2,FALSE),"")</f>
        <v/>
      </c>
      <c r="T159" s="173"/>
      <c r="U159" s="172" t="str">
        <f>IFERROR(INDEX('G-7 Rivers Data'!$H$4:$L$8,MATCH(N159,'G-7 Rivers Data'!$B$4:$B$8,0),MATCH(T159,'G-7 Rivers Data'!$H$3:$L$3,0)),"")</f>
        <v/>
      </c>
      <c r="V159" s="186"/>
      <c r="W159" s="175" t="str">
        <f>IF(V159="","",IF(VLOOKUP(V159,'G-7 Rivers Data'!$AG$4:$AI$9,2,FALSE)=0,"Spatial Data Missing",VLOOKUP(V159,'G-7 Rivers Data'!$AG$4:$AI$9,2,FALSE)))</f>
        <v/>
      </c>
      <c r="X159" s="176" t="str">
        <f>IF(V159="","",IF(VLOOKUP(V159,'G-7 Rivers Data'!$AG$4:$AI$9,3,FALSE)=0,"Spatial Data Missing",VLOOKUP(V159,'G-7 Rivers Data'!$AG$4:$AI$9,3,FALSE)))</f>
        <v/>
      </c>
      <c r="Y159" s="171" t="str">
        <f>IFERROR(IF(OR(LEFT(P159,5)="Error",LEFT(O159,5)="Error"),"Check Data",IF(F159&lt;S159,'G-7 Rivers Data'!$R$3,INDEX('G-7 Rivers Data'!$U$5:$Y$9,MATCH(G159,'G-7 Rivers Data'!$T$5:$T$9,0),MATCH(T159,'G-7 Rivers Data'!$U$4:$Y$4,0)))),"")</f>
        <v/>
      </c>
      <c r="Z159" s="261"/>
      <c r="AA159" s="261"/>
      <c r="AB159" s="179" t="str">
        <f t="shared" si="19"/>
        <v/>
      </c>
      <c r="AC159" s="262" t="str">
        <f t="shared" si="20"/>
        <v/>
      </c>
      <c r="AD159" s="382" t="str">
        <f>IFERROR(IF(AC159="Check Data","Check Data",VLOOKUP(AC159,'G-4 Temporal multipliers'!$A$4:$C$37,3,FALSE)),"")</f>
        <v/>
      </c>
      <c r="AE159" s="171" t="str">
        <f>IF(N159="","",VLOOKUP(N159,'G-7 Rivers Data'!$B$4:$G$8,5,FALSE))</f>
        <v/>
      </c>
      <c r="AF159" s="179" t="str">
        <f t="shared" si="21"/>
        <v/>
      </c>
      <c r="AG159" s="269" t="str">
        <f t="shared" si="22"/>
        <v/>
      </c>
      <c r="AH159" s="172" t="str">
        <f t="shared" si="16"/>
        <v/>
      </c>
      <c r="AI159" s="173"/>
      <c r="AJ159" s="172" t="str">
        <f>IF(AI159="","",IF(VLOOKUP(AI159,'G-7 Rivers Data'!$AA$4:$AB$7,2,FALSE)=0,"Spatial Data Missing",VLOOKUP(AI159,'G-7 Rivers Data'!$AA$4:$AB$7,2,FALSE)))</f>
        <v/>
      </c>
      <c r="AK159" s="187"/>
      <c r="AL159" s="172" t="str">
        <f>IF(AK159="","",IF(VLOOKUP(AK159,'G-7 Rivers Data'!$AD$4:$AE$8,2,FALSE)=0,"Spatial Data Missing",VLOOKUP(AK159,'G-7 Rivers Data'!$AD$4:$AE$8,2,FALSE)))</f>
        <v/>
      </c>
      <c r="AM159" s="265" t="str">
        <f t="shared" si="23"/>
        <v/>
      </c>
      <c r="AN159" s="180"/>
      <c r="AO159" s="181"/>
      <c r="AV159" s="35" t="str">
        <f>IFERROR(INDEX('G-7 Rivers Data'!$AZ$3:$AZ$7,MATCH(N159,'G-7 Rivers Data'!$AY$3:$AY$7,0)),"")</f>
        <v/>
      </c>
    </row>
    <row r="160" spans="2:48" ht="13.8" x14ac:dyDescent="0.25">
      <c r="B160" s="259" t="str">
        <f>'C-1 Site River Baseline'!AN158</f>
        <v/>
      </c>
      <c r="C160" s="175" t="str">
        <f>IF(B160="","",VLOOKUP($B160,'C-1 Site River Baseline'!$C$9:$R$257,2,FALSE))</f>
        <v/>
      </c>
      <c r="D160" s="175" t="str">
        <f>IF(C160="","",VLOOKUP($B160,'C-1 Site River Baseline'!$C$9:$R$257,3,FALSE))</f>
        <v/>
      </c>
      <c r="E160" s="175" t="str">
        <f>IF(D160="","",VLOOKUP($B160,'C-1 Site River Baseline'!$C$9:$R$257,4,FALSE))</f>
        <v/>
      </c>
      <c r="F160" s="175" t="str">
        <f>IF(E160="","",VLOOKUP($B160,'C-1 Site River Baseline'!$C$9:$R$257,5,FALSE))</f>
        <v/>
      </c>
      <c r="G160" s="175" t="str">
        <f>IF(F160="","",VLOOKUP($B160,'C-1 Site River Baseline'!$C$9:$R$257,6,FALSE))</f>
        <v/>
      </c>
      <c r="H160" s="175" t="str">
        <f>IF(G160="","",VLOOKUP($B160,'C-1 Site River Baseline'!$C$9:$R$257,7,FALSE))</f>
        <v/>
      </c>
      <c r="I160" s="175" t="str">
        <f>IF(H160="","",VLOOKUP($B160,'C-1 Site River Baseline'!$C$9:$R$257,8,FALSE))</f>
        <v/>
      </c>
      <c r="J160" s="175" t="str">
        <f>IF(I160="","",VLOOKUP($B160,'C-1 Site River Baseline'!$C$9:$R$257,9,FALSE))</f>
        <v/>
      </c>
      <c r="K160" s="175" t="str">
        <f>IF(J160="","",VLOOKUP($B160,'C-1 Site River Baseline'!$C$9:$R$257,10,FALSE))</f>
        <v/>
      </c>
      <c r="L160" s="175" t="str">
        <f>IF(B160="","",VLOOKUP($B160,'C-1 Site River Baseline'!$C$9:$R$257,15,FALSE))</f>
        <v/>
      </c>
      <c r="M160" s="176" t="str">
        <f>IF(L160="","",VLOOKUP($B160,'C-1 Site River Baseline'!$C$9:$R$257,16,FALSE))</f>
        <v/>
      </c>
      <c r="N160" s="639" t="str">
        <f t="shared" si="17"/>
        <v/>
      </c>
      <c r="O160" s="239" t="str">
        <f t="shared" si="18"/>
        <v/>
      </c>
      <c r="P160" s="172" t="str">
        <f>IF(C160="","",IF(AND(LEFT(C160,55)&lt;&gt;LEFT(N160,55),O160="High - High"),"Error - Not like for like",IF(AND(F160=S160,H160&gt;U160),"Error - Can not reduce condition",IF(AND(F160=S160,H160=U160,AJ160='C-1 Site River Baseline'!N158,'C-1 Site River Baseline'!P158=AL160),"Error - No enhancement",IF(AND(C160&lt;&gt;N160,F160&lt;S160),"Lower Distinctiveness Habitat"&amp;" - "&amp;T160,G160&amp;" - "&amp;T160)))))</f>
        <v/>
      </c>
      <c r="Q160" s="660" t="str">
        <f>IF(N160="","",VLOOKUP(B160,'C-1 Site River Baseline'!$C$10:$AA$257,19,FALSE))</f>
        <v/>
      </c>
      <c r="R160" s="171" t="str">
        <f>IF(N160="","",VLOOKUP(N160,'G-7 Rivers Data'!$B$2:$G$8,2,FALSE))</f>
        <v/>
      </c>
      <c r="S160" s="172" t="str">
        <f>IFERROR(VLOOKUP(R160,'G-7 Rivers Data'!$C$4:$D$8,2,FALSE),"")</f>
        <v/>
      </c>
      <c r="T160" s="173"/>
      <c r="U160" s="172" t="str">
        <f>IFERROR(INDEX('G-7 Rivers Data'!$H$4:$L$8,MATCH(N160,'G-7 Rivers Data'!$B$4:$B$8,0),MATCH(T160,'G-7 Rivers Data'!$H$3:$L$3,0)),"")</f>
        <v/>
      </c>
      <c r="V160" s="186"/>
      <c r="W160" s="175" t="str">
        <f>IF(V160="","",IF(VLOOKUP(V160,'G-7 Rivers Data'!$AG$4:$AI$9,2,FALSE)=0,"Spatial Data Missing",VLOOKUP(V160,'G-7 Rivers Data'!$AG$4:$AI$9,2,FALSE)))</f>
        <v/>
      </c>
      <c r="X160" s="176" t="str">
        <f>IF(V160="","",IF(VLOOKUP(V160,'G-7 Rivers Data'!$AG$4:$AI$9,3,FALSE)=0,"Spatial Data Missing",VLOOKUP(V160,'G-7 Rivers Data'!$AG$4:$AI$9,3,FALSE)))</f>
        <v/>
      </c>
      <c r="Y160" s="171" t="str">
        <f>IFERROR(IF(OR(LEFT(P160,5)="Error",LEFT(O160,5)="Error"),"Check Data",IF(F160&lt;S160,'G-7 Rivers Data'!$R$3,INDEX('G-7 Rivers Data'!$U$5:$Y$9,MATCH(G160,'G-7 Rivers Data'!$T$5:$T$9,0),MATCH(T160,'G-7 Rivers Data'!$U$4:$Y$4,0)))),"")</f>
        <v/>
      </c>
      <c r="Z160" s="261"/>
      <c r="AA160" s="261"/>
      <c r="AB160" s="179" t="str">
        <f t="shared" si="19"/>
        <v/>
      </c>
      <c r="AC160" s="262" t="str">
        <f t="shared" si="20"/>
        <v/>
      </c>
      <c r="AD160" s="382" t="str">
        <f>IFERROR(IF(AC160="Check Data","Check Data",VLOOKUP(AC160,'G-4 Temporal multipliers'!$A$4:$C$37,3,FALSE)),"")</f>
        <v/>
      </c>
      <c r="AE160" s="171" t="str">
        <f>IF(N160="","",VLOOKUP(N160,'G-7 Rivers Data'!$B$4:$G$8,5,FALSE))</f>
        <v/>
      </c>
      <c r="AF160" s="179" t="str">
        <f t="shared" si="21"/>
        <v/>
      </c>
      <c r="AG160" s="269" t="str">
        <f t="shared" si="22"/>
        <v/>
      </c>
      <c r="AH160" s="172" t="str">
        <f t="shared" si="16"/>
        <v/>
      </c>
      <c r="AI160" s="173"/>
      <c r="AJ160" s="172" t="str">
        <f>IF(AI160="","",IF(VLOOKUP(AI160,'G-7 Rivers Data'!$AA$4:$AB$7,2,FALSE)=0,"Spatial Data Missing",VLOOKUP(AI160,'G-7 Rivers Data'!$AA$4:$AB$7,2,FALSE)))</f>
        <v/>
      </c>
      <c r="AK160" s="187"/>
      <c r="AL160" s="172" t="str">
        <f>IF(AK160="","",IF(VLOOKUP(AK160,'G-7 Rivers Data'!$AD$4:$AE$8,2,FALSE)=0,"Spatial Data Missing",VLOOKUP(AK160,'G-7 Rivers Data'!$AD$4:$AE$8,2,FALSE)))</f>
        <v/>
      </c>
      <c r="AM160" s="265" t="str">
        <f t="shared" si="23"/>
        <v/>
      </c>
      <c r="AN160" s="180"/>
      <c r="AO160" s="181"/>
      <c r="AV160" s="35" t="str">
        <f>IFERROR(INDEX('G-7 Rivers Data'!$AZ$3:$AZ$7,MATCH(N160,'G-7 Rivers Data'!$AY$3:$AY$7,0)),"")</f>
        <v/>
      </c>
    </row>
    <row r="161" spans="2:48" ht="13.8" x14ac:dyDescent="0.25">
      <c r="B161" s="259" t="str">
        <f>'C-1 Site River Baseline'!AN159</f>
        <v/>
      </c>
      <c r="C161" s="175" t="str">
        <f>IF(B161="","",VLOOKUP($B161,'C-1 Site River Baseline'!$C$9:$R$257,2,FALSE))</f>
        <v/>
      </c>
      <c r="D161" s="175" t="str">
        <f>IF(C161="","",VLOOKUP($B161,'C-1 Site River Baseline'!$C$9:$R$257,3,FALSE))</f>
        <v/>
      </c>
      <c r="E161" s="175" t="str">
        <f>IF(D161="","",VLOOKUP($B161,'C-1 Site River Baseline'!$C$9:$R$257,4,FALSE))</f>
        <v/>
      </c>
      <c r="F161" s="175" t="str">
        <f>IF(E161="","",VLOOKUP($B161,'C-1 Site River Baseline'!$C$9:$R$257,5,FALSE))</f>
        <v/>
      </c>
      <c r="G161" s="175" t="str">
        <f>IF(F161="","",VLOOKUP($B161,'C-1 Site River Baseline'!$C$9:$R$257,6,FALSE))</f>
        <v/>
      </c>
      <c r="H161" s="175" t="str">
        <f>IF(G161="","",VLOOKUP($B161,'C-1 Site River Baseline'!$C$9:$R$257,7,FALSE))</f>
        <v/>
      </c>
      <c r="I161" s="175" t="str">
        <f>IF(H161="","",VLOOKUP($B161,'C-1 Site River Baseline'!$C$9:$R$257,8,FALSE))</f>
        <v/>
      </c>
      <c r="J161" s="175" t="str">
        <f>IF(I161="","",VLOOKUP($B161,'C-1 Site River Baseline'!$C$9:$R$257,9,FALSE))</f>
        <v/>
      </c>
      <c r="K161" s="175" t="str">
        <f>IF(J161="","",VLOOKUP($B161,'C-1 Site River Baseline'!$C$9:$R$257,10,FALSE))</f>
        <v/>
      </c>
      <c r="L161" s="175" t="str">
        <f>IF(B161="","",VLOOKUP($B161,'C-1 Site River Baseline'!$C$9:$R$257,15,FALSE))</f>
        <v/>
      </c>
      <c r="M161" s="176" t="str">
        <f>IF(L161="","",VLOOKUP($B161,'C-1 Site River Baseline'!$C$9:$R$257,16,FALSE))</f>
        <v/>
      </c>
      <c r="N161" s="639" t="str">
        <f t="shared" si="17"/>
        <v/>
      </c>
      <c r="O161" s="239" t="str">
        <f t="shared" si="18"/>
        <v/>
      </c>
      <c r="P161" s="172" t="str">
        <f>IF(C161="","",IF(AND(LEFT(C161,55)&lt;&gt;LEFT(N161,55),O161="High - High"),"Error - Not like for like",IF(AND(F161=S161,H161&gt;U161),"Error - Can not reduce condition",IF(AND(F161=S161,H161=U161,AJ161='C-1 Site River Baseline'!N159,'C-1 Site River Baseline'!P159=AL161),"Error - No enhancement",IF(AND(C161&lt;&gt;N161,F161&lt;S161),"Lower Distinctiveness Habitat"&amp;" - "&amp;T161,G161&amp;" - "&amp;T161)))))</f>
        <v/>
      </c>
      <c r="Q161" s="660" t="str">
        <f>IF(N161="","",VLOOKUP(B161,'C-1 Site River Baseline'!$C$10:$AA$257,19,FALSE))</f>
        <v/>
      </c>
      <c r="R161" s="171" t="str">
        <f>IF(N161="","",VLOOKUP(N161,'G-7 Rivers Data'!$B$2:$G$8,2,FALSE))</f>
        <v/>
      </c>
      <c r="S161" s="172" t="str">
        <f>IFERROR(VLOOKUP(R161,'G-7 Rivers Data'!$C$4:$D$8,2,FALSE),"")</f>
        <v/>
      </c>
      <c r="T161" s="173"/>
      <c r="U161" s="172" t="str">
        <f>IFERROR(INDEX('G-7 Rivers Data'!$H$4:$L$8,MATCH(N161,'G-7 Rivers Data'!$B$4:$B$8,0),MATCH(T161,'G-7 Rivers Data'!$H$3:$L$3,0)),"")</f>
        <v/>
      </c>
      <c r="V161" s="186"/>
      <c r="W161" s="175" t="str">
        <f>IF(V161="","",IF(VLOOKUP(V161,'G-7 Rivers Data'!$AG$4:$AI$9,2,FALSE)=0,"Spatial Data Missing",VLOOKUP(V161,'G-7 Rivers Data'!$AG$4:$AI$9,2,FALSE)))</f>
        <v/>
      </c>
      <c r="X161" s="176" t="str">
        <f>IF(V161="","",IF(VLOOKUP(V161,'G-7 Rivers Data'!$AG$4:$AI$9,3,FALSE)=0,"Spatial Data Missing",VLOOKUP(V161,'G-7 Rivers Data'!$AG$4:$AI$9,3,FALSE)))</f>
        <v/>
      </c>
      <c r="Y161" s="171" t="str">
        <f>IFERROR(IF(OR(LEFT(P161,5)="Error",LEFT(O161,5)="Error"),"Check Data",IF(F161&lt;S161,'G-7 Rivers Data'!$R$3,INDEX('G-7 Rivers Data'!$U$5:$Y$9,MATCH(G161,'G-7 Rivers Data'!$T$5:$T$9,0),MATCH(T161,'G-7 Rivers Data'!$U$4:$Y$4,0)))),"")</f>
        <v/>
      </c>
      <c r="Z161" s="261"/>
      <c r="AA161" s="261"/>
      <c r="AB161" s="179" t="str">
        <f t="shared" si="19"/>
        <v/>
      </c>
      <c r="AC161" s="262" t="str">
        <f t="shared" si="20"/>
        <v/>
      </c>
      <c r="AD161" s="382" t="str">
        <f>IFERROR(IF(AC161="Check Data","Check Data",VLOOKUP(AC161,'G-4 Temporal multipliers'!$A$4:$C$37,3,FALSE)),"")</f>
        <v/>
      </c>
      <c r="AE161" s="171" t="str">
        <f>IF(N161="","",VLOOKUP(N161,'G-7 Rivers Data'!$B$4:$G$8,5,FALSE))</f>
        <v/>
      </c>
      <c r="AF161" s="179" t="str">
        <f t="shared" si="21"/>
        <v/>
      </c>
      <c r="AG161" s="269" t="str">
        <f t="shared" si="22"/>
        <v/>
      </c>
      <c r="AH161" s="172" t="str">
        <f t="shared" si="16"/>
        <v/>
      </c>
      <c r="AI161" s="173"/>
      <c r="AJ161" s="172" t="str">
        <f>IF(AI161="","",IF(VLOOKUP(AI161,'G-7 Rivers Data'!$AA$4:$AB$7,2,FALSE)=0,"Spatial Data Missing",VLOOKUP(AI161,'G-7 Rivers Data'!$AA$4:$AB$7,2,FALSE)))</f>
        <v/>
      </c>
      <c r="AK161" s="187"/>
      <c r="AL161" s="172" t="str">
        <f>IF(AK161="","",IF(VLOOKUP(AK161,'G-7 Rivers Data'!$AD$4:$AE$8,2,FALSE)=0,"Spatial Data Missing",VLOOKUP(AK161,'G-7 Rivers Data'!$AD$4:$AE$8,2,FALSE)))</f>
        <v/>
      </c>
      <c r="AM161" s="265" t="str">
        <f t="shared" si="23"/>
        <v/>
      </c>
      <c r="AN161" s="180"/>
      <c r="AO161" s="181"/>
      <c r="AV161" s="35" t="str">
        <f>IFERROR(INDEX('G-7 Rivers Data'!$AZ$3:$AZ$7,MATCH(N161,'G-7 Rivers Data'!$AY$3:$AY$7,0)),"")</f>
        <v/>
      </c>
    </row>
    <row r="162" spans="2:48" ht="13.8" x14ac:dyDescent="0.25">
      <c r="B162" s="259" t="str">
        <f>'C-1 Site River Baseline'!AN160</f>
        <v/>
      </c>
      <c r="C162" s="175" t="str">
        <f>IF(B162="","",VLOOKUP($B162,'C-1 Site River Baseline'!$C$9:$R$257,2,FALSE))</f>
        <v/>
      </c>
      <c r="D162" s="175" t="str">
        <f>IF(C162="","",VLOOKUP($B162,'C-1 Site River Baseline'!$C$9:$R$257,3,FALSE))</f>
        <v/>
      </c>
      <c r="E162" s="175" t="str">
        <f>IF(D162="","",VLOOKUP($B162,'C-1 Site River Baseline'!$C$9:$R$257,4,FALSE))</f>
        <v/>
      </c>
      <c r="F162" s="175" t="str">
        <f>IF(E162="","",VLOOKUP($B162,'C-1 Site River Baseline'!$C$9:$R$257,5,FALSE))</f>
        <v/>
      </c>
      <c r="G162" s="175" t="str">
        <f>IF(F162="","",VLOOKUP($B162,'C-1 Site River Baseline'!$C$9:$R$257,6,FALSE))</f>
        <v/>
      </c>
      <c r="H162" s="175" t="str">
        <f>IF(G162="","",VLOOKUP($B162,'C-1 Site River Baseline'!$C$9:$R$257,7,FALSE))</f>
        <v/>
      </c>
      <c r="I162" s="175" t="str">
        <f>IF(H162="","",VLOOKUP($B162,'C-1 Site River Baseline'!$C$9:$R$257,8,FALSE))</f>
        <v/>
      </c>
      <c r="J162" s="175" t="str">
        <f>IF(I162="","",VLOOKUP($B162,'C-1 Site River Baseline'!$C$9:$R$257,9,FALSE))</f>
        <v/>
      </c>
      <c r="K162" s="175" t="str">
        <f>IF(J162="","",VLOOKUP($B162,'C-1 Site River Baseline'!$C$9:$R$257,10,FALSE))</f>
        <v/>
      </c>
      <c r="L162" s="175" t="str">
        <f>IF(B162="","",VLOOKUP($B162,'C-1 Site River Baseline'!$C$9:$R$257,15,FALSE))</f>
        <v/>
      </c>
      <c r="M162" s="176" t="str">
        <f>IF(L162="","",VLOOKUP($B162,'C-1 Site River Baseline'!$C$9:$R$257,16,FALSE))</f>
        <v/>
      </c>
      <c r="N162" s="639" t="str">
        <f t="shared" si="17"/>
        <v/>
      </c>
      <c r="O162" s="239" t="str">
        <f t="shared" si="18"/>
        <v/>
      </c>
      <c r="P162" s="172" t="str">
        <f>IF(C162="","",IF(AND(LEFT(C162,55)&lt;&gt;LEFT(N162,55),O162="High - High"),"Error - Not like for like",IF(AND(F162=S162,H162&gt;U162),"Error - Can not reduce condition",IF(AND(F162=S162,H162=U162,AJ162='C-1 Site River Baseline'!N160,'C-1 Site River Baseline'!P160=AL162),"Error - No enhancement",IF(AND(C162&lt;&gt;N162,F162&lt;S162),"Lower Distinctiveness Habitat"&amp;" - "&amp;T162,G162&amp;" - "&amp;T162)))))</f>
        <v/>
      </c>
      <c r="Q162" s="660" t="str">
        <f>IF(N162="","",VLOOKUP(B162,'C-1 Site River Baseline'!$C$10:$AA$257,19,FALSE))</f>
        <v/>
      </c>
      <c r="R162" s="171" t="str">
        <f>IF(N162="","",VLOOKUP(N162,'G-7 Rivers Data'!$B$2:$G$8,2,FALSE))</f>
        <v/>
      </c>
      <c r="S162" s="172" t="str">
        <f>IFERROR(VLOOKUP(R162,'G-7 Rivers Data'!$C$4:$D$8,2,FALSE),"")</f>
        <v/>
      </c>
      <c r="T162" s="173"/>
      <c r="U162" s="172" t="str">
        <f>IFERROR(INDEX('G-7 Rivers Data'!$H$4:$L$8,MATCH(N162,'G-7 Rivers Data'!$B$4:$B$8,0),MATCH(T162,'G-7 Rivers Data'!$H$3:$L$3,0)),"")</f>
        <v/>
      </c>
      <c r="V162" s="186"/>
      <c r="W162" s="175" t="str">
        <f>IF(V162="","",IF(VLOOKUP(V162,'G-7 Rivers Data'!$AG$4:$AI$9,2,FALSE)=0,"Spatial Data Missing",VLOOKUP(V162,'G-7 Rivers Data'!$AG$4:$AI$9,2,FALSE)))</f>
        <v/>
      </c>
      <c r="X162" s="176" t="str">
        <f>IF(V162="","",IF(VLOOKUP(V162,'G-7 Rivers Data'!$AG$4:$AI$9,3,FALSE)=0,"Spatial Data Missing",VLOOKUP(V162,'G-7 Rivers Data'!$AG$4:$AI$9,3,FALSE)))</f>
        <v/>
      </c>
      <c r="Y162" s="171" t="str">
        <f>IFERROR(IF(OR(LEFT(P162,5)="Error",LEFT(O162,5)="Error"),"Check Data",IF(F162&lt;S162,'G-7 Rivers Data'!$R$3,INDEX('G-7 Rivers Data'!$U$5:$Y$9,MATCH(G162,'G-7 Rivers Data'!$T$5:$T$9,0),MATCH(T162,'G-7 Rivers Data'!$U$4:$Y$4,0)))),"")</f>
        <v/>
      </c>
      <c r="Z162" s="261"/>
      <c r="AA162" s="261"/>
      <c r="AB162" s="179" t="str">
        <f t="shared" si="19"/>
        <v/>
      </c>
      <c r="AC162" s="262" t="str">
        <f t="shared" si="20"/>
        <v/>
      </c>
      <c r="AD162" s="382" t="str">
        <f>IFERROR(IF(AC162="Check Data","Check Data",VLOOKUP(AC162,'G-4 Temporal multipliers'!$A$4:$C$37,3,FALSE)),"")</f>
        <v/>
      </c>
      <c r="AE162" s="171" t="str">
        <f>IF(N162="","",VLOOKUP(N162,'G-7 Rivers Data'!$B$4:$G$8,5,FALSE))</f>
        <v/>
      </c>
      <c r="AF162" s="179" t="str">
        <f t="shared" si="21"/>
        <v/>
      </c>
      <c r="AG162" s="269" t="str">
        <f t="shared" si="22"/>
        <v/>
      </c>
      <c r="AH162" s="172" t="str">
        <f t="shared" si="16"/>
        <v/>
      </c>
      <c r="AI162" s="173"/>
      <c r="AJ162" s="172" t="str">
        <f>IF(AI162="","",IF(VLOOKUP(AI162,'G-7 Rivers Data'!$AA$4:$AB$7,2,FALSE)=0,"Spatial Data Missing",VLOOKUP(AI162,'G-7 Rivers Data'!$AA$4:$AB$7,2,FALSE)))</f>
        <v/>
      </c>
      <c r="AK162" s="187"/>
      <c r="AL162" s="172" t="str">
        <f>IF(AK162="","",IF(VLOOKUP(AK162,'G-7 Rivers Data'!$AD$4:$AE$8,2,FALSE)=0,"Spatial Data Missing",VLOOKUP(AK162,'G-7 Rivers Data'!$AD$4:$AE$8,2,FALSE)))</f>
        <v/>
      </c>
      <c r="AM162" s="265" t="str">
        <f t="shared" si="23"/>
        <v/>
      </c>
      <c r="AN162" s="180"/>
      <c r="AO162" s="181"/>
      <c r="AV162" s="35" t="str">
        <f>IFERROR(INDEX('G-7 Rivers Data'!$AZ$3:$AZ$7,MATCH(N162,'G-7 Rivers Data'!$AY$3:$AY$7,0)),"")</f>
        <v/>
      </c>
    </row>
    <row r="163" spans="2:48" ht="13.8" x14ac:dyDescent="0.25">
      <c r="B163" s="259" t="str">
        <f>'C-1 Site River Baseline'!AN161</f>
        <v/>
      </c>
      <c r="C163" s="175" t="str">
        <f>IF(B163="","",VLOOKUP($B163,'C-1 Site River Baseline'!$C$9:$R$257,2,FALSE))</f>
        <v/>
      </c>
      <c r="D163" s="175" t="str">
        <f>IF(C163="","",VLOOKUP($B163,'C-1 Site River Baseline'!$C$9:$R$257,3,FALSE))</f>
        <v/>
      </c>
      <c r="E163" s="175" t="str">
        <f>IF(D163="","",VLOOKUP($B163,'C-1 Site River Baseline'!$C$9:$R$257,4,FALSE))</f>
        <v/>
      </c>
      <c r="F163" s="175" t="str">
        <f>IF(E163="","",VLOOKUP($B163,'C-1 Site River Baseline'!$C$9:$R$257,5,FALSE))</f>
        <v/>
      </c>
      <c r="G163" s="175" t="str">
        <f>IF(F163="","",VLOOKUP($B163,'C-1 Site River Baseline'!$C$9:$R$257,6,FALSE))</f>
        <v/>
      </c>
      <c r="H163" s="175" t="str">
        <f>IF(G163="","",VLOOKUP($B163,'C-1 Site River Baseline'!$C$9:$R$257,7,FALSE))</f>
        <v/>
      </c>
      <c r="I163" s="175" t="str">
        <f>IF(H163="","",VLOOKUP($B163,'C-1 Site River Baseline'!$C$9:$R$257,8,FALSE))</f>
        <v/>
      </c>
      <c r="J163" s="175" t="str">
        <f>IF(I163="","",VLOOKUP($B163,'C-1 Site River Baseline'!$C$9:$R$257,9,FALSE))</f>
        <v/>
      </c>
      <c r="K163" s="175" t="str">
        <f>IF(J163="","",VLOOKUP($B163,'C-1 Site River Baseline'!$C$9:$R$257,10,FALSE))</f>
        <v/>
      </c>
      <c r="L163" s="175" t="str">
        <f>IF(B163="","",VLOOKUP($B163,'C-1 Site River Baseline'!$C$9:$R$257,15,FALSE))</f>
        <v/>
      </c>
      <c r="M163" s="176" t="str">
        <f>IF(L163="","",VLOOKUP($B163,'C-1 Site River Baseline'!$C$9:$R$257,16,FALSE))</f>
        <v/>
      </c>
      <c r="N163" s="639" t="str">
        <f t="shared" si="17"/>
        <v/>
      </c>
      <c r="O163" s="239" t="str">
        <f t="shared" si="18"/>
        <v/>
      </c>
      <c r="P163" s="172" t="str">
        <f>IF(C163="","",IF(AND(LEFT(C163,55)&lt;&gt;LEFT(N163,55),O163="High - High"),"Error - Not like for like",IF(AND(F163=S163,H163&gt;U163),"Error - Can not reduce condition",IF(AND(F163=S163,H163=U163,AJ163='C-1 Site River Baseline'!N161,'C-1 Site River Baseline'!P161=AL163),"Error - No enhancement",IF(AND(C163&lt;&gt;N163,F163&lt;S163),"Lower Distinctiveness Habitat"&amp;" - "&amp;T163,G163&amp;" - "&amp;T163)))))</f>
        <v/>
      </c>
      <c r="Q163" s="660" t="str">
        <f>IF(N163="","",VLOOKUP(B163,'C-1 Site River Baseline'!$C$10:$AA$257,19,FALSE))</f>
        <v/>
      </c>
      <c r="R163" s="171" t="str">
        <f>IF(N163="","",VLOOKUP(N163,'G-7 Rivers Data'!$B$2:$G$8,2,FALSE))</f>
        <v/>
      </c>
      <c r="S163" s="172" t="str">
        <f>IFERROR(VLOOKUP(R163,'G-7 Rivers Data'!$C$4:$D$8,2,FALSE),"")</f>
        <v/>
      </c>
      <c r="T163" s="173"/>
      <c r="U163" s="172" t="str">
        <f>IFERROR(INDEX('G-7 Rivers Data'!$H$4:$L$8,MATCH(N163,'G-7 Rivers Data'!$B$4:$B$8,0),MATCH(T163,'G-7 Rivers Data'!$H$3:$L$3,0)),"")</f>
        <v/>
      </c>
      <c r="V163" s="186"/>
      <c r="W163" s="175" t="str">
        <f>IF(V163="","",IF(VLOOKUP(V163,'G-7 Rivers Data'!$AG$4:$AI$9,2,FALSE)=0,"Spatial Data Missing",VLOOKUP(V163,'G-7 Rivers Data'!$AG$4:$AI$9,2,FALSE)))</f>
        <v/>
      </c>
      <c r="X163" s="176" t="str">
        <f>IF(V163="","",IF(VLOOKUP(V163,'G-7 Rivers Data'!$AG$4:$AI$9,3,FALSE)=0,"Spatial Data Missing",VLOOKUP(V163,'G-7 Rivers Data'!$AG$4:$AI$9,3,FALSE)))</f>
        <v/>
      </c>
      <c r="Y163" s="171" t="str">
        <f>IFERROR(IF(OR(LEFT(P163,5)="Error",LEFT(O163,5)="Error"),"Check Data",IF(F163&lt;S163,'G-7 Rivers Data'!$R$3,INDEX('G-7 Rivers Data'!$U$5:$Y$9,MATCH(G163,'G-7 Rivers Data'!$T$5:$T$9,0),MATCH(T163,'G-7 Rivers Data'!$U$4:$Y$4,0)))),"")</f>
        <v/>
      </c>
      <c r="Z163" s="261"/>
      <c r="AA163" s="261"/>
      <c r="AB163" s="179" t="str">
        <f t="shared" si="19"/>
        <v/>
      </c>
      <c r="AC163" s="262" t="str">
        <f t="shared" si="20"/>
        <v/>
      </c>
      <c r="AD163" s="382" t="str">
        <f>IFERROR(IF(AC163="Check Data","Check Data",VLOOKUP(AC163,'G-4 Temporal multipliers'!$A$4:$C$37,3,FALSE)),"")</f>
        <v/>
      </c>
      <c r="AE163" s="171" t="str">
        <f>IF(N163="","",VLOOKUP(N163,'G-7 Rivers Data'!$B$4:$G$8,5,FALSE))</f>
        <v/>
      </c>
      <c r="AF163" s="179" t="str">
        <f t="shared" si="21"/>
        <v/>
      </c>
      <c r="AG163" s="269" t="str">
        <f t="shared" si="22"/>
        <v/>
      </c>
      <c r="AH163" s="172" t="str">
        <f t="shared" si="16"/>
        <v/>
      </c>
      <c r="AI163" s="173"/>
      <c r="AJ163" s="172" t="str">
        <f>IF(AI163="","",IF(VLOOKUP(AI163,'G-7 Rivers Data'!$AA$4:$AB$7,2,FALSE)=0,"Spatial Data Missing",VLOOKUP(AI163,'G-7 Rivers Data'!$AA$4:$AB$7,2,FALSE)))</f>
        <v/>
      </c>
      <c r="AK163" s="187"/>
      <c r="AL163" s="172" t="str">
        <f>IF(AK163="","",IF(VLOOKUP(AK163,'G-7 Rivers Data'!$AD$4:$AE$8,2,FALSE)=0,"Spatial Data Missing",VLOOKUP(AK163,'G-7 Rivers Data'!$AD$4:$AE$8,2,FALSE)))</f>
        <v/>
      </c>
      <c r="AM163" s="265" t="str">
        <f t="shared" si="23"/>
        <v/>
      </c>
      <c r="AN163" s="180"/>
      <c r="AO163" s="181"/>
      <c r="AV163" s="35" t="str">
        <f>IFERROR(INDEX('G-7 Rivers Data'!$AZ$3:$AZ$7,MATCH(N163,'G-7 Rivers Data'!$AY$3:$AY$7,0)),"")</f>
        <v/>
      </c>
    </row>
    <row r="164" spans="2:48" ht="13.8" x14ac:dyDescent="0.25">
      <c r="B164" s="259" t="str">
        <f>'C-1 Site River Baseline'!AN162</f>
        <v/>
      </c>
      <c r="C164" s="175" t="str">
        <f>IF(B164="","",VLOOKUP($B164,'C-1 Site River Baseline'!$C$9:$R$257,2,FALSE))</f>
        <v/>
      </c>
      <c r="D164" s="175" t="str">
        <f>IF(C164="","",VLOOKUP($B164,'C-1 Site River Baseline'!$C$9:$R$257,3,FALSE))</f>
        <v/>
      </c>
      <c r="E164" s="175" t="str">
        <f>IF(D164="","",VLOOKUP($B164,'C-1 Site River Baseline'!$C$9:$R$257,4,FALSE))</f>
        <v/>
      </c>
      <c r="F164" s="175" t="str">
        <f>IF(E164="","",VLOOKUP($B164,'C-1 Site River Baseline'!$C$9:$R$257,5,FALSE))</f>
        <v/>
      </c>
      <c r="G164" s="175" t="str">
        <f>IF(F164="","",VLOOKUP($B164,'C-1 Site River Baseline'!$C$9:$R$257,6,FALSE))</f>
        <v/>
      </c>
      <c r="H164" s="175" t="str">
        <f>IF(G164="","",VLOOKUP($B164,'C-1 Site River Baseline'!$C$9:$R$257,7,FALSE))</f>
        <v/>
      </c>
      <c r="I164" s="175" t="str">
        <f>IF(H164="","",VLOOKUP($B164,'C-1 Site River Baseline'!$C$9:$R$257,8,FALSE))</f>
        <v/>
      </c>
      <c r="J164" s="175" t="str">
        <f>IF(I164="","",VLOOKUP($B164,'C-1 Site River Baseline'!$C$9:$R$257,9,FALSE))</f>
        <v/>
      </c>
      <c r="K164" s="175" t="str">
        <f>IF(J164="","",VLOOKUP($B164,'C-1 Site River Baseline'!$C$9:$R$257,10,FALSE))</f>
        <v/>
      </c>
      <c r="L164" s="175" t="str">
        <f>IF(B164="","",VLOOKUP($B164,'C-1 Site River Baseline'!$C$9:$R$257,15,FALSE))</f>
        <v/>
      </c>
      <c r="M164" s="176" t="str">
        <f>IF(L164="","",VLOOKUP($B164,'C-1 Site River Baseline'!$C$9:$R$257,16,FALSE))</f>
        <v/>
      </c>
      <c r="N164" s="639" t="str">
        <f t="shared" si="17"/>
        <v/>
      </c>
      <c r="O164" s="239" t="str">
        <f t="shared" si="18"/>
        <v/>
      </c>
      <c r="P164" s="172" t="str">
        <f>IF(C164="","",IF(AND(LEFT(C164,55)&lt;&gt;LEFT(N164,55),O164="High - High"),"Error - Not like for like",IF(AND(F164=S164,H164&gt;U164),"Error - Can not reduce condition",IF(AND(F164=S164,H164=U164,AJ164='C-1 Site River Baseline'!N162,'C-1 Site River Baseline'!P162=AL164),"Error - No enhancement",IF(AND(C164&lt;&gt;N164,F164&lt;S164),"Lower Distinctiveness Habitat"&amp;" - "&amp;T164,G164&amp;" - "&amp;T164)))))</f>
        <v/>
      </c>
      <c r="Q164" s="660" t="str">
        <f>IF(N164="","",VLOOKUP(B164,'C-1 Site River Baseline'!$C$10:$AA$257,19,FALSE))</f>
        <v/>
      </c>
      <c r="R164" s="171" t="str">
        <f>IF(N164="","",VLOOKUP(N164,'G-7 Rivers Data'!$B$2:$G$8,2,FALSE))</f>
        <v/>
      </c>
      <c r="S164" s="172" t="str">
        <f>IFERROR(VLOOKUP(R164,'G-7 Rivers Data'!$C$4:$D$8,2,FALSE),"")</f>
        <v/>
      </c>
      <c r="T164" s="173"/>
      <c r="U164" s="172" t="str">
        <f>IFERROR(INDEX('G-7 Rivers Data'!$H$4:$L$8,MATCH(N164,'G-7 Rivers Data'!$B$4:$B$8,0),MATCH(T164,'G-7 Rivers Data'!$H$3:$L$3,0)),"")</f>
        <v/>
      </c>
      <c r="V164" s="186"/>
      <c r="W164" s="175" t="str">
        <f>IF(V164="","",IF(VLOOKUP(V164,'G-7 Rivers Data'!$AG$4:$AI$9,2,FALSE)=0,"Spatial Data Missing",VLOOKUP(V164,'G-7 Rivers Data'!$AG$4:$AI$9,2,FALSE)))</f>
        <v/>
      </c>
      <c r="X164" s="176" t="str">
        <f>IF(V164="","",IF(VLOOKUP(V164,'G-7 Rivers Data'!$AG$4:$AI$9,3,FALSE)=0,"Spatial Data Missing",VLOOKUP(V164,'G-7 Rivers Data'!$AG$4:$AI$9,3,FALSE)))</f>
        <v/>
      </c>
      <c r="Y164" s="171" t="str">
        <f>IFERROR(IF(OR(LEFT(P164,5)="Error",LEFT(O164,5)="Error"),"Check Data",IF(F164&lt;S164,'G-7 Rivers Data'!$R$3,INDEX('G-7 Rivers Data'!$U$5:$Y$9,MATCH(G164,'G-7 Rivers Data'!$T$5:$T$9,0),MATCH(T164,'G-7 Rivers Data'!$U$4:$Y$4,0)))),"")</f>
        <v/>
      </c>
      <c r="Z164" s="261"/>
      <c r="AA164" s="261"/>
      <c r="AB164" s="179" t="str">
        <f t="shared" si="19"/>
        <v/>
      </c>
      <c r="AC164" s="262" t="str">
        <f t="shared" si="20"/>
        <v/>
      </c>
      <c r="AD164" s="382" t="str">
        <f>IFERROR(IF(AC164="Check Data","Check Data",VLOOKUP(AC164,'G-4 Temporal multipliers'!$A$4:$C$37,3,FALSE)),"")</f>
        <v/>
      </c>
      <c r="AE164" s="171" t="str">
        <f>IF(N164="","",VLOOKUP(N164,'G-7 Rivers Data'!$B$4:$G$8,5,FALSE))</f>
        <v/>
      </c>
      <c r="AF164" s="179" t="str">
        <f t="shared" si="21"/>
        <v/>
      </c>
      <c r="AG164" s="269" t="str">
        <f t="shared" si="22"/>
        <v/>
      </c>
      <c r="AH164" s="172" t="str">
        <f t="shared" si="16"/>
        <v/>
      </c>
      <c r="AI164" s="173"/>
      <c r="AJ164" s="172" t="str">
        <f>IF(AI164="","",IF(VLOOKUP(AI164,'G-7 Rivers Data'!$AA$4:$AB$7,2,FALSE)=0,"Spatial Data Missing",VLOOKUP(AI164,'G-7 Rivers Data'!$AA$4:$AB$7,2,FALSE)))</f>
        <v/>
      </c>
      <c r="AK164" s="187"/>
      <c r="AL164" s="172" t="str">
        <f>IF(AK164="","",IF(VLOOKUP(AK164,'G-7 Rivers Data'!$AD$4:$AE$8,2,FALSE)=0,"Spatial Data Missing",VLOOKUP(AK164,'G-7 Rivers Data'!$AD$4:$AE$8,2,FALSE)))</f>
        <v/>
      </c>
      <c r="AM164" s="265" t="str">
        <f t="shared" si="23"/>
        <v/>
      </c>
      <c r="AN164" s="180"/>
      <c r="AO164" s="181"/>
      <c r="AV164" s="35" t="str">
        <f>IFERROR(INDEX('G-7 Rivers Data'!$AZ$3:$AZ$7,MATCH(N164,'G-7 Rivers Data'!$AY$3:$AY$7,0)),"")</f>
        <v/>
      </c>
    </row>
    <row r="165" spans="2:48" ht="13.8" x14ac:dyDescent="0.25">
      <c r="B165" s="259" t="str">
        <f>'C-1 Site River Baseline'!AN163</f>
        <v/>
      </c>
      <c r="C165" s="175" t="str">
        <f>IF(B165="","",VLOOKUP($B165,'C-1 Site River Baseline'!$C$9:$R$257,2,FALSE))</f>
        <v/>
      </c>
      <c r="D165" s="175" t="str">
        <f>IF(C165="","",VLOOKUP($B165,'C-1 Site River Baseline'!$C$9:$R$257,3,FALSE))</f>
        <v/>
      </c>
      <c r="E165" s="175" t="str">
        <f>IF(D165="","",VLOOKUP($B165,'C-1 Site River Baseline'!$C$9:$R$257,4,FALSE))</f>
        <v/>
      </c>
      <c r="F165" s="175" t="str">
        <f>IF(E165="","",VLOOKUP($B165,'C-1 Site River Baseline'!$C$9:$R$257,5,FALSE))</f>
        <v/>
      </c>
      <c r="G165" s="175" t="str">
        <f>IF(F165="","",VLOOKUP($B165,'C-1 Site River Baseline'!$C$9:$R$257,6,FALSE))</f>
        <v/>
      </c>
      <c r="H165" s="175" t="str">
        <f>IF(G165="","",VLOOKUP($B165,'C-1 Site River Baseline'!$C$9:$R$257,7,FALSE))</f>
        <v/>
      </c>
      <c r="I165" s="175" t="str">
        <f>IF(H165="","",VLOOKUP($B165,'C-1 Site River Baseline'!$C$9:$R$257,8,FALSE))</f>
        <v/>
      </c>
      <c r="J165" s="175" t="str">
        <f>IF(I165="","",VLOOKUP($B165,'C-1 Site River Baseline'!$C$9:$R$257,9,FALSE))</f>
        <v/>
      </c>
      <c r="K165" s="175" t="str">
        <f>IF(J165="","",VLOOKUP($B165,'C-1 Site River Baseline'!$C$9:$R$257,10,FALSE))</f>
        <v/>
      </c>
      <c r="L165" s="175" t="str">
        <f>IF(B165="","",VLOOKUP($B165,'C-1 Site River Baseline'!$C$9:$R$257,15,FALSE))</f>
        <v/>
      </c>
      <c r="M165" s="176" t="str">
        <f>IF(L165="","",VLOOKUP($B165,'C-1 Site River Baseline'!$C$9:$R$257,16,FALSE))</f>
        <v/>
      </c>
      <c r="N165" s="639" t="str">
        <f t="shared" si="17"/>
        <v/>
      </c>
      <c r="O165" s="239" t="str">
        <f t="shared" si="18"/>
        <v/>
      </c>
      <c r="P165" s="172" t="str">
        <f>IF(C165="","",IF(AND(LEFT(C165,55)&lt;&gt;LEFT(N165,55),O165="High - High"),"Error - Not like for like",IF(AND(F165=S165,H165&gt;U165),"Error - Can not reduce condition",IF(AND(F165=S165,H165=U165,AJ165='C-1 Site River Baseline'!N163,'C-1 Site River Baseline'!P163=AL165),"Error - No enhancement",IF(AND(C165&lt;&gt;N165,F165&lt;S165),"Lower Distinctiveness Habitat"&amp;" - "&amp;T165,G165&amp;" - "&amp;T165)))))</f>
        <v/>
      </c>
      <c r="Q165" s="660" t="str">
        <f>IF(N165="","",VLOOKUP(B165,'C-1 Site River Baseline'!$C$10:$AA$257,19,FALSE))</f>
        <v/>
      </c>
      <c r="R165" s="171" t="str">
        <f>IF(N165="","",VLOOKUP(N165,'G-7 Rivers Data'!$B$2:$G$8,2,FALSE))</f>
        <v/>
      </c>
      <c r="S165" s="172" t="str">
        <f>IFERROR(VLOOKUP(R165,'G-7 Rivers Data'!$C$4:$D$8,2,FALSE),"")</f>
        <v/>
      </c>
      <c r="T165" s="173"/>
      <c r="U165" s="172" t="str">
        <f>IFERROR(INDEX('G-7 Rivers Data'!$H$4:$L$8,MATCH(N165,'G-7 Rivers Data'!$B$4:$B$8,0),MATCH(T165,'G-7 Rivers Data'!$H$3:$L$3,0)),"")</f>
        <v/>
      </c>
      <c r="V165" s="186"/>
      <c r="W165" s="175" t="str">
        <f>IF(V165="","",IF(VLOOKUP(V165,'G-7 Rivers Data'!$AG$4:$AI$9,2,FALSE)=0,"Spatial Data Missing",VLOOKUP(V165,'G-7 Rivers Data'!$AG$4:$AI$9,2,FALSE)))</f>
        <v/>
      </c>
      <c r="X165" s="176" t="str">
        <f>IF(V165="","",IF(VLOOKUP(V165,'G-7 Rivers Data'!$AG$4:$AI$9,3,FALSE)=0,"Spatial Data Missing",VLOOKUP(V165,'G-7 Rivers Data'!$AG$4:$AI$9,3,FALSE)))</f>
        <v/>
      </c>
      <c r="Y165" s="171" t="str">
        <f>IFERROR(IF(OR(LEFT(P165,5)="Error",LEFT(O165,5)="Error"),"Check Data",IF(F165&lt;S165,'G-7 Rivers Data'!$R$3,INDEX('G-7 Rivers Data'!$U$5:$Y$9,MATCH(G165,'G-7 Rivers Data'!$T$5:$T$9,0),MATCH(T165,'G-7 Rivers Data'!$U$4:$Y$4,0)))),"")</f>
        <v/>
      </c>
      <c r="Z165" s="261"/>
      <c r="AA165" s="261"/>
      <c r="AB165" s="179" t="str">
        <f t="shared" si="19"/>
        <v/>
      </c>
      <c r="AC165" s="262" t="str">
        <f t="shared" si="20"/>
        <v/>
      </c>
      <c r="AD165" s="382" t="str">
        <f>IFERROR(IF(AC165="Check Data","Check Data",VLOOKUP(AC165,'G-4 Temporal multipliers'!$A$4:$C$37,3,FALSE)),"")</f>
        <v/>
      </c>
      <c r="AE165" s="171" t="str">
        <f>IF(N165="","",VLOOKUP(N165,'G-7 Rivers Data'!$B$4:$G$8,5,FALSE))</f>
        <v/>
      </c>
      <c r="AF165" s="179" t="str">
        <f t="shared" si="21"/>
        <v/>
      </c>
      <c r="AG165" s="269" t="str">
        <f t="shared" si="22"/>
        <v/>
      </c>
      <c r="AH165" s="172" t="str">
        <f t="shared" si="16"/>
        <v/>
      </c>
      <c r="AI165" s="173"/>
      <c r="AJ165" s="172" t="str">
        <f>IF(AI165="","",IF(VLOOKUP(AI165,'G-7 Rivers Data'!$AA$4:$AB$7,2,FALSE)=0,"Spatial Data Missing",VLOOKUP(AI165,'G-7 Rivers Data'!$AA$4:$AB$7,2,FALSE)))</f>
        <v/>
      </c>
      <c r="AK165" s="187"/>
      <c r="AL165" s="172" t="str">
        <f>IF(AK165="","",IF(VLOOKUP(AK165,'G-7 Rivers Data'!$AD$4:$AE$8,2,FALSE)=0,"Spatial Data Missing",VLOOKUP(AK165,'G-7 Rivers Data'!$AD$4:$AE$8,2,FALSE)))</f>
        <v/>
      </c>
      <c r="AM165" s="265" t="str">
        <f t="shared" si="23"/>
        <v/>
      </c>
      <c r="AN165" s="180"/>
      <c r="AO165" s="181"/>
      <c r="AV165" s="35" t="str">
        <f>IFERROR(INDEX('G-7 Rivers Data'!$AZ$3:$AZ$7,MATCH(N165,'G-7 Rivers Data'!$AY$3:$AY$7,0)),"")</f>
        <v/>
      </c>
    </row>
    <row r="166" spans="2:48" ht="13.8" x14ac:dyDescent="0.25">
      <c r="B166" s="259" t="str">
        <f>'C-1 Site River Baseline'!AN164</f>
        <v/>
      </c>
      <c r="C166" s="175" t="str">
        <f>IF(B166="","",VLOOKUP($B166,'C-1 Site River Baseline'!$C$9:$R$257,2,FALSE))</f>
        <v/>
      </c>
      <c r="D166" s="175" t="str">
        <f>IF(C166="","",VLOOKUP($B166,'C-1 Site River Baseline'!$C$9:$R$257,3,FALSE))</f>
        <v/>
      </c>
      <c r="E166" s="175" t="str">
        <f>IF(D166="","",VLOOKUP($B166,'C-1 Site River Baseline'!$C$9:$R$257,4,FALSE))</f>
        <v/>
      </c>
      <c r="F166" s="175" t="str">
        <f>IF(E166="","",VLOOKUP($B166,'C-1 Site River Baseline'!$C$9:$R$257,5,FALSE))</f>
        <v/>
      </c>
      <c r="G166" s="175" t="str">
        <f>IF(F166="","",VLOOKUP($B166,'C-1 Site River Baseline'!$C$9:$R$257,6,FALSE))</f>
        <v/>
      </c>
      <c r="H166" s="175" t="str">
        <f>IF(G166="","",VLOOKUP($B166,'C-1 Site River Baseline'!$C$9:$R$257,7,FALSE))</f>
        <v/>
      </c>
      <c r="I166" s="175" t="str">
        <f>IF(H166="","",VLOOKUP($B166,'C-1 Site River Baseline'!$C$9:$R$257,8,FALSE))</f>
        <v/>
      </c>
      <c r="J166" s="175" t="str">
        <f>IF(I166="","",VLOOKUP($B166,'C-1 Site River Baseline'!$C$9:$R$257,9,FALSE))</f>
        <v/>
      </c>
      <c r="K166" s="175" t="str">
        <f>IF(J166="","",VLOOKUP($B166,'C-1 Site River Baseline'!$C$9:$R$257,10,FALSE))</f>
        <v/>
      </c>
      <c r="L166" s="175" t="str">
        <f>IF(B166="","",VLOOKUP($B166,'C-1 Site River Baseline'!$C$9:$R$257,15,FALSE))</f>
        <v/>
      </c>
      <c r="M166" s="176" t="str">
        <f>IF(L166="","",VLOOKUP($B166,'C-1 Site River Baseline'!$C$9:$R$257,16,FALSE))</f>
        <v/>
      </c>
      <c r="N166" s="639" t="str">
        <f t="shared" si="17"/>
        <v/>
      </c>
      <c r="O166" s="239" t="str">
        <f t="shared" si="18"/>
        <v/>
      </c>
      <c r="P166" s="172" t="str">
        <f>IF(C166="","",IF(AND(LEFT(C166,55)&lt;&gt;LEFT(N166,55),O166="High - High"),"Error - Not like for like",IF(AND(F166=S166,H166&gt;U166),"Error - Can not reduce condition",IF(AND(F166=S166,H166=U166,AJ166='C-1 Site River Baseline'!N164,'C-1 Site River Baseline'!P164=AL166),"Error - No enhancement",IF(AND(C166&lt;&gt;N166,F166&lt;S166),"Lower Distinctiveness Habitat"&amp;" - "&amp;T166,G166&amp;" - "&amp;T166)))))</f>
        <v/>
      </c>
      <c r="Q166" s="660" t="str">
        <f>IF(N166="","",VLOOKUP(B166,'C-1 Site River Baseline'!$C$10:$AA$257,19,FALSE))</f>
        <v/>
      </c>
      <c r="R166" s="171" t="str">
        <f>IF(N166="","",VLOOKUP(N166,'G-7 Rivers Data'!$B$2:$G$8,2,FALSE))</f>
        <v/>
      </c>
      <c r="S166" s="172" t="str">
        <f>IFERROR(VLOOKUP(R166,'G-7 Rivers Data'!$C$4:$D$8,2,FALSE),"")</f>
        <v/>
      </c>
      <c r="T166" s="173"/>
      <c r="U166" s="172" t="str">
        <f>IFERROR(INDEX('G-7 Rivers Data'!$H$4:$L$8,MATCH(N166,'G-7 Rivers Data'!$B$4:$B$8,0),MATCH(T166,'G-7 Rivers Data'!$H$3:$L$3,0)),"")</f>
        <v/>
      </c>
      <c r="V166" s="186"/>
      <c r="W166" s="175" t="str">
        <f>IF(V166="","",IF(VLOOKUP(V166,'G-7 Rivers Data'!$AG$4:$AI$9,2,FALSE)=0,"Spatial Data Missing",VLOOKUP(V166,'G-7 Rivers Data'!$AG$4:$AI$9,2,FALSE)))</f>
        <v/>
      </c>
      <c r="X166" s="176" t="str">
        <f>IF(V166="","",IF(VLOOKUP(V166,'G-7 Rivers Data'!$AG$4:$AI$9,3,FALSE)=0,"Spatial Data Missing",VLOOKUP(V166,'G-7 Rivers Data'!$AG$4:$AI$9,3,FALSE)))</f>
        <v/>
      </c>
      <c r="Y166" s="171" t="str">
        <f>IFERROR(IF(OR(LEFT(P166,5)="Error",LEFT(O166,5)="Error"),"Check Data",IF(F166&lt;S166,'G-7 Rivers Data'!$R$3,INDEX('G-7 Rivers Data'!$U$5:$Y$9,MATCH(G166,'G-7 Rivers Data'!$T$5:$T$9,0),MATCH(T166,'G-7 Rivers Data'!$U$4:$Y$4,0)))),"")</f>
        <v/>
      </c>
      <c r="Z166" s="261"/>
      <c r="AA166" s="261"/>
      <c r="AB166" s="179" t="str">
        <f t="shared" si="19"/>
        <v/>
      </c>
      <c r="AC166" s="262" t="str">
        <f t="shared" si="20"/>
        <v/>
      </c>
      <c r="AD166" s="382" t="str">
        <f>IFERROR(IF(AC166="Check Data","Check Data",VLOOKUP(AC166,'G-4 Temporal multipliers'!$A$4:$C$37,3,FALSE)),"")</f>
        <v/>
      </c>
      <c r="AE166" s="171" t="str">
        <f>IF(N166="","",VLOOKUP(N166,'G-7 Rivers Data'!$B$4:$G$8,5,FALSE))</f>
        <v/>
      </c>
      <c r="AF166" s="179" t="str">
        <f t="shared" si="21"/>
        <v/>
      </c>
      <c r="AG166" s="269" t="str">
        <f t="shared" si="22"/>
        <v/>
      </c>
      <c r="AH166" s="172" t="str">
        <f t="shared" si="16"/>
        <v/>
      </c>
      <c r="AI166" s="173"/>
      <c r="AJ166" s="172" t="str">
        <f>IF(AI166="","",IF(VLOOKUP(AI166,'G-7 Rivers Data'!$AA$4:$AB$7,2,FALSE)=0,"Spatial Data Missing",VLOOKUP(AI166,'G-7 Rivers Data'!$AA$4:$AB$7,2,FALSE)))</f>
        <v/>
      </c>
      <c r="AK166" s="187"/>
      <c r="AL166" s="172" t="str">
        <f>IF(AK166="","",IF(VLOOKUP(AK166,'G-7 Rivers Data'!$AD$4:$AE$8,2,FALSE)=0,"Spatial Data Missing",VLOOKUP(AK166,'G-7 Rivers Data'!$AD$4:$AE$8,2,FALSE)))</f>
        <v/>
      </c>
      <c r="AM166" s="265" t="str">
        <f t="shared" si="23"/>
        <v/>
      </c>
      <c r="AN166" s="180"/>
      <c r="AO166" s="181"/>
      <c r="AV166" s="35" t="str">
        <f>IFERROR(INDEX('G-7 Rivers Data'!$AZ$3:$AZ$7,MATCH(N166,'G-7 Rivers Data'!$AY$3:$AY$7,0)),"")</f>
        <v/>
      </c>
    </row>
    <row r="167" spans="2:48" ht="13.8" x14ac:dyDescent="0.25">
      <c r="B167" s="259" t="str">
        <f>'C-1 Site River Baseline'!AN165</f>
        <v/>
      </c>
      <c r="C167" s="175" t="str">
        <f>IF(B167="","",VLOOKUP($B167,'C-1 Site River Baseline'!$C$9:$R$257,2,FALSE))</f>
        <v/>
      </c>
      <c r="D167" s="175" t="str">
        <f>IF(C167="","",VLOOKUP($B167,'C-1 Site River Baseline'!$C$9:$R$257,3,FALSE))</f>
        <v/>
      </c>
      <c r="E167" s="175" t="str">
        <f>IF(D167="","",VLOOKUP($B167,'C-1 Site River Baseline'!$C$9:$R$257,4,FALSE))</f>
        <v/>
      </c>
      <c r="F167" s="175" t="str">
        <f>IF(E167="","",VLOOKUP($B167,'C-1 Site River Baseline'!$C$9:$R$257,5,FALSE))</f>
        <v/>
      </c>
      <c r="G167" s="175" t="str">
        <f>IF(F167="","",VLOOKUP($B167,'C-1 Site River Baseline'!$C$9:$R$257,6,FALSE))</f>
        <v/>
      </c>
      <c r="H167" s="175" t="str">
        <f>IF(G167="","",VLOOKUP($B167,'C-1 Site River Baseline'!$C$9:$R$257,7,FALSE))</f>
        <v/>
      </c>
      <c r="I167" s="175" t="str">
        <f>IF(H167="","",VLOOKUP($B167,'C-1 Site River Baseline'!$C$9:$R$257,8,FALSE))</f>
        <v/>
      </c>
      <c r="J167" s="175" t="str">
        <f>IF(I167="","",VLOOKUP($B167,'C-1 Site River Baseline'!$C$9:$R$257,9,FALSE))</f>
        <v/>
      </c>
      <c r="K167" s="175" t="str">
        <f>IF(J167="","",VLOOKUP($B167,'C-1 Site River Baseline'!$C$9:$R$257,10,FALSE))</f>
        <v/>
      </c>
      <c r="L167" s="175" t="str">
        <f>IF(B167="","",VLOOKUP($B167,'C-1 Site River Baseline'!$C$9:$R$257,15,FALSE))</f>
        <v/>
      </c>
      <c r="M167" s="176" t="str">
        <f>IF(L167="","",VLOOKUP($B167,'C-1 Site River Baseline'!$C$9:$R$257,16,FALSE))</f>
        <v/>
      </c>
      <c r="N167" s="639" t="str">
        <f t="shared" si="17"/>
        <v/>
      </c>
      <c r="O167" s="239" t="str">
        <f t="shared" si="18"/>
        <v/>
      </c>
      <c r="P167" s="172" t="str">
        <f>IF(C167="","",IF(AND(LEFT(C167,55)&lt;&gt;LEFT(N167,55),O167="High - High"),"Error - Not like for like",IF(AND(F167=S167,H167&gt;U167),"Error - Can not reduce condition",IF(AND(F167=S167,H167=U167,AJ167='C-1 Site River Baseline'!N165,'C-1 Site River Baseline'!P165=AL167),"Error - No enhancement",IF(AND(C167&lt;&gt;N167,F167&lt;S167),"Lower Distinctiveness Habitat"&amp;" - "&amp;T167,G167&amp;" - "&amp;T167)))))</f>
        <v/>
      </c>
      <c r="Q167" s="660" t="str">
        <f>IF(N167="","",VLOOKUP(B167,'C-1 Site River Baseline'!$C$10:$AA$257,19,FALSE))</f>
        <v/>
      </c>
      <c r="R167" s="171" t="str">
        <f>IF(N167="","",VLOOKUP(N167,'G-7 Rivers Data'!$B$2:$G$8,2,FALSE))</f>
        <v/>
      </c>
      <c r="S167" s="172" t="str">
        <f>IFERROR(VLOOKUP(R167,'G-7 Rivers Data'!$C$4:$D$8,2,FALSE),"")</f>
        <v/>
      </c>
      <c r="T167" s="173"/>
      <c r="U167" s="172" t="str">
        <f>IFERROR(INDEX('G-7 Rivers Data'!$H$4:$L$8,MATCH(N167,'G-7 Rivers Data'!$B$4:$B$8,0),MATCH(T167,'G-7 Rivers Data'!$H$3:$L$3,0)),"")</f>
        <v/>
      </c>
      <c r="V167" s="186"/>
      <c r="W167" s="175" t="str">
        <f>IF(V167="","",IF(VLOOKUP(V167,'G-7 Rivers Data'!$AG$4:$AI$9,2,FALSE)=0,"Spatial Data Missing",VLOOKUP(V167,'G-7 Rivers Data'!$AG$4:$AI$9,2,FALSE)))</f>
        <v/>
      </c>
      <c r="X167" s="176" t="str">
        <f>IF(V167="","",IF(VLOOKUP(V167,'G-7 Rivers Data'!$AG$4:$AI$9,3,FALSE)=0,"Spatial Data Missing",VLOOKUP(V167,'G-7 Rivers Data'!$AG$4:$AI$9,3,FALSE)))</f>
        <v/>
      </c>
      <c r="Y167" s="171" t="str">
        <f>IFERROR(IF(OR(LEFT(P167,5)="Error",LEFT(O167,5)="Error"),"Check Data",IF(F167&lt;S167,'G-7 Rivers Data'!$R$3,INDEX('G-7 Rivers Data'!$U$5:$Y$9,MATCH(G167,'G-7 Rivers Data'!$T$5:$T$9,0),MATCH(T167,'G-7 Rivers Data'!$U$4:$Y$4,0)))),"")</f>
        <v/>
      </c>
      <c r="Z167" s="261"/>
      <c r="AA167" s="261"/>
      <c r="AB167" s="179" t="str">
        <f t="shared" si="19"/>
        <v/>
      </c>
      <c r="AC167" s="262" t="str">
        <f t="shared" si="20"/>
        <v/>
      </c>
      <c r="AD167" s="382" t="str">
        <f>IFERROR(IF(AC167="Check Data","Check Data",VLOOKUP(AC167,'G-4 Temporal multipliers'!$A$4:$C$37,3,FALSE)),"")</f>
        <v/>
      </c>
      <c r="AE167" s="171" t="str">
        <f>IF(N167="","",VLOOKUP(N167,'G-7 Rivers Data'!$B$4:$G$8,5,FALSE))</f>
        <v/>
      </c>
      <c r="AF167" s="179" t="str">
        <f t="shared" si="21"/>
        <v/>
      </c>
      <c r="AG167" s="269" t="str">
        <f t="shared" si="22"/>
        <v/>
      </c>
      <c r="AH167" s="172" t="str">
        <f t="shared" si="16"/>
        <v/>
      </c>
      <c r="AI167" s="173"/>
      <c r="AJ167" s="172" t="str">
        <f>IF(AI167="","",IF(VLOOKUP(AI167,'G-7 Rivers Data'!$AA$4:$AB$7,2,FALSE)=0,"Spatial Data Missing",VLOOKUP(AI167,'G-7 Rivers Data'!$AA$4:$AB$7,2,FALSE)))</f>
        <v/>
      </c>
      <c r="AK167" s="187"/>
      <c r="AL167" s="172" t="str">
        <f>IF(AK167="","",IF(VLOOKUP(AK167,'G-7 Rivers Data'!$AD$4:$AE$8,2,FALSE)=0,"Spatial Data Missing",VLOOKUP(AK167,'G-7 Rivers Data'!$AD$4:$AE$8,2,FALSE)))</f>
        <v/>
      </c>
      <c r="AM167" s="265" t="str">
        <f t="shared" si="23"/>
        <v/>
      </c>
      <c r="AN167" s="180"/>
      <c r="AO167" s="181"/>
      <c r="AV167" s="35" t="str">
        <f>IFERROR(INDEX('G-7 Rivers Data'!$AZ$3:$AZ$7,MATCH(N167,'G-7 Rivers Data'!$AY$3:$AY$7,0)),"")</f>
        <v/>
      </c>
    </row>
    <row r="168" spans="2:48" ht="13.8" x14ac:dyDescent="0.25">
      <c r="B168" s="259" t="str">
        <f>'C-1 Site River Baseline'!AN166</f>
        <v/>
      </c>
      <c r="C168" s="175" t="str">
        <f>IF(B168="","",VLOOKUP($B168,'C-1 Site River Baseline'!$C$9:$R$257,2,FALSE))</f>
        <v/>
      </c>
      <c r="D168" s="175" t="str">
        <f>IF(C168="","",VLOOKUP($B168,'C-1 Site River Baseline'!$C$9:$R$257,3,FALSE))</f>
        <v/>
      </c>
      <c r="E168" s="175" t="str">
        <f>IF(D168="","",VLOOKUP($B168,'C-1 Site River Baseline'!$C$9:$R$257,4,FALSE))</f>
        <v/>
      </c>
      <c r="F168" s="175" t="str">
        <f>IF(E168="","",VLOOKUP($B168,'C-1 Site River Baseline'!$C$9:$R$257,5,FALSE))</f>
        <v/>
      </c>
      <c r="G168" s="175" t="str">
        <f>IF(F168="","",VLOOKUP($B168,'C-1 Site River Baseline'!$C$9:$R$257,6,FALSE))</f>
        <v/>
      </c>
      <c r="H168" s="175" t="str">
        <f>IF(G168="","",VLOOKUP($B168,'C-1 Site River Baseline'!$C$9:$R$257,7,FALSE))</f>
        <v/>
      </c>
      <c r="I168" s="175" t="str">
        <f>IF(H168="","",VLOOKUP($B168,'C-1 Site River Baseline'!$C$9:$R$257,8,FALSE))</f>
        <v/>
      </c>
      <c r="J168" s="175" t="str">
        <f>IF(I168="","",VLOOKUP($B168,'C-1 Site River Baseline'!$C$9:$R$257,9,FALSE))</f>
        <v/>
      </c>
      <c r="K168" s="175" t="str">
        <f>IF(J168="","",VLOOKUP($B168,'C-1 Site River Baseline'!$C$9:$R$257,10,FALSE))</f>
        <v/>
      </c>
      <c r="L168" s="175" t="str">
        <f>IF(B168="","",VLOOKUP($B168,'C-1 Site River Baseline'!$C$9:$R$257,15,FALSE))</f>
        <v/>
      </c>
      <c r="M168" s="176" t="str">
        <f>IF(L168="","",VLOOKUP($B168,'C-1 Site River Baseline'!$C$9:$R$257,16,FALSE))</f>
        <v/>
      </c>
      <c r="N168" s="639" t="str">
        <f t="shared" si="17"/>
        <v/>
      </c>
      <c r="O168" s="239" t="str">
        <f t="shared" si="18"/>
        <v/>
      </c>
      <c r="P168" s="172" t="str">
        <f>IF(C168="","",IF(AND(LEFT(C168,55)&lt;&gt;LEFT(N168,55),O168="High - High"),"Error - Not like for like",IF(AND(F168=S168,H168&gt;U168),"Error - Can not reduce condition",IF(AND(F168=S168,H168=U168,AJ168='C-1 Site River Baseline'!N166,'C-1 Site River Baseline'!P166=AL168),"Error - No enhancement",IF(AND(C168&lt;&gt;N168,F168&lt;S168),"Lower Distinctiveness Habitat"&amp;" - "&amp;T168,G168&amp;" - "&amp;T168)))))</f>
        <v/>
      </c>
      <c r="Q168" s="660" t="str">
        <f>IF(N168="","",VLOOKUP(B168,'C-1 Site River Baseline'!$C$10:$AA$257,19,FALSE))</f>
        <v/>
      </c>
      <c r="R168" s="171" t="str">
        <f>IF(N168="","",VLOOKUP(N168,'G-7 Rivers Data'!$B$2:$G$8,2,FALSE))</f>
        <v/>
      </c>
      <c r="S168" s="172" t="str">
        <f>IFERROR(VLOOKUP(R168,'G-7 Rivers Data'!$C$4:$D$8,2,FALSE),"")</f>
        <v/>
      </c>
      <c r="T168" s="173"/>
      <c r="U168" s="172" t="str">
        <f>IFERROR(INDEX('G-7 Rivers Data'!$H$4:$L$8,MATCH(N168,'G-7 Rivers Data'!$B$4:$B$8,0),MATCH(T168,'G-7 Rivers Data'!$H$3:$L$3,0)),"")</f>
        <v/>
      </c>
      <c r="V168" s="186"/>
      <c r="W168" s="175" t="str">
        <f>IF(V168="","",IF(VLOOKUP(V168,'G-7 Rivers Data'!$AG$4:$AI$9,2,FALSE)=0,"Spatial Data Missing",VLOOKUP(V168,'G-7 Rivers Data'!$AG$4:$AI$9,2,FALSE)))</f>
        <v/>
      </c>
      <c r="X168" s="176" t="str">
        <f>IF(V168="","",IF(VLOOKUP(V168,'G-7 Rivers Data'!$AG$4:$AI$9,3,FALSE)=0,"Spatial Data Missing",VLOOKUP(V168,'G-7 Rivers Data'!$AG$4:$AI$9,3,FALSE)))</f>
        <v/>
      </c>
      <c r="Y168" s="171" t="str">
        <f>IFERROR(IF(OR(LEFT(P168,5)="Error",LEFT(O168,5)="Error"),"Check Data",IF(F168&lt;S168,'G-7 Rivers Data'!$R$3,INDEX('G-7 Rivers Data'!$U$5:$Y$9,MATCH(G168,'G-7 Rivers Data'!$T$5:$T$9,0),MATCH(T168,'G-7 Rivers Data'!$U$4:$Y$4,0)))),"")</f>
        <v/>
      </c>
      <c r="Z168" s="261"/>
      <c r="AA168" s="261"/>
      <c r="AB168" s="179" t="str">
        <f t="shared" si="19"/>
        <v/>
      </c>
      <c r="AC168" s="262" t="str">
        <f t="shared" si="20"/>
        <v/>
      </c>
      <c r="AD168" s="382" t="str">
        <f>IFERROR(IF(AC168="Check Data","Check Data",VLOOKUP(AC168,'G-4 Temporal multipliers'!$A$4:$C$37,3,FALSE)),"")</f>
        <v/>
      </c>
      <c r="AE168" s="171" t="str">
        <f>IF(N168="","",VLOOKUP(N168,'G-7 Rivers Data'!$B$4:$G$8,5,FALSE))</f>
        <v/>
      </c>
      <c r="AF168" s="179" t="str">
        <f t="shared" si="21"/>
        <v/>
      </c>
      <c r="AG168" s="269" t="str">
        <f t="shared" si="22"/>
        <v/>
      </c>
      <c r="AH168" s="172" t="str">
        <f t="shared" si="16"/>
        <v/>
      </c>
      <c r="AI168" s="173"/>
      <c r="AJ168" s="172" t="str">
        <f>IF(AI168="","",IF(VLOOKUP(AI168,'G-7 Rivers Data'!$AA$4:$AB$7,2,FALSE)=0,"Spatial Data Missing",VLOOKUP(AI168,'G-7 Rivers Data'!$AA$4:$AB$7,2,FALSE)))</f>
        <v/>
      </c>
      <c r="AK168" s="187"/>
      <c r="AL168" s="172" t="str">
        <f>IF(AK168="","",IF(VLOOKUP(AK168,'G-7 Rivers Data'!$AD$4:$AE$8,2,FALSE)=0,"Spatial Data Missing",VLOOKUP(AK168,'G-7 Rivers Data'!$AD$4:$AE$8,2,FALSE)))</f>
        <v/>
      </c>
      <c r="AM168" s="265" t="str">
        <f t="shared" si="23"/>
        <v/>
      </c>
      <c r="AN168" s="180"/>
      <c r="AO168" s="181"/>
      <c r="AV168" s="35" t="str">
        <f>IFERROR(INDEX('G-7 Rivers Data'!$AZ$3:$AZ$7,MATCH(N168,'G-7 Rivers Data'!$AY$3:$AY$7,0)),"")</f>
        <v/>
      </c>
    </row>
    <row r="169" spans="2:48" ht="13.8" x14ac:dyDescent="0.25">
      <c r="B169" s="259" t="str">
        <f>'C-1 Site River Baseline'!AN167</f>
        <v/>
      </c>
      <c r="C169" s="175" t="str">
        <f>IF(B169="","",VLOOKUP($B169,'C-1 Site River Baseline'!$C$9:$R$257,2,FALSE))</f>
        <v/>
      </c>
      <c r="D169" s="175" t="str">
        <f>IF(C169="","",VLOOKUP($B169,'C-1 Site River Baseline'!$C$9:$R$257,3,FALSE))</f>
        <v/>
      </c>
      <c r="E169" s="175" t="str">
        <f>IF(D169="","",VLOOKUP($B169,'C-1 Site River Baseline'!$C$9:$R$257,4,FALSE))</f>
        <v/>
      </c>
      <c r="F169" s="175" t="str">
        <f>IF(E169="","",VLOOKUP($B169,'C-1 Site River Baseline'!$C$9:$R$257,5,FALSE))</f>
        <v/>
      </c>
      <c r="G169" s="175" t="str">
        <f>IF(F169="","",VLOOKUP($B169,'C-1 Site River Baseline'!$C$9:$R$257,6,FALSE))</f>
        <v/>
      </c>
      <c r="H169" s="175" t="str">
        <f>IF(G169="","",VLOOKUP($B169,'C-1 Site River Baseline'!$C$9:$R$257,7,FALSE))</f>
        <v/>
      </c>
      <c r="I169" s="175" t="str">
        <f>IF(H169="","",VLOOKUP($B169,'C-1 Site River Baseline'!$C$9:$R$257,8,FALSE))</f>
        <v/>
      </c>
      <c r="J169" s="175" t="str">
        <f>IF(I169="","",VLOOKUP($B169,'C-1 Site River Baseline'!$C$9:$R$257,9,FALSE))</f>
        <v/>
      </c>
      <c r="K169" s="175" t="str">
        <f>IF(J169="","",VLOOKUP($B169,'C-1 Site River Baseline'!$C$9:$R$257,10,FALSE))</f>
        <v/>
      </c>
      <c r="L169" s="175" t="str">
        <f>IF(B169="","",VLOOKUP($B169,'C-1 Site River Baseline'!$C$9:$R$257,15,FALSE))</f>
        <v/>
      </c>
      <c r="M169" s="176" t="str">
        <f>IF(L169="","",VLOOKUP($B169,'C-1 Site River Baseline'!$C$9:$R$257,16,FALSE))</f>
        <v/>
      </c>
      <c r="N169" s="639" t="str">
        <f t="shared" si="17"/>
        <v/>
      </c>
      <c r="O169" s="239" t="str">
        <f t="shared" si="18"/>
        <v/>
      </c>
      <c r="P169" s="172" t="str">
        <f>IF(C169="","",IF(AND(LEFT(C169,55)&lt;&gt;LEFT(N169,55),O169="High - High"),"Error - Not like for like",IF(AND(F169=S169,H169&gt;U169),"Error - Can not reduce condition",IF(AND(F169=S169,H169=U169,AJ169='C-1 Site River Baseline'!N167,'C-1 Site River Baseline'!P167=AL169),"Error - No enhancement",IF(AND(C169&lt;&gt;N169,F169&lt;S169),"Lower Distinctiveness Habitat"&amp;" - "&amp;T169,G169&amp;" - "&amp;T169)))))</f>
        <v/>
      </c>
      <c r="Q169" s="660" t="str">
        <f>IF(N169="","",VLOOKUP(B169,'C-1 Site River Baseline'!$C$10:$AA$257,19,FALSE))</f>
        <v/>
      </c>
      <c r="R169" s="171" t="str">
        <f>IF(N169="","",VLOOKUP(N169,'G-7 Rivers Data'!$B$2:$G$8,2,FALSE))</f>
        <v/>
      </c>
      <c r="S169" s="172" t="str">
        <f>IFERROR(VLOOKUP(R169,'G-7 Rivers Data'!$C$4:$D$8,2,FALSE),"")</f>
        <v/>
      </c>
      <c r="T169" s="173"/>
      <c r="U169" s="172" t="str">
        <f>IFERROR(INDEX('G-7 Rivers Data'!$H$4:$L$8,MATCH(N169,'G-7 Rivers Data'!$B$4:$B$8,0),MATCH(T169,'G-7 Rivers Data'!$H$3:$L$3,0)),"")</f>
        <v/>
      </c>
      <c r="V169" s="186"/>
      <c r="W169" s="175" t="str">
        <f>IF(V169="","",IF(VLOOKUP(V169,'G-7 Rivers Data'!$AG$4:$AI$9,2,FALSE)=0,"Spatial Data Missing",VLOOKUP(V169,'G-7 Rivers Data'!$AG$4:$AI$9,2,FALSE)))</f>
        <v/>
      </c>
      <c r="X169" s="176" t="str">
        <f>IF(V169="","",IF(VLOOKUP(V169,'G-7 Rivers Data'!$AG$4:$AI$9,3,FALSE)=0,"Spatial Data Missing",VLOOKUP(V169,'G-7 Rivers Data'!$AG$4:$AI$9,3,FALSE)))</f>
        <v/>
      </c>
      <c r="Y169" s="171" t="str">
        <f>IFERROR(IF(OR(LEFT(P169,5)="Error",LEFT(O169,5)="Error"),"Check Data",IF(F169&lt;S169,'G-7 Rivers Data'!$R$3,INDEX('G-7 Rivers Data'!$U$5:$Y$9,MATCH(G169,'G-7 Rivers Data'!$T$5:$T$9,0),MATCH(T169,'G-7 Rivers Data'!$U$4:$Y$4,0)))),"")</f>
        <v/>
      </c>
      <c r="Z169" s="261"/>
      <c r="AA169" s="261"/>
      <c r="AB169" s="179" t="str">
        <f t="shared" si="19"/>
        <v/>
      </c>
      <c r="AC169" s="262" t="str">
        <f t="shared" si="20"/>
        <v/>
      </c>
      <c r="AD169" s="382" t="str">
        <f>IFERROR(IF(AC169="Check Data","Check Data",VLOOKUP(AC169,'G-4 Temporal multipliers'!$A$4:$C$37,3,FALSE)),"")</f>
        <v/>
      </c>
      <c r="AE169" s="171" t="str">
        <f>IF(N169="","",VLOOKUP(N169,'G-7 Rivers Data'!$B$4:$G$8,5,FALSE))</f>
        <v/>
      </c>
      <c r="AF169" s="179" t="str">
        <f t="shared" si="21"/>
        <v/>
      </c>
      <c r="AG169" s="269" t="str">
        <f t="shared" si="22"/>
        <v/>
      </c>
      <c r="AH169" s="172" t="str">
        <f t="shared" si="16"/>
        <v/>
      </c>
      <c r="AI169" s="173"/>
      <c r="AJ169" s="172" t="str">
        <f>IF(AI169="","",IF(VLOOKUP(AI169,'G-7 Rivers Data'!$AA$4:$AB$7,2,FALSE)=0,"Spatial Data Missing",VLOOKUP(AI169,'G-7 Rivers Data'!$AA$4:$AB$7,2,FALSE)))</f>
        <v/>
      </c>
      <c r="AK169" s="187"/>
      <c r="AL169" s="172" t="str">
        <f>IF(AK169="","",IF(VLOOKUP(AK169,'G-7 Rivers Data'!$AD$4:$AE$8,2,FALSE)=0,"Spatial Data Missing",VLOOKUP(AK169,'G-7 Rivers Data'!$AD$4:$AE$8,2,FALSE)))</f>
        <v/>
      </c>
      <c r="AM169" s="265" t="str">
        <f t="shared" si="23"/>
        <v/>
      </c>
      <c r="AN169" s="180"/>
      <c r="AO169" s="181"/>
      <c r="AV169" s="35" t="str">
        <f>IFERROR(INDEX('G-7 Rivers Data'!$AZ$3:$AZ$7,MATCH(N169,'G-7 Rivers Data'!$AY$3:$AY$7,0)),"")</f>
        <v/>
      </c>
    </row>
    <row r="170" spans="2:48" ht="13.8" x14ac:dyDescent="0.25">
      <c r="B170" s="259" t="str">
        <f>'C-1 Site River Baseline'!AN168</f>
        <v/>
      </c>
      <c r="C170" s="175" t="str">
        <f>IF(B170="","",VLOOKUP($B170,'C-1 Site River Baseline'!$C$9:$R$257,2,FALSE))</f>
        <v/>
      </c>
      <c r="D170" s="175" t="str">
        <f>IF(C170="","",VLOOKUP($B170,'C-1 Site River Baseline'!$C$9:$R$257,3,FALSE))</f>
        <v/>
      </c>
      <c r="E170" s="175" t="str">
        <f>IF(D170="","",VLOOKUP($B170,'C-1 Site River Baseline'!$C$9:$R$257,4,FALSE))</f>
        <v/>
      </c>
      <c r="F170" s="175" t="str">
        <f>IF(E170="","",VLOOKUP($B170,'C-1 Site River Baseline'!$C$9:$R$257,5,FALSE))</f>
        <v/>
      </c>
      <c r="G170" s="175" t="str">
        <f>IF(F170="","",VLOOKUP($B170,'C-1 Site River Baseline'!$C$9:$R$257,6,FALSE))</f>
        <v/>
      </c>
      <c r="H170" s="175" t="str">
        <f>IF(G170="","",VLOOKUP($B170,'C-1 Site River Baseline'!$C$9:$R$257,7,FALSE))</f>
        <v/>
      </c>
      <c r="I170" s="175" t="str">
        <f>IF(H170="","",VLOOKUP($B170,'C-1 Site River Baseline'!$C$9:$R$257,8,FALSE))</f>
        <v/>
      </c>
      <c r="J170" s="175" t="str">
        <f>IF(I170="","",VLOOKUP($B170,'C-1 Site River Baseline'!$C$9:$R$257,9,FALSE))</f>
        <v/>
      </c>
      <c r="K170" s="175" t="str">
        <f>IF(J170="","",VLOOKUP($B170,'C-1 Site River Baseline'!$C$9:$R$257,10,FALSE))</f>
        <v/>
      </c>
      <c r="L170" s="175" t="str">
        <f>IF(B170="","",VLOOKUP($B170,'C-1 Site River Baseline'!$C$9:$R$257,15,FALSE))</f>
        <v/>
      </c>
      <c r="M170" s="176" t="str">
        <f>IF(L170="","",VLOOKUP($B170,'C-1 Site River Baseline'!$C$9:$R$257,16,FALSE))</f>
        <v/>
      </c>
      <c r="N170" s="639" t="str">
        <f t="shared" si="17"/>
        <v/>
      </c>
      <c r="O170" s="239" t="str">
        <f t="shared" si="18"/>
        <v/>
      </c>
      <c r="P170" s="172" t="str">
        <f>IF(C170="","",IF(AND(LEFT(C170,55)&lt;&gt;LEFT(N170,55),O170="High - High"),"Error - Not like for like",IF(AND(F170=S170,H170&gt;U170),"Error - Can not reduce condition",IF(AND(F170=S170,H170=U170,AJ170='C-1 Site River Baseline'!N168,'C-1 Site River Baseline'!P168=AL170),"Error - No enhancement",IF(AND(C170&lt;&gt;N170,F170&lt;S170),"Lower Distinctiveness Habitat"&amp;" - "&amp;T170,G170&amp;" - "&amp;T170)))))</f>
        <v/>
      </c>
      <c r="Q170" s="660" t="str">
        <f>IF(N170="","",VLOOKUP(B170,'C-1 Site River Baseline'!$C$10:$AA$257,19,FALSE))</f>
        <v/>
      </c>
      <c r="R170" s="171" t="str">
        <f>IF(N170="","",VLOOKUP(N170,'G-7 Rivers Data'!$B$2:$G$8,2,FALSE))</f>
        <v/>
      </c>
      <c r="S170" s="172" t="str">
        <f>IFERROR(VLOOKUP(R170,'G-7 Rivers Data'!$C$4:$D$8,2,FALSE),"")</f>
        <v/>
      </c>
      <c r="T170" s="173"/>
      <c r="U170" s="172" t="str">
        <f>IFERROR(INDEX('G-7 Rivers Data'!$H$4:$L$8,MATCH(N170,'G-7 Rivers Data'!$B$4:$B$8,0),MATCH(T170,'G-7 Rivers Data'!$H$3:$L$3,0)),"")</f>
        <v/>
      </c>
      <c r="V170" s="186"/>
      <c r="W170" s="175" t="str">
        <f>IF(V170="","",IF(VLOOKUP(V170,'G-7 Rivers Data'!$AG$4:$AI$9,2,FALSE)=0,"Spatial Data Missing",VLOOKUP(V170,'G-7 Rivers Data'!$AG$4:$AI$9,2,FALSE)))</f>
        <v/>
      </c>
      <c r="X170" s="176" t="str">
        <f>IF(V170="","",IF(VLOOKUP(V170,'G-7 Rivers Data'!$AG$4:$AI$9,3,FALSE)=0,"Spatial Data Missing",VLOOKUP(V170,'G-7 Rivers Data'!$AG$4:$AI$9,3,FALSE)))</f>
        <v/>
      </c>
      <c r="Y170" s="171" t="str">
        <f>IFERROR(IF(OR(LEFT(P170,5)="Error",LEFT(O170,5)="Error"),"Check Data",IF(F170&lt;S170,'G-7 Rivers Data'!$R$3,INDEX('G-7 Rivers Data'!$U$5:$Y$9,MATCH(G170,'G-7 Rivers Data'!$T$5:$T$9,0),MATCH(T170,'G-7 Rivers Data'!$U$4:$Y$4,0)))),"")</f>
        <v/>
      </c>
      <c r="Z170" s="261"/>
      <c r="AA170" s="261"/>
      <c r="AB170" s="179" t="str">
        <f t="shared" si="19"/>
        <v/>
      </c>
      <c r="AC170" s="262" t="str">
        <f t="shared" si="20"/>
        <v/>
      </c>
      <c r="AD170" s="382" t="str">
        <f>IFERROR(IF(AC170="Check Data","Check Data",VLOOKUP(AC170,'G-4 Temporal multipliers'!$A$4:$C$37,3,FALSE)),"")</f>
        <v/>
      </c>
      <c r="AE170" s="171" t="str">
        <f>IF(N170="","",VLOOKUP(N170,'G-7 Rivers Data'!$B$4:$G$8,5,FALSE))</f>
        <v/>
      </c>
      <c r="AF170" s="179" t="str">
        <f t="shared" si="21"/>
        <v/>
      </c>
      <c r="AG170" s="269" t="str">
        <f t="shared" si="22"/>
        <v/>
      </c>
      <c r="AH170" s="172" t="str">
        <f t="shared" si="16"/>
        <v/>
      </c>
      <c r="AI170" s="173"/>
      <c r="AJ170" s="172" t="str">
        <f>IF(AI170="","",IF(VLOOKUP(AI170,'G-7 Rivers Data'!$AA$4:$AB$7,2,FALSE)=0,"Spatial Data Missing",VLOOKUP(AI170,'G-7 Rivers Data'!$AA$4:$AB$7,2,FALSE)))</f>
        <v/>
      </c>
      <c r="AK170" s="187"/>
      <c r="AL170" s="172" t="str">
        <f>IF(AK170="","",IF(VLOOKUP(AK170,'G-7 Rivers Data'!$AD$4:$AE$8,2,FALSE)=0,"Spatial Data Missing",VLOOKUP(AK170,'G-7 Rivers Data'!$AD$4:$AE$8,2,FALSE)))</f>
        <v/>
      </c>
      <c r="AM170" s="265" t="str">
        <f t="shared" si="23"/>
        <v/>
      </c>
      <c r="AN170" s="180"/>
      <c r="AO170" s="181"/>
      <c r="AV170" s="35" t="str">
        <f>IFERROR(INDEX('G-7 Rivers Data'!$AZ$3:$AZ$7,MATCH(N170,'G-7 Rivers Data'!$AY$3:$AY$7,0)),"")</f>
        <v/>
      </c>
    </row>
    <row r="171" spans="2:48" ht="13.8" x14ac:dyDescent="0.25">
      <c r="B171" s="259" t="str">
        <f>'C-1 Site River Baseline'!AN169</f>
        <v/>
      </c>
      <c r="C171" s="175" t="str">
        <f>IF(B171="","",VLOOKUP($B171,'C-1 Site River Baseline'!$C$9:$R$257,2,FALSE))</f>
        <v/>
      </c>
      <c r="D171" s="175" t="str">
        <f>IF(C171="","",VLOOKUP($B171,'C-1 Site River Baseline'!$C$9:$R$257,3,FALSE))</f>
        <v/>
      </c>
      <c r="E171" s="175" t="str">
        <f>IF(D171="","",VLOOKUP($B171,'C-1 Site River Baseline'!$C$9:$R$257,4,FALSE))</f>
        <v/>
      </c>
      <c r="F171" s="175" t="str">
        <f>IF(E171="","",VLOOKUP($B171,'C-1 Site River Baseline'!$C$9:$R$257,5,FALSE))</f>
        <v/>
      </c>
      <c r="G171" s="175" t="str">
        <f>IF(F171="","",VLOOKUP($B171,'C-1 Site River Baseline'!$C$9:$R$257,6,FALSE))</f>
        <v/>
      </c>
      <c r="H171" s="175" t="str">
        <f>IF(G171="","",VLOOKUP($B171,'C-1 Site River Baseline'!$C$9:$R$257,7,FALSE))</f>
        <v/>
      </c>
      <c r="I171" s="175" t="str">
        <f>IF(H171="","",VLOOKUP($B171,'C-1 Site River Baseline'!$C$9:$R$257,8,FALSE))</f>
        <v/>
      </c>
      <c r="J171" s="175" t="str">
        <f>IF(I171="","",VLOOKUP($B171,'C-1 Site River Baseline'!$C$9:$R$257,9,FALSE))</f>
        <v/>
      </c>
      <c r="K171" s="175" t="str">
        <f>IF(J171="","",VLOOKUP($B171,'C-1 Site River Baseline'!$C$9:$R$257,10,FALSE))</f>
        <v/>
      </c>
      <c r="L171" s="175" t="str">
        <f>IF(B171="","",VLOOKUP($B171,'C-1 Site River Baseline'!$C$9:$R$257,15,FALSE))</f>
        <v/>
      </c>
      <c r="M171" s="176" t="str">
        <f>IF(L171="","",VLOOKUP($B171,'C-1 Site River Baseline'!$C$9:$R$257,16,FALSE))</f>
        <v/>
      </c>
      <c r="N171" s="639" t="str">
        <f t="shared" si="17"/>
        <v/>
      </c>
      <c r="O171" s="239" t="str">
        <f t="shared" si="18"/>
        <v/>
      </c>
      <c r="P171" s="172" t="str">
        <f>IF(C171="","",IF(AND(LEFT(C171,55)&lt;&gt;LEFT(N171,55),O171="High - High"),"Error - Not like for like",IF(AND(F171=S171,H171&gt;U171),"Error - Can not reduce condition",IF(AND(F171=S171,H171=U171,AJ171='C-1 Site River Baseline'!N169,'C-1 Site River Baseline'!P169=AL171),"Error - No enhancement",IF(AND(C171&lt;&gt;N171,F171&lt;S171),"Lower Distinctiveness Habitat"&amp;" - "&amp;T171,G171&amp;" - "&amp;T171)))))</f>
        <v/>
      </c>
      <c r="Q171" s="660" t="str">
        <f>IF(N171="","",VLOOKUP(B171,'C-1 Site River Baseline'!$C$10:$AA$257,19,FALSE))</f>
        <v/>
      </c>
      <c r="R171" s="171" t="str">
        <f>IF(N171="","",VLOOKUP(N171,'G-7 Rivers Data'!$B$2:$G$8,2,FALSE))</f>
        <v/>
      </c>
      <c r="S171" s="172" t="str">
        <f>IFERROR(VLOOKUP(R171,'G-7 Rivers Data'!$C$4:$D$8,2,FALSE),"")</f>
        <v/>
      </c>
      <c r="T171" s="173"/>
      <c r="U171" s="172" t="str">
        <f>IFERROR(INDEX('G-7 Rivers Data'!$H$4:$L$8,MATCH(N171,'G-7 Rivers Data'!$B$4:$B$8,0),MATCH(T171,'G-7 Rivers Data'!$H$3:$L$3,0)),"")</f>
        <v/>
      </c>
      <c r="V171" s="186"/>
      <c r="W171" s="175" t="str">
        <f>IF(V171="","",IF(VLOOKUP(V171,'G-7 Rivers Data'!$AG$4:$AI$9,2,FALSE)=0,"Spatial Data Missing",VLOOKUP(V171,'G-7 Rivers Data'!$AG$4:$AI$9,2,FALSE)))</f>
        <v/>
      </c>
      <c r="X171" s="176" t="str">
        <f>IF(V171="","",IF(VLOOKUP(V171,'G-7 Rivers Data'!$AG$4:$AI$9,3,FALSE)=0,"Spatial Data Missing",VLOOKUP(V171,'G-7 Rivers Data'!$AG$4:$AI$9,3,FALSE)))</f>
        <v/>
      </c>
      <c r="Y171" s="171" t="str">
        <f>IFERROR(IF(OR(LEFT(P171,5)="Error",LEFT(O171,5)="Error"),"Check Data",IF(F171&lt;S171,'G-7 Rivers Data'!$R$3,INDEX('G-7 Rivers Data'!$U$5:$Y$9,MATCH(G171,'G-7 Rivers Data'!$T$5:$T$9,0),MATCH(T171,'G-7 Rivers Data'!$U$4:$Y$4,0)))),"")</f>
        <v/>
      </c>
      <c r="Z171" s="261"/>
      <c r="AA171" s="261"/>
      <c r="AB171" s="179" t="str">
        <f t="shared" si="19"/>
        <v/>
      </c>
      <c r="AC171" s="262" t="str">
        <f t="shared" si="20"/>
        <v/>
      </c>
      <c r="AD171" s="382" t="str">
        <f>IFERROR(IF(AC171="Check Data","Check Data",VLOOKUP(AC171,'G-4 Temporal multipliers'!$A$4:$C$37,3,FALSE)),"")</f>
        <v/>
      </c>
      <c r="AE171" s="171" t="str">
        <f>IF(N171="","",VLOOKUP(N171,'G-7 Rivers Data'!$B$4:$G$8,5,FALSE))</f>
        <v/>
      </c>
      <c r="AF171" s="179" t="str">
        <f t="shared" si="21"/>
        <v/>
      </c>
      <c r="AG171" s="269" t="str">
        <f t="shared" si="22"/>
        <v/>
      </c>
      <c r="AH171" s="172" t="str">
        <f t="shared" si="16"/>
        <v/>
      </c>
      <c r="AI171" s="173"/>
      <c r="AJ171" s="172" t="str">
        <f>IF(AI171="","",IF(VLOOKUP(AI171,'G-7 Rivers Data'!$AA$4:$AB$7,2,FALSE)=0,"Spatial Data Missing",VLOOKUP(AI171,'G-7 Rivers Data'!$AA$4:$AB$7,2,FALSE)))</f>
        <v/>
      </c>
      <c r="AK171" s="187"/>
      <c r="AL171" s="172" t="str">
        <f>IF(AK171="","",IF(VLOOKUP(AK171,'G-7 Rivers Data'!$AD$4:$AE$8,2,FALSE)=0,"Spatial Data Missing",VLOOKUP(AK171,'G-7 Rivers Data'!$AD$4:$AE$8,2,FALSE)))</f>
        <v/>
      </c>
      <c r="AM171" s="265" t="str">
        <f t="shared" si="23"/>
        <v/>
      </c>
      <c r="AN171" s="180"/>
      <c r="AO171" s="181"/>
      <c r="AV171" s="35" t="str">
        <f>IFERROR(INDEX('G-7 Rivers Data'!$AZ$3:$AZ$7,MATCH(N171,'G-7 Rivers Data'!$AY$3:$AY$7,0)),"")</f>
        <v/>
      </c>
    </row>
    <row r="172" spans="2:48" ht="13.8" x14ac:dyDescent="0.25">
      <c r="B172" s="259" t="str">
        <f>'C-1 Site River Baseline'!AN170</f>
        <v/>
      </c>
      <c r="C172" s="175" t="str">
        <f>IF(B172="","",VLOOKUP($B172,'C-1 Site River Baseline'!$C$9:$R$257,2,FALSE))</f>
        <v/>
      </c>
      <c r="D172" s="175" t="str">
        <f>IF(C172="","",VLOOKUP($B172,'C-1 Site River Baseline'!$C$9:$R$257,3,FALSE))</f>
        <v/>
      </c>
      <c r="E172" s="175" t="str">
        <f>IF(D172="","",VLOOKUP($B172,'C-1 Site River Baseline'!$C$9:$R$257,4,FALSE))</f>
        <v/>
      </c>
      <c r="F172" s="175" t="str">
        <f>IF(E172="","",VLOOKUP($B172,'C-1 Site River Baseline'!$C$9:$R$257,5,FALSE))</f>
        <v/>
      </c>
      <c r="G172" s="175" t="str">
        <f>IF(F172="","",VLOOKUP($B172,'C-1 Site River Baseline'!$C$9:$R$257,6,FALSE))</f>
        <v/>
      </c>
      <c r="H172" s="175" t="str">
        <f>IF(G172="","",VLOOKUP($B172,'C-1 Site River Baseline'!$C$9:$R$257,7,FALSE))</f>
        <v/>
      </c>
      <c r="I172" s="175" t="str">
        <f>IF(H172="","",VLOOKUP($B172,'C-1 Site River Baseline'!$C$9:$R$257,8,FALSE))</f>
        <v/>
      </c>
      <c r="J172" s="175" t="str">
        <f>IF(I172="","",VLOOKUP($B172,'C-1 Site River Baseline'!$C$9:$R$257,9,FALSE))</f>
        <v/>
      </c>
      <c r="K172" s="175" t="str">
        <f>IF(J172="","",VLOOKUP($B172,'C-1 Site River Baseline'!$C$9:$R$257,10,FALSE))</f>
        <v/>
      </c>
      <c r="L172" s="175" t="str">
        <f>IF(B172="","",VLOOKUP($B172,'C-1 Site River Baseline'!$C$9:$R$257,15,FALSE))</f>
        <v/>
      </c>
      <c r="M172" s="176" t="str">
        <f>IF(L172="","",VLOOKUP($B172,'C-1 Site River Baseline'!$C$9:$R$257,16,FALSE))</f>
        <v/>
      </c>
      <c r="N172" s="639" t="str">
        <f t="shared" si="17"/>
        <v/>
      </c>
      <c r="O172" s="239" t="str">
        <f t="shared" si="18"/>
        <v/>
      </c>
      <c r="P172" s="172" t="str">
        <f>IF(C172="","",IF(AND(LEFT(C172,55)&lt;&gt;LEFT(N172,55),O172="High - High"),"Error - Not like for like",IF(AND(F172=S172,H172&gt;U172),"Error - Can not reduce condition",IF(AND(F172=S172,H172=U172,AJ172='C-1 Site River Baseline'!N170,'C-1 Site River Baseline'!P170=AL172),"Error - No enhancement",IF(AND(C172&lt;&gt;N172,F172&lt;S172),"Lower Distinctiveness Habitat"&amp;" - "&amp;T172,G172&amp;" - "&amp;T172)))))</f>
        <v/>
      </c>
      <c r="Q172" s="660" t="str">
        <f>IF(N172="","",VLOOKUP(B172,'C-1 Site River Baseline'!$C$10:$AA$257,19,FALSE))</f>
        <v/>
      </c>
      <c r="R172" s="171" t="str">
        <f>IF(N172="","",VLOOKUP(N172,'G-7 Rivers Data'!$B$2:$G$8,2,FALSE))</f>
        <v/>
      </c>
      <c r="S172" s="172" t="str">
        <f>IFERROR(VLOOKUP(R172,'G-7 Rivers Data'!$C$4:$D$8,2,FALSE),"")</f>
        <v/>
      </c>
      <c r="T172" s="173"/>
      <c r="U172" s="172" t="str">
        <f>IFERROR(INDEX('G-7 Rivers Data'!$H$4:$L$8,MATCH(N172,'G-7 Rivers Data'!$B$4:$B$8,0),MATCH(T172,'G-7 Rivers Data'!$H$3:$L$3,0)),"")</f>
        <v/>
      </c>
      <c r="V172" s="186"/>
      <c r="W172" s="175" t="str">
        <f>IF(V172="","",IF(VLOOKUP(V172,'G-7 Rivers Data'!$AG$4:$AI$9,2,FALSE)=0,"Spatial Data Missing",VLOOKUP(V172,'G-7 Rivers Data'!$AG$4:$AI$9,2,FALSE)))</f>
        <v/>
      </c>
      <c r="X172" s="176" t="str">
        <f>IF(V172="","",IF(VLOOKUP(V172,'G-7 Rivers Data'!$AG$4:$AI$9,3,FALSE)=0,"Spatial Data Missing",VLOOKUP(V172,'G-7 Rivers Data'!$AG$4:$AI$9,3,FALSE)))</f>
        <v/>
      </c>
      <c r="Y172" s="171" t="str">
        <f>IFERROR(IF(OR(LEFT(P172,5)="Error",LEFT(O172,5)="Error"),"Check Data",IF(F172&lt;S172,'G-7 Rivers Data'!$R$3,INDEX('G-7 Rivers Data'!$U$5:$Y$9,MATCH(G172,'G-7 Rivers Data'!$T$5:$T$9,0),MATCH(T172,'G-7 Rivers Data'!$U$4:$Y$4,0)))),"")</f>
        <v/>
      </c>
      <c r="Z172" s="261"/>
      <c r="AA172" s="261"/>
      <c r="AB172" s="179" t="str">
        <f t="shared" si="19"/>
        <v/>
      </c>
      <c r="AC172" s="262" t="str">
        <f t="shared" si="20"/>
        <v/>
      </c>
      <c r="AD172" s="382" t="str">
        <f>IFERROR(IF(AC172="Check Data","Check Data",VLOOKUP(AC172,'G-4 Temporal multipliers'!$A$4:$C$37,3,FALSE)),"")</f>
        <v/>
      </c>
      <c r="AE172" s="171" t="str">
        <f>IF(N172="","",VLOOKUP(N172,'G-7 Rivers Data'!$B$4:$G$8,5,FALSE))</f>
        <v/>
      </c>
      <c r="AF172" s="179" t="str">
        <f t="shared" si="21"/>
        <v/>
      </c>
      <c r="AG172" s="269" t="str">
        <f t="shared" si="22"/>
        <v/>
      </c>
      <c r="AH172" s="172" t="str">
        <f t="shared" si="16"/>
        <v/>
      </c>
      <c r="AI172" s="173"/>
      <c r="AJ172" s="172" t="str">
        <f>IF(AI172="","",IF(VLOOKUP(AI172,'G-7 Rivers Data'!$AA$4:$AB$7,2,FALSE)=0,"Spatial Data Missing",VLOOKUP(AI172,'G-7 Rivers Data'!$AA$4:$AB$7,2,FALSE)))</f>
        <v/>
      </c>
      <c r="AK172" s="187"/>
      <c r="AL172" s="172" t="str">
        <f>IF(AK172="","",IF(VLOOKUP(AK172,'G-7 Rivers Data'!$AD$4:$AE$8,2,FALSE)=0,"Spatial Data Missing",VLOOKUP(AK172,'G-7 Rivers Data'!$AD$4:$AE$8,2,FALSE)))</f>
        <v/>
      </c>
      <c r="AM172" s="265" t="str">
        <f t="shared" si="23"/>
        <v/>
      </c>
      <c r="AN172" s="180"/>
      <c r="AO172" s="181"/>
      <c r="AV172" s="35" t="str">
        <f>IFERROR(INDEX('G-7 Rivers Data'!$AZ$3:$AZ$7,MATCH(N172,'G-7 Rivers Data'!$AY$3:$AY$7,0)),"")</f>
        <v/>
      </c>
    </row>
    <row r="173" spans="2:48" ht="13.8" x14ac:dyDescent="0.25">
      <c r="B173" s="259" t="str">
        <f>'C-1 Site River Baseline'!AN171</f>
        <v/>
      </c>
      <c r="C173" s="175" t="str">
        <f>IF(B173="","",VLOOKUP($B173,'C-1 Site River Baseline'!$C$9:$R$257,2,FALSE))</f>
        <v/>
      </c>
      <c r="D173" s="175" t="str">
        <f>IF(C173="","",VLOOKUP($B173,'C-1 Site River Baseline'!$C$9:$R$257,3,FALSE))</f>
        <v/>
      </c>
      <c r="E173" s="175" t="str">
        <f>IF(D173="","",VLOOKUP($B173,'C-1 Site River Baseline'!$C$9:$R$257,4,FALSE))</f>
        <v/>
      </c>
      <c r="F173" s="175" t="str">
        <f>IF(E173="","",VLOOKUP($B173,'C-1 Site River Baseline'!$C$9:$R$257,5,FALSE))</f>
        <v/>
      </c>
      <c r="G173" s="175" t="str">
        <f>IF(F173="","",VLOOKUP($B173,'C-1 Site River Baseline'!$C$9:$R$257,6,FALSE))</f>
        <v/>
      </c>
      <c r="H173" s="175" t="str">
        <f>IF(G173="","",VLOOKUP($B173,'C-1 Site River Baseline'!$C$9:$R$257,7,FALSE))</f>
        <v/>
      </c>
      <c r="I173" s="175" t="str">
        <f>IF(H173="","",VLOOKUP($B173,'C-1 Site River Baseline'!$C$9:$R$257,8,FALSE))</f>
        <v/>
      </c>
      <c r="J173" s="175" t="str">
        <f>IF(I173="","",VLOOKUP($B173,'C-1 Site River Baseline'!$C$9:$R$257,9,FALSE))</f>
        <v/>
      </c>
      <c r="K173" s="175" t="str">
        <f>IF(J173="","",VLOOKUP($B173,'C-1 Site River Baseline'!$C$9:$R$257,10,FALSE))</f>
        <v/>
      </c>
      <c r="L173" s="175" t="str">
        <f>IF(B173="","",VLOOKUP($B173,'C-1 Site River Baseline'!$C$9:$R$257,15,FALSE))</f>
        <v/>
      </c>
      <c r="M173" s="176" t="str">
        <f>IF(L173="","",VLOOKUP($B173,'C-1 Site River Baseline'!$C$9:$R$257,16,FALSE))</f>
        <v/>
      </c>
      <c r="N173" s="639" t="str">
        <f t="shared" si="17"/>
        <v/>
      </c>
      <c r="O173" s="239" t="str">
        <f t="shared" si="18"/>
        <v/>
      </c>
      <c r="P173" s="172" t="str">
        <f>IF(C173="","",IF(AND(LEFT(C173,55)&lt;&gt;LEFT(N173,55),O173="High - High"),"Error - Not like for like",IF(AND(F173=S173,H173&gt;U173),"Error - Can not reduce condition",IF(AND(F173=S173,H173=U173,AJ173='C-1 Site River Baseline'!N171,'C-1 Site River Baseline'!P171=AL173),"Error - No enhancement",IF(AND(C173&lt;&gt;N173,F173&lt;S173),"Lower Distinctiveness Habitat"&amp;" - "&amp;T173,G173&amp;" - "&amp;T173)))))</f>
        <v/>
      </c>
      <c r="Q173" s="660" t="str">
        <f>IF(N173="","",VLOOKUP(B173,'C-1 Site River Baseline'!$C$10:$AA$257,19,FALSE))</f>
        <v/>
      </c>
      <c r="R173" s="171" t="str">
        <f>IF(N173="","",VLOOKUP(N173,'G-7 Rivers Data'!$B$2:$G$8,2,FALSE))</f>
        <v/>
      </c>
      <c r="S173" s="172" t="str">
        <f>IFERROR(VLOOKUP(R173,'G-7 Rivers Data'!$C$4:$D$8,2,FALSE),"")</f>
        <v/>
      </c>
      <c r="T173" s="173"/>
      <c r="U173" s="172" t="str">
        <f>IFERROR(INDEX('G-7 Rivers Data'!$H$4:$L$8,MATCH(N173,'G-7 Rivers Data'!$B$4:$B$8,0),MATCH(T173,'G-7 Rivers Data'!$H$3:$L$3,0)),"")</f>
        <v/>
      </c>
      <c r="V173" s="186"/>
      <c r="W173" s="175" t="str">
        <f>IF(V173="","",IF(VLOOKUP(V173,'G-7 Rivers Data'!$AG$4:$AI$9,2,FALSE)=0,"Spatial Data Missing",VLOOKUP(V173,'G-7 Rivers Data'!$AG$4:$AI$9,2,FALSE)))</f>
        <v/>
      </c>
      <c r="X173" s="176" t="str">
        <f>IF(V173="","",IF(VLOOKUP(V173,'G-7 Rivers Data'!$AG$4:$AI$9,3,FALSE)=0,"Spatial Data Missing",VLOOKUP(V173,'G-7 Rivers Data'!$AG$4:$AI$9,3,FALSE)))</f>
        <v/>
      </c>
      <c r="Y173" s="171" t="str">
        <f>IFERROR(IF(OR(LEFT(P173,5)="Error",LEFT(O173,5)="Error"),"Check Data",IF(F173&lt;S173,'G-7 Rivers Data'!$R$3,INDEX('G-7 Rivers Data'!$U$5:$Y$9,MATCH(G173,'G-7 Rivers Data'!$T$5:$T$9,0),MATCH(T173,'G-7 Rivers Data'!$U$4:$Y$4,0)))),"")</f>
        <v/>
      </c>
      <c r="Z173" s="261"/>
      <c r="AA173" s="261"/>
      <c r="AB173" s="179" t="str">
        <f t="shared" si="19"/>
        <v/>
      </c>
      <c r="AC173" s="262" t="str">
        <f t="shared" si="20"/>
        <v/>
      </c>
      <c r="AD173" s="382" t="str">
        <f>IFERROR(IF(AC173="Check Data","Check Data",VLOOKUP(AC173,'G-4 Temporal multipliers'!$A$4:$C$37,3,FALSE)),"")</f>
        <v/>
      </c>
      <c r="AE173" s="171" t="str">
        <f>IF(N173="","",VLOOKUP(N173,'G-7 Rivers Data'!$B$4:$G$8,5,FALSE))</f>
        <v/>
      </c>
      <c r="AF173" s="179" t="str">
        <f t="shared" si="21"/>
        <v/>
      </c>
      <c r="AG173" s="269" t="str">
        <f t="shared" si="22"/>
        <v/>
      </c>
      <c r="AH173" s="172" t="str">
        <f t="shared" si="16"/>
        <v/>
      </c>
      <c r="AI173" s="173"/>
      <c r="AJ173" s="172" t="str">
        <f>IF(AI173="","",IF(VLOOKUP(AI173,'G-7 Rivers Data'!$AA$4:$AB$7,2,FALSE)=0,"Spatial Data Missing",VLOOKUP(AI173,'G-7 Rivers Data'!$AA$4:$AB$7,2,FALSE)))</f>
        <v/>
      </c>
      <c r="AK173" s="187"/>
      <c r="AL173" s="172" t="str">
        <f>IF(AK173="","",IF(VLOOKUP(AK173,'G-7 Rivers Data'!$AD$4:$AE$8,2,FALSE)=0,"Spatial Data Missing",VLOOKUP(AK173,'G-7 Rivers Data'!$AD$4:$AE$8,2,FALSE)))</f>
        <v/>
      </c>
      <c r="AM173" s="265" t="str">
        <f t="shared" si="23"/>
        <v/>
      </c>
      <c r="AN173" s="180"/>
      <c r="AO173" s="181"/>
      <c r="AV173" s="35" t="str">
        <f>IFERROR(INDEX('G-7 Rivers Data'!$AZ$3:$AZ$7,MATCH(N173,'G-7 Rivers Data'!$AY$3:$AY$7,0)),"")</f>
        <v/>
      </c>
    </row>
    <row r="174" spans="2:48" ht="13.8" x14ac:dyDescent="0.25">
      <c r="B174" s="259" t="str">
        <f>'C-1 Site River Baseline'!AN172</f>
        <v/>
      </c>
      <c r="C174" s="175" t="str">
        <f>IF(B174="","",VLOOKUP($B174,'C-1 Site River Baseline'!$C$9:$R$257,2,FALSE))</f>
        <v/>
      </c>
      <c r="D174" s="175" t="str">
        <f>IF(C174="","",VLOOKUP($B174,'C-1 Site River Baseline'!$C$9:$R$257,3,FALSE))</f>
        <v/>
      </c>
      <c r="E174" s="175" t="str">
        <f>IF(D174="","",VLOOKUP($B174,'C-1 Site River Baseline'!$C$9:$R$257,4,FALSE))</f>
        <v/>
      </c>
      <c r="F174" s="175" t="str">
        <f>IF(E174="","",VLOOKUP($B174,'C-1 Site River Baseline'!$C$9:$R$257,5,FALSE))</f>
        <v/>
      </c>
      <c r="G174" s="175" t="str">
        <f>IF(F174="","",VLOOKUP($B174,'C-1 Site River Baseline'!$C$9:$R$257,6,FALSE))</f>
        <v/>
      </c>
      <c r="H174" s="175" t="str">
        <f>IF(G174="","",VLOOKUP($B174,'C-1 Site River Baseline'!$C$9:$R$257,7,FALSE))</f>
        <v/>
      </c>
      <c r="I174" s="175" t="str">
        <f>IF(H174="","",VLOOKUP($B174,'C-1 Site River Baseline'!$C$9:$R$257,8,FALSE))</f>
        <v/>
      </c>
      <c r="J174" s="175" t="str">
        <f>IF(I174="","",VLOOKUP($B174,'C-1 Site River Baseline'!$C$9:$R$257,9,FALSE))</f>
        <v/>
      </c>
      <c r="K174" s="175" t="str">
        <f>IF(J174="","",VLOOKUP($B174,'C-1 Site River Baseline'!$C$9:$R$257,10,FALSE))</f>
        <v/>
      </c>
      <c r="L174" s="175" t="str">
        <f>IF(B174="","",VLOOKUP($B174,'C-1 Site River Baseline'!$C$9:$R$257,15,FALSE))</f>
        <v/>
      </c>
      <c r="M174" s="176" t="str">
        <f>IF(L174="","",VLOOKUP($B174,'C-1 Site River Baseline'!$C$9:$R$257,16,FALSE))</f>
        <v/>
      </c>
      <c r="N174" s="639" t="str">
        <f t="shared" si="17"/>
        <v/>
      </c>
      <c r="O174" s="239" t="str">
        <f t="shared" si="18"/>
        <v/>
      </c>
      <c r="P174" s="172" t="str">
        <f>IF(C174="","",IF(AND(LEFT(C174,55)&lt;&gt;LEFT(N174,55),O174="High - High"),"Error - Not like for like",IF(AND(F174=S174,H174&gt;U174),"Error - Can not reduce condition",IF(AND(F174=S174,H174=U174,AJ174='C-1 Site River Baseline'!N172,'C-1 Site River Baseline'!P172=AL174),"Error - No enhancement",IF(AND(C174&lt;&gt;N174,F174&lt;S174),"Lower Distinctiveness Habitat"&amp;" - "&amp;T174,G174&amp;" - "&amp;T174)))))</f>
        <v/>
      </c>
      <c r="Q174" s="660" t="str">
        <f>IF(N174="","",VLOOKUP(B174,'C-1 Site River Baseline'!$C$10:$AA$257,19,FALSE))</f>
        <v/>
      </c>
      <c r="R174" s="171" t="str">
        <f>IF(N174="","",VLOOKUP(N174,'G-7 Rivers Data'!$B$2:$G$8,2,FALSE))</f>
        <v/>
      </c>
      <c r="S174" s="172" t="str">
        <f>IFERROR(VLOOKUP(R174,'G-7 Rivers Data'!$C$4:$D$8,2,FALSE),"")</f>
        <v/>
      </c>
      <c r="T174" s="173"/>
      <c r="U174" s="172" t="str">
        <f>IFERROR(INDEX('G-7 Rivers Data'!$H$4:$L$8,MATCH(N174,'G-7 Rivers Data'!$B$4:$B$8,0),MATCH(T174,'G-7 Rivers Data'!$H$3:$L$3,0)),"")</f>
        <v/>
      </c>
      <c r="V174" s="186"/>
      <c r="W174" s="175" t="str">
        <f>IF(V174="","",IF(VLOOKUP(V174,'G-7 Rivers Data'!$AG$4:$AI$9,2,FALSE)=0,"Spatial Data Missing",VLOOKUP(V174,'G-7 Rivers Data'!$AG$4:$AI$9,2,FALSE)))</f>
        <v/>
      </c>
      <c r="X174" s="176" t="str">
        <f>IF(V174="","",IF(VLOOKUP(V174,'G-7 Rivers Data'!$AG$4:$AI$9,3,FALSE)=0,"Spatial Data Missing",VLOOKUP(V174,'G-7 Rivers Data'!$AG$4:$AI$9,3,FALSE)))</f>
        <v/>
      </c>
      <c r="Y174" s="171" t="str">
        <f>IFERROR(IF(OR(LEFT(P174,5)="Error",LEFT(O174,5)="Error"),"Check Data",IF(F174&lt;S174,'G-7 Rivers Data'!$R$3,INDEX('G-7 Rivers Data'!$U$5:$Y$9,MATCH(G174,'G-7 Rivers Data'!$T$5:$T$9,0),MATCH(T174,'G-7 Rivers Data'!$U$4:$Y$4,0)))),"")</f>
        <v/>
      </c>
      <c r="Z174" s="261"/>
      <c r="AA174" s="261"/>
      <c r="AB174" s="179" t="str">
        <f t="shared" si="19"/>
        <v/>
      </c>
      <c r="AC174" s="262" t="str">
        <f t="shared" si="20"/>
        <v/>
      </c>
      <c r="AD174" s="382" t="str">
        <f>IFERROR(IF(AC174="Check Data","Check Data",VLOOKUP(AC174,'G-4 Temporal multipliers'!$A$4:$C$37,3,FALSE)),"")</f>
        <v/>
      </c>
      <c r="AE174" s="171" t="str">
        <f>IF(N174="","",VLOOKUP(N174,'G-7 Rivers Data'!$B$4:$G$8,5,FALSE))</f>
        <v/>
      </c>
      <c r="AF174" s="179" t="str">
        <f t="shared" si="21"/>
        <v/>
      </c>
      <c r="AG174" s="269" t="str">
        <f t="shared" si="22"/>
        <v/>
      </c>
      <c r="AH174" s="172" t="str">
        <f t="shared" si="16"/>
        <v/>
      </c>
      <c r="AI174" s="173"/>
      <c r="AJ174" s="172" t="str">
        <f>IF(AI174="","",IF(VLOOKUP(AI174,'G-7 Rivers Data'!$AA$4:$AB$7,2,FALSE)=0,"Spatial Data Missing",VLOOKUP(AI174,'G-7 Rivers Data'!$AA$4:$AB$7,2,FALSE)))</f>
        <v/>
      </c>
      <c r="AK174" s="187"/>
      <c r="AL174" s="172" t="str">
        <f>IF(AK174="","",IF(VLOOKUP(AK174,'G-7 Rivers Data'!$AD$4:$AE$8,2,FALSE)=0,"Spatial Data Missing",VLOOKUP(AK174,'G-7 Rivers Data'!$AD$4:$AE$8,2,FALSE)))</f>
        <v/>
      </c>
      <c r="AM174" s="265" t="str">
        <f t="shared" si="23"/>
        <v/>
      </c>
      <c r="AN174" s="180"/>
      <c r="AO174" s="181"/>
      <c r="AV174" s="35" t="str">
        <f>IFERROR(INDEX('G-7 Rivers Data'!$AZ$3:$AZ$7,MATCH(N174,'G-7 Rivers Data'!$AY$3:$AY$7,0)),"")</f>
        <v/>
      </c>
    </row>
    <row r="175" spans="2:48" ht="13.8" x14ac:dyDescent="0.25">
      <c r="B175" s="259" t="str">
        <f>'C-1 Site River Baseline'!AN173</f>
        <v/>
      </c>
      <c r="C175" s="175" t="str">
        <f>IF(B175="","",VLOOKUP($B175,'C-1 Site River Baseline'!$C$9:$R$257,2,FALSE))</f>
        <v/>
      </c>
      <c r="D175" s="175" t="str">
        <f>IF(C175="","",VLOOKUP($B175,'C-1 Site River Baseline'!$C$9:$R$257,3,FALSE))</f>
        <v/>
      </c>
      <c r="E175" s="175" t="str">
        <f>IF(D175="","",VLOOKUP($B175,'C-1 Site River Baseline'!$C$9:$R$257,4,FALSE))</f>
        <v/>
      </c>
      <c r="F175" s="175" t="str">
        <f>IF(E175="","",VLOOKUP($B175,'C-1 Site River Baseline'!$C$9:$R$257,5,FALSE))</f>
        <v/>
      </c>
      <c r="G175" s="175" t="str">
        <f>IF(F175="","",VLOOKUP($B175,'C-1 Site River Baseline'!$C$9:$R$257,6,FALSE))</f>
        <v/>
      </c>
      <c r="H175" s="175" t="str">
        <f>IF(G175="","",VLOOKUP($B175,'C-1 Site River Baseline'!$C$9:$R$257,7,FALSE))</f>
        <v/>
      </c>
      <c r="I175" s="175" t="str">
        <f>IF(H175="","",VLOOKUP($B175,'C-1 Site River Baseline'!$C$9:$R$257,8,FALSE))</f>
        <v/>
      </c>
      <c r="J175" s="175" t="str">
        <f>IF(I175="","",VLOOKUP($B175,'C-1 Site River Baseline'!$C$9:$R$257,9,FALSE))</f>
        <v/>
      </c>
      <c r="K175" s="175" t="str">
        <f>IF(J175="","",VLOOKUP($B175,'C-1 Site River Baseline'!$C$9:$R$257,10,FALSE))</f>
        <v/>
      </c>
      <c r="L175" s="175" t="str">
        <f>IF(B175="","",VLOOKUP($B175,'C-1 Site River Baseline'!$C$9:$R$257,15,FALSE))</f>
        <v/>
      </c>
      <c r="M175" s="176" t="str">
        <f>IF(L175="","",VLOOKUP($B175,'C-1 Site River Baseline'!$C$9:$R$257,16,FALSE))</f>
        <v/>
      </c>
      <c r="N175" s="639" t="str">
        <f t="shared" si="17"/>
        <v/>
      </c>
      <c r="O175" s="239" t="str">
        <f t="shared" si="18"/>
        <v/>
      </c>
      <c r="P175" s="172" t="str">
        <f>IF(C175="","",IF(AND(LEFT(C175,55)&lt;&gt;LEFT(N175,55),O175="High - High"),"Error - Not like for like",IF(AND(F175=S175,H175&gt;U175),"Error - Can not reduce condition",IF(AND(F175=S175,H175=U175,AJ175='C-1 Site River Baseline'!N173,'C-1 Site River Baseline'!P173=AL175),"Error - No enhancement",IF(AND(C175&lt;&gt;N175,F175&lt;S175),"Lower Distinctiveness Habitat"&amp;" - "&amp;T175,G175&amp;" - "&amp;T175)))))</f>
        <v/>
      </c>
      <c r="Q175" s="660" t="str">
        <f>IF(N175="","",VLOOKUP(B175,'C-1 Site River Baseline'!$C$10:$AA$257,19,FALSE))</f>
        <v/>
      </c>
      <c r="R175" s="171" t="str">
        <f>IF(N175="","",VLOOKUP(N175,'G-7 Rivers Data'!$B$2:$G$8,2,FALSE))</f>
        <v/>
      </c>
      <c r="S175" s="172" t="str">
        <f>IFERROR(VLOOKUP(R175,'G-7 Rivers Data'!$C$4:$D$8,2,FALSE),"")</f>
        <v/>
      </c>
      <c r="T175" s="173"/>
      <c r="U175" s="172" t="str">
        <f>IFERROR(INDEX('G-7 Rivers Data'!$H$4:$L$8,MATCH(N175,'G-7 Rivers Data'!$B$4:$B$8,0),MATCH(T175,'G-7 Rivers Data'!$H$3:$L$3,0)),"")</f>
        <v/>
      </c>
      <c r="V175" s="186"/>
      <c r="W175" s="175" t="str">
        <f>IF(V175="","",IF(VLOOKUP(V175,'G-7 Rivers Data'!$AG$4:$AI$9,2,FALSE)=0,"Spatial Data Missing",VLOOKUP(V175,'G-7 Rivers Data'!$AG$4:$AI$9,2,FALSE)))</f>
        <v/>
      </c>
      <c r="X175" s="176" t="str">
        <f>IF(V175="","",IF(VLOOKUP(V175,'G-7 Rivers Data'!$AG$4:$AI$9,3,FALSE)=0,"Spatial Data Missing",VLOOKUP(V175,'G-7 Rivers Data'!$AG$4:$AI$9,3,FALSE)))</f>
        <v/>
      </c>
      <c r="Y175" s="171" t="str">
        <f>IFERROR(IF(OR(LEFT(P175,5)="Error",LEFT(O175,5)="Error"),"Check Data",IF(F175&lt;S175,'G-7 Rivers Data'!$R$3,INDEX('G-7 Rivers Data'!$U$5:$Y$9,MATCH(G175,'G-7 Rivers Data'!$T$5:$T$9,0),MATCH(T175,'G-7 Rivers Data'!$U$4:$Y$4,0)))),"")</f>
        <v/>
      </c>
      <c r="Z175" s="261"/>
      <c r="AA175" s="261"/>
      <c r="AB175" s="179" t="str">
        <f t="shared" si="19"/>
        <v/>
      </c>
      <c r="AC175" s="262" t="str">
        <f t="shared" si="20"/>
        <v/>
      </c>
      <c r="AD175" s="382" t="str">
        <f>IFERROR(IF(AC175="Check Data","Check Data",VLOOKUP(AC175,'G-4 Temporal multipliers'!$A$4:$C$37,3,FALSE)),"")</f>
        <v/>
      </c>
      <c r="AE175" s="171" t="str">
        <f>IF(N175="","",VLOOKUP(N175,'G-7 Rivers Data'!$B$4:$G$8,5,FALSE))</f>
        <v/>
      </c>
      <c r="AF175" s="179" t="str">
        <f t="shared" si="21"/>
        <v/>
      </c>
      <c r="AG175" s="269" t="str">
        <f t="shared" si="22"/>
        <v/>
      </c>
      <c r="AH175" s="172" t="str">
        <f t="shared" si="16"/>
        <v/>
      </c>
      <c r="AI175" s="173"/>
      <c r="AJ175" s="172" t="str">
        <f>IF(AI175="","",IF(VLOOKUP(AI175,'G-7 Rivers Data'!$AA$4:$AB$7,2,FALSE)=0,"Spatial Data Missing",VLOOKUP(AI175,'G-7 Rivers Data'!$AA$4:$AB$7,2,FALSE)))</f>
        <v/>
      </c>
      <c r="AK175" s="187"/>
      <c r="AL175" s="172" t="str">
        <f>IF(AK175="","",IF(VLOOKUP(AK175,'G-7 Rivers Data'!$AD$4:$AE$8,2,FALSE)=0,"Spatial Data Missing",VLOOKUP(AK175,'G-7 Rivers Data'!$AD$4:$AE$8,2,FALSE)))</f>
        <v/>
      </c>
      <c r="AM175" s="265" t="str">
        <f t="shared" si="23"/>
        <v/>
      </c>
      <c r="AN175" s="180"/>
      <c r="AO175" s="181"/>
      <c r="AV175" s="35" t="str">
        <f>IFERROR(INDEX('G-7 Rivers Data'!$AZ$3:$AZ$7,MATCH(N175,'G-7 Rivers Data'!$AY$3:$AY$7,0)),"")</f>
        <v/>
      </c>
    </row>
    <row r="176" spans="2:48" ht="13.8" x14ac:dyDescent="0.25">
      <c r="B176" s="259" t="str">
        <f>'C-1 Site River Baseline'!AN174</f>
        <v/>
      </c>
      <c r="C176" s="175" t="str">
        <f>IF(B176="","",VLOOKUP($B176,'C-1 Site River Baseline'!$C$9:$R$257,2,FALSE))</f>
        <v/>
      </c>
      <c r="D176" s="175" t="str">
        <f>IF(C176="","",VLOOKUP($B176,'C-1 Site River Baseline'!$C$9:$R$257,3,FALSE))</f>
        <v/>
      </c>
      <c r="E176" s="175" t="str">
        <f>IF(D176="","",VLOOKUP($B176,'C-1 Site River Baseline'!$C$9:$R$257,4,FALSE))</f>
        <v/>
      </c>
      <c r="F176" s="175" t="str">
        <f>IF(E176="","",VLOOKUP($B176,'C-1 Site River Baseline'!$C$9:$R$257,5,FALSE))</f>
        <v/>
      </c>
      <c r="G176" s="175" t="str">
        <f>IF(F176="","",VLOOKUP($B176,'C-1 Site River Baseline'!$C$9:$R$257,6,FALSE))</f>
        <v/>
      </c>
      <c r="H176" s="175" t="str">
        <f>IF(G176="","",VLOOKUP($B176,'C-1 Site River Baseline'!$C$9:$R$257,7,FALSE))</f>
        <v/>
      </c>
      <c r="I176" s="175" t="str">
        <f>IF(H176="","",VLOOKUP($B176,'C-1 Site River Baseline'!$C$9:$R$257,8,FALSE))</f>
        <v/>
      </c>
      <c r="J176" s="175" t="str">
        <f>IF(I176="","",VLOOKUP($B176,'C-1 Site River Baseline'!$C$9:$R$257,9,FALSE))</f>
        <v/>
      </c>
      <c r="K176" s="175" t="str">
        <f>IF(J176="","",VLOOKUP($B176,'C-1 Site River Baseline'!$C$9:$R$257,10,FALSE))</f>
        <v/>
      </c>
      <c r="L176" s="175" t="str">
        <f>IF(B176="","",VLOOKUP($B176,'C-1 Site River Baseline'!$C$9:$R$257,15,FALSE))</f>
        <v/>
      </c>
      <c r="M176" s="176" t="str">
        <f>IF(L176="","",VLOOKUP($B176,'C-1 Site River Baseline'!$C$9:$R$257,16,FALSE))</f>
        <v/>
      </c>
      <c r="N176" s="639" t="str">
        <f t="shared" si="17"/>
        <v/>
      </c>
      <c r="O176" s="239" t="str">
        <f t="shared" si="18"/>
        <v/>
      </c>
      <c r="P176" s="172" t="str">
        <f>IF(C176="","",IF(AND(LEFT(C176,55)&lt;&gt;LEFT(N176,55),O176="High - High"),"Error - Not like for like",IF(AND(F176=S176,H176&gt;U176),"Error - Can not reduce condition",IF(AND(F176=S176,H176=U176,AJ176='C-1 Site River Baseline'!N174,'C-1 Site River Baseline'!P174=AL176),"Error - No enhancement",IF(AND(C176&lt;&gt;N176,F176&lt;S176),"Lower Distinctiveness Habitat"&amp;" - "&amp;T176,G176&amp;" - "&amp;T176)))))</f>
        <v/>
      </c>
      <c r="Q176" s="660" t="str">
        <f>IF(N176="","",VLOOKUP(B176,'C-1 Site River Baseline'!$C$10:$AA$257,19,FALSE))</f>
        <v/>
      </c>
      <c r="R176" s="171" t="str">
        <f>IF(N176="","",VLOOKUP(N176,'G-7 Rivers Data'!$B$2:$G$8,2,FALSE))</f>
        <v/>
      </c>
      <c r="S176" s="172" t="str">
        <f>IFERROR(VLOOKUP(R176,'G-7 Rivers Data'!$C$4:$D$8,2,FALSE),"")</f>
        <v/>
      </c>
      <c r="T176" s="173"/>
      <c r="U176" s="172" t="str">
        <f>IFERROR(INDEX('G-7 Rivers Data'!$H$4:$L$8,MATCH(N176,'G-7 Rivers Data'!$B$4:$B$8,0),MATCH(T176,'G-7 Rivers Data'!$H$3:$L$3,0)),"")</f>
        <v/>
      </c>
      <c r="V176" s="186"/>
      <c r="W176" s="175" t="str">
        <f>IF(V176="","",IF(VLOOKUP(V176,'G-7 Rivers Data'!$AG$4:$AI$9,2,FALSE)=0,"Spatial Data Missing",VLOOKUP(V176,'G-7 Rivers Data'!$AG$4:$AI$9,2,FALSE)))</f>
        <v/>
      </c>
      <c r="X176" s="176" t="str">
        <f>IF(V176="","",IF(VLOOKUP(V176,'G-7 Rivers Data'!$AG$4:$AI$9,3,FALSE)=0,"Spatial Data Missing",VLOOKUP(V176,'G-7 Rivers Data'!$AG$4:$AI$9,3,FALSE)))</f>
        <v/>
      </c>
      <c r="Y176" s="171" t="str">
        <f>IFERROR(IF(OR(LEFT(P176,5)="Error",LEFT(O176,5)="Error"),"Check Data",IF(F176&lt;S176,'G-7 Rivers Data'!$R$3,INDEX('G-7 Rivers Data'!$U$5:$Y$9,MATCH(G176,'G-7 Rivers Data'!$T$5:$T$9,0),MATCH(T176,'G-7 Rivers Data'!$U$4:$Y$4,0)))),"")</f>
        <v/>
      </c>
      <c r="Z176" s="261"/>
      <c r="AA176" s="261"/>
      <c r="AB176" s="179" t="str">
        <f t="shared" si="19"/>
        <v/>
      </c>
      <c r="AC176" s="262" t="str">
        <f t="shared" si="20"/>
        <v/>
      </c>
      <c r="AD176" s="382" t="str">
        <f>IFERROR(IF(AC176="Check Data","Check Data",VLOOKUP(AC176,'G-4 Temporal multipliers'!$A$4:$C$37,3,FALSE)),"")</f>
        <v/>
      </c>
      <c r="AE176" s="171" t="str">
        <f>IF(N176="","",VLOOKUP(N176,'G-7 Rivers Data'!$B$4:$G$8,5,FALSE))</f>
        <v/>
      </c>
      <c r="AF176" s="179" t="str">
        <f t="shared" si="21"/>
        <v/>
      </c>
      <c r="AG176" s="269" t="str">
        <f t="shared" si="22"/>
        <v/>
      </c>
      <c r="AH176" s="172" t="str">
        <f t="shared" si="16"/>
        <v/>
      </c>
      <c r="AI176" s="173"/>
      <c r="AJ176" s="172" t="str">
        <f>IF(AI176="","",IF(VLOOKUP(AI176,'G-7 Rivers Data'!$AA$4:$AB$7,2,FALSE)=0,"Spatial Data Missing",VLOOKUP(AI176,'G-7 Rivers Data'!$AA$4:$AB$7,2,FALSE)))</f>
        <v/>
      </c>
      <c r="AK176" s="187"/>
      <c r="AL176" s="172" t="str">
        <f>IF(AK176="","",IF(VLOOKUP(AK176,'G-7 Rivers Data'!$AD$4:$AE$8,2,FALSE)=0,"Spatial Data Missing",VLOOKUP(AK176,'G-7 Rivers Data'!$AD$4:$AE$8,2,FALSE)))</f>
        <v/>
      </c>
      <c r="AM176" s="265" t="str">
        <f t="shared" si="23"/>
        <v/>
      </c>
      <c r="AN176" s="180"/>
      <c r="AO176" s="181"/>
      <c r="AV176" s="35" t="str">
        <f>IFERROR(INDEX('G-7 Rivers Data'!$AZ$3:$AZ$7,MATCH(N176,'G-7 Rivers Data'!$AY$3:$AY$7,0)),"")</f>
        <v/>
      </c>
    </row>
    <row r="177" spans="2:48" ht="13.8" x14ac:dyDescent="0.25">
      <c r="B177" s="259" t="str">
        <f>'C-1 Site River Baseline'!AN175</f>
        <v/>
      </c>
      <c r="C177" s="175" t="str">
        <f>IF(B177="","",VLOOKUP($B177,'C-1 Site River Baseline'!$C$9:$R$257,2,FALSE))</f>
        <v/>
      </c>
      <c r="D177" s="175" t="str">
        <f>IF(C177="","",VLOOKUP($B177,'C-1 Site River Baseline'!$C$9:$R$257,3,FALSE))</f>
        <v/>
      </c>
      <c r="E177" s="175" t="str">
        <f>IF(D177="","",VLOOKUP($B177,'C-1 Site River Baseline'!$C$9:$R$257,4,FALSE))</f>
        <v/>
      </c>
      <c r="F177" s="175" t="str">
        <f>IF(E177="","",VLOOKUP($B177,'C-1 Site River Baseline'!$C$9:$R$257,5,FALSE))</f>
        <v/>
      </c>
      <c r="G177" s="175" t="str">
        <f>IF(F177="","",VLOOKUP($B177,'C-1 Site River Baseline'!$C$9:$R$257,6,FALSE))</f>
        <v/>
      </c>
      <c r="H177" s="175" t="str">
        <f>IF(G177="","",VLOOKUP($B177,'C-1 Site River Baseline'!$C$9:$R$257,7,FALSE))</f>
        <v/>
      </c>
      <c r="I177" s="175" t="str">
        <f>IF(H177="","",VLOOKUP($B177,'C-1 Site River Baseline'!$C$9:$R$257,8,FALSE))</f>
        <v/>
      </c>
      <c r="J177" s="175" t="str">
        <f>IF(I177="","",VLOOKUP($B177,'C-1 Site River Baseline'!$C$9:$R$257,9,FALSE))</f>
        <v/>
      </c>
      <c r="K177" s="175" t="str">
        <f>IF(J177="","",VLOOKUP($B177,'C-1 Site River Baseline'!$C$9:$R$257,10,FALSE))</f>
        <v/>
      </c>
      <c r="L177" s="175" t="str">
        <f>IF(B177="","",VLOOKUP($B177,'C-1 Site River Baseline'!$C$9:$R$257,15,FALSE))</f>
        <v/>
      </c>
      <c r="M177" s="176" t="str">
        <f>IF(L177="","",VLOOKUP($B177,'C-1 Site River Baseline'!$C$9:$R$257,16,FALSE))</f>
        <v/>
      </c>
      <c r="N177" s="639" t="str">
        <f t="shared" si="17"/>
        <v/>
      </c>
      <c r="O177" s="239" t="str">
        <f t="shared" si="18"/>
        <v/>
      </c>
      <c r="P177" s="172" t="str">
        <f>IF(C177="","",IF(AND(LEFT(C177,55)&lt;&gt;LEFT(N177,55),O177="High - High"),"Error - Not like for like",IF(AND(F177=S177,H177&gt;U177),"Error - Can not reduce condition",IF(AND(F177=S177,H177=U177,AJ177='C-1 Site River Baseline'!N175,'C-1 Site River Baseline'!P175=AL177),"Error - No enhancement",IF(AND(C177&lt;&gt;N177,F177&lt;S177),"Lower Distinctiveness Habitat"&amp;" - "&amp;T177,G177&amp;" - "&amp;T177)))))</f>
        <v/>
      </c>
      <c r="Q177" s="660" t="str">
        <f>IF(N177="","",VLOOKUP(B177,'C-1 Site River Baseline'!$C$10:$AA$257,19,FALSE))</f>
        <v/>
      </c>
      <c r="R177" s="171" t="str">
        <f>IF(N177="","",VLOOKUP(N177,'G-7 Rivers Data'!$B$2:$G$8,2,FALSE))</f>
        <v/>
      </c>
      <c r="S177" s="172" t="str">
        <f>IFERROR(VLOOKUP(R177,'G-7 Rivers Data'!$C$4:$D$8,2,FALSE),"")</f>
        <v/>
      </c>
      <c r="T177" s="173"/>
      <c r="U177" s="172" t="str">
        <f>IFERROR(INDEX('G-7 Rivers Data'!$H$4:$L$8,MATCH(N177,'G-7 Rivers Data'!$B$4:$B$8,0),MATCH(T177,'G-7 Rivers Data'!$H$3:$L$3,0)),"")</f>
        <v/>
      </c>
      <c r="V177" s="186"/>
      <c r="W177" s="175" t="str">
        <f>IF(V177="","",IF(VLOOKUP(V177,'G-7 Rivers Data'!$AG$4:$AI$9,2,FALSE)=0,"Spatial Data Missing",VLOOKUP(V177,'G-7 Rivers Data'!$AG$4:$AI$9,2,FALSE)))</f>
        <v/>
      </c>
      <c r="X177" s="176" t="str">
        <f>IF(V177="","",IF(VLOOKUP(V177,'G-7 Rivers Data'!$AG$4:$AI$9,3,FALSE)=0,"Spatial Data Missing",VLOOKUP(V177,'G-7 Rivers Data'!$AG$4:$AI$9,3,FALSE)))</f>
        <v/>
      </c>
      <c r="Y177" s="171" t="str">
        <f>IFERROR(IF(OR(LEFT(P177,5)="Error",LEFT(O177,5)="Error"),"Check Data",IF(F177&lt;S177,'G-7 Rivers Data'!$R$3,INDEX('G-7 Rivers Data'!$U$5:$Y$9,MATCH(G177,'G-7 Rivers Data'!$T$5:$T$9,0),MATCH(T177,'G-7 Rivers Data'!$U$4:$Y$4,0)))),"")</f>
        <v/>
      </c>
      <c r="Z177" s="261"/>
      <c r="AA177" s="261"/>
      <c r="AB177" s="179" t="str">
        <f t="shared" si="19"/>
        <v/>
      </c>
      <c r="AC177" s="262" t="str">
        <f t="shared" si="20"/>
        <v/>
      </c>
      <c r="AD177" s="382" t="str">
        <f>IFERROR(IF(AC177="Check Data","Check Data",VLOOKUP(AC177,'G-4 Temporal multipliers'!$A$4:$C$37,3,FALSE)),"")</f>
        <v/>
      </c>
      <c r="AE177" s="171" t="str">
        <f>IF(N177="","",VLOOKUP(N177,'G-7 Rivers Data'!$B$4:$G$8,5,FALSE))</f>
        <v/>
      </c>
      <c r="AF177" s="179" t="str">
        <f t="shared" si="21"/>
        <v/>
      </c>
      <c r="AG177" s="269" t="str">
        <f t="shared" si="22"/>
        <v/>
      </c>
      <c r="AH177" s="172" t="str">
        <f t="shared" si="16"/>
        <v/>
      </c>
      <c r="AI177" s="173"/>
      <c r="AJ177" s="172" t="str">
        <f>IF(AI177="","",IF(VLOOKUP(AI177,'G-7 Rivers Data'!$AA$4:$AB$7,2,FALSE)=0,"Spatial Data Missing",VLOOKUP(AI177,'G-7 Rivers Data'!$AA$4:$AB$7,2,FALSE)))</f>
        <v/>
      </c>
      <c r="AK177" s="187"/>
      <c r="AL177" s="172" t="str">
        <f>IF(AK177="","",IF(VLOOKUP(AK177,'G-7 Rivers Data'!$AD$4:$AE$8,2,FALSE)=0,"Spatial Data Missing",VLOOKUP(AK177,'G-7 Rivers Data'!$AD$4:$AE$8,2,FALSE)))</f>
        <v/>
      </c>
      <c r="AM177" s="265" t="str">
        <f t="shared" si="23"/>
        <v/>
      </c>
      <c r="AN177" s="180"/>
      <c r="AO177" s="181"/>
      <c r="AV177" s="35" t="str">
        <f>IFERROR(INDEX('G-7 Rivers Data'!$AZ$3:$AZ$7,MATCH(N177,'G-7 Rivers Data'!$AY$3:$AY$7,0)),"")</f>
        <v/>
      </c>
    </row>
    <row r="178" spans="2:48" ht="13.8" x14ac:dyDescent="0.25">
      <c r="B178" s="259" t="str">
        <f>'C-1 Site River Baseline'!AN176</f>
        <v/>
      </c>
      <c r="C178" s="175" t="str">
        <f>IF(B178="","",VLOOKUP($B178,'C-1 Site River Baseline'!$C$9:$R$257,2,FALSE))</f>
        <v/>
      </c>
      <c r="D178" s="175" t="str">
        <f>IF(C178="","",VLOOKUP($B178,'C-1 Site River Baseline'!$C$9:$R$257,3,FALSE))</f>
        <v/>
      </c>
      <c r="E178" s="175" t="str">
        <f>IF(D178="","",VLOOKUP($B178,'C-1 Site River Baseline'!$C$9:$R$257,4,FALSE))</f>
        <v/>
      </c>
      <c r="F178" s="175" t="str">
        <f>IF(E178="","",VLOOKUP($B178,'C-1 Site River Baseline'!$C$9:$R$257,5,FALSE))</f>
        <v/>
      </c>
      <c r="G178" s="175" t="str">
        <f>IF(F178="","",VLOOKUP($B178,'C-1 Site River Baseline'!$C$9:$R$257,6,FALSE))</f>
        <v/>
      </c>
      <c r="H178" s="175" t="str">
        <f>IF(G178="","",VLOOKUP($B178,'C-1 Site River Baseline'!$C$9:$R$257,7,FALSE))</f>
        <v/>
      </c>
      <c r="I178" s="175" t="str">
        <f>IF(H178="","",VLOOKUP($B178,'C-1 Site River Baseline'!$C$9:$R$257,8,FALSE))</f>
        <v/>
      </c>
      <c r="J178" s="175" t="str">
        <f>IF(I178="","",VLOOKUP($B178,'C-1 Site River Baseline'!$C$9:$R$257,9,FALSE))</f>
        <v/>
      </c>
      <c r="K178" s="175" t="str">
        <f>IF(J178="","",VLOOKUP($B178,'C-1 Site River Baseline'!$C$9:$R$257,10,FALSE))</f>
        <v/>
      </c>
      <c r="L178" s="175" t="str">
        <f>IF(B178="","",VLOOKUP($B178,'C-1 Site River Baseline'!$C$9:$R$257,15,FALSE))</f>
        <v/>
      </c>
      <c r="M178" s="176" t="str">
        <f>IF(L178="","",VLOOKUP($B178,'C-1 Site River Baseline'!$C$9:$R$257,16,FALSE))</f>
        <v/>
      </c>
      <c r="N178" s="639" t="str">
        <f t="shared" si="17"/>
        <v/>
      </c>
      <c r="O178" s="239" t="str">
        <f t="shared" si="18"/>
        <v/>
      </c>
      <c r="P178" s="172" t="str">
        <f>IF(C178="","",IF(AND(LEFT(C178,55)&lt;&gt;LEFT(N178,55),O178="High - High"),"Error - Not like for like",IF(AND(F178=S178,H178&gt;U178),"Error - Can not reduce condition",IF(AND(F178=S178,H178=U178,AJ178='C-1 Site River Baseline'!N176,'C-1 Site River Baseline'!P176=AL178),"Error - No enhancement",IF(AND(C178&lt;&gt;N178,F178&lt;S178),"Lower Distinctiveness Habitat"&amp;" - "&amp;T178,G178&amp;" - "&amp;T178)))))</f>
        <v/>
      </c>
      <c r="Q178" s="660" t="str">
        <f>IF(N178="","",VLOOKUP(B178,'C-1 Site River Baseline'!$C$10:$AA$257,19,FALSE))</f>
        <v/>
      </c>
      <c r="R178" s="171" t="str">
        <f>IF(N178="","",VLOOKUP(N178,'G-7 Rivers Data'!$B$2:$G$8,2,FALSE))</f>
        <v/>
      </c>
      <c r="S178" s="172" t="str">
        <f>IFERROR(VLOOKUP(R178,'G-7 Rivers Data'!$C$4:$D$8,2,FALSE),"")</f>
        <v/>
      </c>
      <c r="T178" s="173"/>
      <c r="U178" s="172" t="str">
        <f>IFERROR(INDEX('G-7 Rivers Data'!$H$4:$L$8,MATCH(N178,'G-7 Rivers Data'!$B$4:$B$8,0),MATCH(T178,'G-7 Rivers Data'!$H$3:$L$3,0)),"")</f>
        <v/>
      </c>
      <c r="V178" s="186"/>
      <c r="W178" s="175" t="str">
        <f>IF(V178="","",IF(VLOOKUP(V178,'G-7 Rivers Data'!$AG$4:$AI$9,2,FALSE)=0,"Spatial Data Missing",VLOOKUP(V178,'G-7 Rivers Data'!$AG$4:$AI$9,2,FALSE)))</f>
        <v/>
      </c>
      <c r="X178" s="176" t="str">
        <f>IF(V178="","",IF(VLOOKUP(V178,'G-7 Rivers Data'!$AG$4:$AI$9,3,FALSE)=0,"Spatial Data Missing",VLOOKUP(V178,'G-7 Rivers Data'!$AG$4:$AI$9,3,FALSE)))</f>
        <v/>
      </c>
      <c r="Y178" s="171" t="str">
        <f>IFERROR(IF(OR(LEFT(P178,5)="Error",LEFT(O178,5)="Error"),"Check Data",IF(F178&lt;S178,'G-7 Rivers Data'!$R$3,INDEX('G-7 Rivers Data'!$U$5:$Y$9,MATCH(G178,'G-7 Rivers Data'!$T$5:$T$9,0),MATCH(T178,'G-7 Rivers Data'!$U$4:$Y$4,0)))),"")</f>
        <v/>
      </c>
      <c r="Z178" s="261"/>
      <c r="AA178" s="261"/>
      <c r="AB178" s="179" t="str">
        <f t="shared" si="19"/>
        <v/>
      </c>
      <c r="AC178" s="262" t="str">
        <f t="shared" si="20"/>
        <v/>
      </c>
      <c r="AD178" s="382" t="str">
        <f>IFERROR(IF(AC178="Check Data","Check Data",VLOOKUP(AC178,'G-4 Temporal multipliers'!$A$4:$C$37,3,FALSE)),"")</f>
        <v/>
      </c>
      <c r="AE178" s="171" t="str">
        <f>IF(N178="","",VLOOKUP(N178,'G-7 Rivers Data'!$B$4:$G$8,5,FALSE))</f>
        <v/>
      </c>
      <c r="AF178" s="179" t="str">
        <f t="shared" si="21"/>
        <v/>
      </c>
      <c r="AG178" s="269" t="str">
        <f t="shared" si="22"/>
        <v/>
      </c>
      <c r="AH178" s="172" t="str">
        <f t="shared" si="16"/>
        <v/>
      </c>
      <c r="AI178" s="173"/>
      <c r="AJ178" s="172" t="str">
        <f>IF(AI178="","",IF(VLOOKUP(AI178,'G-7 Rivers Data'!$AA$4:$AB$7,2,FALSE)=0,"Spatial Data Missing",VLOOKUP(AI178,'G-7 Rivers Data'!$AA$4:$AB$7,2,FALSE)))</f>
        <v/>
      </c>
      <c r="AK178" s="187"/>
      <c r="AL178" s="172" t="str">
        <f>IF(AK178="","",IF(VLOOKUP(AK178,'G-7 Rivers Data'!$AD$4:$AE$8,2,FALSE)=0,"Spatial Data Missing",VLOOKUP(AK178,'G-7 Rivers Data'!$AD$4:$AE$8,2,FALSE)))</f>
        <v/>
      </c>
      <c r="AM178" s="265" t="str">
        <f t="shared" si="23"/>
        <v/>
      </c>
      <c r="AN178" s="180"/>
      <c r="AO178" s="181"/>
      <c r="AV178" s="35" t="str">
        <f>IFERROR(INDEX('G-7 Rivers Data'!$AZ$3:$AZ$7,MATCH(N178,'G-7 Rivers Data'!$AY$3:$AY$7,0)),"")</f>
        <v/>
      </c>
    </row>
    <row r="179" spans="2:48" ht="13.8" x14ac:dyDescent="0.25">
      <c r="B179" s="259" t="str">
        <f>'C-1 Site River Baseline'!AN177</f>
        <v/>
      </c>
      <c r="C179" s="175" t="str">
        <f>IF(B179="","",VLOOKUP($B179,'C-1 Site River Baseline'!$C$9:$R$257,2,FALSE))</f>
        <v/>
      </c>
      <c r="D179" s="175" t="str">
        <f>IF(C179="","",VLOOKUP($B179,'C-1 Site River Baseline'!$C$9:$R$257,3,FALSE))</f>
        <v/>
      </c>
      <c r="E179" s="175" t="str">
        <f>IF(D179="","",VLOOKUP($B179,'C-1 Site River Baseline'!$C$9:$R$257,4,FALSE))</f>
        <v/>
      </c>
      <c r="F179" s="175" t="str">
        <f>IF(E179="","",VLOOKUP($B179,'C-1 Site River Baseline'!$C$9:$R$257,5,FALSE))</f>
        <v/>
      </c>
      <c r="G179" s="175" t="str">
        <f>IF(F179="","",VLOOKUP($B179,'C-1 Site River Baseline'!$C$9:$R$257,6,FALSE))</f>
        <v/>
      </c>
      <c r="H179" s="175" t="str">
        <f>IF(G179="","",VLOOKUP($B179,'C-1 Site River Baseline'!$C$9:$R$257,7,FALSE))</f>
        <v/>
      </c>
      <c r="I179" s="175" t="str">
        <f>IF(H179="","",VLOOKUP($B179,'C-1 Site River Baseline'!$C$9:$R$257,8,FALSE))</f>
        <v/>
      </c>
      <c r="J179" s="175" t="str">
        <f>IF(I179="","",VLOOKUP($B179,'C-1 Site River Baseline'!$C$9:$R$257,9,FALSE))</f>
        <v/>
      </c>
      <c r="K179" s="175" t="str">
        <f>IF(J179="","",VLOOKUP($B179,'C-1 Site River Baseline'!$C$9:$R$257,10,FALSE))</f>
        <v/>
      </c>
      <c r="L179" s="175" t="str">
        <f>IF(B179="","",VLOOKUP($B179,'C-1 Site River Baseline'!$C$9:$R$257,15,FALSE))</f>
        <v/>
      </c>
      <c r="M179" s="176" t="str">
        <f>IF(L179="","",VLOOKUP($B179,'C-1 Site River Baseline'!$C$9:$R$257,16,FALSE))</f>
        <v/>
      </c>
      <c r="N179" s="639" t="str">
        <f t="shared" si="17"/>
        <v/>
      </c>
      <c r="O179" s="239" t="str">
        <f t="shared" si="18"/>
        <v/>
      </c>
      <c r="P179" s="172" t="str">
        <f>IF(C179="","",IF(AND(LEFT(C179,55)&lt;&gt;LEFT(N179,55),O179="High - High"),"Error - Not like for like",IF(AND(F179=S179,H179&gt;U179),"Error - Can not reduce condition",IF(AND(F179=S179,H179=U179,AJ179='C-1 Site River Baseline'!N177,'C-1 Site River Baseline'!P177=AL179),"Error - No enhancement",IF(AND(C179&lt;&gt;N179,F179&lt;S179),"Lower Distinctiveness Habitat"&amp;" - "&amp;T179,G179&amp;" - "&amp;T179)))))</f>
        <v/>
      </c>
      <c r="Q179" s="660" t="str">
        <f>IF(N179="","",VLOOKUP(B179,'C-1 Site River Baseline'!$C$10:$AA$257,19,FALSE))</f>
        <v/>
      </c>
      <c r="R179" s="171" t="str">
        <f>IF(N179="","",VLOOKUP(N179,'G-7 Rivers Data'!$B$2:$G$8,2,FALSE))</f>
        <v/>
      </c>
      <c r="S179" s="172" t="str">
        <f>IFERROR(VLOOKUP(R179,'G-7 Rivers Data'!$C$4:$D$8,2,FALSE),"")</f>
        <v/>
      </c>
      <c r="T179" s="173"/>
      <c r="U179" s="172" t="str">
        <f>IFERROR(INDEX('G-7 Rivers Data'!$H$4:$L$8,MATCH(N179,'G-7 Rivers Data'!$B$4:$B$8,0),MATCH(T179,'G-7 Rivers Data'!$H$3:$L$3,0)),"")</f>
        <v/>
      </c>
      <c r="V179" s="186"/>
      <c r="W179" s="175" t="str">
        <f>IF(V179="","",IF(VLOOKUP(V179,'G-7 Rivers Data'!$AG$4:$AI$9,2,FALSE)=0,"Spatial Data Missing",VLOOKUP(V179,'G-7 Rivers Data'!$AG$4:$AI$9,2,FALSE)))</f>
        <v/>
      </c>
      <c r="X179" s="176" t="str">
        <f>IF(V179="","",IF(VLOOKUP(V179,'G-7 Rivers Data'!$AG$4:$AI$9,3,FALSE)=0,"Spatial Data Missing",VLOOKUP(V179,'G-7 Rivers Data'!$AG$4:$AI$9,3,FALSE)))</f>
        <v/>
      </c>
      <c r="Y179" s="171" t="str">
        <f>IFERROR(IF(OR(LEFT(P179,5)="Error",LEFT(O179,5)="Error"),"Check Data",IF(F179&lt;S179,'G-7 Rivers Data'!$R$3,INDEX('G-7 Rivers Data'!$U$5:$Y$9,MATCH(G179,'G-7 Rivers Data'!$T$5:$T$9,0),MATCH(T179,'G-7 Rivers Data'!$U$4:$Y$4,0)))),"")</f>
        <v/>
      </c>
      <c r="Z179" s="261"/>
      <c r="AA179" s="261"/>
      <c r="AB179" s="179" t="str">
        <f t="shared" si="19"/>
        <v/>
      </c>
      <c r="AC179" s="262" t="str">
        <f t="shared" si="20"/>
        <v/>
      </c>
      <c r="AD179" s="382" t="str">
        <f>IFERROR(IF(AC179="Check Data","Check Data",VLOOKUP(AC179,'G-4 Temporal multipliers'!$A$4:$C$37,3,FALSE)),"")</f>
        <v/>
      </c>
      <c r="AE179" s="171" t="str">
        <f>IF(N179="","",VLOOKUP(N179,'G-7 Rivers Data'!$B$4:$G$8,5,FALSE))</f>
        <v/>
      </c>
      <c r="AF179" s="179" t="str">
        <f t="shared" si="21"/>
        <v/>
      </c>
      <c r="AG179" s="269" t="str">
        <f t="shared" si="22"/>
        <v/>
      </c>
      <c r="AH179" s="172" t="str">
        <f t="shared" si="16"/>
        <v/>
      </c>
      <c r="AI179" s="173"/>
      <c r="AJ179" s="172" t="str">
        <f>IF(AI179="","",IF(VLOOKUP(AI179,'G-7 Rivers Data'!$AA$4:$AB$7,2,FALSE)=0,"Spatial Data Missing",VLOOKUP(AI179,'G-7 Rivers Data'!$AA$4:$AB$7,2,FALSE)))</f>
        <v/>
      </c>
      <c r="AK179" s="187"/>
      <c r="AL179" s="172" t="str">
        <f>IF(AK179="","",IF(VLOOKUP(AK179,'G-7 Rivers Data'!$AD$4:$AE$8,2,FALSE)=0,"Spatial Data Missing",VLOOKUP(AK179,'G-7 Rivers Data'!$AD$4:$AE$8,2,FALSE)))</f>
        <v/>
      </c>
      <c r="AM179" s="265" t="str">
        <f t="shared" si="23"/>
        <v/>
      </c>
      <c r="AN179" s="180"/>
      <c r="AO179" s="181"/>
      <c r="AV179" s="35" t="str">
        <f>IFERROR(INDEX('G-7 Rivers Data'!$AZ$3:$AZ$7,MATCH(N179,'G-7 Rivers Data'!$AY$3:$AY$7,0)),"")</f>
        <v/>
      </c>
    </row>
    <row r="180" spans="2:48" ht="13.8" x14ac:dyDescent="0.25">
      <c r="B180" s="259" t="str">
        <f>'C-1 Site River Baseline'!AN178</f>
        <v/>
      </c>
      <c r="C180" s="175" t="str">
        <f>IF(B180="","",VLOOKUP($B180,'C-1 Site River Baseline'!$C$9:$R$257,2,FALSE))</f>
        <v/>
      </c>
      <c r="D180" s="175" t="str">
        <f>IF(C180="","",VLOOKUP($B180,'C-1 Site River Baseline'!$C$9:$R$257,3,FALSE))</f>
        <v/>
      </c>
      <c r="E180" s="175" t="str">
        <f>IF(D180="","",VLOOKUP($B180,'C-1 Site River Baseline'!$C$9:$R$257,4,FALSE))</f>
        <v/>
      </c>
      <c r="F180" s="175" t="str">
        <f>IF(E180="","",VLOOKUP($B180,'C-1 Site River Baseline'!$C$9:$R$257,5,FALSE))</f>
        <v/>
      </c>
      <c r="G180" s="175" t="str">
        <f>IF(F180="","",VLOOKUP($B180,'C-1 Site River Baseline'!$C$9:$R$257,6,FALSE))</f>
        <v/>
      </c>
      <c r="H180" s="175" t="str">
        <f>IF(G180="","",VLOOKUP($B180,'C-1 Site River Baseline'!$C$9:$R$257,7,FALSE))</f>
        <v/>
      </c>
      <c r="I180" s="175" t="str">
        <f>IF(H180="","",VLOOKUP($B180,'C-1 Site River Baseline'!$C$9:$R$257,8,FALSE))</f>
        <v/>
      </c>
      <c r="J180" s="175" t="str">
        <f>IF(I180="","",VLOOKUP($B180,'C-1 Site River Baseline'!$C$9:$R$257,9,FALSE))</f>
        <v/>
      </c>
      <c r="K180" s="175" t="str">
        <f>IF(J180="","",VLOOKUP($B180,'C-1 Site River Baseline'!$C$9:$R$257,10,FALSE))</f>
        <v/>
      </c>
      <c r="L180" s="175" t="str">
        <f>IF(B180="","",VLOOKUP($B180,'C-1 Site River Baseline'!$C$9:$R$257,15,FALSE))</f>
        <v/>
      </c>
      <c r="M180" s="176" t="str">
        <f>IF(L180="","",VLOOKUP($B180,'C-1 Site River Baseline'!$C$9:$R$257,16,FALSE))</f>
        <v/>
      </c>
      <c r="N180" s="639" t="str">
        <f t="shared" si="17"/>
        <v/>
      </c>
      <c r="O180" s="239" t="str">
        <f t="shared" si="18"/>
        <v/>
      </c>
      <c r="P180" s="172" t="str">
        <f>IF(C180="","",IF(AND(LEFT(C180,55)&lt;&gt;LEFT(N180,55),O180="High - High"),"Error - Not like for like",IF(AND(F180=S180,H180&gt;U180),"Error - Can not reduce condition",IF(AND(F180=S180,H180=U180,AJ180='C-1 Site River Baseline'!N178,'C-1 Site River Baseline'!P178=AL180),"Error - No enhancement",IF(AND(C180&lt;&gt;N180,F180&lt;S180),"Lower Distinctiveness Habitat"&amp;" - "&amp;T180,G180&amp;" - "&amp;T180)))))</f>
        <v/>
      </c>
      <c r="Q180" s="660" t="str">
        <f>IF(N180="","",VLOOKUP(B180,'C-1 Site River Baseline'!$C$10:$AA$257,19,FALSE))</f>
        <v/>
      </c>
      <c r="R180" s="171" t="str">
        <f>IF(N180="","",VLOOKUP(N180,'G-7 Rivers Data'!$B$2:$G$8,2,FALSE))</f>
        <v/>
      </c>
      <c r="S180" s="172" t="str">
        <f>IFERROR(VLOOKUP(R180,'G-7 Rivers Data'!$C$4:$D$8,2,FALSE),"")</f>
        <v/>
      </c>
      <c r="T180" s="173"/>
      <c r="U180" s="172" t="str">
        <f>IFERROR(INDEX('G-7 Rivers Data'!$H$4:$L$8,MATCH(N180,'G-7 Rivers Data'!$B$4:$B$8,0),MATCH(T180,'G-7 Rivers Data'!$H$3:$L$3,0)),"")</f>
        <v/>
      </c>
      <c r="V180" s="186"/>
      <c r="W180" s="175" t="str">
        <f>IF(V180="","",IF(VLOOKUP(V180,'G-7 Rivers Data'!$AG$4:$AI$9,2,FALSE)=0,"Spatial Data Missing",VLOOKUP(V180,'G-7 Rivers Data'!$AG$4:$AI$9,2,FALSE)))</f>
        <v/>
      </c>
      <c r="X180" s="176" t="str">
        <f>IF(V180="","",IF(VLOOKUP(V180,'G-7 Rivers Data'!$AG$4:$AI$9,3,FALSE)=0,"Spatial Data Missing",VLOOKUP(V180,'G-7 Rivers Data'!$AG$4:$AI$9,3,FALSE)))</f>
        <v/>
      </c>
      <c r="Y180" s="171" t="str">
        <f>IFERROR(IF(OR(LEFT(P180,5)="Error",LEFT(O180,5)="Error"),"Check Data",IF(F180&lt;S180,'G-7 Rivers Data'!$R$3,INDEX('G-7 Rivers Data'!$U$5:$Y$9,MATCH(G180,'G-7 Rivers Data'!$T$5:$T$9,0),MATCH(T180,'G-7 Rivers Data'!$U$4:$Y$4,0)))),"")</f>
        <v/>
      </c>
      <c r="Z180" s="261"/>
      <c r="AA180" s="261"/>
      <c r="AB180" s="179" t="str">
        <f t="shared" si="19"/>
        <v/>
      </c>
      <c r="AC180" s="262" t="str">
        <f t="shared" si="20"/>
        <v/>
      </c>
      <c r="AD180" s="382" t="str">
        <f>IFERROR(IF(AC180="Check Data","Check Data",VLOOKUP(AC180,'G-4 Temporal multipliers'!$A$4:$C$37,3,FALSE)),"")</f>
        <v/>
      </c>
      <c r="AE180" s="171" t="str">
        <f>IF(N180="","",VLOOKUP(N180,'G-7 Rivers Data'!$B$4:$G$8,5,FALSE))</f>
        <v/>
      </c>
      <c r="AF180" s="179" t="str">
        <f t="shared" si="21"/>
        <v/>
      </c>
      <c r="AG180" s="269" t="str">
        <f t="shared" si="22"/>
        <v/>
      </c>
      <c r="AH180" s="172" t="str">
        <f t="shared" si="16"/>
        <v/>
      </c>
      <c r="AI180" s="173"/>
      <c r="AJ180" s="172" t="str">
        <f>IF(AI180="","",IF(VLOOKUP(AI180,'G-7 Rivers Data'!$AA$4:$AB$7,2,FALSE)=0,"Spatial Data Missing",VLOOKUP(AI180,'G-7 Rivers Data'!$AA$4:$AB$7,2,FALSE)))</f>
        <v/>
      </c>
      <c r="AK180" s="187"/>
      <c r="AL180" s="172" t="str">
        <f>IF(AK180="","",IF(VLOOKUP(AK180,'G-7 Rivers Data'!$AD$4:$AE$8,2,FALSE)=0,"Spatial Data Missing",VLOOKUP(AK180,'G-7 Rivers Data'!$AD$4:$AE$8,2,FALSE)))</f>
        <v/>
      </c>
      <c r="AM180" s="265" t="str">
        <f t="shared" si="23"/>
        <v/>
      </c>
      <c r="AN180" s="180"/>
      <c r="AO180" s="181"/>
      <c r="AV180" s="35" t="str">
        <f>IFERROR(INDEX('G-7 Rivers Data'!$AZ$3:$AZ$7,MATCH(N180,'G-7 Rivers Data'!$AY$3:$AY$7,0)),"")</f>
        <v/>
      </c>
    </row>
    <row r="181" spans="2:48" ht="13.8" x14ac:dyDescent="0.25">
      <c r="B181" s="259" t="str">
        <f>'C-1 Site River Baseline'!AN179</f>
        <v/>
      </c>
      <c r="C181" s="175" t="str">
        <f>IF(B181="","",VLOOKUP($B181,'C-1 Site River Baseline'!$C$9:$R$257,2,FALSE))</f>
        <v/>
      </c>
      <c r="D181" s="175" t="str">
        <f>IF(C181="","",VLOOKUP($B181,'C-1 Site River Baseline'!$C$9:$R$257,3,FALSE))</f>
        <v/>
      </c>
      <c r="E181" s="175" t="str">
        <f>IF(D181="","",VLOOKUP($B181,'C-1 Site River Baseline'!$C$9:$R$257,4,FALSE))</f>
        <v/>
      </c>
      <c r="F181" s="175" t="str">
        <f>IF(E181="","",VLOOKUP($B181,'C-1 Site River Baseline'!$C$9:$R$257,5,FALSE))</f>
        <v/>
      </c>
      <c r="G181" s="175" t="str">
        <f>IF(F181="","",VLOOKUP($B181,'C-1 Site River Baseline'!$C$9:$R$257,6,FALSE))</f>
        <v/>
      </c>
      <c r="H181" s="175" t="str">
        <f>IF(G181="","",VLOOKUP($B181,'C-1 Site River Baseline'!$C$9:$R$257,7,FALSE))</f>
        <v/>
      </c>
      <c r="I181" s="175" t="str">
        <f>IF(H181="","",VLOOKUP($B181,'C-1 Site River Baseline'!$C$9:$R$257,8,FALSE))</f>
        <v/>
      </c>
      <c r="J181" s="175" t="str">
        <f>IF(I181="","",VLOOKUP($B181,'C-1 Site River Baseline'!$C$9:$R$257,9,FALSE))</f>
        <v/>
      </c>
      <c r="K181" s="175" t="str">
        <f>IF(J181="","",VLOOKUP($B181,'C-1 Site River Baseline'!$C$9:$R$257,10,FALSE))</f>
        <v/>
      </c>
      <c r="L181" s="175" t="str">
        <f>IF(B181="","",VLOOKUP($B181,'C-1 Site River Baseline'!$C$9:$R$257,15,FALSE))</f>
        <v/>
      </c>
      <c r="M181" s="176" t="str">
        <f>IF(L181="","",VLOOKUP($B181,'C-1 Site River Baseline'!$C$9:$R$257,16,FALSE))</f>
        <v/>
      </c>
      <c r="N181" s="639" t="str">
        <f t="shared" si="17"/>
        <v/>
      </c>
      <c r="O181" s="239" t="str">
        <f t="shared" si="18"/>
        <v/>
      </c>
      <c r="P181" s="172" t="str">
        <f>IF(C181="","",IF(AND(LEFT(C181,55)&lt;&gt;LEFT(N181,55),O181="High - High"),"Error - Not like for like",IF(AND(F181=S181,H181&gt;U181),"Error - Can not reduce condition",IF(AND(F181=S181,H181=U181,AJ181='C-1 Site River Baseline'!N179,'C-1 Site River Baseline'!P179=AL181),"Error - No enhancement",IF(AND(C181&lt;&gt;N181,F181&lt;S181),"Lower Distinctiveness Habitat"&amp;" - "&amp;T181,G181&amp;" - "&amp;T181)))))</f>
        <v/>
      </c>
      <c r="Q181" s="660" t="str">
        <f>IF(N181="","",VLOOKUP(B181,'C-1 Site River Baseline'!$C$10:$AA$257,19,FALSE))</f>
        <v/>
      </c>
      <c r="R181" s="171" t="str">
        <f>IF(N181="","",VLOOKUP(N181,'G-7 Rivers Data'!$B$2:$G$8,2,FALSE))</f>
        <v/>
      </c>
      <c r="S181" s="172" t="str">
        <f>IFERROR(VLOOKUP(R181,'G-7 Rivers Data'!$C$4:$D$8,2,FALSE),"")</f>
        <v/>
      </c>
      <c r="T181" s="173"/>
      <c r="U181" s="172" t="str">
        <f>IFERROR(INDEX('G-7 Rivers Data'!$H$4:$L$8,MATCH(N181,'G-7 Rivers Data'!$B$4:$B$8,0),MATCH(T181,'G-7 Rivers Data'!$H$3:$L$3,0)),"")</f>
        <v/>
      </c>
      <c r="V181" s="186"/>
      <c r="W181" s="175" t="str">
        <f>IF(V181="","",IF(VLOOKUP(V181,'G-7 Rivers Data'!$AG$4:$AI$9,2,FALSE)=0,"Spatial Data Missing",VLOOKUP(V181,'G-7 Rivers Data'!$AG$4:$AI$9,2,FALSE)))</f>
        <v/>
      </c>
      <c r="X181" s="176" t="str">
        <f>IF(V181="","",IF(VLOOKUP(V181,'G-7 Rivers Data'!$AG$4:$AI$9,3,FALSE)=0,"Spatial Data Missing",VLOOKUP(V181,'G-7 Rivers Data'!$AG$4:$AI$9,3,FALSE)))</f>
        <v/>
      </c>
      <c r="Y181" s="171" t="str">
        <f>IFERROR(IF(OR(LEFT(P181,5)="Error",LEFT(O181,5)="Error"),"Check Data",IF(F181&lt;S181,'G-7 Rivers Data'!$R$3,INDEX('G-7 Rivers Data'!$U$5:$Y$9,MATCH(G181,'G-7 Rivers Data'!$T$5:$T$9,0),MATCH(T181,'G-7 Rivers Data'!$U$4:$Y$4,0)))),"")</f>
        <v/>
      </c>
      <c r="Z181" s="261"/>
      <c r="AA181" s="261"/>
      <c r="AB181" s="179" t="str">
        <f t="shared" si="19"/>
        <v/>
      </c>
      <c r="AC181" s="262" t="str">
        <f t="shared" si="20"/>
        <v/>
      </c>
      <c r="AD181" s="382" t="str">
        <f>IFERROR(IF(AC181="Check Data","Check Data",VLOOKUP(AC181,'G-4 Temporal multipliers'!$A$4:$C$37,3,FALSE)),"")</f>
        <v/>
      </c>
      <c r="AE181" s="171" t="str">
        <f>IF(N181="","",VLOOKUP(N181,'G-7 Rivers Data'!$B$4:$G$8,5,FALSE))</f>
        <v/>
      </c>
      <c r="AF181" s="179" t="str">
        <f t="shared" si="21"/>
        <v/>
      </c>
      <c r="AG181" s="269" t="str">
        <f t="shared" si="22"/>
        <v/>
      </c>
      <c r="AH181" s="172" t="str">
        <f t="shared" si="16"/>
        <v/>
      </c>
      <c r="AI181" s="173"/>
      <c r="AJ181" s="172" t="str">
        <f>IF(AI181="","",IF(VLOOKUP(AI181,'G-7 Rivers Data'!$AA$4:$AB$7,2,FALSE)=0,"Spatial Data Missing",VLOOKUP(AI181,'G-7 Rivers Data'!$AA$4:$AB$7,2,FALSE)))</f>
        <v/>
      </c>
      <c r="AK181" s="187"/>
      <c r="AL181" s="172" t="str">
        <f>IF(AK181="","",IF(VLOOKUP(AK181,'G-7 Rivers Data'!$AD$4:$AE$8,2,FALSE)=0,"Spatial Data Missing",VLOOKUP(AK181,'G-7 Rivers Data'!$AD$4:$AE$8,2,FALSE)))</f>
        <v/>
      </c>
      <c r="AM181" s="265" t="str">
        <f t="shared" si="23"/>
        <v/>
      </c>
      <c r="AN181" s="180"/>
      <c r="AO181" s="181"/>
      <c r="AV181" s="35" t="str">
        <f>IFERROR(INDEX('G-7 Rivers Data'!$AZ$3:$AZ$7,MATCH(N181,'G-7 Rivers Data'!$AY$3:$AY$7,0)),"")</f>
        <v/>
      </c>
    </row>
    <row r="182" spans="2:48" ht="13.8" x14ac:dyDescent="0.25">
      <c r="B182" s="259" t="str">
        <f>'C-1 Site River Baseline'!AN180</f>
        <v/>
      </c>
      <c r="C182" s="175" t="str">
        <f>IF(B182="","",VLOOKUP($B182,'C-1 Site River Baseline'!$C$9:$R$257,2,FALSE))</f>
        <v/>
      </c>
      <c r="D182" s="175" t="str">
        <f>IF(C182="","",VLOOKUP($B182,'C-1 Site River Baseline'!$C$9:$R$257,3,FALSE))</f>
        <v/>
      </c>
      <c r="E182" s="175" t="str">
        <f>IF(D182="","",VLOOKUP($B182,'C-1 Site River Baseline'!$C$9:$R$257,4,FALSE))</f>
        <v/>
      </c>
      <c r="F182" s="175" t="str">
        <f>IF(E182="","",VLOOKUP($B182,'C-1 Site River Baseline'!$C$9:$R$257,5,FALSE))</f>
        <v/>
      </c>
      <c r="G182" s="175" t="str">
        <f>IF(F182="","",VLOOKUP($B182,'C-1 Site River Baseline'!$C$9:$R$257,6,FALSE))</f>
        <v/>
      </c>
      <c r="H182" s="175" t="str">
        <f>IF(G182="","",VLOOKUP($B182,'C-1 Site River Baseline'!$C$9:$R$257,7,FALSE))</f>
        <v/>
      </c>
      <c r="I182" s="175" t="str">
        <f>IF(H182="","",VLOOKUP($B182,'C-1 Site River Baseline'!$C$9:$R$257,8,FALSE))</f>
        <v/>
      </c>
      <c r="J182" s="175" t="str">
        <f>IF(I182="","",VLOOKUP($B182,'C-1 Site River Baseline'!$C$9:$R$257,9,FALSE))</f>
        <v/>
      </c>
      <c r="K182" s="175" t="str">
        <f>IF(J182="","",VLOOKUP($B182,'C-1 Site River Baseline'!$C$9:$R$257,10,FALSE))</f>
        <v/>
      </c>
      <c r="L182" s="175" t="str">
        <f>IF(B182="","",VLOOKUP($B182,'C-1 Site River Baseline'!$C$9:$R$257,15,FALSE))</f>
        <v/>
      </c>
      <c r="M182" s="176" t="str">
        <f>IF(L182="","",VLOOKUP($B182,'C-1 Site River Baseline'!$C$9:$R$257,16,FALSE))</f>
        <v/>
      </c>
      <c r="N182" s="639" t="str">
        <f t="shared" si="17"/>
        <v/>
      </c>
      <c r="O182" s="239" t="str">
        <f t="shared" si="18"/>
        <v/>
      </c>
      <c r="P182" s="172" t="str">
        <f>IF(C182="","",IF(AND(LEFT(C182,55)&lt;&gt;LEFT(N182,55),O182="High - High"),"Error - Not like for like",IF(AND(F182=S182,H182&gt;U182),"Error - Can not reduce condition",IF(AND(F182=S182,H182=U182,AJ182='C-1 Site River Baseline'!N180,'C-1 Site River Baseline'!P180=AL182),"Error - No enhancement",IF(AND(C182&lt;&gt;N182,F182&lt;S182),"Lower Distinctiveness Habitat"&amp;" - "&amp;T182,G182&amp;" - "&amp;T182)))))</f>
        <v/>
      </c>
      <c r="Q182" s="660" t="str">
        <f>IF(N182="","",VLOOKUP(B182,'C-1 Site River Baseline'!$C$10:$AA$257,19,FALSE))</f>
        <v/>
      </c>
      <c r="R182" s="171" t="str">
        <f>IF(N182="","",VLOOKUP(N182,'G-7 Rivers Data'!$B$2:$G$8,2,FALSE))</f>
        <v/>
      </c>
      <c r="S182" s="172" t="str">
        <f>IFERROR(VLOOKUP(R182,'G-7 Rivers Data'!$C$4:$D$8,2,FALSE),"")</f>
        <v/>
      </c>
      <c r="T182" s="173"/>
      <c r="U182" s="172" t="str">
        <f>IFERROR(INDEX('G-7 Rivers Data'!$H$4:$L$8,MATCH(N182,'G-7 Rivers Data'!$B$4:$B$8,0),MATCH(T182,'G-7 Rivers Data'!$H$3:$L$3,0)),"")</f>
        <v/>
      </c>
      <c r="V182" s="186"/>
      <c r="W182" s="175" t="str">
        <f>IF(V182="","",IF(VLOOKUP(V182,'G-7 Rivers Data'!$AG$4:$AI$9,2,FALSE)=0,"Spatial Data Missing",VLOOKUP(V182,'G-7 Rivers Data'!$AG$4:$AI$9,2,FALSE)))</f>
        <v/>
      </c>
      <c r="X182" s="176" t="str">
        <f>IF(V182="","",IF(VLOOKUP(V182,'G-7 Rivers Data'!$AG$4:$AI$9,3,FALSE)=0,"Spatial Data Missing",VLOOKUP(V182,'G-7 Rivers Data'!$AG$4:$AI$9,3,FALSE)))</f>
        <v/>
      </c>
      <c r="Y182" s="171" t="str">
        <f>IFERROR(IF(OR(LEFT(P182,5)="Error",LEFT(O182,5)="Error"),"Check Data",IF(F182&lt;S182,'G-7 Rivers Data'!$R$3,INDEX('G-7 Rivers Data'!$U$5:$Y$9,MATCH(G182,'G-7 Rivers Data'!$T$5:$T$9,0),MATCH(T182,'G-7 Rivers Data'!$U$4:$Y$4,0)))),"")</f>
        <v/>
      </c>
      <c r="Z182" s="261"/>
      <c r="AA182" s="261"/>
      <c r="AB182" s="179" t="str">
        <f t="shared" si="19"/>
        <v/>
      </c>
      <c r="AC182" s="262" t="str">
        <f t="shared" si="20"/>
        <v/>
      </c>
      <c r="AD182" s="382" t="str">
        <f>IFERROR(IF(AC182="Check Data","Check Data",VLOOKUP(AC182,'G-4 Temporal multipliers'!$A$4:$C$37,3,FALSE)),"")</f>
        <v/>
      </c>
      <c r="AE182" s="171" t="str">
        <f>IF(N182="","",VLOOKUP(N182,'G-7 Rivers Data'!$B$4:$G$8,5,FALSE))</f>
        <v/>
      </c>
      <c r="AF182" s="179" t="str">
        <f t="shared" si="21"/>
        <v/>
      </c>
      <c r="AG182" s="269" t="str">
        <f t="shared" si="22"/>
        <v/>
      </c>
      <c r="AH182" s="172" t="str">
        <f t="shared" si="16"/>
        <v/>
      </c>
      <c r="AI182" s="173"/>
      <c r="AJ182" s="172" t="str">
        <f>IF(AI182="","",IF(VLOOKUP(AI182,'G-7 Rivers Data'!$AA$4:$AB$7,2,FALSE)=0,"Spatial Data Missing",VLOOKUP(AI182,'G-7 Rivers Data'!$AA$4:$AB$7,2,FALSE)))</f>
        <v/>
      </c>
      <c r="AK182" s="187"/>
      <c r="AL182" s="172" t="str">
        <f>IF(AK182="","",IF(VLOOKUP(AK182,'G-7 Rivers Data'!$AD$4:$AE$8,2,FALSE)=0,"Spatial Data Missing",VLOOKUP(AK182,'G-7 Rivers Data'!$AD$4:$AE$8,2,FALSE)))</f>
        <v/>
      </c>
      <c r="AM182" s="265" t="str">
        <f t="shared" si="23"/>
        <v/>
      </c>
      <c r="AN182" s="180"/>
      <c r="AO182" s="181"/>
      <c r="AV182" s="35" t="str">
        <f>IFERROR(INDEX('G-7 Rivers Data'!$AZ$3:$AZ$7,MATCH(N182,'G-7 Rivers Data'!$AY$3:$AY$7,0)),"")</f>
        <v/>
      </c>
    </row>
    <row r="183" spans="2:48" ht="13.8" x14ac:dyDescent="0.25">
      <c r="B183" s="259" t="str">
        <f>'C-1 Site River Baseline'!AN181</f>
        <v/>
      </c>
      <c r="C183" s="175" t="str">
        <f>IF(B183="","",VLOOKUP($B183,'C-1 Site River Baseline'!$C$9:$R$257,2,FALSE))</f>
        <v/>
      </c>
      <c r="D183" s="175" t="str">
        <f>IF(C183="","",VLOOKUP($B183,'C-1 Site River Baseline'!$C$9:$R$257,3,FALSE))</f>
        <v/>
      </c>
      <c r="E183" s="175" t="str">
        <f>IF(D183="","",VLOOKUP($B183,'C-1 Site River Baseline'!$C$9:$R$257,4,FALSE))</f>
        <v/>
      </c>
      <c r="F183" s="175" t="str">
        <f>IF(E183="","",VLOOKUP($B183,'C-1 Site River Baseline'!$C$9:$R$257,5,FALSE))</f>
        <v/>
      </c>
      <c r="G183" s="175" t="str">
        <f>IF(F183="","",VLOOKUP($B183,'C-1 Site River Baseline'!$C$9:$R$257,6,FALSE))</f>
        <v/>
      </c>
      <c r="H183" s="175" t="str">
        <f>IF(G183="","",VLOOKUP($B183,'C-1 Site River Baseline'!$C$9:$R$257,7,FALSE))</f>
        <v/>
      </c>
      <c r="I183" s="175" t="str">
        <f>IF(H183="","",VLOOKUP($B183,'C-1 Site River Baseline'!$C$9:$R$257,8,FALSE))</f>
        <v/>
      </c>
      <c r="J183" s="175" t="str">
        <f>IF(I183="","",VLOOKUP($B183,'C-1 Site River Baseline'!$C$9:$R$257,9,FALSE))</f>
        <v/>
      </c>
      <c r="K183" s="175" t="str">
        <f>IF(J183="","",VLOOKUP($B183,'C-1 Site River Baseline'!$C$9:$R$257,10,FALSE))</f>
        <v/>
      </c>
      <c r="L183" s="175" t="str">
        <f>IF(B183="","",VLOOKUP($B183,'C-1 Site River Baseline'!$C$9:$R$257,15,FALSE))</f>
        <v/>
      </c>
      <c r="M183" s="176" t="str">
        <f>IF(L183="","",VLOOKUP($B183,'C-1 Site River Baseline'!$C$9:$R$257,16,FALSE))</f>
        <v/>
      </c>
      <c r="N183" s="639" t="str">
        <f t="shared" si="17"/>
        <v/>
      </c>
      <c r="O183" s="239" t="str">
        <f t="shared" si="18"/>
        <v/>
      </c>
      <c r="P183" s="172" t="str">
        <f>IF(C183="","",IF(AND(LEFT(C183,55)&lt;&gt;LEFT(N183,55),O183="High - High"),"Error - Not like for like",IF(AND(F183=S183,H183&gt;U183),"Error - Can not reduce condition",IF(AND(F183=S183,H183=U183,AJ183='C-1 Site River Baseline'!N181,'C-1 Site River Baseline'!P181=AL183),"Error - No enhancement",IF(AND(C183&lt;&gt;N183,F183&lt;S183),"Lower Distinctiveness Habitat"&amp;" - "&amp;T183,G183&amp;" - "&amp;T183)))))</f>
        <v/>
      </c>
      <c r="Q183" s="660" t="str">
        <f>IF(N183="","",VLOOKUP(B183,'C-1 Site River Baseline'!$C$10:$AA$257,19,FALSE))</f>
        <v/>
      </c>
      <c r="R183" s="171" t="str">
        <f>IF(N183="","",VLOOKUP(N183,'G-7 Rivers Data'!$B$2:$G$8,2,FALSE))</f>
        <v/>
      </c>
      <c r="S183" s="172" t="str">
        <f>IFERROR(VLOOKUP(R183,'G-7 Rivers Data'!$C$4:$D$8,2,FALSE),"")</f>
        <v/>
      </c>
      <c r="T183" s="173"/>
      <c r="U183" s="172" t="str">
        <f>IFERROR(INDEX('G-7 Rivers Data'!$H$4:$L$8,MATCH(N183,'G-7 Rivers Data'!$B$4:$B$8,0),MATCH(T183,'G-7 Rivers Data'!$H$3:$L$3,0)),"")</f>
        <v/>
      </c>
      <c r="V183" s="186"/>
      <c r="W183" s="175" t="str">
        <f>IF(V183="","",IF(VLOOKUP(V183,'G-7 Rivers Data'!$AG$4:$AI$9,2,FALSE)=0,"Spatial Data Missing",VLOOKUP(V183,'G-7 Rivers Data'!$AG$4:$AI$9,2,FALSE)))</f>
        <v/>
      </c>
      <c r="X183" s="176" t="str">
        <f>IF(V183="","",IF(VLOOKUP(V183,'G-7 Rivers Data'!$AG$4:$AI$9,3,FALSE)=0,"Spatial Data Missing",VLOOKUP(V183,'G-7 Rivers Data'!$AG$4:$AI$9,3,FALSE)))</f>
        <v/>
      </c>
      <c r="Y183" s="171" t="str">
        <f>IFERROR(IF(OR(LEFT(P183,5)="Error",LEFT(O183,5)="Error"),"Check Data",IF(F183&lt;S183,'G-7 Rivers Data'!$R$3,INDEX('G-7 Rivers Data'!$U$5:$Y$9,MATCH(G183,'G-7 Rivers Data'!$T$5:$T$9,0),MATCH(T183,'G-7 Rivers Data'!$U$4:$Y$4,0)))),"")</f>
        <v/>
      </c>
      <c r="Z183" s="261"/>
      <c r="AA183" s="261"/>
      <c r="AB183" s="179" t="str">
        <f t="shared" si="19"/>
        <v/>
      </c>
      <c r="AC183" s="262" t="str">
        <f t="shared" si="20"/>
        <v/>
      </c>
      <c r="AD183" s="382" t="str">
        <f>IFERROR(IF(AC183="Check Data","Check Data",VLOOKUP(AC183,'G-4 Temporal multipliers'!$A$4:$C$37,3,FALSE)),"")</f>
        <v/>
      </c>
      <c r="AE183" s="171" t="str">
        <f>IF(N183="","",VLOOKUP(N183,'G-7 Rivers Data'!$B$4:$G$8,5,FALSE))</f>
        <v/>
      </c>
      <c r="AF183" s="179" t="str">
        <f t="shared" si="21"/>
        <v/>
      </c>
      <c r="AG183" s="269" t="str">
        <f t="shared" si="22"/>
        <v/>
      </c>
      <c r="AH183" s="172" t="str">
        <f t="shared" si="16"/>
        <v/>
      </c>
      <c r="AI183" s="173"/>
      <c r="AJ183" s="172" t="str">
        <f>IF(AI183="","",IF(VLOOKUP(AI183,'G-7 Rivers Data'!$AA$4:$AB$7,2,FALSE)=0,"Spatial Data Missing",VLOOKUP(AI183,'G-7 Rivers Data'!$AA$4:$AB$7,2,FALSE)))</f>
        <v/>
      </c>
      <c r="AK183" s="187"/>
      <c r="AL183" s="172" t="str">
        <f>IF(AK183="","",IF(VLOOKUP(AK183,'G-7 Rivers Data'!$AD$4:$AE$8,2,FALSE)=0,"Spatial Data Missing",VLOOKUP(AK183,'G-7 Rivers Data'!$AD$4:$AE$8,2,FALSE)))</f>
        <v/>
      </c>
      <c r="AM183" s="265" t="str">
        <f t="shared" si="23"/>
        <v/>
      </c>
      <c r="AN183" s="180"/>
      <c r="AO183" s="181"/>
      <c r="AV183" s="35" t="str">
        <f>IFERROR(INDEX('G-7 Rivers Data'!$AZ$3:$AZ$7,MATCH(N183,'G-7 Rivers Data'!$AY$3:$AY$7,0)),"")</f>
        <v/>
      </c>
    </row>
    <row r="184" spans="2:48" ht="13.8" x14ac:dyDescent="0.25">
      <c r="B184" s="259" t="str">
        <f>'C-1 Site River Baseline'!AN182</f>
        <v/>
      </c>
      <c r="C184" s="175" t="str">
        <f>IF(B184="","",VLOOKUP($B184,'C-1 Site River Baseline'!$C$9:$R$257,2,FALSE))</f>
        <v/>
      </c>
      <c r="D184" s="175" t="str">
        <f>IF(C184="","",VLOOKUP($B184,'C-1 Site River Baseline'!$C$9:$R$257,3,FALSE))</f>
        <v/>
      </c>
      <c r="E184" s="175" t="str">
        <f>IF(D184="","",VLOOKUP($B184,'C-1 Site River Baseline'!$C$9:$R$257,4,FALSE))</f>
        <v/>
      </c>
      <c r="F184" s="175" t="str">
        <f>IF(E184="","",VLOOKUP($B184,'C-1 Site River Baseline'!$C$9:$R$257,5,FALSE))</f>
        <v/>
      </c>
      <c r="G184" s="175" t="str">
        <f>IF(F184="","",VLOOKUP($B184,'C-1 Site River Baseline'!$C$9:$R$257,6,FALSE))</f>
        <v/>
      </c>
      <c r="H184" s="175" t="str">
        <f>IF(G184="","",VLOOKUP($B184,'C-1 Site River Baseline'!$C$9:$R$257,7,FALSE))</f>
        <v/>
      </c>
      <c r="I184" s="175" t="str">
        <f>IF(H184="","",VLOOKUP($B184,'C-1 Site River Baseline'!$C$9:$R$257,8,FALSE))</f>
        <v/>
      </c>
      <c r="J184" s="175" t="str">
        <f>IF(I184="","",VLOOKUP($B184,'C-1 Site River Baseline'!$C$9:$R$257,9,FALSE))</f>
        <v/>
      </c>
      <c r="K184" s="175" t="str">
        <f>IF(J184="","",VLOOKUP($B184,'C-1 Site River Baseline'!$C$9:$R$257,10,FALSE))</f>
        <v/>
      </c>
      <c r="L184" s="175" t="str">
        <f>IF(B184="","",VLOOKUP($B184,'C-1 Site River Baseline'!$C$9:$R$257,15,FALSE))</f>
        <v/>
      </c>
      <c r="M184" s="176" t="str">
        <f>IF(L184="","",VLOOKUP($B184,'C-1 Site River Baseline'!$C$9:$R$257,16,FALSE))</f>
        <v/>
      </c>
      <c r="N184" s="639" t="str">
        <f t="shared" si="17"/>
        <v/>
      </c>
      <c r="O184" s="239" t="str">
        <f t="shared" si="18"/>
        <v/>
      </c>
      <c r="P184" s="172" t="str">
        <f>IF(C184="","",IF(AND(LEFT(C184,55)&lt;&gt;LEFT(N184,55),O184="High - High"),"Error - Not like for like",IF(AND(F184=S184,H184&gt;U184),"Error - Can not reduce condition",IF(AND(F184=S184,H184=U184,AJ184='C-1 Site River Baseline'!N182,'C-1 Site River Baseline'!P182=AL184),"Error - No enhancement",IF(AND(C184&lt;&gt;N184,F184&lt;S184),"Lower Distinctiveness Habitat"&amp;" - "&amp;T184,G184&amp;" - "&amp;T184)))))</f>
        <v/>
      </c>
      <c r="Q184" s="660" t="str">
        <f>IF(N184="","",VLOOKUP(B184,'C-1 Site River Baseline'!$C$10:$AA$257,19,FALSE))</f>
        <v/>
      </c>
      <c r="R184" s="171" t="str">
        <f>IF(N184="","",VLOOKUP(N184,'G-7 Rivers Data'!$B$2:$G$8,2,FALSE))</f>
        <v/>
      </c>
      <c r="S184" s="172" t="str">
        <f>IFERROR(VLOOKUP(R184,'G-7 Rivers Data'!$C$4:$D$8,2,FALSE),"")</f>
        <v/>
      </c>
      <c r="T184" s="173"/>
      <c r="U184" s="172" t="str">
        <f>IFERROR(INDEX('G-7 Rivers Data'!$H$4:$L$8,MATCH(N184,'G-7 Rivers Data'!$B$4:$B$8,0),MATCH(T184,'G-7 Rivers Data'!$H$3:$L$3,0)),"")</f>
        <v/>
      </c>
      <c r="V184" s="186"/>
      <c r="W184" s="175" t="str">
        <f>IF(V184="","",IF(VLOOKUP(V184,'G-7 Rivers Data'!$AG$4:$AI$9,2,FALSE)=0,"Spatial Data Missing",VLOOKUP(V184,'G-7 Rivers Data'!$AG$4:$AI$9,2,FALSE)))</f>
        <v/>
      </c>
      <c r="X184" s="176" t="str">
        <f>IF(V184="","",IF(VLOOKUP(V184,'G-7 Rivers Data'!$AG$4:$AI$9,3,FALSE)=0,"Spatial Data Missing",VLOOKUP(V184,'G-7 Rivers Data'!$AG$4:$AI$9,3,FALSE)))</f>
        <v/>
      </c>
      <c r="Y184" s="171" t="str">
        <f>IFERROR(IF(OR(LEFT(P184,5)="Error",LEFT(O184,5)="Error"),"Check Data",IF(F184&lt;S184,'G-7 Rivers Data'!$R$3,INDEX('G-7 Rivers Data'!$U$5:$Y$9,MATCH(G184,'G-7 Rivers Data'!$T$5:$T$9,0),MATCH(T184,'G-7 Rivers Data'!$U$4:$Y$4,0)))),"")</f>
        <v/>
      </c>
      <c r="Z184" s="261"/>
      <c r="AA184" s="261"/>
      <c r="AB184" s="179" t="str">
        <f t="shared" si="19"/>
        <v/>
      </c>
      <c r="AC184" s="262" t="str">
        <f t="shared" si="20"/>
        <v/>
      </c>
      <c r="AD184" s="382" t="str">
        <f>IFERROR(IF(AC184="Check Data","Check Data",VLOOKUP(AC184,'G-4 Temporal multipliers'!$A$4:$C$37,3,FALSE)),"")</f>
        <v/>
      </c>
      <c r="AE184" s="171" t="str">
        <f>IF(N184="","",VLOOKUP(N184,'G-7 Rivers Data'!$B$4:$G$8,5,FALSE))</f>
        <v/>
      </c>
      <c r="AF184" s="179" t="str">
        <f t="shared" si="21"/>
        <v/>
      </c>
      <c r="AG184" s="269" t="str">
        <f t="shared" si="22"/>
        <v/>
      </c>
      <c r="AH184" s="172" t="str">
        <f t="shared" si="16"/>
        <v/>
      </c>
      <c r="AI184" s="173"/>
      <c r="AJ184" s="172" t="str">
        <f>IF(AI184="","",IF(VLOOKUP(AI184,'G-7 Rivers Data'!$AA$4:$AB$7,2,FALSE)=0,"Spatial Data Missing",VLOOKUP(AI184,'G-7 Rivers Data'!$AA$4:$AB$7,2,FALSE)))</f>
        <v/>
      </c>
      <c r="AK184" s="187"/>
      <c r="AL184" s="172" t="str">
        <f>IF(AK184="","",IF(VLOOKUP(AK184,'G-7 Rivers Data'!$AD$4:$AE$8,2,FALSE)=0,"Spatial Data Missing",VLOOKUP(AK184,'G-7 Rivers Data'!$AD$4:$AE$8,2,FALSE)))</f>
        <v/>
      </c>
      <c r="AM184" s="265" t="str">
        <f t="shared" si="23"/>
        <v/>
      </c>
      <c r="AN184" s="180"/>
      <c r="AO184" s="181"/>
      <c r="AV184" s="35" t="str">
        <f>IFERROR(INDEX('G-7 Rivers Data'!$AZ$3:$AZ$7,MATCH(N184,'G-7 Rivers Data'!$AY$3:$AY$7,0)),"")</f>
        <v/>
      </c>
    </row>
    <row r="185" spans="2:48" ht="13.8" x14ac:dyDescent="0.25">
      <c r="B185" s="259" t="str">
        <f>'C-1 Site River Baseline'!AN183</f>
        <v/>
      </c>
      <c r="C185" s="175" t="str">
        <f>IF(B185="","",VLOOKUP($B185,'C-1 Site River Baseline'!$C$9:$R$257,2,FALSE))</f>
        <v/>
      </c>
      <c r="D185" s="175" t="str">
        <f>IF(C185="","",VLOOKUP($B185,'C-1 Site River Baseline'!$C$9:$R$257,3,FALSE))</f>
        <v/>
      </c>
      <c r="E185" s="175" t="str">
        <f>IF(D185="","",VLOOKUP($B185,'C-1 Site River Baseline'!$C$9:$R$257,4,FALSE))</f>
        <v/>
      </c>
      <c r="F185" s="175" t="str">
        <f>IF(E185="","",VLOOKUP($B185,'C-1 Site River Baseline'!$C$9:$R$257,5,FALSE))</f>
        <v/>
      </c>
      <c r="G185" s="175" t="str">
        <f>IF(F185="","",VLOOKUP($B185,'C-1 Site River Baseline'!$C$9:$R$257,6,FALSE))</f>
        <v/>
      </c>
      <c r="H185" s="175" t="str">
        <f>IF(G185="","",VLOOKUP($B185,'C-1 Site River Baseline'!$C$9:$R$257,7,FALSE))</f>
        <v/>
      </c>
      <c r="I185" s="175" t="str">
        <f>IF(H185="","",VLOOKUP($B185,'C-1 Site River Baseline'!$C$9:$R$257,8,FALSE))</f>
        <v/>
      </c>
      <c r="J185" s="175" t="str">
        <f>IF(I185="","",VLOOKUP($B185,'C-1 Site River Baseline'!$C$9:$R$257,9,FALSE))</f>
        <v/>
      </c>
      <c r="K185" s="175" t="str">
        <f>IF(J185="","",VLOOKUP($B185,'C-1 Site River Baseline'!$C$9:$R$257,10,FALSE))</f>
        <v/>
      </c>
      <c r="L185" s="175" t="str">
        <f>IF(B185="","",VLOOKUP($B185,'C-1 Site River Baseline'!$C$9:$R$257,15,FALSE))</f>
        <v/>
      </c>
      <c r="M185" s="176" t="str">
        <f>IF(L185="","",VLOOKUP($B185,'C-1 Site River Baseline'!$C$9:$R$257,16,FALSE))</f>
        <v/>
      </c>
      <c r="N185" s="639" t="str">
        <f t="shared" si="17"/>
        <v/>
      </c>
      <c r="O185" s="239" t="str">
        <f t="shared" si="18"/>
        <v/>
      </c>
      <c r="P185" s="172" t="str">
        <f>IF(C185="","",IF(AND(LEFT(C185,55)&lt;&gt;LEFT(N185,55),O185="High - High"),"Error - Not like for like",IF(AND(F185=S185,H185&gt;U185),"Error - Can not reduce condition",IF(AND(F185=S185,H185=U185,AJ185='C-1 Site River Baseline'!N183,'C-1 Site River Baseline'!P183=AL185),"Error - No enhancement",IF(AND(C185&lt;&gt;N185,F185&lt;S185),"Lower Distinctiveness Habitat"&amp;" - "&amp;T185,G185&amp;" - "&amp;T185)))))</f>
        <v/>
      </c>
      <c r="Q185" s="660" t="str">
        <f>IF(N185="","",VLOOKUP(B185,'C-1 Site River Baseline'!$C$10:$AA$257,19,FALSE))</f>
        <v/>
      </c>
      <c r="R185" s="171" t="str">
        <f>IF(N185="","",VLOOKUP(N185,'G-7 Rivers Data'!$B$2:$G$8,2,FALSE))</f>
        <v/>
      </c>
      <c r="S185" s="172" t="str">
        <f>IFERROR(VLOOKUP(R185,'G-7 Rivers Data'!$C$4:$D$8,2,FALSE),"")</f>
        <v/>
      </c>
      <c r="T185" s="173"/>
      <c r="U185" s="172" t="str">
        <f>IFERROR(INDEX('G-7 Rivers Data'!$H$4:$L$8,MATCH(N185,'G-7 Rivers Data'!$B$4:$B$8,0),MATCH(T185,'G-7 Rivers Data'!$H$3:$L$3,0)),"")</f>
        <v/>
      </c>
      <c r="V185" s="186"/>
      <c r="W185" s="175" t="str">
        <f>IF(V185="","",IF(VLOOKUP(V185,'G-7 Rivers Data'!$AG$4:$AI$9,2,FALSE)=0,"Spatial Data Missing",VLOOKUP(V185,'G-7 Rivers Data'!$AG$4:$AI$9,2,FALSE)))</f>
        <v/>
      </c>
      <c r="X185" s="176" t="str">
        <f>IF(V185="","",IF(VLOOKUP(V185,'G-7 Rivers Data'!$AG$4:$AI$9,3,FALSE)=0,"Spatial Data Missing",VLOOKUP(V185,'G-7 Rivers Data'!$AG$4:$AI$9,3,FALSE)))</f>
        <v/>
      </c>
      <c r="Y185" s="171" t="str">
        <f>IFERROR(IF(OR(LEFT(P185,5)="Error",LEFT(O185,5)="Error"),"Check Data",IF(F185&lt;S185,'G-7 Rivers Data'!$R$3,INDEX('G-7 Rivers Data'!$U$5:$Y$9,MATCH(G185,'G-7 Rivers Data'!$T$5:$T$9,0),MATCH(T185,'G-7 Rivers Data'!$U$4:$Y$4,0)))),"")</f>
        <v/>
      </c>
      <c r="Z185" s="261"/>
      <c r="AA185" s="261"/>
      <c r="AB185" s="179" t="str">
        <f t="shared" si="19"/>
        <v/>
      </c>
      <c r="AC185" s="262" t="str">
        <f t="shared" si="20"/>
        <v/>
      </c>
      <c r="AD185" s="382" t="str">
        <f>IFERROR(IF(AC185="Check Data","Check Data",VLOOKUP(AC185,'G-4 Temporal multipliers'!$A$4:$C$37,3,FALSE)),"")</f>
        <v/>
      </c>
      <c r="AE185" s="171" t="str">
        <f>IF(N185="","",VLOOKUP(N185,'G-7 Rivers Data'!$B$4:$G$8,5,FALSE))</f>
        <v/>
      </c>
      <c r="AF185" s="179" t="str">
        <f t="shared" si="21"/>
        <v/>
      </c>
      <c r="AG185" s="269" t="str">
        <f t="shared" si="22"/>
        <v/>
      </c>
      <c r="AH185" s="172" t="str">
        <f t="shared" si="16"/>
        <v/>
      </c>
      <c r="AI185" s="173"/>
      <c r="AJ185" s="172" t="str">
        <f>IF(AI185="","",IF(VLOOKUP(AI185,'G-7 Rivers Data'!$AA$4:$AB$7,2,FALSE)=0,"Spatial Data Missing",VLOOKUP(AI185,'G-7 Rivers Data'!$AA$4:$AB$7,2,FALSE)))</f>
        <v/>
      </c>
      <c r="AK185" s="187"/>
      <c r="AL185" s="172" t="str">
        <f>IF(AK185="","",IF(VLOOKUP(AK185,'G-7 Rivers Data'!$AD$4:$AE$8,2,FALSE)=0,"Spatial Data Missing",VLOOKUP(AK185,'G-7 Rivers Data'!$AD$4:$AE$8,2,FALSE)))</f>
        <v/>
      </c>
      <c r="AM185" s="265" t="str">
        <f t="shared" si="23"/>
        <v/>
      </c>
      <c r="AN185" s="180"/>
      <c r="AO185" s="181"/>
      <c r="AV185" s="35" t="str">
        <f>IFERROR(INDEX('G-7 Rivers Data'!$AZ$3:$AZ$7,MATCH(N185,'G-7 Rivers Data'!$AY$3:$AY$7,0)),"")</f>
        <v/>
      </c>
    </row>
    <row r="186" spans="2:48" ht="13.8" x14ac:dyDescent="0.25">
      <c r="B186" s="259" t="str">
        <f>'C-1 Site River Baseline'!AN184</f>
        <v/>
      </c>
      <c r="C186" s="175" t="str">
        <f>IF(B186="","",VLOOKUP($B186,'C-1 Site River Baseline'!$C$9:$R$257,2,FALSE))</f>
        <v/>
      </c>
      <c r="D186" s="175" t="str">
        <f>IF(C186="","",VLOOKUP($B186,'C-1 Site River Baseline'!$C$9:$R$257,3,FALSE))</f>
        <v/>
      </c>
      <c r="E186" s="175" t="str">
        <f>IF(D186="","",VLOOKUP($B186,'C-1 Site River Baseline'!$C$9:$R$257,4,FALSE))</f>
        <v/>
      </c>
      <c r="F186" s="175" t="str">
        <f>IF(E186="","",VLOOKUP($B186,'C-1 Site River Baseline'!$C$9:$R$257,5,FALSE))</f>
        <v/>
      </c>
      <c r="G186" s="175" t="str">
        <f>IF(F186="","",VLOOKUP($B186,'C-1 Site River Baseline'!$C$9:$R$257,6,FALSE))</f>
        <v/>
      </c>
      <c r="H186" s="175" t="str">
        <f>IF(G186="","",VLOOKUP($B186,'C-1 Site River Baseline'!$C$9:$R$257,7,FALSE))</f>
        <v/>
      </c>
      <c r="I186" s="175" t="str">
        <f>IF(H186="","",VLOOKUP($B186,'C-1 Site River Baseline'!$C$9:$R$257,8,FALSE))</f>
        <v/>
      </c>
      <c r="J186" s="175" t="str">
        <f>IF(I186="","",VLOOKUP($B186,'C-1 Site River Baseline'!$C$9:$R$257,9,FALSE))</f>
        <v/>
      </c>
      <c r="K186" s="175" t="str">
        <f>IF(J186="","",VLOOKUP($B186,'C-1 Site River Baseline'!$C$9:$R$257,10,FALSE))</f>
        <v/>
      </c>
      <c r="L186" s="175" t="str">
        <f>IF(B186="","",VLOOKUP($B186,'C-1 Site River Baseline'!$C$9:$R$257,15,FALSE))</f>
        <v/>
      </c>
      <c r="M186" s="176" t="str">
        <f>IF(L186="","",VLOOKUP($B186,'C-1 Site River Baseline'!$C$9:$R$257,16,FALSE))</f>
        <v/>
      </c>
      <c r="N186" s="639" t="str">
        <f t="shared" si="17"/>
        <v/>
      </c>
      <c r="O186" s="239" t="str">
        <f t="shared" si="18"/>
        <v/>
      </c>
      <c r="P186" s="172" t="str">
        <f>IF(C186="","",IF(AND(LEFT(C186,55)&lt;&gt;LEFT(N186,55),O186="High - High"),"Error - Not like for like",IF(AND(F186=S186,H186&gt;U186),"Error - Can not reduce condition",IF(AND(F186=S186,H186=U186,AJ186='C-1 Site River Baseline'!N184,'C-1 Site River Baseline'!P184=AL186),"Error - No enhancement",IF(AND(C186&lt;&gt;N186,F186&lt;S186),"Lower Distinctiveness Habitat"&amp;" - "&amp;T186,G186&amp;" - "&amp;T186)))))</f>
        <v/>
      </c>
      <c r="Q186" s="660" t="str">
        <f>IF(N186="","",VLOOKUP(B186,'C-1 Site River Baseline'!$C$10:$AA$257,19,FALSE))</f>
        <v/>
      </c>
      <c r="R186" s="171" t="str">
        <f>IF(N186="","",VLOOKUP(N186,'G-7 Rivers Data'!$B$2:$G$8,2,FALSE))</f>
        <v/>
      </c>
      <c r="S186" s="172" t="str">
        <f>IFERROR(VLOOKUP(R186,'G-7 Rivers Data'!$C$4:$D$8,2,FALSE),"")</f>
        <v/>
      </c>
      <c r="T186" s="173"/>
      <c r="U186" s="172" t="str">
        <f>IFERROR(INDEX('G-7 Rivers Data'!$H$4:$L$8,MATCH(N186,'G-7 Rivers Data'!$B$4:$B$8,0),MATCH(T186,'G-7 Rivers Data'!$H$3:$L$3,0)),"")</f>
        <v/>
      </c>
      <c r="V186" s="186"/>
      <c r="W186" s="175" t="str">
        <f>IF(V186="","",IF(VLOOKUP(V186,'G-7 Rivers Data'!$AG$4:$AI$9,2,FALSE)=0,"Spatial Data Missing",VLOOKUP(V186,'G-7 Rivers Data'!$AG$4:$AI$9,2,FALSE)))</f>
        <v/>
      </c>
      <c r="X186" s="176" t="str">
        <f>IF(V186="","",IF(VLOOKUP(V186,'G-7 Rivers Data'!$AG$4:$AI$9,3,FALSE)=0,"Spatial Data Missing",VLOOKUP(V186,'G-7 Rivers Data'!$AG$4:$AI$9,3,FALSE)))</f>
        <v/>
      </c>
      <c r="Y186" s="171" t="str">
        <f>IFERROR(IF(OR(LEFT(P186,5)="Error",LEFT(O186,5)="Error"),"Check Data",IF(F186&lt;S186,'G-7 Rivers Data'!$R$3,INDEX('G-7 Rivers Data'!$U$5:$Y$9,MATCH(G186,'G-7 Rivers Data'!$T$5:$T$9,0),MATCH(T186,'G-7 Rivers Data'!$U$4:$Y$4,0)))),"")</f>
        <v/>
      </c>
      <c r="Z186" s="261"/>
      <c r="AA186" s="261"/>
      <c r="AB186" s="179" t="str">
        <f t="shared" si="19"/>
        <v/>
      </c>
      <c r="AC186" s="262" t="str">
        <f t="shared" si="20"/>
        <v/>
      </c>
      <c r="AD186" s="382" t="str">
        <f>IFERROR(IF(AC186="Check Data","Check Data",VLOOKUP(AC186,'G-4 Temporal multipliers'!$A$4:$C$37,3,FALSE)),"")</f>
        <v/>
      </c>
      <c r="AE186" s="171" t="str">
        <f>IF(N186="","",VLOOKUP(N186,'G-7 Rivers Data'!$B$4:$G$8,5,FALSE))</f>
        <v/>
      </c>
      <c r="AF186" s="179" t="str">
        <f t="shared" si="21"/>
        <v/>
      </c>
      <c r="AG186" s="269" t="str">
        <f t="shared" si="22"/>
        <v/>
      </c>
      <c r="AH186" s="172" t="str">
        <f t="shared" si="16"/>
        <v/>
      </c>
      <c r="AI186" s="173"/>
      <c r="AJ186" s="172" t="str">
        <f>IF(AI186="","",IF(VLOOKUP(AI186,'G-7 Rivers Data'!$AA$4:$AB$7,2,FALSE)=0,"Spatial Data Missing",VLOOKUP(AI186,'G-7 Rivers Data'!$AA$4:$AB$7,2,FALSE)))</f>
        <v/>
      </c>
      <c r="AK186" s="187"/>
      <c r="AL186" s="172" t="str">
        <f>IF(AK186="","",IF(VLOOKUP(AK186,'G-7 Rivers Data'!$AD$4:$AE$8,2,FALSE)=0,"Spatial Data Missing",VLOOKUP(AK186,'G-7 Rivers Data'!$AD$4:$AE$8,2,FALSE)))</f>
        <v/>
      </c>
      <c r="AM186" s="265" t="str">
        <f t="shared" si="23"/>
        <v/>
      </c>
      <c r="AN186" s="180"/>
      <c r="AO186" s="181"/>
      <c r="AV186" s="35" t="str">
        <f>IFERROR(INDEX('G-7 Rivers Data'!$AZ$3:$AZ$7,MATCH(N186,'G-7 Rivers Data'!$AY$3:$AY$7,0)),"")</f>
        <v/>
      </c>
    </row>
    <row r="187" spans="2:48" ht="13.8" x14ac:dyDescent="0.25">
      <c r="B187" s="259" t="str">
        <f>'C-1 Site River Baseline'!AN185</f>
        <v/>
      </c>
      <c r="C187" s="175" t="str">
        <f>IF(B187="","",VLOOKUP($B187,'C-1 Site River Baseline'!$C$9:$R$257,2,FALSE))</f>
        <v/>
      </c>
      <c r="D187" s="175" t="str">
        <f>IF(C187="","",VLOOKUP($B187,'C-1 Site River Baseline'!$C$9:$R$257,3,FALSE))</f>
        <v/>
      </c>
      <c r="E187" s="175" t="str">
        <f>IF(D187="","",VLOOKUP($B187,'C-1 Site River Baseline'!$C$9:$R$257,4,FALSE))</f>
        <v/>
      </c>
      <c r="F187" s="175" t="str">
        <f>IF(E187="","",VLOOKUP($B187,'C-1 Site River Baseline'!$C$9:$R$257,5,FALSE))</f>
        <v/>
      </c>
      <c r="G187" s="175" t="str">
        <f>IF(F187="","",VLOOKUP($B187,'C-1 Site River Baseline'!$C$9:$R$257,6,FALSE))</f>
        <v/>
      </c>
      <c r="H187" s="175" t="str">
        <f>IF(G187="","",VLOOKUP($B187,'C-1 Site River Baseline'!$C$9:$R$257,7,FALSE))</f>
        <v/>
      </c>
      <c r="I187" s="175" t="str">
        <f>IF(H187="","",VLOOKUP($B187,'C-1 Site River Baseline'!$C$9:$R$257,8,FALSE))</f>
        <v/>
      </c>
      <c r="J187" s="175" t="str">
        <f>IF(I187="","",VLOOKUP($B187,'C-1 Site River Baseline'!$C$9:$R$257,9,FALSE))</f>
        <v/>
      </c>
      <c r="K187" s="175" t="str">
        <f>IF(J187="","",VLOOKUP($B187,'C-1 Site River Baseline'!$C$9:$R$257,10,FALSE))</f>
        <v/>
      </c>
      <c r="L187" s="175" t="str">
        <f>IF(B187="","",VLOOKUP($B187,'C-1 Site River Baseline'!$C$9:$R$257,15,FALSE))</f>
        <v/>
      </c>
      <c r="M187" s="176" t="str">
        <f>IF(L187="","",VLOOKUP($B187,'C-1 Site River Baseline'!$C$9:$R$257,16,FALSE))</f>
        <v/>
      </c>
      <c r="N187" s="639" t="str">
        <f t="shared" si="17"/>
        <v/>
      </c>
      <c r="O187" s="239" t="str">
        <f t="shared" si="18"/>
        <v/>
      </c>
      <c r="P187" s="172" t="str">
        <f>IF(C187="","",IF(AND(LEFT(C187,55)&lt;&gt;LEFT(N187,55),O187="High - High"),"Error - Not like for like",IF(AND(F187=S187,H187&gt;U187),"Error - Can not reduce condition",IF(AND(F187=S187,H187=U187,AJ187='C-1 Site River Baseline'!N185,'C-1 Site River Baseline'!P185=AL187),"Error - No enhancement",IF(AND(C187&lt;&gt;N187,F187&lt;S187),"Lower Distinctiveness Habitat"&amp;" - "&amp;T187,G187&amp;" - "&amp;T187)))))</f>
        <v/>
      </c>
      <c r="Q187" s="660" t="str">
        <f>IF(N187="","",VLOOKUP(B187,'C-1 Site River Baseline'!$C$10:$AA$257,19,FALSE))</f>
        <v/>
      </c>
      <c r="R187" s="171" t="str">
        <f>IF(N187="","",VLOOKUP(N187,'G-7 Rivers Data'!$B$2:$G$8,2,FALSE))</f>
        <v/>
      </c>
      <c r="S187" s="172" t="str">
        <f>IFERROR(VLOOKUP(R187,'G-7 Rivers Data'!$C$4:$D$8,2,FALSE),"")</f>
        <v/>
      </c>
      <c r="T187" s="173"/>
      <c r="U187" s="172" t="str">
        <f>IFERROR(INDEX('G-7 Rivers Data'!$H$4:$L$8,MATCH(N187,'G-7 Rivers Data'!$B$4:$B$8,0),MATCH(T187,'G-7 Rivers Data'!$H$3:$L$3,0)),"")</f>
        <v/>
      </c>
      <c r="V187" s="186"/>
      <c r="W187" s="175" t="str">
        <f>IF(V187="","",IF(VLOOKUP(V187,'G-7 Rivers Data'!$AG$4:$AI$9,2,FALSE)=0,"Spatial Data Missing",VLOOKUP(V187,'G-7 Rivers Data'!$AG$4:$AI$9,2,FALSE)))</f>
        <v/>
      </c>
      <c r="X187" s="176" t="str">
        <f>IF(V187="","",IF(VLOOKUP(V187,'G-7 Rivers Data'!$AG$4:$AI$9,3,FALSE)=0,"Spatial Data Missing",VLOOKUP(V187,'G-7 Rivers Data'!$AG$4:$AI$9,3,FALSE)))</f>
        <v/>
      </c>
      <c r="Y187" s="171" t="str">
        <f>IFERROR(IF(OR(LEFT(P187,5)="Error",LEFT(O187,5)="Error"),"Check Data",IF(F187&lt;S187,'G-7 Rivers Data'!$R$3,INDEX('G-7 Rivers Data'!$U$5:$Y$9,MATCH(G187,'G-7 Rivers Data'!$T$5:$T$9,0),MATCH(T187,'G-7 Rivers Data'!$U$4:$Y$4,0)))),"")</f>
        <v/>
      </c>
      <c r="Z187" s="261"/>
      <c r="AA187" s="261"/>
      <c r="AB187" s="179" t="str">
        <f t="shared" si="19"/>
        <v/>
      </c>
      <c r="AC187" s="262" t="str">
        <f t="shared" si="20"/>
        <v/>
      </c>
      <c r="AD187" s="382" t="str">
        <f>IFERROR(IF(AC187="Check Data","Check Data",VLOOKUP(AC187,'G-4 Temporal multipliers'!$A$4:$C$37,3,FALSE)),"")</f>
        <v/>
      </c>
      <c r="AE187" s="171" t="str">
        <f>IF(N187="","",VLOOKUP(N187,'G-7 Rivers Data'!$B$4:$G$8,5,FALSE))</f>
        <v/>
      </c>
      <c r="AF187" s="179" t="str">
        <f t="shared" si="21"/>
        <v/>
      </c>
      <c r="AG187" s="269" t="str">
        <f t="shared" si="22"/>
        <v/>
      </c>
      <c r="AH187" s="172" t="str">
        <f t="shared" si="16"/>
        <v/>
      </c>
      <c r="AI187" s="173"/>
      <c r="AJ187" s="172" t="str">
        <f>IF(AI187="","",IF(VLOOKUP(AI187,'G-7 Rivers Data'!$AA$4:$AB$7,2,FALSE)=0,"Spatial Data Missing",VLOOKUP(AI187,'G-7 Rivers Data'!$AA$4:$AB$7,2,FALSE)))</f>
        <v/>
      </c>
      <c r="AK187" s="187"/>
      <c r="AL187" s="172" t="str">
        <f>IF(AK187="","",IF(VLOOKUP(AK187,'G-7 Rivers Data'!$AD$4:$AE$8,2,FALSE)=0,"Spatial Data Missing",VLOOKUP(AK187,'G-7 Rivers Data'!$AD$4:$AE$8,2,FALSE)))</f>
        <v/>
      </c>
      <c r="AM187" s="265" t="str">
        <f t="shared" si="23"/>
        <v/>
      </c>
      <c r="AN187" s="180"/>
      <c r="AO187" s="181"/>
      <c r="AV187" s="35" t="str">
        <f>IFERROR(INDEX('G-7 Rivers Data'!$AZ$3:$AZ$7,MATCH(N187,'G-7 Rivers Data'!$AY$3:$AY$7,0)),"")</f>
        <v/>
      </c>
    </row>
    <row r="188" spans="2:48" ht="13.8" x14ac:dyDescent="0.25">
      <c r="B188" s="259" t="str">
        <f>'C-1 Site River Baseline'!AN186</f>
        <v/>
      </c>
      <c r="C188" s="175" t="str">
        <f>IF(B188="","",VLOOKUP($B188,'C-1 Site River Baseline'!$C$9:$R$257,2,FALSE))</f>
        <v/>
      </c>
      <c r="D188" s="175" t="str">
        <f>IF(C188="","",VLOOKUP($B188,'C-1 Site River Baseline'!$C$9:$R$257,3,FALSE))</f>
        <v/>
      </c>
      <c r="E188" s="175" t="str">
        <f>IF(D188="","",VLOOKUP($B188,'C-1 Site River Baseline'!$C$9:$R$257,4,FALSE))</f>
        <v/>
      </c>
      <c r="F188" s="175" t="str">
        <f>IF(E188="","",VLOOKUP($B188,'C-1 Site River Baseline'!$C$9:$R$257,5,FALSE))</f>
        <v/>
      </c>
      <c r="G188" s="175" t="str">
        <f>IF(F188="","",VLOOKUP($B188,'C-1 Site River Baseline'!$C$9:$R$257,6,FALSE))</f>
        <v/>
      </c>
      <c r="H188" s="175" t="str">
        <f>IF(G188="","",VLOOKUP($B188,'C-1 Site River Baseline'!$C$9:$R$257,7,FALSE))</f>
        <v/>
      </c>
      <c r="I188" s="175" t="str">
        <f>IF(H188="","",VLOOKUP($B188,'C-1 Site River Baseline'!$C$9:$R$257,8,FALSE))</f>
        <v/>
      </c>
      <c r="J188" s="175" t="str">
        <f>IF(I188="","",VLOOKUP($B188,'C-1 Site River Baseline'!$C$9:$R$257,9,FALSE))</f>
        <v/>
      </c>
      <c r="K188" s="175" t="str">
        <f>IF(J188="","",VLOOKUP($B188,'C-1 Site River Baseline'!$C$9:$R$257,10,FALSE))</f>
        <v/>
      </c>
      <c r="L188" s="175" t="str">
        <f>IF(B188="","",VLOOKUP($B188,'C-1 Site River Baseline'!$C$9:$R$257,15,FALSE))</f>
        <v/>
      </c>
      <c r="M188" s="176" t="str">
        <f>IF(L188="","",VLOOKUP($B188,'C-1 Site River Baseline'!$C$9:$R$257,16,FALSE))</f>
        <v/>
      </c>
      <c r="N188" s="639" t="str">
        <f t="shared" si="17"/>
        <v/>
      </c>
      <c r="O188" s="239" t="str">
        <f t="shared" si="18"/>
        <v/>
      </c>
      <c r="P188" s="172" t="str">
        <f>IF(C188="","",IF(AND(LEFT(C188,55)&lt;&gt;LEFT(N188,55),O188="High - High"),"Error - Not like for like",IF(AND(F188=S188,H188&gt;U188),"Error - Can not reduce condition",IF(AND(F188=S188,H188=U188,AJ188='C-1 Site River Baseline'!N186,'C-1 Site River Baseline'!P186=AL188),"Error - No enhancement",IF(AND(C188&lt;&gt;N188,F188&lt;S188),"Lower Distinctiveness Habitat"&amp;" - "&amp;T188,G188&amp;" - "&amp;T188)))))</f>
        <v/>
      </c>
      <c r="Q188" s="660" t="str">
        <f>IF(N188="","",VLOOKUP(B188,'C-1 Site River Baseline'!$C$10:$AA$257,19,FALSE))</f>
        <v/>
      </c>
      <c r="R188" s="171" t="str">
        <f>IF(N188="","",VLOOKUP(N188,'G-7 Rivers Data'!$B$2:$G$8,2,FALSE))</f>
        <v/>
      </c>
      <c r="S188" s="172" t="str">
        <f>IFERROR(VLOOKUP(R188,'G-7 Rivers Data'!$C$4:$D$8,2,FALSE),"")</f>
        <v/>
      </c>
      <c r="T188" s="173"/>
      <c r="U188" s="172" t="str">
        <f>IFERROR(INDEX('G-7 Rivers Data'!$H$4:$L$8,MATCH(N188,'G-7 Rivers Data'!$B$4:$B$8,0),MATCH(T188,'G-7 Rivers Data'!$H$3:$L$3,0)),"")</f>
        <v/>
      </c>
      <c r="V188" s="186"/>
      <c r="W188" s="175" t="str">
        <f>IF(V188="","",IF(VLOOKUP(V188,'G-7 Rivers Data'!$AG$4:$AI$9,2,FALSE)=0,"Spatial Data Missing",VLOOKUP(V188,'G-7 Rivers Data'!$AG$4:$AI$9,2,FALSE)))</f>
        <v/>
      </c>
      <c r="X188" s="176" t="str">
        <f>IF(V188="","",IF(VLOOKUP(V188,'G-7 Rivers Data'!$AG$4:$AI$9,3,FALSE)=0,"Spatial Data Missing",VLOOKUP(V188,'G-7 Rivers Data'!$AG$4:$AI$9,3,FALSE)))</f>
        <v/>
      </c>
      <c r="Y188" s="171" t="str">
        <f>IFERROR(IF(OR(LEFT(P188,5)="Error",LEFT(O188,5)="Error"),"Check Data",IF(F188&lt;S188,'G-7 Rivers Data'!$R$3,INDEX('G-7 Rivers Data'!$U$5:$Y$9,MATCH(G188,'G-7 Rivers Data'!$T$5:$T$9,0),MATCH(T188,'G-7 Rivers Data'!$U$4:$Y$4,0)))),"")</f>
        <v/>
      </c>
      <c r="Z188" s="261"/>
      <c r="AA188" s="261"/>
      <c r="AB188" s="179" t="str">
        <f t="shared" si="19"/>
        <v/>
      </c>
      <c r="AC188" s="262" t="str">
        <f t="shared" si="20"/>
        <v/>
      </c>
      <c r="AD188" s="382" t="str">
        <f>IFERROR(IF(AC188="Check Data","Check Data",VLOOKUP(AC188,'G-4 Temporal multipliers'!$A$4:$C$37,3,FALSE)),"")</f>
        <v/>
      </c>
      <c r="AE188" s="171" t="str">
        <f>IF(N188="","",VLOOKUP(N188,'G-7 Rivers Data'!$B$4:$G$8,5,FALSE))</f>
        <v/>
      </c>
      <c r="AF188" s="179" t="str">
        <f t="shared" si="21"/>
        <v/>
      </c>
      <c r="AG188" s="269" t="str">
        <f t="shared" si="22"/>
        <v/>
      </c>
      <c r="AH188" s="172" t="str">
        <f t="shared" si="16"/>
        <v/>
      </c>
      <c r="AI188" s="173"/>
      <c r="AJ188" s="172" t="str">
        <f>IF(AI188="","",IF(VLOOKUP(AI188,'G-7 Rivers Data'!$AA$4:$AB$7,2,FALSE)=0,"Spatial Data Missing",VLOOKUP(AI188,'G-7 Rivers Data'!$AA$4:$AB$7,2,FALSE)))</f>
        <v/>
      </c>
      <c r="AK188" s="187"/>
      <c r="AL188" s="172" t="str">
        <f>IF(AK188="","",IF(VLOOKUP(AK188,'G-7 Rivers Data'!$AD$4:$AE$8,2,FALSE)=0,"Spatial Data Missing",VLOOKUP(AK188,'G-7 Rivers Data'!$AD$4:$AE$8,2,FALSE)))</f>
        <v/>
      </c>
      <c r="AM188" s="265" t="str">
        <f t="shared" si="23"/>
        <v/>
      </c>
      <c r="AN188" s="180"/>
      <c r="AO188" s="181"/>
      <c r="AV188" s="35" t="str">
        <f>IFERROR(INDEX('G-7 Rivers Data'!$AZ$3:$AZ$7,MATCH(N188,'G-7 Rivers Data'!$AY$3:$AY$7,0)),"")</f>
        <v/>
      </c>
    </row>
    <row r="189" spans="2:48" ht="13.8" x14ac:dyDescent="0.25">
      <c r="B189" s="259" t="str">
        <f>'C-1 Site River Baseline'!AN187</f>
        <v/>
      </c>
      <c r="C189" s="175" t="str">
        <f>IF(B189="","",VLOOKUP($B189,'C-1 Site River Baseline'!$C$9:$R$257,2,FALSE))</f>
        <v/>
      </c>
      <c r="D189" s="175" t="str">
        <f>IF(C189="","",VLOOKUP($B189,'C-1 Site River Baseline'!$C$9:$R$257,3,FALSE))</f>
        <v/>
      </c>
      <c r="E189" s="175" t="str">
        <f>IF(D189="","",VLOOKUP($B189,'C-1 Site River Baseline'!$C$9:$R$257,4,FALSE))</f>
        <v/>
      </c>
      <c r="F189" s="175" t="str">
        <f>IF(E189="","",VLOOKUP($B189,'C-1 Site River Baseline'!$C$9:$R$257,5,FALSE))</f>
        <v/>
      </c>
      <c r="G189" s="175" t="str">
        <f>IF(F189="","",VLOOKUP($B189,'C-1 Site River Baseline'!$C$9:$R$257,6,FALSE))</f>
        <v/>
      </c>
      <c r="H189" s="175" t="str">
        <f>IF(G189="","",VLOOKUP($B189,'C-1 Site River Baseline'!$C$9:$R$257,7,FALSE))</f>
        <v/>
      </c>
      <c r="I189" s="175" t="str">
        <f>IF(H189="","",VLOOKUP($B189,'C-1 Site River Baseline'!$C$9:$R$257,8,FALSE))</f>
        <v/>
      </c>
      <c r="J189" s="175" t="str">
        <f>IF(I189="","",VLOOKUP($B189,'C-1 Site River Baseline'!$C$9:$R$257,9,FALSE))</f>
        <v/>
      </c>
      <c r="K189" s="175" t="str">
        <f>IF(J189="","",VLOOKUP($B189,'C-1 Site River Baseline'!$C$9:$R$257,10,FALSE))</f>
        <v/>
      </c>
      <c r="L189" s="175" t="str">
        <f>IF(B189="","",VLOOKUP($B189,'C-1 Site River Baseline'!$C$9:$R$257,15,FALSE))</f>
        <v/>
      </c>
      <c r="M189" s="176" t="str">
        <f>IF(L189="","",VLOOKUP($B189,'C-1 Site River Baseline'!$C$9:$R$257,16,FALSE))</f>
        <v/>
      </c>
      <c r="N189" s="639" t="str">
        <f t="shared" si="17"/>
        <v/>
      </c>
      <c r="O189" s="239" t="str">
        <f t="shared" si="18"/>
        <v/>
      </c>
      <c r="P189" s="172" t="str">
        <f>IF(C189="","",IF(AND(LEFT(C189,55)&lt;&gt;LEFT(N189,55),O189="High - High"),"Error - Not like for like",IF(AND(F189=S189,H189&gt;U189),"Error - Can not reduce condition",IF(AND(F189=S189,H189=U189,AJ189='C-1 Site River Baseline'!N187,'C-1 Site River Baseline'!P187=AL189),"Error - No enhancement",IF(AND(C189&lt;&gt;N189,F189&lt;S189),"Lower Distinctiveness Habitat"&amp;" - "&amp;T189,G189&amp;" - "&amp;T189)))))</f>
        <v/>
      </c>
      <c r="Q189" s="660" t="str">
        <f>IF(N189="","",VLOOKUP(B189,'C-1 Site River Baseline'!$C$10:$AA$257,19,FALSE))</f>
        <v/>
      </c>
      <c r="R189" s="171" t="str">
        <f>IF(N189="","",VLOOKUP(N189,'G-7 Rivers Data'!$B$2:$G$8,2,FALSE))</f>
        <v/>
      </c>
      <c r="S189" s="172" t="str">
        <f>IFERROR(VLOOKUP(R189,'G-7 Rivers Data'!$C$4:$D$8,2,FALSE),"")</f>
        <v/>
      </c>
      <c r="T189" s="173"/>
      <c r="U189" s="172" t="str">
        <f>IFERROR(INDEX('G-7 Rivers Data'!$H$4:$L$8,MATCH(N189,'G-7 Rivers Data'!$B$4:$B$8,0),MATCH(T189,'G-7 Rivers Data'!$H$3:$L$3,0)),"")</f>
        <v/>
      </c>
      <c r="V189" s="186"/>
      <c r="W189" s="175" t="str">
        <f>IF(V189="","",IF(VLOOKUP(V189,'G-7 Rivers Data'!$AG$4:$AI$9,2,FALSE)=0,"Spatial Data Missing",VLOOKUP(V189,'G-7 Rivers Data'!$AG$4:$AI$9,2,FALSE)))</f>
        <v/>
      </c>
      <c r="X189" s="176" t="str">
        <f>IF(V189="","",IF(VLOOKUP(V189,'G-7 Rivers Data'!$AG$4:$AI$9,3,FALSE)=0,"Spatial Data Missing",VLOOKUP(V189,'G-7 Rivers Data'!$AG$4:$AI$9,3,FALSE)))</f>
        <v/>
      </c>
      <c r="Y189" s="171" t="str">
        <f>IFERROR(IF(OR(LEFT(P189,5)="Error",LEFT(O189,5)="Error"),"Check Data",IF(F189&lt;S189,'G-7 Rivers Data'!$R$3,INDEX('G-7 Rivers Data'!$U$5:$Y$9,MATCH(G189,'G-7 Rivers Data'!$T$5:$T$9,0),MATCH(T189,'G-7 Rivers Data'!$U$4:$Y$4,0)))),"")</f>
        <v/>
      </c>
      <c r="Z189" s="261"/>
      <c r="AA189" s="261"/>
      <c r="AB189" s="179" t="str">
        <f t="shared" si="19"/>
        <v/>
      </c>
      <c r="AC189" s="262" t="str">
        <f t="shared" si="20"/>
        <v/>
      </c>
      <c r="AD189" s="382" t="str">
        <f>IFERROR(IF(AC189="Check Data","Check Data",VLOOKUP(AC189,'G-4 Temporal multipliers'!$A$4:$C$37,3,FALSE)),"")</f>
        <v/>
      </c>
      <c r="AE189" s="171" t="str">
        <f>IF(N189="","",VLOOKUP(N189,'G-7 Rivers Data'!$B$4:$G$8,5,FALSE))</f>
        <v/>
      </c>
      <c r="AF189" s="179" t="str">
        <f t="shared" si="21"/>
        <v/>
      </c>
      <c r="AG189" s="269" t="str">
        <f t="shared" si="22"/>
        <v/>
      </c>
      <c r="AH189" s="172" t="str">
        <f t="shared" si="16"/>
        <v/>
      </c>
      <c r="AI189" s="173"/>
      <c r="AJ189" s="172" t="str">
        <f>IF(AI189="","",IF(VLOOKUP(AI189,'G-7 Rivers Data'!$AA$4:$AB$7,2,FALSE)=0,"Spatial Data Missing",VLOOKUP(AI189,'G-7 Rivers Data'!$AA$4:$AB$7,2,FALSE)))</f>
        <v/>
      </c>
      <c r="AK189" s="187"/>
      <c r="AL189" s="172" t="str">
        <f>IF(AK189="","",IF(VLOOKUP(AK189,'G-7 Rivers Data'!$AD$4:$AE$8,2,FALSE)=0,"Spatial Data Missing",VLOOKUP(AK189,'G-7 Rivers Data'!$AD$4:$AE$8,2,FALSE)))</f>
        <v/>
      </c>
      <c r="AM189" s="265" t="str">
        <f t="shared" si="23"/>
        <v/>
      </c>
      <c r="AN189" s="180"/>
      <c r="AO189" s="181"/>
      <c r="AV189" s="35" t="str">
        <f>IFERROR(INDEX('G-7 Rivers Data'!$AZ$3:$AZ$7,MATCH(N189,'G-7 Rivers Data'!$AY$3:$AY$7,0)),"")</f>
        <v/>
      </c>
    </row>
    <row r="190" spans="2:48" ht="13.8" x14ac:dyDescent="0.25">
      <c r="B190" s="259" t="str">
        <f>'C-1 Site River Baseline'!AN188</f>
        <v/>
      </c>
      <c r="C190" s="175" t="str">
        <f>IF(B190="","",VLOOKUP($B190,'C-1 Site River Baseline'!$C$9:$R$257,2,FALSE))</f>
        <v/>
      </c>
      <c r="D190" s="175" t="str">
        <f>IF(C190="","",VLOOKUP($B190,'C-1 Site River Baseline'!$C$9:$R$257,3,FALSE))</f>
        <v/>
      </c>
      <c r="E190" s="175" t="str">
        <f>IF(D190="","",VLOOKUP($B190,'C-1 Site River Baseline'!$C$9:$R$257,4,FALSE))</f>
        <v/>
      </c>
      <c r="F190" s="175" t="str">
        <f>IF(E190="","",VLOOKUP($B190,'C-1 Site River Baseline'!$C$9:$R$257,5,FALSE))</f>
        <v/>
      </c>
      <c r="G190" s="175" t="str">
        <f>IF(F190="","",VLOOKUP($B190,'C-1 Site River Baseline'!$C$9:$R$257,6,FALSE))</f>
        <v/>
      </c>
      <c r="H190" s="175" t="str">
        <f>IF(G190="","",VLOOKUP($B190,'C-1 Site River Baseline'!$C$9:$R$257,7,FALSE))</f>
        <v/>
      </c>
      <c r="I190" s="175" t="str">
        <f>IF(H190="","",VLOOKUP($B190,'C-1 Site River Baseline'!$C$9:$R$257,8,FALSE))</f>
        <v/>
      </c>
      <c r="J190" s="175" t="str">
        <f>IF(I190="","",VLOOKUP($B190,'C-1 Site River Baseline'!$C$9:$R$257,9,FALSE))</f>
        <v/>
      </c>
      <c r="K190" s="175" t="str">
        <f>IF(J190="","",VLOOKUP($B190,'C-1 Site River Baseline'!$C$9:$R$257,10,FALSE))</f>
        <v/>
      </c>
      <c r="L190" s="175" t="str">
        <f>IF(B190="","",VLOOKUP($B190,'C-1 Site River Baseline'!$C$9:$R$257,15,FALSE))</f>
        <v/>
      </c>
      <c r="M190" s="176" t="str">
        <f>IF(L190="","",VLOOKUP($B190,'C-1 Site River Baseline'!$C$9:$R$257,16,FALSE))</f>
        <v/>
      </c>
      <c r="N190" s="639" t="str">
        <f t="shared" si="17"/>
        <v/>
      </c>
      <c r="O190" s="239" t="str">
        <f t="shared" si="18"/>
        <v/>
      </c>
      <c r="P190" s="172" t="str">
        <f>IF(C190="","",IF(AND(LEFT(C190,55)&lt;&gt;LEFT(N190,55),O190="High - High"),"Error - Not like for like",IF(AND(F190=S190,H190&gt;U190),"Error - Can not reduce condition",IF(AND(F190=S190,H190=U190,AJ190='C-1 Site River Baseline'!N188,'C-1 Site River Baseline'!P188=AL190),"Error - No enhancement",IF(AND(C190&lt;&gt;N190,F190&lt;S190),"Lower Distinctiveness Habitat"&amp;" - "&amp;T190,G190&amp;" - "&amp;T190)))))</f>
        <v/>
      </c>
      <c r="Q190" s="660" t="str">
        <f>IF(N190="","",VLOOKUP(B190,'C-1 Site River Baseline'!$C$10:$AA$257,19,FALSE))</f>
        <v/>
      </c>
      <c r="R190" s="171" t="str">
        <f>IF(N190="","",VLOOKUP(N190,'G-7 Rivers Data'!$B$2:$G$8,2,FALSE))</f>
        <v/>
      </c>
      <c r="S190" s="172" t="str">
        <f>IFERROR(VLOOKUP(R190,'G-7 Rivers Data'!$C$4:$D$8,2,FALSE),"")</f>
        <v/>
      </c>
      <c r="T190" s="173"/>
      <c r="U190" s="172" t="str">
        <f>IFERROR(INDEX('G-7 Rivers Data'!$H$4:$L$8,MATCH(N190,'G-7 Rivers Data'!$B$4:$B$8,0),MATCH(T190,'G-7 Rivers Data'!$H$3:$L$3,0)),"")</f>
        <v/>
      </c>
      <c r="V190" s="186"/>
      <c r="W190" s="175" t="str">
        <f>IF(V190="","",IF(VLOOKUP(V190,'G-7 Rivers Data'!$AG$4:$AI$9,2,FALSE)=0,"Spatial Data Missing",VLOOKUP(V190,'G-7 Rivers Data'!$AG$4:$AI$9,2,FALSE)))</f>
        <v/>
      </c>
      <c r="X190" s="176" t="str">
        <f>IF(V190="","",IF(VLOOKUP(V190,'G-7 Rivers Data'!$AG$4:$AI$9,3,FALSE)=0,"Spatial Data Missing",VLOOKUP(V190,'G-7 Rivers Data'!$AG$4:$AI$9,3,FALSE)))</f>
        <v/>
      </c>
      <c r="Y190" s="171" t="str">
        <f>IFERROR(IF(OR(LEFT(P190,5)="Error",LEFT(O190,5)="Error"),"Check Data",IF(F190&lt;S190,'G-7 Rivers Data'!$R$3,INDEX('G-7 Rivers Data'!$U$5:$Y$9,MATCH(G190,'G-7 Rivers Data'!$T$5:$T$9,0),MATCH(T190,'G-7 Rivers Data'!$U$4:$Y$4,0)))),"")</f>
        <v/>
      </c>
      <c r="Z190" s="261"/>
      <c r="AA190" s="261"/>
      <c r="AB190" s="179" t="str">
        <f t="shared" si="19"/>
        <v/>
      </c>
      <c r="AC190" s="262" t="str">
        <f t="shared" si="20"/>
        <v/>
      </c>
      <c r="AD190" s="382" t="str">
        <f>IFERROR(IF(AC190="Check Data","Check Data",VLOOKUP(AC190,'G-4 Temporal multipliers'!$A$4:$C$37,3,FALSE)),"")</f>
        <v/>
      </c>
      <c r="AE190" s="171" t="str">
        <f>IF(N190="","",VLOOKUP(N190,'G-7 Rivers Data'!$B$4:$G$8,5,FALSE))</f>
        <v/>
      </c>
      <c r="AF190" s="179" t="str">
        <f t="shared" si="21"/>
        <v/>
      </c>
      <c r="AG190" s="269" t="str">
        <f t="shared" si="22"/>
        <v/>
      </c>
      <c r="AH190" s="172" t="str">
        <f t="shared" si="16"/>
        <v/>
      </c>
      <c r="AI190" s="173"/>
      <c r="AJ190" s="172" t="str">
        <f>IF(AI190="","",IF(VLOOKUP(AI190,'G-7 Rivers Data'!$AA$4:$AB$7,2,FALSE)=0,"Spatial Data Missing",VLOOKUP(AI190,'G-7 Rivers Data'!$AA$4:$AB$7,2,FALSE)))</f>
        <v/>
      </c>
      <c r="AK190" s="187"/>
      <c r="AL190" s="172" t="str">
        <f>IF(AK190="","",IF(VLOOKUP(AK190,'G-7 Rivers Data'!$AD$4:$AE$8,2,FALSE)=0,"Spatial Data Missing",VLOOKUP(AK190,'G-7 Rivers Data'!$AD$4:$AE$8,2,FALSE)))</f>
        <v/>
      </c>
      <c r="AM190" s="265" t="str">
        <f t="shared" si="23"/>
        <v/>
      </c>
      <c r="AN190" s="180"/>
      <c r="AO190" s="181"/>
      <c r="AV190" s="35" t="str">
        <f>IFERROR(INDEX('G-7 Rivers Data'!$AZ$3:$AZ$7,MATCH(N190,'G-7 Rivers Data'!$AY$3:$AY$7,0)),"")</f>
        <v/>
      </c>
    </row>
    <row r="191" spans="2:48" ht="13.8" x14ac:dyDescent="0.25">
      <c r="B191" s="259" t="str">
        <f>'C-1 Site River Baseline'!AN189</f>
        <v/>
      </c>
      <c r="C191" s="175" t="str">
        <f>IF(B191="","",VLOOKUP($B191,'C-1 Site River Baseline'!$C$9:$R$257,2,FALSE))</f>
        <v/>
      </c>
      <c r="D191" s="175" t="str">
        <f>IF(C191="","",VLOOKUP($B191,'C-1 Site River Baseline'!$C$9:$R$257,3,FALSE))</f>
        <v/>
      </c>
      <c r="E191" s="175" t="str">
        <f>IF(D191="","",VLOOKUP($B191,'C-1 Site River Baseline'!$C$9:$R$257,4,FALSE))</f>
        <v/>
      </c>
      <c r="F191" s="175" t="str">
        <f>IF(E191="","",VLOOKUP($B191,'C-1 Site River Baseline'!$C$9:$R$257,5,FALSE))</f>
        <v/>
      </c>
      <c r="G191" s="175" t="str">
        <f>IF(F191="","",VLOOKUP($B191,'C-1 Site River Baseline'!$C$9:$R$257,6,FALSE))</f>
        <v/>
      </c>
      <c r="H191" s="175" t="str">
        <f>IF(G191="","",VLOOKUP($B191,'C-1 Site River Baseline'!$C$9:$R$257,7,FALSE))</f>
        <v/>
      </c>
      <c r="I191" s="175" t="str">
        <f>IF(H191="","",VLOOKUP($B191,'C-1 Site River Baseline'!$C$9:$R$257,8,FALSE))</f>
        <v/>
      </c>
      <c r="J191" s="175" t="str">
        <f>IF(I191="","",VLOOKUP($B191,'C-1 Site River Baseline'!$C$9:$R$257,9,FALSE))</f>
        <v/>
      </c>
      <c r="K191" s="175" t="str">
        <f>IF(J191="","",VLOOKUP($B191,'C-1 Site River Baseline'!$C$9:$R$257,10,FALSE))</f>
        <v/>
      </c>
      <c r="L191" s="175" t="str">
        <f>IF(B191="","",VLOOKUP($B191,'C-1 Site River Baseline'!$C$9:$R$257,15,FALSE))</f>
        <v/>
      </c>
      <c r="M191" s="176" t="str">
        <f>IF(L191="","",VLOOKUP($B191,'C-1 Site River Baseline'!$C$9:$R$257,16,FALSE))</f>
        <v/>
      </c>
      <c r="N191" s="639" t="str">
        <f t="shared" si="17"/>
        <v/>
      </c>
      <c r="O191" s="239" t="str">
        <f t="shared" si="18"/>
        <v/>
      </c>
      <c r="P191" s="172" t="str">
        <f>IF(C191="","",IF(AND(LEFT(C191,55)&lt;&gt;LEFT(N191,55),O191="High - High"),"Error - Not like for like",IF(AND(F191=S191,H191&gt;U191),"Error - Can not reduce condition",IF(AND(F191=S191,H191=U191,AJ191='C-1 Site River Baseline'!N189,'C-1 Site River Baseline'!P189=AL191),"Error - No enhancement",IF(AND(C191&lt;&gt;N191,F191&lt;S191),"Lower Distinctiveness Habitat"&amp;" - "&amp;T191,G191&amp;" - "&amp;T191)))))</f>
        <v/>
      </c>
      <c r="Q191" s="660" t="str">
        <f>IF(N191="","",VLOOKUP(B191,'C-1 Site River Baseline'!$C$10:$AA$257,19,FALSE))</f>
        <v/>
      </c>
      <c r="R191" s="171" t="str">
        <f>IF(N191="","",VLOOKUP(N191,'G-7 Rivers Data'!$B$2:$G$8,2,FALSE))</f>
        <v/>
      </c>
      <c r="S191" s="172" t="str">
        <f>IFERROR(VLOOKUP(R191,'G-7 Rivers Data'!$C$4:$D$8,2,FALSE),"")</f>
        <v/>
      </c>
      <c r="T191" s="173"/>
      <c r="U191" s="172" t="str">
        <f>IFERROR(INDEX('G-7 Rivers Data'!$H$4:$L$8,MATCH(N191,'G-7 Rivers Data'!$B$4:$B$8,0),MATCH(T191,'G-7 Rivers Data'!$H$3:$L$3,0)),"")</f>
        <v/>
      </c>
      <c r="V191" s="186"/>
      <c r="W191" s="175" t="str">
        <f>IF(V191="","",IF(VLOOKUP(V191,'G-7 Rivers Data'!$AG$4:$AI$9,2,FALSE)=0,"Spatial Data Missing",VLOOKUP(V191,'G-7 Rivers Data'!$AG$4:$AI$9,2,FALSE)))</f>
        <v/>
      </c>
      <c r="X191" s="176" t="str">
        <f>IF(V191="","",IF(VLOOKUP(V191,'G-7 Rivers Data'!$AG$4:$AI$9,3,FALSE)=0,"Spatial Data Missing",VLOOKUP(V191,'G-7 Rivers Data'!$AG$4:$AI$9,3,FALSE)))</f>
        <v/>
      </c>
      <c r="Y191" s="171" t="str">
        <f>IFERROR(IF(OR(LEFT(P191,5)="Error",LEFT(O191,5)="Error"),"Check Data",IF(F191&lt;S191,'G-7 Rivers Data'!$R$3,INDEX('G-7 Rivers Data'!$U$5:$Y$9,MATCH(G191,'G-7 Rivers Data'!$T$5:$T$9,0),MATCH(T191,'G-7 Rivers Data'!$U$4:$Y$4,0)))),"")</f>
        <v/>
      </c>
      <c r="Z191" s="261"/>
      <c r="AA191" s="261"/>
      <c r="AB191" s="179" t="str">
        <f t="shared" si="19"/>
        <v/>
      </c>
      <c r="AC191" s="262" t="str">
        <f t="shared" si="20"/>
        <v/>
      </c>
      <c r="AD191" s="382" t="str">
        <f>IFERROR(IF(AC191="Check Data","Check Data",VLOOKUP(AC191,'G-4 Temporal multipliers'!$A$4:$C$37,3,FALSE)),"")</f>
        <v/>
      </c>
      <c r="AE191" s="171" t="str">
        <f>IF(N191="","",VLOOKUP(N191,'G-7 Rivers Data'!$B$4:$G$8,5,FALSE))</f>
        <v/>
      </c>
      <c r="AF191" s="179" t="str">
        <f t="shared" si="21"/>
        <v/>
      </c>
      <c r="AG191" s="269" t="str">
        <f t="shared" si="22"/>
        <v/>
      </c>
      <c r="AH191" s="172" t="str">
        <f t="shared" si="16"/>
        <v/>
      </c>
      <c r="AI191" s="173"/>
      <c r="AJ191" s="172" t="str">
        <f>IF(AI191="","",IF(VLOOKUP(AI191,'G-7 Rivers Data'!$AA$4:$AB$7,2,FALSE)=0,"Spatial Data Missing",VLOOKUP(AI191,'G-7 Rivers Data'!$AA$4:$AB$7,2,FALSE)))</f>
        <v/>
      </c>
      <c r="AK191" s="187"/>
      <c r="AL191" s="172" t="str">
        <f>IF(AK191="","",IF(VLOOKUP(AK191,'G-7 Rivers Data'!$AD$4:$AE$8,2,FALSE)=0,"Spatial Data Missing",VLOOKUP(AK191,'G-7 Rivers Data'!$AD$4:$AE$8,2,FALSE)))</f>
        <v/>
      </c>
      <c r="AM191" s="265" t="str">
        <f t="shared" si="23"/>
        <v/>
      </c>
      <c r="AN191" s="180"/>
      <c r="AO191" s="181"/>
      <c r="AV191" s="35" t="str">
        <f>IFERROR(INDEX('G-7 Rivers Data'!$AZ$3:$AZ$7,MATCH(N191,'G-7 Rivers Data'!$AY$3:$AY$7,0)),"")</f>
        <v/>
      </c>
    </row>
    <row r="192" spans="2:48" ht="13.8" x14ac:dyDescent="0.25">
      <c r="B192" s="259" t="str">
        <f>'C-1 Site River Baseline'!AN190</f>
        <v/>
      </c>
      <c r="C192" s="175" t="str">
        <f>IF(B192="","",VLOOKUP($B192,'C-1 Site River Baseline'!$C$9:$R$257,2,FALSE))</f>
        <v/>
      </c>
      <c r="D192" s="175" t="str">
        <f>IF(C192="","",VLOOKUP($B192,'C-1 Site River Baseline'!$C$9:$R$257,3,FALSE))</f>
        <v/>
      </c>
      <c r="E192" s="175" t="str">
        <f>IF(D192="","",VLOOKUP($B192,'C-1 Site River Baseline'!$C$9:$R$257,4,FALSE))</f>
        <v/>
      </c>
      <c r="F192" s="175" t="str">
        <f>IF(E192="","",VLOOKUP($B192,'C-1 Site River Baseline'!$C$9:$R$257,5,FALSE))</f>
        <v/>
      </c>
      <c r="G192" s="175" t="str">
        <f>IF(F192="","",VLOOKUP($B192,'C-1 Site River Baseline'!$C$9:$R$257,6,FALSE))</f>
        <v/>
      </c>
      <c r="H192" s="175" t="str">
        <f>IF(G192="","",VLOOKUP($B192,'C-1 Site River Baseline'!$C$9:$R$257,7,FALSE))</f>
        <v/>
      </c>
      <c r="I192" s="175" t="str">
        <f>IF(H192="","",VLOOKUP($B192,'C-1 Site River Baseline'!$C$9:$R$257,8,FALSE))</f>
        <v/>
      </c>
      <c r="J192" s="175" t="str">
        <f>IF(I192="","",VLOOKUP($B192,'C-1 Site River Baseline'!$C$9:$R$257,9,FALSE))</f>
        <v/>
      </c>
      <c r="K192" s="175" t="str">
        <f>IF(J192="","",VLOOKUP($B192,'C-1 Site River Baseline'!$C$9:$R$257,10,FALSE))</f>
        <v/>
      </c>
      <c r="L192" s="175" t="str">
        <f>IF(B192="","",VLOOKUP($B192,'C-1 Site River Baseline'!$C$9:$R$257,15,FALSE))</f>
        <v/>
      </c>
      <c r="M192" s="176" t="str">
        <f>IF(L192="","",VLOOKUP($B192,'C-1 Site River Baseline'!$C$9:$R$257,16,FALSE))</f>
        <v/>
      </c>
      <c r="N192" s="639" t="str">
        <f t="shared" si="17"/>
        <v/>
      </c>
      <c r="O192" s="239" t="str">
        <f t="shared" si="18"/>
        <v/>
      </c>
      <c r="P192" s="172" t="str">
        <f>IF(C192="","",IF(AND(LEFT(C192,55)&lt;&gt;LEFT(N192,55),O192="High - High"),"Error - Not like for like",IF(AND(F192=S192,H192&gt;U192),"Error - Can not reduce condition",IF(AND(F192=S192,H192=U192,AJ192='C-1 Site River Baseline'!N190,'C-1 Site River Baseline'!P190=AL192),"Error - No enhancement",IF(AND(C192&lt;&gt;N192,F192&lt;S192),"Lower Distinctiveness Habitat"&amp;" - "&amp;T192,G192&amp;" - "&amp;T192)))))</f>
        <v/>
      </c>
      <c r="Q192" s="660" t="str">
        <f>IF(N192="","",VLOOKUP(B192,'C-1 Site River Baseline'!$C$10:$AA$257,19,FALSE))</f>
        <v/>
      </c>
      <c r="R192" s="171" t="str">
        <f>IF(N192="","",VLOOKUP(N192,'G-7 Rivers Data'!$B$2:$G$8,2,FALSE))</f>
        <v/>
      </c>
      <c r="S192" s="172" t="str">
        <f>IFERROR(VLOOKUP(R192,'G-7 Rivers Data'!$C$4:$D$8,2,FALSE),"")</f>
        <v/>
      </c>
      <c r="T192" s="173"/>
      <c r="U192" s="172" t="str">
        <f>IFERROR(INDEX('G-7 Rivers Data'!$H$4:$L$8,MATCH(N192,'G-7 Rivers Data'!$B$4:$B$8,0),MATCH(T192,'G-7 Rivers Data'!$H$3:$L$3,0)),"")</f>
        <v/>
      </c>
      <c r="V192" s="186"/>
      <c r="W192" s="175" t="str">
        <f>IF(V192="","",IF(VLOOKUP(V192,'G-7 Rivers Data'!$AG$4:$AI$9,2,FALSE)=0,"Spatial Data Missing",VLOOKUP(V192,'G-7 Rivers Data'!$AG$4:$AI$9,2,FALSE)))</f>
        <v/>
      </c>
      <c r="X192" s="176" t="str">
        <f>IF(V192="","",IF(VLOOKUP(V192,'G-7 Rivers Data'!$AG$4:$AI$9,3,FALSE)=0,"Spatial Data Missing",VLOOKUP(V192,'G-7 Rivers Data'!$AG$4:$AI$9,3,FALSE)))</f>
        <v/>
      </c>
      <c r="Y192" s="171" t="str">
        <f>IFERROR(IF(OR(LEFT(P192,5)="Error",LEFT(O192,5)="Error"),"Check Data",IF(F192&lt;S192,'G-7 Rivers Data'!$R$3,INDEX('G-7 Rivers Data'!$U$5:$Y$9,MATCH(G192,'G-7 Rivers Data'!$T$5:$T$9,0),MATCH(T192,'G-7 Rivers Data'!$U$4:$Y$4,0)))),"")</f>
        <v/>
      </c>
      <c r="Z192" s="261"/>
      <c r="AA192" s="261"/>
      <c r="AB192" s="179" t="str">
        <f t="shared" si="19"/>
        <v/>
      </c>
      <c r="AC192" s="262" t="str">
        <f t="shared" si="20"/>
        <v/>
      </c>
      <c r="AD192" s="382" t="str">
        <f>IFERROR(IF(AC192="Check Data","Check Data",VLOOKUP(AC192,'G-4 Temporal multipliers'!$A$4:$C$37,3,FALSE)),"")</f>
        <v/>
      </c>
      <c r="AE192" s="171" t="str">
        <f>IF(N192="","",VLOOKUP(N192,'G-7 Rivers Data'!$B$4:$G$8,5,FALSE))</f>
        <v/>
      </c>
      <c r="AF192" s="179" t="str">
        <f t="shared" si="21"/>
        <v/>
      </c>
      <c r="AG192" s="269" t="str">
        <f t="shared" si="22"/>
        <v/>
      </c>
      <c r="AH192" s="172" t="str">
        <f t="shared" si="16"/>
        <v/>
      </c>
      <c r="AI192" s="173"/>
      <c r="AJ192" s="172" t="str">
        <f>IF(AI192="","",IF(VLOOKUP(AI192,'G-7 Rivers Data'!$AA$4:$AB$7,2,FALSE)=0,"Spatial Data Missing",VLOOKUP(AI192,'G-7 Rivers Data'!$AA$4:$AB$7,2,FALSE)))</f>
        <v/>
      </c>
      <c r="AK192" s="187"/>
      <c r="AL192" s="172" t="str">
        <f>IF(AK192="","",IF(VLOOKUP(AK192,'G-7 Rivers Data'!$AD$4:$AE$8,2,FALSE)=0,"Spatial Data Missing",VLOOKUP(AK192,'G-7 Rivers Data'!$AD$4:$AE$8,2,FALSE)))</f>
        <v/>
      </c>
      <c r="AM192" s="265" t="str">
        <f t="shared" si="23"/>
        <v/>
      </c>
      <c r="AN192" s="180"/>
      <c r="AO192" s="181"/>
      <c r="AV192" s="35" t="str">
        <f>IFERROR(INDEX('G-7 Rivers Data'!$AZ$3:$AZ$7,MATCH(N192,'G-7 Rivers Data'!$AY$3:$AY$7,0)),"")</f>
        <v/>
      </c>
    </row>
    <row r="193" spans="2:48" ht="13.8" x14ac:dyDescent="0.25">
      <c r="B193" s="259" t="str">
        <f>'C-1 Site River Baseline'!AN191</f>
        <v/>
      </c>
      <c r="C193" s="175" t="str">
        <f>IF(B193="","",VLOOKUP($B193,'C-1 Site River Baseline'!$C$9:$R$257,2,FALSE))</f>
        <v/>
      </c>
      <c r="D193" s="175" t="str">
        <f>IF(C193="","",VLOOKUP($B193,'C-1 Site River Baseline'!$C$9:$R$257,3,FALSE))</f>
        <v/>
      </c>
      <c r="E193" s="175" t="str">
        <f>IF(D193="","",VLOOKUP($B193,'C-1 Site River Baseline'!$C$9:$R$257,4,FALSE))</f>
        <v/>
      </c>
      <c r="F193" s="175" t="str">
        <f>IF(E193="","",VLOOKUP($B193,'C-1 Site River Baseline'!$C$9:$R$257,5,FALSE))</f>
        <v/>
      </c>
      <c r="G193" s="175" t="str">
        <f>IF(F193="","",VLOOKUP($B193,'C-1 Site River Baseline'!$C$9:$R$257,6,FALSE))</f>
        <v/>
      </c>
      <c r="H193" s="175" t="str">
        <f>IF(G193="","",VLOOKUP($B193,'C-1 Site River Baseline'!$C$9:$R$257,7,FALSE))</f>
        <v/>
      </c>
      <c r="I193" s="175" t="str">
        <f>IF(H193="","",VLOOKUP($B193,'C-1 Site River Baseline'!$C$9:$R$257,8,FALSE))</f>
        <v/>
      </c>
      <c r="J193" s="175" t="str">
        <f>IF(I193="","",VLOOKUP($B193,'C-1 Site River Baseline'!$C$9:$R$257,9,FALSE))</f>
        <v/>
      </c>
      <c r="K193" s="175" t="str">
        <f>IF(J193="","",VLOOKUP($B193,'C-1 Site River Baseline'!$C$9:$R$257,10,FALSE))</f>
        <v/>
      </c>
      <c r="L193" s="175" t="str">
        <f>IF(B193="","",VLOOKUP($B193,'C-1 Site River Baseline'!$C$9:$R$257,15,FALSE))</f>
        <v/>
      </c>
      <c r="M193" s="176" t="str">
        <f>IF(L193="","",VLOOKUP($B193,'C-1 Site River Baseline'!$C$9:$R$257,16,FALSE))</f>
        <v/>
      </c>
      <c r="N193" s="639" t="str">
        <f t="shared" si="17"/>
        <v/>
      </c>
      <c r="O193" s="239" t="str">
        <f t="shared" si="18"/>
        <v/>
      </c>
      <c r="P193" s="172" t="str">
        <f>IF(C193="","",IF(AND(LEFT(C193,55)&lt;&gt;LEFT(N193,55),O193="High - High"),"Error - Not like for like",IF(AND(F193=S193,H193&gt;U193),"Error - Can not reduce condition",IF(AND(F193=S193,H193=U193,AJ193='C-1 Site River Baseline'!N191,'C-1 Site River Baseline'!P191=AL193),"Error - No enhancement",IF(AND(C193&lt;&gt;N193,F193&lt;S193),"Lower Distinctiveness Habitat"&amp;" - "&amp;T193,G193&amp;" - "&amp;T193)))))</f>
        <v/>
      </c>
      <c r="Q193" s="660" t="str">
        <f>IF(N193="","",VLOOKUP(B193,'C-1 Site River Baseline'!$C$10:$AA$257,19,FALSE))</f>
        <v/>
      </c>
      <c r="R193" s="171" t="str">
        <f>IF(N193="","",VLOOKUP(N193,'G-7 Rivers Data'!$B$2:$G$8,2,FALSE))</f>
        <v/>
      </c>
      <c r="S193" s="172" t="str">
        <f>IFERROR(VLOOKUP(R193,'G-7 Rivers Data'!$C$4:$D$8,2,FALSE),"")</f>
        <v/>
      </c>
      <c r="T193" s="173"/>
      <c r="U193" s="172" t="str">
        <f>IFERROR(INDEX('G-7 Rivers Data'!$H$4:$L$8,MATCH(N193,'G-7 Rivers Data'!$B$4:$B$8,0),MATCH(T193,'G-7 Rivers Data'!$H$3:$L$3,0)),"")</f>
        <v/>
      </c>
      <c r="V193" s="186"/>
      <c r="W193" s="175" t="str">
        <f>IF(V193="","",IF(VLOOKUP(V193,'G-7 Rivers Data'!$AG$4:$AI$9,2,FALSE)=0,"Spatial Data Missing",VLOOKUP(V193,'G-7 Rivers Data'!$AG$4:$AI$9,2,FALSE)))</f>
        <v/>
      </c>
      <c r="X193" s="176" t="str">
        <f>IF(V193="","",IF(VLOOKUP(V193,'G-7 Rivers Data'!$AG$4:$AI$9,3,FALSE)=0,"Spatial Data Missing",VLOOKUP(V193,'G-7 Rivers Data'!$AG$4:$AI$9,3,FALSE)))</f>
        <v/>
      </c>
      <c r="Y193" s="171" t="str">
        <f>IFERROR(IF(OR(LEFT(P193,5)="Error",LEFT(O193,5)="Error"),"Check Data",IF(F193&lt;S193,'G-7 Rivers Data'!$R$3,INDEX('G-7 Rivers Data'!$U$5:$Y$9,MATCH(G193,'G-7 Rivers Data'!$T$5:$T$9,0),MATCH(T193,'G-7 Rivers Data'!$U$4:$Y$4,0)))),"")</f>
        <v/>
      </c>
      <c r="Z193" s="261"/>
      <c r="AA193" s="261"/>
      <c r="AB193" s="179" t="str">
        <f t="shared" si="19"/>
        <v/>
      </c>
      <c r="AC193" s="262" t="str">
        <f t="shared" si="20"/>
        <v/>
      </c>
      <c r="AD193" s="382" t="str">
        <f>IFERROR(IF(AC193="Check Data","Check Data",VLOOKUP(AC193,'G-4 Temporal multipliers'!$A$4:$C$37,3,FALSE)),"")</f>
        <v/>
      </c>
      <c r="AE193" s="171" t="str">
        <f>IF(N193="","",VLOOKUP(N193,'G-7 Rivers Data'!$B$4:$G$8,5,FALSE))</f>
        <v/>
      </c>
      <c r="AF193" s="179" t="str">
        <f t="shared" si="21"/>
        <v/>
      </c>
      <c r="AG193" s="269" t="str">
        <f t="shared" si="22"/>
        <v/>
      </c>
      <c r="AH193" s="172" t="str">
        <f t="shared" si="16"/>
        <v/>
      </c>
      <c r="AI193" s="173"/>
      <c r="AJ193" s="172" t="str">
        <f>IF(AI193="","",IF(VLOOKUP(AI193,'G-7 Rivers Data'!$AA$4:$AB$7,2,FALSE)=0,"Spatial Data Missing",VLOOKUP(AI193,'G-7 Rivers Data'!$AA$4:$AB$7,2,FALSE)))</f>
        <v/>
      </c>
      <c r="AK193" s="187"/>
      <c r="AL193" s="172" t="str">
        <f>IF(AK193="","",IF(VLOOKUP(AK193,'G-7 Rivers Data'!$AD$4:$AE$8,2,FALSE)=0,"Spatial Data Missing",VLOOKUP(AK193,'G-7 Rivers Data'!$AD$4:$AE$8,2,FALSE)))</f>
        <v/>
      </c>
      <c r="AM193" s="265" t="str">
        <f t="shared" si="23"/>
        <v/>
      </c>
      <c r="AN193" s="180"/>
      <c r="AO193" s="181"/>
      <c r="AV193" s="35" t="str">
        <f>IFERROR(INDEX('G-7 Rivers Data'!$AZ$3:$AZ$7,MATCH(N193,'G-7 Rivers Data'!$AY$3:$AY$7,0)),"")</f>
        <v/>
      </c>
    </row>
    <row r="194" spans="2:48" ht="13.8" x14ac:dyDescent="0.25">
      <c r="B194" s="259" t="str">
        <f>'C-1 Site River Baseline'!AN192</f>
        <v/>
      </c>
      <c r="C194" s="175" t="str">
        <f>IF(B194="","",VLOOKUP($B194,'C-1 Site River Baseline'!$C$9:$R$257,2,FALSE))</f>
        <v/>
      </c>
      <c r="D194" s="175" t="str">
        <f>IF(C194="","",VLOOKUP($B194,'C-1 Site River Baseline'!$C$9:$R$257,3,FALSE))</f>
        <v/>
      </c>
      <c r="E194" s="175" t="str">
        <f>IF(D194="","",VLOOKUP($B194,'C-1 Site River Baseline'!$C$9:$R$257,4,FALSE))</f>
        <v/>
      </c>
      <c r="F194" s="175" t="str">
        <f>IF(E194="","",VLOOKUP($B194,'C-1 Site River Baseline'!$C$9:$R$257,5,FALSE))</f>
        <v/>
      </c>
      <c r="G194" s="175" t="str">
        <f>IF(F194="","",VLOOKUP($B194,'C-1 Site River Baseline'!$C$9:$R$257,6,FALSE))</f>
        <v/>
      </c>
      <c r="H194" s="175" t="str">
        <f>IF(G194="","",VLOOKUP($B194,'C-1 Site River Baseline'!$C$9:$R$257,7,FALSE))</f>
        <v/>
      </c>
      <c r="I194" s="175" t="str">
        <f>IF(H194="","",VLOOKUP($B194,'C-1 Site River Baseline'!$C$9:$R$257,8,FALSE))</f>
        <v/>
      </c>
      <c r="J194" s="175" t="str">
        <f>IF(I194="","",VLOOKUP($B194,'C-1 Site River Baseline'!$C$9:$R$257,9,FALSE))</f>
        <v/>
      </c>
      <c r="K194" s="175" t="str">
        <f>IF(J194="","",VLOOKUP($B194,'C-1 Site River Baseline'!$C$9:$R$257,10,FALSE))</f>
        <v/>
      </c>
      <c r="L194" s="175" t="str">
        <f>IF(B194="","",VLOOKUP($B194,'C-1 Site River Baseline'!$C$9:$R$257,15,FALSE))</f>
        <v/>
      </c>
      <c r="M194" s="176" t="str">
        <f>IF(L194="","",VLOOKUP($B194,'C-1 Site River Baseline'!$C$9:$R$257,16,FALSE))</f>
        <v/>
      </c>
      <c r="N194" s="639" t="str">
        <f t="shared" si="17"/>
        <v/>
      </c>
      <c r="O194" s="239" t="str">
        <f t="shared" si="18"/>
        <v/>
      </c>
      <c r="P194" s="172" t="str">
        <f>IF(C194="","",IF(AND(LEFT(C194,55)&lt;&gt;LEFT(N194,55),O194="High - High"),"Error - Not like for like",IF(AND(F194=S194,H194&gt;U194),"Error - Can not reduce condition",IF(AND(F194=S194,H194=U194,AJ194='C-1 Site River Baseline'!N192,'C-1 Site River Baseline'!P192=AL194),"Error - No enhancement",IF(AND(C194&lt;&gt;N194,F194&lt;S194),"Lower Distinctiveness Habitat"&amp;" - "&amp;T194,G194&amp;" - "&amp;T194)))))</f>
        <v/>
      </c>
      <c r="Q194" s="660" t="str">
        <f>IF(N194="","",VLOOKUP(B194,'C-1 Site River Baseline'!$C$10:$AA$257,19,FALSE))</f>
        <v/>
      </c>
      <c r="R194" s="171" t="str">
        <f>IF(N194="","",VLOOKUP(N194,'G-7 Rivers Data'!$B$2:$G$8,2,FALSE))</f>
        <v/>
      </c>
      <c r="S194" s="172" t="str">
        <f>IFERROR(VLOOKUP(R194,'G-7 Rivers Data'!$C$4:$D$8,2,FALSE),"")</f>
        <v/>
      </c>
      <c r="T194" s="173"/>
      <c r="U194" s="172" t="str">
        <f>IFERROR(INDEX('G-7 Rivers Data'!$H$4:$L$8,MATCH(N194,'G-7 Rivers Data'!$B$4:$B$8,0),MATCH(T194,'G-7 Rivers Data'!$H$3:$L$3,0)),"")</f>
        <v/>
      </c>
      <c r="V194" s="186"/>
      <c r="W194" s="175" t="str">
        <f>IF(V194="","",IF(VLOOKUP(V194,'G-7 Rivers Data'!$AG$4:$AI$9,2,FALSE)=0,"Spatial Data Missing",VLOOKUP(V194,'G-7 Rivers Data'!$AG$4:$AI$9,2,FALSE)))</f>
        <v/>
      </c>
      <c r="X194" s="176" t="str">
        <f>IF(V194="","",IF(VLOOKUP(V194,'G-7 Rivers Data'!$AG$4:$AI$9,3,FALSE)=0,"Spatial Data Missing",VLOOKUP(V194,'G-7 Rivers Data'!$AG$4:$AI$9,3,FALSE)))</f>
        <v/>
      </c>
      <c r="Y194" s="171" t="str">
        <f>IFERROR(IF(OR(LEFT(P194,5)="Error",LEFT(O194,5)="Error"),"Check Data",IF(F194&lt;S194,'G-7 Rivers Data'!$R$3,INDEX('G-7 Rivers Data'!$U$5:$Y$9,MATCH(G194,'G-7 Rivers Data'!$T$5:$T$9,0),MATCH(T194,'G-7 Rivers Data'!$U$4:$Y$4,0)))),"")</f>
        <v/>
      </c>
      <c r="Z194" s="261"/>
      <c r="AA194" s="261"/>
      <c r="AB194" s="179" t="str">
        <f t="shared" si="19"/>
        <v/>
      </c>
      <c r="AC194" s="262" t="str">
        <f t="shared" si="20"/>
        <v/>
      </c>
      <c r="AD194" s="382" t="str">
        <f>IFERROR(IF(AC194="Check Data","Check Data",VLOOKUP(AC194,'G-4 Temporal multipliers'!$A$4:$C$37,3,FALSE)),"")</f>
        <v/>
      </c>
      <c r="AE194" s="171" t="str">
        <f>IF(N194="","",VLOOKUP(N194,'G-7 Rivers Data'!$B$4:$G$8,5,FALSE))</f>
        <v/>
      </c>
      <c r="AF194" s="179" t="str">
        <f t="shared" si="21"/>
        <v/>
      </c>
      <c r="AG194" s="269" t="str">
        <f t="shared" si="22"/>
        <v/>
      </c>
      <c r="AH194" s="172" t="str">
        <f t="shared" si="16"/>
        <v/>
      </c>
      <c r="AI194" s="173"/>
      <c r="AJ194" s="172" t="str">
        <f>IF(AI194="","",IF(VLOOKUP(AI194,'G-7 Rivers Data'!$AA$4:$AB$7,2,FALSE)=0,"Spatial Data Missing",VLOOKUP(AI194,'G-7 Rivers Data'!$AA$4:$AB$7,2,FALSE)))</f>
        <v/>
      </c>
      <c r="AK194" s="187"/>
      <c r="AL194" s="172" t="str">
        <f>IF(AK194="","",IF(VLOOKUP(AK194,'G-7 Rivers Data'!$AD$4:$AE$8,2,FALSE)=0,"Spatial Data Missing",VLOOKUP(AK194,'G-7 Rivers Data'!$AD$4:$AE$8,2,FALSE)))</f>
        <v/>
      </c>
      <c r="AM194" s="265" t="str">
        <f t="shared" si="23"/>
        <v/>
      </c>
      <c r="AN194" s="180"/>
      <c r="AO194" s="181"/>
      <c r="AV194" s="35" t="str">
        <f>IFERROR(INDEX('G-7 Rivers Data'!$AZ$3:$AZ$7,MATCH(N194,'G-7 Rivers Data'!$AY$3:$AY$7,0)),"")</f>
        <v/>
      </c>
    </row>
    <row r="195" spans="2:48" ht="13.8" x14ac:dyDescent="0.25">
      <c r="B195" s="259" t="str">
        <f>'C-1 Site River Baseline'!AN193</f>
        <v/>
      </c>
      <c r="C195" s="175" t="str">
        <f>IF(B195="","",VLOOKUP($B195,'C-1 Site River Baseline'!$C$9:$R$257,2,FALSE))</f>
        <v/>
      </c>
      <c r="D195" s="175" t="str">
        <f>IF(C195="","",VLOOKUP($B195,'C-1 Site River Baseline'!$C$9:$R$257,3,FALSE))</f>
        <v/>
      </c>
      <c r="E195" s="175" t="str">
        <f>IF(D195="","",VLOOKUP($B195,'C-1 Site River Baseline'!$C$9:$R$257,4,FALSE))</f>
        <v/>
      </c>
      <c r="F195" s="175" t="str">
        <f>IF(E195="","",VLOOKUP($B195,'C-1 Site River Baseline'!$C$9:$R$257,5,FALSE))</f>
        <v/>
      </c>
      <c r="G195" s="175" t="str">
        <f>IF(F195="","",VLOOKUP($B195,'C-1 Site River Baseline'!$C$9:$R$257,6,FALSE))</f>
        <v/>
      </c>
      <c r="H195" s="175" t="str">
        <f>IF(G195="","",VLOOKUP($B195,'C-1 Site River Baseline'!$C$9:$R$257,7,FALSE))</f>
        <v/>
      </c>
      <c r="I195" s="175" t="str">
        <f>IF(H195="","",VLOOKUP($B195,'C-1 Site River Baseline'!$C$9:$R$257,8,FALSE))</f>
        <v/>
      </c>
      <c r="J195" s="175" t="str">
        <f>IF(I195="","",VLOOKUP($B195,'C-1 Site River Baseline'!$C$9:$R$257,9,FALSE))</f>
        <v/>
      </c>
      <c r="K195" s="175" t="str">
        <f>IF(J195="","",VLOOKUP($B195,'C-1 Site River Baseline'!$C$9:$R$257,10,FALSE))</f>
        <v/>
      </c>
      <c r="L195" s="175" t="str">
        <f>IF(B195="","",VLOOKUP($B195,'C-1 Site River Baseline'!$C$9:$R$257,15,FALSE))</f>
        <v/>
      </c>
      <c r="M195" s="176" t="str">
        <f>IF(L195="","",VLOOKUP($B195,'C-1 Site River Baseline'!$C$9:$R$257,16,FALSE))</f>
        <v/>
      </c>
      <c r="N195" s="639" t="str">
        <f t="shared" si="17"/>
        <v/>
      </c>
      <c r="O195" s="239" t="str">
        <f t="shared" si="18"/>
        <v/>
      </c>
      <c r="P195" s="172" t="str">
        <f>IF(C195="","",IF(AND(LEFT(C195,55)&lt;&gt;LEFT(N195,55),O195="High - High"),"Error - Not like for like",IF(AND(F195=S195,H195&gt;U195),"Error - Can not reduce condition",IF(AND(F195=S195,H195=U195,AJ195='C-1 Site River Baseline'!N193,'C-1 Site River Baseline'!P193=AL195),"Error - No enhancement",IF(AND(C195&lt;&gt;N195,F195&lt;S195),"Lower Distinctiveness Habitat"&amp;" - "&amp;T195,G195&amp;" - "&amp;T195)))))</f>
        <v/>
      </c>
      <c r="Q195" s="660" t="str">
        <f>IF(N195="","",VLOOKUP(B195,'C-1 Site River Baseline'!$C$10:$AA$257,19,FALSE))</f>
        <v/>
      </c>
      <c r="R195" s="171" t="str">
        <f>IF(N195="","",VLOOKUP(N195,'G-7 Rivers Data'!$B$2:$G$8,2,FALSE))</f>
        <v/>
      </c>
      <c r="S195" s="172" t="str">
        <f>IFERROR(VLOOKUP(R195,'G-7 Rivers Data'!$C$4:$D$8,2,FALSE),"")</f>
        <v/>
      </c>
      <c r="T195" s="173"/>
      <c r="U195" s="172" t="str">
        <f>IFERROR(INDEX('G-7 Rivers Data'!$H$4:$L$8,MATCH(N195,'G-7 Rivers Data'!$B$4:$B$8,0),MATCH(T195,'G-7 Rivers Data'!$H$3:$L$3,0)),"")</f>
        <v/>
      </c>
      <c r="V195" s="186"/>
      <c r="W195" s="175" t="str">
        <f>IF(V195="","",IF(VLOOKUP(V195,'G-7 Rivers Data'!$AG$4:$AI$9,2,FALSE)=0,"Spatial Data Missing",VLOOKUP(V195,'G-7 Rivers Data'!$AG$4:$AI$9,2,FALSE)))</f>
        <v/>
      </c>
      <c r="X195" s="176" t="str">
        <f>IF(V195="","",IF(VLOOKUP(V195,'G-7 Rivers Data'!$AG$4:$AI$9,3,FALSE)=0,"Spatial Data Missing",VLOOKUP(V195,'G-7 Rivers Data'!$AG$4:$AI$9,3,FALSE)))</f>
        <v/>
      </c>
      <c r="Y195" s="171" t="str">
        <f>IFERROR(IF(OR(LEFT(P195,5)="Error",LEFT(O195,5)="Error"),"Check Data",IF(F195&lt;S195,'G-7 Rivers Data'!$R$3,INDEX('G-7 Rivers Data'!$U$5:$Y$9,MATCH(G195,'G-7 Rivers Data'!$T$5:$T$9,0),MATCH(T195,'G-7 Rivers Data'!$U$4:$Y$4,0)))),"")</f>
        <v/>
      </c>
      <c r="Z195" s="261"/>
      <c r="AA195" s="261"/>
      <c r="AB195" s="179" t="str">
        <f t="shared" si="19"/>
        <v/>
      </c>
      <c r="AC195" s="262" t="str">
        <f t="shared" si="20"/>
        <v/>
      </c>
      <c r="AD195" s="382" t="str">
        <f>IFERROR(IF(AC195="Check Data","Check Data",VLOOKUP(AC195,'G-4 Temporal multipliers'!$A$4:$C$37,3,FALSE)),"")</f>
        <v/>
      </c>
      <c r="AE195" s="171" t="str">
        <f>IF(N195="","",VLOOKUP(N195,'G-7 Rivers Data'!$B$4:$G$8,5,FALSE))</f>
        <v/>
      </c>
      <c r="AF195" s="179" t="str">
        <f t="shared" si="21"/>
        <v/>
      </c>
      <c r="AG195" s="269" t="str">
        <f t="shared" si="22"/>
        <v/>
      </c>
      <c r="AH195" s="172" t="str">
        <f t="shared" si="16"/>
        <v/>
      </c>
      <c r="AI195" s="173"/>
      <c r="AJ195" s="172" t="str">
        <f>IF(AI195="","",IF(VLOOKUP(AI195,'G-7 Rivers Data'!$AA$4:$AB$7,2,FALSE)=0,"Spatial Data Missing",VLOOKUP(AI195,'G-7 Rivers Data'!$AA$4:$AB$7,2,FALSE)))</f>
        <v/>
      </c>
      <c r="AK195" s="187"/>
      <c r="AL195" s="172" t="str">
        <f>IF(AK195="","",IF(VLOOKUP(AK195,'G-7 Rivers Data'!$AD$4:$AE$8,2,FALSE)=0,"Spatial Data Missing",VLOOKUP(AK195,'G-7 Rivers Data'!$AD$4:$AE$8,2,FALSE)))</f>
        <v/>
      </c>
      <c r="AM195" s="265" t="str">
        <f t="shared" si="23"/>
        <v/>
      </c>
      <c r="AN195" s="180"/>
      <c r="AO195" s="181"/>
      <c r="AV195" s="35" t="str">
        <f>IFERROR(INDEX('G-7 Rivers Data'!$AZ$3:$AZ$7,MATCH(N195,'G-7 Rivers Data'!$AY$3:$AY$7,0)),"")</f>
        <v/>
      </c>
    </row>
    <row r="196" spans="2:48" ht="13.8" x14ac:dyDescent="0.25">
      <c r="B196" s="259" t="str">
        <f>'C-1 Site River Baseline'!AN194</f>
        <v/>
      </c>
      <c r="C196" s="175" t="str">
        <f>IF(B196="","",VLOOKUP($B196,'C-1 Site River Baseline'!$C$9:$R$257,2,FALSE))</f>
        <v/>
      </c>
      <c r="D196" s="175" t="str">
        <f>IF(C196="","",VLOOKUP($B196,'C-1 Site River Baseline'!$C$9:$R$257,3,FALSE))</f>
        <v/>
      </c>
      <c r="E196" s="175" t="str">
        <f>IF(D196="","",VLOOKUP($B196,'C-1 Site River Baseline'!$C$9:$R$257,4,FALSE))</f>
        <v/>
      </c>
      <c r="F196" s="175" t="str">
        <f>IF(E196="","",VLOOKUP($B196,'C-1 Site River Baseline'!$C$9:$R$257,5,FALSE))</f>
        <v/>
      </c>
      <c r="G196" s="175" t="str">
        <f>IF(F196="","",VLOOKUP($B196,'C-1 Site River Baseline'!$C$9:$R$257,6,FALSE))</f>
        <v/>
      </c>
      <c r="H196" s="175" t="str">
        <f>IF(G196="","",VLOOKUP($B196,'C-1 Site River Baseline'!$C$9:$R$257,7,FALSE))</f>
        <v/>
      </c>
      <c r="I196" s="175" t="str">
        <f>IF(H196="","",VLOOKUP($B196,'C-1 Site River Baseline'!$C$9:$R$257,8,FALSE))</f>
        <v/>
      </c>
      <c r="J196" s="175" t="str">
        <f>IF(I196="","",VLOOKUP($B196,'C-1 Site River Baseline'!$C$9:$R$257,9,FALSE))</f>
        <v/>
      </c>
      <c r="K196" s="175" t="str">
        <f>IF(J196="","",VLOOKUP($B196,'C-1 Site River Baseline'!$C$9:$R$257,10,FALSE))</f>
        <v/>
      </c>
      <c r="L196" s="175" t="str">
        <f>IF(B196="","",VLOOKUP($B196,'C-1 Site River Baseline'!$C$9:$R$257,15,FALSE))</f>
        <v/>
      </c>
      <c r="M196" s="176" t="str">
        <f>IF(L196="","",VLOOKUP($B196,'C-1 Site River Baseline'!$C$9:$R$257,16,FALSE))</f>
        <v/>
      </c>
      <c r="N196" s="639" t="str">
        <f t="shared" si="17"/>
        <v/>
      </c>
      <c r="O196" s="239" t="str">
        <f t="shared" si="18"/>
        <v/>
      </c>
      <c r="P196" s="172" t="str">
        <f>IF(C196="","",IF(AND(LEFT(C196,55)&lt;&gt;LEFT(N196,55),O196="High - High"),"Error - Not like for like",IF(AND(F196=S196,H196&gt;U196),"Error - Can not reduce condition",IF(AND(F196=S196,H196=U196,AJ196='C-1 Site River Baseline'!N194,'C-1 Site River Baseline'!P194=AL196),"Error - No enhancement",IF(AND(C196&lt;&gt;N196,F196&lt;S196),"Lower Distinctiveness Habitat"&amp;" - "&amp;T196,G196&amp;" - "&amp;T196)))))</f>
        <v/>
      </c>
      <c r="Q196" s="660" t="str">
        <f>IF(N196="","",VLOOKUP(B196,'C-1 Site River Baseline'!$C$10:$AA$257,19,FALSE))</f>
        <v/>
      </c>
      <c r="R196" s="171" t="str">
        <f>IF(N196="","",VLOOKUP(N196,'G-7 Rivers Data'!$B$2:$G$8,2,FALSE))</f>
        <v/>
      </c>
      <c r="S196" s="172" t="str">
        <f>IFERROR(VLOOKUP(R196,'G-7 Rivers Data'!$C$4:$D$8,2,FALSE),"")</f>
        <v/>
      </c>
      <c r="T196" s="173"/>
      <c r="U196" s="172" t="str">
        <f>IFERROR(INDEX('G-7 Rivers Data'!$H$4:$L$8,MATCH(N196,'G-7 Rivers Data'!$B$4:$B$8,0),MATCH(T196,'G-7 Rivers Data'!$H$3:$L$3,0)),"")</f>
        <v/>
      </c>
      <c r="V196" s="186"/>
      <c r="W196" s="175" t="str">
        <f>IF(V196="","",IF(VLOOKUP(V196,'G-7 Rivers Data'!$AG$4:$AI$9,2,FALSE)=0,"Spatial Data Missing",VLOOKUP(V196,'G-7 Rivers Data'!$AG$4:$AI$9,2,FALSE)))</f>
        <v/>
      </c>
      <c r="X196" s="176" t="str">
        <f>IF(V196="","",IF(VLOOKUP(V196,'G-7 Rivers Data'!$AG$4:$AI$9,3,FALSE)=0,"Spatial Data Missing",VLOOKUP(V196,'G-7 Rivers Data'!$AG$4:$AI$9,3,FALSE)))</f>
        <v/>
      </c>
      <c r="Y196" s="171" t="str">
        <f>IFERROR(IF(OR(LEFT(P196,5)="Error",LEFT(O196,5)="Error"),"Check Data",IF(F196&lt;S196,'G-7 Rivers Data'!$R$3,INDEX('G-7 Rivers Data'!$U$5:$Y$9,MATCH(G196,'G-7 Rivers Data'!$T$5:$T$9,0),MATCH(T196,'G-7 Rivers Data'!$U$4:$Y$4,0)))),"")</f>
        <v/>
      </c>
      <c r="Z196" s="261"/>
      <c r="AA196" s="261"/>
      <c r="AB196" s="179" t="str">
        <f t="shared" si="19"/>
        <v/>
      </c>
      <c r="AC196" s="262" t="str">
        <f t="shared" si="20"/>
        <v/>
      </c>
      <c r="AD196" s="382" t="str">
        <f>IFERROR(IF(AC196="Check Data","Check Data",VLOOKUP(AC196,'G-4 Temporal multipliers'!$A$4:$C$37,3,FALSE)),"")</f>
        <v/>
      </c>
      <c r="AE196" s="171" t="str">
        <f>IF(N196="","",VLOOKUP(N196,'G-7 Rivers Data'!$B$4:$G$8,5,FALSE))</f>
        <v/>
      </c>
      <c r="AF196" s="179" t="str">
        <f t="shared" si="21"/>
        <v/>
      </c>
      <c r="AG196" s="269" t="str">
        <f t="shared" si="22"/>
        <v/>
      </c>
      <c r="AH196" s="172" t="str">
        <f t="shared" si="16"/>
        <v/>
      </c>
      <c r="AI196" s="173"/>
      <c r="AJ196" s="172" t="str">
        <f>IF(AI196="","",IF(VLOOKUP(AI196,'G-7 Rivers Data'!$AA$4:$AB$7,2,FALSE)=0,"Spatial Data Missing",VLOOKUP(AI196,'G-7 Rivers Data'!$AA$4:$AB$7,2,FALSE)))</f>
        <v/>
      </c>
      <c r="AK196" s="187"/>
      <c r="AL196" s="172" t="str">
        <f>IF(AK196="","",IF(VLOOKUP(AK196,'G-7 Rivers Data'!$AD$4:$AE$8,2,FALSE)=0,"Spatial Data Missing",VLOOKUP(AK196,'G-7 Rivers Data'!$AD$4:$AE$8,2,FALSE)))</f>
        <v/>
      </c>
      <c r="AM196" s="265" t="str">
        <f t="shared" si="23"/>
        <v/>
      </c>
      <c r="AN196" s="180"/>
      <c r="AO196" s="181"/>
      <c r="AV196" s="35" t="str">
        <f>IFERROR(INDEX('G-7 Rivers Data'!$AZ$3:$AZ$7,MATCH(N196,'G-7 Rivers Data'!$AY$3:$AY$7,0)),"")</f>
        <v/>
      </c>
    </row>
    <row r="197" spans="2:48" ht="13.8" x14ac:dyDescent="0.25">
      <c r="B197" s="259" t="str">
        <f>'C-1 Site River Baseline'!AN195</f>
        <v/>
      </c>
      <c r="C197" s="175" t="str">
        <f>IF(B197="","",VLOOKUP($B197,'C-1 Site River Baseline'!$C$9:$R$257,2,FALSE))</f>
        <v/>
      </c>
      <c r="D197" s="175" t="str">
        <f>IF(C197="","",VLOOKUP($B197,'C-1 Site River Baseline'!$C$9:$R$257,3,FALSE))</f>
        <v/>
      </c>
      <c r="E197" s="175" t="str">
        <f>IF(D197="","",VLOOKUP($B197,'C-1 Site River Baseline'!$C$9:$R$257,4,FALSE))</f>
        <v/>
      </c>
      <c r="F197" s="175" t="str">
        <f>IF(E197="","",VLOOKUP($B197,'C-1 Site River Baseline'!$C$9:$R$257,5,FALSE))</f>
        <v/>
      </c>
      <c r="G197" s="175" t="str">
        <f>IF(F197="","",VLOOKUP($B197,'C-1 Site River Baseline'!$C$9:$R$257,6,FALSE))</f>
        <v/>
      </c>
      <c r="H197" s="175" t="str">
        <f>IF(G197="","",VLOOKUP($B197,'C-1 Site River Baseline'!$C$9:$R$257,7,FALSE))</f>
        <v/>
      </c>
      <c r="I197" s="175" t="str">
        <f>IF(H197="","",VLOOKUP($B197,'C-1 Site River Baseline'!$C$9:$R$257,8,FALSE))</f>
        <v/>
      </c>
      <c r="J197" s="175" t="str">
        <f>IF(I197="","",VLOOKUP($B197,'C-1 Site River Baseline'!$C$9:$R$257,9,FALSE))</f>
        <v/>
      </c>
      <c r="K197" s="175" t="str">
        <f>IF(J197="","",VLOOKUP($B197,'C-1 Site River Baseline'!$C$9:$R$257,10,FALSE))</f>
        <v/>
      </c>
      <c r="L197" s="175" t="str">
        <f>IF(B197="","",VLOOKUP($B197,'C-1 Site River Baseline'!$C$9:$R$257,15,FALSE))</f>
        <v/>
      </c>
      <c r="M197" s="176" t="str">
        <f>IF(L197="","",VLOOKUP($B197,'C-1 Site River Baseline'!$C$9:$R$257,16,FALSE))</f>
        <v/>
      </c>
      <c r="N197" s="639" t="str">
        <f t="shared" si="17"/>
        <v/>
      </c>
      <c r="O197" s="239" t="str">
        <f t="shared" si="18"/>
        <v/>
      </c>
      <c r="P197" s="172" t="str">
        <f>IF(C197="","",IF(AND(LEFT(C197,55)&lt;&gt;LEFT(N197,55),O197="High - High"),"Error - Not like for like",IF(AND(F197=S197,H197&gt;U197),"Error - Can not reduce condition",IF(AND(F197=S197,H197=U197,AJ197='C-1 Site River Baseline'!N195,'C-1 Site River Baseline'!P195=AL197),"Error - No enhancement",IF(AND(C197&lt;&gt;N197,F197&lt;S197),"Lower Distinctiveness Habitat"&amp;" - "&amp;T197,G197&amp;" - "&amp;T197)))))</f>
        <v/>
      </c>
      <c r="Q197" s="660" t="str">
        <f>IF(N197="","",VLOOKUP(B197,'C-1 Site River Baseline'!$C$10:$AA$257,19,FALSE))</f>
        <v/>
      </c>
      <c r="R197" s="171" t="str">
        <f>IF(N197="","",VLOOKUP(N197,'G-7 Rivers Data'!$B$2:$G$8,2,FALSE))</f>
        <v/>
      </c>
      <c r="S197" s="172" t="str">
        <f>IFERROR(VLOOKUP(R197,'G-7 Rivers Data'!$C$4:$D$8,2,FALSE),"")</f>
        <v/>
      </c>
      <c r="T197" s="173"/>
      <c r="U197" s="172" t="str">
        <f>IFERROR(INDEX('G-7 Rivers Data'!$H$4:$L$8,MATCH(N197,'G-7 Rivers Data'!$B$4:$B$8,0),MATCH(T197,'G-7 Rivers Data'!$H$3:$L$3,0)),"")</f>
        <v/>
      </c>
      <c r="V197" s="186"/>
      <c r="W197" s="175" t="str">
        <f>IF(V197="","",IF(VLOOKUP(V197,'G-7 Rivers Data'!$AG$4:$AI$9,2,FALSE)=0,"Spatial Data Missing",VLOOKUP(V197,'G-7 Rivers Data'!$AG$4:$AI$9,2,FALSE)))</f>
        <v/>
      </c>
      <c r="X197" s="176" t="str">
        <f>IF(V197="","",IF(VLOOKUP(V197,'G-7 Rivers Data'!$AG$4:$AI$9,3,FALSE)=0,"Spatial Data Missing",VLOOKUP(V197,'G-7 Rivers Data'!$AG$4:$AI$9,3,FALSE)))</f>
        <v/>
      </c>
      <c r="Y197" s="171" t="str">
        <f>IFERROR(IF(OR(LEFT(P197,5)="Error",LEFT(O197,5)="Error"),"Check Data",IF(F197&lt;S197,'G-7 Rivers Data'!$R$3,INDEX('G-7 Rivers Data'!$U$5:$Y$9,MATCH(G197,'G-7 Rivers Data'!$T$5:$T$9,0),MATCH(T197,'G-7 Rivers Data'!$U$4:$Y$4,0)))),"")</f>
        <v/>
      </c>
      <c r="Z197" s="261"/>
      <c r="AA197" s="261"/>
      <c r="AB197" s="179" t="str">
        <f t="shared" si="19"/>
        <v/>
      </c>
      <c r="AC197" s="262" t="str">
        <f t="shared" si="20"/>
        <v/>
      </c>
      <c r="AD197" s="382" t="str">
        <f>IFERROR(IF(AC197="Check Data","Check Data",VLOOKUP(AC197,'G-4 Temporal multipliers'!$A$4:$C$37,3,FALSE)),"")</f>
        <v/>
      </c>
      <c r="AE197" s="171" t="str">
        <f>IF(N197="","",VLOOKUP(N197,'G-7 Rivers Data'!$B$4:$G$8,5,FALSE))</f>
        <v/>
      </c>
      <c r="AF197" s="179" t="str">
        <f t="shared" si="21"/>
        <v/>
      </c>
      <c r="AG197" s="269" t="str">
        <f t="shared" si="22"/>
        <v/>
      </c>
      <c r="AH197" s="172" t="str">
        <f t="shared" si="16"/>
        <v/>
      </c>
      <c r="AI197" s="173"/>
      <c r="AJ197" s="172" t="str">
        <f>IF(AI197="","",IF(VLOOKUP(AI197,'G-7 Rivers Data'!$AA$4:$AB$7,2,FALSE)=0,"Spatial Data Missing",VLOOKUP(AI197,'G-7 Rivers Data'!$AA$4:$AB$7,2,FALSE)))</f>
        <v/>
      </c>
      <c r="AK197" s="187"/>
      <c r="AL197" s="172" t="str">
        <f>IF(AK197="","",IF(VLOOKUP(AK197,'G-7 Rivers Data'!$AD$4:$AE$8,2,FALSE)=0,"Spatial Data Missing",VLOOKUP(AK197,'G-7 Rivers Data'!$AD$4:$AE$8,2,FALSE)))</f>
        <v/>
      </c>
      <c r="AM197" s="265" t="str">
        <f t="shared" si="23"/>
        <v/>
      </c>
      <c r="AN197" s="180"/>
      <c r="AO197" s="181"/>
      <c r="AV197" s="35" t="str">
        <f>IFERROR(INDEX('G-7 Rivers Data'!$AZ$3:$AZ$7,MATCH(N197,'G-7 Rivers Data'!$AY$3:$AY$7,0)),"")</f>
        <v/>
      </c>
    </row>
    <row r="198" spans="2:48" ht="13.8" x14ac:dyDescent="0.25">
      <c r="B198" s="259" t="str">
        <f>'C-1 Site River Baseline'!AN196</f>
        <v/>
      </c>
      <c r="C198" s="175" t="str">
        <f>IF(B198="","",VLOOKUP($B198,'C-1 Site River Baseline'!$C$9:$R$257,2,FALSE))</f>
        <v/>
      </c>
      <c r="D198" s="175" t="str">
        <f>IF(C198="","",VLOOKUP($B198,'C-1 Site River Baseline'!$C$9:$R$257,3,FALSE))</f>
        <v/>
      </c>
      <c r="E198" s="175" t="str">
        <f>IF(D198="","",VLOOKUP($B198,'C-1 Site River Baseline'!$C$9:$R$257,4,FALSE))</f>
        <v/>
      </c>
      <c r="F198" s="175" t="str">
        <f>IF(E198="","",VLOOKUP($B198,'C-1 Site River Baseline'!$C$9:$R$257,5,FALSE))</f>
        <v/>
      </c>
      <c r="G198" s="175" t="str">
        <f>IF(F198="","",VLOOKUP($B198,'C-1 Site River Baseline'!$C$9:$R$257,6,FALSE))</f>
        <v/>
      </c>
      <c r="H198" s="175" t="str">
        <f>IF(G198="","",VLOOKUP($B198,'C-1 Site River Baseline'!$C$9:$R$257,7,FALSE))</f>
        <v/>
      </c>
      <c r="I198" s="175" t="str">
        <f>IF(H198="","",VLOOKUP($B198,'C-1 Site River Baseline'!$C$9:$R$257,8,FALSE))</f>
        <v/>
      </c>
      <c r="J198" s="175" t="str">
        <f>IF(I198="","",VLOOKUP($B198,'C-1 Site River Baseline'!$C$9:$R$257,9,FALSE))</f>
        <v/>
      </c>
      <c r="K198" s="175" t="str">
        <f>IF(J198="","",VLOOKUP($B198,'C-1 Site River Baseline'!$C$9:$R$257,10,FALSE))</f>
        <v/>
      </c>
      <c r="L198" s="175" t="str">
        <f>IF(B198="","",VLOOKUP($B198,'C-1 Site River Baseline'!$C$9:$R$257,15,FALSE))</f>
        <v/>
      </c>
      <c r="M198" s="176" t="str">
        <f>IF(L198="","",VLOOKUP($B198,'C-1 Site River Baseline'!$C$9:$R$257,16,FALSE))</f>
        <v/>
      </c>
      <c r="N198" s="639" t="str">
        <f t="shared" si="17"/>
        <v/>
      </c>
      <c r="O198" s="239" t="str">
        <f t="shared" si="18"/>
        <v/>
      </c>
      <c r="P198" s="172" t="str">
        <f>IF(C198="","",IF(AND(LEFT(C198,55)&lt;&gt;LEFT(N198,55),O198="High - High"),"Error - Not like for like",IF(AND(F198=S198,H198&gt;U198),"Error - Can not reduce condition",IF(AND(F198=S198,H198=U198,AJ198='C-1 Site River Baseline'!N196,'C-1 Site River Baseline'!P196=AL198),"Error - No enhancement",IF(AND(C198&lt;&gt;N198,F198&lt;S198),"Lower Distinctiveness Habitat"&amp;" - "&amp;T198,G198&amp;" - "&amp;T198)))))</f>
        <v/>
      </c>
      <c r="Q198" s="660" t="str">
        <f>IF(N198="","",VLOOKUP(B198,'C-1 Site River Baseline'!$C$10:$AA$257,19,FALSE))</f>
        <v/>
      </c>
      <c r="R198" s="171" t="str">
        <f>IF(N198="","",VLOOKUP(N198,'G-7 Rivers Data'!$B$2:$G$8,2,FALSE))</f>
        <v/>
      </c>
      <c r="S198" s="172" t="str">
        <f>IFERROR(VLOOKUP(R198,'G-7 Rivers Data'!$C$4:$D$8,2,FALSE),"")</f>
        <v/>
      </c>
      <c r="T198" s="173"/>
      <c r="U198" s="172" t="str">
        <f>IFERROR(INDEX('G-7 Rivers Data'!$H$4:$L$8,MATCH(N198,'G-7 Rivers Data'!$B$4:$B$8,0),MATCH(T198,'G-7 Rivers Data'!$H$3:$L$3,0)),"")</f>
        <v/>
      </c>
      <c r="V198" s="186"/>
      <c r="W198" s="175" t="str">
        <f>IF(V198="","",IF(VLOOKUP(V198,'G-7 Rivers Data'!$AG$4:$AI$9,2,FALSE)=0,"Spatial Data Missing",VLOOKUP(V198,'G-7 Rivers Data'!$AG$4:$AI$9,2,FALSE)))</f>
        <v/>
      </c>
      <c r="X198" s="176" t="str">
        <f>IF(V198="","",IF(VLOOKUP(V198,'G-7 Rivers Data'!$AG$4:$AI$9,3,FALSE)=0,"Spatial Data Missing",VLOOKUP(V198,'G-7 Rivers Data'!$AG$4:$AI$9,3,FALSE)))</f>
        <v/>
      </c>
      <c r="Y198" s="171" t="str">
        <f>IFERROR(IF(OR(LEFT(P198,5)="Error",LEFT(O198,5)="Error"),"Check Data",IF(F198&lt;S198,'G-7 Rivers Data'!$R$3,INDEX('G-7 Rivers Data'!$U$5:$Y$9,MATCH(G198,'G-7 Rivers Data'!$T$5:$T$9,0),MATCH(T198,'G-7 Rivers Data'!$U$4:$Y$4,0)))),"")</f>
        <v/>
      </c>
      <c r="Z198" s="261"/>
      <c r="AA198" s="261"/>
      <c r="AB198" s="179" t="str">
        <f t="shared" si="19"/>
        <v/>
      </c>
      <c r="AC198" s="262" t="str">
        <f t="shared" si="20"/>
        <v/>
      </c>
      <c r="AD198" s="382" t="str">
        <f>IFERROR(IF(AC198="Check Data","Check Data",VLOOKUP(AC198,'G-4 Temporal multipliers'!$A$4:$C$37,3,FALSE)),"")</f>
        <v/>
      </c>
      <c r="AE198" s="171" t="str">
        <f>IF(N198="","",VLOOKUP(N198,'G-7 Rivers Data'!$B$4:$G$8,5,FALSE))</f>
        <v/>
      </c>
      <c r="AF198" s="179" t="str">
        <f t="shared" si="21"/>
        <v/>
      </c>
      <c r="AG198" s="269" t="str">
        <f t="shared" si="22"/>
        <v/>
      </c>
      <c r="AH198" s="172" t="str">
        <f t="shared" si="16"/>
        <v/>
      </c>
      <c r="AI198" s="173"/>
      <c r="AJ198" s="172" t="str">
        <f>IF(AI198="","",IF(VLOOKUP(AI198,'G-7 Rivers Data'!$AA$4:$AB$7,2,FALSE)=0,"Spatial Data Missing",VLOOKUP(AI198,'G-7 Rivers Data'!$AA$4:$AB$7,2,FALSE)))</f>
        <v/>
      </c>
      <c r="AK198" s="187"/>
      <c r="AL198" s="172" t="str">
        <f>IF(AK198="","",IF(VLOOKUP(AK198,'G-7 Rivers Data'!$AD$4:$AE$8,2,FALSE)=0,"Spatial Data Missing",VLOOKUP(AK198,'G-7 Rivers Data'!$AD$4:$AE$8,2,FALSE)))</f>
        <v/>
      </c>
      <c r="AM198" s="265" t="str">
        <f t="shared" si="23"/>
        <v/>
      </c>
      <c r="AN198" s="180"/>
      <c r="AO198" s="181"/>
      <c r="AV198" s="35" t="str">
        <f>IFERROR(INDEX('G-7 Rivers Data'!$AZ$3:$AZ$7,MATCH(N198,'G-7 Rivers Data'!$AY$3:$AY$7,0)),"")</f>
        <v/>
      </c>
    </row>
    <row r="199" spans="2:48" ht="13.8" x14ac:dyDescent="0.25">
      <c r="B199" s="259" t="str">
        <f>'C-1 Site River Baseline'!AN197</f>
        <v/>
      </c>
      <c r="C199" s="175" t="str">
        <f>IF(B199="","",VLOOKUP($B199,'C-1 Site River Baseline'!$C$9:$R$257,2,FALSE))</f>
        <v/>
      </c>
      <c r="D199" s="175" t="str">
        <f>IF(C199="","",VLOOKUP($B199,'C-1 Site River Baseline'!$C$9:$R$257,3,FALSE))</f>
        <v/>
      </c>
      <c r="E199" s="175" t="str">
        <f>IF(D199="","",VLOOKUP($B199,'C-1 Site River Baseline'!$C$9:$R$257,4,FALSE))</f>
        <v/>
      </c>
      <c r="F199" s="175" t="str">
        <f>IF(E199="","",VLOOKUP($B199,'C-1 Site River Baseline'!$C$9:$R$257,5,FALSE))</f>
        <v/>
      </c>
      <c r="G199" s="175" t="str">
        <f>IF(F199="","",VLOOKUP($B199,'C-1 Site River Baseline'!$C$9:$R$257,6,FALSE))</f>
        <v/>
      </c>
      <c r="H199" s="175" t="str">
        <f>IF(G199="","",VLOOKUP($B199,'C-1 Site River Baseline'!$C$9:$R$257,7,FALSE))</f>
        <v/>
      </c>
      <c r="I199" s="175" t="str">
        <f>IF(H199="","",VLOOKUP($B199,'C-1 Site River Baseline'!$C$9:$R$257,8,FALSE))</f>
        <v/>
      </c>
      <c r="J199" s="175" t="str">
        <f>IF(I199="","",VLOOKUP($B199,'C-1 Site River Baseline'!$C$9:$R$257,9,FALSE))</f>
        <v/>
      </c>
      <c r="K199" s="175" t="str">
        <f>IF(J199="","",VLOOKUP($B199,'C-1 Site River Baseline'!$C$9:$R$257,10,FALSE))</f>
        <v/>
      </c>
      <c r="L199" s="175" t="str">
        <f>IF(B199="","",VLOOKUP($B199,'C-1 Site River Baseline'!$C$9:$R$257,15,FALSE))</f>
        <v/>
      </c>
      <c r="M199" s="176" t="str">
        <f>IF(L199="","",VLOOKUP($B199,'C-1 Site River Baseline'!$C$9:$R$257,16,FALSE))</f>
        <v/>
      </c>
      <c r="N199" s="639" t="str">
        <f t="shared" si="17"/>
        <v/>
      </c>
      <c r="O199" s="239" t="str">
        <f t="shared" si="18"/>
        <v/>
      </c>
      <c r="P199" s="172" t="str">
        <f>IF(C199="","",IF(AND(LEFT(C199,55)&lt;&gt;LEFT(N199,55),O199="High - High"),"Error - Not like for like",IF(AND(F199=S199,H199&gt;U199),"Error - Can not reduce condition",IF(AND(F199=S199,H199=U199,AJ199='C-1 Site River Baseline'!N197,'C-1 Site River Baseline'!P197=AL199),"Error - No enhancement",IF(AND(C199&lt;&gt;N199,F199&lt;S199),"Lower Distinctiveness Habitat"&amp;" - "&amp;T199,G199&amp;" - "&amp;T199)))))</f>
        <v/>
      </c>
      <c r="Q199" s="660" t="str">
        <f>IF(N199="","",VLOOKUP(B199,'C-1 Site River Baseline'!$C$10:$AA$257,19,FALSE))</f>
        <v/>
      </c>
      <c r="R199" s="171" t="str">
        <f>IF(N199="","",VLOOKUP(N199,'G-7 Rivers Data'!$B$2:$G$8,2,FALSE))</f>
        <v/>
      </c>
      <c r="S199" s="172" t="str">
        <f>IFERROR(VLOOKUP(R199,'G-7 Rivers Data'!$C$4:$D$8,2,FALSE),"")</f>
        <v/>
      </c>
      <c r="T199" s="173"/>
      <c r="U199" s="172" t="str">
        <f>IFERROR(INDEX('G-7 Rivers Data'!$H$4:$L$8,MATCH(N199,'G-7 Rivers Data'!$B$4:$B$8,0),MATCH(T199,'G-7 Rivers Data'!$H$3:$L$3,0)),"")</f>
        <v/>
      </c>
      <c r="V199" s="186"/>
      <c r="W199" s="175" t="str">
        <f>IF(V199="","",IF(VLOOKUP(V199,'G-7 Rivers Data'!$AG$4:$AI$9,2,FALSE)=0,"Spatial Data Missing",VLOOKUP(V199,'G-7 Rivers Data'!$AG$4:$AI$9,2,FALSE)))</f>
        <v/>
      </c>
      <c r="X199" s="176" t="str">
        <f>IF(V199="","",IF(VLOOKUP(V199,'G-7 Rivers Data'!$AG$4:$AI$9,3,FALSE)=0,"Spatial Data Missing",VLOOKUP(V199,'G-7 Rivers Data'!$AG$4:$AI$9,3,FALSE)))</f>
        <v/>
      </c>
      <c r="Y199" s="171" t="str">
        <f>IFERROR(IF(OR(LEFT(P199,5)="Error",LEFT(O199,5)="Error"),"Check Data",IF(F199&lt;S199,'G-7 Rivers Data'!$R$3,INDEX('G-7 Rivers Data'!$U$5:$Y$9,MATCH(G199,'G-7 Rivers Data'!$T$5:$T$9,0),MATCH(T199,'G-7 Rivers Data'!$U$4:$Y$4,0)))),"")</f>
        <v/>
      </c>
      <c r="Z199" s="261"/>
      <c r="AA199" s="261"/>
      <c r="AB199" s="179" t="str">
        <f t="shared" si="19"/>
        <v/>
      </c>
      <c r="AC199" s="262" t="str">
        <f t="shared" si="20"/>
        <v/>
      </c>
      <c r="AD199" s="382" t="str">
        <f>IFERROR(IF(AC199="Check Data","Check Data",VLOOKUP(AC199,'G-4 Temporal multipliers'!$A$4:$C$37,3,FALSE)),"")</f>
        <v/>
      </c>
      <c r="AE199" s="171" t="str">
        <f>IF(N199="","",VLOOKUP(N199,'G-7 Rivers Data'!$B$4:$G$8,5,FALSE))</f>
        <v/>
      </c>
      <c r="AF199" s="179" t="str">
        <f t="shared" si="21"/>
        <v/>
      </c>
      <c r="AG199" s="269" t="str">
        <f t="shared" si="22"/>
        <v/>
      </c>
      <c r="AH199" s="172" t="str">
        <f t="shared" si="16"/>
        <v/>
      </c>
      <c r="AI199" s="173"/>
      <c r="AJ199" s="172" t="str">
        <f>IF(AI199="","",IF(VLOOKUP(AI199,'G-7 Rivers Data'!$AA$4:$AB$7,2,FALSE)=0,"Spatial Data Missing",VLOOKUP(AI199,'G-7 Rivers Data'!$AA$4:$AB$7,2,FALSE)))</f>
        <v/>
      </c>
      <c r="AK199" s="187"/>
      <c r="AL199" s="172" t="str">
        <f>IF(AK199="","",IF(VLOOKUP(AK199,'G-7 Rivers Data'!$AD$4:$AE$8,2,FALSE)=0,"Spatial Data Missing",VLOOKUP(AK199,'G-7 Rivers Data'!$AD$4:$AE$8,2,FALSE)))</f>
        <v/>
      </c>
      <c r="AM199" s="265" t="str">
        <f t="shared" si="23"/>
        <v/>
      </c>
      <c r="AN199" s="180"/>
      <c r="AO199" s="181"/>
      <c r="AV199" s="35" t="str">
        <f>IFERROR(INDEX('G-7 Rivers Data'!$AZ$3:$AZ$7,MATCH(N199,'G-7 Rivers Data'!$AY$3:$AY$7,0)),"")</f>
        <v/>
      </c>
    </row>
    <row r="200" spans="2:48" ht="13.8" x14ac:dyDescent="0.25">
      <c r="B200" s="259" t="str">
        <f>'C-1 Site River Baseline'!AN198</f>
        <v/>
      </c>
      <c r="C200" s="175" t="str">
        <f>IF(B200="","",VLOOKUP($B200,'C-1 Site River Baseline'!$C$9:$R$257,2,FALSE))</f>
        <v/>
      </c>
      <c r="D200" s="175" t="str">
        <f>IF(C200="","",VLOOKUP($B200,'C-1 Site River Baseline'!$C$9:$R$257,3,FALSE))</f>
        <v/>
      </c>
      <c r="E200" s="175" t="str">
        <f>IF(D200="","",VLOOKUP($B200,'C-1 Site River Baseline'!$C$9:$R$257,4,FALSE))</f>
        <v/>
      </c>
      <c r="F200" s="175" t="str">
        <f>IF(E200="","",VLOOKUP($B200,'C-1 Site River Baseline'!$C$9:$R$257,5,FALSE))</f>
        <v/>
      </c>
      <c r="G200" s="175" t="str">
        <f>IF(F200="","",VLOOKUP($B200,'C-1 Site River Baseline'!$C$9:$R$257,6,FALSE))</f>
        <v/>
      </c>
      <c r="H200" s="175" t="str">
        <f>IF(G200="","",VLOOKUP($B200,'C-1 Site River Baseline'!$C$9:$R$257,7,FALSE))</f>
        <v/>
      </c>
      <c r="I200" s="175" t="str">
        <f>IF(H200="","",VLOOKUP($B200,'C-1 Site River Baseline'!$C$9:$R$257,8,FALSE))</f>
        <v/>
      </c>
      <c r="J200" s="175" t="str">
        <f>IF(I200="","",VLOOKUP($B200,'C-1 Site River Baseline'!$C$9:$R$257,9,FALSE))</f>
        <v/>
      </c>
      <c r="K200" s="175" t="str">
        <f>IF(J200="","",VLOOKUP($B200,'C-1 Site River Baseline'!$C$9:$R$257,10,FALSE))</f>
        <v/>
      </c>
      <c r="L200" s="175" t="str">
        <f>IF(B200="","",VLOOKUP($B200,'C-1 Site River Baseline'!$C$9:$R$257,15,FALSE))</f>
        <v/>
      </c>
      <c r="M200" s="176" t="str">
        <f>IF(L200="","",VLOOKUP($B200,'C-1 Site River Baseline'!$C$9:$R$257,16,FALSE))</f>
        <v/>
      </c>
      <c r="N200" s="639" t="str">
        <f t="shared" si="17"/>
        <v/>
      </c>
      <c r="O200" s="239" t="str">
        <f t="shared" si="18"/>
        <v/>
      </c>
      <c r="P200" s="172" t="str">
        <f>IF(C200="","",IF(AND(LEFT(C200,55)&lt;&gt;LEFT(N200,55),O200="High - High"),"Error - Not like for like",IF(AND(F200=S200,H200&gt;U200),"Error - Can not reduce condition",IF(AND(F200=S200,H200=U200,AJ200='C-1 Site River Baseline'!N198,'C-1 Site River Baseline'!P198=AL200),"Error - No enhancement",IF(AND(C200&lt;&gt;N200,F200&lt;S200),"Lower Distinctiveness Habitat"&amp;" - "&amp;T200,G200&amp;" - "&amp;T200)))))</f>
        <v/>
      </c>
      <c r="Q200" s="660" t="str">
        <f>IF(N200="","",VLOOKUP(B200,'C-1 Site River Baseline'!$C$10:$AA$257,19,FALSE))</f>
        <v/>
      </c>
      <c r="R200" s="171" t="str">
        <f>IF(N200="","",VLOOKUP(N200,'G-7 Rivers Data'!$B$2:$G$8,2,FALSE))</f>
        <v/>
      </c>
      <c r="S200" s="172" t="str">
        <f>IFERROR(VLOOKUP(R200,'G-7 Rivers Data'!$C$4:$D$8,2,FALSE),"")</f>
        <v/>
      </c>
      <c r="T200" s="173"/>
      <c r="U200" s="172" t="str">
        <f>IFERROR(INDEX('G-7 Rivers Data'!$H$4:$L$8,MATCH(N200,'G-7 Rivers Data'!$B$4:$B$8,0),MATCH(T200,'G-7 Rivers Data'!$H$3:$L$3,0)),"")</f>
        <v/>
      </c>
      <c r="V200" s="186"/>
      <c r="W200" s="175" t="str">
        <f>IF(V200="","",IF(VLOOKUP(V200,'G-7 Rivers Data'!$AG$4:$AI$9,2,FALSE)=0,"Spatial Data Missing",VLOOKUP(V200,'G-7 Rivers Data'!$AG$4:$AI$9,2,FALSE)))</f>
        <v/>
      </c>
      <c r="X200" s="176" t="str">
        <f>IF(V200="","",IF(VLOOKUP(V200,'G-7 Rivers Data'!$AG$4:$AI$9,3,FALSE)=0,"Spatial Data Missing",VLOOKUP(V200,'G-7 Rivers Data'!$AG$4:$AI$9,3,FALSE)))</f>
        <v/>
      </c>
      <c r="Y200" s="171" t="str">
        <f>IFERROR(IF(OR(LEFT(P200,5)="Error",LEFT(O200,5)="Error"),"Check Data",IF(F200&lt;S200,'G-7 Rivers Data'!$R$3,INDEX('G-7 Rivers Data'!$U$5:$Y$9,MATCH(G200,'G-7 Rivers Data'!$T$5:$T$9,0),MATCH(T200,'G-7 Rivers Data'!$U$4:$Y$4,0)))),"")</f>
        <v/>
      </c>
      <c r="Z200" s="261"/>
      <c r="AA200" s="261"/>
      <c r="AB200" s="179" t="str">
        <f t="shared" si="19"/>
        <v/>
      </c>
      <c r="AC200" s="262" t="str">
        <f t="shared" si="20"/>
        <v/>
      </c>
      <c r="AD200" s="382" t="str">
        <f>IFERROR(IF(AC200="Check Data","Check Data",VLOOKUP(AC200,'G-4 Temporal multipliers'!$A$4:$C$37,3,FALSE)),"")</f>
        <v/>
      </c>
      <c r="AE200" s="171" t="str">
        <f>IF(N200="","",VLOOKUP(N200,'G-7 Rivers Data'!$B$4:$G$8,5,FALSE))</f>
        <v/>
      </c>
      <c r="AF200" s="179" t="str">
        <f t="shared" si="21"/>
        <v/>
      </c>
      <c r="AG200" s="269" t="str">
        <f t="shared" si="22"/>
        <v/>
      </c>
      <c r="AH200" s="172" t="str">
        <f t="shared" si="16"/>
        <v/>
      </c>
      <c r="AI200" s="173"/>
      <c r="AJ200" s="172" t="str">
        <f>IF(AI200="","",IF(VLOOKUP(AI200,'G-7 Rivers Data'!$AA$4:$AB$7,2,FALSE)=0,"Spatial Data Missing",VLOOKUP(AI200,'G-7 Rivers Data'!$AA$4:$AB$7,2,FALSE)))</f>
        <v/>
      </c>
      <c r="AK200" s="187"/>
      <c r="AL200" s="172" t="str">
        <f>IF(AK200="","",IF(VLOOKUP(AK200,'G-7 Rivers Data'!$AD$4:$AE$8,2,FALSE)=0,"Spatial Data Missing",VLOOKUP(AK200,'G-7 Rivers Data'!$AD$4:$AE$8,2,FALSE)))</f>
        <v/>
      </c>
      <c r="AM200" s="265" t="str">
        <f t="shared" si="23"/>
        <v/>
      </c>
      <c r="AN200" s="180"/>
      <c r="AO200" s="181"/>
      <c r="AV200" s="35" t="str">
        <f>IFERROR(INDEX('G-7 Rivers Data'!$AZ$3:$AZ$7,MATCH(N200,'G-7 Rivers Data'!$AY$3:$AY$7,0)),"")</f>
        <v/>
      </c>
    </row>
    <row r="201" spans="2:48" ht="13.8" x14ac:dyDescent="0.25">
      <c r="B201" s="259" t="str">
        <f>'C-1 Site River Baseline'!AN199</f>
        <v/>
      </c>
      <c r="C201" s="175" t="str">
        <f>IF(B201="","",VLOOKUP($B201,'C-1 Site River Baseline'!$C$9:$R$257,2,FALSE))</f>
        <v/>
      </c>
      <c r="D201" s="175" t="str">
        <f>IF(C201="","",VLOOKUP($B201,'C-1 Site River Baseline'!$C$9:$R$257,3,FALSE))</f>
        <v/>
      </c>
      <c r="E201" s="175" t="str">
        <f>IF(D201="","",VLOOKUP($B201,'C-1 Site River Baseline'!$C$9:$R$257,4,FALSE))</f>
        <v/>
      </c>
      <c r="F201" s="175" t="str">
        <f>IF(E201="","",VLOOKUP($B201,'C-1 Site River Baseline'!$C$9:$R$257,5,FALSE))</f>
        <v/>
      </c>
      <c r="G201" s="175" t="str">
        <f>IF(F201="","",VLOOKUP($B201,'C-1 Site River Baseline'!$C$9:$R$257,6,FALSE))</f>
        <v/>
      </c>
      <c r="H201" s="175" t="str">
        <f>IF(G201="","",VLOOKUP($B201,'C-1 Site River Baseline'!$C$9:$R$257,7,FALSE))</f>
        <v/>
      </c>
      <c r="I201" s="175" t="str">
        <f>IF(H201="","",VLOOKUP($B201,'C-1 Site River Baseline'!$C$9:$R$257,8,FALSE))</f>
        <v/>
      </c>
      <c r="J201" s="175" t="str">
        <f>IF(I201="","",VLOOKUP($B201,'C-1 Site River Baseline'!$C$9:$R$257,9,FALSE))</f>
        <v/>
      </c>
      <c r="K201" s="175" t="str">
        <f>IF(J201="","",VLOOKUP($B201,'C-1 Site River Baseline'!$C$9:$R$257,10,FALSE))</f>
        <v/>
      </c>
      <c r="L201" s="175" t="str">
        <f>IF(B201="","",VLOOKUP($B201,'C-1 Site River Baseline'!$C$9:$R$257,15,FALSE))</f>
        <v/>
      </c>
      <c r="M201" s="176" t="str">
        <f>IF(L201="","",VLOOKUP($B201,'C-1 Site River Baseline'!$C$9:$R$257,16,FALSE))</f>
        <v/>
      </c>
      <c r="N201" s="639" t="str">
        <f t="shared" si="17"/>
        <v/>
      </c>
      <c r="O201" s="239" t="str">
        <f t="shared" si="18"/>
        <v/>
      </c>
      <c r="P201" s="172" t="str">
        <f>IF(C201="","",IF(AND(LEFT(C201,55)&lt;&gt;LEFT(N201,55),O201="High - High"),"Error - Not like for like",IF(AND(F201=S201,H201&gt;U201),"Error - Can not reduce condition",IF(AND(F201=S201,H201=U201,AJ201='C-1 Site River Baseline'!N199,'C-1 Site River Baseline'!P199=AL201),"Error - No enhancement",IF(AND(C201&lt;&gt;N201,F201&lt;S201),"Lower Distinctiveness Habitat"&amp;" - "&amp;T201,G201&amp;" - "&amp;T201)))))</f>
        <v/>
      </c>
      <c r="Q201" s="660" t="str">
        <f>IF(N201="","",VLOOKUP(B201,'C-1 Site River Baseline'!$C$10:$AA$257,19,FALSE))</f>
        <v/>
      </c>
      <c r="R201" s="171" t="str">
        <f>IF(N201="","",VLOOKUP(N201,'G-7 Rivers Data'!$B$2:$G$8,2,FALSE))</f>
        <v/>
      </c>
      <c r="S201" s="172" t="str">
        <f>IFERROR(VLOOKUP(R201,'G-7 Rivers Data'!$C$4:$D$8,2,FALSE),"")</f>
        <v/>
      </c>
      <c r="T201" s="173"/>
      <c r="U201" s="172" t="str">
        <f>IFERROR(INDEX('G-7 Rivers Data'!$H$4:$L$8,MATCH(N201,'G-7 Rivers Data'!$B$4:$B$8,0),MATCH(T201,'G-7 Rivers Data'!$H$3:$L$3,0)),"")</f>
        <v/>
      </c>
      <c r="V201" s="186"/>
      <c r="W201" s="175" t="str">
        <f>IF(V201="","",IF(VLOOKUP(V201,'G-7 Rivers Data'!$AG$4:$AI$9,2,FALSE)=0,"Spatial Data Missing",VLOOKUP(V201,'G-7 Rivers Data'!$AG$4:$AI$9,2,FALSE)))</f>
        <v/>
      </c>
      <c r="X201" s="176" t="str">
        <f>IF(V201="","",IF(VLOOKUP(V201,'G-7 Rivers Data'!$AG$4:$AI$9,3,FALSE)=0,"Spatial Data Missing",VLOOKUP(V201,'G-7 Rivers Data'!$AG$4:$AI$9,3,FALSE)))</f>
        <v/>
      </c>
      <c r="Y201" s="171" t="str">
        <f>IFERROR(IF(OR(LEFT(P201,5)="Error",LEFT(O201,5)="Error"),"Check Data",IF(F201&lt;S201,'G-7 Rivers Data'!$R$3,INDEX('G-7 Rivers Data'!$U$5:$Y$9,MATCH(G201,'G-7 Rivers Data'!$T$5:$T$9,0),MATCH(T201,'G-7 Rivers Data'!$U$4:$Y$4,0)))),"")</f>
        <v/>
      </c>
      <c r="Z201" s="261"/>
      <c r="AA201" s="261"/>
      <c r="AB201" s="179" t="str">
        <f t="shared" si="19"/>
        <v/>
      </c>
      <c r="AC201" s="262" t="str">
        <f t="shared" si="20"/>
        <v/>
      </c>
      <c r="AD201" s="382" t="str">
        <f>IFERROR(IF(AC201="Check Data","Check Data",VLOOKUP(AC201,'G-4 Temporal multipliers'!$A$4:$C$37,3,FALSE)),"")</f>
        <v/>
      </c>
      <c r="AE201" s="171" t="str">
        <f>IF(N201="","",VLOOKUP(N201,'G-7 Rivers Data'!$B$4:$G$8,5,FALSE))</f>
        <v/>
      </c>
      <c r="AF201" s="179" t="str">
        <f t="shared" si="21"/>
        <v/>
      </c>
      <c r="AG201" s="269" t="str">
        <f t="shared" si="22"/>
        <v/>
      </c>
      <c r="AH201" s="172" t="str">
        <f t="shared" si="16"/>
        <v/>
      </c>
      <c r="AI201" s="173"/>
      <c r="AJ201" s="172" t="str">
        <f>IF(AI201="","",IF(VLOOKUP(AI201,'G-7 Rivers Data'!$AA$4:$AB$7,2,FALSE)=0,"Spatial Data Missing",VLOOKUP(AI201,'G-7 Rivers Data'!$AA$4:$AB$7,2,FALSE)))</f>
        <v/>
      </c>
      <c r="AK201" s="187"/>
      <c r="AL201" s="172" t="str">
        <f>IF(AK201="","",IF(VLOOKUP(AK201,'G-7 Rivers Data'!$AD$4:$AE$8,2,FALSE)=0,"Spatial Data Missing",VLOOKUP(AK201,'G-7 Rivers Data'!$AD$4:$AE$8,2,FALSE)))</f>
        <v/>
      </c>
      <c r="AM201" s="265" t="str">
        <f t="shared" si="23"/>
        <v/>
      </c>
      <c r="AN201" s="180"/>
      <c r="AO201" s="181"/>
      <c r="AV201" s="35" t="str">
        <f>IFERROR(INDEX('G-7 Rivers Data'!$AZ$3:$AZ$7,MATCH(N201,'G-7 Rivers Data'!$AY$3:$AY$7,0)),"")</f>
        <v/>
      </c>
    </row>
    <row r="202" spans="2:48" ht="13.8" x14ac:dyDescent="0.25">
      <c r="B202" s="259" t="str">
        <f>'C-1 Site River Baseline'!AN200</f>
        <v/>
      </c>
      <c r="C202" s="175" t="str">
        <f>IF(B202="","",VLOOKUP($B202,'C-1 Site River Baseline'!$C$9:$R$257,2,FALSE))</f>
        <v/>
      </c>
      <c r="D202" s="175" t="str">
        <f>IF(C202="","",VLOOKUP($B202,'C-1 Site River Baseline'!$C$9:$R$257,3,FALSE))</f>
        <v/>
      </c>
      <c r="E202" s="175" t="str">
        <f>IF(D202="","",VLOOKUP($B202,'C-1 Site River Baseline'!$C$9:$R$257,4,FALSE))</f>
        <v/>
      </c>
      <c r="F202" s="175" t="str">
        <f>IF(E202="","",VLOOKUP($B202,'C-1 Site River Baseline'!$C$9:$R$257,5,FALSE))</f>
        <v/>
      </c>
      <c r="G202" s="175" t="str">
        <f>IF(F202="","",VLOOKUP($B202,'C-1 Site River Baseline'!$C$9:$R$257,6,FALSE))</f>
        <v/>
      </c>
      <c r="H202" s="175" t="str">
        <f>IF(G202="","",VLOOKUP($B202,'C-1 Site River Baseline'!$C$9:$R$257,7,FALSE))</f>
        <v/>
      </c>
      <c r="I202" s="175" t="str">
        <f>IF(H202="","",VLOOKUP($B202,'C-1 Site River Baseline'!$C$9:$R$257,8,FALSE))</f>
        <v/>
      </c>
      <c r="J202" s="175" t="str">
        <f>IF(I202="","",VLOOKUP($B202,'C-1 Site River Baseline'!$C$9:$R$257,9,FALSE))</f>
        <v/>
      </c>
      <c r="K202" s="175" t="str">
        <f>IF(J202="","",VLOOKUP($B202,'C-1 Site River Baseline'!$C$9:$R$257,10,FALSE))</f>
        <v/>
      </c>
      <c r="L202" s="175" t="str">
        <f>IF(B202="","",VLOOKUP($B202,'C-1 Site River Baseline'!$C$9:$R$257,15,FALSE))</f>
        <v/>
      </c>
      <c r="M202" s="176" t="str">
        <f>IF(L202="","",VLOOKUP($B202,'C-1 Site River Baseline'!$C$9:$R$257,16,FALSE))</f>
        <v/>
      </c>
      <c r="N202" s="639" t="str">
        <f t="shared" si="17"/>
        <v/>
      </c>
      <c r="O202" s="239" t="str">
        <f t="shared" si="18"/>
        <v/>
      </c>
      <c r="P202" s="172" t="str">
        <f>IF(C202="","",IF(AND(LEFT(C202,55)&lt;&gt;LEFT(N202,55),O202="High - High"),"Error - Not like for like",IF(AND(F202=S202,H202&gt;U202),"Error - Can not reduce condition",IF(AND(F202=S202,H202=U202,AJ202='C-1 Site River Baseline'!N200,'C-1 Site River Baseline'!P200=AL202),"Error - No enhancement",IF(AND(C202&lt;&gt;N202,F202&lt;S202),"Lower Distinctiveness Habitat"&amp;" - "&amp;T202,G202&amp;" - "&amp;T202)))))</f>
        <v/>
      </c>
      <c r="Q202" s="660" t="str">
        <f>IF(N202="","",VLOOKUP(B202,'C-1 Site River Baseline'!$C$10:$AA$257,19,FALSE))</f>
        <v/>
      </c>
      <c r="R202" s="171" t="str">
        <f>IF(N202="","",VLOOKUP(N202,'G-7 Rivers Data'!$B$2:$G$8,2,FALSE))</f>
        <v/>
      </c>
      <c r="S202" s="172" t="str">
        <f>IFERROR(VLOOKUP(R202,'G-7 Rivers Data'!$C$4:$D$8,2,FALSE),"")</f>
        <v/>
      </c>
      <c r="T202" s="173"/>
      <c r="U202" s="172" t="str">
        <f>IFERROR(INDEX('G-7 Rivers Data'!$H$4:$L$8,MATCH(N202,'G-7 Rivers Data'!$B$4:$B$8,0),MATCH(T202,'G-7 Rivers Data'!$H$3:$L$3,0)),"")</f>
        <v/>
      </c>
      <c r="V202" s="186"/>
      <c r="W202" s="175" t="str">
        <f>IF(V202="","",IF(VLOOKUP(V202,'G-7 Rivers Data'!$AG$4:$AI$9,2,FALSE)=0,"Spatial Data Missing",VLOOKUP(V202,'G-7 Rivers Data'!$AG$4:$AI$9,2,FALSE)))</f>
        <v/>
      </c>
      <c r="X202" s="176" t="str">
        <f>IF(V202="","",IF(VLOOKUP(V202,'G-7 Rivers Data'!$AG$4:$AI$9,3,FALSE)=0,"Spatial Data Missing",VLOOKUP(V202,'G-7 Rivers Data'!$AG$4:$AI$9,3,FALSE)))</f>
        <v/>
      </c>
      <c r="Y202" s="171" t="str">
        <f>IFERROR(IF(OR(LEFT(P202,5)="Error",LEFT(O202,5)="Error"),"Check Data",IF(F202&lt;S202,'G-7 Rivers Data'!$R$3,INDEX('G-7 Rivers Data'!$U$5:$Y$9,MATCH(G202,'G-7 Rivers Data'!$T$5:$T$9,0),MATCH(T202,'G-7 Rivers Data'!$U$4:$Y$4,0)))),"")</f>
        <v/>
      </c>
      <c r="Z202" s="261"/>
      <c r="AA202" s="261"/>
      <c r="AB202" s="179" t="str">
        <f t="shared" si="19"/>
        <v/>
      </c>
      <c r="AC202" s="262" t="str">
        <f t="shared" si="20"/>
        <v/>
      </c>
      <c r="AD202" s="382" t="str">
        <f>IFERROR(IF(AC202="Check Data","Check Data",VLOOKUP(AC202,'G-4 Temporal multipliers'!$A$4:$C$37,3,FALSE)),"")</f>
        <v/>
      </c>
      <c r="AE202" s="171" t="str">
        <f>IF(N202="","",VLOOKUP(N202,'G-7 Rivers Data'!$B$4:$G$8,5,FALSE))</f>
        <v/>
      </c>
      <c r="AF202" s="179" t="str">
        <f t="shared" si="21"/>
        <v/>
      </c>
      <c r="AG202" s="269" t="str">
        <f t="shared" si="22"/>
        <v/>
      </c>
      <c r="AH202" s="172" t="str">
        <f t="shared" si="16"/>
        <v/>
      </c>
      <c r="AI202" s="173"/>
      <c r="AJ202" s="172" t="str">
        <f>IF(AI202="","",IF(VLOOKUP(AI202,'G-7 Rivers Data'!$AA$4:$AB$7,2,FALSE)=0,"Spatial Data Missing",VLOOKUP(AI202,'G-7 Rivers Data'!$AA$4:$AB$7,2,FALSE)))</f>
        <v/>
      </c>
      <c r="AK202" s="187"/>
      <c r="AL202" s="172" t="str">
        <f>IF(AK202="","",IF(VLOOKUP(AK202,'G-7 Rivers Data'!$AD$4:$AE$8,2,FALSE)=0,"Spatial Data Missing",VLOOKUP(AK202,'G-7 Rivers Data'!$AD$4:$AE$8,2,FALSE)))</f>
        <v/>
      </c>
      <c r="AM202" s="265" t="str">
        <f t="shared" si="23"/>
        <v/>
      </c>
      <c r="AN202" s="180"/>
      <c r="AO202" s="181"/>
      <c r="AV202" s="35" t="str">
        <f>IFERROR(INDEX('G-7 Rivers Data'!$AZ$3:$AZ$7,MATCH(N202,'G-7 Rivers Data'!$AY$3:$AY$7,0)),"")</f>
        <v/>
      </c>
    </row>
    <row r="203" spans="2:48" ht="13.8" x14ac:dyDescent="0.25">
      <c r="B203" s="259" t="str">
        <f>'C-1 Site River Baseline'!AN201</f>
        <v/>
      </c>
      <c r="C203" s="175" t="str">
        <f>IF(B203="","",VLOOKUP($B203,'C-1 Site River Baseline'!$C$9:$R$257,2,FALSE))</f>
        <v/>
      </c>
      <c r="D203" s="175" t="str">
        <f>IF(C203="","",VLOOKUP($B203,'C-1 Site River Baseline'!$C$9:$R$257,3,FALSE))</f>
        <v/>
      </c>
      <c r="E203" s="175" t="str">
        <f>IF(D203="","",VLOOKUP($B203,'C-1 Site River Baseline'!$C$9:$R$257,4,FALSE))</f>
        <v/>
      </c>
      <c r="F203" s="175" t="str">
        <f>IF(E203="","",VLOOKUP($B203,'C-1 Site River Baseline'!$C$9:$R$257,5,FALSE))</f>
        <v/>
      </c>
      <c r="G203" s="175" t="str">
        <f>IF(F203="","",VLOOKUP($B203,'C-1 Site River Baseline'!$C$9:$R$257,6,FALSE))</f>
        <v/>
      </c>
      <c r="H203" s="175" t="str">
        <f>IF(G203="","",VLOOKUP($B203,'C-1 Site River Baseline'!$C$9:$R$257,7,FALSE))</f>
        <v/>
      </c>
      <c r="I203" s="175" t="str">
        <f>IF(H203="","",VLOOKUP($B203,'C-1 Site River Baseline'!$C$9:$R$257,8,FALSE))</f>
        <v/>
      </c>
      <c r="J203" s="175" t="str">
        <f>IF(I203="","",VLOOKUP($B203,'C-1 Site River Baseline'!$C$9:$R$257,9,FALSE))</f>
        <v/>
      </c>
      <c r="K203" s="175" t="str">
        <f>IF(J203="","",VLOOKUP($B203,'C-1 Site River Baseline'!$C$9:$R$257,10,FALSE))</f>
        <v/>
      </c>
      <c r="L203" s="175" t="str">
        <f>IF(B203="","",VLOOKUP($B203,'C-1 Site River Baseline'!$C$9:$R$257,15,FALSE))</f>
        <v/>
      </c>
      <c r="M203" s="176" t="str">
        <f>IF(L203="","",VLOOKUP($B203,'C-1 Site River Baseline'!$C$9:$R$257,16,FALSE))</f>
        <v/>
      </c>
      <c r="N203" s="639" t="str">
        <f t="shared" si="17"/>
        <v/>
      </c>
      <c r="O203" s="239" t="str">
        <f t="shared" si="18"/>
        <v/>
      </c>
      <c r="P203" s="172" t="str">
        <f>IF(C203="","",IF(AND(LEFT(C203,55)&lt;&gt;LEFT(N203,55),O203="High - High"),"Error - Not like for like",IF(AND(F203=S203,H203&gt;U203),"Error - Can not reduce condition",IF(AND(F203=S203,H203=U203,AJ203='C-1 Site River Baseline'!N201,'C-1 Site River Baseline'!P201=AL203),"Error - No enhancement",IF(AND(C203&lt;&gt;N203,F203&lt;S203),"Lower Distinctiveness Habitat"&amp;" - "&amp;T203,G203&amp;" - "&amp;T203)))))</f>
        <v/>
      </c>
      <c r="Q203" s="660" t="str">
        <f>IF(N203="","",VLOOKUP(B203,'C-1 Site River Baseline'!$C$10:$AA$257,19,FALSE))</f>
        <v/>
      </c>
      <c r="R203" s="171" t="str">
        <f>IF(N203="","",VLOOKUP(N203,'G-7 Rivers Data'!$B$2:$G$8,2,FALSE))</f>
        <v/>
      </c>
      <c r="S203" s="172" t="str">
        <f>IFERROR(VLOOKUP(R203,'G-7 Rivers Data'!$C$4:$D$8,2,FALSE),"")</f>
        <v/>
      </c>
      <c r="T203" s="173"/>
      <c r="U203" s="172" t="str">
        <f>IFERROR(INDEX('G-7 Rivers Data'!$H$4:$L$8,MATCH(N203,'G-7 Rivers Data'!$B$4:$B$8,0),MATCH(T203,'G-7 Rivers Data'!$H$3:$L$3,0)),"")</f>
        <v/>
      </c>
      <c r="V203" s="186"/>
      <c r="W203" s="175" t="str">
        <f>IF(V203="","",IF(VLOOKUP(V203,'G-7 Rivers Data'!$AG$4:$AI$9,2,FALSE)=0,"Spatial Data Missing",VLOOKUP(V203,'G-7 Rivers Data'!$AG$4:$AI$9,2,FALSE)))</f>
        <v/>
      </c>
      <c r="X203" s="176" t="str">
        <f>IF(V203="","",IF(VLOOKUP(V203,'G-7 Rivers Data'!$AG$4:$AI$9,3,FALSE)=0,"Spatial Data Missing",VLOOKUP(V203,'G-7 Rivers Data'!$AG$4:$AI$9,3,FALSE)))</f>
        <v/>
      </c>
      <c r="Y203" s="171" t="str">
        <f>IFERROR(IF(OR(LEFT(P203,5)="Error",LEFT(O203,5)="Error"),"Check Data",IF(F203&lt;S203,'G-7 Rivers Data'!$R$3,INDEX('G-7 Rivers Data'!$U$5:$Y$9,MATCH(G203,'G-7 Rivers Data'!$T$5:$T$9,0),MATCH(T203,'G-7 Rivers Data'!$U$4:$Y$4,0)))),"")</f>
        <v/>
      </c>
      <c r="Z203" s="261"/>
      <c r="AA203" s="261"/>
      <c r="AB203" s="179" t="str">
        <f t="shared" si="19"/>
        <v/>
      </c>
      <c r="AC203" s="262" t="str">
        <f t="shared" si="20"/>
        <v/>
      </c>
      <c r="AD203" s="382" t="str">
        <f>IFERROR(IF(AC203="Check Data","Check Data",VLOOKUP(AC203,'G-4 Temporal multipliers'!$A$4:$C$37,3,FALSE)),"")</f>
        <v/>
      </c>
      <c r="AE203" s="171" t="str">
        <f>IF(N203="","",VLOOKUP(N203,'G-7 Rivers Data'!$B$4:$G$8,5,FALSE))</f>
        <v/>
      </c>
      <c r="AF203" s="179" t="str">
        <f t="shared" si="21"/>
        <v/>
      </c>
      <c r="AG203" s="269" t="str">
        <f t="shared" si="22"/>
        <v/>
      </c>
      <c r="AH203" s="172" t="str">
        <f t="shared" si="16"/>
        <v/>
      </c>
      <c r="AI203" s="173"/>
      <c r="AJ203" s="172" t="str">
        <f>IF(AI203="","",IF(VLOOKUP(AI203,'G-7 Rivers Data'!$AA$4:$AB$7,2,FALSE)=0,"Spatial Data Missing",VLOOKUP(AI203,'G-7 Rivers Data'!$AA$4:$AB$7,2,FALSE)))</f>
        <v/>
      </c>
      <c r="AK203" s="187"/>
      <c r="AL203" s="172" t="str">
        <f>IF(AK203="","",IF(VLOOKUP(AK203,'G-7 Rivers Data'!$AD$4:$AE$8,2,FALSE)=0,"Spatial Data Missing",VLOOKUP(AK203,'G-7 Rivers Data'!$AD$4:$AE$8,2,FALSE)))</f>
        <v/>
      </c>
      <c r="AM203" s="265" t="str">
        <f t="shared" si="23"/>
        <v/>
      </c>
      <c r="AN203" s="180"/>
      <c r="AO203" s="181"/>
      <c r="AV203" s="35" t="str">
        <f>IFERROR(INDEX('G-7 Rivers Data'!$AZ$3:$AZ$7,MATCH(N203,'G-7 Rivers Data'!$AY$3:$AY$7,0)),"")</f>
        <v/>
      </c>
    </row>
    <row r="204" spans="2:48" ht="13.8" x14ac:dyDescent="0.25">
      <c r="B204" s="259" t="str">
        <f>'C-1 Site River Baseline'!AN202</f>
        <v/>
      </c>
      <c r="C204" s="175" t="str">
        <f>IF(B204="","",VLOOKUP($B204,'C-1 Site River Baseline'!$C$9:$R$257,2,FALSE))</f>
        <v/>
      </c>
      <c r="D204" s="175" t="str">
        <f>IF(C204="","",VLOOKUP($B204,'C-1 Site River Baseline'!$C$9:$R$257,3,FALSE))</f>
        <v/>
      </c>
      <c r="E204" s="175" t="str">
        <f>IF(D204="","",VLOOKUP($B204,'C-1 Site River Baseline'!$C$9:$R$257,4,FALSE))</f>
        <v/>
      </c>
      <c r="F204" s="175" t="str">
        <f>IF(E204="","",VLOOKUP($B204,'C-1 Site River Baseline'!$C$9:$R$257,5,FALSE))</f>
        <v/>
      </c>
      <c r="G204" s="175" t="str">
        <f>IF(F204="","",VLOOKUP($B204,'C-1 Site River Baseline'!$C$9:$R$257,6,FALSE))</f>
        <v/>
      </c>
      <c r="H204" s="175" t="str">
        <f>IF(G204="","",VLOOKUP($B204,'C-1 Site River Baseline'!$C$9:$R$257,7,FALSE))</f>
        <v/>
      </c>
      <c r="I204" s="175" t="str">
        <f>IF(H204="","",VLOOKUP($B204,'C-1 Site River Baseline'!$C$9:$R$257,8,FALSE))</f>
        <v/>
      </c>
      <c r="J204" s="175" t="str">
        <f>IF(I204="","",VLOOKUP($B204,'C-1 Site River Baseline'!$C$9:$R$257,9,FALSE))</f>
        <v/>
      </c>
      <c r="K204" s="175" t="str">
        <f>IF(J204="","",VLOOKUP($B204,'C-1 Site River Baseline'!$C$9:$R$257,10,FALSE))</f>
        <v/>
      </c>
      <c r="L204" s="175" t="str">
        <f>IF(B204="","",VLOOKUP($B204,'C-1 Site River Baseline'!$C$9:$R$257,15,FALSE))</f>
        <v/>
      </c>
      <c r="M204" s="176" t="str">
        <f>IF(L204="","",VLOOKUP($B204,'C-1 Site River Baseline'!$C$9:$R$257,16,FALSE))</f>
        <v/>
      </c>
      <c r="N204" s="639" t="str">
        <f t="shared" si="17"/>
        <v/>
      </c>
      <c r="O204" s="239" t="str">
        <f t="shared" si="18"/>
        <v/>
      </c>
      <c r="P204" s="172" t="str">
        <f>IF(C204="","",IF(AND(LEFT(C204,55)&lt;&gt;LEFT(N204,55),O204="High - High"),"Error - Not like for like",IF(AND(F204=S204,H204&gt;U204),"Error - Can not reduce condition",IF(AND(F204=S204,H204=U204,AJ204='C-1 Site River Baseline'!N202,'C-1 Site River Baseline'!P202=AL204),"Error - No enhancement",IF(AND(C204&lt;&gt;N204,F204&lt;S204),"Lower Distinctiveness Habitat"&amp;" - "&amp;T204,G204&amp;" - "&amp;T204)))))</f>
        <v/>
      </c>
      <c r="Q204" s="660" t="str">
        <f>IF(N204="","",VLOOKUP(B204,'C-1 Site River Baseline'!$C$10:$AA$257,19,FALSE))</f>
        <v/>
      </c>
      <c r="R204" s="171" t="str">
        <f>IF(N204="","",VLOOKUP(N204,'G-7 Rivers Data'!$B$2:$G$8,2,FALSE))</f>
        <v/>
      </c>
      <c r="S204" s="172" t="str">
        <f>IFERROR(VLOOKUP(R204,'G-7 Rivers Data'!$C$4:$D$8,2,FALSE),"")</f>
        <v/>
      </c>
      <c r="T204" s="173"/>
      <c r="U204" s="172" t="str">
        <f>IFERROR(INDEX('G-7 Rivers Data'!$H$4:$L$8,MATCH(N204,'G-7 Rivers Data'!$B$4:$B$8,0),MATCH(T204,'G-7 Rivers Data'!$H$3:$L$3,0)),"")</f>
        <v/>
      </c>
      <c r="V204" s="186"/>
      <c r="W204" s="175" t="str">
        <f>IF(V204="","",IF(VLOOKUP(V204,'G-7 Rivers Data'!$AG$4:$AI$9,2,FALSE)=0,"Spatial Data Missing",VLOOKUP(V204,'G-7 Rivers Data'!$AG$4:$AI$9,2,FALSE)))</f>
        <v/>
      </c>
      <c r="X204" s="176" t="str">
        <f>IF(V204="","",IF(VLOOKUP(V204,'G-7 Rivers Data'!$AG$4:$AI$9,3,FALSE)=0,"Spatial Data Missing",VLOOKUP(V204,'G-7 Rivers Data'!$AG$4:$AI$9,3,FALSE)))</f>
        <v/>
      </c>
      <c r="Y204" s="171" t="str">
        <f>IFERROR(IF(OR(LEFT(P204,5)="Error",LEFT(O204,5)="Error"),"Check Data",IF(F204&lt;S204,'G-7 Rivers Data'!$R$3,INDEX('G-7 Rivers Data'!$U$5:$Y$9,MATCH(G204,'G-7 Rivers Data'!$T$5:$T$9,0),MATCH(T204,'G-7 Rivers Data'!$U$4:$Y$4,0)))),"")</f>
        <v/>
      </c>
      <c r="Z204" s="261"/>
      <c r="AA204" s="261"/>
      <c r="AB204" s="179" t="str">
        <f t="shared" si="19"/>
        <v/>
      </c>
      <c r="AC204" s="262" t="str">
        <f t="shared" si="20"/>
        <v/>
      </c>
      <c r="AD204" s="382" t="str">
        <f>IFERROR(IF(AC204="Check Data","Check Data",VLOOKUP(AC204,'G-4 Temporal multipliers'!$A$4:$C$37,3,FALSE)),"")</f>
        <v/>
      </c>
      <c r="AE204" s="171" t="str">
        <f>IF(N204="","",VLOOKUP(N204,'G-7 Rivers Data'!$B$4:$G$8,5,FALSE))</f>
        <v/>
      </c>
      <c r="AF204" s="179" t="str">
        <f t="shared" si="21"/>
        <v/>
      </c>
      <c r="AG204" s="269" t="str">
        <f t="shared" si="22"/>
        <v/>
      </c>
      <c r="AH204" s="172" t="str">
        <f t="shared" ref="AH204:AH257" si="24">IF(N204="","",VLOOKUP(AE204,Difficulty,2,FALSE))</f>
        <v/>
      </c>
      <c r="AI204" s="173"/>
      <c r="AJ204" s="172" t="str">
        <f>IF(AI204="","",IF(VLOOKUP(AI204,'G-7 Rivers Data'!$AA$4:$AB$7,2,FALSE)=0,"Spatial Data Missing",VLOOKUP(AI204,'G-7 Rivers Data'!$AA$4:$AB$7,2,FALSE)))</f>
        <v/>
      </c>
      <c r="AK204" s="187"/>
      <c r="AL204" s="172" t="str">
        <f>IF(AK204="","",IF(VLOOKUP(AK204,'G-7 Rivers Data'!$AD$4:$AE$8,2,FALSE)=0,"Spatial Data Missing",VLOOKUP(AK204,'G-7 Rivers Data'!$AD$4:$AE$8,2,FALSE)))</f>
        <v/>
      </c>
      <c r="AM204" s="265" t="str">
        <f t="shared" si="23"/>
        <v/>
      </c>
      <c r="AN204" s="180"/>
      <c r="AO204" s="181"/>
      <c r="AV204" s="35" t="str">
        <f>IFERROR(INDEX('G-7 Rivers Data'!$AZ$3:$AZ$7,MATCH(N204,'G-7 Rivers Data'!$AY$3:$AY$7,0)),"")</f>
        <v/>
      </c>
    </row>
    <row r="205" spans="2:48" ht="13.8" x14ac:dyDescent="0.25">
      <c r="B205" s="259" t="str">
        <f>'C-1 Site River Baseline'!AN203</f>
        <v/>
      </c>
      <c r="C205" s="175" t="str">
        <f>IF(B205="","",VLOOKUP($B205,'C-1 Site River Baseline'!$C$9:$R$257,2,FALSE))</f>
        <v/>
      </c>
      <c r="D205" s="175" t="str">
        <f>IF(C205="","",VLOOKUP($B205,'C-1 Site River Baseline'!$C$9:$R$257,3,FALSE))</f>
        <v/>
      </c>
      <c r="E205" s="175" t="str">
        <f>IF(D205="","",VLOOKUP($B205,'C-1 Site River Baseline'!$C$9:$R$257,4,FALSE))</f>
        <v/>
      </c>
      <c r="F205" s="175" t="str">
        <f>IF(E205="","",VLOOKUP($B205,'C-1 Site River Baseline'!$C$9:$R$257,5,FALSE))</f>
        <v/>
      </c>
      <c r="G205" s="175" t="str">
        <f>IF(F205="","",VLOOKUP($B205,'C-1 Site River Baseline'!$C$9:$R$257,6,FALSE))</f>
        <v/>
      </c>
      <c r="H205" s="175" t="str">
        <f>IF(G205="","",VLOOKUP($B205,'C-1 Site River Baseline'!$C$9:$R$257,7,FALSE))</f>
        <v/>
      </c>
      <c r="I205" s="175" t="str">
        <f>IF(H205="","",VLOOKUP($B205,'C-1 Site River Baseline'!$C$9:$R$257,8,FALSE))</f>
        <v/>
      </c>
      <c r="J205" s="175" t="str">
        <f>IF(I205="","",VLOOKUP($B205,'C-1 Site River Baseline'!$C$9:$R$257,9,FALSE))</f>
        <v/>
      </c>
      <c r="K205" s="175" t="str">
        <f>IF(J205="","",VLOOKUP($B205,'C-1 Site River Baseline'!$C$9:$R$257,10,FALSE))</f>
        <v/>
      </c>
      <c r="L205" s="175" t="str">
        <f>IF(B205="","",VLOOKUP($B205,'C-1 Site River Baseline'!$C$9:$R$257,15,FALSE))</f>
        <v/>
      </c>
      <c r="M205" s="176" t="str">
        <f>IF(L205="","",VLOOKUP($B205,'C-1 Site River Baseline'!$C$9:$R$257,16,FALSE))</f>
        <v/>
      </c>
      <c r="N205" s="639" t="str">
        <f t="shared" ref="N205:N257" si="25">C205</f>
        <v/>
      </c>
      <c r="O205" s="239" t="str">
        <f t="shared" ref="O205:O257" si="26">IF(B205="","",IF(S205&lt;F205,"Error Trading Down",E205&amp;" - "&amp;R205))</f>
        <v/>
      </c>
      <c r="P205" s="172" t="str">
        <f>IF(C205="","",IF(AND(LEFT(C205,55)&lt;&gt;LEFT(N205,55),O205="High - High"),"Error - Not like for like",IF(AND(F205=S205,H205&gt;U205),"Error - Can not reduce condition",IF(AND(F205=S205,H205=U205,AJ205='C-1 Site River Baseline'!N203,'C-1 Site River Baseline'!P203=AL205),"Error - No enhancement",IF(AND(C205&lt;&gt;N205,F205&lt;S205),"Lower Distinctiveness Habitat"&amp;" - "&amp;T205,G205&amp;" - "&amp;T205)))))</f>
        <v/>
      </c>
      <c r="Q205" s="660" t="str">
        <f>IF(N205="","",VLOOKUP(B205,'C-1 Site River Baseline'!$C$10:$AA$257,19,FALSE))</f>
        <v/>
      </c>
      <c r="R205" s="171" t="str">
        <f>IF(N205="","",VLOOKUP(N205,'G-7 Rivers Data'!$B$2:$G$8,2,FALSE))</f>
        <v/>
      </c>
      <c r="S205" s="172" t="str">
        <f>IFERROR(VLOOKUP(R205,'G-7 Rivers Data'!$C$4:$D$8,2,FALSE),"")</f>
        <v/>
      </c>
      <c r="T205" s="173"/>
      <c r="U205" s="172" t="str">
        <f>IFERROR(INDEX('G-7 Rivers Data'!$H$4:$L$8,MATCH(N205,'G-7 Rivers Data'!$B$4:$B$8,0),MATCH(T205,'G-7 Rivers Data'!$H$3:$L$3,0)),"")</f>
        <v/>
      </c>
      <c r="V205" s="186"/>
      <c r="W205" s="175" t="str">
        <f>IF(V205="","",IF(VLOOKUP(V205,'G-7 Rivers Data'!$AG$4:$AI$9,2,FALSE)=0,"Spatial Data Missing",VLOOKUP(V205,'G-7 Rivers Data'!$AG$4:$AI$9,2,FALSE)))</f>
        <v/>
      </c>
      <c r="X205" s="176" t="str">
        <f>IF(V205="","",IF(VLOOKUP(V205,'G-7 Rivers Data'!$AG$4:$AI$9,3,FALSE)=0,"Spatial Data Missing",VLOOKUP(V205,'G-7 Rivers Data'!$AG$4:$AI$9,3,FALSE)))</f>
        <v/>
      </c>
      <c r="Y205" s="171" t="str">
        <f>IFERROR(IF(OR(LEFT(P205,5)="Error",LEFT(O205,5)="Error"),"Check Data",IF(F205&lt;S205,'G-7 Rivers Data'!$R$3,INDEX('G-7 Rivers Data'!$U$5:$Y$9,MATCH(G205,'G-7 Rivers Data'!$T$5:$T$9,0),MATCH(T205,'G-7 Rivers Data'!$U$4:$Y$4,0)))),"")</f>
        <v/>
      </c>
      <c r="Z205" s="261"/>
      <c r="AA205" s="261"/>
      <c r="AB205" s="179" t="str">
        <f t="shared" ref="AB205:AB257" si="27">IF(Y205="","",IF(Y205="Check Data","Check Data",IF(AND(Z205&gt;0,AA205&gt;0),"Error -both advance and delayed habitat creation",IF(AND(OR(Z205="Habitat already in target condition",Y205&lt;=Z205),AA205=0),"Check details - Is there evidence that habitat has reached target condition?",IF(Z205&gt;0,"Check details - Is there evidence habitat creation started/in place?",IF(AA205&gt;0,"Check details- Delay in starting habitat in required condition?","Standard time to target condition applied"))))))</f>
        <v/>
      </c>
      <c r="AC205" s="262" t="str">
        <f t="shared" ref="AC205:AC257" si="28">IF(LEFT(AB205,5)="Error","Check Data",IF(AB205="Check Data","Check Data",IF(Y205="","",IF(Z205="30+",0,IF(AA205="30+","30+",IF(Y205+AA205&gt;30,"30+",IF(Y205+AA205-Z205&gt;0,Y205+AA205-Z205,IF(Y205-Z205&lt;0,0,Y205+AA205-Z205))))))))</f>
        <v/>
      </c>
      <c r="AD205" s="382" t="str">
        <f>IFERROR(IF(AC205="Check Data","Check Data",VLOOKUP(AC205,'G-4 Temporal multipliers'!$A$4:$C$37,3,FALSE)),"")</f>
        <v/>
      </c>
      <c r="AE205" s="171" t="str">
        <f>IF(N205="","",VLOOKUP(N205,'G-7 Rivers Data'!$B$4:$G$8,5,FALSE))</f>
        <v/>
      </c>
      <c r="AF205" s="179" t="str">
        <f t="shared" ref="AF205:AF257" si="29">IF(N205="","",IF(AC205="Check Data","Check Data",IF(T205="","",IF($AB205="Check details - Is there evidence that habitat has reached target condition?","Low Difficulty - only applicable if all habitat created before losses","Standard difficulty applied"))))</f>
        <v/>
      </c>
      <c r="AG205" s="269" t="str">
        <f t="shared" ref="AG205:AG257" si="30">(IF(AND(AF205="Standard difficulty applied",Y205&gt;Z205),AE205,IF(AND(AF205="Low Difficulty - only applicable if all habitat created before losses",Z205&gt;=Y205),"Low",AE205)))</f>
        <v/>
      </c>
      <c r="AH205" s="172" t="str">
        <f t="shared" si="24"/>
        <v/>
      </c>
      <c r="AI205" s="173"/>
      <c r="AJ205" s="172" t="str">
        <f>IF(AI205="","",IF(VLOOKUP(AI205,'G-7 Rivers Data'!$AA$4:$AB$7,2,FALSE)=0,"Spatial Data Missing",VLOOKUP(AI205,'G-7 Rivers Data'!$AA$4:$AB$7,2,FALSE)))</f>
        <v/>
      </c>
      <c r="AK205" s="187"/>
      <c r="AL205" s="172" t="str">
        <f>IF(AK205="","",IF(VLOOKUP(AK205,'G-7 Rivers Data'!$AD$4:$AE$8,2,FALSE)=0,"Spatial Data Missing",VLOOKUP(AK205,'G-7 Rivers Data'!$AD$4:$AE$8,2,FALSE)))</f>
        <v/>
      </c>
      <c r="AM205" s="265" t="str">
        <f t="shared" si="23"/>
        <v/>
      </c>
      <c r="AN205" s="180"/>
      <c r="AO205" s="181"/>
      <c r="AV205" s="35" t="str">
        <f>IFERROR(INDEX('G-7 Rivers Data'!$AZ$3:$AZ$7,MATCH(N205,'G-7 Rivers Data'!$AY$3:$AY$7,0)),"")</f>
        <v/>
      </c>
    </row>
    <row r="206" spans="2:48" ht="13.8" x14ac:dyDescent="0.25">
      <c r="B206" s="259" t="str">
        <f>'C-1 Site River Baseline'!AN204</f>
        <v/>
      </c>
      <c r="C206" s="175" t="str">
        <f>IF(B206="","",VLOOKUP($B206,'C-1 Site River Baseline'!$C$9:$R$257,2,FALSE))</f>
        <v/>
      </c>
      <c r="D206" s="175" t="str">
        <f>IF(C206="","",VLOOKUP($B206,'C-1 Site River Baseline'!$C$9:$R$257,3,FALSE))</f>
        <v/>
      </c>
      <c r="E206" s="175" t="str">
        <f>IF(D206="","",VLOOKUP($B206,'C-1 Site River Baseline'!$C$9:$R$257,4,FALSE))</f>
        <v/>
      </c>
      <c r="F206" s="175" t="str">
        <f>IF(E206="","",VLOOKUP($B206,'C-1 Site River Baseline'!$C$9:$R$257,5,FALSE))</f>
        <v/>
      </c>
      <c r="G206" s="175" t="str">
        <f>IF(F206="","",VLOOKUP($B206,'C-1 Site River Baseline'!$C$9:$R$257,6,FALSE))</f>
        <v/>
      </c>
      <c r="H206" s="175" t="str">
        <f>IF(G206="","",VLOOKUP($B206,'C-1 Site River Baseline'!$C$9:$R$257,7,FALSE))</f>
        <v/>
      </c>
      <c r="I206" s="175" t="str">
        <f>IF(H206="","",VLOOKUP($B206,'C-1 Site River Baseline'!$C$9:$R$257,8,FALSE))</f>
        <v/>
      </c>
      <c r="J206" s="175" t="str">
        <f>IF(I206="","",VLOOKUP($B206,'C-1 Site River Baseline'!$C$9:$R$257,9,FALSE))</f>
        <v/>
      </c>
      <c r="K206" s="175" t="str">
        <f>IF(J206="","",VLOOKUP($B206,'C-1 Site River Baseline'!$C$9:$R$257,10,FALSE))</f>
        <v/>
      </c>
      <c r="L206" s="175" t="str">
        <f>IF(B206="","",VLOOKUP($B206,'C-1 Site River Baseline'!$C$9:$R$257,15,FALSE))</f>
        <v/>
      </c>
      <c r="M206" s="176" t="str">
        <f>IF(L206="","",VLOOKUP($B206,'C-1 Site River Baseline'!$C$9:$R$257,16,FALSE))</f>
        <v/>
      </c>
      <c r="N206" s="639" t="str">
        <f t="shared" si="25"/>
        <v/>
      </c>
      <c r="O206" s="239" t="str">
        <f t="shared" si="26"/>
        <v/>
      </c>
      <c r="P206" s="172" t="str">
        <f>IF(C206="","",IF(AND(LEFT(C206,55)&lt;&gt;LEFT(N206,55),O206="High - High"),"Error - Not like for like",IF(AND(F206=S206,H206&gt;U206),"Error - Can not reduce condition",IF(AND(F206=S206,H206=U206,AJ206='C-1 Site River Baseline'!N204,'C-1 Site River Baseline'!P204=AL206),"Error - No enhancement",IF(AND(C206&lt;&gt;N206,F206&lt;S206),"Lower Distinctiveness Habitat"&amp;" - "&amp;T206,G206&amp;" - "&amp;T206)))))</f>
        <v/>
      </c>
      <c r="Q206" s="660" t="str">
        <f>IF(N206="","",VLOOKUP(B206,'C-1 Site River Baseline'!$C$10:$AA$257,19,FALSE))</f>
        <v/>
      </c>
      <c r="R206" s="171" t="str">
        <f>IF(N206="","",VLOOKUP(N206,'G-7 Rivers Data'!$B$2:$G$8,2,FALSE))</f>
        <v/>
      </c>
      <c r="S206" s="172" t="str">
        <f>IFERROR(VLOOKUP(R206,'G-7 Rivers Data'!$C$4:$D$8,2,FALSE),"")</f>
        <v/>
      </c>
      <c r="T206" s="173"/>
      <c r="U206" s="172" t="str">
        <f>IFERROR(INDEX('G-7 Rivers Data'!$H$4:$L$8,MATCH(N206,'G-7 Rivers Data'!$B$4:$B$8,0),MATCH(T206,'G-7 Rivers Data'!$H$3:$L$3,0)),"")</f>
        <v/>
      </c>
      <c r="V206" s="186"/>
      <c r="W206" s="175" t="str">
        <f>IF(V206="","",IF(VLOOKUP(V206,'G-7 Rivers Data'!$AG$4:$AI$9,2,FALSE)=0,"Spatial Data Missing",VLOOKUP(V206,'G-7 Rivers Data'!$AG$4:$AI$9,2,FALSE)))</f>
        <v/>
      </c>
      <c r="X206" s="176" t="str">
        <f>IF(V206="","",IF(VLOOKUP(V206,'G-7 Rivers Data'!$AG$4:$AI$9,3,FALSE)=0,"Spatial Data Missing",VLOOKUP(V206,'G-7 Rivers Data'!$AG$4:$AI$9,3,FALSE)))</f>
        <v/>
      </c>
      <c r="Y206" s="171" t="str">
        <f>IFERROR(IF(OR(LEFT(P206,5)="Error",LEFT(O206,5)="Error"),"Check Data",IF(F206&lt;S206,'G-7 Rivers Data'!$R$3,INDEX('G-7 Rivers Data'!$U$5:$Y$9,MATCH(G206,'G-7 Rivers Data'!$T$5:$T$9,0),MATCH(T206,'G-7 Rivers Data'!$U$4:$Y$4,0)))),"")</f>
        <v/>
      </c>
      <c r="Z206" s="261"/>
      <c r="AA206" s="261"/>
      <c r="AB206" s="179" t="str">
        <f t="shared" si="27"/>
        <v/>
      </c>
      <c r="AC206" s="262" t="str">
        <f t="shared" si="28"/>
        <v/>
      </c>
      <c r="AD206" s="382" t="str">
        <f>IFERROR(IF(AC206="Check Data","Check Data",VLOOKUP(AC206,'G-4 Temporal multipliers'!$A$4:$C$37,3,FALSE)),"")</f>
        <v/>
      </c>
      <c r="AE206" s="171" t="str">
        <f>IF(N206="","",VLOOKUP(N206,'G-7 Rivers Data'!$B$4:$G$8,5,FALSE))</f>
        <v/>
      </c>
      <c r="AF206" s="179" t="str">
        <f t="shared" si="29"/>
        <v/>
      </c>
      <c r="AG206" s="269" t="str">
        <f t="shared" si="30"/>
        <v/>
      </c>
      <c r="AH206" s="172" t="str">
        <f t="shared" si="24"/>
        <v/>
      </c>
      <c r="AI206" s="173"/>
      <c r="AJ206" s="172" t="str">
        <f>IF(AI206="","",IF(VLOOKUP(AI206,'G-7 Rivers Data'!$AA$4:$AB$7,2,FALSE)=0,"Spatial Data Missing",VLOOKUP(AI206,'G-7 Rivers Data'!$AA$4:$AB$7,2,FALSE)))</f>
        <v/>
      </c>
      <c r="AK206" s="187"/>
      <c r="AL206" s="172" t="str">
        <f>IF(AK206="","",IF(VLOOKUP(AK206,'G-7 Rivers Data'!$AD$4:$AE$8,2,FALSE)=0,"Spatial Data Missing",VLOOKUP(AK206,'G-7 Rivers Data'!$AD$4:$AE$8,2,FALSE)))</f>
        <v/>
      </c>
      <c r="AM206" s="265" t="str">
        <f t="shared" ref="AM206:AM256" si="31">IFERROR(IF(C206="","",IF(Q206&gt;D206,((((Q206*S206*U206)-(D206*F206*H206))*(AH206*AD206))+(D206*F206*H206))*(AL206*X206*AJ206),((((Q206*S206*U206)-(Q206*F206*H206))*(AH206*AD206))+(Q206*F206*H206))*(AL206*X206*AJ206))),"")</f>
        <v/>
      </c>
      <c r="AN206" s="180"/>
      <c r="AO206" s="181"/>
      <c r="AV206" s="35" t="str">
        <f>IFERROR(INDEX('G-7 Rivers Data'!$AZ$3:$AZ$7,MATCH(N206,'G-7 Rivers Data'!$AY$3:$AY$7,0)),"")</f>
        <v/>
      </c>
    </row>
    <row r="207" spans="2:48" ht="13.8" x14ac:dyDescent="0.25">
      <c r="B207" s="259" t="str">
        <f>'C-1 Site River Baseline'!AN205</f>
        <v/>
      </c>
      <c r="C207" s="175" t="str">
        <f>IF(B207="","",VLOOKUP($B207,'C-1 Site River Baseline'!$C$9:$R$257,2,FALSE))</f>
        <v/>
      </c>
      <c r="D207" s="175" t="str">
        <f>IF(C207="","",VLOOKUP($B207,'C-1 Site River Baseline'!$C$9:$R$257,3,FALSE))</f>
        <v/>
      </c>
      <c r="E207" s="175" t="str">
        <f>IF(D207="","",VLOOKUP($B207,'C-1 Site River Baseline'!$C$9:$R$257,4,FALSE))</f>
        <v/>
      </c>
      <c r="F207" s="175" t="str">
        <f>IF(E207="","",VLOOKUP($B207,'C-1 Site River Baseline'!$C$9:$R$257,5,FALSE))</f>
        <v/>
      </c>
      <c r="G207" s="175" t="str">
        <f>IF(F207="","",VLOOKUP($B207,'C-1 Site River Baseline'!$C$9:$R$257,6,FALSE))</f>
        <v/>
      </c>
      <c r="H207" s="175" t="str">
        <f>IF(G207="","",VLOOKUP($B207,'C-1 Site River Baseline'!$C$9:$R$257,7,FALSE))</f>
        <v/>
      </c>
      <c r="I207" s="175" t="str">
        <f>IF(H207="","",VLOOKUP($B207,'C-1 Site River Baseline'!$C$9:$R$257,8,FALSE))</f>
        <v/>
      </c>
      <c r="J207" s="175" t="str">
        <f>IF(I207="","",VLOOKUP($B207,'C-1 Site River Baseline'!$C$9:$R$257,9,FALSE))</f>
        <v/>
      </c>
      <c r="K207" s="175" t="str">
        <f>IF(J207="","",VLOOKUP($B207,'C-1 Site River Baseline'!$C$9:$R$257,10,FALSE))</f>
        <v/>
      </c>
      <c r="L207" s="175" t="str">
        <f>IF(B207="","",VLOOKUP($B207,'C-1 Site River Baseline'!$C$9:$R$257,15,FALSE))</f>
        <v/>
      </c>
      <c r="M207" s="176" t="str">
        <f>IF(L207="","",VLOOKUP($B207,'C-1 Site River Baseline'!$C$9:$R$257,16,FALSE))</f>
        <v/>
      </c>
      <c r="N207" s="639" t="str">
        <f t="shared" si="25"/>
        <v/>
      </c>
      <c r="O207" s="239" t="str">
        <f t="shared" si="26"/>
        <v/>
      </c>
      <c r="P207" s="172" t="str">
        <f>IF(C207="","",IF(AND(LEFT(C207,55)&lt;&gt;LEFT(N207,55),O207="High - High"),"Error - Not like for like",IF(AND(F207=S207,H207&gt;U207),"Error - Can not reduce condition",IF(AND(F207=S207,H207=U207,AJ207='C-1 Site River Baseline'!N205,'C-1 Site River Baseline'!P205=AL207),"Error - No enhancement",IF(AND(C207&lt;&gt;N207,F207&lt;S207),"Lower Distinctiveness Habitat"&amp;" - "&amp;T207,G207&amp;" - "&amp;T207)))))</f>
        <v/>
      </c>
      <c r="Q207" s="660" t="str">
        <f>IF(N207="","",VLOOKUP(B207,'C-1 Site River Baseline'!$C$10:$AA$257,19,FALSE))</f>
        <v/>
      </c>
      <c r="R207" s="171" t="str">
        <f>IF(N207="","",VLOOKUP(N207,'G-7 Rivers Data'!$B$2:$G$8,2,FALSE))</f>
        <v/>
      </c>
      <c r="S207" s="172" t="str">
        <f>IFERROR(VLOOKUP(R207,'G-7 Rivers Data'!$C$4:$D$8,2,FALSE),"")</f>
        <v/>
      </c>
      <c r="T207" s="173"/>
      <c r="U207" s="172" t="str">
        <f>IFERROR(INDEX('G-7 Rivers Data'!$H$4:$L$8,MATCH(N207,'G-7 Rivers Data'!$B$4:$B$8,0),MATCH(T207,'G-7 Rivers Data'!$H$3:$L$3,0)),"")</f>
        <v/>
      </c>
      <c r="V207" s="186"/>
      <c r="W207" s="175" t="str">
        <f>IF(V207="","",IF(VLOOKUP(V207,'G-7 Rivers Data'!$AG$4:$AI$9,2,FALSE)=0,"Spatial Data Missing",VLOOKUP(V207,'G-7 Rivers Data'!$AG$4:$AI$9,2,FALSE)))</f>
        <v/>
      </c>
      <c r="X207" s="176" t="str">
        <f>IF(V207="","",IF(VLOOKUP(V207,'G-7 Rivers Data'!$AG$4:$AI$9,3,FALSE)=0,"Spatial Data Missing",VLOOKUP(V207,'G-7 Rivers Data'!$AG$4:$AI$9,3,FALSE)))</f>
        <v/>
      </c>
      <c r="Y207" s="171" t="str">
        <f>IFERROR(IF(OR(LEFT(P207,5)="Error",LEFT(O207,5)="Error"),"Check Data",IF(F207&lt;S207,'G-7 Rivers Data'!$R$3,INDEX('G-7 Rivers Data'!$U$5:$Y$9,MATCH(G207,'G-7 Rivers Data'!$T$5:$T$9,0),MATCH(T207,'G-7 Rivers Data'!$U$4:$Y$4,0)))),"")</f>
        <v/>
      </c>
      <c r="Z207" s="261"/>
      <c r="AA207" s="261"/>
      <c r="AB207" s="179" t="str">
        <f t="shared" si="27"/>
        <v/>
      </c>
      <c r="AC207" s="262" t="str">
        <f t="shared" si="28"/>
        <v/>
      </c>
      <c r="AD207" s="382" t="str">
        <f>IFERROR(IF(AC207="Check Data","Check Data",VLOOKUP(AC207,'G-4 Temporal multipliers'!$A$4:$C$37,3,FALSE)),"")</f>
        <v/>
      </c>
      <c r="AE207" s="171" t="str">
        <f>IF(N207="","",VLOOKUP(N207,'G-7 Rivers Data'!$B$4:$G$8,5,FALSE))</f>
        <v/>
      </c>
      <c r="AF207" s="179" t="str">
        <f t="shared" si="29"/>
        <v/>
      </c>
      <c r="AG207" s="269" t="str">
        <f t="shared" si="30"/>
        <v/>
      </c>
      <c r="AH207" s="172" t="str">
        <f t="shared" si="24"/>
        <v/>
      </c>
      <c r="AI207" s="173"/>
      <c r="AJ207" s="172" t="str">
        <f>IF(AI207="","",IF(VLOOKUP(AI207,'G-7 Rivers Data'!$AA$4:$AB$7,2,FALSE)=0,"Spatial Data Missing",VLOOKUP(AI207,'G-7 Rivers Data'!$AA$4:$AB$7,2,FALSE)))</f>
        <v/>
      </c>
      <c r="AK207" s="187"/>
      <c r="AL207" s="172" t="str">
        <f>IF(AK207="","",IF(VLOOKUP(AK207,'G-7 Rivers Data'!$AD$4:$AE$8,2,FALSE)=0,"Spatial Data Missing",VLOOKUP(AK207,'G-7 Rivers Data'!$AD$4:$AE$8,2,FALSE)))</f>
        <v/>
      </c>
      <c r="AM207" s="265" t="str">
        <f t="shared" si="31"/>
        <v/>
      </c>
      <c r="AN207" s="180"/>
      <c r="AO207" s="181"/>
      <c r="AV207" s="35" t="str">
        <f>IFERROR(INDEX('G-7 Rivers Data'!$AZ$3:$AZ$7,MATCH(N207,'G-7 Rivers Data'!$AY$3:$AY$7,0)),"")</f>
        <v/>
      </c>
    </row>
    <row r="208" spans="2:48" ht="13.8" x14ac:dyDescent="0.25">
      <c r="B208" s="259" t="str">
        <f>'C-1 Site River Baseline'!AN206</f>
        <v/>
      </c>
      <c r="C208" s="175" t="str">
        <f>IF(B208="","",VLOOKUP($B208,'C-1 Site River Baseline'!$C$9:$R$257,2,FALSE))</f>
        <v/>
      </c>
      <c r="D208" s="175" t="str">
        <f>IF(C208="","",VLOOKUP($B208,'C-1 Site River Baseline'!$C$9:$R$257,3,FALSE))</f>
        <v/>
      </c>
      <c r="E208" s="175" t="str">
        <f>IF(D208="","",VLOOKUP($B208,'C-1 Site River Baseline'!$C$9:$R$257,4,FALSE))</f>
        <v/>
      </c>
      <c r="F208" s="175" t="str">
        <f>IF(E208="","",VLOOKUP($B208,'C-1 Site River Baseline'!$C$9:$R$257,5,FALSE))</f>
        <v/>
      </c>
      <c r="G208" s="175" t="str">
        <f>IF(F208="","",VLOOKUP($B208,'C-1 Site River Baseline'!$C$9:$R$257,6,FALSE))</f>
        <v/>
      </c>
      <c r="H208" s="175" t="str">
        <f>IF(G208="","",VLOOKUP($B208,'C-1 Site River Baseline'!$C$9:$R$257,7,FALSE))</f>
        <v/>
      </c>
      <c r="I208" s="175" t="str">
        <f>IF(H208="","",VLOOKUP($B208,'C-1 Site River Baseline'!$C$9:$R$257,8,FALSE))</f>
        <v/>
      </c>
      <c r="J208" s="175" t="str">
        <f>IF(I208="","",VLOOKUP($B208,'C-1 Site River Baseline'!$C$9:$R$257,9,FALSE))</f>
        <v/>
      </c>
      <c r="K208" s="175" t="str">
        <f>IF(J208="","",VLOOKUP($B208,'C-1 Site River Baseline'!$C$9:$R$257,10,FALSE))</f>
        <v/>
      </c>
      <c r="L208" s="175" t="str">
        <f>IF(B208="","",VLOOKUP($B208,'C-1 Site River Baseline'!$C$9:$R$257,15,FALSE))</f>
        <v/>
      </c>
      <c r="M208" s="176" t="str">
        <f>IF(L208="","",VLOOKUP($B208,'C-1 Site River Baseline'!$C$9:$R$257,16,FALSE))</f>
        <v/>
      </c>
      <c r="N208" s="639" t="str">
        <f t="shared" si="25"/>
        <v/>
      </c>
      <c r="O208" s="239" t="str">
        <f t="shared" si="26"/>
        <v/>
      </c>
      <c r="P208" s="172" t="str">
        <f>IF(C208="","",IF(AND(LEFT(C208,55)&lt;&gt;LEFT(N208,55),O208="High - High"),"Error - Not like for like",IF(AND(F208=S208,H208&gt;U208),"Error - Can not reduce condition",IF(AND(F208=S208,H208=U208,AJ208='C-1 Site River Baseline'!N206,'C-1 Site River Baseline'!P206=AL208),"Error - No enhancement",IF(AND(C208&lt;&gt;N208,F208&lt;S208),"Lower Distinctiveness Habitat"&amp;" - "&amp;T208,G208&amp;" - "&amp;T208)))))</f>
        <v/>
      </c>
      <c r="Q208" s="660" t="str">
        <f>IF(N208="","",VLOOKUP(B208,'C-1 Site River Baseline'!$C$10:$AA$257,19,FALSE))</f>
        <v/>
      </c>
      <c r="R208" s="171" t="str">
        <f>IF(N208="","",VLOOKUP(N208,'G-7 Rivers Data'!$B$2:$G$8,2,FALSE))</f>
        <v/>
      </c>
      <c r="S208" s="172" t="str">
        <f>IFERROR(VLOOKUP(R208,'G-7 Rivers Data'!$C$4:$D$8,2,FALSE),"")</f>
        <v/>
      </c>
      <c r="T208" s="173"/>
      <c r="U208" s="172" t="str">
        <f>IFERROR(INDEX('G-7 Rivers Data'!$H$4:$L$8,MATCH(N208,'G-7 Rivers Data'!$B$4:$B$8,0),MATCH(T208,'G-7 Rivers Data'!$H$3:$L$3,0)),"")</f>
        <v/>
      </c>
      <c r="V208" s="186"/>
      <c r="W208" s="175" t="str">
        <f>IF(V208="","",IF(VLOOKUP(V208,'G-7 Rivers Data'!$AG$4:$AI$9,2,FALSE)=0,"Spatial Data Missing",VLOOKUP(V208,'G-7 Rivers Data'!$AG$4:$AI$9,2,FALSE)))</f>
        <v/>
      </c>
      <c r="X208" s="176" t="str">
        <f>IF(V208="","",IF(VLOOKUP(V208,'G-7 Rivers Data'!$AG$4:$AI$9,3,FALSE)=0,"Spatial Data Missing",VLOOKUP(V208,'G-7 Rivers Data'!$AG$4:$AI$9,3,FALSE)))</f>
        <v/>
      </c>
      <c r="Y208" s="171" t="str">
        <f>IFERROR(IF(OR(LEFT(P208,5)="Error",LEFT(O208,5)="Error"),"Check Data",IF(F208&lt;S208,'G-7 Rivers Data'!$R$3,INDEX('G-7 Rivers Data'!$U$5:$Y$9,MATCH(G208,'G-7 Rivers Data'!$T$5:$T$9,0),MATCH(T208,'G-7 Rivers Data'!$U$4:$Y$4,0)))),"")</f>
        <v/>
      </c>
      <c r="Z208" s="261"/>
      <c r="AA208" s="261"/>
      <c r="AB208" s="179" t="str">
        <f t="shared" si="27"/>
        <v/>
      </c>
      <c r="AC208" s="262" t="str">
        <f t="shared" si="28"/>
        <v/>
      </c>
      <c r="AD208" s="382" t="str">
        <f>IFERROR(IF(AC208="Check Data","Check Data",VLOOKUP(AC208,'G-4 Temporal multipliers'!$A$4:$C$37,3,FALSE)),"")</f>
        <v/>
      </c>
      <c r="AE208" s="171" t="str">
        <f>IF(N208="","",VLOOKUP(N208,'G-7 Rivers Data'!$B$4:$G$8,5,FALSE))</f>
        <v/>
      </c>
      <c r="AF208" s="179" t="str">
        <f t="shared" si="29"/>
        <v/>
      </c>
      <c r="AG208" s="269" t="str">
        <f t="shared" si="30"/>
        <v/>
      </c>
      <c r="AH208" s="172" t="str">
        <f t="shared" si="24"/>
        <v/>
      </c>
      <c r="AI208" s="173"/>
      <c r="AJ208" s="172" t="str">
        <f>IF(AI208="","",IF(VLOOKUP(AI208,'G-7 Rivers Data'!$AA$4:$AB$7,2,FALSE)=0,"Spatial Data Missing",VLOOKUP(AI208,'G-7 Rivers Data'!$AA$4:$AB$7,2,FALSE)))</f>
        <v/>
      </c>
      <c r="AK208" s="187"/>
      <c r="AL208" s="172" t="str">
        <f>IF(AK208="","",IF(VLOOKUP(AK208,'G-7 Rivers Data'!$AD$4:$AE$8,2,FALSE)=0,"Spatial Data Missing",VLOOKUP(AK208,'G-7 Rivers Data'!$AD$4:$AE$8,2,FALSE)))</f>
        <v/>
      </c>
      <c r="AM208" s="265" t="str">
        <f t="shared" si="31"/>
        <v/>
      </c>
      <c r="AN208" s="180"/>
      <c r="AO208" s="181"/>
      <c r="AV208" s="35" t="str">
        <f>IFERROR(INDEX('G-7 Rivers Data'!$AZ$3:$AZ$7,MATCH(N208,'G-7 Rivers Data'!$AY$3:$AY$7,0)),"")</f>
        <v/>
      </c>
    </row>
    <row r="209" spans="2:48" ht="13.8" x14ac:dyDescent="0.25">
      <c r="B209" s="259" t="str">
        <f>'C-1 Site River Baseline'!AN207</f>
        <v/>
      </c>
      <c r="C209" s="175" t="str">
        <f>IF(B209="","",VLOOKUP($B209,'C-1 Site River Baseline'!$C$9:$R$257,2,FALSE))</f>
        <v/>
      </c>
      <c r="D209" s="175" t="str">
        <f>IF(C209="","",VLOOKUP($B209,'C-1 Site River Baseline'!$C$9:$R$257,3,FALSE))</f>
        <v/>
      </c>
      <c r="E209" s="175" t="str">
        <f>IF(D209="","",VLOOKUP($B209,'C-1 Site River Baseline'!$C$9:$R$257,4,FALSE))</f>
        <v/>
      </c>
      <c r="F209" s="175" t="str">
        <f>IF(E209="","",VLOOKUP($B209,'C-1 Site River Baseline'!$C$9:$R$257,5,FALSE))</f>
        <v/>
      </c>
      <c r="G209" s="175" t="str">
        <f>IF(F209="","",VLOOKUP($B209,'C-1 Site River Baseline'!$C$9:$R$257,6,FALSE))</f>
        <v/>
      </c>
      <c r="H209" s="175" t="str">
        <f>IF(G209="","",VLOOKUP($B209,'C-1 Site River Baseline'!$C$9:$R$257,7,FALSE))</f>
        <v/>
      </c>
      <c r="I209" s="175" t="str">
        <f>IF(H209="","",VLOOKUP($B209,'C-1 Site River Baseline'!$C$9:$R$257,8,FALSE))</f>
        <v/>
      </c>
      <c r="J209" s="175" t="str">
        <f>IF(I209="","",VLOOKUP($B209,'C-1 Site River Baseline'!$C$9:$R$257,9,FALSE))</f>
        <v/>
      </c>
      <c r="K209" s="175" t="str">
        <f>IF(J209="","",VLOOKUP($B209,'C-1 Site River Baseline'!$C$9:$R$257,10,FALSE))</f>
        <v/>
      </c>
      <c r="L209" s="175" t="str">
        <f>IF(B209="","",VLOOKUP($B209,'C-1 Site River Baseline'!$C$9:$R$257,15,FALSE))</f>
        <v/>
      </c>
      <c r="M209" s="176" t="str">
        <f>IF(L209="","",VLOOKUP($B209,'C-1 Site River Baseline'!$C$9:$R$257,16,FALSE))</f>
        <v/>
      </c>
      <c r="N209" s="639" t="str">
        <f t="shared" si="25"/>
        <v/>
      </c>
      <c r="O209" s="239" t="str">
        <f t="shared" si="26"/>
        <v/>
      </c>
      <c r="P209" s="172" t="str">
        <f>IF(C209="","",IF(AND(LEFT(C209,55)&lt;&gt;LEFT(N209,55),O209="High - High"),"Error - Not like for like",IF(AND(F209=S209,H209&gt;U209),"Error - Can not reduce condition",IF(AND(F209=S209,H209=U209,AJ209='C-1 Site River Baseline'!N207,'C-1 Site River Baseline'!P207=AL209),"Error - No enhancement",IF(AND(C209&lt;&gt;N209,F209&lt;S209),"Lower Distinctiveness Habitat"&amp;" - "&amp;T209,G209&amp;" - "&amp;T209)))))</f>
        <v/>
      </c>
      <c r="Q209" s="660" t="str">
        <f>IF(N209="","",VLOOKUP(B209,'C-1 Site River Baseline'!$C$10:$AA$257,19,FALSE))</f>
        <v/>
      </c>
      <c r="R209" s="171" t="str">
        <f>IF(N209="","",VLOOKUP(N209,'G-7 Rivers Data'!$B$2:$G$8,2,FALSE))</f>
        <v/>
      </c>
      <c r="S209" s="172" t="str">
        <f>IFERROR(VLOOKUP(R209,'G-7 Rivers Data'!$C$4:$D$8,2,FALSE),"")</f>
        <v/>
      </c>
      <c r="T209" s="173"/>
      <c r="U209" s="172" t="str">
        <f>IFERROR(INDEX('G-7 Rivers Data'!$H$4:$L$8,MATCH(N209,'G-7 Rivers Data'!$B$4:$B$8,0),MATCH(T209,'G-7 Rivers Data'!$H$3:$L$3,0)),"")</f>
        <v/>
      </c>
      <c r="V209" s="186"/>
      <c r="W209" s="175" t="str">
        <f>IF(V209="","",IF(VLOOKUP(V209,'G-7 Rivers Data'!$AG$4:$AI$9,2,FALSE)=0,"Spatial Data Missing",VLOOKUP(V209,'G-7 Rivers Data'!$AG$4:$AI$9,2,FALSE)))</f>
        <v/>
      </c>
      <c r="X209" s="176" t="str">
        <f>IF(V209="","",IF(VLOOKUP(V209,'G-7 Rivers Data'!$AG$4:$AI$9,3,FALSE)=0,"Spatial Data Missing",VLOOKUP(V209,'G-7 Rivers Data'!$AG$4:$AI$9,3,FALSE)))</f>
        <v/>
      </c>
      <c r="Y209" s="171" t="str">
        <f>IFERROR(IF(OR(LEFT(P209,5)="Error",LEFT(O209,5)="Error"),"Check Data",IF(F209&lt;S209,'G-7 Rivers Data'!$R$3,INDEX('G-7 Rivers Data'!$U$5:$Y$9,MATCH(G209,'G-7 Rivers Data'!$T$5:$T$9,0),MATCH(T209,'G-7 Rivers Data'!$U$4:$Y$4,0)))),"")</f>
        <v/>
      </c>
      <c r="Z209" s="261"/>
      <c r="AA209" s="261"/>
      <c r="AB209" s="179" t="str">
        <f t="shared" si="27"/>
        <v/>
      </c>
      <c r="AC209" s="262" t="str">
        <f t="shared" si="28"/>
        <v/>
      </c>
      <c r="AD209" s="382" t="str">
        <f>IFERROR(IF(AC209="Check Data","Check Data",VLOOKUP(AC209,'G-4 Temporal multipliers'!$A$4:$C$37,3,FALSE)),"")</f>
        <v/>
      </c>
      <c r="AE209" s="171" t="str">
        <f>IF(N209="","",VLOOKUP(N209,'G-7 Rivers Data'!$B$4:$G$8,5,FALSE))</f>
        <v/>
      </c>
      <c r="AF209" s="179" t="str">
        <f t="shared" si="29"/>
        <v/>
      </c>
      <c r="AG209" s="269" t="str">
        <f t="shared" si="30"/>
        <v/>
      </c>
      <c r="AH209" s="172" t="str">
        <f t="shared" si="24"/>
        <v/>
      </c>
      <c r="AI209" s="173"/>
      <c r="AJ209" s="172" t="str">
        <f>IF(AI209="","",IF(VLOOKUP(AI209,'G-7 Rivers Data'!$AA$4:$AB$7,2,FALSE)=0,"Spatial Data Missing",VLOOKUP(AI209,'G-7 Rivers Data'!$AA$4:$AB$7,2,FALSE)))</f>
        <v/>
      </c>
      <c r="AK209" s="187"/>
      <c r="AL209" s="172" t="str">
        <f>IF(AK209="","",IF(VLOOKUP(AK209,'G-7 Rivers Data'!$AD$4:$AE$8,2,FALSE)=0,"Spatial Data Missing",VLOOKUP(AK209,'G-7 Rivers Data'!$AD$4:$AE$8,2,FALSE)))</f>
        <v/>
      </c>
      <c r="AM209" s="265" t="str">
        <f t="shared" si="31"/>
        <v/>
      </c>
      <c r="AN209" s="180"/>
      <c r="AO209" s="181"/>
      <c r="AV209" s="35" t="str">
        <f>IFERROR(INDEX('G-7 Rivers Data'!$AZ$3:$AZ$7,MATCH(N209,'G-7 Rivers Data'!$AY$3:$AY$7,0)),"")</f>
        <v/>
      </c>
    </row>
    <row r="210" spans="2:48" ht="13.8" x14ac:dyDescent="0.25">
      <c r="B210" s="259" t="str">
        <f>'C-1 Site River Baseline'!AN208</f>
        <v/>
      </c>
      <c r="C210" s="175" t="str">
        <f>IF(B210="","",VLOOKUP($B210,'C-1 Site River Baseline'!$C$9:$R$257,2,FALSE))</f>
        <v/>
      </c>
      <c r="D210" s="175" t="str">
        <f>IF(C210="","",VLOOKUP($B210,'C-1 Site River Baseline'!$C$9:$R$257,3,FALSE))</f>
        <v/>
      </c>
      <c r="E210" s="175" t="str">
        <f>IF(D210="","",VLOOKUP($B210,'C-1 Site River Baseline'!$C$9:$R$257,4,FALSE))</f>
        <v/>
      </c>
      <c r="F210" s="175" t="str">
        <f>IF(E210="","",VLOOKUP($B210,'C-1 Site River Baseline'!$C$9:$R$257,5,FALSE))</f>
        <v/>
      </c>
      <c r="G210" s="175" t="str">
        <f>IF(F210="","",VLOOKUP($B210,'C-1 Site River Baseline'!$C$9:$R$257,6,FALSE))</f>
        <v/>
      </c>
      <c r="H210" s="175" t="str">
        <f>IF(G210="","",VLOOKUP($B210,'C-1 Site River Baseline'!$C$9:$R$257,7,FALSE))</f>
        <v/>
      </c>
      <c r="I210" s="175" t="str">
        <f>IF(H210="","",VLOOKUP($B210,'C-1 Site River Baseline'!$C$9:$R$257,8,FALSE))</f>
        <v/>
      </c>
      <c r="J210" s="175" t="str">
        <f>IF(I210="","",VLOOKUP($B210,'C-1 Site River Baseline'!$C$9:$R$257,9,FALSE))</f>
        <v/>
      </c>
      <c r="K210" s="175" t="str">
        <f>IF(J210="","",VLOOKUP($B210,'C-1 Site River Baseline'!$C$9:$R$257,10,FALSE))</f>
        <v/>
      </c>
      <c r="L210" s="175" t="str">
        <f>IF(B210="","",VLOOKUP($B210,'C-1 Site River Baseline'!$C$9:$R$257,15,FALSE))</f>
        <v/>
      </c>
      <c r="M210" s="176" t="str">
        <f>IF(L210="","",VLOOKUP($B210,'C-1 Site River Baseline'!$C$9:$R$257,16,FALSE))</f>
        <v/>
      </c>
      <c r="N210" s="639" t="str">
        <f t="shared" si="25"/>
        <v/>
      </c>
      <c r="O210" s="239" t="str">
        <f t="shared" si="26"/>
        <v/>
      </c>
      <c r="P210" s="172" t="str">
        <f>IF(C210="","",IF(AND(LEFT(C210,55)&lt;&gt;LEFT(N210,55),O210="High - High"),"Error - Not like for like",IF(AND(F210=S210,H210&gt;U210),"Error - Can not reduce condition",IF(AND(F210=S210,H210=U210,AJ210='C-1 Site River Baseline'!N208,'C-1 Site River Baseline'!P208=AL210),"Error - No enhancement",IF(AND(C210&lt;&gt;N210,F210&lt;S210),"Lower Distinctiveness Habitat"&amp;" - "&amp;T210,G210&amp;" - "&amp;T210)))))</f>
        <v/>
      </c>
      <c r="Q210" s="660" t="str">
        <f>IF(N210="","",VLOOKUP(B210,'C-1 Site River Baseline'!$C$10:$AA$257,19,FALSE))</f>
        <v/>
      </c>
      <c r="R210" s="171" t="str">
        <f>IF(N210="","",VLOOKUP(N210,'G-7 Rivers Data'!$B$2:$G$8,2,FALSE))</f>
        <v/>
      </c>
      <c r="S210" s="172" t="str">
        <f>IFERROR(VLOOKUP(R210,'G-7 Rivers Data'!$C$4:$D$8,2,FALSE),"")</f>
        <v/>
      </c>
      <c r="T210" s="173"/>
      <c r="U210" s="172" t="str">
        <f>IFERROR(INDEX('G-7 Rivers Data'!$H$4:$L$8,MATCH(N210,'G-7 Rivers Data'!$B$4:$B$8,0),MATCH(T210,'G-7 Rivers Data'!$H$3:$L$3,0)),"")</f>
        <v/>
      </c>
      <c r="V210" s="186"/>
      <c r="W210" s="175" t="str">
        <f>IF(V210="","",IF(VLOOKUP(V210,'G-7 Rivers Data'!$AG$4:$AI$9,2,FALSE)=0,"Spatial Data Missing",VLOOKUP(V210,'G-7 Rivers Data'!$AG$4:$AI$9,2,FALSE)))</f>
        <v/>
      </c>
      <c r="X210" s="176" t="str">
        <f>IF(V210="","",IF(VLOOKUP(V210,'G-7 Rivers Data'!$AG$4:$AI$9,3,FALSE)=0,"Spatial Data Missing",VLOOKUP(V210,'G-7 Rivers Data'!$AG$4:$AI$9,3,FALSE)))</f>
        <v/>
      </c>
      <c r="Y210" s="171" t="str">
        <f>IFERROR(IF(OR(LEFT(P210,5)="Error",LEFT(O210,5)="Error"),"Check Data",IF(F210&lt;S210,'G-7 Rivers Data'!$R$3,INDEX('G-7 Rivers Data'!$U$5:$Y$9,MATCH(G210,'G-7 Rivers Data'!$T$5:$T$9,0),MATCH(T210,'G-7 Rivers Data'!$U$4:$Y$4,0)))),"")</f>
        <v/>
      </c>
      <c r="Z210" s="261"/>
      <c r="AA210" s="261"/>
      <c r="AB210" s="179" t="str">
        <f t="shared" si="27"/>
        <v/>
      </c>
      <c r="AC210" s="262" t="str">
        <f t="shared" si="28"/>
        <v/>
      </c>
      <c r="AD210" s="382" t="str">
        <f>IFERROR(IF(AC210="Check Data","Check Data",VLOOKUP(AC210,'G-4 Temporal multipliers'!$A$4:$C$37,3,FALSE)),"")</f>
        <v/>
      </c>
      <c r="AE210" s="171" t="str">
        <f>IF(N210="","",VLOOKUP(N210,'G-7 Rivers Data'!$B$4:$G$8,5,FALSE))</f>
        <v/>
      </c>
      <c r="AF210" s="179" t="str">
        <f t="shared" si="29"/>
        <v/>
      </c>
      <c r="AG210" s="269" t="str">
        <f t="shared" si="30"/>
        <v/>
      </c>
      <c r="AH210" s="172" t="str">
        <f t="shared" si="24"/>
        <v/>
      </c>
      <c r="AI210" s="173"/>
      <c r="AJ210" s="172" t="str">
        <f>IF(AI210="","",IF(VLOOKUP(AI210,'G-7 Rivers Data'!$AA$4:$AB$7,2,FALSE)=0,"Spatial Data Missing",VLOOKUP(AI210,'G-7 Rivers Data'!$AA$4:$AB$7,2,FALSE)))</f>
        <v/>
      </c>
      <c r="AK210" s="187"/>
      <c r="AL210" s="172" t="str">
        <f>IF(AK210="","",IF(VLOOKUP(AK210,'G-7 Rivers Data'!$AD$4:$AE$8,2,FALSE)=0,"Spatial Data Missing",VLOOKUP(AK210,'G-7 Rivers Data'!$AD$4:$AE$8,2,FALSE)))</f>
        <v/>
      </c>
      <c r="AM210" s="265" t="str">
        <f t="shared" si="31"/>
        <v/>
      </c>
      <c r="AN210" s="180"/>
      <c r="AO210" s="181"/>
      <c r="AV210" s="35" t="str">
        <f>IFERROR(INDEX('G-7 Rivers Data'!$AZ$3:$AZ$7,MATCH(N210,'G-7 Rivers Data'!$AY$3:$AY$7,0)),"")</f>
        <v/>
      </c>
    </row>
    <row r="211" spans="2:48" ht="13.8" x14ac:dyDescent="0.25">
      <c r="B211" s="259" t="str">
        <f>'C-1 Site River Baseline'!AN209</f>
        <v/>
      </c>
      <c r="C211" s="175" t="str">
        <f>IF(B211="","",VLOOKUP($B211,'C-1 Site River Baseline'!$C$9:$R$257,2,FALSE))</f>
        <v/>
      </c>
      <c r="D211" s="175" t="str">
        <f>IF(C211="","",VLOOKUP($B211,'C-1 Site River Baseline'!$C$9:$R$257,3,FALSE))</f>
        <v/>
      </c>
      <c r="E211" s="175" t="str">
        <f>IF(D211="","",VLOOKUP($B211,'C-1 Site River Baseline'!$C$9:$R$257,4,FALSE))</f>
        <v/>
      </c>
      <c r="F211" s="175" t="str">
        <f>IF(E211="","",VLOOKUP($B211,'C-1 Site River Baseline'!$C$9:$R$257,5,FALSE))</f>
        <v/>
      </c>
      <c r="G211" s="175" t="str">
        <f>IF(F211="","",VLOOKUP($B211,'C-1 Site River Baseline'!$C$9:$R$257,6,FALSE))</f>
        <v/>
      </c>
      <c r="H211" s="175" t="str">
        <f>IF(G211="","",VLOOKUP($B211,'C-1 Site River Baseline'!$C$9:$R$257,7,FALSE))</f>
        <v/>
      </c>
      <c r="I211" s="175" t="str">
        <f>IF(H211="","",VLOOKUP($B211,'C-1 Site River Baseline'!$C$9:$R$257,8,FALSE))</f>
        <v/>
      </c>
      <c r="J211" s="175" t="str">
        <f>IF(I211="","",VLOOKUP($B211,'C-1 Site River Baseline'!$C$9:$R$257,9,FALSE))</f>
        <v/>
      </c>
      <c r="K211" s="175" t="str">
        <f>IF(J211="","",VLOOKUP($B211,'C-1 Site River Baseline'!$C$9:$R$257,10,FALSE))</f>
        <v/>
      </c>
      <c r="L211" s="175" t="str">
        <f>IF(B211="","",VLOOKUP($B211,'C-1 Site River Baseline'!$C$9:$R$257,15,FALSE))</f>
        <v/>
      </c>
      <c r="M211" s="176" t="str">
        <f>IF(L211="","",VLOOKUP($B211,'C-1 Site River Baseline'!$C$9:$R$257,16,FALSE))</f>
        <v/>
      </c>
      <c r="N211" s="639" t="str">
        <f t="shared" si="25"/>
        <v/>
      </c>
      <c r="O211" s="239" t="str">
        <f t="shared" si="26"/>
        <v/>
      </c>
      <c r="P211" s="172" t="str">
        <f>IF(C211="","",IF(AND(LEFT(C211,55)&lt;&gt;LEFT(N211,55),O211="High - High"),"Error - Not like for like",IF(AND(F211=S211,H211&gt;U211),"Error - Can not reduce condition",IF(AND(F211=S211,H211=U211,AJ211='C-1 Site River Baseline'!N209,'C-1 Site River Baseline'!P209=AL211),"Error - No enhancement",IF(AND(C211&lt;&gt;N211,F211&lt;S211),"Lower Distinctiveness Habitat"&amp;" - "&amp;T211,G211&amp;" - "&amp;T211)))))</f>
        <v/>
      </c>
      <c r="Q211" s="660" t="str">
        <f>IF(N211="","",VLOOKUP(B211,'C-1 Site River Baseline'!$C$10:$AA$257,19,FALSE))</f>
        <v/>
      </c>
      <c r="R211" s="171" t="str">
        <f>IF(N211="","",VLOOKUP(N211,'G-7 Rivers Data'!$B$2:$G$8,2,FALSE))</f>
        <v/>
      </c>
      <c r="S211" s="172" t="str">
        <f>IFERROR(VLOOKUP(R211,'G-7 Rivers Data'!$C$4:$D$8,2,FALSE),"")</f>
        <v/>
      </c>
      <c r="T211" s="173"/>
      <c r="U211" s="172" t="str">
        <f>IFERROR(INDEX('G-7 Rivers Data'!$H$4:$L$8,MATCH(N211,'G-7 Rivers Data'!$B$4:$B$8,0),MATCH(T211,'G-7 Rivers Data'!$H$3:$L$3,0)),"")</f>
        <v/>
      </c>
      <c r="V211" s="186"/>
      <c r="W211" s="175" t="str">
        <f>IF(V211="","",IF(VLOOKUP(V211,'G-7 Rivers Data'!$AG$4:$AI$9,2,FALSE)=0,"Spatial Data Missing",VLOOKUP(V211,'G-7 Rivers Data'!$AG$4:$AI$9,2,FALSE)))</f>
        <v/>
      </c>
      <c r="X211" s="176" t="str">
        <f>IF(V211="","",IF(VLOOKUP(V211,'G-7 Rivers Data'!$AG$4:$AI$9,3,FALSE)=0,"Spatial Data Missing",VLOOKUP(V211,'G-7 Rivers Data'!$AG$4:$AI$9,3,FALSE)))</f>
        <v/>
      </c>
      <c r="Y211" s="171" t="str">
        <f>IFERROR(IF(OR(LEFT(P211,5)="Error",LEFT(O211,5)="Error"),"Check Data",IF(F211&lt;S211,'G-7 Rivers Data'!$R$3,INDEX('G-7 Rivers Data'!$U$5:$Y$9,MATCH(G211,'G-7 Rivers Data'!$T$5:$T$9,0),MATCH(T211,'G-7 Rivers Data'!$U$4:$Y$4,0)))),"")</f>
        <v/>
      </c>
      <c r="Z211" s="261"/>
      <c r="AA211" s="261"/>
      <c r="AB211" s="179" t="str">
        <f t="shared" si="27"/>
        <v/>
      </c>
      <c r="AC211" s="262" t="str">
        <f t="shared" si="28"/>
        <v/>
      </c>
      <c r="AD211" s="382" t="str">
        <f>IFERROR(IF(AC211="Check Data","Check Data",VLOOKUP(AC211,'G-4 Temporal multipliers'!$A$4:$C$37,3,FALSE)),"")</f>
        <v/>
      </c>
      <c r="AE211" s="171" t="str">
        <f>IF(N211="","",VLOOKUP(N211,'G-7 Rivers Data'!$B$4:$G$8,5,FALSE))</f>
        <v/>
      </c>
      <c r="AF211" s="179" t="str">
        <f t="shared" si="29"/>
        <v/>
      </c>
      <c r="AG211" s="269" t="str">
        <f t="shared" si="30"/>
        <v/>
      </c>
      <c r="AH211" s="172" t="str">
        <f t="shared" si="24"/>
        <v/>
      </c>
      <c r="AI211" s="173"/>
      <c r="AJ211" s="172" t="str">
        <f>IF(AI211="","",IF(VLOOKUP(AI211,'G-7 Rivers Data'!$AA$4:$AB$7,2,FALSE)=0,"Spatial Data Missing",VLOOKUP(AI211,'G-7 Rivers Data'!$AA$4:$AB$7,2,FALSE)))</f>
        <v/>
      </c>
      <c r="AK211" s="187"/>
      <c r="AL211" s="172" t="str">
        <f>IF(AK211="","",IF(VLOOKUP(AK211,'G-7 Rivers Data'!$AD$4:$AE$8,2,FALSE)=0,"Spatial Data Missing",VLOOKUP(AK211,'G-7 Rivers Data'!$AD$4:$AE$8,2,FALSE)))</f>
        <v/>
      </c>
      <c r="AM211" s="265" t="str">
        <f t="shared" si="31"/>
        <v/>
      </c>
      <c r="AN211" s="180"/>
      <c r="AO211" s="181"/>
      <c r="AV211" s="35" t="str">
        <f>IFERROR(INDEX('G-7 Rivers Data'!$AZ$3:$AZ$7,MATCH(N211,'G-7 Rivers Data'!$AY$3:$AY$7,0)),"")</f>
        <v/>
      </c>
    </row>
    <row r="212" spans="2:48" ht="13.8" x14ac:dyDescent="0.25">
      <c r="B212" s="259" t="str">
        <f>'C-1 Site River Baseline'!AN210</f>
        <v/>
      </c>
      <c r="C212" s="175" t="str">
        <f>IF(B212="","",VLOOKUP($B212,'C-1 Site River Baseline'!$C$9:$R$257,2,FALSE))</f>
        <v/>
      </c>
      <c r="D212" s="175" t="str">
        <f>IF(C212="","",VLOOKUP($B212,'C-1 Site River Baseline'!$C$9:$R$257,3,FALSE))</f>
        <v/>
      </c>
      <c r="E212" s="175" t="str">
        <f>IF(D212="","",VLOOKUP($B212,'C-1 Site River Baseline'!$C$9:$R$257,4,FALSE))</f>
        <v/>
      </c>
      <c r="F212" s="175" t="str">
        <f>IF(E212="","",VLOOKUP($B212,'C-1 Site River Baseline'!$C$9:$R$257,5,FALSE))</f>
        <v/>
      </c>
      <c r="G212" s="175" t="str">
        <f>IF(F212="","",VLOOKUP($B212,'C-1 Site River Baseline'!$C$9:$R$257,6,FALSE))</f>
        <v/>
      </c>
      <c r="H212" s="175" t="str">
        <f>IF(G212="","",VLOOKUP($B212,'C-1 Site River Baseline'!$C$9:$R$257,7,FALSE))</f>
        <v/>
      </c>
      <c r="I212" s="175" t="str">
        <f>IF(H212="","",VLOOKUP($B212,'C-1 Site River Baseline'!$C$9:$R$257,8,FALSE))</f>
        <v/>
      </c>
      <c r="J212" s="175" t="str">
        <f>IF(I212="","",VLOOKUP($B212,'C-1 Site River Baseline'!$C$9:$R$257,9,FALSE))</f>
        <v/>
      </c>
      <c r="K212" s="175" t="str">
        <f>IF(J212="","",VLOOKUP($B212,'C-1 Site River Baseline'!$C$9:$R$257,10,FALSE))</f>
        <v/>
      </c>
      <c r="L212" s="175" t="str">
        <f>IF(B212="","",VLOOKUP($B212,'C-1 Site River Baseline'!$C$9:$R$257,15,FALSE))</f>
        <v/>
      </c>
      <c r="M212" s="176" t="str">
        <f>IF(L212="","",VLOOKUP($B212,'C-1 Site River Baseline'!$C$9:$R$257,16,FALSE))</f>
        <v/>
      </c>
      <c r="N212" s="639" t="str">
        <f t="shared" si="25"/>
        <v/>
      </c>
      <c r="O212" s="239" t="str">
        <f t="shared" si="26"/>
        <v/>
      </c>
      <c r="P212" s="172" t="str">
        <f>IF(C212="","",IF(AND(LEFT(C212,55)&lt;&gt;LEFT(N212,55),O212="High - High"),"Error - Not like for like",IF(AND(F212=S212,H212&gt;U212),"Error - Can not reduce condition",IF(AND(F212=S212,H212=U212,AJ212='C-1 Site River Baseline'!N210,'C-1 Site River Baseline'!P210=AL212),"Error - No enhancement",IF(AND(C212&lt;&gt;N212,F212&lt;S212),"Lower Distinctiveness Habitat"&amp;" - "&amp;T212,G212&amp;" - "&amp;T212)))))</f>
        <v/>
      </c>
      <c r="Q212" s="660" t="str">
        <f>IF(N212="","",VLOOKUP(B212,'C-1 Site River Baseline'!$C$10:$AA$257,19,FALSE))</f>
        <v/>
      </c>
      <c r="R212" s="171" t="str">
        <f>IF(N212="","",VLOOKUP(N212,'G-7 Rivers Data'!$B$2:$G$8,2,FALSE))</f>
        <v/>
      </c>
      <c r="S212" s="172" t="str">
        <f>IFERROR(VLOOKUP(R212,'G-7 Rivers Data'!$C$4:$D$8,2,FALSE),"")</f>
        <v/>
      </c>
      <c r="T212" s="173"/>
      <c r="U212" s="172" t="str">
        <f>IFERROR(INDEX('G-7 Rivers Data'!$H$4:$L$8,MATCH(N212,'G-7 Rivers Data'!$B$4:$B$8,0),MATCH(T212,'G-7 Rivers Data'!$H$3:$L$3,0)),"")</f>
        <v/>
      </c>
      <c r="V212" s="186"/>
      <c r="W212" s="175" t="str">
        <f>IF(V212="","",IF(VLOOKUP(V212,'G-7 Rivers Data'!$AG$4:$AI$9,2,FALSE)=0,"Spatial Data Missing",VLOOKUP(V212,'G-7 Rivers Data'!$AG$4:$AI$9,2,FALSE)))</f>
        <v/>
      </c>
      <c r="X212" s="176" t="str">
        <f>IF(V212="","",IF(VLOOKUP(V212,'G-7 Rivers Data'!$AG$4:$AI$9,3,FALSE)=0,"Spatial Data Missing",VLOOKUP(V212,'G-7 Rivers Data'!$AG$4:$AI$9,3,FALSE)))</f>
        <v/>
      </c>
      <c r="Y212" s="171" t="str">
        <f>IFERROR(IF(OR(LEFT(P212,5)="Error",LEFT(O212,5)="Error"),"Check Data",IF(F212&lt;S212,'G-7 Rivers Data'!$R$3,INDEX('G-7 Rivers Data'!$U$5:$Y$9,MATCH(G212,'G-7 Rivers Data'!$T$5:$T$9,0),MATCH(T212,'G-7 Rivers Data'!$U$4:$Y$4,0)))),"")</f>
        <v/>
      </c>
      <c r="Z212" s="261"/>
      <c r="AA212" s="261"/>
      <c r="AB212" s="179" t="str">
        <f t="shared" si="27"/>
        <v/>
      </c>
      <c r="AC212" s="262" t="str">
        <f t="shared" si="28"/>
        <v/>
      </c>
      <c r="AD212" s="382" t="str">
        <f>IFERROR(IF(AC212="Check Data","Check Data",VLOOKUP(AC212,'G-4 Temporal multipliers'!$A$4:$C$37,3,FALSE)),"")</f>
        <v/>
      </c>
      <c r="AE212" s="171" t="str">
        <f>IF(N212="","",VLOOKUP(N212,'G-7 Rivers Data'!$B$4:$G$8,5,FALSE))</f>
        <v/>
      </c>
      <c r="AF212" s="179" t="str">
        <f t="shared" si="29"/>
        <v/>
      </c>
      <c r="AG212" s="269" t="str">
        <f t="shared" si="30"/>
        <v/>
      </c>
      <c r="AH212" s="172" t="str">
        <f t="shared" si="24"/>
        <v/>
      </c>
      <c r="AI212" s="173"/>
      <c r="AJ212" s="172" t="str">
        <f>IF(AI212="","",IF(VLOOKUP(AI212,'G-7 Rivers Data'!$AA$4:$AB$7,2,FALSE)=0,"Spatial Data Missing",VLOOKUP(AI212,'G-7 Rivers Data'!$AA$4:$AB$7,2,FALSE)))</f>
        <v/>
      </c>
      <c r="AK212" s="187"/>
      <c r="AL212" s="172" t="str">
        <f>IF(AK212="","",IF(VLOOKUP(AK212,'G-7 Rivers Data'!$AD$4:$AE$8,2,FALSE)=0,"Spatial Data Missing",VLOOKUP(AK212,'G-7 Rivers Data'!$AD$4:$AE$8,2,FALSE)))</f>
        <v/>
      </c>
      <c r="AM212" s="265" t="str">
        <f t="shared" si="31"/>
        <v/>
      </c>
      <c r="AN212" s="180"/>
      <c r="AO212" s="181"/>
      <c r="AV212" s="35" t="str">
        <f>IFERROR(INDEX('G-7 Rivers Data'!$AZ$3:$AZ$7,MATCH(N212,'G-7 Rivers Data'!$AY$3:$AY$7,0)),"")</f>
        <v/>
      </c>
    </row>
    <row r="213" spans="2:48" ht="13.8" x14ac:dyDescent="0.25">
      <c r="B213" s="259" t="str">
        <f>'C-1 Site River Baseline'!AN211</f>
        <v/>
      </c>
      <c r="C213" s="175" t="str">
        <f>IF(B213="","",VLOOKUP($B213,'C-1 Site River Baseline'!$C$9:$R$257,2,FALSE))</f>
        <v/>
      </c>
      <c r="D213" s="175" t="str">
        <f>IF(C213="","",VLOOKUP($B213,'C-1 Site River Baseline'!$C$9:$R$257,3,FALSE))</f>
        <v/>
      </c>
      <c r="E213" s="175" t="str">
        <f>IF(D213="","",VLOOKUP($B213,'C-1 Site River Baseline'!$C$9:$R$257,4,FALSE))</f>
        <v/>
      </c>
      <c r="F213" s="175" t="str">
        <f>IF(E213="","",VLOOKUP($B213,'C-1 Site River Baseline'!$C$9:$R$257,5,FALSE))</f>
        <v/>
      </c>
      <c r="G213" s="175" t="str">
        <f>IF(F213="","",VLOOKUP($B213,'C-1 Site River Baseline'!$C$9:$R$257,6,FALSE))</f>
        <v/>
      </c>
      <c r="H213" s="175" t="str">
        <f>IF(G213="","",VLOOKUP($B213,'C-1 Site River Baseline'!$C$9:$R$257,7,FALSE))</f>
        <v/>
      </c>
      <c r="I213" s="175" t="str">
        <f>IF(H213="","",VLOOKUP($B213,'C-1 Site River Baseline'!$C$9:$R$257,8,FALSE))</f>
        <v/>
      </c>
      <c r="J213" s="175" t="str">
        <f>IF(I213="","",VLOOKUP($B213,'C-1 Site River Baseline'!$C$9:$R$257,9,FALSE))</f>
        <v/>
      </c>
      <c r="K213" s="175" t="str">
        <f>IF(J213="","",VLOOKUP($B213,'C-1 Site River Baseline'!$C$9:$R$257,10,FALSE))</f>
        <v/>
      </c>
      <c r="L213" s="175" t="str">
        <f>IF(B213="","",VLOOKUP($B213,'C-1 Site River Baseline'!$C$9:$R$257,15,FALSE))</f>
        <v/>
      </c>
      <c r="M213" s="176" t="str">
        <f>IF(L213="","",VLOOKUP($B213,'C-1 Site River Baseline'!$C$9:$R$257,16,FALSE))</f>
        <v/>
      </c>
      <c r="N213" s="639" t="str">
        <f t="shared" si="25"/>
        <v/>
      </c>
      <c r="O213" s="239" t="str">
        <f t="shared" si="26"/>
        <v/>
      </c>
      <c r="P213" s="172" t="str">
        <f>IF(C213="","",IF(AND(LEFT(C213,55)&lt;&gt;LEFT(N213,55),O213="High - High"),"Error - Not like for like",IF(AND(F213=S213,H213&gt;U213),"Error - Can not reduce condition",IF(AND(F213=S213,H213=U213,AJ213='C-1 Site River Baseline'!N211,'C-1 Site River Baseline'!P211=AL213),"Error - No enhancement",IF(AND(C213&lt;&gt;N213,F213&lt;S213),"Lower Distinctiveness Habitat"&amp;" - "&amp;T213,G213&amp;" - "&amp;T213)))))</f>
        <v/>
      </c>
      <c r="Q213" s="660" t="str">
        <f>IF(N213="","",VLOOKUP(B213,'C-1 Site River Baseline'!$C$10:$AA$257,19,FALSE))</f>
        <v/>
      </c>
      <c r="R213" s="171" t="str">
        <f>IF(N213="","",VLOOKUP(N213,'G-7 Rivers Data'!$B$2:$G$8,2,FALSE))</f>
        <v/>
      </c>
      <c r="S213" s="172" t="str">
        <f>IFERROR(VLOOKUP(R213,'G-7 Rivers Data'!$C$4:$D$8,2,FALSE),"")</f>
        <v/>
      </c>
      <c r="T213" s="173"/>
      <c r="U213" s="172" t="str">
        <f>IFERROR(INDEX('G-7 Rivers Data'!$H$4:$L$8,MATCH(N213,'G-7 Rivers Data'!$B$4:$B$8,0),MATCH(T213,'G-7 Rivers Data'!$H$3:$L$3,0)),"")</f>
        <v/>
      </c>
      <c r="V213" s="186"/>
      <c r="W213" s="175" t="str">
        <f>IF(V213="","",IF(VLOOKUP(V213,'G-7 Rivers Data'!$AG$4:$AI$9,2,FALSE)=0,"Spatial Data Missing",VLOOKUP(V213,'G-7 Rivers Data'!$AG$4:$AI$9,2,FALSE)))</f>
        <v/>
      </c>
      <c r="X213" s="176" t="str">
        <f>IF(V213="","",IF(VLOOKUP(V213,'G-7 Rivers Data'!$AG$4:$AI$9,3,FALSE)=0,"Spatial Data Missing",VLOOKUP(V213,'G-7 Rivers Data'!$AG$4:$AI$9,3,FALSE)))</f>
        <v/>
      </c>
      <c r="Y213" s="171" t="str">
        <f>IFERROR(IF(OR(LEFT(P213,5)="Error",LEFT(O213,5)="Error"),"Check Data",IF(F213&lt;S213,'G-7 Rivers Data'!$R$3,INDEX('G-7 Rivers Data'!$U$5:$Y$9,MATCH(G213,'G-7 Rivers Data'!$T$5:$T$9,0),MATCH(T213,'G-7 Rivers Data'!$U$4:$Y$4,0)))),"")</f>
        <v/>
      </c>
      <c r="Z213" s="261"/>
      <c r="AA213" s="261"/>
      <c r="AB213" s="179" t="str">
        <f t="shared" si="27"/>
        <v/>
      </c>
      <c r="AC213" s="262" t="str">
        <f t="shared" si="28"/>
        <v/>
      </c>
      <c r="AD213" s="382" t="str">
        <f>IFERROR(IF(AC213="Check Data","Check Data",VLOOKUP(AC213,'G-4 Temporal multipliers'!$A$4:$C$37,3,FALSE)),"")</f>
        <v/>
      </c>
      <c r="AE213" s="171" t="str">
        <f>IF(N213="","",VLOOKUP(N213,'G-7 Rivers Data'!$B$4:$G$8,5,FALSE))</f>
        <v/>
      </c>
      <c r="AF213" s="179" t="str">
        <f t="shared" si="29"/>
        <v/>
      </c>
      <c r="AG213" s="269" t="str">
        <f t="shared" si="30"/>
        <v/>
      </c>
      <c r="AH213" s="172" t="str">
        <f t="shared" si="24"/>
        <v/>
      </c>
      <c r="AI213" s="173"/>
      <c r="AJ213" s="172" t="str">
        <f>IF(AI213="","",IF(VLOOKUP(AI213,'G-7 Rivers Data'!$AA$4:$AB$7,2,FALSE)=0,"Spatial Data Missing",VLOOKUP(AI213,'G-7 Rivers Data'!$AA$4:$AB$7,2,FALSE)))</f>
        <v/>
      </c>
      <c r="AK213" s="187"/>
      <c r="AL213" s="172" t="str">
        <f>IF(AK213="","",IF(VLOOKUP(AK213,'G-7 Rivers Data'!$AD$4:$AE$8,2,FALSE)=0,"Spatial Data Missing",VLOOKUP(AK213,'G-7 Rivers Data'!$AD$4:$AE$8,2,FALSE)))</f>
        <v/>
      </c>
      <c r="AM213" s="265" t="str">
        <f t="shared" si="31"/>
        <v/>
      </c>
      <c r="AN213" s="180"/>
      <c r="AO213" s="181"/>
      <c r="AV213" s="35" t="str">
        <f>IFERROR(INDEX('G-7 Rivers Data'!$AZ$3:$AZ$7,MATCH(N213,'G-7 Rivers Data'!$AY$3:$AY$7,0)),"")</f>
        <v/>
      </c>
    </row>
    <row r="214" spans="2:48" ht="13.8" x14ac:dyDescent="0.25">
      <c r="B214" s="259" t="str">
        <f>'C-1 Site River Baseline'!AN212</f>
        <v/>
      </c>
      <c r="C214" s="175" t="str">
        <f>IF(B214="","",VLOOKUP($B214,'C-1 Site River Baseline'!$C$9:$R$257,2,FALSE))</f>
        <v/>
      </c>
      <c r="D214" s="175" t="str">
        <f>IF(C214="","",VLOOKUP($B214,'C-1 Site River Baseline'!$C$9:$R$257,3,FALSE))</f>
        <v/>
      </c>
      <c r="E214" s="175" t="str">
        <f>IF(D214="","",VLOOKUP($B214,'C-1 Site River Baseline'!$C$9:$R$257,4,FALSE))</f>
        <v/>
      </c>
      <c r="F214" s="175" t="str">
        <f>IF(E214="","",VLOOKUP($B214,'C-1 Site River Baseline'!$C$9:$R$257,5,FALSE))</f>
        <v/>
      </c>
      <c r="G214" s="175" t="str">
        <f>IF(F214="","",VLOOKUP($B214,'C-1 Site River Baseline'!$C$9:$R$257,6,FALSE))</f>
        <v/>
      </c>
      <c r="H214" s="175" t="str">
        <f>IF(G214="","",VLOOKUP($B214,'C-1 Site River Baseline'!$C$9:$R$257,7,FALSE))</f>
        <v/>
      </c>
      <c r="I214" s="175" t="str">
        <f>IF(H214="","",VLOOKUP($B214,'C-1 Site River Baseline'!$C$9:$R$257,8,FALSE))</f>
        <v/>
      </c>
      <c r="J214" s="175" t="str">
        <f>IF(I214="","",VLOOKUP($B214,'C-1 Site River Baseline'!$C$9:$R$257,9,FALSE))</f>
        <v/>
      </c>
      <c r="K214" s="175" t="str">
        <f>IF(J214="","",VLOOKUP($B214,'C-1 Site River Baseline'!$C$9:$R$257,10,FALSE))</f>
        <v/>
      </c>
      <c r="L214" s="175" t="str">
        <f>IF(B214="","",VLOOKUP($B214,'C-1 Site River Baseline'!$C$9:$R$257,15,FALSE))</f>
        <v/>
      </c>
      <c r="M214" s="176" t="str">
        <f>IF(L214="","",VLOOKUP($B214,'C-1 Site River Baseline'!$C$9:$R$257,16,FALSE))</f>
        <v/>
      </c>
      <c r="N214" s="639" t="str">
        <f t="shared" si="25"/>
        <v/>
      </c>
      <c r="O214" s="239" t="str">
        <f t="shared" si="26"/>
        <v/>
      </c>
      <c r="P214" s="172" t="str">
        <f>IF(C214="","",IF(AND(LEFT(C214,55)&lt;&gt;LEFT(N214,55),O214="High - High"),"Error - Not like for like",IF(AND(F214=S214,H214&gt;U214),"Error - Can not reduce condition",IF(AND(F214=S214,H214=U214,AJ214='C-1 Site River Baseline'!N212,'C-1 Site River Baseline'!P212=AL214),"Error - No enhancement",IF(AND(C214&lt;&gt;N214,F214&lt;S214),"Lower Distinctiveness Habitat"&amp;" - "&amp;T214,G214&amp;" - "&amp;T214)))))</f>
        <v/>
      </c>
      <c r="Q214" s="660" t="str">
        <f>IF(N214="","",VLOOKUP(B214,'C-1 Site River Baseline'!$C$10:$AA$257,19,FALSE))</f>
        <v/>
      </c>
      <c r="R214" s="171" t="str">
        <f>IF(N214="","",VLOOKUP(N214,'G-7 Rivers Data'!$B$2:$G$8,2,FALSE))</f>
        <v/>
      </c>
      <c r="S214" s="172" t="str">
        <f>IFERROR(VLOOKUP(R214,'G-7 Rivers Data'!$C$4:$D$8,2,FALSE),"")</f>
        <v/>
      </c>
      <c r="T214" s="173"/>
      <c r="U214" s="172" t="str">
        <f>IFERROR(INDEX('G-7 Rivers Data'!$H$4:$L$8,MATCH(N214,'G-7 Rivers Data'!$B$4:$B$8,0),MATCH(T214,'G-7 Rivers Data'!$H$3:$L$3,0)),"")</f>
        <v/>
      </c>
      <c r="V214" s="186"/>
      <c r="W214" s="175" t="str">
        <f>IF(V214="","",IF(VLOOKUP(V214,'G-7 Rivers Data'!$AG$4:$AI$9,2,FALSE)=0,"Spatial Data Missing",VLOOKUP(V214,'G-7 Rivers Data'!$AG$4:$AI$9,2,FALSE)))</f>
        <v/>
      </c>
      <c r="X214" s="176" t="str">
        <f>IF(V214="","",IF(VLOOKUP(V214,'G-7 Rivers Data'!$AG$4:$AI$9,3,FALSE)=0,"Spatial Data Missing",VLOOKUP(V214,'G-7 Rivers Data'!$AG$4:$AI$9,3,FALSE)))</f>
        <v/>
      </c>
      <c r="Y214" s="171" t="str">
        <f>IFERROR(IF(OR(LEFT(P214,5)="Error",LEFT(O214,5)="Error"),"Check Data",IF(F214&lt;S214,'G-7 Rivers Data'!$R$3,INDEX('G-7 Rivers Data'!$U$5:$Y$9,MATCH(G214,'G-7 Rivers Data'!$T$5:$T$9,0),MATCH(T214,'G-7 Rivers Data'!$U$4:$Y$4,0)))),"")</f>
        <v/>
      </c>
      <c r="Z214" s="261"/>
      <c r="AA214" s="261"/>
      <c r="AB214" s="179" t="str">
        <f t="shared" si="27"/>
        <v/>
      </c>
      <c r="AC214" s="262" t="str">
        <f t="shared" si="28"/>
        <v/>
      </c>
      <c r="AD214" s="382" t="str">
        <f>IFERROR(IF(AC214="Check Data","Check Data",VLOOKUP(AC214,'G-4 Temporal multipliers'!$A$4:$C$37,3,FALSE)),"")</f>
        <v/>
      </c>
      <c r="AE214" s="171" t="str">
        <f>IF(N214="","",VLOOKUP(N214,'G-7 Rivers Data'!$B$4:$G$8,5,FALSE))</f>
        <v/>
      </c>
      <c r="AF214" s="179" t="str">
        <f t="shared" si="29"/>
        <v/>
      </c>
      <c r="AG214" s="269" t="str">
        <f t="shared" si="30"/>
        <v/>
      </c>
      <c r="AH214" s="172" t="str">
        <f t="shared" si="24"/>
        <v/>
      </c>
      <c r="AI214" s="173"/>
      <c r="AJ214" s="172" t="str">
        <f>IF(AI214="","",IF(VLOOKUP(AI214,'G-7 Rivers Data'!$AA$4:$AB$7,2,FALSE)=0,"Spatial Data Missing",VLOOKUP(AI214,'G-7 Rivers Data'!$AA$4:$AB$7,2,FALSE)))</f>
        <v/>
      </c>
      <c r="AK214" s="187"/>
      <c r="AL214" s="172" t="str">
        <f>IF(AK214="","",IF(VLOOKUP(AK214,'G-7 Rivers Data'!$AD$4:$AE$8,2,FALSE)=0,"Spatial Data Missing",VLOOKUP(AK214,'G-7 Rivers Data'!$AD$4:$AE$8,2,FALSE)))</f>
        <v/>
      </c>
      <c r="AM214" s="265" t="str">
        <f t="shared" si="31"/>
        <v/>
      </c>
      <c r="AN214" s="180"/>
      <c r="AO214" s="181"/>
      <c r="AV214" s="35" t="str">
        <f>IFERROR(INDEX('G-7 Rivers Data'!$AZ$3:$AZ$7,MATCH(N214,'G-7 Rivers Data'!$AY$3:$AY$7,0)),"")</f>
        <v/>
      </c>
    </row>
    <row r="215" spans="2:48" ht="13.8" x14ac:dyDescent="0.25">
      <c r="B215" s="259" t="str">
        <f>'C-1 Site River Baseline'!AN213</f>
        <v/>
      </c>
      <c r="C215" s="175" t="str">
        <f>IF(B215="","",VLOOKUP($B215,'C-1 Site River Baseline'!$C$9:$R$257,2,FALSE))</f>
        <v/>
      </c>
      <c r="D215" s="175" t="str">
        <f>IF(C215="","",VLOOKUP($B215,'C-1 Site River Baseline'!$C$9:$R$257,3,FALSE))</f>
        <v/>
      </c>
      <c r="E215" s="175" t="str">
        <f>IF(D215="","",VLOOKUP($B215,'C-1 Site River Baseline'!$C$9:$R$257,4,FALSE))</f>
        <v/>
      </c>
      <c r="F215" s="175" t="str">
        <f>IF(E215="","",VLOOKUP($B215,'C-1 Site River Baseline'!$C$9:$R$257,5,FALSE))</f>
        <v/>
      </c>
      <c r="G215" s="175" t="str">
        <f>IF(F215="","",VLOOKUP($B215,'C-1 Site River Baseline'!$C$9:$R$257,6,FALSE))</f>
        <v/>
      </c>
      <c r="H215" s="175" t="str">
        <f>IF(G215="","",VLOOKUP($B215,'C-1 Site River Baseline'!$C$9:$R$257,7,FALSE))</f>
        <v/>
      </c>
      <c r="I215" s="175" t="str">
        <f>IF(H215="","",VLOOKUP($B215,'C-1 Site River Baseline'!$C$9:$R$257,8,FALSE))</f>
        <v/>
      </c>
      <c r="J215" s="175" t="str">
        <f>IF(I215="","",VLOOKUP($B215,'C-1 Site River Baseline'!$C$9:$R$257,9,FALSE))</f>
        <v/>
      </c>
      <c r="K215" s="175" t="str">
        <f>IF(J215="","",VLOOKUP($B215,'C-1 Site River Baseline'!$C$9:$R$257,10,FALSE))</f>
        <v/>
      </c>
      <c r="L215" s="175" t="str">
        <f>IF(B215="","",VLOOKUP($B215,'C-1 Site River Baseline'!$C$9:$R$257,15,FALSE))</f>
        <v/>
      </c>
      <c r="M215" s="176" t="str">
        <f>IF(L215="","",VLOOKUP($B215,'C-1 Site River Baseline'!$C$9:$R$257,16,FALSE))</f>
        <v/>
      </c>
      <c r="N215" s="639" t="str">
        <f t="shared" si="25"/>
        <v/>
      </c>
      <c r="O215" s="239" t="str">
        <f t="shared" si="26"/>
        <v/>
      </c>
      <c r="P215" s="172" t="str">
        <f>IF(C215="","",IF(AND(LEFT(C215,55)&lt;&gt;LEFT(N215,55),O215="High - High"),"Error - Not like for like",IF(AND(F215=S215,H215&gt;U215),"Error - Can not reduce condition",IF(AND(F215=S215,H215=U215,AJ215='C-1 Site River Baseline'!N213,'C-1 Site River Baseline'!P213=AL215),"Error - No enhancement",IF(AND(C215&lt;&gt;N215,F215&lt;S215),"Lower Distinctiveness Habitat"&amp;" - "&amp;T215,G215&amp;" - "&amp;T215)))))</f>
        <v/>
      </c>
      <c r="Q215" s="660" t="str">
        <f>IF(N215="","",VLOOKUP(B215,'C-1 Site River Baseline'!$C$10:$AA$257,19,FALSE))</f>
        <v/>
      </c>
      <c r="R215" s="171" t="str">
        <f>IF(N215="","",VLOOKUP(N215,'G-7 Rivers Data'!$B$2:$G$8,2,FALSE))</f>
        <v/>
      </c>
      <c r="S215" s="172" t="str">
        <f>IFERROR(VLOOKUP(R215,'G-7 Rivers Data'!$C$4:$D$8,2,FALSE),"")</f>
        <v/>
      </c>
      <c r="T215" s="173"/>
      <c r="U215" s="172" t="str">
        <f>IFERROR(INDEX('G-7 Rivers Data'!$H$4:$L$8,MATCH(N215,'G-7 Rivers Data'!$B$4:$B$8,0),MATCH(T215,'G-7 Rivers Data'!$H$3:$L$3,0)),"")</f>
        <v/>
      </c>
      <c r="V215" s="186"/>
      <c r="W215" s="175" t="str">
        <f>IF(V215="","",IF(VLOOKUP(V215,'G-7 Rivers Data'!$AG$4:$AI$9,2,FALSE)=0,"Spatial Data Missing",VLOOKUP(V215,'G-7 Rivers Data'!$AG$4:$AI$9,2,FALSE)))</f>
        <v/>
      </c>
      <c r="X215" s="176" t="str">
        <f>IF(V215="","",IF(VLOOKUP(V215,'G-7 Rivers Data'!$AG$4:$AI$9,3,FALSE)=0,"Spatial Data Missing",VLOOKUP(V215,'G-7 Rivers Data'!$AG$4:$AI$9,3,FALSE)))</f>
        <v/>
      </c>
      <c r="Y215" s="171" t="str">
        <f>IFERROR(IF(OR(LEFT(P215,5)="Error",LEFT(O215,5)="Error"),"Check Data",IF(F215&lt;S215,'G-7 Rivers Data'!$R$3,INDEX('G-7 Rivers Data'!$U$5:$Y$9,MATCH(G215,'G-7 Rivers Data'!$T$5:$T$9,0),MATCH(T215,'G-7 Rivers Data'!$U$4:$Y$4,0)))),"")</f>
        <v/>
      </c>
      <c r="Z215" s="261"/>
      <c r="AA215" s="261"/>
      <c r="AB215" s="179" t="str">
        <f t="shared" si="27"/>
        <v/>
      </c>
      <c r="AC215" s="262" t="str">
        <f t="shared" si="28"/>
        <v/>
      </c>
      <c r="AD215" s="382" t="str">
        <f>IFERROR(IF(AC215="Check Data","Check Data",VLOOKUP(AC215,'G-4 Temporal multipliers'!$A$4:$C$37,3,FALSE)),"")</f>
        <v/>
      </c>
      <c r="AE215" s="171" t="str">
        <f>IF(N215="","",VLOOKUP(N215,'G-7 Rivers Data'!$B$4:$G$8,5,FALSE))</f>
        <v/>
      </c>
      <c r="AF215" s="179" t="str">
        <f t="shared" si="29"/>
        <v/>
      </c>
      <c r="AG215" s="269" t="str">
        <f t="shared" si="30"/>
        <v/>
      </c>
      <c r="AH215" s="172" t="str">
        <f t="shared" si="24"/>
        <v/>
      </c>
      <c r="AI215" s="173"/>
      <c r="AJ215" s="172" t="str">
        <f>IF(AI215="","",IF(VLOOKUP(AI215,'G-7 Rivers Data'!$AA$4:$AB$7,2,FALSE)=0,"Spatial Data Missing",VLOOKUP(AI215,'G-7 Rivers Data'!$AA$4:$AB$7,2,FALSE)))</f>
        <v/>
      </c>
      <c r="AK215" s="187"/>
      <c r="AL215" s="172" t="str">
        <f>IF(AK215="","",IF(VLOOKUP(AK215,'G-7 Rivers Data'!$AD$4:$AE$8,2,FALSE)=0,"Spatial Data Missing",VLOOKUP(AK215,'G-7 Rivers Data'!$AD$4:$AE$8,2,FALSE)))</f>
        <v/>
      </c>
      <c r="AM215" s="265" t="str">
        <f t="shared" si="31"/>
        <v/>
      </c>
      <c r="AN215" s="180"/>
      <c r="AO215" s="181"/>
      <c r="AV215" s="35" t="str">
        <f>IFERROR(INDEX('G-7 Rivers Data'!$AZ$3:$AZ$7,MATCH(N215,'G-7 Rivers Data'!$AY$3:$AY$7,0)),"")</f>
        <v/>
      </c>
    </row>
    <row r="216" spans="2:48" ht="13.8" x14ac:dyDescent="0.25">
      <c r="B216" s="259" t="str">
        <f>'C-1 Site River Baseline'!AN214</f>
        <v/>
      </c>
      <c r="C216" s="175" t="str">
        <f>IF(B216="","",VLOOKUP($B216,'C-1 Site River Baseline'!$C$9:$R$257,2,FALSE))</f>
        <v/>
      </c>
      <c r="D216" s="175" t="str">
        <f>IF(C216="","",VLOOKUP($B216,'C-1 Site River Baseline'!$C$9:$R$257,3,FALSE))</f>
        <v/>
      </c>
      <c r="E216" s="175" t="str">
        <f>IF(D216="","",VLOOKUP($B216,'C-1 Site River Baseline'!$C$9:$R$257,4,FALSE))</f>
        <v/>
      </c>
      <c r="F216" s="175" t="str">
        <f>IF(E216="","",VLOOKUP($B216,'C-1 Site River Baseline'!$C$9:$R$257,5,FALSE))</f>
        <v/>
      </c>
      <c r="G216" s="175" t="str">
        <f>IF(F216="","",VLOOKUP($B216,'C-1 Site River Baseline'!$C$9:$R$257,6,FALSE))</f>
        <v/>
      </c>
      <c r="H216" s="175" t="str">
        <f>IF(G216="","",VLOOKUP($B216,'C-1 Site River Baseline'!$C$9:$R$257,7,FALSE))</f>
        <v/>
      </c>
      <c r="I216" s="175" t="str">
        <f>IF(H216="","",VLOOKUP($B216,'C-1 Site River Baseline'!$C$9:$R$257,8,FALSE))</f>
        <v/>
      </c>
      <c r="J216" s="175" t="str">
        <f>IF(I216="","",VLOOKUP($B216,'C-1 Site River Baseline'!$C$9:$R$257,9,FALSE))</f>
        <v/>
      </c>
      <c r="K216" s="175" t="str">
        <f>IF(J216="","",VLOOKUP($B216,'C-1 Site River Baseline'!$C$9:$R$257,10,FALSE))</f>
        <v/>
      </c>
      <c r="L216" s="175" t="str">
        <f>IF(B216="","",VLOOKUP($B216,'C-1 Site River Baseline'!$C$9:$R$257,15,FALSE))</f>
        <v/>
      </c>
      <c r="M216" s="176" t="str">
        <f>IF(L216="","",VLOOKUP($B216,'C-1 Site River Baseline'!$C$9:$R$257,16,FALSE))</f>
        <v/>
      </c>
      <c r="N216" s="639" t="str">
        <f t="shared" si="25"/>
        <v/>
      </c>
      <c r="O216" s="239" t="str">
        <f t="shared" si="26"/>
        <v/>
      </c>
      <c r="P216" s="172" t="str">
        <f>IF(C216="","",IF(AND(LEFT(C216,55)&lt;&gt;LEFT(N216,55),O216="High - High"),"Error - Not like for like",IF(AND(F216=S216,H216&gt;U216),"Error - Can not reduce condition",IF(AND(F216=S216,H216=U216,AJ216='C-1 Site River Baseline'!N214,'C-1 Site River Baseline'!P214=AL216),"Error - No enhancement",IF(AND(C216&lt;&gt;N216,F216&lt;S216),"Lower Distinctiveness Habitat"&amp;" - "&amp;T216,G216&amp;" - "&amp;T216)))))</f>
        <v/>
      </c>
      <c r="Q216" s="660" t="str">
        <f>IF(N216="","",VLOOKUP(B216,'C-1 Site River Baseline'!$C$10:$AA$257,19,FALSE))</f>
        <v/>
      </c>
      <c r="R216" s="171" t="str">
        <f>IF(N216="","",VLOOKUP(N216,'G-7 Rivers Data'!$B$2:$G$8,2,FALSE))</f>
        <v/>
      </c>
      <c r="S216" s="172" t="str">
        <f>IFERROR(VLOOKUP(R216,'G-7 Rivers Data'!$C$4:$D$8,2,FALSE),"")</f>
        <v/>
      </c>
      <c r="T216" s="173"/>
      <c r="U216" s="172" t="str">
        <f>IFERROR(INDEX('G-7 Rivers Data'!$H$4:$L$8,MATCH(N216,'G-7 Rivers Data'!$B$4:$B$8,0),MATCH(T216,'G-7 Rivers Data'!$H$3:$L$3,0)),"")</f>
        <v/>
      </c>
      <c r="V216" s="186"/>
      <c r="W216" s="175" t="str">
        <f>IF(V216="","",IF(VLOOKUP(V216,'G-7 Rivers Data'!$AG$4:$AI$9,2,FALSE)=0,"Spatial Data Missing",VLOOKUP(V216,'G-7 Rivers Data'!$AG$4:$AI$9,2,FALSE)))</f>
        <v/>
      </c>
      <c r="X216" s="176" t="str">
        <f>IF(V216="","",IF(VLOOKUP(V216,'G-7 Rivers Data'!$AG$4:$AI$9,3,FALSE)=0,"Spatial Data Missing",VLOOKUP(V216,'G-7 Rivers Data'!$AG$4:$AI$9,3,FALSE)))</f>
        <v/>
      </c>
      <c r="Y216" s="171" t="str">
        <f>IFERROR(IF(OR(LEFT(P216,5)="Error",LEFT(O216,5)="Error"),"Check Data",IF(F216&lt;S216,'G-7 Rivers Data'!$R$3,INDEX('G-7 Rivers Data'!$U$5:$Y$9,MATCH(G216,'G-7 Rivers Data'!$T$5:$T$9,0),MATCH(T216,'G-7 Rivers Data'!$U$4:$Y$4,0)))),"")</f>
        <v/>
      </c>
      <c r="Z216" s="261"/>
      <c r="AA216" s="261"/>
      <c r="AB216" s="179" t="str">
        <f t="shared" si="27"/>
        <v/>
      </c>
      <c r="AC216" s="262" t="str">
        <f t="shared" si="28"/>
        <v/>
      </c>
      <c r="AD216" s="382" t="str">
        <f>IFERROR(IF(AC216="Check Data","Check Data",VLOOKUP(AC216,'G-4 Temporal multipliers'!$A$4:$C$37,3,FALSE)),"")</f>
        <v/>
      </c>
      <c r="AE216" s="171" t="str">
        <f>IF(N216="","",VLOOKUP(N216,'G-7 Rivers Data'!$B$4:$G$8,5,FALSE))</f>
        <v/>
      </c>
      <c r="AF216" s="179" t="str">
        <f t="shared" si="29"/>
        <v/>
      </c>
      <c r="AG216" s="269" t="str">
        <f t="shared" si="30"/>
        <v/>
      </c>
      <c r="AH216" s="172" t="str">
        <f t="shared" si="24"/>
        <v/>
      </c>
      <c r="AI216" s="173"/>
      <c r="AJ216" s="172" t="str">
        <f>IF(AI216="","",IF(VLOOKUP(AI216,'G-7 Rivers Data'!$AA$4:$AB$7,2,FALSE)=0,"Spatial Data Missing",VLOOKUP(AI216,'G-7 Rivers Data'!$AA$4:$AB$7,2,FALSE)))</f>
        <v/>
      </c>
      <c r="AK216" s="187"/>
      <c r="AL216" s="172" t="str">
        <f>IF(AK216="","",IF(VLOOKUP(AK216,'G-7 Rivers Data'!$AD$4:$AE$8,2,FALSE)=0,"Spatial Data Missing",VLOOKUP(AK216,'G-7 Rivers Data'!$AD$4:$AE$8,2,FALSE)))</f>
        <v/>
      </c>
      <c r="AM216" s="265" t="str">
        <f t="shared" si="31"/>
        <v/>
      </c>
      <c r="AN216" s="180"/>
      <c r="AO216" s="181"/>
      <c r="AV216" s="35" t="str">
        <f>IFERROR(INDEX('G-7 Rivers Data'!$AZ$3:$AZ$7,MATCH(N216,'G-7 Rivers Data'!$AY$3:$AY$7,0)),"")</f>
        <v/>
      </c>
    </row>
    <row r="217" spans="2:48" ht="13.8" x14ac:dyDescent="0.25">
      <c r="B217" s="259" t="str">
        <f>'C-1 Site River Baseline'!AN215</f>
        <v/>
      </c>
      <c r="C217" s="175" t="str">
        <f>IF(B217="","",VLOOKUP($B217,'C-1 Site River Baseline'!$C$9:$R$257,2,FALSE))</f>
        <v/>
      </c>
      <c r="D217" s="175" t="str">
        <f>IF(C217="","",VLOOKUP($B217,'C-1 Site River Baseline'!$C$9:$R$257,3,FALSE))</f>
        <v/>
      </c>
      <c r="E217" s="175" t="str">
        <f>IF(D217="","",VLOOKUP($B217,'C-1 Site River Baseline'!$C$9:$R$257,4,FALSE))</f>
        <v/>
      </c>
      <c r="F217" s="175" t="str">
        <f>IF(E217="","",VLOOKUP($B217,'C-1 Site River Baseline'!$C$9:$R$257,5,FALSE))</f>
        <v/>
      </c>
      <c r="G217" s="175" t="str">
        <f>IF(F217="","",VLOOKUP($B217,'C-1 Site River Baseline'!$C$9:$R$257,6,FALSE))</f>
        <v/>
      </c>
      <c r="H217" s="175" t="str">
        <f>IF(G217="","",VLOOKUP($B217,'C-1 Site River Baseline'!$C$9:$R$257,7,FALSE))</f>
        <v/>
      </c>
      <c r="I217" s="175" t="str">
        <f>IF(H217="","",VLOOKUP($B217,'C-1 Site River Baseline'!$C$9:$R$257,8,FALSE))</f>
        <v/>
      </c>
      <c r="J217" s="175" t="str">
        <f>IF(I217="","",VLOOKUP($B217,'C-1 Site River Baseline'!$C$9:$R$257,9,FALSE))</f>
        <v/>
      </c>
      <c r="K217" s="175" t="str">
        <f>IF(J217="","",VLOOKUP($B217,'C-1 Site River Baseline'!$C$9:$R$257,10,FALSE))</f>
        <v/>
      </c>
      <c r="L217" s="175" t="str">
        <f>IF(B217="","",VLOOKUP($B217,'C-1 Site River Baseline'!$C$9:$R$257,15,FALSE))</f>
        <v/>
      </c>
      <c r="M217" s="176" t="str">
        <f>IF(L217="","",VLOOKUP($B217,'C-1 Site River Baseline'!$C$9:$R$257,16,FALSE))</f>
        <v/>
      </c>
      <c r="N217" s="639" t="str">
        <f t="shared" si="25"/>
        <v/>
      </c>
      <c r="O217" s="239" t="str">
        <f t="shared" si="26"/>
        <v/>
      </c>
      <c r="P217" s="172" t="str">
        <f>IF(C217="","",IF(AND(LEFT(C217,55)&lt;&gt;LEFT(N217,55),O217="High - High"),"Error - Not like for like",IF(AND(F217=S217,H217&gt;U217),"Error - Can not reduce condition",IF(AND(F217=S217,H217=U217,AJ217='C-1 Site River Baseline'!N215,'C-1 Site River Baseline'!P215=AL217),"Error - No enhancement",IF(AND(C217&lt;&gt;N217,F217&lt;S217),"Lower Distinctiveness Habitat"&amp;" - "&amp;T217,G217&amp;" - "&amp;T217)))))</f>
        <v/>
      </c>
      <c r="Q217" s="660" t="str">
        <f>IF(N217="","",VLOOKUP(B217,'C-1 Site River Baseline'!$C$10:$AA$257,19,FALSE))</f>
        <v/>
      </c>
      <c r="R217" s="171" t="str">
        <f>IF(N217="","",VLOOKUP(N217,'G-7 Rivers Data'!$B$2:$G$8,2,FALSE))</f>
        <v/>
      </c>
      <c r="S217" s="172" t="str">
        <f>IFERROR(VLOOKUP(R217,'G-7 Rivers Data'!$C$4:$D$8,2,FALSE),"")</f>
        <v/>
      </c>
      <c r="T217" s="173"/>
      <c r="U217" s="172" t="str">
        <f>IFERROR(INDEX('G-7 Rivers Data'!$H$4:$L$8,MATCH(N217,'G-7 Rivers Data'!$B$4:$B$8,0),MATCH(T217,'G-7 Rivers Data'!$H$3:$L$3,0)),"")</f>
        <v/>
      </c>
      <c r="V217" s="186"/>
      <c r="W217" s="175" t="str">
        <f>IF(V217="","",IF(VLOOKUP(V217,'G-7 Rivers Data'!$AG$4:$AI$9,2,FALSE)=0,"Spatial Data Missing",VLOOKUP(V217,'G-7 Rivers Data'!$AG$4:$AI$9,2,FALSE)))</f>
        <v/>
      </c>
      <c r="X217" s="176" t="str">
        <f>IF(V217="","",IF(VLOOKUP(V217,'G-7 Rivers Data'!$AG$4:$AI$9,3,FALSE)=0,"Spatial Data Missing",VLOOKUP(V217,'G-7 Rivers Data'!$AG$4:$AI$9,3,FALSE)))</f>
        <v/>
      </c>
      <c r="Y217" s="171" t="str">
        <f>IFERROR(IF(OR(LEFT(P217,5)="Error",LEFT(O217,5)="Error"),"Check Data",IF(F217&lt;S217,'G-7 Rivers Data'!$R$3,INDEX('G-7 Rivers Data'!$U$5:$Y$9,MATCH(G217,'G-7 Rivers Data'!$T$5:$T$9,0),MATCH(T217,'G-7 Rivers Data'!$U$4:$Y$4,0)))),"")</f>
        <v/>
      </c>
      <c r="Z217" s="261"/>
      <c r="AA217" s="261"/>
      <c r="AB217" s="179" t="str">
        <f t="shared" si="27"/>
        <v/>
      </c>
      <c r="AC217" s="262" t="str">
        <f t="shared" si="28"/>
        <v/>
      </c>
      <c r="AD217" s="382" t="str">
        <f>IFERROR(IF(AC217="Check Data","Check Data",VLOOKUP(AC217,'G-4 Temporal multipliers'!$A$4:$C$37,3,FALSE)),"")</f>
        <v/>
      </c>
      <c r="AE217" s="171" t="str">
        <f>IF(N217="","",VLOOKUP(N217,'G-7 Rivers Data'!$B$4:$G$8,5,FALSE))</f>
        <v/>
      </c>
      <c r="AF217" s="179" t="str">
        <f t="shared" si="29"/>
        <v/>
      </c>
      <c r="AG217" s="269" t="str">
        <f t="shared" si="30"/>
        <v/>
      </c>
      <c r="AH217" s="172" t="str">
        <f t="shared" si="24"/>
        <v/>
      </c>
      <c r="AI217" s="173"/>
      <c r="AJ217" s="172" t="str">
        <f>IF(AI217="","",IF(VLOOKUP(AI217,'G-7 Rivers Data'!$AA$4:$AB$7,2,FALSE)=0,"Spatial Data Missing",VLOOKUP(AI217,'G-7 Rivers Data'!$AA$4:$AB$7,2,FALSE)))</f>
        <v/>
      </c>
      <c r="AK217" s="187"/>
      <c r="AL217" s="172" t="str">
        <f>IF(AK217="","",IF(VLOOKUP(AK217,'G-7 Rivers Data'!$AD$4:$AE$8,2,FALSE)=0,"Spatial Data Missing",VLOOKUP(AK217,'G-7 Rivers Data'!$AD$4:$AE$8,2,FALSE)))</f>
        <v/>
      </c>
      <c r="AM217" s="265" t="str">
        <f t="shared" si="31"/>
        <v/>
      </c>
      <c r="AN217" s="180"/>
      <c r="AO217" s="181"/>
      <c r="AV217" s="35" t="str">
        <f>IFERROR(INDEX('G-7 Rivers Data'!$AZ$3:$AZ$7,MATCH(N217,'G-7 Rivers Data'!$AY$3:$AY$7,0)),"")</f>
        <v/>
      </c>
    </row>
    <row r="218" spans="2:48" ht="13.8" x14ac:dyDescent="0.25">
      <c r="B218" s="259" t="str">
        <f>'C-1 Site River Baseline'!AN216</f>
        <v/>
      </c>
      <c r="C218" s="175" t="str">
        <f>IF(B218="","",VLOOKUP($B218,'C-1 Site River Baseline'!$C$9:$R$257,2,FALSE))</f>
        <v/>
      </c>
      <c r="D218" s="175" t="str">
        <f>IF(C218="","",VLOOKUP($B218,'C-1 Site River Baseline'!$C$9:$R$257,3,FALSE))</f>
        <v/>
      </c>
      <c r="E218" s="175" t="str">
        <f>IF(D218="","",VLOOKUP($B218,'C-1 Site River Baseline'!$C$9:$R$257,4,FALSE))</f>
        <v/>
      </c>
      <c r="F218" s="175" t="str">
        <f>IF(E218="","",VLOOKUP($B218,'C-1 Site River Baseline'!$C$9:$R$257,5,FALSE))</f>
        <v/>
      </c>
      <c r="G218" s="175" t="str">
        <f>IF(F218="","",VLOOKUP($B218,'C-1 Site River Baseline'!$C$9:$R$257,6,FALSE))</f>
        <v/>
      </c>
      <c r="H218" s="175" t="str">
        <f>IF(G218="","",VLOOKUP($B218,'C-1 Site River Baseline'!$C$9:$R$257,7,FALSE))</f>
        <v/>
      </c>
      <c r="I218" s="175" t="str">
        <f>IF(H218="","",VLOOKUP($B218,'C-1 Site River Baseline'!$C$9:$R$257,8,FALSE))</f>
        <v/>
      </c>
      <c r="J218" s="175" t="str">
        <f>IF(I218="","",VLOOKUP($B218,'C-1 Site River Baseline'!$C$9:$R$257,9,FALSE))</f>
        <v/>
      </c>
      <c r="K218" s="175" t="str">
        <f>IF(J218="","",VLOOKUP($B218,'C-1 Site River Baseline'!$C$9:$R$257,10,FALSE))</f>
        <v/>
      </c>
      <c r="L218" s="175" t="str">
        <f>IF(B218="","",VLOOKUP($B218,'C-1 Site River Baseline'!$C$9:$R$257,15,FALSE))</f>
        <v/>
      </c>
      <c r="M218" s="176" t="str">
        <f>IF(L218="","",VLOOKUP($B218,'C-1 Site River Baseline'!$C$9:$R$257,16,FALSE))</f>
        <v/>
      </c>
      <c r="N218" s="639" t="str">
        <f t="shared" si="25"/>
        <v/>
      </c>
      <c r="O218" s="239" t="str">
        <f t="shared" si="26"/>
        <v/>
      </c>
      <c r="P218" s="172" t="str">
        <f>IF(C218="","",IF(AND(LEFT(C218,55)&lt;&gt;LEFT(N218,55),O218="High - High"),"Error - Not like for like",IF(AND(F218=S218,H218&gt;U218),"Error - Can not reduce condition",IF(AND(F218=S218,H218=U218,AJ218='C-1 Site River Baseline'!N216,'C-1 Site River Baseline'!P216=AL218),"Error - No enhancement",IF(AND(C218&lt;&gt;N218,F218&lt;S218),"Lower Distinctiveness Habitat"&amp;" - "&amp;T218,G218&amp;" - "&amp;T218)))))</f>
        <v/>
      </c>
      <c r="Q218" s="660" t="str">
        <f>IF(N218="","",VLOOKUP(B218,'C-1 Site River Baseline'!$C$10:$AA$257,19,FALSE))</f>
        <v/>
      </c>
      <c r="R218" s="171" t="str">
        <f>IF(N218="","",VLOOKUP(N218,'G-7 Rivers Data'!$B$2:$G$8,2,FALSE))</f>
        <v/>
      </c>
      <c r="S218" s="172" t="str">
        <f>IFERROR(VLOOKUP(R218,'G-7 Rivers Data'!$C$4:$D$8,2,FALSE),"")</f>
        <v/>
      </c>
      <c r="T218" s="173"/>
      <c r="U218" s="172" t="str">
        <f>IFERROR(INDEX('G-7 Rivers Data'!$H$4:$L$8,MATCH(N218,'G-7 Rivers Data'!$B$4:$B$8,0),MATCH(T218,'G-7 Rivers Data'!$H$3:$L$3,0)),"")</f>
        <v/>
      </c>
      <c r="V218" s="186"/>
      <c r="W218" s="175" t="str">
        <f>IF(V218="","",IF(VLOOKUP(V218,'G-7 Rivers Data'!$AG$4:$AI$9,2,FALSE)=0,"Spatial Data Missing",VLOOKUP(V218,'G-7 Rivers Data'!$AG$4:$AI$9,2,FALSE)))</f>
        <v/>
      </c>
      <c r="X218" s="176" t="str">
        <f>IF(V218="","",IF(VLOOKUP(V218,'G-7 Rivers Data'!$AG$4:$AI$9,3,FALSE)=0,"Spatial Data Missing",VLOOKUP(V218,'G-7 Rivers Data'!$AG$4:$AI$9,3,FALSE)))</f>
        <v/>
      </c>
      <c r="Y218" s="171" t="str">
        <f>IFERROR(IF(OR(LEFT(P218,5)="Error",LEFT(O218,5)="Error"),"Check Data",IF(F218&lt;S218,'G-7 Rivers Data'!$R$3,INDEX('G-7 Rivers Data'!$U$5:$Y$9,MATCH(G218,'G-7 Rivers Data'!$T$5:$T$9,0),MATCH(T218,'G-7 Rivers Data'!$U$4:$Y$4,0)))),"")</f>
        <v/>
      </c>
      <c r="Z218" s="261"/>
      <c r="AA218" s="261"/>
      <c r="AB218" s="179" t="str">
        <f t="shared" si="27"/>
        <v/>
      </c>
      <c r="AC218" s="262" t="str">
        <f t="shared" si="28"/>
        <v/>
      </c>
      <c r="AD218" s="382" t="str">
        <f>IFERROR(IF(AC218="Check Data","Check Data",VLOOKUP(AC218,'G-4 Temporal multipliers'!$A$4:$C$37,3,FALSE)),"")</f>
        <v/>
      </c>
      <c r="AE218" s="171" t="str">
        <f>IF(N218="","",VLOOKUP(N218,'G-7 Rivers Data'!$B$4:$G$8,5,FALSE))</f>
        <v/>
      </c>
      <c r="AF218" s="179" t="str">
        <f t="shared" si="29"/>
        <v/>
      </c>
      <c r="AG218" s="269" t="str">
        <f t="shared" si="30"/>
        <v/>
      </c>
      <c r="AH218" s="172" t="str">
        <f t="shared" si="24"/>
        <v/>
      </c>
      <c r="AI218" s="173"/>
      <c r="AJ218" s="172" t="str">
        <f>IF(AI218="","",IF(VLOOKUP(AI218,'G-7 Rivers Data'!$AA$4:$AB$7,2,FALSE)=0,"Spatial Data Missing",VLOOKUP(AI218,'G-7 Rivers Data'!$AA$4:$AB$7,2,FALSE)))</f>
        <v/>
      </c>
      <c r="AK218" s="187"/>
      <c r="AL218" s="172" t="str">
        <f>IF(AK218="","",IF(VLOOKUP(AK218,'G-7 Rivers Data'!$AD$4:$AE$8,2,FALSE)=0,"Spatial Data Missing",VLOOKUP(AK218,'G-7 Rivers Data'!$AD$4:$AE$8,2,FALSE)))</f>
        <v/>
      </c>
      <c r="AM218" s="265" t="str">
        <f t="shared" si="31"/>
        <v/>
      </c>
      <c r="AN218" s="180"/>
      <c r="AO218" s="181"/>
      <c r="AV218" s="35" t="str">
        <f>IFERROR(INDEX('G-7 Rivers Data'!$AZ$3:$AZ$7,MATCH(N218,'G-7 Rivers Data'!$AY$3:$AY$7,0)),"")</f>
        <v/>
      </c>
    </row>
    <row r="219" spans="2:48" ht="13.8" x14ac:dyDescent="0.25">
      <c r="B219" s="259" t="str">
        <f>'C-1 Site River Baseline'!AN217</f>
        <v/>
      </c>
      <c r="C219" s="175" t="str">
        <f>IF(B219="","",VLOOKUP($B219,'C-1 Site River Baseline'!$C$9:$R$257,2,FALSE))</f>
        <v/>
      </c>
      <c r="D219" s="175" t="str">
        <f>IF(C219="","",VLOOKUP($B219,'C-1 Site River Baseline'!$C$9:$R$257,3,FALSE))</f>
        <v/>
      </c>
      <c r="E219" s="175" t="str">
        <f>IF(D219="","",VLOOKUP($B219,'C-1 Site River Baseline'!$C$9:$R$257,4,FALSE))</f>
        <v/>
      </c>
      <c r="F219" s="175" t="str">
        <f>IF(E219="","",VLOOKUP($B219,'C-1 Site River Baseline'!$C$9:$R$257,5,FALSE))</f>
        <v/>
      </c>
      <c r="G219" s="175" t="str">
        <f>IF(F219="","",VLOOKUP($B219,'C-1 Site River Baseline'!$C$9:$R$257,6,FALSE))</f>
        <v/>
      </c>
      <c r="H219" s="175" t="str">
        <f>IF(G219="","",VLOOKUP($B219,'C-1 Site River Baseline'!$C$9:$R$257,7,FALSE))</f>
        <v/>
      </c>
      <c r="I219" s="175" t="str">
        <f>IF(H219="","",VLOOKUP($B219,'C-1 Site River Baseline'!$C$9:$R$257,8,FALSE))</f>
        <v/>
      </c>
      <c r="J219" s="175" t="str">
        <f>IF(I219="","",VLOOKUP($B219,'C-1 Site River Baseline'!$C$9:$R$257,9,FALSE))</f>
        <v/>
      </c>
      <c r="K219" s="175" t="str">
        <f>IF(J219="","",VLOOKUP($B219,'C-1 Site River Baseline'!$C$9:$R$257,10,FALSE))</f>
        <v/>
      </c>
      <c r="L219" s="175" t="str">
        <f>IF(B219="","",VLOOKUP($B219,'C-1 Site River Baseline'!$C$9:$R$257,15,FALSE))</f>
        <v/>
      </c>
      <c r="M219" s="176" t="str">
        <f>IF(L219="","",VLOOKUP($B219,'C-1 Site River Baseline'!$C$9:$R$257,16,FALSE))</f>
        <v/>
      </c>
      <c r="N219" s="639" t="str">
        <f t="shared" si="25"/>
        <v/>
      </c>
      <c r="O219" s="239" t="str">
        <f t="shared" si="26"/>
        <v/>
      </c>
      <c r="P219" s="172" t="str">
        <f>IF(C219="","",IF(AND(LEFT(C219,55)&lt;&gt;LEFT(N219,55),O219="High - High"),"Error - Not like for like",IF(AND(F219=S219,H219&gt;U219),"Error - Can not reduce condition",IF(AND(F219=S219,H219=U219,AJ219='C-1 Site River Baseline'!N217,'C-1 Site River Baseline'!P217=AL219),"Error - No enhancement",IF(AND(C219&lt;&gt;N219,F219&lt;S219),"Lower Distinctiveness Habitat"&amp;" - "&amp;T219,G219&amp;" - "&amp;T219)))))</f>
        <v/>
      </c>
      <c r="Q219" s="660" t="str">
        <f>IF(N219="","",VLOOKUP(B219,'C-1 Site River Baseline'!$C$10:$AA$257,19,FALSE))</f>
        <v/>
      </c>
      <c r="R219" s="171" t="str">
        <f>IF(N219="","",VLOOKUP(N219,'G-7 Rivers Data'!$B$2:$G$8,2,FALSE))</f>
        <v/>
      </c>
      <c r="S219" s="172" t="str">
        <f>IFERROR(VLOOKUP(R219,'G-7 Rivers Data'!$C$4:$D$8,2,FALSE),"")</f>
        <v/>
      </c>
      <c r="T219" s="173"/>
      <c r="U219" s="172" t="str">
        <f>IFERROR(INDEX('G-7 Rivers Data'!$H$4:$L$8,MATCH(N219,'G-7 Rivers Data'!$B$4:$B$8,0),MATCH(T219,'G-7 Rivers Data'!$H$3:$L$3,0)),"")</f>
        <v/>
      </c>
      <c r="V219" s="186"/>
      <c r="W219" s="175" t="str">
        <f>IF(V219="","",IF(VLOOKUP(V219,'G-7 Rivers Data'!$AG$4:$AI$9,2,FALSE)=0,"Spatial Data Missing",VLOOKUP(V219,'G-7 Rivers Data'!$AG$4:$AI$9,2,FALSE)))</f>
        <v/>
      </c>
      <c r="X219" s="176" t="str">
        <f>IF(V219="","",IF(VLOOKUP(V219,'G-7 Rivers Data'!$AG$4:$AI$9,3,FALSE)=0,"Spatial Data Missing",VLOOKUP(V219,'G-7 Rivers Data'!$AG$4:$AI$9,3,FALSE)))</f>
        <v/>
      </c>
      <c r="Y219" s="171" t="str">
        <f>IFERROR(IF(OR(LEFT(P219,5)="Error",LEFT(O219,5)="Error"),"Check Data",IF(F219&lt;S219,'G-7 Rivers Data'!$R$3,INDEX('G-7 Rivers Data'!$U$5:$Y$9,MATCH(G219,'G-7 Rivers Data'!$T$5:$T$9,0),MATCH(T219,'G-7 Rivers Data'!$U$4:$Y$4,0)))),"")</f>
        <v/>
      </c>
      <c r="Z219" s="261"/>
      <c r="AA219" s="261"/>
      <c r="AB219" s="179" t="str">
        <f t="shared" si="27"/>
        <v/>
      </c>
      <c r="AC219" s="262" t="str">
        <f t="shared" si="28"/>
        <v/>
      </c>
      <c r="AD219" s="382" t="str">
        <f>IFERROR(IF(AC219="Check Data","Check Data",VLOOKUP(AC219,'G-4 Temporal multipliers'!$A$4:$C$37,3,FALSE)),"")</f>
        <v/>
      </c>
      <c r="AE219" s="171" t="str">
        <f>IF(N219="","",VLOOKUP(N219,'G-7 Rivers Data'!$B$4:$G$8,5,FALSE))</f>
        <v/>
      </c>
      <c r="AF219" s="179" t="str">
        <f t="shared" si="29"/>
        <v/>
      </c>
      <c r="AG219" s="269" t="str">
        <f t="shared" si="30"/>
        <v/>
      </c>
      <c r="AH219" s="172" t="str">
        <f t="shared" si="24"/>
        <v/>
      </c>
      <c r="AI219" s="173"/>
      <c r="AJ219" s="172" t="str">
        <f>IF(AI219="","",IF(VLOOKUP(AI219,'G-7 Rivers Data'!$AA$4:$AB$7,2,FALSE)=0,"Spatial Data Missing",VLOOKUP(AI219,'G-7 Rivers Data'!$AA$4:$AB$7,2,FALSE)))</f>
        <v/>
      </c>
      <c r="AK219" s="187"/>
      <c r="AL219" s="172" t="str">
        <f>IF(AK219="","",IF(VLOOKUP(AK219,'G-7 Rivers Data'!$AD$4:$AE$8,2,FALSE)=0,"Spatial Data Missing",VLOOKUP(AK219,'G-7 Rivers Data'!$AD$4:$AE$8,2,FALSE)))</f>
        <v/>
      </c>
      <c r="AM219" s="265" t="str">
        <f t="shared" si="31"/>
        <v/>
      </c>
      <c r="AN219" s="180"/>
      <c r="AO219" s="181"/>
      <c r="AV219" s="35" t="str">
        <f>IFERROR(INDEX('G-7 Rivers Data'!$AZ$3:$AZ$7,MATCH(N219,'G-7 Rivers Data'!$AY$3:$AY$7,0)),"")</f>
        <v/>
      </c>
    </row>
    <row r="220" spans="2:48" ht="13.8" x14ac:dyDescent="0.25">
      <c r="B220" s="259" t="str">
        <f>'C-1 Site River Baseline'!AN218</f>
        <v/>
      </c>
      <c r="C220" s="175" t="str">
        <f>IF(B220="","",VLOOKUP($B220,'C-1 Site River Baseline'!$C$9:$R$257,2,FALSE))</f>
        <v/>
      </c>
      <c r="D220" s="175" t="str">
        <f>IF(C220="","",VLOOKUP($B220,'C-1 Site River Baseline'!$C$9:$R$257,3,FALSE))</f>
        <v/>
      </c>
      <c r="E220" s="175" t="str">
        <f>IF(D220="","",VLOOKUP($B220,'C-1 Site River Baseline'!$C$9:$R$257,4,FALSE))</f>
        <v/>
      </c>
      <c r="F220" s="175" t="str">
        <f>IF(E220="","",VLOOKUP($B220,'C-1 Site River Baseline'!$C$9:$R$257,5,FALSE))</f>
        <v/>
      </c>
      <c r="G220" s="175" t="str">
        <f>IF(F220="","",VLOOKUP($B220,'C-1 Site River Baseline'!$C$9:$R$257,6,FALSE))</f>
        <v/>
      </c>
      <c r="H220" s="175" t="str">
        <f>IF(G220="","",VLOOKUP($B220,'C-1 Site River Baseline'!$C$9:$R$257,7,FALSE))</f>
        <v/>
      </c>
      <c r="I220" s="175" t="str">
        <f>IF(H220="","",VLOOKUP($B220,'C-1 Site River Baseline'!$C$9:$R$257,8,FALSE))</f>
        <v/>
      </c>
      <c r="J220" s="175" t="str">
        <f>IF(I220="","",VLOOKUP($B220,'C-1 Site River Baseline'!$C$9:$R$257,9,FALSE))</f>
        <v/>
      </c>
      <c r="K220" s="175" t="str">
        <f>IF(J220="","",VLOOKUP($B220,'C-1 Site River Baseline'!$C$9:$R$257,10,FALSE))</f>
        <v/>
      </c>
      <c r="L220" s="175" t="str">
        <f>IF(B220="","",VLOOKUP($B220,'C-1 Site River Baseline'!$C$9:$R$257,15,FALSE))</f>
        <v/>
      </c>
      <c r="M220" s="176" t="str">
        <f>IF(L220="","",VLOOKUP($B220,'C-1 Site River Baseline'!$C$9:$R$257,16,FALSE))</f>
        <v/>
      </c>
      <c r="N220" s="639" t="str">
        <f t="shared" si="25"/>
        <v/>
      </c>
      <c r="O220" s="239" t="str">
        <f t="shared" si="26"/>
        <v/>
      </c>
      <c r="P220" s="172" t="str">
        <f>IF(C220="","",IF(AND(LEFT(C220,55)&lt;&gt;LEFT(N220,55),O220="High - High"),"Error - Not like for like",IF(AND(F220=S220,H220&gt;U220),"Error - Can not reduce condition",IF(AND(F220=S220,H220=U220,AJ220='C-1 Site River Baseline'!N218,'C-1 Site River Baseline'!P218=AL220),"Error - No enhancement",IF(AND(C220&lt;&gt;N220,F220&lt;S220),"Lower Distinctiveness Habitat"&amp;" - "&amp;T220,G220&amp;" - "&amp;T220)))))</f>
        <v/>
      </c>
      <c r="Q220" s="660" t="str">
        <f>IF(N220="","",VLOOKUP(B220,'C-1 Site River Baseline'!$C$10:$AA$257,19,FALSE))</f>
        <v/>
      </c>
      <c r="R220" s="171" t="str">
        <f>IF(N220="","",VLOOKUP(N220,'G-7 Rivers Data'!$B$2:$G$8,2,FALSE))</f>
        <v/>
      </c>
      <c r="S220" s="172" t="str">
        <f>IFERROR(VLOOKUP(R220,'G-7 Rivers Data'!$C$4:$D$8,2,FALSE),"")</f>
        <v/>
      </c>
      <c r="T220" s="173"/>
      <c r="U220" s="172" t="str">
        <f>IFERROR(INDEX('G-7 Rivers Data'!$H$4:$L$8,MATCH(N220,'G-7 Rivers Data'!$B$4:$B$8,0),MATCH(T220,'G-7 Rivers Data'!$H$3:$L$3,0)),"")</f>
        <v/>
      </c>
      <c r="V220" s="186"/>
      <c r="W220" s="175" t="str">
        <f>IF(V220="","",IF(VLOOKUP(V220,'G-7 Rivers Data'!$AG$4:$AI$9,2,FALSE)=0,"Spatial Data Missing",VLOOKUP(V220,'G-7 Rivers Data'!$AG$4:$AI$9,2,FALSE)))</f>
        <v/>
      </c>
      <c r="X220" s="176" t="str">
        <f>IF(V220="","",IF(VLOOKUP(V220,'G-7 Rivers Data'!$AG$4:$AI$9,3,FALSE)=0,"Spatial Data Missing",VLOOKUP(V220,'G-7 Rivers Data'!$AG$4:$AI$9,3,FALSE)))</f>
        <v/>
      </c>
      <c r="Y220" s="171" t="str">
        <f>IFERROR(IF(OR(LEFT(P220,5)="Error",LEFT(O220,5)="Error"),"Check Data",IF(F220&lt;S220,'G-7 Rivers Data'!$R$3,INDEX('G-7 Rivers Data'!$U$5:$Y$9,MATCH(G220,'G-7 Rivers Data'!$T$5:$T$9,0),MATCH(T220,'G-7 Rivers Data'!$U$4:$Y$4,0)))),"")</f>
        <v/>
      </c>
      <c r="Z220" s="261"/>
      <c r="AA220" s="261"/>
      <c r="AB220" s="179" t="str">
        <f t="shared" si="27"/>
        <v/>
      </c>
      <c r="AC220" s="262" t="str">
        <f t="shared" si="28"/>
        <v/>
      </c>
      <c r="AD220" s="382" t="str">
        <f>IFERROR(IF(AC220="Check Data","Check Data",VLOOKUP(AC220,'G-4 Temporal multipliers'!$A$4:$C$37,3,FALSE)),"")</f>
        <v/>
      </c>
      <c r="AE220" s="171" t="str">
        <f>IF(N220="","",VLOOKUP(N220,'G-7 Rivers Data'!$B$4:$G$8,5,FALSE))</f>
        <v/>
      </c>
      <c r="AF220" s="179" t="str">
        <f t="shared" si="29"/>
        <v/>
      </c>
      <c r="AG220" s="269" t="str">
        <f t="shared" si="30"/>
        <v/>
      </c>
      <c r="AH220" s="172" t="str">
        <f t="shared" si="24"/>
        <v/>
      </c>
      <c r="AI220" s="173"/>
      <c r="AJ220" s="172" t="str">
        <f>IF(AI220="","",IF(VLOOKUP(AI220,'G-7 Rivers Data'!$AA$4:$AB$7,2,FALSE)=0,"Spatial Data Missing",VLOOKUP(AI220,'G-7 Rivers Data'!$AA$4:$AB$7,2,FALSE)))</f>
        <v/>
      </c>
      <c r="AK220" s="187"/>
      <c r="AL220" s="172" t="str">
        <f>IF(AK220="","",IF(VLOOKUP(AK220,'G-7 Rivers Data'!$AD$4:$AE$8,2,FALSE)=0,"Spatial Data Missing",VLOOKUP(AK220,'G-7 Rivers Data'!$AD$4:$AE$8,2,FALSE)))</f>
        <v/>
      </c>
      <c r="AM220" s="265" t="str">
        <f t="shared" si="31"/>
        <v/>
      </c>
      <c r="AN220" s="180"/>
      <c r="AO220" s="181"/>
      <c r="AV220" s="35" t="str">
        <f>IFERROR(INDEX('G-7 Rivers Data'!$AZ$3:$AZ$7,MATCH(N220,'G-7 Rivers Data'!$AY$3:$AY$7,0)),"")</f>
        <v/>
      </c>
    </row>
    <row r="221" spans="2:48" ht="13.8" x14ac:dyDescent="0.25">
      <c r="B221" s="259" t="str">
        <f>'C-1 Site River Baseline'!AN219</f>
        <v/>
      </c>
      <c r="C221" s="175" t="str">
        <f>IF(B221="","",VLOOKUP($B221,'C-1 Site River Baseline'!$C$9:$R$257,2,FALSE))</f>
        <v/>
      </c>
      <c r="D221" s="175" t="str">
        <f>IF(C221="","",VLOOKUP($B221,'C-1 Site River Baseline'!$C$9:$R$257,3,FALSE))</f>
        <v/>
      </c>
      <c r="E221" s="175" t="str">
        <f>IF(D221="","",VLOOKUP($B221,'C-1 Site River Baseline'!$C$9:$R$257,4,FALSE))</f>
        <v/>
      </c>
      <c r="F221" s="175" t="str">
        <f>IF(E221="","",VLOOKUP($B221,'C-1 Site River Baseline'!$C$9:$R$257,5,FALSE))</f>
        <v/>
      </c>
      <c r="G221" s="175" t="str">
        <f>IF(F221="","",VLOOKUP($B221,'C-1 Site River Baseline'!$C$9:$R$257,6,FALSE))</f>
        <v/>
      </c>
      <c r="H221" s="175" t="str">
        <f>IF(G221="","",VLOOKUP($B221,'C-1 Site River Baseline'!$C$9:$R$257,7,FALSE))</f>
        <v/>
      </c>
      <c r="I221" s="175" t="str">
        <f>IF(H221="","",VLOOKUP($B221,'C-1 Site River Baseline'!$C$9:$R$257,8,FALSE))</f>
        <v/>
      </c>
      <c r="J221" s="175" t="str">
        <f>IF(I221="","",VLOOKUP($B221,'C-1 Site River Baseline'!$C$9:$R$257,9,FALSE))</f>
        <v/>
      </c>
      <c r="K221" s="175" t="str">
        <f>IF(J221="","",VLOOKUP($B221,'C-1 Site River Baseline'!$C$9:$R$257,10,FALSE))</f>
        <v/>
      </c>
      <c r="L221" s="175" t="str">
        <f>IF(B221="","",VLOOKUP($B221,'C-1 Site River Baseline'!$C$9:$R$257,15,FALSE))</f>
        <v/>
      </c>
      <c r="M221" s="176" t="str">
        <f>IF(L221="","",VLOOKUP($B221,'C-1 Site River Baseline'!$C$9:$R$257,16,FALSE))</f>
        <v/>
      </c>
      <c r="N221" s="639" t="str">
        <f t="shared" si="25"/>
        <v/>
      </c>
      <c r="O221" s="239" t="str">
        <f t="shared" si="26"/>
        <v/>
      </c>
      <c r="P221" s="172" t="str">
        <f>IF(C221="","",IF(AND(LEFT(C221,55)&lt;&gt;LEFT(N221,55),O221="High - High"),"Error - Not like for like",IF(AND(F221=S221,H221&gt;U221),"Error - Can not reduce condition",IF(AND(F221=S221,H221=U221,AJ221='C-1 Site River Baseline'!N219,'C-1 Site River Baseline'!P219=AL221),"Error - No enhancement",IF(AND(C221&lt;&gt;N221,F221&lt;S221),"Lower Distinctiveness Habitat"&amp;" - "&amp;T221,G221&amp;" - "&amp;T221)))))</f>
        <v/>
      </c>
      <c r="Q221" s="660" t="str">
        <f>IF(N221="","",VLOOKUP(B221,'C-1 Site River Baseline'!$C$10:$AA$257,19,FALSE))</f>
        <v/>
      </c>
      <c r="R221" s="171" t="str">
        <f>IF(N221="","",VLOOKUP(N221,'G-7 Rivers Data'!$B$2:$G$8,2,FALSE))</f>
        <v/>
      </c>
      <c r="S221" s="172" t="str">
        <f>IFERROR(VLOOKUP(R221,'G-7 Rivers Data'!$C$4:$D$8,2,FALSE),"")</f>
        <v/>
      </c>
      <c r="T221" s="173"/>
      <c r="U221" s="172" t="str">
        <f>IFERROR(INDEX('G-7 Rivers Data'!$H$4:$L$8,MATCH(N221,'G-7 Rivers Data'!$B$4:$B$8,0),MATCH(T221,'G-7 Rivers Data'!$H$3:$L$3,0)),"")</f>
        <v/>
      </c>
      <c r="V221" s="186"/>
      <c r="W221" s="175" t="str">
        <f>IF(V221="","",IF(VLOOKUP(V221,'G-7 Rivers Data'!$AG$4:$AI$9,2,FALSE)=0,"Spatial Data Missing",VLOOKUP(V221,'G-7 Rivers Data'!$AG$4:$AI$9,2,FALSE)))</f>
        <v/>
      </c>
      <c r="X221" s="176" t="str">
        <f>IF(V221="","",IF(VLOOKUP(V221,'G-7 Rivers Data'!$AG$4:$AI$9,3,FALSE)=0,"Spatial Data Missing",VLOOKUP(V221,'G-7 Rivers Data'!$AG$4:$AI$9,3,FALSE)))</f>
        <v/>
      </c>
      <c r="Y221" s="171" t="str">
        <f>IFERROR(IF(OR(LEFT(P221,5)="Error",LEFT(O221,5)="Error"),"Check Data",IF(F221&lt;S221,'G-7 Rivers Data'!$R$3,INDEX('G-7 Rivers Data'!$U$5:$Y$9,MATCH(G221,'G-7 Rivers Data'!$T$5:$T$9,0),MATCH(T221,'G-7 Rivers Data'!$U$4:$Y$4,0)))),"")</f>
        <v/>
      </c>
      <c r="Z221" s="261"/>
      <c r="AA221" s="261"/>
      <c r="AB221" s="179" t="str">
        <f t="shared" si="27"/>
        <v/>
      </c>
      <c r="AC221" s="262" t="str">
        <f t="shared" si="28"/>
        <v/>
      </c>
      <c r="AD221" s="382" t="str">
        <f>IFERROR(IF(AC221="Check Data","Check Data",VLOOKUP(AC221,'G-4 Temporal multipliers'!$A$4:$C$37,3,FALSE)),"")</f>
        <v/>
      </c>
      <c r="AE221" s="171" t="str">
        <f>IF(N221="","",VLOOKUP(N221,'G-7 Rivers Data'!$B$4:$G$8,5,FALSE))</f>
        <v/>
      </c>
      <c r="AF221" s="179" t="str">
        <f t="shared" si="29"/>
        <v/>
      </c>
      <c r="AG221" s="269" t="str">
        <f t="shared" si="30"/>
        <v/>
      </c>
      <c r="AH221" s="172" t="str">
        <f t="shared" si="24"/>
        <v/>
      </c>
      <c r="AI221" s="173"/>
      <c r="AJ221" s="172" t="str">
        <f>IF(AI221="","",IF(VLOOKUP(AI221,'G-7 Rivers Data'!$AA$4:$AB$7,2,FALSE)=0,"Spatial Data Missing",VLOOKUP(AI221,'G-7 Rivers Data'!$AA$4:$AB$7,2,FALSE)))</f>
        <v/>
      </c>
      <c r="AK221" s="187"/>
      <c r="AL221" s="172" t="str">
        <f>IF(AK221="","",IF(VLOOKUP(AK221,'G-7 Rivers Data'!$AD$4:$AE$8,2,FALSE)=0,"Spatial Data Missing",VLOOKUP(AK221,'G-7 Rivers Data'!$AD$4:$AE$8,2,FALSE)))</f>
        <v/>
      </c>
      <c r="AM221" s="265" t="str">
        <f t="shared" si="31"/>
        <v/>
      </c>
      <c r="AN221" s="180"/>
      <c r="AO221" s="181"/>
      <c r="AV221" s="35" t="str">
        <f>IFERROR(INDEX('G-7 Rivers Data'!$AZ$3:$AZ$7,MATCH(N221,'G-7 Rivers Data'!$AY$3:$AY$7,0)),"")</f>
        <v/>
      </c>
    </row>
    <row r="222" spans="2:48" ht="13.8" x14ac:dyDescent="0.25">
      <c r="B222" s="259" t="str">
        <f>'C-1 Site River Baseline'!AN220</f>
        <v/>
      </c>
      <c r="C222" s="175" t="str">
        <f>IF(B222="","",VLOOKUP($B222,'C-1 Site River Baseline'!$C$9:$R$257,2,FALSE))</f>
        <v/>
      </c>
      <c r="D222" s="175" t="str">
        <f>IF(C222="","",VLOOKUP($B222,'C-1 Site River Baseline'!$C$9:$R$257,3,FALSE))</f>
        <v/>
      </c>
      <c r="E222" s="175" t="str">
        <f>IF(D222="","",VLOOKUP($B222,'C-1 Site River Baseline'!$C$9:$R$257,4,FALSE))</f>
        <v/>
      </c>
      <c r="F222" s="175" t="str">
        <f>IF(E222="","",VLOOKUP($B222,'C-1 Site River Baseline'!$C$9:$R$257,5,FALSE))</f>
        <v/>
      </c>
      <c r="G222" s="175" t="str">
        <f>IF(F222="","",VLOOKUP($B222,'C-1 Site River Baseline'!$C$9:$R$257,6,FALSE))</f>
        <v/>
      </c>
      <c r="H222" s="175" t="str">
        <f>IF(G222="","",VLOOKUP($B222,'C-1 Site River Baseline'!$C$9:$R$257,7,FALSE))</f>
        <v/>
      </c>
      <c r="I222" s="175" t="str">
        <f>IF(H222="","",VLOOKUP($B222,'C-1 Site River Baseline'!$C$9:$R$257,8,FALSE))</f>
        <v/>
      </c>
      <c r="J222" s="175" t="str">
        <f>IF(I222="","",VLOOKUP($B222,'C-1 Site River Baseline'!$C$9:$R$257,9,FALSE))</f>
        <v/>
      </c>
      <c r="K222" s="175" t="str">
        <f>IF(J222="","",VLOOKUP($B222,'C-1 Site River Baseline'!$C$9:$R$257,10,FALSE))</f>
        <v/>
      </c>
      <c r="L222" s="175" t="str">
        <f>IF(B222="","",VLOOKUP($B222,'C-1 Site River Baseline'!$C$9:$R$257,15,FALSE))</f>
        <v/>
      </c>
      <c r="M222" s="176" t="str">
        <f>IF(L222="","",VLOOKUP($B222,'C-1 Site River Baseline'!$C$9:$R$257,16,FALSE))</f>
        <v/>
      </c>
      <c r="N222" s="639" t="str">
        <f t="shared" si="25"/>
        <v/>
      </c>
      <c r="O222" s="239" t="str">
        <f t="shared" si="26"/>
        <v/>
      </c>
      <c r="P222" s="172" t="str">
        <f>IF(C222="","",IF(AND(LEFT(C222,55)&lt;&gt;LEFT(N222,55),O222="High - High"),"Error - Not like for like",IF(AND(F222=S222,H222&gt;U222),"Error - Can not reduce condition",IF(AND(F222=S222,H222=U222,AJ222='C-1 Site River Baseline'!N220,'C-1 Site River Baseline'!P220=AL222),"Error - No enhancement",IF(AND(C222&lt;&gt;N222,F222&lt;S222),"Lower Distinctiveness Habitat"&amp;" - "&amp;T222,G222&amp;" - "&amp;T222)))))</f>
        <v/>
      </c>
      <c r="Q222" s="660" t="str">
        <f>IF(N222="","",VLOOKUP(B222,'C-1 Site River Baseline'!$C$10:$AA$257,19,FALSE))</f>
        <v/>
      </c>
      <c r="R222" s="171" t="str">
        <f>IF(N222="","",VLOOKUP(N222,'G-7 Rivers Data'!$B$2:$G$8,2,FALSE))</f>
        <v/>
      </c>
      <c r="S222" s="172" t="str">
        <f>IFERROR(VLOOKUP(R222,'G-7 Rivers Data'!$C$4:$D$8,2,FALSE),"")</f>
        <v/>
      </c>
      <c r="T222" s="173"/>
      <c r="U222" s="172" t="str">
        <f>IFERROR(INDEX('G-7 Rivers Data'!$H$4:$L$8,MATCH(N222,'G-7 Rivers Data'!$B$4:$B$8,0),MATCH(T222,'G-7 Rivers Data'!$H$3:$L$3,0)),"")</f>
        <v/>
      </c>
      <c r="V222" s="186"/>
      <c r="W222" s="175" t="str">
        <f>IF(V222="","",IF(VLOOKUP(V222,'G-7 Rivers Data'!$AG$4:$AI$9,2,FALSE)=0,"Spatial Data Missing",VLOOKUP(V222,'G-7 Rivers Data'!$AG$4:$AI$9,2,FALSE)))</f>
        <v/>
      </c>
      <c r="X222" s="176" t="str">
        <f>IF(V222="","",IF(VLOOKUP(V222,'G-7 Rivers Data'!$AG$4:$AI$9,3,FALSE)=0,"Spatial Data Missing",VLOOKUP(V222,'G-7 Rivers Data'!$AG$4:$AI$9,3,FALSE)))</f>
        <v/>
      </c>
      <c r="Y222" s="171" t="str">
        <f>IFERROR(IF(OR(LEFT(P222,5)="Error",LEFT(O222,5)="Error"),"Check Data",IF(F222&lt;S222,'G-7 Rivers Data'!$R$3,INDEX('G-7 Rivers Data'!$U$5:$Y$9,MATCH(G222,'G-7 Rivers Data'!$T$5:$T$9,0),MATCH(T222,'G-7 Rivers Data'!$U$4:$Y$4,0)))),"")</f>
        <v/>
      </c>
      <c r="Z222" s="261"/>
      <c r="AA222" s="261"/>
      <c r="AB222" s="179" t="str">
        <f t="shared" si="27"/>
        <v/>
      </c>
      <c r="AC222" s="262" t="str">
        <f t="shared" si="28"/>
        <v/>
      </c>
      <c r="AD222" s="382" t="str">
        <f>IFERROR(IF(AC222="Check Data","Check Data",VLOOKUP(AC222,'G-4 Temporal multipliers'!$A$4:$C$37,3,FALSE)),"")</f>
        <v/>
      </c>
      <c r="AE222" s="171" t="str">
        <f>IF(N222="","",VLOOKUP(N222,'G-7 Rivers Data'!$B$4:$G$8,5,FALSE))</f>
        <v/>
      </c>
      <c r="AF222" s="179" t="str">
        <f t="shared" si="29"/>
        <v/>
      </c>
      <c r="AG222" s="269" t="str">
        <f t="shared" si="30"/>
        <v/>
      </c>
      <c r="AH222" s="172" t="str">
        <f t="shared" si="24"/>
        <v/>
      </c>
      <c r="AI222" s="173"/>
      <c r="AJ222" s="172" t="str">
        <f>IF(AI222="","",IF(VLOOKUP(AI222,'G-7 Rivers Data'!$AA$4:$AB$7,2,FALSE)=0,"Spatial Data Missing",VLOOKUP(AI222,'G-7 Rivers Data'!$AA$4:$AB$7,2,FALSE)))</f>
        <v/>
      </c>
      <c r="AK222" s="187"/>
      <c r="AL222" s="172" t="str">
        <f>IF(AK222="","",IF(VLOOKUP(AK222,'G-7 Rivers Data'!$AD$4:$AE$8,2,FALSE)=0,"Spatial Data Missing",VLOOKUP(AK222,'G-7 Rivers Data'!$AD$4:$AE$8,2,FALSE)))</f>
        <v/>
      </c>
      <c r="AM222" s="265" t="str">
        <f t="shared" si="31"/>
        <v/>
      </c>
      <c r="AN222" s="180"/>
      <c r="AO222" s="181"/>
      <c r="AV222" s="35" t="str">
        <f>IFERROR(INDEX('G-7 Rivers Data'!$AZ$3:$AZ$7,MATCH(N222,'G-7 Rivers Data'!$AY$3:$AY$7,0)),"")</f>
        <v/>
      </c>
    </row>
    <row r="223" spans="2:48" ht="13.8" x14ac:dyDescent="0.25">
      <c r="B223" s="259" t="str">
        <f>'C-1 Site River Baseline'!AN221</f>
        <v/>
      </c>
      <c r="C223" s="175" t="str">
        <f>IF(B223="","",VLOOKUP($B223,'C-1 Site River Baseline'!$C$9:$R$257,2,FALSE))</f>
        <v/>
      </c>
      <c r="D223" s="175" t="str">
        <f>IF(C223="","",VLOOKUP($B223,'C-1 Site River Baseline'!$C$9:$R$257,3,FALSE))</f>
        <v/>
      </c>
      <c r="E223" s="175" t="str">
        <f>IF(D223="","",VLOOKUP($B223,'C-1 Site River Baseline'!$C$9:$R$257,4,FALSE))</f>
        <v/>
      </c>
      <c r="F223" s="175" t="str">
        <f>IF(E223="","",VLOOKUP($B223,'C-1 Site River Baseline'!$C$9:$R$257,5,FALSE))</f>
        <v/>
      </c>
      <c r="G223" s="175" t="str">
        <f>IF(F223="","",VLOOKUP($B223,'C-1 Site River Baseline'!$C$9:$R$257,6,FALSE))</f>
        <v/>
      </c>
      <c r="H223" s="175" t="str">
        <f>IF(G223="","",VLOOKUP($B223,'C-1 Site River Baseline'!$C$9:$R$257,7,FALSE))</f>
        <v/>
      </c>
      <c r="I223" s="175" t="str">
        <f>IF(H223="","",VLOOKUP($B223,'C-1 Site River Baseline'!$C$9:$R$257,8,FALSE))</f>
        <v/>
      </c>
      <c r="J223" s="175" t="str">
        <f>IF(I223="","",VLOOKUP($B223,'C-1 Site River Baseline'!$C$9:$R$257,9,FALSE))</f>
        <v/>
      </c>
      <c r="K223" s="175" t="str">
        <f>IF(J223="","",VLOOKUP($B223,'C-1 Site River Baseline'!$C$9:$R$257,10,FALSE))</f>
        <v/>
      </c>
      <c r="L223" s="175" t="str">
        <f>IF(B223="","",VLOOKUP($B223,'C-1 Site River Baseline'!$C$9:$R$257,15,FALSE))</f>
        <v/>
      </c>
      <c r="M223" s="176" t="str">
        <f>IF(L223="","",VLOOKUP($B223,'C-1 Site River Baseline'!$C$9:$R$257,16,FALSE))</f>
        <v/>
      </c>
      <c r="N223" s="639" t="str">
        <f t="shared" si="25"/>
        <v/>
      </c>
      <c r="O223" s="239" t="str">
        <f t="shared" si="26"/>
        <v/>
      </c>
      <c r="P223" s="172" t="str">
        <f>IF(C223="","",IF(AND(LEFT(C223,55)&lt;&gt;LEFT(N223,55),O223="High - High"),"Error - Not like for like",IF(AND(F223=S223,H223&gt;U223),"Error - Can not reduce condition",IF(AND(F223=S223,H223=U223,AJ223='C-1 Site River Baseline'!N221,'C-1 Site River Baseline'!P221=AL223),"Error - No enhancement",IF(AND(C223&lt;&gt;N223,F223&lt;S223),"Lower Distinctiveness Habitat"&amp;" - "&amp;T223,G223&amp;" - "&amp;T223)))))</f>
        <v/>
      </c>
      <c r="Q223" s="660" t="str">
        <f>IF(N223="","",VLOOKUP(B223,'C-1 Site River Baseline'!$C$10:$AA$257,19,FALSE))</f>
        <v/>
      </c>
      <c r="R223" s="171" t="str">
        <f>IF(N223="","",VLOOKUP(N223,'G-7 Rivers Data'!$B$2:$G$8,2,FALSE))</f>
        <v/>
      </c>
      <c r="S223" s="172" t="str">
        <f>IFERROR(VLOOKUP(R223,'G-7 Rivers Data'!$C$4:$D$8,2,FALSE),"")</f>
        <v/>
      </c>
      <c r="T223" s="173"/>
      <c r="U223" s="172" t="str">
        <f>IFERROR(INDEX('G-7 Rivers Data'!$H$4:$L$8,MATCH(N223,'G-7 Rivers Data'!$B$4:$B$8,0),MATCH(T223,'G-7 Rivers Data'!$H$3:$L$3,0)),"")</f>
        <v/>
      </c>
      <c r="V223" s="186"/>
      <c r="W223" s="175" t="str">
        <f>IF(V223="","",IF(VLOOKUP(V223,'G-7 Rivers Data'!$AG$4:$AI$9,2,FALSE)=0,"Spatial Data Missing",VLOOKUP(V223,'G-7 Rivers Data'!$AG$4:$AI$9,2,FALSE)))</f>
        <v/>
      </c>
      <c r="X223" s="176" t="str">
        <f>IF(V223="","",IF(VLOOKUP(V223,'G-7 Rivers Data'!$AG$4:$AI$9,3,FALSE)=0,"Spatial Data Missing",VLOOKUP(V223,'G-7 Rivers Data'!$AG$4:$AI$9,3,FALSE)))</f>
        <v/>
      </c>
      <c r="Y223" s="171" t="str">
        <f>IFERROR(IF(OR(LEFT(P223,5)="Error",LEFT(O223,5)="Error"),"Check Data",IF(F223&lt;S223,'G-7 Rivers Data'!$R$3,INDEX('G-7 Rivers Data'!$U$5:$Y$9,MATCH(G223,'G-7 Rivers Data'!$T$5:$T$9,0),MATCH(T223,'G-7 Rivers Data'!$U$4:$Y$4,0)))),"")</f>
        <v/>
      </c>
      <c r="Z223" s="261"/>
      <c r="AA223" s="261"/>
      <c r="AB223" s="179" t="str">
        <f t="shared" si="27"/>
        <v/>
      </c>
      <c r="AC223" s="262" t="str">
        <f t="shared" si="28"/>
        <v/>
      </c>
      <c r="AD223" s="382" t="str">
        <f>IFERROR(IF(AC223="Check Data","Check Data",VLOOKUP(AC223,'G-4 Temporal multipliers'!$A$4:$C$37,3,FALSE)),"")</f>
        <v/>
      </c>
      <c r="AE223" s="171" t="str">
        <f>IF(N223="","",VLOOKUP(N223,'G-7 Rivers Data'!$B$4:$G$8,5,FALSE))</f>
        <v/>
      </c>
      <c r="AF223" s="179" t="str">
        <f t="shared" si="29"/>
        <v/>
      </c>
      <c r="AG223" s="269" t="str">
        <f t="shared" si="30"/>
        <v/>
      </c>
      <c r="AH223" s="172" t="str">
        <f t="shared" si="24"/>
        <v/>
      </c>
      <c r="AI223" s="173"/>
      <c r="AJ223" s="172" t="str">
        <f>IF(AI223="","",IF(VLOOKUP(AI223,'G-7 Rivers Data'!$AA$4:$AB$7,2,FALSE)=0,"Spatial Data Missing",VLOOKUP(AI223,'G-7 Rivers Data'!$AA$4:$AB$7,2,FALSE)))</f>
        <v/>
      </c>
      <c r="AK223" s="187"/>
      <c r="AL223" s="172" t="str">
        <f>IF(AK223="","",IF(VLOOKUP(AK223,'G-7 Rivers Data'!$AD$4:$AE$8,2,FALSE)=0,"Spatial Data Missing",VLOOKUP(AK223,'G-7 Rivers Data'!$AD$4:$AE$8,2,FALSE)))</f>
        <v/>
      </c>
      <c r="AM223" s="265" t="str">
        <f t="shared" si="31"/>
        <v/>
      </c>
      <c r="AN223" s="180"/>
      <c r="AO223" s="181"/>
      <c r="AV223" s="35" t="str">
        <f>IFERROR(INDEX('G-7 Rivers Data'!$AZ$3:$AZ$7,MATCH(N223,'G-7 Rivers Data'!$AY$3:$AY$7,0)),"")</f>
        <v/>
      </c>
    </row>
    <row r="224" spans="2:48" ht="13.8" x14ac:dyDescent="0.25">
      <c r="B224" s="259" t="str">
        <f>'C-1 Site River Baseline'!AN222</f>
        <v/>
      </c>
      <c r="C224" s="175" t="str">
        <f>IF(B224="","",VLOOKUP($B224,'C-1 Site River Baseline'!$C$9:$R$257,2,FALSE))</f>
        <v/>
      </c>
      <c r="D224" s="175" t="str">
        <f>IF(C224="","",VLOOKUP($B224,'C-1 Site River Baseline'!$C$9:$R$257,3,FALSE))</f>
        <v/>
      </c>
      <c r="E224" s="175" t="str">
        <f>IF(D224="","",VLOOKUP($B224,'C-1 Site River Baseline'!$C$9:$R$257,4,FALSE))</f>
        <v/>
      </c>
      <c r="F224" s="175" t="str">
        <f>IF(E224="","",VLOOKUP($B224,'C-1 Site River Baseline'!$C$9:$R$257,5,FALSE))</f>
        <v/>
      </c>
      <c r="G224" s="175" t="str">
        <f>IF(F224="","",VLOOKUP($B224,'C-1 Site River Baseline'!$C$9:$R$257,6,FALSE))</f>
        <v/>
      </c>
      <c r="H224" s="175" t="str">
        <f>IF(G224="","",VLOOKUP($B224,'C-1 Site River Baseline'!$C$9:$R$257,7,FALSE))</f>
        <v/>
      </c>
      <c r="I224" s="175" t="str">
        <f>IF(H224="","",VLOOKUP($B224,'C-1 Site River Baseline'!$C$9:$R$257,8,FALSE))</f>
        <v/>
      </c>
      <c r="J224" s="175" t="str">
        <f>IF(I224="","",VLOOKUP($B224,'C-1 Site River Baseline'!$C$9:$R$257,9,FALSE))</f>
        <v/>
      </c>
      <c r="K224" s="175" t="str">
        <f>IF(J224="","",VLOOKUP($B224,'C-1 Site River Baseline'!$C$9:$R$257,10,FALSE))</f>
        <v/>
      </c>
      <c r="L224" s="175" t="str">
        <f>IF(B224="","",VLOOKUP($B224,'C-1 Site River Baseline'!$C$9:$R$257,15,FALSE))</f>
        <v/>
      </c>
      <c r="M224" s="176" t="str">
        <f>IF(L224="","",VLOOKUP($B224,'C-1 Site River Baseline'!$C$9:$R$257,16,FALSE))</f>
        <v/>
      </c>
      <c r="N224" s="639" t="str">
        <f t="shared" si="25"/>
        <v/>
      </c>
      <c r="O224" s="239" t="str">
        <f t="shared" si="26"/>
        <v/>
      </c>
      <c r="P224" s="172" t="str">
        <f>IF(C224="","",IF(AND(LEFT(C224,55)&lt;&gt;LEFT(N224,55),O224="High - High"),"Error - Not like for like",IF(AND(F224=S224,H224&gt;U224),"Error - Can not reduce condition",IF(AND(F224=S224,H224=U224,AJ224='C-1 Site River Baseline'!N222,'C-1 Site River Baseline'!P222=AL224),"Error - No enhancement",IF(AND(C224&lt;&gt;N224,F224&lt;S224),"Lower Distinctiveness Habitat"&amp;" - "&amp;T224,G224&amp;" - "&amp;T224)))))</f>
        <v/>
      </c>
      <c r="Q224" s="660" t="str">
        <f>IF(N224="","",VLOOKUP(B224,'C-1 Site River Baseline'!$C$10:$AA$257,19,FALSE))</f>
        <v/>
      </c>
      <c r="R224" s="171" t="str">
        <f>IF(N224="","",VLOOKUP(N224,'G-7 Rivers Data'!$B$2:$G$8,2,FALSE))</f>
        <v/>
      </c>
      <c r="S224" s="172" t="str">
        <f>IFERROR(VLOOKUP(R224,'G-7 Rivers Data'!$C$4:$D$8,2,FALSE),"")</f>
        <v/>
      </c>
      <c r="T224" s="173"/>
      <c r="U224" s="172" t="str">
        <f>IFERROR(INDEX('G-7 Rivers Data'!$H$4:$L$8,MATCH(N224,'G-7 Rivers Data'!$B$4:$B$8,0),MATCH(T224,'G-7 Rivers Data'!$H$3:$L$3,0)),"")</f>
        <v/>
      </c>
      <c r="V224" s="186"/>
      <c r="W224" s="175" t="str">
        <f>IF(V224="","",IF(VLOOKUP(V224,'G-7 Rivers Data'!$AG$4:$AI$9,2,FALSE)=0,"Spatial Data Missing",VLOOKUP(V224,'G-7 Rivers Data'!$AG$4:$AI$9,2,FALSE)))</f>
        <v/>
      </c>
      <c r="X224" s="176" t="str">
        <f>IF(V224="","",IF(VLOOKUP(V224,'G-7 Rivers Data'!$AG$4:$AI$9,3,FALSE)=0,"Spatial Data Missing",VLOOKUP(V224,'G-7 Rivers Data'!$AG$4:$AI$9,3,FALSE)))</f>
        <v/>
      </c>
      <c r="Y224" s="171" t="str">
        <f>IFERROR(IF(OR(LEFT(P224,5)="Error",LEFT(O224,5)="Error"),"Check Data",IF(F224&lt;S224,'G-7 Rivers Data'!$R$3,INDEX('G-7 Rivers Data'!$U$5:$Y$9,MATCH(G224,'G-7 Rivers Data'!$T$5:$T$9,0),MATCH(T224,'G-7 Rivers Data'!$U$4:$Y$4,0)))),"")</f>
        <v/>
      </c>
      <c r="Z224" s="261"/>
      <c r="AA224" s="261"/>
      <c r="AB224" s="179" t="str">
        <f t="shared" si="27"/>
        <v/>
      </c>
      <c r="AC224" s="262" t="str">
        <f t="shared" si="28"/>
        <v/>
      </c>
      <c r="AD224" s="382" t="str">
        <f>IFERROR(IF(AC224="Check Data","Check Data",VLOOKUP(AC224,'G-4 Temporal multipliers'!$A$4:$C$37,3,FALSE)),"")</f>
        <v/>
      </c>
      <c r="AE224" s="171" t="str">
        <f>IF(N224="","",VLOOKUP(N224,'G-7 Rivers Data'!$B$4:$G$8,5,FALSE))</f>
        <v/>
      </c>
      <c r="AF224" s="179" t="str">
        <f t="shared" si="29"/>
        <v/>
      </c>
      <c r="AG224" s="269" t="str">
        <f t="shared" si="30"/>
        <v/>
      </c>
      <c r="AH224" s="172" t="str">
        <f t="shared" si="24"/>
        <v/>
      </c>
      <c r="AI224" s="173"/>
      <c r="AJ224" s="172" t="str">
        <f>IF(AI224="","",IF(VLOOKUP(AI224,'G-7 Rivers Data'!$AA$4:$AB$7,2,FALSE)=0,"Spatial Data Missing",VLOOKUP(AI224,'G-7 Rivers Data'!$AA$4:$AB$7,2,FALSE)))</f>
        <v/>
      </c>
      <c r="AK224" s="187"/>
      <c r="AL224" s="172" t="str">
        <f>IF(AK224="","",IF(VLOOKUP(AK224,'G-7 Rivers Data'!$AD$4:$AE$8,2,FALSE)=0,"Spatial Data Missing",VLOOKUP(AK224,'G-7 Rivers Data'!$AD$4:$AE$8,2,FALSE)))</f>
        <v/>
      </c>
      <c r="AM224" s="265" t="str">
        <f t="shared" si="31"/>
        <v/>
      </c>
      <c r="AN224" s="180"/>
      <c r="AO224" s="181"/>
      <c r="AV224" s="35" t="str">
        <f>IFERROR(INDEX('G-7 Rivers Data'!$AZ$3:$AZ$7,MATCH(N224,'G-7 Rivers Data'!$AY$3:$AY$7,0)),"")</f>
        <v/>
      </c>
    </row>
    <row r="225" spans="2:48" ht="13.8" x14ac:dyDescent="0.25">
      <c r="B225" s="259" t="str">
        <f>'C-1 Site River Baseline'!AN223</f>
        <v/>
      </c>
      <c r="C225" s="175" t="str">
        <f>IF(B225="","",VLOOKUP($B225,'C-1 Site River Baseline'!$C$9:$R$257,2,FALSE))</f>
        <v/>
      </c>
      <c r="D225" s="175" t="str">
        <f>IF(C225="","",VLOOKUP($B225,'C-1 Site River Baseline'!$C$9:$R$257,3,FALSE))</f>
        <v/>
      </c>
      <c r="E225" s="175" t="str">
        <f>IF(D225="","",VLOOKUP($B225,'C-1 Site River Baseline'!$C$9:$R$257,4,FALSE))</f>
        <v/>
      </c>
      <c r="F225" s="175" t="str">
        <f>IF(E225="","",VLOOKUP($B225,'C-1 Site River Baseline'!$C$9:$R$257,5,FALSE))</f>
        <v/>
      </c>
      <c r="G225" s="175" t="str">
        <f>IF(F225="","",VLOOKUP($B225,'C-1 Site River Baseline'!$C$9:$R$257,6,FALSE))</f>
        <v/>
      </c>
      <c r="H225" s="175" t="str">
        <f>IF(G225="","",VLOOKUP($B225,'C-1 Site River Baseline'!$C$9:$R$257,7,FALSE))</f>
        <v/>
      </c>
      <c r="I225" s="175" t="str">
        <f>IF(H225="","",VLOOKUP($B225,'C-1 Site River Baseline'!$C$9:$R$257,8,FALSE))</f>
        <v/>
      </c>
      <c r="J225" s="175" t="str">
        <f>IF(I225="","",VLOOKUP($B225,'C-1 Site River Baseline'!$C$9:$R$257,9,FALSE))</f>
        <v/>
      </c>
      <c r="K225" s="175" t="str">
        <f>IF(J225="","",VLOOKUP($B225,'C-1 Site River Baseline'!$C$9:$R$257,10,FALSE))</f>
        <v/>
      </c>
      <c r="L225" s="175" t="str">
        <f>IF(B225="","",VLOOKUP($B225,'C-1 Site River Baseline'!$C$9:$R$257,15,FALSE))</f>
        <v/>
      </c>
      <c r="M225" s="176" t="str">
        <f>IF(L225="","",VLOOKUP($B225,'C-1 Site River Baseline'!$C$9:$R$257,16,FALSE))</f>
        <v/>
      </c>
      <c r="N225" s="639" t="str">
        <f t="shared" si="25"/>
        <v/>
      </c>
      <c r="O225" s="239" t="str">
        <f t="shared" si="26"/>
        <v/>
      </c>
      <c r="P225" s="172" t="str">
        <f>IF(C225="","",IF(AND(LEFT(C225,55)&lt;&gt;LEFT(N225,55),O225="High - High"),"Error - Not like for like",IF(AND(F225=S225,H225&gt;U225),"Error - Can not reduce condition",IF(AND(F225=S225,H225=U225,AJ225='C-1 Site River Baseline'!N223,'C-1 Site River Baseline'!P223=AL225),"Error - No enhancement",IF(AND(C225&lt;&gt;N225,F225&lt;S225),"Lower Distinctiveness Habitat"&amp;" - "&amp;T225,G225&amp;" - "&amp;T225)))))</f>
        <v/>
      </c>
      <c r="Q225" s="660" t="str">
        <f>IF(N225="","",VLOOKUP(B225,'C-1 Site River Baseline'!$C$10:$AA$257,19,FALSE))</f>
        <v/>
      </c>
      <c r="R225" s="171" t="str">
        <f>IF(N225="","",VLOOKUP(N225,'G-7 Rivers Data'!$B$2:$G$8,2,FALSE))</f>
        <v/>
      </c>
      <c r="S225" s="172" t="str">
        <f>IFERROR(VLOOKUP(R225,'G-7 Rivers Data'!$C$4:$D$8,2,FALSE),"")</f>
        <v/>
      </c>
      <c r="T225" s="173"/>
      <c r="U225" s="172" t="str">
        <f>IFERROR(INDEX('G-7 Rivers Data'!$H$4:$L$8,MATCH(N225,'G-7 Rivers Data'!$B$4:$B$8,0),MATCH(T225,'G-7 Rivers Data'!$H$3:$L$3,0)),"")</f>
        <v/>
      </c>
      <c r="V225" s="186"/>
      <c r="W225" s="175" t="str">
        <f>IF(V225="","",IF(VLOOKUP(V225,'G-7 Rivers Data'!$AG$4:$AI$9,2,FALSE)=0,"Spatial Data Missing",VLOOKUP(V225,'G-7 Rivers Data'!$AG$4:$AI$9,2,FALSE)))</f>
        <v/>
      </c>
      <c r="X225" s="176" t="str">
        <f>IF(V225="","",IF(VLOOKUP(V225,'G-7 Rivers Data'!$AG$4:$AI$9,3,FALSE)=0,"Spatial Data Missing",VLOOKUP(V225,'G-7 Rivers Data'!$AG$4:$AI$9,3,FALSE)))</f>
        <v/>
      </c>
      <c r="Y225" s="171" t="str">
        <f>IFERROR(IF(OR(LEFT(P225,5)="Error",LEFT(O225,5)="Error"),"Check Data",IF(F225&lt;S225,'G-7 Rivers Data'!$R$3,INDEX('G-7 Rivers Data'!$U$5:$Y$9,MATCH(G225,'G-7 Rivers Data'!$T$5:$T$9,0),MATCH(T225,'G-7 Rivers Data'!$U$4:$Y$4,0)))),"")</f>
        <v/>
      </c>
      <c r="Z225" s="261"/>
      <c r="AA225" s="261"/>
      <c r="AB225" s="179" t="str">
        <f t="shared" si="27"/>
        <v/>
      </c>
      <c r="AC225" s="262" t="str">
        <f t="shared" si="28"/>
        <v/>
      </c>
      <c r="AD225" s="382" t="str">
        <f>IFERROR(IF(AC225="Check Data","Check Data",VLOOKUP(AC225,'G-4 Temporal multipliers'!$A$4:$C$37,3,FALSE)),"")</f>
        <v/>
      </c>
      <c r="AE225" s="171" t="str">
        <f>IF(N225="","",VLOOKUP(N225,'G-7 Rivers Data'!$B$4:$G$8,5,FALSE))</f>
        <v/>
      </c>
      <c r="AF225" s="179" t="str">
        <f t="shared" si="29"/>
        <v/>
      </c>
      <c r="AG225" s="269" t="str">
        <f t="shared" si="30"/>
        <v/>
      </c>
      <c r="AH225" s="172" t="str">
        <f t="shared" si="24"/>
        <v/>
      </c>
      <c r="AI225" s="173"/>
      <c r="AJ225" s="172" t="str">
        <f>IF(AI225="","",IF(VLOOKUP(AI225,'G-7 Rivers Data'!$AA$4:$AB$7,2,FALSE)=0,"Spatial Data Missing",VLOOKUP(AI225,'G-7 Rivers Data'!$AA$4:$AB$7,2,FALSE)))</f>
        <v/>
      </c>
      <c r="AK225" s="187"/>
      <c r="AL225" s="172" t="str">
        <f>IF(AK225="","",IF(VLOOKUP(AK225,'G-7 Rivers Data'!$AD$4:$AE$8,2,FALSE)=0,"Spatial Data Missing",VLOOKUP(AK225,'G-7 Rivers Data'!$AD$4:$AE$8,2,FALSE)))</f>
        <v/>
      </c>
      <c r="AM225" s="265" t="str">
        <f t="shared" si="31"/>
        <v/>
      </c>
      <c r="AN225" s="180"/>
      <c r="AO225" s="181"/>
      <c r="AV225" s="35" t="str">
        <f>IFERROR(INDEX('G-7 Rivers Data'!$AZ$3:$AZ$7,MATCH(N225,'G-7 Rivers Data'!$AY$3:$AY$7,0)),"")</f>
        <v/>
      </c>
    </row>
    <row r="226" spans="2:48" ht="13.8" x14ac:dyDescent="0.25">
      <c r="B226" s="259" t="str">
        <f>'C-1 Site River Baseline'!AN224</f>
        <v/>
      </c>
      <c r="C226" s="175" t="str">
        <f>IF(B226="","",VLOOKUP($B226,'C-1 Site River Baseline'!$C$9:$R$257,2,FALSE))</f>
        <v/>
      </c>
      <c r="D226" s="175" t="str">
        <f>IF(C226="","",VLOOKUP($B226,'C-1 Site River Baseline'!$C$9:$R$257,3,FALSE))</f>
        <v/>
      </c>
      <c r="E226" s="175" t="str">
        <f>IF(D226="","",VLOOKUP($B226,'C-1 Site River Baseline'!$C$9:$R$257,4,FALSE))</f>
        <v/>
      </c>
      <c r="F226" s="175" t="str">
        <f>IF(E226="","",VLOOKUP($B226,'C-1 Site River Baseline'!$C$9:$R$257,5,FALSE))</f>
        <v/>
      </c>
      <c r="G226" s="175" t="str">
        <f>IF(F226="","",VLOOKUP($B226,'C-1 Site River Baseline'!$C$9:$R$257,6,FALSE))</f>
        <v/>
      </c>
      <c r="H226" s="175" t="str">
        <f>IF(G226="","",VLOOKUP($B226,'C-1 Site River Baseline'!$C$9:$R$257,7,FALSE))</f>
        <v/>
      </c>
      <c r="I226" s="175" t="str">
        <f>IF(H226="","",VLOOKUP($B226,'C-1 Site River Baseline'!$C$9:$R$257,8,FALSE))</f>
        <v/>
      </c>
      <c r="J226" s="175" t="str">
        <f>IF(I226="","",VLOOKUP($B226,'C-1 Site River Baseline'!$C$9:$R$257,9,FALSE))</f>
        <v/>
      </c>
      <c r="K226" s="175" t="str">
        <f>IF(J226="","",VLOOKUP($B226,'C-1 Site River Baseline'!$C$9:$R$257,10,FALSE))</f>
        <v/>
      </c>
      <c r="L226" s="175" t="str">
        <f>IF(B226="","",VLOOKUP($B226,'C-1 Site River Baseline'!$C$9:$R$257,15,FALSE))</f>
        <v/>
      </c>
      <c r="M226" s="176" t="str">
        <f>IF(L226="","",VLOOKUP($B226,'C-1 Site River Baseline'!$C$9:$R$257,16,FALSE))</f>
        <v/>
      </c>
      <c r="N226" s="639" t="str">
        <f t="shared" si="25"/>
        <v/>
      </c>
      <c r="O226" s="239" t="str">
        <f t="shared" si="26"/>
        <v/>
      </c>
      <c r="P226" s="172" t="str">
        <f>IF(C226="","",IF(AND(LEFT(C226,55)&lt;&gt;LEFT(N226,55),O226="High - High"),"Error - Not like for like",IF(AND(F226=S226,H226&gt;U226),"Error - Can not reduce condition",IF(AND(F226=S226,H226=U226,AJ226='C-1 Site River Baseline'!N224,'C-1 Site River Baseline'!P224=AL226),"Error - No enhancement",IF(AND(C226&lt;&gt;N226,F226&lt;S226),"Lower Distinctiveness Habitat"&amp;" - "&amp;T226,G226&amp;" - "&amp;T226)))))</f>
        <v/>
      </c>
      <c r="Q226" s="660" t="str">
        <f>IF(N226="","",VLOOKUP(B226,'C-1 Site River Baseline'!$C$10:$AA$257,19,FALSE))</f>
        <v/>
      </c>
      <c r="R226" s="171" t="str">
        <f>IF(N226="","",VLOOKUP(N226,'G-7 Rivers Data'!$B$2:$G$8,2,FALSE))</f>
        <v/>
      </c>
      <c r="S226" s="172" t="str">
        <f>IFERROR(VLOOKUP(R226,'G-7 Rivers Data'!$C$4:$D$8,2,FALSE),"")</f>
        <v/>
      </c>
      <c r="T226" s="173"/>
      <c r="U226" s="172" t="str">
        <f>IFERROR(INDEX('G-7 Rivers Data'!$H$4:$L$8,MATCH(N226,'G-7 Rivers Data'!$B$4:$B$8,0),MATCH(T226,'G-7 Rivers Data'!$H$3:$L$3,0)),"")</f>
        <v/>
      </c>
      <c r="V226" s="186"/>
      <c r="W226" s="175" t="str">
        <f>IF(V226="","",IF(VLOOKUP(V226,'G-7 Rivers Data'!$AG$4:$AI$9,2,FALSE)=0,"Spatial Data Missing",VLOOKUP(V226,'G-7 Rivers Data'!$AG$4:$AI$9,2,FALSE)))</f>
        <v/>
      </c>
      <c r="X226" s="176" t="str">
        <f>IF(V226="","",IF(VLOOKUP(V226,'G-7 Rivers Data'!$AG$4:$AI$9,3,FALSE)=0,"Spatial Data Missing",VLOOKUP(V226,'G-7 Rivers Data'!$AG$4:$AI$9,3,FALSE)))</f>
        <v/>
      </c>
      <c r="Y226" s="171" t="str">
        <f>IFERROR(IF(OR(LEFT(P226,5)="Error",LEFT(O226,5)="Error"),"Check Data",IF(F226&lt;S226,'G-7 Rivers Data'!$R$3,INDEX('G-7 Rivers Data'!$U$5:$Y$9,MATCH(G226,'G-7 Rivers Data'!$T$5:$T$9,0),MATCH(T226,'G-7 Rivers Data'!$U$4:$Y$4,0)))),"")</f>
        <v/>
      </c>
      <c r="Z226" s="261"/>
      <c r="AA226" s="261"/>
      <c r="AB226" s="179" t="str">
        <f t="shared" si="27"/>
        <v/>
      </c>
      <c r="AC226" s="262" t="str">
        <f t="shared" si="28"/>
        <v/>
      </c>
      <c r="AD226" s="382" t="str">
        <f>IFERROR(IF(AC226="Check Data","Check Data",VLOOKUP(AC226,'G-4 Temporal multipliers'!$A$4:$C$37,3,FALSE)),"")</f>
        <v/>
      </c>
      <c r="AE226" s="171" t="str">
        <f>IF(N226="","",VLOOKUP(N226,'G-7 Rivers Data'!$B$4:$G$8,5,FALSE))</f>
        <v/>
      </c>
      <c r="AF226" s="179" t="str">
        <f t="shared" si="29"/>
        <v/>
      </c>
      <c r="AG226" s="269" t="str">
        <f t="shared" si="30"/>
        <v/>
      </c>
      <c r="AH226" s="172" t="str">
        <f t="shared" si="24"/>
        <v/>
      </c>
      <c r="AI226" s="173"/>
      <c r="AJ226" s="172" t="str">
        <f>IF(AI226="","",IF(VLOOKUP(AI226,'G-7 Rivers Data'!$AA$4:$AB$7,2,FALSE)=0,"Spatial Data Missing",VLOOKUP(AI226,'G-7 Rivers Data'!$AA$4:$AB$7,2,FALSE)))</f>
        <v/>
      </c>
      <c r="AK226" s="187"/>
      <c r="AL226" s="172" t="str">
        <f>IF(AK226="","",IF(VLOOKUP(AK226,'G-7 Rivers Data'!$AD$4:$AE$8,2,FALSE)=0,"Spatial Data Missing",VLOOKUP(AK226,'G-7 Rivers Data'!$AD$4:$AE$8,2,FALSE)))</f>
        <v/>
      </c>
      <c r="AM226" s="265" t="str">
        <f t="shared" si="31"/>
        <v/>
      </c>
      <c r="AN226" s="180"/>
      <c r="AO226" s="181"/>
      <c r="AV226" s="35" t="str">
        <f>IFERROR(INDEX('G-7 Rivers Data'!$AZ$3:$AZ$7,MATCH(N226,'G-7 Rivers Data'!$AY$3:$AY$7,0)),"")</f>
        <v/>
      </c>
    </row>
    <row r="227" spans="2:48" ht="13.8" x14ac:dyDescent="0.25">
      <c r="B227" s="259" t="str">
        <f>'C-1 Site River Baseline'!AN225</f>
        <v/>
      </c>
      <c r="C227" s="175" t="str">
        <f>IF(B227="","",VLOOKUP($B227,'C-1 Site River Baseline'!$C$9:$R$257,2,FALSE))</f>
        <v/>
      </c>
      <c r="D227" s="175" t="str">
        <f>IF(C227="","",VLOOKUP($B227,'C-1 Site River Baseline'!$C$9:$R$257,3,FALSE))</f>
        <v/>
      </c>
      <c r="E227" s="175" t="str">
        <f>IF(D227="","",VLOOKUP($B227,'C-1 Site River Baseline'!$C$9:$R$257,4,FALSE))</f>
        <v/>
      </c>
      <c r="F227" s="175" t="str">
        <f>IF(E227="","",VLOOKUP($B227,'C-1 Site River Baseline'!$C$9:$R$257,5,FALSE))</f>
        <v/>
      </c>
      <c r="G227" s="175" t="str">
        <f>IF(F227="","",VLOOKUP($B227,'C-1 Site River Baseline'!$C$9:$R$257,6,FALSE))</f>
        <v/>
      </c>
      <c r="H227" s="175" t="str">
        <f>IF(G227="","",VLOOKUP($B227,'C-1 Site River Baseline'!$C$9:$R$257,7,FALSE))</f>
        <v/>
      </c>
      <c r="I227" s="175" t="str">
        <f>IF(H227="","",VLOOKUP($B227,'C-1 Site River Baseline'!$C$9:$R$257,8,FALSE))</f>
        <v/>
      </c>
      <c r="J227" s="175" t="str">
        <f>IF(I227="","",VLOOKUP($B227,'C-1 Site River Baseline'!$C$9:$R$257,9,FALSE))</f>
        <v/>
      </c>
      <c r="K227" s="175" t="str">
        <f>IF(J227="","",VLOOKUP($B227,'C-1 Site River Baseline'!$C$9:$R$257,10,FALSE))</f>
        <v/>
      </c>
      <c r="L227" s="175" t="str">
        <f>IF(B227="","",VLOOKUP($B227,'C-1 Site River Baseline'!$C$9:$R$257,15,FALSE))</f>
        <v/>
      </c>
      <c r="M227" s="176" t="str">
        <f>IF(L227="","",VLOOKUP($B227,'C-1 Site River Baseline'!$C$9:$R$257,16,FALSE))</f>
        <v/>
      </c>
      <c r="N227" s="639" t="str">
        <f t="shared" si="25"/>
        <v/>
      </c>
      <c r="O227" s="239" t="str">
        <f t="shared" si="26"/>
        <v/>
      </c>
      <c r="P227" s="172" t="str">
        <f>IF(C227="","",IF(AND(LEFT(C227,55)&lt;&gt;LEFT(N227,55),O227="High - High"),"Error - Not like for like",IF(AND(F227=S227,H227&gt;U227),"Error - Can not reduce condition",IF(AND(F227=S227,H227=U227,AJ227='C-1 Site River Baseline'!N225,'C-1 Site River Baseline'!P225=AL227),"Error - No enhancement",IF(AND(C227&lt;&gt;N227,F227&lt;S227),"Lower Distinctiveness Habitat"&amp;" - "&amp;T227,G227&amp;" - "&amp;T227)))))</f>
        <v/>
      </c>
      <c r="Q227" s="660" t="str">
        <f>IF(N227="","",VLOOKUP(B227,'C-1 Site River Baseline'!$C$10:$AA$257,19,FALSE))</f>
        <v/>
      </c>
      <c r="R227" s="171" t="str">
        <f>IF(N227="","",VLOOKUP(N227,'G-7 Rivers Data'!$B$2:$G$8,2,FALSE))</f>
        <v/>
      </c>
      <c r="S227" s="172" t="str">
        <f>IFERROR(VLOOKUP(R227,'G-7 Rivers Data'!$C$4:$D$8,2,FALSE),"")</f>
        <v/>
      </c>
      <c r="T227" s="173"/>
      <c r="U227" s="172" t="str">
        <f>IFERROR(INDEX('G-7 Rivers Data'!$H$4:$L$8,MATCH(N227,'G-7 Rivers Data'!$B$4:$B$8,0),MATCH(T227,'G-7 Rivers Data'!$H$3:$L$3,0)),"")</f>
        <v/>
      </c>
      <c r="V227" s="186"/>
      <c r="W227" s="175" t="str">
        <f>IF(V227="","",IF(VLOOKUP(V227,'G-7 Rivers Data'!$AG$4:$AI$9,2,FALSE)=0,"Spatial Data Missing",VLOOKUP(V227,'G-7 Rivers Data'!$AG$4:$AI$9,2,FALSE)))</f>
        <v/>
      </c>
      <c r="X227" s="176" t="str">
        <f>IF(V227="","",IF(VLOOKUP(V227,'G-7 Rivers Data'!$AG$4:$AI$9,3,FALSE)=0,"Spatial Data Missing",VLOOKUP(V227,'G-7 Rivers Data'!$AG$4:$AI$9,3,FALSE)))</f>
        <v/>
      </c>
      <c r="Y227" s="171" t="str">
        <f>IFERROR(IF(OR(LEFT(P227,5)="Error",LEFT(O227,5)="Error"),"Check Data",IF(F227&lt;S227,'G-7 Rivers Data'!$R$3,INDEX('G-7 Rivers Data'!$U$5:$Y$9,MATCH(G227,'G-7 Rivers Data'!$T$5:$T$9,0),MATCH(T227,'G-7 Rivers Data'!$U$4:$Y$4,0)))),"")</f>
        <v/>
      </c>
      <c r="Z227" s="261"/>
      <c r="AA227" s="261"/>
      <c r="AB227" s="179" t="str">
        <f t="shared" si="27"/>
        <v/>
      </c>
      <c r="AC227" s="262" t="str">
        <f t="shared" si="28"/>
        <v/>
      </c>
      <c r="AD227" s="382" t="str">
        <f>IFERROR(IF(AC227="Check Data","Check Data",VLOOKUP(AC227,'G-4 Temporal multipliers'!$A$4:$C$37,3,FALSE)),"")</f>
        <v/>
      </c>
      <c r="AE227" s="171" t="str">
        <f>IF(N227="","",VLOOKUP(N227,'G-7 Rivers Data'!$B$4:$G$8,5,FALSE))</f>
        <v/>
      </c>
      <c r="AF227" s="179" t="str">
        <f t="shared" si="29"/>
        <v/>
      </c>
      <c r="AG227" s="269" t="str">
        <f t="shared" si="30"/>
        <v/>
      </c>
      <c r="AH227" s="172" t="str">
        <f t="shared" si="24"/>
        <v/>
      </c>
      <c r="AI227" s="173"/>
      <c r="AJ227" s="172" t="str">
        <f>IF(AI227="","",IF(VLOOKUP(AI227,'G-7 Rivers Data'!$AA$4:$AB$7,2,FALSE)=0,"Spatial Data Missing",VLOOKUP(AI227,'G-7 Rivers Data'!$AA$4:$AB$7,2,FALSE)))</f>
        <v/>
      </c>
      <c r="AK227" s="187"/>
      <c r="AL227" s="172" t="str">
        <f>IF(AK227="","",IF(VLOOKUP(AK227,'G-7 Rivers Data'!$AD$4:$AE$8,2,FALSE)=0,"Spatial Data Missing",VLOOKUP(AK227,'G-7 Rivers Data'!$AD$4:$AE$8,2,FALSE)))</f>
        <v/>
      </c>
      <c r="AM227" s="265" t="str">
        <f t="shared" si="31"/>
        <v/>
      </c>
      <c r="AN227" s="180"/>
      <c r="AO227" s="181"/>
      <c r="AV227" s="35" t="str">
        <f>IFERROR(INDEX('G-7 Rivers Data'!$AZ$3:$AZ$7,MATCH(N227,'G-7 Rivers Data'!$AY$3:$AY$7,0)),"")</f>
        <v/>
      </c>
    </row>
    <row r="228" spans="2:48" ht="13.8" x14ac:dyDescent="0.25">
      <c r="B228" s="259" t="str">
        <f>'C-1 Site River Baseline'!AN226</f>
        <v/>
      </c>
      <c r="C228" s="175" t="str">
        <f>IF(B228="","",VLOOKUP($B228,'C-1 Site River Baseline'!$C$9:$R$257,2,FALSE))</f>
        <v/>
      </c>
      <c r="D228" s="175" t="str">
        <f>IF(C228="","",VLOOKUP($B228,'C-1 Site River Baseline'!$C$9:$R$257,3,FALSE))</f>
        <v/>
      </c>
      <c r="E228" s="175" t="str">
        <f>IF(D228="","",VLOOKUP($B228,'C-1 Site River Baseline'!$C$9:$R$257,4,FALSE))</f>
        <v/>
      </c>
      <c r="F228" s="175" t="str">
        <f>IF(E228="","",VLOOKUP($B228,'C-1 Site River Baseline'!$C$9:$R$257,5,FALSE))</f>
        <v/>
      </c>
      <c r="G228" s="175" t="str">
        <f>IF(F228="","",VLOOKUP($B228,'C-1 Site River Baseline'!$C$9:$R$257,6,FALSE))</f>
        <v/>
      </c>
      <c r="H228" s="175" t="str">
        <f>IF(G228="","",VLOOKUP($B228,'C-1 Site River Baseline'!$C$9:$R$257,7,FALSE))</f>
        <v/>
      </c>
      <c r="I228" s="175" t="str">
        <f>IF(H228="","",VLOOKUP($B228,'C-1 Site River Baseline'!$C$9:$R$257,8,FALSE))</f>
        <v/>
      </c>
      <c r="J228" s="175" t="str">
        <f>IF(I228="","",VLOOKUP($B228,'C-1 Site River Baseline'!$C$9:$R$257,9,FALSE))</f>
        <v/>
      </c>
      <c r="K228" s="175" t="str">
        <f>IF(J228="","",VLOOKUP($B228,'C-1 Site River Baseline'!$C$9:$R$257,10,FALSE))</f>
        <v/>
      </c>
      <c r="L228" s="175" t="str">
        <f>IF(B228="","",VLOOKUP($B228,'C-1 Site River Baseline'!$C$9:$R$257,15,FALSE))</f>
        <v/>
      </c>
      <c r="M228" s="176" t="str">
        <f>IF(L228="","",VLOOKUP($B228,'C-1 Site River Baseline'!$C$9:$R$257,16,FALSE))</f>
        <v/>
      </c>
      <c r="N228" s="639" t="str">
        <f t="shared" si="25"/>
        <v/>
      </c>
      <c r="O228" s="239" t="str">
        <f t="shared" si="26"/>
        <v/>
      </c>
      <c r="P228" s="172" t="str">
        <f>IF(C228="","",IF(AND(LEFT(C228,55)&lt;&gt;LEFT(N228,55),O228="High - High"),"Error - Not like for like",IF(AND(F228=S228,H228&gt;U228),"Error - Can not reduce condition",IF(AND(F228=S228,H228=U228,AJ228='C-1 Site River Baseline'!N226,'C-1 Site River Baseline'!P226=AL228),"Error - No enhancement",IF(AND(C228&lt;&gt;N228,F228&lt;S228),"Lower Distinctiveness Habitat"&amp;" - "&amp;T228,G228&amp;" - "&amp;T228)))))</f>
        <v/>
      </c>
      <c r="Q228" s="660" t="str">
        <f>IF(N228="","",VLOOKUP(B228,'C-1 Site River Baseline'!$C$10:$AA$257,19,FALSE))</f>
        <v/>
      </c>
      <c r="R228" s="171" t="str">
        <f>IF(N228="","",VLOOKUP(N228,'G-7 Rivers Data'!$B$2:$G$8,2,FALSE))</f>
        <v/>
      </c>
      <c r="S228" s="172" t="str">
        <f>IFERROR(VLOOKUP(R228,'G-7 Rivers Data'!$C$4:$D$8,2,FALSE),"")</f>
        <v/>
      </c>
      <c r="T228" s="173"/>
      <c r="U228" s="172" t="str">
        <f>IFERROR(INDEX('G-7 Rivers Data'!$H$4:$L$8,MATCH(N228,'G-7 Rivers Data'!$B$4:$B$8,0),MATCH(T228,'G-7 Rivers Data'!$H$3:$L$3,0)),"")</f>
        <v/>
      </c>
      <c r="V228" s="186"/>
      <c r="W228" s="175" t="str">
        <f>IF(V228="","",IF(VLOOKUP(V228,'G-7 Rivers Data'!$AG$4:$AI$9,2,FALSE)=0,"Spatial Data Missing",VLOOKUP(V228,'G-7 Rivers Data'!$AG$4:$AI$9,2,FALSE)))</f>
        <v/>
      </c>
      <c r="X228" s="176" t="str">
        <f>IF(V228="","",IF(VLOOKUP(V228,'G-7 Rivers Data'!$AG$4:$AI$9,3,FALSE)=0,"Spatial Data Missing",VLOOKUP(V228,'G-7 Rivers Data'!$AG$4:$AI$9,3,FALSE)))</f>
        <v/>
      </c>
      <c r="Y228" s="171" t="str">
        <f>IFERROR(IF(OR(LEFT(P228,5)="Error",LEFT(O228,5)="Error"),"Check Data",IF(F228&lt;S228,'G-7 Rivers Data'!$R$3,INDEX('G-7 Rivers Data'!$U$5:$Y$9,MATCH(G228,'G-7 Rivers Data'!$T$5:$T$9,0),MATCH(T228,'G-7 Rivers Data'!$U$4:$Y$4,0)))),"")</f>
        <v/>
      </c>
      <c r="Z228" s="261"/>
      <c r="AA228" s="261"/>
      <c r="AB228" s="179" t="str">
        <f t="shared" si="27"/>
        <v/>
      </c>
      <c r="AC228" s="262" t="str">
        <f t="shared" si="28"/>
        <v/>
      </c>
      <c r="AD228" s="382" t="str">
        <f>IFERROR(IF(AC228="Check Data","Check Data",VLOOKUP(AC228,'G-4 Temporal multipliers'!$A$4:$C$37,3,FALSE)),"")</f>
        <v/>
      </c>
      <c r="AE228" s="171" t="str">
        <f>IF(N228="","",VLOOKUP(N228,'G-7 Rivers Data'!$B$4:$G$8,5,FALSE))</f>
        <v/>
      </c>
      <c r="AF228" s="179" t="str">
        <f t="shared" si="29"/>
        <v/>
      </c>
      <c r="AG228" s="269" t="str">
        <f t="shared" si="30"/>
        <v/>
      </c>
      <c r="AH228" s="172" t="str">
        <f t="shared" si="24"/>
        <v/>
      </c>
      <c r="AI228" s="173"/>
      <c r="AJ228" s="172" t="str">
        <f>IF(AI228="","",IF(VLOOKUP(AI228,'G-7 Rivers Data'!$AA$4:$AB$7,2,FALSE)=0,"Spatial Data Missing",VLOOKUP(AI228,'G-7 Rivers Data'!$AA$4:$AB$7,2,FALSE)))</f>
        <v/>
      </c>
      <c r="AK228" s="187"/>
      <c r="AL228" s="172" t="str">
        <f>IF(AK228="","",IF(VLOOKUP(AK228,'G-7 Rivers Data'!$AD$4:$AE$8,2,FALSE)=0,"Spatial Data Missing",VLOOKUP(AK228,'G-7 Rivers Data'!$AD$4:$AE$8,2,FALSE)))</f>
        <v/>
      </c>
      <c r="AM228" s="265" t="str">
        <f t="shared" si="31"/>
        <v/>
      </c>
      <c r="AN228" s="180"/>
      <c r="AO228" s="181"/>
      <c r="AV228" s="35" t="str">
        <f>IFERROR(INDEX('G-7 Rivers Data'!$AZ$3:$AZ$7,MATCH(N228,'G-7 Rivers Data'!$AY$3:$AY$7,0)),"")</f>
        <v/>
      </c>
    </row>
    <row r="229" spans="2:48" ht="13.8" x14ac:dyDescent="0.25">
      <c r="B229" s="259" t="str">
        <f>'C-1 Site River Baseline'!AN227</f>
        <v/>
      </c>
      <c r="C229" s="175" t="str">
        <f>IF(B229="","",VLOOKUP($B229,'C-1 Site River Baseline'!$C$9:$R$257,2,FALSE))</f>
        <v/>
      </c>
      <c r="D229" s="175" t="str">
        <f>IF(C229="","",VLOOKUP($B229,'C-1 Site River Baseline'!$C$9:$R$257,3,FALSE))</f>
        <v/>
      </c>
      <c r="E229" s="175" t="str">
        <f>IF(D229="","",VLOOKUP($B229,'C-1 Site River Baseline'!$C$9:$R$257,4,FALSE))</f>
        <v/>
      </c>
      <c r="F229" s="175" t="str">
        <f>IF(E229="","",VLOOKUP($B229,'C-1 Site River Baseline'!$C$9:$R$257,5,FALSE))</f>
        <v/>
      </c>
      <c r="G229" s="175" t="str">
        <f>IF(F229="","",VLOOKUP($B229,'C-1 Site River Baseline'!$C$9:$R$257,6,FALSE))</f>
        <v/>
      </c>
      <c r="H229" s="175" t="str">
        <f>IF(G229="","",VLOOKUP($B229,'C-1 Site River Baseline'!$C$9:$R$257,7,FALSE))</f>
        <v/>
      </c>
      <c r="I229" s="175" t="str">
        <f>IF(H229="","",VLOOKUP($B229,'C-1 Site River Baseline'!$C$9:$R$257,8,FALSE))</f>
        <v/>
      </c>
      <c r="J229" s="175" t="str">
        <f>IF(I229="","",VLOOKUP($B229,'C-1 Site River Baseline'!$C$9:$R$257,9,FALSE))</f>
        <v/>
      </c>
      <c r="K229" s="175" t="str">
        <f>IF(J229="","",VLOOKUP($B229,'C-1 Site River Baseline'!$C$9:$R$257,10,FALSE))</f>
        <v/>
      </c>
      <c r="L229" s="175" t="str">
        <f>IF(B229="","",VLOOKUP($B229,'C-1 Site River Baseline'!$C$9:$R$257,15,FALSE))</f>
        <v/>
      </c>
      <c r="M229" s="176" t="str">
        <f>IF(L229="","",VLOOKUP($B229,'C-1 Site River Baseline'!$C$9:$R$257,16,FALSE))</f>
        <v/>
      </c>
      <c r="N229" s="639" t="str">
        <f t="shared" si="25"/>
        <v/>
      </c>
      <c r="O229" s="239" t="str">
        <f t="shared" si="26"/>
        <v/>
      </c>
      <c r="P229" s="172" t="str">
        <f>IF(C229="","",IF(AND(LEFT(C229,55)&lt;&gt;LEFT(N229,55),O229="High - High"),"Error - Not like for like",IF(AND(F229=S229,H229&gt;U229),"Error - Can not reduce condition",IF(AND(F229=S229,H229=U229,AJ229='C-1 Site River Baseline'!N227,'C-1 Site River Baseline'!P227=AL229),"Error - No enhancement",IF(AND(C229&lt;&gt;N229,F229&lt;S229),"Lower Distinctiveness Habitat"&amp;" - "&amp;T229,G229&amp;" - "&amp;T229)))))</f>
        <v/>
      </c>
      <c r="Q229" s="660" t="str">
        <f>IF(N229="","",VLOOKUP(B229,'C-1 Site River Baseline'!$C$10:$AA$257,19,FALSE))</f>
        <v/>
      </c>
      <c r="R229" s="171" t="str">
        <f>IF(N229="","",VLOOKUP(N229,'G-7 Rivers Data'!$B$2:$G$8,2,FALSE))</f>
        <v/>
      </c>
      <c r="S229" s="172" t="str">
        <f>IFERROR(VLOOKUP(R229,'G-7 Rivers Data'!$C$4:$D$8,2,FALSE),"")</f>
        <v/>
      </c>
      <c r="T229" s="173"/>
      <c r="U229" s="172" t="str">
        <f>IFERROR(INDEX('G-7 Rivers Data'!$H$4:$L$8,MATCH(N229,'G-7 Rivers Data'!$B$4:$B$8,0),MATCH(T229,'G-7 Rivers Data'!$H$3:$L$3,0)),"")</f>
        <v/>
      </c>
      <c r="V229" s="186"/>
      <c r="W229" s="175" t="str">
        <f>IF(V229="","",IF(VLOOKUP(V229,'G-7 Rivers Data'!$AG$4:$AI$9,2,FALSE)=0,"Spatial Data Missing",VLOOKUP(V229,'G-7 Rivers Data'!$AG$4:$AI$9,2,FALSE)))</f>
        <v/>
      </c>
      <c r="X229" s="176" t="str">
        <f>IF(V229="","",IF(VLOOKUP(V229,'G-7 Rivers Data'!$AG$4:$AI$9,3,FALSE)=0,"Spatial Data Missing",VLOOKUP(V229,'G-7 Rivers Data'!$AG$4:$AI$9,3,FALSE)))</f>
        <v/>
      </c>
      <c r="Y229" s="171" t="str">
        <f>IFERROR(IF(OR(LEFT(P229,5)="Error",LEFT(O229,5)="Error"),"Check Data",IF(F229&lt;S229,'G-7 Rivers Data'!$R$3,INDEX('G-7 Rivers Data'!$U$5:$Y$9,MATCH(G229,'G-7 Rivers Data'!$T$5:$T$9,0),MATCH(T229,'G-7 Rivers Data'!$U$4:$Y$4,0)))),"")</f>
        <v/>
      </c>
      <c r="Z229" s="261"/>
      <c r="AA229" s="261"/>
      <c r="AB229" s="179" t="str">
        <f t="shared" si="27"/>
        <v/>
      </c>
      <c r="AC229" s="262" t="str">
        <f t="shared" si="28"/>
        <v/>
      </c>
      <c r="AD229" s="382" t="str">
        <f>IFERROR(IF(AC229="Check Data","Check Data",VLOOKUP(AC229,'G-4 Temporal multipliers'!$A$4:$C$37,3,FALSE)),"")</f>
        <v/>
      </c>
      <c r="AE229" s="171" t="str">
        <f>IF(N229="","",VLOOKUP(N229,'G-7 Rivers Data'!$B$4:$G$8,5,FALSE))</f>
        <v/>
      </c>
      <c r="AF229" s="179" t="str">
        <f t="shared" si="29"/>
        <v/>
      </c>
      <c r="AG229" s="269" t="str">
        <f t="shared" si="30"/>
        <v/>
      </c>
      <c r="AH229" s="172" t="str">
        <f t="shared" si="24"/>
        <v/>
      </c>
      <c r="AI229" s="173"/>
      <c r="AJ229" s="172" t="str">
        <f>IF(AI229="","",IF(VLOOKUP(AI229,'G-7 Rivers Data'!$AA$4:$AB$7,2,FALSE)=0,"Spatial Data Missing",VLOOKUP(AI229,'G-7 Rivers Data'!$AA$4:$AB$7,2,FALSE)))</f>
        <v/>
      </c>
      <c r="AK229" s="187"/>
      <c r="AL229" s="172" t="str">
        <f>IF(AK229="","",IF(VLOOKUP(AK229,'G-7 Rivers Data'!$AD$4:$AE$8,2,FALSE)=0,"Spatial Data Missing",VLOOKUP(AK229,'G-7 Rivers Data'!$AD$4:$AE$8,2,FALSE)))</f>
        <v/>
      </c>
      <c r="AM229" s="265" t="str">
        <f t="shared" si="31"/>
        <v/>
      </c>
      <c r="AN229" s="180"/>
      <c r="AO229" s="181"/>
      <c r="AV229" s="35" t="str">
        <f>IFERROR(INDEX('G-7 Rivers Data'!$AZ$3:$AZ$7,MATCH(N229,'G-7 Rivers Data'!$AY$3:$AY$7,0)),"")</f>
        <v/>
      </c>
    </row>
    <row r="230" spans="2:48" ht="13.8" x14ac:dyDescent="0.25">
      <c r="B230" s="259" t="str">
        <f>'C-1 Site River Baseline'!AN228</f>
        <v/>
      </c>
      <c r="C230" s="175" t="str">
        <f>IF(B230="","",VLOOKUP($B230,'C-1 Site River Baseline'!$C$9:$R$257,2,FALSE))</f>
        <v/>
      </c>
      <c r="D230" s="175" t="str">
        <f>IF(C230="","",VLOOKUP($B230,'C-1 Site River Baseline'!$C$9:$R$257,3,FALSE))</f>
        <v/>
      </c>
      <c r="E230" s="175" t="str">
        <f>IF(D230="","",VLOOKUP($B230,'C-1 Site River Baseline'!$C$9:$R$257,4,FALSE))</f>
        <v/>
      </c>
      <c r="F230" s="175" t="str">
        <f>IF(E230="","",VLOOKUP($B230,'C-1 Site River Baseline'!$C$9:$R$257,5,FALSE))</f>
        <v/>
      </c>
      <c r="G230" s="175" t="str">
        <f>IF(F230="","",VLOOKUP($B230,'C-1 Site River Baseline'!$C$9:$R$257,6,FALSE))</f>
        <v/>
      </c>
      <c r="H230" s="175" t="str">
        <f>IF(G230="","",VLOOKUP($B230,'C-1 Site River Baseline'!$C$9:$R$257,7,FALSE))</f>
        <v/>
      </c>
      <c r="I230" s="175" t="str">
        <f>IF(H230="","",VLOOKUP($B230,'C-1 Site River Baseline'!$C$9:$R$257,8,FALSE))</f>
        <v/>
      </c>
      <c r="J230" s="175" t="str">
        <f>IF(I230="","",VLOOKUP($B230,'C-1 Site River Baseline'!$C$9:$R$257,9,FALSE))</f>
        <v/>
      </c>
      <c r="K230" s="175" t="str">
        <f>IF(J230="","",VLOOKUP($B230,'C-1 Site River Baseline'!$C$9:$R$257,10,FALSE))</f>
        <v/>
      </c>
      <c r="L230" s="175" t="str">
        <f>IF(B230="","",VLOOKUP($B230,'C-1 Site River Baseline'!$C$9:$R$257,15,FALSE))</f>
        <v/>
      </c>
      <c r="M230" s="176" t="str">
        <f>IF(L230="","",VLOOKUP($B230,'C-1 Site River Baseline'!$C$9:$R$257,16,FALSE))</f>
        <v/>
      </c>
      <c r="N230" s="639" t="str">
        <f t="shared" si="25"/>
        <v/>
      </c>
      <c r="O230" s="239" t="str">
        <f t="shared" si="26"/>
        <v/>
      </c>
      <c r="P230" s="172" t="str">
        <f>IF(C230="","",IF(AND(LEFT(C230,55)&lt;&gt;LEFT(N230,55),O230="High - High"),"Error - Not like for like",IF(AND(F230=S230,H230&gt;U230),"Error - Can not reduce condition",IF(AND(F230=S230,H230=U230,AJ230='C-1 Site River Baseline'!N228,'C-1 Site River Baseline'!P228=AL230),"Error - No enhancement",IF(AND(C230&lt;&gt;N230,F230&lt;S230),"Lower Distinctiveness Habitat"&amp;" - "&amp;T230,G230&amp;" - "&amp;T230)))))</f>
        <v/>
      </c>
      <c r="Q230" s="660" t="str">
        <f>IF(N230="","",VLOOKUP(B230,'C-1 Site River Baseline'!$C$10:$AA$257,19,FALSE))</f>
        <v/>
      </c>
      <c r="R230" s="171" t="str">
        <f>IF(N230="","",VLOOKUP(N230,'G-7 Rivers Data'!$B$2:$G$8,2,FALSE))</f>
        <v/>
      </c>
      <c r="S230" s="172" t="str">
        <f>IFERROR(VLOOKUP(R230,'G-7 Rivers Data'!$C$4:$D$8,2,FALSE),"")</f>
        <v/>
      </c>
      <c r="T230" s="173"/>
      <c r="U230" s="172" t="str">
        <f>IFERROR(INDEX('G-7 Rivers Data'!$H$4:$L$8,MATCH(N230,'G-7 Rivers Data'!$B$4:$B$8,0),MATCH(T230,'G-7 Rivers Data'!$H$3:$L$3,0)),"")</f>
        <v/>
      </c>
      <c r="V230" s="186"/>
      <c r="W230" s="175" t="str">
        <f>IF(V230="","",IF(VLOOKUP(V230,'G-7 Rivers Data'!$AG$4:$AI$9,2,FALSE)=0,"Spatial Data Missing",VLOOKUP(V230,'G-7 Rivers Data'!$AG$4:$AI$9,2,FALSE)))</f>
        <v/>
      </c>
      <c r="X230" s="176" t="str">
        <f>IF(V230="","",IF(VLOOKUP(V230,'G-7 Rivers Data'!$AG$4:$AI$9,3,FALSE)=0,"Spatial Data Missing",VLOOKUP(V230,'G-7 Rivers Data'!$AG$4:$AI$9,3,FALSE)))</f>
        <v/>
      </c>
      <c r="Y230" s="171" t="str">
        <f>IFERROR(IF(OR(LEFT(P230,5)="Error",LEFT(O230,5)="Error"),"Check Data",IF(F230&lt;S230,'G-7 Rivers Data'!$R$3,INDEX('G-7 Rivers Data'!$U$5:$Y$9,MATCH(G230,'G-7 Rivers Data'!$T$5:$T$9,0),MATCH(T230,'G-7 Rivers Data'!$U$4:$Y$4,0)))),"")</f>
        <v/>
      </c>
      <c r="Z230" s="261"/>
      <c r="AA230" s="261"/>
      <c r="AB230" s="179" t="str">
        <f t="shared" si="27"/>
        <v/>
      </c>
      <c r="AC230" s="262" t="str">
        <f t="shared" si="28"/>
        <v/>
      </c>
      <c r="AD230" s="382" t="str">
        <f>IFERROR(IF(AC230="Check Data","Check Data",VLOOKUP(AC230,'G-4 Temporal multipliers'!$A$4:$C$37,3,FALSE)),"")</f>
        <v/>
      </c>
      <c r="AE230" s="171" t="str">
        <f>IF(N230="","",VLOOKUP(N230,'G-7 Rivers Data'!$B$4:$G$8,5,FALSE))</f>
        <v/>
      </c>
      <c r="AF230" s="179" t="str">
        <f t="shared" si="29"/>
        <v/>
      </c>
      <c r="AG230" s="269" t="str">
        <f t="shared" si="30"/>
        <v/>
      </c>
      <c r="AH230" s="172" t="str">
        <f t="shared" si="24"/>
        <v/>
      </c>
      <c r="AI230" s="173"/>
      <c r="AJ230" s="172" t="str">
        <f>IF(AI230="","",IF(VLOOKUP(AI230,'G-7 Rivers Data'!$AA$4:$AB$7,2,FALSE)=0,"Spatial Data Missing",VLOOKUP(AI230,'G-7 Rivers Data'!$AA$4:$AB$7,2,FALSE)))</f>
        <v/>
      </c>
      <c r="AK230" s="187"/>
      <c r="AL230" s="172" t="str">
        <f>IF(AK230="","",IF(VLOOKUP(AK230,'G-7 Rivers Data'!$AD$4:$AE$8,2,FALSE)=0,"Spatial Data Missing",VLOOKUP(AK230,'G-7 Rivers Data'!$AD$4:$AE$8,2,FALSE)))</f>
        <v/>
      </c>
      <c r="AM230" s="265" t="str">
        <f t="shared" si="31"/>
        <v/>
      </c>
      <c r="AN230" s="180"/>
      <c r="AO230" s="181"/>
      <c r="AV230" s="35" t="str">
        <f>IFERROR(INDEX('G-7 Rivers Data'!$AZ$3:$AZ$7,MATCH(N230,'G-7 Rivers Data'!$AY$3:$AY$7,0)),"")</f>
        <v/>
      </c>
    </row>
    <row r="231" spans="2:48" ht="13.8" x14ac:dyDescent="0.25">
      <c r="B231" s="259" t="str">
        <f>'C-1 Site River Baseline'!AN229</f>
        <v/>
      </c>
      <c r="C231" s="175" t="str">
        <f>IF(B231="","",VLOOKUP($B231,'C-1 Site River Baseline'!$C$9:$R$257,2,FALSE))</f>
        <v/>
      </c>
      <c r="D231" s="175" t="str">
        <f>IF(C231="","",VLOOKUP($B231,'C-1 Site River Baseline'!$C$9:$R$257,3,FALSE))</f>
        <v/>
      </c>
      <c r="E231" s="175" t="str">
        <f>IF(D231="","",VLOOKUP($B231,'C-1 Site River Baseline'!$C$9:$R$257,4,FALSE))</f>
        <v/>
      </c>
      <c r="F231" s="175" t="str">
        <f>IF(E231="","",VLOOKUP($B231,'C-1 Site River Baseline'!$C$9:$R$257,5,FALSE))</f>
        <v/>
      </c>
      <c r="G231" s="175" t="str">
        <f>IF(F231="","",VLOOKUP($B231,'C-1 Site River Baseline'!$C$9:$R$257,6,FALSE))</f>
        <v/>
      </c>
      <c r="H231" s="175" t="str">
        <f>IF(G231="","",VLOOKUP($B231,'C-1 Site River Baseline'!$C$9:$R$257,7,FALSE))</f>
        <v/>
      </c>
      <c r="I231" s="175" t="str">
        <f>IF(H231="","",VLOOKUP($B231,'C-1 Site River Baseline'!$C$9:$R$257,8,FALSE))</f>
        <v/>
      </c>
      <c r="J231" s="175" t="str">
        <f>IF(I231="","",VLOOKUP($B231,'C-1 Site River Baseline'!$C$9:$R$257,9,FALSE))</f>
        <v/>
      </c>
      <c r="K231" s="175" t="str">
        <f>IF(J231="","",VLOOKUP($B231,'C-1 Site River Baseline'!$C$9:$R$257,10,FALSE))</f>
        <v/>
      </c>
      <c r="L231" s="175" t="str">
        <f>IF(B231="","",VLOOKUP($B231,'C-1 Site River Baseline'!$C$9:$R$257,15,FALSE))</f>
        <v/>
      </c>
      <c r="M231" s="176" t="str">
        <f>IF(L231="","",VLOOKUP($B231,'C-1 Site River Baseline'!$C$9:$R$257,16,FALSE))</f>
        <v/>
      </c>
      <c r="N231" s="639" t="str">
        <f t="shared" si="25"/>
        <v/>
      </c>
      <c r="O231" s="239" t="str">
        <f t="shared" si="26"/>
        <v/>
      </c>
      <c r="P231" s="172" t="str">
        <f>IF(C231="","",IF(AND(LEFT(C231,55)&lt;&gt;LEFT(N231,55),O231="High - High"),"Error - Not like for like",IF(AND(F231=S231,H231&gt;U231),"Error - Can not reduce condition",IF(AND(F231=S231,H231=U231,AJ231='C-1 Site River Baseline'!N229,'C-1 Site River Baseline'!P229=AL231),"Error - No enhancement",IF(AND(C231&lt;&gt;N231,F231&lt;S231),"Lower Distinctiveness Habitat"&amp;" - "&amp;T231,G231&amp;" - "&amp;T231)))))</f>
        <v/>
      </c>
      <c r="Q231" s="660" t="str">
        <f>IF(N231="","",VLOOKUP(B231,'C-1 Site River Baseline'!$C$10:$AA$257,19,FALSE))</f>
        <v/>
      </c>
      <c r="R231" s="171" t="str">
        <f>IF(N231="","",VLOOKUP(N231,'G-7 Rivers Data'!$B$2:$G$8,2,FALSE))</f>
        <v/>
      </c>
      <c r="S231" s="172" t="str">
        <f>IFERROR(VLOOKUP(R231,'G-7 Rivers Data'!$C$4:$D$8,2,FALSE),"")</f>
        <v/>
      </c>
      <c r="T231" s="173"/>
      <c r="U231" s="172" t="str">
        <f>IFERROR(INDEX('G-7 Rivers Data'!$H$4:$L$8,MATCH(N231,'G-7 Rivers Data'!$B$4:$B$8,0),MATCH(T231,'G-7 Rivers Data'!$H$3:$L$3,0)),"")</f>
        <v/>
      </c>
      <c r="V231" s="186"/>
      <c r="W231" s="175" t="str">
        <f>IF(V231="","",IF(VLOOKUP(V231,'G-7 Rivers Data'!$AG$4:$AI$9,2,FALSE)=0,"Spatial Data Missing",VLOOKUP(V231,'G-7 Rivers Data'!$AG$4:$AI$9,2,FALSE)))</f>
        <v/>
      </c>
      <c r="X231" s="176" t="str">
        <f>IF(V231="","",IF(VLOOKUP(V231,'G-7 Rivers Data'!$AG$4:$AI$9,3,FALSE)=0,"Spatial Data Missing",VLOOKUP(V231,'G-7 Rivers Data'!$AG$4:$AI$9,3,FALSE)))</f>
        <v/>
      </c>
      <c r="Y231" s="171" t="str">
        <f>IFERROR(IF(OR(LEFT(P231,5)="Error",LEFT(O231,5)="Error"),"Check Data",IF(F231&lt;S231,'G-7 Rivers Data'!$R$3,INDEX('G-7 Rivers Data'!$U$5:$Y$9,MATCH(G231,'G-7 Rivers Data'!$T$5:$T$9,0),MATCH(T231,'G-7 Rivers Data'!$U$4:$Y$4,0)))),"")</f>
        <v/>
      </c>
      <c r="Z231" s="261"/>
      <c r="AA231" s="261"/>
      <c r="AB231" s="179" t="str">
        <f t="shared" si="27"/>
        <v/>
      </c>
      <c r="AC231" s="262" t="str">
        <f t="shared" si="28"/>
        <v/>
      </c>
      <c r="AD231" s="382" t="str">
        <f>IFERROR(IF(AC231="Check Data","Check Data",VLOOKUP(AC231,'G-4 Temporal multipliers'!$A$4:$C$37,3,FALSE)),"")</f>
        <v/>
      </c>
      <c r="AE231" s="171" t="str">
        <f>IF(N231="","",VLOOKUP(N231,'G-7 Rivers Data'!$B$4:$G$8,5,FALSE))</f>
        <v/>
      </c>
      <c r="AF231" s="179" t="str">
        <f t="shared" si="29"/>
        <v/>
      </c>
      <c r="AG231" s="269" t="str">
        <f t="shared" si="30"/>
        <v/>
      </c>
      <c r="AH231" s="172" t="str">
        <f t="shared" si="24"/>
        <v/>
      </c>
      <c r="AI231" s="173"/>
      <c r="AJ231" s="172" t="str">
        <f>IF(AI231="","",IF(VLOOKUP(AI231,'G-7 Rivers Data'!$AA$4:$AB$7,2,FALSE)=0,"Spatial Data Missing",VLOOKUP(AI231,'G-7 Rivers Data'!$AA$4:$AB$7,2,FALSE)))</f>
        <v/>
      </c>
      <c r="AK231" s="187"/>
      <c r="AL231" s="172" t="str">
        <f>IF(AK231="","",IF(VLOOKUP(AK231,'G-7 Rivers Data'!$AD$4:$AE$8,2,FALSE)=0,"Spatial Data Missing",VLOOKUP(AK231,'G-7 Rivers Data'!$AD$4:$AE$8,2,FALSE)))</f>
        <v/>
      </c>
      <c r="AM231" s="265" t="str">
        <f t="shared" si="31"/>
        <v/>
      </c>
      <c r="AN231" s="180"/>
      <c r="AO231" s="181"/>
      <c r="AV231" s="35" t="str">
        <f>IFERROR(INDEX('G-7 Rivers Data'!$AZ$3:$AZ$7,MATCH(N231,'G-7 Rivers Data'!$AY$3:$AY$7,0)),"")</f>
        <v/>
      </c>
    </row>
    <row r="232" spans="2:48" ht="13.8" x14ac:dyDescent="0.25">
      <c r="B232" s="259" t="str">
        <f>'C-1 Site River Baseline'!AN230</f>
        <v/>
      </c>
      <c r="C232" s="175" t="str">
        <f>IF(B232="","",VLOOKUP($B232,'C-1 Site River Baseline'!$C$9:$R$257,2,FALSE))</f>
        <v/>
      </c>
      <c r="D232" s="175" t="str">
        <f>IF(C232="","",VLOOKUP($B232,'C-1 Site River Baseline'!$C$9:$R$257,3,FALSE))</f>
        <v/>
      </c>
      <c r="E232" s="175" t="str">
        <f>IF(D232="","",VLOOKUP($B232,'C-1 Site River Baseline'!$C$9:$R$257,4,FALSE))</f>
        <v/>
      </c>
      <c r="F232" s="175" t="str">
        <f>IF(E232="","",VLOOKUP($B232,'C-1 Site River Baseline'!$C$9:$R$257,5,FALSE))</f>
        <v/>
      </c>
      <c r="G232" s="175" t="str">
        <f>IF(F232="","",VLOOKUP($B232,'C-1 Site River Baseline'!$C$9:$R$257,6,FALSE))</f>
        <v/>
      </c>
      <c r="H232" s="175" t="str">
        <f>IF(G232="","",VLOOKUP($B232,'C-1 Site River Baseline'!$C$9:$R$257,7,FALSE))</f>
        <v/>
      </c>
      <c r="I232" s="175" t="str">
        <f>IF(H232="","",VLOOKUP($B232,'C-1 Site River Baseline'!$C$9:$R$257,8,FALSE))</f>
        <v/>
      </c>
      <c r="J232" s="175" t="str">
        <f>IF(I232="","",VLOOKUP($B232,'C-1 Site River Baseline'!$C$9:$R$257,9,FALSE))</f>
        <v/>
      </c>
      <c r="K232" s="175" t="str">
        <f>IF(J232="","",VLOOKUP($B232,'C-1 Site River Baseline'!$C$9:$R$257,10,FALSE))</f>
        <v/>
      </c>
      <c r="L232" s="175" t="str">
        <f>IF(B232="","",VLOOKUP($B232,'C-1 Site River Baseline'!$C$9:$R$257,15,FALSE))</f>
        <v/>
      </c>
      <c r="M232" s="176" t="str">
        <f>IF(L232="","",VLOOKUP($B232,'C-1 Site River Baseline'!$C$9:$R$257,16,FALSE))</f>
        <v/>
      </c>
      <c r="N232" s="639" t="str">
        <f t="shared" si="25"/>
        <v/>
      </c>
      <c r="O232" s="239" t="str">
        <f t="shared" si="26"/>
        <v/>
      </c>
      <c r="P232" s="172" t="str">
        <f>IF(C232="","",IF(AND(LEFT(C232,55)&lt;&gt;LEFT(N232,55),O232="High - High"),"Error - Not like for like",IF(AND(F232=S232,H232&gt;U232),"Error - Can not reduce condition",IF(AND(F232=S232,H232=U232,AJ232='C-1 Site River Baseline'!N230,'C-1 Site River Baseline'!P230=AL232),"Error - No enhancement",IF(AND(C232&lt;&gt;N232,F232&lt;S232),"Lower Distinctiveness Habitat"&amp;" - "&amp;T232,G232&amp;" - "&amp;T232)))))</f>
        <v/>
      </c>
      <c r="Q232" s="660" t="str">
        <f>IF(N232="","",VLOOKUP(B232,'C-1 Site River Baseline'!$C$10:$AA$257,19,FALSE))</f>
        <v/>
      </c>
      <c r="R232" s="171" t="str">
        <f>IF(N232="","",VLOOKUP(N232,'G-7 Rivers Data'!$B$2:$G$8,2,FALSE))</f>
        <v/>
      </c>
      <c r="S232" s="172" t="str">
        <f>IFERROR(VLOOKUP(R232,'G-7 Rivers Data'!$C$4:$D$8,2,FALSE),"")</f>
        <v/>
      </c>
      <c r="T232" s="173"/>
      <c r="U232" s="172" t="str">
        <f>IFERROR(INDEX('G-7 Rivers Data'!$H$4:$L$8,MATCH(N232,'G-7 Rivers Data'!$B$4:$B$8,0),MATCH(T232,'G-7 Rivers Data'!$H$3:$L$3,0)),"")</f>
        <v/>
      </c>
      <c r="V232" s="186"/>
      <c r="W232" s="175" t="str">
        <f>IF(V232="","",IF(VLOOKUP(V232,'G-7 Rivers Data'!$AG$4:$AI$9,2,FALSE)=0,"Spatial Data Missing",VLOOKUP(V232,'G-7 Rivers Data'!$AG$4:$AI$9,2,FALSE)))</f>
        <v/>
      </c>
      <c r="X232" s="176" t="str">
        <f>IF(V232="","",IF(VLOOKUP(V232,'G-7 Rivers Data'!$AG$4:$AI$9,3,FALSE)=0,"Spatial Data Missing",VLOOKUP(V232,'G-7 Rivers Data'!$AG$4:$AI$9,3,FALSE)))</f>
        <v/>
      </c>
      <c r="Y232" s="171" t="str">
        <f>IFERROR(IF(OR(LEFT(P232,5)="Error",LEFT(O232,5)="Error"),"Check Data",IF(F232&lt;S232,'G-7 Rivers Data'!$R$3,INDEX('G-7 Rivers Data'!$U$5:$Y$9,MATCH(G232,'G-7 Rivers Data'!$T$5:$T$9,0),MATCH(T232,'G-7 Rivers Data'!$U$4:$Y$4,0)))),"")</f>
        <v/>
      </c>
      <c r="Z232" s="261"/>
      <c r="AA232" s="261"/>
      <c r="AB232" s="179" t="str">
        <f t="shared" si="27"/>
        <v/>
      </c>
      <c r="AC232" s="262" t="str">
        <f t="shared" si="28"/>
        <v/>
      </c>
      <c r="AD232" s="382" t="str">
        <f>IFERROR(IF(AC232="Check Data","Check Data",VLOOKUP(AC232,'G-4 Temporal multipliers'!$A$4:$C$37,3,FALSE)),"")</f>
        <v/>
      </c>
      <c r="AE232" s="171" t="str">
        <f>IF(N232="","",VLOOKUP(N232,'G-7 Rivers Data'!$B$4:$G$8,5,FALSE))</f>
        <v/>
      </c>
      <c r="AF232" s="179" t="str">
        <f t="shared" si="29"/>
        <v/>
      </c>
      <c r="AG232" s="269" t="str">
        <f t="shared" si="30"/>
        <v/>
      </c>
      <c r="AH232" s="172" t="str">
        <f t="shared" si="24"/>
        <v/>
      </c>
      <c r="AI232" s="173"/>
      <c r="AJ232" s="172" t="str">
        <f>IF(AI232="","",IF(VLOOKUP(AI232,'G-7 Rivers Data'!$AA$4:$AB$7,2,FALSE)=0,"Spatial Data Missing",VLOOKUP(AI232,'G-7 Rivers Data'!$AA$4:$AB$7,2,FALSE)))</f>
        <v/>
      </c>
      <c r="AK232" s="187"/>
      <c r="AL232" s="172" t="str">
        <f>IF(AK232="","",IF(VLOOKUP(AK232,'G-7 Rivers Data'!$AD$4:$AE$8,2,FALSE)=0,"Spatial Data Missing",VLOOKUP(AK232,'G-7 Rivers Data'!$AD$4:$AE$8,2,FALSE)))</f>
        <v/>
      </c>
      <c r="AM232" s="265" t="str">
        <f t="shared" si="31"/>
        <v/>
      </c>
      <c r="AN232" s="180"/>
      <c r="AO232" s="181"/>
      <c r="AV232" s="35" t="str">
        <f>IFERROR(INDEX('G-7 Rivers Data'!$AZ$3:$AZ$7,MATCH(N232,'G-7 Rivers Data'!$AY$3:$AY$7,0)),"")</f>
        <v/>
      </c>
    </row>
    <row r="233" spans="2:48" ht="13.8" x14ac:dyDescent="0.25">
      <c r="B233" s="259" t="str">
        <f>'C-1 Site River Baseline'!AN231</f>
        <v/>
      </c>
      <c r="C233" s="175" t="str">
        <f>IF(B233="","",VLOOKUP($B233,'C-1 Site River Baseline'!$C$9:$R$257,2,FALSE))</f>
        <v/>
      </c>
      <c r="D233" s="175" t="str">
        <f>IF(C233="","",VLOOKUP($B233,'C-1 Site River Baseline'!$C$9:$R$257,3,FALSE))</f>
        <v/>
      </c>
      <c r="E233" s="175" t="str">
        <f>IF(D233="","",VLOOKUP($B233,'C-1 Site River Baseline'!$C$9:$R$257,4,FALSE))</f>
        <v/>
      </c>
      <c r="F233" s="175" t="str">
        <f>IF(E233="","",VLOOKUP($B233,'C-1 Site River Baseline'!$C$9:$R$257,5,FALSE))</f>
        <v/>
      </c>
      <c r="G233" s="175" t="str">
        <f>IF(F233="","",VLOOKUP($B233,'C-1 Site River Baseline'!$C$9:$R$257,6,FALSE))</f>
        <v/>
      </c>
      <c r="H233" s="175" t="str">
        <f>IF(G233="","",VLOOKUP($B233,'C-1 Site River Baseline'!$C$9:$R$257,7,FALSE))</f>
        <v/>
      </c>
      <c r="I233" s="175" t="str">
        <f>IF(H233="","",VLOOKUP($B233,'C-1 Site River Baseline'!$C$9:$R$257,8,FALSE))</f>
        <v/>
      </c>
      <c r="J233" s="175" t="str">
        <f>IF(I233="","",VLOOKUP($B233,'C-1 Site River Baseline'!$C$9:$R$257,9,FALSE))</f>
        <v/>
      </c>
      <c r="K233" s="175" t="str">
        <f>IF(J233="","",VLOOKUP($B233,'C-1 Site River Baseline'!$C$9:$R$257,10,FALSE))</f>
        <v/>
      </c>
      <c r="L233" s="175" t="str">
        <f>IF(B233="","",VLOOKUP($B233,'C-1 Site River Baseline'!$C$9:$R$257,15,FALSE))</f>
        <v/>
      </c>
      <c r="M233" s="176" t="str">
        <f>IF(L233="","",VLOOKUP($B233,'C-1 Site River Baseline'!$C$9:$R$257,16,FALSE))</f>
        <v/>
      </c>
      <c r="N233" s="639" t="str">
        <f t="shared" si="25"/>
        <v/>
      </c>
      <c r="O233" s="239" t="str">
        <f t="shared" si="26"/>
        <v/>
      </c>
      <c r="P233" s="172" t="str">
        <f>IF(C233="","",IF(AND(LEFT(C233,55)&lt;&gt;LEFT(N233,55),O233="High - High"),"Error - Not like for like",IF(AND(F233=S233,H233&gt;U233),"Error - Can not reduce condition",IF(AND(F233=S233,H233=U233,AJ233='C-1 Site River Baseline'!N231,'C-1 Site River Baseline'!P231=AL233),"Error - No enhancement",IF(AND(C233&lt;&gt;N233,F233&lt;S233),"Lower Distinctiveness Habitat"&amp;" - "&amp;T233,G233&amp;" - "&amp;T233)))))</f>
        <v/>
      </c>
      <c r="Q233" s="660" t="str">
        <f>IF(N233="","",VLOOKUP(B233,'C-1 Site River Baseline'!$C$10:$AA$257,19,FALSE))</f>
        <v/>
      </c>
      <c r="R233" s="171" t="str">
        <f>IF(N233="","",VLOOKUP(N233,'G-7 Rivers Data'!$B$2:$G$8,2,FALSE))</f>
        <v/>
      </c>
      <c r="S233" s="172" t="str">
        <f>IFERROR(VLOOKUP(R233,'G-7 Rivers Data'!$C$4:$D$8,2,FALSE),"")</f>
        <v/>
      </c>
      <c r="T233" s="173"/>
      <c r="U233" s="172" t="str">
        <f>IFERROR(INDEX('G-7 Rivers Data'!$H$4:$L$8,MATCH(N233,'G-7 Rivers Data'!$B$4:$B$8,0),MATCH(T233,'G-7 Rivers Data'!$H$3:$L$3,0)),"")</f>
        <v/>
      </c>
      <c r="V233" s="186"/>
      <c r="W233" s="175" t="str">
        <f>IF(V233="","",IF(VLOOKUP(V233,'G-7 Rivers Data'!$AG$4:$AI$9,2,FALSE)=0,"Spatial Data Missing",VLOOKUP(V233,'G-7 Rivers Data'!$AG$4:$AI$9,2,FALSE)))</f>
        <v/>
      </c>
      <c r="X233" s="176" t="str">
        <f>IF(V233="","",IF(VLOOKUP(V233,'G-7 Rivers Data'!$AG$4:$AI$9,3,FALSE)=0,"Spatial Data Missing",VLOOKUP(V233,'G-7 Rivers Data'!$AG$4:$AI$9,3,FALSE)))</f>
        <v/>
      </c>
      <c r="Y233" s="171" t="str">
        <f>IFERROR(IF(OR(LEFT(P233,5)="Error",LEFT(O233,5)="Error"),"Check Data",IF(F233&lt;S233,'G-7 Rivers Data'!$R$3,INDEX('G-7 Rivers Data'!$U$5:$Y$9,MATCH(G233,'G-7 Rivers Data'!$T$5:$T$9,0),MATCH(T233,'G-7 Rivers Data'!$U$4:$Y$4,0)))),"")</f>
        <v/>
      </c>
      <c r="Z233" s="261"/>
      <c r="AA233" s="261"/>
      <c r="AB233" s="179" t="str">
        <f t="shared" si="27"/>
        <v/>
      </c>
      <c r="AC233" s="262" t="str">
        <f t="shared" si="28"/>
        <v/>
      </c>
      <c r="AD233" s="382" t="str">
        <f>IFERROR(IF(AC233="Check Data","Check Data",VLOOKUP(AC233,'G-4 Temporal multipliers'!$A$4:$C$37,3,FALSE)),"")</f>
        <v/>
      </c>
      <c r="AE233" s="171" t="str">
        <f>IF(N233="","",VLOOKUP(N233,'G-7 Rivers Data'!$B$4:$G$8,5,FALSE))</f>
        <v/>
      </c>
      <c r="AF233" s="179" t="str">
        <f t="shared" si="29"/>
        <v/>
      </c>
      <c r="AG233" s="269" t="str">
        <f t="shared" si="30"/>
        <v/>
      </c>
      <c r="AH233" s="172" t="str">
        <f t="shared" si="24"/>
        <v/>
      </c>
      <c r="AI233" s="173"/>
      <c r="AJ233" s="172" t="str">
        <f>IF(AI233="","",IF(VLOOKUP(AI233,'G-7 Rivers Data'!$AA$4:$AB$7,2,FALSE)=0,"Spatial Data Missing",VLOOKUP(AI233,'G-7 Rivers Data'!$AA$4:$AB$7,2,FALSE)))</f>
        <v/>
      </c>
      <c r="AK233" s="187"/>
      <c r="AL233" s="172" t="str">
        <f>IF(AK233="","",IF(VLOOKUP(AK233,'G-7 Rivers Data'!$AD$4:$AE$8,2,FALSE)=0,"Spatial Data Missing",VLOOKUP(AK233,'G-7 Rivers Data'!$AD$4:$AE$8,2,FALSE)))</f>
        <v/>
      </c>
      <c r="AM233" s="265" t="str">
        <f t="shared" si="31"/>
        <v/>
      </c>
      <c r="AN233" s="180"/>
      <c r="AO233" s="181"/>
      <c r="AV233" s="35" t="str">
        <f>IFERROR(INDEX('G-7 Rivers Data'!$AZ$3:$AZ$7,MATCH(N233,'G-7 Rivers Data'!$AY$3:$AY$7,0)),"")</f>
        <v/>
      </c>
    </row>
    <row r="234" spans="2:48" ht="13.8" x14ac:dyDescent="0.25">
      <c r="B234" s="259" t="str">
        <f>'C-1 Site River Baseline'!AN232</f>
        <v/>
      </c>
      <c r="C234" s="175" t="str">
        <f>IF(B234="","",VLOOKUP($B234,'C-1 Site River Baseline'!$C$9:$R$257,2,FALSE))</f>
        <v/>
      </c>
      <c r="D234" s="175" t="str">
        <f>IF(C234="","",VLOOKUP($B234,'C-1 Site River Baseline'!$C$9:$R$257,3,FALSE))</f>
        <v/>
      </c>
      <c r="E234" s="175" t="str">
        <f>IF(D234="","",VLOOKUP($B234,'C-1 Site River Baseline'!$C$9:$R$257,4,FALSE))</f>
        <v/>
      </c>
      <c r="F234" s="175" t="str">
        <f>IF(E234="","",VLOOKUP($B234,'C-1 Site River Baseline'!$C$9:$R$257,5,FALSE))</f>
        <v/>
      </c>
      <c r="G234" s="175" t="str">
        <f>IF(F234="","",VLOOKUP($B234,'C-1 Site River Baseline'!$C$9:$R$257,6,FALSE))</f>
        <v/>
      </c>
      <c r="H234" s="175" t="str">
        <f>IF(G234="","",VLOOKUP($B234,'C-1 Site River Baseline'!$C$9:$R$257,7,FALSE))</f>
        <v/>
      </c>
      <c r="I234" s="175" t="str">
        <f>IF(H234="","",VLOOKUP($B234,'C-1 Site River Baseline'!$C$9:$R$257,8,FALSE))</f>
        <v/>
      </c>
      <c r="J234" s="175" t="str">
        <f>IF(I234="","",VLOOKUP($B234,'C-1 Site River Baseline'!$C$9:$R$257,9,FALSE))</f>
        <v/>
      </c>
      <c r="K234" s="175" t="str">
        <f>IF(J234="","",VLOOKUP($B234,'C-1 Site River Baseline'!$C$9:$R$257,10,FALSE))</f>
        <v/>
      </c>
      <c r="L234" s="175" t="str">
        <f>IF(B234="","",VLOOKUP($B234,'C-1 Site River Baseline'!$C$9:$R$257,15,FALSE))</f>
        <v/>
      </c>
      <c r="M234" s="176" t="str">
        <f>IF(L234="","",VLOOKUP($B234,'C-1 Site River Baseline'!$C$9:$R$257,16,FALSE))</f>
        <v/>
      </c>
      <c r="N234" s="639" t="str">
        <f t="shared" si="25"/>
        <v/>
      </c>
      <c r="O234" s="239" t="str">
        <f t="shared" si="26"/>
        <v/>
      </c>
      <c r="P234" s="172" t="str">
        <f>IF(C234="","",IF(AND(LEFT(C234,55)&lt;&gt;LEFT(N234,55),O234="High - High"),"Error - Not like for like",IF(AND(F234=S234,H234&gt;U234),"Error - Can not reduce condition",IF(AND(F234=S234,H234=U234,AJ234='C-1 Site River Baseline'!N232,'C-1 Site River Baseline'!P232=AL234),"Error - No enhancement",IF(AND(C234&lt;&gt;N234,F234&lt;S234),"Lower Distinctiveness Habitat"&amp;" - "&amp;T234,G234&amp;" - "&amp;T234)))))</f>
        <v/>
      </c>
      <c r="Q234" s="660" t="str">
        <f>IF(N234="","",VLOOKUP(B234,'C-1 Site River Baseline'!$C$10:$AA$257,19,FALSE))</f>
        <v/>
      </c>
      <c r="R234" s="171" t="str">
        <f>IF(N234="","",VLOOKUP(N234,'G-7 Rivers Data'!$B$2:$G$8,2,FALSE))</f>
        <v/>
      </c>
      <c r="S234" s="172" t="str">
        <f>IFERROR(VLOOKUP(R234,'G-7 Rivers Data'!$C$4:$D$8,2,FALSE),"")</f>
        <v/>
      </c>
      <c r="T234" s="173"/>
      <c r="U234" s="172" t="str">
        <f>IFERROR(INDEX('G-7 Rivers Data'!$H$4:$L$8,MATCH(N234,'G-7 Rivers Data'!$B$4:$B$8,0),MATCH(T234,'G-7 Rivers Data'!$H$3:$L$3,0)),"")</f>
        <v/>
      </c>
      <c r="V234" s="186"/>
      <c r="W234" s="175" t="str">
        <f>IF(V234="","",IF(VLOOKUP(V234,'G-7 Rivers Data'!$AG$4:$AI$9,2,FALSE)=0,"Spatial Data Missing",VLOOKUP(V234,'G-7 Rivers Data'!$AG$4:$AI$9,2,FALSE)))</f>
        <v/>
      </c>
      <c r="X234" s="176" t="str">
        <f>IF(V234="","",IF(VLOOKUP(V234,'G-7 Rivers Data'!$AG$4:$AI$9,3,FALSE)=0,"Spatial Data Missing",VLOOKUP(V234,'G-7 Rivers Data'!$AG$4:$AI$9,3,FALSE)))</f>
        <v/>
      </c>
      <c r="Y234" s="171" t="str">
        <f>IFERROR(IF(OR(LEFT(P234,5)="Error",LEFT(O234,5)="Error"),"Check Data",IF(F234&lt;S234,'G-7 Rivers Data'!$R$3,INDEX('G-7 Rivers Data'!$U$5:$Y$9,MATCH(G234,'G-7 Rivers Data'!$T$5:$T$9,0),MATCH(T234,'G-7 Rivers Data'!$U$4:$Y$4,0)))),"")</f>
        <v/>
      </c>
      <c r="Z234" s="261"/>
      <c r="AA234" s="261"/>
      <c r="AB234" s="179" t="str">
        <f t="shared" si="27"/>
        <v/>
      </c>
      <c r="AC234" s="262" t="str">
        <f t="shared" si="28"/>
        <v/>
      </c>
      <c r="AD234" s="382" t="str">
        <f>IFERROR(IF(AC234="Check Data","Check Data",VLOOKUP(AC234,'G-4 Temporal multipliers'!$A$4:$C$37,3,FALSE)),"")</f>
        <v/>
      </c>
      <c r="AE234" s="171" t="str">
        <f>IF(N234="","",VLOOKUP(N234,'G-7 Rivers Data'!$B$4:$G$8,5,FALSE))</f>
        <v/>
      </c>
      <c r="AF234" s="179" t="str">
        <f t="shared" si="29"/>
        <v/>
      </c>
      <c r="AG234" s="269" t="str">
        <f t="shared" si="30"/>
        <v/>
      </c>
      <c r="AH234" s="172" t="str">
        <f t="shared" si="24"/>
        <v/>
      </c>
      <c r="AI234" s="173"/>
      <c r="AJ234" s="172" t="str">
        <f>IF(AI234="","",IF(VLOOKUP(AI234,'G-7 Rivers Data'!$AA$4:$AB$7,2,FALSE)=0,"Spatial Data Missing",VLOOKUP(AI234,'G-7 Rivers Data'!$AA$4:$AB$7,2,FALSE)))</f>
        <v/>
      </c>
      <c r="AK234" s="187"/>
      <c r="AL234" s="172" t="str">
        <f>IF(AK234="","",IF(VLOOKUP(AK234,'G-7 Rivers Data'!$AD$4:$AE$8,2,FALSE)=0,"Spatial Data Missing",VLOOKUP(AK234,'G-7 Rivers Data'!$AD$4:$AE$8,2,FALSE)))</f>
        <v/>
      </c>
      <c r="AM234" s="265" t="str">
        <f t="shared" si="31"/>
        <v/>
      </c>
      <c r="AN234" s="180"/>
      <c r="AO234" s="181"/>
      <c r="AV234" s="35" t="str">
        <f>IFERROR(INDEX('G-7 Rivers Data'!$AZ$3:$AZ$7,MATCH(N234,'G-7 Rivers Data'!$AY$3:$AY$7,0)),"")</f>
        <v/>
      </c>
    </row>
    <row r="235" spans="2:48" ht="13.8" x14ac:dyDescent="0.25">
      <c r="B235" s="259" t="str">
        <f>'C-1 Site River Baseline'!AN233</f>
        <v/>
      </c>
      <c r="C235" s="175" t="str">
        <f>IF(B235="","",VLOOKUP($B235,'C-1 Site River Baseline'!$C$9:$R$257,2,FALSE))</f>
        <v/>
      </c>
      <c r="D235" s="175" t="str">
        <f>IF(C235="","",VLOOKUP($B235,'C-1 Site River Baseline'!$C$9:$R$257,3,FALSE))</f>
        <v/>
      </c>
      <c r="E235" s="175" t="str">
        <f>IF(D235="","",VLOOKUP($B235,'C-1 Site River Baseline'!$C$9:$R$257,4,FALSE))</f>
        <v/>
      </c>
      <c r="F235" s="175" t="str">
        <f>IF(E235="","",VLOOKUP($B235,'C-1 Site River Baseline'!$C$9:$R$257,5,FALSE))</f>
        <v/>
      </c>
      <c r="G235" s="175" t="str">
        <f>IF(F235="","",VLOOKUP($B235,'C-1 Site River Baseline'!$C$9:$R$257,6,FALSE))</f>
        <v/>
      </c>
      <c r="H235" s="175" t="str">
        <f>IF(G235="","",VLOOKUP($B235,'C-1 Site River Baseline'!$C$9:$R$257,7,FALSE))</f>
        <v/>
      </c>
      <c r="I235" s="175" t="str">
        <f>IF(H235="","",VLOOKUP($B235,'C-1 Site River Baseline'!$C$9:$R$257,8,FALSE))</f>
        <v/>
      </c>
      <c r="J235" s="175" t="str">
        <f>IF(I235="","",VLOOKUP($B235,'C-1 Site River Baseline'!$C$9:$R$257,9,FALSE))</f>
        <v/>
      </c>
      <c r="K235" s="175" t="str">
        <f>IF(J235="","",VLOOKUP($B235,'C-1 Site River Baseline'!$C$9:$R$257,10,FALSE))</f>
        <v/>
      </c>
      <c r="L235" s="175" t="str">
        <f>IF(B235="","",VLOOKUP($B235,'C-1 Site River Baseline'!$C$9:$R$257,15,FALSE))</f>
        <v/>
      </c>
      <c r="M235" s="176" t="str">
        <f>IF(L235="","",VLOOKUP($B235,'C-1 Site River Baseline'!$C$9:$R$257,16,FALSE))</f>
        <v/>
      </c>
      <c r="N235" s="639" t="str">
        <f t="shared" si="25"/>
        <v/>
      </c>
      <c r="O235" s="239" t="str">
        <f t="shared" si="26"/>
        <v/>
      </c>
      <c r="P235" s="172" t="str">
        <f>IF(C235="","",IF(AND(LEFT(C235,55)&lt;&gt;LEFT(N235,55),O235="High - High"),"Error - Not like for like",IF(AND(F235=S235,H235&gt;U235),"Error - Can not reduce condition",IF(AND(F235=S235,H235=U235,AJ235='C-1 Site River Baseline'!N233,'C-1 Site River Baseline'!P233=AL235),"Error - No enhancement",IF(AND(C235&lt;&gt;N235,F235&lt;S235),"Lower Distinctiveness Habitat"&amp;" - "&amp;T235,G235&amp;" - "&amp;T235)))))</f>
        <v/>
      </c>
      <c r="Q235" s="660" t="str">
        <f>IF(N235="","",VLOOKUP(B235,'C-1 Site River Baseline'!$C$10:$AA$257,19,FALSE))</f>
        <v/>
      </c>
      <c r="R235" s="171" t="str">
        <f>IF(N235="","",VLOOKUP(N235,'G-7 Rivers Data'!$B$2:$G$8,2,FALSE))</f>
        <v/>
      </c>
      <c r="S235" s="172" t="str">
        <f>IFERROR(VLOOKUP(R235,'G-7 Rivers Data'!$C$4:$D$8,2,FALSE),"")</f>
        <v/>
      </c>
      <c r="T235" s="173"/>
      <c r="U235" s="172" t="str">
        <f>IFERROR(INDEX('G-7 Rivers Data'!$H$4:$L$8,MATCH(N235,'G-7 Rivers Data'!$B$4:$B$8,0),MATCH(T235,'G-7 Rivers Data'!$H$3:$L$3,0)),"")</f>
        <v/>
      </c>
      <c r="V235" s="186"/>
      <c r="W235" s="175" t="str">
        <f>IF(V235="","",IF(VLOOKUP(V235,'G-7 Rivers Data'!$AG$4:$AI$9,2,FALSE)=0,"Spatial Data Missing",VLOOKUP(V235,'G-7 Rivers Data'!$AG$4:$AI$9,2,FALSE)))</f>
        <v/>
      </c>
      <c r="X235" s="176" t="str">
        <f>IF(V235="","",IF(VLOOKUP(V235,'G-7 Rivers Data'!$AG$4:$AI$9,3,FALSE)=0,"Spatial Data Missing",VLOOKUP(V235,'G-7 Rivers Data'!$AG$4:$AI$9,3,FALSE)))</f>
        <v/>
      </c>
      <c r="Y235" s="171" t="str">
        <f>IFERROR(IF(OR(LEFT(P235,5)="Error",LEFT(O235,5)="Error"),"Check Data",IF(F235&lt;S235,'G-7 Rivers Data'!$R$3,INDEX('G-7 Rivers Data'!$U$5:$Y$9,MATCH(G235,'G-7 Rivers Data'!$T$5:$T$9,0),MATCH(T235,'G-7 Rivers Data'!$U$4:$Y$4,0)))),"")</f>
        <v/>
      </c>
      <c r="Z235" s="261"/>
      <c r="AA235" s="261"/>
      <c r="AB235" s="179" t="str">
        <f t="shared" si="27"/>
        <v/>
      </c>
      <c r="AC235" s="262" t="str">
        <f t="shared" si="28"/>
        <v/>
      </c>
      <c r="AD235" s="382" t="str">
        <f>IFERROR(IF(AC235="Check Data","Check Data",VLOOKUP(AC235,'G-4 Temporal multipliers'!$A$4:$C$37,3,FALSE)),"")</f>
        <v/>
      </c>
      <c r="AE235" s="171" t="str">
        <f>IF(N235="","",VLOOKUP(N235,'G-7 Rivers Data'!$B$4:$G$8,5,FALSE))</f>
        <v/>
      </c>
      <c r="AF235" s="179" t="str">
        <f t="shared" si="29"/>
        <v/>
      </c>
      <c r="AG235" s="269" t="str">
        <f t="shared" si="30"/>
        <v/>
      </c>
      <c r="AH235" s="172" t="str">
        <f t="shared" si="24"/>
        <v/>
      </c>
      <c r="AI235" s="173"/>
      <c r="AJ235" s="172" t="str">
        <f>IF(AI235="","",IF(VLOOKUP(AI235,'G-7 Rivers Data'!$AA$4:$AB$7,2,FALSE)=0,"Spatial Data Missing",VLOOKUP(AI235,'G-7 Rivers Data'!$AA$4:$AB$7,2,FALSE)))</f>
        <v/>
      </c>
      <c r="AK235" s="187"/>
      <c r="AL235" s="172" t="str">
        <f>IF(AK235="","",IF(VLOOKUP(AK235,'G-7 Rivers Data'!$AD$4:$AE$8,2,FALSE)=0,"Spatial Data Missing",VLOOKUP(AK235,'G-7 Rivers Data'!$AD$4:$AE$8,2,FALSE)))</f>
        <v/>
      </c>
      <c r="AM235" s="265" t="str">
        <f t="shared" si="31"/>
        <v/>
      </c>
      <c r="AN235" s="180"/>
      <c r="AO235" s="181"/>
      <c r="AV235" s="35" t="str">
        <f>IFERROR(INDEX('G-7 Rivers Data'!$AZ$3:$AZ$7,MATCH(N235,'G-7 Rivers Data'!$AY$3:$AY$7,0)),"")</f>
        <v/>
      </c>
    </row>
    <row r="236" spans="2:48" ht="13.8" x14ac:dyDescent="0.25">
      <c r="B236" s="259" t="str">
        <f>'C-1 Site River Baseline'!AN234</f>
        <v/>
      </c>
      <c r="C236" s="175" t="str">
        <f>IF(B236="","",VLOOKUP($B236,'C-1 Site River Baseline'!$C$9:$R$257,2,FALSE))</f>
        <v/>
      </c>
      <c r="D236" s="175" t="str">
        <f>IF(C236="","",VLOOKUP($B236,'C-1 Site River Baseline'!$C$9:$R$257,3,FALSE))</f>
        <v/>
      </c>
      <c r="E236" s="175" t="str">
        <f>IF(D236="","",VLOOKUP($B236,'C-1 Site River Baseline'!$C$9:$R$257,4,FALSE))</f>
        <v/>
      </c>
      <c r="F236" s="175" t="str">
        <f>IF(E236="","",VLOOKUP($B236,'C-1 Site River Baseline'!$C$9:$R$257,5,FALSE))</f>
        <v/>
      </c>
      <c r="G236" s="175" t="str">
        <f>IF(F236="","",VLOOKUP($B236,'C-1 Site River Baseline'!$C$9:$R$257,6,FALSE))</f>
        <v/>
      </c>
      <c r="H236" s="175" t="str">
        <f>IF(G236="","",VLOOKUP($B236,'C-1 Site River Baseline'!$C$9:$R$257,7,FALSE))</f>
        <v/>
      </c>
      <c r="I236" s="175" t="str">
        <f>IF(H236="","",VLOOKUP($B236,'C-1 Site River Baseline'!$C$9:$R$257,8,FALSE))</f>
        <v/>
      </c>
      <c r="J236" s="175" t="str">
        <f>IF(I236="","",VLOOKUP($B236,'C-1 Site River Baseline'!$C$9:$R$257,9,FALSE))</f>
        <v/>
      </c>
      <c r="K236" s="175" t="str">
        <f>IF(J236="","",VLOOKUP($B236,'C-1 Site River Baseline'!$C$9:$R$257,10,FALSE))</f>
        <v/>
      </c>
      <c r="L236" s="175" t="str">
        <f>IF(B236="","",VLOOKUP($B236,'C-1 Site River Baseline'!$C$9:$R$257,15,FALSE))</f>
        <v/>
      </c>
      <c r="M236" s="176" t="str">
        <f>IF(L236="","",VLOOKUP($B236,'C-1 Site River Baseline'!$C$9:$R$257,16,FALSE))</f>
        <v/>
      </c>
      <c r="N236" s="639" t="str">
        <f t="shared" si="25"/>
        <v/>
      </c>
      <c r="O236" s="239" t="str">
        <f t="shared" si="26"/>
        <v/>
      </c>
      <c r="P236" s="172" t="str">
        <f>IF(C236="","",IF(AND(LEFT(C236,55)&lt;&gt;LEFT(N236,55),O236="High - High"),"Error - Not like for like",IF(AND(F236=S236,H236&gt;U236),"Error - Can not reduce condition",IF(AND(F236=S236,H236=U236,AJ236='C-1 Site River Baseline'!N234,'C-1 Site River Baseline'!P234=AL236),"Error - No enhancement",IF(AND(C236&lt;&gt;N236,F236&lt;S236),"Lower Distinctiveness Habitat"&amp;" - "&amp;T236,G236&amp;" - "&amp;T236)))))</f>
        <v/>
      </c>
      <c r="Q236" s="660" t="str">
        <f>IF(N236="","",VLOOKUP(B236,'C-1 Site River Baseline'!$C$10:$AA$257,19,FALSE))</f>
        <v/>
      </c>
      <c r="R236" s="171" t="str">
        <f>IF(N236="","",VLOOKUP(N236,'G-7 Rivers Data'!$B$2:$G$8,2,FALSE))</f>
        <v/>
      </c>
      <c r="S236" s="172" t="str">
        <f>IFERROR(VLOOKUP(R236,'G-7 Rivers Data'!$C$4:$D$8,2,FALSE),"")</f>
        <v/>
      </c>
      <c r="T236" s="173"/>
      <c r="U236" s="172" t="str">
        <f>IFERROR(INDEX('G-7 Rivers Data'!$H$4:$L$8,MATCH(N236,'G-7 Rivers Data'!$B$4:$B$8,0),MATCH(T236,'G-7 Rivers Data'!$H$3:$L$3,0)),"")</f>
        <v/>
      </c>
      <c r="V236" s="186"/>
      <c r="W236" s="175" t="str">
        <f>IF(V236="","",IF(VLOOKUP(V236,'G-7 Rivers Data'!$AG$4:$AI$9,2,FALSE)=0,"Spatial Data Missing",VLOOKUP(V236,'G-7 Rivers Data'!$AG$4:$AI$9,2,FALSE)))</f>
        <v/>
      </c>
      <c r="X236" s="176" t="str">
        <f>IF(V236="","",IF(VLOOKUP(V236,'G-7 Rivers Data'!$AG$4:$AI$9,3,FALSE)=0,"Spatial Data Missing",VLOOKUP(V236,'G-7 Rivers Data'!$AG$4:$AI$9,3,FALSE)))</f>
        <v/>
      </c>
      <c r="Y236" s="171" t="str">
        <f>IFERROR(IF(OR(LEFT(P236,5)="Error",LEFT(O236,5)="Error"),"Check Data",IF(F236&lt;S236,'G-7 Rivers Data'!$R$3,INDEX('G-7 Rivers Data'!$U$5:$Y$9,MATCH(G236,'G-7 Rivers Data'!$T$5:$T$9,0),MATCH(T236,'G-7 Rivers Data'!$U$4:$Y$4,0)))),"")</f>
        <v/>
      </c>
      <c r="Z236" s="261"/>
      <c r="AA236" s="261"/>
      <c r="AB236" s="179" t="str">
        <f t="shared" si="27"/>
        <v/>
      </c>
      <c r="AC236" s="262" t="str">
        <f t="shared" si="28"/>
        <v/>
      </c>
      <c r="AD236" s="382" t="str">
        <f>IFERROR(IF(AC236="Check Data","Check Data",VLOOKUP(AC236,'G-4 Temporal multipliers'!$A$4:$C$37,3,FALSE)),"")</f>
        <v/>
      </c>
      <c r="AE236" s="171" t="str">
        <f>IF(N236="","",VLOOKUP(N236,'G-7 Rivers Data'!$B$4:$G$8,5,FALSE))</f>
        <v/>
      </c>
      <c r="AF236" s="179" t="str">
        <f t="shared" si="29"/>
        <v/>
      </c>
      <c r="AG236" s="269" t="str">
        <f t="shared" si="30"/>
        <v/>
      </c>
      <c r="AH236" s="172" t="str">
        <f t="shared" si="24"/>
        <v/>
      </c>
      <c r="AI236" s="173"/>
      <c r="AJ236" s="172" t="str">
        <f>IF(AI236="","",IF(VLOOKUP(AI236,'G-7 Rivers Data'!$AA$4:$AB$7,2,FALSE)=0,"Spatial Data Missing",VLOOKUP(AI236,'G-7 Rivers Data'!$AA$4:$AB$7,2,FALSE)))</f>
        <v/>
      </c>
      <c r="AK236" s="187"/>
      <c r="AL236" s="172" t="str">
        <f>IF(AK236="","",IF(VLOOKUP(AK236,'G-7 Rivers Data'!$AD$4:$AE$8,2,FALSE)=0,"Spatial Data Missing",VLOOKUP(AK236,'G-7 Rivers Data'!$AD$4:$AE$8,2,FALSE)))</f>
        <v/>
      </c>
      <c r="AM236" s="265" t="str">
        <f t="shared" si="31"/>
        <v/>
      </c>
      <c r="AN236" s="180"/>
      <c r="AO236" s="181"/>
      <c r="AV236" s="35" t="str">
        <f>IFERROR(INDEX('G-7 Rivers Data'!$AZ$3:$AZ$7,MATCH(N236,'G-7 Rivers Data'!$AY$3:$AY$7,0)),"")</f>
        <v/>
      </c>
    </row>
    <row r="237" spans="2:48" ht="13.8" x14ac:dyDescent="0.25">
      <c r="B237" s="259" t="str">
        <f>'C-1 Site River Baseline'!AN235</f>
        <v/>
      </c>
      <c r="C237" s="175" t="str">
        <f>IF(B237="","",VLOOKUP($B237,'C-1 Site River Baseline'!$C$9:$R$257,2,FALSE))</f>
        <v/>
      </c>
      <c r="D237" s="175" t="str">
        <f>IF(C237="","",VLOOKUP($B237,'C-1 Site River Baseline'!$C$9:$R$257,3,FALSE))</f>
        <v/>
      </c>
      <c r="E237" s="175" t="str">
        <f>IF(D237="","",VLOOKUP($B237,'C-1 Site River Baseline'!$C$9:$R$257,4,FALSE))</f>
        <v/>
      </c>
      <c r="F237" s="175" t="str">
        <f>IF(E237="","",VLOOKUP($B237,'C-1 Site River Baseline'!$C$9:$R$257,5,FALSE))</f>
        <v/>
      </c>
      <c r="G237" s="175" t="str">
        <f>IF(F237="","",VLOOKUP($B237,'C-1 Site River Baseline'!$C$9:$R$257,6,FALSE))</f>
        <v/>
      </c>
      <c r="H237" s="175" t="str">
        <f>IF(G237="","",VLOOKUP($B237,'C-1 Site River Baseline'!$C$9:$R$257,7,FALSE))</f>
        <v/>
      </c>
      <c r="I237" s="175" t="str">
        <f>IF(H237="","",VLOOKUP($B237,'C-1 Site River Baseline'!$C$9:$R$257,8,FALSE))</f>
        <v/>
      </c>
      <c r="J237" s="175" t="str">
        <f>IF(I237="","",VLOOKUP($B237,'C-1 Site River Baseline'!$C$9:$R$257,9,FALSE))</f>
        <v/>
      </c>
      <c r="K237" s="175" t="str">
        <f>IF(J237="","",VLOOKUP($B237,'C-1 Site River Baseline'!$C$9:$R$257,10,FALSE))</f>
        <v/>
      </c>
      <c r="L237" s="175" t="str">
        <f>IF(B237="","",VLOOKUP($B237,'C-1 Site River Baseline'!$C$9:$R$257,15,FALSE))</f>
        <v/>
      </c>
      <c r="M237" s="176" t="str">
        <f>IF(L237="","",VLOOKUP($B237,'C-1 Site River Baseline'!$C$9:$R$257,16,FALSE))</f>
        <v/>
      </c>
      <c r="N237" s="639" t="str">
        <f t="shared" si="25"/>
        <v/>
      </c>
      <c r="O237" s="239" t="str">
        <f t="shared" si="26"/>
        <v/>
      </c>
      <c r="P237" s="172" t="str">
        <f>IF(C237="","",IF(AND(LEFT(C237,55)&lt;&gt;LEFT(N237,55),O237="High - High"),"Error - Not like for like",IF(AND(F237=S237,H237&gt;U237),"Error - Can not reduce condition",IF(AND(F237=S237,H237=U237,AJ237='C-1 Site River Baseline'!N235,'C-1 Site River Baseline'!P235=AL237),"Error - No enhancement",IF(AND(C237&lt;&gt;N237,F237&lt;S237),"Lower Distinctiveness Habitat"&amp;" - "&amp;T237,G237&amp;" - "&amp;T237)))))</f>
        <v/>
      </c>
      <c r="Q237" s="660" t="str">
        <f>IF(N237="","",VLOOKUP(B237,'C-1 Site River Baseline'!$C$10:$AA$257,19,FALSE))</f>
        <v/>
      </c>
      <c r="R237" s="171" t="str">
        <f>IF(N237="","",VLOOKUP(N237,'G-7 Rivers Data'!$B$2:$G$8,2,FALSE))</f>
        <v/>
      </c>
      <c r="S237" s="172" t="str">
        <f>IFERROR(VLOOKUP(R237,'G-7 Rivers Data'!$C$4:$D$8,2,FALSE),"")</f>
        <v/>
      </c>
      <c r="T237" s="173"/>
      <c r="U237" s="172" t="str">
        <f>IFERROR(INDEX('G-7 Rivers Data'!$H$4:$L$8,MATCH(N237,'G-7 Rivers Data'!$B$4:$B$8,0),MATCH(T237,'G-7 Rivers Data'!$H$3:$L$3,0)),"")</f>
        <v/>
      </c>
      <c r="V237" s="186"/>
      <c r="W237" s="175" t="str">
        <f>IF(V237="","",IF(VLOOKUP(V237,'G-7 Rivers Data'!$AG$4:$AI$9,2,FALSE)=0,"Spatial Data Missing",VLOOKUP(V237,'G-7 Rivers Data'!$AG$4:$AI$9,2,FALSE)))</f>
        <v/>
      </c>
      <c r="X237" s="176" t="str">
        <f>IF(V237="","",IF(VLOOKUP(V237,'G-7 Rivers Data'!$AG$4:$AI$9,3,FALSE)=0,"Spatial Data Missing",VLOOKUP(V237,'G-7 Rivers Data'!$AG$4:$AI$9,3,FALSE)))</f>
        <v/>
      </c>
      <c r="Y237" s="171" t="str">
        <f>IFERROR(IF(OR(LEFT(P237,5)="Error",LEFT(O237,5)="Error"),"Check Data",IF(F237&lt;S237,'G-7 Rivers Data'!$R$3,INDEX('G-7 Rivers Data'!$U$5:$Y$9,MATCH(G237,'G-7 Rivers Data'!$T$5:$T$9,0),MATCH(T237,'G-7 Rivers Data'!$U$4:$Y$4,0)))),"")</f>
        <v/>
      </c>
      <c r="Z237" s="261"/>
      <c r="AA237" s="261"/>
      <c r="AB237" s="179" t="str">
        <f t="shared" si="27"/>
        <v/>
      </c>
      <c r="AC237" s="262" t="str">
        <f t="shared" si="28"/>
        <v/>
      </c>
      <c r="AD237" s="382" t="str">
        <f>IFERROR(IF(AC237="Check Data","Check Data",VLOOKUP(AC237,'G-4 Temporal multipliers'!$A$4:$C$37,3,FALSE)),"")</f>
        <v/>
      </c>
      <c r="AE237" s="171" t="str">
        <f>IF(N237="","",VLOOKUP(N237,'G-7 Rivers Data'!$B$4:$G$8,5,FALSE))</f>
        <v/>
      </c>
      <c r="AF237" s="179" t="str">
        <f t="shared" si="29"/>
        <v/>
      </c>
      <c r="AG237" s="269" t="str">
        <f t="shared" si="30"/>
        <v/>
      </c>
      <c r="AH237" s="172" t="str">
        <f t="shared" si="24"/>
        <v/>
      </c>
      <c r="AI237" s="173"/>
      <c r="AJ237" s="172" t="str">
        <f>IF(AI237="","",IF(VLOOKUP(AI237,'G-7 Rivers Data'!$AA$4:$AB$7,2,FALSE)=0,"Spatial Data Missing",VLOOKUP(AI237,'G-7 Rivers Data'!$AA$4:$AB$7,2,FALSE)))</f>
        <v/>
      </c>
      <c r="AK237" s="187"/>
      <c r="AL237" s="172" t="str">
        <f>IF(AK237="","",IF(VLOOKUP(AK237,'G-7 Rivers Data'!$AD$4:$AE$8,2,FALSE)=0,"Spatial Data Missing",VLOOKUP(AK237,'G-7 Rivers Data'!$AD$4:$AE$8,2,FALSE)))</f>
        <v/>
      </c>
      <c r="AM237" s="265" t="str">
        <f t="shared" si="31"/>
        <v/>
      </c>
      <c r="AN237" s="180"/>
      <c r="AO237" s="181"/>
      <c r="AV237" s="35" t="str">
        <f>IFERROR(INDEX('G-7 Rivers Data'!$AZ$3:$AZ$7,MATCH(N237,'G-7 Rivers Data'!$AY$3:$AY$7,0)),"")</f>
        <v/>
      </c>
    </row>
    <row r="238" spans="2:48" ht="13.8" x14ac:dyDescent="0.25">
      <c r="B238" s="259" t="str">
        <f>'C-1 Site River Baseline'!AN236</f>
        <v/>
      </c>
      <c r="C238" s="175" t="str">
        <f>IF(B238="","",VLOOKUP($B238,'C-1 Site River Baseline'!$C$9:$R$257,2,FALSE))</f>
        <v/>
      </c>
      <c r="D238" s="175" t="str">
        <f>IF(C238="","",VLOOKUP($B238,'C-1 Site River Baseline'!$C$9:$R$257,3,FALSE))</f>
        <v/>
      </c>
      <c r="E238" s="175" t="str">
        <f>IF(D238="","",VLOOKUP($B238,'C-1 Site River Baseline'!$C$9:$R$257,4,FALSE))</f>
        <v/>
      </c>
      <c r="F238" s="175" t="str">
        <f>IF(E238="","",VLOOKUP($B238,'C-1 Site River Baseline'!$C$9:$R$257,5,FALSE))</f>
        <v/>
      </c>
      <c r="G238" s="175" t="str">
        <f>IF(F238="","",VLOOKUP($B238,'C-1 Site River Baseline'!$C$9:$R$257,6,FALSE))</f>
        <v/>
      </c>
      <c r="H238" s="175" t="str">
        <f>IF(G238="","",VLOOKUP($B238,'C-1 Site River Baseline'!$C$9:$R$257,7,FALSE))</f>
        <v/>
      </c>
      <c r="I238" s="175" t="str">
        <f>IF(H238="","",VLOOKUP($B238,'C-1 Site River Baseline'!$C$9:$R$257,8,FALSE))</f>
        <v/>
      </c>
      <c r="J238" s="175" t="str">
        <f>IF(I238="","",VLOOKUP($B238,'C-1 Site River Baseline'!$C$9:$R$257,9,FALSE))</f>
        <v/>
      </c>
      <c r="K238" s="175" t="str">
        <f>IF(J238="","",VLOOKUP($B238,'C-1 Site River Baseline'!$C$9:$R$257,10,FALSE))</f>
        <v/>
      </c>
      <c r="L238" s="175" t="str">
        <f>IF(B238="","",VLOOKUP($B238,'C-1 Site River Baseline'!$C$9:$R$257,15,FALSE))</f>
        <v/>
      </c>
      <c r="M238" s="176" t="str">
        <f>IF(L238="","",VLOOKUP($B238,'C-1 Site River Baseline'!$C$9:$R$257,16,FALSE))</f>
        <v/>
      </c>
      <c r="N238" s="639" t="str">
        <f t="shared" si="25"/>
        <v/>
      </c>
      <c r="O238" s="239" t="str">
        <f t="shared" si="26"/>
        <v/>
      </c>
      <c r="P238" s="172" t="str">
        <f>IF(C238="","",IF(AND(LEFT(C238,55)&lt;&gt;LEFT(N238,55),O238="High - High"),"Error - Not like for like",IF(AND(F238=S238,H238&gt;U238),"Error - Can not reduce condition",IF(AND(F238=S238,H238=U238,AJ238='C-1 Site River Baseline'!N236,'C-1 Site River Baseline'!P236=AL238),"Error - No enhancement",IF(AND(C238&lt;&gt;N238,F238&lt;S238),"Lower Distinctiveness Habitat"&amp;" - "&amp;T238,G238&amp;" - "&amp;T238)))))</f>
        <v/>
      </c>
      <c r="Q238" s="660" t="str">
        <f>IF(N238="","",VLOOKUP(B238,'C-1 Site River Baseline'!$C$10:$AA$257,19,FALSE))</f>
        <v/>
      </c>
      <c r="R238" s="171" t="str">
        <f>IF(N238="","",VLOOKUP(N238,'G-7 Rivers Data'!$B$2:$G$8,2,FALSE))</f>
        <v/>
      </c>
      <c r="S238" s="172" t="str">
        <f>IFERROR(VLOOKUP(R238,'G-7 Rivers Data'!$C$4:$D$8,2,FALSE),"")</f>
        <v/>
      </c>
      <c r="T238" s="173"/>
      <c r="U238" s="172" t="str">
        <f>IFERROR(INDEX('G-7 Rivers Data'!$H$4:$L$8,MATCH(N238,'G-7 Rivers Data'!$B$4:$B$8,0),MATCH(T238,'G-7 Rivers Data'!$H$3:$L$3,0)),"")</f>
        <v/>
      </c>
      <c r="V238" s="186"/>
      <c r="W238" s="175" t="str">
        <f>IF(V238="","",IF(VLOOKUP(V238,'G-7 Rivers Data'!$AG$4:$AI$9,2,FALSE)=0,"Spatial Data Missing",VLOOKUP(V238,'G-7 Rivers Data'!$AG$4:$AI$9,2,FALSE)))</f>
        <v/>
      </c>
      <c r="X238" s="176" t="str">
        <f>IF(V238="","",IF(VLOOKUP(V238,'G-7 Rivers Data'!$AG$4:$AI$9,3,FALSE)=0,"Spatial Data Missing",VLOOKUP(V238,'G-7 Rivers Data'!$AG$4:$AI$9,3,FALSE)))</f>
        <v/>
      </c>
      <c r="Y238" s="171" t="str">
        <f>IFERROR(IF(OR(LEFT(P238,5)="Error",LEFT(O238,5)="Error"),"Check Data",IF(F238&lt;S238,'G-7 Rivers Data'!$R$3,INDEX('G-7 Rivers Data'!$U$5:$Y$9,MATCH(G238,'G-7 Rivers Data'!$T$5:$T$9,0),MATCH(T238,'G-7 Rivers Data'!$U$4:$Y$4,0)))),"")</f>
        <v/>
      </c>
      <c r="Z238" s="261"/>
      <c r="AA238" s="261"/>
      <c r="AB238" s="179" t="str">
        <f t="shared" si="27"/>
        <v/>
      </c>
      <c r="AC238" s="262" t="str">
        <f t="shared" si="28"/>
        <v/>
      </c>
      <c r="AD238" s="382" t="str">
        <f>IFERROR(IF(AC238="Check Data","Check Data",VLOOKUP(AC238,'G-4 Temporal multipliers'!$A$4:$C$37,3,FALSE)),"")</f>
        <v/>
      </c>
      <c r="AE238" s="171" t="str">
        <f>IF(N238="","",VLOOKUP(N238,'G-7 Rivers Data'!$B$4:$G$8,5,FALSE))</f>
        <v/>
      </c>
      <c r="AF238" s="179" t="str">
        <f t="shared" si="29"/>
        <v/>
      </c>
      <c r="AG238" s="269" t="str">
        <f t="shared" si="30"/>
        <v/>
      </c>
      <c r="AH238" s="172" t="str">
        <f t="shared" si="24"/>
        <v/>
      </c>
      <c r="AI238" s="173"/>
      <c r="AJ238" s="172" t="str">
        <f>IF(AI238="","",IF(VLOOKUP(AI238,'G-7 Rivers Data'!$AA$4:$AB$7,2,FALSE)=0,"Spatial Data Missing",VLOOKUP(AI238,'G-7 Rivers Data'!$AA$4:$AB$7,2,FALSE)))</f>
        <v/>
      </c>
      <c r="AK238" s="187"/>
      <c r="AL238" s="172" t="str">
        <f>IF(AK238="","",IF(VLOOKUP(AK238,'G-7 Rivers Data'!$AD$4:$AE$8,2,FALSE)=0,"Spatial Data Missing",VLOOKUP(AK238,'G-7 Rivers Data'!$AD$4:$AE$8,2,FALSE)))</f>
        <v/>
      </c>
      <c r="AM238" s="265" t="str">
        <f t="shared" si="31"/>
        <v/>
      </c>
      <c r="AN238" s="180"/>
      <c r="AO238" s="181"/>
      <c r="AV238" s="35" t="str">
        <f>IFERROR(INDEX('G-7 Rivers Data'!$AZ$3:$AZ$7,MATCH(N238,'G-7 Rivers Data'!$AY$3:$AY$7,0)),"")</f>
        <v/>
      </c>
    </row>
    <row r="239" spans="2:48" ht="13.8" x14ac:dyDescent="0.25">
      <c r="B239" s="259" t="str">
        <f>'C-1 Site River Baseline'!AN237</f>
        <v/>
      </c>
      <c r="C239" s="175" t="str">
        <f>IF(B239="","",VLOOKUP($B239,'C-1 Site River Baseline'!$C$9:$R$257,2,FALSE))</f>
        <v/>
      </c>
      <c r="D239" s="175" t="str">
        <f>IF(C239="","",VLOOKUP($B239,'C-1 Site River Baseline'!$C$9:$R$257,3,FALSE))</f>
        <v/>
      </c>
      <c r="E239" s="175" t="str">
        <f>IF(D239="","",VLOOKUP($B239,'C-1 Site River Baseline'!$C$9:$R$257,4,FALSE))</f>
        <v/>
      </c>
      <c r="F239" s="175" t="str">
        <f>IF(E239="","",VLOOKUP($B239,'C-1 Site River Baseline'!$C$9:$R$257,5,FALSE))</f>
        <v/>
      </c>
      <c r="G239" s="175" t="str">
        <f>IF(F239="","",VLOOKUP($B239,'C-1 Site River Baseline'!$C$9:$R$257,6,FALSE))</f>
        <v/>
      </c>
      <c r="H239" s="175" t="str">
        <f>IF(G239="","",VLOOKUP($B239,'C-1 Site River Baseline'!$C$9:$R$257,7,FALSE))</f>
        <v/>
      </c>
      <c r="I239" s="175" t="str">
        <f>IF(H239="","",VLOOKUP($B239,'C-1 Site River Baseline'!$C$9:$R$257,8,FALSE))</f>
        <v/>
      </c>
      <c r="J239" s="175" t="str">
        <f>IF(I239="","",VLOOKUP($B239,'C-1 Site River Baseline'!$C$9:$R$257,9,FALSE))</f>
        <v/>
      </c>
      <c r="K239" s="175" t="str">
        <f>IF(J239="","",VLOOKUP($B239,'C-1 Site River Baseline'!$C$9:$R$257,10,FALSE))</f>
        <v/>
      </c>
      <c r="L239" s="175" t="str">
        <f>IF(B239="","",VLOOKUP($B239,'C-1 Site River Baseline'!$C$9:$R$257,15,FALSE))</f>
        <v/>
      </c>
      <c r="M239" s="176" t="str">
        <f>IF(L239="","",VLOOKUP($B239,'C-1 Site River Baseline'!$C$9:$R$257,16,FALSE))</f>
        <v/>
      </c>
      <c r="N239" s="639" t="str">
        <f t="shared" si="25"/>
        <v/>
      </c>
      <c r="O239" s="239" t="str">
        <f t="shared" si="26"/>
        <v/>
      </c>
      <c r="P239" s="172" t="str">
        <f>IF(C239="","",IF(AND(LEFT(C239,55)&lt;&gt;LEFT(N239,55),O239="High - High"),"Error - Not like for like",IF(AND(F239=S239,H239&gt;U239),"Error - Can not reduce condition",IF(AND(F239=S239,H239=U239,AJ239='C-1 Site River Baseline'!N237,'C-1 Site River Baseline'!P237=AL239),"Error - No enhancement",IF(AND(C239&lt;&gt;N239,F239&lt;S239),"Lower Distinctiveness Habitat"&amp;" - "&amp;T239,G239&amp;" - "&amp;T239)))))</f>
        <v/>
      </c>
      <c r="Q239" s="660" t="str">
        <f>IF(N239="","",VLOOKUP(B239,'C-1 Site River Baseline'!$C$10:$AA$257,19,FALSE))</f>
        <v/>
      </c>
      <c r="R239" s="171" t="str">
        <f>IF(N239="","",VLOOKUP(N239,'G-7 Rivers Data'!$B$2:$G$8,2,FALSE))</f>
        <v/>
      </c>
      <c r="S239" s="172" t="str">
        <f>IFERROR(VLOOKUP(R239,'G-7 Rivers Data'!$C$4:$D$8,2,FALSE),"")</f>
        <v/>
      </c>
      <c r="T239" s="173"/>
      <c r="U239" s="172" t="str">
        <f>IFERROR(INDEX('G-7 Rivers Data'!$H$4:$L$8,MATCH(N239,'G-7 Rivers Data'!$B$4:$B$8,0),MATCH(T239,'G-7 Rivers Data'!$H$3:$L$3,0)),"")</f>
        <v/>
      </c>
      <c r="V239" s="186"/>
      <c r="W239" s="175" t="str">
        <f>IF(V239="","",IF(VLOOKUP(V239,'G-7 Rivers Data'!$AG$4:$AI$9,2,FALSE)=0,"Spatial Data Missing",VLOOKUP(V239,'G-7 Rivers Data'!$AG$4:$AI$9,2,FALSE)))</f>
        <v/>
      </c>
      <c r="X239" s="176" t="str">
        <f>IF(V239="","",IF(VLOOKUP(V239,'G-7 Rivers Data'!$AG$4:$AI$9,3,FALSE)=0,"Spatial Data Missing",VLOOKUP(V239,'G-7 Rivers Data'!$AG$4:$AI$9,3,FALSE)))</f>
        <v/>
      </c>
      <c r="Y239" s="171" t="str">
        <f>IFERROR(IF(OR(LEFT(P239,5)="Error",LEFT(O239,5)="Error"),"Check Data",IF(F239&lt;S239,'G-7 Rivers Data'!$R$3,INDEX('G-7 Rivers Data'!$U$5:$Y$9,MATCH(G239,'G-7 Rivers Data'!$T$5:$T$9,0),MATCH(T239,'G-7 Rivers Data'!$U$4:$Y$4,0)))),"")</f>
        <v/>
      </c>
      <c r="Z239" s="261"/>
      <c r="AA239" s="261"/>
      <c r="AB239" s="179" t="str">
        <f t="shared" si="27"/>
        <v/>
      </c>
      <c r="AC239" s="262" t="str">
        <f t="shared" si="28"/>
        <v/>
      </c>
      <c r="AD239" s="382" t="str">
        <f>IFERROR(IF(AC239="Check Data","Check Data",VLOOKUP(AC239,'G-4 Temporal multipliers'!$A$4:$C$37,3,FALSE)),"")</f>
        <v/>
      </c>
      <c r="AE239" s="171" t="str">
        <f>IF(N239="","",VLOOKUP(N239,'G-7 Rivers Data'!$B$4:$G$8,5,FALSE))</f>
        <v/>
      </c>
      <c r="AF239" s="179" t="str">
        <f t="shared" si="29"/>
        <v/>
      </c>
      <c r="AG239" s="269" t="str">
        <f t="shared" si="30"/>
        <v/>
      </c>
      <c r="AH239" s="172" t="str">
        <f t="shared" si="24"/>
        <v/>
      </c>
      <c r="AI239" s="173"/>
      <c r="AJ239" s="172" t="str">
        <f>IF(AI239="","",IF(VLOOKUP(AI239,'G-7 Rivers Data'!$AA$4:$AB$7,2,FALSE)=0,"Spatial Data Missing",VLOOKUP(AI239,'G-7 Rivers Data'!$AA$4:$AB$7,2,FALSE)))</f>
        <v/>
      </c>
      <c r="AK239" s="187"/>
      <c r="AL239" s="172" t="str">
        <f>IF(AK239="","",IF(VLOOKUP(AK239,'G-7 Rivers Data'!$AD$4:$AE$8,2,FALSE)=0,"Spatial Data Missing",VLOOKUP(AK239,'G-7 Rivers Data'!$AD$4:$AE$8,2,FALSE)))</f>
        <v/>
      </c>
      <c r="AM239" s="265" t="str">
        <f t="shared" si="31"/>
        <v/>
      </c>
      <c r="AN239" s="180"/>
      <c r="AO239" s="181"/>
      <c r="AV239" s="35" t="str">
        <f>IFERROR(INDEX('G-7 Rivers Data'!$AZ$3:$AZ$7,MATCH(N239,'G-7 Rivers Data'!$AY$3:$AY$7,0)),"")</f>
        <v/>
      </c>
    </row>
    <row r="240" spans="2:48" ht="13.8" x14ac:dyDescent="0.25">
      <c r="B240" s="259" t="str">
        <f>'C-1 Site River Baseline'!AN238</f>
        <v/>
      </c>
      <c r="C240" s="175" t="str">
        <f>IF(B240="","",VLOOKUP($B240,'C-1 Site River Baseline'!$C$9:$R$257,2,FALSE))</f>
        <v/>
      </c>
      <c r="D240" s="175" t="str">
        <f>IF(C240="","",VLOOKUP($B240,'C-1 Site River Baseline'!$C$9:$R$257,3,FALSE))</f>
        <v/>
      </c>
      <c r="E240" s="175" t="str">
        <f>IF(D240="","",VLOOKUP($B240,'C-1 Site River Baseline'!$C$9:$R$257,4,FALSE))</f>
        <v/>
      </c>
      <c r="F240" s="175" t="str">
        <f>IF(E240="","",VLOOKUP($B240,'C-1 Site River Baseline'!$C$9:$R$257,5,FALSE))</f>
        <v/>
      </c>
      <c r="G240" s="175" t="str">
        <f>IF(F240="","",VLOOKUP($B240,'C-1 Site River Baseline'!$C$9:$R$257,6,FALSE))</f>
        <v/>
      </c>
      <c r="H240" s="175" t="str">
        <f>IF(G240="","",VLOOKUP($B240,'C-1 Site River Baseline'!$C$9:$R$257,7,FALSE))</f>
        <v/>
      </c>
      <c r="I240" s="175" t="str">
        <f>IF(H240="","",VLOOKUP($B240,'C-1 Site River Baseline'!$C$9:$R$257,8,FALSE))</f>
        <v/>
      </c>
      <c r="J240" s="175" t="str">
        <f>IF(I240="","",VLOOKUP($B240,'C-1 Site River Baseline'!$C$9:$R$257,9,FALSE))</f>
        <v/>
      </c>
      <c r="K240" s="175" t="str">
        <f>IF(J240="","",VLOOKUP($B240,'C-1 Site River Baseline'!$C$9:$R$257,10,FALSE))</f>
        <v/>
      </c>
      <c r="L240" s="175" t="str">
        <f>IF(B240="","",VLOOKUP($B240,'C-1 Site River Baseline'!$C$9:$R$257,15,FALSE))</f>
        <v/>
      </c>
      <c r="M240" s="176" t="str">
        <f>IF(L240="","",VLOOKUP($B240,'C-1 Site River Baseline'!$C$9:$R$257,16,FALSE))</f>
        <v/>
      </c>
      <c r="N240" s="639" t="str">
        <f t="shared" si="25"/>
        <v/>
      </c>
      <c r="O240" s="239" t="str">
        <f t="shared" si="26"/>
        <v/>
      </c>
      <c r="P240" s="172" t="str">
        <f>IF(C240="","",IF(AND(LEFT(C240,55)&lt;&gt;LEFT(N240,55),O240="High - High"),"Error - Not like for like",IF(AND(F240=S240,H240&gt;U240),"Error - Can not reduce condition",IF(AND(F240=S240,H240=U240,AJ240='C-1 Site River Baseline'!N238,'C-1 Site River Baseline'!P238=AL240),"Error - No enhancement",IF(AND(C240&lt;&gt;N240,F240&lt;S240),"Lower Distinctiveness Habitat"&amp;" - "&amp;T240,G240&amp;" - "&amp;T240)))))</f>
        <v/>
      </c>
      <c r="Q240" s="660" t="str">
        <f>IF(N240="","",VLOOKUP(B240,'C-1 Site River Baseline'!$C$10:$AA$257,19,FALSE))</f>
        <v/>
      </c>
      <c r="R240" s="171" t="str">
        <f>IF(N240="","",VLOOKUP(N240,'G-7 Rivers Data'!$B$2:$G$8,2,FALSE))</f>
        <v/>
      </c>
      <c r="S240" s="172" t="str">
        <f>IFERROR(VLOOKUP(R240,'G-7 Rivers Data'!$C$4:$D$8,2,FALSE),"")</f>
        <v/>
      </c>
      <c r="T240" s="173"/>
      <c r="U240" s="172" t="str">
        <f>IFERROR(INDEX('G-7 Rivers Data'!$H$4:$L$8,MATCH(N240,'G-7 Rivers Data'!$B$4:$B$8,0),MATCH(T240,'G-7 Rivers Data'!$H$3:$L$3,0)),"")</f>
        <v/>
      </c>
      <c r="V240" s="186"/>
      <c r="W240" s="175" t="str">
        <f>IF(V240="","",IF(VLOOKUP(V240,'G-7 Rivers Data'!$AG$4:$AI$9,2,FALSE)=0,"Spatial Data Missing",VLOOKUP(V240,'G-7 Rivers Data'!$AG$4:$AI$9,2,FALSE)))</f>
        <v/>
      </c>
      <c r="X240" s="176" t="str">
        <f>IF(V240="","",IF(VLOOKUP(V240,'G-7 Rivers Data'!$AG$4:$AI$9,3,FALSE)=0,"Spatial Data Missing",VLOOKUP(V240,'G-7 Rivers Data'!$AG$4:$AI$9,3,FALSE)))</f>
        <v/>
      </c>
      <c r="Y240" s="171" t="str">
        <f>IFERROR(IF(OR(LEFT(P240,5)="Error",LEFT(O240,5)="Error"),"Check Data",IF(F240&lt;S240,'G-7 Rivers Data'!$R$3,INDEX('G-7 Rivers Data'!$U$5:$Y$9,MATCH(G240,'G-7 Rivers Data'!$T$5:$T$9,0),MATCH(T240,'G-7 Rivers Data'!$U$4:$Y$4,0)))),"")</f>
        <v/>
      </c>
      <c r="Z240" s="261"/>
      <c r="AA240" s="261"/>
      <c r="AB240" s="179" t="str">
        <f t="shared" si="27"/>
        <v/>
      </c>
      <c r="AC240" s="262" t="str">
        <f t="shared" si="28"/>
        <v/>
      </c>
      <c r="AD240" s="382" t="str">
        <f>IFERROR(IF(AC240="Check Data","Check Data",VLOOKUP(AC240,'G-4 Temporal multipliers'!$A$4:$C$37,3,FALSE)),"")</f>
        <v/>
      </c>
      <c r="AE240" s="171" t="str">
        <f>IF(N240="","",VLOOKUP(N240,'G-7 Rivers Data'!$B$4:$G$8,5,FALSE))</f>
        <v/>
      </c>
      <c r="AF240" s="179" t="str">
        <f t="shared" si="29"/>
        <v/>
      </c>
      <c r="AG240" s="269" t="str">
        <f t="shared" si="30"/>
        <v/>
      </c>
      <c r="AH240" s="172" t="str">
        <f t="shared" si="24"/>
        <v/>
      </c>
      <c r="AI240" s="173"/>
      <c r="AJ240" s="172" t="str">
        <f>IF(AI240="","",IF(VLOOKUP(AI240,'G-7 Rivers Data'!$AA$4:$AB$7,2,FALSE)=0,"Spatial Data Missing",VLOOKUP(AI240,'G-7 Rivers Data'!$AA$4:$AB$7,2,FALSE)))</f>
        <v/>
      </c>
      <c r="AK240" s="187"/>
      <c r="AL240" s="172" t="str">
        <f>IF(AK240="","",IF(VLOOKUP(AK240,'G-7 Rivers Data'!$AD$4:$AE$8,2,FALSE)=0,"Spatial Data Missing",VLOOKUP(AK240,'G-7 Rivers Data'!$AD$4:$AE$8,2,FALSE)))</f>
        <v/>
      </c>
      <c r="AM240" s="265" t="str">
        <f t="shared" si="31"/>
        <v/>
      </c>
      <c r="AN240" s="180"/>
      <c r="AO240" s="181"/>
      <c r="AV240" s="35" t="str">
        <f>IFERROR(INDEX('G-7 Rivers Data'!$AZ$3:$AZ$7,MATCH(N240,'G-7 Rivers Data'!$AY$3:$AY$7,0)),"")</f>
        <v/>
      </c>
    </row>
    <row r="241" spans="2:48" ht="13.8" x14ac:dyDescent="0.25">
      <c r="B241" s="259" t="str">
        <f>'C-1 Site River Baseline'!AN239</f>
        <v/>
      </c>
      <c r="C241" s="175" t="str">
        <f>IF(B241="","",VLOOKUP($B241,'C-1 Site River Baseline'!$C$9:$R$257,2,FALSE))</f>
        <v/>
      </c>
      <c r="D241" s="175" t="str">
        <f>IF(C241="","",VLOOKUP($B241,'C-1 Site River Baseline'!$C$9:$R$257,3,FALSE))</f>
        <v/>
      </c>
      <c r="E241" s="175" t="str">
        <f>IF(D241="","",VLOOKUP($B241,'C-1 Site River Baseline'!$C$9:$R$257,4,FALSE))</f>
        <v/>
      </c>
      <c r="F241" s="175" t="str">
        <f>IF(E241="","",VLOOKUP($B241,'C-1 Site River Baseline'!$C$9:$R$257,5,FALSE))</f>
        <v/>
      </c>
      <c r="G241" s="175" t="str">
        <f>IF(F241="","",VLOOKUP($B241,'C-1 Site River Baseline'!$C$9:$R$257,6,FALSE))</f>
        <v/>
      </c>
      <c r="H241" s="175" t="str">
        <f>IF(G241="","",VLOOKUP($B241,'C-1 Site River Baseline'!$C$9:$R$257,7,FALSE))</f>
        <v/>
      </c>
      <c r="I241" s="175" t="str">
        <f>IF(H241="","",VLOOKUP($B241,'C-1 Site River Baseline'!$C$9:$R$257,8,FALSE))</f>
        <v/>
      </c>
      <c r="J241" s="175" t="str">
        <f>IF(I241="","",VLOOKUP($B241,'C-1 Site River Baseline'!$C$9:$R$257,9,FALSE))</f>
        <v/>
      </c>
      <c r="K241" s="175" t="str">
        <f>IF(J241="","",VLOOKUP($B241,'C-1 Site River Baseline'!$C$9:$R$257,10,FALSE))</f>
        <v/>
      </c>
      <c r="L241" s="175" t="str">
        <f>IF(B241="","",VLOOKUP($B241,'C-1 Site River Baseline'!$C$9:$R$257,15,FALSE))</f>
        <v/>
      </c>
      <c r="M241" s="176" t="str">
        <f>IF(L241="","",VLOOKUP($B241,'C-1 Site River Baseline'!$C$9:$R$257,16,FALSE))</f>
        <v/>
      </c>
      <c r="N241" s="639" t="str">
        <f t="shared" si="25"/>
        <v/>
      </c>
      <c r="O241" s="239" t="str">
        <f t="shared" si="26"/>
        <v/>
      </c>
      <c r="P241" s="172" t="str">
        <f>IF(C241="","",IF(AND(LEFT(C241,55)&lt;&gt;LEFT(N241,55),O241="High - High"),"Error - Not like for like",IF(AND(F241=S241,H241&gt;U241),"Error - Can not reduce condition",IF(AND(F241=S241,H241=U241,AJ241='C-1 Site River Baseline'!N239,'C-1 Site River Baseline'!P239=AL241),"Error - No enhancement",IF(AND(C241&lt;&gt;N241,F241&lt;S241),"Lower Distinctiveness Habitat"&amp;" - "&amp;T241,G241&amp;" - "&amp;T241)))))</f>
        <v/>
      </c>
      <c r="Q241" s="660" t="str">
        <f>IF(N241="","",VLOOKUP(B241,'C-1 Site River Baseline'!$C$10:$AA$257,19,FALSE))</f>
        <v/>
      </c>
      <c r="R241" s="171" t="str">
        <f>IF(N241="","",VLOOKUP(N241,'G-7 Rivers Data'!$B$2:$G$8,2,FALSE))</f>
        <v/>
      </c>
      <c r="S241" s="172" t="str">
        <f>IFERROR(VLOOKUP(R241,'G-7 Rivers Data'!$C$4:$D$8,2,FALSE),"")</f>
        <v/>
      </c>
      <c r="T241" s="173"/>
      <c r="U241" s="172" t="str">
        <f>IFERROR(INDEX('G-7 Rivers Data'!$H$4:$L$8,MATCH(N241,'G-7 Rivers Data'!$B$4:$B$8,0),MATCH(T241,'G-7 Rivers Data'!$H$3:$L$3,0)),"")</f>
        <v/>
      </c>
      <c r="V241" s="186"/>
      <c r="W241" s="175" t="str">
        <f>IF(V241="","",IF(VLOOKUP(V241,'G-7 Rivers Data'!$AG$4:$AI$9,2,FALSE)=0,"Spatial Data Missing",VLOOKUP(V241,'G-7 Rivers Data'!$AG$4:$AI$9,2,FALSE)))</f>
        <v/>
      </c>
      <c r="X241" s="176" t="str">
        <f>IF(V241="","",IF(VLOOKUP(V241,'G-7 Rivers Data'!$AG$4:$AI$9,3,FALSE)=0,"Spatial Data Missing",VLOOKUP(V241,'G-7 Rivers Data'!$AG$4:$AI$9,3,FALSE)))</f>
        <v/>
      </c>
      <c r="Y241" s="171" t="str">
        <f>IFERROR(IF(OR(LEFT(P241,5)="Error",LEFT(O241,5)="Error"),"Check Data",IF(F241&lt;S241,'G-7 Rivers Data'!$R$3,INDEX('G-7 Rivers Data'!$U$5:$Y$9,MATCH(G241,'G-7 Rivers Data'!$T$5:$T$9,0),MATCH(T241,'G-7 Rivers Data'!$U$4:$Y$4,0)))),"")</f>
        <v/>
      </c>
      <c r="Z241" s="261"/>
      <c r="AA241" s="261"/>
      <c r="AB241" s="179" t="str">
        <f t="shared" si="27"/>
        <v/>
      </c>
      <c r="AC241" s="262" t="str">
        <f t="shared" si="28"/>
        <v/>
      </c>
      <c r="AD241" s="382" t="str">
        <f>IFERROR(IF(AC241="Check Data","Check Data",VLOOKUP(AC241,'G-4 Temporal multipliers'!$A$4:$C$37,3,FALSE)),"")</f>
        <v/>
      </c>
      <c r="AE241" s="171" t="str">
        <f>IF(N241="","",VLOOKUP(N241,'G-7 Rivers Data'!$B$4:$G$8,5,FALSE))</f>
        <v/>
      </c>
      <c r="AF241" s="179" t="str">
        <f t="shared" si="29"/>
        <v/>
      </c>
      <c r="AG241" s="269" t="str">
        <f t="shared" si="30"/>
        <v/>
      </c>
      <c r="AH241" s="172" t="str">
        <f t="shared" si="24"/>
        <v/>
      </c>
      <c r="AI241" s="173"/>
      <c r="AJ241" s="172" t="str">
        <f>IF(AI241="","",IF(VLOOKUP(AI241,'G-7 Rivers Data'!$AA$4:$AB$7,2,FALSE)=0,"Spatial Data Missing",VLOOKUP(AI241,'G-7 Rivers Data'!$AA$4:$AB$7,2,FALSE)))</f>
        <v/>
      </c>
      <c r="AK241" s="187"/>
      <c r="AL241" s="172" t="str">
        <f>IF(AK241="","",IF(VLOOKUP(AK241,'G-7 Rivers Data'!$AD$4:$AE$8,2,FALSE)=0,"Spatial Data Missing",VLOOKUP(AK241,'G-7 Rivers Data'!$AD$4:$AE$8,2,FALSE)))</f>
        <v/>
      </c>
      <c r="AM241" s="265" t="str">
        <f t="shared" si="31"/>
        <v/>
      </c>
      <c r="AN241" s="180"/>
      <c r="AO241" s="181"/>
      <c r="AV241" s="35" t="str">
        <f>IFERROR(INDEX('G-7 Rivers Data'!$AZ$3:$AZ$7,MATCH(N241,'G-7 Rivers Data'!$AY$3:$AY$7,0)),"")</f>
        <v/>
      </c>
    </row>
    <row r="242" spans="2:48" ht="13.8" x14ac:dyDescent="0.25">
      <c r="B242" s="259" t="str">
        <f>'C-1 Site River Baseline'!AN240</f>
        <v/>
      </c>
      <c r="C242" s="175" t="str">
        <f>IF(B242="","",VLOOKUP($B242,'C-1 Site River Baseline'!$C$9:$R$257,2,FALSE))</f>
        <v/>
      </c>
      <c r="D242" s="175" t="str">
        <f>IF(C242="","",VLOOKUP($B242,'C-1 Site River Baseline'!$C$9:$R$257,3,FALSE))</f>
        <v/>
      </c>
      <c r="E242" s="175" t="str">
        <f>IF(D242="","",VLOOKUP($B242,'C-1 Site River Baseline'!$C$9:$R$257,4,FALSE))</f>
        <v/>
      </c>
      <c r="F242" s="175" t="str">
        <f>IF(E242="","",VLOOKUP($B242,'C-1 Site River Baseline'!$C$9:$R$257,5,FALSE))</f>
        <v/>
      </c>
      <c r="G242" s="175" t="str">
        <f>IF(F242="","",VLOOKUP($B242,'C-1 Site River Baseline'!$C$9:$R$257,6,FALSE))</f>
        <v/>
      </c>
      <c r="H242" s="175" t="str">
        <f>IF(G242="","",VLOOKUP($B242,'C-1 Site River Baseline'!$C$9:$R$257,7,FALSE))</f>
        <v/>
      </c>
      <c r="I242" s="175" t="str">
        <f>IF(H242="","",VLOOKUP($B242,'C-1 Site River Baseline'!$C$9:$R$257,8,FALSE))</f>
        <v/>
      </c>
      <c r="J242" s="175" t="str">
        <f>IF(I242="","",VLOOKUP($B242,'C-1 Site River Baseline'!$C$9:$R$257,9,FALSE))</f>
        <v/>
      </c>
      <c r="K242" s="175" t="str">
        <f>IF(J242="","",VLOOKUP($B242,'C-1 Site River Baseline'!$C$9:$R$257,10,FALSE))</f>
        <v/>
      </c>
      <c r="L242" s="175" t="str">
        <f>IF(B242="","",VLOOKUP($B242,'C-1 Site River Baseline'!$C$9:$R$257,15,FALSE))</f>
        <v/>
      </c>
      <c r="M242" s="176" t="str">
        <f>IF(L242="","",VLOOKUP($B242,'C-1 Site River Baseline'!$C$9:$R$257,16,FALSE))</f>
        <v/>
      </c>
      <c r="N242" s="639" t="str">
        <f t="shared" si="25"/>
        <v/>
      </c>
      <c r="O242" s="239" t="str">
        <f t="shared" si="26"/>
        <v/>
      </c>
      <c r="P242" s="172" t="str">
        <f>IF(C242="","",IF(AND(LEFT(C242,55)&lt;&gt;LEFT(N242,55),O242="High - High"),"Error - Not like for like",IF(AND(F242=S242,H242&gt;U242),"Error - Can not reduce condition",IF(AND(F242=S242,H242=U242,AJ242='C-1 Site River Baseline'!N240,'C-1 Site River Baseline'!P240=AL242),"Error - No enhancement",IF(AND(C242&lt;&gt;N242,F242&lt;S242),"Lower Distinctiveness Habitat"&amp;" - "&amp;T242,G242&amp;" - "&amp;T242)))))</f>
        <v/>
      </c>
      <c r="Q242" s="660" t="str">
        <f>IF(N242="","",VLOOKUP(B242,'C-1 Site River Baseline'!$C$10:$AA$257,19,FALSE))</f>
        <v/>
      </c>
      <c r="R242" s="171" t="str">
        <f>IF(N242="","",VLOOKUP(N242,'G-7 Rivers Data'!$B$2:$G$8,2,FALSE))</f>
        <v/>
      </c>
      <c r="S242" s="172" t="str">
        <f>IFERROR(VLOOKUP(R242,'G-7 Rivers Data'!$C$4:$D$8,2,FALSE),"")</f>
        <v/>
      </c>
      <c r="T242" s="173"/>
      <c r="U242" s="172" t="str">
        <f>IFERROR(INDEX('G-7 Rivers Data'!$H$4:$L$8,MATCH(N242,'G-7 Rivers Data'!$B$4:$B$8,0),MATCH(T242,'G-7 Rivers Data'!$H$3:$L$3,0)),"")</f>
        <v/>
      </c>
      <c r="V242" s="186"/>
      <c r="W242" s="175" t="str">
        <f>IF(V242="","",IF(VLOOKUP(V242,'G-7 Rivers Data'!$AG$4:$AI$9,2,FALSE)=0,"Spatial Data Missing",VLOOKUP(V242,'G-7 Rivers Data'!$AG$4:$AI$9,2,FALSE)))</f>
        <v/>
      </c>
      <c r="X242" s="176" t="str">
        <f>IF(V242="","",IF(VLOOKUP(V242,'G-7 Rivers Data'!$AG$4:$AI$9,3,FALSE)=0,"Spatial Data Missing",VLOOKUP(V242,'G-7 Rivers Data'!$AG$4:$AI$9,3,FALSE)))</f>
        <v/>
      </c>
      <c r="Y242" s="171" t="str">
        <f>IFERROR(IF(OR(LEFT(P242,5)="Error",LEFT(O242,5)="Error"),"Check Data",IF(F242&lt;S242,'G-7 Rivers Data'!$R$3,INDEX('G-7 Rivers Data'!$U$5:$Y$9,MATCH(G242,'G-7 Rivers Data'!$T$5:$T$9,0),MATCH(T242,'G-7 Rivers Data'!$U$4:$Y$4,0)))),"")</f>
        <v/>
      </c>
      <c r="Z242" s="261"/>
      <c r="AA242" s="261"/>
      <c r="AB242" s="179" t="str">
        <f t="shared" si="27"/>
        <v/>
      </c>
      <c r="AC242" s="262" t="str">
        <f t="shared" si="28"/>
        <v/>
      </c>
      <c r="AD242" s="382" t="str">
        <f>IFERROR(IF(AC242="Check Data","Check Data",VLOOKUP(AC242,'G-4 Temporal multipliers'!$A$4:$C$37,3,FALSE)),"")</f>
        <v/>
      </c>
      <c r="AE242" s="171" t="str">
        <f>IF(N242="","",VLOOKUP(N242,'G-7 Rivers Data'!$B$4:$G$8,5,FALSE))</f>
        <v/>
      </c>
      <c r="AF242" s="179" t="str">
        <f t="shared" si="29"/>
        <v/>
      </c>
      <c r="AG242" s="269" t="str">
        <f t="shared" si="30"/>
        <v/>
      </c>
      <c r="AH242" s="172" t="str">
        <f t="shared" si="24"/>
        <v/>
      </c>
      <c r="AI242" s="173"/>
      <c r="AJ242" s="172" t="str">
        <f>IF(AI242="","",IF(VLOOKUP(AI242,'G-7 Rivers Data'!$AA$4:$AB$7,2,FALSE)=0,"Spatial Data Missing",VLOOKUP(AI242,'G-7 Rivers Data'!$AA$4:$AB$7,2,FALSE)))</f>
        <v/>
      </c>
      <c r="AK242" s="187"/>
      <c r="AL242" s="172" t="str">
        <f>IF(AK242="","",IF(VLOOKUP(AK242,'G-7 Rivers Data'!$AD$4:$AE$8,2,FALSE)=0,"Spatial Data Missing",VLOOKUP(AK242,'G-7 Rivers Data'!$AD$4:$AE$8,2,FALSE)))</f>
        <v/>
      </c>
      <c r="AM242" s="265" t="str">
        <f t="shared" si="31"/>
        <v/>
      </c>
      <c r="AN242" s="180"/>
      <c r="AO242" s="181"/>
      <c r="AV242" s="35" t="str">
        <f>IFERROR(INDEX('G-7 Rivers Data'!$AZ$3:$AZ$7,MATCH(N242,'G-7 Rivers Data'!$AY$3:$AY$7,0)),"")</f>
        <v/>
      </c>
    </row>
    <row r="243" spans="2:48" ht="13.8" x14ac:dyDescent="0.25">
      <c r="B243" s="259" t="str">
        <f>'C-1 Site River Baseline'!AN241</f>
        <v/>
      </c>
      <c r="C243" s="175" t="str">
        <f>IF(B243="","",VLOOKUP($B243,'C-1 Site River Baseline'!$C$9:$R$257,2,FALSE))</f>
        <v/>
      </c>
      <c r="D243" s="175" t="str">
        <f>IF(C243="","",VLOOKUP($B243,'C-1 Site River Baseline'!$C$9:$R$257,3,FALSE))</f>
        <v/>
      </c>
      <c r="E243" s="175" t="str">
        <f>IF(D243="","",VLOOKUP($B243,'C-1 Site River Baseline'!$C$9:$R$257,4,FALSE))</f>
        <v/>
      </c>
      <c r="F243" s="175" t="str">
        <f>IF(E243="","",VLOOKUP($B243,'C-1 Site River Baseline'!$C$9:$R$257,5,FALSE))</f>
        <v/>
      </c>
      <c r="G243" s="175" t="str">
        <f>IF(F243="","",VLOOKUP($B243,'C-1 Site River Baseline'!$C$9:$R$257,6,FALSE))</f>
        <v/>
      </c>
      <c r="H243" s="175" t="str">
        <f>IF(G243="","",VLOOKUP($B243,'C-1 Site River Baseline'!$C$9:$R$257,7,FALSE))</f>
        <v/>
      </c>
      <c r="I243" s="175" t="str">
        <f>IF(H243="","",VLOOKUP($B243,'C-1 Site River Baseline'!$C$9:$R$257,8,FALSE))</f>
        <v/>
      </c>
      <c r="J243" s="175" t="str">
        <f>IF(I243="","",VLOOKUP($B243,'C-1 Site River Baseline'!$C$9:$R$257,9,FALSE))</f>
        <v/>
      </c>
      <c r="K243" s="175" t="str">
        <f>IF(J243="","",VLOOKUP($B243,'C-1 Site River Baseline'!$C$9:$R$257,10,FALSE))</f>
        <v/>
      </c>
      <c r="L243" s="175" t="str">
        <f>IF(B243="","",VLOOKUP($B243,'C-1 Site River Baseline'!$C$9:$R$257,15,FALSE))</f>
        <v/>
      </c>
      <c r="M243" s="176" t="str">
        <f>IF(L243="","",VLOOKUP($B243,'C-1 Site River Baseline'!$C$9:$R$257,16,FALSE))</f>
        <v/>
      </c>
      <c r="N243" s="639" t="str">
        <f t="shared" si="25"/>
        <v/>
      </c>
      <c r="O243" s="239" t="str">
        <f t="shared" si="26"/>
        <v/>
      </c>
      <c r="P243" s="172" t="str">
        <f>IF(C243="","",IF(AND(LEFT(C243,55)&lt;&gt;LEFT(N243,55),O243="High - High"),"Error - Not like for like",IF(AND(F243=S243,H243&gt;U243),"Error - Can not reduce condition",IF(AND(F243=S243,H243=U243,AJ243='C-1 Site River Baseline'!N241,'C-1 Site River Baseline'!P241=AL243),"Error - No enhancement",IF(AND(C243&lt;&gt;N243,F243&lt;S243),"Lower Distinctiveness Habitat"&amp;" - "&amp;T243,G243&amp;" - "&amp;T243)))))</f>
        <v/>
      </c>
      <c r="Q243" s="660" t="str">
        <f>IF(N243="","",VLOOKUP(B243,'C-1 Site River Baseline'!$C$10:$AA$257,19,FALSE))</f>
        <v/>
      </c>
      <c r="R243" s="171" t="str">
        <f>IF(N243="","",VLOOKUP(N243,'G-7 Rivers Data'!$B$2:$G$8,2,FALSE))</f>
        <v/>
      </c>
      <c r="S243" s="172" t="str">
        <f>IFERROR(VLOOKUP(R243,'G-7 Rivers Data'!$C$4:$D$8,2,FALSE),"")</f>
        <v/>
      </c>
      <c r="T243" s="173"/>
      <c r="U243" s="172" t="str">
        <f>IFERROR(INDEX('G-7 Rivers Data'!$H$4:$L$8,MATCH(N243,'G-7 Rivers Data'!$B$4:$B$8,0),MATCH(T243,'G-7 Rivers Data'!$H$3:$L$3,0)),"")</f>
        <v/>
      </c>
      <c r="V243" s="186"/>
      <c r="W243" s="175" t="str">
        <f>IF(V243="","",IF(VLOOKUP(V243,'G-7 Rivers Data'!$AG$4:$AI$9,2,FALSE)=0,"Spatial Data Missing",VLOOKUP(V243,'G-7 Rivers Data'!$AG$4:$AI$9,2,FALSE)))</f>
        <v/>
      </c>
      <c r="X243" s="176" t="str">
        <f>IF(V243="","",IF(VLOOKUP(V243,'G-7 Rivers Data'!$AG$4:$AI$9,3,FALSE)=0,"Spatial Data Missing",VLOOKUP(V243,'G-7 Rivers Data'!$AG$4:$AI$9,3,FALSE)))</f>
        <v/>
      </c>
      <c r="Y243" s="171" t="str">
        <f>IFERROR(IF(OR(LEFT(P243,5)="Error",LEFT(O243,5)="Error"),"Check Data",IF(F243&lt;S243,'G-7 Rivers Data'!$R$3,INDEX('G-7 Rivers Data'!$U$5:$Y$9,MATCH(G243,'G-7 Rivers Data'!$T$5:$T$9,0),MATCH(T243,'G-7 Rivers Data'!$U$4:$Y$4,0)))),"")</f>
        <v/>
      </c>
      <c r="Z243" s="261"/>
      <c r="AA243" s="261"/>
      <c r="AB243" s="179" t="str">
        <f t="shared" si="27"/>
        <v/>
      </c>
      <c r="AC243" s="262" t="str">
        <f t="shared" si="28"/>
        <v/>
      </c>
      <c r="AD243" s="382" t="str">
        <f>IFERROR(IF(AC243="Check Data","Check Data",VLOOKUP(AC243,'G-4 Temporal multipliers'!$A$4:$C$37,3,FALSE)),"")</f>
        <v/>
      </c>
      <c r="AE243" s="171" t="str">
        <f>IF(N243="","",VLOOKUP(N243,'G-7 Rivers Data'!$B$4:$G$8,5,FALSE))</f>
        <v/>
      </c>
      <c r="AF243" s="179" t="str">
        <f t="shared" si="29"/>
        <v/>
      </c>
      <c r="AG243" s="269" t="str">
        <f t="shared" si="30"/>
        <v/>
      </c>
      <c r="AH243" s="172" t="str">
        <f t="shared" si="24"/>
        <v/>
      </c>
      <c r="AI243" s="173"/>
      <c r="AJ243" s="172" t="str">
        <f>IF(AI243="","",IF(VLOOKUP(AI243,'G-7 Rivers Data'!$AA$4:$AB$7,2,FALSE)=0,"Spatial Data Missing",VLOOKUP(AI243,'G-7 Rivers Data'!$AA$4:$AB$7,2,FALSE)))</f>
        <v/>
      </c>
      <c r="AK243" s="187"/>
      <c r="AL243" s="172" t="str">
        <f>IF(AK243="","",IF(VLOOKUP(AK243,'G-7 Rivers Data'!$AD$4:$AE$8,2,FALSE)=0,"Spatial Data Missing",VLOOKUP(AK243,'G-7 Rivers Data'!$AD$4:$AE$8,2,FALSE)))</f>
        <v/>
      </c>
      <c r="AM243" s="265" t="str">
        <f t="shared" si="31"/>
        <v/>
      </c>
      <c r="AN243" s="180"/>
      <c r="AO243" s="181"/>
      <c r="AV243" s="35" t="str">
        <f>IFERROR(INDEX('G-7 Rivers Data'!$AZ$3:$AZ$7,MATCH(N243,'G-7 Rivers Data'!$AY$3:$AY$7,0)),"")</f>
        <v/>
      </c>
    </row>
    <row r="244" spans="2:48" ht="13.8" x14ac:dyDescent="0.25">
      <c r="B244" s="259" t="str">
        <f>'C-1 Site River Baseline'!AN242</f>
        <v/>
      </c>
      <c r="C244" s="175" t="str">
        <f>IF(B244="","",VLOOKUP($B244,'C-1 Site River Baseline'!$C$9:$R$257,2,FALSE))</f>
        <v/>
      </c>
      <c r="D244" s="175" t="str">
        <f>IF(C244="","",VLOOKUP($B244,'C-1 Site River Baseline'!$C$9:$R$257,3,FALSE))</f>
        <v/>
      </c>
      <c r="E244" s="175" t="str">
        <f>IF(D244="","",VLOOKUP($B244,'C-1 Site River Baseline'!$C$9:$R$257,4,FALSE))</f>
        <v/>
      </c>
      <c r="F244" s="175" t="str">
        <f>IF(E244="","",VLOOKUP($B244,'C-1 Site River Baseline'!$C$9:$R$257,5,FALSE))</f>
        <v/>
      </c>
      <c r="G244" s="175" t="str">
        <f>IF(F244="","",VLOOKUP($B244,'C-1 Site River Baseline'!$C$9:$R$257,6,FALSE))</f>
        <v/>
      </c>
      <c r="H244" s="175" t="str">
        <f>IF(G244="","",VLOOKUP($B244,'C-1 Site River Baseline'!$C$9:$R$257,7,FALSE))</f>
        <v/>
      </c>
      <c r="I244" s="175" t="str">
        <f>IF(H244="","",VLOOKUP($B244,'C-1 Site River Baseline'!$C$9:$R$257,8,FALSE))</f>
        <v/>
      </c>
      <c r="J244" s="175" t="str">
        <f>IF(I244="","",VLOOKUP($B244,'C-1 Site River Baseline'!$C$9:$R$257,9,FALSE))</f>
        <v/>
      </c>
      <c r="K244" s="175" t="str">
        <f>IF(J244="","",VLOOKUP($B244,'C-1 Site River Baseline'!$C$9:$R$257,10,FALSE))</f>
        <v/>
      </c>
      <c r="L244" s="175" t="str">
        <f>IF(B244="","",VLOOKUP($B244,'C-1 Site River Baseline'!$C$9:$R$257,15,FALSE))</f>
        <v/>
      </c>
      <c r="M244" s="176" t="str">
        <f>IF(L244="","",VLOOKUP($B244,'C-1 Site River Baseline'!$C$9:$R$257,16,FALSE))</f>
        <v/>
      </c>
      <c r="N244" s="639" t="str">
        <f t="shared" si="25"/>
        <v/>
      </c>
      <c r="O244" s="239" t="str">
        <f t="shared" si="26"/>
        <v/>
      </c>
      <c r="P244" s="172" t="str">
        <f>IF(C244="","",IF(AND(LEFT(C244,55)&lt;&gt;LEFT(N244,55),O244="High - High"),"Error - Not like for like",IF(AND(F244=S244,H244&gt;U244),"Error - Can not reduce condition",IF(AND(F244=S244,H244=U244,AJ244='C-1 Site River Baseline'!N242,'C-1 Site River Baseline'!P242=AL244),"Error - No enhancement",IF(AND(C244&lt;&gt;N244,F244&lt;S244),"Lower Distinctiveness Habitat"&amp;" - "&amp;T244,G244&amp;" - "&amp;T244)))))</f>
        <v/>
      </c>
      <c r="Q244" s="660" t="str">
        <f>IF(N244="","",VLOOKUP(B244,'C-1 Site River Baseline'!$C$10:$AA$257,19,FALSE))</f>
        <v/>
      </c>
      <c r="R244" s="171" t="str">
        <f>IF(N244="","",VLOOKUP(N244,'G-7 Rivers Data'!$B$2:$G$8,2,FALSE))</f>
        <v/>
      </c>
      <c r="S244" s="172" t="str">
        <f>IFERROR(VLOOKUP(R244,'G-7 Rivers Data'!$C$4:$D$8,2,FALSE),"")</f>
        <v/>
      </c>
      <c r="T244" s="173"/>
      <c r="U244" s="172" t="str">
        <f>IFERROR(INDEX('G-7 Rivers Data'!$H$4:$L$8,MATCH(N244,'G-7 Rivers Data'!$B$4:$B$8,0),MATCH(T244,'G-7 Rivers Data'!$H$3:$L$3,0)),"")</f>
        <v/>
      </c>
      <c r="V244" s="186"/>
      <c r="W244" s="175" t="str">
        <f>IF(V244="","",IF(VLOOKUP(V244,'G-7 Rivers Data'!$AG$4:$AI$9,2,FALSE)=0,"Spatial Data Missing",VLOOKUP(V244,'G-7 Rivers Data'!$AG$4:$AI$9,2,FALSE)))</f>
        <v/>
      </c>
      <c r="X244" s="176" t="str">
        <f>IF(V244="","",IF(VLOOKUP(V244,'G-7 Rivers Data'!$AG$4:$AI$9,3,FALSE)=0,"Spatial Data Missing",VLOOKUP(V244,'G-7 Rivers Data'!$AG$4:$AI$9,3,FALSE)))</f>
        <v/>
      </c>
      <c r="Y244" s="171" t="str">
        <f>IFERROR(IF(OR(LEFT(P244,5)="Error",LEFT(O244,5)="Error"),"Check Data",IF(F244&lt;S244,'G-7 Rivers Data'!$R$3,INDEX('G-7 Rivers Data'!$U$5:$Y$9,MATCH(G244,'G-7 Rivers Data'!$T$5:$T$9,0),MATCH(T244,'G-7 Rivers Data'!$U$4:$Y$4,0)))),"")</f>
        <v/>
      </c>
      <c r="Z244" s="261"/>
      <c r="AA244" s="261"/>
      <c r="AB244" s="179" t="str">
        <f t="shared" si="27"/>
        <v/>
      </c>
      <c r="AC244" s="262" t="str">
        <f t="shared" si="28"/>
        <v/>
      </c>
      <c r="AD244" s="382" t="str">
        <f>IFERROR(IF(AC244="Check Data","Check Data",VLOOKUP(AC244,'G-4 Temporal multipliers'!$A$4:$C$37,3,FALSE)),"")</f>
        <v/>
      </c>
      <c r="AE244" s="171" t="str">
        <f>IF(N244="","",VLOOKUP(N244,'G-7 Rivers Data'!$B$4:$G$8,5,FALSE))</f>
        <v/>
      </c>
      <c r="AF244" s="179" t="str">
        <f t="shared" si="29"/>
        <v/>
      </c>
      <c r="AG244" s="269" t="str">
        <f t="shared" si="30"/>
        <v/>
      </c>
      <c r="AH244" s="172" t="str">
        <f t="shared" si="24"/>
        <v/>
      </c>
      <c r="AI244" s="173"/>
      <c r="AJ244" s="172" t="str">
        <f>IF(AI244="","",IF(VLOOKUP(AI244,'G-7 Rivers Data'!$AA$4:$AB$7,2,FALSE)=0,"Spatial Data Missing",VLOOKUP(AI244,'G-7 Rivers Data'!$AA$4:$AB$7,2,FALSE)))</f>
        <v/>
      </c>
      <c r="AK244" s="187"/>
      <c r="AL244" s="172" t="str">
        <f>IF(AK244="","",IF(VLOOKUP(AK244,'G-7 Rivers Data'!$AD$4:$AE$8,2,FALSE)=0,"Spatial Data Missing",VLOOKUP(AK244,'G-7 Rivers Data'!$AD$4:$AE$8,2,FALSE)))</f>
        <v/>
      </c>
      <c r="AM244" s="265" t="str">
        <f t="shared" si="31"/>
        <v/>
      </c>
      <c r="AN244" s="180"/>
      <c r="AO244" s="181"/>
      <c r="AV244" s="35" t="str">
        <f>IFERROR(INDEX('G-7 Rivers Data'!$AZ$3:$AZ$7,MATCH(N244,'G-7 Rivers Data'!$AY$3:$AY$7,0)),"")</f>
        <v/>
      </c>
    </row>
    <row r="245" spans="2:48" ht="13.8" x14ac:dyDescent="0.25">
      <c r="B245" s="259" t="str">
        <f>'C-1 Site River Baseline'!AN243</f>
        <v/>
      </c>
      <c r="C245" s="175" t="str">
        <f>IF(B245="","",VLOOKUP($B245,'C-1 Site River Baseline'!$C$9:$R$257,2,FALSE))</f>
        <v/>
      </c>
      <c r="D245" s="175" t="str">
        <f>IF(C245="","",VLOOKUP($B245,'C-1 Site River Baseline'!$C$9:$R$257,3,FALSE))</f>
        <v/>
      </c>
      <c r="E245" s="175" t="str">
        <f>IF(D245="","",VLOOKUP($B245,'C-1 Site River Baseline'!$C$9:$R$257,4,FALSE))</f>
        <v/>
      </c>
      <c r="F245" s="175" t="str">
        <f>IF(E245="","",VLOOKUP($B245,'C-1 Site River Baseline'!$C$9:$R$257,5,FALSE))</f>
        <v/>
      </c>
      <c r="G245" s="175" t="str">
        <f>IF(F245="","",VLOOKUP($B245,'C-1 Site River Baseline'!$C$9:$R$257,6,FALSE))</f>
        <v/>
      </c>
      <c r="H245" s="175" t="str">
        <f>IF(G245="","",VLOOKUP($B245,'C-1 Site River Baseline'!$C$9:$R$257,7,FALSE))</f>
        <v/>
      </c>
      <c r="I245" s="175" t="str">
        <f>IF(H245="","",VLOOKUP($B245,'C-1 Site River Baseline'!$C$9:$R$257,8,FALSE))</f>
        <v/>
      </c>
      <c r="J245" s="175" t="str">
        <f>IF(I245="","",VLOOKUP($B245,'C-1 Site River Baseline'!$C$9:$R$257,9,FALSE))</f>
        <v/>
      </c>
      <c r="K245" s="175" t="str">
        <f>IF(J245="","",VLOOKUP($B245,'C-1 Site River Baseline'!$C$9:$R$257,10,FALSE))</f>
        <v/>
      </c>
      <c r="L245" s="175" t="str">
        <f>IF(B245="","",VLOOKUP($B245,'C-1 Site River Baseline'!$C$9:$R$257,15,FALSE))</f>
        <v/>
      </c>
      <c r="M245" s="176" t="str">
        <f>IF(L245="","",VLOOKUP($B245,'C-1 Site River Baseline'!$C$9:$R$257,16,FALSE))</f>
        <v/>
      </c>
      <c r="N245" s="639" t="str">
        <f t="shared" si="25"/>
        <v/>
      </c>
      <c r="O245" s="239" t="str">
        <f t="shared" si="26"/>
        <v/>
      </c>
      <c r="P245" s="172" t="str">
        <f>IF(C245="","",IF(AND(LEFT(C245,55)&lt;&gt;LEFT(N245,55),O245="High - High"),"Error - Not like for like",IF(AND(F245=S245,H245&gt;U245),"Error - Can not reduce condition",IF(AND(F245=S245,H245=U245,AJ245='C-1 Site River Baseline'!N243,'C-1 Site River Baseline'!P243=AL245),"Error - No enhancement",IF(AND(C245&lt;&gt;N245,F245&lt;S245),"Lower Distinctiveness Habitat"&amp;" - "&amp;T245,G245&amp;" - "&amp;T245)))))</f>
        <v/>
      </c>
      <c r="Q245" s="660" t="str">
        <f>IF(N245="","",VLOOKUP(B245,'C-1 Site River Baseline'!$C$10:$AA$257,19,FALSE))</f>
        <v/>
      </c>
      <c r="R245" s="171" t="str">
        <f>IF(N245="","",VLOOKUP(N245,'G-7 Rivers Data'!$B$2:$G$8,2,FALSE))</f>
        <v/>
      </c>
      <c r="S245" s="172" t="str">
        <f>IFERROR(VLOOKUP(R245,'G-7 Rivers Data'!$C$4:$D$8,2,FALSE),"")</f>
        <v/>
      </c>
      <c r="T245" s="173"/>
      <c r="U245" s="172" t="str">
        <f>IFERROR(INDEX('G-7 Rivers Data'!$H$4:$L$8,MATCH(N245,'G-7 Rivers Data'!$B$4:$B$8,0),MATCH(T245,'G-7 Rivers Data'!$H$3:$L$3,0)),"")</f>
        <v/>
      </c>
      <c r="V245" s="186"/>
      <c r="W245" s="175" t="str">
        <f>IF(V245="","",IF(VLOOKUP(V245,'G-7 Rivers Data'!$AG$4:$AI$9,2,FALSE)=0,"Spatial Data Missing",VLOOKUP(V245,'G-7 Rivers Data'!$AG$4:$AI$9,2,FALSE)))</f>
        <v/>
      </c>
      <c r="X245" s="176" t="str">
        <f>IF(V245="","",IF(VLOOKUP(V245,'G-7 Rivers Data'!$AG$4:$AI$9,3,FALSE)=0,"Spatial Data Missing",VLOOKUP(V245,'G-7 Rivers Data'!$AG$4:$AI$9,3,FALSE)))</f>
        <v/>
      </c>
      <c r="Y245" s="171" t="str">
        <f>IFERROR(IF(OR(LEFT(P245,5)="Error",LEFT(O245,5)="Error"),"Check Data",IF(F245&lt;S245,'G-7 Rivers Data'!$R$3,INDEX('G-7 Rivers Data'!$U$5:$Y$9,MATCH(G245,'G-7 Rivers Data'!$T$5:$T$9,0),MATCH(T245,'G-7 Rivers Data'!$U$4:$Y$4,0)))),"")</f>
        <v/>
      </c>
      <c r="Z245" s="261"/>
      <c r="AA245" s="261"/>
      <c r="AB245" s="179" t="str">
        <f t="shared" si="27"/>
        <v/>
      </c>
      <c r="AC245" s="262" t="str">
        <f t="shared" si="28"/>
        <v/>
      </c>
      <c r="AD245" s="382" t="str">
        <f>IFERROR(IF(AC245="Check Data","Check Data",VLOOKUP(AC245,'G-4 Temporal multipliers'!$A$4:$C$37,3,FALSE)),"")</f>
        <v/>
      </c>
      <c r="AE245" s="171" t="str">
        <f>IF(N245="","",VLOOKUP(N245,'G-7 Rivers Data'!$B$4:$G$8,5,FALSE))</f>
        <v/>
      </c>
      <c r="AF245" s="179" t="str">
        <f t="shared" si="29"/>
        <v/>
      </c>
      <c r="AG245" s="269" t="str">
        <f t="shared" si="30"/>
        <v/>
      </c>
      <c r="AH245" s="172" t="str">
        <f t="shared" si="24"/>
        <v/>
      </c>
      <c r="AI245" s="173"/>
      <c r="AJ245" s="172" t="str">
        <f>IF(AI245="","",IF(VLOOKUP(AI245,'G-7 Rivers Data'!$AA$4:$AB$7,2,FALSE)=0,"Spatial Data Missing",VLOOKUP(AI245,'G-7 Rivers Data'!$AA$4:$AB$7,2,FALSE)))</f>
        <v/>
      </c>
      <c r="AK245" s="187"/>
      <c r="AL245" s="172" t="str">
        <f>IF(AK245="","",IF(VLOOKUP(AK245,'G-7 Rivers Data'!$AD$4:$AE$8,2,FALSE)=0,"Spatial Data Missing",VLOOKUP(AK245,'G-7 Rivers Data'!$AD$4:$AE$8,2,FALSE)))</f>
        <v/>
      </c>
      <c r="AM245" s="265" t="str">
        <f t="shared" si="31"/>
        <v/>
      </c>
      <c r="AN245" s="180"/>
      <c r="AO245" s="181"/>
      <c r="AV245" s="35" t="str">
        <f>IFERROR(INDEX('G-7 Rivers Data'!$AZ$3:$AZ$7,MATCH(N245,'G-7 Rivers Data'!$AY$3:$AY$7,0)),"")</f>
        <v/>
      </c>
    </row>
    <row r="246" spans="2:48" ht="13.8" x14ac:dyDescent="0.25">
      <c r="B246" s="259" t="str">
        <f>'C-1 Site River Baseline'!AN244</f>
        <v/>
      </c>
      <c r="C246" s="175" t="str">
        <f>IF(B246="","",VLOOKUP($B246,'C-1 Site River Baseline'!$C$9:$R$257,2,FALSE))</f>
        <v/>
      </c>
      <c r="D246" s="175" t="str">
        <f>IF(C246="","",VLOOKUP($B246,'C-1 Site River Baseline'!$C$9:$R$257,3,FALSE))</f>
        <v/>
      </c>
      <c r="E246" s="175" t="str">
        <f>IF(D246="","",VLOOKUP($B246,'C-1 Site River Baseline'!$C$9:$R$257,4,FALSE))</f>
        <v/>
      </c>
      <c r="F246" s="175" t="str">
        <f>IF(E246="","",VLOOKUP($B246,'C-1 Site River Baseline'!$C$9:$R$257,5,FALSE))</f>
        <v/>
      </c>
      <c r="G246" s="175" t="str">
        <f>IF(F246="","",VLOOKUP($B246,'C-1 Site River Baseline'!$C$9:$R$257,6,FALSE))</f>
        <v/>
      </c>
      <c r="H246" s="175" t="str">
        <f>IF(G246="","",VLOOKUP($B246,'C-1 Site River Baseline'!$C$9:$R$257,7,FALSE))</f>
        <v/>
      </c>
      <c r="I246" s="175" t="str">
        <f>IF(H246="","",VLOOKUP($B246,'C-1 Site River Baseline'!$C$9:$R$257,8,FALSE))</f>
        <v/>
      </c>
      <c r="J246" s="175" t="str">
        <f>IF(I246="","",VLOOKUP($B246,'C-1 Site River Baseline'!$C$9:$R$257,9,FALSE))</f>
        <v/>
      </c>
      <c r="K246" s="175" t="str">
        <f>IF(J246="","",VLOOKUP($B246,'C-1 Site River Baseline'!$C$9:$R$257,10,FALSE))</f>
        <v/>
      </c>
      <c r="L246" s="175" t="str">
        <f>IF(B246="","",VLOOKUP($B246,'C-1 Site River Baseline'!$C$9:$R$257,15,FALSE))</f>
        <v/>
      </c>
      <c r="M246" s="176" t="str">
        <f>IF(L246="","",VLOOKUP($B246,'C-1 Site River Baseline'!$C$9:$R$257,16,FALSE))</f>
        <v/>
      </c>
      <c r="N246" s="639" t="str">
        <f t="shared" si="25"/>
        <v/>
      </c>
      <c r="O246" s="239" t="str">
        <f t="shared" si="26"/>
        <v/>
      </c>
      <c r="P246" s="172" t="str">
        <f>IF(C246="","",IF(AND(LEFT(C246,55)&lt;&gt;LEFT(N246,55),O246="High - High"),"Error - Not like for like",IF(AND(F246=S246,H246&gt;U246),"Error - Can not reduce condition",IF(AND(F246=S246,H246=U246,AJ246='C-1 Site River Baseline'!N244,'C-1 Site River Baseline'!P244=AL246),"Error - No enhancement",IF(AND(C246&lt;&gt;N246,F246&lt;S246),"Lower Distinctiveness Habitat"&amp;" - "&amp;T246,G246&amp;" - "&amp;T246)))))</f>
        <v/>
      </c>
      <c r="Q246" s="660" t="str">
        <f>IF(N246="","",VLOOKUP(B246,'C-1 Site River Baseline'!$C$10:$AA$257,19,FALSE))</f>
        <v/>
      </c>
      <c r="R246" s="171" t="str">
        <f>IF(N246="","",VLOOKUP(N246,'G-7 Rivers Data'!$B$2:$G$8,2,FALSE))</f>
        <v/>
      </c>
      <c r="S246" s="172" t="str">
        <f>IFERROR(VLOOKUP(R246,'G-7 Rivers Data'!$C$4:$D$8,2,FALSE),"")</f>
        <v/>
      </c>
      <c r="T246" s="173"/>
      <c r="U246" s="172" t="str">
        <f>IFERROR(INDEX('G-7 Rivers Data'!$H$4:$L$8,MATCH(N246,'G-7 Rivers Data'!$B$4:$B$8,0),MATCH(T246,'G-7 Rivers Data'!$H$3:$L$3,0)),"")</f>
        <v/>
      </c>
      <c r="V246" s="186"/>
      <c r="W246" s="175" t="str">
        <f>IF(V246="","",IF(VLOOKUP(V246,'G-7 Rivers Data'!$AG$4:$AI$9,2,FALSE)=0,"Spatial Data Missing",VLOOKUP(V246,'G-7 Rivers Data'!$AG$4:$AI$9,2,FALSE)))</f>
        <v/>
      </c>
      <c r="X246" s="176" t="str">
        <f>IF(V246="","",IF(VLOOKUP(V246,'G-7 Rivers Data'!$AG$4:$AI$9,3,FALSE)=0,"Spatial Data Missing",VLOOKUP(V246,'G-7 Rivers Data'!$AG$4:$AI$9,3,FALSE)))</f>
        <v/>
      </c>
      <c r="Y246" s="171" t="str">
        <f>IFERROR(IF(OR(LEFT(P246,5)="Error",LEFT(O246,5)="Error"),"Check Data",IF(F246&lt;S246,'G-7 Rivers Data'!$R$3,INDEX('G-7 Rivers Data'!$U$5:$Y$9,MATCH(G246,'G-7 Rivers Data'!$T$5:$T$9,0),MATCH(T246,'G-7 Rivers Data'!$U$4:$Y$4,0)))),"")</f>
        <v/>
      </c>
      <c r="Z246" s="261"/>
      <c r="AA246" s="261"/>
      <c r="AB246" s="179" t="str">
        <f t="shared" si="27"/>
        <v/>
      </c>
      <c r="AC246" s="262" t="str">
        <f t="shared" si="28"/>
        <v/>
      </c>
      <c r="AD246" s="382" t="str">
        <f>IFERROR(IF(AC246="Check Data","Check Data",VLOOKUP(AC246,'G-4 Temporal multipliers'!$A$4:$C$37,3,FALSE)),"")</f>
        <v/>
      </c>
      <c r="AE246" s="171" t="str">
        <f>IF(N246="","",VLOOKUP(N246,'G-7 Rivers Data'!$B$4:$G$8,5,FALSE))</f>
        <v/>
      </c>
      <c r="AF246" s="179" t="str">
        <f t="shared" si="29"/>
        <v/>
      </c>
      <c r="AG246" s="269" t="str">
        <f t="shared" si="30"/>
        <v/>
      </c>
      <c r="AH246" s="172" t="str">
        <f t="shared" si="24"/>
        <v/>
      </c>
      <c r="AI246" s="173"/>
      <c r="AJ246" s="172" t="str">
        <f>IF(AI246="","",IF(VLOOKUP(AI246,'G-7 Rivers Data'!$AA$4:$AB$7,2,FALSE)=0,"Spatial Data Missing",VLOOKUP(AI246,'G-7 Rivers Data'!$AA$4:$AB$7,2,FALSE)))</f>
        <v/>
      </c>
      <c r="AK246" s="187"/>
      <c r="AL246" s="172" t="str">
        <f>IF(AK246="","",IF(VLOOKUP(AK246,'G-7 Rivers Data'!$AD$4:$AE$8,2,FALSE)=0,"Spatial Data Missing",VLOOKUP(AK246,'G-7 Rivers Data'!$AD$4:$AE$8,2,FALSE)))</f>
        <v/>
      </c>
      <c r="AM246" s="265" t="str">
        <f t="shared" si="31"/>
        <v/>
      </c>
      <c r="AN246" s="180"/>
      <c r="AO246" s="181"/>
      <c r="AV246" s="35" t="str">
        <f>IFERROR(INDEX('G-7 Rivers Data'!$AZ$3:$AZ$7,MATCH(N246,'G-7 Rivers Data'!$AY$3:$AY$7,0)),"")</f>
        <v/>
      </c>
    </row>
    <row r="247" spans="2:48" ht="13.8" x14ac:dyDescent="0.25">
      <c r="B247" s="259" t="str">
        <f>'C-1 Site River Baseline'!AN245</f>
        <v/>
      </c>
      <c r="C247" s="175" t="str">
        <f>IF(B247="","",VLOOKUP($B247,'C-1 Site River Baseline'!$C$9:$R$257,2,FALSE))</f>
        <v/>
      </c>
      <c r="D247" s="175" t="str">
        <f>IF(C247="","",VLOOKUP($B247,'C-1 Site River Baseline'!$C$9:$R$257,3,FALSE))</f>
        <v/>
      </c>
      <c r="E247" s="175" t="str">
        <f>IF(D247="","",VLOOKUP($B247,'C-1 Site River Baseline'!$C$9:$R$257,4,FALSE))</f>
        <v/>
      </c>
      <c r="F247" s="175" t="str">
        <f>IF(E247="","",VLOOKUP($B247,'C-1 Site River Baseline'!$C$9:$R$257,5,FALSE))</f>
        <v/>
      </c>
      <c r="G247" s="175" t="str">
        <f>IF(F247="","",VLOOKUP($B247,'C-1 Site River Baseline'!$C$9:$R$257,6,FALSE))</f>
        <v/>
      </c>
      <c r="H247" s="175" t="str">
        <f>IF(G247="","",VLOOKUP($B247,'C-1 Site River Baseline'!$C$9:$R$257,7,FALSE))</f>
        <v/>
      </c>
      <c r="I247" s="175" t="str">
        <f>IF(H247="","",VLOOKUP($B247,'C-1 Site River Baseline'!$C$9:$R$257,8,FALSE))</f>
        <v/>
      </c>
      <c r="J247" s="175" t="str">
        <f>IF(I247="","",VLOOKUP($B247,'C-1 Site River Baseline'!$C$9:$R$257,9,FALSE))</f>
        <v/>
      </c>
      <c r="K247" s="175" t="str">
        <f>IF(J247="","",VLOOKUP($B247,'C-1 Site River Baseline'!$C$9:$R$257,10,FALSE))</f>
        <v/>
      </c>
      <c r="L247" s="175" t="str">
        <f>IF(B247="","",VLOOKUP($B247,'C-1 Site River Baseline'!$C$9:$R$257,15,FALSE))</f>
        <v/>
      </c>
      <c r="M247" s="176" t="str">
        <f>IF(L247="","",VLOOKUP($B247,'C-1 Site River Baseline'!$C$9:$R$257,16,FALSE))</f>
        <v/>
      </c>
      <c r="N247" s="639" t="str">
        <f t="shared" si="25"/>
        <v/>
      </c>
      <c r="O247" s="239" t="str">
        <f t="shared" si="26"/>
        <v/>
      </c>
      <c r="P247" s="172" t="str">
        <f>IF(C247="","",IF(AND(LEFT(C247,55)&lt;&gt;LEFT(N247,55),O247="High - High"),"Error - Not like for like",IF(AND(F247=S247,H247&gt;U247),"Error - Can not reduce condition",IF(AND(F247=S247,H247=U247,AJ247='C-1 Site River Baseline'!N245,'C-1 Site River Baseline'!P245=AL247),"Error - No enhancement",IF(AND(C247&lt;&gt;N247,F247&lt;S247),"Lower Distinctiveness Habitat"&amp;" - "&amp;T247,G247&amp;" - "&amp;T247)))))</f>
        <v/>
      </c>
      <c r="Q247" s="660" t="str">
        <f>IF(N247="","",VLOOKUP(B247,'C-1 Site River Baseline'!$C$10:$AA$257,19,FALSE))</f>
        <v/>
      </c>
      <c r="R247" s="171" t="str">
        <f>IF(N247="","",VLOOKUP(N247,'G-7 Rivers Data'!$B$2:$G$8,2,FALSE))</f>
        <v/>
      </c>
      <c r="S247" s="172" t="str">
        <f>IFERROR(VLOOKUP(R247,'G-7 Rivers Data'!$C$4:$D$8,2,FALSE),"")</f>
        <v/>
      </c>
      <c r="T247" s="173"/>
      <c r="U247" s="172" t="str">
        <f>IFERROR(INDEX('G-7 Rivers Data'!$H$4:$L$8,MATCH(N247,'G-7 Rivers Data'!$B$4:$B$8,0),MATCH(T247,'G-7 Rivers Data'!$H$3:$L$3,0)),"")</f>
        <v/>
      </c>
      <c r="V247" s="186"/>
      <c r="W247" s="175" t="str">
        <f>IF(V247="","",IF(VLOOKUP(V247,'G-7 Rivers Data'!$AG$4:$AI$9,2,FALSE)=0,"Spatial Data Missing",VLOOKUP(V247,'G-7 Rivers Data'!$AG$4:$AI$9,2,FALSE)))</f>
        <v/>
      </c>
      <c r="X247" s="176" t="str">
        <f>IF(V247="","",IF(VLOOKUP(V247,'G-7 Rivers Data'!$AG$4:$AI$9,3,FALSE)=0,"Spatial Data Missing",VLOOKUP(V247,'G-7 Rivers Data'!$AG$4:$AI$9,3,FALSE)))</f>
        <v/>
      </c>
      <c r="Y247" s="171" t="str">
        <f>IFERROR(IF(OR(LEFT(P247,5)="Error",LEFT(O247,5)="Error"),"Check Data",IF(F247&lt;S247,'G-7 Rivers Data'!$R$3,INDEX('G-7 Rivers Data'!$U$5:$Y$9,MATCH(G247,'G-7 Rivers Data'!$T$5:$T$9,0),MATCH(T247,'G-7 Rivers Data'!$U$4:$Y$4,0)))),"")</f>
        <v/>
      </c>
      <c r="Z247" s="261"/>
      <c r="AA247" s="261"/>
      <c r="AB247" s="179" t="str">
        <f t="shared" si="27"/>
        <v/>
      </c>
      <c r="AC247" s="262" t="str">
        <f t="shared" si="28"/>
        <v/>
      </c>
      <c r="AD247" s="382" t="str">
        <f>IFERROR(IF(AC247="Check Data","Check Data",VLOOKUP(AC247,'G-4 Temporal multipliers'!$A$4:$C$37,3,FALSE)),"")</f>
        <v/>
      </c>
      <c r="AE247" s="171" t="str">
        <f>IF(N247="","",VLOOKUP(N247,'G-7 Rivers Data'!$B$4:$G$8,5,FALSE))</f>
        <v/>
      </c>
      <c r="AF247" s="179" t="str">
        <f t="shared" si="29"/>
        <v/>
      </c>
      <c r="AG247" s="269" t="str">
        <f t="shared" si="30"/>
        <v/>
      </c>
      <c r="AH247" s="172" t="str">
        <f t="shared" si="24"/>
        <v/>
      </c>
      <c r="AI247" s="173"/>
      <c r="AJ247" s="172" t="str">
        <f>IF(AI247="","",IF(VLOOKUP(AI247,'G-7 Rivers Data'!$AA$4:$AB$7,2,FALSE)=0,"Spatial Data Missing",VLOOKUP(AI247,'G-7 Rivers Data'!$AA$4:$AB$7,2,FALSE)))</f>
        <v/>
      </c>
      <c r="AK247" s="187"/>
      <c r="AL247" s="172" t="str">
        <f>IF(AK247="","",IF(VLOOKUP(AK247,'G-7 Rivers Data'!$AD$4:$AE$8,2,FALSE)=0,"Spatial Data Missing",VLOOKUP(AK247,'G-7 Rivers Data'!$AD$4:$AE$8,2,FALSE)))</f>
        <v/>
      </c>
      <c r="AM247" s="265" t="str">
        <f t="shared" si="31"/>
        <v/>
      </c>
      <c r="AN247" s="180"/>
      <c r="AO247" s="181"/>
      <c r="AV247" s="35" t="str">
        <f>IFERROR(INDEX('G-7 Rivers Data'!$AZ$3:$AZ$7,MATCH(N247,'G-7 Rivers Data'!$AY$3:$AY$7,0)),"")</f>
        <v/>
      </c>
    </row>
    <row r="248" spans="2:48" ht="13.8" x14ac:dyDescent="0.25">
      <c r="B248" s="259" t="str">
        <f>'C-1 Site River Baseline'!AN246</f>
        <v/>
      </c>
      <c r="C248" s="175" t="str">
        <f>IF(B248="","",VLOOKUP($B248,'C-1 Site River Baseline'!$C$9:$R$257,2,FALSE))</f>
        <v/>
      </c>
      <c r="D248" s="175" t="str">
        <f>IF(C248="","",VLOOKUP($B248,'C-1 Site River Baseline'!$C$9:$R$257,3,FALSE))</f>
        <v/>
      </c>
      <c r="E248" s="175" t="str">
        <f>IF(D248="","",VLOOKUP($B248,'C-1 Site River Baseline'!$C$9:$R$257,4,FALSE))</f>
        <v/>
      </c>
      <c r="F248" s="175" t="str">
        <f>IF(E248="","",VLOOKUP($B248,'C-1 Site River Baseline'!$C$9:$R$257,5,FALSE))</f>
        <v/>
      </c>
      <c r="G248" s="175" t="str">
        <f>IF(F248="","",VLOOKUP($B248,'C-1 Site River Baseline'!$C$9:$R$257,6,FALSE))</f>
        <v/>
      </c>
      <c r="H248" s="175" t="str">
        <f>IF(G248="","",VLOOKUP($B248,'C-1 Site River Baseline'!$C$9:$R$257,7,FALSE))</f>
        <v/>
      </c>
      <c r="I248" s="175" t="str">
        <f>IF(H248="","",VLOOKUP($B248,'C-1 Site River Baseline'!$C$9:$R$257,8,FALSE))</f>
        <v/>
      </c>
      <c r="J248" s="175" t="str">
        <f>IF(I248="","",VLOOKUP($B248,'C-1 Site River Baseline'!$C$9:$R$257,9,FALSE))</f>
        <v/>
      </c>
      <c r="K248" s="175" t="str">
        <f>IF(J248="","",VLOOKUP($B248,'C-1 Site River Baseline'!$C$9:$R$257,10,FALSE))</f>
        <v/>
      </c>
      <c r="L248" s="175" t="str">
        <f>IF(B248="","",VLOOKUP($B248,'C-1 Site River Baseline'!$C$9:$R$257,15,FALSE))</f>
        <v/>
      </c>
      <c r="M248" s="176" t="str">
        <f>IF(L248="","",VLOOKUP($B248,'C-1 Site River Baseline'!$C$9:$R$257,16,FALSE))</f>
        <v/>
      </c>
      <c r="N248" s="639" t="str">
        <f t="shared" si="25"/>
        <v/>
      </c>
      <c r="O248" s="239" t="str">
        <f t="shared" si="26"/>
        <v/>
      </c>
      <c r="P248" s="172" t="str">
        <f>IF(C248="","",IF(AND(LEFT(C248,55)&lt;&gt;LEFT(N248,55),O248="High - High"),"Error - Not like for like",IF(AND(F248=S248,H248&gt;U248),"Error - Can not reduce condition",IF(AND(F248=S248,H248=U248,AJ248='C-1 Site River Baseline'!N246,'C-1 Site River Baseline'!P246=AL248),"Error - No enhancement",IF(AND(C248&lt;&gt;N248,F248&lt;S248),"Lower Distinctiveness Habitat"&amp;" - "&amp;T248,G248&amp;" - "&amp;T248)))))</f>
        <v/>
      </c>
      <c r="Q248" s="660" t="str">
        <f>IF(N248="","",VLOOKUP(B248,'C-1 Site River Baseline'!$C$10:$AA$257,19,FALSE))</f>
        <v/>
      </c>
      <c r="R248" s="171" t="str">
        <f>IF(N248="","",VLOOKUP(N248,'G-7 Rivers Data'!$B$2:$G$8,2,FALSE))</f>
        <v/>
      </c>
      <c r="S248" s="172" t="str">
        <f>IFERROR(VLOOKUP(R248,'G-7 Rivers Data'!$C$4:$D$8,2,FALSE),"")</f>
        <v/>
      </c>
      <c r="T248" s="173"/>
      <c r="U248" s="172" t="str">
        <f>IFERROR(INDEX('G-7 Rivers Data'!$H$4:$L$8,MATCH(N248,'G-7 Rivers Data'!$B$4:$B$8,0),MATCH(T248,'G-7 Rivers Data'!$H$3:$L$3,0)),"")</f>
        <v/>
      </c>
      <c r="V248" s="186"/>
      <c r="W248" s="175" t="str">
        <f>IF(V248="","",IF(VLOOKUP(V248,'G-7 Rivers Data'!$AG$4:$AI$9,2,FALSE)=0,"Spatial Data Missing",VLOOKUP(V248,'G-7 Rivers Data'!$AG$4:$AI$9,2,FALSE)))</f>
        <v/>
      </c>
      <c r="X248" s="176" t="str">
        <f>IF(V248="","",IF(VLOOKUP(V248,'G-7 Rivers Data'!$AG$4:$AI$9,3,FALSE)=0,"Spatial Data Missing",VLOOKUP(V248,'G-7 Rivers Data'!$AG$4:$AI$9,3,FALSE)))</f>
        <v/>
      </c>
      <c r="Y248" s="171" t="str">
        <f>IFERROR(IF(OR(LEFT(P248,5)="Error",LEFT(O248,5)="Error"),"Check Data",IF(F248&lt;S248,'G-7 Rivers Data'!$R$3,INDEX('G-7 Rivers Data'!$U$5:$Y$9,MATCH(G248,'G-7 Rivers Data'!$T$5:$T$9,0),MATCH(T248,'G-7 Rivers Data'!$U$4:$Y$4,0)))),"")</f>
        <v/>
      </c>
      <c r="Z248" s="261"/>
      <c r="AA248" s="261"/>
      <c r="AB248" s="179" t="str">
        <f t="shared" si="27"/>
        <v/>
      </c>
      <c r="AC248" s="262" t="str">
        <f t="shared" si="28"/>
        <v/>
      </c>
      <c r="AD248" s="382" t="str">
        <f>IFERROR(IF(AC248="Check Data","Check Data",VLOOKUP(AC248,'G-4 Temporal multipliers'!$A$4:$C$37,3,FALSE)),"")</f>
        <v/>
      </c>
      <c r="AE248" s="171" t="str">
        <f>IF(N248="","",VLOOKUP(N248,'G-7 Rivers Data'!$B$4:$G$8,5,FALSE))</f>
        <v/>
      </c>
      <c r="AF248" s="179" t="str">
        <f t="shared" si="29"/>
        <v/>
      </c>
      <c r="AG248" s="269" t="str">
        <f t="shared" si="30"/>
        <v/>
      </c>
      <c r="AH248" s="172" t="str">
        <f t="shared" si="24"/>
        <v/>
      </c>
      <c r="AI248" s="173"/>
      <c r="AJ248" s="172" t="str">
        <f>IF(AI248="","",IF(VLOOKUP(AI248,'G-7 Rivers Data'!$AA$4:$AB$7,2,FALSE)=0,"Spatial Data Missing",VLOOKUP(AI248,'G-7 Rivers Data'!$AA$4:$AB$7,2,FALSE)))</f>
        <v/>
      </c>
      <c r="AK248" s="187"/>
      <c r="AL248" s="172" t="str">
        <f>IF(AK248="","",IF(VLOOKUP(AK248,'G-7 Rivers Data'!$AD$4:$AE$8,2,FALSE)=0,"Spatial Data Missing",VLOOKUP(AK248,'G-7 Rivers Data'!$AD$4:$AE$8,2,FALSE)))</f>
        <v/>
      </c>
      <c r="AM248" s="265" t="str">
        <f t="shared" si="31"/>
        <v/>
      </c>
      <c r="AN248" s="180"/>
      <c r="AO248" s="181"/>
      <c r="AV248" s="35" t="str">
        <f>IFERROR(INDEX('G-7 Rivers Data'!$AZ$3:$AZ$7,MATCH(N248,'G-7 Rivers Data'!$AY$3:$AY$7,0)),"")</f>
        <v/>
      </c>
    </row>
    <row r="249" spans="2:48" ht="13.8" x14ac:dyDescent="0.25">
      <c r="B249" s="259" t="str">
        <f>'C-1 Site River Baseline'!AN247</f>
        <v/>
      </c>
      <c r="C249" s="175" t="str">
        <f>IF(B249="","",VLOOKUP($B249,'C-1 Site River Baseline'!$C$9:$R$257,2,FALSE))</f>
        <v/>
      </c>
      <c r="D249" s="175" t="str">
        <f>IF(C249="","",VLOOKUP($B249,'C-1 Site River Baseline'!$C$9:$R$257,3,FALSE))</f>
        <v/>
      </c>
      <c r="E249" s="175" t="str">
        <f>IF(D249="","",VLOOKUP($B249,'C-1 Site River Baseline'!$C$9:$R$257,4,FALSE))</f>
        <v/>
      </c>
      <c r="F249" s="175" t="str">
        <f>IF(E249="","",VLOOKUP($B249,'C-1 Site River Baseline'!$C$9:$R$257,5,FALSE))</f>
        <v/>
      </c>
      <c r="G249" s="175" t="str">
        <f>IF(F249="","",VLOOKUP($B249,'C-1 Site River Baseline'!$C$9:$R$257,6,FALSE))</f>
        <v/>
      </c>
      <c r="H249" s="175" t="str">
        <f>IF(G249="","",VLOOKUP($B249,'C-1 Site River Baseline'!$C$9:$R$257,7,FALSE))</f>
        <v/>
      </c>
      <c r="I249" s="175" t="str">
        <f>IF(H249="","",VLOOKUP($B249,'C-1 Site River Baseline'!$C$9:$R$257,8,FALSE))</f>
        <v/>
      </c>
      <c r="J249" s="175" t="str">
        <f>IF(I249="","",VLOOKUP($B249,'C-1 Site River Baseline'!$C$9:$R$257,9,FALSE))</f>
        <v/>
      </c>
      <c r="K249" s="175" t="str">
        <f>IF(J249="","",VLOOKUP($B249,'C-1 Site River Baseline'!$C$9:$R$257,10,FALSE))</f>
        <v/>
      </c>
      <c r="L249" s="175" t="str">
        <f>IF(B249="","",VLOOKUP($B249,'C-1 Site River Baseline'!$C$9:$R$257,15,FALSE))</f>
        <v/>
      </c>
      <c r="M249" s="176" t="str">
        <f>IF(L249="","",VLOOKUP($B249,'C-1 Site River Baseline'!$C$9:$R$257,16,FALSE))</f>
        <v/>
      </c>
      <c r="N249" s="639" t="str">
        <f t="shared" si="25"/>
        <v/>
      </c>
      <c r="O249" s="239" t="str">
        <f t="shared" si="26"/>
        <v/>
      </c>
      <c r="P249" s="172" t="str">
        <f>IF(C249="","",IF(AND(LEFT(C249,55)&lt;&gt;LEFT(N249,55),O249="High - High"),"Error - Not like for like",IF(AND(F249=S249,H249&gt;U249),"Error - Can not reduce condition",IF(AND(F249=S249,H249=U249,AJ249='C-1 Site River Baseline'!N247,'C-1 Site River Baseline'!P247=AL249),"Error - No enhancement",IF(AND(C249&lt;&gt;N249,F249&lt;S249),"Lower Distinctiveness Habitat"&amp;" - "&amp;T249,G249&amp;" - "&amp;T249)))))</f>
        <v/>
      </c>
      <c r="Q249" s="660" t="str">
        <f>IF(N249="","",VLOOKUP(B249,'C-1 Site River Baseline'!$C$10:$AA$257,19,FALSE))</f>
        <v/>
      </c>
      <c r="R249" s="171" t="str">
        <f>IF(N249="","",VLOOKUP(N249,'G-7 Rivers Data'!$B$2:$G$8,2,FALSE))</f>
        <v/>
      </c>
      <c r="S249" s="172" t="str">
        <f>IFERROR(VLOOKUP(R249,'G-7 Rivers Data'!$C$4:$D$8,2,FALSE),"")</f>
        <v/>
      </c>
      <c r="T249" s="173"/>
      <c r="U249" s="172" t="str">
        <f>IFERROR(INDEX('G-7 Rivers Data'!$H$4:$L$8,MATCH(N249,'G-7 Rivers Data'!$B$4:$B$8,0),MATCH(T249,'G-7 Rivers Data'!$H$3:$L$3,0)),"")</f>
        <v/>
      </c>
      <c r="V249" s="186"/>
      <c r="W249" s="175" t="str">
        <f>IF(V249="","",IF(VLOOKUP(V249,'G-7 Rivers Data'!$AG$4:$AI$9,2,FALSE)=0,"Spatial Data Missing",VLOOKUP(V249,'G-7 Rivers Data'!$AG$4:$AI$9,2,FALSE)))</f>
        <v/>
      </c>
      <c r="X249" s="176" t="str">
        <f>IF(V249="","",IF(VLOOKUP(V249,'G-7 Rivers Data'!$AG$4:$AI$9,3,FALSE)=0,"Spatial Data Missing",VLOOKUP(V249,'G-7 Rivers Data'!$AG$4:$AI$9,3,FALSE)))</f>
        <v/>
      </c>
      <c r="Y249" s="171" t="str">
        <f>IFERROR(IF(OR(LEFT(P249,5)="Error",LEFT(O249,5)="Error"),"Check Data",IF(F249&lt;S249,'G-7 Rivers Data'!$R$3,INDEX('G-7 Rivers Data'!$U$5:$Y$9,MATCH(G249,'G-7 Rivers Data'!$T$5:$T$9,0),MATCH(T249,'G-7 Rivers Data'!$U$4:$Y$4,0)))),"")</f>
        <v/>
      </c>
      <c r="Z249" s="261"/>
      <c r="AA249" s="261"/>
      <c r="AB249" s="179" t="str">
        <f t="shared" si="27"/>
        <v/>
      </c>
      <c r="AC249" s="262" t="str">
        <f t="shared" si="28"/>
        <v/>
      </c>
      <c r="AD249" s="382" t="str">
        <f>IFERROR(IF(AC249="Check Data","Check Data",VLOOKUP(AC249,'G-4 Temporal multipliers'!$A$4:$C$37,3,FALSE)),"")</f>
        <v/>
      </c>
      <c r="AE249" s="171" t="str">
        <f>IF(N249="","",VLOOKUP(N249,'G-7 Rivers Data'!$B$4:$G$8,5,FALSE))</f>
        <v/>
      </c>
      <c r="AF249" s="179" t="str">
        <f t="shared" si="29"/>
        <v/>
      </c>
      <c r="AG249" s="269" t="str">
        <f t="shared" si="30"/>
        <v/>
      </c>
      <c r="AH249" s="172" t="str">
        <f t="shared" si="24"/>
        <v/>
      </c>
      <c r="AI249" s="173"/>
      <c r="AJ249" s="172" t="str">
        <f>IF(AI249="","",IF(VLOOKUP(AI249,'G-7 Rivers Data'!$AA$4:$AB$7,2,FALSE)=0,"Spatial Data Missing",VLOOKUP(AI249,'G-7 Rivers Data'!$AA$4:$AB$7,2,FALSE)))</f>
        <v/>
      </c>
      <c r="AK249" s="187"/>
      <c r="AL249" s="172" t="str">
        <f>IF(AK249="","",IF(VLOOKUP(AK249,'G-7 Rivers Data'!$AD$4:$AE$8,2,FALSE)=0,"Spatial Data Missing",VLOOKUP(AK249,'G-7 Rivers Data'!$AD$4:$AE$8,2,FALSE)))</f>
        <v/>
      </c>
      <c r="AM249" s="265" t="str">
        <f t="shared" si="31"/>
        <v/>
      </c>
      <c r="AN249" s="180"/>
      <c r="AO249" s="181"/>
      <c r="AV249" s="35" t="str">
        <f>IFERROR(INDEX('G-7 Rivers Data'!$AZ$3:$AZ$7,MATCH(N249,'G-7 Rivers Data'!$AY$3:$AY$7,0)),"")</f>
        <v/>
      </c>
    </row>
    <row r="250" spans="2:48" ht="13.8" x14ac:dyDescent="0.25">
      <c r="B250" s="259" t="str">
        <f>'C-1 Site River Baseline'!AN248</f>
        <v/>
      </c>
      <c r="C250" s="175" t="str">
        <f>IF(B250="","",VLOOKUP($B250,'C-1 Site River Baseline'!$C$9:$R$257,2,FALSE))</f>
        <v/>
      </c>
      <c r="D250" s="175" t="str">
        <f>IF(C250="","",VLOOKUP($B250,'C-1 Site River Baseline'!$C$9:$R$257,3,FALSE))</f>
        <v/>
      </c>
      <c r="E250" s="175" t="str">
        <f>IF(D250="","",VLOOKUP($B250,'C-1 Site River Baseline'!$C$9:$R$257,4,FALSE))</f>
        <v/>
      </c>
      <c r="F250" s="175" t="str">
        <f>IF(E250="","",VLOOKUP($B250,'C-1 Site River Baseline'!$C$9:$R$257,5,FALSE))</f>
        <v/>
      </c>
      <c r="G250" s="175" t="str">
        <f>IF(F250="","",VLOOKUP($B250,'C-1 Site River Baseline'!$C$9:$R$257,6,FALSE))</f>
        <v/>
      </c>
      <c r="H250" s="175" t="str">
        <f>IF(G250="","",VLOOKUP($B250,'C-1 Site River Baseline'!$C$9:$R$257,7,FALSE))</f>
        <v/>
      </c>
      <c r="I250" s="175" t="str">
        <f>IF(H250="","",VLOOKUP($B250,'C-1 Site River Baseline'!$C$9:$R$257,8,FALSE))</f>
        <v/>
      </c>
      <c r="J250" s="175" t="str">
        <f>IF(I250="","",VLOOKUP($B250,'C-1 Site River Baseline'!$C$9:$R$257,9,FALSE))</f>
        <v/>
      </c>
      <c r="K250" s="175" t="str">
        <f>IF(J250="","",VLOOKUP($B250,'C-1 Site River Baseline'!$C$9:$R$257,10,FALSE))</f>
        <v/>
      </c>
      <c r="L250" s="175" t="str">
        <f>IF(B250="","",VLOOKUP($B250,'C-1 Site River Baseline'!$C$9:$R$257,15,FALSE))</f>
        <v/>
      </c>
      <c r="M250" s="176" t="str">
        <f>IF(L250="","",VLOOKUP($B250,'C-1 Site River Baseline'!$C$9:$R$257,16,FALSE))</f>
        <v/>
      </c>
      <c r="N250" s="639" t="str">
        <f t="shared" si="25"/>
        <v/>
      </c>
      <c r="O250" s="239" t="str">
        <f t="shared" si="26"/>
        <v/>
      </c>
      <c r="P250" s="172" t="str">
        <f>IF(C250="","",IF(AND(LEFT(C250,55)&lt;&gt;LEFT(N250,55),O250="High - High"),"Error - Not like for like",IF(AND(F250=S250,H250&gt;U250),"Error - Can not reduce condition",IF(AND(F250=S250,H250=U250,AJ250='C-1 Site River Baseline'!N248,'C-1 Site River Baseline'!P248=AL250),"Error - No enhancement",IF(AND(C250&lt;&gt;N250,F250&lt;S250),"Lower Distinctiveness Habitat"&amp;" - "&amp;T250,G250&amp;" - "&amp;T250)))))</f>
        <v/>
      </c>
      <c r="Q250" s="660" t="str">
        <f>IF(N250="","",VLOOKUP(B250,'C-1 Site River Baseline'!$C$10:$AA$257,19,FALSE))</f>
        <v/>
      </c>
      <c r="R250" s="171" t="str">
        <f>IF(N250="","",VLOOKUP(N250,'G-7 Rivers Data'!$B$2:$G$8,2,FALSE))</f>
        <v/>
      </c>
      <c r="S250" s="172" t="str">
        <f>IFERROR(VLOOKUP(R250,'G-7 Rivers Data'!$C$4:$D$8,2,FALSE),"")</f>
        <v/>
      </c>
      <c r="T250" s="173"/>
      <c r="U250" s="172" t="str">
        <f>IFERROR(INDEX('G-7 Rivers Data'!$H$4:$L$8,MATCH(N250,'G-7 Rivers Data'!$B$4:$B$8,0),MATCH(T250,'G-7 Rivers Data'!$H$3:$L$3,0)),"")</f>
        <v/>
      </c>
      <c r="V250" s="186"/>
      <c r="W250" s="175" t="str">
        <f>IF(V250="","",IF(VLOOKUP(V250,'G-7 Rivers Data'!$AG$4:$AI$9,2,FALSE)=0,"Spatial Data Missing",VLOOKUP(V250,'G-7 Rivers Data'!$AG$4:$AI$9,2,FALSE)))</f>
        <v/>
      </c>
      <c r="X250" s="176" t="str">
        <f>IF(V250="","",IF(VLOOKUP(V250,'G-7 Rivers Data'!$AG$4:$AI$9,3,FALSE)=0,"Spatial Data Missing",VLOOKUP(V250,'G-7 Rivers Data'!$AG$4:$AI$9,3,FALSE)))</f>
        <v/>
      </c>
      <c r="Y250" s="171" t="str">
        <f>IFERROR(IF(OR(LEFT(P250,5)="Error",LEFT(O250,5)="Error"),"Check Data",IF(F250&lt;S250,'G-7 Rivers Data'!$R$3,INDEX('G-7 Rivers Data'!$U$5:$Y$9,MATCH(G250,'G-7 Rivers Data'!$T$5:$T$9,0),MATCH(T250,'G-7 Rivers Data'!$U$4:$Y$4,0)))),"")</f>
        <v/>
      </c>
      <c r="Z250" s="261"/>
      <c r="AA250" s="261"/>
      <c r="AB250" s="179" t="str">
        <f t="shared" si="27"/>
        <v/>
      </c>
      <c r="AC250" s="262" t="str">
        <f t="shared" si="28"/>
        <v/>
      </c>
      <c r="AD250" s="382" t="str">
        <f>IFERROR(IF(AC250="Check Data","Check Data",VLOOKUP(AC250,'G-4 Temporal multipliers'!$A$4:$C$37,3,FALSE)),"")</f>
        <v/>
      </c>
      <c r="AE250" s="171" t="str">
        <f>IF(N250="","",VLOOKUP(N250,'G-7 Rivers Data'!$B$4:$G$8,5,FALSE))</f>
        <v/>
      </c>
      <c r="AF250" s="179" t="str">
        <f t="shared" si="29"/>
        <v/>
      </c>
      <c r="AG250" s="269" t="str">
        <f t="shared" si="30"/>
        <v/>
      </c>
      <c r="AH250" s="172" t="str">
        <f t="shared" si="24"/>
        <v/>
      </c>
      <c r="AI250" s="173"/>
      <c r="AJ250" s="172" t="str">
        <f>IF(AI250="","",IF(VLOOKUP(AI250,'G-7 Rivers Data'!$AA$4:$AB$7,2,FALSE)=0,"Spatial Data Missing",VLOOKUP(AI250,'G-7 Rivers Data'!$AA$4:$AB$7,2,FALSE)))</f>
        <v/>
      </c>
      <c r="AK250" s="187"/>
      <c r="AL250" s="172" t="str">
        <f>IF(AK250="","",IF(VLOOKUP(AK250,'G-7 Rivers Data'!$AD$4:$AE$8,2,FALSE)=0,"Spatial Data Missing",VLOOKUP(AK250,'G-7 Rivers Data'!$AD$4:$AE$8,2,FALSE)))</f>
        <v/>
      </c>
      <c r="AM250" s="265" t="str">
        <f t="shared" si="31"/>
        <v/>
      </c>
      <c r="AN250" s="180"/>
      <c r="AO250" s="181"/>
      <c r="AV250" s="35" t="str">
        <f>IFERROR(INDEX('G-7 Rivers Data'!$AZ$3:$AZ$7,MATCH(N250,'G-7 Rivers Data'!$AY$3:$AY$7,0)),"")</f>
        <v/>
      </c>
    </row>
    <row r="251" spans="2:48" ht="13.8" x14ac:dyDescent="0.25">
      <c r="B251" s="259" t="str">
        <f>'C-1 Site River Baseline'!AN249</f>
        <v/>
      </c>
      <c r="C251" s="175" t="str">
        <f>IF(B251="","",VLOOKUP($B251,'C-1 Site River Baseline'!$C$9:$R$257,2,FALSE))</f>
        <v/>
      </c>
      <c r="D251" s="175" t="str">
        <f>IF(C251="","",VLOOKUP($B251,'C-1 Site River Baseline'!$C$9:$R$257,3,FALSE))</f>
        <v/>
      </c>
      <c r="E251" s="175" t="str">
        <f>IF(D251="","",VLOOKUP($B251,'C-1 Site River Baseline'!$C$9:$R$257,4,FALSE))</f>
        <v/>
      </c>
      <c r="F251" s="175" t="str">
        <f>IF(E251="","",VLOOKUP($B251,'C-1 Site River Baseline'!$C$9:$R$257,5,FALSE))</f>
        <v/>
      </c>
      <c r="G251" s="175" t="str">
        <f>IF(F251="","",VLOOKUP($B251,'C-1 Site River Baseline'!$C$9:$R$257,6,FALSE))</f>
        <v/>
      </c>
      <c r="H251" s="175" t="str">
        <f>IF(G251="","",VLOOKUP($B251,'C-1 Site River Baseline'!$C$9:$R$257,7,FALSE))</f>
        <v/>
      </c>
      <c r="I251" s="175" t="str">
        <f>IF(H251="","",VLOOKUP($B251,'C-1 Site River Baseline'!$C$9:$R$257,8,FALSE))</f>
        <v/>
      </c>
      <c r="J251" s="175" t="str">
        <f>IF(I251="","",VLOOKUP($B251,'C-1 Site River Baseline'!$C$9:$R$257,9,FALSE))</f>
        <v/>
      </c>
      <c r="K251" s="175" t="str">
        <f>IF(J251="","",VLOOKUP($B251,'C-1 Site River Baseline'!$C$9:$R$257,10,FALSE))</f>
        <v/>
      </c>
      <c r="L251" s="175" t="str">
        <f>IF(B251="","",VLOOKUP($B251,'C-1 Site River Baseline'!$C$9:$R$257,15,FALSE))</f>
        <v/>
      </c>
      <c r="M251" s="176" t="str">
        <f>IF(L251="","",VLOOKUP($B251,'C-1 Site River Baseline'!$C$9:$R$257,16,FALSE))</f>
        <v/>
      </c>
      <c r="N251" s="639" t="str">
        <f t="shared" si="25"/>
        <v/>
      </c>
      <c r="O251" s="239" t="str">
        <f t="shared" si="26"/>
        <v/>
      </c>
      <c r="P251" s="172" t="str">
        <f>IF(C251="","",IF(AND(LEFT(C251,55)&lt;&gt;LEFT(N251,55),O251="High - High"),"Error - Not like for like",IF(AND(F251=S251,H251&gt;U251),"Error - Can not reduce condition",IF(AND(F251=S251,H251=U251,AJ251='C-1 Site River Baseline'!N249,'C-1 Site River Baseline'!P249=AL251),"Error - No enhancement",IF(AND(C251&lt;&gt;N251,F251&lt;S251),"Lower Distinctiveness Habitat"&amp;" - "&amp;T251,G251&amp;" - "&amp;T251)))))</f>
        <v/>
      </c>
      <c r="Q251" s="660" t="str">
        <f>IF(N251="","",VLOOKUP(B251,'C-1 Site River Baseline'!$C$10:$AA$257,19,FALSE))</f>
        <v/>
      </c>
      <c r="R251" s="171" t="str">
        <f>IF(N251="","",VLOOKUP(N251,'G-7 Rivers Data'!$B$2:$G$8,2,FALSE))</f>
        <v/>
      </c>
      <c r="S251" s="172" t="str">
        <f>IFERROR(VLOOKUP(R251,'G-7 Rivers Data'!$C$4:$D$8,2,FALSE),"")</f>
        <v/>
      </c>
      <c r="T251" s="173"/>
      <c r="U251" s="172" t="str">
        <f>IFERROR(INDEX('G-7 Rivers Data'!$H$4:$L$8,MATCH(N251,'G-7 Rivers Data'!$B$4:$B$8,0),MATCH(T251,'G-7 Rivers Data'!$H$3:$L$3,0)),"")</f>
        <v/>
      </c>
      <c r="V251" s="186"/>
      <c r="W251" s="175" t="str">
        <f>IF(V251="","",IF(VLOOKUP(V251,'G-7 Rivers Data'!$AG$4:$AI$9,2,FALSE)=0,"Spatial Data Missing",VLOOKUP(V251,'G-7 Rivers Data'!$AG$4:$AI$9,2,FALSE)))</f>
        <v/>
      </c>
      <c r="X251" s="176" t="str">
        <f>IF(V251="","",IF(VLOOKUP(V251,'G-7 Rivers Data'!$AG$4:$AI$9,3,FALSE)=0,"Spatial Data Missing",VLOOKUP(V251,'G-7 Rivers Data'!$AG$4:$AI$9,3,FALSE)))</f>
        <v/>
      </c>
      <c r="Y251" s="171" t="str">
        <f>IFERROR(IF(OR(LEFT(P251,5)="Error",LEFT(O251,5)="Error"),"Check Data",IF(F251&lt;S251,'G-7 Rivers Data'!$R$3,INDEX('G-7 Rivers Data'!$U$5:$Y$9,MATCH(G251,'G-7 Rivers Data'!$T$5:$T$9,0),MATCH(T251,'G-7 Rivers Data'!$U$4:$Y$4,0)))),"")</f>
        <v/>
      </c>
      <c r="Z251" s="261"/>
      <c r="AA251" s="261"/>
      <c r="AB251" s="179" t="str">
        <f t="shared" si="27"/>
        <v/>
      </c>
      <c r="AC251" s="262" t="str">
        <f t="shared" si="28"/>
        <v/>
      </c>
      <c r="AD251" s="382" t="str">
        <f>IFERROR(IF(AC251="Check Data","Check Data",VLOOKUP(AC251,'G-4 Temporal multipliers'!$A$4:$C$37,3,FALSE)),"")</f>
        <v/>
      </c>
      <c r="AE251" s="171" t="str">
        <f>IF(N251="","",VLOOKUP(N251,'G-7 Rivers Data'!$B$4:$G$8,5,FALSE))</f>
        <v/>
      </c>
      <c r="AF251" s="179" t="str">
        <f t="shared" si="29"/>
        <v/>
      </c>
      <c r="AG251" s="269" t="str">
        <f t="shared" si="30"/>
        <v/>
      </c>
      <c r="AH251" s="172" t="str">
        <f t="shared" si="24"/>
        <v/>
      </c>
      <c r="AI251" s="173"/>
      <c r="AJ251" s="172" t="str">
        <f>IF(AI251="","",IF(VLOOKUP(AI251,'G-7 Rivers Data'!$AA$4:$AB$7,2,FALSE)=0,"Spatial Data Missing",VLOOKUP(AI251,'G-7 Rivers Data'!$AA$4:$AB$7,2,FALSE)))</f>
        <v/>
      </c>
      <c r="AK251" s="187"/>
      <c r="AL251" s="172" t="str">
        <f>IF(AK251="","",IF(VLOOKUP(AK251,'G-7 Rivers Data'!$AD$4:$AE$8,2,FALSE)=0,"Spatial Data Missing",VLOOKUP(AK251,'G-7 Rivers Data'!$AD$4:$AE$8,2,FALSE)))</f>
        <v/>
      </c>
      <c r="AM251" s="265" t="str">
        <f t="shared" si="31"/>
        <v/>
      </c>
      <c r="AN251" s="180"/>
      <c r="AO251" s="181"/>
      <c r="AV251" s="35" t="str">
        <f>IFERROR(INDEX('G-7 Rivers Data'!$AZ$3:$AZ$7,MATCH(N251,'G-7 Rivers Data'!$AY$3:$AY$7,0)),"")</f>
        <v/>
      </c>
    </row>
    <row r="252" spans="2:48" ht="13.8" x14ac:dyDescent="0.25">
      <c r="B252" s="259" t="str">
        <f>'C-1 Site River Baseline'!AN250</f>
        <v/>
      </c>
      <c r="C252" s="175" t="str">
        <f>IF(B252="","",VLOOKUP($B252,'C-1 Site River Baseline'!$C$9:$R$257,2,FALSE))</f>
        <v/>
      </c>
      <c r="D252" s="175" t="str">
        <f>IF(C252="","",VLOOKUP($B252,'C-1 Site River Baseline'!$C$9:$R$257,3,FALSE))</f>
        <v/>
      </c>
      <c r="E252" s="175" t="str">
        <f>IF(D252="","",VLOOKUP($B252,'C-1 Site River Baseline'!$C$9:$R$257,4,FALSE))</f>
        <v/>
      </c>
      <c r="F252" s="175" t="str">
        <f>IF(E252="","",VLOOKUP($B252,'C-1 Site River Baseline'!$C$9:$R$257,5,FALSE))</f>
        <v/>
      </c>
      <c r="G252" s="175" t="str">
        <f>IF(F252="","",VLOOKUP($B252,'C-1 Site River Baseline'!$C$9:$R$257,6,FALSE))</f>
        <v/>
      </c>
      <c r="H252" s="175" t="str">
        <f>IF(G252="","",VLOOKUP($B252,'C-1 Site River Baseline'!$C$9:$R$257,7,FALSE))</f>
        <v/>
      </c>
      <c r="I252" s="175" t="str">
        <f>IF(H252="","",VLOOKUP($B252,'C-1 Site River Baseline'!$C$9:$R$257,8,FALSE))</f>
        <v/>
      </c>
      <c r="J252" s="175" t="str">
        <f>IF(I252="","",VLOOKUP($B252,'C-1 Site River Baseline'!$C$9:$R$257,9,FALSE))</f>
        <v/>
      </c>
      <c r="K252" s="175" t="str">
        <f>IF(J252="","",VLOOKUP($B252,'C-1 Site River Baseline'!$C$9:$R$257,10,FALSE))</f>
        <v/>
      </c>
      <c r="L252" s="175" t="str">
        <f>IF(B252="","",VLOOKUP($B252,'C-1 Site River Baseline'!$C$9:$R$257,15,FALSE))</f>
        <v/>
      </c>
      <c r="M252" s="176" t="str">
        <f>IF(L252="","",VLOOKUP($B252,'C-1 Site River Baseline'!$C$9:$R$257,16,FALSE))</f>
        <v/>
      </c>
      <c r="N252" s="639" t="str">
        <f t="shared" si="25"/>
        <v/>
      </c>
      <c r="O252" s="239" t="str">
        <f t="shared" si="26"/>
        <v/>
      </c>
      <c r="P252" s="172" t="str">
        <f>IF(C252="","",IF(AND(LEFT(C252,55)&lt;&gt;LEFT(N252,55),O252="High - High"),"Error - Not like for like",IF(AND(F252=S252,H252&gt;U252),"Error - Can not reduce condition",IF(AND(F252=S252,H252=U252,AJ252='C-1 Site River Baseline'!N250,'C-1 Site River Baseline'!P250=AL252),"Error - No enhancement",IF(AND(C252&lt;&gt;N252,F252&lt;S252),"Lower Distinctiveness Habitat"&amp;" - "&amp;T252,G252&amp;" - "&amp;T252)))))</f>
        <v/>
      </c>
      <c r="Q252" s="660" t="str">
        <f>IF(N252="","",VLOOKUP(B252,'C-1 Site River Baseline'!$C$10:$AA$257,19,FALSE))</f>
        <v/>
      </c>
      <c r="R252" s="171" t="str">
        <f>IF(N252="","",VLOOKUP(N252,'G-7 Rivers Data'!$B$2:$G$8,2,FALSE))</f>
        <v/>
      </c>
      <c r="S252" s="172" t="str">
        <f>IFERROR(VLOOKUP(R252,'G-7 Rivers Data'!$C$4:$D$8,2,FALSE),"")</f>
        <v/>
      </c>
      <c r="T252" s="173"/>
      <c r="U252" s="172" t="str">
        <f>IFERROR(INDEX('G-7 Rivers Data'!$H$4:$L$8,MATCH(N252,'G-7 Rivers Data'!$B$4:$B$8,0),MATCH(T252,'G-7 Rivers Data'!$H$3:$L$3,0)),"")</f>
        <v/>
      </c>
      <c r="V252" s="186"/>
      <c r="W252" s="175" t="str">
        <f>IF(V252="","",IF(VLOOKUP(V252,'G-7 Rivers Data'!$AG$4:$AI$9,2,FALSE)=0,"Spatial Data Missing",VLOOKUP(V252,'G-7 Rivers Data'!$AG$4:$AI$9,2,FALSE)))</f>
        <v/>
      </c>
      <c r="X252" s="176" t="str">
        <f>IF(V252="","",IF(VLOOKUP(V252,'G-7 Rivers Data'!$AG$4:$AI$9,3,FALSE)=0,"Spatial Data Missing",VLOOKUP(V252,'G-7 Rivers Data'!$AG$4:$AI$9,3,FALSE)))</f>
        <v/>
      </c>
      <c r="Y252" s="171" t="str">
        <f>IFERROR(IF(OR(LEFT(P252,5)="Error",LEFT(O252,5)="Error"),"Check Data",IF(F252&lt;S252,'G-7 Rivers Data'!$R$3,INDEX('G-7 Rivers Data'!$U$5:$Y$9,MATCH(G252,'G-7 Rivers Data'!$T$5:$T$9,0),MATCH(T252,'G-7 Rivers Data'!$U$4:$Y$4,0)))),"")</f>
        <v/>
      </c>
      <c r="Z252" s="261"/>
      <c r="AA252" s="261"/>
      <c r="AB252" s="179" t="str">
        <f t="shared" si="27"/>
        <v/>
      </c>
      <c r="AC252" s="262" t="str">
        <f t="shared" si="28"/>
        <v/>
      </c>
      <c r="AD252" s="382" t="str">
        <f>IFERROR(IF(AC252="Check Data","Check Data",VLOOKUP(AC252,'G-4 Temporal multipliers'!$A$4:$C$37,3,FALSE)),"")</f>
        <v/>
      </c>
      <c r="AE252" s="171" t="str">
        <f>IF(N252="","",VLOOKUP(N252,'G-7 Rivers Data'!$B$4:$G$8,5,FALSE))</f>
        <v/>
      </c>
      <c r="AF252" s="179" t="str">
        <f t="shared" si="29"/>
        <v/>
      </c>
      <c r="AG252" s="269" t="str">
        <f t="shared" si="30"/>
        <v/>
      </c>
      <c r="AH252" s="172" t="str">
        <f t="shared" si="24"/>
        <v/>
      </c>
      <c r="AI252" s="173"/>
      <c r="AJ252" s="172" t="str">
        <f>IF(AI252="","",IF(VLOOKUP(AI252,'G-7 Rivers Data'!$AA$4:$AB$7,2,FALSE)=0,"Spatial Data Missing",VLOOKUP(AI252,'G-7 Rivers Data'!$AA$4:$AB$7,2,FALSE)))</f>
        <v/>
      </c>
      <c r="AK252" s="187"/>
      <c r="AL252" s="172" t="str">
        <f>IF(AK252="","",IF(VLOOKUP(AK252,'G-7 Rivers Data'!$AD$4:$AE$8,2,FALSE)=0,"Spatial Data Missing",VLOOKUP(AK252,'G-7 Rivers Data'!$AD$4:$AE$8,2,FALSE)))</f>
        <v/>
      </c>
      <c r="AM252" s="265" t="str">
        <f t="shared" si="31"/>
        <v/>
      </c>
      <c r="AN252" s="180"/>
      <c r="AO252" s="181"/>
      <c r="AV252" s="35" t="str">
        <f>IFERROR(INDEX('G-7 Rivers Data'!$AZ$3:$AZ$7,MATCH(N252,'G-7 Rivers Data'!$AY$3:$AY$7,0)),"")</f>
        <v/>
      </c>
    </row>
    <row r="253" spans="2:48" ht="13.8" x14ac:dyDescent="0.25">
      <c r="B253" s="259" t="str">
        <f>'C-1 Site River Baseline'!AN251</f>
        <v/>
      </c>
      <c r="C253" s="175" t="str">
        <f>IF(B253="","",VLOOKUP($B253,'C-1 Site River Baseline'!$C$9:$R$257,2,FALSE))</f>
        <v/>
      </c>
      <c r="D253" s="175" t="str">
        <f>IF(C253="","",VLOOKUP($B253,'C-1 Site River Baseline'!$C$9:$R$257,3,FALSE))</f>
        <v/>
      </c>
      <c r="E253" s="175" t="str">
        <f>IF(D253="","",VLOOKUP($B253,'C-1 Site River Baseline'!$C$9:$R$257,4,FALSE))</f>
        <v/>
      </c>
      <c r="F253" s="175" t="str">
        <f>IF(E253="","",VLOOKUP($B253,'C-1 Site River Baseline'!$C$9:$R$257,5,FALSE))</f>
        <v/>
      </c>
      <c r="G253" s="175" t="str">
        <f>IF(F253="","",VLOOKUP($B253,'C-1 Site River Baseline'!$C$9:$R$257,6,FALSE))</f>
        <v/>
      </c>
      <c r="H253" s="175" t="str">
        <f>IF(G253="","",VLOOKUP($B253,'C-1 Site River Baseline'!$C$9:$R$257,7,FALSE))</f>
        <v/>
      </c>
      <c r="I253" s="175" t="str">
        <f>IF(H253="","",VLOOKUP($B253,'C-1 Site River Baseline'!$C$9:$R$257,8,FALSE))</f>
        <v/>
      </c>
      <c r="J253" s="175" t="str">
        <f>IF(I253="","",VLOOKUP($B253,'C-1 Site River Baseline'!$C$9:$R$257,9,FALSE))</f>
        <v/>
      </c>
      <c r="K253" s="175" t="str">
        <f>IF(J253="","",VLOOKUP($B253,'C-1 Site River Baseline'!$C$9:$R$257,10,FALSE))</f>
        <v/>
      </c>
      <c r="L253" s="175" t="str">
        <f>IF(B253="","",VLOOKUP($B253,'C-1 Site River Baseline'!$C$9:$R$257,15,FALSE))</f>
        <v/>
      </c>
      <c r="M253" s="176" t="str">
        <f>IF(L253="","",VLOOKUP($B253,'C-1 Site River Baseline'!$C$9:$R$257,16,FALSE))</f>
        <v/>
      </c>
      <c r="N253" s="639" t="str">
        <f t="shared" si="25"/>
        <v/>
      </c>
      <c r="O253" s="239" t="str">
        <f t="shared" si="26"/>
        <v/>
      </c>
      <c r="P253" s="172" t="str">
        <f>IF(C253="","",IF(AND(LEFT(C253,55)&lt;&gt;LEFT(N253,55),O253="High - High"),"Error - Not like for like",IF(AND(F253=S253,H253&gt;U253),"Error - Can not reduce condition",IF(AND(F253=S253,H253=U253,AJ253='C-1 Site River Baseline'!N251,'C-1 Site River Baseline'!P251=AL253),"Error - No enhancement",IF(AND(C253&lt;&gt;N253,F253&lt;S253),"Lower Distinctiveness Habitat"&amp;" - "&amp;T253,G253&amp;" - "&amp;T253)))))</f>
        <v/>
      </c>
      <c r="Q253" s="660" t="str">
        <f>IF(N253="","",VLOOKUP(B253,'C-1 Site River Baseline'!$C$10:$AA$257,19,FALSE))</f>
        <v/>
      </c>
      <c r="R253" s="171" t="str">
        <f>IF(N253="","",VLOOKUP(N253,'G-7 Rivers Data'!$B$2:$G$8,2,FALSE))</f>
        <v/>
      </c>
      <c r="S253" s="172" t="str">
        <f>IFERROR(VLOOKUP(R253,'G-7 Rivers Data'!$C$4:$D$8,2,FALSE),"")</f>
        <v/>
      </c>
      <c r="T253" s="173"/>
      <c r="U253" s="172" t="str">
        <f>IFERROR(INDEX('G-7 Rivers Data'!$H$4:$L$8,MATCH(N253,'G-7 Rivers Data'!$B$4:$B$8,0),MATCH(T253,'G-7 Rivers Data'!$H$3:$L$3,0)),"")</f>
        <v/>
      </c>
      <c r="V253" s="186"/>
      <c r="W253" s="175" t="str">
        <f>IF(V253="","",IF(VLOOKUP(V253,'G-7 Rivers Data'!$AG$4:$AI$9,2,FALSE)=0,"Spatial Data Missing",VLOOKUP(V253,'G-7 Rivers Data'!$AG$4:$AI$9,2,FALSE)))</f>
        <v/>
      </c>
      <c r="X253" s="176" t="str">
        <f>IF(V253="","",IF(VLOOKUP(V253,'G-7 Rivers Data'!$AG$4:$AI$9,3,FALSE)=0,"Spatial Data Missing",VLOOKUP(V253,'G-7 Rivers Data'!$AG$4:$AI$9,3,FALSE)))</f>
        <v/>
      </c>
      <c r="Y253" s="171" t="str">
        <f>IFERROR(IF(OR(LEFT(P253,5)="Error",LEFT(O253,5)="Error"),"Check Data",IF(F253&lt;S253,'G-7 Rivers Data'!$R$3,INDEX('G-7 Rivers Data'!$U$5:$Y$9,MATCH(G253,'G-7 Rivers Data'!$T$5:$T$9,0),MATCH(T253,'G-7 Rivers Data'!$U$4:$Y$4,0)))),"")</f>
        <v/>
      </c>
      <c r="Z253" s="261"/>
      <c r="AA253" s="261"/>
      <c r="AB253" s="179" t="str">
        <f t="shared" si="27"/>
        <v/>
      </c>
      <c r="AC253" s="262" t="str">
        <f t="shared" si="28"/>
        <v/>
      </c>
      <c r="AD253" s="382" t="str">
        <f>IFERROR(IF(AC253="Check Data","Check Data",VLOOKUP(AC253,'G-4 Temporal multipliers'!$A$4:$C$37,3,FALSE)),"")</f>
        <v/>
      </c>
      <c r="AE253" s="171" t="str">
        <f>IF(N253="","",VLOOKUP(N253,'G-7 Rivers Data'!$B$4:$G$8,5,FALSE))</f>
        <v/>
      </c>
      <c r="AF253" s="179" t="str">
        <f t="shared" si="29"/>
        <v/>
      </c>
      <c r="AG253" s="269" t="str">
        <f t="shared" si="30"/>
        <v/>
      </c>
      <c r="AH253" s="172" t="str">
        <f t="shared" si="24"/>
        <v/>
      </c>
      <c r="AI253" s="173"/>
      <c r="AJ253" s="172" t="str">
        <f>IF(AI253="","",IF(VLOOKUP(AI253,'G-7 Rivers Data'!$AA$4:$AB$7,2,FALSE)=0,"Spatial Data Missing",VLOOKUP(AI253,'G-7 Rivers Data'!$AA$4:$AB$7,2,FALSE)))</f>
        <v/>
      </c>
      <c r="AK253" s="187"/>
      <c r="AL253" s="172" t="str">
        <f>IF(AK253="","",IF(VLOOKUP(AK253,'G-7 Rivers Data'!$AD$4:$AE$8,2,FALSE)=0,"Spatial Data Missing",VLOOKUP(AK253,'G-7 Rivers Data'!$AD$4:$AE$8,2,FALSE)))</f>
        <v/>
      </c>
      <c r="AM253" s="265" t="str">
        <f t="shared" si="31"/>
        <v/>
      </c>
      <c r="AN253" s="180"/>
      <c r="AO253" s="181"/>
      <c r="AV253" s="35" t="str">
        <f>IFERROR(INDEX('G-7 Rivers Data'!$AZ$3:$AZ$7,MATCH(N253,'G-7 Rivers Data'!$AY$3:$AY$7,0)),"")</f>
        <v/>
      </c>
    </row>
    <row r="254" spans="2:48" ht="13.8" x14ac:dyDescent="0.25">
      <c r="B254" s="259" t="str">
        <f>'C-1 Site River Baseline'!AN252</f>
        <v/>
      </c>
      <c r="C254" s="175" t="str">
        <f>IF(B254="","",VLOOKUP($B254,'C-1 Site River Baseline'!$C$9:$R$257,2,FALSE))</f>
        <v/>
      </c>
      <c r="D254" s="175" t="str">
        <f>IF(C254="","",VLOOKUP($B254,'C-1 Site River Baseline'!$C$9:$R$257,3,FALSE))</f>
        <v/>
      </c>
      <c r="E254" s="175" t="str">
        <f>IF(D254="","",VLOOKUP($B254,'C-1 Site River Baseline'!$C$9:$R$257,4,FALSE))</f>
        <v/>
      </c>
      <c r="F254" s="175" t="str">
        <f>IF(E254="","",VLOOKUP($B254,'C-1 Site River Baseline'!$C$9:$R$257,5,FALSE))</f>
        <v/>
      </c>
      <c r="G254" s="175" t="str">
        <f>IF(F254="","",VLOOKUP($B254,'C-1 Site River Baseline'!$C$9:$R$257,6,FALSE))</f>
        <v/>
      </c>
      <c r="H254" s="175" t="str">
        <f>IF(G254="","",VLOOKUP($B254,'C-1 Site River Baseline'!$C$9:$R$257,7,FALSE))</f>
        <v/>
      </c>
      <c r="I254" s="175" t="str">
        <f>IF(H254="","",VLOOKUP($B254,'C-1 Site River Baseline'!$C$9:$R$257,8,FALSE))</f>
        <v/>
      </c>
      <c r="J254" s="175" t="str">
        <f>IF(I254="","",VLOOKUP($B254,'C-1 Site River Baseline'!$C$9:$R$257,9,FALSE))</f>
        <v/>
      </c>
      <c r="K254" s="175" t="str">
        <f>IF(J254="","",VLOOKUP($B254,'C-1 Site River Baseline'!$C$9:$R$257,10,FALSE))</f>
        <v/>
      </c>
      <c r="L254" s="175" t="str">
        <f>IF(B254="","",VLOOKUP($B254,'C-1 Site River Baseline'!$C$9:$R$257,15,FALSE))</f>
        <v/>
      </c>
      <c r="M254" s="176" t="str">
        <f>IF(L254="","",VLOOKUP($B254,'C-1 Site River Baseline'!$C$9:$R$257,16,FALSE))</f>
        <v/>
      </c>
      <c r="N254" s="639" t="str">
        <f t="shared" si="25"/>
        <v/>
      </c>
      <c r="O254" s="239" t="str">
        <f t="shared" si="26"/>
        <v/>
      </c>
      <c r="P254" s="172" t="str">
        <f>IF(C254="","",IF(AND(LEFT(C254,55)&lt;&gt;LEFT(N254,55),O254="High - High"),"Error - Not like for like",IF(AND(F254=S254,H254&gt;U254),"Error - Can not reduce condition",IF(AND(F254=S254,H254=U254,AJ254='C-1 Site River Baseline'!N252,'C-1 Site River Baseline'!P252=AL254),"Error - No enhancement",IF(AND(C254&lt;&gt;N254,F254&lt;S254),"Lower Distinctiveness Habitat"&amp;" - "&amp;T254,G254&amp;" - "&amp;T254)))))</f>
        <v/>
      </c>
      <c r="Q254" s="660" t="str">
        <f>IF(N254="","",VLOOKUP(B254,'C-1 Site River Baseline'!$C$10:$AA$257,19,FALSE))</f>
        <v/>
      </c>
      <c r="R254" s="171" t="str">
        <f>IF(N254="","",VLOOKUP(N254,'G-7 Rivers Data'!$B$2:$G$8,2,FALSE))</f>
        <v/>
      </c>
      <c r="S254" s="172" t="str">
        <f>IFERROR(VLOOKUP(R254,'G-7 Rivers Data'!$C$4:$D$8,2,FALSE),"")</f>
        <v/>
      </c>
      <c r="T254" s="173"/>
      <c r="U254" s="172" t="str">
        <f>IFERROR(INDEX('G-7 Rivers Data'!$H$4:$L$8,MATCH(N254,'G-7 Rivers Data'!$B$4:$B$8,0),MATCH(T254,'G-7 Rivers Data'!$H$3:$L$3,0)),"")</f>
        <v/>
      </c>
      <c r="V254" s="186"/>
      <c r="W254" s="175" t="str">
        <f>IF(V254="","",IF(VLOOKUP(V254,'G-7 Rivers Data'!$AG$4:$AI$9,2,FALSE)=0,"Spatial Data Missing",VLOOKUP(V254,'G-7 Rivers Data'!$AG$4:$AI$9,2,FALSE)))</f>
        <v/>
      </c>
      <c r="X254" s="176" t="str">
        <f>IF(V254="","",IF(VLOOKUP(V254,'G-7 Rivers Data'!$AG$4:$AI$9,3,FALSE)=0,"Spatial Data Missing",VLOOKUP(V254,'G-7 Rivers Data'!$AG$4:$AI$9,3,FALSE)))</f>
        <v/>
      </c>
      <c r="Y254" s="171" t="str">
        <f>IFERROR(IF(OR(LEFT(P254,5)="Error",LEFT(O254,5)="Error"),"Check Data",IF(F254&lt;S254,'G-7 Rivers Data'!$R$3,INDEX('G-7 Rivers Data'!$U$5:$Y$9,MATCH(G254,'G-7 Rivers Data'!$T$5:$T$9,0),MATCH(T254,'G-7 Rivers Data'!$U$4:$Y$4,0)))),"")</f>
        <v/>
      </c>
      <c r="Z254" s="261"/>
      <c r="AA254" s="261"/>
      <c r="AB254" s="179" t="str">
        <f t="shared" si="27"/>
        <v/>
      </c>
      <c r="AC254" s="262" t="str">
        <f t="shared" si="28"/>
        <v/>
      </c>
      <c r="AD254" s="382" t="str">
        <f>IFERROR(IF(AC254="Check Data","Check Data",VLOOKUP(AC254,'G-4 Temporal multipliers'!$A$4:$C$37,3,FALSE)),"")</f>
        <v/>
      </c>
      <c r="AE254" s="171" t="str">
        <f>IF(N254="","",VLOOKUP(N254,'G-7 Rivers Data'!$B$4:$G$8,5,FALSE))</f>
        <v/>
      </c>
      <c r="AF254" s="179" t="str">
        <f t="shared" si="29"/>
        <v/>
      </c>
      <c r="AG254" s="269" t="str">
        <f t="shared" si="30"/>
        <v/>
      </c>
      <c r="AH254" s="172" t="str">
        <f t="shared" si="24"/>
        <v/>
      </c>
      <c r="AI254" s="173"/>
      <c r="AJ254" s="172" t="str">
        <f>IF(AI254="","",IF(VLOOKUP(AI254,'G-7 Rivers Data'!$AA$4:$AB$7,2,FALSE)=0,"Spatial Data Missing",VLOOKUP(AI254,'G-7 Rivers Data'!$AA$4:$AB$7,2,FALSE)))</f>
        <v/>
      </c>
      <c r="AK254" s="187"/>
      <c r="AL254" s="172" t="str">
        <f>IF(AK254="","",IF(VLOOKUP(AK254,'G-7 Rivers Data'!$AD$4:$AE$8,2,FALSE)=0,"Spatial Data Missing",VLOOKUP(AK254,'G-7 Rivers Data'!$AD$4:$AE$8,2,FALSE)))</f>
        <v/>
      </c>
      <c r="AM254" s="265" t="str">
        <f t="shared" si="31"/>
        <v/>
      </c>
      <c r="AN254" s="180"/>
      <c r="AO254" s="181"/>
      <c r="AV254" s="35" t="str">
        <f>IFERROR(INDEX('G-7 Rivers Data'!$AZ$3:$AZ$7,MATCH(N254,'G-7 Rivers Data'!$AY$3:$AY$7,0)),"")</f>
        <v/>
      </c>
    </row>
    <row r="255" spans="2:48" ht="13.8" x14ac:dyDescent="0.25">
      <c r="B255" s="259" t="str">
        <f>'C-1 Site River Baseline'!AN253</f>
        <v/>
      </c>
      <c r="C255" s="175" t="str">
        <f>IF(B255="","",VLOOKUP($B255,'C-1 Site River Baseline'!$C$9:$R$257,2,FALSE))</f>
        <v/>
      </c>
      <c r="D255" s="175" t="str">
        <f>IF(C255="","",VLOOKUP($B255,'C-1 Site River Baseline'!$C$9:$R$257,3,FALSE))</f>
        <v/>
      </c>
      <c r="E255" s="175" t="str">
        <f>IF(D255="","",VLOOKUP($B255,'C-1 Site River Baseline'!$C$9:$R$257,4,FALSE))</f>
        <v/>
      </c>
      <c r="F255" s="175" t="str">
        <f>IF(E255="","",VLOOKUP($B255,'C-1 Site River Baseline'!$C$9:$R$257,5,FALSE))</f>
        <v/>
      </c>
      <c r="G255" s="175" t="str">
        <f>IF(F255="","",VLOOKUP($B255,'C-1 Site River Baseline'!$C$9:$R$257,6,FALSE))</f>
        <v/>
      </c>
      <c r="H255" s="175" t="str">
        <f>IF(G255="","",VLOOKUP($B255,'C-1 Site River Baseline'!$C$9:$R$257,7,FALSE))</f>
        <v/>
      </c>
      <c r="I255" s="175" t="str">
        <f>IF(H255="","",VLOOKUP($B255,'C-1 Site River Baseline'!$C$9:$R$257,8,FALSE))</f>
        <v/>
      </c>
      <c r="J255" s="175" t="str">
        <f>IF(I255="","",VLOOKUP($B255,'C-1 Site River Baseline'!$C$9:$R$257,9,FALSE))</f>
        <v/>
      </c>
      <c r="K255" s="175" t="str">
        <f>IF(J255="","",VLOOKUP($B255,'C-1 Site River Baseline'!$C$9:$R$257,10,FALSE))</f>
        <v/>
      </c>
      <c r="L255" s="175" t="str">
        <f>IF(B255="","",VLOOKUP($B255,'C-1 Site River Baseline'!$C$9:$R$257,15,FALSE))</f>
        <v/>
      </c>
      <c r="M255" s="176" t="str">
        <f>IF(L255="","",VLOOKUP($B255,'C-1 Site River Baseline'!$C$9:$R$257,16,FALSE))</f>
        <v/>
      </c>
      <c r="N255" s="639" t="str">
        <f t="shared" si="25"/>
        <v/>
      </c>
      <c r="O255" s="239" t="str">
        <f t="shared" si="26"/>
        <v/>
      </c>
      <c r="P255" s="172" t="str">
        <f>IF(C255="","",IF(AND(LEFT(C255,55)&lt;&gt;LEFT(N255,55),O255="High - High"),"Error - Not like for like",IF(AND(F255=S255,H255&gt;U255),"Error - Can not reduce condition",IF(AND(F255=S255,H255=U255,AJ255='C-1 Site River Baseline'!N253,'C-1 Site River Baseline'!P253=AL255),"Error - No enhancement",IF(AND(C255&lt;&gt;N255,F255&lt;S255),"Lower Distinctiveness Habitat"&amp;" - "&amp;T255,G255&amp;" - "&amp;T255)))))</f>
        <v/>
      </c>
      <c r="Q255" s="660" t="str">
        <f>IF(N255="","",VLOOKUP(B255,'C-1 Site River Baseline'!$C$10:$AA$257,19,FALSE))</f>
        <v/>
      </c>
      <c r="R255" s="171" t="str">
        <f>IF(N255="","",VLOOKUP(N255,'G-7 Rivers Data'!$B$2:$G$8,2,FALSE))</f>
        <v/>
      </c>
      <c r="S255" s="172" t="str">
        <f>IFERROR(VLOOKUP(R255,'G-7 Rivers Data'!$C$4:$D$8,2,FALSE),"")</f>
        <v/>
      </c>
      <c r="T255" s="173"/>
      <c r="U255" s="172" t="str">
        <f>IFERROR(INDEX('G-7 Rivers Data'!$H$4:$L$8,MATCH(N255,'G-7 Rivers Data'!$B$4:$B$8,0),MATCH(T255,'G-7 Rivers Data'!$H$3:$L$3,0)),"")</f>
        <v/>
      </c>
      <c r="V255" s="186"/>
      <c r="W255" s="175" t="str">
        <f>IF(V255="","",IF(VLOOKUP(V255,'G-7 Rivers Data'!$AG$4:$AI$9,2,FALSE)=0,"Spatial Data Missing",VLOOKUP(V255,'G-7 Rivers Data'!$AG$4:$AI$9,2,FALSE)))</f>
        <v/>
      </c>
      <c r="X255" s="176" t="str">
        <f>IF(V255="","",IF(VLOOKUP(V255,'G-7 Rivers Data'!$AG$4:$AI$9,3,FALSE)=0,"Spatial Data Missing",VLOOKUP(V255,'G-7 Rivers Data'!$AG$4:$AI$9,3,FALSE)))</f>
        <v/>
      </c>
      <c r="Y255" s="171" t="str">
        <f>IFERROR(IF(OR(LEFT(P255,5)="Error",LEFT(O255,5)="Error"),"Check Data",IF(F255&lt;S255,'G-7 Rivers Data'!$R$3,INDEX('G-7 Rivers Data'!$U$5:$Y$9,MATCH(G255,'G-7 Rivers Data'!$T$5:$T$9,0),MATCH(T255,'G-7 Rivers Data'!$U$4:$Y$4,0)))),"")</f>
        <v/>
      </c>
      <c r="Z255" s="261"/>
      <c r="AA255" s="261"/>
      <c r="AB255" s="179" t="str">
        <f t="shared" si="27"/>
        <v/>
      </c>
      <c r="AC255" s="262" t="str">
        <f t="shared" si="28"/>
        <v/>
      </c>
      <c r="AD255" s="382" t="str">
        <f>IFERROR(IF(AC255="Check Data","Check Data",VLOOKUP(AC255,'G-4 Temporal multipliers'!$A$4:$C$37,3,FALSE)),"")</f>
        <v/>
      </c>
      <c r="AE255" s="171" t="str">
        <f>IF(N255="","",VLOOKUP(N255,'G-7 Rivers Data'!$B$4:$G$8,5,FALSE))</f>
        <v/>
      </c>
      <c r="AF255" s="179" t="str">
        <f t="shared" si="29"/>
        <v/>
      </c>
      <c r="AG255" s="269" t="str">
        <f t="shared" si="30"/>
        <v/>
      </c>
      <c r="AH255" s="172" t="str">
        <f t="shared" si="24"/>
        <v/>
      </c>
      <c r="AI255" s="173"/>
      <c r="AJ255" s="172" t="str">
        <f>IF(AI255="","",IF(VLOOKUP(AI255,'G-7 Rivers Data'!$AA$4:$AB$7,2,FALSE)=0,"Spatial Data Missing",VLOOKUP(AI255,'G-7 Rivers Data'!$AA$4:$AB$7,2,FALSE)))</f>
        <v/>
      </c>
      <c r="AK255" s="187"/>
      <c r="AL255" s="172" t="str">
        <f>IF(AK255="","",IF(VLOOKUP(AK255,'G-7 Rivers Data'!$AD$4:$AE$8,2,FALSE)=0,"Spatial Data Missing",VLOOKUP(AK255,'G-7 Rivers Data'!$AD$4:$AE$8,2,FALSE)))</f>
        <v/>
      </c>
      <c r="AM255" s="265" t="str">
        <f t="shared" si="31"/>
        <v/>
      </c>
      <c r="AN255" s="180"/>
      <c r="AO255" s="181"/>
      <c r="AV255" s="35" t="str">
        <f>IFERROR(INDEX('G-7 Rivers Data'!$AZ$3:$AZ$7,MATCH(N255,'G-7 Rivers Data'!$AY$3:$AY$7,0)),"")</f>
        <v/>
      </c>
    </row>
    <row r="256" spans="2:48" ht="13.8" x14ac:dyDescent="0.25">
      <c r="B256" s="259" t="str">
        <f>'C-1 Site River Baseline'!AN254</f>
        <v/>
      </c>
      <c r="C256" s="175" t="str">
        <f>IF(B256="","",VLOOKUP($B256,'C-1 Site River Baseline'!$C$9:$R$257,2,FALSE))</f>
        <v/>
      </c>
      <c r="D256" s="175" t="str">
        <f>IF(C256="","",VLOOKUP($B256,'C-1 Site River Baseline'!$C$9:$R$257,3,FALSE))</f>
        <v/>
      </c>
      <c r="E256" s="175" t="str">
        <f>IF(D256="","",VLOOKUP($B256,'C-1 Site River Baseline'!$C$9:$R$257,4,FALSE))</f>
        <v/>
      </c>
      <c r="F256" s="175" t="str">
        <f>IF(E256="","",VLOOKUP($B256,'C-1 Site River Baseline'!$C$9:$R$257,5,FALSE))</f>
        <v/>
      </c>
      <c r="G256" s="175" t="str">
        <f>IF(F256="","",VLOOKUP($B256,'C-1 Site River Baseline'!$C$9:$R$257,6,FALSE))</f>
        <v/>
      </c>
      <c r="H256" s="175" t="str">
        <f>IF(G256="","",VLOOKUP($B256,'C-1 Site River Baseline'!$C$9:$R$257,7,FALSE))</f>
        <v/>
      </c>
      <c r="I256" s="175" t="str">
        <f>IF(H256="","",VLOOKUP($B256,'C-1 Site River Baseline'!$C$9:$R$257,8,FALSE))</f>
        <v/>
      </c>
      <c r="J256" s="175" t="str">
        <f>IF(I256="","",VLOOKUP($B256,'C-1 Site River Baseline'!$C$9:$R$257,9,FALSE))</f>
        <v/>
      </c>
      <c r="K256" s="175" t="str">
        <f>IF(J256="","",VLOOKUP($B256,'C-1 Site River Baseline'!$C$9:$R$257,10,FALSE))</f>
        <v/>
      </c>
      <c r="L256" s="175" t="str">
        <f>IF(B256="","",VLOOKUP($B256,'C-1 Site River Baseline'!$C$9:$R$257,15,FALSE))</f>
        <v/>
      </c>
      <c r="M256" s="176" t="str">
        <f>IF(L256="","",VLOOKUP($B256,'C-1 Site River Baseline'!$C$9:$R$257,16,FALSE))</f>
        <v/>
      </c>
      <c r="N256" s="639" t="str">
        <f t="shared" si="25"/>
        <v/>
      </c>
      <c r="O256" s="239" t="str">
        <f t="shared" si="26"/>
        <v/>
      </c>
      <c r="P256" s="172" t="str">
        <f>IF(C256="","",IF(AND(LEFT(C256,55)&lt;&gt;LEFT(N256,55),O256="High - High"),"Error - Not like for like",IF(AND(F256=S256,H256&gt;U256),"Error - Can not reduce condition",IF(AND(F256=S256,H256=U256,AJ256='C-1 Site River Baseline'!N254,'C-1 Site River Baseline'!P254=AL256),"Error - No enhancement",IF(AND(C256&lt;&gt;N256,F256&lt;S256),"Lower Distinctiveness Habitat"&amp;" - "&amp;T256,G256&amp;" - "&amp;T256)))))</f>
        <v/>
      </c>
      <c r="Q256" s="660" t="str">
        <f>IF(N256="","",VLOOKUP(B256,'C-1 Site River Baseline'!$C$10:$AA$257,19,FALSE))</f>
        <v/>
      </c>
      <c r="R256" s="171" t="str">
        <f>IF(N256="","",VLOOKUP(N256,'G-7 Rivers Data'!$B$2:$G$8,2,FALSE))</f>
        <v/>
      </c>
      <c r="S256" s="172" t="str">
        <f>IFERROR(VLOOKUP(R256,'G-7 Rivers Data'!$C$4:$D$8,2,FALSE),"")</f>
        <v/>
      </c>
      <c r="T256" s="173"/>
      <c r="U256" s="172" t="str">
        <f>IFERROR(INDEX('G-7 Rivers Data'!$H$4:$L$8,MATCH(N256,'G-7 Rivers Data'!$B$4:$B$8,0),MATCH(T256,'G-7 Rivers Data'!$H$3:$L$3,0)),"")</f>
        <v/>
      </c>
      <c r="V256" s="186"/>
      <c r="W256" s="175" t="str">
        <f>IF(V256="","",IF(VLOOKUP(V256,'G-7 Rivers Data'!$AG$4:$AI$9,2,FALSE)=0,"Spatial Data Missing",VLOOKUP(V256,'G-7 Rivers Data'!$AG$4:$AI$9,2,FALSE)))</f>
        <v/>
      </c>
      <c r="X256" s="176" t="str">
        <f>IF(V256="","",IF(VLOOKUP(V256,'G-7 Rivers Data'!$AG$4:$AI$9,3,FALSE)=0,"Spatial Data Missing",VLOOKUP(V256,'G-7 Rivers Data'!$AG$4:$AI$9,3,FALSE)))</f>
        <v/>
      </c>
      <c r="Y256" s="171" t="str">
        <f>IFERROR(IF(OR(LEFT(P256,5)="Error",LEFT(O256,5)="Error"),"Check Data",IF(F256&lt;S256,'G-7 Rivers Data'!$R$3,INDEX('G-7 Rivers Data'!$U$5:$Y$9,MATCH(G256,'G-7 Rivers Data'!$T$5:$T$9,0),MATCH(T256,'G-7 Rivers Data'!$U$4:$Y$4,0)))),"")</f>
        <v/>
      </c>
      <c r="Z256" s="261"/>
      <c r="AA256" s="261"/>
      <c r="AB256" s="179" t="str">
        <f t="shared" si="27"/>
        <v/>
      </c>
      <c r="AC256" s="262" t="str">
        <f t="shared" si="28"/>
        <v/>
      </c>
      <c r="AD256" s="382" t="str">
        <f>IFERROR(IF(AC256="Check Data","Check Data",VLOOKUP(AC256,'G-4 Temporal multipliers'!$A$4:$C$37,3,FALSE)),"")</f>
        <v/>
      </c>
      <c r="AE256" s="171" t="str">
        <f>IF(N256="","",VLOOKUP(N256,'G-7 Rivers Data'!$B$4:$G$8,5,FALSE))</f>
        <v/>
      </c>
      <c r="AF256" s="179" t="str">
        <f t="shared" si="29"/>
        <v/>
      </c>
      <c r="AG256" s="269" t="str">
        <f t="shared" si="30"/>
        <v/>
      </c>
      <c r="AH256" s="172" t="str">
        <f t="shared" si="24"/>
        <v/>
      </c>
      <c r="AI256" s="173"/>
      <c r="AJ256" s="172" t="str">
        <f>IF(AI256="","",IF(VLOOKUP(AI256,'G-7 Rivers Data'!$AA$4:$AB$7,2,FALSE)=0,"Spatial Data Missing",VLOOKUP(AI256,'G-7 Rivers Data'!$AA$4:$AB$7,2,FALSE)))</f>
        <v/>
      </c>
      <c r="AK256" s="187"/>
      <c r="AL256" s="172" t="str">
        <f>IF(AK256="","",IF(VLOOKUP(AK256,'G-7 Rivers Data'!$AD$4:$AE$8,2,FALSE)=0,"Spatial Data Missing",VLOOKUP(AK256,'G-7 Rivers Data'!$AD$4:$AE$8,2,FALSE)))</f>
        <v/>
      </c>
      <c r="AM256" s="265" t="str">
        <f t="shared" si="31"/>
        <v/>
      </c>
      <c r="AN256" s="180"/>
      <c r="AO256" s="181"/>
      <c r="AV256" s="35" t="str">
        <f>IFERROR(INDEX('G-7 Rivers Data'!$AZ$3:$AZ$7,MATCH(N256,'G-7 Rivers Data'!$AY$3:$AY$7,0)),"")</f>
        <v/>
      </c>
    </row>
    <row r="257" spans="2:48" ht="14.4" thickBot="1" x14ac:dyDescent="0.3">
      <c r="B257" s="267" t="str">
        <f>'C-1 Site River Baseline'!AN255</f>
        <v/>
      </c>
      <c r="C257" s="194" t="str">
        <f>IF(B257="","",VLOOKUP($B257,'C-1 Site River Baseline'!$C$9:$R$257,2,FALSE))</f>
        <v/>
      </c>
      <c r="D257" s="194" t="str">
        <f>IF(C257="","",VLOOKUP($B257,'C-1 Site River Baseline'!$C$9:$R$257,3,FALSE))</f>
        <v/>
      </c>
      <c r="E257" s="194" t="str">
        <f>IF(D257="","",VLOOKUP($B257,'C-1 Site River Baseline'!$C$9:$R$257,4,FALSE))</f>
        <v/>
      </c>
      <c r="F257" s="194" t="str">
        <f>IF(E257="","",VLOOKUP($B257,'C-1 Site River Baseline'!$C$9:$R$257,5,FALSE))</f>
        <v/>
      </c>
      <c r="G257" s="194" t="str">
        <f>IF(F257="","",VLOOKUP($B257,'C-1 Site River Baseline'!$C$9:$R$257,6,FALSE))</f>
        <v/>
      </c>
      <c r="H257" s="194" t="str">
        <f>IF(G257="","",VLOOKUP($B257,'C-1 Site River Baseline'!$C$9:$R$257,7,FALSE))</f>
        <v/>
      </c>
      <c r="I257" s="194" t="str">
        <f>IF(H257="","",VLOOKUP($B257,'C-1 Site River Baseline'!$C$9:$R$257,8,FALSE))</f>
        <v/>
      </c>
      <c r="J257" s="194" t="str">
        <f>IF(I257="","",VLOOKUP($B257,'C-1 Site River Baseline'!$C$9:$R$257,9,FALSE))</f>
        <v/>
      </c>
      <c r="K257" s="194" t="str">
        <f>IF(J257="","",VLOOKUP($B257,'C-1 Site River Baseline'!$C$9:$R$257,10,FALSE))</f>
        <v/>
      </c>
      <c r="L257" s="194" t="str">
        <f>IF(B257="","",VLOOKUP($B257,'C-1 Site River Baseline'!$C$9:$R$257,15,FALSE))</f>
        <v/>
      </c>
      <c r="M257" s="195" t="str">
        <f>IF(L257="","",VLOOKUP($B257,'C-1 Site River Baseline'!$C$9:$R$257,16,FALSE))</f>
        <v/>
      </c>
      <c r="N257" s="639" t="str">
        <f t="shared" si="25"/>
        <v/>
      </c>
      <c r="O257" s="248" t="str">
        <f t="shared" si="26"/>
        <v/>
      </c>
      <c r="P257" s="195" t="str">
        <f>IF(C257="","",IF(AND(LEFT(C257,55)&lt;&gt;LEFT(N257,55),O257="High - High"),"Error - Not like for like",IF(AND(F257=S257,H257&gt;U257),"Error - Can not reduce condition",IF(AND(F257=S257,H257=U257,AJ257='C-1 Site River Baseline'!N255,'C-1 Site River Baseline'!P255=AL257),"Error - No enhancement",IF(AND(C257&lt;&gt;N257,F257&lt;S257),"Lower Distinctiveness Habitat"&amp;" - "&amp;T257,G257&amp;" - "&amp;T257)))))</f>
        <v/>
      </c>
      <c r="Q257" s="253" t="str">
        <f>IF(N257="","",VLOOKUP(B257,'C-1 Site River Baseline'!$C$10:$AA$257,19,FALSE))</f>
        <v/>
      </c>
      <c r="R257" s="248" t="str">
        <f>IF(N257="","",VLOOKUP(N257,'G-7 Rivers Data'!$B$2:$G$8,2,FALSE))</f>
        <v/>
      </c>
      <c r="S257" s="195" t="str">
        <f>IFERROR(VLOOKUP(R257,'G-7 Rivers Data'!$C$4:$D$8,2,FALSE),"")</f>
        <v/>
      </c>
      <c r="T257" s="193"/>
      <c r="U257" s="195" t="str">
        <f>IFERROR(INDEX('G-7 Rivers Data'!$H$4:$L$8,MATCH(N257,'G-7 Rivers Data'!$B$4:$B$8,0),MATCH(T257,'G-7 Rivers Data'!$H$3:$L$3,0)),"")</f>
        <v/>
      </c>
      <c r="V257" s="193"/>
      <c r="W257" s="194" t="str">
        <f>IF(V257="","",IF(VLOOKUP(V257,'G-7 Rivers Data'!$AG$4:$AI$9,2,FALSE)=0,"Spatial Data Missing",VLOOKUP(V257,'G-7 Rivers Data'!$AG$4:$AI$9,2,FALSE)))</f>
        <v/>
      </c>
      <c r="X257" s="195" t="str">
        <f>IF(V257="","",IF(VLOOKUP(V257,'G-7 Rivers Data'!$AG$4:$AI$9,3,FALSE)=0,"Spatial Data Missing",VLOOKUP(V257,'G-7 Rivers Data'!$AG$4:$AI$9,3,FALSE)))</f>
        <v/>
      </c>
      <c r="Y257" s="248" t="str">
        <f>IFERROR(IF(OR(LEFT(P257,5)="Error",LEFT(O257,5)="Error"),"Check Data",IF(F257&lt;S257,'G-7 Rivers Data'!$R$3,INDEX('G-7 Rivers Data'!$U$5:$Y$9,MATCH(G257,'G-7 Rivers Data'!$T$5:$T$9,0),MATCH(T257,'G-7 Rivers Data'!$U$4:$Y$4,0)))),"")</f>
        <v/>
      </c>
      <c r="Z257" s="279"/>
      <c r="AA257" s="279"/>
      <c r="AB257" s="194" t="str">
        <f t="shared" si="27"/>
        <v/>
      </c>
      <c r="AC257" s="251" t="str">
        <f t="shared" si="28"/>
        <v/>
      </c>
      <c r="AD257" s="408" t="str">
        <f>IFERROR(IF(AC257="Check Data","Check Data",VLOOKUP(AC257,'G-4 Temporal multipliers'!$A$4:$C$37,3,FALSE)),"")</f>
        <v/>
      </c>
      <c r="AE257" s="248" t="str">
        <f>IF(N257="","",VLOOKUP(N257,'G-7 Rivers Data'!$B$4:$G$8,5,FALSE))</f>
        <v/>
      </c>
      <c r="AF257" s="194" t="str">
        <f t="shared" si="29"/>
        <v/>
      </c>
      <c r="AG257" s="194" t="str">
        <f t="shared" si="30"/>
        <v/>
      </c>
      <c r="AH257" s="195" t="str">
        <f t="shared" si="24"/>
        <v/>
      </c>
      <c r="AI257" s="193"/>
      <c r="AJ257" s="195" t="str">
        <f>IF(AI257="","",IF(VLOOKUP(AI257,'G-7 Rivers Data'!$AA$4:$AB$7,2,FALSE)=0,"Spatial Data Missing",VLOOKUP(AI257,'G-7 Rivers Data'!$AA$4:$AB$7,2,FALSE)))</f>
        <v/>
      </c>
      <c r="AK257" s="404"/>
      <c r="AL257" s="195" t="str">
        <f>IF(AK257="","",IF(VLOOKUP(AK257,'G-7 Rivers Data'!$AD$4:$AE$8,2,FALSE)=0,"Spatial Data Missing",VLOOKUP(AK257,'G-7 Rivers Data'!$AD$4:$AE$8,2,FALSE)))</f>
        <v/>
      </c>
      <c r="AM257" s="265" t="str">
        <f>IFERROR(IF(C257="","",IF(Q257&gt;D257,((((Q257*S257*U257)-(D257*F257*H257))*(AH257*AD257))+(D257*F257*H257))*(AL257*X257*AJ257),((((Q257*S257*U257)-(Q257*F257*H257))*(AH257*AD257))+(Q257*F257*H257))*(AL257*X257*AJ257))),"")</f>
        <v/>
      </c>
      <c r="AN257" s="197"/>
      <c r="AO257" s="198"/>
      <c r="AV257" s="35" t="str">
        <f>IFERROR(INDEX('G-7 Rivers Data'!$AZ$3:$AZ$7,MATCH(N257,'G-7 Rivers Data'!$AY$3:$AY$7,0)),"")</f>
        <v/>
      </c>
    </row>
    <row r="258" spans="2:48" ht="14.4" thickBot="1" x14ac:dyDescent="0.3"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413"/>
      <c r="O258" s="201"/>
      <c r="P258" s="201"/>
      <c r="Q258" s="662">
        <f>SUM(Q12:Q257)</f>
        <v>0</v>
      </c>
      <c r="R258" s="412"/>
      <c r="AF258" s="51"/>
      <c r="AG258" s="51"/>
      <c r="AJ258" s="35" t="str">
        <f>IF(AI258="","",IF(VLOOKUP(AI258,'[2]G-7 Rivers Data'!$AA$4:$AB$6,2,FALSE)=0,"Spatial Data Missing",VLOOKUP(AI258,'[2]G-7 Rivers Data'!$AA$4:$AB$6,2,FALSE)))</f>
        <v/>
      </c>
      <c r="AK258" s="1055"/>
      <c r="AL258" s="1055"/>
      <c r="AM258" s="456">
        <f>SUM(AM12:AM257)</f>
        <v>0</v>
      </c>
    </row>
    <row r="259" spans="2:48" ht="13.8" x14ac:dyDescent="0.25">
      <c r="AJ259" s="35" t="str">
        <f>IF(AI259="","",IF(VLOOKUP(AI259,'[2]G-7 Rivers Data'!$AA$4:$AB$6,2,FALSE)=0,"Spatial Data Missing",VLOOKUP(AI259,'[2]G-7 Rivers Data'!$AA$4:$AB$6,2,FALSE)))</f>
        <v/>
      </c>
    </row>
    <row r="260" spans="2:48" ht="13.8" x14ac:dyDescent="0.25"/>
    <row r="261" spans="2:48" ht="13.8" x14ac:dyDescent="0.25"/>
    <row r="262" spans="2:48" ht="13.8" x14ac:dyDescent="0.25"/>
    <row r="263" spans="2:48" ht="13.8" x14ac:dyDescent="0.25"/>
    <row r="264" spans="2:48" ht="13.8" x14ac:dyDescent="0.25"/>
    <row r="265" spans="2:48" ht="13.8" x14ac:dyDescent="0.25"/>
    <row r="266" spans="2:48" ht="13.8" x14ac:dyDescent="0.25"/>
  </sheetData>
  <sheetProtection algorithmName="SHA-512" hashValue="J/ojSzGryRCJv/56KyOr5Gx92z8U2jXWFI3BkU9X8rChuN4nnpFAZloo34ZQo8VgxLIvOhpjNZUKfmfH8hNlSQ==" saltValue="zvOKKACBi7Mm22p+2E9tpw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8">
    <mergeCell ref="AN10:AO10"/>
    <mergeCell ref="C10:M10"/>
    <mergeCell ref="V10:X10"/>
    <mergeCell ref="Y10:AD10"/>
    <mergeCell ref="AE10:AH10"/>
    <mergeCell ref="O10:P10"/>
    <mergeCell ref="N10:N11"/>
    <mergeCell ref="AK10:AL10"/>
    <mergeCell ref="AM10:AM11"/>
    <mergeCell ref="AI10:AJ10"/>
    <mergeCell ref="AK258:AL258"/>
    <mergeCell ref="B2:E2"/>
    <mergeCell ref="B3:E4"/>
    <mergeCell ref="Q10:Q11"/>
    <mergeCell ref="N9:AL9"/>
    <mergeCell ref="R10:S10"/>
    <mergeCell ref="T10:U10"/>
    <mergeCell ref="Y2:AD4"/>
  </mergeCells>
  <conditionalFormatting sqref="L12:L257">
    <cfRule type="containsText" dxfId="41" priority="11" operator="containsText" text="Restore">
      <formula>NOT(ISERROR(SEARCH("Restore",L12)))</formula>
    </cfRule>
  </conditionalFormatting>
  <conditionalFormatting sqref="O12:P257">
    <cfRule type="containsText" dxfId="40" priority="9" operator="containsText" text="Check">
      <formula>NOT(ISERROR(SEARCH("Check",O12)))</formula>
    </cfRule>
    <cfRule type="containsText" dxfId="39" priority="10" operator="containsText" text="Error">
      <formula>NOT(ISERROR(SEARCH("Error",O12)))</formula>
    </cfRule>
  </conditionalFormatting>
  <conditionalFormatting sqref="W12:X257">
    <cfRule type="containsText" dxfId="38" priority="8" operator="containsText" text="Spatial">
      <formula>NOT(ISERROR(SEARCH("Spatial",W12)))</formula>
    </cfRule>
  </conditionalFormatting>
  <conditionalFormatting sqref="Y12:Y257">
    <cfRule type="containsText" dxfId="37" priority="6" operator="containsText" text="Check">
      <formula>NOT(ISERROR(SEARCH("Check",Y12)))</formula>
    </cfRule>
    <cfRule type="containsText" dxfId="36" priority="7" operator="containsText" text="Error">
      <formula>NOT(ISERROR(SEARCH("Error",Y12)))</formula>
    </cfRule>
  </conditionalFormatting>
  <conditionalFormatting sqref="AB12:AM12 AM13:AM258 AB13:AL257">
    <cfRule type="containsText" dxfId="35" priority="4" operator="containsText" text="Check">
      <formula>NOT(ISERROR(SEARCH("Check",AB12)))</formula>
    </cfRule>
    <cfRule type="beginsWith" dxfId="34" priority="5" operator="beginsWith" text="Error">
      <formula>LEFT(AB12,LEN("Error"))="Error"</formula>
    </cfRule>
  </conditionalFormatting>
  <conditionalFormatting sqref="AF12:AF257">
    <cfRule type="beginsWith" dxfId="33" priority="3" operator="beginsWith" text="No - Low Difficulty">
      <formula>LEFT(AF12,LEN("No - Low Difficulty"))="No - Low Difficulty"</formula>
    </cfRule>
  </conditionalFormatting>
  <conditionalFormatting sqref="AJ12:AL257">
    <cfRule type="containsText" dxfId="32" priority="2" operator="containsText" text="Spatial">
      <formula>NOT(ISERROR(SEARCH("Spatial",AJ12)))</formula>
    </cfRule>
  </conditionalFormatting>
  <conditionalFormatting sqref="Y2">
    <cfRule type="containsText" dxfId="31" priority="1" operator="containsText" text="Note">
      <formula>NOT(ISERROR(SEARCH("Note",Y2)))</formula>
    </cfRule>
  </conditionalFormatting>
  <dataValidations count="1">
    <dataValidation type="list" allowBlank="1" showInputMessage="1" showErrorMessage="1" sqref="T12:T257" xr:uid="{00000000-0002-0000-1B00-000000000000}">
      <formula1>INDIRECT(AV12)</formula1>
    </dataValidation>
  </dataValidations>
  <pageMargins left="0.7" right="0.7" top="0.75" bottom="0.75" header="0.3" footer="0.3"/>
  <pageSetup paperSize="9" orientation="portrait" horizontalDpi="90" verticalDpi="90" r:id="rId1"/>
  <cellWatches>
    <cellWatch r="Y13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1B00-000001000000}">
          <x14:formula1>
            <xm:f>'\\LYN264DF\m312897$\Net Gain\Rivers and Streams\[Master metric with RS amendments with new G7 layout.xlsm]G-7 Rivers Data'!#REF!</xm:f>
          </x14:formula1>
          <xm:sqref>AI258:AI259 N40:N257</xm:sqref>
        </x14:dataValidation>
        <x14:dataValidation type="list" allowBlank="1" showInputMessage="1" showErrorMessage="1" xr:uid="{00000000-0002-0000-1B00-000002000000}">
          <x14:formula1>
            <xm:f>'G-7 Rivers Data'!$AG$4:$AG$9</xm:f>
          </x14:formula1>
          <xm:sqref>V12:V257</xm:sqref>
        </x14:dataValidation>
        <x14:dataValidation type="list" allowBlank="1" showInputMessage="1" showErrorMessage="1" xr:uid="{00000000-0002-0000-1B00-000004000000}">
          <x14:formula1>
            <xm:f>'G-7 Rivers Data'!$AD$4:$AD$7</xm:f>
          </x14:formula1>
          <xm:sqref>AK12:AK257</xm:sqref>
        </x14:dataValidation>
        <x14:dataValidation type="list" allowBlank="1" showInputMessage="1" showErrorMessage="1" xr:uid="{00000000-0002-0000-1B00-000005000000}">
          <x14:formula1>
            <xm:f>'G-7 Rivers Data'!$B$4:$B$8</xm:f>
          </x14:formula1>
          <xm:sqref>N12:N39</xm:sqref>
        </x14:dataValidation>
        <x14:dataValidation type="list" allowBlank="1" showInputMessage="1" showErrorMessage="1" xr:uid="{00000000-0002-0000-1B00-000007000000}">
          <x14:formula1>
            <xm:f>'G-4 Temporal multipliers'!$A$41:$A$72</xm:f>
          </x14:formula1>
          <xm:sqref>Z12:AA257</xm:sqref>
        </x14:dataValidation>
        <x14:dataValidation type="list" allowBlank="1" showInputMessage="1" showErrorMessage="1" xr:uid="{24BAEB0C-716A-4A35-AE25-EF677467B256}">
          <x14:formula1>
            <xm:f>'G-7 Rivers Data'!$AA$4:$AA$7</xm:f>
          </x14:formula1>
          <xm:sqref>AI12:AI257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">
    <tabColor rgb="FF00B0F0"/>
  </sheetPr>
  <dimension ref="A1:AN272"/>
  <sheetViews>
    <sheetView showGridLines="0" showRowColHeaders="0" zoomScaleNormal="100" workbookViewId="0">
      <pane ySplit="9" topLeftCell="A10" activePane="bottomLeft" state="frozen"/>
      <selection activeCell="B18" sqref="B18:I19"/>
      <selection pane="bottomLeft" activeCell="D10" sqref="D10"/>
    </sheetView>
  </sheetViews>
  <sheetFormatPr defaultColWidth="0" defaultRowHeight="0" customHeight="1" zeroHeight="1" x14ac:dyDescent="0.25"/>
  <cols>
    <col min="1" max="1" width="3" style="35" customWidth="1"/>
    <col min="2" max="2" width="4.6640625" style="159" customWidth="1"/>
    <col min="3" max="3" width="10" style="159" customWidth="1"/>
    <col min="4" max="4" width="55" style="35" customWidth="1"/>
    <col min="5" max="5" width="8.5546875" style="35" customWidth="1"/>
    <col min="6" max="6" width="18.88671875" style="35" customWidth="1"/>
    <col min="7" max="7" width="8.6640625" style="35" customWidth="1"/>
    <col min="8" max="8" width="14.33203125" style="35" bestFit="1" customWidth="1"/>
    <col min="9" max="9" width="12.88671875" style="35" customWidth="1"/>
    <col min="10" max="10" width="33.6640625" style="35" customWidth="1"/>
    <col min="11" max="11" width="15.109375" style="35" customWidth="1"/>
    <col min="12" max="12" width="13.6640625" style="35" customWidth="1"/>
    <col min="13" max="13" width="18.109375" style="35" customWidth="1"/>
    <col min="14" max="14" width="12.88671875" style="35" customWidth="1"/>
    <col min="15" max="15" width="16.6640625" style="35" customWidth="1"/>
    <col min="16" max="16" width="12.6640625" style="35" customWidth="1"/>
    <col min="17" max="17" width="14.33203125" style="35" customWidth="1"/>
    <col min="18" max="18" width="13.33203125" style="35" customWidth="1"/>
    <col min="19" max="19" width="3.6640625" style="35" customWidth="1"/>
    <col min="20" max="20" width="12.109375" style="35" customWidth="1"/>
    <col min="21" max="21" width="12.88671875" style="35" customWidth="1"/>
    <col min="22" max="22" width="10.88671875" style="35" customWidth="1"/>
    <col min="23" max="23" width="11.88671875" style="35" customWidth="1"/>
    <col min="24" max="24" width="12" style="35" customWidth="1"/>
    <col min="25" max="25" width="8.6640625" style="35" customWidth="1"/>
    <col min="26" max="27" width="50.109375" style="35" customWidth="1"/>
    <col min="28" max="30" width="8.88671875" style="35" customWidth="1"/>
    <col min="31" max="31" width="8.88671875" style="35" hidden="1" customWidth="1"/>
    <col min="32" max="32" width="15.88671875" style="35" hidden="1" customWidth="1"/>
    <col min="33" max="33" width="8.88671875" style="35" hidden="1" customWidth="1"/>
    <col min="34" max="34" width="9" style="35" hidden="1" customWidth="1"/>
    <col min="35" max="35" width="9.5546875" style="35" hidden="1" customWidth="1"/>
    <col min="36" max="36" width="8.88671875" style="35" hidden="1" customWidth="1"/>
    <col min="37" max="37" width="11.88671875" style="35" hidden="1" customWidth="1"/>
    <col min="38" max="38" width="8.88671875" style="35" hidden="1" customWidth="1"/>
    <col min="39" max="39" width="9" style="35" hidden="1" customWidth="1"/>
    <col min="40" max="40" width="9.5546875" style="35" hidden="1" customWidth="1"/>
    <col min="41" max="16384" width="8.88671875" style="35" hidden="1"/>
  </cols>
  <sheetData>
    <row r="1" spans="2:40" ht="12.75" customHeight="1" thickBot="1" x14ac:dyDescent="0.3">
      <c r="B1" s="35"/>
      <c r="C1" s="35"/>
    </row>
    <row r="2" spans="2:40" ht="19.5" customHeight="1" thickBot="1" x14ac:dyDescent="0.3">
      <c r="B2" s="785" t="str">
        <f>IF([2]Start!$F$12="","",[2]Start!$F$12)</f>
        <v/>
      </c>
      <c r="C2" s="786"/>
      <c r="D2" s="786"/>
      <c r="E2" s="787"/>
    </row>
    <row r="3" spans="2:40" ht="15" customHeight="1" thickBot="1" x14ac:dyDescent="0.3">
      <c r="B3" s="1016" t="str">
        <f ca="1">MID(CELL("filename",A1),FIND("]",CELL("filename",A1))+1,256)</f>
        <v>F-1 Off Site River Baseline</v>
      </c>
      <c r="C3" s="1017"/>
      <c r="D3" s="1017"/>
      <c r="E3" s="1018"/>
    </row>
    <row r="4" spans="2:40" ht="15" customHeight="1" thickBot="1" x14ac:dyDescent="0.3">
      <c r="B4" s="1016"/>
      <c r="C4" s="1017"/>
      <c r="D4" s="1017"/>
      <c r="E4" s="1018"/>
      <c r="S4" s="703"/>
      <c r="T4" s="1060" t="str">
        <f>IF(SUM(AG10:AG257)&gt;0,"Check Lengths","")</f>
        <v/>
      </c>
      <c r="U4" s="1060"/>
      <c r="V4" s="1060"/>
      <c r="W4" s="1060"/>
      <c r="X4" s="1060"/>
      <c r="Y4" s="1060"/>
    </row>
    <row r="5" spans="2:40" ht="27" customHeight="1" x14ac:dyDescent="0.25">
      <c r="B5" s="35"/>
      <c r="C5" s="35"/>
      <c r="S5" s="703"/>
      <c r="T5" s="1060"/>
      <c r="U5" s="1060"/>
      <c r="V5" s="1060"/>
      <c r="W5" s="1060"/>
      <c r="X5" s="1060"/>
      <c r="Y5" s="1060"/>
    </row>
    <row r="6" spans="2:40" ht="40.200000000000003" customHeight="1" x14ac:dyDescent="0.25">
      <c r="B6" s="35"/>
      <c r="C6" s="35"/>
      <c r="D6" s="158"/>
    </row>
    <row r="7" spans="2:40" ht="14.4" thickBot="1" x14ac:dyDescent="0.3"/>
    <row r="8" spans="2:40" ht="30.75" customHeight="1" thickBot="1" x14ac:dyDescent="0.3">
      <c r="C8" s="994" t="s">
        <v>1034</v>
      </c>
      <c r="D8" s="994"/>
      <c r="E8" s="994"/>
      <c r="F8" s="984" t="s">
        <v>981</v>
      </c>
      <c r="G8" s="984"/>
      <c r="H8" s="984" t="s">
        <v>982</v>
      </c>
      <c r="I8" s="984"/>
      <c r="J8" s="994" t="s">
        <v>362</v>
      </c>
      <c r="K8" s="994"/>
      <c r="L8" s="994"/>
      <c r="M8" s="984" t="s">
        <v>1188</v>
      </c>
      <c r="N8" s="984"/>
      <c r="O8" s="984" t="s">
        <v>1036</v>
      </c>
      <c r="P8" s="984"/>
      <c r="Q8" s="983" t="s">
        <v>1019</v>
      </c>
      <c r="R8" s="205" t="s">
        <v>1010</v>
      </c>
      <c r="S8" s="161"/>
      <c r="T8" s="994" t="s">
        <v>1021</v>
      </c>
      <c r="U8" s="994"/>
      <c r="V8" s="994"/>
      <c r="W8" s="994"/>
      <c r="X8" s="994"/>
      <c r="Y8" s="994"/>
      <c r="Z8" s="994" t="s">
        <v>145</v>
      </c>
      <c r="AA8" s="994"/>
    </row>
    <row r="9" spans="2:40" ht="41.4" x14ac:dyDescent="0.25">
      <c r="C9" s="561" t="s">
        <v>840</v>
      </c>
      <c r="D9" s="272" t="s">
        <v>799</v>
      </c>
      <c r="E9" s="273" t="s">
        <v>368</v>
      </c>
      <c r="F9" s="561" t="s">
        <v>127</v>
      </c>
      <c r="G9" s="273" t="s">
        <v>140</v>
      </c>
      <c r="H9" s="561" t="s">
        <v>141</v>
      </c>
      <c r="I9" s="273" t="s">
        <v>140</v>
      </c>
      <c r="J9" s="561" t="s">
        <v>362</v>
      </c>
      <c r="K9" s="272" t="s">
        <v>362</v>
      </c>
      <c r="L9" s="273" t="s">
        <v>983</v>
      </c>
      <c r="M9" s="561" t="s">
        <v>1037</v>
      </c>
      <c r="N9" s="273" t="s">
        <v>55</v>
      </c>
      <c r="O9" s="561" t="s">
        <v>1037</v>
      </c>
      <c r="P9" s="273" t="s">
        <v>55</v>
      </c>
      <c r="Q9" s="984"/>
      <c r="R9" s="647" t="s">
        <v>1018</v>
      </c>
      <c r="S9" s="165"/>
      <c r="T9" s="561" t="s">
        <v>1012</v>
      </c>
      <c r="U9" s="272" t="s">
        <v>1013</v>
      </c>
      <c r="V9" s="272" t="s">
        <v>1014</v>
      </c>
      <c r="W9" s="272" t="s">
        <v>1015</v>
      </c>
      <c r="X9" s="272" t="s">
        <v>1016</v>
      </c>
      <c r="Y9" s="273" t="s">
        <v>1017</v>
      </c>
      <c r="Z9" s="561" t="s">
        <v>991</v>
      </c>
      <c r="AA9" s="273" t="s">
        <v>992</v>
      </c>
      <c r="AF9" s="158" t="s">
        <v>1298</v>
      </c>
      <c r="AG9" s="46" t="s">
        <v>1502</v>
      </c>
      <c r="AH9" s="166" t="s">
        <v>800</v>
      </c>
      <c r="AI9" s="166" t="s">
        <v>801</v>
      </c>
      <c r="AJ9" s="167"/>
      <c r="AK9" s="166" t="s">
        <v>804</v>
      </c>
      <c r="AL9" s="167"/>
      <c r="AM9" s="166" t="s">
        <v>800</v>
      </c>
      <c r="AN9" s="166" t="s">
        <v>801</v>
      </c>
    </row>
    <row r="10" spans="2:40" ht="13.8" x14ac:dyDescent="0.25">
      <c r="C10" s="168">
        <v>1</v>
      </c>
      <c r="D10" s="169"/>
      <c r="E10" s="170"/>
      <c r="F10" s="171" t="str">
        <f>IF(D10="","",VLOOKUP(D10,'G-7 Rivers Data'!$B$2:$G$8,2,FALSE))</f>
        <v/>
      </c>
      <c r="G10" s="172" t="str">
        <f>IFERROR(VLOOKUP(F10,'G-7 Rivers Data'!$C$4:$D$8,2,FALSE),"")</f>
        <v/>
      </c>
      <c r="H10" s="173"/>
      <c r="I10" s="172" t="str">
        <f>IFERROR(INDEX('G-7 Rivers Data'!$H$4:$L$8,MATCH(D10,'G-7 Rivers Data'!$B$4:$B$8,0),MATCH(H10,'G-7 Rivers Data'!$H$3:$L$3,0)),"")</f>
        <v/>
      </c>
      <c r="J10" s="174"/>
      <c r="K10" s="175" t="str">
        <f>IF(J10="","",IF(VLOOKUP(J10,'G-7 Rivers Data'!$AK$4:$AM$9,2,FALSE)=0,"Spatial Data Missing",VLOOKUP(J10,'G-7 Rivers Data'!$AK$4:$AM$9,2,FALSE)))</f>
        <v/>
      </c>
      <c r="L10" s="176" t="str">
        <f>IF(J10="","",IF(VLOOKUP(J10,'G-7 Rivers Data'!$AK$4:$AM$9,3,FALSE)=0,"Spatial Data Missing",VLOOKUP(J10,'G-7 Rivers Data'!$AK$4:$AM$9,3,FALSE)))</f>
        <v/>
      </c>
      <c r="M10" s="174"/>
      <c r="N10" s="172" t="str">
        <f>IF(M10="","",IF(VLOOKUP(M10,'G-7 Rivers Data'!$AA$4:$AB$7,2,FALSE)=0,"Spatial Data Missing",VLOOKUP(M10,'G-7 Rivers Data'!$AA$4:$AB$7,2,FALSE)))</f>
        <v/>
      </c>
      <c r="O10" s="90"/>
      <c r="P10" s="172" t="str">
        <f>IF(O10="","",IF(VLOOKUP(O10,'G-7 Rivers Data'!$AD$4:$AE$8,2,FALSE)=0,"Spatial Data Missing",VLOOKUP(O10,'G-7 Rivers Data'!$AD$4:$AE$8,2,FALSE)))</f>
        <v/>
      </c>
      <c r="Q10" s="177" t="str">
        <f>IF(D10="","",VLOOKUP(D10,'G-7 Rivers Data'!$B$4:$G$8,6,FALSE))</f>
        <v/>
      </c>
      <c r="R10" s="178" t="str">
        <f>IFERROR(E10*G10*I10*L10*N10*P10,"")</f>
        <v/>
      </c>
      <c r="S10" s="44"/>
      <c r="T10" s="79"/>
      <c r="U10" s="82"/>
      <c r="V10" s="208" t="str">
        <f>IFERROR(IF(T10&gt;E10,"Check Lengths",T10*G10*I10*L10*N10*P10),"")</f>
        <v/>
      </c>
      <c r="W10" s="208" t="str">
        <f>IFERROR(IF(D10="","",U10*G10*I10*L10*N10*P10),"")</f>
        <v/>
      </c>
      <c r="X10" s="208" t="str">
        <f>IFERROR(IF(D10="","",IF(E10&gt;(T10+U10),E10-T10-U10,0)),"")</f>
        <v/>
      </c>
      <c r="Y10" s="209" t="str">
        <f>IFERROR(IF(E10="","",IF((V10+W10)&gt;R10,0,R10-V10-W10)),"Check Data")</f>
        <v/>
      </c>
      <c r="Z10" s="180"/>
      <c r="AA10" s="181"/>
      <c r="AF10" s="35" t="str">
        <f>IFERROR(INDEX('G-7 Rivers Data'!$AZ$3:$AZ$7,MATCH(D10,'G-7 Rivers Data'!$AY$3:$AY$7,0)),"")</f>
        <v/>
      </c>
      <c r="AG10" s="35">
        <f>IFERROR(IF(T10+U10&gt;E10,1,0),"")</f>
        <v>0</v>
      </c>
      <c r="AH10" s="166" t="str">
        <f>IF(D10="","",IF(T10&gt;0,TRUE,FALSE))</f>
        <v/>
      </c>
      <c r="AI10" s="166" t="str">
        <f>IF(D10="","",IF(U10&gt;0,TRUE,FALSE))</f>
        <v/>
      </c>
      <c r="AJ10" s="167"/>
      <c r="AK10" s="166">
        <v>1</v>
      </c>
      <c r="AL10" s="167"/>
      <c r="AM10" s="166" t="str">
        <f t="array" ref="AM10">IFERROR(INDEX($AK$10:$AK$258, MATCH(0, IF(TRUE=$AH$10:$AH$258, COUNTIF($AM9:$AM$9, $AK$10:$AK$258), ""), 0)),"")</f>
        <v/>
      </c>
      <c r="AN10" s="166" t="str">
        <f t="array" ref="AN10">IFERROR(INDEX($AK$10:$AK$258, MATCH(0, IF(TRUE=$AI$10:$AI$258, COUNTIF($AN9:$AN$9, $AK$10:$AK$258), ""), 0)),"")</f>
        <v/>
      </c>
    </row>
    <row r="11" spans="2:40" ht="13.8" x14ac:dyDescent="0.25">
      <c r="C11" s="168">
        <v>2</v>
      </c>
      <c r="D11" s="169"/>
      <c r="E11" s="170"/>
      <c r="F11" s="171" t="str">
        <f>IF(D11="","",VLOOKUP(D11,'G-7 Rivers Data'!$B$2:$G$8,2,FALSE))</f>
        <v/>
      </c>
      <c r="G11" s="172" t="str">
        <f>IFERROR(VLOOKUP(F11,'G-7 Rivers Data'!$C$4:$D$8,2,FALSE),"")</f>
        <v/>
      </c>
      <c r="H11" s="173"/>
      <c r="I11" s="172" t="str">
        <f>IFERROR(INDEX('G-7 Rivers Data'!$H$4:$L$8,MATCH(D11,'G-7 Rivers Data'!$B$4:$B$8,0),MATCH(H11,'G-7 Rivers Data'!$H$3:$L$3,0)),"")</f>
        <v/>
      </c>
      <c r="J11" s="174"/>
      <c r="K11" s="175" t="str">
        <f>IF(J11="","",IF(VLOOKUP(J11,'G-7 Rivers Data'!$AK$4:$AM$9,2,FALSE)=0,"Spatial Data Missing",VLOOKUP(J11,'G-7 Rivers Data'!$AK$4:$AM$9,2,FALSE)))</f>
        <v/>
      </c>
      <c r="L11" s="176" t="str">
        <f>IF(J11="","",IF(VLOOKUP(J11,'G-7 Rivers Data'!$AK$4:$AM$9,3,FALSE)=0,"Spatial Data Missing",VLOOKUP(J11,'G-7 Rivers Data'!$AK$4:$AM$9,3,FALSE)))</f>
        <v/>
      </c>
      <c r="M11" s="79"/>
      <c r="N11" s="172" t="str">
        <f>IF(M11="","",IF(VLOOKUP(M11,'G-7 Rivers Data'!$AA$4:$AB$7,2,FALSE)=0,"Spatial Data Missing",VLOOKUP(M11,'G-7 Rivers Data'!$AA$4:$AB$7,2,FALSE)))</f>
        <v/>
      </c>
      <c r="O11" s="90"/>
      <c r="P11" s="172" t="str">
        <f>IF(O11="","",IF(VLOOKUP(O11,'G-7 Rivers Data'!$AD$4:$AE$8,2,FALSE)=0,"Spatial Data Missing",VLOOKUP(O11,'G-7 Rivers Data'!$AD$4:$AE$8,2,FALSE)))</f>
        <v/>
      </c>
      <c r="Q11" s="177" t="str">
        <f>IF(D11="","",VLOOKUP(D11,'G-7 Rivers Data'!$B$4:$G$8,6,FALSE))</f>
        <v/>
      </c>
      <c r="R11" s="178" t="str">
        <f t="shared" ref="R11:R74" si="0">IFERROR(E11*G11*I11*L11*N11*P11,"")</f>
        <v/>
      </c>
      <c r="S11" s="44"/>
      <c r="T11" s="79"/>
      <c r="U11" s="82"/>
      <c r="V11" s="208" t="str">
        <f t="shared" ref="V11:V74" si="1">IFERROR(IF(T11&gt;E11,"Check Lengths",T11*G11*I11*L11*N11*P11),"")</f>
        <v/>
      </c>
      <c r="W11" s="208" t="str">
        <f t="shared" ref="W11:W74" si="2">IFERROR(IF(D11="","",U11*G11*I11*L11*N11*P11),"")</f>
        <v/>
      </c>
      <c r="X11" s="208" t="str">
        <f t="shared" ref="X11:X74" si="3">IFERROR(IF(D11="","",IF(E11&gt;(T11+U11),E11-T11-U11,0)),"")</f>
        <v/>
      </c>
      <c r="Y11" s="209" t="str">
        <f t="shared" ref="Y11:Y74" si="4">IFERROR(IF(E11="","",IF((V11+W11)&gt;R11,0,R11-V11-W11)),"Check Data")</f>
        <v/>
      </c>
      <c r="Z11" s="182"/>
      <c r="AA11" s="183"/>
      <c r="AF11" s="35" t="str">
        <f>IFERROR(INDEX('G-7 Rivers Data'!$AZ$3:$AZ$7,MATCH(D11,'G-7 Rivers Data'!$AY$3:$AY$7,0)),"")</f>
        <v/>
      </c>
      <c r="AG11" s="35">
        <f t="shared" ref="AG11:AG74" si="5">IFERROR(IF(T11+U11&gt;E11,1,0),"")</f>
        <v>0</v>
      </c>
      <c r="AH11" s="166" t="str">
        <f t="shared" ref="AH11:AH74" si="6">IF(D11="","",IF(T11&gt;0,TRUE,FALSE))</f>
        <v/>
      </c>
      <c r="AI11" s="166" t="str">
        <f t="shared" ref="AI11:AI74" si="7">IF(D11="","",IF(U11&gt;0,TRUE,FALSE))</f>
        <v/>
      </c>
      <c r="AJ11" s="167"/>
      <c r="AK11" s="166">
        <v>2</v>
      </c>
      <c r="AL11" s="167"/>
      <c r="AM11" s="166" t="str">
        <f t="array" ref="AM11">IFERROR(INDEX($AK$10:$AK$258, MATCH(0, IF(TRUE=$AH$10:$AH$258, COUNTIF($AM$9:$AM10, $AK$10:$AK$258), ""), 0)),"")</f>
        <v/>
      </c>
      <c r="AN11" s="166" t="str">
        <f t="array" ref="AN11">IFERROR(INDEX($AK$10:$AK$258, MATCH(0, IF(TRUE=$AI$10:$AI$258, COUNTIF($AN$9:$AN10, $AK$10:$AK$258), ""), 0)),"")</f>
        <v/>
      </c>
    </row>
    <row r="12" spans="2:40" ht="13.8" x14ac:dyDescent="0.25">
      <c r="C12" s="168">
        <v>3</v>
      </c>
      <c r="D12" s="169"/>
      <c r="E12" s="170"/>
      <c r="F12" s="171" t="str">
        <f>IF(D12="","",VLOOKUP(D12,'G-7 Rivers Data'!$B$2:$G$8,2,FALSE))</f>
        <v/>
      </c>
      <c r="G12" s="172" t="str">
        <f>IFERROR(VLOOKUP(F12,'G-7 Rivers Data'!$C$4:$D$8,2,FALSE),"")</f>
        <v/>
      </c>
      <c r="H12" s="173"/>
      <c r="I12" s="172" t="str">
        <f>IFERROR(INDEX('G-7 Rivers Data'!$H$4:$L$8,MATCH(D12,'G-7 Rivers Data'!$B$4:$B$8,0),MATCH(H12,'G-7 Rivers Data'!$H$3:$L$3,0)),"")</f>
        <v/>
      </c>
      <c r="J12" s="174"/>
      <c r="K12" s="175" t="str">
        <f>IF(J12="","",IF(VLOOKUP(J12,'G-7 Rivers Data'!$AK$4:$AM$9,2,FALSE)=0,"Spatial Data Missing",VLOOKUP(J12,'G-7 Rivers Data'!$AK$4:$AM$9,2,FALSE)))</f>
        <v/>
      </c>
      <c r="L12" s="176" t="str">
        <f>IF(J12="","",IF(VLOOKUP(J12,'G-7 Rivers Data'!$AK$4:$AM$9,3,FALSE)=0,"Spatial Data Missing",VLOOKUP(J12,'G-7 Rivers Data'!$AK$4:$AM$9,3,FALSE)))</f>
        <v/>
      </c>
      <c r="M12" s="79"/>
      <c r="N12" s="172" t="str">
        <f>IF(M12="","",IF(VLOOKUP(M12,'G-7 Rivers Data'!$AA$4:$AB$7,2,FALSE)=0,"Spatial Data Missing",VLOOKUP(M12,'G-7 Rivers Data'!$AA$4:$AB$7,2,FALSE)))</f>
        <v/>
      </c>
      <c r="O12" s="90"/>
      <c r="P12" s="172" t="str">
        <f>IF(O12="","",IF(VLOOKUP(O12,'G-7 Rivers Data'!$AD$4:$AE$8,2,FALSE)=0,"Spatial Data Missing",VLOOKUP(O12,'G-7 Rivers Data'!$AD$4:$AE$8,2,FALSE)))</f>
        <v/>
      </c>
      <c r="Q12" s="177" t="str">
        <f>IF(D12="","",VLOOKUP(D12,'G-7 Rivers Data'!$B$4:$G$8,6,FALSE))</f>
        <v/>
      </c>
      <c r="R12" s="178" t="str">
        <f t="shared" si="0"/>
        <v/>
      </c>
      <c r="S12" s="44"/>
      <c r="T12" s="79"/>
      <c r="U12" s="82"/>
      <c r="V12" s="208" t="str">
        <f t="shared" si="1"/>
        <v/>
      </c>
      <c r="W12" s="208" t="str">
        <f t="shared" si="2"/>
        <v/>
      </c>
      <c r="X12" s="208" t="str">
        <f t="shared" si="3"/>
        <v/>
      </c>
      <c r="Y12" s="209" t="str">
        <f t="shared" si="4"/>
        <v/>
      </c>
      <c r="Z12" s="182"/>
      <c r="AA12" s="183"/>
      <c r="AF12" s="35" t="str">
        <f>IFERROR(INDEX('G-7 Rivers Data'!$AZ$3:$AZ$7,MATCH(D12,'G-7 Rivers Data'!$AY$3:$AY$7,0)),"")</f>
        <v/>
      </c>
      <c r="AG12" s="35">
        <f t="shared" si="5"/>
        <v>0</v>
      </c>
      <c r="AH12" s="166" t="str">
        <f t="shared" si="6"/>
        <v/>
      </c>
      <c r="AI12" s="166" t="str">
        <f t="shared" si="7"/>
        <v/>
      </c>
      <c r="AJ12" s="167"/>
      <c r="AK12" s="166">
        <v>3</v>
      </c>
      <c r="AL12" s="167"/>
      <c r="AM12" s="166" t="str">
        <f t="array" ref="AM12">IFERROR(INDEX($AK$10:$AK$258, MATCH(0, IF(TRUE=$AH$10:$AH$258, COUNTIF($AM$9:$AM11, $AK$10:$AK$258), ""), 0)),"")</f>
        <v/>
      </c>
      <c r="AN12" s="166" t="str">
        <f t="array" ref="AN12">IFERROR(INDEX($AK$10:$AK$258, MATCH(0, IF(TRUE=$AI$10:$AI$258, COUNTIF($AN$9:$AN11, $AK$10:$AK$258), ""), 0)),"")</f>
        <v/>
      </c>
    </row>
    <row r="13" spans="2:40" ht="13.8" x14ac:dyDescent="0.25">
      <c r="C13" s="168">
        <v>4</v>
      </c>
      <c r="D13" s="169"/>
      <c r="E13" s="170"/>
      <c r="F13" s="171" t="str">
        <f>IF(D13="","",VLOOKUP(D13,'G-7 Rivers Data'!$B$2:$G$8,2,FALSE))</f>
        <v/>
      </c>
      <c r="G13" s="172" t="str">
        <f>IFERROR(VLOOKUP(F13,'G-7 Rivers Data'!$C$4:$D$8,2,FALSE),"")</f>
        <v/>
      </c>
      <c r="H13" s="173"/>
      <c r="I13" s="172" t="str">
        <f>IFERROR(INDEX('G-7 Rivers Data'!$H$4:$L$8,MATCH(D13,'G-7 Rivers Data'!$B$4:$B$8,0),MATCH(H13,'G-7 Rivers Data'!$H$3:$L$3,0)),"")</f>
        <v/>
      </c>
      <c r="J13" s="174"/>
      <c r="K13" s="175" t="str">
        <f>IF(J13="","",IF(VLOOKUP(J13,'G-7 Rivers Data'!$AK$4:$AM$9,2,FALSE)=0,"Spatial Data Missing",VLOOKUP(J13,'G-7 Rivers Data'!$AK$4:$AM$9,2,FALSE)))</f>
        <v/>
      </c>
      <c r="L13" s="176" t="str">
        <f>IF(J13="","",IF(VLOOKUP(J13,'G-7 Rivers Data'!$AK$4:$AM$9,3,FALSE)=0,"Spatial Data Missing",VLOOKUP(J13,'G-7 Rivers Data'!$AK$4:$AM$9,3,FALSE)))</f>
        <v/>
      </c>
      <c r="M13" s="79"/>
      <c r="N13" s="172" t="str">
        <f>IF(M13="","",IF(VLOOKUP(M13,'G-7 Rivers Data'!$AA$4:$AB$7,2,FALSE)=0,"Spatial Data Missing",VLOOKUP(M13,'G-7 Rivers Data'!$AA$4:$AB$7,2,FALSE)))</f>
        <v/>
      </c>
      <c r="O13" s="90"/>
      <c r="P13" s="172" t="str">
        <f>IF(O13="","",IF(VLOOKUP(O13,'G-7 Rivers Data'!$AD$4:$AE$8,2,FALSE)=0,"Spatial Data Missing",VLOOKUP(O13,'G-7 Rivers Data'!$AD$4:$AE$8,2,FALSE)))</f>
        <v/>
      </c>
      <c r="Q13" s="177" t="str">
        <f>IF(D13="","",VLOOKUP(D13,'G-7 Rivers Data'!$B$4:$G$8,6,FALSE))</f>
        <v/>
      </c>
      <c r="R13" s="178" t="str">
        <f t="shared" si="0"/>
        <v/>
      </c>
      <c r="S13" s="44"/>
      <c r="T13" s="79"/>
      <c r="U13" s="82"/>
      <c r="V13" s="208" t="str">
        <f t="shared" si="1"/>
        <v/>
      </c>
      <c r="W13" s="208" t="str">
        <f t="shared" si="2"/>
        <v/>
      </c>
      <c r="X13" s="208" t="str">
        <f t="shared" si="3"/>
        <v/>
      </c>
      <c r="Y13" s="209" t="str">
        <f t="shared" si="4"/>
        <v/>
      </c>
      <c r="Z13" s="182"/>
      <c r="AA13" s="183"/>
      <c r="AF13" s="35" t="str">
        <f>IFERROR(INDEX('G-7 Rivers Data'!$AZ$3:$AZ$7,MATCH(D13,'G-7 Rivers Data'!$AY$3:$AY$7,0)),"")</f>
        <v/>
      </c>
      <c r="AG13" s="35">
        <f t="shared" si="5"/>
        <v>0</v>
      </c>
      <c r="AH13" s="166" t="str">
        <f t="shared" si="6"/>
        <v/>
      </c>
      <c r="AI13" s="166" t="str">
        <f t="shared" si="7"/>
        <v/>
      </c>
      <c r="AJ13" s="167"/>
      <c r="AK13" s="166">
        <v>4</v>
      </c>
      <c r="AL13" s="167"/>
      <c r="AM13" s="166" t="str">
        <f t="array" ref="AM13">IFERROR(INDEX($AK$10:$AK$258, MATCH(0, IF(TRUE=$AH$10:$AH$258, COUNTIF($AM$9:$AM12, $AK$10:$AK$258), ""), 0)),"")</f>
        <v/>
      </c>
      <c r="AN13" s="166" t="str">
        <f t="array" ref="AN13">IFERROR(INDEX($AK$10:$AK$258, MATCH(0, IF(TRUE=$AI$10:$AI$258, COUNTIF($AN$9:$AN12, $AK$10:$AK$258), ""), 0)),"")</f>
        <v/>
      </c>
    </row>
    <row r="14" spans="2:40" ht="13.8" x14ac:dyDescent="0.25">
      <c r="C14" s="168">
        <v>5</v>
      </c>
      <c r="D14" s="184"/>
      <c r="E14" s="185"/>
      <c r="F14" s="171" t="str">
        <f>IF(D14="","",VLOOKUP(D14,'G-7 Rivers Data'!$B$2:$G$8,2,FALSE))</f>
        <v/>
      </c>
      <c r="G14" s="172" t="str">
        <f>IFERROR(VLOOKUP(F14,'G-7 Rivers Data'!$C$4:$D$8,2,FALSE),"")</f>
        <v/>
      </c>
      <c r="H14" s="173"/>
      <c r="I14" s="172" t="str">
        <f>IFERROR(INDEX('G-7 Rivers Data'!$H$4:$L$8,MATCH(D14,'G-7 Rivers Data'!$B$4:$B$8,0),MATCH(H14,'G-7 Rivers Data'!$H$3:$L$3,0)),"")</f>
        <v/>
      </c>
      <c r="J14" s="174"/>
      <c r="K14" s="175" t="str">
        <f>IF(J14="","",IF(VLOOKUP(J14,'G-7 Rivers Data'!$AK$4:$AM$9,2,FALSE)=0,"Spatial Data Missing",VLOOKUP(J14,'G-7 Rivers Data'!$AK$4:$AM$9,2,FALSE)))</f>
        <v/>
      </c>
      <c r="L14" s="176" t="str">
        <f>IF(J14="","",IF(VLOOKUP(J14,'G-7 Rivers Data'!$AK$4:$AM$9,3,FALSE)=0,"Spatial Data Missing",VLOOKUP(J14,'G-7 Rivers Data'!$AK$4:$AM$9,3,FALSE)))</f>
        <v/>
      </c>
      <c r="M14" s="79"/>
      <c r="N14" s="172" t="str">
        <f>IF(M14="","",IF(VLOOKUP(M14,'G-7 Rivers Data'!$AA$4:$AB$7,2,FALSE)=0,"Spatial Data Missing",VLOOKUP(M14,'G-7 Rivers Data'!$AA$4:$AB$7,2,FALSE)))</f>
        <v/>
      </c>
      <c r="O14" s="90"/>
      <c r="P14" s="172" t="str">
        <f>IF(O14="","",IF(VLOOKUP(O14,'G-7 Rivers Data'!$AD$4:$AE$8,2,FALSE)=0,"Spatial Data Missing",VLOOKUP(O14,'G-7 Rivers Data'!$AD$4:$AE$8,2,FALSE)))</f>
        <v/>
      </c>
      <c r="Q14" s="177" t="str">
        <f>IF(D14="","",VLOOKUP(D14,'G-7 Rivers Data'!$B$4:$G$8,6,FALSE))</f>
        <v/>
      </c>
      <c r="R14" s="178" t="str">
        <f t="shared" si="0"/>
        <v/>
      </c>
      <c r="S14" s="44"/>
      <c r="T14" s="79"/>
      <c r="U14" s="82"/>
      <c r="V14" s="208" t="str">
        <f t="shared" si="1"/>
        <v/>
      </c>
      <c r="W14" s="208" t="str">
        <f t="shared" si="2"/>
        <v/>
      </c>
      <c r="X14" s="208" t="str">
        <f t="shared" si="3"/>
        <v/>
      </c>
      <c r="Y14" s="209" t="str">
        <f t="shared" si="4"/>
        <v/>
      </c>
      <c r="Z14" s="182"/>
      <c r="AA14" s="183"/>
      <c r="AF14" s="35" t="str">
        <f>IFERROR(INDEX('G-7 Rivers Data'!$AZ$3:$AZ$7,MATCH(D14,'G-7 Rivers Data'!$AY$3:$AY$7,0)),"")</f>
        <v/>
      </c>
      <c r="AG14" s="35">
        <f t="shared" si="5"/>
        <v>0</v>
      </c>
      <c r="AH14" s="166" t="str">
        <f t="shared" si="6"/>
        <v/>
      </c>
      <c r="AI14" s="166" t="str">
        <f t="shared" si="7"/>
        <v/>
      </c>
      <c r="AJ14" s="167"/>
      <c r="AK14" s="166">
        <v>5</v>
      </c>
      <c r="AL14" s="167"/>
      <c r="AM14" s="166" t="str">
        <f t="array" ref="AM14">IFERROR(INDEX($AK$10:$AK$258, MATCH(0, IF(TRUE=$AH$10:$AH$258, COUNTIF($AM$9:$AM13, $AK$10:$AK$258), ""), 0)),"")</f>
        <v/>
      </c>
      <c r="AN14" s="166" t="str">
        <f t="array" ref="AN14">IFERROR(INDEX($AK$10:$AK$258, MATCH(0, IF(TRUE=$AI$10:$AI$258, COUNTIF($AN$9:$AN13, $AK$10:$AK$258), ""), 0)),"")</f>
        <v/>
      </c>
    </row>
    <row r="15" spans="2:40" ht="13.8" x14ac:dyDescent="0.25">
      <c r="C15" s="168">
        <v>6</v>
      </c>
      <c r="D15" s="184"/>
      <c r="E15" s="185"/>
      <c r="F15" s="171" t="str">
        <f>IF(D15="","",VLOOKUP(D15,'G-7 Rivers Data'!$B$2:$G$8,2,FALSE))</f>
        <v/>
      </c>
      <c r="G15" s="172" t="str">
        <f>IFERROR(VLOOKUP(F15,'G-7 Rivers Data'!$C$4:$D$8,2,FALSE),"")</f>
        <v/>
      </c>
      <c r="H15" s="173"/>
      <c r="I15" s="172" t="str">
        <f>IFERROR(INDEX('G-7 Rivers Data'!$H$4:$L$8,MATCH(D15,'G-7 Rivers Data'!$B$4:$B$8,0),MATCH(H15,'G-7 Rivers Data'!$H$3:$L$3,0)),"")</f>
        <v/>
      </c>
      <c r="J15" s="186"/>
      <c r="K15" s="175" t="str">
        <f>IF(J15="","",IF(VLOOKUP(J15,'G-7 Rivers Data'!$AK$4:$AM$9,2,FALSE)=0,"Spatial Data Missing",VLOOKUP(J15,'G-7 Rivers Data'!$AK$4:$AM$9,2,FALSE)))</f>
        <v/>
      </c>
      <c r="L15" s="176" t="str">
        <f>IF(J15="","",IF(VLOOKUP(J15,'G-7 Rivers Data'!$AK$4:$AM$9,3,FALSE)=0,"Spatial Data Missing",VLOOKUP(J15,'G-7 Rivers Data'!$AK$4:$AM$9,3,FALSE)))</f>
        <v/>
      </c>
      <c r="M15" s="79"/>
      <c r="N15" s="172" t="str">
        <f>IF(M15="","",IF(VLOOKUP(M15,'G-7 Rivers Data'!$AA$4:$AB$7,2,FALSE)=0,"Spatial Data Missing",VLOOKUP(M15,'G-7 Rivers Data'!$AA$4:$AB$7,2,FALSE)))</f>
        <v/>
      </c>
      <c r="O15" s="187"/>
      <c r="P15" s="172" t="str">
        <f>IF(O15="","",IF(VLOOKUP(O15,'G-7 Rivers Data'!$AD$4:$AE$8,2,FALSE)=0,"Spatial Data Missing",VLOOKUP(O15,'G-7 Rivers Data'!$AD$4:$AE$8,2,FALSE)))</f>
        <v/>
      </c>
      <c r="Q15" s="177" t="str">
        <f>IF(D15="","",VLOOKUP(D15,'G-7 Rivers Data'!$B$4:$G$8,6,FALSE))</f>
        <v/>
      </c>
      <c r="R15" s="178" t="str">
        <f t="shared" si="0"/>
        <v/>
      </c>
      <c r="S15" s="44"/>
      <c r="T15" s="79"/>
      <c r="U15" s="82"/>
      <c r="V15" s="208" t="str">
        <f t="shared" si="1"/>
        <v/>
      </c>
      <c r="W15" s="208" t="str">
        <f t="shared" si="2"/>
        <v/>
      </c>
      <c r="X15" s="208" t="str">
        <f t="shared" si="3"/>
        <v/>
      </c>
      <c r="Y15" s="209" t="str">
        <f t="shared" si="4"/>
        <v/>
      </c>
      <c r="Z15" s="182"/>
      <c r="AA15" s="183"/>
      <c r="AF15" s="35" t="str">
        <f>IFERROR(INDEX('G-7 Rivers Data'!$AZ$3:$AZ$7,MATCH(D15,'G-7 Rivers Data'!$AY$3:$AY$7,0)),"")</f>
        <v/>
      </c>
      <c r="AG15" s="35">
        <f t="shared" si="5"/>
        <v>0</v>
      </c>
      <c r="AH15" s="166" t="str">
        <f t="shared" si="6"/>
        <v/>
      </c>
      <c r="AI15" s="166" t="str">
        <f t="shared" si="7"/>
        <v/>
      </c>
      <c r="AJ15" s="167"/>
      <c r="AK15" s="166">
        <v>6</v>
      </c>
      <c r="AL15" s="167"/>
      <c r="AM15" s="166" t="str">
        <f t="array" ref="AM15">IFERROR(INDEX($AK$10:$AK$258, MATCH(0, IF(TRUE=$AH$10:$AH$258, COUNTIF($AM$9:$AM14, $AK$10:$AK$258), ""), 0)),"")</f>
        <v/>
      </c>
      <c r="AN15" s="166" t="str">
        <f t="array" ref="AN15">IFERROR(INDEX($AK$10:$AK$258, MATCH(0, IF(TRUE=$AI$10:$AI$258, COUNTIF($AN$9:$AN14, $AK$10:$AK$258), ""), 0)),"")</f>
        <v/>
      </c>
    </row>
    <row r="16" spans="2:40" ht="13.8" x14ac:dyDescent="0.25">
      <c r="C16" s="168">
        <v>7</v>
      </c>
      <c r="D16" s="184"/>
      <c r="E16" s="185"/>
      <c r="F16" s="171" t="str">
        <f>IF(D16="","",VLOOKUP(D16,'G-7 Rivers Data'!$B$2:$G$8,2,FALSE))</f>
        <v/>
      </c>
      <c r="G16" s="172" t="str">
        <f>IFERROR(VLOOKUP(F16,'G-7 Rivers Data'!$C$4:$D$8,2,FALSE),"")</f>
        <v/>
      </c>
      <c r="H16" s="173"/>
      <c r="I16" s="172" t="str">
        <f>IFERROR(INDEX('G-7 Rivers Data'!$H$4:$L$8,MATCH(D16,'G-7 Rivers Data'!$B$4:$B$8,0),MATCH(H16,'G-7 Rivers Data'!$H$3:$L$3,0)),"")</f>
        <v/>
      </c>
      <c r="J16" s="186"/>
      <c r="K16" s="175" t="str">
        <f>IF(J16="","",IF(VLOOKUP(J16,'G-7 Rivers Data'!$AK$4:$AM$9,2,FALSE)=0,"Spatial Data Missing",VLOOKUP(J16,'G-7 Rivers Data'!$AK$4:$AM$9,2,FALSE)))</f>
        <v/>
      </c>
      <c r="L16" s="176" t="str">
        <f>IF(J16="","",IF(VLOOKUP(J16,'G-7 Rivers Data'!$AK$4:$AM$9,3,FALSE)=0,"Spatial Data Missing",VLOOKUP(J16,'G-7 Rivers Data'!$AK$4:$AM$9,3,FALSE)))</f>
        <v/>
      </c>
      <c r="M16" s="79"/>
      <c r="N16" s="172" t="str">
        <f>IF(M16="","",IF(VLOOKUP(M16,'G-7 Rivers Data'!$AA$4:$AB$7,2,FALSE)=0,"Spatial Data Missing",VLOOKUP(M16,'G-7 Rivers Data'!$AA$4:$AB$7,2,FALSE)))</f>
        <v/>
      </c>
      <c r="O16" s="187"/>
      <c r="P16" s="172" t="str">
        <f>IF(O16="","",IF(VLOOKUP(O16,'G-7 Rivers Data'!$AD$4:$AE$8,2,FALSE)=0,"Spatial Data Missing",VLOOKUP(O16,'G-7 Rivers Data'!$AD$4:$AE$8,2,FALSE)))</f>
        <v/>
      </c>
      <c r="Q16" s="177" t="str">
        <f>IF(D16="","",VLOOKUP(D16,'G-7 Rivers Data'!$B$4:$G$8,6,FALSE))</f>
        <v/>
      </c>
      <c r="R16" s="178" t="str">
        <f t="shared" si="0"/>
        <v/>
      </c>
      <c r="S16" s="44"/>
      <c r="T16" s="79"/>
      <c r="U16" s="82"/>
      <c r="V16" s="208" t="str">
        <f t="shared" si="1"/>
        <v/>
      </c>
      <c r="W16" s="208" t="str">
        <f t="shared" si="2"/>
        <v/>
      </c>
      <c r="X16" s="208" t="str">
        <f t="shared" si="3"/>
        <v/>
      </c>
      <c r="Y16" s="209" t="str">
        <f t="shared" si="4"/>
        <v/>
      </c>
      <c r="Z16" s="182"/>
      <c r="AA16" s="183"/>
      <c r="AF16" s="35" t="str">
        <f>IFERROR(INDEX('G-7 Rivers Data'!$AZ$3:$AZ$7,MATCH(D16,'G-7 Rivers Data'!$AY$3:$AY$7,0)),"")</f>
        <v/>
      </c>
      <c r="AG16" s="35">
        <f t="shared" si="5"/>
        <v>0</v>
      </c>
      <c r="AH16" s="166" t="str">
        <f t="shared" si="6"/>
        <v/>
      </c>
      <c r="AI16" s="166" t="str">
        <f t="shared" si="7"/>
        <v/>
      </c>
      <c r="AJ16" s="167"/>
      <c r="AK16" s="166">
        <v>7</v>
      </c>
      <c r="AL16" s="167"/>
      <c r="AM16" s="166" t="str">
        <f t="array" ref="AM16">IFERROR(INDEX($AK$10:$AK$258, MATCH(0, IF(TRUE=$AH$10:$AH$258, COUNTIF($AM$9:$AM15, $AK$10:$AK$258), ""), 0)),"")</f>
        <v/>
      </c>
      <c r="AN16" s="166" t="str">
        <f t="array" ref="AN16">IFERROR(INDEX($AK$10:$AK$258, MATCH(0, IF(TRUE=$AI$10:$AI$258, COUNTIF($AN$9:$AN15, $AK$10:$AK$258), ""), 0)),"")</f>
        <v/>
      </c>
    </row>
    <row r="17" spans="3:40" ht="13.8" x14ac:dyDescent="0.25">
      <c r="C17" s="168">
        <v>8</v>
      </c>
      <c r="D17" s="184"/>
      <c r="E17" s="185"/>
      <c r="F17" s="171" t="str">
        <f>IF(D17="","",VLOOKUP(D17,'G-7 Rivers Data'!$B$2:$G$8,2,FALSE))</f>
        <v/>
      </c>
      <c r="G17" s="172" t="str">
        <f>IFERROR(VLOOKUP(F17,'G-7 Rivers Data'!$C$4:$D$8,2,FALSE),"")</f>
        <v/>
      </c>
      <c r="H17" s="173"/>
      <c r="I17" s="172" t="str">
        <f>IFERROR(INDEX('G-7 Rivers Data'!$H$4:$L$8,MATCH(D17,'G-7 Rivers Data'!$B$4:$B$8,0),MATCH(H17,'G-7 Rivers Data'!$H$3:$L$3,0)),"")</f>
        <v/>
      </c>
      <c r="J17" s="186"/>
      <c r="K17" s="175" t="str">
        <f>IF(J17="","",IF(VLOOKUP(J17,'G-7 Rivers Data'!$AK$4:$AM$9,2,FALSE)=0,"Spatial Data Missing",VLOOKUP(J17,'G-7 Rivers Data'!$AK$4:$AM$9,2,FALSE)))</f>
        <v/>
      </c>
      <c r="L17" s="176" t="str">
        <f>IF(J17="","",IF(VLOOKUP(J17,'G-7 Rivers Data'!$AK$4:$AM$9,3,FALSE)=0,"Spatial Data Missing",VLOOKUP(J17,'G-7 Rivers Data'!$AK$4:$AM$9,3,FALSE)))</f>
        <v/>
      </c>
      <c r="M17" s="79"/>
      <c r="N17" s="172" t="str">
        <f>IF(M17="","",IF(VLOOKUP(M17,'G-7 Rivers Data'!$AA$4:$AB$7,2,FALSE)=0,"Spatial Data Missing",VLOOKUP(M17,'G-7 Rivers Data'!$AA$4:$AB$7,2,FALSE)))</f>
        <v/>
      </c>
      <c r="O17" s="187"/>
      <c r="P17" s="172" t="str">
        <f>IF(O17="","",IF(VLOOKUP(O17,'G-7 Rivers Data'!$AD$4:$AE$8,2,FALSE)=0,"Spatial Data Missing",VLOOKUP(O17,'G-7 Rivers Data'!$AD$4:$AE$8,2,FALSE)))</f>
        <v/>
      </c>
      <c r="Q17" s="177" t="str">
        <f>IF(D17="","",VLOOKUP(D17,'G-7 Rivers Data'!$B$4:$G$8,6,FALSE))</f>
        <v/>
      </c>
      <c r="R17" s="178" t="str">
        <f t="shared" si="0"/>
        <v/>
      </c>
      <c r="S17" s="44"/>
      <c r="T17" s="79"/>
      <c r="U17" s="82"/>
      <c r="V17" s="208" t="str">
        <f t="shared" si="1"/>
        <v/>
      </c>
      <c r="W17" s="208" t="str">
        <f t="shared" si="2"/>
        <v/>
      </c>
      <c r="X17" s="208" t="str">
        <f t="shared" si="3"/>
        <v/>
      </c>
      <c r="Y17" s="209" t="str">
        <f t="shared" si="4"/>
        <v/>
      </c>
      <c r="Z17" s="182"/>
      <c r="AA17" s="183"/>
      <c r="AF17" s="35" t="str">
        <f>IFERROR(INDEX('G-7 Rivers Data'!$AZ$3:$AZ$7,MATCH(D17,'G-7 Rivers Data'!$AY$3:$AY$7,0)),"")</f>
        <v/>
      </c>
      <c r="AG17" s="35">
        <f t="shared" si="5"/>
        <v>0</v>
      </c>
      <c r="AH17" s="166" t="str">
        <f t="shared" si="6"/>
        <v/>
      </c>
      <c r="AI17" s="166" t="str">
        <f t="shared" si="7"/>
        <v/>
      </c>
      <c r="AJ17" s="167"/>
      <c r="AK17" s="166">
        <v>8</v>
      </c>
      <c r="AL17" s="167"/>
      <c r="AM17" s="166" t="str">
        <f t="array" ref="AM17">IFERROR(INDEX($AK$10:$AK$258, MATCH(0, IF(TRUE=$AH$10:$AH$258, COUNTIF($AM$9:$AM16, $AK$10:$AK$258), ""), 0)),"")</f>
        <v/>
      </c>
      <c r="AN17" s="166" t="str">
        <f t="array" ref="AN17">IFERROR(INDEX($AK$10:$AK$258, MATCH(0, IF(TRUE=$AI$10:$AI$258, COUNTIF($AN$9:$AN16, $AK$10:$AK$258), ""), 0)),"")</f>
        <v/>
      </c>
    </row>
    <row r="18" spans="3:40" ht="13.8" x14ac:dyDescent="0.25">
      <c r="C18" s="168">
        <v>9</v>
      </c>
      <c r="D18" s="184"/>
      <c r="E18" s="185"/>
      <c r="F18" s="171" t="str">
        <f>IF(D18="","",VLOOKUP(D18,'G-7 Rivers Data'!$B$2:$G$8,2,FALSE))</f>
        <v/>
      </c>
      <c r="G18" s="172" t="str">
        <f>IFERROR(VLOOKUP(F18,'G-7 Rivers Data'!$C$4:$D$8,2,FALSE),"")</f>
        <v/>
      </c>
      <c r="H18" s="173"/>
      <c r="I18" s="172" t="str">
        <f>IFERROR(INDEX('G-7 Rivers Data'!$H$4:$L$8,MATCH(D18,'G-7 Rivers Data'!$B$4:$B$8,0),MATCH(H18,'G-7 Rivers Data'!$H$3:$L$3,0)),"")</f>
        <v/>
      </c>
      <c r="J18" s="186"/>
      <c r="K18" s="175" t="str">
        <f>IF(J18="","",IF(VLOOKUP(J18,'G-7 Rivers Data'!$AK$4:$AM$9,2,FALSE)=0,"Spatial Data Missing",VLOOKUP(J18,'G-7 Rivers Data'!$AK$4:$AM$9,2,FALSE)))</f>
        <v/>
      </c>
      <c r="L18" s="176" t="str">
        <f>IF(J18="","",IF(VLOOKUP(J18,'G-7 Rivers Data'!$AK$4:$AM$9,3,FALSE)=0,"Spatial Data Missing",VLOOKUP(J18,'G-7 Rivers Data'!$AK$4:$AM$9,3,FALSE)))</f>
        <v/>
      </c>
      <c r="M18" s="79"/>
      <c r="N18" s="172" t="str">
        <f>IF(M18="","",IF(VLOOKUP(M18,'G-7 Rivers Data'!$AA$4:$AB$7,2,FALSE)=0,"Spatial Data Missing",VLOOKUP(M18,'G-7 Rivers Data'!$AA$4:$AB$7,2,FALSE)))</f>
        <v/>
      </c>
      <c r="O18" s="187"/>
      <c r="P18" s="172" t="str">
        <f>IF(O18="","",IF(VLOOKUP(O18,'G-7 Rivers Data'!$AD$4:$AE$8,2,FALSE)=0,"Spatial Data Missing",VLOOKUP(O18,'G-7 Rivers Data'!$AD$4:$AE$8,2,FALSE)))</f>
        <v/>
      </c>
      <c r="Q18" s="177" t="str">
        <f>IF(D18="","",VLOOKUP(D18,'G-7 Rivers Data'!$B$4:$G$8,6,FALSE))</f>
        <v/>
      </c>
      <c r="R18" s="178" t="str">
        <f t="shared" si="0"/>
        <v/>
      </c>
      <c r="S18" s="44"/>
      <c r="T18" s="79"/>
      <c r="U18" s="82"/>
      <c r="V18" s="208" t="str">
        <f t="shared" si="1"/>
        <v/>
      </c>
      <c r="W18" s="208" t="str">
        <f t="shared" si="2"/>
        <v/>
      </c>
      <c r="X18" s="208" t="str">
        <f t="shared" si="3"/>
        <v/>
      </c>
      <c r="Y18" s="209" t="str">
        <f t="shared" si="4"/>
        <v/>
      </c>
      <c r="Z18" s="182"/>
      <c r="AA18" s="183"/>
      <c r="AF18" s="35" t="str">
        <f>IFERROR(INDEX('G-7 Rivers Data'!$AZ$3:$AZ$7,MATCH(D18,'G-7 Rivers Data'!$AY$3:$AY$7,0)),"")</f>
        <v/>
      </c>
      <c r="AG18" s="35">
        <f t="shared" si="5"/>
        <v>0</v>
      </c>
      <c r="AH18" s="166" t="str">
        <f t="shared" si="6"/>
        <v/>
      </c>
      <c r="AI18" s="166" t="str">
        <f t="shared" si="7"/>
        <v/>
      </c>
      <c r="AJ18" s="167"/>
      <c r="AK18" s="166">
        <v>9</v>
      </c>
      <c r="AL18" s="167"/>
      <c r="AM18" s="166" t="str">
        <f t="array" ref="AM18">IFERROR(INDEX($AK$10:$AK$258, MATCH(0, IF(TRUE=$AH$10:$AH$258, COUNTIF($AM$9:$AM17, $AK$10:$AK$258), ""), 0)),"")</f>
        <v/>
      </c>
      <c r="AN18" s="166" t="str">
        <f t="array" ref="AN18">IFERROR(INDEX($AK$10:$AK$258, MATCH(0, IF(TRUE=$AI$10:$AI$258, COUNTIF($AN$9:$AN17, $AK$10:$AK$258), ""), 0)),"")</f>
        <v/>
      </c>
    </row>
    <row r="19" spans="3:40" ht="13.8" x14ac:dyDescent="0.25">
      <c r="C19" s="168">
        <v>10</v>
      </c>
      <c r="D19" s="184"/>
      <c r="E19" s="185"/>
      <c r="F19" s="171" t="str">
        <f>IF(D19="","",VLOOKUP(D19,'G-7 Rivers Data'!$B$2:$G$8,2,FALSE))</f>
        <v/>
      </c>
      <c r="G19" s="172" t="str">
        <f>IFERROR(VLOOKUP(F19,'G-7 Rivers Data'!$C$4:$D$8,2,FALSE),"")</f>
        <v/>
      </c>
      <c r="H19" s="173"/>
      <c r="I19" s="172" t="str">
        <f>IFERROR(INDEX('G-7 Rivers Data'!$H$4:$L$8,MATCH(D19,'G-7 Rivers Data'!$B$4:$B$8,0),MATCH(H19,'G-7 Rivers Data'!$H$3:$L$3,0)),"")</f>
        <v/>
      </c>
      <c r="J19" s="186"/>
      <c r="K19" s="175" t="str">
        <f>IF(J19="","",IF(VLOOKUP(J19,'G-7 Rivers Data'!$AK$4:$AM$9,2,FALSE)=0,"Spatial Data Missing",VLOOKUP(J19,'G-7 Rivers Data'!$AK$4:$AM$9,2,FALSE)))</f>
        <v/>
      </c>
      <c r="L19" s="176" t="str">
        <f>IF(J19="","",IF(VLOOKUP(J19,'G-7 Rivers Data'!$AK$4:$AM$9,3,FALSE)=0,"Spatial Data Missing",VLOOKUP(J19,'G-7 Rivers Data'!$AK$4:$AM$9,3,FALSE)))</f>
        <v/>
      </c>
      <c r="M19" s="79"/>
      <c r="N19" s="172" t="str">
        <f>IF(M19="","",IF(VLOOKUP(M19,'G-7 Rivers Data'!$AA$4:$AB$7,2,FALSE)=0,"Spatial Data Missing",VLOOKUP(M19,'G-7 Rivers Data'!$AA$4:$AB$7,2,FALSE)))</f>
        <v/>
      </c>
      <c r="O19" s="187"/>
      <c r="P19" s="172" t="str">
        <f>IF(O19="","",IF(VLOOKUP(O19,'G-7 Rivers Data'!$AD$4:$AE$8,2,FALSE)=0,"Spatial Data Missing",VLOOKUP(O19,'G-7 Rivers Data'!$AD$4:$AE$8,2,FALSE)))</f>
        <v/>
      </c>
      <c r="Q19" s="177" t="str">
        <f>IF(D19="","",VLOOKUP(D19,'G-7 Rivers Data'!$B$4:$G$8,6,FALSE))</f>
        <v/>
      </c>
      <c r="R19" s="178" t="str">
        <f t="shared" si="0"/>
        <v/>
      </c>
      <c r="S19" s="44"/>
      <c r="T19" s="79"/>
      <c r="U19" s="82"/>
      <c r="V19" s="208" t="str">
        <f t="shared" si="1"/>
        <v/>
      </c>
      <c r="W19" s="208" t="str">
        <f t="shared" si="2"/>
        <v/>
      </c>
      <c r="X19" s="208" t="str">
        <f t="shared" si="3"/>
        <v/>
      </c>
      <c r="Y19" s="209" t="str">
        <f t="shared" si="4"/>
        <v/>
      </c>
      <c r="Z19" s="182"/>
      <c r="AA19" s="183"/>
      <c r="AF19" s="35" t="str">
        <f>IFERROR(INDEX('G-7 Rivers Data'!$AZ$3:$AZ$7,MATCH(D19,'G-7 Rivers Data'!$AY$3:$AY$7,0)),"")</f>
        <v/>
      </c>
      <c r="AG19" s="35">
        <f t="shared" si="5"/>
        <v>0</v>
      </c>
      <c r="AH19" s="166" t="str">
        <f t="shared" si="6"/>
        <v/>
      </c>
      <c r="AI19" s="166" t="str">
        <f t="shared" si="7"/>
        <v/>
      </c>
      <c r="AJ19" s="167"/>
      <c r="AK19" s="166">
        <v>10</v>
      </c>
      <c r="AL19" s="167"/>
      <c r="AM19" s="166" t="str">
        <f t="array" ref="AM19">IFERROR(INDEX($AK$10:$AK$258, MATCH(0, IF(TRUE=$AH$10:$AH$258, COUNTIF($AM$9:$AM18, $AK$10:$AK$258), ""), 0)),"")</f>
        <v/>
      </c>
      <c r="AN19" s="166" t="str">
        <f t="array" ref="AN19">IFERROR(INDEX($AK$10:$AK$258, MATCH(0, IF(TRUE=$AI$10:$AI$258, COUNTIF($AN$9:$AN18, $AK$10:$AK$258), ""), 0)),"")</f>
        <v/>
      </c>
    </row>
    <row r="20" spans="3:40" ht="13.8" x14ac:dyDescent="0.25">
      <c r="C20" s="168">
        <v>11</v>
      </c>
      <c r="D20" s="184"/>
      <c r="E20" s="185"/>
      <c r="F20" s="171" t="str">
        <f>IF(D20="","",VLOOKUP(D20,'G-7 Rivers Data'!$B$2:$G$8,2,FALSE))</f>
        <v/>
      </c>
      <c r="G20" s="172" t="str">
        <f>IFERROR(VLOOKUP(F20,'G-7 Rivers Data'!$C$4:$D$8,2,FALSE),"")</f>
        <v/>
      </c>
      <c r="H20" s="173"/>
      <c r="I20" s="172" t="str">
        <f>IFERROR(INDEX('G-7 Rivers Data'!$H$4:$L$8,MATCH(D20,'G-7 Rivers Data'!$B$4:$B$8,0),MATCH(H20,'G-7 Rivers Data'!$H$3:$L$3,0)),"")</f>
        <v/>
      </c>
      <c r="J20" s="186"/>
      <c r="K20" s="175" t="str">
        <f>IF(J20="","",IF(VLOOKUP(J20,'G-7 Rivers Data'!$AK$4:$AM$9,2,FALSE)=0,"Spatial Data Missing",VLOOKUP(J20,'G-7 Rivers Data'!$AK$4:$AM$9,2,FALSE)))</f>
        <v/>
      </c>
      <c r="L20" s="176" t="str">
        <f>IF(J20="","",IF(VLOOKUP(J20,'G-7 Rivers Data'!$AK$4:$AM$9,3,FALSE)=0,"Spatial Data Missing",VLOOKUP(J20,'G-7 Rivers Data'!$AK$4:$AM$9,3,FALSE)))</f>
        <v/>
      </c>
      <c r="M20" s="79"/>
      <c r="N20" s="172" t="str">
        <f>IF(M20="","",IF(VLOOKUP(M20,'G-7 Rivers Data'!$AA$4:$AB$7,2,FALSE)=0,"Spatial Data Missing",VLOOKUP(M20,'G-7 Rivers Data'!$AA$4:$AB$7,2,FALSE)))</f>
        <v/>
      </c>
      <c r="O20" s="187"/>
      <c r="P20" s="172" t="str">
        <f>IF(O20="","",IF(VLOOKUP(O20,'G-7 Rivers Data'!$AD$4:$AE$8,2,FALSE)=0,"Spatial Data Missing",VLOOKUP(O20,'G-7 Rivers Data'!$AD$4:$AE$8,2,FALSE)))</f>
        <v/>
      </c>
      <c r="Q20" s="177" t="str">
        <f>IF(D20="","",VLOOKUP(D20,'G-7 Rivers Data'!$B$4:$G$8,6,FALSE))</f>
        <v/>
      </c>
      <c r="R20" s="178" t="str">
        <f t="shared" si="0"/>
        <v/>
      </c>
      <c r="S20" s="44"/>
      <c r="T20" s="79"/>
      <c r="U20" s="82"/>
      <c r="V20" s="208" t="str">
        <f t="shared" si="1"/>
        <v/>
      </c>
      <c r="W20" s="208" t="str">
        <f t="shared" si="2"/>
        <v/>
      </c>
      <c r="X20" s="208" t="str">
        <f t="shared" si="3"/>
        <v/>
      </c>
      <c r="Y20" s="209" t="str">
        <f t="shared" si="4"/>
        <v/>
      </c>
      <c r="Z20" s="182"/>
      <c r="AA20" s="183"/>
      <c r="AF20" s="35" t="str">
        <f>IFERROR(INDEX('G-7 Rivers Data'!$AZ$3:$AZ$7,MATCH(D20,'G-7 Rivers Data'!$AY$3:$AY$7,0)),"")</f>
        <v/>
      </c>
      <c r="AG20" s="35">
        <f t="shared" si="5"/>
        <v>0</v>
      </c>
      <c r="AH20" s="166" t="str">
        <f t="shared" si="6"/>
        <v/>
      </c>
      <c r="AI20" s="166" t="str">
        <f t="shared" si="7"/>
        <v/>
      </c>
      <c r="AJ20" s="167"/>
      <c r="AK20" s="166">
        <v>11</v>
      </c>
      <c r="AL20" s="167"/>
      <c r="AM20" s="166" t="str">
        <f t="array" ref="AM20">IFERROR(INDEX($AK$10:$AK$258, MATCH(0, IF(TRUE=$AH$10:$AH$258, COUNTIF($AM$9:$AM19, $AK$10:$AK$258), ""), 0)),"")</f>
        <v/>
      </c>
      <c r="AN20" s="166" t="str">
        <f t="array" ref="AN20">IFERROR(INDEX($AK$10:$AK$258, MATCH(0, IF(TRUE=$AI$10:$AI$258, COUNTIF($AN$9:$AN19, $AK$10:$AK$258), ""), 0)),"")</f>
        <v/>
      </c>
    </row>
    <row r="21" spans="3:40" ht="13.8" x14ac:dyDescent="0.25">
      <c r="C21" s="168">
        <v>12</v>
      </c>
      <c r="D21" s="184"/>
      <c r="E21" s="185"/>
      <c r="F21" s="171" t="str">
        <f>IF(D21="","",VLOOKUP(D21,'G-7 Rivers Data'!$B$2:$G$8,2,FALSE))</f>
        <v/>
      </c>
      <c r="G21" s="172" t="str">
        <f>IFERROR(VLOOKUP(F21,'G-7 Rivers Data'!$C$4:$D$8,2,FALSE),"")</f>
        <v/>
      </c>
      <c r="H21" s="173"/>
      <c r="I21" s="172" t="str">
        <f>IFERROR(INDEX('G-7 Rivers Data'!$H$4:$L$8,MATCH(D21,'G-7 Rivers Data'!$B$4:$B$8,0),MATCH(H21,'G-7 Rivers Data'!$H$3:$L$3,0)),"")</f>
        <v/>
      </c>
      <c r="J21" s="186"/>
      <c r="K21" s="175" t="str">
        <f>IF(J21="","",IF(VLOOKUP(J21,'G-7 Rivers Data'!$AK$4:$AM$9,2,FALSE)=0,"Spatial Data Missing",VLOOKUP(J21,'G-7 Rivers Data'!$AK$4:$AM$9,2,FALSE)))</f>
        <v/>
      </c>
      <c r="L21" s="176" t="str">
        <f>IF(J21="","",IF(VLOOKUP(J21,'G-7 Rivers Data'!$AK$4:$AM$9,3,FALSE)=0,"Spatial Data Missing",VLOOKUP(J21,'G-7 Rivers Data'!$AK$4:$AM$9,3,FALSE)))</f>
        <v/>
      </c>
      <c r="M21" s="79"/>
      <c r="N21" s="172" t="str">
        <f>IF(M21="","",IF(VLOOKUP(M21,'G-7 Rivers Data'!$AA$4:$AB$7,2,FALSE)=0,"Spatial Data Missing",VLOOKUP(M21,'G-7 Rivers Data'!$AA$4:$AB$7,2,FALSE)))</f>
        <v/>
      </c>
      <c r="O21" s="187"/>
      <c r="P21" s="172" t="str">
        <f>IF(O21="","",IF(VLOOKUP(O21,'G-7 Rivers Data'!$AD$4:$AE$8,2,FALSE)=0,"Spatial Data Missing",VLOOKUP(O21,'G-7 Rivers Data'!$AD$4:$AE$8,2,FALSE)))</f>
        <v/>
      </c>
      <c r="Q21" s="177" t="str">
        <f>IF(D21="","",VLOOKUP(D21,'G-7 Rivers Data'!$B$4:$G$8,6,FALSE))</f>
        <v/>
      </c>
      <c r="R21" s="178" t="str">
        <f t="shared" si="0"/>
        <v/>
      </c>
      <c r="S21" s="44"/>
      <c r="T21" s="79"/>
      <c r="U21" s="82"/>
      <c r="V21" s="208" t="str">
        <f t="shared" si="1"/>
        <v/>
      </c>
      <c r="W21" s="208" t="str">
        <f t="shared" si="2"/>
        <v/>
      </c>
      <c r="X21" s="208" t="str">
        <f t="shared" si="3"/>
        <v/>
      </c>
      <c r="Y21" s="209" t="str">
        <f t="shared" si="4"/>
        <v/>
      </c>
      <c r="Z21" s="182"/>
      <c r="AA21" s="183"/>
      <c r="AF21" s="35" t="str">
        <f>IFERROR(INDEX('G-7 Rivers Data'!$AZ$3:$AZ$7,MATCH(D21,'G-7 Rivers Data'!$AY$3:$AY$7,0)),"")</f>
        <v/>
      </c>
      <c r="AG21" s="35">
        <f t="shared" si="5"/>
        <v>0</v>
      </c>
      <c r="AH21" s="166" t="str">
        <f t="shared" si="6"/>
        <v/>
      </c>
      <c r="AI21" s="166" t="str">
        <f t="shared" si="7"/>
        <v/>
      </c>
      <c r="AJ21" s="167"/>
      <c r="AK21" s="166">
        <v>12</v>
      </c>
      <c r="AL21" s="167"/>
      <c r="AM21" s="166" t="str">
        <f t="array" ref="AM21">IFERROR(INDEX($AK$10:$AK$258, MATCH(0, IF(TRUE=$AH$10:$AH$258, COUNTIF($AM$9:$AM20, $AK$10:$AK$258), ""), 0)),"")</f>
        <v/>
      </c>
      <c r="AN21" s="166" t="str">
        <f t="array" ref="AN21">IFERROR(INDEX($AK$10:$AK$258, MATCH(0, IF(TRUE=$AI$10:$AI$258, COUNTIF($AN$9:$AN20, $AK$10:$AK$258), ""), 0)),"")</f>
        <v/>
      </c>
    </row>
    <row r="22" spans="3:40" ht="13.8" x14ac:dyDescent="0.25">
      <c r="C22" s="168">
        <v>13</v>
      </c>
      <c r="D22" s="184"/>
      <c r="E22" s="185"/>
      <c r="F22" s="171" t="str">
        <f>IF(D22="","",VLOOKUP(D22,'G-7 Rivers Data'!$B$2:$G$8,2,FALSE))</f>
        <v/>
      </c>
      <c r="G22" s="172" t="str">
        <f>IFERROR(VLOOKUP(F22,'G-7 Rivers Data'!$C$4:$D$8,2,FALSE),"")</f>
        <v/>
      </c>
      <c r="H22" s="173"/>
      <c r="I22" s="172" t="str">
        <f>IFERROR(INDEX('G-7 Rivers Data'!$H$4:$L$8,MATCH(D22,'G-7 Rivers Data'!$B$4:$B$8,0),MATCH(H22,'G-7 Rivers Data'!$H$3:$L$3,0)),"")</f>
        <v/>
      </c>
      <c r="J22" s="186"/>
      <c r="K22" s="175" t="str">
        <f>IF(J22="","",IF(VLOOKUP(J22,'G-7 Rivers Data'!$AK$4:$AM$9,2,FALSE)=0,"Spatial Data Missing",VLOOKUP(J22,'G-7 Rivers Data'!$AK$4:$AM$9,2,FALSE)))</f>
        <v/>
      </c>
      <c r="L22" s="176" t="str">
        <f>IF(J22="","",IF(VLOOKUP(J22,'G-7 Rivers Data'!$AK$4:$AM$9,3,FALSE)=0,"Spatial Data Missing",VLOOKUP(J22,'G-7 Rivers Data'!$AK$4:$AM$9,3,FALSE)))</f>
        <v/>
      </c>
      <c r="M22" s="79"/>
      <c r="N22" s="172" t="str">
        <f>IF(M22="","",IF(VLOOKUP(M22,'G-7 Rivers Data'!$AA$4:$AB$7,2,FALSE)=0,"Spatial Data Missing",VLOOKUP(M22,'G-7 Rivers Data'!$AA$4:$AB$7,2,FALSE)))</f>
        <v/>
      </c>
      <c r="O22" s="187"/>
      <c r="P22" s="172" t="str">
        <f>IF(O22="","",IF(VLOOKUP(O22,'G-7 Rivers Data'!$AD$4:$AE$8,2,FALSE)=0,"Spatial Data Missing",VLOOKUP(O22,'G-7 Rivers Data'!$AD$4:$AE$8,2,FALSE)))</f>
        <v/>
      </c>
      <c r="Q22" s="177" t="str">
        <f>IF(D22="","",VLOOKUP(D22,'G-7 Rivers Data'!$B$4:$G$8,6,FALSE))</f>
        <v/>
      </c>
      <c r="R22" s="178" t="str">
        <f t="shared" si="0"/>
        <v/>
      </c>
      <c r="S22" s="44"/>
      <c r="T22" s="79"/>
      <c r="U22" s="82"/>
      <c r="V22" s="208" t="str">
        <f t="shared" si="1"/>
        <v/>
      </c>
      <c r="W22" s="208" t="str">
        <f t="shared" si="2"/>
        <v/>
      </c>
      <c r="X22" s="208" t="str">
        <f t="shared" si="3"/>
        <v/>
      </c>
      <c r="Y22" s="209" t="str">
        <f t="shared" si="4"/>
        <v/>
      </c>
      <c r="Z22" s="182"/>
      <c r="AA22" s="183"/>
      <c r="AF22" s="35" t="str">
        <f>IFERROR(INDEX('G-7 Rivers Data'!$AZ$3:$AZ$7,MATCH(D22,'G-7 Rivers Data'!$AY$3:$AY$7,0)),"")</f>
        <v/>
      </c>
      <c r="AG22" s="35">
        <f t="shared" si="5"/>
        <v>0</v>
      </c>
      <c r="AH22" s="166" t="str">
        <f t="shared" si="6"/>
        <v/>
      </c>
      <c r="AI22" s="166" t="str">
        <f t="shared" si="7"/>
        <v/>
      </c>
      <c r="AJ22" s="167"/>
      <c r="AK22" s="166">
        <v>13</v>
      </c>
      <c r="AL22" s="167"/>
      <c r="AM22" s="166" t="str">
        <f t="array" ref="AM22">IFERROR(INDEX($AK$10:$AK$258, MATCH(0, IF(TRUE=$AH$10:$AH$258, COUNTIF($AM$9:$AM21, $AK$10:$AK$258), ""), 0)),"")</f>
        <v/>
      </c>
      <c r="AN22" s="166" t="str">
        <f t="array" ref="AN22">IFERROR(INDEX($AK$10:$AK$258, MATCH(0, IF(TRUE=$AI$10:$AI$258, COUNTIF($AN$9:$AN21, $AK$10:$AK$258), ""), 0)),"")</f>
        <v/>
      </c>
    </row>
    <row r="23" spans="3:40" ht="13.8" x14ac:dyDescent="0.25">
      <c r="C23" s="168">
        <v>14</v>
      </c>
      <c r="D23" s="184"/>
      <c r="E23" s="185"/>
      <c r="F23" s="171" t="str">
        <f>IF(D23="","",VLOOKUP(D23,'G-7 Rivers Data'!$B$2:$G$8,2,FALSE))</f>
        <v/>
      </c>
      <c r="G23" s="172" t="str">
        <f>IFERROR(VLOOKUP(F23,'G-7 Rivers Data'!$C$4:$D$8,2,FALSE),"")</f>
        <v/>
      </c>
      <c r="H23" s="173"/>
      <c r="I23" s="172" t="str">
        <f>IFERROR(INDEX('G-7 Rivers Data'!$H$4:$L$8,MATCH(D23,'G-7 Rivers Data'!$B$4:$B$8,0),MATCH(H23,'G-7 Rivers Data'!$H$3:$L$3,0)),"")</f>
        <v/>
      </c>
      <c r="J23" s="186"/>
      <c r="K23" s="175" t="str">
        <f>IF(J23="","",IF(VLOOKUP(J23,'G-7 Rivers Data'!$AK$4:$AM$9,2,FALSE)=0,"Spatial Data Missing",VLOOKUP(J23,'G-7 Rivers Data'!$AK$4:$AM$9,2,FALSE)))</f>
        <v/>
      </c>
      <c r="L23" s="176" t="str">
        <f>IF(J23="","",IF(VLOOKUP(J23,'G-7 Rivers Data'!$AK$4:$AM$9,3,FALSE)=0,"Spatial Data Missing",VLOOKUP(J23,'G-7 Rivers Data'!$AK$4:$AM$9,3,FALSE)))</f>
        <v/>
      </c>
      <c r="M23" s="79"/>
      <c r="N23" s="172" t="str">
        <f>IF(M23="","",IF(VLOOKUP(M23,'G-7 Rivers Data'!$AA$4:$AB$7,2,FALSE)=0,"Spatial Data Missing",VLOOKUP(M23,'G-7 Rivers Data'!$AA$4:$AB$7,2,FALSE)))</f>
        <v/>
      </c>
      <c r="O23" s="187"/>
      <c r="P23" s="172" t="str">
        <f>IF(O23="","",IF(VLOOKUP(O23,'G-7 Rivers Data'!$AD$4:$AE$8,2,FALSE)=0,"Spatial Data Missing",VLOOKUP(O23,'G-7 Rivers Data'!$AD$4:$AE$8,2,FALSE)))</f>
        <v/>
      </c>
      <c r="Q23" s="177" t="str">
        <f>IF(D23="","",VLOOKUP(D23,'G-7 Rivers Data'!$B$4:$G$8,6,FALSE))</f>
        <v/>
      </c>
      <c r="R23" s="178" t="str">
        <f t="shared" si="0"/>
        <v/>
      </c>
      <c r="S23" s="44"/>
      <c r="T23" s="79"/>
      <c r="U23" s="82"/>
      <c r="V23" s="208" t="str">
        <f t="shared" si="1"/>
        <v/>
      </c>
      <c r="W23" s="208" t="str">
        <f t="shared" si="2"/>
        <v/>
      </c>
      <c r="X23" s="208" t="str">
        <f t="shared" si="3"/>
        <v/>
      </c>
      <c r="Y23" s="209" t="str">
        <f t="shared" si="4"/>
        <v/>
      </c>
      <c r="Z23" s="182"/>
      <c r="AA23" s="183"/>
      <c r="AF23" s="35" t="str">
        <f>IFERROR(INDEX('G-7 Rivers Data'!$AZ$3:$AZ$7,MATCH(D23,'G-7 Rivers Data'!$AY$3:$AY$7,0)),"")</f>
        <v/>
      </c>
      <c r="AG23" s="35">
        <f t="shared" si="5"/>
        <v>0</v>
      </c>
      <c r="AH23" s="188" t="str">
        <f t="shared" si="6"/>
        <v/>
      </c>
      <c r="AI23" s="188" t="str">
        <f t="shared" si="7"/>
        <v/>
      </c>
      <c r="AK23" s="188">
        <v>14</v>
      </c>
      <c r="AM23" s="188" t="str">
        <f t="array" ref="AM23">IFERROR(INDEX($AK$10:$AK$258, MATCH(0, IF(TRUE=$AH$10:$AH$258, COUNTIF($AM$9:$AM22, $AK$10:$AK$258), ""), 0)),"")</f>
        <v/>
      </c>
      <c r="AN23" s="188" t="str">
        <f t="array" ref="AN23">IFERROR(INDEX($AK$10:$AK$258, MATCH(0, IF(TRUE=$AI$10:$AI$258, COUNTIF($AN$9:$AN22, $AK$10:$AK$258), ""), 0)),"")</f>
        <v/>
      </c>
    </row>
    <row r="24" spans="3:40" ht="13.8" x14ac:dyDescent="0.25">
      <c r="C24" s="168">
        <v>15</v>
      </c>
      <c r="D24" s="184"/>
      <c r="E24" s="185"/>
      <c r="F24" s="171" t="str">
        <f>IF(D24="","",VLOOKUP(D24,'G-7 Rivers Data'!$B$2:$G$8,2,FALSE))</f>
        <v/>
      </c>
      <c r="G24" s="172" t="str">
        <f>IFERROR(VLOOKUP(F24,'G-7 Rivers Data'!$C$4:$D$8,2,FALSE),"")</f>
        <v/>
      </c>
      <c r="H24" s="173"/>
      <c r="I24" s="172" t="str">
        <f>IFERROR(INDEX('G-7 Rivers Data'!$H$4:$L$8,MATCH(D24,'G-7 Rivers Data'!$B$4:$B$8,0),MATCH(H24,'G-7 Rivers Data'!$H$3:$L$3,0)),"")</f>
        <v/>
      </c>
      <c r="J24" s="186"/>
      <c r="K24" s="175" t="str">
        <f>IF(J24="","",IF(VLOOKUP(J24,'G-7 Rivers Data'!$AK$4:$AM$9,2,FALSE)=0,"Spatial Data Missing",VLOOKUP(J24,'G-7 Rivers Data'!$AK$4:$AM$9,2,FALSE)))</f>
        <v/>
      </c>
      <c r="L24" s="176" t="str">
        <f>IF(J24="","",IF(VLOOKUP(J24,'G-7 Rivers Data'!$AK$4:$AM$9,3,FALSE)=0,"Spatial Data Missing",VLOOKUP(J24,'G-7 Rivers Data'!$AK$4:$AM$9,3,FALSE)))</f>
        <v/>
      </c>
      <c r="M24" s="79"/>
      <c r="N24" s="172" t="str">
        <f>IF(M24="","",IF(VLOOKUP(M24,'G-7 Rivers Data'!$AA$4:$AB$7,2,FALSE)=0,"Spatial Data Missing",VLOOKUP(M24,'G-7 Rivers Data'!$AA$4:$AB$7,2,FALSE)))</f>
        <v/>
      </c>
      <c r="O24" s="187"/>
      <c r="P24" s="172" t="str">
        <f>IF(O24="","",IF(VLOOKUP(O24,'G-7 Rivers Data'!$AD$4:$AE$8,2,FALSE)=0,"Spatial Data Missing",VLOOKUP(O24,'G-7 Rivers Data'!$AD$4:$AE$8,2,FALSE)))</f>
        <v/>
      </c>
      <c r="Q24" s="177" t="str">
        <f>IF(D24="","",VLOOKUP(D24,'G-7 Rivers Data'!$B$4:$G$8,6,FALSE))</f>
        <v/>
      </c>
      <c r="R24" s="178" t="str">
        <f t="shared" si="0"/>
        <v/>
      </c>
      <c r="S24" s="44"/>
      <c r="T24" s="173"/>
      <c r="U24" s="189"/>
      <c r="V24" s="208" t="str">
        <f t="shared" si="1"/>
        <v/>
      </c>
      <c r="W24" s="208" t="str">
        <f t="shared" si="2"/>
        <v/>
      </c>
      <c r="X24" s="208" t="str">
        <f t="shared" si="3"/>
        <v/>
      </c>
      <c r="Y24" s="209" t="str">
        <f t="shared" si="4"/>
        <v/>
      </c>
      <c r="Z24" s="182"/>
      <c r="AA24" s="183"/>
      <c r="AF24" s="35" t="str">
        <f>IFERROR(INDEX('G-7 Rivers Data'!$AZ$3:$AZ$7,MATCH(D24,'G-7 Rivers Data'!$AY$3:$AY$7,0)),"")</f>
        <v/>
      </c>
      <c r="AG24" s="35">
        <f t="shared" si="5"/>
        <v>0</v>
      </c>
      <c r="AH24" s="188" t="str">
        <f t="shared" si="6"/>
        <v/>
      </c>
      <c r="AI24" s="188" t="str">
        <f t="shared" si="7"/>
        <v/>
      </c>
      <c r="AK24" s="188">
        <v>15</v>
      </c>
      <c r="AM24" s="188" t="str">
        <f t="array" ref="AM24">IFERROR(INDEX($AK$10:$AK$258, MATCH(0, IF(TRUE=$AH$10:$AH$258, COUNTIF($AM$9:$AM23, $AK$10:$AK$258), ""), 0)),"")</f>
        <v/>
      </c>
      <c r="AN24" s="188" t="str">
        <f t="array" ref="AN24">IFERROR(INDEX($AK$10:$AK$258, MATCH(0, IF(TRUE=$AI$10:$AI$258, COUNTIF($AN$9:$AN23, $AK$10:$AK$258), ""), 0)),"")</f>
        <v/>
      </c>
    </row>
    <row r="25" spans="3:40" ht="13.8" x14ac:dyDescent="0.25">
      <c r="C25" s="168">
        <v>16</v>
      </c>
      <c r="D25" s="184"/>
      <c r="E25" s="185"/>
      <c r="F25" s="171" t="str">
        <f>IF(D25="","",VLOOKUP(D25,'G-7 Rivers Data'!$B$2:$G$8,2,FALSE))</f>
        <v/>
      </c>
      <c r="G25" s="172" t="str">
        <f>IFERROR(VLOOKUP(F25,'G-7 Rivers Data'!$C$4:$D$8,2,FALSE),"")</f>
        <v/>
      </c>
      <c r="H25" s="173"/>
      <c r="I25" s="172" t="str">
        <f>IFERROR(INDEX('G-7 Rivers Data'!$H$4:$L$8,MATCH(D25,'G-7 Rivers Data'!$B$4:$B$8,0),MATCH(H25,'G-7 Rivers Data'!$H$3:$L$3,0)),"")</f>
        <v/>
      </c>
      <c r="J25" s="186"/>
      <c r="K25" s="175" t="str">
        <f>IF(J25="","",IF(VLOOKUP(J25,'G-7 Rivers Data'!$AK$4:$AM$9,2,FALSE)=0,"Spatial Data Missing",VLOOKUP(J25,'G-7 Rivers Data'!$AK$4:$AM$9,2,FALSE)))</f>
        <v/>
      </c>
      <c r="L25" s="176" t="str">
        <f>IF(J25="","",IF(VLOOKUP(J25,'G-7 Rivers Data'!$AK$4:$AM$9,3,FALSE)=0,"Spatial Data Missing",VLOOKUP(J25,'G-7 Rivers Data'!$AK$4:$AM$9,3,FALSE)))</f>
        <v/>
      </c>
      <c r="M25" s="79"/>
      <c r="N25" s="172" t="str">
        <f>IF(M25="","",IF(VLOOKUP(M25,'G-7 Rivers Data'!$AA$4:$AB$7,2,FALSE)=0,"Spatial Data Missing",VLOOKUP(M25,'G-7 Rivers Data'!$AA$4:$AB$7,2,FALSE)))</f>
        <v/>
      </c>
      <c r="O25" s="187"/>
      <c r="P25" s="172" t="str">
        <f>IF(O25="","",IF(VLOOKUP(O25,'G-7 Rivers Data'!$AD$4:$AE$8,2,FALSE)=0,"Spatial Data Missing",VLOOKUP(O25,'G-7 Rivers Data'!$AD$4:$AE$8,2,FALSE)))</f>
        <v/>
      </c>
      <c r="Q25" s="177" t="str">
        <f>IF(D25="","",VLOOKUP(D25,'G-7 Rivers Data'!$B$4:$G$8,6,FALSE))</f>
        <v/>
      </c>
      <c r="R25" s="178" t="str">
        <f t="shared" si="0"/>
        <v/>
      </c>
      <c r="S25" s="44"/>
      <c r="T25" s="173"/>
      <c r="U25" s="189"/>
      <c r="V25" s="208" t="str">
        <f t="shared" si="1"/>
        <v/>
      </c>
      <c r="W25" s="208" t="str">
        <f t="shared" si="2"/>
        <v/>
      </c>
      <c r="X25" s="208" t="str">
        <f t="shared" si="3"/>
        <v/>
      </c>
      <c r="Y25" s="209" t="str">
        <f t="shared" si="4"/>
        <v/>
      </c>
      <c r="Z25" s="182"/>
      <c r="AA25" s="183"/>
      <c r="AF25" s="35" t="str">
        <f>IFERROR(INDEX('G-7 Rivers Data'!$AZ$3:$AZ$7,MATCH(D25,'G-7 Rivers Data'!$AY$3:$AY$7,0)),"")</f>
        <v/>
      </c>
      <c r="AG25" s="35">
        <f t="shared" si="5"/>
        <v>0</v>
      </c>
      <c r="AH25" s="188" t="str">
        <f t="shared" si="6"/>
        <v/>
      </c>
      <c r="AI25" s="188" t="str">
        <f t="shared" si="7"/>
        <v/>
      </c>
      <c r="AK25" s="188">
        <v>16</v>
      </c>
      <c r="AM25" s="188" t="str">
        <f t="array" ref="AM25">IFERROR(INDEX($AK$10:$AK$258, MATCH(0, IF(TRUE=$AH$10:$AH$258, COUNTIF($AM$9:$AM24, $AK$10:$AK$258), ""), 0)),"")</f>
        <v/>
      </c>
      <c r="AN25" s="188" t="str">
        <f t="array" ref="AN25">IFERROR(INDEX($AK$10:$AK$258, MATCH(0, IF(TRUE=$AI$10:$AI$258, COUNTIF($AN$9:$AN24, $AK$10:$AK$258), ""), 0)),"")</f>
        <v/>
      </c>
    </row>
    <row r="26" spans="3:40" ht="13.8" x14ac:dyDescent="0.25">
      <c r="C26" s="168">
        <v>17</v>
      </c>
      <c r="D26" s="184"/>
      <c r="E26" s="185"/>
      <c r="F26" s="171" t="str">
        <f>IF(D26="","",VLOOKUP(D26,'G-7 Rivers Data'!$B$2:$G$8,2,FALSE))</f>
        <v/>
      </c>
      <c r="G26" s="172" t="str">
        <f>IFERROR(VLOOKUP(F26,'G-7 Rivers Data'!$C$4:$D$8,2,FALSE),"")</f>
        <v/>
      </c>
      <c r="H26" s="173"/>
      <c r="I26" s="172" t="str">
        <f>IFERROR(INDEX('G-7 Rivers Data'!$H$4:$L$8,MATCH(D26,'G-7 Rivers Data'!$B$4:$B$8,0),MATCH(H26,'G-7 Rivers Data'!$H$3:$L$3,0)),"")</f>
        <v/>
      </c>
      <c r="J26" s="186"/>
      <c r="K26" s="175" t="str">
        <f>IF(J26="","",IF(VLOOKUP(J26,'G-7 Rivers Data'!$AK$4:$AM$9,2,FALSE)=0,"Spatial Data Missing",VLOOKUP(J26,'G-7 Rivers Data'!$AK$4:$AM$9,2,FALSE)))</f>
        <v/>
      </c>
      <c r="L26" s="176" t="str">
        <f>IF(J26="","",IF(VLOOKUP(J26,'G-7 Rivers Data'!$AK$4:$AM$9,3,FALSE)=0,"Spatial Data Missing",VLOOKUP(J26,'G-7 Rivers Data'!$AK$4:$AM$9,3,FALSE)))</f>
        <v/>
      </c>
      <c r="M26" s="79"/>
      <c r="N26" s="172" t="str">
        <f>IF(M26="","",IF(VLOOKUP(M26,'G-7 Rivers Data'!$AA$4:$AB$7,2,FALSE)=0,"Spatial Data Missing",VLOOKUP(M26,'G-7 Rivers Data'!$AA$4:$AB$7,2,FALSE)))</f>
        <v/>
      </c>
      <c r="O26" s="187"/>
      <c r="P26" s="172" t="str">
        <f>IF(O26="","",IF(VLOOKUP(O26,'G-7 Rivers Data'!$AD$4:$AE$8,2,FALSE)=0,"Spatial Data Missing",VLOOKUP(O26,'G-7 Rivers Data'!$AD$4:$AE$8,2,FALSE)))</f>
        <v/>
      </c>
      <c r="Q26" s="177" t="str">
        <f>IF(D26="","",VLOOKUP(D26,'G-7 Rivers Data'!$B$4:$G$8,6,FALSE))</f>
        <v/>
      </c>
      <c r="R26" s="178" t="str">
        <f t="shared" si="0"/>
        <v/>
      </c>
      <c r="S26" s="44"/>
      <c r="T26" s="173"/>
      <c r="U26" s="189"/>
      <c r="V26" s="208" t="str">
        <f t="shared" si="1"/>
        <v/>
      </c>
      <c r="W26" s="208" t="str">
        <f t="shared" si="2"/>
        <v/>
      </c>
      <c r="X26" s="208" t="str">
        <f t="shared" si="3"/>
        <v/>
      </c>
      <c r="Y26" s="209" t="str">
        <f t="shared" si="4"/>
        <v/>
      </c>
      <c r="Z26" s="182"/>
      <c r="AA26" s="183"/>
      <c r="AF26" s="35" t="str">
        <f>IFERROR(INDEX('G-7 Rivers Data'!$AZ$3:$AZ$7,MATCH(D26,'G-7 Rivers Data'!$AY$3:$AY$7,0)),"")</f>
        <v/>
      </c>
      <c r="AG26" s="35">
        <f t="shared" si="5"/>
        <v>0</v>
      </c>
      <c r="AH26" s="188" t="str">
        <f t="shared" si="6"/>
        <v/>
      </c>
      <c r="AI26" s="188" t="str">
        <f t="shared" si="7"/>
        <v/>
      </c>
      <c r="AK26" s="188">
        <v>17</v>
      </c>
      <c r="AM26" s="188" t="str">
        <f t="array" ref="AM26">IFERROR(INDEX($AK$10:$AK$258, MATCH(0, IF(TRUE=$AH$10:$AH$258, COUNTIF($AM$9:$AM25, $AK$10:$AK$258), ""), 0)),"")</f>
        <v/>
      </c>
      <c r="AN26" s="188" t="str">
        <f t="array" ref="AN26">IFERROR(INDEX($AK$10:$AK$258, MATCH(0, IF(TRUE=$AI$10:$AI$258, COUNTIF($AN$9:$AN25, $AK$10:$AK$258), ""), 0)),"")</f>
        <v/>
      </c>
    </row>
    <row r="27" spans="3:40" ht="13.8" x14ac:dyDescent="0.25">
      <c r="C27" s="168">
        <v>18</v>
      </c>
      <c r="D27" s="184"/>
      <c r="E27" s="185"/>
      <c r="F27" s="171" t="str">
        <f>IF(D27="","",VLOOKUP(D27,'G-7 Rivers Data'!$B$2:$G$8,2,FALSE))</f>
        <v/>
      </c>
      <c r="G27" s="172" t="str">
        <f>IFERROR(VLOOKUP(F27,'G-7 Rivers Data'!$C$4:$D$8,2,FALSE),"")</f>
        <v/>
      </c>
      <c r="H27" s="173"/>
      <c r="I27" s="172" t="str">
        <f>IFERROR(INDEX('G-7 Rivers Data'!$H$4:$L$8,MATCH(D27,'G-7 Rivers Data'!$B$4:$B$8,0),MATCH(H27,'G-7 Rivers Data'!$H$3:$L$3,0)),"")</f>
        <v/>
      </c>
      <c r="J27" s="186"/>
      <c r="K27" s="175" t="str">
        <f>IF(J27="","",IF(VLOOKUP(J27,'G-7 Rivers Data'!$AK$4:$AM$9,2,FALSE)=0,"Spatial Data Missing",VLOOKUP(J27,'G-7 Rivers Data'!$AK$4:$AM$9,2,FALSE)))</f>
        <v/>
      </c>
      <c r="L27" s="176" t="str">
        <f>IF(J27="","",IF(VLOOKUP(J27,'G-7 Rivers Data'!$AK$4:$AM$9,3,FALSE)=0,"Spatial Data Missing",VLOOKUP(J27,'G-7 Rivers Data'!$AK$4:$AM$9,3,FALSE)))</f>
        <v/>
      </c>
      <c r="M27" s="79"/>
      <c r="N27" s="172" t="str">
        <f>IF(M27="","",IF(VLOOKUP(M27,'G-7 Rivers Data'!$AA$4:$AB$7,2,FALSE)=0,"Spatial Data Missing",VLOOKUP(M27,'G-7 Rivers Data'!$AA$4:$AB$7,2,FALSE)))</f>
        <v/>
      </c>
      <c r="O27" s="187"/>
      <c r="P27" s="172" t="str">
        <f>IF(O27="","",IF(VLOOKUP(O27,'G-7 Rivers Data'!$AD$4:$AE$8,2,FALSE)=0,"Spatial Data Missing",VLOOKUP(O27,'G-7 Rivers Data'!$AD$4:$AE$8,2,FALSE)))</f>
        <v/>
      </c>
      <c r="Q27" s="177" t="str">
        <f>IF(D27="","",VLOOKUP(D27,'G-7 Rivers Data'!$B$4:$G$8,6,FALSE))</f>
        <v/>
      </c>
      <c r="R27" s="178" t="str">
        <f t="shared" si="0"/>
        <v/>
      </c>
      <c r="S27" s="44"/>
      <c r="T27" s="173"/>
      <c r="U27" s="189"/>
      <c r="V27" s="208" t="str">
        <f t="shared" si="1"/>
        <v/>
      </c>
      <c r="W27" s="208" t="str">
        <f t="shared" si="2"/>
        <v/>
      </c>
      <c r="X27" s="208" t="str">
        <f t="shared" si="3"/>
        <v/>
      </c>
      <c r="Y27" s="209" t="str">
        <f t="shared" si="4"/>
        <v/>
      </c>
      <c r="Z27" s="182"/>
      <c r="AA27" s="183"/>
      <c r="AF27" s="35" t="str">
        <f>IFERROR(INDEX('G-7 Rivers Data'!$AZ$3:$AZ$7,MATCH(D27,'G-7 Rivers Data'!$AY$3:$AY$7,0)),"")</f>
        <v/>
      </c>
      <c r="AG27" s="35">
        <f t="shared" si="5"/>
        <v>0</v>
      </c>
      <c r="AH27" s="188" t="str">
        <f t="shared" si="6"/>
        <v/>
      </c>
      <c r="AI27" s="188" t="str">
        <f t="shared" si="7"/>
        <v/>
      </c>
      <c r="AK27" s="188">
        <v>18</v>
      </c>
      <c r="AM27" s="188" t="str">
        <f t="array" ref="AM27">IFERROR(INDEX($AK$10:$AK$258, MATCH(0, IF(TRUE=$AH$10:$AH$258, COUNTIF($AM$9:$AM26, $AK$10:$AK$258), ""), 0)),"")</f>
        <v/>
      </c>
      <c r="AN27" s="188" t="str">
        <f t="array" ref="AN27">IFERROR(INDEX($AK$10:$AK$258, MATCH(0, IF(TRUE=$AI$10:$AI$258, COUNTIF($AN$9:$AN26, $AK$10:$AK$258), ""), 0)),"")</f>
        <v/>
      </c>
    </row>
    <row r="28" spans="3:40" ht="13.8" x14ac:dyDescent="0.25">
      <c r="C28" s="168">
        <v>19</v>
      </c>
      <c r="D28" s="184"/>
      <c r="E28" s="185"/>
      <c r="F28" s="171" t="str">
        <f>IF(D28="","",VLOOKUP(D28,'G-7 Rivers Data'!$B$2:$G$8,2,FALSE))</f>
        <v/>
      </c>
      <c r="G28" s="172" t="str">
        <f>IFERROR(VLOOKUP(F28,'G-7 Rivers Data'!$C$4:$D$8,2,FALSE),"")</f>
        <v/>
      </c>
      <c r="H28" s="173"/>
      <c r="I28" s="172" t="str">
        <f>IFERROR(INDEX('G-7 Rivers Data'!$H$4:$L$8,MATCH(D28,'G-7 Rivers Data'!$B$4:$B$8,0),MATCH(H28,'G-7 Rivers Data'!$H$3:$L$3,0)),"")</f>
        <v/>
      </c>
      <c r="J28" s="186"/>
      <c r="K28" s="175" t="str">
        <f>IF(J28="","",IF(VLOOKUP(J28,'G-7 Rivers Data'!$AK$4:$AM$9,2,FALSE)=0,"Spatial Data Missing",VLOOKUP(J28,'G-7 Rivers Data'!$AK$4:$AM$9,2,FALSE)))</f>
        <v/>
      </c>
      <c r="L28" s="176" t="str">
        <f>IF(J28="","",IF(VLOOKUP(J28,'G-7 Rivers Data'!$AK$4:$AM$9,3,FALSE)=0,"Spatial Data Missing",VLOOKUP(J28,'G-7 Rivers Data'!$AK$4:$AM$9,3,FALSE)))</f>
        <v/>
      </c>
      <c r="M28" s="79"/>
      <c r="N28" s="172" t="str">
        <f>IF(M28="","",IF(VLOOKUP(M28,'G-7 Rivers Data'!$AA$4:$AB$7,2,FALSE)=0,"Spatial Data Missing",VLOOKUP(M28,'G-7 Rivers Data'!$AA$4:$AB$7,2,FALSE)))</f>
        <v/>
      </c>
      <c r="O28" s="187"/>
      <c r="P28" s="172" t="str">
        <f>IF(O28="","",IF(VLOOKUP(O28,'G-7 Rivers Data'!$AD$4:$AE$8,2,FALSE)=0,"Spatial Data Missing",VLOOKUP(O28,'G-7 Rivers Data'!$AD$4:$AE$8,2,FALSE)))</f>
        <v/>
      </c>
      <c r="Q28" s="177" t="str">
        <f>IF(D28="","",VLOOKUP(D28,'G-7 Rivers Data'!$B$4:$G$8,6,FALSE))</f>
        <v/>
      </c>
      <c r="R28" s="178" t="str">
        <f t="shared" si="0"/>
        <v/>
      </c>
      <c r="S28" s="44"/>
      <c r="T28" s="173"/>
      <c r="U28" s="189"/>
      <c r="V28" s="208" t="str">
        <f t="shared" si="1"/>
        <v/>
      </c>
      <c r="W28" s="208" t="str">
        <f t="shared" si="2"/>
        <v/>
      </c>
      <c r="X28" s="208" t="str">
        <f t="shared" si="3"/>
        <v/>
      </c>
      <c r="Y28" s="209" t="str">
        <f t="shared" si="4"/>
        <v/>
      </c>
      <c r="Z28" s="182"/>
      <c r="AA28" s="183"/>
      <c r="AF28" s="35" t="str">
        <f>IFERROR(INDEX('G-7 Rivers Data'!$AZ$3:$AZ$7,MATCH(D28,'G-7 Rivers Data'!$AY$3:$AY$7,0)),"")</f>
        <v/>
      </c>
      <c r="AG28" s="35">
        <f t="shared" si="5"/>
        <v>0</v>
      </c>
      <c r="AH28" s="188" t="str">
        <f t="shared" si="6"/>
        <v/>
      </c>
      <c r="AI28" s="188" t="str">
        <f t="shared" si="7"/>
        <v/>
      </c>
      <c r="AK28" s="188">
        <v>19</v>
      </c>
      <c r="AM28" s="188" t="str">
        <f t="array" ref="AM28">IFERROR(INDEX($AK$10:$AK$258, MATCH(0, IF(TRUE=$AH$10:$AH$258, COUNTIF($AM$9:$AM27, $AK$10:$AK$258), ""), 0)),"")</f>
        <v/>
      </c>
      <c r="AN28" s="188" t="str">
        <f t="array" ref="AN28">IFERROR(INDEX($AK$10:$AK$258, MATCH(0, IF(TRUE=$AI$10:$AI$258, COUNTIF($AN$9:$AN27, $AK$10:$AK$258), ""), 0)),"")</f>
        <v/>
      </c>
    </row>
    <row r="29" spans="3:40" ht="13.8" x14ac:dyDescent="0.25">
      <c r="C29" s="168">
        <v>20</v>
      </c>
      <c r="D29" s="184"/>
      <c r="E29" s="185"/>
      <c r="F29" s="171" t="str">
        <f>IF(D29="","",VLOOKUP(D29,'G-7 Rivers Data'!$B$2:$G$8,2,FALSE))</f>
        <v/>
      </c>
      <c r="G29" s="172" t="str">
        <f>IFERROR(VLOOKUP(F29,'G-7 Rivers Data'!$C$4:$D$8,2,FALSE),"")</f>
        <v/>
      </c>
      <c r="H29" s="173"/>
      <c r="I29" s="172" t="str">
        <f>IFERROR(INDEX('G-7 Rivers Data'!$H$4:$L$8,MATCH(D29,'G-7 Rivers Data'!$B$4:$B$8,0),MATCH(H29,'G-7 Rivers Data'!$H$3:$L$3,0)),"")</f>
        <v/>
      </c>
      <c r="J29" s="186"/>
      <c r="K29" s="175" t="str">
        <f>IF(J29="","",IF(VLOOKUP(J29,'G-7 Rivers Data'!$AK$4:$AM$9,2,FALSE)=0,"Spatial Data Missing",VLOOKUP(J29,'G-7 Rivers Data'!$AK$4:$AM$9,2,FALSE)))</f>
        <v/>
      </c>
      <c r="L29" s="176" t="str">
        <f>IF(J29="","",IF(VLOOKUP(J29,'G-7 Rivers Data'!$AK$4:$AM$9,3,FALSE)=0,"Spatial Data Missing",VLOOKUP(J29,'G-7 Rivers Data'!$AK$4:$AM$9,3,FALSE)))</f>
        <v/>
      </c>
      <c r="M29" s="79"/>
      <c r="N29" s="172" t="str">
        <f>IF(M29="","",IF(VLOOKUP(M29,'G-7 Rivers Data'!$AA$4:$AB$7,2,FALSE)=0,"Spatial Data Missing",VLOOKUP(M29,'G-7 Rivers Data'!$AA$4:$AB$7,2,FALSE)))</f>
        <v/>
      </c>
      <c r="O29" s="187"/>
      <c r="P29" s="172" t="str">
        <f>IF(O29="","",IF(VLOOKUP(O29,'G-7 Rivers Data'!$AD$4:$AE$8,2,FALSE)=0,"Spatial Data Missing",VLOOKUP(O29,'G-7 Rivers Data'!$AD$4:$AE$8,2,FALSE)))</f>
        <v/>
      </c>
      <c r="Q29" s="177" t="str">
        <f>IF(D29="","",VLOOKUP(D29,'G-7 Rivers Data'!$B$4:$G$8,6,FALSE))</f>
        <v/>
      </c>
      <c r="R29" s="178" t="str">
        <f t="shared" si="0"/>
        <v/>
      </c>
      <c r="S29" s="44"/>
      <c r="T29" s="173"/>
      <c r="U29" s="189"/>
      <c r="V29" s="208" t="str">
        <f t="shared" si="1"/>
        <v/>
      </c>
      <c r="W29" s="208" t="str">
        <f t="shared" si="2"/>
        <v/>
      </c>
      <c r="X29" s="208" t="str">
        <f t="shared" si="3"/>
        <v/>
      </c>
      <c r="Y29" s="209" t="str">
        <f t="shared" si="4"/>
        <v/>
      </c>
      <c r="Z29" s="182"/>
      <c r="AA29" s="183"/>
      <c r="AF29" s="35" t="str">
        <f>IFERROR(INDEX('G-7 Rivers Data'!$AZ$3:$AZ$7,MATCH(D29,'G-7 Rivers Data'!$AY$3:$AY$7,0)),"")</f>
        <v/>
      </c>
      <c r="AG29" s="35">
        <f t="shared" si="5"/>
        <v>0</v>
      </c>
      <c r="AH29" s="188" t="str">
        <f t="shared" si="6"/>
        <v/>
      </c>
      <c r="AI29" s="188" t="str">
        <f t="shared" si="7"/>
        <v/>
      </c>
      <c r="AK29" s="188">
        <v>20</v>
      </c>
      <c r="AM29" s="188" t="str">
        <f t="array" ref="AM29">IFERROR(INDEX($AK$10:$AK$258, MATCH(0, IF(TRUE=$AH$10:$AH$258, COUNTIF($AM$9:$AM28, $AK$10:$AK$258), ""), 0)),"")</f>
        <v/>
      </c>
      <c r="AN29" s="188" t="str">
        <f t="array" ref="AN29">IFERROR(INDEX($AK$10:$AK$258, MATCH(0, IF(TRUE=$AI$10:$AI$258, COUNTIF($AN$9:$AN28, $AK$10:$AK$258), ""), 0)),"")</f>
        <v/>
      </c>
    </row>
    <row r="30" spans="3:40" ht="13.8" x14ac:dyDescent="0.25">
      <c r="C30" s="168">
        <v>21</v>
      </c>
      <c r="D30" s="184"/>
      <c r="E30" s="185"/>
      <c r="F30" s="171" t="str">
        <f>IF(D30="","",VLOOKUP(D30,'G-7 Rivers Data'!$B$2:$G$8,2,FALSE))</f>
        <v/>
      </c>
      <c r="G30" s="172" t="str">
        <f>IFERROR(VLOOKUP(F30,'G-7 Rivers Data'!$C$4:$D$8,2,FALSE),"")</f>
        <v/>
      </c>
      <c r="H30" s="173"/>
      <c r="I30" s="172" t="str">
        <f>IFERROR(INDEX('G-7 Rivers Data'!$H$4:$L$8,MATCH(D30,'G-7 Rivers Data'!$B$4:$B$8,0),MATCH(H30,'G-7 Rivers Data'!$H$3:$L$3,0)),"")</f>
        <v/>
      </c>
      <c r="J30" s="186"/>
      <c r="K30" s="175" t="str">
        <f>IF(J30="","",IF(VLOOKUP(J30,'G-7 Rivers Data'!$AK$4:$AM$9,2,FALSE)=0,"Spatial Data Missing",VLOOKUP(J30,'G-7 Rivers Data'!$AK$4:$AM$9,2,FALSE)))</f>
        <v/>
      </c>
      <c r="L30" s="176" t="str">
        <f>IF(J30="","",IF(VLOOKUP(J30,'G-7 Rivers Data'!$AK$4:$AM$9,3,FALSE)=0,"Spatial Data Missing",VLOOKUP(J30,'G-7 Rivers Data'!$AK$4:$AM$9,3,FALSE)))</f>
        <v/>
      </c>
      <c r="M30" s="79"/>
      <c r="N30" s="172" t="str">
        <f>IF(M30="","",IF(VLOOKUP(M30,'G-7 Rivers Data'!$AA$4:$AB$7,2,FALSE)=0,"Spatial Data Missing",VLOOKUP(M30,'G-7 Rivers Data'!$AA$4:$AB$7,2,FALSE)))</f>
        <v/>
      </c>
      <c r="O30" s="187"/>
      <c r="P30" s="172" t="str">
        <f>IF(O30="","",IF(VLOOKUP(O30,'G-7 Rivers Data'!$AD$4:$AE$8,2,FALSE)=0,"Spatial Data Missing",VLOOKUP(O30,'G-7 Rivers Data'!$AD$4:$AE$8,2,FALSE)))</f>
        <v/>
      </c>
      <c r="Q30" s="177" t="str">
        <f>IF(D30="","",VLOOKUP(D30,'G-7 Rivers Data'!$B$4:$G$8,6,FALSE))</f>
        <v/>
      </c>
      <c r="R30" s="178" t="str">
        <f t="shared" si="0"/>
        <v/>
      </c>
      <c r="S30" s="44"/>
      <c r="T30" s="173"/>
      <c r="U30" s="189"/>
      <c r="V30" s="208" t="str">
        <f t="shared" si="1"/>
        <v/>
      </c>
      <c r="W30" s="208" t="str">
        <f t="shared" si="2"/>
        <v/>
      </c>
      <c r="X30" s="208" t="str">
        <f t="shared" si="3"/>
        <v/>
      </c>
      <c r="Y30" s="209" t="str">
        <f t="shared" si="4"/>
        <v/>
      </c>
      <c r="Z30" s="182"/>
      <c r="AA30" s="183"/>
      <c r="AF30" s="35" t="str">
        <f>IFERROR(INDEX('G-7 Rivers Data'!$AZ$3:$AZ$7,MATCH(D30,'G-7 Rivers Data'!$AY$3:$AY$7,0)),"")</f>
        <v/>
      </c>
      <c r="AG30" s="35">
        <f t="shared" si="5"/>
        <v>0</v>
      </c>
      <c r="AH30" s="188" t="str">
        <f t="shared" si="6"/>
        <v/>
      </c>
      <c r="AI30" s="188" t="str">
        <f t="shared" si="7"/>
        <v/>
      </c>
      <c r="AK30" s="188">
        <v>21</v>
      </c>
      <c r="AM30" s="188" t="str">
        <f t="array" ref="AM30">IFERROR(INDEX($AK$10:$AK$258, MATCH(0, IF(TRUE=$AH$10:$AH$258, COUNTIF($AM$9:$AM29, $AK$10:$AK$258), ""), 0)),"")</f>
        <v/>
      </c>
      <c r="AN30" s="188" t="str">
        <f t="array" ref="AN30">IFERROR(INDEX($AK$10:$AK$258, MATCH(0, IF(TRUE=$AI$10:$AI$258, COUNTIF($AN$9:$AN29, $AK$10:$AK$258), ""), 0)),"")</f>
        <v/>
      </c>
    </row>
    <row r="31" spans="3:40" ht="13.8" x14ac:dyDescent="0.25">
      <c r="C31" s="168">
        <v>22</v>
      </c>
      <c r="D31" s="184"/>
      <c r="E31" s="185"/>
      <c r="F31" s="171" t="str">
        <f>IF(D31="","",VLOOKUP(D31,'G-7 Rivers Data'!$B$2:$G$8,2,FALSE))</f>
        <v/>
      </c>
      <c r="G31" s="172" t="str">
        <f>IFERROR(VLOOKUP(F31,'G-7 Rivers Data'!$C$4:$D$8,2,FALSE),"")</f>
        <v/>
      </c>
      <c r="H31" s="173"/>
      <c r="I31" s="172" t="str">
        <f>IFERROR(INDEX('G-7 Rivers Data'!$H$4:$L$8,MATCH(D31,'G-7 Rivers Data'!$B$4:$B$8,0),MATCH(H31,'G-7 Rivers Data'!$H$3:$L$3,0)),"")</f>
        <v/>
      </c>
      <c r="J31" s="186"/>
      <c r="K31" s="175" t="str">
        <f>IF(J31="","",IF(VLOOKUP(J31,'G-7 Rivers Data'!$AK$4:$AM$9,2,FALSE)=0,"Spatial Data Missing",VLOOKUP(J31,'G-7 Rivers Data'!$AK$4:$AM$9,2,FALSE)))</f>
        <v/>
      </c>
      <c r="L31" s="176" t="str">
        <f>IF(J31="","",IF(VLOOKUP(J31,'G-7 Rivers Data'!$AK$4:$AM$9,3,FALSE)=0,"Spatial Data Missing",VLOOKUP(J31,'G-7 Rivers Data'!$AK$4:$AM$9,3,FALSE)))</f>
        <v/>
      </c>
      <c r="M31" s="79"/>
      <c r="N31" s="172" t="str">
        <f>IF(M31="","",IF(VLOOKUP(M31,'G-7 Rivers Data'!$AA$4:$AB$7,2,FALSE)=0,"Spatial Data Missing",VLOOKUP(M31,'G-7 Rivers Data'!$AA$4:$AB$7,2,FALSE)))</f>
        <v/>
      </c>
      <c r="O31" s="187"/>
      <c r="P31" s="172" t="str">
        <f>IF(O31="","",IF(VLOOKUP(O31,'G-7 Rivers Data'!$AD$4:$AE$8,2,FALSE)=0,"Spatial Data Missing",VLOOKUP(O31,'G-7 Rivers Data'!$AD$4:$AE$8,2,FALSE)))</f>
        <v/>
      </c>
      <c r="Q31" s="177" t="str">
        <f>IF(D31="","",VLOOKUP(D31,'G-7 Rivers Data'!$B$4:$G$8,6,FALSE))</f>
        <v/>
      </c>
      <c r="R31" s="178" t="str">
        <f t="shared" si="0"/>
        <v/>
      </c>
      <c r="S31" s="44"/>
      <c r="T31" s="173"/>
      <c r="U31" s="189"/>
      <c r="V31" s="208" t="str">
        <f t="shared" si="1"/>
        <v/>
      </c>
      <c r="W31" s="208" t="str">
        <f t="shared" si="2"/>
        <v/>
      </c>
      <c r="X31" s="208" t="str">
        <f t="shared" si="3"/>
        <v/>
      </c>
      <c r="Y31" s="209" t="str">
        <f t="shared" si="4"/>
        <v/>
      </c>
      <c r="Z31" s="182"/>
      <c r="AA31" s="183"/>
      <c r="AF31" s="35" t="str">
        <f>IFERROR(INDEX('G-7 Rivers Data'!$AZ$3:$AZ$7,MATCH(D31,'G-7 Rivers Data'!$AY$3:$AY$7,0)),"")</f>
        <v/>
      </c>
      <c r="AG31" s="35">
        <f t="shared" si="5"/>
        <v>0</v>
      </c>
      <c r="AH31" s="188" t="str">
        <f t="shared" si="6"/>
        <v/>
      </c>
      <c r="AI31" s="188" t="str">
        <f t="shared" si="7"/>
        <v/>
      </c>
      <c r="AK31" s="188">
        <v>22</v>
      </c>
      <c r="AM31" s="188" t="str">
        <f t="array" ref="AM31">IFERROR(INDEX($AK$10:$AK$258, MATCH(0, IF(TRUE=$AH$10:$AH$258, COUNTIF($AM$9:$AM30, $AK$10:$AK$258), ""), 0)),"")</f>
        <v/>
      </c>
      <c r="AN31" s="188" t="str">
        <f t="array" ref="AN31">IFERROR(INDEX($AK$10:$AK$258, MATCH(0, IF(TRUE=$AI$10:$AI$258, COUNTIF($AN$9:$AN30, $AK$10:$AK$258), ""), 0)),"")</f>
        <v/>
      </c>
    </row>
    <row r="32" spans="3:40" ht="13.8" x14ac:dyDescent="0.25">
      <c r="C32" s="168">
        <v>23</v>
      </c>
      <c r="D32" s="184"/>
      <c r="E32" s="185"/>
      <c r="F32" s="171" t="str">
        <f>IF(D32="","",VLOOKUP(D32,'G-7 Rivers Data'!$B$2:$G$8,2,FALSE))</f>
        <v/>
      </c>
      <c r="G32" s="172" t="str">
        <f>IFERROR(VLOOKUP(F32,'G-7 Rivers Data'!$C$4:$D$8,2,FALSE),"")</f>
        <v/>
      </c>
      <c r="H32" s="173"/>
      <c r="I32" s="172" t="str">
        <f>IFERROR(INDEX('G-7 Rivers Data'!$H$4:$L$8,MATCH(D32,'G-7 Rivers Data'!$B$4:$B$8,0),MATCH(H32,'G-7 Rivers Data'!$H$3:$L$3,0)),"")</f>
        <v/>
      </c>
      <c r="J32" s="186"/>
      <c r="K32" s="175" t="str">
        <f>IF(J32="","",IF(VLOOKUP(J32,'G-7 Rivers Data'!$AK$4:$AM$9,2,FALSE)=0,"Spatial Data Missing",VLOOKUP(J32,'G-7 Rivers Data'!$AK$4:$AM$9,2,FALSE)))</f>
        <v/>
      </c>
      <c r="L32" s="176" t="str">
        <f>IF(J32="","",IF(VLOOKUP(J32,'G-7 Rivers Data'!$AK$4:$AM$9,3,FALSE)=0,"Spatial Data Missing",VLOOKUP(J32,'G-7 Rivers Data'!$AK$4:$AM$9,3,FALSE)))</f>
        <v/>
      </c>
      <c r="M32" s="79"/>
      <c r="N32" s="172" t="str">
        <f>IF(M32="","",IF(VLOOKUP(M32,'G-7 Rivers Data'!$AA$4:$AB$7,2,FALSE)=0,"Spatial Data Missing",VLOOKUP(M32,'G-7 Rivers Data'!$AA$4:$AB$7,2,FALSE)))</f>
        <v/>
      </c>
      <c r="O32" s="187"/>
      <c r="P32" s="172" t="str">
        <f>IF(O32="","",IF(VLOOKUP(O32,'G-7 Rivers Data'!$AD$4:$AE$8,2,FALSE)=0,"Spatial Data Missing",VLOOKUP(O32,'G-7 Rivers Data'!$AD$4:$AE$8,2,FALSE)))</f>
        <v/>
      </c>
      <c r="Q32" s="177" t="str">
        <f>IF(D32="","",VLOOKUP(D32,'G-7 Rivers Data'!$B$4:$G$8,6,FALSE))</f>
        <v/>
      </c>
      <c r="R32" s="178" t="str">
        <f t="shared" si="0"/>
        <v/>
      </c>
      <c r="S32" s="44"/>
      <c r="T32" s="173"/>
      <c r="U32" s="189"/>
      <c r="V32" s="208" t="str">
        <f t="shared" si="1"/>
        <v/>
      </c>
      <c r="W32" s="208" t="str">
        <f t="shared" si="2"/>
        <v/>
      </c>
      <c r="X32" s="208" t="str">
        <f t="shared" si="3"/>
        <v/>
      </c>
      <c r="Y32" s="209" t="str">
        <f t="shared" si="4"/>
        <v/>
      </c>
      <c r="Z32" s="182"/>
      <c r="AA32" s="183"/>
      <c r="AF32" s="35" t="str">
        <f>IFERROR(INDEX('G-7 Rivers Data'!$AZ$3:$AZ$7,MATCH(D32,'G-7 Rivers Data'!$AY$3:$AY$7,0)),"")</f>
        <v/>
      </c>
      <c r="AG32" s="35">
        <f t="shared" si="5"/>
        <v>0</v>
      </c>
      <c r="AH32" s="188" t="str">
        <f t="shared" si="6"/>
        <v/>
      </c>
      <c r="AI32" s="188" t="str">
        <f t="shared" si="7"/>
        <v/>
      </c>
      <c r="AK32" s="188">
        <v>23</v>
      </c>
      <c r="AM32" s="188" t="str">
        <f t="array" ref="AM32">IFERROR(INDEX($AK$10:$AK$258, MATCH(0, IF(TRUE=$AH$10:$AH$258, COUNTIF($AM$9:$AM31, $AK$10:$AK$258), ""), 0)),"")</f>
        <v/>
      </c>
      <c r="AN32" s="188" t="str">
        <f t="array" ref="AN32">IFERROR(INDEX($AK$10:$AK$258, MATCH(0, IF(TRUE=$AI$10:$AI$258, COUNTIF($AN$9:$AN31, $AK$10:$AK$258), ""), 0)),"")</f>
        <v/>
      </c>
    </row>
    <row r="33" spans="3:40" ht="13.8" x14ac:dyDescent="0.25">
      <c r="C33" s="168">
        <v>24</v>
      </c>
      <c r="D33" s="184"/>
      <c r="E33" s="185"/>
      <c r="F33" s="171" t="str">
        <f>IF(D33="","",VLOOKUP(D33,'G-7 Rivers Data'!$B$2:$G$8,2,FALSE))</f>
        <v/>
      </c>
      <c r="G33" s="172" t="str">
        <f>IFERROR(VLOOKUP(F33,'G-7 Rivers Data'!$C$4:$D$8,2,FALSE),"")</f>
        <v/>
      </c>
      <c r="H33" s="173"/>
      <c r="I33" s="172" t="str">
        <f>IFERROR(INDEX('G-7 Rivers Data'!$H$4:$L$8,MATCH(D33,'G-7 Rivers Data'!$B$4:$B$8,0),MATCH(H33,'G-7 Rivers Data'!$H$3:$L$3,0)),"")</f>
        <v/>
      </c>
      <c r="J33" s="186"/>
      <c r="K33" s="175" t="str">
        <f>IF(J33="","",IF(VLOOKUP(J33,'G-7 Rivers Data'!$AK$4:$AM$9,2,FALSE)=0,"Spatial Data Missing",VLOOKUP(J33,'G-7 Rivers Data'!$AK$4:$AM$9,2,FALSE)))</f>
        <v/>
      </c>
      <c r="L33" s="176" t="str">
        <f>IF(J33="","",IF(VLOOKUP(J33,'G-7 Rivers Data'!$AK$4:$AM$9,3,FALSE)=0,"Spatial Data Missing",VLOOKUP(J33,'G-7 Rivers Data'!$AK$4:$AM$9,3,FALSE)))</f>
        <v/>
      </c>
      <c r="M33" s="79"/>
      <c r="N33" s="172" t="str">
        <f>IF(M33="","",IF(VLOOKUP(M33,'G-7 Rivers Data'!$AA$4:$AB$7,2,FALSE)=0,"Spatial Data Missing",VLOOKUP(M33,'G-7 Rivers Data'!$AA$4:$AB$7,2,FALSE)))</f>
        <v/>
      </c>
      <c r="O33" s="187"/>
      <c r="P33" s="172" t="str">
        <f>IF(O33="","",IF(VLOOKUP(O33,'G-7 Rivers Data'!$AD$4:$AE$8,2,FALSE)=0,"Spatial Data Missing",VLOOKUP(O33,'G-7 Rivers Data'!$AD$4:$AE$8,2,FALSE)))</f>
        <v/>
      </c>
      <c r="Q33" s="177" t="str">
        <f>IF(D33="","",VLOOKUP(D33,'G-7 Rivers Data'!$B$4:$G$8,6,FALSE))</f>
        <v/>
      </c>
      <c r="R33" s="178" t="str">
        <f t="shared" si="0"/>
        <v/>
      </c>
      <c r="S33" s="44"/>
      <c r="T33" s="173"/>
      <c r="U33" s="189"/>
      <c r="V33" s="208" t="str">
        <f t="shared" si="1"/>
        <v/>
      </c>
      <c r="W33" s="208" t="str">
        <f t="shared" si="2"/>
        <v/>
      </c>
      <c r="X33" s="208" t="str">
        <f t="shared" si="3"/>
        <v/>
      </c>
      <c r="Y33" s="209" t="str">
        <f t="shared" si="4"/>
        <v/>
      </c>
      <c r="Z33" s="182"/>
      <c r="AA33" s="183"/>
      <c r="AF33" s="35" t="str">
        <f>IFERROR(INDEX('G-7 Rivers Data'!$AZ$3:$AZ$7,MATCH(D33,'G-7 Rivers Data'!$AY$3:$AY$7,0)),"")</f>
        <v/>
      </c>
      <c r="AG33" s="35">
        <f t="shared" si="5"/>
        <v>0</v>
      </c>
      <c r="AH33" s="188" t="str">
        <f t="shared" si="6"/>
        <v/>
      </c>
      <c r="AI33" s="188" t="str">
        <f t="shared" si="7"/>
        <v/>
      </c>
      <c r="AK33" s="188">
        <v>24</v>
      </c>
      <c r="AM33" s="188" t="str">
        <f t="array" ref="AM33">IFERROR(INDEX($AK$10:$AK$258, MATCH(0, IF(TRUE=$AH$10:$AH$258, COUNTIF($AM$9:$AM32, $AK$10:$AK$258), ""), 0)),"")</f>
        <v/>
      </c>
      <c r="AN33" s="188" t="str">
        <f t="array" ref="AN33">IFERROR(INDEX($AK$10:$AK$258, MATCH(0, IF(TRUE=$AI$10:$AI$258, COUNTIF($AN$9:$AN32, $AK$10:$AK$258), ""), 0)),"")</f>
        <v/>
      </c>
    </row>
    <row r="34" spans="3:40" ht="13.8" x14ac:dyDescent="0.25">
      <c r="C34" s="168">
        <v>25</v>
      </c>
      <c r="D34" s="184"/>
      <c r="E34" s="185"/>
      <c r="F34" s="171" t="str">
        <f>IF(D34="","",VLOOKUP(D34,'G-7 Rivers Data'!$B$2:$G$8,2,FALSE))</f>
        <v/>
      </c>
      <c r="G34" s="172" t="str">
        <f>IFERROR(VLOOKUP(F34,'G-7 Rivers Data'!$C$4:$D$8,2,FALSE),"")</f>
        <v/>
      </c>
      <c r="H34" s="173"/>
      <c r="I34" s="172" t="str">
        <f>IFERROR(INDEX('G-7 Rivers Data'!$H$4:$L$8,MATCH(D34,'G-7 Rivers Data'!$B$4:$B$8,0),MATCH(H34,'G-7 Rivers Data'!$H$3:$L$3,0)),"")</f>
        <v/>
      </c>
      <c r="J34" s="186"/>
      <c r="K34" s="175" t="str">
        <f>IF(J34="","",IF(VLOOKUP(J34,'G-7 Rivers Data'!$AK$4:$AM$9,2,FALSE)=0,"Spatial Data Missing",VLOOKUP(J34,'G-7 Rivers Data'!$AK$4:$AM$9,2,FALSE)))</f>
        <v/>
      </c>
      <c r="L34" s="176" t="str">
        <f>IF(J34="","",IF(VLOOKUP(J34,'G-7 Rivers Data'!$AK$4:$AM$9,3,FALSE)=0,"Spatial Data Missing",VLOOKUP(J34,'G-7 Rivers Data'!$AK$4:$AM$9,3,FALSE)))</f>
        <v/>
      </c>
      <c r="M34" s="79"/>
      <c r="N34" s="172" t="str">
        <f>IF(M34="","",IF(VLOOKUP(M34,'G-7 Rivers Data'!$AA$4:$AB$7,2,FALSE)=0,"Spatial Data Missing",VLOOKUP(M34,'G-7 Rivers Data'!$AA$4:$AB$7,2,FALSE)))</f>
        <v/>
      </c>
      <c r="O34" s="187"/>
      <c r="P34" s="172" t="str">
        <f>IF(O34="","",IF(VLOOKUP(O34,'G-7 Rivers Data'!$AD$4:$AE$8,2,FALSE)=0,"Spatial Data Missing",VLOOKUP(O34,'G-7 Rivers Data'!$AD$4:$AE$8,2,FALSE)))</f>
        <v/>
      </c>
      <c r="Q34" s="177" t="str">
        <f>IF(D34="","",VLOOKUP(D34,'G-7 Rivers Data'!$B$4:$G$8,6,FALSE))</f>
        <v/>
      </c>
      <c r="R34" s="178" t="str">
        <f t="shared" si="0"/>
        <v/>
      </c>
      <c r="S34" s="44"/>
      <c r="T34" s="173"/>
      <c r="U34" s="189"/>
      <c r="V34" s="208" t="str">
        <f t="shared" si="1"/>
        <v/>
      </c>
      <c r="W34" s="208" t="str">
        <f t="shared" si="2"/>
        <v/>
      </c>
      <c r="X34" s="208" t="str">
        <f t="shared" si="3"/>
        <v/>
      </c>
      <c r="Y34" s="209" t="str">
        <f t="shared" si="4"/>
        <v/>
      </c>
      <c r="Z34" s="182"/>
      <c r="AA34" s="183"/>
      <c r="AF34" s="35" t="str">
        <f>IFERROR(INDEX('G-7 Rivers Data'!$AZ$3:$AZ$7,MATCH(D34,'G-7 Rivers Data'!$AY$3:$AY$7,0)),"")</f>
        <v/>
      </c>
      <c r="AG34" s="35">
        <f t="shared" si="5"/>
        <v>0</v>
      </c>
      <c r="AH34" s="188" t="str">
        <f t="shared" si="6"/>
        <v/>
      </c>
      <c r="AI34" s="188" t="str">
        <f t="shared" si="7"/>
        <v/>
      </c>
      <c r="AK34" s="188">
        <v>25</v>
      </c>
      <c r="AM34" s="188" t="str">
        <f t="array" ref="AM34">IFERROR(INDEX($AK$10:$AK$258, MATCH(0, IF(TRUE=$AH$10:$AH$258, COUNTIF($AM$9:$AM33, $AK$10:$AK$258), ""), 0)),"")</f>
        <v/>
      </c>
      <c r="AN34" s="188" t="str">
        <f t="array" ref="AN34">IFERROR(INDEX($AK$10:$AK$258, MATCH(0, IF(TRUE=$AI$10:$AI$258, COUNTIF($AN$9:$AN33, $AK$10:$AK$258), ""), 0)),"")</f>
        <v/>
      </c>
    </row>
    <row r="35" spans="3:40" ht="13.8" x14ac:dyDescent="0.25">
      <c r="C35" s="168">
        <v>26</v>
      </c>
      <c r="D35" s="184"/>
      <c r="E35" s="185"/>
      <c r="F35" s="171" t="str">
        <f>IF(D35="","",VLOOKUP(D35,'G-7 Rivers Data'!$B$2:$G$8,2,FALSE))</f>
        <v/>
      </c>
      <c r="G35" s="172" t="str">
        <f>IFERROR(VLOOKUP(F35,'G-7 Rivers Data'!$C$4:$D$8,2,FALSE),"")</f>
        <v/>
      </c>
      <c r="H35" s="173"/>
      <c r="I35" s="172" t="str">
        <f>IFERROR(INDEX('G-7 Rivers Data'!$H$4:$L$8,MATCH(D35,'G-7 Rivers Data'!$B$4:$B$8,0),MATCH(H35,'G-7 Rivers Data'!$H$3:$L$3,0)),"")</f>
        <v/>
      </c>
      <c r="J35" s="186"/>
      <c r="K35" s="175" t="str">
        <f>IF(J35="","",IF(VLOOKUP(J35,'G-7 Rivers Data'!$AK$4:$AM$9,2,FALSE)=0,"Spatial Data Missing",VLOOKUP(J35,'G-7 Rivers Data'!$AK$4:$AM$9,2,FALSE)))</f>
        <v/>
      </c>
      <c r="L35" s="176" t="str">
        <f>IF(J35="","",IF(VLOOKUP(J35,'G-7 Rivers Data'!$AK$4:$AM$9,3,FALSE)=0,"Spatial Data Missing",VLOOKUP(J35,'G-7 Rivers Data'!$AK$4:$AM$9,3,FALSE)))</f>
        <v/>
      </c>
      <c r="M35" s="79"/>
      <c r="N35" s="172" t="str">
        <f>IF(M35="","",IF(VLOOKUP(M35,'G-7 Rivers Data'!$AA$4:$AB$7,2,FALSE)=0,"Spatial Data Missing",VLOOKUP(M35,'G-7 Rivers Data'!$AA$4:$AB$7,2,FALSE)))</f>
        <v/>
      </c>
      <c r="O35" s="187"/>
      <c r="P35" s="172" t="str">
        <f>IF(O35="","",IF(VLOOKUP(O35,'G-7 Rivers Data'!$AD$4:$AE$8,2,FALSE)=0,"Spatial Data Missing",VLOOKUP(O35,'G-7 Rivers Data'!$AD$4:$AE$8,2,FALSE)))</f>
        <v/>
      </c>
      <c r="Q35" s="177" t="str">
        <f>IF(D35="","",VLOOKUP(D35,'G-7 Rivers Data'!$B$4:$G$8,6,FALSE))</f>
        <v/>
      </c>
      <c r="R35" s="178" t="str">
        <f t="shared" si="0"/>
        <v/>
      </c>
      <c r="S35" s="44"/>
      <c r="T35" s="173"/>
      <c r="U35" s="189"/>
      <c r="V35" s="208" t="str">
        <f t="shared" si="1"/>
        <v/>
      </c>
      <c r="W35" s="208" t="str">
        <f t="shared" si="2"/>
        <v/>
      </c>
      <c r="X35" s="208" t="str">
        <f t="shared" si="3"/>
        <v/>
      </c>
      <c r="Y35" s="209" t="str">
        <f t="shared" si="4"/>
        <v/>
      </c>
      <c r="Z35" s="182"/>
      <c r="AA35" s="183"/>
      <c r="AF35" s="35" t="str">
        <f>IFERROR(INDEX('G-7 Rivers Data'!$AZ$3:$AZ$7,MATCH(D35,'G-7 Rivers Data'!$AY$3:$AY$7,0)),"")</f>
        <v/>
      </c>
      <c r="AG35" s="35">
        <f t="shared" si="5"/>
        <v>0</v>
      </c>
      <c r="AH35" s="188" t="str">
        <f t="shared" si="6"/>
        <v/>
      </c>
      <c r="AI35" s="188" t="str">
        <f t="shared" si="7"/>
        <v/>
      </c>
      <c r="AK35" s="188">
        <v>26</v>
      </c>
      <c r="AM35" s="188" t="str">
        <f t="array" ref="AM35">IFERROR(INDEX($AK$10:$AK$258, MATCH(0, IF(TRUE=$AH$10:$AH$258, COUNTIF($AM$9:$AM34, $AK$10:$AK$258), ""), 0)),"")</f>
        <v/>
      </c>
      <c r="AN35" s="188" t="str">
        <f t="array" ref="AN35">IFERROR(INDEX($AK$10:$AK$258, MATCH(0, IF(TRUE=$AI$10:$AI$258, COUNTIF($AN$9:$AN34, $AK$10:$AK$258), ""), 0)),"")</f>
        <v/>
      </c>
    </row>
    <row r="36" spans="3:40" ht="13.8" x14ac:dyDescent="0.25">
      <c r="C36" s="168">
        <v>27</v>
      </c>
      <c r="D36" s="184"/>
      <c r="E36" s="185"/>
      <c r="F36" s="171" t="str">
        <f>IF(D36="","",VLOOKUP(D36,'G-7 Rivers Data'!$B$2:$G$8,2,FALSE))</f>
        <v/>
      </c>
      <c r="G36" s="172" t="str">
        <f>IFERROR(VLOOKUP(F36,'G-7 Rivers Data'!$C$4:$D$8,2,FALSE),"")</f>
        <v/>
      </c>
      <c r="H36" s="173"/>
      <c r="I36" s="172" t="str">
        <f>IFERROR(INDEX('G-7 Rivers Data'!$H$4:$L$8,MATCH(D36,'G-7 Rivers Data'!$B$4:$B$8,0),MATCH(H36,'G-7 Rivers Data'!$H$3:$L$3,0)),"")</f>
        <v/>
      </c>
      <c r="J36" s="186"/>
      <c r="K36" s="175" t="str">
        <f>IF(J36="","",IF(VLOOKUP(J36,'G-7 Rivers Data'!$AK$4:$AM$9,2,FALSE)=0,"Spatial Data Missing",VLOOKUP(J36,'G-7 Rivers Data'!$AK$4:$AM$9,2,FALSE)))</f>
        <v/>
      </c>
      <c r="L36" s="176" t="str">
        <f>IF(J36="","",IF(VLOOKUP(J36,'G-7 Rivers Data'!$AK$4:$AM$9,3,FALSE)=0,"Spatial Data Missing",VLOOKUP(J36,'G-7 Rivers Data'!$AK$4:$AM$9,3,FALSE)))</f>
        <v/>
      </c>
      <c r="M36" s="79"/>
      <c r="N36" s="172" t="str">
        <f>IF(M36="","",IF(VLOOKUP(M36,'G-7 Rivers Data'!$AA$4:$AB$7,2,FALSE)=0,"Spatial Data Missing",VLOOKUP(M36,'G-7 Rivers Data'!$AA$4:$AB$7,2,FALSE)))</f>
        <v/>
      </c>
      <c r="O36" s="187"/>
      <c r="P36" s="172" t="str">
        <f>IF(O36="","",IF(VLOOKUP(O36,'G-7 Rivers Data'!$AD$4:$AE$8,2,FALSE)=0,"Spatial Data Missing",VLOOKUP(O36,'G-7 Rivers Data'!$AD$4:$AE$8,2,FALSE)))</f>
        <v/>
      </c>
      <c r="Q36" s="177" t="str">
        <f>IF(D36="","",VLOOKUP(D36,'G-7 Rivers Data'!$B$4:$G$8,6,FALSE))</f>
        <v/>
      </c>
      <c r="R36" s="178" t="str">
        <f t="shared" si="0"/>
        <v/>
      </c>
      <c r="S36" s="44"/>
      <c r="T36" s="173"/>
      <c r="U36" s="189"/>
      <c r="V36" s="208" t="str">
        <f t="shared" si="1"/>
        <v/>
      </c>
      <c r="W36" s="208" t="str">
        <f t="shared" si="2"/>
        <v/>
      </c>
      <c r="X36" s="208" t="str">
        <f t="shared" si="3"/>
        <v/>
      </c>
      <c r="Y36" s="209" t="str">
        <f t="shared" si="4"/>
        <v/>
      </c>
      <c r="Z36" s="182"/>
      <c r="AA36" s="183"/>
      <c r="AF36" s="35" t="str">
        <f>IFERROR(INDEX('G-7 Rivers Data'!$AZ$3:$AZ$7,MATCH(D36,'G-7 Rivers Data'!$AY$3:$AY$7,0)),"")</f>
        <v/>
      </c>
      <c r="AG36" s="35">
        <f t="shared" si="5"/>
        <v>0</v>
      </c>
      <c r="AH36" s="188" t="str">
        <f t="shared" si="6"/>
        <v/>
      </c>
      <c r="AI36" s="188" t="str">
        <f t="shared" si="7"/>
        <v/>
      </c>
      <c r="AK36" s="188">
        <v>27</v>
      </c>
      <c r="AM36" s="188" t="str">
        <f t="array" ref="AM36">IFERROR(INDEX($AK$10:$AK$258, MATCH(0, IF(TRUE=$AH$10:$AH$258, COUNTIF($AM$9:$AM35, $AK$10:$AK$258), ""), 0)),"")</f>
        <v/>
      </c>
      <c r="AN36" s="188" t="str">
        <f t="array" ref="AN36">IFERROR(INDEX($AK$10:$AK$258, MATCH(0, IF(TRUE=$AI$10:$AI$258, COUNTIF($AN$9:$AN35, $AK$10:$AK$258), ""), 0)),"")</f>
        <v/>
      </c>
    </row>
    <row r="37" spans="3:40" ht="13.8" x14ac:dyDescent="0.25">
      <c r="C37" s="168">
        <v>28</v>
      </c>
      <c r="D37" s="184"/>
      <c r="E37" s="185"/>
      <c r="F37" s="171" t="str">
        <f>IF(D37="","",VLOOKUP(D37,'G-7 Rivers Data'!$B$2:$G$8,2,FALSE))</f>
        <v/>
      </c>
      <c r="G37" s="172" t="str">
        <f>IFERROR(VLOOKUP(F37,'G-7 Rivers Data'!$C$4:$D$8,2,FALSE),"")</f>
        <v/>
      </c>
      <c r="H37" s="173"/>
      <c r="I37" s="172" t="str">
        <f>IFERROR(INDEX('G-7 Rivers Data'!$H$4:$L$8,MATCH(D37,'G-7 Rivers Data'!$B$4:$B$8,0),MATCH(H37,'G-7 Rivers Data'!$H$3:$L$3,0)),"")</f>
        <v/>
      </c>
      <c r="J37" s="186"/>
      <c r="K37" s="175" t="str">
        <f>IF(J37="","",IF(VLOOKUP(J37,'G-7 Rivers Data'!$AK$4:$AM$9,2,FALSE)=0,"Spatial Data Missing",VLOOKUP(J37,'G-7 Rivers Data'!$AK$4:$AM$9,2,FALSE)))</f>
        <v/>
      </c>
      <c r="L37" s="176" t="str">
        <f>IF(J37="","",IF(VLOOKUP(J37,'G-7 Rivers Data'!$AK$4:$AM$9,3,FALSE)=0,"Spatial Data Missing",VLOOKUP(J37,'G-7 Rivers Data'!$AK$4:$AM$9,3,FALSE)))</f>
        <v/>
      </c>
      <c r="M37" s="79"/>
      <c r="N37" s="172" t="str">
        <f>IF(M37="","",IF(VLOOKUP(M37,'G-7 Rivers Data'!$AA$4:$AB$7,2,FALSE)=0,"Spatial Data Missing",VLOOKUP(M37,'G-7 Rivers Data'!$AA$4:$AB$7,2,FALSE)))</f>
        <v/>
      </c>
      <c r="O37" s="187"/>
      <c r="P37" s="172" t="str">
        <f>IF(O37="","",IF(VLOOKUP(O37,'G-7 Rivers Data'!$AD$4:$AE$8,2,FALSE)=0,"Spatial Data Missing",VLOOKUP(O37,'G-7 Rivers Data'!$AD$4:$AE$8,2,FALSE)))</f>
        <v/>
      </c>
      <c r="Q37" s="177" t="str">
        <f>IF(D37="","",VLOOKUP(D37,'G-7 Rivers Data'!$B$4:$G$8,6,FALSE))</f>
        <v/>
      </c>
      <c r="R37" s="178" t="str">
        <f t="shared" si="0"/>
        <v/>
      </c>
      <c r="S37" s="44"/>
      <c r="T37" s="173"/>
      <c r="U37" s="189"/>
      <c r="V37" s="208" t="str">
        <f t="shared" si="1"/>
        <v/>
      </c>
      <c r="W37" s="208" t="str">
        <f t="shared" si="2"/>
        <v/>
      </c>
      <c r="X37" s="208" t="str">
        <f t="shared" si="3"/>
        <v/>
      </c>
      <c r="Y37" s="209" t="str">
        <f t="shared" si="4"/>
        <v/>
      </c>
      <c r="Z37" s="182"/>
      <c r="AA37" s="183"/>
      <c r="AF37" s="35" t="str">
        <f>IFERROR(INDEX('G-7 Rivers Data'!$AZ$3:$AZ$7,MATCH(D37,'G-7 Rivers Data'!$AY$3:$AY$7,0)),"")</f>
        <v/>
      </c>
      <c r="AG37" s="35">
        <f t="shared" si="5"/>
        <v>0</v>
      </c>
      <c r="AH37" s="188" t="str">
        <f t="shared" si="6"/>
        <v/>
      </c>
      <c r="AI37" s="188" t="str">
        <f t="shared" si="7"/>
        <v/>
      </c>
      <c r="AK37" s="188">
        <v>28</v>
      </c>
      <c r="AM37" s="188" t="str">
        <f t="array" ref="AM37">IFERROR(INDEX($AK$10:$AK$258, MATCH(0, IF(TRUE=$AH$10:$AH$258, COUNTIF($AM$9:$AM36, $AK$10:$AK$258), ""), 0)),"")</f>
        <v/>
      </c>
      <c r="AN37" s="188" t="str">
        <f t="array" ref="AN37">IFERROR(INDEX($AK$10:$AK$258, MATCH(0, IF(TRUE=$AI$10:$AI$258, COUNTIF($AN$9:$AN36, $AK$10:$AK$258), ""), 0)),"")</f>
        <v/>
      </c>
    </row>
    <row r="38" spans="3:40" ht="13.8" x14ac:dyDescent="0.25">
      <c r="C38" s="168">
        <v>29</v>
      </c>
      <c r="D38" s="184"/>
      <c r="E38" s="185"/>
      <c r="F38" s="171" t="str">
        <f>IF(D38="","",VLOOKUP(D38,'G-7 Rivers Data'!$B$2:$G$8,2,FALSE))</f>
        <v/>
      </c>
      <c r="G38" s="172" t="str">
        <f>IFERROR(VLOOKUP(F38,'G-7 Rivers Data'!$C$4:$D$8,2,FALSE),"")</f>
        <v/>
      </c>
      <c r="H38" s="173"/>
      <c r="I38" s="172" t="str">
        <f>IFERROR(INDEX('G-7 Rivers Data'!$H$4:$L$8,MATCH(D38,'G-7 Rivers Data'!$B$4:$B$8,0),MATCH(H38,'G-7 Rivers Data'!$H$3:$L$3,0)),"")</f>
        <v/>
      </c>
      <c r="J38" s="186"/>
      <c r="K38" s="175" t="str">
        <f>IF(J38="","",IF(VLOOKUP(J38,'G-7 Rivers Data'!$AK$4:$AM$9,2,FALSE)=0,"Spatial Data Missing",VLOOKUP(J38,'G-7 Rivers Data'!$AK$4:$AM$9,2,FALSE)))</f>
        <v/>
      </c>
      <c r="L38" s="176" t="str">
        <f>IF(J38="","",IF(VLOOKUP(J38,'G-7 Rivers Data'!$AK$4:$AM$9,3,FALSE)=0,"Spatial Data Missing",VLOOKUP(J38,'G-7 Rivers Data'!$AK$4:$AM$9,3,FALSE)))</f>
        <v/>
      </c>
      <c r="M38" s="79"/>
      <c r="N38" s="172" t="str">
        <f>IF(M38="","",IF(VLOOKUP(M38,'G-7 Rivers Data'!$AA$4:$AB$7,2,FALSE)=0,"Spatial Data Missing",VLOOKUP(M38,'G-7 Rivers Data'!$AA$4:$AB$7,2,FALSE)))</f>
        <v/>
      </c>
      <c r="O38" s="187"/>
      <c r="P38" s="172" t="str">
        <f>IF(O38="","",IF(VLOOKUP(O38,'G-7 Rivers Data'!$AD$4:$AE$8,2,FALSE)=0,"Spatial Data Missing",VLOOKUP(O38,'G-7 Rivers Data'!$AD$4:$AE$8,2,FALSE)))</f>
        <v/>
      </c>
      <c r="Q38" s="177" t="str">
        <f>IF(D38="","",VLOOKUP(D38,'G-7 Rivers Data'!$B$4:$G$8,6,FALSE))</f>
        <v/>
      </c>
      <c r="R38" s="178" t="str">
        <f t="shared" si="0"/>
        <v/>
      </c>
      <c r="S38" s="44"/>
      <c r="T38" s="173"/>
      <c r="U38" s="189"/>
      <c r="V38" s="208" t="str">
        <f t="shared" si="1"/>
        <v/>
      </c>
      <c r="W38" s="208" t="str">
        <f t="shared" si="2"/>
        <v/>
      </c>
      <c r="X38" s="208" t="str">
        <f t="shared" si="3"/>
        <v/>
      </c>
      <c r="Y38" s="209" t="str">
        <f t="shared" si="4"/>
        <v/>
      </c>
      <c r="Z38" s="182"/>
      <c r="AA38" s="183"/>
      <c r="AF38" s="35" t="str">
        <f>IFERROR(INDEX('G-7 Rivers Data'!$AZ$3:$AZ$7,MATCH(D38,'G-7 Rivers Data'!$AY$3:$AY$7,0)),"")</f>
        <v/>
      </c>
      <c r="AG38" s="35">
        <f t="shared" si="5"/>
        <v>0</v>
      </c>
      <c r="AH38" s="188" t="str">
        <f t="shared" si="6"/>
        <v/>
      </c>
      <c r="AI38" s="188" t="str">
        <f t="shared" si="7"/>
        <v/>
      </c>
      <c r="AK38" s="188">
        <v>29</v>
      </c>
      <c r="AM38" s="188" t="str">
        <f t="array" ref="AM38">IFERROR(INDEX($AK$10:$AK$258, MATCH(0, IF(TRUE=$AH$10:$AH$258, COUNTIF($AM$9:$AM37, $AK$10:$AK$258), ""), 0)),"")</f>
        <v/>
      </c>
      <c r="AN38" s="188" t="str">
        <f t="array" ref="AN38">IFERROR(INDEX($AK$10:$AK$258, MATCH(0, IF(TRUE=$AI$10:$AI$258, COUNTIF($AN$9:$AN37, $AK$10:$AK$258), ""), 0)),"")</f>
        <v/>
      </c>
    </row>
    <row r="39" spans="3:40" ht="13.8" x14ac:dyDescent="0.25">
      <c r="C39" s="168">
        <v>30</v>
      </c>
      <c r="D39" s="184"/>
      <c r="E39" s="185"/>
      <c r="F39" s="171" t="str">
        <f>IF(D39="","",VLOOKUP(D39,'G-7 Rivers Data'!$B$2:$G$8,2,FALSE))</f>
        <v/>
      </c>
      <c r="G39" s="172" t="str">
        <f>IFERROR(VLOOKUP(F39,'G-7 Rivers Data'!$C$4:$D$8,2,FALSE),"")</f>
        <v/>
      </c>
      <c r="H39" s="173"/>
      <c r="I39" s="172" t="str">
        <f>IFERROR(INDEX('G-7 Rivers Data'!$H$4:$L$8,MATCH(D39,'G-7 Rivers Data'!$B$4:$B$8,0),MATCH(H39,'G-7 Rivers Data'!$H$3:$L$3,0)),"")</f>
        <v/>
      </c>
      <c r="J39" s="186"/>
      <c r="K39" s="175" t="str">
        <f>IF(J39="","",IF(VLOOKUP(J39,'G-7 Rivers Data'!$AK$4:$AM$9,2,FALSE)=0,"Spatial Data Missing",VLOOKUP(J39,'G-7 Rivers Data'!$AK$4:$AM$9,2,FALSE)))</f>
        <v/>
      </c>
      <c r="L39" s="176" t="str">
        <f>IF(J39="","",IF(VLOOKUP(J39,'G-7 Rivers Data'!$AK$4:$AM$9,3,FALSE)=0,"Spatial Data Missing",VLOOKUP(J39,'G-7 Rivers Data'!$AK$4:$AM$9,3,FALSE)))</f>
        <v/>
      </c>
      <c r="M39" s="79"/>
      <c r="N39" s="172" t="str">
        <f>IF(M39="","",IF(VLOOKUP(M39,'G-7 Rivers Data'!$AA$4:$AB$7,2,FALSE)=0,"Spatial Data Missing",VLOOKUP(M39,'G-7 Rivers Data'!$AA$4:$AB$7,2,FALSE)))</f>
        <v/>
      </c>
      <c r="O39" s="187"/>
      <c r="P39" s="172" t="str">
        <f>IF(O39="","",IF(VLOOKUP(O39,'G-7 Rivers Data'!$AD$4:$AE$8,2,FALSE)=0,"Spatial Data Missing",VLOOKUP(O39,'G-7 Rivers Data'!$AD$4:$AE$8,2,FALSE)))</f>
        <v/>
      </c>
      <c r="Q39" s="177" t="str">
        <f>IF(D39="","",VLOOKUP(D39,'G-7 Rivers Data'!$B$4:$G$8,6,FALSE))</f>
        <v/>
      </c>
      <c r="R39" s="178" t="str">
        <f t="shared" si="0"/>
        <v/>
      </c>
      <c r="S39" s="44"/>
      <c r="T39" s="173"/>
      <c r="U39" s="189"/>
      <c r="V39" s="208" t="str">
        <f t="shared" si="1"/>
        <v/>
      </c>
      <c r="W39" s="208" t="str">
        <f t="shared" si="2"/>
        <v/>
      </c>
      <c r="X39" s="208" t="str">
        <f t="shared" si="3"/>
        <v/>
      </c>
      <c r="Y39" s="209" t="str">
        <f t="shared" si="4"/>
        <v/>
      </c>
      <c r="Z39" s="182"/>
      <c r="AA39" s="183"/>
      <c r="AF39" s="35" t="str">
        <f>IFERROR(INDEX('G-7 Rivers Data'!$AZ$3:$AZ$7,MATCH(D39,'G-7 Rivers Data'!$AY$3:$AY$7,0)),"")</f>
        <v/>
      </c>
      <c r="AG39" s="35">
        <f t="shared" si="5"/>
        <v>0</v>
      </c>
      <c r="AH39" s="188" t="str">
        <f t="shared" si="6"/>
        <v/>
      </c>
      <c r="AI39" s="188" t="str">
        <f t="shared" si="7"/>
        <v/>
      </c>
      <c r="AK39" s="188">
        <v>30</v>
      </c>
      <c r="AM39" s="188" t="str">
        <f t="array" ref="AM39">IFERROR(INDEX($AK$10:$AK$258, MATCH(0, IF(TRUE=$AH$10:$AH$258, COUNTIF($AM$9:$AM38, $AK$10:$AK$258), ""), 0)),"")</f>
        <v/>
      </c>
      <c r="AN39" s="188" t="str">
        <f t="array" ref="AN39">IFERROR(INDEX($AK$10:$AK$258, MATCH(0, IF(TRUE=$AI$10:$AI$258, COUNTIF($AN$9:$AN38, $AK$10:$AK$258), ""), 0)),"")</f>
        <v/>
      </c>
    </row>
    <row r="40" spans="3:40" ht="13.8" x14ac:dyDescent="0.25">
      <c r="C40" s="168">
        <v>31</v>
      </c>
      <c r="D40" s="184"/>
      <c r="E40" s="185"/>
      <c r="F40" s="171" t="str">
        <f>IF(D40="","",VLOOKUP(D40,'G-7 Rivers Data'!$B$2:$G$8,2,FALSE))</f>
        <v/>
      </c>
      <c r="G40" s="172" t="str">
        <f>IFERROR(VLOOKUP(F40,'G-7 Rivers Data'!$C$4:$D$8,2,FALSE),"")</f>
        <v/>
      </c>
      <c r="H40" s="173"/>
      <c r="I40" s="172" t="str">
        <f>IFERROR(INDEX('G-7 Rivers Data'!$H$4:$L$8,MATCH(D40,'G-7 Rivers Data'!$B$4:$B$8,0),MATCH(H40,'G-7 Rivers Data'!$H$3:$L$3,0)),"")</f>
        <v/>
      </c>
      <c r="J40" s="186"/>
      <c r="K40" s="175" t="str">
        <f>IF(J40="","",IF(VLOOKUP(J40,'G-7 Rivers Data'!$AK$4:$AM$9,2,FALSE)=0,"Spatial Data Missing",VLOOKUP(J40,'G-7 Rivers Data'!$AK$4:$AM$9,2,FALSE)))</f>
        <v/>
      </c>
      <c r="L40" s="176" t="str">
        <f>IF(J40="","",IF(VLOOKUP(J40,'G-7 Rivers Data'!$AK$4:$AM$9,3,FALSE)=0,"Spatial Data Missing",VLOOKUP(J40,'G-7 Rivers Data'!$AK$4:$AM$9,3,FALSE)))</f>
        <v/>
      </c>
      <c r="M40" s="79"/>
      <c r="N40" s="172" t="str">
        <f>IF(M40="","",IF(VLOOKUP(M40,'G-7 Rivers Data'!$AA$4:$AB$7,2,FALSE)=0,"Spatial Data Missing",VLOOKUP(M40,'G-7 Rivers Data'!$AA$4:$AB$7,2,FALSE)))</f>
        <v/>
      </c>
      <c r="O40" s="187"/>
      <c r="P40" s="172" t="str">
        <f>IF(O40="","",IF(VLOOKUP(O40,'G-7 Rivers Data'!$AD$4:$AE$8,2,FALSE)=0,"Spatial Data Missing",VLOOKUP(O40,'G-7 Rivers Data'!$AD$4:$AE$8,2,FALSE)))</f>
        <v/>
      </c>
      <c r="Q40" s="177" t="str">
        <f>IF(D40="","",VLOOKUP(D40,'G-7 Rivers Data'!$B$4:$G$8,6,FALSE))</f>
        <v/>
      </c>
      <c r="R40" s="178" t="str">
        <f t="shared" si="0"/>
        <v/>
      </c>
      <c r="S40" s="44"/>
      <c r="T40" s="173"/>
      <c r="U40" s="189"/>
      <c r="V40" s="208" t="str">
        <f t="shared" si="1"/>
        <v/>
      </c>
      <c r="W40" s="208" t="str">
        <f t="shared" si="2"/>
        <v/>
      </c>
      <c r="X40" s="208" t="str">
        <f t="shared" si="3"/>
        <v/>
      </c>
      <c r="Y40" s="209" t="str">
        <f t="shared" si="4"/>
        <v/>
      </c>
      <c r="Z40" s="182"/>
      <c r="AA40" s="183"/>
      <c r="AF40" s="35" t="str">
        <f>IFERROR(INDEX('G-7 Rivers Data'!$AZ$3:$AZ$7,MATCH(D40,'G-7 Rivers Data'!$AY$3:$AY$7,0)),"")</f>
        <v/>
      </c>
      <c r="AG40" s="35">
        <f t="shared" si="5"/>
        <v>0</v>
      </c>
      <c r="AH40" s="188" t="str">
        <f t="shared" si="6"/>
        <v/>
      </c>
      <c r="AI40" s="188" t="str">
        <f t="shared" si="7"/>
        <v/>
      </c>
      <c r="AK40" s="188">
        <v>31</v>
      </c>
      <c r="AM40" s="188" t="str">
        <f t="array" ref="AM40">IFERROR(INDEX($AK$10:$AK$258, MATCH(0, IF(TRUE=$AH$10:$AH$258, COUNTIF($AM$9:$AM39, $AK$10:$AK$258), ""), 0)),"")</f>
        <v/>
      </c>
      <c r="AN40" s="188" t="str">
        <f t="array" ref="AN40">IFERROR(INDEX($AK$10:$AK$258, MATCH(0, IF(TRUE=$AI$10:$AI$258, COUNTIF($AN$9:$AN39, $AK$10:$AK$258), ""), 0)),"")</f>
        <v/>
      </c>
    </row>
    <row r="41" spans="3:40" ht="13.8" x14ac:dyDescent="0.25">
      <c r="C41" s="168">
        <v>32</v>
      </c>
      <c r="D41" s="184"/>
      <c r="E41" s="185"/>
      <c r="F41" s="171" t="str">
        <f>IF(D41="","",VLOOKUP(D41,'G-7 Rivers Data'!$B$2:$G$8,2,FALSE))</f>
        <v/>
      </c>
      <c r="G41" s="172" t="str">
        <f>IFERROR(VLOOKUP(F41,'G-7 Rivers Data'!$C$4:$D$8,2,FALSE),"")</f>
        <v/>
      </c>
      <c r="H41" s="173"/>
      <c r="I41" s="172" t="str">
        <f>IFERROR(INDEX('G-7 Rivers Data'!$H$4:$L$8,MATCH(D41,'G-7 Rivers Data'!$B$4:$B$8,0),MATCH(H41,'G-7 Rivers Data'!$H$3:$L$3,0)),"")</f>
        <v/>
      </c>
      <c r="J41" s="186"/>
      <c r="K41" s="175" t="str">
        <f>IF(J41="","",IF(VLOOKUP(J41,'G-7 Rivers Data'!$AK$4:$AM$9,2,FALSE)=0,"Spatial Data Missing",VLOOKUP(J41,'G-7 Rivers Data'!$AK$4:$AM$9,2,FALSE)))</f>
        <v/>
      </c>
      <c r="L41" s="176" t="str">
        <f>IF(J41="","",IF(VLOOKUP(J41,'G-7 Rivers Data'!$AK$4:$AM$9,3,FALSE)=0,"Spatial Data Missing",VLOOKUP(J41,'G-7 Rivers Data'!$AK$4:$AM$9,3,FALSE)))</f>
        <v/>
      </c>
      <c r="M41" s="79"/>
      <c r="N41" s="172" t="str">
        <f>IF(M41="","",IF(VLOOKUP(M41,'G-7 Rivers Data'!$AA$4:$AB$7,2,FALSE)=0,"Spatial Data Missing",VLOOKUP(M41,'G-7 Rivers Data'!$AA$4:$AB$7,2,FALSE)))</f>
        <v/>
      </c>
      <c r="O41" s="187"/>
      <c r="P41" s="172" t="str">
        <f>IF(O41="","",IF(VLOOKUP(O41,'G-7 Rivers Data'!$AD$4:$AE$8,2,FALSE)=0,"Spatial Data Missing",VLOOKUP(O41,'G-7 Rivers Data'!$AD$4:$AE$8,2,FALSE)))</f>
        <v/>
      </c>
      <c r="Q41" s="177" t="str">
        <f>IF(D41="","",VLOOKUP(D41,'G-7 Rivers Data'!$B$4:$G$8,6,FALSE))</f>
        <v/>
      </c>
      <c r="R41" s="178" t="str">
        <f t="shared" si="0"/>
        <v/>
      </c>
      <c r="S41" s="44"/>
      <c r="T41" s="173"/>
      <c r="U41" s="189"/>
      <c r="V41" s="208" t="str">
        <f t="shared" si="1"/>
        <v/>
      </c>
      <c r="W41" s="208" t="str">
        <f t="shared" si="2"/>
        <v/>
      </c>
      <c r="X41" s="208" t="str">
        <f t="shared" si="3"/>
        <v/>
      </c>
      <c r="Y41" s="209" t="str">
        <f t="shared" si="4"/>
        <v/>
      </c>
      <c r="Z41" s="182"/>
      <c r="AA41" s="183"/>
      <c r="AF41" s="35" t="str">
        <f>IFERROR(INDEX('G-7 Rivers Data'!$AZ$3:$AZ$7,MATCH(D41,'G-7 Rivers Data'!$AY$3:$AY$7,0)),"")</f>
        <v/>
      </c>
      <c r="AG41" s="35">
        <f t="shared" si="5"/>
        <v>0</v>
      </c>
      <c r="AH41" s="188" t="str">
        <f t="shared" si="6"/>
        <v/>
      </c>
      <c r="AI41" s="188" t="str">
        <f t="shared" si="7"/>
        <v/>
      </c>
      <c r="AK41" s="188">
        <v>32</v>
      </c>
      <c r="AM41" s="188" t="str">
        <f t="array" ref="AM41">IFERROR(INDEX($AK$10:$AK$258, MATCH(0, IF(TRUE=$AH$10:$AH$258, COUNTIF($AM$9:$AM40, $AK$10:$AK$258), ""), 0)),"")</f>
        <v/>
      </c>
      <c r="AN41" s="188" t="str">
        <f t="array" ref="AN41">IFERROR(INDEX($AK$10:$AK$258, MATCH(0, IF(TRUE=$AI$10:$AI$258, COUNTIF($AN$9:$AN40, $AK$10:$AK$258), ""), 0)),"")</f>
        <v/>
      </c>
    </row>
    <row r="42" spans="3:40" ht="13.8" x14ac:dyDescent="0.25">
      <c r="C42" s="168">
        <v>33</v>
      </c>
      <c r="D42" s="184"/>
      <c r="E42" s="185"/>
      <c r="F42" s="171" t="str">
        <f>IF(D42="","",VLOOKUP(D42,'G-7 Rivers Data'!$B$2:$G$8,2,FALSE))</f>
        <v/>
      </c>
      <c r="G42" s="172" t="str">
        <f>IFERROR(VLOOKUP(F42,'G-7 Rivers Data'!$C$4:$D$8,2,FALSE),"")</f>
        <v/>
      </c>
      <c r="H42" s="173"/>
      <c r="I42" s="172" t="str">
        <f>IFERROR(INDEX('G-7 Rivers Data'!$H$4:$L$8,MATCH(D42,'G-7 Rivers Data'!$B$4:$B$8,0),MATCH(H42,'G-7 Rivers Data'!$H$3:$L$3,0)),"")</f>
        <v/>
      </c>
      <c r="J42" s="186"/>
      <c r="K42" s="175" t="str">
        <f>IF(J42="","",IF(VLOOKUP(J42,'G-7 Rivers Data'!$AK$4:$AM$9,2,FALSE)=0,"Spatial Data Missing",VLOOKUP(J42,'G-7 Rivers Data'!$AK$4:$AM$9,2,FALSE)))</f>
        <v/>
      </c>
      <c r="L42" s="176" t="str">
        <f>IF(J42="","",IF(VLOOKUP(J42,'G-7 Rivers Data'!$AK$4:$AM$9,3,FALSE)=0,"Spatial Data Missing",VLOOKUP(J42,'G-7 Rivers Data'!$AK$4:$AM$9,3,FALSE)))</f>
        <v/>
      </c>
      <c r="M42" s="79"/>
      <c r="N42" s="172" t="str">
        <f>IF(M42="","",IF(VLOOKUP(M42,'G-7 Rivers Data'!$AA$4:$AB$7,2,FALSE)=0,"Spatial Data Missing",VLOOKUP(M42,'G-7 Rivers Data'!$AA$4:$AB$7,2,FALSE)))</f>
        <v/>
      </c>
      <c r="O42" s="187"/>
      <c r="P42" s="172" t="str">
        <f>IF(O42="","",IF(VLOOKUP(O42,'G-7 Rivers Data'!$AD$4:$AE$8,2,FALSE)=0,"Spatial Data Missing",VLOOKUP(O42,'G-7 Rivers Data'!$AD$4:$AE$8,2,FALSE)))</f>
        <v/>
      </c>
      <c r="Q42" s="177" t="str">
        <f>IF(D42="","",VLOOKUP(D42,'G-7 Rivers Data'!$B$4:$G$8,6,FALSE))</f>
        <v/>
      </c>
      <c r="R42" s="178" t="str">
        <f t="shared" si="0"/>
        <v/>
      </c>
      <c r="S42" s="44"/>
      <c r="T42" s="173"/>
      <c r="U42" s="189"/>
      <c r="V42" s="208" t="str">
        <f t="shared" si="1"/>
        <v/>
      </c>
      <c r="W42" s="208" t="str">
        <f t="shared" si="2"/>
        <v/>
      </c>
      <c r="X42" s="208" t="str">
        <f t="shared" si="3"/>
        <v/>
      </c>
      <c r="Y42" s="209" t="str">
        <f t="shared" si="4"/>
        <v/>
      </c>
      <c r="Z42" s="182"/>
      <c r="AA42" s="183"/>
      <c r="AF42" s="35" t="str">
        <f>IFERROR(INDEX('G-7 Rivers Data'!$AZ$3:$AZ$7,MATCH(D42,'G-7 Rivers Data'!$AY$3:$AY$7,0)),"")</f>
        <v/>
      </c>
      <c r="AG42" s="35">
        <f t="shared" si="5"/>
        <v>0</v>
      </c>
      <c r="AH42" s="188" t="str">
        <f t="shared" si="6"/>
        <v/>
      </c>
      <c r="AI42" s="188" t="str">
        <f t="shared" si="7"/>
        <v/>
      </c>
      <c r="AK42" s="188">
        <v>33</v>
      </c>
      <c r="AM42" s="188" t="str">
        <f t="array" ref="AM42">IFERROR(INDEX($AK$10:$AK$258, MATCH(0, IF(TRUE=$AH$10:$AH$258, COUNTIF($AM$9:$AM41, $AK$10:$AK$258), ""), 0)),"")</f>
        <v/>
      </c>
      <c r="AN42" s="188" t="str">
        <f t="array" ref="AN42">IFERROR(INDEX($AK$10:$AK$258, MATCH(0, IF(TRUE=$AI$10:$AI$258, COUNTIF($AN$9:$AN41, $AK$10:$AK$258), ""), 0)),"")</f>
        <v/>
      </c>
    </row>
    <row r="43" spans="3:40" ht="13.8" x14ac:dyDescent="0.25">
      <c r="C43" s="168">
        <v>34</v>
      </c>
      <c r="D43" s="184"/>
      <c r="E43" s="185"/>
      <c r="F43" s="171" t="str">
        <f>IF(D43="","",VLOOKUP(D43,'G-7 Rivers Data'!$B$2:$G$8,2,FALSE))</f>
        <v/>
      </c>
      <c r="G43" s="172" t="str">
        <f>IFERROR(VLOOKUP(F43,'G-7 Rivers Data'!$C$4:$D$8,2,FALSE),"")</f>
        <v/>
      </c>
      <c r="H43" s="173"/>
      <c r="I43" s="172" t="str">
        <f>IFERROR(INDEX('G-7 Rivers Data'!$H$4:$L$8,MATCH(D43,'G-7 Rivers Data'!$B$4:$B$8,0),MATCH(H43,'G-7 Rivers Data'!$H$3:$L$3,0)),"")</f>
        <v/>
      </c>
      <c r="J43" s="186"/>
      <c r="K43" s="175" t="str">
        <f>IF(J43="","",IF(VLOOKUP(J43,'G-7 Rivers Data'!$AK$4:$AM$9,2,FALSE)=0,"Spatial Data Missing",VLOOKUP(J43,'G-7 Rivers Data'!$AK$4:$AM$9,2,FALSE)))</f>
        <v/>
      </c>
      <c r="L43" s="176" t="str">
        <f>IF(J43="","",IF(VLOOKUP(J43,'G-7 Rivers Data'!$AK$4:$AM$9,3,FALSE)=0,"Spatial Data Missing",VLOOKUP(J43,'G-7 Rivers Data'!$AK$4:$AM$9,3,FALSE)))</f>
        <v/>
      </c>
      <c r="M43" s="79"/>
      <c r="N43" s="172" t="str">
        <f>IF(M43="","",IF(VLOOKUP(M43,'G-7 Rivers Data'!$AA$4:$AB$7,2,FALSE)=0,"Spatial Data Missing",VLOOKUP(M43,'G-7 Rivers Data'!$AA$4:$AB$7,2,FALSE)))</f>
        <v/>
      </c>
      <c r="O43" s="187"/>
      <c r="P43" s="172" t="str">
        <f>IF(O43="","",IF(VLOOKUP(O43,'G-7 Rivers Data'!$AD$4:$AE$8,2,FALSE)=0,"Spatial Data Missing",VLOOKUP(O43,'G-7 Rivers Data'!$AD$4:$AE$8,2,FALSE)))</f>
        <v/>
      </c>
      <c r="Q43" s="177" t="str">
        <f>IF(D43="","",VLOOKUP(D43,'G-7 Rivers Data'!$B$4:$G$8,6,FALSE))</f>
        <v/>
      </c>
      <c r="R43" s="178" t="str">
        <f t="shared" si="0"/>
        <v/>
      </c>
      <c r="S43" s="44"/>
      <c r="T43" s="173"/>
      <c r="U43" s="189"/>
      <c r="V43" s="208" t="str">
        <f t="shared" si="1"/>
        <v/>
      </c>
      <c r="W43" s="208" t="str">
        <f t="shared" si="2"/>
        <v/>
      </c>
      <c r="X43" s="208" t="str">
        <f t="shared" si="3"/>
        <v/>
      </c>
      <c r="Y43" s="209" t="str">
        <f t="shared" si="4"/>
        <v/>
      </c>
      <c r="Z43" s="182"/>
      <c r="AA43" s="183"/>
      <c r="AF43" s="35" t="str">
        <f>IFERROR(INDEX('G-7 Rivers Data'!$AZ$3:$AZ$7,MATCH(D43,'G-7 Rivers Data'!$AY$3:$AY$7,0)),"")</f>
        <v/>
      </c>
      <c r="AG43" s="35">
        <f t="shared" si="5"/>
        <v>0</v>
      </c>
      <c r="AH43" s="188" t="str">
        <f t="shared" si="6"/>
        <v/>
      </c>
      <c r="AI43" s="188" t="str">
        <f t="shared" si="7"/>
        <v/>
      </c>
      <c r="AK43" s="188">
        <v>34</v>
      </c>
      <c r="AM43" s="188" t="str">
        <f t="array" ref="AM43">IFERROR(INDEX($AK$10:$AK$258, MATCH(0, IF(TRUE=$AH$10:$AH$258, COUNTIF($AM$9:$AM42, $AK$10:$AK$258), ""), 0)),"")</f>
        <v/>
      </c>
      <c r="AN43" s="188" t="str">
        <f t="array" ref="AN43">IFERROR(INDEX($AK$10:$AK$258, MATCH(0, IF(TRUE=$AI$10:$AI$258, COUNTIF($AN$9:$AN42, $AK$10:$AK$258), ""), 0)),"")</f>
        <v/>
      </c>
    </row>
    <row r="44" spans="3:40" ht="13.8" x14ac:dyDescent="0.25">
      <c r="C44" s="168">
        <v>35</v>
      </c>
      <c r="D44" s="184"/>
      <c r="E44" s="185"/>
      <c r="F44" s="171" t="str">
        <f>IF(D44="","",VLOOKUP(D44,'G-7 Rivers Data'!$B$2:$G$8,2,FALSE))</f>
        <v/>
      </c>
      <c r="G44" s="172" t="str">
        <f>IFERROR(VLOOKUP(F44,'G-7 Rivers Data'!$C$4:$D$8,2,FALSE),"")</f>
        <v/>
      </c>
      <c r="H44" s="173"/>
      <c r="I44" s="172" t="str">
        <f>IFERROR(INDEX('G-7 Rivers Data'!$H$4:$L$8,MATCH(D44,'G-7 Rivers Data'!$B$4:$B$8,0),MATCH(H44,'G-7 Rivers Data'!$H$3:$L$3,0)),"")</f>
        <v/>
      </c>
      <c r="J44" s="186"/>
      <c r="K44" s="175" t="str">
        <f>IF(J44="","",IF(VLOOKUP(J44,'G-7 Rivers Data'!$AK$4:$AM$9,2,FALSE)=0,"Spatial Data Missing",VLOOKUP(J44,'G-7 Rivers Data'!$AK$4:$AM$9,2,FALSE)))</f>
        <v/>
      </c>
      <c r="L44" s="176" t="str">
        <f>IF(J44="","",IF(VLOOKUP(J44,'G-7 Rivers Data'!$AK$4:$AM$9,3,FALSE)=0,"Spatial Data Missing",VLOOKUP(J44,'G-7 Rivers Data'!$AK$4:$AM$9,3,FALSE)))</f>
        <v/>
      </c>
      <c r="M44" s="79"/>
      <c r="N44" s="172" t="str">
        <f>IF(M44="","",IF(VLOOKUP(M44,'G-7 Rivers Data'!$AA$4:$AB$7,2,FALSE)=0,"Spatial Data Missing",VLOOKUP(M44,'G-7 Rivers Data'!$AA$4:$AB$7,2,FALSE)))</f>
        <v/>
      </c>
      <c r="O44" s="187"/>
      <c r="P44" s="172" t="str">
        <f>IF(O44="","",IF(VLOOKUP(O44,'G-7 Rivers Data'!$AD$4:$AE$8,2,FALSE)=0,"Spatial Data Missing",VLOOKUP(O44,'G-7 Rivers Data'!$AD$4:$AE$8,2,FALSE)))</f>
        <v/>
      </c>
      <c r="Q44" s="177" t="str">
        <f>IF(D44="","",VLOOKUP(D44,'G-7 Rivers Data'!$B$4:$G$8,6,FALSE))</f>
        <v/>
      </c>
      <c r="R44" s="178" t="str">
        <f t="shared" si="0"/>
        <v/>
      </c>
      <c r="S44" s="44"/>
      <c r="T44" s="173"/>
      <c r="U44" s="189"/>
      <c r="V44" s="208" t="str">
        <f t="shared" si="1"/>
        <v/>
      </c>
      <c r="W44" s="208" t="str">
        <f t="shared" si="2"/>
        <v/>
      </c>
      <c r="X44" s="208" t="str">
        <f t="shared" si="3"/>
        <v/>
      </c>
      <c r="Y44" s="209" t="str">
        <f t="shared" si="4"/>
        <v/>
      </c>
      <c r="Z44" s="182"/>
      <c r="AA44" s="183"/>
      <c r="AF44" s="35" t="str">
        <f>IFERROR(INDEX('G-7 Rivers Data'!$AZ$3:$AZ$7,MATCH(D44,'G-7 Rivers Data'!$AY$3:$AY$7,0)),"")</f>
        <v/>
      </c>
      <c r="AG44" s="35">
        <f t="shared" si="5"/>
        <v>0</v>
      </c>
      <c r="AH44" s="188" t="str">
        <f t="shared" si="6"/>
        <v/>
      </c>
      <c r="AI44" s="188" t="str">
        <f t="shared" si="7"/>
        <v/>
      </c>
      <c r="AK44" s="188">
        <v>35</v>
      </c>
      <c r="AM44" s="188" t="str">
        <f t="array" ref="AM44">IFERROR(INDEX($AK$10:$AK$258, MATCH(0, IF(TRUE=$AH$10:$AH$258, COUNTIF($AM$9:$AM43, $AK$10:$AK$258), ""), 0)),"")</f>
        <v/>
      </c>
      <c r="AN44" s="188" t="str">
        <f t="array" ref="AN44">IFERROR(INDEX($AK$10:$AK$258, MATCH(0, IF(TRUE=$AI$10:$AI$258, COUNTIF($AN$9:$AN43, $AK$10:$AK$258), ""), 0)),"")</f>
        <v/>
      </c>
    </row>
    <row r="45" spans="3:40" ht="13.8" x14ac:dyDescent="0.25">
      <c r="C45" s="168">
        <v>36</v>
      </c>
      <c r="D45" s="184"/>
      <c r="E45" s="185"/>
      <c r="F45" s="171" t="str">
        <f>IF(D45="","",VLOOKUP(D45,'G-7 Rivers Data'!$B$2:$G$8,2,FALSE))</f>
        <v/>
      </c>
      <c r="G45" s="172" t="str">
        <f>IFERROR(VLOOKUP(F45,'G-7 Rivers Data'!$C$4:$D$8,2,FALSE),"")</f>
        <v/>
      </c>
      <c r="H45" s="173"/>
      <c r="I45" s="172" t="str">
        <f>IFERROR(INDEX('G-7 Rivers Data'!$H$4:$L$8,MATCH(D45,'G-7 Rivers Data'!$B$4:$B$8,0),MATCH(H45,'G-7 Rivers Data'!$H$3:$L$3,0)),"")</f>
        <v/>
      </c>
      <c r="J45" s="186"/>
      <c r="K45" s="175" t="str">
        <f>IF(J45="","",IF(VLOOKUP(J45,'G-7 Rivers Data'!$AK$4:$AM$9,2,FALSE)=0,"Spatial Data Missing",VLOOKUP(J45,'G-7 Rivers Data'!$AK$4:$AM$9,2,FALSE)))</f>
        <v/>
      </c>
      <c r="L45" s="176" t="str">
        <f>IF(J45="","",IF(VLOOKUP(J45,'G-7 Rivers Data'!$AK$4:$AM$9,3,FALSE)=0,"Spatial Data Missing",VLOOKUP(J45,'G-7 Rivers Data'!$AK$4:$AM$9,3,FALSE)))</f>
        <v/>
      </c>
      <c r="M45" s="79"/>
      <c r="N45" s="172" t="str">
        <f>IF(M45="","",IF(VLOOKUP(M45,'G-7 Rivers Data'!$AA$4:$AB$7,2,FALSE)=0,"Spatial Data Missing",VLOOKUP(M45,'G-7 Rivers Data'!$AA$4:$AB$7,2,FALSE)))</f>
        <v/>
      </c>
      <c r="O45" s="187"/>
      <c r="P45" s="172" t="str">
        <f>IF(O45="","",IF(VLOOKUP(O45,'G-7 Rivers Data'!$AD$4:$AE$8,2,FALSE)=0,"Spatial Data Missing",VLOOKUP(O45,'G-7 Rivers Data'!$AD$4:$AE$8,2,FALSE)))</f>
        <v/>
      </c>
      <c r="Q45" s="177" t="str">
        <f>IF(D45="","",VLOOKUP(D45,'G-7 Rivers Data'!$B$4:$G$8,6,FALSE))</f>
        <v/>
      </c>
      <c r="R45" s="178" t="str">
        <f t="shared" si="0"/>
        <v/>
      </c>
      <c r="S45" s="44"/>
      <c r="T45" s="173"/>
      <c r="U45" s="189"/>
      <c r="V45" s="208" t="str">
        <f t="shared" si="1"/>
        <v/>
      </c>
      <c r="W45" s="208" t="str">
        <f t="shared" si="2"/>
        <v/>
      </c>
      <c r="X45" s="208" t="str">
        <f t="shared" si="3"/>
        <v/>
      </c>
      <c r="Y45" s="209" t="str">
        <f t="shared" si="4"/>
        <v/>
      </c>
      <c r="Z45" s="182"/>
      <c r="AA45" s="183"/>
      <c r="AF45" s="35" t="str">
        <f>IFERROR(INDEX('G-7 Rivers Data'!$AZ$3:$AZ$7,MATCH(D45,'G-7 Rivers Data'!$AY$3:$AY$7,0)),"")</f>
        <v/>
      </c>
      <c r="AG45" s="35">
        <f t="shared" si="5"/>
        <v>0</v>
      </c>
      <c r="AH45" s="188" t="str">
        <f t="shared" si="6"/>
        <v/>
      </c>
      <c r="AI45" s="188" t="str">
        <f t="shared" si="7"/>
        <v/>
      </c>
      <c r="AK45" s="188">
        <v>36</v>
      </c>
      <c r="AM45" s="188" t="str">
        <f t="array" ref="AM45">IFERROR(INDEX($AK$10:$AK$258, MATCH(0, IF(TRUE=$AH$10:$AH$258, COUNTIF($AM$9:$AM44, $AK$10:$AK$258), ""), 0)),"")</f>
        <v/>
      </c>
      <c r="AN45" s="188" t="str">
        <f t="array" ref="AN45">IFERROR(INDEX($AK$10:$AK$258, MATCH(0, IF(TRUE=$AI$10:$AI$258, COUNTIF($AN$9:$AN44, $AK$10:$AK$258), ""), 0)),"")</f>
        <v/>
      </c>
    </row>
    <row r="46" spans="3:40" ht="13.8" x14ac:dyDescent="0.25">
      <c r="C46" s="168">
        <v>37</v>
      </c>
      <c r="D46" s="184"/>
      <c r="E46" s="185"/>
      <c r="F46" s="171" t="str">
        <f>IF(D46="","",VLOOKUP(D46,'G-7 Rivers Data'!$B$2:$G$8,2,FALSE))</f>
        <v/>
      </c>
      <c r="G46" s="172" t="str">
        <f>IFERROR(VLOOKUP(F46,'G-7 Rivers Data'!$C$4:$D$8,2,FALSE),"")</f>
        <v/>
      </c>
      <c r="H46" s="173"/>
      <c r="I46" s="172" t="str">
        <f>IFERROR(INDEX('G-7 Rivers Data'!$H$4:$L$8,MATCH(D46,'G-7 Rivers Data'!$B$4:$B$8,0),MATCH(H46,'G-7 Rivers Data'!$H$3:$L$3,0)),"")</f>
        <v/>
      </c>
      <c r="J46" s="186"/>
      <c r="K46" s="175" t="str">
        <f>IF(J46="","",IF(VLOOKUP(J46,'G-7 Rivers Data'!$AK$4:$AM$9,2,FALSE)=0,"Spatial Data Missing",VLOOKUP(J46,'G-7 Rivers Data'!$AK$4:$AM$9,2,FALSE)))</f>
        <v/>
      </c>
      <c r="L46" s="176" t="str">
        <f>IF(J46="","",IF(VLOOKUP(J46,'G-7 Rivers Data'!$AK$4:$AM$9,3,FALSE)=0,"Spatial Data Missing",VLOOKUP(J46,'G-7 Rivers Data'!$AK$4:$AM$9,3,FALSE)))</f>
        <v/>
      </c>
      <c r="M46" s="79"/>
      <c r="N46" s="172" t="str">
        <f>IF(M46="","",IF(VLOOKUP(M46,'G-7 Rivers Data'!$AA$4:$AB$7,2,FALSE)=0,"Spatial Data Missing",VLOOKUP(M46,'G-7 Rivers Data'!$AA$4:$AB$7,2,FALSE)))</f>
        <v/>
      </c>
      <c r="O46" s="187"/>
      <c r="P46" s="172" t="str">
        <f>IF(O46="","",IF(VLOOKUP(O46,'G-7 Rivers Data'!$AD$4:$AE$8,2,FALSE)=0,"Spatial Data Missing",VLOOKUP(O46,'G-7 Rivers Data'!$AD$4:$AE$8,2,FALSE)))</f>
        <v/>
      </c>
      <c r="Q46" s="177" t="str">
        <f>IF(D46="","",VLOOKUP(D46,'G-7 Rivers Data'!$B$4:$G$8,6,FALSE))</f>
        <v/>
      </c>
      <c r="R46" s="178" t="str">
        <f t="shared" si="0"/>
        <v/>
      </c>
      <c r="S46" s="44"/>
      <c r="T46" s="173"/>
      <c r="U46" s="189"/>
      <c r="V46" s="208" t="str">
        <f t="shared" si="1"/>
        <v/>
      </c>
      <c r="W46" s="208" t="str">
        <f t="shared" si="2"/>
        <v/>
      </c>
      <c r="X46" s="208" t="str">
        <f t="shared" si="3"/>
        <v/>
      </c>
      <c r="Y46" s="209" t="str">
        <f t="shared" si="4"/>
        <v/>
      </c>
      <c r="Z46" s="182"/>
      <c r="AA46" s="183"/>
      <c r="AF46" s="35" t="str">
        <f>IFERROR(INDEX('G-7 Rivers Data'!$AZ$3:$AZ$7,MATCH(D46,'G-7 Rivers Data'!$AY$3:$AY$7,0)),"")</f>
        <v/>
      </c>
      <c r="AG46" s="35">
        <f t="shared" si="5"/>
        <v>0</v>
      </c>
      <c r="AH46" s="188" t="str">
        <f t="shared" si="6"/>
        <v/>
      </c>
      <c r="AI46" s="188" t="str">
        <f t="shared" si="7"/>
        <v/>
      </c>
      <c r="AK46" s="188">
        <v>37</v>
      </c>
      <c r="AM46" s="188" t="str">
        <f t="array" ref="AM46">IFERROR(INDEX($AK$10:$AK$258, MATCH(0, IF(TRUE=$AH$10:$AH$258, COUNTIF($AM$9:$AM45, $AK$10:$AK$258), ""), 0)),"")</f>
        <v/>
      </c>
      <c r="AN46" s="188" t="str">
        <f t="array" ref="AN46">IFERROR(INDEX($AK$10:$AK$258, MATCH(0, IF(TRUE=$AI$10:$AI$258, COUNTIF($AN$9:$AN45, $AK$10:$AK$258), ""), 0)),"")</f>
        <v/>
      </c>
    </row>
    <row r="47" spans="3:40" ht="13.8" x14ac:dyDescent="0.25">
      <c r="C47" s="168">
        <v>38</v>
      </c>
      <c r="D47" s="184"/>
      <c r="E47" s="185"/>
      <c r="F47" s="171" t="str">
        <f>IF(D47="","",VLOOKUP(D47,'G-7 Rivers Data'!$B$2:$G$8,2,FALSE))</f>
        <v/>
      </c>
      <c r="G47" s="172" t="str">
        <f>IFERROR(VLOOKUP(F47,'G-7 Rivers Data'!$C$4:$D$8,2,FALSE),"")</f>
        <v/>
      </c>
      <c r="H47" s="173"/>
      <c r="I47" s="172" t="str">
        <f>IFERROR(INDEX('G-7 Rivers Data'!$H$4:$L$8,MATCH(D47,'G-7 Rivers Data'!$B$4:$B$8,0),MATCH(H47,'G-7 Rivers Data'!$H$3:$L$3,0)),"")</f>
        <v/>
      </c>
      <c r="J47" s="186"/>
      <c r="K47" s="175" t="str">
        <f>IF(J47="","",IF(VLOOKUP(J47,'G-7 Rivers Data'!$AK$4:$AM$9,2,FALSE)=0,"Spatial Data Missing",VLOOKUP(J47,'G-7 Rivers Data'!$AK$4:$AM$9,2,FALSE)))</f>
        <v/>
      </c>
      <c r="L47" s="176" t="str">
        <f>IF(J47="","",IF(VLOOKUP(J47,'G-7 Rivers Data'!$AK$4:$AM$9,3,FALSE)=0,"Spatial Data Missing",VLOOKUP(J47,'G-7 Rivers Data'!$AK$4:$AM$9,3,FALSE)))</f>
        <v/>
      </c>
      <c r="M47" s="79"/>
      <c r="N47" s="172" t="str">
        <f>IF(M47="","",IF(VLOOKUP(M47,'G-7 Rivers Data'!$AA$4:$AB$7,2,FALSE)=0,"Spatial Data Missing",VLOOKUP(M47,'G-7 Rivers Data'!$AA$4:$AB$7,2,FALSE)))</f>
        <v/>
      </c>
      <c r="O47" s="187"/>
      <c r="P47" s="172" t="str">
        <f>IF(O47="","",IF(VLOOKUP(O47,'G-7 Rivers Data'!$AD$4:$AE$8,2,FALSE)=0,"Spatial Data Missing",VLOOKUP(O47,'G-7 Rivers Data'!$AD$4:$AE$8,2,FALSE)))</f>
        <v/>
      </c>
      <c r="Q47" s="177" t="str">
        <f>IF(D47="","",VLOOKUP(D47,'G-7 Rivers Data'!$B$4:$G$8,6,FALSE))</f>
        <v/>
      </c>
      <c r="R47" s="178" t="str">
        <f t="shared" si="0"/>
        <v/>
      </c>
      <c r="S47" s="44"/>
      <c r="T47" s="173"/>
      <c r="U47" s="189"/>
      <c r="V47" s="208" t="str">
        <f t="shared" si="1"/>
        <v/>
      </c>
      <c r="W47" s="208" t="str">
        <f t="shared" si="2"/>
        <v/>
      </c>
      <c r="X47" s="208" t="str">
        <f t="shared" si="3"/>
        <v/>
      </c>
      <c r="Y47" s="209" t="str">
        <f t="shared" si="4"/>
        <v/>
      </c>
      <c r="Z47" s="182"/>
      <c r="AA47" s="183"/>
      <c r="AF47" s="35" t="str">
        <f>IFERROR(INDEX('G-7 Rivers Data'!$AZ$3:$AZ$7,MATCH(D47,'G-7 Rivers Data'!$AY$3:$AY$7,0)),"")</f>
        <v/>
      </c>
      <c r="AG47" s="35">
        <f t="shared" si="5"/>
        <v>0</v>
      </c>
      <c r="AH47" s="188" t="str">
        <f t="shared" si="6"/>
        <v/>
      </c>
      <c r="AI47" s="188" t="str">
        <f t="shared" si="7"/>
        <v/>
      </c>
      <c r="AK47" s="188">
        <v>38</v>
      </c>
      <c r="AM47" s="188" t="str">
        <f t="array" ref="AM47">IFERROR(INDEX($AK$10:$AK$258, MATCH(0, IF(TRUE=$AH$10:$AH$258, COUNTIF($AM$9:$AM46, $AK$10:$AK$258), ""), 0)),"")</f>
        <v/>
      </c>
      <c r="AN47" s="188" t="str">
        <f t="array" ref="AN47">IFERROR(INDEX($AK$10:$AK$258, MATCH(0, IF(TRUE=$AI$10:$AI$258, COUNTIF($AN$9:$AN46, $AK$10:$AK$258), ""), 0)),"")</f>
        <v/>
      </c>
    </row>
    <row r="48" spans="3:40" ht="13.8" x14ac:dyDescent="0.25">
      <c r="C48" s="168">
        <v>39</v>
      </c>
      <c r="D48" s="184"/>
      <c r="E48" s="185"/>
      <c r="F48" s="171" t="str">
        <f>IF(D48="","",VLOOKUP(D48,'G-7 Rivers Data'!$B$2:$G$8,2,FALSE))</f>
        <v/>
      </c>
      <c r="G48" s="172" t="str">
        <f>IFERROR(VLOOKUP(F48,'G-7 Rivers Data'!$C$4:$D$8,2,FALSE),"")</f>
        <v/>
      </c>
      <c r="H48" s="173"/>
      <c r="I48" s="172" t="str">
        <f>IFERROR(INDEX('G-7 Rivers Data'!$H$4:$L$8,MATCH(D48,'G-7 Rivers Data'!$B$4:$B$8,0),MATCH(H48,'G-7 Rivers Data'!$H$3:$L$3,0)),"")</f>
        <v/>
      </c>
      <c r="J48" s="186"/>
      <c r="K48" s="175" t="str">
        <f>IF(J48="","",IF(VLOOKUP(J48,'G-7 Rivers Data'!$AK$4:$AM$9,2,FALSE)=0,"Spatial Data Missing",VLOOKUP(J48,'G-7 Rivers Data'!$AK$4:$AM$9,2,FALSE)))</f>
        <v/>
      </c>
      <c r="L48" s="176" t="str">
        <f>IF(J48="","",IF(VLOOKUP(J48,'G-7 Rivers Data'!$AK$4:$AM$9,3,FALSE)=0,"Spatial Data Missing",VLOOKUP(J48,'G-7 Rivers Data'!$AK$4:$AM$9,3,FALSE)))</f>
        <v/>
      </c>
      <c r="M48" s="79"/>
      <c r="N48" s="172" t="str">
        <f>IF(M48="","",IF(VLOOKUP(M48,'G-7 Rivers Data'!$AA$4:$AB$7,2,FALSE)=0,"Spatial Data Missing",VLOOKUP(M48,'G-7 Rivers Data'!$AA$4:$AB$7,2,FALSE)))</f>
        <v/>
      </c>
      <c r="O48" s="187"/>
      <c r="P48" s="172" t="str">
        <f>IF(O48="","",IF(VLOOKUP(O48,'G-7 Rivers Data'!$AD$4:$AE$8,2,FALSE)=0,"Spatial Data Missing",VLOOKUP(O48,'G-7 Rivers Data'!$AD$4:$AE$8,2,FALSE)))</f>
        <v/>
      </c>
      <c r="Q48" s="177" t="str">
        <f>IF(D48="","",VLOOKUP(D48,'G-7 Rivers Data'!$B$4:$G$8,6,FALSE))</f>
        <v/>
      </c>
      <c r="R48" s="178" t="str">
        <f t="shared" si="0"/>
        <v/>
      </c>
      <c r="S48" s="44"/>
      <c r="T48" s="173"/>
      <c r="U48" s="189"/>
      <c r="V48" s="208" t="str">
        <f t="shared" si="1"/>
        <v/>
      </c>
      <c r="W48" s="208" t="str">
        <f t="shared" si="2"/>
        <v/>
      </c>
      <c r="X48" s="208" t="str">
        <f t="shared" si="3"/>
        <v/>
      </c>
      <c r="Y48" s="209" t="str">
        <f t="shared" si="4"/>
        <v/>
      </c>
      <c r="Z48" s="182"/>
      <c r="AA48" s="183"/>
      <c r="AF48" s="35" t="str">
        <f>IFERROR(INDEX('G-7 Rivers Data'!$AZ$3:$AZ$7,MATCH(D48,'G-7 Rivers Data'!$AY$3:$AY$7,0)),"")</f>
        <v/>
      </c>
      <c r="AG48" s="35">
        <f t="shared" si="5"/>
        <v>0</v>
      </c>
      <c r="AH48" s="188" t="str">
        <f t="shared" si="6"/>
        <v/>
      </c>
      <c r="AI48" s="188" t="str">
        <f t="shared" si="7"/>
        <v/>
      </c>
      <c r="AK48" s="188">
        <v>39</v>
      </c>
      <c r="AM48" s="188" t="str">
        <f t="array" ref="AM48">IFERROR(INDEX($AK$10:$AK$258, MATCH(0, IF(TRUE=$AH$10:$AH$258, COUNTIF($AM$9:$AM47, $AK$10:$AK$258), ""), 0)),"")</f>
        <v/>
      </c>
      <c r="AN48" s="188" t="str">
        <f t="array" ref="AN48">IFERROR(INDEX($AK$10:$AK$258, MATCH(0, IF(TRUE=$AI$10:$AI$258, COUNTIF($AN$9:$AN47, $AK$10:$AK$258), ""), 0)),"")</f>
        <v/>
      </c>
    </row>
    <row r="49" spans="3:40" ht="13.8" x14ac:dyDescent="0.25">
      <c r="C49" s="168">
        <v>40</v>
      </c>
      <c r="D49" s="184"/>
      <c r="E49" s="185"/>
      <c r="F49" s="171" t="str">
        <f>IF(D49="","",VLOOKUP(D49,'G-7 Rivers Data'!$B$2:$G$8,2,FALSE))</f>
        <v/>
      </c>
      <c r="G49" s="172" t="str">
        <f>IFERROR(VLOOKUP(F49,'G-7 Rivers Data'!$C$4:$D$8,2,FALSE),"")</f>
        <v/>
      </c>
      <c r="H49" s="173"/>
      <c r="I49" s="172" t="str">
        <f>IFERROR(INDEX('G-7 Rivers Data'!$H$4:$L$8,MATCH(D49,'G-7 Rivers Data'!$B$4:$B$8,0),MATCH(H49,'G-7 Rivers Data'!$H$3:$L$3,0)),"")</f>
        <v/>
      </c>
      <c r="J49" s="186"/>
      <c r="K49" s="175" t="str">
        <f>IF(J49="","",IF(VLOOKUP(J49,'G-7 Rivers Data'!$AK$4:$AM$9,2,FALSE)=0,"Spatial Data Missing",VLOOKUP(J49,'G-7 Rivers Data'!$AK$4:$AM$9,2,FALSE)))</f>
        <v/>
      </c>
      <c r="L49" s="176" t="str">
        <f>IF(J49="","",IF(VLOOKUP(J49,'G-7 Rivers Data'!$AK$4:$AM$9,3,FALSE)=0,"Spatial Data Missing",VLOOKUP(J49,'G-7 Rivers Data'!$AK$4:$AM$9,3,FALSE)))</f>
        <v/>
      </c>
      <c r="M49" s="79"/>
      <c r="N49" s="172" t="str">
        <f>IF(M49="","",IF(VLOOKUP(M49,'G-7 Rivers Data'!$AA$4:$AB$7,2,FALSE)=0,"Spatial Data Missing",VLOOKUP(M49,'G-7 Rivers Data'!$AA$4:$AB$7,2,FALSE)))</f>
        <v/>
      </c>
      <c r="O49" s="187"/>
      <c r="P49" s="172" t="str">
        <f>IF(O49="","",IF(VLOOKUP(O49,'G-7 Rivers Data'!$AD$4:$AE$8,2,FALSE)=0,"Spatial Data Missing",VLOOKUP(O49,'G-7 Rivers Data'!$AD$4:$AE$8,2,FALSE)))</f>
        <v/>
      </c>
      <c r="Q49" s="177" t="str">
        <f>IF(D49="","",VLOOKUP(D49,'G-7 Rivers Data'!$B$4:$G$8,6,FALSE))</f>
        <v/>
      </c>
      <c r="R49" s="178" t="str">
        <f t="shared" si="0"/>
        <v/>
      </c>
      <c r="S49" s="44"/>
      <c r="T49" s="173"/>
      <c r="U49" s="189"/>
      <c r="V49" s="208" t="str">
        <f t="shared" si="1"/>
        <v/>
      </c>
      <c r="W49" s="208" t="str">
        <f t="shared" si="2"/>
        <v/>
      </c>
      <c r="X49" s="208" t="str">
        <f t="shared" si="3"/>
        <v/>
      </c>
      <c r="Y49" s="209" t="str">
        <f t="shared" si="4"/>
        <v/>
      </c>
      <c r="Z49" s="182"/>
      <c r="AA49" s="183"/>
      <c r="AF49" s="35" t="str">
        <f>IFERROR(INDEX('G-7 Rivers Data'!$AZ$3:$AZ$7,MATCH(D49,'G-7 Rivers Data'!$AY$3:$AY$7,0)),"")</f>
        <v/>
      </c>
      <c r="AG49" s="35">
        <f t="shared" si="5"/>
        <v>0</v>
      </c>
      <c r="AH49" s="188" t="str">
        <f t="shared" si="6"/>
        <v/>
      </c>
      <c r="AI49" s="188" t="str">
        <f t="shared" si="7"/>
        <v/>
      </c>
      <c r="AK49" s="188">
        <v>40</v>
      </c>
      <c r="AM49" s="188" t="str">
        <f t="array" ref="AM49">IFERROR(INDEX($AK$10:$AK$258, MATCH(0, IF(TRUE=$AH$10:$AH$258, COUNTIF($AM$9:$AM48, $AK$10:$AK$258), ""), 0)),"")</f>
        <v/>
      </c>
      <c r="AN49" s="188" t="str">
        <f t="array" ref="AN49">IFERROR(INDEX($AK$10:$AK$258, MATCH(0, IF(TRUE=$AI$10:$AI$258, COUNTIF($AN$9:$AN48, $AK$10:$AK$258), ""), 0)),"")</f>
        <v/>
      </c>
    </row>
    <row r="50" spans="3:40" ht="13.8" x14ac:dyDescent="0.25">
      <c r="C50" s="168">
        <v>41</v>
      </c>
      <c r="D50" s="184"/>
      <c r="E50" s="185"/>
      <c r="F50" s="171" t="str">
        <f>IF(D50="","",VLOOKUP(D50,'G-7 Rivers Data'!$B$2:$G$8,2,FALSE))</f>
        <v/>
      </c>
      <c r="G50" s="172" t="str">
        <f>IFERROR(VLOOKUP(F50,'G-7 Rivers Data'!$C$4:$D$8,2,FALSE),"")</f>
        <v/>
      </c>
      <c r="H50" s="173"/>
      <c r="I50" s="172" t="str">
        <f>IFERROR(INDEX('G-7 Rivers Data'!$H$4:$L$8,MATCH(D50,'G-7 Rivers Data'!$B$4:$B$8,0),MATCH(H50,'G-7 Rivers Data'!$H$3:$L$3,0)),"")</f>
        <v/>
      </c>
      <c r="J50" s="186"/>
      <c r="K50" s="175" t="str">
        <f>IF(J50="","",IF(VLOOKUP(J50,'G-7 Rivers Data'!$AK$4:$AM$9,2,FALSE)=0,"Spatial Data Missing",VLOOKUP(J50,'G-7 Rivers Data'!$AK$4:$AM$9,2,FALSE)))</f>
        <v/>
      </c>
      <c r="L50" s="176" t="str">
        <f>IF(J50="","",IF(VLOOKUP(J50,'G-7 Rivers Data'!$AK$4:$AM$9,3,FALSE)=0,"Spatial Data Missing",VLOOKUP(J50,'G-7 Rivers Data'!$AK$4:$AM$9,3,FALSE)))</f>
        <v/>
      </c>
      <c r="M50" s="79"/>
      <c r="N50" s="172" t="str">
        <f>IF(M50="","",IF(VLOOKUP(M50,'G-7 Rivers Data'!$AA$4:$AB$7,2,FALSE)=0,"Spatial Data Missing",VLOOKUP(M50,'G-7 Rivers Data'!$AA$4:$AB$7,2,FALSE)))</f>
        <v/>
      </c>
      <c r="O50" s="187"/>
      <c r="P50" s="172" t="str">
        <f>IF(O50="","",IF(VLOOKUP(O50,'G-7 Rivers Data'!$AD$4:$AE$8,2,FALSE)=0,"Spatial Data Missing",VLOOKUP(O50,'G-7 Rivers Data'!$AD$4:$AE$8,2,FALSE)))</f>
        <v/>
      </c>
      <c r="Q50" s="177" t="str">
        <f>IF(D50="","",VLOOKUP(D50,'G-7 Rivers Data'!$B$4:$G$8,6,FALSE))</f>
        <v/>
      </c>
      <c r="R50" s="178" t="str">
        <f t="shared" si="0"/>
        <v/>
      </c>
      <c r="S50" s="44"/>
      <c r="T50" s="173"/>
      <c r="U50" s="189"/>
      <c r="V50" s="208" t="str">
        <f t="shared" si="1"/>
        <v/>
      </c>
      <c r="W50" s="208" t="str">
        <f t="shared" si="2"/>
        <v/>
      </c>
      <c r="X50" s="208" t="str">
        <f t="shared" si="3"/>
        <v/>
      </c>
      <c r="Y50" s="209" t="str">
        <f t="shared" si="4"/>
        <v/>
      </c>
      <c r="Z50" s="182"/>
      <c r="AA50" s="183"/>
      <c r="AF50" s="35" t="str">
        <f>IFERROR(INDEX('G-7 Rivers Data'!$AZ$3:$AZ$7,MATCH(D50,'G-7 Rivers Data'!$AY$3:$AY$7,0)),"")</f>
        <v/>
      </c>
      <c r="AG50" s="35">
        <f t="shared" si="5"/>
        <v>0</v>
      </c>
      <c r="AH50" s="188" t="str">
        <f t="shared" si="6"/>
        <v/>
      </c>
      <c r="AI50" s="188" t="str">
        <f t="shared" si="7"/>
        <v/>
      </c>
      <c r="AK50" s="188">
        <v>41</v>
      </c>
      <c r="AM50" s="188" t="str">
        <f t="array" ref="AM50">IFERROR(INDEX($AK$10:$AK$258, MATCH(0, IF(TRUE=$AH$10:$AH$258, COUNTIF($AM$9:$AM49, $AK$10:$AK$258), ""), 0)),"")</f>
        <v/>
      </c>
      <c r="AN50" s="188" t="str">
        <f t="array" ref="AN50">IFERROR(INDEX($AK$10:$AK$258, MATCH(0, IF(TRUE=$AI$10:$AI$258, COUNTIF($AN$9:$AN49, $AK$10:$AK$258), ""), 0)),"")</f>
        <v/>
      </c>
    </row>
    <row r="51" spans="3:40" ht="13.8" x14ac:dyDescent="0.25">
      <c r="C51" s="168">
        <v>42</v>
      </c>
      <c r="D51" s="184"/>
      <c r="E51" s="185"/>
      <c r="F51" s="171" t="str">
        <f>IF(D51="","",VLOOKUP(D51,'G-7 Rivers Data'!$B$2:$G$8,2,FALSE))</f>
        <v/>
      </c>
      <c r="G51" s="172" t="str">
        <f>IFERROR(VLOOKUP(F51,'G-7 Rivers Data'!$C$4:$D$8,2,FALSE),"")</f>
        <v/>
      </c>
      <c r="H51" s="173"/>
      <c r="I51" s="172" t="str">
        <f>IFERROR(INDEX('G-7 Rivers Data'!$H$4:$L$8,MATCH(D51,'G-7 Rivers Data'!$B$4:$B$8,0),MATCH(H51,'G-7 Rivers Data'!$H$3:$L$3,0)),"")</f>
        <v/>
      </c>
      <c r="J51" s="186"/>
      <c r="K51" s="175" t="str">
        <f>IF(J51="","",IF(VLOOKUP(J51,'G-7 Rivers Data'!$AK$4:$AM$9,2,FALSE)=0,"Spatial Data Missing",VLOOKUP(J51,'G-7 Rivers Data'!$AK$4:$AM$9,2,FALSE)))</f>
        <v/>
      </c>
      <c r="L51" s="176" t="str">
        <f>IF(J51="","",IF(VLOOKUP(J51,'G-7 Rivers Data'!$AK$4:$AM$9,3,FALSE)=0,"Spatial Data Missing",VLOOKUP(J51,'G-7 Rivers Data'!$AK$4:$AM$9,3,FALSE)))</f>
        <v/>
      </c>
      <c r="M51" s="79"/>
      <c r="N51" s="172" t="str">
        <f>IF(M51="","",IF(VLOOKUP(M51,'G-7 Rivers Data'!$AA$4:$AB$7,2,FALSE)=0,"Spatial Data Missing",VLOOKUP(M51,'G-7 Rivers Data'!$AA$4:$AB$7,2,FALSE)))</f>
        <v/>
      </c>
      <c r="O51" s="187"/>
      <c r="P51" s="172" t="str">
        <f>IF(O51="","",IF(VLOOKUP(O51,'G-7 Rivers Data'!$AD$4:$AE$8,2,FALSE)=0,"Spatial Data Missing",VLOOKUP(O51,'G-7 Rivers Data'!$AD$4:$AE$8,2,FALSE)))</f>
        <v/>
      </c>
      <c r="Q51" s="177" t="str">
        <f>IF(D51="","",VLOOKUP(D51,'G-7 Rivers Data'!$B$4:$G$8,6,FALSE))</f>
        <v/>
      </c>
      <c r="R51" s="178" t="str">
        <f t="shared" si="0"/>
        <v/>
      </c>
      <c r="S51" s="44"/>
      <c r="T51" s="173"/>
      <c r="U51" s="189"/>
      <c r="V51" s="208" t="str">
        <f t="shared" si="1"/>
        <v/>
      </c>
      <c r="W51" s="208" t="str">
        <f t="shared" si="2"/>
        <v/>
      </c>
      <c r="X51" s="208" t="str">
        <f t="shared" si="3"/>
        <v/>
      </c>
      <c r="Y51" s="209" t="str">
        <f t="shared" si="4"/>
        <v/>
      </c>
      <c r="Z51" s="182"/>
      <c r="AA51" s="183"/>
      <c r="AF51" s="35" t="str">
        <f>IFERROR(INDEX('G-7 Rivers Data'!$AZ$3:$AZ$7,MATCH(D51,'G-7 Rivers Data'!$AY$3:$AY$7,0)),"")</f>
        <v/>
      </c>
      <c r="AG51" s="35">
        <f t="shared" si="5"/>
        <v>0</v>
      </c>
      <c r="AH51" s="188" t="str">
        <f t="shared" si="6"/>
        <v/>
      </c>
      <c r="AI51" s="188" t="str">
        <f t="shared" si="7"/>
        <v/>
      </c>
      <c r="AK51" s="188">
        <v>42</v>
      </c>
      <c r="AM51" s="188" t="str">
        <f t="array" ref="AM51">IFERROR(INDEX($AK$10:$AK$258, MATCH(0, IF(TRUE=$AH$10:$AH$258, COUNTIF($AM$9:$AM50, $AK$10:$AK$258), ""), 0)),"")</f>
        <v/>
      </c>
      <c r="AN51" s="188" t="str">
        <f t="array" ref="AN51">IFERROR(INDEX($AK$10:$AK$258, MATCH(0, IF(TRUE=$AI$10:$AI$258, COUNTIF($AN$9:$AN50, $AK$10:$AK$258), ""), 0)),"")</f>
        <v/>
      </c>
    </row>
    <row r="52" spans="3:40" ht="13.8" x14ac:dyDescent="0.25">
      <c r="C52" s="168">
        <v>43</v>
      </c>
      <c r="D52" s="184"/>
      <c r="E52" s="185"/>
      <c r="F52" s="171" t="str">
        <f>IF(D52="","",VLOOKUP(D52,'G-7 Rivers Data'!$B$2:$G$8,2,FALSE))</f>
        <v/>
      </c>
      <c r="G52" s="172" t="str">
        <f>IFERROR(VLOOKUP(F52,'G-7 Rivers Data'!$C$4:$D$8,2,FALSE),"")</f>
        <v/>
      </c>
      <c r="H52" s="173"/>
      <c r="I52" s="172" t="str">
        <f>IFERROR(INDEX('G-7 Rivers Data'!$H$4:$L$8,MATCH(D52,'G-7 Rivers Data'!$B$4:$B$8,0),MATCH(H52,'G-7 Rivers Data'!$H$3:$L$3,0)),"")</f>
        <v/>
      </c>
      <c r="J52" s="186"/>
      <c r="K52" s="175" t="str">
        <f>IF(J52="","",IF(VLOOKUP(J52,'G-7 Rivers Data'!$AK$4:$AM$9,2,FALSE)=0,"Spatial Data Missing",VLOOKUP(J52,'G-7 Rivers Data'!$AK$4:$AM$9,2,FALSE)))</f>
        <v/>
      </c>
      <c r="L52" s="176" t="str">
        <f>IF(J52="","",IF(VLOOKUP(J52,'G-7 Rivers Data'!$AK$4:$AM$9,3,FALSE)=0,"Spatial Data Missing",VLOOKUP(J52,'G-7 Rivers Data'!$AK$4:$AM$9,3,FALSE)))</f>
        <v/>
      </c>
      <c r="M52" s="79"/>
      <c r="N52" s="172" t="str">
        <f>IF(M52="","",IF(VLOOKUP(M52,'G-7 Rivers Data'!$AA$4:$AB$7,2,FALSE)=0,"Spatial Data Missing",VLOOKUP(M52,'G-7 Rivers Data'!$AA$4:$AB$7,2,FALSE)))</f>
        <v/>
      </c>
      <c r="O52" s="187"/>
      <c r="P52" s="172" t="str">
        <f>IF(O52="","",IF(VLOOKUP(O52,'G-7 Rivers Data'!$AD$4:$AE$8,2,FALSE)=0,"Spatial Data Missing",VLOOKUP(O52,'G-7 Rivers Data'!$AD$4:$AE$8,2,FALSE)))</f>
        <v/>
      </c>
      <c r="Q52" s="177" t="str">
        <f>IF(D52="","",VLOOKUP(D52,'G-7 Rivers Data'!$B$4:$G$8,6,FALSE))</f>
        <v/>
      </c>
      <c r="R52" s="178" t="str">
        <f t="shared" si="0"/>
        <v/>
      </c>
      <c r="S52" s="44"/>
      <c r="T52" s="173"/>
      <c r="U52" s="189"/>
      <c r="V52" s="208" t="str">
        <f t="shared" si="1"/>
        <v/>
      </c>
      <c r="W52" s="208" t="str">
        <f t="shared" si="2"/>
        <v/>
      </c>
      <c r="X52" s="208" t="str">
        <f t="shared" si="3"/>
        <v/>
      </c>
      <c r="Y52" s="209" t="str">
        <f t="shared" si="4"/>
        <v/>
      </c>
      <c r="Z52" s="182"/>
      <c r="AA52" s="183"/>
      <c r="AF52" s="35" t="str">
        <f>IFERROR(INDEX('G-7 Rivers Data'!$AZ$3:$AZ$7,MATCH(D52,'G-7 Rivers Data'!$AY$3:$AY$7,0)),"")</f>
        <v/>
      </c>
      <c r="AG52" s="35">
        <f t="shared" si="5"/>
        <v>0</v>
      </c>
      <c r="AH52" s="188" t="str">
        <f t="shared" si="6"/>
        <v/>
      </c>
      <c r="AI52" s="188" t="str">
        <f t="shared" si="7"/>
        <v/>
      </c>
      <c r="AK52" s="188">
        <v>43</v>
      </c>
      <c r="AM52" s="188" t="str">
        <f t="array" ref="AM52">IFERROR(INDEX($AK$10:$AK$258, MATCH(0, IF(TRUE=$AH$10:$AH$258, COUNTIF($AM$9:$AM51, $AK$10:$AK$258), ""), 0)),"")</f>
        <v/>
      </c>
      <c r="AN52" s="188" t="str">
        <f t="array" ref="AN52">IFERROR(INDEX($AK$10:$AK$258, MATCH(0, IF(TRUE=$AI$10:$AI$258, COUNTIF($AN$9:$AN51, $AK$10:$AK$258), ""), 0)),"")</f>
        <v/>
      </c>
    </row>
    <row r="53" spans="3:40" ht="13.8" x14ac:dyDescent="0.25">
      <c r="C53" s="168">
        <v>44</v>
      </c>
      <c r="D53" s="184"/>
      <c r="E53" s="185"/>
      <c r="F53" s="171" t="str">
        <f>IF(D53="","",VLOOKUP(D53,'G-7 Rivers Data'!$B$2:$G$8,2,FALSE))</f>
        <v/>
      </c>
      <c r="G53" s="172" t="str">
        <f>IFERROR(VLOOKUP(F53,'G-7 Rivers Data'!$C$4:$D$8,2,FALSE),"")</f>
        <v/>
      </c>
      <c r="H53" s="173"/>
      <c r="I53" s="172" t="str">
        <f>IFERROR(INDEX('G-7 Rivers Data'!$H$4:$L$8,MATCH(D53,'G-7 Rivers Data'!$B$4:$B$8,0),MATCH(H53,'G-7 Rivers Data'!$H$3:$L$3,0)),"")</f>
        <v/>
      </c>
      <c r="J53" s="186"/>
      <c r="K53" s="175" t="str">
        <f>IF(J53="","",IF(VLOOKUP(J53,'G-7 Rivers Data'!$AK$4:$AM$9,2,FALSE)=0,"Spatial Data Missing",VLOOKUP(J53,'G-7 Rivers Data'!$AK$4:$AM$9,2,FALSE)))</f>
        <v/>
      </c>
      <c r="L53" s="176" t="str">
        <f>IF(J53="","",IF(VLOOKUP(J53,'G-7 Rivers Data'!$AK$4:$AM$9,3,FALSE)=0,"Spatial Data Missing",VLOOKUP(J53,'G-7 Rivers Data'!$AK$4:$AM$9,3,FALSE)))</f>
        <v/>
      </c>
      <c r="M53" s="79"/>
      <c r="N53" s="172" t="str">
        <f>IF(M53="","",IF(VLOOKUP(M53,'G-7 Rivers Data'!$AA$4:$AB$7,2,FALSE)=0,"Spatial Data Missing",VLOOKUP(M53,'G-7 Rivers Data'!$AA$4:$AB$7,2,FALSE)))</f>
        <v/>
      </c>
      <c r="O53" s="187"/>
      <c r="P53" s="172" t="str">
        <f>IF(O53="","",IF(VLOOKUP(O53,'G-7 Rivers Data'!$AD$4:$AE$8,2,FALSE)=0,"Spatial Data Missing",VLOOKUP(O53,'G-7 Rivers Data'!$AD$4:$AE$8,2,FALSE)))</f>
        <v/>
      </c>
      <c r="Q53" s="177" t="str">
        <f>IF(D53="","",VLOOKUP(D53,'G-7 Rivers Data'!$B$4:$G$8,6,FALSE))</f>
        <v/>
      </c>
      <c r="R53" s="178" t="str">
        <f t="shared" si="0"/>
        <v/>
      </c>
      <c r="S53" s="44"/>
      <c r="T53" s="173"/>
      <c r="U53" s="189"/>
      <c r="V53" s="208" t="str">
        <f t="shared" si="1"/>
        <v/>
      </c>
      <c r="W53" s="208" t="str">
        <f t="shared" si="2"/>
        <v/>
      </c>
      <c r="X53" s="208" t="str">
        <f t="shared" si="3"/>
        <v/>
      </c>
      <c r="Y53" s="209" t="str">
        <f t="shared" si="4"/>
        <v/>
      </c>
      <c r="Z53" s="182"/>
      <c r="AA53" s="183"/>
      <c r="AF53" s="35" t="str">
        <f>IFERROR(INDEX('G-7 Rivers Data'!$AZ$3:$AZ$7,MATCH(D53,'G-7 Rivers Data'!$AY$3:$AY$7,0)),"")</f>
        <v/>
      </c>
      <c r="AG53" s="35">
        <f t="shared" si="5"/>
        <v>0</v>
      </c>
      <c r="AH53" s="188" t="str">
        <f t="shared" si="6"/>
        <v/>
      </c>
      <c r="AI53" s="188" t="str">
        <f t="shared" si="7"/>
        <v/>
      </c>
      <c r="AK53" s="188">
        <v>44</v>
      </c>
      <c r="AM53" s="188" t="str">
        <f t="array" ref="AM53">IFERROR(INDEX($AK$10:$AK$258, MATCH(0, IF(TRUE=$AH$10:$AH$258, COUNTIF($AM$9:$AM52, $AK$10:$AK$258), ""), 0)),"")</f>
        <v/>
      </c>
      <c r="AN53" s="188" t="str">
        <f t="array" ref="AN53">IFERROR(INDEX($AK$10:$AK$258, MATCH(0, IF(TRUE=$AI$10:$AI$258, COUNTIF($AN$9:$AN52, $AK$10:$AK$258), ""), 0)),"")</f>
        <v/>
      </c>
    </row>
    <row r="54" spans="3:40" ht="13.8" x14ac:dyDescent="0.25">
      <c r="C54" s="168">
        <v>45</v>
      </c>
      <c r="D54" s="184"/>
      <c r="E54" s="185"/>
      <c r="F54" s="171" t="str">
        <f>IF(D54="","",VLOOKUP(D54,'G-7 Rivers Data'!$B$2:$G$8,2,FALSE))</f>
        <v/>
      </c>
      <c r="G54" s="172" t="str">
        <f>IFERROR(VLOOKUP(F54,'G-7 Rivers Data'!$C$4:$D$8,2,FALSE),"")</f>
        <v/>
      </c>
      <c r="H54" s="173"/>
      <c r="I54" s="172" t="str">
        <f>IFERROR(INDEX('G-7 Rivers Data'!$H$4:$L$8,MATCH(D54,'G-7 Rivers Data'!$B$4:$B$8,0),MATCH(H54,'G-7 Rivers Data'!$H$3:$L$3,0)),"")</f>
        <v/>
      </c>
      <c r="J54" s="186"/>
      <c r="K54" s="175" t="str">
        <f>IF(J54="","",IF(VLOOKUP(J54,'G-7 Rivers Data'!$AK$4:$AM$9,2,FALSE)=0,"Spatial Data Missing",VLOOKUP(J54,'G-7 Rivers Data'!$AK$4:$AM$9,2,FALSE)))</f>
        <v/>
      </c>
      <c r="L54" s="176" t="str">
        <f>IF(J54="","",IF(VLOOKUP(J54,'G-7 Rivers Data'!$AK$4:$AM$9,3,FALSE)=0,"Spatial Data Missing",VLOOKUP(J54,'G-7 Rivers Data'!$AK$4:$AM$9,3,FALSE)))</f>
        <v/>
      </c>
      <c r="M54" s="79"/>
      <c r="N54" s="172" t="str">
        <f>IF(M54="","",IF(VLOOKUP(M54,'G-7 Rivers Data'!$AA$4:$AB$7,2,FALSE)=0,"Spatial Data Missing",VLOOKUP(M54,'G-7 Rivers Data'!$AA$4:$AB$7,2,FALSE)))</f>
        <v/>
      </c>
      <c r="O54" s="187"/>
      <c r="P54" s="172" t="str">
        <f>IF(O54="","",IF(VLOOKUP(O54,'G-7 Rivers Data'!$AD$4:$AE$8,2,FALSE)=0,"Spatial Data Missing",VLOOKUP(O54,'G-7 Rivers Data'!$AD$4:$AE$8,2,FALSE)))</f>
        <v/>
      </c>
      <c r="Q54" s="177" t="str">
        <f>IF(D54="","",VLOOKUP(D54,'G-7 Rivers Data'!$B$4:$G$8,6,FALSE))</f>
        <v/>
      </c>
      <c r="R54" s="178" t="str">
        <f t="shared" si="0"/>
        <v/>
      </c>
      <c r="S54" s="44"/>
      <c r="T54" s="173"/>
      <c r="U54" s="189"/>
      <c r="V54" s="208" t="str">
        <f t="shared" si="1"/>
        <v/>
      </c>
      <c r="W54" s="208" t="str">
        <f t="shared" si="2"/>
        <v/>
      </c>
      <c r="X54" s="208" t="str">
        <f t="shared" si="3"/>
        <v/>
      </c>
      <c r="Y54" s="209" t="str">
        <f t="shared" si="4"/>
        <v/>
      </c>
      <c r="Z54" s="182"/>
      <c r="AA54" s="183"/>
      <c r="AF54" s="35" t="str">
        <f>IFERROR(INDEX('G-7 Rivers Data'!$AZ$3:$AZ$7,MATCH(D54,'G-7 Rivers Data'!$AY$3:$AY$7,0)),"")</f>
        <v/>
      </c>
      <c r="AG54" s="35">
        <f t="shared" si="5"/>
        <v>0</v>
      </c>
      <c r="AH54" s="188" t="str">
        <f t="shared" si="6"/>
        <v/>
      </c>
      <c r="AI54" s="188" t="str">
        <f t="shared" si="7"/>
        <v/>
      </c>
      <c r="AK54" s="188">
        <v>45</v>
      </c>
      <c r="AM54" s="188" t="str">
        <f t="array" ref="AM54">IFERROR(INDEX($AK$10:$AK$258, MATCH(0, IF(TRUE=$AH$10:$AH$258, COUNTIF($AM$9:$AM53, $AK$10:$AK$258), ""), 0)),"")</f>
        <v/>
      </c>
      <c r="AN54" s="188" t="str">
        <f t="array" ref="AN54">IFERROR(INDEX($AK$10:$AK$258, MATCH(0, IF(TRUE=$AI$10:$AI$258, COUNTIF($AN$9:$AN53, $AK$10:$AK$258), ""), 0)),"")</f>
        <v/>
      </c>
    </row>
    <row r="55" spans="3:40" ht="13.8" x14ac:dyDescent="0.25">
      <c r="C55" s="168">
        <v>46</v>
      </c>
      <c r="D55" s="184"/>
      <c r="E55" s="185"/>
      <c r="F55" s="171" t="str">
        <f>IF(D55="","",VLOOKUP(D55,'G-7 Rivers Data'!$B$2:$G$8,2,FALSE))</f>
        <v/>
      </c>
      <c r="G55" s="172" t="str">
        <f>IFERROR(VLOOKUP(F55,'G-7 Rivers Data'!$C$4:$D$8,2,FALSE),"")</f>
        <v/>
      </c>
      <c r="H55" s="173"/>
      <c r="I55" s="172" t="str">
        <f>IFERROR(INDEX('G-7 Rivers Data'!$H$4:$L$8,MATCH(D55,'G-7 Rivers Data'!$B$4:$B$8,0),MATCH(H55,'G-7 Rivers Data'!$H$3:$L$3,0)),"")</f>
        <v/>
      </c>
      <c r="J55" s="186"/>
      <c r="K55" s="175" t="str">
        <f>IF(J55="","",IF(VLOOKUP(J55,'G-7 Rivers Data'!$AK$4:$AM$9,2,FALSE)=0,"Spatial Data Missing",VLOOKUP(J55,'G-7 Rivers Data'!$AK$4:$AM$9,2,FALSE)))</f>
        <v/>
      </c>
      <c r="L55" s="176" t="str">
        <f>IF(J55="","",IF(VLOOKUP(J55,'G-7 Rivers Data'!$AK$4:$AM$9,3,FALSE)=0,"Spatial Data Missing",VLOOKUP(J55,'G-7 Rivers Data'!$AK$4:$AM$9,3,FALSE)))</f>
        <v/>
      </c>
      <c r="M55" s="79"/>
      <c r="N55" s="172" t="str">
        <f>IF(M55="","",IF(VLOOKUP(M55,'G-7 Rivers Data'!$AA$4:$AB$7,2,FALSE)=0,"Spatial Data Missing",VLOOKUP(M55,'G-7 Rivers Data'!$AA$4:$AB$7,2,FALSE)))</f>
        <v/>
      </c>
      <c r="O55" s="187"/>
      <c r="P55" s="172" t="str">
        <f>IF(O55="","",IF(VLOOKUP(O55,'G-7 Rivers Data'!$AD$4:$AE$8,2,FALSE)=0,"Spatial Data Missing",VLOOKUP(O55,'G-7 Rivers Data'!$AD$4:$AE$8,2,FALSE)))</f>
        <v/>
      </c>
      <c r="Q55" s="177" t="str">
        <f>IF(D55="","",VLOOKUP(D55,'G-7 Rivers Data'!$B$4:$G$8,6,FALSE))</f>
        <v/>
      </c>
      <c r="R55" s="178" t="str">
        <f t="shared" si="0"/>
        <v/>
      </c>
      <c r="S55" s="44"/>
      <c r="T55" s="173"/>
      <c r="U55" s="189"/>
      <c r="V55" s="208" t="str">
        <f t="shared" si="1"/>
        <v/>
      </c>
      <c r="W55" s="208" t="str">
        <f t="shared" si="2"/>
        <v/>
      </c>
      <c r="X55" s="208" t="str">
        <f t="shared" si="3"/>
        <v/>
      </c>
      <c r="Y55" s="209" t="str">
        <f t="shared" si="4"/>
        <v/>
      </c>
      <c r="Z55" s="182"/>
      <c r="AA55" s="183"/>
      <c r="AF55" s="35" t="str">
        <f>IFERROR(INDEX('G-7 Rivers Data'!$AZ$3:$AZ$7,MATCH(D55,'G-7 Rivers Data'!$AY$3:$AY$7,0)),"")</f>
        <v/>
      </c>
      <c r="AG55" s="35">
        <f t="shared" si="5"/>
        <v>0</v>
      </c>
      <c r="AH55" s="188" t="str">
        <f t="shared" si="6"/>
        <v/>
      </c>
      <c r="AI55" s="188" t="str">
        <f t="shared" si="7"/>
        <v/>
      </c>
      <c r="AK55" s="188">
        <v>46</v>
      </c>
      <c r="AM55" s="188" t="str">
        <f t="array" ref="AM55">IFERROR(INDEX($AK$10:$AK$258, MATCH(0, IF(TRUE=$AH$10:$AH$258, COUNTIF($AM$9:$AM54, $AK$10:$AK$258), ""), 0)),"")</f>
        <v/>
      </c>
      <c r="AN55" s="188" t="str">
        <f t="array" ref="AN55">IFERROR(INDEX($AK$10:$AK$258, MATCH(0, IF(TRUE=$AI$10:$AI$258, COUNTIF($AN$9:$AN54, $AK$10:$AK$258), ""), 0)),"")</f>
        <v/>
      </c>
    </row>
    <row r="56" spans="3:40" ht="13.8" x14ac:dyDescent="0.25">
      <c r="C56" s="168">
        <v>47</v>
      </c>
      <c r="D56" s="184"/>
      <c r="E56" s="185"/>
      <c r="F56" s="171" t="str">
        <f>IF(D56="","",VLOOKUP(D56,'G-7 Rivers Data'!$B$2:$G$8,2,FALSE))</f>
        <v/>
      </c>
      <c r="G56" s="172" t="str">
        <f>IFERROR(VLOOKUP(F56,'G-7 Rivers Data'!$C$4:$D$8,2,FALSE),"")</f>
        <v/>
      </c>
      <c r="H56" s="173"/>
      <c r="I56" s="172" t="str">
        <f>IFERROR(INDEX('G-7 Rivers Data'!$H$4:$L$8,MATCH(D56,'G-7 Rivers Data'!$B$4:$B$8,0),MATCH(H56,'G-7 Rivers Data'!$H$3:$L$3,0)),"")</f>
        <v/>
      </c>
      <c r="J56" s="186"/>
      <c r="K56" s="175" t="str">
        <f>IF(J56="","",IF(VLOOKUP(J56,'G-7 Rivers Data'!$AK$4:$AM$9,2,FALSE)=0,"Spatial Data Missing",VLOOKUP(J56,'G-7 Rivers Data'!$AK$4:$AM$9,2,FALSE)))</f>
        <v/>
      </c>
      <c r="L56" s="176" t="str">
        <f>IF(J56="","",IF(VLOOKUP(J56,'G-7 Rivers Data'!$AK$4:$AM$9,3,FALSE)=0,"Spatial Data Missing",VLOOKUP(J56,'G-7 Rivers Data'!$AK$4:$AM$9,3,FALSE)))</f>
        <v/>
      </c>
      <c r="M56" s="79"/>
      <c r="N56" s="172" t="str">
        <f>IF(M56="","",IF(VLOOKUP(M56,'G-7 Rivers Data'!$AA$4:$AB$7,2,FALSE)=0,"Spatial Data Missing",VLOOKUP(M56,'G-7 Rivers Data'!$AA$4:$AB$7,2,FALSE)))</f>
        <v/>
      </c>
      <c r="O56" s="187"/>
      <c r="P56" s="172" t="str">
        <f>IF(O56="","",IF(VLOOKUP(O56,'G-7 Rivers Data'!$AD$4:$AE$8,2,FALSE)=0,"Spatial Data Missing",VLOOKUP(O56,'G-7 Rivers Data'!$AD$4:$AE$8,2,FALSE)))</f>
        <v/>
      </c>
      <c r="Q56" s="177" t="str">
        <f>IF(D56="","",VLOOKUP(D56,'G-7 Rivers Data'!$B$4:$G$8,6,FALSE))</f>
        <v/>
      </c>
      <c r="R56" s="178" t="str">
        <f t="shared" si="0"/>
        <v/>
      </c>
      <c r="S56" s="44"/>
      <c r="T56" s="173"/>
      <c r="U56" s="189"/>
      <c r="V56" s="208" t="str">
        <f t="shared" si="1"/>
        <v/>
      </c>
      <c r="W56" s="208" t="str">
        <f t="shared" si="2"/>
        <v/>
      </c>
      <c r="X56" s="208" t="str">
        <f t="shared" si="3"/>
        <v/>
      </c>
      <c r="Y56" s="209" t="str">
        <f t="shared" si="4"/>
        <v/>
      </c>
      <c r="Z56" s="182"/>
      <c r="AA56" s="183"/>
      <c r="AF56" s="35" t="str">
        <f>IFERROR(INDEX('G-7 Rivers Data'!$AZ$3:$AZ$7,MATCH(D56,'G-7 Rivers Data'!$AY$3:$AY$7,0)),"")</f>
        <v/>
      </c>
      <c r="AG56" s="35">
        <f t="shared" si="5"/>
        <v>0</v>
      </c>
      <c r="AH56" s="188" t="str">
        <f t="shared" si="6"/>
        <v/>
      </c>
      <c r="AI56" s="188" t="str">
        <f t="shared" si="7"/>
        <v/>
      </c>
      <c r="AK56" s="188">
        <v>47</v>
      </c>
      <c r="AM56" s="188" t="str">
        <f t="array" ref="AM56">IFERROR(INDEX($AK$10:$AK$258, MATCH(0, IF(TRUE=$AH$10:$AH$258, COUNTIF($AM$9:$AM55, $AK$10:$AK$258), ""), 0)),"")</f>
        <v/>
      </c>
      <c r="AN56" s="188" t="str">
        <f t="array" ref="AN56">IFERROR(INDEX($AK$10:$AK$258, MATCH(0, IF(TRUE=$AI$10:$AI$258, COUNTIF($AN$9:$AN55, $AK$10:$AK$258), ""), 0)),"")</f>
        <v/>
      </c>
    </row>
    <row r="57" spans="3:40" ht="13.8" x14ac:dyDescent="0.25">
      <c r="C57" s="168">
        <v>48</v>
      </c>
      <c r="D57" s="184"/>
      <c r="E57" s="185"/>
      <c r="F57" s="171" t="str">
        <f>IF(D57="","",VLOOKUP(D57,'G-7 Rivers Data'!$B$2:$G$8,2,FALSE))</f>
        <v/>
      </c>
      <c r="G57" s="172" t="str">
        <f>IFERROR(VLOOKUP(F57,'G-7 Rivers Data'!$C$4:$D$8,2,FALSE),"")</f>
        <v/>
      </c>
      <c r="H57" s="173"/>
      <c r="I57" s="172" t="str">
        <f>IFERROR(INDEX('G-7 Rivers Data'!$H$4:$L$8,MATCH(D57,'G-7 Rivers Data'!$B$4:$B$8,0),MATCH(H57,'G-7 Rivers Data'!$H$3:$L$3,0)),"")</f>
        <v/>
      </c>
      <c r="J57" s="186"/>
      <c r="K57" s="175" t="str">
        <f>IF(J57="","",IF(VLOOKUP(J57,'G-7 Rivers Data'!$AK$4:$AM$9,2,FALSE)=0,"Spatial Data Missing",VLOOKUP(J57,'G-7 Rivers Data'!$AK$4:$AM$9,2,FALSE)))</f>
        <v/>
      </c>
      <c r="L57" s="176" t="str">
        <f>IF(J57="","",IF(VLOOKUP(J57,'G-7 Rivers Data'!$AK$4:$AM$9,3,FALSE)=0,"Spatial Data Missing",VLOOKUP(J57,'G-7 Rivers Data'!$AK$4:$AM$9,3,FALSE)))</f>
        <v/>
      </c>
      <c r="M57" s="79"/>
      <c r="N57" s="172" t="str">
        <f>IF(M57="","",IF(VLOOKUP(M57,'G-7 Rivers Data'!$AA$4:$AB$7,2,FALSE)=0,"Spatial Data Missing",VLOOKUP(M57,'G-7 Rivers Data'!$AA$4:$AB$7,2,FALSE)))</f>
        <v/>
      </c>
      <c r="O57" s="187"/>
      <c r="P57" s="172" t="str">
        <f>IF(O57="","",IF(VLOOKUP(O57,'G-7 Rivers Data'!$AD$4:$AE$8,2,FALSE)=0,"Spatial Data Missing",VLOOKUP(O57,'G-7 Rivers Data'!$AD$4:$AE$8,2,FALSE)))</f>
        <v/>
      </c>
      <c r="Q57" s="177" t="str">
        <f>IF(D57="","",VLOOKUP(D57,'G-7 Rivers Data'!$B$4:$G$8,6,FALSE))</f>
        <v/>
      </c>
      <c r="R57" s="178" t="str">
        <f t="shared" si="0"/>
        <v/>
      </c>
      <c r="S57" s="44"/>
      <c r="T57" s="173"/>
      <c r="U57" s="189"/>
      <c r="V57" s="208" t="str">
        <f t="shared" si="1"/>
        <v/>
      </c>
      <c r="W57" s="208" t="str">
        <f t="shared" si="2"/>
        <v/>
      </c>
      <c r="X57" s="208" t="str">
        <f t="shared" si="3"/>
        <v/>
      </c>
      <c r="Y57" s="209" t="str">
        <f t="shared" si="4"/>
        <v/>
      </c>
      <c r="Z57" s="182"/>
      <c r="AA57" s="183"/>
      <c r="AF57" s="35" t="str">
        <f>IFERROR(INDEX('G-7 Rivers Data'!$AZ$3:$AZ$7,MATCH(D57,'G-7 Rivers Data'!$AY$3:$AY$7,0)),"")</f>
        <v/>
      </c>
      <c r="AG57" s="35">
        <f t="shared" si="5"/>
        <v>0</v>
      </c>
      <c r="AH57" s="188" t="str">
        <f t="shared" si="6"/>
        <v/>
      </c>
      <c r="AI57" s="188" t="str">
        <f t="shared" si="7"/>
        <v/>
      </c>
      <c r="AK57" s="188">
        <v>48</v>
      </c>
      <c r="AM57" s="188" t="str">
        <f t="array" ref="AM57">IFERROR(INDEX($AK$10:$AK$258, MATCH(0, IF(TRUE=$AH$10:$AH$258, COUNTIF($AM$9:$AM56, $AK$10:$AK$258), ""), 0)),"")</f>
        <v/>
      </c>
      <c r="AN57" s="188" t="str">
        <f t="array" ref="AN57">IFERROR(INDEX($AK$10:$AK$258, MATCH(0, IF(TRUE=$AI$10:$AI$258, COUNTIF($AN$9:$AN56, $AK$10:$AK$258), ""), 0)),"")</f>
        <v/>
      </c>
    </row>
    <row r="58" spans="3:40" ht="13.8" x14ac:dyDescent="0.25">
      <c r="C58" s="168">
        <v>49</v>
      </c>
      <c r="D58" s="184"/>
      <c r="E58" s="185"/>
      <c r="F58" s="171" t="str">
        <f>IF(D58="","",VLOOKUP(D58,'G-7 Rivers Data'!$B$2:$G$8,2,FALSE))</f>
        <v/>
      </c>
      <c r="G58" s="172" t="str">
        <f>IFERROR(VLOOKUP(F58,'G-7 Rivers Data'!$C$4:$D$8,2,FALSE),"")</f>
        <v/>
      </c>
      <c r="H58" s="173"/>
      <c r="I58" s="172" t="str">
        <f>IFERROR(INDEX('G-7 Rivers Data'!$H$4:$L$8,MATCH(D58,'G-7 Rivers Data'!$B$4:$B$8,0),MATCH(H58,'G-7 Rivers Data'!$H$3:$L$3,0)),"")</f>
        <v/>
      </c>
      <c r="J58" s="186"/>
      <c r="K58" s="175" t="str">
        <f>IF(J58="","",IF(VLOOKUP(J58,'G-7 Rivers Data'!$AK$4:$AM$9,2,FALSE)=0,"Spatial Data Missing",VLOOKUP(J58,'G-7 Rivers Data'!$AK$4:$AM$9,2,FALSE)))</f>
        <v/>
      </c>
      <c r="L58" s="176" t="str">
        <f>IF(J58="","",IF(VLOOKUP(J58,'G-7 Rivers Data'!$AK$4:$AM$9,3,FALSE)=0,"Spatial Data Missing",VLOOKUP(J58,'G-7 Rivers Data'!$AK$4:$AM$9,3,FALSE)))</f>
        <v/>
      </c>
      <c r="M58" s="79"/>
      <c r="N58" s="172" t="str">
        <f>IF(M58="","",IF(VLOOKUP(M58,'G-7 Rivers Data'!$AA$4:$AB$7,2,FALSE)=0,"Spatial Data Missing",VLOOKUP(M58,'G-7 Rivers Data'!$AA$4:$AB$7,2,FALSE)))</f>
        <v/>
      </c>
      <c r="O58" s="187"/>
      <c r="P58" s="172" t="str">
        <f>IF(O58="","",IF(VLOOKUP(O58,'G-7 Rivers Data'!$AD$4:$AE$8,2,FALSE)=0,"Spatial Data Missing",VLOOKUP(O58,'G-7 Rivers Data'!$AD$4:$AE$8,2,FALSE)))</f>
        <v/>
      </c>
      <c r="Q58" s="177" t="str">
        <f>IF(D58="","",VLOOKUP(D58,'G-7 Rivers Data'!$B$4:$G$8,6,FALSE))</f>
        <v/>
      </c>
      <c r="R58" s="178" t="str">
        <f t="shared" si="0"/>
        <v/>
      </c>
      <c r="S58" s="44"/>
      <c r="T58" s="173"/>
      <c r="U58" s="189"/>
      <c r="V58" s="208" t="str">
        <f t="shared" si="1"/>
        <v/>
      </c>
      <c r="W58" s="208" t="str">
        <f t="shared" si="2"/>
        <v/>
      </c>
      <c r="X58" s="208" t="str">
        <f t="shared" si="3"/>
        <v/>
      </c>
      <c r="Y58" s="209" t="str">
        <f t="shared" si="4"/>
        <v/>
      </c>
      <c r="Z58" s="182"/>
      <c r="AA58" s="183"/>
      <c r="AF58" s="35" t="str">
        <f>IFERROR(INDEX('G-7 Rivers Data'!$AZ$3:$AZ$7,MATCH(D58,'G-7 Rivers Data'!$AY$3:$AY$7,0)),"")</f>
        <v/>
      </c>
      <c r="AG58" s="35">
        <f t="shared" si="5"/>
        <v>0</v>
      </c>
      <c r="AH58" s="188" t="str">
        <f t="shared" si="6"/>
        <v/>
      </c>
      <c r="AI58" s="188" t="str">
        <f t="shared" si="7"/>
        <v/>
      </c>
      <c r="AK58" s="188">
        <v>49</v>
      </c>
      <c r="AM58" s="188" t="str">
        <f t="array" ref="AM58">IFERROR(INDEX($AK$10:$AK$258, MATCH(0, IF(TRUE=$AH$10:$AH$258, COUNTIF($AM$9:$AM57, $AK$10:$AK$258), ""), 0)),"")</f>
        <v/>
      </c>
      <c r="AN58" s="188" t="str">
        <f t="array" ref="AN58">IFERROR(INDEX($AK$10:$AK$258, MATCH(0, IF(TRUE=$AI$10:$AI$258, COUNTIF($AN$9:$AN57, $AK$10:$AK$258), ""), 0)),"")</f>
        <v/>
      </c>
    </row>
    <row r="59" spans="3:40" ht="13.8" x14ac:dyDescent="0.25">
      <c r="C59" s="168">
        <v>50</v>
      </c>
      <c r="D59" s="184"/>
      <c r="E59" s="185"/>
      <c r="F59" s="171" t="str">
        <f>IF(D59="","",VLOOKUP(D59,'G-7 Rivers Data'!$B$2:$G$8,2,FALSE))</f>
        <v/>
      </c>
      <c r="G59" s="172" t="str">
        <f>IFERROR(VLOOKUP(F59,'G-7 Rivers Data'!$C$4:$D$8,2,FALSE),"")</f>
        <v/>
      </c>
      <c r="H59" s="173"/>
      <c r="I59" s="172" t="str">
        <f>IFERROR(INDEX('G-7 Rivers Data'!$H$4:$L$8,MATCH(D59,'G-7 Rivers Data'!$B$4:$B$8,0),MATCH(H59,'G-7 Rivers Data'!$H$3:$L$3,0)),"")</f>
        <v/>
      </c>
      <c r="J59" s="186"/>
      <c r="K59" s="175" t="str">
        <f>IF(J59="","",IF(VLOOKUP(J59,'G-7 Rivers Data'!$AK$4:$AM$9,2,FALSE)=0,"Spatial Data Missing",VLOOKUP(J59,'G-7 Rivers Data'!$AK$4:$AM$9,2,FALSE)))</f>
        <v/>
      </c>
      <c r="L59" s="176" t="str">
        <f>IF(J59="","",IF(VLOOKUP(J59,'G-7 Rivers Data'!$AK$4:$AM$9,3,FALSE)=0,"Spatial Data Missing",VLOOKUP(J59,'G-7 Rivers Data'!$AK$4:$AM$9,3,FALSE)))</f>
        <v/>
      </c>
      <c r="M59" s="79"/>
      <c r="N59" s="172" t="str">
        <f>IF(M59="","",IF(VLOOKUP(M59,'G-7 Rivers Data'!$AA$4:$AB$7,2,FALSE)=0,"Spatial Data Missing",VLOOKUP(M59,'G-7 Rivers Data'!$AA$4:$AB$7,2,FALSE)))</f>
        <v/>
      </c>
      <c r="O59" s="187"/>
      <c r="P59" s="172" t="str">
        <f>IF(O59="","",IF(VLOOKUP(O59,'G-7 Rivers Data'!$AD$4:$AE$8,2,FALSE)=0,"Spatial Data Missing",VLOOKUP(O59,'G-7 Rivers Data'!$AD$4:$AE$8,2,FALSE)))</f>
        <v/>
      </c>
      <c r="Q59" s="177" t="str">
        <f>IF(D59="","",VLOOKUP(D59,'G-7 Rivers Data'!$B$4:$G$8,6,FALSE))</f>
        <v/>
      </c>
      <c r="R59" s="178" t="str">
        <f t="shared" si="0"/>
        <v/>
      </c>
      <c r="S59" s="44"/>
      <c r="T59" s="173"/>
      <c r="U59" s="189"/>
      <c r="V59" s="208" t="str">
        <f t="shared" si="1"/>
        <v/>
      </c>
      <c r="W59" s="208" t="str">
        <f t="shared" si="2"/>
        <v/>
      </c>
      <c r="X59" s="208" t="str">
        <f t="shared" si="3"/>
        <v/>
      </c>
      <c r="Y59" s="209" t="str">
        <f t="shared" si="4"/>
        <v/>
      </c>
      <c r="Z59" s="182"/>
      <c r="AA59" s="183"/>
      <c r="AF59" s="35" t="str">
        <f>IFERROR(INDEX('G-7 Rivers Data'!$AZ$3:$AZ$7,MATCH(D59,'G-7 Rivers Data'!$AY$3:$AY$7,0)),"")</f>
        <v/>
      </c>
      <c r="AG59" s="35">
        <f t="shared" si="5"/>
        <v>0</v>
      </c>
      <c r="AH59" s="188" t="str">
        <f t="shared" si="6"/>
        <v/>
      </c>
      <c r="AI59" s="188" t="str">
        <f t="shared" si="7"/>
        <v/>
      </c>
      <c r="AK59" s="188">
        <v>50</v>
      </c>
      <c r="AM59" s="188" t="str">
        <f t="array" ref="AM59">IFERROR(INDEX($AK$10:$AK$258, MATCH(0, IF(TRUE=$AH$10:$AH$258, COUNTIF($AM$9:$AM58, $AK$10:$AK$258), ""), 0)),"")</f>
        <v/>
      </c>
      <c r="AN59" s="188" t="str">
        <f t="array" ref="AN59">IFERROR(INDEX($AK$10:$AK$258, MATCH(0, IF(TRUE=$AI$10:$AI$258, COUNTIF($AN$9:$AN58, $AK$10:$AK$258), ""), 0)),"")</f>
        <v/>
      </c>
    </row>
    <row r="60" spans="3:40" ht="13.8" x14ac:dyDescent="0.25">
      <c r="C60" s="168">
        <v>51</v>
      </c>
      <c r="D60" s="184"/>
      <c r="E60" s="185"/>
      <c r="F60" s="171" t="str">
        <f>IF(D60="","",VLOOKUP(D60,'G-7 Rivers Data'!$B$2:$G$8,2,FALSE))</f>
        <v/>
      </c>
      <c r="G60" s="172" t="str">
        <f>IFERROR(VLOOKUP(F60,'G-7 Rivers Data'!$C$4:$D$8,2,FALSE),"")</f>
        <v/>
      </c>
      <c r="H60" s="173"/>
      <c r="I60" s="172" t="str">
        <f>IFERROR(INDEX('G-7 Rivers Data'!$H$4:$L$8,MATCH(D60,'G-7 Rivers Data'!$B$4:$B$8,0),MATCH(H60,'G-7 Rivers Data'!$H$3:$L$3,0)),"")</f>
        <v/>
      </c>
      <c r="J60" s="186"/>
      <c r="K60" s="175" t="str">
        <f>IF(J60="","",IF(VLOOKUP(J60,'G-7 Rivers Data'!$AK$4:$AM$9,2,FALSE)=0,"Spatial Data Missing",VLOOKUP(J60,'G-7 Rivers Data'!$AK$4:$AM$9,2,FALSE)))</f>
        <v/>
      </c>
      <c r="L60" s="176" t="str">
        <f>IF(J60="","",IF(VLOOKUP(J60,'G-7 Rivers Data'!$AK$4:$AM$9,3,FALSE)=0,"Spatial Data Missing",VLOOKUP(J60,'G-7 Rivers Data'!$AK$4:$AM$9,3,FALSE)))</f>
        <v/>
      </c>
      <c r="M60" s="79"/>
      <c r="N60" s="172" t="str">
        <f>IF(M60="","",IF(VLOOKUP(M60,'G-7 Rivers Data'!$AA$4:$AB$7,2,FALSE)=0,"Spatial Data Missing",VLOOKUP(M60,'G-7 Rivers Data'!$AA$4:$AB$7,2,FALSE)))</f>
        <v/>
      </c>
      <c r="O60" s="187"/>
      <c r="P60" s="172" t="str">
        <f>IF(O60="","",IF(VLOOKUP(O60,'G-7 Rivers Data'!$AD$4:$AE$8,2,FALSE)=0,"Spatial Data Missing",VLOOKUP(O60,'G-7 Rivers Data'!$AD$4:$AE$8,2,FALSE)))</f>
        <v/>
      </c>
      <c r="Q60" s="177" t="str">
        <f>IF(D60="","",VLOOKUP(D60,'G-7 Rivers Data'!$B$4:$G$8,6,FALSE))</f>
        <v/>
      </c>
      <c r="R60" s="178" t="str">
        <f t="shared" si="0"/>
        <v/>
      </c>
      <c r="S60" s="44"/>
      <c r="T60" s="173"/>
      <c r="U60" s="189"/>
      <c r="V60" s="208" t="str">
        <f t="shared" si="1"/>
        <v/>
      </c>
      <c r="W60" s="208" t="str">
        <f t="shared" si="2"/>
        <v/>
      </c>
      <c r="X60" s="208" t="str">
        <f t="shared" si="3"/>
        <v/>
      </c>
      <c r="Y60" s="209" t="str">
        <f t="shared" si="4"/>
        <v/>
      </c>
      <c r="Z60" s="182"/>
      <c r="AA60" s="183"/>
      <c r="AF60" s="35" t="str">
        <f>IFERROR(INDEX('G-7 Rivers Data'!$AZ$3:$AZ$7,MATCH(D60,'G-7 Rivers Data'!$AY$3:$AY$7,0)),"")</f>
        <v/>
      </c>
      <c r="AG60" s="35">
        <f t="shared" si="5"/>
        <v>0</v>
      </c>
      <c r="AH60" s="188" t="str">
        <f t="shared" si="6"/>
        <v/>
      </c>
      <c r="AI60" s="188" t="str">
        <f t="shared" si="7"/>
        <v/>
      </c>
      <c r="AK60" s="188">
        <v>51</v>
      </c>
      <c r="AM60" s="188" t="str">
        <f t="array" ref="AM60">IFERROR(INDEX($AK$10:$AK$258, MATCH(0, IF(TRUE=$AH$10:$AH$258, COUNTIF($AM$9:$AM59, $AK$10:$AK$258), ""), 0)),"")</f>
        <v/>
      </c>
      <c r="AN60" s="188" t="str">
        <f t="array" ref="AN60">IFERROR(INDEX($AK$10:$AK$258, MATCH(0, IF(TRUE=$AI$10:$AI$258, COUNTIF($AN$9:$AN59, $AK$10:$AK$258), ""), 0)),"")</f>
        <v/>
      </c>
    </row>
    <row r="61" spans="3:40" ht="13.8" x14ac:dyDescent="0.25">
      <c r="C61" s="168">
        <v>52</v>
      </c>
      <c r="D61" s="184"/>
      <c r="E61" s="185"/>
      <c r="F61" s="171" t="str">
        <f>IF(D61="","",VLOOKUP(D61,'G-7 Rivers Data'!$B$2:$G$8,2,FALSE))</f>
        <v/>
      </c>
      <c r="G61" s="172" t="str">
        <f>IFERROR(VLOOKUP(F61,'G-7 Rivers Data'!$C$4:$D$8,2,FALSE),"")</f>
        <v/>
      </c>
      <c r="H61" s="173"/>
      <c r="I61" s="172" t="str">
        <f>IFERROR(INDEX('G-7 Rivers Data'!$H$4:$L$8,MATCH(D61,'G-7 Rivers Data'!$B$4:$B$8,0),MATCH(H61,'G-7 Rivers Data'!$H$3:$L$3,0)),"")</f>
        <v/>
      </c>
      <c r="J61" s="186"/>
      <c r="K61" s="175" t="str">
        <f>IF(J61="","",IF(VLOOKUP(J61,'G-7 Rivers Data'!$AK$4:$AM$9,2,FALSE)=0,"Spatial Data Missing",VLOOKUP(J61,'G-7 Rivers Data'!$AK$4:$AM$9,2,FALSE)))</f>
        <v/>
      </c>
      <c r="L61" s="176" t="str">
        <f>IF(J61="","",IF(VLOOKUP(J61,'G-7 Rivers Data'!$AK$4:$AM$9,3,FALSE)=0,"Spatial Data Missing",VLOOKUP(J61,'G-7 Rivers Data'!$AK$4:$AM$9,3,FALSE)))</f>
        <v/>
      </c>
      <c r="M61" s="79"/>
      <c r="N61" s="172" t="str">
        <f>IF(M61="","",IF(VLOOKUP(M61,'G-7 Rivers Data'!$AA$4:$AB$7,2,FALSE)=0,"Spatial Data Missing",VLOOKUP(M61,'G-7 Rivers Data'!$AA$4:$AB$7,2,FALSE)))</f>
        <v/>
      </c>
      <c r="O61" s="187"/>
      <c r="P61" s="172" t="str">
        <f>IF(O61="","",IF(VLOOKUP(O61,'G-7 Rivers Data'!$AD$4:$AE$8,2,FALSE)=0,"Spatial Data Missing",VLOOKUP(O61,'G-7 Rivers Data'!$AD$4:$AE$8,2,FALSE)))</f>
        <v/>
      </c>
      <c r="Q61" s="177" t="str">
        <f>IF(D61="","",VLOOKUP(D61,'G-7 Rivers Data'!$B$4:$G$8,6,FALSE))</f>
        <v/>
      </c>
      <c r="R61" s="178" t="str">
        <f t="shared" si="0"/>
        <v/>
      </c>
      <c r="S61" s="44"/>
      <c r="T61" s="173"/>
      <c r="U61" s="189"/>
      <c r="V61" s="208" t="str">
        <f t="shared" si="1"/>
        <v/>
      </c>
      <c r="W61" s="208" t="str">
        <f t="shared" si="2"/>
        <v/>
      </c>
      <c r="X61" s="208" t="str">
        <f t="shared" si="3"/>
        <v/>
      </c>
      <c r="Y61" s="209" t="str">
        <f t="shared" si="4"/>
        <v/>
      </c>
      <c r="Z61" s="182"/>
      <c r="AA61" s="183"/>
      <c r="AF61" s="35" t="str">
        <f>IFERROR(INDEX('G-7 Rivers Data'!$AZ$3:$AZ$7,MATCH(D61,'G-7 Rivers Data'!$AY$3:$AY$7,0)),"")</f>
        <v/>
      </c>
      <c r="AG61" s="35">
        <f t="shared" si="5"/>
        <v>0</v>
      </c>
      <c r="AH61" s="188" t="str">
        <f t="shared" si="6"/>
        <v/>
      </c>
      <c r="AI61" s="188" t="str">
        <f t="shared" si="7"/>
        <v/>
      </c>
      <c r="AK61" s="188">
        <v>52</v>
      </c>
      <c r="AM61" s="188" t="str">
        <f t="array" ref="AM61">IFERROR(INDEX($AK$10:$AK$258, MATCH(0, IF(TRUE=$AH$10:$AH$258, COUNTIF($AM$9:$AM60, $AK$10:$AK$258), ""), 0)),"")</f>
        <v/>
      </c>
      <c r="AN61" s="188" t="str">
        <f t="array" ref="AN61">IFERROR(INDEX($AK$10:$AK$258, MATCH(0, IF(TRUE=$AI$10:$AI$258, COUNTIF($AN$9:$AN60, $AK$10:$AK$258), ""), 0)),"")</f>
        <v/>
      </c>
    </row>
    <row r="62" spans="3:40" ht="13.8" x14ac:dyDescent="0.25">
      <c r="C62" s="168">
        <v>53</v>
      </c>
      <c r="D62" s="184"/>
      <c r="E62" s="185"/>
      <c r="F62" s="171" t="str">
        <f>IF(D62="","",VLOOKUP(D62,'G-7 Rivers Data'!$B$2:$G$8,2,FALSE))</f>
        <v/>
      </c>
      <c r="G62" s="172" t="str">
        <f>IFERROR(VLOOKUP(F62,'G-7 Rivers Data'!$C$4:$D$8,2,FALSE),"")</f>
        <v/>
      </c>
      <c r="H62" s="173"/>
      <c r="I62" s="172" t="str">
        <f>IFERROR(INDEX('G-7 Rivers Data'!$H$4:$L$8,MATCH(D62,'G-7 Rivers Data'!$B$4:$B$8,0),MATCH(H62,'G-7 Rivers Data'!$H$3:$L$3,0)),"")</f>
        <v/>
      </c>
      <c r="J62" s="186"/>
      <c r="K62" s="175" t="str">
        <f>IF(J62="","",IF(VLOOKUP(J62,'G-7 Rivers Data'!$AK$4:$AM$9,2,FALSE)=0,"Spatial Data Missing",VLOOKUP(J62,'G-7 Rivers Data'!$AK$4:$AM$9,2,FALSE)))</f>
        <v/>
      </c>
      <c r="L62" s="176" t="str">
        <f>IF(J62="","",IF(VLOOKUP(J62,'G-7 Rivers Data'!$AK$4:$AM$9,3,FALSE)=0,"Spatial Data Missing",VLOOKUP(J62,'G-7 Rivers Data'!$AK$4:$AM$9,3,FALSE)))</f>
        <v/>
      </c>
      <c r="M62" s="79"/>
      <c r="N62" s="172" t="str">
        <f>IF(M62="","",IF(VLOOKUP(M62,'G-7 Rivers Data'!$AA$4:$AB$7,2,FALSE)=0,"Spatial Data Missing",VLOOKUP(M62,'G-7 Rivers Data'!$AA$4:$AB$7,2,FALSE)))</f>
        <v/>
      </c>
      <c r="O62" s="187"/>
      <c r="P62" s="172" t="str">
        <f>IF(O62="","",IF(VLOOKUP(O62,'G-7 Rivers Data'!$AD$4:$AE$8,2,FALSE)=0,"Spatial Data Missing",VLOOKUP(O62,'G-7 Rivers Data'!$AD$4:$AE$8,2,FALSE)))</f>
        <v/>
      </c>
      <c r="Q62" s="177" t="str">
        <f>IF(D62="","",VLOOKUP(D62,'G-7 Rivers Data'!$B$4:$G$8,6,FALSE))</f>
        <v/>
      </c>
      <c r="R62" s="178" t="str">
        <f t="shared" si="0"/>
        <v/>
      </c>
      <c r="S62" s="44"/>
      <c r="T62" s="173"/>
      <c r="U62" s="189"/>
      <c r="V62" s="208" t="str">
        <f t="shared" si="1"/>
        <v/>
      </c>
      <c r="W62" s="208" t="str">
        <f t="shared" si="2"/>
        <v/>
      </c>
      <c r="X62" s="208" t="str">
        <f t="shared" si="3"/>
        <v/>
      </c>
      <c r="Y62" s="209" t="str">
        <f t="shared" si="4"/>
        <v/>
      </c>
      <c r="Z62" s="182"/>
      <c r="AA62" s="183"/>
      <c r="AF62" s="35" t="str">
        <f>IFERROR(INDEX('G-7 Rivers Data'!$AZ$3:$AZ$7,MATCH(D62,'G-7 Rivers Data'!$AY$3:$AY$7,0)),"")</f>
        <v/>
      </c>
      <c r="AG62" s="35">
        <f t="shared" si="5"/>
        <v>0</v>
      </c>
      <c r="AH62" s="188" t="str">
        <f t="shared" si="6"/>
        <v/>
      </c>
      <c r="AI62" s="188" t="str">
        <f t="shared" si="7"/>
        <v/>
      </c>
      <c r="AK62" s="188">
        <v>53</v>
      </c>
      <c r="AM62" s="188" t="str">
        <f t="array" ref="AM62">IFERROR(INDEX($AK$10:$AK$258, MATCH(0, IF(TRUE=$AH$10:$AH$258, COUNTIF($AM$9:$AM61, $AK$10:$AK$258), ""), 0)),"")</f>
        <v/>
      </c>
      <c r="AN62" s="188" t="str">
        <f t="array" ref="AN62">IFERROR(INDEX($AK$10:$AK$258, MATCH(0, IF(TRUE=$AI$10:$AI$258, COUNTIF($AN$9:$AN61, $AK$10:$AK$258), ""), 0)),"")</f>
        <v/>
      </c>
    </row>
    <row r="63" spans="3:40" ht="13.8" x14ac:dyDescent="0.25">
      <c r="C63" s="168">
        <v>54</v>
      </c>
      <c r="D63" s="184"/>
      <c r="E63" s="185"/>
      <c r="F63" s="171" t="str">
        <f>IF(D63="","",VLOOKUP(D63,'G-7 Rivers Data'!$B$2:$G$8,2,FALSE))</f>
        <v/>
      </c>
      <c r="G63" s="172" t="str">
        <f>IFERROR(VLOOKUP(F63,'G-7 Rivers Data'!$C$4:$D$8,2,FALSE),"")</f>
        <v/>
      </c>
      <c r="H63" s="173"/>
      <c r="I63" s="172" t="str">
        <f>IFERROR(INDEX('G-7 Rivers Data'!$H$4:$L$8,MATCH(D63,'G-7 Rivers Data'!$B$4:$B$8,0),MATCH(H63,'G-7 Rivers Data'!$H$3:$L$3,0)),"")</f>
        <v/>
      </c>
      <c r="J63" s="186"/>
      <c r="K63" s="175" t="str">
        <f>IF(J63="","",IF(VLOOKUP(J63,'G-7 Rivers Data'!$AK$4:$AM$9,2,FALSE)=0,"Spatial Data Missing",VLOOKUP(J63,'G-7 Rivers Data'!$AK$4:$AM$9,2,FALSE)))</f>
        <v/>
      </c>
      <c r="L63" s="176" t="str">
        <f>IF(J63="","",IF(VLOOKUP(J63,'G-7 Rivers Data'!$AK$4:$AM$9,3,FALSE)=0,"Spatial Data Missing",VLOOKUP(J63,'G-7 Rivers Data'!$AK$4:$AM$9,3,FALSE)))</f>
        <v/>
      </c>
      <c r="M63" s="79"/>
      <c r="N63" s="172" t="str">
        <f>IF(M63="","",IF(VLOOKUP(M63,'G-7 Rivers Data'!$AA$4:$AB$7,2,FALSE)=0,"Spatial Data Missing",VLOOKUP(M63,'G-7 Rivers Data'!$AA$4:$AB$7,2,FALSE)))</f>
        <v/>
      </c>
      <c r="O63" s="187"/>
      <c r="P63" s="172" t="str">
        <f>IF(O63="","",IF(VLOOKUP(O63,'G-7 Rivers Data'!$AD$4:$AE$8,2,FALSE)=0,"Spatial Data Missing",VLOOKUP(O63,'G-7 Rivers Data'!$AD$4:$AE$8,2,FALSE)))</f>
        <v/>
      </c>
      <c r="Q63" s="177" t="str">
        <f>IF(D63="","",VLOOKUP(D63,'G-7 Rivers Data'!$B$4:$G$8,6,FALSE))</f>
        <v/>
      </c>
      <c r="R63" s="178" t="str">
        <f t="shared" si="0"/>
        <v/>
      </c>
      <c r="S63" s="44"/>
      <c r="T63" s="173"/>
      <c r="U63" s="189"/>
      <c r="V63" s="208" t="str">
        <f t="shared" si="1"/>
        <v/>
      </c>
      <c r="W63" s="208" t="str">
        <f t="shared" si="2"/>
        <v/>
      </c>
      <c r="X63" s="208" t="str">
        <f t="shared" si="3"/>
        <v/>
      </c>
      <c r="Y63" s="209" t="str">
        <f t="shared" si="4"/>
        <v/>
      </c>
      <c r="Z63" s="182"/>
      <c r="AA63" s="183"/>
      <c r="AF63" s="35" t="str">
        <f>IFERROR(INDEX('G-7 Rivers Data'!$AZ$3:$AZ$7,MATCH(D63,'G-7 Rivers Data'!$AY$3:$AY$7,0)),"")</f>
        <v/>
      </c>
      <c r="AG63" s="35">
        <f t="shared" si="5"/>
        <v>0</v>
      </c>
      <c r="AH63" s="188" t="str">
        <f t="shared" si="6"/>
        <v/>
      </c>
      <c r="AI63" s="188" t="str">
        <f t="shared" si="7"/>
        <v/>
      </c>
      <c r="AK63" s="188">
        <v>54</v>
      </c>
      <c r="AM63" s="188" t="str">
        <f t="array" ref="AM63">IFERROR(INDEX($AK$10:$AK$258, MATCH(0, IF(TRUE=$AH$10:$AH$258, COUNTIF($AM$9:$AM62, $AK$10:$AK$258), ""), 0)),"")</f>
        <v/>
      </c>
      <c r="AN63" s="188" t="str">
        <f t="array" ref="AN63">IFERROR(INDEX($AK$10:$AK$258, MATCH(0, IF(TRUE=$AI$10:$AI$258, COUNTIF($AN$9:$AN62, $AK$10:$AK$258), ""), 0)),"")</f>
        <v/>
      </c>
    </row>
    <row r="64" spans="3:40" ht="13.8" x14ac:dyDescent="0.25">
      <c r="C64" s="168">
        <v>55</v>
      </c>
      <c r="D64" s="184"/>
      <c r="E64" s="185"/>
      <c r="F64" s="171" t="str">
        <f>IF(D64="","",VLOOKUP(D64,'G-7 Rivers Data'!$B$2:$G$8,2,FALSE))</f>
        <v/>
      </c>
      <c r="G64" s="172" t="str">
        <f>IFERROR(VLOOKUP(F64,'G-7 Rivers Data'!$C$4:$D$8,2,FALSE),"")</f>
        <v/>
      </c>
      <c r="H64" s="173"/>
      <c r="I64" s="172" t="str">
        <f>IFERROR(INDEX('G-7 Rivers Data'!$H$4:$L$8,MATCH(D64,'G-7 Rivers Data'!$B$4:$B$8,0),MATCH(H64,'G-7 Rivers Data'!$H$3:$L$3,0)),"")</f>
        <v/>
      </c>
      <c r="J64" s="186"/>
      <c r="K64" s="175" t="str">
        <f>IF(J64="","",IF(VLOOKUP(J64,'G-7 Rivers Data'!$AK$4:$AM$9,2,FALSE)=0,"Spatial Data Missing",VLOOKUP(J64,'G-7 Rivers Data'!$AK$4:$AM$9,2,FALSE)))</f>
        <v/>
      </c>
      <c r="L64" s="176" t="str">
        <f>IF(J64="","",IF(VLOOKUP(J64,'G-7 Rivers Data'!$AK$4:$AM$9,3,FALSE)=0,"Spatial Data Missing",VLOOKUP(J64,'G-7 Rivers Data'!$AK$4:$AM$9,3,FALSE)))</f>
        <v/>
      </c>
      <c r="M64" s="79"/>
      <c r="N64" s="172" t="str">
        <f>IF(M64="","",IF(VLOOKUP(M64,'G-7 Rivers Data'!$AA$4:$AB$7,2,FALSE)=0,"Spatial Data Missing",VLOOKUP(M64,'G-7 Rivers Data'!$AA$4:$AB$7,2,FALSE)))</f>
        <v/>
      </c>
      <c r="O64" s="187"/>
      <c r="P64" s="172" t="str">
        <f>IF(O64="","",IF(VLOOKUP(O64,'G-7 Rivers Data'!$AD$4:$AE$8,2,FALSE)=0,"Spatial Data Missing",VLOOKUP(O64,'G-7 Rivers Data'!$AD$4:$AE$8,2,FALSE)))</f>
        <v/>
      </c>
      <c r="Q64" s="177" t="str">
        <f>IF(D64="","",VLOOKUP(D64,'G-7 Rivers Data'!$B$4:$G$8,6,FALSE))</f>
        <v/>
      </c>
      <c r="R64" s="178" t="str">
        <f t="shared" si="0"/>
        <v/>
      </c>
      <c r="S64" s="44"/>
      <c r="T64" s="173"/>
      <c r="U64" s="189"/>
      <c r="V64" s="208" t="str">
        <f t="shared" si="1"/>
        <v/>
      </c>
      <c r="W64" s="208" t="str">
        <f t="shared" si="2"/>
        <v/>
      </c>
      <c r="X64" s="208" t="str">
        <f t="shared" si="3"/>
        <v/>
      </c>
      <c r="Y64" s="209" t="str">
        <f t="shared" si="4"/>
        <v/>
      </c>
      <c r="Z64" s="182"/>
      <c r="AA64" s="183"/>
      <c r="AF64" s="35" t="str">
        <f>IFERROR(INDEX('G-7 Rivers Data'!$AZ$3:$AZ$7,MATCH(D64,'G-7 Rivers Data'!$AY$3:$AY$7,0)),"")</f>
        <v/>
      </c>
      <c r="AG64" s="35">
        <f t="shared" si="5"/>
        <v>0</v>
      </c>
      <c r="AH64" s="188" t="str">
        <f t="shared" si="6"/>
        <v/>
      </c>
      <c r="AI64" s="188" t="str">
        <f t="shared" si="7"/>
        <v/>
      </c>
      <c r="AK64" s="188">
        <v>55</v>
      </c>
      <c r="AM64" s="188" t="str">
        <f t="array" ref="AM64">IFERROR(INDEX($AK$10:$AK$258, MATCH(0, IF(TRUE=$AH$10:$AH$258, COUNTIF($AM$9:$AM63, $AK$10:$AK$258), ""), 0)),"")</f>
        <v/>
      </c>
      <c r="AN64" s="188" t="str">
        <f t="array" ref="AN64">IFERROR(INDEX($AK$10:$AK$258, MATCH(0, IF(TRUE=$AI$10:$AI$258, COUNTIF($AN$9:$AN63, $AK$10:$AK$258), ""), 0)),"")</f>
        <v/>
      </c>
    </row>
    <row r="65" spans="3:40" ht="13.8" x14ac:dyDescent="0.25">
      <c r="C65" s="168">
        <v>56</v>
      </c>
      <c r="D65" s="184"/>
      <c r="E65" s="185"/>
      <c r="F65" s="171" t="str">
        <f>IF(D65="","",VLOOKUP(D65,'G-7 Rivers Data'!$B$2:$G$8,2,FALSE))</f>
        <v/>
      </c>
      <c r="G65" s="172" t="str">
        <f>IFERROR(VLOOKUP(F65,'G-7 Rivers Data'!$C$4:$D$8,2,FALSE),"")</f>
        <v/>
      </c>
      <c r="H65" s="173"/>
      <c r="I65" s="172" t="str">
        <f>IFERROR(INDEX('G-7 Rivers Data'!$H$4:$L$8,MATCH(D65,'G-7 Rivers Data'!$B$4:$B$8,0),MATCH(H65,'G-7 Rivers Data'!$H$3:$L$3,0)),"")</f>
        <v/>
      </c>
      <c r="J65" s="186"/>
      <c r="K65" s="175" t="str">
        <f>IF(J65="","",IF(VLOOKUP(J65,'G-7 Rivers Data'!$AK$4:$AM$9,2,FALSE)=0,"Spatial Data Missing",VLOOKUP(J65,'G-7 Rivers Data'!$AK$4:$AM$9,2,FALSE)))</f>
        <v/>
      </c>
      <c r="L65" s="176" t="str">
        <f>IF(J65="","",IF(VLOOKUP(J65,'G-7 Rivers Data'!$AK$4:$AM$9,3,FALSE)=0,"Spatial Data Missing",VLOOKUP(J65,'G-7 Rivers Data'!$AK$4:$AM$9,3,FALSE)))</f>
        <v/>
      </c>
      <c r="M65" s="79"/>
      <c r="N65" s="172" t="str">
        <f>IF(M65="","",IF(VLOOKUP(M65,'G-7 Rivers Data'!$AA$4:$AB$7,2,FALSE)=0,"Spatial Data Missing",VLOOKUP(M65,'G-7 Rivers Data'!$AA$4:$AB$7,2,FALSE)))</f>
        <v/>
      </c>
      <c r="O65" s="187"/>
      <c r="P65" s="172" t="str">
        <f>IF(O65="","",IF(VLOOKUP(O65,'G-7 Rivers Data'!$AD$4:$AE$8,2,FALSE)=0,"Spatial Data Missing",VLOOKUP(O65,'G-7 Rivers Data'!$AD$4:$AE$8,2,FALSE)))</f>
        <v/>
      </c>
      <c r="Q65" s="177" t="str">
        <f>IF(D65="","",VLOOKUP(D65,'G-7 Rivers Data'!$B$4:$G$8,6,FALSE))</f>
        <v/>
      </c>
      <c r="R65" s="178" t="str">
        <f t="shared" si="0"/>
        <v/>
      </c>
      <c r="S65" s="44"/>
      <c r="T65" s="173"/>
      <c r="U65" s="189"/>
      <c r="V65" s="208" t="str">
        <f t="shared" si="1"/>
        <v/>
      </c>
      <c r="W65" s="208" t="str">
        <f t="shared" si="2"/>
        <v/>
      </c>
      <c r="X65" s="208" t="str">
        <f t="shared" si="3"/>
        <v/>
      </c>
      <c r="Y65" s="209" t="str">
        <f t="shared" si="4"/>
        <v/>
      </c>
      <c r="Z65" s="182"/>
      <c r="AA65" s="183"/>
      <c r="AF65" s="35" t="str">
        <f>IFERROR(INDEX('G-7 Rivers Data'!$AZ$3:$AZ$7,MATCH(D65,'G-7 Rivers Data'!$AY$3:$AY$7,0)),"")</f>
        <v/>
      </c>
      <c r="AG65" s="35">
        <f t="shared" si="5"/>
        <v>0</v>
      </c>
      <c r="AH65" s="188" t="str">
        <f t="shared" si="6"/>
        <v/>
      </c>
      <c r="AI65" s="188" t="str">
        <f t="shared" si="7"/>
        <v/>
      </c>
      <c r="AK65" s="188">
        <v>56</v>
      </c>
      <c r="AM65" s="188" t="str">
        <f t="array" ref="AM65">IFERROR(INDEX($AK$10:$AK$258, MATCH(0, IF(TRUE=$AH$10:$AH$258, COUNTIF($AM$9:$AM64, $AK$10:$AK$258), ""), 0)),"")</f>
        <v/>
      </c>
      <c r="AN65" s="188" t="str">
        <f t="array" ref="AN65">IFERROR(INDEX($AK$10:$AK$258, MATCH(0, IF(TRUE=$AI$10:$AI$258, COUNTIF($AN$9:$AN64, $AK$10:$AK$258), ""), 0)),"")</f>
        <v/>
      </c>
    </row>
    <row r="66" spans="3:40" ht="13.8" x14ac:dyDescent="0.25">
      <c r="C66" s="168">
        <v>57</v>
      </c>
      <c r="D66" s="184"/>
      <c r="E66" s="185"/>
      <c r="F66" s="171" t="str">
        <f>IF(D66="","",VLOOKUP(D66,'G-7 Rivers Data'!$B$2:$G$8,2,FALSE))</f>
        <v/>
      </c>
      <c r="G66" s="172" t="str">
        <f>IFERROR(VLOOKUP(F66,'G-7 Rivers Data'!$C$4:$D$8,2,FALSE),"")</f>
        <v/>
      </c>
      <c r="H66" s="173"/>
      <c r="I66" s="172" t="str">
        <f>IFERROR(INDEX('G-7 Rivers Data'!$H$4:$L$8,MATCH(D66,'G-7 Rivers Data'!$B$4:$B$8,0),MATCH(H66,'G-7 Rivers Data'!$H$3:$L$3,0)),"")</f>
        <v/>
      </c>
      <c r="J66" s="186"/>
      <c r="K66" s="175" t="str">
        <f>IF(J66="","",IF(VLOOKUP(J66,'G-7 Rivers Data'!$AK$4:$AM$9,2,FALSE)=0,"Spatial Data Missing",VLOOKUP(J66,'G-7 Rivers Data'!$AK$4:$AM$9,2,FALSE)))</f>
        <v/>
      </c>
      <c r="L66" s="176" t="str">
        <f>IF(J66="","",IF(VLOOKUP(J66,'G-7 Rivers Data'!$AK$4:$AM$9,3,FALSE)=0,"Spatial Data Missing",VLOOKUP(J66,'G-7 Rivers Data'!$AK$4:$AM$9,3,FALSE)))</f>
        <v/>
      </c>
      <c r="M66" s="79"/>
      <c r="N66" s="172" t="str">
        <f>IF(M66="","",IF(VLOOKUP(M66,'G-7 Rivers Data'!$AA$4:$AB$7,2,FALSE)=0,"Spatial Data Missing",VLOOKUP(M66,'G-7 Rivers Data'!$AA$4:$AB$7,2,FALSE)))</f>
        <v/>
      </c>
      <c r="O66" s="187"/>
      <c r="P66" s="172" t="str">
        <f>IF(O66="","",IF(VLOOKUP(O66,'G-7 Rivers Data'!$AD$4:$AE$8,2,FALSE)=0,"Spatial Data Missing",VLOOKUP(O66,'G-7 Rivers Data'!$AD$4:$AE$8,2,FALSE)))</f>
        <v/>
      </c>
      <c r="Q66" s="177" t="str">
        <f>IF(D66="","",VLOOKUP(D66,'G-7 Rivers Data'!$B$4:$G$8,6,FALSE))</f>
        <v/>
      </c>
      <c r="R66" s="178" t="str">
        <f t="shared" si="0"/>
        <v/>
      </c>
      <c r="S66" s="44"/>
      <c r="T66" s="173"/>
      <c r="U66" s="189"/>
      <c r="V66" s="208" t="str">
        <f t="shared" si="1"/>
        <v/>
      </c>
      <c r="W66" s="208" t="str">
        <f t="shared" si="2"/>
        <v/>
      </c>
      <c r="X66" s="208" t="str">
        <f t="shared" si="3"/>
        <v/>
      </c>
      <c r="Y66" s="209" t="str">
        <f t="shared" si="4"/>
        <v/>
      </c>
      <c r="Z66" s="182"/>
      <c r="AA66" s="183"/>
      <c r="AF66" s="35" t="str">
        <f>IFERROR(INDEX('G-7 Rivers Data'!$AZ$3:$AZ$7,MATCH(D66,'G-7 Rivers Data'!$AY$3:$AY$7,0)),"")</f>
        <v/>
      </c>
      <c r="AG66" s="35">
        <f t="shared" si="5"/>
        <v>0</v>
      </c>
      <c r="AH66" s="188" t="str">
        <f t="shared" si="6"/>
        <v/>
      </c>
      <c r="AI66" s="188" t="str">
        <f t="shared" si="7"/>
        <v/>
      </c>
      <c r="AK66" s="188">
        <v>57</v>
      </c>
      <c r="AM66" s="188" t="str">
        <f t="array" ref="AM66">IFERROR(INDEX($AK$10:$AK$258, MATCH(0, IF(TRUE=$AH$10:$AH$258, COUNTIF($AM$9:$AM65, $AK$10:$AK$258), ""), 0)),"")</f>
        <v/>
      </c>
      <c r="AN66" s="188" t="str">
        <f t="array" ref="AN66">IFERROR(INDEX($AK$10:$AK$258, MATCH(0, IF(TRUE=$AI$10:$AI$258, COUNTIF($AN$9:$AN65, $AK$10:$AK$258), ""), 0)),"")</f>
        <v/>
      </c>
    </row>
    <row r="67" spans="3:40" ht="13.8" x14ac:dyDescent="0.25">
      <c r="C67" s="168">
        <v>58</v>
      </c>
      <c r="D67" s="184"/>
      <c r="E67" s="185"/>
      <c r="F67" s="171" t="str">
        <f>IF(D67="","",VLOOKUP(D67,'G-7 Rivers Data'!$B$2:$G$8,2,FALSE))</f>
        <v/>
      </c>
      <c r="G67" s="172" t="str">
        <f>IFERROR(VLOOKUP(F67,'G-7 Rivers Data'!$C$4:$D$8,2,FALSE),"")</f>
        <v/>
      </c>
      <c r="H67" s="173"/>
      <c r="I67" s="172" t="str">
        <f>IFERROR(INDEX('G-7 Rivers Data'!$H$4:$L$8,MATCH(D67,'G-7 Rivers Data'!$B$4:$B$8,0),MATCH(H67,'G-7 Rivers Data'!$H$3:$L$3,0)),"")</f>
        <v/>
      </c>
      <c r="J67" s="186"/>
      <c r="K67" s="175" t="str">
        <f>IF(J67="","",IF(VLOOKUP(J67,'G-7 Rivers Data'!$AK$4:$AM$9,2,FALSE)=0,"Spatial Data Missing",VLOOKUP(J67,'G-7 Rivers Data'!$AK$4:$AM$9,2,FALSE)))</f>
        <v/>
      </c>
      <c r="L67" s="176" t="str">
        <f>IF(J67="","",IF(VLOOKUP(J67,'G-7 Rivers Data'!$AK$4:$AM$9,3,FALSE)=0,"Spatial Data Missing",VLOOKUP(J67,'G-7 Rivers Data'!$AK$4:$AM$9,3,FALSE)))</f>
        <v/>
      </c>
      <c r="M67" s="79"/>
      <c r="N67" s="172" t="str">
        <f>IF(M67="","",IF(VLOOKUP(M67,'G-7 Rivers Data'!$AA$4:$AB$7,2,FALSE)=0,"Spatial Data Missing",VLOOKUP(M67,'G-7 Rivers Data'!$AA$4:$AB$7,2,FALSE)))</f>
        <v/>
      </c>
      <c r="O67" s="187"/>
      <c r="P67" s="172" t="str">
        <f>IF(O67="","",IF(VLOOKUP(O67,'G-7 Rivers Data'!$AD$4:$AE$8,2,FALSE)=0,"Spatial Data Missing",VLOOKUP(O67,'G-7 Rivers Data'!$AD$4:$AE$8,2,FALSE)))</f>
        <v/>
      </c>
      <c r="Q67" s="177" t="str">
        <f>IF(D67="","",VLOOKUP(D67,'G-7 Rivers Data'!$B$4:$G$8,6,FALSE))</f>
        <v/>
      </c>
      <c r="R67" s="178" t="str">
        <f t="shared" si="0"/>
        <v/>
      </c>
      <c r="S67" s="44"/>
      <c r="T67" s="173"/>
      <c r="U67" s="189"/>
      <c r="V67" s="208" t="str">
        <f t="shared" si="1"/>
        <v/>
      </c>
      <c r="W67" s="208" t="str">
        <f t="shared" si="2"/>
        <v/>
      </c>
      <c r="X67" s="208" t="str">
        <f t="shared" si="3"/>
        <v/>
      </c>
      <c r="Y67" s="209" t="str">
        <f t="shared" si="4"/>
        <v/>
      </c>
      <c r="Z67" s="182"/>
      <c r="AA67" s="183"/>
      <c r="AF67" s="35" t="str">
        <f>IFERROR(INDEX('G-7 Rivers Data'!$AZ$3:$AZ$7,MATCH(D67,'G-7 Rivers Data'!$AY$3:$AY$7,0)),"")</f>
        <v/>
      </c>
      <c r="AG67" s="35">
        <f t="shared" si="5"/>
        <v>0</v>
      </c>
      <c r="AH67" s="188" t="str">
        <f t="shared" si="6"/>
        <v/>
      </c>
      <c r="AI67" s="188" t="str">
        <f t="shared" si="7"/>
        <v/>
      </c>
      <c r="AK67" s="188">
        <v>58</v>
      </c>
      <c r="AM67" s="188" t="str">
        <f t="array" ref="AM67">IFERROR(INDEX($AK$10:$AK$258, MATCH(0, IF(TRUE=$AH$10:$AH$258, COUNTIF($AM$9:$AM66, $AK$10:$AK$258), ""), 0)),"")</f>
        <v/>
      </c>
      <c r="AN67" s="188" t="str">
        <f t="array" ref="AN67">IFERROR(INDEX($AK$10:$AK$258, MATCH(0, IF(TRUE=$AI$10:$AI$258, COUNTIF($AN$9:$AN66, $AK$10:$AK$258), ""), 0)),"")</f>
        <v/>
      </c>
    </row>
    <row r="68" spans="3:40" ht="13.8" x14ac:dyDescent="0.25">
      <c r="C68" s="168">
        <v>59</v>
      </c>
      <c r="D68" s="184"/>
      <c r="E68" s="185"/>
      <c r="F68" s="171" t="str">
        <f>IF(D68="","",VLOOKUP(D68,'G-7 Rivers Data'!$B$2:$G$8,2,FALSE))</f>
        <v/>
      </c>
      <c r="G68" s="172" t="str">
        <f>IFERROR(VLOOKUP(F68,'G-7 Rivers Data'!$C$4:$D$8,2,FALSE),"")</f>
        <v/>
      </c>
      <c r="H68" s="173"/>
      <c r="I68" s="172" t="str">
        <f>IFERROR(INDEX('G-7 Rivers Data'!$H$4:$L$8,MATCH(D68,'G-7 Rivers Data'!$B$4:$B$8,0),MATCH(H68,'G-7 Rivers Data'!$H$3:$L$3,0)),"")</f>
        <v/>
      </c>
      <c r="J68" s="186"/>
      <c r="K68" s="175" t="str">
        <f>IF(J68="","",IF(VLOOKUP(J68,'G-7 Rivers Data'!$AK$4:$AM$9,2,FALSE)=0,"Spatial Data Missing",VLOOKUP(J68,'G-7 Rivers Data'!$AK$4:$AM$9,2,FALSE)))</f>
        <v/>
      </c>
      <c r="L68" s="176" t="str">
        <f>IF(J68="","",IF(VLOOKUP(J68,'G-7 Rivers Data'!$AK$4:$AM$9,3,FALSE)=0,"Spatial Data Missing",VLOOKUP(J68,'G-7 Rivers Data'!$AK$4:$AM$9,3,FALSE)))</f>
        <v/>
      </c>
      <c r="M68" s="79"/>
      <c r="N68" s="172" t="str">
        <f>IF(M68="","",IF(VLOOKUP(M68,'G-7 Rivers Data'!$AA$4:$AB$7,2,FALSE)=0,"Spatial Data Missing",VLOOKUP(M68,'G-7 Rivers Data'!$AA$4:$AB$7,2,FALSE)))</f>
        <v/>
      </c>
      <c r="O68" s="187"/>
      <c r="P68" s="172" t="str">
        <f>IF(O68="","",IF(VLOOKUP(O68,'G-7 Rivers Data'!$AD$4:$AE$8,2,FALSE)=0,"Spatial Data Missing",VLOOKUP(O68,'G-7 Rivers Data'!$AD$4:$AE$8,2,FALSE)))</f>
        <v/>
      </c>
      <c r="Q68" s="177" t="str">
        <f>IF(D68="","",VLOOKUP(D68,'G-7 Rivers Data'!$B$4:$G$8,6,FALSE))</f>
        <v/>
      </c>
      <c r="R68" s="178" t="str">
        <f t="shared" si="0"/>
        <v/>
      </c>
      <c r="S68" s="44"/>
      <c r="T68" s="173"/>
      <c r="U68" s="189"/>
      <c r="V68" s="208" t="str">
        <f t="shared" si="1"/>
        <v/>
      </c>
      <c r="W68" s="208" t="str">
        <f t="shared" si="2"/>
        <v/>
      </c>
      <c r="X68" s="208" t="str">
        <f t="shared" si="3"/>
        <v/>
      </c>
      <c r="Y68" s="209" t="str">
        <f t="shared" si="4"/>
        <v/>
      </c>
      <c r="Z68" s="182"/>
      <c r="AA68" s="183"/>
      <c r="AF68" s="35" t="str">
        <f>IFERROR(INDEX('G-7 Rivers Data'!$AZ$3:$AZ$7,MATCH(D68,'G-7 Rivers Data'!$AY$3:$AY$7,0)),"")</f>
        <v/>
      </c>
      <c r="AG68" s="35">
        <f t="shared" si="5"/>
        <v>0</v>
      </c>
      <c r="AH68" s="188" t="str">
        <f t="shared" si="6"/>
        <v/>
      </c>
      <c r="AI68" s="188" t="str">
        <f t="shared" si="7"/>
        <v/>
      </c>
      <c r="AK68" s="188">
        <v>59</v>
      </c>
      <c r="AM68" s="188" t="str">
        <f t="array" ref="AM68">IFERROR(INDEX($AK$10:$AK$258, MATCH(0, IF(TRUE=$AH$10:$AH$258, COUNTIF($AM$9:$AM67, $AK$10:$AK$258), ""), 0)),"")</f>
        <v/>
      </c>
      <c r="AN68" s="188" t="str">
        <f t="array" ref="AN68">IFERROR(INDEX($AK$10:$AK$258, MATCH(0, IF(TRUE=$AI$10:$AI$258, COUNTIF($AN$9:$AN67, $AK$10:$AK$258), ""), 0)),"")</f>
        <v/>
      </c>
    </row>
    <row r="69" spans="3:40" ht="13.8" x14ac:dyDescent="0.25">
      <c r="C69" s="168">
        <v>60</v>
      </c>
      <c r="D69" s="184"/>
      <c r="E69" s="185"/>
      <c r="F69" s="171" t="str">
        <f>IF(D69="","",VLOOKUP(D69,'G-7 Rivers Data'!$B$2:$G$8,2,FALSE))</f>
        <v/>
      </c>
      <c r="G69" s="172" t="str">
        <f>IFERROR(VLOOKUP(F69,'G-7 Rivers Data'!$C$4:$D$8,2,FALSE),"")</f>
        <v/>
      </c>
      <c r="H69" s="173"/>
      <c r="I69" s="172" t="str">
        <f>IFERROR(INDEX('G-7 Rivers Data'!$H$4:$L$8,MATCH(D69,'G-7 Rivers Data'!$B$4:$B$8,0),MATCH(H69,'G-7 Rivers Data'!$H$3:$L$3,0)),"")</f>
        <v/>
      </c>
      <c r="J69" s="186"/>
      <c r="K69" s="175" t="str">
        <f>IF(J69="","",IF(VLOOKUP(J69,'G-7 Rivers Data'!$AK$4:$AM$9,2,FALSE)=0,"Spatial Data Missing",VLOOKUP(J69,'G-7 Rivers Data'!$AK$4:$AM$9,2,FALSE)))</f>
        <v/>
      </c>
      <c r="L69" s="176" t="str">
        <f>IF(J69="","",IF(VLOOKUP(J69,'G-7 Rivers Data'!$AK$4:$AM$9,3,FALSE)=0,"Spatial Data Missing",VLOOKUP(J69,'G-7 Rivers Data'!$AK$4:$AM$9,3,FALSE)))</f>
        <v/>
      </c>
      <c r="M69" s="79"/>
      <c r="N69" s="172" t="str">
        <f>IF(M69="","",IF(VLOOKUP(M69,'G-7 Rivers Data'!$AA$4:$AB$7,2,FALSE)=0,"Spatial Data Missing",VLOOKUP(M69,'G-7 Rivers Data'!$AA$4:$AB$7,2,FALSE)))</f>
        <v/>
      </c>
      <c r="O69" s="187"/>
      <c r="P69" s="172" t="str">
        <f>IF(O69="","",IF(VLOOKUP(O69,'G-7 Rivers Data'!$AD$4:$AE$8,2,FALSE)=0,"Spatial Data Missing",VLOOKUP(O69,'G-7 Rivers Data'!$AD$4:$AE$8,2,FALSE)))</f>
        <v/>
      </c>
      <c r="Q69" s="177" t="str">
        <f>IF(D69="","",VLOOKUP(D69,'G-7 Rivers Data'!$B$4:$G$8,6,FALSE))</f>
        <v/>
      </c>
      <c r="R69" s="178" t="str">
        <f t="shared" si="0"/>
        <v/>
      </c>
      <c r="S69" s="44"/>
      <c r="T69" s="173"/>
      <c r="U69" s="189"/>
      <c r="V69" s="208" t="str">
        <f t="shared" si="1"/>
        <v/>
      </c>
      <c r="W69" s="208" t="str">
        <f t="shared" si="2"/>
        <v/>
      </c>
      <c r="X69" s="208" t="str">
        <f t="shared" si="3"/>
        <v/>
      </c>
      <c r="Y69" s="209" t="str">
        <f t="shared" si="4"/>
        <v/>
      </c>
      <c r="Z69" s="182"/>
      <c r="AA69" s="183"/>
      <c r="AF69" s="35" t="str">
        <f>IFERROR(INDEX('G-7 Rivers Data'!$AZ$3:$AZ$7,MATCH(D69,'G-7 Rivers Data'!$AY$3:$AY$7,0)),"")</f>
        <v/>
      </c>
      <c r="AG69" s="35">
        <f t="shared" si="5"/>
        <v>0</v>
      </c>
      <c r="AH69" s="188" t="str">
        <f t="shared" si="6"/>
        <v/>
      </c>
      <c r="AI69" s="188" t="str">
        <f t="shared" si="7"/>
        <v/>
      </c>
      <c r="AK69" s="188">
        <v>60</v>
      </c>
      <c r="AM69" s="188" t="str">
        <f t="array" ref="AM69">IFERROR(INDEX($AK$10:$AK$258, MATCH(0, IF(TRUE=$AH$10:$AH$258, COUNTIF($AM$9:$AM68, $AK$10:$AK$258), ""), 0)),"")</f>
        <v/>
      </c>
      <c r="AN69" s="188" t="str">
        <f t="array" ref="AN69">IFERROR(INDEX($AK$10:$AK$258, MATCH(0, IF(TRUE=$AI$10:$AI$258, COUNTIF($AN$9:$AN68, $AK$10:$AK$258), ""), 0)),"")</f>
        <v/>
      </c>
    </row>
    <row r="70" spans="3:40" ht="13.8" x14ac:dyDescent="0.25">
      <c r="C70" s="168">
        <v>61</v>
      </c>
      <c r="D70" s="184"/>
      <c r="E70" s="185"/>
      <c r="F70" s="171" t="str">
        <f>IF(D70="","",VLOOKUP(D70,'G-7 Rivers Data'!$B$2:$G$8,2,FALSE))</f>
        <v/>
      </c>
      <c r="G70" s="172" t="str">
        <f>IFERROR(VLOOKUP(F70,'G-7 Rivers Data'!$C$4:$D$8,2,FALSE),"")</f>
        <v/>
      </c>
      <c r="H70" s="173"/>
      <c r="I70" s="172" t="str">
        <f>IFERROR(INDEX('G-7 Rivers Data'!$H$4:$L$8,MATCH(D70,'G-7 Rivers Data'!$B$4:$B$8,0),MATCH(H70,'G-7 Rivers Data'!$H$3:$L$3,0)),"")</f>
        <v/>
      </c>
      <c r="J70" s="186"/>
      <c r="K70" s="175" t="str">
        <f>IF(J70="","",IF(VLOOKUP(J70,'G-7 Rivers Data'!$AK$4:$AM$9,2,FALSE)=0,"Spatial Data Missing",VLOOKUP(J70,'G-7 Rivers Data'!$AK$4:$AM$9,2,FALSE)))</f>
        <v/>
      </c>
      <c r="L70" s="176" t="str">
        <f>IF(J70="","",IF(VLOOKUP(J70,'G-7 Rivers Data'!$AK$4:$AM$9,3,FALSE)=0,"Spatial Data Missing",VLOOKUP(J70,'G-7 Rivers Data'!$AK$4:$AM$9,3,FALSE)))</f>
        <v/>
      </c>
      <c r="M70" s="79"/>
      <c r="N70" s="172" t="str">
        <f>IF(M70="","",IF(VLOOKUP(M70,'G-7 Rivers Data'!$AA$4:$AB$7,2,FALSE)=0,"Spatial Data Missing",VLOOKUP(M70,'G-7 Rivers Data'!$AA$4:$AB$7,2,FALSE)))</f>
        <v/>
      </c>
      <c r="O70" s="187"/>
      <c r="P70" s="172" t="str">
        <f>IF(O70="","",IF(VLOOKUP(O70,'G-7 Rivers Data'!$AD$4:$AE$8,2,FALSE)=0,"Spatial Data Missing",VLOOKUP(O70,'G-7 Rivers Data'!$AD$4:$AE$8,2,FALSE)))</f>
        <v/>
      </c>
      <c r="Q70" s="177" t="str">
        <f>IF(D70="","",VLOOKUP(D70,'G-7 Rivers Data'!$B$4:$G$8,6,FALSE))</f>
        <v/>
      </c>
      <c r="R70" s="178" t="str">
        <f t="shared" si="0"/>
        <v/>
      </c>
      <c r="S70" s="44"/>
      <c r="T70" s="173"/>
      <c r="U70" s="189"/>
      <c r="V70" s="208" t="str">
        <f t="shared" si="1"/>
        <v/>
      </c>
      <c r="W70" s="208" t="str">
        <f t="shared" si="2"/>
        <v/>
      </c>
      <c r="X70" s="208" t="str">
        <f t="shared" si="3"/>
        <v/>
      </c>
      <c r="Y70" s="209" t="str">
        <f t="shared" si="4"/>
        <v/>
      </c>
      <c r="Z70" s="182"/>
      <c r="AA70" s="183"/>
      <c r="AF70" s="35" t="str">
        <f>IFERROR(INDEX('G-7 Rivers Data'!$AZ$3:$AZ$7,MATCH(D70,'G-7 Rivers Data'!$AY$3:$AY$7,0)),"")</f>
        <v/>
      </c>
      <c r="AG70" s="35">
        <f t="shared" si="5"/>
        <v>0</v>
      </c>
      <c r="AH70" s="188" t="str">
        <f t="shared" si="6"/>
        <v/>
      </c>
      <c r="AI70" s="188" t="str">
        <f t="shared" si="7"/>
        <v/>
      </c>
      <c r="AK70" s="188">
        <v>61</v>
      </c>
      <c r="AM70" s="188" t="str">
        <f t="array" ref="AM70">IFERROR(INDEX($AK$10:$AK$258, MATCH(0, IF(TRUE=$AH$10:$AH$258, COUNTIF($AM$9:$AM69, $AK$10:$AK$258), ""), 0)),"")</f>
        <v/>
      </c>
      <c r="AN70" s="188" t="str">
        <f t="array" ref="AN70">IFERROR(INDEX($AK$10:$AK$258, MATCH(0, IF(TRUE=$AI$10:$AI$258, COUNTIF($AN$9:$AN69, $AK$10:$AK$258), ""), 0)),"")</f>
        <v/>
      </c>
    </row>
    <row r="71" spans="3:40" ht="13.8" x14ac:dyDescent="0.25">
      <c r="C71" s="168">
        <v>62</v>
      </c>
      <c r="D71" s="184"/>
      <c r="E71" s="185"/>
      <c r="F71" s="171" t="str">
        <f>IF(D71="","",VLOOKUP(D71,'G-7 Rivers Data'!$B$2:$G$8,2,FALSE))</f>
        <v/>
      </c>
      <c r="G71" s="172" t="str">
        <f>IFERROR(VLOOKUP(F71,'G-7 Rivers Data'!$C$4:$D$8,2,FALSE),"")</f>
        <v/>
      </c>
      <c r="H71" s="173"/>
      <c r="I71" s="172" t="str">
        <f>IFERROR(INDEX('G-7 Rivers Data'!$H$4:$L$8,MATCH(D71,'G-7 Rivers Data'!$B$4:$B$8,0),MATCH(H71,'G-7 Rivers Data'!$H$3:$L$3,0)),"")</f>
        <v/>
      </c>
      <c r="J71" s="186"/>
      <c r="K71" s="175" t="str">
        <f>IF(J71="","",IF(VLOOKUP(J71,'G-7 Rivers Data'!$AK$4:$AM$9,2,FALSE)=0,"Spatial Data Missing",VLOOKUP(J71,'G-7 Rivers Data'!$AK$4:$AM$9,2,FALSE)))</f>
        <v/>
      </c>
      <c r="L71" s="176" t="str">
        <f>IF(J71="","",IF(VLOOKUP(J71,'G-7 Rivers Data'!$AK$4:$AM$9,3,FALSE)=0,"Spatial Data Missing",VLOOKUP(J71,'G-7 Rivers Data'!$AK$4:$AM$9,3,FALSE)))</f>
        <v/>
      </c>
      <c r="M71" s="79"/>
      <c r="N71" s="172" t="str">
        <f>IF(M71="","",IF(VLOOKUP(M71,'G-7 Rivers Data'!$AA$4:$AB$7,2,FALSE)=0,"Spatial Data Missing",VLOOKUP(M71,'G-7 Rivers Data'!$AA$4:$AB$7,2,FALSE)))</f>
        <v/>
      </c>
      <c r="O71" s="187"/>
      <c r="P71" s="172" t="str">
        <f>IF(O71="","",IF(VLOOKUP(O71,'G-7 Rivers Data'!$AD$4:$AE$8,2,FALSE)=0,"Spatial Data Missing",VLOOKUP(O71,'G-7 Rivers Data'!$AD$4:$AE$8,2,FALSE)))</f>
        <v/>
      </c>
      <c r="Q71" s="177" t="str">
        <f>IF(D71="","",VLOOKUP(D71,'G-7 Rivers Data'!$B$4:$G$8,6,FALSE))</f>
        <v/>
      </c>
      <c r="R71" s="178" t="str">
        <f t="shared" si="0"/>
        <v/>
      </c>
      <c r="S71" s="44"/>
      <c r="T71" s="173"/>
      <c r="U71" s="189"/>
      <c r="V71" s="208" t="str">
        <f t="shared" si="1"/>
        <v/>
      </c>
      <c r="W71" s="208" t="str">
        <f t="shared" si="2"/>
        <v/>
      </c>
      <c r="X71" s="208" t="str">
        <f t="shared" si="3"/>
        <v/>
      </c>
      <c r="Y71" s="209" t="str">
        <f t="shared" si="4"/>
        <v/>
      </c>
      <c r="Z71" s="182"/>
      <c r="AA71" s="183"/>
      <c r="AF71" s="35" t="str">
        <f>IFERROR(INDEX('G-7 Rivers Data'!$AZ$3:$AZ$7,MATCH(D71,'G-7 Rivers Data'!$AY$3:$AY$7,0)),"")</f>
        <v/>
      </c>
      <c r="AG71" s="35">
        <f t="shared" si="5"/>
        <v>0</v>
      </c>
      <c r="AH71" s="188" t="str">
        <f t="shared" si="6"/>
        <v/>
      </c>
      <c r="AI71" s="188" t="str">
        <f t="shared" si="7"/>
        <v/>
      </c>
      <c r="AK71" s="188">
        <v>62</v>
      </c>
      <c r="AM71" s="188" t="str">
        <f t="array" ref="AM71">IFERROR(INDEX($AK$10:$AK$258, MATCH(0, IF(TRUE=$AH$10:$AH$258, COUNTIF($AM$9:$AM70, $AK$10:$AK$258), ""), 0)),"")</f>
        <v/>
      </c>
      <c r="AN71" s="188" t="str">
        <f t="array" ref="AN71">IFERROR(INDEX($AK$10:$AK$258, MATCH(0, IF(TRUE=$AI$10:$AI$258, COUNTIF($AN$9:$AN70, $AK$10:$AK$258), ""), 0)),"")</f>
        <v/>
      </c>
    </row>
    <row r="72" spans="3:40" ht="13.8" x14ac:dyDescent="0.25">
      <c r="C72" s="168">
        <v>63</v>
      </c>
      <c r="D72" s="184"/>
      <c r="E72" s="185"/>
      <c r="F72" s="171" t="str">
        <f>IF(D72="","",VLOOKUP(D72,'G-7 Rivers Data'!$B$2:$G$8,2,FALSE))</f>
        <v/>
      </c>
      <c r="G72" s="172" t="str">
        <f>IFERROR(VLOOKUP(F72,'G-7 Rivers Data'!$C$4:$D$8,2,FALSE),"")</f>
        <v/>
      </c>
      <c r="H72" s="173"/>
      <c r="I72" s="172" t="str">
        <f>IFERROR(INDEX('G-7 Rivers Data'!$H$4:$L$8,MATCH(D72,'G-7 Rivers Data'!$B$4:$B$8,0),MATCH(H72,'G-7 Rivers Data'!$H$3:$L$3,0)),"")</f>
        <v/>
      </c>
      <c r="J72" s="186"/>
      <c r="K72" s="175" t="str">
        <f>IF(J72="","",IF(VLOOKUP(J72,'G-7 Rivers Data'!$AK$4:$AM$9,2,FALSE)=0,"Spatial Data Missing",VLOOKUP(J72,'G-7 Rivers Data'!$AK$4:$AM$9,2,FALSE)))</f>
        <v/>
      </c>
      <c r="L72" s="176" t="str">
        <f>IF(J72="","",IF(VLOOKUP(J72,'G-7 Rivers Data'!$AK$4:$AM$9,3,FALSE)=0,"Spatial Data Missing",VLOOKUP(J72,'G-7 Rivers Data'!$AK$4:$AM$9,3,FALSE)))</f>
        <v/>
      </c>
      <c r="M72" s="79"/>
      <c r="N72" s="172" t="str">
        <f>IF(M72="","",IF(VLOOKUP(M72,'G-7 Rivers Data'!$AA$4:$AB$7,2,FALSE)=0,"Spatial Data Missing",VLOOKUP(M72,'G-7 Rivers Data'!$AA$4:$AB$7,2,FALSE)))</f>
        <v/>
      </c>
      <c r="O72" s="187"/>
      <c r="P72" s="172" t="str">
        <f>IF(O72="","",IF(VLOOKUP(O72,'G-7 Rivers Data'!$AD$4:$AE$8,2,FALSE)=0,"Spatial Data Missing",VLOOKUP(O72,'G-7 Rivers Data'!$AD$4:$AE$8,2,FALSE)))</f>
        <v/>
      </c>
      <c r="Q72" s="177" t="str">
        <f>IF(D72="","",VLOOKUP(D72,'G-7 Rivers Data'!$B$4:$G$8,6,FALSE))</f>
        <v/>
      </c>
      <c r="R72" s="178" t="str">
        <f t="shared" si="0"/>
        <v/>
      </c>
      <c r="S72" s="44"/>
      <c r="T72" s="173"/>
      <c r="U72" s="189"/>
      <c r="V72" s="208" t="str">
        <f t="shared" si="1"/>
        <v/>
      </c>
      <c r="W72" s="208" t="str">
        <f t="shared" si="2"/>
        <v/>
      </c>
      <c r="X72" s="208" t="str">
        <f t="shared" si="3"/>
        <v/>
      </c>
      <c r="Y72" s="209" t="str">
        <f t="shared" si="4"/>
        <v/>
      </c>
      <c r="Z72" s="182"/>
      <c r="AA72" s="183"/>
      <c r="AF72" s="35" t="str">
        <f>IFERROR(INDEX('G-7 Rivers Data'!$AZ$3:$AZ$7,MATCH(D72,'G-7 Rivers Data'!$AY$3:$AY$7,0)),"")</f>
        <v/>
      </c>
      <c r="AG72" s="35">
        <f t="shared" si="5"/>
        <v>0</v>
      </c>
      <c r="AH72" s="188" t="str">
        <f t="shared" si="6"/>
        <v/>
      </c>
      <c r="AI72" s="188" t="str">
        <f t="shared" si="7"/>
        <v/>
      </c>
      <c r="AK72" s="188">
        <v>63</v>
      </c>
      <c r="AM72" s="188" t="str">
        <f t="array" ref="AM72">IFERROR(INDEX($AK$10:$AK$258, MATCH(0, IF(TRUE=$AH$10:$AH$258, COUNTIF($AM$9:$AM71, $AK$10:$AK$258), ""), 0)),"")</f>
        <v/>
      </c>
      <c r="AN72" s="188" t="str">
        <f t="array" ref="AN72">IFERROR(INDEX($AK$10:$AK$258, MATCH(0, IF(TRUE=$AI$10:$AI$258, COUNTIF($AN$9:$AN71, $AK$10:$AK$258), ""), 0)),"")</f>
        <v/>
      </c>
    </row>
    <row r="73" spans="3:40" ht="13.8" x14ac:dyDescent="0.25">
      <c r="C73" s="168">
        <v>64</v>
      </c>
      <c r="D73" s="184"/>
      <c r="E73" s="185"/>
      <c r="F73" s="171" t="str">
        <f>IF(D73="","",VLOOKUP(D73,'G-7 Rivers Data'!$B$2:$G$8,2,FALSE))</f>
        <v/>
      </c>
      <c r="G73" s="172" t="str">
        <f>IFERROR(VLOOKUP(F73,'G-7 Rivers Data'!$C$4:$D$8,2,FALSE),"")</f>
        <v/>
      </c>
      <c r="H73" s="173"/>
      <c r="I73" s="172" t="str">
        <f>IFERROR(INDEX('G-7 Rivers Data'!$H$4:$L$8,MATCH(D73,'G-7 Rivers Data'!$B$4:$B$8,0),MATCH(H73,'G-7 Rivers Data'!$H$3:$L$3,0)),"")</f>
        <v/>
      </c>
      <c r="J73" s="186"/>
      <c r="K73" s="175" t="str">
        <f>IF(J73="","",IF(VLOOKUP(J73,'G-7 Rivers Data'!$AK$4:$AM$9,2,FALSE)=0,"Spatial Data Missing",VLOOKUP(J73,'G-7 Rivers Data'!$AK$4:$AM$9,2,FALSE)))</f>
        <v/>
      </c>
      <c r="L73" s="176" t="str">
        <f>IF(J73="","",IF(VLOOKUP(J73,'G-7 Rivers Data'!$AK$4:$AM$9,3,FALSE)=0,"Spatial Data Missing",VLOOKUP(J73,'G-7 Rivers Data'!$AK$4:$AM$9,3,FALSE)))</f>
        <v/>
      </c>
      <c r="M73" s="79"/>
      <c r="N73" s="172" t="str">
        <f>IF(M73="","",IF(VLOOKUP(M73,'G-7 Rivers Data'!$AA$4:$AB$7,2,FALSE)=0,"Spatial Data Missing",VLOOKUP(M73,'G-7 Rivers Data'!$AA$4:$AB$7,2,FALSE)))</f>
        <v/>
      </c>
      <c r="O73" s="187"/>
      <c r="P73" s="172" t="str">
        <f>IF(O73="","",IF(VLOOKUP(O73,'G-7 Rivers Data'!$AD$4:$AE$8,2,FALSE)=0,"Spatial Data Missing",VLOOKUP(O73,'G-7 Rivers Data'!$AD$4:$AE$8,2,FALSE)))</f>
        <v/>
      </c>
      <c r="Q73" s="177" t="str">
        <f>IF(D73="","",VLOOKUP(D73,'G-7 Rivers Data'!$B$4:$G$8,6,FALSE))</f>
        <v/>
      </c>
      <c r="R73" s="178" t="str">
        <f t="shared" si="0"/>
        <v/>
      </c>
      <c r="S73" s="44"/>
      <c r="T73" s="173"/>
      <c r="U73" s="189"/>
      <c r="V73" s="208" t="str">
        <f t="shared" si="1"/>
        <v/>
      </c>
      <c r="W73" s="208" t="str">
        <f t="shared" si="2"/>
        <v/>
      </c>
      <c r="X73" s="208" t="str">
        <f t="shared" si="3"/>
        <v/>
      </c>
      <c r="Y73" s="209" t="str">
        <f t="shared" si="4"/>
        <v/>
      </c>
      <c r="Z73" s="182"/>
      <c r="AA73" s="183"/>
      <c r="AF73" s="35" t="str">
        <f>IFERROR(INDEX('G-7 Rivers Data'!$AZ$3:$AZ$7,MATCH(D73,'G-7 Rivers Data'!$AY$3:$AY$7,0)),"")</f>
        <v/>
      </c>
      <c r="AG73" s="35">
        <f t="shared" si="5"/>
        <v>0</v>
      </c>
      <c r="AH73" s="188" t="str">
        <f t="shared" si="6"/>
        <v/>
      </c>
      <c r="AI73" s="188" t="str">
        <f t="shared" si="7"/>
        <v/>
      </c>
      <c r="AK73" s="188">
        <v>64</v>
      </c>
      <c r="AM73" s="188" t="str">
        <f t="array" ref="AM73">IFERROR(INDEX($AK$10:$AK$258, MATCH(0, IF(TRUE=$AH$10:$AH$258, COUNTIF($AM$9:$AM72, $AK$10:$AK$258), ""), 0)),"")</f>
        <v/>
      </c>
      <c r="AN73" s="188" t="str">
        <f t="array" ref="AN73">IFERROR(INDEX($AK$10:$AK$258, MATCH(0, IF(TRUE=$AI$10:$AI$258, COUNTIF($AN$9:$AN72, $AK$10:$AK$258), ""), 0)),"")</f>
        <v/>
      </c>
    </row>
    <row r="74" spans="3:40" ht="13.8" x14ac:dyDescent="0.25">
      <c r="C74" s="168">
        <v>65</v>
      </c>
      <c r="D74" s="184"/>
      <c r="E74" s="185"/>
      <c r="F74" s="171" t="str">
        <f>IF(D74="","",VLOOKUP(D74,'G-7 Rivers Data'!$B$2:$G$8,2,FALSE))</f>
        <v/>
      </c>
      <c r="G74" s="172" t="str">
        <f>IFERROR(VLOOKUP(F74,'G-7 Rivers Data'!$C$4:$D$8,2,FALSE),"")</f>
        <v/>
      </c>
      <c r="H74" s="173"/>
      <c r="I74" s="172" t="str">
        <f>IFERROR(INDEX('G-7 Rivers Data'!$H$4:$L$8,MATCH(D74,'G-7 Rivers Data'!$B$4:$B$8,0),MATCH(H74,'G-7 Rivers Data'!$H$3:$L$3,0)),"")</f>
        <v/>
      </c>
      <c r="J74" s="186"/>
      <c r="K74" s="175" t="str">
        <f>IF(J74="","",IF(VLOOKUP(J74,'G-7 Rivers Data'!$AK$4:$AM$9,2,FALSE)=0,"Spatial Data Missing",VLOOKUP(J74,'G-7 Rivers Data'!$AK$4:$AM$9,2,FALSE)))</f>
        <v/>
      </c>
      <c r="L74" s="176" t="str">
        <f>IF(J74="","",IF(VLOOKUP(J74,'G-7 Rivers Data'!$AK$4:$AM$9,3,FALSE)=0,"Spatial Data Missing",VLOOKUP(J74,'G-7 Rivers Data'!$AK$4:$AM$9,3,FALSE)))</f>
        <v/>
      </c>
      <c r="M74" s="79"/>
      <c r="N74" s="172" t="str">
        <f>IF(M74="","",IF(VLOOKUP(M74,'G-7 Rivers Data'!$AA$4:$AB$7,2,FALSE)=0,"Spatial Data Missing",VLOOKUP(M74,'G-7 Rivers Data'!$AA$4:$AB$7,2,FALSE)))</f>
        <v/>
      </c>
      <c r="O74" s="187"/>
      <c r="P74" s="172" t="str">
        <f>IF(O74="","",IF(VLOOKUP(O74,'G-7 Rivers Data'!$AD$4:$AE$8,2,FALSE)=0,"Spatial Data Missing",VLOOKUP(O74,'G-7 Rivers Data'!$AD$4:$AE$8,2,FALSE)))</f>
        <v/>
      </c>
      <c r="Q74" s="177" t="str">
        <f>IF(D74="","",VLOOKUP(D74,'G-7 Rivers Data'!$B$4:$G$8,6,FALSE))</f>
        <v/>
      </c>
      <c r="R74" s="178" t="str">
        <f t="shared" si="0"/>
        <v/>
      </c>
      <c r="S74" s="44"/>
      <c r="T74" s="173"/>
      <c r="U74" s="189"/>
      <c r="V74" s="208" t="str">
        <f t="shared" si="1"/>
        <v/>
      </c>
      <c r="W74" s="208" t="str">
        <f t="shared" si="2"/>
        <v/>
      </c>
      <c r="X74" s="208" t="str">
        <f t="shared" si="3"/>
        <v/>
      </c>
      <c r="Y74" s="209" t="str">
        <f t="shared" si="4"/>
        <v/>
      </c>
      <c r="Z74" s="182"/>
      <c r="AA74" s="183"/>
      <c r="AF74" s="35" t="str">
        <f>IFERROR(INDEX('G-7 Rivers Data'!$AZ$3:$AZ$7,MATCH(D74,'G-7 Rivers Data'!$AY$3:$AY$7,0)),"")</f>
        <v/>
      </c>
      <c r="AG74" s="35">
        <f t="shared" si="5"/>
        <v>0</v>
      </c>
      <c r="AH74" s="188" t="str">
        <f t="shared" si="6"/>
        <v/>
      </c>
      <c r="AI74" s="188" t="str">
        <f t="shared" si="7"/>
        <v/>
      </c>
      <c r="AK74" s="188">
        <v>65</v>
      </c>
      <c r="AM74" s="188" t="str">
        <f t="array" ref="AM74">IFERROR(INDEX($AK$10:$AK$258, MATCH(0, IF(TRUE=$AH$10:$AH$258, COUNTIF($AM$9:$AM73, $AK$10:$AK$258), ""), 0)),"")</f>
        <v/>
      </c>
      <c r="AN74" s="188" t="str">
        <f t="array" ref="AN74">IFERROR(INDEX($AK$10:$AK$258, MATCH(0, IF(TRUE=$AI$10:$AI$258, COUNTIF($AN$9:$AN73, $AK$10:$AK$258), ""), 0)),"")</f>
        <v/>
      </c>
    </row>
    <row r="75" spans="3:40" ht="13.8" x14ac:dyDescent="0.25">
      <c r="C75" s="168">
        <v>66</v>
      </c>
      <c r="D75" s="184"/>
      <c r="E75" s="185"/>
      <c r="F75" s="171" t="str">
        <f>IF(D75="","",VLOOKUP(D75,'G-7 Rivers Data'!$B$2:$G$8,2,FALSE))</f>
        <v/>
      </c>
      <c r="G75" s="172" t="str">
        <f>IFERROR(VLOOKUP(F75,'G-7 Rivers Data'!$C$4:$D$8,2,FALSE),"")</f>
        <v/>
      </c>
      <c r="H75" s="173"/>
      <c r="I75" s="172" t="str">
        <f>IFERROR(INDEX('G-7 Rivers Data'!$H$4:$L$8,MATCH(D75,'G-7 Rivers Data'!$B$4:$B$8,0),MATCH(H75,'G-7 Rivers Data'!$H$3:$L$3,0)),"")</f>
        <v/>
      </c>
      <c r="J75" s="186"/>
      <c r="K75" s="175" t="str">
        <f>IF(J75="","",IF(VLOOKUP(J75,'G-7 Rivers Data'!$AK$4:$AM$9,2,FALSE)=0,"Spatial Data Missing",VLOOKUP(J75,'G-7 Rivers Data'!$AK$4:$AM$9,2,FALSE)))</f>
        <v/>
      </c>
      <c r="L75" s="176" t="str">
        <f>IF(J75="","",IF(VLOOKUP(J75,'G-7 Rivers Data'!$AK$4:$AM$9,3,FALSE)=0,"Spatial Data Missing",VLOOKUP(J75,'G-7 Rivers Data'!$AK$4:$AM$9,3,FALSE)))</f>
        <v/>
      </c>
      <c r="M75" s="79"/>
      <c r="N75" s="172" t="str">
        <f>IF(M75="","",IF(VLOOKUP(M75,'G-7 Rivers Data'!$AA$4:$AB$7,2,FALSE)=0,"Spatial Data Missing",VLOOKUP(M75,'G-7 Rivers Data'!$AA$4:$AB$7,2,FALSE)))</f>
        <v/>
      </c>
      <c r="O75" s="187"/>
      <c r="P75" s="172" t="str">
        <f>IF(O75="","",IF(VLOOKUP(O75,'G-7 Rivers Data'!$AD$4:$AE$8,2,FALSE)=0,"Spatial Data Missing",VLOOKUP(O75,'G-7 Rivers Data'!$AD$4:$AE$8,2,FALSE)))</f>
        <v/>
      </c>
      <c r="Q75" s="177" t="str">
        <f>IF(D75="","",VLOOKUP(D75,'G-7 Rivers Data'!$B$4:$G$8,6,FALSE))</f>
        <v/>
      </c>
      <c r="R75" s="178" t="str">
        <f t="shared" ref="R75:R138" si="8">IFERROR(E75*G75*I75*L75*N75*P75,"")</f>
        <v/>
      </c>
      <c r="S75" s="44"/>
      <c r="T75" s="173"/>
      <c r="U75" s="189"/>
      <c r="V75" s="208" t="str">
        <f t="shared" ref="V75:V138" si="9">IFERROR(IF(T75&gt;E75,"Check Lengths",T75*G75*I75*L75*N75*P75),"")</f>
        <v/>
      </c>
      <c r="W75" s="208" t="str">
        <f t="shared" ref="W75:W138" si="10">IFERROR(IF(D75="","",U75*G75*I75*L75*N75*P75),"")</f>
        <v/>
      </c>
      <c r="X75" s="208" t="str">
        <f t="shared" ref="X75:X138" si="11">IFERROR(IF(D75="","",IF(E75&gt;(T75+U75),E75-T75-U75,0)),"")</f>
        <v/>
      </c>
      <c r="Y75" s="209" t="str">
        <f t="shared" ref="Y75:Y138" si="12">IFERROR(IF(E75="","",IF((V75+W75)&gt;R75,0,R75-V75-W75)),"Check Data")</f>
        <v/>
      </c>
      <c r="Z75" s="182"/>
      <c r="AA75" s="183"/>
      <c r="AF75" s="35" t="str">
        <f>IFERROR(INDEX('G-7 Rivers Data'!$AZ$3:$AZ$7,MATCH(D75,'G-7 Rivers Data'!$AY$3:$AY$7,0)),"")</f>
        <v/>
      </c>
      <c r="AG75" s="35">
        <f t="shared" ref="AG75:AG138" si="13">IFERROR(IF(T75+U75&gt;E75,1,0),"")</f>
        <v>0</v>
      </c>
      <c r="AH75" s="188" t="str">
        <f t="shared" ref="AH75:AH138" si="14">IF(D75="","",IF(T75&gt;0,TRUE,FALSE))</f>
        <v/>
      </c>
      <c r="AI75" s="188" t="str">
        <f t="shared" ref="AI75:AI138" si="15">IF(D75="","",IF(U75&gt;0,TRUE,FALSE))</f>
        <v/>
      </c>
      <c r="AK75" s="188">
        <v>66</v>
      </c>
      <c r="AM75" s="188" t="str">
        <f t="array" ref="AM75">IFERROR(INDEX($AK$10:$AK$258, MATCH(0, IF(TRUE=$AH$10:$AH$258, COUNTIF($AM$9:$AM74, $AK$10:$AK$258), ""), 0)),"")</f>
        <v/>
      </c>
      <c r="AN75" s="188" t="str">
        <f t="array" ref="AN75">IFERROR(INDEX($AK$10:$AK$258, MATCH(0, IF(TRUE=$AI$10:$AI$258, COUNTIF($AN$9:$AN74, $AK$10:$AK$258), ""), 0)),"")</f>
        <v/>
      </c>
    </row>
    <row r="76" spans="3:40" ht="13.8" x14ac:dyDescent="0.25">
      <c r="C76" s="168">
        <v>67</v>
      </c>
      <c r="D76" s="184"/>
      <c r="E76" s="185"/>
      <c r="F76" s="171" t="str">
        <f>IF(D76="","",VLOOKUP(D76,'G-7 Rivers Data'!$B$2:$G$8,2,FALSE))</f>
        <v/>
      </c>
      <c r="G76" s="172" t="str">
        <f>IFERROR(VLOOKUP(F76,'G-7 Rivers Data'!$C$4:$D$8,2,FALSE),"")</f>
        <v/>
      </c>
      <c r="H76" s="173"/>
      <c r="I76" s="172" t="str">
        <f>IFERROR(INDEX('G-7 Rivers Data'!$H$4:$L$8,MATCH(D76,'G-7 Rivers Data'!$B$4:$B$8,0),MATCH(H76,'G-7 Rivers Data'!$H$3:$L$3,0)),"")</f>
        <v/>
      </c>
      <c r="J76" s="186"/>
      <c r="K76" s="175" t="str">
        <f>IF(J76="","",IF(VLOOKUP(J76,'G-7 Rivers Data'!$AK$4:$AM$9,2,FALSE)=0,"Spatial Data Missing",VLOOKUP(J76,'G-7 Rivers Data'!$AK$4:$AM$9,2,FALSE)))</f>
        <v/>
      </c>
      <c r="L76" s="176" t="str">
        <f>IF(J76="","",IF(VLOOKUP(J76,'G-7 Rivers Data'!$AK$4:$AM$9,3,FALSE)=0,"Spatial Data Missing",VLOOKUP(J76,'G-7 Rivers Data'!$AK$4:$AM$9,3,FALSE)))</f>
        <v/>
      </c>
      <c r="M76" s="79"/>
      <c r="N76" s="172" t="str">
        <f>IF(M76="","",IF(VLOOKUP(M76,'G-7 Rivers Data'!$AA$4:$AB$7,2,FALSE)=0,"Spatial Data Missing",VLOOKUP(M76,'G-7 Rivers Data'!$AA$4:$AB$7,2,FALSE)))</f>
        <v/>
      </c>
      <c r="O76" s="187"/>
      <c r="P76" s="172" t="str">
        <f>IF(O76="","",IF(VLOOKUP(O76,'G-7 Rivers Data'!$AD$4:$AE$8,2,FALSE)=0,"Spatial Data Missing",VLOOKUP(O76,'G-7 Rivers Data'!$AD$4:$AE$8,2,FALSE)))</f>
        <v/>
      </c>
      <c r="Q76" s="177" t="str">
        <f>IF(D76="","",VLOOKUP(D76,'G-7 Rivers Data'!$B$4:$G$8,6,FALSE))</f>
        <v/>
      </c>
      <c r="R76" s="178" t="str">
        <f t="shared" si="8"/>
        <v/>
      </c>
      <c r="S76" s="44"/>
      <c r="T76" s="173"/>
      <c r="U76" s="189"/>
      <c r="V76" s="208" t="str">
        <f t="shared" si="9"/>
        <v/>
      </c>
      <c r="W76" s="208" t="str">
        <f t="shared" si="10"/>
        <v/>
      </c>
      <c r="X76" s="208" t="str">
        <f t="shared" si="11"/>
        <v/>
      </c>
      <c r="Y76" s="209" t="str">
        <f t="shared" si="12"/>
        <v/>
      </c>
      <c r="Z76" s="182"/>
      <c r="AA76" s="183"/>
      <c r="AF76" s="35" t="str">
        <f>IFERROR(INDEX('G-7 Rivers Data'!$AZ$3:$AZ$7,MATCH(D76,'G-7 Rivers Data'!$AY$3:$AY$7,0)),"")</f>
        <v/>
      </c>
      <c r="AG76" s="35">
        <f t="shared" si="13"/>
        <v>0</v>
      </c>
      <c r="AH76" s="188" t="str">
        <f t="shared" si="14"/>
        <v/>
      </c>
      <c r="AI76" s="188" t="str">
        <f t="shared" si="15"/>
        <v/>
      </c>
      <c r="AK76" s="188">
        <v>67</v>
      </c>
      <c r="AM76" s="188" t="str">
        <f t="array" ref="AM76">IFERROR(INDEX($AK$10:$AK$258, MATCH(0, IF(TRUE=$AH$10:$AH$258, COUNTIF($AM$9:$AM75, $AK$10:$AK$258), ""), 0)),"")</f>
        <v/>
      </c>
      <c r="AN76" s="188" t="str">
        <f t="array" ref="AN76">IFERROR(INDEX($AK$10:$AK$258, MATCH(0, IF(TRUE=$AI$10:$AI$258, COUNTIF($AN$9:$AN75, $AK$10:$AK$258), ""), 0)),"")</f>
        <v/>
      </c>
    </row>
    <row r="77" spans="3:40" ht="13.8" x14ac:dyDescent="0.25">
      <c r="C77" s="168">
        <v>68</v>
      </c>
      <c r="D77" s="184"/>
      <c r="E77" s="185"/>
      <c r="F77" s="171" t="str">
        <f>IF(D77="","",VLOOKUP(D77,'G-7 Rivers Data'!$B$2:$G$8,2,FALSE))</f>
        <v/>
      </c>
      <c r="G77" s="172" t="str">
        <f>IFERROR(VLOOKUP(F77,'G-7 Rivers Data'!$C$4:$D$8,2,FALSE),"")</f>
        <v/>
      </c>
      <c r="H77" s="173"/>
      <c r="I77" s="172" t="str">
        <f>IFERROR(INDEX('G-7 Rivers Data'!$H$4:$L$8,MATCH(D77,'G-7 Rivers Data'!$B$4:$B$8,0),MATCH(H77,'G-7 Rivers Data'!$H$3:$L$3,0)),"")</f>
        <v/>
      </c>
      <c r="J77" s="186"/>
      <c r="K77" s="175" t="str">
        <f>IF(J77="","",IF(VLOOKUP(J77,'G-7 Rivers Data'!$AK$4:$AM$9,2,FALSE)=0,"Spatial Data Missing",VLOOKUP(J77,'G-7 Rivers Data'!$AK$4:$AM$9,2,FALSE)))</f>
        <v/>
      </c>
      <c r="L77" s="176" t="str">
        <f>IF(J77="","",IF(VLOOKUP(J77,'G-7 Rivers Data'!$AK$4:$AM$9,3,FALSE)=0,"Spatial Data Missing",VLOOKUP(J77,'G-7 Rivers Data'!$AK$4:$AM$9,3,FALSE)))</f>
        <v/>
      </c>
      <c r="M77" s="79"/>
      <c r="N77" s="172" t="str">
        <f>IF(M77="","",IF(VLOOKUP(M77,'G-7 Rivers Data'!$AA$4:$AB$7,2,FALSE)=0,"Spatial Data Missing",VLOOKUP(M77,'G-7 Rivers Data'!$AA$4:$AB$7,2,FALSE)))</f>
        <v/>
      </c>
      <c r="O77" s="187"/>
      <c r="P77" s="172" t="str">
        <f>IF(O77="","",IF(VLOOKUP(O77,'G-7 Rivers Data'!$AD$4:$AE$8,2,FALSE)=0,"Spatial Data Missing",VLOOKUP(O77,'G-7 Rivers Data'!$AD$4:$AE$8,2,FALSE)))</f>
        <v/>
      </c>
      <c r="Q77" s="177" t="str">
        <f>IF(D77="","",VLOOKUP(D77,'G-7 Rivers Data'!$B$4:$G$8,6,FALSE))</f>
        <v/>
      </c>
      <c r="R77" s="178" t="str">
        <f t="shared" si="8"/>
        <v/>
      </c>
      <c r="S77" s="44"/>
      <c r="T77" s="173"/>
      <c r="U77" s="189"/>
      <c r="V77" s="208" t="str">
        <f t="shared" si="9"/>
        <v/>
      </c>
      <c r="W77" s="208" t="str">
        <f t="shared" si="10"/>
        <v/>
      </c>
      <c r="X77" s="208" t="str">
        <f t="shared" si="11"/>
        <v/>
      </c>
      <c r="Y77" s="209" t="str">
        <f t="shared" si="12"/>
        <v/>
      </c>
      <c r="Z77" s="182"/>
      <c r="AA77" s="183"/>
      <c r="AF77" s="35" t="str">
        <f>IFERROR(INDEX('G-7 Rivers Data'!$AZ$3:$AZ$7,MATCH(D77,'G-7 Rivers Data'!$AY$3:$AY$7,0)),"")</f>
        <v/>
      </c>
      <c r="AG77" s="35">
        <f t="shared" si="13"/>
        <v>0</v>
      </c>
      <c r="AH77" s="188" t="str">
        <f t="shared" si="14"/>
        <v/>
      </c>
      <c r="AI77" s="188" t="str">
        <f t="shared" si="15"/>
        <v/>
      </c>
      <c r="AK77" s="188">
        <v>68</v>
      </c>
      <c r="AM77" s="188" t="str">
        <f t="array" ref="AM77">IFERROR(INDEX($AK$10:$AK$258, MATCH(0, IF(TRUE=$AH$10:$AH$258, COUNTIF($AM$9:$AM76, $AK$10:$AK$258), ""), 0)),"")</f>
        <v/>
      </c>
      <c r="AN77" s="188" t="str">
        <f t="array" ref="AN77">IFERROR(INDEX($AK$10:$AK$258, MATCH(0, IF(TRUE=$AI$10:$AI$258, COUNTIF($AN$9:$AN76, $AK$10:$AK$258), ""), 0)),"")</f>
        <v/>
      </c>
    </row>
    <row r="78" spans="3:40" ht="13.8" x14ac:dyDescent="0.25">
      <c r="C78" s="168">
        <v>69</v>
      </c>
      <c r="D78" s="184"/>
      <c r="E78" s="185"/>
      <c r="F78" s="171" t="str">
        <f>IF(D78="","",VLOOKUP(D78,'G-7 Rivers Data'!$B$2:$G$8,2,FALSE))</f>
        <v/>
      </c>
      <c r="G78" s="172" t="str">
        <f>IFERROR(VLOOKUP(F78,'G-7 Rivers Data'!$C$4:$D$8,2,FALSE),"")</f>
        <v/>
      </c>
      <c r="H78" s="173"/>
      <c r="I78" s="172" t="str">
        <f>IFERROR(INDEX('G-7 Rivers Data'!$H$4:$L$8,MATCH(D78,'G-7 Rivers Data'!$B$4:$B$8,0),MATCH(H78,'G-7 Rivers Data'!$H$3:$L$3,0)),"")</f>
        <v/>
      </c>
      <c r="J78" s="186"/>
      <c r="K78" s="175" t="str">
        <f>IF(J78="","",IF(VLOOKUP(J78,'G-7 Rivers Data'!$AK$4:$AM$9,2,FALSE)=0,"Spatial Data Missing",VLOOKUP(J78,'G-7 Rivers Data'!$AK$4:$AM$9,2,FALSE)))</f>
        <v/>
      </c>
      <c r="L78" s="176" t="str">
        <f>IF(J78="","",IF(VLOOKUP(J78,'G-7 Rivers Data'!$AK$4:$AM$9,3,FALSE)=0,"Spatial Data Missing",VLOOKUP(J78,'G-7 Rivers Data'!$AK$4:$AM$9,3,FALSE)))</f>
        <v/>
      </c>
      <c r="M78" s="79"/>
      <c r="N78" s="172" t="str">
        <f>IF(M78="","",IF(VLOOKUP(M78,'G-7 Rivers Data'!$AA$4:$AB$7,2,FALSE)=0,"Spatial Data Missing",VLOOKUP(M78,'G-7 Rivers Data'!$AA$4:$AB$7,2,FALSE)))</f>
        <v/>
      </c>
      <c r="O78" s="187"/>
      <c r="P78" s="172" t="str">
        <f>IF(O78="","",IF(VLOOKUP(O78,'G-7 Rivers Data'!$AD$4:$AE$8,2,FALSE)=0,"Spatial Data Missing",VLOOKUP(O78,'G-7 Rivers Data'!$AD$4:$AE$8,2,FALSE)))</f>
        <v/>
      </c>
      <c r="Q78" s="177" t="str">
        <f>IF(D78="","",VLOOKUP(D78,'G-7 Rivers Data'!$B$4:$G$8,6,FALSE))</f>
        <v/>
      </c>
      <c r="R78" s="178" t="str">
        <f t="shared" si="8"/>
        <v/>
      </c>
      <c r="S78" s="44"/>
      <c r="T78" s="173"/>
      <c r="U78" s="189"/>
      <c r="V78" s="208" t="str">
        <f t="shared" si="9"/>
        <v/>
      </c>
      <c r="W78" s="208" t="str">
        <f t="shared" si="10"/>
        <v/>
      </c>
      <c r="X78" s="208" t="str">
        <f t="shared" si="11"/>
        <v/>
      </c>
      <c r="Y78" s="209" t="str">
        <f t="shared" si="12"/>
        <v/>
      </c>
      <c r="Z78" s="182"/>
      <c r="AA78" s="183"/>
      <c r="AF78" s="35" t="str">
        <f>IFERROR(INDEX('G-7 Rivers Data'!$AZ$3:$AZ$7,MATCH(D78,'G-7 Rivers Data'!$AY$3:$AY$7,0)),"")</f>
        <v/>
      </c>
      <c r="AG78" s="35">
        <f t="shared" si="13"/>
        <v>0</v>
      </c>
      <c r="AH78" s="188" t="str">
        <f t="shared" si="14"/>
        <v/>
      </c>
      <c r="AI78" s="188" t="str">
        <f t="shared" si="15"/>
        <v/>
      </c>
      <c r="AK78" s="188">
        <v>69</v>
      </c>
      <c r="AM78" s="188" t="str">
        <f t="array" ref="AM78">IFERROR(INDEX($AK$10:$AK$258, MATCH(0, IF(TRUE=$AH$10:$AH$258, COUNTIF($AM$9:$AM77, $AK$10:$AK$258), ""), 0)),"")</f>
        <v/>
      </c>
      <c r="AN78" s="188" t="str">
        <f t="array" ref="AN78">IFERROR(INDEX($AK$10:$AK$258, MATCH(0, IF(TRUE=$AI$10:$AI$258, COUNTIF($AN$9:$AN77, $AK$10:$AK$258), ""), 0)),"")</f>
        <v/>
      </c>
    </row>
    <row r="79" spans="3:40" ht="13.8" x14ac:dyDescent="0.25">
      <c r="C79" s="168">
        <v>70</v>
      </c>
      <c r="D79" s="184"/>
      <c r="E79" s="185"/>
      <c r="F79" s="171" t="str">
        <f>IF(D79="","",VLOOKUP(D79,'G-7 Rivers Data'!$B$2:$G$8,2,FALSE))</f>
        <v/>
      </c>
      <c r="G79" s="172" t="str">
        <f>IFERROR(VLOOKUP(F79,'G-7 Rivers Data'!$C$4:$D$8,2,FALSE),"")</f>
        <v/>
      </c>
      <c r="H79" s="173"/>
      <c r="I79" s="172" t="str">
        <f>IFERROR(INDEX('G-7 Rivers Data'!$H$4:$L$8,MATCH(D79,'G-7 Rivers Data'!$B$4:$B$8,0),MATCH(H79,'G-7 Rivers Data'!$H$3:$L$3,0)),"")</f>
        <v/>
      </c>
      <c r="J79" s="186"/>
      <c r="K79" s="175" t="str">
        <f>IF(J79="","",IF(VLOOKUP(J79,'G-7 Rivers Data'!$AK$4:$AM$9,2,FALSE)=0,"Spatial Data Missing",VLOOKUP(J79,'G-7 Rivers Data'!$AK$4:$AM$9,2,FALSE)))</f>
        <v/>
      </c>
      <c r="L79" s="176" t="str">
        <f>IF(J79="","",IF(VLOOKUP(J79,'G-7 Rivers Data'!$AK$4:$AM$9,3,FALSE)=0,"Spatial Data Missing",VLOOKUP(J79,'G-7 Rivers Data'!$AK$4:$AM$9,3,FALSE)))</f>
        <v/>
      </c>
      <c r="M79" s="79"/>
      <c r="N79" s="172" t="str">
        <f>IF(M79="","",IF(VLOOKUP(M79,'G-7 Rivers Data'!$AA$4:$AB$7,2,FALSE)=0,"Spatial Data Missing",VLOOKUP(M79,'G-7 Rivers Data'!$AA$4:$AB$7,2,FALSE)))</f>
        <v/>
      </c>
      <c r="O79" s="187"/>
      <c r="P79" s="172" t="str">
        <f>IF(O79="","",IF(VLOOKUP(O79,'G-7 Rivers Data'!$AD$4:$AE$8,2,FALSE)=0,"Spatial Data Missing",VLOOKUP(O79,'G-7 Rivers Data'!$AD$4:$AE$8,2,FALSE)))</f>
        <v/>
      </c>
      <c r="Q79" s="177" t="str">
        <f>IF(D79="","",VLOOKUP(D79,'G-7 Rivers Data'!$B$4:$G$8,6,FALSE))</f>
        <v/>
      </c>
      <c r="R79" s="178" t="str">
        <f t="shared" si="8"/>
        <v/>
      </c>
      <c r="S79" s="44"/>
      <c r="T79" s="173"/>
      <c r="U79" s="189"/>
      <c r="V79" s="208" t="str">
        <f t="shared" si="9"/>
        <v/>
      </c>
      <c r="W79" s="208" t="str">
        <f t="shared" si="10"/>
        <v/>
      </c>
      <c r="X79" s="208" t="str">
        <f t="shared" si="11"/>
        <v/>
      </c>
      <c r="Y79" s="209" t="str">
        <f t="shared" si="12"/>
        <v/>
      </c>
      <c r="Z79" s="182"/>
      <c r="AA79" s="183"/>
      <c r="AF79" s="35" t="str">
        <f>IFERROR(INDEX('G-7 Rivers Data'!$AZ$3:$AZ$7,MATCH(D79,'G-7 Rivers Data'!$AY$3:$AY$7,0)),"")</f>
        <v/>
      </c>
      <c r="AG79" s="35">
        <f t="shared" si="13"/>
        <v>0</v>
      </c>
      <c r="AH79" s="188" t="str">
        <f t="shared" si="14"/>
        <v/>
      </c>
      <c r="AI79" s="188" t="str">
        <f t="shared" si="15"/>
        <v/>
      </c>
      <c r="AK79" s="188">
        <v>70</v>
      </c>
      <c r="AM79" s="188" t="str">
        <f t="array" ref="AM79">IFERROR(INDEX($AK$10:$AK$258, MATCH(0, IF(TRUE=$AH$10:$AH$258, COUNTIF($AM$9:$AM78, $AK$10:$AK$258), ""), 0)),"")</f>
        <v/>
      </c>
      <c r="AN79" s="188" t="str">
        <f t="array" ref="AN79">IFERROR(INDEX($AK$10:$AK$258, MATCH(0, IF(TRUE=$AI$10:$AI$258, COUNTIF($AN$9:$AN78, $AK$10:$AK$258), ""), 0)),"")</f>
        <v/>
      </c>
    </row>
    <row r="80" spans="3:40" ht="13.8" x14ac:dyDescent="0.25">
      <c r="C80" s="168">
        <v>71</v>
      </c>
      <c r="D80" s="184"/>
      <c r="E80" s="185"/>
      <c r="F80" s="171" t="str">
        <f>IF(D80="","",VLOOKUP(D80,'G-7 Rivers Data'!$B$2:$G$8,2,FALSE))</f>
        <v/>
      </c>
      <c r="G80" s="172" t="str">
        <f>IFERROR(VLOOKUP(F80,'G-7 Rivers Data'!$C$4:$D$8,2,FALSE),"")</f>
        <v/>
      </c>
      <c r="H80" s="173"/>
      <c r="I80" s="172" t="str">
        <f>IFERROR(INDEX('G-7 Rivers Data'!$H$4:$L$8,MATCH(D80,'G-7 Rivers Data'!$B$4:$B$8,0),MATCH(H80,'G-7 Rivers Data'!$H$3:$L$3,0)),"")</f>
        <v/>
      </c>
      <c r="J80" s="186"/>
      <c r="K80" s="175" t="str">
        <f>IF(J80="","",IF(VLOOKUP(J80,'G-7 Rivers Data'!$AK$4:$AM$9,2,FALSE)=0,"Spatial Data Missing",VLOOKUP(J80,'G-7 Rivers Data'!$AK$4:$AM$9,2,FALSE)))</f>
        <v/>
      </c>
      <c r="L80" s="176" t="str">
        <f>IF(J80="","",IF(VLOOKUP(J80,'G-7 Rivers Data'!$AK$4:$AM$9,3,FALSE)=0,"Spatial Data Missing",VLOOKUP(J80,'G-7 Rivers Data'!$AK$4:$AM$9,3,FALSE)))</f>
        <v/>
      </c>
      <c r="M80" s="79"/>
      <c r="N80" s="172" t="str">
        <f>IF(M80="","",IF(VLOOKUP(M80,'G-7 Rivers Data'!$AA$4:$AB$7,2,FALSE)=0,"Spatial Data Missing",VLOOKUP(M80,'G-7 Rivers Data'!$AA$4:$AB$7,2,FALSE)))</f>
        <v/>
      </c>
      <c r="O80" s="187"/>
      <c r="P80" s="172" t="str">
        <f>IF(O80="","",IF(VLOOKUP(O80,'G-7 Rivers Data'!$AD$4:$AE$8,2,FALSE)=0,"Spatial Data Missing",VLOOKUP(O80,'G-7 Rivers Data'!$AD$4:$AE$8,2,FALSE)))</f>
        <v/>
      </c>
      <c r="Q80" s="177" t="str">
        <f>IF(D80="","",VLOOKUP(D80,'G-7 Rivers Data'!$B$4:$G$8,6,FALSE))</f>
        <v/>
      </c>
      <c r="R80" s="178" t="str">
        <f t="shared" si="8"/>
        <v/>
      </c>
      <c r="S80" s="44"/>
      <c r="T80" s="173"/>
      <c r="U80" s="189"/>
      <c r="V80" s="208" t="str">
        <f t="shared" si="9"/>
        <v/>
      </c>
      <c r="W80" s="208" t="str">
        <f t="shared" si="10"/>
        <v/>
      </c>
      <c r="X80" s="208" t="str">
        <f t="shared" si="11"/>
        <v/>
      </c>
      <c r="Y80" s="209" t="str">
        <f t="shared" si="12"/>
        <v/>
      </c>
      <c r="Z80" s="182"/>
      <c r="AA80" s="183"/>
      <c r="AF80" s="35" t="str">
        <f>IFERROR(INDEX('G-7 Rivers Data'!$AZ$3:$AZ$7,MATCH(D80,'G-7 Rivers Data'!$AY$3:$AY$7,0)),"")</f>
        <v/>
      </c>
      <c r="AG80" s="35">
        <f t="shared" si="13"/>
        <v>0</v>
      </c>
      <c r="AH80" s="188" t="str">
        <f t="shared" si="14"/>
        <v/>
      </c>
      <c r="AI80" s="188" t="str">
        <f t="shared" si="15"/>
        <v/>
      </c>
      <c r="AK80" s="188">
        <v>71</v>
      </c>
      <c r="AM80" s="188" t="str">
        <f t="array" ref="AM80">IFERROR(INDEX($AK$10:$AK$258, MATCH(0, IF(TRUE=$AH$10:$AH$258, COUNTIF($AM$9:$AM79, $AK$10:$AK$258), ""), 0)),"")</f>
        <v/>
      </c>
      <c r="AN80" s="188" t="str">
        <f t="array" ref="AN80">IFERROR(INDEX($AK$10:$AK$258, MATCH(0, IF(TRUE=$AI$10:$AI$258, COUNTIF($AN$9:$AN79, $AK$10:$AK$258), ""), 0)),"")</f>
        <v/>
      </c>
    </row>
    <row r="81" spans="3:40" ht="13.8" x14ac:dyDescent="0.25">
      <c r="C81" s="168">
        <v>72</v>
      </c>
      <c r="D81" s="184"/>
      <c r="E81" s="185"/>
      <c r="F81" s="171" t="str">
        <f>IF(D81="","",VLOOKUP(D81,'G-7 Rivers Data'!$B$2:$G$8,2,FALSE))</f>
        <v/>
      </c>
      <c r="G81" s="172" t="str">
        <f>IFERROR(VLOOKUP(F81,'G-7 Rivers Data'!$C$4:$D$8,2,FALSE),"")</f>
        <v/>
      </c>
      <c r="H81" s="173"/>
      <c r="I81" s="172" t="str">
        <f>IFERROR(INDEX('G-7 Rivers Data'!$H$4:$L$8,MATCH(D81,'G-7 Rivers Data'!$B$4:$B$8,0),MATCH(H81,'G-7 Rivers Data'!$H$3:$L$3,0)),"")</f>
        <v/>
      </c>
      <c r="J81" s="186"/>
      <c r="K81" s="175" t="str">
        <f>IF(J81="","",IF(VLOOKUP(J81,'G-7 Rivers Data'!$AK$4:$AM$9,2,FALSE)=0,"Spatial Data Missing",VLOOKUP(J81,'G-7 Rivers Data'!$AK$4:$AM$9,2,FALSE)))</f>
        <v/>
      </c>
      <c r="L81" s="176" t="str">
        <f>IF(J81="","",IF(VLOOKUP(J81,'G-7 Rivers Data'!$AK$4:$AM$9,3,FALSE)=0,"Spatial Data Missing",VLOOKUP(J81,'G-7 Rivers Data'!$AK$4:$AM$9,3,FALSE)))</f>
        <v/>
      </c>
      <c r="M81" s="79"/>
      <c r="N81" s="172" t="str">
        <f>IF(M81="","",IF(VLOOKUP(M81,'G-7 Rivers Data'!$AA$4:$AB$7,2,FALSE)=0,"Spatial Data Missing",VLOOKUP(M81,'G-7 Rivers Data'!$AA$4:$AB$7,2,FALSE)))</f>
        <v/>
      </c>
      <c r="O81" s="187"/>
      <c r="P81" s="172" t="str">
        <f>IF(O81="","",IF(VLOOKUP(O81,'G-7 Rivers Data'!$AD$4:$AE$8,2,FALSE)=0,"Spatial Data Missing",VLOOKUP(O81,'G-7 Rivers Data'!$AD$4:$AE$8,2,FALSE)))</f>
        <v/>
      </c>
      <c r="Q81" s="177" t="str">
        <f>IF(D81="","",VLOOKUP(D81,'G-7 Rivers Data'!$B$4:$G$8,6,FALSE))</f>
        <v/>
      </c>
      <c r="R81" s="178" t="str">
        <f t="shared" si="8"/>
        <v/>
      </c>
      <c r="S81" s="44"/>
      <c r="T81" s="173"/>
      <c r="U81" s="189"/>
      <c r="V81" s="208" t="str">
        <f t="shared" si="9"/>
        <v/>
      </c>
      <c r="W81" s="208" t="str">
        <f t="shared" si="10"/>
        <v/>
      </c>
      <c r="X81" s="208" t="str">
        <f t="shared" si="11"/>
        <v/>
      </c>
      <c r="Y81" s="209" t="str">
        <f t="shared" si="12"/>
        <v/>
      </c>
      <c r="Z81" s="182"/>
      <c r="AA81" s="183"/>
      <c r="AF81" s="35" t="str">
        <f>IFERROR(INDEX('G-7 Rivers Data'!$AZ$3:$AZ$7,MATCH(D81,'G-7 Rivers Data'!$AY$3:$AY$7,0)),"")</f>
        <v/>
      </c>
      <c r="AG81" s="35">
        <f t="shared" si="13"/>
        <v>0</v>
      </c>
      <c r="AH81" s="188" t="str">
        <f t="shared" si="14"/>
        <v/>
      </c>
      <c r="AI81" s="188" t="str">
        <f t="shared" si="15"/>
        <v/>
      </c>
      <c r="AK81" s="188">
        <v>72</v>
      </c>
      <c r="AM81" s="188" t="str">
        <f t="array" ref="AM81">IFERROR(INDEX($AK$10:$AK$258, MATCH(0, IF(TRUE=$AH$10:$AH$258, COUNTIF($AM$9:$AM80, $AK$10:$AK$258), ""), 0)),"")</f>
        <v/>
      </c>
      <c r="AN81" s="188" t="str">
        <f t="array" ref="AN81">IFERROR(INDEX($AK$10:$AK$258, MATCH(0, IF(TRUE=$AI$10:$AI$258, COUNTIF($AN$9:$AN80, $AK$10:$AK$258), ""), 0)),"")</f>
        <v/>
      </c>
    </row>
    <row r="82" spans="3:40" ht="13.8" x14ac:dyDescent="0.25">
      <c r="C82" s="168">
        <v>73</v>
      </c>
      <c r="D82" s="184"/>
      <c r="E82" s="185"/>
      <c r="F82" s="171" t="str">
        <f>IF(D82="","",VLOOKUP(D82,'G-7 Rivers Data'!$B$2:$G$8,2,FALSE))</f>
        <v/>
      </c>
      <c r="G82" s="172" t="str">
        <f>IFERROR(VLOOKUP(F82,'G-7 Rivers Data'!$C$4:$D$8,2,FALSE),"")</f>
        <v/>
      </c>
      <c r="H82" s="173"/>
      <c r="I82" s="172" t="str">
        <f>IFERROR(INDEX('G-7 Rivers Data'!$H$4:$L$8,MATCH(D82,'G-7 Rivers Data'!$B$4:$B$8,0),MATCH(H82,'G-7 Rivers Data'!$H$3:$L$3,0)),"")</f>
        <v/>
      </c>
      <c r="J82" s="186"/>
      <c r="K82" s="175" t="str">
        <f>IF(J82="","",IF(VLOOKUP(J82,'G-7 Rivers Data'!$AK$4:$AM$9,2,FALSE)=0,"Spatial Data Missing",VLOOKUP(J82,'G-7 Rivers Data'!$AK$4:$AM$9,2,FALSE)))</f>
        <v/>
      </c>
      <c r="L82" s="176" t="str">
        <f>IF(J82="","",IF(VLOOKUP(J82,'G-7 Rivers Data'!$AK$4:$AM$9,3,FALSE)=0,"Spatial Data Missing",VLOOKUP(J82,'G-7 Rivers Data'!$AK$4:$AM$9,3,FALSE)))</f>
        <v/>
      </c>
      <c r="M82" s="79"/>
      <c r="N82" s="172" t="str">
        <f>IF(M82="","",IF(VLOOKUP(M82,'G-7 Rivers Data'!$AA$4:$AB$7,2,FALSE)=0,"Spatial Data Missing",VLOOKUP(M82,'G-7 Rivers Data'!$AA$4:$AB$7,2,FALSE)))</f>
        <v/>
      </c>
      <c r="O82" s="187"/>
      <c r="P82" s="172" t="str">
        <f>IF(O82="","",IF(VLOOKUP(O82,'G-7 Rivers Data'!$AD$4:$AE$8,2,FALSE)=0,"Spatial Data Missing",VLOOKUP(O82,'G-7 Rivers Data'!$AD$4:$AE$8,2,FALSE)))</f>
        <v/>
      </c>
      <c r="Q82" s="177" t="str">
        <f>IF(D82="","",VLOOKUP(D82,'G-7 Rivers Data'!$B$4:$G$8,6,FALSE))</f>
        <v/>
      </c>
      <c r="R82" s="178" t="str">
        <f t="shared" si="8"/>
        <v/>
      </c>
      <c r="S82" s="44"/>
      <c r="T82" s="173"/>
      <c r="U82" s="189"/>
      <c r="V82" s="208" t="str">
        <f t="shared" si="9"/>
        <v/>
      </c>
      <c r="W82" s="208" t="str">
        <f t="shared" si="10"/>
        <v/>
      </c>
      <c r="X82" s="208" t="str">
        <f t="shared" si="11"/>
        <v/>
      </c>
      <c r="Y82" s="209" t="str">
        <f t="shared" si="12"/>
        <v/>
      </c>
      <c r="Z82" s="182"/>
      <c r="AA82" s="183"/>
      <c r="AF82" s="35" t="str">
        <f>IFERROR(INDEX('G-7 Rivers Data'!$AZ$3:$AZ$7,MATCH(D82,'G-7 Rivers Data'!$AY$3:$AY$7,0)),"")</f>
        <v/>
      </c>
      <c r="AG82" s="35">
        <f t="shared" si="13"/>
        <v>0</v>
      </c>
      <c r="AH82" s="188" t="str">
        <f t="shared" si="14"/>
        <v/>
      </c>
      <c r="AI82" s="188" t="str">
        <f t="shared" si="15"/>
        <v/>
      </c>
      <c r="AK82" s="188">
        <v>73</v>
      </c>
      <c r="AM82" s="188" t="str">
        <f t="array" ref="AM82">IFERROR(INDEX($AK$10:$AK$258, MATCH(0, IF(TRUE=$AH$10:$AH$258, COUNTIF($AM$9:$AM81, $AK$10:$AK$258), ""), 0)),"")</f>
        <v/>
      </c>
      <c r="AN82" s="188" t="str">
        <f t="array" ref="AN82">IFERROR(INDEX($AK$10:$AK$258, MATCH(0, IF(TRUE=$AI$10:$AI$258, COUNTIF($AN$9:$AN81, $AK$10:$AK$258), ""), 0)),"")</f>
        <v/>
      </c>
    </row>
    <row r="83" spans="3:40" ht="13.8" x14ac:dyDescent="0.25">
      <c r="C83" s="168">
        <v>74</v>
      </c>
      <c r="D83" s="184"/>
      <c r="E83" s="185"/>
      <c r="F83" s="171" t="str">
        <f>IF(D83="","",VLOOKUP(D83,'G-7 Rivers Data'!$B$2:$G$8,2,FALSE))</f>
        <v/>
      </c>
      <c r="G83" s="172" t="str">
        <f>IFERROR(VLOOKUP(F83,'G-7 Rivers Data'!$C$4:$D$8,2,FALSE),"")</f>
        <v/>
      </c>
      <c r="H83" s="173"/>
      <c r="I83" s="172" t="str">
        <f>IFERROR(INDEX('G-7 Rivers Data'!$H$4:$L$8,MATCH(D83,'G-7 Rivers Data'!$B$4:$B$8,0),MATCH(H83,'G-7 Rivers Data'!$H$3:$L$3,0)),"")</f>
        <v/>
      </c>
      <c r="J83" s="186"/>
      <c r="K83" s="175" t="str">
        <f>IF(J83="","",IF(VLOOKUP(J83,'G-7 Rivers Data'!$AK$4:$AM$9,2,FALSE)=0,"Spatial Data Missing",VLOOKUP(J83,'G-7 Rivers Data'!$AK$4:$AM$9,2,FALSE)))</f>
        <v/>
      </c>
      <c r="L83" s="176" t="str">
        <f>IF(J83="","",IF(VLOOKUP(J83,'G-7 Rivers Data'!$AK$4:$AM$9,3,FALSE)=0,"Spatial Data Missing",VLOOKUP(J83,'G-7 Rivers Data'!$AK$4:$AM$9,3,FALSE)))</f>
        <v/>
      </c>
      <c r="M83" s="79"/>
      <c r="N83" s="172" t="str">
        <f>IF(M83="","",IF(VLOOKUP(M83,'G-7 Rivers Data'!$AA$4:$AB$7,2,FALSE)=0,"Spatial Data Missing",VLOOKUP(M83,'G-7 Rivers Data'!$AA$4:$AB$7,2,FALSE)))</f>
        <v/>
      </c>
      <c r="O83" s="187"/>
      <c r="P83" s="172" t="str">
        <f>IF(O83="","",IF(VLOOKUP(O83,'G-7 Rivers Data'!$AD$4:$AE$8,2,FALSE)=0,"Spatial Data Missing",VLOOKUP(O83,'G-7 Rivers Data'!$AD$4:$AE$8,2,FALSE)))</f>
        <v/>
      </c>
      <c r="Q83" s="177" t="str">
        <f>IF(D83="","",VLOOKUP(D83,'G-7 Rivers Data'!$B$4:$G$8,6,FALSE))</f>
        <v/>
      </c>
      <c r="R83" s="178" t="str">
        <f t="shared" si="8"/>
        <v/>
      </c>
      <c r="S83" s="44"/>
      <c r="T83" s="173"/>
      <c r="U83" s="189"/>
      <c r="V83" s="208" t="str">
        <f t="shared" si="9"/>
        <v/>
      </c>
      <c r="W83" s="208" t="str">
        <f t="shared" si="10"/>
        <v/>
      </c>
      <c r="X83" s="208" t="str">
        <f t="shared" si="11"/>
        <v/>
      </c>
      <c r="Y83" s="209" t="str">
        <f t="shared" si="12"/>
        <v/>
      </c>
      <c r="Z83" s="182"/>
      <c r="AA83" s="183"/>
      <c r="AF83" s="35" t="str">
        <f>IFERROR(INDEX('G-7 Rivers Data'!$AZ$3:$AZ$7,MATCH(D83,'G-7 Rivers Data'!$AY$3:$AY$7,0)),"")</f>
        <v/>
      </c>
      <c r="AG83" s="35">
        <f t="shared" si="13"/>
        <v>0</v>
      </c>
      <c r="AH83" s="188" t="str">
        <f t="shared" si="14"/>
        <v/>
      </c>
      <c r="AI83" s="188" t="str">
        <f t="shared" si="15"/>
        <v/>
      </c>
      <c r="AK83" s="188">
        <v>74</v>
      </c>
      <c r="AM83" s="188" t="str">
        <f t="array" ref="AM83">IFERROR(INDEX($AK$10:$AK$258, MATCH(0, IF(TRUE=$AH$10:$AH$258, COUNTIF($AM$9:$AM82, $AK$10:$AK$258), ""), 0)),"")</f>
        <v/>
      </c>
      <c r="AN83" s="188" t="str">
        <f t="array" ref="AN83">IFERROR(INDEX($AK$10:$AK$258, MATCH(0, IF(TRUE=$AI$10:$AI$258, COUNTIF($AN$9:$AN82, $AK$10:$AK$258), ""), 0)),"")</f>
        <v/>
      </c>
    </row>
    <row r="84" spans="3:40" ht="13.8" x14ac:dyDescent="0.25">
      <c r="C84" s="168">
        <v>75</v>
      </c>
      <c r="D84" s="184"/>
      <c r="E84" s="185"/>
      <c r="F84" s="171" t="str">
        <f>IF(D84="","",VLOOKUP(D84,'G-7 Rivers Data'!$B$2:$G$8,2,FALSE))</f>
        <v/>
      </c>
      <c r="G84" s="172" t="str">
        <f>IFERROR(VLOOKUP(F84,'G-7 Rivers Data'!$C$4:$D$8,2,FALSE),"")</f>
        <v/>
      </c>
      <c r="H84" s="173"/>
      <c r="I84" s="172" t="str">
        <f>IFERROR(INDEX('G-7 Rivers Data'!$H$4:$L$8,MATCH(D84,'G-7 Rivers Data'!$B$4:$B$8,0),MATCH(H84,'G-7 Rivers Data'!$H$3:$L$3,0)),"")</f>
        <v/>
      </c>
      <c r="J84" s="186"/>
      <c r="K84" s="175" t="str">
        <f>IF(J84="","",IF(VLOOKUP(J84,'G-7 Rivers Data'!$AK$4:$AM$9,2,FALSE)=0,"Spatial Data Missing",VLOOKUP(J84,'G-7 Rivers Data'!$AK$4:$AM$9,2,FALSE)))</f>
        <v/>
      </c>
      <c r="L84" s="176" t="str">
        <f>IF(J84="","",IF(VLOOKUP(J84,'G-7 Rivers Data'!$AK$4:$AM$9,3,FALSE)=0,"Spatial Data Missing",VLOOKUP(J84,'G-7 Rivers Data'!$AK$4:$AM$9,3,FALSE)))</f>
        <v/>
      </c>
      <c r="M84" s="79"/>
      <c r="N84" s="172" t="str">
        <f>IF(M84="","",IF(VLOOKUP(M84,'G-7 Rivers Data'!$AA$4:$AB$7,2,FALSE)=0,"Spatial Data Missing",VLOOKUP(M84,'G-7 Rivers Data'!$AA$4:$AB$7,2,FALSE)))</f>
        <v/>
      </c>
      <c r="O84" s="187"/>
      <c r="P84" s="172" t="str">
        <f>IF(O84="","",IF(VLOOKUP(O84,'G-7 Rivers Data'!$AD$4:$AE$8,2,FALSE)=0,"Spatial Data Missing",VLOOKUP(O84,'G-7 Rivers Data'!$AD$4:$AE$8,2,FALSE)))</f>
        <v/>
      </c>
      <c r="Q84" s="177" t="str">
        <f>IF(D84="","",VLOOKUP(D84,'G-7 Rivers Data'!$B$4:$G$8,6,FALSE))</f>
        <v/>
      </c>
      <c r="R84" s="178" t="str">
        <f t="shared" si="8"/>
        <v/>
      </c>
      <c r="S84" s="44"/>
      <c r="T84" s="173"/>
      <c r="U84" s="189"/>
      <c r="V84" s="208" t="str">
        <f t="shared" si="9"/>
        <v/>
      </c>
      <c r="W84" s="208" t="str">
        <f t="shared" si="10"/>
        <v/>
      </c>
      <c r="X84" s="208" t="str">
        <f t="shared" si="11"/>
        <v/>
      </c>
      <c r="Y84" s="209" t="str">
        <f t="shared" si="12"/>
        <v/>
      </c>
      <c r="Z84" s="182"/>
      <c r="AA84" s="183"/>
      <c r="AF84" s="35" t="str">
        <f>IFERROR(INDEX('G-7 Rivers Data'!$AZ$3:$AZ$7,MATCH(D84,'G-7 Rivers Data'!$AY$3:$AY$7,0)),"")</f>
        <v/>
      </c>
      <c r="AG84" s="35">
        <f t="shared" si="13"/>
        <v>0</v>
      </c>
      <c r="AH84" s="188" t="str">
        <f t="shared" si="14"/>
        <v/>
      </c>
      <c r="AI84" s="188" t="str">
        <f t="shared" si="15"/>
        <v/>
      </c>
      <c r="AK84" s="188">
        <v>75</v>
      </c>
      <c r="AM84" s="188" t="str">
        <f t="array" ref="AM84">IFERROR(INDEX($AK$10:$AK$258, MATCH(0, IF(TRUE=$AH$10:$AH$258, COUNTIF($AM$9:$AM83, $AK$10:$AK$258), ""), 0)),"")</f>
        <v/>
      </c>
      <c r="AN84" s="188" t="str">
        <f t="array" ref="AN84">IFERROR(INDEX($AK$10:$AK$258, MATCH(0, IF(TRUE=$AI$10:$AI$258, COUNTIF($AN$9:$AN83, $AK$10:$AK$258), ""), 0)),"")</f>
        <v/>
      </c>
    </row>
    <row r="85" spans="3:40" ht="13.8" x14ac:dyDescent="0.25">
      <c r="C85" s="168">
        <v>76</v>
      </c>
      <c r="D85" s="184"/>
      <c r="E85" s="185"/>
      <c r="F85" s="171" t="str">
        <f>IF(D85="","",VLOOKUP(D85,'G-7 Rivers Data'!$B$2:$G$8,2,FALSE))</f>
        <v/>
      </c>
      <c r="G85" s="172" t="str">
        <f>IFERROR(VLOOKUP(F85,'G-7 Rivers Data'!$C$4:$D$8,2,FALSE),"")</f>
        <v/>
      </c>
      <c r="H85" s="173"/>
      <c r="I85" s="172" t="str">
        <f>IFERROR(INDEX('G-7 Rivers Data'!$H$4:$L$8,MATCH(D85,'G-7 Rivers Data'!$B$4:$B$8,0),MATCH(H85,'G-7 Rivers Data'!$H$3:$L$3,0)),"")</f>
        <v/>
      </c>
      <c r="J85" s="186"/>
      <c r="K85" s="175" t="str">
        <f>IF(J85="","",IF(VLOOKUP(J85,'G-7 Rivers Data'!$AK$4:$AM$9,2,FALSE)=0,"Spatial Data Missing",VLOOKUP(J85,'G-7 Rivers Data'!$AK$4:$AM$9,2,FALSE)))</f>
        <v/>
      </c>
      <c r="L85" s="176" t="str">
        <f>IF(J85="","",IF(VLOOKUP(J85,'G-7 Rivers Data'!$AK$4:$AM$9,3,FALSE)=0,"Spatial Data Missing",VLOOKUP(J85,'G-7 Rivers Data'!$AK$4:$AM$9,3,FALSE)))</f>
        <v/>
      </c>
      <c r="M85" s="79"/>
      <c r="N85" s="172" t="str">
        <f>IF(M85="","",IF(VLOOKUP(M85,'G-7 Rivers Data'!$AA$4:$AB$7,2,FALSE)=0,"Spatial Data Missing",VLOOKUP(M85,'G-7 Rivers Data'!$AA$4:$AB$7,2,FALSE)))</f>
        <v/>
      </c>
      <c r="O85" s="187"/>
      <c r="P85" s="172" t="str">
        <f>IF(O85="","",IF(VLOOKUP(O85,'G-7 Rivers Data'!$AD$4:$AE$8,2,FALSE)=0,"Spatial Data Missing",VLOOKUP(O85,'G-7 Rivers Data'!$AD$4:$AE$8,2,FALSE)))</f>
        <v/>
      </c>
      <c r="Q85" s="177" t="str">
        <f>IF(D85="","",VLOOKUP(D85,'G-7 Rivers Data'!$B$4:$G$8,6,FALSE))</f>
        <v/>
      </c>
      <c r="R85" s="178" t="str">
        <f t="shared" si="8"/>
        <v/>
      </c>
      <c r="S85" s="44"/>
      <c r="T85" s="173"/>
      <c r="U85" s="189"/>
      <c r="V85" s="208" t="str">
        <f t="shared" si="9"/>
        <v/>
      </c>
      <c r="W85" s="208" t="str">
        <f t="shared" si="10"/>
        <v/>
      </c>
      <c r="X85" s="208" t="str">
        <f t="shared" si="11"/>
        <v/>
      </c>
      <c r="Y85" s="209" t="str">
        <f t="shared" si="12"/>
        <v/>
      </c>
      <c r="Z85" s="182"/>
      <c r="AA85" s="183"/>
      <c r="AF85" s="35" t="str">
        <f>IFERROR(INDEX('G-7 Rivers Data'!$AZ$3:$AZ$7,MATCH(D85,'G-7 Rivers Data'!$AY$3:$AY$7,0)),"")</f>
        <v/>
      </c>
      <c r="AG85" s="35">
        <f t="shared" si="13"/>
        <v>0</v>
      </c>
      <c r="AH85" s="188" t="str">
        <f t="shared" si="14"/>
        <v/>
      </c>
      <c r="AI85" s="188" t="str">
        <f t="shared" si="15"/>
        <v/>
      </c>
      <c r="AK85" s="188">
        <v>76</v>
      </c>
      <c r="AM85" s="188" t="str">
        <f t="array" ref="AM85">IFERROR(INDEX($AK$10:$AK$258, MATCH(0, IF(TRUE=$AH$10:$AH$258, COUNTIF($AM$9:$AM84, $AK$10:$AK$258), ""), 0)),"")</f>
        <v/>
      </c>
      <c r="AN85" s="188" t="str">
        <f t="array" ref="AN85">IFERROR(INDEX($AK$10:$AK$258, MATCH(0, IF(TRUE=$AI$10:$AI$258, COUNTIF($AN$9:$AN84, $AK$10:$AK$258), ""), 0)),"")</f>
        <v/>
      </c>
    </row>
    <row r="86" spans="3:40" ht="13.8" x14ac:dyDescent="0.25">
      <c r="C86" s="168">
        <v>77</v>
      </c>
      <c r="D86" s="184"/>
      <c r="E86" s="185"/>
      <c r="F86" s="171" t="str">
        <f>IF(D86="","",VLOOKUP(D86,'G-7 Rivers Data'!$B$2:$G$8,2,FALSE))</f>
        <v/>
      </c>
      <c r="G86" s="172" t="str">
        <f>IFERROR(VLOOKUP(F86,'G-7 Rivers Data'!$C$4:$D$8,2,FALSE),"")</f>
        <v/>
      </c>
      <c r="H86" s="173"/>
      <c r="I86" s="172" t="str">
        <f>IFERROR(INDEX('G-7 Rivers Data'!$H$4:$L$8,MATCH(D86,'G-7 Rivers Data'!$B$4:$B$8,0),MATCH(H86,'G-7 Rivers Data'!$H$3:$L$3,0)),"")</f>
        <v/>
      </c>
      <c r="J86" s="186"/>
      <c r="K86" s="175" t="str">
        <f>IF(J86="","",IF(VLOOKUP(J86,'G-7 Rivers Data'!$AK$4:$AM$9,2,FALSE)=0,"Spatial Data Missing",VLOOKUP(J86,'G-7 Rivers Data'!$AK$4:$AM$9,2,FALSE)))</f>
        <v/>
      </c>
      <c r="L86" s="176" t="str">
        <f>IF(J86="","",IF(VLOOKUP(J86,'G-7 Rivers Data'!$AK$4:$AM$9,3,FALSE)=0,"Spatial Data Missing",VLOOKUP(J86,'G-7 Rivers Data'!$AK$4:$AM$9,3,FALSE)))</f>
        <v/>
      </c>
      <c r="M86" s="79"/>
      <c r="N86" s="172" t="str">
        <f>IF(M86="","",IF(VLOOKUP(M86,'G-7 Rivers Data'!$AA$4:$AB$7,2,FALSE)=0,"Spatial Data Missing",VLOOKUP(M86,'G-7 Rivers Data'!$AA$4:$AB$7,2,FALSE)))</f>
        <v/>
      </c>
      <c r="O86" s="187"/>
      <c r="P86" s="172" t="str">
        <f>IF(O86="","",IF(VLOOKUP(O86,'G-7 Rivers Data'!$AD$4:$AE$8,2,FALSE)=0,"Spatial Data Missing",VLOOKUP(O86,'G-7 Rivers Data'!$AD$4:$AE$8,2,FALSE)))</f>
        <v/>
      </c>
      <c r="Q86" s="177" t="str">
        <f>IF(D86="","",VLOOKUP(D86,'G-7 Rivers Data'!$B$4:$G$8,6,FALSE))</f>
        <v/>
      </c>
      <c r="R86" s="178" t="str">
        <f t="shared" si="8"/>
        <v/>
      </c>
      <c r="S86" s="44"/>
      <c r="T86" s="173"/>
      <c r="U86" s="189"/>
      <c r="V86" s="208" t="str">
        <f t="shared" si="9"/>
        <v/>
      </c>
      <c r="W86" s="208" t="str">
        <f t="shared" si="10"/>
        <v/>
      </c>
      <c r="X86" s="208" t="str">
        <f t="shared" si="11"/>
        <v/>
      </c>
      <c r="Y86" s="209" t="str">
        <f t="shared" si="12"/>
        <v/>
      </c>
      <c r="Z86" s="182"/>
      <c r="AA86" s="183"/>
      <c r="AF86" s="35" t="str">
        <f>IFERROR(INDEX('G-7 Rivers Data'!$AZ$3:$AZ$7,MATCH(D86,'G-7 Rivers Data'!$AY$3:$AY$7,0)),"")</f>
        <v/>
      </c>
      <c r="AG86" s="35">
        <f t="shared" si="13"/>
        <v>0</v>
      </c>
      <c r="AH86" s="188" t="str">
        <f t="shared" si="14"/>
        <v/>
      </c>
      <c r="AI86" s="188" t="str">
        <f t="shared" si="15"/>
        <v/>
      </c>
      <c r="AK86" s="188">
        <v>77</v>
      </c>
      <c r="AM86" s="188" t="str">
        <f t="array" ref="AM86">IFERROR(INDEX($AK$10:$AK$258, MATCH(0, IF(TRUE=$AH$10:$AH$258, COUNTIF($AM$9:$AM85, $AK$10:$AK$258), ""), 0)),"")</f>
        <v/>
      </c>
      <c r="AN86" s="188" t="str">
        <f t="array" ref="AN86">IFERROR(INDEX($AK$10:$AK$258, MATCH(0, IF(TRUE=$AI$10:$AI$258, COUNTIF($AN$9:$AN85, $AK$10:$AK$258), ""), 0)),"")</f>
        <v/>
      </c>
    </row>
    <row r="87" spans="3:40" ht="13.8" x14ac:dyDescent="0.25">
      <c r="C87" s="168">
        <v>78</v>
      </c>
      <c r="D87" s="184"/>
      <c r="E87" s="185"/>
      <c r="F87" s="171" t="str">
        <f>IF(D87="","",VLOOKUP(D87,'G-7 Rivers Data'!$B$2:$G$8,2,FALSE))</f>
        <v/>
      </c>
      <c r="G87" s="172" t="str">
        <f>IFERROR(VLOOKUP(F87,'G-7 Rivers Data'!$C$4:$D$8,2,FALSE),"")</f>
        <v/>
      </c>
      <c r="H87" s="173"/>
      <c r="I87" s="172" t="str">
        <f>IFERROR(INDEX('G-7 Rivers Data'!$H$4:$L$8,MATCH(D87,'G-7 Rivers Data'!$B$4:$B$8,0),MATCH(H87,'G-7 Rivers Data'!$H$3:$L$3,0)),"")</f>
        <v/>
      </c>
      <c r="J87" s="186"/>
      <c r="K87" s="175" t="str">
        <f>IF(J87="","",IF(VLOOKUP(J87,'G-7 Rivers Data'!$AK$4:$AM$9,2,FALSE)=0,"Spatial Data Missing",VLOOKUP(J87,'G-7 Rivers Data'!$AK$4:$AM$9,2,FALSE)))</f>
        <v/>
      </c>
      <c r="L87" s="176" t="str">
        <f>IF(J87="","",IF(VLOOKUP(J87,'G-7 Rivers Data'!$AK$4:$AM$9,3,FALSE)=0,"Spatial Data Missing",VLOOKUP(J87,'G-7 Rivers Data'!$AK$4:$AM$9,3,FALSE)))</f>
        <v/>
      </c>
      <c r="M87" s="79"/>
      <c r="N87" s="172" t="str">
        <f>IF(M87="","",IF(VLOOKUP(M87,'G-7 Rivers Data'!$AA$4:$AB$7,2,FALSE)=0,"Spatial Data Missing",VLOOKUP(M87,'G-7 Rivers Data'!$AA$4:$AB$7,2,FALSE)))</f>
        <v/>
      </c>
      <c r="O87" s="187"/>
      <c r="P87" s="172" t="str">
        <f>IF(O87="","",IF(VLOOKUP(O87,'G-7 Rivers Data'!$AD$4:$AE$8,2,FALSE)=0,"Spatial Data Missing",VLOOKUP(O87,'G-7 Rivers Data'!$AD$4:$AE$8,2,FALSE)))</f>
        <v/>
      </c>
      <c r="Q87" s="177" t="str">
        <f>IF(D87="","",VLOOKUP(D87,'G-7 Rivers Data'!$B$4:$G$8,6,FALSE))</f>
        <v/>
      </c>
      <c r="R87" s="178" t="str">
        <f t="shared" si="8"/>
        <v/>
      </c>
      <c r="S87" s="44"/>
      <c r="T87" s="173"/>
      <c r="U87" s="189"/>
      <c r="V87" s="208" t="str">
        <f t="shared" si="9"/>
        <v/>
      </c>
      <c r="W87" s="208" t="str">
        <f t="shared" si="10"/>
        <v/>
      </c>
      <c r="X87" s="208" t="str">
        <f t="shared" si="11"/>
        <v/>
      </c>
      <c r="Y87" s="209" t="str">
        <f t="shared" si="12"/>
        <v/>
      </c>
      <c r="Z87" s="182"/>
      <c r="AA87" s="183"/>
      <c r="AF87" s="35" t="str">
        <f>IFERROR(INDEX('G-7 Rivers Data'!$AZ$3:$AZ$7,MATCH(D87,'G-7 Rivers Data'!$AY$3:$AY$7,0)),"")</f>
        <v/>
      </c>
      <c r="AG87" s="35">
        <f t="shared" si="13"/>
        <v>0</v>
      </c>
      <c r="AH87" s="188" t="str">
        <f t="shared" si="14"/>
        <v/>
      </c>
      <c r="AI87" s="188" t="str">
        <f t="shared" si="15"/>
        <v/>
      </c>
      <c r="AK87" s="188">
        <v>78</v>
      </c>
      <c r="AM87" s="188" t="str">
        <f t="array" ref="AM87">IFERROR(INDEX($AK$10:$AK$258, MATCH(0, IF(TRUE=$AH$10:$AH$258, COUNTIF($AM$9:$AM86, $AK$10:$AK$258), ""), 0)),"")</f>
        <v/>
      </c>
      <c r="AN87" s="188" t="str">
        <f t="array" ref="AN87">IFERROR(INDEX($AK$10:$AK$258, MATCH(0, IF(TRUE=$AI$10:$AI$258, COUNTIF($AN$9:$AN86, $AK$10:$AK$258), ""), 0)),"")</f>
        <v/>
      </c>
    </row>
    <row r="88" spans="3:40" ht="13.8" x14ac:dyDescent="0.25">
      <c r="C88" s="168">
        <v>79</v>
      </c>
      <c r="D88" s="184"/>
      <c r="E88" s="185"/>
      <c r="F88" s="171" t="str">
        <f>IF(D88="","",VLOOKUP(D88,'G-7 Rivers Data'!$B$2:$G$8,2,FALSE))</f>
        <v/>
      </c>
      <c r="G88" s="172" t="str">
        <f>IFERROR(VLOOKUP(F88,'G-7 Rivers Data'!$C$4:$D$8,2,FALSE),"")</f>
        <v/>
      </c>
      <c r="H88" s="173"/>
      <c r="I88" s="172" t="str">
        <f>IFERROR(INDEX('G-7 Rivers Data'!$H$4:$L$8,MATCH(D88,'G-7 Rivers Data'!$B$4:$B$8,0),MATCH(H88,'G-7 Rivers Data'!$H$3:$L$3,0)),"")</f>
        <v/>
      </c>
      <c r="J88" s="186"/>
      <c r="K88" s="175" t="str">
        <f>IF(J88="","",IF(VLOOKUP(J88,'G-7 Rivers Data'!$AK$4:$AM$9,2,FALSE)=0,"Spatial Data Missing",VLOOKUP(J88,'G-7 Rivers Data'!$AK$4:$AM$9,2,FALSE)))</f>
        <v/>
      </c>
      <c r="L88" s="176" t="str">
        <f>IF(J88="","",IF(VLOOKUP(J88,'G-7 Rivers Data'!$AK$4:$AM$9,3,FALSE)=0,"Spatial Data Missing",VLOOKUP(J88,'G-7 Rivers Data'!$AK$4:$AM$9,3,FALSE)))</f>
        <v/>
      </c>
      <c r="M88" s="79"/>
      <c r="N88" s="172" t="str">
        <f>IF(M88="","",IF(VLOOKUP(M88,'G-7 Rivers Data'!$AA$4:$AB$7,2,FALSE)=0,"Spatial Data Missing",VLOOKUP(M88,'G-7 Rivers Data'!$AA$4:$AB$7,2,FALSE)))</f>
        <v/>
      </c>
      <c r="O88" s="187"/>
      <c r="P88" s="172" t="str">
        <f>IF(O88="","",IF(VLOOKUP(O88,'G-7 Rivers Data'!$AD$4:$AE$8,2,FALSE)=0,"Spatial Data Missing",VLOOKUP(O88,'G-7 Rivers Data'!$AD$4:$AE$8,2,FALSE)))</f>
        <v/>
      </c>
      <c r="Q88" s="177" t="str">
        <f>IF(D88="","",VLOOKUP(D88,'G-7 Rivers Data'!$B$4:$G$8,6,FALSE))</f>
        <v/>
      </c>
      <c r="R88" s="178" t="str">
        <f t="shared" si="8"/>
        <v/>
      </c>
      <c r="S88" s="44"/>
      <c r="T88" s="173"/>
      <c r="U88" s="189"/>
      <c r="V88" s="208" t="str">
        <f t="shared" si="9"/>
        <v/>
      </c>
      <c r="W88" s="208" t="str">
        <f t="shared" si="10"/>
        <v/>
      </c>
      <c r="X88" s="208" t="str">
        <f t="shared" si="11"/>
        <v/>
      </c>
      <c r="Y88" s="209" t="str">
        <f t="shared" si="12"/>
        <v/>
      </c>
      <c r="Z88" s="182"/>
      <c r="AA88" s="183"/>
      <c r="AF88" s="35" t="str">
        <f>IFERROR(INDEX('G-7 Rivers Data'!$AZ$3:$AZ$7,MATCH(D88,'G-7 Rivers Data'!$AY$3:$AY$7,0)),"")</f>
        <v/>
      </c>
      <c r="AG88" s="35">
        <f t="shared" si="13"/>
        <v>0</v>
      </c>
      <c r="AH88" s="188" t="str">
        <f t="shared" si="14"/>
        <v/>
      </c>
      <c r="AI88" s="188" t="str">
        <f t="shared" si="15"/>
        <v/>
      </c>
      <c r="AK88" s="188">
        <v>79</v>
      </c>
      <c r="AM88" s="188" t="str">
        <f t="array" ref="AM88">IFERROR(INDEX($AK$10:$AK$258, MATCH(0, IF(TRUE=$AH$10:$AH$258, COUNTIF($AM$9:$AM87, $AK$10:$AK$258), ""), 0)),"")</f>
        <v/>
      </c>
      <c r="AN88" s="188" t="str">
        <f t="array" ref="AN88">IFERROR(INDEX($AK$10:$AK$258, MATCH(0, IF(TRUE=$AI$10:$AI$258, COUNTIF($AN$9:$AN87, $AK$10:$AK$258), ""), 0)),"")</f>
        <v/>
      </c>
    </row>
    <row r="89" spans="3:40" ht="13.8" x14ac:dyDescent="0.25">
      <c r="C89" s="168">
        <v>80</v>
      </c>
      <c r="D89" s="184"/>
      <c r="E89" s="185"/>
      <c r="F89" s="171" t="str">
        <f>IF(D89="","",VLOOKUP(D89,'G-7 Rivers Data'!$B$2:$G$8,2,FALSE))</f>
        <v/>
      </c>
      <c r="G89" s="172" t="str">
        <f>IFERROR(VLOOKUP(F89,'G-7 Rivers Data'!$C$4:$D$8,2,FALSE),"")</f>
        <v/>
      </c>
      <c r="H89" s="173"/>
      <c r="I89" s="172" t="str">
        <f>IFERROR(INDEX('G-7 Rivers Data'!$H$4:$L$8,MATCH(D89,'G-7 Rivers Data'!$B$4:$B$8,0),MATCH(H89,'G-7 Rivers Data'!$H$3:$L$3,0)),"")</f>
        <v/>
      </c>
      <c r="J89" s="186"/>
      <c r="K89" s="175" t="str">
        <f>IF(J89="","",IF(VLOOKUP(J89,'G-7 Rivers Data'!$AK$4:$AM$9,2,FALSE)=0,"Spatial Data Missing",VLOOKUP(J89,'G-7 Rivers Data'!$AK$4:$AM$9,2,FALSE)))</f>
        <v/>
      </c>
      <c r="L89" s="176" t="str">
        <f>IF(J89="","",IF(VLOOKUP(J89,'G-7 Rivers Data'!$AK$4:$AM$9,3,FALSE)=0,"Spatial Data Missing",VLOOKUP(J89,'G-7 Rivers Data'!$AK$4:$AM$9,3,FALSE)))</f>
        <v/>
      </c>
      <c r="M89" s="79"/>
      <c r="N89" s="172" t="str">
        <f>IF(M89="","",IF(VLOOKUP(M89,'G-7 Rivers Data'!$AA$4:$AB$7,2,FALSE)=0,"Spatial Data Missing",VLOOKUP(M89,'G-7 Rivers Data'!$AA$4:$AB$7,2,FALSE)))</f>
        <v/>
      </c>
      <c r="O89" s="187"/>
      <c r="P89" s="172" t="str">
        <f>IF(O89="","",IF(VLOOKUP(O89,'G-7 Rivers Data'!$AD$4:$AE$8,2,FALSE)=0,"Spatial Data Missing",VLOOKUP(O89,'G-7 Rivers Data'!$AD$4:$AE$8,2,FALSE)))</f>
        <v/>
      </c>
      <c r="Q89" s="177" t="str">
        <f>IF(D89="","",VLOOKUP(D89,'G-7 Rivers Data'!$B$4:$G$8,6,FALSE))</f>
        <v/>
      </c>
      <c r="R89" s="178" t="str">
        <f t="shared" si="8"/>
        <v/>
      </c>
      <c r="S89" s="44"/>
      <c r="T89" s="173"/>
      <c r="U89" s="189"/>
      <c r="V89" s="208" t="str">
        <f t="shared" si="9"/>
        <v/>
      </c>
      <c r="W89" s="208" t="str">
        <f t="shared" si="10"/>
        <v/>
      </c>
      <c r="X89" s="208" t="str">
        <f t="shared" si="11"/>
        <v/>
      </c>
      <c r="Y89" s="209" t="str">
        <f t="shared" si="12"/>
        <v/>
      </c>
      <c r="Z89" s="182"/>
      <c r="AA89" s="183"/>
      <c r="AF89" s="35" t="str">
        <f>IFERROR(INDEX('G-7 Rivers Data'!$AZ$3:$AZ$7,MATCH(D89,'G-7 Rivers Data'!$AY$3:$AY$7,0)),"")</f>
        <v/>
      </c>
      <c r="AG89" s="35">
        <f t="shared" si="13"/>
        <v>0</v>
      </c>
      <c r="AH89" s="188" t="str">
        <f t="shared" si="14"/>
        <v/>
      </c>
      <c r="AI89" s="188" t="str">
        <f t="shared" si="15"/>
        <v/>
      </c>
      <c r="AK89" s="188">
        <v>80</v>
      </c>
      <c r="AM89" s="188" t="str">
        <f t="array" ref="AM89">IFERROR(INDEX($AK$10:$AK$258, MATCH(0, IF(TRUE=$AH$10:$AH$258, COUNTIF($AM$9:$AM88, $AK$10:$AK$258), ""), 0)),"")</f>
        <v/>
      </c>
      <c r="AN89" s="188" t="str">
        <f t="array" ref="AN89">IFERROR(INDEX($AK$10:$AK$258, MATCH(0, IF(TRUE=$AI$10:$AI$258, COUNTIF($AN$9:$AN88, $AK$10:$AK$258), ""), 0)),"")</f>
        <v/>
      </c>
    </row>
    <row r="90" spans="3:40" ht="13.8" x14ac:dyDescent="0.25">
      <c r="C90" s="168">
        <v>81</v>
      </c>
      <c r="D90" s="184"/>
      <c r="E90" s="185"/>
      <c r="F90" s="171" t="str">
        <f>IF(D90="","",VLOOKUP(D90,'G-7 Rivers Data'!$B$2:$G$8,2,FALSE))</f>
        <v/>
      </c>
      <c r="G90" s="172" t="str">
        <f>IFERROR(VLOOKUP(F90,'G-7 Rivers Data'!$C$4:$D$8,2,FALSE),"")</f>
        <v/>
      </c>
      <c r="H90" s="173"/>
      <c r="I90" s="172" t="str">
        <f>IFERROR(INDEX('G-7 Rivers Data'!$H$4:$L$8,MATCH(D90,'G-7 Rivers Data'!$B$4:$B$8,0),MATCH(H90,'G-7 Rivers Data'!$H$3:$L$3,0)),"")</f>
        <v/>
      </c>
      <c r="J90" s="186"/>
      <c r="K90" s="175" t="str">
        <f>IF(J90="","",IF(VLOOKUP(J90,'G-7 Rivers Data'!$AK$4:$AM$9,2,FALSE)=0,"Spatial Data Missing",VLOOKUP(J90,'G-7 Rivers Data'!$AK$4:$AM$9,2,FALSE)))</f>
        <v/>
      </c>
      <c r="L90" s="176" t="str">
        <f>IF(J90="","",IF(VLOOKUP(J90,'G-7 Rivers Data'!$AK$4:$AM$9,3,FALSE)=0,"Spatial Data Missing",VLOOKUP(J90,'G-7 Rivers Data'!$AK$4:$AM$9,3,FALSE)))</f>
        <v/>
      </c>
      <c r="M90" s="79"/>
      <c r="N90" s="172" t="str">
        <f>IF(M90="","",IF(VLOOKUP(M90,'G-7 Rivers Data'!$AA$4:$AB$7,2,FALSE)=0,"Spatial Data Missing",VLOOKUP(M90,'G-7 Rivers Data'!$AA$4:$AB$7,2,FALSE)))</f>
        <v/>
      </c>
      <c r="O90" s="187"/>
      <c r="P90" s="172" t="str">
        <f>IF(O90="","",IF(VLOOKUP(O90,'G-7 Rivers Data'!$AD$4:$AE$8,2,FALSE)=0,"Spatial Data Missing",VLOOKUP(O90,'G-7 Rivers Data'!$AD$4:$AE$8,2,FALSE)))</f>
        <v/>
      </c>
      <c r="Q90" s="177" t="str">
        <f>IF(D90="","",VLOOKUP(D90,'G-7 Rivers Data'!$B$4:$G$8,6,FALSE))</f>
        <v/>
      </c>
      <c r="R90" s="178" t="str">
        <f t="shared" si="8"/>
        <v/>
      </c>
      <c r="S90" s="44"/>
      <c r="T90" s="173"/>
      <c r="U90" s="189"/>
      <c r="V90" s="208" t="str">
        <f t="shared" si="9"/>
        <v/>
      </c>
      <c r="W90" s="208" t="str">
        <f t="shared" si="10"/>
        <v/>
      </c>
      <c r="X90" s="208" t="str">
        <f t="shared" si="11"/>
        <v/>
      </c>
      <c r="Y90" s="209" t="str">
        <f t="shared" si="12"/>
        <v/>
      </c>
      <c r="Z90" s="182"/>
      <c r="AA90" s="183"/>
      <c r="AF90" s="35" t="str">
        <f>IFERROR(INDEX('G-7 Rivers Data'!$AZ$3:$AZ$7,MATCH(D90,'G-7 Rivers Data'!$AY$3:$AY$7,0)),"")</f>
        <v/>
      </c>
      <c r="AG90" s="35">
        <f t="shared" si="13"/>
        <v>0</v>
      </c>
      <c r="AH90" s="188" t="str">
        <f t="shared" si="14"/>
        <v/>
      </c>
      <c r="AI90" s="188" t="str">
        <f t="shared" si="15"/>
        <v/>
      </c>
      <c r="AK90" s="188">
        <v>81</v>
      </c>
      <c r="AM90" s="188" t="str">
        <f t="array" ref="AM90">IFERROR(INDEX($AK$10:$AK$258, MATCH(0, IF(TRUE=$AH$10:$AH$258, COUNTIF($AM$9:$AM89, $AK$10:$AK$258), ""), 0)),"")</f>
        <v/>
      </c>
      <c r="AN90" s="188" t="str">
        <f t="array" ref="AN90">IFERROR(INDEX($AK$10:$AK$258, MATCH(0, IF(TRUE=$AI$10:$AI$258, COUNTIF($AN$9:$AN89, $AK$10:$AK$258), ""), 0)),"")</f>
        <v/>
      </c>
    </row>
    <row r="91" spans="3:40" ht="13.8" x14ac:dyDescent="0.25">
      <c r="C91" s="168">
        <v>82</v>
      </c>
      <c r="D91" s="184"/>
      <c r="E91" s="185"/>
      <c r="F91" s="171" t="str">
        <f>IF(D91="","",VLOOKUP(D91,'G-7 Rivers Data'!$B$2:$G$8,2,FALSE))</f>
        <v/>
      </c>
      <c r="G91" s="172" t="str">
        <f>IFERROR(VLOOKUP(F91,'G-7 Rivers Data'!$C$4:$D$8,2,FALSE),"")</f>
        <v/>
      </c>
      <c r="H91" s="173"/>
      <c r="I91" s="172" t="str">
        <f>IFERROR(INDEX('G-7 Rivers Data'!$H$4:$L$8,MATCH(D91,'G-7 Rivers Data'!$B$4:$B$8,0),MATCH(H91,'G-7 Rivers Data'!$H$3:$L$3,0)),"")</f>
        <v/>
      </c>
      <c r="J91" s="186"/>
      <c r="K91" s="175" t="str">
        <f>IF(J91="","",IF(VLOOKUP(J91,'G-7 Rivers Data'!$AK$4:$AM$9,2,FALSE)=0,"Spatial Data Missing",VLOOKUP(J91,'G-7 Rivers Data'!$AK$4:$AM$9,2,FALSE)))</f>
        <v/>
      </c>
      <c r="L91" s="176" t="str">
        <f>IF(J91="","",IF(VLOOKUP(J91,'G-7 Rivers Data'!$AK$4:$AM$9,3,FALSE)=0,"Spatial Data Missing",VLOOKUP(J91,'G-7 Rivers Data'!$AK$4:$AM$9,3,FALSE)))</f>
        <v/>
      </c>
      <c r="M91" s="79"/>
      <c r="N91" s="172" t="str">
        <f>IF(M91="","",IF(VLOOKUP(M91,'G-7 Rivers Data'!$AA$4:$AB$7,2,FALSE)=0,"Spatial Data Missing",VLOOKUP(M91,'G-7 Rivers Data'!$AA$4:$AB$7,2,FALSE)))</f>
        <v/>
      </c>
      <c r="O91" s="187"/>
      <c r="P91" s="172" t="str">
        <f>IF(O91="","",IF(VLOOKUP(O91,'G-7 Rivers Data'!$AD$4:$AE$8,2,FALSE)=0,"Spatial Data Missing",VLOOKUP(O91,'G-7 Rivers Data'!$AD$4:$AE$8,2,FALSE)))</f>
        <v/>
      </c>
      <c r="Q91" s="177" t="str">
        <f>IF(D91="","",VLOOKUP(D91,'G-7 Rivers Data'!$B$4:$G$8,6,FALSE))</f>
        <v/>
      </c>
      <c r="R91" s="178" t="str">
        <f t="shared" si="8"/>
        <v/>
      </c>
      <c r="S91" s="44"/>
      <c r="T91" s="173"/>
      <c r="U91" s="189"/>
      <c r="V91" s="208" t="str">
        <f t="shared" si="9"/>
        <v/>
      </c>
      <c r="W91" s="208" t="str">
        <f t="shared" si="10"/>
        <v/>
      </c>
      <c r="X91" s="208" t="str">
        <f t="shared" si="11"/>
        <v/>
      </c>
      <c r="Y91" s="209" t="str">
        <f t="shared" si="12"/>
        <v/>
      </c>
      <c r="Z91" s="182"/>
      <c r="AA91" s="183"/>
      <c r="AF91" s="35" t="str">
        <f>IFERROR(INDEX('G-7 Rivers Data'!$AZ$3:$AZ$7,MATCH(D91,'G-7 Rivers Data'!$AY$3:$AY$7,0)),"")</f>
        <v/>
      </c>
      <c r="AG91" s="35">
        <f t="shared" si="13"/>
        <v>0</v>
      </c>
      <c r="AH91" s="188" t="str">
        <f t="shared" si="14"/>
        <v/>
      </c>
      <c r="AI91" s="188" t="str">
        <f t="shared" si="15"/>
        <v/>
      </c>
      <c r="AK91" s="188">
        <v>82</v>
      </c>
      <c r="AM91" s="188" t="str">
        <f t="array" ref="AM91">IFERROR(INDEX($AK$10:$AK$258, MATCH(0, IF(TRUE=$AH$10:$AH$258, COUNTIF($AM$9:$AM90, $AK$10:$AK$258), ""), 0)),"")</f>
        <v/>
      </c>
      <c r="AN91" s="188" t="str">
        <f t="array" ref="AN91">IFERROR(INDEX($AK$10:$AK$258, MATCH(0, IF(TRUE=$AI$10:$AI$258, COUNTIF($AN$9:$AN90, $AK$10:$AK$258), ""), 0)),"")</f>
        <v/>
      </c>
    </row>
    <row r="92" spans="3:40" ht="13.8" x14ac:dyDescent="0.25">
      <c r="C92" s="168">
        <v>83</v>
      </c>
      <c r="D92" s="184"/>
      <c r="E92" s="185"/>
      <c r="F92" s="171" t="str">
        <f>IF(D92="","",VLOOKUP(D92,'G-7 Rivers Data'!$B$2:$G$8,2,FALSE))</f>
        <v/>
      </c>
      <c r="G92" s="172" t="str">
        <f>IFERROR(VLOOKUP(F92,'G-7 Rivers Data'!$C$4:$D$8,2,FALSE),"")</f>
        <v/>
      </c>
      <c r="H92" s="173"/>
      <c r="I92" s="172" t="str">
        <f>IFERROR(INDEX('G-7 Rivers Data'!$H$4:$L$8,MATCH(D92,'G-7 Rivers Data'!$B$4:$B$8,0),MATCH(H92,'G-7 Rivers Data'!$H$3:$L$3,0)),"")</f>
        <v/>
      </c>
      <c r="J92" s="186"/>
      <c r="K92" s="175" t="str">
        <f>IF(J92="","",IF(VLOOKUP(J92,'G-7 Rivers Data'!$AK$4:$AM$9,2,FALSE)=0,"Spatial Data Missing",VLOOKUP(J92,'G-7 Rivers Data'!$AK$4:$AM$9,2,FALSE)))</f>
        <v/>
      </c>
      <c r="L92" s="176" t="str">
        <f>IF(J92="","",IF(VLOOKUP(J92,'G-7 Rivers Data'!$AK$4:$AM$9,3,FALSE)=0,"Spatial Data Missing",VLOOKUP(J92,'G-7 Rivers Data'!$AK$4:$AM$9,3,FALSE)))</f>
        <v/>
      </c>
      <c r="M92" s="79"/>
      <c r="N92" s="172" t="str">
        <f>IF(M92="","",IF(VLOOKUP(M92,'G-7 Rivers Data'!$AA$4:$AB$7,2,FALSE)=0,"Spatial Data Missing",VLOOKUP(M92,'G-7 Rivers Data'!$AA$4:$AB$7,2,FALSE)))</f>
        <v/>
      </c>
      <c r="O92" s="187"/>
      <c r="P92" s="172" t="str">
        <f>IF(O92="","",IF(VLOOKUP(O92,'G-7 Rivers Data'!$AD$4:$AE$8,2,FALSE)=0,"Spatial Data Missing",VLOOKUP(O92,'G-7 Rivers Data'!$AD$4:$AE$8,2,FALSE)))</f>
        <v/>
      </c>
      <c r="Q92" s="177" t="str">
        <f>IF(D92="","",VLOOKUP(D92,'G-7 Rivers Data'!$B$4:$G$8,6,FALSE))</f>
        <v/>
      </c>
      <c r="R92" s="178" t="str">
        <f t="shared" si="8"/>
        <v/>
      </c>
      <c r="S92" s="44"/>
      <c r="T92" s="173"/>
      <c r="U92" s="189"/>
      <c r="V92" s="208" t="str">
        <f t="shared" si="9"/>
        <v/>
      </c>
      <c r="W92" s="208" t="str">
        <f t="shared" si="10"/>
        <v/>
      </c>
      <c r="X92" s="208" t="str">
        <f t="shared" si="11"/>
        <v/>
      </c>
      <c r="Y92" s="209" t="str">
        <f t="shared" si="12"/>
        <v/>
      </c>
      <c r="Z92" s="182"/>
      <c r="AA92" s="183"/>
      <c r="AF92" s="35" t="str">
        <f>IFERROR(INDEX('G-7 Rivers Data'!$AZ$3:$AZ$7,MATCH(D92,'G-7 Rivers Data'!$AY$3:$AY$7,0)),"")</f>
        <v/>
      </c>
      <c r="AG92" s="35">
        <f t="shared" si="13"/>
        <v>0</v>
      </c>
      <c r="AH92" s="188" t="str">
        <f t="shared" si="14"/>
        <v/>
      </c>
      <c r="AI92" s="188" t="str">
        <f t="shared" si="15"/>
        <v/>
      </c>
      <c r="AK92" s="188">
        <v>83</v>
      </c>
      <c r="AM92" s="188" t="str">
        <f t="array" ref="AM92">IFERROR(INDEX($AK$10:$AK$258, MATCH(0, IF(TRUE=$AH$10:$AH$258, COUNTIF($AM$9:$AM91, $AK$10:$AK$258), ""), 0)),"")</f>
        <v/>
      </c>
      <c r="AN92" s="188" t="str">
        <f t="array" ref="AN92">IFERROR(INDEX($AK$10:$AK$258, MATCH(0, IF(TRUE=$AI$10:$AI$258, COUNTIF($AN$9:$AN91, $AK$10:$AK$258), ""), 0)),"")</f>
        <v/>
      </c>
    </row>
    <row r="93" spans="3:40" ht="13.8" x14ac:dyDescent="0.25">
      <c r="C93" s="168">
        <v>84</v>
      </c>
      <c r="D93" s="184"/>
      <c r="E93" s="185"/>
      <c r="F93" s="171" t="str">
        <f>IF(D93="","",VLOOKUP(D93,'G-7 Rivers Data'!$B$2:$G$8,2,FALSE))</f>
        <v/>
      </c>
      <c r="G93" s="172" t="str">
        <f>IFERROR(VLOOKUP(F93,'G-7 Rivers Data'!$C$4:$D$8,2,FALSE),"")</f>
        <v/>
      </c>
      <c r="H93" s="173"/>
      <c r="I93" s="172" t="str">
        <f>IFERROR(INDEX('G-7 Rivers Data'!$H$4:$L$8,MATCH(D93,'G-7 Rivers Data'!$B$4:$B$8,0),MATCH(H93,'G-7 Rivers Data'!$H$3:$L$3,0)),"")</f>
        <v/>
      </c>
      <c r="J93" s="186"/>
      <c r="K93" s="175" t="str">
        <f>IF(J93="","",IF(VLOOKUP(J93,'G-7 Rivers Data'!$AK$4:$AM$9,2,FALSE)=0,"Spatial Data Missing",VLOOKUP(J93,'G-7 Rivers Data'!$AK$4:$AM$9,2,FALSE)))</f>
        <v/>
      </c>
      <c r="L93" s="176" t="str">
        <f>IF(J93="","",IF(VLOOKUP(J93,'G-7 Rivers Data'!$AK$4:$AM$9,3,FALSE)=0,"Spatial Data Missing",VLOOKUP(J93,'G-7 Rivers Data'!$AK$4:$AM$9,3,FALSE)))</f>
        <v/>
      </c>
      <c r="M93" s="79"/>
      <c r="N93" s="172" t="str">
        <f>IF(M93="","",IF(VLOOKUP(M93,'G-7 Rivers Data'!$AA$4:$AB$7,2,FALSE)=0,"Spatial Data Missing",VLOOKUP(M93,'G-7 Rivers Data'!$AA$4:$AB$7,2,FALSE)))</f>
        <v/>
      </c>
      <c r="O93" s="187"/>
      <c r="P93" s="172" t="str">
        <f>IF(O93="","",IF(VLOOKUP(O93,'G-7 Rivers Data'!$AD$4:$AE$8,2,FALSE)=0,"Spatial Data Missing",VLOOKUP(O93,'G-7 Rivers Data'!$AD$4:$AE$8,2,FALSE)))</f>
        <v/>
      </c>
      <c r="Q93" s="177" t="str">
        <f>IF(D93="","",VLOOKUP(D93,'G-7 Rivers Data'!$B$4:$G$8,6,FALSE))</f>
        <v/>
      </c>
      <c r="R93" s="178" t="str">
        <f t="shared" si="8"/>
        <v/>
      </c>
      <c r="S93" s="44"/>
      <c r="T93" s="173"/>
      <c r="U93" s="189"/>
      <c r="V93" s="208" t="str">
        <f t="shared" si="9"/>
        <v/>
      </c>
      <c r="W93" s="208" t="str">
        <f t="shared" si="10"/>
        <v/>
      </c>
      <c r="X93" s="208" t="str">
        <f t="shared" si="11"/>
        <v/>
      </c>
      <c r="Y93" s="209" t="str">
        <f t="shared" si="12"/>
        <v/>
      </c>
      <c r="Z93" s="182"/>
      <c r="AA93" s="183"/>
      <c r="AF93" s="35" t="str">
        <f>IFERROR(INDEX('G-7 Rivers Data'!$AZ$3:$AZ$7,MATCH(D93,'G-7 Rivers Data'!$AY$3:$AY$7,0)),"")</f>
        <v/>
      </c>
      <c r="AG93" s="35">
        <f t="shared" si="13"/>
        <v>0</v>
      </c>
      <c r="AH93" s="188" t="str">
        <f t="shared" si="14"/>
        <v/>
      </c>
      <c r="AI93" s="188" t="str">
        <f t="shared" si="15"/>
        <v/>
      </c>
      <c r="AK93" s="188">
        <v>84</v>
      </c>
      <c r="AM93" s="188" t="str">
        <f t="array" ref="AM93">IFERROR(INDEX($AK$10:$AK$258, MATCH(0, IF(TRUE=$AH$10:$AH$258, COUNTIF($AM$9:$AM92, $AK$10:$AK$258), ""), 0)),"")</f>
        <v/>
      </c>
      <c r="AN93" s="188" t="str">
        <f t="array" ref="AN93">IFERROR(INDEX($AK$10:$AK$258, MATCH(0, IF(TRUE=$AI$10:$AI$258, COUNTIF($AN$9:$AN92, $AK$10:$AK$258), ""), 0)),"")</f>
        <v/>
      </c>
    </row>
    <row r="94" spans="3:40" ht="13.8" x14ac:dyDescent="0.25">
      <c r="C94" s="168">
        <v>85</v>
      </c>
      <c r="D94" s="184"/>
      <c r="E94" s="185"/>
      <c r="F94" s="171" t="str">
        <f>IF(D94="","",VLOOKUP(D94,'G-7 Rivers Data'!$B$2:$G$8,2,FALSE))</f>
        <v/>
      </c>
      <c r="G94" s="172" t="str">
        <f>IFERROR(VLOOKUP(F94,'G-7 Rivers Data'!$C$4:$D$8,2,FALSE),"")</f>
        <v/>
      </c>
      <c r="H94" s="173"/>
      <c r="I94" s="172" t="str">
        <f>IFERROR(INDEX('G-7 Rivers Data'!$H$4:$L$8,MATCH(D94,'G-7 Rivers Data'!$B$4:$B$8,0),MATCH(H94,'G-7 Rivers Data'!$H$3:$L$3,0)),"")</f>
        <v/>
      </c>
      <c r="J94" s="186"/>
      <c r="K94" s="175" t="str">
        <f>IF(J94="","",IF(VLOOKUP(J94,'G-7 Rivers Data'!$AK$4:$AM$9,2,FALSE)=0,"Spatial Data Missing",VLOOKUP(J94,'G-7 Rivers Data'!$AK$4:$AM$9,2,FALSE)))</f>
        <v/>
      </c>
      <c r="L94" s="176" t="str">
        <f>IF(J94="","",IF(VLOOKUP(J94,'G-7 Rivers Data'!$AK$4:$AM$9,3,FALSE)=0,"Spatial Data Missing",VLOOKUP(J94,'G-7 Rivers Data'!$AK$4:$AM$9,3,FALSE)))</f>
        <v/>
      </c>
      <c r="M94" s="79"/>
      <c r="N94" s="172" t="str">
        <f>IF(M94="","",IF(VLOOKUP(M94,'G-7 Rivers Data'!$AA$4:$AB$7,2,FALSE)=0,"Spatial Data Missing",VLOOKUP(M94,'G-7 Rivers Data'!$AA$4:$AB$7,2,FALSE)))</f>
        <v/>
      </c>
      <c r="O94" s="187"/>
      <c r="P94" s="172" t="str">
        <f>IF(O94="","",IF(VLOOKUP(O94,'G-7 Rivers Data'!$AD$4:$AE$8,2,FALSE)=0,"Spatial Data Missing",VLOOKUP(O94,'G-7 Rivers Data'!$AD$4:$AE$8,2,FALSE)))</f>
        <v/>
      </c>
      <c r="Q94" s="177" t="str">
        <f>IF(D94="","",VLOOKUP(D94,'G-7 Rivers Data'!$B$4:$G$8,6,FALSE))</f>
        <v/>
      </c>
      <c r="R94" s="178" t="str">
        <f t="shared" si="8"/>
        <v/>
      </c>
      <c r="S94" s="44"/>
      <c r="T94" s="173"/>
      <c r="U94" s="189"/>
      <c r="V94" s="208" t="str">
        <f t="shared" si="9"/>
        <v/>
      </c>
      <c r="W94" s="208" t="str">
        <f t="shared" si="10"/>
        <v/>
      </c>
      <c r="X94" s="208" t="str">
        <f t="shared" si="11"/>
        <v/>
      </c>
      <c r="Y94" s="209" t="str">
        <f t="shared" si="12"/>
        <v/>
      </c>
      <c r="Z94" s="182"/>
      <c r="AA94" s="183"/>
      <c r="AF94" s="35" t="str">
        <f>IFERROR(INDEX('G-7 Rivers Data'!$AZ$3:$AZ$7,MATCH(D94,'G-7 Rivers Data'!$AY$3:$AY$7,0)),"")</f>
        <v/>
      </c>
      <c r="AG94" s="35">
        <f t="shared" si="13"/>
        <v>0</v>
      </c>
      <c r="AH94" s="188" t="str">
        <f t="shared" si="14"/>
        <v/>
      </c>
      <c r="AI94" s="188" t="str">
        <f t="shared" si="15"/>
        <v/>
      </c>
      <c r="AK94" s="188">
        <v>85</v>
      </c>
      <c r="AM94" s="188" t="str">
        <f t="array" ref="AM94">IFERROR(INDEX($AK$10:$AK$258, MATCH(0, IF(TRUE=$AH$10:$AH$258, COUNTIF($AM$9:$AM93, $AK$10:$AK$258), ""), 0)),"")</f>
        <v/>
      </c>
      <c r="AN94" s="188" t="str">
        <f t="array" ref="AN94">IFERROR(INDEX($AK$10:$AK$258, MATCH(0, IF(TRUE=$AI$10:$AI$258, COUNTIF($AN$9:$AN93, $AK$10:$AK$258), ""), 0)),"")</f>
        <v/>
      </c>
    </row>
    <row r="95" spans="3:40" ht="13.8" x14ac:dyDescent="0.25">
      <c r="C95" s="168">
        <v>86</v>
      </c>
      <c r="D95" s="184"/>
      <c r="E95" s="185"/>
      <c r="F95" s="171" t="str">
        <f>IF(D95="","",VLOOKUP(D95,'G-7 Rivers Data'!$B$2:$G$8,2,FALSE))</f>
        <v/>
      </c>
      <c r="G95" s="172" t="str">
        <f>IFERROR(VLOOKUP(F95,'G-7 Rivers Data'!$C$4:$D$8,2,FALSE),"")</f>
        <v/>
      </c>
      <c r="H95" s="173"/>
      <c r="I95" s="172" t="str">
        <f>IFERROR(INDEX('G-7 Rivers Data'!$H$4:$L$8,MATCH(D95,'G-7 Rivers Data'!$B$4:$B$8,0),MATCH(H95,'G-7 Rivers Data'!$H$3:$L$3,0)),"")</f>
        <v/>
      </c>
      <c r="J95" s="186"/>
      <c r="K95" s="175" t="str">
        <f>IF(J95="","",IF(VLOOKUP(J95,'G-7 Rivers Data'!$AK$4:$AM$9,2,FALSE)=0,"Spatial Data Missing",VLOOKUP(J95,'G-7 Rivers Data'!$AK$4:$AM$9,2,FALSE)))</f>
        <v/>
      </c>
      <c r="L95" s="176" t="str">
        <f>IF(J95="","",IF(VLOOKUP(J95,'G-7 Rivers Data'!$AK$4:$AM$9,3,FALSE)=0,"Spatial Data Missing",VLOOKUP(J95,'G-7 Rivers Data'!$AK$4:$AM$9,3,FALSE)))</f>
        <v/>
      </c>
      <c r="M95" s="79"/>
      <c r="N95" s="172" t="str">
        <f>IF(M95="","",IF(VLOOKUP(M95,'G-7 Rivers Data'!$AA$4:$AB$7,2,FALSE)=0,"Spatial Data Missing",VLOOKUP(M95,'G-7 Rivers Data'!$AA$4:$AB$7,2,FALSE)))</f>
        <v/>
      </c>
      <c r="O95" s="187"/>
      <c r="P95" s="172" t="str">
        <f>IF(O95="","",IF(VLOOKUP(O95,'G-7 Rivers Data'!$AD$4:$AE$8,2,FALSE)=0,"Spatial Data Missing",VLOOKUP(O95,'G-7 Rivers Data'!$AD$4:$AE$8,2,FALSE)))</f>
        <v/>
      </c>
      <c r="Q95" s="177" t="str">
        <f>IF(D95="","",VLOOKUP(D95,'G-7 Rivers Data'!$B$4:$G$8,6,FALSE))</f>
        <v/>
      </c>
      <c r="R95" s="178" t="str">
        <f t="shared" si="8"/>
        <v/>
      </c>
      <c r="S95" s="44"/>
      <c r="T95" s="173"/>
      <c r="U95" s="189"/>
      <c r="V95" s="208" t="str">
        <f t="shared" si="9"/>
        <v/>
      </c>
      <c r="W95" s="208" t="str">
        <f t="shared" si="10"/>
        <v/>
      </c>
      <c r="X95" s="208" t="str">
        <f t="shared" si="11"/>
        <v/>
      </c>
      <c r="Y95" s="209" t="str">
        <f t="shared" si="12"/>
        <v/>
      </c>
      <c r="Z95" s="182"/>
      <c r="AA95" s="183"/>
      <c r="AF95" s="35" t="str">
        <f>IFERROR(INDEX('G-7 Rivers Data'!$AZ$3:$AZ$7,MATCH(D95,'G-7 Rivers Data'!$AY$3:$AY$7,0)),"")</f>
        <v/>
      </c>
      <c r="AG95" s="35">
        <f t="shared" si="13"/>
        <v>0</v>
      </c>
      <c r="AH95" s="188" t="str">
        <f t="shared" si="14"/>
        <v/>
      </c>
      <c r="AI95" s="188" t="str">
        <f t="shared" si="15"/>
        <v/>
      </c>
      <c r="AK95" s="188">
        <v>86</v>
      </c>
      <c r="AM95" s="188" t="str">
        <f t="array" ref="AM95">IFERROR(INDEX($AK$10:$AK$258, MATCH(0, IF(TRUE=$AH$10:$AH$258, COUNTIF($AM$9:$AM94, $AK$10:$AK$258), ""), 0)),"")</f>
        <v/>
      </c>
      <c r="AN95" s="188" t="str">
        <f t="array" ref="AN95">IFERROR(INDEX($AK$10:$AK$258, MATCH(0, IF(TRUE=$AI$10:$AI$258, COUNTIF($AN$9:$AN94, $AK$10:$AK$258), ""), 0)),"")</f>
        <v/>
      </c>
    </row>
    <row r="96" spans="3:40" ht="13.8" x14ac:dyDescent="0.25">
      <c r="C96" s="168">
        <v>87</v>
      </c>
      <c r="D96" s="184"/>
      <c r="E96" s="185"/>
      <c r="F96" s="171" t="str">
        <f>IF(D96="","",VLOOKUP(D96,'G-7 Rivers Data'!$B$2:$G$8,2,FALSE))</f>
        <v/>
      </c>
      <c r="G96" s="172" t="str">
        <f>IFERROR(VLOOKUP(F96,'G-7 Rivers Data'!$C$4:$D$8,2,FALSE),"")</f>
        <v/>
      </c>
      <c r="H96" s="173"/>
      <c r="I96" s="172" t="str">
        <f>IFERROR(INDEX('G-7 Rivers Data'!$H$4:$L$8,MATCH(D96,'G-7 Rivers Data'!$B$4:$B$8,0),MATCH(H96,'G-7 Rivers Data'!$H$3:$L$3,0)),"")</f>
        <v/>
      </c>
      <c r="J96" s="186"/>
      <c r="K96" s="175" t="str">
        <f>IF(J96="","",IF(VLOOKUP(J96,'G-7 Rivers Data'!$AK$4:$AM$9,2,FALSE)=0,"Spatial Data Missing",VLOOKUP(J96,'G-7 Rivers Data'!$AK$4:$AM$9,2,FALSE)))</f>
        <v/>
      </c>
      <c r="L96" s="176" t="str">
        <f>IF(J96="","",IF(VLOOKUP(J96,'G-7 Rivers Data'!$AK$4:$AM$9,3,FALSE)=0,"Spatial Data Missing",VLOOKUP(J96,'G-7 Rivers Data'!$AK$4:$AM$9,3,FALSE)))</f>
        <v/>
      </c>
      <c r="M96" s="79"/>
      <c r="N96" s="172" t="str">
        <f>IF(M96="","",IF(VLOOKUP(M96,'G-7 Rivers Data'!$AA$4:$AB$7,2,FALSE)=0,"Spatial Data Missing",VLOOKUP(M96,'G-7 Rivers Data'!$AA$4:$AB$7,2,FALSE)))</f>
        <v/>
      </c>
      <c r="O96" s="187"/>
      <c r="P96" s="172" t="str">
        <f>IF(O96="","",IF(VLOOKUP(O96,'G-7 Rivers Data'!$AD$4:$AE$8,2,FALSE)=0,"Spatial Data Missing",VLOOKUP(O96,'G-7 Rivers Data'!$AD$4:$AE$8,2,FALSE)))</f>
        <v/>
      </c>
      <c r="Q96" s="177" t="str">
        <f>IF(D96="","",VLOOKUP(D96,'G-7 Rivers Data'!$B$4:$G$8,6,FALSE))</f>
        <v/>
      </c>
      <c r="R96" s="178" t="str">
        <f t="shared" si="8"/>
        <v/>
      </c>
      <c r="S96" s="44"/>
      <c r="T96" s="173"/>
      <c r="U96" s="189"/>
      <c r="V96" s="208" t="str">
        <f t="shared" si="9"/>
        <v/>
      </c>
      <c r="W96" s="208" t="str">
        <f t="shared" si="10"/>
        <v/>
      </c>
      <c r="X96" s="208" t="str">
        <f t="shared" si="11"/>
        <v/>
      </c>
      <c r="Y96" s="209" t="str">
        <f t="shared" si="12"/>
        <v/>
      </c>
      <c r="Z96" s="182"/>
      <c r="AA96" s="183"/>
      <c r="AF96" s="35" t="str">
        <f>IFERROR(INDEX('G-7 Rivers Data'!$AZ$3:$AZ$7,MATCH(D96,'G-7 Rivers Data'!$AY$3:$AY$7,0)),"")</f>
        <v/>
      </c>
      <c r="AG96" s="35">
        <f t="shared" si="13"/>
        <v>0</v>
      </c>
      <c r="AH96" s="188" t="str">
        <f t="shared" si="14"/>
        <v/>
      </c>
      <c r="AI96" s="188" t="str">
        <f t="shared" si="15"/>
        <v/>
      </c>
      <c r="AK96" s="188">
        <v>87</v>
      </c>
      <c r="AM96" s="188" t="str">
        <f t="array" ref="AM96">IFERROR(INDEX($AK$10:$AK$258, MATCH(0, IF(TRUE=$AH$10:$AH$258, COUNTIF($AM$9:$AM95, $AK$10:$AK$258), ""), 0)),"")</f>
        <v/>
      </c>
      <c r="AN96" s="188" t="str">
        <f t="array" ref="AN96">IFERROR(INDEX($AK$10:$AK$258, MATCH(0, IF(TRUE=$AI$10:$AI$258, COUNTIF($AN$9:$AN95, $AK$10:$AK$258), ""), 0)),"")</f>
        <v/>
      </c>
    </row>
    <row r="97" spans="3:40" ht="13.8" x14ac:dyDescent="0.25">
      <c r="C97" s="168">
        <v>88</v>
      </c>
      <c r="D97" s="184"/>
      <c r="E97" s="185"/>
      <c r="F97" s="171" t="str">
        <f>IF(D97="","",VLOOKUP(D97,'G-7 Rivers Data'!$B$2:$G$8,2,FALSE))</f>
        <v/>
      </c>
      <c r="G97" s="172" t="str">
        <f>IFERROR(VLOOKUP(F97,'G-7 Rivers Data'!$C$4:$D$8,2,FALSE),"")</f>
        <v/>
      </c>
      <c r="H97" s="173"/>
      <c r="I97" s="172" t="str">
        <f>IFERROR(INDEX('G-7 Rivers Data'!$H$4:$L$8,MATCH(D97,'G-7 Rivers Data'!$B$4:$B$8,0),MATCH(H97,'G-7 Rivers Data'!$H$3:$L$3,0)),"")</f>
        <v/>
      </c>
      <c r="J97" s="186"/>
      <c r="K97" s="175" t="str">
        <f>IF(J97="","",IF(VLOOKUP(J97,'G-7 Rivers Data'!$AK$4:$AM$9,2,FALSE)=0,"Spatial Data Missing",VLOOKUP(J97,'G-7 Rivers Data'!$AK$4:$AM$9,2,FALSE)))</f>
        <v/>
      </c>
      <c r="L97" s="176" t="str">
        <f>IF(J97="","",IF(VLOOKUP(J97,'G-7 Rivers Data'!$AK$4:$AM$9,3,FALSE)=0,"Spatial Data Missing",VLOOKUP(J97,'G-7 Rivers Data'!$AK$4:$AM$9,3,FALSE)))</f>
        <v/>
      </c>
      <c r="M97" s="79"/>
      <c r="N97" s="172" t="str">
        <f>IF(M97="","",IF(VLOOKUP(M97,'G-7 Rivers Data'!$AA$4:$AB$7,2,FALSE)=0,"Spatial Data Missing",VLOOKUP(M97,'G-7 Rivers Data'!$AA$4:$AB$7,2,FALSE)))</f>
        <v/>
      </c>
      <c r="O97" s="187"/>
      <c r="P97" s="172" t="str">
        <f>IF(O97="","",IF(VLOOKUP(O97,'G-7 Rivers Data'!$AD$4:$AE$8,2,FALSE)=0,"Spatial Data Missing",VLOOKUP(O97,'G-7 Rivers Data'!$AD$4:$AE$8,2,FALSE)))</f>
        <v/>
      </c>
      <c r="Q97" s="177" t="str">
        <f>IF(D97="","",VLOOKUP(D97,'G-7 Rivers Data'!$B$4:$G$8,6,FALSE))</f>
        <v/>
      </c>
      <c r="R97" s="178" t="str">
        <f t="shared" si="8"/>
        <v/>
      </c>
      <c r="S97" s="44"/>
      <c r="T97" s="173"/>
      <c r="U97" s="189"/>
      <c r="V97" s="208" t="str">
        <f t="shared" si="9"/>
        <v/>
      </c>
      <c r="W97" s="208" t="str">
        <f t="shared" si="10"/>
        <v/>
      </c>
      <c r="X97" s="208" t="str">
        <f t="shared" si="11"/>
        <v/>
      </c>
      <c r="Y97" s="209" t="str">
        <f t="shared" si="12"/>
        <v/>
      </c>
      <c r="Z97" s="182"/>
      <c r="AA97" s="183"/>
      <c r="AF97" s="35" t="str">
        <f>IFERROR(INDEX('G-7 Rivers Data'!$AZ$3:$AZ$7,MATCH(D97,'G-7 Rivers Data'!$AY$3:$AY$7,0)),"")</f>
        <v/>
      </c>
      <c r="AG97" s="35">
        <f t="shared" si="13"/>
        <v>0</v>
      </c>
      <c r="AH97" s="188" t="str">
        <f t="shared" si="14"/>
        <v/>
      </c>
      <c r="AI97" s="188" t="str">
        <f t="shared" si="15"/>
        <v/>
      </c>
      <c r="AK97" s="188">
        <v>88</v>
      </c>
      <c r="AM97" s="188" t="str">
        <f t="array" ref="AM97">IFERROR(INDEX($AK$10:$AK$258, MATCH(0, IF(TRUE=$AH$10:$AH$258, COUNTIF($AM$9:$AM96, $AK$10:$AK$258), ""), 0)),"")</f>
        <v/>
      </c>
      <c r="AN97" s="188" t="str">
        <f t="array" ref="AN97">IFERROR(INDEX($AK$10:$AK$258, MATCH(0, IF(TRUE=$AI$10:$AI$258, COUNTIF($AN$9:$AN96, $AK$10:$AK$258), ""), 0)),"")</f>
        <v/>
      </c>
    </row>
    <row r="98" spans="3:40" ht="13.8" x14ac:dyDescent="0.25">
      <c r="C98" s="168">
        <v>89</v>
      </c>
      <c r="D98" s="184"/>
      <c r="E98" s="185"/>
      <c r="F98" s="171" t="str">
        <f>IF(D98="","",VLOOKUP(D98,'G-7 Rivers Data'!$B$2:$G$8,2,FALSE))</f>
        <v/>
      </c>
      <c r="G98" s="172" t="str">
        <f>IFERROR(VLOOKUP(F98,'G-7 Rivers Data'!$C$4:$D$8,2,FALSE),"")</f>
        <v/>
      </c>
      <c r="H98" s="173"/>
      <c r="I98" s="172" t="str">
        <f>IFERROR(INDEX('G-7 Rivers Data'!$H$4:$L$8,MATCH(D98,'G-7 Rivers Data'!$B$4:$B$8,0),MATCH(H98,'G-7 Rivers Data'!$H$3:$L$3,0)),"")</f>
        <v/>
      </c>
      <c r="J98" s="186"/>
      <c r="K98" s="175" t="str">
        <f>IF(J98="","",IF(VLOOKUP(J98,'G-7 Rivers Data'!$AK$4:$AM$9,2,FALSE)=0,"Spatial Data Missing",VLOOKUP(J98,'G-7 Rivers Data'!$AK$4:$AM$9,2,FALSE)))</f>
        <v/>
      </c>
      <c r="L98" s="176" t="str">
        <f>IF(J98="","",IF(VLOOKUP(J98,'G-7 Rivers Data'!$AK$4:$AM$9,3,FALSE)=0,"Spatial Data Missing",VLOOKUP(J98,'G-7 Rivers Data'!$AK$4:$AM$9,3,FALSE)))</f>
        <v/>
      </c>
      <c r="M98" s="79"/>
      <c r="N98" s="172" t="str">
        <f>IF(M98="","",IF(VLOOKUP(M98,'G-7 Rivers Data'!$AA$4:$AB$7,2,FALSE)=0,"Spatial Data Missing",VLOOKUP(M98,'G-7 Rivers Data'!$AA$4:$AB$7,2,FALSE)))</f>
        <v/>
      </c>
      <c r="O98" s="187"/>
      <c r="P98" s="172" t="str">
        <f>IF(O98="","",IF(VLOOKUP(O98,'G-7 Rivers Data'!$AD$4:$AE$8,2,FALSE)=0,"Spatial Data Missing",VLOOKUP(O98,'G-7 Rivers Data'!$AD$4:$AE$8,2,FALSE)))</f>
        <v/>
      </c>
      <c r="Q98" s="177" t="str">
        <f>IF(D98="","",VLOOKUP(D98,'G-7 Rivers Data'!$B$4:$G$8,6,FALSE))</f>
        <v/>
      </c>
      <c r="R98" s="178" t="str">
        <f t="shared" si="8"/>
        <v/>
      </c>
      <c r="S98" s="44"/>
      <c r="T98" s="173"/>
      <c r="U98" s="189"/>
      <c r="V98" s="208" t="str">
        <f t="shared" si="9"/>
        <v/>
      </c>
      <c r="W98" s="208" t="str">
        <f t="shared" si="10"/>
        <v/>
      </c>
      <c r="X98" s="208" t="str">
        <f t="shared" si="11"/>
        <v/>
      </c>
      <c r="Y98" s="209" t="str">
        <f t="shared" si="12"/>
        <v/>
      </c>
      <c r="Z98" s="182"/>
      <c r="AA98" s="183"/>
      <c r="AF98" s="35" t="str">
        <f>IFERROR(INDEX('G-7 Rivers Data'!$AZ$3:$AZ$7,MATCH(D98,'G-7 Rivers Data'!$AY$3:$AY$7,0)),"")</f>
        <v/>
      </c>
      <c r="AG98" s="35">
        <f t="shared" si="13"/>
        <v>0</v>
      </c>
      <c r="AH98" s="188" t="str">
        <f t="shared" si="14"/>
        <v/>
      </c>
      <c r="AI98" s="188" t="str">
        <f t="shared" si="15"/>
        <v/>
      </c>
      <c r="AK98" s="188">
        <v>89</v>
      </c>
      <c r="AM98" s="188" t="str">
        <f t="array" ref="AM98">IFERROR(INDEX($AK$10:$AK$258, MATCH(0, IF(TRUE=$AH$10:$AH$258, COUNTIF($AM$9:$AM97, $AK$10:$AK$258), ""), 0)),"")</f>
        <v/>
      </c>
      <c r="AN98" s="188" t="str">
        <f t="array" ref="AN98">IFERROR(INDEX($AK$10:$AK$258, MATCH(0, IF(TRUE=$AI$10:$AI$258, COUNTIF($AN$9:$AN97, $AK$10:$AK$258), ""), 0)),"")</f>
        <v/>
      </c>
    </row>
    <row r="99" spans="3:40" ht="13.8" x14ac:dyDescent="0.25">
      <c r="C99" s="168">
        <v>90</v>
      </c>
      <c r="D99" s="184"/>
      <c r="E99" s="185"/>
      <c r="F99" s="171" t="str">
        <f>IF(D99="","",VLOOKUP(D99,'G-7 Rivers Data'!$B$2:$G$8,2,FALSE))</f>
        <v/>
      </c>
      <c r="G99" s="172" t="str">
        <f>IFERROR(VLOOKUP(F99,'G-7 Rivers Data'!$C$4:$D$8,2,FALSE),"")</f>
        <v/>
      </c>
      <c r="H99" s="173"/>
      <c r="I99" s="172" t="str">
        <f>IFERROR(INDEX('G-7 Rivers Data'!$H$4:$L$8,MATCH(D99,'G-7 Rivers Data'!$B$4:$B$8,0),MATCH(H99,'G-7 Rivers Data'!$H$3:$L$3,0)),"")</f>
        <v/>
      </c>
      <c r="J99" s="186"/>
      <c r="K99" s="175" t="str">
        <f>IF(J99="","",IF(VLOOKUP(J99,'G-7 Rivers Data'!$AK$4:$AM$9,2,FALSE)=0,"Spatial Data Missing",VLOOKUP(J99,'G-7 Rivers Data'!$AK$4:$AM$9,2,FALSE)))</f>
        <v/>
      </c>
      <c r="L99" s="176" t="str">
        <f>IF(J99="","",IF(VLOOKUP(J99,'G-7 Rivers Data'!$AK$4:$AM$9,3,FALSE)=0,"Spatial Data Missing",VLOOKUP(J99,'G-7 Rivers Data'!$AK$4:$AM$9,3,FALSE)))</f>
        <v/>
      </c>
      <c r="M99" s="79"/>
      <c r="N99" s="172" t="str">
        <f>IF(M99="","",IF(VLOOKUP(M99,'G-7 Rivers Data'!$AA$4:$AB$7,2,FALSE)=0,"Spatial Data Missing",VLOOKUP(M99,'G-7 Rivers Data'!$AA$4:$AB$7,2,FALSE)))</f>
        <v/>
      </c>
      <c r="O99" s="187"/>
      <c r="P99" s="172" t="str">
        <f>IF(O99="","",IF(VLOOKUP(O99,'G-7 Rivers Data'!$AD$4:$AE$8,2,FALSE)=0,"Spatial Data Missing",VLOOKUP(O99,'G-7 Rivers Data'!$AD$4:$AE$8,2,FALSE)))</f>
        <v/>
      </c>
      <c r="Q99" s="177" t="str">
        <f>IF(D99="","",VLOOKUP(D99,'G-7 Rivers Data'!$B$4:$G$8,6,FALSE))</f>
        <v/>
      </c>
      <c r="R99" s="178" t="str">
        <f t="shared" si="8"/>
        <v/>
      </c>
      <c r="S99" s="44"/>
      <c r="T99" s="173"/>
      <c r="U99" s="189"/>
      <c r="V99" s="208" t="str">
        <f t="shared" si="9"/>
        <v/>
      </c>
      <c r="W99" s="208" t="str">
        <f t="shared" si="10"/>
        <v/>
      </c>
      <c r="X99" s="208" t="str">
        <f t="shared" si="11"/>
        <v/>
      </c>
      <c r="Y99" s="209" t="str">
        <f t="shared" si="12"/>
        <v/>
      </c>
      <c r="Z99" s="182"/>
      <c r="AA99" s="183"/>
      <c r="AF99" s="35" t="str">
        <f>IFERROR(INDEX('G-7 Rivers Data'!$AZ$3:$AZ$7,MATCH(D99,'G-7 Rivers Data'!$AY$3:$AY$7,0)),"")</f>
        <v/>
      </c>
      <c r="AG99" s="35">
        <f t="shared" si="13"/>
        <v>0</v>
      </c>
      <c r="AH99" s="188" t="str">
        <f t="shared" si="14"/>
        <v/>
      </c>
      <c r="AI99" s="188" t="str">
        <f t="shared" si="15"/>
        <v/>
      </c>
      <c r="AK99" s="188">
        <v>90</v>
      </c>
      <c r="AM99" s="188" t="str">
        <f t="array" ref="AM99">IFERROR(INDEX($AK$10:$AK$258, MATCH(0, IF(TRUE=$AH$10:$AH$258, COUNTIF($AM$9:$AM98, $AK$10:$AK$258), ""), 0)),"")</f>
        <v/>
      </c>
      <c r="AN99" s="188" t="str">
        <f t="array" ref="AN99">IFERROR(INDEX($AK$10:$AK$258, MATCH(0, IF(TRUE=$AI$10:$AI$258, COUNTIF($AN$9:$AN98, $AK$10:$AK$258), ""), 0)),"")</f>
        <v/>
      </c>
    </row>
    <row r="100" spans="3:40" ht="13.8" x14ac:dyDescent="0.25">
      <c r="C100" s="168">
        <v>91</v>
      </c>
      <c r="D100" s="184"/>
      <c r="E100" s="185"/>
      <c r="F100" s="171" t="str">
        <f>IF(D100="","",VLOOKUP(D100,'G-7 Rivers Data'!$B$2:$G$8,2,FALSE))</f>
        <v/>
      </c>
      <c r="G100" s="172" t="str">
        <f>IFERROR(VLOOKUP(F100,'G-7 Rivers Data'!$C$4:$D$8,2,FALSE),"")</f>
        <v/>
      </c>
      <c r="H100" s="173"/>
      <c r="I100" s="172" t="str">
        <f>IFERROR(INDEX('G-7 Rivers Data'!$H$4:$L$8,MATCH(D100,'G-7 Rivers Data'!$B$4:$B$8,0),MATCH(H100,'G-7 Rivers Data'!$H$3:$L$3,0)),"")</f>
        <v/>
      </c>
      <c r="J100" s="186"/>
      <c r="K100" s="175" t="str">
        <f>IF(J100="","",IF(VLOOKUP(J100,'G-7 Rivers Data'!$AK$4:$AM$9,2,FALSE)=0,"Spatial Data Missing",VLOOKUP(J100,'G-7 Rivers Data'!$AK$4:$AM$9,2,FALSE)))</f>
        <v/>
      </c>
      <c r="L100" s="176" t="str">
        <f>IF(J100="","",IF(VLOOKUP(J100,'G-7 Rivers Data'!$AK$4:$AM$9,3,FALSE)=0,"Spatial Data Missing",VLOOKUP(J100,'G-7 Rivers Data'!$AK$4:$AM$9,3,FALSE)))</f>
        <v/>
      </c>
      <c r="M100" s="79"/>
      <c r="N100" s="172" t="str">
        <f>IF(M100="","",IF(VLOOKUP(M100,'G-7 Rivers Data'!$AA$4:$AB$7,2,FALSE)=0,"Spatial Data Missing",VLOOKUP(M100,'G-7 Rivers Data'!$AA$4:$AB$7,2,FALSE)))</f>
        <v/>
      </c>
      <c r="O100" s="187"/>
      <c r="P100" s="172" t="str">
        <f>IF(O100="","",IF(VLOOKUP(O100,'G-7 Rivers Data'!$AD$4:$AE$8,2,FALSE)=0,"Spatial Data Missing",VLOOKUP(O100,'G-7 Rivers Data'!$AD$4:$AE$8,2,FALSE)))</f>
        <v/>
      </c>
      <c r="Q100" s="177" t="str">
        <f>IF(D100="","",VLOOKUP(D100,'G-7 Rivers Data'!$B$4:$G$8,6,FALSE))</f>
        <v/>
      </c>
      <c r="R100" s="178" t="str">
        <f t="shared" si="8"/>
        <v/>
      </c>
      <c r="S100" s="44"/>
      <c r="T100" s="173"/>
      <c r="U100" s="189"/>
      <c r="V100" s="208" t="str">
        <f t="shared" si="9"/>
        <v/>
      </c>
      <c r="W100" s="208" t="str">
        <f t="shared" si="10"/>
        <v/>
      </c>
      <c r="X100" s="208" t="str">
        <f t="shared" si="11"/>
        <v/>
      </c>
      <c r="Y100" s="209" t="str">
        <f t="shared" si="12"/>
        <v/>
      </c>
      <c r="Z100" s="182"/>
      <c r="AA100" s="183"/>
      <c r="AF100" s="35" t="str">
        <f>IFERROR(INDEX('G-7 Rivers Data'!$AZ$3:$AZ$7,MATCH(D100,'G-7 Rivers Data'!$AY$3:$AY$7,0)),"")</f>
        <v/>
      </c>
      <c r="AG100" s="35">
        <f t="shared" si="13"/>
        <v>0</v>
      </c>
      <c r="AH100" s="188" t="str">
        <f t="shared" si="14"/>
        <v/>
      </c>
      <c r="AI100" s="188" t="str">
        <f t="shared" si="15"/>
        <v/>
      </c>
      <c r="AK100" s="188">
        <v>91</v>
      </c>
      <c r="AM100" s="188" t="str">
        <f t="array" ref="AM100">IFERROR(INDEX($AK$10:$AK$258, MATCH(0, IF(TRUE=$AH$10:$AH$258, COUNTIF($AM$9:$AM99, $AK$10:$AK$258), ""), 0)),"")</f>
        <v/>
      </c>
      <c r="AN100" s="188" t="str">
        <f t="array" ref="AN100">IFERROR(INDEX($AK$10:$AK$258, MATCH(0, IF(TRUE=$AI$10:$AI$258, COUNTIF($AN$9:$AN99, $AK$10:$AK$258), ""), 0)),"")</f>
        <v/>
      </c>
    </row>
    <row r="101" spans="3:40" ht="13.8" x14ac:dyDescent="0.25">
      <c r="C101" s="168">
        <v>92</v>
      </c>
      <c r="D101" s="184"/>
      <c r="E101" s="185"/>
      <c r="F101" s="171" t="str">
        <f>IF(D101="","",VLOOKUP(D101,'G-7 Rivers Data'!$B$2:$G$8,2,FALSE))</f>
        <v/>
      </c>
      <c r="G101" s="172" t="str">
        <f>IFERROR(VLOOKUP(F101,'G-7 Rivers Data'!$C$4:$D$8,2,FALSE),"")</f>
        <v/>
      </c>
      <c r="H101" s="173"/>
      <c r="I101" s="172" t="str">
        <f>IFERROR(INDEX('G-7 Rivers Data'!$H$4:$L$8,MATCH(D101,'G-7 Rivers Data'!$B$4:$B$8,0),MATCH(H101,'G-7 Rivers Data'!$H$3:$L$3,0)),"")</f>
        <v/>
      </c>
      <c r="J101" s="186"/>
      <c r="K101" s="175" t="str">
        <f>IF(J101="","",IF(VLOOKUP(J101,'G-7 Rivers Data'!$AK$4:$AM$9,2,FALSE)=0,"Spatial Data Missing",VLOOKUP(J101,'G-7 Rivers Data'!$AK$4:$AM$9,2,FALSE)))</f>
        <v/>
      </c>
      <c r="L101" s="176" t="str">
        <f>IF(J101="","",IF(VLOOKUP(J101,'G-7 Rivers Data'!$AK$4:$AM$9,3,FALSE)=0,"Spatial Data Missing",VLOOKUP(J101,'G-7 Rivers Data'!$AK$4:$AM$9,3,FALSE)))</f>
        <v/>
      </c>
      <c r="M101" s="79"/>
      <c r="N101" s="172" t="str">
        <f>IF(M101="","",IF(VLOOKUP(M101,'G-7 Rivers Data'!$AA$4:$AB$7,2,FALSE)=0,"Spatial Data Missing",VLOOKUP(M101,'G-7 Rivers Data'!$AA$4:$AB$7,2,FALSE)))</f>
        <v/>
      </c>
      <c r="O101" s="187"/>
      <c r="P101" s="172" t="str">
        <f>IF(O101="","",IF(VLOOKUP(O101,'G-7 Rivers Data'!$AD$4:$AE$8,2,FALSE)=0,"Spatial Data Missing",VLOOKUP(O101,'G-7 Rivers Data'!$AD$4:$AE$8,2,FALSE)))</f>
        <v/>
      </c>
      <c r="Q101" s="177" t="str">
        <f>IF(D101="","",VLOOKUP(D101,'G-7 Rivers Data'!$B$4:$G$8,6,FALSE))</f>
        <v/>
      </c>
      <c r="R101" s="178" t="str">
        <f t="shared" si="8"/>
        <v/>
      </c>
      <c r="S101" s="44"/>
      <c r="T101" s="173"/>
      <c r="U101" s="189"/>
      <c r="V101" s="208" t="str">
        <f t="shared" si="9"/>
        <v/>
      </c>
      <c r="W101" s="208" t="str">
        <f t="shared" si="10"/>
        <v/>
      </c>
      <c r="X101" s="208" t="str">
        <f t="shared" si="11"/>
        <v/>
      </c>
      <c r="Y101" s="209" t="str">
        <f t="shared" si="12"/>
        <v/>
      </c>
      <c r="Z101" s="182"/>
      <c r="AA101" s="183"/>
      <c r="AF101" s="35" t="str">
        <f>IFERROR(INDEX('G-7 Rivers Data'!$AZ$3:$AZ$7,MATCH(D101,'G-7 Rivers Data'!$AY$3:$AY$7,0)),"")</f>
        <v/>
      </c>
      <c r="AG101" s="35">
        <f t="shared" si="13"/>
        <v>0</v>
      </c>
      <c r="AH101" s="188" t="str">
        <f t="shared" si="14"/>
        <v/>
      </c>
      <c r="AI101" s="188" t="str">
        <f t="shared" si="15"/>
        <v/>
      </c>
      <c r="AK101" s="188">
        <v>92</v>
      </c>
      <c r="AM101" s="188" t="str">
        <f t="array" ref="AM101">IFERROR(INDEX($AK$10:$AK$258, MATCH(0, IF(TRUE=$AH$10:$AH$258, COUNTIF($AM$9:$AM100, $AK$10:$AK$258), ""), 0)),"")</f>
        <v/>
      </c>
      <c r="AN101" s="188" t="str">
        <f t="array" ref="AN101">IFERROR(INDEX($AK$10:$AK$258, MATCH(0, IF(TRUE=$AI$10:$AI$258, COUNTIF($AN$9:$AN100, $AK$10:$AK$258), ""), 0)),"")</f>
        <v/>
      </c>
    </row>
    <row r="102" spans="3:40" ht="13.8" x14ac:dyDescent="0.25">
      <c r="C102" s="168">
        <v>93</v>
      </c>
      <c r="D102" s="184"/>
      <c r="E102" s="185"/>
      <c r="F102" s="171" t="str">
        <f>IF(D102="","",VLOOKUP(D102,'G-7 Rivers Data'!$B$2:$G$8,2,FALSE))</f>
        <v/>
      </c>
      <c r="G102" s="172" t="str">
        <f>IFERROR(VLOOKUP(F102,'G-7 Rivers Data'!$C$4:$D$8,2,FALSE),"")</f>
        <v/>
      </c>
      <c r="H102" s="173"/>
      <c r="I102" s="172" t="str">
        <f>IFERROR(INDEX('G-7 Rivers Data'!$H$4:$L$8,MATCH(D102,'G-7 Rivers Data'!$B$4:$B$8,0),MATCH(H102,'G-7 Rivers Data'!$H$3:$L$3,0)),"")</f>
        <v/>
      </c>
      <c r="J102" s="186"/>
      <c r="K102" s="175" t="str">
        <f>IF(J102="","",IF(VLOOKUP(J102,'G-7 Rivers Data'!$AK$4:$AM$9,2,FALSE)=0,"Spatial Data Missing",VLOOKUP(J102,'G-7 Rivers Data'!$AK$4:$AM$9,2,FALSE)))</f>
        <v/>
      </c>
      <c r="L102" s="176" t="str">
        <f>IF(J102="","",IF(VLOOKUP(J102,'G-7 Rivers Data'!$AK$4:$AM$9,3,FALSE)=0,"Spatial Data Missing",VLOOKUP(J102,'G-7 Rivers Data'!$AK$4:$AM$9,3,FALSE)))</f>
        <v/>
      </c>
      <c r="M102" s="79"/>
      <c r="N102" s="172" t="str">
        <f>IF(M102="","",IF(VLOOKUP(M102,'G-7 Rivers Data'!$AA$4:$AB$7,2,FALSE)=0,"Spatial Data Missing",VLOOKUP(M102,'G-7 Rivers Data'!$AA$4:$AB$7,2,FALSE)))</f>
        <v/>
      </c>
      <c r="O102" s="187"/>
      <c r="P102" s="172" t="str">
        <f>IF(O102="","",IF(VLOOKUP(O102,'G-7 Rivers Data'!$AD$4:$AE$8,2,FALSE)=0,"Spatial Data Missing",VLOOKUP(O102,'G-7 Rivers Data'!$AD$4:$AE$8,2,FALSE)))</f>
        <v/>
      </c>
      <c r="Q102" s="177" t="str">
        <f>IF(D102="","",VLOOKUP(D102,'G-7 Rivers Data'!$B$4:$G$8,6,FALSE))</f>
        <v/>
      </c>
      <c r="R102" s="178" t="str">
        <f t="shared" si="8"/>
        <v/>
      </c>
      <c r="S102" s="44"/>
      <c r="T102" s="173"/>
      <c r="U102" s="189"/>
      <c r="V102" s="208" t="str">
        <f t="shared" si="9"/>
        <v/>
      </c>
      <c r="W102" s="208" t="str">
        <f t="shared" si="10"/>
        <v/>
      </c>
      <c r="X102" s="208" t="str">
        <f t="shared" si="11"/>
        <v/>
      </c>
      <c r="Y102" s="209" t="str">
        <f t="shared" si="12"/>
        <v/>
      </c>
      <c r="Z102" s="182"/>
      <c r="AA102" s="183"/>
      <c r="AF102" s="35" t="str">
        <f>IFERROR(INDEX('G-7 Rivers Data'!$AZ$3:$AZ$7,MATCH(D102,'G-7 Rivers Data'!$AY$3:$AY$7,0)),"")</f>
        <v/>
      </c>
      <c r="AG102" s="35">
        <f t="shared" si="13"/>
        <v>0</v>
      </c>
      <c r="AH102" s="188" t="str">
        <f t="shared" si="14"/>
        <v/>
      </c>
      <c r="AI102" s="188" t="str">
        <f t="shared" si="15"/>
        <v/>
      </c>
      <c r="AK102" s="188">
        <v>93</v>
      </c>
      <c r="AM102" s="188" t="str">
        <f t="array" ref="AM102">IFERROR(INDEX($AK$10:$AK$258, MATCH(0, IF(TRUE=$AH$10:$AH$258, COUNTIF($AM$9:$AM101, $AK$10:$AK$258), ""), 0)),"")</f>
        <v/>
      </c>
      <c r="AN102" s="188" t="str">
        <f t="array" ref="AN102">IFERROR(INDEX($AK$10:$AK$258, MATCH(0, IF(TRUE=$AI$10:$AI$258, COUNTIF($AN$9:$AN101, $AK$10:$AK$258), ""), 0)),"")</f>
        <v/>
      </c>
    </row>
    <row r="103" spans="3:40" ht="13.8" x14ac:dyDescent="0.25">
      <c r="C103" s="168">
        <v>94</v>
      </c>
      <c r="D103" s="184"/>
      <c r="E103" s="185"/>
      <c r="F103" s="171" t="str">
        <f>IF(D103="","",VLOOKUP(D103,'G-7 Rivers Data'!$B$2:$G$8,2,FALSE))</f>
        <v/>
      </c>
      <c r="G103" s="172" t="str">
        <f>IFERROR(VLOOKUP(F103,'G-7 Rivers Data'!$C$4:$D$8,2,FALSE),"")</f>
        <v/>
      </c>
      <c r="H103" s="173"/>
      <c r="I103" s="172" t="str">
        <f>IFERROR(INDEX('G-7 Rivers Data'!$H$4:$L$8,MATCH(D103,'G-7 Rivers Data'!$B$4:$B$8,0),MATCH(H103,'G-7 Rivers Data'!$H$3:$L$3,0)),"")</f>
        <v/>
      </c>
      <c r="J103" s="186"/>
      <c r="K103" s="175" t="str">
        <f>IF(J103="","",IF(VLOOKUP(J103,'G-7 Rivers Data'!$AK$4:$AM$9,2,FALSE)=0,"Spatial Data Missing",VLOOKUP(J103,'G-7 Rivers Data'!$AK$4:$AM$9,2,FALSE)))</f>
        <v/>
      </c>
      <c r="L103" s="176" t="str">
        <f>IF(J103="","",IF(VLOOKUP(J103,'G-7 Rivers Data'!$AK$4:$AM$9,3,FALSE)=0,"Spatial Data Missing",VLOOKUP(J103,'G-7 Rivers Data'!$AK$4:$AM$9,3,FALSE)))</f>
        <v/>
      </c>
      <c r="M103" s="79"/>
      <c r="N103" s="172" t="str">
        <f>IF(M103="","",IF(VLOOKUP(M103,'G-7 Rivers Data'!$AA$4:$AB$7,2,FALSE)=0,"Spatial Data Missing",VLOOKUP(M103,'G-7 Rivers Data'!$AA$4:$AB$7,2,FALSE)))</f>
        <v/>
      </c>
      <c r="O103" s="187"/>
      <c r="P103" s="172" t="str">
        <f>IF(O103="","",IF(VLOOKUP(O103,'G-7 Rivers Data'!$AD$4:$AE$8,2,FALSE)=0,"Spatial Data Missing",VLOOKUP(O103,'G-7 Rivers Data'!$AD$4:$AE$8,2,FALSE)))</f>
        <v/>
      </c>
      <c r="Q103" s="177" t="str">
        <f>IF(D103="","",VLOOKUP(D103,'G-7 Rivers Data'!$B$4:$G$8,6,FALSE))</f>
        <v/>
      </c>
      <c r="R103" s="178" t="str">
        <f t="shared" si="8"/>
        <v/>
      </c>
      <c r="S103" s="44"/>
      <c r="T103" s="173"/>
      <c r="U103" s="189"/>
      <c r="V103" s="208" t="str">
        <f t="shared" si="9"/>
        <v/>
      </c>
      <c r="W103" s="208" t="str">
        <f t="shared" si="10"/>
        <v/>
      </c>
      <c r="X103" s="208" t="str">
        <f t="shared" si="11"/>
        <v/>
      </c>
      <c r="Y103" s="209" t="str">
        <f t="shared" si="12"/>
        <v/>
      </c>
      <c r="Z103" s="182"/>
      <c r="AA103" s="183"/>
      <c r="AF103" s="35" t="str">
        <f>IFERROR(INDEX('G-7 Rivers Data'!$AZ$3:$AZ$7,MATCH(D103,'G-7 Rivers Data'!$AY$3:$AY$7,0)),"")</f>
        <v/>
      </c>
      <c r="AG103" s="35">
        <f t="shared" si="13"/>
        <v>0</v>
      </c>
      <c r="AH103" s="188" t="str">
        <f t="shared" si="14"/>
        <v/>
      </c>
      <c r="AI103" s="188" t="str">
        <f t="shared" si="15"/>
        <v/>
      </c>
      <c r="AK103" s="188">
        <v>94</v>
      </c>
      <c r="AM103" s="188" t="str">
        <f t="array" ref="AM103">IFERROR(INDEX($AK$10:$AK$258, MATCH(0, IF(TRUE=$AH$10:$AH$258, COUNTIF($AM$9:$AM102, $AK$10:$AK$258), ""), 0)),"")</f>
        <v/>
      </c>
      <c r="AN103" s="188" t="str">
        <f t="array" ref="AN103">IFERROR(INDEX($AK$10:$AK$258, MATCH(0, IF(TRUE=$AI$10:$AI$258, COUNTIF($AN$9:$AN102, $AK$10:$AK$258), ""), 0)),"")</f>
        <v/>
      </c>
    </row>
    <row r="104" spans="3:40" ht="13.8" x14ac:dyDescent="0.25">
      <c r="C104" s="168">
        <v>95</v>
      </c>
      <c r="D104" s="184"/>
      <c r="E104" s="185"/>
      <c r="F104" s="171" t="str">
        <f>IF(D104="","",VLOOKUP(D104,'G-7 Rivers Data'!$B$2:$G$8,2,FALSE))</f>
        <v/>
      </c>
      <c r="G104" s="172" t="str">
        <f>IFERROR(VLOOKUP(F104,'G-7 Rivers Data'!$C$4:$D$8,2,FALSE),"")</f>
        <v/>
      </c>
      <c r="H104" s="173"/>
      <c r="I104" s="172" t="str">
        <f>IFERROR(INDEX('G-7 Rivers Data'!$H$4:$L$8,MATCH(D104,'G-7 Rivers Data'!$B$4:$B$8,0),MATCH(H104,'G-7 Rivers Data'!$H$3:$L$3,0)),"")</f>
        <v/>
      </c>
      <c r="J104" s="186"/>
      <c r="K104" s="175" t="str">
        <f>IF(J104="","",IF(VLOOKUP(J104,'G-7 Rivers Data'!$AK$4:$AM$9,2,FALSE)=0,"Spatial Data Missing",VLOOKUP(J104,'G-7 Rivers Data'!$AK$4:$AM$9,2,FALSE)))</f>
        <v/>
      </c>
      <c r="L104" s="176" t="str">
        <f>IF(J104="","",IF(VLOOKUP(J104,'G-7 Rivers Data'!$AK$4:$AM$9,3,FALSE)=0,"Spatial Data Missing",VLOOKUP(J104,'G-7 Rivers Data'!$AK$4:$AM$9,3,FALSE)))</f>
        <v/>
      </c>
      <c r="M104" s="79"/>
      <c r="N104" s="172" t="str">
        <f>IF(M104="","",IF(VLOOKUP(M104,'G-7 Rivers Data'!$AA$4:$AB$7,2,FALSE)=0,"Spatial Data Missing",VLOOKUP(M104,'G-7 Rivers Data'!$AA$4:$AB$7,2,FALSE)))</f>
        <v/>
      </c>
      <c r="O104" s="187"/>
      <c r="P104" s="172" t="str">
        <f>IF(O104="","",IF(VLOOKUP(O104,'G-7 Rivers Data'!$AD$4:$AE$8,2,FALSE)=0,"Spatial Data Missing",VLOOKUP(O104,'G-7 Rivers Data'!$AD$4:$AE$8,2,FALSE)))</f>
        <v/>
      </c>
      <c r="Q104" s="177" t="str">
        <f>IF(D104="","",VLOOKUP(D104,'G-7 Rivers Data'!$B$4:$G$8,6,FALSE))</f>
        <v/>
      </c>
      <c r="R104" s="178" t="str">
        <f t="shared" si="8"/>
        <v/>
      </c>
      <c r="S104" s="44"/>
      <c r="T104" s="173"/>
      <c r="U104" s="189"/>
      <c r="V104" s="208" t="str">
        <f t="shared" si="9"/>
        <v/>
      </c>
      <c r="W104" s="208" t="str">
        <f t="shared" si="10"/>
        <v/>
      </c>
      <c r="X104" s="208" t="str">
        <f t="shared" si="11"/>
        <v/>
      </c>
      <c r="Y104" s="209" t="str">
        <f t="shared" si="12"/>
        <v/>
      </c>
      <c r="Z104" s="182"/>
      <c r="AA104" s="183"/>
      <c r="AF104" s="35" t="str">
        <f>IFERROR(INDEX('G-7 Rivers Data'!$AZ$3:$AZ$7,MATCH(D104,'G-7 Rivers Data'!$AY$3:$AY$7,0)),"")</f>
        <v/>
      </c>
      <c r="AG104" s="35">
        <f t="shared" si="13"/>
        <v>0</v>
      </c>
      <c r="AH104" s="188" t="str">
        <f t="shared" si="14"/>
        <v/>
      </c>
      <c r="AI104" s="188" t="str">
        <f t="shared" si="15"/>
        <v/>
      </c>
      <c r="AK104" s="188">
        <v>95</v>
      </c>
      <c r="AM104" s="188" t="str">
        <f t="array" ref="AM104">IFERROR(INDEX($AK$10:$AK$258, MATCH(0, IF(TRUE=$AH$10:$AH$258, COUNTIF($AM$9:$AM103, $AK$10:$AK$258), ""), 0)),"")</f>
        <v/>
      </c>
      <c r="AN104" s="188" t="str">
        <f t="array" ref="AN104">IFERROR(INDEX($AK$10:$AK$258, MATCH(0, IF(TRUE=$AI$10:$AI$258, COUNTIF($AN$9:$AN103, $AK$10:$AK$258), ""), 0)),"")</f>
        <v/>
      </c>
    </row>
    <row r="105" spans="3:40" ht="13.8" x14ac:dyDescent="0.25">
      <c r="C105" s="168">
        <v>96</v>
      </c>
      <c r="D105" s="184"/>
      <c r="E105" s="185"/>
      <c r="F105" s="171" t="str">
        <f>IF(D105="","",VLOOKUP(D105,'G-7 Rivers Data'!$B$2:$G$8,2,FALSE))</f>
        <v/>
      </c>
      <c r="G105" s="172" t="str">
        <f>IFERROR(VLOOKUP(F105,'G-7 Rivers Data'!$C$4:$D$8,2,FALSE),"")</f>
        <v/>
      </c>
      <c r="H105" s="173"/>
      <c r="I105" s="172" t="str">
        <f>IFERROR(INDEX('G-7 Rivers Data'!$H$4:$L$8,MATCH(D105,'G-7 Rivers Data'!$B$4:$B$8,0),MATCH(H105,'G-7 Rivers Data'!$H$3:$L$3,0)),"")</f>
        <v/>
      </c>
      <c r="J105" s="186"/>
      <c r="K105" s="175" t="str">
        <f>IF(J105="","",IF(VLOOKUP(J105,'G-7 Rivers Data'!$AK$4:$AM$9,2,FALSE)=0,"Spatial Data Missing",VLOOKUP(J105,'G-7 Rivers Data'!$AK$4:$AM$9,2,FALSE)))</f>
        <v/>
      </c>
      <c r="L105" s="176" t="str">
        <f>IF(J105="","",IF(VLOOKUP(J105,'G-7 Rivers Data'!$AK$4:$AM$9,3,FALSE)=0,"Spatial Data Missing",VLOOKUP(J105,'G-7 Rivers Data'!$AK$4:$AM$9,3,FALSE)))</f>
        <v/>
      </c>
      <c r="M105" s="79"/>
      <c r="N105" s="172" t="str">
        <f>IF(M105="","",IF(VLOOKUP(M105,'G-7 Rivers Data'!$AA$4:$AB$7,2,FALSE)=0,"Spatial Data Missing",VLOOKUP(M105,'G-7 Rivers Data'!$AA$4:$AB$7,2,FALSE)))</f>
        <v/>
      </c>
      <c r="O105" s="187"/>
      <c r="P105" s="172" t="str">
        <f>IF(O105="","",IF(VLOOKUP(O105,'G-7 Rivers Data'!$AD$4:$AE$8,2,FALSE)=0,"Spatial Data Missing",VLOOKUP(O105,'G-7 Rivers Data'!$AD$4:$AE$8,2,FALSE)))</f>
        <v/>
      </c>
      <c r="Q105" s="177" t="str">
        <f>IF(D105="","",VLOOKUP(D105,'G-7 Rivers Data'!$B$4:$G$8,6,FALSE))</f>
        <v/>
      </c>
      <c r="R105" s="178" t="str">
        <f t="shared" si="8"/>
        <v/>
      </c>
      <c r="S105" s="44"/>
      <c r="T105" s="173"/>
      <c r="U105" s="189"/>
      <c r="V105" s="208" t="str">
        <f t="shared" si="9"/>
        <v/>
      </c>
      <c r="W105" s="208" t="str">
        <f t="shared" si="10"/>
        <v/>
      </c>
      <c r="X105" s="208" t="str">
        <f t="shared" si="11"/>
        <v/>
      </c>
      <c r="Y105" s="209" t="str">
        <f t="shared" si="12"/>
        <v/>
      </c>
      <c r="Z105" s="182"/>
      <c r="AA105" s="183"/>
      <c r="AF105" s="35" t="str">
        <f>IFERROR(INDEX('G-7 Rivers Data'!$AZ$3:$AZ$7,MATCH(D105,'G-7 Rivers Data'!$AY$3:$AY$7,0)),"")</f>
        <v/>
      </c>
      <c r="AG105" s="35">
        <f t="shared" si="13"/>
        <v>0</v>
      </c>
      <c r="AH105" s="188" t="str">
        <f t="shared" si="14"/>
        <v/>
      </c>
      <c r="AI105" s="188" t="str">
        <f t="shared" si="15"/>
        <v/>
      </c>
      <c r="AK105" s="188">
        <v>96</v>
      </c>
      <c r="AM105" s="188" t="str">
        <f t="array" ref="AM105">IFERROR(INDEX($AK$10:$AK$258, MATCH(0, IF(TRUE=$AH$10:$AH$258, COUNTIF($AM$9:$AM104, $AK$10:$AK$258), ""), 0)),"")</f>
        <v/>
      </c>
      <c r="AN105" s="188" t="str">
        <f t="array" ref="AN105">IFERROR(INDEX($AK$10:$AK$258, MATCH(0, IF(TRUE=$AI$10:$AI$258, COUNTIF($AN$9:$AN104, $AK$10:$AK$258), ""), 0)),"")</f>
        <v/>
      </c>
    </row>
    <row r="106" spans="3:40" ht="13.8" x14ac:dyDescent="0.25">
      <c r="C106" s="168">
        <v>97</v>
      </c>
      <c r="D106" s="184"/>
      <c r="E106" s="185"/>
      <c r="F106" s="171" t="str">
        <f>IF(D106="","",VLOOKUP(D106,'G-7 Rivers Data'!$B$2:$G$8,2,FALSE))</f>
        <v/>
      </c>
      <c r="G106" s="172" t="str">
        <f>IFERROR(VLOOKUP(F106,'G-7 Rivers Data'!$C$4:$D$8,2,FALSE),"")</f>
        <v/>
      </c>
      <c r="H106" s="173"/>
      <c r="I106" s="172" t="str">
        <f>IFERROR(INDEX('G-7 Rivers Data'!$H$4:$L$8,MATCH(D106,'G-7 Rivers Data'!$B$4:$B$8,0),MATCH(H106,'G-7 Rivers Data'!$H$3:$L$3,0)),"")</f>
        <v/>
      </c>
      <c r="J106" s="186"/>
      <c r="K106" s="175" t="str">
        <f>IF(J106="","",IF(VLOOKUP(J106,'G-7 Rivers Data'!$AK$4:$AM$9,2,FALSE)=0,"Spatial Data Missing",VLOOKUP(J106,'G-7 Rivers Data'!$AK$4:$AM$9,2,FALSE)))</f>
        <v/>
      </c>
      <c r="L106" s="176" t="str">
        <f>IF(J106="","",IF(VLOOKUP(J106,'G-7 Rivers Data'!$AK$4:$AM$9,3,FALSE)=0,"Spatial Data Missing",VLOOKUP(J106,'G-7 Rivers Data'!$AK$4:$AM$9,3,FALSE)))</f>
        <v/>
      </c>
      <c r="M106" s="79"/>
      <c r="N106" s="172" t="str">
        <f>IF(M106="","",IF(VLOOKUP(M106,'G-7 Rivers Data'!$AA$4:$AB$7,2,FALSE)=0,"Spatial Data Missing",VLOOKUP(M106,'G-7 Rivers Data'!$AA$4:$AB$7,2,FALSE)))</f>
        <v/>
      </c>
      <c r="O106" s="187"/>
      <c r="P106" s="172" t="str">
        <f>IF(O106="","",IF(VLOOKUP(O106,'G-7 Rivers Data'!$AD$4:$AE$8,2,FALSE)=0,"Spatial Data Missing",VLOOKUP(O106,'G-7 Rivers Data'!$AD$4:$AE$8,2,FALSE)))</f>
        <v/>
      </c>
      <c r="Q106" s="177" t="str">
        <f>IF(D106="","",VLOOKUP(D106,'G-7 Rivers Data'!$B$4:$G$8,6,FALSE))</f>
        <v/>
      </c>
      <c r="R106" s="178" t="str">
        <f t="shared" si="8"/>
        <v/>
      </c>
      <c r="S106" s="44"/>
      <c r="T106" s="173"/>
      <c r="U106" s="189"/>
      <c r="V106" s="208" t="str">
        <f t="shared" si="9"/>
        <v/>
      </c>
      <c r="W106" s="208" t="str">
        <f t="shared" si="10"/>
        <v/>
      </c>
      <c r="X106" s="208" t="str">
        <f t="shared" si="11"/>
        <v/>
      </c>
      <c r="Y106" s="209" t="str">
        <f t="shared" si="12"/>
        <v/>
      </c>
      <c r="Z106" s="182"/>
      <c r="AA106" s="183"/>
      <c r="AF106" s="35" t="str">
        <f>IFERROR(INDEX('G-7 Rivers Data'!$AZ$3:$AZ$7,MATCH(D106,'G-7 Rivers Data'!$AY$3:$AY$7,0)),"")</f>
        <v/>
      </c>
      <c r="AG106" s="35">
        <f t="shared" si="13"/>
        <v>0</v>
      </c>
      <c r="AH106" s="188" t="str">
        <f t="shared" si="14"/>
        <v/>
      </c>
      <c r="AI106" s="188" t="str">
        <f t="shared" si="15"/>
        <v/>
      </c>
      <c r="AK106" s="188">
        <v>97</v>
      </c>
      <c r="AM106" s="188" t="str">
        <f t="array" ref="AM106">IFERROR(INDEX($AK$10:$AK$258, MATCH(0, IF(TRUE=$AH$10:$AH$258, COUNTIF($AM$9:$AM105, $AK$10:$AK$258), ""), 0)),"")</f>
        <v/>
      </c>
      <c r="AN106" s="188" t="str">
        <f t="array" ref="AN106">IFERROR(INDEX($AK$10:$AK$258, MATCH(0, IF(TRUE=$AI$10:$AI$258, COUNTIF($AN$9:$AN105, $AK$10:$AK$258), ""), 0)),"")</f>
        <v/>
      </c>
    </row>
    <row r="107" spans="3:40" ht="13.8" x14ac:dyDescent="0.25">
      <c r="C107" s="168">
        <v>98</v>
      </c>
      <c r="D107" s="184"/>
      <c r="E107" s="185"/>
      <c r="F107" s="171" t="str">
        <f>IF(D107="","",VLOOKUP(D107,'G-7 Rivers Data'!$B$2:$G$8,2,FALSE))</f>
        <v/>
      </c>
      <c r="G107" s="172" t="str">
        <f>IFERROR(VLOOKUP(F107,'G-7 Rivers Data'!$C$4:$D$8,2,FALSE),"")</f>
        <v/>
      </c>
      <c r="H107" s="173"/>
      <c r="I107" s="172" t="str">
        <f>IFERROR(INDEX('G-7 Rivers Data'!$H$4:$L$8,MATCH(D107,'G-7 Rivers Data'!$B$4:$B$8,0),MATCH(H107,'G-7 Rivers Data'!$H$3:$L$3,0)),"")</f>
        <v/>
      </c>
      <c r="J107" s="186"/>
      <c r="K107" s="175" t="str">
        <f>IF(J107="","",IF(VLOOKUP(J107,'G-7 Rivers Data'!$AK$4:$AM$9,2,FALSE)=0,"Spatial Data Missing",VLOOKUP(J107,'G-7 Rivers Data'!$AK$4:$AM$9,2,FALSE)))</f>
        <v/>
      </c>
      <c r="L107" s="176" t="str">
        <f>IF(J107="","",IF(VLOOKUP(J107,'G-7 Rivers Data'!$AK$4:$AM$9,3,FALSE)=0,"Spatial Data Missing",VLOOKUP(J107,'G-7 Rivers Data'!$AK$4:$AM$9,3,FALSE)))</f>
        <v/>
      </c>
      <c r="M107" s="79"/>
      <c r="N107" s="172" t="str">
        <f>IF(M107="","",IF(VLOOKUP(M107,'G-7 Rivers Data'!$AA$4:$AB$7,2,FALSE)=0,"Spatial Data Missing",VLOOKUP(M107,'G-7 Rivers Data'!$AA$4:$AB$7,2,FALSE)))</f>
        <v/>
      </c>
      <c r="O107" s="187"/>
      <c r="P107" s="172" t="str">
        <f>IF(O107="","",IF(VLOOKUP(O107,'G-7 Rivers Data'!$AD$4:$AE$8,2,FALSE)=0,"Spatial Data Missing",VLOOKUP(O107,'G-7 Rivers Data'!$AD$4:$AE$8,2,FALSE)))</f>
        <v/>
      </c>
      <c r="Q107" s="177" t="str">
        <f>IF(D107="","",VLOOKUP(D107,'G-7 Rivers Data'!$B$4:$G$8,6,FALSE))</f>
        <v/>
      </c>
      <c r="R107" s="178" t="str">
        <f t="shared" si="8"/>
        <v/>
      </c>
      <c r="S107" s="44"/>
      <c r="T107" s="173"/>
      <c r="U107" s="189"/>
      <c r="V107" s="208" t="str">
        <f t="shared" si="9"/>
        <v/>
      </c>
      <c r="W107" s="208" t="str">
        <f t="shared" si="10"/>
        <v/>
      </c>
      <c r="X107" s="208" t="str">
        <f t="shared" si="11"/>
        <v/>
      </c>
      <c r="Y107" s="209" t="str">
        <f t="shared" si="12"/>
        <v/>
      </c>
      <c r="Z107" s="182"/>
      <c r="AA107" s="183"/>
      <c r="AF107" s="35" t="str">
        <f>IFERROR(INDEX('G-7 Rivers Data'!$AZ$3:$AZ$7,MATCH(D107,'G-7 Rivers Data'!$AY$3:$AY$7,0)),"")</f>
        <v/>
      </c>
      <c r="AG107" s="35">
        <f t="shared" si="13"/>
        <v>0</v>
      </c>
      <c r="AH107" s="188" t="str">
        <f t="shared" si="14"/>
        <v/>
      </c>
      <c r="AI107" s="188" t="str">
        <f t="shared" si="15"/>
        <v/>
      </c>
      <c r="AK107" s="188">
        <v>98</v>
      </c>
      <c r="AM107" s="188" t="str">
        <f t="array" ref="AM107">IFERROR(INDEX($AK$10:$AK$258, MATCH(0, IF(TRUE=$AH$10:$AH$258, COUNTIF($AM$9:$AM106, $AK$10:$AK$258), ""), 0)),"")</f>
        <v/>
      </c>
      <c r="AN107" s="188" t="str">
        <f t="array" ref="AN107">IFERROR(INDEX($AK$10:$AK$258, MATCH(0, IF(TRUE=$AI$10:$AI$258, COUNTIF($AN$9:$AN106, $AK$10:$AK$258), ""), 0)),"")</f>
        <v/>
      </c>
    </row>
    <row r="108" spans="3:40" ht="13.8" x14ac:dyDescent="0.25">
      <c r="C108" s="168">
        <v>99</v>
      </c>
      <c r="D108" s="184"/>
      <c r="E108" s="185"/>
      <c r="F108" s="171" t="str">
        <f>IF(D108="","",VLOOKUP(D108,'G-7 Rivers Data'!$B$2:$G$8,2,FALSE))</f>
        <v/>
      </c>
      <c r="G108" s="172" t="str">
        <f>IFERROR(VLOOKUP(F108,'G-7 Rivers Data'!$C$4:$D$8,2,FALSE),"")</f>
        <v/>
      </c>
      <c r="H108" s="173"/>
      <c r="I108" s="172" t="str">
        <f>IFERROR(INDEX('G-7 Rivers Data'!$H$4:$L$8,MATCH(D108,'G-7 Rivers Data'!$B$4:$B$8,0),MATCH(H108,'G-7 Rivers Data'!$H$3:$L$3,0)),"")</f>
        <v/>
      </c>
      <c r="J108" s="186"/>
      <c r="K108" s="175" t="str">
        <f>IF(J108="","",IF(VLOOKUP(J108,'G-7 Rivers Data'!$AK$4:$AM$9,2,FALSE)=0,"Spatial Data Missing",VLOOKUP(J108,'G-7 Rivers Data'!$AK$4:$AM$9,2,FALSE)))</f>
        <v/>
      </c>
      <c r="L108" s="176" t="str">
        <f>IF(J108="","",IF(VLOOKUP(J108,'G-7 Rivers Data'!$AK$4:$AM$9,3,FALSE)=0,"Spatial Data Missing",VLOOKUP(J108,'G-7 Rivers Data'!$AK$4:$AM$9,3,FALSE)))</f>
        <v/>
      </c>
      <c r="M108" s="79"/>
      <c r="N108" s="172" t="str">
        <f>IF(M108="","",IF(VLOOKUP(M108,'G-7 Rivers Data'!$AA$4:$AB$7,2,FALSE)=0,"Spatial Data Missing",VLOOKUP(M108,'G-7 Rivers Data'!$AA$4:$AB$7,2,FALSE)))</f>
        <v/>
      </c>
      <c r="O108" s="187"/>
      <c r="P108" s="172" t="str">
        <f>IF(O108="","",IF(VLOOKUP(O108,'G-7 Rivers Data'!$AD$4:$AE$8,2,FALSE)=0,"Spatial Data Missing",VLOOKUP(O108,'G-7 Rivers Data'!$AD$4:$AE$8,2,FALSE)))</f>
        <v/>
      </c>
      <c r="Q108" s="177" t="str">
        <f>IF(D108="","",VLOOKUP(D108,'G-7 Rivers Data'!$B$4:$G$8,6,FALSE))</f>
        <v/>
      </c>
      <c r="R108" s="178" t="str">
        <f t="shared" si="8"/>
        <v/>
      </c>
      <c r="S108" s="44"/>
      <c r="T108" s="173"/>
      <c r="U108" s="189"/>
      <c r="V108" s="208" t="str">
        <f t="shared" si="9"/>
        <v/>
      </c>
      <c r="W108" s="208" t="str">
        <f t="shared" si="10"/>
        <v/>
      </c>
      <c r="X108" s="208" t="str">
        <f t="shared" si="11"/>
        <v/>
      </c>
      <c r="Y108" s="209" t="str">
        <f t="shared" si="12"/>
        <v/>
      </c>
      <c r="Z108" s="182"/>
      <c r="AA108" s="183"/>
      <c r="AF108" s="35" t="str">
        <f>IFERROR(INDEX('G-7 Rivers Data'!$AZ$3:$AZ$7,MATCH(D108,'G-7 Rivers Data'!$AY$3:$AY$7,0)),"")</f>
        <v/>
      </c>
      <c r="AG108" s="35">
        <f t="shared" si="13"/>
        <v>0</v>
      </c>
      <c r="AH108" s="188" t="str">
        <f t="shared" si="14"/>
        <v/>
      </c>
      <c r="AI108" s="188" t="str">
        <f t="shared" si="15"/>
        <v/>
      </c>
      <c r="AK108" s="188">
        <v>99</v>
      </c>
      <c r="AM108" s="188" t="str">
        <f t="array" ref="AM108">IFERROR(INDEX($AK$10:$AK$258, MATCH(0, IF(TRUE=$AH$10:$AH$258, COUNTIF($AM$9:$AM107, $AK$10:$AK$258), ""), 0)),"")</f>
        <v/>
      </c>
      <c r="AN108" s="188" t="str">
        <f t="array" ref="AN108">IFERROR(INDEX($AK$10:$AK$258, MATCH(0, IF(TRUE=$AI$10:$AI$258, COUNTIF($AN$9:$AN107, $AK$10:$AK$258), ""), 0)),"")</f>
        <v/>
      </c>
    </row>
    <row r="109" spans="3:40" ht="13.8" x14ac:dyDescent="0.25">
      <c r="C109" s="168">
        <v>100</v>
      </c>
      <c r="D109" s="184"/>
      <c r="E109" s="185"/>
      <c r="F109" s="171" t="str">
        <f>IF(D109="","",VLOOKUP(D109,'G-7 Rivers Data'!$B$2:$G$8,2,FALSE))</f>
        <v/>
      </c>
      <c r="G109" s="172" t="str">
        <f>IFERROR(VLOOKUP(F109,'G-7 Rivers Data'!$C$4:$D$8,2,FALSE),"")</f>
        <v/>
      </c>
      <c r="H109" s="173"/>
      <c r="I109" s="172" t="str">
        <f>IFERROR(INDEX('G-7 Rivers Data'!$H$4:$L$8,MATCH(D109,'G-7 Rivers Data'!$B$4:$B$8,0),MATCH(H109,'G-7 Rivers Data'!$H$3:$L$3,0)),"")</f>
        <v/>
      </c>
      <c r="J109" s="186"/>
      <c r="K109" s="175" t="str">
        <f>IF(J109="","",IF(VLOOKUP(J109,'G-7 Rivers Data'!$AK$4:$AM$9,2,FALSE)=0,"Spatial Data Missing",VLOOKUP(J109,'G-7 Rivers Data'!$AK$4:$AM$9,2,FALSE)))</f>
        <v/>
      </c>
      <c r="L109" s="176" t="str">
        <f>IF(J109="","",IF(VLOOKUP(J109,'G-7 Rivers Data'!$AK$4:$AM$9,3,FALSE)=0,"Spatial Data Missing",VLOOKUP(J109,'G-7 Rivers Data'!$AK$4:$AM$9,3,FALSE)))</f>
        <v/>
      </c>
      <c r="M109" s="79"/>
      <c r="N109" s="172" t="str">
        <f>IF(M109="","",IF(VLOOKUP(M109,'G-7 Rivers Data'!$AA$4:$AB$7,2,FALSE)=0,"Spatial Data Missing",VLOOKUP(M109,'G-7 Rivers Data'!$AA$4:$AB$7,2,FALSE)))</f>
        <v/>
      </c>
      <c r="O109" s="187"/>
      <c r="P109" s="172" t="str">
        <f>IF(O109="","",IF(VLOOKUP(O109,'G-7 Rivers Data'!$AD$4:$AE$8,2,FALSE)=0,"Spatial Data Missing",VLOOKUP(O109,'G-7 Rivers Data'!$AD$4:$AE$8,2,FALSE)))</f>
        <v/>
      </c>
      <c r="Q109" s="177" t="str">
        <f>IF(D109="","",VLOOKUP(D109,'G-7 Rivers Data'!$B$4:$G$8,6,FALSE))</f>
        <v/>
      </c>
      <c r="R109" s="178" t="str">
        <f t="shared" si="8"/>
        <v/>
      </c>
      <c r="S109" s="44"/>
      <c r="T109" s="173"/>
      <c r="U109" s="189"/>
      <c r="V109" s="208" t="str">
        <f t="shared" si="9"/>
        <v/>
      </c>
      <c r="W109" s="208" t="str">
        <f t="shared" si="10"/>
        <v/>
      </c>
      <c r="X109" s="208" t="str">
        <f t="shared" si="11"/>
        <v/>
      </c>
      <c r="Y109" s="209" t="str">
        <f t="shared" si="12"/>
        <v/>
      </c>
      <c r="Z109" s="182"/>
      <c r="AA109" s="183"/>
      <c r="AF109" s="35" t="str">
        <f>IFERROR(INDEX('G-7 Rivers Data'!$AZ$3:$AZ$7,MATCH(D109,'G-7 Rivers Data'!$AY$3:$AY$7,0)),"")</f>
        <v/>
      </c>
      <c r="AG109" s="35">
        <f t="shared" si="13"/>
        <v>0</v>
      </c>
      <c r="AH109" s="188" t="str">
        <f t="shared" si="14"/>
        <v/>
      </c>
      <c r="AI109" s="188" t="str">
        <f t="shared" si="15"/>
        <v/>
      </c>
      <c r="AK109" s="188">
        <v>100</v>
      </c>
      <c r="AM109" s="188" t="str">
        <f t="array" ref="AM109">IFERROR(INDEX($AK$10:$AK$258, MATCH(0, IF(TRUE=$AH$10:$AH$258, COUNTIF($AM$9:$AM108, $AK$10:$AK$258), ""), 0)),"")</f>
        <v/>
      </c>
      <c r="AN109" s="188" t="str">
        <f t="array" ref="AN109">IFERROR(INDEX($AK$10:$AK$258, MATCH(0, IF(TRUE=$AI$10:$AI$258, COUNTIF($AN$9:$AN108, $AK$10:$AK$258), ""), 0)),"")</f>
        <v/>
      </c>
    </row>
    <row r="110" spans="3:40" ht="13.8" x14ac:dyDescent="0.25">
      <c r="C110" s="168">
        <v>101</v>
      </c>
      <c r="D110" s="184"/>
      <c r="E110" s="185"/>
      <c r="F110" s="171" t="str">
        <f>IF(D110="","",VLOOKUP(D110,'G-7 Rivers Data'!$B$2:$G$8,2,FALSE))</f>
        <v/>
      </c>
      <c r="G110" s="172" t="str">
        <f>IFERROR(VLOOKUP(F110,'G-7 Rivers Data'!$C$4:$D$8,2,FALSE),"")</f>
        <v/>
      </c>
      <c r="H110" s="173"/>
      <c r="I110" s="172" t="str">
        <f>IFERROR(INDEX('G-7 Rivers Data'!$H$4:$L$8,MATCH(D110,'G-7 Rivers Data'!$B$4:$B$8,0),MATCH(H110,'G-7 Rivers Data'!$H$3:$L$3,0)),"")</f>
        <v/>
      </c>
      <c r="J110" s="186"/>
      <c r="K110" s="175" t="str">
        <f>IF(J110="","",IF(VLOOKUP(J110,'G-7 Rivers Data'!$AK$4:$AM$9,2,FALSE)=0,"Spatial Data Missing",VLOOKUP(J110,'G-7 Rivers Data'!$AK$4:$AM$9,2,FALSE)))</f>
        <v/>
      </c>
      <c r="L110" s="176" t="str">
        <f>IF(J110="","",IF(VLOOKUP(J110,'G-7 Rivers Data'!$AK$4:$AM$9,3,FALSE)=0,"Spatial Data Missing",VLOOKUP(J110,'G-7 Rivers Data'!$AK$4:$AM$9,3,FALSE)))</f>
        <v/>
      </c>
      <c r="M110" s="79"/>
      <c r="N110" s="172" t="str">
        <f>IF(M110="","",IF(VLOOKUP(M110,'G-7 Rivers Data'!$AA$4:$AB$7,2,FALSE)=0,"Spatial Data Missing",VLOOKUP(M110,'G-7 Rivers Data'!$AA$4:$AB$7,2,FALSE)))</f>
        <v/>
      </c>
      <c r="O110" s="187"/>
      <c r="P110" s="172" t="str">
        <f>IF(O110="","",IF(VLOOKUP(O110,'G-7 Rivers Data'!$AD$4:$AE$8,2,FALSE)=0,"Spatial Data Missing",VLOOKUP(O110,'G-7 Rivers Data'!$AD$4:$AE$8,2,FALSE)))</f>
        <v/>
      </c>
      <c r="Q110" s="177" t="str">
        <f>IF(D110="","",VLOOKUP(D110,'G-7 Rivers Data'!$B$4:$G$8,6,FALSE))</f>
        <v/>
      </c>
      <c r="R110" s="178" t="str">
        <f t="shared" si="8"/>
        <v/>
      </c>
      <c r="S110" s="44"/>
      <c r="T110" s="173"/>
      <c r="U110" s="189"/>
      <c r="V110" s="208" t="str">
        <f t="shared" si="9"/>
        <v/>
      </c>
      <c r="W110" s="208" t="str">
        <f t="shared" si="10"/>
        <v/>
      </c>
      <c r="X110" s="208" t="str">
        <f t="shared" si="11"/>
        <v/>
      </c>
      <c r="Y110" s="209" t="str">
        <f t="shared" si="12"/>
        <v/>
      </c>
      <c r="Z110" s="182"/>
      <c r="AA110" s="183"/>
      <c r="AF110" s="35" t="str">
        <f>IFERROR(INDEX('G-7 Rivers Data'!$AZ$3:$AZ$7,MATCH(D110,'G-7 Rivers Data'!$AY$3:$AY$7,0)),"")</f>
        <v/>
      </c>
      <c r="AG110" s="35">
        <f t="shared" si="13"/>
        <v>0</v>
      </c>
      <c r="AH110" s="188" t="str">
        <f t="shared" si="14"/>
        <v/>
      </c>
      <c r="AI110" s="188" t="str">
        <f t="shared" si="15"/>
        <v/>
      </c>
      <c r="AK110" s="188">
        <v>101</v>
      </c>
      <c r="AM110" s="188" t="str">
        <f t="array" ref="AM110">IFERROR(INDEX($AK$10:$AK$258, MATCH(0, IF(TRUE=$AH$10:$AH$258, COUNTIF($AM$9:$AM109, $AK$10:$AK$258), ""), 0)),"")</f>
        <v/>
      </c>
      <c r="AN110" s="188" t="str">
        <f t="array" ref="AN110">IFERROR(INDEX($AK$10:$AK$258, MATCH(0, IF(TRUE=$AI$10:$AI$258, COUNTIF($AN$9:$AN109, $AK$10:$AK$258), ""), 0)),"")</f>
        <v/>
      </c>
    </row>
    <row r="111" spans="3:40" ht="13.8" x14ac:dyDescent="0.25">
      <c r="C111" s="168">
        <v>102</v>
      </c>
      <c r="D111" s="184"/>
      <c r="E111" s="185"/>
      <c r="F111" s="171" t="str">
        <f>IF(D111="","",VLOOKUP(D111,'G-7 Rivers Data'!$B$2:$G$8,2,FALSE))</f>
        <v/>
      </c>
      <c r="G111" s="172" t="str">
        <f>IFERROR(VLOOKUP(F111,'G-7 Rivers Data'!$C$4:$D$8,2,FALSE),"")</f>
        <v/>
      </c>
      <c r="H111" s="173"/>
      <c r="I111" s="172" t="str">
        <f>IFERROR(INDEX('G-7 Rivers Data'!$H$4:$L$8,MATCH(D111,'G-7 Rivers Data'!$B$4:$B$8,0),MATCH(H111,'G-7 Rivers Data'!$H$3:$L$3,0)),"")</f>
        <v/>
      </c>
      <c r="J111" s="186"/>
      <c r="K111" s="175" t="str">
        <f>IF(J111="","",IF(VLOOKUP(J111,'G-7 Rivers Data'!$AK$4:$AM$9,2,FALSE)=0,"Spatial Data Missing",VLOOKUP(J111,'G-7 Rivers Data'!$AK$4:$AM$9,2,FALSE)))</f>
        <v/>
      </c>
      <c r="L111" s="176" t="str">
        <f>IF(J111="","",IF(VLOOKUP(J111,'G-7 Rivers Data'!$AK$4:$AM$9,3,FALSE)=0,"Spatial Data Missing",VLOOKUP(J111,'G-7 Rivers Data'!$AK$4:$AM$9,3,FALSE)))</f>
        <v/>
      </c>
      <c r="M111" s="79"/>
      <c r="N111" s="172" t="str">
        <f>IF(M111="","",IF(VLOOKUP(M111,'G-7 Rivers Data'!$AA$4:$AB$7,2,FALSE)=0,"Spatial Data Missing",VLOOKUP(M111,'G-7 Rivers Data'!$AA$4:$AB$7,2,FALSE)))</f>
        <v/>
      </c>
      <c r="O111" s="187"/>
      <c r="P111" s="172" t="str">
        <f>IF(O111="","",IF(VLOOKUP(O111,'G-7 Rivers Data'!$AD$4:$AE$8,2,FALSE)=0,"Spatial Data Missing",VLOOKUP(O111,'G-7 Rivers Data'!$AD$4:$AE$8,2,FALSE)))</f>
        <v/>
      </c>
      <c r="Q111" s="177" t="str">
        <f>IF(D111="","",VLOOKUP(D111,'G-7 Rivers Data'!$B$4:$G$8,6,FALSE))</f>
        <v/>
      </c>
      <c r="R111" s="178" t="str">
        <f t="shared" si="8"/>
        <v/>
      </c>
      <c r="S111" s="44"/>
      <c r="T111" s="173"/>
      <c r="U111" s="189"/>
      <c r="V111" s="208" t="str">
        <f t="shared" si="9"/>
        <v/>
      </c>
      <c r="W111" s="208" t="str">
        <f t="shared" si="10"/>
        <v/>
      </c>
      <c r="X111" s="208" t="str">
        <f t="shared" si="11"/>
        <v/>
      </c>
      <c r="Y111" s="209" t="str">
        <f t="shared" si="12"/>
        <v/>
      </c>
      <c r="Z111" s="182"/>
      <c r="AA111" s="183"/>
      <c r="AF111" s="35" t="str">
        <f>IFERROR(INDEX('G-7 Rivers Data'!$AZ$3:$AZ$7,MATCH(D111,'G-7 Rivers Data'!$AY$3:$AY$7,0)),"")</f>
        <v/>
      </c>
      <c r="AG111" s="35">
        <f t="shared" si="13"/>
        <v>0</v>
      </c>
      <c r="AH111" s="188" t="str">
        <f t="shared" si="14"/>
        <v/>
      </c>
      <c r="AI111" s="188" t="str">
        <f t="shared" si="15"/>
        <v/>
      </c>
      <c r="AK111" s="188">
        <v>102</v>
      </c>
      <c r="AM111" s="188" t="str">
        <f t="array" ref="AM111">IFERROR(INDEX($AK$10:$AK$258, MATCH(0, IF(TRUE=$AH$10:$AH$258, COUNTIF($AM$9:$AM110, $AK$10:$AK$258), ""), 0)),"")</f>
        <v/>
      </c>
      <c r="AN111" s="188" t="str">
        <f t="array" ref="AN111">IFERROR(INDEX($AK$10:$AK$258, MATCH(0, IF(TRUE=$AI$10:$AI$258, COUNTIF($AN$9:$AN110, $AK$10:$AK$258), ""), 0)),"")</f>
        <v/>
      </c>
    </row>
    <row r="112" spans="3:40" ht="13.8" x14ac:dyDescent="0.25">
      <c r="C112" s="168">
        <v>103</v>
      </c>
      <c r="D112" s="184"/>
      <c r="E112" s="185"/>
      <c r="F112" s="171" t="str">
        <f>IF(D112="","",VLOOKUP(D112,'G-7 Rivers Data'!$B$2:$G$8,2,FALSE))</f>
        <v/>
      </c>
      <c r="G112" s="172" t="str">
        <f>IFERROR(VLOOKUP(F112,'G-7 Rivers Data'!$C$4:$D$8,2,FALSE),"")</f>
        <v/>
      </c>
      <c r="H112" s="173"/>
      <c r="I112" s="172" t="str">
        <f>IFERROR(INDEX('G-7 Rivers Data'!$H$4:$L$8,MATCH(D112,'G-7 Rivers Data'!$B$4:$B$8,0),MATCH(H112,'G-7 Rivers Data'!$H$3:$L$3,0)),"")</f>
        <v/>
      </c>
      <c r="J112" s="186"/>
      <c r="K112" s="175" t="str">
        <f>IF(J112="","",IF(VLOOKUP(J112,'G-7 Rivers Data'!$AK$4:$AM$9,2,FALSE)=0,"Spatial Data Missing",VLOOKUP(J112,'G-7 Rivers Data'!$AK$4:$AM$9,2,FALSE)))</f>
        <v/>
      </c>
      <c r="L112" s="176" t="str">
        <f>IF(J112="","",IF(VLOOKUP(J112,'G-7 Rivers Data'!$AK$4:$AM$9,3,FALSE)=0,"Spatial Data Missing",VLOOKUP(J112,'G-7 Rivers Data'!$AK$4:$AM$9,3,FALSE)))</f>
        <v/>
      </c>
      <c r="M112" s="79"/>
      <c r="N112" s="172" t="str">
        <f>IF(M112="","",IF(VLOOKUP(M112,'G-7 Rivers Data'!$AA$4:$AB$7,2,FALSE)=0,"Spatial Data Missing",VLOOKUP(M112,'G-7 Rivers Data'!$AA$4:$AB$7,2,FALSE)))</f>
        <v/>
      </c>
      <c r="O112" s="187"/>
      <c r="P112" s="172" t="str">
        <f>IF(O112="","",IF(VLOOKUP(O112,'G-7 Rivers Data'!$AD$4:$AE$8,2,FALSE)=0,"Spatial Data Missing",VLOOKUP(O112,'G-7 Rivers Data'!$AD$4:$AE$8,2,FALSE)))</f>
        <v/>
      </c>
      <c r="Q112" s="177" t="str">
        <f>IF(D112="","",VLOOKUP(D112,'G-7 Rivers Data'!$B$4:$G$8,6,FALSE))</f>
        <v/>
      </c>
      <c r="R112" s="178" t="str">
        <f t="shared" si="8"/>
        <v/>
      </c>
      <c r="S112" s="44"/>
      <c r="T112" s="173"/>
      <c r="U112" s="189"/>
      <c r="V112" s="208" t="str">
        <f t="shared" si="9"/>
        <v/>
      </c>
      <c r="W112" s="208" t="str">
        <f t="shared" si="10"/>
        <v/>
      </c>
      <c r="X112" s="208" t="str">
        <f t="shared" si="11"/>
        <v/>
      </c>
      <c r="Y112" s="209" t="str">
        <f t="shared" si="12"/>
        <v/>
      </c>
      <c r="Z112" s="182"/>
      <c r="AA112" s="183"/>
      <c r="AF112" s="35" t="str">
        <f>IFERROR(INDEX('G-7 Rivers Data'!$AZ$3:$AZ$7,MATCH(D112,'G-7 Rivers Data'!$AY$3:$AY$7,0)),"")</f>
        <v/>
      </c>
      <c r="AG112" s="35">
        <f t="shared" si="13"/>
        <v>0</v>
      </c>
      <c r="AH112" s="188" t="str">
        <f t="shared" si="14"/>
        <v/>
      </c>
      <c r="AI112" s="188" t="str">
        <f t="shared" si="15"/>
        <v/>
      </c>
      <c r="AK112" s="188">
        <v>103</v>
      </c>
      <c r="AM112" s="188" t="str">
        <f t="array" ref="AM112">IFERROR(INDEX($AK$10:$AK$258, MATCH(0, IF(TRUE=$AH$10:$AH$258, COUNTIF($AM$9:$AM111, $AK$10:$AK$258), ""), 0)),"")</f>
        <v/>
      </c>
      <c r="AN112" s="188" t="str">
        <f t="array" ref="AN112">IFERROR(INDEX($AK$10:$AK$258, MATCH(0, IF(TRUE=$AI$10:$AI$258, COUNTIF($AN$9:$AN111, $AK$10:$AK$258), ""), 0)),"")</f>
        <v/>
      </c>
    </row>
    <row r="113" spans="3:40" ht="13.8" x14ac:dyDescent="0.25">
      <c r="C113" s="168">
        <v>104</v>
      </c>
      <c r="D113" s="184"/>
      <c r="E113" s="185"/>
      <c r="F113" s="171" t="str">
        <f>IF(D113="","",VLOOKUP(D113,'G-7 Rivers Data'!$B$2:$G$8,2,FALSE))</f>
        <v/>
      </c>
      <c r="G113" s="172" t="str">
        <f>IFERROR(VLOOKUP(F113,'G-7 Rivers Data'!$C$4:$D$8,2,FALSE),"")</f>
        <v/>
      </c>
      <c r="H113" s="173"/>
      <c r="I113" s="172" t="str">
        <f>IFERROR(INDEX('G-7 Rivers Data'!$H$4:$L$8,MATCH(D113,'G-7 Rivers Data'!$B$4:$B$8,0),MATCH(H113,'G-7 Rivers Data'!$H$3:$L$3,0)),"")</f>
        <v/>
      </c>
      <c r="J113" s="186"/>
      <c r="K113" s="175" t="str">
        <f>IF(J113="","",IF(VLOOKUP(J113,'G-7 Rivers Data'!$AK$4:$AM$9,2,FALSE)=0,"Spatial Data Missing",VLOOKUP(J113,'G-7 Rivers Data'!$AK$4:$AM$9,2,FALSE)))</f>
        <v/>
      </c>
      <c r="L113" s="176" t="str">
        <f>IF(J113="","",IF(VLOOKUP(J113,'G-7 Rivers Data'!$AK$4:$AM$9,3,FALSE)=0,"Spatial Data Missing",VLOOKUP(J113,'G-7 Rivers Data'!$AK$4:$AM$9,3,FALSE)))</f>
        <v/>
      </c>
      <c r="M113" s="79"/>
      <c r="N113" s="172" t="str">
        <f>IF(M113="","",IF(VLOOKUP(M113,'G-7 Rivers Data'!$AA$4:$AB$7,2,FALSE)=0,"Spatial Data Missing",VLOOKUP(M113,'G-7 Rivers Data'!$AA$4:$AB$7,2,FALSE)))</f>
        <v/>
      </c>
      <c r="O113" s="187"/>
      <c r="P113" s="172" t="str">
        <f>IF(O113="","",IF(VLOOKUP(O113,'G-7 Rivers Data'!$AD$4:$AE$8,2,FALSE)=0,"Spatial Data Missing",VLOOKUP(O113,'G-7 Rivers Data'!$AD$4:$AE$8,2,FALSE)))</f>
        <v/>
      </c>
      <c r="Q113" s="177" t="str">
        <f>IF(D113="","",VLOOKUP(D113,'G-7 Rivers Data'!$B$4:$G$8,6,FALSE))</f>
        <v/>
      </c>
      <c r="R113" s="178" t="str">
        <f t="shared" si="8"/>
        <v/>
      </c>
      <c r="S113" s="44"/>
      <c r="T113" s="173"/>
      <c r="U113" s="189"/>
      <c r="V113" s="208" t="str">
        <f t="shared" si="9"/>
        <v/>
      </c>
      <c r="W113" s="208" t="str">
        <f t="shared" si="10"/>
        <v/>
      </c>
      <c r="X113" s="208" t="str">
        <f t="shared" si="11"/>
        <v/>
      </c>
      <c r="Y113" s="209" t="str">
        <f t="shared" si="12"/>
        <v/>
      </c>
      <c r="Z113" s="182"/>
      <c r="AA113" s="183"/>
      <c r="AF113" s="35" t="str">
        <f>IFERROR(INDEX('G-7 Rivers Data'!$AZ$3:$AZ$7,MATCH(D113,'G-7 Rivers Data'!$AY$3:$AY$7,0)),"")</f>
        <v/>
      </c>
      <c r="AG113" s="35">
        <f t="shared" si="13"/>
        <v>0</v>
      </c>
      <c r="AH113" s="188" t="str">
        <f t="shared" si="14"/>
        <v/>
      </c>
      <c r="AI113" s="188" t="str">
        <f t="shared" si="15"/>
        <v/>
      </c>
      <c r="AK113" s="188">
        <v>104</v>
      </c>
      <c r="AM113" s="188" t="str">
        <f t="array" ref="AM113">IFERROR(INDEX($AK$10:$AK$258, MATCH(0, IF(TRUE=$AH$10:$AH$258, COUNTIF($AM$9:$AM112, $AK$10:$AK$258), ""), 0)),"")</f>
        <v/>
      </c>
      <c r="AN113" s="188" t="str">
        <f t="array" ref="AN113">IFERROR(INDEX($AK$10:$AK$258, MATCH(0, IF(TRUE=$AI$10:$AI$258, COUNTIF($AN$9:$AN112, $AK$10:$AK$258), ""), 0)),"")</f>
        <v/>
      </c>
    </row>
    <row r="114" spans="3:40" ht="13.8" x14ac:dyDescent="0.25">
      <c r="C114" s="168">
        <v>105</v>
      </c>
      <c r="D114" s="184"/>
      <c r="E114" s="185"/>
      <c r="F114" s="171" t="str">
        <f>IF(D114="","",VLOOKUP(D114,'G-7 Rivers Data'!$B$2:$G$8,2,FALSE))</f>
        <v/>
      </c>
      <c r="G114" s="172" t="str">
        <f>IFERROR(VLOOKUP(F114,'G-7 Rivers Data'!$C$4:$D$8,2,FALSE),"")</f>
        <v/>
      </c>
      <c r="H114" s="173"/>
      <c r="I114" s="172" t="str">
        <f>IFERROR(INDEX('G-7 Rivers Data'!$H$4:$L$8,MATCH(D114,'G-7 Rivers Data'!$B$4:$B$8,0),MATCH(H114,'G-7 Rivers Data'!$H$3:$L$3,0)),"")</f>
        <v/>
      </c>
      <c r="J114" s="186"/>
      <c r="K114" s="175" t="str">
        <f>IF(J114="","",IF(VLOOKUP(J114,'G-7 Rivers Data'!$AK$4:$AM$9,2,FALSE)=0,"Spatial Data Missing",VLOOKUP(J114,'G-7 Rivers Data'!$AK$4:$AM$9,2,FALSE)))</f>
        <v/>
      </c>
      <c r="L114" s="176" t="str">
        <f>IF(J114="","",IF(VLOOKUP(J114,'G-7 Rivers Data'!$AK$4:$AM$9,3,FALSE)=0,"Spatial Data Missing",VLOOKUP(J114,'G-7 Rivers Data'!$AK$4:$AM$9,3,FALSE)))</f>
        <v/>
      </c>
      <c r="M114" s="79"/>
      <c r="N114" s="172" t="str">
        <f>IF(M114="","",IF(VLOOKUP(M114,'G-7 Rivers Data'!$AA$4:$AB$7,2,FALSE)=0,"Spatial Data Missing",VLOOKUP(M114,'G-7 Rivers Data'!$AA$4:$AB$7,2,FALSE)))</f>
        <v/>
      </c>
      <c r="O114" s="187"/>
      <c r="P114" s="172" t="str">
        <f>IF(O114="","",IF(VLOOKUP(O114,'G-7 Rivers Data'!$AD$4:$AE$8,2,FALSE)=0,"Spatial Data Missing",VLOOKUP(O114,'G-7 Rivers Data'!$AD$4:$AE$8,2,FALSE)))</f>
        <v/>
      </c>
      <c r="Q114" s="177" t="str">
        <f>IF(D114="","",VLOOKUP(D114,'G-7 Rivers Data'!$B$4:$G$8,6,FALSE))</f>
        <v/>
      </c>
      <c r="R114" s="178" t="str">
        <f t="shared" si="8"/>
        <v/>
      </c>
      <c r="S114" s="44"/>
      <c r="T114" s="173"/>
      <c r="U114" s="189"/>
      <c r="V114" s="208" t="str">
        <f t="shared" si="9"/>
        <v/>
      </c>
      <c r="W114" s="208" t="str">
        <f t="shared" si="10"/>
        <v/>
      </c>
      <c r="X114" s="208" t="str">
        <f t="shared" si="11"/>
        <v/>
      </c>
      <c r="Y114" s="209" t="str">
        <f t="shared" si="12"/>
        <v/>
      </c>
      <c r="Z114" s="182"/>
      <c r="AA114" s="183"/>
      <c r="AF114" s="35" t="str">
        <f>IFERROR(INDEX('G-7 Rivers Data'!$AZ$3:$AZ$7,MATCH(D114,'G-7 Rivers Data'!$AY$3:$AY$7,0)),"")</f>
        <v/>
      </c>
      <c r="AG114" s="35">
        <f t="shared" si="13"/>
        <v>0</v>
      </c>
      <c r="AH114" s="188" t="str">
        <f t="shared" si="14"/>
        <v/>
      </c>
      <c r="AI114" s="188" t="str">
        <f t="shared" si="15"/>
        <v/>
      </c>
      <c r="AK114" s="188">
        <v>105</v>
      </c>
      <c r="AM114" s="188" t="str">
        <f t="array" ref="AM114">IFERROR(INDEX($AK$10:$AK$258, MATCH(0, IF(TRUE=$AH$10:$AH$258, COUNTIF($AM$9:$AM113, $AK$10:$AK$258), ""), 0)),"")</f>
        <v/>
      </c>
      <c r="AN114" s="188" t="str">
        <f t="array" ref="AN114">IFERROR(INDEX($AK$10:$AK$258, MATCH(0, IF(TRUE=$AI$10:$AI$258, COUNTIF($AN$9:$AN113, $AK$10:$AK$258), ""), 0)),"")</f>
        <v/>
      </c>
    </row>
    <row r="115" spans="3:40" ht="13.8" x14ac:dyDescent="0.25">
      <c r="C115" s="168">
        <v>106</v>
      </c>
      <c r="D115" s="184"/>
      <c r="E115" s="185"/>
      <c r="F115" s="171" t="str">
        <f>IF(D115="","",VLOOKUP(D115,'G-7 Rivers Data'!$B$2:$G$8,2,FALSE))</f>
        <v/>
      </c>
      <c r="G115" s="172" t="str">
        <f>IFERROR(VLOOKUP(F115,'G-7 Rivers Data'!$C$4:$D$8,2,FALSE),"")</f>
        <v/>
      </c>
      <c r="H115" s="173"/>
      <c r="I115" s="172" t="str">
        <f>IFERROR(INDEX('G-7 Rivers Data'!$H$4:$L$8,MATCH(D115,'G-7 Rivers Data'!$B$4:$B$8,0),MATCH(H115,'G-7 Rivers Data'!$H$3:$L$3,0)),"")</f>
        <v/>
      </c>
      <c r="J115" s="186"/>
      <c r="K115" s="175" t="str">
        <f>IF(J115="","",IF(VLOOKUP(J115,'G-7 Rivers Data'!$AK$4:$AM$9,2,FALSE)=0,"Spatial Data Missing",VLOOKUP(J115,'G-7 Rivers Data'!$AK$4:$AM$9,2,FALSE)))</f>
        <v/>
      </c>
      <c r="L115" s="176" t="str">
        <f>IF(J115="","",IF(VLOOKUP(J115,'G-7 Rivers Data'!$AK$4:$AM$9,3,FALSE)=0,"Spatial Data Missing",VLOOKUP(J115,'G-7 Rivers Data'!$AK$4:$AM$9,3,FALSE)))</f>
        <v/>
      </c>
      <c r="M115" s="79"/>
      <c r="N115" s="172" t="str">
        <f>IF(M115="","",IF(VLOOKUP(M115,'G-7 Rivers Data'!$AA$4:$AB$7,2,FALSE)=0,"Spatial Data Missing",VLOOKUP(M115,'G-7 Rivers Data'!$AA$4:$AB$7,2,FALSE)))</f>
        <v/>
      </c>
      <c r="O115" s="187"/>
      <c r="P115" s="172" t="str">
        <f>IF(O115="","",IF(VLOOKUP(O115,'G-7 Rivers Data'!$AD$4:$AE$8,2,FALSE)=0,"Spatial Data Missing",VLOOKUP(O115,'G-7 Rivers Data'!$AD$4:$AE$8,2,FALSE)))</f>
        <v/>
      </c>
      <c r="Q115" s="177" t="str">
        <f>IF(D115="","",VLOOKUP(D115,'G-7 Rivers Data'!$B$4:$G$8,6,FALSE))</f>
        <v/>
      </c>
      <c r="R115" s="178" t="str">
        <f t="shared" si="8"/>
        <v/>
      </c>
      <c r="S115" s="44"/>
      <c r="T115" s="173"/>
      <c r="U115" s="189"/>
      <c r="V115" s="208" t="str">
        <f t="shared" si="9"/>
        <v/>
      </c>
      <c r="W115" s="208" t="str">
        <f t="shared" si="10"/>
        <v/>
      </c>
      <c r="X115" s="208" t="str">
        <f t="shared" si="11"/>
        <v/>
      </c>
      <c r="Y115" s="209" t="str">
        <f t="shared" si="12"/>
        <v/>
      </c>
      <c r="Z115" s="182"/>
      <c r="AA115" s="183"/>
      <c r="AF115" s="35" t="str">
        <f>IFERROR(INDEX('G-7 Rivers Data'!$AZ$3:$AZ$7,MATCH(D115,'G-7 Rivers Data'!$AY$3:$AY$7,0)),"")</f>
        <v/>
      </c>
      <c r="AG115" s="35">
        <f t="shared" si="13"/>
        <v>0</v>
      </c>
      <c r="AH115" s="188" t="str">
        <f t="shared" si="14"/>
        <v/>
      </c>
      <c r="AI115" s="188" t="str">
        <f t="shared" si="15"/>
        <v/>
      </c>
      <c r="AK115" s="188">
        <v>106</v>
      </c>
      <c r="AM115" s="188" t="str">
        <f t="array" ref="AM115">IFERROR(INDEX($AK$10:$AK$258, MATCH(0, IF(TRUE=$AH$10:$AH$258, COUNTIF($AM$9:$AM114, $AK$10:$AK$258), ""), 0)),"")</f>
        <v/>
      </c>
      <c r="AN115" s="188" t="str">
        <f t="array" ref="AN115">IFERROR(INDEX($AK$10:$AK$258, MATCH(0, IF(TRUE=$AI$10:$AI$258, COUNTIF($AN$9:$AN114, $AK$10:$AK$258), ""), 0)),"")</f>
        <v/>
      </c>
    </row>
    <row r="116" spans="3:40" ht="13.8" x14ac:dyDescent="0.25">
      <c r="C116" s="168">
        <v>107</v>
      </c>
      <c r="D116" s="184"/>
      <c r="E116" s="185"/>
      <c r="F116" s="171" t="str">
        <f>IF(D116="","",VLOOKUP(D116,'G-7 Rivers Data'!$B$2:$G$8,2,FALSE))</f>
        <v/>
      </c>
      <c r="G116" s="172" t="str">
        <f>IFERROR(VLOOKUP(F116,'G-7 Rivers Data'!$C$4:$D$8,2,FALSE),"")</f>
        <v/>
      </c>
      <c r="H116" s="173"/>
      <c r="I116" s="172" t="str">
        <f>IFERROR(INDEX('G-7 Rivers Data'!$H$4:$L$8,MATCH(D116,'G-7 Rivers Data'!$B$4:$B$8,0),MATCH(H116,'G-7 Rivers Data'!$H$3:$L$3,0)),"")</f>
        <v/>
      </c>
      <c r="J116" s="186"/>
      <c r="K116" s="175" t="str">
        <f>IF(J116="","",IF(VLOOKUP(J116,'G-7 Rivers Data'!$AK$4:$AM$9,2,FALSE)=0,"Spatial Data Missing",VLOOKUP(J116,'G-7 Rivers Data'!$AK$4:$AM$9,2,FALSE)))</f>
        <v/>
      </c>
      <c r="L116" s="176" t="str">
        <f>IF(J116="","",IF(VLOOKUP(J116,'G-7 Rivers Data'!$AK$4:$AM$9,3,FALSE)=0,"Spatial Data Missing",VLOOKUP(J116,'G-7 Rivers Data'!$AK$4:$AM$9,3,FALSE)))</f>
        <v/>
      </c>
      <c r="M116" s="79"/>
      <c r="N116" s="172" t="str">
        <f>IF(M116="","",IF(VLOOKUP(M116,'G-7 Rivers Data'!$AA$4:$AB$7,2,FALSE)=0,"Spatial Data Missing",VLOOKUP(M116,'G-7 Rivers Data'!$AA$4:$AB$7,2,FALSE)))</f>
        <v/>
      </c>
      <c r="O116" s="187"/>
      <c r="P116" s="172" t="str">
        <f>IF(O116="","",IF(VLOOKUP(O116,'G-7 Rivers Data'!$AD$4:$AE$8,2,FALSE)=0,"Spatial Data Missing",VLOOKUP(O116,'G-7 Rivers Data'!$AD$4:$AE$8,2,FALSE)))</f>
        <v/>
      </c>
      <c r="Q116" s="177" t="str">
        <f>IF(D116="","",VLOOKUP(D116,'G-7 Rivers Data'!$B$4:$G$8,6,FALSE))</f>
        <v/>
      </c>
      <c r="R116" s="178" t="str">
        <f t="shared" si="8"/>
        <v/>
      </c>
      <c r="S116" s="44"/>
      <c r="T116" s="173"/>
      <c r="U116" s="189"/>
      <c r="V116" s="208" t="str">
        <f t="shared" si="9"/>
        <v/>
      </c>
      <c r="W116" s="208" t="str">
        <f t="shared" si="10"/>
        <v/>
      </c>
      <c r="X116" s="208" t="str">
        <f t="shared" si="11"/>
        <v/>
      </c>
      <c r="Y116" s="209" t="str">
        <f t="shared" si="12"/>
        <v/>
      </c>
      <c r="Z116" s="182"/>
      <c r="AA116" s="183"/>
      <c r="AF116" s="35" t="str">
        <f>IFERROR(INDEX('G-7 Rivers Data'!$AZ$3:$AZ$7,MATCH(D116,'G-7 Rivers Data'!$AY$3:$AY$7,0)),"")</f>
        <v/>
      </c>
      <c r="AG116" s="35">
        <f t="shared" si="13"/>
        <v>0</v>
      </c>
      <c r="AH116" s="188" t="str">
        <f t="shared" si="14"/>
        <v/>
      </c>
      <c r="AI116" s="188" t="str">
        <f t="shared" si="15"/>
        <v/>
      </c>
      <c r="AK116" s="188">
        <v>107</v>
      </c>
      <c r="AM116" s="188" t="str">
        <f t="array" ref="AM116">IFERROR(INDEX($AK$10:$AK$258, MATCH(0, IF(TRUE=$AH$10:$AH$258, COUNTIF($AM$9:$AM115, $AK$10:$AK$258), ""), 0)),"")</f>
        <v/>
      </c>
      <c r="AN116" s="188" t="str">
        <f t="array" ref="AN116">IFERROR(INDEX($AK$10:$AK$258, MATCH(0, IF(TRUE=$AI$10:$AI$258, COUNTIF($AN$9:$AN115, $AK$10:$AK$258), ""), 0)),"")</f>
        <v/>
      </c>
    </row>
    <row r="117" spans="3:40" ht="13.8" x14ac:dyDescent="0.25">
      <c r="C117" s="168">
        <v>108</v>
      </c>
      <c r="D117" s="184"/>
      <c r="E117" s="185"/>
      <c r="F117" s="171" t="str">
        <f>IF(D117="","",VLOOKUP(D117,'G-7 Rivers Data'!$B$2:$G$8,2,FALSE))</f>
        <v/>
      </c>
      <c r="G117" s="172" t="str">
        <f>IFERROR(VLOOKUP(F117,'G-7 Rivers Data'!$C$4:$D$8,2,FALSE),"")</f>
        <v/>
      </c>
      <c r="H117" s="173"/>
      <c r="I117" s="172" t="str">
        <f>IFERROR(INDEX('G-7 Rivers Data'!$H$4:$L$8,MATCH(D117,'G-7 Rivers Data'!$B$4:$B$8,0),MATCH(H117,'G-7 Rivers Data'!$H$3:$L$3,0)),"")</f>
        <v/>
      </c>
      <c r="J117" s="186"/>
      <c r="K117" s="175" t="str">
        <f>IF(J117="","",IF(VLOOKUP(J117,'G-7 Rivers Data'!$AK$4:$AM$9,2,FALSE)=0,"Spatial Data Missing",VLOOKUP(J117,'G-7 Rivers Data'!$AK$4:$AM$9,2,FALSE)))</f>
        <v/>
      </c>
      <c r="L117" s="176" t="str">
        <f>IF(J117="","",IF(VLOOKUP(J117,'G-7 Rivers Data'!$AK$4:$AM$9,3,FALSE)=0,"Spatial Data Missing",VLOOKUP(J117,'G-7 Rivers Data'!$AK$4:$AM$9,3,FALSE)))</f>
        <v/>
      </c>
      <c r="M117" s="79"/>
      <c r="N117" s="172" t="str">
        <f>IF(M117="","",IF(VLOOKUP(M117,'G-7 Rivers Data'!$AA$4:$AB$7,2,FALSE)=0,"Spatial Data Missing",VLOOKUP(M117,'G-7 Rivers Data'!$AA$4:$AB$7,2,FALSE)))</f>
        <v/>
      </c>
      <c r="O117" s="187"/>
      <c r="P117" s="172" t="str">
        <f>IF(O117="","",IF(VLOOKUP(O117,'G-7 Rivers Data'!$AD$4:$AE$8,2,FALSE)=0,"Spatial Data Missing",VLOOKUP(O117,'G-7 Rivers Data'!$AD$4:$AE$8,2,FALSE)))</f>
        <v/>
      </c>
      <c r="Q117" s="177" t="str">
        <f>IF(D117="","",VLOOKUP(D117,'G-7 Rivers Data'!$B$4:$G$8,6,FALSE))</f>
        <v/>
      </c>
      <c r="R117" s="178" t="str">
        <f t="shared" si="8"/>
        <v/>
      </c>
      <c r="S117" s="44"/>
      <c r="T117" s="173"/>
      <c r="U117" s="189"/>
      <c r="V117" s="208" t="str">
        <f t="shared" si="9"/>
        <v/>
      </c>
      <c r="W117" s="208" t="str">
        <f t="shared" si="10"/>
        <v/>
      </c>
      <c r="X117" s="208" t="str">
        <f t="shared" si="11"/>
        <v/>
      </c>
      <c r="Y117" s="209" t="str">
        <f t="shared" si="12"/>
        <v/>
      </c>
      <c r="Z117" s="182"/>
      <c r="AA117" s="183"/>
      <c r="AF117" s="35" t="str">
        <f>IFERROR(INDEX('G-7 Rivers Data'!$AZ$3:$AZ$7,MATCH(D117,'G-7 Rivers Data'!$AY$3:$AY$7,0)),"")</f>
        <v/>
      </c>
      <c r="AG117" s="35">
        <f t="shared" si="13"/>
        <v>0</v>
      </c>
      <c r="AH117" s="188" t="str">
        <f t="shared" si="14"/>
        <v/>
      </c>
      <c r="AI117" s="188" t="str">
        <f t="shared" si="15"/>
        <v/>
      </c>
      <c r="AK117" s="188">
        <v>108</v>
      </c>
      <c r="AM117" s="188" t="str">
        <f t="array" ref="AM117">IFERROR(INDEX($AK$10:$AK$258, MATCH(0, IF(TRUE=$AH$10:$AH$258, COUNTIF($AM$9:$AM116, $AK$10:$AK$258), ""), 0)),"")</f>
        <v/>
      </c>
      <c r="AN117" s="188" t="str">
        <f t="array" ref="AN117">IFERROR(INDEX($AK$10:$AK$258, MATCH(0, IF(TRUE=$AI$10:$AI$258, COUNTIF($AN$9:$AN116, $AK$10:$AK$258), ""), 0)),"")</f>
        <v/>
      </c>
    </row>
    <row r="118" spans="3:40" ht="13.8" x14ac:dyDescent="0.25">
      <c r="C118" s="168">
        <v>109</v>
      </c>
      <c r="D118" s="184"/>
      <c r="E118" s="185"/>
      <c r="F118" s="171" t="str">
        <f>IF(D118="","",VLOOKUP(D118,'G-7 Rivers Data'!$B$2:$G$8,2,FALSE))</f>
        <v/>
      </c>
      <c r="G118" s="172" t="str">
        <f>IFERROR(VLOOKUP(F118,'G-7 Rivers Data'!$C$4:$D$8,2,FALSE),"")</f>
        <v/>
      </c>
      <c r="H118" s="173"/>
      <c r="I118" s="172" t="str">
        <f>IFERROR(INDEX('G-7 Rivers Data'!$H$4:$L$8,MATCH(D118,'G-7 Rivers Data'!$B$4:$B$8,0),MATCH(H118,'G-7 Rivers Data'!$H$3:$L$3,0)),"")</f>
        <v/>
      </c>
      <c r="J118" s="186"/>
      <c r="K118" s="175" t="str">
        <f>IF(J118="","",IF(VLOOKUP(J118,'G-7 Rivers Data'!$AK$4:$AM$9,2,FALSE)=0,"Spatial Data Missing",VLOOKUP(J118,'G-7 Rivers Data'!$AK$4:$AM$9,2,FALSE)))</f>
        <v/>
      </c>
      <c r="L118" s="176" t="str">
        <f>IF(J118="","",IF(VLOOKUP(J118,'G-7 Rivers Data'!$AK$4:$AM$9,3,FALSE)=0,"Spatial Data Missing",VLOOKUP(J118,'G-7 Rivers Data'!$AK$4:$AM$9,3,FALSE)))</f>
        <v/>
      </c>
      <c r="M118" s="79"/>
      <c r="N118" s="172" t="str">
        <f>IF(M118="","",IF(VLOOKUP(M118,'G-7 Rivers Data'!$AA$4:$AB$7,2,FALSE)=0,"Spatial Data Missing",VLOOKUP(M118,'G-7 Rivers Data'!$AA$4:$AB$7,2,FALSE)))</f>
        <v/>
      </c>
      <c r="O118" s="187"/>
      <c r="P118" s="172" t="str">
        <f>IF(O118="","",IF(VLOOKUP(O118,'G-7 Rivers Data'!$AD$4:$AE$8,2,FALSE)=0,"Spatial Data Missing",VLOOKUP(O118,'G-7 Rivers Data'!$AD$4:$AE$8,2,FALSE)))</f>
        <v/>
      </c>
      <c r="Q118" s="177" t="str">
        <f>IF(D118="","",VLOOKUP(D118,'G-7 Rivers Data'!$B$4:$G$8,6,FALSE))</f>
        <v/>
      </c>
      <c r="R118" s="178" t="str">
        <f t="shared" si="8"/>
        <v/>
      </c>
      <c r="S118" s="44"/>
      <c r="T118" s="173"/>
      <c r="U118" s="189"/>
      <c r="V118" s="208" t="str">
        <f t="shared" si="9"/>
        <v/>
      </c>
      <c r="W118" s="208" t="str">
        <f t="shared" si="10"/>
        <v/>
      </c>
      <c r="X118" s="208" t="str">
        <f t="shared" si="11"/>
        <v/>
      </c>
      <c r="Y118" s="209" t="str">
        <f t="shared" si="12"/>
        <v/>
      </c>
      <c r="Z118" s="182"/>
      <c r="AA118" s="183"/>
      <c r="AF118" s="35" t="str">
        <f>IFERROR(INDEX('G-7 Rivers Data'!$AZ$3:$AZ$7,MATCH(D118,'G-7 Rivers Data'!$AY$3:$AY$7,0)),"")</f>
        <v/>
      </c>
      <c r="AG118" s="35">
        <f t="shared" si="13"/>
        <v>0</v>
      </c>
      <c r="AH118" s="188" t="str">
        <f t="shared" si="14"/>
        <v/>
      </c>
      <c r="AI118" s="188" t="str">
        <f t="shared" si="15"/>
        <v/>
      </c>
      <c r="AK118" s="188">
        <v>109</v>
      </c>
      <c r="AM118" s="188" t="str">
        <f t="array" ref="AM118">IFERROR(INDEX($AK$10:$AK$258, MATCH(0, IF(TRUE=$AH$10:$AH$258, COUNTIF($AM$9:$AM117, $AK$10:$AK$258), ""), 0)),"")</f>
        <v/>
      </c>
      <c r="AN118" s="188" t="str">
        <f t="array" ref="AN118">IFERROR(INDEX($AK$10:$AK$258, MATCH(0, IF(TRUE=$AI$10:$AI$258, COUNTIF($AN$9:$AN117, $AK$10:$AK$258), ""), 0)),"")</f>
        <v/>
      </c>
    </row>
    <row r="119" spans="3:40" ht="13.8" x14ac:dyDescent="0.25">
      <c r="C119" s="168">
        <v>110</v>
      </c>
      <c r="D119" s="184"/>
      <c r="E119" s="185"/>
      <c r="F119" s="171" t="str">
        <f>IF(D119="","",VLOOKUP(D119,'G-7 Rivers Data'!$B$2:$G$8,2,FALSE))</f>
        <v/>
      </c>
      <c r="G119" s="172" t="str">
        <f>IFERROR(VLOOKUP(F119,'G-7 Rivers Data'!$C$4:$D$8,2,FALSE),"")</f>
        <v/>
      </c>
      <c r="H119" s="173"/>
      <c r="I119" s="172" t="str">
        <f>IFERROR(INDEX('G-7 Rivers Data'!$H$4:$L$8,MATCH(D119,'G-7 Rivers Data'!$B$4:$B$8,0),MATCH(H119,'G-7 Rivers Data'!$H$3:$L$3,0)),"")</f>
        <v/>
      </c>
      <c r="J119" s="186"/>
      <c r="K119" s="175" t="str">
        <f>IF(J119="","",IF(VLOOKUP(J119,'G-7 Rivers Data'!$AK$4:$AM$9,2,FALSE)=0,"Spatial Data Missing",VLOOKUP(J119,'G-7 Rivers Data'!$AK$4:$AM$9,2,FALSE)))</f>
        <v/>
      </c>
      <c r="L119" s="176" t="str">
        <f>IF(J119="","",IF(VLOOKUP(J119,'G-7 Rivers Data'!$AK$4:$AM$9,3,FALSE)=0,"Spatial Data Missing",VLOOKUP(J119,'G-7 Rivers Data'!$AK$4:$AM$9,3,FALSE)))</f>
        <v/>
      </c>
      <c r="M119" s="79"/>
      <c r="N119" s="172" t="str">
        <f>IF(M119="","",IF(VLOOKUP(M119,'G-7 Rivers Data'!$AA$4:$AB$7,2,FALSE)=0,"Spatial Data Missing",VLOOKUP(M119,'G-7 Rivers Data'!$AA$4:$AB$7,2,FALSE)))</f>
        <v/>
      </c>
      <c r="O119" s="187"/>
      <c r="P119" s="172" t="str">
        <f>IF(O119="","",IF(VLOOKUP(O119,'G-7 Rivers Data'!$AD$4:$AE$8,2,FALSE)=0,"Spatial Data Missing",VLOOKUP(O119,'G-7 Rivers Data'!$AD$4:$AE$8,2,FALSE)))</f>
        <v/>
      </c>
      <c r="Q119" s="177" t="str">
        <f>IF(D119="","",VLOOKUP(D119,'G-7 Rivers Data'!$B$4:$G$8,6,FALSE))</f>
        <v/>
      </c>
      <c r="R119" s="178" t="str">
        <f t="shared" si="8"/>
        <v/>
      </c>
      <c r="S119" s="44"/>
      <c r="T119" s="173"/>
      <c r="U119" s="189"/>
      <c r="V119" s="208" t="str">
        <f t="shared" si="9"/>
        <v/>
      </c>
      <c r="W119" s="208" t="str">
        <f t="shared" si="10"/>
        <v/>
      </c>
      <c r="X119" s="208" t="str">
        <f t="shared" si="11"/>
        <v/>
      </c>
      <c r="Y119" s="209" t="str">
        <f t="shared" si="12"/>
        <v/>
      </c>
      <c r="Z119" s="182"/>
      <c r="AA119" s="183"/>
      <c r="AF119" s="35" t="str">
        <f>IFERROR(INDEX('G-7 Rivers Data'!$AZ$3:$AZ$7,MATCH(D119,'G-7 Rivers Data'!$AY$3:$AY$7,0)),"")</f>
        <v/>
      </c>
      <c r="AG119" s="35">
        <f t="shared" si="13"/>
        <v>0</v>
      </c>
      <c r="AH119" s="188" t="str">
        <f t="shared" si="14"/>
        <v/>
      </c>
      <c r="AI119" s="188" t="str">
        <f t="shared" si="15"/>
        <v/>
      </c>
      <c r="AK119" s="188">
        <v>110</v>
      </c>
      <c r="AM119" s="188" t="str">
        <f t="array" ref="AM119">IFERROR(INDEX($AK$10:$AK$258, MATCH(0, IF(TRUE=$AH$10:$AH$258, COUNTIF($AM$9:$AM118, $AK$10:$AK$258), ""), 0)),"")</f>
        <v/>
      </c>
      <c r="AN119" s="188" t="str">
        <f t="array" ref="AN119">IFERROR(INDEX($AK$10:$AK$258, MATCH(0, IF(TRUE=$AI$10:$AI$258, COUNTIF($AN$9:$AN118, $AK$10:$AK$258), ""), 0)),"")</f>
        <v/>
      </c>
    </row>
    <row r="120" spans="3:40" ht="13.8" x14ac:dyDescent="0.25">
      <c r="C120" s="168">
        <v>111</v>
      </c>
      <c r="D120" s="184"/>
      <c r="E120" s="185"/>
      <c r="F120" s="171" t="str">
        <f>IF(D120="","",VLOOKUP(D120,'G-7 Rivers Data'!$B$2:$G$8,2,FALSE))</f>
        <v/>
      </c>
      <c r="G120" s="172" t="str">
        <f>IFERROR(VLOOKUP(F120,'G-7 Rivers Data'!$C$4:$D$8,2,FALSE),"")</f>
        <v/>
      </c>
      <c r="H120" s="173"/>
      <c r="I120" s="172" t="str">
        <f>IFERROR(INDEX('G-7 Rivers Data'!$H$4:$L$8,MATCH(D120,'G-7 Rivers Data'!$B$4:$B$8,0),MATCH(H120,'G-7 Rivers Data'!$H$3:$L$3,0)),"")</f>
        <v/>
      </c>
      <c r="J120" s="186"/>
      <c r="K120" s="175" t="str">
        <f>IF(J120="","",IF(VLOOKUP(J120,'G-7 Rivers Data'!$AK$4:$AM$9,2,FALSE)=0,"Spatial Data Missing",VLOOKUP(J120,'G-7 Rivers Data'!$AK$4:$AM$9,2,FALSE)))</f>
        <v/>
      </c>
      <c r="L120" s="176" t="str">
        <f>IF(J120="","",IF(VLOOKUP(J120,'G-7 Rivers Data'!$AK$4:$AM$9,3,FALSE)=0,"Spatial Data Missing",VLOOKUP(J120,'G-7 Rivers Data'!$AK$4:$AM$9,3,FALSE)))</f>
        <v/>
      </c>
      <c r="M120" s="79"/>
      <c r="N120" s="172" t="str">
        <f>IF(M120="","",IF(VLOOKUP(M120,'G-7 Rivers Data'!$AA$4:$AB$7,2,FALSE)=0,"Spatial Data Missing",VLOOKUP(M120,'G-7 Rivers Data'!$AA$4:$AB$7,2,FALSE)))</f>
        <v/>
      </c>
      <c r="O120" s="187"/>
      <c r="P120" s="172" t="str">
        <f>IF(O120="","",IF(VLOOKUP(O120,'G-7 Rivers Data'!$AD$4:$AE$8,2,FALSE)=0,"Spatial Data Missing",VLOOKUP(O120,'G-7 Rivers Data'!$AD$4:$AE$8,2,FALSE)))</f>
        <v/>
      </c>
      <c r="Q120" s="177" t="str">
        <f>IF(D120="","",VLOOKUP(D120,'G-7 Rivers Data'!$B$4:$G$8,6,FALSE))</f>
        <v/>
      </c>
      <c r="R120" s="178" t="str">
        <f t="shared" si="8"/>
        <v/>
      </c>
      <c r="S120" s="44"/>
      <c r="T120" s="173"/>
      <c r="U120" s="189"/>
      <c r="V120" s="208" t="str">
        <f t="shared" si="9"/>
        <v/>
      </c>
      <c r="W120" s="208" t="str">
        <f t="shared" si="10"/>
        <v/>
      </c>
      <c r="X120" s="208" t="str">
        <f t="shared" si="11"/>
        <v/>
      </c>
      <c r="Y120" s="209" t="str">
        <f t="shared" si="12"/>
        <v/>
      </c>
      <c r="Z120" s="182"/>
      <c r="AA120" s="183"/>
      <c r="AF120" s="35" t="str">
        <f>IFERROR(INDEX('G-7 Rivers Data'!$AZ$3:$AZ$7,MATCH(D120,'G-7 Rivers Data'!$AY$3:$AY$7,0)),"")</f>
        <v/>
      </c>
      <c r="AG120" s="35">
        <f t="shared" si="13"/>
        <v>0</v>
      </c>
      <c r="AH120" s="188" t="str">
        <f t="shared" si="14"/>
        <v/>
      </c>
      <c r="AI120" s="188" t="str">
        <f t="shared" si="15"/>
        <v/>
      </c>
      <c r="AK120" s="188">
        <v>111</v>
      </c>
      <c r="AM120" s="188" t="str">
        <f t="array" ref="AM120">IFERROR(INDEX($AK$10:$AK$258, MATCH(0, IF(TRUE=$AH$10:$AH$258, COUNTIF($AM$9:$AM119, $AK$10:$AK$258), ""), 0)),"")</f>
        <v/>
      </c>
      <c r="AN120" s="188" t="str">
        <f t="array" ref="AN120">IFERROR(INDEX($AK$10:$AK$258, MATCH(0, IF(TRUE=$AI$10:$AI$258, COUNTIF($AN$9:$AN119, $AK$10:$AK$258), ""), 0)),"")</f>
        <v/>
      </c>
    </row>
    <row r="121" spans="3:40" ht="13.8" x14ac:dyDescent="0.25">
      <c r="C121" s="168">
        <v>112</v>
      </c>
      <c r="D121" s="184"/>
      <c r="E121" s="185"/>
      <c r="F121" s="171" t="str">
        <f>IF(D121="","",VLOOKUP(D121,'G-7 Rivers Data'!$B$2:$G$8,2,FALSE))</f>
        <v/>
      </c>
      <c r="G121" s="172" t="str">
        <f>IFERROR(VLOOKUP(F121,'G-7 Rivers Data'!$C$4:$D$8,2,FALSE),"")</f>
        <v/>
      </c>
      <c r="H121" s="173"/>
      <c r="I121" s="172" t="str">
        <f>IFERROR(INDEX('G-7 Rivers Data'!$H$4:$L$8,MATCH(D121,'G-7 Rivers Data'!$B$4:$B$8,0),MATCH(H121,'G-7 Rivers Data'!$H$3:$L$3,0)),"")</f>
        <v/>
      </c>
      <c r="J121" s="186"/>
      <c r="K121" s="175" t="str">
        <f>IF(J121="","",IF(VLOOKUP(J121,'G-7 Rivers Data'!$AK$4:$AM$9,2,FALSE)=0,"Spatial Data Missing",VLOOKUP(J121,'G-7 Rivers Data'!$AK$4:$AM$9,2,FALSE)))</f>
        <v/>
      </c>
      <c r="L121" s="176" t="str">
        <f>IF(J121="","",IF(VLOOKUP(J121,'G-7 Rivers Data'!$AK$4:$AM$9,3,FALSE)=0,"Spatial Data Missing",VLOOKUP(J121,'G-7 Rivers Data'!$AK$4:$AM$9,3,FALSE)))</f>
        <v/>
      </c>
      <c r="M121" s="79"/>
      <c r="N121" s="172" t="str">
        <f>IF(M121="","",IF(VLOOKUP(M121,'G-7 Rivers Data'!$AA$4:$AB$7,2,FALSE)=0,"Spatial Data Missing",VLOOKUP(M121,'G-7 Rivers Data'!$AA$4:$AB$7,2,FALSE)))</f>
        <v/>
      </c>
      <c r="O121" s="187"/>
      <c r="P121" s="172" t="str">
        <f>IF(O121="","",IF(VLOOKUP(O121,'G-7 Rivers Data'!$AD$4:$AE$8,2,FALSE)=0,"Spatial Data Missing",VLOOKUP(O121,'G-7 Rivers Data'!$AD$4:$AE$8,2,FALSE)))</f>
        <v/>
      </c>
      <c r="Q121" s="177" t="str">
        <f>IF(D121="","",VLOOKUP(D121,'G-7 Rivers Data'!$B$4:$G$8,6,FALSE))</f>
        <v/>
      </c>
      <c r="R121" s="178" t="str">
        <f t="shared" si="8"/>
        <v/>
      </c>
      <c r="S121" s="44"/>
      <c r="T121" s="173"/>
      <c r="U121" s="189"/>
      <c r="V121" s="208" t="str">
        <f t="shared" si="9"/>
        <v/>
      </c>
      <c r="W121" s="208" t="str">
        <f t="shared" si="10"/>
        <v/>
      </c>
      <c r="X121" s="208" t="str">
        <f t="shared" si="11"/>
        <v/>
      </c>
      <c r="Y121" s="209" t="str">
        <f t="shared" si="12"/>
        <v/>
      </c>
      <c r="Z121" s="182"/>
      <c r="AA121" s="183"/>
      <c r="AF121" s="35" t="str">
        <f>IFERROR(INDEX('G-7 Rivers Data'!$AZ$3:$AZ$7,MATCH(D121,'G-7 Rivers Data'!$AY$3:$AY$7,0)),"")</f>
        <v/>
      </c>
      <c r="AG121" s="35">
        <f t="shared" si="13"/>
        <v>0</v>
      </c>
      <c r="AH121" s="188" t="str">
        <f t="shared" si="14"/>
        <v/>
      </c>
      <c r="AI121" s="188" t="str">
        <f t="shared" si="15"/>
        <v/>
      </c>
      <c r="AK121" s="188">
        <v>112</v>
      </c>
      <c r="AM121" s="188" t="str">
        <f t="array" ref="AM121">IFERROR(INDEX($AK$10:$AK$258, MATCH(0, IF(TRUE=$AH$10:$AH$258, COUNTIF($AM$9:$AM120, $AK$10:$AK$258), ""), 0)),"")</f>
        <v/>
      </c>
      <c r="AN121" s="188" t="str">
        <f t="array" ref="AN121">IFERROR(INDEX($AK$10:$AK$258, MATCH(0, IF(TRUE=$AI$10:$AI$258, COUNTIF($AN$9:$AN120, $AK$10:$AK$258), ""), 0)),"")</f>
        <v/>
      </c>
    </row>
    <row r="122" spans="3:40" ht="13.8" x14ac:dyDescent="0.25">
      <c r="C122" s="168">
        <v>113</v>
      </c>
      <c r="D122" s="184"/>
      <c r="E122" s="185"/>
      <c r="F122" s="171" t="str">
        <f>IF(D122="","",VLOOKUP(D122,'G-7 Rivers Data'!$B$2:$G$8,2,FALSE))</f>
        <v/>
      </c>
      <c r="G122" s="172" t="str">
        <f>IFERROR(VLOOKUP(F122,'G-7 Rivers Data'!$C$4:$D$8,2,FALSE),"")</f>
        <v/>
      </c>
      <c r="H122" s="173"/>
      <c r="I122" s="172" t="str">
        <f>IFERROR(INDEX('G-7 Rivers Data'!$H$4:$L$8,MATCH(D122,'G-7 Rivers Data'!$B$4:$B$8,0),MATCH(H122,'G-7 Rivers Data'!$H$3:$L$3,0)),"")</f>
        <v/>
      </c>
      <c r="J122" s="186"/>
      <c r="K122" s="175" t="str">
        <f>IF(J122="","",IF(VLOOKUP(J122,'G-7 Rivers Data'!$AK$4:$AM$9,2,FALSE)=0,"Spatial Data Missing",VLOOKUP(J122,'G-7 Rivers Data'!$AK$4:$AM$9,2,FALSE)))</f>
        <v/>
      </c>
      <c r="L122" s="176" t="str">
        <f>IF(J122="","",IF(VLOOKUP(J122,'G-7 Rivers Data'!$AK$4:$AM$9,3,FALSE)=0,"Spatial Data Missing",VLOOKUP(J122,'G-7 Rivers Data'!$AK$4:$AM$9,3,FALSE)))</f>
        <v/>
      </c>
      <c r="M122" s="79"/>
      <c r="N122" s="172" t="str">
        <f>IF(M122="","",IF(VLOOKUP(M122,'G-7 Rivers Data'!$AA$4:$AB$7,2,FALSE)=0,"Spatial Data Missing",VLOOKUP(M122,'G-7 Rivers Data'!$AA$4:$AB$7,2,FALSE)))</f>
        <v/>
      </c>
      <c r="O122" s="187"/>
      <c r="P122" s="172" t="str">
        <f>IF(O122="","",IF(VLOOKUP(O122,'G-7 Rivers Data'!$AD$4:$AE$8,2,FALSE)=0,"Spatial Data Missing",VLOOKUP(O122,'G-7 Rivers Data'!$AD$4:$AE$8,2,FALSE)))</f>
        <v/>
      </c>
      <c r="Q122" s="177" t="str">
        <f>IF(D122="","",VLOOKUP(D122,'G-7 Rivers Data'!$B$4:$G$8,6,FALSE))</f>
        <v/>
      </c>
      <c r="R122" s="178" t="str">
        <f t="shared" si="8"/>
        <v/>
      </c>
      <c r="S122" s="44"/>
      <c r="T122" s="173"/>
      <c r="U122" s="189"/>
      <c r="V122" s="208" t="str">
        <f t="shared" si="9"/>
        <v/>
      </c>
      <c r="W122" s="208" t="str">
        <f t="shared" si="10"/>
        <v/>
      </c>
      <c r="X122" s="208" t="str">
        <f t="shared" si="11"/>
        <v/>
      </c>
      <c r="Y122" s="209" t="str">
        <f t="shared" si="12"/>
        <v/>
      </c>
      <c r="Z122" s="182"/>
      <c r="AA122" s="183"/>
      <c r="AF122" s="35" t="str">
        <f>IFERROR(INDEX('G-7 Rivers Data'!$AZ$3:$AZ$7,MATCH(D122,'G-7 Rivers Data'!$AY$3:$AY$7,0)),"")</f>
        <v/>
      </c>
      <c r="AG122" s="35">
        <f t="shared" si="13"/>
        <v>0</v>
      </c>
      <c r="AH122" s="188" t="str">
        <f t="shared" si="14"/>
        <v/>
      </c>
      <c r="AI122" s="188" t="str">
        <f t="shared" si="15"/>
        <v/>
      </c>
      <c r="AK122" s="188">
        <v>113</v>
      </c>
      <c r="AM122" s="188" t="str">
        <f t="array" ref="AM122">IFERROR(INDEX($AK$10:$AK$258, MATCH(0, IF(TRUE=$AH$10:$AH$258, COUNTIF($AM$9:$AM121, $AK$10:$AK$258), ""), 0)),"")</f>
        <v/>
      </c>
      <c r="AN122" s="188" t="str">
        <f t="array" ref="AN122">IFERROR(INDEX($AK$10:$AK$258, MATCH(0, IF(TRUE=$AI$10:$AI$258, COUNTIF($AN$9:$AN121, $AK$10:$AK$258), ""), 0)),"")</f>
        <v/>
      </c>
    </row>
    <row r="123" spans="3:40" ht="13.8" x14ac:dyDescent="0.25">
      <c r="C123" s="168">
        <v>114</v>
      </c>
      <c r="D123" s="184"/>
      <c r="E123" s="185"/>
      <c r="F123" s="171" t="str">
        <f>IF(D123="","",VLOOKUP(D123,'G-7 Rivers Data'!$B$2:$G$8,2,FALSE))</f>
        <v/>
      </c>
      <c r="G123" s="172" t="str">
        <f>IFERROR(VLOOKUP(F123,'G-7 Rivers Data'!$C$4:$D$8,2,FALSE),"")</f>
        <v/>
      </c>
      <c r="H123" s="173"/>
      <c r="I123" s="172" t="str">
        <f>IFERROR(INDEX('G-7 Rivers Data'!$H$4:$L$8,MATCH(D123,'G-7 Rivers Data'!$B$4:$B$8,0),MATCH(H123,'G-7 Rivers Data'!$H$3:$L$3,0)),"")</f>
        <v/>
      </c>
      <c r="J123" s="186"/>
      <c r="K123" s="175" t="str">
        <f>IF(J123="","",IF(VLOOKUP(J123,'G-7 Rivers Data'!$AK$4:$AM$9,2,FALSE)=0,"Spatial Data Missing",VLOOKUP(J123,'G-7 Rivers Data'!$AK$4:$AM$9,2,FALSE)))</f>
        <v/>
      </c>
      <c r="L123" s="176" t="str">
        <f>IF(J123="","",IF(VLOOKUP(J123,'G-7 Rivers Data'!$AK$4:$AM$9,3,FALSE)=0,"Spatial Data Missing",VLOOKUP(J123,'G-7 Rivers Data'!$AK$4:$AM$9,3,FALSE)))</f>
        <v/>
      </c>
      <c r="M123" s="79"/>
      <c r="N123" s="172" t="str">
        <f>IF(M123="","",IF(VLOOKUP(M123,'G-7 Rivers Data'!$AA$4:$AB$7,2,FALSE)=0,"Spatial Data Missing",VLOOKUP(M123,'G-7 Rivers Data'!$AA$4:$AB$7,2,FALSE)))</f>
        <v/>
      </c>
      <c r="O123" s="187"/>
      <c r="P123" s="172" t="str">
        <f>IF(O123="","",IF(VLOOKUP(O123,'G-7 Rivers Data'!$AD$4:$AE$8,2,FALSE)=0,"Spatial Data Missing",VLOOKUP(O123,'G-7 Rivers Data'!$AD$4:$AE$8,2,FALSE)))</f>
        <v/>
      </c>
      <c r="Q123" s="177" t="str">
        <f>IF(D123="","",VLOOKUP(D123,'G-7 Rivers Data'!$B$4:$G$8,6,FALSE))</f>
        <v/>
      </c>
      <c r="R123" s="178" t="str">
        <f t="shared" si="8"/>
        <v/>
      </c>
      <c r="S123" s="44"/>
      <c r="T123" s="173"/>
      <c r="U123" s="189"/>
      <c r="V123" s="208" t="str">
        <f t="shared" si="9"/>
        <v/>
      </c>
      <c r="W123" s="208" t="str">
        <f t="shared" si="10"/>
        <v/>
      </c>
      <c r="X123" s="208" t="str">
        <f t="shared" si="11"/>
        <v/>
      </c>
      <c r="Y123" s="209" t="str">
        <f t="shared" si="12"/>
        <v/>
      </c>
      <c r="Z123" s="182"/>
      <c r="AA123" s="183"/>
      <c r="AF123" s="35" t="str">
        <f>IFERROR(INDEX('G-7 Rivers Data'!$AZ$3:$AZ$7,MATCH(D123,'G-7 Rivers Data'!$AY$3:$AY$7,0)),"")</f>
        <v/>
      </c>
      <c r="AG123" s="35">
        <f t="shared" si="13"/>
        <v>0</v>
      </c>
      <c r="AH123" s="188" t="str">
        <f t="shared" si="14"/>
        <v/>
      </c>
      <c r="AI123" s="188" t="str">
        <f t="shared" si="15"/>
        <v/>
      </c>
      <c r="AK123" s="188">
        <v>114</v>
      </c>
      <c r="AM123" s="188" t="str">
        <f t="array" ref="AM123">IFERROR(INDEX($AK$10:$AK$258, MATCH(0, IF(TRUE=$AH$10:$AH$258, COUNTIF($AM$9:$AM122, $AK$10:$AK$258), ""), 0)),"")</f>
        <v/>
      </c>
      <c r="AN123" s="188" t="str">
        <f t="array" ref="AN123">IFERROR(INDEX($AK$10:$AK$258, MATCH(0, IF(TRUE=$AI$10:$AI$258, COUNTIF($AN$9:$AN122, $AK$10:$AK$258), ""), 0)),"")</f>
        <v/>
      </c>
    </row>
    <row r="124" spans="3:40" ht="13.8" x14ac:dyDescent="0.25">
      <c r="C124" s="168">
        <v>115</v>
      </c>
      <c r="D124" s="184"/>
      <c r="E124" s="185"/>
      <c r="F124" s="171" t="str">
        <f>IF(D124="","",VLOOKUP(D124,'G-7 Rivers Data'!$B$2:$G$8,2,FALSE))</f>
        <v/>
      </c>
      <c r="G124" s="172" t="str">
        <f>IFERROR(VLOOKUP(F124,'G-7 Rivers Data'!$C$4:$D$8,2,FALSE),"")</f>
        <v/>
      </c>
      <c r="H124" s="173"/>
      <c r="I124" s="172" t="str">
        <f>IFERROR(INDEX('G-7 Rivers Data'!$H$4:$L$8,MATCH(D124,'G-7 Rivers Data'!$B$4:$B$8,0),MATCH(H124,'G-7 Rivers Data'!$H$3:$L$3,0)),"")</f>
        <v/>
      </c>
      <c r="J124" s="186"/>
      <c r="K124" s="175" t="str">
        <f>IF(J124="","",IF(VLOOKUP(J124,'G-7 Rivers Data'!$AK$4:$AM$9,2,FALSE)=0,"Spatial Data Missing",VLOOKUP(J124,'G-7 Rivers Data'!$AK$4:$AM$9,2,FALSE)))</f>
        <v/>
      </c>
      <c r="L124" s="176" t="str">
        <f>IF(J124="","",IF(VLOOKUP(J124,'G-7 Rivers Data'!$AK$4:$AM$9,3,FALSE)=0,"Spatial Data Missing",VLOOKUP(J124,'G-7 Rivers Data'!$AK$4:$AM$9,3,FALSE)))</f>
        <v/>
      </c>
      <c r="M124" s="79"/>
      <c r="N124" s="172" t="str">
        <f>IF(M124="","",IF(VLOOKUP(M124,'G-7 Rivers Data'!$AA$4:$AB$7,2,FALSE)=0,"Spatial Data Missing",VLOOKUP(M124,'G-7 Rivers Data'!$AA$4:$AB$7,2,FALSE)))</f>
        <v/>
      </c>
      <c r="O124" s="187"/>
      <c r="P124" s="172" t="str">
        <f>IF(O124="","",IF(VLOOKUP(O124,'G-7 Rivers Data'!$AD$4:$AE$8,2,FALSE)=0,"Spatial Data Missing",VLOOKUP(O124,'G-7 Rivers Data'!$AD$4:$AE$8,2,FALSE)))</f>
        <v/>
      </c>
      <c r="Q124" s="177" t="str">
        <f>IF(D124="","",VLOOKUP(D124,'G-7 Rivers Data'!$B$4:$G$8,6,FALSE))</f>
        <v/>
      </c>
      <c r="R124" s="178" t="str">
        <f t="shared" si="8"/>
        <v/>
      </c>
      <c r="S124" s="44"/>
      <c r="T124" s="173"/>
      <c r="U124" s="189"/>
      <c r="V124" s="208" t="str">
        <f t="shared" si="9"/>
        <v/>
      </c>
      <c r="W124" s="208" t="str">
        <f t="shared" si="10"/>
        <v/>
      </c>
      <c r="X124" s="208" t="str">
        <f t="shared" si="11"/>
        <v/>
      </c>
      <c r="Y124" s="209" t="str">
        <f t="shared" si="12"/>
        <v/>
      </c>
      <c r="Z124" s="182"/>
      <c r="AA124" s="183"/>
      <c r="AF124" s="35" t="str">
        <f>IFERROR(INDEX('G-7 Rivers Data'!$AZ$3:$AZ$7,MATCH(D124,'G-7 Rivers Data'!$AY$3:$AY$7,0)),"")</f>
        <v/>
      </c>
      <c r="AG124" s="35">
        <f t="shared" si="13"/>
        <v>0</v>
      </c>
      <c r="AH124" s="188" t="str">
        <f t="shared" si="14"/>
        <v/>
      </c>
      <c r="AI124" s="188" t="str">
        <f t="shared" si="15"/>
        <v/>
      </c>
      <c r="AK124" s="188">
        <v>115</v>
      </c>
      <c r="AM124" s="188" t="str">
        <f t="array" ref="AM124">IFERROR(INDEX($AK$10:$AK$258, MATCH(0, IF(TRUE=$AH$10:$AH$258, COUNTIF($AM$9:$AM123, $AK$10:$AK$258), ""), 0)),"")</f>
        <v/>
      </c>
      <c r="AN124" s="188" t="str">
        <f t="array" ref="AN124">IFERROR(INDEX($AK$10:$AK$258, MATCH(0, IF(TRUE=$AI$10:$AI$258, COUNTIF($AN$9:$AN123, $AK$10:$AK$258), ""), 0)),"")</f>
        <v/>
      </c>
    </row>
    <row r="125" spans="3:40" ht="13.8" x14ac:dyDescent="0.25">
      <c r="C125" s="168">
        <v>116</v>
      </c>
      <c r="D125" s="184"/>
      <c r="E125" s="185"/>
      <c r="F125" s="171" t="str">
        <f>IF(D125="","",VLOOKUP(D125,'G-7 Rivers Data'!$B$2:$G$8,2,FALSE))</f>
        <v/>
      </c>
      <c r="G125" s="172" t="str">
        <f>IFERROR(VLOOKUP(F125,'G-7 Rivers Data'!$C$4:$D$8,2,FALSE),"")</f>
        <v/>
      </c>
      <c r="H125" s="173"/>
      <c r="I125" s="172" t="str">
        <f>IFERROR(INDEX('G-7 Rivers Data'!$H$4:$L$8,MATCH(D125,'G-7 Rivers Data'!$B$4:$B$8,0),MATCH(H125,'G-7 Rivers Data'!$H$3:$L$3,0)),"")</f>
        <v/>
      </c>
      <c r="J125" s="186"/>
      <c r="K125" s="175" t="str">
        <f>IF(J125="","",IF(VLOOKUP(J125,'G-7 Rivers Data'!$AK$4:$AM$9,2,FALSE)=0,"Spatial Data Missing",VLOOKUP(J125,'G-7 Rivers Data'!$AK$4:$AM$9,2,FALSE)))</f>
        <v/>
      </c>
      <c r="L125" s="176" t="str">
        <f>IF(J125="","",IF(VLOOKUP(J125,'G-7 Rivers Data'!$AK$4:$AM$9,3,FALSE)=0,"Spatial Data Missing",VLOOKUP(J125,'G-7 Rivers Data'!$AK$4:$AM$9,3,FALSE)))</f>
        <v/>
      </c>
      <c r="M125" s="79"/>
      <c r="N125" s="172" t="str">
        <f>IF(M125="","",IF(VLOOKUP(M125,'G-7 Rivers Data'!$AA$4:$AB$7,2,FALSE)=0,"Spatial Data Missing",VLOOKUP(M125,'G-7 Rivers Data'!$AA$4:$AB$7,2,FALSE)))</f>
        <v/>
      </c>
      <c r="O125" s="187"/>
      <c r="P125" s="172" t="str">
        <f>IF(O125="","",IF(VLOOKUP(O125,'G-7 Rivers Data'!$AD$4:$AE$8,2,FALSE)=0,"Spatial Data Missing",VLOOKUP(O125,'G-7 Rivers Data'!$AD$4:$AE$8,2,FALSE)))</f>
        <v/>
      </c>
      <c r="Q125" s="177" t="str">
        <f>IF(D125="","",VLOOKUP(D125,'G-7 Rivers Data'!$B$4:$G$8,6,FALSE))</f>
        <v/>
      </c>
      <c r="R125" s="178" t="str">
        <f t="shared" si="8"/>
        <v/>
      </c>
      <c r="S125" s="44"/>
      <c r="T125" s="173"/>
      <c r="U125" s="189"/>
      <c r="V125" s="208" t="str">
        <f t="shared" si="9"/>
        <v/>
      </c>
      <c r="W125" s="208" t="str">
        <f t="shared" si="10"/>
        <v/>
      </c>
      <c r="X125" s="208" t="str">
        <f t="shared" si="11"/>
        <v/>
      </c>
      <c r="Y125" s="209" t="str">
        <f t="shared" si="12"/>
        <v/>
      </c>
      <c r="Z125" s="182"/>
      <c r="AA125" s="183"/>
      <c r="AF125" s="35" t="str">
        <f>IFERROR(INDEX('G-7 Rivers Data'!$AZ$3:$AZ$7,MATCH(D125,'G-7 Rivers Data'!$AY$3:$AY$7,0)),"")</f>
        <v/>
      </c>
      <c r="AG125" s="35">
        <f t="shared" si="13"/>
        <v>0</v>
      </c>
      <c r="AH125" s="188" t="str">
        <f t="shared" si="14"/>
        <v/>
      </c>
      <c r="AI125" s="188" t="str">
        <f t="shared" si="15"/>
        <v/>
      </c>
      <c r="AK125" s="188">
        <v>116</v>
      </c>
      <c r="AM125" s="188" t="str">
        <f t="array" ref="AM125">IFERROR(INDEX($AK$10:$AK$258, MATCH(0, IF(TRUE=$AH$10:$AH$258, COUNTIF($AM$9:$AM124, $AK$10:$AK$258), ""), 0)),"")</f>
        <v/>
      </c>
      <c r="AN125" s="188" t="str">
        <f t="array" ref="AN125">IFERROR(INDEX($AK$10:$AK$258, MATCH(0, IF(TRUE=$AI$10:$AI$258, COUNTIF($AN$9:$AN124, $AK$10:$AK$258), ""), 0)),"")</f>
        <v/>
      </c>
    </row>
    <row r="126" spans="3:40" ht="13.8" x14ac:dyDescent="0.25">
      <c r="C126" s="168">
        <v>117</v>
      </c>
      <c r="D126" s="184"/>
      <c r="E126" s="185"/>
      <c r="F126" s="171" t="str">
        <f>IF(D126="","",VLOOKUP(D126,'G-7 Rivers Data'!$B$2:$G$8,2,FALSE))</f>
        <v/>
      </c>
      <c r="G126" s="172" t="str">
        <f>IFERROR(VLOOKUP(F126,'G-7 Rivers Data'!$C$4:$D$8,2,FALSE),"")</f>
        <v/>
      </c>
      <c r="H126" s="173"/>
      <c r="I126" s="172" t="str">
        <f>IFERROR(INDEX('G-7 Rivers Data'!$H$4:$L$8,MATCH(D126,'G-7 Rivers Data'!$B$4:$B$8,0),MATCH(H126,'G-7 Rivers Data'!$H$3:$L$3,0)),"")</f>
        <v/>
      </c>
      <c r="J126" s="186"/>
      <c r="K126" s="175" t="str">
        <f>IF(J126="","",IF(VLOOKUP(J126,'G-7 Rivers Data'!$AK$4:$AM$9,2,FALSE)=0,"Spatial Data Missing",VLOOKUP(J126,'G-7 Rivers Data'!$AK$4:$AM$9,2,FALSE)))</f>
        <v/>
      </c>
      <c r="L126" s="176" t="str">
        <f>IF(J126="","",IF(VLOOKUP(J126,'G-7 Rivers Data'!$AK$4:$AM$9,3,FALSE)=0,"Spatial Data Missing",VLOOKUP(J126,'G-7 Rivers Data'!$AK$4:$AM$9,3,FALSE)))</f>
        <v/>
      </c>
      <c r="M126" s="79"/>
      <c r="N126" s="172" t="str">
        <f>IF(M126="","",IF(VLOOKUP(M126,'G-7 Rivers Data'!$AA$4:$AB$7,2,FALSE)=0,"Spatial Data Missing",VLOOKUP(M126,'G-7 Rivers Data'!$AA$4:$AB$7,2,FALSE)))</f>
        <v/>
      </c>
      <c r="O126" s="187"/>
      <c r="P126" s="172" t="str">
        <f>IF(O126="","",IF(VLOOKUP(O126,'G-7 Rivers Data'!$AD$4:$AE$8,2,FALSE)=0,"Spatial Data Missing",VLOOKUP(O126,'G-7 Rivers Data'!$AD$4:$AE$8,2,FALSE)))</f>
        <v/>
      </c>
      <c r="Q126" s="177" t="str">
        <f>IF(D126="","",VLOOKUP(D126,'G-7 Rivers Data'!$B$4:$G$8,6,FALSE))</f>
        <v/>
      </c>
      <c r="R126" s="178" t="str">
        <f t="shared" si="8"/>
        <v/>
      </c>
      <c r="S126" s="44"/>
      <c r="T126" s="173"/>
      <c r="U126" s="189"/>
      <c r="V126" s="208" t="str">
        <f t="shared" si="9"/>
        <v/>
      </c>
      <c r="W126" s="208" t="str">
        <f t="shared" si="10"/>
        <v/>
      </c>
      <c r="X126" s="208" t="str">
        <f t="shared" si="11"/>
        <v/>
      </c>
      <c r="Y126" s="209" t="str">
        <f t="shared" si="12"/>
        <v/>
      </c>
      <c r="Z126" s="182"/>
      <c r="AA126" s="183"/>
      <c r="AF126" s="35" t="str">
        <f>IFERROR(INDEX('G-7 Rivers Data'!$AZ$3:$AZ$7,MATCH(D126,'G-7 Rivers Data'!$AY$3:$AY$7,0)),"")</f>
        <v/>
      </c>
      <c r="AG126" s="35">
        <f t="shared" si="13"/>
        <v>0</v>
      </c>
      <c r="AH126" s="188" t="str">
        <f t="shared" si="14"/>
        <v/>
      </c>
      <c r="AI126" s="188" t="str">
        <f t="shared" si="15"/>
        <v/>
      </c>
      <c r="AK126" s="188">
        <v>117</v>
      </c>
      <c r="AM126" s="188" t="str">
        <f t="array" ref="AM126">IFERROR(INDEX($AK$10:$AK$258, MATCH(0, IF(TRUE=$AH$10:$AH$258, COUNTIF($AM$9:$AM125, $AK$10:$AK$258), ""), 0)),"")</f>
        <v/>
      </c>
      <c r="AN126" s="188" t="str">
        <f t="array" ref="AN126">IFERROR(INDEX($AK$10:$AK$258, MATCH(0, IF(TRUE=$AI$10:$AI$258, COUNTIF($AN$9:$AN125, $AK$10:$AK$258), ""), 0)),"")</f>
        <v/>
      </c>
    </row>
    <row r="127" spans="3:40" ht="13.8" x14ac:dyDescent="0.25">
      <c r="C127" s="168">
        <v>118</v>
      </c>
      <c r="D127" s="184"/>
      <c r="E127" s="185"/>
      <c r="F127" s="171" t="str">
        <f>IF(D127="","",VLOOKUP(D127,'G-7 Rivers Data'!$B$2:$G$8,2,FALSE))</f>
        <v/>
      </c>
      <c r="G127" s="172" t="str">
        <f>IFERROR(VLOOKUP(F127,'G-7 Rivers Data'!$C$4:$D$8,2,FALSE),"")</f>
        <v/>
      </c>
      <c r="H127" s="173"/>
      <c r="I127" s="172" t="str">
        <f>IFERROR(INDEX('G-7 Rivers Data'!$H$4:$L$8,MATCH(D127,'G-7 Rivers Data'!$B$4:$B$8,0),MATCH(H127,'G-7 Rivers Data'!$H$3:$L$3,0)),"")</f>
        <v/>
      </c>
      <c r="J127" s="186"/>
      <c r="K127" s="175" t="str">
        <f>IF(J127="","",IF(VLOOKUP(J127,'G-7 Rivers Data'!$AK$4:$AM$9,2,FALSE)=0,"Spatial Data Missing",VLOOKUP(J127,'G-7 Rivers Data'!$AK$4:$AM$9,2,FALSE)))</f>
        <v/>
      </c>
      <c r="L127" s="176" t="str">
        <f>IF(J127="","",IF(VLOOKUP(J127,'G-7 Rivers Data'!$AK$4:$AM$9,3,FALSE)=0,"Spatial Data Missing",VLOOKUP(J127,'G-7 Rivers Data'!$AK$4:$AM$9,3,FALSE)))</f>
        <v/>
      </c>
      <c r="M127" s="79"/>
      <c r="N127" s="172" t="str">
        <f>IF(M127="","",IF(VLOOKUP(M127,'G-7 Rivers Data'!$AA$4:$AB$7,2,FALSE)=0,"Spatial Data Missing",VLOOKUP(M127,'G-7 Rivers Data'!$AA$4:$AB$7,2,FALSE)))</f>
        <v/>
      </c>
      <c r="O127" s="187"/>
      <c r="P127" s="172" t="str">
        <f>IF(O127="","",IF(VLOOKUP(O127,'G-7 Rivers Data'!$AD$4:$AE$8,2,FALSE)=0,"Spatial Data Missing",VLOOKUP(O127,'G-7 Rivers Data'!$AD$4:$AE$8,2,FALSE)))</f>
        <v/>
      </c>
      <c r="Q127" s="177" t="str">
        <f>IF(D127="","",VLOOKUP(D127,'G-7 Rivers Data'!$B$4:$G$8,6,FALSE))</f>
        <v/>
      </c>
      <c r="R127" s="178" t="str">
        <f t="shared" si="8"/>
        <v/>
      </c>
      <c r="S127" s="44"/>
      <c r="T127" s="173"/>
      <c r="U127" s="189"/>
      <c r="V127" s="208" t="str">
        <f t="shared" si="9"/>
        <v/>
      </c>
      <c r="W127" s="208" t="str">
        <f t="shared" si="10"/>
        <v/>
      </c>
      <c r="X127" s="208" t="str">
        <f t="shared" si="11"/>
        <v/>
      </c>
      <c r="Y127" s="209" t="str">
        <f t="shared" si="12"/>
        <v/>
      </c>
      <c r="Z127" s="182"/>
      <c r="AA127" s="183"/>
      <c r="AF127" s="35" t="str">
        <f>IFERROR(INDEX('G-7 Rivers Data'!$AZ$3:$AZ$7,MATCH(D127,'G-7 Rivers Data'!$AY$3:$AY$7,0)),"")</f>
        <v/>
      </c>
      <c r="AG127" s="35">
        <f t="shared" si="13"/>
        <v>0</v>
      </c>
      <c r="AH127" s="188" t="str">
        <f t="shared" si="14"/>
        <v/>
      </c>
      <c r="AI127" s="188" t="str">
        <f t="shared" si="15"/>
        <v/>
      </c>
      <c r="AK127" s="188">
        <v>118</v>
      </c>
      <c r="AM127" s="188" t="str">
        <f t="array" ref="AM127">IFERROR(INDEX($AK$10:$AK$258, MATCH(0, IF(TRUE=$AH$10:$AH$258, COUNTIF($AM$9:$AM126, $AK$10:$AK$258), ""), 0)),"")</f>
        <v/>
      </c>
      <c r="AN127" s="188" t="str">
        <f t="array" ref="AN127">IFERROR(INDEX($AK$10:$AK$258, MATCH(0, IF(TRUE=$AI$10:$AI$258, COUNTIF($AN$9:$AN126, $AK$10:$AK$258), ""), 0)),"")</f>
        <v/>
      </c>
    </row>
    <row r="128" spans="3:40" ht="13.8" x14ac:dyDescent="0.25">
      <c r="C128" s="168">
        <v>119</v>
      </c>
      <c r="D128" s="184"/>
      <c r="E128" s="185"/>
      <c r="F128" s="171" t="str">
        <f>IF(D128="","",VLOOKUP(D128,'G-7 Rivers Data'!$B$2:$G$8,2,FALSE))</f>
        <v/>
      </c>
      <c r="G128" s="172" t="str">
        <f>IFERROR(VLOOKUP(F128,'G-7 Rivers Data'!$C$4:$D$8,2,FALSE),"")</f>
        <v/>
      </c>
      <c r="H128" s="173"/>
      <c r="I128" s="172" t="str">
        <f>IFERROR(INDEX('G-7 Rivers Data'!$H$4:$L$8,MATCH(D128,'G-7 Rivers Data'!$B$4:$B$8,0),MATCH(H128,'G-7 Rivers Data'!$H$3:$L$3,0)),"")</f>
        <v/>
      </c>
      <c r="J128" s="186"/>
      <c r="K128" s="175" t="str">
        <f>IF(J128="","",IF(VLOOKUP(J128,'G-7 Rivers Data'!$AK$4:$AM$9,2,FALSE)=0,"Spatial Data Missing",VLOOKUP(J128,'G-7 Rivers Data'!$AK$4:$AM$9,2,FALSE)))</f>
        <v/>
      </c>
      <c r="L128" s="176" t="str">
        <f>IF(J128="","",IF(VLOOKUP(J128,'G-7 Rivers Data'!$AK$4:$AM$9,3,FALSE)=0,"Spatial Data Missing",VLOOKUP(J128,'G-7 Rivers Data'!$AK$4:$AM$9,3,FALSE)))</f>
        <v/>
      </c>
      <c r="M128" s="79"/>
      <c r="N128" s="172" t="str">
        <f>IF(M128="","",IF(VLOOKUP(M128,'G-7 Rivers Data'!$AA$4:$AB$7,2,FALSE)=0,"Spatial Data Missing",VLOOKUP(M128,'G-7 Rivers Data'!$AA$4:$AB$7,2,FALSE)))</f>
        <v/>
      </c>
      <c r="O128" s="187"/>
      <c r="P128" s="172" t="str">
        <f>IF(O128="","",IF(VLOOKUP(O128,'G-7 Rivers Data'!$AD$4:$AE$8,2,FALSE)=0,"Spatial Data Missing",VLOOKUP(O128,'G-7 Rivers Data'!$AD$4:$AE$8,2,FALSE)))</f>
        <v/>
      </c>
      <c r="Q128" s="177" t="str">
        <f>IF(D128="","",VLOOKUP(D128,'G-7 Rivers Data'!$B$4:$G$8,6,FALSE))</f>
        <v/>
      </c>
      <c r="R128" s="178" t="str">
        <f t="shared" si="8"/>
        <v/>
      </c>
      <c r="S128" s="44"/>
      <c r="T128" s="173"/>
      <c r="U128" s="189"/>
      <c r="V128" s="208" t="str">
        <f t="shared" si="9"/>
        <v/>
      </c>
      <c r="W128" s="208" t="str">
        <f t="shared" si="10"/>
        <v/>
      </c>
      <c r="X128" s="208" t="str">
        <f t="shared" si="11"/>
        <v/>
      </c>
      <c r="Y128" s="209" t="str">
        <f t="shared" si="12"/>
        <v/>
      </c>
      <c r="Z128" s="182"/>
      <c r="AA128" s="183"/>
      <c r="AF128" s="35" t="str">
        <f>IFERROR(INDEX('G-7 Rivers Data'!$AZ$3:$AZ$7,MATCH(D128,'G-7 Rivers Data'!$AY$3:$AY$7,0)),"")</f>
        <v/>
      </c>
      <c r="AG128" s="35">
        <f t="shared" si="13"/>
        <v>0</v>
      </c>
      <c r="AH128" s="188" t="str">
        <f t="shared" si="14"/>
        <v/>
      </c>
      <c r="AI128" s="188" t="str">
        <f t="shared" si="15"/>
        <v/>
      </c>
      <c r="AK128" s="188">
        <v>119</v>
      </c>
      <c r="AM128" s="188" t="str">
        <f t="array" ref="AM128">IFERROR(INDEX($AK$10:$AK$258, MATCH(0, IF(TRUE=$AH$10:$AH$258, COUNTIF($AM$9:$AM127, $AK$10:$AK$258), ""), 0)),"")</f>
        <v/>
      </c>
      <c r="AN128" s="188" t="str">
        <f t="array" ref="AN128">IFERROR(INDEX($AK$10:$AK$258, MATCH(0, IF(TRUE=$AI$10:$AI$258, COUNTIF($AN$9:$AN127, $AK$10:$AK$258), ""), 0)),"")</f>
        <v/>
      </c>
    </row>
    <row r="129" spans="3:40" ht="13.8" x14ac:dyDescent="0.25">
      <c r="C129" s="168">
        <v>120</v>
      </c>
      <c r="D129" s="184"/>
      <c r="E129" s="185"/>
      <c r="F129" s="171" t="str">
        <f>IF(D129="","",VLOOKUP(D129,'G-7 Rivers Data'!$B$2:$G$8,2,FALSE))</f>
        <v/>
      </c>
      <c r="G129" s="172" t="str">
        <f>IFERROR(VLOOKUP(F129,'G-7 Rivers Data'!$C$4:$D$8,2,FALSE),"")</f>
        <v/>
      </c>
      <c r="H129" s="173"/>
      <c r="I129" s="172" t="str">
        <f>IFERROR(INDEX('G-7 Rivers Data'!$H$4:$L$8,MATCH(D129,'G-7 Rivers Data'!$B$4:$B$8,0),MATCH(H129,'G-7 Rivers Data'!$H$3:$L$3,0)),"")</f>
        <v/>
      </c>
      <c r="J129" s="186"/>
      <c r="K129" s="175" t="str">
        <f>IF(J129="","",IF(VLOOKUP(J129,'G-7 Rivers Data'!$AK$4:$AM$9,2,FALSE)=0,"Spatial Data Missing",VLOOKUP(J129,'G-7 Rivers Data'!$AK$4:$AM$9,2,FALSE)))</f>
        <v/>
      </c>
      <c r="L129" s="176" t="str">
        <f>IF(J129="","",IF(VLOOKUP(J129,'G-7 Rivers Data'!$AK$4:$AM$9,3,FALSE)=0,"Spatial Data Missing",VLOOKUP(J129,'G-7 Rivers Data'!$AK$4:$AM$9,3,FALSE)))</f>
        <v/>
      </c>
      <c r="M129" s="79"/>
      <c r="N129" s="172" t="str">
        <f>IF(M129="","",IF(VLOOKUP(M129,'G-7 Rivers Data'!$AA$4:$AB$7,2,FALSE)=0,"Spatial Data Missing",VLOOKUP(M129,'G-7 Rivers Data'!$AA$4:$AB$7,2,FALSE)))</f>
        <v/>
      </c>
      <c r="O129" s="187"/>
      <c r="P129" s="172" t="str">
        <f>IF(O129="","",IF(VLOOKUP(O129,'G-7 Rivers Data'!$AD$4:$AE$8,2,FALSE)=0,"Spatial Data Missing",VLOOKUP(O129,'G-7 Rivers Data'!$AD$4:$AE$8,2,FALSE)))</f>
        <v/>
      </c>
      <c r="Q129" s="177" t="str">
        <f>IF(D129="","",VLOOKUP(D129,'G-7 Rivers Data'!$B$4:$G$8,6,FALSE))</f>
        <v/>
      </c>
      <c r="R129" s="178" t="str">
        <f t="shared" si="8"/>
        <v/>
      </c>
      <c r="S129" s="44"/>
      <c r="T129" s="173"/>
      <c r="U129" s="189"/>
      <c r="V129" s="208" t="str">
        <f t="shared" si="9"/>
        <v/>
      </c>
      <c r="W129" s="208" t="str">
        <f t="shared" si="10"/>
        <v/>
      </c>
      <c r="X129" s="208" t="str">
        <f t="shared" si="11"/>
        <v/>
      </c>
      <c r="Y129" s="209" t="str">
        <f t="shared" si="12"/>
        <v/>
      </c>
      <c r="Z129" s="182"/>
      <c r="AA129" s="183"/>
      <c r="AF129" s="35" t="str">
        <f>IFERROR(INDEX('G-7 Rivers Data'!$AZ$3:$AZ$7,MATCH(D129,'G-7 Rivers Data'!$AY$3:$AY$7,0)),"")</f>
        <v/>
      </c>
      <c r="AG129" s="35">
        <f t="shared" si="13"/>
        <v>0</v>
      </c>
      <c r="AH129" s="188" t="str">
        <f t="shared" si="14"/>
        <v/>
      </c>
      <c r="AI129" s="188" t="str">
        <f t="shared" si="15"/>
        <v/>
      </c>
      <c r="AK129" s="188">
        <v>120</v>
      </c>
      <c r="AM129" s="188" t="str">
        <f t="array" ref="AM129">IFERROR(INDEX($AK$10:$AK$258, MATCH(0, IF(TRUE=$AH$10:$AH$258, COUNTIF($AM$9:$AM128, $AK$10:$AK$258), ""), 0)),"")</f>
        <v/>
      </c>
      <c r="AN129" s="188" t="str">
        <f t="array" ref="AN129">IFERROR(INDEX($AK$10:$AK$258, MATCH(0, IF(TRUE=$AI$10:$AI$258, COUNTIF($AN$9:$AN128, $AK$10:$AK$258), ""), 0)),"")</f>
        <v/>
      </c>
    </row>
    <row r="130" spans="3:40" ht="13.8" x14ac:dyDescent="0.25">
      <c r="C130" s="168">
        <v>121</v>
      </c>
      <c r="D130" s="184"/>
      <c r="E130" s="185"/>
      <c r="F130" s="171" t="str">
        <f>IF(D130="","",VLOOKUP(D130,'G-7 Rivers Data'!$B$2:$G$8,2,FALSE))</f>
        <v/>
      </c>
      <c r="G130" s="172" t="str">
        <f>IFERROR(VLOOKUP(F130,'G-7 Rivers Data'!$C$4:$D$8,2,FALSE),"")</f>
        <v/>
      </c>
      <c r="H130" s="173"/>
      <c r="I130" s="172" t="str">
        <f>IFERROR(INDEX('G-7 Rivers Data'!$H$4:$L$8,MATCH(D130,'G-7 Rivers Data'!$B$4:$B$8,0),MATCH(H130,'G-7 Rivers Data'!$H$3:$L$3,0)),"")</f>
        <v/>
      </c>
      <c r="J130" s="186"/>
      <c r="K130" s="175" t="str">
        <f>IF(J130="","",IF(VLOOKUP(J130,'G-7 Rivers Data'!$AK$4:$AM$9,2,FALSE)=0,"Spatial Data Missing",VLOOKUP(J130,'G-7 Rivers Data'!$AK$4:$AM$9,2,FALSE)))</f>
        <v/>
      </c>
      <c r="L130" s="176" t="str">
        <f>IF(J130="","",IF(VLOOKUP(J130,'G-7 Rivers Data'!$AK$4:$AM$9,3,FALSE)=0,"Spatial Data Missing",VLOOKUP(J130,'G-7 Rivers Data'!$AK$4:$AM$9,3,FALSE)))</f>
        <v/>
      </c>
      <c r="M130" s="79"/>
      <c r="N130" s="172" t="str">
        <f>IF(M130="","",IF(VLOOKUP(M130,'G-7 Rivers Data'!$AA$4:$AB$7,2,FALSE)=0,"Spatial Data Missing",VLOOKUP(M130,'G-7 Rivers Data'!$AA$4:$AB$7,2,FALSE)))</f>
        <v/>
      </c>
      <c r="O130" s="187"/>
      <c r="P130" s="172" t="str">
        <f>IF(O130="","",IF(VLOOKUP(O130,'G-7 Rivers Data'!$AD$4:$AE$8,2,FALSE)=0,"Spatial Data Missing",VLOOKUP(O130,'G-7 Rivers Data'!$AD$4:$AE$8,2,FALSE)))</f>
        <v/>
      </c>
      <c r="Q130" s="177" t="str">
        <f>IF(D130="","",VLOOKUP(D130,'G-7 Rivers Data'!$B$4:$G$8,6,FALSE))</f>
        <v/>
      </c>
      <c r="R130" s="178" t="str">
        <f t="shared" si="8"/>
        <v/>
      </c>
      <c r="S130" s="44"/>
      <c r="T130" s="173"/>
      <c r="U130" s="189"/>
      <c r="V130" s="208" t="str">
        <f t="shared" si="9"/>
        <v/>
      </c>
      <c r="W130" s="208" t="str">
        <f t="shared" si="10"/>
        <v/>
      </c>
      <c r="X130" s="208" t="str">
        <f t="shared" si="11"/>
        <v/>
      </c>
      <c r="Y130" s="209" t="str">
        <f t="shared" si="12"/>
        <v/>
      </c>
      <c r="Z130" s="182"/>
      <c r="AA130" s="183"/>
      <c r="AF130" s="35" t="str">
        <f>IFERROR(INDEX('G-7 Rivers Data'!$AZ$3:$AZ$7,MATCH(D130,'G-7 Rivers Data'!$AY$3:$AY$7,0)),"")</f>
        <v/>
      </c>
      <c r="AG130" s="35">
        <f t="shared" si="13"/>
        <v>0</v>
      </c>
      <c r="AH130" s="188" t="str">
        <f t="shared" si="14"/>
        <v/>
      </c>
      <c r="AI130" s="188" t="str">
        <f t="shared" si="15"/>
        <v/>
      </c>
      <c r="AK130" s="188">
        <v>121</v>
      </c>
      <c r="AM130" s="188" t="str">
        <f t="array" ref="AM130">IFERROR(INDEX($AK$10:$AK$258, MATCH(0, IF(TRUE=$AH$10:$AH$258, COUNTIF($AM$9:$AM129, $AK$10:$AK$258), ""), 0)),"")</f>
        <v/>
      </c>
      <c r="AN130" s="188" t="str">
        <f t="array" ref="AN130">IFERROR(INDEX($AK$10:$AK$258, MATCH(0, IF(TRUE=$AI$10:$AI$258, COUNTIF($AN$9:$AN129, $AK$10:$AK$258), ""), 0)),"")</f>
        <v/>
      </c>
    </row>
    <row r="131" spans="3:40" ht="13.8" x14ac:dyDescent="0.25">
      <c r="C131" s="168">
        <v>122</v>
      </c>
      <c r="D131" s="184"/>
      <c r="E131" s="185"/>
      <c r="F131" s="171" t="str">
        <f>IF(D131="","",VLOOKUP(D131,'G-7 Rivers Data'!$B$2:$G$8,2,FALSE))</f>
        <v/>
      </c>
      <c r="G131" s="172" t="str">
        <f>IFERROR(VLOOKUP(F131,'G-7 Rivers Data'!$C$4:$D$8,2,FALSE),"")</f>
        <v/>
      </c>
      <c r="H131" s="173"/>
      <c r="I131" s="172" t="str">
        <f>IFERROR(INDEX('G-7 Rivers Data'!$H$4:$L$8,MATCH(D131,'G-7 Rivers Data'!$B$4:$B$8,0),MATCH(H131,'G-7 Rivers Data'!$H$3:$L$3,0)),"")</f>
        <v/>
      </c>
      <c r="J131" s="186"/>
      <c r="K131" s="175" t="str">
        <f>IF(J131="","",IF(VLOOKUP(J131,'G-7 Rivers Data'!$AK$4:$AM$9,2,FALSE)=0,"Spatial Data Missing",VLOOKUP(J131,'G-7 Rivers Data'!$AK$4:$AM$9,2,FALSE)))</f>
        <v/>
      </c>
      <c r="L131" s="176" t="str">
        <f>IF(J131="","",IF(VLOOKUP(J131,'G-7 Rivers Data'!$AK$4:$AM$9,3,FALSE)=0,"Spatial Data Missing",VLOOKUP(J131,'G-7 Rivers Data'!$AK$4:$AM$9,3,FALSE)))</f>
        <v/>
      </c>
      <c r="M131" s="79"/>
      <c r="N131" s="172" t="str">
        <f>IF(M131="","",IF(VLOOKUP(M131,'G-7 Rivers Data'!$AA$4:$AB$7,2,FALSE)=0,"Spatial Data Missing",VLOOKUP(M131,'G-7 Rivers Data'!$AA$4:$AB$7,2,FALSE)))</f>
        <v/>
      </c>
      <c r="O131" s="187"/>
      <c r="P131" s="172" t="str">
        <f>IF(O131="","",IF(VLOOKUP(O131,'G-7 Rivers Data'!$AD$4:$AE$8,2,FALSE)=0,"Spatial Data Missing",VLOOKUP(O131,'G-7 Rivers Data'!$AD$4:$AE$8,2,FALSE)))</f>
        <v/>
      </c>
      <c r="Q131" s="177" t="str">
        <f>IF(D131="","",VLOOKUP(D131,'G-7 Rivers Data'!$B$4:$G$8,6,FALSE))</f>
        <v/>
      </c>
      <c r="R131" s="178" t="str">
        <f t="shared" si="8"/>
        <v/>
      </c>
      <c r="S131" s="44"/>
      <c r="T131" s="173"/>
      <c r="U131" s="189"/>
      <c r="V131" s="208" t="str">
        <f t="shared" si="9"/>
        <v/>
      </c>
      <c r="W131" s="208" t="str">
        <f t="shared" si="10"/>
        <v/>
      </c>
      <c r="X131" s="208" t="str">
        <f t="shared" si="11"/>
        <v/>
      </c>
      <c r="Y131" s="209" t="str">
        <f t="shared" si="12"/>
        <v/>
      </c>
      <c r="Z131" s="182"/>
      <c r="AA131" s="183"/>
      <c r="AF131" s="35" t="str">
        <f>IFERROR(INDEX('G-7 Rivers Data'!$AZ$3:$AZ$7,MATCH(D131,'G-7 Rivers Data'!$AY$3:$AY$7,0)),"")</f>
        <v/>
      </c>
      <c r="AG131" s="35">
        <f t="shared" si="13"/>
        <v>0</v>
      </c>
      <c r="AH131" s="188" t="str">
        <f t="shared" si="14"/>
        <v/>
      </c>
      <c r="AI131" s="188" t="str">
        <f t="shared" si="15"/>
        <v/>
      </c>
      <c r="AK131" s="188">
        <v>122</v>
      </c>
      <c r="AM131" s="188" t="str">
        <f t="array" ref="AM131">IFERROR(INDEX($AK$10:$AK$258, MATCH(0, IF(TRUE=$AH$10:$AH$258, COUNTIF($AM$9:$AM130, $AK$10:$AK$258), ""), 0)),"")</f>
        <v/>
      </c>
      <c r="AN131" s="188" t="str">
        <f t="array" ref="AN131">IFERROR(INDEX($AK$10:$AK$258, MATCH(0, IF(TRUE=$AI$10:$AI$258, COUNTIF($AN$9:$AN130, $AK$10:$AK$258), ""), 0)),"")</f>
        <v/>
      </c>
    </row>
    <row r="132" spans="3:40" ht="13.8" x14ac:dyDescent="0.25">
      <c r="C132" s="168">
        <v>123</v>
      </c>
      <c r="D132" s="184"/>
      <c r="E132" s="185"/>
      <c r="F132" s="171" t="str">
        <f>IF(D132="","",VLOOKUP(D132,'G-7 Rivers Data'!$B$2:$G$8,2,FALSE))</f>
        <v/>
      </c>
      <c r="G132" s="172" t="str">
        <f>IFERROR(VLOOKUP(F132,'G-7 Rivers Data'!$C$4:$D$8,2,FALSE),"")</f>
        <v/>
      </c>
      <c r="H132" s="173"/>
      <c r="I132" s="172" t="str">
        <f>IFERROR(INDEX('G-7 Rivers Data'!$H$4:$L$8,MATCH(D132,'G-7 Rivers Data'!$B$4:$B$8,0),MATCH(H132,'G-7 Rivers Data'!$H$3:$L$3,0)),"")</f>
        <v/>
      </c>
      <c r="J132" s="186"/>
      <c r="K132" s="175" t="str">
        <f>IF(J132="","",IF(VLOOKUP(J132,'G-7 Rivers Data'!$AK$4:$AM$9,2,FALSE)=0,"Spatial Data Missing",VLOOKUP(J132,'G-7 Rivers Data'!$AK$4:$AM$9,2,FALSE)))</f>
        <v/>
      </c>
      <c r="L132" s="176" t="str">
        <f>IF(J132="","",IF(VLOOKUP(J132,'G-7 Rivers Data'!$AK$4:$AM$9,3,FALSE)=0,"Spatial Data Missing",VLOOKUP(J132,'G-7 Rivers Data'!$AK$4:$AM$9,3,FALSE)))</f>
        <v/>
      </c>
      <c r="M132" s="79"/>
      <c r="N132" s="172" t="str">
        <f>IF(M132="","",IF(VLOOKUP(M132,'G-7 Rivers Data'!$AA$4:$AB$7,2,FALSE)=0,"Spatial Data Missing",VLOOKUP(M132,'G-7 Rivers Data'!$AA$4:$AB$7,2,FALSE)))</f>
        <v/>
      </c>
      <c r="O132" s="187"/>
      <c r="P132" s="172" t="str">
        <f>IF(O132="","",IF(VLOOKUP(O132,'G-7 Rivers Data'!$AD$4:$AE$8,2,FALSE)=0,"Spatial Data Missing",VLOOKUP(O132,'G-7 Rivers Data'!$AD$4:$AE$8,2,FALSE)))</f>
        <v/>
      </c>
      <c r="Q132" s="177" t="str">
        <f>IF(D132="","",VLOOKUP(D132,'G-7 Rivers Data'!$B$4:$G$8,6,FALSE))</f>
        <v/>
      </c>
      <c r="R132" s="178" t="str">
        <f t="shared" si="8"/>
        <v/>
      </c>
      <c r="S132" s="44"/>
      <c r="T132" s="173"/>
      <c r="U132" s="189"/>
      <c r="V132" s="208" t="str">
        <f t="shared" si="9"/>
        <v/>
      </c>
      <c r="W132" s="208" t="str">
        <f t="shared" si="10"/>
        <v/>
      </c>
      <c r="X132" s="208" t="str">
        <f t="shared" si="11"/>
        <v/>
      </c>
      <c r="Y132" s="209" t="str">
        <f t="shared" si="12"/>
        <v/>
      </c>
      <c r="Z132" s="182"/>
      <c r="AA132" s="183"/>
      <c r="AF132" s="35" t="str">
        <f>IFERROR(INDEX('G-7 Rivers Data'!$AZ$3:$AZ$7,MATCH(D132,'G-7 Rivers Data'!$AY$3:$AY$7,0)),"")</f>
        <v/>
      </c>
      <c r="AG132" s="35">
        <f t="shared" si="13"/>
        <v>0</v>
      </c>
      <c r="AH132" s="188" t="str">
        <f t="shared" si="14"/>
        <v/>
      </c>
      <c r="AI132" s="188" t="str">
        <f t="shared" si="15"/>
        <v/>
      </c>
      <c r="AK132" s="188">
        <v>123</v>
      </c>
      <c r="AM132" s="188" t="str">
        <f t="array" ref="AM132">IFERROR(INDEX($AK$10:$AK$258, MATCH(0, IF(TRUE=$AH$10:$AH$258, COUNTIF($AM$9:$AM131, $AK$10:$AK$258), ""), 0)),"")</f>
        <v/>
      </c>
      <c r="AN132" s="188" t="str">
        <f t="array" ref="AN132">IFERROR(INDEX($AK$10:$AK$258, MATCH(0, IF(TRUE=$AI$10:$AI$258, COUNTIF($AN$9:$AN131, $AK$10:$AK$258), ""), 0)),"")</f>
        <v/>
      </c>
    </row>
    <row r="133" spans="3:40" ht="13.8" x14ac:dyDescent="0.25">
      <c r="C133" s="168">
        <v>124</v>
      </c>
      <c r="D133" s="184"/>
      <c r="E133" s="185"/>
      <c r="F133" s="171" t="str">
        <f>IF(D133="","",VLOOKUP(D133,'G-7 Rivers Data'!$B$2:$G$8,2,FALSE))</f>
        <v/>
      </c>
      <c r="G133" s="172" t="str">
        <f>IFERROR(VLOOKUP(F133,'G-7 Rivers Data'!$C$4:$D$8,2,FALSE),"")</f>
        <v/>
      </c>
      <c r="H133" s="173"/>
      <c r="I133" s="172" t="str">
        <f>IFERROR(INDEX('G-7 Rivers Data'!$H$4:$L$8,MATCH(D133,'G-7 Rivers Data'!$B$4:$B$8,0),MATCH(H133,'G-7 Rivers Data'!$H$3:$L$3,0)),"")</f>
        <v/>
      </c>
      <c r="J133" s="186"/>
      <c r="K133" s="175" t="str">
        <f>IF(J133="","",IF(VLOOKUP(J133,'G-7 Rivers Data'!$AK$4:$AM$9,2,FALSE)=0,"Spatial Data Missing",VLOOKUP(J133,'G-7 Rivers Data'!$AK$4:$AM$9,2,FALSE)))</f>
        <v/>
      </c>
      <c r="L133" s="176" t="str">
        <f>IF(J133="","",IF(VLOOKUP(J133,'G-7 Rivers Data'!$AK$4:$AM$9,3,FALSE)=0,"Spatial Data Missing",VLOOKUP(J133,'G-7 Rivers Data'!$AK$4:$AM$9,3,FALSE)))</f>
        <v/>
      </c>
      <c r="M133" s="79"/>
      <c r="N133" s="172" t="str">
        <f>IF(M133="","",IF(VLOOKUP(M133,'G-7 Rivers Data'!$AA$4:$AB$7,2,FALSE)=0,"Spatial Data Missing",VLOOKUP(M133,'G-7 Rivers Data'!$AA$4:$AB$7,2,FALSE)))</f>
        <v/>
      </c>
      <c r="O133" s="187"/>
      <c r="P133" s="172" t="str">
        <f>IF(O133="","",IF(VLOOKUP(O133,'G-7 Rivers Data'!$AD$4:$AE$8,2,FALSE)=0,"Spatial Data Missing",VLOOKUP(O133,'G-7 Rivers Data'!$AD$4:$AE$8,2,FALSE)))</f>
        <v/>
      </c>
      <c r="Q133" s="177" t="str">
        <f>IF(D133="","",VLOOKUP(D133,'G-7 Rivers Data'!$B$4:$G$8,6,FALSE))</f>
        <v/>
      </c>
      <c r="R133" s="178" t="str">
        <f t="shared" si="8"/>
        <v/>
      </c>
      <c r="S133" s="44"/>
      <c r="T133" s="173"/>
      <c r="U133" s="189"/>
      <c r="V133" s="208" t="str">
        <f t="shared" si="9"/>
        <v/>
      </c>
      <c r="W133" s="208" t="str">
        <f t="shared" si="10"/>
        <v/>
      </c>
      <c r="X133" s="208" t="str">
        <f t="shared" si="11"/>
        <v/>
      </c>
      <c r="Y133" s="209" t="str">
        <f t="shared" si="12"/>
        <v/>
      </c>
      <c r="Z133" s="182"/>
      <c r="AA133" s="183"/>
      <c r="AF133" s="35" t="str">
        <f>IFERROR(INDEX('G-7 Rivers Data'!$AZ$3:$AZ$7,MATCH(D133,'G-7 Rivers Data'!$AY$3:$AY$7,0)),"")</f>
        <v/>
      </c>
      <c r="AG133" s="35">
        <f t="shared" si="13"/>
        <v>0</v>
      </c>
      <c r="AH133" s="188" t="str">
        <f t="shared" si="14"/>
        <v/>
      </c>
      <c r="AI133" s="188" t="str">
        <f t="shared" si="15"/>
        <v/>
      </c>
      <c r="AK133" s="188">
        <v>124</v>
      </c>
      <c r="AM133" s="188" t="str">
        <f t="array" ref="AM133">IFERROR(INDEX($AK$10:$AK$258, MATCH(0, IF(TRUE=$AH$10:$AH$258, COUNTIF($AM$9:$AM132, $AK$10:$AK$258), ""), 0)),"")</f>
        <v/>
      </c>
      <c r="AN133" s="188" t="str">
        <f t="array" ref="AN133">IFERROR(INDEX($AK$10:$AK$258, MATCH(0, IF(TRUE=$AI$10:$AI$258, COUNTIF($AN$9:$AN132, $AK$10:$AK$258), ""), 0)),"")</f>
        <v/>
      </c>
    </row>
    <row r="134" spans="3:40" ht="13.8" x14ac:dyDescent="0.25">
      <c r="C134" s="168">
        <v>125</v>
      </c>
      <c r="D134" s="184"/>
      <c r="E134" s="185"/>
      <c r="F134" s="171" t="str">
        <f>IF(D134="","",VLOOKUP(D134,'G-7 Rivers Data'!$B$2:$G$8,2,FALSE))</f>
        <v/>
      </c>
      <c r="G134" s="172" t="str">
        <f>IFERROR(VLOOKUP(F134,'G-7 Rivers Data'!$C$4:$D$8,2,FALSE),"")</f>
        <v/>
      </c>
      <c r="H134" s="173"/>
      <c r="I134" s="172" t="str">
        <f>IFERROR(INDEX('G-7 Rivers Data'!$H$4:$L$8,MATCH(D134,'G-7 Rivers Data'!$B$4:$B$8,0),MATCH(H134,'G-7 Rivers Data'!$H$3:$L$3,0)),"")</f>
        <v/>
      </c>
      <c r="J134" s="186"/>
      <c r="K134" s="175" t="str">
        <f>IF(J134="","",IF(VLOOKUP(J134,'G-7 Rivers Data'!$AK$4:$AM$9,2,FALSE)=0,"Spatial Data Missing",VLOOKUP(J134,'G-7 Rivers Data'!$AK$4:$AM$9,2,FALSE)))</f>
        <v/>
      </c>
      <c r="L134" s="176" t="str">
        <f>IF(J134="","",IF(VLOOKUP(J134,'G-7 Rivers Data'!$AK$4:$AM$9,3,FALSE)=0,"Spatial Data Missing",VLOOKUP(J134,'G-7 Rivers Data'!$AK$4:$AM$9,3,FALSE)))</f>
        <v/>
      </c>
      <c r="M134" s="79"/>
      <c r="N134" s="172" t="str">
        <f>IF(M134="","",IF(VLOOKUP(M134,'G-7 Rivers Data'!$AA$4:$AB$7,2,FALSE)=0,"Spatial Data Missing",VLOOKUP(M134,'G-7 Rivers Data'!$AA$4:$AB$7,2,FALSE)))</f>
        <v/>
      </c>
      <c r="O134" s="187"/>
      <c r="P134" s="172" t="str">
        <f>IF(O134="","",IF(VLOOKUP(O134,'G-7 Rivers Data'!$AD$4:$AE$8,2,FALSE)=0,"Spatial Data Missing",VLOOKUP(O134,'G-7 Rivers Data'!$AD$4:$AE$8,2,FALSE)))</f>
        <v/>
      </c>
      <c r="Q134" s="177" t="str">
        <f>IF(D134="","",VLOOKUP(D134,'G-7 Rivers Data'!$B$4:$G$8,6,FALSE))</f>
        <v/>
      </c>
      <c r="R134" s="178" t="str">
        <f t="shared" si="8"/>
        <v/>
      </c>
      <c r="S134" s="44"/>
      <c r="T134" s="173"/>
      <c r="U134" s="189"/>
      <c r="V134" s="208" t="str">
        <f t="shared" si="9"/>
        <v/>
      </c>
      <c r="W134" s="208" t="str">
        <f t="shared" si="10"/>
        <v/>
      </c>
      <c r="X134" s="208" t="str">
        <f t="shared" si="11"/>
        <v/>
      </c>
      <c r="Y134" s="209" t="str">
        <f t="shared" si="12"/>
        <v/>
      </c>
      <c r="Z134" s="182"/>
      <c r="AA134" s="183"/>
      <c r="AF134" s="35" t="str">
        <f>IFERROR(INDEX('G-7 Rivers Data'!$AZ$3:$AZ$7,MATCH(D134,'G-7 Rivers Data'!$AY$3:$AY$7,0)),"")</f>
        <v/>
      </c>
      <c r="AG134" s="35">
        <f t="shared" si="13"/>
        <v>0</v>
      </c>
      <c r="AH134" s="188" t="str">
        <f t="shared" si="14"/>
        <v/>
      </c>
      <c r="AI134" s="188" t="str">
        <f t="shared" si="15"/>
        <v/>
      </c>
      <c r="AK134" s="188">
        <v>125</v>
      </c>
      <c r="AM134" s="188" t="str">
        <f t="array" ref="AM134">IFERROR(INDEX($AK$10:$AK$258, MATCH(0, IF(TRUE=$AH$10:$AH$258, COUNTIF($AM$9:$AM133, $AK$10:$AK$258), ""), 0)),"")</f>
        <v/>
      </c>
      <c r="AN134" s="188" t="str">
        <f t="array" ref="AN134">IFERROR(INDEX($AK$10:$AK$258, MATCH(0, IF(TRUE=$AI$10:$AI$258, COUNTIF($AN$9:$AN133, $AK$10:$AK$258), ""), 0)),"")</f>
        <v/>
      </c>
    </row>
    <row r="135" spans="3:40" ht="13.8" x14ac:dyDescent="0.25">
      <c r="C135" s="168">
        <v>126</v>
      </c>
      <c r="D135" s="184"/>
      <c r="E135" s="185"/>
      <c r="F135" s="171" t="str">
        <f>IF(D135="","",VLOOKUP(D135,'G-7 Rivers Data'!$B$2:$G$8,2,FALSE))</f>
        <v/>
      </c>
      <c r="G135" s="172" t="str">
        <f>IFERROR(VLOOKUP(F135,'G-7 Rivers Data'!$C$4:$D$8,2,FALSE),"")</f>
        <v/>
      </c>
      <c r="H135" s="173"/>
      <c r="I135" s="172" t="str">
        <f>IFERROR(INDEX('G-7 Rivers Data'!$H$4:$L$8,MATCH(D135,'G-7 Rivers Data'!$B$4:$B$8,0),MATCH(H135,'G-7 Rivers Data'!$H$3:$L$3,0)),"")</f>
        <v/>
      </c>
      <c r="J135" s="186"/>
      <c r="K135" s="175" t="str">
        <f>IF(J135="","",IF(VLOOKUP(J135,'G-7 Rivers Data'!$AK$4:$AM$9,2,FALSE)=0,"Spatial Data Missing",VLOOKUP(J135,'G-7 Rivers Data'!$AK$4:$AM$9,2,FALSE)))</f>
        <v/>
      </c>
      <c r="L135" s="176" t="str">
        <f>IF(J135="","",IF(VLOOKUP(J135,'G-7 Rivers Data'!$AK$4:$AM$9,3,FALSE)=0,"Spatial Data Missing",VLOOKUP(J135,'G-7 Rivers Data'!$AK$4:$AM$9,3,FALSE)))</f>
        <v/>
      </c>
      <c r="M135" s="79"/>
      <c r="N135" s="172" t="str">
        <f>IF(M135="","",IF(VLOOKUP(M135,'G-7 Rivers Data'!$AA$4:$AB$7,2,FALSE)=0,"Spatial Data Missing",VLOOKUP(M135,'G-7 Rivers Data'!$AA$4:$AB$7,2,FALSE)))</f>
        <v/>
      </c>
      <c r="O135" s="187"/>
      <c r="P135" s="172" t="str">
        <f>IF(O135="","",IF(VLOOKUP(O135,'G-7 Rivers Data'!$AD$4:$AE$8,2,FALSE)=0,"Spatial Data Missing",VLOOKUP(O135,'G-7 Rivers Data'!$AD$4:$AE$8,2,FALSE)))</f>
        <v/>
      </c>
      <c r="Q135" s="177" t="str">
        <f>IF(D135="","",VLOOKUP(D135,'G-7 Rivers Data'!$B$4:$G$8,6,FALSE))</f>
        <v/>
      </c>
      <c r="R135" s="178" t="str">
        <f t="shared" si="8"/>
        <v/>
      </c>
      <c r="S135" s="44"/>
      <c r="T135" s="173"/>
      <c r="U135" s="189"/>
      <c r="V135" s="208" t="str">
        <f t="shared" si="9"/>
        <v/>
      </c>
      <c r="W135" s="208" t="str">
        <f t="shared" si="10"/>
        <v/>
      </c>
      <c r="X135" s="208" t="str">
        <f t="shared" si="11"/>
        <v/>
      </c>
      <c r="Y135" s="209" t="str">
        <f t="shared" si="12"/>
        <v/>
      </c>
      <c r="Z135" s="182"/>
      <c r="AA135" s="183"/>
      <c r="AF135" s="35" t="str">
        <f>IFERROR(INDEX('G-7 Rivers Data'!$AZ$3:$AZ$7,MATCH(D135,'G-7 Rivers Data'!$AY$3:$AY$7,0)),"")</f>
        <v/>
      </c>
      <c r="AG135" s="35">
        <f t="shared" si="13"/>
        <v>0</v>
      </c>
      <c r="AH135" s="188" t="str">
        <f t="shared" si="14"/>
        <v/>
      </c>
      <c r="AI135" s="188" t="str">
        <f t="shared" si="15"/>
        <v/>
      </c>
      <c r="AK135" s="188">
        <v>126</v>
      </c>
      <c r="AM135" s="188" t="str">
        <f t="array" ref="AM135">IFERROR(INDEX($AK$10:$AK$258, MATCH(0, IF(TRUE=$AH$10:$AH$258, COUNTIF($AM$9:$AM134, $AK$10:$AK$258), ""), 0)),"")</f>
        <v/>
      </c>
      <c r="AN135" s="188" t="str">
        <f t="array" ref="AN135">IFERROR(INDEX($AK$10:$AK$258, MATCH(0, IF(TRUE=$AI$10:$AI$258, COUNTIF($AN$9:$AN134, $AK$10:$AK$258), ""), 0)),"")</f>
        <v/>
      </c>
    </row>
    <row r="136" spans="3:40" ht="13.8" x14ac:dyDescent="0.25">
      <c r="C136" s="168">
        <v>127</v>
      </c>
      <c r="D136" s="184"/>
      <c r="E136" s="185"/>
      <c r="F136" s="171" t="str">
        <f>IF(D136="","",VLOOKUP(D136,'G-7 Rivers Data'!$B$2:$G$8,2,FALSE))</f>
        <v/>
      </c>
      <c r="G136" s="172" t="str">
        <f>IFERROR(VLOOKUP(F136,'G-7 Rivers Data'!$C$4:$D$8,2,FALSE),"")</f>
        <v/>
      </c>
      <c r="H136" s="173"/>
      <c r="I136" s="172" t="str">
        <f>IFERROR(INDEX('G-7 Rivers Data'!$H$4:$L$8,MATCH(D136,'G-7 Rivers Data'!$B$4:$B$8,0),MATCH(H136,'G-7 Rivers Data'!$H$3:$L$3,0)),"")</f>
        <v/>
      </c>
      <c r="J136" s="186"/>
      <c r="K136" s="175" t="str">
        <f>IF(J136="","",IF(VLOOKUP(J136,'G-7 Rivers Data'!$AK$4:$AM$9,2,FALSE)=0,"Spatial Data Missing",VLOOKUP(J136,'G-7 Rivers Data'!$AK$4:$AM$9,2,FALSE)))</f>
        <v/>
      </c>
      <c r="L136" s="176" t="str">
        <f>IF(J136="","",IF(VLOOKUP(J136,'G-7 Rivers Data'!$AK$4:$AM$9,3,FALSE)=0,"Spatial Data Missing",VLOOKUP(J136,'G-7 Rivers Data'!$AK$4:$AM$9,3,FALSE)))</f>
        <v/>
      </c>
      <c r="M136" s="79"/>
      <c r="N136" s="172" t="str">
        <f>IF(M136="","",IF(VLOOKUP(M136,'G-7 Rivers Data'!$AA$4:$AB$7,2,FALSE)=0,"Spatial Data Missing",VLOOKUP(M136,'G-7 Rivers Data'!$AA$4:$AB$7,2,FALSE)))</f>
        <v/>
      </c>
      <c r="O136" s="187"/>
      <c r="P136" s="172" t="str">
        <f>IF(O136="","",IF(VLOOKUP(O136,'G-7 Rivers Data'!$AD$4:$AE$8,2,FALSE)=0,"Spatial Data Missing",VLOOKUP(O136,'G-7 Rivers Data'!$AD$4:$AE$8,2,FALSE)))</f>
        <v/>
      </c>
      <c r="Q136" s="177" t="str">
        <f>IF(D136="","",VLOOKUP(D136,'G-7 Rivers Data'!$B$4:$G$8,6,FALSE))</f>
        <v/>
      </c>
      <c r="R136" s="178" t="str">
        <f t="shared" si="8"/>
        <v/>
      </c>
      <c r="S136" s="44"/>
      <c r="T136" s="173"/>
      <c r="U136" s="189"/>
      <c r="V136" s="208" t="str">
        <f t="shared" si="9"/>
        <v/>
      </c>
      <c r="W136" s="208" t="str">
        <f t="shared" si="10"/>
        <v/>
      </c>
      <c r="X136" s="208" t="str">
        <f t="shared" si="11"/>
        <v/>
      </c>
      <c r="Y136" s="209" t="str">
        <f t="shared" si="12"/>
        <v/>
      </c>
      <c r="Z136" s="182"/>
      <c r="AA136" s="183"/>
      <c r="AF136" s="35" t="str">
        <f>IFERROR(INDEX('G-7 Rivers Data'!$AZ$3:$AZ$7,MATCH(D136,'G-7 Rivers Data'!$AY$3:$AY$7,0)),"")</f>
        <v/>
      </c>
      <c r="AG136" s="35">
        <f t="shared" si="13"/>
        <v>0</v>
      </c>
      <c r="AH136" s="188" t="str">
        <f t="shared" si="14"/>
        <v/>
      </c>
      <c r="AI136" s="188" t="str">
        <f t="shared" si="15"/>
        <v/>
      </c>
      <c r="AK136" s="188">
        <v>127</v>
      </c>
      <c r="AM136" s="188" t="str">
        <f t="array" ref="AM136">IFERROR(INDEX($AK$10:$AK$258, MATCH(0, IF(TRUE=$AH$10:$AH$258, COUNTIF($AM$9:$AM135, $AK$10:$AK$258), ""), 0)),"")</f>
        <v/>
      </c>
      <c r="AN136" s="188" t="str">
        <f t="array" ref="AN136">IFERROR(INDEX($AK$10:$AK$258, MATCH(0, IF(TRUE=$AI$10:$AI$258, COUNTIF($AN$9:$AN135, $AK$10:$AK$258), ""), 0)),"")</f>
        <v/>
      </c>
    </row>
    <row r="137" spans="3:40" ht="13.8" x14ac:dyDescent="0.25">
      <c r="C137" s="168">
        <v>128</v>
      </c>
      <c r="D137" s="184"/>
      <c r="E137" s="185"/>
      <c r="F137" s="171" t="str">
        <f>IF(D137="","",VLOOKUP(D137,'G-7 Rivers Data'!$B$2:$G$8,2,FALSE))</f>
        <v/>
      </c>
      <c r="G137" s="172" t="str">
        <f>IFERROR(VLOOKUP(F137,'G-7 Rivers Data'!$C$4:$D$8,2,FALSE),"")</f>
        <v/>
      </c>
      <c r="H137" s="173"/>
      <c r="I137" s="172" t="str">
        <f>IFERROR(INDEX('G-7 Rivers Data'!$H$4:$L$8,MATCH(D137,'G-7 Rivers Data'!$B$4:$B$8,0),MATCH(H137,'G-7 Rivers Data'!$H$3:$L$3,0)),"")</f>
        <v/>
      </c>
      <c r="J137" s="186"/>
      <c r="K137" s="175" t="str">
        <f>IF(J137="","",IF(VLOOKUP(J137,'G-7 Rivers Data'!$AK$4:$AM$9,2,FALSE)=0,"Spatial Data Missing",VLOOKUP(J137,'G-7 Rivers Data'!$AK$4:$AM$9,2,FALSE)))</f>
        <v/>
      </c>
      <c r="L137" s="176" t="str">
        <f>IF(J137="","",IF(VLOOKUP(J137,'G-7 Rivers Data'!$AK$4:$AM$9,3,FALSE)=0,"Spatial Data Missing",VLOOKUP(J137,'G-7 Rivers Data'!$AK$4:$AM$9,3,FALSE)))</f>
        <v/>
      </c>
      <c r="M137" s="79"/>
      <c r="N137" s="172" t="str">
        <f>IF(M137="","",IF(VLOOKUP(M137,'G-7 Rivers Data'!$AA$4:$AB$7,2,FALSE)=0,"Spatial Data Missing",VLOOKUP(M137,'G-7 Rivers Data'!$AA$4:$AB$7,2,FALSE)))</f>
        <v/>
      </c>
      <c r="O137" s="187"/>
      <c r="P137" s="172" t="str">
        <f>IF(O137="","",IF(VLOOKUP(O137,'G-7 Rivers Data'!$AD$4:$AE$8,2,FALSE)=0,"Spatial Data Missing",VLOOKUP(O137,'G-7 Rivers Data'!$AD$4:$AE$8,2,FALSE)))</f>
        <v/>
      </c>
      <c r="Q137" s="177" t="str">
        <f>IF(D137="","",VLOOKUP(D137,'G-7 Rivers Data'!$B$4:$G$8,6,FALSE))</f>
        <v/>
      </c>
      <c r="R137" s="178" t="str">
        <f t="shared" si="8"/>
        <v/>
      </c>
      <c r="S137" s="44"/>
      <c r="T137" s="173"/>
      <c r="U137" s="189"/>
      <c r="V137" s="208" t="str">
        <f t="shared" si="9"/>
        <v/>
      </c>
      <c r="W137" s="208" t="str">
        <f t="shared" si="10"/>
        <v/>
      </c>
      <c r="X137" s="208" t="str">
        <f t="shared" si="11"/>
        <v/>
      </c>
      <c r="Y137" s="209" t="str">
        <f t="shared" si="12"/>
        <v/>
      </c>
      <c r="Z137" s="182"/>
      <c r="AA137" s="183"/>
      <c r="AF137" s="35" t="str">
        <f>IFERROR(INDEX('G-7 Rivers Data'!$AZ$3:$AZ$7,MATCH(D137,'G-7 Rivers Data'!$AY$3:$AY$7,0)),"")</f>
        <v/>
      </c>
      <c r="AG137" s="35">
        <f t="shared" si="13"/>
        <v>0</v>
      </c>
      <c r="AH137" s="188" t="str">
        <f t="shared" si="14"/>
        <v/>
      </c>
      <c r="AI137" s="188" t="str">
        <f t="shared" si="15"/>
        <v/>
      </c>
      <c r="AK137" s="188">
        <v>128</v>
      </c>
      <c r="AM137" s="188" t="str">
        <f t="array" ref="AM137">IFERROR(INDEX($AK$10:$AK$258, MATCH(0, IF(TRUE=$AH$10:$AH$258, COUNTIF($AM$9:$AM136, $AK$10:$AK$258), ""), 0)),"")</f>
        <v/>
      </c>
      <c r="AN137" s="188" t="str">
        <f t="array" ref="AN137">IFERROR(INDEX($AK$10:$AK$258, MATCH(0, IF(TRUE=$AI$10:$AI$258, COUNTIF($AN$9:$AN136, $AK$10:$AK$258), ""), 0)),"")</f>
        <v/>
      </c>
    </row>
    <row r="138" spans="3:40" ht="13.8" x14ac:dyDescent="0.25">
      <c r="C138" s="168">
        <v>129</v>
      </c>
      <c r="D138" s="184"/>
      <c r="E138" s="185"/>
      <c r="F138" s="171" t="str">
        <f>IF(D138="","",VLOOKUP(D138,'G-7 Rivers Data'!$B$2:$G$8,2,FALSE))</f>
        <v/>
      </c>
      <c r="G138" s="172" t="str">
        <f>IFERROR(VLOOKUP(F138,'G-7 Rivers Data'!$C$4:$D$8,2,FALSE),"")</f>
        <v/>
      </c>
      <c r="H138" s="173"/>
      <c r="I138" s="172" t="str">
        <f>IFERROR(INDEX('G-7 Rivers Data'!$H$4:$L$8,MATCH(D138,'G-7 Rivers Data'!$B$4:$B$8,0),MATCH(H138,'G-7 Rivers Data'!$H$3:$L$3,0)),"")</f>
        <v/>
      </c>
      <c r="J138" s="186"/>
      <c r="K138" s="175" t="str">
        <f>IF(J138="","",IF(VLOOKUP(J138,'G-7 Rivers Data'!$AK$4:$AM$9,2,FALSE)=0,"Spatial Data Missing",VLOOKUP(J138,'G-7 Rivers Data'!$AK$4:$AM$9,2,FALSE)))</f>
        <v/>
      </c>
      <c r="L138" s="176" t="str">
        <f>IF(J138="","",IF(VLOOKUP(J138,'G-7 Rivers Data'!$AK$4:$AM$9,3,FALSE)=0,"Spatial Data Missing",VLOOKUP(J138,'G-7 Rivers Data'!$AK$4:$AM$9,3,FALSE)))</f>
        <v/>
      </c>
      <c r="M138" s="79"/>
      <c r="N138" s="172" t="str">
        <f>IF(M138="","",IF(VLOOKUP(M138,'G-7 Rivers Data'!$AA$4:$AB$7,2,FALSE)=0,"Spatial Data Missing",VLOOKUP(M138,'G-7 Rivers Data'!$AA$4:$AB$7,2,FALSE)))</f>
        <v/>
      </c>
      <c r="O138" s="187"/>
      <c r="P138" s="172" t="str">
        <f>IF(O138="","",IF(VLOOKUP(O138,'G-7 Rivers Data'!$AD$4:$AE$8,2,FALSE)=0,"Spatial Data Missing",VLOOKUP(O138,'G-7 Rivers Data'!$AD$4:$AE$8,2,FALSE)))</f>
        <v/>
      </c>
      <c r="Q138" s="177" t="str">
        <f>IF(D138="","",VLOOKUP(D138,'G-7 Rivers Data'!$B$4:$G$8,6,FALSE))</f>
        <v/>
      </c>
      <c r="R138" s="178" t="str">
        <f t="shared" si="8"/>
        <v/>
      </c>
      <c r="S138" s="44"/>
      <c r="T138" s="173"/>
      <c r="U138" s="189"/>
      <c r="V138" s="208" t="str">
        <f t="shared" si="9"/>
        <v/>
      </c>
      <c r="W138" s="208" t="str">
        <f t="shared" si="10"/>
        <v/>
      </c>
      <c r="X138" s="208" t="str">
        <f t="shared" si="11"/>
        <v/>
      </c>
      <c r="Y138" s="209" t="str">
        <f t="shared" si="12"/>
        <v/>
      </c>
      <c r="Z138" s="182"/>
      <c r="AA138" s="183"/>
      <c r="AF138" s="35" t="str">
        <f>IFERROR(INDEX('G-7 Rivers Data'!$AZ$3:$AZ$7,MATCH(D138,'G-7 Rivers Data'!$AY$3:$AY$7,0)),"")</f>
        <v/>
      </c>
      <c r="AG138" s="35">
        <f t="shared" si="13"/>
        <v>0</v>
      </c>
      <c r="AH138" s="188" t="str">
        <f t="shared" si="14"/>
        <v/>
      </c>
      <c r="AI138" s="188" t="str">
        <f t="shared" si="15"/>
        <v/>
      </c>
      <c r="AK138" s="188">
        <v>129</v>
      </c>
      <c r="AM138" s="188" t="str">
        <f t="array" ref="AM138">IFERROR(INDEX($AK$10:$AK$258, MATCH(0, IF(TRUE=$AH$10:$AH$258, COUNTIF($AM$9:$AM137, $AK$10:$AK$258), ""), 0)),"")</f>
        <v/>
      </c>
      <c r="AN138" s="188" t="str">
        <f t="array" ref="AN138">IFERROR(INDEX($AK$10:$AK$258, MATCH(0, IF(TRUE=$AI$10:$AI$258, COUNTIF($AN$9:$AN137, $AK$10:$AK$258), ""), 0)),"")</f>
        <v/>
      </c>
    </row>
    <row r="139" spans="3:40" ht="13.8" x14ac:dyDescent="0.25">
      <c r="C139" s="168">
        <v>130</v>
      </c>
      <c r="D139" s="184"/>
      <c r="E139" s="185"/>
      <c r="F139" s="171" t="str">
        <f>IF(D139="","",VLOOKUP(D139,'G-7 Rivers Data'!$B$2:$G$8,2,FALSE))</f>
        <v/>
      </c>
      <c r="G139" s="172" t="str">
        <f>IFERROR(VLOOKUP(F139,'G-7 Rivers Data'!$C$4:$D$8,2,FALSE),"")</f>
        <v/>
      </c>
      <c r="H139" s="173"/>
      <c r="I139" s="172" t="str">
        <f>IFERROR(INDEX('G-7 Rivers Data'!$H$4:$L$8,MATCH(D139,'G-7 Rivers Data'!$B$4:$B$8,0),MATCH(H139,'G-7 Rivers Data'!$H$3:$L$3,0)),"")</f>
        <v/>
      </c>
      <c r="J139" s="186"/>
      <c r="K139" s="175" t="str">
        <f>IF(J139="","",IF(VLOOKUP(J139,'G-7 Rivers Data'!$AK$4:$AM$9,2,FALSE)=0,"Spatial Data Missing",VLOOKUP(J139,'G-7 Rivers Data'!$AK$4:$AM$9,2,FALSE)))</f>
        <v/>
      </c>
      <c r="L139" s="176" t="str">
        <f>IF(J139="","",IF(VLOOKUP(J139,'G-7 Rivers Data'!$AK$4:$AM$9,3,FALSE)=0,"Spatial Data Missing",VLOOKUP(J139,'G-7 Rivers Data'!$AK$4:$AM$9,3,FALSE)))</f>
        <v/>
      </c>
      <c r="M139" s="79"/>
      <c r="N139" s="172" t="str">
        <f>IF(M139="","",IF(VLOOKUP(M139,'G-7 Rivers Data'!$AA$4:$AB$7,2,FALSE)=0,"Spatial Data Missing",VLOOKUP(M139,'G-7 Rivers Data'!$AA$4:$AB$7,2,FALSE)))</f>
        <v/>
      </c>
      <c r="O139" s="187"/>
      <c r="P139" s="172" t="str">
        <f>IF(O139="","",IF(VLOOKUP(O139,'G-7 Rivers Data'!$AD$4:$AE$8,2,FALSE)=0,"Spatial Data Missing",VLOOKUP(O139,'G-7 Rivers Data'!$AD$4:$AE$8,2,FALSE)))</f>
        <v/>
      </c>
      <c r="Q139" s="177" t="str">
        <f>IF(D139="","",VLOOKUP(D139,'G-7 Rivers Data'!$B$4:$G$8,6,FALSE))</f>
        <v/>
      </c>
      <c r="R139" s="178" t="str">
        <f t="shared" ref="R139:R202" si="16">IFERROR(E139*G139*I139*L139*N139*P139,"")</f>
        <v/>
      </c>
      <c r="S139" s="44"/>
      <c r="T139" s="173"/>
      <c r="U139" s="189"/>
      <c r="V139" s="208" t="str">
        <f t="shared" ref="V139:V202" si="17">IFERROR(IF(T139&gt;E139,"Check Lengths",T139*G139*I139*L139*N139*P139),"")</f>
        <v/>
      </c>
      <c r="W139" s="208" t="str">
        <f t="shared" ref="W139:W202" si="18">IFERROR(IF(D139="","",U139*G139*I139*L139*N139*P139),"")</f>
        <v/>
      </c>
      <c r="X139" s="208" t="str">
        <f t="shared" ref="X139:X202" si="19">IFERROR(IF(D139="","",IF(E139&gt;(T139+U139),E139-T139-U139,0)),"")</f>
        <v/>
      </c>
      <c r="Y139" s="209" t="str">
        <f t="shared" ref="Y139:Y202" si="20">IFERROR(IF(E139="","",IF((V139+W139)&gt;R139,0,R139-V139-W139)),"Check Data")</f>
        <v/>
      </c>
      <c r="Z139" s="182"/>
      <c r="AA139" s="183"/>
      <c r="AF139" s="35" t="str">
        <f>IFERROR(INDEX('G-7 Rivers Data'!$AZ$3:$AZ$7,MATCH(D139,'G-7 Rivers Data'!$AY$3:$AY$7,0)),"")</f>
        <v/>
      </c>
      <c r="AG139" s="35">
        <f t="shared" ref="AG139:AG202" si="21">IFERROR(IF(T139+U139&gt;E139,1,0),"")</f>
        <v>0</v>
      </c>
      <c r="AH139" s="188" t="str">
        <f t="shared" ref="AH139:AH202" si="22">IF(D139="","",IF(T139&gt;0,TRUE,FALSE))</f>
        <v/>
      </c>
      <c r="AI139" s="188" t="str">
        <f t="shared" ref="AI139:AI202" si="23">IF(D139="","",IF(U139&gt;0,TRUE,FALSE))</f>
        <v/>
      </c>
      <c r="AK139" s="188">
        <v>130</v>
      </c>
      <c r="AM139" s="188" t="str">
        <f t="array" ref="AM139">IFERROR(INDEX($AK$10:$AK$258, MATCH(0, IF(TRUE=$AH$10:$AH$258, COUNTIF($AM$9:$AM138, $AK$10:$AK$258), ""), 0)),"")</f>
        <v/>
      </c>
      <c r="AN139" s="188" t="str">
        <f t="array" ref="AN139">IFERROR(INDEX($AK$10:$AK$258, MATCH(0, IF(TRUE=$AI$10:$AI$258, COUNTIF($AN$9:$AN138, $AK$10:$AK$258), ""), 0)),"")</f>
        <v/>
      </c>
    </row>
    <row r="140" spans="3:40" ht="13.8" x14ac:dyDescent="0.25">
      <c r="C140" s="168">
        <v>131</v>
      </c>
      <c r="D140" s="184"/>
      <c r="E140" s="185"/>
      <c r="F140" s="171" t="str">
        <f>IF(D140="","",VLOOKUP(D140,'G-7 Rivers Data'!$B$2:$G$8,2,FALSE))</f>
        <v/>
      </c>
      <c r="G140" s="172" t="str">
        <f>IFERROR(VLOOKUP(F140,'G-7 Rivers Data'!$C$4:$D$8,2,FALSE),"")</f>
        <v/>
      </c>
      <c r="H140" s="173"/>
      <c r="I140" s="172" t="str">
        <f>IFERROR(INDEX('G-7 Rivers Data'!$H$4:$L$8,MATCH(D140,'G-7 Rivers Data'!$B$4:$B$8,0),MATCH(H140,'G-7 Rivers Data'!$H$3:$L$3,0)),"")</f>
        <v/>
      </c>
      <c r="J140" s="186"/>
      <c r="K140" s="175" t="str">
        <f>IF(J140="","",IF(VLOOKUP(J140,'G-7 Rivers Data'!$AK$4:$AM$9,2,FALSE)=0,"Spatial Data Missing",VLOOKUP(J140,'G-7 Rivers Data'!$AK$4:$AM$9,2,FALSE)))</f>
        <v/>
      </c>
      <c r="L140" s="176" t="str">
        <f>IF(J140="","",IF(VLOOKUP(J140,'G-7 Rivers Data'!$AK$4:$AM$9,3,FALSE)=0,"Spatial Data Missing",VLOOKUP(J140,'G-7 Rivers Data'!$AK$4:$AM$9,3,FALSE)))</f>
        <v/>
      </c>
      <c r="M140" s="79"/>
      <c r="N140" s="172" t="str">
        <f>IF(M140="","",IF(VLOOKUP(M140,'G-7 Rivers Data'!$AA$4:$AB$7,2,FALSE)=0,"Spatial Data Missing",VLOOKUP(M140,'G-7 Rivers Data'!$AA$4:$AB$7,2,FALSE)))</f>
        <v/>
      </c>
      <c r="O140" s="187"/>
      <c r="P140" s="172" t="str">
        <f>IF(O140="","",IF(VLOOKUP(O140,'G-7 Rivers Data'!$AD$4:$AE$8,2,FALSE)=0,"Spatial Data Missing",VLOOKUP(O140,'G-7 Rivers Data'!$AD$4:$AE$8,2,FALSE)))</f>
        <v/>
      </c>
      <c r="Q140" s="177" t="str">
        <f>IF(D140="","",VLOOKUP(D140,'G-7 Rivers Data'!$B$4:$G$8,6,FALSE))</f>
        <v/>
      </c>
      <c r="R140" s="178" t="str">
        <f t="shared" si="16"/>
        <v/>
      </c>
      <c r="S140" s="44"/>
      <c r="T140" s="173"/>
      <c r="U140" s="189"/>
      <c r="V140" s="208" t="str">
        <f t="shared" si="17"/>
        <v/>
      </c>
      <c r="W140" s="208" t="str">
        <f t="shared" si="18"/>
        <v/>
      </c>
      <c r="X140" s="208" t="str">
        <f t="shared" si="19"/>
        <v/>
      </c>
      <c r="Y140" s="209" t="str">
        <f t="shared" si="20"/>
        <v/>
      </c>
      <c r="Z140" s="182"/>
      <c r="AA140" s="183"/>
      <c r="AF140" s="35" t="str">
        <f>IFERROR(INDEX('G-7 Rivers Data'!$AZ$3:$AZ$7,MATCH(D140,'G-7 Rivers Data'!$AY$3:$AY$7,0)),"")</f>
        <v/>
      </c>
      <c r="AG140" s="35">
        <f t="shared" si="21"/>
        <v>0</v>
      </c>
      <c r="AH140" s="188" t="str">
        <f t="shared" si="22"/>
        <v/>
      </c>
      <c r="AI140" s="188" t="str">
        <f t="shared" si="23"/>
        <v/>
      </c>
      <c r="AK140" s="188">
        <v>131</v>
      </c>
      <c r="AM140" s="188" t="str">
        <f t="array" ref="AM140">IFERROR(INDEX($AK$10:$AK$258, MATCH(0, IF(TRUE=$AH$10:$AH$258, COUNTIF($AM$9:$AM139, $AK$10:$AK$258), ""), 0)),"")</f>
        <v/>
      </c>
      <c r="AN140" s="188" t="str">
        <f t="array" ref="AN140">IFERROR(INDEX($AK$10:$AK$258, MATCH(0, IF(TRUE=$AI$10:$AI$258, COUNTIF($AN$9:$AN139, $AK$10:$AK$258), ""), 0)),"")</f>
        <v/>
      </c>
    </row>
    <row r="141" spans="3:40" ht="13.8" x14ac:dyDescent="0.25">
      <c r="C141" s="168">
        <v>132</v>
      </c>
      <c r="D141" s="184"/>
      <c r="E141" s="185"/>
      <c r="F141" s="171" t="str">
        <f>IF(D141="","",VLOOKUP(D141,'G-7 Rivers Data'!$B$2:$G$8,2,FALSE))</f>
        <v/>
      </c>
      <c r="G141" s="172" t="str">
        <f>IFERROR(VLOOKUP(F141,'G-7 Rivers Data'!$C$4:$D$8,2,FALSE),"")</f>
        <v/>
      </c>
      <c r="H141" s="173"/>
      <c r="I141" s="172" t="str">
        <f>IFERROR(INDEX('G-7 Rivers Data'!$H$4:$L$8,MATCH(D141,'G-7 Rivers Data'!$B$4:$B$8,0),MATCH(H141,'G-7 Rivers Data'!$H$3:$L$3,0)),"")</f>
        <v/>
      </c>
      <c r="J141" s="186"/>
      <c r="K141" s="175" t="str">
        <f>IF(J141="","",IF(VLOOKUP(J141,'G-7 Rivers Data'!$AK$4:$AM$9,2,FALSE)=0,"Spatial Data Missing",VLOOKUP(J141,'G-7 Rivers Data'!$AK$4:$AM$9,2,FALSE)))</f>
        <v/>
      </c>
      <c r="L141" s="176" t="str">
        <f>IF(J141="","",IF(VLOOKUP(J141,'G-7 Rivers Data'!$AK$4:$AM$9,3,FALSE)=0,"Spatial Data Missing",VLOOKUP(J141,'G-7 Rivers Data'!$AK$4:$AM$9,3,FALSE)))</f>
        <v/>
      </c>
      <c r="M141" s="79"/>
      <c r="N141" s="172" t="str">
        <f>IF(M141="","",IF(VLOOKUP(M141,'G-7 Rivers Data'!$AA$4:$AB$7,2,FALSE)=0,"Spatial Data Missing",VLOOKUP(M141,'G-7 Rivers Data'!$AA$4:$AB$7,2,FALSE)))</f>
        <v/>
      </c>
      <c r="O141" s="187"/>
      <c r="P141" s="172" t="str">
        <f>IF(O141="","",IF(VLOOKUP(O141,'G-7 Rivers Data'!$AD$4:$AE$8,2,FALSE)=0,"Spatial Data Missing",VLOOKUP(O141,'G-7 Rivers Data'!$AD$4:$AE$8,2,FALSE)))</f>
        <v/>
      </c>
      <c r="Q141" s="177" t="str">
        <f>IF(D141="","",VLOOKUP(D141,'G-7 Rivers Data'!$B$4:$G$8,6,FALSE))</f>
        <v/>
      </c>
      <c r="R141" s="178" t="str">
        <f t="shared" si="16"/>
        <v/>
      </c>
      <c r="S141" s="44"/>
      <c r="T141" s="173"/>
      <c r="U141" s="189"/>
      <c r="V141" s="208" t="str">
        <f t="shared" si="17"/>
        <v/>
      </c>
      <c r="W141" s="208" t="str">
        <f t="shared" si="18"/>
        <v/>
      </c>
      <c r="X141" s="208" t="str">
        <f t="shared" si="19"/>
        <v/>
      </c>
      <c r="Y141" s="209" t="str">
        <f t="shared" si="20"/>
        <v/>
      </c>
      <c r="Z141" s="182"/>
      <c r="AA141" s="183"/>
      <c r="AF141" s="35" t="str">
        <f>IFERROR(INDEX('G-7 Rivers Data'!$AZ$3:$AZ$7,MATCH(D141,'G-7 Rivers Data'!$AY$3:$AY$7,0)),"")</f>
        <v/>
      </c>
      <c r="AG141" s="35">
        <f t="shared" si="21"/>
        <v>0</v>
      </c>
      <c r="AH141" s="188" t="str">
        <f t="shared" si="22"/>
        <v/>
      </c>
      <c r="AI141" s="188" t="str">
        <f t="shared" si="23"/>
        <v/>
      </c>
      <c r="AK141" s="188">
        <v>132</v>
      </c>
      <c r="AM141" s="188" t="str">
        <f t="array" ref="AM141">IFERROR(INDEX($AK$10:$AK$258, MATCH(0, IF(TRUE=$AH$10:$AH$258, COUNTIF($AM$9:$AM140, $AK$10:$AK$258), ""), 0)),"")</f>
        <v/>
      </c>
      <c r="AN141" s="188" t="str">
        <f t="array" ref="AN141">IFERROR(INDEX($AK$10:$AK$258, MATCH(0, IF(TRUE=$AI$10:$AI$258, COUNTIF($AN$9:$AN140, $AK$10:$AK$258), ""), 0)),"")</f>
        <v/>
      </c>
    </row>
    <row r="142" spans="3:40" ht="13.8" x14ac:dyDescent="0.25">
      <c r="C142" s="168">
        <v>133</v>
      </c>
      <c r="D142" s="184"/>
      <c r="E142" s="185"/>
      <c r="F142" s="171" t="str">
        <f>IF(D142="","",VLOOKUP(D142,'G-7 Rivers Data'!$B$2:$G$8,2,FALSE))</f>
        <v/>
      </c>
      <c r="G142" s="172" t="str">
        <f>IFERROR(VLOOKUP(F142,'G-7 Rivers Data'!$C$4:$D$8,2,FALSE),"")</f>
        <v/>
      </c>
      <c r="H142" s="173"/>
      <c r="I142" s="172" t="str">
        <f>IFERROR(INDEX('G-7 Rivers Data'!$H$4:$L$8,MATCH(D142,'G-7 Rivers Data'!$B$4:$B$8,0),MATCH(H142,'G-7 Rivers Data'!$H$3:$L$3,0)),"")</f>
        <v/>
      </c>
      <c r="J142" s="186"/>
      <c r="K142" s="175" t="str">
        <f>IF(J142="","",IF(VLOOKUP(J142,'G-7 Rivers Data'!$AK$4:$AM$9,2,FALSE)=0,"Spatial Data Missing",VLOOKUP(J142,'G-7 Rivers Data'!$AK$4:$AM$9,2,FALSE)))</f>
        <v/>
      </c>
      <c r="L142" s="176" t="str">
        <f>IF(J142="","",IF(VLOOKUP(J142,'G-7 Rivers Data'!$AK$4:$AM$9,3,FALSE)=0,"Spatial Data Missing",VLOOKUP(J142,'G-7 Rivers Data'!$AK$4:$AM$9,3,FALSE)))</f>
        <v/>
      </c>
      <c r="M142" s="79"/>
      <c r="N142" s="172" t="str">
        <f>IF(M142="","",IF(VLOOKUP(M142,'G-7 Rivers Data'!$AA$4:$AB$7,2,FALSE)=0,"Spatial Data Missing",VLOOKUP(M142,'G-7 Rivers Data'!$AA$4:$AB$7,2,FALSE)))</f>
        <v/>
      </c>
      <c r="O142" s="187"/>
      <c r="P142" s="172" t="str">
        <f>IF(O142="","",IF(VLOOKUP(O142,'G-7 Rivers Data'!$AD$4:$AE$8,2,FALSE)=0,"Spatial Data Missing",VLOOKUP(O142,'G-7 Rivers Data'!$AD$4:$AE$8,2,FALSE)))</f>
        <v/>
      </c>
      <c r="Q142" s="177" t="str">
        <f>IF(D142="","",VLOOKUP(D142,'G-7 Rivers Data'!$B$4:$G$8,6,FALSE))</f>
        <v/>
      </c>
      <c r="R142" s="178" t="str">
        <f t="shared" si="16"/>
        <v/>
      </c>
      <c r="S142" s="44"/>
      <c r="T142" s="173"/>
      <c r="U142" s="189"/>
      <c r="V142" s="208" t="str">
        <f t="shared" si="17"/>
        <v/>
      </c>
      <c r="W142" s="208" t="str">
        <f t="shared" si="18"/>
        <v/>
      </c>
      <c r="X142" s="208" t="str">
        <f t="shared" si="19"/>
        <v/>
      </c>
      <c r="Y142" s="209" t="str">
        <f t="shared" si="20"/>
        <v/>
      </c>
      <c r="Z142" s="182"/>
      <c r="AA142" s="183"/>
      <c r="AF142" s="35" t="str">
        <f>IFERROR(INDEX('G-7 Rivers Data'!$AZ$3:$AZ$7,MATCH(D142,'G-7 Rivers Data'!$AY$3:$AY$7,0)),"")</f>
        <v/>
      </c>
      <c r="AG142" s="35">
        <f t="shared" si="21"/>
        <v>0</v>
      </c>
      <c r="AH142" s="188" t="str">
        <f t="shared" si="22"/>
        <v/>
      </c>
      <c r="AI142" s="188" t="str">
        <f t="shared" si="23"/>
        <v/>
      </c>
      <c r="AK142" s="188">
        <v>133</v>
      </c>
      <c r="AM142" s="188" t="str">
        <f t="array" ref="AM142">IFERROR(INDEX($AK$10:$AK$258, MATCH(0, IF(TRUE=$AH$10:$AH$258, COUNTIF($AM$9:$AM141, $AK$10:$AK$258), ""), 0)),"")</f>
        <v/>
      </c>
      <c r="AN142" s="188" t="str">
        <f t="array" ref="AN142">IFERROR(INDEX($AK$10:$AK$258, MATCH(0, IF(TRUE=$AI$10:$AI$258, COUNTIF($AN$9:$AN141, $AK$10:$AK$258), ""), 0)),"")</f>
        <v/>
      </c>
    </row>
    <row r="143" spans="3:40" ht="13.8" x14ac:dyDescent="0.25">
      <c r="C143" s="168">
        <v>134</v>
      </c>
      <c r="D143" s="184"/>
      <c r="E143" s="185"/>
      <c r="F143" s="171" t="str">
        <f>IF(D143="","",VLOOKUP(D143,'G-7 Rivers Data'!$B$2:$G$8,2,FALSE))</f>
        <v/>
      </c>
      <c r="G143" s="172" t="str">
        <f>IFERROR(VLOOKUP(F143,'G-7 Rivers Data'!$C$4:$D$8,2,FALSE),"")</f>
        <v/>
      </c>
      <c r="H143" s="173"/>
      <c r="I143" s="172" t="str">
        <f>IFERROR(INDEX('G-7 Rivers Data'!$H$4:$L$8,MATCH(D143,'G-7 Rivers Data'!$B$4:$B$8,0),MATCH(H143,'G-7 Rivers Data'!$H$3:$L$3,0)),"")</f>
        <v/>
      </c>
      <c r="J143" s="186"/>
      <c r="K143" s="175" t="str">
        <f>IF(J143="","",IF(VLOOKUP(J143,'G-7 Rivers Data'!$AK$4:$AM$9,2,FALSE)=0,"Spatial Data Missing",VLOOKUP(J143,'G-7 Rivers Data'!$AK$4:$AM$9,2,FALSE)))</f>
        <v/>
      </c>
      <c r="L143" s="176" t="str">
        <f>IF(J143="","",IF(VLOOKUP(J143,'G-7 Rivers Data'!$AK$4:$AM$9,3,FALSE)=0,"Spatial Data Missing",VLOOKUP(J143,'G-7 Rivers Data'!$AK$4:$AM$9,3,FALSE)))</f>
        <v/>
      </c>
      <c r="M143" s="79"/>
      <c r="N143" s="172" t="str">
        <f>IF(M143="","",IF(VLOOKUP(M143,'G-7 Rivers Data'!$AA$4:$AB$7,2,FALSE)=0,"Spatial Data Missing",VLOOKUP(M143,'G-7 Rivers Data'!$AA$4:$AB$7,2,FALSE)))</f>
        <v/>
      </c>
      <c r="O143" s="187"/>
      <c r="P143" s="172" t="str">
        <f>IF(O143="","",IF(VLOOKUP(O143,'G-7 Rivers Data'!$AD$4:$AE$8,2,FALSE)=0,"Spatial Data Missing",VLOOKUP(O143,'G-7 Rivers Data'!$AD$4:$AE$8,2,FALSE)))</f>
        <v/>
      </c>
      <c r="Q143" s="177" t="str">
        <f>IF(D143="","",VLOOKUP(D143,'G-7 Rivers Data'!$B$4:$G$8,6,FALSE))</f>
        <v/>
      </c>
      <c r="R143" s="178" t="str">
        <f t="shared" si="16"/>
        <v/>
      </c>
      <c r="S143" s="44"/>
      <c r="T143" s="173"/>
      <c r="U143" s="189"/>
      <c r="V143" s="208" t="str">
        <f t="shared" si="17"/>
        <v/>
      </c>
      <c r="W143" s="208" t="str">
        <f t="shared" si="18"/>
        <v/>
      </c>
      <c r="X143" s="208" t="str">
        <f t="shared" si="19"/>
        <v/>
      </c>
      <c r="Y143" s="209" t="str">
        <f t="shared" si="20"/>
        <v/>
      </c>
      <c r="Z143" s="182"/>
      <c r="AA143" s="183"/>
      <c r="AF143" s="35" t="str">
        <f>IFERROR(INDEX('G-7 Rivers Data'!$AZ$3:$AZ$7,MATCH(D143,'G-7 Rivers Data'!$AY$3:$AY$7,0)),"")</f>
        <v/>
      </c>
      <c r="AG143" s="35">
        <f t="shared" si="21"/>
        <v>0</v>
      </c>
      <c r="AH143" s="188" t="str">
        <f t="shared" si="22"/>
        <v/>
      </c>
      <c r="AI143" s="188" t="str">
        <f t="shared" si="23"/>
        <v/>
      </c>
      <c r="AK143" s="188">
        <v>134</v>
      </c>
      <c r="AM143" s="188" t="str">
        <f t="array" ref="AM143">IFERROR(INDEX($AK$10:$AK$258, MATCH(0, IF(TRUE=$AH$10:$AH$258, COUNTIF($AM$9:$AM142, $AK$10:$AK$258), ""), 0)),"")</f>
        <v/>
      </c>
      <c r="AN143" s="188" t="str">
        <f t="array" ref="AN143">IFERROR(INDEX($AK$10:$AK$258, MATCH(0, IF(TRUE=$AI$10:$AI$258, COUNTIF($AN$9:$AN142, $AK$10:$AK$258), ""), 0)),"")</f>
        <v/>
      </c>
    </row>
    <row r="144" spans="3:40" ht="13.8" x14ac:dyDescent="0.25">
      <c r="C144" s="168">
        <v>135</v>
      </c>
      <c r="D144" s="184"/>
      <c r="E144" s="185"/>
      <c r="F144" s="171" t="str">
        <f>IF(D144="","",VLOOKUP(D144,'G-7 Rivers Data'!$B$2:$G$8,2,FALSE))</f>
        <v/>
      </c>
      <c r="G144" s="172" t="str">
        <f>IFERROR(VLOOKUP(F144,'G-7 Rivers Data'!$C$4:$D$8,2,FALSE),"")</f>
        <v/>
      </c>
      <c r="H144" s="173"/>
      <c r="I144" s="172" t="str">
        <f>IFERROR(INDEX('G-7 Rivers Data'!$H$4:$L$8,MATCH(D144,'G-7 Rivers Data'!$B$4:$B$8,0),MATCH(H144,'G-7 Rivers Data'!$H$3:$L$3,0)),"")</f>
        <v/>
      </c>
      <c r="J144" s="186"/>
      <c r="K144" s="175" t="str">
        <f>IF(J144="","",IF(VLOOKUP(J144,'G-7 Rivers Data'!$AK$4:$AM$9,2,FALSE)=0,"Spatial Data Missing",VLOOKUP(J144,'G-7 Rivers Data'!$AK$4:$AM$9,2,FALSE)))</f>
        <v/>
      </c>
      <c r="L144" s="176" t="str">
        <f>IF(J144="","",IF(VLOOKUP(J144,'G-7 Rivers Data'!$AK$4:$AM$9,3,FALSE)=0,"Spatial Data Missing",VLOOKUP(J144,'G-7 Rivers Data'!$AK$4:$AM$9,3,FALSE)))</f>
        <v/>
      </c>
      <c r="M144" s="79"/>
      <c r="N144" s="172" t="str">
        <f>IF(M144="","",IF(VLOOKUP(M144,'G-7 Rivers Data'!$AA$4:$AB$7,2,FALSE)=0,"Spatial Data Missing",VLOOKUP(M144,'G-7 Rivers Data'!$AA$4:$AB$7,2,FALSE)))</f>
        <v/>
      </c>
      <c r="O144" s="187"/>
      <c r="P144" s="172" t="str">
        <f>IF(O144="","",IF(VLOOKUP(O144,'G-7 Rivers Data'!$AD$4:$AE$8,2,FALSE)=0,"Spatial Data Missing",VLOOKUP(O144,'G-7 Rivers Data'!$AD$4:$AE$8,2,FALSE)))</f>
        <v/>
      </c>
      <c r="Q144" s="177" t="str">
        <f>IF(D144="","",VLOOKUP(D144,'G-7 Rivers Data'!$B$4:$G$8,6,FALSE))</f>
        <v/>
      </c>
      <c r="R144" s="178" t="str">
        <f t="shared" si="16"/>
        <v/>
      </c>
      <c r="S144" s="44"/>
      <c r="T144" s="173"/>
      <c r="U144" s="189"/>
      <c r="V144" s="208" t="str">
        <f t="shared" si="17"/>
        <v/>
      </c>
      <c r="W144" s="208" t="str">
        <f t="shared" si="18"/>
        <v/>
      </c>
      <c r="X144" s="208" t="str">
        <f t="shared" si="19"/>
        <v/>
      </c>
      <c r="Y144" s="209" t="str">
        <f t="shared" si="20"/>
        <v/>
      </c>
      <c r="Z144" s="182"/>
      <c r="AA144" s="183"/>
      <c r="AF144" s="35" t="str">
        <f>IFERROR(INDEX('G-7 Rivers Data'!$AZ$3:$AZ$7,MATCH(D144,'G-7 Rivers Data'!$AY$3:$AY$7,0)),"")</f>
        <v/>
      </c>
      <c r="AG144" s="35">
        <f t="shared" si="21"/>
        <v>0</v>
      </c>
      <c r="AH144" s="188" t="str">
        <f t="shared" si="22"/>
        <v/>
      </c>
      <c r="AI144" s="188" t="str">
        <f t="shared" si="23"/>
        <v/>
      </c>
      <c r="AK144" s="188">
        <v>135</v>
      </c>
      <c r="AM144" s="188" t="str">
        <f t="array" ref="AM144">IFERROR(INDEX($AK$10:$AK$258, MATCH(0, IF(TRUE=$AH$10:$AH$258, COUNTIF($AM$9:$AM143, $AK$10:$AK$258), ""), 0)),"")</f>
        <v/>
      </c>
      <c r="AN144" s="188" t="str">
        <f t="array" ref="AN144">IFERROR(INDEX($AK$10:$AK$258, MATCH(0, IF(TRUE=$AI$10:$AI$258, COUNTIF($AN$9:$AN143, $AK$10:$AK$258), ""), 0)),"")</f>
        <v/>
      </c>
    </row>
    <row r="145" spans="3:40" ht="13.8" x14ac:dyDescent="0.25">
      <c r="C145" s="168">
        <v>136</v>
      </c>
      <c r="D145" s="184"/>
      <c r="E145" s="185"/>
      <c r="F145" s="171" t="str">
        <f>IF(D145="","",VLOOKUP(D145,'G-7 Rivers Data'!$B$2:$G$8,2,FALSE))</f>
        <v/>
      </c>
      <c r="G145" s="172" t="str">
        <f>IFERROR(VLOOKUP(F145,'G-7 Rivers Data'!$C$4:$D$8,2,FALSE),"")</f>
        <v/>
      </c>
      <c r="H145" s="173"/>
      <c r="I145" s="172" t="str">
        <f>IFERROR(INDEX('G-7 Rivers Data'!$H$4:$L$8,MATCH(D145,'G-7 Rivers Data'!$B$4:$B$8,0),MATCH(H145,'G-7 Rivers Data'!$H$3:$L$3,0)),"")</f>
        <v/>
      </c>
      <c r="J145" s="186"/>
      <c r="K145" s="175" t="str">
        <f>IF(J145="","",IF(VLOOKUP(J145,'G-7 Rivers Data'!$AK$4:$AM$9,2,FALSE)=0,"Spatial Data Missing",VLOOKUP(J145,'G-7 Rivers Data'!$AK$4:$AM$9,2,FALSE)))</f>
        <v/>
      </c>
      <c r="L145" s="176" t="str">
        <f>IF(J145="","",IF(VLOOKUP(J145,'G-7 Rivers Data'!$AK$4:$AM$9,3,FALSE)=0,"Spatial Data Missing",VLOOKUP(J145,'G-7 Rivers Data'!$AK$4:$AM$9,3,FALSE)))</f>
        <v/>
      </c>
      <c r="M145" s="79"/>
      <c r="N145" s="172" t="str">
        <f>IF(M145="","",IF(VLOOKUP(M145,'G-7 Rivers Data'!$AA$4:$AB$7,2,FALSE)=0,"Spatial Data Missing",VLOOKUP(M145,'G-7 Rivers Data'!$AA$4:$AB$7,2,FALSE)))</f>
        <v/>
      </c>
      <c r="O145" s="187"/>
      <c r="P145" s="172" t="str">
        <f>IF(O145="","",IF(VLOOKUP(O145,'G-7 Rivers Data'!$AD$4:$AE$8,2,FALSE)=0,"Spatial Data Missing",VLOOKUP(O145,'G-7 Rivers Data'!$AD$4:$AE$8,2,FALSE)))</f>
        <v/>
      </c>
      <c r="Q145" s="177" t="str">
        <f>IF(D145="","",VLOOKUP(D145,'G-7 Rivers Data'!$B$4:$G$8,6,FALSE))</f>
        <v/>
      </c>
      <c r="R145" s="178" t="str">
        <f t="shared" si="16"/>
        <v/>
      </c>
      <c r="S145" s="44"/>
      <c r="T145" s="173"/>
      <c r="U145" s="189"/>
      <c r="V145" s="208" t="str">
        <f t="shared" si="17"/>
        <v/>
      </c>
      <c r="W145" s="208" t="str">
        <f t="shared" si="18"/>
        <v/>
      </c>
      <c r="X145" s="208" t="str">
        <f t="shared" si="19"/>
        <v/>
      </c>
      <c r="Y145" s="209" t="str">
        <f t="shared" si="20"/>
        <v/>
      </c>
      <c r="Z145" s="182"/>
      <c r="AA145" s="183"/>
      <c r="AF145" s="35" t="str">
        <f>IFERROR(INDEX('G-7 Rivers Data'!$AZ$3:$AZ$7,MATCH(D145,'G-7 Rivers Data'!$AY$3:$AY$7,0)),"")</f>
        <v/>
      </c>
      <c r="AG145" s="35">
        <f t="shared" si="21"/>
        <v>0</v>
      </c>
      <c r="AH145" s="188" t="str">
        <f t="shared" si="22"/>
        <v/>
      </c>
      <c r="AI145" s="188" t="str">
        <f t="shared" si="23"/>
        <v/>
      </c>
      <c r="AK145" s="188">
        <v>136</v>
      </c>
      <c r="AM145" s="188" t="str">
        <f t="array" ref="AM145">IFERROR(INDEX($AK$10:$AK$258, MATCH(0, IF(TRUE=$AH$10:$AH$258, COUNTIF($AM$9:$AM144, $AK$10:$AK$258), ""), 0)),"")</f>
        <v/>
      </c>
      <c r="AN145" s="188" t="str">
        <f t="array" ref="AN145">IFERROR(INDEX($AK$10:$AK$258, MATCH(0, IF(TRUE=$AI$10:$AI$258, COUNTIF($AN$9:$AN144, $AK$10:$AK$258), ""), 0)),"")</f>
        <v/>
      </c>
    </row>
    <row r="146" spans="3:40" ht="13.8" x14ac:dyDescent="0.25">
      <c r="C146" s="168">
        <v>137</v>
      </c>
      <c r="D146" s="184"/>
      <c r="E146" s="185"/>
      <c r="F146" s="171" t="str">
        <f>IF(D146="","",VLOOKUP(D146,'G-7 Rivers Data'!$B$2:$G$8,2,FALSE))</f>
        <v/>
      </c>
      <c r="G146" s="172" t="str">
        <f>IFERROR(VLOOKUP(F146,'G-7 Rivers Data'!$C$4:$D$8,2,FALSE),"")</f>
        <v/>
      </c>
      <c r="H146" s="173"/>
      <c r="I146" s="172" t="str">
        <f>IFERROR(INDEX('G-7 Rivers Data'!$H$4:$L$8,MATCH(D146,'G-7 Rivers Data'!$B$4:$B$8,0),MATCH(H146,'G-7 Rivers Data'!$H$3:$L$3,0)),"")</f>
        <v/>
      </c>
      <c r="J146" s="186"/>
      <c r="K146" s="175" t="str">
        <f>IF(J146="","",IF(VLOOKUP(J146,'G-7 Rivers Data'!$AK$4:$AM$9,2,FALSE)=0,"Spatial Data Missing",VLOOKUP(J146,'G-7 Rivers Data'!$AK$4:$AM$9,2,FALSE)))</f>
        <v/>
      </c>
      <c r="L146" s="176" t="str">
        <f>IF(J146="","",IF(VLOOKUP(J146,'G-7 Rivers Data'!$AK$4:$AM$9,3,FALSE)=0,"Spatial Data Missing",VLOOKUP(J146,'G-7 Rivers Data'!$AK$4:$AM$9,3,FALSE)))</f>
        <v/>
      </c>
      <c r="M146" s="79"/>
      <c r="N146" s="172" t="str">
        <f>IF(M146="","",IF(VLOOKUP(M146,'G-7 Rivers Data'!$AA$4:$AB$7,2,FALSE)=0,"Spatial Data Missing",VLOOKUP(M146,'G-7 Rivers Data'!$AA$4:$AB$7,2,FALSE)))</f>
        <v/>
      </c>
      <c r="O146" s="187"/>
      <c r="P146" s="172" t="str">
        <f>IF(O146="","",IF(VLOOKUP(O146,'G-7 Rivers Data'!$AD$4:$AE$8,2,FALSE)=0,"Spatial Data Missing",VLOOKUP(O146,'G-7 Rivers Data'!$AD$4:$AE$8,2,FALSE)))</f>
        <v/>
      </c>
      <c r="Q146" s="177" t="str">
        <f>IF(D146="","",VLOOKUP(D146,'G-7 Rivers Data'!$B$4:$G$8,6,FALSE))</f>
        <v/>
      </c>
      <c r="R146" s="178" t="str">
        <f t="shared" si="16"/>
        <v/>
      </c>
      <c r="S146" s="44"/>
      <c r="T146" s="173"/>
      <c r="U146" s="189"/>
      <c r="V146" s="208" t="str">
        <f t="shared" si="17"/>
        <v/>
      </c>
      <c r="W146" s="208" t="str">
        <f t="shared" si="18"/>
        <v/>
      </c>
      <c r="X146" s="208" t="str">
        <f t="shared" si="19"/>
        <v/>
      </c>
      <c r="Y146" s="209" t="str">
        <f t="shared" si="20"/>
        <v/>
      </c>
      <c r="Z146" s="182"/>
      <c r="AA146" s="183"/>
      <c r="AF146" s="35" t="str">
        <f>IFERROR(INDEX('G-7 Rivers Data'!$AZ$3:$AZ$7,MATCH(D146,'G-7 Rivers Data'!$AY$3:$AY$7,0)),"")</f>
        <v/>
      </c>
      <c r="AG146" s="35">
        <f t="shared" si="21"/>
        <v>0</v>
      </c>
      <c r="AH146" s="188" t="str">
        <f t="shared" si="22"/>
        <v/>
      </c>
      <c r="AI146" s="188" t="str">
        <f t="shared" si="23"/>
        <v/>
      </c>
      <c r="AK146" s="188">
        <v>137</v>
      </c>
      <c r="AM146" s="188" t="str">
        <f t="array" ref="AM146">IFERROR(INDEX($AK$10:$AK$258, MATCH(0, IF(TRUE=$AH$10:$AH$258, COUNTIF($AM$9:$AM145, $AK$10:$AK$258), ""), 0)),"")</f>
        <v/>
      </c>
      <c r="AN146" s="188" t="str">
        <f t="array" ref="AN146">IFERROR(INDEX($AK$10:$AK$258, MATCH(0, IF(TRUE=$AI$10:$AI$258, COUNTIF($AN$9:$AN145, $AK$10:$AK$258), ""), 0)),"")</f>
        <v/>
      </c>
    </row>
    <row r="147" spans="3:40" ht="13.8" x14ac:dyDescent="0.25">
      <c r="C147" s="168">
        <v>138</v>
      </c>
      <c r="D147" s="184"/>
      <c r="E147" s="185"/>
      <c r="F147" s="171" t="str">
        <f>IF(D147="","",VLOOKUP(D147,'G-7 Rivers Data'!$B$2:$G$8,2,FALSE))</f>
        <v/>
      </c>
      <c r="G147" s="172" t="str">
        <f>IFERROR(VLOOKUP(F147,'G-7 Rivers Data'!$C$4:$D$8,2,FALSE),"")</f>
        <v/>
      </c>
      <c r="H147" s="173"/>
      <c r="I147" s="172" t="str">
        <f>IFERROR(INDEX('G-7 Rivers Data'!$H$4:$L$8,MATCH(D147,'G-7 Rivers Data'!$B$4:$B$8,0),MATCH(H147,'G-7 Rivers Data'!$H$3:$L$3,0)),"")</f>
        <v/>
      </c>
      <c r="J147" s="186"/>
      <c r="K147" s="175" t="str">
        <f>IF(J147="","",IF(VLOOKUP(J147,'G-7 Rivers Data'!$AK$4:$AM$9,2,FALSE)=0,"Spatial Data Missing",VLOOKUP(J147,'G-7 Rivers Data'!$AK$4:$AM$9,2,FALSE)))</f>
        <v/>
      </c>
      <c r="L147" s="176" t="str">
        <f>IF(J147="","",IF(VLOOKUP(J147,'G-7 Rivers Data'!$AK$4:$AM$9,3,FALSE)=0,"Spatial Data Missing",VLOOKUP(J147,'G-7 Rivers Data'!$AK$4:$AM$9,3,FALSE)))</f>
        <v/>
      </c>
      <c r="M147" s="79"/>
      <c r="N147" s="172" t="str">
        <f>IF(M147="","",IF(VLOOKUP(M147,'G-7 Rivers Data'!$AA$4:$AB$7,2,FALSE)=0,"Spatial Data Missing",VLOOKUP(M147,'G-7 Rivers Data'!$AA$4:$AB$7,2,FALSE)))</f>
        <v/>
      </c>
      <c r="O147" s="187"/>
      <c r="P147" s="172" t="str">
        <f>IF(O147="","",IF(VLOOKUP(O147,'G-7 Rivers Data'!$AD$4:$AE$8,2,FALSE)=0,"Spatial Data Missing",VLOOKUP(O147,'G-7 Rivers Data'!$AD$4:$AE$8,2,FALSE)))</f>
        <v/>
      </c>
      <c r="Q147" s="177" t="str">
        <f>IF(D147="","",VLOOKUP(D147,'G-7 Rivers Data'!$B$4:$G$8,6,FALSE))</f>
        <v/>
      </c>
      <c r="R147" s="178" t="str">
        <f t="shared" si="16"/>
        <v/>
      </c>
      <c r="S147" s="44"/>
      <c r="T147" s="173"/>
      <c r="U147" s="189"/>
      <c r="V147" s="208" t="str">
        <f t="shared" si="17"/>
        <v/>
      </c>
      <c r="W147" s="208" t="str">
        <f t="shared" si="18"/>
        <v/>
      </c>
      <c r="X147" s="208" t="str">
        <f t="shared" si="19"/>
        <v/>
      </c>
      <c r="Y147" s="209" t="str">
        <f t="shared" si="20"/>
        <v/>
      </c>
      <c r="Z147" s="182"/>
      <c r="AA147" s="183"/>
      <c r="AF147" s="35" t="str">
        <f>IFERROR(INDEX('G-7 Rivers Data'!$AZ$3:$AZ$7,MATCH(D147,'G-7 Rivers Data'!$AY$3:$AY$7,0)),"")</f>
        <v/>
      </c>
      <c r="AG147" s="35">
        <f t="shared" si="21"/>
        <v>0</v>
      </c>
      <c r="AH147" s="188" t="str">
        <f t="shared" si="22"/>
        <v/>
      </c>
      <c r="AI147" s="188" t="str">
        <f t="shared" si="23"/>
        <v/>
      </c>
      <c r="AK147" s="188">
        <v>138</v>
      </c>
      <c r="AM147" s="188" t="str">
        <f t="array" ref="AM147">IFERROR(INDEX($AK$10:$AK$258, MATCH(0, IF(TRUE=$AH$10:$AH$258, COUNTIF($AM$9:$AM146, $AK$10:$AK$258), ""), 0)),"")</f>
        <v/>
      </c>
      <c r="AN147" s="188" t="str">
        <f t="array" ref="AN147">IFERROR(INDEX($AK$10:$AK$258, MATCH(0, IF(TRUE=$AI$10:$AI$258, COUNTIF($AN$9:$AN146, $AK$10:$AK$258), ""), 0)),"")</f>
        <v/>
      </c>
    </row>
    <row r="148" spans="3:40" ht="13.8" x14ac:dyDescent="0.25">
      <c r="C148" s="168">
        <v>139</v>
      </c>
      <c r="D148" s="184"/>
      <c r="E148" s="185"/>
      <c r="F148" s="171" t="str">
        <f>IF(D148="","",VLOOKUP(D148,'G-7 Rivers Data'!$B$2:$G$8,2,FALSE))</f>
        <v/>
      </c>
      <c r="G148" s="172" t="str">
        <f>IFERROR(VLOOKUP(F148,'G-7 Rivers Data'!$C$4:$D$8,2,FALSE),"")</f>
        <v/>
      </c>
      <c r="H148" s="173"/>
      <c r="I148" s="172" t="str">
        <f>IFERROR(INDEX('G-7 Rivers Data'!$H$4:$L$8,MATCH(D148,'G-7 Rivers Data'!$B$4:$B$8,0),MATCH(H148,'G-7 Rivers Data'!$H$3:$L$3,0)),"")</f>
        <v/>
      </c>
      <c r="J148" s="186"/>
      <c r="K148" s="175" t="str">
        <f>IF(J148="","",IF(VLOOKUP(J148,'G-7 Rivers Data'!$AK$4:$AM$9,2,FALSE)=0,"Spatial Data Missing",VLOOKUP(J148,'G-7 Rivers Data'!$AK$4:$AM$9,2,FALSE)))</f>
        <v/>
      </c>
      <c r="L148" s="176" t="str">
        <f>IF(J148="","",IF(VLOOKUP(J148,'G-7 Rivers Data'!$AK$4:$AM$9,3,FALSE)=0,"Spatial Data Missing",VLOOKUP(J148,'G-7 Rivers Data'!$AK$4:$AM$9,3,FALSE)))</f>
        <v/>
      </c>
      <c r="M148" s="79"/>
      <c r="N148" s="172" t="str">
        <f>IF(M148="","",IF(VLOOKUP(M148,'G-7 Rivers Data'!$AA$4:$AB$7,2,FALSE)=0,"Spatial Data Missing",VLOOKUP(M148,'G-7 Rivers Data'!$AA$4:$AB$7,2,FALSE)))</f>
        <v/>
      </c>
      <c r="O148" s="187"/>
      <c r="P148" s="172" t="str">
        <f>IF(O148="","",IF(VLOOKUP(O148,'G-7 Rivers Data'!$AD$4:$AE$8,2,FALSE)=0,"Spatial Data Missing",VLOOKUP(O148,'G-7 Rivers Data'!$AD$4:$AE$8,2,FALSE)))</f>
        <v/>
      </c>
      <c r="Q148" s="177" t="str">
        <f>IF(D148="","",VLOOKUP(D148,'G-7 Rivers Data'!$B$4:$G$8,6,FALSE))</f>
        <v/>
      </c>
      <c r="R148" s="178" t="str">
        <f t="shared" si="16"/>
        <v/>
      </c>
      <c r="S148" s="44"/>
      <c r="T148" s="173"/>
      <c r="U148" s="189"/>
      <c r="V148" s="208" t="str">
        <f t="shared" si="17"/>
        <v/>
      </c>
      <c r="W148" s="208" t="str">
        <f t="shared" si="18"/>
        <v/>
      </c>
      <c r="X148" s="208" t="str">
        <f t="shared" si="19"/>
        <v/>
      </c>
      <c r="Y148" s="209" t="str">
        <f t="shared" si="20"/>
        <v/>
      </c>
      <c r="Z148" s="182"/>
      <c r="AA148" s="183"/>
      <c r="AF148" s="35" t="str">
        <f>IFERROR(INDEX('G-7 Rivers Data'!$AZ$3:$AZ$7,MATCH(D148,'G-7 Rivers Data'!$AY$3:$AY$7,0)),"")</f>
        <v/>
      </c>
      <c r="AG148" s="35">
        <f t="shared" si="21"/>
        <v>0</v>
      </c>
      <c r="AH148" s="188" t="str">
        <f t="shared" si="22"/>
        <v/>
      </c>
      <c r="AI148" s="188" t="str">
        <f t="shared" si="23"/>
        <v/>
      </c>
      <c r="AK148" s="188">
        <v>139</v>
      </c>
      <c r="AM148" s="188" t="str">
        <f t="array" ref="AM148">IFERROR(INDEX($AK$10:$AK$258, MATCH(0, IF(TRUE=$AH$10:$AH$258, COUNTIF($AM$9:$AM147, $AK$10:$AK$258), ""), 0)),"")</f>
        <v/>
      </c>
      <c r="AN148" s="188" t="str">
        <f t="array" ref="AN148">IFERROR(INDEX($AK$10:$AK$258, MATCH(0, IF(TRUE=$AI$10:$AI$258, COUNTIF($AN$9:$AN147, $AK$10:$AK$258), ""), 0)),"")</f>
        <v/>
      </c>
    </row>
    <row r="149" spans="3:40" ht="13.8" x14ac:dyDescent="0.25">
      <c r="C149" s="168">
        <v>140</v>
      </c>
      <c r="D149" s="184"/>
      <c r="E149" s="185"/>
      <c r="F149" s="171" t="str">
        <f>IF(D149="","",VLOOKUP(D149,'G-7 Rivers Data'!$B$2:$G$8,2,FALSE))</f>
        <v/>
      </c>
      <c r="G149" s="172" t="str">
        <f>IFERROR(VLOOKUP(F149,'G-7 Rivers Data'!$C$4:$D$8,2,FALSE),"")</f>
        <v/>
      </c>
      <c r="H149" s="173"/>
      <c r="I149" s="172" t="str">
        <f>IFERROR(INDEX('G-7 Rivers Data'!$H$4:$L$8,MATCH(D149,'G-7 Rivers Data'!$B$4:$B$8,0),MATCH(H149,'G-7 Rivers Data'!$H$3:$L$3,0)),"")</f>
        <v/>
      </c>
      <c r="J149" s="186"/>
      <c r="K149" s="175" t="str">
        <f>IF(J149="","",IF(VLOOKUP(J149,'G-7 Rivers Data'!$AK$4:$AM$9,2,FALSE)=0,"Spatial Data Missing",VLOOKUP(J149,'G-7 Rivers Data'!$AK$4:$AM$9,2,FALSE)))</f>
        <v/>
      </c>
      <c r="L149" s="176" t="str">
        <f>IF(J149="","",IF(VLOOKUP(J149,'G-7 Rivers Data'!$AK$4:$AM$9,3,FALSE)=0,"Spatial Data Missing",VLOOKUP(J149,'G-7 Rivers Data'!$AK$4:$AM$9,3,FALSE)))</f>
        <v/>
      </c>
      <c r="M149" s="79"/>
      <c r="N149" s="172" t="str">
        <f>IF(M149="","",IF(VLOOKUP(M149,'G-7 Rivers Data'!$AA$4:$AB$7,2,FALSE)=0,"Spatial Data Missing",VLOOKUP(M149,'G-7 Rivers Data'!$AA$4:$AB$7,2,FALSE)))</f>
        <v/>
      </c>
      <c r="O149" s="187"/>
      <c r="P149" s="172" t="str">
        <f>IF(O149="","",IF(VLOOKUP(O149,'G-7 Rivers Data'!$AD$4:$AE$8,2,FALSE)=0,"Spatial Data Missing",VLOOKUP(O149,'G-7 Rivers Data'!$AD$4:$AE$8,2,FALSE)))</f>
        <v/>
      </c>
      <c r="Q149" s="177" t="str">
        <f>IF(D149="","",VLOOKUP(D149,'G-7 Rivers Data'!$B$4:$G$8,6,FALSE))</f>
        <v/>
      </c>
      <c r="R149" s="178" t="str">
        <f t="shared" si="16"/>
        <v/>
      </c>
      <c r="S149" s="44"/>
      <c r="T149" s="173"/>
      <c r="U149" s="189"/>
      <c r="V149" s="208" t="str">
        <f t="shared" si="17"/>
        <v/>
      </c>
      <c r="W149" s="208" t="str">
        <f t="shared" si="18"/>
        <v/>
      </c>
      <c r="X149" s="208" t="str">
        <f t="shared" si="19"/>
        <v/>
      </c>
      <c r="Y149" s="209" t="str">
        <f t="shared" si="20"/>
        <v/>
      </c>
      <c r="Z149" s="182"/>
      <c r="AA149" s="183"/>
      <c r="AF149" s="35" t="str">
        <f>IFERROR(INDEX('G-7 Rivers Data'!$AZ$3:$AZ$7,MATCH(D149,'G-7 Rivers Data'!$AY$3:$AY$7,0)),"")</f>
        <v/>
      </c>
      <c r="AG149" s="35">
        <f t="shared" si="21"/>
        <v>0</v>
      </c>
      <c r="AH149" s="188" t="str">
        <f t="shared" si="22"/>
        <v/>
      </c>
      <c r="AI149" s="188" t="str">
        <f t="shared" si="23"/>
        <v/>
      </c>
      <c r="AK149" s="188">
        <v>140</v>
      </c>
      <c r="AM149" s="188" t="str">
        <f t="array" ref="AM149">IFERROR(INDEX($AK$10:$AK$258, MATCH(0, IF(TRUE=$AH$10:$AH$258, COUNTIF($AM$9:$AM148, $AK$10:$AK$258), ""), 0)),"")</f>
        <v/>
      </c>
      <c r="AN149" s="188" t="str">
        <f t="array" ref="AN149">IFERROR(INDEX($AK$10:$AK$258, MATCH(0, IF(TRUE=$AI$10:$AI$258, COUNTIF($AN$9:$AN148, $AK$10:$AK$258), ""), 0)),"")</f>
        <v/>
      </c>
    </row>
    <row r="150" spans="3:40" ht="13.8" x14ac:dyDescent="0.25">
      <c r="C150" s="168">
        <v>141</v>
      </c>
      <c r="D150" s="184"/>
      <c r="E150" s="185"/>
      <c r="F150" s="171" t="str">
        <f>IF(D150="","",VLOOKUP(D150,'G-7 Rivers Data'!$B$2:$G$8,2,FALSE))</f>
        <v/>
      </c>
      <c r="G150" s="172" t="str">
        <f>IFERROR(VLOOKUP(F150,'G-7 Rivers Data'!$C$4:$D$8,2,FALSE),"")</f>
        <v/>
      </c>
      <c r="H150" s="173"/>
      <c r="I150" s="172" t="str">
        <f>IFERROR(INDEX('G-7 Rivers Data'!$H$4:$L$8,MATCH(D150,'G-7 Rivers Data'!$B$4:$B$8,0),MATCH(H150,'G-7 Rivers Data'!$H$3:$L$3,0)),"")</f>
        <v/>
      </c>
      <c r="J150" s="186"/>
      <c r="K150" s="175" t="str">
        <f>IF(J150="","",IF(VLOOKUP(J150,'G-7 Rivers Data'!$AK$4:$AM$9,2,FALSE)=0,"Spatial Data Missing",VLOOKUP(J150,'G-7 Rivers Data'!$AK$4:$AM$9,2,FALSE)))</f>
        <v/>
      </c>
      <c r="L150" s="176" t="str">
        <f>IF(J150="","",IF(VLOOKUP(J150,'G-7 Rivers Data'!$AK$4:$AM$9,3,FALSE)=0,"Spatial Data Missing",VLOOKUP(J150,'G-7 Rivers Data'!$AK$4:$AM$9,3,FALSE)))</f>
        <v/>
      </c>
      <c r="M150" s="79"/>
      <c r="N150" s="172" t="str">
        <f>IF(M150="","",IF(VLOOKUP(M150,'G-7 Rivers Data'!$AA$4:$AB$7,2,FALSE)=0,"Spatial Data Missing",VLOOKUP(M150,'G-7 Rivers Data'!$AA$4:$AB$7,2,FALSE)))</f>
        <v/>
      </c>
      <c r="O150" s="187"/>
      <c r="P150" s="172" t="str">
        <f>IF(O150="","",IF(VLOOKUP(O150,'G-7 Rivers Data'!$AD$4:$AE$8,2,FALSE)=0,"Spatial Data Missing",VLOOKUP(O150,'G-7 Rivers Data'!$AD$4:$AE$8,2,FALSE)))</f>
        <v/>
      </c>
      <c r="Q150" s="177" t="str">
        <f>IF(D150="","",VLOOKUP(D150,'G-7 Rivers Data'!$B$4:$G$8,6,FALSE))</f>
        <v/>
      </c>
      <c r="R150" s="178" t="str">
        <f t="shared" si="16"/>
        <v/>
      </c>
      <c r="S150" s="44"/>
      <c r="T150" s="173"/>
      <c r="U150" s="189"/>
      <c r="V150" s="208" t="str">
        <f t="shared" si="17"/>
        <v/>
      </c>
      <c r="W150" s="208" t="str">
        <f t="shared" si="18"/>
        <v/>
      </c>
      <c r="X150" s="208" t="str">
        <f t="shared" si="19"/>
        <v/>
      </c>
      <c r="Y150" s="209" t="str">
        <f t="shared" si="20"/>
        <v/>
      </c>
      <c r="Z150" s="182"/>
      <c r="AA150" s="183"/>
      <c r="AF150" s="35" t="str">
        <f>IFERROR(INDEX('G-7 Rivers Data'!$AZ$3:$AZ$7,MATCH(D150,'G-7 Rivers Data'!$AY$3:$AY$7,0)),"")</f>
        <v/>
      </c>
      <c r="AG150" s="35">
        <f t="shared" si="21"/>
        <v>0</v>
      </c>
      <c r="AH150" s="188" t="str">
        <f t="shared" si="22"/>
        <v/>
      </c>
      <c r="AI150" s="188" t="str">
        <f t="shared" si="23"/>
        <v/>
      </c>
      <c r="AK150" s="188">
        <v>141</v>
      </c>
      <c r="AM150" s="188" t="str">
        <f t="array" ref="AM150">IFERROR(INDEX($AK$10:$AK$258, MATCH(0, IF(TRUE=$AH$10:$AH$258, COUNTIF($AM$9:$AM149, $AK$10:$AK$258), ""), 0)),"")</f>
        <v/>
      </c>
      <c r="AN150" s="188" t="str">
        <f t="array" ref="AN150">IFERROR(INDEX($AK$10:$AK$258, MATCH(0, IF(TRUE=$AI$10:$AI$258, COUNTIF($AN$9:$AN149, $AK$10:$AK$258), ""), 0)),"")</f>
        <v/>
      </c>
    </row>
    <row r="151" spans="3:40" ht="13.8" x14ac:dyDescent="0.25">
      <c r="C151" s="168">
        <v>142</v>
      </c>
      <c r="D151" s="184"/>
      <c r="E151" s="185"/>
      <c r="F151" s="171" t="str">
        <f>IF(D151="","",VLOOKUP(D151,'G-7 Rivers Data'!$B$2:$G$8,2,FALSE))</f>
        <v/>
      </c>
      <c r="G151" s="172" t="str">
        <f>IFERROR(VLOOKUP(F151,'G-7 Rivers Data'!$C$4:$D$8,2,FALSE),"")</f>
        <v/>
      </c>
      <c r="H151" s="173"/>
      <c r="I151" s="172" t="str">
        <f>IFERROR(INDEX('G-7 Rivers Data'!$H$4:$L$8,MATCH(D151,'G-7 Rivers Data'!$B$4:$B$8,0),MATCH(H151,'G-7 Rivers Data'!$H$3:$L$3,0)),"")</f>
        <v/>
      </c>
      <c r="J151" s="186"/>
      <c r="K151" s="175" t="str">
        <f>IF(J151="","",IF(VLOOKUP(J151,'G-7 Rivers Data'!$AK$4:$AM$9,2,FALSE)=0,"Spatial Data Missing",VLOOKUP(J151,'G-7 Rivers Data'!$AK$4:$AM$9,2,FALSE)))</f>
        <v/>
      </c>
      <c r="L151" s="176" t="str">
        <f>IF(J151="","",IF(VLOOKUP(J151,'G-7 Rivers Data'!$AK$4:$AM$9,3,FALSE)=0,"Spatial Data Missing",VLOOKUP(J151,'G-7 Rivers Data'!$AK$4:$AM$9,3,FALSE)))</f>
        <v/>
      </c>
      <c r="M151" s="79"/>
      <c r="N151" s="172" t="str">
        <f>IF(M151="","",IF(VLOOKUP(M151,'G-7 Rivers Data'!$AA$4:$AB$7,2,FALSE)=0,"Spatial Data Missing",VLOOKUP(M151,'G-7 Rivers Data'!$AA$4:$AB$7,2,FALSE)))</f>
        <v/>
      </c>
      <c r="O151" s="187"/>
      <c r="P151" s="172" t="str">
        <f>IF(O151="","",IF(VLOOKUP(O151,'G-7 Rivers Data'!$AD$4:$AE$8,2,FALSE)=0,"Spatial Data Missing",VLOOKUP(O151,'G-7 Rivers Data'!$AD$4:$AE$8,2,FALSE)))</f>
        <v/>
      </c>
      <c r="Q151" s="177" t="str">
        <f>IF(D151="","",VLOOKUP(D151,'G-7 Rivers Data'!$B$4:$G$8,6,FALSE))</f>
        <v/>
      </c>
      <c r="R151" s="178" t="str">
        <f t="shared" si="16"/>
        <v/>
      </c>
      <c r="S151" s="44"/>
      <c r="T151" s="173"/>
      <c r="U151" s="189"/>
      <c r="V151" s="208" t="str">
        <f t="shared" si="17"/>
        <v/>
      </c>
      <c r="W151" s="208" t="str">
        <f t="shared" si="18"/>
        <v/>
      </c>
      <c r="X151" s="208" t="str">
        <f t="shared" si="19"/>
        <v/>
      </c>
      <c r="Y151" s="209" t="str">
        <f t="shared" si="20"/>
        <v/>
      </c>
      <c r="Z151" s="182"/>
      <c r="AA151" s="183"/>
      <c r="AF151" s="35" t="str">
        <f>IFERROR(INDEX('G-7 Rivers Data'!$AZ$3:$AZ$7,MATCH(D151,'G-7 Rivers Data'!$AY$3:$AY$7,0)),"")</f>
        <v/>
      </c>
      <c r="AG151" s="35">
        <f t="shared" si="21"/>
        <v>0</v>
      </c>
      <c r="AH151" s="188" t="str">
        <f t="shared" si="22"/>
        <v/>
      </c>
      <c r="AI151" s="188" t="str">
        <f t="shared" si="23"/>
        <v/>
      </c>
      <c r="AK151" s="188">
        <v>142</v>
      </c>
      <c r="AM151" s="188" t="str">
        <f t="array" ref="AM151">IFERROR(INDEX($AK$10:$AK$258, MATCH(0, IF(TRUE=$AH$10:$AH$258, COUNTIF($AM$9:$AM150, $AK$10:$AK$258), ""), 0)),"")</f>
        <v/>
      </c>
      <c r="AN151" s="188" t="str">
        <f t="array" ref="AN151">IFERROR(INDEX($AK$10:$AK$258, MATCH(0, IF(TRUE=$AI$10:$AI$258, COUNTIF($AN$9:$AN150, $AK$10:$AK$258), ""), 0)),"")</f>
        <v/>
      </c>
    </row>
    <row r="152" spans="3:40" ht="13.8" x14ac:dyDescent="0.25">
      <c r="C152" s="168">
        <v>143</v>
      </c>
      <c r="D152" s="184"/>
      <c r="E152" s="185"/>
      <c r="F152" s="171" t="str">
        <f>IF(D152="","",VLOOKUP(D152,'G-7 Rivers Data'!$B$2:$G$8,2,FALSE))</f>
        <v/>
      </c>
      <c r="G152" s="172" t="str">
        <f>IFERROR(VLOOKUP(F152,'G-7 Rivers Data'!$C$4:$D$8,2,FALSE),"")</f>
        <v/>
      </c>
      <c r="H152" s="173"/>
      <c r="I152" s="172" t="str">
        <f>IFERROR(INDEX('G-7 Rivers Data'!$H$4:$L$8,MATCH(D152,'G-7 Rivers Data'!$B$4:$B$8,0),MATCH(H152,'G-7 Rivers Data'!$H$3:$L$3,0)),"")</f>
        <v/>
      </c>
      <c r="J152" s="186"/>
      <c r="K152" s="175" t="str">
        <f>IF(J152="","",IF(VLOOKUP(J152,'G-7 Rivers Data'!$AK$4:$AM$9,2,FALSE)=0,"Spatial Data Missing",VLOOKUP(J152,'G-7 Rivers Data'!$AK$4:$AM$9,2,FALSE)))</f>
        <v/>
      </c>
      <c r="L152" s="176" t="str">
        <f>IF(J152="","",IF(VLOOKUP(J152,'G-7 Rivers Data'!$AK$4:$AM$9,3,FALSE)=0,"Spatial Data Missing",VLOOKUP(J152,'G-7 Rivers Data'!$AK$4:$AM$9,3,FALSE)))</f>
        <v/>
      </c>
      <c r="M152" s="79"/>
      <c r="N152" s="172" t="str">
        <f>IF(M152="","",IF(VLOOKUP(M152,'G-7 Rivers Data'!$AA$4:$AB$7,2,FALSE)=0,"Spatial Data Missing",VLOOKUP(M152,'G-7 Rivers Data'!$AA$4:$AB$7,2,FALSE)))</f>
        <v/>
      </c>
      <c r="O152" s="187"/>
      <c r="P152" s="172" t="str">
        <f>IF(O152="","",IF(VLOOKUP(O152,'G-7 Rivers Data'!$AD$4:$AE$8,2,FALSE)=0,"Spatial Data Missing",VLOOKUP(O152,'G-7 Rivers Data'!$AD$4:$AE$8,2,FALSE)))</f>
        <v/>
      </c>
      <c r="Q152" s="177" t="str">
        <f>IF(D152="","",VLOOKUP(D152,'G-7 Rivers Data'!$B$4:$G$8,6,FALSE))</f>
        <v/>
      </c>
      <c r="R152" s="178" t="str">
        <f t="shared" si="16"/>
        <v/>
      </c>
      <c r="S152" s="44"/>
      <c r="T152" s="173"/>
      <c r="U152" s="189"/>
      <c r="V152" s="208" t="str">
        <f t="shared" si="17"/>
        <v/>
      </c>
      <c r="W152" s="208" t="str">
        <f t="shared" si="18"/>
        <v/>
      </c>
      <c r="X152" s="208" t="str">
        <f t="shared" si="19"/>
        <v/>
      </c>
      <c r="Y152" s="209" t="str">
        <f t="shared" si="20"/>
        <v/>
      </c>
      <c r="Z152" s="182"/>
      <c r="AA152" s="183"/>
      <c r="AF152" s="35" t="str">
        <f>IFERROR(INDEX('G-7 Rivers Data'!$AZ$3:$AZ$7,MATCH(D152,'G-7 Rivers Data'!$AY$3:$AY$7,0)),"")</f>
        <v/>
      </c>
      <c r="AG152" s="35">
        <f t="shared" si="21"/>
        <v>0</v>
      </c>
      <c r="AH152" s="188" t="str">
        <f t="shared" si="22"/>
        <v/>
      </c>
      <c r="AI152" s="188" t="str">
        <f t="shared" si="23"/>
        <v/>
      </c>
      <c r="AK152" s="188">
        <v>143</v>
      </c>
      <c r="AM152" s="188" t="str">
        <f t="array" ref="AM152">IFERROR(INDEX($AK$10:$AK$258, MATCH(0, IF(TRUE=$AH$10:$AH$258, COUNTIF($AM$9:$AM151, $AK$10:$AK$258), ""), 0)),"")</f>
        <v/>
      </c>
      <c r="AN152" s="188" t="str">
        <f t="array" ref="AN152">IFERROR(INDEX($AK$10:$AK$258, MATCH(0, IF(TRUE=$AI$10:$AI$258, COUNTIF($AN$9:$AN151, $AK$10:$AK$258), ""), 0)),"")</f>
        <v/>
      </c>
    </row>
    <row r="153" spans="3:40" ht="13.8" x14ac:dyDescent="0.25">
      <c r="C153" s="168">
        <v>144</v>
      </c>
      <c r="D153" s="184"/>
      <c r="E153" s="185"/>
      <c r="F153" s="171" t="str">
        <f>IF(D153="","",VLOOKUP(D153,'G-7 Rivers Data'!$B$2:$G$8,2,FALSE))</f>
        <v/>
      </c>
      <c r="G153" s="172" t="str">
        <f>IFERROR(VLOOKUP(F153,'G-7 Rivers Data'!$C$4:$D$8,2,FALSE),"")</f>
        <v/>
      </c>
      <c r="H153" s="173"/>
      <c r="I153" s="172" t="str">
        <f>IFERROR(INDEX('G-7 Rivers Data'!$H$4:$L$8,MATCH(D153,'G-7 Rivers Data'!$B$4:$B$8,0),MATCH(H153,'G-7 Rivers Data'!$H$3:$L$3,0)),"")</f>
        <v/>
      </c>
      <c r="J153" s="186"/>
      <c r="K153" s="175" t="str">
        <f>IF(J153="","",IF(VLOOKUP(J153,'G-7 Rivers Data'!$AK$4:$AM$9,2,FALSE)=0,"Spatial Data Missing",VLOOKUP(J153,'G-7 Rivers Data'!$AK$4:$AM$9,2,FALSE)))</f>
        <v/>
      </c>
      <c r="L153" s="176" t="str">
        <f>IF(J153="","",IF(VLOOKUP(J153,'G-7 Rivers Data'!$AK$4:$AM$9,3,FALSE)=0,"Spatial Data Missing",VLOOKUP(J153,'G-7 Rivers Data'!$AK$4:$AM$9,3,FALSE)))</f>
        <v/>
      </c>
      <c r="M153" s="79"/>
      <c r="N153" s="172" t="str">
        <f>IF(M153="","",IF(VLOOKUP(M153,'G-7 Rivers Data'!$AA$4:$AB$7,2,FALSE)=0,"Spatial Data Missing",VLOOKUP(M153,'G-7 Rivers Data'!$AA$4:$AB$7,2,FALSE)))</f>
        <v/>
      </c>
      <c r="O153" s="187"/>
      <c r="P153" s="172" t="str">
        <f>IF(O153="","",IF(VLOOKUP(O153,'G-7 Rivers Data'!$AD$4:$AE$8,2,FALSE)=0,"Spatial Data Missing",VLOOKUP(O153,'G-7 Rivers Data'!$AD$4:$AE$8,2,FALSE)))</f>
        <v/>
      </c>
      <c r="Q153" s="177" t="str">
        <f>IF(D153="","",VLOOKUP(D153,'G-7 Rivers Data'!$B$4:$G$8,6,FALSE))</f>
        <v/>
      </c>
      <c r="R153" s="178" t="str">
        <f t="shared" si="16"/>
        <v/>
      </c>
      <c r="S153" s="44"/>
      <c r="T153" s="173"/>
      <c r="U153" s="189"/>
      <c r="V153" s="208" t="str">
        <f t="shared" si="17"/>
        <v/>
      </c>
      <c r="W153" s="208" t="str">
        <f t="shared" si="18"/>
        <v/>
      </c>
      <c r="X153" s="208" t="str">
        <f t="shared" si="19"/>
        <v/>
      </c>
      <c r="Y153" s="209" t="str">
        <f t="shared" si="20"/>
        <v/>
      </c>
      <c r="Z153" s="182"/>
      <c r="AA153" s="183"/>
      <c r="AF153" s="35" t="str">
        <f>IFERROR(INDEX('G-7 Rivers Data'!$AZ$3:$AZ$7,MATCH(D153,'G-7 Rivers Data'!$AY$3:$AY$7,0)),"")</f>
        <v/>
      </c>
      <c r="AG153" s="35">
        <f t="shared" si="21"/>
        <v>0</v>
      </c>
      <c r="AH153" s="188" t="str">
        <f t="shared" si="22"/>
        <v/>
      </c>
      <c r="AI153" s="188" t="str">
        <f t="shared" si="23"/>
        <v/>
      </c>
      <c r="AK153" s="188">
        <v>144</v>
      </c>
      <c r="AM153" s="188" t="str">
        <f t="array" ref="AM153">IFERROR(INDEX($AK$10:$AK$258, MATCH(0, IF(TRUE=$AH$10:$AH$258, COUNTIF($AM$9:$AM152, $AK$10:$AK$258), ""), 0)),"")</f>
        <v/>
      </c>
      <c r="AN153" s="188" t="str">
        <f t="array" ref="AN153">IFERROR(INDEX($AK$10:$AK$258, MATCH(0, IF(TRUE=$AI$10:$AI$258, COUNTIF($AN$9:$AN152, $AK$10:$AK$258), ""), 0)),"")</f>
        <v/>
      </c>
    </row>
    <row r="154" spans="3:40" ht="13.8" x14ac:dyDescent="0.25">
      <c r="C154" s="168">
        <v>145</v>
      </c>
      <c r="D154" s="184"/>
      <c r="E154" s="185"/>
      <c r="F154" s="171" t="str">
        <f>IF(D154="","",VLOOKUP(D154,'G-7 Rivers Data'!$B$2:$G$8,2,FALSE))</f>
        <v/>
      </c>
      <c r="G154" s="172" t="str">
        <f>IFERROR(VLOOKUP(F154,'G-7 Rivers Data'!$C$4:$D$8,2,FALSE),"")</f>
        <v/>
      </c>
      <c r="H154" s="173"/>
      <c r="I154" s="172" t="str">
        <f>IFERROR(INDEX('G-7 Rivers Data'!$H$4:$L$8,MATCH(D154,'G-7 Rivers Data'!$B$4:$B$8,0),MATCH(H154,'G-7 Rivers Data'!$H$3:$L$3,0)),"")</f>
        <v/>
      </c>
      <c r="J154" s="186"/>
      <c r="K154" s="175" t="str">
        <f>IF(J154="","",IF(VLOOKUP(J154,'G-7 Rivers Data'!$AK$4:$AM$9,2,FALSE)=0,"Spatial Data Missing",VLOOKUP(J154,'G-7 Rivers Data'!$AK$4:$AM$9,2,FALSE)))</f>
        <v/>
      </c>
      <c r="L154" s="176" t="str">
        <f>IF(J154="","",IF(VLOOKUP(J154,'G-7 Rivers Data'!$AK$4:$AM$9,3,FALSE)=0,"Spatial Data Missing",VLOOKUP(J154,'G-7 Rivers Data'!$AK$4:$AM$9,3,FALSE)))</f>
        <v/>
      </c>
      <c r="M154" s="79"/>
      <c r="N154" s="172" t="str">
        <f>IF(M154="","",IF(VLOOKUP(M154,'G-7 Rivers Data'!$AA$4:$AB$7,2,FALSE)=0,"Spatial Data Missing",VLOOKUP(M154,'G-7 Rivers Data'!$AA$4:$AB$7,2,FALSE)))</f>
        <v/>
      </c>
      <c r="O154" s="187"/>
      <c r="P154" s="172" t="str">
        <f>IF(O154="","",IF(VLOOKUP(O154,'G-7 Rivers Data'!$AD$4:$AE$8,2,FALSE)=0,"Spatial Data Missing",VLOOKUP(O154,'G-7 Rivers Data'!$AD$4:$AE$8,2,FALSE)))</f>
        <v/>
      </c>
      <c r="Q154" s="177" t="str">
        <f>IF(D154="","",VLOOKUP(D154,'G-7 Rivers Data'!$B$4:$G$8,6,FALSE))</f>
        <v/>
      </c>
      <c r="R154" s="178" t="str">
        <f t="shared" si="16"/>
        <v/>
      </c>
      <c r="S154" s="44"/>
      <c r="T154" s="173"/>
      <c r="U154" s="189"/>
      <c r="V154" s="208" t="str">
        <f t="shared" si="17"/>
        <v/>
      </c>
      <c r="W154" s="208" t="str">
        <f t="shared" si="18"/>
        <v/>
      </c>
      <c r="X154" s="208" t="str">
        <f t="shared" si="19"/>
        <v/>
      </c>
      <c r="Y154" s="209" t="str">
        <f t="shared" si="20"/>
        <v/>
      </c>
      <c r="Z154" s="182"/>
      <c r="AA154" s="183"/>
      <c r="AF154" s="35" t="str">
        <f>IFERROR(INDEX('G-7 Rivers Data'!$AZ$3:$AZ$7,MATCH(D154,'G-7 Rivers Data'!$AY$3:$AY$7,0)),"")</f>
        <v/>
      </c>
      <c r="AG154" s="35">
        <f t="shared" si="21"/>
        <v>0</v>
      </c>
      <c r="AH154" s="188" t="str">
        <f t="shared" si="22"/>
        <v/>
      </c>
      <c r="AI154" s="188" t="str">
        <f t="shared" si="23"/>
        <v/>
      </c>
      <c r="AK154" s="188">
        <v>145</v>
      </c>
      <c r="AM154" s="188" t="str">
        <f t="array" ref="AM154">IFERROR(INDEX($AK$10:$AK$258, MATCH(0, IF(TRUE=$AH$10:$AH$258, COUNTIF($AM$9:$AM153, $AK$10:$AK$258), ""), 0)),"")</f>
        <v/>
      </c>
      <c r="AN154" s="188" t="str">
        <f t="array" ref="AN154">IFERROR(INDEX($AK$10:$AK$258, MATCH(0, IF(TRUE=$AI$10:$AI$258, COUNTIF($AN$9:$AN153, $AK$10:$AK$258), ""), 0)),"")</f>
        <v/>
      </c>
    </row>
    <row r="155" spans="3:40" ht="13.8" x14ac:dyDescent="0.25">
      <c r="C155" s="168">
        <v>146</v>
      </c>
      <c r="D155" s="184"/>
      <c r="E155" s="185"/>
      <c r="F155" s="171" t="str">
        <f>IF(D155="","",VLOOKUP(D155,'G-7 Rivers Data'!$B$2:$G$8,2,FALSE))</f>
        <v/>
      </c>
      <c r="G155" s="172" t="str">
        <f>IFERROR(VLOOKUP(F155,'G-7 Rivers Data'!$C$4:$D$8,2,FALSE),"")</f>
        <v/>
      </c>
      <c r="H155" s="173"/>
      <c r="I155" s="172" t="str">
        <f>IFERROR(INDEX('G-7 Rivers Data'!$H$4:$L$8,MATCH(D155,'G-7 Rivers Data'!$B$4:$B$8,0),MATCH(H155,'G-7 Rivers Data'!$H$3:$L$3,0)),"")</f>
        <v/>
      </c>
      <c r="J155" s="186"/>
      <c r="K155" s="175" t="str">
        <f>IF(J155="","",IF(VLOOKUP(J155,'G-7 Rivers Data'!$AK$4:$AM$9,2,FALSE)=0,"Spatial Data Missing",VLOOKUP(J155,'G-7 Rivers Data'!$AK$4:$AM$9,2,FALSE)))</f>
        <v/>
      </c>
      <c r="L155" s="176" t="str">
        <f>IF(J155="","",IF(VLOOKUP(J155,'G-7 Rivers Data'!$AK$4:$AM$9,3,FALSE)=0,"Spatial Data Missing",VLOOKUP(J155,'G-7 Rivers Data'!$AK$4:$AM$9,3,FALSE)))</f>
        <v/>
      </c>
      <c r="M155" s="79"/>
      <c r="N155" s="172" t="str">
        <f>IF(M155="","",IF(VLOOKUP(M155,'G-7 Rivers Data'!$AA$4:$AB$7,2,FALSE)=0,"Spatial Data Missing",VLOOKUP(M155,'G-7 Rivers Data'!$AA$4:$AB$7,2,FALSE)))</f>
        <v/>
      </c>
      <c r="O155" s="187"/>
      <c r="P155" s="172" t="str">
        <f>IF(O155="","",IF(VLOOKUP(O155,'G-7 Rivers Data'!$AD$4:$AE$8,2,FALSE)=0,"Spatial Data Missing",VLOOKUP(O155,'G-7 Rivers Data'!$AD$4:$AE$8,2,FALSE)))</f>
        <v/>
      </c>
      <c r="Q155" s="177" t="str">
        <f>IF(D155="","",VLOOKUP(D155,'G-7 Rivers Data'!$B$4:$G$8,6,FALSE))</f>
        <v/>
      </c>
      <c r="R155" s="178" t="str">
        <f t="shared" si="16"/>
        <v/>
      </c>
      <c r="S155" s="44"/>
      <c r="T155" s="173"/>
      <c r="U155" s="189"/>
      <c r="V155" s="208" t="str">
        <f t="shared" si="17"/>
        <v/>
      </c>
      <c r="W155" s="208" t="str">
        <f t="shared" si="18"/>
        <v/>
      </c>
      <c r="X155" s="208" t="str">
        <f t="shared" si="19"/>
        <v/>
      </c>
      <c r="Y155" s="209" t="str">
        <f t="shared" si="20"/>
        <v/>
      </c>
      <c r="Z155" s="182"/>
      <c r="AA155" s="183"/>
      <c r="AF155" s="35" t="str">
        <f>IFERROR(INDEX('G-7 Rivers Data'!$AZ$3:$AZ$7,MATCH(D155,'G-7 Rivers Data'!$AY$3:$AY$7,0)),"")</f>
        <v/>
      </c>
      <c r="AG155" s="35">
        <f t="shared" si="21"/>
        <v>0</v>
      </c>
      <c r="AH155" s="188" t="str">
        <f t="shared" si="22"/>
        <v/>
      </c>
      <c r="AI155" s="188" t="str">
        <f t="shared" si="23"/>
        <v/>
      </c>
      <c r="AK155" s="188">
        <v>146</v>
      </c>
      <c r="AM155" s="188" t="str">
        <f t="array" ref="AM155">IFERROR(INDEX($AK$10:$AK$258, MATCH(0, IF(TRUE=$AH$10:$AH$258, COUNTIF($AM$9:$AM154, $AK$10:$AK$258), ""), 0)),"")</f>
        <v/>
      </c>
      <c r="AN155" s="188" t="str">
        <f t="array" ref="AN155">IFERROR(INDEX($AK$10:$AK$258, MATCH(0, IF(TRUE=$AI$10:$AI$258, COUNTIF($AN$9:$AN154, $AK$10:$AK$258), ""), 0)),"")</f>
        <v/>
      </c>
    </row>
    <row r="156" spans="3:40" ht="13.8" x14ac:dyDescent="0.25">
      <c r="C156" s="168">
        <v>147</v>
      </c>
      <c r="D156" s="184"/>
      <c r="E156" s="185"/>
      <c r="F156" s="171" t="str">
        <f>IF(D156="","",VLOOKUP(D156,'G-7 Rivers Data'!$B$2:$G$8,2,FALSE))</f>
        <v/>
      </c>
      <c r="G156" s="172" t="str">
        <f>IFERROR(VLOOKUP(F156,'G-7 Rivers Data'!$C$4:$D$8,2,FALSE),"")</f>
        <v/>
      </c>
      <c r="H156" s="173"/>
      <c r="I156" s="172" t="str">
        <f>IFERROR(INDEX('G-7 Rivers Data'!$H$4:$L$8,MATCH(D156,'G-7 Rivers Data'!$B$4:$B$8,0),MATCH(H156,'G-7 Rivers Data'!$H$3:$L$3,0)),"")</f>
        <v/>
      </c>
      <c r="J156" s="186"/>
      <c r="K156" s="175" t="str">
        <f>IF(J156="","",IF(VLOOKUP(J156,'G-7 Rivers Data'!$AK$4:$AM$9,2,FALSE)=0,"Spatial Data Missing",VLOOKUP(J156,'G-7 Rivers Data'!$AK$4:$AM$9,2,FALSE)))</f>
        <v/>
      </c>
      <c r="L156" s="176" t="str">
        <f>IF(J156="","",IF(VLOOKUP(J156,'G-7 Rivers Data'!$AK$4:$AM$9,3,FALSE)=0,"Spatial Data Missing",VLOOKUP(J156,'G-7 Rivers Data'!$AK$4:$AM$9,3,FALSE)))</f>
        <v/>
      </c>
      <c r="M156" s="79"/>
      <c r="N156" s="172" t="str">
        <f>IF(M156="","",IF(VLOOKUP(M156,'G-7 Rivers Data'!$AA$4:$AB$7,2,FALSE)=0,"Spatial Data Missing",VLOOKUP(M156,'G-7 Rivers Data'!$AA$4:$AB$7,2,FALSE)))</f>
        <v/>
      </c>
      <c r="O156" s="187"/>
      <c r="P156" s="172" t="str">
        <f>IF(O156="","",IF(VLOOKUP(O156,'G-7 Rivers Data'!$AD$4:$AE$8,2,FALSE)=0,"Spatial Data Missing",VLOOKUP(O156,'G-7 Rivers Data'!$AD$4:$AE$8,2,FALSE)))</f>
        <v/>
      </c>
      <c r="Q156" s="177" t="str">
        <f>IF(D156="","",VLOOKUP(D156,'G-7 Rivers Data'!$B$4:$G$8,6,FALSE))</f>
        <v/>
      </c>
      <c r="R156" s="178" t="str">
        <f t="shared" si="16"/>
        <v/>
      </c>
      <c r="S156" s="44"/>
      <c r="T156" s="173"/>
      <c r="U156" s="189"/>
      <c r="V156" s="208" t="str">
        <f t="shared" si="17"/>
        <v/>
      </c>
      <c r="W156" s="208" t="str">
        <f t="shared" si="18"/>
        <v/>
      </c>
      <c r="X156" s="208" t="str">
        <f t="shared" si="19"/>
        <v/>
      </c>
      <c r="Y156" s="209" t="str">
        <f t="shared" si="20"/>
        <v/>
      </c>
      <c r="Z156" s="182"/>
      <c r="AA156" s="183"/>
      <c r="AF156" s="35" t="str">
        <f>IFERROR(INDEX('G-7 Rivers Data'!$AZ$3:$AZ$7,MATCH(D156,'G-7 Rivers Data'!$AY$3:$AY$7,0)),"")</f>
        <v/>
      </c>
      <c r="AG156" s="35">
        <f t="shared" si="21"/>
        <v>0</v>
      </c>
      <c r="AH156" s="188" t="str">
        <f t="shared" si="22"/>
        <v/>
      </c>
      <c r="AI156" s="188" t="str">
        <f t="shared" si="23"/>
        <v/>
      </c>
      <c r="AK156" s="188">
        <v>147</v>
      </c>
      <c r="AM156" s="188" t="str">
        <f t="array" ref="AM156">IFERROR(INDEX($AK$10:$AK$258, MATCH(0, IF(TRUE=$AH$10:$AH$258, COUNTIF($AM$9:$AM155, $AK$10:$AK$258), ""), 0)),"")</f>
        <v/>
      </c>
      <c r="AN156" s="188" t="str">
        <f t="array" ref="AN156">IFERROR(INDEX($AK$10:$AK$258, MATCH(0, IF(TRUE=$AI$10:$AI$258, COUNTIF($AN$9:$AN155, $AK$10:$AK$258), ""), 0)),"")</f>
        <v/>
      </c>
    </row>
    <row r="157" spans="3:40" ht="13.8" x14ac:dyDescent="0.25">
      <c r="C157" s="168">
        <v>148</v>
      </c>
      <c r="D157" s="184"/>
      <c r="E157" s="185"/>
      <c r="F157" s="171" t="str">
        <f>IF(D157="","",VLOOKUP(D157,'G-7 Rivers Data'!$B$2:$G$8,2,FALSE))</f>
        <v/>
      </c>
      <c r="G157" s="172" t="str">
        <f>IFERROR(VLOOKUP(F157,'G-7 Rivers Data'!$C$4:$D$8,2,FALSE),"")</f>
        <v/>
      </c>
      <c r="H157" s="173"/>
      <c r="I157" s="172" t="str">
        <f>IFERROR(INDEX('G-7 Rivers Data'!$H$4:$L$8,MATCH(D157,'G-7 Rivers Data'!$B$4:$B$8,0),MATCH(H157,'G-7 Rivers Data'!$H$3:$L$3,0)),"")</f>
        <v/>
      </c>
      <c r="J157" s="186"/>
      <c r="K157" s="175" t="str">
        <f>IF(J157="","",IF(VLOOKUP(J157,'G-7 Rivers Data'!$AK$4:$AM$9,2,FALSE)=0,"Spatial Data Missing",VLOOKUP(J157,'G-7 Rivers Data'!$AK$4:$AM$9,2,FALSE)))</f>
        <v/>
      </c>
      <c r="L157" s="176" t="str">
        <f>IF(J157="","",IF(VLOOKUP(J157,'G-7 Rivers Data'!$AK$4:$AM$9,3,FALSE)=0,"Spatial Data Missing",VLOOKUP(J157,'G-7 Rivers Data'!$AK$4:$AM$9,3,FALSE)))</f>
        <v/>
      </c>
      <c r="M157" s="79"/>
      <c r="N157" s="172" t="str">
        <f>IF(M157="","",IF(VLOOKUP(M157,'G-7 Rivers Data'!$AA$4:$AB$7,2,FALSE)=0,"Spatial Data Missing",VLOOKUP(M157,'G-7 Rivers Data'!$AA$4:$AB$7,2,FALSE)))</f>
        <v/>
      </c>
      <c r="O157" s="187"/>
      <c r="P157" s="172" t="str">
        <f>IF(O157="","",IF(VLOOKUP(O157,'G-7 Rivers Data'!$AD$4:$AE$8,2,FALSE)=0,"Spatial Data Missing",VLOOKUP(O157,'G-7 Rivers Data'!$AD$4:$AE$8,2,FALSE)))</f>
        <v/>
      </c>
      <c r="Q157" s="177" t="str">
        <f>IF(D157="","",VLOOKUP(D157,'G-7 Rivers Data'!$B$4:$G$8,6,FALSE))</f>
        <v/>
      </c>
      <c r="R157" s="178" t="str">
        <f t="shared" si="16"/>
        <v/>
      </c>
      <c r="S157" s="44"/>
      <c r="T157" s="173"/>
      <c r="U157" s="189"/>
      <c r="V157" s="208" t="str">
        <f t="shared" si="17"/>
        <v/>
      </c>
      <c r="W157" s="208" t="str">
        <f t="shared" si="18"/>
        <v/>
      </c>
      <c r="X157" s="208" t="str">
        <f t="shared" si="19"/>
        <v/>
      </c>
      <c r="Y157" s="209" t="str">
        <f t="shared" si="20"/>
        <v/>
      </c>
      <c r="Z157" s="182"/>
      <c r="AA157" s="183"/>
      <c r="AF157" s="35" t="str">
        <f>IFERROR(INDEX('G-7 Rivers Data'!$AZ$3:$AZ$7,MATCH(D157,'G-7 Rivers Data'!$AY$3:$AY$7,0)),"")</f>
        <v/>
      </c>
      <c r="AG157" s="35">
        <f t="shared" si="21"/>
        <v>0</v>
      </c>
      <c r="AH157" s="188" t="str">
        <f t="shared" si="22"/>
        <v/>
      </c>
      <c r="AI157" s="188" t="str">
        <f t="shared" si="23"/>
        <v/>
      </c>
      <c r="AK157" s="188">
        <v>148</v>
      </c>
      <c r="AM157" s="188" t="str">
        <f t="array" ref="AM157">IFERROR(INDEX($AK$10:$AK$258, MATCH(0, IF(TRUE=$AH$10:$AH$258, COUNTIF($AM$9:$AM156, $AK$10:$AK$258), ""), 0)),"")</f>
        <v/>
      </c>
      <c r="AN157" s="188" t="str">
        <f t="array" ref="AN157">IFERROR(INDEX($AK$10:$AK$258, MATCH(0, IF(TRUE=$AI$10:$AI$258, COUNTIF($AN$9:$AN156, $AK$10:$AK$258), ""), 0)),"")</f>
        <v/>
      </c>
    </row>
    <row r="158" spans="3:40" ht="13.8" x14ac:dyDescent="0.25">
      <c r="C158" s="168">
        <v>149</v>
      </c>
      <c r="D158" s="184"/>
      <c r="E158" s="185"/>
      <c r="F158" s="171" t="str">
        <f>IF(D158="","",VLOOKUP(D158,'G-7 Rivers Data'!$B$2:$G$8,2,FALSE))</f>
        <v/>
      </c>
      <c r="G158" s="172" t="str">
        <f>IFERROR(VLOOKUP(F158,'G-7 Rivers Data'!$C$4:$D$8,2,FALSE),"")</f>
        <v/>
      </c>
      <c r="H158" s="173"/>
      <c r="I158" s="172" t="str">
        <f>IFERROR(INDEX('G-7 Rivers Data'!$H$4:$L$8,MATCH(D158,'G-7 Rivers Data'!$B$4:$B$8,0),MATCH(H158,'G-7 Rivers Data'!$H$3:$L$3,0)),"")</f>
        <v/>
      </c>
      <c r="J158" s="186"/>
      <c r="K158" s="175" t="str">
        <f>IF(J158="","",IF(VLOOKUP(J158,'G-7 Rivers Data'!$AK$4:$AM$9,2,FALSE)=0,"Spatial Data Missing",VLOOKUP(J158,'G-7 Rivers Data'!$AK$4:$AM$9,2,FALSE)))</f>
        <v/>
      </c>
      <c r="L158" s="176" t="str">
        <f>IF(J158="","",IF(VLOOKUP(J158,'G-7 Rivers Data'!$AK$4:$AM$9,3,FALSE)=0,"Spatial Data Missing",VLOOKUP(J158,'G-7 Rivers Data'!$AK$4:$AM$9,3,FALSE)))</f>
        <v/>
      </c>
      <c r="M158" s="79"/>
      <c r="N158" s="172" t="str">
        <f>IF(M158="","",IF(VLOOKUP(M158,'G-7 Rivers Data'!$AA$4:$AB$7,2,FALSE)=0,"Spatial Data Missing",VLOOKUP(M158,'G-7 Rivers Data'!$AA$4:$AB$7,2,FALSE)))</f>
        <v/>
      </c>
      <c r="O158" s="187"/>
      <c r="P158" s="172" t="str">
        <f>IF(O158="","",IF(VLOOKUP(O158,'G-7 Rivers Data'!$AD$4:$AE$8,2,FALSE)=0,"Spatial Data Missing",VLOOKUP(O158,'G-7 Rivers Data'!$AD$4:$AE$8,2,FALSE)))</f>
        <v/>
      </c>
      <c r="Q158" s="177" t="str">
        <f>IF(D158="","",VLOOKUP(D158,'G-7 Rivers Data'!$B$4:$G$8,6,FALSE))</f>
        <v/>
      </c>
      <c r="R158" s="178" t="str">
        <f t="shared" si="16"/>
        <v/>
      </c>
      <c r="S158" s="44"/>
      <c r="T158" s="173"/>
      <c r="U158" s="189"/>
      <c r="V158" s="208" t="str">
        <f t="shared" si="17"/>
        <v/>
      </c>
      <c r="W158" s="208" t="str">
        <f t="shared" si="18"/>
        <v/>
      </c>
      <c r="X158" s="208" t="str">
        <f t="shared" si="19"/>
        <v/>
      </c>
      <c r="Y158" s="209" t="str">
        <f t="shared" si="20"/>
        <v/>
      </c>
      <c r="Z158" s="182"/>
      <c r="AA158" s="183"/>
      <c r="AF158" s="35" t="str">
        <f>IFERROR(INDEX('G-7 Rivers Data'!$AZ$3:$AZ$7,MATCH(D158,'G-7 Rivers Data'!$AY$3:$AY$7,0)),"")</f>
        <v/>
      </c>
      <c r="AG158" s="35">
        <f t="shared" si="21"/>
        <v>0</v>
      </c>
      <c r="AH158" s="188" t="str">
        <f t="shared" si="22"/>
        <v/>
      </c>
      <c r="AI158" s="188" t="str">
        <f t="shared" si="23"/>
        <v/>
      </c>
      <c r="AK158" s="188">
        <v>149</v>
      </c>
      <c r="AM158" s="188" t="str">
        <f t="array" ref="AM158">IFERROR(INDEX($AK$10:$AK$258, MATCH(0, IF(TRUE=$AH$10:$AH$258, COUNTIF($AM$9:$AM157, $AK$10:$AK$258), ""), 0)),"")</f>
        <v/>
      </c>
      <c r="AN158" s="188" t="str">
        <f t="array" ref="AN158">IFERROR(INDEX($AK$10:$AK$258, MATCH(0, IF(TRUE=$AI$10:$AI$258, COUNTIF($AN$9:$AN157, $AK$10:$AK$258), ""), 0)),"")</f>
        <v/>
      </c>
    </row>
    <row r="159" spans="3:40" ht="13.8" x14ac:dyDescent="0.25">
      <c r="C159" s="168">
        <v>150</v>
      </c>
      <c r="D159" s="184"/>
      <c r="E159" s="185"/>
      <c r="F159" s="171" t="str">
        <f>IF(D159="","",VLOOKUP(D159,'G-7 Rivers Data'!$B$2:$G$8,2,FALSE))</f>
        <v/>
      </c>
      <c r="G159" s="172" t="str">
        <f>IFERROR(VLOOKUP(F159,'G-7 Rivers Data'!$C$4:$D$8,2,FALSE),"")</f>
        <v/>
      </c>
      <c r="H159" s="173"/>
      <c r="I159" s="172" t="str">
        <f>IFERROR(INDEX('G-7 Rivers Data'!$H$4:$L$8,MATCH(D159,'G-7 Rivers Data'!$B$4:$B$8,0),MATCH(H159,'G-7 Rivers Data'!$H$3:$L$3,0)),"")</f>
        <v/>
      </c>
      <c r="J159" s="186"/>
      <c r="K159" s="175" t="str">
        <f>IF(J159="","",IF(VLOOKUP(J159,'G-7 Rivers Data'!$AK$4:$AM$9,2,FALSE)=0,"Spatial Data Missing",VLOOKUP(J159,'G-7 Rivers Data'!$AK$4:$AM$9,2,FALSE)))</f>
        <v/>
      </c>
      <c r="L159" s="176" t="str">
        <f>IF(J159="","",IF(VLOOKUP(J159,'G-7 Rivers Data'!$AK$4:$AM$9,3,FALSE)=0,"Spatial Data Missing",VLOOKUP(J159,'G-7 Rivers Data'!$AK$4:$AM$9,3,FALSE)))</f>
        <v/>
      </c>
      <c r="M159" s="79"/>
      <c r="N159" s="172" t="str">
        <f>IF(M159="","",IF(VLOOKUP(M159,'G-7 Rivers Data'!$AA$4:$AB$7,2,FALSE)=0,"Spatial Data Missing",VLOOKUP(M159,'G-7 Rivers Data'!$AA$4:$AB$7,2,FALSE)))</f>
        <v/>
      </c>
      <c r="O159" s="187"/>
      <c r="P159" s="172" t="str">
        <f>IF(O159="","",IF(VLOOKUP(O159,'G-7 Rivers Data'!$AD$4:$AE$8,2,FALSE)=0,"Spatial Data Missing",VLOOKUP(O159,'G-7 Rivers Data'!$AD$4:$AE$8,2,FALSE)))</f>
        <v/>
      </c>
      <c r="Q159" s="177" t="str">
        <f>IF(D159="","",VLOOKUP(D159,'G-7 Rivers Data'!$B$4:$G$8,6,FALSE))</f>
        <v/>
      </c>
      <c r="R159" s="178" t="str">
        <f t="shared" si="16"/>
        <v/>
      </c>
      <c r="S159" s="44"/>
      <c r="T159" s="173"/>
      <c r="U159" s="189"/>
      <c r="V159" s="208" t="str">
        <f t="shared" si="17"/>
        <v/>
      </c>
      <c r="W159" s="208" t="str">
        <f t="shared" si="18"/>
        <v/>
      </c>
      <c r="X159" s="208" t="str">
        <f t="shared" si="19"/>
        <v/>
      </c>
      <c r="Y159" s="209" t="str">
        <f t="shared" si="20"/>
        <v/>
      </c>
      <c r="Z159" s="182"/>
      <c r="AA159" s="183"/>
      <c r="AF159" s="35" t="str">
        <f>IFERROR(INDEX('G-7 Rivers Data'!$AZ$3:$AZ$7,MATCH(D159,'G-7 Rivers Data'!$AY$3:$AY$7,0)),"")</f>
        <v/>
      </c>
      <c r="AG159" s="35">
        <f t="shared" si="21"/>
        <v>0</v>
      </c>
      <c r="AH159" s="188" t="str">
        <f t="shared" si="22"/>
        <v/>
      </c>
      <c r="AI159" s="188" t="str">
        <f t="shared" si="23"/>
        <v/>
      </c>
      <c r="AK159" s="188">
        <v>150</v>
      </c>
      <c r="AM159" s="188" t="str">
        <f t="array" ref="AM159">IFERROR(INDEX($AK$10:$AK$258, MATCH(0, IF(TRUE=$AH$10:$AH$258, COUNTIF($AM$9:$AM158, $AK$10:$AK$258), ""), 0)),"")</f>
        <v/>
      </c>
      <c r="AN159" s="188" t="str">
        <f t="array" ref="AN159">IFERROR(INDEX($AK$10:$AK$258, MATCH(0, IF(TRUE=$AI$10:$AI$258, COUNTIF($AN$9:$AN158, $AK$10:$AK$258), ""), 0)),"")</f>
        <v/>
      </c>
    </row>
    <row r="160" spans="3:40" ht="13.8" x14ac:dyDescent="0.25">
      <c r="C160" s="168">
        <v>151</v>
      </c>
      <c r="D160" s="184"/>
      <c r="E160" s="185"/>
      <c r="F160" s="171" t="str">
        <f>IF(D160="","",VLOOKUP(D160,'G-7 Rivers Data'!$B$2:$G$8,2,FALSE))</f>
        <v/>
      </c>
      <c r="G160" s="172" t="str">
        <f>IFERROR(VLOOKUP(F160,'G-7 Rivers Data'!$C$4:$D$8,2,FALSE),"")</f>
        <v/>
      </c>
      <c r="H160" s="173"/>
      <c r="I160" s="172" t="str">
        <f>IFERROR(INDEX('G-7 Rivers Data'!$H$4:$L$8,MATCH(D160,'G-7 Rivers Data'!$B$4:$B$8,0),MATCH(H160,'G-7 Rivers Data'!$H$3:$L$3,0)),"")</f>
        <v/>
      </c>
      <c r="J160" s="186"/>
      <c r="K160" s="175" t="str">
        <f>IF(J160="","",IF(VLOOKUP(J160,'G-7 Rivers Data'!$AK$4:$AM$9,2,FALSE)=0,"Spatial Data Missing",VLOOKUP(J160,'G-7 Rivers Data'!$AK$4:$AM$9,2,FALSE)))</f>
        <v/>
      </c>
      <c r="L160" s="176" t="str">
        <f>IF(J160="","",IF(VLOOKUP(J160,'G-7 Rivers Data'!$AK$4:$AM$9,3,FALSE)=0,"Spatial Data Missing",VLOOKUP(J160,'G-7 Rivers Data'!$AK$4:$AM$9,3,FALSE)))</f>
        <v/>
      </c>
      <c r="M160" s="79"/>
      <c r="N160" s="172" t="str">
        <f>IF(M160="","",IF(VLOOKUP(M160,'G-7 Rivers Data'!$AA$4:$AB$7,2,FALSE)=0,"Spatial Data Missing",VLOOKUP(M160,'G-7 Rivers Data'!$AA$4:$AB$7,2,FALSE)))</f>
        <v/>
      </c>
      <c r="O160" s="187"/>
      <c r="P160" s="172" t="str">
        <f>IF(O160="","",IF(VLOOKUP(O160,'G-7 Rivers Data'!$AD$4:$AE$8,2,FALSE)=0,"Spatial Data Missing",VLOOKUP(O160,'G-7 Rivers Data'!$AD$4:$AE$8,2,FALSE)))</f>
        <v/>
      </c>
      <c r="Q160" s="177" t="str">
        <f>IF(D160="","",VLOOKUP(D160,'G-7 Rivers Data'!$B$4:$G$8,6,FALSE))</f>
        <v/>
      </c>
      <c r="R160" s="178" t="str">
        <f t="shared" si="16"/>
        <v/>
      </c>
      <c r="S160" s="44"/>
      <c r="T160" s="173"/>
      <c r="U160" s="189"/>
      <c r="V160" s="208" t="str">
        <f t="shared" si="17"/>
        <v/>
      </c>
      <c r="W160" s="208" t="str">
        <f t="shared" si="18"/>
        <v/>
      </c>
      <c r="X160" s="208" t="str">
        <f t="shared" si="19"/>
        <v/>
      </c>
      <c r="Y160" s="209" t="str">
        <f t="shared" si="20"/>
        <v/>
      </c>
      <c r="Z160" s="182"/>
      <c r="AA160" s="183"/>
      <c r="AF160" s="35" t="str">
        <f>IFERROR(INDEX('G-7 Rivers Data'!$AZ$3:$AZ$7,MATCH(D160,'G-7 Rivers Data'!$AY$3:$AY$7,0)),"")</f>
        <v/>
      </c>
      <c r="AG160" s="35">
        <f t="shared" si="21"/>
        <v>0</v>
      </c>
      <c r="AH160" s="188" t="str">
        <f t="shared" si="22"/>
        <v/>
      </c>
      <c r="AI160" s="188" t="str">
        <f t="shared" si="23"/>
        <v/>
      </c>
      <c r="AK160" s="188">
        <v>151</v>
      </c>
      <c r="AM160" s="188" t="str">
        <f t="array" ref="AM160">IFERROR(INDEX($AK$10:$AK$258, MATCH(0, IF(TRUE=$AH$10:$AH$258, COUNTIF($AM$9:$AM159, $AK$10:$AK$258), ""), 0)),"")</f>
        <v/>
      </c>
      <c r="AN160" s="188" t="str">
        <f t="array" ref="AN160">IFERROR(INDEX($AK$10:$AK$258, MATCH(0, IF(TRUE=$AI$10:$AI$258, COUNTIF($AN$9:$AN159, $AK$10:$AK$258), ""), 0)),"")</f>
        <v/>
      </c>
    </row>
    <row r="161" spans="3:40" ht="13.8" x14ac:dyDescent="0.25">
      <c r="C161" s="168">
        <v>152</v>
      </c>
      <c r="D161" s="184"/>
      <c r="E161" s="185"/>
      <c r="F161" s="171" t="str">
        <f>IF(D161="","",VLOOKUP(D161,'G-7 Rivers Data'!$B$2:$G$8,2,FALSE))</f>
        <v/>
      </c>
      <c r="G161" s="172" t="str">
        <f>IFERROR(VLOOKUP(F161,'G-7 Rivers Data'!$C$4:$D$8,2,FALSE),"")</f>
        <v/>
      </c>
      <c r="H161" s="173"/>
      <c r="I161" s="172" t="str">
        <f>IFERROR(INDEX('G-7 Rivers Data'!$H$4:$L$8,MATCH(D161,'G-7 Rivers Data'!$B$4:$B$8,0),MATCH(H161,'G-7 Rivers Data'!$H$3:$L$3,0)),"")</f>
        <v/>
      </c>
      <c r="J161" s="186"/>
      <c r="K161" s="175" t="str">
        <f>IF(J161="","",IF(VLOOKUP(J161,'G-7 Rivers Data'!$AK$4:$AM$9,2,FALSE)=0,"Spatial Data Missing",VLOOKUP(J161,'G-7 Rivers Data'!$AK$4:$AM$9,2,FALSE)))</f>
        <v/>
      </c>
      <c r="L161" s="176" t="str">
        <f>IF(J161="","",IF(VLOOKUP(J161,'G-7 Rivers Data'!$AK$4:$AM$9,3,FALSE)=0,"Spatial Data Missing",VLOOKUP(J161,'G-7 Rivers Data'!$AK$4:$AM$9,3,FALSE)))</f>
        <v/>
      </c>
      <c r="M161" s="79"/>
      <c r="N161" s="172" t="str">
        <f>IF(M161="","",IF(VLOOKUP(M161,'G-7 Rivers Data'!$AA$4:$AB$7,2,FALSE)=0,"Spatial Data Missing",VLOOKUP(M161,'G-7 Rivers Data'!$AA$4:$AB$7,2,FALSE)))</f>
        <v/>
      </c>
      <c r="O161" s="187"/>
      <c r="P161" s="172" t="str">
        <f>IF(O161="","",IF(VLOOKUP(O161,'G-7 Rivers Data'!$AD$4:$AE$8,2,FALSE)=0,"Spatial Data Missing",VLOOKUP(O161,'G-7 Rivers Data'!$AD$4:$AE$8,2,FALSE)))</f>
        <v/>
      </c>
      <c r="Q161" s="177" t="str">
        <f>IF(D161="","",VLOOKUP(D161,'G-7 Rivers Data'!$B$4:$G$8,6,FALSE))</f>
        <v/>
      </c>
      <c r="R161" s="178" t="str">
        <f t="shared" si="16"/>
        <v/>
      </c>
      <c r="S161" s="44"/>
      <c r="T161" s="173"/>
      <c r="U161" s="189"/>
      <c r="V161" s="208" t="str">
        <f t="shared" si="17"/>
        <v/>
      </c>
      <c r="W161" s="208" t="str">
        <f t="shared" si="18"/>
        <v/>
      </c>
      <c r="X161" s="208" t="str">
        <f t="shared" si="19"/>
        <v/>
      </c>
      <c r="Y161" s="209" t="str">
        <f t="shared" si="20"/>
        <v/>
      </c>
      <c r="Z161" s="182"/>
      <c r="AA161" s="183"/>
      <c r="AF161" s="35" t="str">
        <f>IFERROR(INDEX('G-7 Rivers Data'!$AZ$3:$AZ$7,MATCH(D161,'G-7 Rivers Data'!$AY$3:$AY$7,0)),"")</f>
        <v/>
      </c>
      <c r="AG161" s="35">
        <f t="shared" si="21"/>
        <v>0</v>
      </c>
      <c r="AH161" s="188" t="str">
        <f t="shared" si="22"/>
        <v/>
      </c>
      <c r="AI161" s="188" t="str">
        <f t="shared" si="23"/>
        <v/>
      </c>
      <c r="AK161" s="188">
        <v>152</v>
      </c>
      <c r="AM161" s="188" t="str">
        <f t="array" ref="AM161">IFERROR(INDEX($AK$10:$AK$258, MATCH(0, IF(TRUE=$AH$10:$AH$258, COUNTIF($AM$9:$AM160, $AK$10:$AK$258), ""), 0)),"")</f>
        <v/>
      </c>
      <c r="AN161" s="188" t="str">
        <f t="array" ref="AN161">IFERROR(INDEX($AK$10:$AK$258, MATCH(0, IF(TRUE=$AI$10:$AI$258, COUNTIF($AN$9:$AN160, $AK$10:$AK$258), ""), 0)),"")</f>
        <v/>
      </c>
    </row>
    <row r="162" spans="3:40" ht="13.8" x14ac:dyDescent="0.25">
      <c r="C162" s="168">
        <v>153</v>
      </c>
      <c r="D162" s="184"/>
      <c r="E162" s="185"/>
      <c r="F162" s="171" t="str">
        <f>IF(D162="","",VLOOKUP(D162,'G-7 Rivers Data'!$B$2:$G$8,2,FALSE))</f>
        <v/>
      </c>
      <c r="G162" s="172" t="str">
        <f>IFERROR(VLOOKUP(F162,'G-7 Rivers Data'!$C$4:$D$8,2,FALSE),"")</f>
        <v/>
      </c>
      <c r="H162" s="173"/>
      <c r="I162" s="172" t="str">
        <f>IFERROR(INDEX('G-7 Rivers Data'!$H$4:$L$8,MATCH(D162,'G-7 Rivers Data'!$B$4:$B$8,0),MATCH(H162,'G-7 Rivers Data'!$H$3:$L$3,0)),"")</f>
        <v/>
      </c>
      <c r="J162" s="186"/>
      <c r="K162" s="175" t="str">
        <f>IF(J162="","",IF(VLOOKUP(J162,'G-7 Rivers Data'!$AK$4:$AM$9,2,FALSE)=0,"Spatial Data Missing",VLOOKUP(J162,'G-7 Rivers Data'!$AK$4:$AM$9,2,FALSE)))</f>
        <v/>
      </c>
      <c r="L162" s="176" t="str">
        <f>IF(J162="","",IF(VLOOKUP(J162,'G-7 Rivers Data'!$AK$4:$AM$9,3,FALSE)=0,"Spatial Data Missing",VLOOKUP(J162,'G-7 Rivers Data'!$AK$4:$AM$9,3,FALSE)))</f>
        <v/>
      </c>
      <c r="M162" s="79"/>
      <c r="N162" s="172" t="str">
        <f>IF(M162="","",IF(VLOOKUP(M162,'G-7 Rivers Data'!$AA$4:$AB$7,2,FALSE)=0,"Spatial Data Missing",VLOOKUP(M162,'G-7 Rivers Data'!$AA$4:$AB$7,2,FALSE)))</f>
        <v/>
      </c>
      <c r="O162" s="187"/>
      <c r="P162" s="172" t="str">
        <f>IF(O162="","",IF(VLOOKUP(O162,'G-7 Rivers Data'!$AD$4:$AE$8,2,FALSE)=0,"Spatial Data Missing",VLOOKUP(O162,'G-7 Rivers Data'!$AD$4:$AE$8,2,FALSE)))</f>
        <v/>
      </c>
      <c r="Q162" s="177" t="str">
        <f>IF(D162="","",VLOOKUP(D162,'G-7 Rivers Data'!$B$4:$G$8,6,FALSE))</f>
        <v/>
      </c>
      <c r="R162" s="178" t="str">
        <f t="shared" si="16"/>
        <v/>
      </c>
      <c r="S162" s="44"/>
      <c r="T162" s="173"/>
      <c r="U162" s="189"/>
      <c r="V162" s="208" t="str">
        <f t="shared" si="17"/>
        <v/>
      </c>
      <c r="W162" s="208" t="str">
        <f t="shared" si="18"/>
        <v/>
      </c>
      <c r="X162" s="208" t="str">
        <f t="shared" si="19"/>
        <v/>
      </c>
      <c r="Y162" s="209" t="str">
        <f t="shared" si="20"/>
        <v/>
      </c>
      <c r="Z162" s="182"/>
      <c r="AA162" s="183"/>
      <c r="AF162" s="35" t="str">
        <f>IFERROR(INDEX('G-7 Rivers Data'!$AZ$3:$AZ$7,MATCH(D162,'G-7 Rivers Data'!$AY$3:$AY$7,0)),"")</f>
        <v/>
      </c>
      <c r="AG162" s="35">
        <f t="shared" si="21"/>
        <v>0</v>
      </c>
      <c r="AH162" s="188" t="str">
        <f t="shared" si="22"/>
        <v/>
      </c>
      <c r="AI162" s="188" t="str">
        <f t="shared" si="23"/>
        <v/>
      </c>
      <c r="AK162" s="188">
        <v>153</v>
      </c>
      <c r="AM162" s="188" t="str">
        <f t="array" ref="AM162">IFERROR(INDEX($AK$10:$AK$258, MATCH(0, IF(TRUE=$AH$10:$AH$258, COUNTIF($AM$9:$AM161, $AK$10:$AK$258), ""), 0)),"")</f>
        <v/>
      </c>
      <c r="AN162" s="188" t="str">
        <f t="array" ref="AN162">IFERROR(INDEX($AK$10:$AK$258, MATCH(0, IF(TRUE=$AI$10:$AI$258, COUNTIF($AN$9:$AN161, $AK$10:$AK$258), ""), 0)),"")</f>
        <v/>
      </c>
    </row>
    <row r="163" spans="3:40" ht="13.8" x14ac:dyDescent="0.25">
      <c r="C163" s="168">
        <v>154</v>
      </c>
      <c r="D163" s="184"/>
      <c r="E163" s="185"/>
      <c r="F163" s="171" t="str">
        <f>IF(D163="","",VLOOKUP(D163,'G-7 Rivers Data'!$B$2:$G$8,2,FALSE))</f>
        <v/>
      </c>
      <c r="G163" s="172" t="str">
        <f>IFERROR(VLOOKUP(F163,'G-7 Rivers Data'!$C$4:$D$8,2,FALSE),"")</f>
        <v/>
      </c>
      <c r="H163" s="173"/>
      <c r="I163" s="172" t="str">
        <f>IFERROR(INDEX('G-7 Rivers Data'!$H$4:$L$8,MATCH(D163,'G-7 Rivers Data'!$B$4:$B$8,0),MATCH(H163,'G-7 Rivers Data'!$H$3:$L$3,0)),"")</f>
        <v/>
      </c>
      <c r="J163" s="186"/>
      <c r="K163" s="175" t="str">
        <f>IF(J163="","",IF(VLOOKUP(J163,'G-7 Rivers Data'!$AK$4:$AM$9,2,FALSE)=0,"Spatial Data Missing",VLOOKUP(J163,'G-7 Rivers Data'!$AK$4:$AM$9,2,FALSE)))</f>
        <v/>
      </c>
      <c r="L163" s="176" t="str">
        <f>IF(J163="","",IF(VLOOKUP(J163,'G-7 Rivers Data'!$AK$4:$AM$9,3,FALSE)=0,"Spatial Data Missing",VLOOKUP(J163,'G-7 Rivers Data'!$AK$4:$AM$9,3,FALSE)))</f>
        <v/>
      </c>
      <c r="M163" s="79"/>
      <c r="N163" s="172" t="str">
        <f>IF(M163="","",IF(VLOOKUP(M163,'G-7 Rivers Data'!$AA$4:$AB$7,2,FALSE)=0,"Spatial Data Missing",VLOOKUP(M163,'G-7 Rivers Data'!$AA$4:$AB$7,2,FALSE)))</f>
        <v/>
      </c>
      <c r="O163" s="187"/>
      <c r="P163" s="172" t="str">
        <f>IF(O163="","",IF(VLOOKUP(O163,'G-7 Rivers Data'!$AD$4:$AE$8,2,FALSE)=0,"Spatial Data Missing",VLOOKUP(O163,'G-7 Rivers Data'!$AD$4:$AE$8,2,FALSE)))</f>
        <v/>
      </c>
      <c r="Q163" s="177" t="str">
        <f>IF(D163="","",VLOOKUP(D163,'G-7 Rivers Data'!$B$4:$G$8,6,FALSE))</f>
        <v/>
      </c>
      <c r="R163" s="178" t="str">
        <f t="shared" si="16"/>
        <v/>
      </c>
      <c r="S163" s="44"/>
      <c r="T163" s="173"/>
      <c r="U163" s="189"/>
      <c r="V163" s="208" t="str">
        <f t="shared" si="17"/>
        <v/>
      </c>
      <c r="W163" s="208" t="str">
        <f t="shared" si="18"/>
        <v/>
      </c>
      <c r="X163" s="208" t="str">
        <f t="shared" si="19"/>
        <v/>
      </c>
      <c r="Y163" s="209" t="str">
        <f t="shared" si="20"/>
        <v/>
      </c>
      <c r="Z163" s="182"/>
      <c r="AA163" s="183"/>
      <c r="AF163" s="35" t="str">
        <f>IFERROR(INDEX('G-7 Rivers Data'!$AZ$3:$AZ$7,MATCH(D163,'G-7 Rivers Data'!$AY$3:$AY$7,0)),"")</f>
        <v/>
      </c>
      <c r="AG163" s="35">
        <f t="shared" si="21"/>
        <v>0</v>
      </c>
      <c r="AH163" s="188" t="str">
        <f t="shared" si="22"/>
        <v/>
      </c>
      <c r="AI163" s="188" t="str">
        <f t="shared" si="23"/>
        <v/>
      </c>
      <c r="AK163" s="188">
        <v>154</v>
      </c>
      <c r="AM163" s="188" t="str">
        <f t="array" ref="AM163">IFERROR(INDEX($AK$10:$AK$258, MATCH(0, IF(TRUE=$AH$10:$AH$258, COUNTIF($AM$9:$AM162, $AK$10:$AK$258), ""), 0)),"")</f>
        <v/>
      </c>
      <c r="AN163" s="188" t="str">
        <f t="array" ref="AN163">IFERROR(INDEX($AK$10:$AK$258, MATCH(0, IF(TRUE=$AI$10:$AI$258, COUNTIF($AN$9:$AN162, $AK$10:$AK$258), ""), 0)),"")</f>
        <v/>
      </c>
    </row>
    <row r="164" spans="3:40" ht="13.8" x14ac:dyDescent="0.25">
      <c r="C164" s="168">
        <v>155</v>
      </c>
      <c r="D164" s="184"/>
      <c r="E164" s="185"/>
      <c r="F164" s="171" t="str">
        <f>IF(D164="","",VLOOKUP(D164,'G-7 Rivers Data'!$B$2:$G$8,2,FALSE))</f>
        <v/>
      </c>
      <c r="G164" s="172" t="str">
        <f>IFERROR(VLOOKUP(F164,'G-7 Rivers Data'!$C$4:$D$8,2,FALSE),"")</f>
        <v/>
      </c>
      <c r="H164" s="173"/>
      <c r="I164" s="172" t="str">
        <f>IFERROR(INDEX('G-7 Rivers Data'!$H$4:$L$8,MATCH(D164,'G-7 Rivers Data'!$B$4:$B$8,0),MATCH(H164,'G-7 Rivers Data'!$H$3:$L$3,0)),"")</f>
        <v/>
      </c>
      <c r="J164" s="186"/>
      <c r="K164" s="175" t="str">
        <f>IF(J164="","",IF(VLOOKUP(J164,'G-7 Rivers Data'!$AK$4:$AM$9,2,FALSE)=0,"Spatial Data Missing",VLOOKUP(J164,'G-7 Rivers Data'!$AK$4:$AM$9,2,FALSE)))</f>
        <v/>
      </c>
      <c r="L164" s="176" t="str">
        <f>IF(J164="","",IF(VLOOKUP(J164,'G-7 Rivers Data'!$AK$4:$AM$9,3,FALSE)=0,"Spatial Data Missing",VLOOKUP(J164,'G-7 Rivers Data'!$AK$4:$AM$9,3,FALSE)))</f>
        <v/>
      </c>
      <c r="M164" s="79"/>
      <c r="N164" s="172" t="str">
        <f>IF(M164="","",IF(VLOOKUP(M164,'G-7 Rivers Data'!$AA$4:$AB$7,2,FALSE)=0,"Spatial Data Missing",VLOOKUP(M164,'G-7 Rivers Data'!$AA$4:$AB$7,2,FALSE)))</f>
        <v/>
      </c>
      <c r="O164" s="187"/>
      <c r="P164" s="172" t="str">
        <f>IF(O164="","",IF(VLOOKUP(O164,'G-7 Rivers Data'!$AD$4:$AE$8,2,FALSE)=0,"Spatial Data Missing",VLOOKUP(O164,'G-7 Rivers Data'!$AD$4:$AE$8,2,FALSE)))</f>
        <v/>
      </c>
      <c r="Q164" s="177" t="str">
        <f>IF(D164="","",VLOOKUP(D164,'G-7 Rivers Data'!$B$4:$G$8,6,FALSE))</f>
        <v/>
      </c>
      <c r="R164" s="178" t="str">
        <f t="shared" si="16"/>
        <v/>
      </c>
      <c r="S164" s="44"/>
      <c r="T164" s="173"/>
      <c r="U164" s="189"/>
      <c r="V164" s="208" t="str">
        <f t="shared" si="17"/>
        <v/>
      </c>
      <c r="W164" s="208" t="str">
        <f t="shared" si="18"/>
        <v/>
      </c>
      <c r="X164" s="208" t="str">
        <f t="shared" si="19"/>
        <v/>
      </c>
      <c r="Y164" s="209" t="str">
        <f t="shared" si="20"/>
        <v/>
      </c>
      <c r="Z164" s="182"/>
      <c r="AA164" s="183"/>
      <c r="AF164" s="35" t="str">
        <f>IFERROR(INDEX('G-7 Rivers Data'!$AZ$3:$AZ$7,MATCH(D164,'G-7 Rivers Data'!$AY$3:$AY$7,0)),"")</f>
        <v/>
      </c>
      <c r="AG164" s="35">
        <f t="shared" si="21"/>
        <v>0</v>
      </c>
      <c r="AH164" s="188" t="str">
        <f t="shared" si="22"/>
        <v/>
      </c>
      <c r="AI164" s="188" t="str">
        <f t="shared" si="23"/>
        <v/>
      </c>
      <c r="AK164" s="188">
        <v>155</v>
      </c>
      <c r="AM164" s="188" t="str">
        <f t="array" ref="AM164">IFERROR(INDEX($AK$10:$AK$258, MATCH(0, IF(TRUE=$AH$10:$AH$258, COUNTIF($AM$9:$AM163, $AK$10:$AK$258), ""), 0)),"")</f>
        <v/>
      </c>
      <c r="AN164" s="188" t="str">
        <f t="array" ref="AN164">IFERROR(INDEX($AK$10:$AK$258, MATCH(0, IF(TRUE=$AI$10:$AI$258, COUNTIF($AN$9:$AN163, $AK$10:$AK$258), ""), 0)),"")</f>
        <v/>
      </c>
    </row>
    <row r="165" spans="3:40" ht="13.8" x14ac:dyDescent="0.25">
      <c r="C165" s="168">
        <v>156</v>
      </c>
      <c r="D165" s="184"/>
      <c r="E165" s="185"/>
      <c r="F165" s="171" t="str">
        <f>IF(D165="","",VLOOKUP(D165,'G-7 Rivers Data'!$B$2:$G$8,2,FALSE))</f>
        <v/>
      </c>
      <c r="G165" s="172" t="str">
        <f>IFERROR(VLOOKUP(F165,'G-7 Rivers Data'!$C$4:$D$8,2,FALSE),"")</f>
        <v/>
      </c>
      <c r="H165" s="173"/>
      <c r="I165" s="172" t="str">
        <f>IFERROR(INDEX('G-7 Rivers Data'!$H$4:$L$8,MATCH(D165,'G-7 Rivers Data'!$B$4:$B$8,0),MATCH(H165,'G-7 Rivers Data'!$H$3:$L$3,0)),"")</f>
        <v/>
      </c>
      <c r="J165" s="186"/>
      <c r="K165" s="175" t="str">
        <f>IF(J165="","",IF(VLOOKUP(J165,'G-7 Rivers Data'!$AK$4:$AM$9,2,FALSE)=0,"Spatial Data Missing",VLOOKUP(J165,'G-7 Rivers Data'!$AK$4:$AM$9,2,FALSE)))</f>
        <v/>
      </c>
      <c r="L165" s="176" t="str">
        <f>IF(J165="","",IF(VLOOKUP(J165,'G-7 Rivers Data'!$AK$4:$AM$9,3,FALSE)=0,"Spatial Data Missing",VLOOKUP(J165,'G-7 Rivers Data'!$AK$4:$AM$9,3,FALSE)))</f>
        <v/>
      </c>
      <c r="M165" s="79"/>
      <c r="N165" s="172" t="str">
        <f>IF(M165="","",IF(VLOOKUP(M165,'G-7 Rivers Data'!$AA$4:$AB$7,2,FALSE)=0,"Spatial Data Missing",VLOOKUP(M165,'G-7 Rivers Data'!$AA$4:$AB$7,2,FALSE)))</f>
        <v/>
      </c>
      <c r="O165" s="187"/>
      <c r="P165" s="172" t="str">
        <f>IF(O165="","",IF(VLOOKUP(O165,'G-7 Rivers Data'!$AD$4:$AE$8,2,FALSE)=0,"Spatial Data Missing",VLOOKUP(O165,'G-7 Rivers Data'!$AD$4:$AE$8,2,FALSE)))</f>
        <v/>
      </c>
      <c r="Q165" s="177" t="str">
        <f>IF(D165="","",VLOOKUP(D165,'G-7 Rivers Data'!$B$4:$G$8,6,FALSE))</f>
        <v/>
      </c>
      <c r="R165" s="178" t="str">
        <f t="shared" si="16"/>
        <v/>
      </c>
      <c r="S165" s="44"/>
      <c r="T165" s="173"/>
      <c r="U165" s="189"/>
      <c r="V165" s="208" t="str">
        <f t="shared" si="17"/>
        <v/>
      </c>
      <c r="W165" s="208" t="str">
        <f t="shared" si="18"/>
        <v/>
      </c>
      <c r="X165" s="208" t="str">
        <f t="shared" si="19"/>
        <v/>
      </c>
      <c r="Y165" s="209" t="str">
        <f t="shared" si="20"/>
        <v/>
      </c>
      <c r="Z165" s="182"/>
      <c r="AA165" s="183"/>
      <c r="AF165" s="35" t="str">
        <f>IFERROR(INDEX('G-7 Rivers Data'!$AZ$3:$AZ$7,MATCH(D165,'G-7 Rivers Data'!$AY$3:$AY$7,0)),"")</f>
        <v/>
      </c>
      <c r="AG165" s="35">
        <f t="shared" si="21"/>
        <v>0</v>
      </c>
      <c r="AH165" s="188" t="str">
        <f t="shared" si="22"/>
        <v/>
      </c>
      <c r="AI165" s="188" t="str">
        <f t="shared" si="23"/>
        <v/>
      </c>
      <c r="AK165" s="188">
        <v>156</v>
      </c>
      <c r="AM165" s="188" t="str">
        <f t="array" ref="AM165">IFERROR(INDEX($AK$10:$AK$258, MATCH(0, IF(TRUE=$AH$10:$AH$258, COUNTIF($AM$9:$AM164, $AK$10:$AK$258), ""), 0)),"")</f>
        <v/>
      </c>
      <c r="AN165" s="188" t="str">
        <f t="array" ref="AN165">IFERROR(INDEX($AK$10:$AK$258, MATCH(0, IF(TRUE=$AI$10:$AI$258, COUNTIF($AN$9:$AN164, $AK$10:$AK$258), ""), 0)),"")</f>
        <v/>
      </c>
    </row>
    <row r="166" spans="3:40" ht="13.8" x14ac:dyDescent="0.25">
      <c r="C166" s="168">
        <v>157</v>
      </c>
      <c r="D166" s="184"/>
      <c r="E166" s="185"/>
      <c r="F166" s="171" t="str">
        <f>IF(D166="","",VLOOKUP(D166,'G-7 Rivers Data'!$B$2:$G$8,2,FALSE))</f>
        <v/>
      </c>
      <c r="G166" s="172" t="str">
        <f>IFERROR(VLOOKUP(F166,'G-7 Rivers Data'!$C$4:$D$8,2,FALSE),"")</f>
        <v/>
      </c>
      <c r="H166" s="173"/>
      <c r="I166" s="172" t="str">
        <f>IFERROR(INDEX('G-7 Rivers Data'!$H$4:$L$8,MATCH(D166,'G-7 Rivers Data'!$B$4:$B$8,0),MATCH(H166,'G-7 Rivers Data'!$H$3:$L$3,0)),"")</f>
        <v/>
      </c>
      <c r="J166" s="186"/>
      <c r="K166" s="175" t="str">
        <f>IF(J166="","",IF(VLOOKUP(J166,'G-7 Rivers Data'!$AK$4:$AM$9,2,FALSE)=0,"Spatial Data Missing",VLOOKUP(J166,'G-7 Rivers Data'!$AK$4:$AM$9,2,FALSE)))</f>
        <v/>
      </c>
      <c r="L166" s="176" t="str">
        <f>IF(J166="","",IF(VLOOKUP(J166,'G-7 Rivers Data'!$AK$4:$AM$9,3,FALSE)=0,"Spatial Data Missing",VLOOKUP(J166,'G-7 Rivers Data'!$AK$4:$AM$9,3,FALSE)))</f>
        <v/>
      </c>
      <c r="M166" s="79"/>
      <c r="N166" s="172" t="str">
        <f>IF(M166="","",IF(VLOOKUP(M166,'G-7 Rivers Data'!$AA$4:$AB$7,2,FALSE)=0,"Spatial Data Missing",VLOOKUP(M166,'G-7 Rivers Data'!$AA$4:$AB$7,2,FALSE)))</f>
        <v/>
      </c>
      <c r="O166" s="187"/>
      <c r="P166" s="172" t="str">
        <f>IF(O166="","",IF(VLOOKUP(O166,'G-7 Rivers Data'!$AD$4:$AE$8,2,FALSE)=0,"Spatial Data Missing",VLOOKUP(O166,'G-7 Rivers Data'!$AD$4:$AE$8,2,FALSE)))</f>
        <v/>
      </c>
      <c r="Q166" s="177" t="str">
        <f>IF(D166="","",VLOOKUP(D166,'G-7 Rivers Data'!$B$4:$G$8,6,FALSE))</f>
        <v/>
      </c>
      <c r="R166" s="178" t="str">
        <f t="shared" si="16"/>
        <v/>
      </c>
      <c r="S166" s="44"/>
      <c r="T166" s="173"/>
      <c r="U166" s="189"/>
      <c r="V166" s="208" t="str">
        <f t="shared" si="17"/>
        <v/>
      </c>
      <c r="W166" s="208" t="str">
        <f t="shared" si="18"/>
        <v/>
      </c>
      <c r="X166" s="208" t="str">
        <f t="shared" si="19"/>
        <v/>
      </c>
      <c r="Y166" s="209" t="str">
        <f t="shared" si="20"/>
        <v/>
      </c>
      <c r="Z166" s="182"/>
      <c r="AA166" s="183"/>
      <c r="AF166" s="35" t="str">
        <f>IFERROR(INDEX('G-7 Rivers Data'!$AZ$3:$AZ$7,MATCH(D166,'G-7 Rivers Data'!$AY$3:$AY$7,0)),"")</f>
        <v/>
      </c>
      <c r="AG166" s="35">
        <f t="shared" si="21"/>
        <v>0</v>
      </c>
      <c r="AH166" s="188" t="str">
        <f t="shared" si="22"/>
        <v/>
      </c>
      <c r="AI166" s="188" t="str">
        <f t="shared" si="23"/>
        <v/>
      </c>
      <c r="AK166" s="188">
        <v>157</v>
      </c>
      <c r="AM166" s="188" t="str">
        <f t="array" ref="AM166">IFERROR(INDEX($AK$10:$AK$258, MATCH(0, IF(TRUE=$AH$10:$AH$258, COUNTIF($AM$9:$AM165, $AK$10:$AK$258), ""), 0)),"")</f>
        <v/>
      </c>
      <c r="AN166" s="188" t="str">
        <f t="array" ref="AN166">IFERROR(INDEX($AK$10:$AK$258, MATCH(0, IF(TRUE=$AI$10:$AI$258, COUNTIF($AN$9:$AN165, $AK$10:$AK$258), ""), 0)),"")</f>
        <v/>
      </c>
    </row>
    <row r="167" spans="3:40" ht="13.8" x14ac:dyDescent="0.25">
      <c r="C167" s="168">
        <v>158</v>
      </c>
      <c r="D167" s="184"/>
      <c r="E167" s="185"/>
      <c r="F167" s="171" t="str">
        <f>IF(D167="","",VLOOKUP(D167,'G-7 Rivers Data'!$B$2:$G$8,2,FALSE))</f>
        <v/>
      </c>
      <c r="G167" s="172" t="str">
        <f>IFERROR(VLOOKUP(F167,'G-7 Rivers Data'!$C$4:$D$8,2,FALSE),"")</f>
        <v/>
      </c>
      <c r="H167" s="173"/>
      <c r="I167" s="172" t="str">
        <f>IFERROR(INDEX('G-7 Rivers Data'!$H$4:$L$8,MATCH(D167,'G-7 Rivers Data'!$B$4:$B$8,0),MATCH(H167,'G-7 Rivers Data'!$H$3:$L$3,0)),"")</f>
        <v/>
      </c>
      <c r="J167" s="186"/>
      <c r="K167" s="175" t="str">
        <f>IF(J167="","",IF(VLOOKUP(J167,'G-7 Rivers Data'!$AK$4:$AM$9,2,FALSE)=0,"Spatial Data Missing",VLOOKUP(J167,'G-7 Rivers Data'!$AK$4:$AM$9,2,FALSE)))</f>
        <v/>
      </c>
      <c r="L167" s="176" t="str">
        <f>IF(J167="","",IF(VLOOKUP(J167,'G-7 Rivers Data'!$AK$4:$AM$9,3,FALSE)=0,"Spatial Data Missing",VLOOKUP(J167,'G-7 Rivers Data'!$AK$4:$AM$9,3,FALSE)))</f>
        <v/>
      </c>
      <c r="M167" s="79"/>
      <c r="N167" s="172" t="str">
        <f>IF(M167="","",IF(VLOOKUP(M167,'G-7 Rivers Data'!$AA$4:$AB$7,2,FALSE)=0,"Spatial Data Missing",VLOOKUP(M167,'G-7 Rivers Data'!$AA$4:$AB$7,2,FALSE)))</f>
        <v/>
      </c>
      <c r="O167" s="187"/>
      <c r="P167" s="172" t="str">
        <f>IF(O167="","",IF(VLOOKUP(O167,'G-7 Rivers Data'!$AD$4:$AE$8,2,FALSE)=0,"Spatial Data Missing",VLOOKUP(O167,'G-7 Rivers Data'!$AD$4:$AE$8,2,FALSE)))</f>
        <v/>
      </c>
      <c r="Q167" s="177" t="str">
        <f>IF(D167="","",VLOOKUP(D167,'G-7 Rivers Data'!$B$4:$G$8,6,FALSE))</f>
        <v/>
      </c>
      <c r="R167" s="178" t="str">
        <f t="shared" si="16"/>
        <v/>
      </c>
      <c r="S167" s="44"/>
      <c r="T167" s="173"/>
      <c r="U167" s="189"/>
      <c r="V167" s="208" t="str">
        <f t="shared" si="17"/>
        <v/>
      </c>
      <c r="W167" s="208" t="str">
        <f t="shared" si="18"/>
        <v/>
      </c>
      <c r="X167" s="208" t="str">
        <f t="shared" si="19"/>
        <v/>
      </c>
      <c r="Y167" s="209" t="str">
        <f t="shared" si="20"/>
        <v/>
      </c>
      <c r="Z167" s="182"/>
      <c r="AA167" s="183"/>
      <c r="AF167" s="35" t="str">
        <f>IFERROR(INDEX('G-7 Rivers Data'!$AZ$3:$AZ$7,MATCH(D167,'G-7 Rivers Data'!$AY$3:$AY$7,0)),"")</f>
        <v/>
      </c>
      <c r="AG167" s="35">
        <f t="shared" si="21"/>
        <v>0</v>
      </c>
      <c r="AH167" s="188" t="str">
        <f t="shared" si="22"/>
        <v/>
      </c>
      <c r="AI167" s="188" t="str">
        <f t="shared" si="23"/>
        <v/>
      </c>
      <c r="AK167" s="188">
        <v>158</v>
      </c>
      <c r="AM167" s="188" t="str">
        <f t="array" ref="AM167">IFERROR(INDEX($AK$10:$AK$258, MATCH(0, IF(TRUE=$AH$10:$AH$258, COUNTIF($AM$9:$AM166, $AK$10:$AK$258), ""), 0)),"")</f>
        <v/>
      </c>
      <c r="AN167" s="188" t="str">
        <f t="array" ref="AN167">IFERROR(INDEX($AK$10:$AK$258, MATCH(0, IF(TRUE=$AI$10:$AI$258, COUNTIF($AN$9:$AN166, $AK$10:$AK$258), ""), 0)),"")</f>
        <v/>
      </c>
    </row>
    <row r="168" spans="3:40" ht="13.8" x14ac:dyDescent="0.25">
      <c r="C168" s="168">
        <v>159</v>
      </c>
      <c r="D168" s="184"/>
      <c r="E168" s="185"/>
      <c r="F168" s="171" t="str">
        <f>IF(D168="","",VLOOKUP(D168,'G-7 Rivers Data'!$B$2:$G$8,2,FALSE))</f>
        <v/>
      </c>
      <c r="G168" s="172" t="str">
        <f>IFERROR(VLOOKUP(F168,'G-7 Rivers Data'!$C$4:$D$8,2,FALSE),"")</f>
        <v/>
      </c>
      <c r="H168" s="173"/>
      <c r="I168" s="172" t="str">
        <f>IFERROR(INDEX('G-7 Rivers Data'!$H$4:$L$8,MATCH(D168,'G-7 Rivers Data'!$B$4:$B$8,0),MATCH(H168,'G-7 Rivers Data'!$H$3:$L$3,0)),"")</f>
        <v/>
      </c>
      <c r="J168" s="186"/>
      <c r="K168" s="175" t="str">
        <f>IF(J168="","",IF(VLOOKUP(J168,'G-7 Rivers Data'!$AK$4:$AM$9,2,FALSE)=0,"Spatial Data Missing",VLOOKUP(J168,'G-7 Rivers Data'!$AK$4:$AM$9,2,FALSE)))</f>
        <v/>
      </c>
      <c r="L168" s="176" t="str">
        <f>IF(J168="","",IF(VLOOKUP(J168,'G-7 Rivers Data'!$AK$4:$AM$9,3,FALSE)=0,"Spatial Data Missing",VLOOKUP(J168,'G-7 Rivers Data'!$AK$4:$AM$9,3,FALSE)))</f>
        <v/>
      </c>
      <c r="M168" s="79"/>
      <c r="N168" s="172" t="str">
        <f>IF(M168="","",IF(VLOOKUP(M168,'G-7 Rivers Data'!$AA$4:$AB$7,2,FALSE)=0,"Spatial Data Missing",VLOOKUP(M168,'G-7 Rivers Data'!$AA$4:$AB$7,2,FALSE)))</f>
        <v/>
      </c>
      <c r="O168" s="187"/>
      <c r="P168" s="172" t="str">
        <f>IF(O168="","",IF(VLOOKUP(O168,'G-7 Rivers Data'!$AD$4:$AE$8,2,FALSE)=0,"Spatial Data Missing",VLOOKUP(O168,'G-7 Rivers Data'!$AD$4:$AE$8,2,FALSE)))</f>
        <v/>
      </c>
      <c r="Q168" s="177" t="str">
        <f>IF(D168="","",VLOOKUP(D168,'G-7 Rivers Data'!$B$4:$G$8,6,FALSE))</f>
        <v/>
      </c>
      <c r="R168" s="178" t="str">
        <f t="shared" si="16"/>
        <v/>
      </c>
      <c r="S168" s="44"/>
      <c r="T168" s="173"/>
      <c r="U168" s="189"/>
      <c r="V168" s="208" t="str">
        <f t="shared" si="17"/>
        <v/>
      </c>
      <c r="W168" s="208" t="str">
        <f t="shared" si="18"/>
        <v/>
      </c>
      <c r="X168" s="208" t="str">
        <f t="shared" si="19"/>
        <v/>
      </c>
      <c r="Y168" s="209" t="str">
        <f t="shared" si="20"/>
        <v/>
      </c>
      <c r="Z168" s="182"/>
      <c r="AA168" s="183"/>
      <c r="AF168" s="35" t="str">
        <f>IFERROR(INDEX('G-7 Rivers Data'!$AZ$3:$AZ$7,MATCH(D168,'G-7 Rivers Data'!$AY$3:$AY$7,0)),"")</f>
        <v/>
      </c>
      <c r="AG168" s="35">
        <f t="shared" si="21"/>
        <v>0</v>
      </c>
      <c r="AH168" s="188" t="str">
        <f t="shared" si="22"/>
        <v/>
      </c>
      <c r="AI168" s="188" t="str">
        <f t="shared" si="23"/>
        <v/>
      </c>
      <c r="AK168" s="188">
        <v>159</v>
      </c>
      <c r="AM168" s="188" t="str">
        <f t="array" ref="AM168">IFERROR(INDEX($AK$10:$AK$258, MATCH(0, IF(TRUE=$AH$10:$AH$258, COUNTIF($AM$9:$AM167, $AK$10:$AK$258), ""), 0)),"")</f>
        <v/>
      </c>
      <c r="AN168" s="188" t="str">
        <f t="array" ref="AN168">IFERROR(INDEX($AK$10:$AK$258, MATCH(0, IF(TRUE=$AI$10:$AI$258, COUNTIF($AN$9:$AN167, $AK$10:$AK$258), ""), 0)),"")</f>
        <v/>
      </c>
    </row>
    <row r="169" spans="3:40" ht="13.8" x14ac:dyDescent="0.25">
      <c r="C169" s="168">
        <v>160</v>
      </c>
      <c r="D169" s="184"/>
      <c r="E169" s="185"/>
      <c r="F169" s="171" t="str">
        <f>IF(D169="","",VLOOKUP(D169,'G-7 Rivers Data'!$B$2:$G$8,2,FALSE))</f>
        <v/>
      </c>
      <c r="G169" s="172" t="str">
        <f>IFERROR(VLOOKUP(F169,'G-7 Rivers Data'!$C$4:$D$8,2,FALSE),"")</f>
        <v/>
      </c>
      <c r="H169" s="173"/>
      <c r="I169" s="172" t="str">
        <f>IFERROR(INDEX('G-7 Rivers Data'!$H$4:$L$8,MATCH(D169,'G-7 Rivers Data'!$B$4:$B$8,0),MATCH(H169,'G-7 Rivers Data'!$H$3:$L$3,0)),"")</f>
        <v/>
      </c>
      <c r="J169" s="186"/>
      <c r="K169" s="175" t="str">
        <f>IF(J169="","",IF(VLOOKUP(J169,'G-7 Rivers Data'!$AK$4:$AM$9,2,FALSE)=0,"Spatial Data Missing",VLOOKUP(J169,'G-7 Rivers Data'!$AK$4:$AM$9,2,FALSE)))</f>
        <v/>
      </c>
      <c r="L169" s="176" t="str">
        <f>IF(J169="","",IF(VLOOKUP(J169,'G-7 Rivers Data'!$AK$4:$AM$9,3,FALSE)=0,"Spatial Data Missing",VLOOKUP(J169,'G-7 Rivers Data'!$AK$4:$AM$9,3,FALSE)))</f>
        <v/>
      </c>
      <c r="M169" s="79"/>
      <c r="N169" s="172" t="str">
        <f>IF(M169="","",IF(VLOOKUP(M169,'G-7 Rivers Data'!$AA$4:$AB$7,2,FALSE)=0,"Spatial Data Missing",VLOOKUP(M169,'G-7 Rivers Data'!$AA$4:$AB$7,2,FALSE)))</f>
        <v/>
      </c>
      <c r="O169" s="187"/>
      <c r="P169" s="172" t="str">
        <f>IF(O169="","",IF(VLOOKUP(O169,'G-7 Rivers Data'!$AD$4:$AE$8,2,FALSE)=0,"Spatial Data Missing",VLOOKUP(O169,'G-7 Rivers Data'!$AD$4:$AE$8,2,FALSE)))</f>
        <v/>
      </c>
      <c r="Q169" s="177" t="str">
        <f>IF(D169="","",VLOOKUP(D169,'G-7 Rivers Data'!$B$4:$G$8,6,FALSE))</f>
        <v/>
      </c>
      <c r="R169" s="178" t="str">
        <f t="shared" si="16"/>
        <v/>
      </c>
      <c r="S169" s="44"/>
      <c r="T169" s="173"/>
      <c r="U169" s="189"/>
      <c r="V169" s="208" t="str">
        <f t="shared" si="17"/>
        <v/>
      </c>
      <c r="W169" s="208" t="str">
        <f t="shared" si="18"/>
        <v/>
      </c>
      <c r="X169" s="208" t="str">
        <f t="shared" si="19"/>
        <v/>
      </c>
      <c r="Y169" s="209" t="str">
        <f t="shared" si="20"/>
        <v/>
      </c>
      <c r="Z169" s="182"/>
      <c r="AA169" s="183"/>
      <c r="AF169" s="35" t="str">
        <f>IFERROR(INDEX('G-7 Rivers Data'!$AZ$3:$AZ$7,MATCH(D169,'G-7 Rivers Data'!$AY$3:$AY$7,0)),"")</f>
        <v/>
      </c>
      <c r="AG169" s="35">
        <f t="shared" si="21"/>
        <v>0</v>
      </c>
      <c r="AH169" s="188" t="str">
        <f t="shared" si="22"/>
        <v/>
      </c>
      <c r="AI169" s="188" t="str">
        <f t="shared" si="23"/>
        <v/>
      </c>
      <c r="AK169" s="188">
        <v>160</v>
      </c>
      <c r="AM169" s="188" t="str">
        <f t="array" ref="AM169">IFERROR(INDEX($AK$10:$AK$258, MATCH(0, IF(TRUE=$AH$10:$AH$258, COUNTIF($AM$9:$AM168, $AK$10:$AK$258), ""), 0)),"")</f>
        <v/>
      </c>
      <c r="AN169" s="188" t="str">
        <f t="array" ref="AN169">IFERROR(INDEX($AK$10:$AK$258, MATCH(0, IF(TRUE=$AI$10:$AI$258, COUNTIF($AN$9:$AN168, $AK$10:$AK$258), ""), 0)),"")</f>
        <v/>
      </c>
    </row>
    <row r="170" spans="3:40" ht="13.8" x14ac:dyDescent="0.25">
      <c r="C170" s="168">
        <v>161</v>
      </c>
      <c r="D170" s="184"/>
      <c r="E170" s="185"/>
      <c r="F170" s="171" t="str">
        <f>IF(D170="","",VLOOKUP(D170,'G-7 Rivers Data'!$B$2:$G$8,2,FALSE))</f>
        <v/>
      </c>
      <c r="G170" s="172" t="str">
        <f>IFERROR(VLOOKUP(F170,'G-7 Rivers Data'!$C$4:$D$8,2,FALSE),"")</f>
        <v/>
      </c>
      <c r="H170" s="173"/>
      <c r="I170" s="172" t="str">
        <f>IFERROR(INDEX('G-7 Rivers Data'!$H$4:$L$8,MATCH(D170,'G-7 Rivers Data'!$B$4:$B$8,0),MATCH(H170,'G-7 Rivers Data'!$H$3:$L$3,0)),"")</f>
        <v/>
      </c>
      <c r="J170" s="186"/>
      <c r="K170" s="175" t="str">
        <f>IF(J170="","",IF(VLOOKUP(J170,'G-7 Rivers Data'!$AK$4:$AM$9,2,FALSE)=0,"Spatial Data Missing",VLOOKUP(J170,'G-7 Rivers Data'!$AK$4:$AM$9,2,FALSE)))</f>
        <v/>
      </c>
      <c r="L170" s="176" t="str">
        <f>IF(J170="","",IF(VLOOKUP(J170,'G-7 Rivers Data'!$AK$4:$AM$9,3,FALSE)=0,"Spatial Data Missing",VLOOKUP(J170,'G-7 Rivers Data'!$AK$4:$AM$9,3,FALSE)))</f>
        <v/>
      </c>
      <c r="M170" s="79"/>
      <c r="N170" s="172" t="str">
        <f>IF(M170="","",IF(VLOOKUP(M170,'G-7 Rivers Data'!$AA$4:$AB$7,2,FALSE)=0,"Spatial Data Missing",VLOOKUP(M170,'G-7 Rivers Data'!$AA$4:$AB$7,2,FALSE)))</f>
        <v/>
      </c>
      <c r="O170" s="187"/>
      <c r="P170" s="172" t="str">
        <f>IF(O170="","",IF(VLOOKUP(O170,'G-7 Rivers Data'!$AD$4:$AE$8,2,FALSE)=0,"Spatial Data Missing",VLOOKUP(O170,'G-7 Rivers Data'!$AD$4:$AE$8,2,FALSE)))</f>
        <v/>
      </c>
      <c r="Q170" s="177" t="str">
        <f>IF(D170="","",VLOOKUP(D170,'G-7 Rivers Data'!$B$4:$G$8,6,FALSE))</f>
        <v/>
      </c>
      <c r="R170" s="178" t="str">
        <f t="shared" si="16"/>
        <v/>
      </c>
      <c r="S170" s="44"/>
      <c r="T170" s="173"/>
      <c r="U170" s="189"/>
      <c r="V170" s="208" t="str">
        <f t="shared" si="17"/>
        <v/>
      </c>
      <c r="W170" s="208" t="str">
        <f t="shared" si="18"/>
        <v/>
      </c>
      <c r="X170" s="208" t="str">
        <f t="shared" si="19"/>
        <v/>
      </c>
      <c r="Y170" s="209" t="str">
        <f t="shared" si="20"/>
        <v/>
      </c>
      <c r="Z170" s="182"/>
      <c r="AA170" s="183"/>
      <c r="AF170" s="35" t="str">
        <f>IFERROR(INDEX('G-7 Rivers Data'!$AZ$3:$AZ$7,MATCH(D170,'G-7 Rivers Data'!$AY$3:$AY$7,0)),"")</f>
        <v/>
      </c>
      <c r="AG170" s="35">
        <f t="shared" si="21"/>
        <v>0</v>
      </c>
      <c r="AH170" s="188" t="str">
        <f t="shared" si="22"/>
        <v/>
      </c>
      <c r="AI170" s="188" t="str">
        <f t="shared" si="23"/>
        <v/>
      </c>
      <c r="AK170" s="188">
        <v>161</v>
      </c>
      <c r="AM170" s="188" t="str">
        <f t="array" ref="AM170">IFERROR(INDEX($AK$10:$AK$258, MATCH(0, IF(TRUE=$AH$10:$AH$258, COUNTIF($AM$9:$AM169, $AK$10:$AK$258), ""), 0)),"")</f>
        <v/>
      </c>
      <c r="AN170" s="188" t="str">
        <f t="array" ref="AN170">IFERROR(INDEX($AK$10:$AK$258, MATCH(0, IF(TRUE=$AI$10:$AI$258, COUNTIF($AN$9:$AN169, $AK$10:$AK$258), ""), 0)),"")</f>
        <v/>
      </c>
    </row>
    <row r="171" spans="3:40" ht="13.8" x14ac:dyDescent="0.25">
      <c r="C171" s="168">
        <v>162</v>
      </c>
      <c r="D171" s="184"/>
      <c r="E171" s="185"/>
      <c r="F171" s="171" t="str">
        <f>IF(D171="","",VLOOKUP(D171,'G-7 Rivers Data'!$B$2:$G$8,2,FALSE))</f>
        <v/>
      </c>
      <c r="G171" s="172" t="str">
        <f>IFERROR(VLOOKUP(F171,'G-7 Rivers Data'!$C$4:$D$8,2,FALSE),"")</f>
        <v/>
      </c>
      <c r="H171" s="173"/>
      <c r="I171" s="172" t="str">
        <f>IFERROR(INDEX('G-7 Rivers Data'!$H$4:$L$8,MATCH(D171,'G-7 Rivers Data'!$B$4:$B$8,0),MATCH(H171,'G-7 Rivers Data'!$H$3:$L$3,0)),"")</f>
        <v/>
      </c>
      <c r="J171" s="186"/>
      <c r="K171" s="175" t="str">
        <f>IF(J171="","",IF(VLOOKUP(J171,'G-7 Rivers Data'!$AK$4:$AM$9,2,FALSE)=0,"Spatial Data Missing",VLOOKUP(J171,'G-7 Rivers Data'!$AK$4:$AM$9,2,FALSE)))</f>
        <v/>
      </c>
      <c r="L171" s="176" t="str">
        <f>IF(J171="","",IF(VLOOKUP(J171,'G-7 Rivers Data'!$AK$4:$AM$9,3,FALSE)=0,"Spatial Data Missing",VLOOKUP(J171,'G-7 Rivers Data'!$AK$4:$AM$9,3,FALSE)))</f>
        <v/>
      </c>
      <c r="M171" s="79"/>
      <c r="N171" s="172" t="str">
        <f>IF(M171="","",IF(VLOOKUP(M171,'G-7 Rivers Data'!$AA$4:$AB$7,2,FALSE)=0,"Spatial Data Missing",VLOOKUP(M171,'G-7 Rivers Data'!$AA$4:$AB$7,2,FALSE)))</f>
        <v/>
      </c>
      <c r="O171" s="187"/>
      <c r="P171" s="172" t="str">
        <f>IF(O171="","",IF(VLOOKUP(O171,'G-7 Rivers Data'!$AD$4:$AE$8,2,FALSE)=0,"Spatial Data Missing",VLOOKUP(O171,'G-7 Rivers Data'!$AD$4:$AE$8,2,FALSE)))</f>
        <v/>
      </c>
      <c r="Q171" s="177" t="str">
        <f>IF(D171="","",VLOOKUP(D171,'G-7 Rivers Data'!$B$4:$G$8,6,FALSE))</f>
        <v/>
      </c>
      <c r="R171" s="178" t="str">
        <f t="shared" si="16"/>
        <v/>
      </c>
      <c r="S171" s="44"/>
      <c r="T171" s="173"/>
      <c r="U171" s="189"/>
      <c r="V171" s="208" t="str">
        <f t="shared" si="17"/>
        <v/>
      </c>
      <c r="W171" s="208" t="str">
        <f t="shared" si="18"/>
        <v/>
      </c>
      <c r="X171" s="208" t="str">
        <f t="shared" si="19"/>
        <v/>
      </c>
      <c r="Y171" s="209" t="str">
        <f t="shared" si="20"/>
        <v/>
      </c>
      <c r="Z171" s="182"/>
      <c r="AA171" s="183"/>
      <c r="AF171" s="35" t="str">
        <f>IFERROR(INDEX('G-7 Rivers Data'!$AZ$3:$AZ$7,MATCH(D171,'G-7 Rivers Data'!$AY$3:$AY$7,0)),"")</f>
        <v/>
      </c>
      <c r="AG171" s="35">
        <f t="shared" si="21"/>
        <v>0</v>
      </c>
      <c r="AH171" s="188" t="str">
        <f t="shared" si="22"/>
        <v/>
      </c>
      <c r="AI171" s="188" t="str">
        <f t="shared" si="23"/>
        <v/>
      </c>
      <c r="AK171" s="188">
        <v>162</v>
      </c>
      <c r="AM171" s="188" t="str">
        <f t="array" ref="AM171">IFERROR(INDEX($AK$10:$AK$258, MATCH(0, IF(TRUE=$AH$10:$AH$258, COUNTIF($AM$9:$AM170, $AK$10:$AK$258), ""), 0)),"")</f>
        <v/>
      </c>
      <c r="AN171" s="188" t="str">
        <f t="array" ref="AN171">IFERROR(INDEX($AK$10:$AK$258, MATCH(0, IF(TRUE=$AI$10:$AI$258, COUNTIF($AN$9:$AN170, $AK$10:$AK$258), ""), 0)),"")</f>
        <v/>
      </c>
    </row>
    <row r="172" spans="3:40" ht="13.8" x14ac:dyDescent="0.25">
      <c r="C172" s="168">
        <v>163</v>
      </c>
      <c r="D172" s="184"/>
      <c r="E172" s="185"/>
      <c r="F172" s="171" t="str">
        <f>IF(D172="","",VLOOKUP(D172,'G-7 Rivers Data'!$B$2:$G$8,2,FALSE))</f>
        <v/>
      </c>
      <c r="G172" s="172" t="str">
        <f>IFERROR(VLOOKUP(F172,'G-7 Rivers Data'!$C$4:$D$8,2,FALSE),"")</f>
        <v/>
      </c>
      <c r="H172" s="173"/>
      <c r="I172" s="172" t="str">
        <f>IFERROR(INDEX('G-7 Rivers Data'!$H$4:$L$8,MATCH(D172,'G-7 Rivers Data'!$B$4:$B$8,0),MATCH(H172,'G-7 Rivers Data'!$H$3:$L$3,0)),"")</f>
        <v/>
      </c>
      <c r="J172" s="186"/>
      <c r="K172" s="175" t="str">
        <f>IF(J172="","",IF(VLOOKUP(J172,'G-7 Rivers Data'!$AK$4:$AM$9,2,FALSE)=0,"Spatial Data Missing",VLOOKUP(J172,'G-7 Rivers Data'!$AK$4:$AM$9,2,FALSE)))</f>
        <v/>
      </c>
      <c r="L172" s="176" t="str">
        <f>IF(J172="","",IF(VLOOKUP(J172,'G-7 Rivers Data'!$AK$4:$AM$9,3,FALSE)=0,"Spatial Data Missing",VLOOKUP(J172,'G-7 Rivers Data'!$AK$4:$AM$9,3,FALSE)))</f>
        <v/>
      </c>
      <c r="M172" s="79"/>
      <c r="N172" s="172" t="str">
        <f>IF(M172="","",IF(VLOOKUP(M172,'G-7 Rivers Data'!$AA$4:$AB$7,2,FALSE)=0,"Spatial Data Missing",VLOOKUP(M172,'G-7 Rivers Data'!$AA$4:$AB$7,2,FALSE)))</f>
        <v/>
      </c>
      <c r="O172" s="187"/>
      <c r="P172" s="172" t="str">
        <f>IF(O172="","",IF(VLOOKUP(O172,'G-7 Rivers Data'!$AD$4:$AE$8,2,FALSE)=0,"Spatial Data Missing",VLOOKUP(O172,'G-7 Rivers Data'!$AD$4:$AE$8,2,FALSE)))</f>
        <v/>
      </c>
      <c r="Q172" s="177" t="str">
        <f>IF(D172="","",VLOOKUP(D172,'G-7 Rivers Data'!$B$4:$G$8,6,FALSE))</f>
        <v/>
      </c>
      <c r="R172" s="178" t="str">
        <f t="shared" si="16"/>
        <v/>
      </c>
      <c r="S172" s="44"/>
      <c r="T172" s="173"/>
      <c r="U172" s="189"/>
      <c r="V172" s="208" t="str">
        <f t="shared" si="17"/>
        <v/>
      </c>
      <c r="W172" s="208" t="str">
        <f t="shared" si="18"/>
        <v/>
      </c>
      <c r="X172" s="208" t="str">
        <f t="shared" si="19"/>
        <v/>
      </c>
      <c r="Y172" s="209" t="str">
        <f t="shared" si="20"/>
        <v/>
      </c>
      <c r="Z172" s="182"/>
      <c r="AA172" s="183"/>
      <c r="AF172" s="35" t="str">
        <f>IFERROR(INDEX('G-7 Rivers Data'!$AZ$3:$AZ$7,MATCH(D172,'G-7 Rivers Data'!$AY$3:$AY$7,0)),"")</f>
        <v/>
      </c>
      <c r="AG172" s="35">
        <f t="shared" si="21"/>
        <v>0</v>
      </c>
      <c r="AH172" s="188" t="str">
        <f t="shared" si="22"/>
        <v/>
      </c>
      <c r="AI172" s="188" t="str">
        <f t="shared" si="23"/>
        <v/>
      </c>
      <c r="AK172" s="188">
        <v>163</v>
      </c>
      <c r="AM172" s="188" t="str">
        <f t="array" ref="AM172">IFERROR(INDEX($AK$10:$AK$258, MATCH(0, IF(TRUE=$AH$10:$AH$258, COUNTIF($AM$9:$AM171, $AK$10:$AK$258), ""), 0)),"")</f>
        <v/>
      </c>
      <c r="AN172" s="188" t="str">
        <f t="array" ref="AN172">IFERROR(INDEX($AK$10:$AK$258, MATCH(0, IF(TRUE=$AI$10:$AI$258, COUNTIF($AN$9:$AN171, $AK$10:$AK$258), ""), 0)),"")</f>
        <v/>
      </c>
    </row>
    <row r="173" spans="3:40" ht="13.8" x14ac:dyDescent="0.25">
      <c r="C173" s="168">
        <v>164</v>
      </c>
      <c r="D173" s="184"/>
      <c r="E173" s="185"/>
      <c r="F173" s="171" t="str">
        <f>IF(D173="","",VLOOKUP(D173,'G-7 Rivers Data'!$B$2:$G$8,2,FALSE))</f>
        <v/>
      </c>
      <c r="G173" s="172" t="str">
        <f>IFERROR(VLOOKUP(F173,'G-7 Rivers Data'!$C$4:$D$8,2,FALSE),"")</f>
        <v/>
      </c>
      <c r="H173" s="173"/>
      <c r="I173" s="172" t="str">
        <f>IFERROR(INDEX('G-7 Rivers Data'!$H$4:$L$8,MATCH(D173,'G-7 Rivers Data'!$B$4:$B$8,0),MATCH(H173,'G-7 Rivers Data'!$H$3:$L$3,0)),"")</f>
        <v/>
      </c>
      <c r="J173" s="186"/>
      <c r="K173" s="175" t="str">
        <f>IF(J173="","",IF(VLOOKUP(J173,'G-7 Rivers Data'!$AK$4:$AM$9,2,FALSE)=0,"Spatial Data Missing",VLOOKUP(J173,'G-7 Rivers Data'!$AK$4:$AM$9,2,FALSE)))</f>
        <v/>
      </c>
      <c r="L173" s="176" t="str">
        <f>IF(J173="","",IF(VLOOKUP(J173,'G-7 Rivers Data'!$AK$4:$AM$9,3,FALSE)=0,"Spatial Data Missing",VLOOKUP(J173,'G-7 Rivers Data'!$AK$4:$AM$9,3,FALSE)))</f>
        <v/>
      </c>
      <c r="M173" s="79"/>
      <c r="N173" s="172" t="str">
        <f>IF(M173="","",IF(VLOOKUP(M173,'G-7 Rivers Data'!$AA$4:$AB$7,2,FALSE)=0,"Spatial Data Missing",VLOOKUP(M173,'G-7 Rivers Data'!$AA$4:$AB$7,2,FALSE)))</f>
        <v/>
      </c>
      <c r="O173" s="187"/>
      <c r="P173" s="172" t="str">
        <f>IF(O173="","",IF(VLOOKUP(O173,'G-7 Rivers Data'!$AD$4:$AE$8,2,FALSE)=0,"Spatial Data Missing",VLOOKUP(O173,'G-7 Rivers Data'!$AD$4:$AE$8,2,FALSE)))</f>
        <v/>
      </c>
      <c r="Q173" s="177" t="str">
        <f>IF(D173="","",VLOOKUP(D173,'G-7 Rivers Data'!$B$4:$G$8,6,FALSE))</f>
        <v/>
      </c>
      <c r="R173" s="178" t="str">
        <f t="shared" si="16"/>
        <v/>
      </c>
      <c r="S173" s="44"/>
      <c r="T173" s="173"/>
      <c r="U173" s="189"/>
      <c r="V173" s="208" t="str">
        <f t="shared" si="17"/>
        <v/>
      </c>
      <c r="W173" s="208" t="str">
        <f t="shared" si="18"/>
        <v/>
      </c>
      <c r="X173" s="208" t="str">
        <f t="shared" si="19"/>
        <v/>
      </c>
      <c r="Y173" s="209" t="str">
        <f t="shared" si="20"/>
        <v/>
      </c>
      <c r="Z173" s="182"/>
      <c r="AA173" s="183"/>
      <c r="AF173" s="35" t="str">
        <f>IFERROR(INDEX('G-7 Rivers Data'!$AZ$3:$AZ$7,MATCH(D173,'G-7 Rivers Data'!$AY$3:$AY$7,0)),"")</f>
        <v/>
      </c>
      <c r="AG173" s="35">
        <f t="shared" si="21"/>
        <v>0</v>
      </c>
      <c r="AH173" s="188" t="str">
        <f t="shared" si="22"/>
        <v/>
      </c>
      <c r="AI173" s="188" t="str">
        <f t="shared" si="23"/>
        <v/>
      </c>
      <c r="AK173" s="188">
        <v>164</v>
      </c>
      <c r="AM173" s="188" t="str">
        <f t="array" ref="AM173">IFERROR(INDEX($AK$10:$AK$258, MATCH(0, IF(TRUE=$AH$10:$AH$258, COUNTIF($AM$9:$AM172, $AK$10:$AK$258), ""), 0)),"")</f>
        <v/>
      </c>
      <c r="AN173" s="188" t="str">
        <f t="array" ref="AN173">IFERROR(INDEX($AK$10:$AK$258, MATCH(0, IF(TRUE=$AI$10:$AI$258, COUNTIF($AN$9:$AN172, $AK$10:$AK$258), ""), 0)),"")</f>
        <v/>
      </c>
    </row>
    <row r="174" spans="3:40" ht="13.8" x14ac:dyDescent="0.25">
      <c r="C174" s="168">
        <v>165</v>
      </c>
      <c r="D174" s="184"/>
      <c r="E174" s="185"/>
      <c r="F174" s="171" t="str">
        <f>IF(D174="","",VLOOKUP(D174,'G-7 Rivers Data'!$B$2:$G$8,2,FALSE))</f>
        <v/>
      </c>
      <c r="G174" s="172" t="str">
        <f>IFERROR(VLOOKUP(F174,'G-7 Rivers Data'!$C$4:$D$8,2,FALSE),"")</f>
        <v/>
      </c>
      <c r="H174" s="173"/>
      <c r="I174" s="172" t="str">
        <f>IFERROR(INDEX('G-7 Rivers Data'!$H$4:$L$8,MATCH(D174,'G-7 Rivers Data'!$B$4:$B$8,0),MATCH(H174,'G-7 Rivers Data'!$H$3:$L$3,0)),"")</f>
        <v/>
      </c>
      <c r="J174" s="186"/>
      <c r="K174" s="175" t="str">
        <f>IF(J174="","",IF(VLOOKUP(J174,'G-7 Rivers Data'!$AK$4:$AM$9,2,FALSE)=0,"Spatial Data Missing",VLOOKUP(J174,'G-7 Rivers Data'!$AK$4:$AM$9,2,FALSE)))</f>
        <v/>
      </c>
      <c r="L174" s="176" t="str">
        <f>IF(J174="","",IF(VLOOKUP(J174,'G-7 Rivers Data'!$AK$4:$AM$9,3,FALSE)=0,"Spatial Data Missing",VLOOKUP(J174,'G-7 Rivers Data'!$AK$4:$AM$9,3,FALSE)))</f>
        <v/>
      </c>
      <c r="M174" s="79"/>
      <c r="N174" s="172" t="str">
        <f>IF(M174="","",IF(VLOOKUP(M174,'G-7 Rivers Data'!$AA$4:$AB$7,2,FALSE)=0,"Spatial Data Missing",VLOOKUP(M174,'G-7 Rivers Data'!$AA$4:$AB$7,2,FALSE)))</f>
        <v/>
      </c>
      <c r="O174" s="187"/>
      <c r="P174" s="172" t="str">
        <f>IF(O174="","",IF(VLOOKUP(O174,'G-7 Rivers Data'!$AD$4:$AE$8,2,FALSE)=0,"Spatial Data Missing",VLOOKUP(O174,'G-7 Rivers Data'!$AD$4:$AE$8,2,FALSE)))</f>
        <v/>
      </c>
      <c r="Q174" s="177" t="str">
        <f>IF(D174="","",VLOOKUP(D174,'G-7 Rivers Data'!$B$4:$G$8,6,FALSE))</f>
        <v/>
      </c>
      <c r="R174" s="178" t="str">
        <f t="shared" si="16"/>
        <v/>
      </c>
      <c r="S174" s="44"/>
      <c r="T174" s="173"/>
      <c r="U174" s="189"/>
      <c r="V174" s="208" t="str">
        <f t="shared" si="17"/>
        <v/>
      </c>
      <c r="W174" s="208" t="str">
        <f t="shared" si="18"/>
        <v/>
      </c>
      <c r="X174" s="208" t="str">
        <f t="shared" si="19"/>
        <v/>
      </c>
      <c r="Y174" s="209" t="str">
        <f t="shared" si="20"/>
        <v/>
      </c>
      <c r="Z174" s="182"/>
      <c r="AA174" s="183"/>
      <c r="AF174" s="35" t="str">
        <f>IFERROR(INDEX('G-7 Rivers Data'!$AZ$3:$AZ$7,MATCH(D174,'G-7 Rivers Data'!$AY$3:$AY$7,0)),"")</f>
        <v/>
      </c>
      <c r="AG174" s="35">
        <f t="shared" si="21"/>
        <v>0</v>
      </c>
      <c r="AH174" s="188" t="str">
        <f t="shared" si="22"/>
        <v/>
      </c>
      <c r="AI174" s="188" t="str">
        <f t="shared" si="23"/>
        <v/>
      </c>
      <c r="AK174" s="188">
        <v>165</v>
      </c>
      <c r="AM174" s="188" t="str">
        <f t="array" ref="AM174">IFERROR(INDEX($AK$10:$AK$258, MATCH(0, IF(TRUE=$AH$10:$AH$258, COUNTIF($AM$9:$AM173, $AK$10:$AK$258), ""), 0)),"")</f>
        <v/>
      </c>
      <c r="AN174" s="188" t="str">
        <f t="array" ref="AN174">IFERROR(INDEX($AK$10:$AK$258, MATCH(0, IF(TRUE=$AI$10:$AI$258, COUNTIF($AN$9:$AN173, $AK$10:$AK$258), ""), 0)),"")</f>
        <v/>
      </c>
    </row>
    <row r="175" spans="3:40" ht="13.8" x14ac:dyDescent="0.25">
      <c r="C175" s="168">
        <v>166</v>
      </c>
      <c r="D175" s="184"/>
      <c r="E175" s="185"/>
      <c r="F175" s="171" t="str">
        <f>IF(D175="","",VLOOKUP(D175,'G-7 Rivers Data'!$B$2:$G$8,2,FALSE))</f>
        <v/>
      </c>
      <c r="G175" s="172" t="str">
        <f>IFERROR(VLOOKUP(F175,'G-7 Rivers Data'!$C$4:$D$8,2,FALSE),"")</f>
        <v/>
      </c>
      <c r="H175" s="173"/>
      <c r="I175" s="172" t="str">
        <f>IFERROR(INDEX('G-7 Rivers Data'!$H$4:$L$8,MATCH(D175,'G-7 Rivers Data'!$B$4:$B$8,0),MATCH(H175,'G-7 Rivers Data'!$H$3:$L$3,0)),"")</f>
        <v/>
      </c>
      <c r="J175" s="186"/>
      <c r="K175" s="175" t="str">
        <f>IF(J175="","",IF(VLOOKUP(J175,'G-7 Rivers Data'!$AK$4:$AM$9,2,FALSE)=0,"Spatial Data Missing",VLOOKUP(J175,'G-7 Rivers Data'!$AK$4:$AM$9,2,FALSE)))</f>
        <v/>
      </c>
      <c r="L175" s="176" t="str">
        <f>IF(J175="","",IF(VLOOKUP(J175,'G-7 Rivers Data'!$AK$4:$AM$9,3,FALSE)=0,"Spatial Data Missing",VLOOKUP(J175,'G-7 Rivers Data'!$AK$4:$AM$9,3,FALSE)))</f>
        <v/>
      </c>
      <c r="M175" s="79"/>
      <c r="N175" s="172" t="str">
        <f>IF(M175="","",IF(VLOOKUP(M175,'G-7 Rivers Data'!$AA$4:$AB$7,2,FALSE)=0,"Spatial Data Missing",VLOOKUP(M175,'G-7 Rivers Data'!$AA$4:$AB$7,2,FALSE)))</f>
        <v/>
      </c>
      <c r="O175" s="187"/>
      <c r="P175" s="172" t="str">
        <f>IF(O175="","",IF(VLOOKUP(O175,'G-7 Rivers Data'!$AD$4:$AE$8,2,FALSE)=0,"Spatial Data Missing",VLOOKUP(O175,'G-7 Rivers Data'!$AD$4:$AE$8,2,FALSE)))</f>
        <v/>
      </c>
      <c r="Q175" s="177" t="str">
        <f>IF(D175="","",VLOOKUP(D175,'G-7 Rivers Data'!$B$4:$G$8,6,FALSE))</f>
        <v/>
      </c>
      <c r="R175" s="178" t="str">
        <f t="shared" si="16"/>
        <v/>
      </c>
      <c r="S175" s="44"/>
      <c r="T175" s="173"/>
      <c r="U175" s="189"/>
      <c r="V175" s="208" t="str">
        <f t="shared" si="17"/>
        <v/>
      </c>
      <c r="W175" s="208" t="str">
        <f t="shared" si="18"/>
        <v/>
      </c>
      <c r="X175" s="208" t="str">
        <f t="shared" si="19"/>
        <v/>
      </c>
      <c r="Y175" s="209" t="str">
        <f t="shared" si="20"/>
        <v/>
      </c>
      <c r="Z175" s="182"/>
      <c r="AA175" s="183"/>
      <c r="AF175" s="35" t="str">
        <f>IFERROR(INDEX('G-7 Rivers Data'!$AZ$3:$AZ$7,MATCH(D175,'G-7 Rivers Data'!$AY$3:$AY$7,0)),"")</f>
        <v/>
      </c>
      <c r="AG175" s="35">
        <f t="shared" si="21"/>
        <v>0</v>
      </c>
      <c r="AH175" s="188" t="str">
        <f t="shared" si="22"/>
        <v/>
      </c>
      <c r="AI175" s="188" t="str">
        <f t="shared" si="23"/>
        <v/>
      </c>
      <c r="AK175" s="188">
        <v>166</v>
      </c>
      <c r="AM175" s="188" t="str">
        <f t="array" ref="AM175">IFERROR(INDEX($AK$10:$AK$258, MATCH(0, IF(TRUE=$AH$10:$AH$258, COUNTIF($AM$9:$AM174, $AK$10:$AK$258), ""), 0)),"")</f>
        <v/>
      </c>
      <c r="AN175" s="188" t="str">
        <f t="array" ref="AN175">IFERROR(INDEX($AK$10:$AK$258, MATCH(0, IF(TRUE=$AI$10:$AI$258, COUNTIF($AN$9:$AN174, $AK$10:$AK$258), ""), 0)),"")</f>
        <v/>
      </c>
    </row>
    <row r="176" spans="3:40" ht="13.8" x14ac:dyDescent="0.25">
      <c r="C176" s="168">
        <v>167</v>
      </c>
      <c r="D176" s="184"/>
      <c r="E176" s="185"/>
      <c r="F176" s="171" t="str">
        <f>IF(D176="","",VLOOKUP(D176,'G-7 Rivers Data'!$B$2:$G$8,2,FALSE))</f>
        <v/>
      </c>
      <c r="G176" s="172" t="str">
        <f>IFERROR(VLOOKUP(F176,'G-7 Rivers Data'!$C$4:$D$8,2,FALSE),"")</f>
        <v/>
      </c>
      <c r="H176" s="173"/>
      <c r="I176" s="172" t="str">
        <f>IFERROR(INDEX('G-7 Rivers Data'!$H$4:$L$8,MATCH(D176,'G-7 Rivers Data'!$B$4:$B$8,0),MATCH(H176,'G-7 Rivers Data'!$H$3:$L$3,0)),"")</f>
        <v/>
      </c>
      <c r="J176" s="186"/>
      <c r="K176" s="175" t="str">
        <f>IF(J176="","",IF(VLOOKUP(J176,'G-7 Rivers Data'!$AK$4:$AM$9,2,FALSE)=0,"Spatial Data Missing",VLOOKUP(J176,'G-7 Rivers Data'!$AK$4:$AM$9,2,FALSE)))</f>
        <v/>
      </c>
      <c r="L176" s="176" t="str">
        <f>IF(J176="","",IF(VLOOKUP(J176,'G-7 Rivers Data'!$AK$4:$AM$9,3,FALSE)=0,"Spatial Data Missing",VLOOKUP(J176,'G-7 Rivers Data'!$AK$4:$AM$9,3,FALSE)))</f>
        <v/>
      </c>
      <c r="M176" s="79"/>
      <c r="N176" s="172" t="str">
        <f>IF(M176="","",IF(VLOOKUP(M176,'G-7 Rivers Data'!$AA$4:$AB$7,2,FALSE)=0,"Spatial Data Missing",VLOOKUP(M176,'G-7 Rivers Data'!$AA$4:$AB$7,2,FALSE)))</f>
        <v/>
      </c>
      <c r="O176" s="187"/>
      <c r="P176" s="172" t="str">
        <f>IF(O176="","",IF(VLOOKUP(O176,'G-7 Rivers Data'!$AD$4:$AE$8,2,FALSE)=0,"Spatial Data Missing",VLOOKUP(O176,'G-7 Rivers Data'!$AD$4:$AE$8,2,FALSE)))</f>
        <v/>
      </c>
      <c r="Q176" s="177" t="str">
        <f>IF(D176="","",VLOOKUP(D176,'G-7 Rivers Data'!$B$4:$G$8,6,FALSE))</f>
        <v/>
      </c>
      <c r="R176" s="178" t="str">
        <f t="shared" si="16"/>
        <v/>
      </c>
      <c r="S176" s="44"/>
      <c r="T176" s="173"/>
      <c r="U176" s="189"/>
      <c r="V176" s="208" t="str">
        <f t="shared" si="17"/>
        <v/>
      </c>
      <c r="W176" s="208" t="str">
        <f t="shared" si="18"/>
        <v/>
      </c>
      <c r="X176" s="208" t="str">
        <f t="shared" si="19"/>
        <v/>
      </c>
      <c r="Y176" s="209" t="str">
        <f t="shared" si="20"/>
        <v/>
      </c>
      <c r="Z176" s="182"/>
      <c r="AA176" s="183"/>
      <c r="AF176" s="35" t="str">
        <f>IFERROR(INDEX('G-7 Rivers Data'!$AZ$3:$AZ$7,MATCH(D176,'G-7 Rivers Data'!$AY$3:$AY$7,0)),"")</f>
        <v/>
      </c>
      <c r="AG176" s="35">
        <f t="shared" si="21"/>
        <v>0</v>
      </c>
      <c r="AH176" s="188" t="str">
        <f t="shared" si="22"/>
        <v/>
      </c>
      <c r="AI176" s="188" t="str">
        <f t="shared" si="23"/>
        <v/>
      </c>
      <c r="AK176" s="188">
        <v>167</v>
      </c>
      <c r="AM176" s="188" t="str">
        <f t="array" ref="AM176">IFERROR(INDEX($AK$10:$AK$258, MATCH(0, IF(TRUE=$AH$10:$AH$258, COUNTIF($AM$9:$AM175, $AK$10:$AK$258), ""), 0)),"")</f>
        <v/>
      </c>
      <c r="AN176" s="188" t="str">
        <f t="array" ref="AN176">IFERROR(INDEX($AK$10:$AK$258, MATCH(0, IF(TRUE=$AI$10:$AI$258, COUNTIF($AN$9:$AN175, $AK$10:$AK$258), ""), 0)),"")</f>
        <v/>
      </c>
    </row>
    <row r="177" spans="3:40" ht="13.8" x14ac:dyDescent="0.25">
      <c r="C177" s="168">
        <v>168</v>
      </c>
      <c r="D177" s="184"/>
      <c r="E177" s="185"/>
      <c r="F177" s="171" t="str">
        <f>IF(D177="","",VLOOKUP(D177,'G-7 Rivers Data'!$B$2:$G$8,2,FALSE))</f>
        <v/>
      </c>
      <c r="G177" s="172" t="str">
        <f>IFERROR(VLOOKUP(F177,'G-7 Rivers Data'!$C$4:$D$8,2,FALSE),"")</f>
        <v/>
      </c>
      <c r="H177" s="173"/>
      <c r="I177" s="172" t="str">
        <f>IFERROR(INDEX('G-7 Rivers Data'!$H$4:$L$8,MATCH(D177,'G-7 Rivers Data'!$B$4:$B$8,0),MATCH(H177,'G-7 Rivers Data'!$H$3:$L$3,0)),"")</f>
        <v/>
      </c>
      <c r="J177" s="186"/>
      <c r="K177" s="175" t="str">
        <f>IF(J177="","",IF(VLOOKUP(J177,'G-7 Rivers Data'!$AK$4:$AM$9,2,FALSE)=0,"Spatial Data Missing",VLOOKUP(J177,'G-7 Rivers Data'!$AK$4:$AM$9,2,FALSE)))</f>
        <v/>
      </c>
      <c r="L177" s="176" t="str">
        <f>IF(J177="","",IF(VLOOKUP(J177,'G-7 Rivers Data'!$AK$4:$AM$9,3,FALSE)=0,"Spatial Data Missing",VLOOKUP(J177,'G-7 Rivers Data'!$AK$4:$AM$9,3,FALSE)))</f>
        <v/>
      </c>
      <c r="M177" s="79"/>
      <c r="N177" s="172" t="str">
        <f>IF(M177="","",IF(VLOOKUP(M177,'G-7 Rivers Data'!$AA$4:$AB$7,2,FALSE)=0,"Spatial Data Missing",VLOOKUP(M177,'G-7 Rivers Data'!$AA$4:$AB$7,2,FALSE)))</f>
        <v/>
      </c>
      <c r="O177" s="187"/>
      <c r="P177" s="172" t="str">
        <f>IF(O177="","",IF(VLOOKUP(O177,'G-7 Rivers Data'!$AD$4:$AE$8,2,FALSE)=0,"Spatial Data Missing",VLOOKUP(O177,'G-7 Rivers Data'!$AD$4:$AE$8,2,FALSE)))</f>
        <v/>
      </c>
      <c r="Q177" s="177" t="str">
        <f>IF(D177="","",VLOOKUP(D177,'G-7 Rivers Data'!$B$4:$G$8,6,FALSE))</f>
        <v/>
      </c>
      <c r="R177" s="178" t="str">
        <f t="shared" si="16"/>
        <v/>
      </c>
      <c r="S177" s="44"/>
      <c r="T177" s="173"/>
      <c r="U177" s="189"/>
      <c r="V177" s="208" t="str">
        <f t="shared" si="17"/>
        <v/>
      </c>
      <c r="W177" s="208" t="str">
        <f t="shared" si="18"/>
        <v/>
      </c>
      <c r="X177" s="208" t="str">
        <f t="shared" si="19"/>
        <v/>
      </c>
      <c r="Y177" s="209" t="str">
        <f t="shared" si="20"/>
        <v/>
      </c>
      <c r="Z177" s="182"/>
      <c r="AA177" s="183"/>
      <c r="AF177" s="35" t="str">
        <f>IFERROR(INDEX('G-7 Rivers Data'!$AZ$3:$AZ$7,MATCH(D177,'G-7 Rivers Data'!$AY$3:$AY$7,0)),"")</f>
        <v/>
      </c>
      <c r="AG177" s="35">
        <f t="shared" si="21"/>
        <v>0</v>
      </c>
      <c r="AH177" s="188" t="str">
        <f t="shared" si="22"/>
        <v/>
      </c>
      <c r="AI177" s="188" t="str">
        <f t="shared" si="23"/>
        <v/>
      </c>
      <c r="AK177" s="188">
        <v>168</v>
      </c>
      <c r="AM177" s="188" t="str">
        <f t="array" ref="AM177">IFERROR(INDEX($AK$10:$AK$258, MATCH(0, IF(TRUE=$AH$10:$AH$258, COUNTIF($AM$9:$AM176, $AK$10:$AK$258), ""), 0)),"")</f>
        <v/>
      </c>
      <c r="AN177" s="188" t="str">
        <f t="array" ref="AN177">IFERROR(INDEX($AK$10:$AK$258, MATCH(0, IF(TRUE=$AI$10:$AI$258, COUNTIF($AN$9:$AN176, $AK$10:$AK$258), ""), 0)),"")</f>
        <v/>
      </c>
    </row>
    <row r="178" spans="3:40" ht="13.8" x14ac:dyDescent="0.25">
      <c r="C178" s="168">
        <v>169</v>
      </c>
      <c r="D178" s="184"/>
      <c r="E178" s="185"/>
      <c r="F178" s="171" t="str">
        <f>IF(D178="","",VLOOKUP(D178,'G-7 Rivers Data'!$B$2:$G$8,2,FALSE))</f>
        <v/>
      </c>
      <c r="G178" s="172" t="str">
        <f>IFERROR(VLOOKUP(F178,'G-7 Rivers Data'!$C$4:$D$8,2,FALSE),"")</f>
        <v/>
      </c>
      <c r="H178" s="173"/>
      <c r="I178" s="172" t="str">
        <f>IFERROR(INDEX('G-7 Rivers Data'!$H$4:$L$8,MATCH(D178,'G-7 Rivers Data'!$B$4:$B$8,0),MATCH(H178,'G-7 Rivers Data'!$H$3:$L$3,0)),"")</f>
        <v/>
      </c>
      <c r="J178" s="186"/>
      <c r="K178" s="175" t="str">
        <f>IF(J178="","",IF(VLOOKUP(J178,'G-7 Rivers Data'!$AK$4:$AM$9,2,FALSE)=0,"Spatial Data Missing",VLOOKUP(J178,'G-7 Rivers Data'!$AK$4:$AM$9,2,FALSE)))</f>
        <v/>
      </c>
      <c r="L178" s="176" t="str">
        <f>IF(J178="","",IF(VLOOKUP(J178,'G-7 Rivers Data'!$AK$4:$AM$9,3,FALSE)=0,"Spatial Data Missing",VLOOKUP(J178,'G-7 Rivers Data'!$AK$4:$AM$9,3,FALSE)))</f>
        <v/>
      </c>
      <c r="M178" s="79"/>
      <c r="N178" s="172" t="str">
        <f>IF(M178="","",IF(VLOOKUP(M178,'G-7 Rivers Data'!$AA$4:$AB$7,2,FALSE)=0,"Spatial Data Missing",VLOOKUP(M178,'G-7 Rivers Data'!$AA$4:$AB$7,2,FALSE)))</f>
        <v/>
      </c>
      <c r="O178" s="187"/>
      <c r="P178" s="172" t="str">
        <f>IF(O178="","",IF(VLOOKUP(O178,'G-7 Rivers Data'!$AD$4:$AE$8,2,FALSE)=0,"Spatial Data Missing",VLOOKUP(O178,'G-7 Rivers Data'!$AD$4:$AE$8,2,FALSE)))</f>
        <v/>
      </c>
      <c r="Q178" s="177" t="str">
        <f>IF(D178="","",VLOOKUP(D178,'G-7 Rivers Data'!$B$4:$G$8,6,FALSE))</f>
        <v/>
      </c>
      <c r="R178" s="178" t="str">
        <f t="shared" si="16"/>
        <v/>
      </c>
      <c r="S178" s="44"/>
      <c r="T178" s="173"/>
      <c r="U178" s="189"/>
      <c r="V178" s="208" t="str">
        <f t="shared" si="17"/>
        <v/>
      </c>
      <c r="W178" s="208" t="str">
        <f t="shared" si="18"/>
        <v/>
      </c>
      <c r="X178" s="208" t="str">
        <f t="shared" si="19"/>
        <v/>
      </c>
      <c r="Y178" s="209" t="str">
        <f t="shared" si="20"/>
        <v/>
      </c>
      <c r="Z178" s="182"/>
      <c r="AA178" s="183"/>
      <c r="AF178" s="35" t="str">
        <f>IFERROR(INDEX('G-7 Rivers Data'!$AZ$3:$AZ$7,MATCH(D178,'G-7 Rivers Data'!$AY$3:$AY$7,0)),"")</f>
        <v/>
      </c>
      <c r="AG178" s="35">
        <f t="shared" si="21"/>
        <v>0</v>
      </c>
      <c r="AH178" s="188" t="str">
        <f t="shared" si="22"/>
        <v/>
      </c>
      <c r="AI178" s="188" t="str">
        <f t="shared" si="23"/>
        <v/>
      </c>
      <c r="AK178" s="188">
        <v>169</v>
      </c>
      <c r="AM178" s="188" t="str">
        <f t="array" ref="AM178">IFERROR(INDEX($AK$10:$AK$258, MATCH(0, IF(TRUE=$AH$10:$AH$258, COUNTIF($AM$9:$AM177, $AK$10:$AK$258), ""), 0)),"")</f>
        <v/>
      </c>
      <c r="AN178" s="188" t="str">
        <f t="array" ref="AN178">IFERROR(INDEX($AK$10:$AK$258, MATCH(0, IF(TRUE=$AI$10:$AI$258, COUNTIF($AN$9:$AN177, $AK$10:$AK$258), ""), 0)),"")</f>
        <v/>
      </c>
    </row>
    <row r="179" spans="3:40" ht="13.8" x14ac:dyDescent="0.25">
      <c r="C179" s="168">
        <v>170</v>
      </c>
      <c r="D179" s="184"/>
      <c r="E179" s="185"/>
      <c r="F179" s="171" t="str">
        <f>IF(D179="","",VLOOKUP(D179,'G-7 Rivers Data'!$B$2:$G$8,2,FALSE))</f>
        <v/>
      </c>
      <c r="G179" s="172" t="str">
        <f>IFERROR(VLOOKUP(F179,'G-7 Rivers Data'!$C$4:$D$8,2,FALSE),"")</f>
        <v/>
      </c>
      <c r="H179" s="173"/>
      <c r="I179" s="172" t="str">
        <f>IFERROR(INDEX('G-7 Rivers Data'!$H$4:$L$8,MATCH(D179,'G-7 Rivers Data'!$B$4:$B$8,0),MATCH(H179,'G-7 Rivers Data'!$H$3:$L$3,0)),"")</f>
        <v/>
      </c>
      <c r="J179" s="186"/>
      <c r="K179" s="175" t="str">
        <f>IF(J179="","",IF(VLOOKUP(J179,'G-7 Rivers Data'!$AK$4:$AM$9,2,FALSE)=0,"Spatial Data Missing",VLOOKUP(J179,'G-7 Rivers Data'!$AK$4:$AM$9,2,FALSE)))</f>
        <v/>
      </c>
      <c r="L179" s="176" t="str">
        <f>IF(J179="","",IF(VLOOKUP(J179,'G-7 Rivers Data'!$AK$4:$AM$9,3,FALSE)=0,"Spatial Data Missing",VLOOKUP(J179,'G-7 Rivers Data'!$AK$4:$AM$9,3,FALSE)))</f>
        <v/>
      </c>
      <c r="M179" s="79"/>
      <c r="N179" s="172" t="str">
        <f>IF(M179="","",IF(VLOOKUP(M179,'G-7 Rivers Data'!$AA$4:$AB$7,2,FALSE)=0,"Spatial Data Missing",VLOOKUP(M179,'G-7 Rivers Data'!$AA$4:$AB$7,2,FALSE)))</f>
        <v/>
      </c>
      <c r="O179" s="187"/>
      <c r="P179" s="172" t="str">
        <f>IF(O179="","",IF(VLOOKUP(O179,'G-7 Rivers Data'!$AD$4:$AE$8,2,FALSE)=0,"Spatial Data Missing",VLOOKUP(O179,'G-7 Rivers Data'!$AD$4:$AE$8,2,FALSE)))</f>
        <v/>
      </c>
      <c r="Q179" s="177" t="str">
        <f>IF(D179="","",VLOOKUP(D179,'G-7 Rivers Data'!$B$4:$G$8,6,FALSE))</f>
        <v/>
      </c>
      <c r="R179" s="178" t="str">
        <f t="shared" si="16"/>
        <v/>
      </c>
      <c r="S179" s="44"/>
      <c r="T179" s="173"/>
      <c r="U179" s="189"/>
      <c r="V179" s="208" t="str">
        <f t="shared" si="17"/>
        <v/>
      </c>
      <c r="W179" s="208" t="str">
        <f t="shared" si="18"/>
        <v/>
      </c>
      <c r="X179" s="208" t="str">
        <f t="shared" si="19"/>
        <v/>
      </c>
      <c r="Y179" s="209" t="str">
        <f t="shared" si="20"/>
        <v/>
      </c>
      <c r="Z179" s="182"/>
      <c r="AA179" s="183"/>
      <c r="AF179" s="35" t="str">
        <f>IFERROR(INDEX('G-7 Rivers Data'!$AZ$3:$AZ$7,MATCH(D179,'G-7 Rivers Data'!$AY$3:$AY$7,0)),"")</f>
        <v/>
      </c>
      <c r="AG179" s="35">
        <f t="shared" si="21"/>
        <v>0</v>
      </c>
      <c r="AH179" s="188" t="str">
        <f t="shared" si="22"/>
        <v/>
      </c>
      <c r="AI179" s="188" t="str">
        <f t="shared" si="23"/>
        <v/>
      </c>
      <c r="AK179" s="188">
        <v>170</v>
      </c>
      <c r="AM179" s="188" t="str">
        <f t="array" ref="AM179">IFERROR(INDEX($AK$10:$AK$258, MATCH(0, IF(TRUE=$AH$10:$AH$258, COUNTIF($AM$9:$AM178, $AK$10:$AK$258), ""), 0)),"")</f>
        <v/>
      </c>
      <c r="AN179" s="188" t="str">
        <f t="array" ref="AN179">IFERROR(INDEX($AK$10:$AK$258, MATCH(0, IF(TRUE=$AI$10:$AI$258, COUNTIF($AN$9:$AN178, $AK$10:$AK$258), ""), 0)),"")</f>
        <v/>
      </c>
    </row>
    <row r="180" spans="3:40" ht="13.8" x14ac:dyDescent="0.25">
      <c r="C180" s="168">
        <v>171</v>
      </c>
      <c r="D180" s="184"/>
      <c r="E180" s="185"/>
      <c r="F180" s="171" t="str">
        <f>IF(D180="","",VLOOKUP(D180,'G-7 Rivers Data'!$B$2:$G$8,2,FALSE))</f>
        <v/>
      </c>
      <c r="G180" s="172" t="str">
        <f>IFERROR(VLOOKUP(F180,'G-7 Rivers Data'!$C$4:$D$8,2,FALSE),"")</f>
        <v/>
      </c>
      <c r="H180" s="173"/>
      <c r="I180" s="172" t="str">
        <f>IFERROR(INDEX('G-7 Rivers Data'!$H$4:$L$8,MATCH(D180,'G-7 Rivers Data'!$B$4:$B$8,0),MATCH(H180,'G-7 Rivers Data'!$H$3:$L$3,0)),"")</f>
        <v/>
      </c>
      <c r="J180" s="186"/>
      <c r="K180" s="175" t="str">
        <f>IF(J180="","",IF(VLOOKUP(J180,'G-7 Rivers Data'!$AK$4:$AM$9,2,FALSE)=0,"Spatial Data Missing",VLOOKUP(J180,'G-7 Rivers Data'!$AK$4:$AM$9,2,FALSE)))</f>
        <v/>
      </c>
      <c r="L180" s="176" t="str">
        <f>IF(J180="","",IF(VLOOKUP(J180,'G-7 Rivers Data'!$AK$4:$AM$9,3,FALSE)=0,"Spatial Data Missing",VLOOKUP(J180,'G-7 Rivers Data'!$AK$4:$AM$9,3,FALSE)))</f>
        <v/>
      </c>
      <c r="M180" s="79"/>
      <c r="N180" s="172" t="str">
        <f>IF(M180="","",IF(VLOOKUP(M180,'G-7 Rivers Data'!$AA$4:$AB$7,2,FALSE)=0,"Spatial Data Missing",VLOOKUP(M180,'G-7 Rivers Data'!$AA$4:$AB$7,2,FALSE)))</f>
        <v/>
      </c>
      <c r="O180" s="187"/>
      <c r="P180" s="172" t="str">
        <f>IF(O180="","",IF(VLOOKUP(O180,'G-7 Rivers Data'!$AD$4:$AE$8,2,FALSE)=0,"Spatial Data Missing",VLOOKUP(O180,'G-7 Rivers Data'!$AD$4:$AE$8,2,FALSE)))</f>
        <v/>
      </c>
      <c r="Q180" s="177" t="str">
        <f>IF(D180="","",VLOOKUP(D180,'G-7 Rivers Data'!$B$4:$G$8,6,FALSE))</f>
        <v/>
      </c>
      <c r="R180" s="178" t="str">
        <f t="shared" si="16"/>
        <v/>
      </c>
      <c r="S180" s="44"/>
      <c r="T180" s="173"/>
      <c r="U180" s="189"/>
      <c r="V180" s="208" t="str">
        <f t="shared" si="17"/>
        <v/>
      </c>
      <c r="W180" s="208" t="str">
        <f t="shared" si="18"/>
        <v/>
      </c>
      <c r="X180" s="208" t="str">
        <f t="shared" si="19"/>
        <v/>
      </c>
      <c r="Y180" s="209" t="str">
        <f t="shared" si="20"/>
        <v/>
      </c>
      <c r="Z180" s="182"/>
      <c r="AA180" s="183"/>
      <c r="AF180" s="35" t="str">
        <f>IFERROR(INDEX('G-7 Rivers Data'!$AZ$3:$AZ$7,MATCH(D180,'G-7 Rivers Data'!$AY$3:$AY$7,0)),"")</f>
        <v/>
      </c>
      <c r="AG180" s="35">
        <f t="shared" si="21"/>
        <v>0</v>
      </c>
      <c r="AH180" s="188" t="str">
        <f t="shared" si="22"/>
        <v/>
      </c>
      <c r="AI180" s="188" t="str">
        <f t="shared" si="23"/>
        <v/>
      </c>
      <c r="AK180" s="188">
        <v>171</v>
      </c>
      <c r="AM180" s="188" t="str">
        <f t="array" ref="AM180">IFERROR(INDEX($AK$10:$AK$258, MATCH(0, IF(TRUE=$AH$10:$AH$258, COUNTIF($AM$9:$AM179, $AK$10:$AK$258), ""), 0)),"")</f>
        <v/>
      </c>
      <c r="AN180" s="188" t="str">
        <f t="array" ref="AN180">IFERROR(INDEX($AK$10:$AK$258, MATCH(0, IF(TRUE=$AI$10:$AI$258, COUNTIF($AN$9:$AN179, $AK$10:$AK$258), ""), 0)),"")</f>
        <v/>
      </c>
    </row>
    <row r="181" spans="3:40" ht="13.8" x14ac:dyDescent="0.25">
      <c r="C181" s="168">
        <v>172</v>
      </c>
      <c r="D181" s="184"/>
      <c r="E181" s="185"/>
      <c r="F181" s="171" t="str">
        <f>IF(D181="","",VLOOKUP(D181,'G-7 Rivers Data'!$B$2:$G$8,2,FALSE))</f>
        <v/>
      </c>
      <c r="G181" s="172" t="str">
        <f>IFERROR(VLOOKUP(F181,'G-7 Rivers Data'!$C$4:$D$8,2,FALSE),"")</f>
        <v/>
      </c>
      <c r="H181" s="173"/>
      <c r="I181" s="172" t="str">
        <f>IFERROR(INDEX('G-7 Rivers Data'!$H$4:$L$8,MATCH(D181,'G-7 Rivers Data'!$B$4:$B$8,0),MATCH(H181,'G-7 Rivers Data'!$H$3:$L$3,0)),"")</f>
        <v/>
      </c>
      <c r="J181" s="186"/>
      <c r="K181" s="175" t="str">
        <f>IF(J181="","",IF(VLOOKUP(J181,'G-7 Rivers Data'!$AK$4:$AM$9,2,FALSE)=0,"Spatial Data Missing",VLOOKUP(J181,'G-7 Rivers Data'!$AK$4:$AM$9,2,FALSE)))</f>
        <v/>
      </c>
      <c r="L181" s="176" t="str">
        <f>IF(J181="","",IF(VLOOKUP(J181,'G-7 Rivers Data'!$AK$4:$AM$9,3,FALSE)=0,"Spatial Data Missing",VLOOKUP(J181,'G-7 Rivers Data'!$AK$4:$AM$9,3,FALSE)))</f>
        <v/>
      </c>
      <c r="M181" s="79"/>
      <c r="N181" s="172" t="str">
        <f>IF(M181="","",IF(VLOOKUP(M181,'G-7 Rivers Data'!$AA$4:$AB$7,2,FALSE)=0,"Spatial Data Missing",VLOOKUP(M181,'G-7 Rivers Data'!$AA$4:$AB$7,2,FALSE)))</f>
        <v/>
      </c>
      <c r="O181" s="187"/>
      <c r="P181" s="172" t="str">
        <f>IF(O181="","",IF(VLOOKUP(O181,'G-7 Rivers Data'!$AD$4:$AE$8,2,FALSE)=0,"Spatial Data Missing",VLOOKUP(O181,'G-7 Rivers Data'!$AD$4:$AE$8,2,FALSE)))</f>
        <v/>
      </c>
      <c r="Q181" s="177" t="str">
        <f>IF(D181="","",VLOOKUP(D181,'G-7 Rivers Data'!$B$4:$G$8,6,FALSE))</f>
        <v/>
      </c>
      <c r="R181" s="178" t="str">
        <f t="shared" si="16"/>
        <v/>
      </c>
      <c r="S181" s="44"/>
      <c r="T181" s="173"/>
      <c r="U181" s="189"/>
      <c r="V181" s="208" t="str">
        <f t="shared" si="17"/>
        <v/>
      </c>
      <c r="W181" s="208" t="str">
        <f t="shared" si="18"/>
        <v/>
      </c>
      <c r="X181" s="208" t="str">
        <f t="shared" si="19"/>
        <v/>
      </c>
      <c r="Y181" s="209" t="str">
        <f t="shared" si="20"/>
        <v/>
      </c>
      <c r="Z181" s="182"/>
      <c r="AA181" s="183"/>
      <c r="AF181" s="35" t="str">
        <f>IFERROR(INDEX('G-7 Rivers Data'!$AZ$3:$AZ$7,MATCH(D181,'G-7 Rivers Data'!$AY$3:$AY$7,0)),"")</f>
        <v/>
      </c>
      <c r="AG181" s="35">
        <f t="shared" si="21"/>
        <v>0</v>
      </c>
      <c r="AH181" s="188" t="str">
        <f t="shared" si="22"/>
        <v/>
      </c>
      <c r="AI181" s="188" t="str">
        <f t="shared" si="23"/>
        <v/>
      </c>
      <c r="AK181" s="188">
        <v>172</v>
      </c>
      <c r="AM181" s="188" t="str">
        <f t="array" ref="AM181">IFERROR(INDEX($AK$10:$AK$258, MATCH(0, IF(TRUE=$AH$10:$AH$258, COUNTIF($AM$9:$AM180, $AK$10:$AK$258), ""), 0)),"")</f>
        <v/>
      </c>
      <c r="AN181" s="188" t="str">
        <f t="array" ref="AN181">IFERROR(INDEX($AK$10:$AK$258, MATCH(0, IF(TRUE=$AI$10:$AI$258, COUNTIF($AN$9:$AN180, $AK$10:$AK$258), ""), 0)),"")</f>
        <v/>
      </c>
    </row>
    <row r="182" spans="3:40" ht="13.8" x14ac:dyDescent="0.25">
      <c r="C182" s="168">
        <v>173</v>
      </c>
      <c r="D182" s="184"/>
      <c r="E182" s="185"/>
      <c r="F182" s="171" t="str">
        <f>IF(D182="","",VLOOKUP(D182,'G-7 Rivers Data'!$B$2:$G$8,2,FALSE))</f>
        <v/>
      </c>
      <c r="G182" s="172" t="str">
        <f>IFERROR(VLOOKUP(F182,'G-7 Rivers Data'!$C$4:$D$8,2,FALSE),"")</f>
        <v/>
      </c>
      <c r="H182" s="173"/>
      <c r="I182" s="172" t="str">
        <f>IFERROR(INDEX('G-7 Rivers Data'!$H$4:$L$8,MATCH(D182,'G-7 Rivers Data'!$B$4:$B$8,0),MATCH(H182,'G-7 Rivers Data'!$H$3:$L$3,0)),"")</f>
        <v/>
      </c>
      <c r="J182" s="186"/>
      <c r="K182" s="175" t="str">
        <f>IF(J182="","",IF(VLOOKUP(J182,'G-7 Rivers Data'!$AK$4:$AM$9,2,FALSE)=0,"Spatial Data Missing",VLOOKUP(J182,'G-7 Rivers Data'!$AK$4:$AM$9,2,FALSE)))</f>
        <v/>
      </c>
      <c r="L182" s="176" t="str">
        <f>IF(J182="","",IF(VLOOKUP(J182,'G-7 Rivers Data'!$AK$4:$AM$9,3,FALSE)=0,"Spatial Data Missing",VLOOKUP(J182,'G-7 Rivers Data'!$AK$4:$AM$9,3,FALSE)))</f>
        <v/>
      </c>
      <c r="M182" s="79"/>
      <c r="N182" s="172" t="str">
        <f>IF(M182="","",IF(VLOOKUP(M182,'G-7 Rivers Data'!$AA$4:$AB$7,2,FALSE)=0,"Spatial Data Missing",VLOOKUP(M182,'G-7 Rivers Data'!$AA$4:$AB$7,2,FALSE)))</f>
        <v/>
      </c>
      <c r="O182" s="187"/>
      <c r="P182" s="172" t="str">
        <f>IF(O182="","",IF(VLOOKUP(O182,'G-7 Rivers Data'!$AD$4:$AE$8,2,FALSE)=0,"Spatial Data Missing",VLOOKUP(O182,'G-7 Rivers Data'!$AD$4:$AE$8,2,FALSE)))</f>
        <v/>
      </c>
      <c r="Q182" s="177" t="str">
        <f>IF(D182="","",VLOOKUP(D182,'G-7 Rivers Data'!$B$4:$G$8,6,FALSE))</f>
        <v/>
      </c>
      <c r="R182" s="178" t="str">
        <f t="shared" si="16"/>
        <v/>
      </c>
      <c r="S182" s="44"/>
      <c r="T182" s="173"/>
      <c r="U182" s="189"/>
      <c r="V182" s="208" t="str">
        <f t="shared" si="17"/>
        <v/>
      </c>
      <c r="W182" s="208" t="str">
        <f t="shared" si="18"/>
        <v/>
      </c>
      <c r="X182" s="208" t="str">
        <f t="shared" si="19"/>
        <v/>
      </c>
      <c r="Y182" s="209" t="str">
        <f t="shared" si="20"/>
        <v/>
      </c>
      <c r="Z182" s="182"/>
      <c r="AA182" s="183"/>
      <c r="AF182" s="35" t="str">
        <f>IFERROR(INDEX('G-7 Rivers Data'!$AZ$3:$AZ$7,MATCH(D182,'G-7 Rivers Data'!$AY$3:$AY$7,0)),"")</f>
        <v/>
      </c>
      <c r="AG182" s="35">
        <f t="shared" si="21"/>
        <v>0</v>
      </c>
      <c r="AH182" s="188" t="str">
        <f t="shared" si="22"/>
        <v/>
      </c>
      <c r="AI182" s="188" t="str">
        <f t="shared" si="23"/>
        <v/>
      </c>
      <c r="AK182" s="188">
        <v>173</v>
      </c>
      <c r="AM182" s="188" t="str">
        <f t="array" ref="AM182">IFERROR(INDEX($AK$10:$AK$258, MATCH(0, IF(TRUE=$AH$10:$AH$258, COUNTIF($AM$9:$AM181, $AK$10:$AK$258), ""), 0)),"")</f>
        <v/>
      </c>
      <c r="AN182" s="188" t="str">
        <f t="array" ref="AN182">IFERROR(INDEX($AK$10:$AK$258, MATCH(0, IF(TRUE=$AI$10:$AI$258, COUNTIF($AN$9:$AN181, $AK$10:$AK$258), ""), 0)),"")</f>
        <v/>
      </c>
    </row>
    <row r="183" spans="3:40" ht="13.8" x14ac:dyDescent="0.25">
      <c r="C183" s="168">
        <v>174</v>
      </c>
      <c r="D183" s="184"/>
      <c r="E183" s="185"/>
      <c r="F183" s="171" t="str">
        <f>IF(D183="","",VLOOKUP(D183,'G-7 Rivers Data'!$B$2:$G$8,2,FALSE))</f>
        <v/>
      </c>
      <c r="G183" s="172" t="str">
        <f>IFERROR(VLOOKUP(F183,'G-7 Rivers Data'!$C$4:$D$8,2,FALSE),"")</f>
        <v/>
      </c>
      <c r="H183" s="173"/>
      <c r="I183" s="172" t="str">
        <f>IFERROR(INDEX('G-7 Rivers Data'!$H$4:$L$8,MATCH(D183,'G-7 Rivers Data'!$B$4:$B$8,0),MATCH(H183,'G-7 Rivers Data'!$H$3:$L$3,0)),"")</f>
        <v/>
      </c>
      <c r="J183" s="186"/>
      <c r="K183" s="175" t="str">
        <f>IF(J183="","",IF(VLOOKUP(J183,'G-7 Rivers Data'!$AK$4:$AM$9,2,FALSE)=0,"Spatial Data Missing",VLOOKUP(J183,'G-7 Rivers Data'!$AK$4:$AM$9,2,FALSE)))</f>
        <v/>
      </c>
      <c r="L183" s="176" t="str">
        <f>IF(J183="","",IF(VLOOKUP(J183,'G-7 Rivers Data'!$AK$4:$AM$9,3,FALSE)=0,"Spatial Data Missing",VLOOKUP(J183,'G-7 Rivers Data'!$AK$4:$AM$9,3,FALSE)))</f>
        <v/>
      </c>
      <c r="M183" s="79"/>
      <c r="N183" s="172" t="str">
        <f>IF(M183="","",IF(VLOOKUP(M183,'G-7 Rivers Data'!$AA$4:$AB$7,2,FALSE)=0,"Spatial Data Missing",VLOOKUP(M183,'G-7 Rivers Data'!$AA$4:$AB$7,2,FALSE)))</f>
        <v/>
      </c>
      <c r="O183" s="187"/>
      <c r="P183" s="172" t="str">
        <f>IF(O183="","",IF(VLOOKUP(O183,'G-7 Rivers Data'!$AD$4:$AE$8,2,FALSE)=0,"Spatial Data Missing",VLOOKUP(O183,'G-7 Rivers Data'!$AD$4:$AE$8,2,FALSE)))</f>
        <v/>
      </c>
      <c r="Q183" s="177" t="str">
        <f>IF(D183="","",VLOOKUP(D183,'G-7 Rivers Data'!$B$4:$G$8,6,FALSE))</f>
        <v/>
      </c>
      <c r="R183" s="178" t="str">
        <f t="shared" si="16"/>
        <v/>
      </c>
      <c r="S183" s="44"/>
      <c r="T183" s="173"/>
      <c r="U183" s="189"/>
      <c r="V183" s="208" t="str">
        <f t="shared" si="17"/>
        <v/>
      </c>
      <c r="W183" s="208" t="str">
        <f t="shared" si="18"/>
        <v/>
      </c>
      <c r="X183" s="208" t="str">
        <f t="shared" si="19"/>
        <v/>
      </c>
      <c r="Y183" s="209" t="str">
        <f t="shared" si="20"/>
        <v/>
      </c>
      <c r="Z183" s="182"/>
      <c r="AA183" s="183"/>
      <c r="AF183" s="35" t="str">
        <f>IFERROR(INDEX('G-7 Rivers Data'!$AZ$3:$AZ$7,MATCH(D183,'G-7 Rivers Data'!$AY$3:$AY$7,0)),"")</f>
        <v/>
      </c>
      <c r="AG183" s="35">
        <f t="shared" si="21"/>
        <v>0</v>
      </c>
      <c r="AH183" s="188" t="str">
        <f t="shared" si="22"/>
        <v/>
      </c>
      <c r="AI183" s="188" t="str">
        <f t="shared" si="23"/>
        <v/>
      </c>
      <c r="AK183" s="188">
        <v>174</v>
      </c>
      <c r="AM183" s="188" t="str">
        <f t="array" ref="AM183">IFERROR(INDEX($AK$10:$AK$258, MATCH(0, IF(TRUE=$AH$10:$AH$258, COUNTIF($AM$9:$AM182, $AK$10:$AK$258), ""), 0)),"")</f>
        <v/>
      </c>
      <c r="AN183" s="188" t="str">
        <f t="array" ref="AN183">IFERROR(INDEX($AK$10:$AK$258, MATCH(0, IF(TRUE=$AI$10:$AI$258, COUNTIF($AN$9:$AN182, $AK$10:$AK$258), ""), 0)),"")</f>
        <v/>
      </c>
    </row>
    <row r="184" spans="3:40" ht="13.8" x14ac:dyDescent="0.25">
      <c r="C184" s="168">
        <v>175</v>
      </c>
      <c r="D184" s="184"/>
      <c r="E184" s="185"/>
      <c r="F184" s="171" t="str">
        <f>IF(D184="","",VLOOKUP(D184,'G-7 Rivers Data'!$B$2:$G$8,2,FALSE))</f>
        <v/>
      </c>
      <c r="G184" s="172" t="str">
        <f>IFERROR(VLOOKUP(F184,'G-7 Rivers Data'!$C$4:$D$8,2,FALSE),"")</f>
        <v/>
      </c>
      <c r="H184" s="173"/>
      <c r="I184" s="172" t="str">
        <f>IFERROR(INDEX('G-7 Rivers Data'!$H$4:$L$8,MATCH(D184,'G-7 Rivers Data'!$B$4:$B$8,0),MATCH(H184,'G-7 Rivers Data'!$H$3:$L$3,0)),"")</f>
        <v/>
      </c>
      <c r="J184" s="186"/>
      <c r="K184" s="175" t="str">
        <f>IF(J184="","",IF(VLOOKUP(J184,'G-7 Rivers Data'!$AK$4:$AM$9,2,FALSE)=0,"Spatial Data Missing",VLOOKUP(J184,'G-7 Rivers Data'!$AK$4:$AM$9,2,FALSE)))</f>
        <v/>
      </c>
      <c r="L184" s="176" t="str">
        <f>IF(J184="","",IF(VLOOKUP(J184,'G-7 Rivers Data'!$AK$4:$AM$9,3,FALSE)=0,"Spatial Data Missing",VLOOKUP(J184,'G-7 Rivers Data'!$AK$4:$AM$9,3,FALSE)))</f>
        <v/>
      </c>
      <c r="M184" s="79"/>
      <c r="N184" s="172" t="str">
        <f>IF(M184="","",IF(VLOOKUP(M184,'G-7 Rivers Data'!$AA$4:$AB$7,2,FALSE)=0,"Spatial Data Missing",VLOOKUP(M184,'G-7 Rivers Data'!$AA$4:$AB$7,2,FALSE)))</f>
        <v/>
      </c>
      <c r="O184" s="187"/>
      <c r="P184" s="172" t="str">
        <f>IF(O184="","",IF(VLOOKUP(O184,'G-7 Rivers Data'!$AD$4:$AE$8,2,FALSE)=0,"Spatial Data Missing",VLOOKUP(O184,'G-7 Rivers Data'!$AD$4:$AE$8,2,FALSE)))</f>
        <v/>
      </c>
      <c r="Q184" s="177" t="str">
        <f>IF(D184="","",VLOOKUP(D184,'G-7 Rivers Data'!$B$4:$G$8,6,FALSE))</f>
        <v/>
      </c>
      <c r="R184" s="178" t="str">
        <f t="shared" si="16"/>
        <v/>
      </c>
      <c r="S184" s="44"/>
      <c r="T184" s="173"/>
      <c r="U184" s="189"/>
      <c r="V184" s="208" t="str">
        <f t="shared" si="17"/>
        <v/>
      </c>
      <c r="W184" s="208" t="str">
        <f t="shared" si="18"/>
        <v/>
      </c>
      <c r="X184" s="208" t="str">
        <f t="shared" si="19"/>
        <v/>
      </c>
      <c r="Y184" s="209" t="str">
        <f t="shared" si="20"/>
        <v/>
      </c>
      <c r="Z184" s="182"/>
      <c r="AA184" s="183"/>
      <c r="AF184" s="35" t="str">
        <f>IFERROR(INDEX('G-7 Rivers Data'!$AZ$3:$AZ$7,MATCH(D184,'G-7 Rivers Data'!$AY$3:$AY$7,0)),"")</f>
        <v/>
      </c>
      <c r="AG184" s="35">
        <f t="shared" si="21"/>
        <v>0</v>
      </c>
      <c r="AH184" s="188" t="str">
        <f t="shared" si="22"/>
        <v/>
      </c>
      <c r="AI184" s="188" t="str">
        <f t="shared" si="23"/>
        <v/>
      </c>
      <c r="AK184" s="188">
        <v>175</v>
      </c>
      <c r="AM184" s="188" t="str">
        <f t="array" ref="AM184">IFERROR(INDEX($AK$10:$AK$258, MATCH(0, IF(TRUE=$AH$10:$AH$258, COUNTIF($AM$9:$AM183, $AK$10:$AK$258), ""), 0)),"")</f>
        <v/>
      </c>
      <c r="AN184" s="188" t="str">
        <f t="array" ref="AN184">IFERROR(INDEX($AK$10:$AK$258, MATCH(0, IF(TRUE=$AI$10:$AI$258, COUNTIF($AN$9:$AN183, $AK$10:$AK$258), ""), 0)),"")</f>
        <v/>
      </c>
    </row>
    <row r="185" spans="3:40" ht="13.8" x14ac:dyDescent="0.25">
      <c r="C185" s="168">
        <v>176</v>
      </c>
      <c r="D185" s="184"/>
      <c r="E185" s="185"/>
      <c r="F185" s="171" t="str">
        <f>IF(D185="","",VLOOKUP(D185,'G-7 Rivers Data'!$B$2:$G$8,2,FALSE))</f>
        <v/>
      </c>
      <c r="G185" s="172" t="str">
        <f>IFERROR(VLOOKUP(F185,'G-7 Rivers Data'!$C$4:$D$8,2,FALSE),"")</f>
        <v/>
      </c>
      <c r="H185" s="173"/>
      <c r="I185" s="172" t="str">
        <f>IFERROR(INDEX('G-7 Rivers Data'!$H$4:$L$8,MATCH(D185,'G-7 Rivers Data'!$B$4:$B$8,0),MATCH(H185,'G-7 Rivers Data'!$H$3:$L$3,0)),"")</f>
        <v/>
      </c>
      <c r="J185" s="186"/>
      <c r="K185" s="175" t="str">
        <f>IF(J185="","",IF(VLOOKUP(J185,'G-7 Rivers Data'!$AK$4:$AM$9,2,FALSE)=0,"Spatial Data Missing",VLOOKUP(J185,'G-7 Rivers Data'!$AK$4:$AM$9,2,FALSE)))</f>
        <v/>
      </c>
      <c r="L185" s="176" t="str">
        <f>IF(J185="","",IF(VLOOKUP(J185,'G-7 Rivers Data'!$AK$4:$AM$9,3,FALSE)=0,"Spatial Data Missing",VLOOKUP(J185,'G-7 Rivers Data'!$AK$4:$AM$9,3,FALSE)))</f>
        <v/>
      </c>
      <c r="M185" s="79"/>
      <c r="N185" s="172" t="str">
        <f>IF(M185="","",IF(VLOOKUP(M185,'G-7 Rivers Data'!$AA$4:$AB$7,2,FALSE)=0,"Spatial Data Missing",VLOOKUP(M185,'G-7 Rivers Data'!$AA$4:$AB$7,2,FALSE)))</f>
        <v/>
      </c>
      <c r="O185" s="187"/>
      <c r="P185" s="172" t="str">
        <f>IF(O185="","",IF(VLOOKUP(O185,'G-7 Rivers Data'!$AD$4:$AE$8,2,FALSE)=0,"Spatial Data Missing",VLOOKUP(O185,'G-7 Rivers Data'!$AD$4:$AE$8,2,FALSE)))</f>
        <v/>
      </c>
      <c r="Q185" s="177" t="str">
        <f>IF(D185="","",VLOOKUP(D185,'G-7 Rivers Data'!$B$4:$G$8,6,FALSE))</f>
        <v/>
      </c>
      <c r="R185" s="178" t="str">
        <f t="shared" si="16"/>
        <v/>
      </c>
      <c r="S185" s="44"/>
      <c r="T185" s="173"/>
      <c r="U185" s="189"/>
      <c r="V185" s="208" t="str">
        <f t="shared" si="17"/>
        <v/>
      </c>
      <c r="W185" s="208" t="str">
        <f t="shared" si="18"/>
        <v/>
      </c>
      <c r="X185" s="208" t="str">
        <f t="shared" si="19"/>
        <v/>
      </c>
      <c r="Y185" s="209" t="str">
        <f t="shared" si="20"/>
        <v/>
      </c>
      <c r="Z185" s="182"/>
      <c r="AA185" s="183"/>
      <c r="AF185" s="35" t="str">
        <f>IFERROR(INDEX('G-7 Rivers Data'!$AZ$3:$AZ$7,MATCH(D185,'G-7 Rivers Data'!$AY$3:$AY$7,0)),"")</f>
        <v/>
      </c>
      <c r="AG185" s="35">
        <f t="shared" si="21"/>
        <v>0</v>
      </c>
      <c r="AH185" s="188" t="str">
        <f t="shared" si="22"/>
        <v/>
      </c>
      <c r="AI185" s="188" t="str">
        <f t="shared" si="23"/>
        <v/>
      </c>
      <c r="AK185" s="188">
        <v>176</v>
      </c>
      <c r="AM185" s="188" t="str">
        <f t="array" ref="AM185">IFERROR(INDEX($AK$10:$AK$258, MATCH(0, IF(TRUE=$AH$10:$AH$258, COUNTIF($AM$9:$AM184, $AK$10:$AK$258), ""), 0)),"")</f>
        <v/>
      </c>
      <c r="AN185" s="188" t="str">
        <f t="array" ref="AN185">IFERROR(INDEX($AK$10:$AK$258, MATCH(0, IF(TRUE=$AI$10:$AI$258, COUNTIF($AN$9:$AN184, $AK$10:$AK$258), ""), 0)),"")</f>
        <v/>
      </c>
    </row>
    <row r="186" spans="3:40" ht="13.8" x14ac:dyDescent="0.25">
      <c r="C186" s="168">
        <v>177</v>
      </c>
      <c r="D186" s="184"/>
      <c r="E186" s="185"/>
      <c r="F186" s="171" t="str">
        <f>IF(D186="","",VLOOKUP(D186,'G-7 Rivers Data'!$B$2:$G$8,2,FALSE))</f>
        <v/>
      </c>
      <c r="G186" s="172" t="str">
        <f>IFERROR(VLOOKUP(F186,'G-7 Rivers Data'!$C$4:$D$8,2,FALSE),"")</f>
        <v/>
      </c>
      <c r="H186" s="173"/>
      <c r="I186" s="172" t="str">
        <f>IFERROR(INDEX('G-7 Rivers Data'!$H$4:$L$8,MATCH(D186,'G-7 Rivers Data'!$B$4:$B$8,0),MATCH(H186,'G-7 Rivers Data'!$H$3:$L$3,0)),"")</f>
        <v/>
      </c>
      <c r="J186" s="186"/>
      <c r="K186" s="175" t="str">
        <f>IF(J186="","",IF(VLOOKUP(J186,'G-7 Rivers Data'!$AK$4:$AM$9,2,FALSE)=0,"Spatial Data Missing",VLOOKUP(J186,'G-7 Rivers Data'!$AK$4:$AM$9,2,FALSE)))</f>
        <v/>
      </c>
      <c r="L186" s="176" t="str">
        <f>IF(J186="","",IF(VLOOKUP(J186,'G-7 Rivers Data'!$AK$4:$AM$9,3,FALSE)=0,"Spatial Data Missing",VLOOKUP(J186,'G-7 Rivers Data'!$AK$4:$AM$9,3,FALSE)))</f>
        <v/>
      </c>
      <c r="M186" s="79"/>
      <c r="N186" s="172" t="str">
        <f>IF(M186="","",IF(VLOOKUP(M186,'G-7 Rivers Data'!$AA$4:$AB$7,2,FALSE)=0,"Spatial Data Missing",VLOOKUP(M186,'G-7 Rivers Data'!$AA$4:$AB$7,2,FALSE)))</f>
        <v/>
      </c>
      <c r="O186" s="187"/>
      <c r="P186" s="172" t="str">
        <f>IF(O186="","",IF(VLOOKUP(O186,'G-7 Rivers Data'!$AD$4:$AE$8,2,FALSE)=0,"Spatial Data Missing",VLOOKUP(O186,'G-7 Rivers Data'!$AD$4:$AE$8,2,FALSE)))</f>
        <v/>
      </c>
      <c r="Q186" s="177" t="str">
        <f>IF(D186="","",VLOOKUP(D186,'G-7 Rivers Data'!$B$4:$G$8,6,FALSE))</f>
        <v/>
      </c>
      <c r="R186" s="178" t="str">
        <f t="shared" si="16"/>
        <v/>
      </c>
      <c r="S186" s="44"/>
      <c r="T186" s="173"/>
      <c r="U186" s="189"/>
      <c r="V186" s="208" t="str">
        <f t="shared" si="17"/>
        <v/>
      </c>
      <c r="W186" s="208" t="str">
        <f t="shared" si="18"/>
        <v/>
      </c>
      <c r="X186" s="208" t="str">
        <f t="shared" si="19"/>
        <v/>
      </c>
      <c r="Y186" s="209" t="str">
        <f t="shared" si="20"/>
        <v/>
      </c>
      <c r="Z186" s="182"/>
      <c r="AA186" s="183"/>
      <c r="AF186" s="35" t="str">
        <f>IFERROR(INDEX('G-7 Rivers Data'!$AZ$3:$AZ$7,MATCH(D186,'G-7 Rivers Data'!$AY$3:$AY$7,0)),"")</f>
        <v/>
      </c>
      <c r="AG186" s="35">
        <f t="shared" si="21"/>
        <v>0</v>
      </c>
      <c r="AH186" s="188" t="str">
        <f t="shared" si="22"/>
        <v/>
      </c>
      <c r="AI186" s="188" t="str">
        <f t="shared" si="23"/>
        <v/>
      </c>
      <c r="AK186" s="188">
        <v>177</v>
      </c>
      <c r="AM186" s="188" t="str">
        <f t="array" ref="AM186">IFERROR(INDEX($AK$10:$AK$258, MATCH(0, IF(TRUE=$AH$10:$AH$258, COUNTIF($AM$9:$AM185, $AK$10:$AK$258), ""), 0)),"")</f>
        <v/>
      </c>
      <c r="AN186" s="188" t="str">
        <f t="array" ref="AN186">IFERROR(INDEX($AK$10:$AK$258, MATCH(0, IF(TRUE=$AI$10:$AI$258, COUNTIF($AN$9:$AN185, $AK$10:$AK$258), ""), 0)),"")</f>
        <v/>
      </c>
    </row>
    <row r="187" spans="3:40" ht="13.8" x14ac:dyDescent="0.25">
      <c r="C187" s="168">
        <v>178</v>
      </c>
      <c r="D187" s="184"/>
      <c r="E187" s="185"/>
      <c r="F187" s="171" t="str">
        <f>IF(D187="","",VLOOKUP(D187,'G-7 Rivers Data'!$B$2:$G$8,2,FALSE))</f>
        <v/>
      </c>
      <c r="G187" s="172" t="str">
        <f>IFERROR(VLOOKUP(F187,'G-7 Rivers Data'!$C$4:$D$8,2,FALSE),"")</f>
        <v/>
      </c>
      <c r="H187" s="173"/>
      <c r="I187" s="172" t="str">
        <f>IFERROR(INDEX('G-7 Rivers Data'!$H$4:$L$8,MATCH(D187,'G-7 Rivers Data'!$B$4:$B$8,0),MATCH(H187,'G-7 Rivers Data'!$H$3:$L$3,0)),"")</f>
        <v/>
      </c>
      <c r="J187" s="186"/>
      <c r="K187" s="175" t="str">
        <f>IF(J187="","",IF(VLOOKUP(J187,'G-7 Rivers Data'!$AK$4:$AM$9,2,FALSE)=0,"Spatial Data Missing",VLOOKUP(J187,'G-7 Rivers Data'!$AK$4:$AM$9,2,FALSE)))</f>
        <v/>
      </c>
      <c r="L187" s="176" t="str">
        <f>IF(J187="","",IF(VLOOKUP(J187,'G-7 Rivers Data'!$AK$4:$AM$9,3,FALSE)=0,"Spatial Data Missing",VLOOKUP(J187,'G-7 Rivers Data'!$AK$4:$AM$9,3,FALSE)))</f>
        <v/>
      </c>
      <c r="M187" s="79"/>
      <c r="N187" s="172" t="str">
        <f>IF(M187="","",IF(VLOOKUP(M187,'G-7 Rivers Data'!$AA$4:$AB$7,2,FALSE)=0,"Spatial Data Missing",VLOOKUP(M187,'G-7 Rivers Data'!$AA$4:$AB$7,2,FALSE)))</f>
        <v/>
      </c>
      <c r="O187" s="187"/>
      <c r="P187" s="172" t="str">
        <f>IF(O187="","",IF(VLOOKUP(O187,'G-7 Rivers Data'!$AD$4:$AE$8,2,FALSE)=0,"Spatial Data Missing",VLOOKUP(O187,'G-7 Rivers Data'!$AD$4:$AE$8,2,FALSE)))</f>
        <v/>
      </c>
      <c r="Q187" s="177" t="str">
        <f>IF(D187="","",VLOOKUP(D187,'G-7 Rivers Data'!$B$4:$G$8,6,FALSE))</f>
        <v/>
      </c>
      <c r="R187" s="178" t="str">
        <f t="shared" si="16"/>
        <v/>
      </c>
      <c r="S187" s="44"/>
      <c r="T187" s="173"/>
      <c r="U187" s="189"/>
      <c r="V187" s="208" t="str">
        <f t="shared" si="17"/>
        <v/>
      </c>
      <c r="W187" s="208" t="str">
        <f t="shared" si="18"/>
        <v/>
      </c>
      <c r="X187" s="208" t="str">
        <f t="shared" si="19"/>
        <v/>
      </c>
      <c r="Y187" s="209" t="str">
        <f t="shared" si="20"/>
        <v/>
      </c>
      <c r="Z187" s="182"/>
      <c r="AA187" s="183"/>
      <c r="AF187" s="35" t="str">
        <f>IFERROR(INDEX('G-7 Rivers Data'!$AZ$3:$AZ$7,MATCH(D187,'G-7 Rivers Data'!$AY$3:$AY$7,0)),"")</f>
        <v/>
      </c>
      <c r="AG187" s="35">
        <f t="shared" si="21"/>
        <v>0</v>
      </c>
      <c r="AH187" s="188" t="str">
        <f t="shared" si="22"/>
        <v/>
      </c>
      <c r="AI187" s="188" t="str">
        <f t="shared" si="23"/>
        <v/>
      </c>
      <c r="AK187" s="188">
        <v>178</v>
      </c>
      <c r="AM187" s="188" t="str">
        <f t="array" ref="AM187">IFERROR(INDEX($AK$10:$AK$258, MATCH(0, IF(TRUE=$AH$10:$AH$258, COUNTIF($AM$9:$AM186, $AK$10:$AK$258), ""), 0)),"")</f>
        <v/>
      </c>
      <c r="AN187" s="188" t="str">
        <f t="array" ref="AN187">IFERROR(INDEX($AK$10:$AK$258, MATCH(0, IF(TRUE=$AI$10:$AI$258, COUNTIF($AN$9:$AN186, $AK$10:$AK$258), ""), 0)),"")</f>
        <v/>
      </c>
    </row>
    <row r="188" spans="3:40" ht="13.8" x14ac:dyDescent="0.25">
      <c r="C188" s="168">
        <v>179</v>
      </c>
      <c r="D188" s="184"/>
      <c r="E188" s="185"/>
      <c r="F188" s="171" t="str">
        <f>IF(D188="","",VLOOKUP(D188,'G-7 Rivers Data'!$B$2:$G$8,2,FALSE))</f>
        <v/>
      </c>
      <c r="G188" s="172" t="str">
        <f>IFERROR(VLOOKUP(F188,'G-7 Rivers Data'!$C$4:$D$8,2,FALSE),"")</f>
        <v/>
      </c>
      <c r="H188" s="173"/>
      <c r="I188" s="172" t="str">
        <f>IFERROR(INDEX('G-7 Rivers Data'!$H$4:$L$8,MATCH(D188,'G-7 Rivers Data'!$B$4:$B$8,0),MATCH(H188,'G-7 Rivers Data'!$H$3:$L$3,0)),"")</f>
        <v/>
      </c>
      <c r="J188" s="186"/>
      <c r="K188" s="175" t="str">
        <f>IF(J188="","",IF(VLOOKUP(J188,'G-7 Rivers Data'!$AK$4:$AM$9,2,FALSE)=0,"Spatial Data Missing",VLOOKUP(J188,'G-7 Rivers Data'!$AK$4:$AM$9,2,FALSE)))</f>
        <v/>
      </c>
      <c r="L188" s="176" t="str">
        <f>IF(J188="","",IF(VLOOKUP(J188,'G-7 Rivers Data'!$AK$4:$AM$9,3,FALSE)=0,"Spatial Data Missing",VLOOKUP(J188,'G-7 Rivers Data'!$AK$4:$AM$9,3,FALSE)))</f>
        <v/>
      </c>
      <c r="M188" s="79"/>
      <c r="N188" s="172" t="str">
        <f>IF(M188="","",IF(VLOOKUP(M188,'G-7 Rivers Data'!$AA$4:$AB$7,2,FALSE)=0,"Spatial Data Missing",VLOOKUP(M188,'G-7 Rivers Data'!$AA$4:$AB$7,2,FALSE)))</f>
        <v/>
      </c>
      <c r="O188" s="187"/>
      <c r="P188" s="172" t="str">
        <f>IF(O188="","",IF(VLOOKUP(O188,'G-7 Rivers Data'!$AD$4:$AE$8,2,FALSE)=0,"Spatial Data Missing",VLOOKUP(O188,'G-7 Rivers Data'!$AD$4:$AE$8,2,FALSE)))</f>
        <v/>
      </c>
      <c r="Q188" s="177" t="str">
        <f>IF(D188="","",VLOOKUP(D188,'G-7 Rivers Data'!$B$4:$G$8,6,FALSE))</f>
        <v/>
      </c>
      <c r="R188" s="178" t="str">
        <f t="shared" si="16"/>
        <v/>
      </c>
      <c r="S188" s="44"/>
      <c r="T188" s="173"/>
      <c r="U188" s="189"/>
      <c r="V188" s="208" t="str">
        <f t="shared" si="17"/>
        <v/>
      </c>
      <c r="W188" s="208" t="str">
        <f t="shared" si="18"/>
        <v/>
      </c>
      <c r="X188" s="208" t="str">
        <f t="shared" si="19"/>
        <v/>
      </c>
      <c r="Y188" s="209" t="str">
        <f t="shared" si="20"/>
        <v/>
      </c>
      <c r="Z188" s="182"/>
      <c r="AA188" s="183"/>
      <c r="AF188" s="35" t="str">
        <f>IFERROR(INDEX('G-7 Rivers Data'!$AZ$3:$AZ$7,MATCH(D188,'G-7 Rivers Data'!$AY$3:$AY$7,0)),"")</f>
        <v/>
      </c>
      <c r="AG188" s="35">
        <f t="shared" si="21"/>
        <v>0</v>
      </c>
      <c r="AH188" s="188" t="str">
        <f t="shared" si="22"/>
        <v/>
      </c>
      <c r="AI188" s="188" t="str">
        <f t="shared" si="23"/>
        <v/>
      </c>
      <c r="AK188" s="188">
        <v>179</v>
      </c>
      <c r="AM188" s="188" t="str">
        <f t="array" ref="AM188">IFERROR(INDEX($AK$10:$AK$258, MATCH(0, IF(TRUE=$AH$10:$AH$258, COUNTIF($AM$9:$AM187, $AK$10:$AK$258), ""), 0)),"")</f>
        <v/>
      </c>
      <c r="AN188" s="188" t="str">
        <f t="array" ref="AN188">IFERROR(INDEX($AK$10:$AK$258, MATCH(0, IF(TRUE=$AI$10:$AI$258, COUNTIF($AN$9:$AN187, $AK$10:$AK$258), ""), 0)),"")</f>
        <v/>
      </c>
    </row>
    <row r="189" spans="3:40" ht="13.8" x14ac:dyDescent="0.25">
      <c r="C189" s="168">
        <v>180</v>
      </c>
      <c r="D189" s="184"/>
      <c r="E189" s="185"/>
      <c r="F189" s="171" t="str">
        <f>IF(D189="","",VLOOKUP(D189,'G-7 Rivers Data'!$B$2:$G$8,2,FALSE))</f>
        <v/>
      </c>
      <c r="G189" s="172" t="str">
        <f>IFERROR(VLOOKUP(F189,'G-7 Rivers Data'!$C$4:$D$8,2,FALSE),"")</f>
        <v/>
      </c>
      <c r="H189" s="173"/>
      <c r="I189" s="172" t="str">
        <f>IFERROR(INDEX('G-7 Rivers Data'!$H$4:$L$8,MATCH(D189,'G-7 Rivers Data'!$B$4:$B$8,0),MATCH(H189,'G-7 Rivers Data'!$H$3:$L$3,0)),"")</f>
        <v/>
      </c>
      <c r="J189" s="186"/>
      <c r="K189" s="175" t="str">
        <f>IF(J189="","",IF(VLOOKUP(J189,'G-7 Rivers Data'!$AK$4:$AM$9,2,FALSE)=0,"Spatial Data Missing",VLOOKUP(J189,'G-7 Rivers Data'!$AK$4:$AM$9,2,FALSE)))</f>
        <v/>
      </c>
      <c r="L189" s="176" t="str">
        <f>IF(J189="","",IF(VLOOKUP(J189,'G-7 Rivers Data'!$AK$4:$AM$9,3,FALSE)=0,"Spatial Data Missing",VLOOKUP(J189,'G-7 Rivers Data'!$AK$4:$AM$9,3,FALSE)))</f>
        <v/>
      </c>
      <c r="M189" s="79"/>
      <c r="N189" s="172" t="str">
        <f>IF(M189="","",IF(VLOOKUP(M189,'G-7 Rivers Data'!$AA$4:$AB$7,2,FALSE)=0,"Spatial Data Missing",VLOOKUP(M189,'G-7 Rivers Data'!$AA$4:$AB$7,2,FALSE)))</f>
        <v/>
      </c>
      <c r="O189" s="187"/>
      <c r="P189" s="172" t="str">
        <f>IF(O189="","",IF(VLOOKUP(O189,'G-7 Rivers Data'!$AD$4:$AE$8,2,FALSE)=0,"Spatial Data Missing",VLOOKUP(O189,'G-7 Rivers Data'!$AD$4:$AE$8,2,FALSE)))</f>
        <v/>
      </c>
      <c r="Q189" s="177" t="str">
        <f>IF(D189="","",VLOOKUP(D189,'G-7 Rivers Data'!$B$4:$G$8,6,FALSE))</f>
        <v/>
      </c>
      <c r="R189" s="178" t="str">
        <f t="shared" si="16"/>
        <v/>
      </c>
      <c r="S189" s="44"/>
      <c r="T189" s="173"/>
      <c r="U189" s="189"/>
      <c r="V189" s="208" t="str">
        <f t="shared" si="17"/>
        <v/>
      </c>
      <c r="W189" s="208" t="str">
        <f t="shared" si="18"/>
        <v/>
      </c>
      <c r="X189" s="208" t="str">
        <f t="shared" si="19"/>
        <v/>
      </c>
      <c r="Y189" s="209" t="str">
        <f t="shared" si="20"/>
        <v/>
      </c>
      <c r="Z189" s="182"/>
      <c r="AA189" s="183"/>
      <c r="AF189" s="35" t="str">
        <f>IFERROR(INDEX('G-7 Rivers Data'!$AZ$3:$AZ$7,MATCH(D189,'G-7 Rivers Data'!$AY$3:$AY$7,0)),"")</f>
        <v/>
      </c>
      <c r="AG189" s="35">
        <f t="shared" si="21"/>
        <v>0</v>
      </c>
      <c r="AH189" s="188" t="str">
        <f t="shared" si="22"/>
        <v/>
      </c>
      <c r="AI189" s="188" t="str">
        <f t="shared" si="23"/>
        <v/>
      </c>
      <c r="AK189" s="188">
        <v>180</v>
      </c>
      <c r="AM189" s="188" t="str">
        <f t="array" ref="AM189">IFERROR(INDEX($AK$10:$AK$258, MATCH(0, IF(TRUE=$AH$10:$AH$258, COUNTIF($AM$9:$AM188, $AK$10:$AK$258), ""), 0)),"")</f>
        <v/>
      </c>
      <c r="AN189" s="188" t="str">
        <f t="array" ref="AN189">IFERROR(INDEX($AK$10:$AK$258, MATCH(0, IF(TRUE=$AI$10:$AI$258, COUNTIF($AN$9:$AN188, $AK$10:$AK$258), ""), 0)),"")</f>
        <v/>
      </c>
    </row>
    <row r="190" spans="3:40" ht="13.8" x14ac:dyDescent="0.25">
      <c r="C190" s="168">
        <v>181</v>
      </c>
      <c r="D190" s="184"/>
      <c r="E190" s="185"/>
      <c r="F190" s="171" t="str">
        <f>IF(D190="","",VLOOKUP(D190,'G-7 Rivers Data'!$B$2:$G$8,2,FALSE))</f>
        <v/>
      </c>
      <c r="G190" s="172" t="str">
        <f>IFERROR(VLOOKUP(F190,'G-7 Rivers Data'!$C$4:$D$8,2,FALSE),"")</f>
        <v/>
      </c>
      <c r="H190" s="173"/>
      <c r="I190" s="172" t="str">
        <f>IFERROR(INDEX('G-7 Rivers Data'!$H$4:$L$8,MATCH(D190,'G-7 Rivers Data'!$B$4:$B$8,0),MATCH(H190,'G-7 Rivers Data'!$H$3:$L$3,0)),"")</f>
        <v/>
      </c>
      <c r="J190" s="186"/>
      <c r="K190" s="175" t="str">
        <f>IF(J190="","",IF(VLOOKUP(J190,'G-7 Rivers Data'!$AK$4:$AM$9,2,FALSE)=0,"Spatial Data Missing",VLOOKUP(J190,'G-7 Rivers Data'!$AK$4:$AM$9,2,FALSE)))</f>
        <v/>
      </c>
      <c r="L190" s="176" t="str">
        <f>IF(J190="","",IF(VLOOKUP(J190,'G-7 Rivers Data'!$AK$4:$AM$9,3,FALSE)=0,"Spatial Data Missing",VLOOKUP(J190,'G-7 Rivers Data'!$AK$4:$AM$9,3,FALSE)))</f>
        <v/>
      </c>
      <c r="M190" s="79"/>
      <c r="N190" s="172" t="str">
        <f>IF(M190="","",IF(VLOOKUP(M190,'G-7 Rivers Data'!$AA$4:$AB$7,2,FALSE)=0,"Spatial Data Missing",VLOOKUP(M190,'G-7 Rivers Data'!$AA$4:$AB$7,2,FALSE)))</f>
        <v/>
      </c>
      <c r="O190" s="187"/>
      <c r="P190" s="172" t="str">
        <f>IF(O190="","",IF(VLOOKUP(O190,'G-7 Rivers Data'!$AD$4:$AE$8,2,FALSE)=0,"Spatial Data Missing",VLOOKUP(O190,'G-7 Rivers Data'!$AD$4:$AE$8,2,FALSE)))</f>
        <v/>
      </c>
      <c r="Q190" s="177" t="str">
        <f>IF(D190="","",VLOOKUP(D190,'G-7 Rivers Data'!$B$4:$G$8,6,FALSE))</f>
        <v/>
      </c>
      <c r="R190" s="178" t="str">
        <f t="shared" si="16"/>
        <v/>
      </c>
      <c r="S190" s="44"/>
      <c r="T190" s="173"/>
      <c r="U190" s="189"/>
      <c r="V190" s="208" t="str">
        <f t="shared" si="17"/>
        <v/>
      </c>
      <c r="W190" s="208" t="str">
        <f t="shared" si="18"/>
        <v/>
      </c>
      <c r="X190" s="208" t="str">
        <f t="shared" si="19"/>
        <v/>
      </c>
      <c r="Y190" s="209" t="str">
        <f t="shared" si="20"/>
        <v/>
      </c>
      <c r="Z190" s="182"/>
      <c r="AA190" s="183"/>
      <c r="AF190" s="35" t="str">
        <f>IFERROR(INDEX('G-7 Rivers Data'!$AZ$3:$AZ$7,MATCH(D190,'G-7 Rivers Data'!$AY$3:$AY$7,0)),"")</f>
        <v/>
      </c>
      <c r="AG190" s="35">
        <f t="shared" si="21"/>
        <v>0</v>
      </c>
      <c r="AH190" s="188" t="str">
        <f t="shared" si="22"/>
        <v/>
      </c>
      <c r="AI190" s="188" t="str">
        <f t="shared" si="23"/>
        <v/>
      </c>
      <c r="AK190" s="188">
        <v>181</v>
      </c>
      <c r="AM190" s="188" t="str">
        <f t="array" ref="AM190">IFERROR(INDEX($AK$10:$AK$258, MATCH(0, IF(TRUE=$AH$10:$AH$258, COUNTIF($AM$9:$AM189, $AK$10:$AK$258), ""), 0)),"")</f>
        <v/>
      </c>
      <c r="AN190" s="188" t="str">
        <f t="array" ref="AN190">IFERROR(INDEX($AK$10:$AK$258, MATCH(0, IF(TRUE=$AI$10:$AI$258, COUNTIF($AN$9:$AN189, $AK$10:$AK$258), ""), 0)),"")</f>
        <v/>
      </c>
    </row>
    <row r="191" spans="3:40" ht="13.8" x14ac:dyDescent="0.25">
      <c r="C191" s="168">
        <v>182</v>
      </c>
      <c r="D191" s="184"/>
      <c r="E191" s="185"/>
      <c r="F191" s="171" t="str">
        <f>IF(D191="","",VLOOKUP(D191,'G-7 Rivers Data'!$B$2:$G$8,2,FALSE))</f>
        <v/>
      </c>
      <c r="G191" s="172" t="str">
        <f>IFERROR(VLOOKUP(F191,'G-7 Rivers Data'!$C$4:$D$8,2,FALSE),"")</f>
        <v/>
      </c>
      <c r="H191" s="173"/>
      <c r="I191" s="172" t="str">
        <f>IFERROR(INDEX('G-7 Rivers Data'!$H$4:$L$8,MATCH(D191,'G-7 Rivers Data'!$B$4:$B$8,0),MATCH(H191,'G-7 Rivers Data'!$H$3:$L$3,0)),"")</f>
        <v/>
      </c>
      <c r="J191" s="186"/>
      <c r="K191" s="175" t="str">
        <f>IF(J191="","",IF(VLOOKUP(J191,'G-7 Rivers Data'!$AK$4:$AM$9,2,FALSE)=0,"Spatial Data Missing",VLOOKUP(J191,'G-7 Rivers Data'!$AK$4:$AM$9,2,FALSE)))</f>
        <v/>
      </c>
      <c r="L191" s="176" t="str">
        <f>IF(J191="","",IF(VLOOKUP(J191,'G-7 Rivers Data'!$AK$4:$AM$9,3,FALSE)=0,"Spatial Data Missing",VLOOKUP(J191,'G-7 Rivers Data'!$AK$4:$AM$9,3,FALSE)))</f>
        <v/>
      </c>
      <c r="M191" s="79"/>
      <c r="N191" s="172" t="str">
        <f>IF(M191="","",IF(VLOOKUP(M191,'G-7 Rivers Data'!$AA$4:$AB$7,2,FALSE)=0,"Spatial Data Missing",VLOOKUP(M191,'G-7 Rivers Data'!$AA$4:$AB$7,2,FALSE)))</f>
        <v/>
      </c>
      <c r="O191" s="187"/>
      <c r="P191" s="172" t="str">
        <f>IF(O191="","",IF(VLOOKUP(O191,'G-7 Rivers Data'!$AD$4:$AE$8,2,FALSE)=0,"Spatial Data Missing",VLOOKUP(O191,'G-7 Rivers Data'!$AD$4:$AE$8,2,FALSE)))</f>
        <v/>
      </c>
      <c r="Q191" s="177" t="str">
        <f>IF(D191="","",VLOOKUP(D191,'G-7 Rivers Data'!$B$4:$G$8,6,FALSE))</f>
        <v/>
      </c>
      <c r="R191" s="178" t="str">
        <f t="shared" si="16"/>
        <v/>
      </c>
      <c r="S191" s="44"/>
      <c r="T191" s="173"/>
      <c r="U191" s="189"/>
      <c r="V191" s="208" t="str">
        <f t="shared" si="17"/>
        <v/>
      </c>
      <c r="W191" s="208" t="str">
        <f t="shared" si="18"/>
        <v/>
      </c>
      <c r="X191" s="208" t="str">
        <f t="shared" si="19"/>
        <v/>
      </c>
      <c r="Y191" s="209" t="str">
        <f t="shared" si="20"/>
        <v/>
      </c>
      <c r="Z191" s="182"/>
      <c r="AA191" s="183"/>
      <c r="AF191" s="35" t="str">
        <f>IFERROR(INDEX('G-7 Rivers Data'!$AZ$3:$AZ$7,MATCH(D191,'G-7 Rivers Data'!$AY$3:$AY$7,0)),"")</f>
        <v/>
      </c>
      <c r="AG191" s="35">
        <f t="shared" si="21"/>
        <v>0</v>
      </c>
      <c r="AH191" s="188" t="str">
        <f t="shared" si="22"/>
        <v/>
      </c>
      <c r="AI191" s="188" t="str">
        <f t="shared" si="23"/>
        <v/>
      </c>
      <c r="AK191" s="188">
        <v>182</v>
      </c>
      <c r="AM191" s="188" t="str">
        <f t="array" ref="AM191">IFERROR(INDEX($AK$10:$AK$258, MATCH(0, IF(TRUE=$AH$10:$AH$258, COUNTIF($AM$9:$AM190, $AK$10:$AK$258), ""), 0)),"")</f>
        <v/>
      </c>
      <c r="AN191" s="188" t="str">
        <f t="array" ref="AN191">IFERROR(INDEX($AK$10:$AK$258, MATCH(0, IF(TRUE=$AI$10:$AI$258, COUNTIF($AN$9:$AN190, $AK$10:$AK$258), ""), 0)),"")</f>
        <v/>
      </c>
    </row>
    <row r="192" spans="3:40" ht="13.8" x14ac:dyDescent="0.25">
      <c r="C192" s="168">
        <v>183</v>
      </c>
      <c r="D192" s="184"/>
      <c r="E192" s="185"/>
      <c r="F192" s="171" t="str">
        <f>IF(D192="","",VLOOKUP(D192,'G-7 Rivers Data'!$B$2:$G$8,2,FALSE))</f>
        <v/>
      </c>
      <c r="G192" s="172" t="str">
        <f>IFERROR(VLOOKUP(F192,'G-7 Rivers Data'!$C$4:$D$8,2,FALSE),"")</f>
        <v/>
      </c>
      <c r="H192" s="173"/>
      <c r="I192" s="172" t="str">
        <f>IFERROR(INDEX('G-7 Rivers Data'!$H$4:$L$8,MATCH(D192,'G-7 Rivers Data'!$B$4:$B$8,0),MATCH(H192,'G-7 Rivers Data'!$H$3:$L$3,0)),"")</f>
        <v/>
      </c>
      <c r="J192" s="186"/>
      <c r="K192" s="175" t="str">
        <f>IF(J192="","",IF(VLOOKUP(J192,'G-7 Rivers Data'!$AK$4:$AM$9,2,FALSE)=0,"Spatial Data Missing",VLOOKUP(J192,'G-7 Rivers Data'!$AK$4:$AM$9,2,FALSE)))</f>
        <v/>
      </c>
      <c r="L192" s="176" t="str">
        <f>IF(J192="","",IF(VLOOKUP(J192,'G-7 Rivers Data'!$AK$4:$AM$9,3,FALSE)=0,"Spatial Data Missing",VLOOKUP(J192,'G-7 Rivers Data'!$AK$4:$AM$9,3,FALSE)))</f>
        <v/>
      </c>
      <c r="M192" s="79"/>
      <c r="N192" s="172" t="str">
        <f>IF(M192="","",IF(VLOOKUP(M192,'G-7 Rivers Data'!$AA$4:$AB$7,2,FALSE)=0,"Spatial Data Missing",VLOOKUP(M192,'G-7 Rivers Data'!$AA$4:$AB$7,2,FALSE)))</f>
        <v/>
      </c>
      <c r="O192" s="187"/>
      <c r="P192" s="172" t="str">
        <f>IF(O192="","",IF(VLOOKUP(O192,'G-7 Rivers Data'!$AD$4:$AE$8,2,FALSE)=0,"Spatial Data Missing",VLOOKUP(O192,'G-7 Rivers Data'!$AD$4:$AE$8,2,FALSE)))</f>
        <v/>
      </c>
      <c r="Q192" s="177" t="str">
        <f>IF(D192="","",VLOOKUP(D192,'G-7 Rivers Data'!$B$4:$G$8,6,FALSE))</f>
        <v/>
      </c>
      <c r="R192" s="178" t="str">
        <f t="shared" si="16"/>
        <v/>
      </c>
      <c r="S192" s="44"/>
      <c r="T192" s="173"/>
      <c r="U192" s="189"/>
      <c r="V192" s="208" t="str">
        <f t="shared" si="17"/>
        <v/>
      </c>
      <c r="W192" s="208" t="str">
        <f t="shared" si="18"/>
        <v/>
      </c>
      <c r="X192" s="208" t="str">
        <f t="shared" si="19"/>
        <v/>
      </c>
      <c r="Y192" s="209" t="str">
        <f t="shared" si="20"/>
        <v/>
      </c>
      <c r="Z192" s="182"/>
      <c r="AA192" s="183"/>
      <c r="AF192" s="35" t="str">
        <f>IFERROR(INDEX('G-7 Rivers Data'!$AZ$3:$AZ$7,MATCH(D192,'G-7 Rivers Data'!$AY$3:$AY$7,0)),"")</f>
        <v/>
      </c>
      <c r="AG192" s="35">
        <f t="shared" si="21"/>
        <v>0</v>
      </c>
      <c r="AH192" s="188" t="str">
        <f t="shared" si="22"/>
        <v/>
      </c>
      <c r="AI192" s="188" t="str">
        <f t="shared" si="23"/>
        <v/>
      </c>
      <c r="AK192" s="188">
        <v>183</v>
      </c>
      <c r="AM192" s="188" t="str">
        <f t="array" ref="AM192">IFERROR(INDEX($AK$10:$AK$258, MATCH(0, IF(TRUE=$AH$10:$AH$258, COUNTIF($AM$9:$AM191, $AK$10:$AK$258), ""), 0)),"")</f>
        <v/>
      </c>
      <c r="AN192" s="188" t="str">
        <f t="array" ref="AN192">IFERROR(INDEX($AK$10:$AK$258, MATCH(0, IF(TRUE=$AI$10:$AI$258, COUNTIF($AN$9:$AN191, $AK$10:$AK$258), ""), 0)),"")</f>
        <v/>
      </c>
    </row>
    <row r="193" spans="3:40" ht="13.8" x14ac:dyDescent="0.25">
      <c r="C193" s="168">
        <v>184</v>
      </c>
      <c r="D193" s="184"/>
      <c r="E193" s="185"/>
      <c r="F193" s="171" t="str">
        <f>IF(D193="","",VLOOKUP(D193,'G-7 Rivers Data'!$B$2:$G$8,2,FALSE))</f>
        <v/>
      </c>
      <c r="G193" s="172" t="str">
        <f>IFERROR(VLOOKUP(F193,'G-7 Rivers Data'!$C$4:$D$8,2,FALSE),"")</f>
        <v/>
      </c>
      <c r="H193" s="173"/>
      <c r="I193" s="172" t="str">
        <f>IFERROR(INDEX('G-7 Rivers Data'!$H$4:$L$8,MATCH(D193,'G-7 Rivers Data'!$B$4:$B$8,0),MATCH(H193,'G-7 Rivers Data'!$H$3:$L$3,0)),"")</f>
        <v/>
      </c>
      <c r="J193" s="186"/>
      <c r="K193" s="175" t="str">
        <f>IF(J193="","",IF(VLOOKUP(J193,'G-7 Rivers Data'!$AK$4:$AM$9,2,FALSE)=0,"Spatial Data Missing",VLOOKUP(J193,'G-7 Rivers Data'!$AK$4:$AM$9,2,FALSE)))</f>
        <v/>
      </c>
      <c r="L193" s="176" t="str">
        <f>IF(J193="","",IF(VLOOKUP(J193,'G-7 Rivers Data'!$AK$4:$AM$9,3,FALSE)=0,"Spatial Data Missing",VLOOKUP(J193,'G-7 Rivers Data'!$AK$4:$AM$9,3,FALSE)))</f>
        <v/>
      </c>
      <c r="M193" s="79"/>
      <c r="N193" s="172" t="str">
        <f>IF(M193="","",IF(VLOOKUP(M193,'G-7 Rivers Data'!$AA$4:$AB$7,2,FALSE)=0,"Spatial Data Missing",VLOOKUP(M193,'G-7 Rivers Data'!$AA$4:$AB$7,2,FALSE)))</f>
        <v/>
      </c>
      <c r="O193" s="187"/>
      <c r="P193" s="172" t="str">
        <f>IF(O193="","",IF(VLOOKUP(O193,'G-7 Rivers Data'!$AD$4:$AE$8,2,FALSE)=0,"Spatial Data Missing",VLOOKUP(O193,'G-7 Rivers Data'!$AD$4:$AE$8,2,FALSE)))</f>
        <v/>
      </c>
      <c r="Q193" s="177" t="str">
        <f>IF(D193="","",VLOOKUP(D193,'G-7 Rivers Data'!$B$4:$G$8,6,FALSE))</f>
        <v/>
      </c>
      <c r="R193" s="178" t="str">
        <f t="shared" si="16"/>
        <v/>
      </c>
      <c r="S193" s="44"/>
      <c r="T193" s="173"/>
      <c r="U193" s="189"/>
      <c r="V193" s="208" t="str">
        <f t="shared" si="17"/>
        <v/>
      </c>
      <c r="W193" s="208" t="str">
        <f t="shared" si="18"/>
        <v/>
      </c>
      <c r="X193" s="208" t="str">
        <f t="shared" si="19"/>
        <v/>
      </c>
      <c r="Y193" s="209" t="str">
        <f t="shared" si="20"/>
        <v/>
      </c>
      <c r="Z193" s="182"/>
      <c r="AA193" s="183"/>
      <c r="AF193" s="35" t="str">
        <f>IFERROR(INDEX('G-7 Rivers Data'!$AZ$3:$AZ$7,MATCH(D193,'G-7 Rivers Data'!$AY$3:$AY$7,0)),"")</f>
        <v/>
      </c>
      <c r="AG193" s="35">
        <f t="shared" si="21"/>
        <v>0</v>
      </c>
      <c r="AH193" s="188" t="str">
        <f t="shared" si="22"/>
        <v/>
      </c>
      <c r="AI193" s="188" t="str">
        <f t="shared" si="23"/>
        <v/>
      </c>
      <c r="AK193" s="188">
        <v>184</v>
      </c>
      <c r="AM193" s="188" t="str">
        <f t="array" ref="AM193">IFERROR(INDEX($AK$10:$AK$258, MATCH(0, IF(TRUE=$AH$10:$AH$258, COUNTIF($AM$9:$AM192, $AK$10:$AK$258), ""), 0)),"")</f>
        <v/>
      </c>
      <c r="AN193" s="188" t="str">
        <f t="array" ref="AN193">IFERROR(INDEX($AK$10:$AK$258, MATCH(0, IF(TRUE=$AI$10:$AI$258, COUNTIF($AN$9:$AN192, $AK$10:$AK$258), ""), 0)),"")</f>
        <v/>
      </c>
    </row>
    <row r="194" spans="3:40" ht="13.8" x14ac:dyDescent="0.25">
      <c r="C194" s="168">
        <v>185</v>
      </c>
      <c r="D194" s="184"/>
      <c r="E194" s="185"/>
      <c r="F194" s="171" t="str">
        <f>IF(D194="","",VLOOKUP(D194,'G-7 Rivers Data'!$B$2:$G$8,2,FALSE))</f>
        <v/>
      </c>
      <c r="G194" s="172" t="str">
        <f>IFERROR(VLOOKUP(F194,'G-7 Rivers Data'!$C$4:$D$8,2,FALSE),"")</f>
        <v/>
      </c>
      <c r="H194" s="173"/>
      <c r="I194" s="172" t="str">
        <f>IFERROR(INDEX('G-7 Rivers Data'!$H$4:$L$8,MATCH(D194,'G-7 Rivers Data'!$B$4:$B$8,0),MATCH(H194,'G-7 Rivers Data'!$H$3:$L$3,0)),"")</f>
        <v/>
      </c>
      <c r="J194" s="186"/>
      <c r="K194" s="175" t="str">
        <f>IF(J194="","",IF(VLOOKUP(J194,'G-7 Rivers Data'!$AK$4:$AM$9,2,FALSE)=0,"Spatial Data Missing",VLOOKUP(J194,'G-7 Rivers Data'!$AK$4:$AM$9,2,FALSE)))</f>
        <v/>
      </c>
      <c r="L194" s="176" t="str">
        <f>IF(J194="","",IF(VLOOKUP(J194,'G-7 Rivers Data'!$AK$4:$AM$9,3,FALSE)=0,"Spatial Data Missing",VLOOKUP(J194,'G-7 Rivers Data'!$AK$4:$AM$9,3,FALSE)))</f>
        <v/>
      </c>
      <c r="M194" s="79"/>
      <c r="N194" s="172" t="str">
        <f>IF(M194="","",IF(VLOOKUP(M194,'G-7 Rivers Data'!$AA$4:$AB$7,2,FALSE)=0,"Spatial Data Missing",VLOOKUP(M194,'G-7 Rivers Data'!$AA$4:$AB$7,2,FALSE)))</f>
        <v/>
      </c>
      <c r="O194" s="187"/>
      <c r="P194" s="172" t="str">
        <f>IF(O194="","",IF(VLOOKUP(O194,'G-7 Rivers Data'!$AD$4:$AE$8,2,FALSE)=0,"Spatial Data Missing",VLOOKUP(O194,'G-7 Rivers Data'!$AD$4:$AE$8,2,FALSE)))</f>
        <v/>
      </c>
      <c r="Q194" s="177" t="str">
        <f>IF(D194="","",VLOOKUP(D194,'G-7 Rivers Data'!$B$4:$G$8,6,FALSE))</f>
        <v/>
      </c>
      <c r="R194" s="178" t="str">
        <f t="shared" si="16"/>
        <v/>
      </c>
      <c r="S194" s="44"/>
      <c r="T194" s="173"/>
      <c r="U194" s="189"/>
      <c r="V194" s="208" t="str">
        <f t="shared" si="17"/>
        <v/>
      </c>
      <c r="W194" s="208" t="str">
        <f t="shared" si="18"/>
        <v/>
      </c>
      <c r="X194" s="208" t="str">
        <f t="shared" si="19"/>
        <v/>
      </c>
      <c r="Y194" s="209" t="str">
        <f t="shared" si="20"/>
        <v/>
      </c>
      <c r="Z194" s="182"/>
      <c r="AA194" s="183"/>
      <c r="AF194" s="35" t="str">
        <f>IFERROR(INDEX('G-7 Rivers Data'!$AZ$3:$AZ$7,MATCH(D194,'G-7 Rivers Data'!$AY$3:$AY$7,0)),"")</f>
        <v/>
      </c>
      <c r="AG194" s="35">
        <f t="shared" si="21"/>
        <v>0</v>
      </c>
      <c r="AH194" s="188" t="str">
        <f t="shared" si="22"/>
        <v/>
      </c>
      <c r="AI194" s="188" t="str">
        <f t="shared" si="23"/>
        <v/>
      </c>
      <c r="AK194" s="188">
        <v>185</v>
      </c>
      <c r="AM194" s="188" t="str">
        <f t="array" ref="AM194">IFERROR(INDEX($AK$10:$AK$258, MATCH(0, IF(TRUE=$AH$10:$AH$258, COUNTIF($AM$9:$AM193, $AK$10:$AK$258), ""), 0)),"")</f>
        <v/>
      </c>
      <c r="AN194" s="188" t="str">
        <f t="array" ref="AN194">IFERROR(INDEX($AK$10:$AK$258, MATCH(0, IF(TRUE=$AI$10:$AI$258, COUNTIF($AN$9:$AN193, $AK$10:$AK$258), ""), 0)),"")</f>
        <v/>
      </c>
    </row>
    <row r="195" spans="3:40" ht="13.8" x14ac:dyDescent="0.25">
      <c r="C195" s="168">
        <v>186</v>
      </c>
      <c r="D195" s="184"/>
      <c r="E195" s="185"/>
      <c r="F195" s="171" t="str">
        <f>IF(D195="","",VLOOKUP(D195,'G-7 Rivers Data'!$B$2:$G$8,2,FALSE))</f>
        <v/>
      </c>
      <c r="G195" s="172" t="str">
        <f>IFERROR(VLOOKUP(F195,'G-7 Rivers Data'!$C$4:$D$8,2,FALSE),"")</f>
        <v/>
      </c>
      <c r="H195" s="173"/>
      <c r="I195" s="172" t="str">
        <f>IFERROR(INDEX('G-7 Rivers Data'!$H$4:$L$8,MATCH(D195,'G-7 Rivers Data'!$B$4:$B$8,0),MATCH(H195,'G-7 Rivers Data'!$H$3:$L$3,0)),"")</f>
        <v/>
      </c>
      <c r="J195" s="186"/>
      <c r="K195" s="175" t="str">
        <f>IF(J195="","",IF(VLOOKUP(J195,'G-7 Rivers Data'!$AK$4:$AM$9,2,FALSE)=0,"Spatial Data Missing",VLOOKUP(J195,'G-7 Rivers Data'!$AK$4:$AM$9,2,FALSE)))</f>
        <v/>
      </c>
      <c r="L195" s="176" t="str">
        <f>IF(J195="","",IF(VLOOKUP(J195,'G-7 Rivers Data'!$AK$4:$AM$9,3,FALSE)=0,"Spatial Data Missing",VLOOKUP(J195,'G-7 Rivers Data'!$AK$4:$AM$9,3,FALSE)))</f>
        <v/>
      </c>
      <c r="M195" s="79"/>
      <c r="N195" s="172" t="str">
        <f>IF(M195="","",IF(VLOOKUP(M195,'G-7 Rivers Data'!$AA$4:$AB$7,2,FALSE)=0,"Spatial Data Missing",VLOOKUP(M195,'G-7 Rivers Data'!$AA$4:$AB$7,2,FALSE)))</f>
        <v/>
      </c>
      <c r="O195" s="187"/>
      <c r="P195" s="172" t="str">
        <f>IF(O195="","",IF(VLOOKUP(O195,'G-7 Rivers Data'!$AD$4:$AE$8,2,FALSE)=0,"Spatial Data Missing",VLOOKUP(O195,'G-7 Rivers Data'!$AD$4:$AE$8,2,FALSE)))</f>
        <v/>
      </c>
      <c r="Q195" s="177" t="str">
        <f>IF(D195="","",VLOOKUP(D195,'G-7 Rivers Data'!$B$4:$G$8,6,FALSE))</f>
        <v/>
      </c>
      <c r="R195" s="178" t="str">
        <f t="shared" si="16"/>
        <v/>
      </c>
      <c r="S195" s="44"/>
      <c r="T195" s="173"/>
      <c r="U195" s="189"/>
      <c r="V195" s="208" t="str">
        <f t="shared" si="17"/>
        <v/>
      </c>
      <c r="W195" s="208" t="str">
        <f t="shared" si="18"/>
        <v/>
      </c>
      <c r="X195" s="208" t="str">
        <f t="shared" si="19"/>
        <v/>
      </c>
      <c r="Y195" s="209" t="str">
        <f t="shared" si="20"/>
        <v/>
      </c>
      <c r="Z195" s="182"/>
      <c r="AA195" s="183"/>
      <c r="AF195" s="35" t="str">
        <f>IFERROR(INDEX('G-7 Rivers Data'!$AZ$3:$AZ$7,MATCH(D195,'G-7 Rivers Data'!$AY$3:$AY$7,0)),"")</f>
        <v/>
      </c>
      <c r="AG195" s="35">
        <f t="shared" si="21"/>
        <v>0</v>
      </c>
      <c r="AH195" s="188" t="str">
        <f t="shared" si="22"/>
        <v/>
      </c>
      <c r="AI195" s="188" t="str">
        <f t="shared" si="23"/>
        <v/>
      </c>
      <c r="AK195" s="188">
        <v>186</v>
      </c>
      <c r="AM195" s="188" t="str">
        <f t="array" ref="AM195">IFERROR(INDEX($AK$10:$AK$258, MATCH(0, IF(TRUE=$AH$10:$AH$258, COUNTIF($AM$9:$AM194, $AK$10:$AK$258), ""), 0)),"")</f>
        <v/>
      </c>
      <c r="AN195" s="188" t="str">
        <f t="array" ref="AN195">IFERROR(INDEX($AK$10:$AK$258, MATCH(0, IF(TRUE=$AI$10:$AI$258, COUNTIF($AN$9:$AN194, $AK$10:$AK$258), ""), 0)),"")</f>
        <v/>
      </c>
    </row>
    <row r="196" spans="3:40" ht="13.8" x14ac:dyDescent="0.25">
      <c r="C196" s="168">
        <v>187</v>
      </c>
      <c r="D196" s="184"/>
      <c r="E196" s="185"/>
      <c r="F196" s="171" t="str">
        <f>IF(D196="","",VLOOKUP(D196,'G-7 Rivers Data'!$B$2:$G$8,2,FALSE))</f>
        <v/>
      </c>
      <c r="G196" s="172" t="str">
        <f>IFERROR(VLOOKUP(F196,'G-7 Rivers Data'!$C$4:$D$8,2,FALSE),"")</f>
        <v/>
      </c>
      <c r="H196" s="173"/>
      <c r="I196" s="172" t="str">
        <f>IFERROR(INDEX('G-7 Rivers Data'!$H$4:$L$8,MATCH(D196,'G-7 Rivers Data'!$B$4:$B$8,0),MATCH(H196,'G-7 Rivers Data'!$H$3:$L$3,0)),"")</f>
        <v/>
      </c>
      <c r="J196" s="186"/>
      <c r="K196" s="175" t="str">
        <f>IF(J196="","",IF(VLOOKUP(J196,'G-7 Rivers Data'!$AK$4:$AM$9,2,FALSE)=0,"Spatial Data Missing",VLOOKUP(J196,'G-7 Rivers Data'!$AK$4:$AM$9,2,FALSE)))</f>
        <v/>
      </c>
      <c r="L196" s="176" t="str">
        <f>IF(J196="","",IF(VLOOKUP(J196,'G-7 Rivers Data'!$AK$4:$AM$9,3,FALSE)=0,"Spatial Data Missing",VLOOKUP(J196,'G-7 Rivers Data'!$AK$4:$AM$9,3,FALSE)))</f>
        <v/>
      </c>
      <c r="M196" s="79"/>
      <c r="N196" s="172" t="str">
        <f>IF(M196="","",IF(VLOOKUP(M196,'G-7 Rivers Data'!$AA$4:$AB$7,2,FALSE)=0,"Spatial Data Missing",VLOOKUP(M196,'G-7 Rivers Data'!$AA$4:$AB$7,2,FALSE)))</f>
        <v/>
      </c>
      <c r="O196" s="187"/>
      <c r="P196" s="172" t="str">
        <f>IF(O196="","",IF(VLOOKUP(O196,'G-7 Rivers Data'!$AD$4:$AE$8,2,FALSE)=0,"Spatial Data Missing",VLOOKUP(O196,'G-7 Rivers Data'!$AD$4:$AE$8,2,FALSE)))</f>
        <v/>
      </c>
      <c r="Q196" s="177" t="str">
        <f>IF(D196="","",VLOOKUP(D196,'G-7 Rivers Data'!$B$4:$G$8,6,FALSE))</f>
        <v/>
      </c>
      <c r="R196" s="178" t="str">
        <f t="shared" si="16"/>
        <v/>
      </c>
      <c r="S196" s="44"/>
      <c r="T196" s="173"/>
      <c r="U196" s="189"/>
      <c r="V196" s="208" t="str">
        <f t="shared" si="17"/>
        <v/>
      </c>
      <c r="W196" s="208" t="str">
        <f t="shared" si="18"/>
        <v/>
      </c>
      <c r="X196" s="208" t="str">
        <f t="shared" si="19"/>
        <v/>
      </c>
      <c r="Y196" s="209" t="str">
        <f t="shared" si="20"/>
        <v/>
      </c>
      <c r="Z196" s="182"/>
      <c r="AA196" s="183"/>
      <c r="AF196" s="35" t="str">
        <f>IFERROR(INDEX('G-7 Rivers Data'!$AZ$3:$AZ$7,MATCH(D196,'G-7 Rivers Data'!$AY$3:$AY$7,0)),"")</f>
        <v/>
      </c>
      <c r="AG196" s="35">
        <f t="shared" si="21"/>
        <v>0</v>
      </c>
      <c r="AH196" s="188" t="str">
        <f t="shared" si="22"/>
        <v/>
      </c>
      <c r="AI196" s="188" t="str">
        <f t="shared" si="23"/>
        <v/>
      </c>
      <c r="AK196" s="188">
        <v>187</v>
      </c>
      <c r="AM196" s="188" t="str">
        <f t="array" ref="AM196">IFERROR(INDEX($AK$10:$AK$258, MATCH(0, IF(TRUE=$AH$10:$AH$258, COUNTIF($AM$9:$AM195, $AK$10:$AK$258), ""), 0)),"")</f>
        <v/>
      </c>
      <c r="AN196" s="188" t="str">
        <f t="array" ref="AN196">IFERROR(INDEX($AK$10:$AK$258, MATCH(0, IF(TRUE=$AI$10:$AI$258, COUNTIF($AN$9:$AN195, $AK$10:$AK$258), ""), 0)),"")</f>
        <v/>
      </c>
    </row>
    <row r="197" spans="3:40" ht="13.8" x14ac:dyDescent="0.25">
      <c r="C197" s="168">
        <v>188</v>
      </c>
      <c r="D197" s="184"/>
      <c r="E197" s="185"/>
      <c r="F197" s="171" t="str">
        <f>IF(D197="","",VLOOKUP(D197,'G-7 Rivers Data'!$B$2:$G$8,2,FALSE))</f>
        <v/>
      </c>
      <c r="G197" s="172" t="str">
        <f>IFERROR(VLOOKUP(F197,'G-7 Rivers Data'!$C$4:$D$8,2,FALSE),"")</f>
        <v/>
      </c>
      <c r="H197" s="173"/>
      <c r="I197" s="172" t="str">
        <f>IFERROR(INDEX('G-7 Rivers Data'!$H$4:$L$8,MATCH(D197,'G-7 Rivers Data'!$B$4:$B$8,0),MATCH(H197,'G-7 Rivers Data'!$H$3:$L$3,0)),"")</f>
        <v/>
      </c>
      <c r="J197" s="186"/>
      <c r="K197" s="175" t="str">
        <f>IF(J197="","",IF(VLOOKUP(J197,'G-7 Rivers Data'!$AK$4:$AM$9,2,FALSE)=0,"Spatial Data Missing",VLOOKUP(J197,'G-7 Rivers Data'!$AK$4:$AM$9,2,FALSE)))</f>
        <v/>
      </c>
      <c r="L197" s="176" t="str">
        <f>IF(J197="","",IF(VLOOKUP(J197,'G-7 Rivers Data'!$AK$4:$AM$9,3,FALSE)=0,"Spatial Data Missing",VLOOKUP(J197,'G-7 Rivers Data'!$AK$4:$AM$9,3,FALSE)))</f>
        <v/>
      </c>
      <c r="M197" s="79"/>
      <c r="N197" s="172" t="str">
        <f>IF(M197="","",IF(VLOOKUP(M197,'G-7 Rivers Data'!$AA$4:$AB$7,2,FALSE)=0,"Spatial Data Missing",VLOOKUP(M197,'G-7 Rivers Data'!$AA$4:$AB$7,2,FALSE)))</f>
        <v/>
      </c>
      <c r="O197" s="187"/>
      <c r="P197" s="172" t="str">
        <f>IF(O197="","",IF(VLOOKUP(O197,'G-7 Rivers Data'!$AD$4:$AE$8,2,FALSE)=0,"Spatial Data Missing",VLOOKUP(O197,'G-7 Rivers Data'!$AD$4:$AE$8,2,FALSE)))</f>
        <v/>
      </c>
      <c r="Q197" s="177" t="str">
        <f>IF(D197="","",VLOOKUP(D197,'G-7 Rivers Data'!$B$4:$G$8,6,FALSE))</f>
        <v/>
      </c>
      <c r="R197" s="178" t="str">
        <f t="shared" si="16"/>
        <v/>
      </c>
      <c r="S197" s="44"/>
      <c r="T197" s="173"/>
      <c r="U197" s="189"/>
      <c r="V197" s="208" t="str">
        <f t="shared" si="17"/>
        <v/>
      </c>
      <c r="W197" s="208" t="str">
        <f t="shared" si="18"/>
        <v/>
      </c>
      <c r="X197" s="208" t="str">
        <f t="shared" si="19"/>
        <v/>
      </c>
      <c r="Y197" s="209" t="str">
        <f t="shared" si="20"/>
        <v/>
      </c>
      <c r="Z197" s="182"/>
      <c r="AA197" s="183"/>
      <c r="AF197" s="35" t="str">
        <f>IFERROR(INDEX('G-7 Rivers Data'!$AZ$3:$AZ$7,MATCH(D197,'G-7 Rivers Data'!$AY$3:$AY$7,0)),"")</f>
        <v/>
      </c>
      <c r="AG197" s="35">
        <f t="shared" si="21"/>
        <v>0</v>
      </c>
      <c r="AH197" s="188" t="str">
        <f t="shared" si="22"/>
        <v/>
      </c>
      <c r="AI197" s="188" t="str">
        <f t="shared" si="23"/>
        <v/>
      </c>
      <c r="AK197" s="188">
        <v>188</v>
      </c>
      <c r="AM197" s="188" t="str">
        <f t="array" ref="AM197">IFERROR(INDEX($AK$10:$AK$258, MATCH(0, IF(TRUE=$AH$10:$AH$258, COUNTIF($AM$9:$AM196, $AK$10:$AK$258), ""), 0)),"")</f>
        <v/>
      </c>
      <c r="AN197" s="188" t="str">
        <f t="array" ref="AN197">IFERROR(INDEX($AK$10:$AK$258, MATCH(0, IF(TRUE=$AI$10:$AI$258, COUNTIF($AN$9:$AN196, $AK$10:$AK$258), ""), 0)),"")</f>
        <v/>
      </c>
    </row>
    <row r="198" spans="3:40" ht="13.8" x14ac:dyDescent="0.25">
      <c r="C198" s="168">
        <v>189</v>
      </c>
      <c r="D198" s="184"/>
      <c r="E198" s="185"/>
      <c r="F198" s="171" t="str">
        <f>IF(D198="","",VLOOKUP(D198,'G-7 Rivers Data'!$B$2:$G$8,2,FALSE))</f>
        <v/>
      </c>
      <c r="G198" s="172" t="str">
        <f>IFERROR(VLOOKUP(F198,'G-7 Rivers Data'!$C$4:$D$8,2,FALSE),"")</f>
        <v/>
      </c>
      <c r="H198" s="173"/>
      <c r="I198" s="172" t="str">
        <f>IFERROR(INDEX('G-7 Rivers Data'!$H$4:$L$8,MATCH(D198,'G-7 Rivers Data'!$B$4:$B$8,0),MATCH(H198,'G-7 Rivers Data'!$H$3:$L$3,0)),"")</f>
        <v/>
      </c>
      <c r="J198" s="186"/>
      <c r="K198" s="175" t="str">
        <f>IF(J198="","",IF(VLOOKUP(J198,'G-7 Rivers Data'!$AK$4:$AM$9,2,FALSE)=0,"Spatial Data Missing",VLOOKUP(J198,'G-7 Rivers Data'!$AK$4:$AM$9,2,FALSE)))</f>
        <v/>
      </c>
      <c r="L198" s="176" t="str">
        <f>IF(J198="","",IF(VLOOKUP(J198,'G-7 Rivers Data'!$AK$4:$AM$9,3,FALSE)=0,"Spatial Data Missing",VLOOKUP(J198,'G-7 Rivers Data'!$AK$4:$AM$9,3,FALSE)))</f>
        <v/>
      </c>
      <c r="M198" s="79"/>
      <c r="N198" s="172" t="str">
        <f>IF(M198="","",IF(VLOOKUP(M198,'G-7 Rivers Data'!$AA$4:$AB$7,2,FALSE)=0,"Spatial Data Missing",VLOOKUP(M198,'G-7 Rivers Data'!$AA$4:$AB$7,2,FALSE)))</f>
        <v/>
      </c>
      <c r="O198" s="187"/>
      <c r="P198" s="172" t="str">
        <f>IF(O198="","",IF(VLOOKUP(O198,'G-7 Rivers Data'!$AD$4:$AE$8,2,FALSE)=0,"Spatial Data Missing",VLOOKUP(O198,'G-7 Rivers Data'!$AD$4:$AE$8,2,FALSE)))</f>
        <v/>
      </c>
      <c r="Q198" s="177" t="str">
        <f>IF(D198="","",VLOOKUP(D198,'G-7 Rivers Data'!$B$4:$G$8,6,FALSE))</f>
        <v/>
      </c>
      <c r="R198" s="178" t="str">
        <f t="shared" si="16"/>
        <v/>
      </c>
      <c r="S198" s="44"/>
      <c r="T198" s="173"/>
      <c r="U198" s="189"/>
      <c r="V198" s="208" t="str">
        <f t="shared" si="17"/>
        <v/>
      </c>
      <c r="W198" s="208" t="str">
        <f t="shared" si="18"/>
        <v/>
      </c>
      <c r="X198" s="208" t="str">
        <f t="shared" si="19"/>
        <v/>
      </c>
      <c r="Y198" s="209" t="str">
        <f t="shared" si="20"/>
        <v/>
      </c>
      <c r="Z198" s="182"/>
      <c r="AA198" s="183"/>
      <c r="AF198" s="35" t="str">
        <f>IFERROR(INDEX('G-7 Rivers Data'!$AZ$3:$AZ$7,MATCH(D198,'G-7 Rivers Data'!$AY$3:$AY$7,0)),"")</f>
        <v/>
      </c>
      <c r="AG198" s="35">
        <f t="shared" si="21"/>
        <v>0</v>
      </c>
      <c r="AH198" s="188" t="str">
        <f t="shared" si="22"/>
        <v/>
      </c>
      <c r="AI198" s="188" t="str">
        <f t="shared" si="23"/>
        <v/>
      </c>
      <c r="AK198" s="188">
        <v>189</v>
      </c>
      <c r="AM198" s="188" t="str">
        <f t="array" ref="AM198">IFERROR(INDEX($AK$10:$AK$258, MATCH(0, IF(TRUE=$AH$10:$AH$258, COUNTIF($AM$9:$AM197, $AK$10:$AK$258), ""), 0)),"")</f>
        <v/>
      </c>
      <c r="AN198" s="188" t="str">
        <f t="array" ref="AN198">IFERROR(INDEX($AK$10:$AK$258, MATCH(0, IF(TRUE=$AI$10:$AI$258, COUNTIF($AN$9:$AN197, $AK$10:$AK$258), ""), 0)),"")</f>
        <v/>
      </c>
    </row>
    <row r="199" spans="3:40" ht="13.8" x14ac:dyDescent="0.25">
      <c r="C199" s="168">
        <v>190</v>
      </c>
      <c r="D199" s="184"/>
      <c r="E199" s="185"/>
      <c r="F199" s="171" t="str">
        <f>IF(D199="","",VLOOKUP(D199,'G-7 Rivers Data'!$B$2:$G$8,2,FALSE))</f>
        <v/>
      </c>
      <c r="G199" s="172" t="str">
        <f>IFERROR(VLOOKUP(F199,'G-7 Rivers Data'!$C$4:$D$8,2,FALSE),"")</f>
        <v/>
      </c>
      <c r="H199" s="173"/>
      <c r="I199" s="172" t="str">
        <f>IFERROR(INDEX('G-7 Rivers Data'!$H$4:$L$8,MATCH(D199,'G-7 Rivers Data'!$B$4:$B$8,0),MATCH(H199,'G-7 Rivers Data'!$H$3:$L$3,0)),"")</f>
        <v/>
      </c>
      <c r="J199" s="186"/>
      <c r="K199" s="175" t="str">
        <f>IF(J199="","",IF(VLOOKUP(J199,'G-7 Rivers Data'!$AK$4:$AM$9,2,FALSE)=0,"Spatial Data Missing",VLOOKUP(J199,'G-7 Rivers Data'!$AK$4:$AM$9,2,FALSE)))</f>
        <v/>
      </c>
      <c r="L199" s="176" t="str">
        <f>IF(J199="","",IF(VLOOKUP(J199,'G-7 Rivers Data'!$AK$4:$AM$9,3,FALSE)=0,"Spatial Data Missing",VLOOKUP(J199,'G-7 Rivers Data'!$AK$4:$AM$9,3,FALSE)))</f>
        <v/>
      </c>
      <c r="M199" s="79"/>
      <c r="N199" s="172" t="str">
        <f>IF(M199="","",IF(VLOOKUP(M199,'G-7 Rivers Data'!$AA$4:$AB$7,2,FALSE)=0,"Spatial Data Missing",VLOOKUP(M199,'G-7 Rivers Data'!$AA$4:$AB$7,2,FALSE)))</f>
        <v/>
      </c>
      <c r="O199" s="187"/>
      <c r="P199" s="172" t="str">
        <f>IF(O199="","",IF(VLOOKUP(O199,'G-7 Rivers Data'!$AD$4:$AE$8,2,FALSE)=0,"Spatial Data Missing",VLOOKUP(O199,'G-7 Rivers Data'!$AD$4:$AE$8,2,FALSE)))</f>
        <v/>
      </c>
      <c r="Q199" s="177" t="str">
        <f>IF(D199="","",VLOOKUP(D199,'G-7 Rivers Data'!$B$4:$G$8,6,FALSE))</f>
        <v/>
      </c>
      <c r="R199" s="178" t="str">
        <f t="shared" si="16"/>
        <v/>
      </c>
      <c r="S199" s="44"/>
      <c r="T199" s="173"/>
      <c r="U199" s="189"/>
      <c r="V199" s="208" t="str">
        <f t="shared" si="17"/>
        <v/>
      </c>
      <c r="W199" s="208" t="str">
        <f t="shared" si="18"/>
        <v/>
      </c>
      <c r="X199" s="208" t="str">
        <f t="shared" si="19"/>
        <v/>
      </c>
      <c r="Y199" s="209" t="str">
        <f t="shared" si="20"/>
        <v/>
      </c>
      <c r="Z199" s="182"/>
      <c r="AA199" s="183"/>
      <c r="AF199" s="35" t="str">
        <f>IFERROR(INDEX('G-7 Rivers Data'!$AZ$3:$AZ$7,MATCH(D199,'G-7 Rivers Data'!$AY$3:$AY$7,0)),"")</f>
        <v/>
      </c>
      <c r="AG199" s="35">
        <f t="shared" si="21"/>
        <v>0</v>
      </c>
      <c r="AH199" s="188" t="str">
        <f t="shared" si="22"/>
        <v/>
      </c>
      <c r="AI199" s="188" t="str">
        <f t="shared" si="23"/>
        <v/>
      </c>
      <c r="AK199" s="188">
        <v>190</v>
      </c>
      <c r="AM199" s="188" t="str">
        <f t="array" ref="AM199">IFERROR(INDEX($AK$10:$AK$258, MATCH(0, IF(TRUE=$AH$10:$AH$258, COUNTIF($AM$9:$AM198, $AK$10:$AK$258), ""), 0)),"")</f>
        <v/>
      </c>
      <c r="AN199" s="188" t="str">
        <f t="array" ref="AN199">IFERROR(INDEX($AK$10:$AK$258, MATCH(0, IF(TRUE=$AI$10:$AI$258, COUNTIF($AN$9:$AN198, $AK$10:$AK$258), ""), 0)),"")</f>
        <v/>
      </c>
    </row>
    <row r="200" spans="3:40" ht="13.8" x14ac:dyDescent="0.25">
      <c r="C200" s="168">
        <v>191</v>
      </c>
      <c r="D200" s="184"/>
      <c r="E200" s="185"/>
      <c r="F200" s="171" t="str">
        <f>IF(D200="","",VLOOKUP(D200,'G-7 Rivers Data'!$B$2:$G$8,2,FALSE))</f>
        <v/>
      </c>
      <c r="G200" s="172" t="str">
        <f>IFERROR(VLOOKUP(F200,'G-7 Rivers Data'!$C$4:$D$8,2,FALSE),"")</f>
        <v/>
      </c>
      <c r="H200" s="173"/>
      <c r="I200" s="172" t="str">
        <f>IFERROR(INDEX('G-7 Rivers Data'!$H$4:$L$8,MATCH(D200,'G-7 Rivers Data'!$B$4:$B$8,0),MATCH(H200,'G-7 Rivers Data'!$H$3:$L$3,0)),"")</f>
        <v/>
      </c>
      <c r="J200" s="186"/>
      <c r="K200" s="175" t="str">
        <f>IF(J200="","",IF(VLOOKUP(J200,'G-7 Rivers Data'!$AK$4:$AM$9,2,FALSE)=0,"Spatial Data Missing",VLOOKUP(J200,'G-7 Rivers Data'!$AK$4:$AM$9,2,FALSE)))</f>
        <v/>
      </c>
      <c r="L200" s="176" t="str">
        <f>IF(J200="","",IF(VLOOKUP(J200,'G-7 Rivers Data'!$AK$4:$AM$9,3,FALSE)=0,"Spatial Data Missing",VLOOKUP(J200,'G-7 Rivers Data'!$AK$4:$AM$9,3,FALSE)))</f>
        <v/>
      </c>
      <c r="M200" s="79"/>
      <c r="N200" s="172" t="str">
        <f>IF(M200="","",IF(VLOOKUP(M200,'G-7 Rivers Data'!$AA$4:$AB$7,2,FALSE)=0,"Spatial Data Missing",VLOOKUP(M200,'G-7 Rivers Data'!$AA$4:$AB$7,2,FALSE)))</f>
        <v/>
      </c>
      <c r="O200" s="187"/>
      <c r="P200" s="172" t="str">
        <f>IF(O200="","",IF(VLOOKUP(O200,'G-7 Rivers Data'!$AD$4:$AE$8,2,FALSE)=0,"Spatial Data Missing",VLOOKUP(O200,'G-7 Rivers Data'!$AD$4:$AE$8,2,FALSE)))</f>
        <v/>
      </c>
      <c r="Q200" s="177" t="str">
        <f>IF(D200="","",VLOOKUP(D200,'G-7 Rivers Data'!$B$4:$G$8,6,FALSE))</f>
        <v/>
      </c>
      <c r="R200" s="178" t="str">
        <f t="shared" si="16"/>
        <v/>
      </c>
      <c r="S200" s="44"/>
      <c r="T200" s="173"/>
      <c r="U200" s="189"/>
      <c r="V200" s="208" t="str">
        <f t="shared" si="17"/>
        <v/>
      </c>
      <c r="W200" s="208" t="str">
        <f t="shared" si="18"/>
        <v/>
      </c>
      <c r="X200" s="208" t="str">
        <f t="shared" si="19"/>
        <v/>
      </c>
      <c r="Y200" s="209" t="str">
        <f t="shared" si="20"/>
        <v/>
      </c>
      <c r="Z200" s="182"/>
      <c r="AA200" s="183"/>
      <c r="AF200" s="35" t="str">
        <f>IFERROR(INDEX('G-7 Rivers Data'!$AZ$3:$AZ$7,MATCH(D200,'G-7 Rivers Data'!$AY$3:$AY$7,0)),"")</f>
        <v/>
      </c>
      <c r="AG200" s="35">
        <f t="shared" si="21"/>
        <v>0</v>
      </c>
      <c r="AH200" s="188" t="str">
        <f t="shared" si="22"/>
        <v/>
      </c>
      <c r="AI200" s="188" t="str">
        <f t="shared" si="23"/>
        <v/>
      </c>
      <c r="AK200" s="188">
        <v>191</v>
      </c>
      <c r="AM200" s="188" t="str">
        <f t="array" ref="AM200">IFERROR(INDEX($AK$10:$AK$258, MATCH(0, IF(TRUE=$AH$10:$AH$258, COUNTIF($AM$9:$AM199, $AK$10:$AK$258), ""), 0)),"")</f>
        <v/>
      </c>
      <c r="AN200" s="188" t="str">
        <f t="array" ref="AN200">IFERROR(INDEX($AK$10:$AK$258, MATCH(0, IF(TRUE=$AI$10:$AI$258, COUNTIF($AN$9:$AN199, $AK$10:$AK$258), ""), 0)),"")</f>
        <v/>
      </c>
    </row>
    <row r="201" spans="3:40" ht="13.8" x14ac:dyDescent="0.25">
      <c r="C201" s="168">
        <v>192</v>
      </c>
      <c r="D201" s="184"/>
      <c r="E201" s="185"/>
      <c r="F201" s="171" t="str">
        <f>IF(D201="","",VLOOKUP(D201,'G-7 Rivers Data'!$B$2:$G$8,2,FALSE))</f>
        <v/>
      </c>
      <c r="G201" s="172" t="str">
        <f>IFERROR(VLOOKUP(F201,'G-7 Rivers Data'!$C$4:$D$8,2,FALSE),"")</f>
        <v/>
      </c>
      <c r="H201" s="173"/>
      <c r="I201" s="172" t="str">
        <f>IFERROR(INDEX('G-7 Rivers Data'!$H$4:$L$8,MATCH(D201,'G-7 Rivers Data'!$B$4:$B$8,0),MATCH(H201,'G-7 Rivers Data'!$H$3:$L$3,0)),"")</f>
        <v/>
      </c>
      <c r="J201" s="186"/>
      <c r="K201" s="175" t="str">
        <f>IF(J201="","",IF(VLOOKUP(J201,'G-7 Rivers Data'!$AK$4:$AM$9,2,FALSE)=0,"Spatial Data Missing",VLOOKUP(J201,'G-7 Rivers Data'!$AK$4:$AM$9,2,FALSE)))</f>
        <v/>
      </c>
      <c r="L201" s="176" t="str">
        <f>IF(J201="","",IF(VLOOKUP(J201,'G-7 Rivers Data'!$AK$4:$AM$9,3,FALSE)=0,"Spatial Data Missing",VLOOKUP(J201,'G-7 Rivers Data'!$AK$4:$AM$9,3,FALSE)))</f>
        <v/>
      </c>
      <c r="M201" s="79"/>
      <c r="N201" s="172" t="str">
        <f>IF(M201="","",IF(VLOOKUP(M201,'G-7 Rivers Data'!$AA$4:$AB$7,2,FALSE)=0,"Spatial Data Missing",VLOOKUP(M201,'G-7 Rivers Data'!$AA$4:$AB$7,2,FALSE)))</f>
        <v/>
      </c>
      <c r="O201" s="187"/>
      <c r="P201" s="172" t="str">
        <f>IF(O201="","",IF(VLOOKUP(O201,'G-7 Rivers Data'!$AD$4:$AE$8,2,FALSE)=0,"Spatial Data Missing",VLOOKUP(O201,'G-7 Rivers Data'!$AD$4:$AE$8,2,FALSE)))</f>
        <v/>
      </c>
      <c r="Q201" s="177" t="str">
        <f>IF(D201="","",VLOOKUP(D201,'G-7 Rivers Data'!$B$4:$G$8,6,FALSE))</f>
        <v/>
      </c>
      <c r="R201" s="178" t="str">
        <f t="shared" si="16"/>
        <v/>
      </c>
      <c r="S201" s="44"/>
      <c r="T201" s="173"/>
      <c r="U201" s="189"/>
      <c r="V201" s="208" t="str">
        <f t="shared" si="17"/>
        <v/>
      </c>
      <c r="W201" s="208" t="str">
        <f t="shared" si="18"/>
        <v/>
      </c>
      <c r="X201" s="208" t="str">
        <f t="shared" si="19"/>
        <v/>
      </c>
      <c r="Y201" s="209" t="str">
        <f t="shared" si="20"/>
        <v/>
      </c>
      <c r="Z201" s="182"/>
      <c r="AA201" s="183"/>
      <c r="AF201" s="35" t="str">
        <f>IFERROR(INDEX('G-7 Rivers Data'!$AZ$3:$AZ$7,MATCH(D201,'G-7 Rivers Data'!$AY$3:$AY$7,0)),"")</f>
        <v/>
      </c>
      <c r="AG201" s="35">
        <f t="shared" si="21"/>
        <v>0</v>
      </c>
      <c r="AH201" s="188" t="str">
        <f t="shared" si="22"/>
        <v/>
      </c>
      <c r="AI201" s="188" t="str">
        <f t="shared" si="23"/>
        <v/>
      </c>
      <c r="AK201" s="188">
        <v>192</v>
      </c>
      <c r="AM201" s="188" t="str">
        <f t="array" ref="AM201">IFERROR(INDEX($AK$10:$AK$258, MATCH(0, IF(TRUE=$AH$10:$AH$258, COUNTIF($AM$9:$AM200, $AK$10:$AK$258), ""), 0)),"")</f>
        <v/>
      </c>
      <c r="AN201" s="188" t="str">
        <f t="array" ref="AN201">IFERROR(INDEX($AK$10:$AK$258, MATCH(0, IF(TRUE=$AI$10:$AI$258, COUNTIF($AN$9:$AN200, $AK$10:$AK$258), ""), 0)),"")</f>
        <v/>
      </c>
    </row>
    <row r="202" spans="3:40" ht="13.8" x14ac:dyDescent="0.25">
      <c r="C202" s="168">
        <v>193</v>
      </c>
      <c r="D202" s="184"/>
      <c r="E202" s="185"/>
      <c r="F202" s="171" t="str">
        <f>IF(D202="","",VLOOKUP(D202,'G-7 Rivers Data'!$B$2:$G$8,2,FALSE))</f>
        <v/>
      </c>
      <c r="G202" s="172" t="str">
        <f>IFERROR(VLOOKUP(F202,'G-7 Rivers Data'!$C$4:$D$8,2,FALSE),"")</f>
        <v/>
      </c>
      <c r="H202" s="173"/>
      <c r="I202" s="172" t="str">
        <f>IFERROR(INDEX('G-7 Rivers Data'!$H$4:$L$8,MATCH(D202,'G-7 Rivers Data'!$B$4:$B$8,0),MATCH(H202,'G-7 Rivers Data'!$H$3:$L$3,0)),"")</f>
        <v/>
      </c>
      <c r="J202" s="186"/>
      <c r="K202" s="175" t="str">
        <f>IF(J202="","",IF(VLOOKUP(J202,'G-7 Rivers Data'!$AK$4:$AM$9,2,FALSE)=0,"Spatial Data Missing",VLOOKUP(J202,'G-7 Rivers Data'!$AK$4:$AM$9,2,FALSE)))</f>
        <v/>
      </c>
      <c r="L202" s="176" t="str">
        <f>IF(J202="","",IF(VLOOKUP(J202,'G-7 Rivers Data'!$AK$4:$AM$9,3,FALSE)=0,"Spatial Data Missing",VLOOKUP(J202,'G-7 Rivers Data'!$AK$4:$AM$9,3,FALSE)))</f>
        <v/>
      </c>
      <c r="M202" s="79"/>
      <c r="N202" s="172" t="str">
        <f>IF(M202="","",IF(VLOOKUP(M202,'G-7 Rivers Data'!$AA$4:$AB$7,2,FALSE)=0,"Spatial Data Missing",VLOOKUP(M202,'G-7 Rivers Data'!$AA$4:$AB$7,2,FALSE)))</f>
        <v/>
      </c>
      <c r="O202" s="187"/>
      <c r="P202" s="172" t="str">
        <f>IF(O202="","",IF(VLOOKUP(O202,'G-7 Rivers Data'!$AD$4:$AE$8,2,FALSE)=0,"Spatial Data Missing",VLOOKUP(O202,'G-7 Rivers Data'!$AD$4:$AE$8,2,FALSE)))</f>
        <v/>
      </c>
      <c r="Q202" s="177" t="str">
        <f>IF(D202="","",VLOOKUP(D202,'G-7 Rivers Data'!$B$4:$G$8,6,FALSE))</f>
        <v/>
      </c>
      <c r="R202" s="178" t="str">
        <f t="shared" si="16"/>
        <v/>
      </c>
      <c r="S202" s="44"/>
      <c r="T202" s="173"/>
      <c r="U202" s="189"/>
      <c r="V202" s="208" t="str">
        <f t="shared" si="17"/>
        <v/>
      </c>
      <c r="W202" s="208" t="str">
        <f t="shared" si="18"/>
        <v/>
      </c>
      <c r="X202" s="208" t="str">
        <f t="shared" si="19"/>
        <v/>
      </c>
      <c r="Y202" s="209" t="str">
        <f t="shared" si="20"/>
        <v/>
      </c>
      <c r="Z202" s="182"/>
      <c r="AA202" s="183"/>
      <c r="AF202" s="35" t="str">
        <f>IFERROR(INDEX('G-7 Rivers Data'!$AZ$3:$AZ$7,MATCH(D202,'G-7 Rivers Data'!$AY$3:$AY$7,0)),"")</f>
        <v/>
      </c>
      <c r="AG202" s="35">
        <f t="shared" si="21"/>
        <v>0</v>
      </c>
      <c r="AH202" s="188" t="str">
        <f t="shared" si="22"/>
        <v/>
      </c>
      <c r="AI202" s="188" t="str">
        <f t="shared" si="23"/>
        <v/>
      </c>
      <c r="AK202" s="188">
        <v>193</v>
      </c>
      <c r="AM202" s="188" t="str">
        <f t="array" ref="AM202">IFERROR(INDEX($AK$10:$AK$258, MATCH(0, IF(TRUE=$AH$10:$AH$258, COUNTIF($AM$9:$AM201, $AK$10:$AK$258), ""), 0)),"")</f>
        <v/>
      </c>
      <c r="AN202" s="188" t="str">
        <f t="array" ref="AN202">IFERROR(INDEX($AK$10:$AK$258, MATCH(0, IF(TRUE=$AI$10:$AI$258, COUNTIF($AN$9:$AN201, $AK$10:$AK$258), ""), 0)),"")</f>
        <v/>
      </c>
    </row>
    <row r="203" spans="3:40" ht="13.8" x14ac:dyDescent="0.25">
      <c r="C203" s="168">
        <v>194</v>
      </c>
      <c r="D203" s="184"/>
      <c r="E203" s="185"/>
      <c r="F203" s="171" t="str">
        <f>IF(D203="","",VLOOKUP(D203,'G-7 Rivers Data'!$B$2:$G$8,2,FALSE))</f>
        <v/>
      </c>
      <c r="G203" s="172" t="str">
        <f>IFERROR(VLOOKUP(F203,'G-7 Rivers Data'!$C$4:$D$8,2,FALSE),"")</f>
        <v/>
      </c>
      <c r="H203" s="173"/>
      <c r="I203" s="172" t="str">
        <f>IFERROR(INDEX('G-7 Rivers Data'!$H$4:$L$8,MATCH(D203,'G-7 Rivers Data'!$B$4:$B$8,0),MATCH(H203,'G-7 Rivers Data'!$H$3:$L$3,0)),"")</f>
        <v/>
      </c>
      <c r="J203" s="186"/>
      <c r="K203" s="175" t="str">
        <f>IF(J203="","",IF(VLOOKUP(J203,'G-7 Rivers Data'!$AK$4:$AM$9,2,FALSE)=0,"Spatial Data Missing",VLOOKUP(J203,'G-7 Rivers Data'!$AK$4:$AM$9,2,FALSE)))</f>
        <v/>
      </c>
      <c r="L203" s="176" t="str">
        <f>IF(J203="","",IF(VLOOKUP(J203,'G-7 Rivers Data'!$AK$4:$AM$9,3,FALSE)=0,"Spatial Data Missing",VLOOKUP(J203,'G-7 Rivers Data'!$AK$4:$AM$9,3,FALSE)))</f>
        <v/>
      </c>
      <c r="M203" s="79"/>
      <c r="N203" s="172" t="str">
        <f>IF(M203="","",IF(VLOOKUP(M203,'G-7 Rivers Data'!$AA$4:$AB$7,2,FALSE)=0,"Spatial Data Missing",VLOOKUP(M203,'G-7 Rivers Data'!$AA$4:$AB$7,2,FALSE)))</f>
        <v/>
      </c>
      <c r="O203" s="187"/>
      <c r="P203" s="172" t="str">
        <f>IF(O203="","",IF(VLOOKUP(O203,'G-7 Rivers Data'!$AD$4:$AE$8,2,FALSE)=0,"Spatial Data Missing",VLOOKUP(O203,'G-7 Rivers Data'!$AD$4:$AE$8,2,FALSE)))</f>
        <v/>
      </c>
      <c r="Q203" s="177" t="str">
        <f>IF(D203="","",VLOOKUP(D203,'G-7 Rivers Data'!$B$4:$G$8,6,FALSE))</f>
        <v/>
      </c>
      <c r="R203" s="178" t="str">
        <f t="shared" ref="R203:R257" si="24">IFERROR(E203*G203*I203*L203*N203*P203,"")</f>
        <v/>
      </c>
      <c r="S203" s="44"/>
      <c r="T203" s="173"/>
      <c r="U203" s="189"/>
      <c r="V203" s="208" t="str">
        <f t="shared" ref="V203:V257" si="25">IFERROR(IF(T203&gt;E203,"Check Lengths",T203*G203*I203*L203*N203*P203),"")</f>
        <v/>
      </c>
      <c r="W203" s="208" t="str">
        <f t="shared" ref="W203:W257" si="26">IFERROR(IF(D203="","",U203*G203*I203*L203*N203*P203),"")</f>
        <v/>
      </c>
      <c r="X203" s="208" t="str">
        <f t="shared" ref="X203:X257" si="27">IFERROR(IF(D203="","",IF(E203&gt;(T203+U203),E203-T203-U203,0)),"")</f>
        <v/>
      </c>
      <c r="Y203" s="209" t="str">
        <f t="shared" ref="Y203:Y257" si="28">IFERROR(IF(E203="","",IF((V203+W203)&gt;R203,0,R203-V203-W203)),"Check Data")</f>
        <v/>
      </c>
      <c r="Z203" s="182"/>
      <c r="AA203" s="183"/>
      <c r="AF203" s="35" t="str">
        <f>IFERROR(INDEX('G-7 Rivers Data'!$AZ$3:$AZ$7,MATCH(D203,'G-7 Rivers Data'!$AY$3:$AY$7,0)),"")</f>
        <v/>
      </c>
      <c r="AG203" s="35">
        <f t="shared" ref="AG203:AG257" si="29">IFERROR(IF(T203+U203&gt;E203,1,0),"")</f>
        <v>0</v>
      </c>
      <c r="AH203" s="188" t="str">
        <f t="shared" ref="AH203:AH257" si="30">IF(D203="","",IF(T203&gt;0,TRUE,FALSE))</f>
        <v/>
      </c>
      <c r="AI203" s="188" t="str">
        <f t="shared" ref="AI203:AI257" si="31">IF(D203="","",IF(U203&gt;0,TRUE,FALSE))</f>
        <v/>
      </c>
      <c r="AK203" s="188">
        <v>194</v>
      </c>
      <c r="AM203" s="188" t="str">
        <f t="array" ref="AM203">IFERROR(INDEX($AK$10:$AK$258, MATCH(0, IF(TRUE=$AH$10:$AH$258, COUNTIF($AM$9:$AM202, $AK$10:$AK$258), ""), 0)),"")</f>
        <v/>
      </c>
      <c r="AN203" s="188" t="str">
        <f t="array" ref="AN203">IFERROR(INDEX($AK$10:$AK$258, MATCH(0, IF(TRUE=$AI$10:$AI$258, COUNTIF($AN$9:$AN202, $AK$10:$AK$258), ""), 0)),"")</f>
        <v/>
      </c>
    </row>
    <row r="204" spans="3:40" ht="13.8" x14ac:dyDescent="0.25">
      <c r="C204" s="168">
        <v>195</v>
      </c>
      <c r="D204" s="184"/>
      <c r="E204" s="185"/>
      <c r="F204" s="171" t="str">
        <f>IF(D204="","",VLOOKUP(D204,'G-7 Rivers Data'!$B$2:$G$8,2,FALSE))</f>
        <v/>
      </c>
      <c r="G204" s="172" t="str">
        <f>IFERROR(VLOOKUP(F204,'G-7 Rivers Data'!$C$4:$D$8,2,FALSE),"")</f>
        <v/>
      </c>
      <c r="H204" s="173"/>
      <c r="I204" s="172" t="str">
        <f>IFERROR(INDEX('G-7 Rivers Data'!$H$4:$L$8,MATCH(D204,'G-7 Rivers Data'!$B$4:$B$8,0),MATCH(H204,'G-7 Rivers Data'!$H$3:$L$3,0)),"")</f>
        <v/>
      </c>
      <c r="J204" s="186"/>
      <c r="K204" s="175" t="str">
        <f>IF(J204="","",IF(VLOOKUP(J204,'G-7 Rivers Data'!$AK$4:$AM$9,2,FALSE)=0,"Spatial Data Missing",VLOOKUP(J204,'G-7 Rivers Data'!$AK$4:$AM$9,2,FALSE)))</f>
        <v/>
      </c>
      <c r="L204" s="176" t="str">
        <f>IF(J204="","",IF(VLOOKUP(J204,'G-7 Rivers Data'!$AK$4:$AM$9,3,FALSE)=0,"Spatial Data Missing",VLOOKUP(J204,'G-7 Rivers Data'!$AK$4:$AM$9,3,FALSE)))</f>
        <v/>
      </c>
      <c r="M204" s="79"/>
      <c r="N204" s="172" t="str">
        <f>IF(M204="","",IF(VLOOKUP(M204,'G-7 Rivers Data'!$AA$4:$AB$7,2,FALSE)=0,"Spatial Data Missing",VLOOKUP(M204,'G-7 Rivers Data'!$AA$4:$AB$7,2,FALSE)))</f>
        <v/>
      </c>
      <c r="O204" s="187"/>
      <c r="P204" s="172" t="str">
        <f>IF(O204="","",IF(VLOOKUP(O204,'G-7 Rivers Data'!$AD$4:$AE$8,2,FALSE)=0,"Spatial Data Missing",VLOOKUP(O204,'G-7 Rivers Data'!$AD$4:$AE$8,2,FALSE)))</f>
        <v/>
      </c>
      <c r="Q204" s="177" t="str">
        <f>IF(D204="","",VLOOKUP(D204,'G-7 Rivers Data'!$B$4:$G$8,6,FALSE))</f>
        <v/>
      </c>
      <c r="R204" s="178" t="str">
        <f t="shared" si="24"/>
        <v/>
      </c>
      <c r="S204" s="44"/>
      <c r="T204" s="173"/>
      <c r="U204" s="189"/>
      <c r="V204" s="208" t="str">
        <f t="shared" si="25"/>
        <v/>
      </c>
      <c r="W204" s="208" t="str">
        <f t="shared" si="26"/>
        <v/>
      </c>
      <c r="X204" s="208" t="str">
        <f t="shared" si="27"/>
        <v/>
      </c>
      <c r="Y204" s="209" t="str">
        <f t="shared" si="28"/>
        <v/>
      </c>
      <c r="Z204" s="182"/>
      <c r="AA204" s="183"/>
      <c r="AF204" s="35" t="str">
        <f>IFERROR(INDEX('G-7 Rivers Data'!$AZ$3:$AZ$7,MATCH(D204,'G-7 Rivers Data'!$AY$3:$AY$7,0)),"")</f>
        <v/>
      </c>
      <c r="AG204" s="35">
        <f t="shared" si="29"/>
        <v>0</v>
      </c>
      <c r="AH204" s="188" t="str">
        <f t="shared" si="30"/>
        <v/>
      </c>
      <c r="AI204" s="188" t="str">
        <f t="shared" si="31"/>
        <v/>
      </c>
      <c r="AK204" s="188">
        <v>195</v>
      </c>
      <c r="AM204" s="188" t="str">
        <f t="array" ref="AM204">IFERROR(INDEX($AK$10:$AK$258, MATCH(0, IF(TRUE=$AH$10:$AH$258, COUNTIF($AM$9:$AM203, $AK$10:$AK$258), ""), 0)),"")</f>
        <v/>
      </c>
      <c r="AN204" s="188" t="str">
        <f t="array" ref="AN204">IFERROR(INDEX($AK$10:$AK$258, MATCH(0, IF(TRUE=$AI$10:$AI$258, COUNTIF($AN$9:$AN203, $AK$10:$AK$258), ""), 0)),"")</f>
        <v/>
      </c>
    </row>
    <row r="205" spans="3:40" ht="13.8" x14ac:dyDescent="0.25">
      <c r="C205" s="168">
        <v>196</v>
      </c>
      <c r="D205" s="184"/>
      <c r="E205" s="185"/>
      <c r="F205" s="171" t="str">
        <f>IF(D205="","",VLOOKUP(D205,'G-7 Rivers Data'!$B$2:$G$8,2,FALSE))</f>
        <v/>
      </c>
      <c r="G205" s="172" t="str">
        <f>IFERROR(VLOOKUP(F205,'G-7 Rivers Data'!$C$4:$D$8,2,FALSE),"")</f>
        <v/>
      </c>
      <c r="H205" s="173"/>
      <c r="I205" s="172" t="str">
        <f>IFERROR(INDEX('G-7 Rivers Data'!$H$4:$L$8,MATCH(D205,'G-7 Rivers Data'!$B$4:$B$8,0),MATCH(H205,'G-7 Rivers Data'!$H$3:$L$3,0)),"")</f>
        <v/>
      </c>
      <c r="J205" s="186"/>
      <c r="K205" s="175" t="str">
        <f>IF(J205="","",IF(VLOOKUP(J205,'G-7 Rivers Data'!$AK$4:$AM$9,2,FALSE)=0,"Spatial Data Missing",VLOOKUP(J205,'G-7 Rivers Data'!$AK$4:$AM$9,2,FALSE)))</f>
        <v/>
      </c>
      <c r="L205" s="176" t="str">
        <f>IF(J205="","",IF(VLOOKUP(J205,'G-7 Rivers Data'!$AK$4:$AM$9,3,FALSE)=0,"Spatial Data Missing",VLOOKUP(J205,'G-7 Rivers Data'!$AK$4:$AM$9,3,FALSE)))</f>
        <v/>
      </c>
      <c r="M205" s="79"/>
      <c r="N205" s="172" t="str">
        <f>IF(M205="","",IF(VLOOKUP(M205,'G-7 Rivers Data'!$AA$4:$AB$7,2,FALSE)=0,"Spatial Data Missing",VLOOKUP(M205,'G-7 Rivers Data'!$AA$4:$AB$7,2,FALSE)))</f>
        <v/>
      </c>
      <c r="O205" s="187"/>
      <c r="P205" s="172" t="str">
        <f>IF(O205="","",IF(VLOOKUP(O205,'G-7 Rivers Data'!$AD$4:$AE$8,2,FALSE)=0,"Spatial Data Missing",VLOOKUP(O205,'G-7 Rivers Data'!$AD$4:$AE$8,2,FALSE)))</f>
        <v/>
      </c>
      <c r="Q205" s="177" t="str">
        <f>IF(D205="","",VLOOKUP(D205,'G-7 Rivers Data'!$B$4:$G$8,6,FALSE))</f>
        <v/>
      </c>
      <c r="R205" s="178" t="str">
        <f t="shared" si="24"/>
        <v/>
      </c>
      <c r="S205" s="44"/>
      <c r="T205" s="173"/>
      <c r="U205" s="189"/>
      <c r="V205" s="208" t="str">
        <f t="shared" si="25"/>
        <v/>
      </c>
      <c r="W205" s="208" t="str">
        <f t="shared" si="26"/>
        <v/>
      </c>
      <c r="X205" s="208" t="str">
        <f t="shared" si="27"/>
        <v/>
      </c>
      <c r="Y205" s="209" t="str">
        <f t="shared" si="28"/>
        <v/>
      </c>
      <c r="Z205" s="182"/>
      <c r="AA205" s="183"/>
      <c r="AF205" s="35" t="str">
        <f>IFERROR(INDEX('G-7 Rivers Data'!$AZ$3:$AZ$7,MATCH(D205,'G-7 Rivers Data'!$AY$3:$AY$7,0)),"")</f>
        <v/>
      </c>
      <c r="AG205" s="35">
        <f t="shared" si="29"/>
        <v>0</v>
      </c>
      <c r="AH205" s="188" t="str">
        <f t="shared" si="30"/>
        <v/>
      </c>
      <c r="AI205" s="188" t="str">
        <f t="shared" si="31"/>
        <v/>
      </c>
      <c r="AK205" s="188">
        <v>196</v>
      </c>
      <c r="AM205" s="188" t="str">
        <f t="array" ref="AM205">IFERROR(INDEX($AK$10:$AK$258, MATCH(0, IF(TRUE=$AH$10:$AH$258, COUNTIF($AM$9:$AM204, $AK$10:$AK$258), ""), 0)),"")</f>
        <v/>
      </c>
      <c r="AN205" s="188" t="str">
        <f t="array" ref="AN205">IFERROR(INDEX($AK$10:$AK$258, MATCH(0, IF(TRUE=$AI$10:$AI$258, COUNTIF($AN$9:$AN204, $AK$10:$AK$258), ""), 0)),"")</f>
        <v/>
      </c>
    </row>
    <row r="206" spans="3:40" ht="13.8" x14ac:dyDescent="0.25">
      <c r="C206" s="168">
        <v>197</v>
      </c>
      <c r="D206" s="184"/>
      <c r="E206" s="185"/>
      <c r="F206" s="171" t="str">
        <f>IF(D206="","",VLOOKUP(D206,'G-7 Rivers Data'!$B$2:$G$8,2,FALSE))</f>
        <v/>
      </c>
      <c r="G206" s="172" t="str">
        <f>IFERROR(VLOOKUP(F206,'G-7 Rivers Data'!$C$4:$D$8,2,FALSE),"")</f>
        <v/>
      </c>
      <c r="H206" s="173"/>
      <c r="I206" s="172" t="str">
        <f>IFERROR(INDEX('G-7 Rivers Data'!$H$4:$L$8,MATCH(D206,'G-7 Rivers Data'!$B$4:$B$8,0),MATCH(H206,'G-7 Rivers Data'!$H$3:$L$3,0)),"")</f>
        <v/>
      </c>
      <c r="J206" s="186"/>
      <c r="K206" s="175" t="str">
        <f>IF(J206="","",IF(VLOOKUP(J206,'G-7 Rivers Data'!$AK$4:$AM$9,2,FALSE)=0,"Spatial Data Missing",VLOOKUP(J206,'G-7 Rivers Data'!$AK$4:$AM$9,2,FALSE)))</f>
        <v/>
      </c>
      <c r="L206" s="176" t="str">
        <f>IF(J206="","",IF(VLOOKUP(J206,'G-7 Rivers Data'!$AK$4:$AM$9,3,FALSE)=0,"Spatial Data Missing",VLOOKUP(J206,'G-7 Rivers Data'!$AK$4:$AM$9,3,FALSE)))</f>
        <v/>
      </c>
      <c r="M206" s="79"/>
      <c r="N206" s="172" t="str">
        <f>IF(M206="","",IF(VLOOKUP(M206,'G-7 Rivers Data'!$AA$4:$AB$7,2,FALSE)=0,"Spatial Data Missing",VLOOKUP(M206,'G-7 Rivers Data'!$AA$4:$AB$7,2,FALSE)))</f>
        <v/>
      </c>
      <c r="O206" s="187"/>
      <c r="P206" s="172" t="str">
        <f>IF(O206="","",IF(VLOOKUP(O206,'G-7 Rivers Data'!$AD$4:$AE$8,2,FALSE)=0,"Spatial Data Missing",VLOOKUP(O206,'G-7 Rivers Data'!$AD$4:$AE$8,2,FALSE)))</f>
        <v/>
      </c>
      <c r="Q206" s="177" t="str">
        <f>IF(D206="","",VLOOKUP(D206,'G-7 Rivers Data'!$B$4:$G$8,6,FALSE))</f>
        <v/>
      </c>
      <c r="R206" s="178" t="str">
        <f t="shared" si="24"/>
        <v/>
      </c>
      <c r="S206" s="44"/>
      <c r="T206" s="173"/>
      <c r="U206" s="189"/>
      <c r="V206" s="208" t="str">
        <f t="shared" si="25"/>
        <v/>
      </c>
      <c r="W206" s="208" t="str">
        <f t="shared" si="26"/>
        <v/>
      </c>
      <c r="X206" s="208" t="str">
        <f t="shared" si="27"/>
        <v/>
      </c>
      <c r="Y206" s="209" t="str">
        <f t="shared" si="28"/>
        <v/>
      </c>
      <c r="Z206" s="182"/>
      <c r="AA206" s="183"/>
      <c r="AF206" s="35" t="str">
        <f>IFERROR(INDEX('G-7 Rivers Data'!$AZ$3:$AZ$7,MATCH(D206,'G-7 Rivers Data'!$AY$3:$AY$7,0)),"")</f>
        <v/>
      </c>
      <c r="AG206" s="35">
        <f t="shared" si="29"/>
        <v>0</v>
      </c>
      <c r="AH206" s="188" t="str">
        <f t="shared" si="30"/>
        <v/>
      </c>
      <c r="AI206" s="188" t="str">
        <f t="shared" si="31"/>
        <v/>
      </c>
      <c r="AK206" s="188">
        <v>197</v>
      </c>
      <c r="AM206" s="188" t="str">
        <f t="array" ref="AM206">IFERROR(INDEX($AK$10:$AK$258, MATCH(0, IF(TRUE=$AH$10:$AH$258, COUNTIF($AM$9:$AM205, $AK$10:$AK$258), ""), 0)),"")</f>
        <v/>
      </c>
      <c r="AN206" s="188" t="str">
        <f t="array" ref="AN206">IFERROR(INDEX($AK$10:$AK$258, MATCH(0, IF(TRUE=$AI$10:$AI$258, COUNTIF($AN$9:$AN205, $AK$10:$AK$258), ""), 0)),"")</f>
        <v/>
      </c>
    </row>
    <row r="207" spans="3:40" ht="13.8" x14ac:dyDescent="0.25">
      <c r="C207" s="168">
        <v>198</v>
      </c>
      <c r="D207" s="184"/>
      <c r="E207" s="185"/>
      <c r="F207" s="171" t="str">
        <f>IF(D207="","",VLOOKUP(D207,'G-7 Rivers Data'!$B$2:$G$8,2,FALSE))</f>
        <v/>
      </c>
      <c r="G207" s="172" t="str">
        <f>IFERROR(VLOOKUP(F207,'G-7 Rivers Data'!$C$4:$D$8,2,FALSE),"")</f>
        <v/>
      </c>
      <c r="H207" s="173"/>
      <c r="I207" s="172" t="str">
        <f>IFERROR(INDEX('G-7 Rivers Data'!$H$4:$L$8,MATCH(D207,'G-7 Rivers Data'!$B$4:$B$8,0),MATCH(H207,'G-7 Rivers Data'!$H$3:$L$3,0)),"")</f>
        <v/>
      </c>
      <c r="J207" s="186"/>
      <c r="K207" s="175" t="str">
        <f>IF(J207="","",IF(VLOOKUP(J207,'G-7 Rivers Data'!$AK$4:$AM$9,2,FALSE)=0,"Spatial Data Missing",VLOOKUP(J207,'G-7 Rivers Data'!$AK$4:$AM$9,2,FALSE)))</f>
        <v/>
      </c>
      <c r="L207" s="176" t="str">
        <f>IF(J207="","",IF(VLOOKUP(J207,'G-7 Rivers Data'!$AK$4:$AM$9,3,FALSE)=0,"Spatial Data Missing",VLOOKUP(J207,'G-7 Rivers Data'!$AK$4:$AM$9,3,FALSE)))</f>
        <v/>
      </c>
      <c r="M207" s="79"/>
      <c r="N207" s="172" t="str">
        <f>IF(M207="","",IF(VLOOKUP(M207,'G-7 Rivers Data'!$AA$4:$AB$7,2,FALSE)=0,"Spatial Data Missing",VLOOKUP(M207,'G-7 Rivers Data'!$AA$4:$AB$7,2,FALSE)))</f>
        <v/>
      </c>
      <c r="O207" s="187"/>
      <c r="P207" s="172" t="str">
        <f>IF(O207="","",IF(VLOOKUP(O207,'G-7 Rivers Data'!$AD$4:$AE$8,2,FALSE)=0,"Spatial Data Missing",VLOOKUP(O207,'G-7 Rivers Data'!$AD$4:$AE$8,2,FALSE)))</f>
        <v/>
      </c>
      <c r="Q207" s="177" t="str">
        <f>IF(D207="","",VLOOKUP(D207,'G-7 Rivers Data'!$B$4:$G$8,6,FALSE))</f>
        <v/>
      </c>
      <c r="R207" s="178" t="str">
        <f t="shared" si="24"/>
        <v/>
      </c>
      <c r="S207" s="44"/>
      <c r="T207" s="173"/>
      <c r="U207" s="189"/>
      <c r="V207" s="208" t="str">
        <f t="shared" si="25"/>
        <v/>
      </c>
      <c r="W207" s="208" t="str">
        <f t="shared" si="26"/>
        <v/>
      </c>
      <c r="X207" s="208" t="str">
        <f t="shared" si="27"/>
        <v/>
      </c>
      <c r="Y207" s="209" t="str">
        <f t="shared" si="28"/>
        <v/>
      </c>
      <c r="Z207" s="182"/>
      <c r="AA207" s="183"/>
      <c r="AF207" s="35" t="str">
        <f>IFERROR(INDEX('G-7 Rivers Data'!$AZ$3:$AZ$7,MATCH(D207,'G-7 Rivers Data'!$AY$3:$AY$7,0)),"")</f>
        <v/>
      </c>
      <c r="AG207" s="35">
        <f t="shared" si="29"/>
        <v>0</v>
      </c>
      <c r="AH207" s="188" t="str">
        <f t="shared" si="30"/>
        <v/>
      </c>
      <c r="AI207" s="188" t="str">
        <f t="shared" si="31"/>
        <v/>
      </c>
      <c r="AK207" s="188">
        <v>198</v>
      </c>
      <c r="AM207" s="188" t="str">
        <f t="array" ref="AM207">IFERROR(INDEX($AK$10:$AK$258, MATCH(0, IF(TRUE=$AH$10:$AH$258, COUNTIF($AM$9:$AM206, $AK$10:$AK$258), ""), 0)),"")</f>
        <v/>
      </c>
      <c r="AN207" s="188" t="str">
        <f t="array" ref="AN207">IFERROR(INDEX($AK$10:$AK$258, MATCH(0, IF(TRUE=$AI$10:$AI$258, COUNTIF($AN$9:$AN206, $AK$10:$AK$258), ""), 0)),"")</f>
        <v/>
      </c>
    </row>
    <row r="208" spans="3:40" ht="13.8" x14ac:dyDescent="0.25">
      <c r="C208" s="168">
        <v>199</v>
      </c>
      <c r="D208" s="184"/>
      <c r="E208" s="185"/>
      <c r="F208" s="171" t="str">
        <f>IF(D208="","",VLOOKUP(D208,'G-7 Rivers Data'!$B$2:$G$8,2,FALSE))</f>
        <v/>
      </c>
      <c r="G208" s="172" t="str">
        <f>IFERROR(VLOOKUP(F208,'G-7 Rivers Data'!$C$4:$D$8,2,FALSE),"")</f>
        <v/>
      </c>
      <c r="H208" s="173"/>
      <c r="I208" s="172" t="str">
        <f>IFERROR(INDEX('G-7 Rivers Data'!$H$4:$L$8,MATCH(D208,'G-7 Rivers Data'!$B$4:$B$8,0),MATCH(H208,'G-7 Rivers Data'!$H$3:$L$3,0)),"")</f>
        <v/>
      </c>
      <c r="J208" s="186"/>
      <c r="K208" s="175" t="str">
        <f>IF(J208="","",IF(VLOOKUP(J208,'G-7 Rivers Data'!$AK$4:$AM$9,2,FALSE)=0,"Spatial Data Missing",VLOOKUP(J208,'G-7 Rivers Data'!$AK$4:$AM$9,2,FALSE)))</f>
        <v/>
      </c>
      <c r="L208" s="176" t="str">
        <f>IF(J208="","",IF(VLOOKUP(J208,'G-7 Rivers Data'!$AK$4:$AM$9,3,FALSE)=0,"Spatial Data Missing",VLOOKUP(J208,'G-7 Rivers Data'!$AK$4:$AM$9,3,FALSE)))</f>
        <v/>
      </c>
      <c r="M208" s="79"/>
      <c r="N208" s="172" t="str">
        <f>IF(M208="","",IF(VLOOKUP(M208,'G-7 Rivers Data'!$AA$4:$AB$7,2,FALSE)=0,"Spatial Data Missing",VLOOKUP(M208,'G-7 Rivers Data'!$AA$4:$AB$7,2,FALSE)))</f>
        <v/>
      </c>
      <c r="O208" s="187"/>
      <c r="P208" s="172" t="str">
        <f>IF(O208="","",IF(VLOOKUP(O208,'G-7 Rivers Data'!$AD$4:$AE$8,2,FALSE)=0,"Spatial Data Missing",VLOOKUP(O208,'G-7 Rivers Data'!$AD$4:$AE$8,2,FALSE)))</f>
        <v/>
      </c>
      <c r="Q208" s="177" t="str">
        <f>IF(D208="","",VLOOKUP(D208,'G-7 Rivers Data'!$B$4:$G$8,6,FALSE))</f>
        <v/>
      </c>
      <c r="R208" s="178" t="str">
        <f t="shared" si="24"/>
        <v/>
      </c>
      <c r="S208" s="44"/>
      <c r="T208" s="173"/>
      <c r="U208" s="189"/>
      <c r="V208" s="208" t="str">
        <f t="shared" si="25"/>
        <v/>
      </c>
      <c r="W208" s="208" t="str">
        <f t="shared" si="26"/>
        <v/>
      </c>
      <c r="X208" s="208" t="str">
        <f t="shared" si="27"/>
        <v/>
      </c>
      <c r="Y208" s="209" t="str">
        <f t="shared" si="28"/>
        <v/>
      </c>
      <c r="Z208" s="182"/>
      <c r="AA208" s="183"/>
      <c r="AF208" s="35" t="str">
        <f>IFERROR(INDEX('G-7 Rivers Data'!$AZ$3:$AZ$7,MATCH(D208,'G-7 Rivers Data'!$AY$3:$AY$7,0)),"")</f>
        <v/>
      </c>
      <c r="AG208" s="35">
        <f t="shared" si="29"/>
        <v>0</v>
      </c>
      <c r="AH208" s="188" t="str">
        <f t="shared" si="30"/>
        <v/>
      </c>
      <c r="AI208" s="188" t="str">
        <f t="shared" si="31"/>
        <v/>
      </c>
      <c r="AK208" s="188">
        <v>199</v>
      </c>
      <c r="AM208" s="188" t="str">
        <f t="array" ref="AM208">IFERROR(INDEX($AK$10:$AK$258, MATCH(0, IF(TRUE=$AH$10:$AH$258, COUNTIF($AM$9:$AM207, $AK$10:$AK$258), ""), 0)),"")</f>
        <v/>
      </c>
      <c r="AN208" s="188" t="str">
        <f t="array" ref="AN208">IFERROR(INDEX($AK$10:$AK$258, MATCH(0, IF(TRUE=$AI$10:$AI$258, COUNTIF($AN$9:$AN207, $AK$10:$AK$258), ""), 0)),"")</f>
        <v/>
      </c>
    </row>
    <row r="209" spans="3:40" ht="13.8" x14ac:dyDescent="0.25">
      <c r="C209" s="168">
        <v>200</v>
      </c>
      <c r="D209" s="184"/>
      <c r="E209" s="185"/>
      <c r="F209" s="171" t="str">
        <f>IF(D209="","",VLOOKUP(D209,'G-7 Rivers Data'!$B$2:$G$8,2,FALSE))</f>
        <v/>
      </c>
      <c r="G209" s="172" t="str">
        <f>IFERROR(VLOOKUP(F209,'G-7 Rivers Data'!$C$4:$D$8,2,FALSE),"")</f>
        <v/>
      </c>
      <c r="H209" s="173"/>
      <c r="I209" s="172" t="str">
        <f>IFERROR(INDEX('G-7 Rivers Data'!$H$4:$L$8,MATCH(D209,'G-7 Rivers Data'!$B$4:$B$8,0),MATCH(H209,'G-7 Rivers Data'!$H$3:$L$3,0)),"")</f>
        <v/>
      </c>
      <c r="J209" s="186"/>
      <c r="K209" s="175" t="str">
        <f>IF(J209="","",IF(VLOOKUP(J209,'G-7 Rivers Data'!$AK$4:$AM$9,2,FALSE)=0,"Spatial Data Missing",VLOOKUP(J209,'G-7 Rivers Data'!$AK$4:$AM$9,2,FALSE)))</f>
        <v/>
      </c>
      <c r="L209" s="176" t="str">
        <f>IF(J209="","",IF(VLOOKUP(J209,'G-7 Rivers Data'!$AK$4:$AM$9,3,FALSE)=0,"Spatial Data Missing",VLOOKUP(J209,'G-7 Rivers Data'!$AK$4:$AM$9,3,FALSE)))</f>
        <v/>
      </c>
      <c r="M209" s="79"/>
      <c r="N209" s="172" t="str">
        <f>IF(M209="","",IF(VLOOKUP(M209,'G-7 Rivers Data'!$AA$4:$AB$7,2,FALSE)=0,"Spatial Data Missing",VLOOKUP(M209,'G-7 Rivers Data'!$AA$4:$AB$7,2,FALSE)))</f>
        <v/>
      </c>
      <c r="O209" s="187"/>
      <c r="P209" s="172" t="str">
        <f>IF(O209="","",IF(VLOOKUP(O209,'G-7 Rivers Data'!$AD$4:$AE$8,2,FALSE)=0,"Spatial Data Missing",VLOOKUP(O209,'G-7 Rivers Data'!$AD$4:$AE$8,2,FALSE)))</f>
        <v/>
      </c>
      <c r="Q209" s="177" t="str">
        <f>IF(D209="","",VLOOKUP(D209,'G-7 Rivers Data'!$B$4:$G$8,6,FALSE))</f>
        <v/>
      </c>
      <c r="R209" s="178" t="str">
        <f t="shared" si="24"/>
        <v/>
      </c>
      <c r="S209" s="44"/>
      <c r="T209" s="173"/>
      <c r="U209" s="189"/>
      <c r="V209" s="208" t="str">
        <f t="shared" si="25"/>
        <v/>
      </c>
      <c r="W209" s="208" t="str">
        <f t="shared" si="26"/>
        <v/>
      </c>
      <c r="X209" s="208" t="str">
        <f t="shared" si="27"/>
        <v/>
      </c>
      <c r="Y209" s="209" t="str">
        <f t="shared" si="28"/>
        <v/>
      </c>
      <c r="Z209" s="182"/>
      <c r="AA209" s="183"/>
      <c r="AF209" s="35" t="str">
        <f>IFERROR(INDEX('G-7 Rivers Data'!$AZ$3:$AZ$7,MATCH(D209,'G-7 Rivers Data'!$AY$3:$AY$7,0)),"")</f>
        <v/>
      </c>
      <c r="AG209" s="35">
        <f t="shared" si="29"/>
        <v>0</v>
      </c>
      <c r="AH209" s="188" t="str">
        <f t="shared" si="30"/>
        <v/>
      </c>
      <c r="AI209" s="188" t="str">
        <f t="shared" si="31"/>
        <v/>
      </c>
      <c r="AK209" s="188">
        <v>200</v>
      </c>
      <c r="AM209" s="188" t="str">
        <f t="array" ref="AM209">IFERROR(INDEX($AK$10:$AK$258, MATCH(0, IF(TRUE=$AH$10:$AH$258, COUNTIF($AM$9:$AM208, $AK$10:$AK$258), ""), 0)),"")</f>
        <v/>
      </c>
      <c r="AN209" s="188" t="str">
        <f t="array" ref="AN209">IFERROR(INDEX($AK$10:$AK$258, MATCH(0, IF(TRUE=$AI$10:$AI$258, COUNTIF($AN$9:$AN208, $AK$10:$AK$258), ""), 0)),"")</f>
        <v/>
      </c>
    </row>
    <row r="210" spans="3:40" ht="13.8" x14ac:dyDescent="0.25">
      <c r="C210" s="168">
        <v>201</v>
      </c>
      <c r="D210" s="184"/>
      <c r="E210" s="185"/>
      <c r="F210" s="171" t="str">
        <f>IF(D210="","",VLOOKUP(D210,'G-7 Rivers Data'!$B$2:$G$8,2,FALSE))</f>
        <v/>
      </c>
      <c r="G210" s="172" t="str">
        <f>IFERROR(VLOOKUP(F210,'G-7 Rivers Data'!$C$4:$D$8,2,FALSE),"")</f>
        <v/>
      </c>
      <c r="H210" s="173"/>
      <c r="I210" s="172" t="str">
        <f>IFERROR(INDEX('G-7 Rivers Data'!$H$4:$L$8,MATCH(D210,'G-7 Rivers Data'!$B$4:$B$8,0),MATCH(H210,'G-7 Rivers Data'!$H$3:$L$3,0)),"")</f>
        <v/>
      </c>
      <c r="J210" s="186"/>
      <c r="K210" s="175" t="str">
        <f>IF(J210="","",IF(VLOOKUP(J210,'G-7 Rivers Data'!$AK$4:$AM$9,2,FALSE)=0,"Spatial Data Missing",VLOOKUP(J210,'G-7 Rivers Data'!$AK$4:$AM$9,2,FALSE)))</f>
        <v/>
      </c>
      <c r="L210" s="176" t="str">
        <f>IF(J210="","",IF(VLOOKUP(J210,'G-7 Rivers Data'!$AK$4:$AM$9,3,FALSE)=0,"Spatial Data Missing",VLOOKUP(J210,'G-7 Rivers Data'!$AK$4:$AM$9,3,FALSE)))</f>
        <v/>
      </c>
      <c r="M210" s="79"/>
      <c r="N210" s="172" t="str">
        <f>IF(M210="","",IF(VLOOKUP(M210,'G-7 Rivers Data'!$AA$4:$AB$7,2,FALSE)=0,"Spatial Data Missing",VLOOKUP(M210,'G-7 Rivers Data'!$AA$4:$AB$7,2,FALSE)))</f>
        <v/>
      </c>
      <c r="O210" s="187"/>
      <c r="P210" s="172" t="str">
        <f>IF(O210="","",IF(VLOOKUP(O210,'G-7 Rivers Data'!$AD$4:$AE$8,2,FALSE)=0,"Spatial Data Missing",VLOOKUP(O210,'G-7 Rivers Data'!$AD$4:$AE$8,2,FALSE)))</f>
        <v/>
      </c>
      <c r="Q210" s="177" t="str">
        <f>IF(D210="","",VLOOKUP(D210,'G-7 Rivers Data'!$B$4:$G$8,6,FALSE))</f>
        <v/>
      </c>
      <c r="R210" s="178" t="str">
        <f t="shared" si="24"/>
        <v/>
      </c>
      <c r="S210" s="44"/>
      <c r="T210" s="173"/>
      <c r="U210" s="189"/>
      <c r="V210" s="208" t="str">
        <f t="shared" si="25"/>
        <v/>
      </c>
      <c r="W210" s="208" t="str">
        <f t="shared" si="26"/>
        <v/>
      </c>
      <c r="X210" s="208" t="str">
        <f t="shared" si="27"/>
        <v/>
      </c>
      <c r="Y210" s="209" t="str">
        <f t="shared" si="28"/>
        <v/>
      </c>
      <c r="Z210" s="182"/>
      <c r="AA210" s="183"/>
      <c r="AF210" s="35" t="str">
        <f>IFERROR(INDEX('G-7 Rivers Data'!$AZ$3:$AZ$7,MATCH(D210,'G-7 Rivers Data'!$AY$3:$AY$7,0)),"")</f>
        <v/>
      </c>
      <c r="AG210" s="35">
        <f t="shared" si="29"/>
        <v>0</v>
      </c>
      <c r="AH210" s="188" t="str">
        <f t="shared" si="30"/>
        <v/>
      </c>
      <c r="AI210" s="188" t="str">
        <f t="shared" si="31"/>
        <v/>
      </c>
      <c r="AK210" s="188">
        <v>201</v>
      </c>
      <c r="AM210" s="188" t="str">
        <f t="array" ref="AM210">IFERROR(INDEX($AK$10:$AK$258, MATCH(0, IF(TRUE=$AH$10:$AH$258, COUNTIF($AM$9:$AM209, $AK$10:$AK$258), ""), 0)),"")</f>
        <v/>
      </c>
      <c r="AN210" s="188" t="str">
        <f t="array" ref="AN210">IFERROR(INDEX($AK$10:$AK$258, MATCH(0, IF(TRUE=$AI$10:$AI$258, COUNTIF($AN$9:$AN209, $AK$10:$AK$258), ""), 0)),"")</f>
        <v/>
      </c>
    </row>
    <row r="211" spans="3:40" ht="13.8" x14ac:dyDescent="0.25">
      <c r="C211" s="168">
        <v>202</v>
      </c>
      <c r="D211" s="184"/>
      <c r="E211" s="185"/>
      <c r="F211" s="171" t="str">
        <f>IF(D211="","",VLOOKUP(D211,'G-7 Rivers Data'!$B$2:$G$8,2,FALSE))</f>
        <v/>
      </c>
      <c r="G211" s="172" t="str">
        <f>IFERROR(VLOOKUP(F211,'G-7 Rivers Data'!$C$4:$D$8,2,FALSE),"")</f>
        <v/>
      </c>
      <c r="H211" s="173"/>
      <c r="I211" s="172" t="str">
        <f>IFERROR(INDEX('G-7 Rivers Data'!$H$4:$L$8,MATCH(D211,'G-7 Rivers Data'!$B$4:$B$8,0),MATCH(H211,'G-7 Rivers Data'!$H$3:$L$3,0)),"")</f>
        <v/>
      </c>
      <c r="J211" s="186"/>
      <c r="K211" s="175" t="str">
        <f>IF(J211="","",IF(VLOOKUP(J211,'G-7 Rivers Data'!$AK$4:$AM$9,2,FALSE)=0,"Spatial Data Missing",VLOOKUP(J211,'G-7 Rivers Data'!$AK$4:$AM$9,2,FALSE)))</f>
        <v/>
      </c>
      <c r="L211" s="176" t="str">
        <f>IF(J211="","",IF(VLOOKUP(J211,'G-7 Rivers Data'!$AK$4:$AM$9,3,FALSE)=0,"Spatial Data Missing",VLOOKUP(J211,'G-7 Rivers Data'!$AK$4:$AM$9,3,FALSE)))</f>
        <v/>
      </c>
      <c r="M211" s="79"/>
      <c r="N211" s="172" t="str">
        <f>IF(M211="","",IF(VLOOKUP(M211,'G-7 Rivers Data'!$AA$4:$AB$7,2,FALSE)=0,"Spatial Data Missing",VLOOKUP(M211,'G-7 Rivers Data'!$AA$4:$AB$7,2,FALSE)))</f>
        <v/>
      </c>
      <c r="O211" s="187"/>
      <c r="P211" s="172" t="str">
        <f>IF(O211="","",IF(VLOOKUP(O211,'G-7 Rivers Data'!$AD$4:$AE$8,2,FALSE)=0,"Spatial Data Missing",VLOOKUP(O211,'G-7 Rivers Data'!$AD$4:$AE$8,2,FALSE)))</f>
        <v/>
      </c>
      <c r="Q211" s="177" t="str">
        <f>IF(D211="","",VLOOKUP(D211,'G-7 Rivers Data'!$B$4:$G$8,6,FALSE))</f>
        <v/>
      </c>
      <c r="R211" s="178" t="str">
        <f t="shared" si="24"/>
        <v/>
      </c>
      <c r="S211" s="44"/>
      <c r="T211" s="173"/>
      <c r="U211" s="189"/>
      <c r="V211" s="208" t="str">
        <f t="shared" si="25"/>
        <v/>
      </c>
      <c r="W211" s="208" t="str">
        <f t="shared" si="26"/>
        <v/>
      </c>
      <c r="X211" s="208" t="str">
        <f t="shared" si="27"/>
        <v/>
      </c>
      <c r="Y211" s="209" t="str">
        <f t="shared" si="28"/>
        <v/>
      </c>
      <c r="Z211" s="182"/>
      <c r="AA211" s="183"/>
      <c r="AF211" s="35" t="str">
        <f>IFERROR(INDEX('G-7 Rivers Data'!$AZ$3:$AZ$7,MATCH(D211,'G-7 Rivers Data'!$AY$3:$AY$7,0)),"")</f>
        <v/>
      </c>
      <c r="AG211" s="35">
        <f t="shared" si="29"/>
        <v>0</v>
      </c>
      <c r="AH211" s="188" t="str">
        <f t="shared" si="30"/>
        <v/>
      </c>
      <c r="AI211" s="188" t="str">
        <f t="shared" si="31"/>
        <v/>
      </c>
      <c r="AK211" s="188">
        <v>202</v>
      </c>
      <c r="AM211" s="188" t="str">
        <f t="array" ref="AM211">IFERROR(INDEX($AK$10:$AK$258, MATCH(0, IF(TRUE=$AH$10:$AH$258, COUNTIF($AM$9:$AM210, $AK$10:$AK$258), ""), 0)),"")</f>
        <v/>
      </c>
      <c r="AN211" s="188" t="str">
        <f t="array" ref="AN211">IFERROR(INDEX($AK$10:$AK$258, MATCH(0, IF(TRUE=$AI$10:$AI$258, COUNTIF($AN$9:$AN210, $AK$10:$AK$258), ""), 0)),"")</f>
        <v/>
      </c>
    </row>
    <row r="212" spans="3:40" ht="13.8" x14ac:dyDescent="0.25">
      <c r="C212" s="168">
        <v>203</v>
      </c>
      <c r="D212" s="184"/>
      <c r="E212" s="185"/>
      <c r="F212" s="171" t="str">
        <f>IF(D212="","",VLOOKUP(D212,'G-7 Rivers Data'!$B$2:$G$8,2,FALSE))</f>
        <v/>
      </c>
      <c r="G212" s="172" t="str">
        <f>IFERROR(VLOOKUP(F212,'G-7 Rivers Data'!$C$4:$D$8,2,FALSE),"")</f>
        <v/>
      </c>
      <c r="H212" s="173"/>
      <c r="I212" s="172" t="str">
        <f>IFERROR(INDEX('G-7 Rivers Data'!$H$4:$L$8,MATCH(D212,'G-7 Rivers Data'!$B$4:$B$8,0),MATCH(H212,'G-7 Rivers Data'!$H$3:$L$3,0)),"")</f>
        <v/>
      </c>
      <c r="J212" s="186"/>
      <c r="K212" s="175" t="str">
        <f>IF(J212="","",IF(VLOOKUP(J212,'G-7 Rivers Data'!$AK$4:$AM$9,2,FALSE)=0,"Spatial Data Missing",VLOOKUP(J212,'G-7 Rivers Data'!$AK$4:$AM$9,2,FALSE)))</f>
        <v/>
      </c>
      <c r="L212" s="176" t="str">
        <f>IF(J212="","",IF(VLOOKUP(J212,'G-7 Rivers Data'!$AK$4:$AM$9,3,FALSE)=0,"Spatial Data Missing",VLOOKUP(J212,'G-7 Rivers Data'!$AK$4:$AM$9,3,FALSE)))</f>
        <v/>
      </c>
      <c r="M212" s="79"/>
      <c r="N212" s="172" t="str">
        <f>IF(M212="","",IF(VLOOKUP(M212,'G-7 Rivers Data'!$AA$4:$AB$7,2,FALSE)=0,"Spatial Data Missing",VLOOKUP(M212,'G-7 Rivers Data'!$AA$4:$AB$7,2,FALSE)))</f>
        <v/>
      </c>
      <c r="O212" s="187"/>
      <c r="P212" s="172" t="str">
        <f>IF(O212="","",IF(VLOOKUP(O212,'G-7 Rivers Data'!$AD$4:$AE$8,2,FALSE)=0,"Spatial Data Missing",VLOOKUP(O212,'G-7 Rivers Data'!$AD$4:$AE$8,2,FALSE)))</f>
        <v/>
      </c>
      <c r="Q212" s="177" t="str">
        <f>IF(D212="","",VLOOKUP(D212,'G-7 Rivers Data'!$B$4:$G$8,6,FALSE))</f>
        <v/>
      </c>
      <c r="R212" s="178" t="str">
        <f t="shared" si="24"/>
        <v/>
      </c>
      <c r="S212" s="44"/>
      <c r="T212" s="173"/>
      <c r="U212" s="189"/>
      <c r="V212" s="208" t="str">
        <f t="shared" si="25"/>
        <v/>
      </c>
      <c r="W212" s="208" t="str">
        <f t="shared" si="26"/>
        <v/>
      </c>
      <c r="X212" s="208" t="str">
        <f t="shared" si="27"/>
        <v/>
      </c>
      <c r="Y212" s="209" t="str">
        <f t="shared" si="28"/>
        <v/>
      </c>
      <c r="Z212" s="182"/>
      <c r="AA212" s="183"/>
      <c r="AF212" s="35" t="str">
        <f>IFERROR(INDEX('G-7 Rivers Data'!$AZ$3:$AZ$7,MATCH(D212,'G-7 Rivers Data'!$AY$3:$AY$7,0)),"")</f>
        <v/>
      </c>
      <c r="AG212" s="35">
        <f t="shared" si="29"/>
        <v>0</v>
      </c>
      <c r="AH212" s="188" t="str">
        <f t="shared" si="30"/>
        <v/>
      </c>
      <c r="AI212" s="188" t="str">
        <f t="shared" si="31"/>
        <v/>
      </c>
      <c r="AK212" s="188">
        <v>203</v>
      </c>
      <c r="AM212" s="188" t="str">
        <f t="array" ref="AM212">IFERROR(INDEX($AK$10:$AK$258, MATCH(0, IF(TRUE=$AH$10:$AH$258, COUNTIF($AM$9:$AM211, $AK$10:$AK$258), ""), 0)),"")</f>
        <v/>
      </c>
      <c r="AN212" s="188" t="str">
        <f t="array" ref="AN212">IFERROR(INDEX($AK$10:$AK$258, MATCH(0, IF(TRUE=$AI$10:$AI$258, COUNTIF($AN$9:$AN211, $AK$10:$AK$258), ""), 0)),"")</f>
        <v/>
      </c>
    </row>
    <row r="213" spans="3:40" ht="13.8" x14ac:dyDescent="0.25">
      <c r="C213" s="168">
        <v>204</v>
      </c>
      <c r="D213" s="184"/>
      <c r="E213" s="185"/>
      <c r="F213" s="171" t="str">
        <f>IF(D213="","",VLOOKUP(D213,'G-7 Rivers Data'!$B$2:$G$8,2,FALSE))</f>
        <v/>
      </c>
      <c r="G213" s="172" t="str">
        <f>IFERROR(VLOOKUP(F213,'G-7 Rivers Data'!$C$4:$D$8,2,FALSE),"")</f>
        <v/>
      </c>
      <c r="H213" s="173"/>
      <c r="I213" s="172" t="str">
        <f>IFERROR(INDEX('G-7 Rivers Data'!$H$4:$L$8,MATCH(D213,'G-7 Rivers Data'!$B$4:$B$8,0),MATCH(H213,'G-7 Rivers Data'!$H$3:$L$3,0)),"")</f>
        <v/>
      </c>
      <c r="J213" s="186"/>
      <c r="K213" s="175" t="str">
        <f>IF(J213="","",IF(VLOOKUP(J213,'G-7 Rivers Data'!$AK$4:$AM$9,2,FALSE)=0,"Spatial Data Missing",VLOOKUP(J213,'G-7 Rivers Data'!$AK$4:$AM$9,2,FALSE)))</f>
        <v/>
      </c>
      <c r="L213" s="176" t="str">
        <f>IF(J213="","",IF(VLOOKUP(J213,'G-7 Rivers Data'!$AK$4:$AM$9,3,FALSE)=0,"Spatial Data Missing",VLOOKUP(J213,'G-7 Rivers Data'!$AK$4:$AM$9,3,FALSE)))</f>
        <v/>
      </c>
      <c r="M213" s="79"/>
      <c r="N213" s="172" t="str">
        <f>IF(M213="","",IF(VLOOKUP(M213,'G-7 Rivers Data'!$AA$4:$AB$7,2,FALSE)=0,"Spatial Data Missing",VLOOKUP(M213,'G-7 Rivers Data'!$AA$4:$AB$7,2,FALSE)))</f>
        <v/>
      </c>
      <c r="O213" s="187"/>
      <c r="P213" s="172" t="str">
        <f>IF(O213="","",IF(VLOOKUP(O213,'G-7 Rivers Data'!$AD$4:$AE$8,2,FALSE)=0,"Spatial Data Missing",VLOOKUP(O213,'G-7 Rivers Data'!$AD$4:$AE$8,2,FALSE)))</f>
        <v/>
      </c>
      <c r="Q213" s="177" t="str">
        <f>IF(D213="","",VLOOKUP(D213,'G-7 Rivers Data'!$B$4:$G$8,6,FALSE))</f>
        <v/>
      </c>
      <c r="R213" s="178" t="str">
        <f t="shared" si="24"/>
        <v/>
      </c>
      <c r="S213" s="44"/>
      <c r="T213" s="173"/>
      <c r="U213" s="189"/>
      <c r="V213" s="208" t="str">
        <f t="shared" si="25"/>
        <v/>
      </c>
      <c r="W213" s="208" t="str">
        <f t="shared" si="26"/>
        <v/>
      </c>
      <c r="X213" s="208" t="str">
        <f t="shared" si="27"/>
        <v/>
      </c>
      <c r="Y213" s="209" t="str">
        <f t="shared" si="28"/>
        <v/>
      </c>
      <c r="Z213" s="182"/>
      <c r="AA213" s="183"/>
      <c r="AF213" s="35" t="str">
        <f>IFERROR(INDEX('G-7 Rivers Data'!$AZ$3:$AZ$7,MATCH(D213,'G-7 Rivers Data'!$AY$3:$AY$7,0)),"")</f>
        <v/>
      </c>
      <c r="AG213" s="35">
        <f t="shared" si="29"/>
        <v>0</v>
      </c>
      <c r="AH213" s="188" t="str">
        <f t="shared" si="30"/>
        <v/>
      </c>
      <c r="AI213" s="188" t="str">
        <f t="shared" si="31"/>
        <v/>
      </c>
      <c r="AK213" s="188">
        <v>204</v>
      </c>
      <c r="AM213" s="188" t="str">
        <f t="array" ref="AM213">IFERROR(INDEX($AK$10:$AK$258, MATCH(0, IF(TRUE=$AH$10:$AH$258, COUNTIF($AM$9:$AM212, $AK$10:$AK$258), ""), 0)),"")</f>
        <v/>
      </c>
      <c r="AN213" s="188" t="str">
        <f t="array" ref="AN213">IFERROR(INDEX($AK$10:$AK$258, MATCH(0, IF(TRUE=$AI$10:$AI$258, COUNTIF($AN$9:$AN212, $AK$10:$AK$258), ""), 0)),"")</f>
        <v/>
      </c>
    </row>
    <row r="214" spans="3:40" ht="13.8" x14ac:dyDescent="0.25">
      <c r="C214" s="168">
        <v>205</v>
      </c>
      <c r="D214" s="184"/>
      <c r="E214" s="185"/>
      <c r="F214" s="171" t="str">
        <f>IF(D214="","",VLOOKUP(D214,'G-7 Rivers Data'!$B$2:$G$8,2,FALSE))</f>
        <v/>
      </c>
      <c r="G214" s="172" t="str">
        <f>IFERROR(VLOOKUP(F214,'G-7 Rivers Data'!$C$4:$D$8,2,FALSE),"")</f>
        <v/>
      </c>
      <c r="H214" s="173"/>
      <c r="I214" s="172" t="str">
        <f>IFERROR(INDEX('G-7 Rivers Data'!$H$4:$L$8,MATCH(D214,'G-7 Rivers Data'!$B$4:$B$8,0),MATCH(H214,'G-7 Rivers Data'!$H$3:$L$3,0)),"")</f>
        <v/>
      </c>
      <c r="J214" s="186"/>
      <c r="K214" s="175" t="str">
        <f>IF(J214="","",IF(VLOOKUP(J214,'G-7 Rivers Data'!$AK$4:$AM$9,2,FALSE)=0,"Spatial Data Missing",VLOOKUP(J214,'G-7 Rivers Data'!$AK$4:$AM$9,2,FALSE)))</f>
        <v/>
      </c>
      <c r="L214" s="176" t="str">
        <f>IF(J214="","",IF(VLOOKUP(J214,'G-7 Rivers Data'!$AK$4:$AM$9,3,FALSE)=0,"Spatial Data Missing",VLOOKUP(J214,'G-7 Rivers Data'!$AK$4:$AM$9,3,FALSE)))</f>
        <v/>
      </c>
      <c r="M214" s="79"/>
      <c r="N214" s="172" t="str">
        <f>IF(M214="","",IF(VLOOKUP(M214,'G-7 Rivers Data'!$AA$4:$AB$7,2,FALSE)=0,"Spatial Data Missing",VLOOKUP(M214,'G-7 Rivers Data'!$AA$4:$AB$7,2,FALSE)))</f>
        <v/>
      </c>
      <c r="O214" s="187"/>
      <c r="P214" s="172" t="str">
        <f>IF(O214="","",IF(VLOOKUP(O214,'G-7 Rivers Data'!$AD$4:$AE$8,2,FALSE)=0,"Spatial Data Missing",VLOOKUP(O214,'G-7 Rivers Data'!$AD$4:$AE$8,2,FALSE)))</f>
        <v/>
      </c>
      <c r="Q214" s="177" t="str">
        <f>IF(D214="","",VLOOKUP(D214,'G-7 Rivers Data'!$B$4:$G$8,6,FALSE))</f>
        <v/>
      </c>
      <c r="R214" s="178" t="str">
        <f t="shared" si="24"/>
        <v/>
      </c>
      <c r="S214" s="44"/>
      <c r="T214" s="173"/>
      <c r="U214" s="189"/>
      <c r="V214" s="208" t="str">
        <f t="shared" si="25"/>
        <v/>
      </c>
      <c r="W214" s="208" t="str">
        <f t="shared" si="26"/>
        <v/>
      </c>
      <c r="X214" s="208" t="str">
        <f t="shared" si="27"/>
        <v/>
      </c>
      <c r="Y214" s="209" t="str">
        <f t="shared" si="28"/>
        <v/>
      </c>
      <c r="Z214" s="182"/>
      <c r="AA214" s="183"/>
      <c r="AF214" s="35" t="str">
        <f>IFERROR(INDEX('G-7 Rivers Data'!$AZ$3:$AZ$7,MATCH(D214,'G-7 Rivers Data'!$AY$3:$AY$7,0)),"")</f>
        <v/>
      </c>
      <c r="AG214" s="35">
        <f t="shared" si="29"/>
        <v>0</v>
      </c>
      <c r="AH214" s="188" t="str">
        <f t="shared" si="30"/>
        <v/>
      </c>
      <c r="AI214" s="188" t="str">
        <f t="shared" si="31"/>
        <v/>
      </c>
      <c r="AK214" s="188">
        <v>205</v>
      </c>
      <c r="AM214" s="188" t="str">
        <f t="array" ref="AM214">IFERROR(INDEX($AK$10:$AK$258, MATCH(0, IF(TRUE=$AH$10:$AH$258, COUNTIF($AM$9:$AM213, $AK$10:$AK$258), ""), 0)),"")</f>
        <v/>
      </c>
      <c r="AN214" s="188" t="str">
        <f t="array" ref="AN214">IFERROR(INDEX($AK$10:$AK$258, MATCH(0, IF(TRUE=$AI$10:$AI$258, COUNTIF($AN$9:$AN213, $AK$10:$AK$258), ""), 0)),"")</f>
        <v/>
      </c>
    </row>
    <row r="215" spans="3:40" ht="13.8" x14ac:dyDescent="0.25">
      <c r="C215" s="168">
        <v>206</v>
      </c>
      <c r="D215" s="184"/>
      <c r="E215" s="185"/>
      <c r="F215" s="171" t="str">
        <f>IF(D215="","",VLOOKUP(D215,'G-7 Rivers Data'!$B$2:$G$8,2,FALSE))</f>
        <v/>
      </c>
      <c r="G215" s="172" t="str">
        <f>IFERROR(VLOOKUP(F215,'G-7 Rivers Data'!$C$4:$D$8,2,FALSE),"")</f>
        <v/>
      </c>
      <c r="H215" s="173"/>
      <c r="I215" s="172" t="str">
        <f>IFERROR(INDEX('G-7 Rivers Data'!$H$4:$L$8,MATCH(D215,'G-7 Rivers Data'!$B$4:$B$8,0),MATCH(H215,'G-7 Rivers Data'!$H$3:$L$3,0)),"")</f>
        <v/>
      </c>
      <c r="J215" s="186"/>
      <c r="K215" s="175" t="str">
        <f>IF(J215="","",IF(VLOOKUP(J215,'G-7 Rivers Data'!$AK$4:$AM$9,2,FALSE)=0,"Spatial Data Missing",VLOOKUP(J215,'G-7 Rivers Data'!$AK$4:$AM$9,2,FALSE)))</f>
        <v/>
      </c>
      <c r="L215" s="176" t="str">
        <f>IF(J215="","",IF(VLOOKUP(J215,'G-7 Rivers Data'!$AK$4:$AM$9,3,FALSE)=0,"Spatial Data Missing",VLOOKUP(J215,'G-7 Rivers Data'!$AK$4:$AM$9,3,FALSE)))</f>
        <v/>
      </c>
      <c r="M215" s="79"/>
      <c r="N215" s="172" t="str">
        <f>IF(M215="","",IF(VLOOKUP(M215,'G-7 Rivers Data'!$AA$4:$AB$7,2,FALSE)=0,"Spatial Data Missing",VLOOKUP(M215,'G-7 Rivers Data'!$AA$4:$AB$7,2,FALSE)))</f>
        <v/>
      </c>
      <c r="O215" s="187"/>
      <c r="P215" s="172" t="str">
        <f>IF(O215="","",IF(VLOOKUP(O215,'G-7 Rivers Data'!$AD$4:$AE$8,2,FALSE)=0,"Spatial Data Missing",VLOOKUP(O215,'G-7 Rivers Data'!$AD$4:$AE$8,2,FALSE)))</f>
        <v/>
      </c>
      <c r="Q215" s="177" t="str">
        <f>IF(D215="","",VLOOKUP(D215,'G-7 Rivers Data'!$B$4:$G$8,6,FALSE))</f>
        <v/>
      </c>
      <c r="R215" s="178" t="str">
        <f t="shared" si="24"/>
        <v/>
      </c>
      <c r="S215" s="44"/>
      <c r="T215" s="173"/>
      <c r="U215" s="189"/>
      <c r="V215" s="208" t="str">
        <f t="shared" si="25"/>
        <v/>
      </c>
      <c r="W215" s="208" t="str">
        <f t="shared" si="26"/>
        <v/>
      </c>
      <c r="X215" s="208" t="str">
        <f t="shared" si="27"/>
        <v/>
      </c>
      <c r="Y215" s="209" t="str">
        <f t="shared" si="28"/>
        <v/>
      </c>
      <c r="Z215" s="182"/>
      <c r="AA215" s="183"/>
      <c r="AF215" s="35" t="str">
        <f>IFERROR(INDEX('G-7 Rivers Data'!$AZ$3:$AZ$7,MATCH(D215,'G-7 Rivers Data'!$AY$3:$AY$7,0)),"")</f>
        <v/>
      </c>
      <c r="AG215" s="35">
        <f t="shared" si="29"/>
        <v>0</v>
      </c>
      <c r="AH215" s="188" t="str">
        <f t="shared" si="30"/>
        <v/>
      </c>
      <c r="AI215" s="188" t="str">
        <f t="shared" si="31"/>
        <v/>
      </c>
      <c r="AK215" s="188">
        <v>206</v>
      </c>
      <c r="AM215" s="188" t="str">
        <f t="array" ref="AM215">IFERROR(INDEX($AK$10:$AK$258, MATCH(0, IF(TRUE=$AH$10:$AH$258, COUNTIF($AM$9:$AM214, $AK$10:$AK$258), ""), 0)),"")</f>
        <v/>
      </c>
      <c r="AN215" s="188" t="str">
        <f t="array" ref="AN215">IFERROR(INDEX($AK$10:$AK$258, MATCH(0, IF(TRUE=$AI$10:$AI$258, COUNTIF($AN$9:$AN214, $AK$10:$AK$258), ""), 0)),"")</f>
        <v/>
      </c>
    </row>
    <row r="216" spans="3:40" ht="13.8" x14ac:dyDescent="0.25">
      <c r="C216" s="168">
        <v>207</v>
      </c>
      <c r="D216" s="184"/>
      <c r="E216" s="185"/>
      <c r="F216" s="171" t="str">
        <f>IF(D216="","",VLOOKUP(D216,'G-7 Rivers Data'!$B$2:$G$8,2,FALSE))</f>
        <v/>
      </c>
      <c r="G216" s="172" t="str">
        <f>IFERROR(VLOOKUP(F216,'G-7 Rivers Data'!$C$4:$D$8,2,FALSE),"")</f>
        <v/>
      </c>
      <c r="H216" s="173"/>
      <c r="I216" s="172" t="str">
        <f>IFERROR(INDEX('G-7 Rivers Data'!$H$4:$L$8,MATCH(D216,'G-7 Rivers Data'!$B$4:$B$8,0),MATCH(H216,'G-7 Rivers Data'!$H$3:$L$3,0)),"")</f>
        <v/>
      </c>
      <c r="J216" s="186"/>
      <c r="K216" s="175" t="str">
        <f>IF(J216="","",IF(VLOOKUP(J216,'G-7 Rivers Data'!$AK$4:$AM$9,2,FALSE)=0,"Spatial Data Missing",VLOOKUP(J216,'G-7 Rivers Data'!$AK$4:$AM$9,2,FALSE)))</f>
        <v/>
      </c>
      <c r="L216" s="176" t="str">
        <f>IF(J216="","",IF(VLOOKUP(J216,'G-7 Rivers Data'!$AK$4:$AM$9,3,FALSE)=0,"Spatial Data Missing",VLOOKUP(J216,'G-7 Rivers Data'!$AK$4:$AM$9,3,FALSE)))</f>
        <v/>
      </c>
      <c r="M216" s="79"/>
      <c r="N216" s="172" t="str">
        <f>IF(M216="","",IF(VLOOKUP(M216,'G-7 Rivers Data'!$AA$4:$AB$7,2,FALSE)=0,"Spatial Data Missing",VLOOKUP(M216,'G-7 Rivers Data'!$AA$4:$AB$7,2,FALSE)))</f>
        <v/>
      </c>
      <c r="O216" s="187"/>
      <c r="P216" s="172" t="str">
        <f>IF(O216="","",IF(VLOOKUP(O216,'G-7 Rivers Data'!$AD$4:$AE$8,2,FALSE)=0,"Spatial Data Missing",VLOOKUP(O216,'G-7 Rivers Data'!$AD$4:$AE$8,2,FALSE)))</f>
        <v/>
      </c>
      <c r="Q216" s="177" t="str">
        <f>IF(D216="","",VLOOKUP(D216,'G-7 Rivers Data'!$B$4:$G$8,6,FALSE))</f>
        <v/>
      </c>
      <c r="R216" s="178" t="str">
        <f t="shared" si="24"/>
        <v/>
      </c>
      <c r="S216" s="44"/>
      <c r="T216" s="173"/>
      <c r="U216" s="189"/>
      <c r="V216" s="208" t="str">
        <f t="shared" si="25"/>
        <v/>
      </c>
      <c r="W216" s="208" t="str">
        <f t="shared" si="26"/>
        <v/>
      </c>
      <c r="X216" s="208" t="str">
        <f t="shared" si="27"/>
        <v/>
      </c>
      <c r="Y216" s="209" t="str">
        <f t="shared" si="28"/>
        <v/>
      </c>
      <c r="Z216" s="182"/>
      <c r="AA216" s="183"/>
      <c r="AF216" s="35" t="str">
        <f>IFERROR(INDEX('G-7 Rivers Data'!$AZ$3:$AZ$7,MATCH(D216,'G-7 Rivers Data'!$AY$3:$AY$7,0)),"")</f>
        <v/>
      </c>
      <c r="AG216" s="35">
        <f t="shared" si="29"/>
        <v>0</v>
      </c>
      <c r="AH216" s="188" t="str">
        <f t="shared" si="30"/>
        <v/>
      </c>
      <c r="AI216" s="188" t="str">
        <f t="shared" si="31"/>
        <v/>
      </c>
      <c r="AK216" s="188">
        <v>207</v>
      </c>
      <c r="AM216" s="188" t="str">
        <f t="array" ref="AM216">IFERROR(INDEX($AK$10:$AK$258, MATCH(0, IF(TRUE=$AH$10:$AH$258, COUNTIF($AM$9:$AM215, $AK$10:$AK$258), ""), 0)),"")</f>
        <v/>
      </c>
      <c r="AN216" s="188" t="str">
        <f t="array" ref="AN216">IFERROR(INDEX($AK$10:$AK$258, MATCH(0, IF(TRUE=$AI$10:$AI$258, COUNTIF($AN$9:$AN215, $AK$10:$AK$258), ""), 0)),"")</f>
        <v/>
      </c>
    </row>
    <row r="217" spans="3:40" ht="13.8" x14ac:dyDescent="0.25">
      <c r="C217" s="168">
        <v>208</v>
      </c>
      <c r="D217" s="184"/>
      <c r="E217" s="185"/>
      <c r="F217" s="171" t="str">
        <f>IF(D217="","",VLOOKUP(D217,'G-7 Rivers Data'!$B$2:$G$8,2,FALSE))</f>
        <v/>
      </c>
      <c r="G217" s="172" t="str">
        <f>IFERROR(VLOOKUP(F217,'G-7 Rivers Data'!$C$4:$D$8,2,FALSE),"")</f>
        <v/>
      </c>
      <c r="H217" s="173"/>
      <c r="I217" s="172" t="str">
        <f>IFERROR(INDEX('G-7 Rivers Data'!$H$4:$L$8,MATCH(D217,'G-7 Rivers Data'!$B$4:$B$8,0),MATCH(H217,'G-7 Rivers Data'!$H$3:$L$3,0)),"")</f>
        <v/>
      </c>
      <c r="J217" s="186"/>
      <c r="K217" s="175" t="str">
        <f>IF(J217="","",IF(VLOOKUP(J217,'G-7 Rivers Data'!$AK$4:$AM$9,2,FALSE)=0,"Spatial Data Missing",VLOOKUP(J217,'G-7 Rivers Data'!$AK$4:$AM$9,2,FALSE)))</f>
        <v/>
      </c>
      <c r="L217" s="176" t="str">
        <f>IF(J217="","",IF(VLOOKUP(J217,'G-7 Rivers Data'!$AK$4:$AM$9,3,FALSE)=0,"Spatial Data Missing",VLOOKUP(J217,'G-7 Rivers Data'!$AK$4:$AM$9,3,FALSE)))</f>
        <v/>
      </c>
      <c r="M217" s="79"/>
      <c r="N217" s="172" t="str">
        <f>IF(M217="","",IF(VLOOKUP(M217,'G-7 Rivers Data'!$AA$4:$AB$7,2,FALSE)=0,"Spatial Data Missing",VLOOKUP(M217,'G-7 Rivers Data'!$AA$4:$AB$7,2,FALSE)))</f>
        <v/>
      </c>
      <c r="O217" s="187"/>
      <c r="P217" s="172" t="str">
        <f>IF(O217="","",IF(VLOOKUP(O217,'G-7 Rivers Data'!$AD$4:$AE$8,2,FALSE)=0,"Spatial Data Missing",VLOOKUP(O217,'G-7 Rivers Data'!$AD$4:$AE$8,2,FALSE)))</f>
        <v/>
      </c>
      <c r="Q217" s="177" t="str">
        <f>IF(D217="","",VLOOKUP(D217,'G-7 Rivers Data'!$B$4:$G$8,6,FALSE))</f>
        <v/>
      </c>
      <c r="R217" s="178" t="str">
        <f t="shared" si="24"/>
        <v/>
      </c>
      <c r="S217" s="44"/>
      <c r="T217" s="173"/>
      <c r="U217" s="189"/>
      <c r="V217" s="208" t="str">
        <f t="shared" si="25"/>
        <v/>
      </c>
      <c r="W217" s="208" t="str">
        <f t="shared" si="26"/>
        <v/>
      </c>
      <c r="X217" s="208" t="str">
        <f t="shared" si="27"/>
        <v/>
      </c>
      <c r="Y217" s="209" t="str">
        <f t="shared" si="28"/>
        <v/>
      </c>
      <c r="Z217" s="182"/>
      <c r="AA217" s="183"/>
      <c r="AF217" s="35" t="str">
        <f>IFERROR(INDEX('G-7 Rivers Data'!$AZ$3:$AZ$7,MATCH(D217,'G-7 Rivers Data'!$AY$3:$AY$7,0)),"")</f>
        <v/>
      </c>
      <c r="AG217" s="35">
        <f t="shared" si="29"/>
        <v>0</v>
      </c>
      <c r="AH217" s="188" t="str">
        <f t="shared" si="30"/>
        <v/>
      </c>
      <c r="AI217" s="188" t="str">
        <f t="shared" si="31"/>
        <v/>
      </c>
      <c r="AK217" s="188">
        <v>208</v>
      </c>
      <c r="AM217" s="188" t="str">
        <f t="array" ref="AM217">IFERROR(INDEX($AK$10:$AK$258, MATCH(0, IF(TRUE=$AH$10:$AH$258, COUNTIF($AM$9:$AM216, $AK$10:$AK$258), ""), 0)),"")</f>
        <v/>
      </c>
      <c r="AN217" s="188" t="str">
        <f t="array" ref="AN217">IFERROR(INDEX($AK$10:$AK$258, MATCH(0, IF(TRUE=$AI$10:$AI$258, COUNTIF($AN$9:$AN216, $AK$10:$AK$258), ""), 0)),"")</f>
        <v/>
      </c>
    </row>
    <row r="218" spans="3:40" ht="13.8" x14ac:dyDescent="0.25">
      <c r="C218" s="168">
        <v>209</v>
      </c>
      <c r="D218" s="184"/>
      <c r="E218" s="185"/>
      <c r="F218" s="171" t="str">
        <f>IF(D218="","",VLOOKUP(D218,'G-7 Rivers Data'!$B$2:$G$8,2,FALSE))</f>
        <v/>
      </c>
      <c r="G218" s="172" t="str">
        <f>IFERROR(VLOOKUP(F218,'G-7 Rivers Data'!$C$4:$D$8,2,FALSE),"")</f>
        <v/>
      </c>
      <c r="H218" s="173"/>
      <c r="I218" s="172" t="str">
        <f>IFERROR(INDEX('G-7 Rivers Data'!$H$4:$L$8,MATCH(D218,'G-7 Rivers Data'!$B$4:$B$8,0),MATCH(H218,'G-7 Rivers Data'!$H$3:$L$3,0)),"")</f>
        <v/>
      </c>
      <c r="J218" s="186"/>
      <c r="K218" s="175" t="str">
        <f>IF(J218="","",IF(VLOOKUP(J218,'G-7 Rivers Data'!$AK$4:$AM$9,2,FALSE)=0,"Spatial Data Missing",VLOOKUP(J218,'G-7 Rivers Data'!$AK$4:$AM$9,2,FALSE)))</f>
        <v/>
      </c>
      <c r="L218" s="176" t="str">
        <f>IF(J218="","",IF(VLOOKUP(J218,'G-7 Rivers Data'!$AK$4:$AM$9,3,FALSE)=0,"Spatial Data Missing",VLOOKUP(J218,'G-7 Rivers Data'!$AK$4:$AM$9,3,FALSE)))</f>
        <v/>
      </c>
      <c r="M218" s="79"/>
      <c r="N218" s="172" t="str">
        <f>IF(M218="","",IF(VLOOKUP(M218,'G-7 Rivers Data'!$AA$4:$AB$7,2,FALSE)=0,"Spatial Data Missing",VLOOKUP(M218,'G-7 Rivers Data'!$AA$4:$AB$7,2,FALSE)))</f>
        <v/>
      </c>
      <c r="O218" s="187"/>
      <c r="P218" s="172" t="str">
        <f>IF(O218="","",IF(VLOOKUP(O218,'G-7 Rivers Data'!$AD$4:$AE$8,2,FALSE)=0,"Spatial Data Missing",VLOOKUP(O218,'G-7 Rivers Data'!$AD$4:$AE$8,2,FALSE)))</f>
        <v/>
      </c>
      <c r="Q218" s="177" t="str">
        <f>IF(D218="","",VLOOKUP(D218,'G-7 Rivers Data'!$B$4:$G$8,6,FALSE))</f>
        <v/>
      </c>
      <c r="R218" s="178" t="str">
        <f t="shared" si="24"/>
        <v/>
      </c>
      <c r="S218" s="44"/>
      <c r="T218" s="173"/>
      <c r="U218" s="189"/>
      <c r="V218" s="208" t="str">
        <f t="shared" si="25"/>
        <v/>
      </c>
      <c r="W218" s="208" t="str">
        <f t="shared" si="26"/>
        <v/>
      </c>
      <c r="X218" s="208" t="str">
        <f t="shared" si="27"/>
        <v/>
      </c>
      <c r="Y218" s="209" t="str">
        <f t="shared" si="28"/>
        <v/>
      </c>
      <c r="Z218" s="182"/>
      <c r="AA218" s="183"/>
      <c r="AF218" s="35" t="str">
        <f>IFERROR(INDEX('G-7 Rivers Data'!$AZ$3:$AZ$7,MATCH(D218,'G-7 Rivers Data'!$AY$3:$AY$7,0)),"")</f>
        <v/>
      </c>
      <c r="AG218" s="35">
        <f t="shared" si="29"/>
        <v>0</v>
      </c>
      <c r="AH218" s="188" t="str">
        <f t="shared" si="30"/>
        <v/>
      </c>
      <c r="AI218" s="188" t="str">
        <f t="shared" si="31"/>
        <v/>
      </c>
      <c r="AK218" s="188">
        <v>209</v>
      </c>
      <c r="AM218" s="188" t="str">
        <f t="array" ref="AM218">IFERROR(INDEX($AK$10:$AK$258, MATCH(0, IF(TRUE=$AH$10:$AH$258, COUNTIF($AM$9:$AM217, $AK$10:$AK$258), ""), 0)),"")</f>
        <v/>
      </c>
      <c r="AN218" s="188" t="str">
        <f t="array" ref="AN218">IFERROR(INDEX($AK$10:$AK$258, MATCH(0, IF(TRUE=$AI$10:$AI$258, COUNTIF($AN$9:$AN217, $AK$10:$AK$258), ""), 0)),"")</f>
        <v/>
      </c>
    </row>
    <row r="219" spans="3:40" ht="13.8" x14ac:dyDescent="0.25">
      <c r="C219" s="168">
        <v>210</v>
      </c>
      <c r="D219" s="184"/>
      <c r="E219" s="185"/>
      <c r="F219" s="171" t="str">
        <f>IF(D219="","",VLOOKUP(D219,'G-7 Rivers Data'!$B$2:$G$8,2,FALSE))</f>
        <v/>
      </c>
      <c r="G219" s="172" t="str">
        <f>IFERROR(VLOOKUP(F219,'G-7 Rivers Data'!$C$4:$D$8,2,FALSE),"")</f>
        <v/>
      </c>
      <c r="H219" s="173"/>
      <c r="I219" s="172" t="str">
        <f>IFERROR(INDEX('G-7 Rivers Data'!$H$4:$L$8,MATCH(D219,'G-7 Rivers Data'!$B$4:$B$8,0),MATCH(H219,'G-7 Rivers Data'!$H$3:$L$3,0)),"")</f>
        <v/>
      </c>
      <c r="J219" s="186"/>
      <c r="K219" s="175" t="str">
        <f>IF(J219="","",IF(VLOOKUP(J219,'G-7 Rivers Data'!$AK$4:$AM$9,2,FALSE)=0,"Spatial Data Missing",VLOOKUP(J219,'G-7 Rivers Data'!$AK$4:$AM$9,2,FALSE)))</f>
        <v/>
      </c>
      <c r="L219" s="176" t="str">
        <f>IF(J219="","",IF(VLOOKUP(J219,'G-7 Rivers Data'!$AK$4:$AM$9,3,FALSE)=0,"Spatial Data Missing",VLOOKUP(J219,'G-7 Rivers Data'!$AK$4:$AM$9,3,FALSE)))</f>
        <v/>
      </c>
      <c r="M219" s="79"/>
      <c r="N219" s="172" t="str">
        <f>IF(M219="","",IF(VLOOKUP(M219,'G-7 Rivers Data'!$AA$4:$AB$7,2,FALSE)=0,"Spatial Data Missing",VLOOKUP(M219,'G-7 Rivers Data'!$AA$4:$AB$7,2,FALSE)))</f>
        <v/>
      </c>
      <c r="O219" s="187"/>
      <c r="P219" s="172" t="str">
        <f>IF(O219="","",IF(VLOOKUP(O219,'G-7 Rivers Data'!$AD$4:$AE$8,2,FALSE)=0,"Spatial Data Missing",VLOOKUP(O219,'G-7 Rivers Data'!$AD$4:$AE$8,2,FALSE)))</f>
        <v/>
      </c>
      <c r="Q219" s="177" t="str">
        <f>IF(D219="","",VLOOKUP(D219,'G-7 Rivers Data'!$B$4:$G$8,6,FALSE))</f>
        <v/>
      </c>
      <c r="R219" s="178" t="str">
        <f t="shared" si="24"/>
        <v/>
      </c>
      <c r="S219" s="44"/>
      <c r="T219" s="173"/>
      <c r="U219" s="189"/>
      <c r="V219" s="208" t="str">
        <f t="shared" si="25"/>
        <v/>
      </c>
      <c r="W219" s="208" t="str">
        <f t="shared" si="26"/>
        <v/>
      </c>
      <c r="X219" s="208" t="str">
        <f t="shared" si="27"/>
        <v/>
      </c>
      <c r="Y219" s="209" t="str">
        <f t="shared" si="28"/>
        <v/>
      </c>
      <c r="Z219" s="182"/>
      <c r="AA219" s="183"/>
      <c r="AF219" s="35" t="str">
        <f>IFERROR(INDEX('G-7 Rivers Data'!$AZ$3:$AZ$7,MATCH(D219,'G-7 Rivers Data'!$AY$3:$AY$7,0)),"")</f>
        <v/>
      </c>
      <c r="AG219" s="35">
        <f t="shared" si="29"/>
        <v>0</v>
      </c>
      <c r="AH219" s="188" t="str">
        <f t="shared" si="30"/>
        <v/>
      </c>
      <c r="AI219" s="188" t="str">
        <f t="shared" si="31"/>
        <v/>
      </c>
      <c r="AK219" s="188">
        <v>210</v>
      </c>
      <c r="AM219" s="188" t="str">
        <f t="array" ref="AM219">IFERROR(INDEX($AK$10:$AK$258, MATCH(0, IF(TRUE=$AH$10:$AH$258, COUNTIF($AM$9:$AM218, $AK$10:$AK$258), ""), 0)),"")</f>
        <v/>
      </c>
      <c r="AN219" s="188" t="str">
        <f t="array" ref="AN219">IFERROR(INDEX($AK$10:$AK$258, MATCH(0, IF(TRUE=$AI$10:$AI$258, COUNTIF($AN$9:$AN218, $AK$10:$AK$258), ""), 0)),"")</f>
        <v/>
      </c>
    </row>
    <row r="220" spans="3:40" ht="13.8" x14ac:dyDescent="0.25">
      <c r="C220" s="168">
        <v>211</v>
      </c>
      <c r="D220" s="184"/>
      <c r="E220" s="185"/>
      <c r="F220" s="171" t="str">
        <f>IF(D220="","",VLOOKUP(D220,'G-7 Rivers Data'!$B$2:$G$8,2,FALSE))</f>
        <v/>
      </c>
      <c r="G220" s="172" t="str">
        <f>IFERROR(VLOOKUP(F220,'G-7 Rivers Data'!$C$4:$D$8,2,FALSE),"")</f>
        <v/>
      </c>
      <c r="H220" s="173"/>
      <c r="I220" s="172" t="str">
        <f>IFERROR(INDEX('G-7 Rivers Data'!$H$4:$L$8,MATCH(D220,'G-7 Rivers Data'!$B$4:$B$8,0),MATCH(H220,'G-7 Rivers Data'!$H$3:$L$3,0)),"")</f>
        <v/>
      </c>
      <c r="J220" s="186"/>
      <c r="K220" s="175" t="str">
        <f>IF(J220="","",IF(VLOOKUP(J220,'G-7 Rivers Data'!$AK$4:$AM$9,2,FALSE)=0,"Spatial Data Missing",VLOOKUP(J220,'G-7 Rivers Data'!$AK$4:$AM$9,2,FALSE)))</f>
        <v/>
      </c>
      <c r="L220" s="176" t="str">
        <f>IF(J220="","",IF(VLOOKUP(J220,'G-7 Rivers Data'!$AK$4:$AM$9,3,FALSE)=0,"Spatial Data Missing",VLOOKUP(J220,'G-7 Rivers Data'!$AK$4:$AM$9,3,FALSE)))</f>
        <v/>
      </c>
      <c r="M220" s="79"/>
      <c r="N220" s="172" t="str">
        <f>IF(M220="","",IF(VLOOKUP(M220,'G-7 Rivers Data'!$AA$4:$AB$7,2,FALSE)=0,"Spatial Data Missing",VLOOKUP(M220,'G-7 Rivers Data'!$AA$4:$AB$7,2,FALSE)))</f>
        <v/>
      </c>
      <c r="O220" s="187"/>
      <c r="P220" s="172" t="str">
        <f>IF(O220="","",IF(VLOOKUP(O220,'G-7 Rivers Data'!$AD$4:$AE$8,2,FALSE)=0,"Spatial Data Missing",VLOOKUP(O220,'G-7 Rivers Data'!$AD$4:$AE$8,2,FALSE)))</f>
        <v/>
      </c>
      <c r="Q220" s="177" t="str">
        <f>IF(D220="","",VLOOKUP(D220,'G-7 Rivers Data'!$B$4:$G$8,6,FALSE))</f>
        <v/>
      </c>
      <c r="R220" s="178" t="str">
        <f t="shared" si="24"/>
        <v/>
      </c>
      <c r="S220" s="44"/>
      <c r="T220" s="173"/>
      <c r="U220" s="189"/>
      <c r="V220" s="208" t="str">
        <f t="shared" si="25"/>
        <v/>
      </c>
      <c r="W220" s="208" t="str">
        <f t="shared" si="26"/>
        <v/>
      </c>
      <c r="X220" s="208" t="str">
        <f t="shared" si="27"/>
        <v/>
      </c>
      <c r="Y220" s="209" t="str">
        <f t="shared" si="28"/>
        <v/>
      </c>
      <c r="Z220" s="182"/>
      <c r="AA220" s="183"/>
      <c r="AF220" s="35" t="str">
        <f>IFERROR(INDEX('G-7 Rivers Data'!$AZ$3:$AZ$7,MATCH(D220,'G-7 Rivers Data'!$AY$3:$AY$7,0)),"")</f>
        <v/>
      </c>
      <c r="AG220" s="35">
        <f t="shared" si="29"/>
        <v>0</v>
      </c>
      <c r="AH220" s="188" t="str">
        <f t="shared" si="30"/>
        <v/>
      </c>
      <c r="AI220" s="188" t="str">
        <f t="shared" si="31"/>
        <v/>
      </c>
      <c r="AK220" s="188">
        <v>211</v>
      </c>
      <c r="AM220" s="188" t="str">
        <f t="array" ref="AM220">IFERROR(INDEX($AK$10:$AK$258, MATCH(0, IF(TRUE=$AH$10:$AH$258, COUNTIF($AM$9:$AM219, $AK$10:$AK$258), ""), 0)),"")</f>
        <v/>
      </c>
      <c r="AN220" s="188" t="str">
        <f t="array" ref="AN220">IFERROR(INDEX($AK$10:$AK$258, MATCH(0, IF(TRUE=$AI$10:$AI$258, COUNTIF($AN$9:$AN219, $AK$10:$AK$258), ""), 0)),"")</f>
        <v/>
      </c>
    </row>
    <row r="221" spans="3:40" ht="13.8" x14ac:dyDescent="0.25">
      <c r="C221" s="168">
        <v>212</v>
      </c>
      <c r="D221" s="184"/>
      <c r="E221" s="185"/>
      <c r="F221" s="171" t="str">
        <f>IF(D221="","",VLOOKUP(D221,'G-7 Rivers Data'!$B$2:$G$8,2,FALSE))</f>
        <v/>
      </c>
      <c r="G221" s="172" t="str">
        <f>IFERROR(VLOOKUP(F221,'G-7 Rivers Data'!$C$4:$D$8,2,FALSE),"")</f>
        <v/>
      </c>
      <c r="H221" s="173"/>
      <c r="I221" s="172" t="str">
        <f>IFERROR(INDEX('G-7 Rivers Data'!$H$4:$L$8,MATCH(D221,'G-7 Rivers Data'!$B$4:$B$8,0),MATCH(H221,'G-7 Rivers Data'!$H$3:$L$3,0)),"")</f>
        <v/>
      </c>
      <c r="J221" s="186"/>
      <c r="K221" s="175" t="str">
        <f>IF(J221="","",IF(VLOOKUP(J221,'G-7 Rivers Data'!$AK$4:$AM$9,2,FALSE)=0,"Spatial Data Missing",VLOOKUP(J221,'G-7 Rivers Data'!$AK$4:$AM$9,2,FALSE)))</f>
        <v/>
      </c>
      <c r="L221" s="176" t="str">
        <f>IF(J221="","",IF(VLOOKUP(J221,'G-7 Rivers Data'!$AK$4:$AM$9,3,FALSE)=0,"Spatial Data Missing",VLOOKUP(J221,'G-7 Rivers Data'!$AK$4:$AM$9,3,FALSE)))</f>
        <v/>
      </c>
      <c r="M221" s="79"/>
      <c r="N221" s="172" t="str">
        <f>IF(M221="","",IF(VLOOKUP(M221,'G-7 Rivers Data'!$AA$4:$AB$7,2,FALSE)=0,"Spatial Data Missing",VLOOKUP(M221,'G-7 Rivers Data'!$AA$4:$AB$7,2,FALSE)))</f>
        <v/>
      </c>
      <c r="O221" s="187"/>
      <c r="P221" s="172" t="str">
        <f>IF(O221="","",IF(VLOOKUP(O221,'G-7 Rivers Data'!$AD$4:$AE$8,2,FALSE)=0,"Spatial Data Missing",VLOOKUP(O221,'G-7 Rivers Data'!$AD$4:$AE$8,2,FALSE)))</f>
        <v/>
      </c>
      <c r="Q221" s="177" t="str">
        <f>IF(D221="","",VLOOKUP(D221,'G-7 Rivers Data'!$B$4:$G$8,6,FALSE))</f>
        <v/>
      </c>
      <c r="R221" s="178" t="str">
        <f t="shared" si="24"/>
        <v/>
      </c>
      <c r="S221" s="44"/>
      <c r="T221" s="173"/>
      <c r="U221" s="189"/>
      <c r="V221" s="208" t="str">
        <f t="shared" si="25"/>
        <v/>
      </c>
      <c r="W221" s="208" t="str">
        <f t="shared" si="26"/>
        <v/>
      </c>
      <c r="X221" s="208" t="str">
        <f t="shared" si="27"/>
        <v/>
      </c>
      <c r="Y221" s="209" t="str">
        <f t="shared" si="28"/>
        <v/>
      </c>
      <c r="Z221" s="182"/>
      <c r="AA221" s="183"/>
      <c r="AF221" s="35" t="str">
        <f>IFERROR(INDEX('G-7 Rivers Data'!$AZ$3:$AZ$7,MATCH(D221,'G-7 Rivers Data'!$AY$3:$AY$7,0)),"")</f>
        <v/>
      </c>
      <c r="AG221" s="35">
        <f t="shared" si="29"/>
        <v>0</v>
      </c>
      <c r="AH221" s="188" t="str">
        <f t="shared" si="30"/>
        <v/>
      </c>
      <c r="AI221" s="188" t="str">
        <f t="shared" si="31"/>
        <v/>
      </c>
      <c r="AK221" s="188">
        <v>212</v>
      </c>
      <c r="AM221" s="188" t="str">
        <f t="array" ref="AM221">IFERROR(INDEX($AK$10:$AK$258, MATCH(0, IF(TRUE=$AH$10:$AH$258, COUNTIF($AM$9:$AM220, $AK$10:$AK$258), ""), 0)),"")</f>
        <v/>
      </c>
      <c r="AN221" s="188" t="str">
        <f t="array" ref="AN221">IFERROR(INDEX($AK$10:$AK$258, MATCH(0, IF(TRUE=$AI$10:$AI$258, COUNTIF($AN$9:$AN220, $AK$10:$AK$258), ""), 0)),"")</f>
        <v/>
      </c>
    </row>
    <row r="222" spans="3:40" ht="13.8" x14ac:dyDescent="0.25">
      <c r="C222" s="168">
        <v>213</v>
      </c>
      <c r="D222" s="184"/>
      <c r="E222" s="185"/>
      <c r="F222" s="171" t="str">
        <f>IF(D222="","",VLOOKUP(D222,'G-7 Rivers Data'!$B$2:$G$8,2,FALSE))</f>
        <v/>
      </c>
      <c r="G222" s="172" t="str">
        <f>IFERROR(VLOOKUP(F222,'G-7 Rivers Data'!$C$4:$D$8,2,FALSE),"")</f>
        <v/>
      </c>
      <c r="H222" s="173"/>
      <c r="I222" s="172" t="str">
        <f>IFERROR(INDEX('G-7 Rivers Data'!$H$4:$L$8,MATCH(D222,'G-7 Rivers Data'!$B$4:$B$8,0),MATCH(H222,'G-7 Rivers Data'!$H$3:$L$3,0)),"")</f>
        <v/>
      </c>
      <c r="J222" s="186"/>
      <c r="K222" s="175" t="str">
        <f>IF(J222="","",IF(VLOOKUP(J222,'G-7 Rivers Data'!$AK$4:$AM$9,2,FALSE)=0,"Spatial Data Missing",VLOOKUP(J222,'G-7 Rivers Data'!$AK$4:$AM$9,2,FALSE)))</f>
        <v/>
      </c>
      <c r="L222" s="176" t="str">
        <f>IF(J222="","",IF(VLOOKUP(J222,'G-7 Rivers Data'!$AK$4:$AM$9,3,FALSE)=0,"Spatial Data Missing",VLOOKUP(J222,'G-7 Rivers Data'!$AK$4:$AM$9,3,FALSE)))</f>
        <v/>
      </c>
      <c r="M222" s="79"/>
      <c r="N222" s="172" t="str">
        <f>IF(M222="","",IF(VLOOKUP(M222,'G-7 Rivers Data'!$AA$4:$AB$7,2,FALSE)=0,"Spatial Data Missing",VLOOKUP(M222,'G-7 Rivers Data'!$AA$4:$AB$7,2,FALSE)))</f>
        <v/>
      </c>
      <c r="O222" s="187"/>
      <c r="P222" s="172" t="str">
        <f>IF(O222="","",IF(VLOOKUP(O222,'G-7 Rivers Data'!$AD$4:$AE$8,2,FALSE)=0,"Spatial Data Missing",VLOOKUP(O222,'G-7 Rivers Data'!$AD$4:$AE$8,2,FALSE)))</f>
        <v/>
      </c>
      <c r="Q222" s="177" t="str">
        <f>IF(D222="","",VLOOKUP(D222,'G-7 Rivers Data'!$B$4:$G$8,6,FALSE))</f>
        <v/>
      </c>
      <c r="R222" s="178" t="str">
        <f t="shared" si="24"/>
        <v/>
      </c>
      <c r="S222" s="44"/>
      <c r="T222" s="173"/>
      <c r="U222" s="189"/>
      <c r="V222" s="208" t="str">
        <f t="shared" si="25"/>
        <v/>
      </c>
      <c r="W222" s="208" t="str">
        <f t="shared" si="26"/>
        <v/>
      </c>
      <c r="X222" s="208" t="str">
        <f t="shared" si="27"/>
        <v/>
      </c>
      <c r="Y222" s="209" t="str">
        <f t="shared" si="28"/>
        <v/>
      </c>
      <c r="Z222" s="182"/>
      <c r="AA222" s="183"/>
      <c r="AF222" s="35" t="str">
        <f>IFERROR(INDEX('G-7 Rivers Data'!$AZ$3:$AZ$7,MATCH(D222,'G-7 Rivers Data'!$AY$3:$AY$7,0)),"")</f>
        <v/>
      </c>
      <c r="AG222" s="35">
        <f t="shared" si="29"/>
        <v>0</v>
      </c>
      <c r="AH222" s="188" t="str">
        <f t="shared" si="30"/>
        <v/>
      </c>
      <c r="AI222" s="188" t="str">
        <f t="shared" si="31"/>
        <v/>
      </c>
      <c r="AK222" s="188">
        <v>213</v>
      </c>
      <c r="AM222" s="188" t="str">
        <f t="array" ref="AM222">IFERROR(INDEX($AK$10:$AK$258, MATCH(0, IF(TRUE=$AH$10:$AH$258, COUNTIF($AM$9:$AM221, $AK$10:$AK$258), ""), 0)),"")</f>
        <v/>
      </c>
      <c r="AN222" s="188" t="str">
        <f t="array" ref="AN222">IFERROR(INDEX($AK$10:$AK$258, MATCH(0, IF(TRUE=$AI$10:$AI$258, COUNTIF($AN$9:$AN221, $AK$10:$AK$258), ""), 0)),"")</f>
        <v/>
      </c>
    </row>
    <row r="223" spans="3:40" ht="13.8" x14ac:dyDescent="0.25">
      <c r="C223" s="168">
        <v>214</v>
      </c>
      <c r="D223" s="184"/>
      <c r="E223" s="185"/>
      <c r="F223" s="171" t="str">
        <f>IF(D223="","",VLOOKUP(D223,'G-7 Rivers Data'!$B$2:$G$8,2,FALSE))</f>
        <v/>
      </c>
      <c r="G223" s="172" t="str">
        <f>IFERROR(VLOOKUP(F223,'G-7 Rivers Data'!$C$4:$D$8,2,FALSE),"")</f>
        <v/>
      </c>
      <c r="H223" s="173"/>
      <c r="I223" s="172" t="str">
        <f>IFERROR(INDEX('G-7 Rivers Data'!$H$4:$L$8,MATCH(D223,'G-7 Rivers Data'!$B$4:$B$8,0),MATCH(H223,'G-7 Rivers Data'!$H$3:$L$3,0)),"")</f>
        <v/>
      </c>
      <c r="J223" s="186"/>
      <c r="K223" s="175" t="str">
        <f>IF(J223="","",IF(VLOOKUP(J223,'G-7 Rivers Data'!$AK$4:$AM$9,2,FALSE)=0,"Spatial Data Missing",VLOOKUP(J223,'G-7 Rivers Data'!$AK$4:$AM$9,2,FALSE)))</f>
        <v/>
      </c>
      <c r="L223" s="176" t="str">
        <f>IF(J223="","",IF(VLOOKUP(J223,'G-7 Rivers Data'!$AK$4:$AM$9,3,FALSE)=0,"Spatial Data Missing",VLOOKUP(J223,'G-7 Rivers Data'!$AK$4:$AM$9,3,FALSE)))</f>
        <v/>
      </c>
      <c r="M223" s="79"/>
      <c r="N223" s="172" t="str">
        <f>IF(M223="","",IF(VLOOKUP(M223,'G-7 Rivers Data'!$AA$4:$AB$7,2,FALSE)=0,"Spatial Data Missing",VLOOKUP(M223,'G-7 Rivers Data'!$AA$4:$AB$7,2,FALSE)))</f>
        <v/>
      </c>
      <c r="O223" s="187"/>
      <c r="P223" s="172" t="str">
        <f>IF(O223="","",IF(VLOOKUP(O223,'G-7 Rivers Data'!$AD$4:$AE$8,2,FALSE)=0,"Spatial Data Missing",VLOOKUP(O223,'G-7 Rivers Data'!$AD$4:$AE$8,2,FALSE)))</f>
        <v/>
      </c>
      <c r="Q223" s="177" t="str">
        <f>IF(D223="","",VLOOKUP(D223,'G-7 Rivers Data'!$B$4:$G$8,6,FALSE))</f>
        <v/>
      </c>
      <c r="R223" s="178" t="str">
        <f t="shared" si="24"/>
        <v/>
      </c>
      <c r="S223" s="44"/>
      <c r="T223" s="173"/>
      <c r="U223" s="189"/>
      <c r="V223" s="208" t="str">
        <f t="shared" si="25"/>
        <v/>
      </c>
      <c r="W223" s="208" t="str">
        <f t="shared" si="26"/>
        <v/>
      </c>
      <c r="X223" s="208" t="str">
        <f t="shared" si="27"/>
        <v/>
      </c>
      <c r="Y223" s="209" t="str">
        <f t="shared" si="28"/>
        <v/>
      </c>
      <c r="Z223" s="182"/>
      <c r="AA223" s="183"/>
      <c r="AF223" s="35" t="str">
        <f>IFERROR(INDEX('G-7 Rivers Data'!$AZ$3:$AZ$7,MATCH(D223,'G-7 Rivers Data'!$AY$3:$AY$7,0)),"")</f>
        <v/>
      </c>
      <c r="AG223" s="35">
        <f t="shared" si="29"/>
        <v>0</v>
      </c>
      <c r="AH223" s="188" t="str">
        <f t="shared" si="30"/>
        <v/>
      </c>
      <c r="AI223" s="188" t="str">
        <f t="shared" si="31"/>
        <v/>
      </c>
      <c r="AK223" s="188">
        <v>214</v>
      </c>
      <c r="AM223" s="188" t="str">
        <f t="array" ref="AM223">IFERROR(INDEX($AK$10:$AK$258, MATCH(0, IF(TRUE=$AH$10:$AH$258, COUNTIF($AM$9:$AM222, $AK$10:$AK$258), ""), 0)),"")</f>
        <v/>
      </c>
      <c r="AN223" s="188" t="str">
        <f t="array" ref="AN223">IFERROR(INDEX($AK$10:$AK$258, MATCH(0, IF(TRUE=$AI$10:$AI$258, COUNTIF($AN$9:$AN222, $AK$10:$AK$258), ""), 0)),"")</f>
        <v/>
      </c>
    </row>
    <row r="224" spans="3:40" ht="13.8" x14ac:dyDescent="0.25">
      <c r="C224" s="168">
        <v>215</v>
      </c>
      <c r="D224" s="184"/>
      <c r="E224" s="185"/>
      <c r="F224" s="171" t="str">
        <f>IF(D224="","",VLOOKUP(D224,'G-7 Rivers Data'!$B$2:$G$8,2,FALSE))</f>
        <v/>
      </c>
      <c r="G224" s="172" t="str">
        <f>IFERROR(VLOOKUP(F224,'G-7 Rivers Data'!$C$4:$D$8,2,FALSE),"")</f>
        <v/>
      </c>
      <c r="H224" s="173"/>
      <c r="I224" s="172" t="str">
        <f>IFERROR(INDEX('G-7 Rivers Data'!$H$4:$L$8,MATCH(D224,'G-7 Rivers Data'!$B$4:$B$8,0),MATCH(H224,'G-7 Rivers Data'!$H$3:$L$3,0)),"")</f>
        <v/>
      </c>
      <c r="J224" s="186"/>
      <c r="K224" s="175" t="str">
        <f>IF(J224="","",IF(VLOOKUP(J224,'G-7 Rivers Data'!$AK$4:$AM$9,2,FALSE)=0,"Spatial Data Missing",VLOOKUP(J224,'G-7 Rivers Data'!$AK$4:$AM$9,2,FALSE)))</f>
        <v/>
      </c>
      <c r="L224" s="176" t="str">
        <f>IF(J224="","",IF(VLOOKUP(J224,'G-7 Rivers Data'!$AK$4:$AM$9,3,FALSE)=0,"Spatial Data Missing",VLOOKUP(J224,'G-7 Rivers Data'!$AK$4:$AM$9,3,FALSE)))</f>
        <v/>
      </c>
      <c r="M224" s="79"/>
      <c r="N224" s="172" t="str">
        <f>IF(M224="","",IF(VLOOKUP(M224,'G-7 Rivers Data'!$AA$4:$AB$7,2,FALSE)=0,"Spatial Data Missing",VLOOKUP(M224,'G-7 Rivers Data'!$AA$4:$AB$7,2,FALSE)))</f>
        <v/>
      </c>
      <c r="O224" s="187"/>
      <c r="P224" s="172" t="str">
        <f>IF(O224="","",IF(VLOOKUP(O224,'G-7 Rivers Data'!$AD$4:$AE$8,2,FALSE)=0,"Spatial Data Missing",VLOOKUP(O224,'G-7 Rivers Data'!$AD$4:$AE$8,2,FALSE)))</f>
        <v/>
      </c>
      <c r="Q224" s="177" t="str">
        <f>IF(D224="","",VLOOKUP(D224,'G-7 Rivers Data'!$B$4:$G$8,6,FALSE))</f>
        <v/>
      </c>
      <c r="R224" s="178" t="str">
        <f t="shared" si="24"/>
        <v/>
      </c>
      <c r="S224" s="44"/>
      <c r="T224" s="173"/>
      <c r="U224" s="189"/>
      <c r="V224" s="208" t="str">
        <f t="shared" si="25"/>
        <v/>
      </c>
      <c r="W224" s="208" t="str">
        <f t="shared" si="26"/>
        <v/>
      </c>
      <c r="X224" s="208" t="str">
        <f t="shared" si="27"/>
        <v/>
      </c>
      <c r="Y224" s="209" t="str">
        <f t="shared" si="28"/>
        <v/>
      </c>
      <c r="Z224" s="182"/>
      <c r="AA224" s="183"/>
      <c r="AF224" s="35" t="str">
        <f>IFERROR(INDEX('G-7 Rivers Data'!$AZ$3:$AZ$7,MATCH(D224,'G-7 Rivers Data'!$AY$3:$AY$7,0)),"")</f>
        <v/>
      </c>
      <c r="AG224" s="35">
        <f t="shared" si="29"/>
        <v>0</v>
      </c>
      <c r="AH224" s="188" t="str">
        <f t="shared" si="30"/>
        <v/>
      </c>
      <c r="AI224" s="188" t="str">
        <f t="shared" si="31"/>
        <v/>
      </c>
      <c r="AK224" s="188">
        <v>215</v>
      </c>
      <c r="AM224" s="188" t="str">
        <f t="array" ref="AM224">IFERROR(INDEX($AK$10:$AK$258, MATCH(0, IF(TRUE=$AH$10:$AH$258, COUNTIF($AM$9:$AM223, $AK$10:$AK$258), ""), 0)),"")</f>
        <v/>
      </c>
      <c r="AN224" s="188" t="str">
        <f t="array" ref="AN224">IFERROR(INDEX($AK$10:$AK$258, MATCH(0, IF(TRUE=$AI$10:$AI$258, COUNTIF($AN$9:$AN223, $AK$10:$AK$258), ""), 0)),"")</f>
        <v/>
      </c>
    </row>
    <row r="225" spans="3:40" ht="13.8" x14ac:dyDescent="0.25">
      <c r="C225" s="168">
        <v>216</v>
      </c>
      <c r="D225" s="184"/>
      <c r="E225" s="185"/>
      <c r="F225" s="171" t="str">
        <f>IF(D225="","",VLOOKUP(D225,'G-7 Rivers Data'!$B$2:$G$8,2,FALSE))</f>
        <v/>
      </c>
      <c r="G225" s="172" t="str">
        <f>IFERROR(VLOOKUP(F225,'G-7 Rivers Data'!$C$4:$D$8,2,FALSE),"")</f>
        <v/>
      </c>
      <c r="H225" s="173"/>
      <c r="I225" s="172" t="str">
        <f>IFERROR(INDEX('G-7 Rivers Data'!$H$4:$L$8,MATCH(D225,'G-7 Rivers Data'!$B$4:$B$8,0),MATCH(H225,'G-7 Rivers Data'!$H$3:$L$3,0)),"")</f>
        <v/>
      </c>
      <c r="J225" s="186"/>
      <c r="K225" s="175" t="str">
        <f>IF(J225="","",IF(VLOOKUP(J225,'G-7 Rivers Data'!$AK$4:$AM$9,2,FALSE)=0,"Spatial Data Missing",VLOOKUP(J225,'G-7 Rivers Data'!$AK$4:$AM$9,2,FALSE)))</f>
        <v/>
      </c>
      <c r="L225" s="176" t="str">
        <f>IF(J225="","",IF(VLOOKUP(J225,'G-7 Rivers Data'!$AK$4:$AM$9,3,FALSE)=0,"Spatial Data Missing",VLOOKUP(J225,'G-7 Rivers Data'!$AK$4:$AM$9,3,FALSE)))</f>
        <v/>
      </c>
      <c r="M225" s="79"/>
      <c r="N225" s="172" t="str">
        <f>IF(M225="","",IF(VLOOKUP(M225,'G-7 Rivers Data'!$AA$4:$AB$7,2,FALSE)=0,"Spatial Data Missing",VLOOKUP(M225,'G-7 Rivers Data'!$AA$4:$AB$7,2,FALSE)))</f>
        <v/>
      </c>
      <c r="O225" s="187"/>
      <c r="P225" s="172" t="str">
        <f>IF(O225="","",IF(VLOOKUP(O225,'G-7 Rivers Data'!$AD$4:$AE$8,2,FALSE)=0,"Spatial Data Missing",VLOOKUP(O225,'G-7 Rivers Data'!$AD$4:$AE$8,2,FALSE)))</f>
        <v/>
      </c>
      <c r="Q225" s="177" t="str">
        <f>IF(D225="","",VLOOKUP(D225,'G-7 Rivers Data'!$B$4:$G$8,6,FALSE))</f>
        <v/>
      </c>
      <c r="R225" s="178" t="str">
        <f t="shared" si="24"/>
        <v/>
      </c>
      <c r="S225" s="44"/>
      <c r="T225" s="173"/>
      <c r="U225" s="189"/>
      <c r="V225" s="208" t="str">
        <f t="shared" si="25"/>
        <v/>
      </c>
      <c r="W225" s="208" t="str">
        <f t="shared" si="26"/>
        <v/>
      </c>
      <c r="X225" s="208" t="str">
        <f t="shared" si="27"/>
        <v/>
      </c>
      <c r="Y225" s="209" t="str">
        <f t="shared" si="28"/>
        <v/>
      </c>
      <c r="Z225" s="182"/>
      <c r="AA225" s="183"/>
      <c r="AF225" s="35" t="str">
        <f>IFERROR(INDEX('G-7 Rivers Data'!$AZ$3:$AZ$7,MATCH(D225,'G-7 Rivers Data'!$AY$3:$AY$7,0)),"")</f>
        <v/>
      </c>
      <c r="AG225" s="35">
        <f t="shared" si="29"/>
        <v>0</v>
      </c>
      <c r="AH225" s="188" t="str">
        <f t="shared" si="30"/>
        <v/>
      </c>
      <c r="AI225" s="188" t="str">
        <f t="shared" si="31"/>
        <v/>
      </c>
      <c r="AK225" s="188">
        <v>216</v>
      </c>
      <c r="AM225" s="188" t="str">
        <f t="array" ref="AM225">IFERROR(INDEX($AK$10:$AK$258, MATCH(0, IF(TRUE=$AH$10:$AH$258, COUNTIF($AM$9:$AM224, $AK$10:$AK$258), ""), 0)),"")</f>
        <v/>
      </c>
      <c r="AN225" s="188" t="str">
        <f t="array" ref="AN225">IFERROR(INDEX($AK$10:$AK$258, MATCH(0, IF(TRUE=$AI$10:$AI$258, COUNTIF($AN$9:$AN224, $AK$10:$AK$258), ""), 0)),"")</f>
        <v/>
      </c>
    </row>
    <row r="226" spans="3:40" ht="13.8" x14ac:dyDescent="0.25">
      <c r="C226" s="168">
        <v>217</v>
      </c>
      <c r="D226" s="184"/>
      <c r="E226" s="185"/>
      <c r="F226" s="171" t="str">
        <f>IF(D226="","",VLOOKUP(D226,'G-7 Rivers Data'!$B$2:$G$8,2,FALSE))</f>
        <v/>
      </c>
      <c r="G226" s="172" t="str">
        <f>IFERROR(VLOOKUP(F226,'G-7 Rivers Data'!$C$4:$D$8,2,FALSE),"")</f>
        <v/>
      </c>
      <c r="H226" s="173"/>
      <c r="I226" s="172" t="str">
        <f>IFERROR(INDEX('G-7 Rivers Data'!$H$4:$L$8,MATCH(D226,'G-7 Rivers Data'!$B$4:$B$8,0),MATCH(H226,'G-7 Rivers Data'!$H$3:$L$3,0)),"")</f>
        <v/>
      </c>
      <c r="J226" s="186"/>
      <c r="K226" s="175" t="str">
        <f>IF(J226="","",IF(VLOOKUP(J226,'G-7 Rivers Data'!$AK$4:$AM$9,2,FALSE)=0,"Spatial Data Missing",VLOOKUP(J226,'G-7 Rivers Data'!$AK$4:$AM$9,2,FALSE)))</f>
        <v/>
      </c>
      <c r="L226" s="176" t="str">
        <f>IF(J226="","",IF(VLOOKUP(J226,'G-7 Rivers Data'!$AK$4:$AM$9,3,FALSE)=0,"Spatial Data Missing",VLOOKUP(J226,'G-7 Rivers Data'!$AK$4:$AM$9,3,FALSE)))</f>
        <v/>
      </c>
      <c r="M226" s="79"/>
      <c r="N226" s="172" t="str">
        <f>IF(M226="","",IF(VLOOKUP(M226,'G-7 Rivers Data'!$AA$4:$AB$7,2,FALSE)=0,"Spatial Data Missing",VLOOKUP(M226,'G-7 Rivers Data'!$AA$4:$AB$7,2,FALSE)))</f>
        <v/>
      </c>
      <c r="O226" s="187"/>
      <c r="P226" s="172" t="str">
        <f>IF(O226="","",IF(VLOOKUP(O226,'G-7 Rivers Data'!$AD$4:$AE$8,2,FALSE)=0,"Spatial Data Missing",VLOOKUP(O226,'G-7 Rivers Data'!$AD$4:$AE$8,2,FALSE)))</f>
        <v/>
      </c>
      <c r="Q226" s="177" t="str">
        <f>IF(D226="","",VLOOKUP(D226,'G-7 Rivers Data'!$B$4:$G$8,6,FALSE))</f>
        <v/>
      </c>
      <c r="R226" s="178" t="str">
        <f t="shared" si="24"/>
        <v/>
      </c>
      <c r="S226" s="44"/>
      <c r="T226" s="173"/>
      <c r="U226" s="189"/>
      <c r="V226" s="208" t="str">
        <f t="shared" si="25"/>
        <v/>
      </c>
      <c r="W226" s="208" t="str">
        <f t="shared" si="26"/>
        <v/>
      </c>
      <c r="X226" s="208" t="str">
        <f t="shared" si="27"/>
        <v/>
      </c>
      <c r="Y226" s="209" t="str">
        <f t="shared" si="28"/>
        <v/>
      </c>
      <c r="Z226" s="182"/>
      <c r="AA226" s="183"/>
      <c r="AF226" s="35" t="str">
        <f>IFERROR(INDEX('G-7 Rivers Data'!$AZ$3:$AZ$7,MATCH(D226,'G-7 Rivers Data'!$AY$3:$AY$7,0)),"")</f>
        <v/>
      </c>
      <c r="AG226" s="35">
        <f t="shared" si="29"/>
        <v>0</v>
      </c>
      <c r="AH226" s="188" t="str">
        <f t="shared" si="30"/>
        <v/>
      </c>
      <c r="AI226" s="188" t="str">
        <f t="shared" si="31"/>
        <v/>
      </c>
      <c r="AK226" s="188">
        <v>217</v>
      </c>
      <c r="AM226" s="188" t="str">
        <f t="array" ref="AM226">IFERROR(INDEX($AK$10:$AK$258, MATCH(0, IF(TRUE=$AH$10:$AH$258, COUNTIF($AM$9:$AM225, $AK$10:$AK$258), ""), 0)),"")</f>
        <v/>
      </c>
      <c r="AN226" s="188" t="str">
        <f t="array" ref="AN226">IFERROR(INDEX($AK$10:$AK$258, MATCH(0, IF(TRUE=$AI$10:$AI$258, COUNTIF($AN$9:$AN225, $AK$10:$AK$258), ""), 0)),"")</f>
        <v/>
      </c>
    </row>
    <row r="227" spans="3:40" ht="13.8" x14ac:dyDescent="0.25">
      <c r="C227" s="168">
        <v>218</v>
      </c>
      <c r="D227" s="184"/>
      <c r="E227" s="185"/>
      <c r="F227" s="171" t="str">
        <f>IF(D227="","",VLOOKUP(D227,'G-7 Rivers Data'!$B$2:$G$8,2,FALSE))</f>
        <v/>
      </c>
      <c r="G227" s="172" t="str">
        <f>IFERROR(VLOOKUP(F227,'G-7 Rivers Data'!$C$4:$D$8,2,FALSE),"")</f>
        <v/>
      </c>
      <c r="H227" s="173"/>
      <c r="I227" s="172" t="str">
        <f>IFERROR(INDEX('G-7 Rivers Data'!$H$4:$L$8,MATCH(D227,'G-7 Rivers Data'!$B$4:$B$8,0),MATCH(H227,'G-7 Rivers Data'!$H$3:$L$3,0)),"")</f>
        <v/>
      </c>
      <c r="J227" s="186"/>
      <c r="K227" s="175" t="str">
        <f>IF(J227="","",IF(VLOOKUP(J227,'G-7 Rivers Data'!$AK$4:$AM$9,2,FALSE)=0,"Spatial Data Missing",VLOOKUP(J227,'G-7 Rivers Data'!$AK$4:$AM$9,2,FALSE)))</f>
        <v/>
      </c>
      <c r="L227" s="176" t="str">
        <f>IF(J227="","",IF(VLOOKUP(J227,'G-7 Rivers Data'!$AK$4:$AM$9,3,FALSE)=0,"Spatial Data Missing",VLOOKUP(J227,'G-7 Rivers Data'!$AK$4:$AM$9,3,FALSE)))</f>
        <v/>
      </c>
      <c r="M227" s="79"/>
      <c r="N227" s="172" t="str">
        <f>IF(M227="","",IF(VLOOKUP(M227,'G-7 Rivers Data'!$AA$4:$AB$7,2,FALSE)=0,"Spatial Data Missing",VLOOKUP(M227,'G-7 Rivers Data'!$AA$4:$AB$7,2,FALSE)))</f>
        <v/>
      </c>
      <c r="O227" s="187"/>
      <c r="P227" s="172" t="str">
        <f>IF(O227="","",IF(VLOOKUP(O227,'G-7 Rivers Data'!$AD$4:$AE$8,2,FALSE)=0,"Spatial Data Missing",VLOOKUP(O227,'G-7 Rivers Data'!$AD$4:$AE$8,2,FALSE)))</f>
        <v/>
      </c>
      <c r="Q227" s="177" t="str">
        <f>IF(D227="","",VLOOKUP(D227,'G-7 Rivers Data'!$B$4:$G$8,6,FALSE))</f>
        <v/>
      </c>
      <c r="R227" s="178" t="str">
        <f t="shared" si="24"/>
        <v/>
      </c>
      <c r="S227" s="44"/>
      <c r="T227" s="173"/>
      <c r="U227" s="189"/>
      <c r="V227" s="208" t="str">
        <f t="shared" si="25"/>
        <v/>
      </c>
      <c r="W227" s="208" t="str">
        <f t="shared" si="26"/>
        <v/>
      </c>
      <c r="X227" s="208" t="str">
        <f t="shared" si="27"/>
        <v/>
      </c>
      <c r="Y227" s="209" t="str">
        <f t="shared" si="28"/>
        <v/>
      </c>
      <c r="Z227" s="182"/>
      <c r="AA227" s="183"/>
      <c r="AF227" s="35" t="str">
        <f>IFERROR(INDEX('G-7 Rivers Data'!$AZ$3:$AZ$7,MATCH(D227,'G-7 Rivers Data'!$AY$3:$AY$7,0)),"")</f>
        <v/>
      </c>
      <c r="AG227" s="35">
        <f t="shared" si="29"/>
        <v>0</v>
      </c>
      <c r="AH227" s="188" t="str">
        <f t="shared" si="30"/>
        <v/>
      </c>
      <c r="AI227" s="188" t="str">
        <f t="shared" si="31"/>
        <v/>
      </c>
      <c r="AK227" s="188">
        <v>218</v>
      </c>
      <c r="AM227" s="188" t="str">
        <f t="array" ref="AM227">IFERROR(INDEX($AK$10:$AK$258, MATCH(0, IF(TRUE=$AH$10:$AH$258, COUNTIF($AM$9:$AM226, $AK$10:$AK$258), ""), 0)),"")</f>
        <v/>
      </c>
      <c r="AN227" s="188" t="str">
        <f t="array" ref="AN227">IFERROR(INDEX($AK$10:$AK$258, MATCH(0, IF(TRUE=$AI$10:$AI$258, COUNTIF($AN$9:$AN226, $AK$10:$AK$258), ""), 0)),"")</f>
        <v/>
      </c>
    </row>
    <row r="228" spans="3:40" ht="13.8" x14ac:dyDescent="0.25">
      <c r="C228" s="168">
        <v>219</v>
      </c>
      <c r="D228" s="184"/>
      <c r="E228" s="185"/>
      <c r="F228" s="171" t="str">
        <f>IF(D228="","",VLOOKUP(D228,'G-7 Rivers Data'!$B$2:$G$8,2,FALSE))</f>
        <v/>
      </c>
      <c r="G228" s="172" t="str">
        <f>IFERROR(VLOOKUP(F228,'G-7 Rivers Data'!$C$4:$D$8,2,FALSE),"")</f>
        <v/>
      </c>
      <c r="H228" s="173"/>
      <c r="I228" s="172" t="str">
        <f>IFERROR(INDEX('G-7 Rivers Data'!$H$4:$L$8,MATCH(D228,'G-7 Rivers Data'!$B$4:$B$8,0),MATCH(H228,'G-7 Rivers Data'!$H$3:$L$3,0)),"")</f>
        <v/>
      </c>
      <c r="J228" s="186"/>
      <c r="K228" s="175" t="str">
        <f>IF(J228="","",IF(VLOOKUP(J228,'G-7 Rivers Data'!$AK$4:$AM$9,2,FALSE)=0,"Spatial Data Missing",VLOOKUP(J228,'G-7 Rivers Data'!$AK$4:$AM$9,2,FALSE)))</f>
        <v/>
      </c>
      <c r="L228" s="176" t="str">
        <f>IF(J228="","",IF(VLOOKUP(J228,'G-7 Rivers Data'!$AK$4:$AM$9,3,FALSE)=0,"Spatial Data Missing",VLOOKUP(J228,'G-7 Rivers Data'!$AK$4:$AM$9,3,FALSE)))</f>
        <v/>
      </c>
      <c r="M228" s="79"/>
      <c r="N228" s="172" t="str">
        <f>IF(M228="","",IF(VLOOKUP(M228,'G-7 Rivers Data'!$AA$4:$AB$7,2,FALSE)=0,"Spatial Data Missing",VLOOKUP(M228,'G-7 Rivers Data'!$AA$4:$AB$7,2,FALSE)))</f>
        <v/>
      </c>
      <c r="O228" s="187"/>
      <c r="P228" s="172" t="str">
        <f>IF(O228="","",IF(VLOOKUP(O228,'G-7 Rivers Data'!$AD$4:$AE$8,2,FALSE)=0,"Spatial Data Missing",VLOOKUP(O228,'G-7 Rivers Data'!$AD$4:$AE$8,2,FALSE)))</f>
        <v/>
      </c>
      <c r="Q228" s="177" t="str">
        <f>IF(D228="","",VLOOKUP(D228,'G-7 Rivers Data'!$B$4:$G$8,6,FALSE))</f>
        <v/>
      </c>
      <c r="R228" s="178" t="str">
        <f t="shared" si="24"/>
        <v/>
      </c>
      <c r="S228" s="44"/>
      <c r="T228" s="173"/>
      <c r="U228" s="189"/>
      <c r="V228" s="208" t="str">
        <f t="shared" si="25"/>
        <v/>
      </c>
      <c r="W228" s="208" t="str">
        <f t="shared" si="26"/>
        <v/>
      </c>
      <c r="X228" s="208" t="str">
        <f t="shared" si="27"/>
        <v/>
      </c>
      <c r="Y228" s="209" t="str">
        <f t="shared" si="28"/>
        <v/>
      </c>
      <c r="Z228" s="182"/>
      <c r="AA228" s="183"/>
      <c r="AF228" s="35" t="str">
        <f>IFERROR(INDEX('G-7 Rivers Data'!$AZ$3:$AZ$7,MATCH(D228,'G-7 Rivers Data'!$AY$3:$AY$7,0)),"")</f>
        <v/>
      </c>
      <c r="AG228" s="35">
        <f t="shared" si="29"/>
        <v>0</v>
      </c>
      <c r="AH228" s="188" t="str">
        <f t="shared" si="30"/>
        <v/>
      </c>
      <c r="AI228" s="188" t="str">
        <f t="shared" si="31"/>
        <v/>
      </c>
      <c r="AK228" s="188">
        <v>219</v>
      </c>
      <c r="AM228" s="188" t="str">
        <f t="array" ref="AM228">IFERROR(INDEX($AK$10:$AK$258, MATCH(0, IF(TRUE=$AH$10:$AH$258, COUNTIF($AM$9:$AM227, $AK$10:$AK$258), ""), 0)),"")</f>
        <v/>
      </c>
      <c r="AN228" s="188" t="str">
        <f t="array" ref="AN228">IFERROR(INDEX($AK$10:$AK$258, MATCH(0, IF(TRUE=$AI$10:$AI$258, COUNTIF($AN$9:$AN227, $AK$10:$AK$258), ""), 0)),"")</f>
        <v/>
      </c>
    </row>
    <row r="229" spans="3:40" ht="13.8" x14ac:dyDescent="0.25">
      <c r="C229" s="168">
        <v>220</v>
      </c>
      <c r="D229" s="184"/>
      <c r="E229" s="185"/>
      <c r="F229" s="171" t="str">
        <f>IF(D229="","",VLOOKUP(D229,'G-7 Rivers Data'!$B$2:$G$8,2,FALSE))</f>
        <v/>
      </c>
      <c r="G229" s="172" t="str">
        <f>IFERROR(VLOOKUP(F229,'G-7 Rivers Data'!$C$4:$D$8,2,FALSE),"")</f>
        <v/>
      </c>
      <c r="H229" s="173"/>
      <c r="I229" s="172" t="str">
        <f>IFERROR(INDEX('G-7 Rivers Data'!$H$4:$L$8,MATCH(D229,'G-7 Rivers Data'!$B$4:$B$8,0),MATCH(H229,'G-7 Rivers Data'!$H$3:$L$3,0)),"")</f>
        <v/>
      </c>
      <c r="J229" s="186"/>
      <c r="K229" s="175" t="str">
        <f>IF(J229="","",IF(VLOOKUP(J229,'G-7 Rivers Data'!$AK$4:$AM$9,2,FALSE)=0,"Spatial Data Missing",VLOOKUP(J229,'G-7 Rivers Data'!$AK$4:$AM$9,2,FALSE)))</f>
        <v/>
      </c>
      <c r="L229" s="176" t="str">
        <f>IF(J229="","",IF(VLOOKUP(J229,'G-7 Rivers Data'!$AK$4:$AM$9,3,FALSE)=0,"Spatial Data Missing",VLOOKUP(J229,'G-7 Rivers Data'!$AK$4:$AM$9,3,FALSE)))</f>
        <v/>
      </c>
      <c r="M229" s="79"/>
      <c r="N229" s="172" t="str">
        <f>IF(M229="","",IF(VLOOKUP(M229,'G-7 Rivers Data'!$AA$4:$AB$7,2,FALSE)=0,"Spatial Data Missing",VLOOKUP(M229,'G-7 Rivers Data'!$AA$4:$AB$7,2,FALSE)))</f>
        <v/>
      </c>
      <c r="O229" s="187"/>
      <c r="P229" s="172" t="str">
        <f>IF(O229="","",IF(VLOOKUP(O229,'G-7 Rivers Data'!$AD$4:$AE$8,2,FALSE)=0,"Spatial Data Missing",VLOOKUP(O229,'G-7 Rivers Data'!$AD$4:$AE$8,2,FALSE)))</f>
        <v/>
      </c>
      <c r="Q229" s="177" t="str">
        <f>IF(D229="","",VLOOKUP(D229,'G-7 Rivers Data'!$B$4:$G$8,6,FALSE))</f>
        <v/>
      </c>
      <c r="R229" s="178" t="str">
        <f t="shared" si="24"/>
        <v/>
      </c>
      <c r="S229" s="44"/>
      <c r="T229" s="173"/>
      <c r="U229" s="189"/>
      <c r="V229" s="208" t="str">
        <f t="shared" si="25"/>
        <v/>
      </c>
      <c r="W229" s="208" t="str">
        <f t="shared" si="26"/>
        <v/>
      </c>
      <c r="X229" s="208" t="str">
        <f t="shared" si="27"/>
        <v/>
      </c>
      <c r="Y229" s="209" t="str">
        <f t="shared" si="28"/>
        <v/>
      </c>
      <c r="Z229" s="182"/>
      <c r="AA229" s="183"/>
      <c r="AF229" s="35" t="str">
        <f>IFERROR(INDEX('G-7 Rivers Data'!$AZ$3:$AZ$7,MATCH(D229,'G-7 Rivers Data'!$AY$3:$AY$7,0)),"")</f>
        <v/>
      </c>
      <c r="AG229" s="35">
        <f t="shared" si="29"/>
        <v>0</v>
      </c>
      <c r="AH229" s="188" t="str">
        <f t="shared" si="30"/>
        <v/>
      </c>
      <c r="AI229" s="188" t="str">
        <f t="shared" si="31"/>
        <v/>
      </c>
      <c r="AK229" s="188">
        <v>220</v>
      </c>
      <c r="AM229" s="188" t="str">
        <f t="array" ref="AM229">IFERROR(INDEX($AK$10:$AK$258, MATCH(0, IF(TRUE=$AH$10:$AH$258, COUNTIF($AM$9:$AM228, $AK$10:$AK$258), ""), 0)),"")</f>
        <v/>
      </c>
      <c r="AN229" s="188" t="str">
        <f t="array" ref="AN229">IFERROR(INDEX($AK$10:$AK$258, MATCH(0, IF(TRUE=$AI$10:$AI$258, COUNTIF($AN$9:$AN228, $AK$10:$AK$258), ""), 0)),"")</f>
        <v/>
      </c>
    </row>
    <row r="230" spans="3:40" ht="13.8" x14ac:dyDescent="0.25">
      <c r="C230" s="168">
        <v>221</v>
      </c>
      <c r="D230" s="184"/>
      <c r="E230" s="185"/>
      <c r="F230" s="171" t="str">
        <f>IF(D230="","",VLOOKUP(D230,'G-7 Rivers Data'!$B$2:$G$8,2,FALSE))</f>
        <v/>
      </c>
      <c r="G230" s="172" t="str">
        <f>IFERROR(VLOOKUP(F230,'G-7 Rivers Data'!$C$4:$D$8,2,FALSE),"")</f>
        <v/>
      </c>
      <c r="H230" s="173"/>
      <c r="I230" s="172" t="str">
        <f>IFERROR(INDEX('G-7 Rivers Data'!$H$4:$L$8,MATCH(D230,'G-7 Rivers Data'!$B$4:$B$8,0),MATCH(H230,'G-7 Rivers Data'!$H$3:$L$3,0)),"")</f>
        <v/>
      </c>
      <c r="J230" s="186"/>
      <c r="K230" s="175" t="str">
        <f>IF(J230="","",IF(VLOOKUP(J230,'G-7 Rivers Data'!$AK$4:$AM$9,2,FALSE)=0,"Spatial Data Missing",VLOOKUP(J230,'G-7 Rivers Data'!$AK$4:$AM$9,2,FALSE)))</f>
        <v/>
      </c>
      <c r="L230" s="176" t="str">
        <f>IF(J230="","",IF(VLOOKUP(J230,'G-7 Rivers Data'!$AK$4:$AM$9,3,FALSE)=0,"Spatial Data Missing",VLOOKUP(J230,'G-7 Rivers Data'!$AK$4:$AM$9,3,FALSE)))</f>
        <v/>
      </c>
      <c r="M230" s="79"/>
      <c r="N230" s="172" t="str">
        <f>IF(M230="","",IF(VLOOKUP(M230,'G-7 Rivers Data'!$AA$4:$AB$7,2,FALSE)=0,"Spatial Data Missing",VLOOKUP(M230,'G-7 Rivers Data'!$AA$4:$AB$7,2,FALSE)))</f>
        <v/>
      </c>
      <c r="O230" s="187"/>
      <c r="P230" s="172" t="str">
        <f>IF(O230="","",IF(VLOOKUP(O230,'G-7 Rivers Data'!$AD$4:$AE$8,2,FALSE)=0,"Spatial Data Missing",VLOOKUP(O230,'G-7 Rivers Data'!$AD$4:$AE$8,2,FALSE)))</f>
        <v/>
      </c>
      <c r="Q230" s="177" t="str">
        <f>IF(D230="","",VLOOKUP(D230,'G-7 Rivers Data'!$B$4:$G$8,6,FALSE))</f>
        <v/>
      </c>
      <c r="R230" s="178" t="str">
        <f t="shared" si="24"/>
        <v/>
      </c>
      <c r="S230" s="44"/>
      <c r="T230" s="173"/>
      <c r="U230" s="189"/>
      <c r="V230" s="208" t="str">
        <f t="shared" si="25"/>
        <v/>
      </c>
      <c r="W230" s="208" t="str">
        <f t="shared" si="26"/>
        <v/>
      </c>
      <c r="X230" s="208" t="str">
        <f t="shared" si="27"/>
        <v/>
      </c>
      <c r="Y230" s="209" t="str">
        <f t="shared" si="28"/>
        <v/>
      </c>
      <c r="Z230" s="182"/>
      <c r="AA230" s="183"/>
      <c r="AF230" s="35" t="str">
        <f>IFERROR(INDEX('G-7 Rivers Data'!$AZ$3:$AZ$7,MATCH(D230,'G-7 Rivers Data'!$AY$3:$AY$7,0)),"")</f>
        <v/>
      </c>
      <c r="AG230" s="35">
        <f t="shared" si="29"/>
        <v>0</v>
      </c>
      <c r="AH230" s="188" t="str">
        <f t="shared" si="30"/>
        <v/>
      </c>
      <c r="AI230" s="188" t="str">
        <f t="shared" si="31"/>
        <v/>
      </c>
      <c r="AK230" s="188">
        <v>221</v>
      </c>
      <c r="AM230" s="188" t="str">
        <f t="array" ref="AM230">IFERROR(INDEX($AK$10:$AK$258, MATCH(0, IF(TRUE=$AH$10:$AH$258, COUNTIF($AM$9:$AM229, $AK$10:$AK$258), ""), 0)),"")</f>
        <v/>
      </c>
      <c r="AN230" s="188" t="str">
        <f t="array" ref="AN230">IFERROR(INDEX($AK$10:$AK$258, MATCH(0, IF(TRUE=$AI$10:$AI$258, COUNTIF($AN$9:$AN229, $AK$10:$AK$258), ""), 0)),"")</f>
        <v/>
      </c>
    </row>
    <row r="231" spans="3:40" ht="13.8" x14ac:dyDescent="0.25">
      <c r="C231" s="168">
        <v>222</v>
      </c>
      <c r="D231" s="184"/>
      <c r="E231" s="185"/>
      <c r="F231" s="171" t="str">
        <f>IF(D231="","",VLOOKUP(D231,'G-7 Rivers Data'!$B$2:$G$8,2,FALSE))</f>
        <v/>
      </c>
      <c r="G231" s="172" t="str">
        <f>IFERROR(VLOOKUP(F231,'G-7 Rivers Data'!$C$4:$D$8,2,FALSE),"")</f>
        <v/>
      </c>
      <c r="H231" s="173"/>
      <c r="I231" s="172" t="str">
        <f>IFERROR(INDEX('G-7 Rivers Data'!$H$4:$L$8,MATCH(D231,'G-7 Rivers Data'!$B$4:$B$8,0),MATCH(H231,'G-7 Rivers Data'!$H$3:$L$3,0)),"")</f>
        <v/>
      </c>
      <c r="J231" s="186"/>
      <c r="K231" s="175" t="str">
        <f>IF(J231="","",IF(VLOOKUP(J231,'G-7 Rivers Data'!$AK$4:$AM$9,2,FALSE)=0,"Spatial Data Missing",VLOOKUP(J231,'G-7 Rivers Data'!$AK$4:$AM$9,2,FALSE)))</f>
        <v/>
      </c>
      <c r="L231" s="176" t="str">
        <f>IF(J231="","",IF(VLOOKUP(J231,'G-7 Rivers Data'!$AK$4:$AM$9,3,FALSE)=0,"Spatial Data Missing",VLOOKUP(J231,'G-7 Rivers Data'!$AK$4:$AM$9,3,FALSE)))</f>
        <v/>
      </c>
      <c r="M231" s="79"/>
      <c r="N231" s="172" t="str">
        <f>IF(M231="","",IF(VLOOKUP(M231,'G-7 Rivers Data'!$AA$4:$AB$7,2,FALSE)=0,"Spatial Data Missing",VLOOKUP(M231,'G-7 Rivers Data'!$AA$4:$AB$7,2,FALSE)))</f>
        <v/>
      </c>
      <c r="O231" s="187"/>
      <c r="P231" s="172" t="str">
        <f>IF(O231="","",IF(VLOOKUP(O231,'G-7 Rivers Data'!$AD$4:$AE$8,2,FALSE)=0,"Spatial Data Missing",VLOOKUP(O231,'G-7 Rivers Data'!$AD$4:$AE$8,2,FALSE)))</f>
        <v/>
      </c>
      <c r="Q231" s="177" t="str">
        <f>IF(D231="","",VLOOKUP(D231,'G-7 Rivers Data'!$B$4:$G$8,6,FALSE))</f>
        <v/>
      </c>
      <c r="R231" s="178" t="str">
        <f t="shared" si="24"/>
        <v/>
      </c>
      <c r="S231" s="44"/>
      <c r="T231" s="173"/>
      <c r="U231" s="189"/>
      <c r="V231" s="208" t="str">
        <f t="shared" si="25"/>
        <v/>
      </c>
      <c r="W231" s="208" t="str">
        <f t="shared" si="26"/>
        <v/>
      </c>
      <c r="X231" s="208" t="str">
        <f t="shared" si="27"/>
        <v/>
      </c>
      <c r="Y231" s="209" t="str">
        <f t="shared" si="28"/>
        <v/>
      </c>
      <c r="Z231" s="182"/>
      <c r="AA231" s="183"/>
      <c r="AF231" s="35" t="str">
        <f>IFERROR(INDEX('G-7 Rivers Data'!$AZ$3:$AZ$7,MATCH(D231,'G-7 Rivers Data'!$AY$3:$AY$7,0)),"")</f>
        <v/>
      </c>
      <c r="AG231" s="35">
        <f t="shared" si="29"/>
        <v>0</v>
      </c>
      <c r="AH231" s="188" t="str">
        <f t="shared" si="30"/>
        <v/>
      </c>
      <c r="AI231" s="188" t="str">
        <f t="shared" si="31"/>
        <v/>
      </c>
      <c r="AK231" s="188">
        <v>222</v>
      </c>
      <c r="AM231" s="188" t="str">
        <f t="array" ref="AM231">IFERROR(INDEX($AK$10:$AK$258, MATCH(0, IF(TRUE=$AH$10:$AH$258, COUNTIF($AM$9:$AM230, $AK$10:$AK$258), ""), 0)),"")</f>
        <v/>
      </c>
      <c r="AN231" s="188" t="str">
        <f t="array" ref="AN231">IFERROR(INDEX($AK$10:$AK$258, MATCH(0, IF(TRUE=$AI$10:$AI$258, COUNTIF($AN$9:$AN230, $AK$10:$AK$258), ""), 0)),"")</f>
        <v/>
      </c>
    </row>
    <row r="232" spans="3:40" ht="13.8" x14ac:dyDescent="0.25">
      <c r="C232" s="168">
        <v>223</v>
      </c>
      <c r="D232" s="184"/>
      <c r="E232" s="185"/>
      <c r="F232" s="171" t="str">
        <f>IF(D232="","",VLOOKUP(D232,'G-7 Rivers Data'!$B$2:$G$8,2,FALSE))</f>
        <v/>
      </c>
      <c r="G232" s="172" t="str">
        <f>IFERROR(VLOOKUP(F232,'G-7 Rivers Data'!$C$4:$D$8,2,FALSE),"")</f>
        <v/>
      </c>
      <c r="H232" s="173"/>
      <c r="I232" s="172" t="str">
        <f>IFERROR(INDEX('G-7 Rivers Data'!$H$4:$L$8,MATCH(D232,'G-7 Rivers Data'!$B$4:$B$8,0),MATCH(H232,'G-7 Rivers Data'!$H$3:$L$3,0)),"")</f>
        <v/>
      </c>
      <c r="J232" s="186"/>
      <c r="K232" s="175" t="str">
        <f>IF(J232="","",IF(VLOOKUP(J232,'G-7 Rivers Data'!$AK$4:$AM$9,2,FALSE)=0,"Spatial Data Missing",VLOOKUP(J232,'G-7 Rivers Data'!$AK$4:$AM$9,2,FALSE)))</f>
        <v/>
      </c>
      <c r="L232" s="176" t="str">
        <f>IF(J232="","",IF(VLOOKUP(J232,'G-7 Rivers Data'!$AK$4:$AM$9,3,FALSE)=0,"Spatial Data Missing",VLOOKUP(J232,'G-7 Rivers Data'!$AK$4:$AM$9,3,FALSE)))</f>
        <v/>
      </c>
      <c r="M232" s="79"/>
      <c r="N232" s="172" t="str">
        <f>IF(M232="","",IF(VLOOKUP(M232,'G-7 Rivers Data'!$AA$4:$AB$7,2,FALSE)=0,"Spatial Data Missing",VLOOKUP(M232,'G-7 Rivers Data'!$AA$4:$AB$7,2,FALSE)))</f>
        <v/>
      </c>
      <c r="O232" s="187"/>
      <c r="P232" s="172" t="str">
        <f>IF(O232="","",IF(VLOOKUP(O232,'G-7 Rivers Data'!$AD$4:$AE$8,2,FALSE)=0,"Spatial Data Missing",VLOOKUP(O232,'G-7 Rivers Data'!$AD$4:$AE$8,2,FALSE)))</f>
        <v/>
      </c>
      <c r="Q232" s="177" t="str">
        <f>IF(D232="","",VLOOKUP(D232,'G-7 Rivers Data'!$B$4:$G$8,6,FALSE))</f>
        <v/>
      </c>
      <c r="R232" s="178" t="str">
        <f t="shared" si="24"/>
        <v/>
      </c>
      <c r="S232" s="44"/>
      <c r="T232" s="173"/>
      <c r="U232" s="189"/>
      <c r="V232" s="208" t="str">
        <f t="shared" si="25"/>
        <v/>
      </c>
      <c r="W232" s="208" t="str">
        <f t="shared" si="26"/>
        <v/>
      </c>
      <c r="X232" s="208" t="str">
        <f t="shared" si="27"/>
        <v/>
      </c>
      <c r="Y232" s="209" t="str">
        <f t="shared" si="28"/>
        <v/>
      </c>
      <c r="Z232" s="182"/>
      <c r="AA232" s="183"/>
      <c r="AF232" s="35" t="str">
        <f>IFERROR(INDEX('G-7 Rivers Data'!$AZ$3:$AZ$7,MATCH(D232,'G-7 Rivers Data'!$AY$3:$AY$7,0)),"")</f>
        <v/>
      </c>
      <c r="AG232" s="35">
        <f t="shared" si="29"/>
        <v>0</v>
      </c>
      <c r="AH232" s="188" t="str">
        <f t="shared" si="30"/>
        <v/>
      </c>
      <c r="AI232" s="188" t="str">
        <f t="shared" si="31"/>
        <v/>
      </c>
      <c r="AK232" s="188">
        <v>223</v>
      </c>
      <c r="AM232" s="188" t="str">
        <f t="array" ref="AM232">IFERROR(INDEX($AK$10:$AK$258, MATCH(0, IF(TRUE=$AH$10:$AH$258, COUNTIF($AM$9:$AM231, $AK$10:$AK$258), ""), 0)),"")</f>
        <v/>
      </c>
      <c r="AN232" s="188" t="str">
        <f t="array" ref="AN232">IFERROR(INDEX($AK$10:$AK$258, MATCH(0, IF(TRUE=$AI$10:$AI$258, COUNTIF($AN$9:$AN231, $AK$10:$AK$258), ""), 0)),"")</f>
        <v/>
      </c>
    </row>
    <row r="233" spans="3:40" ht="13.8" x14ac:dyDescent="0.25">
      <c r="C233" s="168">
        <v>224</v>
      </c>
      <c r="D233" s="184"/>
      <c r="E233" s="185"/>
      <c r="F233" s="171" t="str">
        <f>IF(D233="","",VLOOKUP(D233,'G-7 Rivers Data'!$B$2:$G$8,2,FALSE))</f>
        <v/>
      </c>
      <c r="G233" s="172" t="str">
        <f>IFERROR(VLOOKUP(F233,'G-7 Rivers Data'!$C$4:$D$8,2,FALSE),"")</f>
        <v/>
      </c>
      <c r="H233" s="173"/>
      <c r="I233" s="172" t="str">
        <f>IFERROR(INDEX('G-7 Rivers Data'!$H$4:$L$8,MATCH(D233,'G-7 Rivers Data'!$B$4:$B$8,0),MATCH(H233,'G-7 Rivers Data'!$H$3:$L$3,0)),"")</f>
        <v/>
      </c>
      <c r="J233" s="186"/>
      <c r="K233" s="175" t="str">
        <f>IF(J233="","",IF(VLOOKUP(J233,'G-7 Rivers Data'!$AK$4:$AM$9,2,FALSE)=0,"Spatial Data Missing",VLOOKUP(J233,'G-7 Rivers Data'!$AK$4:$AM$9,2,FALSE)))</f>
        <v/>
      </c>
      <c r="L233" s="176" t="str">
        <f>IF(J233="","",IF(VLOOKUP(J233,'G-7 Rivers Data'!$AK$4:$AM$9,3,FALSE)=0,"Spatial Data Missing",VLOOKUP(J233,'G-7 Rivers Data'!$AK$4:$AM$9,3,FALSE)))</f>
        <v/>
      </c>
      <c r="M233" s="79"/>
      <c r="N233" s="172" t="str">
        <f>IF(M233="","",IF(VLOOKUP(M233,'G-7 Rivers Data'!$AA$4:$AB$7,2,FALSE)=0,"Spatial Data Missing",VLOOKUP(M233,'G-7 Rivers Data'!$AA$4:$AB$7,2,FALSE)))</f>
        <v/>
      </c>
      <c r="O233" s="187"/>
      <c r="P233" s="172" t="str">
        <f>IF(O233="","",IF(VLOOKUP(O233,'G-7 Rivers Data'!$AD$4:$AE$8,2,FALSE)=0,"Spatial Data Missing",VLOOKUP(O233,'G-7 Rivers Data'!$AD$4:$AE$8,2,FALSE)))</f>
        <v/>
      </c>
      <c r="Q233" s="177" t="str">
        <f>IF(D233="","",VLOOKUP(D233,'G-7 Rivers Data'!$B$4:$G$8,6,FALSE))</f>
        <v/>
      </c>
      <c r="R233" s="178" t="str">
        <f t="shared" si="24"/>
        <v/>
      </c>
      <c r="S233" s="44"/>
      <c r="T233" s="173"/>
      <c r="U233" s="189"/>
      <c r="V233" s="208" t="str">
        <f t="shared" si="25"/>
        <v/>
      </c>
      <c r="W233" s="208" t="str">
        <f t="shared" si="26"/>
        <v/>
      </c>
      <c r="X233" s="208" t="str">
        <f t="shared" si="27"/>
        <v/>
      </c>
      <c r="Y233" s="209" t="str">
        <f t="shared" si="28"/>
        <v/>
      </c>
      <c r="Z233" s="182"/>
      <c r="AA233" s="183"/>
      <c r="AF233" s="35" t="str">
        <f>IFERROR(INDEX('G-7 Rivers Data'!$AZ$3:$AZ$7,MATCH(D233,'G-7 Rivers Data'!$AY$3:$AY$7,0)),"")</f>
        <v/>
      </c>
      <c r="AG233" s="35">
        <f t="shared" si="29"/>
        <v>0</v>
      </c>
      <c r="AH233" s="188" t="str">
        <f t="shared" si="30"/>
        <v/>
      </c>
      <c r="AI233" s="188" t="str">
        <f t="shared" si="31"/>
        <v/>
      </c>
      <c r="AK233" s="188">
        <v>224</v>
      </c>
      <c r="AM233" s="188" t="str">
        <f t="array" ref="AM233">IFERROR(INDEX($AK$10:$AK$258, MATCH(0, IF(TRUE=$AH$10:$AH$258, COUNTIF($AM$9:$AM232, $AK$10:$AK$258), ""), 0)),"")</f>
        <v/>
      </c>
      <c r="AN233" s="188" t="str">
        <f t="array" ref="AN233">IFERROR(INDEX($AK$10:$AK$258, MATCH(0, IF(TRUE=$AI$10:$AI$258, COUNTIF($AN$9:$AN232, $AK$10:$AK$258), ""), 0)),"")</f>
        <v/>
      </c>
    </row>
    <row r="234" spans="3:40" ht="13.8" x14ac:dyDescent="0.25">
      <c r="C234" s="168">
        <v>225</v>
      </c>
      <c r="D234" s="184"/>
      <c r="E234" s="185"/>
      <c r="F234" s="171" t="str">
        <f>IF(D234="","",VLOOKUP(D234,'G-7 Rivers Data'!$B$2:$G$8,2,FALSE))</f>
        <v/>
      </c>
      <c r="G234" s="172" t="str">
        <f>IFERROR(VLOOKUP(F234,'G-7 Rivers Data'!$C$4:$D$8,2,FALSE),"")</f>
        <v/>
      </c>
      <c r="H234" s="173"/>
      <c r="I234" s="172" t="str">
        <f>IFERROR(INDEX('G-7 Rivers Data'!$H$4:$L$8,MATCH(D234,'G-7 Rivers Data'!$B$4:$B$8,0),MATCH(H234,'G-7 Rivers Data'!$H$3:$L$3,0)),"")</f>
        <v/>
      </c>
      <c r="J234" s="186"/>
      <c r="K234" s="175" t="str">
        <f>IF(J234="","",IF(VLOOKUP(J234,'G-7 Rivers Data'!$AK$4:$AM$9,2,FALSE)=0,"Spatial Data Missing",VLOOKUP(J234,'G-7 Rivers Data'!$AK$4:$AM$9,2,FALSE)))</f>
        <v/>
      </c>
      <c r="L234" s="176" t="str">
        <f>IF(J234="","",IF(VLOOKUP(J234,'G-7 Rivers Data'!$AK$4:$AM$9,3,FALSE)=0,"Spatial Data Missing",VLOOKUP(J234,'G-7 Rivers Data'!$AK$4:$AM$9,3,FALSE)))</f>
        <v/>
      </c>
      <c r="M234" s="79"/>
      <c r="N234" s="172" t="str">
        <f>IF(M234="","",IF(VLOOKUP(M234,'G-7 Rivers Data'!$AA$4:$AB$7,2,FALSE)=0,"Spatial Data Missing",VLOOKUP(M234,'G-7 Rivers Data'!$AA$4:$AB$7,2,FALSE)))</f>
        <v/>
      </c>
      <c r="O234" s="187"/>
      <c r="P234" s="172" t="str">
        <f>IF(O234="","",IF(VLOOKUP(O234,'G-7 Rivers Data'!$AD$4:$AE$8,2,FALSE)=0,"Spatial Data Missing",VLOOKUP(O234,'G-7 Rivers Data'!$AD$4:$AE$8,2,FALSE)))</f>
        <v/>
      </c>
      <c r="Q234" s="177" t="str">
        <f>IF(D234="","",VLOOKUP(D234,'G-7 Rivers Data'!$B$4:$G$8,6,FALSE))</f>
        <v/>
      </c>
      <c r="R234" s="178" t="str">
        <f t="shared" si="24"/>
        <v/>
      </c>
      <c r="S234" s="44"/>
      <c r="T234" s="173"/>
      <c r="U234" s="189"/>
      <c r="V234" s="208" t="str">
        <f t="shared" si="25"/>
        <v/>
      </c>
      <c r="W234" s="208" t="str">
        <f t="shared" si="26"/>
        <v/>
      </c>
      <c r="X234" s="208" t="str">
        <f t="shared" si="27"/>
        <v/>
      </c>
      <c r="Y234" s="209" t="str">
        <f t="shared" si="28"/>
        <v/>
      </c>
      <c r="Z234" s="182"/>
      <c r="AA234" s="183"/>
      <c r="AF234" s="35" t="str">
        <f>IFERROR(INDEX('G-7 Rivers Data'!$AZ$3:$AZ$7,MATCH(D234,'G-7 Rivers Data'!$AY$3:$AY$7,0)),"")</f>
        <v/>
      </c>
      <c r="AG234" s="35">
        <f t="shared" si="29"/>
        <v>0</v>
      </c>
      <c r="AH234" s="188" t="str">
        <f t="shared" si="30"/>
        <v/>
      </c>
      <c r="AI234" s="188" t="str">
        <f t="shared" si="31"/>
        <v/>
      </c>
      <c r="AK234" s="188">
        <v>225</v>
      </c>
      <c r="AM234" s="188" t="str">
        <f t="array" ref="AM234">IFERROR(INDEX($AK$10:$AK$258, MATCH(0, IF(TRUE=$AH$10:$AH$258, COUNTIF($AM$9:$AM233, $AK$10:$AK$258), ""), 0)),"")</f>
        <v/>
      </c>
      <c r="AN234" s="188" t="str">
        <f t="array" ref="AN234">IFERROR(INDEX($AK$10:$AK$258, MATCH(0, IF(TRUE=$AI$10:$AI$258, COUNTIF($AN$9:$AN233, $AK$10:$AK$258), ""), 0)),"")</f>
        <v/>
      </c>
    </row>
    <row r="235" spans="3:40" ht="13.8" x14ac:dyDescent="0.25">
      <c r="C235" s="168">
        <v>226</v>
      </c>
      <c r="D235" s="184"/>
      <c r="E235" s="185"/>
      <c r="F235" s="171" t="str">
        <f>IF(D235="","",VLOOKUP(D235,'G-7 Rivers Data'!$B$2:$G$8,2,FALSE))</f>
        <v/>
      </c>
      <c r="G235" s="172" t="str">
        <f>IFERROR(VLOOKUP(F235,'G-7 Rivers Data'!$C$4:$D$8,2,FALSE),"")</f>
        <v/>
      </c>
      <c r="H235" s="173"/>
      <c r="I235" s="172" t="str">
        <f>IFERROR(INDEX('G-7 Rivers Data'!$H$4:$L$8,MATCH(D235,'G-7 Rivers Data'!$B$4:$B$8,0),MATCH(H235,'G-7 Rivers Data'!$H$3:$L$3,0)),"")</f>
        <v/>
      </c>
      <c r="J235" s="186"/>
      <c r="K235" s="175" t="str">
        <f>IF(J235="","",IF(VLOOKUP(J235,'G-7 Rivers Data'!$AK$4:$AM$9,2,FALSE)=0,"Spatial Data Missing",VLOOKUP(J235,'G-7 Rivers Data'!$AK$4:$AM$9,2,FALSE)))</f>
        <v/>
      </c>
      <c r="L235" s="176" t="str">
        <f>IF(J235="","",IF(VLOOKUP(J235,'G-7 Rivers Data'!$AK$4:$AM$9,3,FALSE)=0,"Spatial Data Missing",VLOOKUP(J235,'G-7 Rivers Data'!$AK$4:$AM$9,3,FALSE)))</f>
        <v/>
      </c>
      <c r="M235" s="79"/>
      <c r="N235" s="172" t="str">
        <f>IF(M235="","",IF(VLOOKUP(M235,'G-7 Rivers Data'!$AA$4:$AB$7,2,FALSE)=0,"Spatial Data Missing",VLOOKUP(M235,'G-7 Rivers Data'!$AA$4:$AB$7,2,FALSE)))</f>
        <v/>
      </c>
      <c r="O235" s="187"/>
      <c r="P235" s="172" t="str">
        <f>IF(O235="","",IF(VLOOKUP(O235,'G-7 Rivers Data'!$AD$4:$AE$8,2,FALSE)=0,"Spatial Data Missing",VLOOKUP(O235,'G-7 Rivers Data'!$AD$4:$AE$8,2,FALSE)))</f>
        <v/>
      </c>
      <c r="Q235" s="177" t="str">
        <f>IF(D235="","",VLOOKUP(D235,'G-7 Rivers Data'!$B$4:$G$8,6,FALSE))</f>
        <v/>
      </c>
      <c r="R235" s="178" t="str">
        <f t="shared" si="24"/>
        <v/>
      </c>
      <c r="S235" s="44"/>
      <c r="T235" s="173"/>
      <c r="U235" s="189"/>
      <c r="V235" s="208" t="str">
        <f t="shared" si="25"/>
        <v/>
      </c>
      <c r="W235" s="208" t="str">
        <f t="shared" si="26"/>
        <v/>
      </c>
      <c r="X235" s="208" t="str">
        <f t="shared" si="27"/>
        <v/>
      </c>
      <c r="Y235" s="209" t="str">
        <f t="shared" si="28"/>
        <v/>
      </c>
      <c r="Z235" s="182"/>
      <c r="AA235" s="183"/>
      <c r="AF235" s="35" t="str">
        <f>IFERROR(INDEX('G-7 Rivers Data'!$AZ$3:$AZ$7,MATCH(D235,'G-7 Rivers Data'!$AY$3:$AY$7,0)),"")</f>
        <v/>
      </c>
      <c r="AG235" s="35">
        <f t="shared" si="29"/>
        <v>0</v>
      </c>
      <c r="AH235" s="188" t="str">
        <f t="shared" si="30"/>
        <v/>
      </c>
      <c r="AI235" s="188" t="str">
        <f t="shared" si="31"/>
        <v/>
      </c>
      <c r="AK235" s="188">
        <v>226</v>
      </c>
      <c r="AM235" s="188" t="str">
        <f t="array" ref="AM235">IFERROR(INDEX($AK$10:$AK$258, MATCH(0, IF(TRUE=$AH$10:$AH$258, COUNTIF($AM$9:$AM234, $AK$10:$AK$258), ""), 0)),"")</f>
        <v/>
      </c>
      <c r="AN235" s="188" t="str">
        <f t="array" ref="AN235">IFERROR(INDEX($AK$10:$AK$258, MATCH(0, IF(TRUE=$AI$10:$AI$258, COUNTIF($AN$9:$AN234, $AK$10:$AK$258), ""), 0)),"")</f>
        <v/>
      </c>
    </row>
    <row r="236" spans="3:40" ht="13.8" x14ac:dyDescent="0.25">
      <c r="C236" s="168">
        <v>227</v>
      </c>
      <c r="D236" s="184"/>
      <c r="E236" s="185"/>
      <c r="F236" s="171" t="str">
        <f>IF(D236="","",VLOOKUP(D236,'G-7 Rivers Data'!$B$2:$G$8,2,FALSE))</f>
        <v/>
      </c>
      <c r="G236" s="172" t="str">
        <f>IFERROR(VLOOKUP(F236,'G-7 Rivers Data'!$C$4:$D$8,2,FALSE),"")</f>
        <v/>
      </c>
      <c r="H236" s="173"/>
      <c r="I236" s="172" t="str">
        <f>IFERROR(INDEX('G-7 Rivers Data'!$H$4:$L$8,MATCH(D236,'G-7 Rivers Data'!$B$4:$B$8,0),MATCH(H236,'G-7 Rivers Data'!$H$3:$L$3,0)),"")</f>
        <v/>
      </c>
      <c r="J236" s="186"/>
      <c r="K236" s="175" t="str">
        <f>IF(J236="","",IF(VLOOKUP(J236,'G-7 Rivers Data'!$AK$4:$AM$9,2,FALSE)=0,"Spatial Data Missing",VLOOKUP(J236,'G-7 Rivers Data'!$AK$4:$AM$9,2,FALSE)))</f>
        <v/>
      </c>
      <c r="L236" s="176" t="str">
        <f>IF(J236="","",IF(VLOOKUP(J236,'G-7 Rivers Data'!$AK$4:$AM$9,3,FALSE)=0,"Spatial Data Missing",VLOOKUP(J236,'G-7 Rivers Data'!$AK$4:$AM$9,3,FALSE)))</f>
        <v/>
      </c>
      <c r="M236" s="79"/>
      <c r="N236" s="172" t="str">
        <f>IF(M236="","",IF(VLOOKUP(M236,'G-7 Rivers Data'!$AA$4:$AB$7,2,FALSE)=0,"Spatial Data Missing",VLOOKUP(M236,'G-7 Rivers Data'!$AA$4:$AB$7,2,FALSE)))</f>
        <v/>
      </c>
      <c r="O236" s="187"/>
      <c r="P236" s="172" t="str">
        <f>IF(O236="","",IF(VLOOKUP(O236,'G-7 Rivers Data'!$AD$4:$AE$8,2,FALSE)=0,"Spatial Data Missing",VLOOKUP(O236,'G-7 Rivers Data'!$AD$4:$AE$8,2,FALSE)))</f>
        <v/>
      </c>
      <c r="Q236" s="177" t="str">
        <f>IF(D236="","",VLOOKUP(D236,'G-7 Rivers Data'!$B$4:$G$8,6,FALSE))</f>
        <v/>
      </c>
      <c r="R236" s="178" t="str">
        <f t="shared" si="24"/>
        <v/>
      </c>
      <c r="S236" s="44"/>
      <c r="T236" s="173"/>
      <c r="U236" s="189"/>
      <c r="V236" s="208" t="str">
        <f t="shared" si="25"/>
        <v/>
      </c>
      <c r="W236" s="208" t="str">
        <f t="shared" si="26"/>
        <v/>
      </c>
      <c r="X236" s="208" t="str">
        <f t="shared" si="27"/>
        <v/>
      </c>
      <c r="Y236" s="209" t="str">
        <f t="shared" si="28"/>
        <v/>
      </c>
      <c r="Z236" s="182"/>
      <c r="AA236" s="183"/>
      <c r="AF236" s="35" t="str">
        <f>IFERROR(INDEX('G-7 Rivers Data'!$AZ$3:$AZ$7,MATCH(D236,'G-7 Rivers Data'!$AY$3:$AY$7,0)),"")</f>
        <v/>
      </c>
      <c r="AG236" s="35">
        <f t="shared" si="29"/>
        <v>0</v>
      </c>
      <c r="AH236" s="188" t="str">
        <f t="shared" si="30"/>
        <v/>
      </c>
      <c r="AI236" s="188" t="str">
        <f t="shared" si="31"/>
        <v/>
      </c>
      <c r="AK236" s="188">
        <v>227</v>
      </c>
      <c r="AM236" s="188" t="str">
        <f t="array" ref="AM236">IFERROR(INDEX($AK$10:$AK$258, MATCH(0, IF(TRUE=$AH$10:$AH$258, COUNTIF($AM$9:$AM235, $AK$10:$AK$258), ""), 0)),"")</f>
        <v/>
      </c>
      <c r="AN236" s="188" t="str">
        <f t="array" ref="AN236">IFERROR(INDEX($AK$10:$AK$258, MATCH(0, IF(TRUE=$AI$10:$AI$258, COUNTIF($AN$9:$AN235, $AK$10:$AK$258), ""), 0)),"")</f>
        <v/>
      </c>
    </row>
    <row r="237" spans="3:40" ht="13.8" x14ac:dyDescent="0.25">
      <c r="C237" s="168">
        <v>228</v>
      </c>
      <c r="D237" s="184"/>
      <c r="E237" s="185"/>
      <c r="F237" s="171" t="str">
        <f>IF(D237="","",VLOOKUP(D237,'G-7 Rivers Data'!$B$2:$G$8,2,FALSE))</f>
        <v/>
      </c>
      <c r="G237" s="172" t="str">
        <f>IFERROR(VLOOKUP(F237,'G-7 Rivers Data'!$C$4:$D$8,2,FALSE),"")</f>
        <v/>
      </c>
      <c r="H237" s="173"/>
      <c r="I237" s="172" t="str">
        <f>IFERROR(INDEX('G-7 Rivers Data'!$H$4:$L$8,MATCH(D237,'G-7 Rivers Data'!$B$4:$B$8,0),MATCH(H237,'G-7 Rivers Data'!$H$3:$L$3,0)),"")</f>
        <v/>
      </c>
      <c r="J237" s="186"/>
      <c r="K237" s="175" t="str">
        <f>IF(J237="","",IF(VLOOKUP(J237,'G-7 Rivers Data'!$AK$4:$AM$9,2,FALSE)=0,"Spatial Data Missing",VLOOKUP(J237,'G-7 Rivers Data'!$AK$4:$AM$9,2,FALSE)))</f>
        <v/>
      </c>
      <c r="L237" s="176" t="str">
        <f>IF(J237="","",IF(VLOOKUP(J237,'G-7 Rivers Data'!$AK$4:$AM$9,3,FALSE)=0,"Spatial Data Missing",VLOOKUP(J237,'G-7 Rivers Data'!$AK$4:$AM$9,3,FALSE)))</f>
        <v/>
      </c>
      <c r="M237" s="79"/>
      <c r="N237" s="172" t="str">
        <f>IF(M237="","",IF(VLOOKUP(M237,'G-7 Rivers Data'!$AA$4:$AB$7,2,FALSE)=0,"Spatial Data Missing",VLOOKUP(M237,'G-7 Rivers Data'!$AA$4:$AB$7,2,FALSE)))</f>
        <v/>
      </c>
      <c r="O237" s="187"/>
      <c r="P237" s="172" t="str">
        <f>IF(O237="","",IF(VLOOKUP(O237,'G-7 Rivers Data'!$AD$4:$AE$8,2,FALSE)=0,"Spatial Data Missing",VLOOKUP(O237,'G-7 Rivers Data'!$AD$4:$AE$8,2,FALSE)))</f>
        <v/>
      </c>
      <c r="Q237" s="177" t="str">
        <f>IF(D237="","",VLOOKUP(D237,'G-7 Rivers Data'!$B$4:$G$8,6,FALSE))</f>
        <v/>
      </c>
      <c r="R237" s="178" t="str">
        <f t="shared" si="24"/>
        <v/>
      </c>
      <c r="S237" s="44"/>
      <c r="T237" s="173"/>
      <c r="U237" s="189"/>
      <c r="V237" s="208" t="str">
        <f t="shared" si="25"/>
        <v/>
      </c>
      <c r="W237" s="208" t="str">
        <f t="shared" si="26"/>
        <v/>
      </c>
      <c r="X237" s="208" t="str">
        <f t="shared" si="27"/>
        <v/>
      </c>
      <c r="Y237" s="209" t="str">
        <f t="shared" si="28"/>
        <v/>
      </c>
      <c r="Z237" s="182"/>
      <c r="AA237" s="183"/>
      <c r="AF237" s="35" t="str">
        <f>IFERROR(INDEX('G-7 Rivers Data'!$AZ$3:$AZ$7,MATCH(D237,'G-7 Rivers Data'!$AY$3:$AY$7,0)),"")</f>
        <v/>
      </c>
      <c r="AG237" s="35">
        <f t="shared" si="29"/>
        <v>0</v>
      </c>
      <c r="AH237" s="188" t="str">
        <f t="shared" si="30"/>
        <v/>
      </c>
      <c r="AI237" s="188" t="str">
        <f t="shared" si="31"/>
        <v/>
      </c>
      <c r="AK237" s="188">
        <v>228</v>
      </c>
      <c r="AM237" s="188" t="str">
        <f t="array" ref="AM237">IFERROR(INDEX($AK$10:$AK$258, MATCH(0, IF(TRUE=$AH$10:$AH$258, COUNTIF($AM$9:$AM236, $AK$10:$AK$258), ""), 0)),"")</f>
        <v/>
      </c>
      <c r="AN237" s="188" t="str">
        <f t="array" ref="AN237">IFERROR(INDEX($AK$10:$AK$258, MATCH(0, IF(TRUE=$AI$10:$AI$258, COUNTIF($AN$9:$AN236, $AK$10:$AK$258), ""), 0)),"")</f>
        <v/>
      </c>
    </row>
    <row r="238" spans="3:40" ht="13.8" x14ac:dyDescent="0.25">
      <c r="C238" s="168">
        <v>229</v>
      </c>
      <c r="D238" s="184"/>
      <c r="E238" s="185"/>
      <c r="F238" s="171" t="str">
        <f>IF(D238="","",VLOOKUP(D238,'G-7 Rivers Data'!$B$2:$G$8,2,FALSE))</f>
        <v/>
      </c>
      <c r="G238" s="172" t="str">
        <f>IFERROR(VLOOKUP(F238,'G-7 Rivers Data'!$C$4:$D$8,2,FALSE),"")</f>
        <v/>
      </c>
      <c r="H238" s="173"/>
      <c r="I238" s="172" t="str">
        <f>IFERROR(INDEX('G-7 Rivers Data'!$H$4:$L$8,MATCH(D238,'G-7 Rivers Data'!$B$4:$B$8,0),MATCH(H238,'G-7 Rivers Data'!$H$3:$L$3,0)),"")</f>
        <v/>
      </c>
      <c r="J238" s="186"/>
      <c r="K238" s="175" t="str">
        <f>IF(J238="","",IF(VLOOKUP(J238,'G-7 Rivers Data'!$AK$4:$AM$9,2,FALSE)=0,"Spatial Data Missing",VLOOKUP(J238,'G-7 Rivers Data'!$AK$4:$AM$9,2,FALSE)))</f>
        <v/>
      </c>
      <c r="L238" s="176" t="str">
        <f>IF(J238="","",IF(VLOOKUP(J238,'G-7 Rivers Data'!$AK$4:$AM$9,3,FALSE)=0,"Spatial Data Missing",VLOOKUP(J238,'G-7 Rivers Data'!$AK$4:$AM$9,3,FALSE)))</f>
        <v/>
      </c>
      <c r="M238" s="79"/>
      <c r="N238" s="172" t="str">
        <f>IF(M238="","",IF(VLOOKUP(M238,'G-7 Rivers Data'!$AA$4:$AB$7,2,FALSE)=0,"Spatial Data Missing",VLOOKUP(M238,'G-7 Rivers Data'!$AA$4:$AB$7,2,FALSE)))</f>
        <v/>
      </c>
      <c r="O238" s="187"/>
      <c r="P238" s="172" t="str">
        <f>IF(O238="","",IF(VLOOKUP(O238,'G-7 Rivers Data'!$AD$4:$AE$8,2,FALSE)=0,"Spatial Data Missing",VLOOKUP(O238,'G-7 Rivers Data'!$AD$4:$AE$8,2,FALSE)))</f>
        <v/>
      </c>
      <c r="Q238" s="177" t="str">
        <f>IF(D238="","",VLOOKUP(D238,'G-7 Rivers Data'!$B$4:$G$8,6,FALSE))</f>
        <v/>
      </c>
      <c r="R238" s="178" t="str">
        <f t="shared" si="24"/>
        <v/>
      </c>
      <c r="S238" s="44"/>
      <c r="T238" s="173"/>
      <c r="U238" s="189"/>
      <c r="V238" s="208" t="str">
        <f t="shared" si="25"/>
        <v/>
      </c>
      <c r="W238" s="208" t="str">
        <f t="shared" si="26"/>
        <v/>
      </c>
      <c r="X238" s="208" t="str">
        <f t="shared" si="27"/>
        <v/>
      </c>
      <c r="Y238" s="209" t="str">
        <f t="shared" si="28"/>
        <v/>
      </c>
      <c r="Z238" s="182"/>
      <c r="AA238" s="183"/>
      <c r="AF238" s="35" t="str">
        <f>IFERROR(INDEX('G-7 Rivers Data'!$AZ$3:$AZ$7,MATCH(D238,'G-7 Rivers Data'!$AY$3:$AY$7,0)),"")</f>
        <v/>
      </c>
      <c r="AG238" s="35">
        <f t="shared" si="29"/>
        <v>0</v>
      </c>
      <c r="AH238" s="188" t="str">
        <f t="shared" si="30"/>
        <v/>
      </c>
      <c r="AI238" s="188" t="str">
        <f t="shared" si="31"/>
        <v/>
      </c>
      <c r="AK238" s="188">
        <v>229</v>
      </c>
      <c r="AM238" s="188" t="str">
        <f t="array" ref="AM238">IFERROR(INDEX($AK$10:$AK$258, MATCH(0, IF(TRUE=$AH$10:$AH$258, COUNTIF($AM$9:$AM237, $AK$10:$AK$258), ""), 0)),"")</f>
        <v/>
      </c>
      <c r="AN238" s="188" t="str">
        <f t="array" ref="AN238">IFERROR(INDEX($AK$10:$AK$258, MATCH(0, IF(TRUE=$AI$10:$AI$258, COUNTIF($AN$9:$AN237, $AK$10:$AK$258), ""), 0)),"")</f>
        <v/>
      </c>
    </row>
    <row r="239" spans="3:40" ht="13.8" x14ac:dyDescent="0.25">
      <c r="C239" s="168">
        <v>230</v>
      </c>
      <c r="D239" s="184"/>
      <c r="E239" s="185"/>
      <c r="F239" s="171" t="str">
        <f>IF(D239="","",VLOOKUP(D239,'G-7 Rivers Data'!$B$2:$G$8,2,FALSE))</f>
        <v/>
      </c>
      <c r="G239" s="172" t="str">
        <f>IFERROR(VLOOKUP(F239,'G-7 Rivers Data'!$C$4:$D$8,2,FALSE),"")</f>
        <v/>
      </c>
      <c r="H239" s="173"/>
      <c r="I239" s="172" t="str">
        <f>IFERROR(INDEX('G-7 Rivers Data'!$H$4:$L$8,MATCH(D239,'G-7 Rivers Data'!$B$4:$B$8,0),MATCH(H239,'G-7 Rivers Data'!$H$3:$L$3,0)),"")</f>
        <v/>
      </c>
      <c r="J239" s="186"/>
      <c r="K239" s="175" t="str">
        <f>IF(J239="","",IF(VLOOKUP(J239,'G-7 Rivers Data'!$AK$4:$AM$9,2,FALSE)=0,"Spatial Data Missing",VLOOKUP(J239,'G-7 Rivers Data'!$AK$4:$AM$9,2,FALSE)))</f>
        <v/>
      </c>
      <c r="L239" s="176" t="str">
        <f>IF(J239="","",IF(VLOOKUP(J239,'G-7 Rivers Data'!$AK$4:$AM$9,3,FALSE)=0,"Spatial Data Missing",VLOOKUP(J239,'G-7 Rivers Data'!$AK$4:$AM$9,3,FALSE)))</f>
        <v/>
      </c>
      <c r="M239" s="79"/>
      <c r="N239" s="172" t="str">
        <f>IF(M239="","",IF(VLOOKUP(M239,'G-7 Rivers Data'!$AA$4:$AB$7,2,FALSE)=0,"Spatial Data Missing",VLOOKUP(M239,'G-7 Rivers Data'!$AA$4:$AB$7,2,FALSE)))</f>
        <v/>
      </c>
      <c r="O239" s="187"/>
      <c r="P239" s="172" t="str">
        <f>IF(O239="","",IF(VLOOKUP(O239,'G-7 Rivers Data'!$AD$4:$AE$8,2,FALSE)=0,"Spatial Data Missing",VLOOKUP(O239,'G-7 Rivers Data'!$AD$4:$AE$8,2,FALSE)))</f>
        <v/>
      </c>
      <c r="Q239" s="177" t="str">
        <f>IF(D239="","",VLOOKUP(D239,'G-7 Rivers Data'!$B$4:$G$8,6,FALSE))</f>
        <v/>
      </c>
      <c r="R239" s="178" t="str">
        <f t="shared" si="24"/>
        <v/>
      </c>
      <c r="S239" s="44"/>
      <c r="T239" s="173"/>
      <c r="U239" s="189"/>
      <c r="V239" s="208" t="str">
        <f t="shared" si="25"/>
        <v/>
      </c>
      <c r="W239" s="208" t="str">
        <f t="shared" si="26"/>
        <v/>
      </c>
      <c r="X239" s="208" t="str">
        <f t="shared" si="27"/>
        <v/>
      </c>
      <c r="Y239" s="209" t="str">
        <f t="shared" si="28"/>
        <v/>
      </c>
      <c r="Z239" s="182"/>
      <c r="AA239" s="183"/>
      <c r="AF239" s="35" t="str">
        <f>IFERROR(INDEX('G-7 Rivers Data'!$AZ$3:$AZ$7,MATCH(D239,'G-7 Rivers Data'!$AY$3:$AY$7,0)),"")</f>
        <v/>
      </c>
      <c r="AG239" s="35">
        <f t="shared" si="29"/>
        <v>0</v>
      </c>
      <c r="AH239" s="188" t="str">
        <f t="shared" si="30"/>
        <v/>
      </c>
      <c r="AI239" s="188" t="str">
        <f t="shared" si="31"/>
        <v/>
      </c>
      <c r="AK239" s="188">
        <v>230</v>
      </c>
      <c r="AM239" s="188" t="str">
        <f t="array" ref="AM239">IFERROR(INDEX($AK$10:$AK$258, MATCH(0, IF(TRUE=$AH$10:$AH$258, COUNTIF($AM$9:$AM238, $AK$10:$AK$258), ""), 0)),"")</f>
        <v/>
      </c>
      <c r="AN239" s="188" t="str">
        <f t="array" ref="AN239">IFERROR(INDEX($AK$10:$AK$258, MATCH(0, IF(TRUE=$AI$10:$AI$258, COUNTIF($AN$9:$AN238, $AK$10:$AK$258), ""), 0)),"")</f>
        <v/>
      </c>
    </row>
    <row r="240" spans="3:40" ht="13.8" x14ac:dyDescent="0.25">
      <c r="C240" s="168">
        <v>231</v>
      </c>
      <c r="D240" s="184"/>
      <c r="E240" s="185"/>
      <c r="F240" s="171" t="str">
        <f>IF(D240="","",VLOOKUP(D240,'G-7 Rivers Data'!$B$2:$G$8,2,FALSE))</f>
        <v/>
      </c>
      <c r="G240" s="172" t="str">
        <f>IFERROR(VLOOKUP(F240,'G-7 Rivers Data'!$C$4:$D$8,2,FALSE),"")</f>
        <v/>
      </c>
      <c r="H240" s="173"/>
      <c r="I240" s="172" t="str">
        <f>IFERROR(INDEX('G-7 Rivers Data'!$H$4:$L$8,MATCH(D240,'G-7 Rivers Data'!$B$4:$B$8,0),MATCH(H240,'G-7 Rivers Data'!$H$3:$L$3,0)),"")</f>
        <v/>
      </c>
      <c r="J240" s="186"/>
      <c r="K240" s="175" t="str">
        <f>IF(J240="","",IF(VLOOKUP(J240,'G-7 Rivers Data'!$AK$4:$AM$9,2,FALSE)=0,"Spatial Data Missing",VLOOKUP(J240,'G-7 Rivers Data'!$AK$4:$AM$9,2,FALSE)))</f>
        <v/>
      </c>
      <c r="L240" s="176" t="str">
        <f>IF(J240="","",IF(VLOOKUP(J240,'G-7 Rivers Data'!$AK$4:$AM$9,3,FALSE)=0,"Spatial Data Missing",VLOOKUP(J240,'G-7 Rivers Data'!$AK$4:$AM$9,3,FALSE)))</f>
        <v/>
      </c>
      <c r="M240" s="79"/>
      <c r="N240" s="172" t="str">
        <f>IF(M240="","",IF(VLOOKUP(M240,'G-7 Rivers Data'!$AA$4:$AB$7,2,FALSE)=0,"Spatial Data Missing",VLOOKUP(M240,'G-7 Rivers Data'!$AA$4:$AB$7,2,FALSE)))</f>
        <v/>
      </c>
      <c r="O240" s="187"/>
      <c r="P240" s="172" t="str">
        <f>IF(O240="","",IF(VLOOKUP(O240,'G-7 Rivers Data'!$AD$4:$AE$8,2,FALSE)=0,"Spatial Data Missing",VLOOKUP(O240,'G-7 Rivers Data'!$AD$4:$AE$8,2,FALSE)))</f>
        <v/>
      </c>
      <c r="Q240" s="177" t="str">
        <f>IF(D240="","",VLOOKUP(D240,'G-7 Rivers Data'!$B$4:$G$8,6,FALSE))</f>
        <v/>
      </c>
      <c r="R240" s="178" t="str">
        <f t="shared" si="24"/>
        <v/>
      </c>
      <c r="S240" s="44"/>
      <c r="T240" s="173"/>
      <c r="U240" s="189"/>
      <c r="V240" s="208" t="str">
        <f t="shared" si="25"/>
        <v/>
      </c>
      <c r="W240" s="208" t="str">
        <f t="shared" si="26"/>
        <v/>
      </c>
      <c r="X240" s="208" t="str">
        <f t="shared" si="27"/>
        <v/>
      </c>
      <c r="Y240" s="209" t="str">
        <f t="shared" si="28"/>
        <v/>
      </c>
      <c r="Z240" s="182"/>
      <c r="AA240" s="183"/>
      <c r="AF240" s="35" t="str">
        <f>IFERROR(INDEX('G-7 Rivers Data'!$AZ$3:$AZ$7,MATCH(D240,'G-7 Rivers Data'!$AY$3:$AY$7,0)),"")</f>
        <v/>
      </c>
      <c r="AG240" s="35">
        <f t="shared" si="29"/>
        <v>0</v>
      </c>
      <c r="AH240" s="188" t="str">
        <f t="shared" si="30"/>
        <v/>
      </c>
      <c r="AI240" s="188" t="str">
        <f t="shared" si="31"/>
        <v/>
      </c>
      <c r="AK240" s="188">
        <v>231</v>
      </c>
      <c r="AM240" s="188" t="str">
        <f t="array" ref="AM240">IFERROR(INDEX($AK$10:$AK$258, MATCH(0, IF(TRUE=$AH$10:$AH$258, COUNTIF($AM$9:$AM239, $AK$10:$AK$258), ""), 0)),"")</f>
        <v/>
      </c>
      <c r="AN240" s="188" t="str">
        <f t="array" ref="AN240">IFERROR(INDEX($AK$10:$AK$258, MATCH(0, IF(TRUE=$AI$10:$AI$258, COUNTIF($AN$9:$AN239, $AK$10:$AK$258), ""), 0)),"")</f>
        <v/>
      </c>
    </row>
    <row r="241" spans="3:40" ht="13.8" x14ac:dyDescent="0.25">
      <c r="C241" s="168">
        <v>232</v>
      </c>
      <c r="D241" s="184"/>
      <c r="E241" s="185"/>
      <c r="F241" s="171" t="str">
        <f>IF(D241="","",VLOOKUP(D241,'G-7 Rivers Data'!$B$2:$G$8,2,FALSE))</f>
        <v/>
      </c>
      <c r="G241" s="172" t="str">
        <f>IFERROR(VLOOKUP(F241,'G-7 Rivers Data'!$C$4:$D$8,2,FALSE),"")</f>
        <v/>
      </c>
      <c r="H241" s="173"/>
      <c r="I241" s="172" t="str">
        <f>IFERROR(INDEX('G-7 Rivers Data'!$H$4:$L$8,MATCH(D241,'G-7 Rivers Data'!$B$4:$B$8,0),MATCH(H241,'G-7 Rivers Data'!$H$3:$L$3,0)),"")</f>
        <v/>
      </c>
      <c r="J241" s="186"/>
      <c r="K241" s="175" t="str">
        <f>IF(J241="","",IF(VLOOKUP(J241,'G-7 Rivers Data'!$AK$4:$AM$9,2,FALSE)=0,"Spatial Data Missing",VLOOKUP(J241,'G-7 Rivers Data'!$AK$4:$AM$9,2,FALSE)))</f>
        <v/>
      </c>
      <c r="L241" s="176" t="str">
        <f>IF(J241="","",IF(VLOOKUP(J241,'G-7 Rivers Data'!$AK$4:$AM$9,3,FALSE)=0,"Spatial Data Missing",VLOOKUP(J241,'G-7 Rivers Data'!$AK$4:$AM$9,3,FALSE)))</f>
        <v/>
      </c>
      <c r="M241" s="79"/>
      <c r="N241" s="172" t="str">
        <f>IF(M241="","",IF(VLOOKUP(M241,'G-7 Rivers Data'!$AA$4:$AB$7,2,FALSE)=0,"Spatial Data Missing",VLOOKUP(M241,'G-7 Rivers Data'!$AA$4:$AB$7,2,FALSE)))</f>
        <v/>
      </c>
      <c r="O241" s="187"/>
      <c r="P241" s="172" t="str">
        <f>IF(O241="","",IF(VLOOKUP(O241,'G-7 Rivers Data'!$AD$4:$AE$8,2,FALSE)=0,"Spatial Data Missing",VLOOKUP(O241,'G-7 Rivers Data'!$AD$4:$AE$8,2,FALSE)))</f>
        <v/>
      </c>
      <c r="Q241" s="177" t="str">
        <f>IF(D241="","",VLOOKUP(D241,'G-7 Rivers Data'!$B$4:$G$8,6,FALSE))</f>
        <v/>
      </c>
      <c r="R241" s="178" t="str">
        <f t="shared" si="24"/>
        <v/>
      </c>
      <c r="S241" s="44"/>
      <c r="T241" s="173"/>
      <c r="U241" s="189"/>
      <c r="V241" s="208" t="str">
        <f t="shared" si="25"/>
        <v/>
      </c>
      <c r="W241" s="208" t="str">
        <f t="shared" si="26"/>
        <v/>
      </c>
      <c r="X241" s="208" t="str">
        <f t="shared" si="27"/>
        <v/>
      </c>
      <c r="Y241" s="209" t="str">
        <f t="shared" si="28"/>
        <v/>
      </c>
      <c r="Z241" s="182"/>
      <c r="AA241" s="183"/>
      <c r="AF241" s="35" t="str">
        <f>IFERROR(INDEX('G-7 Rivers Data'!$AZ$3:$AZ$7,MATCH(D241,'G-7 Rivers Data'!$AY$3:$AY$7,0)),"")</f>
        <v/>
      </c>
      <c r="AG241" s="35">
        <f t="shared" si="29"/>
        <v>0</v>
      </c>
      <c r="AH241" s="188" t="str">
        <f t="shared" si="30"/>
        <v/>
      </c>
      <c r="AI241" s="188" t="str">
        <f t="shared" si="31"/>
        <v/>
      </c>
      <c r="AK241" s="188">
        <v>232</v>
      </c>
      <c r="AM241" s="188" t="str">
        <f t="array" ref="AM241">IFERROR(INDEX($AK$10:$AK$258, MATCH(0, IF(TRUE=$AH$10:$AH$258, COUNTIF($AM$9:$AM240, $AK$10:$AK$258), ""), 0)),"")</f>
        <v/>
      </c>
      <c r="AN241" s="188" t="str">
        <f t="array" ref="AN241">IFERROR(INDEX($AK$10:$AK$258, MATCH(0, IF(TRUE=$AI$10:$AI$258, COUNTIF($AN$9:$AN240, $AK$10:$AK$258), ""), 0)),"")</f>
        <v/>
      </c>
    </row>
    <row r="242" spans="3:40" ht="13.8" x14ac:dyDescent="0.25">
      <c r="C242" s="168">
        <v>233</v>
      </c>
      <c r="D242" s="184"/>
      <c r="E242" s="185"/>
      <c r="F242" s="171" t="str">
        <f>IF(D242="","",VLOOKUP(D242,'G-7 Rivers Data'!$B$2:$G$8,2,FALSE))</f>
        <v/>
      </c>
      <c r="G242" s="172" t="str">
        <f>IFERROR(VLOOKUP(F242,'G-7 Rivers Data'!$C$4:$D$8,2,FALSE),"")</f>
        <v/>
      </c>
      <c r="H242" s="173"/>
      <c r="I242" s="172" t="str">
        <f>IFERROR(INDEX('G-7 Rivers Data'!$H$4:$L$8,MATCH(D242,'G-7 Rivers Data'!$B$4:$B$8,0),MATCH(H242,'G-7 Rivers Data'!$H$3:$L$3,0)),"")</f>
        <v/>
      </c>
      <c r="J242" s="186"/>
      <c r="K242" s="175" t="str">
        <f>IF(J242="","",IF(VLOOKUP(J242,'G-7 Rivers Data'!$AK$4:$AM$9,2,FALSE)=0,"Spatial Data Missing",VLOOKUP(J242,'G-7 Rivers Data'!$AK$4:$AM$9,2,FALSE)))</f>
        <v/>
      </c>
      <c r="L242" s="176" t="str">
        <f>IF(J242="","",IF(VLOOKUP(J242,'G-7 Rivers Data'!$AK$4:$AM$9,3,FALSE)=0,"Spatial Data Missing",VLOOKUP(J242,'G-7 Rivers Data'!$AK$4:$AM$9,3,FALSE)))</f>
        <v/>
      </c>
      <c r="M242" s="79"/>
      <c r="N242" s="172" t="str">
        <f>IF(M242="","",IF(VLOOKUP(M242,'G-7 Rivers Data'!$AA$4:$AB$7,2,FALSE)=0,"Spatial Data Missing",VLOOKUP(M242,'G-7 Rivers Data'!$AA$4:$AB$7,2,FALSE)))</f>
        <v/>
      </c>
      <c r="O242" s="187"/>
      <c r="P242" s="172" t="str">
        <f>IF(O242="","",IF(VLOOKUP(O242,'G-7 Rivers Data'!$AD$4:$AE$8,2,FALSE)=0,"Spatial Data Missing",VLOOKUP(O242,'G-7 Rivers Data'!$AD$4:$AE$8,2,FALSE)))</f>
        <v/>
      </c>
      <c r="Q242" s="177" t="str">
        <f>IF(D242="","",VLOOKUP(D242,'G-7 Rivers Data'!$B$4:$G$8,6,FALSE))</f>
        <v/>
      </c>
      <c r="R242" s="178" t="str">
        <f t="shared" si="24"/>
        <v/>
      </c>
      <c r="S242" s="44"/>
      <c r="T242" s="173"/>
      <c r="U242" s="189"/>
      <c r="V242" s="208" t="str">
        <f t="shared" si="25"/>
        <v/>
      </c>
      <c r="W242" s="208" t="str">
        <f t="shared" si="26"/>
        <v/>
      </c>
      <c r="X242" s="208" t="str">
        <f t="shared" si="27"/>
        <v/>
      </c>
      <c r="Y242" s="209" t="str">
        <f t="shared" si="28"/>
        <v/>
      </c>
      <c r="Z242" s="182"/>
      <c r="AA242" s="183"/>
      <c r="AF242" s="35" t="str">
        <f>IFERROR(INDEX('G-7 Rivers Data'!$AZ$3:$AZ$7,MATCH(D242,'G-7 Rivers Data'!$AY$3:$AY$7,0)),"")</f>
        <v/>
      </c>
      <c r="AG242" s="35">
        <f t="shared" si="29"/>
        <v>0</v>
      </c>
      <c r="AH242" s="188" t="str">
        <f t="shared" si="30"/>
        <v/>
      </c>
      <c r="AI242" s="188" t="str">
        <f t="shared" si="31"/>
        <v/>
      </c>
      <c r="AK242" s="188">
        <v>233</v>
      </c>
      <c r="AM242" s="188" t="str">
        <f t="array" ref="AM242">IFERROR(INDEX($AK$10:$AK$258, MATCH(0, IF(TRUE=$AH$10:$AH$258, COUNTIF($AM$9:$AM241, $AK$10:$AK$258), ""), 0)),"")</f>
        <v/>
      </c>
      <c r="AN242" s="188" t="str">
        <f t="array" ref="AN242">IFERROR(INDEX($AK$10:$AK$258, MATCH(0, IF(TRUE=$AI$10:$AI$258, COUNTIF($AN$9:$AN241, $AK$10:$AK$258), ""), 0)),"")</f>
        <v/>
      </c>
    </row>
    <row r="243" spans="3:40" ht="13.8" x14ac:dyDescent="0.25">
      <c r="C243" s="168">
        <v>234</v>
      </c>
      <c r="D243" s="184"/>
      <c r="E243" s="185"/>
      <c r="F243" s="171" t="str">
        <f>IF(D243="","",VLOOKUP(D243,'G-7 Rivers Data'!$B$2:$G$8,2,FALSE))</f>
        <v/>
      </c>
      <c r="G243" s="172" t="str">
        <f>IFERROR(VLOOKUP(F243,'G-7 Rivers Data'!$C$4:$D$8,2,FALSE),"")</f>
        <v/>
      </c>
      <c r="H243" s="173"/>
      <c r="I243" s="172" t="str">
        <f>IFERROR(INDEX('G-7 Rivers Data'!$H$4:$L$8,MATCH(D243,'G-7 Rivers Data'!$B$4:$B$8,0),MATCH(H243,'G-7 Rivers Data'!$H$3:$L$3,0)),"")</f>
        <v/>
      </c>
      <c r="J243" s="186"/>
      <c r="K243" s="175" t="str">
        <f>IF(J243="","",IF(VLOOKUP(J243,'G-7 Rivers Data'!$AK$4:$AM$9,2,FALSE)=0,"Spatial Data Missing",VLOOKUP(J243,'G-7 Rivers Data'!$AK$4:$AM$9,2,FALSE)))</f>
        <v/>
      </c>
      <c r="L243" s="176" t="str">
        <f>IF(J243="","",IF(VLOOKUP(J243,'G-7 Rivers Data'!$AK$4:$AM$9,3,FALSE)=0,"Spatial Data Missing",VLOOKUP(J243,'G-7 Rivers Data'!$AK$4:$AM$9,3,FALSE)))</f>
        <v/>
      </c>
      <c r="M243" s="79"/>
      <c r="N243" s="172" t="str">
        <f>IF(M243="","",IF(VLOOKUP(M243,'G-7 Rivers Data'!$AA$4:$AB$7,2,FALSE)=0,"Spatial Data Missing",VLOOKUP(M243,'G-7 Rivers Data'!$AA$4:$AB$7,2,FALSE)))</f>
        <v/>
      </c>
      <c r="O243" s="187"/>
      <c r="P243" s="172" t="str">
        <f>IF(O243="","",IF(VLOOKUP(O243,'G-7 Rivers Data'!$AD$4:$AE$8,2,FALSE)=0,"Spatial Data Missing",VLOOKUP(O243,'G-7 Rivers Data'!$AD$4:$AE$8,2,FALSE)))</f>
        <v/>
      </c>
      <c r="Q243" s="177" t="str">
        <f>IF(D243="","",VLOOKUP(D243,'G-7 Rivers Data'!$B$4:$G$8,6,FALSE))</f>
        <v/>
      </c>
      <c r="R243" s="178" t="str">
        <f t="shared" si="24"/>
        <v/>
      </c>
      <c r="S243" s="44"/>
      <c r="T243" s="173"/>
      <c r="U243" s="189"/>
      <c r="V243" s="208" t="str">
        <f t="shared" si="25"/>
        <v/>
      </c>
      <c r="W243" s="208" t="str">
        <f t="shared" si="26"/>
        <v/>
      </c>
      <c r="X243" s="208" t="str">
        <f t="shared" si="27"/>
        <v/>
      </c>
      <c r="Y243" s="209" t="str">
        <f t="shared" si="28"/>
        <v/>
      </c>
      <c r="Z243" s="182"/>
      <c r="AA243" s="183"/>
      <c r="AF243" s="35" t="str">
        <f>IFERROR(INDEX('G-7 Rivers Data'!$AZ$3:$AZ$7,MATCH(D243,'G-7 Rivers Data'!$AY$3:$AY$7,0)),"")</f>
        <v/>
      </c>
      <c r="AG243" s="35">
        <f t="shared" si="29"/>
        <v>0</v>
      </c>
      <c r="AH243" s="188" t="str">
        <f t="shared" si="30"/>
        <v/>
      </c>
      <c r="AI243" s="188" t="str">
        <f t="shared" si="31"/>
        <v/>
      </c>
      <c r="AK243" s="188">
        <v>234</v>
      </c>
      <c r="AM243" s="188" t="str">
        <f t="array" ref="AM243">IFERROR(INDEX($AK$10:$AK$258, MATCH(0, IF(TRUE=$AH$10:$AH$258, COUNTIF($AM$9:$AM242, $AK$10:$AK$258), ""), 0)),"")</f>
        <v/>
      </c>
      <c r="AN243" s="188" t="str">
        <f t="array" ref="AN243">IFERROR(INDEX($AK$10:$AK$258, MATCH(0, IF(TRUE=$AI$10:$AI$258, COUNTIF($AN$9:$AN242, $AK$10:$AK$258), ""), 0)),"")</f>
        <v/>
      </c>
    </row>
    <row r="244" spans="3:40" ht="13.8" x14ac:dyDescent="0.25">
      <c r="C244" s="168">
        <v>235</v>
      </c>
      <c r="D244" s="184"/>
      <c r="E244" s="185"/>
      <c r="F244" s="171" t="str">
        <f>IF(D244="","",VLOOKUP(D244,'G-7 Rivers Data'!$B$2:$G$8,2,FALSE))</f>
        <v/>
      </c>
      <c r="G244" s="172" t="str">
        <f>IFERROR(VLOOKUP(F244,'G-7 Rivers Data'!$C$4:$D$8,2,FALSE),"")</f>
        <v/>
      </c>
      <c r="H244" s="173"/>
      <c r="I244" s="172" t="str">
        <f>IFERROR(INDEX('G-7 Rivers Data'!$H$4:$L$8,MATCH(D244,'G-7 Rivers Data'!$B$4:$B$8,0),MATCH(H244,'G-7 Rivers Data'!$H$3:$L$3,0)),"")</f>
        <v/>
      </c>
      <c r="J244" s="186"/>
      <c r="K244" s="175" t="str">
        <f>IF(J244="","",IF(VLOOKUP(J244,'G-7 Rivers Data'!$AK$4:$AM$9,2,FALSE)=0,"Spatial Data Missing",VLOOKUP(J244,'G-7 Rivers Data'!$AK$4:$AM$9,2,FALSE)))</f>
        <v/>
      </c>
      <c r="L244" s="176" t="str">
        <f>IF(J244="","",IF(VLOOKUP(J244,'G-7 Rivers Data'!$AK$4:$AM$9,3,FALSE)=0,"Spatial Data Missing",VLOOKUP(J244,'G-7 Rivers Data'!$AK$4:$AM$9,3,FALSE)))</f>
        <v/>
      </c>
      <c r="M244" s="79"/>
      <c r="N244" s="172" t="str">
        <f>IF(M244="","",IF(VLOOKUP(M244,'G-7 Rivers Data'!$AA$4:$AB$7,2,FALSE)=0,"Spatial Data Missing",VLOOKUP(M244,'G-7 Rivers Data'!$AA$4:$AB$7,2,FALSE)))</f>
        <v/>
      </c>
      <c r="O244" s="187"/>
      <c r="P244" s="172" t="str">
        <f>IF(O244="","",IF(VLOOKUP(O244,'G-7 Rivers Data'!$AD$4:$AE$8,2,FALSE)=0,"Spatial Data Missing",VLOOKUP(O244,'G-7 Rivers Data'!$AD$4:$AE$8,2,FALSE)))</f>
        <v/>
      </c>
      <c r="Q244" s="177" t="str">
        <f>IF(D244="","",VLOOKUP(D244,'G-7 Rivers Data'!$B$4:$G$8,6,FALSE))</f>
        <v/>
      </c>
      <c r="R244" s="178" t="str">
        <f t="shared" si="24"/>
        <v/>
      </c>
      <c r="S244" s="44"/>
      <c r="T244" s="173"/>
      <c r="U244" s="189"/>
      <c r="V244" s="208" t="str">
        <f t="shared" si="25"/>
        <v/>
      </c>
      <c r="W244" s="208" t="str">
        <f t="shared" si="26"/>
        <v/>
      </c>
      <c r="X244" s="208" t="str">
        <f t="shared" si="27"/>
        <v/>
      </c>
      <c r="Y244" s="209" t="str">
        <f t="shared" si="28"/>
        <v/>
      </c>
      <c r="Z244" s="182"/>
      <c r="AA244" s="183"/>
      <c r="AF244" s="35" t="str">
        <f>IFERROR(INDEX('G-7 Rivers Data'!$AZ$3:$AZ$7,MATCH(D244,'G-7 Rivers Data'!$AY$3:$AY$7,0)),"")</f>
        <v/>
      </c>
      <c r="AG244" s="35">
        <f t="shared" si="29"/>
        <v>0</v>
      </c>
      <c r="AH244" s="188" t="str">
        <f t="shared" si="30"/>
        <v/>
      </c>
      <c r="AI244" s="188" t="str">
        <f t="shared" si="31"/>
        <v/>
      </c>
      <c r="AK244" s="188">
        <v>235</v>
      </c>
      <c r="AM244" s="188" t="str">
        <f t="array" ref="AM244">IFERROR(INDEX($AK$10:$AK$258, MATCH(0, IF(TRUE=$AH$10:$AH$258, COUNTIF($AM$9:$AM243, $AK$10:$AK$258), ""), 0)),"")</f>
        <v/>
      </c>
      <c r="AN244" s="188" t="str">
        <f t="array" ref="AN244">IFERROR(INDEX($AK$10:$AK$258, MATCH(0, IF(TRUE=$AI$10:$AI$258, COUNTIF($AN$9:$AN243, $AK$10:$AK$258), ""), 0)),"")</f>
        <v/>
      </c>
    </row>
    <row r="245" spans="3:40" ht="13.8" x14ac:dyDescent="0.25">
      <c r="C245" s="168">
        <v>236</v>
      </c>
      <c r="D245" s="184"/>
      <c r="E245" s="185"/>
      <c r="F245" s="171" t="str">
        <f>IF(D245="","",VLOOKUP(D245,'G-7 Rivers Data'!$B$2:$G$8,2,FALSE))</f>
        <v/>
      </c>
      <c r="G245" s="172" t="str">
        <f>IFERROR(VLOOKUP(F245,'G-7 Rivers Data'!$C$4:$D$8,2,FALSE),"")</f>
        <v/>
      </c>
      <c r="H245" s="173"/>
      <c r="I245" s="172" t="str">
        <f>IFERROR(INDEX('G-7 Rivers Data'!$H$4:$L$8,MATCH(D245,'G-7 Rivers Data'!$B$4:$B$8,0),MATCH(H245,'G-7 Rivers Data'!$H$3:$L$3,0)),"")</f>
        <v/>
      </c>
      <c r="J245" s="186"/>
      <c r="K245" s="175" t="str">
        <f>IF(J245="","",IF(VLOOKUP(J245,'G-7 Rivers Data'!$AK$4:$AM$9,2,FALSE)=0,"Spatial Data Missing",VLOOKUP(J245,'G-7 Rivers Data'!$AK$4:$AM$9,2,FALSE)))</f>
        <v/>
      </c>
      <c r="L245" s="176" t="str">
        <f>IF(J245="","",IF(VLOOKUP(J245,'G-7 Rivers Data'!$AK$4:$AM$9,3,FALSE)=0,"Spatial Data Missing",VLOOKUP(J245,'G-7 Rivers Data'!$AK$4:$AM$9,3,FALSE)))</f>
        <v/>
      </c>
      <c r="M245" s="79"/>
      <c r="N245" s="172" t="str">
        <f>IF(M245="","",IF(VLOOKUP(M245,'G-7 Rivers Data'!$AA$4:$AB$7,2,FALSE)=0,"Spatial Data Missing",VLOOKUP(M245,'G-7 Rivers Data'!$AA$4:$AB$7,2,FALSE)))</f>
        <v/>
      </c>
      <c r="O245" s="187"/>
      <c r="P245" s="172" t="str">
        <f>IF(O245="","",IF(VLOOKUP(O245,'G-7 Rivers Data'!$AD$4:$AE$8,2,FALSE)=0,"Spatial Data Missing",VLOOKUP(O245,'G-7 Rivers Data'!$AD$4:$AE$8,2,FALSE)))</f>
        <v/>
      </c>
      <c r="Q245" s="177" t="str">
        <f>IF(D245="","",VLOOKUP(D245,'G-7 Rivers Data'!$B$4:$G$8,6,FALSE))</f>
        <v/>
      </c>
      <c r="R245" s="178" t="str">
        <f t="shared" si="24"/>
        <v/>
      </c>
      <c r="S245" s="44"/>
      <c r="T245" s="173"/>
      <c r="U245" s="189"/>
      <c r="V245" s="208" t="str">
        <f t="shared" si="25"/>
        <v/>
      </c>
      <c r="W245" s="208" t="str">
        <f t="shared" si="26"/>
        <v/>
      </c>
      <c r="X245" s="208" t="str">
        <f t="shared" si="27"/>
        <v/>
      </c>
      <c r="Y245" s="209" t="str">
        <f t="shared" si="28"/>
        <v/>
      </c>
      <c r="Z245" s="182"/>
      <c r="AA245" s="183"/>
      <c r="AF245" s="35" t="str">
        <f>IFERROR(INDEX('G-7 Rivers Data'!$AZ$3:$AZ$7,MATCH(D245,'G-7 Rivers Data'!$AY$3:$AY$7,0)),"")</f>
        <v/>
      </c>
      <c r="AG245" s="35">
        <f t="shared" si="29"/>
        <v>0</v>
      </c>
      <c r="AH245" s="166" t="str">
        <f t="shared" si="30"/>
        <v/>
      </c>
      <c r="AI245" s="166" t="str">
        <f t="shared" si="31"/>
        <v/>
      </c>
      <c r="AJ245" s="167"/>
      <c r="AK245" s="166">
        <v>236</v>
      </c>
      <c r="AL245" s="167"/>
      <c r="AM245" s="166" t="str">
        <f t="array" ref="AM245">IFERROR(INDEX($AK$10:$AK$258, MATCH(0, IF(TRUE=$AH$10:$AH$258, COUNTIF($AM$9:$AM244, $AK$10:$AK$258), ""), 0)),"")</f>
        <v/>
      </c>
      <c r="AN245" s="166" t="str">
        <f t="array" ref="AN245">IFERROR(INDEX($AK$10:$AK$258, MATCH(0, IF(TRUE=$AI$10:$AI$258, COUNTIF($AN$9:$AN244, $AK$10:$AK$258), ""), 0)),"")</f>
        <v/>
      </c>
    </row>
    <row r="246" spans="3:40" ht="13.8" x14ac:dyDescent="0.25">
      <c r="C246" s="168">
        <v>237</v>
      </c>
      <c r="D246" s="184"/>
      <c r="E246" s="185"/>
      <c r="F246" s="171" t="str">
        <f>IF(D246="","",VLOOKUP(D246,'G-7 Rivers Data'!$B$2:$G$8,2,FALSE))</f>
        <v/>
      </c>
      <c r="G246" s="172" t="str">
        <f>IFERROR(VLOOKUP(F246,'G-7 Rivers Data'!$C$4:$D$8,2,FALSE),"")</f>
        <v/>
      </c>
      <c r="H246" s="173"/>
      <c r="I246" s="172" t="str">
        <f>IFERROR(INDEX('G-7 Rivers Data'!$H$4:$L$8,MATCH(D246,'G-7 Rivers Data'!$B$4:$B$8,0),MATCH(H246,'G-7 Rivers Data'!$H$3:$L$3,0)),"")</f>
        <v/>
      </c>
      <c r="J246" s="186"/>
      <c r="K246" s="175" t="str">
        <f>IF(J246="","",IF(VLOOKUP(J246,'G-7 Rivers Data'!$AK$4:$AM$9,2,FALSE)=0,"Spatial Data Missing",VLOOKUP(J246,'G-7 Rivers Data'!$AK$4:$AM$9,2,FALSE)))</f>
        <v/>
      </c>
      <c r="L246" s="176" t="str">
        <f>IF(J246="","",IF(VLOOKUP(J246,'G-7 Rivers Data'!$AK$4:$AM$9,3,FALSE)=0,"Spatial Data Missing",VLOOKUP(J246,'G-7 Rivers Data'!$AK$4:$AM$9,3,FALSE)))</f>
        <v/>
      </c>
      <c r="M246" s="79"/>
      <c r="N246" s="172" t="str">
        <f>IF(M246="","",IF(VLOOKUP(M246,'G-7 Rivers Data'!$AA$4:$AB$7,2,FALSE)=0,"Spatial Data Missing",VLOOKUP(M246,'G-7 Rivers Data'!$AA$4:$AB$7,2,FALSE)))</f>
        <v/>
      </c>
      <c r="O246" s="187"/>
      <c r="P246" s="172" t="str">
        <f>IF(O246="","",IF(VLOOKUP(O246,'G-7 Rivers Data'!$AD$4:$AE$8,2,FALSE)=0,"Spatial Data Missing",VLOOKUP(O246,'G-7 Rivers Data'!$AD$4:$AE$8,2,FALSE)))</f>
        <v/>
      </c>
      <c r="Q246" s="177" t="str">
        <f>IF(D246="","",VLOOKUP(D246,'G-7 Rivers Data'!$B$4:$G$8,6,FALSE))</f>
        <v/>
      </c>
      <c r="R246" s="178" t="str">
        <f t="shared" si="24"/>
        <v/>
      </c>
      <c r="S246" s="44"/>
      <c r="T246" s="173"/>
      <c r="U246" s="189"/>
      <c r="V246" s="208" t="str">
        <f t="shared" si="25"/>
        <v/>
      </c>
      <c r="W246" s="208" t="str">
        <f t="shared" si="26"/>
        <v/>
      </c>
      <c r="X246" s="208" t="str">
        <f t="shared" si="27"/>
        <v/>
      </c>
      <c r="Y246" s="209" t="str">
        <f t="shared" si="28"/>
        <v/>
      </c>
      <c r="Z246" s="182"/>
      <c r="AA246" s="183"/>
      <c r="AF246" s="35" t="str">
        <f>IFERROR(INDEX('G-7 Rivers Data'!$AZ$3:$AZ$7,MATCH(D246,'G-7 Rivers Data'!$AY$3:$AY$7,0)),"")</f>
        <v/>
      </c>
      <c r="AG246" s="35">
        <f t="shared" si="29"/>
        <v>0</v>
      </c>
      <c r="AH246" s="166" t="str">
        <f t="shared" si="30"/>
        <v/>
      </c>
      <c r="AI246" s="166" t="str">
        <f t="shared" si="31"/>
        <v/>
      </c>
      <c r="AJ246" s="167"/>
      <c r="AK246" s="166">
        <v>237</v>
      </c>
      <c r="AL246" s="167"/>
      <c r="AM246" s="166" t="str">
        <f t="array" ref="AM246">IFERROR(INDEX($AK$10:$AK$258, MATCH(0, IF(TRUE=$AH$10:$AH$258, COUNTIF($AM$9:$AM245, $AK$10:$AK$258), ""), 0)),"")</f>
        <v/>
      </c>
      <c r="AN246" s="166" t="str">
        <f t="array" ref="AN246">IFERROR(INDEX($AK$10:$AK$258, MATCH(0, IF(TRUE=$AI$10:$AI$258, COUNTIF($AN$9:$AN245, $AK$10:$AK$258), ""), 0)),"")</f>
        <v/>
      </c>
    </row>
    <row r="247" spans="3:40" ht="13.8" x14ac:dyDescent="0.25">
      <c r="C247" s="168">
        <v>238</v>
      </c>
      <c r="D247" s="184"/>
      <c r="E247" s="185"/>
      <c r="F247" s="171" t="str">
        <f>IF(D247="","",VLOOKUP(D247,'G-7 Rivers Data'!$B$2:$G$8,2,FALSE))</f>
        <v/>
      </c>
      <c r="G247" s="172" t="str">
        <f>IFERROR(VLOOKUP(F247,'G-7 Rivers Data'!$C$4:$D$8,2,FALSE),"")</f>
        <v/>
      </c>
      <c r="H247" s="173"/>
      <c r="I247" s="172" t="str">
        <f>IFERROR(INDEX('G-7 Rivers Data'!$H$4:$L$8,MATCH(D247,'G-7 Rivers Data'!$B$4:$B$8,0),MATCH(H247,'G-7 Rivers Data'!$H$3:$L$3,0)),"")</f>
        <v/>
      </c>
      <c r="J247" s="186"/>
      <c r="K247" s="175" t="str">
        <f>IF(J247="","",IF(VLOOKUP(J247,'G-7 Rivers Data'!$AK$4:$AM$9,2,FALSE)=0,"Spatial Data Missing",VLOOKUP(J247,'G-7 Rivers Data'!$AK$4:$AM$9,2,FALSE)))</f>
        <v/>
      </c>
      <c r="L247" s="176" t="str">
        <f>IF(J247="","",IF(VLOOKUP(J247,'G-7 Rivers Data'!$AK$4:$AM$9,3,FALSE)=0,"Spatial Data Missing",VLOOKUP(J247,'G-7 Rivers Data'!$AK$4:$AM$9,3,FALSE)))</f>
        <v/>
      </c>
      <c r="M247" s="79"/>
      <c r="N247" s="172" t="str">
        <f>IF(M247="","",IF(VLOOKUP(M247,'G-7 Rivers Data'!$AA$4:$AB$7,2,FALSE)=0,"Spatial Data Missing",VLOOKUP(M247,'G-7 Rivers Data'!$AA$4:$AB$7,2,FALSE)))</f>
        <v/>
      </c>
      <c r="O247" s="187"/>
      <c r="P247" s="172" t="str">
        <f>IF(O247="","",IF(VLOOKUP(O247,'G-7 Rivers Data'!$AD$4:$AE$8,2,FALSE)=0,"Spatial Data Missing",VLOOKUP(O247,'G-7 Rivers Data'!$AD$4:$AE$8,2,FALSE)))</f>
        <v/>
      </c>
      <c r="Q247" s="177" t="str">
        <f>IF(D247="","",VLOOKUP(D247,'G-7 Rivers Data'!$B$4:$G$8,6,FALSE))</f>
        <v/>
      </c>
      <c r="R247" s="178" t="str">
        <f t="shared" si="24"/>
        <v/>
      </c>
      <c r="S247" s="44"/>
      <c r="T247" s="173"/>
      <c r="U247" s="189"/>
      <c r="V247" s="208" t="str">
        <f t="shared" si="25"/>
        <v/>
      </c>
      <c r="W247" s="208" t="str">
        <f t="shared" si="26"/>
        <v/>
      </c>
      <c r="X247" s="208" t="str">
        <f t="shared" si="27"/>
        <v/>
      </c>
      <c r="Y247" s="209" t="str">
        <f t="shared" si="28"/>
        <v/>
      </c>
      <c r="Z247" s="182"/>
      <c r="AA247" s="183"/>
      <c r="AF247" s="35" t="str">
        <f>IFERROR(INDEX('G-7 Rivers Data'!$AZ$3:$AZ$7,MATCH(D247,'G-7 Rivers Data'!$AY$3:$AY$7,0)),"")</f>
        <v/>
      </c>
      <c r="AG247" s="35">
        <f t="shared" si="29"/>
        <v>0</v>
      </c>
      <c r="AH247" s="166" t="str">
        <f t="shared" si="30"/>
        <v/>
      </c>
      <c r="AI247" s="166" t="str">
        <f t="shared" si="31"/>
        <v/>
      </c>
      <c r="AJ247" s="167"/>
      <c r="AK247" s="166">
        <v>238</v>
      </c>
      <c r="AL247" s="167"/>
      <c r="AM247" s="166" t="str">
        <f t="array" ref="AM247">IFERROR(INDEX($AK$10:$AK$258, MATCH(0, IF(TRUE=$AH$10:$AH$258, COUNTIF($AM$9:$AM246, $AK$10:$AK$258), ""), 0)),"")</f>
        <v/>
      </c>
      <c r="AN247" s="166" t="str">
        <f t="array" ref="AN247">IFERROR(INDEX($AK$10:$AK$258, MATCH(0, IF(TRUE=$AI$10:$AI$258, COUNTIF($AN$9:$AN246, $AK$10:$AK$258), ""), 0)),"")</f>
        <v/>
      </c>
    </row>
    <row r="248" spans="3:40" ht="13.8" x14ac:dyDescent="0.25">
      <c r="C248" s="168">
        <v>239</v>
      </c>
      <c r="D248" s="184"/>
      <c r="E248" s="185"/>
      <c r="F248" s="171" t="str">
        <f>IF(D248="","",VLOOKUP(D248,'G-7 Rivers Data'!$B$2:$G$8,2,FALSE))</f>
        <v/>
      </c>
      <c r="G248" s="172" t="str">
        <f>IFERROR(VLOOKUP(F248,'G-7 Rivers Data'!$C$4:$D$8,2,FALSE),"")</f>
        <v/>
      </c>
      <c r="H248" s="173"/>
      <c r="I248" s="172" t="str">
        <f>IFERROR(INDEX('G-7 Rivers Data'!$H$4:$L$8,MATCH(D248,'G-7 Rivers Data'!$B$4:$B$8,0),MATCH(H248,'G-7 Rivers Data'!$H$3:$L$3,0)),"")</f>
        <v/>
      </c>
      <c r="J248" s="186"/>
      <c r="K248" s="175" t="str">
        <f>IF(J248="","",IF(VLOOKUP(J248,'G-7 Rivers Data'!$AK$4:$AM$9,2,FALSE)=0,"Spatial Data Missing",VLOOKUP(J248,'G-7 Rivers Data'!$AK$4:$AM$9,2,FALSE)))</f>
        <v/>
      </c>
      <c r="L248" s="176" t="str">
        <f>IF(J248="","",IF(VLOOKUP(J248,'G-7 Rivers Data'!$AK$4:$AM$9,3,FALSE)=0,"Spatial Data Missing",VLOOKUP(J248,'G-7 Rivers Data'!$AK$4:$AM$9,3,FALSE)))</f>
        <v/>
      </c>
      <c r="M248" s="79"/>
      <c r="N248" s="172" t="str">
        <f>IF(M248="","",IF(VLOOKUP(M248,'G-7 Rivers Data'!$AA$4:$AB$7,2,FALSE)=0,"Spatial Data Missing",VLOOKUP(M248,'G-7 Rivers Data'!$AA$4:$AB$7,2,FALSE)))</f>
        <v/>
      </c>
      <c r="O248" s="187"/>
      <c r="P248" s="172" t="str">
        <f>IF(O248="","",IF(VLOOKUP(O248,'G-7 Rivers Data'!$AD$4:$AE$8,2,FALSE)=0,"Spatial Data Missing",VLOOKUP(O248,'G-7 Rivers Data'!$AD$4:$AE$8,2,FALSE)))</f>
        <v/>
      </c>
      <c r="Q248" s="177" t="str">
        <f>IF(D248="","",VLOOKUP(D248,'G-7 Rivers Data'!$B$4:$G$8,6,FALSE))</f>
        <v/>
      </c>
      <c r="R248" s="178" t="str">
        <f t="shared" si="24"/>
        <v/>
      </c>
      <c r="S248" s="44"/>
      <c r="T248" s="173"/>
      <c r="U248" s="189"/>
      <c r="V248" s="208" t="str">
        <f t="shared" si="25"/>
        <v/>
      </c>
      <c r="W248" s="208" t="str">
        <f t="shared" si="26"/>
        <v/>
      </c>
      <c r="X248" s="208" t="str">
        <f t="shared" si="27"/>
        <v/>
      </c>
      <c r="Y248" s="209" t="str">
        <f t="shared" si="28"/>
        <v/>
      </c>
      <c r="Z248" s="182"/>
      <c r="AA248" s="183"/>
      <c r="AF248" s="35" t="str">
        <f>IFERROR(INDEX('G-7 Rivers Data'!$AZ$3:$AZ$7,MATCH(D248,'G-7 Rivers Data'!$AY$3:$AY$7,0)),"")</f>
        <v/>
      </c>
      <c r="AG248" s="35">
        <f t="shared" si="29"/>
        <v>0</v>
      </c>
      <c r="AH248" s="166" t="str">
        <f t="shared" si="30"/>
        <v/>
      </c>
      <c r="AI248" s="166" t="str">
        <f t="shared" si="31"/>
        <v/>
      </c>
      <c r="AJ248" s="167"/>
      <c r="AK248" s="166">
        <v>239</v>
      </c>
      <c r="AL248" s="167"/>
      <c r="AM248" s="166" t="str">
        <f t="array" ref="AM248">IFERROR(INDEX($AK$10:$AK$258, MATCH(0, IF(TRUE=$AH$10:$AH$258, COUNTIF($AM$9:$AM247, $AK$10:$AK$258), ""), 0)),"")</f>
        <v/>
      </c>
      <c r="AN248" s="166" t="str">
        <f t="array" ref="AN248">IFERROR(INDEX($AK$10:$AK$258, MATCH(0, IF(TRUE=$AI$10:$AI$258, COUNTIF($AN$9:$AN247, $AK$10:$AK$258), ""), 0)),"")</f>
        <v/>
      </c>
    </row>
    <row r="249" spans="3:40" ht="13.8" x14ac:dyDescent="0.25">
      <c r="C249" s="168">
        <v>240</v>
      </c>
      <c r="D249" s="184"/>
      <c r="E249" s="185"/>
      <c r="F249" s="171" t="str">
        <f>IF(D249="","",VLOOKUP(D249,'G-7 Rivers Data'!$B$2:$G$8,2,FALSE))</f>
        <v/>
      </c>
      <c r="G249" s="172" t="str">
        <f>IFERROR(VLOOKUP(F249,'G-7 Rivers Data'!$C$4:$D$8,2,FALSE),"")</f>
        <v/>
      </c>
      <c r="H249" s="173"/>
      <c r="I249" s="172" t="str">
        <f>IFERROR(INDEX('G-7 Rivers Data'!$H$4:$L$8,MATCH(D249,'G-7 Rivers Data'!$B$4:$B$8,0),MATCH(H249,'G-7 Rivers Data'!$H$3:$L$3,0)),"")</f>
        <v/>
      </c>
      <c r="J249" s="186"/>
      <c r="K249" s="175" t="str">
        <f>IF(J249="","",IF(VLOOKUP(J249,'G-7 Rivers Data'!$AK$4:$AM$9,2,FALSE)=0,"Spatial Data Missing",VLOOKUP(J249,'G-7 Rivers Data'!$AK$4:$AM$9,2,FALSE)))</f>
        <v/>
      </c>
      <c r="L249" s="176" t="str">
        <f>IF(J249="","",IF(VLOOKUP(J249,'G-7 Rivers Data'!$AK$4:$AM$9,3,FALSE)=0,"Spatial Data Missing",VLOOKUP(J249,'G-7 Rivers Data'!$AK$4:$AM$9,3,FALSE)))</f>
        <v/>
      </c>
      <c r="M249" s="79"/>
      <c r="N249" s="172" t="str">
        <f>IF(M249="","",IF(VLOOKUP(M249,'G-7 Rivers Data'!$AA$4:$AB$7,2,FALSE)=0,"Spatial Data Missing",VLOOKUP(M249,'G-7 Rivers Data'!$AA$4:$AB$7,2,FALSE)))</f>
        <v/>
      </c>
      <c r="O249" s="187"/>
      <c r="P249" s="172" t="str">
        <f>IF(O249="","",IF(VLOOKUP(O249,'G-7 Rivers Data'!$AD$4:$AE$8,2,FALSE)=0,"Spatial Data Missing",VLOOKUP(O249,'G-7 Rivers Data'!$AD$4:$AE$8,2,FALSE)))</f>
        <v/>
      </c>
      <c r="Q249" s="177" t="str">
        <f>IF(D249="","",VLOOKUP(D249,'G-7 Rivers Data'!$B$4:$G$8,6,FALSE))</f>
        <v/>
      </c>
      <c r="R249" s="178" t="str">
        <f t="shared" si="24"/>
        <v/>
      </c>
      <c r="S249" s="44"/>
      <c r="T249" s="173"/>
      <c r="U249" s="189"/>
      <c r="V249" s="208" t="str">
        <f t="shared" si="25"/>
        <v/>
      </c>
      <c r="W249" s="208" t="str">
        <f t="shared" si="26"/>
        <v/>
      </c>
      <c r="X249" s="208" t="str">
        <f t="shared" si="27"/>
        <v/>
      </c>
      <c r="Y249" s="209" t="str">
        <f t="shared" si="28"/>
        <v/>
      </c>
      <c r="Z249" s="182"/>
      <c r="AA249" s="183"/>
      <c r="AF249" s="35" t="str">
        <f>IFERROR(INDEX('G-7 Rivers Data'!$AZ$3:$AZ$7,MATCH(D249,'G-7 Rivers Data'!$AY$3:$AY$7,0)),"")</f>
        <v/>
      </c>
      <c r="AG249" s="35">
        <f t="shared" si="29"/>
        <v>0</v>
      </c>
      <c r="AH249" s="166" t="str">
        <f t="shared" si="30"/>
        <v/>
      </c>
      <c r="AI249" s="166" t="str">
        <f t="shared" si="31"/>
        <v/>
      </c>
      <c r="AJ249" s="167"/>
      <c r="AK249" s="166">
        <v>240</v>
      </c>
      <c r="AL249" s="167"/>
      <c r="AM249" s="166" t="str">
        <f t="array" ref="AM249">IFERROR(INDEX($AK$10:$AK$258, MATCH(0, IF(TRUE=$AH$10:$AH$258, COUNTIF($AM$9:$AM248, $AK$10:$AK$258), ""), 0)),"")</f>
        <v/>
      </c>
      <c r="AN249" s="166" t="str">
        <f t="array" ref="AN249">IFERROR(INDEX($AK$10:$AK$258, MATCH(0, IF(TRUE=$AI$10:$AI$258, COUNTIF($AN$9:$AN248, $AK$10:$AK$258), ""), 0)),"")</f>
        <v/>
      </c>
    </row>
    <row r="250" spans="3:40" ht="13.8" x14ac:dyDescent="0.25">
      <c r="C250" s="168">
        <v>241</v>
      </c>
      <c r="D250" s="184"/>
      <c r="E250" s="185"/>
      <c r="F250" s="171" t="str">
        <f>IF(D250="","",VLOOKUP(D250,'G-7 Rivers Data'!$B$2:$G$8,2,FALSE))</f>
        <v/>
      </c>
      <c r="G250" s="172" t="str">
        <f>IFERROR(VLOOKUP(F250,'G-7 Rivers Data'!$C$4:$D$8,2,FALSE),"")</f>
        <v/>
      </c>
      <c r="H250" s="173"/>
      <c r="I250" s="172" t="str">
        <f>IFERROR(INDEX('G-7 Rivers Data'!$H$4:$L$8,MATCH(D250,'G-7 Rivers Data'!$B$4:$B$8,0),MATCH(H250,'G-7 Rivers Data'!$H$3:$L$3,0)),"")</f>
        <v/>
      </c>
      <c r="J250" s="186"/>
      <c r="K250" s="175" t="str">
        <f>IF(J250="","",IF(VLOOKUP(J250,'G-7 Rivers Data'!$AK$4:$AM$9,2,FALSE)=0,"Spatial Data Missing",VLOOKUP(J250,'G-7 Rivers Data'!$AK$4:$AM$9,2,FALSE)))</f>
        <v/>
      </c>
      <c r="L250" s="176" t="str">
        <f>IF(J250="","",IF(VLOOKUP(J250,'G-7 Rivers Data'!$AK$4:$AM$9,3,FALSE)=0,"Spatial Data Missing",VLOOKUP(J250,'G-7 Rivers Data'!$AK$4:$AM$9,3,FALSE)))</f>
        <v/>
      </c>
      <c r="M250" s="79"/>
      <c r="N250" s="172" t="str">
        <f>IF(M250="","",IF(VLOOKUP(M250,'G-7 Rivers Data'!$AA$4:$AB$7,2,FALSE)=0,"Spatial Data Missing",VLOOKUP(M250,'G-7 Rivers Data'!$AA$4:$AB$7,2,FALSE)))</f>
        <v/>
      </c>
      <c r="O250" s="187"/>
      <c r="P250" s="172" t="str">
        <f>IF(O250="","",IF(VLOOKUP(O250,'G-7 Rivers Data'!$AD$4:$AE$8,2,FALSE)=0,"Spatial Data Missing",VLOOKUP(O250,'G-7 Rivers Data'!$AD$4:$AE$8,2,FALSE)))</f>
        <v/>
      </c>
      <c r="Q250" s="177" t="str">
        <f>IF(D250="","",VLOOKUP(D250,'G-7 Rivers Data'!$B$4:$G$8,6,FALSE))</f>
        <v/>
      </c>
      <c r="R250" s="178" t="str">
        <f t="shared" si="24"/>
        <v/>
      </c>
      <c r="S250" s="44"/>
      <c r="T250" s="173"/>
      <c r="U250" s="189"/>
      <c r="V250" s="208" t="str">
        <f t="shared" si="25"/>
        <v/>
      </c>
      <c r="W250" s="208" t="str">
        <f t="shared" si="26"/>
        <v/>
      </c>
      <c r="X250" s="208" t="str">
        <f t="shared" si="27"/>
        <v/>
      </c>
      <c r="Y250" s="209" t="str">
        <f t="shared" si="28"/>
        <v/>
      </c>
      <c r="Z250" s="182"/>
      <c r="AA250" s="183"/>
      <c r="AF250" s="35" t="str">
        <f>IFERROR(INDEX('G-7 Rivers Data'!$AZ$3:$AZ$7,MATCH(D250,'G-7 Rivers Data'!$AY$3:$AY$7,0)),"")</f>
        <v/>
      </c>
      <c r="AG250" s="35">
        <f t="shared" si="29"/>
        <v>0</v>
      </c>
      <c r="AH250" s="166" t="str">
        <f t="shared" si="30"/>
        <v/>
      </c>
      <c r="AI250" s="166" t="str">
        <f t="shared" si="31"/>
        <v/>
      </c>
      <c r="AJ250" s="167"/>
      <c r="AK250" s="166">
        <v>241</v>
      </c>
      <c r="AL250" s="167"/>
      <c r="AM250" s="166" t="str">
        <f t="array" ref="AM250">IFERROR(INDEX($AK$10:$AK$258, MATCH(0, IF(TRUE=$AH$10:$AH$258, COUNTIF($AM$9:$AM249, $AK$10:$AK$258), ""), 0)),"")</f>
        <v/>
      </c>
      <c r="AN250" s="166" t="str">
        <f t="array" ref="AN250">IFERROR(INDEX($AK$10:$AK$258, MATCH(0, IF(TRUE=$AI$10:$AI$258, COUNTIF($AN$9:$AN249, $AK$10:$AK$258), ""), 0)),"")</f>
        <v/>
      </c>
    </row>
    <row r="251" spans="3:40" ht="13.8" x14ac:dyDescent="0.25">
      <c r="C251" s="168">
        <v>242</v>
      </c>
      <c r="D251" s="184"/>
      <c r="E251" s="185"/>
      <c r="F251" s="171" t="str">
        <f>IF(D251="","",VLOOKUP(D251,'G-7 Rivers Data'!$B$2:$G$8,2,FALSE))</f>
        <v/>
      </c>
      <c r="G251" s="172" t="str">
        <f>IFERROR(VLOOKUP(F251,'G-7 Rivers Data'!$C$4:$D$8,2,FALSE),"")</f>
        <v/>
      </c>
      <c r="H251" s="173"/>
      <c r="I251" s="172" t="str">
        <f>IFERROR(INDEX('G-7 Rivers Data'!$H$4:$L$8,MATCH(D251,'G-7 Rivers Data'!$B$4:$B$8,0),MATCH(H251,'G-7 Rivers Data'!$H$3:$L$3,0)),"")</f>
        <v/>
      </c>
      <c r="J251" s="186"/>
      <c r="K251" s="175" t="str">
        <f>IF(J251="","",IF(VLOOKUP(J251,'G-7 Rivers Data'!$AK$4:$AM$9,2,FALSE)=0,"Spatial Data Missing",VLOOKUP(J251,'G-7 Rivers Data'!$AK$4:$AM$9,2,FALSE)))</f>
        <v/>
      </c>
      <c r="L251" s="176" t="str">
        <f>IF(J251="","",IF(VLOOKUP(J251,'G-7 Rivers Data'!$AK$4:$AM$9,3,FALSE)=0,"Spatial Data Missing",VLOOKUP(J251,'G-7 Rivers Data'!$AK$4:$AM$9,3,FALSE)))</f>
        <v/>
      </c>
      <c r="M251" s="79"/>
      <c r="N251" s="172" t="str">
        <f>IF(M251="","",IF(VLOOKUP(M251,'G-7 Rivers Data'!$AA$4:$AB$7,2,FALSE)=0,"Spatial Data Missing",VLOOKUP(M251,'G-7 Rivers Data'!$AA$4:$AB$7,2,FALSE)))</f>
        <v/>
      </c>
      <c r="O251" s="187"/>
      <c r="P251" s="172" t="str">
        <f>IF(O251="","",IF(VLOOKUP(O251,'G-7 Rivers Data'!$AD$4:$AE$8,2,FALSE)=0,"Spatial Data Missing",VLOOKUP(O251,'G-7 Rivers Data'!$AD$4:$AE$8,2,FALSE)))</f>
        <v/>
      </c>
      <c r="Q251" s="177" t="str">
        <f>IF(D251="","",VLOOKUP(D251,'G-7 Rivers Data'!$B$4:$G$8,6,FALSE))</f>
        <v/>
      </c>
      <c r="R251" s="178" t="str">
        <f t="shared" si="24"/>
        <v/>
      </c>
      <c r="S251" s="44"/>
      <c r="T251" s="173"/>
      <c r="U251" s="189"/>
      <c r="V251" s="208" t="str">
        <f t="shared" si="25"/>
        <v/>
      </c>
      <c r="W251" s="208" t="str">
        <f t="shared" si="26"/>
        <v/>
      </c>
      <c r="X251" s="208" t="str">
        <f t="shared" si="27"/>
        <v/>
      </c>
      <c r="Y251" s="209" t="str">
        <f t="shared" si="28"/>
        <v/>
      </c>
      <c r="Z251" s="182"/>
      <c r="AA251" s="183"/>
      <c r="AF251" s="35" t="str">
        <f>IFERROR(INDEX('G-7 Rivers Data'!$AZ$3:$AZ$7,MATCH(D251,'G-7 Rivers Data'!$AY$3:$AY$7,0)),"")</f>
        <v/>
      </c>
      <c r="AG251" s="35">
        <f t="shared" si="29"/>
        <v>0</v>
      </c>
      <c r="AH251" s="166" t="str">
        <f t="shared" si="30"/>
        <v/>
      </c>
      <c r="AI251" s="166" t="str">
        <f t="shared" si="31"/>
        <v/>
      </c>
      <c r="AJ251" s="167"/>
      <c r="AK251" s="166">
        <v>242</v>
      </c>
      <c r="AL251" s="167"/>
      <c r="AM251" s="166" t="str">
        <f t="array" ref="AM251">IFERROR(INDEX($AK$10:$AK$258, MATCH(0, IF(TRUE=$AH$10:$AH$258, COUNTIF($AM$9:$AM250, $AK$10:$AK$258), ""), 0)),"")</f>
        <v/>
      </c>
      <c r="AN251" s="166" t="str">
        <f t="array" ref="AN251">IFERROR(INDEX($AK$10:$AK$258, MATCH(0, IF(TRUE=$AI$10:$AI$258, COUNTIF($AN$9:$AN250, $AK$10:$AK$258), ""), 0)),"")</f>
        <v/>
      </c>
    </row>
    <row r="252" spans="3:40" ht="13.8" x14ac:dyDescent="0.25">
      <c r="C252" s="168">
        <v>243</v>
      </c>
      <c r="D252" s="184"/>
      <c r="E252" s="185"/>
      <c r="F252" s="171" t="str">
        <f>IF(D252="","",VLOOKUP(D252,'G-7 Rivers Data'!$B$2:$G$8,2,FALSE))</f>
        <v/>
      </c>
      <c r="G252" s="172" t="str">
        <f>IFERROR(VLOOKUP(F252,'G-7 Rivers Data'!$C$4:$D$8,2,FALSE),"")</f>
        <v/>
      </c>
      <c r="H252" s="173"/>
      <c r="I252" s="172" t="str">
        <f>IFERROR(INDEX('G-7 Rivers Data'!$H$4:$L$8,MATCH(D252,'G-7 Rivers Data'!$B$4:$B$8,0),MATCH(H252,'G-7 Rivers Data'!$H$3:$L$3,0)),"")</f>
        <v/>
      </c>
      <c r="J252" s="186"/>
      <c r="K252" s="175" t="str">
        <f>IF(J252="","",IF(VLOOKUP(J252,'G-7 Rivers Data'!$AK$4:$AM$9,2,FALSE)=0,"Spatial Data Missing",VLOOKUP(J252,'G-7 Rivers Data'!$AK$4:$AM$9,2,FALSE)))</f>
        <v/>
      </c>
      <c r="L252" s="176" t="str">
        <f>IF(J252="","",IF(VLOOKUP(J252,'G-7 Rivers Data'!$AK$4:$AM$9,3,FALSE)=0,"Spatial Data Missing",VLOOKUP(J252,'G-7 Rivers Data'!$AK$4:$AM$9,3,FALSE)))</f>
        <v/>
      </c>
      <c r="M252" s="79"/>
      <c r="N252" s="172" t="str">
        <f>IF(M252="","",IF(VLOOKUP(M252,'G-7 Rivers Data'!$AA$4:$AB$7,2,FALSE)=0,"Spatial Data Missing",VLOOKUP(M252,'G-7 Rivers Data'!$AA$4:$AB$7,2,FALSE)))</f>
        <v/>
      </c>
      <c r="O252" s="187"/>
      <c r="P252" s="172" t="str">
        <f>IF(O252="","",IF(VLOOKUP(O252,'G-7 Rivers Data'!$AD$4:$AE$8,2,FALSE)=0,"Spatial Data Missing",VLOOKUP(O252,'G-7 Rivers Data'!$AD$4:$AE$8,2,FALSE)))</f>
        <v/>
      </c>
      <c r="Q252" s="177" t="str">
        <f>IF(D252="","",VLOOKUP(D252,'G-7 Rivers Data'!$B$4:$G$8,6,FALSE))</f>
        <v/>
      </c>
      <c r="R252" s="178" t="str">
        <f t="shared" si="24"/>
        <v/>
      </c>
      <c r="S252" s="44"/>
      <c r="T252" s="173"/>
      <c r="U252" s="189"/>
      <c r="V252" s="208" t="str">
        <f t="shared" si="25"/>
        <v/>
      </c>
      <c r="W252" s="208" t="str">
        <f t="shared" si="26"/>
        <v/>
      </c>
      <c r="X252" s="208" t="str">
        <f t="shared" si="27"/>
        <v/>
      </c>
      <c r="Y252" s="209" t="str">
        <f t="shared" si="28"/>
        <v/>
      </c>
      <c r="Z252" s="182"/>
      <c r="AA252" s="183"/>
      <c r="AF252" s="35" t="str">
        <f>IFERROR(INDEX('G-7 Rivers Data'!$AZ$3:$AZ$7,MATCH(D252,'G-7 Rivers Data'!$AY$3:$AY$7,0)),"")</f>
        <v/>
      </c>
      <c r="AG252" s="35">
        <f t="shared" si="29"/>
        <v>0</v>
      </c>
      <c r="AH252" s="166" t="str">
        <f t="shared" si="30"/>
        <v/>
      </c>
      <c r="AI252" s="166" t="str">
        <f t="shared" si="31"/>
        <v/>
      </c>
      <c r="AJ252" s="167"/>
      <c r="AK252" s="166">
        <v>243</v>
      </c>
      <c r="AL252" s="167"/>
      <c r="AM252" s="166" t="str">
        <f t="array" ref="AM252">IFERROR(INDEX($AK$10:$AK$258, MATCH(0, IF(TRUE=$AH$10:$AH$258, COUNTIF($AM$9:$AM251, $AK$10:$AK$258), ""), 0)),"")</f>
        <v/>
      </c>
      <c r="AN252" s="166" t="str">
        <f t="array" ref="AN252">IFERROR(INDEX($AK$10:$AK$258, MATCH(0, IF(TRUE=$AI$10:$AI$258, COUNTIF($AN$9:$AN251, $AK$10:$AK$258), ""), 0)),"")</f>
        <v/>
      </c>
    </row>
    <row r="253" spans="3:40" ht="13.8" x14ac:dyDescent="0.25">
      <c r="C253" s="168">
        <v>244</v>
      </c>
      <c r="D253" s="184"/>
      <c r="E253" s="185"/>
      <c r="F253" s="171" t="str">
        <f>IF(D253="","",VLOOKUP(D253,'G-7 Rivers Data'!$B$2:$G$8,2,FALSE))</f>
        <v/>
      </c>
      <c r="G253" s="172" t="str">
        <f>IFERROR(VLOOKUP(F253,'G-7 Rivers Data'!$C$4:$D$8,2,FALSE),"")</f>
        <v/>
      </c>
      <c r="H253" s="173"/>
      <c r="I253" s="172" t="str">
        <f>IFERROR(INDEX('G-7 Rivers Data'!$H$4:$L$8,MATCH(D253,'G-7 Rivers Data'!$B$4:$B$8,0),MATCH(H253,'G-7 Rivers Data'!$H$3:$L$3,0)),"")</f>
        <v/>
      </c>
      <c r="J253" s="186"/>
      <c r="K253" s="175" t="str">
        <f>IF(J253="","",IF(VLOOKUP(J253,'G-7 Rivers Data'!$AK$4:$AM$9,2,FALSE)=0,"Spatial Data Missing",VLOOKUP(J253,'G-7 Rivers Data'!$AK$4:$AM$9,2,FALSE)))</f>
        <v/>
      </c>
      <c r="L253" s="176" t="str">
        <f>IF(J253="","",IF(VLOOKUP(J253,'G-7 Rivers Data'!$AK$4:$AM$9,3,FALSE)=0,"Spatial Data Missing",VLOOKUP(J253,'G-7 Rivers Data'!$AK$4:$AM$9,3,FALSE)))</f>
        <v/>
      </c>
      <c r="M253" s="79"/>
      <c r="N253" s="172" t="str">
        <f>IF(M253="","",IF(VLOOKUP(M253,'G-7 Rivers Data'!$AA$4:$AB$7,2,FALSE)=0,"Spatial Data Missing",VLOOKUP(M253,'G-7 Rivers Data'!$AA$4:$AB$7,2,FALSE)))</f>
        <v/>
      </c>
      <c r="O253" s="187"/>
      <c r="P253" s="172" t="str">
        <f>IF(O253="","",IF(VLOOKUP(O253,'G-7 Rivers Data'!$AD$4:$AE$8,2,FALSE)=0,"Spatial Data Missing",VLOOKUP(O253,'G-7 Rivers Data'!$AD$4:$AE$8,2,FALSE)))</f>
        <v/>
      </c>
      <c r="Q253" s="177" t="str">
        <f>IF(D253="","",VLOOKUP(D253,'G-7 Rivers Data'!$B$4:$G$8,6,FALSE))</f>
        <v/>
      </c>
      <c r="R253" s="178" t="str">
        <f t="shared" si="24"/>
        <v/>
      </c>
      <c r="S253" s="44"/>
      <c r="T253" s="173"/>
      <c r="U253" s="189"/>
      <c r="V253" s="208" t="str">
        <f t="shared" si="25"/>
        <v/>
      </c>
      <c r="W253" s="208" t="str">
        <f t="shared" si="26"/>
        <v/>
      </c>
      <c r="X253" s="208" t="str">
        <f t="shared" si="27"/>
        <v/>
      </c>
      <c r="Y253" s="209" t="str">
        <f t="shared" si="28"/>
        <v/>
      </c>
      <c r="Z253" s="182"/>
      <c r="AA253" s="183"/>
      <c r="AF253" s="35" t="str">
        <f>IFERROR(INDEX('G-7 Rivers Data'!$AZ$3:$AZ$7,MATCH(D253,'G-7 Rivers Data'!$AY$3:$AY$7,0)),"")</f>
        <v/>
      </c>
      <c r="AG253" s="35">
        <f t="shared" si="29"/>
        <v>0</v>
      </c>
      <c r="AH253" s="166" t="str">
        <f t="shared" si="30"/>
        <v/>
      </c>
      <c r="AI253" s="166" t="str">
        <f t="shared" si="31"/>
        <v/>
      </c>
      <c r="AJ253" s="167"/>
      <c r="AK253" s="166">
        <v>244</v>
      </c>
      <c r="AL253" s="167"/>
      <c r="AM253" s="166" t="str">
        <f t="array" ref="AM253">IFERROR(INDEX($AK$10:$AK$258, MATCH(0, IF(TRUE=$AH$10:$AH$258, COUNTIF($AM$9:$AM252, $AK$10:$AK$258), ""), 0)),"")</f>
        <v/>
      </c>
      <c r="AN253" s="166" t="str">
        <f t="array" ref="AN253">IFERROR(INDEX($AK$10:$AK$258, MATCH(0, IF(TRUE=$AI$10:$AI$258, COUNTIF($AN$9:$AN252, $AK$10:$AK$258), ""), 0)),"")</f>
        <v/>
      </c>
    </row>
    <row r="254" spans="3:40" ht="13.8" x14ac:dyDescent="0.25">
      <c r="C254" s="168">
        <v>245</v>
      </c>
      <c r="D254" s="184"/>
      <c r="E254" s="185"/>
      <c r="F254" s="171" t="str">
        <f>IF(D254="","",VLOOKUP(D254,'G-7 Rivers Data'!$B$2:$G$8,2,FALSE))</f>
        <v/>
      </c>
      <c r="G254" s="172" t="str">
        <f>IFERROR(VLOOKUP(F254,'G-7 Rivers Data'!$C$4:$D$8,2,FALSE),"")</f>
        <v/>
      </c>
      <c r="H254" s="173"/>
      <c r="I254" s="172" t="str">
        <f>IFERROR(INDEX('G-7 Rivers Data'!$H$4:$L$8,MATCH(D254,'G-7 Rivers Data'!$B$4:$B$8,0),MATCH(H254,'G-7 Rivers Data'!$H$3:$L$3,0)),"")</f>
        <v/>
      </c>
      <c r="J254" s="186"/>
      <c r="K254" s="175" t="str">
        <f>IF(J254="","",IF(VLOOKUP(J254,'G-7 Rivers Data'!$AK$4:$AM$9,2,FALSE)=0,"Spatial Data Missing",VLOOKUP(J254,'G-7 Rivers Data'!$AK$4:$AM$9,2,FALSE)))</f>
        <v/>
      </c>
      <c r="L254" s="176" t="str">
        <f>IF(J254="","",IF(VLOOKUP(J254,'G-7 Rivers Data'!$AK$4:$AM$9,3,FALSE)=0,"Spatial Data Missing",VLOOKUP(J254,'G-7 Rivers Data'!$AK$4:$AM$9,3,FALSE)))</f>
        <v/>
      </c>
      <c r="M254" s="79"/>
      <c r="N254" s="172" t="str">
        <f>IF(M254="","",IF(VLOOKUP(M254,'G-7 Rivers Data'!$AA$4:$AB$7,2,FALSE)=0,"Spatial Data Missing",VLOOKUP(M254,'G-7 Rivers Data'!$AA$4:$AB$7,2,FALSE)))</f>
        <v/>
      </c>
      <c r="O254" s="187"/>
      <c r="P254" s="172" t="str">
        <f>IF(O254="","",IF(VLOOKUP(O254,'G-7 Rivers Data'!$AD$4:$AE$8,2,FALSE)=0,"Spatial Data Missing",VLOOKUP(O254,'G-7 Rivers Data'!$AD$4:$AE$8,2,FALSE)))</f>
        <v/>
      </c>
      <c r="Q254" s="177" t="str">
        <f>IF(D254="","",VLOOKUP(D254,'G-7 Rivers Data'!$B$4:$G$8,6,FALSE))</f>
        <v/>
      </c>
      <c r="R254" s="178" t="str">
        <f t="shared" si="24"/>
        <v/>
      </c>
      <c r="S254" s="44"/>
      <c r="T254" s="173"/>
      <c r="U254" s="189"/>
      <c r="V254" s="208" t="str">
        <f t="shared" si="25"/>
        <v/>
      </c>
      <c r="W254" s="208" t="str">
        <f t="shared" si="26"/>
        <v/>
      </c>
      <c r="X254" s="208" t="str">
        <f t="shared" si="27"/>
        <v/>
      </c>
      <c r="Y254" s="209" t="str">
        <f t="shared" si="28"/>
        <v/>
      </c>
      <c r="Z254" s="182"/>
      <c r="AA254" s="183"/>
      <c r="AF254" s="35" t="str">
        <f>IFERROR(INDEX('G-7 Rivers Data'!$AZ$3:$AZ$7,MATCH(D254,'G-7 Rivers Data'!$AY$3:$AY$7,0)),"")</f>
        <v/>
      </c>
      <c r="AG254" s="35">
        <f t="shared" si="29"/>
        <v>0</v>
      </c>
      <c r="AH254" s="166" t="str">
        <f t="shared" si="30"/>
        <v/>
      </c>
      <c r="AI254" s="166" t="str">
        <f t="shared" si="31"/>
        <v/>
      </c>
      <c r="AJ254" s="167"/>
      <c r="AK254" s="166">
        <v>245</v>
      </c>
      <c r="AL254" s="167"/>
      <c r="AM254" s="166" t="str">
        <f t="array" ref="AM254">IFERROR(INDEX($AK$10:$AK$258, MATCH(0, IF(TRUE=$AH$10:$AH$258, COUNTIF($AM$9:$AM253, $AK$10:$AK$258), ""), 0)),"")</f>
        <v/>
      </c>
      <c r="AN254" s="166" t="str">
        <f t="array" ref="AN254">IFERROR(INDEX($AK$10:$AK$258, MATCH(0, IF(TRUE=$AI$10:$AI$258, COUNTIF($AN$9:$AN253, $AK$10:$AK$258), ""), 0)),"")</f>
        <v/>
      </c>
    </row>
    <row r="255" spans="3:40" ht="13.8" x14ac:dyDescent="0.25">
      <c r="C255" s="168">
        <v>246</v>
      </c>
      <c r="D255" s="184"/>
      <c r="E255" s="185"/>
      <c r="F255" s="171" t="str">
        <f>IF(D255="","",VLOOKUP(D255,'G-7 Rivers Data'!$B$2:$G$8,2,FALSE))</f>
        <v/>
      </c>
      <c r="G255" s="172" t="str">
        <f>IFERROR(VLOOKUP(F255,'G-7 Rivers Data'!$C$4:$D$8,2,FALSE),"")</f>
        <v/>
      </c>
      <c r="H255" s="173"/>
      <c r="I255" s="172" t="str">
        <f>IFERROR(INDEX('G-7 Rivers Data'!$H$4:$L$8,MATCH(D255,'G-7 Rivers Data'!$B$4:$B$8,0),MATCH(H255,'G-7 Rivers Data'!$H$3:$L$3,0)),"")</f>
        <v/>
      </c>
      <c r="J255" s="186"/>
      <c r="K255" s="175" t="str">
        <f>IF(J255="","",IF(VLOOKUP(J255,'G-7 Rivers Data'!$AK$4:$AM$9,2,FALSE)=0,"Spatial Data Missing",VLOOKUP(J255,'G-7 Rivers Data'!$AK$4:$AM$9,2,FALSE)))</f>
        <v/>
      </c>
      <c r="L255" s="176" t="str">
        <f>IF(J255="","",IF(VLOOKUP(J255,'G-7 Rivers Data'!$AK$4:$AM$9,3,FALSE)=0,"Spatial Data Missing",VLOOKUP(J255,'G-7 Rivers Data'!$AK$4:$AM$9,3,FALSE)))</f>
        <v/>
      </c>
      <c r="M255" s="79"/>
      <c r="N255" s="172" t="str">
        <f>IF(M255="","",IF(VLOOKUP(M255,'G-7 Rivers Data'!$AA$4:$AB$7,2,FALSE)=0,"Spatial Data Missing",VLOOKUP(M255,'G-7 Rivers Data'!$AA$4:$AB$7,2,FALSE)))</f>
        <v/>
      </c>
      <c r="O255" s="187"/>
      <c r="P255" s="172" t="str">
        <f>IF(O255="","",IF(VLOOKUP(O255,'G-7 Rivers Data'!$AD$4:$AE$8,2,FALSE)=0,"Spatial Data Missing",VLOOKUP(O255,'G-7 Rivers Data'!$AD$4:$AE$8,2,FALSE)))</f>
        <v/>
      </c>
      <c r="Q255" s="177" t="str">
        <f>IF(D255="","",VLOOKUP(D255,'G-7 Rivers Data'!$B$4:$G$8,6,FALSE))</f>
        <v/>
      </c>
      <c r="R255" s="178" t="str">
        <f t="shared" si="24"/>
        <v/>
      </c>
      <c r="S255" s="44"/>
      <c r="T255" s="173"/>
      <c r="U255" s="189"/>
      <c r="V255" s="208" t="str">
        <f t="shared" si="25"/>
        <v/>
      </c>
      <c r="W255" s="208" t="str">
        <f t="shared" si="26"/>
        <v/>
      </c>
      <c r="X255" s="208" t="str">
        <f t="shared" si="27"/>
        <v/>
      </c>
      <c r="Y255" s="209" t="str">
        <f t="shared" si="28"/>
        <v/>
      </c>
      <c r="Z255" s="182"/>
      <c r="AA255" s="183"/>
      <c r="AF255" s="35" t="str">
        <f>IFERROR(INDEX('G-7 Rivers Data'!$AZ$3:$AZ$7,MATCH(D255,'G-7 Rivers Data'!$AY$3:$AY$7,0)),"")</f>
        <v/>
      </c>
      <c r="AG255" s="35">
        <f t="shared" si="29"/>
        <v>0</v>
      </c>
      <c r="AH255" s="166" t="str">
        <f t="shared" si="30"/>
        <v/>
      </c>
      <c r="AI255" s="166" t="str">
        <f t="shared" si="31"/>
        <v/>
      </c>
      <c r="AJ255" s="167"/>
      <c r="AK255" s="166">
        <v>246</v>
      </c>
      <c r="AL255" s="167"/>
      <c r="AM255" s="166" t="str">
        <f t="array" ref="AM255">IFERROR(INDEX($AK$10:$AK$258, MATCH(0, IF(TRUE=$AH$10:$AH$258, COUNTIF($AM$9:$AM254, $AK$10:$AK$258), ""), 0)),"")</f>
        <v/>
      </c>
      <c r="AN255" s="166" t="str">
        <f t="array" ref="AN255">IFERROR(INDEX($AK$10:$AK$258, MATCH(0, IF(TRUE=$AI$10:$AI$258, COUNTIF($AN$9:$AN254, $AK$10:$AK$258), ""), 0)),"")</f>
        <v/>
      </c>
    </row>
    <row r="256" spans="3:40" ht="13.8" x14ac:dyDescent="0.25">
      <c r="C256" s="168">
        <v>247</v>
      </c>
      <c r="D256" s="184"/>
      <c r="E256" s="185"/>
      <c r="F256" s="171" t="str">
        <f>IF(D256="","",VLOOKUP(D256,'G-7 Rivers Data'!$B$2:$G$8,2,FALSE))</f>
        <v/>
      </c>
      <c r="G256" s="172" t="str">
        <f>IFERROR(VLOOKUP(F256,'G-7 Rivers Data'!$C$4:$D$8,2,FALSE),"")</f>
        <v/>
      </c>
      <c r="H256" s="173"/>
      <c r="I256" s="172" t="str">
        <f>IFERROR(INDEX('G-7 Rivers Data'!$H$4:$L$8,MATCH(D256,'G-7 Rivers Data'!$B$4:$B$8,0),MATCH(H256,'G-7 Rivers Data'!$H$3:$L$3,0)),"")</f>
        <v/>
      </c>
      <c r="J256" s="186"/>
      <c r="K256" s="175" t="str">
        <f>IF(J256="","",IF(VLOOKUP(J256,'G-7 Rivers Data'!$AK$4:$AM$9,2,FALSE)=0,"Spatial Data Missing",VLOOKUP(J256,'G-7 Rivers Data'!$AK$4:$AM$9,2,FALSE)))</f>
        <v/>
      </c>
      <c r="L256" s="176" t="str">
        <f>IF(J256="","",IF(VLOOKUP(J256,'G-7 Rivers Data'!$AK$4:$AM$9,3,FALSE)=0,"Spatial Data Missing",VLOOKUP(J256,'G-7 Rivers Data'!$AK$4:$AM$9,3,FALSE)))</f>
        <v/>
      </c>
      <c r="M256" s="79"/>
      <c r="N256" s="172" t="str">
        <f>IF(M256="","",IF(VLOOKUP(M256,'G-7 Rivers Data'!$AA$4:$AB$7,2,FALSE)=0,"Spatial Data Missing",VLOOKUP(M256,'G-7 Rivers Data'!$AA$4:$AB$7,2,FALSE)))</f>
        <v/>
      </c>
      <c r="O256" s="187"/>
      <c r="P256" s="172" t="str">
        <f>IF(O256="","",IF(VLOOKUP(O256,'G-7 Rivers Data'!$AD$4:$AE$8,2,FALSE)=0,"Spatial Data Missing",VLOOKUP(O256,'G-7 Rivers Data'!$AD$4:$AE$8,2,FALSE)))</f>
        <v/>
      </c>
      <c r="Q256" s="177" t="str">
        <f>IF(D256="","",VLOOKUP(D256,'G-7 Rivers Data'!$B$4:$G$8,6,FALSE))</f>
        <v/>
      </c>
      <c r="R256" s="178" t="str">
        <f t="shared" si="24"/>
        <v/>
      </c>
      <c r="S256" s="44"/>
      <c r="T256" s="173"/>
      <c r="U256" s="189"/>
      <c r="V256" s="208" t="str">
        <f t="shared" si="25"/>
        <v/>
      </c>
      <c r="W256" s="208" t="str">
        <f t="shared" si="26"/>
        <v/>
      </c>
      <c r="X256" s="208" t="str">
        <f t="shared" si="27"/>
        <v/>
      </c>
      <c r="Y256" s="209" t="str">
        <f t="shared" si="28"/>
        <v/>
      </c>
      <c r="Z256" s="182"/>
      <c r="AA256" s="183"/>
      <c r="AF256" s="35" t="str">
        <f>IFERROR(INDEX('G-7 Rivers Data'!$AZ$3:$AZ$7,MATCH(D256,'G-7 Rivers Data'!$AY$3:$AY$7,0)),"")</f>
        <v/>
      </c>
      <c r="AG256" s="35">
        <f t="shared" si="29"/>
        <v>0</v>
      </c>
      <c r="AH256" s="166" t="str">
        <f t="shared" si="30"/>
        <v/>
      </c>
      <c r="AI256" s="166" t="str">
        <f t="shared" si="31"/>
        <v/>
      </c>
      <c r="AJ256" s="167"/>
      <c r="AK256" s="166">
        <v>247</v>
      </c>
      <c r="AL256" s="167"/>
      <c r="AM256" s="166" t="str">
        <f t="array" ref="AM256">IFERROR(INDEX($AK$10:$AK$258, MATCH(0, IF(TRUE=$AH$10:$AH$258, COUNTIF($AM$9:$AM255, $AK$10:$AK$258), ""), 0)),"")</f>
        <v/>
      </c>
      <c r="AN256" s="166" t="str">
        <f t="array" ref="AN256">IFERROR(INDEX($AK$10:$AK$258, MATCH(0, IF(TRUE=$AI$10:$AI$258, COUNTIF($AN$9:$AN255, $AK$10:$AK$258), ""), 0)),"")</f>
        <v/>
      </c>
    </row>
    <row r="257" spans="2:40" ht="14.4" thickBot="1" x14ac:dyDescent="0.3">
      <c r="C257" s="190">
        <v>248</v>
      </c>
      <c r="D257" s="191"/>
      <c r="E257" s="192"/>
      <c r="F257" s="248" t="str">
        <f>IF(D257="","",VLOOKUP(D257,'G-7 Rivers Data'!$B$2:$G$8,2,FALSE))</f>
        <v/>
      </c>
      <c r="G257" s="195" t="str">
        <f>IFERROR(VLOOKUP(F257,'G-7 Rivers Data'!$C$4:$D$8,2,FALSE),"")</f>
        <v/>
      </c>
      <c r="H257" s="193"/>
      <c r="I257" s="195" t="str">
        <f>IFERROR(INDEX('G-7 Rivers Data'!$H$4:$L$8,MATCH(D257,'G-7 Rivers Data'!$B$4:$B$8,0),MATCH(H257,'G-7 Rivers Data'!$H$3:$L$3,0)),"")</f>
        <v/>
      </c>
      <c r="J257" s="193"/>
      <c r="K257" s="194" t="str">
        <f>IF(J257="","",IF(VLOOKUP(J257,'G-7 Rivers Data'!$AK$4:$AM$9,2,FALSE)=0,"Spatial Data Missing",VLOOKUP(J257,'G-7 Rivers Data'!$AK$4:$AM$9,2,FALSE)))</f>
        <v/>
      </c>
      <c r="L257" s="195" t="str">
        <f>IF(J257="","",IF(VLOOKUP(J257,'G-7 Rivers Data'!$AK$4:$AM$9,3,FALSE)=0,"Spatial Data Missing",VLOOKUP(J257,'G-7 Rivers Data'!$AK$4:$AM$9,3,FALSE)))</f>
        <v/>
      </c>
      <c r="M257" s="709"/>
      <c r="N257" s="172" t="str">
        <f>IF(M257="","",IF(VLOOKUP(M257,'G-7 Rivers Data'!$AA$4:$AB$7,2,FALSE)=0,"Spatial Data Missing",VLOOKUP(M257,'G-7 Rivers Data'!$AA$4:$AB$7,2,FALSE)))</f>
        <v/>
      </c>
      <c r="O257" s="404"/>
      <c r="P257" s="195" t="str">
        <f>IF(O257="","",IF(VLOOKUP(O257,'G-7 Rivers Data'!$AD$4:$AE$8,2,FALSE)=0,"Spatial Data Missing",VLOOKUP(O257,'G-7 Rivers Data'!$AD$4:$AE$8,2,FALSE)))</f>
        <v/>
      </c>
      <c r="Q257" s="407" t="str">
        <f>IF(D257="","",VLOOKUP(D257,'G-7 Rivers Data'!$B$4:$G$8,6,FALSE))</f>
        <v/>
      </c>
      <c r="R257" s="178" t="str">
        <f t="shared" si="24"/>
        <v/>
      </c>
      <c r="S257" s="44"/>
      <c r="T257" s="173"/>
      <c r="U257" s="189"/>
      <c r="V257" s="208" t="str">
        <f t="shared" si="25"/>
        <v/>
      </c>
      <c r="W257" s="208" t="str">
        <f t="shared" si="26"/>
        <v/>
      </c>
      <c r="X257" s="208" t="str">
        <f t="shared" si="27"/>
        <v/>
      </c>
      <c r="Y257" s="209" t="str">
        <f t="shared" si="28"/>
        <v/>
      </c>
      <c r="Z257" s="197"/>
      <c r="AA257" s="198"/>
      <c r="AF257" s="35" t="str">
        <f>IFERROR(INDEX('G-7 Rivers Data'!$AZ$3:$AZ$7,MATCH(D257,'G-7 Rivers Data'!$AY$3:$AY$7,0)),"")</f>
        <v/>
      </c>
      <c r="AG257" s="35">
        <f t="shared" si="29"/>
        <v>0</v>
      </c>
      <c r="AH257" s="166" t="str">
        <f t="shared" si="30"/>
        <v/>
      </c>
      <c r="AI257" s="166" t="str">
        <f t="shared" si="31"/>
        <v/>
      </c>
      <c r="AJ257" s="167"/>
      <c r="AK257" s="166">
        <v>248</v>
      </c>
      <c r="AL257" s="167"/>
      <c r="AM257" s="166" t="str">
        <f t="array" ref="AM257">IFERROR(INDEX($AK$10:$AK$258, MATCH(0, IF(TRUE=$AH$10:$AH$258, COUNTIF($AM$9:$AM256, $AK$10:$AK$258), ""), 0)),"")</f>
        <v/>
      </c>
      <c r="AN257" s="166" t="str">
        <f t="array" ref="AN257">IFERROR(INDEX($AK$10:$AK$258, MATCH(0, IF(TRUE=$AI$10:$AI$258, COUNTIF($AN$9:$AN256, $AK$10:$AK$258), ""), 0)),"")</f>
        <v/>
      </c>
    </row>
    <row r="258" spans="2:40" ht="15.75" customHeight="1" thickBot="1" x14ac:dyDescent="0.3">
      <c r="B258" s="35"/>
      <c r="C258" s="51"/>
      <c r="D258" s="696"/>
      <c r="E258" s="648">
        <f>SUM(E10:E257)</f>
        <v>0</v>
      </c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1065"/>
      <c r="Q258" s="1066"/>
      <c r="R258" s="648">
        <f>SUM(R10:R257)</f>
        <v>0</v>
      </c>
      <c r="S258" s="201"/>
      <c r="T258" s="202">
        <f>SUM(T10:T257)</f>
        <v>0</v>
      </c>
      <c r="U258" s="203">
        <f t="shared" ref="U258:Y258" si="32">SUM(U10:U257)</f>
        <v>0</v>
      </c>
      <c r="V258" s="203">
        <f t="shared" si="32"/>
        <v>0</v>
      </c>
      <c r="W258" s="203">
        <f t="shared" si="32"/>
        <v>0</v>
      </c>
      <c r="X258" s="203">
        <f t="shared" si="32"/>
        <v>0</v>
      </c>
      <c r="Y258" s="204">
        <f t="shared" si="32"/>
        <v>0</v>
      </c>
      <c r="Z258" s="51"/>
      <c r="AA258" s="51"/>
    </row>
    <row r="259" spans="2:40" ht="13.8" x14ac:dyDescent="0.25">
      <c r="B259" s="35"/>
      <c r="C259" s="35"/>
      <c r="S259" s="201"/>
      <c r="T259" s="201"/>
      <c r="U259" s="201"/>
      <c r="V259" s="201"/>
      <c r="W259" s="201"/>
      <c r="X259" s="201"/>
      <c r="Y259" s="201"/>
    </row>
    <row r="260" spans="2:40" ht="13.8" x14ac:dyDescent="0.25"/>
    <row r="261" spans="2:40" ht="13.8" x14ac:dyDescent="0.25"/>
    <row r="262" spans="2:40" ht="13.8" x14ac:dyDescent="0.25"/>
    <row r="263" spans="2:40" ht="13.8" x14ac:dyDescent="0.25"/>
    <row r="264" spans="2:40" ht="13.8" x14ac:dyDescent="0.25"/>
    <row r="265" spans="2:40" ht="13.8" x14ac:dyDescent="0.25"/>
    <row r="266" spans="2:40" ht="13.8" x14ac:dyDescent="0.25"/>
    <row r="267" spans="2:40" ht="13.8" x14ac:dyDescent="0.25"/>
    <row r="268" spans="2:40" ht="13.8" x14ac:dyDescent="0.25"/>
    <row r="269" spans="2:40" ht="13.8" x14ac:dyDescent="0.25"/>
    <row r="270" spans="2:40" ht="13.8" x14ac:dyDescent="0.25"/>
    <row r="271" spans="2:40" ht="13.8" x14ac:dyDescent="0.25"/>
    <row r="272" spans="2:40" ht="13.8" x14ac:dyDescent="0.25"/>
  </sheetData>
  <sheetProtection algorithmName="SHA-512" hashValue="QQK630DBn/yEck3zqMthv0l4bF85johZiJreR1MsRy0xFX4Q/QUNNa8pDE0vELgllUGXtgaIlMlD7ExoN0XvLw==" saltValue="UZlRPu4ZYxy4mzAK7vAgNQ==" spinCount="100000" sheet="1" objects="1" scenarios="1"/>
  <customSheetViews>
    <customSheetView guid="{8BDA793C-C9C5-4FC6-A0A5-F1109F6D4F22}" state="hidden">
      <pane ySplit="9" topLeftCell="A10" activePane="bottomLeft" state="frozen"/>
      <selection pane="bottomLeft" activeCell="D14" sqref="D14"/>
    </customSheetView>
  </customSheetViews>
  <mergeCells count="13">
    <mergeCell ref="P258:Q258"/>
    <mergeCell ref="Z8:AA8"/>
    <mergeCell ref="B2:E2"/>
    <mergeCell ref="B3:E4"/>
    <mergeCell ref="C8:E8"/>
    <mergeCell ref="F8:G8"/>
    <mergeCell ref="H8:I8"/>
    <mergeCell ref="J8:L8"/>
    <mergeCell ref="M8:N8"/>
    <mergeCell ref="O8:P8"/>
    <mergeCell ref="Q8:Q9"/>
    <mergeCell ref="T8:Y8"/>
    <mergeCell ref="T4:Y5"/>
  </mergeCells>
  <conditionalFormatting sqref="Q10:Q257">
    <cfRule type="containsText" dxfId="30" priority="7" operator="containsText" text="Restore">
      <formula>NOT(ISERROR(SEARCH("Restore",Q10)))</formula>
    </cfRule>
  </conditionalFormatting>
  <conditionalFormatting sqref="K10:Q257">
    <cfRule type="containsText" dxfId="29" priority="8" operator="containsText" text="Spatial">
      <formula>NOT(ISERROR(SEARCH("Spatial",K10)))</formula>
    </cfRule>
  </conditionalFormatting>
  <conditionalFormatting sqref="X10:X257">
    <cfRule type="containsText" dxfId="28" priority="4" operator="containsText" text="Error">
      <formula>NOT(ISERROR(SEARCH("Error",X10)))</formula>
    </cfRule>
  </conditionalFormatting>
  <conditionalFormatting sqref="Y10:Y257">
    <cfRule type="containsText" dxfId="27" priority="2" operator="containsText" text="Check">
      <formula>NOT(ISERROR(SEARCH("Check",Y10)))</formula>
    </cfRule>
    <cfRule type="containsText" dxfId="26" priority="3" operator="containsText" text="Error">
      <formula>NOT(ISERROR(SEARCH("Error",Y10)))</formula>
    </cfRule>
  </conditionalFormatting>
  <conditionalFormatting sqref="S5 S4:T4">
    <cfRule type="containsText" dxfId="25" priority="1" operator="containsText" text="Check">
      <formula>NOT(ISERROR(SEARCH("Check",S4)))</formula>
    </cfRule>
  </conditionalFormatting>
  <dataValidations count="1">
    <dataValidation type="list" allowBlank="1" showInputMessage="1" showErrorMessage="1" sqref="H10:H257" xr:uid="{00000000-0002-0000-1800-000000000000}">
      <formula1>INDIRECT(AF10)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1800-000001000000}">
          <x14:formula1>
            <xm:f>'G-7 Rivers Data'!$AK$4:$AK$9</xm:f>
          </x14:formula1>
          <xm:sqref>J10:J257</xm:sqref>
        </x14:dataValidation>
        <x14:dataValidation type="list" allowBlank="1" showInputMessage="1" showErrorMessage="1" xr:uid="{00000000-0002-0000-1800-000003000000}">
          <x14:formula1>
            <xm:f>'G-7 Rivers Data'!$AD$4:$AD$7</xm:f>
          </x14:formula1>
          <xm:sqref>O10:O257</xm:sqref>
        </x14:dataValidation>
        <x14:dataValidation type="list" allowBlank="1" showInputMessage="1" showErrorMessage="1" xr:uid="{00000000-0002-0000-1800-000004000000}">
          <x14:formula1>
            <xm:f>'G-7 Rivers Data'!$B$4:$B$8</xm:f>
          </x14:formula1>
          <xm:sqref>D10:D257</xm:sqref>
        </x14:dataValidation>
        <x14:dataValidation type="list" allowBlank="1" showInputMessage="1" showErrorMessage="1" xr:uid="{05773494-43C1-4C1D-A517-73B9574F65E8}">
          <x14:formula1>
            <xm:f>'G-7 Rivers Data'!$AA$4:$AA$7</xm:f>
          </x14:formula1>
          <xm:sqref>M10:M257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3">
    <tabColor rgb="FF00B0F0"/>
  </sheetPr>
  <dimension ref="A1:AS1048576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C12" sqref="C12"/>
    </sheetView>
  </sheetViews>
  <sheetFormatPr defaultColWidth="0" defaultRowHeight="0" customHeight="1" zeroHeight="1" x14ac:dyDescent="0.25"/>
  <cols>
    <col min="1" max="1" width="2.88671875" style="35" customWidth="1"/>
    <col min="2" max="2" width="10.6640625" style="35" customWidth="1"/>
    <col min="3" max="3" width="47.109375" style="35" customWidth="1"/>
    <col min="4" max="4" width="10.44140625" style="35" customWidth="1"/>
    <col min="5" max="5" width="17.44140625" style="35" customWidth="1"/>
    <col min="6" max="6" width="13.109375" style="35" customWidth="1"/>
    <col min="7" max="7" width="12.5546875" style="35" bestFit="1" customWidth="1"/>
    <col min="8" max="8" width="12.5546875" style="35" customWidth="1"/>
    <col min="9" max="9" width="33.6640625" style="35" customWidth="1"/>
    <col min="10" max="10" width="15.44140625" style="35" customWidth="1"/>
    <col min="11" max="11" width="12.33203125" style="35" customWidth="1"/>
    <col min="12" max="14" width="17.6640625" style="35" customWidth="1"/>
    <col min="15" max="15" width="34.5546875" style="35" customWidth="1"/>
    <col min="16" max="16" width="17.6640625" style="35" customWidth="1"/>
    <col min="17" max="17" width="15.33203125" style="35" customWidth="1"/>
    <col min="18" max="18" width="10.6640625" style="35" customWidth="1"/>
    <col min="19" max="19" width="26.109375" style="35" customWidth="1"/>
    <col min="20" max="20" width="13.44140625" style="35" customWidth="1"/>
    <col min="21" max="21" width="12.33203125" style="35" customWidth="1"/>
    <col min="22" max="22" width="16.44140625" style="35" customWidth="1"/>
    <col min="23" max="23" width="12.44140625" style="35" customWidth="1"/>
    <col min="24" max="24" width="17" style="35" customWidth="1"/>
    <col min="25" max="25" width="12.5546875" style="35" customWidth="1"/>
    <col min="26" max="26" width="10.6640625" style="35" customWidth="1"/>
    <col min="27" max="27" width="12.6640625" style="35" customWidth="1"/>
    <col min="28" max="28" width="17.33203125" style="35" customWidth="1"/>
    <col min="29" max="30" width="34.88671875" style="35" customWidth="1"/>
    <col min="31" max="36" width="8.88671875" style="35" customWidth="1"/>
    <col min="37" max="37" width="15.44140625" style="35" hidden="1" customWidth="1"/>
    <col min="38" max="45" width="0" style="35" hidden="1" customWidth="1"/>
    <col min="46" max="16384" width="8.88671875" style="35" hidden="1"/>
  </cols>
  <sheetData>
    <row r="1" spans="2:37" ht="14.4" thickBot="1" x14ac:dyDescent="0.3"/>
    <row r="2" spans="2:37" ht="18.600000000000001" customHeight="1" thickBot="1" x14ac:dyDescent="0.3">
      <c r="B2" s="785" t="str">
        <f>IF([2]Start!$F$12="","",[2]Start!$F$12)</f>
        <v/>
      </c>
      <c r="C2" s="786"/>
      <c r="D2" s="787"/>
      <c r="L2" s="958" t="str">
        <f>IF(OR(COUNTIF(L$12:$L259,"*30+*")&gt;0,COUNTIF(P$12:$P259,"*30+*")&gt;0),"Note; Habitat selected has a time to target condition greater than 30 years. Non standard agreement may be required.","")</f>
        <v/>
      </c>
      <c r="M2" s="958"/>
      <c r="N2" s="958"/>
      <c r="O2" s="958"/>
      <c r="P2" s="958"/>
      <c r="Q2" s="958"/>
    </row>
    <row r="3" spans="2:37" ht="15.6" customHeight="1" thickBot="1" x14ac:dyDescent="0.3">
      <c r="B3" s="1016" t="str">
        <f ca="1">MID(CELL("filename",A1),FIND("]",CELL("filename",A1))+1,256)</f>
        <v>F-2 Off Site River Creation</v>
      </c>
      <c r="C3" s="1017"/>
      <c r="D3" s="1018"/>
      <c r="L3" s="958"/>
      <c r="M3" s="958"/>
      <c r="N3" s="958"/>
      <c r="O3" s="958"/>
      <c r="P3" s="958"/>
      <c r="Q3" s="958"/>
    </row>
    <row r="4" spans="2:37" ht="9.6" customHeight="1" thickBot="1" x14ac:dyDescent="0.3">
      <c r="B4" s="1016"/>
      <c r="C4" s="1017"/>
      <c r="D4" s="1018"/>
      <c r="L4" s="958"/>
      <c r="M4" s="958"/>
      <c r="N4" s="958"/>
      <c r="O4" s="958"/>
      <c r="P4" s="958"/>
      <c r="Q4" s="958"/>
    </row>
    <row r="5" spans="2:37" ht="26.4" customHeight="1" x14ac:dyDescent="0.25">
      <c r="L5" s="958"/>
      <c r="M5" s="958"/>
      <c r="N5" s="958"/>
      <c r="O5" s="958"/>
      <c r="P5" s="958"/>
      <c r="Q5" s="958"/>
    </row>
    <row r="6" spans="2:37" ht="23.25" customHeight="1" x14ac:dyDescent="0.25">
      <c r="D6" s="158"/>
      <c r="L6" s="622"/>
      <c r="M6" s="622"/>
      <c r="N6" s="622"/>
      <c r="O6" s="622"/>
      <c r="P6" s="622"/>
    </row>
    <row r="7" spans="2:37" ht="13.8" x14ac:dyDescent="0.25"/>
    <row r="8" spans="2:37" ht="13.8" x14ac:dyDescent="0.25"/>
    <row r="9" spans="2:37" ht="15.75" customHeight="1" thickBot="1" x14ac:dyDescent="0.3"/>
    <row r="10" spans="2:37" s="46" customFormat="1" ht="29.25" customHeight="1" thickBot="1" x14ac:dyDescent="0.3">
      <c r="B10" s="367"/>
      <c r="C10" s="1011" t="s">
        <v>1079</v>
      </c>
      <c r="D10" s="1013"/>
      <c r="E10" s="1011" t="s">
        <v>981</v>
      </c>
      <c r="F10" s="1013"/>
      <c r="G10" s="1011" t="s">
        <v>1471</v>
      </c>
      <c r="H10" s="1013"/>
      <c r="I10" s="984" t="s">
        <v>362</v>
      </c>
      <c r="J10" s="984"/>
      <c r="K10" s="984"/>
      <c r="L10" s="984" t="s">
        <v>988</v>
      </c>
      <c r="M10" s="984"/>
      <c r="N10" s="984"/>
      <c r="O10" s="984"/>
      <c r="P10" s="984"/>
      <c r="Q10" s="984"/>
      <c r="R10" s="1011" t="s">
        <v>989</v>
      </c>
      <c r="S10" s="1012"/>
      <c r="T10" s="1012"/>
      <c r="U10" s="1013"/>
      <c r="V10" s="984" t="s">
        <v>1188</v>
      </c>
      <c r="W10" s="984"/>
      <c r="X10" s="984" t="s">
        <v>1036</v>
      </c>
      <c r="Y10" s="984"/>
      <c r="Z10" s="984" t="s">
        <v>1028</v>
      </c>
      <c r="AA10" s="984"/>
      <c r="AB10" s="983" t="s">
        <v>1035</v>
      </c>
      <c r="AC10" s="921" t="s">
        <v>145</v>
      </c>
      <c r="AD10" s="919"/>
    </row>
    <row r="11" spans="2:37" s="46" customFormat="1" ht="55.2" x14ac:dyDescent="0.25">
      <c r="B11" s="162" t="s">
        <v>840</v>
      </c>
      <c r="C11" s="455" t="s">
        <v>799</v>
      </c>
      <c r="D11" s="273" t="s">
        <v>309</v>
      </c>
      <c r="E11" s="632" t="s">
        <v>127</v>
      </c>
      <c r="F11" s="631" t="s">
        <v>140</v>
      </c>
      <c r="G11" s="632" t="s">
        <v>141</v>
      </c>
      <c r="H11" s="631" t="s">
        <v>140</v>
      </c>
      <c r="I11" s="561" t="s">
        <v>362</v>
      </c>
      <c r="J11" s="272" t="s">
        <v>362</v>
      </c>
      <c r="K11" s="273" t="s">
        <v>983</v>
      </c>
      <c r="L11" s="561" t="s">
        <v>1200</v>
      </c>
      <c r="M11" s="272" t="s">
        <v>1177</v>
      </c>
      <c r="N11" s="272" t="s">
        <v>1178</v>
      </c>
      <c r="O11" s="272" t="s">
        <v>1179</v>
      </c>
      <c r="P11" s="272" t="s">
        <v>1183</v>
      </c>
      <c r="Q11" s="273" t="s">
        <v>1203</v>
      </c>
      <c r="R11" s="561" t="s">
        <v>1186</v>
      </c>
      <c r="S11" s="272" t="s">
        <v>1487</v>
      </c>
      <c r="T11" s="272" t="s">
        <v>1187</v>
      </c>
      <c r="U11" s="273" t="s">
        <v>1182</v>
      </c>
      <c r="V11" s="561" t="s">
        <v>1037</v>
      </c>
      <c r="W11" s="273" t="s">
        <v>55</v>
      </c>
      <c r="X11" s="561" t="s">
        <v>1037</v>
      </c>
      <c r="Y11" s="273" t="s">
        <v>55</v>
      </c>
      <c r="Z11" s="561" t="s">
        <v>1067</v>
      </c>
      <c r="AA11" s="273" t="s">
        <v>346</v>
      </c>
      <c r="AB11" s="984"/>
      <c r="AC11" s="168" t="s">
        <v>991</v>
      </c>
      <c r="AD11" s="552" t="s">
        <v>992</v>
      </c>
      <c r="AK11" s="381" t="s">
        <v>1298</v>
      </c>
    </row>
    <row r="12" spans="2:37" ht="13.8" x14ac:dyDescent="0.25">
      <c r="B12" s="561">
        <v>1</v>
      </c>
      <c r="C12" s="206"/>
      <c r="D12" s="76"/>
      <c r="E12" s="171" t="str">
        <f>IF(C12="","",VLOOKUP(C12,'G-7 Rivers Data'!$B$2:$Z$9,2,FALSE))</f>
        <v/>
      </c>
      <c r="F12" s="172" t="str">
        <f>IFERROR(VLOOKUP(E12,'G-7 Rivers Data'!$C$4:$D$8,2,FALSE),"")</f>
        <v/>
      </c>
      <c r="G12" s="79"/>
      <c r="H12" s="172" t="str">
        <f>IFERROR(INDEX('G-7 Rivers Data'!$H$4:$L$8,MATCH(C12,'G-7 Rivers Data'!$B$4:$B$8,0),MATCH(G12,'G-7 Rivers Data'!$H$3:$L$3,0)),"")</f>
        <v/>
      </c>
      <c r="I12" s="79"/>
      <c r="J12" s="269" t="str">
        <f>IF(I12="","",IF(VLOOKUP(I12,'G-7 Rivers Data'!$AG$4:$AI$9,2,FALSE)=0,"Spatial Data Missing",VLOOKUP(I12,'G-7 Rivers Data'!$AG$4:$AI$9,2,FALSE)))</f>
        <v/>
      </c>
      <c r="K12" s="172" t="str">
        <f>IF(I12="","",IF(VLOOKUP(I12,'G-7 Rivers Data'!$AG$4:$AI$9,3,FALSE)=0,"Spatial Data Missing",VLOOKUP(I12,'G-7 Rivers Data'!$AG$4:$AI$9,3,FALSE)))</f>
        <v/>
      </c>
      <c r="L12" s="384" t="str">
        <f>IFERROR(INDEX('G-7 Rivers Data'!$O$3:$O$7,MATCH(G12,'G-7 Rivers Data'!$N$3:$N$7,0)),"")</f>
        <v/>
      </c>
      <c r="M12" s="82"/>
      <c r="N12" s="94"/>
      <c r="O12" s="179" t="str">
        <f>IF(L12="","",IF(AND(M12&gt;0,N12&gt;0),"Error -both advance and delayed habitat creation",IF(AND(OR(M12="Habitat already in target condition",L12&lt;=M12),N12=0),"Check details - Is there evidence that habitat has reached target condition?",IF(M12&gt;0,"Check details - Is there evidence habitat creation started/in place?",IF(N12&gt;0,"Check details- Delay in starting habitat in required condition?","Standard time to target condition applied")))))</f>
        <v/>
      </c>
      <c r="P12" s="262" t="str">
        <f>IF(LEFT(O12,5)="Error","Check Data",IF(L12="","",IF(M12="30+",0,IF(N12="30+","30+",IF(L12+N12&gt;30,"30+",IF(L12+N12-M12&gt;0,L12+N12-M12,IF(L12-M12&lt;0,0,L12+N12-M12)))))))</f>
        <v/>
      </c>
      <c r="Q12" s="382" t="str">
        <f>IFERROR(IF(P12="Check Data","Check Data",VLOOKUP(P12,'G-4 Temporal multipliers'!$A$4:$C$37,3,FALSE)),"")</f>
        <v/>
      </c>
      <c r="R12" s="171" t="str">
        <f>IF(C12="","",VLOOKUP(C12,'G-7 Rivers Data'!$B$4:$G$8,4,FALSE))</f>
        <v/>
      </c>
      <c r="S12" s="179" t="str">
        <f>IF(C12="","",IF(P12="Check Data","Check Data",IF(G12="","",IF($O12="Check details - Is there evidence that habitat has reached target condition?","No - Low Difficulty - only applicable if all habitat created before losses","Standard difficulty applied"))))</f>
        <v/>
      </c>
      <c r="T12" s="269" t="str">
        <f>(IF(AND(S12="Standard difficulty applied",L12&gt;M12),R12,IF(AND(S12="No - Low Difficulty - only applicable if all habitat created before losses",M12&gt;=L12),"Low",R12)))</f>
        <v/>
      </c>
      <c r="U12" s="172" t="str">
        <f t="shared" ref="U12" si="0">IF(C12="","",VLOOKUP(R12,Difficulty,2,FALSE))</f>
        <v/>
      </c>
      <c r="V12" s="174"/>
      <c r="W12" s="172" t="str">
        <f>IF(V12="","",IF(VLOOKUP(V12,'G-7 Rivers Data'!$AA$4:$AB$7,2,FALSE)=0,"Spatial Data Missing",VLOOKUP(V12,'G-7 Rivers Data'!$AA$4:$AB$7,2,FALSE)))</f>
        <v/>
      </c>
      <c r="X12" s="90"/>
      <c r="Y12" s="172" t="str">
        <f>IF(X12="","",IF(VLOOKUP(X12,'G-7 Rivers Data'!$AD$4:$AE$8,2,FALSE)=0,"Enrcoachment Data Missing",VLOOKUP(X12,'G-7 Rivers Data'!$AD$4:$AE$8,2,FALSE)))</f>
        <v/>
      </c>
      <c r="Z12" s="174"/>
      <c r="AA12" s="176" t="str">
        <f>IF(Z12="","",VLOOKUP(Z12,'G-7 Rivers Data'!$AO$4:$AP$7,2,FALSE))</f>
        <v/>
      </c>
      <c r="AB12" s="265" t="str">
        <f>IFERROR(D12*F12*H12*K12*Q12*U12*W12*Y12*AA12,"")</f>
        <v/>
      </c>
      <c r="AC12" s="355"/>
      <c r="AD12" s="356"/>
      <c r="AK12" s="35" t="str">
        <f>IFERROR(INDEX('G-7 Rivers Data'!$AZ$3:$AZ$7,MATCH(C12,'G-7 Rivers Data'!$AY$3:$AY$7,0)),"")</f>
        <v/>
      </c>
    </row>
    <row r="13" spans="2:37" ht="13.8" x14ac:dyDescent="0.25">
      <c r="B13" s="168">
        <v>2</v>
      </c>
      <c r="C13" s="169"/>
      <c r="D13" s="76"/>
      <c r="E13" s="171" t="str">
        <f>IF(C13="","",VLOOKUP(C13,'G-7 Rivers Data'!$B$2:$Z$9,2,FALSE))</f>
        <v/>
      </c>
      <c r="F13" s="172" t="str">
        <f>IFERROR(VLOOKUP(E13,'G-7 Rivers Data'!$C$4:$D$8,2,FALSE),"")</f>
        <v/>
      </c>
      <c r="G13" s="79"/>
      <c r="H13" s="172" t="str">
        <f>IFERROR(INDEX('G-7 Rivers Data'!$H$4:$L$8,MATCH(C13,'G-7 Rivers Data'!$B$4:$B$8,0),MATCH(G13,'G-7 Rivers Data'!$H$3:$L$3,0)),"")</f>
        <v/>
      </c>
      <c r="I13" s="79"/>
      <c r="J13" s="269" t="str">
        <f>IF(I13="","",IF(VLOOKUP(I13,'G-7 Rivers Data'!$AG$4:$AI$9,2,FALSE)=0,"Spatial Data Missing",VLOOKUP(I13,'G-7 Rivers Data'!$AG$4:$AI$9,2,FALSE)))</f>
        <v/>
      </c>
      <c r="K13" s="172" t="str">
        <f>IF(I13="","",IF(VLOOKUP(I13,'G-7 Rivers Data'!$AG$4:$AI$9,3,FALSE)=0,"Spatial Data Missing",VLOOKUP(I13,'G-7 Rivers Data'!$AG$4:$AI$9,3,FALSE)))</f>
        <v/>
      </c>
      <c r="L13" s="384" t="str">
        <f>IFERROR(INDEX('G-7 Rivers Data'!$O$3:$O$7,MATCH(G13,'G-7 Rivers Data'!$N$3:$N$7,0)),"")</f>
        <v/>
      </c>
      <c r="M13" s="82"/>
      <c r="N13" s="94"/>
      <c r="O13" s="179" t="str">
        <f t="shared" ref="O13:O76" si="1">IF(L13="","",IF(AND(M13&gt;0,N13&gt;0),"Error -both advance and delayed habitat creation",IF(AND(OR(M13="Habitat already in target condition",L13&lt;=M13),N13=0),"Check details - Is there evidence that habitat has reached target condition?",IF(M13&gt;0,"Check details - Is there evidence habitat creation started/in place?",IF(N13&gt;0,"Check details- Delay in starting habitat in required condition?","Standard time to target condition applied")))))</f>
        <v/>
      </c>
      <c r="P13" s="262" t="str">
        <f t="shared" ref="P13:P76" si="2">IF(LEFT(O13,5)="Error","Check Data",IF(L13="","",IF(M13="30+",0,IF(N13="30+","30+",IF(L13+N13&gt;30,"30+",IF(L13+N13-M13&gt;0,L13+N13-M13,IF(L13-M13&lt;0,0,L13+N13-M13)))))))</f>
        <v/>
      </c>
      <c r="Q13" s="382" t="str">
        <f>IFERROR(IF(P13="Check Data","Check Data",VLOOKUP(P13,'G-4 Temporal multipliers'!$A$4:$C$37,3,FALSE)),"")</f>
        <v/>
      </c>
      <c r="R13" s="171" t="str">
        <f>IF(C13="","",VLOOKUP(C13,'G-7 Rivers Data'!$B$4:$G$8,4,FALSE))</f>
        <v/>
      </c>
      <c r="S13" s="179" t="str">
        <f t="shared" ref="S13:S76" si="3">IF(C13="","",IF(P13="Check Data","Check Data",IF(G13="","",IF($O13="Check details - Is there evidence that habitat has reached target condition?","No - Low Difficulty - only applicable if all habitat created before losses","Standard difficulty applied"))))</f>
        <v/>
      </c>
      <c r="T13" s="269" t="str">
        <f t="shared" ref="T13:T76" si="4">(IF(AND(S13="Standard difficulty applied",L13&gt;M13),R13,IF(AND(S13="No - Low Difficulty - only applicable if all habitat created before losses",M13&gt;=L13),"Low",R13)))</f>
        <v/>
      </c>
      <c r="U13" s="172" t="str">
        <f t="shared" ref="U13:U76" si="5">IF(C13="","",VLOOKUP(R13,Difficulty,2,FALSE))</f>
        <v/>
      </c>
      <c r="V13" s="79"/>
      <c r="W13" s="172" t="str">
        <f>IF(V13="","",IF(VLOOKUP(V13,'G-7 Rivers Data'!$AA$4:$AB$7,2,FALSE)=0,"Spatial Data Missing",VLOOKUP(V13,'G-7 Rivers Data'!$AA$4:$AB$7,2,FALSE)))</f>
        <v/>
      </c>
      <c r="X13" s="90"/>
      <c r="Y13" s="172" t="str">
        <f>IF(X13="","",IF(VLOOKUP(X13,'G-7 Rivers Data'!$AD$4:$AE$8,2,FALSE)=0,"Enrcoachment Data Missing",VLOOKUP(X13,'G-7 Rivers Data'!$AD$4:$AE$8,2,FALSE)))</f>
        <v/>
      </c>
      <c r="Z13" s="174"/>
      <c r="AA13" s="176" t="str">
        <f>IF(Z13="","",VLOOKUP(Z13,'G-7 Rivers Data'!$AO$4:$AP$7,2,FALSE))</f>
        <v/>
      </c>
      <c r="AB13" s="265" t="str">
        <f t="shared" ref="AB13:AB76" si="6">IFERROR(D13*F13*H13*K13*Q13*U13*W13*Y13*AA13,"")</f>
        <v/>
      </c>
      <c r="AC13" s="355"/>
      <c r="AD13" s="356"/>
      <c r="AK13" s="35" t="str">
        <f>IFERROR(INDEX('G-7 Rivers Data'!$AZ$3:$AZ$7,MATCH(C13,'G-7 Rivers Data'!$AY$3:$AY$7,0)),"")</f>
        <v/>
      </c>
    </row>
    <row r="14" spans="2:37" ht="13.8" x14ac:dyDescent="0.25">
      <c r="B14" s="168">
        <v>3</v>
      </c>
      <c r="C14" s="169"/>
      <c r="D14" s="76"/>
      <c r="E14" s="171" t="str">
        <f>IF(C14="","",VLOOKUP(C14,'G-7 Rivers Data'!$B$2:$Z$9,2,FALSE))</f>
        <v/>
      </c>
      <c r="F14" s="172" t="str">
        <f>IFERROR(VLOOKUP(E14,'G-7 Rivers Data'!$C$4:$D$8,2,FALSE),"")</f>
        <v/>
      </c>
      <c r="G14" s="79"/>
      <c r="H14" s="172" t="str">
        <f>IFERROR(INDEX('G-7 Rivers Data'!$H$4:$L$8,MATCH(C14,'G-7 Rivers Data'!$B$4:$B$8,0),MATCH(G14,'G-7 Rivers Data'!$H$3:$L$3,0)),"")</f>
        <v/>
      </c>
      <c r="I14" s="79"/>
      <c r="J14" s="269" t="str">
        <f>IF(I14="","",IF(VLOOKUP(I14,'G-7 Rivers Data'!$AG$4:$AI$9,2,FALSE)=0,"Spatial Data Missing",VLOOKUP(I14,'G-7 Rivers Data'!$AG$4:$AI$9,2,FALSE)))</f>
        <v/>
      </c>
      <c r="K14" s="172" t="str">
        <f>IF(I14="","",IF(VLOOKUP(I14,'G-7 Rivers Data'!$AG$4:$AI$9,3,FALSE)=0,"Spatial Data Missing",VLOOKUP(I14,'G-7 Rivers Data'!$AG$4:$AI$9,3,FALSE)))</f>
        <v/>
      </c>
      <c r="L14" s="384" t="str">
        <f>IFERROR(INDEX('G-7 Rivers Data'!$O$3:$O$7,MATCH(G14,'G-7 Rivers Data'!$N$3:$N$7,0)),"")</f>
        <v/>
      </c>
      <c r="M14" s="82"/>
      <c r="N14" s="94"/>
      <c r="O14" s="179" t="str">
        <f t="shared" si="1"/>
        <v/>
      </c>
      <c r="P14" s="262" t="str">
        <f t="shared" si="2"/>
        <v/>
      </c>
      <c r="Q14" s="382" t="str">
        <f>IFERROR(IF(P14="Check Data","Check Data",VLOOKUP(P14,'G-4 Temporal multipliers'!$A$4:$C$37,3,FALSE)),"")</f>
        <v/>
      </c>
      <c r="R14" s="171" t="str">
        <f>IF(C14="","",VLOOKUP(C14,'G-7 Rivers Data'!$B$4:$G$8,4,FALSE))</f>
        <v/>
      </c>
      <c r="S14" s="179" t="str">
        <f t="shared" si="3"/>
        <v/>
      </c>
      <c r="T14" s="269" t="str">
        <f t="shared" si="4"/>
        <v/>
      </c>
      <c r="U14" s="172" t="str">
        <f t="shared" si="5"/>
        <v/>
      </c>
      <c r="V14" s="79"/>
      <c r="W14" s="172" t="str">
        <f>IF(V14="","",IF(VLOOKUP(V14,'G-7 Rivers Data'!$AA$4:$AB$7,2,FALSE)=0,"Spatial Data Missing",VLOOKUP(V14,'G-7 Rivers Data'!$AA$4:$AB$7,2,FALSE)))</f>
        <v/>
      </c>
      <c r="X14" s="90"/>
      <c r="Y14" s="172" t="str">
        <f>IF(X14="","",IF(VLOOKUP(X14,'G-7 Rivers Data'!$AD$4:$AE$8,2,FALSE)=0,"Enrcoachment Data Missing",VLOOKUP(X14,'G-7 Rivers Data'!$AD$4:$AE$8,2,FALSE)))</f>
        <v/>
      </c>
      <c r="Z14" s="174"/>
      <c r="AA14" s="176" t="str">
        <f>IF(Z14="","",VLOOKUP(Z14,'G-7 Rivers Data'!$AO$4:$AP$7,2,FALSE))</f>
        <v/>
      </c>
      <c r="AB14" s="265" t="str">
        <f t="shared" si="6"/>
        <v/>
      </c>
      <c r="AC14" s="355"/>
      <c r="AD14" s="356"/>
      <c r="AK14" s="35" t="str">
        <f>IFERROR(INDEX('G-7 Rivers Data'!$AZ$3:$AZ$7,MATCH(C14,'G-7 Rivers Data'!$AY$3:$AY$7,0)),"")</f>
        <v/>
      </c>
    </row>
    <row r="15" spans="2:37" ht="13.8" x14ac:dyDescent="0.25">
      <c r="B15" s="168">
        <v>4</v>
      </c>
      <c r="C15" s="169"/>
      <c r="D15" s="76"/>
      <c r="E15" s="171" t="str">
        <f>IF(C15="","",VLOOKUP(C15,'G-7 Rivers Data'!$B$2:$Z$9,2,FALSE))</f>
        <v/>
      </c>
      <c r="F15" s="172" t="str">
        <f>IFERROR(VLOOKUP(E15,'G-7 Rivers Data'!$C$4:$D$8,2,FALSE),"")</f>
        <v/>
      </c>
      <c r="G15" s="79"/>
      <c r="H15" s="172" t="str">
        <f>IFERROR(INDEX('G-7 Rivers Data'!$H$4:$L$8,MATCH(C15,'G-7 Rivers Data'!$B$4:$B$8,0),MATCH(G15,'G-7 Rivers Data'!$H$3:$L$3,0)),"")</f>
        <v/>
      </c>
      <c r="I15" s="79"/>
      <c r="J15" s="269" t="str">
        <f>IF(I15="","",IF(VLOOKUP(I15,'G-7 Rivers Data'!$AG$4:$AI$9,2,FALSE)=0,"Spatial Data Missing",VLOOKUP(I15,'G-7 Rivers Data'!$AG$4:$AI$9,2,FALSE)))</f>
        <v/>
      </c>
      <c r="K15" s="172" t="str">
        <f>IF(I15="","",IF(VLOOKUP(I15,'G-7 Rivers Data'!$AG$4:$AI$9,3,FALSE)=0,"Spatial Data Missing",VLOOKUP(I15,'G-7 Rivers Data'!$AG$4:$AI$9,3,FALSE)))</f>
        <v/>
      </c>
      <c r="L15" s="384" t="str">
        <f>IFERROR(INDEX('G-7 Rivers Data'!$O$3:$O$7,MATCH(G15,'G-7 Rivers Data'!$N$3:$N$7,0)),"")</f>
        <v/>
      </c>
      <c r="M15" s="82"/>
      <c r="N15" s="94"/>
      <c r="O15" s="179" t="str">
        <f t="shared" si="1"/>
        <v/>
      </c>
      <c r="P15" s="262" t="str">
        <f t="shared" si="2"/>
        <v/>
      </c>
      <c r="Q15" s="382" t="str">
        <f>IFERROR(IF(P15="Check Data","Check Data",VLOOKUP(P15,'G-4 Temporal multipliers'!$A$4:$C$37,3,FALSE)),"")</f>
        <v/>
      </c>
      <c r="R15" s="171" t="str">
        <f>IF(C15="","",VLOOKUP(C15,'G-7 Rivers Data'!$B$4:$G$8,4,FALSE))</f>
        <v/>
      </c>
      <c r="S15" s="179" t="str">
        <f t="shared" si="3"/>
        <v/>
      </c>
      <c r="T15" s="269" t="str">
        <f t="shared" si="4"/>
        <v/>
      </c>
      <c r="U15" s="172" t="str">
        <f t="shared" si="5"/>
        <v/>
      </c>
      <c r="V15" s="79"/>
      <c r="W15" s="172" t="str">
        <f>IF(V15="","",IF(VLOOKUP(V15,'G-7 Rivers Data'!$AA$4:$AB$7,2,FALSE)=0,"Spatial Data Missing",VLOOKUP(V15,'G-7 Rivers Data'!$AA$4:$AB$7,2,FALSE)))</f>
        <v/>
      </c>
      <c r="X15" s="90"/>
      <c r="Y15" s="172" t="str">
        <f>IF(X15="","",IF(VLOOKUP(X15,'G-7 Rivers Data'!$AD$4:$AE$8,2,FALSE)=0,"Enrcoachment Data Missing",VLOOKUP(X15,'G-7 Rivers Data'!$AD$4:$AE$8,2,FALSE)))</f>
        <v/>
      </c>
      <c r="Z15" s="174"/>
      <c r="AA15" s="176" t="str">
        <f>IF(Z15="","",VLOOKUP(Z15,'G-7 Rivers Data'!$AO$4:$AP$7,2,FALSE))</f>
        <v/>
      </c>
      <c r="AB15" s="265" t="str">
        <f t="shared" si="6"/>
        <v/>
      </c>
      <c r="AC15" s="355"/>
      <c r="AD15" s="356"/>
      <c r="AK15" s="35" t="str">
        <f>IFERROR(INDEX('G-7 Rivers Data'!$AZ$3:$AZ$7,MATCH(C15,'G-7 Rivers Data'!$AY$3:$AY$7,0)),"")</f>
        <v/>
      </c>
    </row>
    <row r="16" spans="2:37" ht="13.8" x14ac:dyDescent="0.25">
      <c r="B16" s="168">
        <v>5</v>
      </c>
      <c r="C16" s="184"/>
      <c r="D16" s="213"/>
      <c r="E16" s="171" t="str">
        <f>IF(C16="","",VLOOKUP(C16,'G-7 Rivers Data'!$B$2:$Z$9,2,FALSE))</f>
        <v/>
      </c>
      <c r="F16" s="172" t="str">
        <f>IFERROR(VLOOKUP(E16,'G-7 Rivers Data'!$C$4:$D$8,2,FALSE),"")</f>
        <v/>
      </c>
      <c r="G16" s="173"/>
      <c r="H16" s="172" t="str">
        <f>IFERROR(INDEX('G-7 Rivers Data'!$H$4:$L$8,MATCH(C16,'G-7 Rivers Data'!$B$4:$B$8,0),MATCH(G16,'G-7 Rivers Data'!$H$3:$L$3,0)),"")</f>
        <v/>
      </c>
      <c r="I16" s="79"/>
      <c r="J16" s="269" t="str">
        <f>IF(I16="","",IF(VLOOKUP(I16,'G-7 Rivers Data'!$AG$4:$AI$9,2,FALSE)=0,"Spatial Data Missing",VLOOKUP(I16,'G-7 Rivers Data'!$AG$4:$AI$9,2,FALSE)))</f>
        <v/>
      </c>
      <c r="K16" s="172" t="str">
        <f>IF(I16="","",IF(VLOOKUP(I16,'G-7 Rivers Data'!$AG$4:$AI$9,3,FALSE)=0,"Spatial Data Missing",VLOOKUP(I16,'G-7 Rivers Data'!$AG$4:$AI$9,3,FALSE)))</f>
        <v/>
      </c>
      <c r="L16" s="384" t="str">
        <f>IFERROR(INDEX('G-7 Rivers Data'!$O$3:$O$7,MATCH(G16,'G-7 Rivers Data'!$N$3:$N$7,0)),"")</f>
        <v/>
      </c>
      <c r="M16" s="82"/>
      <c r="N16" s="261"/>
      <c r="O16" s="179" t="str">
        <f t="shared" si="1"/>
        <v/>
      </c>
      <c r="P16" s="262" t="str">
        <f t="shared" si="2"/>
        <v/>
      </c>
      <c r="Q16" s="382" t="str">
        <f>IFERROR(IF(P16="Check Data","Check Data",VLOOKUP(P16,'G-4 Temporal multipliers'!$A$4:$C$37,3,FALSE)),"")</f>
        <v/>
      </c>
      <c r="R16" s="171" t="str">
        <f>IF(C16="","",VLOOKUP(C16,'G-7 Rivers Data'!$B$4:$G$8,4,FALSE))</f>
        <v/>
      </c>
      <c r="S16" s="179" t="str">
        <f t="shared" si="3"/>
        <v/>
      </c>
      <c r="T16" s="269" t="str">
        <f t="shared" si="4"/>
        <v/>
      </c>
      <c r="U16" s="172" t="str">
        <f t="shared" si="5"/>
        <v/>
      </c>
      <c r="V16" s="79"/>
      <c r="W16" s="172" t="str">
        <f>IF(V16="","",IF(VLOOKUP(V16,'G-7 Rivers Data'!$AA$4:$AB$7,2,FALSE)=0,"Spatial Data Missing",VLOOKUP(V16,'G-7 Rivers Data'!$AA$4:$AB$7,2,FALSE)))</f>
        <v/>
      </c>
      <c r="X16" s="90"/>
      <c r="Y16" s="172" t="str">
        <f>IF(X16="","",IF(VLOOKUP(X16,'G-7 Rivers Data'!$AD$4:$AE$8,2,FALSE)=0,"Enrcoachment Data Missing",VLOOKUP(X16,'G-7 Rivers Data'!$AD$4:$AE$8,2,FALSE)))</f>
        <v/>
      </c>
      <c r="Z16" s="174"/>
      <c r="AA16" s="176" t="str">
        <f>IF(Z16="","",VLOOKUP(Z16,'G-7 Rivers Data'!$AO$4:$AP$7,2,FALSE))</f>
        <v/>
      </c>
      <c r="AB16" s="265" t="str">
        <f t="shared" si="6"/>
        <v/>
      </c>
      <c r="AC16" s="180"/>
      <c r="AD16" s="181"/>
      <c r="AK16" s="35" t="str">
        <f>IFERROR(INDEX('G-7 Rivers Data'!$AZ$3:$AZ$7,MATCH(C16,'G-7 Rivers Data'!$AY$3:$AY$7,0)),"")</f>
        <v/>
      </c>
    </row>
    <row r="17" spans="2:37" ht="13.8" x14ac:dyDescent="0.25">
      <c r="B17" s="168">
        <v>6</v>
      </c>
      <c r="C17" s="184"/>
      <c r="D17" s="213"/>
      <c r="E17" s="171" t="str">
        <f>IF(C17="","",VLOOKUP(C17,'G-7 Rivers Data'!$B$2:$Z$9,2,FALSE))</f>
        <v/>
      </c>
      <c r="F17" s="172" t="str">
        <f>IFERROR(VLOOKUP(E17,'G-7 Rivers Data'!$C$4:$D$8,2,FALSE),"")</f>
        <v/>
      </c>
      <c r="G17" s="173"/>
      <c r="H17" s="172" t="str">
        <f>IFERROR(INDEX('G-7 Rivers Data'!$H$4:$L$8,MATCH(C17,'G-7 Rivers Data'!$B$4:$B$8,0),MATCH(G17,'G-7 Rivers Data'!$H$3:$L$3,0)),"")</f>
        <v/>
      </c>
      <c r="I17" s="173"/>
      <c r="J17" s="269" t="str">
        <f>IF(I17="","",IF(VLOOKUP(I17,'G-7 Rivers Data'!$AG$4:$AI$9,2,FALSE)=0,"Spatial Data Missing",VLOOKUP(I17,'G-7 Rivers Data'!$AG$4:$AI$9,2,FALSE)))</f>
        <v/>
      </c>
      <c r="K17" s="172" t="str">
        <f>IF(I17="","",IF(VLOOKUP(I17,'G-7 Rivers Data'!$AG$4:$AI$9,3,FALSE)=0,"Spatial Data Missing",VLOOKUP(I17,'G-7 Rivers Data'!$AG$4:$AI$9,3,FALSE)))</f>
        <v/>
      </c>
      <c r="L17" s="384" t="str">
        <f>IFERROR(INDEX('G-7 Rivers Data'!$O$3:$O$7,MATCH(G17,'G-7 Rivers Data'!$N$3:$N$7,0)),"")</f>
        <v/>
      </c>
      <c r="M17" s="82"/>
      <c r="N17" s="261"/>
      <c r="O17" s="179" t="str">
        <f t="shared" si="1"/>
        <v/>
      </c>
      <c r="P17" s="262" t="str">
        <f t="shared" si="2"/>
        <v/>
      </c>
      <c r="Q17" s="382" t="str">
        <f>IFERROR(IF(P17="Check Data","Check Data",VLOOKUP(P17,'G-4 Temporal multipliers'!$A$4:$C$37,3,FALSE)),"")</f>
        <v/>
      </c>
      <c r="R17" s="171" t="str">
        <f>IF(C17="","",VLOOKUP(C17,'G-7 Rivers Data'!$B$4:$G$8,4,FALSE))</f>
        <v/>
      </c>
      <c r="S17" s="179" t="str">
        <f t="shared" si="3"/>
        <v/>
      </c>
      <c r="T17" s="269" t="str">
        <f t="shared" si="4"/>
        <v/>
      </c>
      <c r="U17" s="172" t="str">
        <f t="shared" si="5"/>
        <v/>
      </c>
      <c r="V17" s="79"/>
      <c r="W17" s="172" t="str">
        <f>IF(V17="","",IF(VLOOKUP(V17,'G-7 Rivers Data'!$AA$4:$AB$7,2,FALSE)=0,"Spatial Data Missing",VLOOKUP(V17,'G-7 Rivers Data'!$AA$4:$AB$7,2,FALSE)))</f>
        <v/>
      </c>
      <c r="X17" s="187"/>
      <c r="Y17" s="172" t="str">
        <f>IF(X17="","",IF(VLOOKUP(X17,'G-7 Rivers Data'!$AD$4:$AE$8,2,FALSE)=0,"Enrcoachment Data Missing",VLOOKUP(X17,'G-7 Rivers Data'!$AD$4:$AE$8,2,FALSE)))</f>
        <v/>
      </c>
      <c r="Z17" s="186"/>
      <c r="AA17" s="176" t="str">
        <f>IF(Z17="","",VLOOKUP(Z17,'G-7 Rivers Data'!$AO$4:$AP$7,2,FALSE))</f>
        <v/>
      </c>
      <c r="AB17" s="265" t="str">
        <f t="shared" si="6"/>
        <v/>
      </c>
      <c r="AC17" s="180"/>
      <c r="AD17" s="181"/>
      <c r="AK17" s="35" t="str">
        <f>IFERROR(INDEX('G-7 Rivers Data'!$AZ$3:$AZ$7,MATCH(C17,'G-7 Rivers Data'!$AY$3:$AY$7,0)),"")</f>
        <v/>
      </c>
    </row>
    <row r="18" spans="2:37" ht="13.8" x14ac:dyDescent="0.25">
      <c r="B18" s="168">
        <v>7</v>
      </c>
      <c r="C18" s="184"/>
      <c r="D18" s="213"/>
      <c r="E18" s="171" t="str">
        <f>IF(C18="","",VLOOKUP(C18,'G-7 Rivers Data'!$B$2:$Z$9,2,FALSE))</f>
        <v/>
      </c>
      <c r="F18" s="172" t="str">
        <f>IFERROR(VLOOKUP(E18,'G-7 Rivers Data'!$C$4:$D$8,2,FALSE),"")</f>
        <v/>
      </c>
      <c r="G18" s="173"/>
      <c r="H18" s="172" t="str">
        <f>IFERROR(INDEX('G-7 Rivers Data'!$H$4:$L$8,MATCH(C18,'G-7 Rivers Data'!$B$4:$B$8,0),MATCH(G18,'G-7 Rivers Data'!$H$3:$L$3,0)),"")</f>
        <v/>
      </c>
      <c r="I18" s="173"/>
      <c r="J18" s="269" t="str">
        <f>IF(I18="","",IF(VLOOKUP(I18,'G-7 Rivers Data'!$AG$4:$AI$9,2,FALSE)=0,"Spatial Data Missing",VLOOKUP(I18,'G-7 Rivers Data'!$AG$4:$AI$9,2,FALSE)))</f>
        <v/>
      </c>
      <c r="K18" s="172" t="str">
        <f>IF(I18="","",IF(VLOOKUP(I18,'G-7 Rivers Data'!$AG$4:$AI$9,3,FALSE)=0,"Spatial Data Missing",VLOOKUP(I18,'G-7 Rivers Data'!$AG$4:$AI$9,3,FALSE)))</f>
        <v/>
      </c>
      <c r="L18" s="384" t="str">
        <f>IFERROR(INDEX('G-7 Rivers Data'!$O$3:$O$7,MATCH(G18,'G-7 Rivers Data'!$N$3:$N$7,0)),"")</f>
        <v/>
      </c>
      <c r="M18" s="82"/>
      <c r="N18" s="261"/>
      <c r="O18" s="179" t="str">
        <f t="shared" si="1"/>
        <v/>
      </c>
      <c r="P18" s="262" t="str">
        <f t="shared" si="2"/>
        <v/>
      </c>
      <c r="Q18" s="382" t="str">
        <f>IFERROR(IF(P18="Check Data","Check Data",VLOOKUP(P18,'G-4 Temporal multipliers'!$A$4:$C$37,3,FALSE)),"")</f>
        <v/>
      </c>
      <c r="R18" s="171" t="str">
        <f>IF(C18="","",VLOOKUP(C18,'G-7 Rivers Data'!$B$4:$G$8,4,FALSE))</f>
        <v/>
      </c>
      <c r="S18" s="179" t="str">
        <f t="shared" si="3"/>
        <v/>
      </c>
      <c r="T18" s="269" t="str">
        <f t="shared" si="4"/>
        <v/>
      </c>
      <c r="U18" s="172" t="str">
        <f t="shared" si="5"/>
        <v/>
      </c>
      <c r="V18" s="79"/>
      <c r="W18" s="172" t="str">
        <f>IF(V18="","",IF(VLOOKUP(V18,'G-7 Rivers Data'!$AA$4:$AB$7,2,FALSE)=0,"Spatial Data Missing",VLOOKUP(V18,'G-7 Rivers Data'!$AA$4:$AB$7,2,FALSE)))</f>
        <v/>
      </c>
      <c r="X18" s="187"/>
      <c r="Y18" s="172" t="str">
        <f>IF(X18="","",IF(VLOOKUP(X18,'G-7 Rivers Data'!$AD$4:$AE$8,2,FALSE)=0,"Enrcoachment Data Missing",VLOOKUP(X18,'G-7 Rivers Data'!$AD$4:$AE$8,2,FALSE)))</f>
        <v/>
      </c>
      <c r="Z18" s="186"/>
      <c r="AA18" s="176" t="str">
        <f>IF(Z18="","",VLOOKUP(Z18,'G-7 Rivers Data'!$AO$4:$AP$7,2,FALSE))</f>
        <v/>
      </c>
      <c r="AB18" s="265" t="str">
        <f t="shared" si="6"/>
        <v/>
      </c>
      <c r="AC18" s="180"/>
      <c r="AD18" s="181"/>
      <c r="AK18" s="35" t="str">
        <f>IFERROR(INDEX('G-7 Rivers Data'!$AZ$3:$AZ$7,MATCH(C18,'G-7 Rivers Data'!$AY$3:$AY$7,0)),"")</f>
        <v/>
      </c>
    </row>
    <row r="19" spans="2:37" ht="13.8" x14ac:dyDescent="0.25">
      <c r="B19" s="168">
        <v>8</v>
      </c>
      <c r="C19" s="184"/>
      <c r="D19" s="213"/>
      <c r="E19" s="171" t="str">
        <f>IF(C19="","",VLOOKUP(C19,'G-7 Rivers Data'!$B$2:$Z$9,2,FALSE))</f>
        <v/>
      </c>
      <c r="F19" s="172" t="str">
        <f>IFERROR(VLOOKUP(E19,'G-7 Rivers Data'!$C$4:$D$8,2,FALSE),"")</f>
        <v/>
      </c>
      <c r="G19" s="173"/>
      <c r="H19" s="172" t="str">
        <f>IFERROR(INDEX('G-7 Rivers Data'!$H$4:$L$8,MATCH(C19,'G-7 Rivers Data'!$B$4:$B$8,0),MATCH(G19,'G-7 Rivers Data'!$H$3:$L$3,0)),"")</f>
        <v/>
      </c>
      <c r="I19" s="173"/>
      <c r="J19" s="269" t="str">
        <f>IF(I19="","",IF(VLOOKUP(I19,'G-7 Rivers Data'!$AG$4:$AI$9,2,FALSE)=0,"Spatial Data Missing",VLOOKUP(I19,'G-7 Rivers Data'!$AG$4:$AI$9,2,FALSE)))</f>
        <v/>
      </c>
      <c r="K19" s="172" t="str">
        <f>IF(I19="","",IF(VLOOKUP(I19,'G-7 Rivers Data'!$AG$4:$AI$9,3,FALSE)=0,"Spatial Data Missing",VLOOKUP(I19,'G-7 Rivers Data'!$AG$4:$AI$9,3,FALSE)))</f>
        <v/>
      </c>
      <c r="L19" s="384" t="str">
        <f>IFERROR(INDEX('G-7 Rivers Data'!$O$3:$O$7,MATCH(G19,'G-7 Rivers Data'!$N$3:$N$7,0)),"")</f>
        <v/>
      </c>
      <c r="M19" s="82"/>
      <c r="N19" s="261"/>
      <c r="O19" s="179" t="str">
        <f t="shared" si="1"/>
        <v/>
      </c>
      <c r="P19" s="262" t="str">
        <f t="shared" si="2"/>
        <v/>
      </c>
      <c r="Q19" s="382" t="str">
        <f>IFERROR(IF(P19="Check Data","Check Data",VLOOKUP(P19,'G-4 Temporal multipliers'!$A$4:$C$37,3,FALSE)),"")</f>
        <v/>
      </c>
      <c r="R19" s="171" t="str">
        <f>IF(C19="","",VLOOKUP(C19,'G-7 Rivers Data'!$B$4:$G$8,4,FALSE))</f>
        <v/>
      </c>
      <c r="S19" s="179" t="str">
        <f t="shared" si="3"/>
        <v/>
      </c>
      <c r="T19" s="269" t="str">
        <f t="shared" si="4"/>
        <v/>
      </c>
      <c r="U19" s="172" t="str">
        <f t="shared" si="5"/>
        <v/>
      </c>
      <c r="V19" s="79"/>
      <c r="W19" s="172" t="str">
        <f>IF(V19="","",IF(VLOOKUP(V19,'G-7 Rivers Data'!$AA$4:$AB$7,2,FALSE)=0,"Spatial Data Missing",VLOOKUP(V19,'G-7 Rivers Data'!$AA$4:$AB$7,2,FALSE)))</f>
        <v/>
      </c>
      <c r="X19" s="187"/>
      <c r="Y19" s="172" t="str">
        <f>IF(X19="","",IF(VLOOKUP(X19,'G-7 Rivers Data'!$AD$4:$AE$8,2,FALSE)=0,"Enrcoachment Data Missing",VLOOKUP(X19,'G-7 Rivers Data'!$AD$4:$AE$8,2,FALSE)))</f>
        <v/>
      </c>
      <c r="Z19" s="186"/>
      <c r="AA19" s="176" t="str">
        <f>IF(Z19="","",VLOOKUP(Z19,'G-7 Rivers Data'!$AO$4:$AP$7,2,FALSE))</f>
        <v/>
      </c>
      <c r="AB19" s="265" t="str">
        <f t="shared" si="6"/>
        <v/>
      </c>
      <c r="AC19" s="180"/>
      <c r="AD19" s="181"/>
      <c r="AK19" s="35" t="str">
        <f>IFERROR(INDEX('G-7 Rivers Data'!$AZ$3:$AZ$7,MATCH(C19,'G-7 Rivers Data'!$AY$3:$AY$7,0)),"")</f>
        <v/>
      </c>
    </row>
    <row r="20" spans="2:37" ht="13.8" x14ac:dyDescent="0.25">
      <c r="B20" s="168">
        <v>9</v>
      </c>
      <c r="C20" s="184"/>
      <c r="D20" s="213"/>
      <c r="E20" s="171" t="str">
        <f>IF(C20="","",VLOOKUP(C20,'G-7 Rivers Data'!$B$2:$Z$9,2,FALSE))</f>
        <v/>
      </c>
      <c r="F20" s="172" t="str">
        <f>IFERROR(VLOOKUP(E20,'G-7 Rivers Data'!$C$4:$D$8,2,FALSE),"")</f>
        <v/>
      </c>
      <c r="G20" s="173"/>
      <c r="H20" s="172" t="str">
        <f>IFERROR(INDEX('G-7 Rivers Data'!$H$4:$L$8,MATCH(C20,'G-7 Rivers Data'!$B$4:$B$8,0),MATCH(G20,'G-7 Rivers Data'!$H$3:$L$3,0)),"")</f>
        <v/>
      </c>
      <c r="I20" s="173"/>
      <c r="J20" s="269" t="str">
        <f>IF(I20="","",IF(VLOOKUP(I20,'G-7 Rivers Data'!$AG$4:$AI$9,2,FALSE)=0,"Spatial Data Missing",VLOOKUP(I20,'G-7 Rivers Data'!$AG$4:$AI$9,2,FALSE)))</f>
        <v/>
      </c>
      <c r="K20" s="172" t="str">
        <f>IF(I20="","",IF(VLOOKUP(I20,'G-7 Rivers Data'!$AG$4:$AI$9,3,FALSE)=0,"Spatial Data Missing",VLOOKUP(I20,'G-7 Rivers Data'!$AG$4:$AI$9,3,FALSE)))</f>
        <v/>
      </c>
      <c r="L20" s="384" t="str">
        <f>IFERROR(INDEX('G-7 Rivers Data'!$O$3:$O$7,MATCH(G20,'G-7 Rivers Data'!$N$3:$N$7,0)),"")</f>
        <v/>
      </c>
      <c r="M20" s="82"/>
      <c r="N20" s="261"/>
      <c r="O20" s="179" t="str">
        <f t="shared" si="1"/>
        <v/>
      </c>
      <c r="P20" s="262" t="str">
        <f t="shared" si="2"/>
        <v/>
      </c>
      <c r="Q20" s="382" t="str">
        <f>IFERROR(IF(P20="Check Data","Check Data",VLOOKUP(P20,'G-4 Temporal multipliers'!$A$4:$C$37,3,FALSE)),"")</f>
        <v/>
      </c>
      <c r="R20" s="171" t="str">
        <f>IF(C20="","",VLOOKUP(C20,'G-7 Rivers Data'!$B$4:$G$8,4,FALSE))</f>
        <v/>
      </c>
      <c r="S20" s="179" t="str">
        <f t="shared" si="3"/>
        <v/>
      </c>
      <c r="T20" s="269" t="str">
        <f t="shared" si="4"/>
        <v/>
      </c>
      <c r="U20" s="172" t="str">
        <f t="shared" si="5"/>
        <v/>
      </c>
      <c r="V20" s="79"/>
      <c r="W20" s="172" t="str">
        <f>IF(V20="","",IF(VLOOKUP(V20,'G-7 Rivers Data'!$AA$4:$AB$7,2,FALSE)=0,"Spatial Data Missing",VLOOKUP(V20,'G-7 Rivers Data'!$AA$4:$AB$7,2,FALSE)))</f>
        <v/>
      </c>
      <c r="X20" s="187"/>
      <c r="Y20" s="172" t="str">
        <f>IF(X20="","",IF(VLOOKUP(X20,'G-7 Rivers Data'!$AD$4:$AE$8,2,FALSE)=0,"Enrcoachment Data Missing",VLOOKUP(X20,'G-7 Rivers Data'!$AD$4:$AE$8,2,FALSE)))</f>
        <v/>
      </c>
      <c r="Z20" s="186"/>
      <c r="AA20" s="176" t="str">
        <f>IF(Z20="","",VLOOKUP(Z20,'G-7 Rivers Data'!$AO$4:$AP$7,2,FALSE))</f>
        <v/>
      </c>
      <c r="AB20" s="265" t="str">
        <f t="shared" si="6"/>
        <v/>
      </c>
      <c r="AC20" s="180"/>
      <c r="AD20" s="181"/>
      <c r="AK20" s="35" t="str">
        <f>IFERROR(INDEX('G-7 Rivers Data'!$AZ$3:$AZ$7,MATCH(C20,'G-7 Rivers Data'!$AY$3:$AY$7,0)),"")</f>
        <v/>
      </c>
    </row>
    <row r="21" spans="2:37" ht="13.8" x14ac:dyDescent="0.25">
      <c r="B21" s="168">
        <v>10</v>
      </c>
      <c r="C21" s="184"/>
      <c r="D21" s="213"/>
      <c r="E21" s="171" t="str">
        <f>IF(C21="","",VLOOKUP(C21,'G-7 Rivers Data'!$B$2:$Z$9,2,FALSE))</f>
        <v/>
      </c>
      <c r="F21" s="172" t="str">
        <f>IFERROR(VLOOKUP(E21,'G-7 Rivers Data'!$C$4:$D$8,2,FALSE),"")</f>
        <v/>
      </c>
      <c r="G21" s="173"/>
      <c r="H21" s="172" t="str">
        <f>IFERROR(INDEX('G-7 Rivers Data'!$H$4:$L$8,MATCH(C21,'G-7 Rivers Data'!$B$4:$B$8,0),MATCH(G21,'G-7 Rivers Data'!$H$3:$L$3,0)),"")</f>
        <v/>
      </c>
      <c r="I21" s="173"/>
      <c r="J21" s="269" t="str">
        <f>IF(I21="","",IF(VLOOKUP(I21,'G-7 Rivers Data'!$AG$4:$AI$9,2,FALSE)=0,"Spatial Data Missing",VLOOKUP(I21,'G-7 Rivers Data'!$AG$4:$AI$9,2,FALSE)))</f>
        <v/>
      </c>
      <c r="K21" s="172" t="str">
        <f>IF(I21="","",IF(VLOOKUP(I21,'G-7 Rivers Data'!$AG$4:$AI$9,3,FALSE)=0,"Spatial Data Missing",VLOOKUP(I21,'G-7 Rivers Data'!$AG$4:$AI$9,3,FALSE)))</f>
        <v/>
      </c>
      <c r="L21" s="384" t="str">
        <f>IFERROR(INDEX('G-7 Rivers Data'!$O$3:$O$7,MATCH(G21,'G-7 Rivers Data'!$N$3:$N$7,0)),"")</f>
        <v/>
      </c>
      <c r="M21" s="82"/>
      <c r="N21" s="261"/>
      <c r="O21" s="179" t="str">
        <f t="shared" si="1"/>
        <v/>
      </c>
      <c r="P21" s="262" t="str">
        <f t="shared" si="2"/>
        <v/>
      </c>
      <c r="Q21" s="382" t="str">
        <f>IFERROR(IF(P21="Check Data","Check Data",VLOOKUP(P21,'G-4 Temporal multipliers'!$A$4:$C$37,3,FALSE)),"")</f>
        <v/>
      </c>
      <c r="R21" s="171" t="str">
        <f>IF(C21="","",VLOOKUP(C21,'G-7 Rivers Data'!$B$4:$G$8,4,FALSE))</f>
        <v/>
      </c>
      <c r="S21" s="179" t="str">
        <f t="shared" si="3"/>
        <v/>
      </c>
      <c r="T21" s="269" t="str">
        <f t="shared" si="4"/>
        <v/>
      </c>
      <c r="U21" s="172" t="str">
        <f t="shared" si="5"/>
        <v/>
      </c>
      <c r="V21" s="79"/>
      <c r="W21" s="172" t="str">
        <f>IF(V21="","",IF(VLOOKUP(V21,'G-7 Rivers Data'!$AA$4:$AB$7,2,FALSE)=0,"Spatial Data Missing",VLOOKUP(V21,'G-7 Rivers Data'!$AA$4:$AB$7,2,FALSE)))</f>
        <v/>
      </c>
      <c r="X21" s="187"/>
      <c r="Y21" s="172" t="str">
        <f>IF(X21="","",IF(VLOOKUP(X21,'G-7 Rivers Data'!$AD$4:$AE$8,2,FALSE)=0,"Enrcoachment Data Missing",VLOOKUP(X21,'G-7 Rivers Data'!$AD$4:$AE$8,2,FALSE)))</f>
        <v/>
      </c>
      <c r="Z21" s="186"/>
      <c r="AA21" s="176" t="str">
        <f>IF(Z21="","",VLOOKUP(Z21,'G-7 Rivers Data'!$AO$4:$AP$7,2,FALSE))</f>
        <v/>
      </c>
      <c r="AB21" s="265" t="str">
        <f t="shared" si="6"/>
        <v/>
      </c>
      <c r="AC21" s="180"/>
      <c r="AD21" s="181"/>
      <c r="AK21" s="35" t="str">
        <f>IFERROR(INDEX('G-7 Rivers Data'!$AZ$3:$AZ$7,MATCH(C21,'G-7 Rivers Data'!$AY$3:$AY$7,0)),"")</f>
        <v/>
      </c>
    </row>
    <row r="22" spans="2:37" ht="13.8" x14ac:dyDescent="0.25">
      <c r="B22" s="168">
        <v>11</v>
      </c>
      <c r="C22" s="184"/>
      <c r="D22" s="213"/>
      <c r="E22" s="171" t="str">
        <f>IF(C22="","",VLOOKUP(C22,'G-7 Rivers Data'!$B$2:$Z$9,2,FALSE))</f>
        <v/>
      </c>
      <c r="F22" s="172" t="str">
        <f>IFERROR(VLOOKUP(E22,'G-7 Rivers Data'!$C$4:$D$8,2,FALSE),"")</f>
        <v/>
      </c>
      <c r="G22" s="173"/>
      <c r="H22" s="172" t="str">
        <f>IFERROR(INDEX('G-7 Rivers Data'!$H$4:$L$8,MATCH(C22,'G-7 Rivers Data'!$B$4:$B$8,0),MATCH(G22,'G-7 Rivers Data'!$H$3:$L$3,0)),"")</f>
        <v/>
      </c>
      <c r="I22" s="173"/>
      <c r="J22" s="269" t="str">
        <f>IF(I22="","",IF(VLOOKUP(I22,'G-7 Rivers Data'!$AG$4:$AI$9,2,FALSE)=0,"Spatial Data Missing",VLOOKUP(I22,'G-7 Rivers Data'!$AG$4:$AI$9,2,FALSE)))</f>
        <v/>
      </c>
      <c r="K22" s="172" t="str">
        <f>IF(I22="","",IF(VLOOKUP(I22,'G-7 Rivers Data'!$AG$4:$AI$9,3,FALSE)=0,"Spatial Data Missing",VLOOKUP(I22,'G-7 Rivers Data'!$AG$4:$AI$9,3,FALSE)))</f>
        <v/>
      </c>
      <c r="L22" s="384" t="str">
        <f>IFERROR(INDEX('G-7 Rivers Data'!$O$3:$O$7,MATCH(G22,'G-7 Rivers Data'!$N$3:$N$7,0)),"")</f>
        <v/>
      </c>
      <c r="M22" s="82"/>
      <c r="N22" s="261"/>
      <c r="O22" s="179" t="str">
        <f t="shared" si="1"/>
        <v/>
      </c>
      <c r="P22" s="262" t="str">
        <f t="shared" si="2"/>
        <v/>
      </c>
      <c r="Q22" s="382" t="str">
        <f>IFERROR(IF(P22="Check Data","Check Data",VLOOKUP(P22,'G-4 Temporal multipliers'!$A$4:$C$37,3,FALSE)),"")</f>
        <v/>
      </c>
      <c r="R22" s="171" t="str">
        <f>IF(C22="","",VLOOKUP(C22,'G-7 Rivers Data'!$B$4:$G$8,4,FALSE))</f>
        <v/>
      </c>
      <c r="S22" s="179" t="str">
        <f t="shared" si="3"/>
        <v/>
      </c>
      <c r="T22" s="269" t="str">
        <f t="shared" si="4"/>
        <v/>
      </c>
      <c r="U22" s="172" t="str">
        <f t="shared" si="5"/>
        <v/>
      </c>
      <c r="V22" s="79"/>
      <c r="W22" s="172" t="str">
        <f>IF(V22="","",IF(VLOOKUP(V22,'G-7 Rivers Data'!$AA$4:$AB$7,2,FALSE)=0,"Spatial Data Missing",VLOOKUP(V22,'G-7 Rivers Data'!$AA$4:$AB$7,2,FALSE)))</f>
        <v/>
      </c>
      <c r="X22" s="187"/>
      <c r="Y22" s="172" t="str">
        <f>IF(X22="","",IF(VLOOKUP(X22,'G-7 Rivers Data'!$AD$4:$AE$8,2,FALSE)=0,"Enrcoachment Data Missing",VLOOKUP(X22,'G-7 Rivers Data'!$AD$4:$AE$8,2,FALSE)))</f>
        <v/>
      </c>
      <c r="Z22" s="186"/>
      <c r="AA22" s="176" t="str">
        <f>IF(Z22="","",VLOOKUP(Z22,'G-7 Rivers Data'!$AO$4:$AP$7,2,FALSE))</f>
        <v/>
      </c>
      <c r="AB22" s="265" t="str">
        <f t="shared" si="6"/>
        <v/>
      </c>
      <c r="AC22" s="180"/>
      <c r="AD22" s="181"/>
      <c r="AK22" s="35" t="str">
        <f>IFERROR(INDEX('G-7 Rivers Data'!$AZ$3:$AZ$7,MATCH(C22,'G-7 Rivers Data'!$AY$3:$AY$7,0)),"")</f>
        <v/>
      </c>
    </row>
    <row r="23" spans="2:37" ht="13.8" x14ac:dyDescent="0.25">
      <c r="B23" s="168">
        <v>12</v>
      </c>
      <c r="C23" s="184"/>
      <c r="D23" s="213"/>
      <c r="E23" s="171" t="str">
        <f>IF(C23="","",VLOOKUP(C23,'G-7 Rivers Data'!$B$2:$Z$9,2,FALSE))</f>
        <v/>
      </c>
      <c r="F23" s="172" t="str">
        <f>IFERROR(VLOOKUP(E23,'G-7 Rivers Data'!$C$4:$D$8,2,FALSE),"")</f>
        <v/>
      </c>
      <c r="G23" s="173"/>
      <c r="H23" s="172" t="str">
        <f>IFERROR(INDEX('G-7 Rivers Data'!$H$4:$L$8,MATCH(C23,'G-7 Rivers Data'!$B$4:$B$8,0),MATCH(G23,'G-7 Rivers Data'!$H$3:$L$3,0)),"")</f>
        <v/>
      </c>
      <c r="I23" s="173"/>
      <c r="J23" s="269" t="str">
        <f>IF(I23="","",IF(VLOOKUP(I23,'G-7 Rivers Data'!$AG$4:$AI$9,2,FALSE)=0,"Spatial Data Missing",VLOOKUP(I23,'G-7 Rivers Data'!$AG$4:$AI$9,2,FALSE)))</f>
        <v/>
      </c>
      <c r="K23" s="172" t="str">
        <f>IF(I23="","",IF(VLOOKUP(I23,'G-7 Rivers Data'!$AG$4:$AI$9,3,FALSE)=0,"Spatial Data Missing",VLOOKUP(I23,'G-7 Rivers Data'!$AG$4:$AI$9,3,FALSE)))</f>
        <v/>
      </c>
      <c r="L23" s="384" t="str">
        <f>IFERROR(INDEX('G-7 Rivers Data'!$O$3:$O$7,MATCH(G23,'G-7 Rivers Data'!$N$3:$N$7,0)),"")</f>
        <v/>
      </c>
      <c r="M23" s="82"/>
      <c r="N23" s="261"/>
      <c r="O23" s="179" t="str">
        <f t="shared" si="1"/>
        <v/>
      </c>
      <c r="P23" s="262" t="str">
        <f t="shared" si="2"/>
        <v/>
      </c>
      <c r="Q23" s="382" t="str">
        <f>IFERROR(IF(P23="Check Data","Check Data",VLOOKUP(P23,'G-4 Temporal multipliers'!$A$4:$C$37,3,FALSE)),"")</f>
        <v/>
      </c>
      <c r="R23" s="171" t="str">
        <f>IF(C23="","",VLOOKUP(C23,'G-7 Rivers Data'!$B$4:$G$8,4,FALSE))</f>
        <v/>
      </c>
      <c r="S23" s="179" t="str">
        <f t="shared" si="3"/>
        <v/>
      </c>
      <c r="T23" s="269" t="str">
        <f t="shared" si="4"/>
        <v/>
      </c>
      <c r="U23" s="172" t="str">
        <f t="shared" si="5"/>
        <v/>
      </c>
      <c r="V23" s="79"/>
      <c r="W23" s="172" t="str">
        <f>IF(V23="","",IF(VLOOKUP(V23,'G-7 Rivers Data'!$AA$4:$AB$7,2,FALSE)=0,"Spatial Data Missing",VLOOKUP(V23,'G-7 Rivers Data'!$AA$4:$AB$7,2,FALSE)))</f>
        <v/>
      </c>
      <c r="X23" s="187"/>
      <c r="Y23" s="172" t="str">
        <f>IF(X23="","",IF(VLOOKUP(X23,'G-7 Rivers Data'!$AD$4:$AE$8,2,FALSE)=0,"Enrcoachment Data Missing",VLOOKUP(X23,'G-7 Rivers Data'!$AD$4:$AE$8,2,FALSE)))</f>
        <v/>
      </c>
      <c r="Z23" s="186"/>
      <c r="AA23" s="176" t="str">
        <f>IF(Z23="","",VLOOKUP(Z23,'G-7 Rivers Data'!$AO$4:$AP$7,2,FALSE))</f>
        <v/>
      </c>
      <c r="AB23" s="265" t="str">
        <f t="shared" si="6"/>
        <v/>
      </c>
      <c r="AC23" s="180"/>
      <c r="AD23" s="181"/>
      <c r="AK23" s="35" t="str">
        <f>IFERROR(INDEX('G-7 Rivers Data'!$AZ$3:$AZ$7,MATCH(C23,'G-7 Rivers Data'!$AY$3:$AY$7,0)),"")</f>
        <v/>
      </c>
    </row>
    <row r="24" spans="2:37" ht="13.8" x14ac:dyDescent="0.25">
      <c r="B24" s="168">
        <v>13</v>
      </c>
      <c r="C24" s="184"/>
      <c r="D24" s="213"/>
      <c r="E24" s="171" t="str">
        <f>IF(C24="","",VLOOKUP(C24,'G-7 Rivers Data'!$B$2:$Z$9,2,FALSE))</f>
        <v/>
      </c>
      <c r="F24" s="172" t="str">
        <f>IFERROR(VLOOKUP(E24,'G-7 Rivers Data'!$C$4:$D$8,2,FALSE),"")</f>
        <v/>
      </c>
      <c r="G24" s="173"/>
      <c r="H24" s="172" t="str">
        <f>IFERROR(INDEX('G-7 Rivers Data'!$H$4:$L$8,MATCH(C24,'G-7 Rivers Data'!$B$4:$B$8,0),MATCH(G24,'G-7 Rivers Data'!$H$3:$L$3,0)),"")</f>
        <v/>
      </c>
      <c r="I24" s="173"/>
      <c r="J24" s="269" t="str">
        <f>IF(I24="","",IF(VLOOKUP(I24,'G-7 Rivers Data'!$AG$4:$AI$9,2,FALSE)=0,"Spatial Data Missing",VLOOKUP(I24,'G-7 Rivers Data'!$AG$4:$AI$9,2,FALSE)))</f>
        <v/>
      </c>
      <c r="K24" s="172" t="str">
        <f>IF(I24="","",IF(VLOOKUP(I24,'G-7 Rivers Data'!$AG$4:$AI$9,3,FALSE)=0,"Spatial Data Missing",VLOOKUP(I24,'G-7 Rivers Data'!$AG$4:$AI$9,3,FALSE)))</f>
        <v/>
      </c>
      <c r="L24" s="384" t="str">
        <f>IFERROR(INDEX('G-7 Rivers Data'!$O$3:$O$7,MATCH(G24,'G-7 Rivers Data'!$N$3:$N$7,0)),"")</f>
        <v/>
      </c>
      <c r="M24" s="82"/>
      <c r="N24" s="261"/>
      <c r="O24" s="179" t="str">
        <f t="shared" si="1"/>
        <v/>
      </c>
      <c r="P24" s="262" t="str">
        <f t="shared" si="2"/>
        <v/>
      </c>
      <c r="Q24" s="382" t="str">
        <f>IFERROR(IF(P24="Check Data","Check Data",VLOOKUP(P24,'G-4 Temporal multipliers'!$A$4:$C$37,3,FALSE)),"")</f>
        <v/>
      </c>
      <c r="R24" s="171" t="str">
        <f>IF(C24="","",VLOOKUP(C24,'G-7 Rivers Data'!$B$4:$G$8,4,FALSE))</f>
        <v/>
      </c>
      <c r="S24" s="179" t="str">
        <f t="shared" si="3"/>
        <v/>
      </c>
      <c r="T24" s="269" t="str">
        <f t="shared" si="4"/>
        <v/>
      </c>
      <c r="U24" s="172" t="str">
        <f t="shared" si="5"/>
        <v/>
      </c>
      <c r="V24" s="79"/>
      <c r="W24" s="172" t="str">
        <f>IF(V24="","",IF(VLOOKUP(V24,'G-7 Rivers Data'!$AA$4:$AB$7,2,FALSE)=0,"Spatial Data Missing",VLOOKUP(V24,'G-7 Rivers Data'!$AA$4:$AB$7,2,FALSE)))</f>
        <v/>
      </c>
      <c r="X24" s="187"/>
      <c r="Y24" s="172" t="str">
        <f>IF(X24="","",IF(VLOOKUP(X24,'G-7 Rivers Data'!$AD$4:$AE$8,2,FALSE)=0,"Enrcoachment Data Missing",VLOOKUP(X24,'G-7 Rivers Data'!$AD$4:$AE$8,2,FALSE)))</f>
        <v/>
      </c>
      <c r="Z24" s="186"/>
      <c r="AA24" s="176" t="str">
        <f>IF(Z24="","",VLOOKUP(Z24,'G-7 Rivers Data'!$AO$4:$AP$7,2,FALSE))</f>
        <v/>
      </c>
      <c r="AB24" s="265" t="str">
        <f t="shared" si="6"/>
        <v/>
      </c>
      <c r="AC24" s="180"/>
      <c r="AD24" s="181"/>
      <c r="AK24" s="35" t="str">
        <f>IFERROR(INDEX('G-7 Rivers Data'!$AZ$3:$AZ$7,MATCH(C24,'G-7 Rivers Data'!$AY$3:$AY$7,0)),"")</f>
        <v/>
      </c>
    </row>
    <row r="25" spans="2:37" ht="13.8" x14ac:dyDescent="0.25">
      <c r="B25" s="168">
        <v>14</v>
      </c>
      <c r="C25" s="184"/>
      <c r="D25" s="213"/>
      <c r="E25" s="171" t="str">
        <f>IF(C25="","",VLOOKUP(C25,'G-7 Rivers Data'!$B$2:$Z$9,2,FALSE))</f>
        <v/>
      </c>
      <c r="F25" s="172" t="str">
        <f>IFERROR(VLOOKUP(E25,'G-7 Rivers Data'!$C$4:$D$8,2,FALSE),"")</f>
        <v/>
      </c>
      <c r="G25" s="173"/>
      <c r="H25" s="172" t="str">
        <f>IFERROR(INDEX('G-7 Rivers Data'!$H$4:$L$8,MATCH(C25,'G-7 Rivers Data'!$B$4:$B$8,0),MATCH(G25,'G-7 Rivers Data'!$H$3:$L$3,0)),"")</f>
        <v/>
      </c>
      <c r="I25" s="173"/>
      <c r="J25" s="269" t="str">
        <f>IF(I25="","",IF(VLOOKUP(I25,'G-7 Rivers Data'!$AG$4:$AI$9,2,FALSE)=0,"Spatial Data Missing",VLOOKUP(I25,'G-7 Rivers Data'!$AG$4:$AI$9,2,FALSE)))</f>
        <v/>
      </c>
      <c r="K25" s="172" t="str">
        <f>IF(I25="","",IF(VLOOKUP(I25,'G-7 Rivers Data'!$AG$4:$AI$9,3,FALSE)=0,"Spatial Data Missing",VLOOKUP(I25,'G-7 Rivers Data'!$AG$4:$AI$9,3,FALSE)))</f>
        <v/>
      </c>
      <c r="L25" s="384" t="str">
        <f>IFERROR(INDEX('G-7 Rivers Data'!$O$3:$O$7,MATCH(G25,'G-7 Rivers Data'!$N$3:$N$7,0)),"")</f>
        <v/>
      </c>
      <c r="M25" s="82"/>
      <c r="N25" s="261"/>
      <c r="O25" s="179" t="str">
        <f t="shared" si="1"/>
        <v/>
      </c>
      <c r="P25" s="262" t="str">
        <f t="shared" si="2"/>
        <v/>
      </c>
      <c r="Q25" s="382" t="str">
        <f>IFERROR(IF(P25="Check Data","Check Data",VLOOKUP(P25,'G-4 Temporal multipliers'!$A$4:$C$37,3,FALSE)),"")</f>
        <v/>
      </c>
      <c r="R25" s="171" t="str">
        <f>IF(C25="","",VLOOKUP(C25,'G-7 Rivers Data'!$B$4:$G$8,4,FALSE))</f>
        <v/>
      </c>
      <c r="S25" s="179" t="str">
        <f t="shared" si="3"/>
        <v/>
      </c>
      <c r="T25" s="269" t="str">
        <f t="shared" si="4"/>
        <v/>
      </c>
      <c r="U25" s="172" t="str">
        <f t="shared" si="5"/>
        <v/>
      </c>
      <c r="V25" s="79"/>
      <c r="W25" s="172" t="str">
        <f>IF(V25="","",IF(VLOOKUP(V25,'G-7 Rivers Data'!$AA$4:$AB$7,2,FALSE)=0,"Spatial Data Missing",VLOOKUP(V25,'G-7 Rivers Data'!$AA$4:$AB$7,2,FALSE)))</f>
        <v/>
      </c>
      <c r="X25" s="187"/>
      <c r="Y25" s="172" t="str">
        <f>IF(X25="","",IF(VLOOKUP(X25,'G-7 Rivers Data'!$AD$4:$AE$8,2,FALSE)=0,"Enrcoachment Data Missing",VLOOKUP(X25,'G-7 Rivers Data'!$AD$4:$AE$8,2,FALSE)))</f>
        <v/>
      </c>
      <c r="Z25" s="186"/>
      <c r="AA25" s="176" t="str">
        <f>IF(Z25="","",VLOOKUP(Z25,'G-7 Rivers Data'!$AO$4:$AP$7,2,FALSE))</f>
        <v/>
      </c>
      <c r="AB25" s="265" t="str">
        <f t="shared" si="6"/>
        <v/>
      </c>
      <c r="AC25" s="180"/>
      <c r="AD25" s="181"/>
      <c r="AK25" s="35" t="str">
        <f>IFERROR(INDEX('G-7 Rivers Data'!$AZ$3:$AZ$7,MATCH(C25,'G-7 Rivers Data'!$AY$3:$AY$7,0)),"")</f>
        <v/>
      </c>
    </row>
    <row r="26" spans="2:37" ht="13.8" x14ac:dyDescent="0.25">
      <c r="B26" s="168">
        <v>15</v>
      </c>
      <c r="C26" s="184"/>
      <c r="D26" s="213"/>
      <c r="E26" s="171" t="str">
        <f>IF(C26="","",VLOOKUP(C26,'G-7 Rivers Data'!$B$2:$Z$9,2,FALSE))</f>
        <v/>
      </c>
      <c r="F26" s="172" t="str">
        <f>IFERROR(VLOOKUP(E26,'G-7 Rivers Data'!$C$4:$D$8,2,FALSE),"")</f>
        <v/>
      </c>
      <c r="G26" s="173"/>
      <c r="H26" s="172" t="str">
        <f>IFERROR(INDEX('G-7 Rivers Data'!$H$4:$L$8,MATCH(C26,'G-7 Rivers Data'!$B$4:$B$8,0),MATCH(G26,'G-7 Rivers Data'!$H$3:$L$3,0)),"")</f>
        <v/>
      </c>
      <c r="I26" s="173"/>
      <c r="J26" s="269" t="str">
        <f>IF(I26="","",IF(VLOOKUP(I26,'G-7 Rivers Data'!$AG$4:$AI$9,2,FALSE)=0,"Spatial Data Missing",VLOOKUP(I26,'G-7 Rivers Data'!$AG$4:$AI$9,2,FALSE)))</f>
        <v/>
      </c>
      <c r="K26" s="172" t="str">
        <f>IF(I26="","",IF(VLOOKUP(I26,'G-7 Rivers Data'!$AG$4:$AI$9,3,FALSE)=0,"Spatial Data Missing",VLOOKUP(I26,'G-7 Rivers Data'!$AG$4:$AI$9,3,FALSE)))</f>
        <v/>
      </c>
      <c r="L26" s="384" t="str">
        <f>IFERROR(INDEX('G-7 Rivers Data'!$O$3:$O$7,MATCH(G26,'G-7 Rivers Data'!$N$3:$N$7,0)),"")</f>
        <v/>
      </c>
      <c r="M26" s="82"/>
      <c r="N26" s="261"/>
      <c r="O26" s="179" t="str">
        <f t="shared" si="1"/>
        <v/>
      </c>
      <c r="P26" s="262" t="str">
        <f t="shared" si="2"/>
        <v/>
      </c>
      <c r="Q26" s="382" t="str">
        <f>IFERROR(IF(P26="Check Data","Check Data",VLOOKUP(P26,'G-4 Temporal multipliers'!$A$4:$C$37,3,FALSE)),"")</f>
        <v/>
      </c>
      <c r="R26" s="171" t="str">
        <f>IF(C26="","",VLOOKUP(C26,'G-7 Rivers Data'!$B$4:$G$8,4,FALSE))</f>
        <v/>
      </c>
      <c r="S26" s="179" t="str">
        <f t="shared" si="3"/>
        <v/>
      </c>
      <c r="T26" s="269" t="str">
        <f t="shared" si="4"/>
        <v/>
      </c>
      <c r="U26" s="172" t="str">
        <f t="shared" si="5"/>
        <v/>
      </c>
      <c r="V26" s="79"/>
      <c r="W26" s="172" t="str">
        <f>IF(V26="","",IF(VLOOKUP(V26,'G-7 Rivers Data'!$AA$4:$AB$7,2,FALSE)=0,"Spatial Data Missing",VLOOKUP(V26,'G-7 Rivers Data'!$AA$4:$AB$7,2,FALSE)))</f>
        <v/>
      </c>
      <c r="X26" s="187"/>
      <c r="Y26" s="172" t="str">
        <f>IF(X26="","",IF(VLOOKUP(X26,'G-7 Rivers Data'!$AD$4:$AE$8,2,FALSE)=0,"Enrcoachment Data Missing",VLOOKUP(X26,'G-7 Rivers Data'!$AD$4:$AE$8,2,FALSE)))</f>
        <v/>
      </c>
      <c r="Z26" s="186"/>
      <c r="AA26" s="176" t="str">
        <f>IF(Z26="","",VLOOKUP(Z26,'G-7 Rivers Data'!$AO$4:$AP$7,2,FALSE))</f>
        <v/>
      </c>
      <c r="AB26" s="265" t="str">
        <f t="shared" si="6"/>
        <v/>
      </c>
      <c r="AC26" s="180"/>
      <c r="AD26" s="181"/>
      <c r="AK26" s="35" t="str">
        <f>IFERROR(INDEX('G-7 Rivers Data'!$AZ$3:$AZ$7,MATCH(C26,'G-7 Rivers Data'!$AY$3:$AY$7,0)),"")</f>
        <v/>
      </c>
    </row>
    <row r="27" spans="2:37" ht="13.8" x14ac:dyDescent="0.25">
      <c r="B27" s="168">
        <v>16</v>
      </c>
      <c r="C27" s="184"/>
      <c r="D27" s="213"/>
      <c r="E27" s="171" t="str">
        <f>IF(C27="","",VLOOKUP(C27,'G-7 Rivers Data'!$B$2:$Z$9,2,FALSE))</f>
        <v/>
      </c>
      <c r="F27" s="172" t="str">
        <f>IFERROR(VLOOKUP(E27,'G-7 Rivers Data'!$C$4:$D$8,2,FALSE),"")</f>
        <v/>
      </c>
      <c r="G27" s="173"/>
      <c r="H27" s="172" t="str">
        <f>IFERROR(INDEX('G-7 Rivers Data'!$H$4:$L$8,MATCH(C27,'G-7 Rivers Data'!$B$4:$B$8,0),MATCH(G27,'G-7 Rivers Data'!$H$3:$L$3,0)),"")</f>
        <v/>
      </c>
      <c r="I27" s="173"/>
      <c r="J27" s="269" t="str">
        <f>IF(I27="","",IF(VLOOKUP(I27,'G-7 Rivers Data'!$AG$4:$AI$9,2,FALSE)=0,"Spatial Data Missing",VLOOKUP(I27,'G-7 Rivers Data'!$AG$4:$AI$9,2,FALSE)))</f>
        <v/>
      </c>
      <c r="K27" s="172" t="str">
        <f>IF(I27="","",IF(VLOOKUP(I27,'G-7 Rivers Data'!$AG$4:$AI$9,3,FALSE)=0,"Spatial Data Missing",VLOOKUP(I27,'G-7 Rivers Data'!$AG$4:$AI$9,3,FALSE)))</f>
        <v/>
      </c>
      <c r="L27" s="384" t="str">
        <f>IFERROR(INDEX('G-7 Rivers Data'!$O$3:$O$7,MATCH(G27,'G-7 Rivers Data'!$N$3:$N$7,0)),"")</f>
        <v/>
      </c>
      <c r="M27" s="82"/>
      <c r="N27" s="261"/>
      <c r="O27" s="179" t="str">
        <f t="shared" si="1"/>
        <v/>
      </c>
      <c r="P27" s="262" t="str">
        <f t="shared" si="2"/>
        <v/>
      </c>
      <c r="Q27" s="382" t="str">
        <f>IFERROR(IF(P27="Check Data","Check Data",VLOOKUP(P27,'G-4 Temporal multipliers'!$A$4:$C$37,3,FALSE)),"")</f>
        <v/>
      </c>
      <c r="R27" s="171" t="str">
        <f>IF(C27="","",VLOOKUP(C27,'G-7 Rivers Data'!$B$4:$G$8,4,FALSE))</f>
        <v/>
      </c>
      <c r="S27" s="179" t="str">
        <f t="shared" si="3"/>
        <v/>
      </c>
      <c r="T27" s="269" t="str">
        <f t="shared" si="4"/>
        <v/>
      </c>
      <c r="U27" s="172" t="str">
        <f t="shared" si="5"/>
        <v/>
      </c>
      <c r="V27" s="79"/>
      <c r="W27" s="172" t="str">
        <f>IF(V27="","",IF(VLOOKUP(V27,'G-7 Rivers Data'!$AA$4:$AB$7,2,FALSE)=0,"Spatial Data Missing",VLOOKUP(V27,'G-7 Rivers Data'!$AA$4:$AB$7,2,FALSE)))</f>
        <v/>
      </c>
      <c r="X27" s="187"/>
      <c r="Y27" s="172" t="str">
        <f>IF(X27="","",IF(VLOOKUP(X27,'G-7 Rivers Data'!$AD$4:$AE$8,2,FALSE)=0,"Enrcoachment Data Missing",VLOOKUP(X27,'G-7 Rivers Data'!$AD$4:$AE$8,2,FALSE)))</f>
        <v/>
      </c>
      <c r="Z27" s="186"/>
      <c r="AA27" s="176" t="str">
        <f>IF(Z27="","",VLOOKUP(Z27,'G-7 Rivers Data'!$AO$4:$AP$7,2,FALSE))</f>
        <v/>
      </c>
      <c r="AB27" s="265" t="str">
        <f t="shared" si="6"/>
        <v/>
      </c>
      <c r="AC27" s="180"/>
      <c r="AD27" s="181"/>
      <c r="AK27" s="35" t="str">
        <f>IFERROR(INDEX('G-7 Rivers Data'!$AZ$3:$AZ$7,MATCH(C27,'G-7 Rivers Data'!$AY$3:$AY$7,0)),"")</f>
        <v/>
      </c>
    </row>
    <row r="28" spans="2:37" ht="13.8" x14ac:dyDescent="0.25">
      <c r="B28" s="168">
        <v>17</v>
      </c>
      <c r="C28" s="184"/>
      <c r="D28" s="213"/>
      <c r="E28" s="171" t="str">
        <f>IF(C28="","",VLOOKUP(C28,'G-7 Rivers Data'!$B$2:$Z$9,2,FALSE))</f>
        <v/>
      </c>
      <c r="F28" s="172" t="str">
        <f>IFERROR(VLOOKUP(E28,'G-7 Rivers Data'!$C$4:$D$8,2,FALSE),"")</f>
        <v/>
      </c>
      <c r="G28" s="173"/>
      <c r="H28" s="172" t="str">
        <f>IFERROR(INDEX('G-7 Rivers Data'!$H$4:$L$8,MATCH(C28,'G-7 Rivers Data'!$B$4:$B$8,0),MATCH(G28,'G-7 Rivers Data'!$H$3:$L$3,0)),"")</f>
        <v/>
      </c>
      <c r="I28" s="173"/>
      <c r="J28" s="269" t="str">
        <f>IF(I28="","",IF(VLOOKUP(I28,'G-7 Rivers Data'!$AG$4:$AI$9,2,FALSE)=0,"Spatial Data Missing",VLOOKUP(I28,'G-7 Rivers Data'!$AG$4:$AI$9,2,FALSE)))</f>
        <v/>
      </c>
      <c r="K28" s="172" t="str">
        <f>IF(I28="","",IF(VLOOKUP(I28,'G-7 Rivers Data'!$AG$4:$AI$9,3,FALSE)=0,"Spatial Data Missing",VLOOKUP(I28,'G-7 Rivers Data'!$AG$4:$AI$9,3,FALSE)))</f>
        <v/>
      </c>
      <c r="L28" s="384" t="str">
        <f>IFERROR(INDEX('G-7 Rivers Data'!$O$3:$O$7,MATCH(G28,'G-7 Rivers Data'!$N$3:$N$7,0)),"")</f>
        <v/>
      </c>
      <c r="M28" s="82"/>
      <c r="N28" s="261"/>
      <c r="O28" s="179" t="str">
        <f t="shared" si="1"/>
        <v/>
      </c>
      <c r="P28" s="262" t="str">
        <f t="shared" si="2"/>
        <v/>
      </c>
      <c r="Q28" s="382" t="str">
        <f>IFERROR(IF(P28="Check Data","Check Data",VLOOKUP(P28,'G-4 Temporal multipliers'!$A$4:$C$37,3,FALSE)),"")</f>
        <v/>
      </c>
      <c r="R28" s="171" t="str">
        <f>IF(C28="","",VLOOKUP(C28,'G-7 Rivers Data'!$B$4:$G$8,4,FALSE))</f>
        <v/>
      </c>
      <c r="S28" s="179" t="str">
        <f t="shared" si="3"/>
        <v/>
      </c>
      <c r="T28" s="269" t="str">
        <f t="shared" si="4"/>
        <v/>
      </c>
      <c r="U28" s="172" t="str">
        <f t="shared" si="5"/>
        <v/>
      </c>
      <c r="V28" s="79"/>
      <c r="W28" s="172" t="str">
        <f>IF(V28="","",IF(VLOOKUP(V28,'G-7 Rivers Data'!$AA$4:$AB$7,2,FALSE)=0,"Spatial Data Missing",VLOOKUP(V28,'G-7 Rivers Data'!$AA$4:$AB$7,2,FALSE)))</f>
        <v/>
      </c>
      <c r="X28" s="187"/>
      <c r="Y28" s="172" t="str">
        <f>IF(X28="","",IF(VLOOKUP(X28,'G-7 Rivers Data'!$AD$4:$AE$8,2,FALSE)=0,"Enrcoachment Data Missing",VLOOKUP(X28,'G-7 Rivers Data'!$AD$4:$AE$8,2,FALSE)))</f>
        <v/>
      </c>
      <c r="Z28" s="186"/>
      <c r="AA28" s="176" t="str">
        <f>IF(Z28="","",VLOOKUP(Z28,'G-7 Rivers Data'!$AO$4:$AP$7,2,FALSE))</f>
        <v/>
      </c>
      <c r="AB28" s="265" t="str">
        <f t="shared" si="6"/>
        <v/>
      </c>
      <c r="AC28" s="180"/>
      <c r="AD28" s="181"/>
      <c r="AK28" s="35" t="str">
        <f>IFERROR(INDEX('G-7 Rivers Data'!$AZ$3:$AZ$7,MATCH(C28,'G-7 Rivers Data'!$AY$3:$AY$7,0)),"")</f>
        <v/>
      </c>
    </row>
    <row r="29" spans="2:37" ht="13.8" x14ac:dyDescent="0.25">
      <c r="B29" s="168">
        <v>18</v>
      </c>
      <c r="C29" s="184"/>
      <c r="D29" s="213"/>
      <c r="E29" s="171" t="str">
        <f>IF(C29="","",VLOOKUP(C29,'G-7 Rivers Data'!$B$2:$Z$9,2,FALSE))</f>
        <v/>
      </c>
      <c r="F29" s="172" t="str">
        <f>IFERROR(VLOOKUP(E29,'G-7 Rivers Data'!$C$4:$D$8,2,FALSE),"")</f>
        <v/>
      </c>
      <c r="G29" s="173"/>
      <c r="H29" s="172" t="str">
        <f>IFERROR(INDEX('G-7 Rivers Data'!$H$4:$L$8,MATCH(C29,'G-7 Rivers Data'!$B$4:$B$8,0),MATCH(G29,'G-7 Rivers Data'!$H$3:$L$3,0)),"")</f>
        <v/>
      </c>
      <c r="I29" s="173"/>
      <c r="J29" s="269" t="str">
        <f>IF(I29="","",IF(VLOOKUP(I29,'G-7 Rivers Data'!$AG$4:$AI$9,2,FALSE)=0,"Spatial Data Missing",VLOOKUP(I29,'G-7 Rivers Data'!$AG$4:$AI$9,2,FALSE)))</f>
        <v/>
      </c>
      <c r="K29" s="172" t="str">
        <f>IF(I29="","",IF(VLOOKUP(I29,'G-7 Rivers Data'!$AG$4:$AI$9,3,FALSE)=0,"Spatial Data Missing",VLOOKUP(I29,'G-7 Rivers Data'!$AG$4:$AI$9,3,FALSE)))</f>
        <v/>
      </c>
      <c r="L29" s="384" t="str">
        <f>IFERROR(INDEX('G-7 Rivers Data'!$O$3:$O$7,MATCH(G29,'G-7 Rivers Data'!$N$3:$N$7,0)),"")</f>
        <v/>
      </c>
      <c r="M29" s="82"/>
      <c r="N29" s="261"/>
      <c r="O29" s="179" t="str">
        <f t="shared" si="1"/>
        <v/>
      </c>
      <c r="P29" s="262" t="str">
        <f t="shared" si="2"/>
        <v/>
      </c>
      <c r="Q29" s="382" t="str">
        <f>IFERROR(IF(P29="Check Data","Check Data",VLOOKUP(P29,'G-4 Temporal multipliers'!$A$4:$C$37,3,FALSE)),"")</f>
        <v/>
      </c>
      <c r="R29" s="171" t="str">
        <f>IF(C29="","",VLOOKUP(C29,'G-7 Rivers Data'!$B$4:$G$8,4,FALSE))</f>
        <v/>
      </c>
      <c r="S29" s="179" t="str">
        <f t="shared" si="3"/>
        <v/>
      </c>
      <c r="T29" s="269" t="str">
        <f t="shared" si="4"/>
        <v/>
      </c>
      <c r="U29" s="172" t="str">
        <f t="shared" si="5"/>
        <v/>
      </c>
      <c r="V29" s="79"/>
      <c r="W29" s="172" t="str">
        <f>IF(V29="","",IF(VLOOKUP(V29,'G-7 Rivers Data'!$AA$4:$AB$7,2,FALSE)=0,"Spatial Data Missing",VLOOKUP(V29,'G-7 Rivers Data'!$AA$4:$AB$7,2,FALSE)))</f>
        <v/>
      </c>
      <c r="X29" s="187"/>
      <c r="Y29" s="172" t="str">
        <f>IF(X29="","",IF(VLOOKUP(X29,'G-7 Rivers Data'!$AD$4:$AE$8,2,FALSE)=0,"Enrcoachment Data Missing",VLOOKUP(X29,'G-7 Rivers Data'!$AD$4:$AE$8,2,FALSE)))</f>
        <v/>
      </c>
      <c r="Z29" s="186"/>
      <c r="AA29" s="176" t="str">
        <f>IF(Z29="","",VLOOKUP(Z29,'G-7 Rivers Data'!$AO$4:$AP$7,2,FALSE))</f>
        <v/>
      </c>
      <c r="AB29" s="265" t="str">
        <f t="shared" si="6"/>
        <v/>
      </c>
      <c r="AC29" s="180"/>
      <c r="AD29" s="181"/>
      <c r="AK29" s="35" t="str">
        <f>IFERROR(INDEX('G-7 Rivers Data'!$AZ$3:$AZ$7,MATCH(C29,'G-7 Rivers Data'!$AY$3:$AY$7,0)),"")</f>
        <v/>
      </c>
    </row>
    <row r="30" spans="2:37" ht="13.8" x14ac:dyDescent="0.25">
      <c r="B30" s="168">
        <v>19</v>
      </c>
      <c r="C30" s="184"/>
      <c r="D30" s="213"/>
      <c r="E30" s="171" t="str">
        <f>IF(C30="","",VLOOKUP(C30,'G-7 Rivers Data'!$B$2:$Z$9,2,FALSE))</f>
        <v/>
      </c>
      <c r="F30" s="172" t="str">
        <f>IFERROR(VLOOKUP(E30,'G-7 Rivers Data'!$C$4:$D$8,2,FALSE),"")</f>
        <v/>
      </c>
      <c r="G30" s="173"/>
      <c r="H30" s="172" t="str">
        <f>IFERROR(INDEX('G-7 Rivers Data'!$H$4:$L$8,MATCH(C30,'G-7 Rivers Data'!$B$4:$B$8,0),MATCH(G30,'G-7 Rivers Data'!$H$3:$L$3,0)),"")</f>
        <v/>
      </c>
      <c r="I30" s="173"/>
      <c r="J30" s="269" t="str">
        <f>IF(I30="","",IF(VLOOKUP(I30,'G-7 Rivers Data'!$AG$4:$AI$9,2,FALSE)=0,"Spatial Data Missing",VLOOKUP(I30,'G-7 Rivers Data'!$AG$4:$AI$9,2,FALSE)))</f>
        <v/>
      </c>
      <c r="K30" s="172" t="str">
        <f>IF(I30="","",IF(VLOOKUP(I30,'G-7 Rivers Data'!$AG$4:$AI$9,3,FALSE)=0,"Spatial Data Missing",VLOOKUP(I30,'G-7 Rivers Data'!$AG$4:$AI$9,3,FALSE)))</f>
        <v/>
      </c>
      <c r="L30" s="384" t="str">
        <f>IFERROR(INDEX('G-7 Rivers Data'!$O$3:$O$7,MATCH(G30,'G-7 Rivers Data'!$N$3:$N$7,0)),"")</f>
        <v/>
      </c>
      <c r="M30" s="82"/>
      <c r="N30" s="261"/>
      <c r="O30" s="179" t="str">
        <f t="shared" si="1"/>
        <v/>
      </c>
      <c r="P30" s="262" t="str">
        <f t="shared" si="2"/>
        <v/>
      </c>
      <c r="Q30" s="382" t="str">
        <f>IFERROR(IF(P30="Check Data","Check Data",VLOOKUP(P30,'G-4 Temporal multipliers'!$A$4:$C$37,3,FALSE)),"")</f>
        <v/>
      </c>
      <c r="R30" s="171" t="str">
        <f>IF(C30="","",VLOOKUP(C30,'G-7 Rivers Data'!$B$4:$G$8,4,FALSE))</f>
        <v/>
      </c>
      <c r="S30" s="179" t="str">
        <f t="shared" si="3"/>
        <v/>
      </c>
      <c r="T30" s="269" t="str">
        <f t="shared" si="4"/>
        <v/>
      </c>
      <c r="U30" s="172" t="str">
        <f t="shared" si="5"/>
        <v/>
      </c>
      <c r="V30" s="79"/>
      <c r="W30" s="172" t="str">
        <f>IF(V30="","",IF(VLOOKUP(V30,'G-7 Rivers Data'!$AA$4:$AB$7,2,FALSE)=0,"Spatial Data Missing",VLOOKUP(V30,'G-7 Rivers Data'!$AA$4:$AB$7,2,FALSE)))</f>
        <v/>
      </c>
      <c r="X30" s="187"/>
      <c r="Y30" s="172" t="str">
        <f>IF(X30="","",IF(VLOOKUP(X30,'G-7 Rivers Data'!$AD$4:$AE$8,2,FALSE)=0,"Enrcoachment Data Missing",VLOOKUP(X30,'G-7 Rivers Data'!$AD$4:$AE$8,2,FALSE)))</f>
        <v/>
      </c>
      <c r="Z30" s="186"/>
      <c r="AA30" s="176" t="str">
        <f>IF(Z30="","",VLOOKUP(Z30,'G-7 Rivers Data'!$AO$4:$AP$7,2,FALSE))</f>
        <v/>
      </c>
      <c r="AB30" s="265" t="str">
        <f t="shared" si="6"/>
        <v/>
      </c>
      <c r="AC30" s="180"/>
      <c r="AD30" s="181"/>
      <c r="AK30" s="35" t="str">
        <f>IFERROR(INDEX('G-7 Rivers Data'!$AZ$3:$AZ$7,MATCH(C30,'G-7 Rivers Data'!$AY$3:$AY$7,0)),"")</f>
        <v/>
      </c>
    </row>
    <row r="31" spans="2:37" ht="13.8" x14ac:dyDescent="0.25">
      <c r="B31" s="168">
        <v>20</v>
      </c>
      <c r="C31" s="184"/>
      <c r="D31" s="213"/>
      <c r="E31" s="171" t="str">
        <f>IF(C31="","",VLOOKUP(C31,'G-7 Rivers Data'!$B$2:$Z$9,2,FALSE))</f>
        <v/>
      </c>
      <c r="F31" s="172" t="str">
        <f>IFERROR(VLOOKUP(E31,'G-7 Rivers Data'!$C$4:$D$8,2,FALSE),"")</f>
        <v/>
      </c>
      <c r="G31" s="173"/>
      <c r="H31" s="172" t="str">
        <f>IFERROR(INDEX('G-7 Rivers Data'!$H$4:$L$8,MATCH(C31,'G-7 Rivers Data'!$B$4:$B$8,0),MATCH(G31,'G-7 Rivers Data'!$H$3:$L$3,0)),"")</f>
        <v/>
      </c>
      <c r="I31" s="173"/>
      <c r="J31" s="269" t="str">
        <f>IF(I31="","",IF(VLOOKUP(I31,'G-7 Rivers Data'!$AG$4:$AI$9,2,FALSE)=0,"Spatial Data Missing",VLOOKUP(I31,'G-7 Rivers Data'!$AG$4:$AI$9,2,FALSE)))</f>
        <v/>
      </c>
      <c r="K31" s="172" t="str">
        <f>IF(I31="","",IF(VLOOKUP(I31,'G-7 Rivers Data'!$AG$4:$AI$9,3,FALSE)=0,"Spatial Data Missing",VLOOKUP(I31,'G-7 Rivers Data'!$AG$4:$AI$9,3,FALSE)))</f>
        <v/>
      </c>
      <c r="L31" s="384" t="str">
        <f>IFERROR(INDEX('G-7 Rivers Data'!$O$3:$O$7,MATCH(G31,'G-7 Rivers Data'!$N$3:$N$7,0)),"")</f>
        <v/>
      </c>
      <c r="M31" s="82"/>
      <c r="N31" s="261"/>
      <c r="O31" s="179" t="str">
        <f t="shared" si="1"/>
        <v/>
      </c>
      <c r="P31" s="262" t="str">
        <f t="shared" si="2"/>
        <v/>
      </c>
      <c r="Q31" s="382" t="str">
        <f>IFERROR(IF(P31="Check Data","Check Data",VLOOKUP(P31,'G-4 Temporal multipliers'!$A$4:$C$37,3,FALSE)),"")</f>
        <v/>
      </c>
      <c r="R31" s="171" t="str">
        <f>IF(C31="","",VLOOKUP(C31,'G-7 Rivers Data'!$B$4:$G$8,4,FALSE))</f>
        <v/>
      </c>
      <c r="S31" s="179" t="str">
        <f t="shared" si="3"/>
        <v/>
      </c>
      <c r="T31" s="269" t="str">
        <f t="shared" si="4"/>
        <v/>
      </c>
      <c r="U31" s="172" t="str">
        <f t="shared" si="5"/>
        <v/>
      </c>
      <c r="V31" s="79"/>
      <c r="W31" s="172" t="str">
        <f>IF(V31="","",IF(VLOOKUP(V31,'G-7 Rivers Data'!$AA$4:$AB$7,2,FALSE)=0,"Spatial Data Missing",VLOOKUP(V31,'G-7 Rivers Data'!$AA$4:$AB$7,2,FALSE)))</f>
        <v/>
      </c>
      <c r="X31" s="187"/>
      <c r="Y31" s="172" t="str">
        <f>IF(X31="","",IF(VLOOKUP(X31,'G-7 Rivers Data'!$AD$4:$AE$8,2,FALSE)=0,"Enrcoachment Data Missing",VLOOKUP(X31,'G-7 Rivers Data'!$AD$4:$AE$8,2,FALSE)))</f>
        <v/>
      </c>
      <c r="Z31" s="186"/>
      <c r="AA31" s="176" t="str">
        <f>IF(Z31="","",VLOOKUP(Z31,'G-7 Rivers Data'!$AO$4:$AP$7,2,FALSE))</f>
        <v/>
      </c>
      <c r="AB31" s="265" t="str">
        <f t="shared" si="6"/>
        <v/>
      </c>
      <c r="AC31" s="180"/>
      <c r="AD31" s="181"/>
      <c r="AK31" s="35" t="str">
        <f>IFERROR(INDEX('G-7 Rivers Data'!$AZ$3:$AZ$7,MATCH(C31,'G-7 Rivers Data'!$AY$3:$AY$7,0)),"")</f>
        <v/>
      </c>
    </row>
    <row r="32" spans="2:37" ht="13.8" x14ac:dyDescent="0.25">
      <c r="B32" s="168">
        <v>21</v>
      </c>
      <c r="C32" s="184"/>
      <c r="D32" s="213"/>
      <c r="E32" s="171" t="str">
        <f>IF(C32="","",VLOOKUP(C32,'G-7 Rivers Data'!$B$2:$Z$9,2,FALSE))</f>
        <v/>
      </c>
      <c r="F32" s="172" t="str">
        <f>IFERROR(VLOOKUP(E32,'G-7 Rivers Data'!$C$4:$D$8,2,FALSE),"")</f>
        <v/>
      </c>
      <c r="G32" s="173"/>
      <c r="H32" s="172" t="str">
        <f>IFERROR(INDEX('G-7 Rivers Data'!$H$4:$L$8,MATCH(C32,'G-7 Rivers Data'!$B$4:$B$8,0),MATCH(G32,'G-7 Rivers Data'!$H$3:$L$3,0)),"")</f>
        <v/>
      </c>
      <c r="I32" s="173"/>
      <c r="J32" s="269" t="str">
        <f>IF(I32="","",IF(VLOOKUP(I32,'G-7 Rivers Data'!$AG$4:$AI$9,2,FALSE)=0,"Spatial Data Missing",VLOOKUP(I32,'G-7 Rivers Data'!$AG$4:$AI$9,2,FALSE)))</f>
        <v/>
      </c>
      <c r="K32" s="172" t="str">
        <f>IF(I32="","",IF(VLOOKUP(I32,'G-7 Rivers Data'!$AG$4:$AI$9,3,FALSE)=0,"Spatial Data Missing",VLOOKUP(I32,'G-7 Rivers Data'!$AG$4:$AI$9,3,FALSE)))</f>
        <v/>
      </c>
      <c r="L32" s="384" t="str">
        <f>IFERROR(INDEX('G-7 Rivers Data'!$O$3:$O$7,MATCH(G32,'G-7 Rivers Data'!$N$3:$N$7,0)),"")</f>
        <v/>
      </c>
      <c r="M32" s="82"/>
      <c r="N32" s="261"/>
      <c r="O32" s="179" t="str">
        <f t="shared" si="1"/>
        <v/>
      </c>
      <c r="P32" s="262" t="str">
        <f t="shared" si="2"/>
        <v/>
      </c>
      <c r="Q32" s="382" t="str">
        <f>IFERROR(IF(P32="Check Data","Check Data",VLOOKUP(P32,'G-4 Temporal multipliers'!$A$4:$C$37,3,FALSE)),"")</f>
        <v/>
      </c>
      <c r="R32" s="171" t="str">
        <f>IF(C32="","",VLOOKUP(C32,'G-7 Rivers Data'!$B$4:$G$8,4,FALSE))</f>
        <v/>
      </c>
      <c r="S32" s="179" t="str">
        <f t="shared" si="3"/>
        <v/>
      </c>
      <c r="T32" s="269" t="str">
        <f t="shared" si="4"/>
        <v/>
      </c>
      <c r="U32" s="172" t="str">
        <f t="shared" si="5"/>
        <v/>
      </c>
      <c r="V32" s="79"/>
      <c r="W32" s="172" t="str">
        <f>IF(V32="","",IF(VLOOKUP(V32,'G-7 Rivers Data'!$AA$4:$AB$7,2,FALSE)=0,"Spatial Data Missing",VLOOKUP(V32,'G-7 Rivers Data'!$AA$4:$AB$7,2,FALSE)))</f>
        <v/>
      </c>
      <c r="X32" s="187"/>
      <c r="Y32" s="172" t="str">
        <f>IF(X32="","",IF(VLOOKUP(X32,'G-7 Rivers Data'!$AD$4:$AE$8,2,FALSE)=0,"Enrcoachment Data Missing",VLOOKUP(X32,'G-7 Rivers Data'!$AD$4:$AE$8,2,FALSE)))</f>
        <v/>
      </c>
      <c r="Z32" s="186"/>
      <c r="AA32" s="176" t="str">
        <f>IF(Z32="","",VLOOKUP(Z32,'G-7 Rivers Data'!$AO$4:$AP$7,2,FALSE))</f>
        <v/>
      </c>
      <c r="AB32" s="265" t="str">
        <f t="shared" si="6"/>
        <v/>
      </c>
      <c r="AC32" s="180"/>
      <c r="AD32" s="181"/>
      <c r="AK32" s="35" t="str">
        <f>IFERROR(INDEX('G-7 Rivers Data'!$AZ$3:$AZ$7,MATCH(C32,'G-7 Rivers Data'!$AY$3:$AY$7,0)),"")</f>
        <v/>
      </c>
    </row>
    <row r="33" spans="2:37" ht="13.8" x14ac:dyDescent="0.25">
      <c r="B33" s="168">
        <v>22</v>
      </c>
      <c r="C33" s="184"/>
      <c r="D33" s="213"/>
      <c r="E33" s="171" t="str">
        <f>IF(C33="","",VLOOKUP(C33,'G-7 Rivers Data'!$B$2:$Z$9,2,FALSE))</f>
        <v/>
      </c>
      <c r="F33" s="172" t="str">
        <f>IFERROR(VLOOKUP(E33,'G-7 Rivers Data'!$C$4:$D$8,2,FALSE),"")</f>
        <v/>
      </c>
      <c r="G33" s="173"/>
      <c r="H33" s="172" t="str">
        <f>IFERROR(INDEX('G-7 Rivers Data'!$H$4:$L$8,MATCH(C33,'G-7 Rivers Data'!$B$4:$B$8,0),MATCH(G33,'G-7 Rivers Data'!$H$3:$L$3,0)),"")</f>
        <v/>
      </c>
      <c r="I33" s="173"/>
      <c r="J33" s="269" t="str">
        <f>IF(I33="","",IF(VLOOKUP(I33,'G-7 Rivers Data'!$AG$4:$AI$9,2,FALSE)=0,"Spatial Data Missing",VLOOKUP(I33,'G-7 Rivers Data'!$AG$4:$AI$9,2,FALSE)))</f>
        <v/>
      </c>
      <c r="K33" s="172" t="str">
        <f>IF(I33="","",IF(VLOOKUP(I33,'G-7 Rivers Data'!$AG$4:$AI$9,3,FALSE)=0,"Spatial Data Missing",VLOOKUP(I33,'G-7 Rivers Data'!$AG$4:$AI$9,3,FALSE)))</f>
        <v/>
      </c>
      <c r="L33" s="384" t="str">
        <f>IFERROR(INDEX('G-7 Rivers Data'!$O$3:$O$7,MATCH(G33,'G-7 Rivers Data'!$N$3:$N$7,0)),"")</f>
        <v/>
      </c>
      <c r="M33" s="82"/>
      <c r="N33" s="261"/>
      <c r="O33" s="179" t="str">
        <f t="shared" si="1"/>
        <v/>
      </c>
      <c r="P33" s="262" t="str">
        <f t="shared" si="2"/>
        <v/>
      </c>
      <c r="Q33" s="382" t="str">
        <f>IFERROR(IF(P33="Check Data","Check Data",VLOOKUP(P33,'G-4 Temporal multipliers'!$A$4:$C$37,3,FALSE)),"")</f>
        <v/>
      </c>
      <c r="R33" s="171" t="str">
        <f>IF(C33="","",VLOOKUP(C33,'G-7 Rivers Data'!$B$4:$G$8,4,FALSE))</f>
        <v/>
      </c>
      <c r="S33" s="179" t="str">
        <f t="shared" si="3"/>
        <v/>
      </c>
      <c r="T33" s="269" t="str">
        <f t="shared" si="4"/>
        <v/>
      </c>
      <c r="U33" s="172" t="str">
        <f t="shared" si="5"/>
        <v/>
      </c>
      <c r="V33" s="79"/>
      <c r="W33" s="172" t="str">
        <f>IF(V33="","",IF(VLOOKUP(V33,'G-7 Rivers Data'!$AA$4:$AB$7,2,FALSE)=0,"Spatial Data Missing",VLOOKUP(V33,'G-7 Rivers Data'!$AA$4:$AB$7,2,FALSE)))</f>
        <v/>
      </c>
      <c r="X33" s="187"/>
      <c r="Y33" s="172" t="str">
        <f>IF(X33="","",IF(VLOOKUP(X33,'G-7 Rivers Data'!$AD$4:$AE$8,2,FALSE)=0,"Enrcoachment Data Missing",VLOOKUP(X33,'G-7 Rivers Data'!$AD$4:$AE$8,2,FALSE)))</f>
        <v/>
      </c>
      <c r="Z33" s="186"/>
      <c r="AA33" s="176" t="str">
        <f>IF(Z33="","",VLOOKUP(Z33,'G-7 Rivers Data'!$AO$4:$AP$7,2,FALSE))</f>
        <v/>
      </c>
      <c r="AB33" s="265" t="str">
        <f t="shared" si="6"/>
        <v/>
      </c>
      <c r="AC33" s="180"/>
      <c r="AD33" s="181"/>
      <c r="AK33" s="35" t="str">
        <f>IFERROR(INDEX('G-7 Rivers Data'!$AZ$3:$AZ$7,MATCH(C33,'G-7 Rivers Data'!$AY$3:$AY$7,0)),"")</f>
        <v/>
      </c>
    </row>
    <row r="34" spans="2:37" ht="13.8" x14ac:dyDescent="0.25">
      <c r="B34" s="168">
        <v>23</v>
      </c>
      <c r="C34" s="184"/>
      <c r="D34" s="213"/>
      <c r="E34" s="171" t="str">
        <f>IF(C34="","",VLOOKUP(C34,'G-7 Rivers Data'!$B$2:$Z$9,2,FALSE))</f>
        <v/>
      </c>
      <c r="F34" s="172" t="str">
        <f>IFERROR(VLOOKUP(E34,'G-7 Rivers Data'!$C$4:$D$8,2,FALSE),"")</f>
        <v/>
      </c>
      <c r="G34" s="173"/>
      <c r="H34" s="172" t="str">
        <f>IFERROR(INDEX('G-7 Rivers Data'!$H$4:$L$8,MATCH(C34,'G-7 Rivers Data'!$B$4:$B$8,0),MATCH(G34,'G-7 Rivers Data'!$H$3:$L$3,0)),"")</f>
        <v/>
      </c>
      <c r="I34" s="173"/>
      <c r="J34" s="269" t="str">
        <f>IF(I34="","",IF(VLOOKUP(I34,'G-7 Rivers Data'!$AG$4:$AI$9,2,FALSE)=0,"Spatial Data Missing",VLOOKUP(I34,'G-7 Rivers Data'!$AG$4:$AI$9,2,FALSE)))</f>
        <v/>
      </c>
      <c r="K34" s="172" t="str">
        <f>IF(I34="","",IF(VLOOKUP(I34,'G-7 Rivers Data'!$AG$4:$AI$9,3,FALSE)=0,"Spatial Data Missing",VLOOKUP(I34,'G-7 Rivers Data'!$AG$4:$AI$9,3,FALSE)))</f>
        <v/>
      </c>
      <c r="L34" s="384" t="str">
        <f>IFERROR(INDEX('G-7 Rivers Data'!$O$3:$O$7,MATCH(G34,'G-7 Rivers Data'!$N$3:$N$7,0)),"")</f>
        <v/>
      </c>
      <c r="M34" s="82"/>
      <c r="N34" s="261"/>
      <c r="O34" s="179" t="str">
        <f t="shared" si="1"/>
        <v/>
      </c>
      <c r="P34" s="262" t="str">
        <f t="shared" si="2"/>
        <v/>
      </c>
      <c r="Q34" s="382" t="str">
        <f>IFERROR(IF(P34="Check Data","Check Data",VLOOKUP(P34,'G-4 Temporal multipliers'!$A$4:$C$37,3,FALSE)),"")</f>
        <v/>
      </c>
      <c r="R34" s="171" t="str">
        <f>IF(C34="","",VLOOKUP(C34,'G-7 Rivers Data'!$B$4:$G$8,4,FALSE))</f>
        <v/>
      </c>
      <c r="S34" s="179" t="str">
        <f t="shared" si="3"/>
        <v/>
      </c>
      <c r="T34" s="269" t="str">
        <f t="shared" si="4"/>
        <v/>
      </c>
      <c r="U34" s="172" t="str">
        <f t="shared" si="5"/>
        <v/>
      </c>
      <c r="V34" s="79"/>
      <c r="W34" s="172" t="str">
        <f>IF(V34="","",IF(VLOOKUP(V34,'G-7 Rivers Data'!$AA$4:$AB$7,2,FALSE)=0,"Spatial Data Missing",VLOOKUP(V34,'G-7 Rivers Data'!$AA$4:$AB$7,2,FALSE)))</f>
        <v/>
      </c>
      <c r="X34" s="187"/>
      <c r="Y34" s="172" t="str">
        <f>IF(X34="","",IF(VLOOKUP(X34,'G-7 Rivers Data'!$AD$4:$AE$8,2,FALSE)=0,"Enrcoachment Data Missing",VLOOKUP(X34,'G-7 Rivers Data'!$AD$4:$AE$8,2,FALSE)))</f>
        <v/>
      </c>
      <c r="Z34" s="186"/>
      <c r="AA34" s="176" t="str">
        <f>IF(Z34="","",VLOOKUP(Z34,'G-7 Rivers Data'!$AO$4:$AP$7,2,FALSE))</f>
        <v/>
      </c>
      <c r="AB34" s="265" t="str">
        <f t="shared" si="6"/>
        <v/>
      </c>
      <c r="AC34" s="180"/>
      <c r="AD34" s="181"/>
      <c r="AK34" s="35" t="str">
        <f>IFERROR(INDEX('G-7 Rivers Data'!$AZ$3:$AZ$7,MATCH(C34,'G-7 Rivers Data'!$AY$3:$AY$7,0)),"")</f>
        <v/>
      </c>
    </row>
    <row r="35" spans="2:37" ht="13.8" x14ac:dyDescent="0.25">
      <c r="B35" s="168">
        <v>24</v>
      </c>
      <c r="C35" s="184"/>
      <c r="D35" s="213"/>
      <c r="E35" s="171" t="str">
        <f>IF(C35="","",VLOOKUP(C35,'G-7 Rivers Data'!$B$2:$Z$9,2,FALSE))</f>
        <v/>
      </c>
      <c r="F35" s="172" t="str">
        <f>IFERROR(VLOOKUP(E35,'G-7 Rivers Data'!$C$4:$D$8,2,FALSE),"")</f>
        <v/>
      </c>
      <c r="G35" s="173"/>
      <c r="H35" s="172" t="str">
        <f>IFERROR(INDEX('G-7 Rivers Data'!$H$4:$L$8,MATCH(C35,'G-7 Rivers Data'!$B$4:$B$8,0),MATCH(G35,'G-7 Rivers Data'!$H$3:$L$3,0)),"")</f>
        <v/>
      </c>
      <c r="I35" s="173"/>
      <c r="J35" s="269" t="str">
        <f>IF(I35="","",IF(VLOOKUP(I35,'G-7 Rivers Data'!$AG$4:$AI$9,2,FALSE)=0,"Spatial Data Missing",VLOOKUP(I35,'G-7 Rivers Data'!$AG$4:$AI$9,2,FALSE)))</f>
        <v/>
      </c>
      <c r="K35" s="172" t="str">
        <f>IF(I35="","",IF(VLOOKUP(I35,'G-7 Rivers Data'!$AG$4:$AI$9,3,FALSE)=0,"Spatial Data Missing",VLOOKUP(I35,'G-7 Rivers Data'!$AG$4:$AI$9,3,FALSE)))</f>
        <v/>
      </c>
      <c r="L35" s="384" t="str">
        <f>IFERROR(INDEX('G-7 Rivers Data'!$O$3:$O$7,MATCH(G35,'G-7 Rivers Data'!$N$3:$N$7,0)),"")</f>
        <v/>
      </c>
      <c r="M35" s="82"/>
      <c r="N35" s="261"/>
      <c r="O35" s="179" t="str">
        <f t="shared" si="1"/>
        <v/>
      </c>
      <c r="P35" s="262" t="str">
        <f t="shared" si="2"/>
        <v/>
      </c>
      <c r="Q35" s="382" t="str">
        <f>IFERROR(IF(P35="Check Data","Check Data",VLOOKUP(P35,'G-4 Temporal multipliers'!$A$4:$C$37,3,FALSE)),"")</f>
        <v/>
      </c>
      <c r="R35" s="171" t="str">
        <f>IF(C35="","",VLOOKUP(C35,'G-7 Rivers Data'!$B$4:$G$8,4,FALSE))</f>
        <v/>
      </c>
      <c r="S35" s="179" t="str">
        <f t="shared" si="3"/>
        <v/>
      </c>
      <c r="T35" s="269" t="str">
        <f t="shared" si="4"/>
        <v/>
      </c>
      <c r="U35" s="172" t="str">
        <f t="shared" si="5"/>
        <v/>
      </c>
      <c r="V35" s="79"/>
      <c r="W35" s="172" t="str">
        <f>IF(V35="","",IF(VLOOKUP(V35,'G-7 Rivers Data'!$AA$4:$AB$7,2,FALSE)=0,"Spatial Data Missing",VLOOKUP(V35,'G-7 Rivers Data'!$AA$4:$AB$7,2,FALSE)))</f>
        <v/>
      </c>
      <c r="X35" s="187"/>
      <c r="Y35" s="172" t="str">
        <f>IF(X35="","",IF(VLOOKUP(X35,'G-7 Rivers Data'!$AD$4:$AE$8,2,FALSE)=0,"Enrcoachment Data Missing",VLOOKUP(X35,'G-7 Rivers Data'!$AD$4:$AE$8,2,FALSE)))</f>
        <v/>
      </c>
      <c r="Z35" s="186"/>
      <c r="AA35" s="176" t="str">
        <f>IF(Z35="","",VLOOKUP(Z35,'G-7 Rivers Data'!$AO$4:$AP$7,2,FALSE))</f>
        <v/>
      </c>
      <c r="AB35" s="265" t="str">
        <f t="shared" si="6"/>
        <v/>
      </c>
      <c r="AC35" s="180"/>
      <c r="AD35" s="181"/>
      <c r="AK35" s="35" t="str">
        <f>IFERROR(INDEX('G-7 Rivers Data'!$AZ$3:$AZ$7,MATCH(C35,'G-7 Rivers Data'!$AY$3:$AY$7,0)),"")</f>
        <v/>
      </c>
    </row>
    <row r="36" spans="2:37" ht="13.8" x14ac:dyDescent="0.25">
      <c r="B36" s="168">
        <v>25</v>
      </c>
      <c r="C36" s="184"/>
      <c r="D36" s="213"/>
      <c r="E36" s="171" t="str">
        <f>IF(C36="","",VLOOKUP(C36,'G-7 Rivers Data'!$B$2:$Z$9,2,FALSE))</f>
        <v/>
      </c>
      <c r="F36" s="172" t="str">
        <f>IFERROR(VLOOKUP(E36,'G-7 Rivers Data'!$C$4:$D$8,2,FALSE),"")</f>
        <v/>
      </c>
      <c r="G36" s="173"/>
      <c r="H36" s="172" t="str">
        <f>IFERROR(INDEX('G-7 Rivers Data'!$H$4:$L$8,MATCH(C36,'G-7 Rivers Data'!$B$4:$B$8,0),MATCH(G36,'G-7 Rivers Data'!$H$3:$L$3,0)),"")</f>
        <v/>
      </c>
      <c r="I36" s="173"/>
      <c r="J36" s="269" t="str">
        <f>IF(I36="","",IF(VLOOKUP(I36,'G-7 Rivers Data'!$AG$4:$AI$9,2,FALSE)=0,"Spatial Data Missing",VLOOKUP(I36,'G-7 Rivers Data'!$AG$4:$AI$9,2,FALSE)))</f>
        <v/>
      </c>
      <c r="K36" s="172" t="str">
        <f>IF(I36="","",IF(VLOOKUP(I36,'G-7 Rivers Data'!$AG$4:$AI$9,3,FALSE)=0,"Spatial Data Missing",VLOOKUP(I36,'G-7 Rivers Data'!$AG$4:$AI$9,3,FALSE)))</f>
        <v/>
      </c>
      <c r="L36" s="384" t="str">
        <f>IFERROR(INDEX('G-7 Rivers Data'!$O$3:$O$7,MATCH(G36,'G-7 Rivers Data'!$N$3:$N$7,0)),"")</f>
        <v/>
      </c>
      <c r="M36" s="82"/>
      <c r="N36" s="261"/>
      <c r="O36" s="179" t="str">
        <f t="shared" si="1"/>
        <v/>
      </c>
      <c r="P36" s="262" t="str">
        <f t="shared" si="2"/>
        <v/>
      </c>
      <c r="Q36" s="382" t="str">
        <f>IFERROR(IF(P36="Check Data","Check Data",VLOOKUP(P36,'G-4 Temporal multipliers'!$A$4:$C$37,3,FALSE)),"")</f>
        <v/>
      </c>
      <c r="R36" s="171" t="str">
        <f>IF(C36="","",VLOOKUP(C36,'G-7 Rivers Data'!$B$4:$G$8,4,FALSE))</f>
        <v/>
      </c>
      <c r="S36" s="179" t="str">
        <f t="shared" si="3"/>
        <v/>
      </c>
      <c r="T36" s="269" t="str">
        <f t="shared" si="4"/>
        <v/>
      </c>
      <c r="U36" s="172" t="str">
        <f t="shared" si="5"/>
        <v/>
      </c>
      <c r="V36" s="79"/>
      <c r="W36" s="172" t="str">
        <f>IF(V36="","",IF(VLOOKUP(V36,'G-7 Rivers Data'!$AA$4:$AB$7,2,FALSE)=0,"Spatial Data Missing",VLOOKUP(V36,'G-7 Rivers Data'!$AA$4:$AB$7,2,FALSE)))</f>
        <v/>
      </c>
      <c r="X36" s="187"/>
      <c r="Y36" s="172" t="str">
        <f>IF(X36="","",IF(VLOOKUP(X36,'G-7 Rivers Data'!$AD$4:$AE$8,2,FALSE)=0,"Enrcoachment Data Missing",VLOOKUP(X36,'G-7 Rivers Data'!$AD$4:$AE$8,2,FALSE)))</f>
        <v/>
      </c>
      <c r="Z36" s="186"/>
      <c r="AA36" s="176" t="str">
        <f>IF(Z36="","",VLOOKUP(Z36,'G-7 Rivers Data'!$AO$4:$AP$7,2,FALSE))</f>
        <v/>
      </c>
      <c r="AB36" s="265" t="str">
        <f t="shared" si="6"/>
        <v/>
      </c>
      <c r="AC36" s="180"/>
      <c r="AD36" s="181"/>
      <c r="AK36" s="35" t="str">
        <f>IFERROR(INDEX('G-7 Rivers Data'!$AZ$3:$AZ$7,MATCH(C36,'G-7 Rivers Data'!$AY$3:$AY$7,0)),"")</f>
        <v/>
      </c>
    </row>
    <row r="37" spans="2:37" ht="13.8" x14ac:dyDescent="0.25">
      <c r="B37" s="168">
        <v>26</v>
      </c>
      <c r="C37" s="184"/>
      <c r="D37" s="213"/>
      <c r="E37" s="171" t="str">
        <f>IF(C37="","",VLOOKUP(C37,'G-7 Rivers Data'!$B$2:$Z$9,2,FALSE))</f>
        <v/>
      </c>
      <c r="F37" s="172" t="str">
        <f>IFERROR(VLOOKUP(E37,'G-7 Rivers Data'!$C$4:$D$8,2,FALSE),"")</f>
        <v/>
      </c>
      <c r="G37" s="173"/>
      <c r="H37" s="172" t="str">
        <f>IFERROR(INDEX('G-7 Rivers Data'!$H$4:$L$8,MATCH(C37,'G-7 Rivers Data'!$B$4:$B$8,0),MATCH(G37,'G-7 Rivers Data'!$H$3:$L$3,0)),"")</f>
        <v/>
      </c>
      <c r="I37" s="173"/>
      <c r="J37" s="269" t="str">
        <f>IF(I37="","",IF(VLOOKUP(I37,'G-7 Rivers Data'!$AG$4:$AI$9,2,FALSE)=0,"Spatial Data Missing",VLOOKUP(I37,'G-7 Rivers Data'!$AG$4:$AI$9,2,FALSE)))</f>
        <v/>
      </c>
      <c r="K37" s="172" t="str">
        <f>IF(I37="","",IF(VLOOKUP(I37,'G-7 Rivers Data'!$AG$4:$AI$9,3,FALSE)=0,"Spatial Data Missing",VLOOKUP(I37,'G-7 Rivers Data'!$AG$4:$AI$9,3,FALSE)))</f>
        <v/>
      </c>
      <c r="L37" s="384" t="str">
        <f>IFERROR(INDEX('G-7 Rivers Data'!$O$3:$O$7,MATCH(G37,'G-7 Rivers Data'!$N$3:$N$7,0)),"")</f>
        <v/>
      </c>
      <c r="M37" s="82"/>
      <c r="N37" s="261"/>
      <c r="O37" s="179" t="str">
        <f t="shared" si="1"/>
        <v/>
      </c>
      <c r="P37" s="262" t="str">
        <f t="shared" si="2"/>
        <v/>
      </c>
      <c r="Q37" s="382" t="str">
        <f>IFERROR(IF(P37="Check Data","Check Data",VLOOKUP(P37,'G-4 Temporal multipliers'!$A$4:$C$37,3,FALSE)),"")</f>
        <v/>
      </c>
      <c r="R37" s="171" t="str">
        <f>IF(C37="","",VLOOKUP(C37,'G-7 Rivers Data'!$B$4:$G$8,4,FALSE))</f>
        <v/>
      </c>
      <c r="S37" s="179" t="str">
        <f t="shared" si="3"/>
        <v/>
      </c>
      <c r="T37" s="269" t="str">
        <f t="shared" si="4"/>
        <v/>
      </c>
      <c r="U37" s="172" t="str">
        <f t="shared" si="5"/>
        <v/>
      </c>
      <c r="V37" s="79"/>
      <c r="W37" s="172" t="str">
        <f>IF(V37="","",IF(VLOOKUP(V37,'G-7 Rivers Data'!$AA$4:$AB$7,2,FALSE)=0,"Spatial Data Missing",VLOOKUP(V37,'G-7 Rivers Data'!$AA$4:$AB$7,2,FALSE)))</f>
        <v/>
      </c>
      <c r="X37" s="187"/>
      <c r="Y37" s="172" t="str">
        <f>IF(X37="","",IF(VLOOKUP(X37,'G-7 Rivers Data'!$AD$4:$AE$8,2,FALSE)=0,"Enrcoachment Data Missing",VLOOKUP(X37,'G-7 Rivers Data'!$AD$4:$AE$8,2,FALSE)))</f>
        <v/>
      </c>
      <c r="Z37" s="186"/>
      <c r="AA37" s="176" t="str">
        <f>IF(Z37="","",VLOOKUP(Z37,'G-7 Rivers Data'!$AO$4:$AP$7,2,FALSE))</f>
        <v/>
      </c>
      <c r="AB37" s="265" t="str">
        <f t="shared" si="6"/>
        <v/>
      </c>
      <c r="AC37" s="180"/>
      <c r="AD37" s="181"/>
      <c r="AK37" s="35" t="str">
        <f>IFERROR(INDEX('G-7 Rivers Data'!$AZ$3:$AZ$7,MATCH(C37,'G-7 Rivers Data'!$AY$3:$AY$7,0)),"")</f>
        <v/>
      </c>
    </row>
    <row r="38" spans="2:37" ht="13.8" x14ac:dyDescent="0.25">
      <c r="B38" s="168">
        <v>27</v>
      </c>
      <c r="C38" s="184"/>
      <c r="D38" s="213"/>
      <c r="E38" s="171" t="str">
        <f>IF(C38="","",VLOOKUP(C38,'G-7 Rivers Data'!$B$2:$Z$9,2,FALSE))</f>
        <v/>
      </c>
      <c r="F38" s="172" t="str">
        <f>IFERROR(VLOOKUP(E38,'G-7 Rivers Data'!$C$4:$D$8,2,FALSE),"")</f>
        <v/>
      </c>
      <c r="G38" s="173"/>
      <c r="H38" s="172" t="str">
        <f>IFERROR(INDEX('G-7 Rivers Data'!$H$4:$L$8,MATCH(C38,'G-7 Rivers Data'!$B$4:$B$8,0),MATCH(G38,'G-7 Rivers Data'!$H$3:$L$3,0)),"")</f>
        <v/>
      </c>
      <c r="I38" s="173"/>
      <c r="J38" s="269" t="str">
        <f>IF(I38="","",IF(VLOOKUP(I38,'G-7 Rivers Data'!$AG$4:$AI$9,2,FALSE)=0,"Spatial Data Missing",VLOOKUP(I38,'G-7 Rivers Data'!$AG$4:$AI$9,2,FALSE)))</f>
        <v/>
      </c>
      <c r="K38" s="172" t="str">
        <f>IF(I38="","",IF(VLOOKUP(I38,'G-7 Rivers Data'!$AG$4:$AI$9,3,FALSE)=0,"Spatial Data Missing",VLOOKUP(I38,'G-7 Rivers Data'!$AG$4:$AI$9,3,FALSE)))</f>
        <v/>
      </c>
      <c r="L38" s="384" t="str">
        <f>IFERROR(INDEX('G-7 Rivers Data'!$O$3:$O$7,MATCH(G38,'G-7 Rivers Data'!$N$3:$N$7,0)),"")</f>
        <v/>
      </c>
      <c r="M38" s="82"/>
      <c r="N38" s="261"/>
      <c r="O38" s="179" t="str">
        <f t="shared" si="1"/>
        <v/>
      </c>
      <c r="P38" s="262" t="str">
        <f t="shared" si="2"/>
        <v/>
      </c>
      <c r="Q38" s="382" t="str">
        <f>IFERROR(IF(P38="Check Data","Check Data",VLOOKUP(P38,'G-4 Temporal multipliers'!$A$4:$C$37,3,FALSE)),"")</f>
        <v/>
      </c>
      <c r="R38" s="171" t="str">
        <f>IF(C38="","",VLOOKUP(C38,'G-7 Rivers Data'!$B$4:$G$8,4,FALSE))</f>
        <v/>
      </c>
      <c r="S38" s="179" t="str">
        <f t="shared" si="3"/>
        <v/>
      </c>
      <c r="T38" s="269" t="str">
        <f t="shared" si="4"/>
        <v/>
      </c>
      <c r="U38" s="172" t="str">
        <f t="shared" si="5"/>
        <v/>
      </c>
      <c r="V38" s="79"/>
      <c r="W38" s="172" t="str">
        <f>IF(V38="","",IF(VLOOKUP(V38,'G-7 Rivers Data'!$AA$4:$AB$7,2,FALSE)=0,"Spatial Data Missing",VLOOKUP(V38,'G-7 Rivers Data'!$AA$4:$AB$7,2,FALSE)))</f>
        <v/>
      </c>
      <c r="X38" s="187"/>
      <c r="Y38" s="172" t="str">
        <f>IF(X38="","",IF(VLOOKUP(X38,'G-7 Rivers Data'!$AD$4:$AE$8,2,FALSE)=0,"Enrcoachment Data Missing",VLOOKUP(X38,'G-7 Rivers Data'!$AD$4:$AE$8,2,FALSE)))</f>
        <v/>
      </c>
      <c r="Z38" s="186"/>
      <c r="AA38" s="176" t="str">
        <f>IF(Z38="","",VLOOKUP(Z38,'G-7 Rivers Data'!$AO$4:$AP$7,2,FALSE))</f>
        <v/>
      </c>
      <c r="AB38" s="265" t="str">
        <f t="shared" si="6"/>
        <v/>
      </c>
      <c r="AC38" s="180"/>
      <c r="AD38" s="181"/>
      <c r="AK38" s="35" t="str">
        <f>IFERROR(INDEX('G-7 Rivers Data'!$AZ$3:$AZ$7,MATCH(C38,'G-7 Rivers Data'!$AY$3:$AY$7,0)),"")</f>
        <v/>
      </c>
    </row>
    <row r="39" spans="2:37" ht="13.8" x14ac:dyDescent="0.25">
      <c r="B39" s="168">
        <v>28</v>
      </c>
      <c r="C39" s="184"/>
      <c r="D39" s="213"/>
      <c r="E39" s="171" t="str">
        <f>IF(C39="","",VLOOKUP(C39,'G-7 Rivers Data'!$B$2:$Z$9,2,FALSE))</f>
        <v/>
      </c>
      <c r="F39" s="172" t="str">
        <f>IFERROR(VLOOKUP(E39,'G-7 Rivers Data'!$C$4:$D$8,2,FALSE),"")</f>
        <v/>
      </c>
      <c r="G39" s="173"/>
      <c r="H39" s="172" t="str">
        <f>IFERROR(INDEX('G-7 Rivers Data'!$H$4:$L$8,MATCH(C39,'G-7 Rivers Data'!$B$4:$B$8,0),MATCH(G39,'G-7 Rivers Data'!$H$3:$L$3,0)),"")</f>
        <v/>
      </c>
      <c r="I39" s="173"/>
      <c r="J39" s="269" t="str">
        <f>IF(I39="","",IF(VLOOKUP(I39,'G-7 Rivers Data'!$AG$4:$AI$9,2,FALSE)=0,"Spatial Data Missing",VLOOKUP(I39,'G-7 Rivers Data'!$AG$4:$AI$9,2,FALSE)))</f>
        <v/>
      </c>
      <c r="K39" s="172" t="str">
        <f>IF(I39="","",IF(VLOOKUP(I39,'G-7 Rivers Data'!$AG$4:$AI$9,3,FALSE)=0,"Spatial Data Missing",VLOOKUP(I39,'G-7 Rivers Data'!$AG$4:$AI$9,3,FALSE)))</f>
        <v/>
      </c>
      <c r="L39" s="384" t="str">
        <f>IFERROR(INDEX('G-7 Rivers Data'!$O$3:$O$7,MATCH(G39,'G-7 Rivers Data'!$N$3:$N$7,0)),"")</f>
        <v/>
      </c>
      <c r="M39" s="82"/>
      <c r="N39" s="261"/>
      <c r="O39" s="179" t="str">
        <f t="shared" si="1"/>
        <v/>
      </c>
      <c r="P39" s="262" t="str">
        <f t="shared" si="2"/>
        <v/>
      </c>
      <c r="Q39" s="382" t="str">
        <f>IFERROR(IF(P39="Check Data","Check Data",VLOOKUP(P39,'G-4 Temporal multipliers'!$A$4:$C$37,3,FALSE)),"")</f>
        <v/>
      </c>
      <c r="R39" s="171" t="str">
        <f>IF(C39="","",VLOOKUP(C39,'G-7 Rivers Data'!$B$4:$G$8,4,FALSE))</f>
        <v/>
      </c>
      <c r="S39" s="179" t="str">
        <f t="shared" si="3"/>
        <v/>
      </c>
      <c r="T39" s="269" t="str">
        <f t="shared" si="4"/>
        <v/>
      </c>
      <c r="U39" s="172" t="str">
        <f t="shared" si="5"/>
        <v/>
      </c>
      <c r="V39" s="79"/>
      <c r="W39" s="172" t="str">
        <f>IF(V39="","",IF(VLOOKUP(V39,'G-7 Rivers Data'!$AA$4:$AB$7,2,FALSE)=0,"Spatial Data Missing",VLOOKUP(V39,'G-7 Rivers Data'!$AA$4:$AB$7,2,FALSE)))</f>
        <v/>
      </c>
      <c r="X39" s="187"/>
      <c r="Y39" s="172" t="str">
        <f>IF(X39="","",IF(VLOOKUP(X39,'G-7 Rivers Data'!$AD$4:$AE$8,2,FALSE)=0,"Enrcoachment Data Missing",VLOOKUP(X39,'G-7 Rivers Data'!$AD$4:$AE$8,2,FALSE)))</f>
        <v/>
      </c>
      <c r="Z39" s="186"/>
      <c r="AA39" s="176" t="str">
        <f>IF(Z39="","",VLOOKUP(Z39,'G-7 Rivers Data'!$AO$4:$AP$7,2,FALSE))</f>
        <v/>
      </c>
      <c r="AB39" s="265" t="str">
        <f t="shared" si="6"/>
        <v/>
      </c>
      <c r="AC39" s="180"/>
      <c r="AD39" s="181"/>
      <c r="AK39" s="35" t="str">
        <f>IFERROR(INDEX('G-7 Rivers Data'!$AZ$3:$AZ$7,MATCH(C39,'G-7 Rivers Data'!$AY$3:$AY$7,0)),"")</f>
        <v/>
      </c>
    </row>
    <row r="40" spans="2:37" ht="13.8" x14ac:dyDescent="0.25">
      <c r="B40" s="168">
        <v>29</v>
      </c>
      <c r="C40" s="184"/>
      <c r="D40" s="213"/>
      <c r="E40" s="171" t="str">
        <f>IF(C40="","",VLOOKUP(C40,'G-7 Rivers Data'!$B$2:$Z$9,2,FALSE))</f>
        <v/>
      </c>
      <c r="F40" s="172" t="str">
        <f>IFERROR(VLOOKUP(E40,'G-7 Rivers Data'!$C$4:$D$8,2,FALSE),"")</f>
        <v/>
      </c>
      <c r="G40" s="173"/>
      <c r="H40" s="172" t="str">
        <f>IFERROR(INDEX('G-7 Rivers Data'!$H$4:$L$8,MATCH(C40,'G-7 Rivers Data'!$B$4:$B$8,0),MATCH(G40,'G-7 Rivers Data'!$H$3:$L$3,0)),"")</f>
        <v/>
      </c>
      <c r="I40" s="173"/>
      <c r="J40" s="269" t="str">
        <f>IF(I40="","",IF(VLOOKUP(I40,'G-7 Rivers Data'!$AG$4:$AI$9,2,FALSE)=0,"Spatial Data Missing",VLOOKUP(I40,'G-7 Rivers Data'!$AG$4:$AI$9,2,FALSE)))</f>
        <v/>
      </c>
      <c r="K40" s="172" t="str">
        <f>IF(I40="","",IF(VLOOKUP(I40,'G-7 Rivers Data'!$AG$4:$AI$9,3,FALSE)=0,"Spatial Data Missing",VLOOKUP(I40,'G-7 Rivers Data'!$AG$4:$AI$9,3,FALSE)))</f>
        <v/>
      </c>
      <c r="L40" s="384" t="str">
        <f>IFERROR(INDEX('G-7 Rivers Data'!$O$3:$O$7,MATCH(G40,'G-7 Rivers Data'!$N$3:$N$7,0)),"")</f>
        <v/>
      </c>
      <c r="M40" s="82"/>
      <c r="N40" s="261"/>
      <c r="O40" s="179" t="str">
        <f t="shared" si="1"/>
        <v/>
      </c>
      <c r="P40" s="262" t="str">
        <f t="shared" si="2"/>
        <v/>
      </c>
      <c r="Q40" s="382" t="str">
        <f>IFERROR(IF(P40="Check Data","Check Data",VLOOKUP(P40,'G-4 Temporal multipliers'!$A$4:$C$37,3,FALSE)),"")</f>
        <v/>
      </c>
      <c r="R40" s="171" t="str">
        <f>IF(C40="","",VLOOKUP(C40,'G-7 Rivers Data'!$B$4:$G$8,4,FALSE))</f>
        <v/>
      </c>
      <c r="S40" s="179" t="str">
        <f t="shared" si="3"/>
        <v/>
      </c>
      <c r="T40" s="269" t="str">
        <f t="shared" si="4"/>
        <v/>
      </c>
      <c r="U40" s="172" t="str">
        <f t="shared" si="5"/>
        <v/>
      </c>
      <c r="V40" s="79"/>
      <c r="W40" s="172" t="str">
        <f>IF(V40="","",IF(VLOOKUP(V40,'G-7 Rivers Data'!$AA$4:$AB$7,2,FALSE)=0,"Spatial Data Missing",VLOOKUP(V40,'G-7 Rivers Data'!$AA$4:$AB$7,2,FALSE)))</f>
        <v/>
      </c>
      <c r="X40" s="187"/>
      <c r="Y40" s="172" t="str">
        <f>IF(X40="","",IF(VLOOKUP(X40,'G-7 Rivers Data'!$AD$4:$AE$8,2,FALSE)=0,"Enrcoachment Data Missing",VLOOKUP(X40,'G-7 Rivers Data'!$AD$4:$AE$8,2,FALSE)))</f>
        <v/>
      </c>
      <c r="Z40" s="186"/>
      <c r="AA40" s="176" t="str">
        <f>IF(Z40="","",VLOOKUP(Z40,'G-7 Rivers Data'!$AO$4:$AP$7,2,FALSE))</f>
        <v/>
      </c>
      <c r="AB40" s="265" t="str">
        <f t="shared" si="6"/>
        <v/>
      </c>
      <c r="AC40" s="180"/>
      <c r="AD40" s="181"/>
      <c r="AK40" s="35" t="str">
        <f>IFERROR(INDEX('G-7 Rivers Data'!$AZ$3:$AZ$7,MATCH(C40,'G-7 Rivers Data'!$AY$3:$AY$7,0)),"")</f>
        <v/>
      </c>
    </row>
    <row r="41" spans="2:37" ht="13.8" x14ac:dyDescent="0.25">
      <c r="B41" s="168">
        <v>30</v>
      </c>
      <c r="C41" s="184"/>
      <c r="D41" s="213"/>
      <c r="E41" s="171" t="str">
        <f>IF(C41="","",VLOOKUP(C41,'G-7 Rivers Data'!$B$2:$Z$9,2,FALSE))</f>
        <v/>
      </c>
      <c r="F41" s="172" t="str">
        <f>IFERROR(VLOOKUP(E41,'G-7 Rivers Data'!$C$4:$D$8,2,FALSE),"")</f>
        <v/>
      </c>
      <c r="G41" s="173"/>
      <c r="H41" s="172" t="str">
        <f>IFERROR(INDEX('G-7 Rivers Data'!$H$4:$L$8,MATCH(C41,'G-7 Rivers Data'!$B$4:$B$8,0),MATCH(G41,'G-7 Rivers Data'!$H$3:$L$3,0)),"")</f>
        <v/>
      </c>
      <c r="I41" s="173"/>
      <c r="J41" s="269" t="str">
        <f>IF(I41="","",IF(VLOOKUP(I41,'G-7 Rivers Data'!$AG$4:$AI$9,2,FALSE)=0,"Spatial Data Missing",VLOOKUP(I41,'G-7 Rivers Data'!$AG$4:$AI$9,2,FALSE)))</f>
        <v/>
      </c>
      <c r="K41" s="172" t="str">
        <f>IF(I41="","",IF(VLOOKUP(I41,'G-7 Rivers Data'!$AG$4:$AI$9,3,FALSE)=0,"Spatial Data Missing",VLOOKUP(I41,'G-7 Rivers Data'!$AG$4:$AI$9,3,FALSE)))</f>
        <v/>
      </c>
      <c r="L41" s="384" t="str">
        <f>IFERROR(INDEX('G-7 Rivers Data'!$O$3:$O$7,MATCH(G41,'G-7 Rivers Data'!$N$3:$N$7,0)),"")</f>
        <v/>
      </c>
      <c r="M41" s="82"/>
      <c r="N41" s="261"/>
      <c r="O41" s="179" t="str">
        <f t="shared" si="1"/>
        <v/>
      </c>
      <c r="P41" s="262" t="str">
        <f t="shared" si="2"/>
        <v/>
      </c>
      <c r="Q41" s="382" t="str">
        <f>IFERROR(IF(P41="Check Data","Check Data",VLOOKUP(P41,'G-4 Temporal multipliers'!$A$4:$C$37,3,FALSE)),"")</f>
        <v/>
      </c>
      <c r="R41" s="171" t="str">
        <f>IF(C41="","",VLOOKUP(C41,'G-7 Rivers Data'!$B$4:$G$8,4,FALSE))</f>
        <v/>
      </c>
      <c r="S41" s="179" t="str">
        <f t="shared" si="3"/>
        <v/>
      </c>
      <c r="T41" s="269" t="str">
        <f t="shared" si="4"/>
        <v/>
      </c>
      <c r="U41" s="172" t="str">
        <f t="shared" si="5"/>
        <v/>
      </c>
      <c r="V41" s="79"/>
      <c r="W41" s="172" t="str">
        <f>IF(V41="","",IF(VLOOKUP(V41,'G-7 Rivers Data'!$AA$4:$AB$7,2,FALSE)=0,"Spatial Data Missing",VLOOKUP(V41,'G-7 Rivers Data'!$AA$4:$AB$7,2,FALSE)))</f>
        <v/>
      </c>
      <c r="X41" s="187"/>
      <c r="Y41" s="172" t="str">
        <f>IF(X41="","",IF(VLOOKUP(X41,'G-7 Rivers Data'!$AD$4:$AE$8,2,FALSE)=0,"Enrcoachment Data Missing",VLOOKUP(X41,'G-7 Rivers Data'!$AD$4:$AE$8,2,FALSE)))</f>
        <v/>
      </c>
      <c r="Z41" s="186"/>
      <c r="AA41" s="176" t="str">
        <f>IF(Z41="","",VLOOKUP(Z41,'G-7 Rivers Data'!$AO$4:$AP$7,2,FALSE))</f>
        <v/>
      </c>
      <c r="AB41" s="265" t="str">
        <f t="shared" si="6"/>
        <v/>
      </c>
      <c r="AC41" s="180"/>
      <c r="AD41" s="181"/>
      <c r="AK41" s="35" t="str">
        <f>IFERROR(INDEX('G-7 Rivers Data'!$AZ$3:$AZ$7,MATCH(C41,'G-7 Rivers Data'!$AY$3:$AY$7,0)),"")</f>
        <v/>
      </c>
    </row>
    <row r="42" spans="2:37" ht="13.8" x14ac:dyDescent="0.25">
      <c r="B42" s="168">
        <v>31</v>
      </c>
      <c r="C42" s="184"/>
      <c r="D42" s="213"/>
      <c r="E42" s="171" t="str">
        <f>IF(C42="","",VLOOKUP(C42,'G-7 Rivers Data'!$B$2:$Z$9,2,FALSE))</f>
        <v/>
      </c>
      <c r="F42" s="172" t="str">
        <f>IFERROR(VLOOKUP(E42,'G-7 Rivers Data'!$C$4:$D$8,2,FALSE),"")</f>
        <v/>
      </c>
      <c r="G42" s="173"/>
      <c r="H42" s="172" t="str">
        <f>IFERROR(INDEX('G-7 Rivers Data'!$H$4:$L$8,MATCH(C42,'G-7 Rivers Data'!$B$4:$B$8,0),MATCH(G42,'G-7 Rivers Data'!$H$3:$L$3,0)),"")</f>
        <v/>
      </c>
      <c r="I42" s="173"/>
      <c r="J42" s="269" t="str">
        <f>IF(I42="","",IF(VLOOKUP(I42,'G-7 Rivers Data'!$AG$4:$AI$9,2,FALSE)=0,"Spatial Data Missing",VLOOKUP(I42,'G-7 Rivers Data'!$AG$4:$AI$9,2,FALSE)))</f>
        <v/>
      </c>
      <c r="K42" s="172" t="str">
        <f>IF(I42="","",IF(VLOOKUP(I42,'G-7 Rivers Data'!$AG$4:$AI$9,3,FALSE)=0,"Spatial Data Missing",VLOOKUP(I42,'G-7 Rivers Data'!$AG$4:$AI$9,3,FALSE)))</f>
        <v/>
      </c>
      <c r="L42" s="384" t="str">
        <f>IFERROR(INDEX('G-7 Rivers Data'!$O$3:$O$7,MATCH(G42,'G-7 Rivers Data'!$N$3:$N$7,0)),"")</f>
        <v/>
      </c>
      <c r="M42" s="82"/>
      <c r="N42" s="261"/>
      <c r="O42" s="179" t="str">
        <f t="shared" si="1"/>
        <v/>
      </c>
      <c r="P42" s="262" t="str">
        <f t="shared" si="2"/>
        <v/>
      </c>
      <c r="Q42" s="382" t="str">
        <f>IFERROR(IF(P42="Check Data","Check Data",VLOOKUP(P42,'G-4 Temporal multipliers'!$A$4:$C$37,3,FALSE)),"")</f>
        <v/>
      </c>
      <c r="R42" s="171" t="str">
        <f>IF(C42="","",VLOOKUP(C42,'G-7 Rivers Data'!$B$4:$G$8,4,FALSE))</f>
        <v/>
      </c>
      <c r="S42" s="179" t="str">
        <f t="shared" si="3"/>
        <v/>
      </c>
      <c r="T42" s="269" t="str">
        <f t="shared" si="4"/>
        <v/>
      </c>
      <c r="U42" s="172" t="str">
        <f t="shared" si="5"/>
        <v/>
      </c>
      <c r="V42" s="79"/>
      <c r="W42" s="172" t="str">
        <f>IF(V42="","",IF(VLOOKUP(V42,'G-7 Rivers Data'!$AA$4:$AB$7,2,FALSE)=0,"Spatial Data Missing",VLOOKUP(V42,'G-7 Rivers Data'!$AA$4:$AB$7,2,FALSE)))</f>
        <v/>
      </c>
      <c r="X42" s="187"/>
      <c r="Y42" s="172" t="str">
        <f>IF(X42="","",IF(VLOOKUP(X42,'G-7 Rivers Data'!$AD$4:$AE$8,2,FALSE)=0,"Enrcoachment Data Missing",VLOOKUP(X42,'G-7 Rivers Data'!$AD$4:$AE$8,2,FALSE)))</f>
        <v/>
      </c>
      <c r="Z42" s="186"/>
      <c r="AA42" s="176" t="str">
        <f>IF(Z42="","",VLOOKUP(Z42,'G-7 Rivers Data'!$AO$4:$AP$7,2,FALSE))</f>
        <v/>
      </c>
      <c r="AB42" s="265" t="str">
        <f t="shared" si="6"/>
        <v/>
      </c>
      <c r="AC42" s="180"/>
      <c r="AD42" s="181"/>
      <c r="AK42" s="35" t="str">
        <f>IFERROR(INDEX('G-7 Rivers Data'!$AZ$3:$AZ$7,MATCH(C42,'G-7 Rivers Data'!$AY$3:$AY$7,0)),"")</f>
        <v/>
      </c>
    </row>
    <row r="43" spans="2:37" ht="13.8" x14ac:dyDescent="0.25">
      <c r="B43" s="168">
        <v>32</v>
      </c>
      <c r="C43" s="184"/>
      <c r="D43" s="213"/>
      <c r="E43" s="171" t="str">
        <f>IF(C43="","",VLOOKUP(C43,'G-7 Rivers Data'!$B$2:$Z$9,2,FALSE))</f>
        <v/>
      </c>
      <c r="F43" s="172" t="str">
        <f>IFERROR(VLOOKUP(E43,'G-7 Rivers Data'!$C$4:$D$8,2,FALSE),"")</f>
        <v/>
      </c>
      <c r="G43" s="173"/>
      <c r="H43" s="172" t="str">
        <f>IFERROR(INDEX('G-7 Rivers Data'!$H$4:$L$8,MATCH(C43,'G-7 Rivers Data'!$B$4:$B$8,0),MATCH(G43,'G-7 Rivers Data'!$H$3:$L$3,0)),"")</f>
        <v/>
      </c>
      <c r="I43" s="173"/>
      <c r="J43" s="269" t="str">
        <f>IF(I43="","",IF(VLOOKUP(I43,'G-7 Rivers Data'!$AG$4:$AI$9,2,FALSE)=0,"Spatial Data Missing",VLOOKUP(I43,'G-7 Rivers Data'!$AG$4:$AI$9,2,FALSE)))</f>
        <v/>
      </c>
      <c r="K43" s="172" t="str">
        <f>IF(I43="","",IF(VLOOKUP(I43,'G-7 Rivers Data'!$AG$4:$AI$9,3,FALSE)=0,"Spatial Data Missing",VLOOKUP(I43,'G-7 Rivers Data'!$AG$4:$AI$9,3,FALSE)))</f>
        <v/>
      </c>
      <c r="L43" s="384" t="str">
        <f>IFERROR(INDEX('G-7 Rivers Data'!$O$3:$O$7,MATCH(G43,'G-7 Rivers Data'!$N$3:$N$7,0)),"")</f>
        <v/>
      </c>
      <c r="M43" s="82"/>
      <c r="N43" s="261"/>
      <c r="O43" s="179" t="str">
        <f t="shared" si="1"/>
        <v/>
      </c>
      <c r="P43" s="262" t="str">
        <f t="shared" si="2"/>
        <v/>
      </c>
      <c r="Q43" s="382" t="str">
        <f>IFERROR(IF(P43="Check Data","Check Data",VLOOKUP(P43,'G-4 Temporal multipliers'!$A$4:$C$37,3,FALSE)),"")</f>
        <v/>
      </c>
      <c r="R43" s="171" t="str">
        <f>IF(C43="","",VLOOKUP(C43,'G-7 Rivers Data'!$B$4:$G$8,4,FALSE))</f>
        <v/>
      </c>
      <c r="S43" s="179" t="str">
        <f t="shared" si="3"/>
        <v/>
      </c>
      <c r="T43" s="269" t="str">
        <f t="shared" si="4"/>
        <v/>
      </c>
      <c r="U43" s="172" t="str">
        <f t="shared" si="5"/>
        <v/>
      </c>
      <c r="V43" s="79"/>
      <c r="W43" s="172" t="str">
        <f>IF(V43="","",IF(VLOOKUP(V43,'G-7 Rivers Data'!$AA$4:$AB$7,2,FALSE)=0,"Spatial Data Missing",VLOOKUP(V43,'G-7 Rivers Data'!$AA$4:$AB$7,2,FALSE)))</f>
        <v/>
      </c>
      <c r="X43" s="187"/>
      <c r="Y43" s="172" t="str">
        <f>IF(X43="","",IF(VLOOKUP(X43,'G-7 Rivers Data'!$AD$4:$AE$8,2,FALSE)=0,"Enrcoachment Data Missing",VLOOKUP(X43,'G-7 Rivers Data'!$AD$4:$AE$8,2,FALSE)))</f>
        <v/>
      </c>
      <c r="Z43" s="186"/>
      <c r="AA43" s="176" t="str">
        <f>IF(Z43="","",VLOOKUP(Z43,'G-7 Rivers Data'!$AO$4:$AP$7,2,FALSE))</f>
        <v/>
      </c>
      <c r="AB43" s="265" t="str">
        <f t="shared" si="6"/>
        <v/>
      </c>
      <c r="AC43" s="180"/>
      <c r="AD43" s="181"/>
      <c r="AK43" s="35" t="str">
        <f>IFERROR(INDEX('G-7 Rivers Data'!$AZ$3:$AZ$7,MATCH(C43,'G-7 Rivers Data'!$AY$3:$AY$7,0)),"")</f>
        <v/>
      </c>
    </row>
    <row r="44" spans="2:37" ht="13.8" x14ac:dyDescent="0.25">
      <c r="B44" s="168">
        <v>33</v>
      </c>
      <c r="C44" s="184"/>
      <c r="D44" s="213"/>
      <c r="E44" s="171" t="str">
        <f>IF(C44="","",VLOOKUP(C44,'G-7 Rivers Data'!$B$2:$Z$9,2,FALSE))</f>
        <v/>
      </c>
      <c r="F44" s="172" t="str">
        <f>IFERROR(VLOOKUP(E44,'G-7 Rivers Data'!$C$4:$D$8,2,FALSE),"")</f>
        <v/>
      </c>
      <c r="G44" s="173"/>
      <c r="H44" s="172" t="str">
        <f>IFERROR(INDEX('G-7 Rivers Data'!$H$4:$L$8,MATCH(C44,'G-7 Rivers Data'!$B$4:$B$8,0),MATCH(G44,'G-7 Rivers Data'!$H$3:$L$3,0)),"")</f>
        <v/>
      </c>
      <c r="I44" s="173"/>
      <c r="J44" s="269" t="str">
        <f>IF(I44="","",IF(VLOOKUP(I44,'G-7 Rivers Data'!$AG$4:$AI$9,2,FALSE)=0,"Spatial Data Missing",VLOOKUP(I44,'G-7 Rivers Data'!$AG$4:$AI$9,2,FALSE)))</f>
        <v/>
      </c>
      <c r="K44" s="172" t="str">
        <f>IF(I44="","",IF(VLOOKUP(I44,'G-7 Rivers Data'!$AG$4:$AI$9,3,FALSE)=0,"Spatial Data Missing",VLOOKUP(I44,'G-7 Rivers Data'!$AG$4:$AI$9,3,FALSE)))</f>
        <v/>
      </c>
      <c r="L44" s="384" t="str">
        <f>IFERROR(INDEX('G-7 Rivers Data'!$O$3:$O$7,MATCH(G44,'G-7 Rivers Data'!$N$3:$N$7,0)),"")</f>
        <v/>
      </c>
      <c r="M44" s="82"/>
      <c r="N44" s="261"/>
      <c r="O44" s="179" t="str">
        <f t="shared" si="1"/>
        <v/>
      </c>
      <c r="P44" s="262" t="str">
        <f t="shared" si="2"/>
        <v/>
      </c>
      <c r="Q44" s="382" t="str">
        <f>IFERROR(IF(P44="Check Data","Check Data",VLOOKUP(P44,'G-4 Temporal multipliers'!$A$4:$C$37,3,FALSE)),"")</f>
        <v/>
      </c>
      <c r="R44" s="171" t="str">
        <f>IF(C44="","",VLOOKUP(C44,'G-7 Rivers Data'!$B$4:$G$8,4,FALSE))</f>
        <v/>
      </c>
      <c r="S44" s="179" t="str">
        <f t="shared" si="3"/>
        <v/>
      </c>
      <c r="T44" s="269" t="str">
        <f t="shared" si="4"/>
        <v/>
      </c>
      <c r="U44" s="172" t="str">
        <f t="shared" si="5"/>
        <v/>
      </c>
      <c r="V44" s="79"/>
      <c r="W44" s="172" t="str">
        <f>IF(V44="","",IF(VLOOKUP(V44,'G-7 Rivers Data'!$AA$4:$AB$7,2,FALSE)=0,"Spatial Data Missing",VLOOKUP(V44,'G-7 Rivers Data'!$AA$4:$AB$7,2,FALSE)))</f>
        <v/>
      </c>
      <c r="X44" s="187"/>
      <c r="Y44" s="172" t="str">
        <f>IF(X44="","",IF(VLOOKUP(X44,'G-7 Rivers Data'!$AD$4:$AE$8,2,FALSE)=0,"Enrcoachment Data Missing",VLOOKUP(X44,'G-7 Rivers Data'!$AD$4:$AE$8,2,FALSE)))</f>
        <v/>
      </c>
      <c r="Z44" s="186"/>
      <c r="AA44" s="176" t="str">
        <f>IF(Z44="","",VLOOKUP(Z44,'G-7 Rivers Data'!$AO$4:$AP$7,2,FALSE))</f>
        <v/>
      </c>
      <c r="AB44" s="265" t="str">
        <f t="shared" si="6"/>
        <v/>
      </c>
      <c r="AC44" s="180"/>
      <c r="AD44" s="181"/>
      <c r="AK44" s="35" t="str">
        <f>IFERROR(INDEX('G-7 Rivers Data'!$AZ$3:$AZ$7,MATCH(C44,'G-7 Rivers Data'!$AY$3:$AY$7,0)),"")</f>
        <v/>
      </c>
    </row>
    <row r="45" spans="2:37" ht="13.8" x14ac:dyDescent="0.25">
      <c r="B45" s="168">
        <v>34</v>
      </c>
      <c r="C45" s="184"/>
      <c r="D45" s="213"/>
      <c r="E45" s="171" t="str">
        <f>IF(C45="","",VLOOKUP(C45,'G-7 Rivers Data'!$B$2:$Z$9,2,FALSE))</f>
        <v/>
      </c>
      <c r="F45" s="172" t="str">
        <f>IFERROR(VLOOKUP(E45,'G-7 Rivers Data'!$C$4:$D$8,2,FALSE),"")</f>
        <v/>
      </c>
      <c r="G45" s="173"/>
      <c r="H45" s="172" t="str">
        <f>IFERROR(INDEX('G-7 Rivers Data'!$H$4:$L$8,MATCH(C45,'G-7 Rivers Data'!$B$4:$B$8,0),MATCH(G45,'G-7 Rivers Data'!$H$3:$L$3,0)),"")</f>
        <v/>
      </c>
      <c r="I45" s="173"/>
      <c r="J45" s="269" t="str">
        <f>IF(I45="","",IF(VLOOKUP(I45,'G-7 Rivers Data'!$AG$4:$AI$9,2,FALSE)=0,"Spatial Data Missing",VLOOKUP(I45,'G-7 Rivers Data'!$AG$4:$AI$9,2,FALSE)))</f>
        <v/>
      </c>
      <c r="K45" s="172" t="str">
        <f>IF(I45="","",IF(VLOOKUP(I45,'G-7 Rivers Data'!$AG$4:$AI$9,3,FALSE)=0,"Spatial Data Missing",VLOOKUP(I45,'G-7 Rivers Data'!$AG$4:$AI$9,3,FALSE)))</f>
        <v/>
      </c>
      <c r="L45" s="384" t="str">
        <f>IFERROR(INDEX('G-7 Rivers Data'!$O$3:$O$7,MATCH(G45,'G-7 Rivers Data'!$N$3:$N$7,0)),"")</f>
        <v/>
      </c>
      <c r="M45" s="82"/>
      <c r="N45" s="261"/>
      <c r="O45" s="179" t="str">
        <f t="shared" si="1"/>
        <v/>
      </c>
      <c r="P45" s="262" t="str">
        <f t="shared" si="2"/>
        <v/>
      </c>
      <c r="Q45" s="382" t="str">
        <f>IFERROR(IF(P45="Check Data","Check Data",VLOOKUP(P45,'G-4 Temporal multipliers'!$A$4:$C$37,3,FALSE)),"")</f>
        <v/>
      </c>
      <c r="R45" s="171" t="str">
        <f>IF(C45="","",VLOOKUP(C45,'G-7 Rivers Data'!$B$4:$G$8,4,FALSE))</f>
        <v/>
      </c>
      <c r="S45" s="179" t="str">
        <f t="shared" si="3"/>
        <v/>
      </c>
      <c r="T45" s="269" t="str">
        <f t="shared" si="4"/>
        <v/>
      </c>
      <c r="U45" s="172" t="str">
        <f t="shared" si="5"/>
        <v/>
      </c>
      <c r="V45" s="79"/>
      <c r="W45" s="172" t="str">
        <f>IF(V45="","",IF(VLOOKUP(V45,'G-7 Rivers Data'!$AA$4:$AB$7,2,FALSE)=0,"Spatial Data Missing",VLOOKUP(V45,'G-7 Rivers Data'!$AA$4:$AB$7,2,FALSE)))</f>
        <v/>
      </c>
      <c r="X45" s="187"/>
      <c r="Y45" s="172" t="str">
        <f>IF(X45="","",IF(VLOOKUP(X45,'G-7 Rivers Data'!$AD$4:$AE$8,2,FALSE)=0,"Enrcoachment Data Missing",VLOOKUP(X45,'G-7 Rivers Data'!$AD$4:$AE$8,2,FALSE)))</f>
        <v/>
      </c>
      <c r="Z45" s="186"/>
      <c r="AA45" s="176" t="str">
        <f>IF(Z45="","",VLOOKUP(Z45,'G-7 Rivers Data'!$AO$4:$AP$7,2,FALSE))</f>
        <v/>
      </c>
      <c r="AB45" s="265" t="str">
        <f t="shared" si="6"/>
        <v/>
      </c>
      <c r="AC45" s="180"/>
      <c r="AD45" s="181"/>
      <c r="AK45" s="35" t="str">
        <f>IFERROR(INDEX('G-7 Rivers Data'!$AZ$3:$AZ$7,MATCH(C45,'G-7 Rivers Data'!$AY$3:$AY$7,0)),"")</f>
        <v/>
      </c>
    </row>
    <row r="46" spans="2:37" ht="13.8" x14ac:dyDescent="0.25">
      <c r="B46" s="168">
        <v>35</v>
      </c>
      <c r="C46" s="184"/>
      <c r="D46" s="213"/>
      <c r="E46" s="171" t="str">
        <f>IF(C46="","",VLOOKUP(C46,'G-7 Rivers Data'!$B$2:$Z$9,2,FALSE))</f>
        <v/>
      </c>
      <c r="F46" s="172" t="str">
        <f>IFERROR(VLOOKUP(E46,'G-7 Rivers Data'!$C$4:$D$8,2,FALSE),"")</f>
        <v/>
      </c>
      <c r="G46" s="173"/>
      <c r="H46" s="172" t="str">
        <f>IFERROR(INDEX('G-7 Rivers Data'!$H$4:$L$8,MATCH(C46,'G-7 Rivers Data'!$B$4:$B$8,0),MATCH(G46,'G-7 Rivers Data'!$H$3:$L$3,0)),"")</f>
        <v/>
      </c>
      <c r="I46" s="173"/>
      <c r="J46" s="269" t="str">
        <f>IF(I46="","",IF(VLOOKUP(I46,'G-7 Rivers Data'!$AG$4:$AI$9,2,FALSE)=0,"Spatial Data Missing",VLOOKUP(I46,'G-7 Rivers Data'!$AG$4:$AI$9,2,FALSE)))</f>
        <v/>
      </c>
      <c r="K46" s="172" t="str">
        <f>IF(I46="","",IF(VLOOKUP(I46,'G-7 Rivers Data'!$AG$4:$AI$9,3,FALSE)=0,"Spatial Data Missing",VLOOKUP(I46,'G-7 Rivers Data'!$AG$4:$AI$9,3,FALSE)))</f>
        <v/>
      </c>
      <c r="L46" s="384" t="str">
        <f>IFERROR(INDEX('G-7 Rivers Data'!$O$3:$O$7,MATCH(G46,'G-7 Rivers Data'!$N$3:$N$7,0)),"")</f>
        <v/>
      </c>
      <c r="M46" s="82"/>
      <c r="N46" s="261"/>
      <c r="O46" s="179" t="str">
        <f t="shared" si="1"/>
        <v/>
      </c>
      <c r="P46" s="262" t="str">
        <f t="shared" si="2"/>
        <v/>
      </c>
      <c r="Q46" s="382" t="str">
        <f>IFERROR(IF(P46="Check Data","Check Data",VLOOKUP(P46,'G-4 Temporal multipliers'!$A$4:$C$37,3,FALSE)),"")</f>
        <v/>
      </c>
      <c r="R46" s="171" t="str">
        <f>IF(C46="","",VLOOKUP(C46,'G-7 Rivers Data'!$B$4:$G$8,4,FALSE))</f>
        <v/>
      </c>
      <c r="S46" s="179" t="str">
        <f t="shared" si="3"/>
        <v/>
      </c>
      <c r="T46" s="269" t="str">
        <f t="shared" si="4"/>
        <v/>
      </c>
      <c r="U46" s="172" t="str">
        <f t="shared" si="5"/>
        <v/>
      </c>
      <c r="V46" s="79"/>
      <c r="W46" s="172" t="str">
        <f>IF(V46="","",IF(VLOOKUP(V46,'G-7 Rivers Data'!$AA$4:$AB$7,2,FALSE)=0,"Spatial Data Missing",VLOOKUP(V46,'G-7 Rivers Data'!$AA$4:$AB$7,2,FALSE)))</f>
        <v/>
      </c>
      <c r="X46" s="187"/>
      <c r="Y46" s="172" t="str">
        <f>IF(X46="","",IF(VLOOKUP(X46,'G-7 Rivers Data'!$AD$4:$AE$8,2,FALSE)=0,"Enrcoachment Data Missing",VLOOKUP(X46,'G-7 Rivers Data'!$AD$4:$AE$8,2,FALSE)))</f>
        <v/>
      </c>
      <c r="Z46" s="186"/>
      <c r="AA46" s="176" t="str">
        <f>IF(Z46="","",VLOOKUP(Z46,'G-7 Rivers Data'!$AO$4:$AP$7,2,FALSE))</f>
        <v/>
      </c>
      <c r="AB46" s="265" t="str">
        <f t="shared" si="6"/>
        <v/>
      </c>
      <c r="AC46" s="180"/>
      <c r="AD46" s="181"/>
      <c r="AK46" s="35" t="str">
        <f>IFERROR(INDEX('G-7 Rivers Data'!$AZ$3:$AZ$7,MATCH(C46,'G-7 Rivers Data'!$AY$3:$AY$7,0)),"")</f>
        <v/>
      </c>
    </row>
    <row r="47" spans="2:37" ht="13.8" x14ac:dyDescent="0.25">
      <c r="B47" s="168">
        <v>36</v>
      </c>
      <c r="C47" s="184"/>
      <c r="D47" s="213"/>
      <c r="E47" s="171" t="str">
        <f>IF(C47="","",VLOOKUP(C47,'G-7 Rivers Data'!$B$2:$Z$9,2,FALSE))</f>
        <v/>
      </c>
      <c r="F47" s="172" t="str">
        <f>IFERROR(VLOOKUP(E47,'G-7 Rivers Data'!$C$4:$D$8,2,FALSE),"")</f>
        <v/>
      </c>
      <c r="G47" s="173"/>
      <c r="H47" s="172" t="str">
        <f>IFERROR(INDEX('G-7 Rivers Data'!$H$4:$L$8,MATCH(C47,'G-7 Rivers Data'!$B$4:$B$8,0),MATCH(G47,'G-7 Rivers Data'!$H$3:$L$3,0)),"")</f>
        <v/>
      </c>
      <c r="I47" s="173"/>
      <c r="J47" s="269" t="str">
        <f>IF(I47="","",IF(VLOOKUP(I47,'G-7 Rivers Data'!$AG$4:$AI$9,2,FALSE)=0,"Spatial Data Missing",VLOOKUP(I47,'G-7 Rivers Data'!$AG$4:$AI$9,2,FALSE)))</f>
        <v/>
      </c>
      <c r="K47" s="172" t="str">
        <f>IF(I47="","",IF(VLOOKUP(I47,'G-7 Rivers Data'!$AG$4:$AI$9,3,FALSE)=0,"Spatial Data Missing",VLOOKUP(I47,'G-7 Rivers Data'!$AG$4:$AI$9,3,FALSE)))</f>
        <v/>
      </c>
      <c r="L47" s="384" t="str">
        <f>IFERROR(INDEX('G-7 Rivers Data'!$O$3:$O$7,MATCH(G47,'G-7 Rivers Data'!$N$3:$N$7,0)),"")</f>
        <v/>
      </c>
      <c r="M47" s="82"/>
      <c r="N47" s="261"/>
      <c r="O47" s="179" t="str">
        <f t="shared" si="1"/>
        <v/>
      </c>
      <c r="P47" s="262" t="str">
        <f t="shared" si="2"/>
        <v/>
      </c>
      <c r="Q47" s="382" t="str">
        <f>IFERROR(IF(P47="Check Data","Check Data",VLOOKUP(P47,'G-4 Temporal multipliers'!$A$4:$C$37,3,FALSE)),"")</f>
        <v/>
      </c>
      <c r="R47" s="171" t="str">
        <f>IF(C47="","",VLOOKUP(C47,'G-7 Rivers Data'!$B$4:$G$8,4,FALSE))</f>
        <v/>
      </c>
      <c r="S47" s="179" t="str">
        <f t="shared" si="3"/>
        <v/>
      </c>
      <c r="T47" s="269" t="str">
        <f t="shared" si="4"/>
        <v/>
      </c>
      <c r="U47" s="172" t="str">
        <f t="shared" si="5"/>
        <v/>
      </c>
      <c r="V47" s="79"/>
      <c r="W47" s="172" t="str">
        <f>IF(V47="","",IF(VLOOKUP(V47,'G-7 Rivers Data'!$AA$4:$AB$7,2,FALSE)=0,"Spatial Data Missing",VLOOKUP(V47,'G-7 Rivers Data'!$AA$4:$AB$7,2,FALSE)))</f>
        <v/>
      </c>
      <c r="X47" s="187"/>
      <c r="Y47" s="172" t="str">
        <f>IF(X47="","",IF(VLOOKUP(X47,'G-7 Rivers Data'!$AD$4:$AE$8,2,FALSE)=0,"Enrcoachment Data Missing",VLOOKUP(X47,'G-7 Rivers Data'!$AD$4:$AE$8,2,FALSE)))</f>
        <v/>
      </c>
      <c r="Z47" s="186"/>
      <c r="AA47" s="176" t="str">
        <f>IF(Z47="","",VLOOKUP(Z47,'G-7 Rivers Data'!$AO$4:$AP$7,2,FALSE))</f>
        <v/>
      </c>
      <c r="AB47" s="265" t="str">
        <f t="shared" si="6"/>
        <v/>
      </c>
      <c r="AC47" s="180"/>
      <c r="AD47" s="181"/>
      <c r="AK47" s="35" t="str">
        <f>IFERROR(INDEX('G-7 Rivers Data'!$AZ$3:$AZ$7,MATCH(C47,'G-7 Rivers Data'!$AY$3:$AY$7,0)),"")</f>
        <v/>
      </c>
    </row>
    <row r="48" spans="2:37" ht="13.8" x14ac:dyDescent="0.25">
      <c r="B48" s="168">
        <v>37</v>
      </c>
      <c r="C48" s="184"/>
      <c r="D48" s="213"/>
      <c r="E48" s="171" t="str">
        <f>IF(C48="","",VLOOKUP(C48,'G-7 Rivers Data'!$B$2:$Z$9,2,FALSE))</f>
        <v/>
      </c>
      <c r="F48" s="172" t="str">
        <f>IFERROR(VLOOKUP(E48,'G-7 Rivers Data'!$C$4:$D$8,2,FALSE),"")</f>
        <v/>
      </c>
      <c r="G48" s="173"/>
      <c r="H48" s="172" t="str">
        <f>IFERROR(INDEX('G-7 Rivers Data'!$H$4:$L$8,MATCH(C48,'G-7 Rivers Data'!$B$4:$B$8,0),MATCH(G48,'G-7 Rivers Data'!$H$3:$L$3,0)),"")</f>
        <v/>
      </c>
      <c r="I48" s="173"/>
      <c r="J48" s="269" t="str">
        <f>IF(I48="","",IF(VLOOKUP(I48,'G-7 Rivers Data'!$AG$4:$AI$9,2,FALSE)=0,"Spatial Data Missing",VLOOKUP(I48,'G-7 Rivers Data'!$AG$4:$AI$9,2,FALSE)))</f>
        <v/>
      </c>
      <c r="K48" s="172" t="str">
        <f>IF(I48="","",IF(VLOOKUP(I48,'G-7 Rivers Data'!$AG$4:$AI$9,3,FALSE)=0,"Spatial Data Missing",VLOOKUP(I48,'G-7 Rivers Data'!$AG$4:$AI$9,3,FALSE)))</f>
        <v/>
      </c>
      <c r="L48" s="384" t="str">
        <f>IFERROR(INDEX('G-7 Rivers Data'!$O$3:$O$7,MATCH(G48,'G-7 Rivers Data'!$N$3:$N$7,0)),"")</f>
        <v/>
      </c>
      <c r="M48" s="82"/>
      <c r="N48" s="261"/>
      <c r="O48" s="179" t="str">
        <f t="shared" si="1"/>
        <v/>
      </c>
      <c r="P48" s="262" t="str">
        <f t="shared" si="2"/>
        <v/>
      </c>
      <c r="Q48" s="382" t="str">
        <f>IFERROR(IF(P48="Check Data","Check Data",VLOOKUP(P48,'G-4 Temporal multipliers'!$A$4:$C$37,3,FALSE)),"")</f>
        <v/>
      </c>
      <c r="R48" s="171" t="str">
        <f>IF(C48="","",VLOOKUP(C48,'G-7 Rivers Data'!$B$4:$G$8,4,FALSE))</f>
        <v/>
      </c>
      <c r="S48" s="179" t="str">
        <f t="shared" si="3"/>
        <v/>
      </c>
      <c r="T48" s="269" t="str">
        <f t="shared" si="4"/>
        <v/>
      </c>
      <c r="U48" s="172" t="str">
        <f t="shared" si="5"/>
        <v/>
      </c>
      <c r="V48" s="79"/>
      <c r="W48" s="172" t="str">
        <f>IF(V48="","",IF(VLOOKUP(V48,'G-7 Rivers Data'!$AA$4:$AB$7,2,FALSE)=0,"Spatial Data Missing",VLOOKUP(V48,'G-7 Rivers Data'!$AA$4:$AB$7,2,FALSE)))</f>
        <v/>
      </c>
      <c r="X48" s="187"/>
      <c r="Y48" s="172" t="str">
        <f>IF(X48="","",IF(VLOOKUP(X48,'G-7 Rivers Data'!$AD$4:$AE$8,2,FALSE)=0,"Enrcoachment Data Missing",VLOOKUP(X48,'G-7 Rivers Data'!$AD$4:$AE$8,2,FALSE)))</f>
        <v/>
      </c>
      <c r="Z48" s="186"/>
      <c r="AA48" s="176" t="str">
        <f>IF(Z48="","",VLOOKUP(Z48,'G-7 Rivers Data'!$AO$4:$AP$7,2,FALSE))</f>
        <v/>
      </c>
      <c r="AB48" s="265" t="str">
        <f t="shared" si="6"/>
        <v/>
      </c>
      <c r="AC48" s="180"/>
      <c r="AD48" s="181"/>
      <c r="AK48" s="35" t="str">
        <f>IFERROR(INDEX('G-7 Rivers Data'!$AZ$3:$AZ$7,MATCH(C48,'G-7 Rivers Data'!$AY$3:$AY$7,0)),"")</f>
        <v/>
      </c>
    </row>
    <row r="49" spans="2:37" ht="13.8" x14ac:dyDescent="0.25">
      <c r="B49" s="168">
        <v>38</v>
      </c>
      <c r="C49" s="184"/>
      <c r="D49" s="213"/>
      <c r="E49" s="171" t="str">
        <f>IF(C49="","",VLOOKUP(C49,'G-7 Rivers Data'!$B$2:$Z$9,2,FALSE))</f>
        <v/>
      </c>
      <c r="F49" s="172" t="str">
        <f>IFERROR(VLOOKUP(E49,'G-7 Rivers Data'!$C$4:$D$8,2,FALSE),"")</f>
        <v/>
      </c>
      <c r="G49" s="173"/>
      <c r="H49" s="172" t="str">
        <f>IFERROR(INDEX('G-7 Rivers Data'!$H$4:$L$8,MATCH(C49,'G-7 Rivers Data'!$B$4:$B$8,0),MATCH(G49,'G-7 Rivers Data'!$H$3:$L$3,0)),"")</f>
        <v/>
      </c>
      <c r="I49" s="173"/>
      <c r="J49" s="269" t="str">
        <f>IF(I49="","",IF(VLOOKUP(I49,'G-7 Rivers Data'!$AG$4:$AI$9,2,FALSE)=0,"Spatial Data Missing",VLOOKUP(I49,'G-7 Rivers Data'!$AG$4:$AI$9,2,FALSE)))</f>
        <v/>
      </c>
      <c r="K49" s="172" t="str">
        <f>IF(I49="","",IF(VLOOKUP(I49,'G-7 Rivers Data'!$AG$4:$AI$9,3,FALSE)=0,"Spatial Data Missing",VLOOKUP(I49,'G-7 Rivers Data'!$AG$4:$AI$9,3,FALSE)))</f>
        <v/>
      </c>
      <c r="L49" s="384" t="str">
        <f>IFERROR(INDEX('G-7 Rivers Data'!$O$3:$O$7,MATCH(G49,'G-7 Rivers Data'!$N$3:$N$7,0)),"")</f>
        <v/>
      </c>
      <c r="M49" s="82"/>
      <c r="N49" s="261"/>
      <c r="O49" s="179" t="str">
        <f t="shared" si="1"/>
        <v/>
      </c>
      <c r="P49" s="262" t="str">
        <f t="shared" si="2"/>
        <v/>
      </c>
      <c r="Q49" s="382" t="str">
        <f>IFERROR(IF(P49="Check Data","Check Data",VLOOKUP(P49,'G-4 Temporal multipliers'!$A$4:$C$37,3,FALSE)),"")</f>
        <v/>
      </c>
      <c r="R49" s="171" t="str">
        <f>IF(C49="","",VLOOKUP(C49,'G-7 Rivers Data'!$B$4:$G$8,4,FALSE))</f>
        <v/>
      </c>
      <c r="S49" s="179" t="str">
        <f t="shared" si="3"/>
        <v/>
      </c>
      <c r="T49" s="269" t="str">
        <f t="shared" si="4"/>
        <v/>
      </c>
      <c r="U49" s="172" t="str">
        <f t="shared" si="5"/>
        <v/>
      </c>
      <c r="V49" s="79"/>
      <c r="W49" s="172" t="str">
        <f>IF(V49="","",IF(VLOOKUP(V49,'G-7 Rivers Data'!$AA$4:$AB$7,2,FALSE)=0,"Spatial Data Missing",VLOOKUP(V49,'G-7 Rivers Data'!$AA$4:$AB$7,2,FALSE)))</f>
        <v/>
      </c>
      <c r="X49" s="187"/>
      <c r="Y49" s="172" t="str">
        <f>IF(X49="","",IF(VLOOKUP(X49,'G-7 Rivers Data'!$AD$4:$AE$8,2,FALSE)=0,"Enrcoachment Data Missing",VLOOKUP(X49,'G-7 Rivers Data'!$AD$4:$AE$8,2,FALSE)))</f>
        <v/>
      </c>
      <c r="Z49" s="186"/>
      <c r="AA49" s="176" t="str">
        <f>IF(Z49="","",VLOOKUP(Z49,'G-7 Rivers Data'!$AO$4:$AP$7,2,FALSE))</f>
        <v/>
      </c>
      <c r="AB49" s="265" t="str">
        <f t="shared" si="6"/>
        <v/>
      </c>
      <c r="AC49" s="180"/>
      <c r="AD49" s="181"/>
      <c r="AK49" s="35" t="str">
        <f>IFERROR(INDEX('G-7 Rivers Data'!$AZ$3:$AZ$7,MATCH(C49,'G-7 Rivers Data'!$AY$3:$AY$7,0)),"")</f>
        <v/>
      </c>
    </row>
    <row r="50" spans="2:37" ht="13.8" x14ac:dyDescent="0.25">
      <c r="B50" s="168">
        <v>39</v>
      </c>
      <c r="C50" s="184"/>
      <c r="D50" s="213"/>
      <c r="E50" s="171" t="str">
        <f>IF(C50="","",VLOOKUP(C50,'G-7 Rivers Data'!$B$2:$Z$9,2,FALSE))</f>
        <v/>
      </c>
      <c r="F50" s="172" t="str">
        <f>IFERROR(VLOOKUP(E50,'G-7 Rivers Data'!$C$4:$D$8,2,FALSE),"")</f>
        <v/>
      </c>
      <c r="G50" s="173"/>
      <c r="H50" s="172" t="str">
        <f>IFERROR(INDEX('G-7 Rivers Data'!$H$4:$L$8,MATCH(C50,'G-7 Rivers Data'!$B$4:$B$8,0),MATCH(G50,'G-7 Rivers Data'!$H$3:$L$3,0)),"")</f>
        <v/>
      </c>
      <c r="I50" s="173"/>
      <c r="J50" s="269" t="str">
        <f>IF(I50="","",IF(VLOOKUP(I50,'G-7 Rivers Data'!$AG$4:$AI$9,2,FALSE)=0,"Spatial Data Missing",VLOOKUP(I50,'G-7 Rivers Data'!$AG$4:$AI$9,2,FALSE)))</f>
        <v/>
      </c>
      <c r="K50" s="172" t="str">
        <f>IF(I50="","",IF(VLOOKUP(I50,'G-7 Rivers Data'!$AG$4:$AI$9,3,FALSE)=0,"Spatial Data Missing",VLOOKUP(I50,'G-7 Rivers Data'!$AG$4:$AI$9,3,FALSE)))</f>
        <v/>
      </c>
      <c r="L50" s="384" t="str">
        <f>IFERROR(INDEX('G-7 Rivers Data'!$O$3:$O$7,MATCH(G50,'G-7 Rivers Data'!$N$3:$N$7,0)),"")</f>
        <v/>
      </c>
      <c r="M50" s="82"/>
      <c r="N50" s="261"/>
      <c r="O50" s="179" t="str">
        <f t="shared" si="1"/>
        <v/>
      </c>
      <c r="P50" s="262" t="str">
        <f t="shared" si="2"/>
        <v/>
      </c>
      <c r="Q50" s="382" t="str">
        <f>IFERROR(IF(P50="Check Data","Check Data",VLOOKUP(P50,'G-4 Temporal multipliers'!$A$4:$C$37,3,FALSE)),"")</f>
        <v/>
      </c>
      <c r="R50" s="171" t="str">
        <f>IF(C50="","",VLOOKUP(C50,'G-7 Rivers Data'!$B$4:$G$8,4,FALSE))</f>
        <v/>
      </c>
      <c r="S50" s="179" t="str">
        <f t="shared" si="3"/>
        <v/>
      </c>
      <c r="T50" s="269" t="str">
        <f t="shared" si="4"/>
        <v/>
      </c>
      <c r="U50" s="172" t="str">
        <f t="shared" si="5"/>
        <v/>
      </c>
      <c r="V50" s="79"/>
      <c r="W50" s="172" t="str">
        <f>IF(V50="","",IF(VLOOKUP(V50,'G-7 Rivers Data'!$AA$4:$AB$7,2,FALSE)=0,"Spatial Data Missing",VLOOKUP(V50,'G-7 Rivers Data'!$AA$4:$AB$7,2,FALSE)))</f>
        <v/>
      </c>
      <c r="X50" s="187"/>
      <c r="Y50" s="172" t="str">
        <f>IF(X50="","",IF(VLOOKUP(X50,'G-7 Rivers Data'!$AD$4:$AE$8,2,FALSE)=0,"Enrcoachment Data Missing",VLOOKUP(X50,'G-7 Rivers Data'!$AD$4:$AE$8,2,FALSE)))</f>
        <v/>
      </c>
      <c r="Z50" s="186"/>
      <c r="AA50" s="176" t="str">
        <f>IF(Z50="","",VLOOKUP(Z50,'G-7 Rivers Data'!$AO$4:$AP$7,2,FALSE))</f>
        <v/>
      </c>
      <c r="AB50" s="265" t="str">
        <f t="shared" si="6"/>
        <v/>
      </c>
      <c r="AC50" s="180"/>
      <c r="AD50" s="181"/>
      <c r="AK50" s="35" t="str">
        <f>IFERROR(INDEX('G-7 Rivers Data'!$AZ$3:$AZ$7,MATCH(C50,'G-7 Rivers Data'!$AY$3:$AY$7,0)),"")</f>
        <v/>
      </c>
    </row>
    <row r="51" spans="2:37" ht="13.8" x14ac:dyDescent="0.25">
      <c r="B51" s="168">
        <v>40</v>
      </c>
      <c r="C51" s="184"/>
      <c r="D51" s="213"/>
      <c r="E51" s="171" t="str">
        <f>IF(C51="","",VLOOKUP(C51,'G-7 Rivers Data'!$B$2:$Z$9,2,FALSE))</f>
        <v/>
      </c>
      <c r="F51" s="172" t="str">
        <f>IFERROR(VLOOKUP(E51,'G-7 Rivers Data'!$C$4:$D$8,2,FALSE),"")</f>
        <v/>
      </c>
      <c r="G51" s="173"/>
      <c r="H51" s="172" t="str">
        <f>IFERROR(INDEX('G-7 Rivers Data'!$H$4:$L$8,MATCH(C51,'G-7 Rivers Data'!$B$4:$B$8,0),MATCH(G51,'G-7 Rivers Data'!$H$3:$L$3,0)),"")</f>
        <v/>
      </c>
      <c r="I51" s="173"/>
      <c r="J51" s="269" t="str">
        <f>IF(I51="","",IF(VLOOKUP(I51,'G-7 Rivers Data'!$AG$4:$AI$9,2,FALSE)=0,"Spatial Data Missing",VLOOKUP(I51,'G-7 Rivers Data'!$AG$4:$AI$9,2,FALSE)))</f>
        <v/>
      </c>
      <c r="K51" s="172" t="str">
        <f>IF(I51="","",IF(VLOOKUP(I51,'G-7 Rivers Data'!$AG$4:$AI$9,3,FALSE)=0,"Spatial Data Missing",VLOOKUP(I51,'G-7 Rivers Data'!$AG$4:$AI$9,3,FALSE)))</f>
        <v/>
      </c>
      <c r="L51" s="384" t="str">
        <f>IFERROR(INDEX('G-7 Rivers Data'!$O$3:$O$7,MATCH(G51,'G-7 Rivers Data'!$N$3:$N$7,0)),"")</f>
        <v/>
      </c>
      <c r="M51" s="82"/>
      <c r="N51" s="261"/>
      <c r="O51" s="179" t="str">
        <f t="shared" si="1"/>
        <v/>
      </c>
      <c r="P51" s="262" t="str">
        <f t="shared" si="2"/>
        <v/>
      </c>
      <c r="Q51" s="382" t="str">
        <f>IFERROR(IF(P51="Check Data","Check Data",VLOOKUP(P51,'G-4 Temporal multipliers'!$A$4:$C$37,3,FALSE)),"")</f>
        <v/>
      </c>
      <c r="R51" s="171" t="str">
        <f>IF(C51="","",VLOOKUP(C51,'G-7 Rivers Data'!$B$4:$G$8,4,FALSE))</f>
        <v/>
      </c>
      <c r="S51" s="179" t="str">
        <f t="shared" si="3"/>
        <v/>
      </c>
      <c r="T51" s="269" t="str">
        <f t="shared" si="4"/>
        <v/>
      </c>
      <c r="U51" s="172" t="str">
        <f t="shared" si="5"/>
        <v/>
      </c>
      <c r="V51" s="79"/>
      <c r="W51" s="172" t="str">
        <f>IF(V51="","",IF(VLOOKUP(V51,'G-7 Rivers Data'!$AA$4:$AB$7,2,FALSE)=0,"Spatial Data Missing",VLOOKUP(V51,'G-7 Rivers Data'!$AA$4:$AB$7,2,FALSE)))</f>
        <v/>
      </c>
      <c r="X51" s="187"/>
      <c r="Y51" s="172" t="str">
        <f>IF(X51="","",IF(VLOOKUP(X51,'G-7 Rivers Data'!$AD$4:$AE$8,2,FALSE)=0,"Enrcoachment Data Missing",VLOOKUP(X51,'G-7 Rivers Data'!$AD$4:$AE$8,2,FALSE)))</f>
        <v/>
      </c>
      <c r="Z51" s="186"/>
      <c r="AA51" s="176" t="str">
        <f>IF(Z51="","",VLOOKUP(Z51,'G-7 Rivers Data'!$AO$4:$AP$7,2,FALSE))</f>
        <v/>
      </c>
      <c r="AB51" s="265" t="str">
        <f t="shared" si="6"/>
        <v/>
      </c>
      <c r="AC51" s="180"/>
      <c r="AD51" s="181"/>
      <c r="AK51" s="35" t="str">
        <f>IFERROR(INDEX('G-7 Rivers Data'!$AZ$3:$AZ$7,MATCH(C51,'G-7 Rivers Data'!$AY$3:$AY$7,0)),"")</f>
        <v/>
      </c>
    </row>
    <row r="52" spans="2:37" ht="13.8" x14ac:dyDescent="0.25">
      <c r="B52" s="168">
        <v>41</v>
      </c>
      <c r="C52" s="184"/>
      <c r="D52" s="213"/>
      <c r="E52" s="171" t="str">
        <f>IF(C52="","",VLOOKUP(C52,'G-7 Rivers Data'!$B$2:$Z$9,2,FALSE))</f>
        <v/>
      </c>
      <c r="F52" s="172" t="str">
        <f>IFERROR(VLOOKUP(E52,'G-7 Rivers Data'!$C$4:$D$8,2,FALSE),"")</f>
        <v/>
      </c>
      <c r="G52" s="173"/>
      <c r="H52" s="172" t="str">
        <f>IFERROR(INDEX('G-7 Rivers Data'!$H$4:$L$8,MATCH(C52,'G-7 Rivers Data'!$B$4:$B$8,0),MATCH(G52,'G-7 Rivers Data'!$H$3:$L$3,0)),"")</f>
        <v/>
      </c>
      <c r="I52" s="173"/>
      <c r="J52" s="269" t="str">
        <f>IF(I52="","",IF(VLOOKUP(I52,'G-7 Rivers Data'!$AG$4:$AI$9,2,FALSE)=0,"Spatial Data Missing",VLOOKUP(I52,'G-7 Rivers Data'!$AG$4:$AI$9,2,FALSE)))</f>
        <v/>
      </c>
      <c r="K52" s="172" t="str">
        <f>IF(I52="","",IF(VLOOKUP(I52,'G-7 Rivers Data'!$AG$4:$AI$9,3,FALSE)=0,"Spatial Data Missing",VLOOKUP(I52,'G-7 Rivers Data'!$AG$4:$AI$9,3,FALSE)))</f>
        <v/>
      </c>
      <c r="L52" s="384" t="str">
        <f>IFERROR(INDEX('G-7 Rivers Data'!$O$3:$O$7,MATCH(G52,'G-7 Rivers Data'!$N$3:$N$7,0)),"")</f>
        <v/>
      </c>
      <c r="M52" s="82"/>
      <c r="N52" s="261"/>
      <c r="O52" s="179" t="str">
        <f t="shared" si="1"/>
        <v/>
      </c>
      <c r="P52" s="262" t="str">
        <f t="shared" si="2"/>
        <v/>
      </c>
      <c r="Q52" s="382" t="str">
        <f>IFERROR(IF(P52="Check Data","Check Data",VLOOKUP(P52,'G-4 Temporal multipliers'!$A$4:$C$37,3,FALSE)),"")</f>
        <v/>
      </c>
      <c r="R52" s="171" t="str">
        <f>IF(C52="","",VLOOKUP(C52,'G-7 Rivers Data'!$B$4:$G$8,4,FALSE))</f>
        <v/>
      </c>
      <c r="S52" s="179" t="str">
        <f t="shared" si="3"/>
        <v/>
      </c>
      <c r="T52" s="269" t="str">
        <f t="shared" si="4"/>
        <v/>
      </c>
      <c r="U52" s="172" t="str">
        <f t="shared" si="5"/>
        <v/>
      </c>
      <c r="V52" s="79"/>
      <c r="W52" s="172" t="str">
        <f>IF(V52="","",IF(VLOOKUP(V52,'G-7 Rivers Data'!$AA$4:$AB$7,2,FALSE)=0,"Spatial Data Missing",VLOOKUP(V52,'G-7 Rivers Data'!$AA$4:$AB$7,2,FALSE)))</f>
        <v/>
      </c>
      <c r="X52" s="187"/>
      <c r="Y52" s="172" t="str">
        <f>IF(X52="","",IF(VLOOKUP(X52,'G-7 Rivers Data'!$AD$4:$AE$8,2,FALSE)=0,"Enrcoachment Data Missing",VLOOKUP(X52,'G-7 Rivers Data'!$AD$4:$AE$8,2,FALSE)))</f>
        <v/>
      </c>
      <c r="Z52" s="186"/>
      <c r="AA52" s="176" t="str">
        <f>IF(Z52="","",VLOOKUP(Z52,'G-7 Rivers Data'!$AO$4:$AP$7,2,FALSE))</f>
        <v/>
      </c>
      <c r="AB52" s="265" t="str">
        <f t="shared" si="6"/>
        <v/>
      </c>
      <c r="AC52" s="180"/>
      <c r="AD52" s="181"/>
      <c r="AK52" s="35" t="str">
        <f>IFERROR(INDEX('G-7 Rivers Data'!$AZ$3:$AZ$7,MATCH(C52,'G-7 Rivers Data'!$AY$3:$AY$7,0)),"")</f>
        <v/>
      </c>
    </row>
    <row r="53" spans="2:37" ht="13.8" x14ac:dyDescent="0.25">
      <c r="B53" s="168">
        <v>42</v>
      </c>
      <c r="C53" s="184"/>
      <c r="D53" s="213"/>
      <c r="E53" s="171" t="str">
        <f>IF(C53="","",VLOOKUP(C53,'G-7 Rivers Data'!$B$2:$Z$9,2,FALSE))</f>
        <v/>
      </c>
      <c r="F53" s="172" t="str">
        <f>IFERROR(VLOOKUP(E53,'G-7 Rivers Data'!$C$4:$D$8,2,FALSE),"")</f>
        <v/>
      </c>
      <c r="G53" s="173"/>
      <c r="H53" s="172" t="str">
        <f>IFERROR(INDEX('G-7 Rivers Data'!$H$4:$L$8,MATCH(C53,'G-7 Rivers Data'!$B$4:$B$8,0),MATCH(G53,'G-7 Rivers Data'!$H$3:$L$3,0)),"")</f>
        <v/>
      </c>
      <c r="I53" s="173"/>
      <c r="J53" s="269" t="str">
        <f>IF(I53="","",IF(VLOOKUP(I53,'G-7 Rivers Data'!$AG$4:$AI$9,2,FALSE)=0,"Spatial Data Missing",VLOOKUP(I53,'G-7 Rivers Data'!$AG$4:$AI$9,2,FALSE)))</f>
        <v/>
      </c>
      <c r="K53" s="172" t="str">
        <f>IF(I53="","",IF(VLOOKUP(I53,'G-7 Rivers Data'!$AG$4:$AI$9,3,FALSE)=0,"Spatial Data Missing",VLOOKUP(I53,'G-7 Rivers Data'!$AG$4:$AI$9,3,FALSE)))</f>
        <v/>
      </c>
      <c r="L53" s="384" t="str">
        <f>IFERROR(INDEX('G-7 Rivers Data'!$O$3:$O$7,MATCH(G53,'G-7 Rivers Data'!$N$3:$N$7,0)),"")</f>
        <v/>
      </c>
      <c r="M53" s="82"/>
      <c r="N53" s="261"/>
      <c r="O53" s="179" t="str">
        <f t="shared" si="1"/>
        <v/>
      </c>
      <c r="P53" s="262" t="str">
        <f t="shared" si="2"/>
        <v/>
      </c>
      <c r="Q53" s="382" t="str">
        <f>IFERROR(IF(P53="Check Data","Check Data",VLOOKUP(P53,'G-4 Temporal multipliers'!$A$4:$C$37,3,FALSE)),"")</f>
        <v/>
      </c>
      <c r="R53" s="171" t="str">
        <f>IF(C53="","",VLOOKUP(C53,'G-7 Rivers Data'!$B$4:$G$8,4,FALSE))</f>
        <v/>
      </c>
      <c r="S53" s="179" t="str">
        <f t="shared" si="3"/>
        <v/>
      </c>
      <c r="T53" s="269" t="str">
        <f t="shared" si="4"/>
        <v/>
      </c>
      <c r="U53" s="172" t="str">
        <f t="shared" si="5"/>
        <v/>
      </c>
      <c r="V53" s="79"/>
      <c r="W53" s="172" t="str">
        <f>IF(V53="","",IF(VLOOKUP(V53,'G-7 Rivers Data'!$AA$4:$AB$7,2,FALSE)=0,"Spatial Data Missing",VLOOKUP(V53,'G-7 Rivers Data'!$AA$4:$AB$7,2,FALSE)))</f>
        <v/>
      </c>
      <c r="X53" s="187"/>
      <c r="Y53" s="172" t="str">
        <f>IF(X53="","",IF(VLOOKUP(X53,'G-7 Rivers Data'!$AD$4:$AE$8,2,FALSE)=0,"Enrcoachment Data Missing",VLOOKUP(X53,'G-7 Rivers Data'!$AD$4:$AE$8,2,FALSE)))</f>
        <v/>
      </c>
      <c r="Z53" s="186"/>
      <c r="AA53" s="176" t="str">
        <f>IF(Z53="","",VLOOKUP(Z53,'G-7 Rivers Data'!$AO$4:$AP$7,2,FALSE))</f>
        <v/>
      </c>
      <c r="AB53" s="265" t="str">
        <f t="shared" si="6"/>
        <v/>
      </c>
      <c r="AC53" s="180"/>
      <c r="AD53" s="181"/>
      <c r="AK53" s="35" t="str">
        <f>IFERROR(INDEX('G-7 Rivers Data'!$AZ$3:$AZ$7,MATCH(C53,'G-7 Rivers Data'!$AY$3:$AY$7,0)),"")</f>
        <v/>
      </c>
    </row>
    <row r="54" spans="2:37" ht="13.8" x14ac:dyDescent="0.25">
      <c r="B54" s="168">
        <v>43</v>
      </c>
      <c r="C54" s="184"/>
      <c r="D54" s="213"/>
      <c r="E54" s="171" t="str">
        <f>IF(C54="","",VLOOKUP(C54,'G-7 Rivers Data'!$B$2:$Z$9,2,FALSE))</f>
        <v/>
      </c>
      <c r="F54" s="172" t="str">
        <f>IFERROR(VLOOKUP(E54,'G-7 Rivers Data'!$C$4:$D$8,2,FALSE),"")</f>
        <v/>
      </c>
      <c r="G54" s="173"/>
      <c r="H54" s="172" t="str">
        <f>IFERROR(INDEX('G-7 Rivers Data'!$H$4:$L$8,MATCH(C54,'G-7 Rivers Data'!$B$4:$B$8,0),MATCH(G54,'G-7 Rivers Data'!$H$3:$L$3,0)),"")</f>
        <v/>
      </c>
      <c r="I54" s="173"/>
      <c r="J54" s="269" t="str">
        <f>IF(I54="","",IF(VLOOKUP(I54,'G-7 Rivers Data'!$AG$4:$AI$9,2,FALSE)=0,"Spatial Data Missing",VLOOKUP(I54,'G-7 Rivers Data'!$AG$4:$AI$9,2,FALSE)))</f>
        <v/>
      </c>
      <c r="K54" s="172" t="str">
        <f>IF(I54="","",IF(VLOOKUP(I54,'G-7 Rivers Data'!$AG$4:$AI$9,3,FALSE)=0,"Spatial Data Missing",VLOOKUP(I54,'G-7 Rivers Data'!$AG$4:$AI$9,3,FALSE)))</f>
        <v/>
      </c>
      <c r="L54" s="384" t="str">
        <f>IFERROR(INDEX('G-7 Rivers Data'!$O$3:$O$7,MATCH(G54,'G-7 Rivers Data'!$N$3:$N$7,0)),"")</f>
        <v/>
      </c>
      <c r="M54" s="82"/>
      <c r="N54" s="261"/>
      <c r="O54" s="179" t="str">
        <f t="shared" si="1"/>
        <v/>
      </c>
      <c r="P54" s="262" t="str">
        <f t="shared" si="2"/>
        <v/>
      </c>
      <c r="Q54" s="382" t="str">
        <f>IFERROR(IF(P54="Check Data","Check Data",VLOOKUP(P54,'G-4 Temporal multipliers'!$A$4:$C$37,3,FALSE)),"")</f>
        <v/>
      </c>
      <c r="R54" s="171" t="str">
        <f>IF(C54="","",VLOOKUP(C54,'G-7 Rivers Data'!$B$4:$G$8,4,FALSE))</f>
        <v/>
      </c>
      <c r="S54" s="179" t="str">
        <f t="shared" si="3"/>
        <v/>
      </c>
      <c r="T54" s="269" t="str">
        <f t="shared" si="4"/>
        <v/>
      </c>
      <c r="U54" s="172" t="str">
        <f t="shared" si="5"/>
        <v/>
      </c>
      <c r="V54" s="79"/>
      <c r="W54" s="172" t="str">
        <f>IF(V54="","",IF(VLOOKUP(V54,'G-7 Rivers Data'!$AA$4:$AB$7,2,FALSE)=0,"Spatial Data Missing",VLOOKUP(V54,'G-7 Rivers Data'!$AA$4:$AB$7,2,FALSE)))</f>
        <v/>
      </c>
      <c r="X54" s="187"/>
      <c r="Y54" s="172" t="str">
        <f>IF(X54="","",IF(VLOOKUP(X54,'G-7 Rivers Data'!$AD$4:$AE$8,2,FALSE)=0,"Enrcoachment Data Missing",VLOOKUP(X54,'G-7 Rivers Data'!$AD$4:$AE$8,2,FALSE)))</f>
        <v/>
      </c>
      <c r="Z54" s="186"/>
      <c r="AA54" s="176" t="str">
        <f>IF(Z54="","",VLOOKUP(Z54,'G-7 Rivers Data'!$AO$4:$AP$7,2,FALSE))</f>
        <v/>
      </c>
      <c r="AB54" s="265" t="str">
        <f t="shared" si="6"/>
        <v/>
      </c>
      <c r="AC54" s="180"/>
      <c r="AD54" s="181"/>
      <c r="AK54" s="35" t="str">
        <f>IFERROR(INDEX('G-7 Rivers Data'!$AZ$3:$AZ$7,MATCH(C54,'G-7 Rivers Data'!$AY$3:$AY$7,0)),"")</f>
        <v/>
      </c>
    </row>
    <row r="55" spans="2:37" ht="13.8" x14ac:dyDescent="0.25">
      <c r="B55" s="168">
        <v>44</v>
      </c>
      <c r="C55" s="184"/>
      <c r="D55" s="213"/>
      <c r="E55" s="171" t="str">
        <f>IF(C55="","",VLOOKUP(C55,'G-7 Rivers Data'!$B$2:$Z$9,2,FALSE))</f>
        <v/>
      </c>
      <c r="F55" s="172" t="str">
        <f>IFERROR(VLOOKUP(E55,'G-7 Rivers Data'!$C$4:$D$8,2,FALSE),"")</f>
        <v/>
      </c>
      <c r="G55" s="173"/>
      <c r="H55" s="172" t="str">
        <f>IFERROR(INDEX('G-7 Rivers Data'!$H$4:$L$8,MATCH(C55,'G-7 Rivers Data'!$B$4:$B$8,0),MATCH(G55,'G-7 Rivers Data'!$H$3:$L$3,0)),"")</f>
        <v/>
      </c>
      <c r="I55" s="173"/>
      <c r="J55" s="269" t="str">
        <f>IF(I55="","",IF(VLOOKUP(I55,'G-7 Rivers Data'!$AG$4:$AI$9,2,FALSE)=0,"Spatial Data Missing",VLOOKUP(I55,'G-7 Rivers Data'!$AG$4:$AI$9,2,FALSE)))</f>
        <v/>
      </c>
      <c r="K55" s="172" t="str">
        <f>IF(I55="","",IF(VLOOKUP(I55,'G-7 Rivers Data'!$AG$4:$AI$9,3,FALSE)=0,"Spatial Data Missing",VLOOKUP(I55,'G-7 Rivers Data'!$AG$4:$AI$9,3,FALSE)))</f>
        <v/>
      </c>
      <c r="L55" s="384" t="str">
        <f>IFERROR(INDEX('G-7 Rivers Data'!$O$3:$O$7,MATCH(G55,'G-7 Rivers Data'!$N$3:$N$7,0)),"")</f>
        <v/>
      </c>
      <c r="M55" s="82"/>
      <c r="N55" s="261"/>
      <c r="O55" s="179" t="str">
        <f t="shared" si="1"/>
        <v/>
      </c>
      <c r="P55" s="262" t="str">
        <f t="shared" si="2"/>
        <v/>
      </c>
      <c r="Q55" s="382" t="str">
        <f>IFERROR(IF(P55="Check Data","Check Data",VLOOKUP(P55,'G-4 Temporal multipliers'!$A$4:$C$37,3,FALSE)),"")</f>
        <v/>
      </c>
      <c r="R55" s="171" t="str">
        <f>IF(C55="","",VLOOKUP(C55,'G-7 Rivers Data'!$B$4:$G$8,4,FALSE))</f>
        <v/>
      </c>
      <c r="S55" s="179" t="str">
        <f t="shared" si="3"/>
        <v/>
      </c>
      <c r="T55" s="269" t="str">
        <f t="shared" si="4"/>
        <v/>
      </c>
      <c r="U55" s="172" t="str">
        <f t="shared" si="5"/>
        <v/>
      </c>
      <c r="V55" s="79"/>
      <c r="W55" s="172" t="str">
        <f>IF(V55="","",IF(VLOOKUP(V55,'G-7 Rivers Data'!$AA$4:$AB$7,2,FALSE)=0,"Spatial Data Missing",VLOOKUP(V55,'G-7 Rivers Data'!$AA$4:$AB$7,2,FALSE)))</f>
        <v/>
      </c>
      <c r="X55" s="187"/>
      <c r="Y55" s="172" t="str">
        <f>IF(X55="","",IF(VLOOKUP(X55,'G-7 Rivers Data'!$AD$4:$AE$8,2,FALSE)=0,"Enrcoachment Data Missing",VLOOKUP(X55,'G-7 Rivers Data'!$AD$4:$AE$8,2,FALSE)))</f>
        <v/>
      </c>
      <c r="Z55" s="186"/>
      <c r="AA55" s="176" t="str">
        <f>IF(Z55="","",VLOOKUP(Z55,'G-7 Rivers Data'!$AO$4:$AP$7,2,FALSE))</f>
        <v/>
      </c>
      <c r="AB55" s="265" t="str">
        <f t="shared" si="6"/>
        <v/>
      </c>
      <c r="AC55" s="180"/>
      <c r="AD55" s="181"/>
      <c r="AK55" s="35" t="str">
        <f>IFERROR(INDEX('G-7 Rivers Data'!$AZ$3:$AZ$7,MATCH(C55,'G-7 Rivers Data'!$AY$3:$AY$7,0)),"")</f>
        <v/>
      </c>
    </row>
    <row r="56" spans="2:37" ht="13.8" x14ac:dyDescent="0.25">
      <c r="B56" s="168">
        <v>45</v>
      </c>
      <c r="C56" s="184"/>
      <c r="D56" s="213"/>
      <c r="E56" s="171" t="str">
        <f>IF(C56="","",VLOOKUP(C56,'G-7 Rivers Data'!$B$2:$Z$9,2,FALSE))</f>
        <v/>
      </c>
      <c r="F56" s="172" t="str">
        <f>IFERROR(VLOOKUP(E56,'G-7 Rivers Data'!$C$4:$D$8,2,FALSE),"")</f>
        <v/>
      </c>
      <c r="G56" s="173"/>
      <c r="H56" s="172" t="str">
        <f>IFERROR(INDEX('G-7 Rivers Data'!$H$4:$L$8,MATCH(C56,'G-7 Rivers Data'!$B$4:$B$8,0),MATCH(G56,'G-7 Rivers Data'!$H$3:$L$3,0)),"")</f>
        <v/>
      </c>
      <c r="I56" s="173"/>
      <c r="J56" s="269" t="str">
        <f>IF(I56="","",IF(VLOOKUP(I56,'G-7 Rivers Data'!$AG$4:$AI$9,2,FALSE)=0,"Spatial Data Missing",VLOOKUP(I56,'G-7 Rivers Data'!$AG$4:$AI$9,2,FALSE)))</f>
        <v/>
      </c>
      <c r="K56" s="172" t="str">
        <f>IF(I56="","",IF(VLOOKUP(I56,'G-7 Rivers Data'!$AG$4:$AI$9,3,FALSE)=0,"Spatial Data Missing",VLOOKUP(I56,'G-7 Rivers Data'!$AG$4:$AI$9,3,FALSE)))</f>
        <v/>
      </c>
      <c r="L56" s="384" t="str">
        <f>IFERROR(INDEX('G-7 Rivers Data'!$O$3:$O$7,MATCH(G56,'G-7 Rivers Data'!$N$3:$N$7,0)),"")</f>
        <v/>
      </c>
      <c r="M56" s="82"/>
      <c r="N56" s="261"/>
      <c r="O56" s="179" t="str">
        <f t="shared" si="1"/>
        <v/>
      </c>
      <c r="P56" s="262" t="str">
        <f t="shared" si="2"/>
        <v/>
      </c>
      <c r="Q56" s="382" t="str">
        <f>IFERROR(IF(P56="Check Data","Check Data",VLOOKUP(P56,'G-4 Temporal multipliers'!$A$4:$C$37,3,FALSE)),"")</f>
        <v/>
      </c>
      <c r="R56" s="171" t="str">
        <f>IF(C56="","",VLOOKUP(C56,'G-7 Rivers Data'!$B$4:$G$8,4,FALSE))</f>
        <v/>
      </c>
      <c r="S56" s="179" t="str">
        <f t="shared" si="3"/>
        <v/>
      </c>
      <c r="T56" s="269" t="str">
        <f t="shared" si="4"/>
        <v/>
      </c>
      <c r="U56" s="172" t="str">
        <f t="shared" si="5"/>
        <v/>
      </c>
      <c r="V56" s="79"/>
      <c r="W56" s="172" t="str">
        <f>IF(V56="","",IF(VLOOKUP(V56,'G-7 Rivers Data'!$AA$4:$AB$7,2,FALSE)=0,"Spatial Data Missing",VLOOKUP(V56,'G-7 Rivers Data'!$AA$4:$AB$7,2,FALSE)))</f>
        <v/>
      </c>
      <c r="X56" s="187"/>
      <c r="Y56" s="172" t="str">
        <f>IF(X56="","",IF(VLOOKUP(X56,'G-7 Rivers Data'!$AD$4:$AE$8,2,FALSE)=0,"Enrcoachment Data Missing",VLOOKUP(X56,'G-7 Rivers Data'!$AD$4:$AE$8,2,FALSE)))</f>
        <v/>
      </c>
      <c r="Z56" s="186"/>
      <c r="AA56" s="176" t="str">
        <f>IF(Z56="","",VLOOKUP(Z56,'G-7 Rivers Data'!$AO$4:$AP$7,2,FALSE))</f>
        <v/>
      </c>
      <c r="AB56" s="265" t="str">
        <f t="shared" si="6"/>
        <v/>
      </c>
      <c r="AC56" s="180"/>
      <c r="AD56" s="181"/>
      <c r="AK56" s="35" t="str">
        <f>IFERROR(INDEX('G-7 Rivers Data'!$AZ$3:$AZ$7,MATCH(C56,'G-7 Rivers Data'!$AY$3:$AY$7,0)),"")</f>
        <v/>
      </c>
    </row>
    <row r="57" spans="2:37" ht="13.8" x14ac:dyDescent="0.25">
      <c r="B57" s="168">
        <v>46</v>
      </c>
      <c r="C57" s="184"/>
      <c r="D57" s="213"/>
      <c r="E57" s="171" t="str">
        <f>IF(C57="","",VLOOKUP(C57,'G-7 Rivers Data'!$B$2:$Z$9,2,FALSE))</f>
        <v/>
      </c>
      <c r="F57" s="172" t="str">
        <f>IFERROR(VLOOKUP(E57,'G-7 Rivers Data'!$C$4:$D$8,2,FALSE),"")</f>
        <v/>
      </c>
      <c r="G57" s="173"/>
      <c r="H57" s="172" t="str">
        <f>IFERROR(INDEX('G-7 Rivers Data'!$H$4:$L$8,MATCH(C57,'G-7 Rivers Data'!$B$4:$B$8,0),MATCH(G57,'G-7 Rivers Data'!$H$3:$L$3,0)),"")</f>
        <v/>
      </c>
      <c r="I57" s="173"/>
      <c r="J57" s="269" t="str">
        <f>IF(I57="","",IF(VLOOKUP(I57,'G-7 Rivers Data'!$AG$4:$AI$9,2,FALSE)=0,"Spatial Data Missing",VLOOKUP(I57,'G-7 Rivers Data'!$AG$4:$AI$9,2,FALSE)))</f>
        <v/>
      </c>
      <c r="K57" s="172" t="str">
        <f>IF(I57="","",IF(VLOOKUP(I57,'G-7 Rivers Data'!$AG$4:$AI$9,3,FALSE)=0,"Spatial Data Missing",VLOOKUP(I57,'G-7 Rivers Data'!$AG$4:$AI$9,3,FALSE)))</f>
        <v/>
      </c>
      <c r="L57" s="384" t="str">
        <f>IFERROR(INDEX('G-7 Rivers Data'!$O$3:$O$7,MATCH(G57,'G-7 Rivers Data'!$N$3:$N$7,0)),"")</f>
        <v/>
      </c>
      <c r="M57" s="82"/>
      <c r="N57" s="261"/>
      <c r="O57" s="179" t="str">
        <f t="shared" si="1"/>
        <v/>
      </c>
      <c r="P57" s="262" t="str">
        <f t="shared" si="2"/>
        <v/>
      </c>
      <c r="Q57" s="382" t="str">
        <f>IFERROR(IF(P57="Check Data","Check Data",VLOOKUP(P57,'G-4 Temporal multipliers'!$A$4:$C$37,3,FALSE)),"")</f>
        <v/>
      </c>
      <c r="R57" s="171" t="str">
        <f>IF(C57="","",VLOOKUP(C57,'G-7 Rivers Data'!$B$4:$G$8,4,FALSE))</f>
        <v/>
      </c>
      <c r="S57" s="179" t="str">
        <f t="shared" si="3"/>
        <v/>
      </c>
      <c r="T57" s="269" t="str">
        <f t="shared" si="4"/>
        <v/>
      </c>
      <c r="U57" s="172" t="str">
        <f t="shared" si="5"/>
        <v/>
      </c>
      <c r="V57" s="79"/>
      <c r="W57" s="172" t="str">
        <f>IF(V57="","",IF(VLOOKUP(V57,'G-7 Rivers Data'!$AA$4:$AB$7,2,FALSE)=0,"Spatial Data Missing",VLOOKUP(V57,'G-7 Rivers Data'!$AA$4:$AB$7,2,FALSE)))</f>
        <v/>
      </c>
      <c r="X57" s="187"/>
      <c r="Y57" s="172" t="str">
        <f>IF(X57="","",IF(VLOOKUP(X57,'G-7 Rivers Data'!$AD$4:$AE$8,2,FALSE)=0,"Enrcoachment Data Missing",VLOOKUP(X57,'G-7 Rivers Data'!$AD$4:$AE$8,2,FALSE)))</f>
        <v/>
      </c>
      <c r="Z57" s="186"/>
      <c r="AA57" s="176" t="str">
        <f>IF(Z57="","",VLOOKUP(Z57,'G-7 Rivers Data'!$AO$4:$AP$7,2,FALSE))</f>
        <v/>
      </c>
      <c r="AB57" s="265" t="str">
        <f t="shared" si="6"/>
        <v/>
      </c>
      <c r="AC57" s="180"/>
      <c r="AD57" s="181"/>
      <c r="AK57" s="35" t="str">
        <f>IFERROR(INDEX('G-7 Rivers Data'!$AZ$3:$AZ$7,MATCH(C57,'G-7 Rivers Data'!$AY$3:$AY$7,0)),"")</f>
        <v/>
      </c>
    </row>
    <row r="58" spans="2:37" ht="13.8" x14ac:dyDescent="0.25">
      <c r="B58" s="168">
        <v>47</v>
      </c>
      <c r="C58" s="184"/>
      <c r="D58" s="213"/>
      <c r="E58" s="171" t="str">
        <f>IF(C58="","",VLOOKUP(C58,'G-7 Rivers Data'!$B$2:$Z$9,2,FALSE))</f>
        <v/>
      </c>
      <c r="F58" s="172" t="str">
        <f>IFERROR(VLOOKUP(E58,'G-7 Rivers Data'!$C$4:$D$8,2,FALSE),"")</f>
        <v/>
      </c>
      <c r="G58" s="173"/>
      <c r="H58" s="172" t="str">
        <f>IFERROR(INDEX('G-7 Rivers Data'!$H$4:$L$8,MATCH(C58,'G-7 Rivers Data'!$B$4:$B$8,0),MATCH(G58,'G-7 Rivers Data'!$H$3:$L$3,0)),"")</f>
        <v/>
      </c>
      <c r="I58" s="173"/>
      <c r="J58" s="269" t="str">
        <f>IF(I58="","",IF(VLOOKUP(I58,'G-7 Rivers Data'!$AG$4:$AI$9,2,FALSE)=0,"Spatial Data Missing",VLOOKUP(I58,'G-7 Rivers Data'!$AG$4:$AI$9,2,FALSE)))</f>
        <v/>
      </c>
      <c r="K58" s="172" t="str">
        <f>IF(I58="","",IF(VLOOKUP(I58,'G-7 Rivers Data'!$AG$4:$AI$9,3,FALSE)=0,"Spatial Data Missing",VLOOKUP(I58,'G-7 Rivers Data'!$AG$4:$AI$9,3,FALSE)))</f>
        <v/>
      </c>
      <c r="L58" s="384" t="str">
        <f>IFERROR(INDEX('G-7 Rivers Data'!$O$3:$O$7,MATCH(G58,'G-7 Rivers Data'!$N$3:$N$7,0)),"")</f>
        <v/>
      </c>
      <c r="M58" s="82"/>
      <c r="N58" s="261"/>
      <c r="O58" s="179" t="str">
        <f t="shared" si="1"/>
        <v/>
      </c>
      <c r="P58" s="262" t="str">
        <f t="shared" si="2"/>
        <v/>
      </c>
      <c r="Q58" s="382" t="str">
        <f>IFERROR(IF(P58="Check Data","Check Data",VLOOKUP(P58,'G-4 Temporal multipliers'!$A$4:$C$37,3,FALSE)),"")</f>
        <v/>
      </c>
      <c r="R58" s="171" t="str">
        <f>IF(C58="","",VLOOKUP(C58,'G-7 Rivers Data'!$B$4:$G$8,4,FALSE))</f>
        <v/>
      </c>
      <c r="S58" s="179" t="str">
        <f t="shared" si="3"/>
        <v/>
      </c>
      <c r="T58" s="269" t="str">
        <f t="shared" si="4"/>
        <v/>
      </c>
      <c r="U58" s="172" t="str">
        <f t="shared" si="5"/>
        <v/>
      </c>
      <c r="V58" s="79"/>
      <c r="W58" s="172" t="str">
        <f>IF(V58="","",IF(VLOOKUP(V58,'G-7 Rivers Data'!$AA$4:$AB$7,2,FALSE)=0,"Spatial Data Missing",VLOOKUP(V58,'G-7 Rivers Data'!$AA$4:$AB$7,2,FALSE)))</f>
        <v/>
      </c>
      <c r="X58" s="187"/>
      <c r="Y58" s="172" t="str">
        <f>IF(X58="","",IF(VLOOKUP(X58,'G-7 Rivers Data'!$AD$4:$AE$8,2,FALSE)=0,"Enrcoachment Data Missing",VLOOKUP(X58,'G-7 Rivers Data'!$AD$4:$AE$8,2,FALSE)))</f>
        <v/>
      </c>
      <c r="Z58" s="186"/>
      <c r="AA58" s="176" t="str">
        <f>IF(Z58="","",VLOOKUP(Z58,'G-7 Rivers Data'!$AO$4:$AP$7,2,FALSE))</f>
        <v/>
      </c>
      <c r="AB58" s="265" t="str">
        <f t="shared" si="6"/>
        <v/>
      </c>
      <c r="AC58" s="180"/>
      <c r="AD58" s="181"/>
      <c r="AK58" s="35" t="str">
        <f>IFERROR(INDEX('G-7 Rivers Data'!$AZ$3:$AZ$7,MATCH(C58,'G-7 Rivers Data'!$AY$3:$AY$7,0)),"")</f>
        <v/>
      </c>
    </row>
    <row r="59" spans="2:37" ht="13.8" x14ac:dyDescent="0.25">
      <c r="B59" s="168">
        <v>48</v>
      </c>
      <c r="C59" s="184"/>
      <c r="D59" s="213"/>
      <c r="E59" s="171" t="str">
        <f>IF(C59="","",VLOOKUP(C59,'G-7 Rivers Data'!$B$2:$Z$9,2,FALSE))</f>
        <v/>
      </c>
      <c r="F59" s="172" t="str">
        <f>IFERROR(VLOOKUP(E59,'G-7 Rivers Data'!$C$4:$D$8,2,FALSE),"")</f>
        <v/>
      </c>
      <c r="G59" s="173"/>
      <c r="H59" s="172" t="str">
        <f>IFERROR(INDEX('G-7 Rivers Data'!$H$4:$L$8,MATCH(C59,'G-7 Rivers Data'!$B$4:$B$8,0),MATCH(G59,'G-7 Rivers Data'!$H$3:$L$3,0)),"")</f>
        <v/>
      </c>
      <c r="I59" s="173"/>
      <c r="J59" s="269" t="str">
        <f>IF(I59="","",IF(VLOOKUP(I59,'G-7 Rivers Data'!$AG$4:$AI$9,2,FALSE)=0,"Spatial Data Missing",VLOOKUP(I59,'G-7 Rivers Data'!$AG$4:$AI$9,2,FALSE)))</f>
        <v/>
      </c>
      <c r="K59" s="172" t="str">
        <f>IF(I59="","",IF(VLOOKUP(I59,'G-7 Rivers Data'!$AG$4:$AI$9,3,FALSE)=0,"Spatial Data Missing",VLOOKUP(I59,'G-7 Rivers Data'!$AG$4:$AI$9,3,FALSE)))</f>
        <v/>
      </c>
      <c r="L59" s="384" t="str">
        <f>IFERROR(INDEX('G-7 Rivers Data'!$O$3:$O$7,MATCH(G59,'G-7 Rivers Data'!$N$3:$N$7,0)),"")</f>
        <v/>
      </c>
      <c r="M59" s="82"/>
      <c r="N59" s="261"/>
      <c r="O59" s="179" t="str">
        <f t="shared" si="1"/>
        <v/>
      </c>
      <c r="P59" s="262" t="str">
        <f t="shared" si="2"/>
        <v/>
      </c>
      <c r="Q59" s="382" t="str">
        <f>IFERROR(IF(P59="Check Data","Check Data",VLOOKUP(P59,'G-4 Temporal multipliers'!$A$4:$C$37,3,FALSE)),"")</f>
        <v/>
      </c>
      <c r="R59" s="171" t="str">
        <f>IF(C59="","",VLOOKUP(C59,'G-7 Rivers Data'!$B$4:$G$8,4,FALSE))</f>
        <v/>
      </c>
      <c r="S59" s="179" t="str">
        <f t="shared" si="3"/>
        <v/>
      </c>
      <c r="T59" s="269" t="str">
        <f t="shared" si="4"/>
        <v/>
      </c>
      <c r="U59" s="172" t="str">
        <f t="shared" si="5"/>
        <v/>
      </c>
      <c r="V59" s="79"/>
      <c r="W59" s="172" t="str">
        <f>IF(V59="","",IF(VLOOKUP(V59,'G-7 Rivers Data'!$AA$4:$AB$7,2,FALSE)=0,"Spatial Data Missing",VLOOKUP(V59,'G-7 Rivers Data'!$AA$4:$AB$7,2,FALSE)))</f>
        <v/>
      </c>
      <c r="X59" s="187"/>
      <c r="Y59" s="172" t="str">
        <f>IF(X59="","",IF(VLOOKUP(X59,'G-7 Rivers Data'!$AD$4:$AE$8,2,FALSE)=0,"Enrcoachment Data Missing",VLOOKUP(X59,'G-7 Rivers Data'!$AD$4:$AE$8,2,FALSE)))</f>
        <v/>
      </c>
      <c r="Z59" s="186"/>
      <c r="AA59" s="176" t="str">
        <f>IF(Z59="","",VLOOKUP(Z59,'G-7 Rivers Data'!$AO$4:$AP$7,2,FALSE))</f>
        <v/>
      </c>
      <c r="AB59" s="265" t="str">
        <f t="shared" si="6"/>
        <v/>
      </c>
      <c r="AC59" s="180"/>
      <c r="AD59" s="181"/>
      <c r="AK59" s="35" t="str">
        <f>IFERROR(INDEX('G-7 Rivers Data'!$AZ$3:$AZ$7,MATCH(C59,'G-7 Rivers Data'!$AY$3:$AY$7,0)),"")</f>
        <v/>
      </c>
    </row>
    <row r="60" spans="2:37" ht="13.8" x14ac:dyDescent="0.25">
      <c r="B60" s="168">
        <v>49</v>
      </c>
      <c r="C60" s="184"/>
      <c r="D60" s="213"/>
      <c r="E60" s="171" t="str">
        <f>IF(C60="","",VLOOKUP(C60,'G-7 Rivers Data'!$B$2:$Z$9,2,FALSE))</f>
        <v/>
      </c>
      <c r="F60" s="172" t="str">
        <f>IFERROR(VLOOKUP(E60,'G-7 Rivers Data'!$C$4:$D$8,2,FALSE),"")</f>
        <v/>
      </c>
      <c r="G60" s="173"/>
      <c r="H60" s="172" t="str">
        <f>IFERROR(INDEX('G-7 Rivers Data'!$H$4:$L$8,MATCH(C60,'G-7 Rivers Data'!$B$4:$B$8,0),MATCH(G60,'G-7 Rivers Data'!$H$3:$L$3,0)),"")</f>
        <v/>
      </c>
      <c r="I60" s="173"/>
      <c r="J60" s="269" t="str">
        <f>IF(I60="","",IF(VLOOKUP(I60,'G-7 Rivers Data'!$AG$4:$AI$9,2,FALSE)=0,"Spatial Data Missing",VLOOKUP(I60,'G-7 Rivers Data'!$AG$4:$AI$9,2,FALSE)))</f>
        <v/>
      </c>
      <c r="K60" s="172" t="str">
        <f>IF(I60="","",IF(VLOOKUP(I60,'G-7 Rivers Data'!$AG$4:$AI$9,3,FALSE)=0,"Spatial Data Missing",VLOOKUP(I60,'G-7 Rivers Data'!$AG$4:$AI$9,3,FALSE)))</f>
        <v/>
      </c>
      <c r="L60" s="384" t="str">
        <f>IFERROR(INDEX('G-7 Rivers Data'!$O$3:$O$7,MATCH(G60,'G-7 Rivers Data'!$N$3:$N$7,0)),"")</f>
        <v/>
      </c>
      <c r="M60" s="82"/>
      <c r="N60" s="261"/>
      <c r="O60" s="179" t="str">
        <f t="shared" si="1"/>
        <v/>
      </c>
      <c r="P60" s="262" t="str">
        <f t="shared" si="2"/>
        <v/>
      </c>
      <c r="Q60" s="382" t="str">
        <f>IFERROR(IF(P60="Check Data","Check Data",VLOOKUP(P60,'G-4 Temporal multipliers'!$A$4:$C$37,3,FALSE)),"")</f>
        <v/>
      </c>
      <c r="R60" s="171" t="str">
        <f>IF(C60="","",VLOOKUP(C60,'G-7 Rivers Data'!$B$4:$G$8,4,FALSE))</f>
        <v/>
      </c>
      <c r="S60" s="179" t="str">
        <f t="shared" si="3"/>
        <v/>
      </c>
      <c r="T60" s="269" t="str">
        <f t="shared" si="4"/>
        <v/>
      </c>
      <c r="U60" s="172" t="str">
        <f t="shared" si="5"/>
        <v/>
      </c>
      <c r="V60" s="79"/>
      <c r="W60" s="172" t="str">
        <f>IF(V60="","",IF(VLOOKUP(V60,'G-7 Rivers Data'!$AA$4:$AB$7,2,FALSE)=0,"Spatial Data Missing",VLOOKUP(V60,'G-7 Rivers Data'!$AA$4:$AB$7,2,FALSE)))</f>
        <v/>
      </c>
      <c r="X60" s="187"/>
      <c r="Y60" s="172" t="str">
        <f>IF(X60="","",IF(VLOOKUP(X60,'G-7 Rivers Data'!$AD$4:$AE$8,2,FALSE)=0,"Enrcoachment Data Missing",VLOOKUP(X60,'G-7 Rivers Data'!$AD$4:$AE$8,2,FALSE)))</f>
        <v/>
      </c>
      <c r="Z60" s="186"/>
      <c r="AA60" s="176" t="str">
        <f>IF(Z60="","",VLOOKUP(Z60,'G-7 Rivers Data'!$AO$4:$AP$7,2,FALSE))</f>
        <v/>
      </c>
      <c r="AB60" s="265" t="str">
        <f t="shared" si="6"/>
        <v/>
      </c>
      <c r="AC60" s="180"/>
      <c r="AD60" s="181"/>
      <c r="AK60" s="35" t="str">
        <f>IFERROR(INDEX('G-7 Rivers Data'!$AZ$3:$AZ$7,MATCH(C60,'G-7 Rivers Data'!$AY$3:$AY$7,0)),"")</f>
        <v/>
      </c>
    </row>
    <row r="61" spans="2:37" ht="13.8" x14ac:dyDescent="0.25">
      <c r="B61" s="168">
        <v>50</v>
      </c>
      <c r="C61" s="184"/>
      <c r="D61" s="213"/>
      <c r="E61" s="171" t="str">
        <f>IF(C61="","",VLOOKUP(C61,'G-7 Rivers Data'!$B$2:$Z$9,2,FALSE))</f>
        <v/>
      </c>
      <c r="F61" s="172" t="str">
        <f>IFERROR(VLOOKUP(E61,'G-7 Rivers Data'!$C$4:$D$8,2,FALSE),"")</f>
        <v/>
      </c>
      <c r="G61" s="173"/>
      <c r="H61" s="172" t="str">
        <f>IFERROR(INDEX('G-7 Rivers Data'!$H$4:$L$8,MATCH(C61,'G-7 Rivers Data'!$B$4:$B$8,0),MATCH(G61,'G-7 Rivers Data'!$H$3:$L$3,0)),"")</f>
        <v/>
      </c>
      <c r="I61" s="173"/>
      <c r="J61" s="269" t="str">
        <f>IF(I61="","",IF(VLOOKUP(I61,'G-7 Rivers Data'!$AG$4:$AI$9,2,FALSE)=0,"Spatial Data Missing",VLOOKUP(I61,'G-7 Rivers Data'!$AG$4:$AI$9,2,FALSE)))</f>
        <v/>
      </c>
      <c r="K61" s="172" t="str">
        <f>IF(I61="","",IF(VLOOKUP(I61,'G-7 Rivers Data'!$AG$4:$AI$9,3,FALSE)=0,"Spatial Data Missing",VLOOKUP(I61,'G-7 Rivers Data'!$AG$4:$AI$9,3,FALSE)))</f>
        <v/>
      </c>
      <c r="L61" s="384" t="str">
        <f>IFERROR(INDEX('G-7 Rivers Data'!$O$3:$O$7,MATCH(G61,'G-7 Rivers Data'!$N$3:$N$7,0)),"")</f>
        <v/>
      </c>
      <c r="M61" s="82"/>
      <c r="N61" s="261"/>
      <c r="O61" s="179" t="str">
        <f t="shared" si="1"/>
        <v/>
      </c>
      <c r="P61" s="262" t="str">
        <f t="shared" si="2"/>
        <v/>
      </c>
      <c r="Q61" s="382" t="str">
        <f>IFERROR(IF(P61="Check Data","Check Data",VLOOKUP(P61,'G-4 Temporal multipliers'!$A$4:$C$37,3,FALSE)),"")</f>
        <v/>
      </c>
      <c r="R61" s="171" t="str">
        <f>IF(C61="","",VLOOKUP(C61,'G-7 Rivers Data'!$B$4:$G$8,4,FALSE))</f>
        <v/>
      </c>
      <c r="S61" s="179" t="str">
        <f t="shared" si="3"/>
        <v/>
      </c>
      <c r="T61" s="269" t="str">
        <f t="shared" si="4"/>
        <v/>
      </c>
      <c r="U61" s="172" t="str">
        <f t="shared" si="5"/>
        <v/>
      </c>
      <c r="V61" s="79"/>
      <c r="W61" s="172" t="str">
        <f>IF(V61="","",IF(VLOOKUP(V61,'G-7 Rivers Data'!$AA$4:$AB$7,2,FALSE)=0,"Spatial Data Missing",VLOOKUP(V61,'G-7 Rivers Data'!$AA$4:$AB$7,2,FALSE)))</f>
        <v/>
      </c>
      <c r="X61" s="187"/>
      <c r="Y61" s="172" t="str">
        <f>IF(X61="","",IF(VLOOKUP(X61,'G-7 Rivers Data'!$AD$4:$AE$8,2,FALSE)=0,"Enrcoachment Data Missing",VLOOKUP(X61,'G-7 Rivers Data'!$AD$4:$AE$8,2,FALSE)))</f>
        <v/>
      </c>
      <c r="Z61" s="186"/>
      <c r="AA61" s="176" t="str">
        <f>IF(Z61="","",VLOOKUP(Z61,'G-7 Rivers Data'!$AO$4:$AP$7,2,FALSE))</f>
        <v/>
      </c>
      <c r="AB61" s="265" t="str">
        <f t="shared" si="6"/>
        <v/>
      </c>
      <c r="AC61" s="180"/>
      <c r="AD61" s="181"/>
      <c r="AK61" s="35" t="str">
        <f>IFERROR(INDEX('G-7 Rivers Data'!$AZ$3:$AZ$7,MATCH(C61,'G-7 Rivers Data'!$AY$3:$AY$7,0)),"")</f>
        <v/>
      </c>
    </row>
    <row r="62" spans="2:37" ht="13.8" x14ac:dyDescent="0.25">
      <c r="B62" s="168">
        <v>51</v>
      </c>
      <c r="C62" s="184"/>
      <c r="D62" s="213"/>
      <c r="E62" s="171" t="str">
        <f>IF(C62="","",VLOOKUP(C62,'G-7 Rivers Data'!$B$2:$Z$9,2,FALSE))</f>
        <v/>
      </c>
      <c r="F62" s="172" t="str">
        <f>IFERROR(VLOOKUP(E62,'G-7 Rivers Data'!$C$4:$D$8,2,FALSE),"")</f>
        <v/>
      </c>
      <c r="G62" s="173"/>
      <c r="H62" s="172" t="str">
        <f>IFERROR(INDEX('G-7 Rivers Data'!$H$4:$L$8,MATCH(C62,'G-7 Rivers Data'!$B$4:$B$8,0),MATCH(G62,'G-7 Rivers Data'!$H$3:$L$3,0)),"")</f>
        <v/>
      </c>
      <c r="I62" s="173"/>
      <c r="J62" s="269" t="str">
        <f>IF(I62="","",IF(VLOOKUP(I62,'G-7 Rivers Data'!$AG$4:$AI$9,2,FALSE)=0,"Spatial Data Missing",VLOOKUP(I62,'G-7 Rivers Data'!$AG$4:$AI$9,2,FALSE)))</f>
        <v/>
      </c>
      <c r="K62" s="172" t="str">
        <f>IF(I62="","",IF(VLOOKUP(I62,'G-7 Rivers Data'!$AG$4:$AI$9,3,FALSE)=0,"Spatial Data Missing",VLOOKUP(I62,'G-7 Rivers Data'!$AG$4:$AI$9,3,FALSE)))</f>
        <v/>
      </c>
      <c r="L62" s="384" t="str">
        <f>IFERROR(INDEX('G-7 Rivers Data'!$O$3:$O$7,MATCH(G62,'G-7 Rivers Data'!$N$3:$N$7,0)),"")</f>
        <v/>
      </c>
      <c r="M62" s="82"/>
      <c r="N62" s="261"/>
      <c r="O62" s="179" t="str">
        <f t="shared" si="1"/>
        <v/>
      </c>
      <c r="P62" s="262" t="str">
        <f t="shared" si="2"/>
        <v/>
      </c>
      <c r="Q62" s="382" t="str">
        <f>IFERROR(IF(P62="Check Data","Check Data",VLOOKUP(P62,'G-4 Temporal multipliers'!$A$4:$C$37,3,FALSE)),"")</f>
        <v/>
      </c>
      <c r="R62" s="171" t="str">
        <f>IF(C62="","",VLOOKUP(C62,'G-7 Rivers Data'!$B$4:$G$8,4,FALSE))</f>
        <v/>
      </c>
      <c r="S62" s="179" t="str">
        <f t="shared" si="3"/>
        <v/>
      </c>
      <c r="T62" s="269" t="str">
        <f t="shared" si="4"/>
        <v/>
      </c>
      <c r="U62" s="172" t="str">
        <f t="shared" si="5"/>
        <v/>
      </c>
      <c r="V62" s="79"/>
      <c r="W62" s="172" t="str">
        <f>IF(V62="","",IF(VLOOKUP(V62,'G-7 Rivers Data'!$AA$4:$AB$7,2,FALSE)=0,"Spatial Data Missing",VLOOKUP(V62,'G-7 Rivers Data'!$AA$4:$AB$7,2,FALSE)))</f>
        <v/>
      </c>
      <c r="X62" s="187"/>
      <c r="Y62" s="172" t="str">
        <f>IF(X62="","",IF(VLOOKUP(X62,'G-7 Rivers Data'!$AD$4:$AE$8,2,FALSE)=0,"Enrcoachment Data Missing",VLOOKUP(X62,'G-7 Rivers Data'!$AD$4:$AE$8,2,FALSE)))</f>
        <v/>
      </c>
      <c r="Z62" s="186"/>
      <c r="AA62" s="176" t="str">
        <f>IF(Z62="","",VLOOKUP(Z62,'G-7 Rivers Data'!$AO$4:$AP$7,2,FALSE))</f>
        <v/>
      </c>
      <c r="AB62" s="265" t="str">
        <f t="shared" si="6"/>
        <v/>
      </c>
      <c r="AC62" s="180"/>
      <c r="AD62" s="181"/>
      <c r="AK62" s="35" t="str">
        <f>IFERROR(INDEX('G-7 Rivers Data'!$AZ$3:$AZ$7,MATCH(C62,'G-7 Rivers Data'!$AY$3:$AY$7,0)),"")</f>
        <v/>
      </c>
    </row>
    <row r="63" spans="2:37" ht="13.8" x14ac:dyDescent="0.25">
      <c r="B63" s="168">
        <v>52</v>
      </c>
      <c r="C63" s="184"/>
      <c r="D63" s="213"/>
      <c r="E63" s="171" t="str">
        <f>IF(C63="","",VLOOKUP(C63,'G-7 Rivers Data'!$B$2:$Z$9,2,FALSE))</f>
        <v/>
      </c>
      <c r="F63" s="172" t="str">
        <f>IFERROR(VLOOKUP(E63,'G-7 Rivers Data'!$C$4:$D$8,2,FALSE),"")</f>
        <v/>
      </c>
      <c r="G63" s="173"/>
      <c r="H63" s="172" t="str">
        <f>IFERROR(INDEX('G-7 Rivers Data'!$H$4:$L$8,MATCH(C63,'G-7 Rivers Data'!$B$4:$B$8,0),MATCH(G63,'G-7 Rivers Data'!$H$3:$L$3,0)),"")</f>
        <v/>
      </c>
      <c r="I63" s="173"/>
      <c r="J63" s="269" t="str">
        <f>IF(I63="","",IF(VLOOKUP(I63,'G-7 Rivers Data'!$AG$4:$AI$9,2,FALSE)=0,"Spatial Data Missing",VLOOKUP(I63,'G-7 Rivers Data'!$AG$4:$AI$9,2,FALSE)))</f>
        <v/>
      </c>
      <c r="K63" s="172" t="str">
        <f>IF(I63="","",IF(VLOOKUP(I63,'G-7 Rivers Data'!$AG$4:$AI$9,3,FALSE)=0,"Spatial Data Missing",VLOOKUP(I63,'G-7 Rivers Data'!$AG$4:$AI$9,3,FALSE)))</f>
        <v/>
      </c>
      <c r="L63" s="384" t="str">
        <f>IFERROR(INDEX('G-7 Rivers Data'!$O$3:$O$7,MATCH(G63,'G-7 Rivers Data'!$N$3:$N$7,0)),"")</f>
        <v/>
      </c>
      <c r="M63" s="82"/>
      <c r="N63" s="261"/>
      <c r="O63" s="179" t="str">
        <f t="shared" si="1"/>
        <v/>
      </c>
      <c r="P63" s="262" t="str">
        <f t="shared" si="2"/>
        <v/>
      </c>
      <c r="Q63" s="382" t="str">
        <f>IFERROR(IF(P63="Check Data","Check Data",VLOOKUP(P63,'G-4 Temporal multipliers'!$A$4:$C$37,3,FALSE)),"")</f>
        <v/>
      </c>
      <c r="R63" s="171" t="str">
        <f>IF(C63="","",VLOOKUP(C63,'G-7 Rivers Data'!$B$4:$G$8,4,FALSE))</f>
        <v/>
      </c>
      <c r="S63" s="179" t="str">
        <f t="shared" si="3"/>
        <v/>
      </c>
      <c r="T63" s="269" t="str">
        <f t="shared" si="4"/>
        <v/>
      </c>
      <c r="U63" s="172" t="str">
        <f t="shared" si="5"/>
        <v/>
      </c>
      <c r="V63" s="79"/>
      <c r="W63" s="172" t="str">
        <f>IF(V63="","",IF(VLOOKUP(V63,'G-7 Rivers Data'!$AA$4:$AB$7,2,FALSE)=0,"Spatial Data Missing",VLOOKUP(V63,'G-7 Rivers Data'!$AA$4:$AB$7,2,FALSE)))</f>
        <v/>
      </c>
      <c r="X63" s="187"/>
      <c r="Y63" s="172" t="str">
        <f>IF(X63="","",IF(VLOOKUP(X63,'G-7 Rivers Data'!$AD$4:$AE$8,2,FALSE)=0,"Enrcoachment Data Missing",VLOOKUP(X63,'G-7 Rivers Data'!$AD$4:$AE$8,2,FALSE)))</f>
        <v/>
      </c>
      <c r="Z63" s="186"/>
      <c r="AA63" s="176" t="str">
        <f>IF(Z63="","",VLOOKUP(Z63,'G-7 Rivers Data'!$AO$4:$AP$7,2,FALSE))</f>
        <v/>
      </c>
      <c r="AB63" s="265" t="str">
        <f t="shared" si="6"/>
        <v/>
      </c>
      <c r="AC63" s="180"/>
      <c r="AD63" s="181"/>
      <c r="AK63" s="35" t="str">
        <f>IFERROR(INDEX('G-7 Rivers Data'!$AZ$3:$AZ$7,MATCH(C63,'G-7 Rivers Data'!$AY$3:$AY$7,0)),"")</f>
        <v/>
      </c>
    </row>
    <row r="64" spans="2:37" ht="13.8" x14ac:dyDescent="0.25">
      <c r="B64" s="168">
        <v>53</v>
      </c>
      <c r="C64" s="184"/>
      <c r="D64" s="213"/>
      <c r="E64" s="171" t="str">
        <f>IF(C64="","",VLOOKUP(C64,'G-7 Rivers Data'!$B$2:$Z$9,2,FALSE))</f>
        <v/>
      </c>
      <c r="F64" s="172" t="str">
        <f>IFERROR(VLOOKUP(E64,'G-7 Rivers Data'!$C$4:$D$8,2,FALSE),"")</f>
        <v/>
      </c>
      <c r="G64" s="173"/>
      <c r="H64" s="172" t="str">
        <f>IFERROR(INDEX('G-7 Rivers Data'!$H$4:$L$8,MATCH(C64,'G-7 Rivers Data'!$B$4:$B$8,0),MATCH(G64,'G-7 Rivers Data'!$H$3:$L$3,0)),"")</f>
        <v/>
      </c>
      <c r="I64" s="173"/>
      <c r="J64" s="269" t="str">
        <f>IF(I64="","",IF(VLOOKUP(I64,'G-7 Rivers Data'!$AG$4:$AI$9,2,FALSE)=0,"Spatial Data Missing",VLOOKUP(I64,'G-7 Rivers Data'!$AG$4:$AI$9,2,FALSE)))</f>
        <v/>
      </c>
      <c r="K64" s="172" t="str">
        <f>IF(I64="","",IF(VLOOKUP(I64,'G-7 Rivers Data'!$AG$4:$AI$9,3,FALSE)=0,"Spatial Data Missing",VLOOKUP(I64,'G-7 Rivers Data'!$AG$4:$AI$9,3,FALSE)))</f>
        <v/>
      </c>
      <c r="L64" s="384" t="str">
        <f>IFERROR(INDEX('G-7 Rivers Data'!$O$3:$O$7,MATCH(G64,'G-7 Rivers Data'!$N$3:$N$7,0)),"")</f>
        <v/>
      </c>
      <c r="M64" s="82"/>
      <c r="N64" s="261"/>
      <c r="O64" s="179" t="str">
        <f t="shared" si="1"/>
        <v/>
      </c>
      <c r="P64" s="262" t="str">
        <f t="shared" si="2"/>
        <v/>
      </c>
      <c r="Q64" s="382" t="str">
        <f>IFERROR(IF(P64="Check Data","Check Data",VLOOKUP(P64,'G-4 Temporal multipliers'!$A$4:$C$37,3,FALSE)),"")</f>
        <v/>
      </c>
      <c r="R64" s="171" t="str">
        <f>IF(C64="","",VLOOKUP(C64,'G-7 Rivers Data'!$B$4:$G$8,4,FALSE))</f>
        <v/>
      </c>
      <c r="S64" s="179" t="str">
        <f t="shared" si="3"/>
        <v/>
      </c>
      <c r="T64" s="269" t="str">
        <f t="shared" si="4"/>
        <v/>
      </c>
      <c r="U64" s="172" t="str">
        <f t="shared" si="5"/>
        <v/>
      </c>
      <c r="V64" s="79"/>
      <c r="W64" s="172" t="str">
        <f>IF(V64="","",IF(VLOOKUP(V64,'G-7 Rivers Data'!$AA$4:$AB$7,2,FALSE)=0,"Spatial Data Missing",VLOOKUP(V64,'G-7 Rivers Data'!$AA$4:$AB$7,2,FALSE)))</f>
        <v/>
      </c>
      <c r="X64" s="187"/>
      <c r="Y64" s="172" t="str">
        <f>IF(X64="","",IF(VLOOKUP(X64,'G-7 Rivers Data'!$AD$4:$AE$8,2,FALSE)=0,"Enrcoachment Data Missing",VLOOKUP(X64,'G-7 Rivers Data'!$AD$4:$AE$8,2,FALSE)))</f>
        <v/>
      </c>
      <c r="Z64" s="186"/>
      <c r="AA64" s="176" t="str">
        <f>IF(Z64="","",VLOOKUP(Z64,'G-7 Rivers Data'!$AO$4:$AP$7,2,FALSE))</f>
        <v/>
      </c>
      <c r="AB64" s="265" t="str">
        <f t="shared" si="6"/>
        <v/>
      </c>
      <c r="AC64" s="180"/>
      <c r="AD64" s="181"/>
      <c r="AK64" s="35" t="str">
        <f>IFERROR(INDEX('G-7 Rivers Data'!$AZ$3:$AZ$7,MATCH(C64,'G-7 Rivers Data'!$AY$3:$AY$7,0)),"")</f>
        <v/>
      </c>
    </row>
    <row r="65" spans="2:37" ht="13.8" x14ac:dyDescent="0.25">
      <c r="B65" s="168">
        <v>54</v>
      </c>
      <c r="C65" s="184"/>
      <c r="D65" s="213"/>
      <c r="E65" s="171" t="str">
        <f>IF(C65="","",VLOOKUP(C65,'G-7 Rivers Data'!$B$2:$Z$9,2,FALSE))</f>
        <v/>
      </c>
      <c r="F65" s="172" t="str">
        <f>IFERROR(VLOOKUP(E65,'G-7 Rivers Data'!$C$4:$D$8,2,FALSE),"")</f>
        <v/>
      </c>
      <c r="G65" s="173"/>
      <c r="H65" s="172" t="str">
        <f>IFERROR(INDEX('G-7 Rivers Data'!$H$4:$L$8,MATCH(C65,'G-7 Rivers Data'!$B$4:$B$8,0),MATCH(G65,'G-7 Rivers Data'!$H$3:$L$3,0)),"")</f>
        <v/>
      </c>
      <c r="I65" s="173"/>
      <c r="J65" s="269" t="str">
        <f>IF(I65="","",IF(VLOOKUP(I65,'G-7 Rivers Data'!$AG$4:$AI$9,2,FALSE)=0,"Spatial Data Missing",VLOOKUP(I65,'G-7 Rivers Data'!$AG$4:$AI$9,2,FALSE)))</f>
        <v/>
      </c>
      <c r="K65" s="172" t="str">
        <f>IF(I65="","",IF(VLOOKUP(I65,'G-7 Rivers Data'!$AG$4:$AI$9,3,FALSE)=0,"Spatial Data Missing",VLOOKUP(I65,'G-7 Rivers Data'!$AG$4:$AI$9,3,FALSE)))</f>
        <v/>
      </c>
      <c r="L65" s="384" t="str">
        <f>IFERROR(INDEX('G-7 Rivers Data'!$O$3:$O$7,MATCH(G65,'G-7 Rivers Data'!$N$3:$N$7,0)),"")</f>
        <v/>
      </c>
      <c r="M65" s="82"/>
      <c r="N65" s="261"/>
      <c r="O65" s="179" t="str">
        <f t="shared" si="1"/>
        <v/>
      </c>
      <c r="P65" s="262" t="str">
        <f t="shared" si="2"/>
        <v/>
      </c>
      <c r="Q65" s="382" t="str">
        <f>IFERROR(IF(P65="Check Data","Check Data",VLOOKUP(P65,'G-4 Temporal multipliers'!$A$4:$C$37,3,FALSE)),"")</f>
        <v/>
      </c>
      <c r="R65" s="171" t="str">
        <f>IF(C65="","",VLOOKUP(C65,'G-7 Rivers Data'!$B$4:$G$8,4,FALSE))</f>
        <v/>
      </c>
      <c r="S65" s="179" t="str">
        <f t="shared" si="3"/>
        <v/>
      </c>
      <c r="T65" s="269" t="str">
        <f t="shared" si="4"/>
        <v/>
      </c>
      <c r="U65" s="172" t="str">
        <f t="shared" si="5"/>
        <v/>
      </c>
      <c r="V65" s="79"/>
      <c r="W65" s="172" t="str">
        <f>IF(V65="","",IF(VLOOKUP(V65,'G-7 Rivers Data'!$AA$4:$AB$7,2,FALSE)=0,"Spatial Data Missing",VLOOKUP(V65,'G-7 Rivers Data'!$AA$4:$AB$7,2,FALSE)))</f>
        <v/>
      </c>
      <c r="X65" s="187"/>
      <c r="Y65" s="172" t="str">
        <f>IF(X65="","",IF(VLOOKUP(X65,'G-7 Rivers Data'!$AD$4:$AE$8,2,FALSE)=0,"Enrcoachment Data Missing",VLOOKUP(X65,'G-7 Rivers Data'!$AD$4:$AE$8,2,FALSE)))</f>
        <v/>
      </c>
      <c r="Z65" s="186"/>
      <c r="AA65" s="176" t="str">
        <f>IF(Z65="","",VLOOKUP(Z65,'G-7 Rivers Data'!$AO$4:$AP$7,2,FALSE))</f>
        <v/>
      </c>
      <c r="AB65" s="265" t="str">
        <f t="shared" si="6"/>
        <v/>
      </c>
      <c r="AC65" s="180"/>
      <c r="AD65" s="181"/>
      <c r="AK65" s="35" t="str">
        <f>IFERROR(INDEX('G-7 Rivers Data'!$AZ$3:$AZ$7,MATCH(C65,'G-7 Rivers Data'!$AY$3:$AY$7,0)),"")</f>
        <v/>
      </c>
    </row>
    <row r="66" spans="2:37" ht="13.8" x14ac:dyDescent="0.25">
      <c r="B66" s="168">
        <v>55</v>
      </c>
      <c r="C66" s="184"/>
      <c r="D66" s="213"/>
      <c r="E66" s="171" t="str">
        <f>IF(C66="","",VLOOKUP(C66,'G-7 Rivers Data'!$B$2:$Z$9,2,FALSE))</f>
        <v/>
      </c>
      <c r="F66" s="172" t="str">
        <f>IFERROR(VLOOKUP(E66,'G-7 Rivers Data'!$C$4:$D$8,2,FALSE),"")</f>
        <v/>
      </c>
      <c r="G66" s="173"/>
      <c r="H66" s="172" t="str">
        <f>IFERROR(INDEX('G-7 Rivers Data'!$H$4:$L$8,MATCH(C66,'G-7 Rivers Data'!$B$4:$B$8,0),MATCH(G66,'G-7 Rivers Data'!$H$3:$L$3,0)),"")</f>
        <v/>
      </c>
      <c r="I66" s="173"/>
      <c r="J66" s="269" t="str">
        <f>IF(I66="","",IF(VLOOKUP(I66,'G-7 Rivers Data'!$AG$4:$AI$9,2,FALSE)=0,"Spatial Data Missing",VLOOKUP(I66,'G-7 Rivers Data'!$AG$4:$AI$9,2,FALSE)))</f>
        <v/>
      </c>
      <c r="K66" s="172" t="str">
        <f>IF(I66="","",IF(VLOOKUP(I66,'G-7 Rivers Data'!$AG$4:$AI$9,3,FALSE)=0,"Spatial Data Missing",VLOOKUP(I66,'G-7 Rivers Data'!$AG$4:$AI$9,3,FALSE)))</f>
        <v/>
      </c>
      <c r="L66" s="384" t="str">
        <f>IFERROR(INDEX('G-7 Rivers Data'!$O$3:$O$7,MATCH(G66,'G-7 Rivers Data'!$N$3:$N$7,0)),"")</f>
        <v/>
      </c>
      <c r="M66" s="82"/>
      <c r="N66" s="261"/>
      <c r="O66" s="179" t="str">
        <f t="shared" si="1"/>
        <v/>
      </c>
      <c r="P66" s="262" t="str">
        <f t="shared" si="2"/>
        <v/>
      </c>
      <c r="Q66" s="382" t="str">
        <f>IFERROR(IF(P66="Check Data","Check Data",VLOOKUP(P66,'G-4 Temporal multipliers'!$A$4:$C$37,3,FALSE)),"")</f>
        <v/>
      </c>
      <c r="R66" s="171" t="str">
        <f>IF(C66="","",VLOOKUP(C66,'G-7 Rivers Data'!$B$4:$G$8,4,FALSE))</f>
        <v/>
      </c>
      <c r="S66" s="179" t="str">
        <f t="shared" si="3"/>
        <v/>
      </c>
      <c r="T66" s="269" t="str">
        <f t="shared" si="4"/>
        <v/>
      </c>
      <c r="U66" s="172" t="str">
        <f t="shared" si="5"/>
        <v/>
      </c>
      <c r="V66" s="79"/>
      <c r="W66" s="172" t="str">
        <f>IF(V66="","",IF(VLOOKUP(V66,'G-7 Rivers Data'!$AA$4:$AB$7,2,FALSE)=0,"Spatial Data Missing",VLOOKUP(V66,'G-7 Rivers Data'!$AA$4:$AB$7,2,FALSE)))</f>
        <v/>
      </c>
      <c r="X66" s="187"/>
      <c r="Y66" s="172" t="str">
        <f>IF(X66="","",IF(VLOOKUP(X66,'G-7 Rivers Data'!$AD$4:$AE$8,2,FALSE)=0,"Enrcoachment Data Missing",VLOOKUP(X66,'G-7 Rivers Data'!$AD$4:$AE$8,2,FALSE)))</f>
        <v/>
      </c>
      <c r="Z66" s="186"/>
      <c r="AA66" s="176" t="str">
        <f>IF(Z66="","",VLOOKUP(Z66,'G-7 Rivers Data'!$AO$4:$AP$7,2,FALSE))</f>
        <v/>
      </c>
      <c r="AB66" s="265" t="str">
        <f t="shared" si="6"/>
        <v/>
      </c>
      <c r="AC66" s="180"/>
      <c r="AD66" s="181"/>
      <c r="AK66" s="35" t="str">
        <f>IFERROR(INDEX('G-7 Rivers Data'!$AZ$3:$AZ$7,MATCH(C66,'G-7 Rivers Data'!$AY$3:$AY$7,0)),"")</f>
        <v/>
      </c>
    </row>
    <row r="67" spans="2:37" ht="13.8" x14ac:dyDescent="0.25">
      <c r="B67" s="168">
        <v>56</v>
      </c>
      <c r="C67" s="184"/>
      <c r="D67" s="213"/>
      <c r="E67" s="171" t="str">
        <f>IF(C67="","",VLOOKUP(C67,'G-7 Rivers Data'!$B$2:$Z$9,2,FALSE))</f>
        <v/>
      </c>
      <c r="F67" s="172" t="str">
        <f>IFERROR(VLOOKUP(E67,'G-7 Rivers Data'!$C$4:$D$8,2,FALSE),"")</f>
        <v/>
      </c>
      <c r="G67" s="173"/>
      <c r="H67" s="172" t="str">
        <f>IFERROR(INDEX('G-7 Rivers Data'!$H$4:$L$8,MATCH(C67,'G-7 Rivers Data'!$B$4:$B$8,0),MATCH(G67,'G-7 Rivers Data'!$H$3:$L$3,0)),"")</f>
        <v/>
      </c>
      <c r="I67" s="173"/>
      <c r="J67" s="269" t="str">
        <f>IF(I67="","",IF(VLOOKUP(I67,'G-7 Rivers Data'!$AG$4:$AI$9,2,FALSE)=0,"Spatial Data Missing",VLOOKUP(I67,'G-7 Rivers Data'!$AG$4:$AI$9,2,FALSE)))</f>
        <v/>
      </c>
      <c r="K67" s="172" t="str">
        <f>IF(I67="","",IF(VLOOKUP(I67,'G-7 Rivers Data'!$AG$4:$AI$9,3,FALSE)=0,"Spatial Data Missing",VLOOKUP(I67,'G-7 Rivers Data'!$AG$4:$AI$9,3,FALSE)))</f>
        <v/>
      </c>
      <c r="L67" s="384" t="str">
        <f>IFERROR(INDEX('G-7 Rivers Data'!$O$3:$O$7,MATCH(G67,'G-7 Rivers Data'!$N$3:$N$7,0)),"")</f>
        <v/>
      </c>
      <c r="M67" s="82"/>
      <c r="N67" s="261"/>
      <c r="O67" s="179" t="str">
        <f t="shared" si="1"/>
        <v/>
      </c>
      <c r="P67" s="262" t="str">
        <f t="shared" si="2"/>
        <v/>
      </c>
      <c r="Q67" s="382" t="str">
        <f>IFERROR(IF(P67="Check Data","Check Data",VLOOKUP(P67,'G-4 Temporal multipliers'!$A$4:$C$37,3,FALSE)),"")</f>
        <v/>
      </c>
      <c r="R67" s="171" t="str">
        <f>IF(C67="","",VLOOKUP(C67,'G-7 Rivers Data'!$B$4:$G$8,4,FALSE))</f>
        <v/>
      </c>
      <c r="S67" s="179" t="str">
        <f t="shared" si="3"/>
        <v/>
      </c>
      <c r="T67" s="269" t="str">
        <f t="shared" si="4"/>
        <v/>
      </c>
      <c r="U67" s="172" t="str">
        <f t="shared" si="5"/>
        <v/>
      </c>
      <c r="V67" s="79"/>
      <c r="W67" s="172" t="str">
        <f>IF(V67="","",IF(VLOOKUP(V67,'G-7 Rivers Data'!$AA$4:$AB$7,2,FALSE)=0,"Spatial Data Missing",VLOOKUP(V67,'G-7 Rivers Data'!$AA$4:$AB$7,2,FALSE)))</f>
        <v/>
      </c>
      <c r="X67" s="187"/>
      <c r="Y67" s="172" t="str">
        <f>IF(X67="","",IF(VLOOKUP(X67,'G-7 Rivers Data'!$AD$4:$AE$8,2,FALSE)=0,"Enrcoachment Data Missing",VLOOKUP(X67,'G-7 Rivers Data'!$AD$4:$AE$8,2,FALSE)))</f>
        <v/>
      </c>
      <c r="Z67" s="186"/>
      <c r="AA67" s="176" t="str">
        <f>IF(Z67="","",VLOOKUP(Z67,'G-7 Rivers Data'!$AO$4:$AP$7,2,FALSE))</f>
        <v/>
      </c>
      <c r="AB67" s="265" t="str">
        <f t="shared" si="6"/>
        <v/>
      </c>
      <c r="AC67" s="180"/>
      <c r="AD67" s="181"/>
      <c r="AK67" s="35" t="str">
        <f>IFERROR(INDEX('G-7 Rivers Data'!$AZ$3:$AZ$7,MATCH(C67,'G-7 Rivers Data'!$AY$3:$AY$7,0)),"")</f>
        <v/>
      </c>
    </row>
    <row r="68" spans="2:37" ht="13.8" x14ac:dyDescent="0.25">
      <c r="B68" s="168">
        <v>57</v>
      </c>
      <c r="C68" s="184"/>
      <c r="D68" s="213"/>
      <c r="E68" s="171" t="str">
        <f>IF(C68="","",VLOOKUP(C68,'G-7 Rivers Data'!$B$2:$Z$9,2,FALSE))</f>
        <v/>
      </c>
      <c r="F68" s="172" t="str">
        <f>IFERROR(VLOOKUP(E68,'G-7 Rivers Data'!$C$4:$D$8,2,FALSE),"")</f>
        <v/>
      </c>
      <c r="G68" s="173"/>
      <c r="H68" s="172" t="str">
        <f>IFERROR(INDEX('G-7 Rivers Data'!$H$4:$L$8,MATCH(C68,'G-7 Rivers Data'!$B$4:$B$8,0),MATCH(G68,'G-7 Rivers Data'!$H$3:$L$3,0)),"")</f>
        <v/>
      </c>
      <c r="I68" s="173"/>
      <c r="J68" s="269" t="str">
        <f>IF(I68="","",IF(VLOOKUP(I68,'G-7 Rivers Data'!$AG$4:$AI$9,2,FALSE)=0,"Spatial Data Missing",VLOOKUP(I68,'G-7 Rivers Data'!$AG$4:$AI$9,2,FALSE)))</f>
        <v/>
      </c>
      <c r="K68" s="172" t="str">
        <f>IF(I68="","",IF(VLOOKUP(I68,'G-7 Rivers Data'!$AG$4:$AI$9,3,FALSE)=0,"Spatial Data Missing",VLOOKUP(I68,'G-7 Rivers Data'!$AG$4:$AI$9,3,FALSE)))</f>
        <v/>
      </c>
      <c r="L68" s="384" t="str">
        <f>IFERROR(INDEX('G-7 Rivers Data'!$O$3:$O$7,MATCH(G68,'G-7 Rivers Data'!$N$3:$N$7,0)),"")</f>
        <v/>
      </c>
      <c r="M68" s="82"/>
      <c r="N68" s="261"/>
      <c r="O68" s="179" t="str">
        <f t="shared" si="1"/>
        <v/>
      </c>
      <c r="P68" s="262" t="str">
        <f t="shared" si="2"/>
        <v/>
      </c>
      <c r="Q68" s="382" t="str">
        <f>IFERROR(IF(P68="Check Data","Check Data",VLOOKUP(P68,'G-4 Temporal multipliers'!$A$4:$C$37,3,FALSE)),"")</f>
        <v/>
      </c>
      <c r="R68" s="171" t="str">
        <f>IF(C68="","",VLOOKUP(C68,'G-7 Rivers Data'!$B$4:$G$8,4,FALSE))</f>
        <v/>
      </c>
      <c r="S68" s="179" t="str">
        <f t="shared" si="3"/>
        <v/>
      </c>
      <c r="T68" s="269" t="str">
        <f t="shared" si="4"/>
        <v/>
      </c>
      <c r="U68" s="172" t="str">
        <f t="shared" si="5"/>
        <v/>
      </c>
      <c r="V68" s="79"/>
      <c r="W68" s="172" t="str">
        <f>IF(V68="","",IF(VLOOKUP(V68,'G-7 Rivers Data'!$AA$4:$AB$7,2,FALSE)=0,"Spatial Data Missing",VLOOKUP(V68,'G-7 Rivers Data'!$AA$4:$AB$7,2,FALSE)))</f>
        <v/>
      </c>
      <c r="X68" s="187"/>
      <c r="Y68" s="172" t="str">
        <f>IF(X68="","",IF(VLOOKUP(X68,'G-7 Rivers Data'!$AD$4:$AE$8,2,FALSE)=0,"Enrcoachment Data Missing",VLOOKUP(X68,'G-7 Rivers Data'!$AD$4:$AE$8,2,FALSE)))</f>
        <v/>
      </c>
      <c r="Z68" s="186"/>
      <c r="AA68" s="176" t="str">
        <f>IF(Z68="","",VLOOKUP(Z68,'G-7 Rivers Data'!$AO$4:$AP$7,2,FALSE))</f>
        <v/>
      </c>
      <c r="AB68" s="265" t="str">
        <f t="shared" si="6"/>
        <v/>
      </c>
      <c r="AC68" s="180"/>
      <c r="AD68" s="181"/>
      <c r="AK68" s="35" t="str">
        <f>IFERROR(INDEX('G-7 Rivers Data'!$AZ$3:$AZ$7,MATCH(C68,'G-7 Rivers Data'!$AY$3:$AY$7,0)),"")</f>
        <v/>
      </c>
    </row>
    <row r="69" spans="2:37" ht="13.8" x14ac:dyDescent="0.25">
      <c r="B69" s="168">
        <v>58</v>
      </c>
      <c r="C69" s="184"/>
      <c r="D69" s="213"/>
      <c r="E69" s="171" t="str">
        <f>IF(C69="","",VLOOKUP(C69,'G-7 Rivers Data'!$B$2:$Z$9,2,FALSE))</f>
        <v/>
      </c>
      <c r="F69" s="172" t="str">
        <f>IFERROR(VLOOKUP(E69,'G-7 Rivers Data'!$C$4:$D$8,2,FALSE),"")</f>
        <v/>
      </c>
      <c r="G69" s="173"/>
      <c r="H69" s="172" t="str">
        <f>IFERROR(INDEX('G-7 Rivers Data'!$H$4:$L$8,MATCH(C69,'G-7 Rivers Data'!$B$4:$B$8,0),MATCH(G69,'G-7 Rivers Data'!$H$3:$L$3,0)),"")</f>
        <v/>
      </c>
      <c r="I69" s="173"/>
      <c r="J69" s="269" t="str">
        <f>IF(I69="","",IF(VLOOKUP(I69,'G-7 Rivers Data'!$AG$4:$AI$9,2,FALSE)=0,"Spatial Data Missing",VLOOKUP(I69,'G-7 Rivers Data'!$AG$4:$AI$9,2,FALSE)))</f>
        <v/>
      </c>
      <c r="K69" s="172" t="str">
        <f>IF(I69="","",IF(VLOOKUP(I69,'G-7 Rivers Data'!$AG$4:$AI$9,3,FALSE)=0,"Spatial Data Missing",VLOOKUP(I69,'G-7 Rivers Data'!$AG$4:$AI$9,3,FALSE)))</f>
        <v/>
      </c>
      <c r="L69" s="384" t="str">
        <f>IFERROR(INDEX('G-7 Rivers Data'!$O$3:$O$7,MATCH(G69,'G-7 Rivers Data'!$N$3:$N$7,0)),"")</f>
        <v/>
      </c>
      <c r="M69" s="82"/>
      <c r="N69" s="261"/>
      <c r="O69" s="179" t="str">
        <f t="shared" si="1"/>
        <v/>
      </c>
      <c r="P69" s="262" t="str">
        <f t="shared" si="2"/>
        <v/>
      </c>
      <c r="Q69" s="382" t="str">
        <f>IFERROR(IF(P69="Check Data","Check Data",VLOOKUP(P69,'G-4 Temporal multipliers'!$A$4:$C$37,3,FALSE)),"")</f>
        <v/>
      </c>
      <c r="R69" s="171" t="str">
        <f>IF(C69="","",VLOOKUP(C69,'G-7 Rivers Data'!$B$4:$G$8,4,FALSE))</f>
        <v/>
      </c>
      <c r="S69" s="179" t="str">
        <f t="shared" si="3"/>
        <v/>
      </c>
      <c r="T69" s="269" t="str">
        <f t="shared" si="4"/>
        <v/>
      </c>
      <c r="U69" s="172" t="str">
        <f t="shared" si="5"/>
        <v/>
      </c>
      <c r="V69" s="79"/>
      <c r="W69" s="172" t="str">
        <f>IF(V69="","",IF(VLOOKUP(V69,'G-7 Rivers Data'!$AA$4:$AB$7,2,FALSE)=0,"Spatial Data Missing",VLOOKUP(V69,'G-7 Rivers Data'!$AA$4:$AB$7,2,FALSE)))</f>
        <v/>
      </c>
      <c r="X69" s="187"/>
      <c r="Y69" s="172" t="str">
        <f>IF(X69="","",IF(VLOOKUP(X69,'G-7 Rivers Data'!$AD$4:$AE$8,2,FALSE)=0,"Enrcoachment Data Missing",VLOOKUP(X69,'G-7 Rivers Data'!$AD$4:$AE$8,2,FALSE)))</f>
        <v/>
      </c>
      <c r="Z69" s="186"/>
      <c r="AA69" s="176" t="str">
        <f>IF(Z69="","",VLOOKUP(Z69,'G-7 Rivers Data'!$AO$4:$AP$7,2,FALSE))</f>
        <v/>
      </c>
      <c r="AB69" s="265" t="str">
        <f t="shared" si="6"/>
        <v/>
      </c>
      <c r="AC69" s="180"/>
      <c r="AD69" s="181"/>
      <c r="AK69" s="35" t="str">
        <f>IFERROR(INDEX('G-7 Rivers Data'!$AZ$3:$AZ$7,MATCH(C69,'G-7 Rivers Data'!$AY$3:$AY$7,0)),"")</f>
        <v/>
      </c>
    </row>
    <row r="70" spans="2:37" ht="13.8" x14ac:dyDescent="0.25">
      <c r="B70" s="168">
        <v>59</v>
      </c>
      <c r="C70" s="184"/>
      <c r="D70" s="213"/>
      <c r="E70" s="171" t="str">
        <f>IF(C70="","",VLOOKUP(C70,'G-7 Rivers Data'!$B$2:$Z$9,2,FALSE))</f>
        <v/>
      </c>
      <c r="F70" s="172" t="str">
        <f>IFERROR(VLOOKUP(E70,'G-7 Rivers Data'!$C$4:$D$8,2,FALSE),"")</f>
        <v/>
      </c>
      <c r="G70" s="173"/>
      <c r="H70" s="172" t="str">
        <f>IFERROR(INDEX('G-7 Rivers Data'!$H$4:$L$8,MATCH(C70,'G-7 Rivers Data'!$B$4:$B$8,0),MATCH(G70,'G-7 Rivers Data'!$H$3:$L$3,0)),"")</f>
        <v/>
      </c>
      <c r="I70" s="173"/>
      <c r="J70" s="269" t="str">
        <f>IF(I70="","",IF(VLOOKUP(I70,'G-7 Rivers Data'!$AG$4:$AI$9,2,FALSE)=0,"Spatial Data Missing",VLOOKUP(I70,'G-7 Rivers Data'!$AG$4:$AI$9,2,FALSE)))</f>
        <v/>
      </c>
      <c r="K70" s="172" t="str">
        <f>IF(I70="","",IF(VLOOKUP(I70,'G-7 Rivers Data'!$AG$4:$AI$9,3,FALSE)=0,"Spatial Data Missing",VLOOKUP(I70,'G-7 Rivers Data'!$AG$4:$AI$9,3,FALSE)))</f>
        <v/>
      </c>
      <c r="L70" s="384" t="str">
        <f>IFERROR(INDEX('G-7 Rivers Data'!$O$3:$O$7,MATCH(G70,'G-7 Rivers Data'!$N$3:$N$7,0)),"")</f>
        <v/>
      </c>
      <c r="M70" s="82"/>
      <c r="N70" s="261"/>
      <c r="O70" s="179" t="str">
        <f t="shared" si="1"/>
        <v/>
      </c>
      <c r="P70" s="262" t="str">
        <f t="shared" si="2"/>
        <v/>
      </c>
      <c r="Q70" s="382" t="str">
        <f>IFERROR(IF(P70="Check Data","Check Data",VLOOKUP(P70,'G-4 Temporal multipliers'!$A$4:$C$37,3,FALSE)),"")</f>
        <v/>
      </c>
      <c r="R70" s="171" t="str">
        <f>IF(C70="","",VLOOKUP(C70,'G-7 Rivers Data'!$B$4:$G$8,4,FALSE))</f>
        <v/>
      </c>
      <c r="S70" s="179" t="str">
        <f t="shared" si="3"/>
        <v/>
      </c>
      <c r="T70" s="269" t="str">
        <f t="shared" si="4"/>
        <v/>
      </c>
      <c r="U70" s="172" t="str">
        <f t="shared" si="5"/>
        <v/>
      </c>
      <c r="V70" s="79"/>
      <c r="W70" s="172" t="str">
        <f>IF(V70="","",IF(VLOOKUP(V70,'G-7 Rivers Data'!$AA$4:$AB$7,2,FALSE)=0,"Spatial Data Missing",VLOOKUP(V70,'G-7 Rivers Data'!$AA$4:$AB$7,2,FALSE)))</f>
        <v/>
      </c>
      <c r="X70" s="187"/>
      <c r="Y70" s="172" t="str">
        <f>IF(X70="","",IF(VLOOKUP(X70,'G-7 Rivers Data'!$AD$4:$AE$8,2,FALSE)=0,"Enrcoachment Data Missing",VLOOKUP(X70,'G-7 Rivers Data'!$AD$4:$AE$8,2,FALSE)))</f>
        <v/>
      </c>
      <c r="Z70" s="186"/>
      <c r="AA70" s="176" t="str">
        <f>IF(Z70="","",VLOOKUP(Z70,'G-7 Rivers Data'!$AO$4:$AP$7,2,FALSE))</f>
        <v/>
      </c>
      <c r="AB70" s="265" t="str">
        <f t="shared" si="6"/>
        <v/>
      </c>
      <c r="AC70" s="180"/>
      <c r="AD70" s="181"/>
      <c r="AK70" s="35" t="str">
        <f>IFERROR(INDEX('G-7 Rivers Data'!$AZ$3:$AZ$7,MATCH(C70,'G-7 Rivers Data'!$AY$3:$AY$7,0)),"")</f>
        <v/>
      </c>
    </row>
    <row r="71" spans="2:37" ht="13.8" x14ac:dyDescent="0.25">
      <c r="B71" s="168">
        <v>60</v>
      </c>
      <c r="C71" s="184"/>
      <c r="D71" s="213"/>
      <c r="E71" s="171" t="str">
        <f>IF(C71="","",VLOOKUP(C71,'G-7 Rivers Data'!$B$2:$Z$9,2,FALSE))</f>
        <v/>
      </c>
      <c r="F71" s="172" t="str">
        <f>IFERROR(VLOOKUP(E71,'G-7 Rivers Data'!$C$4:$D$8,2,FALSE),"")</f>
        <v/>
      </c>
      <c r="G71" s="173"/>
      <c r="H71" s="172" t="str">
        <f>IFERROR(INDEX('G-7 Rivers Data'!$H$4:$L$8,MATCH(C71,'G-7 Rivers Data'!$B$4:$B$8,0),MATCH(G71,'G-7 Rivers Data'!$H$3:$L$3,0)),"")</f>
        <v/>
      </c>
      <c r="I71" s="173"/>
      <c r="J71" s="269" t="str">
        <f>IF(I71="","",IF(VLOOKUP(I71,'G-7 Rivers Data'!$AG$4:$AI$9,2,FALSE)=0,"Spatial Data Missing",VLOOKUP(I71,'G-7 Rivers Data'!$AG$4:$AI$9,2,FALSE)))</f>
        <v/>
      </c>
      <c r="K71" s="172" t="str">
        <f>IF(I71="","",IF(VLOOKUP(I71,'G-7 Rivers Data'!$AG$4:$AI$9,3,FALSE)=0,"Spatial Data Missing",VLOOKUP(I71,'G-7 Rivers Data'!$AG$4:$AI$9,3,FALSE)))</f>
        <v/>
      </c>
      <c r="L71" s="384" t="str">
        <f>IFERROR(INDEX('G-7 Rivers Data'!$O$3:$O$7,MATCH(G71,'G-7 Rivers Data'!$N$3:$N$7,0)),"")</f>
        <v/>
      </c>
      <c r="M71" s="82"/>
      <c r="N71" s="261"/>
      <c r="O71" s="179" t="str">
        <f t="shared" si="1"/>
        <v/>
      </c>
      <c r="P71" s="262" t="str">
        <f t="shared" si="2"/>
        <v/>
      </c>
      <c r="Q71" s="382" t="str">
        <f>IFERROR(IF(P71="Check Data","Check Data",VLOOKUP(P71,'G-4 Temporal multipliers'!$A$4:$C$37,3,FALSE)),"")</f>
        <v/>
      </c>
      <c r="R71" s="171" t="str">
        <f>IF(C71="","",VLOOKUP(C71,'G-7 Rivers Data'!$B$4:$G$8,4,FALSE))</f>
        <v/>
      </c>
      <c r="S71" s="179" t="str">
        <f t="shared" si="3"/>
        <v/>
      </c>
      <c r="T71" s="269" t="str">
        <f t="shared" si="4"/>
        <v/>
      </c>
      <c r="U71" s="172" t="str">
        <f t="shared" si="5"/>
        <v/>
      </c>
      <c r="V71" s="79"/>
      <c r="W71" s="172" t="str">
        <f>IF(V71="","",IF(VLOOKUP(V71,'G-7 Rivers Data'!$AA$4:$AB$7,2,FALSE)=0,"Spatial Data Missing",VLOOKUP(V71,'G-7 Rivers Data'!$AA$4:$AB$7,2,FALSE)))</f>
        <v/>
      </c>
      <c r="X71" s="187"/>
      <c r="Y71" s="172" t="str">
        <f>IF(X71="","",IF(VLOOKUP(X71,'G-7 Rivers Data'!$AD$4:$AE$8,2,FALSE)=0,"Enrcoachment Data Missing",VLOOKUP(X71,'G-7 Rivers Data'!$AD$4:$AE$8,2,FALSE)))</f>
        <v/>
      </c>
      <c r="Z71" s="186"/>
      <c r="AA71" s="176" t="str">
        <f>IF(Z71="","",VLOOKUP(Z71,'G-7 Rivers Data'!$AO$4:$AP$7,2,FALSE))</f>
        <v/>
      </c>
      <c r="AB71" s="265" t="str">
        <f t="shared" si="6"/>
        <v/>
      </c>
      <c r="AC71" s="180"/>
      <c r="AD71" s="181"/>
      <c r="AK71" s="35" t="str">
        <f>IFERROR(INDEX('G-7 Rivers Data'!$AZ$3:$AZ$7,MATCH(C71,'G-7 Rivers Data'!$AY$3:$AY$7,0)),"")</f>
        <v/>
      </c>
    </row>
    <row r="72" spans="2:37" ht="13.8" x14ac:dyDescent="0.25">
      <c r="B72" s="168">
        <v>61</v>
      </c>
      <c r="C72" s="184"/>
      <c r="D72" s="213"/>
      <c r="E72" s="171" t="str">
        <f>IF(C72="","",VLOOKUP(C72,'G-7 Rivers Data'!$B$2:$Z$9,2,FALSE))</f>
        <v/>
      </c>
      <c r="F72" s="172" t="str">
        <f>IFERROR(VLOOKUP(E72,'G-7 Rivers Data'!$C$4:$D$8,2,FALSE),"")</f>
        <v/>
      </c>
      <c r="G72" s="173"/>
      <c r="H72" s="172" t="str">
        <f>IFERROR(INDEX('G-7 Rivers Data'!$H$4:$L$8,MATCH(C72,'G-7 Rivers Data'!$B$4:$B$8,0),MATCH(G72,'G-7 Rivers Data'!$H$3:$L$3,0)),"")</f>
        <v/>
      </c>
      <c r="I72" s="173"/>
      <c r="J72" s="269" t="str">
        <f>IF(I72="","",IF(VLOOKUP(I72,'G-7 Rivers Data'!$AG$4:$AI$9,2,FALSE)=0,"Spatial Data Missing",VLOOKUP(I72,'G-7 Rivers Data'!$AG$4:$AI$9,2,FALSE)))</f>
        <v/>
      </c>
      <c r="K72" s="172" t="str">
        <f>IF(I72="","",IF(VLOOKUP(I72,'G-7 Rivers Data'!$AG$4:$AI$9,3,FALSE)=0,"Spatial Data Missing",VLOOKUP(I72,'G-7 Rivers Data'!$AG$4:$AI$9,3,FALSE)))</f>
        <v/>
      </c>
      <c r="L72" s="384" t="str">
        <f>IFERROR(INDEX('G-7 Rivers Data'!$O$3:$O$7,MATCH(G72,'G-7 Rivers Data'!$N$3:$N$7,0)),"")</f>
        <v/>
      </c>
      <c r="M72" s="82"/>
      <c r="N72" s="261"/>
      <c r="O72" s="179" t="str">
        <f t="shared" si="1"/>
        <v/>
      </c>
      <c r="P72" s="262" t="str">
        <f t="shared" si="2"/>
        <v/>
      </c>
      <c r="Q72" s="382" t="str">
        <f>IFERROR(IF(P72="Check Data","Check Data",VLOOKUP(P72,'G-4 Temporal multipliers'!$A$4:$C$37,3,FALSE)),"")</f>
        <v/>
      </c>
      <c r="R72" s="171" t="str">
        <f>IF(C72="","",VLOOKUP(C72,'G-7 Rivers Data'!$B$4:$G$8,4,FALSE))</f>
        <v/>
      </c>
      <c r="S72" s="179" t="str">
        <f t="shared" si="3"/>
        <v/>
      </c>
      <c r="T72" s="269" t="str">
        <f t="shared" si="4"/>
        <v/>
      </c>
      <c r="U72" s="172" t="str">
        <f t="shared" si="5"/>
        <v/>
      </c>
      <c r="V72" s="79"/>
      <c r="W72" s="172" t="str">
        <f>IF(V72="","",IF(VLOOKUP(V72,'G-7 Rivers Data'!$AA$4:$AB$7,2,FALSE)=0,"Spatial Data Missing",VLOOKUP(V72,'G-7 Rivers Data'!$AA$4:$AB$7,2,FALSE)))</f>
        <v/>
      </c>
      <c r="X72" s="187"/>
      <c r="Y72" s="172" t="str">
        <f>IF(X72="","",IF(VLOOKUP(X72,'G-7 Rivers Data'!$AD$4:$AE$8,2,FALSE)=0,"Enrcoachment Data Missing",VLOOKUP(X72,'G-7 Rivers Data'!$AD$4:$AE$8,2,FALSE)))</f>
        <v/>
      </c>
      <c r="Z72" s="186"/>
      <c r="AA72" s="176" t="str">
        <f>IF(Z72="","",VLOOKUP(Z72,'G-7 Rivers Data'!$AO$4:$AP$7,2,FALSE))</f>
        <v/>
      </c>
      <c r="AB72" s="265" t="str">
        <f t="shared" si="6"/>
        <v/>
      </c>
      <c r="AC72" s="180"/>
      <c r="AD72" s="181"/>
      <c r="AK72" s="35" t="str">
        <f>IFERROR(INDEX('G-7 Rivers Data'!$AZ$3:$AZ$7,MATCH(C72,'G-7 Rivers Data'!$AY$3:$AY$7,0)),"")</f>
        <v/>
      </c>
    </row>
    <row r="73" spans="2:37" ht="13.8" x14ac:dyDescent="0.25">
      <c r="B73" s="168">
        <v>62</v>
      </c>
      <c r="C73" s="184"/>
      <c r="D73" s="213"/>
      <c r="E73" s="171" t="str">
        <f>IF(C73="","",VLOOKUP(C73,'G-7 Rivers Data'!$B$2:$Z$9,2,FALSE))</f>
        <v/>
      </c>
      <c r="F73" s="172" t="str">
        <f>IFERROR(VLOOKUP(E73,'G-7 Rivers Data'!$C$4:$D$8,2,FALSE),"")</f>
        <v/>
      </c>
      <c r="G73" s="173"/>
      <c r="H73" s="172" t="str">
        <f>IFERROR(INDEX('G-7 Rivers Data'!$H$4:$L$8,MATCH(C73,'G-7 Rivers Data'!$B$4:$B$8,0),MATCH(G73,'G-7 Rivers Data'!$H$3:$L$3,0)),"")</f>
        <v/>
      </c>
      <c r="I73" s="173"/>
      <c r="J73" s="269" t="str">
        <f>IF(I73="","",IF(VLOOKUP(I73,'G-7 Rivers Data'!$AG$4:$AI$9,2,FALSE)=0,"Spatial Data Missing",VLOOKUP(I73,'G-7 Rivers Data'!$AG$4:$AI$9,2,FALSE)))</f>
        <v/>
      </c>
      <c r="K73" s="172" t="str">
        <f>IF(I73="","",IF(VLOOKUP(I73,'G-7 Rivers Data'!$AG$4:$AI$9,3,FALSE)=0,"Spatial Data Missing",VLOOKUP(I73,'G-7 Rivers Data'!$AG$4:$AI$9,3,FALSE)))</f>
        <v/>
      </c>
      <c r="L73" s="384" t="str">
        <f>IFERROR(INDEX('G-7 Rivers Data'!$O$3:$O$7,MATCH(G73,'G-7 Rivers Data'!$N$3:$N$7,0)),"")</f>
        <v/>
      </c>
      <c r="M73" s="82"/>
      <c r="N73" s="261"/>
      <c r="O73" s="179" t="str">
        <f t="shared" si="1"/>
        <v/>
      </c>
      <c r="P73" s="262" t="str">
        <f t="shared" si="2"/>
        <v/>
      </c>
      <c r="Q73" s="382" t="str">
        <f>IFERROR(IF(P73="Check Data","Check Data",VLOOKUP(P73,'G-4 Temporal multipliers'!$A$4:$C$37,3,FALSE)),"")</f>
        <v/>
      </c>
      <c r="R73" s="171" t="str">
        <f>IF(C73="","",VLOOKUP(C73,'G-7 Rivers Data'!$B$4:$G$8,4,FALSE))</f>
        <v/>
      </c>
      <c r="S73" s="179" t="str">
        <f t="shared" si="3"/>
        <v/>
      </c>
      <c r="T73" s="269" t="str">
        <f t="shared" si="4"/>
        <v/>
      </c>
      <c r="U73" s="172" t="str">
        <f t="shared" si="5"/>
        <v/>
      </c>
      <c r="V73" s="79"/>
      <c r="W73" s="172" t="str">
        <f>IF(V73="","",IF(VLOOKUP(V73,'G-7 Rivers Data'!$AA$4:$AB$7,2,FALSE)=0,"Spatial Data Missing",VLOOKUP(V73,'G-7 Rivers Data'!$AA$4:$AB$7,2,FALSE)))</f>
        <v/>
      </c>
      <c r="X73" s="187"/>
      <c r="Y73" s="172" t="str">
        <f>IF(X73="","",IF(VLOOKUP(X73,'G-7 Rivers Data'!$AD$4:$AE$8,2,FALSE)=0,"Enrcoachment Data Missing",VLOOKUP(X73,'G-7 Rivers Data'!$AD$4:$AE$8,2,FALSE)))</f>
        <v/>
      </c>
      <c r="Z73" s="186"/>
      <c r="AA73" s="176" t="str">
        <f>IF(Z73="","",VLOOKUP(Z73,'G-7 Rivers Data'!$AO$4:$AP$7,2,FALSE))</f>
        <v/>
      </c>
      <c r="AB73" s="265" t="str">
        <f t="shared" si="6"/>
        <v/>
      </c>
      <c r="AC73" s="180"/>
      <c r="AD73" s="181"/>
      <c r="AK73" s="35" t="str">
        <f>IFERROR(INDEX('G-7 Rivers Data'!$AZ$3:$AZ$7,MATCH(C73,'G-7 Rivers Data'!$AY$3:$AY$7,0)),"")</f>
        <v/>
      </c>
    </row>
    <row r="74" spans="2:37" ht="13.8" x14ac:dyDescent="0.25">
      <c r="B74" s="168">
        <v>63</v>
      </c>
      <c r="C74" s="184"/>
      <c r="D74" s="213"/>
      <c r="E74" s="171" t="str">
        <f>IF(C74="","",VLOOKUP(C74,'G-7 Rivers Data'!$B$2:$Z$9,2,FALSE))</f>
        <v/>
      </c>
      <c r="F74" s="172" t="str">
        <f>IFERROR(VLOOKUP(E74,'G-7 Rivers Data'!$C$4:$D$8,2,FALSE),"")</f>
        <v/>
      </c>
      <c r="G74" s="173"/>
      <c r="H74" s="172" t="str">
        <f>IFERROR(INDEX('G-7 Rivers Data'!$H$4:$L$8,MATCH(C74,'G-7 Rivers Data'!$B$4:$B$8,0),MATCH(G74,'G-7 Rivers Data'!$H$3:$L$3,0)),"")</f>
        <v/>
      </c>
      <c r="I74" s="173"/>
      <c r="J74" s="269" t="str">
        <f>IF(I74="","",IF(VLOOKUP(I74,'G-7 Rivers Data'!$AG$4:$AI$9,2,FALSE)=0,"Spatial Data Missing",VLOOKUP(I74,'G-7 Rivers Data'!$AG$4:$AI$9,2,FALSE)))</f>
        <v/>
      </c>
      <c r="K74" s="172" t="str">
        <f>IF(I74="","",IF(VLOOKUP(I74,'G-7 Rivers Data'!$AG$4:$AI$9,3,FALSE)=0,"Spatial Data Missing",VLOOKUP(I74,'G-7 Rivers Data'!$AG$4:$AI$9,3,FALSE)))</f>
        <v/>
      </c>
      <c r="L74" s="384" t="str">
        <f>IFERROR(INDEX('G-7 Rivers Data'!$O$3:$O$7,MATCH(G74,'G-7 Rivers Data'!$N$3:$N$7,0)),"")</f>
        <v/>
      </c>
      <c r="M74" s="82"/>
      <c r="N74" s="261"/>
      <c r="O74" s="179" t="str">
        <f t="shared" si="1"/>
        <v/>
      </c>
      <c r="P74" s="262" t="str">
        <f t="shared" si="2"/>
        <v/>
      </c>
      <c r="Q74" s="382" t="str">
        <f>IFERROR(IF(P74="Check Data","Check Data",VLOOKUP(P74,'G-4 Temporal multipliers'!$A$4:$C$37,3,FALSE)),"")</f>
        <v/>
      </c>
      <c r="R74" s="171" t="str">
        <f>IF(C74="","",VLOOKUP(C74,'G-7 Rivers Data'!$B$4:$G$8,4,FALSE))</f>
        <v/>
      </c>
      <c r="S74" s="179" t="str">
        <f t="shared" si="3"/>
        <v/>
      </c>
      <c r="T74" s="269" t="str">
        <f t="shared" si="4"/>
        <v/>
      </c>
      <c r="U74" s="172" t="str">
        <f t="shared" si="5"/>
        <v/>
      </c>
      <c r="V74" s="79"/>
      <c r="W74" s="172" t="str">
        <f>IF(V74="","",IF(VLOOKUP(V74,'G-7 Rivers Data'!$AA$4:$AB$7,2,FALSE)=0,"Spatial Data Missing",VLOOKUP(V74,'G-7 Rivers Data'!$AA$4:$AB$7,2,FALSE)))</f>
        <v/>
      </c>
      <c r="X74" s="187"/>
      <c r="Y74" s="172" t="str">
        <f>IF(X74="","",IF(VLOOKUP(X74,'G-7 Rivers Data'!$AD$4:$AE$8,2,FALSE)=0,"Enrcoachment Data Missing",VLOOKUP(X74,'G-7 Rivers Data'!$AD$4:$AE$8,2,FALSE)))</f>
        <v/>
      </c>
      <c r="Z74" s="186"/>
      <c r="AA74" s="176" t="str">
        <f>IF(Z74="","",VLOOKUP(Z74,'G-7 Rivers Data'!$AO$4:$AP$7,2,FALSE))</f>
        <v/>
      </c>
      <c r="AB74" s="265" t="str">
        <f t="shared" si="6"/>
        <v/>
      </c>
      <c r="AC74" s="180"/>
      <c r="AD74" s="181"/>
      <c r="AK74" s="35" t="str">
        <f>IFERROR(INDEX('G-7 Rivers Data'!$AZ$3:$AZ$7,MATCH(C74,'G-7 Rivers Data'!$AY$3:$AY$7,0)),"")</f>
        <v/>
      </c>
    </row>
    <row r="75" spans="2:37" ht="13.8" x14ac:dyDescent="0.25">
      <c r="B75" s="168">
        <v>64</v>
      </c>
      <c r="C75" s="184"/>
      <c r="D75" s="213"/>
      <c r="E75" s="171" t="str">
        <f>IF(C75="","",VLOOKUP(C75,'G-7 Rivers Data'!$B$2:$Z$9,2,FALSE))</f>
        <v/>
      </c>
      <c r="F75" s="172" t="str">
        <f>IFERROR(VLOOKUP(E75,'G-7 Rivers Data'!$C$4:$D$8,2,FALSE),"")</f>
        <v/>
      </c>
      <c r="G75" s="173"/>
      <c r="H75" s="172" t="str">
        <f>IFERROR(INDEX('G-7 Rivers Data'!$H$4:$L$8,MATCH(C75,'G-7 Rivers Data'!$B$4:$B$8,0),MATCH(G75,'G-7 Rivers Data'!$H$3:$L$3,0)),"")</f>
        <v/>
      </c>
      <c r="I75" s="173"/>
      <c r="J75" s="269" t="str">
        <f>IF(I75="","",IF(VLOOKUP(I75,'G-7 Rivers Data'!$AG$4:$AI$9,2,FALSE)=0,"Spatial Data Missing",VLOOKUP(I75,'G-7 Rivers Data'!$AG$4:$AI$9,2,FALSE)))</f>
        <v/>
      </c>
      <c r="K75" s="172" t="str">
        <f>IF(I75="","",IF(VLOOKUP(I75,'G-7 Rivers Data'!$AG$4:$AI$9,3,FALSE)=0,"Spatial Data Missing",VLOOKUP(I75,'G-7 Rivers Data'!$AG$4:$AI$9,3,FALSE)))</f>
        <v/>
      </c>
      <c r="L75" s="384" t="str">
        <f>IFERROR(INDEX('G-7 Rivers Data'!$O$3:$O$7,MATCH(G75,'G-7 Rivers Data'!$N$3:$N$7,0)),"")</f>
        <v/>
      </c>
      <c r="M75" s="82"/>
      <c r="N75" s="261"/>
      <c r="O75" s="179" t="str">
        <f t="shared" si="1"/>
        <v/>
      </c>
      <c r="P75" s="262" t="str">
        <f t="shared" si="2"/>
        <v/>
      </c>
      <c r="Q75" s="382" t="str">
        <f>IFERROR(IF(P75="Check Data","Check Data",VLOOKUP(P75,'G-4 Temporal multipliers'!$A$4:$C$37,3,FALSE)),"")</f>
        <v/>
      </c>
      <c r="R75" s="171" t="str">
        <f>IF(C75="","",VLOOKUP(C75,'G-7 Rivers Data'!$B$4:$G$8,4,FALSE))</f>
        <v/>
      </c>
      <c r="S75" s="179" t="str">
        <f t="shared" si="3"/>
        <v/>
      </c>
      <c r="T75" s="269" t="str">
        <f t="shared" si="4"/>
        <v/>
      </c>
      <c r="U75" s="172" t="str">
        <f t="shared" si="5"/>
        <v/>
      </c>
      <c r="V75" s="79"/>
      <c r="W75" s="172" t="str">
        <f>IF(V75="","",IF(VLOOKUP(V75,'G-7 Rivers Data'!$AA$4:$AB$7,2,FALSE)=0,"Spatial Data Missing",VLOOKUP(V75,'G-7 Rivers Data'!$AA$4:$AB$7,2,FALSE)))</f>
        <v/>
      </c>
      <c r="X75" s="187"/>
      <c r="Y75" s="172" t="str">
        <f>IF(X75="","",IF(VLOOKUP(X75,'G-7 Rivers Data'!$AD$4:$AE$8,2,FALSE)=0,"Enrcoachment Data Missing",VLOOKUP(X75,'G-7 Rivers Data'!$AD$4:$AE$8,2,FALSE)))</f>
        <v/>
      </c>
      <c r="Z75" s="186"/>
      <c r="AA75" s="176" t="str">
        <f>IF(Z75="","",VLOOKUP(Z75,'G-7 Rivers Data'!$AO$4:$AP$7,2,FALSE))</f>
        <v/>
      </c>
      <c r="AB75" s="265" t="str">
        <f t="shared" si="6"/>
        <v/>
      </c>
      <c r="AC75" s="180"/>
      <c r="AD75" s="181"/>
      <c r="AK75" s="35" t="str">
        <f>IFERROR(INDEX('G-7 Rivers Data'!$AZ$3:$AZ$7,MATCH(C75,'G-7 Rivers Data'!$AY$3:$AY$7,0)),"")</f>
        <v/>
      </c>
    </row>
    <row r="76" spans="2:37" ht="13.8" x14ac:dyDescent="0.25">
      <c r="B76" s="168">
        <v>65</v>
      </c>
      <c r="C76" s="184"/>
      <c r="D76" s="213"/>
      <c r="E76" s="171" t="str">
        <f>IF(C76="","",VLOOKUP(C76,'G-7 Rivers Data'!$B$2:$Z$9,2,FALSE))</f>
        <v/>
      </c>
      <c r="F76" s="172" t="str">
        <f>IFERROR(VLOOKUP(E76,'G-7 Rivers Data'!$C$4:$D$8,2,FALSE),"")</f>
        <v/>
      </c>
      <c r="G76" s="173"/>
      <c r="H76" s="172" t="str">
        <f>IFERROR(INDEX('G-7 Rivers Data'!$H$4:$L$8,MATCH(C76,'G-7 Rivers Data'!$B$4:$B$8,0),MATCH(G76,'G-7 Rivers Data'!$H$3:$L$3,0)),"")</f>
        <v/>
      </c>
      <c r="I76" s="173"/>
      <c r="J76" s="269" t="str">
        <f>IF(I76="","",IF(VLOOKUP(I76,'G-7 Rivers Data'!$AG$4:$AI$9,2,FALSE)=0,"Spatial Data Missing",VLOOKUP(I76,'G-7 Rivers Data'!$AG$4:$AI$9,2,FALSE)))</f>
        <v/>
      </c>
      <c r="K76" s="172" t="str">
        <f>IF(I76="","",IF(VLOOKUP(I76,'G-7 Rivers Data'!$AG$4:$AI$9,3,FALSE)=0,"Spatial Data Missing",VLOOKUP(I76,'G-7 Rivers Data'!$AG$4:$AI$9,3,FALSE)))</f>
        <v/>
      </c>
      <c r="L76" s="384" t="str">
        <f>IFERROR(INDEX('G-7 Rivers Data'!$O$3:$O$7,MATCH(G76,'G-7 Rivers Data'!$N$3:$N$7,0)),"")</f>
        <v/>
      </c>
      <c r="M76" s="82"/>
      <c r="N76" s="261"/>
      <c r="O76" s="179" t="str">
        <f t="shared" si="1"/>
        <v/>
      </c>
      <c r="P76" s="262" t="str">
        <f t="shared" si="2"/>
        <v/>
      </c>
      <c r="Q76" s="382" t="str">
        <f>IFERROR(IF(P76="Check Data","Check Data",VLOOKUP(P76,'G-4 Temporal multipliers'!$A$4:$C$37,3,FALSE)),"")</f>
        <v/>
      </c>
      <c r="R76" s="171" t="str">
        <f>IF(C76="","",VLOOKUP(C76,'G-7 Rivers Data'!$B$4:$G$8,4,FALSE))</f>
        <v/>
      </c>
      <c r="S76" s="179" t="str">
        <f t="shared" si="3"/>
        <v/>
      </c>
      <c r="T76" s="269" t="str">
        <f t="shared" si="4"/>
        <v/>
      </c>
      <c r="U76" s="172" t="str">
        <f t="shared" si="5"/>
        <v/>
      </c>
      <c r="V76" s="79"/>
      <c r="W76" s="172" t="str">
        <f>IF(V76="","",IF(VLOOKUP(V76,'G-7 Rivers Data'!$AA$4:$AB$7,2,FALSE)=0,"Spatial Data Missing",VLOOKUP(V76,'G-7 Rivers Data'!$AA$4:$AB$7,2,FALSE)))</f>
        <v/>
      </c>
      <c r="X76" s="187"/>
      <c r="Y76" s="172" t="str">
        <f>IF(X76="","",IF(VLOOKUP(X76,'G-7 Rivers Data'!$AD$4:$AE$8,2,FALSE)=0,"Enrcoachment Data Missing",VLOOKUP(X76,'G-7 Rivers Data'!$AD$4:$AE$8,2,FALSE)))</f>
        <v/>
      </c>
      <c r="Z76" s="186"/>
      <c r="AA76" s="176" t="str">
        <f>IF(Z76="","",VLOOKUP(Z76,'G-7 Rivers Data'!$AO$4:$AP$7,2,FALSE))</f>
        <v/>
      </c>
      <c r="AB76" s="265" t="str">
        <f t="shared" si="6"/>
        <v/>
      </c>
      <c r="AC76" s="180"/>
      <c r="AD76" s="181"/>
      <c r="AK76" s="35" t="str">
        <f>IFERROR(INDEX('G-7 Rivers Data'!$AZ$3:$AZ$7,MATCH(C76,'G-7 Rivers Data'!$AY$3:$AY$7,0)),"")</f>
        <v/>
      </c>
    </row>
    <row r="77" spans="2:37" ht="13.8" x14ac:dyDescent="0.25">
      <c r="B77" s="168">
        <v>66</v>
      </c>
      <c r="C77" s="184"/>
      <c r="D77" s="213"/>
      <c r="E77" s="171" t="str">
        <f>IF(C77="","",VLOOKUP(C77,'G-7 Rivers Data'!$B$2:$Z$9,2,FALSE))</f>
        <v/>
      </c>
      <c r="F77" s="172" t="str">
        <f>IFERROR(VLOOKUP(E77,'G-7 Rivers Data'!$C$4:$D$8,2,FALSE),"")</f>
        <v/>
      </c>
      <c r="G77" s="173"/>
      <c r="H77" s="172" t="str">
        <f>IFERROR(INDEX('G-7 Rivers Data'!$H$4:$L$8,MATCH(C77,'G-7 Rivers Data'!$B$4:$B$8,0),MATCH(G77,'G-7 Rivers Data'!$H$3:$L$3,0)),"")</f>
        <v/>
      </c>
      <c r="I77" s="173"/>
      <c r="J77" s="269" t="str">
        <f>IF(I77="","",IF(VLOOKUP(I77,'G-7 Rivers Data'!$AG$4:$AI$9,2,FALSE)=0,"Spatial Data Missing",VLOOKUP(I77,'G-7 Rivers Data'!$AG$4:$AI$9,2,FALSE)))</f>
        <v/>
      </c>
      <c r="K77" s="172" t="str">
        <f>IF(I77="","",IF(VLOOKUP(I77,'G-7 Rivers Data'!$AG$4:$AI$9,3,FALSE)=0,"Spatial Data Missing",VLOOKUP(I77,'G-7 Rivers Data'!$AG$4:$AI$9,3,FALSE)))</f>
        <v/>
      </c>
      <c r="L77" s="384" t="str">
        <f>IFERROR(INDEX('G-7 Rivers Data'!$O$3:$O$7,MATCH(G77,'G-7 Rivers Data'!$N$3:$N$7,0)),"")</f>
        <v/>
      </c>
      <c r="M77" s="82"/>
      <c r="N77" s="261"/>
      <c r="O77" s="179" t="str">
        <f t="shared" ref="O77:O140" si="7">IF(L77="","",IF(AND(M77&gt;0,N77&gt;0),"Error -both advance and delayed habitat creation",IF(AND(OR(M77="Habitat already in target condition",L77&lt;=M77),N77=0),"Check details - Is there evidence that habitat has reached target condition?",IF(M77&gt;0,"Check details - Is there evidence habitat creation started/in place?",IF(N77&gt;0,"Check details- Delay in starting habitat in required condition?","Standard time to target condition applied")))))</f>
        <v/>
      </c>
      <c r="P77" s="262" t="str">
        <f t="shared" ref="P77:P140" si="8">IF(LEFT(O77,5)="Error","Check Data",IF(L77="","",IF(M77="30+",0,IF(N77="30+","30+",IF(L77+N77&gt;30,"30+",IF(L77+N77-M77&gt;0,L77+N77-M77,IF(L77-M77&lt;0,0,L77+N77-M77)))))))</f>
        <v/>
      </c>
      <c r="Q77" s="382" t="str">
        <f>IFERROR(IF(P77="Check Data","Check Data",VLOOKUP(P77,'G-4 Temporal multipliers'!$A$4:$C$37,3,FALSE)),"")</f>
        <v/>
      </c>
      <c r="R77" s="171" t="str">
        <f>IF(C77="","",VLOOKUP(C77,'G-7 Rivers Data'!$B$4:$G$8,4,FALSE))</f>
        <v/>
      </c>
      <c r="S77" s="179" t="str">
        <f t="shared" ref="S77:S140" si="9">IF(C77="","",IF(P77="Check Data","Check Data",IF(G77="","",IF($O77="Check details - Is there evidence that habitat has reached target condition?","No - Low Difficulty - only applicable if all habitat created before losses","Standard difficulty applied"))))</f>
        <v/>
      </c>
      <c r="T77" s="269" t="str">
        <f t="shared" ref="T77:T140" si="10">(IF(AND(S77="Standard difficulty applied",L77&gt;M77),R77,IF(AND(S77="No - Low Difficulty - only applicable if all habitat created before losses",M77&gt;=L77),"Low",R77)))</f>
        <v/>
      </c>
      <c r="U77" s="172" t="str">
        <f t="shared" ref="U77:U140" si="11">IF(C77="","",VLOOKUP(R77,Difficulty,2,FALSE))</f>
        <v/>
      </c>
      <c r="V77" s="79"/>
      <c r="W77" s="172" t="str">
        <f>IF(V77="","",IF(VLOOKUP(V77,'G-7 Rivers Data'!$AA$4:$AB$7,2,FALSE)=0,"Spatial Data Missing",VLOOKUP(V77,'G-7 Rivers Data'!$AA$4:$AB$7,2,FALSE)))</f>
        <v/>
      </c>
      <c r="X77" s="187"/>
      <c r="Y77" s="172" t="str">
        <f>IF(X77="","",IF(VLOOKUP(X77,'G-7 Rivers Data'!$AD$4:$AE$8,2,FALSE)=0,"Enrcoachment Data Missing",VLOOKUP(X77,'G-7 Rivers Data'!$AD$4:$AE$8,2,FALSE)))</f>
        <v/>
      </c>
      <c r="Z77" s="186"/>
      <c r="AA77" s="176" t="str">
        <f>IF(Z77="","",VLOOKUP(Z77,'G-7 Rivers Data'!$AO$4:$AP$7,2,FALSE))</f>
        <v/>
      </c>
      <c r="AB77" s="265" t="str">
        <f t="shared" ref="AB77:AB140" si="12">IFERROR(D77*F77*H77*K77*Q77*U77*W77*Y77*AA77,"")</f>
        <v/>
      </c>
      <c r="AC77" s="180"/>
      <c r="AD77" s="181"/>
      <c r="AK77" s="35" t="str">
        <f>IFERROR(INDEX('G-7 Rivers Data'!$AZ$3:$AZ$7,MATCH(C77,'G-7 Rivers Data'!$AY$3:$AY$7,0)),"")</f>
        <v/>
      </c>
    </row>
    <row r="78" spans="2:37" ht="13.8" x14ac:dyDescent="0.25">
      <c r="B78" s="168">
        <v>67</v>
      </c>
      <c r="C78" s="184"/>
      <c r="D78" s="213"/>
      <c r="E78" s="171" t="str">
        <f>IF(C78="","",VLOOKUP(C78,'G-7 Rivers Data'!$B$2:$Z$9,2,FALSE))</f>
        <v/>
      </c>
      <c r="F78" s="172" t="str">
        <f>IFERROR(VLOOKUP(E78,'G-7 Rivers Data'!$C$4:$D$8,2,FALSE),"")</f>
        <v/>
      </c>
      <c r="G78" s="173"/>
      <c r="H78" s="172" t="str">
        <f>IFERROR(INDEX('G-7 Rivers Data'!$H$4:$L$8,MATCH(C78,'G-7 Rivers Data'!$B$4:$B$8,0),MATCH(G78,'G-7 Rivers Data'!$H$3:$L$3,0)),"")</f>
        <v/>
      </c>
      <c r="I78" s="173"/>
      <c r="J78" s="269" t="str">
        <f>IF(I78="","",IF(VLOOKUP(I78,'G-7 Rivers Data'!$AG$4:$AI$9,2,FALSE)=0,"Spatial Data Missing",VLOOKUP(I78,'G-7 Rivers Data'!$AG$4:$AI$9,2,FALSE)))</f>
        <v/>
      </c>
      <c r="K78" s="172" t="str">
        <f>IF(I78="","",IF(VLOOKUP(I78,'G-7 Rivers Data'!$AG$4:$AI$9,3,FALSE)=0,"Spatial Data Missing",VLOOKUP(I78,'G-7 Rivers Data'!$AG$4:$AI$9,3,FALSE)))</f>
        <v/>
      </c>
      <c r="L78" s="384" t="str">
        <f>IFERROR(INDEX('G-7 Rivers Data'!$O$3:$O$7,MATCH(G78,'G-7 Rivers Data'!$N$3:$N$7,0)),"")</f>
        <v/>
      </c>
      <c r="M78" s="82"/>
      <c r="N78" s="261"/>
      <c r="O78" s="179" t="str">
        <f t="shared" si="7"/>
        <v/>
      </c>
      <c r="P78" s="262" t="str">
        <f t="shared" si="8"/>
        <v/>
      </c>
      <c r="Q78" s="382" t="str">
        <f>IFERROR(IF(P78="Check Data","Check Data",VLOOKUP(P78,'G-4 Temporal multipliers'!$A$4:$C$37,3,FALSE)),"")</f>
        <v/>
      </c>
      <c r="R78" s="171" t="str">
        <f>IF(C78="","",VLOOKUP(C78,'G-7 Rivers Data'!$B$4:$G$8,4,FALSE))</f>
        <v/>
      </c>
      <c r="S78" s="179" t="str">
        <f t="shared" si="9"/>
        <v/>
      </c>
      <c r="T78" s="269" t="str">
        <f t="shared" si="10"/>
        <v/>
      </c>
      <c r="U78" s="172" t="str">
        <f t="shared" si="11"/>
        <v/>
      </c>
      <c r="V78" s="79"/>
      <c r="W78" s="172" t="str">
        <f>IF(V78="","",IF(VLOOKUP(V78,'G-7 Rivers Data'!$AA$4:$AB$7,2,FALSE)=0,"Spatial Data Missing",VLOOKUP(V78,'G-7 Rivers Data'!$AA$4:$AB$7,2,FALSE)))</f>
        <v/>
      </c>
      <c r="X78" s="187"/>
      <c r="Y78" s="172" t="str">
        <f>IF(X78="","",IF(VLOOKUP(X78,'G-7 Rivers Data'!$AD$4:$AE$8,2,FALSE)=0,"Enrcoachment Data Missing",VLOOKUP(X78,'G-7 Rivers Data'!$AD$4:$AE$8,2,FALSE)))</f>
        <v/>
      </c>
      <c r="Z78" s="186"/>
      <c r="AA78" s="176" t="str">
        <f>IF(Z78="","",VLOOKUP(Z78,'G-7 Rivers Data'!$AO$4:$AP$7,2,FALSE))</f>
        <v/>
      </c>
      <c r="AB78" s="265" t="str">
        <f t="shared" si="12"/>
        <v/>
      </c>
      <c r="AC78" s="180"/>
      <c r="AD78" s="181"/>
      <c r="AK78" s="35" t="str">
        <f>IFERROR(INDEX('G-7 Rivers Data'!$AZ$3:$AZ$7,MATCH(C78,'G-7 Rivers Data'!$AY$3:$AY$7,0)),"")</f>
        <v/>
      </c>
    </row>
    <row r="79" spans="2:37" ht="13.8" x14ac:dyDescent="0.25">
      <c r="B79" s="168">
        <v>68</v>
      </c>
      <c r="C79" s="184"/>
      <c r="D79" s="213"/>
      <c r="E79" s="171" t="str">
        <f>IF(C79="","",VLOOKUP(C79,'G-7 Rivers Data'!$B$2:$Z$9,2,FALSE))</f>
        <v/>
      </c>
      <c r="F79" s="172" t="str">
        <f>IFERROR(VLOOKUP(E79,'G-7 Rivers Data'!$C$4:$D$8,2,FALSE),"")</f>
        <v/>
      </c>
      <c r="G79" s="173"/>
      <c r="H79" s="172" t="str">
        <f>IFERROR(INDEX('G-7 Rivers Data'!$H$4:$L$8,MATCH(C79,'G-7 Rivers Data'!$B$4:$B$8,0),MATCH(G79,'G-7 Rivers Data'!$H$3:$L$3,0)),"")</f>
        <v/>
      </c>
      <c r="I79" s="173"/>
      <c r="J79" s="269" t="str">
        <f>IF(I79="","",IF(VLOOKUP(I79,'G-7 Rivers Data'!$AG$4:$AI$9,2,FALSE)=0,"Spatial Data Missing",VLOOKUP(I79,'G-7 Rivers Data'!$AG$4:$AI$9,2,FALSE)))</f>
        <v/>
      </c>
      <c r="K79" s="172" t="str">
        <f>IF(I79="","",IF(VLOOKUP(I79,'G-7 Rivers Data'!$AG$4:$AI$9,3,FALSE)=0,"Spatial Data Missing",VLOOKUP(I79,'G-7 Rivers Data'!$AG$4:$AI$9,3,FALSE)))</f>
        <v/>
      </c>
      <c r="L79" s="384" t="str">
        <f>IFERROR(INDEX('G-7 Rivers Data'!$O$3:$O$7,MATCH(G79,'G-7 Rivers Data'!$N$3:$N$7,0)),"")</f>
        <v/>
      </c>
      <c r="M79" s="82"/>
      <c r="N79" s="261"/>
      <c r="O79" s="179" t="str">
        <f t="shared" si="7"/>
        <v/>
      </c>
      <c r="P79" s="262" t="str">
        <f t="shared" si="8"/>
        <v/>
      </c>
      <c r="Q79" s="382" t="str">
        <f>IFERROR(IF(P79="Check Data","Check Data",VLOOKUP(P79,'G-4 Temporal multipliers'!$A$4:$C$37,3,FALSE)),"")</f>
        <v/>
      </c>
      <c r="R79" s="171" t="str">
        <f>IF(C79="","",VLOOKUP(C79,'G-7 Rivers Data'!$B$4:$G$8,4,FALSE))</f>
        <v/>
      </c>
      <c r="S79" s="179" t="str">
        <f t="shared" si="9"/>
        <v/>
      </c>
      <c r="T79" s="269" t="str">
        <f t="shared" si="10"/>
        <v/>
      </c>
      <c r="U79" s="172" t="str">
        <f t="shared" si="11"/>
        <v/>
      </c>
      <c r="V79" s="79"/>
      <c r="W79" s="172" t="str">
        <f>IF(V79="","",IF(VLOOKUP(V79,'G-7 Rivers Data'!$AA$4:$AB$7,2,FALSE)=0,"Spatial Data Missing",VLOOKUP(V79,'G-7 Rivers Data'!$AA$4:$AB$7,2,FALSE)))</f>
        <v/>
      </c>
      <c r="X79" s="187"/>
      <c r="Y79" s="172" t="str">
        <f>IF(X79="","",IF(VLOOKUP(X79,'G-7 Rivers Data'!$AD$4:$AE$8,2,FALSE)=0,"Enrcoachment Data Missing",VLOOKUP(X79,'G-7 Rivers Data'!$AD$4:$AE$8,2,FALSE)))</f>
        <v/>
      </c>
      <c r="Z79" s="186"/>
      <c r="AA79" s="176" t="str">
        <f>IF(Z79="","",VLOOKUP(Z79,'G-7 Rivers Data'!$AO$4:$AP$7,2,FALSE))</f>
        <v/>
      </c>
      <c r="AB79" s="265" t="str">
        <f t="shared" si="12"/>
        <v/>
      </c>
      <c r="AC79" s="180"/>
      <c r="AD79" s="181"/>
      <c r="AK79" s="35" t="str">
        <f>IFERROR(INDEX('G-7 Rivers Data'!$AZ$3:$AZ$7,MATCH(C79,'G-7 Rivers Data'!$AY$3:$AY$7,0)),"")</f>
        <v/>
      </c>
    </row>
    <row r="80" spans="2:37" ht="13.8" x14ac:dyDescent="0.25">
      <c r="B80" s="168">
        <v>69</v>
      </c>
      <c r="C80" s="184"/>
      <c r="D80" s="213"/>
      <c r="E80" s="171" t="str">
        <f>IF(C80="","",VLOOKUP(C80,'G-7 Rivers Data'!$B$2:$Z$9,2,FALSE))</f>
        <v/>
      </c>
      <c r="F80" s="172" t="str">
        <f>IFERROR(VLOOKUP(E80,'G-7 Rivers Data'!$C$4:$D$8,2,FALSE),"")</f>
        <v/>
      </c>
      <c r="G80" s="173"/>
      <c r="H80" s="172" t="str">
        <f>IFERROR(INDEX('G-7 Rivers Data'!$H$4:$L$8,MATCH(C80,'G-7 Rivers Data'!$B$4:$B$8,0),MATCH(G80,'G-7 Rivers Data'!$H$3:$L$3,0)),"")</f>
        <v/>
      </c>
      <c r="I80" s="173"/>
      <c r="J80" s="269" t="str">
        <f>IF(I80="","",IF(VLOOKUP(I80,'G-7 Rivers Data'!$AG$4:$AI$9,2,FALSE)=0,"Spatial Data Missing",VLOOKUP(I80,'G-7 Rivers Data'!$AG$4:$AI$9,2,FALSE)))</f>
        <v/>
      </c>
      <c r="K80" s="172" t="str">
        <f>IF(I80="","",IF(VLOOKUP(I80,'G-7 Rivers Data'!$AG$4:$AI$9,3,FALSE)=0,"Spatial Data Missing",VLOOKUP(I80,'G-7 Rivers Data'!$AG$4:$AI$9,3,FALSE)))</f>
        <v/>
      </c>
      <c r="L80" s="384" t="str">
        <f>IFERROR(INDEX('G-7 Rivers Data'!$O$3:$O$7,MATCH(G80,'G-7 Rivers Data'!$N$3:$N$7,0)),"")</f>
        <v/>
      </c>
      <c r="M80" s="82"/>
      <c r="N80" s="261"/>
      <c r="O80" s="179" t="str">
        <f t="shared" si="7"/>
        <v/>
      </c>
      <c r="P80" s="262" t="str">
        <f t="shared" si="8"/>
        <v/>
      </c>
      <c r="Q80" s="382" t="str">
        <f>IFERROR(IF(P80="Check Data","Check Data",VLOOKUP(P80,'G-4 Temporal multipliers'!$A$4:$C$37,3,FALSE)),"")</f>
        <v/>
      </c>
      <c r="R80" s="171" t="str">
        <f>IF(C80="","",VLOOKUP(C80,'G-7 Rivers Data'!$B$4:$G$8,4,FALSE))</f>
        <v/>
      </c>
      <c r="S80" s="179" t="str">
        <f t="shared" si="9"/>
        <v/>
      </c>
      <c r="T80" s="269" t="str">
        <f t="shared" si="10"/>
        <v/>
      </c>
      <c r="U80" s="172" t="str">
        <f t="shared" si="11"/>
        <v/>
      </c>
      <c r="V80" s="79"/>
      <c r="W80" s="172" t="str">
        <f>IF(V80="","",IF(VLOOKUP(V80,'G-7 Rivers Data'!$AA$4:$AB$7,2,FALSE)=0,"Spatial Data Missing",VLOOKUP(V80,'G-7 Rivers Data'!$AA$4:$AB$7,2,FALSE)))</f>
        <v/>
      </c>
      <c r="X80" s="187"/>
      <c r="Y80" s="172" t="str">
        <f>IF(X80="","",IF(VLOOKUP(X80,'G-7 Rivers Data'!$AD$4:$AE$8,2,FALSE)=0,"Enrcoachment Data Missing",VLOOKUP(X80,'G-7 Rivers Data'!$AD$4:$AE$8,2,FALSE)))</f>
        <v/>
      </c>
      <c r="Z80" s="186"/>
      <c r="AA80" s="176" t="str">
        <f>IF(Z80="","",VLOOKUP(Z80,'G-7 Rivers Data'!$AO$4:$AP$7,2,FALSE))</f>
        <v/>
      </c>
      <c r="AB80" s="265" t="str">
        <f t="shared" si="12"/>
        <v/>
      </c>
      <c r="AC80" s="180"/>
      <c r="AD80" s="181"/>
      <c r="AK80" s="35" t="str">
        <f>IFERROR(INDEX('G-7 Rivers Data'!$AZ$3:$AZ$7,MATCH(C80,'G-7 Rivers Data'!$AY$3:$AY$7,0)),"")</f>
        <v/>
      </c>
    </row>
    <row r="81" spans="2:37" ht="13.8" x14ac:dyDescent="0.25">
      <c r="B81" s="168">
        <v>70</v>
      </c>
      <c r="C81" s="184"/>
      <c r="D81" s="213"/>
      <c r="E81" s="171" t="str">
        <f>IF(C81="","",VLOOKUP(C81,'G-7 Rivers Data'!$B$2:$Z$9,2,FALSE))</f>
        <v/>
      </c>
      <c r="F81" s="172" t="str">
        <f>IFERROR(VLOOKUP(E81,'G-7 Rivers Data'!$C$4:$D$8,2,FALSE),"")</f>
        <v/>
      </c>
      <c r="G81" s="173"/>
      <c r="H81" s="172" t="str">
        <f>IFERROR(INDEX('G-7 Rivers Data'!$H$4:$L$8,MATCH(C81,'G-7 Rivers Data'!$B$4:$B$8,0),MATCH(G81,'G-7 Rivers Data'!$H$3:$L$3,0)),"")</f>
        <v/>
      </c>
      <c r="I81" s="173"/>
      <c r="J81" s="269" t="str">
        <f>IF(I81="","",IF(VLOOKUP(I81,'G-7 Rivers Data'!$AG$4:$AI$9,2,FALSE)=0,"Spatial Data Missing",VLOOKUP(I81,'G-7 Rivers Data'!$AG$4:$AI$9,2,FALSE)))</f>
        <v/>
      </c>
      <c r="K81" s="172" t="str">
        <f>IF(I81="","",IF(VLOOKUP(I81,'G-7 Rivers Data'!$AG$4:$AI$9,3,FALSE)=0,"Spatial Data Missing",VLOOKUP(I81,'G-7 Rivers Data'!$AG$4:$AI$9,3,FALSE)))</f>
        <v/>
      </c>
      <c r="L81" s="384" t="str">
        <f>IFERROR(INDEX('G-7 Rivers Data'!$O$3:$O$7,MATCH(G81,'G-7 Rivers Data'!$N$3:$N$7,0)),"")</f>
        <v/>
      </c>
      <c r="M81" s="82"/>
      <c r="N81" s="261"/>
      <c r="O81" s="179" t="str">
        <f t="shared" si="7"/>
        <v/>
      </c>
      <c r="P81" s="262" t="str">
        <f t="shared" si="8"/>
        <v/>
      </c>
      <c r="Q81" s="382" t="str">
        <f>IFERROR(IF(P81="Check Data","Check Data",VLOOKUP(P81,'G-4 Temporal multipliers'!$A$4:$C$37,3,FALSE)),"")</f>
        <v/>
      </c>
      <c r="R81" s="171" t="str">
        <f>IF(C81="","",VLOOKUP(C81,'G-7 Rivers Data'!$B$4:$G$8,4,FALSE))</f>
        <v/>
      </c>
      <c r="S81" s="179" t="str">
        <f t="shared" si="9"/>
        <v/>
      </c>
      <c r="T81" s="269" t="str">
        <f t="shared" si="10"/>
        <v/>
      </c>
      <c r="U81" s="172" t="str">
        <f t="shared" si="11"/>
        <v/>
      </c>
      <c r="V81" s="79"/>
      <c r="W81" s="172" t="str">
        <f>IF(V81="","",IF(VLOOKUP(V81,'G-7 Rivers Data'!$AA$4:$AB$7,2,FALSE)=0,"Spatial Data Missing",VLOOKUP(V81,'G-7 Rivers Data'!$AA$4:$AB$7,2,FALSE)))</f>
        <v/>
      </c>
      <c r="X81" s="187"/>
      <c r="Y81" s="172" t="str">
        <f>IF(X81="","",IF(VLOOKUP(X81,'G-7 Rivers Data'!$AD$4:$AE$8,2,FALSE)=0,"Enrcoachment Data Missing",VLOOKUP(X81,'G-7 Rivers Data'!$AD$4:$AE$8,2,FALSE)))</f>
        <v/>
      </c>
      <c r="Z81" s="186"/>
      <c r="AA81" s="176" t="str">
        <f>IF(Z81="","",VLOOKUP(Z81,'G-7 Rivers Data'!$AO$4:$AP$7,2,FALSE))</f>
        <v/>
      </c>
      <c r="AB81" s="265" t="str">
        <f t="shared" si="12"/>
        <v/>
      </c>
      <c r="AC81" s="180"/>
      <c r="AD81" s="181"/>
      <c r="AK81" s="35" t="str">
        <f>IFERROR(INDEX('G-7 Rivers Data'!$AZ$3:$AZ$7,MATCH(C81,'G-7 Rivers Data'!$AY$3:$AY$7,0)),"")</f>
        <v/>
      </c>
    </row>
    <row r="82" spans="2:37" ht="13.8" x14ac:dyDescent="0.25">
      <c r="B82" s="168">
        <v>71</v>
      </c>
      <c r="C82" s="184"/>
      <c r="D82" s="213"/>
      <c r="E82" s="171" t="str">
        <f>IF(C82="","",VLOOKUP(C82,'G-7 Rivers Data'!$B$2:$Z$9,2,FALSE))</f>
        <v/>
      </c>
      <c r="F82" s="172" t="str">
        <f>IFERROR(VLOOKUP(E82,'G-7 Rivers Data'!$C$4:$D$8,2,FALSE),"")</f>
        <v/>
      </c>
      <c r="G82" s="173"/>
      <c r="H82" s="172" t="str">
        <f>IFERROR(INDEX('G-7 Rivers Data'!$H$4:$L$8,MATCH(C82,'G-7 Rivers Data'!$B$4:$B$8,0),MATCH(G82,'G-7 Rivers Data'!$H$3:$L$3,0)),"")</f>
        <v/>
      </c>
      <c r="I82" s="173"/>
      <c r="J82" s="269" t="str">
        <f>IF(I82="","",IF(VLOOKUP(I82,'G-7 Rivers Data'!$AG$4:$AI$9,2,FALSE)=0,"Spatial Data Missing",VLOOKUP(I82,'G-7 Rivers Data'!$AG$4:$AI$9,2,FALSE)))</f>
        <v/>
      </c>
      <c r="K82" s="172" t="str">
        <f>IF(I82="","",IF(VLOOKUP(I82,'G-7 Rivers Data'!$AG$4:$AI$9,3,FALSE)=0,"Spatial Data Missing",VLOOKUP(I82,'G-7 Rivers Data'!$AG$4:$AI$9,3,FALSE)))</f>
        <v/>
      </c>
      <c r="L82" s="384" t="str">
        <f>IFERROR(INDEX('G-7 Rivers Data'!$O$3:$O$7,MATCH(G82,'G-7 Rivers Data'!$N$3:$N$7,0)),"")</f>
        <v/>
      </c>
      <c r="M82" s="82"/>
      <c r="N82" s="261"/>
      <c r="O82" s="179" t="str">
        <f t="shared" si="7"/>
        <v/>
      </c>
      <c r="P82" s="262" t="str">
        <f t="shared" si="8"/>
        <v/>
      </c>
      <c r="Q82" s="382" t="str">
        <f>IFERROR(IF(P82="Check Data","Check Data",VLOOKUP(P82,'G-4 Temporal multipliers'!$A$4:$C$37,3,FALSE)),"")</f>
        <v/>
      </c>
      <c r="R82" s="171" t="str">
        <f>IF(C82="","",VLOOKUP(C82,'G-7 Rivers Data'!$B$4:$G$8,4,FALSE))</f>
        <v/>
      </c>
      <c r="S82" s="179" t="str">
        <f t="shared" si="9"/>
        <v/>
      </c>
      <c r="T82" s="269" t="str">
        <f t="shared" si="10"/>
        <v/>
      </c>
      <c r="U82" s="172" t="str">
        <f t="shared" si="11"/>
        <v/>
      </c>
      <c r="V82" s="79"/>
      <c r="W82" s="172" t="str">
        <f>IF(V82="","",IF(VLOOKUP(V82,'G-7 Rivers Data'!$AA$4:$AB$7,2,FALSE)=0,"Spatial Data Missing",VLOOKUP(V82,'G-7 Rivers Data'!$AA$4:$AB$7,2,FALSE)))</f>
        <v/>
      </c>
      <c r="X82" s="187"/>
      <c r="Y82" s="172" t="str">
        <f>IF(X82="","",IF(VLOOKUP(X82,'G-7 Rivers Data'!$AD$4:$AE$8,2,FALSE)=0,"Enrcoachment Data Missing",VLOOKUP(X82,'G-7 Rivers Data'!$AD$4:$AE$8,2,FALSE)))</f>
        <v/>
      </c>
      <c r="Z82" s="186"/>
      <c r="AA82" s="176" t="str">
        <f>IF(Z82="","",VLOOKUP(Z82,'G-7 Rivers Data'!$AO$4:$AP$7,2,FALSE))</f>
        <v/>
      </c>
      <c r="AB82" s="265" t="str">
        <f t="shared" si="12"/>
        <v/>
      </c>
      <c r="AC82" s="180"/>
      <c r="AD82" s="181"/>
      <c r="AK82" s="35" t="str">
        <f>IFERROR(INDEX('G-7 Rivers Data'!$AZ$3:$AZ$7,MATCH(C82,'G-7 Rivers Data'!$AY$3:$AY$7,0)),"")</f>
        <v/>
      </c>
    </row>
    <row r="83" spans="2:37" ht="13.8" x14ac:dyDescent="0.25">
      <c r="B83" s="168">
        <v>72</v>
      </c>
      <c r="C83" s="184"/>
      <c r="D83" s="213"/>
      <c r="E83" s="171" t="str">
        <f>IF(C83="","",VLOOKUP(C83,'G-7 Rivers Data'!$B$2:$Z$9,2,FALSE))</f>
        <v/>
      </c>
      <c r="F83" s="172" t="str">
        <f>IFERROR(VLOOKUP(E83,'G-7 Rivers Data'!$C$4:$D$8,2,FALSE),"")</f>
        <v/>
      </c>
      <c r="G83" s="173"/>
      <c r="H83" s="172" t="str">
        <f>IFERROR(INDEX('G-7 Rivers Data'!$H$4:$L$8,MATCH(C83,'G-7 Rivers Data'!$B$4:$B$8,0),MATCH(G83,'G-7 Rivers Data'!$H$3:$L$3,0)),"")</f>
        <v/>
      </c>
      <c r="I83" s="173"/>
      <c r="J83" s="269" t="str">
        <f>IF(I83="","",IF(VLOOKUP(I83,'G-7 Rivers Data'!$AG$4:$AI$9,2,FALSE)=0,"Spatial Data Missing",VLOOKUP(I83,'G-7 Rivers Data'!$AG$4:$AI$9,2,FALSE)))</f>
        <v/>
      </c>
      <c r="K83" s="172" t="str">
        <f>IF(I83="","",IF(VLOOKUP(I83,'G-7 Rivers Data'!$AG$4:$AI$9,3,FALSE)=0,"Spatial Data Missing",VLOOKUP(I83,'G-7 Rivers Data'!$AG$4:$AI$9,3,FALSE)))</f>
        <v/>
      </c>
      <c r="L83" s="384" t="str">
        <f>IFERROR(INDEX('G-7 Rivers Data'!$O$3:$O$7,MATCH(G83,'G-7 Rivers Data'!$N$3:$N$7,0)),"")</f>
        <v/>
      </c>
      <c r="M83" s="82"/>
      <c r="N83" s="261"/>
      <c r="O83" s="179" t="str">
        <f t="shared" si="7"/>
        <v/>
      </c>
      <c r="P83" s="262" t="str">
        <f t="shared" si="8"/>
        <v/>
      </c>
      <c r="Q83" s="382" t="str">
        <f>IFERROR(IF(P83="Check Data","Check Data",VLOOKUP(P83,'G-4 Temporal multipliers'!$A$4:$C$37,3,FALSE)),"")</f>
        <v/>
      </c>
      <c r="R83" s="171" t="str">
        <f>IF(C83="","",VLOOKUP(C83,'G-7 Rivers Data'!$B$4:$G$8,4,FALSE))</f>
        <v/>
      </c>
      <c r="S83" s="179" t="str">
        <f t="shared" si="9"/>
        <v/>
      </c>
      <c r="T83" s="269" t="str">
        <f t="shared" si="10"/>
        <v/>
      </c>
      <c r="U83" s="172" t="str">
        <f t="shared" si="11"/>
        <v/>
      </c>
      <c r="V83" s="79"/>
      <c r="W83" s="172" t="str">
        <f>IF(V83="","",IF(VLOOKUP(V83,'G-7 Rivers Data'!$AA$4:$AB$7,2,FALSE)=0,"Spatial Data Missing",VLOOKUP(V83,'G-7 Rivers Data'!$AA$4:$AB$7,2,FALSE)))</f>
        <v/>
      </c>
      <c r="X83" s="187"/>
      <c r="Y83" s="172" t="str">
        <f>IF(X83="","",IF(VLOOKUP(X83,'G-7 Rivers Data'!$AD$4:$AE$8,2,FALSE)=0,"Enrcoachment Data Missing",VLOOKUP(X83,'G-7 Rivers Data'!$AD$4:$AE$8,2,FALSE)))</f>
        <v/>
      </c>
      <c r="Z83" s="186"/>
      <c r="AA83" s="176" t="str">
        <f>IF(Z83="","",VLOOKUP(Z83,'G-7 Rivers Data'!$AO$4:$AP$7,2,FALSE))</f>
        <v/>
      </c>
      <c r="AB83" s="265" t="str">
        <f t="shared" si="12"/>
        <v/>
      </c>
      <c r="AC83" s="180"/>
      <c r="AD83" s="181"/>
      <c r="AK83" s="35" t="str">
        <f>IFERROR(INDEX('G-7 Rivers Data'!$AZ$3:$AZ$7,MATCH(C83,'G-7 Rivers Data'!$AY$3:$AY$7,0)),"")</f>
        <v/>
      </c>
    </row>
    <row r="84" spans="2:37" ht="13.8" x14ac:dyDescent="0.25">
      <c r="B84" s="168">
        <v>73</v>
      </c>
      <c r="C84" s="184"/>
      <c r="D84" s="213"/>
      <c r="E84" s="171" t="str">
        <f>IF(C84="","",VLOOKUP(C84,'G-7 Rivers Data'!$B$2:$Z$9,2,FALSE))</f>
        <v/>
      </c>
      <c r="F84" s="172" t="str">
        <f>IFERROR(VLOOKUP(E84,'G-7 Rivers Data'!$C$4:$D$8,2,FALSE),"")</f>
        <v/>
      </c>
      <c r="G84" s="173"/>
      <c r="H84" s="172" t="str">
        <f>IFERROR(INDEX('G-7 Rivers Data'!$H$4:$L$8,MATCH(C84,'G-7 Rivers Data'!$B$4:$B$8,0),MATCH(G84,'G-7 Rivers Data'!$H$3:$L$3,0)),"")</f>
        <v/>
      </c>
      <c r="I84" s="173"/>
      <c r="J84" s="269" t="str">
        <f>IF(I84="","",IF(VLOOKUP(I84,'G-7 Rivers Data'!$AG$4:$AI$9,2,FALSE)=0,"Spatial Data Missing",VLOOKUP(I84,'G-7 Rivers Data'!$AG$4:$AI$9,2,FALSE)))</f>
        <v/>
      </c>
      <c r="K84" s="172" t="str">
        <f>IF(I84="","",IF(VLOOKUP(I84,'G-7 Rivers Data'!$AG$4:$AI$9,3,FALSE)=0,"Spatial Data Missing",VLOOKUP(I84,'G-7 Rivers Data'!$AG$4:$AI$9,3,FALSE)))</f>
        <v/>
      </c>
      <c r="L84" s="384" t="str">
        <f>IFERROR(INDEX('G-7 Rivers Data'!$O$3:$O$7,MATCH(G84,'G-7 Rivers Data'!$N$3:$N$7,0)),"")</f>
        <v/>
      </c>
      <c r="M84" s="82"/>
      <c r="N84" s="261"/>
      <c r="O84" s="179" t="str">
        <f t="shared" si="7"/>
        <v/>
      </c>
      <c r="P84" s="262" t="str">
        <f t="shared" si="8"/>
        <v/>
      </c>
      <c r="Q84" s="382" t="str">
        <f>IFERROR(IF(P84="Check Data","Check Data",VLOOKUP(P84,'G-4 Temporal multipliers'!$A$4:$C$37,3,FALSE)),"")</f>
        <v/>
      </c>
      <c r="R84" s="171" t="str">
        <f>IF(C84="","",VLOOKUP(C84,'G-7 Rivers Data'!$B$4:$G$8,4,FALSE))</f>
        <v/>
      </c>
      <c r="S84" s="179" t="str">
        <f t="shared" si="9"/>
        <v/>
      </c>
      <c r="T84" s="269" t="str">
        <f t="shared" si="10"/>
        <v/>
      </c>
      <c r="U84" s="172" t="str">
        <f t="shared" si="11"/>
        <v/>
      </c>
      <c r="V84" s="79"/>
      <c r="W84" s="172" t="str">
        <f>IF(V84="","",IF(VLOOKUP(V84,'G-7 Rivers Data'!$AA$4:$AB$7,2,FALSE)=0,"Spatial Data Missing",VLOOKUP(V84,'G-7 Rivers Data'!$AA$4:$AB$7,2,FALSE)))</f>
        <v/>
      </c>
      <c r="X84" s="187"/>
      <c r="Y84" s="172" t="str">
        <f>IF(X84="","",IF(VLOOKUP(X84,'G-7 Rivers Data'!$AD$4:$AE$8,2,FALSE)=0,"Enrcoachment Data Missing",VLOOKUP(X84,'G-7 Rivers Data'!$AD$4:$AE$8,2,FALSE)))</f>
        <v/>
      </c>
      <c r="Z84" s="186"/>
      <c r="AA84" s="176" t="str">
        <f>IF(Z84="","",VLOOKUP(Z84,'G-7 Rivers Data'!$AO$4:$AP$7,2,FALSE))</f>
        <v/>
      </c>
      <c r="AB84" s="265" t="str">
        <f t="shared" si="12"/>
        <v/>
      </c>
      <c r="AC84" s="180"/>
      <c r="AD84" s="181"/>
      <c r="AK84" s="35" t="str">
        <f>IFERROR(INDEX('G-7 Rivers Data'!$AZ$3:$AZ$7,MATCH(C84,'G-7 Rivers Data'!$AY$3:$AY$7,0)),"")</f>
        <v/>
      </c>
    </row>
    <row r="85" spans="2:37" ht="13.8" x14ac:dyDescent="0.25">
      <c r="B85" s="168">
        <v>74</v>
      </c>
      <c r="C85" s="184"/>
      <c r="D85" s="213"/>
      <c r="E85" s="171" t="str">
        <f>IF(C85="","",VLOOKUP(C85,'G-7 Rivers Data'!$B$2:$Z$9,2,FALSE))</f>
        <v/>
      </c>
      <c r="F85" s="172" t="str">
        <f>IFERROR(VLOOKUP(E85,'G-7 Rivers Data'!$C$4:$D$8,2,FALSE),"")</f>
        <v/>
      </c>
      <c r="G85" s="173"/>
      <c r="H85" s="172" t="str">
        <f>IFERROR(INDEX('G-7 Rivers Data'!$H$4:$L$8,MATCH(C85,'G-7 Rivers Data'!$B$4:$B$8,0),MATCH(G85,'G-7 Rivers Data'!$H$3:$L$3,0)),"")</f>
        <v/>
      </c>
      <c r="I85" s="173"/>
      <c r="J85" s="269" t="str">
        <f>IF(I85="","",IF(VLOOKUP(I85,'G-7 Rivers Data'!$AG$4:$AI$9,2,FALSE)=0,"Spatial Data Missing",VLOOKUP(I85,'G-7 Rivers Data'!$AG$4:$AI$9,2,FALSE)))</f>
        <v/>
      </c>
      <c r="K85" s="172" t="str">
        <f>IF(I85="","",IF(VLOOKUP(I85,'G-7 Rivers Data'!$AG$4:$AI$9,3,FALSE)=0,"Spatial Data Missing",VLOOKUP(I85,'G-7 Rivers Data'!$AG$4:$AI$9,3,FALSE)))</f>
        <v/>
      </c>
      <c r="L85" s="384" t="str">
        <f>IFERROR(INDEX('G-7 Rivers Data'!$O$3:$O$7,MATCH(G85,'G-7 Rivers Data'!$N$3:$N$7,0)),"")</f>
        <v/>
      </c>
      <c r="M85" s="82"/>
      <c r="N85" s="261"/>
      <c r="O85" s="179" t="str">
        <f t="shared" si="7"/>
        <v/>
      </c>
      <c r="P85" s="262" t="str">
        <f t="shared" si="8"/>
        <v/>
      </c>
      <c r="Q85" s="382" t="str">
        <f>IFERROR(IF(P85="Check Data","Check Data",VLOOKUP(P85,'G-4 Temporal multipliers'!$A$4:$C$37,3,FALSE)),"")</f>
        <v/>
      </c>
      <c r="R85" s="171" t="str">
        <f>IF(C85="","",VLOOKUP(C85,'G-7 Rivers Data'!$B$4:$G$8,4,FALSE))</f>
        <v/>
      </c>
      <c r="S85" s="179" t="str">
        <f t="shared" si="9"/>
        <v/>
      </c>
      <c r="T85" s="269" t="str">
        <f t="shared" si="10"/>
        <v/>
      </c>
      <c r="U85" s="172" t="str">
        <f t="shared" si="11"/>
        <v/>
      </c>
      <c r="V85" s="79"/>
      <c r="W85" s="172" t="str">
        <f>IF(V85="","",IF(VLOOKUP(V85,'G-7 Rivers Data'!$AA$4:$AB$7,2,FALSE)=0,"Spatial Data Missing",VLOOKUP(V85,'G-7 Rivers Data'!$AA$4:$AB$7,2,FALSE)))</f>
        <v/>
      </c>
      <c r="X85" s="187"/>
      <c r="Y85" s="172" t="str">
        <f>IF(X85="","",IF(VLOOKUP(X85,'G-7 Rivers Data'!$AD$4:$AE$8,2,FALSE)=0,"Enrcoachment Data Missing",VLOOKUP(X85,'G-7 Rivers Data'!$AD$4:$AE$8,2,FALSE)))</f>
        <v/>
      </c>
      <c r="Z85" s="186"/>
      <c r="AA85" s="176" t="str">
        <f>IF(Z85="","",VLOOKUP(Z85,'G-7 Rivers Data'!$AO$4:$AP$7,2,FALSE))</f>
        <v/>
      </c>
      <c r="AB85" s="265" t="str">
        <f t="shared" si="12"/>
        <v/>
      </c>
      <c r="AC85" s="180"/>
      <c r="AD85" s="181"/>
      <c r="AK85" s="35" t="str">
        <f>IFERROR(INDEX('G-7 Rivers Data'!$AZ$3:$AZ$7,MATCH(C85,'G-7 Rivers Data'!$AY$3:$AY$7,0)),"")</f>
        <v/>
      </c>
    </row>
    <row r="86" spans="2:37" ht="13.8" x14ac:dyDescent="0.25">
      <c r="B86" s="168">
        <v>75</v>
      </c>
      <c r="C86" s="184"/>
      <c r="D86" s="213"/>
      <c r="E86" s="171" t="str">
        <f>IF(C86="","",VLOOKUP(C86,'G-7 Rivers Data'!$B$2:$Z$9,2,FALSE))</f>
        <v/>
      </c>
      <c r="F86" s="172" t="str">
        <f>IFERROR(VLOOKUP(E86,'G-7 Rivers Data'!$C$4:$D$8,2,FALSE),"")</f>
        <v/>
      </c>
      <c r="G86" s="173"/>
      <c r="H86" s="172" t="str">
        <f>IFERROR(INDEX('G-7 Rivers Data'!$H$4:$L$8,MATCH(C86,'G-7 Rivers Data'!$B$4:$B$8,0),MATCH(G86,'G-7 Rivers Data'!$H$3:$L$3,0)),"")</f>
        <v/>
      </c>
      <c r="I86" s="173"/>
      <c r="J86" s="269" t="str">
        <f>IF(I86="","",IF(VLOOKUP(I86,'G-7 Rivers Data'!$AG$4:$AI$9,2,FALSE)=0,"Spatial Data Missing",VLOOKUP(I86,'G-7 Rivers Data'!$AG$4:$AI$9,2,FALSE)))</f>
        <v/>
      </c>
      <c r="K86" s="172" t="str">
        <f>IF(I86="","",IF(VLOOKUP(I86,'G-7 Rivers Data'!$AG$4:$AI$9,3,FALSE)=0,"Spatial Data Missing",VLOOKUP(I86,'G-7 Rivers Data'!$AG$4:$AI$9,3,FALSE)))</f>
        <v/>
      </c>
      <c r="L86" s="384" t="str">
        <f>IFERROR(INDEX('G-7 Rivers Data'!$O$3:$O$7,MATCH(G86,'G-7 Rivers Data'!$N$3:$N$7,0)),"")</f>
        <v/>
      </c>
      <c r="M86" s="82"/>
      <c r="N86" s="261"/>
      <c r="O86" s="179" t="str">
        <f t="shared" si="7"/>
        <v/>
      </c>
      <c r="P86" s="262" t="str">
        <f t="shared" si="8"/>
        <v/>
      </c>
      <c r="Q86" s="382" t="str">
        <f>IFERROR(IF(P86="Check Data","Check Data",VLOOKUP(P86,'G-4 Temporal multipliers'!$A$4:$C$37,3,FALSE)),"")</f>
        <v/>
      </c>
      <c r="R86" s="171" t="str">
        <f>IF(C86="","",VLOOKUP(C86,'G-7 Rivers Data'!$B$4:$G$8,4,FALSE))</f>
        <v/>
      </c>
      <c r="S86" s="179" t="str">
        <f t="shared" si="9"/>
        <v/>
      </c>
      <c r="T86" s="269" t="str">
        <f t="shared" si="10"/>
        <v/>
      </c>
      <c r="U86" s="172" t="str">
        <f t="shared" si="11"/>
        <v/>
      </c>
      <c r="V86" s="79"/>
      <c r="W86" s="172" t="str">
        <f>IF(V86="","",IF(VLOOKUP(V86,'G-7 Rivers Data'!$AA$4:$AB$7,2,FALSE)=0,"Spatial Data Missing",VLOOKUP(V86,'G-7 Rivers Data'!$AA$4:$AB$7,2,FALSE)))</f>
        <v/>
      </c>
      <c r="X86" s="187"/>
      <c r="Y86" s="172" t="str">
        <f>IF(X86="","",IF(VLOOKUP(X86,'G-7 Rivers Data'!$AD$4:$AE$8,2,FALSE)=0,"Enrcoachment Data Missing",VLOOKUP(X86,'G-7 Rivers Data'!$AD$4:$AE$8,2,FALSE)))</f>
        <v/>
      </c>
      <c r="Z86" s="186"/>
      <c r="AA86" s="176" t="str">
        <f>IF(Z86="","",VLOOKUP(Z86,'G-7 Rivers Data'!$AO$4:$AP$7,2,FALSE))</f>
        <v/>
      </c>
      <c r="AB86" s="265" t="str">
        <f t="shared" si="12"/>
        <v/>
      </c>
      <c r="AC86" s="180"/>
      <c r="AD86" s="181"/>
      <c r="AK86" s="35" t="str">
        <f>IFERROR(INDEX('G-7 Rivers Data'!$AZ$3:$AZ$7,MATCH(C86,'G-7 Rivers Data'!$AY$3:$AY$7,0)),"")</f>
        <v/>
      </c>
    </row>
    <row r="87" spans="2:37" ht="13.8" x14ac:dyDescent="0.25">
      <c r="B87" s="168">
        <v>76</v>
      </c>
      <c r="C87" s="184"/>
      <c r="D87" s="213"/>
      <c r="E87" s="171" t="str">
        <f>IF(C87="","",VLOOKUP(C87,'G-7 Rivers Data'!$B$2:$Z$9,2,FALSE))</f>
        <v/>
      </c>
      <c r="F87" s="172" t="str">
        <f>IFERROR(VLOOKUP(E87,'G-7 Rivers Data'!$C$4:$D$8,2,FALSE),"")</f>
        <v/>
      </c>
      <c r="G87" s="173"/>
      <c r="H87" s="172" t="str">
        <f>IFERROR(INDEX('G-7 Rivers Data'!$H$4:$L$8,MATCH(C87,'G-7 Rivers Data'!$B$4:$B$8,0),MATCH(G87,'G-7 Rivers Data'!$H$3:$L$3,0)),"")</f>
        <v/>
      </c>
      <c r="I87" s="173"/>
      <c r="J87" s="269" t="str">
        <f>IF(I87="","",IF(VLOOKUP(I87,'G-7 Rivers Data'!$AG$4:$AI$9,2,FALSE)=0,"Spatial Data Missing",VLOOKUP(I87,'G-7 Rivers Data'!$AG$4:$AI$9,2,FALSE)))</f>
        <v/>
      </c>
      <c r="K87" s="172" t="str">
        <f>IF(I87="","",IF(VLOOKUP(I87,'G-7 Rivers Data'!$AG$4:$AI$9,3,FALSE)=0,"Spatial Data Missing",VLOOKUP(I87,'G-7 Rivers Data'!$AG$4:$AI$9,3,FALSE)))</f>
        <v/>
      </c>
      <c r="L87" s="384" t="str">
        <f>IFERROR(INDEX('G-7 Rivers Data'!$O$3:$O$7,MATCH(G87,'G-7 Rivers Data'!$N$3:$N$7,0)),"")</f>
        <v/>
      </c>
      <c r="M87" s="82"/>
      <c r="N87" s="261"/>
      <c r="O87" s="179" t="str">
        <f t="shared" si="7"/>
        <v/>
      </c>
      <c r="P87" s="262" t="str">
        <f t="shared" si="8"/>
        <v/>
      </c>
      <c r="Q87" s="382" t="str">
        <f>IFERROR(IF(P87="Check Data","Check Data",VLOOKUP(P87,'G-4 Temporal multipliers'!$A$4:$C$37,3,FALSE)),"")</f>
        <v/>
      </c>
      <c r="R87" s="171" t="str">
        <f>IF(C87="","",VLOOKUP(C87,'G-7 Rivers Data'!$B$4:$G$8,4,FALSE))</f>
        <v/>
      </c>
      <c r="S87" s="179" t="str">
        <f t="shared" si="9"/>
        <v/>
      </c>
      <c r="T87" s="269" t="str">
        <f t="shared" si="10"/>
        <v/>
      </c>
      <c r="U87" s="172" t="str">
        <f t="shared" si="11"/>
        <v/>
      </c>
      <c r="V87" s="79"/>
      <c r="W87" s="172" t="str">
        <f>IF(V87="","",IF(VLOOKUP(V87,'G-7 Rivers Data'!$AA$4:$AB$7,2,FALSE)=0,"Spatial Data Missing",VLOOKUP(V87,'G-7 Rivers Data'!$AA$4:$AB$7,2,FALSE)))</f>
        <v/>
      </c>
      <c r="X87" s="187"/>
      <c r="Y87" s="172" t="str">
        <f>IF(X87="","",IF(VLOOKUP(X87,'G-7 Rivers Data'!$AD$4:$AE$8,2,FALSE)=0,"Enrcoachment Data Missing",VLOOKUP(X87,'G-7 Rivers Data'!$AD$4:$AE$8,2,FALSE)))</f>
        <v/>
      </c>
      <c r="Z87" s="186"/>
      <c r="AA87" s="176" t="str">
        <f>IF(Z87="","",VLOOKUP(Z87,'G-7 Rivers Data'!$AO$4:$AP$7,2,FALSE))</f>
        <v/>
      </c>
      <c r="AB87" s="265" t="str">
        <f t="shared" si="12"/>
        <v/>
      </c>
      <c r="AC87" s="180"/>
      <c r="AD87" s="181"/>
      <c r="AK87" s="35" t="str">
        <f>IFERROR(INDEX('G-7 Rivers Data'!$AZ$3:$AZ$7,MATCH(C87,'G-7 Rivers Data'!$AY$3:$AY$7,0)),"")</f>
        <v/>
      </c>
    </row>
    <row r="88" spans="2:37" ht="13.8" x14ac:dyDescent="0.25">
      <c r="B88" s="168">
        <v>77</v>
      </c>
      <c r="C88" s="184"/>
      <c r="D88" s="213"/>
      <c r="E88" s="171" t="str">
        <f>IF(C88="","",VLOOKUP(C88,'G-7 Rivers Data'!$B$2:$Z$9,2,FALSE))</f>
        <v/>
      </c>
      <c r="F88" s="172" t="str">
        <f>IFERROR(VLOOKUP(E88,'G-7 Rivers Data'!$C$4:$D$8,2,FALSE),"")</f>
        <v/>
      </c>
      <c r="G88" s="173"/>
      <c r="H88" s="172" t="str">
        <f>IFERROR(INDEX('G-7 Rivers Data'!$H$4:$L$8,MATCH(C88,'G-7 Rivers Data'!$B$4:$B$8,0),MATCH(G88,'G-7 Rivers Data'!$H$3:$L$3,0)),"")</f>
        <v/>
      </c>
      <c r="I88" s="173"/>
      <c r="J88" s="269" t="str">
        <f>IF(I88="","",IF(VLOOKUP(I88,'G-7 Rivers Data'!$AG$4:$AI$9,2,FALSE)=0,"Spatial Data Missing",VLOOKUP(I88,'G-7 Rivers Data'!$AG$4:$AI$9,2,FALSE)))</f>
        <v/>
      </c>
      <c r="K88" s="172" t="str">
        <f>IF(I88="","",IF(VLOOKUP(I88,'G-7 Rivers Data'!$AG$4:$AI$9,3,FALSE)=0,"Spatial Data Missing",VLOOKUP(I88,'G-7 Rivers Data'!$AG$4:$AI$9,3,FALSE)))</f>
        <v/>
      </c>
      <c r="L88" s="384" t="str">
        <f>IFERROR(INDEX('G-7 Rivers Data'!$O$3:$O$7,MATCH(G88,'G-7 Rivers Data'!$N$3:$N$7,0)),"")</f>
        <v/>
      </c>
      <c r="M88" s="82"/>
      <c r="N88" s="261"/>
      <c r="O88" s="179" t="str">
        <f t="shared" si="7"/>
        <v/>
      </c>
      <c r="P88" s="262" t="str">
        <f t="shared" si="8"/>
        <v/>
      </c>
      <c r="Q88" s="382" t="str">
        <f>IFERROR(IF(P88="Check Data","Check Data",VLOOKUP(P88,'G-4 Temporal multipliers'!$A$4:$C$37,3,FALSE)),"")</f>
        <v/>
      </c>
      <c r="R88" s="171" t="str">
        <f>IF(C88="","",VLOOKUP(C88,'G-7 Rivers Data'!$B$4:$G$8,4,FALSE))</f>
        <v/>
      </c>
      <c r="S88" s="179" t="str">
        <f t="shared" si="9"/>
        <v/>
      </c>
      <c r="T88" s="269" t="str">
        <f t="shared" si="10"/>
        <v/>
      </c>
      <c r="U88" s="172" t="str">
        <f t="shared" si="11"/>
        <v/>
      </c>
      <c r="V88" s="79"/>
      <c r="W88" s="172" t="str">
        <f>IF(V88="","",IF(VLOOKUP(V88,'G-7 Rivers Data'!$AA$4:$AB$7,2,FALSE)=0,"Spatial Data Missing",VLOOKUP(V88,'G-7 Rivers Data'!$AA$4:$AB$7,2,FALSE)))</f>
        <v/>
      </c>
      <c r="X88" s="187"/>
      <c r="Y88" s="172" t="str">
        <f>IF(X88="","",IF(VLOOKUP(X88,'G-7 Rivers Data'!$AD$4:$AE$8,2,FALSE)=0,"Enrcoachment Data Missing",VLOOKUP(X88,'G-7 Rivers Data'!$AD$4:$AE$8,2,FALSE)))</f>
        <v/>
      </c>
      <c r="Z88" s="186"/>
      <c r="AA88" s="176" t="str">
        <f>IF(Z88="","",VLOOKUP(Z88,'G-7 Rivers Data'!$AO$4:$AP$7,2,FALSE))</f>
        <v/>
      </c>
      <c r="AB88" s="265" t="str">
        <f t="shared" si="12"/>
        <v/>
      </c>
      <c r="AC88" s="180"/>
      <c r="AD88" s="181"/>
      <c r="AK88" s="35" t="str">
        <f>IFERROR(INDEX('G-7 Rivers Data'!$AZ$3:$AZ$7,MATCH(C88,'G-7 Rivers Data'!$AY$3:$AY$7,0)),"")</f>
        <v/>
      </c>
    </row>
    <row r="89" spans="2:37" ht="13.8" x14ac:dyDescent="0.25">
      <c r="B89" s="168">
        <v>78</v>
      </c>
      <c r="C89" s="184"/>
      <c r="D89" s="213"/>
      <c r="E89" s="171" t="str">
        <f>IF(C89="","",VLOOKUP(C89,'G-7 Rivers Data'!$B$2:$Z$9,2,FALSE))</f>
        <v/>
      </c>
      <c r="F89" s="172" t="str">
        <f>IFERROR(VLOOKUP(E89,'G-7 Rivers Data'!$C$4:$D$8,2,FALSE),"")</f>
        <v/>
      </c>
      <c r="G89" s="173"/>
      <c r="H89" s="172" t="str">
        <f>IFERROR(INDEX('G-7 Rivers Data'!$H$4:$L$8,MATCH(C89,'G-7 Rivers Data'!$B$4:$B$8,0),MATCH(G89,'G-7 Rivers Data'!$H$3:$L$3,0)),"")</f>
        <v/>
      </c>
      <c r="I89" s="173"/>
      <c r="J89" s="269" t="str">
        <f>IF(I89="","",IF(VLOOKUP(I89,'G-7 Rivers Data'!$AG$4:$AI$9,2,FALSE)=0,"Spatial Data Missing",VLOOKUP(I89,'G-7 Rivers Data'!$AG$4:$AI$9,2,FALSE)))</f>
        <v/>
      </c>
      <c r="K89" s="172" t="str">
        <f>IF(I89="","",IF(VLOOKUP(I89,'G-7 Rivers Data'!$AG$4:$AI$9,3,FALSE)=0,"Spatial Data Missing",VLOOKUP(I89,'G-7 Rivers Data'!$AG$4:$AI$9,3,FALSE)))</f>
        <v/>
      </c>
      <c r="L89" s="384" t="str">
        <f>IFERROR(INDEX('G-7 Rivers Data'!$O$3:$O$7,MATCH(G89,'G-7 Rivers Data'!$N$3:$N$7,0)),"")</f>
        <v/>
      </c>
      <c r="M89" s="82"/>
      <c r="N89" s="261"/>
      <c r="O89" s="179" t="str">
        <f t="shared" si="7"/>
        <v/>
      </c>
      <c r="P89" s="262" t="str">
        <f t="shared" si="8"/>
        <v/>
      </c>
      <c r="Q89" s="382" t="str">
        <f>IFERROR(IF(P89="Check Data","Check Data",VLOOKUP(P89,'G-4 Temporal multipliers'!$A$4:$C$37,3,FALSE)),"")</f>
        <v/>
      </c>
      <c r="R89" s="171" t="str">
        <f>IF(C89="","",VLOOKUP(C89,'G-7 Rivers Data'!$B$4:$G$8,4,FALSE))</f>
        <v/>
      </c>
      <c r="S89" s="179" t="str">
        <f t="shared" si="9"/>
        <v/>
      </c>
      <c r="T89" s="269" t="str">
        <f t="shared" si="10"/>
        <v/>
      </c>
      <c r="U89" s="172" t="str">
        <f t="shared" si="11"/>
        <v/>
      </c>
      <c r="V89" s="79"/>
      <c r="W89" s="172" t="str">
        <f>IF(V89="","",IF(VLOOKUP(V89,'G-7 Rivers Data'!$AA$4:$AB$7,2,FALSE)=0,"Spatial Data Missing",VLOOKUP(V89,'G-7 Rivers Data'!$AA$4:$AB$7,2,FALSE)))</f>
        <v/>
      </c>
      <c r="X89" s="187"/>
      <c r="Y89" s="172" t="str">
        <f>IF(X89="","",IF(VLOOKUP(X89,'G-7 Rivers Data'!$AD$4:$AE$8,2,FALSE)=0,"Enrcoachment Data Missing",VLOOKUP(X89,'G-7 Rivers Data'!$AD$4:$AE$8,2,FALSE)))</f>
        <v/>
      </c>
      <c r="Z89" s="186"/>
      <c r="AA89" s="176" t="str">
        <f>IF(Z89="","",VLOOKUP(Z89,'G-7 Rivers Data'!$AO$4:$AP$7,2,FALSE))</f>
        <v/>
      </c>
      <c r="AB89" s="265" t="str">
        <f t="shared" si="12"/>
        <v/>
      </c>
      <c r="AC89" s="180"/>
      <c r="AD89" s="181"/>
      <c r="AK89" s="35" t="str">
        <f>IFERROR(INDEX('G-7 Rivers Data'!$AZ$3:$AZ$7,MATCH(C89,'G-7 Rivers Data'!$AY$3:$AY$7,0)),"")</f>
        <v/>
      </c>
    </row>
    <row r="90" spans="2:37" ht="13.8" x14ac:dyDescent="0.25">
      <c r="B90" s="168">
        <v>79</v>
      </c>
      <c r="C90" s="184"/>
      <c r="D90" s="213"/>
      <c r="E90" s="171" t="str">
        <f>IF(C90="","",VLOOKUP(C90,'G-7 Rivers Data'!$B$2:$Z$9,2,FALSE))</f>
        <v/>
      </c>
      <c r="F90" s="172" t="str">
        <f>IFERROR(VLOOKUP(E90,'G-7 Rivers Data'!$C$4:$D$8,2,FALSE),"")</f>
        <v/>
      </c>
      <c r="G90" s="173"/>
      <c r="H90" s="172" t="str">
        <f>IFERROR(INDEX('G-7 Rivers Data'!$H$4:$L$8,MATCH(C90,'G-7 Rivers Data'!$B$4:$B$8,0),MATCH(G90,'G-7 Rivers Data'!$H$3:$L$3,0)),"")</f>
        <v/>
      </c>
      <c r="I90" s="173"/>
      <c r="J90" s="269" t="str">
        <f>IF(I90="","",IF(VLOOKUP(I90,'G-7 Rivers Data'!$AG$4:$AI$9,2,FALSE)=0,"Spatial Data Missing",VLOOKUP(I90,'G-7 Rivers Data'!$AG$4:$AI$9,2,FALSE)))</f>
        <v/>
      </c>
      <c r="K90" s="172" t="str">
        <f>IF(I90="","",IF(VLOOKUP(I90,'G-7 Rivers Data'!$AG$4:$AI$9,3,FALSE)=0,"Spatial Data Missing",VLOOKUP(I90,'G-7 Rivers Data'!$AG$4:$AI$9,3,FALSE)))</f>
        <v/>
      </c>
      <c r="L90" s="384" t="str">
        <f>IFERROR(INDEX('G-7 Rivers Data'!$O$3:$O$7,MATCH(G90,'G-7 Rivers Data'!$N$3:$N$7,0)),"")</f>
        <v/>
      </c>
      <c r="M90" s="82"/>
      <c r="N90" s="261"/>
      <c r="O90" s="179" t="str">
        <f t="shared" si="7"/>
        <v/>
      </c>
      <c r="P90" s="262" t="str">
        <f t="shared" si="8"/>
        <v/>
      </c>
      <c r="Q90" s="382" t="str">
        <f>IFERROR(IF(P90="Check Data","Check Data",VLOOKUP(P90,'G-4 Temporal multipliers'!$A$4:$C$37,3,FALSE)),"")</f>
        <v/>
      </c>
      <c r="R90" s="171" t="str">
        <f>IF(C90="","",VLOOKUP(C90,'G-7 Rivers Data'!$B$4:$G$8,4,FALSE))</f>
        <v/>
      </c>
      <c r="S90" s="179" t="str">
        <f t="shared" si="9"/>
        <v/>
      </c>
      <c r="T90" s="269" t="str">
        <f t="shared" si="10"/>
        <v/>
      </c>
      <c r="U90" s="172" t="str">
        <f t="shared" si="11"/>
        <v/>
      </c>
      <c r="V90" s="79"/>
      <c r="W90" s="172" t="str">
        <f>IF(V90="","",IF(VLOOKUP(V90,'G-7 Rivers Data'!$AA$4:$AB$7,2,FALSE)=0,"Spatial Data Missing",VLOOKUP(V90,'G-7 Rivers Data'!$AA$4:$AB$7,2,FALSE)))</f>
        <v/>
      </c>
      <c r="X90" s="187"/>
      <c r="Y90" s="172" t="str">
        <f>IF(X90="","",IF(VLOOKUP(X90,'G-7 Rivers Data'!$AD$4:$AE$8,2,FALSE)=0,"Enrcoachment Data Missing",VLOOKUP(X90,'G-7 Rivers Data'!$AD$4:$AE$8,2,FALSE)))</f>
        <v/>
      </c>
      <c r="Z90" s="186"/>
      <c r="AA90" s="176" t="str">
        <f>IF(Z90="","",VLOOKUP(Z90,'G-7 Rivers Data'!$AO$4:$AP$7,2,FALSE))</f>
        <v/>
      </c>
      <c r="AB90" s="265" t="str">
        <f t="shared" si="12"/>
        <v/>
      </c>
      <c r="AC90" s="180"/>
      <c r="AD90" s="181"/>
      <c r="AK90" s="35" t="str">
        <f>IFERROR(INDEX('G-7 Rivers Data'!$AZ$3:$AZ$7,MATCH(C90,'G-7 Rivers Data'!$AY$3:$AY$7,0)),"")</f>
        <v/>
      </c>
    </row>
    <row r="91" spans="2:37" ht="13.8" x14ac:dyDescent="0.25">
      <c r="B91" s="168">
        <v>80</v>
      </c>
      <c r="C91" s="184"/>
      <c r="D91" s="213"/>
      <c r="E91" s="171" t="str">
        <f>IF(C91="","",VLOOKUP(C91,'G-7 Rivers Data'!$B$2:$Z$9,2,FALSE))</f>
        <v/>
      </c>
      <c r="F91" s="172" t="str">
        <f>IFERROR(VLOOKUP(E91,'G-7 Rivers Data'!$C$4:$D$8,2,FALSE),"")</f>
        <v/>
      </c>
      <c r="G91" s="173"/>
      <c r="H91" s="172" t="str">
        <f>IFERROR(INDEX('G-7 Rivers Data'!$H$4:$L$8,MATCH(C91,'G-7 Rivers Data'!$B$4:$B$8,0),MATCH(G91,'G-7 Rivers Data'!$H$3:$L$3,0)),"")</f>
        <v/>
      </c>
      <c r="I91" s="173"/>
      <c r="J91" s="269" t="str">
        <f>IF(I91="","",IF(VLOOKUP(I91,'G-7 Rivers Data'!$AG$4:$AI$9,2,FALSE)=0,"Spatial Data Missing",VLOOKUP(I91,'G-7 Rivers Data'!$AG$4:$AI$9,2,FALSE)))</f>
        <v/>
      </c>
      <c r="K91" s="172" t="str">
        <f>IF(I91="","",IF(VLOOKUP(I91,'G-7 Rivers Data'!$AG$4:$AI$9,3,FALSE)=0,"Spatial Data Missing",VLOOKUP(I91,'G-7 Rivers Data'!$AG$4:$AI$9,3,FALSE)))</f>
        <v/>
      </c>
      <c r="L91" s="384" t="str">
        <f>IFERROR(INDEX('G-7 Rivers Data'!$O$3:$O$7,MATCH(G91,'G-7 Rivers Data'!$N$3:$N$7,0)),"")</f>
        <v/>
      </c>
      <c r="M91" s="82"/>
      <c r="N91" s="261"/>
      <c r="O91" s="179" t="str">
        <f t="shared" si="7"/>
        <v/>
      </c>
      <c r="P91" s="262" t="str">
        <f t="shared" si="8"/>
        <v/>
      </c>
      <c r="Q91" s="382" t="str">
        <f>IFERROR(IF(P91="Check Data","Check Data",VLOOKUP(P91,'G-4 Temporal multipliers'!$A$4:$C$37,3,FALSE)),"")</f>
        <v/>
      </c>
      <c r="R91" s="171" t="str">
        <f>IF(C91="","",VLOOKUP(C91,'G-7 Rivers Data'!$B$4:$G$8,4,FALSE))</f>
        <v/>
      </c>
      <c r="S91" s="179" t="str">
        <f t="shared" si="9"/>
        <v/>
      </c>
      <c r="T91" s="269" t="str">
        <f t="shared" si="10"/>
        <v/>
      </c>
      <c r="U91" s="172" t="str">
        <f t="shared" si="11"/>
        <v/>
      </c>
      <c r="V91" s="79"/>
      <c r="W91" s="172" t="str">
        <f>IF(V91="","",IF(VLOOKUP(V91,'G-7 Rivers Data'!$AA$4:$AB$7,2,FALSE)=0,"Spatial Data Missing",VLOOKUP(V91,'G-7 Rivers Data'!$AA$4:$AB$7,2,FALSE)))</f>
        <v/>
      </c>
      <c r="X91" s="187"/>
      <c r="Y91" s="172" t="str">
        <f>IF(X91="","",IF(VLOOKUP(X91,'G-7 Rivers Data'!$AD$4:$AE$8,2,FALSE)=0,"Enrcoachment Data Missing",VLOOKUP(X91,'G-7 Rivers Data'!$AD$4:$AE$8,2,FALSE)))</f>
        <v/>
      </c>
      <c r="Z91" s="186"/>
      <c r="AA91" s="176" t="str">
        <f>IF(Z91="","",VLOOKUP(Z91,'G-7 Rivers Data'!$AO$4:$AP$7,2,FALSE))</f>
        <v/>
      </c>
      <c r="AB91" s="265" t="str">
        <f t="shared" si="12"/>
        <v/>
      </c>
      <c r="AC91" s="180"/>
      <c r="AD91" s="181"/>
      <c r="AK91" s="35" t="str">
        <f>IFERROR(INDEX('G-7 Rivers Data'!$AZ$3:$AZ$7,MATCH(C91,'G-7 Rivers Data'!$AY$3:$AY$7,0)),"")</f>
        <v/>
      </c>
    </row>
    <row r="92" spans="2:37" ht="13.8" x14ac:dyDescent="0.25">
      <c r="B92" s="168">
        <v>81</v>
      </c>
      <c r="C92" s="184"/>
      <c r="D92" s="213"/>
      <c r="E92" s="171" t="str">
        <f>IF(C92="","",VLOOKUP(C92,'G-7 Rivers Data'!$B$2:$Z$9,2,FALSE))</f>
        <v/>
      </c>
      <c r="F92" s="172" t="str">
        <f>IFERROR(VLOOKUP(E92,'G-7 Rivers Data'!$C$4:$D$8,2,FALSE),"")</f>
        <v/>
      </c>
      <c r="G92" s="173"/>
      <c r="H92" s="172" t="str">
        <f>IFERROR(INDEX('G-7 Rivers Data'!$H$4:$L$8,MATCH(C92,'G-7 Rivers Data'!$B$4:$B$8,0),MATCH(G92,'G-7 Rivers Data'!$H$3:$L$3,0)),"")</f>
        <v/>
      </c>
      <c r="I92" s="173"/>
      <c r="J92" s="269" t="str">
        <f>IF(I92="","",IF(VLOOKUP(I92,'G-7 Rivers Data'!$AG$4:$AI$9,2,FALSE)=0,"Spatial Data Missing",VLOOKUP(I92,'G-7 Rivers Data'!$AG$4:$AI$9,2,FALSE)))</f>
        <v/>
      </c>
      <c r="K92" s="172" t="str">
        <f>IF(I92="","",IF(VLOOKUP(I92,'G-7 Rivers Data'!$AG$4:$AI$9,3,FALSE)=0,"Spatial Data Missing",VLOOKUP(I92,'G-7 Rivers Data'!$AG$4:$AI$9,3,FALSE)))</f>
        <v/>
      </c>
      <c r="L92" s="384" t="str">
        <f>IFERROR(INDEX('G-7 Rivers Data'!$O$3:$O$7,MATCH(G92,'G-7 Rivers Data'!$N$3:$N$7,0)),"")</f>
        <v/>
      </c>
      <c r="M92" s="82"/>
      <c r="N92" s="261"/>
      <c r="O92" s="179" t="str">
        <f t="shared" si="7"/>
        <v/>
      </c>
      <c r="P92" s="262" t="str">
        <f t="shared" si="8"/>
        <v/>
      </c>
      <c r="Q92" s="382" t="str">
        <f>IFERROR(IF(P92="Check Data","Check Data",VLOOKUP(P92,'G-4 Temporal multipliers'!$A$4:$C$37,3,FALSE)),"")</f>
        <v/>
      </c>
      <c r="R92" s="171" t="str">
        <f>IF(C92="","",VLOOKUP(C92,'G-7 Rivers Data'!$B$4:$G$8,4,FALSE))</f>
        <v/>
      </c>
      <c r="S92" s="179" t="str">
        <f t="shared" si="9"/>
        <v/>
      </c>
      <c r="T92" s="269" t="str">
        <f t="shared" si="10"/>
        <v/>
      </c>
      <c r="U92" s="172" t="str">
        <f t="shared" si="11"/>
        <v/>
      </c>
      <c r="V92" s="79"/>
      <c r="W92" s="172" t="str">
        <f>IF(V92="","",IF(VLOOKUP(V92,'G-7 Rivers Data'!$AA$4:$AB$7,2,FALSE)=0,"Spatial Data Missing",VLOOKUP(V92,'G-7 Rivers Data'!$AA$4:$AB$7,2,FALSE)))</f>
        <v/>
      </c>
      <c r="X92" s="187"/>
      <c r="Y92" s="172" t="str">
        <f>IF(X92="","",IF(VLOOKUP(X92,'G-7 Rivers Data'!$AD$4:$AE$8,2,FALSE)=0,"Enrcoachment Data Missing",VLOOKUP(X92,'G-7 Rivers Data'!$AD$4:$AE$8,2,FALSE)))</f>
        <v/>
      </c>
      <c r="Z92" s="186"/>
      <c r="AA92" s="176" t="str">
        <f>IF(Z92="","",VLOOKUP(Z92,'G-7 Rivers Data'!$AO$4:$AP$7,2,FALSE))</f>
        <v/>
      </c>
      <c r="AB92" s="265" t="str">
        <f t="shared" si="12"/>
        <v/>
      </c>
      <c r="AC92" s="180"/>
      <c r="AD92" s="181"/>
      <c r="AK92" s="35" t="str">
        <f>IFERROR(INDEX('G-7 Rivers Data'!$AZ$3:$AZ$7,MATCH(C92,'G-7 Rivers Data'!$AY$3:$AY$7,0)),"")</f>
        <v/>
      </c>
    </row>
    <row r="93" spans="2:37" ht="13.8" x14ac:dyDescent="0.25">
      <c r="B93" s="168">
        <v>82</v>
      </c>
      <c r="C93" s="184"/>
      <c r="D93" s="213"/>
      <c r="E93" s="171" t="str">
        <f>IF(C93="","",VLOOKUP(C93,'G-7 Rivers Data'!$B$2:$Z$9,2,FALSE))</f>
        <v/>
      </c>
      <c r="F93" s="172" t="str">
        <f>IFERROR(VLOOKUP(E93,'G-7 Rivers Data'!$C$4:$D$8,2,FALSE),"")</f>
        <v/>
      </c>
      <c r="G93" s="173"/>
      <c r="H93" s="172" t="str">
        <f>IFERROR(INDEX('G-7 Rivers Data'!$H$4:$L$8,MATCH(C93,'G-7 Rivers Data'!$B$4:$B$8,0),MATCH(G93,'G-7 Rivers Data'!$H$3:$L$3,0)),"")</f>
        <v/>
      </c>
      <c r="I93" s="173"/>
      <c r="J93" s="269" t="str">
        <f>IF(I93="","",IF(VLOOKUP(I93,'G-7 Rivers Data'!$AG$4:$AI$9,2,FALSE)=0,"Spatial Data Missing",VLOOKUP(I93,'G-7 Rivers Data'!$AG$4:$AI$9,2,FALSE)))</f>
        <v/>
      </c>
      <c r="K93" s="172" t="str">
        <f>IF(I93="","",IF(VLOOKUP(I93,'G-7 Rivers Data'!$AG$4:$AI$9,3,FALSE)=0,"Spatial Data Missing",VLOOKUP(I93,'G-7 Rivers Data'!$AG$4:$AI$9,3,FALSE)))</f>
        <v/>
      </c>
      <c r="L93" s="384" t="str">
        <f>IFERROR(INDEX('G-7 Rivers Data'!$O$3:$O$7,MATCH(G93,'G-7 Rivers Data'!$N$3:$N$7,0)),"")</f>
        <v/>
      </c>
      <c r="M93" s="82"/>
      <c r="N93" s="261"/>
      <c r="O93" s="179" t="str">
        <f t="shared" si="7"/>
        <v/>
      </c>
      <c r="P93" s="262" t="str">
        <f t="shared" si="8"/>
        <v/>
      </c>
      <c r="Q93" s="382" t="str">
        <f>IFERROR(IF(P93="Check Data","Check Data",VLOOKUP(P93,'G-4 Temporal multipliers'!$A$4:$C$37,3,FALSE)),"")</f>
        <v/>
      </c>
      <c r="R93" s="171" t="str">
        <f>IF(C93="","",VLOOKUP(C93,'G-7 Rivers Data'!$B$4:$G$8,4,FALSE))</f>
        <v/>
      </c>
      <c r="S93" s="179" t="str">
        <f t="shared" si="9"/>
        <v/>
      </c>
      <c r="T93" s="269" t="str">
        <f t="shared" si="10"/>
        <v/>
      </c>
      <c r="U93" s="172" t="str">
        <f t="shared" si="11"/>
        <v/>
      </c>
      <c r="V93" s="79"/>
      <c r="W93" s="172" t="str">
        <f>IF(V93="","",IF(VLOOKUP(V93,'G-7 Rivers Data'!$AA$4:$AB$7,2,FALSE)=0,"Spatial Data Missing",VLOOKUP(V93,'G-7 Rivers Data'!$AA$4:$AB$7,2,FALSE)))</f>
        <v/>
      </c>
      <c r="X93" s="187"/>
      <c r="Y93" s="172" t="str">
        <f>IF(X93="","",IF(VLOOKUP(X93,'G-7 Rivers Data'!$AD$4:$AE$8,2,FALSE)=0,"Enrcoachment Data Missing",VLOOKUP(X93,'G-7 Rivers Data'!$AD$4:$AE$8,2,FALSE)))</f>
        <v/>
      </c>
      <c r="Z93" s="186"/>
      <c r="AA93" s="176" t="str">
        <f>IF(Z93="","",VLOOKUP(Z93,'G-7 Rivers Data'!$AO$4:$AP$7,2,FALSE))</f>
        <v/>
      </c>
      <c r="AB93" s="265" t="str">
        <f t="shared" si="12"/>
        <v/>
      </c>
      <c r="AC93" s="180"/>
      <c r="AD93" s="181"/>
      <c r="AK93" s="35" t="str">
        <f>IFERROR(INDEX('G-7 Rivers Data'!$AZ$3:$AZ$7,MATCH(C93,'G-7 Rivers Data'!$AY$3:$AY$7,0)),"")</f>
        <v/>
      </c>
    </row>
    <row r="94" spans="2:37" ht="13.8" x14ac:dyDescent="0.25">
      <c r="B94" s="168">
        <v>83</v>
      </c>
      <c r="C94" s="184"/>
      <c r="D94" s="213"/>
      <c r="E94" s="171" t="str">
        <f>IF(C94="","",VLOOKUP(C94,'G-7 Rivers Data'!$B$2:$Z$9,2,FALSE))</f>
        <v/>
      </c>
      <c r="F94" s="172" t="str">
        <f>IFERROR(VLOOKUP(E94,'G-7 Rivers Data'!$C$4:$D$8,2,FALSE),"")</f>
        <v/>
      </c>
      <c r="G94" s="173"/>
      <c r="H94" s="172" t="str">
        <f>IFERROR(INDEX('G-7 Rivers Data'!$H$4:$L$8,MATCH(C94,'G-7 Rivers Data'!$B$4:$B$8,0),MATCH(G94,'G-7 Rivers Data'!$H$3:$L$3,0)),"")</f>
        <v/>
      </c>
      <c r="I94" s="173"/>
      <c r="J94" s="269" t="str">
        <f>IF(I94="","",IF(VLOOKUP(I94,'G-7 Rivers Data'!$AG$4:$AI$9,2,FALSE)=0,"Spatial Data Missing",VLOOKUP(I94,'G-7 Rivers Data'!$AG$4:$AI$9,2,FALSE)))</f>
        <v/>
      </c>
      <c r="K94" s="172" t="str">
        <f>IF(I94="","",IF(VLOOKUP(I94,'G-7 Rivers Data'!$AG$4:$AI$9,3,FALSE)=0,"Spatial Data Missing",VLOOKUP(I94,'G-7 Rivers Data'!$AG$4:$AI$9,3,FALSE)))</f>
        <v/>
      </c>
      <c r="L94" s="384" t="str">
        <f>IFERROR(INDEX('G-7 Rivers Data'!$O$3:$O$7,MATCH(G94,'G-7 Rivers Data'!$N$3:$N$7,0)),"")</f>
        <v/>
      </c>
      <c r="M94" s="82"/>
      <c r="N94" s="261"/>
      <c r="O94" s="179" t="str">
        <f t="shared" si="7"/>
        <v/>
      </c>
      <c r="P94" s="262" t="str">
        <f t="shared" si="8"/>
        <v/>
      </c>
      <c r="Q94" s="382" t="str">
        <f>IFERROR(IF(P94="Check Data","Check Data",VLOOKUP(P94,'G-4 Temporal multipliers'!$A$4:$C$37,3,FALSE)),"")</f>
        <v/>
      </c>
      <c r="R94" s="171" t="str">
        <f>IF(C94="","",VLOOKUP(C94,'G-7 Rivers Data'!$B$4:$G$8,4,FALSE))</f>
        <v/>
      </c>
      <c r="S94" s="179" t="str">
        <f t="shared" si="9"/>
        <v/>
      </c>
      <c r="T94" s="269" t="str">
        <f t="shared" si="10"/>
        <v/>
      </c>
      <c r="U94" s="172" t="str">
        <f t="shared" si="11"/>
        <v/>
      </c>
      <c r="V94" s="79"/>
      <c r="W94" s="172" t="str">
        <f>IF(V94="","",IF(VLOOKUP(V94,'G-7 Rivers Data'!$AA$4:$AB$7,2,FALSE)=0,"Spatial Data Missing",VLOOKUP(V94,'G-7 Rivers Data'!$AA$4:$AB$7,2,FALSE)))</f>
        <v/>
      </c>
      <c r="X94" s="187"/>
      <c r="Y94" s="172" t="str">
        <f>IF(X94="","",IF(VLOOKUP(X94,'G-7 Rivers Data'!$AD$4:$AE$8,2,FALSE)=0,"Enrcoachment Data Missing",VLOOKUP(X94,'G-7 Rivers Data'!$AD$4:$AE$8,2,FALSE)))</f>
        <v/>
      </c>
      <c r="Z94" s="186"/>
      <c r="AA94" s="176" t="str">
        <f>IF(Z94="","",VLOOKUP(Z94,'G-7 Rivers Data'!$AO$4:$AP$7,2,FALSE))</f>
        <v/>
      </c>
      <c r="AB94" s="265" t="str">
        <f t="shared" si="12"/>
        <v/>
      </c>
      <c r="AC94" s="180"/>
      <c r="AD94" s="181"/>
      <c r="AK94" s="35" t="str">
        <f>IFERROR(INDEX('G-7 Rivers Data'!$AZ$3:$AZ$7,MATCH(C94,'G-7 Rivers Data'!$AY$3:$AY$7,0)),"")</f>
        <v/>
      </c>
    </row>
    <row r="95" spans="2:37" ht="13.8" x14ac:dyDescent="0.25">
      <c r="B95" s="168">
        <v>84</v>
      </c>
      <c r="C95" s="184"/>
      <c r="D95" s="213"/>
      <c r="E95" s="171" t="str">
        <f>IF(C95="","",VLOOKUP(C95,'G-7 Rivers Data'!$B$2:$Z$9,2,FALSE))</f>
        <v/>
      </c>
      <c r="F95" s="172" t="str">
        <f>IFERROR(VLOOKUP(E95,'G-7 Rivers Data'!$C$4:$D$8,2,FALSE),"")</f>
        <v/>
      </c>
      <c r="G95" s="173"/>
      <c r="H95" s="172" t="str">
        <f>IFERROR(INDEX('G-7 Rivers Data'!$H$4:$L$8,MATCH(C95,'G-7 Rivers Data'!$B$4:$B$8,0),MATCH(G95,'G-7 Rivers Data'!$H$3:$L$3,0)),"")</f>
        <v/>
      </c>
      <c r="I95" s="173"/>
      <c r="J95" s="269" t="str">
        <f>IF(I95="","",IF(VLOOKUP(I95,'G-7 Rivers Data'!$AG$4:$AI$9,2,FALSE)=0,"Spatial Data Missing",VLOOKUP(I95,'G-7 Rivers Data'!$AG$4:$AI$9,2,FALSE)))</f>
        <v/>
      </c>
      <c r="K95" s="172" t="str">
        <f>IF(I95="","",IF(VLOOKUP(I95,'G-7 Rivers Data'!$AG$4:$AI$9,3,FALSE)=0,"Spatial Data Missing",VLOOKUP(I95,'G-7 Rivers Data'!$AG$4:$AI$9,3,FALSE)))</f>
        <v/>
      </c>
      <c r="L95" s="384" t="str">
        <f>IFERROR(INDEX('G-7 Rivers Data'!$O$3:$O$7,MATCH(G95,'G-7 Rivers Data'!$N$3:$N$7,0)),"")</f>
        <v/>
      </c>
      <c r="M95" s="82"/>
      <c r="N95" s="261"/>
      <c r="O95" s="179" t="str">
        <f t="shared" si="7"/>
        <v/>
      </c>
      <c r="P95" s="262" t="str">
        <f t="shared" si="8"/>
        <v/>
      </c>
      <c r="Q95" s="382" t="str">
        <f>IFERROR(IF(P95="Check Data","Check Data",VLOOKUP(P95,'G-4 Temporal multipliers'!$A$4:$C$37,3,FALSE)),"")</f>
        <v/>
      </c>
      <c r="R95" s="171" t="str">
        <f>IF(C95="","",VLOOKUP(C95,'G-7 Rivers Data'!$B$4:$G$8,4,FALSE))</f>
        <v/>
      </c>
      <c r="S95" s="179" t="str">
        <f t="shared" si="9"/>
        <v/>
      </c>
      <c r="T95" s="269" t="str">
        <f t="shared" si="10"/>
        <v/>
      </c>
      <c r="U95" s="172" t="str">
        <f t="shared" si="11"/>
        <v/>
      </c>
      <c r="V95" s="79"/>
      <c r="W95" s="172" t="str">
        <f>IF(V95="","",IF(VLOOKUP(V95,'G-7 Rivers Data'!$AA$4:$AB$7,2,FALSE)=0,"Spatial Data Missing",VLOOKUP(V95,'G-7 Rivers Data'!$AA$4:$AB$7,2,FALSE)))</f>
        <v/>
      </c>
      <c r="X95" s="187"/>
      <c r="Y95" s="172" t="str">
        <f>IF(X95="","",IF(VLOOKUP(X95,'G-7 Rivers Data'!$AD$4:$AE$8,2,FALSE)=0,"Enrcoachment Data Missing",VLOOKUP(X95,'G-7 Rivers Data'!$AD$4:$AE$8,2,FALSE)))</f>
        <v/>
      </c>
      <c r="Z95" s="186"/>
      <c r="AA95" s="176" t="str">
        <f>IF(Z95="","",VLOOKUP(Z95,'G-7 Rivers Data'!$AO$4:$AP$7,2,FALSE))</f>
        <v/>
      </c>
      <c r="AB95" s="265" t="str">
        <f t="shared" si="12"/>
        <v/>
      </c>
      <c r="AC95" s="180"/>
      <c r="AD95" s="181"/>
      <c r="AK95" s="35" t="str">
        <f>IFERROR(INDEX('G-7 Rivers Data'!$AZ$3:$AZ$7,MATCH(C95,'G-7 Rivers Data'!$AY$3:$AY$7,0)),"")</f>
        <v/>
      </c>
    </row>
    <row r="96" spans="2:37" ht="13.8" x14ac:dyDescent="0.25">
      <c r="B96" s="168">
        <v>85</v>
      </c>
      <c r="C96" s="184"/>
      <c r="D96" s="213"/>
      <c r="E96" s="171" t="str">
        <f>IF(C96="","",VLOOKUP(C96,'G-7 Rivers Data'!$B$2:$Z$9,2,FALSE))</f>
        <v/>
      </c>
      <c r="F96" s="172" t="str">
        <f>IFERROR(VLOOKUP(E96,'G-7 Rivers Data'!$C$4:$D$8,2,FALSE),"")</f>
        <v/>
      </c>
      <c r="G96" s="173"/>
      <c r="H96" s="172" t="str">
        <f>IFERROR(INDEX('G-7 Rivers Data'!$H$4:$L$8,MATCH(C96,'G-7 Rivers Data'!$B$4:$B$8,0),MATCH(G96,'G-7 Rivers Data'!$H$3:$L$3,0)),"")</f>
        <v/>
      </c>
      <c r="I96" s="173"/>
      <c r="J96" s="269" t="str">
        <f>IF(I96="","",IF(VLOOKUP(I96,'G-7 Rivers Data'!$AG$4:$AI$9,2,FALSE)=0,"Spatial Data Missing",VLOOKUP(I96,'G-7 Rivers Data'!$AG$4:$AI$9,2,FALSE)))</f>
        <v/>
      </c>
      <c r="K96" s="172" t="str">
        <f>IF(I96="","",IF(VLOOKUP(I96,'G-7 Rivers Data'!$AG$4:$AI$9,3,FALSE)=0,"Spatial Data Missing",VLOOKUP(I96,'G-7 Rivers Data'!$AG$4:$AI$9,3,FALSE)))</f>
        <v/>
      </c>
      <c r="L96" s="384" t="str">
        <f>IFERROR(INDEX('G-7 Rivers Data'!$O$3:$O$7,MATCH(G96,'G-7 Rivers Data'!$N$3:$N$7,0)),"")</f>
        <v/>
      </c>
      <c r="M96" s="82"/>
      <c r="N96" s="261"/>
      <c r="O96" s="179" t="str">
        <f t="shared" si="7"/>
        <v/>
      </c>
      <c r="P96" s="262" t="str">
        <f t="shared" si="8"/>
        <v/>
      </c>
      <c r="Q96" s="382" t="str">
        <f>IFERROR(IF(P96="Check Data","Check Data",VLOOKUP(P96,'G-4 Temporal multipliers'!$A$4:$C$37,3,FALSE)),"")</f>
        <v/>
      </c>
      <c r="R96" s="171" t="str">
        <f>IF(C96="","",VLOOKUP(C96,'G-7 Rivers Data'!$B$4:$G$8,4,FALSE))</f>
        <v/>
      </c>
      <c r="S96" s="179" t="str">
        <f t="shared" si="9"/>
        <v/>
      </c>
      <c r="T96" s="269" t="str">
        <f t="shared" si="10"/>
        <v/>
      </c>
      <c r="U96" s="172" t="str">
        <f t="shared" si="11"/>
        <v/>
      </c>
      <c r="V96" s="79"/>
      <c r="W96" s="172" t="str">
        <f>IF(V96="","",IF(VLOOKUP(V96,'G-7 Rivers Data'!$AA$4:$AB$7,2,FALSE)=0,"Spatial Data Missing",VLOOKUP(V96,'G-7 Rivers Data'!$AA$4:$AB$7,2,FALSE)))</f>
        <v/>
      </c>
      <c r="X96" s="187"/>
      <c r="Y96" s="172" t="str">
        <f>IF(X96="","",IF(VLOOKUP(X96,'G-7 Rivers Data'!$AD$4:$AE$8,2,FALSE)=0,"Enrcoachment Data Missing",VLOOKUP(X96,'G-7 Rivers Data'!$AD$4:$AE$8,2,FALSE)))</f>
        <v/>
      </c>
      <c r="Z96" s="186"/>
      <c r="AA96" s="176" t="str">
        <f>IF(Z96="","",VLOOKUP(Z96,'G-7 Rivers Data'!$AO$4:$AP$7,2,FALSE))</f>
        <v/>
      </c>
      <c r="AB96" s="265" t="str">
        <f t="shared" si="12"/>
        <v/>
      </c>
      <c r="AC96" s="180"/>
      <c r="AD96" s="181"/>
      <c r="AK96" s="35" t="str">
        <f>IFERROR(INDEX('G-7 Rivers Data'!$AZ$3:$AZ$7,MATCH(C96,'G-7 Rivers Data'!$AY$3:$AY$7,0)),"")</f>
        <v/>
      </c>
    </row>
    <row r="97" spans="2:37" ht="13.8" x14ac:dyDescent="0.25">
      <c r="B97" s="168">
        <v>86</v>
      </c>
      <c r="C97" s="184"/>
      <c r="D97" s="213"/>
      <c r="E97" s="171" t="str">
        <f>IF(C97="","",VLOOKUP(C97,'G-7 Rivers Data'!$B$2:$Z$9,2,FALSE))</f>
        <v/>
      </c>
      <c r="F97" s="172" t="str">
        <f>IFERROR(VLOOKUP(E97,'G-7 Rivers Data'!$C$4:$D$8,2,FALSE),"")</f>
        <v/>
      </c>
      <c r="G97" s="173"/>
      <c r="H97" s="172" t="str">
        <f>IFERROR(INDEX('G-7 Rivers Data'!$H$4:$L$8,MATCH(C97,'G-7 Rivers Data'!$B$4:$B$8,0),MATCH(G97,'G-7 Rivers Data'!$H$3:$L$3,0)),"")</f>
        <v/>
      </c>
      <c r="I97" s="173"/>
      <c r="J97" s="269" t="str">
        <f>IF(I97="","",IF(VLOOKUP(I97,'G-7 Rivers Data'!$AG$4:$AI$9,2,FALSE)=0,"Spatial Data Missing",VLOOKUP(I97,'G-7 Rivers Data'!$AG$4:$AI$9,2,FALSE)))</f>
        <v/>
      </c>
      <c r="K97" s="172" t="str">
        <f>IF(I97="","",IF(VLOOKUP(I97,'G-7 Rivers Data'!$AG$4:$AI$9,3,FALSE)=0,"Spatial Data Missing",VLOOKUP(I97,'G-7 Rivers Data'!$AG$4:$AI$9,3,FALSE)))</f>
        <v/>
      </c>
      <c r="L97" s="384" t="str">
        <f>IFERROR(INDEX('G-7 Rivers Data'!$O$3:$O$7,MATCH(G97,'G-7 Rivers Data'!$N$3:$N$7,0)),"")</f>
        <v/>
      </c>
      <c r="M97" s="82"/>
      <c r="N97" s="261"/>
      <c r="O97" s="179" t="str">
        <f t="shared" si="7"/>
        <v/>
      </c>
      <c r="P97" s="262" t="str">
        <f t="shared" si="8"/>
        <v/>
      </c>
      <c r="Q97" s="382" t="str">
        <f>IFERROR(IF(P97="Check Data","Check Data",VLOOKUP(P97,'G-4 Temporal multipliers'!$A$4:$C$37,3,FALSE)),"")</f>
        <v/>
      </c>
      <c r="R97" s="171" t="str">
        <f>IF(C97="","",VLOOKUP(C97,'G-7 Rivers Data'!$B$4:$G$8,4,FALSE))</f>
        <v/>
      </c>
      <c r="S97" s="179" t="str">
        <f t="shared" si="9"/>
        <v/>
      </c>
      <c r="T97" s="269" t="str">
        <f t="shared" si="10"/>
        <v/>
      </c>
      <c r="U97" s="172" t="str">
        <f t="shared" si="11"/>
        <v/>
      </c>
      <c r="V97" s="79"/>
      <c r="W97" s="172" t="str">
        <f>IF(V97="","",IF(VLOOKUP(V97,'G-7 Rivers Data'!$AA$4:$AB$7,2,FALSE)=0,"Spatial Data Missing",VLOOKUP(V97,'G-7 Rivers Data'!$AA$4:$AB$7,2,FALSE)))</f>
        <v/>
      </c>
      <c r="X97" s="187"/>
      <c r="Y97" s="172" t="str">
        <f>IF(X97="","",IF(VLOOKUP(X97,'G-7 Rivers Data'!$AD$4:$AE$8,2,FALSE)=0,"Enrcoachment Data Missing",VLOOKUP(X97,'G-7 Rivers Data'!$AD$4:$AE$8,2,FALSE)))</f>
        <v/>
      </c>
      <c r="Z97" s="186"/>
      <c r="AA97" s="176" t="str">
        <f>IF(Z97="","",VLOOKUP(Z97,'G-7 Rivers Data'!$AO$4:$AP$7,2,FALSE))</f>
        <v/>
      </c>
      <c r="AB97" s="265" t="str">
        <f t="shared" si="12"/>
        <v/>
      </c>
      <c r="AC97" s="180"/>
      <c r="AD97" s="181"/>
      <c r="AK97" s="35" t="str">
        <f>IFERROR(INDEX('G-7 Rivers Data'!$AZ$3:$AZ$7,MATCH(C97,'G-7 Rivers Data'!$AY$3:$AY$7,0)),"")</f>
        <v/>
      </c>
    </row>
    <row r="98" spans="2:37" ht="13.8" x14ac:dyDescent="0.25">
      <c r="B98" s="168">
        <v>87</v>
      </c>
      <c r="C98" s="184"/>
      <c r="D98" s="213"/>
      <c r="E98" s="171" t="str">
        <f>IF(C98="","",VLOOKUP(C98,'G-7 Rivers Data'!$B$2:$Z$9,2,FALSE))</f>
        <v/>
      </c>
      <c r="F98" s="172" t="str">
        <f>IFERROR(VLOOKUP(E98,'G-7 Rivers Data'!$C$4:$D$8,2,FALSE),"")</f>
        <v/>
      </c>
      <c r="G98" s="173"/>
      <c r="H98" s="172" t="str">
        <f>IFERROR(INDEX('G-7 Rivers Data'!$H$4:$L$8,MATCH(C98,'G-7 Rivers Data'!$B$4:$B$8,0),MATCH(G98,'G-7 Rivers Data'!$H$3:$L$3,0)),"")</f>
        <v/>
      </c>
      <c r="I98" s="173"/>
      <c r="J98" s="269" t="str">
        <f>IF(I98="","",IF(VLOOKUP(I98,'G-7 Rivers Data'!$AG$4:$AI$9,2,FALSE)=0,"Spatial Data Missing",VLOOKUP(I98,'G-7 Rivers Data'!$AG$4:$AI$9,2,FALSE)))</f>
        <v/>
      </c>
      <c r="K98" s="172" t="str">
        <f>IF(I98="","",IF(VLOOKUP(I98,'G-7 Rivers Data'!$AG$4:$AI$9,3,FALSE)=0,"Spatial Data Missing",VLOOKUP(I98,'G-7 Rivers Data'!$AG$4:$AI$9,3,FALSE)))</f>
        <v/>
      </c>
      <c r="L98" s="384" t="str">
        <f>IFERROR(INDEX('G-7 Rivers Data'!$O$3:$O$7,MATCH(G98,'G-7 Rivers Data'!$N$3:$N$7,0)),"")</f>
        <v/>
      </c>
      <c r="M98" s="82"/>
      <c r="N98" s="261"/>
      <c r="O98" s="179" t="str">
        <f t="shared" si="7"/>
        <v/>
      </c>
      <c r="P98" s="262" t="str">
        <f t="shared" si="8"/>
        <v/>
      </c>
      <c r="Q98" s="382" t="str">
        <f>IFERROR(IF(P98="Check Data","Check Data",VLOOKUP(P98,'G-4 Temporal multipliers'!$A$4:$C$37,3,FALSE)),"")</f>
        <v/>
      </c>
      <c r="R98" s="171" t="str">
        <f>IF(C98="","",VLOOKUP(C98,'G-7 Rivers Data'!$B$4:$G$8,4,FALSE))</f>
        <v/>
      </c>
      <c r="S98" s="179" t="str">
        <f t="shared" si="9"/>
        <v/>
      </c>
      <c r="T98" s="269" t="str">
        <f t="shared" si="10"/>
        <v/>
      </c>
      <c r="U98" s="172" t="str">
        <f t="shared" si="11"/>
        <v/>
      </c>
      <c r="V98" s="79"/>
      <c r="W98" s="172" t="str">
        <f>IF(V98="","",IF(VLOOKUP(V98,'G-7 Rivers Data'!$AA$4:$AB$7,2,FALSE)=0,"Spatial Data Missing",VLOOKUP(V98,'G-7 Rivers Data'!$AA$4:$AB$7,2,FALSE)))</f>
        <v/>
      </c>
      <c r="X98" s="187"/>
      <c r="Y98" s="172" t="str">
        <f>IF(X98="","",IF(VLOOKUP(X98,'G-7 Rivers Data'!$AD$4:$AE$8,2,FALSE)=0,"Enrcoachment Data Missing",VLOOKUP(X98,'G-7 Rivers Data'!$AD$4:$AE$8,2,FALSE)))</f>
        <v/>
      </c>
      <c r="Z98" s="186"/>
      <c r="AA98" s="176" t="str">
        <f>IF(Z98="","",VLOOKUP(Z98,'G-7 Rivers Data'!$AO$4:$AP$7,2,FALSE))</f>
        <v/>
      </c>
      <c r="AB98" s="265" t="str">
        <f t="shared" si="12"/>
        <v/>
      </c>
      <c r="AC98" s="180"/>
      <c r="AD98" s="181"/>
      <c r="AK98" s="35" t="str">
        <f>IFERROR(INDEX('G-7 Rivers Data'!$AZ$3:$AZ$7,MATCH(C98,'G-7 Rivers Data'!$AY$3:$AY$7,0)),"")</f>
        <v/>
      </c>
    </row>
    <row r="99" spans="2:37" ht="13.8" x14ac:dyDescent="0.25">
      <c r="B99" s="168">
        <v>88</v>
      </c>
      <c r="C99" s="184"/>
      <c r="D99" s="213"/>
      <c r="E99" s="171" t="str">
        <f>IF(C99="","",VLOOKUP(C99,'G-7 Rivers Data'!$B$2:$Z$9,2,FALSE))</f>
        <v/>
      </c>
      <c r="F99" s="172" t="str">
        <f>IFERROR(VLOOKUP(E99,'G-7 Rivers Data'!$C$4:$D$8,2,FALSE),"")</f>
        <v/>
      </c>
      <c r="G99" s="173"/>
      <c r="H99" s="172" t="str">
        <f>IFERROR(INDEX('G-7 Rivers Data'!$H$4:$L$8,MATCH(C99,'G-7 Rivers Data'!$B$4:$B$8,0),MATCH(G99,'G-7 Rivers Data'!$H$3:$L$3,0)),"")</f>
        <v/>
      </c>
      <c r="I99" s="173"/>
      <c r="J99" s="269" t="str">
        <f>IF(I99="","",IF(VLOOKUP(I99,'G-7 Rivers Data'!$AG$4:$AI$9,2,FALSE)=0,"Spatial Data Missing",VLOOKUP(I99,'G-7 Rivers Data'!$AG$4:$AI$9,2,FALSE)))</f>
        <v/>
      </c>
      <c r="K99" s="172" t="str">
        <f>IF(I99="","",IF(VLOOKUP(I99,'G-7 Rivers Data'!$AG$4:$AI$9,3,FALSE)=0,"Spatial Data Missing",VLOOKUP(I99,'G-7 Rivers Data'!$AG$4:$AI$9,3,FALSE)))</f>
        <v/>
      </c>
      <c r="L99" s="384" t="str">
        <f>IFERROR(INDEX('G-7 Rivers Data'!$O$3:$O$7,MATCH(G99,'G-7 Rivers Data'!$N$3:$N$7,0)),"")</f>
        <v/>
      </c>
      <c r="M99" s="82"/>
      <c r="N99" s="261"/>
      <c r="O99" s="179" t="str">
        <f t="shared" si="7"/>
        <v/>
      </c>
      <c r="P99" s="262" t="str">
        <f t="shared" si="8"/>
        <v/>
      </c>
      <c r="Q99" s="382" t="str">
        <f>IFERROR(IF(P99="Check Data","Check Data",VLOOKUP(P99,'G-4 Temporal multipliers'!$A$4:$C$37,3,FALSE)),"")</f>
        <v/>
      </c>
      <c r="R99" s="171" t="str">
        <f>IF(C99="","",VLOOKUP(C99,'G-7 Rivers Data'!$B$4:$G$8,4,FALSE))</f>
        <v/>
      </c>
      <c r="S99" s="179" t="str">
        <f t="shared" si="9"/>
        <v/>
      </c>
      <c r="T99" s="269" t="str">
        <f t="shared" si="10"/>
        <v/>
      </c>
      <c r="U99" s="172" t="str">
        <f t="shared" si="11"/>
        <v/>
      </c>
      <c r="V99" s="79"/>
      <c r="W99" s="172" t="str">
        <f>IF(V99="","",IF(VLOOKUP(V99,'G-7 Rivers Data'!$AA$4:$AB$7,2,FALSE)=0,"Spatial Data Missing",VLOOKUP(V99,'G-7 Rivers Data'!$AA$4:$AB$7,2,FALSE)))</f>
        <v/>
      </c>
      <c r="X99" s="187"/>
      <c r="Y99" s="172" t="str">
        <f>IF(X99="","",IF(VLOOKUP(X99,'G-7 Rivers Data'!$AD$4:$AE$8,2,FALSE)=0,"Enrcoachment Data Missing",VLOOKUP(X99,'G-7 Rivers Data'!$AD$4:$AE$8,2,FALSE)))</f>
        <v/>
      </c>
      <c r="Z99" s="186"/>
      <c r="AA99" s="176" t="str">
        <f>IF(Z99="","",VLOOKUP(Z99,'G-7 Rivers Data'!$AO$4:$AP$7,2,FALSE))</f>
        <v/>
      </c>
      <c r="AB99" s="265" t="str">
        <f t="shared" si="12"/>
        <v/>
      </c>
      <c r="AC99" s="180"/>
      <c r="AD99" s="181"/>
      <c r="AK99" s="35" t="str">
        <f>IFERROR(INDEX('G-7 Rivers Data'!$AZ$3:$AZ$7,MATCH(C99,'G-7 Rivers Data'!$AY$3:$AY$7,0)),"")</f>
        <v/>
      </c>
    </row>
    <row r="100" spans="2:37" ht="13.8" x14ac:dyDescent="0.25">
      <c r="B100" s="168">
        <v>89</v>
      </c>
      <c r="C100" s="184"/>
      <c r="D100" s="213"/>
      <c r="E100" s="171" t="str">
        <f>IF(C100="","",VLOOKUP(C100,'G-7 Rivers Data'!$B$2:$Z$9,2,FALSE))</f>
        <v/>
      </c>
      <c r="F100" s="172" t="str">
        <f>IFERROR(VLOOKUP(E100,'G-7 Rivers Data'!$C$4:$D$8,2,FALSE),"")</f>
        <v/>
      </c>
      <c r="G100" s="173"/>
      <c r="H100" s="172" t="str">
        <f>IFERROR(INDEX('G-7 Rivers Data'!$H$4:$L$8,MATCH(C100,'G-7 Rivers Data'!$B$4:$B$8,0),MATCH(G100,'G-7 Rivers Data'!$H$3:$L$3,0)),"")</f>
        <v/>
      </c>
      <c r="I100" s="173"/>
      <c r="J100" s="269" t="str">
        <f>IF(I100="","",IF(VLOOKUP(I100,'G-7 Rivers Data'!$AG$4:$AI$9,2,FALSE)=0,"Spatial Data Missing",VLOOKUP(I100,'G-7 Rivers Data'!$AG$4:$AI$9,2,FALSE)))</f>
        <v/>
      </c>
      <c r="K100" s="172" t="str">
        <f>IF(I100="","",IF(VLOOKUP(I100,'G-7 Rivers Data'!$AG$4:$AI$9,3,FALSE)=0,"Spatial Data Missing",VLOOKUP(I100,'G-7 Rivers Data'!$AG$4:$AI$9,3,FALSE)))</f>
        <v/>
      </c>
      <c r="L100" s="384" t="str">
        <f>IFERROR(INDEX('G-7 Rivers Data'!$O$3:$O$7,MATCH(G100,'G-7 Rivers Data'!$N$3:$N$7,0)),"")</f>
        <v/>
      </c>
      <c r="M100" s="82"/>
      <c r="N100" s="261"/>
      <c r="O100" s="179" t="str">
        <f t="shared" si="7"/>
        <v/>
      </c>
      <c r="P100" s="262" t="str">
        <f t="shared" si="8"/>
        <v/>
      </c>
      <c r="Q100" s="382" t="str">
        <f>IFERROR(IF(P100="Check Data","Check Data",VLOOKUP(P100,'G-4 Temporal multipliers'!$A$4:$C$37,3,FALSE)),"")</f>
        <v/>
      </c>
      <c r="R100" s="171" t="str">
        <f>IF(C100="","",VLOOKUP(C100,'G-7 Rivers Data'!$B$4:$G$8,4,FALSE))</f>
        <v/>
      </c>
      <c r="S100" s="179" t="str">
        <f t="shared" si="9"/>
        <v/>
      </c>
      <c r="T100" s="269" t="str">
        <f t="shared" si="10"/>
        <v/>
      </c>
      <c r="U100" s="172" t="str">
        <f t="shared" si="11"/>
        <v/>
      </c>
      <c r="V100" s="79"/>
      <c r="W100" s="172" t="str">
        <f>IF(V100="","",IF(VLOOKUP(V100,'G-7 Rivers Data'!$AA$4:$AB$7,2,FALSE)=0,"Spatial Data Missing",VLOOKUP(V100,'G-7 Rivers Data'!$AA$4:$AB$7,2,FALSE)))</f>
        <v/>
      </c>
      <c r="X100" s="187"/>
      <c r="Y100" s="172" t="str">
        <f>IF(X100="","",IF(VLOOKUP(X100,'G-7 Rivers Data'!$AD$4:$AE$8,2,FALSE)=0,"Enrcoachment Data Missing",VLOOKUP(X100,'G-7 Rivers Data'!$AD$4:$AE$8,2,FALSE)))</f>
        <v/>
      </c>
      <c r="Z100" s="186"/>
      <c r="AA100" s="176" t="str">
        <f>IF(Z100="","",VLOOKUP(Z100,'G-7 Rivers Data'!$AO$4:$AP$7,2,FALSE))</f>
        <v/>
      </c>
      <c r="AB100" s="265" t="str">
        <f t="shared" si="12"/>
        <v/>
      </c>
      <c r="AC100" s="180"/>
      <c r="AD100" s="181"/>
      <c r="AK100" s="35" t="str">
        <f>IFERROR(INDEX('G-7 Rivers Data'!$AZ$3:$AZ$7,MATCH(C100,'G-7 Rivers Data'!$AY$3:$AY$7,0)),"")</f>
        <v/>
      </c>
    </row>
    <row r="101" spans="2:37" ht="13.8" x14ac:dyDescent="0.25">
      <c r="B101" s="168">
        <v>90</v>
      </c>
      <c r="C101" s="184"/>
      <c r="D101" s="213"/>
      <c r="E101" s="171" t="str">
        <f>IF(C101="","",VLOOKUP(C101,'G-7 Rivers Data'!$B$2:$Z$9,2,FALSE))</f>
        <v/>
      </c>
      <c r="F101" s="172" t="str">
        <f>IFERROR(VLOOKUP(E101,'G-7 Rivers Data'!$C$4:$D$8,2,FALSE),"")</f>
        <v/>
      </c>
      <c r="G101" s="173"/>
      <c r="H101" s="172" t="str">
        <f>IFERROR(INDEX('G-7 Rivers Data'!$H$4:$L$8,MATCH(C101,'G-7 Rivers Data'!$B$4:$B$8,0),MATCH(G101,'G-7 Rivers Data'!$H$3:$L$3,0)),"")</f>
        <v/>
      </c>
      <c r="I101" s="173"/>
      <c r="J101" s="269" t="str">
        <f>IF(I101="","",IF(VLOOKUP(I101,'G-7 Rivers Data'!$AG$4:$AI$9,2,FALSE)=0,"Spatial Data Missing",VLOOKUP(I101,'G-7 Rivers Data'!$AG$4:$AI$9,2,FALSE)))</f>
        <v/>
      </c>
      <c r="K101" s="172" t="str">
        <f>IF(I101="","",IF(VLOOKUP(I101,'G-7 Rivers Data'!$AG$4:$AI$9,3,FALSE)=0,"Spatial Data Missing",VLOOKUP(I101,'G-7 Rivers Data'!$AG$4:$AI$9,3,FALSE)))</f>
        <v/>
      </c>
      <c r="L101" s="384" t="str">
        <f>IFERROR(INDEX('G-7 Rivers Data'!$O$3:$O$7,MATCH(G101,'G-7 Rivers Data'!$N$3:$N$7,0)),"")</f>
        <v/>
      </c>
      <c r="M101" s="82"/>
      <c r="N101" s="261"/>
      <c r="O101" s="179" t="str">
        <f t="shared" si="7"/>
        <v/>
      </c>
      <c r="P101" s="262" t="str">
        <f t="shared" si="8"/>
        <v/>
      </c>
      <c r="Q101" s="382" t="str">
        <f>IFERROR(IF(P101="Check Data","Check Data",VLOOKUP(P101,'G-4 Temporal multipliers'!$A$4:$C$37,3,FALSE)),"")</f>
        <v/>
      </c>
      <c r="R101" s="171" t="str">
        <f>IF(C101="","",VLOOKUP(C101,'G-7 Rivers Data'!$B$4:$G$8,4,FALSE))</f>
        <v/>
      </c>
      <c r="S101" s="179" t="str">
        <f t="shared" si="9"/>
        <v/>
      </c>
      <c r="T101" s="269" t="str">
        <f t="shared" si="10"/>
        <v/>
      </c>
      <c r="U101" s="172" t="str">
        <f t="shared" si="11"/>
        <v/>
      </c>
      <c r="V101" s="79"/>
      <c r="W101" s="172" t="str">
        <f>IF(V101="","",IF(VLOOKUP(V101,'G-7 Rivers Data'!$AA$4:$AB$7,2,FALSE)=0,"Spatial Data Missing",VLOOKUP(V101,'G-7 Rivers Data'!$AA$4:$AB$7,2,FALSE)))</f>
        <v/>
      </c>
      <c r="X101" s="187"/>
      <c r="Y101" s="172" t="str">
        <f>IF(X101="","",IF(VLOOKUP(X101,'G-7 Rivers Data'!$AD$4:$AE$8,2,FALSE)=0,"Enrcoachment Data Missing",VLOOKUP(X101,'G-7 Rivers Data'!$AD$4:$AE$8,2,FALSE)))</f>
        <v/>
      </c>
      <c r="Z101" s="186"/>
      <c r="AA101" s="176" t="str">
        <f>IF(Z101="","",VLOOKUP(Z101,'G-7 Rivers Data'!$AO$4:$AP$7,2,FALSE))</f>
        <v/>
      </c>
      <c r="AB101" s="265" t="str">
        <f t="shared" si="12"/>
        <v/>
      </c>
      <c r="AC101" s="180"/>
      <c r="AD101" s="181"/>
      <c r="AK101" s="35" t="str">
        <f>IFERROR(INDEX('G-7 Rivers Data'!$AZ$3:$AZ$7,MATCH(C101,'G-7 Rivers Data'!$AY$3:$AY$7,0)),"")</f>
        <v/>
      </c>
    </row>
    <row r="102" spans="2:37" ht="13.8" x14ac:dyDescent="0.25">
      <c r="B102" s="168">
        <v>91</v>
      </c>
      <c r="C102" s="184"/>
      <c r="D102" s="213"/>
      <c r="E102" s="171" t="str">
        <f>IF(C102="","",VLOOKUP(C102,'G-7 Rivers Data'!$B$2:$Z$9,2,FALSE))</f>
        <v/>
      </c>
      <c r="F102" s="172" t="str">
        <f>IFERROR(VLOOKUP(E102,'G-7 Rivers Data'!$C$4:$D$8,2,FALSE),"")</f>
        <v/>
      </c>
      <c r="G102" s="173"/>
      <c r="H102" s="172" t="str">
        <f>IFERROR(INDEX('G-7 Rivers Data'!$H$4:$L$8,MATCH(C102,'G-7 Rivers Data'!$B$4:$B$8,0),MATCH(G102,'G-7 Rivers Data'!$H$3:$L$3,0)),"")</f>
        <v/>
      </c>
      <c r="I102" s="173"/>
      <c r="J102" s="269" t="str">
        <f>IF(I102="","",IF(VLOOKUP(I102,'G-7 Rivers Data'!$AG$4:$AI$9,2,FALSE)=0,"Spatial Data Missing",VLOOKUP(I102,'G-7 Rivers Data'!$AG$4:$AI$9,2,FALSE)))</f>
        <v/>
      </c>
      <c r="K102" s="172" t="str">
        <f>IF(I102="","",IF(VLOOKUP(I102,'G-7 Rivers Data'!$AG$4:$AI$9,3,FALSE)=0,"Spatial Data Missing",VLOOKUP(I102,'G-7 Rivers Data'!$AG$4:$AI$9,3,FALSE)))</f>
        <v/>
      </c>
      <c r="L102" s="384" t="str">
        <f>IFERROR(INDEX('G-7 Rivers Data'!$O$3:$O$7,MATCH(G102,'G-7 Rivers Data'!$N$3:$N$7,0)),"")</f>
        <v/>
      </c>
      <c r="M102" s="82"/>
      <c r="N102" s="261"/>
      <c r="O102" s="179" t="str">
        <f t="shared" si="7"/>
        <v/>
      </c>
      <c r="P102" s="262" t="str">
        <f t="shared" si="8"/>
        <v/>
      </c>
      <c r="Q102" s="382" t="str">
        <f>IFERROR(IF(P102="Check Data","Check Data",VLOOKUP(P102,'G-4 Temporal multipliers'!$A$4:$C$37,3,FALSE)),"")</f>
        <v/>
      </c>
      <c r="R102" s="171" t="str">
        <f>IF(C102="","",VLOOKUP(C102,'G-7 Rivers Data'!$B$4:$G$8,4,FALSE))</f>
        <v/>
      </c>
      <c r="S102" s="179" t="str">
        <f t="shared" si="9"/>
        <v/>
      </c>
      <c r="T102" s="269" t="str">
        <f t="shared" si="10"/>
        <v/>
      </c>
      <c r="U102" s="172" t="str">
        <f t="shared" si="11"/>
        <v/>
      </c>
      <c r="V102" s="79"/>
      <c r="W102" s="172" t="str">
        <f>IF(V102="","",IF(VLOOKUP(V102,'G-7 Rivers Data'!$AA$4:$AB$7,2,FALSE)=0,"Spatial Data Missing",VLOOKUP(V102,'G-7 Rivers Data'!$AA$4:$AB$7,2,FALSE)))</f>
        <v/>
      </c>
      <c r="X102" s="187"/>
      <c r="Y102" s="172" t="str">
        <f>IF(X102="","",IF(VLOOKUP(X102,'G-7 Rivers Data'!$AD$4:$AE$8,2,FALSE)=0,"Enrcoachment Data Missing",VLOOKUP(X102,'G-7 Rivers Data'!$AD$4:$AE$8,2,FALSE)))</f>
        <v/>
      </c>
      <c r="Z102" s="186"/>
      <c r="AA102" s="176" t="str">
        <f>IF(Z102="","",VLOOKUP(Z102,'G-7 Rivers Data'!$AO$4:$AP$7,2,FALSE))</f>
        <v/>
      </c>
      <c r="AB102" s="265" t="str">
        <f t="shared" si="12"/>
        <v/>
      </c>
      <c r="AC102" s="180"/>
      <c r="AD102" s="181"/>
      <c r="AK102" s="35" t="str">
        <f>IFERROR(INDEX('G-7 Rivers Data'!$AZ$3:$AZ$7,MATCH(C102,'G-7 Rivers Data'!$AY$3:$AY$7,0)),"")</f>
        <v/>
      </c>
    </row>
    <row r="103" spans="2:37" ht="13.8" x14ac:dyDescent="0.25">
      <c r="B103" s="168">
        <v>92</v>
      </c>
      <c r="C103" s="184"/>
      <c r="D103" s="213"/>
      <c r="E103" s="171" t="str">
        <f>IF(C103="","",VLOOKUP(C103,'G-7 Rivers Data'!$B$2:$Z$9,2,FALSE))</f>
        <v/>
      </c>
      <c r="F103" s="172" t="str">
        <f>IFERROR(VLOOKUP(E103,'G-7 Rivers Data'!$C$4:$D$8,2,FALSE),"")</f>
        <v/>
      </c>
      <c r="G103" s="173"/>
      <c r="H103" s="172" t="str">
        <f>IFERROR(INDEX('G-7 Rivers Data'!$H$4:$L$8,MATCH(C103,'G-7 Rivers Data'!$B$4:$B$8,0),MATCH(G103,'G-7 Rivers Data'!$H$3:$L$3,0)),"")</f>
        <v/>
      </c>
      <c r="I103" s="173"/>
      <c r="J103" s="269" t="str">
        <f>IF(I103="","",IF(VLOOKUP(I103,'G-7 Rivers Data'!$AG$4:$AI$9,2,FALSE)=0,"Spatial Data Missing",VLOOKUP(I103,'G-7 Rivers Data'!$AG$4:$AI$9,2,FALSE)))</f>
        <v/>
      </c>
      <c r="K103" s="172" t="str">
        <f>IF(I103="","",IF(VLOOKUP(I103,'G-7 Rivers Data'!$AG$4:$AI$9,3,FALSE)=0,"Spatial Data Missing",VLOOKUP(I103,'G-7 Rivers Data'!$AG$4:$AI$9,3,FALSE)))</f>
        <v/>
      </c>
      <c r="L103" s="384" t="str">
        <f>IFERROR(INDEX('G-7 Rivers Data'!$O$3:$O$7,MATCH(G103,'G-7 Rivers Data'!$N$3:$N$7,0)),"")</f>
        <v/>
      </c>
      <c r="M103" s="82"/>
      <c r="N103" s="261"/>
      <c r="O103" s="179" t="str">
        <f t="shared" si="7"/>
        <v/>
      </c>
      <c r="P103" s="262" t="str">
        <f t="shared" si="8"/>
        <v/>
      </c>
      <c r="Q103" s="382" t="str">
        <f>IFERROR(IF(P103="Check Data","Check Data",VLOOKUP(P103,'G-4 Temporal multipliers'!$A$4:$C$37,3,FALSE)),"")</f>
        <v/>
      </c>
      <c r="R103" s="171" t="str">
        <f>IF(C103="","",VLOOKUP(C103,'G-7 Rivers Data'!$B$4:$G$8,4,FALSE))</f>
        <v/>
      </c>
      <c r="S103" s="179" t="str">
        <f t="shared" si="9"/>
        <v/>
      </c>
      <c r="T103" s="269" t="str">
        <f t="shared" si="10"/>
        <v/>
      </c>
      <c r="U103" s="172" t="str">
        <f t="shared" si="11"/>
        <v/>
      </c>
      <c r="V103" s="79"/>
      <c r="W103" s="172" t="str">
        <f>IF(V103="","",IF(VLOOKUP(V103,'G-7 Rivers Data'!$AA$4:$AB$7,2,FALSE)=0,"Spatial Data Missing",VLOOKUP(V103,'G-7 Rivers Data'!$AA$4:$AB$7,2,FALSE)))</f>
        <v/>
      </c>
      <c r="X103" s="187"/>
      <c r="Y103" s="172" t="str">
        <f>IF(X103="","",IF(VLOOKUP(X103,'G-7 Rivers Data'!$AD$4:$AE$8,2,FALSE)=0,"Enrcoachment Data Missing",VLOOKUP(X103,'G-7 Rivers Data'!$AD$4:$AE$8,2,FALSE)))</f>
        <v/>
      </c>
      <c r="Z103" s="186"/>
      <c r="AA103" s="176" t="str">
        <f>IF(Z103="","",VLOOKUP(Z103,'G-7 Rivers Data'!$AO$4:$AP$7,2,FALSE))</f>
        <v/>
      </c>
      <c r="AB103" s="265" t="str">
        <f t="shared" si="12"/>
        <v/>
      </c>
      <c r="AC103" s="180"/>
      <c r="AD103" s="181"/>
      <c r="AK103" s="35" t="str">
        <f>IFERROR(INDEX('G-7 Rivers Data'!$AZ$3:$AZ$7,MATCH(C103,'G-7 Rivers Data'!$AY$3:$AY$7,0)),"")</f>
        <v/>
      </c>
    </row>
    <row r="104" spans="2:37" ht="13.8" x14ac:dyDescent="0.25">
      <c r="B104" s="168">
        <v>93</v>
      </c>
      <c r="C104" s="184"/>
      <c r="D104" s="213"/>
      <c r="E104" s="171" t="str">
        <f>IF(C104="","",VLOOKUP(C104,'G-7 Rivers Data'!$B$2:$Z$9,2,FALSE))</f>
        <v/>
      </c>
      <c r="F104" s="172" t="str">
        <f>IFERROR(VLOOKUP(E104,'G-7 Rivers Data'!$C$4:$D$8,2,FALSE),"")</f>
        <v/>
      </c>
      <c r="G104" s="173"/>
      <c r="H104" s="172" t="str">
        <f>IFERROR(INDEX('G-7 Rivers Data'!$H$4:$L$8,MATCH(C104,'G-7 Rivers Data'!$B$4:$B$8,0),MATCH(G104,'G-7 Rivers Data'!$H$3:$L$3,0)),"")</f>
        <v/>
      </c>
      <c r="I104" s="173"/>
      <c r="J104" s="269" t="str">
        <f>IF(I104="","",IF(VLOOKUP(I104,'G-7 Rivers Data'!$AG$4:$AI$9,2,FALSE)=0,"Spatial Data Missing",VLOOKUP(I104,'G-7 Rivers Data'!$AG$4:$AI$9,2,FALSE)))</f>
        <v/>
      </c>
      <c r="K104" s="172" t="str">
        <f>IF(I104="","",IF(VLOOKUP(I104,'G-7 Rivers Data'!$AG$4:$AI$9,3,FALSE)=0,"Spatial Data Missing",VLOOKUP(I104,'G-7 Rivers Data'!$AG$4:$AI$9,3,FALSE)))</f>
        <v/>
      </c>
      <c r="L104" s="384" t="str">
        <f>IFERROR(INDEX('G-7 Rivers Data'!$O$3:$O$7,MATCH(G104,'G-7 Rivers Data'!$N$3:$N$7,0)),"")</f>
        <v/>
      </c>
      <c r="M104" s="82"/>
      <c r="N104" s="261"/>
      <c r="O104" s="179" t="str">
        <f t="shared" si="7"/>
        <v/>
      </c>
      <c r="P104" s="262" t="str">
        <f t="shared" si="8"/>
        <v/>
      </c>
      <c r="Q104" s="382" t="str">
        <f>IFERROR(IF(P104="Check Data","Check Data",VLOOKUP(P104,'G-4 Temporal multipliers'!$A$4:$C$37,3,FALSE)),"")</f>
        <v/>
      </c>
      <c r="R104" s="171" t="str">
        <f>IF(C104="","",VLOOKUP(C104,'G-7 Rivers Data'!$B$4:$G$8,4,FALSE))</f>
        <v/>
      </c>
      <c r="S104" s="179" t="str">
        <f t="shared" si="9"/>
        <v/>
      </c>
      <c r="T104" s="269" t="str">
        <f t="shared" si="10"/>
        <v/>
      </c>
      <c r="U104" s="172" t="str">
        <f t="shared" si="11"/>
        <v/>
      </c>
      <c r="V104" s="79"/>
      <c r="W104" s="172" t="str">
        <f>IF(V104="","",IF(VLOOKUP(V104,'G-7 Rivers Data'!$AA$4:$AB$7,2,FALSE)=0,"Spatial Data Missing",VLOOKUP(V104,'G-7 Rivers Data'!$AA$4:$AB$7,2,FALSE)))</f>
        <v/>
      </c>
      <c r="X104" s="187"/>
      <c r="Y104" s="172" t="str">
        <f>IF(X104="","",IF(VLOOKUP(X104,'G-7 Rivers Data'!$AD$4:$AE$8,2,FALSE)=0,"Enrcoachment Data Missing",VLOOKUP(X104,'G-7 Rivers Data'!$AD$4:$AE$8,2,FALSE)))</f>
        <v/>
      </c>
      <c r="Z104" s="186"/>
      <c r="AA104" s="176" t="str">
        <f>IF(Z104="","",VLOOKUP(Z104,'G-7 Rivers Data'!$AO$4:$AP$7,2,FALSE))</f>
        <v/>
      </c>
      <c r="AB104" s="265" t="str">
        <f t="shared" si="12"/>
        <v/>
      </c>
      <c r="AC104" s="180"/>
      <c r="AD104" s="181"/>
      <c r="AK104" s="35" t="str">
        <f>IFERROR(INDEX('G-7 Rivers Data'!$AZ$3:$AZ$7,MATCH(C104,'G-7 Rivers Data'!$AY$3:$AY$7,0)),"")</f>
        <v/>
      </c>
    </row>
    <row r="105" spans="2:37" ht="13.8" x14ac:dyDescent="0.25">
      <c r="B105" s="168">
        <v>94</v>
      </c>
      <c r="C105" s="184"/>
      <c r="D105" s="213"/>
      <c r="E105" s="171" t="str">
        <f>IF(C105="","",VLOOKUP(C105,'G-7 Rivers Data'!$B$2:$Z$9,2,FALSE))</f>
        <v/>
      </c>
      <c r="F105" s="172" t="str">
        <f>IFERROR(VLOOKUP(E105,'G-7 Rivers Data'!$C$4:$D$8,2,FALSE),"")</f>
        <v/>
      </c>
      <c r="G105" s="173"/>
      <c r="H105" s="172" t="str">
        <f>IFERROR(INDEX('G-7 Rivers Data'!$H$4:$L$8,MATCH(C105,'G-7 Rivers Data'!$B$4:$B$8,0),MATCH(G105,'G-7 Rivers Data'!$H$3:$L$3,0)),"")</f>
        <v/>
      </c>
      <c r="I105" s="173"/>
      <c r="J105" s="269" t="str">
        <f>IF(I105="","",IF(VLOOKUP(I105,'G-7 Rivers Data'!$AG$4:$AI$9,2,FALSE)=0,"Spatial Data Missing",VLOOKUP(I105,'G-7 Rivers Data'!$AG$4:$AI$9,2,FALSE)))</f>
        <v/>
      </c>
      <c r="K105" s="172" t="str">
        <f>IF(I105="","",IF(VLOOKUP(I105,'G-7 Rivers Data'!$AG$4:$AI$9,3,FALSE)=0,"Spatial Data Missing",VLOOKUP(I105,'G-7 Rivers Data'!$AG$4:$AI$9,3,FALSE)))</f>
        <v/>
      </c>
      <c r="L105" s="384" t="str">
        <f>IFERROR(INDEX('G-7 Rivers Data'!$O$3:$O$7,MATCH(G105,'G-7 Rivers Data'!$N$3:$N$7,0)),"")</f>
        <v/>
      </c>
      <c r="M105" s="82"/>
      <c r="N105" s="261"/>
      <c r="O105" s="179" t="str">
        <f t="shared" si="7"/>
        <v/>
      </c>
      <c r="P105" s="262" t="str">
        <f t="shared" si="8"/>
        <v/>
      </c>
      <c r="Q105" s="382" t="str">
        <f>IFERROR(IF(P105="Check Data","Check Data",VLOOKUP(P105,'G-4 Temporal multipliers'!$A$4:$C$37,3,FALSE)),"")</f>
        <v/>
      </c>
      <c r="R105" s="171" t="str">
        <f>IF(C105="","",VLOOKUP(C105,'G-7 Rivers Data'!$B$4:$G$8,4,FALSE))</f>
        <v/>
      </c>
      <c r="S105" s="179" t="str">
        <f t="shared" si="9"/>
        <v/>
      </c>
      <c r="T105" s="269" t="str">
        <f t="shared" si="10"/>
        <v/>
      </c>
      <c r="U105" s="172" t="str">
        <f t="shared" si="11"/>
        <v/>
      </c>
      <c r="V105" s="79"/>
      <c r="W105" s="172" t="str">
        <f>IF(V105="","",IF(VLOOKUP(V105,'G-7 Rivers Data'!$AA$4:$AB$7,2,FALSE)=0,"Spatial Data Missing",VLOOKUP(V105,'G-7 Rivers Data'!$AA$4:$AB$7,2,FALSE)))</f>
        <v/>
      </c>
      <c r="X105" s="187"/>
      <c r="Y105" s="172" t="str">
        <f>IF(X105="","",IF(VLOOKUP(X105,'G-7 Rivers Data'!$AD$4:$AE$8,2,FALSE)=0,"Enrcoachment Data Missing",VLOOKUP(X105,'G-7 Rivers Data'!$AD$4:$AE$8,2,FALSE)))</f>
        <v/>
      </c>
      <c r="Z105" s="186"/>
      <c r="AA105" s="176" t="str">
        <f>IF(Z105="","",VLOOKUP(Z105,'G-7 Rivers Data'!$AO$4:$AP$7,2,FALSE))</f>
        <v/>
      </c>
      <c r="AB105" s="265" t="str">
        <f t="shared" si="12"/>
        <v/>
      </c>
      <c r="AC105" s="180"/>
      <c r="AD105" s="181"/>
      <c r="AK105" s="35" t="str">
        <f>IFERROR(INDEX('G-7 Rivers Data'!$AZ$3:$AZ$7,MATCH(C105,'G-7 Rivers Data'!$AY$3:$AY$7,0)),"")</f>
        <v/>
      </c>
    </row>
    <row r="106" spans="2:37" ht="13.8" x14ac:dyDescent="0.25">
      <c r="B106" s="168">
        <v>95</v>
      </c>
      <c r="C106" s="184"/>
      <c r="D106" s="213"/>
      <c r="E106" s="171" t="str">
        <f>IF(C106="","",VLOOKUP(C106,'G-7 Rivers Data'!$B$2:$Z$9,2,FALSE))</f>
        <v/>
      </c>
      <c r="F106" s="172" t="str">
        <f>IFERROR(VLOOKUP(E106,'G-7 Rivers Data'!$C$4:$D$8,2,FALSE),"")</f>
        <v/>
      </c>
      <c r="G106" s="173"/>
      <c r="H106" s="172" t="str">
        <f>IFERROR(INDEX('G-7 Rivers Data'!$H$4:$L$8,MATCH(C106,'G-7 Rivers Data'!$B$4:$B$8,0),MATCH(G106,'G-7 Rivers Data'!$H$3:$L$3,0)),"")</f>
        <v/>
      </c>
      <c r="I106" s="173"/>
      <c r="J106" s="269" t="str">
        <f>IF(I106="","",IF(VLOOKUP(I106,'G-7 Rivers Data'!$AG$4:$AI$9,2,FALSE)=0,"Spatial Data Missing",VLOOKUP(I106,'G-7 Rivers Data'!$AG$4:$AI$9,2,FALSE)))</f>
        <v/>
      </c>
      <c r="K106" s="172" t="str">
        <f>IF(I106="","",IF(VLOOKUP(I106,'G-7 Rivers Data'!$AG$4:$AI$9,3,FALSE)=0,"Spatial Data Missing",VLOOKUP(I106,'G-7 Rivers Data'!$AG$4:$AI$9,3,FALSE)))</f>
        <v/>
      </c>
      <c r="L106" s="384" t="str">
        <f>IFERROR(INDEX('G-7 Rivers Data'!$O$3:$O$7,MATCH(G106,'G-7 Rivers Data'!$N$3:$N$7,0)),"")</f>
        <v/>
      </c>
      <c r="M106" s="82"/>
      <c r="N106" s="261"/>
      <c r="O106" s="179" t="str">
        <f t="shared" si="7"/>
        <v/>
      </c>
      <c r="P106" s="262" t="str">
        <f t="shared" si="8"/>
        <v/>
      </c>
      <c r="Q106" s="382" t="str">
        <f>IFERROR(IF(P106="Check Data","Check Data",VLOOKUP(P106,'G-4 Temporal multipliers'!$A$4:$C$37,3,FALSE)),"")</f>
        <v/>
      </c>
      <c r="R106" s="171" t="str">
        <f>IF(C106="","",VLOOKUP(C106,'G-7 Rivers Data'!$B$4:$G$8,4,FALSE))</f>
        <v/>
      </c>
      <c r="S106" s="179" t="str">
        <f t="shared" si="9"/>
        <v/>
      </c>
      <c r="T106" s="269" t="str">
        <f t="shared" si="10"/>
        <v/>
      </c>
      <c r="U106" s="172" t="str">
        <f t="shared" si="11"/>
        <v/>
      </c>
      <c r="V106" s="79"/>
      <c r="W106" s="172" t="str">
        <f>IF(V106="","",IF(VLOOKUP(V106,'G-7 Rivers Data'!$AA$4:$AB$7,2,FALSE)=0,"Spatial Data Missing",VLOOKUP(V106,'G-7 Rivers Data'!$AA$4:$AB$7,2,FALSE)))</f>
        <v/>
      </c>
      <c r="X106" s="187"/>
      <c r="Y106" s="172" t="str">
        <f>IF(X106="","",IF(VLOOKUP(X106,'G-7 Rivers Data'!$AD$4:$AE$8,2,FALSE)=0,"Enrcoachment Data Missing",VLOOKUP(X106,'G-7 Rivers Data'!$AD$4:$AE$8,2,FALSE)))</f>
        <v/>
      </c>
      <c r="Z106" s="186"/>
      <c r="AA106" s="176" t="str">
        <f>IF(Z106="","",VLOOKUP(Z106,'G-7 Rivers Data'!$AO$4:$AP$7,2,FALSE))</f>
        <v/>
      </c>
      <c r="AB106" s="265" t="str">
        <f t="shared" si="12"/>
        <v/>
      </c>
      <c r="AC106" s="180"/>
      <c r="AD106" s="181"/>
      <c r="AK106" s="35" t="str">
        <f>IFERROR(INDEX('G-7 Rivers Data'!$AZ$3:$AZ$7,MATCH(C106,'G-7 Rivers Data'!$AY$3:$AY$7,0)),"")</f>
        <v/>
      </c>
    </row>
    <row r="107" spans="2:37" ht="13.8" x14ac:dyDescent="0.25">
      <c r="B107" s="168">
        <v>96</v>
      </c>
      <c r="C107" s="184"/>
      <c r="D107" s="213"/>
      <c r="E107" s="171" t="str">
        <f>IF(C107="","",VLOOKUP(C107,'G-7 Rivers Data'!$B$2:$Z$9,2,FALSE))</f>
        <v/>
      </c>
      <c r="F107" s="172" t="str">
        <f>IFERROR(VLOOKUP(E107,'G-7 Rivers Data'!$C$4:$D$8,2,FALSE),"")</f>
        <v/>
      </c>
      <c r="G107" s="173"/>
      <c r="H107" s="172" t="str">
        <f>IFERROR(INDEX('G-7 Rivers Data'!$H$4:$L$8,MATCH(C107,'G-7 Rivers Data'!$B$4:$B$8,0),MATCH(G107,'G-7 Rivers Data'!$H$3:$L$3,0)),"")</f>
        <v/>
      </c>
      <c r="I107" s="173"/>
      <c r="J107" s="269" t="str">
        <f>IF(I107="","",IF(VLOOKUP(I107,'G-7 Rivers Data'!$AG$4:$AI$9,2,FALSE)=0,"Spatial Data Missing",VLOOKUP(I107,'G-7 Rivers Data'!$AG$4:$AI$9,2,FALSE)))</f>
        <v/>
      </c>
      <c r="K107" s="172" t="str">
        <f>IF(I107="","",IF(VLOOKUP(I107,'G-7 Rivers Data'!$AG$4:$AI$9,3,FALSE)=0,"Spatial Data Missing",VLOOKUP(I107,'G-7 Rivers Data'!$AG$4:$AI$9,3,FALSE)))</f>
        <v/>
      </c>
      <c r="L107" s="384" t="str">
        <f>IFERROR(INDEX('G-7 Rivers Data'!$O$3:$O$7,MATCH(G107,'G-7 Rivers Data'!$N$3:$N$7,0)),"")</f>
        <v/>
      </c>
      <c r="M107" s="82"/>
      <c r="N107" s="261"/>
      <c r="O107" s="179" t="str">
        <f t="shared" si="7"/>
        <v/>
      </c>
      <c r="P107" s="262" t="str">
        <f t="shared" si="8"/>
        <v/>
      </c>
      <c r="Q107" s="382" t="str">
        <f>IFERROR(IF(P107="Check Data","Check Data",VLOOKUP(P107,'G-4 Temporal multipliers'!$A$4:$C$37,3,FALSE)),"")</f>
        <v/>
      </c>
      <c r="R107" s="171" t="str">
        <f>IF(C107="","",VLOOKUP(C107,'G-7 Rivers Data'!$B$4:$G$8,4,FALSE))</f>
        <v/>
      </c>
      <c r="S107" s="179" t="str">
        <f t="shared" si="9"/>
        <v/>
      </c>
      <c r="T107" s="269" t="str">
        <f t="shared" si="10"/>
        <v/>
      </c>
      <c r="U107" s="172" t="str">
        <f t="shared" si="11"/>
        <v/>
      </c>
      <c r="V107" s="79"/>
      <c r="W107" s="172" t="str">
        <f>IF(V107="","",IF(VLOOKUP(V107,'G-7 Rivers Data'!$AA$4:$AB$7,2,FALSE)=0,"Spatial Data Missing",VLOOKUP(V107,'G-7 Rivers Data'!$AA$4:$AB$7,2,FALSE)))</f>
        <v/>
      </c>
      <c r="X107" s="187"/>
      <c r="Y107" s="172" t="str">
        <f>IF(X107="","",IF(VLOOKUP(X107,'G-7 Rivers Data'!$AD$4:$AE$8,2,FALSE)=0,"Enrcoachment Data Missing",VLOOKUP(X107,'G-7 Rivers Data'!$AD$4:$AE$8,2,FALSE)))</f>
        <v/>
      </c>
      <c r="Z107" s="186"/>
      <c r="AA107" s="176" t="str">
        <f>IF(Z107="","",VLOOKUP(Z107,'G-7 Rivers Data'!$AO$4:$AP$7,2,FALSE))</f>
        <v/>
      </c>
      <c r="AB107" s="265" t="str">
        <f t="shared" si="12"/>
        <v/>
      </c>
      <c r="AC107" s="180"/>
      <c r="AD107" s="181"/>
      <c r="AK107" s="35" t="str">
        <f>IFERROR(INDEX('G-7 Rivers Data'!$AZ$3:$AZ$7,MATCH(C107,'G-7 Rivers Data'!$AY$3:$AY$7,0)),"")</f>
        <v/>
      </c>
    </row>
    <row r="108" spans="2:37" ht="13.8" x14ac:dyDescent="0.25">
      <c r="B108" s="168">
        <v>97</v>
      </c>
      <c r="C108" s="184"/>
      <c r="D108" s="213"/>
      <c r="E108" s="171" t="str">
        <f>IF(C108="","",VLOOKUP(C108,'G-7 Rivers Data'!$B$2:$Z$9,2,FALSE))</f>
        <v/>
      </c>
      <c r="F108" s="172" t="str">
        <f>IFERROR(VLOOKUP(E108,'G-7 Rivers Data'!$C$4:$D$8,2,FALSE),"")</f>
        <v/>
      </c>
      <c r="G108" s="173"/>
      <c r="H108" s="172" t="str">
        <f>IFERROR(INDEX('G-7 Rivers Data'!$H$4:$L$8,MATCH(C108,'G-7 Rivers Data'!$B$4:$B$8,0),MATCH(G108,'G-7 Rivers Data'!$H$3:$L$3,0)),"")</f>
        <v/>
      </c>
      <c r="I108" s="173"/>
      <c r="J108" s="269" t="str">
        <f>IF(I108="","",IF(VLOOKUP(I108,'G-7 Rivers Data'!$AG$4:$AI$9,2,FALSE)=0,"Spatial Data Missing",VLOOKUP(I108,'G-7 Rivers Data'!$AG$4:$AI$9,2,FALSE)))</f>
        <v/>
      </c>
      <c r="K108" s="172" t="str">
        <f>IF(I108="","",IF(VLOOKUP(I108,'G-7 Rivers Data'!$AG$4:$AI$9,3,FALSE)=0,"Spatial Data Missing",VLOOKUP(I108,'G-7 Rivers Data'!$AG$4:$AI$9,3,FALSE)))</f>
        <v/>
      </c>
      <c r="L108" s="384" t="str">
        <f>IFERROR(INDEX('G-7 Rivers Data'!$O$3:$O$7,MATCH(G108,'G-7 Rivers Data'!$N$3:$N$7,0)),"")</f>
        <v/>
      </c>
      <c r="M108" s="82"/>
      <c r="N108" s="261"/>
      <c r="O108" s="179" t="str">
        <f t="shared" si="7"/>
        <v/>
      </c>
      <c r="P108" s="262" t="str">
        <f t="shared" si="8"/>
        <v/>
      </c>
      <c r="Q108" s="382" t="str">
        <f>IFERROR(IF(P108="Check Data","Check Data",VLOOKUP(P108,'G-4 Temporal multipliers'!$A$4:$C$37,3,FALSE)),"")</f>
        <v/>
      </c>
      <c r="R108" s="171" t="str">
        <f>IF(C108="","",VLOOKUP(C108,'G-7 Rivers Data'!$B$4:$G$8,4,FALSE))</f>
        <v/>
      </c>
      <c r="S108" s="179" t="str">
        <f t="shared" si="9"/>
        <v/>
      </c>
      <c r="T108" s="269" t="str">
        <f t="shared" si="10"/>
        <v/>
      </c>
      <c r="U108" s="172" t="str">
        <f t="shared" si="11"/>
        <v/>
      </c>
      <c r="V108" s="79"/>
      <c r="W108" s="172" t="str">
        <f>IF(V108="","",IF(VLOOKUP(V108,'G-7 Rivers Data'!$AA$4:$AB$7,2,FALSE)=0,"Spatial Data Missing",VLOOKUP(V108,'G-7 Rivers Data'!$AA$4:$AB$7,2,FALSE)))</f>
        <v/>
      </c>
      <c r="X108" s="187"/>
      <c r="Y108" s="172" t="str">
        <f>IF(X108="","",IF(VLOOKUP(X108,'G-7 Rivers Data'!$AD$4:$AE$8,2,FALSE)=0,"Enrcoachment Data Missing",VLOOKUP(X108,'G-7 Rivers Data'!$AD$4:$AE$8,2,FALSE)))</f>
        <v/>
      </c>
      <c r="Z108" s="186"/>
      <c r="AA108" s="176" t="str">
        <f>IF(Z108="","",VLOOKUP(Z108,'G-7 Rivers Data'!$AO$4:$AP$7,2,FALSE))</f>
        <v/>
      </c>
      <c r="AB108" s="265" t="str">
        <f t="shared" si="12"/>
        <v/>
      </c>
      <c r="AC108" s="180"/>
      <c r="AD108" s="181"/>
      <c r="AK108" s="35" t="str">
        <f>IFERROR(INDEX('G-7 Rivers Data'!$AZ$3:$AZ$7,MATCH(C108,'G-7 Rivers Data'!$AY$3:$AY$7,0)),"")</f>
        <v/>
      </c>
    </row>
    <row r="109" spans="2:37" ht="13.8" x14ac:dyDescent="0.25">
      <c r="B109" s="168">
        <v>98</v>
      </c>
      <c r="C109" s="184"/>
      <c r="D109" s="213"/>
      <c r="E109" s="171" t="str">
        <f>IF(C109="","",VLOOKUP(C109,'G-7 Rivers Data'!$B$2:$Z$9,2,FALSE))</f>
        <v/>
      </c>
      <c r="F109" s="172" t="str">
        <f>IFERROR(VLOOKUP(E109,'G-7 Rivers Data'!$C$4:$D$8,2,FALSE),"")</f>
        <v/>
      </c>
      <c r="G109" s="173"/>
      <c r="H109" s="172" t="str">
        <f>IFERROR(INDEX('G-7 Rivers Data'!$H$4:$L$8,MATCH(C109,'G-7 Rivers Data'!$B$4:$B$8,0),MATCH(G109,'G-7 Rivers Data'!$H$3:$L$3,0)),"")</f>
        <v/>
      </c>
      <c r="I109" s="173"/>
      <c r="J109" s="269" t="str">
        <f>IF(I109="","",IF(VLOOKUP(I109,'G-7 Rivers Data'!$AG$4:$AI$9,2,FALSE)=0,"Spatial Data Missing",VLOOKUP(I109,'G-7 Rivers Data'!$AG$4:$AI$9,2,FALSE)))</f>
        <v/>
      </c>
      <c r="K109" s="172" t="str">
        <f>IF(I109="","",IF(VLOOKUP(I109,'G-7 Rivers Data'!$AG$4:$AI$9,3,FALSE)=0,"Spatial Data Missing",VLOOKUP(I109,'G-7 Rivers Data'!$AG$4:$AI$9,3,FALSE)))</f>
        <v/>
      </c>
      <c r="L109" s="384" t="str">
        <f>IFERROR(INDEX('G-7 Rivers Data'!$O$3:$O$7,MATCH(G109,'G-7 Rivers Data'!$N$3:$N$7,0)),"")</f>
        <v/>
      </c>
      <c r="M109" s="82"/>
      <c r="N109" s="261"/>
      <c r="O109" s="179" t="str">
        <f t="shared" si="7"/>
        <v/>
      </c>
      <c r="P109" s="262" t="str">
        <f t="shared" si="8"/>
        <v/>
      </c>
      <c r="Q109" s="382" t="str">
        <f>IFERROR(IF(P109="Check Data","Check Data",VLOOKUP(P109,'G-4 Temporal multipliers'!$A$4:$C$37,3,FALSE)),"")</f>
        <v/>
      </c>
      <c r="R109" s="171" t="str">
        <f>IF(C109="","",VLOOKUP(C109,'G-7 Rivers Data'!$B$4:$G$8,4,FALSE))</f>
        <v/>
      </c>
      <c r="S109" s="179" t="str">
        <f t="shared" si="9"/>
        <v/>
      </c>
      <c r="T109" s="269" t="str">
        <f t="shared" si="10"/>
        <v/>
      </c>
      <c r="U109" s="172" t="str">
        <f t="shared" si="11"/>
        <v/>
      </c>
      <c r="V109" s="79"/>
      <c r="W109" s="172" t="str">
        <f>IF(V109="","",IF(VLOOKUP(V109,'G-7 Rivers Data'!$AA$4:$AB$7,2,FALSE)=0,"Spatial Data Missing",VLOOKUP(V109,'G-7 Rivers Data'!$AA$4:$AB$7,2,FALSE)))</f>
        <v/>
      </c>
      <c r="X109" s="187"/>
      <c r="Y109" s="172" t="str">
        <f>IF(X109="","",IF(VLOOKUP(X109,'G-7 Rivers Data'!$AD$4:$AE$8,2,FALSE)=0,"Enrcoachment Data Missing",VLOOKUP(X109,'G-7 Rivers Data'!$AD$4:$AE$8,2,FALSE)))</f>
        <v/>
      </c>
      <c r="Z109" s="186"/>
      <c r="AA109" s="176" t="str">
        <f>IF(Z109="","",VLOOKUP(Z109,'G-7 Rivers Data'!$AO$4:$AP$7,2,FALSE))</f>
        <v/>
      </c>
      <c r="AB109" s="265" t="str">
        <f t="shared" si="12"/>
        <v/>
      </c>
      <c r="AC109" s="180"/>
      <c r="AD109" s="181"/>
      <c r="AK109" s="35" t="str">
        <f>IFERROR(INDEX('G-7 Rivers Data'!$AZ$3:$AZ$7,MATCH(C109,'G-7 Rivers Data'!$AY$3:$AY$7,0)),"")</f>
        <v/>
      </c>
    </row>
    <row r="110" spans="2:37" ht="13.8" x14ac:dyDescent="0.25">
      <c r="B110" s="168">
        <v>99</v>
      </c>
      <c r="C110" s="184"/>
      <c r="D110" s="213"/>
      <c r="E110" s="171" t="str">
        <f>IF(C110="","",VLOOKUP(C110,'G-7 Rivers Data'!$B$2:$Z$9,2,FALSE))</f>
        <v/>
      </c>
      <c r="F110" s="172" t="str">
        <f>IFERROR(VLOOKUP(E110,'G-7 Rivers Data'!$C$4:$D$8,2,FALSE),"")</f>
        <v/>
      </c>
      <c r="G110" s="173"/>
      <c r="H110" s="172" t="str">
        <f>IFERROR(INDEX('G-7 Rivers Data'!$H$4:$L$8,MATCH(C110,'G-7 Rivers Data'!$B$4:$B$8,0),MATCH(G110,'G-7 Rivers Data'!$H$3:$L$3,0)),"")</f>
        <v/>
      </c>
      <c r="I110" s="173"/>
      <c r="J110" s="269" t="str">
        <f>IF(I110="","",IF(VLOOKUP(I110,'G-7 Rivers Data'!$AG$4:$AI$9,2,FALSE)=0,"Spatial Data Missing",VLOOKUP(I110,'G-7 Rivers Data'!$AG$4:$AI$9,2,FALSE)))</f>
        <v/>
      </c>
      <c r="K110" s="172" t="str">
        <f>IF(I110="","",IF(VLOOKUP(I110,'G-7 Rivers Data'!$AG$4:$AI$9,3,FALSE)=0,"Spatial Data Missing",VLOOKUP(I110,'G-7 Rivers Data'!$AG$4:$AI$9,3,FALSE)))</f>
        <v/>
      </c>
      <c r="L110" s="384" t="str">
        <f>IFERROR(INDEX('G-7 Rivers Data'!$O$3:$O$7,MATCH(G110,'G-7 Rivers Data'!$N$3:$N$7,0)),"")</f>
        <v/>
      </c>
      <c r="M110" s="82"/>
      <c r="N110" s="261"/>
      <c r="O110" s="179" t="str">
        <f t="shared" si="7"/>
        <v/>
      </c>
      <c r="P110" s="262" t="str">
        <f t="shared" si="8"/>
        <v/>
      </c>
      <c r="Q110" s="382" t="str">
        <f>IFERROR(IF(P110="Check Data","Check Data",VLOOKUP(P110,'G-4 Temporal multipliers'!$A$4:$C$37,3,FALSE)),"")</f>
        <v/>
      </c>
      <c r="R110" s="171" t="str">
        <f>IF(C110="","",VLOOKUP(C110,'G-7 Rivers Data'!$B$4:$G$8,4,FALSE))</f>
        <v/>
      </c>
      <c r="S110" s="179" t="str">
        <f t="shared" si="9"/>
        <v/>
      </c>
      <c r="T110" s="269" t="str">
        <f t="shared" si="10"/>
        <v/>
      </c>
      <c r="U110" s="172" t="str">
        <f t="shared" si="11"/>
        <v/>
      </c>
      <c r="V110" s="79"/>
      <c r="W110" s="172" t="str">
        <f>IF(V110="","",IF(VLOOKUP(V110,'G-7 Rivers Data'!$AA$4:$AB$7,2,FALSE)=0,"Spatial Data Missing",VLOOKUP(V110,'G-7 Rivers Data'!$AA$4:$AB$7,2,FALSE)))</f>
        <v/>
      </c>
      <c r="X110" s="187"/>
      <c r="Y110" s="172" t="str">
        <f>IF(X110="","",IF(VLOOKUP(X110,'G-7 Rivers Data'!$AD$4:$AE$8,2,FALSE)=0,"Enrcoachment Data Missing",VLOOKUP(X110,'G-7 Rivers Data'!$AD$4:$AE$8,2,FALSE)))</f>
        <v/>
      </c>
      <c r="Z110" s="186"/>
      <c r="AA110" s="176" t="str">
        <f>IF(Z110="","",VLOOKUP(Z110,'G-7 Rivers Data'!$AO$4:$AP$7,2,FALSE))</f>
        <v/>
      </c>
      <c r="AB110" s="265" t="str">
        <f t="shared" si="12"/>
        <v/>
      </c>
      <c r="AC110" s="180"/>
      <c r="AD110" s="181"/>
      <c r="AK110" s="35" t="str">
        <f>IFERROR(INDEX('G-7 Rivers Data'!$AZ$3:$AZ$7,MATCH(C110,'G-7 Rivers Data'!$AY$3:$AY$7,0)),"")</f>
        <v/>
      </c>
    </row>
    <row r="111" spans="2:37" ht="13.8" x14ac:dyDescent="0.25">
      <c r="B111" s="168">
        <v>100</v>
      </c>
      <c r="C111" s="184"/>
      <c r="D111" s="213"/>
      <c r="E111" s="171" t="str">
        <f>IF(C111="","",VLOOKUP(C111,'G-7 Rivers Data'!$B$2:$Z$9,2,FALSE))</f>
        <v/>
      </c>
      <c r="F111" s="172" t="str">
        <f>IFERROR(VLOOKUP(E111,'G-7 Rivers Data'!$C$4:$D$8,2,FALSE),"")</f>
        <v/>
      </c>
      <c r="G111" s="173"/>
      <c r="H111" s="172" t="str">
        <f>IFERROR(INDEX('G-7 Rivers Data'!$H$4:$L$8,MATCH(C111,'G-7 Rivers Data'!$B$4:$B$8,0),MATCH(G111,'G-7 Rivers Data'!$H$3:$L$3,0)),"")</f>
        <v/>
      </c>
      <c r="I111" s="173"/>
      <c r="J111" s="269" t="str">
        <f>IF(I111="","",IF(VLOOKUP(I111,'G-7 Rivers Data'!$AG$4:$AI$9,2,FALSE)=0,"Spatial Data Missing",VLOOKUP(I111,'G-7 Rivers Data'!$AG$4:$AI$9,2,FALSE)))</f>
        <v/>
      </c>
      <c r="K111" s="172" t="str">
        <f>IF(I111="","",IF(VLOOKUP(I111,'G-7 Rivers Data'!$AG$4:$AI$9,3,FALSE)=0,"Spatial Data Missing",VLOOKUP(I111,'G-7 Rivers Data'!$AG$4:$AI$9,3,FALSE)))</f>
        <v/>
      </c>
      <c r="L111" s="384" t="str">
        <f>IFERROR(INDEX('G-7 Rivers Data'!$O$3:$O$7,MATCH(G111,'G-7 Rivers Data'!$N$3:$N$7,0)),"")</f>
        <v/>
      </c>
      <c r="M111" s="82"/>
      <c r="N111" s="261"/>
      <c r="O111" s="179" t="str">
        <f t="shared" si="7"/>
        <v/>
      </c>
      <c r="P111" s="262" t="str">
        <f t="shared" si="8"/>
        <v/>
      </c>
      <c r="Q111" s="382" t="str">
        <f>IFERROR(IF(P111="Check Data","Check Data",VLOOKUP(P111,'G-4 Temporal multipliers'!$A$4:$C$37,3,FALSE)),"")</f>
        <v/>
      </c>
      <c r="R111" s="171" t="str">
        <f>IF(C111="","",VLOOKUP(C111,'G-7 Rivers Data'!$B$4:$G$8,4,FALSE))</f>
        <v/>
      </c>
      <c r="S111" s="179" t="str">
        <f t="shared" si="9"/>
        <v/>
      </c>
      <c r="T111" s="269" t="str">
        <f t="shared" si="10"/>
        <v/>
      </c>
      <c r="U111" s="172" t="str">
        <f t="shared" si="11"/>
        <v/>
      </c>
      <c r="V111" s="79"/>
      <c r="W111" s="172" t="str">
        <f>IF(V111="","",IF(VLOOKUP(V111,'G-7 Rivers Data'!$AA$4:$AB$7,2,FALSE)=0,"Spatial Data Missing",VLOOKUP(V111,'G-7 Rivers Data'!$AA$4:$AB$7,2,FALSE)))</f>
        <v/>
      </c>
      <c r="X111" s="187"/>
      <c r="Y111" s="172" t="str">
        <f>IF(X111="","",IF(VLOOKUP(X111,'G-7 Rivers Data'!$AD$4:$AE$8,2,FALSE)=0,"Enrcoachment Data Missing",VLOOKUP(X111,'G-7 Rivers Data'!$AD$4:$AE$8,2,FALSE)))</f>
        <v/>
      </c>
      <c r="Z111" s="186"/>
      <c r="AA111" s="176" t="str">
        <f>IF(Z111="","",VLOOKUP(Z111,'G-7 Rivers Data'!$AO$4:$AP$7,2,FALSE))</f>
        <v/>
      </c>
      <c r="AB111" s="265" t="str">
        <f t="shared" si="12"/>
        <v/>
      </c>
      <c r="AC111" s="180"/>
      <c r="AD111" s="181"/>
      <c r="AK111" s="35" t="str">
        <f>IFERROR(INDEX('G-7 Rivers Data'!$AZ$3:$AZ$7,MATCH(C111,'G-7 Rivers Data'!$AY$3:$AY$7,0)),"")</f>
        <v/>
      </c>
    </row>
    <row r="112" spans="2:37" ht="13.8" x14ac:dyDescent="0.25">
      <c r="B112" s="168">
        <v>101</v>
      </c>
      <c r="C112" s="184"/>
      <c r="D112" s="213"/>
      <c r="E112" s="171" t="str">
        <f>IF(C112="","",VLOOKUP(C112,'G-7 Rivers Data'!$B$2:$Z$9,2,FALSE))</f>
        <v/>
      </c>
      <c r="F112" s="172" t="str">
        <f>IFERROR(VLOOKUP(E112,'G-7 Rivers Data'!$C$4:$D$8,2,FALSE),"")</f>
        <v/>
      </c>
      <c r="G112" s="173"/>
      <c r="H112" s="172" t="str">
        <f>IFERROR(INDEX('G-7 Rivers Data'!$H$4:$L$8,MATCH(C112,'G-7 Rivers Data'!$B$4:$B$8,0),MATCH(G112,'G-7 Rivers Data'!$H$3:$L$3,0)),"")</f>
        <v/>
      </c>
      <c r="I112" s="173"/>
      <c r="J112" s="269" t="str">
        <f>IF(I112="","",IF(VLOOKUP(I112,'G-7 Rivers Data'!$AG$4:$AI$9,2,FALSE)=0,"Spatial Data Missing",VLOOKUP(I112,'G-7 Rivers Data'!$AG$4:$AI$9,2,FALSE)))</f>
        <v/>
      </c>
      <c r="K112" s="172" t="str">
        <f>IF(I112="","",IF(VLOOKUP(I112,'G-7 Rivers Data'!$AG$4:$AI$9,3,FALSE)=0,"Spatial Data Missing",VLOOKUP(I112,'G-7 Rivers Data'!$AG$4:$AI$9,3,FALSE)))</f>
        <v/>
      </c>
      <c r="L112" s="384" t="str">
        <f>IFERROR(INDEX('G-7 Rivers Data'!$O$3:$O$7,MATCH(G112,'G-7 Rivers Data'!$N$3:$N$7,0)),"")</f>
        <v/>
      </c>
      <c r="M112" s="82"/>
      <c r="N112" s="261"/>
      <c r="O112" s="179" t="str">
        <f t="shared" si="7"/>
        <v/>
      </c>
      <c r="P112" s="262" t="str">
        <f t="shared" si="8"/>
        <v/>
      </c>
      <c r="Q112" s="382" t="str">
        <f>IFERROR(IF(P112="Check Data","Check Data",VLOOKUP(P112,'G-4 Temporal multipliers'!$A$4:$C$37,3,FALSE)),"")</f>
        <v/>
      </c>
      <c r="R112" s="171" t="str">
        <f>IF(C112="","",VLOOKUP(C112,'G-7 Rivers Data'!$B$4:$G$8,4,FALSE))</f>
        <v/>
      </c>
      <c r="S112" s="179" t="str">
        <f t="shared" si="9"/>
        <v/>
      </c>
      <c r="T112" s="269" t="str">
        <f t="shared" si="10"/>
        <v/>
      </c>
      <c r="U112" s="172" t="str">
        <f t="shared" si="11"/>
        <v/>
      </c>
      <c r="V112" s="79"/>
      <c r="W112" s="172" t="str">
        <f>IF(V112="","",IF(VLOOKUP(V112,'G-7 Rivers Data'!$AA$4:$AB$7,2,FALSE)=0,"Spatial Data Missing",VLOOKUP(V112,'G-7 Rivers Data'!$AA$4:$AB$7,2,FALSE)))</f>
        <v/>
      </c>
      <c r="X112" s="187"/>
      <c r="Y112" s="172" t="str">
        <f>IF(X112="","",IF(VLOOKUP(X112,'G-7 Rivers Data'!$AD$4:$AE$8,2,FALSE)=0,"Enrcoachment Data Missing",VLOOKUP(X112,'G-7 Rivers Data'!$AD$4:$AE$8,2,FALSE)))</f>
        <v/>
      </c>
      <c r="Z112" s="186"/>
      <c r="AA112" s="176" t="str">
        <f>IF(Z112="","",VLOOKUP(Z112,'G-7 Rivers Data'!$AO$4:$AP$7,2,FALSE))</f>
        <v/>
      </c>
      <c r="AB112" s="265" t="str">
        <f t="shared" si="12"/>
        <v/>
      </c>
      <c r="AC112" s="180"/>
      <c r="AD112" s="181"/>
      <c r="AK112" s="35" t="str">
        <f>IFERROR(INDEX('G-7 Rivers Data'!$AZ$3:$AZ$7,MATCH(C112,'G-7 Rivers Data'!$AY$3:$AY$7,0)),"")</f>
        <v/>
      </c>
    </row>
    <row r="113" spans="2:37" ht="13.8" x14ac:dyDescent="0.25">
      <c r="B113" s="168">
        <v>102</v>
      </c>
      <c r="C113" s="184"/>
      <c r="D113" s="213"/>
      <c r="E113" s="171" t="str">
        <f>IF(C113="","",VLOOKUP(C113,'G-7 Rivers Data'!$B$2:$Z$9,2,FALSE))</f>
        <v/>
      </c>
      <c r="F113" s="172" t="str">
        <f>IFERROR(VLOOKUP(E113,'G-7 Rivers Data'!$C$4:$D$8,2,FALSE),"")</f>
        <v/>
      </c>
      <c r="G113" s="173"/>
      <c r="H113" s="172" t="str">
        <f>IFERROR(INDEX('G-7 Rivers Data'!$H$4:$L$8,MATCH(C113,'G-7 Rivers Data'!$B$4:$B$8,0),MATCH(G113,'G-7 Rivers Data'!$H$3:$L$3,0)),"")</f>
        <v/>
      </c>
      <c r="I113" s="173"/>
      <c r="J113" s="269" t="str">
        <f>IF(I113="","",IF(VLOOKUP(I113,'G-7 Rivers Data'!$AG$4:$AI$9,2,FALSE)=0,"Spatial Data Missing",VLOOKUP(I113,'G-7 Rivers Data'!$AG$4:$AI$9,2,FALSE)))</f>
        <v/>
      </c>
      <c r="K113" s="172" t="str">
        <f>IF(I113="","",IF(VLOOKUP(I113,'G-7 Rivers Data'!$AG$4:$AI$9,3,FALSE)=0,"Spatial Data Missing",VLOOKUP(I113,'G-7 Rivers Data'!$AG$4:$AI$9,3,FALSE)))</f>
        <v/>
      </c>
      <c r="L113" s="384" t="str">
        <f>IFERROR(INDEX('G-7 Rivers Data'!$O$3:$O$7,MATCH(G113,'G-7 Rivers Data'!$N$3:$N$7,0)),"")</f>
        <v/>
      </c>
      <c r="M113" s="82"/>
      <c r="N113" s="261"/>
      <c r="O113" s="179" t="str">
        <f t="shared" si="7"/>
        <v/>
      </c>
      <c r="P113" s="262" t="str">
        <f t="shared" si="8"/>
        <v/>
      </c>
      <c r="Q113" s="382" t="str">
        <f>IFERROR(IF(P113="Check Data","Check Data",VLOOKUP(P113,'G-4 Temporal multipliers'!$A$4:$C$37,3,FALSE)),"")</f>
        <v/>
      </c>
      <c r="R113" s="171" t="str">
        <f>IF(C113="","",VLOOKUP(C113,'G-7 Rivers Data'!$B$4:$G$8,4,FALSE))</f>
        <v/>
      </c>
      <c r="S113" s="179" t="str">
        <f t="shared" si="9"/>
        <v/>
      </c>
      <c r="T113" s="269" t="str">
        <f t="shared" si="10"/>
        <v/>
      </c>
      <c r="U113" s="172" t="str">
        <f t="shared" si="11"/>
        <v/>
      </c>
      <c r="V113" s="79"/>
      <c r="W113" s="172" t="str">
        <f>IF(V113="","",IF(VLOOKUP(V113,'G-7 Rivers Data'!$AA$4:$AB$7,2,FALSE)=0,"Spatial Data Missing",VLOOKUP(V113,'G-7 Rivers Data'!$AA$4:$AB$7,2,FALSE)))</f>
        <v/>
      </c>
      <c r="X113" s="187"/>
      <c r="Y113" s="172" t="str">
        <f>IF(X113="","",IF(VLOOKUP(X113,'G-7 Rivers Data'!$AD$4:$AE$8,2,FALSE)=0,"Enrcoachment Data Missing",VLOOKUP(X113,'G-7 Rivers Data'!$AD$4:$AE$8,2,FALSE)))</f>
        <v/>
      </c>
      <c r="Z113" s="186"/>
      <c r="AA113" s="176" t="str">
        <f>IF(Z113="","",VLOOKUP(Z113,'G-7 Rivers Data'!$AO$4:$AP$7,2,FALSE))</f>
        <v/>
      </c>
      <c r="AB113" s="265" t="str">
        <f t="shared" si="12"/>
        <v/>
      </c>
      <c r="AC113" s="180"/>
      <c r="AD113" s="181"/>
      <c r="AK113" s="35" t="str">
        <f>IFERROR(INDEX('G-7 Rivers Data'!$AZ$3:$AZ$7,MATCH(C113,'G-7 Rivers Data'!$AY$3:$AY$7,0)),"")</f>
        <v/>
      </c>
    </row>
    <row r="114" spans="2:37" ht="13.8" x14ac:dyDescent="0.25">
      <c r="B114" s="168">
        <v>103</v>
      </c>
      <c r="C114" s="184"/>
      <c r="D114" s="213"/>
      <c r="E114" s="171" t="str">
        <f>IF(C114="","",VLOOKUP(C114,'G-7 Rivers Data'!$B$2:$Z$9,2,FALSE))</f>
        <v/>
      </c>
      <c r="F114" s="172" t="str">
        <f>IFERROR(VLOOKUP(E114,'G-7 Rivers Data'!$C$4:$D$8,2,FALSE),"")</f>
        <v/>
      </c>
      <c r="G114" s="173"/>
      <c r="H114" s="172" t="str">
        <f>IFERROR(INDEX('G-7 Rivers Data'!$H$4:$L$8,MATCH(C114,'G-7 Rivers Data'!$B$4:$B$8,0),MATCH(G114,'G-7 Rivers Data'!$H$3:$L$3,0)),"")</f>
        <v/>
      </c>
      <c r="I114" s="173"/>
      <c r="J114" s="269" t="str">
        <f>IF(I114="","",IF(VLOOKUP(I114,'G-7 Rivers Data'!$AG$4:$AI$9,2,FALSE)=0,"Spatial Data Missing",VLOOKUP(I114,'G-7 Rivers Data'!$AG$4:$AI$9,2,FALSE)))</f>
        <v/>
      </c>
      <c r="K114" s="172" t="str">
        <f>IF(I114="","",IF(VLOOKUP(I114,'G-7 Rivers Data'!$AG$4:$AI$9,3,FALSE)=0,"Spatial Data Missing",VLOOKUP(I114,'G-7 Rivers Data'!$AG$4:$AI$9,3,FALSE)))</f>
        <v/>
      </c>
      <c r="L114" s="384" t="str">
        <f>IFERROR(INDEX('G-7 Rivers Data'!$O$3:$O$7,MATCH(G114,'G-7 Rivers Data'!$N$3:$N$7,0)),"")</f>
        <v/>
      </c>
      <c r="M114" s="82"/>
      <c r="N114" s="261"/>
      <c r="O114" s="179" t="str">
        <f t="shared" si="7"/>
        <v/>
      </c>
      <c r="P114" s="262" t="str">
        <f t="shared" si="8"/>
        <v/>
      </c>
      <c r="Q114" s="382" t="str">
        <f>IFERROR(IF(P114="Check Data","Check Data",VLOOKUP(P114,'G-4 Temporal multipliers'!$A$4:$C$37,3,FALSE)),"")</f>
        <v/>
      </c>
      <c r="R114" s="171" t="str">
        <f>IF(C114="","",VLOOKUP(C114,'G-7 Rivers Data'!$B$4:$G$8,4,FALSE))</f>
        <v/>
      </c>
      <c r="S114" s="179" t="str">
        <f t="shared" si="9"/>
        <v/>
      </c>
      <c r="T114" s="269" t="str">
        <f t="shared" si="10"/>
        <v/>
      </c>
      <c r="U114" s="172" t="str">
        <f t="shared" si="11"/>
        <v/>
      </c>
      <c r="V114" s="79"/>
      <c r="W114" s="172" t="str">
        <f>IF(V114="","",IF(VLOOKUP(V114,'G-7 Rivers Data'!$AA$4:$AB$7,2,FALSE)=0,"Spatial Data Missing",VLOOKUP(V114,'G-7 Rivers Data'!$AA$4:$AB$7,2,FALSE)))</f>
        <v/>
      </c>
      <c r="X114" s="187"/>
      <c r="Y114" s="172" t="str">
        <f>IF(X114="","",IF(VLOOKUP(X114,'G-7 Rivers Data'!$AD$4:$AE$8,2,FALSE)=0,"Enrcoachment Data Missing",VLOOKUP(X114,'G-7 Rivers Data'!$AD$4:$AE$8,2,FALSE)))</f>
        <v/>
      </c>
      <c r="Z114" s="186"/>
      <c r="AA114" s="176" t="str">
        <f>IF(Z114="","",VLOOKUP(Z114,'G-7 Rivers Data'!$AO$4:$AP$7,2,FALSE))</f>
        <v/>
      </c>
      <c r="AB114" s="265" t="str">
        <f t="shared" si="12"/>
        <v/>
      </c>
      <c r="AC114" s="180"/>
      <c r="AD114" s="181"/>
      <c r="AK114" s="35" t="str">
        <f>IFERROR(INDEX('G-7 Rivers Data'!$AZ$3:$AZ$7,MATCH(C114,'G-7 Rivers Data'!$AY$3:$AY$7,0)),"")</f>
        <v/>
      </c>
    </row>
    <row r="115" spans="2:37" ht="13.8" x14ac:dyDescent="0.25">
      <c r="B115" s="168">
        <v>104</v>
      </c>
      <c r="C115" s="184"/>
      <c r="D115" s="213"/>
      <c r="E115" s="171" t="str">
        <f>IF(C115="","",VLOOKUP(C115,'G-7 Rivers Data'!$B$2:$Z$9,2,FALSE))</f>
        <v/>
      </c>
      <c r="F115" s="172" t="str">
        <f>IFERROR(VLOOKUP(E115,'G-7 Rivers Data'!$C$4:$D$8,2,FALSE),"")</f>
        <v/>
      </c>
      <c r="G115" s="173"/>
      <c r="H115" s="172" t="str">
        <f>IFERROR(INDEX('G-7 Rivers Data'!$H$4:$L$8,MATCH(C115,'G-7 Rivers Data'!$B$4:$B$8,0),MATCH(G115,'G-7 Rivers Data'!$H$3:$L$3,0)),"")</f>
        <v/>
      </c>
      <c r="I115" s="173"/>
      <c r="J115" s="269" t="str">
        <f>IF(I115="","",IF(VLOOKUP(I115,'G-7 Rivers Data'!$AG$4:$AI$9,2,FALSE)=0,"Spatial Data Missing",VLOOKUP(I115,'G-7 Rivers Data'!$AG$4:$AI$9,2,FALSE)))</f>
        <v/>
      </c>
      <c r="K115" s="172" t="str">
        <f>IF(I115="","",IF(VLOOKUP(I115,'G-7 Rivers Data'!$AG$4:$AI$9,3,FALSE)=0,"Spatial Data Missing",VLOOKUP(I115,'G-7 Rivers Data'!$AG$4:$AI$9,3,FALSE)))</f>
        <v/>
      </c>
      <c r="L115" s="384" t="str">
        <f>IFERROR(INDEX('G-7 Rivers Data'!$O$3:$O$7,MATCH(G115,'G-7 Rivers Data'!$N$3:$N$7,0)),"")</f>
        <v/>
      </c>
      <c r="M115" s="82"/>
      <c r="N115" s="261"/>
      <c r="O115" s="179" t="str">
        <f t="shared" si="7"/>
        <v/>
      </c>
      <c r="P115" s="262" t="str">
        <f t="shared" si="8"/>
        <v/>
      </c>
      <c r="Q115" s="382" t="str">
        <f>IFERROR(IF(P115="Check Data","Check Data",VLOOKUP(P115,'G-4 Temporal multipliers'!$A$4:$C$37,3,FALSE)),"")</f>
        <v/>
      </c>
      <c r="R115" s="171" t="str">
        <f>IF(C115="","",VLOOKUP(C115,'G-7 Rivers Data'!$B$4:$G$8,4,FALSE))</f>
        <v/>
      </c>
      <c r="S115" s="179" t="str">
        <f t="shared" si="9"/>
        <v/>
      </c>
      <c r="T115" s="269" t="str">
        <f t="shared" si="10"/>
        <v/>
      </c>
      <c r="U115" s="172" t="str">
        <f t="shared" si="11"/>
        <v/>
      </c>
      <c r="V115" s="79"/>
      <c r="W115" s="172" t="str">
        <f>IF(V115="","",IF(VLOOKUP(V115,'G-7 Rivers Data'!$AA$4:$AB$7,2,FALSE)=0,"Spatial Data Missing",VLOOKUP(V115,'G-7 Rivers Data'!$AA$4:$AB$7,2,FALSE)))</f>
        <v/>
      </c>
      <c r="X115" s="187"/>
      <c r="Y115" s="172" t="str">
        <f>IF(X115="","",IF(VLOOKUP(X115,'G-7 Rivers Data'!$AD$4:$AE$8,2,FALSE)=0,"Enrcoachment Data Missing",VLOOKUP(X115,'G-7 Rivers Data'!$AD$4:$AE$8,2,FALSE)))</f>
        <v/>
      </c>
      <c r="Z115" s="186"/>
      <c r="AA115" s="176" t="str">
        <f>IF(Z115="","",VLOOKUP(Z115,'G-7 Rivers Data'!$AO$4:$AP$7,2,FALSE))</f>
        <v/>
      </c>
      <c r="AB115" s="265" t="str">
        <f t="shared" si="12"/>
        <v/>
      </c>
      <c r="AC115" s="180"/>
      <c r="AD115" s="181"/>
      <c r="AK115" s="35" t="str">
        <f>IFERROR(INDEX('G-7 Rivers Data'!$AZ$3:$AZ$7,MATCH(C115,'G-7 Rivers Data'!$AY$3:$AY$7,0)),"")</f>
        <v/>
      </c>
    </row>
    <row r="116" spans="2:37" ht="13.8" x14ac:dyDescent="0.25">
      <c r="B116" s="168">
        <v>105</v>
      </c>
      <c r="C116" s="184"/>
      <c r="D116" s="213"/>
      <c r="E116" s="171" t="str">
        <f>IF(C116="","",VLOOKUP(C116,'G-7 Rivers Data'!$B$2:$Z$9,2,FALSE))</f>
        <v/>
      </c>
      <c r="F116" s="172" t="str">
        <f>IFERROR(VLOOKUP(E116,'G-7 Rivers Data'!$C$4:$D$8,2,FALSE),"")</f>
        <v/>
      </c>
      <c r="G116" s="173"/>
      <c r="H116" s="172" t="str">
        <f>IFERROR(INDEX('G-7 Rivers Data'!$H$4:$L$8,MATCH(C116,'G-7 Rivers Data'!$B$4:$B$8,0),MATCH(G116,'G-7 Rivers Data'!$H$3:$L$3,0)),"")</f>
        <v/>
      </c>
      <c r="I116" s="173"/>
      <c r="J116" s="269" t="str">
        <f>IF(I116="","",IF(VLOOKUP(I116,'G-7 Rivers Data'!$AG$4:$AI$9,2,FALSE)=0,"Spatial Data Missing",VLOOKUP(I116,'G-7 Rivers Data'!$AG$4:$AI$9,2,FALSE)))</f>
        <v/>
      </c>
      <c r="K116" s="172" t="str">
        <f>IF(I116="","",IF(VLOOKUP(I116,'G-7 Rivers Data'!$AG$4:$AI$9,3,FALSE)=0,"Spatial Data Missing",VLOOKUP(I116,'G-7 Rivers Data'!$AG$4:$AI$9,3,FALSE)))</f>
        <v/>
      </c>
      <c r="L116" s="384" t="str">
        <f>IFERROR(INDEX('G-7 Rivers Data'!$O$3:$O$7,MATCH(G116,'G-7 Rivers Data'!$N$3:$N$7,0)),"")</f>
        <v/>
      </c>
      <c r="M116" s="82"/>
      <c r="N116" s="261"/>
      <c r="O116" s="179" t="str">
        <f t="shared" si="7"/>
        <v/>
      </c>
      <c r="P116" s="262" t="str">
        <f t="shared" si="8"/>
        <v/>
      </c>
      <c r="Q116" s="382" t="str">
        <f>IFERROR(IF(P116="Check Data","Check Data",VLOOKUP(P116,'G-4 Temporal multipliers'!$A$4:$C$37,3,FALSE)),"")</f>
        <v/>
      </c>
      <c r="R116" s="171" t="str">
        <f>IF(C116="","",VLOOKUP(C116,'G-7 Rivers Data'!$B$4:$G$8,4,FALSE))</f>
        <v/>
      </c>
      <c r="S116" s="179" t="str">
        <f t="shared" si="9"/>
        <v/>
      </c>
      <c r="T116" s="269" t="str">
        <f t="shared" si="10"/>
        <v/>
      </c>
      <c r="U116" s="172" t="str">
        <f t="shared" si="11"/>
        <v/>
      </c>
      <c r="V116" s="79"/>
      <c r="W116" s="172" t="str">
        <f>IF(V116="","",IF(VLOOKUP(V116,'G-7 Rivers Data'!$AA$4:$AB$7,2,FALSE)=0,"Spatial Data Missing",VLOOKUP(V116,'G-7 Rivers Data'!$AA$4:$AB$7,2,FALSE)))</f>
        <v/>
      </c>
      <c r="X116" s="187"/>
      <c r="Y116" s="172" t="str">
        <f>IF(X116="","",IF(VLOOKUP(X116,'G-7 Rivers Data'!$AD$4:$AE$8,2,FALSE)=0,"Enrcoachment Data Missing",VLOOKUP(X116,'G-7 Rivers Data'!$AD$4:$AE$8,2,FALSE)))</f>
        <v/>
      </c>
      <c r="Z116" s="186"/>
      <c r="AA116" s="176" t="str">
        <f>IF(Z116="","",VLOOKUP(Z116,'G-7 Rivers Data'!$AO$4:$AP$7,2,FALSE))</f>
        <v/>
      </c>
      <c r="AB116" s="265" t="str">
        <f t="shared" si="12"/>
        <v/>
      </c>
      <c r="AC116" s="180"/>
      <c r="AD116" s="181"/>
      <c r="AK116" s="35" t="str">
        <f>IFERROR(INDEX('G-7 Rivers Data'!$AZ$3:$AZ$7,MATCH(C116,'G-7 Rivers Data'!$AY$3:$AY$7,0)),"")</f>
        <v/>
      </c>
    </row>
    <row r="117" spans="2:37" ht="13.8" x14ac:dyDescent="0.25">
      <c r="B117" s="168">
        <v>106</v>
      </c>
      <c r="C117" s="184"/>
      <c r="D117" s="213"/>
      <c r="E117" s="171" t="str">
        <f>IF(C117="","",VLOOKUP(C117,'G-7 Rivers Data'!$B$2:$Z$9,2,FALSE))</f>
        <v/>
      </c>
      <c r="F117" s="172" t="str">
        <f>IFERROR(VLOOKUP(E117,'G-7 Rivers Data'!$C$4:$D$8,2,FALSE),"")</f>
        <v/>
      </c>
      <c r="G117" s="173"/>
      <c r="H117" s="172" t="str">
        <f>IFERROR(INDEX('G-7 Rivers Data'!$H$4:$L$8,MATCH(C117,'G-7 Rivers Data'!$B$4:$B$8,0),MATCH(G117,'G-7 Rivers Data'!$H$3:$L$3,0)),"")</f>
        <v/>
      </c>
      <c r="I117" s="173"/>
      <c r="J117" s="269" t="str">
        <f>IF(I117="","",IF(VLOOKUP(I117,'G-7 Rivers Data'!$AG$4:$AI$9,2,FALSE)=0,"Spatial Data Missing",VLOOKUP(I117,'G-7 Rivers Data'!$AG$4:$AI$9,2,FALSE)))</f>
        <v/>
      </c>
      <c r="K117" s="172" t="str">
        <f>IF(I117="","",IF(VLOOKUP(I117,'G-7 Rivers Data'!$AG$4:$AI$9,3,FALSE)=0,"Spatial Data Missing",VLOOKUP(I117,'G-7 Rivers Data'!$AG$4:$AI$9,3,FALSE)))</f>
        <v/>
      </c>
      <c r="L117" s="384" t="str">
        <f>IFERROR(INDEX('G-7 Rivers Data'!$O$3:$O$7,MATCH(G117,'G-7 Rivers Data'!$N$3:$N$7,0)),"")</f>
        <v/>
      </c>
      <c r="M117" s="82"/>
      <c r="N117" s="261"/>
      <c r="O117" s="179" t="str">
        <f t="shared" si="7"/>
        <v/>
      </c>
      <c r="P117" s="262" t="str">
        <f t="shared" si="8"/>
        <v/>
      </c>
      <c r="Q117" s="382" t="str">
        <f>IFERROR(IF(P117="Check Data","Check Data",VLOOKUP(P117,'G-4 Temporal multipliers'!$A$4:$C$37,3,FALSE)),"")</f>
        <v/>
      </c>
      <c r="R117" s="171" t="str">
        <f>IF(C117="","",VLOOKUP(C117,'G-7 Rivers Data'!$B$4:$G$8,4,FALSE))</f>
        <v/>
      </c>
      <c r="S117" s="179" t="str">
        <f t="shared" si="9"/>
        <v/>
      </c>
      <c r="T117" s="269" t="str">
        <f t="shared" si="10"/>
        <v/>
      </c>
      <c r="U117" s="172" t="str">
        <f t="shared" si="11"/>
        <v/>
      </c>
      <c r="V117" s="79"/>
      <c r="W117" s="172" t="str">
        <f>IF(V117="","",IF(VLOOKUP(V117,'G-7 Rivers Data'!$AA$4:$AB$7,2,FALSE)=0,"Spatial Data Missing",VLOOKUP(V117,'G-7 Rivers Data'!$AA$4:$AB$7,2,FALSE)))</f>
        <v/>
      </c>
      <c r="X117" s="187"/>
      <c r="Y117" s="172" t="str">
        <f>IF(X117="","",IF(VLOOKUP(X117,'G-7 Rivers Data'!$AD$4:$AE$8,2,FALSE)=0,"Enrcoachment Data Missing",VLOOKUP(X117,'G-7 Rivers Data'!$AD$4:$AE$8,2,FALSE)))</f>
        <v/>
      </c>
      <c r="Z117" s="186"/>
      <c r="AA117" s="176" t="str">
        <f>IF(Z117="","",VLOOKUP(Z117,'G-7 Rivers Data'!$AO$4:$AP$7,2,FALSE))</f>
        <v/>
      </c>
      <c r="AB117" s="265" t="str">
        <f t="shared" si="12"/>
        <v/>
      </c>
      <c r="AC117" s="180"/>
      <c r="AD117" s="181"/>
      <c r="AK117" s="35" t="str">
        <f>IFERROR(INDEX('G-7 Rivers Data'!$AZ$3:$AZ$7,MATCH(C117,'G-7 Rivers Data'!$AY$3:$AY$7,0)),"")</f>
        <v/>
      </c>
    </row>
    <row r="118" spans="2:37" ht="13.8" x14ac:dyDescent="0.25">
      <c r="B118" s="168">
        <v>107</v>
      </c>
      <c r="C118" s="184"/>
      <c r="D118" s="213"/>
      <c r="E118" s="171" t="str">
        <f>IF(C118="","",VLOOKUP(C118,'G-7 Rivers Data'!$B$2:$Z$9,2,FALSE))</f>
        <v/>
      </c>
      <c r="F118" s="172" t="str">
        <f>IFERROR(VLOOKUP(E118,'G-7 Rivers Data'!$C$4:$D$8,2,FALSE),"")</f>
        <v/>
      </c>
      <c r="G118" s="173"/>
      <c r="H118" s="172" t="str">
        <f>IFERROR(INDEX('G-7 Rivers Data'!$H$4:$L$8,MATCH(C118,'G-7 Rivers Data'!$B$4:$B$8,0),MATCH(G118,'G-7 Rivers Data'!$H$3:$L$3,0)),"")</f>
        <v/>
      </c>
      <c r="I118" s="173"/>
      <c r="J118" s="269" t="str">
        <f>IF(I118="","",IF(VLOOKUP(I118,'G-7 Rivers Data'!$AG$4:$AI$9,2,FALSE)=0,"Spatial Data Missing",VLOOKUP(I118,'G-7 Rivers Data'!$AG$4:$AI$9,2,FALSE)))</f>
        <v/>
      </c>
      <c r="K118" s="172" t="str">
        <f>IF(I118="","",IF(VLOOKUP(I118,'G-7 Rivers Data'!$AG$4:$AI$9,3,FALSE)=0,"Spatial Data Missing",VLOOKUP(I118,'G-7 Rivers Data'!$AG$4:$AI$9,3,FALSE)))</f>
        <v/>
      </c>
      <c r="L118" s="384" t="str">
        <f>IFERROR(INDEX('G-7 Rivers Data'!$O$3:$O$7,MATCH(G118,'G-7 Rivers Data'!$N$3:$N$7,0)),"")</f>
        <v/>
      </c>
      <c r="M118" s="82"/>
      <c r="N118" s="261"/>
      <c r="O118" s="179" t="str">
        <f t="shared" si="7"/>
        <v/>
      </c>
      <c r="P118" s="262" t="str">
        <f t="shared" si="8"/>
        <v/>
      </c>
      <c r="Q118" s="382" t="str">
        <f>IFERROR(IF(P118="Check Data","Check Data",VLOOKUP(P118,'G-4 Temporal multipliers'!$A$4:$C$37,3,FALSE)),"")</f>
        <v/>
      </c>
      <c r="R118" s="171" t="str">
        <f>IF(C118="","",VLOOKUP(C118,'G-7 Rivers Data'!$B$4:$G$8,4,FALSE))</f>
        <v/>
      </c>
      <c r="S118" s="179" t="str">
        <f t="shared" si="9"/>
        <v/>
      </c>
      <c r="T118" s="269" t="str">
        <f t="shared" si="10"/>
        <v/>
      </c>
      <c r="U118" s="172" t="str">
        <f t="shared" si="11"/>
        <v/>
      </c>
      <c r="V118" s="79"/>
      <c r="W118" s="172" t="str">
        <f>IF(V118="","",IF(VLOOKUP(V118,'G-7 Rivers Data'!$AA$4:$AB$7,2,FALSE)=0,"Spatial Data Missing",VLOOKUP(V118,'G-7 Rivers Data'!$AA$4:$AB$7,2,FALSE)))</f>
        <v/>
      </c>
      <c r="X118" s="187"/>
      <c r="Y118" s="172" t="str">
        <f>IF(X118="","",IF(VLOOKUP(X118,'G-7 Rivers Data'!$AD$4:$AE$8,2,FALSE)=0,"Enrcoachment Data Missing",VLOOKUP(X118,'G-7 Rivers Data'!$AD$4:$AE$8,2,FALSE)))</f>
        <v/>
      </c>
      <c r="Z118" s="186"/>
      <c r="AA118" s="176" t="str">
        <f>IF(Z118="","",VLOOKUP(Z118,'G-7 Rivers Data'!$AO$4:$AP$7,2,FALSE))</f>
        <v/>
      </c>
      <c r="AB118" s="265" t="str">
        <f t="shared" si="12"/>
        <v/>
      </c>
      <c r="AC118" s="180"/>
      <c r="AD118" s="181"/>
      <c r="AK118" s="35" t="str">
        <f>IFERROR(INDEX('G-7 Rivers Data'!$AZ$3:$AZ$7,MATCH(C118,'G-7 Rivers Data'!$AY$3:$AY$7,0)),"")</f>
        <v/>
      </c>
    </row>
    <row r="119" spans="2:37" ht="13.8" x14ac:dyDescent="0.25">
      <c r="B119" s="168">
        <v>108</v>
      </c>
      <c r="C119" s="184"/>
      <c r="D119" s="213"/>
      <c r="E119" s="171" t="str">
        <f>IF(C119="","",VLOOKUP(C119,'G-7 Rivers Data'!$B$2:$Z$9,2,FALSE))</f>
        <v/>
      </c>
      <c r="F119" s="172" t="str">
        <f>IFERROR(VLOOKUP(E119,'G-7 Rivers Data'!$C$4:$D$8,2,FALSE),"")</f>
        <v/>
      </c>
      <c r="G119" s="173"/>
      <c r="H119" s="172" t="str">
        <f>IFERROR(INDEX('G-7 Rivers Data'!$H$4:$L$8,MATCH(C119,'G-7 Rivers Data'!$B$4:$B$8,0),MATCH(G119,'G-7 Rivers Data'!$H$3:$L$3,0)),"")</f>
        <v/>
      </c>
      <c r="I119" s="173"/>
      <c r="J119" s="269" t="str">
        <f>IF(I119="","",IF(VLOOKUP(I119,'G-7 Rivers Data'!$AG$4:$AI$9,2,FALSE)=0,"Spatial Data Missing",VLOOKUP(I119,'G-7 Rivers Data'!$AG$4:$AI$9,2,FALSE)))</f>
        <v/>
      </c>
      <c r="K119" s="172" t="str">
        <f>IF(I119="","",IF(VLOOKUP(I119,'G-7 Rivers Data'!$AG$4:$AI$9,3,FALSE)=0,"Spatial Data Missing",VLOOKUP(I119,'G-7 Rivers Data'!$AG$4:$AI$9,3,FALSE)))</f>
        <v/>
      </c>
      <c r="L119" s="384" t="str">
        <f>IFERROR(INDEX('G-7 Rivers Data'!$O$3:$O$7,MATCH(G119,'G-7 Rivers Data'!$N$3:$N$7,0)),"")</f>
        <v/>
      </c>
      <c r="M119" s="82"/>
      <c r="N119" s="261"/>
      <c r="O119" s="179" t="str">
        <f t="shared" si="7"/>
        <v/>
      </c>
      <c r="P119" s="262" t="str">
        <f t="shared" si="8"/>
        <v/>
      </c>
      <c r="Q119" s="382" t="str">
        <f>IFERROR(IF(P119="Check Data","Check Data",VLOOKUP(P119,'G-4 Temporal multipliers'!$A$4:$C$37,3,FALSE)),"")</f>
        <v/>
      </c>
      <c r="R119" s="171" t="str">
        <f>IF(C119="","",VLOOKUP(C119,'G-7 Rivers Data'!$B$4:$G$8,4,FALSE))</f>
        <v/>
      </c>
      <c r="S119" s="179" t="str">
        <f t="shared" si="9"/>
        <v/>
      </c>
      <c r="T119" s="269" t="str">
        <f t="shared" si="10"/>
        <v/>
      </c>
      <c r="U119" s="172" t="str">
        <f t="shared" si="11"/>
        <v/>
      </c>
      <c r="V119" s="79"/>
      <c r="W119" s="172" t="str">
        <f>IF(V119="","",IF(VLOOKUP(V119,'G-7 Rivers Data'!$AA$4:$AB$7,2,FALSE)=0,"Spatial Data Missing",VLOOKUP(V119,'G-7 Rivers Data'!$AA$4:$AB$7,2,FALSE)))</f>
        <v/>
      </c>
      <c r="X119" s="187"/>
      <c r="Y119" s="172" t="str">
        <f>IF(X119="","",IF(VLOOKUP(X119,'G-7 Rivers Data'!$AD$4:$AE$8,2,FALSE)=0,"Enrcoachment Data Missing",VLOOKUP(X119,'G-7 Rivers Data'!$AD$4:$AE$8,2,FALSE)))</f>
        <v/>
      </c>
      <c r="Z119" s="186"/>
      <c r="AA119" s="176" t="str">
        <f>IF(Z119="","",VLOOKUP(Z119,'G-7 Rivers Data'!$AO$4:$AP$7,2,FALSE))</f>
        <v/>
      </c>
      <c r="AB119" s="265" t="str">
        <f t="shared" si="12"/>
        <v/>
      </c>
      <c r="AC119" s="180"/>
      <c r="AD119" s="181"/>
      <c r="AK119" s="35" t="str">
        <f>IFERROR(INDEX('G-7 Rivers Data'!$AZ$3:$AZ$7,MATCH(C119,'G-7 Rivers Data'!$AY$3:$AY$7,0)),"")</f>
        <v/>
      </c>
    </row>
    <row r="120" spans="2:37" ht="13.8" x14ac:dyDescent="0.25">
      <c r="B120" s="168">
        <v>109</v>
      </c>
      <c r="C120" s="184"/>
      <c r="D120" s="213"/>
      <c r="E120" s="171" t="str">
        <f>IF(C120="","",VLOOKUP(C120,'G-7 Rivers Data'!$B$2:$Z$9,2,FALSE))</f>
        <v/>
      </c>
      <c r="F120" s="172" t="str">
        <f>IFERROR(VLOOKUP(E120,'G-7 Rivers Data'!$C$4:$D$8,2,FALSE),"")</f>
        <v/>
      </c>
      <c r="G120" s="173"/>
      <c r="H120" s="172" t="str">
        <f>IFERROR(INDEX('G-7 Rivers Data'!$H$4:$L$8,MATCH(C120,'G-7 Rivers Data'!$B$4:$B$8,0),MATCH(G120,'G-7 Rivers Data'!$H$3:$L$3,0)),"")</f>
        <v/>
      </c>
      <c r="I120" s="173"/>
      <c r="J120" s="269" t="str">
        <f>IF(I120="","",IF(VLOOKUP(I120,'G-7 Rivers Data'!$AG$4:$AI$9,2,FALSE)=0,"Spatial Data Missing",VLOOKUP(I120,'G-7 Rivers Data'!$AG$4:$AI$9,2,FALSE)))</f>
        <v/>
      </c>
      <c r="K120" s="172" t="str">
        <f>IF(I120="","",IF(VLOOKUP(I120,'G-7 Rivers Data'!$AG$4:$AI$9,3,FALSE)=0,"Spatial Data Missing",VLOOKUP(I120,'G-7 Rivers Data'!$AG$4:$AI$9,3,FALSE)))</f>
        <v/>
      </c>
      <c r="L120" s="384" t="str">
        <f>IFERROR(INDEX('G-7 Rivers Data'!$O$3:$O$7,MATCH(G120,'G-7 Rivers Data'!$N$3:$N$7,0)),"")</f>
        <v/>
      </c>
      <c r="M120" s="82"/>
      <c r="N120" s="261"/>
      <c r="O120" s="179" t="str">
        <f t="shared" si="7"/>
        <v/>
      </c>
      <c r="P120" s="262" t="str">
        <f t="shared" si="8"/>
        <v/>
      </c>
      <c r="Q120" s="382" t="str">
        <f>IFERROR(IF(P120="Check Data","Check Data",VLOOKUP(P120,'G-4 Temporal multipliers'!$A$4:$C$37,3,FALSE)),"")</f>
        <v/>
      </c>
      <c r="R120" s="171" t="str">
        <f>IF(C120="","",VLOOKUP(C120,'G-7 Rivers Data'!$B$4:$G$8,4,FALSE))</f>
        <v/>
      </c>
      <c r="S120" s="179" t="str">
        <f t="shared" si="9"/>
        <v/>
      </c>
      <c r="T120" s="269" t="str">
        <f t="shared" si="10"/>
        <v/>
      </c>
      <c r="U120" s="172" t="str">
        <f t="shared" si="11"/>
        <v/>
      </c>
      <c r="V120" s="79"/>
      <c r="W120" s="172" t="str">
        <f>IF(V120="","",IF(VLOOKUP(V120,'G-7 Rivers Data'!$AA$4:$AB$7,2,FALSE)=0,"Spatial Data Missing",VLOOKUP(V120,'G-7 Rivers Data'!$AA$4:$AB$7,2,FALSE)))</f>
        <v/>
      </c>
      <c r="X120" s="187"/>
      <c r="Y120" s="172" t="str">
        <f>IF(X120="","",IF(VLOOKUP(X120,'G-7 Rivers Data'!$AD$4:$AE$8,2,FALSE)=0,"Enrcoachment Data Missing",VLOOKUP(X120,'G-7 Rivers Data'!$AD$4:$AE$8,2,FALSE)))</f>
        <v/>
      </c>
      <c r="Z120" s="186"/>
      <c r="AA120" s="176" t="str">
        <f>IF(Z120="","",VLOOKUP(Z120,'G-7 Rivers Data'!$AO$4:$AP$7,2,FALSE))</f>
        <v/>
      </c>
      <c r="AB120" s="265" t="str">
        <f t="shared" si="12"/>
        <v/>
      </c>
      <c r="AC120" s="180"/>
      <c r="AD120" s="181"/>
      <c r="AK120" s="35" t="str">
        <f>IFERROR(INDEX('G-7 Rivers Data'!$AZ$3:$AZ$7,MATCH(C120,'G-7 Rivers Data'!$AY$3:$AY$7,0)),"")</f>
        <v/>
      </c>
    </row>
    <row r="121" spans="2:37" ht="13.8" x14ac:dyDescent="0.25">
      <c r="B121" s="168">
        <v>110</v>
      </c>
      <c r="C121" s="184"/>
      <c r="D121" s="213"/>
      <c r="E121" s="171" t="str">
        <f>IF(C121="","",VLOOKUP(C121,'G-7 Rivers Data'!$B$2:$Z$9,2,FALSE))</f>
        <v/>
      </c>
      <c r="F121" s="172" t="str">
        <f>IFERROR(VLOOKUP(E121,'G-7 Rivers Data'!$C$4:$D$8,2,FALSE),"")</f>
        <v/>
      </c>
      <c r="G121" s="173"/>
      <c r="H121" s="172" t="str">
        <f>IFERROR(INDEX('G-7 Rivers Data'!$H$4:$L$8,MATCH(C121,'G-7 Rivers Data'!$B$4:$B$8,0),MATCH(G121,'G-7 Rivers Data'!$H$3:$L$3,0)),"")</f>
        <v/>
      </c>
      <c r="I121" s="173"/>
      <c r="J121" s="269" t="str">
        <f>IF(I121="","",IF(VLOOKUP(I121,'G-7 Rivers Data'!$AG$4:$AI$9,2,FALSE)=0,"Spatial Data Missing",VLOOKUP(I121,'G-7 Rivers Data'!$AG$4:$AI$9,2,FALSE)))</f>
        <v/>
      </c>
      <c r="K121" s="172" t="str">
        <f>IF(I121="","",IF(VLOOKUP(I121,'G-7 Rivers Data'!$AG$4:$AI$9,3,FALSE)=0,"Spatial Data Missing",VLOOKUP(I121,'G-7 Rivers Data'!$AG$4:$AI$9,3,FALSE)))</f>
        <v/>
      </c>
      <c r="L121" s="384" t="str">
        <f>IFERROR(INDEX('G-7 Rivers Data'!$O$3:$O$7,MATCH(G121,'G-7 Rivers Data'!$N$3:$N$7,0)),"")</f>
        <v/>
      </c>
      <c r="M121" s="82"/>
      <c r="N121" s="261"/>
      <c r="O121" s="179" t="str">
        <f t="shared" si="7"/>
        <v/>
      </c>
      <c r="P121" s="262" t="str">
        <f t="shared" si="8"/>
        <v/>
      </c>
      <c r="Q121" s="382" t="str">
        <f>IFERROR(IF(P121="Check Data","Check Data",VLOOKUP(P121,'G-4 Temporal multipliers'!$A$4:$C$37,3,FALSE)),"")</f>
        <v/>
      </c>
      <c r="R121" s="171" t="str">
        <f>IF(C121="","",VLOOKUP(C121,'G-7 Rivers Data'!$B$4:$G$8,4,FALSE))</f>
        <v/>
      </c>
      <c r="S121" s="179" t="str">
        <f t="shared" si="9"/>
        <v/>
      </c>
      <c r="T121" s="269" t="str">
        <f t="shared" si="10"/>
        <v/>
      </c>
      <c r="U121" s="172" t="str">
        <f t="shared" si="11"/>
        <v/>
      </c>
      <c r="V121" s="79"/>
      <c r="W121" s="172" t="str">
        <f>IF(V121="","",IF(VLOOKUP(V121,'G-7 Rivers Data'!$AA$4:$AB$7,2,FALSE)=0,"Spatial Data Missing",VLOOKUP(V121,'G-7 Rivers Data'!$AA$4:$AB$7,2,FALSE)))</f>
        <v/>
      </c>
      <c r="X121" s="187"/>
      <c r="Y121" s="172" t="str">
        <f>IF(X121="","",IF(VLOOKUP(X121,'G-7 Rivers Data'!$AD$4:$AE$8,2,FALSE)=0,"Enrcoachment Data Missing",VLOOKUP(X121,'G-7 Rivers Data'!$AD$4:$AE$8,2,FALSE)))</f>
        <v/>
      </c>
      <c r="Z121" s="186"/>
      <c r="AA121" s="176" t="str">
        <f>IF(Z121="","",VLOOKUP(Z121,'G-7 Rivers Data'!$AO$4:$AP$7,2,FALSE))</f>
        <v/>
      </c>
      <c r="AB121" s="265" t="str">
        <f t="shared" si="12"/>
        <v/>
      </c>
      <c r="AC121" s="180"/>
      <c r="AD121" s="181"/>
      <c r="AK121" s="35" t="str">
        <f>IFERROR(INDEX('G-7 Rivers Data'!$AZ$3:$AZ$7,MATCH(C121,'G-7 Rivers Data'!$AY$3:$AY$7,0)),"")</f>
        <v/>
      </c>
    </row>
    <row r="122" spans="2:37" ht="13.8" x14ac:dyDescent="0.25">
      <c r="B122" s="168">
        <v>111</v>
      </c>
      <c r="C122" s="184"/>
      <c r="D122" s="213"/>
      <c r="E122" s="171" t="str">
        <f>IF(C122="","",VLOOKUP(C122,'G-7 Rivers Data'!$B$2:$Z$9,2,FALSE))</f>
        <v/>
      </c>
      <c r="F122" s="172" t="str">
        <f>IFERROR(VLOOKUP(E122,'G-7 Rivers Data'!$C$4:$D$8,2,FALSE),"")</f>
        <v/>
      </c>
      <c r="G122" s="173"/>
      <c r="H122" s="172" t="str">
        <f>IFERROR(INDEX('G-7 Rivers Data'!$H$4:$L$8,MATCH(C122,'G-7 Rivers Data'!$B$4:$B$8,0),MATCH(G122,'G-7 Rivers Data'!$H$3:$L$3,0)),"")</f>
        <v/>
      </c>
      <c r="I122" s="173"/>
      <c r="J122" s="269" t="str">
        <f>IF(I122="","",IF(VLOOKUP(I122,'G-7 Rivers Data'!$AG$4:$AI$9,2,FALSE)=0,"Spatial Data Missing",VLOOKUP(I122,'G-7 Rivers Data'!$AG$4:$AI$9,2,FALSE)))</f>
        <v/>
      </c>
      <c r="K122" s="172" t="str">
        <f>IF(I122="","",IF(VLOOKUP(I122,'G-7 Rivers Data'!$AG$4:$AI$9,3,FALSE)=0,"Spatial Data Missing",VLOOKUP(I122,'G-7 Rivers Data'!$AG$4:$AI$9,3,FALSE)))</f>
        <v/>
      </c>
      <c r="L122" s="384" t="str">
        <f>IFERROR(INDEX('G-7 Rivers Data'!$O$3:$O$7,MATCH(G122,'G-7 Rivers Data'!$N$3:$N$7,0)),"")</f>
        <v/>
      </c>
      <c r="M122" s="82"/>
      <c r="N122" s="261"/>
      <c r="O122" s="179" t="str">
        <f t="shared" si="7"/>
        <v/>
      </c>
      <c r="P122" s="262" t="str">
        <f t="shared" si="8"/>
        <v/>
      </c>
      <c r="Q122" s="382" t="str">
        <f>IFERROR(IF(P122="Check Data","Check Data",VLOOKUP(P122,'G-4 Temporal multipliers'!$A$4:$C$37,3,FALSE)),"")</f>
        <v/>
      </c>
      <c r="R122" s="171" t="str">
        <f>IF(C122="","",VLOOKUP(C122,'G-7 Rivers Data'!$B$4:$G$8,4,FALSE))</f>
        <v/>
      </c>
      <c r="S122" s="179" t="str">
        <f t="shared" si="9"/>
        <v/>
      </c>
      <c r="T122" s="269" t="str">
        <f t="shared" si="10"/>
        <v/>
      </c>
      <c r="U122" s="172" t="str">
        <f t="shared" si="11"/>
        <v/>
      </c>
      <c r="V122" s="79"/>
      <c r="W122" s="172" t="str">
        <f>IF(V122="","",IF(VLOOKUP(V122,'G-7 Rivers Data'!$AA$4:$AB$7,2,FALSE)=0,"Spatial Data Missing",VLOOKUP(V122,'G-7 Rivers Data'!$AA$4:$AB$7,2,FALSE)))</f>
        <v/>
      </c>
      <c r="X122" s="187"/>
      <c r="Y122" s="172" t="str">
        <f>IF(X122="","",IF(VLOOKUP(X122,'G-7 Rivers Data'!$AD$4:$AE$8,2,FALSE)=0,"Enrcoachment Data Missing",VLOOKUP(X122,'G-7 Rivers Data'!$AD$4:$AE$8,2,FALSE)))</f>
        <v/>
      </c>
      <c r="Z122" s="186"/>
      <c r="AA122" s="176" t="str">
        <f>IF(Z122="","",VLOOKUP(Z122,'G-7 Rivers Data'!$AO$4:$AP$7,2,FALSE))</f>
        <v/>
      </c>
      <c r="AB122" s="265" t="str">
        <f t="shared" si="12"/>
        <v/>
      </c>
      <c r="AC122" s="180"/>
      <c r="AD122" s="181"/>
      <c r="AK122" s="35" t="str">
        <f>IFERROR(INDEX('G-7 Rivers Data'!$AZ$3:$AZ$7,MATCH(C122,'G-7 Rivers Data'!$AY$3:$AY$7,0)),"")</f>
        <v/>
      </c>
    </row>
    <row r="123" spans="2:37" ht="13.8" x14ac:dyDescent="0.25">
      <c r="B123" s="168">
        <v>112</v>
      </c>
      <c r="C123" s="184"/>
      <c r="D123" s="213"/>
      <c r="E123" s="171" t="str">
        <f>IF(C123="","",VLOOKUP(C123,'G-7 Rivers Data'!$B$2:$Z$9,2,FALSE))</f>
        <v/>
      </c>
      <c r="F123" s="172" t="str">
        <f>IFERROR(VLOOKUP(E123,'G-7 Rivers Data'!$C$4:$D$8,2,FALSE),"")</f>
        <v/>
      </c>
      <c r="G123" s="173"/>
      <c r="H123" s="172" t="str">
        <f>IFERROR(INDEX('G-7 Rivers Data'!$H$4:$L$8,MATCH(C123,'G-7 Rivers Data'!$B$4:$B$8,0),MATCH(G123,'G-7 Rivers Data'!$H$3:$L$3,0)),"")</f>
        <v/>
      </c>
      <c r="I123" s="173"/>
      <c r="J123" s="269" t="str">
        <f>IF(I123="","",IF(VLOOKUP(I123,'G-7 Rivers Data'!$AG$4:$AI$9,2,FALSE)=0,"Spatial Data Missing",VLOOKUP(I123,'G-7 Rivers Data'!$AG$4:$AI$9,2,FALSE)))</f>
        <v/>
      </c>
      <c r="K123" s="172" t="str">
        <f>IF(I123="","",IF(VLOOKUP(I123,'G-7 Rivers Data'!$AG$4:$AI$9,3,FALSE)=0,"Spatial Data Missing",VLOOKUP(I123,'G-7 Rivers Data'!$AG$4:$AI$9,3,FALSE)))</f>
        <v/>
      </c>
      <c r="L123" s="384" t="str">
        <f>IFERROR(INDEX('G-7 Rivers Data'!$O$3:$O$7,MATCH(G123,'G-7 Rivers Data'!$N$3:$N$7,0)),"")</f>
        <v/>
      </c>
      <c r="M123" s="82"/>
      <c r="N123" s="261"/>
      <c r="O123" s="179" t="str">
        <f t="shared" si="7"/>
        <v/>
      </c>
      <c r="P123" s="262" t="str">
        <f t="shared" si="8"/>
        <v/>
      </c>
      <c r="Q123" s="382" t="str">
        <f>IFERROR(IF(P123="Check Data","Check Data",VLOOKUP(P123,'G-4 Temporal multipliers'!$A$4:$C$37,3,FALSE)),"")</f>
        <v/>
      </c>
      <c r="R123" s="171" t="str">
        <f>IF(C123="","",VLOOKUP(C123,'G-7 Rivers Data'!$B$4:$G$8,4,FALSE))</f>
        <v/>
      </c>
      <c r="S123" s="179" t="str">
        <f t="shared" si="9"/>
        <v/>
      </c>
      <c r="T123" s="269" t="str">
        <f t="shared" si="10"/>
        <v/>
      </c>
      <c r="U123" s="172" t="str">
        <f t="shared" si="11"/>
        <v/>
      </c>
      <c r="V123" s="79"/>
      <c r="W123" s="172" t="str">
        <f>IF(V123="","",IF(VLOOKUP(V123,'G-7 Rivers Data'!$AA$4:$AB$7,2,FALSE)=0,"Spatial Data Missing",VLOOKUP(V123,'G-7 Rivers Data'!$AA$4:$AB$7,2,FALSE)))</f>
        <v/>
      </c>
      <c r="X123" s="187"/>
      <c r="Y123" s="172" t="str">
        <f>IF(X123="","",IF(VLOOKUP(X123,'G-7 Rivers Data'!$AD$4:$AE$8,2,FALSE)=0,"Enrcoachment Data Missing",VLOOKUP(X123,'G-7 Rivers Data'!$AD$4:$AE$8,2,FALSE)))</f>
        <v/>
      </c>
      <c r="Z123" s="186"/>
      <c r="AA123" s="176" t="str">
        <f>IF(Z123="","",VLOOKUP(Z123,'G-7 Rivers Data'!$AO$4:$AP$7,2,FALSE))</f>
        <v/>
      </c>
      <c r="AB123" s="265" t="str">
        <f t="shared" si="12"/>
        <v/>
      </c>
      <c r="AC123" s="180"/>
      <c r="AD123" s="181"/>
      <c r="AK123" s="35" t="str">
        <f>IFERROR(INDEX('G-7 Rivers Data'!$AZ$3:$AZ$7,MATCH(C123,'G-7 Rivers Data'!$AY$3:$AY$7,0)),"")</f>
        <v/>
      </c>
    </row>
    <row r="124" spans="2:37" ht="13.8" x14ac:dyDescent="0.25">
      <c r="B124" s="168">
        <v>113</v>
      </c>
      <c r="C124" s="184"/>
      <c r="D124" s="213"/>
      <c r="E124" s="171" t="str">
        <f>IF(C124="","",VLOOKUP(C124,'G-7 Rivers Data'!$B$2:$Z$9,2,FALSE))</f>
        <v/>
      </c>
      <c r="F124" s="172" t="str">
        <f>IFERROR(VLOOKUP(E124,'G-7 Rivers Data'!$C$4:$D$8,2,FALSE),"")</f>
        <v/>
      </c>
      <c r="G124" s="173"/>
      <c r="H124" s="172" t="str">
        <f>IFERROR(INDEX('G-7 Rivers Data'!$H$4:$L$8,MATCH(C124,'G-7 Rivers Data'!$B$4:$B$8,0),MATCH(G124,'G-7 Rivers Data'!$H$3:$L$3,0)),"")</f>
        <v/>
      </c>
      <c r="I124" s="173"/>
      <c r="J124" s="269" t="str">
        <f>IF(I124="","",IF(VLOOKUP(I124,'G-7 Rivers Data'!$AG$4:$AI$9,2,FALSE)=0,"Spatial Data Missing",VLOOKUP(I124,'G-7 Rivers Data'!$AG$4:$AI$9,2,FALSE)))</f>
        <v/>
      </c>
      <c r="K124" s="172" t="str">
        <f>IF(I124="","",IF(VLOOKUP(I124,'G-7 Rivers Data'!$AG$4:$AI$9,3,FALSE)=0,"Spatial Data Missing",VLOOKUP(I124,'G-7 Rivers Data'!$AG$4:$AI$9,3,FALSE)))</f>
        <v/>
      </c>
      <c r="L124" s="384" t="str">
        <f>IFERROR(INDEX('G-7 Rivers Data'!$O$3:$O$7,MATCH(G124,'G-7 Rivers Data'!$N$3:$N$7,0)),"")</f>
        <v/>
      </c>
      <c r="M124" s="82"/>
      <c r="N124" s="261"/>
      <c r="O124" s="179" t="str">
        <f t="shared" si="7"/>
        <v/>
      </c>
      <c r="P124" s="262" t="str">
        <f t="shared" si="8"/>
        <v/>
      </c>
      <c r="Q124" s="382" t="str">
        <f>IFERROR(IF(P124="Check Data","Check Data",VLOOKUP(P124,'G-4 Temporal multipliers'!$A$4:$C$37,3,FALSE)),"")</f>
        <v/>
      </c>
      <c r="R124" s="171" t="str">
        <f>IF(C124="","",VLOOKUP(C124,'G-7 Rivers Data'!$B$4:$G$8,4,FALSE))</f>
        <v/>
      </c>
      <c r="S124" s="179" t="str">
        <f t="shared" si="9"/>
        <v/>
      </c>
      <c r="T124" s="269" t="str">
        <f t="shared" si="10"/>
        <v/>
      </c>
      <c r="U124" s="172" t="str">
        <f t="shared" si="11"/>
        <v/>
      </c>
      <c r="V124" s="79"/>
      <c r="W124" s="172" t="str">
        <f>IF(V124="","",IF(VLOOKUP(V124,'G-7 Rivers Data'!$AA$4:$AB$7,2,FALSE)=0,"Spatial Data Missing",VLOOKUP(V124,'G-7 Rivers Data'!$AA$4:$AB$7,2,FALSE)))</f>
        <v/>
      </c>
      <c r="X124" s="187"/>
      <c r="Y124" s="172" t="str">
        <f>IF(X124="","",IF(VLOOKUP(X124,'G-7 Rivers Data'!$AD$4:$AE$8,2,FALSE)=0,"Enrcoachment Data Missing",VLOOKUP(X124,'G-7 Rivers Data'!$AD$4:$AE$8,2,FALSE)))</f>
        <v/>
      </c>
      <c r="Z124" s="186"/>
      <c r="AA124" s="176" t="str">
        <f>IF(Z124="","",VLOOKUP(Z124,'G-7 Rivers Data'!$AO$4:$AP$7,2,FALSE))</f>
        <v/>
      </c>
      <c r="AB124" s="265" t="str">
        <f t="shared" si="12"/>
        <v/>
      </c>
      <c r="AC124" s="180"/>
      <c r="AD124" s="181"/>
      <c r="AK124" s="35" t="str">
        <f>IFERROR(INDEX('G-7 Rivers Data'!$AZ$3:$AZ$7,MATCH(C124,'G-7 Rivers Data'!$AY$3:$AY$7,0)),"")</f>
        <v/>
      </c>
    </row>
    <row r="125" spans="2:37" ht="13.8" x14ac:dyDescent="0.25">
      <c r="B125" s="168">
        <v>114</v>
      </c>
      <c r="C125" s="184"/>
      <c r="D125" s="213"/>
      <c r="E125" s="171" t="str">
        <f>IF(C125="","",VLOOKUP(C125,'G-7 Rivers Data'!$B$2:$Z$9,2,FALSE))</f>
        <v/>
      </c>
      <c r="F125" s="172" t="str">
        <f>IFERROR(VLOOKUP(E125,'G-7 Rivers Data'!$C$4:$D$8,2,FALSE),"")</f>
        <v/>
      </c>
      <c r="G125" s="173"/>
      <c r="H125" s="172" t="str">
        <f>IFERROR(INDEX('G-7 Rivers Data'!$H$4:$L$8,MATCH(C125,'G-7 Rivers Data'!$B$4:$B$8,0),MATCH(G125,'G-7 Rivers Data'!$H$3:$L$3,0)),"")</f>
        <v/>
      </c>
      <c r="I125" s="173"/>
      <c r="J125" s="269" t="str">
        <f>IF(I125="","",IF(VLOOKUP(I125,'G-7 Rivers Data'!$AG$4:$AI$9,2,FALSE)=0,"Spatial Data Missing",VLOOKUP(I125,'G-7 Rivers Data'!$AG$4:$AI$9,2,FALSE)))</f>
        <v/>
      </c>
      <c r="K125" s="172" t="str">
        <f>IF(I125="","",IF(VLOOKUP(I125,'G-7 Rivers Data'!$AG$4:$AI$9,3,FALSE)=0,"Spatial Data Missing",VLOOKUP(I125,'G-7 Rivers Data'!$AG$4:$AI$9,3,FALSE)))</f>
        <v/>
      </c>
      <c r="L125" s="384" t="str">
        <f>IFERROR(INDEX('G-7 Rivers Data'!$O$3:$O$7,MATCH(G125,'G-7 Rivers Data'!$N$3:$N$7,0)),"")</f>
        <v/>
      </c>
      <c r="M125" s="82"/>
      <c r="N125" s="261"/>
      <c r="O125" s="179" t="str">
        <f t="shared" si="7"/>
        <v/>
      </c>
      <c r="P125" s="262" t="str">
        <f t="shared" si="8"/>
        <v/>
      </c>
      <c r="Q125" s="382" t="str">
        <f>IFERROR(IF(P125="Check Data","Check Data",VLOOKUP(P125,'G-4 Temporal multipliers'!$A$4:$C$37,3,FALSE)),"")</f>
        <v/>
      </c>
      <c r="R125" s="171" t="str">
        <f>IF(C125="","",VLOOKUP(C125,'G-7 Rivers Data'!$B$4:$G$8,4,FALSE))</f>
        <v/>
      </c>
      <c r="S125" s="179" t="str">
        <f t="shared" si="9"/>
        <v/>
      </c>
      <c r="T125" s="269" t="str">
        <f t="shared" si="10"/>
        <v/>
      </c>
      <c r="U125" s="172" t="str">
        <f t="shared" si="11"/>
        <v/>
      </c>
      <c r="V125" s="79"/>
      <c r="W125" s="172" t="str">
        <f>IF(V125="","",IF(VLOOKUP(V125,'G-7 Rivers Data'!$AA$4:$AB$7,2,FALSE)=0,"Spatial Data Missing",VLOOKUP(V125,'G-7 Rivers Data'!$AA$4:$AB$7,2,FALSE)))</f>
        <v/>
      </c>
      <c r="X125" s="187"/>
      <c r="Y125" s="172" t="str">
        <f>IF(X125="","",IF(VLOOKUP(X125,'G-7 Rivers Data'!$AD$4:$AE$8,2,FALSE)=0,"Enrcoachment Data Missing",VLOOKUP(X125,'G-7 Rivers Data'!$AD$4:$AE$8,2,FALSE)))</f>
        <v/>
      </c>
      <c r="Z125" s="186"/>
      <c r="AA125" s="176" t="str">
        <f>IF(Z125="","",VLOOKUP(Z125,'G-7 Rivers Data'!$AO$4:$AP$7,2,FALSE))</f>
        <v/>
      </c>
      <c r="AB125" s="265" t="str">
        <f t="shared" si="12"/>
        <v/>
      </c>
      <c r="AC125" s="180"/>
      <c r="AD125" s="181"/>
      <c r="AK125" s="35" t="str">
        <f>IFERROR(INDEX('G-7 Rivers Data'!$AZ$3:$AZ$7,MATCH(C125,'G-7 Rivers Data'!$AY$3:$AY$7,0)),"")</f>
        <v/>
      </c>
    </row>
    <row r="126" spans="2:37" ht="13.8" x14ac:dyDescent="0.25">
      <c r="B126" s="168">
        <v>115</v>
      </c>
      <c r="C126" s="184"/>
      <c r="D126" s="213"/>
      <c r="E126" s="171" t="str">
        <f>IF(C126="","",VLOOKUP(C126,'G-7 Rivers Data'!$B$2:$Z$9,2,FALSE))</f>
        <v/>
      </c>
      <c r="F126" s="172" t="str">
        <f>IFERROR(VLOOKUP(E126,'G-7 Rivers Data'!$C$4:$D$8,2,FALSE),"")</f>
        <v/>
      </c>
      <c r="G126" s="173"/>
      <c r="H126" s="172" t="str">
        <f>IFERROR(INDEX('G-7 Rivers Data'!$H$4:$L$8,MATCH(C126,'G-7 Rivers Data'!$B$4:$B$8,0),MATCH(G126,'G-7 Rivers Data'!$H$3:$L$3,0)),"")</f>
        <v/>
      </c>
      <c r="I126" s="173"/>
      <c r="J126" s="269" t="str">
        <f>IF(I126="","",IF(VLOOKUP(I126,'G-7 Rivers Data'!$AG$4:$AI$9,2,FALSE)=0,"Spatial Data Missing",VLOOKUP(I126,'G-7 Rivers Data'!$AG$4:$AI$9,2,FALSE)))</f>
        <v/>
      </c>
      <c r="K126" s="172" t="str">
        <f>IF(I126="","",IF(VLOOKUP(I126,'G-7 Rivers Data'!$AG$4:$AI$9,3,FALSE)=0,"Spatial Data Missing",VLOOKUP(I126,'G-7 Rivers Data'!$AG$4:$AI$9,3,FALSE)))</f>
        <v/>
      </c>
      <c r="L126" s="384" t="str">
        <f>IFERROR(INDEX('G-7 Rivers Data'!$O$3:$O$7,MATCH(G126,'G-7 Rivers Data'!$N$3:$N$7,0)),"")</f>
        <v/>
      </c>
      <c r="M126" s="82"/>
      <c r="N126" s="261"/>
      <c r="O126" s="179" t="str">
        <f t="shared" si="7"/>
        <v/>
      </c>
      <c r="P126" s="262" t="str">
        <f t="shared" si="8"/>
        <v/>
      </c>
      <c r="Q126" s="382" t="str">
        <f>IFERROR(IF(P126="Check Data","Check Data",VLOOKUP(P126,'G-4 Temporal multipliers'!$A$4:$C$37,3,FALSE)),"")</f>
        <v/>
      </c>
      <c r="R126" s="171" t="str">
        <f>IF(C126="","",VLOOKUP(C126,'G-7 Rivers Data'!$B$4:$G$8,4,FALSE))</f>
        <v/>
      </c>
      <c r="S126" s="179" t="str">
        <f t="shared" si="9"/>
        <v/>
      </c>
      <c r="T126" s="269" t="str">
        <f t="shared" si="10"/>
        <v/>
      </c>
      <c r="U126" s="172" t="str">
        <f t="shared" si="11"/>
        <v/>
      </c>
      <c r="V126" s="79"/>
      <c r="W126" s="172" t="str">
        <f>IF(V126="","",IF(VLOOKUP(V126,'G-7 Rivers Data'!$AA$4:$AB$7,2,FALSE)=0,"Spatial Data Missing",VLOOKUP(V126,'G-7 Rivers Data'!$AA$4:$AB$7,2,FALSE)))</f>
        <v/>
      </c>
      <c r="X126" s="187"/>
      <c r="Y126" s="172" t="str">
        <f>IF(X126="","",IF(VLOOKUP(X126,'G-7 Rivers Data'!$AD$4:$AE$8,2,FALSE)=0,"Enrcoachment Data Missing",VLOOKUP(X126,'G-7 Rivers Data'!$AD$4:$AE$8,2,FALSE)))</f>
        <v/>
      </c>
      <c r="Z126" s="186"/>
      <c r="AA126" s="176" t="str">
        <f>IF(Z126="","",VLOOKUP(Z126,'G-7 Rivers Data'!$AO$4:$AP$7,2,FALSE))</f>
        <v/>
      </c>
      <c r="AB126" s="265" t="str">
        <f t="shared" si="12"/>
        <v/>
      </c>
      <c r="AC126" s="180"/>
      <c r="AD126" s="181"/>
      <c r="AK126" s="35" t="str">
        <f>IFERROR(INDEX('G-7 Rivers Data'!$AZ$3:$AZ$7,MATCH(C126,'G-7 Rivers Data'!$AY$3:$AY$7,0)),"")</f>
        <v/>
      </c>
    </row>
    <row r="127" spans="2:37" ht="13.8" x14ac:dyDescent="0.25">
      <c r="B127" s="168">
        <v>116</v>
      </c>
      <c r="C127" s="184"/>
      <c r="D127" s="213"/>
      <c r="E127" s="171" t="str">
        <f>IF(C127="","",VLOOKUP(C127,'G-7 Rivers Data'!$B$2:$Z$9,2,FALSE))</f>
        <v/>
      </c>
      <c r="F127" s="172" t="str">
        <f>IFERROR(VLOOKUP(E127,'G-7 Rivers Data'!$C$4:$D$8,2,FALSE),"")</f>
        <v/>
      </c>
      <c r="G127" s="173"/>
      <c r="H127" s="172" t="str">
        <f>IFERROR(INDEX('G-7 Rivers Data'!$H$4:$L$8,MATCH(C127,'G-7 Rivers Data'!$B$4:$B$8,0),MATCH(G127,'G-7 Rivers Data'!$H$3:$L$3,0)),"")</f>
        <v/>
      </c>
      <c r="I127" s="173"/>
      <c r="J127" s="269" t="str">
        <f>IF(I127="","",IF(VLOOKUP(I127,'G-7 Rivers Data'!$AG$4:$AI$9,2,FALSE)=0,"Spatial Data Missing",VLOOKUP(I127,'G-7 Rivers Data'!$AG$4:$AI$9,2,FALSE)))</f>
        <v/>
      </c>
      <c r="K127" s="172" t="str">
        <f>IF(I127="","",IF(VLOOKUP(I127,'G-7 Rivers Data'!$AG$4:$AI$9,3,FALSE)=0,"Spatial Data Missing",VLOOKUP(I127,'G-7 Rivers Data'!$AG$4:$AI$9,3,FALSE)))</f>
        <v/>
      </c>
      <c r="L127" s="384" t="str">
        <f>IFERROR(INDEX('G-7 Rivers Data'!$O$3:$O$7,MATCH(G127,'G-7 Rivers Data'!$N$3:$N$7,0)),"")</f>
        <v/>
      </c>
      <c r="M127" s="82"/>
      <c r="N127" s="261"/>
      <c r="O127" s="179" t="str">
        <f t="shared" si="7"/>
        <v/>
      </c>
      <c r="P127" s="262" t="str">
        <f t="shared" si="8"/>
        <v/>
      </c>
      <c r="Q127" s="382" t="str">
        <f>IFERROR(IF(P127="Check Data","Check Data",VLOOKUP(P127,'G-4 Temporal multipliers'!$A$4:$C$37,3,FALSE)),"")</f>
        <v/>
      </c>
      <c r="R127" s="171" t="str">
        <f>IF(C127="","",VLOOKUP(C127,'G-7 Rivers Data'!$B$4:$G$8,4,FALSE))</f>
        <v/>
      </c>
      <c r="S127" s="179" t="str">
        <f t="shared" si="9"/>
        <v/>
      </c>
      <c r="T127" s="269" t="str">
        <f t="shared" si="10"/>
        <v/>
      </c>
      <c r="U127" s="172" t="str">
        <f t="shared" si="11"/>
        <v/>
      </c>
      <c r="V127" s="79"/>
      <c r="W127" s="172" t="str">
        <f>IF(V127="","",IF(VLOOKUP(V127,'G-7 Rivers Data'!$AA$4:$AB$7,2,FALSE)=0,"Spatial Data Missing",VLOOKUP(V127,'G-7 Rivers Data'!$AA$4:$AB$7,2,FALSE)))</f>
        <v/>
      </c>
      <c r="X127" s="187"/>
      <c r="Y127" s="172" t="str">
        <f>IF(X127="","",IF(VLOOKUP(X127,'G-7 Rivers Data'!$AD$4:$AE$8,2,FALSE)=0,"Enrcoachment Data Missing",VLOOKUP(X127,'G-7 Rivers Data'!$AD$4:$AE$8,2,FALSE)))</f>
        <v/>
      </c>
      <c r="Z127" s="186"/>
      <c r="AA127" s="176" t="str">
        <f>IF(Z127="","",VLOOKUP(Z127,'G-7 Rivers Data'!$AO$4:$AP$7,2,FALSE))</f>
        <v/>
      </c>
      <c r="AB127" s="265" t="str">
        <f t="shared" si="12"/>
        <v/>
      </c>
      <c r="AC127" s="180"/>
      <c r="AD127" s="181"/>
      <c r="AK127" s="35" t="str">
        <f>IFERROR(INDEX('G-7 Rivers Data'!$AZ$3:$AZ$7,MATCH(C127,'G-7 Rivers Data'!$AY$3:$AY$7,0)),"")</f>
        <v/>
      </c>
    </row>
    <row r="128" spans="2:37" ht="13.8" x14ac:dyDescent="0.25">
      <c r="B128" s="168">
        <v>117</v>
      </c>
      <c r="C128" s="184"/>
      <c r="D128" s="213"/>
      <c r="E128" s="171" t="str">
        <f>IF(C128="","",VLOOKUP(C128,'G-7 Rivers Data'!$B$2:$Z$9,2,FALSE))</f>
        <v/>
      </c>
      <c r="F128" s="172" t="str">
        <f>IFERROR(VLOOKUP(E128,'G-7 Rivers Data'!$C$4:$D$8,2,FALSE),"")</f>
        <v/>
      </c>
      <c r="G128" s="173"/>
      <c r="H128" s="172" t="str">
        <f>IFERROR(INDEX('G-7 Rivers Data'!$H$4:$L$8,MATCH(C128,'G-7 Rivers Data'!$B$4:$B$8,0),MATCH(G128,'G-7 Rivers Data'!$H$3:$L$3,0)),"")</f>
        <v/>
      </c>
      <c r="I128" s="173"/>
      <c r="J128" s="269" t="str">
        <f>IF(I128="","",IF(VLOOKUP(I128,'G-7 Rivers Data'!$AG$4:$AI$9,2,FALSE)=0,"Spatial Data Missing",VLOOKUP(I128,'G-7 Rivers Data'!$AG$4:$AI$9,2,FALSE)))</f>
        <v/>
      </c>
      <c r="K128" s="172" t="str">
        <f>IF(I128="","",IF(VLOOKUP(I128,'G-7 Rivers Data'!$AG$4:$AI$9,3,FALSE)=0,"Spatial Data Missing",VLOOKUP(I128,'G-7 Rivers Data'!$AG$4:$AI$9,3,FALSE)))</f>
        <v/>
      </c>
      <c r="L128" s="384" t="str">
        <f>IFERROR(INDEX('G-7 Rivers Data'!$O$3:$O$7,MATCH(G128,'G-7 Rivers Data'!$N$3:$N$7,0)),"")</f>
        <v/>
      </c>
      <c r="M128" s="82"/>
      <c r="N128" s="261"/>
      <c r="O128" s="179" t="str">
        <f t="shared" si="7"/>
        <v/>
      </c>
      <c r="P128" s="262" t="str">
        <f t="shared" si="8"/>
        <v/>
      </c>
      <c r="Q128" s="382" t="str">
        <f>IFERROR(IF(P128="Check Data","Check Data",VLOOKUP(P128,'G-4 Temporal multipliers'!$A$4:$C$37,3,FALSE)),"")</f>
        <v/>
      </c>
      <c r="R128" s="171" t="str">
        <f>IF(C128="","",VLOOKUP(C128,'G-7 Rivers Data'!$B$4:$G$8,4,FALSE))</f>
        <v/>
      </c>
      <c r="S128" s="179" t="str">
        <f t="shared" si="9"/>
        <v/>
      </c>
      <c r="T128" s="269" t="str">
        <f t="shared" si="10"/>
        <v/>
      </c>
      <c r="U128" s="172" t="str">
        <f t="shared" si="11"/>
        <v/>
      </c>
      <c r="V128" s="79"/>
      <c r="W128" s="172" t="str">
        <f>IF(V128="","",IF(VLOOKUP(V128,'G-7 Rivers Data'!$AA$4:$AB$7,2,FALSE)=0,"Spatial Data Missing",VLOOKUP(V128,'G-7 Rivers Data'!$AA$4:$AB$7,2,FALSE)))</f>
        <v/>
      </c>
      <c r="X128" s="187"/>
      <c r="Y128" s="172" t="str">
        <f>IF(X128="","",IF(VLOOKUP(X128,'G-7 Rivers Data'!$AD$4:$AE$8,2,FALSE)=0,"Enrcoachment Data Missing",VLOOKUP(X128,'G-7 Rivers Data'!$AD$4:$AE$8,2,FALSE)))</f>
        <v/>
      </c>
      <c r="Z128" s="186"/>
      <c r="AA128" s="176" t="str">
        <f>IF(Z128="","",VLOOKUP(Z128,'G-7 Rivers Data'!$AO$4:$AP$7,2,FALSE))</f>
        <v/>
      </c>
      <c r="AB128" s="265" t="str">
        <f t="shared" si="12"/>
        <v/>
      </c>
      <c r="AC128" s="180"/>
      <c r="AD128" s="181"/>
      <c r="AK128" s="35" t="str">
        <f>IFERROR(INDEX('G-7 Rivers Data'!$AZ$3:$AZ$7,MATCH(C128,'G-7 Rivers Data'!$AY$3:$AY$7,0)),"")</f>
        <v/>
      </c>
    </row>
    <row r="129" spans="2:37" ht="13.8" x14ac:dyDescent="0.25">
      <c r="B129" s="168">
        <v>118</v>
      </c>
      <c r="C129" s="184"/>
      <c r="D129" s="213"/>
      <c r="E129" s="171" t="str">
        <f>IF(C129="","",VLOOKUP(C129,'G-7 Rivers Data'!$B$2:$Z$9,2,FALSE))</f>
        <v/>
      </c>
      <c r="F129" s="172" t="str">
        <f>IFERROR(VLOOKUP(E129,'G-7 Rivers Data'!$C$4:$D$8,2,FALSE),"")</f>
        <v/>
      </c>
      <c r="G129" s="173"/>
      <c r="H129" s="172" t="str">
        <f>IFERROR(INDEX('G-7 Rivers Data'!$H$4:$L$8,MATCH(C129,'G-7 Rivers Data'!$B$4:$B$8,0),MATCH(G129,'G-7 Rivers Data'!$H$3:$L$3,0)),"")</f>
        <v/>
      </c>
      <c r="I129" s="173"/>
      <c r="J129" s="269" t="str">
        <f>IF(I129="","",IF(VLOOKUP(I129,'G-7 Rivers Data'!$AG$4:$AI$9,2,FALSE)=0,"Spatial Data Missing",VLOOKUP(I129,'G-7 Rivers Data'!$AG$4:$AI$9,2,FALSE)))</f>
        <v/>
      </c>
      <c r="K129" s="172" t="str">
        <f>IF(I129="","",IF(VLOOKUP(I129,'G-7 Rivers Data'!$AG$4:$AI$9,3,FALSE)=0,"Spatial Data Missing",VLOOKUP(I129,'G-7 Rivers Data'!$AG$4:$AI$9,3,FALSE)))</f>
        <v/>
      </c>
      <c r="L129" s="384" t="str">
        <f>IFERROR(INDEX('G-7 Rivers Data'!$O$3:$O$7,MATCH(G129,'G-7 Rivers Data'!$N$3:$N$7,0)),"")</f>
        <v/>
      </c>
      <c r="M129" s="82"/>
      <c r="N129" s="261"/>
      <c r="O129" s="179" t="str">
        <f t="shared" si="7"/>
        <v/>
      </c>
      <c r="P129" s="262" t="str">
        <f t="shared" si="8"/>
        <v/>
      </c>
      <c r="Q129" s="382" t="str">
        <f>IFERROR(IF(P129="Check Data","Check Data",VLOOKUP(P129,'G-4 Temporal multipliers'!$A$4:$C$37,3,FALSE)),"")</f>
        <v/>
      </c>
      <c r="R129" s="171" t="str">
        <f>IF(C129="","",VLOOKUP(C129,'G-7 Rivers Data'!$B$4:$G$8,4,FALSE))</f>
        <v/>
      </c>
      <c r="S129" s="179" t="str">
        <f t="shared" si="9"/>
        <v/>
      </c>
      <c r="T129" s="269" t="str">
        <f t="shared" si="10"/>
        <v/>
      </c>
      <c r="U129" s="172" t="str">
        <f t="shared" si="11"/>
        <v/>
      </c>
      <c r="V129" s="79"/>
      <c r="W129" s="172" t="str">
        <f>IF(V129="","",IF(VLOOKUP(V129,'G-7 Rivers Data'!$AA$4:$AB$7,2,FALSE)=0,"Spatial Data Missing",VLOOKUP(V129,'G-7 Rivers Data'!$AA$4:$AB$7,2,FALSE)))</f>
        <v/>
      </c>
      <c r="X129" s="187"/>
      <c r="Y129" s="172" t="str">
        <f>IF(X129="","",IF(VLOOKUP(X129,'G-7 Rivers Data'!$AD$4:$AE$8,2,FALSE)=0,"Enrcoachment Data Missing",VLOOKUP(X129,'G-7 Rivers Data'!$AD$4:$AE$8,2,FALSE)))</f>
        <v/>
      </c>
      <c r="Z129" s="186"/>
      <c r="AA129" s="176" t="str">
        <f>IF(Z129="","",VLOOKUP(Z129,'G-7 Rivers Data'!$AO$4:$AP$7,2,FALSE))</f>
        <v/>
      </c>
      <c r="AB129" s="265" t="str">
        <f t="shared" si="12"/>
        <v/>
      </c>
      <c r="AC129" s="180"/>
      <c r="AD129" s="181"/>
      <c r="AK129" s="35" t="str">
        <f>IFERROR(INDEX('G-7 Rivers Data'!$AZ$3:$AZ$7,MATCH(C129,'G-7 Rivers Data'!$AY$3:$AY$7,0)),"")</f>
        <v/>
      </c>
    </row>
    <row r="130" spans="2:37" ht="13.8" x14ac:dyDescent="0.25">
      <c r="B130" s="168">
        <v>119</v>
      </c>
      <c r="C130" s="184"/>
      <c r="D130" s="213"/>
      <c r="E130" s="171" t="str">
        <f>IF(C130="","",VLOOKUP(C130,'G-7 Rivers Data'!$B$2:$Z$9,2,FALSE))</f>
        <v/>
      </c>
      <c r="F130" s="172" t="str">
        <f>IFERROR(VLOOKUP(E130,'G-7 Rivers Data'!$C$4:$D$8,2,FALSE),"")</f>
        <v/>
      </c>
      <c r="G130" s="173"/>
      <c r="H130" s="172" t="str">
        <f>IFERROR(INDEX('G-7 Rivers Data'!$H$4:$L$8,MATCH(C130,'G-7 Rivers Data'!$B$4:$B$8,0),MATCH(G130,'G-7 Rivers Data'!$H$3:$L$3,0)),"")</f>
        <v/>
      </c>
      <c r="I130" s="173"/>
      <c r="J130" s="269" t="str">
        <f>IF(I130="","",IF(VLOOKUP(I130,'G-7 Rivers Data'!$AG$4:$AI$9,2,FALSE)=0,"Spatial Data Missing",VLOOKUP(I130,'G-7 Rivers Data'!$AG$4:$AI$9,2,FALSE)))</f>
        <v/>
      </c>
      <c r="K130" s="172" t="str">
        <f>IF(I130="","",IF(VLOOKUP(I130,'G-7 Rivers Data'!$AG$4:$AI$9,3,FALSE)=0,"Spatial Data Missing",VLOOKUP(I130,'G-7 Rivers Data'!$AG$4:$AI$9,3,FALSE)))</f>
        <v/>
      </c>
      <c r="L130" s="384" t="str">
        <f>IFERROR(INDEX('G-7 Rivers Data'!$O$3:$O$7,MATCH(G130,'G-7 Rivers Data'!$N$3:$N$7,0)),"")</f>
        <v/>
      </c>
      <c r="M130" s="82"/>
      <c r="N130" s="261"/>
      <c r="O130" s="179" t="str">
        <f t="shared" si="7"/>
        <v/>
      </c>
      <c r="P130" s="262" t="str">
        <f t="shared" si="8"/>
        <v/>
      </c>
      <c r="Q130" s="382" t="str">
        <f>IFERROR(IF(P130="Check Data","Check Data",VLOOKUP(P130,'G-4 Temporal multipliers'!$A$4:$C$37,3,FALSE)),"")</f>
        <v/>
      </c>
      <c r="R130" s="171" t="str">
        <f>IF(C130="","",VLOOKUP(C130,'G-7 Rivers Data'!$B$4:$G$8,4,FALSE))</f>
        <v/>
      </c>
      <c r="S130" s="179" t="str">
        <f t="shared" si="9"/>
        <v/>
      </c>
      <c r="T130" s="269" t="str">
        <f t="shared" si="10"/>
        <v/>
      </c>
      <c r="U130" s="172" t="str">
        <f t="shared" si="11"/>
        <v/>
      </c>
      <c r="V130" s="79"/>
      <c r="W130" s="172" t="str">
        <f>IF(V130="","",IF(VLOOKUP(V130,'G-7 Rivers Data'!$AA$4:$AB$7,2,FALSE)=0,"Spatial Data Missing",VLOOKUP(V130,'G-7 Rivers Data'!$AA$4:$AB$7,2,FALSE)))</f>
        <v/>
      </c>
      <c r="X130" s="187"/>
      <c r="Y130" s="172" t="str">
        <f>IF(X130="","",IF(VLOOKUP(X130,'G-7 Rivers Data'!$AD$4:$AE$8,2,FALSE)=0,"Enrcoachment Data Missing",VLOOKUP(X130,'G-7 Rivers Data'!$AD$4:$AE$8,2,FALSE)))</f>
        <v/>
      </c>
      <c r="Z130" s="186"/>
      <c r="AA130" s="176" t="str">
        <f>IF(Z130="","",VLOOKUP(Z130,'G-7 Rivers Data'!$AO$4:$AP$7,2,FALSE))</f>
        <v/>
      </c>
      <c r="AB130" s="265" t="str">
        <f t="shared" si="12"/>
        <v/>
      </c>
      <c r="AC130" s="180"/>
      <c r="AD130" s="181"/>
      <c r="AK130" s="35" t="str">
        <f>IFERROR(INDEX('G-7 Rivers Data'!$AZ$3:$AZ$7,MATCH(C130,'G-7 Rivers Data'!$AY$3:$AY$7,0)),"")</f>
        <v/>
      </c>
    </row>
    <row r="131" spans="2:37" ht="13.8" x14ac:dyDescent="0.25">
      <c r="B131" s="168">
        <v>120</v>
      </c>
      <c r="C131" s="184"/>
      <c r="D131" s="213"/>
      <c r="E131" s="171" t="str">
        <f>IF(C131="","",VLOOKUP(C131,'G-7 Rivers Data'!$B$2:$Z$9,2,FALSE))</f>
        <v/>
      </c>
      <c r="F131" s="172" t="str">
        <f>IFERROR(VLOOKUP(E131,'G-7 Rivers Data'!$C$4:$D$8,2,FALSE),"")</f>
        <v/>
      </c>
      <c r="G131" s="173"/>
      <c r="H131" s="172" t="str">
        <f>IFERROR(INDEX('G-7 Rivers Data'!$H$4:$L$8,MATCH(C131,'G-7 Rivers Data'!$B$4:$B$8,0),MATCH(G131,'G-7 Rivers Data'!$H$3:$L$3,0)),"")</f>
        <v/>
      </c>
      <c r="I131" s="173"/>
      <c r="J131" s="269" t="str">
        <f>IF(I131="","",IF(VLOOKUP(I131,'G-7 Rivers Data'!$AG$4:$AI$9,2,FALSE)=0,"Spatial Data Missing",VLOOKUP(I131,'G-7 Rivers Data'!$AG$4:$AI$9,2,FALSE)))</f>
        <v/>
      </c>
      <c r="K131" s="172" t="str">
        <f>IF(I131="","",IF(VLOOKUP(I131,'G-7 Rivers Data'!$AG$4:$AI$9,3,FALSE)=0,"Spatial Data Missing",VLOOKUP(I131,'G-7 Rivers Data'!$AG$4:$AI$9,3,FALSE)))</f>
        <v/>
      </c>
      <c r="L131" s="384" t="str">
        <f>IFERROR(INDEX('G-7 Rivers Data'!$O$3:$O$7,MATCH(G131,'G-7 Rivers Data'!$N$3:$N$7,0)),"")</f>
        <v/>
      </c>
      <c r="M131" s="82"/>
      <c r="N131" s="261"/>
      <c r="O131" s="179" t="str">
        <f t="shared" si="7"/>
        <v/>
      </c>
      <c r="P131" s="262" t="str">
        <f t="shared" si="8"/>
        <v/>
      </c>
      <c r="Q131" s="382" t="str">
        <f>IFERROR(IF(P131="Check Data","Check Data",VLOOKUP(P131,'G-4 Temporal multipliers'!$A$4:$C$37,3,FALSE)),"")</f>
        <v/>
      </c>
      <c r="R131" s="171" t="str">
        <f>IF(C131="","",VLOOKUP(C131,'G-7 Rivers Data'!$B$4:$G$8,4,FALSE))</f>
        <v/>
      </c>
      <c r="S131" s="179" t="str">
        <f t="shared" si="9"/>
        <v/>
      </c>
      <c r="T131" s="269" t="str">
        <f t="shared" si="10"/>
        <v/>
      </c>
      <c r="U131" s="172" t="str">
        <f t="shared" si="11"/>
        <v/>
      </c>
      <c r="V131" s="79"/>
      <c r="W131" s="172" t="str">
        <f>IF(V131="","",IF(VLOOKUP(V131,'G-7 Rivers Data'!$AA$4:$AB$7,2,FALSE)=0,"Spatial Data Missing",VLOOKUP(V131,'G-7 Rivers Data'!$AA$4:$AB$7,2,FALSE)))</f>
        <v/>
      </c>
      <c r="X131" s="187"/>
      <c r="Y131" s="172" t="str">
        <f>IF(X131="","",IF(VLOOKUP(X131,'G-7 Rivers Data'!$AD$4:$AE$8,2,FALSE)=0,"Enrcoachment Data Missing",VLOOKUP(X131,'G-7 Rivers Data'!$AD$4:$AE$8,2,FALSE)))</f>
        <v/>
      </c>
      <c r="Z131" s="186"/>
      <c r="AA131" s="176" t="str">
        <f>IF(Z131="","",VLOOKUP(Z131,'G-7 Rivers Data'!$AO$4:$AP$7,2,FALSE))</f>
        <v/>
      </c>
      <c r="AB131" s="265" t="str">
        <f t="shared" si="12"/>
        <v/>
      </c>
      <c r="AC131" s="180"/>
      <c r="AD131" s="181"/>
      <c r="AK131" s="35" t="str">
        <f>IFERROR(INDEX('G-7 Rivers Data'!$AZ$3:$AZ$7,MATCH(C131,'G-7 Rivers Data'!$AY$3:$AY$7,0)),"")</f>
        <v/>
      </c>
    </row>
    <row r="132" spans="2:37" ht="13.8" x14ac:dyDescent="0.25">
      <c r="B132" s="168">
        <v>121</v>
      </c>
      <c r="C132" s="184"/>
      <c r="D132" s="213"/>
      <c r="E132" s="171" t="str">
        <f>IF(C132="","",VLOOKUP(C132,'G-7 Rivers Data'!$B$2:$Z$9,2,FALSE))</f>
        <v/>
      </c>
      <c r="F132" s="172" t="str">
        <f>IFERROR(VLOOKUP(E132,'G-7 Rivers Data'!$C$4:$D$8,2,FALSE),"")</f>
        <v/>
      </c>
      <c r="G132" s="173"/>
      <c r="H132" s="172" t="str">
        <f>IFERROR(INDEX('G-7 Rivers Data'!$H$4:$L$8,MATCH(C132,'G-7 Rivers Data'!$B$4:$B$8,0),MATCH(G132,'G-7 Rivers Data'!$H$3:$L$3,0)),"")</f>
        <v/>
      </c>
      <c r="I132" s="173"/>
      <c r="J132" s="269" t="str">
        <f>IF(I132="","",IF(VLOOKUP(I132,'G-7 Rivers Data'!$AG$4:$AI$9,2,FALSE)=0,"Spatial Data Missing",VLOOKUP(I132,'G-7 Rivers Data'!$AG$4:$AI$9,2,FALSE)))</f>
        <v/>
      </c>
      <c r="K132" s="172" t="str">
        <f>IF(I132="","",IF(VLOOKUP(I132,'G-7 Rivers Data'!$AG$4:$AI$9,3,FALSE)=0,"Spatial Data Missing",VLOOKUP(I132,'G-7 Rivers Data'!$AG$4:$AI$9,3,FALSE)))</f>
        <v/>
      </c>
      <c r="L132" s="384" t="str">
        <f>IFERROR(INDEX('G-7 Rivers Data'!$O$3:$O$7,MATCH(G132,'G-7 Rivers Data'!$N$3:$N$7,0)),"")</f>
        <v/>
      </c>
      <c r="M132" s="82"/>
      <c r="N132" s="261"/>
      <c r="O132" s="179" t="str">
        <f t="shared" si="7"/>
        <v/>
      </c>
      <c r="P132" s="262" t="str">
        <f t="shared" si="8"/>
        <v/>
      </c>
      <c r="Q132" s="382" t="str">
        <f>IFERROR(IF(P132="Check Data","Check Data",VLOOKUP(P132,'G-4 Temporal multipliers'!$A$4:$C$37,3,FALSE)),"")</f>
        <v/>
      </c>
      <c r="R132" s="171" t="str">
        <f>IF(C132="","",VLOOKUP(C132,'G-7 Rivers Data'!$B$4:$G$8,4,FALSE))</f>
        <v/>
      </c>
      <c r="S132" s="179" t="str">
        <f t="shared" si="9"/>
        <v/>
      </c>
      <c r="T132" s="269" t="str">
        <f t="shared" si="10"/>
        <v/>
      </c>
      <c r="U132" s="172" t="str">
        <f t="shared" si="11"/>
        <v/>
      </c>
      <c r="V132" s="79"/>
      <c r="W132" s="172" t="str">
        <f>IF(V132="","",IF(VLOOKUP(V132,'G-7 Rivers Data'!$AA$4:$AB$7,2,FALSE)=0,"Spatial Data Missing",VLOOKUP(V132,'G-7 Rivers Data'!$AA$4:$AB$7,2,FALSE)))</f>
        <v/>
      </c>
      <c r="X132" s="187"/>
      <c r="Y132" s="172" t="str">
        <f>IF(X132="","",IF(VLOOKUP(X132,'G-7 Rivers Data'!$AD$4:$AE$8,2,FALSE)=0,"Enrcoachment Data Missing",VLOOKUP(X132,'G-7 Rivers Data'!$AD$4:$AE$8,2,FALSE)))</f>
        <v/>
      </c>
      <c r="Z132" s="186"/>
      <c r="AA132" s="176" t="str">
        <f>IF(Z132="","",VLOOKUP(Z132,'G-7 Rivers Data'!$AO$4:$AP$7,2,FALSE))</f>
        <v/>
      </c>
      <c r="AB132" s="265" t="str">
        <f t="shared" si="12"/>
        <v/>
      </c>
      <c r="AC132" s="180"/>
      <c r="AD132" s="181"/>
      <c r="AK132" s="35" t="str">
        <f>IFERROR(INDEX('G-7 Rivers Data'!$AZ$3:$AZ$7,MATCH(C132,'G-7 Rivers Data'!$AY$3:$AY$7,0)),"")</f>
        <v/>
      </c>
    </row>
    <row r="133" spans="2:37" ht="13.8" x14ac:dyDescent="0.25">
      <c r="B133" s="168">
        <v>122</v>
      </c>
      <c r="C133" s="184"/>
      <c r="D133" s="213"/>
      <c r="E133" s="171" t="str">
        <f>IF(C133="","",VLOOKUP(C133,'G-7 Rivers Data'!$B$2:$Z$9,2,FALSE))</f>
        <v/>
      </c>
      <c r="F133" s="172" t="str">
        <f>IFERROR(VLOOKUP(E133,'G-7 Rivers Data'!$C$4:$D$8,2,FALSE),"")</f>
        <v/>
      </c>
      <c r="G133" s="173"/>
      <c r="H133" s="172" t="str">
        <f>IFERROR(INDEX('G-7 Rivers Data'!$H$4:$L$8,MATCH(C133,'G-7 Rivers Data'!$B$4:$B$8,0),MATCH(G133,'G-7 Rivers Data'!$H$3:$L$3,0)),"")</f>
        <v/>
      </c>
      <c r="I133" s="173"/>
      <c r="J133" s="269" t="str">
        <f>IF(I133="","",IF(VLOOKUP(I133,'G-7 Rivers Data'!$AG$4:$AI$9,2,FALSE)=0,"Spatial Data Missing",VLOOKUP(I133,'G-7 Rivers Data'!$AG$4:$AI$9,2,FALSE)))</f>
        <v/>
      </c>
      <c r="K133" s="172" t="str">
        <f>IF(I133="","",IF(VLOOKUP(I133,'G-7 Rivers Data'!$AG$4:$AI$9,3,FALSE)=0,"Spatial Data Missing",VLOOKUP(I133,'G-7 Rivers Data'!$AG$4:$AI$9,3,FALSE)))</f>
        <v/>
      </c>
      <c r="L133" s="384" t="str">
        <f>IFERROR(INDEX('G-7 Rivers Data'!$O$3:$O$7,MATCH(G133,'G-7 Rivers Data'!$N$3:$N$7,0)),"")</f>
        <v/>
      </c>
      <c r="M133" s="82"/>
      <c r="N133" s="261"/>
      <c r="O133" s="179" t="str">
        <f t="shared" si="7"/>
        <v/>
      </c>
      <c r="P133" s="262" t="str">
        <f t="shared" si="8"/>
        <v/>
      </c>
      <c r="Q133" s="382" t="str">
        <f>IFERROR(IF(P133="Check Data","Check Data",VLOOKUP(P133,'G-4 Temporal multipliers'!$A$4:$C$37,3,FALSE)),"")</f>
        <v/>
      </c>
      <c r="R133" s="171" t="str">
        <f>IF(C133="","",VLOOKUP(C133,'G-7 Rivers Data'!$B$4:$G$8,4,FALSE))</f>
        <v/>
      </c>
      <c r="S133" s="179" t="str">
        <f t="shared" si="9"/>
        <v/>
      </c>
      <c r="T133" s="269" t="str">
        <f t="shared" si="10"/>
        <v/>
      </c>
      <c r="U133" s="172" t="str">
        <f t="shared" si="11"/>
        <v/>
      </c>
      <c r="V133" s="79"/>
      <c r="W133" s="172" t="str">
        <f>IF(V133="","",IF(VLOOKUP(V133,'G-7 Rivers Data'!$AA$4:$AB$7,2,FALSE)=0,"Spatial Data Missing",VLOOKUP(V133,'G-7 Rivers Data'!$AA$4:$AB$7,2,FALSE)))</f>
        <v/>
      </c>
      <c r="X133" s="187"/>
      <c r="Y133" s="172" t="str">
        <f>IF(X133="","",IF(VLOOKUP(X133,'G-7 Rivers Data'!$AD$4:$AE$8,2,FALSE)=0,"Enrcoachment Data Missing",VLOOKUP(X133,'G-7 Rivers Data'!$AD$4:$AE$8,2,FALSE)))</f>
        <v/>
      </c>
      <c r="Z133" s="186"/>
      <c r="AA133" s="176" t="str">
        <f>IF(Z133="","",VLOOKUP(Z133,'G-7 Rivers Data'!$AO$4:$AP$7,2,FALSE))</f>
        <v/>
      </c>
      <c r="AB133" s="265" t="str">
        <f t="shared" si="12"/>
        <v/>
      </c>
      <c r="AC133" s="180"/>
      <c r="AD133" s="181"/>
      <c r="AK133" s="35" t="str">
        <f>IFERROR(INDEX('G-7 Rivers Data'!$AZ$3:$AZ$7,MATCH(C133,'G-7 Rivers Data'!$AY$3:$AY$7,0)),"")</f>
        <v/>
      </c>
    </row>
    <row r="134" spans="2:37" ht="13.8" x14ac:dyDescent="0.25">
      <c r="B134" s="168">
        <v>123</v>
      </c>
      <c r="C134" s="184"/>
      <c r="D134" s="213"/>
      <c r="E134" s="171" t="str">
        <f>IF(C134="","",VLOOKUP(C134,'G-7 Rivers Data'!$B$2:$Z$9,2,FALSE))</f>
        <v/>
      </c>
      <c r="F134" s="172" t="str">
        <f>IFERROR(VLOOKUP(E134,'G-7 Rivers Data'!$C$4:$D$8,2,FALSE),"")</f>
        <v/>
      </c>
      <c r="G134" s="173"/>
      <c r="H134" s="172" t="str">
        <f>IFERROR(INDEX('G-7 Rivers Data'!$H$4:$L$8,MATCH(C134,'G-7 Rivers Data'!$B$4:$B$8,0),MATCH(G134,'G-7 Rivers Data'!$H$3:$L$3,0)),"")</f>
        <v/>
      </c>
      <c r="I134" s="173"/>
      <c r="J134" s="269" t="str">
        <f>IF(I134="","",IF(VLOOKUP(I134,'G-7 Rivers Data'!$AG$4:$AI$9,2,FALSE)=0,"Spatial Data Missing",VLOOKUP(I134,'G-7 Rivers Data'!$AG$4:$AI$9,2,FALSE)))</f>
        <v/>
      </c>
      <c r="K134" s="172" t="str">
        <f>IF(I134="","",IF(VLOOKUP(I134,'G-7 Rivers Data'!$AG$4:$AI$9,3,FALSE)=0,"Spatial Data Missing",VLOOKUP(I134,'G-7 Rivers Data'!$AG$4:$AI$9,3,FALSE)))</f>
        <v/>
      </c>
      <c r="L134" s="384" t="str">
        <f>IFERROR(INDEX('G-7 Rivers Data'!$O$3:$O$7,MATCH(G134,'G-7 Rivers Data'!$N$3:$N$7,0)),"")</f>
        <v/>
      </c>
      <c r="M134" s="82"/>
      <c r="N134" s="261"/>
      <c r="O134" s="179" t="str">
        <f t="shared" si="7"/>
        <v/>
      </c>
      <c r="P134" s="262" t="str">
        <f t="shared" si="8"/>
        <v/>
      </c>
      <c r="Q134" s="382" t="str">
        <f>IFERROR(IF(P134="Check Data","Check Data",VLOOKUP(P134,'G-4 Temporal multipliers'!$A$4:$C$37,3,FALSE)),"")</f>
        <v/>
      </c>
      <c r="R134" s="171" t="str">
        <f>IF(C134="","",VLOOKUP(C134,'G-7 Rivers Data'!$B$4:$G$8,4,FALSE))</f>
        <v/>
      </c>
      <c r="S134" s="179" t="str">
        <f t="shared" si="9"/>
        <v/>
      </c>
      <c r="T134" s="269" t="str">
        <f t="shared" si="10"/>
        <v/>
      </c>
      <c r="U134" s="172" t="str">
        <f t="shared" si="11"/>
        <v/>
      </c>
      <c r="V134" s="79"/>
      <c r="W134" s="172" t="str">
        <f>IF(V134="","",IF(VLOOKUP(V134,'G-7 Rivers Data'!$AA$4:$AB$7,2,FALSE)=0,"Spatial Data Missing",VLOOKUP(V134,'G-7 Rivers Data'!$AA$4:$AB$7,2,FALSE)))</f>
        <v/>
      </c>
      <c r="X134" s="187"/>
      <c r="Y134" s="172" t="str">
        <f>IF(X134="","",IF(VLOOKUP(X134,'G-7 Rivers Data'!$AD$4:$AE$8,2,FALSE)=0,"Enrcoachment Data Missing",VLOOKUP(X134,'G-7 Rivers Data'!$AD$4:$AE$8,2,FALSE)))</f>
        <v/>
      </c>
      <c r="Z134" s="186"/>
      <c r="AA134" s="176" t="str">
        <f>IF(Z134="","",VLOOKUP(Z134,'G-7 Rivers Data'!$AO$4:$AP$7,2,FALSE))</f>
        <v/>
      </c>
      <c r="AB134" s="265" t="str">
        <f t="shared" si="12"/>
        <v/>
      </c>
      <c r="AC134" s="180"/>
      <c r="AD134" s="181"/>
      <c r="AK134" s="35" t="str">
        <f>IFERROR(INDEX('G-7 Rivers Data'!$AZ$3:$AZ$7,MATCH(C134,'G-7 Rivers Data'!$AY$3:$AY$7,0)),"")</f>
        <v/>
      </c>
    </row>
    <row r="135" spans="2:37" ht="13.8" x14ac:dyDescent="0.25">
      <c r="B135" s="168">
        <v>124</v>
      </c>
      <c r="C135" s="184"/>
      <c r="D135" s="213"/>
      <c r="E135" s="171" t="str">
        <f>IF(C135="","",VLOOKUP(C135,'G-7 Rivers Data'!$B$2:$Z$9,2,FALSE))</f>
        <v/>
      </c>
      <c r="F135" s="172" t="str">
        <f>IFERROR(VLOOKUP(E135,'G-7 Rivers Data'!$C$4:$D$8,2,FALSE),"")</f>
        <v/>
      </c>
      <c r="G135" s="173"/>
      <c r="H135" s="172" t="str">
        <f>IFERROR(INDEX('G-7 Rivers Data'!$H$4:$L$8,MATCH(C135,'G-7 Rivers Data'!$B$4:$B$8,0),MATCH(G135,'G-7 Rivers Data'!$H$3:$L$3,0)),"")</f>
        <v/>
      </c>
      <c r="I135" s="173"/>
      <c r="J135" s="269" t="str">
        <f>IF(I135="","",IF(VLOOKUP(I135,'G-7 Rivers Data'!$AG$4:$AI$9,2,FALSE)=0,"Spatial Data Missing",VLOOKUP(I135,'G-7 Rivers Data'!$AG$4:$AI$9,2,FALSE)))</f>
        <v/>
      </c>
      <c r="K135" s="172" t="str">
        <f>IF(I135="","",IF(VLOOKUP(I135,'G-7 Rivers Data'!$AG$4:$AI$9,3,FALSE)=0,"Spatial Data Missing",VLOOKUP(I135,'G-7 Rivers Data'!$AG$4:$AI$9,3,FALSE)))</f>
        <v/>
      </c>
      <c r="L135" s="384" t="str">
        <f>IFERROR(INDEX('G-7 Rivers Data'!$O$3:$O$7,MATCH(G135,'G-7 Rivers Data'!$N$3:$N$7,0)),"")</f>
        <v/>
      </c>
      <c r="M135" s="82"/>
      <c r="N135" s="261"/>
      <c r="O135" s="179" t="str">
        <f t="shared" si="7"/>
        <v/>
      </c>
      <c r="P135" s="262" t="str">
        <f t="shared" si="8"/>
        <v/>
      </c>
      <c r="Q135" s="382" t="str">
        <f>IFERROR(IF(P135="Check Data","Check Data",VLOOKUP(P135,'G-4 Temporal multipliers'!$A$4:$C$37,3,FALSE)),"")</f>
        <v/>
      </c>
      <c r="R135" s="171" t="str">
        <f>IF(C135="","",VLOOKUP(C135,'G-7 Rivers Data'!$B$4:$G$8,4,FALSE))</f>
        <v/>
      </c>
      <c r="S135" s="179" t="str">
        <f t="shared" si="9"/>
        <v/>
      </c>
      <c r="T135" s="269" t="str">
        <f t="shared" si="10"/>
        <v/>
      </c>
      <c r="U135" s="172" t="str">
        <f t="shared" si="11"/>
        <v/>
      </c>
      <c r="V135" s="79"/>
      <c r="W135" s="172" t="str">
        <f>IF(V135="","",IF(VLOOKUP(V135,'G-7 Rivers Data'!$AA$4:$AB$7,2,FALSE)=0,"Spatial Data Missing",VLOOKUP(V135,'G-7 Rivers Data'!$AA$4:$AB$7,2,FALSE)))</f>
        <v/>
      </c>
      <c r="X135" s="187"/>
      <c r="Y135" s="172" t="str">
        <f>IF(X135="","",IF(VLOOKUP(X135,'G-7 Rivers Data'!$AD$4:$AE$8,2,FALSE)=0,"Enrcoachment Data Missing",VLOOKUP(X135,'G-7 Rivers Data'!$AD$4:$AE$8,2,FALSE)))</f>
        <v/>
      </c>
      <c r="Z135" s="186"/>
      <c r="AA135" s="176" t="str">
        <f>IF(Z135="","",VLOOKUP(Z135,'G-7 Rivers Data'!$AO$4:$AP$7,2,FALSE))</f>
        <v/>
      </c>
      <c r="AB135" s="265" t="str">
        <f t="shared" si="12"/>
        <v/>
      </c>
      <c r="AC135" s="180"/>
      <c r="AD135" s="181"/>
      <c r="AK135" s="35" t="str">
        <f>IFERROR(INDEX('G-7 Rivers Data'!$AZ$3:$AZ$7,MATCH(C135,'G-7 Rivers Data'!$AY$3:$AY$7,0)),"")</f>
        <v/>
      </c>
    </row>
    <row r="136" spans="2:37" ht="13.8" x14ac:dyDescent="0.25">
      <c r="B136" s="168">
        <v>125</v>
      </c>
      <c r="C136" s="184"/>
      <c r="D136" s="213"/>
      <c r="E136" s="171" t="str">
        <f>IF(C136="","",VLOOKUP(C136,'G-7 Rivers Data'!$B$2:$Z$9,2,FALSE))</f>
        <v/>
      </c>
      <c r="F136" s="172" t="str">
        <f>IFERROR(VLOOKUP(E136,'G-7 Rivers Data'!$C$4:$D$8,2,FALSE),"")</f>
        <v/>
      </c>
      <c r="G136" s="173"/>
      <c r="H136" s="172" t="str">
        <f>IFERROR(INDEX('G-7 Rivers Data'!$H$4:$L$8,MATCH(C136,'G-7 Rivers Data'!$B$4:$B$8,0),MATCH(G136,'G-7 Rivers Data'!$H$3:$L$3,0)),"")</f>
        <v/>
      </c>
      <c r="I136" s="173"/>
      <c r="J136" s="269" t="str">
        <f>IF(I136="","",IF(VLOOKUP(I136,'G-7 Rivers Data'!$AG$4:$AI$9,2,FALSE)=0,"Spatial Data Missing",VLOOKUP(I136,'G-7 Rivers Data'!$AG$4:$AI$9,2,FALSE)))</f>
        <v/>
      </c>
      <c r="K136" s="172" t="str">
        <f>IF(I136="","",IF(VLOOKUP(I136,'G-7 Rivers Data'!$AG$4:$AI$9,3,FALSE)=0,"Spatial Data Missing",VLOOKUP(I136,'G-7 Rivers Data'!$AG$4:$AI$9,3,FALSE)))</f>
        <v/>
      </c>
      <c r="L136" s="384" t="str">
        <f>IFERROR(INDEX('G-7 Rivers Data'!$O$3:$O$7,MATCH(G136,'G-7 Rivers Data'!$N$3:$N$7,0)),"")</f>
        <v/>
      </c>
      <c r="M136" s="82"/>
      <c r="N136" s="261"/>
      <c r="O136" s="179" t="str">
        <f t="shared" si="7"/>
        <v/>
      </c>
      <c r="P136" s="262" t="str">
        <f t="shared" si="8"/>
        <v/>
      </c>
      <c r="Q136" s="382" t="str">
        <f>IFERROR(IF(P136="Check Data","Check Data",VLOOKUP(P136,'G-4 Temporal multipliers'!$A$4:$C$37,3,FALSE)),"")</f>
        <v/>
      </c>
      <c r="R136" s="171" t="str">
        <f>IF(C136="","",VLOOKUP(C136,'G-7 Rivers Data'!$B$4:$G$8,4,FALSE))</f>
        <v/>
      </c>
      <c r="S136" s="179" t="str">
        <f t="shared" si="9"/>
        <v/>
      </c>
      <c r="T136" s="269" t="str">
        <f t="shared" si="10"/>
        <v/>
      </c>
      <c r="U136" s="172" t="str">
        <f t="shared" si="11"/>
        <v/>
      </c>
      <c r="V136" s="79"/>
      <c r="W136" s="172" t="str">
        <f>IF(V136="","",IF(VLOOKUP(V136,'G-7 Rivers Data'!$AA$4:$AB$7,2,FALSE)=0,"Spatial Data Missing",VLOOKUP(V136,'G-7 Rivers Data'!$AA$4:$AB$7,2,FALSE)))</f>
        <v/>
      </c>
      <c r="X136" s="187"/>
      <c r="Y136" s="172" t="str">
        <f>IF(X136="","",IF(VLOOKUP(X136,'G-7 Rivers Data'!$AD$4:$AE$8,2,FALSE)=0,"Enrcoachment Data Missing",VLOOKUP(X136,'G-7 Rivers Data'!$AD$4:$AE$8,2,FALSE)))</f>
        <v/>
      </c>
      <c r="Z136" s="186"/>
      <c r="AA136" s="176" t="str">
        <f>IF(Z136="","",VLOOKUP(Z136,'G-7 Rivers Data'!$AO$4:$AP$7,2,FALSE))</f>
        <v/>
      </c>
      <c r="AB136" s="265" t="str">
        <f t="shared" si="12"/>
        <v/>
      </c>
      <c r="AC136" s="180"/>
      <c r="AD136" s="181"/>
      <c r="AK136" s="35" t="str">
        <f>IFERROR(INDEX('G-7 Rivers Data'!$AZ$3:$AZ$7,MATCH(C136,'G-7 Rivers Data'!$AY$3:$AY$7,0)),"")</f>
        <v/>
      </c>
    </row>
    <row r="137" spans="2:37" ht="13.8" x14ac:dyDescent="0.25">
      <c r="B137" s="168">
        <v>126</v>
      </c>
      <c r="C137" s="184"/>
      <c r="D137" s="213"/>
      <c r="E137" s="171" t="str">
        <f>IF(C137="","",VLOOKUP(C137,'G-7 Rivers Data'!$B$2:$Z$9,2,FALSE))</f>
        <v/>
      </c>
      <c r="F137" s="172" t="str">
        <f>IFERROR(VLOOKUP(E137,'G-7 Rivers Data'!$C$4:$D$8,2,FALSE),"")</f>
        <v/>
      </c>
      <c r="G137" s="173"/>
      <c r="H137" s="172" t="str">
        <f>IFERROR(INDEX('G-7 Rivers Data'!$H$4:$L$8,MATCH(C137,'G-7 Rivers Data'!$B$4:$B$8,0),MATCH(G137,'G-7 Rivers Data'!$H$3:$L$3,0)),"")</f>
        <v/>
      </c>
      <c r="I137" s="173"/>
      <c r="J137" s="269" t="str">
        <f>IF(I137="","",IF(VLOOKUP(I137,'G-7 Rivers Data'!$AG$4:$AI$9,2,FALSE)=0,"Spatial Data Missing",VLOOKUP(I137,'G-7 Rivers Data'!$AG$4:$AI$9,2,FALSE)))</f>
        <v/>
      </c>
      <c r="K137" s="172" t="str">
        <f>IF(I137="","",IF(VLOOKUP(I137,'G-7 Rivers Data'!$AG$4:$AI$9,3,FALSE)=0,"Spatial Data Missing",VLOOKUP(I137,'G-7 Rivers Data'!$AG$4:$AI$9,3,FALSE)))</f>
        <v/>
      </c>
      <c r="L137" s="384" t="str">
        <f>IFERROR(INDEX('G-7 Rivers Data'!$O$3:$O$7,MATCH(G137,'G-7 Rivers Data'!$N$3:$N$7,0)),"")</f>
        <v/>
      </c>
      <c r="M137" s="82"/>
      <c r="N137" s="261"/>
      <c r="O137" s="179" t="str">
        <f t="shared" si="7"/>
        <v/>
      </c>
      <c r="P137" s="262" t="str">
        <f t="shared" si="8"/>
        <v/>
      </c>
      <c r="Q137" s="382" t="str">
        <f>IFERROR(IF(P137="Check Data","Check Data",VLOOKUP(P137,'G-4 Temporal multipliers'!$A$4:$C$37,3,FALSE)),"")</f>
        <v/>
      </c>
      <c r="R137" s="171" t="str">
        <f>IF(C137="","",VLOOKUP(C137,'G-7 Rivers Data'!$B$4:$G$8,4,FALSE))</f>
        <v/>
      </c>
      <c r="S137" s="179" t="str">
        <f t="shared" si="9"/>
        <v/>
      </c>
      <c r="T137" s="269" t="str">
        <f t="shared" si="10"/>
        <v/>
      </c>
      <c r="U137" s="172" t="str">
        <f t="shared" si="11"/>
        <v/>
      </c>
      <c r="V137" s="79"/>
      <c r="W137" s="172" t="str">
        <f>IF(V137="","",IF(VLOOKUP(V137,'G-7 Rivers Data'!$AA$4:$AB$7,2,FALSE)=0,"Spatial Data Missing",VLOOKUP(V137,'G-7 Rivers Data'!$AA$4:$AB$7,2,FALSE)))</f>
        <v/>
      </c>
      <c r="X137" s="187"/>
      <c r="Y137" s="172" t="str">
        <f>IF(X137="","",IF(VLOOKUP(X137,'G-7 Rivers Data'!$AD$4:$AE$8,2,FALSE)=0,"Enrcoachment Data Missing",VLOOKUP(X137,'G-7 Rivers Data'!$AD$4:$AE$8,2,FALSE)))</f>
        <v/>
      </c>
      <c r="Z137" s="186"/>
      <c r="AA137" s="176" t="str">
        <f>IF(Z137="","",VLOOKUP(Z137,'G-7 Rivers Data'!$AO$4:$AP$7,2,FALSE))</f>
        <v/>
      </c>
      <c r="AB137" s="265" t="str">
        <f t="shared" si="12"/>
        <v/>
      </c>
      <c r="AC137" s="180"/>
      <c r="AD137" s="181"/>
      <c r="AK137" s="35" t="str">
        <f>IFERROR(INDEX('G-7 Rivers Data'!$AZ$3:$AZ$7,MATCH(C137,'G-7 Rivers Data'!$AY$3:$AY$7,0)),"")</f>
        <v/>
      </c>
    </row>
    <row r="138" spans="2:37" ht="13.8" x14ac:dyDescent="0.25">
      <c r="B138" s="168">
        <v>127</v>
      </c>
      <c r="C138" s="184"/>
      <c r="D138" s="213"/>
      <c r="E138" s="171" t="str">
        <f>IF(C138="","",VLOOKUP(C138,'G-7 Rivers Data'!$B$2:$Z$9,2,FALSE))</f>
        <v/>
      </c>
      <c r="F138" s="172" t="str">
        <f>IFERROR(VLOOKUP(E138,'G-7 Rivers Data'!$C$4:$D$8,2,FALSE),"")</f>
        <v/>
      </c>
      <c r="G138" s="173"/>
      <c r="H138" s="172" t="str">
        <f>IFERROR(INDEX('G-7 Rivers Data'!$H$4:$L$8,MATCH(C138,'G-7 Rivers Data'!$B$4:$B$8,0),MATCH(G138,'G-7 Rivers Data'!$H$3:$L$3,0)),"")</f>
        <v/>
      </c>
      <c r="I138" s="173"/>
      <c r="J138" s="269" t="str">
        <f>IF(I138="","",IF(VLOOKUP(I138,'G-7 Rivers Data'!$AG$4:$AI$9,2,FALSE)=0,"Spatial Data Missing",VLOOKUP(I138,'G-7 Rivers Data'!$AG$4:$AI$9,2,FALSE)))</f>
        <v/>
      </c>
      <c r="K138" s="172" t="str">
        <f>IF(I138="","",IF(VLOOKUP(I138,'G-7 Rivers Data'!$AG$4:$AI$9,3,FALSE)=0,"Spatial Data Missing",VLOOKUP(I138,'G-7 Rivers Data'!$AG$4:$AI$9,3,FALSE)))</f>
        <v/>
      </c>
      <c r="L138" s="384" t="str">
        <f>IFERROR(INDEX('G-7 Rivers Data'!$O$3:$O$7,MATCH(G138,'G-7 Rivers Data'!$N$3:$N$7,0)),"")</f>
        <v/>
      </c>
      <c r="M138" s="82"/>
      <c r="N138" s="261"/>
      <c r="O138" s="179" t="str">
        <f t="shared" si="7"/>
        <v/>
      </c>
      <c r="P138" s="262" t="str">
        <f t="shared" si="8"/>
        <v/>
      </c>
      <c r="Q138" s="382" t="str">
        <f>IFERROR(IF(P138="Check Data","Check Data",VLOOKUP(P138,'G-4 Temporal multipliers'!$A$4:$C$37,3,FALSE)),"")</f>
        <v/>
      </c>
      <c r="R138" s="171" t="str">
        <f>IF(C138="","",VLOOKUP(C138,'G-7 Rivers Data'!$B$4:$G$8,4,FALSE))</f>
        <v/>
      </c>
      <c r="S138" s="179" t="str">
        <f t="shared" si="9"/>
        <v/>
      </c>
      <c r="T138" s="269" t="str">
        <f t="shared" si="10"/>
        <v/>
      </c>
      <c r="U138" s="172" t="str">
        <f t="shared" si="11"/>
        <v/>
      </c>
      <c r="V138" s="79"/>
      <c r="W138" s="172" t="str">
        <f>IF(V138="","",IF(VLOOKUP(V138,'G-7 Rivers Data'!$AA$4:$AB$7,2,FALSE)=0,"Spatial Data Missing",VLOOKUP(V138,'G-7 Rivers Data'!$AA$4:$AB$7,2,FALSE)))</f>
        <v/>
      </c>
      <c r="X138" s="187"/>
      <c r="Y138" s="172" t="str">
        <f>IF(X138="","",IF(VLOOKUP(X138,'G-7 Rivers Data'!$AD$4:$AE$8,2,FALSE)=0,"Enrcoachment Data Missing",VLOOKUP(X138,'G-7 Rivers Data'!$AD$4:$AE$8,2,FALSE)))</f>
        <v/>
      </c>
      <c r="Z138" s="186"/>
      <c r="AA138" s="176" t="str">
        <f>IF(Z138="","",VLOOKUP(Z138,'G-7 Rivers Data'!$AO$4:$AP$7,2,FALSE))</f>
        <v/>
      </c>
      <c r="AB138" s="265" t="str">
        <f t="shared" si="12"/>
        <v/>
      </c>
      <c r="AC138" s="180"/>
      <c r="AD138" s="181"/>
      <c r="AK138" s="35" t="str">
        <f>IFERROR(INDEX('G-7 Rivers Data'!$AZ$3:$AZ$7,MATCH(C138,'G-7 Rivers Data'!$AY$3:$AY$7,0)),"")</f>
        <v/>
      </c>
    </row>
    <row r="139" spans="2:37" ht="13.8" x14ac:dyDescent="0.25">
      <c r="B139" s="168">
        <v>128</v>
      </c>
      <c r="C139" s="184"/>
      <c r="D139" s="213"/>
      <c r="E139" s="171" t="str">
        <f>IF(C139="","",VLOOKUP(C139,'G-7 Rivers Data'!$B$2:$Z$9,2,FALSE))</f>
        <v/>
      </c>
      <c r="F139" s="172" t="str">
        <f>IFERROR(VLOOKUP(E139,'G-7 Rivers Data'!$C$4:$D$8,2,FALSE),"")</f>
        <v/>
      </c>
      <c r="G139" s="173"/>
      <c r="H139" s="172" t="str">
        <f>IFERROR(INDEX('G-7 Rivers Data'!$H$4:$L$8,MATCH(C139,'G-7 Rivers Data'!$B$4:$B$8,0),MATCH(G139,'G-7 Rivers Data'!$H$3:$L$3,0)),"")</f>
        <v/>
      </c>
      <c r="I139" s="173"/>
      <c r="J139" s="269" t="str">
        <f>IF(I139="","",IF(VLOOKUP(I139,'G-7 Rivers Data'!$AG$4:$AI$9,2,FALSE)=0,"Spatial Data Missing",VLOOKUP(I139,'G-7 Rivers Data'!$AG$4:$AI$9,2,FALSE)))</f>
        <v/>
      </c>
      <c r="K139" s="172" t="str">
        <f>IF(I139="","",IF(VLOOKUP(I139,'G-7 Rivers Data'!$AG$4:$AI$9,3,FALSE)=0,"Spatial Data Missing",VLOOKUP(I139,'G-7 Rivers Data'!$AG$4:$AI$9,3,FALSE)))</f>
        <v/>
      </c>
      <c r="L139" s="384" t="str">
        <f>IFERROR(INDEX('G-7 Rivers Data'!$O$3:$O$7,MATCH(G139,'G-7 Rivers Data'!$N$3:$N$7,0)),"")</f>
        <v/>
      </c>
      <c r="M139" s="82"/>
      <c r="N139" s="261"/>
      <c r="O139" s="179" t="str">
        <f t="shared" si="7"/>
        <v/>
      </c>
      <c r="P139" s="262" t="str">
        <f t="shared" si="8"/>
        <v/>
      </c>
      <c r="Q139" s="382" t="str">
        <f>IFERROR(IF(P139="Check Data","Check Data",VLOOKUP(P139,'G-4 Temporal multipliers'!$A$4:$C$37,3,FALSE)),"")</f>
        <v/>
      </c>
      <c r="R139" s="171" t="str">
        <f>IF(C139="","",VLOOKUP(C139,'G-7 Rivers Data'!$B$4:$G$8,4,FALSE))</f>
        <v/>
      </c>
      <c r="S139" s="179" t="str">
        <f t="shared" si="9"/>
        <v/>
      </c>
      <c r="T139" s="269" t="str">
        <f t="shared" si="10"/>
        <v/>
      </c>
      <c r="U139" s="172" t="str">
        <f t="shared" si="11"/>
        <v/>
      </c>
      <c r="V139" s="79"/>
      <c r="W139" s="172" t="str">
        <f>IF(V139="","",IF(VLOOKUP(V139,'G-7 Rivers Data'!$AA$4:$AB$7,2,FALSE)=0,"Spatial Data Missing",VLOOKUP(V139,'G-7 Rivers Data'!$AA$4:$AB$7,2,FALSE)))</f>
        <v/>
      </c>
      <c r="X139" s="187"/>
      <c r="Y139" s="172" t="str">
        <f>IF(X139="","",IF(VLOOKUP(X139,'G-7 Rivers Data'!$AD$4:$AE$8,2,FALSE)=0,"Enrcoachment Data Missing",VLOOKUP(X139,'G-7 Rivers Data'!$AD$4:$AE$8,2,FALSE)))</f>
        <v/>
      </c>
      <c r="Z139" s="186"/>
      <c r="AA139" s="176" t="str">
        <f>IF(Z139="","",VLOOKUP(Z139,'G-7 Rivers Data'!$AO$4:$AP$7,2,FALSE))</f>
        <v/>
      </c>
      <c r="AB139" s="265" t="str">
        <f t="shared" si="12"/>
        <v/>
      </c>
      <c r="AC139" s="180"/>
      <c r="AD139" s="181"/>
      <c r="AK139" s="35" t="str">
        <f>IFERROR(INDEX('G-7 Rivers Data'!$AZ$3:$AZ$7,MATCH(C139,'G-7 Rivers Data'!$AY$3:$AY$7,0)),"")</f>
        <v/>
      </c>
    </row>
    <row r="140" spans="2:37" ht="13.8" x14ac:dyDescent="0.25">
      <c r="B140" s="168">
        <v>129</v>
      </c>
      <c r="C140" s="184"/>
      <c r="D140" s="213"/>
      <c r="E140" s="171" t="str">
        <f>IF(C140="","",VLOOKUP(C140,'G-7 Rivers Data'!$B$2:$Z$9,2,FALSE))</f>
        <v/>
      </c>
      <c r="F140" s="172" t="str">
        <f>IFERROR(VLOOKUP(E140,'G-7 Rivers Data'!$C$4:$D$8,2,FALSE),"")</f>
        <v/>
      </c>
      <c r="G140" s="173"/>
      <c r="H140" s="172" t="str">
        <f>IFERROR(INDEX('G-7 Rivers Data'!$H$4:$L$8,MATCH(C140,'G-7 Rivers Data'!$B$4:$B$8,0),MATCH(G140,'G-7 Rivers Data'!$H$3:$L$3,0)),"")</f>
        <v/>
      </c>
      <c r="I140" s="173"/>
      <c r="J140" s="269" t="str">
        <f>IF(I140="","",IF(VLOOKUP(I140,'G-7 Rivers Data'!$AG$4:$AI$9,2,FALSE)=0,"Spatial Data Missing",VLOOKUP(I140,'G-7 Rivers Data'!$AG$4:$AI$9,2,FALSE)))</f>
        <v/>
      </c>
      <c r="K140" s="172" t="str">
        <f>IF(I140="","",IF(VLOOKUP(I140,'G-7 Rivers Data'!$AG$4:$AI$9,3,FALSE)=0,"Spatial Data Missing",VLOOKUP(I140,'G-7 Rivers Data'!$AG$4:$AI$9,3,FALSE)))</f>
        <v/>
      </c>
      <c r="L140" s="384" t="str">
        <f>IFERROR(INDEX('G-7 Rivers Data'!$O$3:$O$7,MATCH(G140,'G-7 Rivers Data'!$N$3:$N$7,0)),"")</f>
        <v/>
      </c>
      <c r="M140" s="82"/>
      <c r="N140" s="261"/>
      <c r="O140" s="179" t="str">
        <f t="shared" si="7"/>
        <v/>
      </c>
      <c r="P140" s="262" t="str">
        <f t="shared" si="8"/>
        <v/>
      </c>
      <c r="Q140" s="382" t="str">
        <f>IFERROR(IF(P140="Check Data","Check Data",VLOOKUP(P140,'G-4 Temporal multipliers'!$A$4:$C$37,3,FALSE)),"")</f>
        <v/>
      </c>
      <c r="R140" s="171" t="str">
        <f>IF(C140="","",VLOOKUP(C140,'G-7 Rivers Data'!$B$4:$G$8,4,FALSE))</f>
        <v/>
      </c>
      <c r="S140" s="179" t="str">
        <f t="shared" si="9"/>
        <v/>
      </c>
      <c r="T140" s="269" t="str">
        <f t="shared" si="10"/>
        <v/>
      </c>
      <c r="U140" s="172" t="str">
        <f t="shared" si="11"/>
        <v/>
      </c>
      <c r="V140" s="79"/>
      <c r="W140" s="172" t="str">
        <f>IF(V140="","",IF(VLOOKUP(V140,'G-7 Rivers Data'!$AA$4:$AB$7,2,FALSE)=0,"Spatial Data Missing",VLOOKUP(V140,'G-7 Rivers Data'!$AA$4:$AB$7,2,FALSE)))</f>
        <v/>
      </c>
      <c r="X140" s="187"/>
      <c r="Y140" s="172" t="str">
        <f>IF(X140="","",IF(VLOOKUP(X140,'G-7 Rivers Data'!$AD$4:$AE$8,2,FALSE)=0,"Enrcoachment Data Missing",VLOOKUP(X140,'G-7 Rivers Data'!$AD$4:$AE$8,2,FALSE)))</f>
        <v/>
      </c>
      <c r="Z140" s="186"/>
      <c r="AA140" s="176" t="str">
        <f>IF(Z140="","",VLOOKUP(Z140,'G-7 Rivers Data'!$AO$4:$AP$7,2,FALSE))</f>
        <v/>
      </c>
      <c r="AB140" s="265" t="str">
        <f t="shared" si="12"/>
        <v/>
      </c>
      <c r="AC140" s="180"/>
      <c r="AD140" s="181"/>
      <c r="AK140" s="35" t="str">
        <f>IFERROR(INDEX('G-7 Rivers Data'!$AZ$3:$AZ$7,MATCH(C140,'G-7 Rivers Data'!$AY$3:$AY$7,0)),"")</f>
        <v/>
      </c>
    </row>
    <row r="141" spans="2:37" ht="13.8" x14ac:dyDescent="0.25">
      <c r="B141" s="168">
        <v>130</v>
      </c>
      <c r="C141" s="184"/>
      <c r="D141" s="213"/>
      <c r="E141" s="171" t="str">
        <f>IF(C141="","",VLOOKUP(C141,'G-7 Rivers Data'!$B$2:$Z$9,2,FALSE))</f>
        <v/>
      </c>
      <c r="F141" s="172" t="str">
        <f>IFERROR(VLOOKUP(E141,'G-7 Rivers Data'!$C$4:$D$8,2,FALSE),"")</f>
        <v/>
      </c>
      <c r="G141" s="173"/>
      <c r="H141" s="172" t="str">
        <f>IFERROR(INDEX('G-7 Rivers Data'!$H$4:$L$8,MATCH(C141,'G-7 Rivers Data'!$B$4:$B$8,0),MATCH(G141,'G-7 Rivers Data'!$H$3:$L$3,0)),"")</f>
        <v/>
      </c>
      <c r="I141" s="173"/>
      <c r="J141" s="269" t="str">
        <f>IF(I141="","",IF(VLOOKUP(I141,'G-7 Rivers Data'!$AG$4:$AI$9,2,FALSE)=0,"Spatial Data Missing",VLOOKUP(I141,'G-7 Rivers Data'!$AG$4:$AI$9,2,FALSE)))</f>
        <v/>
      </c>
      <c r="K141" s="172" t="str">
        <f>IF(I141="","",IF(VLOOKUP(I141,'G-7 Rivers Data'!$AG$4:$AI$9,3,FALSE)=0,"Spatial Data Missing",VLOOKUP(I141,'G-7 Rivers Data'!$AG$4:$AI$9,3,FALSE)))</f>
        <v/>
      </c>
      <c r="L141" s="384" t="str">
        <f>IFERROR(INDEX('G-7 Rivers Data'!$O$3:$O$7,MATCH(G141,'G-7 Rivers Data'!$N$3:$N$7,0)),"")</f>
        <v/>
      </c>
      <c r="M141" s="82"/>
      <c r="N141" s="261"/>
      <c r="O141" s="179" t="str">
        <f t="shared" ref="O141:O204" si="13">IF(L141="","",IF(AND(M141&gt;0,N141&gt;0),"Error -both advance and delayed habitat creation",IF(AND(OR(M141="Habitat already in target condition",L141&lt;=M141),N141=0),"Check details - Is there evidence that habitat has reached target condition?",IF(M141&gt;0,"Check details - Is there evidence habitat creation started/in place?",IF(N141&gt;0,"Check details- Delay in starting habitat in required condition?","Standard time to target condition applied")))))</f>
        <v/>
      </c>
      <c r="P141" s="262" t="str">
        <f t="shared" ref="P141:P204" si="14">IF(LEFT(O141,5)="Error","Check Data",IF(L141="","",IF(M141="30+",0,IF(N141="30+","30+",IF(L141+N141&gt;30,"30+",IF(L141+N141-M141&gt;0,L141+N141-M141,IF(L141-M141&lt;0,0,L141+N141-M141)))))))</f>
        <v/>
      </c>
      <c r="Q141" s="382" t="str">
        <f>IFERROR(IF(P141="Check Data","Check Data",VLOOKUP(P141,'G-4 Temporal multipliers'!$A$4:$C$37,3,FALSE)),"")</f>
        <v/>
      </c>
      <c r="R141" s="171" t="str">
        <f>IF(C141="","",VLOOKUP(C141,'G-7 Rivers Data'!$B$4:$G$8,4,FALSE))</f>
        <v/>
      </c>
      <c r="S141" s="179" t="str">
        <f t="shared" ref="S141:S160" si="15">IF(C141="","",IF(P141="Check Data","Check Data",IF(G141="","",IF($O141="Check details - Is there evidence that habitat has reached target condition?","No - Low Difficulty - only applicable if all habitat created before losses","Standard difficulty applied"))))</f>
        <v/>
      </c>
      <c r="T141" s="269" t="str">
        <f t="shared" ref="T141:T160" si="16">(IF(AND(S141="Standard difficulty applied",L141&gt;M141),R141,IF(AND(S141="No - Low Difficulty - only applicable if all habitat created before losses",M141&gt;=L141),"Low",R141)))</f>
        <v/>
      </c>
      <c r="U141" s="172" t="str">
        <f t="shared" ref="U141:U204" si="17">IF(C141="","",VLOOKUP(R141,Difficulty,2,FALSE))</f>
        <v/>
      </c>
      <c r="V141" s="79"/>
      <c r="W141" s="172" t="str">
        <f>IF(V141="","",IF(VLOOKUP(V141,'G-7 Rivers Data'!$AA$4:$AB$7,2,FALSE)=0,"Spatial Data Missing",VLOOKUP(V141,'G-7 Rivers Data'!$AA$4:$AB$7,2,FALSE)))</f>
        <v/>
      </c>
      <c r="X141" s="187"/>
      <c r="Y141" s="172" t="str">
        <f>IF(X141="","",IF(VLOOKUP(X141,'G-7 Rivers Data'!$AD$4:$AE$8,2,FALSE)=0,"Enrcoachment Data Missing",VLOOKUP(X141,'G-7 Rivers Data'!$AD$4:$AE$8,2,FALSE)))</f>
        <v/>
      </c>
      <c r="Z141" s="186"/>
      <c r="AA141" s="176" t="str">
        <f>IF(Z141="","",VLOOKUP(Z141,'G-7 Rivers Data'!$AO$4:$AP$7,2,FALSE))</f>
        <v/>
      </c>
      <c r="AB141" s="265" t="str">
        <f t="shared" ref="AB141:AB204" si="18">IFERROR(D141*F141*H141*K141*Q141*U141*W141*Y141*AA141,"")</f>
        <v/>
      </c>
      <c r="AC141" s="180"/>
      <c r="AD141" s="181"/>
      <c r="AK141" s="35" t="str">
        <f>IFERROR(INDEX('G-7 Rivers Data'!$AZ$3:$AZ$7,MATCH(C141,'G-7 Rivers Data'!$AY$3:$AY$7,0)),"")</f>
        <v/>
      </c>
    </row>
    <row r="142" spans="2:37" ht="13.8" x14ac:dyDescent="0.25">
      <c r="B142" s="168">
        <v>131</v>
      </c>
      <c r="C142" s="184"/>
      <c r="D142" s="213"/>
      <c r="E142" s="171" t="str">
        <f>IF(C142="","",VLOOKUP(C142,'G-7 Rivers Data'!$B$2:$Z$9,2,FALSE))</f>
        <v/>
      </c>
      <c r="F142" s="172" t="str">
        <f>IFERROR(VLOOKUP(E142,'G-7 Rivers Data'!$C$4:$D$8,2,FALSE),"")</f>
        <v/>
      </c>
      <c r="G142" s="173"/>
      <c r="H142" s="172" t="str">
        <f>IFERROR(INDEX('G-7 Rivers Data'!$H$4:$L$8,MATCH(C142,'G-7 Rivers Data'!$B$4:$B$8,0),MATCH(G142,'G-7 Rivers Data'!$H$3:$L$3,0)),"")</f>
        <v/>
      </c>
      <c r="I142" s="173"/>
      <c r="J142" s="269" t="str">
        <f>IF(I142="","",IF(VLOOKUP(I142,'G-7 Rivers Data'!$AG$4:$AI$9,2,FALSE)=0,"Spatial Data Missing",VLOOKUP(I142,'G-7 Rivers Data'!$AG$4:$AI$9,2,FALSE)))</f>
        <v/>
      </c>
      <c r="K142" s="172" t="str">
        <f>IF(I142="","",IF(VLOOKUP(I142,'G-7 Rivers Data'!$AG$4:$AI$9,3,FALSE)=0,"Spatial Data Missing",VLOOKUP(I142,'G-7 Rivers Data'!$AG$4:$AI$9,3,FALSE)))</f>
        <v/>
      </c>
      <c r="L142" s="384" t="str">
        <f>IFERROR(INDEX('G-7 Rivers Data'!$O$3:$O$7,MATCH(G142,'G-7 Rivers Data'!$N$3:$N$7,0)),"")</f>
        <v/>
      </c>
      <c r="M142" s="82"/>
      <c r="N142" s="261"/>
      <c r="O142" s="179" t="str">
        <f t="shared" si="13"/>
        <v/>
      </c>
      <c r="P142" s="262" t="str">
        <f t="shared" si="14"/>
        <v/>
      </c>
      <c r="Q142" s="382" t="str">
        <f>IFERROR(IF(P142="Check Data","Check Data",VLOOKUP(P142,'G-4 Temporal multipliers'!$A$4:$C$37,3,FALSE)),"")</f>
        <v/>
      </c>
      <c r="R142" s="171" t="str">
        <f>IF(C142="","",VLOOKUP(C142,'G-7 Rivers Data'!$B$4:$G$8,4,FALSE))</f>
        <v/>
      </c>
      <c r="S142" s="179" t="str">
        <f t="shared" si="15"/>
        <v/>
      </c>
      <c r="T142" s="269" t="str">
        <f t="shared" si="16"/>
        <v/>
      </c>
      <c r="U142" s="172" t="str">
        <f t="shared" si="17"/>
        <v/>
      </c>
      <c r="V142" s="79"/>
      <c r="W142" s="172" t="str">
        <f>IF(V142="","",IF(VLOOKUP(V142,'G-7 Rivers Data'!$AA$4:$AB$7,2,FALSE)=0,"Spatial Data Missing",VLOOKUP(V142,'G-7 Rivers Data'!$AA$4:$AB$7,2,FALSE)))</f>
        <v/>
      </c>
      <c r="X142" s="187"/>
      <c r="Y142" s="172" t="str">
        <f>IF(X142="","",IF(VLOOKUP(X142,'G-7 Rivers Data'!$AD$4:$AE$8,2,FALSE)=0,"Enrcoachment Data Missing",VLOOKUP(X142,'G-7 Rivers Data'!$AD$4:$AE$8,2,FALSE)))</f>
        <v/>
      </c>
      <c r="Z142" s="186"/>
      <c r="AA142" s="176" t="str">
        <f>IF(Z142="","",VLOOKUP(Z142,'G-7 Rivers Data'!$AO$4:$AP$7,2,FALSE))</f>
        <v/>
      </c>
      <c r="AB142" s="265" t="str">
        <f t="shared" si="18"/>
        <v/>
      </c>
      <c r="AC142" s="180"/>
      <c r="AD142" s="181"/>
      <c r="AK142" s="35" t="str">
        <f>IFERROR(INDEX('G-7 Rivers Data'!$AZ$3:$AZ$7,MATCH(C142,'G-7 Rivers Data'!$AY$3:$AY$7,0)),"")</f>
        <v/>
      </c>
    </row>
    <row r="143" spans="2:37" ht="13.8" x14ac:dyDescent="0.25">
      <c r="B143" s="168">
        <v>132</v>
      </c>
      <c r="C143" s="184"/>
      <c r="D143" s="213"/>
      <c r="E143" s="171" t="str">
        <f>IF(C143="","",VLOOKUP(C143,'G-7 Rivers Data'!$B$2:$Z$9,2,FALSE))</f>
        <v/>
      </c>
      <c r="F143" s="172" t="str">
        <f>IFERROR(VLOOKUP(E143,'G-7 Rivers Data'!$C$4:$D$8,2,FALSE),"")</f>
        <v/>
      </c>
      <c r="G143" s="173"/>
      <c r="H143" s="172" t="str">
        <f>IFERROR(INDEX('G-7 Rivers Data'!$H$4:$L$8,MATCH(C143,'G-7 Rivers Data'!$B$4:$B$8,0),MATCH(G143,'G-7 Rivers Data'!$H$3:$L$3,0)),"")</f>
        <v/>
      </c>
      <c r="I143" s="173"/>
      <c r="J143" s="269" t="str">
        <f>IF(I143="","",IF(VLOOKUP(I143,'G-7 Rivers Data'!$AG$4:$AI$9,2,FALSE)=0,"Spatial Data Missing",VLOOKUP(I143,'G-7 Rivers Data'!$AG$4:$AI$9,2,FALSE)))</f>
        <v/>
      </c>
      <c r="K143" s="172" t="str">
        <f>IF(I143="","",IF(VLOOKUP(I143,'G-7 Rivers Data'!$AG$4:$AI$9,3,FALSE)=0,"Spatial Data Missing",VLOOKUP(I143,'G-7 Rivers Data'!$AG$4:$AI$9,3,FALSE)))</f>
        <v/>
      </c>
      <c r="L143" s="384" t="str">
        <f>IFERROR(INDEX('G-7 Rivers Data'!$O$3:$O$7,MATCH(G143,'G-7 Rivers Data'!$N$3:$N$7,0)),"")</f>
        <v/>
      </c>
      <c r="M143" s="82"/>
      <c r="N143" s="261"/>
      <c r="O143" s="179" t="str">
        <f t="shared" si="13"/>
        <v/>
      </c>
      <c r="P143" s="262" t="str">
        <f t="shared" si="14"/>
        <v/>
      </c>
      <c r="Q143" s="382" t="str">
        <f>IFERROR(IF(P143="Check Data","Check Data",VLOOKUP(P143,'G-4 Temporal multipliers'!$A$4:$C$37,3,FALSE)),"")</f>
        <v/>
      </c>
      <c r="R143" s="171" t="str">
        <f>IF(C143="","",VLOOKUP(C143,'G-7 Rivers Data'!$B$4:$G$8,4,FALSE))</f>
        <v/>
      </c>
      <c r="S143" s="179" t="str">
        <f t="shared" si="15"/>
        <v/>
      </c>
      <c r="T143" s="269" t="str">
        <f t="shared" si="16"/>
        <v/>
      </c>
      <c r="U143" s="172" t="str">
        <f t="shared" si="17"/>
        <v/>
      </c>
      <c r="V143" s="79"/>
      <c r="W143" s="172" t="str">
        <f>IF(V143="","",IF(VLOOKUP(V143,'G-7 Rivers Data'!$AA$4:$AB$7,2,FALSE)=0,"Spatial Data Missing",VLOOKUP(V143,'G-7 Rivers Data'!$AA$4:$AB$7,2,FALSE)))</f>
        <v/>
      </c>
      <c r="X143" s="187"/>
      <c r="Y143" s="172" t="str">
        <f>IF(X143="","",IF(VLOOKUP(X143,'G-7 Rivers Data'!$AD$4:$AE$8,2,FALSE)=0,"Enrcoachment Data Missing",VLOOKUP(X143,'G-7 Rivers Data'!$AD$4:$AE$8,2,FALSE)))</f>
        <v/>
      </c>
      <c r="Z143" s="186"/>
      <c r="AA143" s="176" t="str">
        <f>IF(Z143="","",VLOOKUP(Z143,'G-7 Rivers Data'!$AO$4:$AP$7,2,FALSE))</f>
        <v/>
      </c>
      <c r="AB143" s="265" t="str">
        <f t="shared" si="18"/>
        <v/>
      </c>
      <c r="AC143" s="180"/>
      <c r="AD143" s="181"/>
      <c r="AK143" s="35" t="str">
        <f>IFERROR(INDEX('G-7 Rivers Data'!$AZ$3:$AZ$7,MATCH(C143,'G-7 Rivers Data'!$AY$3:$AY$7,0)),"")</f>
        <v/>
      </c>
    </row>
    <row r="144" spans="2:37" ht="13.8" x14ac:dyDescent="0.25">
      <c r="B144" s="168">
        <v>133</v>
      </c>
      <c r="C144" s="184"/>
      <c r="D144" s="213"/>
      <c r="E144" s="171" t="str">
        <f>IF(C144="","",VLOOKUP(C144,'G-7 Rivers Data'!$B$2:$Z$9,2,FALSE))</f>
        <v/>
      </c>
      <c r="F144" s="172" t="str">
        <f>IFERROR(VLOOKUP(E144,'G-7 Rivers Data'!$C$4:$D$8,2,FALSE),"")</f>
        <v/>
      </c>
      <c r="G144" s="173"/>
      <c r="H144" s="172" t="str">
        <f>IFERROR(INDEX('G-7 Rivers Data'!$H$4:$L$8,MATCH(C144,'G-7 Rivers Data'!$B$4:$B$8,0),MATCH(G144,'G-7 Rivers Data'!$H$3:$L$3,0)),"")</f>
        <v/>
      </c>
      <c r="I144" s="173"/>
      <c r="J144" s="269" t="str">
        <f>IF(I144="","",IF(VLOOKUP(I144,'G-7 Rivers Data'!$AG$4:$AI$9,2,FALSE)=0,"Spatial Data Missing",VLOOKUP(I144,'G-7 Rivers Data'!$AG$4:$AI$9,2,FALSE)))</f>
        <v/>
      </c>
      <c r="K144" s="172" t="str">
        <f>IF(I144="","",IF(VLOOKUP(I144,'G-7 Rivers Data'!$AG$4:$AI$9,3,FALSE)=0,"Spatial Data Missing",VLOOKUP(I144,'G-7 Rivers Data'!$AG$4:$AI$9,3,FALSE)))</f>
        <v/>
      </c>
      <c r="L144" s="384" t="str">
        <f>IFERROR(INDEX('G-7 Rivers Data'!$O$3:$O$7,MATCH(G144,'G-7 Rivers Data'!$N$3:$N$7,0)),"")</f>
        <v/>
      </c>
      <c r="M144" s="82"/>
      <c r="N144" s="261"/>
      <c r="O144" s="179" t="str">
        <f t="shared" si="13"/>
        <v/>
      </c>
      <c r="P144" s="262" t="str">
        <f t="shared" si="14"/>
        <v/>
      </c>
      <c r="Q144" s="382" t="str">
        <f>IFERROR(IF(P144="Check Data","Check Data",VLOOKUP(P144,'G-4 Temporal multipliers'!$A$4:$C$37,3,FALSE)),"")</f>
        <v/>
      </c>
      <c r="R144" s="171" t="str">
        <f>IF(C144="","",VLOOKUP(C144,'G-7 Rivers Data'!$B$4:$G$8,4,FALSE))</f>
        <v/>
      </c>
      <c r="S144" s="179" t="str">
        <f t="shared" si="15"/>
        <v/>
      </c>
      <c r="T144" s="269" t="str">
        <f t="shared" si="16"/>
        <v/>
      </c>
      <c r="U144" s="172" t="str">
        <f t="shared" si="17"/>
        <v/>
      </c>
      <c r="V144" s="79"/>
      <c r="W144" s="172" t="str">
        <f>IF(V144="","",IF(VLOOKUP(V144,'G-7 Rivers Data'!$AA$4:$AB$7,2,FALSE)=0,"Spatial Data Missing",VLOOKUP(V144,'G-7 Rivers Data'!$AA$4:$AB$7,2,FALSE)))</f>
        <v/>
      </c>
      <c r="X144" s="187"/>
      <c r="Y144" s="172" t="str">
        <f>IF(X144="","",IF(VLOOKUP(X144,'G-7 Rivers Data'!$AD$4:$AE$8,2,FALSE)=0,"Enrcoachment Data Missing",VLOOKUP(X144,'G-7 Rivers Data'!$AD$4:$AE$8,2,FALSE)))</f>
        <v/>
      </c>
      <c r="Z144" s="186"/>
      <c r="AA144" s="176" t="str">
        <f>IF(Z144="","",VLOOKUP(Z144,'G-7 Rivers Data'!$AO$4:$AP$7,2,FALSE))</f>
        <v/>
      </c>
      <c r="AB144" s="265" t="str">
        <f t="shared" si="18"/>
        <v/>
      </c>
      <c r="AC144" s="180"/>
      <c r="AD144" s="181"/>
      <c r="AK144" s="35" t="str">
        <f>IFERROR(INDEX('G-7 Rivers Data'!$AZ$3:$AZ$7,MATCH(C144,'G-7 Rivers Data'!$AY$3:$AY$7,0)),"")</f>
        <v/>
      </c>
    </row>
    <row r="145" spans="2:37" ht="13.8" x14ac:dyDescent="0.25">
      <c r="B145" s="168">
        <v>134</v>
      </c>
      <c r="C145" s="184"/>
      <c r="D145" s="213"/>
      <c r="E145" s="171" t="str">
        <f>IF(C145="","",VLOOKUP(C145,'G-7 Rivers Data'!$B$2:$Z$9,2,FALSE))</f>
        <v/>
      </c>
      <c r="F145" s="172" t="str">
        <f>IFERROR(VLOOKUP(E145,'G-7 Rivers Data'!$C$4:$D$8,2,FALSE),"")</f>
        <v/>
      </c>
      <c r="G145" s="173"/>
      <c r="H145" s="172" t="str">
        <f>IFERROR(INDEX('G-7 Rivers Data'!$H$4:$L$8,MATCH(C145,'G-7 Rivers Data'!$B$4:$B$8,0),MATCH(G145,'G-7 Rivers Data'!$H$3:$L$3,0)),"")</f>
        <v/>
      </c>
      <c r="I145" s="173"/>
      <c r="J145" s="269" t="str">
        <f>IF(I145="","",IF(VLOOKUP(I145,'G-7 Rivers Data'!$AG$4:$AI$9,2,FALSE)=0,"Spatial Data Missing",VLOOKUP(I145,'G-7 Rivers Data'!$AG$4:$AI$9,2,FALSE)))</f>
        <v/>
      </c>
      <c r="K145" s="172" t="str">
        <f>IF(I145="","",IF(VLOOKUP(I145,'G-7 Rivers Data'!$AG$4:$AI$9,3,FALSE)=0,"Spatial Data Missing",VLOOKUP(I145,'G-7 Rivers Data'!$AG$4:$AI$9,3,FALSE)))</f>
        <v/>
      </c>
      <c r="L145" s="384" t="str">
        <f>IFERROR(INDEX('G-7 Rivers Data'!$O$3:$O$7,MATCH(G145,'G-7 Rivers Data'!$N$3:$N$7,0)),"")</f>
        <v/>
      </c>
      <c r="M145" s="82"/>
      <c r="N145" s="261"/>
      <c r="O145" s="179" t="str">
        <f t="shared" si="13"/>
        <v/>
      </c>
      <c r="P145" s="262" t="str">
        <f t="shared" si="14"/>
        <v/>
      </c>
      <c r="Q145" s="382" t="str">
        <f>IFERROR(IF(P145="Check Data","Check Data",VLOOKUP(P145,'G-4 Temporal multipliers'!$A$4:$C$37,3,FALSE)),"")</f>
        <v/>
      </c>
      <c r="R145" s="171" t="str">
        <f>IF(C145="","",VLOOKUP(C145,'G-7 Rivers Data'!$B$4:$G$8,4,FALSE))</f>
        <v/>
      </c>
      <c r="S145" s="179" t="str">
        <f t="shared" si="15"/>
        <v/>
      </c>
      <c r="T145" s="269" t="str">
        <f t="shared" si="16"/>
        <v/>
      </c>
      <c r="U145" s="172" t="str">
        <f t="shared" si="17"/>
        <v/>
      </c>
      <c r="V145" s="79"/>
      <c r="W145" s="172" t="str">
        <f>IF(V145="","",IF(VLOOKUP(V145,'G-7 Rivers Data'!$AA$4:$AB$7,2,FALSE)=0,"Spatial Data Missing",VLOOKUP(V145,'G-7 Rivers Data'!$AA$4:$AB$7,2,FALSE)))</f>
        <v/>
      </c>
      <c r="X145" s="187"/>
      <c r="Y145" s="172" t="str">
        <f>IF(X145="","",IF(VLOOKUP(X145,'G-7 Rivers Data'!$AD$4:$AE$8,2,FALSE)=0,"Enrcoachment Data Missing",VLOOKUP(X145,'G-7 Rivers Data'!$AD$4:$AE$8,2,FALSE)))</f>
        <v/>
      </c>
      <c r="Z145" s="186"/>
      <c r="AA145" s="176" t="str">
        <f>IF(Z145="","",VLOOKUP(Z145,'G-7 Rivers Data'!$AO$4:$AP$7,2,FALSE))</f>
        <v/>
      </c>
      <c r="AB145" s="265" t="str">
        <f t="shared" si="18"/>
        <v/>
      </c>
      <c r="AC145" s="180"/>
      <c r="AD145" s="181"/>
      <c r="AK145" s="35" t="str">
        <f>IFERROR(INDEX('G-7 Rivers Data'!$AZ$3:$AZ$7,MATCH(C145,'G-7 Rivers Data'!$AY$3:$AY$7,0)),"")</f>
        <v/>
      </c>
    </row>
    <row r="146" spans="2:37" ht="13.8" x14ac:dyDescent="0.25">
      <c r="B146" s="168">
        <v>135</v>
      </c>
      <c r="C146" s="184"/>
      <c r="D146" s="213"/>
      <c r="E146" s="171" t="str">
        <f>IF(C146="","",VLOOKUP(C146,'G-7 Rivers Data'!$B$2:$Z$9,2,FALSE))</f>
        <v/>
      </c>
      <c r="F146" s="172" t="str">
        <f>IFERROR(VLOOKUP(E146,'G-7 Rivers Data'!$C$4:$D$8,2,FALSE),"")</f>
        <v/>
      </c>
      <c r="G146" s="173"/>
      <c r="H146" s="172" t="str">
        <f>IFERROR(INDEX('G-7 Rivers Data'!$H$4:$L$8,MATCH(C146,'G-7 Rivers Data'!$B$4:$B$8,0),MATCH(G146,'G-7 Rivers Data'!$H$3:$L$3,0)),"")</f>
        <v/>
      </c>
      <c r="I146" s="173"/>
      <c r="J146" s="269" t="str">
        <f>IF(I146="","",IF(VLOOKUP(I146,'G-7 Rivers Data'!$AG$4:$AI$9,2,FALSE)=0,"Spatial Data Missing",VLOOKUP(I146,'G-7 Rivers Data'!$AG$4:$AI$9,2,FALSE)))</f>
        <v/>
      </c>
      <c r="K146" s="172" t="str">
        <f>IF(I146="","",IF(VLOOKUP(I146,'G-7 Rivers Data'!$AG$4:$AI$9,3,FALSE)=0,"Spatial Data Missing",VLOOKUP(I146,'G-7 Rivers Data'!$AG$4:$AI$9,3,FALSE)))</f>
        <v/>
      </c>
      <c r="L146" s="384" t="str">
        <f>IFERROR(INDEX('G-7 Rivers Data'!$O$3:$O$7,MATCH(G146,'G-7 Rivers Data'!$N$3:$N$7,0)),"")</f>
        <v/>
      </c>
      <c r="M146" s="82"/>
      <c r="N146" s="261"/>
      <c r="O146" s="179" t="str">
        <f t="shared" si="13"/>
        <v/>
      </c>
      <c r="P146" s="262" t="str">
        <f t="shared" si="14"/>
        <v/>
      </c>
      <c r="Q146" s="382" t="str">
        <f>IFERROR(IF(P146="Check Data","Check Data",VLOOKUP(P146,'G-4 Temporal multipliers'!$A$4:$C$37,3,FALSE)),"")</f>
        <v/>
      </c>
      <c r="R146" s="171" t="str">
        <f>IF(C146="","",VLOOKUP(C146,'G-7 Rivers Data'!$B$4:$G$8,4,FALSE))</f>
        <v/>
      </c>
      <c r="S146" s="179" t="str">
        <f t="shared" si="15"/>
        <v/>
      </c>
      <c r="T146" s="269" t="str">
        <f t="shared" si="16"/>
        <v/>
      </c>
      <c r="U146" s="172" t="str">
        <f t="shared" si="17"/>
        <v/>
      </c>
      <c r="V146" s="79"/>
      <c r="W146" s="172" t="str">
        <f>IF(V146="","",IF(VLOOKUP(V146,'G-7 Rivers Data'!$AA$4:$AB$7,2,FALSE)=0,"Spatial Data Missing",VLOOKUP(V146,'G-7 Rivers Data'!$AA$4:$AB$7,2,FALSE)))</f>
        <v/>
      </c>
      <c r="X146" s="187"/>
      <c r="Y146" s="172" t="str">
        <f>IF(X146="","",IF(VLOOKUP(X146,'G-7 Rivers Data'!$AD$4:$AE$8,2,FALSE)=0,"Enrcoachment Data Missing",VLOOKUP(X146,'G-7 Rivers Data'!$AD$4:$AE$8,2,FALSE)))</f>
        <v/>
      </c>
      <c r="Z146" s="186"/>
      <c r="AA146" s="176" t="str">
        <f>IF(Z146="","",VLOOKUP(Z146,'G-7 Rivers Data'!$AO$4:$AP$7,2,FALSE))</f>
        <v/>
      </c>
      <c r="AB146" s="265" t="str">
        <f t="shared" si="18"/>
        <v/>
      </c>
      <c r="AC146" s="180"/>
      <c r="AD146" s="181"/>
      <c r="AK146" s="35" t="str">
        <f>IFERROR(INDEX('G-7 Rivers Data'!$AZ$3:$AZ$7,MATCH(C146,'G-7 Rivers Data'!$AY$3:$AY$7,0)),"")</f>
        <v/>
      </c>
    </row>
    <row r="147" spans="2:37" ht="13.8" x14ac:dyDescent="0.25">
      <c r="B147" s="168">
        <v>136</v>
      </c>
      <c r="C147" s="184"/>
      <c r="D147" s="213"/>
      <c r="E147" s="171" t="str">
        <f>IF(C147="","",VLOOKUP(C147,'G-7 Rivers Data'!$B$2:$Z$9,2,FALSE))</f>
        <v/>
      </c>
      <c r="F147" s="172" t="str">
        <f>IFERROR(VLOOKUP(E147,'G-7 Rivers Data'!$C$4:$D$8,2,FALSE),"")</f>
        <v/>
      </c>
      <c r="G147" s="173"/>
      <c r="H147" s="172" t="str">
        <f>IFERROR(INDEX('G-7 Rivers Data'!$H$4:$L$8,MATCH(C147,'G-7 Rivers Data'!$B$4:$B$8,0),MATCH(G147,'G-7 Rivers Data'!$H$3:$L$3,0)),"")</f>
        <v/>
      </c>
      <c r="I147" s="173"/>
      <c r="J147" s="269" t="str">
        <f>IF(I147="","",IF(VLOOKUP(I147,'G-7 Rivers Data'!$AG$4:$AI$9,2,FALSE)=0,"Spatial Data Missing",VLOOKUP(I147,'G-7 Rivers Data'!$AG$4:$AI$9,2,FALSE)))</f>
        <v/>
      </c>
      <c r="K147" s="172" t="str">
        <f>IF(I147="","",IF(VLOOKUP(I147,'G-7 Rivers Data'!$AG$4:$AI$9,3,FALSE)=0,"Spatial Data Missing",VLOOKUP(I147,'G-7 Rivers Data'!$AG$4:$AI$9,3,FALSE)))</f>
        <v/>
      </c>
      <c r="L147" s="384" t="str">
        <f>IFERROR(INDEX('G-7 Rivers Data'!$O$3:$O$7,MATCH(G147,'G-7 Rivers Data'!$N$3:$N$7,0)),"")</f>
        <v/>
      </c>
      <c r="M147" s="82"/>
      <c r="N147" s="261"/>
      <c r="O147" s="179" t="str">
        <f t="shared" si="13"/>
        <v/>
      </c>
      <c r="P147" s="262" t="str">
        <f t="shared" si="14"/>
        <v/>
      </c>
      <c r="Q147" s="382" t="str">
        <f>IFERROR(IF(P147="Check Data","Check Data",VLOOKUP(P147,'G-4 Temporal multipliers'!$A$4:$C$37,3,FALSE)),"")</f>
        <v/>
      </c>
      <c r="R147" s="171" t="str">
        <f>IF(C147="","",VLOOKUP(C147,'G-7 Rivers Data'!$B$4:$G$8,4,FALSE))</f>
        <v/>
      </c>
      <c r="S147" s="179" t="str">
        <f t="shared" si="15"/>
        <v/>
      </c>
      <c r="T147" s="269" t="str">
        <f t="shared" si="16"/>
        <v/>
      </c>
      <c r="U147" s="172" t="str">
        <f t="shared" si="17"/>
        <v/>
      </c>
      <c r="V147" s="79"/>
      <c r="W147" s="172" t="str">
        <f>IF(V147="","",IF(VLOOKUP(V147,'G-7 Rivers Data'!$AA$4:$AB$7,2,FALSE)=0,"Spatial Data Missing",VLOOKUP(V147,'G-7 Rivers Data'!$AA$4:$AB$7,2,FALSE)))</f>
        <v/>
      </c>
      <c r="X147" s="187"/>
      <c r="Y147" s="172" t="str">
        <f>IF(X147="","",IF(VLOOKUP(X147,'G-7 Rivers Data'!$AD$4:$AE$8,2,FALSE)=0,"Enrcoachment Data Missing",VLOOKUP(X147,'G-7 Rivers Data'!$AD$4:$AE$8,2,FALSE)))</f>
        <v/>
      </c>
      <c r="Z147" s="186"/>
      <c r="AA147" s="176" t="str">
        <f>IF(Z147="","",VLOOKUP(Z147,'G-7 Rivers Data'!$AO$4:$AP$7,2,FALSE))</f>
        <v/>
      </c>
      <c r="AB147" s="265" t="str">
        <f t="shared" si="18"/>
        <v/>
      </c>
      <c r="AC147" s="180"/>
      <c r="AD147" s="181"/>
      <c r="AK147" s="35" t="str">
        <f>IFERROR(INDEX('G-7 Rivers Data'!$AZ$3:$AZ$7,MATCH(C147,'G-7 Rivers Data'!$AY$3:$AY$7,0)),"")</f>
        <v/>
      </c>
    </row>
    <row r="148" spans="2:37" ht="13.8" x14ac:dyDescent="0.25">
      <c r="B148" s="168">
        <v>137</v>
      </c>
      <c r="C148" s="184"/>
      <c r="D148" s="213"/>
      <c r="E148" s="171" t="str">
        <f>IF(C148="","",VLOOKUP(C148,'G-7 Rivers Data'!$B$2:$Z$9,2,FALSE))</f>
        <v/>
      </c>
      <c r="F148" s="172" t="str">
        <f>IFERROR(VLOOKUP(E148,'G-7 Rivers Data'!$C$4:$D$8,2,FALSE),"")</f>
        <v/>
      </c>
      <c r="G148" s="173"/>
      <c r="H148" s="172" t="str">
        <f>IFERROR(INDEX('G-7 Rivers Data'!$H$4:$L$8,MATCH(C148,'G-7 Rivers Data'!$B$4:$B$8,0),MATCH(G148,'G-7 Rivers Data'!$H$3:$L$3,0)),"")</f>
        <v/>
      </c>
      <c r="I148" s="173"/>
      <c r="J148" s="269" t="str">
        <f>IF(I148="","",IF(VLOOKUP(I148,'G-7 Rivers Data'!$AG$4:$AI$9,2,FALSE)=0,"Spatial Data Missing",VLOOKUP(I148,'G-7 Rivers Data'!$AG$4:$AI$9,2,FALSE)))</f>
        <v/>
      </c>
      <c r="K148" s="172" t="str">
        <f>IF(I148="","",IF(VLOOKUP(I148,'G-7 Rivers Data'!$AG$4:$AI$9,3,FALSE)=0,"Spatial Data Missing",VLOOKUP(I148,'G-7 Rivers Data'!$AG$4:$AI$9,3,FALSE)))</f>
        <v/>
      </c>
      <c r="L148" s="384" t="str">
        <f>IFERROR(INDEX('G-7 Rivers Data'!$O$3:$O$7,MATCH(G148,'G-7 Rivers Data'!$N$3:$N$7,0)),"")</f>
        <v/>
      </c>
      <c r="M148" s="82"/>
      <c r="N148" s="261"/>
      <c r="O148" s="179" t="str">
        <f t="shared" si="13"/>
        <v/>
      </c>
      <c r="P148" s="262" t="str">
        <f t="shared" si="14"/>
        <v/>
      </c>
      <c r="Q148" s="382" t="str">
        <f>IFERROR(IF(P148="Check Data","Check Data",VLOOKUP(P148,'G-4 Temporal multipliers'!$A$4:$C$37,3,FALSE)),"")</f>
        <v/>
      </c>
      <c r="R148" s="171" t="str">
        <f>IF(C148="","",VLOOKUP(C148,'G-7 Rivers Data'!$B$4:$G$8,4,FALSE))</f>
        <v/>
      </c>
      <c r="S148" s="179" t="str">
        <f t="shared" si="15"/>
        <v/>
      </c>
      <c r="T148" s="269" t="str">
        <f t="shared" si="16"/>
        <v/>
      </c>
      <c r="U148" s="172" t="str">
        <f t="shared" si="17"/>
        <v/>
      </c>
      <c r="V148" s="79"/>
      <c r="W148" s="172" t="str">
        <f>IF(V148="","",IF(VLOOKUP(V148,'G-7 Rivers Data'!$AA$4:$AB$7,2,FALSE)=0,"Spatial Data Missing",VLOOKUP(V148,'G-7 Rivers Data'!$AA$4:$AB$7,2,FALSE)))</f>
        <v/>
      </c>
      <c r="X148" s="187"/>
      <c r="Y148" s="172" t="str">
        <f>IF(X148="","",IF(VLOOKUP(X148,'G-7 Rivers Data'!$AD$4:$AE$8,2,FALSE)=0,"Enrcoachment Data Missing",VLOOKUP(X148,'G-7 Rivers Data'!$AD$4:$AE$8,2,FALSE)))</f>
        <v/>
      </c>
      <c r="Z148" s="186"/>
      <c r="AA148" s="176" t="str">
        <f>IF(Z148="","",VLOOKUP(Z148,'G-7 Rivers Data'!$AO$4:$AP$7,2,FALSE))</f>
        <v/>
      </c>
      <c r="AB148" s="265" t="str">
        <f t="shared" si="18"/>
        <v/>
      </c>
      <c r="AC148" s="180"/>
      <c r="AD148" s="181"/>
      <c r="AK148" s="35" t="str">
        <f>IFERROR(INDEX('G-7 Rivers Data'!$AZ$3:$AZ$7,MATCH(C148,'G-7 Rivers Data'!$AY$3:$AY$7,0)),"")</f>
        <v/>
      </c>
    </row>
    <row r="149" spans="2:37" ht="13.8" x14ac:dyDescent="0.25">
      <c r="B149" s="168">
        <v>138</v>
      </c>
      <c r="C149" s="184"/>
      <c r="D149" s="213"/>
      <c r="E149" s="171" t="str">
        <f>IF(C149="","",VLOOKUP(C149,'G-7 Rivers Data'!$B$2:$Z$9,2,FALSE))</f>
        <v/>
      </c>
      <c r="F149" s="172" t="str">
        <f>IFERROR(VLOOKUP(E149,'G-7 Rivers Data'!$C$4:$D$8,2,FALSE),"")</f>
        <v/>
      </c>
      <c r="G149" s="173"/>
      <c r="H149" s="172" t="str">
        <f>IFERROR(INDEX('G-7 Rivers Data'!$H$4:$L$8,MATCH(C149,'G-7 Rivers Data'!$B$4:$B$8,0),MATCH(G149,'G-7 Rivers Data'!$H$3:$L$3,0)),"")</f>
        <v/>
      </c>
      <c r="I149" s="173"/>
      <c r="J149" s="269" t="str">
        <f>IF(I149="","",IF(VLOOKUP(I149,'G-7 Rivers Data'!$AG$4:$AI$9,2,FALSE)=0,"Spatial Data Missing",VLOOKUP(I149,'G-7 Rivers Data'!$AG$4:$AI$9,2,FALSE)))</f>
        <v/>
      </c>
      <c r="K149" s="172" t="str">
        <f>IF(I149="","",IF(VLOOKUP(I149,'G-7 Rivers Data'!$AG$4:$AI$9,3,FALSE)=0,"Spatial Data Missing",VLOOKUP(I149,'G-7 Rivers Data'!$AG$4:$AI$9,3,FALSE)))</f>
        <v/>
      </c>
      <c r="L149" s="384" t="str">
        <f>IFERROR(INDEX('G-7 Rivers Data'!$O$3:$O$7,MATCH(G149,'G-7 Rivers Data'!$N$3:$N$7,0)),"")</f>
        <v/>
      </c>
      <c r="M149" s="82"/>
      <c r="N149" s="261"/>
      <c r="O149" s="179" t="str">
        <f t="shared" si="13"/>
        <v/>
      </c>
      <c r="P149" s="262" t="str">
        <f t="shared" si="14"/>
        <v/>
      </c>
      <c r="Q149" s="382" t="str">
        <f>IFERROR(IF(P149="Check Data","Check Data",VLOOKUP(P149,'G-4 Temporal multipliers'!$A$4:$C$37,3,FALSE)),"")</f>
        <v/>
      </c>
      <c r="R149" s="171" t="str">
        <f>IF(C149="","",VLOOKUP(C149,'G-7 Rivers Data'!$B$4:$G$8,4,FALSE))</f>
        <v/>
      </c>
      <c r="S149" s="179" t="str">
        <f t="shared" si="15"/>
        <v/>
      </c>
      <c r="T149" s="269" t="str">
        <f t="shared" si="16"/>
        <v/>
      </c>
      <c r="U149" s="172" t="str">
        <f t="shared" si="17"/>
        <v/>
      </c>
      <c r="V149" s="79"/>
      <c r="W149" s="172" t="str">
        <f>IF(V149="","",IF(VLOOKUP(V149,'G-7 Rivers Data'!$AA$4:$AB$7,2,FALSE)=0,"Spatial Data Missing",VLOOKUP(V149,'G-7 Rivers Data'!$AA$4:$AB$7,2,FALSE)))</f>
        <v/>
      </c>
      <c r="X149" s="187"/>
      <c r="Y149" s="172" t="str">
        <f>IF(X149="","",IF(VLOOKUP(X149,'G-7 Rivers Data'!$AD$4:$AE$8,2,FALSE)=0,"Enrcoachment Data Missing",VLOOKUP(X149,'G-7 Rivers Data'!$AD$4:$AE$8,2,FALSE)))</f>
        <v/>
      </c>
      <c r="Z149" s="186"/>
      <c r="AA149" s="176" t="str">
        <f>IF(Z149="","",VLOOKUP(Z149,'G-7 Rivers Data'!$AO$4:$AP$7,2,FALSE))</f>
        <v/>
      </c>
      <c r="AB149" s="265" t="str">
        <f t="shared" si="18"/>
        <v/>
      </c>
      <c r="AC149" s="180"/>
      <c r="AD149" s="181"/>
      <c r="AK149" s="35" t="str">
        <f>IFERROR(INDEX('G-7 Rivers Data'!$AZ$3:$AZ$7,MATCH(C149,'G-7 Rivers Data'!$AY$3:$AY$7,0)),"")</f>
        <v/>
      </c>
    </row>
    <row r="150" spans="2:37" ht="13.8" x14ac:dyDescent="0.25">
      <c r="B150" s="168">
        <v>139</v>
      </c>
      <c r="C150" s="184"/>
      <c r="D150" s="213"/>
      <c r="E150" s="171" t="str">
        <f>IF(C150="","",VLOOKUP(C150,'G-7 Rivers Data'!$B$2:$Z$9,2,FALSE))</f>
        <v/>
      </c>
      <c r="F150" s="172" t="str">
        <f>IFERROR(VLOOKUP(E150,'G-7 Rivers Data'!$C$4:$D$8,2,FALSE),"")</f>
        <v/>
      </c>
      <c r="G150" s="173"/>
      <c r="H150" s="172" t="str">
        <f>IFERROR(INDEX('G-7 Rivers Data'!$H$4:$L$8,MATCH(C150,'G-7 Rivers Data'!$B$4:$B$8,0),MATCH(G150,'G-7 Rivers Data'!$H$3:$L$3,0)),"")</f>
        <v/>
      </c>
      <c r="I150" s="173"/>
      <c r="J150" s="269" t="str">
        <f>IF(I150="","",IF(VLOOKUP(I150,'G-7 Rivers Data'!$AG$4:$AI$9,2,FALSE)=0,"Spatial Data Missing",VLOOKUP(I150,'G-7 Rivers Data'!$AG$4:$AI$9,2,FALSE)))</f>
        <v/>
      </c>
      <c r="K150" s="172" t="str">
        <f>IF(I150="","",IF(VLOOKUP(I150,'G-7 Rivers Data'!$AG$4:$AI$9,3,FALSE)=0,"Spatial Data Missing",VLOOKUP(I150,'G-7 Rivers Data'!$AG$4:$AI$9,3,FALSE)))</f>
        <v/>
      </c>
      <c r="L150" s="384" t="str">
        <f>IFERROR(INDEX('G-7 Rivers Data'!$O$3:$O$7,MATCH(G150,'G-7 Rivers Data'!$N$3:$N$7,0)),"")</f>
        <v/>
      </c>
      <c r="M150" s="82"/>
      <c r="N150" s="261"/>
      <c r="O150" s="179" t="str">
        <f t="shared" si="13"/>
        <v/>
      </c>
      <c r="P150" s="262" t="str">
        <f t="shared" si="14"/>
        <v/>
      </c>
      <c r="Q150" s="382" t="str">
        <f>IFERROR(IF(P150="Check Data","Check Data",VLOOKUP(P150,'G-4 Temporal multipliers'!$A$4:$C$37,3,FALSE)),"")</f>
        <v/>
      </c>
      <c r="R150" s="171" t="str">
        <f>IF(C150="","",VLOOKUP(C150,'G-7 Rivers Data'!$B$4:$G$8,4,FALSE))</f>
        <v/>
      </c>
      <c r="S150" s="179" t="str">
        <f t="shared" si="15"/>
        <v/>
      </c>
      <c r="T150" s="269" t="str">
        <f t="shared" si="16"/>
        <v/>
      </c>
      <c r="U150" s="172" t="str">
        <f t="shared" si="17"/>
        <v/>
      </c>
      <c r="V150" s="79"/>
      <c r="W150" s="172" t="str">
        <f>IF(V150="","",IF(VLOOKUP(V150,'G-7 Rivers Data'!$AA$4:$AB$7,2,FALSE)=0,"Spatial Data Missing",VLOOKUP(V150,'G-7 Rivers Data'!$AA$4:$AB$7,2,FALSE)))</f>
        <v/>
      </c>
      <c r="X150" s="187"/>
      <c r="Y150" s="172" t="str">
        <f>IF(X150="","",IF(VLOOKUP(X150,'G-7 Rivers Data'!$AD$4:$AE$8,2,FALSE)=0,"Enrcoachment Data Missing",VLOOKUP(X150,'G-7 Rivers Data'!$AD$4:$AE$8,2,FALSE)))</f>
        <v/>
      </c>
      <c r="Z150" s="186"/>
      <c r="AA150" s="176" t="str">
        <f>IF(Z150="","",VLOOKUP(Z150,'G-7 Rivers Data'!$AO$4:$AP$7,2,FALSE))</f>
        <v/>
      </c>
      <c r="AB150" s="265" t="str">
        <f t="shared" si="18"/>
        <v/>
      </c>
      <c r="AC150" s="180"/>
      <c r="AD150" s="181"/>
      <c r="AK150" s="35" t="str">
        <f>IFERROR(INDEX('G-7 Rivers Data'!$AZ$3:$AZ$7,MATCH(C150,'G-7 Rivers Data'!$AY$3:$AY$7,0)),"")</f>
        <v/>
      </c>
    </row>
    <row r="151" spans="2:37" ht="13.8" x14ac:dyDescent="0.25">
      <c r="B151" s="168">
        <v>140</v>
      </c>
      <c r="C151" s="184"/>
      <c r="D151" s="213"/>
      <c r="E151" s="171" t="str">
        <f>IF(C151="","",VLOOKUP(C151,'G-7 Rivers Data'!$B$2:$Z$9,2,FALSE))</f>
        <v/>
      </c>
      <c r="F151" s="172" t="str">
        <f>IFERROR(VLOOKUP(E151,'G-7 Rivers Data'!$C$4:$D$8,2,FALSE),"")</f>
        <v/>
      </c>
      <c r="G151" s="173"/>
      <c r="H151" s="172" t="str">
        <f>IFERROR(INDEX('G-7 Rivers Data'!$H$4:$L$8,MATCH(C151,'G-7 Rivers Data'!$B$4:$B$8,0),MATCH(G151,'G-7 Rivers Data'!$H$3:$L$3,0)),"")</f>
        <v/>
      </c>
      <c r="I151" s="173"/>
      <c r="J151" s="269" t="str">
        <f>IF(I151="","",IF(VLOOKUP(I151,'G-7 Rivers Data'!$AG$4:$AI$9,2,FALSE)=0,"Spatial Data Missing",VLOOKUP(I151,'G-7 Rivers Data'!$AG$4:$AI$9,2,FALSE)))</f>
        <v/>
      </c>
      <c r="K151" s="172" t="str">
        <f>IF(I151="","",IF(VLOOKUP(I151,'G-7 Rivers Data'!$AG$4:$AI$9,3,FALSE)=0,"Spatial Data Missing",VLOOKUP(I151,'G-7 Rivers Data'!$AG$4:$AI$9,3,FALSE)))</f>
        <v/>
      </c>
      <c r="L151" s="384" t="str">
        <f>IFERROR(INDEX('G-7 Rivers Data'!$O$3:$O$7,MATCH(G151,'G-7 Rivers Data'!$N$3:$N$7,0)),"")</f>
        <v/>
      </c>
      <c r="M151" s="82"/>
      <c r="N151" s="261"/>
      <c r="O151" s="179" t="str">
        <f t="shared" si="13"/>
        <v/>
      </c>
      <c r="P151" s="262" t="str">
        <f t="shared" si="14"/>
        <v/>
      </c>
      <c r="Q151" s="382" t="str">
        <f>IFERROR(IF(P151="Check Data","Check Data",VLOOKUP(P151,'G-4 Temporal multipliers'!$A$4:$C$37,3,FALSE)),"")</f>
        <v/>
      </c>
      <c r="R151" s="171" t="str">
        <f>IF(C151="","",VLOOKUP(C151,'G-7 Rivers Data'!$B$4:$G$8,4,FALSE))</f>
        <v/>
      </c>
      <c r="S151" s="179" t="str">
        <f t="shared" si="15"/>
        <v/>
      </c>
      <c r="T151" s="269" t="str">
        <f t="shared" si="16"/>
        <v/>
      </c>
      <c r="U151" s="172" t="str">
        <f t="shared" si="17"/>
        <v/>
      </c>
      <c r="V151" s="79"/>
      <c r="W151" s="172" t="str">
        <f>IF(V151="","",IF(VLOOKUP(V151,'G-7 Rivers Data'!$AA$4:$AB$7,2,FALSE)=0,"Spatial Data Missing",VLOOKUP(V151,'G-7 Rivers Data'!$AA$4:$AB$7,2,FALSE)))</f>
        <v/>
      </c>
      <c r="X151" s="187"/>
      <c r="Y151" s="172" t="str">
        <f>IF(X151="","",IF(VLOOKUP(X151,'G-7 Rivers Data'!$AD$4:$AE$8,2,FALSE)=0,"Enrcoachment Data Missing",VLOOKUP(X151,'G-7 Rivers Data'!$AD$4:$AE$8,2,FALSE)))</f>
        <v/>
      </c>
      <c r="Z151" s="186"/>
      <c r="AA151" s="176" t="str">
        <f>IF(Z151="","",VLOOKUP(Z151,'G-7 Rivers Data'!$AO$4:$AP$7,2,FALSE))</f>
        <v/>
      </c>
      <c r="AB151" s="265" t="str">
        <f t="shared" si="18"/>
        <v/>
      </c>
      <c r="AC151" s="180"/>
      <c r="AD151" s="181"/>
      <c r="AK151" s="35" t="str">
        <f>IFERROR(INDEX('G-7 Rivers Data'!$AZ$3:$AZ$7,MATCH(C151,'G-7 Rivers Data'!$AY$3:$AY$7,0)),"")</f>
        <v/>
      </c>
    </row>
    <row r="152" spans="2:37" ht="13.8" x14ac:dyDescent="0.25">
      <c r="B152" s="168">
        <v>141</v>
      </c>
      <c r="C152" s="184"/>
      <c r="D152" s="213"/>
      <c r="E152" s="171" t="str">
        <f>IF(C152="","",VLOOKUP(C152,'G-7 Rivers Data'!$B$2:$Z$9,2,FALSE))</f>
        <v/>
      </c>
      <c r="F152" s="172" t="str">
        <f>IFERROR(VLOOKUP(E152,'G-7 Rivers Data'!$C$4:$D$8,2,FALSE),"")</f>
        <v/>
      </c>
      <c r="G152" s="173"/>
      <c r="H152" s="172" t="str">
        <f>IFERROR(INDEX('G-7 Rivers Data'!$H$4:$L$8,MATCH(C152,'G-7 Rivers Data'!$B$4:$B$8,0),MATCH(G152,'G-7 Rivers Data'!$H$3:$L$3,0)),"")</f>
        <v/>
      </c>
      <c r="I152" s="173"/>
      <c r="J152" s="269" t="str">
        <f>IF(I152="","",IF(VLOOKUP(I152,'G-7 Rivers Data'!$AG$4:$AI$9,2,FALSE)=0,"Spatial Data Missing",VLOOKUP(I152,'G-7 Rivers Data'!$AG$4:$AI$9,2,FALSE)))</f>
        <v/>
      </c>
      <c r="K152" s="172" t="str">
        <f>IF(I152="","",IF(VLOOKUP(I152,'G-7 Rivers Data'!$AG$4:$AI$9,3,FALSE)=0,"Spatial Data Missing",VLOOKUP(I152,'G-7 Rivers Data'!$AG$4:$AI$9,3,FALSE)))</f>
        <v/>
      </c>
      <c r="L152" s="384" t="str">
        <f>IFERROR(INDEX('G-7 Rivers Data'!$O$3:$O$7,MATCH(G152,'G-7 Rivers Data'!$N$3:$N$7,0)),"")</f>
        <v/>
      </c>
      <c r="M152" s="82"/>
      <c r="N152" s="261"/>
      <c r="O152" s="179" t="str">
        <f t="shared" si="13"/>
        <v/>
      </c>
      <c r="P152" s="262" t="str">
        <f t="shared" si="14"/>
        <v/>
      </c>
      <c r="Q152" s="382" t="str">
        <f>IFERROR(IF(P152="Check Data","Check Data",VLOOKUP(P152,'G-4 Temporal multipliers'!$A$4:$C$37,3,FALSE)),"")</f>
        <v/>
      </c>
      <c r="R152" s="171" t="str">
        <f>IF(C152="","",VLOOKUP(C152,'G-7 Rivers Data'!$B$4:$G$8,4,FALSE))</f>
        <v/>
      </c>
      <c r="S152" s="179" t="str">
        <f t="shared" si="15"/>
        <v/>
      </c>
      <c r="T152" s="269" t="str">
        <f t="shared" si="16"/>
        <v/>
      </c>
      <c r="U152" s="172" t="str">
        <f t="shared" si="17"/>
        <v/>
      </c>
      <c r="V152" s="79"/>
      <c r="W152" s="172" t="str">
        <f>IF(V152="","",IF(VLOOKUP(V152,'G-7 Rivers Data'!$AA$4:$AB$7,2,FALSE)=0,"Spatial Data Missing",VLOOKUP(V152,'G-7 Rivers Data'!$AA$4:$AB$7,2,FALSE)))</f>
        <v/>
      </c>
      <c r="X152" s="187"/>
      <c r="Y152" s="172" t="str">
        <f>IF(X152="","",IF(VLOOKUP(X152,'G-7 Rivers Data'!$AD$4:$AE$8,2,FALSE)=0,"Enrcoachment Data Missing",VLOOKUP(X152,'G-7 Rivers Data'!$AD$4:$AE$8,2,FALSE)))</f>
        <v/>
      </c>
      <c r="Z152" s="186"/>
      <c r="AA152" s="176" t="str">
        <f>IF(Z152="","",VLOOKUP(Z152,'G-7 Rivers Data'!$AO$4:$AP$7,2,FALSE))</f>
        <v/>
      </c>
      <c r="AB152" s="265" t="str">
        <f t="shared" si="18"/>
        <v/>
      </c>
      <c r="AC152" s="180"/>
      <c r="AD152" s="181"/>
      <c r="AK152" s="35" t="str">
        <f>IFERROR(INDEX('G-7 Rivers Data'!$AZ$3:$AZ$7,MATCH(C152,'G-7 Rivers Data'!$AY$3:$AY$7,0)),"")</f>
        <v/>
      </c>
    </row>
    <row r="153" spans="2:37" ht="13.8" x14ac:dyDescent="0.25">
      <c r="B153" s="168">
        <v>142</v>
      </c>
      <c r="C153" s="184"/>
      <c r="D153" s="213"/>
      <c r="E153" s="171" t="str">
        <f>IF(C153="","",VLOOKUP(C153,'G-7 Rivers Data'!$B$2:$Z$9,2,FALSE))</f>
        <v/>
      </c>
      <c r="F153" s="172" t="str">
        <f>IFERROR(VLOOKUP(E153,'G-7 Rivers Data'!$C$4:$D$8,2,FALSE),"")</f>
        <v/>
      </c>
      <c r="G153" s="173"/>
      <c r="H153" s="172" t="str">
        <f>IFERROR(INDEX('G-7 Rivers Data'!$H$4:$L$8,MATCH(C153,'G-7 Rivers Data'!$B$4:$B$8,0),MATCH(G153,'G-7 Rivers Data'!$H$3:$L$3,0)),"")</f>
        <v/>
      </c>
      <c r="I153" s="173"/>
      <c r="J153" s="269" t="str">
        <f>IF(I153="","",IF(VLOOKUP(I153,'G-7 Rivers Data'!$AG$4:$AI$9,2,FALSE)=0,"Spatial Data Missing",VLOOKUP(I153,'G-7 Rivers Data'!$AG$4:$AI$9,2,FALSE)))</f>
        <v/>
      </c>
      <c r="K153" s="172" t="str">
        <f>IF(I153="","",IF(VLOOKUP(I153,'G-7 Rivers Data'!$AG$4:$AI$9,3,FALSE)=0,"Spatial Data Missing",VLOOKUP(I153,'G-7 Rivers Data'!$AG$4:$AI$9,3,FALSE)))</f>
        <v/>
      </c>
      <c r="L153" s="384" t="str">
        <f>IFERROR(INDEX('G-7 Rivers Data'!$O$3:$O$7,MATCH(G153,'G-7 Rivers Data'!$N$3:$N$7,0)),"")</f>
        <v/>
      </c>
      <c r="M153" s="82"/>
      <c r="N153" s="261"/>
      <c r="O153" s="179" t="str">
        <f t="shared" si="13"/>
        <v/>
      </c>
      <c r="P153" s="262" t="str">
        <f t="shared" si="14"/>
        <v/>
      </c>
      <c r="Q153" s="382" t="str">
        <f>IFERROR(IF(P153="Check Data","Check Data",VLOOKUP(P153,'G-4 Temporal multipliers'!$A$4:$C$37,3,FALSE)),"")</f>
        <v/>
      </c>
      <c r="R153" s="171" t="str">
        <f>IF(C153="","",VLOOKUP(C153,'G-7 Rivers Data'!$B$4:$G$8,4,FALSE))</f>
        <v/>
      </c>
      <c r="S153" s="179" t="str">
        <f t="shared" si="15"/>
        <v/>
      </c>
      <c r="T153" s="269" t="str">
        <f t="shared" si="16"/>
        <v/>
      </c>
      <c r="U153" s="172" t="str">
        <f t="shared" si="17"/>
        <v/>
      </c>
      <c r="V153" s="79"/>
      <c r="W153" s="172" t="str">
        <f>IF(V153="","",IF(VLOOKUP(V153,'G-7 Rivers Data'!$AA$4:$AB$7,2,FALSE)=0,"Spatial Data Missing",VLOOKUP(V153,'G-7 Rivers Data'!$AA$4:$AB$7,2,FALSE)))</f>
        <v/>
      </c>
      <c r="X153" s="187"/>
      <c r="Y153" s="172" t="str">
        <f>IF(X153="","",IF(VLOOKUP(X153,'G-7 Rivers Data'!$AD$4:$AE$8,2,FALSE)=0,"Enrcoachment Data Missing",VLOOKUP(X153,'G-7 Rivers Data'!$AD$4:$AE$8,2,FALSE)))</f>
        <v/>
      </c>
      <c r="Z153" s="186"/>
      <c r="AA153" s="176" t="str">
        <f>IF(Z153="","",VLOOKUP(Z153,'G-7 Rivers Data'!$AO$4:$AP$7,2,FALSE))</f>
        <v/>
      </c>
      <c r="AB153" s="265" t="str">
        <f t="shared" si="18"/>
        <v/>
      </c>
      <c r="AC153" s="180"/>
      <c r="AD153" s="181"/>
      <c r="AK153" s="35" t="str">
        <f>IFERROR(INDEX('G-7 Rivers Data'!$AZ$3:$AZ$7,MATCH(C153,'G-7 Rivers Data'!$AY$3:$AY$7,0)),"")</f>
        <v/>
      </c>
    </row>
    <row r="154" spans="2:37" ht="13.8" x14ac:dyDescent="0.25">
      <c r="B154" s="168">
        <v>143</v>
      </c>
      <c r="C154" s="184"/>
      <c r="D154" s="213"/>
      <c r="E154" s="171" t="str">
        <f>IF(C154="","",VLOOKUP(C154,'G-7 Rivers Data'!$B$2:$Z$9,2,FALSE))</f>
        <v/>
      </c>
      <c r="F154" s="172" t="str">
        <f>IFERROR(VLOOKUP(E154,'G-7 Rivers Data'!$C$4:$D$8,2,FALSE),"")</f>
        <v/>
      </c>
      <c r="G154" s="173"/>
      <c r="H154" s="172" t="str">
        <f>IFERROR(INDEX('G-7 Rivers Data'!$H$4:$L$8,MATCH(C154,'G-7 Rivers Data'!$B$4:$B$8,0),MATCH(G154,'G-7 Rivers Data'!$H$3:$L$3,0)),"")</f>
        <v/>
      </c>
      <c r="I154" s="173"/>
      <c r="J154" s="269" t="str">
        <f>IF(I154="","",IF(VLOOKUP(I154,'G-7 Rivers Data'!$AG$4:$AI$9,2,FALSE)=0,"Spatial Data Missing",VLOOKUP(I154,'G-7 Rivers Data'!$AG$4:$AI$9,2,FALSE)))</f>
        <v/>
      </c>
      <c r="K154" s="172" t="str">
        <f>IF(I154="","",IF(VLOOKUP(I154,'G-7 Rivers Data'!$AG$4:$AI$9,3,FALSE)=0,"Spatial Data Missing",VLOOKUP(I154,'G-7 Rivers Data'!$AG$4:$AI$9,3,FALSE)))</f>
        <v/>
      </c>
      <c r="L154" s="384" t="str">
        <f>IFERROR(INDEX('G-7 Rivers Data'!$O$3:$O$7,MATCH(G154,'G-7 Rivers Data'!$N$3:$N$7,0)),"")</f>
        <v/>
      </c>
      <c r="M154" s="82"/>
      <c r="N154" s="261"/>
      <c r="O154" s="179" t="str">
        <f t="shared" si="13"/>
        <v/>
      </c>
      <c r="P154" s="262" t="str">
        <f t="shared" si="14"/>
        <v/>
      </c>
      <c r="Q154" s="382" t="str">
        <f>IFERROR(IF(P154="Check Data","Check Data",VLOOKUP(P154,'G-4 Temporal multipliers'!$A$4:$C$37,3,FALSE)),"")</f>
        <v/>
      </c>
      <c r="R154" s="171" t="str">
        <f>IF(C154="","",VLOOKUP(C154,'G-7 Rivers Data'!$B$4:$G$8,4,FALSE))</f>
        <v/>
      </c>
      <c r="S154" s="179" t="str">
        <f t="shared" si="15"/>
        <v/>
      </c>
      <c r="T154" s="269" t="str">
        <f t="shared" si="16"/>
        <v/>
      </c>
      <c r="U154" s="172" t="str">
        <f t="shared" si="17"/>
        <v/>
      </c>
      <c r="V154" s="79"/>
      <c r="W154" s="172" t="str">
        <f>IF(V154="","",IF(VLOOKUP(V154,'G-7 Rivers Data'!$AA$4:$AB$7,2,FALSE)=0,"Spatial Data Missing",VLOOKUP(V154,'G-7 Rivers Data'!$AA$4:$AB$7,2,FALSE)))</f>
        <v/>
      </c>
      <c r="X154" s="187"/>
      <c r="Y154" s="172" t="str">
        <f>IF(X154="","",IF(VLOOKUP(X154,'G-7 Rivers Data'!$AD$4:$AE$8,2,FALSE)=0,"Enrcoachment Data Missing",VLOOKUP(X154,'G-7 Rivers Data'!$AD$4:$AE$8,2,FALSE)))</f>
        <v/>
      </c>
      <c r="Z154" s="186"/>
      <c r="AA154" s="176" t="str">
        <f>IF(Z154="","",VLOOKUP(Z154,'G-7 Rivers Data'!$AO$4:$AP$7,2,FALSE))</f>
        <v/>
      </c>
      <c r="AB154" s="265" t="str">
        <f t="shared" si="18"/>
        <v/>
      </c>
      <c r="AC154" s="180"/>
      <c r="AD154" s="181"/>
      <c r="AK154" s="35" t="str">
        <f>IFERROR(INDEX('G-7 Rivers Data'!$AZ$3:$AZ$7,MATCH(C154,'G-7 Rivers Data'!$AY$3:$AY$7,0)),"")</f>
        <v/>
      </c>
    </row>
    <row r="155" spans="2:37" ht="13.8" x14ac:dyDescent="0.25">
      <c r="B155" s="168">
        <v>144</v>
      </c>
      <c r="C155" s="184"/>
      <c r="D155" s="213"/>
      <c r="E155" s="171" t="str">
        <f>IF(C155="","",VLOOKUP(C155,'G-7 Rivers Data'!$B$2:$Z$9,2,FALSE))</f>
        <v/>
      </c>
      <c r="F155" s="172" t="str">
        <f>IFERROR(VLOOKUP(E155,'G-7 Rivers Data'!$C$4:$D$8,2,FALSE),"")</f>
        <v/>
      </c>
      <c r="G155" s="173"/>
      <c r="H155" s="172" t="str">
        <f>IFERROR(INDEX('G-7 Rivers Data'!$H$4:$L$8,MATCH(C155,'G-7 Rivers Data'!$B$4:$B$8,0),MATCH(G155,'G-7 Rivers Data'!$H$3:$L$3,0)),"")</f>
        <v/>
      </c>
      <c r="I155" s="173"/>
      <c r="J155" s="269" t="str">
        <f>IF(I155="","",IF(VLOOKUP(I155,'G-7 Rivers Data'!$AG$4:$AI$9,2,FALSE)=0,"Spatial Data Missing",VLOOKUP(I155,'G-7 Rivers Data'!$AG$4:$AI$9,2,FALSE)))</f>
        <v/>
      </c>
      <c r="K155" s="172" t="str">
        <f>IF(I155="","",IF(VLOOKUP(I155,'G-7 Rivers Data'!$AG$4:$AI$9,3,FALSE)=0,"Spatial Data Missing",VLOOKUP(I155,'G-7 Rivers Data'!$AG$4:$AI$9,3,FALSE)))</f>
        <v/>
      </c>
      <c r="L155" s="384" t="str">
        <f>IFERROR(INDEX('G-7 Rivers Data'!$O$3:$O$7,MATCH(G155,'G-7 Rivers Data'!$N$3:$N$7,0)),"")</f>
        <v/>
      </c>
      <c r="M155" s="82"/>
      <c r="N155" s="261"/>
      <c r="O155" s="179" t="str">
        <f t="shared" si="13"/>
        <v/>
      </c>
      <c r="P155" s="262" t="str">
        <f t="shared" si="14"/>
        <v/>
      </c>
      <c r="Q155" s="382" t="str">
        <f>IFERROR(IF(P155="Check Data","Check Data",VLOOKUP(P155,'G-4 Temporal multipliers'!$A$4:$C$37,3,FALSE)),"")</f>
        <v/>
      </c>
      <c r="R155" s="171" t="str">
        <f>IF(C155="","",VLOOKUP(C155,'G-7 Rivers Data'!$B$4:$G$8,4,FALSE))</f>
        <v/>
      </c>
      <c r="S155" s="179" t="str">
        <f t="shared" si="15"/>
        <v/>
      </c>
      <c r="T155" s="269" t="str">
        <f t="shared" si="16"/>
        <v/>
      </c>
      <c r="U155" s="172" t="str">
        <f t="shared" si="17"/>
        <v/>
      </c>
      <c r="V155" s="79"/>
      <c r="W155" s="172" t="str">
        <f>IF(V155="","",IF(VLOOKUP(V155,'G-7 Rivers Data'!$AA$4:$AB$7,2,FALSE)=0,"Spatial Data Missing",VLOOKUP(V155,'G-7 Rivers Data'!$AA$4:$AB$7,2,FALSE)))</f>
        <v/>
      </c>
      <c r="X155" s="187"/>
      <c r="Y155" s="172" t="str">
        <f>IF(X155="","",IF(VLOOKUP(X155,'G-7 Rivers Data'!$AD$4:$AE$8,2,FALSE)=0,"Enrcoachment Data Missing",VLOOKUP(X155,'G-7 Rivers Data'!$AD$4:$AE$8,2,FALSE)))</f>
        <v/>
      </c>
      <c r="Z155" s="186"/>
      <c r="AA155" s="176" t="str">
        <f>IF(Z155="","",VLOOKUP(Z155,'G-7 Rivers Data'!$AO$4:$AP$7,2,FALSE))</f>
        <v/>
      </c>
      <c r="AB155" s="265" t="str">
        <f t="shared" si="18"/>
        <v/>
      </c>
      <c r="AC155" s="180"/>
      <c r="AD155" s="181"/>
      <c r="AK155" s="35" t="str">
        <f>IFERROR(INDEX('G-7 Rivers Data'!$AZ$3:$AZ$7,MATCH(C155,'G-7 Rivers Data'!$AY$3:$AY$7,0)),"")</f>
        <v/>
      </c>
    </row>
    <row r="156" spans="2:37" ht="13.8" x14ac:dyDescent="0.25">
      <c r="B156" s="168">
        <v>145</v>
      </c>
      <c r="C156" s="184"/>
      <c r="D156" s="213"/>
      <c r="E156" s="171" t="str">
        <f>IF(C156="","",VLOOKUP(C156,'G-7 Rivers Data'!$B$2:$Z$9,2,FALSE))</f>
        <v/>
      </c>
      <c r="F156" s="172" t="str">
        <f>IFERROR(VLOOKUP(E156,'G-7 Rivers Data'!$C$4:$D$8,2,FALSE),"")</f>
        <v/>
      </c>
      <c r="G156" s="173"/>
      <c r="H156" s="172" t="str">
        <f>IFERROR(INDEX('G-7 Rivers Data'!$H$4:$L$8,MATCH(C156,'G-7 Rivers Data'!$B$4:$B$8,0),MATCH(G156,'G-7 Rivers Data'!$H$3:$L$3,0)),"")</f>
        <v/>
      </c>
      <c r="I156" s="173"/>
      <c r="J156" s="269" t="str">
        <f>IF(I156="","",IF(VLOOKUP(I156,'G-7 Rivers Data'!$AG$4:$AI$9,2,FALSE)=0,"Spatial Data Missing",VLOOKUP(I156,'G-7 Rivers Data'!$AG$4:$AI$9,2,FALSE)))</f>
        <v/>
      </c>
      <c r="K156" s="172" t="str">
        <f>IF(I156="","",IF(VLOOKUP(I156,'G-7 Rivers Data'!$AG$4:$AI$9,3,FALSE)=0,"Spatial Data Missing",VLOOKUP(I156,'G-7 Rivers Data'!$AG$4:$AI$9,3,FALSE)))</f>
        <v/>
      </c>
      <c r="L156" s="384" t="str">
        <f>IFERROR(INDEX('G-7 Rivers Data'!$O$3:$O$7,MATCH(G156,'G-7 Rivers Data'!$N$3:$N$7,0)),"")</f>
        <v/>
      </c>
      <c r="M156" s="82"/>
      <c r="N156" s="261"/>
      <c r="O156" s="179" t="str">
        <f t="shared" si="13"/>
        <v/>
      </c>
      <c r="P156" s="262" t="str">
        <f t="shared" si="14"/>
        <v/>
      </c>
      <c r="Q156" s="382" t="str">
        <f>IFERROR(IF(P156="Check Data","Check Data",VLOOKUP(P156,'G-4 Temporal multipliers'!$A$4:$C$37,3,FALSE)),"")</f>
        <v/>
      </c>
      <c r="R156" s="171" t="str">
        <f>IF(C156="","",VLOOKUP(C156,'G-7 Rivers Data'!$B$4:$G$8,4,FALSE))</f>
        <v/>
      </c>
      <c r="S156" s="179" t="str">
        <f t="shared" si="15"/>
        <v/>
      </c>
      <c r="T156" s="269" t="str">
        <f t="shared" si="16"/>
        <v/>
      </c>
      <c r="U156" s="172" t="str">
        <f t="shared" si="17"/>
        <v/>
      </c>
      <c r="V156" s="79"/>
      <c r="W156" s="172" t="str">
        <f>IF(V156="","",IF(VLOOKUP(V156,'G-7 Rivers Data'!$AA$4:$AB$7,2,FALSE)=0,"Spatial Data Missing",VLOOKUP(V156,'G-7 Rivers Data'!$AA$4:$AB$7,2,FALSE)))</f>
        <v/>
      </c>
      <c r="X156" s="187"/>
      <c r="Y156" s="172" t="str">
        <f>IF(X156="","",IF(VLOOKUP(X156,'G-7 Rivers Data'!$AD$4:$AE$8,2,FALSE)=0,"Enrcoachment Data Missing",VLOOKUP(X156,'G-7 Rivers Data'!$AD$4:$AE$8,2,FALSE)))</f>
        <v/>
      </c>
      <c r="Z156" s="186"/>
      <c r="AA156" s="176" t="str">
        <f>IF(Z156="","",VLOOKUP(Z156,'G-7 Rivers Data'!$AO$4:$AP$7,2,FALSE))</f>
        <v/>
      </c>
      <c r="AB156" s="265" t="str">
        <f t="shared" si="18"/>
        <v/>
      </c>
      <c r="AC156" s="180"/>
      <c r="AD156" s="181"/>
      <c r="AK156" s="35" t="str">
        <f>IFERROR(INDEX('G-7 Rivers Data'!$AZ$3:$AZ$7,MATCH(C156,'G-7 Rivers Data'!$AY$3:$AY$7,0)),"")</f>
        <v/>
      </c>
    </row>
    <row r="157" spans="2:37" ht="13.8" x14ac:dyDescent="0.25">
      <c r="B157" s="168">
        <v>146</v>
      </c>
      <c r="C157" s="184"/>
      <c r="D157" s="213"/>
      <c r="E157" s="171" t="str">
        <f>IF(C157="","",VLOOKUP(C157,'G-7 Rivers Data'!$B$2:$Z$9,2,FALSE))</f>
        <v/>
      </c>
      <c r="F157" s="172" t="str">
        <f>IFERROR(VLOOKUP(E157,'G-7 Rivers Data'!$C$4:$D$8,2,FALSE),"")</f>
        <v/>
      </c>
      <c r="G157" s="173"/>
      <c r="H157" s="172" t="str">
        <f>IFERROR(INDEX('G-7 Rivers Data'!$H$4:$L$8,MATCH(C157,'G-7 Rivers Data'!$B$4:$B$8,0),MATCH(G157,'G-7 Rivers Data'!$H$3:$L$3,0)),"")</f>
        <v/>
      </c>
      <c r="I157" s="173"/>
      <c r="J157" s="269" t="str">
        <f>IF(I157="","",IF(VLOOKUP(I157,'G-7 Rivers Data'!$AG$4:$AI$9,2,FALSE)=0,"Spatial Data Missing",VLOOKUP(I157,'G-7 Rivers Data'!$AG$4:$AI$9,2,FALSE)))</f>
        <v/>
      </c>
      <c r="K157" s="172" t="str">
        <f>IF(I157="","",IF(VLOOKUP(I157,'G-7 Rivers Data'!$AG$4:$AI$9,3,FALSE)=0,"Spatial Data Missing",VLOOKUP(I157,'G-7 Rivers Data'!$AG$4:$AI$9,3,FALSE)))</f>
        <v/>
      </c>
      <c r="L157" s="384" t="str">
        <f>IFERROR(INDEX('G-7 Rivers Data'!$O$3:$O$7,MATCH(G157,'G-7 Rivers Data'!$N$3:$N$7,0)),"")</f>
        <v/>
      </c>
      <c r="M157" s="82"/>
      <c r="N157" s="261"/>
      <c r="O157" s="179" t="str">
        <f t="shared" si="13"/>
        <v/>
      </c>
      <c r="P157" s="262" t="str">
        <f t="shared" si="14"/>
        <v/>
      </c>
      <c r="Q157" s="382" t="str">
        <f>IFERROR(IF(P157="Check Data","Check Data",VLOOKUP(P157,'G-4 Temporal multipliers'!$A$4:$C$37,3,FALSE)),"")</f>
        <v/>
      </c>
      <c r="R157" s="171" t="str">
        <f>IF(C157="","",VLOOKUP(C157,'G-7 Rivers Data'!$B$4:$G$8,4,FALSE))</f>
        <v/>
      </c>
      <c r="S157" s="179" t="str">
        <f t="shared" si="15"/>
        <v/>
      </c>
      <c r="T157" s="269" t="str">
        <f t="shared" si="16"/>
        <v/>
      </c>
      <c r="U157" s="172" t="str">
        <f t="shared" si="17"/>
        <v/>
      </c>
      <c r="V157" s="79"/>
      <c r="W157" s="172" t="str">
        <f>IF(V157="","",IF(VLOOKUP(V157,'G-7 Rivers Data'!$AA$4:$AB$7,2,FALSE)=0,"Spatial Data Missing",VLOOKUP(V157,'G-7 Rivers Data'!$AA$4:$AB$7,2,FALSE)))</f>
        <v/>
      </c>
      <c r="X157" s="187"/>
      <c r="Y157" s="172" t="str">
        <f>IF(X157="","",IF(VLOOKUP(X157,'G-7 Rivers Data'!$AD$4:$AE$8,2,FALSE)=0,"Enrcoachment Data Missing",VLOOKUP(X157,'G-7 Rivers Data'!$AD$4:$AE$8,2,FALSE)))</f>
        <v/>
      </c>
      <c r="Z157" s="186"/>
      <c r="AA157" s="176" t="str">
        <f>IF(Z157="","",VLOOKUP(Z157,'G-7 Rivers Data'!$AO$4:$AP$7,2,FALSE))</f>
        <v/>
      </c>
      <c r="AB157" s="265" t="str">
        <f t="shared" si="18"/>
        <v/>
      </c>
      <c r="AC157" s="180"/>
      <c r="AD157" s="181"/>
      <c r="AK157" s="35" t="str">
        <f>IFERROR(INDEX('G-7 Rivers Data'!$AZ$3:$AZ$7,MATCH(C157,'G-7 Rivers Data'!$AY$3:$AY$7,0)),"")</f>
        <v/>
      </c>
    </row>
    <row r="158" spans="2:37" ht="13.8" x14ac:dyDescent="0.25">
      <c r="B158" s="168">
        <v>147</v>
      </c>
      <c r="C158" s="184"/>
      <c r="D158" s="213"/>
      <c r="E158" s="171" t="str">
        <f>IF(C158="","",VLOOKUP(C158,'G-7 Rivers Data'!$B$2:$Z$9,2,FALSE))</f>
        <v/>
      </c>
      <c r="F158" s="172" t="str">
        <f>IFERROR(VLOOKUP(E158,'G-7 Rivers Data'!$C$4:$D$8,2,FALSE),"")</f>
        <v/>
      </c>
      <c r="G158" s="173"/>
      <c r="H158" s="172" t="str">
        <f>IFERROR(INDEX('G-7 Rivers Data'!$H$4:$L$8,MATCH(C158,'G-7 Rivers Data'!$B$4:$B$8,0),MATCH(G158,'G-7 Rivers Data'!$H$3:$L$3,0)),"")</f>
        <v/>
      </c>
      <c r="I158" s="173"/>
      <c r="J158" s="269" t="str">
        <f>IF(I158="","",IF(VLOOKUP(I158,'G-7 Rivers Data'!$AG$4:$AI$9,2,FALSE)=0,"Spatial Data Missing",VLOOKUP(I158,'G-7 Rivers Data'!$AG$4:$AI$9,2,FALSE)))</f>
        <v/>
      </c>
      <c r="K158" s="172" t="str">
        <f>IF(I158="","",IF(VLOOKUP(I158,'G-7 Rivers Data'!$AG$4:$AI$9,3,FALSE)=0,"Spatial Data Missing",VLOOKUP(I158,'G-7 Rivers Data'!$AG$4:$AI$9,3,FALSE)))</f>
        <v/>
      </c>
      <c r="L158" s="384" t="str">
        <f>IFERROR(INDEX('G-7 Rivers Data'!$O$3:$O$7,MATCH(G158,'G-7 Rivers Data'!$N$3:$N$7,0)),"")</f>
        <v/>
      </c>
      <c r="M158" s="82"/>
      <c r="N158" s="261"/>
      <c r="O158" s="179" t="str">
        <f t="shared" si="13"/>
        <v/>
      </c>
      <c r="P158" s="262" t="str">
        <f t="shared" si="14"/>
        <v/>
      </c>
      <c r="Q158" s="382" t="str">
        <f>IFERROR(IF(P158="Check Data","Check Data",VLOOKUP(P158,'G-4 Temporal multipliers'!$A$4:$C$37,3,FALSE)),"")</f>
        <v/>
      </c>
      <c r="R158" s="171" t="str">
        <f>IF(C158="","",VLOOKUP(C158,'G-7 Rivers Data'!$B$4:$G$8,4,FALSE))</f>
        <v/>
      </c>
      <c r="S158" s="179" t="str">
        <f t="shared" si="15"/>
        <v/>
      </c>
      <c r="T158" s="269" t="str">
        <f t="shared" si="16"/>
        <v/>
      </c>
      <c r="U158" s="172" t="str">
        <f t="shared" si="17"/>
        <v/>
      </c>
      <c r="V158" s="79"/>
      <c r="W158" s="172" t="str">
        <f>IF(V158="","",IF(VLOOKUP(V158,'G-7 Rivers Data'!$AA$4:$AB$7,2,FALSE)=0,"Spatial Data Missing",VLOOKUP(V158,'G-7 Rivers Data'!$AA$4:$AB$7,2,FALSE)))</f>
        <v/>
      </c>
      <c r="X158" s="187"/>
      <c r="Y158" s="172" t="str">
        <f>IF(X158="","",IF(VLOOKUP(X158,'G-7 Rivers Data'!$AD$4:$AE$8,2,FALSE)=0,"Enrcoachment Data Missing",VLOOKUP(X158,'G-7 Rivers Data'!$AD$4:$AE$8,2,FALSE)))</f>
        <v/>
      </c>
      <c r="Z158" s="186"/>
      <c r="AA158" s="176" t="str">
        <f>IF(Z158="","",VLOOKUP(Z158,'G-7 Rivers Data'!$AO$4:$AP$7,2,FALSE))</f>
        <v/>
      </c>
      <c r="AB158" s="265" t="str">
        <f t="shared" si="18"/>
        <v/>
      </c>
      <c r="AC158" s="180"/>
      <c r="AD158" s="181"/>
      <c r="AK158" s="35" t="str">
        <f>IFERROR(INDEX('G-7 Rivers Data'!$AZ$3:$AZ$7,MATCH(C158,'G-7 Rivers Data'!$AY$3:$AY$7,0)),"")</f>
        <v/>
      </c>
    </row>
    <row r="159" spans="2:37" ht="13.8" x14ac:dyDescent="0.25">
      <c r="B159" s="168">
        <v>148</v>
      </c>
      <c r="C159" s="184"/>
      <c r="D159" s="213"/>
      <c r="E159" s="171" t="str">
        <f>IF(C159="","",VLOOKUP(C159,'G-7 Rivers Data'!$B$2:$Z$9,2,FALSE))</f>
        <v/>
      </c>
      <c r="F159" s="172" t="str">
        <f>IFERROR(VLOOKUP(E159,'G-7 Rivers Data'!$C$4:$D$8,2,FALSE),"")</f>
        <v/>
      </c>
      <c r="G159" s="173"/>
      <c r="H159" s="172" t="str">
        <f>IFERROR(INDEX('G-7 Rivers Data'!$H$4:$L$8,MATCH(C159,'G-7 Rivers Data'!$B$4:$B$8,0),MATCH(G159,'G-7 Rivers Data'!$H$3:$L$3,0)),"")</f>
        <v/>
      </c>
      <c r="I159" s="173"/>
      <c r="J159" s="269" t="str">
        <f>IF(I159="","",IF(VLOOKUP(I159,'G-7 Rivers Data'!$AG$4:$AI$9,2,FALSE)=0,"Spatial Data Missing",VLOOKUP(I159,'G-7 Rivers Data'!$AG$4:$AI$9,2,FALSE)))</f>
        <v/>
      </c>
      <c r="K159" s="172" t="str">
        <f>IF(I159="","",IF(VLOOKUP(I159,'G-7 Rivers Data'!$AG$4:$AI$9,3,FALSE)=0,"Spatial Data Missing",VLOOKUP(I159,'G-7 Rivers Data'!$AG$4:$AI$9,3,FALSE)))</f>
        <v/>
      </c>
      <c r="L159" s="384" t="str">
        <f>IFERROR(INDEX('G-7 Rivers Data'!$O$3:$O$7,MATCH(G159,'G-7 Rivers Data'!$N$3:$N$7,0)),"")</f>
        <v/>
      </c>
      <c r="M159" s="82"/>
      <c r="N159" s="261"/>
      <c r="O159" s="179" t="str">
        <f t="shared" si="13"/>
        <v/>
      </c>
      <c r="P159" s="262" t="str">
        <f t="shared" si="14"/>
        <v/>
      </c>
      <c r="Q159" s="382" t="str">
        <f>IFERROR(IF(P159="Check Data","Check Data",VLOOKUP(P159,'G-4 Temporal multipliers'!$A$4:$C$37,3,FALSE)),"")</f>
        <v/>
      </c>
      <c r="R159" s="171" t="str">
        <f>IF(C159="","",VLOOKUP(C159,'G-7 Rivers Data'!$B$4:$G$8,4,FALSE))</f>
        <v/>
      </c>
      <c r="S159" s="179" t="str">
        <f t="shared" si="15"/>
        <v/>
      </c>
      <c r="T159" s="269" t="str">
        <f t="shared" si="16"/>
        <v/>
      </c>
      <c r="U159" s="172" t="str">
        <f t="shared" si="17"/>
        <v/>
      </c>
      <c r="V159" s="79"/>
      <c r="W159" s="172" t="str">
        <f>IF(V159="","",IF(VLOOKUP(V159,'G-7 Rivers Data'!$AA$4:$AB$7,2,FALSE)=0,"Spatial Data Missing",VLOOKUP(V159,'G-7 Rivers Data'!$AA$4:$AB$7,2,FALSE)))</f>
        <v/>
      </c>
      <c r="X159" s="187"/>
      <c r="Y159" s="172" t="str">
        <f>IF(X159="","",IF(VLOOKUP(X159,'G-7 Rivers Data'!$AD$4:$AE$8,2,FALSE)=0,"Enrcoachment Data Missing",VLOOKUP(X159,'G-7 Rivers Data'!$AD$4:$AE$8,2,FALSE)))</f>
        <v/>
      </c>
      <c r="Z159" s="186"/>
      <c r="AA159" s="176" t="str">
        <f>IF(Z159="","",VLOOKUP(Z159,'G-7 Rivers Data'!$AO$4:$AP$7,2,FALSE))</f>
        <v/>
      </c>
      <c r="AB159" s="265" t="str">
        <f t="shared" si="18"/>
        <v/>
      </c>
      <c r="AC159" s="180"/>
      <c r="AD159" s="181"/>
      <c r="AK159" s="35" t="str">
        <f>IFERROR(INDEX('G-7 Rivers Data'!$AZ$3:$AZ$7,MATCH(C159,'G-7 Rivers Data'!$AY$3:$AY$7,0)),"")</f>
        <v/>
      </c>
    </row>
    <row r="160" spans="2:37" ht="13.8" x14ac:dyDescent="0.25">
      <c r="B160" s="168">
        <v>149</v>
      </c>
      <c r="C160" s="184"/>
      <c r="D160" s="213"/>
      <c r="E160" s="171" t="str">
        <f>IF(C160="","",VLOOKUP(C160,'G-7 Rivers Data'!$B$2:$Z$9,2,FALSE))</f>
        <v/>
      </c>
      <c r="F160" s="172" t="str">
        <f>IFERROR(VLOOKUP(E160,'G-7 Rivers Data'!$C$4:$D$8,2,FALSE),"")</f>
        <v/>
      </c>
      <c r="G160" s="173"/>
      <c r="H160" s="172" t="str">
        <f>IFERROR(INDEX('G-7 Rivers Data'!$H$4:$L$8,MATCH(C160,'G-7 Rivers Data'!$B$4:$B$8,0),MATCH(G160,'G-7 Rivers Data'!$H$3:$L$3,0)),"")</f>
        <v/>
      </c>
      <c r="I160" s="173"/>
      <c r="J160" s="269" t="str">
        <f>IF(I160="","",IF(VLOOKUP(I160,'G-7 Rivers Data'!$AG$4:$AI$9,2,FALSE)=0,"Spatial Data Missing",VLOOKUP(I160,'G-7 Rivers Data'!$AG$4:$AI$9,2,FALSE)))</f>
        <v/>
      </c>
      <c r="K160" s="172" t="str">
        <f>IF(I160="","",IF(VLOOKUP(I160,'G-7 Rivers Data'!$AG$4:$AI$9,3,FALSE)=0,"Spatial Data Missing",VLOOKUP(I160,'G-7 Rivers Data'!$AG$4:$AI$9,3,FALSE)))</f>
        <v/>
      </c>
      <c r="L160" s="384" t="str">
        <f>IFERROR(INDEX('G-7 Rivers Data'!$O$3:$O$7,MATCH(G160,'G-7 Rivers Data'!$N$3:$N$7,0)),"")</f>
        <v/>
      </c>
      <c r="M160" s="82"/>
      <c r="N160" s="261"/>
      <c r="O160" s="179" t="str">
        <f t="shared" si="13"/>
        <v/>
      </c>
      <c r="P160" s="262" t="str">
        <f t="shared" si="14"/>
        <v/>
      </c>
      <c r="Q160" s="382" t="str">
        <f>IFERROR(IF(P160="Check Data","Check Data",VLOOKUP(P160,'G-4 Temporal multipliers'!$A$4:$C$37,3,FALSE)),"")</f>
        <v/>
      </c>
      <c r="R160" s="171" t="str">
        <f>IF(C160="","",VLOOKUP(C160,'G-7 Rivers Data'!$B$4:$G$8,4,FALSE))</f>
        <v/>
      </c>
      <c r="S160" s="179" t="str">
        <f t="shared" si="15"/>
        <v/>
      </c>
      <c r="T160" s="269" t="str">
        <f t="shared" si="16"/>
        <v/>
      </c>
      <c r="U160" s="172" t="str">
        <f t="shared" si="17"/>
        <v/>
      </c>
      <c r="V160" s="79"/>
      <c r="W160" s="172" t="str">
        <f>IF(V160="","",IF(VLOOKUP(V160,'G-7 Rivers Data'!$AA$4:$AB$7,2,FALSE)=0,"Spatial Data Missing",VLOOKUP(V160,'G-7 Rivers Data'!$AA$4:$AB$7,2,FALSE)))</f>
        <v/>
      </c>
      <c r="X160" s="187"/>
      <c r="Y160" s="172" t="str">
        <f>IF(X160="","",IF(VLOOKUP(X160,'G-7 Rivers Data'!$AD$4:$AE$8,2,FALSE)=0,"Enrcoachment Data Missing",VLOOKUP(X160,'G-7 Rivers Data'!$AD$4:$AE$8,2,FALSE)))</f>
        <v/>
      </c>
      <c r="Z160" s="186"/>
      <c r="AA160" s="176" t="str">
        <f>IF(Z160="","",VLOOKUP(Z160,'G-7 Rivers Data'!$AO$4:$AP$7,2,FALSE))</f>
        <v/>
      </c>
      <c r="AB160" s="265" t="str">
        <f t="shared" si="18"/>
        <v/>
      </c>
      <c r="AC160" s="180"/>
      <c r="AD160" s="181"/>
      <c r="AK160" s="35" t="str">
        <f>IFERROR(INDEX('G-7 Rivers Data'!$AZ$3:$AZ$7,MATCH(C160,'G-7 Rivers Data'!$AY$3:$AY$7,0)),"")</f>
        <v/>
      </c>
    </row>
    <row r="161" spans="2:37" ht="13.8" x14ac:dyDescent="0.25">
      <c r="B161" s="168">
        <v>150</v>
      </c>
      <c r="C161" s="184"/>
      <c r="D161" s="213"/>
      <c r="E161" s="171" t="str">
        <f>IF(C161="","",VLOOKUP(C161,'G-7 Rivers Data'!$B$2:$Z$9,2,FALSE))</f>
        <v/>
      </c>
      <c r="F161" s="172" t="str">
        <f>IFERROR(VLOOKUP(E161,'G-7 Rivers Data'!$C$4:$D$8,2,FALSE),"")</f>
        <v/>
      </c>
      <c r="G161" s="173"/>
      <c r="H161" s="172" t="str">
        <f>IFERROR(INDEX('G-7 Rivers Data'!$H$4:$L$8,MATCH(C161,'G-7 Rivers Data'!$B$4:$B$8,0),MATCH(G161,'G-7 Rivers Data'!$H$3:$L$3,0)),"")</f>
        <v/>
      </c>
      <c r="I161" s="173"/>
      <c r="J161" s="269" t="str">
        <f>IF(I161="","",IF(VLOOKUP(I161,'G-7 Rivers Data'!$AG$4:$AI$9,2,FALSE)=0,"Spatial Data Missing",VLOOKUP(I161,'G-7 Rivers Data'!$AG$4:$AI$9,2,FALSE)))</f>
        <v/>
      </c>
      <c r="K161" s="172" t="str">
        <f>IF(I161="","",IF(VLOOKUP(I161,'G-7 Rivers Data'!$AG$4:$AI$9,3,FALSE)=0,"Spatial Data Missing",VLOOKUP(I161,'G-7 Rivers Data'!$AG$4:$AI$9,3,FALSE)))</f>
        <v/>
      </c>
      <c r="L161" s="384" t="str">
        <f>IFERROR(INDEX('G-7 Rivers Data'!$O$3:$O$7,MATCH(G161,'G-7 Rivers Data'!$N$3:$N$7,0)),"")</f>
        <v/>
      </c>
      <c r="M161" s="82"/>
      <c r="N161" s="261"/>
      <c r="O161" s="179" t="str">
        <f t="shared" si="13"/>
        <v/>
      </c>
      <c r="P161" s="262" t="str">
        <f t="shared" si="14"/>
        <v/>
      </c>
      <c r="Q161" s="382" t="str">
        <f>IFERROR(IF(P161="Check Data","Check Data",VLOOKUP(P161,'G-4 Temporal multipliers'!$A$4:$C$37,3,FALSE)),"")</f>
        <v/>
      </c>
      <c r="R161" s="171" t="str">
        <f>IF(C161="","",VLOOKUP(C161,'G-7 Rivers Data'!$B$4:$G$8,4,FALSE))</f>
        <v/>
      </c>
      <c r="S161" s="179" t="str">
        <f>IF(C161="","",IF(P161="Check Data","Check Data",IF(G161="","",IF($O161="Check details - Is there evidence that habitat has reached target condition?","Low Difficulty - only applicable if all habitat created before losses","Standard difficulty applied"))))</f>
        <v/>
      </c>
      <c r="T161" s="269" t="str">
        <f>(IF(AND(S161="Standard difficulty applied",L161&gt;M161),R161,IF(AND(S161="Low Difficulty - only applicable if all habitat created before losses",M161&gt;=L161),"Low",R161)))</f>
        <v/>
      </c>
      <c r="U161" s="172" t="str">
        <f t="shared" si="17"/>
        <v/>
      </c>
      <c r="V161" s="79"/>
      <c r="W161" s="172" t="str">
        <f>IF(V161="","",IF(VLOOKUP(V161,'G-7 Rivers Data'!$AA$4:$AB$7,2,FALSE)=0,"Spatial Data Missing",VLOOKUP(V161,'G-7 Rivers Data'!$AA$4:$AB$7,2,FALSE)))</f>
        <v/>
      </c>
      <c r="X161" s="187"/>
      <c r="Y161" s="172" t="str">
        <f>IF(X161="","",IF(VLOOKUP(X161,'G-7 Rivers Data'!$AD$4:$AE$8,2,FALSE)=0,"Enrcoachment Data Missing",VLOOKUP(X161,'G-7 Rivers Data'!$AD$4:$AE$8,2,FALSE)))</f>
        <v/>
      </c>
      <c r="Z161" s="186"/>
      <c r="AA161" s="176" t="str">
        <f>IF(Z161="","",VLOOKUP(Z161,'G-7 Rivers Data'!$AO$4:$AP$7,2,FALSE))</f>
        <v/>
      </c>
      <c r="AB161" s="265" t="str">
        <f t="shared" si="18"/>
        <v/>
      </c>
      <c r="AC161" s="180"/>
      <c r="AD161" s="181"/>
      <c r="AK161" s="35" t="str">
        <f>IFERROR(INDEX('G-7 Rivers Data'!$AZ$3:$AZ$7,MATCH(C161,'G-7 Rivers Data'!$AY$3:$AY$7,0)),"")</f>
        <v/>
      </c>
    </row>
    <row r="162" spans="2:37" ht="13.8" x14ac:dyDescent="0.25">
      <c r="B162" s="168">
        <v>151</v>
      </c>
      <c r="C162" s="184"/>
      <c r="D162" s="213"/>
      <c r="E162" s="171" t="str">
        <f>IF(C162="","",VLOOKUP(C162,'G-7 Rivers Data'!$B$2:$Z$9,2,FALSE))</f>
        <v/>
      </c>
      <c r="F162" s="172" t="str">
        <f>IFERROR(VLOOKUP(E162,'G-7 Rivers Data'!$C$4:$D$8,2,FALSE),"")</f>
        <v/>
      </c>
      <c r="G162" s="173"/>
      <c r="H162" s="172" t="str">
        <f>IFERROR(INDEX('G-7 Rivers Data'!$H$4:$L$8,MATCH(C162,'G-7 Rivers Data'!$B$4:$B$8,0),MATCH(G162,'G-7 Rivers Data'!$H$3:$L$3,0)),"")</f>
        <v/>
      </c>
      <c r="I162" s="173"/>
      <c r="J162" s="269" t="str">
        <f>IF(I162="","",IF(VLOOKUP(I162,'G-7 Rivers Data'!$AG$4:$AI$9,2,FALSE)=0,"Spatial Data Missing",VLOOKUP(I162,'G-7 Rivers Data'!$AG$4:$AI$9,2,FALSE)))</f>
        <v/>
      </c>
      <c r="K162" s="172" t="str">
        <f>IF(I162="","",IF(VLOOKUP(I162,'G-7 Rivers Data'!$AG$4:$AI$9,3,FALSE)=0,"Spatial Data Missing",VLOOKUP(I162,'G-7 Rivers Data'!$AG$4:$AI$9,3,FALSE)))</f>
        <v/>
      </c>
      <c r="L162" s="384" t="str">
        <f>IFERROR(INDEX('G-7 Rivers Data'!$O$3:$O$7,MATCH(G162,'G-7 Rivers Data'!$N$3:$N$7,0)),"")</f>
        <v/>
      </c>
      <c r="M162" s="82"/>
      <c r="N162" s="261"/>
      <c r="O162" s="179" t="str">
        <f t="shared" si="13"/>
        <v/>
      </c>
      <c r="P162" s="262" t="str">
        <f t="shared" si="14"/>
        <v/>
      </c>
      <c r="Q162" s="382" t="str">
        <f>IFERROR(IF(P162="Check Data","Check Data",VLOOKUP(P162,'G-4 Temporal multipliers'!$A$4:$C$37,3,FALSE)),"")</f>
        <v/>
      </c>
      <c r="R162" s="171" t="str">
        <f>IF(C162="","",VLOOKUP(C162,'G-7 Rivers Data'!$B$4:$G$8,4,FALSE))</f>
        <v/>
      </c>
      <c r="S162" s="179" t="str">
        <f t="shared" ref="S162:S225" si="19">IF(C162="","",IF(P162="Check Data","Check Data",IF(G162="","",IF($O162="Check details - Is there evidence that habitat has reached target condition?","Low Difficulty - only applicable if all habitat created before losses","Standard difficulty applied"))))</f>
        <v/>
      </c>
      <c r="T162" s="269" t="str">
        <f t="shared" ref="T162:T225" si="20">(IF(AND(S162="Standard difficulty applied",L162&gt;M162),R162,IF(AND(S162="Low Difficulty - only applicable if all habitat created before losses",M162&gt;=L162),"Low",R162)))</f>
        <v/>
      </c>
      <c r="U162" s="172" t="str">
        <f t="shared" si="17"/>
        <v/>
      </c>
      <c r="V162" s="79"/>
      <c r="W162" s="172" t="str">
        <f>IF(V162="","",IF(VLOOKUP(V162,'G-7 Rivers Data'!$AA$4:$AB$7,2,FALSE)=0,"Spatial Data Missing",VLOOKUP(V162,'G-7 Rivers Data'!$AA$4:$AB$7,2,FALSE)))</f>
        <v/>
      </c>
      <c r="X162" s="187"/>
      <c r="Y162" s="172" t="str">
        <f>IF(X162="","",IF(VLOOKUP(X162,'G-7 Rivers Data'!$AD$4:$AE$8,2,FALSE)=0,"Enrcoachment Data Missing",VLOOKUP(X162,'G-7 Rivers Data'!$AD$4:$AE$8,2,FALSE)))</f>
        <v/>
      </c>
      <c r="Z162" s="186"/>
      <c r="AA162" s="176" t="str">
        <f>IF(Z162="","",VLOOKUP(Z162,'G-7 Rivers Data'!$AO$4:$AP$7,2,FALSE))</f>
        <v/>
      </c>
      <c r="AB162" s="265" t="str">
        <f t="shared" si="18"/>
        <v/>
      </c>
      <c r="AC162" s="180"/>
      <c r="AD162" s="181"/>
      <c r="AK162" s="35" t="str">
        <f>IFERROR(INDEX('G-7 Rivers Data'!$AZ$3:$AZ$7,MATCH(C162,'G-7 Rivers Data'!$AY$3:$AY$7,0)),"")</f>
        <v/>
      </c>
    </row>
    <row r="163" spans="2:37" ht="13.8" x14ac:dyDescent="0.25">
      <c r="B163" s="168">
        <v>152</v>
      </c>
      <c r="C163" s="184"/>
      <c r="D163" s="213"/>
      <c r="E163" s="171" t="str">
        <f>IF(C163="","",VLOOKUP(C163,'G-7 Rivers Data'!$B$2:$Z$9,2,FALSE))</f>
        <v/>
      </c>
      <c r="F163" s="172" t="str">
        <f>IFERROR(VLOOKUP(E163,'G-7 Rivers Data'!$C$4:$D$8,2,FALSE),"")</f>
        <v/>
      </c>
      <c r="G163" s="173"/>
      <c r="H163" s="172" t="str">
        <f>IFERROR(INDEX('G-7 Rivers Data'!$H$4:$L$8,MATCH(C163,'G-7 Rivers Data'!$B$4:$B$8,0),MATCH(G163,'G-7 Rivers Data'!$H$3:$L$3,0)),"")</f>
        <v/>
      </c>
      <c r="I163" s="173"/>
      <c r="J163" s="269" t="str">
        <f>IF(I163="","",IF(VLOOKUP(I163,'G-7 Rivers Data'!$AG$4:$AI$9,2,FALSE)=0,"Spatial Data Missing",VLOOKUP(I163,'G-7 Rivers Data'!$AG$4:$AI$9,2,FALSE)))</f>
        <v/>
      </c>
      <c r="K163" s="172" t="str">
        <f>IF(I163="","",IF(VLOOKUP(I163,'G-7 Rivers Data'!$AG$4:$AI$9,3,FALSE)=0,"Spatial Data Missing",VLOOKUP(I163,'G-7 Rivers Data'!$AG$4:$AI$9,3,FALSE)))</f>
        <v/>
      </c>
      <c r="L163" s="384" t="str">
        <f>IFERROR(INDEX('G-7 Rivers Data'!$O$3:$O$7,MATCH(G163,'G-7 Rivers Data'!$N$3:$N$7,0)),"")</f>
        <v/>
      </c>
      <c r="M163" s="82"/>
      <c r="N163" s="261"/>
      <c r="O163" s="179" t="str">
        <f t="shared" si="13"/>
        <v/>
      </c>
      <c r="P163" s="262" t="str">
        <f t="shared" si="14"/>
        <v/>
      </c>
      <c r="Q163" s="382" t="str">
        <f>IFERROR(IF(P163="Check Data","Check Data",VLOOKUP(P163,'G-4 Temporal multipliers'!$A$4:$C$37,3,FALSE)),"")</f>
        <v/>
      </c>
      <c r="R163" s="171" t="str">
        <f>IF(C163="","",VLOOKUP(C163,'G-7 Rivers Data'!$B$4:$G$8,4,FALSE))</f>
        <v/>
      </c>
      <c r="S163" s="179" t="str">
        <f t="shared" si="19"/>
        <v/>
      </c>
      <c r="T163" s="269" t="str">
        <f t="shared" si="20"/>
        <v/>
      </c>
      <c r="U163" s="172" t="str">
        <f t="shared" si="17"/>
        <v/>
      </c>
      <c r="V163" s="79"/>
      <c r="W163" s="172" t="str">
        <f>IF(V163="","",IF(VLOOKUP(V163,'G-7 Rivers Data'!$AA$4:$AB$7,2,FALSE)=0,"Spatial Data Missing",VLOOKUP(V163,'G-7 Rivers Data'!$AA$4:$AB$7,2,FALSE)))</f>
        <v/>
      </c>
      <c r="X163" s="187"/>
      <c r="Y163" s="172" t="str">
        <f>IF(X163="","",IF(VLOOKUP(X163,'G-7 Rivers Data'!$AD$4:$AE$8,2,FALSE)=0,"Enrcoachment Data Missing",VLOOKUP(X163,'G-7 Rivers Data'!$AD$4:$AE$8,2,FALSE)))</f>
        <v/>
      </c>
      <c r="Z163" s="186"/>
      <c r="AA163" s="176" t="str">
        <f>IF(Z163="","",VLOOKUP(Z163,'G-7 Rivers Data'!$AO$4:$AP$7,2,FALSE))</f>
        <v/>
      </c>
      <c r="AB163" s="265" t="str">
        <f t="shared" si="18"/>
        <v/>
      </c>
      <c r="AC163" s="180"/>
      <c r="AD163" s="181"/>
      <c r="AK163" s="35" t="str">
        <f>IFERROR(INDEX('G-7 Rivers Data'!$AZ$3:$AZ$7,MATCH(C163,'G-7 Rivers Data'!$AY$3:$AY$7,0)),"")</f>
        <v/>
      </c>
    </row>
    <row r="164" spans="2:37" ht="13.8" x14ac:dyDescent="0.25">
      <c r="B164" s="168">
        <v>153</v>
      </c>
      <c r="C164" s="184"/>
      <c r="D164" s="213"/>
      <c r="E164" s="171" t="str">
        <f>IF(C164="","",VLOOKUP(C164,'G-7 Rivers Data'!$B$2:$Z$9,2,FALSE))</f>
        <v/>
      </c>
      <c r="F164" s="172" t="str">
        <f>IFERROR(VLOOKUP(E164,'G-7 Rivers Data'!$C$4:$D$8,2,FALSE),"")</f>
        <v/>
      </c>
      <c r="G164" s="173"/>
      <c r="H164" s="172" t="str">
        <f>IFERROR(INDEX('G-7 Rivers Data'!$H$4:$L$8,MATCH(C164,'G-7 Rivers Data'!$B$4:$B$8,0),MATCH(G164,'G-7 Rivers Data'!$H$3:$L$3,0)),"")</f>
        <v/>
      </c>
      <c r="I164" s="173"/>
      <c r="J164" s="269" t="str">
        <f>IF(I164="","",IF(VLOOKUP(I164,'G-7 Rivers Data'!$AG$4:$AI$9,2,FALSE)=0,"Spatial Data Missing",VLOOKUP(I164,'G-7 Rivers Data'!$AG$4:$AI$9,2,FALSE)))</f>
        <v/>
      </c>
      <c r="K164" s="172" t="str">
        <f>IF(I164="","",IF(VLOOKUP(I164,'G-7 Rivers Data'!$AG$4:$AI$9,3,FALSE)=0,"Spatial Data Missing",VLOOKUP(I164,'G-7 Rivers Data'!$AG$4:$AI$9,3,FALSE)))</f>
        <v/>
      </c>
      <c r="L164" s="384" t="str">
        <f>IFERROR(INDEX('G-7 Rivers Data'!$O$3:$O$7,MATCH(G164,'G-7 Rivers Data'!$N$3:$N$7,0)),"")</f>
        <v/>
      </c>
      <c r="M164" s="82"/>
      <c r="N164" s="261"/>
      <c r="O164" s="179" t="str">
        <f t="shared" si="13"/>
        <v/>
      </c>
      <c r="P164" s="262" t="str">
        <f t="shared" si="14"/>
        <v/>
      </c>
      <c r="Q164" s="382" t="str">
        <f>IFERROR(IF(P164="Check Data","Check Data",VLOOKUP(P164,'G-4 Temporal multipliers'!$A$4:$C$37,3,FALSE)),"")</f>
        <v/>
      </c>
      <c r="R164" s="171" t="str">
        <f>IF(C164="","",VLOOKUP(C164,'G-7 Rivers Data'!$B$4:$G$8,4,FALSE))</f>
        <v/>
      </c>
      <c r="S164" s="179" t="str">
        <f t="shared" si="19"/>
        <v/>
      </c>
      <c r="T164" s="269" t="str">
        <f t="shared" si="20"/>
        <v/>
      </c>
      <c r="U164" s="172" t="str">
        <f t="shared" si="17"/>
        <v/>
      </c>
      <c r="V164" s="79"/>
      <c r="W164" s="172" t="str">
        <f>IF(V164="","",IF(VLOOKUP(V164,'G-7 Rivers Data'!$AA$4:$AB$7,2,FALSE)=0,"Spatial Data Missing",VLOOKUP(V164,'G-7 Rivers Data'!$AA$4:$AB$7,2,FALSE)))</f>
        <v/>
      </c>
      <c r="X164" s="187"/>
      <c r="Y164" s="172" t="str">
        <f>IF(X164="","",IF(VLOOKUP(X164,'G-7 Rivers Data'!$AD$4:$AE$8,2,FALSE)=0,"Enrcoachment Data Missing",VLOOKUP(X164,'G-7 Rivers Data'!$AD$4:$AE$8,2,FALSE)))</f>
        <v/>
      </c>
      <c r="Z164" s="186"/>
      <c r="AA164" s="176" t="str">
        <f>IF(Z164="","",VLOOKUP(Z164,'G-7 Rivers Data'!$AO$4:$AP$7,2,FALSE))</f>
        <v/>
      </c>
      <c r="AB164" s="265" t="str">
        <f t="shared" si="18"/>
        <v/>
      </c>
      <c r="AC164" s="180"/>
      <c r="AD164" s="181"/>
      <c r="AK164" s="35" t="str">
        <f>IFERROR(INDEX('G-7 Rivers Data'!$AZ$3:$AZ$7,MATCH(C164,'G-7 Rivers Data'!$AY$3:$AY$7,0)),"")</f>
        <v/>
      </c>
    </row>
    <row r="165" spans="2:37" ht="13.8" x14ac:dyDescent="0.25">
      <c r="B165" s="168">
        <v>154</v>
      </c>
      <c r="C165" s="184"/>
      <c r="D165" s="213"/>
      <c r="E165" s="171" t="str">
        <f>IF(C165="","",VLOOKUP(C165,'G-7 Rivers Data'!$B$2:$Z$9,2,FALSE))</f>
        <v/>
      </c>
      <c r="F165" s="172" t="str">
        <f>IFERROR(VLOOKUP(E165,'G-7 Rivers Data'!$C$4:$D$8,2,FALSE),"")</f>
        <v/>
      </c>
      <c r="G165" s="173"/>
      <c r="H165" s="172" t="str">
        <f>IFERROR(INDEX('G-7 Rivers Data'!$H$4:$L$8,MATCH(C165,'G-7 Rivers Data'!$B$4:$B$8,0),MATCH(G165,'G-7 Rivers Data'!$H$3:$L$3,0)),"")</f>
        <v/>
      </c>
      <c r="I165" s="173"/>
      <c r="J165" s="269" t="str">
        <f>IF(I165="","",IF(VLOOKUP(I165,'G-7 Rivers Data'!$AG$4:$AI$9,2,FALSE)=0,"Spatial Data Missing",VLOOKUP(I165,'G-7 Rivers Data'!$AG$4:$AI$9,2,FALSE)))</f>
        <v/>
      </c>
      <c r="K165" s="172" t="str">
        <f>IF(I165="","",IF(VLOOKUP(I165,'G-7 Rivers Data'!$AG$4:$AI$9,3,FALSE)=0,"Spatial Data Missing",VLOOKUP(I165,'G-7 Rivers Data'!$AG$4:$AI$9,3,FALSE)))</f>
        <v/>
      </c>
      <c r="L165" s="384" t="str">
        <f>IFERROR(INDEX('G-7 Rivers Data'!$O$3:$O$7,MATCH(G165,'G-7 Rivers Data'!$N$3:$N$7,0)),"")</f>
        <v/>
      </c>
      <c r="M165" s="82"/>
      <c r="N165" s="261"/>
      <c r="O165" s="179" t="str">
        <f t="shared" si="13"/>
        <v/>
      </c>
      <c r="P165" s="262" t="str">
        <f t="shared" si="14"/>
        <v/>
      </c>
      <c r="Q165" s="382" t="str">
        <f>IFERROR(IF(P165="Check Data","Check Data",VLOOKUP(P165,'G-4 Temporal multipliers'!$A$4:$C$37,3,FALSE)),"")</f>
        <v/>
      </c>
      <c r="R165" s="171" t="str">
        <f>IF(C165="","",VLOOKUP(C165,'G-7 Rivers Data'!$B$4:$G$8,4,FALSE))</f>
        <v/>
      </c>
      <c r="S165" s="179" t="str">
        <f t="shared" si="19"/>
        <v/>
      </c>
      <c r="T165" s="269" t="str">
        <f t="shared" si="20"/>
        <v/>
      </c>
      <c r="U165" s="172" t="str">
        <f t="shared" si="17"/>
        <v/>
      </c>
      <c r="V165" s="79"/>
      <c r="W165" s="172" t="str">
        <f>IF(V165="","",IF(VLOOKUP(V165,'G-7 Rivers Data'!$AA$4:$AB$7,2,FALSE)=0,"Spatial Data Missing",VLOOKUP(V165,'G-7 Rivers Data'!$AA$4:$AB$7,2,FALSE)))</f>
        <v/>
      </c>
      <c r="X165" s="187"/>
      <c r="Y165" s="172" t="str">
        <f>IF(X165="","",IF(VLOOKUP(X165,'G-7 Rivers Data'!$AD$4:$AE$8,2,FALSE)=0,"Enrcoachment Data Missing",VLOOKUP(X165,'G-7 Rivers Data'!$AD$4:$AE$8,2,FALSE)))</f>
        <v/>
      </c>
      <c r="Z165" s="186"/>
      <c r="AA165" s="176" t="str">
        <f>IF(Z165="","",VLOOKUP(Z165,'G-7 Rivers Data'!$AO$4:$AP$7,2,FALSE))</f>
        <v/>
      </c>
      <c r="AB165" s="265" t="str">
        <f t="shared" si="18"/>
        <v/>
      </c>
      <c r="AC165" s="180"/>
      <c r="AD165" s="181"/>
      <c r="AK165" s="35" t="str">
        <f>IFERROR(INDEX('G-7 Rivers Data'!$AZ$3:$AZ$7,MATCH(C165,'G-7 Rivers Data'!$AY$3:$AY$7,0)),"")</f>
        <v/>
      </c>
    </row>
    <row r="166" spans="2:37" ht="13.8" x14ac:dyDescent="0.25">
      <c r="B166" s="168">
        <v>155</v>
      </c>
      <c r="C166" s="184"/>
      <c r="D166" s="213"/>
      <c r="E166" s="171" t="str">
        <f>IF(C166="","",VLOOKUP(C166,'G-7 Rivers Data'!$B$2:$Z$9,2,FALSE))</f>
        <v/>
      </c>
      <c r="F166" s="172" t="str">
        <f>IFERROR(VLOOKUP(E166,'G-7 Rivers Data'!$C$4:$D$8,2,FALSE),"")</f>
        <v/>
      </c>
      <c r="G166" s="173"/>
      <c r="H166" s="172" t="str">
        <f>IFERROR(INDEX('G-7 Rivers Data'!$H$4:$L$8,MATCH(C166,'G-7 Rivers Data'!$B$4:$B$8,0),MATCH(G166,'G-7 Rivers Data'!$H$3:$L$3,0)),"")</f>
        <v/>
      </c>
      <c r="I166" s="173"/>
      <c r="J166" s="269" t="str">
        <f>IF(I166="","",IF(VLOOKUP(I166,'G-7 Rivers Data'!$AG$4:$AI$9,2,FALSE)=0,"Spatial Data Missing",VLOOKUP(I166,'G-7 Rivers Data'!$AG$4:$AI$9,2,FALSE)))</f>
        <v/>
      </c>
      <c r="K166" s="172" t="str">
        <f>IF(I166="","",IF(VLOOKUP(I166,'G-7 Rivers Data'!$AG$4:$AI$9,3,FALSE)=0,"Spatial Data Missing",VLOOKUP(I166,'G-7 Rivers Data'!$AG$4:$AI$9,3,FALSE)))</f>
        <v/>
      </c>
      <c r="L166" s="384" t="str">
        <f>IFERROR(INDEX('G-7 Rivers Data'!$O$3:$O$7,MATCH(G166,'G-7 Rivers Data'!$N$3:$N$7,0)),"")</f>
        <v/>
      </c>
      <c r="M166" s="82"/>
      <c r="N166" s="261"/>
      <c r="O166" s="179" t="str">
        <f t="shared" si="13"/>
        <v/>
      </c>
      <c r="P166" s="262" t="str">
        <f t="shared" si="14"/>
        <v/>
      </c>
      <c r="Q166" s="382" t="str">
        <f>IFERROR(IF(P166="Check Data","Check Data",VLOOKUP(P166,'G-4 Temporal multipliers'!$A$4:$C$37,3,FALSE)),"")</f>
        <v/>
      </c>
      <c r="R166" s="171" t="str">
        <f>IF(C166="","",VLOOKUP(C166,'G-7 Rivers Data'!$B$4:$G$8,4,FALSE))</f>
        <v/>
      </c>
      <c r="S166" s="179" t="str">
        <f t="shared" si="19"/>
        <v/>
      </c>
      <c r="T166" s="269" t="str">
        <f t="shared" si="20"/>
        <v/>
      </c>
      <c r="U166" s="172" t="str">
        <f t="shared" si="17"/>
        <v/>
      </c>
      <c r="V166" s="79"/>
      <c r="W166" s="172" t="str">
        <f>IF(V166="","",IF(VLOOKUP(V166,'G-7 Rivers Data'!$AA$4:$AB$7,2,FALSE)=0,"Spatial Data Missing",VLOOKUP(V166,'G-7 Rivers Data'!$AA$4:$AB$7,2,FALSE)))</f>
        <v/>
      </c>
      <c r="X166" s="187"/>
      <c r="Y166" s="172" t="str">
        <f>IF(X166="","",IF(VLOOKUP(X166,'G-7 Rivers Data'!$AD$4:$AE$8,2,FALSE)=0,"Enrcoachment Data Missing",VLOOKUP(X166,'G-7 Rivers Data'!$AD$4:$AE$8,2,FALSE)))</f>
        <v/>
      </c>
      <c r="Z166" s="186"/>
      <c r="AA166" s="176" t="str">
        <f>IF(Z166="","",VLOOKUP(Z166,'G-7 Rivers Data'!$AO$4:$AP$7,2,FALSE))</f>
        <v/>
      </c>
      <c r="AB166" s="265" t="str">
        <f t="shared" si="18"/>
        <v/>
      </c>
      <c r="AC166" s="180"/>
      <c r="AD166" s="181"/>
      <c r="AK166" s="35" t="str">
        <f>IFERROR(INDEX('G-7 Rivers Data'!$AZ$3:$AZ$7,MATCH(C166,'G-7 Rivers Data'!$AY$3:$AY$7,0)),"")</f>
        <v/>
      </c>
    </row>
    <row r="167" spans="2:37" ht="13.8" x14ac:dyDescent="0.25">
      <c r="B167" s="168">
        <v>156</v>
      </c>
      <c r="C167" s="184"/>
      <c r="D167" s="213"/>
      <c r="E167" s="171" t="str">
        <f>IF(C167="","",VLOOKUP(C167,'G-7 Rivers Data'!$B$2:$Z$9,2,FALSE))</f>
        <v/>
      </c>
      <c r="F167" s="172" t="str">
        <f>IFERROR(VLOOKUP(E167,'G-7 Rivers Data'!$C$4:$D$8,2,FALSE),"")</f>
        <v/>
      </c>
      <c r="G167" s="173"/>
      <c r="H167" s="172" t="str">
        <f>IFERROR(INDEX('G-7 Rivers Data'!$H$4:$L$8,MATCH(C167,'G-7 Rivers Data'!$B$4:$B$8,0),MATCH(G167,'G-7 Rivers Data'!$H$3:$L$3,0)),"")</f>
        <v/>
      </c>
      <c r="I167" s="173"/>
      <c r="J167" s="269" t="str">
        <f>IF(I167="","",IF(VLOOKUP(I167,'G-7 Rivers Data'!$AG$4:$AI$9,2,FALSE)=0,"Spatial Data Missing",VLOOKUP(I167,'G-7 Rivers Data'!$AG$4:$AI$9,2,FALSE)))</f>
        <v/>
      </c>
      <c r="K167" s="172" t="str">
        <f>IF(I167="","",IF(VLOOKUP(I167,'G-7 Rivers Data'!$AG$4:$AI$9,3,FALSE)=0,"Spatial Data Missing",VLOOKUP(I167,'G-7 Rivers Data'!$AG$4:$AI$9,3,FALSE)))</f>
        <v/>
      </c>
      <c r="L167" s="384" t="str">
        <f>IFERROR(INDEX('G-7 Rivers Data'!$O$3:$O$7,MATCH(G167,'G-7 Rivers Data'!$N$3:$N$7,0)),"")</f>
        <v/>
      </c>
      <c r="M167" s="82"/>
      <c r="N167" s="261"/>
      <c r="O167" s="179" t="str">
        <f t="shared" si="13"/>
        <v/>
      </c>
      <c r="P167" s="262" t="str">
        <f t="shared" si="14"/>
        <v/>
      </c>
      <c r="Q167" s="382" t="str">
        <f>IFERROR(IF(P167="Check Data","Check Data",VLOOKUP(P167,'G-4 Temporal multipliers'!$A$4:$C$37,3,FALSE)),"")</f>
        <v/>
      </c>
      <c r="R167" s="171" t="str">
        <f>IF(C167="","",VLOOKUP(C167,'G-7 Rivers Data'!$B$4:$G$8,4,FALSE))</f>
        <v/>
      </c>
      <c r="S167" s="179" t="str">
        <f t="shared" si="19"/>
        <v/>
      </c>
      <c r="T167" s="269" t="str">
        <f t="shared" si="20"/>
        <v/>
      </c>
      <c r="U167" s="172" t="str">
        <f t="shared" si="17"/>
        <v/>
      </c>
      <c r="V167" s="79"/>
      <c r="W167" s="172" t="str">
        <f>IF(V167="","",IF(VLOOKUP(V167,'G-7 Rivers Data'!$AA$4:$AB$7,2,FALSE)=0,"Spatial Data Missing",VLOOKUP(V167,'G-7 Rivers Data'!$AA$4:$AB$7,2,FALSE)))</f>
        <v/>
      </c>
      <c r="X167" s="187"/>
      <c r="Y167" s="172" t="str">
        <f>IF(X167="","",IF(VLOOKUP(X167,'G-7 Rivers Data'!$AD$4:$AE$8,2,FALSE)=0,"Enrcoachment Data Missing",VLOOKUP(X167,'G-7 Rivers Data'!$AD$4:$AE$8,2,FALSE)))</f>
        <v/>
      </c>
      <c r="Z167" s="186"/>
      <c r="AA167" s="176" t="str">
        <f>IF(Z167="","",VLOOKUP(Z167,'G-7 Rivers Data'!$AO$4:$AP$7,2,FALSE))</f>
        <v/>
      </c>
      <c r="AB167" s="265" t="str">
        <f t="shared" si="18"/>
        <v/>
      </c>
      <c r="AC167" s="180"/>
      <c r="AD167" s="181"/>
      <c r="AK167" s="35" t="str">
        <f>IFERROR(INDEX('G-7 Rivers Data'!$AZ$3:$AZ$7,MATCH(C167,'G-7 Rivers Data'!$AY$3:$AY$7,0)),"")</f>
        <v/>
      </c>
    </row>
    <row r="168" spans="2:37" ht="13.8" x14ac:dyDescent="0.25">
      <c r="B168" s="168">
        <v>157</v>
      </c>
      <c r="C168" s="184"/>
      <c r="D168" s="213"/>
      <c r="E168" s="171" t="str">
        <f>IF(C168="","",VLOOKUP(C168,'G-7 Rivers Data'!$B$2:$Z$9,2,FALSE))</f>
        <v/>
      </c>
      <c r="F168" s="172" t="str">
        <f>IFERROR(VLOOKUP(E168,'G-7 Rivers Data'!$C$4:$D$8,2,FALSE),"")</f>
        <v/>
      </c>
      <c r="G168" s="173"/>
      <c r="H168" s="172" t="str">
        <f>IFERROR(INDEX('G-7 Rivers Data'!$H$4:$L$8,MATCH(C168,'G-7 Rivers Data'!$B$4:$B$8,0),MATCH(G168,'G-7 Rivers Data'!$H$3:$L$3,0)),"")</f>
        <v/>
      </c>
      <c r="I168" s="173"/>
      <c r="J168" s="269" t="str">
        <f>IF(I168="","",IF(VLOOKUP(I168,'G-7 Rivers Data'!$AG$4:$AI$9,2,FALSE)=0,"Spatial Data Missing",VLOOKUP(I168,'G-7 Rivers Data'!$AG$4:$AI$9,2,FALSE)))</f>
        <v/>
      </c>
      <c r="K168" s="172" t="str">
        <f>IF(I168="","",IF(VLOOKUP(I168,'G-7 Rivers Data'!$AG$4:$AI$9,3,FALSE)=0,"Spatial Data Missing",VLOOKUP(I168,'G-7 Rivers Data'!$AG$4:$AI$9,3,FALSE)))</f>
        <v/>
      </c>
      <c r="L168" s="384" t="str">
        <f>IFERROR(INDEX('G-7 Rivers Data'!$O$3:$O$7,MATCH(G168,'G-7 Rivers Data'!$N$3:$N$7,0)),"")</f>
        <v/>
      </c>
      <c r="M168" s="82"/>
      <c r="N168" s="261"/>
      <c r="O168" s="179" t="str">
        <f t="shared" si="13"/>
        <v/>
      </c>
      <c r="P168" s="262" t="str">
        <f t="shared" si="14"/>
        <v/>
      </c>
      <c r="Q168" s="382" t="str">
        <f>IFERROR(IF(P168="Check Data","Check Data",VLOOKUP(P168,'G-4 Temporal multipliers'!$A$4:$C$37,3,FALSE)),"")</f>
        <v/>
      </c>
      <c r="R168" s="171" t="str">
        <f>IF(C168="","",VLOOKUP(C168,'G-7 Rivers Data'!$B$4:$G$8,4,FALSE))</f>
        <v/>
      </c>
      <c r="S168" s="179" t="str">
        <f t="shared" si="19"/>
        <v/>
      </c>
      <c r="T168" s="269" t="str">
        <f t="shared" si="20"/>
        <v/>
      </c>
      <c r="U168" s="172" t="str">
        <f t="shared" si="17"/>
        <v/>
      </c>
      <c r="V168" s="79"/>
      <c r="W168" s="172" t="str">
        <f>IF(V168="","",IF(VLOOKUP(V168,'G-7 Rivers Data'!$AA$4:$AB$7,2,FALSE)=0,"Spatial Data Missing",VLOOKUP(V168,'G-7 Rivers Data'!$AA$4:$AB$7,2,FALSE)))</f>
        <v/>
      </c>
      <c r="X168" s="187"/>
      <c r="Y168" s="172" t="str">
        <f>IF(X168="","",IF(VLOOKUP(X168,'G-7 Rivers Data'!$AD$4:$AE$8,2,FALSE)=0,"Enrcoachment Data Missing",VLOOKUP(X168,'G-7 Rivers Data'!$AD$4:$AE$8,2,FALSE)))</f>
        <v/>
      </c>
      <c r="Z168" s="186"/>
      <c r="AA168" s="176" t="str">
        <f>IF(Z168="","",VLOOKUP(Z168,'G-7 Rivers Data'!$AO$4:$AP$7,2,FALSE))</f>
        <v/>
      </c>
      <c r="AB168" s="265" t="str">
        <f t="shared" si="18"/>
        <v/>
      </c>
      <c r="AC168" s="180"/>
      <c r="AD168" s="181"/>
      <c r="AK168" s="35" t="str">
        <f>IFERROR(INDEX('G-7 Rivers Data'!$AZ$3:$AZ$7,MATCH(C168,'G-7 Rivers Data'!$AY$3:$AY$7,0)),"")</f>
        <v/>
      </c>
    </row>
    <row r="169" spans="2:37" ht="13.8" x14ac:dyDescent="0.25">
      <c r="B169" s="168">
        <v>158</v>
      </c>
      <c r="C169" s="184"/>
      <c r="D169" s="213"/>
      <c r="E169" s="171" t="str">
        <f>IF(C169="","",VLOOKUP(C169,'G-7 Rivers Data'!$B$2:$Z$9,2,FALSE))</f>
        <v/>
      </c>
      <c r="F169" s="172" t="str">
        <f>IFERROR(VLOOKUP(E169,'G-7 Rivers Data'!$C$4:$D$8,2,FALSE),"")</f>
        <v/>
      </c>
      <c r="G169" s="173"/>
      <c r="H169" s="172" t="str">
        <f>IFERROR(INDEX('G-7 Rivers Data'!$H$4:$L$8,MATCH(C169,'G-7 Rivers Data'!$B$4:$B$8,0),MATCH(G169,'G-7 Rivers Data'!$H$3:$L$3,0)),"")</f>
        <v/>
      </c>
      <c r="I169" s="173"/>
      <c r="J169" s="269" t="str">
        <f>IF(I169="","",IF(VLOOKUP(I169,'G-7 Rivers Data'!$AG$4:$AI$9,2,FALSE)=0,"Spatial Data Missing",VLOOKUP(I169,'G-7 Rivers Data'!$AG$4:$AI$9,2,FALSE)))</f>
        <v/>
      </c>
      <c r="K169" s="172" t="str">
        <f>IF(I169="","",IF(VLOOKUP(I169,'G-7 Rivers Data'!$AG$4:$AI$9,3,FALSE)=0,"Spatial Data Missing",VLOOKUP(I169,'G-7 Rivers Data'!$AG$4:$AI$9,3,FALSE)))</f>
        <v/>
      </c>
      <c r="L169" s="384" t="str">
        <f>IFERROR(INDEX('G-7 Rivers Data'!$O$3:$O$7,MATCH(G169,'G-7 Rivers Data'!$N$3:$N$7,0)),"")</f>
        <v/>
      </c>
      <c r="M169" s="82"/>
      <c r="N169" s="261"/>
      <c r="O169" s="179" t="str">
        <f t="shared" si="13"/>
        <v/>
      </c>
      <c r="P169" s="262" t="str">
        <f t="shared" si="14"/>
        <v/>
      </c>
      <c r="Q169" s="382" t="str">
        <f>IFERROR(IF(P169="Check Data","Check Data",VLOOKUP(P169,'G-4 Temporal multipliers'!$A$4:$C$37,3,FALSE)),"")</f>
        <v/>
      </c>
      <c r="R169" s="171" t="str">
        <f>IF(C169="","",VLOOKUP(C169,'G-7 Rivers Data'!$B$4:$G$8,4,FALSE))</f>
        <v/>
      </c>
      <c r="S169" s="179" t="str">
        <f t="shared" si="19"/>
        <v/>
      </c>
      <c r="T169" s="269" t="str">
        <f t="shared" si="20"/>
        <v/>
      </c>
      <c r="U169" s="172" t="str">
        <f t="shared" si="17"/>
        <v/>
      </c>
      <c r="V169" s="79"/>
      <c r="W169" s="172" t="str">
        <f>IF(V169="","",IF(VLOOKUP(V169,'G-7 Rivers Data'!$AA$4:$AB$7,2,FALSE)=0,"Spatial Data Missing",VLOOKUP(V169,'G-7 Rivers Data'!$AA$4:$AB$7,2,FALSE)))</f>
        <v/>
      </c>
      <c r="X169" s="187"/>
      <c r="Y169" s="172" t="str">
        <f>IF(X169="","",IF(VLOOKUP(X169,'G-7 Rivers Data'!$AD$4:$AE$8,2,FALSE)=0,"Enrcoachment Data Missing",VLOOKUP(X169,'G-7 Rivers Data'!$AD$4:$AE$8,2,FALSE)))</f>
        <v/>
      </c>
      <c r="Z169" s="186"/>
      <c r="AA169" s="176" t="str">
        <f>IF(Z169="","",VLOOKUP(Z169,'G-7 Rivers Data'!$AO$4:$AP$7,2,FALSE))</f>
        <v/>
      </c>
      <c r="AB169" s="265" t="str">
        <f t="shared" si="18"/>
        <v/>
      </c>
      <c r="AC169" s="180"/>
      <c r="AD169" s="181"/>
      <c r="AK169" s="35" t="str">
        <f>IFERROR(INDEX('G-7 Rivers Data'!$AZ$3:$AZ$7,MATCH(C169,'G-7 Rivers Data'!$AY$3:$AY$7,0)),"")</f>
        <v/>
      </c>
    </row>
    <row r="170" spans="2:37" ht="13.8" x14ac:dyDescent="0.25">
      <c r="B170" s="168">
        <v>159</v>
      </c>
      <c r="C170" s="184"/>
      <c r="D170" s="213"/>
      <c r="E170" s="171" t="str">
        <f>IF(C170="","",VLOOKUP(C170,'G-7 Rivers Data'!$B$2:$Z$9,2,FALSE))</f>
        <v/>
      </c>
      <c r="F170" s="172" t="str">
        <f>IFERROR(VLOOKUP(E170,'G-7 Rivers Data'!$C$4:$D$8,2,FALSE),"")</f>
        <v/>
      </c>
      <c r="G170" s="173"/>
      <c r="H170" s="172" t="str">
        <f>IFERROR(INDEX('G-7 Rivers Data'!$H$4:$L$8,MATCH(C170,'G-7 Rivers Data'!$B$4:$B$8,0),MATCH(G170,'G-7 Rivers Data'!$H$3:$L$3,0)),"")</f>
        <v/>
      </c>
      <c r="I170" s="173"/>
      <c r="J170" s="269" t="str">
        <f>IF(I170="","",IF(VLOOKUP(I170,'G-7 Rivers Data'!$AG$4:$AI$9,2,FALSE)=0,"Spatial Data Missing",VLOOKUP(I170,'G-7 Rivers Data'!$AG$4:$AI$9,2,FALSE)))</f>
        <v/>
      </c>
      <c r="K170" s="172" t="str">
        <f>IF(I170="","",IF(VLOOKUP(I170,'G-7 Rivers Data'!$AG$4:$AI$9,3,FALSE)=0,"Spatial Data Missing",VLOOKUP(I170,'G-7 Rivers Data'!$AG$4:$AI$9,3,FALSE)))</f>
        <v/>
      </c>
      <c r="L170" s="384" t="str">
        <f>IFERROR(INDEX('G-7 Rivers Data'!$O$3:$O$7,MATCH(G170,'G-7 Rivers Data'!$N$3:$N$7,0)),"")</f>
        <v/>
      </c>
      <c r="M170" s="82"/>
      <c r="N170" s="261"/>
      <c r="O170" s="179" t="str">
        <f t="shared" si="13"/>
        <v/>
      </c>
      <c r="P170" s="262" t="str">
        <f t="shared" si="14"/>
        <v/>
      </c>
      <c r="Q170" s="382" t="str">
        <f>IFERROR(IF(P170="Check Data","Check Data",VLOOKUP(P170,'G-4 Temporal multipliers'!$A$4:$C$37,3,FALSE)),"")</f>
        <v/>
      </c>
      <c r="R170" s="171" t="str">
        <f>IF(C170="","",VLOOKUP(C170,'G-7 Rivers Data'!$B$4:$G$8,4,FALSE))</f>
        <v/>
      </c>
      <c r="S170" s="179" t="str">
        <f t="shared" si="19"/>
        <v/>
      </c>
      <c r="T170" s="269" t="str">
        <f t="shared" si="20"/>
        <v/>
      </c>
      <c r="U170" s="172" t="str">
        <f t="shared" si="17"/>
        <v/>
      </c>
      <c r="V170" s="79"/>
      <c r="W170" s="172" t="str">
        <f>IF(V170="","",IF(VLOOKUP(V170,'G-7 Rivers Data'!$AA$4:$AB$7,2,FALSE)=0,"Spatial Data Missing",VLOOKUP(V170,'G-7 Rivers Data'!$AA$4:$AB$7,2,FALSE)))</f>
        <v/>
      </c>
      <c r="X170" s="187"/>
      <c r="Y170" s="172" t="str">
        <f>IF(X170="","",IF(VLOOKUP(X170,'G-7 Rivers Data'!$AD$4:$AE$8,2,FALSE)=0,"Enrcoachment Data Missing",VLOOKUP(X170,'G-7 Rivers Data'!$AD$4:$AE$8,2,FALSE)))</f>
        <v/>
      </c>
      <c r="Z170" s="186"/>
      <c r="AA170" s="176" t="str">
        <f>IF(Z170="","",VLOOKUP(Z170,'G-7 Rivers Data'!$AO$4:$AP$7,2,FALSE))</f>
        <v/>
      </c>
      <c r="AB170" s="265" t="str">
        <f t="shared" si="18"/>
        <v/>
      </c>
      <c r="AC170" s="180"/>
      <c r="AD170" s="181"/>
      <c r="AK170" s="35" t="str">
        <f>IFERROR(INDEX('G-7 Rivers Data'!$AZ$3:$AZ$7,MATCH(C170,'G-7 Rivers Data'!$AY$3:$AY$7,0)),"")</f>
        <v/>
      </c>
    </row>
    <row r="171" spans="2:37" ht="13.8" x14ac:dyDescent="0.25">
      <c r="B171" s="168">
        <v>160</v>
      </c>
      <c r="C171" s="184"/>
      <c r="D171" s="213"/>
      <c r="E171" s="171" t="str">
        <f>IF(C171="","",VLOOKUP(C171,'G-7 Rivers Data'!$B$2:$Z$9,2,FALSE))</f>
        <v/>
      </c>
      <c r="F171" s="172" t="str">
        <f>IFERROR(VLOOKUP(E171,'G-7 Rivers Data'!$C$4:$D$8,2,FALSE),"")</f>
        <v/>
      </c>
      <c r="G171" s="173"/>
      <c r="H171" s="172" t="str">
        <f>IFERROR(INDEX('G-7 Rivers Data'!$H$4:$L$8,MATCH(C171,'G-7 Rivers Data'!$B$4:$B$8,0),MATCH(G171,'G-7 Rivers Data'!$H$3:$L$3,0)),"")</f>
        <v/>
      </c>
      <c r="I171" s="173"/>
      <c r="J171" s="269" t="str">
        <f>IF(I171="","",IF(VLOOKUP(I171,'G-7 Rivers Data'!$AG$4:$AI$9,2,FALSE)=0,"Spatial Data Missing",VLOOKUP(I171,'G-7 Rivers Data'!$AG$4:$AI$9,2,FALSE)))</f>
        <v/>
      </c>
      <c r="K171" s="172" t="str">
        <f>IF(I171="","",IF(VLOOKUP(I171,'G-7 Rivers Data'!$AG$4:$AI$9,3,FALSE)=0,"Spatial Data Missing",VLOOKUP(I171,'G-7 Rivers Data'!$AG$4:$AI$9,3,FALSE)))</f>
        <v/>
      </c>
      <c r="L171" s="384" t="str">
        <f>IFERROR(INDEX('G-7 Rivers Data'!$O$3:$O$7,MATCH(G171,'G-7 Rivers Data'!$N$3:$N$7,0)),"")</f>
        <v/>
      </c>
      <c r="M171" s="82"/>
      <c r="N171" s="261"/>
      <c r="O171" s="179" t="str">
        <f t="shared" si="13"/>
        <v/>
      </c>
      <c r="P171" s="262" t="str">
        <f t="shared" si="14"/>
        <v/>
      </c>
      <c r="Q171" s="382" t="str">
        <f>IFERROR(IF(P171="Check Data","Check Data",VLOOKUP(P171,'G-4 Temporal multipliers'!$A$4:$C$37,3,FALSE)),"")</f>
        <v/>
      </c>
      <c r="R171" s="171" t="str">
        <f>IF(C171="","",VLOOKUP(C171,'G-7 Rivers Data'!$B$4:$G$8,4,FALSE))</f>
        <v/>
      </c>
      <c r="S171" s="179" t="str">
        <f t="shared" si="19"/>
        <v/>
      </c>
      <c r="T171" s="269" t="str">
        <f t="shared" si="20"/>
        <v/>
      </c>
      <c r="U171" s="172" t="str">
        <f t="shared" si="17"/>
        <v/>
      </c>
      <c r="V171" s="79"/>
      <c r="W171" s="172" t="str">
        <f>IF(V171="","",IF(VLOOKUP(V171,'G-7 Rivers Data'!$AA$4:$AB$7,2,FALSE)=0,"Spatial Data Missing",VLOOKUP(V171,'G-7 Rivers Data'!$AA$4:$AB$7,2,FALSE)))</f>
        <v/>
      </c>
      <c r="X171" s="187"/>
      <c r="Y171" s="172" t="str">
        <f>IF(X171="","",IF(VLOOKUP(X171,'G-7 Rivers Data'!$AD$4:$AE$8,2,FALSE)=0,"Enrcoachment Data Missing",VLOOKUP(X171,'G-7 Rivers Data'!$AD$4:$AE$8,2,FALSE)))</f>
        <v/>
      </c>
      <c r="Z171" s="186"/>
      <c r="AA171" s="176" t="str">
        <f>IF(Z171="","",VLOOKUP(Z171,'G-7 Rivers Data'!$AO$4:$AP$7,2,FALSE))</f>
        <v/>
      </c>
      <c r="AB171" s="265" t="str">
        <f t="shared" si="18"/>
        <v/>
      </c>
      <c r="AC171" s="180"/>
      <c r="AD171" s="181"/>
      <c r="AK171" s="35" t="str">
        <f>IFERROR(INDEX('G-7 Rivers Data'!$AZ$3:$AZ$7,MATCH(C171,'G-7 Rivers Data'!$AY$3:$AY$7,0)),"")</f>
        <v/>
      </c>
    </row>
    <row r="172" spans="2:37" ht="13.8" x14ac:dyDescent="0.25">
      <c r="B172" s="168">
        <v>161</v>
      </c>
      <c r="C172" s="184"/>
      <c r="D172" s="213"/>
      <c r="E172" s="171" t="str">
        <f>IF(C172="","",VLOOKUP(C172,'G-7 Rivers Data'!$B$2:$Z$9,2,FALSE))</f>
        <v/>
      </c>
      <c r="F172" s="172" t="str">
        <f>IFERROR(VLOOKUP(E172,'G-7 Rivers Data'!$C$4:$D$8,2,FALSE),"")</f>
        <v/>
      </c>
      <c r="G172" s="173"/>
      <c r="H172" s="172" t="str">
        <f>IFERROR(INDEX('G-7 Rivers Data'!$H$4:$L$8,MATCH(C172,'G-7 Rivers Data'!$B$4:$B$8,0),MATCH(G172,'G-7 Rivers Data'!$H$3:$L$3,0)),"")</f>
        <v/>
      </c>
      <c r="I172" s="173"/>
      <c r="J172" s="269" t="str">
        <f>IF(I172="","",IF(VLOOKUP(I172,'G-7 Rivers Data'!$AG$4:$AI$9,2,FALSE)=0,"Spatial Data Missing",VLOOKUP(I172,'G-7 Rivers Data'!$AG$4:$AI$9,2,FALSE)))</f>
        <v/>
      </c>
      <c r="K172" s="172" t="str">
        <f>IF(I172="","",IF(VLOOKUP(I172,'G-7 Rivers Data'!$AG$4:$AI$9,3,FALSE)=0,"Spatial Data Missing",VLOOKUP(I172,'G-7 Rivers Data'!$AG$4:$AI$9,3,FALSE)))</f>
        <v/>
      </c>
      <c r="L172" s="384" t="str">
        <f>IFERROR(INDEX('G-7 Rivers Data'!$O$3:$O$7,MATCH(G172,'G-7 Rivers Data'!$N$3:$N$7,0)),"")</f>
        <v/>
      </c>
      <c r="M172" s="82"/>
      <c r="N172" s="261"/>
      <c r="O172" s="179" t="str">
        <f t="shared" si="13"/>
        <v/>
      </c>
      <c r="P172" s="262" t="str">
        <f t="shared" si="14"/>
        <v/>
      </c>
      <c r="Q172" s="382" t="str">
        <f>IFERROR(IF(P172="Check Data","Check Data",VLOOKUP(P172,'G-4 Temporal multipliers'!$A$4:$C$37,3,FALSE)),"")</f>
        <v/>
      </c>
      <c r="R172" s="171" t="str">
        <f>IF(C172="","",VLOOKUP(C172,'G-7 Rivers Data'!$B$4:$G$8,4,FALSE))</f>
        <v/>
      </c>
      <c r="S172" s="179" t="str">
        <f t="shared" si="19"/>
        <v/>
      </c>
      <c r="T172" s="269" t="str">
        <f t="shared" si="20"/>
        <v/>
      </c>
      <c r="U172" s="172" t="str">
        <f t="shared" si="17"/>
        <v/>
      </c>
      <c r="V172" s="79"/>
      <c r="W172" s="172" t="str">
        <f>IF(V172="","",IF(VLOOKUP(V172,'G-7 Rivers Data'!$AA$4:$AB$7,2,FALSE)=0,"Spatial Data Missing",VLOOKUP(V172,'G-7 Rivers Data'!$AA$4:$AB$7,2,FALSE)))</f>
        <v/>
      </c>
      <c r="X172" s="187"/>
      <c r="Y172" s="172" t="str">
        <f>IF(X172="","",IF(VLOOKUP(X172,'G-7 Rivers Data'!$AD$4:$AE$8,2,FALSE)=0,"Enrcoachment Data Missing",VLOOKUP(X172,'G-7 Rivers Data'!$AD$4:$AE$8,2,FALSE)))</f>
        <v/>
      </c>
      <c r="Z172" s="186"/>
      <c r="AA172" s="176" t="str">
        <f>IF(Z172="","",VLOOKUP(Z172,'G-7 Rivers Data'!$AO$4:$AP$7,2,FALSE))</f>
        <v/>
      </c>
      <c r="AB172" s="265" t="str">
        <f t="shared" si="18"/>
        <v/>
      </c>
      <c r="AC172" s="180"/>
      <c r="AD172" s="181"/>
      <c r="AK172" s="35" t="str">
        <f>IFERROR(INDEX('G-7 Rivers Data'!$AZ$3:$AZ$7,MATCH(C172,'G-7 Rivers Data'!$AY$3:$AY$7,0)),"")</f>
        <v/>
      </c>
    </row>
    <row r="173" spans="2:37" ht="13.8" x14ac:dyDescent="0.25">
      <c r="B173" s="168">
        <v>162</v>
      </c>
      <c r="C173" s="184"/>
      <c r="D173" s="213"/>
      <c r="E173" s="171" t="str">
        <f>IF(C173="","",VLOOKUP(C173,'G-7 Rivers Data'!$B$2:$Z$9,2,FALSE))</f>
        <v/>
      </c>
      <c r="F173" s="172" t="str">
        <f>IFERROR(VLOOKUP(E173,'G-7 Rivers Data'!$C$4:$D$8,2,FALSE),"")</f>
        <v/>
      </c>
      <c r="G173" s="173"/>
      <c r="H173" s="172" t="str">
        <f>IFERROR(INDEX('G-7 Rivers Data'!$H$4:$L$8,MATCH(C173,'G-7 Rivers Data'!$B$4:$B$8,0),MATCH(G173,'G-7 Rivers Data'!$H$3:$L$3,0)),"")</f>
        <v/>
      </c>
      <c r="I173" s="173"/>
      <c r="J173" s="269" t="str">
        <f>IF(I173="","",IF(VLOOKUP(I173,'G-7 Rivers Data'!$AG$4:$AI$9,2,FALSE)=0,"Spatial Data Missing",VLOOKUP(I173,'G-7 Rivers Data'!$AG$4:$AI$9,2,FALSE)))</f>
        <v/>
      </c>
      <c r="K173" s="172" t="str">
        <f>IF(I173="","",IF(VLOOKUP(I173,'G-7 Rivers Data'!$AG$4:$AI$9,3,FALSE)=0,"Spatial Data Missing",VLOOKUP(I173,'G-7 Rivers Data'!$AG$4:$AI$9,3,FALSE)))</f>
        <v/>
      </c>
      <c r="L173" s="384" t="str">
        <f>IFERROR(INDEX('G-7 Rivers Data'!$O$3:$O$7,MATCH(G173,'G-7 Rivers Data'!$N$3:$N$7,0)),"")</f>
        <v/>
      </c>
      <c r="M173" s="82"/>
      <c r="N173" s="261"/>
      <c r="O173" s="179" t="str">
        <f t="shared" si="13"/>
        <v/>
      </c>
      <c r="P173" s="262" t="str">
        <f t="shared" si="14"/>
        <v/>
      </c>
      <c r="Q173" s="382" t="str">
        <f>IFERROR(IF(P173="Check Data","Check Data",VLOOKUP(P173,'G-4 Temporal multipliers'!$A$4:$C$37,3,FALSE)),"")</f>
        <v/>
      </c>
      <c r="R173" s="171" t="str">
        <f>IF(C173="","",VLOOKUP(C173,'G-7 Rivers Data'!$B$4:$G$8,4,FALSE))</f>
        <v/>
      </c>
      <c r="S173" s="179" t="str">
        <f t="shared" si="19"/>
        <v/>
      </c>
      <c r="T173" s="269" t="str">
        <f t="shared" si="20"/>
        <v/>
      </c>
      <c r="U173" s="172" t="str">
        <f t="shared" si="17"/>
        <v/>
      </c>
      <c r="V173" s="79"/>
      <c r="W173" s="172" t="str">
        <f>IF(V173="","",IF(VLOOKUP(V173,'G-7 Rivers Data'!$AA$4:$AB$7,2,FALSE)=0,"Spatial Data Missing",VLOOKUP(V173,'G-7 Rivers Data'!$AA$4:$AB$7,2,FALSE)))</f>
        <v/>
      </c>
      <c r="X173" s="187"/>
      <c r="Y173" s="172" t="str">
        <f>IF(X173="","",IF(VLOOKUP(X173,'G-7 Rivers Data'!$AD$4:$AE$8,2,FALSE)=0,"Enrcoachment Data Missing",VLOOKUP(X173,'G-7 Rivers Data'!$AD$4:$AE$8,2,FALSE)))</f>
        <v/>
      </c>
      <c r="Z173" s="186"/>
      <c r="AA173" s="176" t="str">
        <f>IF(Z173="","",VLOOKUP(Z173,'G-7 Rivers Data'!$AO$4:$AP$7,2,FALSE))</f>
        <v/>
      </c>
      <c r="AB173" s="265" t="str">
        <f t="shared" si="18"/>
        <v/>
      </c>
      <c r="AC173" s="180"/>
      <c r="AD173" s="181"/>
      <c r="AK173" s="35" t="str">
        <f>IFERROR(INDEX('G-7 Rivers Data'!$AZ$3:$AZ$7,MATCH(C173,'G-7 Rivers Data'!$AY$3:$AY$7,0)),"")</f>
        <v/>
      </c>
    </row>
    <row r="174" spans="2:37" ht="13.8" x14ac:dyDescent="0.25">
      <c r="B174" s="168">
        <v>163</v>
      </c>
      <c r="C174" s="184"/>
      <c r="D174" s="213"/>
      <c r="E174" s="171" t="str">
        <f>IF(C174="","",VLOOKUP(C174,'G-7 Rivers Data'!$B$2:$Z$9,2,FALSE))</f>
        <v/>
      </c>
      <c r="F174" s="172" t="str">
        <f>IFERROR(VLOOKUP(E174,'G-7 Rivers Data'!$C$4:$D$8,2,FALSE),"")</f>
        <v/>
      </c>
      <c r="G174" s="173"/>
      <c r="H174" s="172" t="str">
        <f>IFERROR(INDEX('G-7 Rivers Data'!$H$4:$L$8,MATCH(C174,'G-7 Rivers Data'!$B$4:$B$8,0),MATCH(G174,'G-7 Rivers Data'!$H$3:$L$3,0)),"")</f>
        <v/>
      </c>
      <c r="I174" s="173"/>
      <c r="J174" s="269" t="str">
        <f>IF(I174="","",IF(VLOOKUP(I174,'G-7 Rivers Data'!$AG$4:$AI$9,2,FALSE)=0,"Spatial Data Missing",VLOOKUP(I174,'G-7 Rivers Data'!$AG$4:$AI$9,2,FALSE)))</f>
        <v/>
      </c>
      <c r="K174" s="172" t="str">
        <f>IF(I174="","",IF(VLOOKUP(I174,'G-7 Rivers Data'!$AG$4:$AI$9,3,FALSE)=0,"Spatial Data Missing",VLOOKUP(I174,'G-7 Rivers Data'!$AG$4:$AI$9,3,FALSE)))</f>
        <v/>
      </c>
      <c r="L174" s="384" t="str">
        <f>IFERROR(INDEX('G-7 Rivers Data'!$O$3:$O$7,MATCH(G174,'G-7 Rivers Data'!$N$3:$N$7,0)),"")</f>
        <v/>
      </c>
      <c r="M174" s="82"/>
      <c r="N174" s="261"/>
      <c r="O174" s="179" t="str">
        <f t="shared" si="13"/>
        <v/>
      </c>
      <c r="P174" s="262" t="str">
        <f t="shared" si="14"/>
        <v/>
      </c>
      <c r="Q174" s="382" t="str">
        <f>IFERROR(IF(P174="Check Data","Check Data",VLOOKUP(P174,'G-4 Temporal multipliers'!$A$4:$C$37,3,FALSE)),"")</f>
        <v/>
      </c>
      <c r="R174" s="171" t="str">
        <f>IF(C174="","",VLOOKUP(C174,'G-7 Rivers Data'!$B$4:$G$8,4,FALSE))</f>
        <v/>
      </c>
      <c r="S174" s="179" t="str">
        <f t="shared" si="19"/>
        <v/>
      </c>
      <c r="T174" s="269" t="str">
        <f t="shared" si="20"/>
        <v/>
      </c>
      <c r="U174" s="172" t="str">
        <f t="shared" si="17"/>
        <v/>
      </c>
      <c r="V174" s="79"/>
      <c r="W174" s="172" t="str">
        <f>IF(V174="","",IF(VLOOKUP(V174,'G-7 Rivers Data'!$AA$4:$AB$7,2,FALSE)=0,"Spatial Data Missing",VLOOKUP(V174,'G-7 Rivers Data'!$AA$4:$AB$7,2,FALSE)))</f>
        <v/>
      </c>
      <c r="X174" s="187"/>
      <c r="Y174" s="172" t="str">
        <f>IF(X174="","",IF(VLOOKUP(X174,'G-7 Rivers Data'!$AD$4:$AE$8,2,FALSE)=0,"Enrcoachment Data Missing",VLOOKUP(X174,'G-7 Rivers Data'!$AD$4:$AE$8,2,FALSE)))</f>
        <v/>
      </c>
      <c r="Z174" s="186"/>
      <c r="AA174" s="176" t="str">
        <f>IF(Z174="","",VLOOKUP(Z174,'G-7 Rivers Data'!$AO$4:$AP$7,2,FALSE))</f>
        <v/>
      </c>
      <c r="AB174" s="265" t="str">
        <f t="shared" si="18"/>
        <v/>
      </c>
      <c r="AC174" s="180"/>
      <c r="AD174" s="181"/>
      <c r="AK174" s="35" t="str">
        <f>IFERROR(INDEX('G-7 Rivers Data'!$AZ$3:$AZ$7,MATCH(C174,'G-7 Rivers Data'!$AY$3:$AY$7,0)),"")</f>
        <v/>
      </c>
    </row>
    <row r="175" spans="2:37" ht="13.8" x14ac:dyDescent="0.25">
      <c r="B175" s="168">
        <v>164</v>
      </c>
      <c r="C175" s="184"/>
      <c r="D175" s="213"/>
      <c r="E175" s="171" t="str">
        <f>IF(C175="","",VLOOKUP(C175,'G-7 Rivers Data'!$B$2:$Z$9,2,FALSE))</f>
        <v/>
      </c>
      <c r="F175" s="172" t="str">
        <f>IFERROR(VLOOKUP(E175,'G-7 Rivers Data'!$C$4:$D$8,2,FALSE),"")</f>
        <v/>
      </c>
      <c r="G175" s="173"/>
      <c r="H175" s="172" t="str">
        <f>IFERROR(INDEX('G-7 Rivers Data'!$H$4:$L$8,MATCH(C175,'G-7 Rivers Data'!$B$4:$B$8,0),MATCH(G175,'G-7 Rivers Data'!$H$3:$L$3,0)),"")</f>
        <v/>
      </c>
      <c r="I175" s="173"/>
      <c r="J175" s="269" t="str">
        <f>IF(I175="","",IF(VLOOKUP(I175,'G-7 Rivers Data'!$AG$4:$AI$9,2,FALSE)=0,"Spatial Data Missing",VLOOKUP(I175,'G-7 Rivers Data'!$AG$4:$AI$9,2,FALSE)))</f>
        <v/>
      </c>
      <c r="K175" s="172" t="str">
        <f>IF(I175="","",IF(VLOOKUP(I175,'G-7 Rivers Data'!$AG$4:$AI$9,3,FALSE)=0,"Spatial Data Missing",VLOOKUP(I175,'G-7 Rivers Data'!$AG$4:$AI$9,3,FALSE)))</f>
        <v/>
      </c>
      <c r="L175" s="384" t="str">
        <f>IFERROR(INDEX('G-7 Rivers Data'!$O$3:$O$7,MATCH(G175,'G-7 Rivers Data'!$N$3:$N$7,0)),"")</f>
        <v/>
      </c>
      <c r="M175" s="82"/>
      <c r="N175" s="261"/>
      <c r="O175" s="179" t="str">
        <f t="shared" si="13"/>
        <v/>
      </c>
      <c r="P175" s="262" t="str">
        <f t="shared" si="14"/>
        <v/>
      </c>
      <c r="Q175" s="382" t="str">
        <f>IFERROR(IF(P175="Check Data","Check Data",VLOOKUP(P175,'G-4 Temporal multipliers'!$A$4:$C$37,3,FALSE)),"")</f>
        <v/>
      </c>
      <c r="R175" s="171" t="str">
        <f>IF(C175="","",VLOOKUP(C175,'G-7 Rivers Data'!$B$4:$G$8,4,FALSE))</f>
        <v/>
      </c>
      <c r="S175" s="179" t="str">
        <f t="shared" si="19"/>
        <v/>
      </c>
      <c r="T175" s="269" t="str">
        <f t="shared" si="20"/>
        <v/>
      </c>
      <c r="U175" s="172" t="str">
        <f t="shared" si="17"/>
        <v/>
      </c>
      <c r="V175" s="79"/>
      <c r="W175" s="172" t="str">
        <f>IF(V175="","",IF(VLOOKUP(V175,'G-7 Rivers Data'!$AA$4:$AB$7,2,FALSE)=0,"Spatial Data Missing",VLOOKUP(V175,'G-7 Rivers Data'!$AA$4:$AB$7,2,FALSE)))</f>
        <v/>
      </c>
      <c r="X175" s="187"/>
      <c r="Y175" s="172" t="str">
        <f>IF(X175="","",IF(VLOOKUP(X175,'G-7 Rivers Data'!$AD$4:$AE$8,2,FALSE)=0,"Enrcoachment Data Missing",VLOOKUP(X175,'G-7 Rivers Data'!$AD$4:$AE$8,2,FALSE)))</f>
        <v/>
      </c>
      <c r="Z175" s="186"/>
      <c r="AA175" s="176" t="str">
        <f>IF(Z175="","",VLOOKUP(Z175,'G-7 Rivers Data'!$AO$4:$AP$7,2,FALSE))</f>
        <v/>
      </c>
      <c r="AB175" s="265" t="str">
        <f t="shared" si="18"/>
        <v/>
      </c>
      <c r="AC175" s="180"/>
      <c r="AD175" s="181"/>
      <c r="AK175" s="35" t="str">
        <f>IFERROR(INDEX('G-7 Rivers Data'!$AZ$3:$AZ$7,MATCH(C175,'G-7 Rivers Data'!$AY$3:$AY$7,0)),"")</f>
        <v/>
      </c>
    </row>
    <row r="176" spans="2:37" ht="13.8" x14ac:dyDescent="0.25">
      <c r="B176" s="168">
        <v>165</v>
      </c>
      <c r="C176" s="184"/>
      <c r="D176" s="213"/>
      <c r="E176" s="171" t="str">
        <f>IF(C176="","",VLOOKUP(C176,'G-7 Rivers Data'!$B$2:$Z$9,2,FALSE))</f>
        <v/>
      </c>
      <c r="F176" s="172" t="str">
        <f>IFERROR(VLOOKUP(E176,'G-7 Rivers Data'!$C$4:$D$8,2,FALSE),"")</f>
        <v/>
      </c>
      <c r="G176" s="173"/>
      <c r="H176" s="172" t="str">
        <f>IFERROR(INDEX('G-7 Rivers Data'!$H$4:$L$8,MATCH(C176,'G-7 Rivers Data'!$B$4:$B$8,0),MATCH(G176,'G-7 Rivers Data'!$H$3:$L$3,0)),"")</f>
        <v/>
      </c>
      <c r="I176" s="173"/>
      <c r="J176" s="269" t="str">
        <f>IF(I176="","",IF(VLOOKUP(I176,'G-7 Rivers Data'!$AG$4:$AI$9,2,FALSE)=0,"Spatial Data Missing",VLOOKUP(I176,'G-7 Rivers Data'!$AG$4:$AI$9,2,FALSE)))</f>
        <v/>
      </c>
      <c r="K176" s="172" t="str">
        <f>IF(I176="","",IF(VLOOKUP(I176,'G-7 Rivers Data'!$AG$4:$AI$9,3,FALSE)=0,"Spatial Data Missing",VLOOKUP(I176,'G-7 Rivers Data'!$AG$4:$AI$9,3,FALSE)))</f>
        <v/>
      </c>
      <c r="L176" s="384" t="str">
        <f>IFERROR(INDEX('G-7 Rivers Data'!$O$3:$O$7,MATCH(G176,'G-7 Rivers Data'!$N$3:$N$7,0)),"")</f>
        <v/>
      </c>
      <c r="M176" s="82"/>
      <c r="N176" s="261"/>
      <c r="O176" s="179" t="str">
        <f t="shared" si="13"/>
        <v/>
      </c>
      <c r="P176" s="262" t="str">
        <f t="shared" si="14"/>
        <v/>
      </c>
      <c r="Q176" s="382" t="str">
        <f>IFERROR(IF(P176="Check Data","Check Data",VLOOKUP(P176,'G-4 Temporal multipliers'!$A$4:$C$37,3,FALSE)),"")</f>
        <v/>
      </c>
      <c r="R176" s="171" t="str">
        <f>IF(C176="","",VLOOKUP(C176,'G-7 Rivers Data'!$B$4:$G$8,4,FALSE))</f>
        <v/>
      </c>
      <c r="S176" s="179" t="str">
        <f t="shared" si="19"/>
        <v/>
      </c>
      <c r="T176" s="269" t="str">
        <f t="shared" si="20"/>
        <v/>
      </c>
      <c r="U176" s="172" t="str">
        <f t="shared" si="17"/>
        <v/>
      </c>
      <c r="V176" s="79"/>
      <c r="W176" s="172" t="str">
        <f>IF(V176="","",IF(VLOOKUP(V176,'G-7 Rivers Data'!$AA$4:$AB$7,2,FALSE)=0,"Spatial Data Missing",VLOOKUP(V176,'G-7 Rivers Data'!$AA$4:$AB$7,2,FALSE)))</f>
        <v/>
      </c>
      <c r="X176" s="187"/>
      <c r="Y176" s="172" t="str">
        <f>IF(X176="","",IF(VLOOKUP(X176,'G-7 Rivers Data'!$AD$4:$AE$8,2,FALSE)=0,"Enrcoachment Data Missing",VLOOKUP(X176,'G-7 Rivers Data'!$AD$4:$AE$8,2,FALSE)))</f>
        <v/>
      </c>
      <c r="Z176" s="186"/>
      <c r="AA176" s="176" t="str">
        <f>IF(Z176="","",VLOOKUP(Z176,'G-7 Rivers Data'!$AO$4:$AP$7,2,FALSE))</f>
        <v/>
      </c>
      <c r="AB176" s="265" t="str">
        <f t="shared" si="18"/>
        <v/>
      </c>
      <c r="AC176" s="180"/>
      <c r="AD176" s="181"/>
      <c r="AK176" s="35" t="str">
        <f>IFERROR(INDEX('G-7 Rivers Data'!$AZ$3:$AZ$7,MATCH(C176,'G-7 Rivers Data'!$AY$3:$AY$7,0)),"")</f>
        <v/>
      </c>
    </row>
    <row r="177" spans="2:37" ht="13.8" x14ac:dyDescent="0.25">
      <c r="B177" s="168">
        <v>166</v>
      </c>
      <c r="C177" s="184"/>
      <c r="D177" s="213"/>
      <c r="E177" s="171" t="str">
        <f>IF(C177="","",VLOOKUP(C177,'G-7 Rivers Data'!$B$2:$Z$9,2,FALSE))</f>
        <v/>
      </c>
      <c r="F177" s="172" t="str">
        <f>IFERROR(VLOOKUP(E177,'G-7 Rivers Data'!$C$4:$D$8,2,FALSE),"")</f>
        <v/>
      </c>
      <c r="G177" s="173"/>
      <c r="H177" s="172" t="str">
        <f>IFERROR(INDEX('G-7 Rivers Data'!$H$4:$L$8,MATCH(C177,'G-7 Rivers Data'!$B$4:$B$8,0),MATCH(G177,'G-7 Rivers Data'!$H$3:$L$3,0)),"")</f>
        <v/>
      </c>
      <c r="I177" s="173"/>
      <c r="J177" s="269" t="str">
        <f>IF(I177="","",IF(VLOOKUP(I177,'G-7 Rivers Data'!$AG$4:$AI$9,2,FALSE)=0,"Spatial Data Missing",VLOOKUP(I177,'G-7 Rivers Data'!$AG$4:$AI$9,2,FALSE)))</f>
        <v/>
      </c>
      <c r="K177" s="172" t="str">
        <f>IF(I177="","",IF(VLOOKUP(I177,'G-7 Rivers Data'!$AG$4:$AI$9,3,FALSE)=0,"Spatial Data Missing",VLOOKUP(I177,'G-7 Rivers Data'!$AG$4:$AI$9,3,FALSE)))</f>
        <v/>
      </c>
      <c r="L177" s="384" t="str">
        <f>IFERROR(INDEX('G-7 Rivers Data'!$O$3:$O$7,MATCH(G177,'G-7 Rivers Data'!$N$3:$N$7,0)),"")</f>
        <v/>
      </c>
      <c r="M177" s="82"/>
      <c r="N177" s="261"/>
      <c r="O177" s="179" t="str">
        <f t="shared" si="13"/>
        <v/>
      </c>
      <c r="P177" s="262" t="str">
        <f t="shared" si="14"/>
        <v/>
      </c>
      <c r="Q177" s="382" t="str">
        <f>IFERROR(IF(P177="Check Data","Check Data",VLOOKUP(P177,'G-4 Temporal multipliers'!$A$4:$C$37,3,FALSE)),"")</f>
        <v/>
      </c>
      <c r="R177" s="171" t="str">
        <f>IF(C177="","",VLOOKUP(C177,'G-7 Rivers Data'!$B$4:$G$8,4,FALSE))</f>
        <v/>
      </c>
      <c r="S177" s="179" t="str">
        <f t="shared" si="19"/>
        <v/>
      </c>
      <c r="T177" s="269" t="str">
        <f t="shared" si="20"/>
        <v/>
      </c>
      <c r="U177" s="172" t="str">
        <f t="shared" si="17"/>
        <v/>
      </c>
      <c r="V177" s="79"/>
      <c r="W177" s="172" t="str">
        <f>IF(V177="","",IF(VLOOKUP(V177,'G-7 Rivers Data'!$AA$4:$AB$7,2,FALSE)=0,"Spatial Data Missing",VLOOKUP(V177,'G-7 Rivers Data'!$AA$4:$AB$7,2,FALSE)))</f>
        <v/>
      </c>
      <c r="X177" s="187"/>
      <c r="Y177" s="172" t="str">
        <f>IF(X177="","",IF(VLOOKUP(X177,'G-7 Rivers Data'!$AD$4:$AE$8,2,FALSE)=0,"Enrcoachment Data Missing",VLOOKUP(X177,'G-7 Rivers Data'!$AD$4:$AE$8,2,FALSE)))</f>
        <v/>
      </c>
      <c r="Z177" s="186"/>
      <c r="AA177" s="176" t="str">
        <f>IF(Z177="","",VLOOKUP(Z177,'G-7 Rivers Data'!$AO$4:$AP$7,2,FALSE))</f>
        <v/>
      </c>
      <c r="AB177" s="265" t="str">
        <f t="shared" si="18"/>
        <v/>
      </c>
      <c r="AC177" s="180"/>
      <c r="AD177" s="181"/>
      <c r="AK177" s="35" t="str">
        <f>IFERROR(INDEX('G-7 Rivers Data'!$AZ$3:$AZ$7,MATCH(C177,'G-7 Rivers Data'!$AY$3:$AY$7,0)),"")</f>
        <v/>
      </c>
    </row>
    <row r="178" spans="2:37" ht="13.8" x14ac:dyDescent="0.25">
      <c r="B178" s="168">
        <v>167</v>
      </c>
      <c r="C178" s="184"/>
      <c r="D178" s="213"/>
      <c r="E178" s="171" t="str">
        <f>IF(C178="","",VLOOKUP(C178,'G-7 Rivers Data'!$B$2:$Z$9,2,FALSE))</f>
        <v/>
      </c>
      <c r="F178" s="172" t="str">
        <f>IFERROR(VLOOKUP(E178,'G-7 Rivers Data'!$C$4:$D$8,2,FALSE),"")</f>
        <v/>
      </c>
      <c r="G178" s="173"/>
      <c r="H178" s="172" t="str">
        <f>IFERROR(INDEX('G-7 Rivers Data'!$H$4:$L$8,MATCH(C178,'G-7 Rivers Data'!$B$4:$B$8,0),MATCH(G178,'G-7 Rivers Data'!$H$3:$L$3,0)),"")</f>
        <v/>
      </c>
      <c r="I178" s="173"/>
      <c r="J178" s="269" t="str">
        <f>IF(I178="","",IF(VLOOKUP(I178,'G-7 Rivers Data'!$AG$4:$AI$9,2,FALSE)=0,"Spatial Data Missing",VLOOKUP(I178,'G-7 Rivers Data'!$AG$4:$AI$9,2,FALSE)))</f>
        <v/>
      </c>
      <c r="K178" s="172" t="str">
        <f>IF(I178="","",IF(VLOOKUP(I178,'G-7 Rivers Data'!$AG$4:$AI$9,3,FALSE)=0,"Spatial Data Missing",VLOOKUP(I178,'G-7 Rivers Data'!$AG$4:$AI$9,3,FALSE)))</f>
        <v/>
      </c>
      <c r="L178" s="384" t="str">
        <f>IFERROR(INDEX('G-7 Rivers Data'!$O$3:$O$7,MATCH(G178,'G-7 Rivers Data'!$N$3:$N$7,0)),"")</f>
        <v/>
      </c>
      <c r="M178" s="82"/>
      <c r="N178" s="261"/>
      <c r="O178" s="179" t="str">
        <f t="shared" si="13"/>
        <v/>
      </c>
      <c r="P178" s="262" t="str">
        <f t="shared" si="14"/>
        <v/>
      </c>
      <c r="Q178" s="382" t="str">
        <f>IFERROR(IF(P178="Check Data","Check Data",VLOOKUP(P178,'G-4 Temporal multipliers'!$A$4:$C$37,3,FALSE)),"")</f>
        <v/>
      </c>
      <c r="R178" s="171" t="str">
        <f>IF(C178="","",VLOOKUP(C178,'G-7 Rivers Data'!$B$4:$G$8,4,FALSE))</f>
        <v/>
      </c>
      <c r="S178" s="179" t="str">
        <f t="shared" si="19"/>
        <v/>
      </c>
      <c r="T178" s="269" t="str">
        <f t="shared" si="20"/>
        <v/>
      </c>
      <c r="U178" s="172" t="str">
        <f t="shared" si="17"/>
        <v/>
      </c>
      <c r="V178" s="79"/>
      <c r="W178" s="172" t="str">
        <f>IF(V178="","",IF(VLOOKUP(V178,'G-7 Rivers Data'!$AA$4:$AB$7,2,FALSE)=0,"Spatial Data Missing",VLOOKUP(V178,'G-7 Rivers Data'!$AA$4:$AB$7,2,FALSE)))</f>
        <v/>
      </c>
      <c r="X178" s="187"/>
      <c r="Y178" s="172" t="str">
        <f>IF(X178="","",IF(VLOOKUP(X178,'G-7 Rivers Data'!$AD$4:$AE$8,2,FALSE)=0,"Enrcoachment Data Missing",VLOOKUP(X178,'G-7 Rivers Data'!$AD$4:$AE$8,2,FALSE)))</f>
        <v/>
      </c>
      <c r="Z178" s="186"/>
      <c r="AA178" s="176" t="str">
        <f>IF(Z178="","",VLOOKUP(Z178,'G-7 Rivers Data'!$AO$4:$AP$7,2,FALSE))</f>
        <v/>
      </c>
      <c r="AB178" s="265" t="str">
        <f t="shared" si="18"/>
        <v/>
      </c>
      <c r="AC178" s="180"/>
      <c r="AD178" s="181"/>
      <c r="AK178" s="35" t="str">
        <f>IFERROR(INDEX('G-7 Rivers Data'!$AZ$3:$AZ$7,MATCH(C178,'G-7 Rivers Data'!$AY$3:$AY$7,0)),"")</f>
        <v/>
      </c>
    </row>
    <row r="179" spans="2:37" ht="13.8" x14ac:dyDescent="0.25">
      <c r="B179" s="168">
        <v>168</v>
      </c>
      <c r="C179" s="184"/>
      <c r="D179" s="213"/>
      <c r="E179" s="171" t="str">
        <f>IF(C179="","",VLOOKUP(C179,'G-7 Rivers Data'!$B$2:$Z$9,2,FALSE))</f>
        <v/>
      </c>
      <c r="F179" s="172" t="str">
        <f>IFERROR(VLOOKUP(E179,'G-7 Rivers Data'!$C$4:$D$8,2,FALSE),"")</f>
        <v/>
      </c>
      <c r="G179" s="173"/>
      <c r="H179" s="172" t="str">
        <f>IFERROR(INDEX('G-7 Rivers Data'!$H$4:$L$8,MATCH(C179,'G-7 Rivers Data'!$B$4:$B$8,0),MATCH(G179,'G-7 Rivers Data'!$H$3:$L$3,0)),"")</f>
        <v/>
      </c>
      <c r="I179" s="173"/>
      <c r="J179" s="269" t="str">
        <f>IF(I179="","",IF(VLOOKUP(I179,'G-7 Rivers Data'!$AG$4:$AI$9,2,FALSE)=0,"Spatial Data Missing",VLOOKUP(I179,'G-7 Rivers Data'!$AG$4:$AI$9,2,FALSE)))</f>
        <v/>
      </c>
      <c r="K179" s="172" t="str">
        <f>IF(I179="","",IF(VLOOKUP(I179,'G-7 Rivers Data'!$AG$4:$AI$9,3,FALSE)=0,"Spatial Data Missing",VLOOKUP(I179,'G-7 Rivers Data'!$AG$4:$AI$9,3,FALSE)))</f>
        <v/>
      </c>
      <c r="L179" s="384" t="str">
        <f>IFERROR(INDEX('G-7 Rivers Data'!$O$3:$O$7,MATCH(G179,'G-7 Rivers Data'!$N$3:$N$7,0)),"")</f>
        <v/>
      </c>
      <c r="M179" s="82"/>
      <c r="N179" s="261"/>
      <c r="O179" s="179" t="str">
        <f t="shared" si="13"/>
        <v/>
      </c>
      <c r="P179" s="262" t="str">
        <f t="shared" si="14"/>
        <v/>
      </c>
      <c r="Q179" s="382" t="str">
        <f>IFERROR(IF(P179="Check Data","Check Data",VLOOKUP(P179,'G-4 Temporal multipliers'!$A$4:$C$37,3,FALSE)),"")</f>
        <v/>
      </c>
      <c r="R179" s="171" t="str">
        <f>IF(C179="","",VLOOKUP(C179,'G-7 Rivers Data'!$B$4:$G$8,4,FALSE))</f>
        <v/>
      </c>
      <c r="S179" s="179" t="str">
        <f t="shared" si="19"/>
        <v/>
      </c>
      <c r="T179" s="269" t="str">
        <f t="shared" si="20"/>
        <v/>
      </c>
      <c r="U179" s="172" t="str">
        <f t="shared" si="17"/>
        <v/>
      </c>
      <c r="V179" s="79"/>
      <c r="W179" s="172" t="str">
        <f>IF(V179="","",IF(VLOOKUP(V179,'G-7 Rivers Data'!$AA$4:$AB$7,2,FALSE)=0,"Spatial Data Missing",VLOOKUP(V179,'G-7 Rivers Data'!$AA$4:$AB$7,2,FALSE)))</f>
        <v/>
      </c>
      <c r="X179" s="187"/>
      <c r="Y179" s="172" t="str">
        <f>IF(X179="","",IF(VLOOKUP(X179,'G-7 Rivers Data'!$AD$4:$AE$8,2,FALSE)=0,"Enrcoachment Data Missing",VLOOKUP(X179,'G-7 Rivers Data'!$AD$4:$AE$8,2,FALSE)))</f>
        <v/>
      </c>
      <c r="Z179" s="186"/>
      <c r="AA179" s="176" t="str">
        <f>IF(Z179="","",VLOOKUP(Z179,'G-7 Rivers Data'!$AO$4:$AP$7,2,FALSE))</f>
        <v/>
      </c>
      <c r="AB179" s="265" t="str">
        <f t="shared" si="18"/>
        <v/>
      </c>
      <c r="AC179" s="180"/>
      <c r="AD179" s="181"/>
      <c r="AK179" s="35" t="str">
        <f>IFERROR(INDEX('G-7 Rivers Data'!$AZ$3:$AZ$7,MATCH(C179,'G-7 Rivers Data'!$AY$3:$AY$7,0)),"")</f>
        <v/>
      </c>
    </row>
    <row r="180" spans="2:37" ht="13.8" x14ac:dyDescent="0.25">
      <c r="B180" s="168">
        <v>169</v>
      </c>
      <c r="C180" s="184"/>
      <c r="D180" s="213"/>
      <c r="E180" s="171" t="str">
        <f>IF(C180="","",VLOOKUP(C180,'G-7 Rivers Data'!$B$2:$Z$9,2,FALSE))</f>
        <v/>
      </c>
      <c r="F180" s="172" t="str">
        <f>IFERROR(VLOOKUP(E180,'G-7 Rivers Data'!$C$4:$D$8,2,FALSE),"")</f>
        <v/>
      </c>
      <c r="G180" s="173"/>
      <c r="H180" s="172" t="str">
        <f>IFERROR(INDEX('G-7 Rivers Data'!$H$4:$L$8,MATCH(C180,'G-7 Rivers Data'!$B$4:$B$8,0),MATCH(G180,'G-7 Rivers Data'!$H$3:$L$3,0)),"")</f>
        <v/>
      </c>
      <c r="I180" s="173"/>
      <c r="J180" s="269" t="str">
        <f>IF(I180="","",IF(VLOOKUP(I180,'G-7 Rivers Data'!$AG$4:$AI$9,2,FALSE)=0,"Spatial Data Missing",VLOOKUP(I180,'G-7 Rivers Data'!$AG$4:$AI$9,2,FALSE)))</f>
        <v/>
      </c>
      <c r="K180" s="172" t="str">
        <f>IF(I180="","",IF(VLOOKUP(I180,'G-7 Rivers Data'!$AG$4:$AI$9,3,FALSE)=0,"Spatial Data Missing",VLOOKUP(I180,'G-7 Rivers Data'!$AG$4:$AI$9,3,FALSE)))</f>
        <v/>
      </c>
      <c r="L180" s="384" t="str">
        <f>IFERROR(INDEX('G-7 Rivers Data'!$O$3:$O$7,MATCH(G180,'G-7 Rivers Data'!$N$3:$N$7,0)),"")</f>
        <v/>
      </c>
      <c r="M180" s="82"/>
      <c r="N180" s="261"/>
      <c r="O180" s="179" t="str">
        <f t="shared" si="13"/>
        <v/>
      </c>
      <c r="P180" s="262" t="str">
        <f t="shared" si="14"/>
        <v/>
      </c>
      <c r="Q180" s="382" t="str">
        <f>IFERROR(IF(P180="Check Data","Check Data",VLOOKUP(P180,'G-4 Temporal multipliers'!$A$4:$C$37,3,FALSE)),"")</f>
        <v/>
      </c>
      <c r="R180" s="171" t="str">
        <f>IF(C180="","",VLOOKUP(C180,'G-7 Rivers Data'!$B$4:$G$8,4,FALSE))</f>
        <v/>
      </c>
      <c r="S180" s="179" t="str">
        <f t="shared" si="19"/>
        <v/>
      </c>
      <c r="T180" s="269" t="str">
        <f t="shared" si="20"/>
        <v/>
      </c>
      <c r="U180" s="172" t="str">
        <f t="shared" si="17"/>
        <v/>
      </c>
      <c r="V180" s="79"/>
      <c r="W180" s="172" t="str">
        <f>IF(V180="","",IF(VLOOKUP(V180,'G-7 Rivers Data'!$AA$4:$AB$7,2,FALSE)=0,"Spatial Data Missing",VLOOKUP(V180,'G-7 Rivers Data'!$AA$4:$AB$7,2,FALSE)))</f>
        <v/>
      </c>
      <c r="X180" s="187"/>
      <c r="Y180" s="172" t="str">
        <f>IF(X180="","",IF(VLOOKUP(X180,'G-7 Rivers Data'!$AD$4:$AE$8,2,FALSE)=0,"Enrcoachment Data Missing",VLOOKUP(X180,'G-7 Rivers Data'!$AD$4:$AE$8,2,FALSE)))</f>
        <v/>
      </c>
      <c r="Z180" s="186"/>
      <c r="AA180" s="176" t="str">
        <f>IF(Z180="","",VLOOKUP(Z180,'G-7 Rivers Data'!$AO$4:$AP$7,2,FALSE))</f>
        <v/>
      </c>
      <c r="AB180" s="265" t="str">
        <f t="shared" si="18"/>
        <v/>
      </c>
      <c r="AC180" s="180"/>
      <c r="AD180" s="181"/>
      <c r="AK180" s="35" t="str">
        <f>IFERROR(INDEX('G-7 Rivers Data'!$AZ$3:$AZ$7,MATCH(C180,'G-7 Rivers Data'!$AY$3:$AY$7,0)),"")</f>
        <v/>
      </c>
    </row>
    <row r="181" spans="2:37" ht="13.8" x14ac:dyDescent="0.25">
      <c r="B181" s="168">
        <v>170</v>
      </c>
      <c r="C181" s="184"/>
      <c r="D181" s="213"/>
      <c r="E181" s="171" t="str">
        <f>IF(C181="","",VLOOKUP(C181,'G-7 Rivers Data'!$B$2:$Z$9,2,FALSE))</f>
        <v/>
      </c>
      <c r="F181" s="172" t="str">
        <f>IFERROR(VLOOKUP(E181,'G-7 Rivers Data'!$C$4:$D$8,2,FALSE),"")</f>
        <v/>
      </c>
      <c r="G181" s="173"/>
      <c r="H181" s="172" t="str">
        <f>IFERROR(INDEX('G-7 Rivers Data'!$H$4:$L$8,MATCH(C181,'G-7 Rivers Data'!$B$4:$B$8,0),MATCH(G181,'G-7 Rivers Data'!$H$3:$L$3,0)),"")</f>
        <v/>
      </c>
      <c r="I181" s="173"/>
      <c r="J181" s="269" t="str">
        <f>IF(I181="","",IF(VLOOKUP(I181,'G-7 Rivers Data'!$AG$4:$AI$9,2,FALSE)=0,"Spatial Data Missing",VLOOKUP(I181,'G-7 Rivers Data'!$AG$4:$AI$9,2,FALSE)))</f>
        <v/>
      </c>
      <c r="K181" s="172" t="str">
        <f>IF(I181="","",IF(VLOOKUP(I181,'G-7 Rivers Data'!$AG$4:$AI$9,3,FALSE)=0,"Spatial Data Missing",VLOOKUP(I181,'G-7 Rivers Data'!$AG$4:$AI$9,3,FALSE)))</f>
        <v/>
      </c>
      <c r="L181" s="384" t="str">
        <f>IFERROR(INDEX('G-7 Rivers Data'!$O$3:$O$7,MATCH(G181,'G-7 Rivers Data'!$N$3:$N$7,0)),"")</f>
        <v/>
      </c>
      <c r="M181" s="82"/>
      <c r="N181" s="261"/>
      <c r="O181" s="179" t="str">
        <f t="shared" si="13"/>
        <v/>
      </c>
      <c r="P181" s="262" t="str">
        <f t="shared" si="14"/>
        <v/>
      </c>
      <c r="Q181" s="382" t="str">
        <f>IFERROR(IF(P181="Check Data","Check Data",VLOOKUP(P181,'G-4 Temporal multipliers'!$A$4:$C$37,3,FALSE)),"")</f>
        <v/>
      </c>
      <c r="R181" s="171" t="str">
        <f>IF(C181="","",VLOOKUP(C181,'G-7 Rivers Data'!$B$4:$G$8,4,FALSE))</f>
        <v/>
      </c>
      <c r="S181" s="179" t="str">
        <f t="shared" si="19"/>
        <v/>
      </c>
      <c r="T181" s="269" t="str">
        <f t="shared" si="20"/>
        <v/>
      </c>
      <c r="U181" s="172" t="str">
        <f t="shared" si="17"/>
        <v/>
      </c>
      <c r="V181" s="79"/>
      <c r="W181" s="172" t="str">
        <f>IF(V181="","",IF(VLOOKUP(V181,'G-7 Rivers Data'!$AA$4:$AB$7,2,FALSE)=0,"Spatial Data Missing",VLOOKUP(V181,'G-7 Rivers Data'!$AA$4:$AB$7,2,FALSE)))</f>
        <v/>
      </c>
      <c r="X181" s="187"/>
      <c r="Y181" s="172" t="str">
        <f>IF(X181="","",IF(VLOOKUP(X181,'G-7 Rivers Data'!$AD$4:$AE$8,2,FALSE)=0,"Enrcoachment Data Missing",VLOOKUP(X181,'G-7 Rivers Data'!$AD$4:$AE$8,2,FALSE)))</f>
        <v/>
      </c>
      <c r="Z181" s="186"/>
      <c r="AA181" s="176" t="str">
        <f>IF(Z181="","",VLOOKUP(Z181,'G-7 Rivers Data'!$AO$4:$AP$7,2,FALSE))</f>
        <v/>
      </c>
      <c r="AB181" s="265" t="str">
        <f t="shared" si="18"/>
        <v/>
      </c>
      <c r="AC181" s="180"/>
      <c r="AD181" s="181"/>
      <c r="AK181" s="35" t="str">
        <f>IFERROR(INDEX('G-7 Rivers Data'!$AZ$3:$AZ$7,MATCH(C181,'G-7 Rivers Data'!$AY$3:$AY$7,0)),"")</f>
        <v/>
      </c>
    </row>
    <row r="182" spans="2:37" ht="13.8" x14ac:dyDescent="0.25">
      <c r="B182" s="168">
        <v>171</v>
      </c>
      <c r="C182" s="184"/>
      <c r="D182" s="213"/>
      <c r="E182" s="171" t="str">
        <f>IF(C182="","",VLOOKUP(C182,'G-7 Rivers Data'!$B$2:$Z$9,2,FALSE))</f>
        <v/>
      </c>
      <c r="F182" s="172" t="str">
        <f>IFERROR(VLOOKUP(E182,'G-7 Rivers Data'!$C$4:$D$8,2,FALSE),"")</f>
        <v/>
      </c>
      <c r="G182" s="173"/>
      <c r="H182" s="172" t="str">
        <f>IFERROR(INDEX('G-7 Rivers Data'!$H$4:$L$8,MATCH(C182,'G-7 Rivers Data'!$B$4:$B$8,0),MATCH(G182,'G-7 Rivers Data'!$H$3:$L$3,0)),"")</f>
        <v/>
      </c>
      <c r="I182" s="173"/>
      <c r="J182" s="269" t="str">
        <f>IF(I182="","",IF(VLOOKUP(I182,'G-7 Rivers Data'!$AG$4:$AI$9,2,FALSE)=0,"Spatial Data Missing",VLOOKUP(I182,'G-7 Rivers Data'!$AG$4:$AI$9,2,FALSE)))</f>
        <v/>
      </c>
      <c r="K182" s="172" t="str">
        <f>IF(I182="","",IF(VLOOKUP(I182,'G-7 Rivers Data'!$AG$4:$AI$9,3,FALSE)=0,"Spatial Data Missing",VLOOKUP(I182,'G-7 Rivers Data'!$AG$4:$AI$9,3,FALSE)))</f>
        <v/>
      </c>
      <c r="L182" s="384" t="str">
        <f>IFERROR(INDEX('G-7 Rivers Data'!$O$3:$O$7,MATCH(G182,'G-7 Rivers Data'!$N$3:$N$7,0)),"")</f>
        <v/>
      </c>
      <c r="M182" s="82"/>
      <c r="N182" s="261"/>
      <c r="O182" s="179" t="str">
        <f t="shared" si="13"/>
        <v/>
      </c>
      <c r="P182" s="262" t="str">
        <f t="shared" si="14"/>
        <v/>
      </c>
      <c r="Q182" s="382" t="str">
        <f>IFERROR(IF(P182="Check Data","Check Data",VLOOKUP(P182,'G-4 Temporal multipliers'!$A$4:$C$37,3,FALSE)),"")</f>
        <v/>
      </c>
      <c r="R182" s="171" t="str">
        <f>IF(C182="","",VLOOKUP(C182,'G-7 Rivers Data'!$B$4:$G$8,4,FALSE))</f>
        <v/>
      </c>
      <c r="S182" s="179" t="str">
        <f t="shared" si="19"/>
        <v/>
      </c>
      <c r="T182" s="269" t="str">
        <f t="shared" si="20"/>
        <v/>
      </c>
      <c r="U182" s="172" t="str">
        <f t="shared" si="17"/>
        <v/>
      </c>
      <c r="V182" s="79"/>
      <c r="W182" s="172" t="str">
        <f>IF(V182="","",IF(VLOOKUP(V182,'G-7 Rivers Data'!$AA$4:$AB$7,2,FALSE)=0,"Spatial Data Missing",VLOOKUP(V182,'G-7 Rivers Data'!$AA$4:$AB$7,2,FALSE)))</f>
        <v/>
      </c>
      <c r="X182" s="187"/>
      <c r="Y182" s="172" t="str">
        <f>IF(X182="","",IF(VLOOKUP(X182,'G-7 Rivers Data'!$AD$4:$AE$8,2,FALSE)=0,"Enrcoachment Data Missing",VLOOKUP(X182,'G-7 Rivers Data'!$AD$4:$AE$8,2,FALSE)))</f>
        <v/>
      </c>
      <c r="Z182" s="186"/>
      <c r="AA182" s="176" t="str">
        <f>IF(Z182="","",VLOOKUP(Z182,'G-7 Rivers Data'!$AO$4:$AP$7,2,FALSE))</f>
        <v/>
      </c>
      <c r="AB182" s="265" t="str">
        <f t="shared" si="18"/>
        <v/>
      </c>
      <c r="AC182" s="180"/>
      <c r="AD182" s="181"/>
      <c r="AK182" s="35" t="str">
        <f>IFERROR(INDEX('G-7 Rivers Data'!$AZ$3:$AZ$7,MATCH(C182,'G-7 Rivers Data'!$AY$3:$AY$7,0)),"")</f>
        <v/>
      </c>
    </row>
    <row r="183" spans="2:37" ht="13.8" x14ac:dyDescent="0.25">
      <c r="B183" s="168">
        <v>172</v>
      </c>
      <c r="C183" s="184"/>
      <c r="D183" s="213"/>
      <c r="E183" s="171" t="str">
        <f>IF(C183="","",VLOOKUP(C183,'G-7 Rivers Data'!$B$2:$Z$9,2,FALSE))</f>
        <v/>
      </c>
      <c r="F183" s="172" t="str">
        <f>IFERROR(VLOOKUP(E183,'G-7 Rivers Data'!$C$4:$D$8,2,FALSE),"")</f>
        <v/>
      </c>
      <c r="G183" s="173"/>
      <c r="H183" s="172" t="str">
        <f>IFERROR(INDEX('G-7 Rivers Data'!$H$4:$L$8,MATCH(C183,'G-7 Rivers Data'!$B$4:$B$8,0),MATCH(G183,'G-7 Rivers Data'!$H$3:$L$3,0)),"")</f>
        <v/>
      </c>
      <c r="I183" s="173"/>
      <c r="J183" s="269" t="str">
        <f>IF(I183="","",IF(VLOOKUP(I183,'G-7 Rivers Data'!$AG$4:$AI$9,2,FALSE)=0,"Spatial Data Missing",VLOOKUP(I183,'G-7 Rivers Data'!$AG$4:$AI$9,2,FALSE)))</f>
        <v/>
      </c>
      <c r="K183" s="172" t="str">
        <f>IF(I183="","",IF(VLOOKUP(I183,'G-7 Rivers Data'!$AG$4:$AI$9,3,FALSE)=0,"Spatial Data Missing",VLOOKUP(I183,'G-7 Rivers Data'!$AG$4:$AI$9,3,FALSE)))</f>
        <v/>
      </c>
      <c r="L183" s="384" t="str">
        <f>IFERROR(INDEX('G-7 Rivers Data'!$O$3:$O$7,MATCH(G183,'G-7 Rivers Data'!$N$3:$N$7,0)),"")</f>
        <v/>
      </c>
      <c r="M183" s="82"/>
      <c r="N183" s="261"/>
      <c r="O183" s="179" t="str">
        <f t="shared" si="13"/>
        <v/>
      </c>
      <c r="P183" s="262" t="str">
        <f t="shared" si="14"/>
        <v/>
      </c>
      <c r="Q183" s="382" t="str">
        <f>IFERROR(IF(P183="Check Data","Check Data",VLOOKUP(P183,'G-4 Temporal multipliers'!$A$4:$C$37,3,FALSE)),"")</f>
        <v/>
      </c>
      <c r="R183" s="171" t="str">
        <f>IF(C183="","",VLOOKUP(C183,'G-7 Rivers Data'!$B$4:$G$8,4,FALSE))</f>
        <v/>
      </c>
      <c r="S183" s="179" t="str">
        <f t="shared" si="19"/>
        <v/>
      </c>
      <c r="T183" s="269" t="str">
        <f t="shared" si="20"/>
        <v/>
      </c>
      <c r="U183" s="172" t="str">
        <f t="shared" si="17"/>
        <v/>
      </c>
      <c r="V183" s="79"/>
      <c r="W183" s="172" t="str">
        <f>IF(V183="","",IF(VLOOKUP(V183,'G-7 Rivers Data'!$AA$4:$AB$7,2,FALSE)=0,"Spatial Data Missing",VLOOKUP(V183,'G-7 Rivers Data'!$AA$4:$AB$7,2,FALSE)))</f>
        <v/>
      </c>
      <c r="X183" s="187"/>
      <c r="Y183" s="172" t="str">
        <f>IF(X183="","",IF(VLOOKUP(X183,'G-7 Rivers Data'!$AD$4:$AE$8,2,FALSE)=0,"Enrcoachment Data Missing",VLOOKUP(X183,'G-7 Rivers Data'!$AD$4:$AE$8,2,FALSE)))</f>
        <v/>
      </c>
      <c r="Z183" s="186"/>
      <c r="AA183" s="176" t="str">
        <f>IF(Z183="","",VLOOKUP(Z183,'G-7 Rivers Data'!$AO$4:$AP$7,2,FALSE))</f>
        <v/>
      </c>
      <c r="AB183" s="265" t="str">
        <f t="shared" si="18"/>
        <v/>
      </c>
      <c r="AC183" s="180"/>
      <c r="AD183" s="181"/>
      <c r="AK183" s="35" t="str">
        <f>IFERROR(INDEX('G-7 Rivers Data'!$AZ$3:$AZ$7,MATCH(C183,'G-7 Rivers Data'!$AY$3:$AY$7,0)),"")</f>
        <v/>
      </c>
    </row>
    <row r="184" spans="2:37" ht="13.8" x14ac:dyDescent="0.25">
      <c r="B184" s="168">
        <v>173</v>
      </c>
      <c r="C184" s="184"/>
      <c r="D184" s="213"/>
      <c r="E184" s="171" t="str">
        <f>IF(C184="","",VLOOKUP(C184,'G-7 Rivers Data'!$B$2:$Z$9,2,FALSE))</f>
        <v/>
      </c>
      <c r="F184" s="172" t="str">
        <f>IFERROR(VLOOKUP(E184,'G-7 Rivers Data'!$C$4:$D$8,2,FALSE),"")</f>
        <v/>
      </c>
      <c r="G184" s="173"/>
      <c r="H184" s="172" t="str">
        <f>IFERROR(INDEX('G-7 Rivers Data'!$H$4:$L$8,MATCH(C184,'G-7 Rivers Data'!$B$4:$B$8,0),MATCH(G184,'G-7 Rivers Data'!$H$3:$L$3,0)),"")</f>
        <v/>
      </c>
      <c r="I184" s="173"/>
      <c r="J184" s="269" t="str">
        <f>IF(I184="","",IF(VLOOKUP(I184,'G-7 Rivers Data'!$AG$4:$AI$9,2,FALSE)=0,"Spatial Data Missing",VLOOKUP(I184,'G-7 Rivers Data'!$AG$4:$AI$9,2,FALSE)))</f>
        <v/>
      </c>
      <c r="K184" s="172" t="str">
        <f>IF(I184="","",IF(VLOOKUP(I184,'G-7 Rivers Data'!$AG$4:$AI$9,3,FALSE)=0,"Spatial Data Missing",VLOOKUP(I184,'G-7 Rivers Data'!$AG$4:$AI$9,3,FALSE)))</f>
        <v/>
      </c>
      <c r="L184" s="384" t="str">
        <f>IFERROR(INDEX('G-7 Rivers Data'!$O$3:$O$7,MATCH(G184,'G-7 Rivers Data'!$N$3:$N$7,0)),"")</f>
        <v/>
      </c>
      <c r="M184" s="82"/>
      <c r="N184" s="261"/>
      <c r="O184" s="179" t="str">
        <f t="shared" si="13"/>
        <v/>
      </c>
      <c r="P184" s="262" t="str">
        <f t="shared" si="14"/>
        <v/>
      </c>
      <c r="Q184" s="382" t="str">
        <f>IFERROR(IF(P184="Check Data","Check Data",VLOOKUP(P184,'G-4 Temporal multipliers'!$A$4:$C$37,3,FALSE)),"")</f>
        <v/>
      </c>
      <c r="R184" s="171" t="str">
        <f>IF(C184="","",VLOOKUP(C184,'G-7 Rivers Data'!$B$4:$G$8,4,FALSE))</f>
        <v/>
      </c>
      <c r="S184" s="179" t="str">
        <f t="shared" si="19"/>
        <v/>
      </c>
      <c r="T184" s="269" t="str">
        <f t="shared" si="20"/>
        <v/>
      </c>
      <c r="U184" s="172" t="str">
        <f t="shared" si="17"/>
        <v/>
      </c>
      <c r="V184" s="79"/>
      <c r="W184" s="172" t="str">
        <f>IF(V184="","",IF(VLOOKUP(V184,'G-7 Rivers Data'!$AA$4:$AB$7,2,FALSE)=0,"Spatial Data Missing",VLOOKUP(V184,'G-7 Rivers Data'!$AA$4:$AB$7,2,FALSE)))</f>
        <v/>
      </c>
      <c r="X184" s="187"/>
      <c r="Y184" s="172" t="str">
        <f>IF(X184="","",IF(VLOOKUP(X184,'G-7 Rivers Data'!$AD$4:$AE$8,2,FALSE)=0,"Enrcoachment Data Missing",VLOOKUP(X184,'G-7 Rivers Data'!$AD$4:$AE$8,2,FALSE)))</f>
        <v/>
      </c>
      <c r="Z184" s="186"/>
      <c r="AA184" s="176" t="str">
        <f>IF(Z184="","",VLOOKUP(Z184,'G-7 Rivers Data'!$AO$4:$AP$7,2,FALSE))</f>
        <v/>
      </c>
      <c r="AB184" s="265" t="str">
        <f t="shared" si="18"/>
        <v/>
      </c>
      <c r="AC184" s="180"/>
      <c r="AD184" s="181"/>
      <c r="AK184" s="35" t="str">
        <f>IFERROR(INDEX('G-7 Rivers Data'!$AZ$3:$AZ$7,MATCH(C184,'G-7 Rivers Data'!$AY$3:$AY$7,0)),"")</f>
        <v/>
      </c>
    </row>
    <row r="185" spans="2:37" ht="13.8" x14ac:dyDescent="0.25">
      <c r="B185" s="168">
        <v>174</v>
      </c>
      <c r="C185" s="184"/>
      <c r="D185" s="213"/>
      <c r="E185" s="171" t="str">
        <f>IF(C185="","",VLOOKUP(C185,'G-7 Rivers Data'!$B$2:$Z$9,2,FALSE))</f>
        <v/>
      </c>
      <c r="F185" s="172" t="str">
        <f>IFERROR(VLOOKUP(E185,'G-7 Rivers Data'!$C$4:$D$8,2,FALSE),"")</f>
        <v/>
      </c>
      <c r="G185" s="173"/>
      <c r="H185" s="172" t="str">
        <f>IFERROR(INDEX('G-7 Rivers Data'!$H$4:$L$8,MATCH(C185,'G-7 Rivers Data'!$B$4:$B$8,0),MATCH(G185,'G-7 Rivers Data'!$H$3:$L$3,0)),"")</f>
        <v/>
      </c>
      <c r="I185" s="173"/>
      <c r="J185" s="269" t="str">
        <f>IF(I185="","",IF(VLOOKUP(I185,'G-7 Rivers Data'!$AG$4:$AI$9,2,FALSE)=0,"Spatial Data Missing",VLOOKUP(I185,'G-7 Rivers Data'!$AG$4:$AI$9,2,FALSE)))</f>
        <v/>
      </c>
      <c r="K185" s="172" t="str">
        <f>IF(I185="","",IF(VLOOKUP(I185,'G-7 Rivers Data'!$AG$4:$AI$9,3,FALSE)=0,"Spatial Data Missing",VLOOKUP(I185,'G-7 Rivers Data'!$AG$4:$AI$9,3,FALSE)))</f>
        <v/>
      </c>
      <c r="L185" s="384" t="str">
        <f>IFERROR(INDEX('G-7 Rivers Data'!$O$3:$O$7,MATCH(G185,'G-7 Rivers Data'!$N$3:$N$7,0)),"")</f>
        <v/>
      </c>
      <c r="M185" s="82"/>
      <c r="N185" s="261"/>
      <c r="O185" s="179" t="str">
        <f t="shared" si="13"/>
        <v/>
      </c>
      <c r="P185" s="262" t="str">
        <f t="shared" si="14"/>
        <v/>
      </c>
      <c r="Q185" s="382" t="str">
        <f>IFERROR(IF(P185="Check Data","Check Data",VLOOKUP(P185,'G-4 Temporal multipliers'!$A$4:$C$37,3,FALSE)),"")</f>
        <v/>
      </c>
      <c r="R185" s="171" t="str">
        <f>IF(C185="","",VLOOKUP(C185,'G-7 Rivers Data'!$B$4:$G$8,4,FALSE))</f>
        <v/>
      </c>
      <c r="S185" s="179" t="str">
        <f t="shared" si="19"/>
        <v/>
      </c>
      <c r="T185" s="269" t="str">
        <f t="shared" si="20"/>
        <v/>
      </c>
      <c r="U185" s="172" t="str">
        <f t="shared" si="17"/>
        <v/>
      </c>
      <c r="V185" s="79"/>
      <c r="W185" s="172" t="str">
        <f>IF(V185="","",IF(VLOOKUP(V185,'G-7 Rivers Data'!$AA$4:$AB$7,2,FALSE)=0,"Spatial Data Missing",VLOOKUP(V185,'G-7 Rivers Data'!$AA$4:$AB$7,2,FALSE)))</f>
        <v/>
      </c>
      <c r="X185" s="187"/>
      <c r="Y185" s="172" t="str">
        <f>IF(X185="","",IF(VLOOKUP(X185,'G-7 Rivers Data'!$AD$4:$AE$8,2,FALSE)=0,"Enrcoachment Data Missing",VLOOKUP(X185,'G-7 Rivers Data'!$AD$4:$AE$8,2,FALSE)))</f>
        <v/>
      </c>
      <c r="Z185" s="186"/>
      <c r="AA185" s="176" t="str">
        <f>IF(Z185="","",VLOOKUP(Z185,'G-7 Rivers Data'!$AO$4:$AP$7,2,FALSE))</f>
        <v/>
      </c>
      <c r="AB185" s="265" t="str">
        <f t="shared" si="18"/>
        <v/>
      </c>
      <c r="AC185" s="180"/>
      <c r="AD185" s="181"/>
      <c r="AK185" s="35" t="str">
        <f>IFERROR(INDEX('G-7 Rivers Data'!$AZ$3:$AZ$7,MATCH(C185,'G-7 Rivers Data'!$AY$3:$AY$7,0)),"")</f>
        <v/>
      </c>
    </row>
    <row r="186" spans="2:37" ht="13.8" x14ac:dyDescent="0.25">
      <c r="B186" s="168">
        <v>175</v>
      </c>
      <c r="C186" s="184"/>
      <c r="D186" s="213"/>
      <c r="E186" s="171" t="str">
        <f>IF(C186="","",VLOOKUP(C186,'G-7 Rivers Data'!$B$2:$Z$9,2,FALSE))</f>
        <v/>
      </c>
      <c r="F186" s="172" t="str">
        <f>IFERROR(VLOOKUP(E186,'G-7 Rivers Data'!$C$4:$D$8,2,FALSE),"")</f>
        <v/>
      </c>
      <c r="G186" s="173"/>
      <c r="H186" s="172" t="str">
        <f>IFERROR(INDEX('G-7 Rivers Data'!$H$4:$L$8,MATCH(C186,'G-7 Rivers Data'!$B$4:$B$8,0),MATCH(G186,'G-7 Rivers Data'!$H$3:$L$3,0)),"")</f>
        <v/>
      </c>
      <c r="I186" s="173"/>
      <c r="J186" s="269" t="str">
        <f>IF(I186="","",IF(VLOOKUP(I186,'G-7 Rivers Data'!$AG$4:$AI$9,2,FALSE)=0,"Spatial Data Missing",VLOOKUP(I186,'G-7 Rivers Data'!$AG$4:$AI$9,2,FALSE)))</f>
        <v/>
      </c>
      <c r="K186" s="172" t="str">
        <f>IF(I186="","",IF(VLOOKUP(I186,'G-7 Rivers Data'!$AG$4:$AI$9,3,FALSE)=0,"Spatial Data Missing",VLOOKUP(I186,'G-7 Rivers Data'!$AG$4:$AI$9,3,FALSE)))</f>
        <v/>
      </c>
      <c r="L186" s="384" t="str">
        <f>IFERROR(INDEX('G-7 Rivers Data'!$O$3:$O$7,MATCH(G186,'G-7 Rivers Data'!$N$3:$N$7,0)),"")</f>
        <v/>
      </c>
      <c r="M186" s="82"/>
      <c r="N186" s="261"/>
      <c r="O186" s="179" t="str">
        <f t="shared" si="13"/>
        <v/>
      </c>
      <c r="P186" s="262" t="str">
        <f t="shared" si="14"/>
        <v/>
      </c>
      <c r="Q186" s="382" t="str">
        <f>IFERROR(IF(P186="Check Data","Check Data",VLOOKUP(P186,'G-4 Temporal multipliers'!$A$4:$C$37,3,FALSE)),"")</f>
        <v/>
      </c>
      <c r="R186" s="171" t="str">
        <f>IF(C186="","",VLOOKUP(C186,'G-7 Rivers Data'!$B$4:$G$8,4,FALSE))</f>
        <v/>
      </c>
      <c r="S186" s="179" t="str">
        <f t="shared" si="19"/>
        <v/>
      </c>
      <c r="T186" s="269" t="str">
        <f t="shared" si="20"/>
        <v/>
      </c>
      <c r="U186" s="172" t="str">
        <f t="shared" si="17"/>
        <v/>
      </c>
      <c r="V186" s="79"/>
      <c r="W186" s="172" t="str">
        <f>IF(V186="","",IF(VLOOKUP(V186,'G-7 Rivers Data'!$AA$4:$AB$7,2,FALSE)=0,"Spatial Data Missing",VLOOKUP(V186,'G-7 Rivers Data'!$AA$4:$AB$7,2,FALSE)))</f>
        <v/>
      </c>
      <c r="X186" s="187"/>
      <c r="Y186" s="172" t="str">
        <f>IF(X186="","",IF(VLOOKUP(X186,'G-7 Rivers Data'!$AD$4:$AE$8,2,FALSE)=0,"Enrcoachment Data Missing",VLOOKUP(X186,'G-7 Rivers Data'!$AD$4:$AE$8,2,FALSE)))</f>
        <v/>
      </c>
      <c r="Z186" s="186"/>
      <c r="AA186" s="176" t="str">
        <f>IF(Z186="","",VLOOKUP(Z186,'G-7 Rivers Data'!$AO$4:$AP$7,2,FALSE))</f>
        <v/>
      </c>
      <c r="AB186" s="265" t="str">
        <f t="shared" si="18"/>
        <v/>
      </c>
      <c r="AC186" s="180"/>
      <c r="AD186" s="181"/>
      <c r="AK186" s="35" t="str">
        <f>IFERROR(INDEX('G-7 Rivers Data'!$AZ$3:$AZ$7,MATCH(C186,'G-7 Rivers Data'!$AY$3:$AY$7,0)),"")</f>
        <v/>
      </c>
    </row>
    <row r="187" spans="2:37" ht="13.8" x14ac:dyDescent="0.25">
      <c r="B187" s="168">
        <v>176</v>
      </c>
      <c r="C187" s="184"/>
      <c r="D187" s="213"/>
      <c r="E187" s="171" t="str">
        <f>IF(C187="","",VLOOKUP(C187,'G-7 Rivers Data'!$B$2:$Z$9,2,FALSE))</f>
        <v/>
      </c>
      <c r="F187" s="172" t="str">
        <f>IFERROR(VLOOKUP(E187,'G-7 Rivers Data'!$C$4:$D$8,2,FALSE),"")</f>
        <v/>
      </c>
      <c r="G187" s="173"/>
      <c r="H187" s="172" t="str">
        <f>IFERROR(INDEX('G-7 Rivers Data'!$H$4:$L$8,MATCH(C187,'G-7 Rivers Data'!$B$4:$B$8,0),MATCH(G187,'G-7 Rivers Data'!$H$3:$L$3,0)),"")</f>
        <v/>
      </c>
      <c r="I187" s="173"/>
      <c r="J187" s="269" t="str">
        <f>IF(I187="","",IF(VLOOKUP(I187,'G-7 Rivers Data'!$AG$4:$AI$9,2,FALSE)=0,"Spatial Data Missing",VLOOKUP(I187,'G-7 Rivers Data'!$AG$4:$AI$9,2,FALSE)))</f>
        <v/>
      </c>
      <c r="K187" s="172" t="str">
        <f>IF(I187="","",IF(VLOOKUP(I187,'G-7 Rivers Data'!$AG$4:$AI$9,3,FALSE)=0,"Spatial Data Missing",VLOOKUP(I187,'G-7 Rivers Data'!$AG$4:$AI$9,3,FALSE)))</f>
        <v/>
      </c>
      <c r="L187" s="384" t="str">
        <f>IFERROR(INDEX('G-7 Rivers Data'!$O$3:$O$7,MATCH(G187,'G-7 Rivers Data'!$N$3:$N$7,0)),"")</f>
        <v/>
      </c>
      <c r="M187" s="82"/>
      <c r="N187" s="261"/>
      <c r="O187" s="179" t="str">
        <f t="shared" si="13"/>
        <v/>
      </c>
      <c r="P187" s="262" t="str">
        <f t="shared" si="14"/>
        <v/>
      </c>
      <c r="Q187" s="382" t="str">
        <f>IFERROR(IF(P187="Check Data","Check Data",VLOOKUP(P187,'G-4 Temporal multipliers'!$A$4:$C$37,3,FALSE)),"")</f>
        <v/>
      </c>
      <c r="R187" s="171" t="str">
        <f>IF(C187="","",VLOOKUP(C187,'G-7 Rivers Data'!$B$4:$G$8,4,FALSE))</f>
        <v/>
      </c>
      <c r="S187" s="179" t="str">
        <f t="shared" si="19"/>
        <v/>
      </c>
      <c r="T187" s="269" t="str">
        <f t="shared" si="20"/>
        <v/>
      </c>
      <c r="U187" s="172" t="str">
        <f t="shared" si="17"/>
        <v/>
      </c>
      <c r="V187" s="79"/>
      <c r="W187" s="172" t="str">
        <f>IF(V187="","",IF(VLOOKUP(V187,'G-7 Rivers Data'!$AA$4:$AB$7,2,FALSE)=0,"Spatial Data Missing",VLOOKUP(V187,'G-7 Rivers Data'!$AA$4:$AB$7,2,FALSE)))</f>
        <v/>
      </c>
      <c r="X187" s="187"/>
      <c r="Y187" s="172" t="str">
        <f>IF(X187="","",IF(VLOOKUP(X187,'G-7 Rivers Data'!$AD$4:$AE$8,2,FALSE)=0,"Enrcoachment Data Missing",VLOOKUP(X187,'G-7 Rivers Data'!$AD$4:$AE$8,2,FALSE)))</f>
        <v/>
      </c>
      <c r="Z187" s="186"/>
      <c r="AA187" s="176" t="str">
        <f>IF(Z187="","",VLOOKUP(Z187,'G-7 Rivers Data'!$AO$4:$AP$7,2,FALSE))</f>
        <v/>
      </c>
      <c r="AB187" s="265" t="str">
        <f t="shared" si="18"/>
        <v/>
      </c>
      <c r="AC187" s="180"/>
      <c r="AD187" s="181"/>
      <c r="AK187" s="35" t="str">
        <f>IFERROR(INDEX('G-7 Rivers Data'!$AZ$3:$AZ$7,MATCH(C187,'G-7 Rivers Data'!$AY$3:$AY$7,0)),"")</f>
        <v/>
      </c>
    </row>
    <row r="188" spans="2:37" ht="13.8" x14ac:dyDescent="0.25">
      <c r="B188" s="168">
        <v>177</v>
      </c>
      <c r="C188" s="184"/>
      <c r="D188" s="213"/>
      <c r="E188" s="171" t="str">
        <f>IF(C188="","",VLOOKUP(C188,'G-7 Rivers Data'!$B$2:$Z$9,2,FALSE))</f>
        <v/>
      </c>
      <c r="F188" s="172" t="str">
        <f>IFERROR(VLOOKUP(E188,'G-7 Rivers Data'!$C$4:$D$8,2,FALSE),"")</f>
        <v/>
      </c>
      <c r="G188" s="173"/>
      <c r="H188" s="172" t="str">
        <f>IFERROR(INDEX('G-7 Rivers Data'!$H$4:$L$8,MATCH(C188,'G-7 Rivers Data'!$B$4:$B$8,0),MATCH(G188,'G-7 Rivers Data'!$H$3:$L$3,0)),"")</f>
        <v/>
      </c>
      <c r="I188" s="173"/>
      <c r="J188" s="269" t="str">
        <f>IF(I188="","",IF(VLOOKUP(I188,'G-7 Rivers Data'!$AG$4:$AI$9,2,FALSE)=0,"Spatial Data Missing",VLOOKUP(I188,'G-7 Rivers Data'!$AG$4:$AI$9,2,FALSE)))</f>
        <v/>
      </c>
      <c r="K188" s="172" t="str">
        <f>IF(I188="","",IF(VLOOKUP(I188,'G-7 Rivers Data'!$AG$4:$AI$9,3,FALSE)=0,"Spatial Data Missing",VLOOKUP(I188,'G-7 Rivers Data'!$AG$4:$AI$9,3,FALSE)))</f>
        <v/>
      </c>
      <c r="L188" s="384" t="str">
        <f>IFERROR(INDEX('G-7 Rivers Data'!$O$3:$O$7,MATCH(G188,'G-7 Rivers Data'!$N$3:$N$7,0)),"")</f>
        <v/>
      </c>
      <c r="M188" s="82"/>
      <c r="N188" s="261"/>
      <c r="O188" s="179" t="str">
        <f t="shared" si="13"/>
        <v/>
      </c>
      <c r="P188" s="262" t="str">
        <f t="shared" si="14"/>
        <v/>
      </c>
      <c r="Q188" s="382" t="str">
        <f>IFERROR(IF(P188="Check Data","Check Data",VLOOKUP(P188,'G-4 Temporal multipliers'!$A$4:$C$37,3,FALSE)),"")</f>
        <v/>
      </c>
      <c r="R188" s="171" t="str">
        <f>IF(C188="","",VLOOKUP(C188,'G-7 Rivers Data'!$B$4:$G$8,4,FALSE))</f>
        <v/>
      </c>
      <c r="S188" s="179" t="str">
        <f t="shared" si="19"/>
        <v/>
      </c>
      <c r="T188" s="269" t="str">
        <f t="shared" si="20"/>
        <v/>
      </c>
      <c r="U188" s="172" t="str">
        <f t="shared" si="17"/>
        <v/>
      </c>
      <c r="V188" s="79"/>
      <c r="W188" s="172" t="str">
        <f>IF(V188="","",IF(VLOOKUP(V188,'G-7 Rivers Data'!$AA$4:$AB$7,2,FALSE)=0,"Spatial Data Missing",VLOOKUP(V188,'G-7 Rivers Data'!$AA$4:$AB$7,2,FALSE)))</f>
        <v/>
      </c>
      <c r="X188" s="187"/>
      <c r="Y188" s="172" t="str">
        <f>IF(X188="","",IF(VLOOKUP(X188,'G-7 Rivers Data'!$AD$4:$AE$8,2,FALSE)=0,"Enrcoachment Data Missing",VLOOKUP(X188,'G-7 Rivers Data'!$AD$4:$AE$8,2,FALSE)))</f>
        <v/>
      </c>
      <c r="Z188" s="186"/>
      <c r="AA188" s="176" t="str">
        <f>IF(Z188="","",VLOOKUP(Z188,'G-7 Rivers Data'!$AO$4:$AP$7,2,FALSE))</f>
        <v/>
      </c>
      <c r="AB188" s="265" t="str">
        <f t="shared" si="18"/>
        <v/>
      </c>
      <c r="AC188" s="180"/>
      <c r="AD188" s="181"/>
      <c r="AK188" s="35" t="str">
        <f>IFERROR(INDEX('G-7 Rivers Data'!$AZ$3:$AZ$7,MATCH(C188,'G-7 Rivers Data'!$AY$3:$AY$7,0)),"")</f>
        <v/>
      </c>
    </row>
    <row r="189" spans="2:37" ht="13.8" x14ac:dyDescent="0.25">
      <c r="B189" s="168">
        <v>178</v>
      </c>
      <c r="C189" s="184"/>
      <c r="D189" s="213"/>
      <c r="E189" s="171" t="str">
        <f>IF(C189="","",VLOOKUP(C189,'G-7 Rivers Data'!$B$2:$Z$9,2,FALSE))</f>
        <v/>
      </c>
      <c r="F189" s="172" t="str">
        <f>IFERROR(VLOOKUP(E189,'G-7 Rivers Data'!$C$4:$D$8,2,FALSE),"")</f>
        <v/>
      </c>
      <c r="G189" s="173"/>
      <c r="H189" s="172" t="str">
        <f>IFERROR(INDEX('G-7 Rivers Data'!$H$4:$L$8,MATCH(C189,'G-7 Rivers Data'!$B$4:$B$8,0),MATCH(G189,'G-7 Rivers Data'!$H$3:$L$3,0)),"")</f>
        <v/>
      </c>
      <c r="I189" s="173"/>
      <c r="J189" s="269" t="str">
        <f>IF(I189="","",IF(VLOOKUP(I189,'G-7 Rivers Data'!$AG$4:$AI$9,2,FALSE)=0,"Spatial Data Missing",VLOOKUP(I189,'G-7 Rivers Data'!$AG$4:$AI$9,2,FALSE)))</f>
        <v/>
      </c>
      <c r="K189" s="172" t="str">
        <f>IF(I189="","",IF(VLOOKUP(I189,'G-7 Rivers Data'!$AG$4:$AI$9,3,FALSE)=0,"Spatial Data Missing",VLOOKUP(I189,'G-7 Rivers Data'!$AG$4:$AI$9,3,FALSE)))</f>
        <v/>
      </c>
      <c r="L189" s="384" t="str">
        <f>IFERROR(INDEX('G-7 Rivers Data'!$O$3:$O$7,MATCH(G189,'G-7 Rivers Data'!$N$3:$N$7,0)),"")</f>
        <v/>
      </c>
      <c r="M189" s="82"/>
      <c r="N189" s="261"/>
      <c r="O189" s="179" t="str">
        <f t="shared" si="13"/>
        <v/>
      </c>
      <c r="P189" s="262" t="str">
        <f t="shared" si="14"/>
        <v/>
      </c>
      <c r="Q189" s="382" t="str">
        <f>IFERROR(IF(P189="Check Data","Check Data",VLOOKUP(P189,'G-4 Temporal multipliers'!$A$4:$C$37,3,FALSE)),"")</f>
        <v/>
      </c>
      <c r="R189" s="171" t="str">
        <f>IF(C189="","",VLOOKUP(C189,'G-7 Rivers Data'!$B$4:$G$8,4,FALSE))</f>
        <v/>
      </c>
      <c r="S189" s="179" t="str">
        <f t="shared" si="19"/>
        <v/>
      </c>
      <c r="T189" s="269" t="str">
        <f t="shared" si="20"/>
        <v/>
      </c>
      <c r="U189" s="172" t="str">
        <f t="shared" si="17"/>
        <v/>
      </c>
      <c r="V189" s="79"/>
      <c r="W189" s="172" t="str">
        <f>IF(V189="","",IF(VLOOKUP(V189,'G-7 Rivers Data'!$AA$4:$AB$7,2,FALSE)=0,"Spatial Data Missing",VLOOKUP(V189,'G-7 Rivers Data'!$AA$4:$AB$7,2,FALSE)))</f>
        <v/>
      </c>
      <c r="X189" s="187"/>
      <c r="Y189" s="172" t="str">
        <f>IF(X189="","",IF(VLOOKUP(X189,'G-7 Rivers Data'!$AD$4:$AE$8,2,FALSE)=0,"Enrcoachment Data Missing",VLOOKUP(X189,'G-7 Rivers Data'!$AD$4:$AE$8,2,FALSE)))</f>
        <v/>
      </c>
      <c r="Z189" s="186"/>
      <c r="AA189" s="176" t="str">
        <f>IF(Z189="","",VLOOKUP(Z189,'G-7 Rivers Data'!$AO$4:$AP$7,2,FALSE))</f>
        <v/>
      </c>
      <c r="AB189" s="265" t="str">
        <f t="shared" si="18"/>
        <v/>
      </c>
      <c r="AC189" s="180"/>
      <c r="AD189" s="181"/>
      <c r="AK189" s="35" t="str">
        <f>IFERROR(INDEX('G-7 Rivers Data'!$AZ$3:$AZ$7,MATCH(C189,'G-7 Rivers Data'!$AY$3:$AY$7,0)),"")</f>
        <v/>
      </c>
    </row>
    <row r="190" spans="2:37" ht="13.8" x14ac:dyDescent="0.25">
      <c r="B190" s="168">
        <v>179</v>
      </c>
      <c r="C190" s="184"/>
      <c r="D190" s="213"/>
      <c r="E190" s="171" t="str">
        <f>IF(C190="","",VLOOKUP(C190,'G-7 Rivers Data'!$B$2:$Z$9,2,FALSE))</f>
        <v/>
      </c>
      <c r="F190" s="172" t="str">
        <f>IFERROR(VLOOKUP(E190,'G-7 Rivers Data'!$C$4:$D$8,2,FALSE),"")</f>
        <v/>
      </c>
      <c r="G190" s="173"/>
      <c r="H190" s="172" t="str">
        <f>IFERROR(INDEX('G-7 Rivers Data'!$H$4:$L$8,MATCH(C190,'G-7 Rivers Data'!$B$4:$B$8,0),MATCH(G190,'G-7 Rivers Data'!$H$3:$L$3,0)),"")</f>
        <v/>
      </c>
      <c r="I190" s="173"/>
      <c r="J190" s="269" t="str">
        <f>IF(I190="","",IF(VLOOKUP(I190,'G-7 Rivers Data'!$AG$4:$AI$9,2,FALSE)=0,"Spatial Data Missing",VLOOKUP(I190,'G-7 Rivers Data'!$AG$4:$AI$9,2,FALSE)))</f>
        <v/>
      </c>
      <c r="K190" s="172" t="str">
        <f>IF(I190="","",IF(VLOOKUP(I190,'G-7 Rivers Data'!$AG$4:$AI$9,3,FALSE)=0,"Spatial Data Missing",VLOOKUP(I190,'G-7 Rivers Data'!$AG$4:$AI$9,3,FALSE)))</f>
        <v/>
      </c>
      <c r="L190" s="384" t="str">
        <f>IFERROR(INDEX('G-7 Rivers Data'!$O$3:$O$7,MATCH(G190,'G-7 Rivers Data'!$N$3:$N$7,0)),"")</f>
        <v/>
      </c>
      <c r="M190" s="82"/>
      <c r="N190" s="261"/>
      <c r="O190" s="179" t="str">
        <f t="shared" si="13"/>
        <v/>
      </c>
      <c r="P190" s="262" t="str">
        <f t="shared" si="14"/>
        <v/>
      </c>
      <c r="Q190" s="382" t="str">
        <f>IFERROR(IF(P190="Check Data","Check Data",VLOOKUP(P190,'G-4 Temporal multipliers'!$A$4:$C$37,3,FALSE)),"")</f>
        <v/>
      </c>
      <c r="R190" s="171" t="str">
        <f>IF(C190="","",VLOOKUP(C190,'G-7 Rivers Data'!$B$4:$G$8,4,FALSE))</f>
        <v/>
      </c>
      <c r="S190" s="179" t="str">
        <f t="shared" si="19"/>
        <v/>
      </c>
      <c r="T190" s="269" t="str">
        <f t="shared" si="20"/>
        <v/>
      </c>
      <c r="U190" s="172" t="str">
        <f t="shared" si="17"/>
        <v/>
      </c>
      <c r="V190" s="79"/>
      <c r="W190" s="172" t="str">
        <f>IF(V190="","",IF(VLOOKUP(V190,'G-7 Rivers Data'!$AA$4:$AB$7,2,FALSE)=0,"Spatial Data Missing",VLOOKUP(V190,'G-7 Rivers Data'!$AA$4:$AB$7,2,FALSE)))</f>
        <v/>
      </c>
      <c r="X190" s="187"/>
      <c r="Y190" s="172" t="str">
        <f>IF(X190="","",IF(VLOOKUP(X190,'G-7 Rivers Data'!$AD$4:$AE$8,2,FALSE)=0,"Enrcoachment Data Missing",VLOOKUP(X190,'G-7 Rivers Data'!$AD$4:$AE$8,2,FALSE)))</f>
        <v/>
      </c>
      <c r="Z190" s="186"/>
      <c r="AA190" s="176" t="str">
        <f>IF(Z190="","",VLOOKUP(Z190,'G-7 Rivers Data'!$AO$4:$AP$7,2,FALSE))</f>
        <v/>
      </c>
      <c r="AB190" s="265" t="str">
        <f t="shared" si="18"/>
        <v/>
      </c>
      <c r="AC190" s="180"/>
      <c r="AD190" s="181"/>
      <c r="AK190" s="35" t="str">
        <f>IFERROR(INDEX('G-7 Rivers Data'!$AZ$3:$AZ$7,MATCH(C190,'G-7 Rivers Data'!$AY$3:$AY$7,0)),"")</f>
        <v/>
      </c>
    </row>
    <row r="191" spans="2:37" ht="13.8" x14ac:dyDescent="0.25">
      <c r="B191" s="168">
        <v>180</v>
      </c>
      <c r="C191" s="184"/>
      <c r="D191" s="213"/>
      <c r="E191" s="171" t="str">
        <f>IF(C191="","",VLOOKUP(C191,'G-7 Rivers Data'!$B$2:$Z$9,2,FALSE))</f>
        <v/>
      </c>
      <c r="F191" s="172" t="str">
        <f>IFERROR(VLOOKUP(E191,'G-7 Rivers Data'!$C$4:$D$8,2,FALSE),"")</f>
        <v/>
      </c>
      <c r="G191" s="173"/>
      <c r="H191" s="172" t="str">
        <f>IFERROR(INDEX('G-7 Rivers Data'!$H$4:$L$8,MATCH(C191,'G-7 Rivers Data'!$B$4:$B$8,0),MATCH(G191,'G-7 Rivers Data'!$H$3:$L$3,0)),"")</f>
        <v/>
      </c>
      <c r="I191" s="173"/>
      <c r="J191" s="269" t="str">
        <f>IF(I191="","",IF(VLOOKUP(I191,'G-7 Rivers Data'!$AG$4:$AI$9,2,FALSE)=0,"Spatial Data Missing",VLOOKUP(I191,'G-7 Rivers Data'!$AG$4:$AI$9,2,FALSE)))</f>
        <v/>
      </c>
      <c r="K191" s="172" t="str">
        <f>IF(I191="","",IF(VLOOKUP(I191,'G-7 Rivers Data'!$AG$4:$AI$9,3,FALSE)=0,"Spatial Data Missing",VLOOKUP(I191,'G-7 Rivers Data'!$AG$4:$AI$9,3,FALSE)))</f>
        <v/>
      </c>
      <c r="L191" s="384" t="str">
        <f>IFERROR(INDEX('G-7 Rivers Data'!$O$3:$O$7,MATCH(G191,'G-7 Rivers Data'!$N$3:$N$7,0)),"")</f>
        <v/>
      </c>
      <c r="M191" s="82"/>
      <c r="N191" s="261"/>
      <c r="O191" s="179" t="str">
        <f t="shared" si="13"/>
        <v/>
      </c>
      <c r="P191" s="262" t="str">
        <f t="shared" si="14"/>
        <v/>
      </c>
      <c r="Q191" s="382" t="str">
        <f>IFERROR(IF(P191="Check Data","Check Data",VLOOKUP(P191,'G-4 Temporal multipliers'!$A$4:$C$37,3,FALSE)),"")</f>
        <v/>
      </c>
      <c r="R191" s="171" t="str">
        <f>IF(C191="","",VLOOKUP(C191,'G-7 Rivers Data'!$B$4:$G$8,4,FALSE))</f>
        <v/>
      </c>
      <c r="S191" s="179" t="str">
        <f t="shared" si="19"/>
        <v/>
      </c>
      <c r="T191" s="269" t="str">
        <f t="shared" si="20"/>
        <v/>
      </c>
      <c r="U191" s="172" t="str">
        <f t="shared" si="17"/>
        <v/>
      </c>
      <c r="V191" s="79"/>
      <c r="W191" s="172" t="str">
        <f>IF(V191="","",IF(VLOOKUP(V191,'G-7 Rivers Data'!$AA$4:$AB$7,2,FALSE)=0,"Spatial Data Missing",VLOOKUP(V191,'G-7 Rivers Data'!$AA$4:$AB$7,2,FALSE)))</f>
        <v/>
      </c>
      <c r="X191" s="187"/>
      <c r="Y191" s="172" t="str">
        <f>IF(X191="","",IF(VLOOKUP(X191,'G-7 Rivers Data'!$AD$4:$AE$8,2,FALSE)=0,"Enrcoachment Data Missing",VLOOKUP(X191,'G-7 Rivers Data'!$AD$4:$AE$8,2,FALSE)))</f>
        <v/>
      </c>
      <c r="Z191" s="186"/>
      <c r="AA191" s="176" t="str">
        <f>IF(Z191="","",VLOOKUP(Z191,'G-7 Rivers Data'!$AO$4:$AP$7,2,FALSE))</f>
        <v/>
      </c>
      <c r="AB191" s="265" t="str">
        <f t="shared" si="18"/>
        <v/>
      </c>
      <c r="AC191" s="180"/>
      <c r="AD191" s="181"/>
      <c r="AK191" s="35" t="str">
        <f>IFERROR(INDEX('G-7 Rivers Data'!$AZ$3:$AZ$7,MATCH(C191,'G-7 Rivers Data'!$AY$3:$AY$7,0)),"")</f>
        <v/>
      </c>
    </row>
    <row r="192" spans="2:37" ht="13.8" x14ac:dyDescent="0.25">
      <c r="B192" s="168">
        <v>181</v>
      </c>
      <c r="C192" s="184"/>
      <c r="D192" s="213"/>
      <c r="E192" s="171" t="str">
        <f>IF(C192="","",VLOOKUP(C192,'G-7 Rivers Data'!$B$2:$Z$9,2,FALSE))</f>
        <v/>
      </c>
      <c r="F192" s="172" t="str">
        <f>IFERROR(VLOOKUP(E192,'G-7 Rivers Data'!$C$4:$D$8,2,FALSE),"")</f>
        <v/>
      </c>
      <c r="G192" s="173"/>
      <c r="H192" s="172" t="str">
        <f>IFERROR(INDEX('G-7 Rivers Data'!$H$4:$L$8,MATCH(C192,'G-7 Rivers Data'!$B$4:$B$8,0),MATCH(G192,'G-7 Rivers Data'!$H$3:$L$3,0)),"")</f>
        <v/>
      </c>
      <c r="I192" s="173"/>
      <c r="J192" s="269" t="str">
        <f>IF(I192="","",IF(VLOOKUP(I192,'G-7 Rivers Data'!$AG$4:$AI$9,2,FALSE)=0,"Spatial Data Missing",VLOOKUP(I192,'G-7 Rivers Data'!$AG$4:$AI$9,2,FALSE)))</f>
        <v/>
      </c>
      <c r="K192" s="172" t="str">
        <f>IF(I192="","",IF(VLOOKUP(I192,'G-7 Rivers Data'!$AG$4:$AI$9,3,FALSE)=0,"Spatial Data Missing",VLOOKUP(I192,'G-7 Rivers Data'!$AG$4:$AI$9,3,FALSE)))</f>
        <v/>
      </c>
      <c r="L192" s="384" t="str">
        <f>IFERROR(INDEX('G-7 Rivers Data'!$O$3:$O$7,MATCH(G192,'G-7 Rivers Data'!$N$3:$N$7,0)),"")</f>
        <v/>
      </c>
      <c r="M192" s="82"/>
      <c r="N192" s="261"/>
      <c r="O192" s="179" t="str">
        <f t="shared" si="13"/>
        <v/>
      </c>
      <c r="P192" s="262" t="str">
        <f t="shared" si="14"/>
        <v/>
      </c>
      <c r="Q192" s="382" t="str">
        <f>IFERROR(IF(P192="Check Data","Check Data",VLOOKUP(P192,'G-4 Temporal multipliers'!$A$4:$C$37,3,FALSE)),"")</f>
        <v/>
      </c>
      <c r="R192" s="171" t="str">
        <f>IF(C192="","",VLOOKUP(C192,'G-7 Rivers Data'!$B$4:$G$8,4,FALSE))</f>
        <v/>
      </c>
      <c r="S192" s="179" t="str">
        <f t="shared" si="19"/>
        <v/>
      </c>
      <c r="T192" s="269" t="str">
        <f t="shared" si="20"/>
        <v/>
      </c>
      <c r="U192" s="172" t="str">
        <f t="shared" si="17"/>
        <v/>
      </c>
      <c r="V192" s="79"/>
      <c r="W192" s="172" t="str">
        <f>IF(V192="","",IF(VLOOKUP(V192,'G-7 Rivers Data'!$AA$4:$AB$7,2,FALSE)=0,"Spatial Data Missing",VLOOKUP(V192,'G-7 Rivers Data'!$AA$4:$AB$7,2,FALSE)))</f>
        <v/>
      </c>
      <c r="X192" s="187"/>
      <c r="Y192" s="172" t="str">
        <f>IF(X192="","",IF(VLOOKUP(X192,'G-7 Rivers Data'!$AD$4:$AE$8,2,FALSE)=0,"Enrcoachment Data Missing",VLOOKUP(X192,'G-7 Rivers Data'!$AD$4:$AE$8,2,FALSE)))</f>
        <v/>
      </c>
      <c r="Z192" s="186"/>
      <c r="AA192" s="176" t="str">
        <f>IF(Z192="","",VLOOKUP(Z192,'G-7 Rivers Data'!$AO$4:$AP$7,2,FALSE))</f>
        <v/>
      </c>
      <c r="AB192" s="265" t="str">
        <f t="shared" si="18"/>
        <v/>
      </c>
      <c r="AC192" s="180"/>
      <c r="AD192" s="181"/>
      <c r="AK192" s="35" t="str">
        <f>IFERROR(INDEX('G-7 Rivers Data'!$AZ$3:$AZ$7,MATCH(C192,'G-7 Rivers Data'!$AY$3:$AY$7,0)),"")</f>
        <v/>
      </c>
    </row>
    <row r="193" spans="2:37" ht="13.8" x14ac:dyDescent="0.25">
      <c r="B193" s="168">
        <v>182</v>
      </c>
      <c r="C193" s="184"/>
      <c r="D193" s="213"/>
      <c r="E193" s="171" t="str">
        <f>IF(C193="","",VLOOKUP(C193,'G-7 Rivers Data'!$B$2:$Z$9,2,FALSE))</f>
        <v/>
      </c>
      <c r="F193" s="172" t="str">
        <f>IFERROR(VLOOKUP(E193,'G-7 Rivers Data'!$C$4:$D$8,2,FALSE),"")</f>
        <v/>
      </c>
      <c r="G193" s="173"/>
      <c r="H193" s="172" t="str">
        <f>IFERROR(INDEX('G-7 Rivers Data'!$H$4:$L$8,MATCH(C193,'G-7 Rivers Data'!$B$4:$B$8,0),MATCH(G193,'G-7 Rivers Data'!$H$3:$L$3,0)),"")</f>
        <v/>
      </c>
      <c r="I193" s="173"/>
      <c r="J193" s="269" t="str">
        <f>IF(I193="","",IF(VLOOKUP(I193,'G-7 Rivers Data'!$AG$4:$AI$9,2,FALSE)=0,"Spatial Data Missing",VLOOKUP(I193,'G-7 Rivers Data'!$AG$4:$AI$9,2,FALSE)))</f>
        <v/>
      </c>
      <c r="K193" s="172" t="str">
        <f>IF(I193="","",IF(VLOOKUP(I193,'G-7 Rivers Data'!$AG$4:$AI$9,3,FALSE)=0,"Spatial Data Missing",VLOOKUP(I193,'G-7 Rivers Data'!$AG$4:$AI$9,3,FALSE)))</f>
        <v/>
      </c>
      <c r="L193" s="384" t="str">
        <f>IFERROR(INDEX('G-7 Rivers Data'!$O$3:$O$7,MATCH(G193,'G-7 Rivers Data'!$N$3:$N$7,0)),"")</f>
        <v/>
      </c>
      <c r="M193" s="82"/>
      <c r="N193" s="261"/>
      <c r="O193" s="179" t="str">
        <f t="shared" si="13"/>
        <v/>
      </c>
      <c r="P193" s="262" t="str">
        <f t="shared" si="14"/>
        <v/>
      </c>
      <c r="Q193" s="382" t="str">
        <f>IFERROR(IF(P193="Check Data","Check Data",VLOOKUP(P193,'G-4 Temporal multipliers'!$A$4:$C$37,3,FALSE)),"")</f>
        <v/>
      </c>
      <c r="R193" s="171" t="str">
        <f>IF(C193="","",VLOOKUP(C193,'G-7 Rivers Data'!$B$4:$G$8,4,FALSE))</f>
        <v/>
      </c>
      <c r="S193" s="179" t="str">
        <f t="shared" si="19"/>
        <v/>
      </c>
      <c r="T193" s="269" t="str">
        <f t="shared" si="20"/>
        <v/>
      </c>
      <c r="U193" s="172" t="str">
        <f t="shared" si="17"/>
        <v/>
      </c>
      <c r="V193" s="79"/>
      <c r="W193" s="172" t="str">
        <f>IF(V193="","",IF(VLOOKUP(V193,'G-7 Rivers Data'!$AA$4:$AB$7,2,FALSE)=0,"Spatial Data Missing",VLOOKUP(V193,'G-7 Rivers Data'!$AA$4:$AB$7,2,FALSE)))</f>
        <v/>
      </c>
      <c r="X193" s="187"/>
      <c r="Y193" s="172" t="str">
        <f>IF(X193="","",IF(VLOOKUP(X193,'G-7 Rivers Data'!$AD$4:$AE$8,2,FALSE)=0,"Enrcoachment Data Missing",VLOOKUP(X193,'G-7 Rivers Data'!$AD$4:$AE$8,2,FALSE)))</f>
        <v/>
      </c>
      <c r="Z193" s="186"/>
      <c r="AA193" s="176" t="str">
        <f>IF(Z193="","",VLOOKUP(Z193,'G-7 Rivers Data'!$AO$4:$AP$7,2,FALSE))</f>
        <v/>
      </c>
      <c r="AB193" s="265" t="str">
        <f t="shared" si="18"/>
        <v/>
      </c>
      <c r="AC193" s="180"/>
      <c r="AD193" s="181"/>
      <c r="AK193" s="35" t="str">
        <f>IFERROR(INDEX('G-7 Rivers Data'!$AZ$3:$AZ$7,MATCH(C193,'G-7 Rivers Data'!$AY$3:$AY$7,0)),"")</f>
        <v/>
      </c>
    </row>
    <row r="194" spans="2:37" ht="13.8" x14ac:dyDescent="0.25">
      <c r="B194" s="168">
        <v>183</v>
      </c>
      <c r="C194" s="184"/>
      <c r="D194" s="213"/>
      <c r="E194" s="171" t="str">
        <f>IF(C194="","",VLOOKUP(C194,'G-7 Rivers Data'!$B$2:$Z$9,2,FALSE))</f>
        <v/>
      </c>
      <c r="F194" s="172" t="str">
        <f>IFERROR(VLOOKUP(E194,'G-7 Rivers Data'!$C$4:$D$8,2,FALSE),"")</f>
        <v/>
      </c>
      <c r="G194" s="173"/>
      <c r="H194" s="172" t="str">
        <f>IFERROR(INDEX('G-7 Rivers Data'!$H$4:$L$8,MATCH(C194,'G-7 Rivers Data'!$B$4:$B$8,0),MATCH(G194,'G-7 Rivers Data'!$H$3:$L$3,0)),"")</f>
        <v/>
      </c>
      <c r="I194" s="173"/>
      <c r="J194" s="269" t="str">
        <f>IF(I194="","",IF(VLOOKUP(I194,'G-7 Rivers Data'!$AG$4:$AI$9,2,FALSE)=0,"Spatial Data Missing",VLOOKUP(I194,'G-7 Rivers Data'!$AG$4:$AI$9,2,FALSE)))</f>
        <v/>
      </c>
      <c r="K194" s="172" t="str">
        <f>IF(I194="","",IF(VLOOKUP(I194,'G-7 Rivers Data'!$AG$4:$AI$9,3,FALSE)=0,"Spatial Data Missing",VLOOKUP(I194,'G-7 Rivers Data'!$AG$4:$AI$9,3,FALSE)))</f>
        <v/>
      </c>
      <c r="L194" s="384" t="str">
        <f>IFERROR(INDEX('G-7 Rivers Data'!$O$3:$O$7,MATCH(G194,'G-7 Rivers Data'!$N$3:$N$7,0)),"")</f>
        <v/>
      </c>
      <c r="M194" s="82"/>
      <c r="N194" s="261"/>
      <c r="O194" s="179" t="str">
        <f t="shared" si="13"/>
        <v/>
      </c>
      <c r="P194" s="262" t="str">
        <f t="shared" si="14"/>
        <v/>
      </c>
      <c r="Q194" s="382" t="str">
        <f>IFERROR(IF(P194="Check Data","Check Data",VLOOKUP(P194,'G-4 Temporal multipliers'!$A$4:$C$37,3,FALSE)),"")</f>
        <v/>
      </c>
      <c r="R194" s="171" t="str">
        <f>IF(C194="","",VLOOKUP(C194,'G-7 Rivers Data'!$B$4:$G$8,4,FALSE))</f>
        <v/>
      </c>
      <c r="S194" s="179" t="str">
        <f t="shared" si="19"/>
        <v/>
      </c>
      <c r="T194" s="269" t="str">
        <f t="shared" si="20"/>
        <v/>
      </c>
      <c r="U194" s="172" t="str">
        <f t="shared" si="17"/>
        <v/>
      </c>
      <c r="V194" s="79"/>
      <c r="W194" s="172" t="str">
        <f>IF(V194="","",IF(VLOOKUP(V194,'G-7 Rivers Data'!$AA$4:$AB$7,2,FALSE)=0,"Spatial Data Missing",VLOOKUP(V194,'G-7 Rivers Data'!$AA$4:$AB$7,2,FALSE)))</f>
        <v/>
      </c>
      <c r="X194" s="187"/>
      <c r="Y194" s="172" t="str">
        <f>IF(X194="","",IF(VLOOKUP(X194,'G-7 Rivers Data'!$AD$4:$AE$8,2,FALSE)=0,"Enrcoachment Data Missing",VLOOKUP(X194,'G-7 Rivers Data'!$AD$4:$AE$8,2,FALSE)))</f>
        <v/>
      </c>
      <c r="Z194" s="186"/>
      <c r="AA194" s="176" t="str">
        <f>IF(Z194="","",VLOOKUP(Z194,'G-7 Rivers Data'!$AO$4:$AP$7,2,FALSE))</f>
        <v/>
      </c>
      <c r="AB194" s="265" t="str">
        <f t="shared" si="18"/>
        <v/>
      </c>
      <c r="AC194" s="180"/>
      <c r="AD194" s="181"/>
      <c r="AK194" s="35" t="str">
        <f>IFERROR(INDEX('G-7 Rivers Data'!$AZ$3:$AZ$7,MATCH(C194,'G-7 Rivers Data'!$AY$3:$AY$7,0)),"")</f>
        <v/>
      </c>
    </row>
    <row r="195" spans="2:37" ht="13.8" x14ac:dyDescent="0.25">
      <c r="B195" s="168">
        <v>184</v>
      </c>
      <c r="C195" s="184"/>
      <c r="D195" s="213"/>
      <c r="E195" s="171" t="str">
        <f>IF(C195="","",VLOOKUP(C195,'G-7 Rivers Data'!$B$2:$Z$9,2,FALSE))</f>
        <v/>
      </c>
      <c r="F195" s="172" t="str">
        <f>IFERROR(VLOOKUP(E195,'G-7 Rivers Data'!$C$4:$D$8,2,FALSE),"")</f>
        <v/>
      </c>
      <c r="G195" s="173"/>
      <c r="H195" s="172" t="str">
        <f>IFERROR(INDEX('G-7 Rivers Data'!$H$4:$L$8,MATCH(C195,'G-7 Rivers Data'!$B$4:$B$8,0),MATCH(G195,'G-7 Rivers Data'!$H$3:$L$3,0)),"")</f>
        <v/>
      </c>
      <c r="I195" s="173"/>
      <c r="J195" s="269" t="str">
        <f>IF(I195="","",IF(VLOOKUP(I195,'G-7 Rivers Data'!$AG$4:$AI$9,2,FALSE)=0,"Spatial Data Missing",VLOOKUP(I195,'G-7 Rivers Data'!$AG$4:$AI$9,2,FALSE)))</f>
        <v/>
      </c>
      <c r="K195" s="172" t="str">
        <f>IF(I195="","",IF(VLOOKUP(I195,'G-7 Rivers Data'!$AG$4:$AI$9,3,FALSE)=0,"Spatial Data Missing",VLOOKUP(I195,'G-7 Rivers Data'!$AG$4:$AI$9,3,FALSE)))</f>
        <v/>
      </c>
      <c r="L195" s="384" t="str">
        <f>IFERROR(INDEX('G-7 Rivers Data'!$O$3:$O$7,MATCH(G195,'G-7 Rivers Data'!$N$3:$N$7,0)),"")</f>
        <v/>
      </c>
      <c r="M195" s="82"/>
      <c r="N195" s="261"/>
      <c r="O195" s="179" t="str">
        <f t="shared" si="13"/>
        <v/>
      </c>
      <c r="P195" s="262" t="str">
        <f t="shared" si="14"/>
        <v/>
      </c>
      <c r="Q195" s="382" t="str">
        <f>IFERROR(IF(P195="Check Data","Check Data",VLOOKUP(P195,'G-4 Temporal multipliers'!$A$4:$C$37,3,FALSE)),"")</f>
        <v/>
      </c>
      <c r="R195" s="171" t="str">
        <f>IF(C195="","",VLOOKUP(C195,'G-7 Rivers Data'!$B$4:$G$8,4,FALSE))</f>
        <v/>
      </c>
      <c r="S195" s="179" t="str">
        <f t="shared" si="19"/>
        <v/>
      </c>
      <c r="T195" s="269" t="str">
        <f t="shared" si="20"/>
        <v/>
      </c>
      <c r="U195" s="172" t="str">
        <f t="shared" si="17"/>
        <v/>
      </c>
      <c r="V195" s="79"/>
      <c r="W195" s="172" t="str">
        <f>IF(V195="","",IF(VLOOKUP(V195,'G-7 Rivers Data'!$AA$4:$AB$7,2,FALSE)=0,"Spatial Data Missing",VLOOKUP(V195,'G-7 Rivers Data'!$AA$4:$AB$7,2,FALSE)))</f>
        <v/>
      </c>
      <c r="X195" s="187"/>
      <c r="Y195" s="172" t="str">
        <f>IF(X195="","",IF(VLOOKUP(X195,'G-7 Rivers Data'!$AD$4:$AE$8,2,FALSE)=0,"Enrcoachment Data Missing",VLOOKUP(X195,'G-7 Rivers Data'!$AD$4:$AE$8,2,FALSE)))</f>
        <v/>
      </c>
      <c r="Z195" s="186"/>
      <c r="AA195" s="176" t="str">
        <f>IF(Z195="","",VLOOKUP(Z195,'G-7 Rivers Data'!$AO$4:$AP$7,2,FALSE))</f>
        <v/>
      </c>
      <c r="AB195" s="265" t="str">
        <f t="shared" si="18"/>
        <v/>
      </c>
      <c r="AC195" s="180"/>
      <c r="AD195" s="181"/>
      <c r="AK195" s="35" t="str">
        <f>IFERROR(INDEX('G-7 Rivers Data'!$AZ$3:$AZ$7,MATCH(C195,'G-7 Rivers Data'!$AY$3:$AY$7,0)),"")</f>
        <v/>
      </c>
    </row>
    <row r="196" spans="2:37" ht="13.8" x14ac:dyDescent="0.25">
      <c r="B196" s="168">
        <v>185</v>
      </c>
      <c r="C196" s="184"/>
      <c r="D196" s="213"/>
      <c r="E196" s="171" t="str">
        <f>IF(C196="","",VLOOKUP(C196,'G-7 Rivers Data'!$B$2:$Z$9,2,FALSE))</f>
        <v/>
      </c>
      <c r="F196" s="172" t="str">
        <f>IFERROR(VLOOKUP(E196,'G-7 Rivers Data'!$C$4:$D$8,2,FALSE),"")</f>
        <v/>
      </c>
      <c r="G196" s="173"/>
      <c r="H196" s="172" t="str">
        <f>IFERROR(INDEX('G-7 Rivers Data'!$H$4:$L$8,MATCH(C196,'G-7 Rivers Data'!$B$4:$B$8,0),MATCH(G196,'G-7 Rivers Data'!$H$3:$L$3,0)),"")</f>
        <v/>
      </c>
      <c r="I196" s="173"/>
      <c r="J196" s="269" t="str">
        <f>IF(I196="","",IF(VLOOKUP(I196,'G-7 Rivers Data'!$AG$4:$AI$9,2,FALSE)=0,"Spatial Data Missing",VLOOKUP(I196,'G-7 Rivers Data'!$AG$4:$AI$9,2,FALSE)))</f>
        <v/>
      </c>
      <c r="K196" s="172" t="str">
        <f>IF(I196="","",IF(VLOOKUP(I196,'G-7 Rivers Data'!$AG$4:$AI$9,3,FALSE)=0,"Spatial Data Missing",VLOOKUP(I196,'G-7 Rivers Data'!$AG$4:$AI$9,3,FALSE)))</f>
        <v/>
      </c>
      <c r="L196" s="384" t="str">
        <f>IFERROR(INDEX('G-7 Rivers Data'!$O$3:$O$7,MATCH(G196,'G-7 Rivers Data'!$N$3:$N$7,0)),"")</f>
        <v/>
      </c>
      <c r="M196" s="82"/>
      <c r="N196" s="261"/>
      <c r="O196" s="179" t="str">
        <f t="shared" si="13"/>
        <v/>
      </c>
      <c r="P196" s="262" t="str">
        <f t="shared" si="14"/>
        <v/>
      </c>
      <c r="Q196" s="382" t="str">
        <f>IFERROR(IF(P196="Check Data","Check Data",VLOOKUP(P196,'G-4 Temporal multipliers'!$A$4:$C$37,3,FALSE)),"")</f>
        <v/>
      </c>
      <c r="R196" s="171" t="str">
        <f>IF(C196="","",VLOOKUP(C196,'G-7 Rivers Data'!$B$4:$G$8,4,FALSE))</f>
        <v/>
      </c>
      <c r="S196" s="179" t="str">
        <f t="shared" si="19"/>
        <v/>
      </c>
      <c r="T196" s="269" t="str">
        <f t="shared" si="20"/>
        <v/>
      </c>
      <c r="U196" s="172" t="str">
        <f t="shared" si="17"/>
        <v/>
      </c>
      <c r="V196" s="79"/>
      <c r="W196" s="172" t="str">
        <f>IF(V196="","",IF(VLOOKUP(V196,'G-7 Rivers Data'!$AA$4:$AB$7,2,FALSE)=0,"Spatial Data Missing",VLOOKUP(V196,'G-7 Rivers Data'!$AA$4:$AB$7,2,FALSE)))</f>
        <v/>
      </c>
      <c r="X196" s="187"/>
      <c r="Y196" s="172" t="str">
        <f>IF(X196="","",IF(VLOOKUP(X196,'G-7 Rivers Data'!$AD$4:$AE$8,2,FALSE)=0,"Enrcoachment Data Missing",VLOOKUP(X196,'G-7 Rivers Data'!$AD$4:$AE$8,2,FALSE)))</f>
        <v/>
      </c>
      <c r="Z196" s="186"/>
      <c r="AA196" s="176" t="str">
        <f>IF(Z196="","",VLOOKUP(Z196,'G-7 Rivers Data'!$AO$4:$AP$7,2,FALSE))</f>
        <v/>
      </c>
      <c r="AB196" s="265" t="str">
        <f t="shared" si="18"/>
        <v/>
      </c>
      <c r="AC196" s="180"/>
      <c r="AD196" s="181"/>
      <c r="AK196" s="35" t="str">
        <f>IFERROR(INDEX('G-7 Rivers Data'!$AZ$3:$AZ$7,MATCH(C196,'G-7 Rivers Data'!$AY$3:$AY$7,0)),"")</f>
        <v/>
      </c>
    </row>
    <row r="197" spans="2:37" ht="13.8" x14ac:dyDescent="0.25">
      <c r="B197" s="168">
        <v>186</v>
      </c>
      <c r="C197" s="184"/>
      <c r="D197" s="213"/>
      <c r="E197" s="171" t="str">
        <f>IF(C197="","",VLOOKUP(C197,'G-7 Rivers Data'!$B$2:$Z$9,2,FALSE))</f>
        <v/>
      </c>
      <c r="F197" s="172" t="str">
        <f>IFERROR(VLOOKUP(E197,'G-7 Rivers Data'!$C$4:$D$8,2,FALSE),"")</f>
        <v/>
      </c>
      <c r="G197" s="173"/>
      <c r="H197" s="172" t="str">
        <f>IFERROR(INDEX('G-7 Rivers Data'!$H$4:$L$8,MATCH(C197,'G-7 Rivers Data'!$B$4:$B$8,0),MATCH(G197,'G-7 Rivers Data'!$H$3:$L$3,0)),"")</f>
        <v/>
      </c>
      <c r="I197" s="173"/>
      <c r="J197" s="269" t="str">
        <f>IF(I197="","",IF(VLOOKUP(I197,'G-7 Rivers Data'!$AG$4:$AI$9,2,FALSE)=0,"Spatial Data Missing",VLOOKUP(I197,'G-7 Rivers Data'!$AG$4:$AI$9,2,FALSE)))</f>
        <v/>
      </c>
      <c r="K197" s="172" t="str">
        <f>IF(I197="","",IF(VLOOKUP(I197,'G-7 Rivers Data'!$AG$4:$AI$9,3,FALSE)=0,"Spatial Data Missing",VLOOKUP(I197,'G-7 Rivers Data'!$AG$4:$AI$9,3,FALSE)))</f>
        <v/>
      </c>
      <c r="L197" s="384" t="str">
        <f>IFERROR(INDEX('G-7 Rivers Data'!$O$3:$O$7,MATCH(G197,'G-7 Rivers Data'!$N$3:$N$7,0)),"")</f>
        <v/>
      </c>
      <c r="M197" s="82"/>
      <c r="N197" s="261"/>
      <c r="O197" s="179" t="str">
        <f t="shared" si="13"/>
        <v/>
      </c>
      <c r="P197" s="262" t="str">
        <f t="shared" si="14"/>
        <v/>
      </c>
      <c r="Q197" s="382" t="str">
        <f>IFERROR(IF(P197="Check Data","Check Data",VLOOKUP(P197,'G-4 Temporal multipliers'!$A$4:$C$37,3,FALSE)),"")</f>
        <v/>
      </c>
      <c r="R197" s="171" t="str">
        <f>IF(C197="","",VLOOKUP(C197,'G-7 Rivers Data'!$B$4:$G$8,4,FALSE))</f>
        <v/>
      </c>
      <c r="S197" s="179" t="str">
        <f t="shared" si="19"/>
        <v/>
      </c>
      <c r="T197" s="269" t="str">
        <f t="shared" si="20"/>
        <v/>
      </c>
      <c r="U197" s="172" t="str">
        <f t="shared" si="17"/>
        <v/>
      </c>
      <c r="V197" s="79"/>
      <c r="W197" s="172" t="str">
        <f>IF(V197="","",IF(VLOOKUP(V197,'G-7 Rivers Data'!$AA$4:$AB$7,2,FALSE)=0,"Spatial Data Missing",VLOOKUP(V197,'G-7 Rivers Data'!$AA$4:$AB$7,2,FALSE)))</f>
        <v/>
      </c>
      <c r="X197" s="187"/>
      <c r="Y197" s="172" t="str">
        <f>IF(X197="","",IF(VLOOKUP(X197,'G-7 Rivers Data'!$AD$4:$AE$8,2,FALSE)=0,"Enrcoachment Data Missing",VLOOKUP(X197,'G-7 Rivers Data'!$AD$4:$AE$8,2,FALSE)))</f>
        <v/>
      </c>
      <c r="Z197" s="186"/>
      <c r="AA197" s="176" t="str">
        <f>IF(Z197="","",VLOOKUP(Z197,'G-7 Rivers Data'!$AO$4:$AP$7,2,FALSE))</f>
        <v/>
      </c>
      <c r="AB197" s="265" t="str">
        <f t="shared" si="18"/>
        <v/>
      </c>
      <c r="AC197" s="180"/>
      <c r="AD197" s="181"/>
      <c r="AK197" s="35" t="str">
        <f>IFERROR(INDEX('G-7 Rivers Data'!$AZ$3:$AZ$7,MATCH(C197,'G-7 Rivers Data'!$AY$3:$AY$7,0)),"")</f>
        <v/>
      </c>
    </row>
    <row r="198" spans="2:37" ht="13.8" x14ac:dyDescent="0.25">
      <c r="B198" s="168">
        <v>187</v>
      </c>
      <c r="C198" s="184"/>
      <c r="D198" s="213"/>
      <c r="E198" s="171" t="str">
        <f>IF(C198="","",VLOOKUP(C198,'G-7 Rivers Data'!$B$2:$Z$9,2,FALSE))</f>
        <v/>
      </c>
      <c r="F198" s="172" t="str">
        <f>IFERROR(VLOOKUP(E198,'G-7 Rivers Data'!$C$4:$D$8,2,FALSE),"")</f>
        <v/>
      </c>
      <c r="G198" s="173"/>
      <c r="H198" s="172" t="str">
        <f>IFERROR(INDEX('G-7 Rivers Data'!$H$4:$L$8,MATCH(C198,'G-7 Rivers Data'!$B$4:$B$8,0),MATCH(G198,'G-7 Rivers Data'!$H$3:$L$3,0)),"")</f>
        <v/>
      </c>
      <c r="I198" s="173"/>
      <c r="J198" s="269" t="str">
        <f>IF(I198="","",IF(VLOOKUP(I198,'G-7 Rivers Data'!$AG$4:$AI$9,2,FALSE)=0,"Spatial Data Missing",VLOOKUP(I198,'G-7 Rivers Data'!$AG$4:$AI$9,2,FALSE)))</f>
        <v/>
      </c>
      <c r="K198" s="172" t="str">
        <f>IF(I198="","",IF(VLOOKUP(I198,'G-7 Rivers Data'!$AG$4:$AI$9,3,FALSE)=0,"Spatial Data Missing",VLOOKUP(I198,'G-7 Rivers Data'!$AG$4:$AI$9,3,FALSE)))</f>
        <v/>
      </c>
      <c r="L198" s="384" t="str">
        <f>IFERROR(INDEX('G-7 Rivers Data'!$O$3:$O$7,MATCH(G198,'G-7 Rivers Data'!$N$3:$N$7,0)),"")</f>
        <v/>
      </c>
      <c r="M198" s="82"/>
      <c r="N198" s="261"/>
      <c r="O198" s="179" t="str">
        <f t="shared" si="13"/>
        <v/>
      </c>
      <c r="P198" s="262" t="str">
        <f t="shared" si="14"/>
        <v/>
      </c>
      <c r="Q198" s="382" t="str">
        <f>IFERROR(IF(P198="Check Data","Check Data",VLOOKUP(P198,'G-4 Temporal multipliers'!$A$4:$C$37,3,FALSE)),"")</f>
        <v/>
      </c>
      <c r="R198" s="171" t="str">
        <f>IF(C198="","",VLOOKUP(C198,'G-7 Rivers Data'!$B$4:$G$8,4,FALSE))</f>
        <v/>
      </c>
      <c r="S198" s="179" t="str">
        <f t="shared" si="19"/>
        <v/>
      </c>
      <c r="T198" s="269" t="str">
        <f t="shared" si="20"/>
        <v/>
      </c>
      <c r="U198" s="172" t="str">
        <f t="shared" si="17"/>
        <v/>
      </c>
      <c r="V198" s="79"/>
      <c r="W198" s="172" t="str">
        <f>IF(V198="","",IF(VLOOKUP(V198,'G-7 Rivers Data'!$AA$4:$AB$7,2,FALSE)=0,"Spatial Data Missing",VLOOKUP(V198,'G-7 Rivers Data'!$AA$4:$AB$7,2,FALSE)))</f>
        <v/>
      </c>
      <c r="X198" s="187"/>
      <c r="Y198" s="172" t="str">
        <f>IF(X198="","",IF(VLOOKUP(X198,'G-7 Rivers Data'!$AD$4:$AE$8,2,FALSE)=0,"Enrcoachment Data Missing",VLOOKUP(X198,'G-7 Rivers Data'!$AD$4:$AE$8,2,FALSE)))</f>
        <v/>
      </c>
      <c r="Z198" s="186"/>
      <c r="AA198" s="176" t="str">
        <f>IF(Z198="","",VLOOKUP(Z198,'G-7 Rivers Data'!$AO$4:$AP$7,2,FALSE))</f>
        <v/>
      </c>
      <c r="AB198" s="265" t="str">
        <f t="shared" si="18"/>
        <v/>
      </c>
      <c r="AC198" s="180"/>
      <c r="AD198" s="181"/>
      <c r="AK198" s="35" t="str">
        <f>IFERROR(INDEX('G-7 Rivers Data'!$AZ$3:$AZ$7,MATCH(C198,'G-7 Rivers Data'!$AY$3:$AY$7,0)),"")</f>
        <v/>
      </c>
    </row>
    <row r="199" spans="2:37" ht="13.8" x14ac:dyDescent="0.25">
      <c r="B199" s="168">
        <v>188</v>
      </c>
      <c r="C199" s="184"/>
      <c r="D199" s="213"/>
      <c r="E199" s="171" t="str">
        <f>IF(C199="","",VLOOKUP(C199,'G-7 Rivers Data'!$B$2:$Z$9,2,FALSE))</f>
        <v/>
      </c>
      <c r="F199" s="172" t="str">
        <f>IFERROR(VLOOKUP(E199,'G-7 Rivers Data'!$C$4:$D$8,2,FALSE),"")</f>
        <v/>
      </c>
      <c r="G199" s="173"/>
      <c r="H199" s="172" t="str">
        <f>IFERROR(INDEX('G-7 Rivers Data'!$H$4:$L$8,MATCH(C199,'G-7 Rivers Data'!$B$4:$B$8,0),MATCH(G199,'G-7 Rivers Data'!$H$3:$L$3,0)),"")</f>
        <v/>
      </c>
      <c r="I199" s="173"/>
      <c r="J199" s="269" t="str">
        <f>IF(I199="","",IF(VLOOKUP(I199,'G-7 Rivers Data'!$AG$4:$AI$9,2,FALSE)=0,"Spatial Data Missing",VLOOKUP(I199,'G-7 Rivers Data'!$AG$4:$AI$9,2,FALSE)))</f>
        <v/>
      </c>
      <c r="K199" s="172" t="str">
        <f>IF(I199="","",IF(VLOOKUP(I199,'G-7 Rivers Data'!$AG$4:$AI$9,3,FALSE)=0,"Spatial Data Missing",VLOOKUP(I199,'G-7 Rivers Data'!$AG$4:$AI$9,3,FALSE)))</f>
        <v/>
      </c>
      <c r="L199" s="384" t="str">
        <f>IFERROR(INDEX('G-7 Rivers Data'!$O$3:$O$7,MATCH(G199,'G-7 Rivers Data'!$N$3:$N$7,0)),"")</f>
        <v/>
      </c>
      <c r="M199" s="82"/>
      <c r="N199" s="261"/>
      <c r="O199" s="179" t="str">
        <f t="shared" si="13"/>
        <v/>
      </c>
      <c r="P199" s="262" t="str">
        <f t="shared" si="14"/>
        <v/>
      </c>
      <c r="Q199" s="382" t="str">
        <f>IFERROR(IF(P199="Check Data","Check Data",VLOOKUP(P199,'G-4 Temporal multipliers'!$A$4:$C$37,3,FALSE)),"")</f>
        <v/>
      </c>
      <c r="R199" s="171" t="str">
        <f>IF(C199="","",VLOOKUP(C199,'G-7 Rivers Data'!$B$4:$G$8,4,FALSE))</f>
        <v/>
      </c>
      <c r="S199" s="179" t="str">
        <f t="shared" si="19"/>
        <v/>
      </c>
      <c r="T199" s="269" t="str">
        <f t="shared" si="20"/>
        <v/>
      </c>
      <c r="U199" s="172" t="str">
        <f t="shared" si="17"/>
        <v/>
      </c>
      <c r="V199" s="79"/>
      <c r="W199" s="172" t="str">
        <f>IF(V199="","",IF(VLOOKUP(V199,'G-7 Rivers Data'!$AA$4:$AB$7,2,FALSE)=0,"Spatial Data Missing",VLOOKUP(V199,'G-7 Rivers Data'!$AA$4:$AB$7,2,FALSE)))</f>
        <v/>
      </c>
      <c r="X199" s="187"/>
      <c r="Y199" s="172" t="str">
        <f>IF(X199="","",IF(VLOOKUP(X199,'G-7 Rivers Data'!$AD$4:$AE$8,2,FALSE)=0,"Enrcoachment Data Missing",VLOOKUP(X199,'G-7 Rivers Data'!$AD$4:$AE$8,2,FALSE)))</f>
        <v/>
      </c>
      <c r="Z199" s="186"/>
      <c r="AA199" s="176" t="str">
        <f>IF(Z199="","",VLOOKUP(Z199,'G-7 Rivers Data'!$AO$4:$AP$7,2,FALSE))</f>
        <v/>
      </c>
      <c r="AB199" s="265" t="str">
        <f t="shared" si="18"/>
        <v/>
      </c>
      <c r="AC199" s="180"/>
      <c r="AD199" s="181"/>
      <c r="AK199" s="35" t="str">
        <f>IFERROR(INDEX('G-7 Rivers Data'!$AZ$3:$AZ$7,MATCH(C199,'G-7 Rivers Data'!$AY$3:$AY$7,0)),"")</f>
        <v/>
      </c>
    </row>
    <row r="200" spans="2:37" ht="13.8" x14ac:dyDescent="0.25">
      <c r="B200" s="168">
        <v>189</v>
      </c>
      <c r="C200" s="184"/>
      <c r="D200" s="213"/>
      <c r="E200" s="171" t="str">
        <f>IF(C200="","",VLOOKUP(C200,'G-7 Rivers Data'!$B$2:$Z$9,2,FALSE))</f>
        <v/>
      </c>
      <c r="F200" s="172" t="str">
        <f>IFERROR(VLOOKUP(E200,'G-7 Rivers Data'!$C$4:$D$8,2,FALSE),"")</f>
        <v/>
      </c>
      <c r="G200" s="173"/>
      <c r="H200" s="172" t="str">
        <f>IFERROR(INDEX('G-7 Rivers Data'!$H$4:$L$8,MATCH(C200,'G-7 Rivers Data'!$B$4:$B$8,0),MATCH(G200,'G-7 Rivers Data'!$H$3:$L$3,0)),"")</f>
        <v/>
      </c>
      <c r="I200" s="173"/>
      <c r="J200" s="269" t="str">
        <f>IF(I200="","",IF(VLOOKUP(I200,'G-7 Rivers Data'!$AG$4:$AI$9,2,FALSE)=0,"Spatial Data Missing",VLOOKUP(I200,'G-7 Rivers Data'!$AG$4:$AI$9,2,FALSE)))</f>
        <v/>
      </c>
      <c r="K200" s="172" t="str">
        <f>IF(I200="","",IF(VLOOKUP(I200,'G-7 Rivers Data'!$AG$4:$AI$9,3,FALSE)=0,"Spatial Data Missing",VLOOKUP(I200,'G-7 Rivers Data'!$AG$4:$AI$9,3,FALSE)))</f>
        <v/>
      </c>
      <c r="L200" s="384" t="str">
        <f>IFERROR(INDEX('G-7 Rivers Data'!$O$3:$O$7,MATCH(G200,'G-7 Rivers Data'!$N$3:$N$7,0)),"")</f>
        <v/>
      </c>
      <c r="M200" s="82"/>
      <c r="N200" s="261"/>
      <c r="O200" s="179" t="str">
        <f t="shared" si="13"/>
        <v/>
      </c>
      <c r="P200" s="262" t="str">
        <f t="shared" si="14"/>
        <v/>
      </c>
      <c r="Q200" s="382" t="str">
        <f>IFERROR(IF(P200="Check Data","Check Data",VLOOKUP(P200,'G-4 Temporal multipliers'!$A$4:$C$37,3,FALSE)),"")</f>
        <v/>
      </c>
      <c r="R200" s="171" t="str">
        <f>IF(C200="","",VLOOKUP(C200,'G-7 Rivers Data'!$B$4:$G$8,4,FALSE))</f>
        <v/>
      </c>
      <c r="S200" s="179" t="str">
        <f t="shared" si="19"/>
        <v/>
      </c>
      <c r="T200" s="269" t="str">
        <f t="shared" si="20"/>
        <v/>
      </c>
      <c r="U200" s="172" t="str">
        <f t="shared" si="17"/>
        <v/>
      </c>
      <c r="V200" s="79"/>
      <c r="W200" s="172" t="str">
        <f>IF(V200="","",IF(VLOOKUP(V200,'G-7 Rivers Data'!$AA$4:$AB$7,2,FALSE)=0,"Spatial Data Missing",VLOOKUP(V200,'G-7 Rivers Data'!$AA$4:$AB$7,2,FALSE)))</f>
        <v/>
      </c>
      <c r="X200" s="187"/>
      <c r="Y200" s="172" t="str">
        <f>IF(X200="","",IF(VLOOKUP(X200,'G-7 Rivers Data'!$AD$4:$AE$8,2,FALSE)=0,"Enrcoachment Data Missing",VLOOKUP(X200,'G-7 Rivers Data'!$AD$4:$AE$8,2,FALSE)))</f>
        <v/>
      </c>
      <c r="Z200" s="186"/>
      <c r="AA200" s="176" t="str">
        <f>IF(Z200="","",VLOOKUP(Z200,'G-7 Rivers Data'!$AO$4:$AP$7,2,FALSE))</f>
        <v/>
      </c>
      <c r="AB200" s="265" t="str">
        <f t="shared" si="18"/>
        <v/>
      </c>
      <c r="AC200" s="180"/>
      <c r="AD200" s="181"/>
      <c r="AK200" s="35" t="str">
        <f>IFERROR(INDEX('G-7 Rivers Data'!$AZ$3:$AZ$7,MATCH(C200,'G-7 Rivers Data'!$AY$3:$AY$7,0)),"")</f>
        <v/>
      </c>
    </row>
    <row r="201" spans="2:37" ht="13.8" x14ac:dyDescent="0.25">
      <c r="B201" s="168">
        <v>190</v>
      </c>
      <c r="C201" s="184"/>
      <c r="D201" s="213"/>
      <c r="E201" s="171" t="str">
        <f>IF(C201="","",VLOOKUP(C201,'G-7 Rivers Data'!$B$2:$Z$9,2,FALSE))</f>
        <v/>
      </c>
      <c r="F201" s="172" t="str">
        <f>IFERROR(VLOOKUP(E201,'G-7 Rivers Data'!$C$4:$D$8,2,FALSE),"")</f>
        <v/>
      </c>
      <c r="G201" s="173"/>
      <c r="H201" s="172" t="str">
        <f>IFERROR(INDEX('G-7 Rivers Data'!$H$4:$L$8,MATCH(C201,'G-7 Rivers Data'!$B$4:$B$8,0),MATCH(G201,'G-7 Rivers Data'!$H$3:$L$3,0)),"")</f>
        <v/>
      </c>
      <c r="I201" s="173"/>
      <c r="J201" s="269" t="str">
        <f>IF(I201="","",IF(VLOOKUP(I201,'G-7 Rivers Data'!$AG$4:$AI$9,2,FALSE)=0,"Spatial Data Missing",VLOOKUP(I201,'G-7 Rivers Data'!$AG$4:$AI$9,2,FALSE)))</f>
        <v/>
      </c>
      <c r="K201" s="172" t="str">
        <f>IF(I201="","",IF(VLOOKUP(I201,'G-7 Rivers Data'!$AG$4:$AI$9,3,FALSE)=0,"Spatial Data Missing",VLOOKUP(I201,'G-7 Rivers Data'!$AG$4:$AI$9,3,FALSE)))</f>
        <v/>
      </c>
      <c r="L201" s="384" t="str">
        <f>IFERROR(INDEX('G-7 Rivers Data'!$O$3:$O$7,MATCH(G201,'G-7 Rivers Data'!$N$3:$N$7,0)),"")</f>
        <v/>
      </c>
      <c r="M201" s="82"/>
      <c r="N201" s="261"/>
      <c r="O201" s="179" t="str">
        <f t="shared" si="13"/>
        <v/>
      </c>
      <c r="P201" s="262" t="str">
        <f t="shared" si="14"/>
        <v/>
      </c>
      <c r="Q201" s="382" t="str">
        <f>IFERROR(IF(P201="Check Data","Check Data",VLOOKUP(P201,'G-4 Temporal multipliers'!$A$4:$C$37,3,FALSE)),"")</f>
        <v/>
      </c>
      <c r="R201" s="171" t="str">
        <f>IF(C201="","",VLOOKUP(C201,'G-7 Rivers Data'!$B$4:$G$8,4,FALSE))</f>
        <v/>
      </c>
      <c r="S201" s="179" t="str">
        <f t="shared" si="19"/>
        <v/>
      </c>
      <c r="T201" s="269" t="str">
        <f t="shared" si="20"/>
        <v/>
      </c>
      <c r="U201" s="172" t="str">
        <f t="shared" si="17"/>
        <v/>
      </c>
      <c r="V201" s="79"/>
      <c r="W201" s="172" t="str">
        <f>IF(V201="","",IF(VLOOKUP(V201,'G-7 Rivers Data'!$AA$4:$AB$7,2,FALSE)=0,"Spatial Data Missing",VLOOKUP(V201,'G-7 Rivers Data'!$AA$4:$AB$7,2,FALSE)))</f>
        <v/>
      </c>
      <c r="X201" s="187"/>
      <c r="Y201" s="172" t="str">
        <f>IF(X201="","",IF(VLOOKUP(X201,'G-7 Rivers Data'!$AD$4:$AE$8,2,FALSE)=0,"Enrcoachment Data Missing",VLOOKUP(X201,'G-7 Rivers Data'!$AD$4:$AE$8,2,FALSE)))</f>
        <v/>
      </c>
      <c r="Z201" s="186"/>
      <c r="AA201" s="176" t="str">
        <f>IF(Z201="","",VLOOKUP(Z201,'G-7 Rivers Data'!$AO$4:$AP$7,2,FALSE))</f>
        <v/>
      </c>
      <c r="AB201" s="265" t="str">
        <f t="shared" si="18"/>
        <v/>
      </c>
      <c r="AC201" s="180"/>
      <c r="AD201" s="181"/>
      <c r="AK201" s="35" t="str">
        <f>IFERROR(INDEX('G-7 Rivers Data'!$AZ$3:$AZ$7,MATCH(C201,'G-7 Rivers Data'!$AY$3:$AY$7,0)),"")</f>
        <v/>
      </c>
    </row>
    <row r="202" spans="2:37" ht="13.8" x14ac:dyDescent="0.25">
      <c r="B202" s="168">
        <v>191</v>
      </c>
      <c r="C202" s="184"/>
      <c r="D202" s="213"/>
      <c r="E202" s="171" t="str">
        <f>IF(C202="","",VLOOKUP(C202,'G-7 Rivers Data'!$B$2:$Z$9,2,FALSE))</f>
        <v/>
      </c>
      <c r="F202" s="172" t="str">
        <f>IFERROR(VLOOKUP(E202,'G-7 Rivers Data'!$C$4:$D$8,2,FALSE),"")</f>
        <v/>
      </c>
      <c r="G202" s="173"/>
      <c r="H202" s="172" t="str">
        <f>IFERROR(INDEX('G-7 Rivers Data'!$H$4:$L$8,MATCH(C202,'G-7 Rivers Data'!$B$4:$B$8,0),MATCH(G202,'G-7 Rivers Data'!$H$3:$L$3,0)),"")</f>
        <v/>
      </c>
      <c r="I202" s="173"/>
      <c r="J202" s="269" t="str">
        <f>IF(I202="","",IF(VLOOKUP(I202,'G-7 Rivers Data'!$AG$4:$AI$9,2,FALSE)=0,"Spatial Data Missing",VLOOKUP(I202,'G-7 Rivers Data'!$AG$4:$AI$9,2,FALSE)))</f>
        <v/>
      </c>
      <c r="K202" s="172" t="str">
        <f>IF(I202="","",IF(VLOOKUP(I202,'G-7 Rivers Data'!$AG$4:$AI$9,3,FALSE)=0,"Spatial Data Missing",VLOOKUP(I202,'G-7 Rivers Data'!$AG$4:$AI$9,3,FALSE)))</f>
        <v/>
      </c>
      <c r="L202" s="384" t="str">
        <f>IFERROR(INDEX('G-7 Rivers Data'!$O$3:$O$7,MATCH(G202,'G-7 Rivers Data'!$N$3:$N$7,0)),"")</f>
        <v/>
      </c>
      <c r="M202" s="82"/>
      <c r="N202" s="261"/>
      <c r="O202" s="179" t="str">
        <f t="shared" si="13"/>
        <v/>
      </c>
      <c r="P202" s="262" t="str">
        <f t="shared" si="14"/>
        <v/>
      </c>
      <c r="Q202" s="382" t="str">
        <f>IFERROR(IF(P202="Check Data","Check Data",VLOOKUP(P202,'G-4 Temporal multipliers'!$A$4:$C$37,3,FALSE)),"")</f>
        <v/>
      </c>
      <c r="R202" s="171" t="str">
        <f>IF(C202="","",VLOOKUP(C202,'G-7 Rivers Data'!$B$4:$G$8,4,FALSE))</f>
        <v/>
      </c>
      <c r="S202" s="179" t="str">
        <f t="shared" si="19"/>
        <v/>
      </c>
      <c r="T202" s="269" t="str">
        <f t="shared" si="20"/>
        <v/>
      </c>
      <c r="U202" s="172" t="str">
        <f t="shared" si="17"/>
        <v/>
      </c>
      <c r="V202" s="79"/>
      <c r="W202" s="172" t="str">
        <f>IF(V202="","",IF(VLOOKUP(V202,'G-7 Rivers Data'!$AA$4:$AB$7,2,FALSE)=0,"Spatial Data Missing",VLOOKUP(V202,'G-7 Rivers Data'!$AA$4:$AB$7,2,FALSE)))</f>
        <v/>
      </c>
      <c r="X202" s="187"/>
      <c r="Y202" s="172" t="str">
        <f>IF(X202="","",IF(VLOOKUP(X202,'G-7 Rivers Data'!$AD$4:$AE$8,2,FALSE)=0,"Enrcoachment Data Missing",VLOOKUP(X202,'G-7 Rivers Data'!$AD$4:$AE$8,2,FALSE)))</f>
        <v/>
      </c>
      <c r="Z202" s="186"/>
      <c r="AA202" s="176" t="str">
        <f>IF(Z202="","",VLOOKUP(Z202,'G-7 Rivers Data'!$AO$4:$AP$7,2,FALSE))</f>
        <v/>
      </c>
      <c r="AB202" s="265" t="str">
        <f t="shared" si="18"/>
        <v/>
      </c>
      <c r="AC202" s="180"/>
      <c r="AD202" s="181"/>
      <c r="AK202" s="35" t="str">
        <f>IFERROR(INDEX('G-7 Rivers Data'!$AZ$3:$AZ$7,MATCH(C202,'G-7 Rivers Data'!$AY$3:$AY$7,0)),"")</f>
        <v/>
      </c>
    </row>
    <row r="203" spans="2:37" ht="13.8" x14ac:dyDescent="0.25">
      <c r="B203" s="168">
        <v>192</v>
      </c>
      <c r="C203" s="184"/>
      <c r="D203" s="213"/>
      <c r="E203" s="171" t="str">
        <f>IF(C203="","",VLOOKUP(C203,'G-7 Rivers Data'!$B$2:$Z$9,2,FALSE))</f>
        <v/>
      </c>
      <c r="F203" s="172" t="str">
        <f>IFERROR(VLOOKUP(E203,'G-7 Rivers Data'!$C$4:$D$8,2,FALSE),"")</f>
        <v/>
      </c>
      <c r="G203" s="173"/>
      <c r="H203" s="172" t="str">
        <f>IFERROR(INDEX('G-7 Rivers Data'!$H$4:$L$8,MATCH(C203,'G-7 Rivers Data'!$B$4:$B$8,0),MATCH(G203,'G-7 Rivers Data'!$H$3:$L$3,0)),"")</f>
        <v/>
      </c>
      <c r="I203" s="173"/>
      <c r="J203" s="269" t="str">
        <f>IF(I203="","",IF(VLOOKUP(I203,'G-7 Rivers Data'!$AG$4:$AI$9,2,FALSE)=0,"Spatial Data Missing",VLOOKUP(I203,'G-7 Rivers Data'!$AG$4:$AI$9,2,FALSE)))</f>
        <v/>
      </c>
      <c r="K203" s="172" t="str">
        <f>IF(I203="","",IF(VLOOKUP(I203,'G-7 Rivers Data'!$AG$4:$AI$9,3,FALSE)=0,"Spatial Data Missing",VLOOKUP(I203,'G-7 Rivers Data'!$AG$4:$AI$9,3,FALSE)))</f>
        <v/>
      </c>
      <c r="L203" s="384" t="str">
        <f>IFERROR(INDEX('G-7 Rivers Data'!$O$3:$O$7,MATCH(G203,'G-7 Rivers Data'!$N$3:$N$7,0)),"")</f>
        <v/>
      </c>
      <c r="M203" s="82"/>
      <c r="N203" s="261"/>
      <c r="O203" s="179" t="str">
        <f t="shared" si="13"/>
        <v/>
      </c>
      <c r="P203" s="262" t="str">
        <f t="shared" si="14"/>
        <v/>
      </c>
      <c r="Q203" s="382" t="str">
        <f>IFERROR(IF(P203="Check Data","Check Data",VLOOKUP(P203,'G-4 Temporal multipliers'!$A$4:$C$37,3,FALSE)),"")</f>
        <v/>
      </c>
      <c r="R203" s="171" t="str">
        <f>IF(C203="","",VLOOKUP(C203,'G-7 Rivers Data'!$B$4:$G$8,4,FALSE))</f>
        <v/>
      </c>
      <c r="S203" s="179" t="str">
        <f t="shared" si="19"/>
        <v/>
      </c>
      <c r="T203" s="269" t="str">
        <f t="shared" si="20"/>
        <v/>
      </c>
      <c r="U203" s="172" t="str">
        <f t="shared" si="17"/>
        <v/>
      </c>
      <c r="V203" s="79"/>
      <c r="W203" s="172" t="str">
        <f>IF(V203="","",IF(VLOOKUP(V203,'G-7 Rivers Data'!$AA$4:$AB$7,2,FALSE)=0,"Spatial Data Missing",VLOOKUP(V203,'G-7 Rivers Data'!$AA$4:$AB$7,2,FALSE)))</f>
        <v/>
      </c>
      <c r="X203" s="187"/>
      <c r="Y203" s="172" t="str">
        <f>IF(X203="","",IF(VLOOKUP(X203,'G-7 Rivers Data'!$AD$4:$AE$8,2,FALSE)=0,"Enrcoachment Data Missing",VLOOKUP(X203,'G-7 Rivers Data'!$AD$4:$AE$8,2,FALSE)))</f>
        <v/>
      </c>
      <c r="Z203" s="186"/>
      <c r="AA203" s="176" t="str">
        <f>IF(Z203="","",VLOOKUP(Z203,'G-7 Rivers Data'!$AO$4:$AP$7,2,FALSE))</f>
        <v/>
      </c>
      <c r="AB203" s="265" t="str">
        <f t="shared" si="18"/>
        <v/>
      </c>
      <c r="AC203" s="180"/>
      <c r="AD203" s="181"/>
      <c r="AK203" s="35" t="str">
        <f>IFERROR(INDEX('G-7 Rivers Data'!$AZ$3:$AZ$7,MATCH(C203,'G-7 Rivers Data'!$AY$3:$AY$7,0)),"")</f>
        <v/>
      </c>
    </row>
    <row r="204" spans="2:37" ht="13.8" x14ac:dyDescent="0.25">
      <c r="B204" s="168">
        <v>193</v>
      </c>
      <c r="C204" s="184"/>
      <c r="D204" s="213"/>
      <c r="E204" s="171" t="str">
        <f>IF(C204="","",VLOOKUP(C204,'G-7 Rivers Data'!$B$2:$Z$9,2,FALSE))</f>
        <v/>
      </c>
      <c r="F204" s="172" t="str">
        <f>IFERROR(VLOOKUP(E204,'G-7 Rivers Data'!$C$4:$D$8,2,FALSE),"")</f>
        <v/>
      </c>
      <c r="G204" s="173"/>
      <c r="H204" s="172" t="str">
        <f>IFERROR(INDEX('G-7 Rivers Data'!$H$4:$L$8,MATCH(C204,'G-7 Rivers Data'!$B$4:$B$8,0),MATCH(G204,'G-7 Rivers Data'!$H$3:$L$3,0)),"")</f>
        <v/>
      </c>
      <c r="I204" s="173"/>
      <c r="J204" s="269" t="str">
        <f>IF(I204="","",IF(VLOOKUP(I204,'G-7 Rivers Data'!$AG$4:$AI$9,2,FALSE)=0,"Spatial Data Missing",VLOOKUP(I204,'G-7 Rivers Data'!$AG$4:$AI$9,2,FALSE)))</f>
        <v/>
      </c>
      <c r="K204" s="172" t="str">
        <f>IF(I204="","",IF(VLOOKUP(I204,'G-7 Rivers Data'!$AG$4:$AI$9,3,FALSE)=0,"Spatial Data Missing",VLOOKUP(I204,'G-7 Rivers Data'!$AG$4:$AI$9,3,FALSE)))</f>
        <v/>
      </c>
      <c r="L204" s="384" t="str">
        <f>IFERROR(INDEX('G-7 Rivers Data'!$O$3:$O$7,MATCH(G204,'G-7 Rivers Data'!$N$3:$N$7,0)),"")</f>
        <v/>
      </c>
      <c r="M204" s="82"/>
      <c r="N204" s="261"/>
      <c r="O204" s="179" t="str">
        <f t="shared" si="13"/>
        <v/>
      </c>
      <c r="P204" s="262" t="str">
        <f t="shared" si="14"/>
        <v/>
      </c>
      <c r="Q204" s="382" t="str">
        <f>IFERROR(IF(P204="Check Data","Check Data",VLOOKUP(P204,'G-4 Temporal multipliers'!$A$4:$C$37,3,FALSE)),"")</f>
        <v/>
      </c>
      <c r="R204" s="171" t="str">
        <f>IF(C204="","",VLOOKUP(C204,'G-7 Rivers Data'!$B$4:$G$8,4,FALSE))</f>
        <v/>
      </c>
      <c r="S204" s="179" t="str">
        <f t="shared" si="19"/>
        <v/>
      </c>
      <c r="T204" s="269" t="str">
        <f t="shared" si="20"/>
        <v/>
      </c>
      <c r="U204" s="172" t="str">
        <f t="shared" si="17"/>
        <v/>
      </c>
      <c r="V204" s="79"/>
      <c r="W204" s="172" t="str">
        <f>IF(V204="","",IF(VLOOKUP(V204,'G-7 Rivers Data'!$AA$4:$AB$7,2,FALSE)=0,"Spatial Data Missing",VLOOKUP(V204,'G-7 Rivers Data'!$AA$4:$AB$7,2,FALSE)))</f>
        <v/>
      </c>
      <c r="X204" s="187"/>
      <c r="Y204" s="172" t="str">
        <f>IF(X204="","",IF(VLOOKUP(X204,'G-7 Rivers Data'!$AD$4:$AE$8,2,FALSE)=0,"Enrcoachment Data Missing",VLOOKUP(X204,'G-7 Rivers Data'!$AD$4:$AE$8,2,FALSE)))</f>
        <v/>
      </c>
      <c r="Z204" s="186"/>
      <c r="AA204" s="176" t="str">
        <f>IF(Z204="","",VLOOKUP(Z204,'G-7 Rivers Data'!$AO$4:$AP$7,2,FALSE))</f>
        <v/>
      </c>
      <c r="AB204" s="265" t="str">
        <f t="shared" si="18"/>
        <v/>
      </c>
      <c r="AC204" s="180"/>
      <c r="AD204" s="181"/>
      <c r="AK204" s="35" t="str">
        <f>IFERROR(INDEX('G-7 Rivers Data'!$AZ$3:$AZ$7,MATCH(C204,'G-7 Rivers Data'!$AY$3:$AY$7,0)),"")</f>
        <v/>
      </c>
    </row>
    <row r="205" spans="2:37" ht="13.8" x14ac:dyDescent="0.25">
      <c r="B205" s="168">
        <v>194</v>
      </c>
      <c r="C205" s="184"/>
      <c r="D205" s="213"/>
      <c r="E205" s="171" t="str">
        <f>IF(C205="","",VLOOKUP(C205,'G-7 Rivers Data'!$B$2:$Z$9,2,FALSE))</f>
        <v/>
      </c>
      <c r="F205" s="172" t="str">
        <f>IFERROR(VLOOKUP(E205,'G-7 Rivers Data'!$C$4:$D$8,2,FALSE),"")</f>
        <v/>
      </c>
      <c r="G205" s="173"/>
      <c r="H205" s="172" t="str">
        <f>IFERROR(INDEX('G-7 Rivers Data'!$H$4:$L$8,MATCH(C205,'G-7 Rivers Data'!$B$4:$B$8,0),MATCH(G205,'G-7 Rivers Data'!$H$3:$L$3,0)),"")</f>
        <v/>
      </c>
      <c r="I205" s="173"/>
      <c r="J205" s="269" t="str">
        <f>IF(I205="","",IF(VLOOKUP(I205,'G-7 Rivers Data'!$AG$4:$AI$9,2,FALSE)=0,"Spatial Data Missing",VLOOKUP(I205,'G-7 Rivers Data'!$AG$4:$AI$9,2,FALSE)))</f>
        <v/>
      </c>
      <c r="K205" s="172" t="str">
        <f>IF(I205="","",IF(VLOOKUP(I205,'G-7 Rivers Data'!$AG$4:$AI$9,3,FALSE)=0,"Spatial Data Missing",VLOOKUP(I205,'G-7 Rivers Data'!$AG$4:$AI$9,3,FALSE)))</f>
        <v/>
      </c>
      <c r="L205" s="384" t="str">
        <f>IFERROR(INDEX('G-7 Rivers Data'!$O$3:$O$7,MATCH(G205,'G-7 Rivers Data'!$N$3:$N$7,0)),"")</f>
        <v/>
      </c>
      <c r="M205" s="82"/>
      <c r="N205" s="261"/>
      <c r="O205" s="179" t="str">
        <f t="shared" ref="O205:O259" si="21">IF(L205="","",IF(AND(M205&gt;0,N205&gt;0),"Error -both advance and delayed habitat creation",IF(AND(OR(M205="Habitat already in target condition",L205&lt;=M205),N205=0),"Check details - Is there evidence that habitat has reached target condition?",IF(M205&gt;0,"Check details - Is there evidence habitat creation started/in place?",IF(N205&gt;0,"Check details- Delay in starting habitat in required condition?","Standard time to target condition applied")))))</f>
        <v/>
      </c>
      <c r="P205" s="262" t="str">
        <f t="shared" ref="P205:P259" si="22">IF(LEFT(O205,5)="Error","Check Data",IF(L205="","",IF(M205="30+",0,IF(N205="30+","30+",IF(L205+N205&gt;30,"30+",IF(L205+N205-M205&gt;0,L205+N205-M205,IF(L205-M205&lt;0,0,L205+N205-M205)))))))</f>
        <v/>
      </c>
      <c r="Q205" s="382" t="str">
        <f>IFERROR(IF(P205="Check Data","Check Data",VLOOKUP(P205,'G-4 Temporal multipliers'!$A$4:$C$37,3,FALSE)),"")</f>
        <v/>
      </c>
      <c r="R205" s="171" t="str">
        <f>IF(C205="","",VLOOKUP(C205,'G-7 Rivers Data'!$B$4:$G$8,4,FALSE))</f>
        <v/>
      </c>
      <c r="S205" s="179" t="str">
        <f t="shared" si="19"/>
        <v/>
      </c>
      <c r="T205" s="269" t="str">
        <f t="shared" si="20"/>
        <v/>
      </c>
      <c r="U205" s="172" t="str">
        <f t="shared" ref="U205:U259" si="23">IF(C205="","",VLOOKUP(R205,Difficulty,2,FALSE))</f>
        <v/>
      </c>
      <c r="V205" s="79"/>
      <c r="W205" s="172" t="str">
        <f>IF(V205="","",IF(VLOOKUP(V205,'G-7 Rivers Data'!$AA$4:$AB$7,2,FALSE)=0,"Spatial Data Missing",VLOOKUP(V205,'G-7 Rivers Data'!$AA$4:$AB$7,2,FALSE)))</f>
        <v/>
      </c>
      <c r="X205" s="187"/>
      <c r="Y205" s="172" t="str">
        <f>IF(X205="","",IF(VLOOKUP(X205,'G-7 Rivers Data'!$AD$4:$AE$8,2,FALSE)=0,"Enrcoachment Data Missing",VLOOKUP(X205,'G-7 Rivers Data'!$AD$4:$AE$8,2,FALSE)))</f>
        <v/>
      </c>
      <c r="Z205" s="186"/>
      <c r="AA205" s="176" t="str">
        <f>IF(Z205="","",VLOOKUP(Z205,'G-7 Rivers Data'!$AO$4:$AP$7,2,FALSE))</f>
        <v/>
      </c>
      <c r="AB205" s="265" t="str">
        <f t="shared" ref="AB205:AB259" si="24">IFERROR(D205*F205*H205*K205*Q205*U205*W205*Y205*AA205,"")</f>
        <v/>
      </c>
      <c r="AC205" s="180"/>
      <c r="AD205" s="181"/>
      <c r="AK205" s="35" t="str">
        <f>IFERROR(INDEX('G-7 Rivers Data'!$AZ$3:$AZ$7,MATCH(C205,'G-7 Rivers Data'!$AY$3:$AY$7,0)),"")</f>
        <v/>
      </c>
    </row>
    <row r="206" spans="2:37" ht="13.8" x14ac:dyDescent="0.25">
      <c r="B206" s="168">
        <v>195</v>
      </c>
      <c r="C206" s="184"/>
      <c r="D206" s="213"/>
      <c r="E206" s="171" t="str">
        <f>IF(C206="","",VLOOKUP(C206,'G-7 Rivers Data'!$B$2:$Z$9,2,FALSE))</f>
        <v/>
      </c>
      <c r="F206" s="172" t="str">
        <f>IFERROR(VLOOKUP(E206,'G-7 Rivers Data'!$C$4:$D$8,2,FALSE),"")</f>
        <v/>
      </c>
      <c r="G206" s="173"/>
      <c r="H206" s="172" t="str">
        <f>IFERROR(INDEX('G-7 Rivers Data'!$H$4:$L$8,MATCH(C206,'G-7 Rivers Data'!$B$4:$B$8,0),MATCH(G206,'G-7 Rivers Data'!$H$3:$L$3,0)),"")</f>
        <v/>
      </c>
      <c r="I206" s="173"/>
      <c r="J206" s="269" t="str">
        <f>IF(I206="","",IF(VLOOKUP(I206,'G-7 Rivers Data'!$AG$4:$AI$9,2,FALSE)=0,"Spatial Data Missing",VLOOKUP(I206,'G-7 Rivers Data'!$AG$4:$AI$9,2,FALSE)))</f>
        <v/>
      </c>
      <c r="K206" s="172" t="str">
        <f>IF(I206="","",IF(VLOOKUP(I206,'G-7 Rivers Data'!$AG$4:$AI$9,3,FALSE)=0,"Spatial Data Missing",VLOOKUP(I206,'G-7 Rivers Data'!$AG$4:$AI$9,3,FALSE)))</f>
        <v/>
      </c>
      <c r="L206" s="384" t="str">
        <f>IFERROR(INDEX('G-7 Rivers Data'!$O$3:$O$7,MATCH(G206,'G-7 Rivers Data'!$N$3:$N$7,0)),"")</f>
        <v/>
      </c>
      <c r="M206" s="82"/>
      <c r="N206" s="261"/>
      <c r="O206" s="179" t="str">
        <f t="shared" si="21"/>
        <v/>
      </c>
      <c r="P206" s="262" t="str">
        <f t="shared" si="22"/>
        <v/>
      </c>
      <c r="Q206" s="382" t="str">
        <f>IFERROR(IF(P206="Check Data","Check Data",VLOOKUP(P206,'G-4 Temporal multipliers'!$A$4:$C$37,3,FALSE)),"")</f>
        <v/>
      </c>
      <c r="R206" s="171" t="str">
        <f>IF(C206="","",VLOOKUP(C206,'G-7 Rivers Data'!$B$4:$G$8,4,FALSE))</f>
        <v/>
      </c>
      <c r="S206" s="179" t="str">
        <f t="shared" si="19"/>
        <v/>
      </c>
      <c r="T206" s="269" t="str">
        <f t="shared" si="20"/>
        <v/>
      </c>
      <c r="U206" s="172" t="str">
        <f t="shared" si="23"/>
        <v/>
      </c>
      <c r="V206" s="79"/>
      <c r="W206" s="172" t="str">
        <f>IF(V206="","",IF(VLOOKUP(V206,'G-7 Rivers Data'!$AA$4:$AB$7,2,FALSE)=0,"Spatial Data Missing",VLOOKUP(V206,'G-7 Rivers Data'!$AA$4:$AB$7,2,FALSE)))</f>
        <v/>
      </c>
      <c r="X206" s="187"/>
      <c r="Y206" s="172" t="str">
        <f>IF(X206="","",IF(VLOOKUP(X206,'G-7 Rivers Data'!$AD$4:$AE$8,2,FALSE)=0,"Enrcoachment Data Missing",VLOOKUP(X206,'G-7 Rivers Data'!$AD$4:$AE$8,2,FALSE)))</f>
        <v/>
      </c>
      <c r="Z206" s="186"/>
      <c r="AA206" s="176" t="str">
        <f>IF(Z206="","",VLOOKUP(Z206,'G-7 Rivers Data'!$AO$4:$AP$7,2,FALSE))</f>
        <v/>
      </c>
      <c r="AB206" s="265" t="str">
        <f t="shared" si="24"/>
        <v/>
      </c>
      <c r="AC206" s="180"/>
      <c r="AD206" s="181"/>
      <c r="AK206" s="35" t="str">
        <f>IFERROR(INDEX('G-7 Rivers Data'!$AZ$3:$AZ$7,MATCH(C206,'G-7 Rivers Data'!$AY$3:$AY$7,0)),"")</f>
        <v/>
      </c>
    </row>
    <row r="207" spans="2:37" ht="13.8" x14ac:dyDescent="0.25">
      <c r="B207" s="168">
        <v>196</v>
      </c>
      <c r="C207" s="184"/>
      <c r="D207" s="213"/>
      <c r="E207" s="171" t="str">
        <f>IF(C207="","",VLOOKUP(C207,'G-7 Rivers Data'!$B$2:$Z$9,2,FALSE))</f>
        <v/>
      </c>
      <c r="F207" s="172" t="str">
        <f>IFERROR(VLOOKUP(E207,'G-7 Rivers Data'!$C$4:$D$8,2,FALSE),"")</f>
        <v/>
      </c>
      <c r="G207" s="173"/>
      <c r="H207" s="172" t="str">
        <f>IFERROR(INDEX('G-7 Rivers Data'!$H$4:$L$8,MATCH(C207,'G-7 Rivers Data'!$B$4:$B$8,0),MATCH(G207,'G-7 Rivers Data'!$H$3:$L$3,0)),"")</f>
        <v/>
      </c>
      <c r="I207" s="173"/>
      <c r="J207" s="269" t="str">
        <f>IF(I207="","",IF(VLOOKUP(I207,'G-7 Rivers Data'!$AG$4:$AI$9,2,FALSE)=0,"Spatial Data Missing",VLOOKUP(I207,'G-7 Rivers Data'!$AG$4:$AI$9,2,FALSE)))</f>
        <v/>
      </c>
      <c r="K207" s="172" t="str">
        <f>IF(I207="","",IF(VLOOKUP(I207,'G-7 Rivers Data'!$AG$4:$AI$9,3,FALSE)=0,"Spatial Data Missing",VLOOKUP(I207,'G-7 Rivers Data'!$AG$4:$AI$9,3,FALSE)))</f>
        <v/>
      </c>
      <c r="L207" s="384" t="str">
        <f>IFERROR(INDEX('G-7 Rivers Data'!$O$3:$O$7,MATCH(G207,'G-7 Rivers Data'!$N$3:$N$7,0)),"")</f>
        <v/>
      </c>
      <c r="M207" s="82"/>
      <c r="N207" s="261"/>
      <c r="O207" s="179" t="str">
        <f t="shared" si="21"/>
        <v/>
      </c>
      <c r="P207" s="262" t="str">
        <f t="shared" si="22"/>
        <v/>
      </c>
      <c r="Q207" s="382" t="str">
        <f>IFERROR(IF(P207="Check Data","Check Data",VLOOKUP(P207,'G-4 Temporal multipliers'!$A$4:$C$37,3,FALSE)),"")</f>
        <v/>
      </c>
      <c r="R207" s="171" t="str">
        <f>IF(C207="","",VLOOKUP(C207,'G-7 Rivers Data'!$B$4:$G$8,4,FALSE))</f>
        <v/>
      </c>
      <c r="S207" s="179" t="str">
        <f t="shared" si="19"/>
        <v/>
      </c>
      <c r="T207" s="269" t="str">
        <f t="shared" si="20"/>
        <v/>
      </c>
      <c r="U207" s="172" t="str">
        <f t="shared" si="23"/>
        <v/>
      </c>
      <c r="V207" s="79"/>
      <c r="W207" s="172" t="str">
        <f>IF(V207="","",IF(VLOOKUP(V207,'G-7 Rivers Data'!$AA$4:$AB$7,2,FALSE)=0,"Spatial Data Missing",VLOOKUP(V207,'G-7 Rivers Data'!$AA$4:$AB$7,2,FALSE)))</f>
        <v/>
      </c>
      <c r="X207" s="187"/>
      <c r="Y207" s="172" t="str">
        <f>IF(X207="","",IF(VLOOKUP(X207,'G-7 Rivers Data'!$AD$4:$AE$8,2,FALSE)=0,"Enrcoachment Data Missing",VLOOKUP(X207,'G-7 Rivers Data'!$AD$4:$AE$8,2,FALSE)))</f>
        <v/>
      </c>
      <c r="Z207" s="186"/>
      <c r="AA207" s="176" t="str">
        <f>IF(Z207="","",VLOOKUP(Z207,'G-7 Rivers Data'!$AO$4:$AP$7,2,FALSE))</f>
        <v/>
      </c>
      <c r="AB207" s="265" t="str">
        <f t="shared" si="24"/>
        <v/>
      </c>
      <c r="AC207" s="180"/>
      <c r="AD207" s="181"/>
      <c r="AK207" s="35" t="str">
        <f>IFERROR(INDEX('G-7 Rivers Data'!$AZ$3:$AZ$7,MATCH(C207,'G-7 Rivers Data'!$AY$3:$AY$7,0)),"")</f>
        <v/>
      </c>
    </row>
    <row r="208" spans="2:37" ht="13.8" x14ac:dyDescent="0.25">
      <c r="B208" s="168">
        <v>197</v>
      </c>
      <c r="C208" s="184"/>
      <c r="D208" s="213"/>
      <c r="E208" s="171" t="str">
        <f>IF(C208="","",VLOOKUP(C208,'G-7 Rivers Data'!$B$2:$Z$9,2,FALSE))</f>
        <v/>
      </c>
      <c r="F208" s="172" t="str">
        <f>IFERROR(VLOOKUP(E208,'G-7 Rivers Data'!$C$4:$D$8,2,FALSE),"")</f>
        <v/>
      </c>
      <c r="G208" s="173"/>
      <c r="H208" s="172" t="str">
        <f>IFERROR(INDEX('G-7 Rivers Data'!$H$4:$L$8,MATCH(C208,'G-7 Rivers Data'!$B$4:$B$8,0),MATCH(G208,'G-7 Rivers Data'!$H$3:$L$3,0)),"")</f>
        <v/>
      </c>
      <c r="I208" s="173"/>
      <c r="J208" s="269" t="str">
        <f>IF(I208="","",IF(VLOOKUP(I208,'G-7 Rivers Data'!$AG$4:$AI$9,2,FALSE)=0,"Spatial Data Missing",VLOOKUP(I208,'G-7 Rivers Data'!$AG$4:$AI$9,2,FALSE)))</f>
        <v/>
      </c>
      <c r="K208" s="172" t="str">
        <f>IF(I208="","",IF(VLOOKUP(I208,'G-7 Rivers Data'!$AG$4:$AI$9,3,FALSE)=0,"Spatial Data Missing",VLOOKUP(I208,'G-7 Rivers Data'!$AG$4:$AI$9,3,FALSE)))</f>
        <v/>
      </c>
      <c r="L208" s="384" t="str">
        <f>IFERROR(INDEX('G-7 Rivers Data'!$O$3:$O$7,MATCH(G208,'G-7 Rivers Data'!$N$3:$N$7,0)),"")</f>
        <v/>
      </c>
      <c r="M208" s="82"/>
      <c r="N208" s="261"/>
      <c r="O208" s="179" t="str">
        <f t="shared" si="21"/>
        <v/>
      </c>
      <c r="P208" s="262" t="str">
        <f t="shared" si="22"/>
        <v/>
      </c>
      <c r="Q208" s="382" t="str">
        <f>IFERROR(IF(P208="Check Data","Check Data",VLOOKUP(P208,'G-4 Temporal multipliers'!$A$4:$C$37,3,FALSE)),"")</f>
        <v/>
      </c>
      <c r="R208" s="171" t="str">
        <f>IF(C208="","",VLOOKUP(C208,'G-7 Rivers Data'!$B$4:$G$8,4,FALSE))</f>
        <v/>
      </c>
      <c r="S208" s="179" t="str">
        <f t="shared" si="19"/>
        <v/>
      </c>
      <c r="T208" s="269" t="str">
        <f t="shared" si="20"/>
        <v/>
      </c>
      <c r="U208" s="172" t="str">
        <f t="shared" si="23"/>
        <v/>
      </c>
      <c r="V208" s="79"/>
      <c r="W208" s="172" t="str">
        <f>IF(V208="","",IF(VLOOKUP(V208,'G-7 Rivers Data'!$AA$4:$AB$7,2,FALSE)=0,"Spatial Data Missing",VLOOKUP(V208,'G-7 Rivers Data'!$AA$4:$AB$7,2,FALSE)))</f>
        <v/>
      </c>
      <c r="X208" s="187"/>
      <c r="Y208" s="172" t="str">
        <f>IF(X208="","",IF(VLOOKUP(X208,'G-7 Rivers Data'!$AD$4:$AE$8,2,FALSE)=0,"Enrcoachment Data Missing",VLOOKUP(X208,'G-7 Rivers Data'!$AD$4:$AE$8,2,FALSE)))</f>
        <v/>
      </c>
      <c r="Z208" s="186"/>
      <c r="AA208" s="176" t="str">
        <f>IF(Z208="","",VLOOKUP(Z208,'G-7 Rivers Data'!$AO$4:$AP$7,2,FALSE))</f>
        <v/>
      </c>
      <c r="AB208" s="265" t="str">
        <f t="shared" si="24"/>
        <v/>
      </c>
      <c r="AC208" s="180"/>
      <c r="AD208" s="181"/>
      <c r="AK208" s="35" t="str">
        <f>IFERROR(INDEX('G-7 Rivers Data'!$AZ$3:$AZ$7,MATCH(C208,'G-7 Rivers Data'!$AY$3:$AY$7,0)),"")</f>
        <v/>
      </c>
    </row>
    <row r="209" spans="2:37" ht="13.8" x14ac:dyDescent="0.25">
      <c r="B209" s="168">
        <v>198</v>
      </c>
      <c r="C209" s="184"/>
      <c r="D209" s="213"/>
      <c r="E209" s="171" t="str">
        <f>IF(C209="","",VLOOKUP(C209,'G-7 Rivers Data'!$B$2:$Z$9,2,FALSE))</f>
        <v/>
      </c>
      <c r="F209" s="172" t="str">
        <f>IFERROR(VLOOKUP(E209,'G-7 Rivers Data'!$C$4:$D$8,2,FALSE),"")</f>
        <v/>
      </c>
      <c r="G209" s="173"/>
      <c r="H209" s="172" t="str">
        <f>IFERROR(INDEX('G-7 Rivers Data'!$H$4:$L$8,MATCH(C209,'G-7 Rivers Data'!$B$4:$B$8,0),MATCH(G209,'G-7 Rivers Data'!$H$3:$L$3,0)),"")</f>
        <v/>
      </c>
      <c r="I209" s="173"/>
      <c r="J209" s="269" t="str">
        <f>IF(I209="","",IF(VLOOKUP(I209,'G-7 Rivers Data'!$AG$4:$AI$9,2,FALSE)=0,"Spatial Data Missing",VLOOKUP(I209,'G-7 Rivers Data'!$AG$4:$AI$9,2,FALSE)))</f>
        <v/>
      </c>
      <c r="K209" s="172" t="str">
        <f>IF(I209="","",IF(VLOOKUP(I209,'G-7 Rivers Data'!$AG$4:$AI$9,3,FALSE)=0,"Spatial Data Missing",VLOOKUP(I209,'G-7 Rivers Data'!$AG$4:$AI$9,3,FALSE)))</f>
        <v/>
      </c>
      <c r="L209" s="384" t="str">
        <f>IFERROR(INDEX('G-7 Rivers Data'!$O$3:$O$7,MATCH(G209,'G-7 Rivers Data'!$N$3:$N$7,0)),"")</f>
        <v/>
      </c>
      <c r="M209" s="82"/>
      <c r="N209" s="261"/>
      <c r="O209" s="179" t="str">
        <f t="shared" si="21"/>
        <v/>
      </c>
      <c r="P209" s="262" t="str">
        <f t="shared" si="22"/>
        <v/>
      </c>
      <c r="Q209" s="382" t="str">
        <f>IFERROR(IF(P209="Check Data","Check Data",VLOOKUP(P209,'G-4 Temporal multipliers'!$A$4:$C$37,3,FALSE)),"")</f>
        <v/>
      </c>
      <c r="R209" s="171" t="str">
        <f>IF(C209="","",VLOOKUP(C209,'G-7 Rivers Data'!$B$4:$G$8,4,FALSE))</f>
        <v/>
      </c>
      <c r="S209" s="179" t="str">
        <f t="shared" si="19"/>
        <v/>
      </c>
      <c r="T209" s="269" t="str">
        <f t="shared" si="20"/>
        <v/>
      </c>
      <c r="U209" s="172" t="str">
        <f t="shared" si="23"/>
        <v/>
      </c>
      <c r="V209" s="79"/>
      <c r="W209" s="172" t="str">
        <f>IF(V209="","",IF(VLOOKUP(V209,'G-7 Rivers Data'!$AA$4:$AB$7,2,FALSE)=0,"Spatial Data Missing",VLOOKUP(V209,'G-7 Rivers Data'!$AA$4:$AB$7,2,FALSE)))</f>
        <v/>
      </c>
      <c r="X209" s="187"/>
      <c r="Y209" s="172" t="str">
        <f>IF(X209="","",IF(VLOOKUP(X209,'G-7 Rivers Data'!$AD$4:$AE$8,2,FALSE)=0,"Enrcoachment Data Missing",VLOOKUP(X209,'G-7 Rivers Data'!$AD$4:$AE$8,2,FALSE)))</f>
        <v/>
      </c>
      <c r="Z209" s="186"/>
      <c r="AA209" s="176" t="str">
        <f>IF(Z209="","",VLOOKUP(Z209,'G-7 Rivers Data'!$AO$4:$AP$7,2,FALSE))</f>
        <v/>
      </c>
      <c r="AB209" s="265" t="str">
        <f t="shared" si="24"/>
        <v/>
      </c>
      <c r="AC209" s="180"/>
      <c r="AD209" s="181"/>
      <c r="AK209" s="35" t="str">
        <f>IFERROR(INDEX('G-7 Rivers Data'!$AZ$3:$AZ$7,MATCH(C209,'G-7 Rivers Data'!$AY$3:$AY$7,0)),"")</f>
        <v/>
      </c>
    </row>
    <row r="210" spans="2:37" ht="13.8" x14ac:dyDescent="0.25">
      <c r="B210" s="168">
        <v>199</v>
      </c>
      <c r="C210" s="184"/>
      <c r="D210" s="213"/>
      <c r="E210" s="171" t="str">
        <f>IF(C210="","",VLOOKUP(C210,'G-7 Rivers Data'!$B$2:$Z$9,2,FALSE))</f>
        <v/>
      </c>
      <c r="F210" s="172" t="str">
        <f>IFERROR(VLOOKUP(E210,'G-7 Rivers Data'!$C$4:$D$8,2,FALSE),"")</f>
        <v/>
      </c>
      <c r="G210" s="173"/>
      <c r="H210" s="172" t="str">
        <f>IFERROR(INDEX('G-7 Rivers Data'!$H$4:$L$8,MATCH(C210,'G-7 Rivers Data'!$B$4:$B$8,0),MATCH(G210,'G-7 Rivers Data'!$H$3:$L$3,0)),"")</f>
        <v/>
      </c>
      <c r="I210" s="173"/>
      <c r="J210" s="269" t="str">
        <f>IF(I210="","",IF(VLOOKUP(I210,'G-7 Rivers Data'!$AG$4:$AI$9,2,FALSE)=0,"Spatial Data Missing",VLOOKUP(I210,'G-7 Rivers Data'!$AG$4:$AI$9,2,FALSE)))</f>
        <v/>
      </c>
      <c r="K210" s="172" t="str">
        <f>IF(I210="","",IF(VLOOKUP(I210,'G-7 Rivers Data'!$AG$4:$AI$9,3,FALSE)=0,"Spatial Data Missing",VLOOKUP(I210,'G-7 Rivers Data'!$AG$4:$AI$9,3,FALSE)))</f>
        <v/>
      </c>
      <c r="L210" s="384" t="str">
        <f>IFERROR(INDEX('G-7 Rivers Data'!$O$3:$O$7,MATCH(G210,'G-7 Rivers Data'!$N$3:$N$7,0)),"")</f>
        <v/>
      </c>
      <c r="M210" s="82"/>
      <c r="N210" s="261"/>
      <c r="O210" s="179" t="str">
        <f t="shared" si="21"/>
        <v/>
      </c>
      <c r="P210" s="262" t="str">
        <f t="shared" si="22"/>
        <v/>
      </c>
      <c r="Q210" s="382" t="str">
        <f>IFERROR(IF(P210="Check Data","Check Data",VLOOKUP(P210,'G-4 Temporal multipliers'!$A$4:$C$37,3,FALSE)),"")</f>
        <v/>
      </c>
      <c r="R210" s="171" t="str">
        <f>IF(C210="","",VLOOKUP(C210,'G-7 Rivers Data'!$B$4:$G$8,4,FALSE))</f>
        <v/>
      </c>
      <c r="S210" s="179" t="str">
        <f t="shared" si="19"/>
        <v/>
      </c>
      <c r="T210" s="269" t="str">
        <f t="shared" si="20"/>
        <v/>
      </c>
      <c r="U210" s="172" t="str">
        <f t="shared" si="23"/>
        <v/>
      </c>
      <c r="V210" s="79"/>
      <c r="W210" s="172" t="str">
        <f>IF(V210="","",IF(VLOOKUP(V210,'G-7 Rivers Data'!$AA$4:$AB$7,2,FALSE)=0,"Spatial Data Missing",VLOOKUP(V210,'G-7 Rivers Data'!$AA$4:$AB$7,2,FALSE)))</f>
        <v/>
      </c>
      <c r="X210" s="187"/>
      <c r="Y210" s="172" t="str">
        <f>IF(X210="","",IF(VLOOKUP(X210,'G-7 Rivers Data'!$AD$4:$AE$8,2,FALSE)=0,"Enrcoachment Data Missing",VLOOKUP(X210,'G-7 Rivers Data'!$AD$4:$AE$8,2,FALSE)))</f>
        <v/>
      </c>
      <c r="Z210" s="186"/>
      <c r="AA210" s="176" t="str">
        <f>IF(Z210="","",VLOOKUP(Z210,'G-7 Rivers Data'!$AO$4:$AP$7,2,FALSE))</f>
        <v/>
      </c>
      <c r="AB210" s="265" t="str">
        <f t="shared" si="24"/>
        <v/>
      </c>
      <c r="AC210" s="180"/>
      <c r="AD210" s="181"/>
      <c r="AK210" s="35" t="str">
        <f>IFERROR(INDEX('G-7 Rivers Data'!$AZ$3:$AZ$7,MATCH(C210,'G-7 Rivers Data'!$AY$3:$AY$7,0)),"")</f>
        <v/>
      </c>
    </row>
    <row r="211" spans="2:37" ht="13.8" x14ac:dyDescent="0.25">
      <c r="B211" s="168">
        <v>200</v>
      </c>
      <c r="C211" s="184"/>
      <c r="D211" s="213"/>
      <c r="E211" s="171" t="str">
        <f>IF(C211="","",VLOOKUP(C211,'G-7 Rivers Data'!$B$2:$Z$9,2,FALSE))</f>
        <v/>
      </c>
      <c r="F211" s="172" t="str">
        <f>IFERROR(VLOOKUP(E211,'G-7 Rivers Data'!$C$4:$D$8,2,FALSE),"")</f>
        <v/>
      </c>
      <c r="G211" s="173"/>
      <c r="H211" s="172" t="str">
        <f>IFERROR(INDEX('G-7 Rivers Data'!$H$4:$L$8,MATCH(C211,'G-7 Rivers Data'!$B$4:$B$8,0),MATCH(G211,'G-7 Rivers Data'!$H$3:$L$3,0)),"")</f>
        <v/>
      </c>
      <c r="I211" s="173"/>
      <c r="J211" s="269" t="str">
        <f>IF(I211="","",IF(VLOOKUP(I211,'G-7 Rivers Data'!$AG$4:$AI$9,2,FALSE)=0,"Spatial Data Missing",VLOOKUP(I211,'G-7 Rivers Data'!$AG$4:$AI$9,2,FALSE)))</f>
        <v/>
      </c>
      <c r="K211" s="172" t="str">
        <f>IF(I211="","",IF(VLOOKUP(I211,'G-7 Rivers Data'!$AG$4:$AI$9,3,FALSE)=0,"Spatial Data Missing",VLOOKUP(I211,'G-7 Rivers Data'!$AG$4:$AI$9,3,FALSE)))</f>
        <v/>
      </c>
      <c r="L211" s="384" t="str">
        <f>IFERROR(INDEX('G-7 Rivers Data'!$O$3:$O$7,MATCH(G211,'G-7 Rivers Data'!$N$3:$N$7,0)),"")</f>
        <v/>
      </c>
      <c r="M211" s="82"/>
      <c r="N211" s="261"/>
      <c r="O211" s="179" t="str">
        <f t="shared" si="21"/>
        <v/>
      </c>
      <c r="P211" s="262" t="str">
        <f t="shared" si="22"/>
        <v/>
      </c>
      <c r="Q211" s="382" t="str">
        <f>IFERROR(IF(P211="Check Data","Check Data",VLOOKUP(P211,'G-4 Temporal multipliers'!$A$4:$C$37,3,FALSE)),"")</f>
        <v/>
      </c>
      <c r="R211" s="171" t="str">
        <f>IF(C211="","",VLOOKUP(C211,'G-7 Rivers Data'!$B$4:$G$8,4,FALSE))</f>
        <v/>
      </c>
      <c r="S211" s="179" t="str">
        <f t="shared" si="19"/>
        <v/>
      </c>
      <c r="T211" s="269" t="str">
        <f t="shared" si="20"/>
        <v/>
      </c>
      <c r="U211" s="172" t="str">
        <f t="shared" si="23"/>
        <v/>
      </c>
      <c r="V211" s="79"/>
      <c r="W211" s="172" t="str">
        <f>IF(V211="","",IF(VLOOKUP(V211,'G-7 Rivers Data'!$AA$4:$AB$7,2,FALSE)=0,"Spatial Data Missing",VLOOKUP(V211,'G-7 Rivers Data'!$AA$4:$AB$7,2,FALSE)))</f>
        <v/>
      </c>
      <c r="X211" s="187"/>
      <c r="Y211" s="172" t="str">
        <f>IF(X211="","",IF(VLOOKUP(X211,'G-7 Rivers Data'!$AD$4:$AE$8,2,FALSE)=0,"Enrcoachment Data Missing",VLOOKUP(X211,'G-7 Rivers Data'!$AD$4:$AE$8,2,FALSE)))</f>
        <v/>
      </c>
      <c r="Z211" s="186"/>
      <c r="AA211" s="176" t="str">
        <f>IF(Z211="","",VLOOKUP(Z211,'G-7 Rivers Data'!$AO$4:$AP$7,2,FALSE))</f>
        <v/>
      </c>
      <c r="AB211" s="265" t="str">
        <f t="shared" si="24"/>
        <v/>
      </c>
      <c r="AC211" s="180"/>
      <c r="AD211" s="181"/>
      <c r="AK211" s="35" t="str">
        <f>IFERROR(INDEX('G-7 Rivers Data'!$AZ$3:$AZ$7,MATCH(C211,'G-7 Rivers Data'!$AY$3:$AY$7,0)),"")</f>
        <v/>
      </c>
    </row>
    <row r="212" spans="2:37" ht="13.8" x14ac:dyDescent="0.25">
      <c r="B212" s="168">
        <v>201</v>
      </c>
      <c r="C212" s="184"/>
      <c r="D212" s="213"/>
      <c r="E212" s="171" t="str">
        <f>IF(C212="","",VLOOKUP(C212,'G-7 Rivers Data'!$B$2:$Z$9,2,FALSE))</f>
        <v/>
      </c>
      <c r="F212" s="172" t="str">
        <f>IFERROR(VLOOKUP(E212,'G-7 Rivers Data'!$C$4:$D$8,2,FALSE),"")</f>
        <v/>
      </c>
      <c r="G212" s="173"/>
      <c r="H212" s="172" t="str">
        <f>IFERROR(INDEX('G-7 Rivers Data'!$H$4:$L$8,MATCH(C212,'G-7 Rivers Data'!$B$4:$B$8,0),MATCH(G212,'G-7 Rivers Data'!$H$3:$L$3,0)),"")</f>
        <v/>
      </c>
      <c r="I212" s="173"/>
      <c r="J212" s="269" t="str">
        <f>IF(I212="","",IF(VLOOKUP(I212,'G-7 Rivers Data'!$AG$4:$AI$9,2,FALSE)=0,"Spatial Data Missing",VLOOKUP(I212,'G-7 Rivers Data'!$AG$4:$AI$9,2,FALSE)))</f>
        <v/>
      </c>
      <c r="K212" s="172" t="str">
        <f>IF(I212="","",IF(VLOOKUP(I212,'G-7 Rivers Data'!$AG$4:$AI$9,3,FALSE)=0,"Spatial Data Missing",VLOOKUP(I212,'G-7 Rivers Data'!$AG$4:$AI$9,3,FALSE)))</f>
        <v/>
      </c>
      <c r="L212" s="384" t="str">
        <f>IFERROR(INDEX('G-7 Rivers Data'!$O$3:$O$7,MATCH(G212,'G-7 Rivers Data'!$N$3:$N$7,0)),"")</f>
        <v/>
      </c>
      <c r="M212" s="82"/>
      <c r="N212" s="261"/>
      <c r="O212" s="179" t="str">
        <f t="shared" si="21"/>
        <v/>
      </c>
      <c r="P212" s="262" t="str">
        <f t="shared" si="22"/>
        <v/>
      </c>
      <c r="Q212" s="382" t="str">
        <f>IFERROR(IF(P212="Check Data","Check Data",VLOOKUP(P212,'G-4 Temporal multipliers'!$A$4:$C$37,3,FALSE)),"")</f>
        <v/>
      </c>
      <c r="R212" s="171" t="str">
        <f>IF(C212="","",VLOOKUP(C212,'G-7 Rivers Data'!$B$4:$G$8,4,FALSE))</f>
        <v/>
      </c>
      <c r="S212" s="179" t="str">
        <f t="shared" si="19"/>
        <v/>
      </c>
      <c r="T212" s="269" t="str">
        <f t="shared" si="20"/>
        <v/>
      </c>
      <c r="U212" s="172" t="str">
        <f t="shared" si="23"/>
        <v/>
      </c>
      <c r="V212" s="79"/>
      <c r="W212" s="172" t="str">
        <f>IF(V212="","",IF(VLOOKUP(V212,'G-7 Rivers Data'!$AA$4:$AB$7,2,FALSE)=0,"Spatial Data Missing",VLOOKUP(V212,'G-7 Rivers Data'!$AA$4:$AB$7,2,FALSE)))</f>
        <v/>
      </c>
      <c r="X212" s="187"/>
      <c r="Y212" s="172" t="str">
        <f>IF(X212="","",IF(VLOOKUP(X212,'G-7 Rivers Data'!$AD$4:$AE$8,2,FALSE)=0,"Enrcoachment Data Missing",VLOOKUP(X212,'G-7 Rivers Data'!$AD$4:$AE$8,2,FALSE)))</f>
        <v/>
      </c>
      <c r="Z212" s="186"/>
      <c r="AA212" s="176" t="str">
        <f>IF(Z212="","",VLOOKUP(Z212,'G-7 Rivers Data'!$AO$4:$AP$7,2,FALSE))</f>
        <v/>
      </c>
      <c r="AB212" s="265" t="str">
        <f t="shared" si="24"/>
        <v/>
      </c>
      <c r="AC212" s="180"/>
      <c r="AD212" s="181"/>
      <c r="AK212" s="35" t="str">
        <f>IFERROR(INDEX('G-7 Rivers Data'!$AZ$3:$AZ$7,MATCH(C212,'G-7 Rivers Data'!$AY$3:$AY$7,0)),"")</f>
        <v/>
      </c>
    </row>
    <row r="213" spans="2:37" ht="13.8" x14ac:dyDescent="0.25">
      <c r="B213" s="168">
        <v>202</v>
      </c>
      <c r="C213" s="184"/>
      <c r="D213" s="213"/>
      <c r="E213" s="171" t="str">
        <f>IF(C213="","",VLOOKUP(C213,'G-7 Rivers Data'!$B$2:$Z$9,2,FALSE))</f>
        <v/>
      </c>
      <c r="F213" s="172" t="str">
        <f>IFERROR(VLOOKUP(E213,'G-7 Rivers Data'!$C$4:$D$8,2,FALSE),"")</f>
        <v/>
      </c>
      <c r="G213" s="173"/>
      <c r="H213" s="172" t="str">
        <f>IFERROR(INDEX('G-7 Rivers Data'!$H$4:$L$8,MATCH(C213,'G-7 Rivers Data'!$B$4:$B$8,0),MATCH(G213,'G-7 Rivers Data'!$H$3:$L$3,0)),"")</f>
        <v/>
      </c>
      <c r="I213" s="173"/>
      <c r="J213" s="269" t="str">
        <f>IF(I213="","",IF(VLOOKUP(I213,'G-7 Rivers Data'!$AG$4:$AI$9,2,FALSE)=0,"Spatial Data Missing",VLOOKUP(I213,'G-7 Rivers Data'!$AG$4:$AI$9,2,FALSE)))</f>
        <v/>
      </c>
      <c r="K213" s="172" t="str">
        <f>IF(I213="","",IF(VLOOKUP(I213,'G-7 Rivers Data'!$AG$4:$AI$9,3,FALSE)=0,"Spatial Data Missing",VLOOKUP(I213,'G-7 Rivers Data'!$AG$4:$AI$9,3,FALSE)))</f>
        <v/>
      </c>
      <c r="L213" s="384" t="str">
        <f>IFERROR(INDEX('G-7 Rivers Data'!$O$3:$O$7,MATCH(G213,'G-7 Rivers Data'!$N$3:$N$7,0)),"")</f>
        <v/>
      </c>
      <c r="M213" s="82"/>
      <c r="N213" s="261"/>
      <c r="O213" s="179" t="str">
        <f t="shared" si="21"/>
        <v/>
      </c>
      <c r="P213" s="262" t="str">
        <f t="shared" si="22"/>
        <v/>
      </c>
      <c r="Q213" s="382" t="str">
        <f>IFERROR(IF(P213="Check Data","Check Data",VLOOKUP(P213,'G-4 Temporal multipliers'!$A$4:$C$37,3,FALSE)),"")</f>
        <v/>
      </c>
      <c r="R213" s="171" t="str">
        <f>IF(C213="","",VLOOKUP(C213,'G-7 Rivers Data'!$B$4:$G$8,4,FALSE))</f>
        <v/>
      </c>
      <c r="S213" s="179" t="str">
        <f t="shared" si="19"/>
        <v/>
      </c>
      <c r="T213" s="269" t="str">
        <f t="shared" si="20"/>
        <v/>
      </c>
      <c r="U213" s="172" t="str">
        <f t="shared" si="23"/>
        <v/>
      </c>
      <c r="V213" s="79"/>
      <c r="W213" s="172" t="str">
        <f>IF(V213="","",IF(VLOOKUP(V213,'G-7 Rivers Data'!$AA$4:$AB$7,2,FALSE)=0,"Spatial Data Missing",VLOOKUP(V213,'G-7 Rivers Data'!$AA$4:$AB$7,2,FALSE)))</f>
        <v/>
      </c>
      <c r="X213" s="187"/>
      <c r="Y213" s="172" t="str">
        <f>IF(X213="","",IF(VLOOKUP(X213,'G-7 Rivers Data'!$AD$4:$AE$8,2,FALSE)=0,"Enrcoachment Data Missing",VLOOKUP(X213,'G-7 Rivers Data'!$AD$4:$AE$8,2,FALSE)))</f>
        <v/>
      </c>
      <c r="Z213" s="186"/>
      <c r="AA213" s="176" t="str">
        <f>IF(Z213="","",VLOOKUP(Z213,'G-7 Rivers Data'!$AO$4:$AP$7,2,FALSE))</f>
        <v/>
      </c>
      <c r="AB213" s="265" t="str">
        <f t="shared" si="24"/>
        <v/>
      </c>
      <c r="AC213" s="180"/>
      <c r="AD213" s="181"/>
      <c r="AK213" s="35" t="str">
        <f>IFERROR(INDEX('G-7 Rivers Data'!$AZ$3:$AZ$7,MATCH(C213,'G-7 Rivers Data'!$AY$3:$AY$7,0)),"")</f>
        <v/>
      </c>
    </row>
    <row r="214" spans="2:37" ht="13.8" x14ac:dyDescent="0.25">
      <c r="B214" s="168">
        <v>203</v>
      </c>
      <c r="C214" s="184"/>
      <c r="D214" s="213"/>
      <c r="E214" s="171" t="str">
        <f>IF(C214="","",VLOOKUP(C214,'G-7 Rivers Data'!$B$2:$Z$9,2,FALSE))</f>
        <v/>
      </c>
      <c r="F214" s="172" t="str">
        <f>IFERROR(VLOOKUP(E214,'G-7 Rivers Data'!$C$4:$D$8,2,FALSE),"")</f>
        <v/>
      </c>
      <c r="G214" s="173"/>
      <c r="H214" s="172" t="str">
        <f>IFERROR(INDEX('G-7 Rivers Data'!$H$4:$L$8,MATCH(C214,'G-7 Rivers Data'!$B$4:$B$8,0),MATCH(G214,'G-7 Rivers Data'!$H$3:$L$3,0)),"")</f>
        <v/>
      </c>
      <c r="I214" s="173"/>
      <c r="J214" s="269" t="str">
        <f>IF(I214="","",IF(VLOOKUP(I214,'G-7 Rivers Data'!$AG$4:$AI$9,2,FALSE)=0,"Spatial Data Missing",VLOOKUP(I214,'G-7 Rivers Data'!$AG$4:$AI$9,2,FALSE)))</f>
        <v/>
      </c>
      <c r="K214" s="172" t="str">
        <f>IF(I214="","",IF(VLOOKUP(I214,'G-7 Rivers Data'!$AG$4:$AI$9,3,FALSE)=0,"Spatial Data Missing",VLOOKUP(I214,'G-7 Rivers Data'!$AG$4:$AI$9,3,FALSE)))</f>
        <v/>
      </c>
      <c r="L214" s="384" t="str">
        <f>IFERROR(INDEX('G-7 Rivers Data'!$O$3:$O$7,MATCH(G214,'G-7 Rivers Data'!$N$3:$N$7,0)),"")</f>
        <v/>
      </c>
      <c r="M214" s="82"/>
      <c r="N214" s="261"/>
      <c r="O214" s="179" t="str">
        <f t="shared" si="21"/>
        <v/>
      </c>
      <c r="P214" s="262" t="str">
        <f t="shared" si="22"/>
        <v/>
      </c>
      <c r="Q214" s="382" t="str">
        <f>IFERROR(IF(P214="Check Data","Check Data",VLOOKUP(P214,'G-4 Temporal multipliers'!$A$4:$C$37,3,FALSE)),"")</f>
        <v/>
      </c>
      <c r="R214" s="171" t="str">
        <f>IF(C214="","",VLOOKUP(C214,'G-7 Rivers Data'!$B$4:$G$8,4,FALSE))</f>
        <v/>
      </c>
      <c r="S214" s="179" t="str">
        <f t="shared" si="19"/>
        <v/>
      </c>
      <c r="T214" s="269" t="str">
        <f t="shared" si="20"/>
        <v/>
      </c>
      <c r="U214" s="172" t="str">
        <f t="shared" si="23"/>
        <v/>
      </c>
      <c r="V214" s="79"/>
      <c r="W214" s="172" t="str">
        <f>IF(V214="","",IF(VLOOKUP(V214,'G-7 Rivers Data'!$AA$4:$AB$7,2,FALSE)=0,"Spatial Data Missing",VLOOKUP(V214,'G-7 Rivers Data'!$AA$4:$AB$7,2,FALSE)))</f>
        <v/>
      </c>
      <c r="X214" s="187"/>
      <c r="Y214" s="172" t="str">
        <f>IF(X214="","",IF(VLOOKUP(X214,'G-7 Rivers Data'!$AD$4:$AE$8,2,FALSE)=0,"Enrcoachment Data Missing",VLOOKUP(X214,'G-7 Rivers Data'!$AD$4:$AE$8,2,FALSE)))</f>
        <v/>
      </c>
      <c r="Z214" s="186"/>
      <c r="AA214" s="176" t="str">
        <f>IF(Z214="","",VLOOKUP(Z214,'G-7 Rivers Data'!$AO$4:$AP$7,2,FALSE))</f>
        <v/>
      </c>
      <c r="AB214" s="265" t="str">
        <f t="shared" si="24"/>
        <v/>
      </c>
      <c r="AC214" s="180"/>
      <c r="AD214" s="181"/>
      <c r="AK214" s="35" t="str">
        <f>IFERROR(INDEX('G-7 Rivers Data'!$AZ$3:$AZ$7,MATCH(C214,'G-7 Rivers Data'!$AY$3:$AY$7,0)),"")</f>
        <v/>
      </c>
    </row>
    <row r="215" spans="2:37" ht="13.8" x14ac:dyDescent="0.25">
      <c r="B215" s="168">
        <v>204</v>
      </c>
      <c r="C215" s="184"/>
      <c r="D215" s="213"/>
      <c r="E215" s="171" t="str">
        <f>IF(C215="","",VLOOKUP(C215,'G-7 Rivers Data'!$B$2:$Z$9,2,FALSE))</f>
        <v/>
      </c>
      <c r="F215" s="172" t="str">
        <f>IFERROR(VLOOKUP(E215,'G-7 Rivers Data'!$C$4:$D$8,2,FALSE),"")</f>
        <v/>
      </c>
      <c r="G215" s="173"/>
      <c r="H215" s="172" t="str">
        <f>IFERROR(INDEX('G-7 Rivers Data'!$H$4:$L$8,MATCH(C215,'G-7 Rivers Data'!$B$4:$B$8,0),MATCH(G215,'G-7 Rivers Data'!$H$3:$L$3,0)),"")</f>
        <v/>
      </c>
      <c r="I215" s="173"/>
      <c r="J215" s="269" t="str">
        <f>IF(I215="","",IF(VLOOKUP(I215,'G-7 Rivers Data'!$AG$4:$AI$9,2,FALSE)=0,"Spatial Data Missing",VLOOKUP(I215,'G-7 Rivers Data'!$AG$4:$AI$9,2,FALSE)))</f>
        <v/>
      </c>
      <c r="K215" s="172" t="str">
        <f>IF(I215="","",IF(VLOOKUP(I215,'G-7 Rivers Data'!$AG$4:$AI$9,3,FALSE)=0,"Spatial Data Missing",VLOOKUP(I215,'G-7 Rivers Data'!$AG$4:$AI$9,3,FALSE)))</f>
        <v/>
      </c>
      <c r="L215" s="384" t="str">
        <f>IFERROR(INDEX('G-7 Rivers Data'!$O$3:$O$7,MATCH(G215,'G-7 Rivers Data'!$N$3:$N$7,0)),"")</f>
        <v/>
      </c>
      <c r="M215" s="82"/>
      <c r="N215" s="261"/>
      <c r="O215" s="179" t="str">
        <f t="shared" si="21"/>
        <v/>
      </c>
      <c r="P215" s="262" t="str">
        <f t="shared" si="22"/>
        <v/>
      </c>
      <c r="Q215" s="382" t="str">
        <f>IFERROR(IF(P215="Check Data","Check Data",VLOOKUP(P215,'G-4 Temporal multipliers'!$A$4:$C$37,3,FALSE)),"")</f>
        <v/>
      </c>
      <c r="R215" s="171" t="str">
        <f>IF(C215="","",VLOOKUP(C215,'G-7 Rivers Data'!$B$4:$G$8,4,FALSE))</f>
        <v/>
      </c>
      <c r="S215" s="179" t="str">
        <f t="shared" si="19"/>
        <v/>
      </c>
      <c r="T215" s="269" t="str">
        <f t="shared" si="20"/>
        <v/>
      </c>
      <c r="U215" s="172" t="str">
        <f t="shared" si="23"/>
        <v/>
      </c>
      <c r="V215" s="79"/>
      <c r="W215" s="172" t="str">
        <f>IF(V215="","",IF(VLOOKUP(V215,'G-7 Rivers Data'!$AA$4:$AB$7,2,FALSE)=0,"Spatial Data Missing",VLOOKUP(V215,'G-7 Rivers Data'!$AA$4:$AB$7,2,FALSE)))</f>
        <v/>
      </c>
      <c r="X215" s="187"/>
      <c r="Y215" s="172" t="str">
        <f>IF(X215="","",IF(VLOOKUP(X215,'G-7 Rivers Data'!$AD$4:$AE$8,2,FALSE)=0,"Enrcoachment Data Missing",VLOOKUP(X215,'G-7 Rivers Data'!$AD$4:$AE$8,2,FALSE)))</f>
        <v/>
      </c>
      <c r="Z215" s="186"/>
      <c r="AA215" s="176" t="str">
        <f>IF(Z215="","",VLOOKUP(Z215,'G-7 Rivers Data'!$AO$4:$AP$7,2,FALSE))</f>
        <v/>
      </c>
      <c r="AB215" s="265" t="str">
        <f t="shared" si="24"/>
        <v/>
      </c>
      <c r="AC215" s="180"/>
      <c r="AD215" s="181"/>
      <c r="AK215" s="35" t="str">
        <f>IFERROR(INDEX('G-7 Rivers Data'!$AZ$3:$AZ$7,MATCH(C215,'G-7 Rivers Data'!$AY$3:$AY$7,0)),"")</f>
        <v/>
      </c>
    </row>
    <row r="216" spans="2:37" ht="13.8" x14ac:dyDescent="0.25">
      <c r="B216" s="168">
        <v>205</v>
      </c>
      <c r="C216" s="184"/>
      <c r="D216" s="213"/>
      <c r="E216" s="171" t="str">
        <f>IF(C216="","",VLOOKUP(C216,'G-7 Rivers Data'!$B$2:$Z$9,2,FALSE))</f>
        <v/>
      </c>
      <c r="F216" s="172" t="str">
        <f>IFERROR(VLOOKUP(E216,'G-7 Rivers Data'!$C$4:$D$8,2,FALSE),"")</f>
        <v/>
      </c>
      <c r="G216" s="173"/>
      <c r="H216" s="172" t="str">
        <f>IFERROR(INDEX('G-7 Rivers Data'!$H$4:$L$8,MATCH(C216,'G-7 Rivers Data'!$B$4:$B$8,0),MATCH(G216,'G-7 Rivers Data'!$H$3:$L$3,0)),"")</f>
        <v/>
      </c>
      <c r="I216" s="173"/>
      <c r="J216" s="269" t="str">
        <f>IF(I216="","",IF(VLOOKUP(I216,'G-7 Rivers Data'!$AG$4:$AI$9,2,FALSE)=0,"Spatial Data Missing",VLOOKUP(I216,'G-7 Rivers Data'!$AG$4:$AI$9,2,FALSE)))</f>
        <v/>
      </c>
      <c r="K216" s="172" t="str">
        <f>IF(I216="","",IF(VLOOKUP(I216,'G-7 Rivers Data'!$AG$4:$AI$9,3,FALSE)=0,"Spatial Data Missing",VLOOKUP(I216,'G-7 Rivers Data'!$AG$4:$AI$9,3,FALSE)))</f>
        <v/>
      </c>
      <c r="L216" s="384" t="str">
        <f>IFERROR(INDEX('G-7 Rivers Data'!$O$3:$O$7,MATCH(G216,'G-7 Rivers Data'!$N$3:$N$7,0)),"")</f>
        <v/>
      </c>
      <c r="M216" s="82"/>
      <c r="N216" s="261"/>
      <c r="O216" s="179" t="str">
        <f t="shared" si="21"/>
        <v/>
      </c>
      <c r="P216" s="262" t="str">
        <f t="shared" si="22"/>
        <v/>
      </c>
      <c r="Q216" s="382" t="str">
        <f>IFERROR(IF(P216="Check Data","Check Data",VLOOKUP(P216,'G-4 Temporal multipliers'!$A$4:$C$37,3,FALSE)),"")</f>
        <v/>
      </c>
      <c r="R216" s="171" t="str">
        <f>IF(C216="","",VLOOKUP(C216,'G-7 Rivers Data'!$B$4:$G$8,4,FALSE))</f>
        <v/>
      </c>
      <c r="S216" s="179" t="str">
        <f t="shared" si="19"/>
        <v/>
      </c>
      <c r="T216" s="269" t="str">
        <f t="shared" si="20"/>
        <v/>
      </c>
      <c r="U216" s="172" t="str">
        <f t="shared" si="23"/>
        <v/>
      </c>
      <c r="V216" s="79"/>
      <c r="W216" s="172" t="str">
        <f>IF(V216="","",IF(VLOOKUP(V216,'G-7 Rivers Data'!$AA$4:$AB$7,2,FALSE)=0,"Spatial Data Missing",VLOOKUP(V216,'G-7 Rivers Data'!$AA$4:$AB$7,2,FALSE)))</f>
        <v/>
      </c>
      <c r="X216" s="187"/>
      <c r="Y216" s="172" t="str">
        <f>IF(X216="","",IF(VLOOKUP(X216,'G-7 Rivers Data'!$AD$4:$AE$8,2,FALSE)=0,"Enrcoachment Data Missing",VLOOKUP(X216,'G-7 Rivers Data'!$AD$4:$AE$8,2,FALSE)))</f>
        <v/>
      </c>
      <c r="Z216" s="186"/>
      <c r="AA216" s="176" t="str">
        <f>IF(Z216="","",VLOOKUP(Z216,'G-7 Rivers Data'!$AO$4:$AP$7,2,FALSE))</f>
        <v/>
      </c>
      <c r="AB216" s="265" t="str">
        <f t="shared" si="24"/>
        <v/>
      </c>
      <c r="AC216" s="180"/>
      <c r="AD216" s="181"/>
      <c r="AK216" s="35" t="str">
        <f>IFERROR(INDEX('G-7 Rivers Data'!$AZ$3:$AZ$7,MATCH(C216,'G-7 Rivers Data'!$AY$3:$AY$7,0)),"")</f>
        <v/>
      </c>
    </row>
    <row r="217" spans="2:37" ht="13.8" x14ac:dyDescent="0.25">
      <c r="B217" s="168">
        <v>206</v>
      </c>
      <c r="C217" s="184"/>
      <c r="D217" s="213"/>
      <c r="E217" s="171" t="str">
        <f>IF(C217="","",VLOOKUP(C217,'G-7 Rivers Data'!$B$2:$Z$9,2,FALSE))</f>
        <v/>
      </c>
      <c r="F217" s="172" t="str">
        <f>IFERROR(VLOOKUP(E217,'G-7 Rivers Data'!$C$4:$D$8,2,FALSE),"")</f>
        <v/>
      </c>
      <c r="G217" s="173"/>
      <c r="H217" s="172" t="str">
        <f>IFERROR(INDEX('G-7 Rivers Data'!$H$4:$L$8,MATCH(C217,'G-7 Rivers Data'!$B$4:$B$8,0),MATCH(G217,'G-7 Rivers Data'!$H$3:$L$3,0)),"")</f>
        <v/>
      </c>
      <c r="I217" s="173"/>
      <c r="J217" s="269" t="str">
        <f>IF(I217="","",IF(VLOOKUP(I217,'G-7 Rivers Data'!$AG$4:$AI$9,2,FALSE)=0,"Spatial Data Missing",VLOOKUP(I217,'G-7 Rivers Data'!$AG$4:$AI$9,2,FALSE)))</f>
        <v/>
      </c>
      <c r="K217" s="172" t="str">
        <f>IF(I217="","",IF(VLOOKUP(I217,'G-7 Rivers Data'!$AG$4:$AI$9,3,FALSE)=0,"Spatial Data Missing",VLOOKUP(I217,'G-7 Rivers Data'!$AG$4:$AI$9,3,FALSE)))</f>
        <v/>
      </c>
      <c r="L217" s="384" t="str">
        <f>IFERROR(INDEX('G-7 Rivers Data'!$O$3:$O$7,MATCH(G217,'G-7 Rivers Data'!$N$3:$N$7,0)),"")</f>
        <v/>
      </c>
      <c r="M217" s="82"/>
      <c r="N217" s="261"/>
      <c r="O217" s="179" t="str">
        <f t="shared" si="21"/>
        <v/>
      </c>
      <c r="P217" s="262" t="str">
        <f t="shared" si="22"/>
        <v/>
      </c>
      <c r="Q217" s="382" t="str">
        <f>IFERROR(IF(P217="Check Data","Check Data",VLOOKUP(P217,'G-4 Temporal multipliers'!$A$4:$C$37,3,FALSE)),"")</f>
        <v/>
      </c>
      <c r="R217" s="171" t="str">
        <f>IF(C217="","",VLOOKUP(C217,'G-7 Rivers Data'!$B$4:$G$8,4,FALSE))</f>
        <v/>
      </c>
      <c r="S217" s="179" t="str">
        <f t="shared" si="19"/>
        <v/>
      </c>
      <c r="T217" s="269" t="str">
        <f t="shared" si="20"/>
        <v/>
      </c>
      <c r="U217" s="172" t="str">
        <f t="shared" si="23"/>
        <v/>
      </c>
      <c r="V217" s="79"/>
      <c r="W217" s="172" t="str">
        <f>IF(V217="","",IF(VLOOKUP(V217,'G-7 Rivers Data'!$AA$4:$AB$7,2,FALSE)=0,"Spatial Data Missing",VLOOKUP(V217,'G-7 Rivers Data'!$AA$4:$AB$7,2,FALSE)))</f>
        <v/>
      </c>
      <c r="X217" s="187"/>
      <c r="Y217" s="172" t="str">
        <f>IF(X217="","",IF(VLOOKUP(X217,'G-7 Rivers Data'!$AD$4:$AE$8,2,FALSE)=0,"Enrcoachment Data Missing",VLOOKUP(X217,'G-7 Rivers Data'!$AD$4:$AE$8,2,FALSE)))</f>
        <v/>
      </c>
      <c r="Z217" s="186"/>
      <c r="AA217" s="176" t="str">
        <f>IF(Z217="","",VLOOKUP(Z217,'G-7 Rivers Data'!$AO$4:$AP$7,2,FALSE))</f>
        <v/>
      </c>
      <c r="AB217" s="265" t="str">
        <f t="shared" si="24"/>
        <v/>
      </c>
      <c r="AC217" s="180"/>
      <c r="AD217" s="181"/>
      <c r="AK217" s="35" t="str">
        <f>IFERROR(INDEX('G-7 Rivers Data'!$AZ$3:$AZ$7,MATCH(C217,'G-7 Rivers Data'!$AY$3:$AY$7,0)),"")</f>
        <v/>
      </c>
    </row>
    <row r="218" spans="2:37" ht="13.8" x14ac:dyDescent="0.25">
      <c r="B218" s="168">
        <v>207</v>
      </c>
      <c r="C218" s="184"/>
      <c r="D218" s="213"/>
      <c r="E218" s="171" t="str">
        <f>IF(C218="","",VLOOKUP(C218,'G-7 Rivers Data'!$B$2:$Z$9,2,FALSE))</f>
        <v/>
      </c>
      <c r="F218" s="172" t="str">
        <f>IFERROR(VLOOKUP(E218,'G-7 Rivers Data'!$C$4:$D$8,2,FALSE),"")</f>
        <v/>
      </c>
      <c r="G218" s="173"/>
      <c r="H218" s="172" t="str">
        <f>IFERROR(INDEX('G-7 Rivers Data'!$H$4:$L$8,MATCH(C218,'G-7 Rivers Data'!$B$4:$B$8,0),MATCH(G218,'G-7 Rivers Data'!$H$3:$L$3,0)),"")</f>
        <v/>
      </c>
      <c r="I218" s="173"/>
      <c r="J218" s="269" t="str">
        <f>IF(I218="","",IF(VLOOKUP(I218,'G-7 Rivers Data'!$AG$4:$AI$9,2,FALSE)=0,"Spatial Data Missing",VLOOKUP(I218,'G-7 Rivers Data'!$AG$4:$AI$9,2,FALSE)))</f>
        <v/>
      </c>
      <c r="K218" s="172" t="str">
        <f>IF(I218="","",IF(VLOOKUP(I218,'G-7 Rivers Data'!$AG$4:$AI$9,3,FALSE)=0,"Spatial Data Missing",VLOOKUP(I218,'G-7 Rivers Data'!$AG$4:$AI$9,3,FALSE)))</f>
        <v/>
      </c>
      <c r="L218" s="384" t="str">
        <f>IFERROR(INDEX('G-7 Rivers Data'!$O$3:$O$7,MATCH(G218,'G-7 Rivers Data'!$N$3:$N$7,0)),"")</f>
        <v/>
      </c>
      <c r="M218" s="82"/>
      <c r="N218" s="261"/>
      <c r="O218" s="179" t="str">
        <f t="shared" si="21"/>
        <v/>
      </c>
      <c r="P218" s="262" t="str">
        <f t="shared" si="22"/>
        <v/>
      </c>
      <c r="Q218" s="382" t="str">
        <f>IFERROR(IF(P218="Check Data","Check Data",VLOOKUP(P218,'G-4 Temporal multipliers'!$A$4:$C$37,3,FALSE)),"")</f>
        <v/>
      </c>
      <c r="R218" s="171" t="str">
        <f>IF(C218="","",VLOOKUP(C218,'G-7 Rivers Data'!$B$4:$G$8,4,FALSE))</f>
        <v/>
      </c>
      <c r="S218" s="179" t="str">
        <f t="shared" si="19"/>
        <v/>
      </c>
      <c r="T218" s="269" t="str">
        <f t="shared" si="20"/>
        <v/>
      </c>
      <c r="U218" s="172" t="str">
        <f t="shared" si="23"/>
        <v/>
      </c>
      <c r="V218" s="79"/>
      <c r="W218" s="172" t="str">
        <f>IF(V218="","",IF(VLOOKUP(V218,'G-7 Rivers Data'!$AA$4:$AB$7,2,FALSE)=0,"Spatial Data Missing",VLOOKUP(V218,'G-7 Rivers Data'!$AA$4:$AB$7,2,FALSE)))</f>
        <v/>
      </c>
      <c r="X218" s="187"/>
      <c r="Y218" s="172" t="str">
        <f>IF(X218="","",IF(VLOOKUP(X218,'G-7 Rivers Data'!$AD$4:$AE$8,2,FALSE)=0,"Enrcoachment Data Missing",VLOOKUP(X218,'G-7 Rivers Data'!$AD$4:$AE$8,2,FALSE)))</f>
        <v/>
      </c>
      <c r="Z218" s="186"/>
      <c r="AA218" s="176" t="str">
        <f>IF(Z218="","",VLOOKUP(Z218,'G-7 Rivers Data'!$AO$4:$AP$7,2,FALSE))</f>
        <v/>
      </c>
      <c r="AB218" s="265" t="str">
        <f t="shared" si="24"/>
        <v/>
      </c>
      <c r="AC218" s="180"/>
      <c r="AD218" s="181"/>
      <c r="AK218" s="35" t="str">
        <f>IFERROR(INDEX('G-7 Rivers Data'!$AZ$3:$AZ$7,MATCH(C218,'G-7 Rivers Data'!$AY$3:$AY$7,0)),"")</f>
        <v/>
      </c>
    </row>
    <row r="219" spans="2:37" ht="13.8" x14ac:dyDescent="0.25">
      <c r="B219" s="168">
        <v>208</v>
      </c>
      <c r="C219" s="184"/>
      <c r="D219" s="213"/>
      <c r="E219" s="171" t="str">
        <f>IF(C219="","",VLOOKUP(C219,'G-7 Rivers Data'!$B$2:$Z$9,2,FALSE))</f>
        <v/>
      </c>
      <c r="F219" s="172" t="str">
        <f>IFERROR(VLOOKUP(E219,'G-7 Rivers Data'!$C$4:$D$8,2,FALSE),"")</f>
        <v/>
      </c>
      <c r="G219" s="173"/>
      <c r="H219" s="172" t="str">
        <f>IFERROR(INDEX('G-7 Rivers Data'!$H$4:$L$8,MATCH(C219,'G-7 Rivers Data'!$B$4:$B$8,0),MATCH(G219,'G-7 Rivers Data'!$H$3:$L$3,0)),"")</f>
        <v/>
      </c>
      <c r="I219" s="173"/>
      <c r="J219" s="269" t="str">
        <f>IF(I219="","",IF(VLOOKUP(I219,'G-7 Rivers Data'!$AG$4:$AI$9,2,FALSE)=0,"Spatial Data Missing",VLOOKUP(I219,'G-7 Rivers Data'!$AG$4:$AI$9,2,FALSE)))</f>
        <v/>
      </c>
      <c r="K219" s="172" t="str">
        <f>IF(I219="","",IF(VLOOKUP(I219,'G-7 Rivers Data'!$AG$4:$AI$9,3,FALSE)=0,"Spatial Data Missing",VLOOKUP(I219,'G-7 Rivers Data'!$AG$4:$AI$9,3,FALSE)))</f>
        <v/>
      </c>
      <c r="L219" s="384" t="str">
        <f>IFERROR(INDEX('G-7 Rivers Data'!$O$3:$O$7,MATCH(G219,'G-7 Rivers Data'!$N$3:$N$7,0)),"")</f>
        <v/>
      </c>
      <c r="M219" s="82"/>
      <c r="N219" s="261"/>
      <c r="O219" s="179" t="str">
        <f t="shared" si="21"/>
        <v/>
      </c>
      <c r="P219" s="262" t="str">
        <f t="shared" si="22"/>
        <v/>
      </c>
      <c r="Q219" s="382" t="str">
        <f>IFERROR(IF(P219="Check Data","Check Data",VLOOKUP(P219,'G-4 Temporal multipliers'!$A$4:$C$37,3,FALSE)),"")</f>
        <v/>
      </c>
      <c r="R219" s="171" t="str">
        <f>IF(C219="","",VLOOKUP(C219,'G-7 Rivers Data'!$B$4:$G$8,4,FALSE))</f>
        <v/>
      </c>
      <c r="S219" s="179" t="str">
        <f t="shared" si="19"/>
        <v/>
      </c>
      <c r="T219" s="269" t="str">
        <f t="shared" si="20"/>
        <v/>
      </c>
      <c r="U219" s="172" t="str">
        <f t="shared" si="23"/>
        <v/>
      </c>
      <c r="V219" s="79"/>
      <c r="W219" s="172" t="str">
        <f>IF(V219="","",IF(VLOOKUP(V219,'G-7 Rivers Data'!$AA$4:$AB$7,2,FALSE)=0,"Spatial Data Missing",VLOOKUP(V219,'G-7 Rivers Data'!$AA$4:$AB$7,2,FALSE)))</f>
        <v/>
      </c>
      <c r="X219" s="187"/>
      <c r="Y219" s="172" t="str">
        <f>IF(X219="","",IF(VLOOKUP(X219,'G-7 Rivers Data'!$AD$4:$AE$8,2,FALSE)=0,"Enrcoachment Data Missing",VLOOKUP(X219,'G-7 Rivers Data'!$AD$4:$AE$8,2,FALSE)))</f>
        <v/>
      </c>
      <c r="Z219" s="186"/>
      <c r="AA219" s="176" t="str">
        <f>IF(Z219="","",VLOOKUP(Z219,'G-7 Rivers Data'!$AO$4:$AP$7,2,FALSE))</f>
        <v/>
      </c>
      <c r="AB219" s="265" t="str">
        <f t="shared" si="24"/>
        <v/>
      </c>
      <c r="AC219" s="180"/>
      <c r="AD219" s="181"/>
      <c r="AK219" s="35" t="str">
        <f>IFERROR(INDEX('G-7 Rivers Data'!$AZ$3:$AZ$7,MATCH(C219,'G-7 Rivers Data'!$AY$3:$AY$7,0)),"")</f>
        <v/>
      </c>
    </row>
    <row r="220" spans="2:37" ht="13.8" x14ac:dyDescent="0.25">
      <c r="B220" s="168">
        <v>209</v>
      </c>
      <c r="C220" s="184"/>
      <c r="D220" s="213"/>
      <c r="E220" s="171" t="str">
        <f>IF(C220="","",VLOOKUP(C220,'G-7 Rivers Data'!$B$2:$Z$9,2,FALSE))</f>
        <v/>
      </c>
      <c r="F220" s="172" t="str">
        <f>IFERROR(VLOOKUP(E220,'G-7 Rivers Data'!$C$4:$D$8,2,FALSE),"")</f>
        <v/>
      </c>
      <c r="G220" s="173"/>
      <c r="H220" s="172" t="str">
        <f>IFERROR(INDEX('G-7 Rivers Data'!$H$4:$L$8,MATCH(C220,'G-7 Rivers Data'!$B$4:$B$8,0),MATCH(G220,'G-7 Rivers Data'!$H$3:$L$3,0)),"")</f>
        <v/>
      </c>
      <c r="I220" s="173"/>
      <c r="J220" s="269" t="str">
        <f>IF(I220="","",IF(VLOOKUP(I220,'G-7 Rivers Data'!$AG$4:$AI$9,2,FALSE)=0,"Spatial Data Missing",VLOOKUP(I220,'G-7 Rivers Data'!$AG$4:$AI$9,2,FALSE)))</f>
        <v/>
      </c>
      <c r="K220" s="172" t="str">
        <f>IF(I220="","",IF(VLOOKUP(I220,'G-7 Rivers Data'!$AG$4:$AI$9,3,FALSE)=0,"Spatial Data Missing",VLOOKUP(I220,'G-7 Rivers Data'!$AG$4:$AI$9,3,FALSE)))</f>
        <v/>
      </c>
      <c r="L220" s="384" t="str">
        <f>IFERROR(INDEX('G-7 Rivers Data'!$O$3:$O$7,MATCH(G220,'G-7 Rivers Data'!$N$3:$N$7,0)),"")</f>
        <v/>
      </c>
      <c r="M220" s="82"/>
      <c r="N220" s="261"/>
      <c r="O220" s="179" t="str">
        <f t="shared" si="21"/>
        <v/>
      </c>
      <c r="P220" s="262" t="str">
        <f t="shared" si="22"/>
        <v/>
      </c>
      <c r="Q220" s="382" t="str">
        <f>IFERROR(IF(P220="Check Data","Check Data",VLOOKUP(P220,'G-4 Temporal multipliers'!$A$4:$C$37,3,FALSE)),"")</f>
        <v/>
      </c>
      <c r="R220" s="171" t="str">
        <f>IF(C220="","",VLOOKUP(C220,'G-7 Rivers Data'!$B$4:$G$8,4,FALSE))</f>
        <v/>
      </c>
      <c r="S220" s="179" t="str">
        <f t="shared" si="19"/>
        <v/>
      </c>
      <c r="T220" s="269" t="str">
        <f t="shared" si="20"/>
        <v/>
      </c>
      <c r="U220" s="172" t="str">
        <f t="shared" si="23"/>
        <v/>
      </c>
      <c r="V220" s="79"/>
      <c r="W220" s="172" t="str">
        <f>IF(V220="","",IF(VLOOKUP(V220,'G-7 Rivers Data'!$AA$4:$AB$7,2,FALSE)=0,"Spatial Data Missing",VLOOKUP(V220,'G-7 Rivers Data'!$AA$4:$AB$7,2,FALSE)))</f>
        <v/>
      </c>
      <c r="X220" s="187"/>
      <c r="Y220" s="172" t="str">
        <f>IF(X220="","",IF(VLOOKUP(X220,'G-7 Rivers Data'!$AD$4:$AE$8,2,FALSE)=0,"Enrcoachment Data Missing",VLOOKUP(X220,'G-7 Rivers Data'!$AD$4:$AE$8,2,FALSE)))</f>
        <v/>
      </c>
      <c r="Z220" s="186"/>
      <c r="AA220" s="176" t="str">
        <f>IF(Z220="","",VLOOKUP(Z220,'G-7 Rivers Data'!$AO$4:$AP$7,2,FALSE))</f>
        <v/>
      </c>
      <c r="AB220" s="265" t="str">
        <f t="shared" si="24"/>
        <v/>
      </c>
      <c r="AC220" s="180"/>
      <c r="AD220" s="181"/>
      <c r="AK220" s="35" t="str">
        <f>IFERROR(INDEX('G-7 Rivers Data'!$AZ$3:$AZ$7,MATCH(C220,'G-7 Rivers Data'!$AY$3:$AY$7,0)),"")</f>
        <v/>
      </c>
    </row>
    <row r="221" spans="2:37" ht="13.8" x14ac:dyDescent="0.25">
      <c r="B221" s="168">
        <v>210</v>
      </c>
      <c r="C221" s="184"/>
      <c r="D221" s="213"/>
      <c r="E221" s="171" t="str">
        <f>IF(C221="","",VLOOKUP(C221,'G-7 Rivers Data'!$B$2:$Z$9,2,FALSE))</f>
        <v/>
      </c>
      <c r="F221" s="172" t="str">
        <f>IFERROR(VLOOKUP(E221,'G-7 Rivers Data'!$C$4:$D$8,2,FALSE),"")</f>
        <v/>
      </c>
      <c r="G221" s="173"/>
      <c r="H221" s="172" t="str">
        <f>IFERROR(INDEX('G-7 Rivers Data'!$H$4:$L$8,MATCH(C221,'G-7 Rivers Data'!$B$4:$B$8,0),MATCH(G221,'G-7 Rivers Data'!$H$3:$L$3,0)),"")</f>
        <v/>
      </c>
      <c r="I221" s="173"/>
      <c r="J221" s="269" t="str">
        <f>IF(I221="","",IF(VLOOKUP(I221,'G-7 Rivers Data'!$AG$4:$AI$9,2,FALSE)=0,"Spatial Data Missing",VLOOKUP(I221,'G-7 Rivers Data'!$AG$4:$AI$9,2,FALSE)))</f>
        <v/>
      </c>
      <c r="K221" s="172" t="str">
        <f>IF(I221="","",IF(VLOOKUP(I221,'G-7 Rivers Data'!$AG$4:$AI$9,3,FALSE)=0,"Spatial Data Missing",VLOOKUP(I221,'G-7 Rivers Data'!$AG$4:$AI$9,3,FALSE)))</f>
        <v/>
      </c>
      <c r="L221" s="384" t="str">
        <f>IFERROR(INDEX('G-7 Rivers Data'!$O$3:$O$7,MATCH(G221,'G-7 Rivers Data'!$N$3:$N$7,0)),"")</f>
        <v/>
      </c>
      <c r="M221" s="82"/>
      <c r="N221" s="261"/>
      <c r="O221" s="179" t="str">
        <f t="shared" si="21"/>
        <v/>
      </c>
      <c r="P221" s="262" t="str">
        <f t="shared" si="22"/>
        <v/>
      </c>
      <c r="Q221" s="382" t="str">
        <f>IFERROR(IF(P221="Check Data","Check Data",VLOOKUP(P221,'G-4 Temporal multipliers'!$A$4:$C$37,3,FALSE)),"")</f>
        <v/>
      </c>
      <c r="R221" s="171" t="str">
        <f>IF(C221="","",VLOOKUP(C221,'G-7 Rivers Data'!$B$4:$G$8,4,FALSE))</f>
        <v/>
      </c>
      <c r="S221" s="179" t="str">
        <f t="shared" si="19"/>
        <v/>
      </c>
      <c r="T221" s="269" t="str">
        <f t="shared" si="20"/>
        <v/>
      </c>
      <c r="U221" s="172" t="str">
        <f t="shared" si="23"/>
        <v/>
      </c>
      <c r="V221" s="79"/>
      <c r="W221" s="172" t="str">
        <f>IF(V221="","",IF(VLOOKUP(V221,'G-7 Rivers Data'!$AA$4:$AB$7,2,FALSE)=0,"Spatial Data Missing",VLOOKUP(V221,'G-7 Rivers Data'!$AA$4:$AB$7,2,FALSE)))</f>
        <v/>
      </c>
      <c r="X221" s="187"/>
      <c r="Y221" s="172" t="str">
        <f>IF(X221="","",IF(VLOOKUP(X221,'G-7 Rivers Data'!$AD$4:$AE$8,2,FALSE)=0,"Enrcoachment Data Missing",VLOOKUP(X221,'G-7 Rivers Data'!$AD$4:$AE$8,2,FALSE)))</f>
        <v/>
      </c>
      <c r="Z221" s="186"/>
      <c r="AA221" s="176" t="str">
        <f>IF(Z221="","",VLOOKUP(Z221,'G-7 Rivers Data'!$AO$4:$AP$7,2,FALSE))</f>
        <v/>
      </c>
      <c r="AB221" s="265" t="str">
        <f t="shared" si="24"/>
        <v/>
      </c>
      <c r="AC221" s="180"/>
      <c r="AD221" s="181"/>
      <c r="AK221" s="35" t="str">
        <f>IFERROR(INDEX('G-7 Rivers Data'!$AZ$3:$AZ$7,MATCH(C221,'G-7 Rivers Data'!$AY$3:$AY$7,0)),"")</f>
        <v/>
      </c>
    </row>
    <row r="222" spans="2:37" ht="13.8" x14ac:dyDescent="0.25">
      <c r="B222" s="168">
        <v>211</v>
      </c>
      <c r="C222" s="184"/>
      <c r="D222" s="213"/>
      <c r="E222" s="171" t="str">
        <f>IF(C222="","",VLOOKUP(C222,'G-7 Rivers Data'!$B$2:$Z$9,2,FALSE))</f>
        <v/>
      </c>
      <c r="F222" s="172" t="str">
        <f>IFERROR(VLOOKUP(E222,'G-7 Rivers Data'!$C$4:$D$8,2,FALSE),"")</f>
        <v/>
      </c>
      <c r="G222" s="173"/>
      <c r="H222" s="172" t="str">
        <f>IFERROR(INDEX('G-7 Rivers Data'!$H$4:$L$8,MATCH(C222,'G-7 Rivers Data'!$B$4:$B$8,0),MATCH(G222,'G-7 Rivers Data'!$H$3:$L$3,0)),"")</f>
        <v/>
      </c>
      <c r="I222" s="173"/>
      <c r="J222" s="269" t="str">
        <f>IF(I222="","",IF(VLOOKUP(I222,'G-7 Rivers Data'!$AG$4:$AI$9,2,FALSE)=0,"Spatial Data Missing",VLOOKUP(I222,'G-7 Rivers Data'!$AG$4:$AI$9,2,FALSE)))</f>
        <v/>
      </c>
      <c r="K222" s="172" t="str">
        <f>IF(I222="","",IF(VLOOKUP(I222,'G-7 Rivers Data'!$AG$4:$AI$9,3,FALSE)=0,"Spatial Data Missing",VLOOKUP(I222,'G-7 Rivers Data'!$AG$4:$AI$9,3,FALSE)))</f>
        <v/>
      </c>
      <c r="L222" s="384" t="str">
        <f>IFERROR(INDEX('G-7 Rivers Data'!$O$3:$O$7,MATCH(G222,'G-7 Rivers Data'!$N$3:$N$7,0)),"")</f>
        <v/>
      </c>
      <c r="M222" s="82"/>
      <c r="N222" s="261"/>
      <c r="O222" s="179" t="str">
        <f t="shared" si="21"/>
        <v/>
      </c>
      <c r="P222" s="262" t="str">
        <f t="shared" si="22"/>
        <v/>
      </c>
      <c r="Q222" s="382" t="str">
        <f>IFERROR(IF(P222="Check Data","Check Data",VLOOKUP(P222,'G-4 Temporal multipliers'!$A$4:$C$37,3,FALSE)),"")</f>
        <v/>
      </c>
      <c r="R222" s="171" t="str">
        <f>IF(C222="","",VLOOKUP(C222,'G-7 Rivers Data'!$B$4:$G$8,4,FALSE))</f>
        <v/>
      </c>
      <c r="S222" s="179" t="str">
        <f t="shared" si="19"/>
        <v/>
      </c>
      <c r="T222" s="269" t="str">
        <f t="shared" si="20"/>
        <v/>
      </c>
      <c r="U222" s="172" t="str">
        <f t="shared" si="23"/>
        <v/>
      </c>
      <c r="V222" s="79"/>
      <c r="W222" s="172" t="str">
        <f>IF(V222="","",IF(VLOOKUP(V222,'G-7 Rivers Data'!$AA$4:$AB$7,2,FALSE)=0,"Spatial Data Missing",VLOOKUP(V222,'G-7 Rivers Data'!$AA$4:$AB$7,2,FALSE)))</f>
        <v/>
      </c>
      <c r="X222" s="187"/>
      <c r="Y222" s="172" t="str">
        <f>IF(X222="","",IF(VLOOKUP(X222,'G-7 Rivers Data'!$AD$4:$AE$8,2,FALSE)=0,"Enrcoachment Data Missing",VLOOKUP(X222,'G-7 Rivers Data'!$AD$4:$AE$8,2,FALSE)))</f>
        <v/>
      </c>
      <c r="Z222" s="186"/>
      <c r="AA222" s="176" t="str">
        <f>IF(Z222="","",VLOOKUP(Z222,'G-7 Rivers Data'!$AO$4:$AP$7,2,FALSE))</f>
        <v/>
      </c>
      <c r="AB222" s="265" t="str">
        <f t="shared" si="24"/>
        <v/>
      </c>
      <c r="AC222" s="180"/>
      <c r="AD222" s="181"/>
      <c r="AK222" s="35" t="str">
        <f>IFERROR(INDEX('G-7 Rivers Data'!$AZ$3:$AZ$7,MATCH(C222,'G-7 Rivers Data'!$AY$3:$AY$7,0)),"")</f>
        <v/>
      </c>
    </row>
    <row r="223" spans="2:37" ht="13.8" x14ac:dyDescent="0.25">
      <c r="B223" s="168">
        <v>212</v>
      </c>
      <c r="C223" s="184"/>
      <c r="D223" s="213"/>
      <c r="E223" s="171" t="str">
        <f>IF(C223="","",VLOOKUP(C223,'G-7 Rivers Data'!$B$2:$Z$9,2,FALSE))</f>
        <v/>
      </c>
      <c r="F223" s="172" t="str">
        <f>IFERROR(VLOOKUP(E223,'G-7 Rivers Data'!$C$4:$D$8,2,FALSE),"")</f>
        <v/>
      </c>
      <c r="G223" s="173"/>
      <c r="H223" s="172" t="str">
        <f>IFERROR(INDEX('G-7 Rivers Data'!$H$4:$L$8,MATCH(C223,'G-7 Rivers Data'!$B$4:$B$8,0),MATCH(G223,'G-7 Rivers Data'!$H$3:$L$3,0)),"")</f>
        <v/>
      </c>
      <c r="I223" s="173"/>
      <c r="J223" s="269" t="str">
        <f>IF(I223="","",IF(VLOOKUP(I223,'G-7 Rivers Data'!$AG$4:$AI$9,2,FALSE)=0,"Spatial Data Missing",VLOOKUP(I223,'G-7 Rivers Data'!$AG$4:$AI$9,2,FALSE)))</f>
        <v/>
      </c>
      <c r="K223" s="172" t="str">
        <f>IF(I223="","",IF(VLOOKUP(I223,'G-7 Rivers Data'!$AG$4:$AI$9,3,FALSE)=0,"Spatial Data Missing",VLOOKUP(I223,'G-7 Rivers Data'!$AG$4:$AI$9,3,FALSE)))</f>
        <v/>
      </c>
      <c r="L223" s="384" t="str">
        <f>IFERROR(INDEX('G-7 Rivers Data'!$O$3:$O$7,MATCH(G223,'G-7 Rivers Data'!$N$3:$N$7,0)),"")</f>
        <v/>
      </c>
      <c r="M223" s="82"/>
      <c r="N223" s="261"/>
      <c r="O223" s="179" t="str">
        <f t="shared" si="21"/>
        <v/>
      </c>
      <c r="P223" s="262" t="str">
        <f t="shared" si="22"/>
        <v/>
      </c>
      <c r="Q223" s="382" t="str">
        <f>IFERROR(IF(P223="Check Data","Check Data",VLOOKUP(P223,'G-4 Temporal multipliers'!$A$4:$C$37,3,FALSE)),"")</f>
        <v/>
      </c>
      <c r="R223" s="171" t="str">
        <f>IF(C223="","",VLOOKUP(C223,'G-7 Rivers Data'!$B$4:$G$8,4,FALSE))</f>
        <v/>
      </c>
      <c r="S223" s="179" t="str">
        <f t="shared" si="19"/>
        <v/>
      </c>
      <c r="T223" s="269" t="str">
        <f t="shared" si="20"/>
        <v/>
      </c>
      <c r="U223" s="172" t="str">
        <f t="shared" si="23"/>
        <v/>
      </c>
      <c r="V223" s="79"/>
      <c r="W223" s="172" t="str">
        <f>IF(V223="","",IF(VLOOKUP(V223,'G-7 Rivers Data'!$AA$4:$AB$7,2,FALSE)=0,"Spatial Data Missing",VLOOKUP(V223,'G-7 Rivers Data'!$AA$4:$AB$7,2,FALSE)))</f>
        <v/>
      </c>
      <c r="X223" s="187"/>
      <c r="Y223" s="172" t="str">
        <f>IF(X223="","",IF(VLOOKUP(X223,'G-7 Rivers Data'!$AD$4:$AE$8,2,FALSE)=0,"Enrcoachment Data Missing",VLOOKUP(X223,'G-7 Rivers Data'!$AD$4:$AE$8,2,FALSE)))</f>
        <v/>
      </c>
      <c r="Z223" s="186"/>
      <c r="AA223" s="176" t="str">
        <f>IF(Z223="","",VLOOKUP(Z223,'G-7 Rivers Data'!$AO$4:$AP$7,2,FALSE))</f>
        <v/>
      </c>
      <c r="AB223" s="265" t="str">
        <f t="shared" si="24"/>
        <v/>
      </c>
      <c r="AC223" s="180"/>
      <c r="AD223" s="181"/>
      <c r="AK223" s="35" t="str">
        <f>IFERROR(INDEX('G-7 Rivers Data'!$AZ$3:$AZ$7,MATCH(C223,'G-7 Rivers Data'!$AY$3:$AY$7,0)),"")</f>
        <v/>
      </c>
    </row>
    <row r="224" spans="2:37" ht="13.8" x14ac:dyDescent="0.25">
      <c r="B224" s="168">
        <v>213</v>
      </c>
      <c r="C224" s="184"/>
      <c r="D224" s="213"/>
      <c r="E224" s="171" t="str">
        <f>IF(C224="","",VLOOKUP(C224,'G-7 Rivers Data'!$B$2:$Z$9,2,FALSE))</f>
        <v/>
      </c>
      <c r="F224" s="172" t="str">
        <f>IFERROR(VLOOKUP(E224,'G-7 Rivers Data'!$C$4:$D$8,2,FALSE),"")</f>
        <v/>
      </c>
      <c r="G224" s="173"/>
      <c r="H224" s="172" t="str">
        <f>IFERROR(INDEX('G-7 Rivers Data'!$H$4:$L$8,MATCH(C224,'G-7 Rivers Data'!$B$4:$B$8,0),MATCH(G224,'G-7 Rivers Data'!$H$3:$L$3,0)),"")</f>
        <v/>
      </c>
      <c r="I224" s="173"/>
      <c r="J224" s="269" t="str">
        <f>IF(I224="","",IF(VLOOKUP(I224,'G-7 Rivers Data'!$AG$4:$AI$9,2,FALSE)=0,"Spatial Data Missing",VLOOKUP(I224,'G-7 Rivers Data'!$AG$4:$AI$9,2,FALSE)))</f>
        <v/>
      </c>
      <c r="K224" s="172" t="str">
        <f>IF(I224="","",IF(VLOOKUP(I224,'G-7 Rivers Data'!$AG$4:$AI$9,3,FALSE)=0,"Spatial Data Missing",VLOOKUP(I224,'G-7 Rivers Data'!$AG$4:$AI$9,3,FALSE)))</f>
        <v/>
      </c>
      <c r="L224" s="384" t="str">
        <f>IFERROR(INDEX('G-7 Rivers Data'!$O$3:$O$7,MATCH(G224,'G-7 Rivers Data'!$N$3:$N$7,0)),"")</f>
        <v/>
      </c>
      <c r="M224" s="82"/>
      <c r="N224" s="261"/>
      <c r="O224" s="179" t="str">
        <f t="shared" si="21"/>
        <v/>
      </c>
      <c r="P224" s="262" t="str">
        <f t="shared" si="22"/>
        <v/>
      </c>
      <c r="Q224" s="382" t="str">
        <f>IFERROR(IF(P224="Check Data","Check Data",VLOOKUP(P224,'G-4 Temporal multipliers'!$A$4:$C$37,3,FALSE)),"")</f>
        <v/>
      </c>
      <c r="R224" s="171" t="str">
        <f>IF(C224="","",VLOOKUP(C224,'G-7 Rivers Data'!$B$4:$G$8,4,FALSE))</f>
        <v/>
      </c>
      <c r="S224" s="179" t="str">
        <f t="shared" si="19"/>
        <v/>
      </c>
      <c r="T224" s="269" t="str">
        <f t="shared" si="20"/>
        <v/>
      </c>
      <c r="U224" s="172" t="str">
        <f t="shared" si="23"/>
        <v/>
      </c>
      <c r="V224" s="79"/>
      <c r="W224" s="172" t="str">
        <f>IF(V224="","",IF(VLOOKUP(V224,'G-7 Rivers Data'!$AA$4:$AB$7,2,FALSE)=0,"Spatial Data Missing",VLOOKUP(V224,'G-7 Rivers Data'!$AA$4:$AB$7,2,FALSE)))</f>
        <v/>
      </c>
      <c r="X224" s="187"/>
      <c r="Y224" s="172" t="str">
        <f>IF(X224="","",IF(VLOOKUP(X224,'G-7 Rivers Data'!$AD$4:$AE$8,2,FALSE)=0,"Enrcoachment Data Missing",VLOOKUP(X224,'G-7 Rivers Data'!$AD$4:$AE$8,2,FALSE)))</f>
        <v/>
      </c>
      <c r="Z224" s="186"/>
      <c r="AA224" s="176" t="str">
        <f>IF(Z224="","",VLOOKUP(Z224,'G-7 Rivers Data'!$AO$4:$AP$7,2,FALSE))</f>
        <v/>
      </c>
      <c r="AB224" s="265" t="str">
        <f t="shared" si="24"/>
        <v/>
      </c>
      <c r="AC224" s="180"/>
      <c r="AD224" s="181"/>
      <c r="AK224" s="35" t="str">
        <f>IFERROR(INDEX('G-7 Rivers Data'!$AZ$3:$AZ$7,MATCH(C224,'G-7 Rivers Data'!$AY$3:$AY$7,0)),"")</f>
        <v/>
      </c>
    </row>
    <row r="225" spans="2:37" ht="13.8" x14ac:dyDescent="0.25">
      <c r="B225" s="168">
        <v>214</v>
      </c>
      <c r="C225" s="184"/>
      <c r="D225" s="213"/>
      <c r="E225" s="171" t="str">
        <f>IF(C225="","",VLOOKUP(C225,'G-7 Rivers Data'!$B$2:$Z$9,2,FALSE))</f>
        <v/>
      </c>
      <c r="F225" s="172" t="str">
        <f>IFERROR(VLOOKUP(E225,'G-7 Rivers Data'!$C$4:$D$8,2,FALSE),"")</f>
        <v/>
      </c>
      <c r="G225" s="173"/>
      <c r="H225" s="172" t="str">
        <f>IFERROR(INDEX('G-7 Rivers Data'!$H$4:$L$8,MATCH(C225,'G-7 Rivers Data'!$B$4:$B$8,0),MATCH(G225,'G-7 Rivers Data'!$H$3:$L$3,0)),"")</f>
        <v/>
      </c>
      <c r="I225" s="173"/>
      <c r="J225" s="269" t="str">
        <f>IF(I225="","",IF(VLOOKUP(I225,'G-7 Rivers Data'!$AG$4:$AI$9,2,FALSE)=0,"Spatial Data Missing",VLOOKUP(I225,'G-7 Rivers Data'!$AG$4:$AI$9,2,FALSE)))</f>
        <v/>
      </c>
      <c r="K225" s="172" t="str">
        <f>IF(I225="","",IF(VLOOKUP(I225,'G-7 Rivers Data'!$AG$4:$AI$9,3,FALSE)=0,"Spatial Data Missing",VLOOKUP(I225,'G-7 Rivers Data'!$AG$4:$AI$9,3,FALSE)))</f>
        <v/>
      </c>
      <c r="L225" s="384" t="str">
        <f>IFERROR(INDEX('G-7 Rivers Data'!$O$3:$O$7,MATCH(G225,'G-7 Rivers Data'!$N$3:$N$7,0)),"")</f>
        <v/>
      </c>
      <c r="M225" s="82"/>
      <c r="N225" s="261"/>
      <c r="O225" s="179" t="str">
        <f t="shared" si="21"/>
        <v/>
      </c>
      <c r="P225" s="262" t="str">
        <f t="shared" si="22"/>
        <v/>
      </c>
      <c r="Q225" s="382" t="str">
        <f>IFERROR(IF(P225="Check Data","Check Data",VLOOKUP(P225,'G-4 Temporal multipliers'!$A$4:$C$37,3,FALSE)),"")</f>
        <v/>
      </c>
      <c r="R225" s="171" t="str">
        <f>IF(C225="","",VLOOKUP(C225,'G-7 Rivers Data'!$B$4:$G$8,4,FALSE))</f>
        <v/>
      </c>
      <c r="S225" s="179" t="str">
        <f t="shared" si="19"/>
        <v/>
      </c>
      <c r="T225" s="269" t="str">
        <f t="shared" si="20"/>
        <v/>
      </c>
      <c r="U225" s="172" t="str">
        <f t="shared" si="23"/>
        <v/>
      </c>
      <c r="V225" s="79"/>
      <c r="W225" s="172" t="str">
        <f>IF(V225="","",IF(VLOOKUP(V225,'G-7 Rivers Data'!$AA$4:$AB$7,2,FALSE)=0,"Spatial Data Missing",VLOOKUP(V225,'G-7 Rivers Data'!$AA$4:$AB$7,2,FALSE)))</f>
        <v/>
      </c>
      <c r="X225" s="187"/>
      <c r="Y225" s="172" t="str">
        <f>IF(X225="","",IF(VLOOKUP(X225,'G-7 Rivers Data'!$AD$4:$AE$8,2,FALSE)=0,"Enrcoachment Data Missing",VLOOKUP(X225,'G-7 Rivers Data'!$AD$4:$AE$8,2,FALSE)))</f>
        <v/>
      </c>
      <c r="Z225" s="186"/>
      <c r="AA225" s="176" t="str">
        <f>IF(Z225="","",VLOOKUP(Z225,'G-7 Rivers Data'!$AO$4:$AP$7,2,FALSE))</f>
        <v/>
      </c>
      <c r="AB225" s="265" t="str">
        <f t="shared" si="24"/>
        <v/>
      </c>
      <c r="AC225" s="180"/>
      <c r="AD225" s="181"/>
      <c r="AK225" s="35" t="str">
        <f>IFERROR(INDEX('G-7 Rivers Data'!$AZ$3:$AZ$7,MATCH(C225,'G-7 Rivers Data'!$AY$3:$AY$7,0)),"")</f>
        <v/>
      </c>
    </row>
    <row r="226" spans="2:37" ht="13.8" x14ac:dyDescent="0.25">
      <c r="B226" s="168">
        <v>215</v>
      </c>
      <c r="C226" s="184"/>
      <c r="D226" s="213"/>
      <c r="E226" s="171" t="str">
        <f>IF(C226="","",VLOOKUP(C226,'G-7 Rivers Data'!$B$2:$Z$9,2,FALSE))</f>
        <v/>
      </c>
      <c r="F226" s="172" t="str">
        <f>IFERROR(VLOOKUP(E226,'G-7 Rivers Data'!$C$4:$D$8,2,FALSE),"")</f>
        <v/>
      </c>
      <c r="G226" s="173"/>
      <c r="H226" s="172" t="str">
        <f>IFERROR(INDEX('G-7 Rivers Data'!$H$4:$L$8,MATCH(C226,'G-7 Rivers Data'!$B$4:$B$8,0),MATCH(G226,'G-7 Rivers Data'!$H$3:$L$3,0)),"")</f>
        <v/>
      </c>
      <c r="I226" s="173"/>
      <c r="J226" s="269" t="str">
        <f>IF(I226="","",IF(VLOOKUP(I226,'G-7 Rivers Data'!$AG$4:$AI$9,2,FALSE)=0,"Spatial Data Missing",VLOOKUP(I226,'G-7 Rivers Data'!$AG$4:$AI$9,2,FALSE)))</f>
        <v/>
      </c>
      <c r="K226" s="172" t="str">
        <f>IF(I226="","",IF(VLOOKUP(I226,'G-7 Rivers Data'!$AG$4:$AI$9,3,FALSE)=0,"Spatial Data Missing",VLOOKUP(I226,'G-7 Rivers Data'!$AG$4:$AI$9,3,FALSE)))</f>
        <v/>
      </c>
      <c r="L226" s="384" t="str">
        <f>IFERROR(INDEX('G-7 Rivers Data'!$O$3:$O$7,MATCH(G226,'G-7 Rivers Data'!$N$3:$N$7,0)),"")</f>
        <v/>
      </c>
      <c r="M226" s="82"/>
      <c r="N226" s="261"/>
      <c r="O226" s="179" t="str">
        <f t="shared" si="21"/>
        <v/>
      </c>
      <c r="P226" s="262" t="str">
        <f t="shared" si="22"/>
        <v/>
      </c>
      <c r="Q226" s="382" t="str">
        <f>IFERROR(IF(P226="Check Data","Check Data",VLOOKUP(P226,'G-4 Temporal multipliers'!$A$4:$C$37,3,FALSE)),"")</f>
        <v/>
      </c>
      <c r="R226" s="171" t="str">
        <f>IF(C226="","",VLOOKUP(C226,'G-7 Rivers Data'!$B$4:$G$8,4,FALSE))</f>
        <v/>
      </c>
      <c r="S226" s="179" t="str">
        <f t="shared" ref="S226:S259" si="25">IF(C226="","",IF(P226="Check Data","Check Data",IF(G226="","",IF($O226="Check details - Is there evidence that habitat has reached target condition?","Low Difficulty - only applicable if all habitat created before losses","Standard difficulty applied"))))</f>
        <v/>
      </c>
      <c r="T226" s="269" t="str">
        <f t="shared" ref="T226:T259" si="26">(IF(AND(S226="Standard difficulty applied",L226&gt;M226),R226,IF(AND(S226="Low Difficulty - only applicable if all habitat created before losses",M226&gt;=L226),"Low",R226)))</f>
        <v/>
      </c>
      <c r="U226" s="172" t="str">
        <f t="shared" si="23"/>
        <v/>
      </c>
      <c r="V226" s="79"/>
      <c r="W226" s="172" t="str">
        <f>IF(V226="","",IF(VLOOKUP(V226,'G-7 Rivers Data'!$AA$4:$AB$7,2,FALSE)=0,"Spatial Data Missing",VLOOKUP(V226,'G-7 Rivers Data'!$AA$4:$AB$7,2,FALSE)))</f>
        <v/>
      </c>
      <c r="X226" s="187"/>
      <c r="Y226" s="172" t="str">
        <f>IF(X226="","",IF(VLOOKUP(X226,'G-7 Rivers Data'!$AD$4:$AE$8,2,FALSE)=0,"Enrcoachment Data Missing",VLOOKUP(X226,'G-7 Rivers Data'!$AD$4:$AE$8,2,FALSE)))</f>
        <v/>
      </c>
      <c r="Z226" s="186"/>
      <c r="AA226" s="176" t="str">
        <f>IF(Z226="","",VLOOKUP(Z226,'G-7 Rivers Data'!$AO$4:$AP$7,2,FALSE))</f>
        <v/>
      </c>
      <c r="AB226" s="265" t="str">
        <f t="shared" si="24"/>
        <v/>
      </c>
      <c r="AC226" s="180"/>
      <c r="AD226" s="181"/>
      <c r="AK226" s="35" t="str">
        <f>IFERROR(INDEX('G-7 Rivers Data'!$AZ$3:$AZ$7,MATCH(C226,'G-7 Rivers Data'!$AY$3:$AY$7,0)),"")</f>
        <v/>
      </c>
    </row>
    <row r="227" spans="2:37" ht="13.8" x14ac:dyDescent="0.25">
      <c r="B227" s="168">
        <v>216</v>
      </c>
      <c r="C227" s="184"/>
      <c r="D227" s="213"/>
      <c r="E227" s="171" t="str">
        <f>IF(C227="","",VLOOKUP(C227,'G-7 Rivers Data'!$B$2:$Z$9,2,FALSE))</f>
        <v/>
      </c>
      <c r="F227" s="172" t="str">
        <f>IFERROR(VLOOKUP(E227,'G-7 Rivers Data'!$C$4:$D$8,2,FALSE),"")</f>
        <v/>
      </c>
      <c r="G227" s="173"/>
      <c r="H227" s="172" t="str">
        <f>IFERROR(INDEX('G-7 Rivers Data'!$H$4:$L$8,MATCH(C227,'G-7 Rivers Data'!$B$4:$B$8,0),MATCH(G227,'G-7 Rivers Data'!$H$3:$L$3,0)),"")</f>
        <v/>
      </c>
      <c r="I227" s="173"/>
      <c r="J227" s="269" t="str">
        <f>IF(I227="","",IF(VLOOKUP(I227,'G-7 Rivers Data'!$AG$4:$AI$9,2,FALSE)=0,"Spatial Data Missing",VLOOKUP(I227,'G-7 Rivers Data'!$AG$4:$AI$9,2,FALSE)))</f>
        <v/>
      </c>
      <c r="K227" s="172" t="str">
        <f>IF(I227="","",IF(VLOOKUP(I227,'G-7 Rivers Data'!$AG$4:$AI$9,3,FALSE)=0,"Spatial Data Missing",VLOOKUP(I227,'G-7 Rivers Data'!$AG$4:$AI$9,3,FALSE)))</f>
        <v/>
      </c>
      <c r="L227" s="384" t="str">
        <f>IFERROR(INDEX('G-7 Rivers Data'!$O$3:$O$7,MATCH(G227,'G-7 Rivers Data'!$N$3:$N$7,0)),"")</f>
        <v/>
      </c>
      <c r="M227" s="82"/>
      <c r="N227" s="261"/>
      <c r="O227" s="179" t="str">
        <f t="shared" si="21"/>
        <v/>
      </c>
      <c r="P227" s="262" t="str">
        <f t="shared" si="22"/>
        <v/>
      </c>
      <c r="Q227" s="382" t="str">
        <f>IFERROR(IF(P227="Check Data","Check Data",VLOOKUP(P227,'G-4 Temporal multipliers'!$A$4:$C$37,3,FALSE)),"")</f>
        <v/>
      </c>
      <c r="R227" s="171" t="str">
        <f>IF(C227="","",VLOOKUP(C227,'G-7 Rivers Data'!$B$4:$G$8,4,FALSE))</f>
        <v/>
      </c>
      <c r="S227" s="179" t="str">
        <f t="shared" si="25"/>
        <v/>
      </c>
      <c r="T227" s="269" t="str">
        <f t="shared" si="26"/>
        <v/>
      </c>
      <c r="U227" s="172" t="str">
        <f t="shared" si="23"/>
        <v/>
      </c>
      <c r="V227" s="79"/>
      <c r="W227" s="172" t="str">
        <f>IF(V227="","",IF(VLOOKUP(V227,'G-7 Rivers Data'!$AA$4:$AB$7,2,FALSE)=0,"Spatial Data Missing",VLOOKUP(V227,'G-7 Rivers Data'!$AA$4:$AB$7,2,FALSE)))</f>
        <v/>
      </c>
      <c r="X227" s="187"/>
      <c r="Y227" s="172" t="str">
        <f>IF(X227="","",IF(VLOOKUP(X227,'G-7 Rivers Data'!$AD$4:$AE$8,2,FALSE)=0,"Enrcoachment Data Missing",VLOOKUP(X227,'G-7 Rivers Data'!$AD$4:$AE$8,2,FALSE)))</f>
        <v/>
      </c>
      <c r="Z227" s="186"/>
      <c r="AA227" s="176" t="str">
        <f>IF(Z227="","",VLOOKUP(Z227,'G-7 Rivers Data'!$AO$4:$AP$7,2,FALSE))</f>
        <v/>
      </c>
      <c r="AB227" s="265" t="str">
        <f t="shared" si="24"/>
        <v/>
      </c>
      <c r="AC227" s="180"/>
      <c r="AD227" s="181"/>
      <c r="AK227" s="35" t="str">
        <f>IFERROR(INDEX('G-7 Rivers Data'!$AZ$3:$AZ$7,MATCH(C227,'G-7 Rivers Data'!$AY$3:$AY$7,0)),"")</f>
        <v/>
      </c>
    </row>
    <row r="228" spans="2:37" ht="13.8" x14ac:dyDescent="0.25">
      <c r="B228" s="168">
        <v>217</v>
      </c>
      <c r="C228" s="184"/>
      <c r="D228" s="213"/>
      <c r="E228" s="171" t="str">
        <f>IF(C228="","",VLOOKUP(C228,'G-7 Rivers Data'!$B$2:$Z$9,2,FALSE))</f>
        <v/>
      </c>
      <c r="F228" s="172" t="str">
        <f>IFERROR(VLOOKUP(E228,'G-7 Rivers Data'!$C$4:$D$8,2,FALSE),"")</f>
        <v/>
      </c>
      <c r="G228" s="173"/>
      <c r="H228" s="172" t="str">
        <f>IFERROR(INDEX('G-7 Rivers Data'!$H$4:$L$8,MATCH(C228,'G-7 Rivers Data'!$B$4:$B$8,0),MATCH(G228,'G-7 Rivers Data'!$H$3:$L$3,0)),"")</f>
        <v/>
      </c>
      <c r="I228" s="173"/>
      <c r="J228" s="269" t="str">
        <f>IF(I228="","",IF(VLOOKUP(I228,'G-7 Rivers Data'!$AG$4:$AI$9,2,FALSE)=0,"Spatial Data Missing",VLOOKUP(I228,'G-7 Rivers Data'!$AG$4:$AI$9,2,FALSE)))</f>
        <v/>
      </c>
      <c r="K228" s="172" t="str">
        <f>IF(I228="","",IF(VLOOKUP(I228,'G-7 Rivers Data'!$AG$4:$AI$9,3,FALSE)=0,"Spatial Data Missing",VLOOKUP(I228,'G-7 Rivers Data'!$AG$4:$AI$9,3,FALSE)))</f>
        <v/>
      </c>
      <c r="L228" s="384" t="str">
        <f>IFERROR(INDEX('G-7 Rivers Data'!$O$3:$O$7,MATCH(G228,'G-7 Rivers Data'!$N$3:$N$7,0)),"")</f>
        <v/>
      </c>
      <c r="M228" s="82"/>
      <c r="N228" s="261"/>
      <c r="O228" s="179" t="str">
        <f t="shared" si="21"/>
        <v/>
      </c>
      <c r="P228" s="262" t="str">
        <f t="shared" si="22"/>
        <v/>
      </c>
      <c r="Q228" s="382" t="str">
        <f>IFERROR(IF(P228="Check Data","Check Data",VLOOKUP(P228,'G-4 Temporal multipliers'!$A$4:$C$37,3,FALSE)),"")</f>
        <v/>
      </c>
      <c r="R228" s="171" t="str">
        <f>IF(C228="","",VLOOKUP(C228,'G-7 Rivers Data'!$B$4:$G$8,4,FALSE))</f>
        <v/>
      </c>
      <c r="S228" s="179" t="str">
        <f t="shared" si="25"/>
        <v/>
      </c>
      <c r="T228" s="269" t="str">
        <f t="shared" si="26"/>
        <v/>
      </c>
      <c r="U228" s="172" t="str">
        <f t="shared" si="23"/>
        <v/>
      </c>
      <c r="V228" s="79"/>
      <c r="W228" s="172" t="str">
        <f>IF(V228="","",IF(VLOOKUP(V228,'G-7 Rivers Data'!$AA$4:$AB$7,2,FALSE)=0,"Spatial Data Missing",VLOOKUP(V228,'G-7 Rivers Data'!$AA$4:$AB$7,2,FALSE)))</f>
        <v/>
      </c>
      <c r="X228" s="187"/>
      <c r="Y228" s="172" t="str">
        <f>IF(X228="","",IF(VLOOKUP(X228,'G-7 Rivers Data'!$AD$4:$AE$8,2,FALSE)=0,"Enrcoachment Data Missing",VLOOKUP(X228,'G-7 Rivers Data'!$AD$4:$AE$8,2,FALSE)))</f>
        <v/>
      </c>
      <c r="Z228" s="186"/>
      <c r="AA228" s="176" t="str">
        <f>IF(Z228="","",VLOOKUP(Z228,'G-7 Rivers Data'!$AO$4:$AP$7,2,FALSE))</f>
        <v/>
      </c>
      <c r="AB228" s="265" t="str">
        <f t="shared" si="24"/>
        <v/>
      </c>
      <c r="AC228" s="180"/>
      <c r="AD228" s="181"/>
      <c r="AK228" s="35" t="str">
        <f>IFERROR(INDEX('G-7 Rivers Data'!$AZ$3:$AZ$7,MATCH(C228,'G-7 Rivers Data'!$AY$3:$AY$7,0)),"")</f>
        <v/>
      </c>
    </row>
    <row r="229" spans="2:37" ht="13.8" x14ac:dyDescent="0.25">
      <c r="B229" s="168">
        <v>218</v>
      </c>
      <c r="C229" s="184"/>
      <c r="D229" s="213"/>
      <c r="E229" s="171" t="str">
        <f>IF(C229="","",VLOOKUP(C229,'G-7 Rivers Data'!$B$2:$Z$9,2,FALSE))</f>
        <v/>
      </c>
      <c r="F229" s="172" t="str">
        <f>IFERROR(VLOOKUP(E229,'G-7 Rivers Data'!$C$4:$D$8,2,FALSE),"")</f>
        <v/>
      </c>
      <c r="G229" s="173"/>
      <c r="H229" s="172" t="str">
        <f>IFERROR(INDEX('G-7 Rivers Data'!$H$4:$L$8,MATCH(C229,'G-7 Rivers Data'!$B$4:$B$8,0),MATCH(G229,'G-7 Rivers Data'!$H$3:$L$3,0)),"")</f>
        <v/>
      </c>
      <c r="I229" s="173"/>
      <c r="J229" s="269" t="str">
        <f>IF(I229="","",IF(VLOOKUP(I229,'G-7 Rivers Data'!$AG$4:$AI$9,2,FALSE)=0,"Spatial Data Missing",VLOOKUP(I229,'G-7 Rivers Data'!$AG$4:$AI$9,2,FALSE)))</f>
        <v/>
      </c>
      <c r="K229" s="172" t="str">
        <f>IF(I229="","",IF(VLOOKUP(I229,'G-7 Rivers Data'!$AG$4:$AI$9,3,FALSE)=0,"Spatial Data Missing",VLOOKUP(I229,'G-7 Rivers Data'!$AG$4:$AI$9,3,FALSE)))</f>
        <v/>
      </c>
      <c r="L229" s="384" t="str">
        <f>IFERROR(INDEX('G-7 Rivers Data'!$O$3:$O$7,MATCH(G229,'G-7 Rivers Data'!$N$3:$N$7,0)),"")</f>
        <v/>
      </c>
      <c r="M229" s="82"/>
      <c r="N229" s="261"/>
      <c r="O229" s="179" t="str">
        <f t="shared" si="21"/>
        <v/>
      </c>
      <c r="P229" s="262" t="str">
        <f t="shared" si="22"/>
        <v/>
      </c>
      <c r="Q229" s="382" t="str">
        <f>IFERROR(IF(P229="Check Data","Check Data",VLOOKUP(P229,'G-4 Temporal multipliers'!$A$4:$C$37,3,FALSE)),"")</f>
        <v/>
      </c>
      <c r="R229" s="171" t="str">
        <f>IF(C229="","",VLOOKUP(C229,'G-7 Rivers Data'!$B$4:$G$8,4,FALSE))</f>
        <v/>
      </c>
      <c r="S229" s="179" t="str">
        <f t="shared" si="25"/>
        <v/>
      </c>
      <c r="T229" s="269" t="str">
        <f t="shared" si="26"/>
        <v/>
      </c>
      <c r="U229" s="172" t="str">
        <f t="shared" si="23"/>
        <v/>
      </c>
      <c r="V229" s="79"/>
      <c r="W229" s="172" t="str">
        <f>IF(V229="","",IF(VLOOKUP(V229,'G-7 Rivers Data'!$AA$4:$AB$7,2,FALSE)=0,"Spatial Data Missing",VLOOKUP(V229,'G-7 Rivers Data'!$AA$4:$AB$7,2,FALSE)))</f>
        <v/>
      </c>
      <c r="X229" s="187"/>
      <c r="Y229" s="172" t="str">
        <f>IF(X229="","",IF(VLOOKUP(X229,'G-7 Rivers Data'!$AD$4:$AE$8,2,FALSE)=0,"Enrcoachment Data Missing",VLOOKUP(X229,'G-7 Rivers Data'!$AD$4:$AE$8,2,FALSE)))</f>
        <v/>
      </c>
      <c r="Z229" s="186"/>
      <c r="AA229" s="176" t="str">
        <f>IF(Z229="","",VLOOKUP(Z229,'G-7 Rivers Data'!$AO$4:$AP$7,2,FALSE))</f>
        <v/>
      </c>
      <c r="AB229" s="265" t="str">
        <f t="shared" si="24"/>
        <v/>
      </c>
      <c r="AC229" s="180"/>
      <c r="AD229" s="181"/>
      <c r="AK229" s="35" t="str">
        <f>IFERROR(INDEX('G-7 Rivers Data'!$AZ$3:$AZ$7,MATCH(C229,'G-7 Rivers Data'!$AY$3:$AY$7,0)),"")</f>
        <v/>
      </c>
    </row>
    <row r="230" spans="2:37" ht="13.8" x14ac:dyDescent="0.25">
      <c r="B230" s="168">
        <v>219</v>
      </c>
      <c r="C230" s="184"/>
      <c r="D230" s="213"/>
      <c r="E230" s="171" t="str">
        <f>IF(C230="","",VLOOKUP(C230,'G-7 Rivers Data'!$B$2:$Z$9,2,FALSE))</f>
        <v/>
      </c>
      <c r="F230" s="172" t="str">
        <f>IFERROR(VLOOKUP(E230,'G-7 Rivers Data'!$C$4:$D$8,2,FALSE),"")</f>
        <v/>
      </c>
      <c r="G230" s="173"/>
      <c r="H230" s="172" t="str">
        <f>IFERROR(INDEX('G-7 Rivers Data'!$H$4:$L$8,MATCH(C230,'G-7 Rivers Data'!$B$4:$B$8,0),MATCH(G230,'G-7 Rivers Data'!$H$3:$L$3,0)),"")</f>
        <v/>
      </c>
      <c r="I230" s="173"/>
      <c r="J230" s="269" t="str">
        <f>IF(I230="","",IF(VLOOKUP(I230,'G-7 Rivers Data'!$AG$4:$AI$9,2,FALSE)=0,"Spatial Data Missing",VLOOKUP(I230,'G-7 Rivers Data'!$AG$4:$AI$9,2,FALSE)))</f>
        <v/>
      </c>
      <c r="K230" s="172" t="str">
        <f>IF(I230="","",IF(VLOOKUP(I230,'G-7 Rivers Data'!$AG$4:$AI$9,3,FALSE)=0,"Spatial Data Missing",VLOOKUP(I230,'G-7 Rivers Data'!$AG$4:$AI$9,3,FALSE)))</f>
        <v/>
      </c>
      <c r="L230" s="384" t="str">
        <f>IFERROR(INDEX('G-7 Rivers Data'!$O$3:$O$7,MATCH(G230,'G-7 Rivers Data'!$N$3:$N$7,0)),"")</f>
        <v/>
      </c>
      <c r="M230" s="82"/>
      <c r="N230" s="261"/>
      <c r="O230" s="179" t="str">
        <f t="shared" si="21"/>
        <v/>
      </c>
      <c r="P230" s="262" t="str">
        <f t="shared" si="22"/>
        <v/>
      </c>
      <c r="Q230" s="382" t="str">
        <f>IFERROR(IF(P230="Check Data","Check Data",VLOOKUP(P230,'G-4 Temporal multipliers'!$A$4:$C$37,3,FALSE)),"")</f>
        <v/>
      </c>
      <c r="R230" s="171" t="str">
        <f>IF(C230="","",VLOOKUP(C230,'G-7 Rivers Data'!$B$4:$G$8,4,FALSE))</f>
        <v/>
      </c>
      <c r="S230" s="179" t="str">
        <f t="shared" si="25"/>
        <v/>
      </c>
      <c r="T230" s="269" t="str">
        <f t="shared" si="26"/>
        <v/>
      </c>
      <c r="U230" s="172" t="str">
        <f t="shared" si="23"/>
        <v/>
      </c>
      <c r="V230" s="79"/>
      <c r="W230" s="172" t="str">
        <f>IF(V230="","",IF(VLOOKUP(V230,'G-7 Rivers Data'!$AA$4:$AB$7,2,FALSE)=0,"Spatial Data Missing",VLOOKUP(V230,'G-7 Rivers Data'!$AA$4:$AB$7,2,FALSE)))</f>
        <v/>
      </c>
      <c r="X230" s="187"/>
      <c r="Y230" s="172" t="str">
        <f>IF(X230="","",IF(VLOOKUP(X230,'G-7 Rivers Data'!$AD$4:$AE$8,2,FALSE)=0,"Enrcoachment Data Missing",VLOOKUP(X230,'G-7 Rivers Data'!$AD$4:$AE$8,2,FALSE)))</f>
        <v/>
      </c>
      <c r="Z230" s="186"/>
      <c r="AA230" s="176" t="str">
        <f>IF(Z230="","",VLOOKUP(Z230,'G-7 Rivers Data'!$AO$4:$AP$7,2,FALSE))</f>
        <v/>
      </c>
      <c r="AB230" s="265" t="str">
        <f t="shared" si="24"/>
        <v/>
      </c>
      <c r="AC230" s="180"/>
      <c r="AD230" s="181"/>
      <c r="AK230" s="35" t="str">
        <f>IFERROR(INDEX('G-7 Rivers Data'!$AZ$3:$AZ$7,MATCH(C230,'G-7 Rivers Data'!$AY$3:$AY$7,0)),"")</f>
        <v/>
      </c>
    </row>
    <row r="231" spans="2:37" ht="13.8" x14ac:dyDescent="0.25">
      <c r="B231" s="168">
        <v>220</v>
      </c>
      <c r="C231" s="184"/>
      <c r="D231" s="213"/>
      <c r="E231" s="171" t="str">
        <f>IF(C231="","",VLOOKUP(C231,'G-7 Rivers Data'!$B$2:$Z$9,2,FALSE))</f>
        <v/>
      </c>
      <c r="F231" s="172" t="str">
        <f>IFERROR(VLOOKUP(E231,'G-7 Rivers Data'!$C$4:$D$8,2,FALSE),"")</f>
        <v/>
      </c>
      <c r="G231" s="173"/>
      <c r="H231" s="172" t="str">
        <f>IFERROR(INDEX('G-7 Rivers Data'!$H$4:$L$8,MATCH(C231,'G-7 Rivers Data'!$B$4:$B$8,0),MATCH(G231,'G-7 Rivers Data'!$H$3:$L$3,0)),"")</f>
        <v/>
      </c>
      <c r="I231" s="173"/>
      <c r="J231" s="269" t="str">
        <f>IF(I231="","",IF(VLOOKUP(I231,'G-7 Rivers Data'!$AG$4:$AI$9,2,FALSE)=0,"Spatial Data Missing",VLOOKUP(I231,'G-7 Rivers Data'!$AG$4:$AI$9,2,FALSE)))</f>
        <v/>
      </c>
      <c r="K231" s="172" t="str">
        <f>IF(I231="","",IF(VLOOKUP(I231,'G-7 Rivers Data'!$AG$4:$AI$9,3,FALSE)=0,"Spatial Data Missing",VLOOKUP(I231,'G-7 Rivers Data'!$AG$4:$AI$9,3,FALSE)))</f>
        <v/>
      </c>
      <c r="L231" s="384" t="str">
        <f>IFERROR(INDEX('G-7 Rivers Data'!$O$3:$O$7,MATCH(G231,'G-7 Rivers Data'!$N$3:$N$7,0)),"")</f>
        <v/>
      </c>
      <c r="M231" s="82"/>
      <c r="N231" s="261"/>
      <c r="O231" s="179" t="str">
        <f t="shared" si="21"/>
        <v/>
      </c>
      <c r="P231" s="262" t="str">
        <f t="shared" si="22"/>
        <v/>
      </c>
      <c r="Q231" s="382" t="str">
        <f>IFERROR(IF(P231="Check Data","Check Data",VLOOKUP(P231,'G-4 Temporal multipliers'!$A$4:$C$37,3,FALSE)),"")</f>
        <v/>
      </c>
      <c r="R231" s="171" t="str">
        <f>IF(C231="","",VLOOKUP(C231,'G-7 Rivers Data'!$B$4:$G$8,4,FALSE))</f>
        <v/>
      </c>
      <c r="S231" s="179" t="str">
        <f t="shared" si="25"/>
        <v/>
      </c>
      <c r="T231" s="269" t="str">
        <f t="shared" si="26"/>
        <v/>
      </c>
      <c r="U231" s="172" t="str">
        <f t="shared" si="23"/>
        <v/>
      </c>
      <c r="V231" s="79"/>
      <c r="W231" s="172" t="str">
        <f>IF(V231="","",IF(VLOOKUP(V231,'G-7 Rivers Data'!$AA$4:$AB$7,2,FALSE)=0,"Spatial Data Missing",VLOOKUP(V231,'G-7 Rivers Data'!$AA$4:$AB$7,2,FALSE)))</f>
        <v/>
      </c>
      <c r="X231" s="187"/>
      <c r="Y231" s="172" t="str">
        <f>IF(X231="","",IF(VLOOKUP(X231,'G-7 Rivers Data'!$AD$4:$AE$8,2,FALSE)=0,"Enrcoachment Data Missing",VLOOKUP(X231,'G-7 Rivers Data'!$AD$4:$AE$8,2,FALSE)))</f>
        <v/>
      </c>
      <c r="Z231" s="186"/>
      <c r="AA231" s="176" t="str">
        <f>IF(Z231="","",VLOOKUP(Z231,'G-7 Rivers Data'!$AO$4:$AP$7,2,FALSE))</f>
        <v/>
      </c>
      <c r="AB231" s="265" t="str">
        <f t="shared" si="24"/>
        <v/>
      </c>
      <c r="AC231" s="180"/>
      <c r="AD231" s="181"/>
      <c r="AK231" s="35" t="str">
        <f>IFERROR(INDEX('G-7 Rivers Data'!$AZ$3:$AZ$7,MATCH(C231,'G-7 Rivers Data'!$AY$3:$AY$7,0)),"")</f>
        <v/>
      </c>
    </row>
    <row r="232" spans="2:37" ht="13.8" x14ac:dyDescent="0.25">
      <c r="B232" s="168">
        <v>221</v>
      </c>
      <c r="C232" s="184"/>
      <c r="D232" s="213"/>
      <c r="E232" s="171" t="str">
        <f>IF(C232="","",VLOOKUP(C232,'G-7 Rivers Data'!$B$2:$Z$9,2,FALSE))</f>
        <v/>
      </c>
      <c r="F232" s="172" t="str">
        <f>IFERROR(VLOOKUP(E232,'G-7 Rivers Data'!$C$4:$D$8,2,FALSE),"")</f>
        <v/>
      </c>
      <c r="G232" s="173"/>
      <c r="H232" s="172" t="str">
        <f>IFERROR(INDEX('G-7 Rivers Data'!$H$4:$L$8,MATCH(C232,'G-7 Rivers Data'!$B$4:$B$8,0),MATCH(G232,'G-7 Rivers Data'!$H$3:$L$3,0)),"")</f>
        <v/>
      </c>
      <c r="I232" s="173"/>
      <c r="J232" s="269" t="str">
        <f>IF(I232="","",IF(VLOOKUP(I232,'G-7 Rivers Data'!$AG$4:$AI$9,2,FALSE)=0,"Spatial Data Missing",VLOOKUP(I232,'G-7 Rivers Data'!$AG$4:$AI$9,2,FALSE)))</f>
        <v/>
      </c>
      <c r="K232" s="172" t="str">
        <f>IF(I232="","",IF(VLOOKUP(I232,'G-7 Rivers Data'!$AG$4:$AI$9,3,FALSE)=0,"Spatial Data Missing",VLOOKUP(I232,'G-7 Rivers Data'!$AG$4:$AI$9,3,FALSE)))</f>
        <v/>
      </c>
      <c r="L232" s="384" t="str">
        <f>IFERROR(INDEX('G-7 Rivers Data'!$O$3:$O$7,MATCH(G232,'G-7 Rivers Data'!$N$3:$N$7,0)),"")</f>
        <v/>
      </c>
      <c r="M232" s="82"/>
      <c r="N232" s="261"/>
      <c r="O232" s="179" t="str">
        <f t="shared" si="21"/>
        <v/>
      </c>
      <c r="P232" s="262" t="str">
        <f t="shared" si="22"/>
        <v/>
      </c>
      <c r="Q232" s="382" t="str">
        <f>IFERROR(IF(P232="Check Data","Check Data",VLOOKUP(P232,'G-4 Temporal multipliers'!$A$4:$C$37,3,FALSE)),"")</f>
        <v/>
      </c>
      <c r="R232" s="171" t="str">
        <f>IF(C232="","",VLOOKUP(C232,'G-7 Rivers Data'!$B$4:$G$8,4,FALSE))</f>
        <v/>
      </c>
      <c r="S232" s="179" t="str">
        <f t="shared" si="25"/>
        <v/>
      </c>
      <c r="T232" s="269" t="str">
        <f t="shared" si="26"/>
        <v/>
      </c>
      <c r="U232" s="172" t="str">
        <f t="shared" si="23"/>
        <v/>
      </c>
      <c r="V232" s="79"/>
      <c r="W232" s="172" t="str">
        <f>IF(V232="","",IF(VLOOKUP(V232,'G-7 Rivers Data'!$AA$4:$AB$7,2,FALSE)=0,"Spatial Data Missing",VLOOKUP(V232,'G-7 Rivers Data'!$AA$4:$AB$7,2,FALSE)))</f>
        <v/>
      </c>
      <c r="X232" s="187"/>
      <c r="Y232" s="172" t="str">
        <f>IF(X232="","",IF(VLOOKUP(X232,'G-7 Rivers Data'!$AD$4:$AE$8,2,FALSE)=0,"Enrcoachment Data Missing",VLOOKUP(X232,'G-7 Rivers Data'!$AD$4:$AE$8,2,FALSE)))</f>
        <v/>
      </c>
      <c r="Z232" s="186"/>
      <c r="AA232" s="176" t="str">
        <f>IF(Z232="","",VLOOKUP(Z232,'G-7 Rivers Data'!$AO$4:$AP$7,2,FALSE))</f>
        <v/>
      </c>
      <c r="AB232" s="265" t="str">
        <f t="shared" si="24"/>
        <v/>
      </c>
      <c r="AC232" s="180"/>
      <c r="AD232" s="181"/>
      <c r="AK232" s="35" t="str">
        <f>IFERROR(INDEX('G-7 Rivers Data'!$AZ$3:$AZ$7,MATCH(C232,'G-7 Rivers Data'!$AY$3:$AY$7,0)),"")</f>
        <v/>
      </c>
    </row>
    <row r="233" spans="2:37" ht="13.8" x14ac:dyDescent="0.25">
      <c r="B233" s="168">
        <v>222</v>
      </c>
      <c r="C233" s="184"/>
      <c r="D233" s="213"/>
      <c r="E233" s="171" t="str">
        <f>IF(C233="","",VLOOKUP(C233,'G-7 Rivers Data'!$B$2:$Z$9,2,FALSE))</f>
        <v/>
      </c>
      <c r="F233" s="172" t="str">
        <f>IFERROR(VLOOKUP(E233,'G-7 Rivers Data'!$C$4:$D$8,2,FALSE),"")</f>
        <v/>
      </c>
      <c r="G233" s="173"/>
      <c r="H233" s="172" t="str">
        <f>IFERROR(INDEX('G-7 Rivers Data'!$H$4:$L$8,MATCH(C233,'G-7 Rivers Data'!$B$4:$B$8,0),MATCH(G233,'G-7 Rivers Data'!$H$3:$L$3,0)),"")</f>
        <v/>
      </c>
      <c r="I233" s="173"/>
      <c r="J233" s="269" t="str">
        <f>IF(I233="","",IF(VLOOKUP(I233,'G-7 Rivers Data'!$AG$4:$AI$9,2,FALSE)=0,"Spatial Data Missing",VLOOKUP(I233,'G-7 Rivers Data'!$AG$4:$AI$9,2,FALSE)))</f>
        <v/>
      </c>
      <c r="K233" s="172" t="str">
        <f>IF(I233="","",IF(VLOOKUP(I233,'G-7 Rivers Data'!$AG$4:$AI$9,3,FALSE)=0,"Spatial Data Missing",VLOOKUP(I233,'G-7 Rivers Data'!$AG$4:$AI$9,3,FALSE)))</f>
        <v/>
      </c>
      <c r="L233" s="384" t="str">
        <f>IFERROR(INDEX('G-7 Rivers Data'!$O$3:$O$7,MATCH(G233,'G-7 Rivers Data'!$N$3:$N$7,0)),"")</f>
        <v/>
      </c>
      <c r="M233" s="82"/>
      <c r="N233" s="261"/>
      <c r="O233" s="179" t="str">
        <f t="shared" si="21"/>
        <v/>
      </c>
      <c r="P233" s="262" t="str">
        <f t="shared" si="22"/>
        <v/>
      </c>
      <c r="Q233" s="382" t="str">
        <f>IFERROR(IF(P233="Check Data","Check Data",VLOOKUP(P233,'G-4 Temporal multipliers'!$A$4:$C$37,3,FALSE)),"")</f>
        <v/>
      </c>
      <c r="R233" s="171" t="str">
        <f>IF(C233="","",VLOOKUP(C233,'G-7 Rivers Data'!$B$4:$G$8,4,FALSE))</f>
        <v/>
      </c>
      <c r="S233" s="179" t="str">
        <f t="shared" si="25"/>
        <v/>
      </c>
      <c r="T233" s="269" t="str">
        <f t="shared" si="26"/>
        <v/>
      </c>
      <c r="U233" s="172" t="str">
        <f t="shared" si="23"/>
        <v/>
      </c>
      <c r="V233" s="79"/>
      <c r="W233" s="172" t="str">
        <f>IF(V233="","",IF(VLOOKUP(V233,'G-7 Rivers Data'!$AA$4:$AB$7,2,FALSE)=0,"Spatial Data Missing",VLOOKUP(V233,'G-7 Rivers Data'!$AA$4:$AB$7,2,FALSE)))</f>
        <v/>
      </c>
      <c r="X233" s="187"/>
      <c r="Y233" s="172" t="str">
        <f>IF(X233="","",IF(VLOOKUP(X233,'G-7 Rivers Data'!$AD$4:$AE$8,2,FALSE)=0,"Enrcoachment Data Missing",VLOOKUP(X233,'G-7 Rivers Data'!$AD$4:$AE$8,2,FALSE)))</f>
        <v/>
      </c>
      <c r="Z233" s="186"/>
      <c r="AA233" s="176" t="str">
        <f>IF(Z233="","",VLOOKUP(Z233,'G-7 Rivers Data'!$AO$4:$AP$7,2,FALSE))</f>
        <v/>
      </c>
      <c r="AB233" s="265" t="str">
        <f t="shared" si="24"/>
        <v/>
      </c>
      <c r="AC233" s="180"/>
      <c r="AD233" s="181"/>
      <c r="AK233" s="35" t="str">
        <f>IFERROR(INDEX('G-7 Rivers Data'!$AZ$3:$AZ$7,MATCH(C233,'G-7 Rivers Data'!$AY$3:$AY$7,0)),"")</f>
        <v/>
      </c>
    </row>
    <row r="234" spans="2:37" ht="13.8" x14ac:dyDescent="0.25">
      <c r="B234" s="168">
        <v>223</v>
      </c>
      <c r="C234" s="184"/>
      <c r="D234" s="213"/>
      <c r="E234" s="171" t="str">
        <f>IF(C234="","",VLOOKUP(C234,'G-7 Rivers Data'!$B$2:$Z$9,2,FALSE))</f>
        <v/>
      </c>
      <c r="F234" s="172" t="str">
        <f>IFERROR(VLOOKUP(E234,'G-7 Rivers Data'!$C$4:$D$8,2,FALSE),"")</f>
        <v/>
      </c>
      <c r="G234" s="173"/>
      <c r="H234" s="172" t="str">
        <f>IFERROR(INDEX('G-7 Rivers Data'!$H$4:$L$8,MATCH(C234,'G-7 Rivers Data'!$B$4:$B$8,0),MATCH(G234,'G-7 Rivers Data'!$H$3:$L$3,0)),"")</f>
        <v/>
      </c>
      <c r="I234" s="173"/>
      <c r="J234" s="269" t="str">
        <f>IF(I234="","",IF(VLOOKUP(I234,'G-7 Rivers Data'!$AG$4:$AI$9,2,FALSE)=0,"Spatial Data Missing",VLOOKUP(I234,'G-7 Rivers Data'!$AG$4:$AI$9,2,FALSE)))</f>
        <v/>
      </c>
      <c r="K234" s="172" t="str">
        <f>IF(I234="","",IF(VLOOKUP(I234,'G-7 Rivers Data'!$AG$4:$AI$9,3,FALSE)=0,"Spatial Data Missing",VLOOKUP(I234,'G-7 Rivers Data'!$AG$4:$AI$9,3,FALSE)))</f>
        <v/>
      </c>
      <c r="L234" s="384" t="str">
        <f>IFERROR(INDEX('G-7 Rivers Data'!$O$3:$O$7,MATCH(G234,'G-7 Rivers Data'!$N$3:$N$7,0)),"")</f>
        <v/>
      </c>
      <c r="M234" s="82"/>
      <c r="N234" s="261"/>
      <c r="O234" s="179" t="str">
        <f t="shared" si="21"/>
        <v/>
      </c>
      <c r="P234" s="262" t="str">
        <f t="shared" si="22"/>
        <v/>
      </c>
      <c r="Q234" s="382" t="str">
        <f>IFERROR(IF(P234="Check Data","Check Data",VLOOKUP(P234,'G-4 Temporal multipliers'!$A$4:$C$37,3,FALSE)),"")</f>
        <v/>
      </c>
      <c r="R234" s="171" t="str">
        <f>IF(C234="","",VLOOKUP(C234,'G-7 Rivers Data'!$B$4:$G$8,4,FALSE))</f>
        <v/>
      </c>
      <c r="S234" s="179" t="str">
        <f t="shared" si="25"/>
        <v/>
      </c>
      <c r="T234" s="269" t="str">
        <f t="shared" si="26"/>
        <v/>
      </c>
      <c r="U234" s="172" t="str">
        <f t="shared" si="23"/>
        <v/>
      </c>
      <c r="V234" s="79"/>
      <c r="W234" s="172" t="str">
        <f>IF(V234="","",IF(VLOOKUP(V234,'G-7 Rivers Data'!$AA$4:$AB$7,2,FALSE)=0,"Spatial Data Missing",VLOOKUP(V234,'G-7 Rivers Data'!$AA$4:$AB$7,2,FALSE)))</f>
        <v/>
      </c>
      <c r="X234" s="187"/>
      <c r="Y234" s="172" t="str">
        <f>IF(X234="","",IF(VLOOKUP(X234,'G-7 Rivers Data'!$AD$4:$AE$8,2,FALSE)=0,"Enrcoachment Data Missing",VLOOKUP(X234,'G-7 Rivers Data'!$AD$4:$AE$8,2,FALSE)))</f>
        <v/>
      </c>
      <c r="Z234" s="186"/>
      <c r="AA234" s="176" t="str">
        <f>IF(Z234="","",VLOOKUP(Z234,'G-7 Rivers Data'!$AO$4:$AP$7,2,FALSE))</f>
        <v/>
      </c>
      <c r="AB234" s="265" t="str">
        <f t="shared" si="24"/>
        <v/>
      </c>
      <c r="AC234" s="180"/>
      <c r="AD234" s="181"/>
      <c r="AK234" s="35" t="str">
        <f>IFERROR(INDEX('G-7 Rivers Data'!$AZ$3:$AZ$7,MATCH(C234,'G-7 Rivers Data'!$AY$3:$AY$7,0)),"")</f>
        <v/>
      </c>
    </row>
    <row r="235" spans="2:37" ht="13.8" x14ac:dyDescent="0.25">
      <c r="B235" s="168">
        <v>224</v>
      </c>
      <c r="C235" s="184"/>
      <c r="D235" s="213"/>
      <c r="E235" s="171" t="str">
        <f>IF(C235="","",VLOOKUP(C235,'G-7 Rivers Data'!$B$2:$Z$9,2,FALSE))</f>
        <v/>
      </c>
      <c r="F235" s="172" t="str">
        <f>IFERROR(VLOOKUP(E235,'G-7 Rivers Data'!$C$4:$D$8,2,FALSE),"")</f>
        <v/>
      </c>
      <c r="G235" s="173"/>
      <c r="H235" s="172" t="str">
        <f>IFERROR(INDEX('G-7 Rivers Data'!$H$4:$L$8,MATCH(C235,'G-7 Rivers Data'!$B$4:$B$8,0),MATCH(G235,'G-7 Rivers Data'!$H$3:$L$3,0)),"")</f>
        <v/>
      </c>
      <c r="I235" s="173"/>
      <c r="J235" s="269" t="str">
        <f>IF(I235="","",IF(VLOOKUP(I235,'G-7 Rivers Data'!$AG$4:$AI$9,2,FALSE)=0,"Spatial Data Missing",VLOOKUP(I235,'G-7 Rivers Data'!$AG$4:$AI$9,2,FALSE)))</f>
        <v/>
      </c>
      <c r="K235" s="172" t="str">
        <f>IF(I235="","",IF(VLOOKUP(I235,'G-7 Rivers Data'!$AG$4:$AI$9,3,FALSE)=0,"Spatial Data Missing",VLOOKUP(I235,'G-7 Rivers Data'!$AG$4:$AI$9,3,FALSE)))</f>
        <v/>
      </c>
      <c r="L235" s="384" t="str">
        <f>IFERROR(INDEX('G-7 Rivers Data'!$O$3:$O$7,MATCH(G235,'G-7 Rivers Data'!$N$3:$N$7,0)),"")</f>
        <v/>
      </c>
      <c r="M235" s="82"/>
      <c r="N235" s="261"/>
      <c r="O235" s="179" t="str">
        <f t="shared" si="21"/>
        <v/>
      </c>
      <c r="P235" s="262" t="str">
        <f t="shared" si="22"/>
        <v/>
      </c>
      <c r="Q235" s="382" t="str">
        <f>IFERROR(IF(P235="Check Data","Check Data",VLOOKUP(P235,'G-4 Temporal multipliers'!$A$4:$C$37,3,FALSE)),"")</f>
        <v/>
      </c>
      <c r="R235" s="171" t="str">
        <f>IF(C235="","",VLOOKUP(C235,'G-7 Rivers Data'!$B$4:$G$8,4,FALSE))</f>
        <v/>
      </c>
      <c r="S235" s="179" t="str">
        <f t="shared" si="25"/>
        <v/>
      </c>
      <c r="T235" s="269" t="str">
        <f t="shared" si="26"/>
        <v/>
      </c>
      <c r="U235" s="172" t="str">
        <f t="shared" si="23"/>
        <v/>
      </c>
      <c r="V235" s="79"/>
      <c r="W235" s="172" t="str">
        <f>IF(V235="","",IF(VLOOKUP(V235,'G-7 Rivers Data'!$AA$4:$AB$7,2,FALSE)=0,"Spatial Data Missing",VLOOKUP(V235,'G-7 Rivers Data'!$AA$4:$AB$7,2,FALSE)))</f>
        <v/>
      </c>
      <c r="X235" s="187"/>
      <c r="Y235" s="172" t="str">
        <f>IF(X235="","",IF(VLOOKUP(X235,'G-7 Rivers Data'!$AD$4:$AE$8,2,FALSE)=0,"Enrcoachment Data Missing",VLOOKUP(X235,'G-7 Rivers Data'!$AD$4:$AE$8,2,FALSE)))</f>
        <v/>
      </c>
      <c r="Z235" s="186"/>
      <c r="AA235" s="176" t="str">
        <f>IF(Z235="","",VLOOKUP(Z235,'G-7 Rivers Data'!$AO$4:$AP$7,2,FALSE))</f>
        <v/>
      </c>
      <c r="AB235" s="265" t="str">
        <f t="shared" si="24"/>
        <v/>
      </c>
      <c r="AC235" s="180"/>
      <c r="AD235" s="181"/>
      <c r="AK235" s="35" t="str">
        <f>IFERROR(INDEX('G-7 Rivers Data'!$AZ$3:$AZ$7,MATCH(C235,'G-7 Rivers Data'!$AY$3:$AY$7,0)),"")</f>
        <v/>
      </c>
    </row>
    <row r="236" spans="2:37" ht="13.8" x14ac:dyDescent="0.25">
      <c r="B236" s="168">
        <v>225</v>
      </c>
      <c r="C236" s="184"/>
      <c r="D236" s="213"/>
      <c r="E236" s="171" t="str">
        <f>IF(C236="","",VLOOKUP(C236,'G-7 Rivers Data'!$B$2:$Z$9,2,FALSE))</f>
        <v/>
      </c>
      <c r="F236" s="172" t="str">
        <f>IFERROR(VLOOKUP(E236,'G-7 Rivers Data'!$C$4:$D$8,2,FALSE),"")</f>
        <v/>
      </c>
      <c r="G236" s="173"/>
      <c r="H236" s="172" t="str">
        <f>IFERROR(INDEX('G-7 Rivers Data'!$H$4:$L$8,MATCH(C236,'G-7 Rivers Data'!$B$4:$B$8,0),MATCH(G236,'G-7 Rivers Data'!$H$3:$L$3,0)),"")</f>
        <v/>
      </c>
      <c r="I236" s="173"/>
      <c r="J236" s="269" t="str">
        <f>IF(I236="","",IF(VLOOKUP(I236,'G-7 Rivers Data'!$AG$4:$AI$9,2,FALSE)=0,"Spatial Data Missing",VLOOKUP(I236,'G-7 Rivers Data'!$AG$4:$AI$9,2,FALSE)))</f>
        <v/>
      </c>
      <c r="K236" s="172" t="str">
        <f>IF(I236="","",IF(VLOOKUP(I236,'G-7 Rivers Data'!$AG$4:$AI$9,3,FALSE)=0,"Spatial Data Missing",VLOOKUP(I236,'G-7 Rivers Data'!$AG$4:$AI$9,3,FALSE)))</f>
        <v/>
      </c>
      <c r="L236" s="384" t="str">
        <f>IFERROR(INDEX('G-7 Rivers Data'!$O$3:$O$7,MATCH(G236,'G-7 Rivers Data'!$N$3:$N$7,0)),"")</f>
        <v/>
      </c>
      <c r="M236" s="82"/>
      <c r="N236" s="261"/>
      <c r="O236" s="179" t="str">
        <f t="shared" si="21"/>
        <v/>
      </c>
      <c r="P236" s="262" t="str">
        <f t="shared" si="22"/>
        <v/>
      </c>
      <c r="Q236" s="382" t="str">
        <f>IFERROR(IF(P236="Check Data","Check Data",VLOOKUP(P236,'G-4 Temporal multipliers'!$A$4:$C$37,3,FALSE)),"")</f>
        <v/>
      </c>
      <c r="R236" s="171" t="str">
        <f>IF(C236="","",VLOOKUP(C236,'G-7 Rivers Data'!$B$4:$G$8,4,FALSE))</f>
        <v/>
      </c>
      <c r="S236" s="179" t="str">
        <f t="shared" si="25"/>
        <v/>
      </c>
      <c r="T236" s="269" t="str">
        <f t="shared" si="26"/>
        <v/>
      </c>
      <c r="U236" s="172" t="str">
        <f t="shared" si="23"/>
        <v/>
      </c>
      <c r="V236" s="79"/>
      <c r="W236" s="172" t="str">
        <f>IF(V236="","",IF(VLOOKUP(V236,'G-7 Rivers Data'!$AA$4:$AB$7,2,FALSE)=0,"Spatial Data Missing",VLOOKUP(V236,'G-7 Rivers Data'!$AA$4:$AB$7,2,FALSE)))</f>
        <v/>
      </c>
      <c r="X236" s="187"/>
      <c r="Y236" s="172" t="str">
        <f>IF(X236="","",IF(VLOOKUP(X236,'G-7 Rivers Data'!$AD$4:$AE$8,2,FALSE)=0,"Enrcoachment Data Missing",VLOOKUP(X236,'G-7 Rivers Data'!$AD$4:$AE$8,2,FALSE)))</f>
        <v/>
      </c>
      <c r="Z236" s="186"/>
      <c r="AA236" s="176" t="str">
        <f>IF(Z236="","",VLOOKUP(Z236,'G-7 Rivers Data'!$AO$4:$AP$7,2,FALSE))</f>
        <v/>
      </c>
      <c r="AB236" s="265" t="str">
        <f t="shared" si="24"/>
        <v/>
      </c>
      <c r="AC236" s="180"/>
      <c r="AD236" s="181"/>
      <c r="AK236" s="35" t="str">
        <f>IFERROR(INDEX('G-7 Rivers Data'!$AZ$3:$AZ$7,MATCH(C236,'G-7 Rivers Data'!$AY$3:$AY$7,0)),"")</f>
        <v/>
      </c>
    </row>
    <row r="237" spans="2:37" ht="13.8" x14ac:dyDescent="0.25">
      <c r="B237" s="168">
        <v>226</v>
      </c>
      <c r="C237" s="184"/>
      <c r="D237" s="213"/>
      <c r="E237" s="171" t="str">
        <f>IF(C237="","",VLOOKUP(C237,'G-7 Rivers Data'!$B$2:$Z$9,2,FALSE))</f>
        <v/>
      </c>
      <c r="F237" s="172" t="str">
        <f>IFERROR(VLOOKUP(E237,'G-7 Rivers Data'!$C$4:$D$8,2,FALSE),"")</f>
        <v/>
      </c>
      <c r="G237" s="173"/>
      <c r="H237" s="172" t="str">
        <f>IFERROR(INDEX('G-7 Rivers Data'!$H$4:$L$8,MATCH(C237,'G-7 Rivers Data'!$B$4:$B$8,0),MATCH(G237,'G-7 Rivers Data'!$H$3:$L$3,0)),"")</f>
        <v/>
      </c>
      <c r="I237" s="173"/>
      <c r="J237" s="269" t="str">
        <f>IF(I237="","",IF(VLOOKUP(I237,'G-7 Rivers Data'!$AG$4:$AI$9,2,FALSE)=0,"Spatial Data Missing",VLOOKUP(I237,'G-7 Rivers Data'!$AG$4:$AI$9,2,FALSE)))</f>
        <v/>
      </c>
      <c r="K237" s="172" t="str">
        <f>IF(I237="","",IF(VLOOKUP(I237,'G-7 Rivers Data'!$AG$4:$AI$9,3,FALSE)=0,"Spatial Data Missing",VLOOKUP(I237,'G-7 Rivers Data'!$AG$4:$AI$9,3,FALSE)))</f>
        <v/>
      </c>
      <c r="L237" s="384" t="str">
        <f>IFERROR(INDEX('G-7 Rivers Data'!$O$3:$O$7,MATCH(G237,'G-7 Rivers Data'!$N$3:$N$7,0)),"")</f>
        <v/>
      </c>
      <c r="M237" s="82"/>
      <c r="N237" s="261"/>
      <c r="O237" s="179" t="str">
        <f t="shared" si="21"/>
        <v/>
      </c>
      <c r="P237" s="262" t="str">
        <f t="shared" si="22"/>
        <v/>
      </c>
      <c r="Q237" s="382" t="str">
        <f>IFERROR(IF(P237="Check Data","Check Data",VLOOKUP(P237,'G-4 Temporal multipliers'!$A$4:$C$37,3,FALSE)),"")</f>
        <v/>
      </c>
      <c r="R237" s="171" t="str">
        <f>IF(C237="","",VLOOKUP(C237,'G-7 Rivers Data'!$B$4:$G$8,4,FALSE))</f>
        <v/>
      </c>
      <c r="S237" s="179" t="str">
        <f t="shared" si="25"/>
        <v/>
      </c>
      <c r="T237" s="269" t="str">
        <f t="shared" si="26"/>
        <v/>
      </c>
      <c r="U237" s="172" t="str">
        <f t="shared" si="23"/>
        <v/>
      </c>
      <c r="V237" s="79"/>
      <c r="W237" s="172" t="str">
        <f>IF(V237="","",IF(VLOOKUP(V237,'G-7 Rivers Data'!$AA$4:$AB$7,2,FALSE)=0,"Spatial Data Missing",VLOOKUP(V237,'G-7 Rivers Data'!$AA$4:$AB$7,2,FALSE)))</f>
        <v/>
      </c>
      <c r="X237" s="187"/>
      <c r="Y237" s="172" t="str">
        <f>IF(X237="","",IF(VLOOKUP(X237,'G-7 Rivers Data'!$AD$4:$AE$8,2,FALSE)=0,"Enrcoachment Data Missing",VLOOKUP(X237,'G-7 Rivers Data'!$AD$4:$AE$8,2,FALSE)))</f>
        <v/>
      </c>
      <c r="Z237" s="186"/>
      <c r="AA237" s="176" t="str">
        <f>IF(Z237="","",VLOOKUP(Z237,'G-7 Rivers Data'!$AO$4:$AP$7,2,FALSE))</f>
        <v/>
      </c>
      <c r="AB237" s="265" t="str">
        <f t="shared" si="24"/>
        <v/>
      </c>
      <c r="AC237" s="180"/>
      <c r="AD237" s="181"/>
      <c r="AK237" s="35" t="str">
        <f>IFERROR(INDEX('G-7 Rivers Data'!$AZ$3:$AZ$7,MATCH(C237,'G-7 Rivers Data'!$AY$3:$AY$7,0)),"")</f>
        <v/>
      </c>
    </row>
    <row r="238" spans="2:37" ht="13.8" x14ac:dyDescent="0.25">
      <c r="B238" s="168">
        <v>227</v>
      </c>
      <c r="C238" s="184"/>
      <c r="D238" s="213"/>
      <c r="E238" s="171" t="str">
        <f>IF(C238="","",VLOOKUP(C238,'G-7 Rivers Data'!$B$2:$Z$9,2,FALSE))</f>
        <v/>
      </c>
      <c r="F238" s="172" t="str">
        <f>IFERROR(VLOOKUP(E238,'G-7 Rivers Data'!$C$4:$D$8,2,FALSE),"")</f>
        <v/>
      </c>
      <c r="G238" s="173"/>
      <c r="H238" s="172" t="str">
        <f>IFERROR(INDEX('G-7 Rivers Data'!$H$4:$L$8,MATCH(C238,'G-7 Rivers Data'!$B$4:$B$8,0),MATCH(G238,'G-7 Rivers Data'!$H$3:$L$3,0)),"")</f>
        <v/>
      </c>
      <c r="I238" s="173"/>
      <c r="J238" s="269" t="str">
        <f>IF(I238="","",IF(VLOOKUP(I238,'G-7 Rivers Data'!$AG$4:$AI$9,2,FALSE)=0,"Spatial Data Missing",VLOOKUP(I238,'G-7 Rivers Data'!$AG$4:$AI$9,2,FALSE)))</f>
        <v/>
      </c>
      <c r="K238" s="172" t="str">
        <f>IF(I238="","",IF(VLOOKUP(I238,'G-7 Rivers Data'!$AG$4:$AI$9,3,FALSE)=0,"Spatial Data Missing",VLOOKUP(I238,'G-7 Rivers Data'!$AG$4:$AI$9,3,FALSE)))</f>
        <v/>
      </c>
      <c r="L238" s="384" t="str">
        <f>IFERROR(INDEX('G-7 Rivers Data'!$O$3:$O$7,MATCH(G238,'G-7 Rivers Data'!$N$3:$N$7,0)),"")</f>
        <v/>
      </c>
      <c r="M238" s="82"/>
      <c r="N238" s="261"/>
      <c r="O238" s="179" t="str">
        <f t="shared" si="21"/>
        <v/>
      </c>
      <c r="P238" s="262" t="str">
        <f t="shared" si="22"/>
        <v/>
      </c>
      <c r="Q238" s="382" t="str">
        <f>IFERROR(IF(P238="Check Data","Check Data",VLOOKUP(P238,'G-4 Temporal multipliers'!$A$4:$C$37,3,FALSE)),"")</f>
        <v/>
      </c>
      <c r="R238" s="171" t="str">
        <f>IF(C238="","",VLOOKUP(C238,'G-7 Rivers Data'!$B$4:$G$8,4,FALSE))</f>
        <v/>
      </c>
      <c r="S238" s="179" t="str">
        <f t="shared" si="25"/>
        <v/>
      </c>
      <c r="T238" s="269" t="str">
        <f t="shared" si="26"/>
        <v/>
      </c>
      <c r="U238" s="172" t="str">
        <f t="shared" si="23"/>
        <v/>
      </c>
      <c r="V238" s="79"/>
      <c r="W238" s="172" t="str">
        <f>IF(V238="","",IF(VLOOKUP(V238,'G-7 Rivers Data'!$AA$4:$AB$7,2,FALSE)=0,"Spatial Data Missing",VLOOKUP(V238,'G-7 Rivers Data'!$AA$4:$AB$7,2,FALSE)))</f>
        <v/>
      </c>
      <c r="X238" s="187"/>
      <c r="Y238" s="172" t="str">
        <f>IF(X238="","",IF(VLOOKUP(X238,'G-7 Rivers Data'!$AD$4:$AE$8,2,FALSE)=0,"Enrcoachment Data Missing",VLOOKUP(X238,'G-7 Rivers Data'!$AD$4:$AE$8,2,FALSE)))</f>
        <v/>
      </c>
      <c r="Z238" s="186"/>
      <c r="AA238" s="176" t="str">
        <f>IF(Z238="","",VLOOKUP(Z238,'G-7 Rivers Data'!$AO$4:$AP$7,2,FALSE))</f>
        <v/>
      </c>
      <c r="AB238" s="265" t="str">
        <f t="shared" si="24"/>
        <v/>
      </c>
      <c r="AC238" s="180"/>
      <c r="AD238" s="181"/>
      <c r="AK238" s="35" t="str">
        <f>IFERROR(INDEX('G-7 Rivers Data'!$AZ$3:$AZ$7,MATCH(C238,'G-7 Rivers Data'!$AY$3:$AY$7,0)),"")</f>
        <v/>
      </c>
    </row>
    <row r="239" spans="2:37" ht="13.8" x14ac:dyDescent="0.25">
      <c r="B239" s="168">
        <v>228</v>
      </c>
      <c r="C239" s="184"/>
      <c r="D239" s="213"/>
      <c r="E239" s="171" t="str">
        <f>IF(C239="","",VLOOKUP(C239,'G-7 Rivers Data'!$B$2:$Z$9,2,FALSE))</f>
        <v/>
      </c>
      <c r="F239" s="172" t="str">
        <f>IFERROR(VLOOKUP(E239,'G-7 Rivers Data'!$C$4:$D$8,2,FALSE),"")</f>
        <v/>
      </c>
      <c r="G239" s="173"/>
      <c r="H239" s="172" t="str">
        <f>IFERROR(INDEX('G-7 Rivers Data'!$H$4:$L$8,MATCH(C239,'G-7 Rivers Data'!$B$4:$B$8,0),MATCH(G239,'G-7 Rivers Data'!$H$3:$L$3,0)),"")</f>
        <v/>
      </c>
      <c r="I239" s="173"/>
      <c r="J239" s="269" t="str">
        <f>IF(I239="","",IF(VLOOKUP(I239,'G-7 Rivers Data'!$AG$4:$AI$9,2,FALSE)=0,"Spatial Data Missing",VLOOKUP(I239,'G-7 Rivers Data'!$AG$4:$AI$9,2,FALSE)))</f>
        <v/>
      </c>
      <c r="K239" s="172" t="str">
        <f>IF(I239="","",IF(VLOOKUP(I239,'G-7 Rivers Data'!$AG$4:$AI$9,3,FALSE)=0,"Spatial Data Missing",VLOOKUP(I239,'G-7 Rivers Data'!$AG$4:$AI$9,3,FALSE)))</f>
        <v/>
      </c>
      <c r="L239" s="384" t="str">
        <f>IFERROR(INDEX('G-7 Rivers Data'!$O$3:$O$7,MATCH(G239,'G-7 Rivers Data'!$N$3:$N$7,0)),"")</f>
        <v/>
      </c>
      <c r="M239" s="82"/>
      <c r="N239" s="261"/>
      <c r="O239" s="179" t="str">
        <f t="shared" si="21"/>
        <v/>
      </c>
      <c r="P239" s="262" t="str">
        <f t="shared" si="22"/>
        <v/>
      </c>
      <c r="Q239" s="382" t="str">
        <f>IFERROR(IF(P239="Check Data","Check Data",VLOOKUP(P239,'G-4 Temporal multipliers'!$A$4:$C$37,3,FALSE)),"")</f>
        <v/>
      </c>
      <c r="R239" s="171" t="str">
        <f>IF(C239="","",VLOOKUP(C239,'G-7 Rivers Data'!$B$4:$G$8,4,FALSE))</f>
        <v/>
      </c>
      <c r="S239" s="179" t="str">
        <f t="shared" si="25"/>
        <v/>
      </c>
      <c r="T239" s="269" t="str">
        <f t="shared" si="26"/>
        <v/>
      </c>
      <c r="U239" s="172" t="str">
        <f t="shared" si="23"/>
        <v/>
      </c>
      <c r="V239" s="79"/>
      <c r="W239" s="172" t="str">
        <f>IF(V239="","",IF(VLOOKUP(V239,'G-7 Rivers Data'!$AA$4:$AB$7,2,FALSE)=0,"Spatial Data Missing",VLOOKUP(V239,'G-7 Rivers Data'!$AA$4:$AB$7,2,FALSE)))</f>
        <v/>
      </c>
      <c r="X239" s="187"/>
      <c r="Y239" s="172" t="str">
        <f>IF(X239="","",IF(VLOOKUP(X239,'G-7 Rivers Data'!$AD$4:$AE$8,2,FALSE)=0,"Enrcoachment Data Missing",VLOOKUP(X239,'G-7 Rivers Data'!$AD$4:$AE$8,2,FALSE)))</f>
        <v/>
      </c>
      <c r="Z239" s="186"/>
      <c r="AA239" s="176" t="str">
        <f>IF(Z239="","",VLOOKUP(Z239,'G-7 Rivers Data'!$AO$4:$AP$7,2,FALSE))</f>
        <v/>
      </c>
      <c r="AB239" s="265" t="str">
        <f t="shared" si="24"/>
        <v/>
      </c>
      <c r="AC239" s="180"/>
      <c r="AD239" s="181"/>
      <c r="AK239" s="35" t="str">
        <f>IFERROR(INDEX('G-7 Rivers Data'!$AZ$3:$AZ$7,MATCH(C239,'G-7 Rivers Data'!$AY$3:$AY$7,0)),"")</f>
        <v/>
      </c>
    </row>
    <row r="240" spans="2:37" ht="13.8" x14ac:dyDescent="0.25">
      <c r="B240" s="168">
        <v>229</v>
      </c>
      <c r="C240" s="184"/>
      <c r="D240" s="213"/>
      <c r="E240" s="171" t="str">
        <f>IF(C240="","",VLOOKUP(C240,'G-7 Rivers Data'!$B$2:$Z$9,2,FALSE))</f>
        <v/>
      </c>
      <c r="F240" s="172" t="str">
        <f>IFERROR(VLOOKUP(E240,'G-7 Rivers Data'!$C$4:$D$8,2,FALSE),"")</f>
        <v/>
      </c>
      <c r="G240" s="173"/>
      <c r="H240" s="172" t="str">
        <f>IFERROR(INDEX('G-7 Rivers Data'!$H$4:$L$8,MATCH(C240,'G-7 Rivers Data'!$B$4:$B$8,0),MATCH(G240,'G-7 Rivers Data'!$H$3:$L$3,0)),"")</f>
        <v/>
      </c>
      <c r="I240" s="173"/>
      <c r="J240" s="269" t="str">
        <f>IF(I240="","",IF(VLOOKUP(I240,'G-7 Rivers Data'!$AG$4:$AI$9,2,FALSE)=0,"Spatial Data Missing",VLOOKUP(I240,'G-7 Rivers Data'!$AG$4:$AI$9,2,FALSE)))</f>
        <v/>
      </c>
      <c r="K240" s="172" t="str">
        <f>IF(I240="","",IF(VLOOKUP(I240,'G-7 Rivers Data'!$AG$4:$AI$9,3,FALSE)=0,"Spatial Data Missing",VLOOKUP(I240,'G-7 Rivers Data'!$AG$4:$AI$9,3,FALSE)))</f>
        <v/>
      </c>
      <c r="L240" s="384" t="str">
        <f>IFERROR(INDEX('G-7 Rivers Data'!$O$3:$O$7,MATCH(G240,'G-7 Rivers Data'!$N$3:$N$7,0)),"")</f>
        <v/>
      </c>
      <c r="M240" s="82"/>
      <c r="N240" s="261"/>
      <c r="O240" s="179" t="str">
        <f t="shared" si="21"/>
        <v/>
      </c>
      <c r="P240" s="262" t="str">
        <f t="shared" si="22"/>
        <v/>
      </c>
      <c r="Q240" s="382" t="str">
        <f>IFERROR(IF(P240="Check Data","Check Data",VLOOKUP(P240,'G-4 Temporal multipliers'!$A$4:$C$37,3,FALSE)),"")</f>
        <v/>
      </c>
      <c r="R240" s="171" t="str">
        <f>IF(C240="","",VLOOKUP(C240,'G-7 Rivers Data'!$B$4:$G$8,4,FALSE))</f>
        <v/>
      </c>
      <c r="S240" s="179" t="str">
        <f t="shared" si="25"/>
        <v/>
      </c>
      <c r="T240" s="269" t="str">
        <f t="shared" si="26"/>
        <v/>
      </c>
      <c r="U240" s="172" t="str">
        <f t="shared" si="23"/>
        <v/>
      </c>
      <c r="V240" s="79"/>
      <c r="W240" s="172" t="str">
        <f>IF(V240="","",IF(VLOOKUP(V240,'G-7 Rivers Data'!$AA$4:$AB$7,2,FALSE)=0,"Spatial Data Missing",VLOOKUP(V240,'G-7 Rivers Data'!$AA$4:$AB$7,2,FALSE)))</f>
        <v/>
      </c>
      <c r="X240" s="187"/>
      <c r="Y240" s="172" t="str">
        <f>IF(X240="","",IF(VLOOKUP(X240,'G-7 Rivers Data'!$AD$4:$AE$8,2,FALSE)=0,"Enrcoachment Data Missing",VLOOKUP(X240,'G-7 Rivers Data'!$AD$4:$AE$8,2,FALSE)))</f>
        <v/>
      </c>
      <c r="Z240" s="186"/>
      <c r="AA240" s="176" t="str">
        <f>IF(Z240="","",VLOOKUP(Z240,'G-7 Rivers Data'!$AO$4:$AP$7,2,FALSE))</f>
        <v/>
      </c>
      <c r="AB240" s="265" t="str">
        <f t="shared" si="24"/>
        <v/>
      </c>
      <c r="AC240" s="180"/>
      <c r="AD240" s="181"/>
      <c r="AK240" s="35" t="str">
        <f>IFERROR(INDEX('G-7 Rivers Data'!$AZ$3:$AZ$7,MATCH(C240,'G-7 Rivers Data'!$AY$3:$AY$7,0)),"")</f>
        <v/>
      </c>
    </row>
    <row r="241" spans="2:37" ht="27.6" x14ac:dyDescent="0.25">
      <c r="B241" s="168">
        <v>230</v>
      </c>
      <c r="C241" s="184"/>
      <c r="D241" s="213"/>
      <c r="E241" s="171" t="str">
        <f>IF(C241="","",VLOOKUP(C241,'G-7 Rivers Data'!$B$2:$Z$9,2,FALSE))</f>
        <v/>
      </c>
      <c r="F241" s="172" t="str">
        <f>IFERROR(VLOOKUP(E241,'G-7 Rivers Data'!$C$4:$D$8,2,FALSE),"")</f>
        <v/>
      </c>
      <c r="G241" s="173"/>
      <c r="H241" s="172" t="str">
        <f>IFERROR(INDEX('G-7 Rivers Data'!$H$4:$L$8,MATCH(C241,'G-7 Rivers Data'!$B$4:$B$8,0),MATCH(G241,'G-7 Rivers Data'!$H$3:$L$3,0)),"")</f>
        <v/>
      </c>
      <c r="I241" s="173" t="s">
        <v>356</v>
      </c>
      <c r="J241" s="269" t="str">
        <f>IF(I241="","",IF(VLOOKUP(I241,'G-7 Rivers Data'!$AG$4:$AI$9,2,FALSE)=0,"Spatial Data Missing",VLOOKUP(I241,'G-7 Rivers Data'!$AG$4:$AI$9,2,FALSE)))</f>
        <v xml:space="preserve">High strategic significance </v>
      </c>
      <c r="K241" s="172">
        <f>IF(I241="","",IF(VLOOKUP(I241,'G-7 Rivers Data'!$AG$4:$AI$9,3,FALSE)=0,"Spatial Data Missing",VLOOKUP(I241,'G-7 Rivers Data'!$AG$4:$AI$9,3,FALSE)))</f>
        <v>1.1499999999999999</v>
      </c>
      <c r="L241" s="384" t="str">
        <f>IFERROR(INDEX('G-7 Rivers Data'!$O$3:$O$7,MATCH(G241,'G-7 Rivers Data'!$N$3:$N$7,0)),"")</f>
        <v/>
      </c>
      <c r="M241" s="82"/>
      <c r="N241" s="261"/>
      <c r="O241" s="179" t="str">
        <f t="shared" si="21"/>
        <v/>
      </c>
      <c r="P241" s="262" t="str">
        <f t="shared" si="22"/>
        <v/>
      </c>
      <c r="Q241" s="382" t="str">
        <f>IFERROR(IF(P241="Check Data","Check Data",VLOOKUP(P241,'G-4 Temporal multipliers'!$A$4:$C$37,3,FALSE)),"")</f>
        <v/>
      </c>
      <c r="R241" s="171" t="str">
        <f>IF(C241="","",VLOOKUP(C241,'G-7 Rivers Data'!$B$4:$G$8,4,FALSE))</f>
        <v/>
      </c>
      <c r="S241" s="179" t="str">
        <f t="shared" si="25"/>
        <v/>
      </c>
      <c r="T241" s="269" t="str">
        <f t="shared" si="26"/>
        <v/>
      </c>
      <c r="U241" s="172" t="str">
        <f t="shared" si="23"/>
        <v/>
      </c>
      <c r="V241" s="79"/>
      <c r="W241" s="172" t="str">
        <f>IF(V241="","",IF(VLOOKUP(V241,'G-7 Rivers Data'!$AA$4:$AB$7,2,FALSE)=0,"Spatial Data Missing",VLOOKUP(V241,'G-7 Rivers Data'!$AA$4:$AB$7,2,FALSE)))</f>
        <v/>
      </c>
      <c r="X241" s="187"/>
      <c r="Y241" s="172" t="str">
        <f>IF(X241="","",IF(VLOOKUP(X241,'G-7 Rivers Data'!$AD$4:$AE$8,2,FALSE)=0,"Enrcoachment Data Missing",VLOOKUP(X241,'G-7 Rivers Data'!$AD$4:$AE$8,2,FALSE)))</f>
        <v/>
      </c>
      <c r="Z241" s="186"/>
      <c r="AA241" s="176" t="str">
        <f>IF(Z241="","",VLOOKUP(Z241,'G-7 Rivers Data'!$AO$4:$AP$7,2,FALSE))</f>
        <v/>
      </c>
      <c r="AB241" s="265" t="str">
        <f t="shared" si="24"/>
        <v/>
      </c>
      <c r="AC241" s="180"/>
      <c r="AD241" s="181"/>
      <c r="AK241" s="35" t="str">
        <f>IFERROR(INDEX('G-7 Rivers Data'!$AZ$3:$AZ$7,MATCH(C241,'G-7 Rivers Data'!$AY$3:$AY$7,0)),"")</f>
        <v/>
      </c>
    </row>
    <row r="242" spans="2:37" ht="13.8" x14ac:dyDescent="0.25">
      <c r="B242" s="168">
        <v>231</v>
      </c>
      <c r="C242" s="184"/>
      <c r="D242" s="213"/>
      <c r="E242" s="171" t="str">
        <f>IF(C242="","",VLOOKUP(C242,'G-7 Rivers Data'!$B$2:$Z$9,2,FALSE))</f>
        <v/>
      </c>
      <c r="F242" s="172" t="str">
        <f>IFERROR(VLOOKUP(E242,'G-7 Rivers Data'!$C$4:$D$8,2,FALSE),"")</f>
        <v/>
      </c>
      <c r="G242" s="173"/>
      <c r="H242" s="172" t="str">
        <f>IFERROR(INDEX('G-7 Rivers Data'!$H$4:$L$8,MATCH(C242,'G-7 Rivers Data'!$B$4:$B$8,0),MATCH(G242,'G-7 Rivers Data'!$H$3:$L$3,0)),"")</f>
        <v/>
      </c>
      <c r="I242" s="173"/>
      <c r="J242" s="269" t="str">
        <f>IF(I242="","",IF(VLOOKUP(I242,'G-7 Rivers Data'!$AG$4:$AI$9,2,FALSE)=0,"Spatial Data Missing",VLOOKUP(I242,'G-7 Rivers Data'!$AG$4:$AI$9,2,FALSE)))</f>
        <v/>
      </c>
      <c r="K242" s="172" t="str">
        <f>IF(I242="","",IF(VLOOKUP(I242,'G-7 Rivers Data'!$AG$4:$AI$9,3,FALSE)=0,"Spatial Data Missing",VLOOKUP(I242,'G-7 Rivers Data'!$AG$4:$AI$9,3,FALSE)))</f>
        <v/>
      </c>
      <c r="L242" s="384" t="str">
        <f>IFERROR(INDEX('G-7 Rivers Data'!$O$3:$O$7,MATCH(G242,'G-7 Rivers Data'!$N$3:$N$7,0)),"")</f>
        <v/>
      </c>
      <c r="M242" s="82"/>
      <c r="N242" s="261"/>
      <c r="O242" s="179" t="str">
        <f t="shared" si="21"/>
        <v/>
      </c>
      <c r="P242" s="262" t="str">
        <f t="shared" si="22"/>
        <v/>
      </c>
      <c r="Q242" s="382" t="str">
        <f>IFERROR(IF(P242="Check Data","Check Data",VLOOKUP(P242,'G-4 Temporal multipliers'!$A$4:$C$37,3,FALSE)),"")</f>
        <v/>
      </c>
      <c r="R242" s="171" t="str">
        <f>IF(C242="","",VLOOKUP(C242,'G-7 Rivers Data'!$B$4:$G$8,4,FALSE))</f>
        <v/>
      </c>
      <c r="S242" s="179" t="str">
        <f t="shared" si="25"/>
        <v/>
      </c>
      <c r="T242" s="269" t="str">
        <f t="shared" si="26"/>
        <v/>
      </c>
      <c r="U242" s="172" t="str">
        <f t="shared" si="23"/>
        <v/>
      </c>
      <c r="V242" s="79"/>
      <c r="W242" s="172" t="str">
        <f>IF(V242="","",IF(VLOOKUP(V242,'G-7 Rivers Data'!$AA$4:$AB$7,2,FALSE)=0,"Spatial Data Missing",VLOOKUP(V242,'G-7 Rivers Data'!$AA$4:$AB$7,2,FALSE)))</f>
        <v/>
      </c>
      <c r="X242" s="187"/>
      <c r="Y242" s="172" t="str">
        <f>IF(X242="","",IF(VLOOKUP(X242,'G-7 Rivers Data'!$AD$4:$AE$8,2,FALSE)=0,"Enrcoachment Data Missing",VLOOKUP(X242,'G-7 Rivers Data'!$AD$4:$AE$8,2,FALSE)))</f>
        <v/>
      </c>
      <c r="Z242" s="186"/>
      <c r="AA242" s="176" t="str">
        <f>IF(Z242="","",VLOOKUP(Z242,'G-7 Rivers Data'!$AO$4:$AP$7,2,FALSE))</f>
        <v/>
      </c>
      <c r="AB242" s="265" t="str">
        <f t="shared" si="24"/>
        <v/>
      </c>
      <c r="AC242" s="180"/>
      <c r="AD242" s="181"/>
      <c r="AK242" s="35" t="str">
        <f>IFERROR(INDEX('G-7 Rivers Data'!$AZ$3:$AZ$7,MATCH(C242,'G-7 Rivers Data'!$AY$3:$AY$7,0)),"")</f>
        <v/>
      </c>
    </row>
    <row r="243" spans="2:37" ht="13.8" x14ac:dyDescent="0.25">
      <c r="B243" s="168">
        <v>232</v>
      </c>
      <c r="C243" s="184"/>
      <c r="D243" s="213"/>
      <c r="E243" s="171" t="str">
        <f>IF(C243="","",VLOOKUP(C243,'G-7 Rivers Data'!$B$2:$Z$9,2,FALSE))</f>
        <v/>
      </c>
      <c r="F243" s="172" t="str">
        <f>IFERROR(VLOOKUP(E243,'G-7 Rivers Data'!$C$4:$D$8,2,FALSE),"")</f>
        <v/>
      </c>
      <c r="G243" s="173"/>
      <c r="H243" s="172" t="str">
        <f>IFERROR(INDEX('G-7 Rivers Data'!$H$4:$L$8,MATCH(C243,'G-7 Rivers Data'!$B$4:$B$8,0),MATCH(G243,'G-7 Rivers Data'!$H$3:$L$3,0)),"")</f>
        <v/>
      </c>
      <c r="I243" s="173"/>
      <c r="J243" s="269" t="str">
        <f>IF(I243="","",IF(VLOOKUP(I243,'G-7 Rivers Data'!$AG$4:$AI$9,2,FALSE)=0,"Spatial Data Missing",VLOOKUP(I243,'G-7 Rivers Data'!$AG$4:$AI$9,2,FALSE)))</f>
        <v/>
      </c>
      <c r="K243" s="172" t="str">
        <f>IF(I243="","",IF(VLOOKUP(I243,'G-7 Rivers Data'!$AG$4:$AI$9,3,FALSE)=0,"Spatial Data Missing",VLOOKUP(I243,'G-7 Rivers Data'!$AG$4:$AI$9,3,FALSE)))</f>
        <v/>
      </c>
      <c r="L243" s="384" t="str">
        <f>IFERROR(INDEX('G-7 Rivers Data'!$O$3:$O$7,MATCH(G243,'G-7 Rivers Data'!$N$3:$N$7,0)),"")</f>
        <v/>
      </c>
      <c r="M243" s="82"/>
      <c r="N243" s="261"/>
      <c r="O243" s="179" t="str">
        <f t="shared" si="21"/>
        <v/>
      </c>
      <c r="P243" s="262" t="str">
        <f t="shared" si="22"/>
        <v/>
      </c>
      <c r="Q243" s="382" t="str">
        <f>IFERROR(IF(P243="Check Data","Check Data",VLOOKUP(P243,'G-4 Temporal multipliers'!$A$4:$C$37,3,FALSE)),"")</f>
        <v/>
      </c>
      <c r="R243" s="171" t="str">
        <f>IF(C243="","",VLOOKUP(C243,'G-7 Rivers Data'!$B$4:$G$8,4,FALSE))</f>
        <v/>
      </c>
      <c r="S243" s="179" t="str">
        <f t="shared" si="25"/>
        <v/>
      </c>
      <c r="T243" s="269" t="str">
        <f t="shared" si="26"/>
        <v/>
      </c>
      <c r="U243" s="172" t="str">
        <f t="shared" si="23"/>
        <v/>
      </c>
      <c r="V243" s="79"/>
      <c r="W243" s="172" t="str">
        <f>IF(V243="","",IF(VLOOKUP(V243,'G-7 Rivers Data'!$AA$4:$AB$7,2,FALSE)=0,"Spatial Data Missing",VLOOKUP(V243,'G-7 Rivers Data'!$AA$4:$AB$7,2,FALSE)))</f>
        <v/>
      </c>
      <c r="X243" s="187"/>
      <c r="Y243" s="172" t="str">
        <f>IF(X243="","",IF(VLOOKUP(X243,'G-7 Rivers Data'!$AD$4:$AE$8,2,FALSE)=0,"Enrcoachment Data Missing",VLOOKUP(X243,'G-7 Rivers Data'!$AD$4:$AE$8,2,FALSE)))</f>
        <v/>
      </c>
      <c r="Z243" s="186"/>
      <c r="AA243" s="176" t="str">
        <f>IF(Z243="","",VLOOKUP(Z243,'G-7 Rivers Data'!$AO$4:$AP$7,2,FALSE))</f>
        <v/>
      </c>
      <c r="AB243" s="265" t="str">
        <f t="shared" si="24"/>
        <v/>
      </c>
      <c r="AC243" s="180"/>
      <c r="AD243" s="181"/>
      <c r="AK243" s="35" t="str">
        <f>IFERROR(INDEX('G-7 Rivers Data'!$AZ$3:$AZ$7,MATCH(C243,'G-7 Rivers Data'!$AY$3:$AY$7,0)),"")</f>
        <v/>
      </c>
    </row>
    <row r="244" spans="2:37" ht="13.8" x14ac:dyDescent="0.25">
      <c r="B244" s="168">
        <v>233</v>
      </c>
      <c r="C244" s="184"/>
      <c r="D244" s="213"/>
      <c r="E244" s="171" t="str">
        <f>IF(C244="","",VLOOKUP(C244,'G-7 Rivers Data'!$B$2:$Z$9,2,FALSE))</f>
        <v/>
      </c>
      <c r="F244" s="172" t="str">
        <f>IFERROR(VLOOKUP(E244,'G-7 Rivers Data'!$C$4:$D$8,2,FALSE),"")</f>
        <v/>
      </c>
      <c r="G244" s="173"/>
      <c r="H244" s="172" t="str">
        <f>IFERROR(INDEX('G-7 Rivers Data'!$H$4:$L$8,MATCH(C244,'G-7 Rivers Data'!$B$4:$B$8,0),MATCH(G244,'G-7 Rivers Data'!$H$3:$L$3,0)),"")</f>
        <v/>
      </c>
      <c r="I244" s="173"/>
      <c r="J244" s="269" t="str">
        <f>IF(I244="","",IF(VLOOKUP(I244,'G-7 Rivers Data'!$AG$4:$AI$9,2,FALSE)=0,"Spatial Data Missing",VLOOKUP(I244,'G-7 Rivers Data'!$AG$4:$AI$9,2,FALSE)))</f>
        <v/>
      </c>
      <c r="K244" s="172" t="str">
        <f>IF(I244="","",IF(VLOOKUP(I244,'G-7 Rivers Data'!$AG$4:$AI$9,3,FALSE)=0,"Spatial Data Missing",VLOOKUP(I244,'G-7 Rivers Data'!$AG$4:$AI$9,3,FALSE)))</f>
        <v/>
      </c>
      <c r="L244" s="384" t="str">
        <f>IFERROR(INDEX('G-7 Rivers Data'!$O$3:$O$7,MATCH(G244,'G-7 Rivers Data'!$N$3:$N$7,0)),"")</f>
        <v/>
      </c>
      <c r="M244" s="82"/>
      <c r="N244" s="261"/>
      <c r="O244" s="179" t="str">
        <f t="shared" si="21"/>
        <v/>
      </c>
      <c r="P244" s="262" t="str">
        <f t="shared" si="22"/>
        <v/>
      </c>
      <c r="Q244" s="382" t="str">
        <f>IFERROR(IF(P244="Check Data","Check Data",VLOOKUP(P244,'G-4 Temporal multipliers'!$A$4:$C$37,3,FALSE)),"")</f>
        <v/>
      </c>
      <c r="R244" s="171" t="str">
        <f>IF(C244="","",VLOOKUP(C244,'G-7 Rivers Data'!$B$4:$G$8,4,FALSE))</f>
        <v/>
      </c>
      <c r="S244" s="179" t="str">
        <f t="shared" si="25"/>
        <v/>
      </c>
      <c r="T244" s="269" t="str">
        <f t="shared" si="26"/>
        <v/>
      </c>
      <c r="U244" s="172" t="str">
        <f t="shared" si="23"/>
        <v/>
      </c>
      <c r="V244" s="79"/>
      <c r="W244" s="172" t="str">
        <f>IF(V244="","",IF(VLOOKUP(V244,'G-7 Rivers Data'!$AA$4:$AB$7,2,FALSE)=0,"Spatial Data Missing",VLOOKUP(V244,'G-7 Rivers Data'!$AA$4:$AB$7,2,FALSE)))</f>
        <v/>
      </c>
      <c r="X244" s="187"/>
      <c r="Y244" s="172" t="str">
        <f>IF(X244="","",IF(VLOOKUP(X244,'G-7 Rivers Data'!$AD$4:$AE$8,2,FALSE)=0,"Enrcoachment Data Missing",VLOOKUP(X244,'G-7 Rivers Data'!$AD$4:$AE$8,2,FALSE)))</f>
        <v/>
      </c>
      <c r="Z244" s="186"/>
      <c r="AA244" s="176" t="str">
        <f>IF(Z244="","",VLOOKUP(Z244,'G-7 Rivers Data'!$AO$4:$AP$7,2,FALSE))</f>
        <v/>
      </c>
      <c r="AB244" s="265" t="str">
        <f t="shared" si="24"/>
        <v/>
      </c>
      <c r="AC244" s="180"/>
      <c r="AD244" s="181"/>
      <c r="AK244" s="35" t="str">
        <f>IFERROR(INDEX('G-7 Rivers Data'!$AZ$3:$AZ$7,MATCH(C244,'G-7 Rivers Data'!$AY$3:$AY$7,0)),"")</f>
        <v/>
      </c>
    </row>
    <row r="245" spans="2:37" ht="13.8" x14ac:dyDescent="0.25">
      <c r="B245" s="168">
        <v>234</v>
      </c>
      <c r="C245" s="184"/>
      <c r="D245" s="213"/>
      <c r="E245" s="171" t="str">
        <f>IF(C245="","",VLOOKUP(C245,'G-7 Rivers Data'!$B$2:$Z$9,2,FALSE))</f>
        <v/>
      </c>
      <c r="F245" s="172" t="str">
        <f>IFERROR(VLOOKUP(E245,'G-7 Rivers Data'!$C$4:$D$8,2,FALSE),"")</f>
        <v/>
      </c>
      <c r="G245" s="173"/>
      <c r="H245" s="172" t="str">
        <f>IFERROR(INDEX('G-7 Rivers Data'!$H$4:$L$8,MATCH(C245,'G-7 Rivers Data'!$B$4:$B$8,0),MATCH(G245,'G-7 Rivers Data'!$H$3:$L$3,0)),"")</f>
        <v/>
      </c>
      <c r="I245" s="173"/>
      <c r="J245" s="269" t="str">
        <f>IF(I245="","",IF(VLOOKUP(I245,'G-7 Rivers Data'!$AG$4:$AI$9,2,FALSE)=0,"Spatial Data Missing",VLOOKUP(I245,'G-7 Rivers Data'!$AG$4:$AI$9,2,FALSE)))</f>
        <v/>
      </c>
      <c r="K245" s="172" t="str">
        <f>IF(I245="","",IF(VLOOKUP(I245,'G-7 Rivers Data'!$AG$4:$AI$9,3,FALSE)=0,"Spatial Data Missing",VLOOKUP(I245,'G-7 Rivers Data'!$AG$4:$AI$9,3,FALSE)))</f>
        <v/>
      </c>
      <c r="L245" s="384" t="str">
        <f>IFERROR(INDEX('G-7 Rivers Data'!$O$3:$O$7,MATCH(G245,'G-7 Rivers Data'!$N$3:$N$7,0)),"")</f>
        <v/>
      </c>
      <c r="M245" s="82"/>
      <c r="N245" s="261"/>
      <c r="O245" s="179" t="str">
        <f t="shared" si="21"/>
        <v/>
      </c>
      <c r="P245" s="262" t="str">
        <f t="shared" si="22"/>
        <v/>
      </c>
      <c r="Q245" s="382" t="str">
        <f>IFERROR(IF(P245="Check Data","Check Data",VLOOKUP(P245,'G-4 Temporal multipliers'!$A$4:$C$37,3,FALSE)),"")</f>
        <v/>
      </c>
      <c r="R245" s="171" t="str">
        <f>IF(C245="","",VLOOKUP(C245,'G-7 Rivers Data'!$B$4:$G$8,4,FALSE))</f>
        <v/>
      </c>
      <c r="S245" s="179" t="str">
        <f t="shared" si="25"/>
        <v/>
      </c>
      <c r="T245" s="269" t="str">
        <f t="shared" si="26"/>
        <v/>
      </c>
      <c r="U245" s="172" t="str">
        <f t="shared" si="23"/>
        <v/>
      </c>
      <c r="V245" s="79"/>
      <c r="W245" s="172" t="str">
        <f>IF(V245="","",IF(VLOOKUP(V245,'G-7 Rivers Data'!$AA$4:$AB$7,2,FALSE)=0,"Spatial Data Missing",VLOOKUP(V245,'G-7 Rivers Data'!$AA$4:$AB$7,2,FALSE)))</f>
        <v/>
      </c>
      <c r="X245" s="187"/>
      <c r="Y245" s="172" t="str">
        <f>IF(X245="","",IF(VLOOKUP(X245,'G-7 Rivers Data'!$AD$4:$AE$8,2,FALSE)=0,"Enrcoachment Data Missing",VLOOKUP(X245,'G-7 Rivers Data'!$AD$4:$AE$8,2,FALSE)))</f>
        <v/>
      </c>
      <c r="Z245" s="186"/>
      <c r="AA245" s="176" t="str">
        <f>IF(Z245="","",VLOOKUP(Z245,'G-7 Rivers Data'!$AO$4:$AP$7,2,FALSE))</f>
        <v/>
      </c>
      <c r="AB245" s="265" t="str">
        <f t="shared" si="24"/>
        <v/>
      </c>
      <c r="AC245" s="180"/>
      <c r="AD245" s="181"/>
      <c r="AK245" s="35" t="str">
        <f>IFERROR(INDEX('G-7 Rivers Data'!$AZ$3:$AZ$7,MATCH(C245,'G-7 Rivers Data'!$AY$3:$AY$7,0)),"")</f>
        <v/>
      </c>
    </row>
    <row r="246" spans="2:37" ht="13.8" x14ac:dyDescent="0.25">
      <c r="B246" s="168">
        <v>235</v>
      </c>
      <c r="C246" s="184"/>
      <c r="D246" s="213"/>
      <c r="E246" s="171" t="str">
        <f>IF(C246="","",VLOOKUP(C246,'G-7 Rivers Data'!$B$2:$Z$9,2,FALSE))</f>
        <v/>
      </c>
      <c r="F246" s="172" t="str">
        <f>IFERROR(VLOOKUP(E246,'G-7 Rivers Data'!$C$4:$D$8,2,FALSE),"")</f>
        <v/>
      </c>
      <c r="G246" s="173"/>
      <c r="H246" s="172" t="str">
        <f>IFERROR(INDEX('G-7 Rivers Data'!$H$4:$L$8,MATCH(C246,'G-7 Rivers Data'!$B$4:$B$8,0),MATCH(G246,'G-7 Rivers Data'!$H$3:$L$3,0)),"")</f>
        <v/>
      </c>
      <c r="I246" s="173"/>
      <c r="J246" s="269" t="str">
        <f>IF(I246="","",IF(VLOOKUP(I246,'G-7 Rivers Data'!$AG$4:$AI$9,2,FALSE)=0,"Spatial Data Missing",VLOOKUP(I246,'G-7 Rivers Data'!$AG$4:$AI$9,2,FALSE)))</f>
        <v/>
      </c>
      <c r="K246" s="172" t="str">
        <f>IF(I246="","",IF(VLOOKUP(I246,'G-7 Rivers Data'!$AG$4:$AI$9,3,FALSE)=0,"Spatial Data Missing",VLOOKUP(I246,'G-7 Rivers Data'!$AG$4:$AI$9,3,FALSE)))</f>
        <v/>
      </c>
      <c r="L246" s="384" t="str">
        <f>IFERROR(INDEX('G-7 Rivers Data'!$O$3:$O$7,MATCH(G246,'G-7 Rivers Data'!$N$3:$N$7,0)),"")</f>
        <v/>
      </c>
      <c r="M246" s="82"/>
      <c r="N246" s="261"/>
      <c r="O246" s="179" t="str">
        <f t="shared" si="21"/>
        <v/>
      </c>
      <c r="P246" s="262" t="str">
        <f t="shared" si="22"/>
        <v/>
      </c>
      <c r="Q246" s="382" t="str">
        <f>IFERROR(IF(P246="Check Data","Check Data",VLOOKUP(P246,'G-4 Temporal multipliers'!$A$4:$C$37,3,FALSE)),"")</f>
        <v/>
      </c>
      <c r="R246" s="171" t="str">
        <f>IF(C246="","",VLOOKUP(C246,'G-7 Rivers Data'!$B$4:$G$8,4,FALSE))</f>
        <v/>
      </c>
      <c r="S246" s="179" t="str">
        <f t="shared" si="25"/>
        <v/>
      </c>
      <c r="T246" s="269" t="str">
        <f t="shared" si="26"/>
        <v/>
      </c>
      <c r="U246" s="172" t="str">
        <f t="shared" si="23"/>
        <v/>
      </c>
      <c r="V246" s="79"/>
      <c r="W246" s="172" t="str">
        <f>IF(V246="","",IF(VLOOKUP(V246,'G-7 Rivers Data'!$AA$4:$AB$7,2,FALSE)=0,"Spatial Data Missing",VLOOKUP(V246,'G-7 Rivers Data'!$AA$4:$AB$7,2,FALSE)))</f>
        <v/>
      </c>
      <c r="X246" s="187"/>
      <c r="Y246" s="172" t="str">
        <f>IF(X246="","",IF(VLOOKUP(X246,'G-7 Rivers Data'!$AD$4:$AE$8,2,FALSE)=0,"Enrcoachment Data Missing",VLOOKUP(X246,'G-7 Rivers Data'!$AD$4:$AE$8,2,FALSE)))</f>
        <v/>
      </c>
      <c r="Z246" s="186"/>
      <c r="AA246" s="176" t="str">
        <f>IF(Z246="","",VLOOKUP(Z246,'G-7 Rivers Data'!$AO$4:$AP$7,2,FALSE))</f>
        <v/>
      </c>
      <c r="AB246" s="265" t="str">
        <f t="shared" si="24"/>
        <v/>
      </c>
      <c r="AC246" s="180"/>
      <c r="AD246" s="181"/>
      <c r="AK246" s="35" t="str">
        <f>IFERROR(INDEX('G-7 Rivers Data'!$AZ$3:$AZ$7,MATCH(C246,'G-7 Rivers Data'!$AY$3:$AY$7,0)),"")</f>
        <v/>
      </c>
    </row>
    <row r="247" spans="2:37" ht="13.8" x14ac:dyDescent="0.25">
      <c r="B247" s="168">
        <v>236</v>
      </c>
      <c r="C247" s="184"/>
      <c r="D247" s="213"/>
      <c r="E247" s="171" t="str">
        <f>IF(C247="","",VLOOKUP(C247,'G-7 Rivers Data'!$B$2:$Z$9,2,FALSE))</f>
        <v/>
      </c>
      <c r="F247" s="172" t="str">
        <f>IFERROR(VLOOKUP(E247,'G-7 Rivers Data'!$C$4:$D$8,2,FALSE),"")</f>
        <v/>
      </c>
      <c r="G247" s="173"/>
      <c r="H247" s="172" t="str">
        <f>IFERROR(INDEX('G-7 Rivers Data'!$H$4:$L$8,MATCH(C247,'G-7 Rivers Data'!$B$4:$B$8,0),MATCH(G247,'G-7 Rivers Data'!$H$3:$L$3,0)),"")</f>
        <v/>
      </c>
      <c r="I247" s="173"/>
      <c r="J247" s="269" t="str">
        <f>IF(I247="","",IF(VLOOKUP(I247,'G-7 Rivers Data'!$AG$4:$AI$9,2,FALSE)=0,"Spatial Data Missing",VLOOKUP(I247,'G-7 Rivers Data'!$AG$4:$AI$9,2,FALSE)))</f>
        <v/>
      </c>
      <c r="K247" s="172" t="str">
        <f>IF(I247="","",IF(VLOOKUP(I247,'G-7 Rivers Data'!$AG$4:$AI$9,3,FALSE)=0,"Spatial Data Missing",VLOOKUP(I247,'G-7 Rivers Data'!$AG$4:$AI$9,3,FALSE)))</f>
        <v/>
      </c>
      <c r="L247" s="384" t="str">
        <f>IFERROR(INDEX('G-7 Rivers Data'!$O$3:$O$7,MATCH(G247,'G-7 Rivers Data'!$N$3:$N$7,0)),"")</f>
        <v/>
      </c>
      <c r="M247" s="82"/>
      <c r="N247" s="261"/>
      <c r="O247" s="179" t="str">
        <f t="shared" si="21"/>
        <v/>
      </c>
      <c r="P247" s="262" t="str">
        <f t="shared" si="22"/>
        <v/>
      </c>
      <c r="Q247" s="382" t="str">
        <f>IFERROR(IF(P247="Check Data","Check Data",VLOOKUP(P247,'G-4 Temporal multipliers'!$A$4:$C$37,3,FALSE)),"")</f>
        <v/>
      </c>
      <c r="R247" s="171" t="str">
        <f>IF(C247="","",VLOOKUP(C247,'G-7 Rivers Data'!$B$4:$G$8,4,FALSE))</f>
        <v/>
      </c>
      <c r="S247" s="179" t="str">
        <f t="shared" si="25"/>
        <v/>
      </c>
      <c r="T247" s="269" t="str">
        <f t="shared" si="26"/>
        <v/>
      </c>
      <c r="U247" s="172" t="str">
        <f t="shared" si="23"/>
        <v/>
      </c>
      <c r="V247" s="79"/>
      <c r="W247" s="172" t="str">
        <f>IF(V247="","",IF(VLOOKUP(V247,'G-7 Rivers Data'!$AA$4:$AB$7,2,FALSE)=0,"Spatial Data Missing",VLOOKUP(V247,'G-7 Rivers Data'!$AA$4:$AB$7,2,FALSE)))</f>
        <v/>
      </c>
      <c r="X247" s="187"/>
      <c r="Y247" s="172" t="str">
        <f>IF(X247="","",IF(VLOOKUP(X247,'G-7 Rivers Data'!$AD$4:$AE$8,2,FALSE)=0,"Enrcoachment Data Missing",VLOOKUP(X247,'G-7 Rivers Data'!$AD$4:$AE$8,2,FALSE)))</f>
        <v/>
      </c>
      <c r="Z247" s="186"/>
      <c r="AA247" s="176" t="str">
        <f>IF(Z247="","",VLOOKUP(Z247,'G-7 Rivers Data'!$AO$4:$AP$7,2,FALSE))</f>
        <v/>
      </c>
      <c r="AB247" s="265" t="str">
        <f t="shared" si="24"/>
        <v/>
      </c>
      <c r="AC247" s="180"/>
      <c r="AD247" s="181"/>
      <c r="AK247" s="35" t="str">
        <f>IFERROR(INDEX('G-7 Rivers Data'!$AZ$3:$AZ$7,MATCH(C247,'G-7 Rivers Data'!$AY$3:$AY$7,0)),"")</f>
        <v/>
      </c>
    </row>
    <row r="248" spans="2:37" ht="13.8" x14ac:dyDescent="0.25">
      <c r="B248" s="168">
        <v>237</v>
      </c>
      <c r="C248" s="184"/>
      <c r="D248" s="213"/>
      <c r="E248" s="171" t="str">
        <f>IF(C248="","",VLOOKUP(C248,'G-7 Rivers Data'!$B$2:$Z$9,2,FALSE))</f>
        <v/>
      </c>
      <c r="F248" s="172" t="str">
        <f>IFERROR(VLOOKUP(E248,'G-7 Rivers Data'!$C$4:$D$8,2,FALSE),"")</f>
        <v/>
      </c>
      <c r="G248" s="173"/>
      <c r="H248" s="172" t="str">
        <f>IFERROR(INDEX('G-7 Rivers Data'!$H$4:$L$8,MATCH(C248,'G-7 Rivers Data'!$B$4:$B$8,0),MATCH(G248,'G-7 Rivers Data'!$H$3:$L$3,0)),"")</f>
        <v/>
      </c>
      <c r="I248" s="173"/>
      <c r="J248" s="269" t="str">
        <f>IF(I248="","",IF(VLOOKUP(I248,'G-7 Rivers Data'!$AG$4:$AI$9,2,FALSE)=0,"Spatial Data Missing",VLOOKUP(I248,'G-7 Rivers Data'!$AG$4:$AI$9,2,FALSE)))</f>
        <v/>
      </c>
      <c r="K248" s="172" t="str">
        <f>IF(I248="","",IF(VLOOKUP(I248,'G-7 Rivers Data'!$AG$4:$AI$9,3,FALSE)=0,"Spatial Data Missing",VLOOKUP(I248,'G-7 Rivers Data'!$AG$4:$AI$9,3,FALSE)))</f>
        <v/>
      </c>
      <c r="L248" s="384" t="str">
        <f>IFERROR(INDEX('G-7 Rivers Data'!$O$3:$O$7,MATCH(G248,'G-7 Rivers Data'!$N$3:$N$7,0)),"")</f>
        <v/>
      </c>
      <c r="M248" s="82"/>
      <c r="N248" s="261"/>
      <c r="O248" s="179" t="str">
        <f t="shared" si="21"/>
        <v/>
      </c>
      <c r="P248" s="262" t="str">
        <f t="shared" si="22"/>
        <v/>
      </c>
      <c r="Q248" s="382" t="str">
        <f>IFERROR(IF(P248="Check Data","Check Data",VLOOKUP(P248,'G-4 Temporal multipliers'!$A$4:$C$37,3,FALSE)),"")</f>
        <v/>
      </c>
      <c r="R248" s="171" t="str">
        <f>IF(C248="","",VLOOKUP(C248,'G-7 Rivers Data'!$B$4:$G$8,4,FALSE))</f>
        <v/>
      </c>
      <c r="S248" s="179" t="str">
        <f t="shared" si="25"/>
        <v/>
      </c>
      <c r="T248" s="269" t="str">
        <f t="shared" si="26"/>
        <v/>
      </c>
      <c r="U248" s="172" t="str">
        <f t="shared" si="23"/>
        <v/>
      </c>
      <c r="V248" s="79"/>
      <c r="W248" s="172" t="str">
        <f>IF(V248="","",IF(VLOOKUP(V248,'G-7 Rivers Data'!$AA$4:$AB$7,2,FALSE)=0,"Spatial Data Missing",VLOOKUP(V248,'G-7 Rivers Data'!$AA$4:$AB$7,2,FALSE)))</f>
        <v/>
      </c>
      <c r="X248" s="187"/>
      <c r="Y248" s="172" t="str">
        <f>IF(X248="","",IF(VLOOKUP(X248,'G-7 Rivers Data'!$AD$4:$AE$8,2,FALSE)=0,"Enrcoachment Data Missing",VLOOKUP(X248,'G-7 Rivers Data'!$AD$4:$AE$8,2,FALSE)))</f>
        <v/>
      </c>
      <c r="Z248" s="186"/>
      <c r="AA248" s="176" t="str">
        <f>IF(Z248="","",VLOOKUP(Z248,'G-7 Rivers Data'!$AO$4:$AP$7,2,FALSE))</f>
        <v/>
      </c>
      <c r="AB248" s="265" t="str">
        <f t="shared" si="24"/>
        <v/>
      </c>
      <c r="AC248" s="180"/>
      <c r="AD248" s="181"/>
      <c r="AK248" s="35" t="str">
        <f>IFERROR(INDEX('G-7 Rivers Data'!$AZ$3:$AZ$7,MATCH(C248,'G-7 Rivers Data'!$AY$3:$AY$7,0)),"")</f>
        <v/>
      </c>
    </row>
    <row r="249" spans="2:37" ht="13.8" x14ac:dyDescent="0.25">
      <c r="B249" s="168">
        <v>238</v>
      </c>
      <c r="C249" s="184"/>
      <c r="D249" s="213"/>
      <c r="E249" s="171" t="str">
        <f>IF(C249="","",VLOOKUP(C249,'G-7 Rivers Data'!$B$2:$Z$9,2,FALSE))</f>
        <v/>
      </c>
      <c r="F249" s="172" t="str">
        <f>IFERROR(VLOOKUP(E249,'G-7 Rivers Data'!$C$4:$D$8,2,FALSE),"")</f>
        <v/>
      </c>
      <c r="G249" s="173"/>
      <c r="H249" s="172" t="str">
        <f>IFERROR(INDEX('G-7 Rivers Data'!$H$4:$L$8,MATCH(C249,'G-7 Rivers Data'!$B$4:$B$8,0),MATCH(G249,'G-7 Rivers Data'!$H$3:$L$3,0)),"")</f>
        <v/>
      </c>
      <c r="I249" s="173"/>
      <c r="J249" s="269" t="str">
        <f>IF(I249="","",IF(VLOOKUP(I249,'G-7 Rivers Data'!$AG$4:$AI$9,2,FALSE)=0,"Spatial Data Missing",VLOOKUP(I249,'G-7 Rivers Data'!$AG$4:$AI$9,2,FALSE)))</f>
        <v/>
      </c>
      <c r="K249" s="172" t="str">
        <f>IF(I249="","",IF(VLOOKUP(I249,'G-7 Rivers Data'!$AG$4:$AI$9,3,FALSE)=0,"Spatial Data Missing",VLOOKUP(I249,'G-7 Rivers Data'!$AG$4:$AI$9,3,FALSE)))</f>
        <v/>
      </c>
      <c r="L249" s="384" t="str">
        <f>IFERROR(INDEX('G-7 Rivers Data'!$O$3:$O$7,MATCH(G249,'G-7 Rivers Data'!$N$3:$N$7,0)),"")</f>
        <v/>
      </c>
      <c r="M249" s="82"/>
      <c r="N249" s="261"/>
      <c r="O249" s="179" t="str">
        <f t="shared" si="21"/>
        <v/>
      </c>
      <c r="P249" s="262" t="str">
        <f t="shared" si="22"/>
        <v/>
      </c>
      <c r="Q249" s="382" t="str">
        <f>IFERROR(IF(P249="Check Data","Check Data",VLOOKUP(P249,'G-4 Temporal multipliers'!$A$4:$C$37,3,FALSE)),"")</f>
        <v/>
      </c>
      <c r="R249" s="171" t="str">
        <f>IF(C249="","",VLOOKUP(C249,'G-7 Rivers Data'!$B$4:$G$8,4,FALSE))</f>
        <v/>
      </c>
      <c r="S249" s="179" t="str">
        <f t="shared" si="25"/>
        <v/>
      </c>
      <c r="T249" s="269" t="str">
        <f t="shared" si="26"/>
        <v/>
      </c>
      <c r="U249" s="172" t="str">
        <f t="shared" si="23"/>
        <v/>
      </c>
      <c r="V249" s="79"/>
      <c r="W249" s="172" t="str">
        <f>IF(V249="","",IF(VLOOKUP(V249,'G-7 Rivers Data'!$AA$4:$AB$7,2,FALSE)=0,"Spatial Data Missing",VLOOKUP(V249,'G-7 Rivers Data'!$AA$4:$AB$7,2,FALSE)))</f>
        <v/>
      </c>
      <c r="X249" s="187"/>
      <c r="Y249" s="172" t="str">
        <f>IF(X249="","",IF(VLOOKUP(X249,'G-7 Rivers Data'!$AD$4:$AE$8,2,FALSE)=0,"Enrcoachment Data Missing",VLOOKUP(X249,'G-7 Rivers Data'!$AD$4:$AE$8,2,FALSE)))</f>
        <v/>
      </c>
      <c r="Z249" s="186"/>
      <c r="AA249" s="176" t="str">
        <f>IF(Z249="","",VLOOKUP(Z249,'G-7 Rivers Data'!$AO$4:$AP$7,2,FALSE))</f>
        <v/>
      </c>
      <c r="AB249" s="265" t="str">
        <f t="shared" si="24"/>
        <v/>
      </c>
      <c r="AC249" s="180"/>
      <c r="AD249" s="181"/>
      <c r="AK249" s="35" t="str">
        <f>IFERROR(INDEX('G-7 Rivers Data'!$AZ$3:$AZ$7,MATCH(C249,'G-7 Rivers Data'!$AY$3:$AY$7,0)),"")</f>
        <v/>
      </c>
    </row>
    <row r="250" spans="2:37" ht="13.8" x14ac:dyDescent="0.25">
      <c r="B250" s="168">
        <v>239</v>
      </c>
      <c r="C250" s="184"/>
      <c r="D250" s="213"/>
      <c r="E250" s="171" t="str">
        <f>IF(C250="","",VLOOKUP(C250,'G-7 Rivers Data'!$B$2:$Z$9,2,FALSE))</f>
        <v/>
      </c>
      <c r="F250" s="172" t="str">
        <f>IFERROR(VLOOKUP(E250,'G-7 Rivers Data'!$C$4:$D$8,2,FALSE),"")</f>
        <v/>
      </c>
      <c r="G250" s="173"/>
      <c r="H250" s="172" t="str">
        <f>IFERROR(INDEX('G-7 Rivers Data'!$H$4:$L$8,MATCH(C250,'G-7 Rivers Data'!$B$4:$B$8,0),MATCH(G250,'G-7 Rivers Data'!$H$3:$L$3,0)),"")</f>
        <v/>
      </c>
      <c r="I250" s="173"/>
      <c r="J250" s="269" t="str">
        <f>IF(I250="","",IF(VLOOKUP(I250,'G-7 Rivers Data'!$AG$4:$AI$9,2,FALSE)=0,"Spatial Data Missing",VLOOKUP(I250,'G-7 Rivers Data'!$AG$4:$AI$9,2,FALSE)))</f>
        <v/>
      </c>
      <c r="K250" s="172" t="str">
        <f>IF(I250="","",IF(VLOOKUP(I250,'G-7 Rivers Data'!$AG$4:$AI$9,3,FALSE)=0,"Spatial Data Missing",VLOOKUP(I250,'G-7 Rivers Data'!$AG$4:$AI$9,3,FALSE)))</f>
        <v/>
      </c>
      <c r="L250" s="384" t="str">
        <f>IFERROR(INDEX('G-7 Rivers Data'!$O$3:$O$7,MATCH(G250,'G-7 Rivers Data'!$N$3:$N$7,0)),"")</f>
        <v/>
      </c>
      <c r="M250" s="82"/>
      <c r="N250" s="261"/>
      <c r="O250" s="179" t="str">
        <f t="shared" si="21"/>
        <v/>
      </c>
      <c r="P250" s="262" t="str">
        <f t="shared" si="22"/>
        <v/>
      </c>
      <c r="Q250" s="382" t="str">
        <f>IFERROR(IF(P250="Check Data","Check Data",VLOOKUP(P250,'G-4 Temporal multipliers'!$A$4:$C$37,3,FALSE)),"")</f>
        <v/>
      </c>
      <c r="R250" s="171" t="str">
        <f>IF(C250="","",VLOOKUP(C250,'G-7 Rivers Data'!$B$4:$G$8,4,FALSE))</f>
        <v/>
      </c>
      <c r="S250" s="179" t="str">
        <f t="shared" si="25"/>
        <v/>
      </c>
      <c r="T250" s="269" t="str">
        <f t="shared" si="26"/>
        <v/>
      </c>
      <c r="U250" s="172" t="str">
        <f t="shared" si="23"/>
        <v/>
      </c>
      <c r="V250" s="79"/>
      <c r="W250" s="172" t="str">
        <f>IF(V250="","",IF(VLOOKUP(V250,'G-7 Rivers Data'!$AA$4:$AB$7,2,FALSE)=0,"Spatial Data Missing",VLOOKUP(V250,'G-7 Rivers Data'!$AA$4:$AB$7,2,FALSE)))</f>
        <v/>
      </c>
      <c r="X250" s="187"/>
      <c r="Y250" s="172" t="str">
        <f>IF(X250="","",IF(VLOOKUP(X250,'G-7 Rivers Data'!$AD$4:$AE$8,2,FALSE)=0,"Enrcoachment Data Missing",VLOOKUP(X250,'G-7 Rivers Data'!$AD$4:$AE$8,2,FALSE)))</f>
        <v/>
      </c>
      <c r="Z250" s="186"/>
      <c r="AA250" s="176" t="str">
        <f>IF(Z250="","",VLOOKUP(Z250,'G-7 Rivers Data'!$AO$4:$AP$7,2,FALSE))</f>
        <v/>
      </c>
      <c r="AB250" s="265" t="str">
        <f t="shared" si="24"/>
        <v/>
      </c>
      <c r="AC250" s="180"/>
      <c r="AD250" s="181"/>
      <c r="AK250" s="35" t="str">
        <f>IFERROR(INDEX('G-7 Rivers Data'!$AZ$3:$AZ$7,MATCH(C250,'G-7 Rivers Data'!$AY$3:$AY$7,0)),"")</f>
        <v/>
      </c>
    </row>
    <row r="251" spans="2:37" ht="13.8" x14ac:dyDescent="0.25">
      <c r="B251" s="168">
        <v>240</v>
      </c>
      <c r="C251" s="184"/>
      <c r="D251" s="213"/>
      <c r="E251" s="171" t="str">
        <f>IF(C251="","",VLOOKUP(C251,'G-7 Rivers Data'!$B$2:$Z$9,2,FALSE))</f>
        <v/>
      </c>
      <c r="F251" s="172" t="str">
        <f>IFERROR(VLOOKUP(E251,'G-7 Rivers Data'!$C$4:$D$8,2,FALSE),"")</f>
        <v/>
      </c>
      <c r="G251" s="173"/>
      <c r="H251" s="172" t="str">
        <f>IFERROR(INDEX('G-7 Rivers Data'!$H$4:$L$8,MATCH(C251,'G-7 Rivers Data'!$B$4:$B$8,0),MATCH(G251,'G-7 Rivers Data'!$H$3:$L$3,0)),"")</f>
        <v/>
      </c>
      <c r="I251" s="173"/>
      <c r="J251" s="269" t="str">
        <f>IF(I251="","",IF(VLOOKUP(I251,'G-7 Rivers Data'!$AG$4:$AI$9,2,FALSE)=0,"Spatial Data Missing",VLOOKUP(I251,'G-7 Rivers Data'!$AG$4:$AI$9,2,FALSE)))</f>
        <v/>
      </c>
      <c r="K251" s="172" t="str">
        <f>IF(I251="","",IF(VLOOKUP(I251,'G-7 Rivers Data'!$AG$4:$AI$9,3,FALSE)=0,"Spatial Data Missing",VLOOKUP(I251,'G-7 Rivers Data'!$AG$4:$AI$9,3,FALSE)))</f>
        <v/>
      </c>
      <c r="L251" s="384" t="str">
        <f>IFERROR(INDEX('G-7 Rivers Data'!$O$3:$O$7,MATCH(G251,'G-7 Rivers Data'!$N$3:$N$7,0)),"")</f>
        <v/>
      </c>
      <c r="M251" s="82"/>
      <c r="N251" s="261"/>
      <c r="O251" s="179" t="str">
        <f t="shared" si="21"/>
        <v/>
      </c>
      <c r="P251" s="262" t="str">
        <f t="shared" si="22"/>
        <v/>
      </c>
      <c r="Q251" s="382" t="str">
        <f>IFERROR(IF(P251="Check Data","Check Data",VLOOKUP(P251,'G-4 Temporal multipliers'!$A$4:$C$37,3,FALSE)),"")</f>
        <v/>
      </c>
      <c r="R251" s="171" t="str">
        <f>IF(C251="","",VLOOKUP(C251,'G-7 Rivers Data'!$B$4:$G$8,4,FALSE))</f>
        <v/>
      </c>
      <c r="S251" s="179" t="str">
        <f t="shared" si="25"/>
        <v/>
      </c>
      <c r="T251" s="269" t="str">
        <f t="shared" si="26"/>
        <v/>
      </c>
      <c r="U251" s="172" t="str">
        <f t="shared" si="23"/>
        <v/>
      </c>
      <c r="V251" s="79"/>
      <c r="W251" s="172" t="str">
        <f>IF(V251="","",IF(VLOOKUP(V251,'G-7 Rivers Data'!$AA$4:$AB$7,2,FALSE)=0,"Spatial Data Missing",VLOOKUP(V251,'G-7 Rivers Data'!$AA$4:$AB$7,2,FALSE)))</f>
        <v/>
      </c>
      <c r="X251" s="187"/>
      <c r="Y251" s="172" t="str">
        <f>IF(X251="","",IF(VLOOKUP(X251,'G-7 Rivers Data'!$AD$4:$AE$8,2,FALSE)=0,"Enrcoachment Data Missing",VLOOKUP(X251,'G-7 Rivers Data'!$AD$4:$AE$8,2,FALSE)))</f>
        <v/>
      </c>
      <c r="Z251" s="186"/>
      <c r="AA251" s="176" t="str">
        <f>IF(Z251="","",VLOOKUP(Z251,'G-7 Rivers Data'!$AO$4:$AP$7,2,FALSE))</f>
        <v/>
      </c>
      <c r="AB251" s="265" t="str">
        <f t="shared" si="24"/>
        <v/>
      </c>
      <c r="AC251" s="180"/>
      <c r="AD251" s="181"/>
      <c r="AK251" s="35" t="str">
        <f>IFERROR(INDEX('G-7 Rivers Data'!$AZ$3:$AZ$7,MATCH(C251,'G-7 Rivers Data'!$AY$3:$AY$7,0)),"")</f>
        <v/>
      </c>
    </row>
    <row r="252" spans="2:37" ht="13.8" x14ac:dyDescent="0.25">
      <c r="B252" s="168">
        <v>241</v>
      </c>
      <c r="C252" s="184"/>
      <c r="D252" s="213"/>
      <c r="E252" s="171" t="str">
        <f>IF(C252="","",VLOOKUP(C252,'G-7 Rivers Data'!$B$2:$Z$9,2,FALSE))</f>
        <v/>
      </c>
      <c r="F252" s="172" t="str">
        <f>IFERROR(VLOOKUP(E252,'G-7 Rivers Data'!$C$4:$D$8,2,FALSE),"")</f>
        <v/>
      </c>
      <c r="G252" s="173"/>
      <c r="H252" s="172" t="str">
        <f>IFERROR(INDEX('G-7 Rivers Data'!$H$4:$L$8,MATCH(C252,'G-7 Rivers Data'!$B$4:$B$8,0),MATCH(G252,'G-7 Rivers Data'!$H$3:$L$3,0)),"")</f>
        <v/>
      </c>
      <c r="I252" s="173"/>
      <c r="J252" s="269" t="str">
        <f>IF(I252="","",IF(VLOOKUP(I252,'G-7 Rivers Data'!$AG$4:$AI$9,2,FALSE)=0,"Spatial Data Missing",VLOOKUP(I252,'G-7 Rivers Data'!$AG$4:$AI$9,2,FALSE)))</f>
        <v/>
      </c>
      <c r="K252" s="172" t="str">
        <f>IF(I252="","",IF(VLOOKUP(I252,'G-7 Rivers Data'!$AG$4:$AI$9,3,FALSE)=0,"Spatial Data Missing",VLOOKUP(I252,'G-7 Rivers Data'!$AG$4:$AI$9,3,FALSE)))</f>
        <v/>
      </c>
      <c r="L252" s="384" t="str">
        <f>IFERROR(INDEX('G-7 Rivers Data'!$O$3:$O$7,MATCH(G252,'G-7 Rivers Data'!$N$3:$N$7,0)),"")</f>
        <v/>
      </c>
      <c r="M252" s="82"/>
      <c r="N252" s="261"/>
      <c r="O252" s="179" t="str">
        <f t="shared" si="21"/>
        <v/>
      </c>
      <c r="P252" s="262" t="str">
        <f t="shared" si="22"/>
        <v/>
      </c>
      <c r="Q252" s="382" t="str">
        <f>IFERROR(IF(P252="Check Data","Check Data",VLOOKUP(P252,'G-4 Temporal multipliers'!$A$4:$C$37,3,FALSE)),"")</f>
        <v/>
      </c>
      <c r="R252" s="171" t="str">
        <f>IF(C252="","",VLOOKUP(C252,'G-7 Rivers Data'!$B$4:$G$8,4,FALSE))</f>
        <v/>
      </c>
      <c r="S252" s="179" t="str">
        <f t="shared" si="25"/>
        <v/>
      </c>
      <c r="T252" s="269" t="str">
        <f t="shared" si="26"/>
        <v/>
      </c>
      <c r="U252" s="172" t="str">
        <f t="shared" si="23"/>
        <v/>
      </c>
      <c r="V252" s="79"/>
      <c r="W252" s="172" t="str">
        <f>IF(V252="","",IF(VLOOKUP(V252,'G-7 Rivers Data'!$AA$4:$AB$7,2,FALSE)=0,"Spatial Data Missing",VLOOKUP(V252,'G-7 Rivers Data'!$AA$4:$AB$7,2,FALSE)))</f>
        <v/>
      </c>
      <c r="X252" s="187"/>
      <c r="Y252" s="172" t="str">
        <f>IF(X252="","",IF(VLOOKUP(X252,'G-7 Rivers Data'!$AD$4:$AE$8,2,FALSE)=0,"Enrcoachment Data Missing",VLOOKUP(X252,'G-7 Rivers Data'!$AD$4:$AE$8,2,FALSE)))</f>
        <v/>
      </c>
      <c r="Z252" s="186"/>
      <c r="AA252" s="176" t="str">
        <f>IF(Z252="","",VLOOKUP(Z252,'G-7 Rivers Data'!$AO$4:$AP$7,2,FALSE))</f>
        <v/>
      </c>
      <c r="AB252" s="265" t="str">
        <f t="shared" si="24"/>
        <v/>
      </c>
      <c r="AC252" s="180"/>
      <c r="AD252" s="181"/>
      <c r="AK252" s="35" t="str">
        <f>IFERROR(INDEX('G-7 Rivers Data'!$AZ$3:$AZ$7,MATCH(C252,'G-7 Rivers Data'!$AY$3:$AY$7,0)),"")</f>
        <v/>
      </c>
    </row>
    <row r="253" spans="2:37" ht="13.8" x14ac:dyDescent="0.25">
      <c r="B253" s="168">
        <v>242</v>
      </c>
      <c r="C253" s="184"/>
      <c r="D253" s="213"/>
      <c r="E253" s="171" t="str">
        <f>IF(C253="","",VLOOKUP(C253,'G-7 Rivers Data'!$B$2:$Z$9,2,FALSE))</f>
        <v/>
      </c>
      <c r="F253" s="172" t="str">
        <f>IFERROR(VLOOKUP(E253,'G-7 Rivers Data'!$C$4:$D$8,2,FALSE),"")</f>
        <v/>
      </c>
      <c r="G253" s="173"/>
      <c r="H253" s="172" t="str">
        <f>IFERROR(INDEX('G-7 Rivers Data'!$H$4:$L$8,MATCH(C253,'G-7 Rivers Data'!$B$4:$B$8,0),MATCH(G253,'G-7 Rivers Data'!$H$3:$L$3,0)),"")</f>
        <v/>
      </c>
      <c r="I253" s="173"/>
      <c r="J253" s="269" t="str">
        <f>IF(I253="","",IF(VLOOKUP(I253,'G-7 Rivers Data'!$AG$4:$AI$9,2,FALSE)=0,"Spatial Data Missing",VLOOKUP(I253,'G-7 Rivers Data'!$AG$4:$AI$9,2,FALSE)))</f>
        <v/>
      </c>
      <c r="K253" s="172" t="str">
        <f>IF(I253="","",IF(VLOOKUP(I253,'G-7 Rivers Data'!$AG$4:$AI$9,3,FALSE)=0,"Spatial Data Missing",VLOOKUP(I253,'G-7 Rivers Data'!$AG$4:$AI$9,3,FALSE)))</f>
        <v/>
      </c>
      <c r="L253" s="384" t="str">
        <f>IFERROR(INDEX('G-7 Rivers Data'!$O$3:$O$7,MATCH(G253,'G-7 Rivers Data'!$N$3:$N$7,0)),"")</f>
        <v/>
      </c>
      <c r="M253" s="82"/>
      <c r="N253" s="261"/>
      <c r="O253" s="179" t="str">
        <f t="shared" si="21"/>
        <v/>
      </c>
      <c r="P253" s="262" t="str">
        <f t="shared" si="22"/>
        <v/>
      </c>
      <c r="Q253" s="382" t="str">
        <f>IFERROR(IF(P253="Check Data","Check Data",VLOOKUP(P253,'G-4 Temporal multipliers'!$A$4:$C$37,3,FALSE)),"")</f>
        <v/>
      </c>
      <c r="R253" s="171" t="str">
        <f>IF(C253="","",VLOOKUP(C253,'G-7 Rivers Data'!$B$4:$G$8,4,FALSE))</f>
        <v/>
      </c>
      <c r="S253" s="179" t="str">
        <f t="shared" si="25"/>
        <v/>
      </c>
      <c r="T253" s="269" t="str">
        <f t="shared" si="26"/>
        <v/>
      </c>
      <c r="U253" s="172" t="str">
        <f t="shared" si="23"/>
        <v/>
      </c>
      <c r="V253" s="79"/>
      <c r="W253" s="172" t="str">
        <f>IF(V253="","",IF(VLOOKUP(V253,'G-7 Rivers Data'!$AA$4:$AB$7,2,FALSE)=0,"Spatial Data Missing",VLOOKUP(V253,'G-7 Rivers Data'!$AA$4:$AB$7,2,FALSE)))</f>
        <v/>
      </c>
      <c r="X253" s="187"/>
      <c r="Y253" s="172" t="str">
        <f>IF(X253="","",IF(VLOOKUP(X253,'G-7 Rivers Data'!$AD$4:$AE$8,2,FALSE)=0,"Enrcoachment Data Missing",VLOOKUP(X253,'G-7 Rivers Data'!$AD$4:$AE$8,2,FALSE)))</f>
        <v/>
      </c>
      <c r="Z253" s="186"/>
      <c r="AA253" s="176" t="str">
        <f>IF(Z253="","",VLOOKUP(Z253,'G-7 Rivers Data'!$AO$4:$AP$7,2,FALSE))</f>
        <v/>
      </c>
      <c r="AB253" s="265" t="str">
        <f t="shared" si="24"/>
        <v/>
      </c>
      <c r="AC253" s="180"/>
      <c r="AD253" s="181"/>
      <c r="AK253" s="35" t="str">
        <f>IFERROR(INDEX('G-7 Rivers Data'!$AZ$3:$AZ$7,MATCH(C253,'G-7 Rivers Data'!$AY$3:$AY$7,0)),"")</f>
        <v/>
      </c>
    </row>
    <row r="254" spans="2:37" ht="13.8" x14ac:dyDescent="0.25">
      <c r="B254" s="168">
        <v>243</v>
      </c>
      <c r="C254" s="184"/>
      <c r="D254" s="213"/>
      <c r="E254" s="171" t="str">
        <f>IF(C254="","",VLOOKUP(C254,'G-7 Rivers Data'!$B$2:$Z$9,2,FALSE))</f>
        <v/>
      </c>
      <c r="F254" s="172" t="str">
        <f>IFERROR(VLOOKUP(E254,'G-7 Rivers Data'!$C$4:$D$8,2,FALSE),"")</f>
        <v/>
      </c>
      <c r="G254" s="173"/>
      <c r="H254" s="172" t="str">
        <f>IFERROR(INDEX('G-7 Rivers Data'!$H$4:$L$8,MATCH(C254,'G-7 Rivers Data'!$B$4:$B$8,0),MATCH(G254,'G-7 Rivers Data'!$H$3:$L$3,0)),"")</f>
        <v/>
      </c>
      <c r="I254" s="173"/>
      <c r="J254" s="269" t="str">
        <f>IF(I254="","",IF(VLOOKUP(I254,'G-7 Rivers Data'!$AG$4:$AI$9,2,FALSE)=0,"Spatial Data Missing",VLOOKUP(I254,'G-7 Rivers Data'!$AG$4:$AI$9,2,FALSE)))</f>
        <v/>
      </c>
      <c r="K254" s="172" t="str">
        <f>IF(I254="","",IF(VLOOKUP(I254,'G-7 Rivers Data'!$AG$4:$AI$9,3,FALSE)=0,"Spatial Data Missing",VLOOKUP(I254,'G-7 Rivers Data'!$AG$4:$AI$9,3,FALSE)))</f>
        <v/>
      </c>
      <c r="L254" s="384" t="str">
        <f>IFERROR(INDEX('G-7 Rivers Data'!$O$3:$O$7,MATCH(G254,'G-7 Rivers Data'!$N$3:$N$7,0)),"")</f>
        <v/>
      </c>
      <c r="M254" s="82"/>
      <c r="N254" s="261"/>
      <c r="O254" s="179" t="str">
        <f t="shared" si="21"/>
        <v/>
      </c>
      <c r="P254" s="262" t="str">
        <f t="shared" si="22"/>
        <v/>
      </c>
      <c r="Q254" s="382" t="str">
        <f>IFERROR(IF(P254="Check Data","Check Data",VLOOKUP(P254,'G-4 Temporal multipliers'!$A$4:$C$37,3,FALSE)),"")</f>
        <v/>
      </c>
      <c r="R254" s="171" t="str">
        <f>IF(C254="","",VLOOKUP(C254,'G-7 Rivers Data'!$B$4:$G$8,4,FALSE))</f>
        <v/>
      </c>
      <c r="S254" s="179" t="str">
        <f t="shared" si="25"/>
        <v/>
      </c>
      <c r="T254" s="269" t="str">
        <f t="shared" si="26"/>
        <v/>
      </c>
      <c r="U254" s="172" t="str">
        <f t="shared" si="23"/>
        <v/>
      </c>
      <c r="V254" s="79"/>
      <c r="W254" s="172" t="str">
        <f>IF(V254="","",IF(VLOOKUP(V254,'G-7 Rivers Data'!$AA$4:$AB$7,2,FALSE)=0,"Spatial Data Missing",VLOOKUP(V254,'G-7 Rivers Data'!$AA$4:$AB$7,2,FALSE)))</f>
        <v/>
      </c>
      <c r="X254" s="187"/>
      <c r="Y254" s="172" t="str">
        <f>IF(X254="","",IF(VLOOKUP(X254,'G-7 Rivers Data'!$AD$4:$AE$8,2,FALSE)=0,"Enrcoachment Data Missing",VLOOKUP(X254,'G-7 Rivers Data'!$AD$4:$AE$8,2,FALSE)))</f>
        <v/>
      </c>
      <c r="Z254" s="186"/>
      <c r="AA254" s="176" t="str">
        <f>IF(Z254="","",VLOOKUP(Z254,'G-7 Rivers Data'!$AO$4:$AP$7,2,FALSE))</f>
        <v/>
      </c>
      <c r="AB254" s="265" t="str">
        <f t="shared" si="24"/>
        <v/>
      </c>
      <c r="AC254" s="180"/>
      <c r="AD254" s="181"/>
      <c r="AK254" s="35" t="str">
        <f>IFERROR(INDEX('G-7 Rivers Data'!$AZ$3:$AZ$7,MATCH(C254,'G-7 Rivers Data'!$AY$3:$AY$7,0)),"")</f>
        <v/>
      </c>
    </row>
    <row r="255" spans="2:37" ht="13.8" x14ac:dyDescent="0.25">
      <c r="B255" s="168">
        <v>244</v>
      </c>
      <c r="C255" s="184"/>
      <c r="D255" s="213"/>
      <c r="E255" s="171" t="str">
        <f>IF(C255="","",VLOOKUP(C255,'G-7 Rivers Data'!$B$2:$Z$9,2,FALSE))</f>
        <v/>
      </c>
      <c r="F255" s="172" t="str">
        <f>IFERROR(VLOOKUP(E255,'G-7 Rivers Data'!$C$4:$D$8,2,FALSE),"")</f>
        <v/>
      </c>
      <c r="G255" s="173"/>
      <c r="H255" s="172" t="str">
        <f>IFERROR(INDEX('G-7 Rivers Data'!$H$4:$L$8,MATCH(C255,'G-7 Rivers Data'!$B$4:$B$8,0),MATCH(G255,'G-7 Rivers Data'!$H$3:$L$3,0)),"")</f>
        <v/>
      </c>
      <c r="I255" s="173"/>
      <c r="J255" s="269" t="str">
        <f>IF(I255="","",IF(VLOOKUP(I255,'G-7 Rivers Data'!$AG$4:$AI$9,2,FALSE)=0,"Spatial Data Missing",VLOOKUP(I255,'G-7 Rivers Data'!$AG$4:$AI$9,2,FALSE)))</f>
        <v/>
      </c>
      <c r="K255" s="172" t="str">
        <f>IF(I255="","",IF(VLOOKUP(I255,'G-7 Rivers Data'!$AG$4:$AI$9,3,FALSE)=0,"Spatial Data Missing",VLOOKUP(I255,'G-7 Rivers Data'!$AG$4:$AI$9,3,FALSE)))</f>
        <v/>
      </c>
      <c r="L255" s="384" t="str">
        <f>IFERROR(INDEX('G-7 Rivers Data'!$O$3:$O$7,MATCH(G255,'G-7 Rivers Data'!$N$3:$N$7,0)),"")</f>
        <v/>
      </c>
      <c r="M255" s="82"/>
      <c r="N255" s="261"/>
      <c r="O255" s="179" t="str">
        <f t="shared" si="21"/>
        <v/>
      </c>
      <c r="P255" s="262" t="str">
        <f t="shared" si="22"/>
        <v/>
      </c>
      <c r="Q255" s="382" t="str">
        <f>IFERROR(IF(P255="Check Data","Check Data",VLOOKUP(P255,'G-4 Temporal multipliers'!$A$4:$C$37,3,FALSE)),"")</f>
        <v/>
      </c>
      <c r="R255" s="171" t="str">
        <f>IF(C255="","",VLOOKUP(C255,'G-7 Rivers Data'!$B$4:$G$8,4,FALSE))</f>
        <v/>
      </c>
      <c r="S255" s="179" t="str">
        <f t="shared" si="25"/>
        <v/>
      </c>
      <c r="T255" s="269" t="str">
        <f t="shared" si="26"/>
        <v/>
      </c>
      <c r="U255" s="172" t="str">
        <f t="shared" si="23"/>
        <v/>
      </c>
      <c r="V255" s="79"/>
      <c r="W255" s="172" t="str">
        <f>IF(V255="","",IF(VLOOKUP(V255,'G-7 Rivers Data'!$AA$4:$AB$7,2,FALSE)=0,"Spatial Data Missing",VLOOKUP(V255,'G-7 Rivers Data'!$AA$4:$AB$7,2,FALSE)))</f>
        <v/>
      </c>
      <c r="X255" s="187"/>
      <c r="Y255" s="172" t="str">
        <f>IF(X255="","",IF(VLOOKUP(X255,'G-7 Rivers Data'!$AD$4:$AE$8,2,FALSE)=0,"Enrcoachment Data Missing",VLOOKUP(X255,'G-7 Rivers Data'!$AD$4:$AE$8,2,FALSE)))</f>
        <v/>
      </c>
      <c r="Z255" s="186"/>
      <c r="AA255" s="176" t="str">
        <f>IF(Z255="","",VLOOKUP(Z255,'G-7 Rivers Data'!$AO$4:$AP$7,2,FALSE))</f>
        <v/>
      </c>
      <c r="AB255" s="265" t="str">
        <f t="shared" si="24"/>
        <v/>
      </c>
      <c r="AC255" s="180"/>
      <c r="AD255" s="181"/>
      <c r="AK255" s="35" t="str">
        <f>IFERROR(INDEX('G-7 Rivers Data'!$AZ$3:$AZ$7,MATCH(C255,'G-7 Rivers Data'!$AY$3:$AY$7,0)),"")</f>
        <v/>
      </c>
    </row>
    <row r="256" spans="2:37" ht="13.8" x14ac:dyDescent="0.25">
      <c r="B256" s="168">
        <v>245</v>
      </c>
      <c r="C256" s="184"/>
      <c r="D256" s="213"/>
      <c r="E256" s="171" t="str">
        <f>IF(C256="","",VLOOKUP(C256,'G-7 Rivers Data'!$B$2:$Z$9,2,FALSE))</f>
        <v/>
      </c>
      <c r="F256" s="172" t="str">
        <f>IFERROR(VLOOKUP(E256,'G-7 Rivers Data'!$C$4:$D$8,2,FALSE),"")</f>
        <v/>
      </c>
      <c r="G256" s="173"/>
      <c r="H256" s="172" t="str">
        <f>IFERROR(INDEX('G-7 Rivers Data'!$H$4:$L$8,MATCH(C256,'G-7 Rivers Data'!$B$4:$B$8,0),MATCH(G256,'G-7 Rivers Data'!$H$3:$L$3,0)),"")</f>
        <v/>
      </c>
      <c r="I256" s="173"/>
      <c r="J256" s="269" t="str">
        <f>IF(I256="","",IF(VLOOKUP(I256,'G-7 Rivers Data'!$AG$4:$AI$9,2,FALSE)=0,"Spatial Data Missing",VLOOKUP(I256,'G-7 Rivers Data'!$AG$4:$AI$9,2,FALSE)))</f>
        <v/>
      </c>
      <c r="K256" s="172" t="str">
        <f>IF(I256="","",IF(VLOOKUP(I256,'G-7 Rivers Data'!$AG$4:$AI$9,3,FALSE)=0,"Spatial Data Missing",VLOOKUP(I256,'G-7 Rivers Data'!$AG$4:$AI$9,3,FALSE)))</f>
        <v/>
      </c>
      <c r="L256" s="384" t="str">
        <f>IFERROR(INDEX('G-7 Rivers Data'!$O$3:$O$7,MATCH(G256,'G-7 Rivers Data'!$N$3:$N$7,0)),"")</f>
        <v/>
      </c>
      <c r="M256" s="82"/>
      <c r="N256" s="261"/>
      <c r="O256" s="179" t="str">
        <f t="shared" si="21"/>
        <v/>
      </c>
      <c r="P256" s="262" t="str">
        <f t="shared" si="22"/>
        <v/>
      </c>
      <c r="Q256" s="382" t="str">
        <f>IFERROR(IF(P256="Check Data","Check Data",VLOOKUP(P256,'G-4 Temporal multipliers'!$A$4:$C$37,3,FALSE)),"")</f>
        <v/>
      </c>
      <c r="R256" s="171" t="str">
        <f>IF(C256="","",VLOOKUP(C256,'G-7 Rivers Data'!$B$4:$G$8,4,FALSE))</f>
        <v/>
      </c>
      <c r="S256" s="179" t="str">
        <f t="shared" si="25"/>
        <v/>
      </c>
      <c r="T256" s="269" t="str">
        <f t="shared" si="26"/>
        <v/>
      </c>
      <c r="U256" s="172" t="str">
        <f t="shared" si="23"/>
        <v/>
      </c>
      <c r="V256" s="79"/>
      <c r="W256" s="172" t="str">
        <f>IF(V256="","",IF(VLOOKUP(V256,'G-7 Rivers Data'!$AA$4:$AB$7,2,FALSE)=0,"Spatial Data Missing",VLOOKUP(V256,'G-7 Rivers Data'!$AA$4:$AB$7,2,FALSE)))</f>
        <v/>
      </c>
      <c r="X256" s="187"/>
      <c r="Y256" s="172" t="str">
        <f>IF(X256="","",IF(VLOOKUP(X256,'G-7 Rivers Data'!$AD$4:$AE$8,2,FALSE)=0,"Enrcoachment Data Missing",VLOOKUP(X256,'G-7 Rivers Data'!$AD$4:$AE$8,2,FALSE)))</f>
        <v/>
      </c>
      <c r="Z256" s="186"/>
      <c r="AA256" s="176" t="str">
        <f>IF(Z256="","",VLOOKUP(Z256,'G-7 Rivers Data'!$AO$4:$AP$7,2,FALSE))</f>
        <v/>
      </c>
      <c r="AB256" s="265" t="str">
        <f t="shared" si="24"/>
        <v/>
      </c>
      <c r="AC256" s="180"/>
      <c r="AD256" s="181"/>
      <c r="AK256" s="35" t="str">
        <f>IFERROR(INDEX('G-7 Rivers Data'!$AZ$3:$AZ$7,MATCH(C256,'G-7 Rivers Data'!$AY$3:$AY$7,0)),"")</f>
        <v/>
      </c>
    </row>
    <row r="257" spans="2:37" ht="13.8" x14ac:dyDescent="0.25">
      <c r="B257" s="168">
        <v>246</v>
      </c>
      <c r="C257" s="184"/>
      <c r="D257" s="213"/>
      <c r="E257" s="171" t="str">
        <f>IF(C257="","",VLOOKUP(C257,'G-7 Rivers Data'!$B$2:$Z$9,2,FALSE))</f>
        <v/>
      </c>
      <c r="F257" s="172" t="str">
        <f>IFERROR(VLOOKUP(E257,'G-7 Rivers Data'!$C$4:$D$8,2,FALSE),"")</f>
        <v/>
      </c>
      <c r="G257" s="173"/>
      <c r="H257" s="172" t="str">
        <f>IFERROR(INDEX('G-7 Rivers Data'!$H$4:$L$8,MATCH(C257,'G-7 Rivers Data'!$B$4:$B$8,0),MATCH(G257,'G-7 Rivers Data'!$H$3:$L$3,0)),"")</f>
        <v/>
      </c>
      <c r="I257" s="173"/>
      <c r="J257" s="269" t="str">
        <f>IF(I257="","",IF(VLOOKUP(I257,'G-7 Rivers Data'!$AG$4:$AI$9,2,FALSE)=0,"Spatial Data Missing",VLOOKUP(I257,'G-7 Rivers Data'!$AG$4:$AI$9,2,FALSE)))</f>
        <v/>
      </c>
      <c r="K257" s="172" t="str">
        <f>IF(I257="","",IF(VLOOKUP(I257,'G-7 Rivers Data'!$AG$4:$AI$9,3,FALSE)=0,"Spatial Data Missing",VLOOKUP(I257,'G-7 Rivers Data'!$AG$4:$AI$9,3,FALSE)))</f>
        <v/>
      </c>
      <c r="L257" s="384" t="str">
        <f>IFERROR(INDEX('G-7 Rivers Data'!$O$3:$O$7,MATCH(G257,'G-7 Rivers Data'!$N$3:$N$7,0)),"")</f>
        <v/>
      </c>
      <c r="M257" s="82"/>
      <c r="N257" s="261"/>
      <c r="O257" s="179" t="str">
        <f t="shared" si="21"/>
        <v/>
      </c>
      <c r="P257" s="262" t="str">
        <f t="shared" si="22"/>
        <v/>
      </c>
      <c r="Q257" s="382" t="str">
        <f>IFERROR(IF(P257="Check Data","Check Data",VLOOKUP(P257,'G-4 Temporal multipliers'!$A$4:$C$37,3,FALSE)),"")</f>
        <v/>
      </c>
      <c r="R257" s="171" t="str">
        <f>IF(C257="","",VLOOKUP(C257,'G-7 Rivers Data'!$B$4:$G$8,4,FALSE))</f>
        <v/>
      </c>
      <c r="S257" s="179" t="str">
        <f t="shared" si="25"/>
        <v/>
      </c>
      <c r="T257" s="269" t="str">
        <f t="shared" si="26"/>
        <v/>
      </c>
      <c r="U257" s="172" t="str">
        <f t="shared" si="23"/>
        <v/>
      </c>
      <c r="V257" s="79"/>
      <c r="W257" s="172" t="str">
        <f>IF(V257="","",IF(VLOOKUP(V257,'G-7 Rivers Data'!$AA$4:$AB$7,2,FALSE)=0,"Spatial Data Missing",VLOOKUP(V257,'G-7 Rivers Data'!$AA$4:$AB$7,2,FALSE)))</f>
        <v/>
      </c>
      <c r="X257" s="187"/>
      <c r="Y257" s="172" t="str">
        <f>IF(X257="","",IF(VLOOKUP(X257,'G-7 Rivers Data'!$AD$4:$AE$8,2,FALSE)=0,"Enrcoachment Data Missing",VLOOKUP(X257,'G-7 Rivers Data'!$AD$4:$AE$8,2,FALSE)))</f>
        <v/>
      </c>
      <c r="Z257" s="186"/>
      <c r="AA257" s="176" t="str">
        <f>IF(Z257="","",VLOOKUP(Z257,'G-7 Rivers Data'!$AO$4:$AP$7,2,FALSE))</f>
        <v/>
      </c>
      <c r="AB257" s="265" t="str">
        <f t="shared" si="24"/>
        <v/>
      </c>
      <c r="AC257" s="180"/>
      <c r="AD257" s="181"/>
      <c r="AK257" s="35" t="str">
        <f>IFERROR(INDEX('G-7 Rivers Data'!$AZ$3:$AZ$7,MATCH(C257,'G-7 Rivers Data'!$AY$3:$AY$7,0)),"")</f>
        <v/>
      </c>
    </row>
    <row r="258" spans="2:37" ht="13.8" x14ac:dyDescent="0.25">
      <c r="B258" s="168">
        <v>247</v>
      </c>
      <c r="C258" s="184"/>
      <c r="D258" s="213"/>
      <c r="E258" s="171" t="str">
        <f>IF(C258="","",VLOOKUP(C258,'G-7 Rivers Data'!$B$2:$Z$9,2,FALSE))</f>
        <v/>
      </c>
      <c r="F258" s="172" t="str">
        <f>IFERROR(VLOOKUP(E258,'G-7 Rivers Data'!$C$4:$D$8,2,FALSE),"")</f>
        <v/>
      </c>
      <c r="G258" s="173"/>
      <c r="H258" s="172" t="str">
        <f>IFERROR(INDEX('G-7 Rivers Data'!$H$4:$L$8,MATCH(C258,'G-7 Rivers Data'!$B$4:$B$8,0),MATCH(G258,'G-7 Rivers Data'!$H$3:$L$3,0)),"")</f>
        <v/>
      </c>
      <c r="I258" s="173"/>
      <c r="J258" s="269" t="str">
        <f>IF(I258="","",IF(VLOOKUP(I258,'G-7 Rivers Data'!$AG$4:$AI$9,2,FALSE)=0,"Spatial Data Missing",VLOOKUP(I258,'G-7 Rivers Data'!$AG$4:$AI$9,2,FALSE)))</f>
        <v/>
      </c>
      <c r="K258" s="172" t="str">
        <f>IF(I258="","",IF(VLOOKUP(I258,'G-7 Rivers Data'!$AG$4:$AI$9,3,FALSE)=0,"Spatial Data Missing",VLOOKUP(I258,'G-7 Rivers Data'!$AG$4:$AI$9,3,FALSE)))</f>
        <v/>
      </c>
      <c r="L258" s="384" t="str">
        <f>IFERROR(INDEX('G-7 Rivers Data'!$O$3:$O$7,MATCH(G258,'G-7 Rivers Data'!$N$3:$N$7,0)),"")</f>
        <v/>
      </c>
      <c r="M258" s="82"/>
      <c r="N258" s="261"/>
      <c r="O258" s="179" t="str">
        <f t="shared" si="21"/>
        <v/>
      </c>
      <c r="P258" s="262" t="str">
        <f t="shared" si="22"/>
        <v/>
      </c>
      <c r="Q258" s="382" t="str">
        <f>IFERROR(IF(P258="Check Data","Check Data",VLOOKUP(P258,'G-4 Temporal multipliers'!$A$4:$C$37,3,FALSE)),"")</f>
        <v/>
      </c>
      <c r="R258" s="171" t="str">
        <f>IF(C258="","",VLOOKUP(C258,'G-7 Rivers Data'!$B$4:$G$8,4,FALSE))</f>
        <v/>
      </c>
      <c r="S258" s="179" t="str">
        <f t="shared" si="25"/>
        <v/>
      </c>
      <c r="T258" s="269" t="str">
        <f t="shared" si="26"/>
        <v/>
      </c>
      <c r="U258" s="172" t="str">
        <f t="shared" si="23"/>
        <v/>
      </c>
      <c r="V258" s="79"/>
      <c r="W258" s="172" t="str">
        <f>IF(V258="","",IF(VLOOKUP(V258,'G-7 Rivers Data'!$AA$4:$AB$7,2,FALSE)=0,"Spatial Data Missing",VLOOKUP(V258,'G-7 Rivers Data'!$AA$4:$AB$7,2,FALSE)))</f>
        <v/>
      </c>
      <c r="X258" s="187"/>
      <c r="Y258" s="172" t="str">
        <f>IF(X258="","",IF(VLOOKUP(X258,'G-7 Rivers Data'!$AD$4:$AE$8,2,FALSE)=0,"Enrcoachment Data Missing",VLOOKUP(X258,'G-7 Rivers Data'!$AD$4:$AE$8,2,FALSE)))</f>
        <v/>
      </c>
      <c r="Z258" s="186"/>
      <c r="AA258" s="176" t="str">
        <f>IF(Z258="","",VLOOKUP(Z258,'G-7 Rivers Data'!$AO$4:$AP$7,2,FALSE))</f>
        <v/>
      </c>
      <c r="AB258" s="265" t="str">
        <f t="shared" si="24"/>
        <v/>
      </c>
      <c r="AC258" s="180"/>
      <c r="AD258" s="181"/>
      <c r="AK258" s="35" t="str">
        <f>IFERROR(INDEX('G-7 Rivers Data'!$AZ$3:$AZ$7,MATCH(C258,'G-7 Rivers Data'!$AY$3:$AY$7,0)),"")</f>
        <v/>
      </c>
    </row>
    <row r="259" spans="2:37" ht="14.4" thickBot="1" x14ac:dyDescent="0.3">
      <c r="B259" s="190">
        <v>248</v>
      </c>
      <c r="C259" s="191"/>
      <c r="D259" s="192"/>
      <c r="E259" s="248" t="str">
        <f>IF(C259="","",VLOOKUP(C259,'G-7 Rivers Data'!$B$2:$Z$9,2,FALSE))</f>
        <v/>
      </c>
      <c r="F259" s="195" t="str">
        <f>IFERROR(VLOOKUP(E259,'G-7 Rivers Data'!$C$4:$D$8,2,FALSE),"")</f>
        <v/>
      </c>
      <c r="G259" s="193"/>
      <c r="H259" s="195" t="str">
        <f>IFERROR(INDEX('G-7 Rivers Data'!$H$4:$L$8,MATCH(C259,'G-7 Rivers Data'!$B$4:$B$8,0),MATCH(G259,'G-7 Rivers Data'!$H$3:$L$3,0)),"")</f>
        <v/>
      </c>
      <c r="I259" s="193"/>
      <c r="J259" s="401" t="str">
        <f>IF(I259="","",IF(VLOOKUP(I259,'G-7 Rivers Data'!$AG$4:$AI$9,2,FALSE)=0,"Spatial Data Missing",VLOOKUP(I259,'G-7 Rivers Data'!$AG$4:$AI$9,2,FALSE)))</f>
        <v/>
      </c>
      <c r="K259" s="195" t="str">
        <f>IF(I259="","",IF(VLOOKUP(I259,'G-7 Rivers Data'!$AG$4:$AI$9,3,FALSE)=0,"Spatial Data Missing",VLOOKUP(I259,'G-7 Rivers Data'!$AG$4:$AI$9,3,FALSE)))</f>
        <v/>
      </c>
      <c r="L259" s="409" t="str">
        <f>IFERROR(INDEX('G-7 Rivers Data'!$O$3:$O$7,MATCH(G259,'G-7 Rivers Data'!$N$3:$N$7,0)),"")</f>
        <v/>
      </c>
      <c r="M259" s="82"/>
      <c r="N259" s="279"/>
      <c r="O259" s="194" t="str">
        <f t="shared" si="21"/>
        <v/>
      </c>
      <c r="P259" s="251" t="str">
        <f t="shared" si="22"/>
        <v/>
      </c>
      <c r="Q259" s="408" t="str">
        <f>IFERROR(IF(P259="Check Data","Check Data",VLOOKUP(P259,'G-4 Temporal multipliers'!$A$4:$C$37,3,FALSE)),"")</f>
        <v/>
      </c>
      <c r="R259" s="248" t="str">
        <f>IF(C259="","",VLOOKUP(C259,'G-7 Rivers Data'!$B$4:$G$8,4,FALSE))</f>
        <v/>
      </c>
      <c r="S259" s="196" t="str">
        <f t="shared" si="25"/>
        <v/>
      </c>
      <c r="T259" s="615" t="str">
        <f t="shared" si="26"/>
        <v/>
      </c>
      <c r="U259" s="195" t="str">
        <f t="shared" si="23"/>
        <v/>
      </c>
      <c r="V259" s="709"/>
      <c r="W259" s="172" t="str">
        <f>IF(V259="","",IF(VLOOKUP(V259,'G-7 Rivers Data'!$AA$4:$AB$7,2,FALSE)=0,"Spatial Data Missing",VLOOKUP(V259,'G-7 Rivers Data'!$AA$4:$AB$7,2,FALSE)))</f>
        <v/>
      </c>
      <c r="X259" s="404"/>
      <c r="Y259" s="195" t="str">
        <f>IF(X259="","",IF(VLOOKUP(X259,'G-7 Rivers Data'!$AD$4:$AE$8,2,FALSE)=0,"Enrcoachment Data Missing",VLOOKUP(X259,'G-7 Rivers Data'!$AD$4:$AE$8,2,FALSE)))</f>
        <v/>
      </c>
      <c r="Z259" s="193"/>
      <c r="AA259" s="195" t="str">
        <f>IF(Z259="","",VLOOKUP(Z259,'G-7 Rivers Data'!$AO$4:$AP$7,2,FALSE))</f>
        <v/>
      </c>
      <c r="AB259" s="402" t="str">
        <f t="shared" si="24"/>
        <v/>
      </c>
      <c r="AC259" s="197"/>
      <c r="AD259" s="198"/>
      <c r="AK259" s="35" t="str">
        <f>IFERROR(INDEX('G-7 Rivers Data'!$AZ$3:$AZ$7,MATCH(C259,'G-7 Rivers Data'!$AY$3:$AY$7,0)),"")</f>
        <v/>
      </c>
    </row>
    <row r="260" spans="2:37" ht="14.4" thickBot="1" x14ac:dyDescent="0.3">
      <c r="B260" s="51"/>
      <c r="C260" s="413"/>
      <c r="D260" s="200">
        <f>SUM(D12:D259)</f>
        <v>0</v>
      </c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1065"/>
      <c r="AA260" s="1067"/>
      <c r="AB260" s="200">
        <f>SUM(AB12:AB259)</f>
        <v>0</v>
      </c>
      <c r="AC260" s="51"/>
      <c r="AD260" s="51"/>
    </row>
    <row r="261" spans="2:37" ht="28.95" customHeight="1" x14ac:dyDescent="0.25"/>
    <row r="262" spans="2:37" ht="27" customHeight="1" x14ac:dyDescent="0.25"/>
    <row r="263" spans="2:37" ht="13.8" x14ac:dyDescent="0.25"/>
    <row r="264" spans="2:37" ht="13.8" x14ac:dyDescent="0.25"/>
    <row r="265" spans="2:37" ht="13.8" x14ac:dyDescent="0.25"/>
    <row r="266" spans="2:37" ht="13.8" x14ac:dyDescent="0.25"/>
    <row r="267" spans="2:37" ht="13.8" x14ac:dyDescent="0.25"/>
    <row r="268" spans="2:37" ht="13.8" x14ac:dyDescent="0.25"/>
    <row r="269" spans="2:37" ht="13.8" hidden="1" x14ac:dyDescent="0.25"/>
    <row r="270" spans="2:37" ht="13.8" hidden="1" x14ac:dyDescent="0.25"/>
    <row r="271" spans="2:37" ht="13.8" hidden="1" x14ac:dyDescent="0.25"/>
    <row r="272" spans="2:37" ht="13.8" hidden="1" x14ac:dyDescent="0.25"/>
    <row r="273" ht="13.8" hidden="1" x14ac:dyDescent="0.25"/>
    <row r="274" ht="13.8" hidden="1" x14ac:dyDescent="0.25"/>
    <row r="275" ht="13.8" hidden="1" x14ac:dyDescent="0.25"/>
    <row r="1048576" ht="13.8" x14ac:dyDescent="0.25"/>
  </sheetData>
  <sheetProtection algorithmName="SHA-512" hashValue="+xThU9ke0o+GlZqLuNCY9yXJYvorOCjZMcP76TH4CYusGaJN7pH5hQ4scqjVlcBjG5/Y6Ko9x6eMjfcGKeVnNg==" saltValue="K//eUAi1ketZGgHN9S2iUQ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5">
    <mergeCell ref="Z260:AA260"/>
    <mergeCell ref="AC10:AD10"/>
    <mergeCell ref="B2:D2"/>
    <mergeCell ref="B3:D4"/>
    <mergeCell ref="X10:Y10"/>
    <mergeCell ref="L10:Q10"/>
    <mergeCell ref="V10:W10"/>
    <mergeCell ref="I10:K10"/>
    <mergeCell ref="R10:U10"/>
    <mergeCell ref="Z10:AA10"/>
    <mergeCell ref="C10:D10"/>
    <mergeCell ref="E10:F10"/>
    <mergeCell ref="G10:H10"/>
    <mergeCell ref="AB10:AB11"/>
    <mergeCell ref="L2:Q5"/>
  </mergeCells>
  <conditionalFormatting sqref="H12:H259">
    <cfRule type="beginsWith" dxfId="24" priority="7" operator="beginsWith" text="Not Possible">
      <formula>LEFT(H12,LEN("Not Possible"))="Not Possible"</formula>
    </cfRule>
  </conditionalFormatting>
  <conditionalFormatting sqref="J12:K259">
    <cfRule type="containsText" dxfId="23" priority="6" operator="containsText" text="Spatial">
      <formula>NOT(ISERROR(SEARCH("Spatial",J12)))</formula>
    </cfRule>
  </conditionalFormatting>
  <conditionalFormatting sqref="O12:AB259">
    <cfRule type="containsText" dxfId="22" priority="4" operator="containsText" text="Check">
      <formula>NOT(ISERROR(SEARCH("Check",O12)))</formula>
    </cfRule>
    <cfRule type="containsText" dxfId="21" priority="5" operator="containsText" text="Error">
      <formula>NOT(ISERROR(SEARCH("Error",O12)))</formula>
    </cfRule>
  </conditionalFormatting>
  <conditionalFormatting sqref="L12:Q259">
    <cfRule type="containsText" dxfId="20" priority="3" operator="containsText" text="30+">
      <formula>NOT(ISERROR(SEARCH("30+",L12)))</formula>
    </cfRule>
  </conditionalFormatting>
  <conditionalFormatting sqref="L6:P6 L2">
    <cfRule type="containsText" dxfId="19" priority="2" operator="containsText" text="Note">
      <formula>NOT(ISERROR(SEARCH("Note",L2)))</formula>
    </cfRule>
  </conditionalFormatting>
  <conditionalFormatting sqref="W12:Y259">
    <cfRule type="containsText" dxfId="18" priority="1" operator="containsText" text="Spatial">
      <formula>NOT(ISERROR(SEARCH("Spatial",W12)))</formula>
    </cfRule>
  </conditionalFormatting>
  <dataValidations count="1">
    <dataValidation type="list" allowBlank="1" showInputMessage="1" showErrorMessage="1" sqref="G12:G259" xr:uid="{00000000-0002-0000-1A00-000000000000}">
      <formula1>INDIRECT(AK12)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1A00-000001000000}">
          <x14:formula1>
            <xm:f>'G-7 Rivers Data'!$AG$4:$AG$9</xm:f>
          </x14:formula1>
          <xm:sqref>I12:I259</xm:sqref>
        </x14:dataValidation>
        <x14:dataValidation type="list" allowBlank="1" showInputMessage="1" showErrorMessage="1" xr:uid="{00000000-0002-0000-1A00-000003000000}">
          <x14:formula1>
            <xm:f>'G-7 Rivers Data'!$AD$4:$AD$7</xm:f>
          </x14:formula1>
          <xm:sqref>X12:X259</xm:sqref>
        </x14:dataValidation>
        <x14:dataValidation type="list" allowBlank="1" showInputMessage="1" showErrorMessage="1" xr:uid="{00000000-0002-0000-1A00-000004000000}">
          <x14:formula1>
            <xm:f>'G-7 Rivers Data'!$AO$4:$AO$6</xm:f>
          </x14:formula1>
          <xm:sqref>Z12:Z259</xm:sqref>
        </x14:dataValidation>
        <x14:dataValidation type="list" allowBlank="1" showInputMessage="1" showErrorMessage="1" xr:uid="{00000000-0002-0000-1A00-000005000000}">
          <x14:formula1>
            <xm:f>'G-7 Rivers Data'!$B$4:$B$8</xm:f>
          </x14:formula1>
          <xm:sqref>C12:C259</xm:sqref>
        </x14:dataValidation>
        <x14:dataValidation type="list" allowBlank="1" showInputMessage="1" showErrorMessage="1" xr:uid="{00000000-0002-0000-1A00-000006000000}">
          <x14:formula1>
            <xm:f>'G-4 Temporal multipliers'!$A$41:$A$72</xm:f>
          </x14:formula1>
          <xm:sqref>M12:N259</xm:sqref>
        </x14:dataValidation>
        <x14:dataValidation type="list" allowBlank="1" showInputMessage="1" showErrorMessage="1" xr:uid="{9FE2C034-893E-41D1-8D37-6AE30E2BE3D3}">
          <x14:formula1>
            <xm:f>'G-7 Rivers Data'!$AA$4:$AA$7</xm:f>
          </x14:formula1>
          <xm:sqref>V12:V259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4">
    <tabColor rgb="FF00B0F0"/>
  </sheetPr>
  <dimension ref="A1:BF266"/>
  <sheetViews>
    <sheetView showGridLines="0" showRowColHeaders="0" zoomScaleNormal="100" workbookViewId="0">
      <pane ySplit="11" topLeftCell="A12" activePane="bottomLeft" state="frozen"/>
      <selection activeCell="B18" sqref="B18:I19"/>
      <selection pane="bottomLeft" activeCell="C16" sqref="C16"/>
    </sheetView>
  </sheetViews>
  <sheetFormatPr defaultColWidth="0" defaultRowHeight="0" customHeight="1" zeroHeight="1" x14ac:dyDescent="0.25"/>
  <cols>
    <col min="1" max="1" width="2.88671875" style="35" customWidth="1"/>
    <col min="2" max="2" width="14.109375" style="35" customWidth="1"/>
    <col min="3" max="3" width="51.109375" style="35" customWidth="1"/>
    <col min="4" max="4" width="10.44140625" style="35" customWidth="1"/>
    <col min="5" max="5" width="17.44140625" style="35" customWidth="1"/>
    <col min="6" max="6" width="17.5546875" style="35" customWidth="1"/>
    <col min="7" max="7" width="18.109375" style="35" customWidth="1"/>
    <col min="8" max="8" width="19.33203125" style="35" customWidth="1"/>
    <col min="9" max="9" width="34.5546875" style="35" customWidth="1"/>
    <col min="10" max="13" width="19.33203125" style="35" customWidth="1"/>
    <col min="14" max="14" width="56.88671875" style="35" customWidth="1"/>
    <col min="15" max="16" width="34.33203125" style="35" customWidth="1"/>
    <col min="17" max="17" width="9.6640625" style="35" customWidth="1"/>
    <col min="18" max="18" width="18.33203125" style="35" customWidth="1"/>
    <col min="19" max="19" width="13.109375" style="35" customWidth="1"/>
    <col min="20" max="20" width="12.5546875" style="35" bestFit="1" customWidth="1"/>
    <col min="21" max="21" width="12.5546875" style="35" customWidth="1"/>
    <col min="22" max="22" width="33.6640625" style="35" customWidth="1"/>
    <col min="23" max="23" width="15.44140625" style="35" customWidth="1"/>
    <col min="24" max="24" width="12.33203125" style="35" customWidth="1"/>
    <col min="25" max="25" width="18.44140625" style="35" customWidth="1"/>
    <col min="26" max="26" width="20.44140625" style="35" customWidth="1"/>
    <col min="27" max="27" width="23.109375" style="35" customWidth="1"/>
    <col min="28" max="28" width="26.88671875" style="35" customWidth="1"/>
    <col min="29" max="29" width="18.44140625" style="35" customWidth="1"/>
    <col min="30" max="30" width="15.33203125" style="35" customWidth="1"/>
    <col min="31" max="31" width="17.6640625" style="35" customWidth="1"/>
    <col min="32" max="32" width="27.109375" style="35" customWidth="1"/>
    <col min="33" max="33" width="17.44140625" style="35" customWidth="1"/>
    <col min="34" max="34" width="12.6640625" style="35" customWidth="1"/>
    <col min="35" max="35" width="16.6640625" style="35" customWidth="1"/>
    <col min="36" max="36" width="12.6640625" style="35" customWidth="1"/>
    <col min="37" max="37" width="19.5546875" style="35" customWidth="1"/>
    <col min="38" max="38" width="12.6640625" style="35" customWidth="1"/>
    <col min="39" max="39" width="18.33203125" style="35" customWidth="1"/>
    <col min="40" max="41" width="12.6640625" style="35" customWidth="1"/>
    <col min="42" max="42" width="42.109375" style="35" customWidth="1"/>
    <col min="43" max="43" width="42.44140625" style="35" customWidth="1"/>
    <col min="44" max="49" width="8.88671875" style="35" customWidth="1"/>
    <col min="50" max="50" width="8.88671875" style="35" hidden="1" customWidth="1"/>
    <col min="51" max="58" width="0" style="35" hidden="1" customWidth="1"/>
    <col min="59" max="16384" width="8.88671875" style="35" hidden="1"/>
  </cols>
  <sheetData>
    <row r="1" spans="2:50" ht="20.399999999999999" customHeight="1" thickBot="1" x14ac:dyDescent="0.3"/>
    <row r="2" spans="2:50" ht="27" customHeight="1" thickBot="1" x14ac:dyDescent="0.3">
      <c r="B2" s="785" t="str">
        <f>IF([2]Start!$F$12="","",[2]Start!$F$12)</f>
        <v/>
      </c>
      <c r="C2" s="787"/>
      <c r="R2" s="159"/>
      <c r="Y2" s="958" t="str">
        <f>IF(OR(COUNTIF($Y$12:Y259,"*30+*")&gt;0,COUNTIF($AC$12:AC259,"*30+*")&gt;0),"Note; Habitat selected has a time to target condition greater than 30 years. Non standard agreement may be required.","")</f>
        <v/>
      </c>
      <c r="Z2" s="958"/>
      <c r="AA2" s="958"/>
      <c r="AB2" s="958"/>
      <c r="AC2" s="958"/>
      <c r="AD2" s="958"/>
    </row>
    <row r="3" spans="2:50" ht="21" customHeight="1" x14ac:dyDescent="0.25">
      <c r="B3" s="1069" t="str">
        <f ca="1">MID(CELL("filename",A1),FIND("]",CELL("filename",A1))+1,256)</f>
        <v>F-3 Off Site River Enhancement</v>
      </c>
      <c r="C3" s="1070"/>
      <c r="Y3" s="958"/>
      <c r="Z3" s="958"/>
      <c r="AA3" s="958"/>
      <c r="AB3" s="958"/>
      <c r="AC3" s="958"/>
      <c r="AD3" s="958"/>
    </row>
    <row r="4" spans="2:50" ht="21" customHeight="1" thickBot="1" x14ac:dyDescent="0.3">
      <c r="B4" s="1071"/>
      <c r="C4" s="1072"/>
      <c r="Y4" s="958"/>
      <c r="Z4" s="958"/>
      <c r="AA4" s="958"/>
      <c r="AB4" s="958"/>
      <c r="AC4" s="958"/>
      <c r="AD4" s="958"/>
    </row>
    <row r="5" spans="2:50" ht="15.6" customHeight="1" x14ac:dyDescent="0.3">
      <c r="Q5" s="35" t="s">
        <v>838</v>
      </c>
      <c r="AH5" s="257"/>
      <c r="AI5" s="257"/>
      <c r="AJ5" s="257"/>
      <c r="AK5" s="257"/>
      <c r="AL5" s="257"/>
      <c r="AM5" s="257"/>
      <c r="AN5" s="257"/>
    </row>
    <row r="6" spans="2:50" ht="15" customHeight="1" x14ac:dyDescent="0.25"/>
    <row r="7" spans="2:50" ht="13.8" x14ac:dyDescent="0.25">
      <c r="C7" s="158"/>
    </row>
    <row r="8" spans="2:50" ht="14.4" thickBot="1" x14ac:dyDescent="0.3"/>
    <row r="9" spans="2:50" ht="14.4" thickBot="1" x14ac:dyDescent="0.3"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995" t="s">
        <v>990</v>
      </c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7"/>
      <c r="AO9" s="707"/>
    </row>
    <row r="10" spans="2:50" s="46" customFormat="1" ht="27" customHeight="1" thickBot="1" x14ac:dyDescent="0.3">
      <c r="C10" s="1047" t="s">
        <v>1003</v>
      </c>
      <c r="D10" s="1053"/>
      <c r="E10" s="1053"/>
      <c r="F10" s="1053"/>
      <c r="G10" s="1053"/>
      <c r="H10" s="1053"/>
      <c r="I10" s="1053"/>
      <c r="J10" s="1053"/>
      <c r="K10" s="1053"/>
      <c r="L10" s="1053"/>
      <c r="M10" s="1053"/>
      <c r="N10" s="1075" t="s">
        <v>1085</v>
      </c>
      <c r="O10" s="1073" t="s">
        <v>1065</v>
      </c>
      <c r="P10" s="1074"/>
      <c r="Q10" s="984" t="s">
        <v>369</v>
      </c>
      <c r="R10" s="984" t="s">
        <v>981</v>
      </c>
      <c r="S10" s="984"/>
      <c r="T10" s="984" t="s">
        <v>982</v>
      </c>
      <c r="U10" s="984"/>
      <c r="V10" s="1011" t="s">
        <v>362</v>
      </c>
      <c r="W10" s="1012"/>
      <c r="X10" s="1013"/>
      <c r="Y10" s="1011" t="s">
        <v>988</v>
      </c>
      <c r="Z10" s="1012"/>
      <c r="AA10" s="1012"/>
      <c r="AB10" s="1012"/>
      <c r="AC10" s="1012"/>
      <c r="AD10" s="1013"/>
      <c r="AE10" s="1011" t="s">
        <v>989</v>
      </c>
      <c r="AF10" s="1012"/>
      <c r="AG10" s="1012"/>
      <c r="AH10" s="1013"/>
      <c r="AI10" s="984" t="s">
        <v>1188</v>
      </c>
      <c r="AJ10" s="984"/>
      <c r="AK10" s="1011" t="s">
        <v>1036</v>
      </c>
      <c r="AL10" s="1013"/>
      <c r="AM10" s="984" t="s">
        <v>1028</v>
      </c>
      <c r="AN10" s="1011"/>
      <c r="AO10" s="1005" t="s">
        <v>1035</v>
      </c>
      <c r="AP10" s="921" t="s">
        <v>145</v>
      </c>
      <c r="AQ10" s="919"/>
    </row>
    <row r="11" spans="2:50" ht="60" customHeight="1" thickBot="1" x14ac:dyDescent="0.3">
      <c r="B11" s="162" t="s">
        <v>840</v>
      </c>
      <c r="C11" s="163" t="s">
        <v>997</v>
      </c>
      <c r="D11" s="163" t="s">
        <v>369</v>
      </c>
      <c r="E11" s="163" t="s">
        <v>999</v>
      </c>
      <c r="F11" s="163" t="s">
        <v>1000</v>
      </c>
      <c r="G11" s="163" t="s">
        <v>1001</v>
      </c>
      <c r="H11" s="163" t="s">
        <v>1002</v>
      </c>
      <c r="I11" s="163" t="s">
        <v>1004</v>
      </c>
      <c r="J11" s="163" t="s">
        <v>362</v>
      </c>
      <c r="K11" s="163" t="s">
        <v>1005</v>
      </c>
      <c r="L11" s="163" t="s">
        <v>1019</v>
      </c>
      <c r="M11" s="164" t="s">
        <v>1038</v>
      </c>
      <c r="N11" s="1076"/>
      <c r="O11" s="561" t="s">
        <v>1007</v>
      </c>
      <c r="P11" s="552" t="s">
        <v>360</v>
      </c>
      <c r="Q11" s="1077"/>
      <c r="R11" s="561" t="s">
        <v>127</v>
      </c>
      <c r="S11" s="273" t="s">
        <v>140</v>
      </c>
      <c r="T11" s="561" t="s">
        <v>141</v>
      </c>
      <c r="U11" s="273" t="s">
        <v>140</v>
      </c>
      <c r="V11" s="561" t="s">
        <v>362</v>
      </c>
      <c r="W11" s="272" t="s">
        <v>362</v>
      </c>
      <c r="X11" s="273" t="s">
        <v>983</v>
      </c>
      <c r="Y11" s="561" t="s">
        <v>1200</v>
      </c>
      <c r="Z11" s="272" t="s">
        <v>1202</v>
      </c>
      <c r="AA11" s="272" t="s">
        <v>1478</v>
      </c>
      <c r="AB11" s="272" t="s">
        <v>1179</v>
      </c>
      <c r="AC11" s="272" t="s">
        <v>1183</v>
      </c>
      <c r="AD11" s="273" t="s">
        <v>1201</v>
      </c>
      <c r="AE11" s="561" t="s">
        <v>1297</v>
      </c>
      <c r="AF11" s="272" t="s">
        <v>1490</v>
      </c>
      <c r="AG11" s="272" t="s">
        <v>1185</v>
      </c>
      <c r="AH11" s="273" t="s">
        <v>1182</v>
      </c>
      <c r="AI11" s="561" t="s">
        <v>1037</v>
      </c>
      <c r="AJ11" s="273" t="s">
        <v>55</v>
      </c>
      <c r="AK11" s="561" t="s">
        <v>1037</v>
      </c>
      <c r="AL11" s="273" t="s">
        <v>55</v>
      </c>
      <c r="AM11" s="561" t="s">
        <v>1067</v>
      </c>
      <c r="AN11" s="708" t="s">
        <v>55</v>
      </c>
      <c r="AO11" s="1068"/>
      <c r="AP11" s="168" t="s">
        <v>991</v>
      </c>
      <c r="AQ11" s="552" t="s">
        <v>992</v>
      </c>
      <c r="AX11" s="381" t="s">
        <v>1298</v>
      </c>
    </row>
    <row r="12" spans="2:50" ht="13.8" x14ac:dyDescent="0.25">
      <c r="B12" s="259" t="str">
        <f>'F-1 Off Site River Baseline'!AN10</f>
        <v/>
      </c>
      <c r="C12" s="175" t="str">
        <f>IF(B12="","",VLOOKUP($B12,'F-1 Off Site River Baseline'!$C$9:$R$257,2,FALSE))</f>
        <v/>
      </c>
      <c r="D12" s="175" t="str">
        <f>IF(C12="","",VLOOKUP($B12,'F-1 Off Site River Baseline'!$C$9:$R$257,3,FALSE))</f>
        <v/>
      </c>
      <c r="E12" s="175" t="str">
        <f>IF(D12="","",VLOOKUP($B12,'F-1 Off Site River Baseline'!$C$9:$R$257,4,FALSE))</f>
        <v/>
      </c>
      <c r="F12" s="175" t="str">
        <f>IF(E12="","",VLOOKUP($B12,'F-1 Off Site River Baseline'!$C$9:$R$257,5,FALSE))</f>
        <v/>
      </c>
      <c r="G12" s="175" t="str">
        <f>IF(F12="","",VLOOKUP($B12,'F-1 Off Site River Baseline'!$C$9:$R$257,6,FALSE))</f>
        <v/>
      </c>
      <c r="H12" s="175" t="str">
        <f>IF(G12="","",VLOOKUP($B12,'F-1 Off Site River Baseline'!$C$9:$R$257,7,FALSE))</f>
        <v/>
      </c>
      <c r="I12" s="175" t="str">
        <f>IF(H12="","",VLOOKUP($B12,'F-1 Off Site River Baseline'!$C$9:$R$257,8,FALSE))</f>
        <v/>
      </c>
      <c r="J12" s="175" t="str">
        <f>IF(I12="","",VLOOKUP($B12,'F-1 Off Site River Baseline'!$C$9:$R$257,9,FALSE))</f>
        <v/>
      </c>
      <c r="K12" s="175" t="str">
        <f>IF(J12="","",VLOOKUP($B12,'F-1 Off Site River Baseline'!$C$9:$R$257,10,FALSE))</f>
        <v/>
      </c>
      <c r="L12" s="175" t="str">
        <f>IF(B12="","",VLOOKUP($B12,'C-1 Site River Baseline'!$C$9:$R$257,15,FALSE))</f>
        <v/>
      </c>
      <c r="M12" s="176" t="str">
        <f>IF(L12="","",VLOOKUP($B12,'F-1 Off Site River Baseline'!$C$9:$R$257,16,FALSE))</f>
        <v/>
      </c>
      <c r="N12" s="639" t="str">
        <f t="shared" ref="N12:N76" si="0">C12</f>
        <v/>
      </c>
      <c r="O12" s="171" t="str">
        <f t="shared" ref="O12" si="1">IF(B12="","",IF(S12&lt;F12,"Error Trading Down",E12&amp;" - "&amp;R12))</f>
        <v/>
      </c>
      <c r="P12" s="172" t="str">
        <f>IF(C12="","",IF(AND(LEFT(C12,55)&lt;&gt;LEFT(N12,55),O12="High - High"),"Error - Not like for like",IF(AND(F12=S12,H12&gt;U12),"Error - Can not reduce condition",IF(AND(F12=S12,H12=U12,AJ12='F-1 Off Site River Baseline'!N10,'F-1 Off Site River Baseline'!P10=AL12),"Error - No enhancement",IF(AND(C12&lt;&gt;N12,F12&lt;S12),"Lower Distinctiveness Habitat"&amp;" - "&amp;T12,G12&amp;" - "&amp;T12)))))</f>
        <v/>
      </c>
      <c r="Q12" s="260" t="str">
        <f>IF(N12="","",VLOOKUP(B12,'F-1 Off Site River Baseline'!$C$10:$AA$257,19,FALSE))</f>
        <v/>
      </c>
      <c r="R12" s="171" t="str">
        <f>IF(N12="","",VLOOKUP(N12,'G-7 Rivers Data'!$B$2:$G$8,2,FALSE))</f>
        <v/>
      </c>
      <c r="S12" s="172" t="str">
        <f>IFERROR(VLOOKUP(R12,'G-7 Rivers Data'!$C$4:$D$8,2,FALSE),"")</f>
        <v/>
      </c>
      <c r="T12" s="173"/>
      <c r="U12" s="172" t="str">
        <f>IFERROR(INDEX('G-7 Rivers Data'!$H$4:$L$8,MATCH(N12,'G-7 Rivers Data'!$B$4:$B$8,0),MATCH(T12,'G-7 Rivers Data'!$H$3:$L$3,0)),"")</f>
        <v/>
      </c>
      <c r="V12" s="186"/>
      <c r="W12" s="175" t="str">
        <f>IF(V12="","",IF(VLOOKUP(V12,'G-7 Rivers Data'!$AG$4:$AI$9,2,FALSE)=0,"Spatial Data Missing",VLOOKUP(V12,'G-7 Rivers Data'!$AG$4:$AI$9,2,FALSE)))</f>
        <v/>
      </c>
      <c r="X12" s="176" t="str">
        <f>IF(V12="","",IF(VLOOKUP(V12,'G-7 Rivers Data'!$AG$4:$AI$9,3,FALSE)=0,"Spatial Data Missing",VLOOKUP(V12,'G-7 Rivers Data'!$AG$4:$AI$9,3,FALSE)))</f>
        <v/>
      </c>
      <c r="Y12" s="239" t="str">
        <f>IFERROR(IF(OR(LEFT(P12,5)="Error",LEFT(O12,5)="Error"),"Check Data",IF(F12&lt;S12,'G-7 Rivers Data'!$R$3,INDEX('G-7 Rivers Data'!$U$5:$Y$9,MATCH(G12,'G-7 Rivers Data'!$T$5:$T$9,0),MATCH(T12,'G-7 Rivers Data'!$U$4:$Y$4,0)))),"")</f>
        <v/>
      </c>
      <c r="Z12" s="275"/>
      <c r="AA12" s="275"/>
      <c r="AB12" s="175" t="str">
        <f>IF(Y12="","",IF(Y12="Check Data","Check Data",IF(AND(Z12&gt;0,AA12&gt;0),"Error -both advance and delayed habitat creation",IF(AND(OR(Z12="Habitat already in target condition",Y12&lt;=Z12),AA12=0),"Check details - Is there evidence that habitat has reached target condition?",IF(Z12&gt;0,"Check details - Is there evidence habitat creation started/in place?",IF(AA12&gt;0,"Check details- Delay in starting habitat in required condition?","Standard time to target condition applied"))))))</f>
        <v/>
      </c>
      <c r="AC12" s="262" t="str">
        <f>IF(LEFT(AB12,5)="Error","Check Data",IF(AB12="Check Data","Check Data",IF(Y12="","",IF(Z12="30+",0,IF(AA12="30+","30+",IF(Y12+AA12&gt;30,"30+",IF(Y12+AA12-Z12&gt;0,Y12+AA12-Z12,IF(Y12-Z12&lt;0,0,Y12+AA12-Z12))))))))</f>
        <v/>
      </c>
      <c r="AD12" s="382" t="str">
        <f>IFERROR(IF(AC12="Check Data","Check Data",VLOOKUP(AC12,'G-4 Temporal multipliers'!$A$4:$C$37,3,FALSE)),"")</f>
        <v/>
      </c>
      <c r="AE12" s="239" t="str">
        <f>IF(N12="","",VLOOKUP(N12,'G-7 Rivers Data'!$B$4:$G$8,4,FALSE))</f>
        <v/>
      </c>
      <c r="AF12" s="175" t="str">
        <f>IF(N12="","",IF(AC12="Check Data","Check Data",IF(T12="","",IF($AB12="Check details - Is there evidence that habitat has reached target condition?","Low Difficulty - only applicable if all habitat created before losses","Standard difficulty applied"))))</f>
        <v/>
      </c>
      <c r="AG12" s="175" t="str">
        <f>(IF(AND(AF12="Standard difficulty applied",Y12&gt;Z12),AE12,IF(AND(AF12="Low Difficulty - only applicable if all habitat created before losses",Z12&gt;=Y12),"Low",AE12)))</f>
        <v/>
      </c>
      <c r="AH12" s="176" t="str">
        <f t="shared" ref="AH12:AH75" si="2">IF(N12="","",VLOOKUP(AE12,Difficulty,2,FALSE))</f>
        <v/>
      </c>
      <c r="AI12" s="186"/>
      <c r="AJ12" s="172" t="str">
        <f>IF(AI12="","",IF(VLOOKUP(AI12,'G-7 Rivers Data'!$AA$4:$AB$7,2,FALSE)=0,"Spatial Data Missing",VLOOKUP(AI12,'G-7 Rivers Data'!$AA$4:$AB$7,2,FALSE)))</f>
        <v/>
      </c>
      <c r="AK12" s="187"/>
      <c r="AL12" s="172" t="str">
        <f>IF(AK12="","",IF(VLOOKUP(AK12,'G-7 Rivers Data'!$AD$4:$AE$8,2,FALSE)=0,"Spatial Data Missing",VLOOKUP(AK12,'G-7 Rivers Data'!$AD$4:$AE$8,2,FALSE)))</f>
        <v/>
      </c>
      <c r="AM12" s="186"/>
      <c r="AN12" s="176" t="str">
        <f>IF(AM12="","",VLOOKUP(AM12,'G-7 Rivers Data'!$AO$4:$AP$7,2,FALSE))</f>
        <v/>
      </c>
      <c r="AO12" s="265" t="str">
        <f>IFERROR(IF(C12="","",IF(Q12&gt;D12,((((Q12*S12*U12)-(D12*F12*H12))*(AH12*AD12))+(D12*F12*H12))*(AL12*X12*AJ12*AN12),((((Q12*S12*U12)-(Q12*F12*H12))*(AH12*AD12))+(Q12*F12*H12))*(AL12*X12*AJ12*AN12))),"")</f>
        <v/>
      </c>
      <c r="AP12" s="180"/>
      <c r="AQ12" s="181"/>
      <c r="AX12" s="35" t="str">
        <f>IFERROR(INDEX('G-7 Rivers Data'!$AZ$3:$AZ$7,MATCH(N12,'G-7 Rivers Data'!$AY$3:$AY$7,0)),"")</f>
        <v/>
      </c>
    </row>
    <row r="13" spans="2:50" ht="13.8" x14ac:dyDescent="0.25">
      <c r="B13" s="259" t="str">
        <f>'F-1 Off Site River Baseline'!AN11</f>
        <v/>
      </c>
      <c r="C13" s="175" t="str">
        <f>IF(B13="","",VLOOKUP($B13,'F-1 Off Site River Baseline'!$C$9:$R$257,2,FALSE))</f>
        <v/>
      </c>
      <c r="D13" s="175" t="str">
        <f>IF(C13="","",VLOOKUP($B13,'F-1 Off Site River Baseline'!$C$9:$R$257,3,FALSE))</f>
        <v/>
      </c>
      <c r="E13" s="175" t="str">
        <f>IF(D13="","",VLOOKUP($B13,'F-1 Off Site River Baseline'!$C$9:$R$257,4,FALSE))</f>
        <v/>
      </c>
      <c r="F13" s="175" t="str">
        <f>IF(E13="","",VLOOKUP($B13,'F-1 Off Site River Baseline'!$C$9:$R$257,5,FALSE))</f>
        <v/>
      </c>
      <c r="G13" s="175" t="str">
        <f>IF(F13="","",VLOOKUP($B13,'F-1 Off Site River Baseline'!$C$9:$R$257,6,FALSE))</f>
        <v/>
      </c>
      <c r="H13" s="175" t="str">
        <f>IF(G13="","",VLOOKUP($B13,'F-1 Off Site River Baseline'!$C$9:$R$257,7,FALSE))</f>
        <v/>
      </c>
      <c r="I13" s="175" t="str">
        <f>IF(H13="","",VLOOKUP($B13,'F-1 Off Site River Baseline'!$C$9:$R$257,8,FALSE))</f>
        <v/>
      </c>
      <c r="J13" s="175" t="str">
        <f>IF(I13="","",VLOOKUP($B13,'F-1 Off Site River Baseline'!$C$9:$R$257,9,FALSE))</f>
        <v/>
      </c>
      <c r="K13" s="175" t="str">
        <f>IF(J13="","",VLOOKUP($B13,'F-1 Off Site River Baseline'!$C$9:$R$257,10,FALSE))</f>
        <v/>
      </c>
      <c r="L13" s="175" t="str">
        <f>IF(B13="","",VLOOKUP($B13,'C-1 Site River Baseline'!$C$9:$R$257,15,FALSE))</f>
        <v/>
      </c>
      <c r="M13" s="176" t="str">
        <f>IF(L13="","",VLOOKUP($B13,'F-1 Off Site River Baseline'!$C$9:$R$257,16,FALSE))</f>
        <v/>
      </c>
      <c r="N13" s="639" t="str">
        <f t="shared" si="0"/>
        <v/>
      </c>
      <c r="O13" s="171" t="str">
        <f t="shared" ref="O13:O76" si="3">IF(B13="","",IF(S13&lt;F13,"Error Trading Down",E13&amp;" - "&amp;R13))</f>
        <v/>
      </c>
      <c r="P13" s="172" t="str">
        <f>IF(C13="","",IF(AND(LEFT(C13,55)&lt;&gt;LEFT(N13,55),O13="High - High"),"Error - Not like for like",IF(AND(F13=S13,H13&gt;U13),"Error - Can not reduce condition",IF(AND(F13=S13,H13=U13,AJ13='F-1 Off Site River Baseline'!N11,'F-1 Off Site River Baseline'!P11=AL13),"Error - No enhancement",IF(AND(C13&lt;&gt;N13,F13&lt;S13),"Lower Distinctiveness Habitat"&amp;" - "&amp;T13,G13&amp;" - "&amp;T13)))))</f>
        <v/>
      </c>
      <c r="Q13" s="260" t="str">
        <f>IF(N13="","",VLOOKUP(B13,'F-1 Off Site River Baseline'!$C$10:$AA$257,19,FALSE))</f>
        <v/>
      </c>
      <c r="R13" s="171" t="str">
        <f>IF(N13="","",VLOOKUP(N13,'G-7 Rivers Data'!$B$2:$G$8,2,FALSE))</f>
        <v/>
      </c>
      <c r="S13" s="172" t="str">
        <f>IFERROR(VLOOKUP(R13,'G-7 Rivers Data'!$C$4:$D$8,2,FALSE),"")</f>
        <v/>
      </c>
      <c r="T13" s="173"/>
      <c r="U13" s="172" t="str">
        <f>IFERROR(INDEX('G-7 Rivers Data'!$H$4:$L$8,MATCH(N13,'G-7 Rivers Data'!$B$4:$B$8,0),MATCH(T13,'G-7 Rivers Data'!$H$3:$L$3,0)),"")</f>
        <v/>
      </c>
      <c r="V13" s="186"/>
      <c r="W13" s="175" t="str">
        <f>IF(V13="","",IF(VLOOKUP(V13,'G-7 Rivers Data'!$AG$4:$AI$9,2,FALSE)=0,"Spatial Data Missing",VLOOKUP(V13,'G-7 Rivers Data'!$AG$4:$AI$9,2,FALSE)))</f>
        <v/>
      </c>
      <c r="X13" s="176" t="str">
        <f>IF(V13="","",IF(VLOOKUP(V13,'G-7 Rivers Data'!$AG$4:$AI$9,3,FALSE)=0,"Spatial Data Missing",VLOOKUP(V13,'G-7 Rivers Data'!$AG$4:$AI$9,3,FALSE)))</f>
        <v/>
      </c>
      <c r="Y13" s="239" t="str">
        <f>IFERROR(IF(OR(LEFT(P13,5)="Error",LEFT(O13,5)="Error"),"Check Data",IF(F13&lt;S13,'G-7 Rivers Data'!$R$3,INDEX('G-7 Rivers Data'!$U$5:$Y$9,MATCH(G13,'G-7 Rivers Data'!$T$5:$T$9,0),MATCH(T13,'G-7 Rivers Data'!$U$4:$Y$4,0)))),"")</f>
        <v/>
      </c>
      <c r="Z13" s="275"/>
      <c r="AA13" s="275"/>
      <c r="AB13" s="175" t="str">
        <f t="shared" ref="AB13:AB76" si="4">IF(Y13="","",IF(Y13="Check Data","Check Data",IF(AND(Z13&gt;0,AA13&gt;0),"Error -both advance and delayed habitat creation",IF(AND(OR(Z13="Habitat already in target condition",Y13&lt;=Z13),AA13=0),"Check details - Is there evidence that habitat has reached target condition?",IF(Z13&gt;0,"Check details - Is there evidence habitat creation started/in place?",IF(AA13&gt;0,"Check details- Delay in starting habitat in required condition?","Standard time to target condition applied"))))))</f>
        <v/>
      </c>
      <c r="AC13" s="262" t="str">
        <f t="shared" ref="AC13:AC76" si="5">IF(LEFT(AB13,5)="Error","Check Data",IF(AB13="Check Data","Check Data",IF(Y13="","",IF(Z13="30+",0,IF(AA13="30+","30+",IF(Y13+AA13&gt;30,"30+",IF(Y13+AA13-Z13&gt;0,Y13+AA13-Z13,IF(Y13-Z13&lt;0,0,Y13+AA13-Z13))))))))</f>
        <v/>
      </c>
      <c r="AD13" s="382" t="str">
        <f>IFERROR(IF(AC13="Check Data","Check Data",VLOOKUP(AC13,'G-4 Temporal multipliers'!$A$4:$C$37,3,FALSE)),"")</f>
        <v/>
      </c>
      <c r="AE13" s="239" t="str">
        <f>IF(N13="","",VLOOKUP(N13,'G-7 Rivers Data'!$B$4:$G$8,5,FALSE))</f>
        <v/>
      </c>
      <c r="AF13" s="175" t="str">
        <f t="shared" ref="AF13:AF76" si="6">IF(N13="","",IF(AC13="Check Data","Check Data",IF(T13="","",IF($AB13="Check details - Is there evidence that habitat has reached target condition?","Low Difficulty - only applicable if all habitat created before losses","Standard difficulty applied"))))</f>
        <v/>
      </c>
      <c r="AG13" s="175" t="str">
        <f t="shared" ref="AG13:AG76" si="7">(IF(AND(AF13="Standard difficulty applied",Y13&gt;Z13),AE13,IF(AND(AF13="Low Difficulty - only applicable if all habitat created before losses",Z13&gt;=Y13),"Low",AE13)))</f>
        <v/>
      </c>
      <c r="AH13" s="176" t="str">
        <f t="shared" si="2"/>
        <v/>
      </c>
      <c r="AI13" s="173"/>
      <c r="AJ13" s="172" t="str">
        <f>IF(AI13="","",IF(VLOOKUP(AI13,'G-7 Rivers Data'!$AA$4:$AB$7,2,FALSE)=0,"Spatial Data Missing",VLOOKUP(AI13,'G-7 Rivers Data'!$AA$4:$AB$7,2,FALSE)))</f>
        <v/>
      </c>
      <c r="AK13" s="187"/>
      <c r="AL13" s="172" t="str">
        <f>IF(AK13="","",IF(VLOOKUP(AK13,'G-7 Rivers Data'!$AD$4:$AE$8,2,FALSE)=0,"Spatial Data Missing",VLOOKUP(AK13,'G-7 Rivers Data'!$AD$4:$AE$8,2,FALSE)))</f>
        <v/>
      </c>
      <c r="AM13" s="186"/>
      <c r="AN13" s="176" t="str">
        <f>IF(AM13="","",VLOOKUP(AM13,'G-7 Rivers Data'!$AO$4:$AP$7,2,FALSE))</f>
        <v/>
      </c>
      <c r="AO13" s="265" t="str">
        <f t="shared" ref="AO13:AO76" si="8">IFERROR(IF(C13="","",IF(Q13&gt;D13,((((Q13*S13*U13)-(D13*F13*H13))*(AH13*AD13))+(D13*F13*H13))*(AL13*X13*AJ13*AN13),((((Q13*S13*U13)-(Q13*F13*H13))*(AH13*AD13))+(Q13*F13*H13))*(AL13*X13*AJ13*AN13))),"")</f>
        <v/>
      </c>
      <c r="AP13" s="180"/>
      <c r="AQ13" s="181"/>
      <c r="AX13" s="35" t="str">
        <f>IFERROR(INDEX('G-7 Rivers Data'!$AZ$3:$AZ$7,MATCH(N13,'G-7 Rivers Data'!$AY$3:$AY$7,0)),"")</f>
        <v/>
      </c>
    </row>
    <row r="14" spans="2:50" ht="13.8" x14ac:dyDescent="0.25">
      <c r="B14" s="259" t="str">
        <f>'F-1 Off Site River Baseline'!AN12</f>
        <v/>
      </c>
      <c r="C14" s="175" t="str">
        <f>IF(B14="","",VLOOKUP($B14,'F-1 Off Site River Baseline'!$C$9:$R$257,2,FALSE))</f>
        <v/>
      </c>
      <c r="D14" s="175" t="str">
        <f>IF(C14="","",VLOOKUP($B14,'F-1 Off Site River Baseline'!$C$9:$R$257,3,FALSE))</f>
        <v/>
      </c>
      <c r="E14" s="175" t="str">
        <f>IF(D14="","",VLOOKUP($B14,'F-1 Off Site River Baseline'!$C$9:$R$257,4,FALSE))</f>
        <v/>
      </c>
      <c r="F14" s="175" t="str">
        <f>IF(E14="","",VLOOKUP($B14,'F-1 Off Site River Baseline'!$C$9:$R$257,5,FALSE))</f>
        <v/>
      </c>
      <c r="G14" s="175" t="str">
        <f>IF(F14="","",VLOOKUP($B14,'F-1 Off Site River Baseline'!$C$9:$R$257,6,FALSE))</f>
        <v/>
      </c>
      <c r="H14" s="175" t="str">
        <f>IF(G14="","",VLOOKUP($B14,'F-1 Off Site River Baseline'!$C$9:$R$257,7,FALSE))</f>
        <v/>
      </c>
      <c r="I14" s="175" t="str">
        <f>IF(H14="","",VLOOKUP($B14,'F-1 Off Site River Baseline'!$C$9:$R$257,8,FALSE))</f>
        <v/>
      </c>
      <c r="J14" s="175" t="str">
        <f>IF(I14="","",VLOOKUP($B14,'F-1 Off Site River Baseline'!$C$9:$R$257,9,FALSE))</f>
        <v/>
      </c>
      <c r="K14" s="175" t="str">
        <f>IF(J14="","",VLOOKUP($B14,'F-1 Off Site River Baseline'!$C$9:$R$257,10,FALSE))</f>
        <v/>
      </c>
      <c r="L14" s="175" t="str">
        <f>IF(B14="","",VLOOKUP($B14,'C-1 Site River Baseline'!$C$9:$R$257,15,FALSE))</f>
        <v/>
      </c>
      <c r="M14" s="176" t="str">
        <f>IF(L14="","",VLOOKUP($B14,'F-1 Off Site River Baseline'!$C$9:$R$257,16,FALSE))</f>
        <v/>
      </c>
      <c r="N14" s="639" t="str">
        <f t="shared" si="0"/>
        <v/>
      </c>
      <c r="O14" s="171" t="str">
        <f t="shared" si="3"/>
        <v/>
      </c>
      <c r="P14" s="172" t="str">
        <f>IF(C14="","",IF(AND(LEFT(C14,55)&lt;&gt;LEFT(N14,55),O14="High - High"),"Error - Not like for like",IF(AND(F14=S14,H14&gt;U14),"Error - Can not reduce condition",IF(AND(F14=S14,H14=U14,AJ14='F-1 Off Site River Baseline'!N12,'F-1 Off Site River Baseline'!P12=AL14),"Error - No enhancement",IF(AND(C14&lt;&gt;N14,F14&lt;S14),"Lower Distinctiveness Habitat"&amp;" - "&amp;T14,G14&amp;" - "&amp;T14)))))</f>
        <v/>
      </c>
      <c r="Q14" s="260" t="str">
        <f>IF(N14="","",VLOOKUP(B14,'F-1 Off Site River Baseline'!$C$10:$AA$257,19,FALSE))</f>
        <v/>
      </c>
      <c r="R14" s="171" t="str">
        <f>IF(N14="","",VLOOKUP(N14,'G-7 Rivers Data'!$B$2:$G$8,2,FALSE))</f>
        <v/>
      </c>
      <c r="S14" s="172" t="str">
        <f>IFERROR(VLOOKUP(R14,'G-7 Rivers Data'!$C$4:$D$8,2,FALSE),"")</f>
        <v/>
      </c>
      <c r="T14" s="173"/>
      <c r="U14" s="172" t="str">
        <f>IFERROR(INDEX('G-7 Rivers Data'!$H$4:$L$8,MATCH(N14,'G-7 Rivers Data'!$B$4:$B$8,0),MATCH(T14,'G-7 Rivers Data'!$H$3:$L$3,0)),"")</f>
        <v/>
      </c>
      <c r="V14" s="186"/>
      <c r="W14" s="175" t="str">
        <f>IF(V14="","",IF(VLOOKUP(V14,'G-7 Rivers Data'!$AG$4:$AI$9,2,FALSE)=0,"Spatial Data Missing",VLOOKUP(V14,'G-7 Rivers Data'!$AG$4:$AI$9,2,FALSE)))</f>
        <v/>
      </c>
      <c r="X14" s="176" t="str">
        <f>IF(V14="","",IF(VLOOKUP(V14,'G-7 Rivers Data'!$AG$4:$AI$9,3,FALSE)=0,"Spatial Data Missing",VLOOKUP(V14,'G-7 Rivers Data'!$AG$4:$AI$9,3,FALSE)))</f>
        <v/>
      </c>
      <c r="Y14" s="239" t="str">
        <f>IFERROR(IF(OR(LEFT(P14,5)="Error",LEFT(O14,5)="Error"),"Check Data",IF(F14&lt;S14,'G-7 Rivers Data'!$R$3,INDEX('G-7 Rivers Data'!$U$5:$Y$9,MATCH(G14,'G-7 Rivers Data'!$T$5:$T$9,0),MATCH(T14,'G-7 Rivers Data'!$U$4:$Y$4,0)))),"")</f>
        <v/>
      </c>
      <c r="Z14" s="275"/>
      <c r="AA14" s="275"/>
      <c r="AB14" s="175" t="str">
        <f t="shared" si="4"/>
        <v/>
      </c>
      <c r="AC14" s="262" t="str">
        <f t="shared" si="5"/>
        <v/>
      </c>
      <c r="AD14" s="382" t="str">
        <f>IFERROR(IF(AC14="Check Data","Check Data",VLOOKUP(AC14,'G-4 Temporal multipliers'!$A$4:$C$37,3,FALSE)),"")</f>
        <v/>
      </c>
      <c r="AE14" s="239" t="str">
        <f>IF(N14="","",VLOOKUP(N14,'G-7 Rivers Data'!$B$4:$G$8,5,FALSE))</f>
        <v/>
      </c>
      <c r="AF14" s="175" t="str">
        <f t="shared" si="6"/>
        <v/>
      </c>
      <c r="AG14" s="175" t="str">
        <f t="shared" si="7"/>
        <v/>
      </c>
      <c r="AH14" s="176" t="str">
        <f t="shared" si="2"/>
        <v/>
      </c>
      <c r="AI14" s="173"/>
      <c r="AJ14" s="172" t="str">
        <f>IF(AI14="","",IF(VLOOKUP(AI14,'G-7 Rivers Data'!$AA$4:$AB$7,2,FALSE)=0,"Spatial Data Missing",VLOOKUP(AI14,'G-7 Rivers Data'!$AA$4:$AB$7,2,FALSE)))</f>
        <v/>
      </c>
      <c r="AK14" s="187"/>
      <c r="AL14" s="172" t="str">
        <f>IF(AK14="","",IF(VLOOKUP(AK14,'G-7 Rivers Data'!$AD$4:$AE$8,2,FALSE)=0,"Spatial Data Missing",VLOOKUP(AK14,'G-7 Rivers Data'!$AD$4:$AE$8,2,FALSE)))</f>
        <v/>
      </c>
      <c r="AM14" s="186"/>
      <c r="AN14" s="176" t="str">
        <f>IF(AM14="","",VLOOKUP(AM14,'G-7 Rivers Data'!$AO$4:$AP$7,2,FALSE))</f>
        <v/>
      </c>
      <c r="AO14" s="265" t="str">
        <f t="shared" si="8"/>
        <v/>
      </c>
      <c r="AP14" s="180"/>
      <c r="AQ14" s="181"/>
      <c r="AX14" s="35" t="str">
        <f>IFERROR(INDEX('G-7 Rivers Data'!$AZ$3:$AZ$7,MATCH(N14,'G-7 Rivers Data'!$AY$3:$AY$7,0)),"")</f>
        <v/>
      </c>
    </row>
    <row r="15" spans="2:50" ht="13.8" x14ac:dyDescent="0.25">
      <c r="B15" s="259" t="str">
        <f>'F-1 Off Site River Baseline'!AN13</f>
        <v/>
      </c>
      <c r="C15" s="175" t="str">
        <f>IF(B15="","",VLOOKUP($B15,'F-1 Off Site River Baseline'!$C$9:$R$257,2,FALSE))</f>
        <v/>
      </c>
      <c r="D15" s="175" t="str">
        <f>IF(C15="","",VLOOKUP($B15,'F-1 Off Site River Baseline'!$C$9:$R$257,3,FALSE))</f>
        <v/>
      </c>
      <c r="E15" s="175" t="str">
        <f>IF(D15="","",VLOOKUP($B15,'F-1 Off Site River Baseline'!$C$9:$R$257,4,FALSE))</f>
        <v/>
      </c>
      <c r="F15" s="175" t="str">
        <f>IF(E15="","",VLOOKUP($B15,'F-1 Off Site River Baseline'!$C$9:$R$257,5,FALSE))</f>
        <v/>
      </c>
      <c r="G15" s="175" t="str">
        <f>IF(F15="","",VLOOKUP($B15,'F-1 Off Site River Baseline'!$C$9:$R$257,6,FALSE))</f>
        <v/>
      </c>
      <c r="H15" s="175" t="str">
        <f>IF(G15="","",VLOOKUP($B15,'F-1 Off Site River Baseline'!$C$9:$R$257,7,FALSE))</f>
        <v/>
      </c>
      <c r="I15" s="175" t="str">
        <f>IF(H15="","",VLOOKUP($B15,'F-1 Off Site River Baseline'!$C$9:$R$257,8,FALSE))</f>
        <v/>
      </c>
      <c r="J15" s="175" t="str">
        <f>IF(I15="","",VLOOKUP($B15,'F-1 Off Site River Baseline'!$C$9:$R$257,9,FALSE))</f>
        <v/>
      </c>
      <c r="K15" s="175" t="str">
        <f>IF(J15="","",VLOOKUP($B15,'F-1 Off Site River Baseline'!$C$9:$R$257,10,FALSE))</f>
        <v/>
      </c>
      <c r="L15" s="175" t="str">
        <f>IF(B15="","",VLOOKUP($B15,'C-1 Site River Baseline'!$C$9:$R$257,15,FALSE))</f>
        <v/>
      </c>
      <c r="M15" s="176" t="str">
        <f>IF(L15="","",VLOOKUP($B15,'F-1 Off Site River Baseline'!$C$9:$R$257,16,FALSE))</f>
        <v/>
      </c>
      <c r="N15" s="639" t="str">
        <f t="shared" si="0"/>
        <v/>
      </c>
      <c r="O15" s="171" t="str">
        <f t="shared" si="3"/>
        <v/>
      </c>
      <c r="P15" s="172" t="str">
        <f>IF(C15="","",IF(AND(LEFT(C15,55)&lt;&gt;LEFT(N15,55),O15="High - High"),"Error - Not like for like",IF(AND(F15=S15,H15&gt;U15),"Error - Can not reduce condition",IF(AND(F15=S15,H15=U15,AJ15='F-1 Off Site River Baseline'!N13,'F-1 Off Site River Baseline'!P13=AL15),"Error - No enhancement",IF(AND(C15&lt;&gt;N15,F15&lt;S15),"Lower Distinctiveness Habitat"&amp;" - "&amp;T15,G15&amp;" - "&amp;T15)))))</f>
        <v/>
      </c>
      <c r="Q15" s="260" t="str">
        <f>IF(N15="","",VLOOKUP(B15,'F-1 Off Site River Baseline'!$C$10:$AA$257,19,FALSE))</f>
        <v/>
      </c>
      <c r="R15" s="171" t="str">
        <f>IF(N15="","",VLOOKUP(N15,'G-7 Rivers Data'!$B$2:$G$8,2,FALSE))</f>
        <v/>
      </c>
      <c r="S15" s="172" t="str">
        <f>IFERROR(VLOOKUP(R15,'G-7 Rivers Data'!$C$4:$D$8,2,FALSE),"")</f>
        <v/>
      </c>
      <c r="T15" s="173"/>
      <c r="U15" s="172" t="str">
        <f>IFERROR(INDEX('G-7 Rivers Data'!$H$4:$L$8,MATCH(N15,'G-7 Rivers Data'!$B$4:$B$8,0),MATCH(T15,'G-7 Rivers Data'!$H$3:$L$3,0)),"")</f>
        <v/>
      </c>
      <c r="V15" s="186"/>
      <c r="W15" s="175" t="str">
        <f>IF(V15="","",IF(VLOOKUP(V15,'G-7 Rivers Data'!$AG$4:$AI$9,2,FALSE)=0,"Spatial Data Missing",VLOOKUP(V15,'G-7 Rivers Data'!$AG$4:$AI$9,2,FALSE)))</f>
        <v/>
      </c>
      <c r="X15" s="176" t="str">
        <f>IF(V15="","",IF(VLOOKUP(V15,'G-7 Rivers Data'!$AG$4:$AI$9,3,FALSE)=0,"Spatial Data Missing",VLOOKUP(V15,'G-7 Rivers Data'!$AG$4:$AI$9,3,FALSE)))</f>
        <v/>
      </c>
      <c r="Y15" s="239" t="str">
        <f>IFERROR(IF(OR(LEFT(P15,5)="Error",LEFT(O15,5)="Error"),"Check Data",IF(F15&lt;S15,'G-7 Rivers Data'!$R$3,INDEX('G-7 Rivers Data'!$U$5:$Y$9,MATCH(G15,'G-7 Rivers Data'!$T$5:$T$9,0),MATCH(T15,'G-7 Rivers Data'!$U$4:$Y$4,0)))),"")</f>
        <v/>
      </c>
      <c r="Z15" s="275"/>
      <c r="AA15" s="275"/>
      <c r="AB15" s="175" t="str">
        <f t="shared" si="4"/>
        <v/>
      </c>
      <c r="AC15" s="262" t="str">
        <f t="shared" si="5"/>
        <v/>
      </c>
      <c r="AD15" s="382" t="str">
        <f>IFERROR(IF(AC15="Check Data","Check Data",VLOOKUP(AC15,'G-4 Temporal multipliers'!$A$4:$C$37,3,FALSE)),"")</f>
        <v/>
      </c>
      <c r="AE15" s="239" t="str">
        <f>IF(N15="","",VLOOKUP(N15,'G-7 Rivers Data'!$B$4:$G$8,5,FALSE))</f>
        <v/>
      </c>
      <c r="AF15" s="175" t="str">
        <f t="shared" si="6"/>
        <v/>
      </c>
      <c r="AG15" s="175" t="str">
        <f t="shared" si="7"/>
        <v/>
      </c>
      <c r="AH15" s="176" t="str">
        <f t="shared" si="2"/>
        <v/>
      </c>
      <c r="AI15" s="173"/>
      <c r="AJ15" s="172" t="str">
        <f>IF(AI15="","",IF(VLOOKUP(AI15,'G-7 Rivers Data'!$AA$4:$AB$7,2,FALSE)=0,"Spatial Data Missing",VLOOKUP(AI15,'G-7 Rivers Data'!$AA$4:$AB$7,2,FALSE)))</f>
        <v/>
      </c>
      <c r="AK15" s="187"/>
      <c r="AL15" s="172" t="str">
        <f>IF(AK15="","",IF(VLOOKUP(AK15,'G-7 Rivers Data'!$AD$4:$AE$8,2,FALSE)=0,"Spatial Data Missing",VLOOKUP(AK15,'G-7 Rivers Data'!$AD$4:$AE$8,2,FALSE)))</f>
        <v/>
      </c>
      <c r="AM15" s="186"/>
      <c r="AN15" s="176" t="str">
        <f>IF(AM15="","",VLOOKUP(AM15,'G-7 Rivers Data'!$AO$4:$AP$7,2,FALSE))</f>
        <v/>
      </c>
      <c r="AO15" s="265" t="str">
        <f t="shared" si="8"/>
        <v/>
      </c>
      <c r="AP15" s="180"/>
      <c r="AQ15" s="181"/>
      <c r="AX15" s="35" t="str">
        <f>IFERROR(INDEX('G-7 Rivers Data'!$AZ$3:$AZ$7,MATCH(N15,'G-7 Rivers Data'!$AY$3:$AY$7,0)),"")</f>
        <v/>
      </c>
    </row>
    <row r="16" spans="2:50" ht="13.8" x14ac:dyDescent="0.25">
      <c r="B16" s="259" t="str">
        <f>'F-1 Off Site River Baseline'!AN14</f>
        <v/>
      </c>
      <c r="C16" s="175" t="str">
        <f>IF(B16="","",VLOOKUP($B16,'F-1 Off Site River Baseline'!$C$9:$R$257,2,FALSE))</f>
        <v/>
      </c>
      <c r="D16" s="175" t="str">
        <f>IF(C16="","",VLOOKUP($B16,'F-1 Off Site River Baseline'!$C$9:$R$257,3,FALSE))</f>
        <v/>
      </c>
      <c r="E16" s="175" t="str">
        <f>IF(D16="","",VLOOKUP($B16,'F-1 Off Site River Baseline'!$C$9:$R$257,4,FALSE))</f>
        <v/>
      </c>
      <c r="F16" s="175" t="str">
        <f>IF(E16="","",VLOOKUP($B16,'F-1 Off Site River Baseline'!$C$9:$R$257,5,FALSE))</f>
        <v/>
      </c>
      <c r="G16" s="175" t="str">
        <f>IF(F16="","",VLOOKUP($B16,'F-1 Off Site River Baseline'!$C$9:$R$257,6,FALSE))</f>
        <v/>
      </c>
      <c r="H16" s="175" t="str">
        <f>IF(G16="","",VLOOKUP($B16,'F-1 Off Site River Baseline'!$C$9:$R$257,7,FALSE))</f>
        <v/>
      </c>
      <c r="I16" s="175" t="str">
        <f>IF(H16="","",VLOOKUP($B16,'F-1 Off Site River Baseline'!$C$9:$R$257,8,FALSE))</f>
        <v/>
      </c>
      <c r="J16" s="175" t="str">
        <f>IF(I16="","",VLOOKUP($B16,'F-1 Off Site River Baseline'!$C$9:$R$257,9,FALSE))</f>
        <v/>
      </c>
      <c r="K16" s="175" t="str">
        <f>IF(J16="","",VLOOKUP($B16,'F-1 Off Site River Baseline'!$C$9:$R$257,10,FALSE))</f>
        <v/>
      </c>
      <c r="L16" s="175" t="str">
        <f>IF(B16="","",VLOOKUP($B16,'C-1 Site River Baseline'!$C$9:$R$257,15,FALSE))</f>
        <v/>
      </c>
      <c r="M16" s="176" t="str">
        <f>IF(L16="","",VLOOKUP($B16,'F-1 Off Site River Baseline'!$C$9:$R$257,16,FALSE))</f>
        <v/>
      </c>
      <c r="N16" s="639" t="str">
        <f t="shared" si="0"/>
        <v/>
      </c>
      <c r="O16" s="171" t="str">
        <f t="shared" si="3"/>
        <v/>
      </c>
      <c r="P16" s="172" t="str">
        <f>IF(C16="","",IF(AND(LEFT(C16,55)&lt;&gt;LEFT(N16,55),O16="High - High"),"Error - Not like for like",IF(AND(F16=S16,H16&gt;U16),"Error - Can not reduce condition",IF(AND(F16=S16,H16=U16,AJ16='F-1 Off Site River Baseline'!N14,'F-1 Off Site River Baseline'!P14=AL16),"Error - No enhancement",IF(AND(C16&lt;&gt;N16,F16&lt;S16),"Lower Distinctiveness Habitat"&amp;" - "&amp;T16,G16&amp;" - "&amp;T16)))))</f>
        <v/>
      </c>
      <c r="Q16" s="260" t="str">
        <f>IF(N16="","",VLOOKUP(B16,'F-1 Off Site River Baseline'!$C$10:$AA$257,19,FALSE))</f>
        <v/>
      </c>
      <c r="R16" s="171" t="str">
        <f>IF(N16="","",VLOOKUP(N16,'G-7 Rivers Data'!$B$2:$G$8,2,FALSE))</f>
        <v/>
      </c>
      <c r="S16" s="172" t="str">
        <f>IFERROR(VLOOKUP(R16,'G-7 Rivers Data'!$C$4:$D$8,2,FALSE),"")</f>
        <v/>
      </c>
      <c r="T16" s="173"/>
      <c r="U16" s="172" t="str">
        <f>IFERROR(INDEX('G-7 Rivers Data'!$H$4:$L$8,MATCH(N16,'G-7 Rivers Data'!$B$4:$B$8,0),MATCH(T16,'G-7 Rivers Data'!$H$3:$L$3,0)),"")</f>
        <v/>
      </c>
      <c r="V16" s="186"/>
      <c r="W16" s="175" t="str">
        <f>IF(V16="","",IF(VLOOKUP(V16,'G-7 Rivers Data'!$AG$4:$AI$9,2,FALSE)=0,"Spatial Data Missing",VLOOKUP(V16,'G-7 Rivers Data'!$AG$4:$AI$9,2,FALSE)))</f>
        <v/>
      </c>
      <c r="X16" s="176" t="str">
        <f>IF(V16="","",IF(VLOOKUP(V16,'G-7 Rivers Data'!$AG$4:$AI$9,3,FALSE)=0,"Spatial Data Missing",VLOOKUP(V16,'G-7 Rivers Data'!$AG$4:$AI$9,3,FALSE)))</f>
        <v/>
      </c>
      <c r="Y16" s="239" t="str">
        <f>IFERROR(IF(OR(LEFT(P16,5)="Error",LEFT(O16,5)="Error"),"Check Data",IF(F16&lt;S16,'G-7 Rivers Data'!$R$3,INDEX('G-7 Rivers Data'!$U$5:$Y$9,MATCH(G16,'G-7 Rivers Data'!$T$5:$T$9,0),MATCH(T16,'G-7 Rivers Data'!$U$4:$Y$4,0)))),"")</f>
        <v/>
      </c>
      <c r="Z16" s="275"/>
      <c r="AA16" s="275"/>
      <c r="AB16" s="175" t="str">
        <f t="shared" si="4"/>
        <v/>
      </c>
      <c r="AC16" s="262" t="str">
        <f t="shared" si="5"/>
        <v/>
      </c>
      <c r="AD16" s="382" t="str">
        <f>IFERROR(IF(AC16="Check Data","Check Data",VLOOKUP(AC16,'G-4 Temporal multipliers'!$A$4:$C$37,3,FALSE)),"")</f>
        <v/>
      </c>
      <c r="AE16" s="239" t="str">
        <f>IF(N16="","",VLOOKUP(N16,'G-7 Rivers Data'!$B$4:$G$8,5,FALSE))</f>
        <v/>
      </c>
      <c r="AF16" s="175" t="str">
        <f t="shared" si="6"/>
        <v/>
      </c>
      <c r="AG16" s="175" t="str">
        <f t="shared" si="7"/>
        <v/>
      </c>
      <c r="AH16" s="176" t="str">
        <f t="shared" si="2"/>
        <v/>
      </c>
      <c r="AI16" s="173"/>
      <c r="AJ16" s="172" t="str">
        <f>IF(AI16="","",IF(VLOOKUP(AI16,'G-7 Rivers Data'!$AA$4:$AB$7,2,FALSE)=0,"Spatial Data Missing",VLOOKUP(AI16,'G-7 Rivers Data'!$AA$4:$AB$7,2,FALSE)))</f>
        <v/>
      </c>
      <c r="AK16" s="187"/>
      <c r="AL16" s="172" t="str">
        <f>IF(AK16="","",IF(VLOOKUP(AK16,'G-7 Rivers Data'!$AD$4:$AE$8,2,FALSE)=0,"Spatial Data Missing",VLOOKUP(AK16,'G-7 Rivers Data'!$AD$4:$AE$8,2,FALSE)))</f>
        <v/>
      </c>
      <c r="AM16" s="186"/>
      <c r="AN16" s="176" t="str">
        <f>IF(AM16="","",VLOOKUP(AM16,'G-7 Rivers Data'!$AO$4:$AP$7,2,FALSE))</f>
        <v/>
      </c>
      <c r="AO16" s="265" t="str">
        <f t="shared" si="8"/>
        <v/>
      </c>
      <c r="AP16" s="180"/>
      <c r="AQ16" s="181"/>
      <c r="AX16" s="35" t="str">
        <f>IFERROR(INDEX('G-7 Rivers Data'!$AZ$3:$AZ$7,MATCH(N16,'G-7 Rivers Data'!$AY$3:$AY$7,0)),"")</f>
        <v/>
      </c>
    </row>
    <row r="17" spans="2:50" ht="13.8" x14ac:dyDescent="0.25">
      <c r="B17" s="259" t="str">
        <f>'F-1 Off Site River Baseline'!AN15</f>
        <v/>
      </c>
      <c r="C17" s="175" t="str">
        <f>IF(B17="","",VLOOKUP($B17,'F-1 Off Site River Baseline'!$C$9:$R$257,2,FALSE))</f>
        <v/>
      </c>
      <c r="D17" s="175" t="str">
        <f>IF(C17="","",VLOOKUP($B17,'F-1 Off Site River Baseline'!$C$9:$R$257,3,FALSE))</f>
        <v/>
      </c>
      <c r="E17" s="175" t="str">
        <f>IF(D17="","",VLOOKUP($B17,'F-1 Off Site River Baseline'!$C$9:$R$257,4,FALSE))</f>
        <v/>
      </c>
      <c r="F17" s="175" t="str">
        <f>IF(E17="","",VLOOKUP($B17,'F-1 Off Site River Baseline'!$C$9:$R$257,5,FALSE))</f>
        <v/>
      </c>
      <c r="G17" s="175" t="str">
        <f>IF(F17="","",VLOOKUP($B17,'F-1 Off Site River Baseline'!$C$9:$R$257,6,FALSE))</f>
        <v/>
      </c>
      <c r="H17" s="175" t="str">
        <f>IF(G17="","",VLOOKUP($B17,'F-1 Off Site River Baseline'!$C$9:$R$257,7,FALSE))</f>
        <v/>
      </c>
      <c r="I17" s="175" t="str">
        <f>IF(H17="","",VLOOKUP($B17,'F-1 Off Site River Baseline'!$C$9:$R$257,8,FALSE))</f>
        <v/>
      </c>
      <c r="J17" s="175" t="str">
        <f>IF(I17="","",VLOOKUP($B17,'F-1 Off Site River Baseline'!$C$9:$R$257,9,FALSE))</f>
        <v/>
      </c>
      <c r="K17" s="175" t="str">
        <f>IF(J17="","",VLOOKUP($B17,'F-1 Off Site River Baseline'!$C$9:$R$257,10,FALSE))</f>
        <v/>
      </c>
      <c r="L17" s="175" t="str">
        <f>IF(B17="","",VLOOKUP($B17,'C-1 Site River Baseline'!$C$9:$R$257,15,FALSE))</f>
        <v/>
      </c>
      <c r="M17" s="176" t="str">
        <f>IF(L17="","",VLOOKUP($B17,'F-1 Off Site River Baseline'!$C$9:$R$257,16,FALSE))</f>
        <v/>
      </c>
      <c r="N17" s="639" t="str">
        <f t="shared" si="0"/>
        <v/>
      </c>
      <c r="O17" s="171" t="str">
        <f t="shared" si="3"/>
        <v/>
      </c>
      <c r="P17" s="172" t="str">
        <f>IF(C17="","",IF(AND(LEFT(C17,55)&lt;&gt;LEFT(N17,55),O17="High - High"),"Error - Not like for like",IF(AND(F17=S17,H17&gt;U17),"Error - Can not reduce condition",IF(AND(F17=S17,H17=U17,AJ17='F-1 Off Site River Baseline'!N15,'F-1 Off Site River Baseline'!P15=AL17),"Error - No enhancement",IF(AND(C17&lt;&gt;N17,F17&lt;S17),"Lower Distinctiveness Habitat"&amp;" - "&amp;T17,G17&amp;" - "&amp;T17)))))</f>
        <v/>
      </c>
      <c r="Q17" s="260" t="str">
        <f>IF(N17="","",VLOOKUP(B17,'F-1 Off Site River Baseline'!$C$10:$AA$257,19,FALSE))</f>
        <v/>
      </c>
      <c r="R17" s="171" t="str">
        <f>IF(N17="","",VLOOKUP(N17,'G-7 Rivers Data'!$B$2:$G$8,2,FALSE))</f>
        <v/>
      </c>
      <c r="S17" s="172" t="str">
        <f>IFERROR(VLOOKUP(R17,'G-7 Rivers Data'!$C$4:$D$8,2,FALSE),"")</f>
        <v/>
      </c>
      <c r="T17" s="173"/>
      <c r="U17" s="172" t="str">
        <f>IFERROR(INDEX('G-7 Rivers Data'!$H$4:$L$8,MATCH(N17,'G-7 Rivers Data'!$B$4:$B$8,0),MATCH(T17,'G-7 Rivers Data'!$H$3:$L$3,0)),"")</f>
        <v/>
      </c>
      <c r="V17" s="186"/>
      <c r="W17" s="175" t="str">
        <f>IF(V17="","",IF(VLOOKUP(V17,'G-7 Rivers Data'!$AG$4:$AI$9,2,FALSE)=0,"Spatial Data Missing",VLOOKUP(V17,'G-7 Rivers Data'!$AG$4:$AI$9,2,FALSE)))</f>
        <v/>
      </c>
      <c r="X17" s="176" t="str">
        <f>IF(V17="","",IF(VLOOKUP(V17,'G-7 Rivers Data'!$AG$4:$AI$9,3,FALSE)=0,"Spatial Data Missing",VLOOKUP(V17,'G-7 Rivers Data'!$AG$4:$AI$9,3,FALSE)))</f>
        <v/>
      </c>
      <c r="Y17" s="239" t="str">
        <f>IFERROR(IF(OR(LEFT(P17,5)="Error",LEFT(O17,5)="Error"),"Check Data",IF(F17&lt;S17,'G-7 Rivers Data'!$R$3,INDEX('G-7 Rivers Data'!$U$5:$Y$9,MATCH(G17,'G-7 Rivers Data'!$T$5:$T$9,0),MATCH(T17,'G-7 Rivers Data'!$U$4:$Y$4,0)))),"")</f>
        <v/>
      </c>
      <c r="Z17" s="275"/>
      <c r="AA17" s="275"/>
      <c r="AB17" s="175" t="str">
        <f t="shared" si="4"/>
        <v/>
      </c>
      <c r="AC17" s="262" t="str">
        <f t="shared" si="5"/>
        <v/>
      </c>
      <c r="AD17" s="382" t="str">
        <f>IFERROR(IF(AC17="Check Data","Check Data",VLOOKUP(AC17,'G-4 Temporal multipliers'!$A$4:$C$37,3,FALSE)),"")</f>
        <v/>
      </c>
      <c r="AE17" s="239" t="str">
        <f>IF(N17="","",VLOOKUP(N17,'G-7 Rivers Data'!$B$4:$G$8,5,FALSE))</f>
        <v/>
      </c>
      <c r="AF17" s="175" t="str">
        <f t="shared" si="6"/>
        <v/>
      </c>
      <c r="AG17" s="175" t="str">
        <f t="shared" si="7"/>
        <v/>
      </c>
      <c r="AH17" s="176" t="str">
        <f t="shared" si="2"/>
        <v/>
      </c>
      <c r="AI17" s="173"/>
      <c r="AJ17" s="172" t="str">
        <f>IF(AI17="","",IF(VLOOKUP(AI17,'G-7 Rivers Data'!$AA$4:$AB$7,2,FALSE)=0,"Spatial Data Missing",VLOOKUP(AI17,'G-7 Rivers Data'!$AA$4:$AB$7,2,FALSE)))</f>
        <v/>
      </c>
      <c r="AK17" s="187"/>
      <c r="AL17" s="172" t="str">
        <f>IF(AK17="","",IF(VLOOKUP(AK17,'G-7 Rivers Data'!$AD$4:$AE$8,2,FALSE)=0,"Spatial Data Missing",VLOOKUP(AK17,'G-7 Rivers Data'!$AD$4:$AE$8,2,FALSE)))</f>
        <v/>
      </c>
      <c r="AM17" s="186"/>
      <c r="AN17" s="176" t="str">
        <f>IF(AM17="","",VLOOKUP(AM17,'G-7 Rivers Data'!$AO$4:$AP$7,2,FALSE))</f>
        <v/>
      </c>
      <c r="AO17" s="265" t="str">
        <f t="shared" si="8"/>
        <v/>
      </c>
      <c r="AP17" s="180"/>
      <c r="AQ17" s="181"/>
      <c r="AX17" s="35" t="str">
        <f>IFERROR(INDEX('G-7 Rivers Data'!$AZ$3:$AZ$7,MATCH(N17,'G-7 Rivers Data'!$AY$3:$AY$7,0)),"")</f>
        <v/>
      </c>
    </row>
    <row r="18" spans="2:50" ht="13.8" x14ac:dyDescent="0.25">
      <c r="B18" s="259" t="str">
        <f>'F-1 Off Site River Baseline'!AN16</f>
        <v/>
      </c>
      <c r="C18" s="175" t="str">
        <f>IF(B18="","",VLOOKUP($B18,'F-1 Off Site River Baseline'!$C$9:$R$257,2,FALSE))</f>
        <v/>
      </c>
      <c r="D18" s="175" t="str">
        <f>IF(C18="","",VLOOKUP($B18,'F-1 Off Site River Baseline'!$C$9:$R$257,3,FALSE))</f>
        <v/>
      </c>
      <c r="E18" s="175" t="str">
        <f>IF(D18="","",VLOOKUP($B18,'F-1 Off Site River Baseline'!$C$9:$R$257,4,FALSE))</f>
        <v/>
      </c>
      <c r="F18" s="175" t="str">
        <f>IF(E18="","",VLOOKUP($B18,'F-1 Off Site River Baseline'!$C$9:$R$257,5,FALSE))</f>
        <v/>
      </c>
      <c r="G18" s="175" t="str">
        <f>IF(F18="","",VLOOKUP($B18,'F-1 Off Site River Baseline'!$C$9:$R$257,6,FALSE))</f>
        <v/>
      </c>
      <c r="H18" s="175" t="str">
        <f>IF(G18="","",VLOOKUP($B18,'F-1 Off Site River Baseline'!$C$9:$R$257,7,FALSE))</f>
        <v/>
      </c>
      <c r="I18" s="175" t="str">
        <f>IF(H18="","",VLOOKUP($B18,'F-1 Off Site River Baseline'!$C$9:$R$257,8,FALSE))</f>
        <v/>
      </c>
      <c r="J18" s="175" t="str">
        <f>IF(I18="","",VLOOKUP($B18,'F-1 Off Site River Baseline'!$C$9:$R$257,9,FALSE))</f>
        <v/>
      </c>
      <c r="K18" s="175" t="str">
        <f>IF(J18="","",VLOOKUP($B18,'F-1 Off Site River Baseline'!$C$9:$R$257,10,FALSE))</f>
        <v/>
      </c>
      <c r="L18" s="175" t="str">
        <f>IF(B18="","",VLOOKUP($B18,'C-1 Site River Baseline'!$C$9:$R$257,15,FALSE))</f>
        <v/>
      </c>
      <c r="M18" s="176" t="str">
        <f>IF(L18="","",VLOOKUP($B18,'F-1 Off Site River Baseline'!$C$9:$R$257,16,FALSE))</f>
        <v/>
      </c>
      <c r="N18" s="639" t="str">
        <f t="shared" si="0"/>
        <v/>
      </c>
      <c r="O18" s="171" t="str">
        <f t="shared" si="3"/>
        <v/>
      </c>
      <c r="P18" s="172" t="str">
        <f>IF(C18="","",IF(AND(LEFT(C18,55)&lt;&gt;LEFT(N18,55),O18="High - High"),"Error - Not like for like",IF(AND(F18=S18,H18&gt;U18),"Error - Can not reduce condition",IF(AND(F18=S18,H18=U18,AJ18='F-1 Off Site River Baseline'!N16,'F-1 Off Site River Baseline'!P16=AL18),"Error - No enhancement",IF(AND(C18&lt;&gt;N18,F18&lt;S18),"Lower Distinctiveness Habitat"&amp;" - "&amp;T18,G18&amp;" - "&amp;T18)))))</f>
        <v/>
      </c>
      <c r="Q18" s="260" t="str">
        <f>IF(N18="","",VLOOKUP(B18,'F-1 Off Site River Baseline'!$C$10:$AA$257,19,FALSE))</f>
        <v/>
      </c>
      <c r="R18" s="171" t="str">
        <f>IF(N18="","",VLOOKUP(N18,'G-7 Rivers Data'!$B$2:$G$8,2,FALSE))</f>
        <v/>
      </c>
      <c r="S18" s="172" t="str">
        <f>IFERROR(VLOOKUP(R18,'G-7 Rivers Data'!$C$4:$D$8,2,FALSE),"")</f>
        <v/>
      </c>
      <c r="T18" s="173"/>
      <c r="U18" s="172" t="str">
        <f>IFERROR(INDEX('G-7 Rivers Data'!$H$4:$L$8,MATCH(N18,'G-7 Rivers Data'!$B$4:$B$8,0),MATCH(T18,'G-7 Rivers Data'!$H$3:$L$3,0)),"")</f>
        <v/>
      </c>
      <c r="V18" s="186"/>
      <c r="W18" s="175" t="str">
        <f>IF(V18="","",IF(VLOOKUP(V18,'G-7 Rivers Data'!$AG$4:$AI$9,2,FALSE)=0,"Spatial Data Missing",VLOOKUP(V18,'G-7 Rivers Data'!$AG$4:$AI$9,2,FALSE)))</f>
        <v/>
      </c>
      <c r="X18" s="176" t="str">
        <f>IF(V18="","",IF(VLOOKUP(V18,'G-7 Rivers Data'!$AG$4:$AI$9,3,FALSE)=0,"Spatial Data Missing",VLOOKUP(V18,'G-7 Rivers Data'!$AG$4:$AI$9,3,FALSE)))</f>
        <v/>
      </c>
      <c r="Y18" s="239" t="str">
        <f>IFERROR(IF(OR(LEFT(P18,5)="Error",LEFT(O18,5)="Error"),"Check Data",IF(F18&lt;S18,'G-7 Rivers Data'!$R$3,INDEX('G-7 Rivers Data'!$U$5:$Y$9,MATCH(G18,'G-7 Rivers Data'!$T$5:$T$9,0),MATCH(T18,'G-7 Rivers Data'!$U$4:$Y$4,0)))),"")</f>
        <v/>
      </c>
      <c r="Z18" s="275"/>
      <c r="AA18" s="275"/>
      <c r="AB18" s="175" t="str">
        <f t="shared" si="4"/>
        <v/>
      </c>
      <c r="AC18" s="262" t="str">
        <f t="shared" si="5"/>
        <v/>
      </c>
      <c r="AD18" s="382" t="str">
        <f>IFERROR(IF(AC18="Check Data","Check Data",VLOOKUP(AC18,'G-4 Temporal multipliers'!$A$4:$C$37,3,FALSE)),"")</f>
        <v/>
      </c>
      <c r="AE18" s="239" t="str">
        <f>IF(N18="","",VLOOKUP(N18,'G-7 Rivers Data'!$B$4:$G$8,5,FALSE))</f>
        <v/>
      </c>
      <c r="AF18" s="175" t="str">
        <f t="shared" si="6"/>
        <v/>
      </c>
      <c r="AG18" s="175" t="str">
        <f t="shared" si="7"/>
        <v/>
      </c>
      <c r="AH18" s="176" t="str">
        <f t="shared" si="2"/>
        <v/>
      </c>
      <c r="AI18" s="173"/>
      <c r="AJ18" s="172" t="str">
        <f>IF(AI18="","",IF(VLOOKUP(AI18,'G-7 Rivers Data'!$AA$4:$AB$7,2,FALSE)=0,"Spatial Data Missing",VLOOKUP(AI18,'G-7 Rivers Data'!$AA$4:$AB$7,2,FALSE)))</f>
        <v/>
      </c>
      <c r="AK18" s="187"/>
      <c r="AL18" s="172" t="str">
        <f>IF(AK18="","",IF(VLOOKUP(AK18,'G-7 Rivers Data'!$AD$4:$AE$8,2,FALSE)=0,"Spatial Data Missing",VLOOKUP(AK18,'G-7 Rivers Data'!$AD$4:$AE$8,2,FALSE)))</f>
        <v/>
      </c>
      <c r="AM18" s="186"/>
      <c r="AN18" s="176" t="str">
        <f>IF(AM18="","",VLOOKUP(AM18,'G-7 Rivers Data'!$AO$4:$AP$7,2,FALSE))</f>
        <v/>
      </c>
      <c r="AO18" s="265" t="str">
        <f t="shared" si="8"/>
        <v/>
      </c>
      <c r="AP18" s="180"/>
      <c r="AQ18" s="181"/>
      <c r="AX18" s="35" t="str">
        <f>IFERROR(INDEX('G-7 Rivers Data'!$AZ$3:$AZ$7,MATCH(N18,'G-7 Rivers Data'!$AY$3:$AY$7,0)),"")</f>
        <v/>
      </c>
    </row>
    <row r="19" spans="2:50" ht="13.8" x14ac:dyDescent="0.25">
      <c r="B19" s="259" t="str">
        <f>'F-1 Off Site River Baseline'!AN17</f>
        <v/>
      </c>
      <c r="C19" s="175" t="str">
        <f>IF(B19="","",VLOOKUP($B19,'F-1 Off Site River Baseline'!$C$9:$R$257,2,FALSE))</f>
        <v/>
      </c>
      <c r="D19" s="175" t="str">
        <f>IF(C19="","",VLOOKUP($B19,'F-1 Off Site River Baseline'!$C$9:$R$257,3,FALSE))</f>
        <v/>
      </c>
      <c r="E19" s="175" t="str">
        <f>IF(D19="","",VLOOKUP($B19,'F-1 Off Site River Baseline'!$C$9:$R$257,4,FALSE))</f>
        <v/>
      </c>
      <c r="F19" s="175" t="str">
        <f>IF(E19="","",VLOOKUP($B19,'F-1 Off Site River Baseline'!$C$9:$R$257,5,FALSE))</f>
        <v/>
      </c>
      <c r="G19" s="175" t="str">
        <f>IF(F19="","",VLOOKUP($B19,'F-1 Off Site River Baseline'!$C$9:$R$257,6,FALSE))</f>
        <v/>
      </c>
      <c r="H19" s="175" t="str">
        <f>IF(G19="","",VLOOKUP($B19,'F-1 Off Site River Baseline'!$C$9:$R$257,7,FALSE))</f>
        <v/>
      </c>
      <c r="I19" s="175" t="str">
        <f>IF(H19="","",VLOOKUP($B19,'F-1 Off Site River Baseline'!$C$9:$R$257,8,FALSE))</f>
        <v/>
      </c>
      <c r="J19" s="175" t="str">
        <f>IF(I19="","",VLOOKUP($B19,'F-1 Off Site River Baseline'!$C$9:$R$257,9,FALSE))</f>
        <v/>
      </c>
      <c r="K19" s="175" t="str">
        <f>IF(J19="","",VLOOKUP($B19,'F-1 Off Site River Baseline'!$C$9:$R$257,10,FALSE))</f>
        <v/>
      </c>
      <c r="L19" s="175" t="str">
        <f>IF(B19="","",VLOOKUP($B19,'C-1 Site River Baseline'!$C$9:$R$257,15,FALSE))</f>
        <v/>
      </c>
      <c r="M19" s="176" t="str">
        <f>IF(L19="","",VLOOKUP($B19,'F-1 Off Site River Baseline'!$C$9:$R$257,16,FALSE))</f>
        <v/>
      </c>
      <c r="N19" s="639" t="str">
        <f t="shared" si="0"/>
        <v/>
      </c>
      <c r="O19" s="171" t="str">
        <f t="shared" si="3"/>
        <v/>
      </c>
      <c r="P19" s="172" t="str">
        <f>IF(C19="","",IF(AND(LEFT(C19,55)&lt;&gt;LEFT(N19,55),O19="High - High"),"Error - Not like for like",IF(AND(F19=S19,H19&gt;U19),"Error - Can not reduce condition",IF(AND(F19=S19,H19=U19,AJ19='F-1 Off Site River Baseline'!N17,'F-1 Off Site River Baseline'!P17=AL19),"Error - No enhancement",IF(AND(C19&lt;&gt;N19,F19&lt;S19),"Lower Distinctiveness Habitat"&amp;" - "&amp;T19,G19&amp;" - "&amp;T19)))))</f>
        <v/>
      </c>
      <c r="Q19" s="260" t="str">
        <f>IF(N19="","",VLOOKUP(B19,'F-1 Off Site River Baseline'!$C$10:$AA$257,19,FALSE))</f>
        <v/>
      </c>
      <c r="R19" s="171" t="str">
        <f>IF(N19="","",VLOOKUP(N19,'G-7 Rivers Data'!$B$2:$G$8,2,FALSE))</f>
        <v/>
      </c>
      <c r="S19" s="172" t="str">
        <f>IFERROR(VLOOKUP(R19,'G-7 Rivers Data'!$C$4:$D$8,2,FALSE),"")</f>
        <v/>
      </c>
      <c r="T19" s="173"/>
      <c r="U19" s="172" t="str">
        <f>IFERROR(INDEX('G-7 Rivers Data'!$H$4:$L$8,MATCH(N19,'G-7 Rivers Data'!$B$4:$B$8,0),MATCH(T19,'G-7 Rivers Data'!$H$3:$L$3,0)),"")</f>
        <v/>
      </c>
      <c r="V19" s="186"/>
      <c r="W19" s="175" t="str">
        <f>IF(V19="","",IF(VLOOKUP(V19,'G-7 Rivers Data'!$AG$4:$AI$9,2,FALSE)=0,"Spatial Data Missing",VLOOKUP(V19,'G-7 Rivers Data'!$AG$4:$AI$9,2,FALSE)))</f>
        <v/>
      </c>
      <c r="X19" s="176" t="str">
        <f>IF(V19="","",IF(VLOOKUP(V19,'G-7 Rivers Data'!$AG$4:$AI$9,3,FALSE)=0,"Spatial Data Missing",VLOOKUP(V19,'G-7 Rivers Data'!$AG$4:$AI$9,3,FALSE)))</f>
        <v/>
      </c>
      <c r="Y19" s="239" t="str">
        <f>IFERROR(IF(OR(LEFT(P19,5)="Error",LEFT(O19,5)="Error"),"Check Data",IF(F19&lt;S19,'G-7 Rivers Data'!$R$3,INDEX('G-7 Rivers Data'!$U$5:$Y$9,MATCH(G19,'G-7 Rivers Data'!$T$5:$T$9,0),MATCH(T19,'G-7 Rivers Data'!$U$4:$Y$4,0)))),"")</f>
        <v/>
      </c>
      <c r="Z19" s="275"/>
      <c r="AA19" s="275"/>
      <c r="AB19" s="175" t="str">
        <f t="shared" si="4"/>
        <v/>
      </c>
      <c r="AC19" s="262" t="str">
        <f t="shared" si="5"/>
        <v/>
      </c>
      <c r="AD19" s="382" t="str">
        <f>IFERROR(IF(AC19="Check Data","Check Data",VLOOKUP(AC19,'G-4 Temporal multipliers'!$A$4:$C$37,3,FALSE)),"")</f>
        <v/>
      </c>
      <c r="AE19" s="239" t="str">
        <f>IF(N19="","",VLOOKUP(N19,'G-7 Rivers Data'!$B$4:$G$8,5,FALSE))</f>
        <v/>
      </c>
      <c r="AF19" s="175" t="str">
        <f t="shared" si="6"/>
        <v/>
      </c>
      <c r="AG19" s="175" t="str">
        <f t="shared" si="7"/>
        <v/>
      </c>
      <c r="AH19" s="176" t="str">
        <f t="shared" si="2"/>
        <v/>
      </c>
      <c r="AI19" s="173"/>
      <c r="AJ19" s="172" t="str">
        <f>IF(AI19="","",IF(VLOOKUP(AI19,'G-7 Rivers Data'!$AA$4:$AB$7,2,FALSE)=0,"Spatial Data Missing",VLOOKUP(AI19,'G-7 Rivers Data'!$AA$4:$AB$7,2,FALSE)))</f>
        <v/>
      </c>
      <c r="AK19" s="187"/>
      <c r="AL19" s="172" t="str">
        <f>IF(AK19="","",IF(VLOOKUP(AK19,'G-7 Rivers Data'!$AD$4:$AE$8,2,FALSE)=0,"Spatial Data Missing",VLOOKUP(AK19,'G-7 Rivers Data'!$AD$4:$AE$8,2,FALSE)))</f>
        <v/>
      </c>
      <c r="AM19" s="186"/>
      <c r="AN19" s="176" t="str">
        <f>IF(AM19="","",VLOOKUP(AM19,'G-7 Rivers Data'!$AO$4:$AP$7,2,FALSE))</f>
        <v/>
      </c>
      <c r="AO19" s="265" t="str">
        <f t="shared" si="8"/>
        <v/>
      </c>
      <c r="AP19" s="180"/>
      <c r="AQ19" s="181"/>
      <c r="AX19" s="35" t="str">
        <f>IFERROR(INDEX('G-7 Rivers Data'!$AZ$3:$AZ$7,MATCH(N19,'G-7 Rivers Data'!$AY$3:$AY$7,0)),"")</f>
        <v/>
      </c>
    </row>
    <row r="20" spans="2:50" ht="13.8" x14ac:dyDescent="0.25">
      <c r="B20" s="259" t="str">
        <f>'F-1 Off Site River Baseline'!AN18</f>
        <v/>
      </c>
      <c r="C20" s="175" t="str">
        <f>IF(B20="","",VLOOKUP($B20,'F-1 Off Site River Baseline'!$C$9:$R$257,2,FALSE))</f>
        <v/>
      </c>
      <c r="D20" s="175" t="str">
        <f>IF(C20="","",VLOOKUP($B20,'F-1 Off Site River Baseline'!$C$9:$R$257,3,FALSE))</f>
        <v/>
      </c>
      <c r="E20" s="175" t="str">
        <f>IF(D20="","",VLOOKUP($B20,'F-1 Off Site River Baseline'!$C$9:$R$257,4,FALSE))</f>
        <v/>
      </c>
      <c r="F20" s="175" t="str">
        <f>IF(E20="","",VLOOKUP($B20,'F-1 Off Site River Baseline'!$C$9:$R$257,5,FALSE))</f>
        <v/>
      </c>
      <c r="G20" s="175" t="str">
        <f>IF(F20="","",VLOOKUP($B20,'F-1 Off Site River Baseline'!$C$9:$R$257,6,FALSE))</f>
        <v/>
      </c>
      <c r="H20" s="175" t="str">
        <f>IF(G20="","",VLOOKUP($B20,'F-1 Off Site River Baseline'!$C$9:$R$257,7,FALSE))</f>
        <v/>
      </c>
      <c r="I20" s="175" t="str">
        <f>IF(H20="","",VLOOKUP($B20,'F-1 Off Site River Baseline'!$C$9:$R$257,8,FALSE))</f>
        <v/>
      </c>
      <c r="J20" s="175" t="str">
        <f>IF(I20="","",VLOOKUP($B20,'F-1 Off Site River Baseline'!$C$9:$R$257,9,FALSE))</f>
        <v/>
      </c>
      <c r="K20" s="175" t="str">
        <f>IF(J20="","",VLOOKUP($B20,'F-1 Off Site River Baseline'!$C$9:$R$257,10,FALSE))</f>
        <v/>
      </c>
      <c r="L20" s="175" t="str">
        <f>IF(B20="","",VLOOKUP($B20,'C-1 Site River Baseline'!$C$9:$R$257,15,FALSE))</f>
        <v/>
      </c>
      <c r="M20" s="176" t="str">
        <f>IF(L20="","",VLOOKUP($B20,'F-1 Off Site River Baseline'!$C$9:$R$257,16,FALSE))</f>
        <v/>
      </c>
      <c r="N20" s="639" t="str">
        <f t="shared" si="0"/>
        <v/>
      </c>
      <c r="O20" s="171" t="str">
        <f t="shared" si="3"/>
        <v/>
      </c>
      <c r="P20" s="172" t="str">
        <f>IF(C20="","",IF(AND(LEFT(C20,55)&lt;&gt;LEFT(N20,55),O20="High - High"),"Error - Not like for like",IF(AND(F20=S20,H20&gt;U20),"Error - Can not reduce condition",IF(AND(F20=S20,H20=U20,AJ20='F-1 Off Site River Baseline'!N18,'F-1 Off Site River Baseline'!P18=AL20),"Error - No enhancement",IF(AND(C20&lt;&gt;N20,F20&lt;S20),"Lower Distinctiveness Habitat"&amp;" - "&amp;T20,G20&amp;" - "&amp;T20)))))</f>
        <v/>
      </c>
      <c r="Q20" s="260" t="str">
        <f>IF(N20="","",VLOOKUP(B20,'F-1 Off Site River Baseline'!$C$10:$AA$257,19,FALSE))</f>
        <v/>
      </c>
      <c r="R20" s="171" t="str">
        <f>IF(N20="","",VLOOKUP(N20,'G-7 Rivers Data'!$B$2:$G$8,2,FALSE))</f>
        <v/>
      </c>
      <c r="S20" s="172" t="str">
        <f>IFERROR(VLOOKUP(R20,'G-7 Rivers Data'!$C$4:$D$8,2,FALSE),"")</f>
        <v/>
      </c>
      <c r="T20" s="173"/>
      <c r="U20" s="172" t="str">
        <f>IFERROR(INDEX('G-7 Rivers Data'!$H$4:$L$8,MATCH(N20,'G-7 Rivers Data'!$B$4:$B$8,0),MATCH(T20,'G-7 Rivers Data'!$H$3:$L$3,0)),"")</f>
        <v/>
      </c>
      <c r="V20" s="186"/>
      <c r="W20" s="175" t="str">
        <f>IF(V20="","",IF(VLOOKUP(V20,'G-7 Rivers Data'!$AG$4:$AI$9,2,FALSE)=0,"Spatial Data Missing",VLOOKUP(V20,'G-7 Rivers Data'!$AG$4:$AI$9,2,FALSE)))</f>
        <v/>
      </c>
      <c r="X20" s="176" t="str">
        <f>IF(V20="","",IF(VLOOKUP(V20,'G-7 Rivers Data'!$AG$4:$AI$9,3,FALSE)=0,"Spatial Data Missing",VLOOKUP(V20,'G-7 Rivers Data'!$AG$4:$AI$9,3,FALSE)))</f>
        <v/>
      </c>
      <c r="Y20" s="239" t="str">
        <f>IFERROR(IF(OR(LEFT(P20,5)="Error",LEFT(O20,5)="Error"),"Check Data",IF(F20&lt;S20,'G-7 Rivers Data'!$R$3,INDEX('G-7 Rivers Data'!$U$5:$Y$9,MATCH(G20,'G-7 Rivers Data'!$T$5:$T$9,0),MATCH(T20,'G-7 Rivers Data'!$U$4:$Y$4,0)))),"")</f>
        <v/>
      </c>
      <c r="Z20" s="275"/>
      <c r="AA20" s="275"/>
      <c r="AB20" s="175" t="str">
        <f t="shared" si="4"/>
        <v/>
      </c>
      <c r="AC20" s="262" t="str">
        <f t="shared" si="5"/>
        <v/>
      </c>
      <c r="AD20" s="382" t="str">
        <f>IFERROR(IF(AC20="Check Data","Check Data",VLOOKUP(AC20,'G-4 Temporal multipliers'!$A$4:$C$37,3,FALSE)),"")</f>
        <v/>
      </c>
      <c r="AE20" s="239" t="str">
        <f>IF(N20="","",VLOOKUP(N20,'G-7 Rivers Data'!$B$4:$G$8,5,FALSE))</f>
        <v/>
      </c>
      <c r="AF20" s="175" t="str">
        <f t="shared" si="6"/>
        <v/>
      </c>
      <c r="AG20" s="175" t="str">
        <f t="shared" si="7"/>
        <v/>
      </c>
      <c r="AH20" s="176" t="str">
        <f t="shared" si="2"/>
        <v/>
      </c>
      <c r="AI20" s="173"/>
      <c r="AJ20" s="172" t="str">
        <f>IF(AI20="","",IF(VLOOKUP(AI20,'G-7 Rivers Data'!$AA$4:$AB$7,2,FALSE)=0,"Spatial Data Missing",VLOOKUP(AI20,'G-7 Rivers Data'!$AA$4:$AB$7,2,FALSE)))</f>
        <v/>
      </c>
      <c r="AK20" s="187"/>
      <c r="AL20" s="172" t="str">
        <f>IF(AK20="","",IF(VLOOKUP(AK20,'G-7 Rivers Data'!$AD$4:$AE$8,2,FALSE)=0,"Spatial Data Missing",VLOOKUP(AK20,'G-7 Rivers Data'!$AD$4:$AE$8,2,FALSE)))</f>
        <v/>
      </c>
      <c r="AM20" s="186"/>
      <c r="AN20" s="176" t="str">
        <f>IF(AM20="","",VLOOKUP(AM20,'G-7 Rivers Data'!$AO$4:$AP$7,2,FALSE))</f>
        <v/>
      </c>
      <c r="AO20" s="265" t="str">
        <f t="shared" si="8"/>
        <v/>
      </c>
      <c r="AP20" s="180"/>
      <c r="AQ20" s="181"/>
      <c r="AX20" s="35" t="str">
        <f>IFERROR(INDEX('G-7 Rivers Data'!$AZ$3:$AZ$7,MATCH(N20,'G-7 Rivers Data'!$AY$3:$AY$7,0)),"")</f>
        <v/>
      </c>
    </row>
    <row r="21" spans="2:50" ht="13.8" x14ac:dyDescent="0.25">
      <c r="B21" s="259" t="str">
        <f>'F-1 Off Site River Baseline'!AN19</f>
        <v/>
      </c>
      <c r="C21" s="175" t="str">
        <f>IF(B21="","",VLOOKUP($B21,'F-1 Off Site River Baseline'!$C$9:$R$257,2,FALSE))</f>
        <v/>
      </c>
      <c r="D21" s="175" t="str">
        <f>IF(C21="","",VLOOKUP($B21,'F-1 Off Site River Baseline'!$C$9:$R$257,3,FALSE))</f>
        <v/>
      </c>
      <c r="E21" s="175" t="str">
        <f>IF(D21="","",VLOOKUP($B21,'F-1 Off Site River Baseline'!$C$9:$R$257,4,FALSE))</f>
        <v/>
      </c>
      <c r="F21" s="175" t="str">
        <f>IF(E21="","",VLOOKUP($B21,'F-1 Off Site River Baseline'!$C$9:$R$257,5,FALSE))</f>
        <v/>
      </c>
      <c r="G21" s="175" t="str">
        <f>IF(F21="","",VLOOKUP($B21,'F-1 Off Site River Baseline'!$C$9:$R$257,6,FALSE))</f>
        <v/>
      </c>
      <c r="H21" s="175" t="str">
        <f>IF(G21="","",VLOOKUP($B21,'F-1 Off Site River Baseline'!$C$9:$R$257,7,FALSE))</f>
        <v/>
      </c>
      <c r="I21" s="175" t="str">
        <f>IF(H21="","",VLOOKUP($B21,'F-1 Off Site River Baseline'!$C$9:$R$257,8,FALSE))</f>
        <v/>
      </c>
      <c r="J21" s="175" t="str">
        <f>IF(I21="","",VLOOKUP($B21,'F-1 Off Site River Baseline'!$C$9:$R$257,9,FALSE))</f>
        <v/>
      </c>
      <c r="K21" s="175" t="str">
        <f>IF(J21="","",VLOOKUP($B21,'F-1 Off Site River Baseline'!$C$9:$R$257,10,FALSE))</f>
        <v/>
      </c>
      <c r="L21" s="175" t="str">
        <f>IF(B21="","",VLOOKUP($B21,'C-1 Site River Baseline'!$C$9:$R$257,15,FALSE))</f>
        <v/>
      </c>
      <c r="M21" s="176" t="str">
        <f>IF(L21="","",VLOOKUP($B21,'F-1 Off Site River Baseline'!$C$9:$R$257,16,FALSE))</f>
        <v/>
      </c>
      <c r="N21" s="639" t="str">
        <f t="shared" si="0"/>
        <v/>
      </c>
      <c r="O21" s="171" t="str">
        <f t="shared" si="3"/>
        <v/>
      </c>
      <c r="P21" s="172" t="str">
        <f>IF(C21="","",IF(AND(LEFT(C21,55)&lt;&gt;LEFT(N21,55),O21="High - High"),"Error - Not like for like",IF(AND(F21=S21,H21&gt;U21),"Error - Can not reduce condition",IF(AND(F21=S21,H21=U21,AJ21='F-1 Off Site River Baseline'!N19,'F-1 Off Site River Baseline'!P19=AL21),"Error - No enhancement",IF(AND(C21&lt;&gt;N21,F21&lt;S21),"Lower Distinctiveness Habitat"&amp;" - "&amp;T21,G21&amp;" - "&amp;T21)))))</f>
        <v/>
      </c>
      <c r="Q21" s="260" t="str">
        <f>IF(N21="","",VLOOKUP(B21,'F-1 Off Site River Baseline'!$C$10:$AA$257,19,FALSE))</f>
        <v/>
      </c>
      <c r="R21" s="171" t="str">
        <f>IF(N21="","",VLOOKUP(N21,'G-7 Rivers Data'!$B$2:$G$8,2,FALSE))</f>
        <v/>
      </c>
      <c r="S21" s="172" t="str">
        <f>IFERROR(VLOOKUP(R21,'G-7 Rivers Data'!$C$4:$D$8,2,FALSE),"")</f>
        <v/>
      </c>
      <c r="T21" s="173"/>
      <c r="U21" s="172" t="str">
        <f>IFERROR(INDEX('G-7 Rivers Data'!$H$4:$L$8,MATCH(N21,'G-7 Rivers Data'!$B$4:$B$8,0),MATCH(T21,'G-7 Rivers Data'!$H$3:$L$3,0)),"")</f>
        <v/>
      </c>
      <c r="V21" s="186"/>
      <c r="W21" s="175" t="str">
        <f>IF(V21="","",IF(VLOOKUP(V21,'G-7 Rivers Data'!$AG$4:$AI$9,2,FALSE)=0,"Spatial Data Missing",VLOOKUP(V21,'G-7 Rivers Data'!$AG$4:$AI$9,2,FALSE)))</f>
        <v/>
      </c>
      <c r="X21" s="176" t="str">
        <f>IF(V21="","",IF(VLOOKUP(V21,'G-7 Rivers Data'!$AG$4:$AI$9,3,FALSE)=0,"Spatial Data Missing",VLOOKUP(V21,'G-7 Rivers Data'!$AG$4:$AI$9,3,FALSE)))</f>
        <v/>
      </c>
      <c r="Y21" s="239" t="str">
        <f>IFERROR(IF(OR(LEFT(P21,5)="Error",LEFT(O21,5)="Error"),"Check Data",IF(F21&lt;S21,'G-7 Rivers Data'!$R$3,INDEX('G-7 Rivers Data'!$U$5:$Y$9,MATCH(G21,'G-7 Rivers Data'!$T$5:$T$9,0),MATCH(T21,'G-7 Rivers Data'!$U$4:$Y$4,0)))),"")</f>
        <v/>
      </c>
      <c r="Z21" s="275"/>
      <c r="AA21" s="275"/>
      <c r="AB21" s="175" t="str">
        <f t="shared" si="4"/>
        <v/>
      </c>
      <c r="AC21" s="262" t="str">
        <f t="shared" si="5"/>
        <v/>
      </c>
      <c r="AD21" s="382" t="str">
        <f>IFERROR(IF(AC21="Check Data","Check Data",VLOOKUP(AC21,'G-4 Temporal multipliers'!$A$4:$C$37,3,FALSE)),"")</f>
        <v/>
      </c>
      <c r="AE21" s="239" t="str">
        <f>IF(N21="","",VLOOKUP(N21,'G-7 Rivers Data'!$B$4:$G$8,5,FALSE))</f>
        <v/>
      </c>
      <c r="AF21" s="175" t="str">
        <f t="shared" si="6"/>
        <v/>
      </c>
      <c r="AG21" s="175" t="str">
        <f t="shared" si="7"/>
        <v/>
      </c>
      <c r="AH21" s="176" t="str">
        <f t="shared" si="2"/>
        <v/>
      </c>
      <c r="AI21" s="173"/>
      <c r="AJ21" s="172" t="str">
        <f>IF(AI21="","",IF(VLOOKUP(AI21,'G-7 Rivers Data'!$AA$4:$AB$7,2,FALSE)=0,"Spatial Data Missing",VLOOKUP(AI21,'G-7 Rivers Data'!$AA$4:$AB$7,2,FALSE)))</f>
        <v/>
      </c>
      <c r="AK21" s="187"/>
      <c r="AL21" s="172" t="str">
        <f>IF(AK21="","",IF(VLOOKUP(AK21,'G-7 Rivers Data'!$AD$4:$AE$8,2,FALSE)=0,"Spatial Data Missing",VLOOKUP(AK21,'G-7 Rivers Data'!$AD$4:$AE$8,2,FALSE)))</f>
        <v/>
      </c>
      <c r="AM21" s="186"/>
      <c r="AN21" s="176" t="str">
        <f>IF(AM21="","",VLOOKUP(AM21,'G-7 Rivers Data'!$AO$4:$AP$7,2,FALSE))</f>
        <v/>
      </c>
      <c r="AO21" s="265" t="str">
        <f t="shared" si="8"/>
        <v/>
      </c>
      <c r="AP21" s="180"/>
      <c r="AQ21" s="181"/>
      <c r="AX21" s="35" t="str">
        <f>IFERROR(INDEX('G-7 Rivers Data'!$AZ$3:$AZ$7,MATCH(N21,'G-7 Rivers Data'!$AY$3:$AY$7,0)),"")</f>
        <v/>
      </c>
    </row>
    <row r="22" spans="2:50" ht="13.8" x14ac:dyDescent="0.25">
      <c r="B22" s="259" t="str">
        <f>'F-1 Off Site River Baseline'!AN20</f>
        <v/>
      </c>
      <c r="C22" s="175" t="str">
        <f>IF(B22="","",VLOOKUP($B22,'F-1 Off Site River Baseline'!$C$9:$R$257,2,FALSE))</f>
        <v/>
      </c>
      <c r="D22" s="175" t="str">
        <f>IF(C22="","",VLOOKUP($B22,'F-1 Off Site River Baseline'!$C$9:$R$257,3,FALSE))</f>
        <v/>
      </c>
      <c r="E22" s="175" t="str">
        <f>IF(D22="","",VLOOKUP($B22,'F-1 Off Site River Baseline'!$C$9:$R$257,4,FALSE))</f>
        <v/>
      </c>
      <c r="F22" s="175" t="str">
        <f>IF(E22="","",VLOOKUP($B22,'F-1 Off Site River Baseline'!$C$9:$R$257,5,FALSE))</f>
        <v/>
      </c>
      <c r="G22" s="175" t="str">
        <f>IF(F22="","",VLOOKUP($B22,'F-1 Off Site River Baseline'!$C$9:$R$257,6,FALSE))</f>
        <v/>
      </c>
      <c r="H22" s="175" t="str">
        <f>IF(G22="","",VLOOKUP($B22,'F-1 Off Site River Baseline'!$C$9:$R$257,7,FALSE))</f>
        <v/>
      </c>
      <c r="I22" s="175" t="str">
        <f>IF(H22="","",VLOOKUP($B22,'F-1 Off Site River Baseline'!$C$9:$R$257,8,FALSE))</f>
        <v/>
      </c>
      <c r="J22" s="175" t="str">
        <f>IF(I22="","",VLOOKUP($B22,'F-1 Off Site River Baseline'!$C$9:$R$257,9,FALSE))</f>
        <v/>
      </c>
      <c r="K22" s="175" t="str">
        <f>IF(J22="","",VLOOKUP($B22,'F-1 Off Site River Baseline'!$C$9:$R$257,10,FALSE))</f>
        <v/>
      </c>
      <c r="L22" s="175" t="str">
        <f>IF(B22="","",VLOOKUP($B22,'C-1 Site River Baseline'!$C$9:$R$257,15,FALSE))</f>
        <v/>
      </c>
      <c r="M22" s="176" t="str">
        <f>IF(L22="","",VLOOKUP($B22,'F-1 Off Site River Baseline'!$C$9:$R$257,16,FALSE))</f>
        <v/>
      </c>
      <c r="N22" s="639" t="str">
        <f t="shared" si="0"/>
        <v/>
      </c>
      <c r="O22" s="171" t="str">
        <f t="shared" si="3"/>
        <v/>
      </c>
      <c r="P22" s="172" t="str">
        <f>IF(C22="","",IF(AND(LEFT(C22,55)&lt;&gt;LEFT(N22,55),O22="High - High"),"Error - Not like for like",IF(AND(F22=S22,H22&gt;U22),"Error - Can not reduce condition",IF(AND(F22=S22,H22=U22,AJ22='F-1 Off Site River Baseline'!N20,'F-1 Off Site River Baseline'!P20=AL22),"Error - No enhancement",IF(AND(C22&lt;&gt;N22,F22&lt;S22),"Lower Distinctiveness Habitat"&amp;" - "&amp;T22,G22&amp;" - "&amp;T22)))))</f>
        <v/>
      </c>
      <c r="Q22" s="260" t="str">
        <f>IF(N22="","",VLOOKUP(B22,'F-1 Off Site River Baseline'!$C$10:$AA$257,19,FALSE))</f>
        <v/>
      </c>
      <c r="R22" s="171" t="str">
        <f>IF(N22="","",VLOOKUP(N22,'G-7 Rivers Data'!$B$2:$G$8,2,FALSE))</f>
        <v/>
      </c>
      <c r="S22" s="172" t="str">
        <f>IFERROR(VLOOKUP(R22,'G-7 Rivers Data'!$C$4:$D$8,2,FALSE),"")</f>
        <v/>
      </c>
      <c r="T22" s="173"/>
      <c r="U22" s="172" t="str">
        <f>IFERROR(INDEX('G-7 Rivers Data'!$H$4:$L$8,MATCH(N22,'G-7 Rivers Data'!$B$4:$B$8,0),MATCH(T22,'G-7 Rivers Data'!$H$3:$L$3,0)),"")</f>
        <v/>
      </c>
      <c r="V22" s="186"/>
      <c r="W22" s="175" t="str">
        <f>IF(V22="","",IF(VLOOKUP(V22,'G-7 Rivers Data'!$AG$4:$AI$9,2,FALSE)=0,"Spatial Data Missing",VLOOKUP(V22,'G-7 Rivers Data'!$AG$4:$AI$9,2,FALSE)))</f>
        <v/>
      </c>
      <c r="X22" s="176" t="str">
        <f>IF(V22="","",IF(VLOOKUP(V22,'G-7 Rivers Data'!$AG$4:$AI$9,3,FALSE)=0,"Spatial Data Missing",VLOOKUP(V22,'G-7 Rivers Data'!$AG$4:$AI$9,3,FALSE)))</f>
        <v/>
      </c>
      <c r="Y22" s="239" t="str">
        <f>IFERROR(IF(OR(LEFT(P22,5)="Error",LEFT(O22,5)="Error"),"Check Data",IF(F22&lt;S22,'G-7 Rivers Data'!$R$3,INDEX('G-7 Rivers Data'!$U$5:$Y$9,MATCH(G22,'G-7 Rivers Data'!$T$5:$T$9,0),MATCH(T22,'G-7 Rivers Data'!$U$4:$Y$4,0)))),"")</f>
        <v/>
      </c>
      <c r="Z22" s="275"/>
      <c r="AA22" s="275"/>
      <c r="AB22" s="175" t="str">
        <f t="shared" si="4"/>
        <v/>
      </c>
      <c r="AC22" s="262" t="str">
        <f t="shared" si="5"/>
        <v/>
      </c>
      <c r="AD22" s="382" t="str">
        <f>IFERROR(IF(AC22="Check Data","Check Data",VLOOKUP(AC22,'G-4 Temporal multipliers'!$A$4:$C$37,3,FALSE)),"")</f>
        <v/>
      </c>
      <c r="AE22" s="239" t="str">
        <f>IF(N22="","",VLOOKUP(N22,'G-7 Rivers Data'!$B$4:$G$8,5,FALSE))</f>
        <v/>
      </c>
      <c r="AF22" s="175" t="str">
        <f t="shared" si="6"/>
        <v/>
      </c>
      <c r="AG22" s="175" t="str">
        <f t="shared" si="7"/>
        <v/>
      </c>
      <c r="AH22" s="176" t="str">
        <f t="shared" si="2"/>
        <v/>
      </c>
      <c r="AI22" s="173"/>
      <c r="AJ22" s="172" t="str">
        <f>IF(AI22="","",IF(VLOOKUP(AI22,'G-7 Rivers Data'!$AA$4:$AB$7,2,FALSE)=0,"Spatial Data Missing",VLOOKUP(AI22,'G-7 Rivers Data'!$AA$4:$AB$7,2,FALSE)))</f>
        <v/>
      </c>
      <c r="AK22" s="187"/>
      <c r="AL22" s="172" t="str">
        <f>IF(AK22="","",IF(VLOOKUP(AK22,'G-7 Rivers Data'!$AD$4:$AE$8,2,FALSE)=0,"Spatial Data Missing",VLOOKUP(AK22,'G-7 Rivers Data'!$AD$4:$AE$8,2,FALSE)))</f>
        <v/>
      </c>
      <c r="AM22" s="186"/>
      <c r="AN22" s="176" t="str">
        <f>IF(AM22="","",VLOOKUP(AM22,'G-7 Rivers Data'!$AO$4:$AP$7,2,FALSE))</f>
        <v/>
      </c>
      <c r="AO22" s="265" t="str">
        <f t="shared" si="8"/>
        <v/>
      </c>
      <c r="AP22" s="180"/>
      <c r="AQ22" s="181"/>
      <c r="AX22" s="35" t="str">
        <f>IFERROR(INDEX('G-7 Rivers Data'!$AZ$3:$AZ$7,MATCH(N22,'G-7 Rivers Data'!$AY$3:$AY$7,0)),"")</f>
        <v/>
      </c>
    </row>
    <row r="23" spans="2:50" ht="13.8" x14ac:dyDescent="0.25">
      <c r="B23" s="259" t="str">
        <f>'F-1 Off Site River Baseline'!AN21</f>
        <v/>
      </c>
      <c r="C23" s="175" t="str">
        <f>IF(B23="","",VLOOKUP($B23,'F-1 Off Site River Baseline'!$C$9:$R$257,2,FALSE))</f>
        <v/>
      </c>
      <c r="D23" s="175" t="str">
        <f>IF(C23="","",VLOOKUP($B23,'F-1 Off Site River Baseline'!$C$9:$R$257,3,FALSE))</f>
        <v/>
      </c>
      <c r="E23" s="175" t="str">
        <f>IF(D23="","",VLOOKUP($B23,'F-1 Off Site River Baseline'!$C$9:$R$257,4,FALSE))</f>
        <v/>
      </c>
      <c r="F23" s="175" t="str">
        <f>IF(E23="","",VLOOKUP($B23,'F-1 Off Site River Baseline'!$C$9:$R$257,5,FALSE))</f>
        <v/>
      </c>
      <c r="G23" s="175" t="str">
        <f>IF(F23="","",VLOOKUP($B23,'F-1 Off Site River Baseline'!$C$9:$R$257,6,FALSE))</f>
        <v/>
      </c>
      <c r="H23" s="175" t="str">
        <f>IF(G23="","",VLOOKUP($B23,'F-1 Off Site River Baseline'!$C$9:$R$257,7,FALSE))</f>
        <v/>
      </c>
      <c r="I23" s="175" t="str">
        <f>IF(H23="","",VLOOKUP($B23,'F-1 Off Site River Baseline'!$C$9:$R$257,8,FALSE))</f>
        <v/>
      </c>
      <c r="J23" s="175" t="str">
        <f>IF(I23="","",VLOOKUP($B23,'F-1 Off Site River Baseline'!$C$9:$R$257,9,FALSE))</f>
        <v/>
      </c>
      <c r="K23" s="175" t="str">
        <f>IF(J23="","",VLOOKUP($B23,'F-1 Off Site River Baseline'!$C$9:$R$257,10,FALSE))</f>
        <v/>
      </c>
      <c r="L23" s="175" t="str">
        <f>IF(B23="","",VLOOKUP($B23,'C-1 Site River Baseline'!$C$9:$R$257,15,FALSE))</f>
        <v/>
      </c>
      <c r="M23" s="176" t="str">
        <f>IF(L23="","",VLOOKUP($B23,'F-1 Off Site River Baseline'!$C$9:$R$257,16,FALSE))</f>
        <v/>
      </c>
      <c r="N23" s="639" t="str">
        <f t="shared" si="0"/>
        <v/>
      </c>
      <c r="O23" s="171" t="str">
        <f t="shared" si="3"/>
        <v/>
      </c>
      <c r="P23" s="172" t="str">
        <f>IF(C23="","",IF(AND(LEFT(C23,55)&lt;&gt;LEFT(N23,55),O23="High - High"),"Error - Not like for like",IF(AND(F23=S23,H23&gt;U23),"Error - Can not reduce condition",IF(AND(F23=S23,H23=U23,AJ23='F-1 Off Site River Baseline'!N21,'F-1 Off Site River Baseline'!P21=AL23),"Error - No enhancement",IF(AND(C23&lt;&gt;N23,F23&lt;S23),"Lower Distinctiveness Habitat"&amp;" - "&amp;T23,G23&amp;" - "&amp;T23)))))</f>
        <v/>
      </c>
      <c r="Q23" s="260" t="str">
        <f>IF(N23="","",VLOOKUP(B23,'F-1 Off Site River Baseline'!$C$10:$AA$257,19,FALSE))</f>
        <v/>
      </c>
      <c r="R23" s="171" t="str">
        <f>IF(N23="","",VLOOKUP(N23,'G-7 Rivers Data'!$B$2:$G$8,2,FALSE))</f>
        <v/>
      </c>
      <c r="S23" s="172" t="str">
        <f>IFERROR(VLOOKUP(R23,'G-7 Rivers Data'!$C$4:$D$8,2,FALSE),"")</f>
        <v/>
      </c>
      <c r="T23" s="173"/>
      <c r="U23" s="172" t="str">
        <f>IFERROR(INDEX('G-7 Rivers Data'!$H$4:$L$8,MATCH(N23,'G-7 Rivers Data'!$B$4:$B$8,0),MATCH(T23,'G-7 Rivers Data'!$H$3:$L$3,0)),"")</f>
        <v/>
      </c>
      <c r="V23" s="186"/>
      <c r="W23" s="175" t="str">
        <f>IF(V23="","",IF(VLOOKUP(V23,'G-7 Rivers Data'!$AG$4:$AI$9,2,FALSE)=0,"Spatial Data Missing",VLOOKUP(V23,'G-7 Rivers Data'!$AG$4:$AI$9,2,FALSE)))</f>
        <v/>
      </c>
      <c r="X23" s="176" t="str">
        <f>IF(V23="","",IF(VLOOKUP(V23,'G-7 Rivers Data'!$AG$4:$AI$9,3,FALSE)=0,"Spatial Data Missing",VLOOKUP(V23,'G-7 Rivers Data'!$AG$4:$AI$9,3,FALSE)))</f>
        <v/>
      </c>
      <c r="Y23" s="239" t="str">
        <f>IFERROR(IF(OR(LEFT(P23,5)="Error",LEFT(O23,5)="Error"),"Check Data",IF(F23&lt;S23,'G-7 Rivers Data'!$R$3,INDEX('G-7 Rivers Data'!$U$5:$Y$9,MATCH(G23,'G-7 Rivers Data'!$T$5:$T$9,0),MATCH(T23,'G-7 Rivers Data'!$U$4:$Y$4,0)))),"")</f>
        <v/>
      </c>
      <c r="Z23" s="275"/>
      <c r="AA23" s="275"/>
      <c r="AB23" s="175" t="str">
        <f t="shared" si="4"/>
        <v/>
      </c>
      <c r="AC23" s="262" t="str">
        <f t="shared" si="5"/>
        <v/>
      </c>
      <c r="AD23" s="382" t="str">
        <f>IFERROR(IF(AC23="Check Data","Check Data",VLOOKUP(AC23,'G-4 Temporal multipliers'!$A$4:$C$37,3,FALSE)),"")</f>
        <v/>
      </c>
      <c r="AE23" s="239" t="str">
        <f>IF(N23="","",VLOOKUP(N23,'G-7 Rivers Data'!$B$4:$G$8,5,FALSE))</f>
        <v/>
      </c>
      <c r="AF23" s="175" t="str">
        <f t="shared" si="6"/>
        <v/>
      </c>
      <c r="AG23" s="175" t="str">
        <f t="shared" si="7"/>
        <v/>
      </c>
      <c r="AH23" s="176" t="str">
        <f t="shared" si="2"/>
        <v/>
      </c>
      <c r="AI23" s="173"/>
      <c r="AJ23" s="172" t="str">
        <f>IF(AI23="","",IF(VLOOKUP(AI23,'G-7 Rivers Data'!$AA$4:$AB$7,2,FALSE)=0,"Spatial Data Missing",VLOOKUP(AI23,'G-7 Rivers Data'!$AA$4:$AB$7,2,FALSE)))</f>
        <v/>
      </c>
      <c r="AK23" s="187"/>
      <c r="AL23" s="172" t="str">
        <f>IF(AK23="","",IF(VLOOKUP(AK23,'G-7 Rivers Data'!$AD$4:$AE$8,2,FALSE)=0,"Spatial Data Missing",VLOOKUP(AK23,'G-7 Rivers Data'!$AD$4:$AE$8,2,FALSE)))</f>
        <v/>
      </c>
      <c r="AM23" s="186"/>
      <c r="AN23" s="176" t="str">
        <f>IF(AM23="","",VLOOKUP(AM23,'G-7 Rivers Data'!$AO$4:$AP$7,2,FALSE))</f>
        <v/>
      </c>
      <c r="AO23" s="265" t="str">
        <f t="shared" si="8"/>
        <v/>
      </c>
      <c r="AP23" s="180"/>
      <c r="AQ23" s="181"/>
      <c r="AX23" s="35" t="str">
        <f>IFERROR(INDEX('G-7 Rivers Data'!$AZ$3:$AZ$7,MATCH(N23,'G-7 Rivers Data'!$AY$3:$AY$7,0)),"")</f>
        <v/>
      </c>
    </row>
    <row r="24" spans="2:50" ht="13.8" x14ac:dyDescent="0.25">
      <c r="B24" s="259" t="str">
        <f>'F-1 Off Site River Baseline'!AN22</f>
        <v/>
      </c>
      <c r="C24" s="175" t="str">
        <f>IF(B24="","",VLOOKUP($B24,'F-1 Off Site River Baseline'!$C$9:$R$257,2,FALSE))</f>
        <v/>
      </c>
      <c r="D24" s="175" t="str">
        <f>IF(C24="","",VLOOKUP($B24,'F-1 Off Site River Baseline'!$C$9:$R$257,3,FALSE))</f>
        <v/>
      </c>
      <c r="E24" s="175" t="str">
        <f>IF(D24="","",VLOOKUP($B24,'F-1 Off Site River Baseline'!$C$9:$R$257,4,FALSE))</f>
        <v/>
      </c>
      <c r="F24" s="175" t="str">
        <f>IF(E24="","",VLOOKUP($B24,'F-1 Off Site River Baseline'!$C$9:$R$257,5,FALSE))</f>
        <v/>
      </c>
      <c r="G24" s="175" t="str">
        <f>IF(F24="","",VLOOKUP($B24,'F-1 Off Site River Baseline'!$C$9:$R$257,6,FALSE))</f>
        <v/>
      </c>
      <c r="H24" s="175" t="str">
        <f>IF(G24="","",VLOOKUP($B24,'F-1 Off Site River Baseline'!$C$9:$R$257,7,FALSE))</f>
        <v/>
      </c>
      <c r="I24" s="175" t="str">
        <f>IF(H24="","",VLOOKUP($B24,'F-1 Off Site River Baseline'!$C$9:$R$257,8,FALSE))</f>
        <v/>
      </c>
      <c r="J24" s="175" t="str">
        <f>IF(I24="","",VLOOKUP($B24,'F-1 Off Site River Baseline'!$C$9:$R$257,9,FALSE))</f>
        <v/>
      </c>
      <c r="K24" s="175" t="str">
        <f>IF(J24="","",VLOOKUP($B24,'F-1 Off Site River Baseline'!$C$9:$R$257,10,FALSE))</f>
        <v/>
      </c>
      <c r="L24" s="175" t="str">
        <f>IF(B24="","",VLOOKUP($B24,'C-1 Site River Baseline'!$C$9:$R$257,15,FALSE))</f>
        <v/>
      </c>
      <c r="M24" s="176" t="str">
        <f>IF(L24="","",VLOOKUP($B24,'F-1 Off Site River Baseline'!$C$9:$R$257,16,FALSE))</f>
        <v/>
      </c>
      <c r="N24" s="639" t="str">
        <f t="shared" si="0"/>
        <v/>
      </c>
      <c r="O24" s="171" t="str">
        <f t="shared" si="3"/>
        <v/>
      </c>
      <c r="P24" s="172" t="str">
        <f>IF(C24="","",IF(AND(LEFT(C24,55)&lt;&gt;LEFT(N24,55),O24="High - High"),"Error - Not like for like",IF(AND(F24=S24,H24&gt;U24),"Error - Can not reduce condition",IF(AND(F24=S24,H24=U24,AJ24='F-1 Off Site River Baseline'!N22,'F-1 Off Site River Baseline'!P22=AL24),"Error - No enhancement",IF(AND(C24&lt;&gt;N24,F24&lt;S24),"Lower Distinctiveness Habitat"&amp;" - "&amp;T24,G24&amp;" - "&amp;T24)))))</f>
        <v/>
      </c>
      <c r="Q24" s="260" t="str">
        <f>IF(N24="","",VLOOKUP(B24,'F-1 Off Site River Baseline'!$C$10:$AA$257,19,FALSE))</f>
        <v/>
      </c>
      <c r="R24" s="171" t="str">
        <f>IF(N24="","",VLOOKUP(N24,'G-7 Rivers Data'!$B$2:$G$8,2,FALSE))</f>
        <v/>
      </c>
      <c r="S24" s="172" t="str">
        <f>IFERROR(VLOOKUP(R24,'G-7 Rivers Data'!$C$4:$D$8,2,FALSE),"")</f>
        <v/>
      </c>
      <c r="T24" s="173"/>
      <c r="U24" s="172" t="str">
        <f>IFERROR(INDEX('G-7 Rivers Data'!$H$4:$L$8,MATCH(N24,'G-7 Rivers Data'!$B$4:$B$8,0),MATCH(T24,'G-7 Rivers Data'!$H$3:$L$3,0)),"")</f>
        <v/>
      </c>
      <c r="V24" s="186"/>
      <c r="W24" s="175" t="str">
        <f>IF(V24="","",IF(VLOOKUP(V24,'G-7 Rivers Data'!$AG$4:$AI$9,2,FALSE)=0,"Spatial Data Missing",VLOOKUP(V24,'G-7 Rivers Data'!$AG$4:$AI$9,2,FALSE)))</f>
        <v/>
      </c>
      <c r="X24" s="176" t="str">
        <f>IF(V24="","",IF(VLOOKUP(V24,'G-7 Rivers Data'!$AG$4:$AI$9,3,FALSE)=0,"Spatial Data Missing",VLOOKUP(V24,'G-7 Rivers Data'!$AG$4:$AI$9,3,FALSE)))</f>
        <v/>
      </c>
      <c r="Y24" s="239" t="str">
        <f>IFERROR(IF(OR(LEFT(P24,5)="Error",LEFT(O24,5)="Error"),"Check Data",IF(F24&lt;S24,'G-7 Rivers Data'!$R$3,INDEX('G-7 Rivers Data'!$U$5:$Y$9,MATCH(G24,'G-7 Rivers Data'!$T$5:$T$9,0),MATCH(T24,'G-7 Rivers Data'!$U$4:$Y$4,0)))),"")</f>
        <v/>
      </c>
      <c r="Z24" s="275"/>
      <c r="AA24" s="275"/>
      <c r="AB24" s="175" t="str">
        <f t="shared" si="4"/>
        <v/>
      </c>
      <c r="AC24" s="262" t="str">
        <f t="shared" si="5"/>
        <v/>
      </c>
      <c r="AD24" s="382" t="str">
        <f>IFERROR(IF(AC24="Check Data","Check Data",VLOOKUP(AC24,'G-4 Temporal multipliers'!$A$4:$C$37,3,FALSE)),"")</f>
        <v/>
      </c>
      <c r="AE24" s="239" t="str">
        <f>IF(N24="","",VLOOKUP(N24,'G-7 Rivers Data'!$B$4:$G$8,5,FALSE))</f>
        <v/>
      </c>
      <c r="AF24" s="175" t="str">
        <f t="shared" si="6"/>
        <v/>
      </c>
      <c r="AG24" s="175" t="str">
        <f t="shared" si="7"/>
        <v/>
      </c>
      <c r="AH24" s="176" t="str">
        <f t="shared" si="2"/>
        <v/>
      </c>
      <c r="AI24" s="173"/>
      <c r="AJ24" s="172" t="str">
        <f>IF(AI24="","",IF(VLOOKUP(AI24,'G-7 Rivers Data'!$AA$4:$AB$7,2,FALSE)=0,"Spatial Data Missing",VLOOKUP(AI24,'G-7 Rivers Data'!$AA$4:$AB$7,2,FALSE)))</f>
        <v/>
      </c>
      <c r="AK24" s="187"/>
      <c r="AL24" s="172" t="str">
        <f>IF(AK24="","",IF(VLOOKUP(AK24,'G-7 Rivers Data'!$AD$4:$AE$8,2,FALSE)=0,"Spatial Data Missing",VLOOKUP(AK24,'G-7 Rivers Data'!$AD$4:$AE$8,2,FALSE)))</f>
        <v/>
      </c>
      <c r="AM24" s="186"/>
      <c r="AN24" s="176" t="str">
        <f>IF(AM24="","",VLOOKUP(AM24,'G-7 Rivers Data'!$AO$4:$AP$7,2,FALSE))</f>
        <v/>
      </c>
      <c r="AO24" s="265" t="str">
        <f t="shared" si="8"/>
        <v/>
      </c>
      <c r="AP24" s="180"/>
      <c r="AQ24" s="181"/>
      <c r="AX24" s="35" t="str">
        <f>IFERROR(INDEX('G-7 Rivers Data'!$AZ$3:$AZ$7,MATCH(N24,'G-7 Rivers Data'!$AY$3:$AY$7,0)),"")</f>
        <v/>
      </c>
    </row>
    <row r="25" spans="2:50" ht="13.8" x14ac:dyDescent="0.25">
      <c r="B25" s="259" t="str">
        <f>'F-1 Off Site River Baseline'!AN23</f>
        <v/>
      </c>
      <c r="C25" s="175" t="str">
        <f>IF(B25="","",VLOOKUP($B25,'F-1 Off Site River Baseline'!$C$9:$R$257,2,FALSE))</f>
        <v/>
      </c>
      <c r="D25" s="175" t="str">
        <f>IF(C25="","",VLOOKUP($B25,'F-1 Off Site River Baseline'!$C$9:$R$257,3,FALSE))</f>
        <v/>
      </c>
      <c r="E25" s="175" t="str">
        <f>IF(D25="","",VLOOKUP($B25,'F-1 Off Site River Baseline'!$C$9:$R$257,4,FALSE))</f>
        <v/>
      </c>
      <c r="F25" s="175" t="str">
        <f>IF(E25="","",VLOOKUP($B25,'F-1 Off Site River Baseline'!$C$9:$R$257,5,FALSE))</f>
        <v/>
      </c>
      <c r="G25" s="175" t="str">
        <f>IF(F25="","",VLOOKUP($B25,'F-1 Off Site River Baseline'!$C$9:$R$257,6,FALSE))</f>
        <v/>
      </c>
      <c r="H25" s="175" t="str">
        <f>IF(G25="","",VLOOKUP($B25,'F-1 Off Site River Baseline'!$C$9:$R$257,7,FALSE))</f>
        <v/>
      </c>
      <c r="I25" s="175" t="str">
        <f>IF(H25="","",VLOOKUP($B25,'F-1 Off Site River Baseline'!$C$9:$R$257,8,FALSE))</f>
        <v/>
      </c>
      <c r="J25" s="175" t="str">
        <f>IF(I25="","",VLOOKUP($B25,'F-1 Off Site River Baseline'!$C$9:$R$257,9,FALSE))</f>
        <v/>
      </c>
      <c r="K25" s="175" t="str">
        <f>IF(J25="","",VLOOKUP($B25,'F-1 Off Site River Baseline'!$C$9:$R$257,10,FALSE))</f>
        <v/>
      </c>
      <c r="L25" s="175" t="str">
        <f>IF(B25="","",VLOOKUP($B25,'C-1 Site River Baseline'!$C$9:$R$257,15,FALSE))</f>
        <v/>
      </c>
      <c r="M25" s="176" t="str">
        <f>IF(L25="","",VLOOKUP($B25,'F-1 Off Site River Baseline'!$C$9:$R$257,16,FALSE))</f>
        <v/>
      </c>
      <c r="N25" s="639" t="str">
        <f t="shared" si="0"/>
        <v/>
      </c>
      <c r="O25" s="171" t="str">
        <f t="shared" si="3"/>
        <v/>
      </c>
      <c r="P25" s="172" t="str">
        <f>IF(C25="","",IF(AND(LEFT(C25,55)&lt;&gt;LEFT(N25,55),O25="High - High"),"Error - Not like for like",IF(AND(F25=S25,H25&gt;U25),"Error - Can not reduce condition",IF(AND(F25=S25,H25=U25,AJ25='F-1 Off Site River Baseline'!N23,'F-1 Off Site River Baseline'!P23=AL25),"Error - No enhancement",IF(AND(C25&lt;&gt;N25,F25&lt;S25),"Lower Distinctiveness Habitat"&amp;" - "&amp;T25,G25&amp;" - "&amp;T25)))))</f>
        <v/>
      </c>
      <c r="Q25" s="260" t="str">
        <f>IF(N25="","",VLOOKUP(B25,'F-1 Off Site River Baseline'!$C$10:$AA$257,19,FALSE))</f>
        <v/>
      </c>
      <c r="R25" s="171" t="str">
        <f>IF(N25="","",VLOOKUP(N25,'G-7 Rivers Data'!$B$2:$G$8,2,FALSE))</f>
        <v/>
      </c>
      <c r="S25" s="172" t="str">
        <f>IFERROR(VLOOKUP(R25,'G-7 Rivers Data'!$C$4:$D$8,2,FALSE),"")</f>
        <v/>
      </c>
      <c r="T25" s="173"/>
      <c r="U25" s="172" t="str">
        <f>IFERROR(INDEX('G-7 Rivers Data'!$H$4:$L$8,MATCH(N25,'G-7 Rivers Data'!$B$4:$B$8,0),MATCH(T25,'G-7 Rivers Data'!$H$3:$L$3,0)),"")</f>
        <v/>
      </c>
      <c r="V25" s="186"/>
      <c r="W25" s="175" t="str">
        <f>IF(V25="","",IF(VLOOKUP(V25,'G-7 Rivers Data'!$AG$4:$AI$9,2,FALSE)=0,"Spatial Data Missing",VLOOKUP(V25,'G-7 Rivers Data'!$AG$4:$AI$9,2,FALSE)))</f>
        <v/>
      </c>
      <c r="X25" s="176" t="str">
        <f>IF(V25="","",IF(VLOOKUP(V25,'G-7 Rivers Data'!$AG$4:$AI$9,3,FALSE)=0,"Spatial Data Missing",VLOOKUP(V25,'G-7 Rivers Data'!$AG$4:$AI$9,3,FALSE)))</f>
        <v/>
      </c>
      <c r="Y25" s="239" t="str">
        <f>IFERROR(IF(OR(LEFT(P25,5)="Error",LEFT(O25,5)="Error"),"Check Data",IF(F25&lt;S25,'G-7 Rivers Data'!$R$3,INDEX('G-7 Rivers Data'!$U$5:$Y$9,MATCH(G25,'G-7 Rivers Data'!$T$5:$T$9,0),MATCH(T25,'G-7 Rivers Data'!$U$4:$Y$4,0)))),"")</f>
        <v/>
      </c>
      <c r="Z25" s="275"/>
      <c r="AA25" s="275"/>
      <c r="AB25" s="175" t="str">
        <f t="shared" si="4"/>
        <v/>
      </c>
      <c r="AC25" s="262" t="str">
        <f t="shared" si="5"/>
        <v/>
      </c>
      <c r="AD25" s="382" t="str">
        <f>IFERROR(IF(AC25="Check Data","Check Data",VLOOKUP(AC25,'G-4 Temporal multipliers'!$A$4:$C$37,3,FALSE)),"")</f>
        <v/>
      </c>
      <c r="AE25" s="239" t="str">
        <f>IF(N25="","",VLOOKUP(N25,'G-7 Rivers Data'!$B$4:$G$8,5,FALSE))</f>
        <v/>
      </c>
      <c r="AF25" s="175" t="str">
        <f t="shared" si="6"/>
        <v/>
      </c>
      <c r="AG25" s="175" t="str">
        <f t="shared" si="7"/>
        <v/>
      </c>
      <c r="AH25" s="176" t="str">
        <f t="shared" si="2"/>
        <v/>
      </c>
      <c r="AI25" s="173"/>
      <c r="AJ25" s="172" t="str">
        <f>IF(AI25="","",IF(VLOOKUP(AI25,'G-7 Rivers Data'!$AA$4:$AB$7,2,FALSE)=0,"Spatial Data Missing",VLOOKUP(AI25,'G-7 Rivers Data'!$AA$4:$AB$7,2,FALSE)))</f>
        <v/>
      </c>
      <c r="AK25" s="187"/>
      <c r="AL25" s="172" t="str">
        <f>IF(AK25="","",IF(VLOOKUP(AK25,'G-7 Rivers Data'!$AD$4:$AE$8,2,FALSE)=0,"Spatial Data Missing",VLOOKUP(AK25,'G-7 Rivers Data'!$AD$4:$AE$8,2,FALSE)))</f>
        <v/>
      </c>
      <c r="AM25" s="186"/>
      <c r="AN25" s="176" t="str">
        <f>IF(AM25="","",VLOOKUP(AM25,'G-7 Rivers Data'!$AO$4:$AP$7,2,FALSE))</f>
        <v/>
      </c>
      <c r="AO25" s="265" t="str">
        <f t="shared" si="8"/>
        <v/>
      </c>
      <c r="AP25" s="180"/>
      <c r="AQ25" s="181"/>
      <c r="AX25" s="35" t="str">
        <f>IFERROR(INDEX('G-7 Rivers Data'!$AZ$3:$AZ$7,MATCH(N25,'G-7 Rivers Data'!$AY$3:$AY$7,0)),"")</f>
        <v/>
      </c>
    </row>
    <row r="26" spans="2:50" ht="13.8" x14ac:dyDescent="0.25">
      <c r="B26" s="259" t="str">
        <f>'F-1 Off Site River Baseline'!AN24</f>
        <v/>
      </c>
      <c r="C26" s="175" t="str">
        <f>IF(B26="","",VLOOKUP($B26,'F-1 Off Site River Baseline'!$C$9:$R$257,2,FALSE))</f>
        <v/>
      </c>
      <c r="D26" s="175" t="str">
        <f>IF(C26="","",VLOOKUP($B26,'F-1 Off Site River Baseline'!$C$9:$R$257,3,FALSE))</f>
        <v/>
      </c>
      <c r="E26" s="175" t="str">
        <f>IF(D26="","",VLOOKUP($B26,'F-1 Off Site River Baseline'!$C$9:$R$257,4,FALSE))</f>
        <v/>
      </c>
      <c r="F26" s="175" t="str">
        <f>IF(E26="","",VLOOKUP($B26,'F-1 Off Site River Baseline'!$C$9:$R$257,5,FALSE))</f>
        <v/>
      </c>
      <c r="G26" s="175" t="str">
        <f>IF(F26="","",VLOOKUP($B26,'F-1 Off Site River Baseline'!$C$9:$R$257,6,FALSE))</f>
        <v/>
      </c>
      <c r="H26" s="175" t="str">
        <f>IF(G26="","",VLOOKUP($B26,'F-1 Off Site River Baseline'!$C$9:$R$257,7,FALSE))</f>
        <v/>
      </c>
      <c r="I26" s="175" t="str">
        <f>IF(H26="","",VLOOKUP($B26,'F-1 Off Site River Baseline'!$C$9:$R$257,8,FALSE))</f>
        <v/>
      </c>
      <c r="J26" s="175" t="str">
        <f>IF(I26="","",VLOOKUP($B26,'F-1 Off Site River Baseline'!$C$9:$R$257,9,FALSE))</f>
        <v/>
      </c>
      <c r="K26" s="175" t="str">
        <f>IF(J26="","",VLOOKUP($B26,'F-1 Off Site River Baseline'!$C$9:$R$257,10,FALSE))</f>
        <v/>
      </c>
      <c r="L26" s="175" t="str">
        <f>IF(B26="","",VLOOKUP($B26,'C-1 Site River Baseline'!$C$9:$R$257,15,FALSE))</f>
        <v/>
      </c>
      <c r="M26" s="176" t="str">
        <f>IF(L26="","",VLOOKUP($B26,'F-1 Off Site River Baseline'!$C$9:$R$257,16,FALSE))</f>
        <v/>
      </c>
      <c r="N26" s="639" t="str">
        <f t="shared" si="0"/>
        <v/>
      </c>
      <c r="O26" s="171" t="str">
        <f t="shared" si="3"/>
        <v/>
      </c>
      <c r="P26" s="172" t="str">
        <f>IF(C26="","",IF(AND(LEFT(C26,55)&lt;&gt;LEFT(N26,55),O26="High - High"),"Error - Not like for like",IF(AND(F26=S26,H26&gt;U26),"Error - Can not reduce condition",IF(AND(F26=S26,H26=U26,AJ26='F-1 Off Site River Baseline'!N24,'F-1 Off Site River Baseline'!P24=AL26),"Error - No enhancement",IF(AND(C26&lt;&gt;N26,F26&lt;S26),"Lower Distinctiveness Habitat"&amp;" - "&amp;T26,G26&amp;" - "&amp;T26)))))</f>
        <v/>
      </c>
      <c r="Q26" s="260" t="str">
        <f>IF(N26="","",VLOOKUP(B26,'F-1 Off Site River Baseline'!$C$10:$AA$257,19,FALSE))</f>
        <v/>
      </c>
      <c r="R26" s="171" t="str">
        <f>IF(N26="","",VLOOKUP(N26,'G-7 Rivers Data'!$B$2:$G$8,2,FALSE))</f>
        <v/>
      </c>
      <c r="S26" s="172" t="str">
        <f>IFERROR(VLOOKUP(R26,'G-7 Rivers Data'!$C$4:$D$8,2,FALSE),"")</f>
        <v/>
      </c>
      <c r="T26" s="173"/>
      <c r="U26" s="172" t="str">
        <f>IFERROR(INDEX('G-7 Rivers Data'!$H$4:$L$8,MATCH(N26,'G-7 Rivers Data'!$B$4:$B$8,0),MATCH(T26,'G-7 Rivers Data'!$H$3:$L$3,0)),"")</f>
        <v/>
      </c>
      <c r="V26" s="186"/>
      <c r="W26" s="175" t="str">
        <f>IF(V26="","",IF(VLOOKUP(V26,'G-7 Rivers Data'!$AG$4:$AI$9,2,FALSE)=0,"Spatial Data Missing",VLOOKUP(V26,'G-7 Rivers Data'!$AG$4:$AI$9,2,FALSE)))</f>
        <v/>
      </c>
      <c r="X26" s="176" t="str">
        <f>IF(V26="","",IF(VLOOKUP(V26,'G-7 Rivers Data'!$AG$4:$AI$9,3,FALSE)=0,"Spatial Data Missing",VLOOKUP(V26,'G-7 Rivers Data'!$AG$4:$AI$9,3,FALSE)))</f>
        <v/>
      </c>
      <c r="Y26" s="239" t="str">
        <f>IFERROR(IF(OR(LEFT(P26,5)="Error",LEFT(O26,5)="Error"),"Check Data",IF(F26&lt;S26,'G-7 Rivers Data'!$R$3,INDEX('G-7 Rivers Data'!$U$5:$Y$9,MATCH(G26,'G-7 Rivers Data'!$T$5:$T$9,0),MATCH(T26,'G-7 Rivers Data'!$U$4:$Y$4,0)))),"")</f>
        <v/>
      </c>
      <c r="Z26" s="275"/>
      <c r="AA26" s="275"/>
      <c r="AB26" s="175" t="str">
        <f t="shared" si="4"/>
        <v/>
      </c>
      <c r="AC26" s="262" t="str">
        <f t="shared" si="5"/>
        <v/>
      </c>
      <c r="AD26" s="382" t="str">
        <f>IFERROR(IF(AC26="Check Data","Check Data",VLOOKUP(AC26,'G-4 Temporal multipliers'!$A$4:$C$37,3,FALSE)),"")</f>
        <v/>
      </c>
      <c r="AE26" s="239" t="str">
        <f>IF(N26="","",VLOOKUP(N26,'G-7 Rivers Data'!$B$4:$G$8,5,FALSE))</f>
        <v/>
      </c>
      <c r="AF26" s="175" t="str">
        <f t="shared" si="6"/>
        <v/>
      </c>
      <c r="AG26" s="175" t="str">
        <f t="shared" si="7"/>
        <v/>
      </c>
      <c r="AH26" s="176" t="str">
        <f t="shared" si="2"/>
        <v/>
      </c>
      <c r="AI26" s="173"/>
      <c r="AJ26" s="172" t="str">
        <f>IF(AI26="","",IF(VLOOKUP(AI26,'G-7 Rivers Data'!$AA$4:$AB$7,2,FALSE)=0,"Spatial Data Missing",VLOOKUP(AI26,'G-7 Rivers Data'!$AA$4:$AB$7,2,FALSE)))</f>
        <v/>
      </c>
      <c r="AK26" s="187"/>
      <c r="AL26" s="172" t="str">
        <f>IF(AK26="","",IF(VLOOKUP(AK26,'G-7 Rivers Data'!$AD$4:$AE$8,2,FALSE)=0,"Spatial Data Missing",VLOOKUP(AK26,'G-7 Rivers Data'!$AD$4:$AE$8,2,FALSE)))</f>
        <v/>
      </c>
      <c r="AM26" s="186"/>
      <c r="AN26" s="176" t="str">
        <f>IF(AM26="","",VLOOKUP(AM26,'G-7 Rivers Data'!$AO$4:$AP$7,2,FALSE))</f>
        <v/>
      </c>
      <c r="AO26" s="265" t="str">
        <f t="shared" si="8"/>
        <v/>
      </c>
      <c r="AP26" s="180"/>
      <c r="AQ26" s="181"/>
      <c r="AX26" s="35" t="str">
        <f>IFERROR(INDEX('G-7 Rivers Data'!$AZ$3:$AZ$7,MATCH(N26,'G-7 Rivers Data'!$AY$3:$AY$7,0)),"")</f>
        <v/>
      </c>
    </row>
    <row r="27" spans="2:50" ht="13.8" x14ac:dyDescent="0.25">
      <c r="B27" s="259" t="str">
        <f>'F-1 Off Site River Baseline'!AN25</f>
        <v/>
      </c>
      <c r="C27" s="175" t="str">
        <f>IF(B27="","",VLOOKUP($B27,'F-1 Off Site River Baseline'!$C$9:$R$257,2,FALSE))</f>
        <v/>
      </c>
      <c r="D27" s="175" t="str">
        <f>IF(C27="","",VLOOKUP($B27,'F-1 Off Site River Baseline'!$C$9:$R$257,3,FALSE))</f>
        <v/>
      </c>
      <c r="E27" s="175" t="str">
        <f>IF(D27="","",VLOOKUP($B27,'F-1 Off Site River Baseline'!$C$9:$R$257,4,FALSE))</f>
        <v/>
      </c>
      <c r="F27" s="175" t="str">
        <f>IF(E27="","",VLOOKUP($B27,'F-1 Off Site River Baseline'!$C$9:$R$257,5,FALSE))</f>
        <v/>
      </c>
      <c r="G27" s="175" t="str">
        <f>IF(F27="","",VLOOKUP($B27,'F-1 Off Site River Baseline'!$C$9:$R$257,6,FALSE))</f>
        <v/>
      </c>
      <c r="H27" s="175" t="str">
        <f>IF(G27="","",VLOOKUP($B27,'F-1 Off Site River Baseline'!$C$9:$R$257,7,FALSE))</f>
        <v/>
      </c>
      <c r="I27" s="175" t="str">
        <f>IF(H27="","",VLOOKUP($B27,'F-1 Off Site River Baseline'!$C$9:$R$257,8,FALSE))</f>
        <v/>
      </c>
      <c r="J27" s="175" t="str">
        <f>IF(I27="","",VLOOKUP($B27,'F-1 Off Site River Baseline'!$C$9:$R$257,9,FALSE))</f>
        <v/>
      </c>
      <c r="K27" s="175" t="str">
        <f>IF(J27="","",VLOOKUP($B27,'F-1 Off Site River Baseline'!$C$9:$R$257,10,FALSE))</f>
        <v/>
      </c>
      <c r="L27" s="175" t="str">
        <f>IF(B27="","",VLOOKUP($B27,'C-1 Site River Baseline'!$C$9:$R$257,15,FALSE))</f>
        <v/>
      </c>
      <c r="M27" s="176" t="str">
        <f>IF(L27="","",VLOOKUP($B27,'F-1 Off Site River Baseline'!$C$9:$R$257,16,FALSE))</f>
        <v/>
      </c>
      <c r="N27" s="639" t="str">
        <f t="shared" si="0"/>
        <v/>
      </c>
      <c r="O27" s="171" t="str">
        <f t="shared" si="3"/>
        <v/>
      </c>
      <c r="P27" s="172" t="str">
        <f>IF(C27="","",IF(AND(LEFT(C27,55)&lt;&gt;LEFT(N27,55),O27="High - High"),"Error - Not like for like",IF(AND(F27=S27,H27&gt;U27),"Error - Can not reduce condition",IF(AND(F27=S27,H27=U27,AJ27='F-1 Off Site River Baseline'!N25,'F-1 Off Site River Baseline'!P25=AL27),"Error - No enhancement",IF(AND(C27&lt;&gt;N27,F27&lt;S27),"Lower Distinctiveness Habitat"&amp;" - "&amp;T27,G27&amp;" - "&amp;T27)))))</f>
        <v/>
      </c>
      <c r="Q27" s="260" t="str">
        <f>IF(N27="","",VLOOKUP(B27,'F-1 Off Site River Baseline'!$C$10:$AA$257,19,FALSE))</f>
        <v/>
      </c>
      <c r="R27" s="171" t="str">
        <f>IF(N27="","",VLOOKUP(N27,'G-7 Rivers Data'!$B$2:$G$8,2,FALSE))</f>
        <v/>
      </c>
      <c r="S27" s="172" t="str">
        <f>IFERROR(VLOOKUP(R27,'G-7 Rivers Data'!$C$4:$D$8,2,FALSE),"")</f>
        <v/>
      </c>
      <c r="T27" s="173"/>
      <c r="U27" s="172" t="str">
        <f>IFERROR(INDEX('G-7 Rivers Data'!$H$4:$L$8,MATCH(N27,'G-7 Rivers Data'!$B$4:$B$8,0),MATCH(T27,'G-7 Rivers Data'!$H$3:$L$3,0)),"")</f>
        <v/>
      </c>
      <c r="V27" s="186"/>
      <c r="W27" s="175" t="str">
        <f>IF(V27="","",IF(VLOOKUP(V27,'G-7 Rivers Data'!$AG$4:$AI$9,2,FALSE)=0,"Spatial Data Missing",VLOOKUP(V27,'G-7 Rivers Data'!$AG$4:$AI$9,2,FALSE)))</f>
        <v/>
      </c>
      <c r="X27" s="176" t="str">
        <f>IF(V27="","",IF(VLOOKUP(V27,'G-7 Rivers Data'!$AG$4:$AI$9,3,FALSE)=0,"Spatial Data Missing",VLOOKUP(V27,'G-7 Rivers Data'!$AG$4:$AI$9,3,FALSE)))</f>
        <v/>
      </c>
      <c r="Y27" s="239" t="str">
        <f>IFERROR(IF(OR(LEFT(P27,5)="Error",LEFT(O27,5)="Error"),"Check Data",IF(F27&lt;S27,'G-7 Rivers Data'!$R$3,INDEX('G-7 Rivers Data'!$U$5:$Y$9,MATCH(G27,'G-7 Rivers Data'!$T$5:$T$9,0),MATCH(T27,'G-7 Rivers Data'!$U$4:$Y$4,0)))),"")</f>
        <v/>
      </c>
      <c r="Z27" s="275"/>
      <c r="AA27" s="275"/>
      <c r="AB27" s="175" t="str">
        <f t="shared" si="4"/>
        <v/>
      </c>
      <c r="AC27" s="262" t="str">
        <f t="shared" si="5"/>
        <v/>
      </c>
      <c r="AD27" s="382" t="str">
        <f>IFERROR(IF(AC27="Check Data","Check Data",VLOOKUP(AC27,'G-4 Temporal multipliers'!$A$4:$C$37,3,FALSE)),"")</f>
        <v/>
      </c>
      <c r="AE27" s="239" t="str">
        <f>IF(N27="","",VLOOKUP(N27,'G-7 Rivers Data'!$B$4:$G$8,5,FALSE))</f>
        <v/>
      </c>
      <c r="AF27" s="175" t="str">
        <f t="shared" si="6"/>
        <v/>
      </c>
      <c r="AG27" s="175" t="str">
        <f t="shared" si="7"/>
        <v/>
      </c>
      <c r="AH27" s="176" t="str">
        <f t="shared" si="2"/>
        <v/>
      </c>
      <c r="AI27" s="173"/>
      <c r="AJ27" s="172" t="str">
        <f>IF(AI27="","",IF(VLOOKUP(AI27,'G-7 Rivers Data'!$AA$4:$AB$7,2,FALSE)=0,"Spatial Data Missing",VLOOKUP(AI27,'G-7 Rivers Data'!$AA$4:$AB$7,2,FALSE)))</f>
        <v/>
      </c>
      <c r="AK27" s="187"/>
      <c r="AL27" s="172" t="str">
        <f>IF(AK27="","",IF(VLOOKUP(AK27,'G-7 Rivers Data'!$AD$4:$AE$8,2,FALSE)=0,"Spatial Data Missing",VLOOKUP(AK27,'G-7 Rivers Data'!$AD$4:$AE$8,2,FALSE)))</f>
        <v/>
      </c>
      <c r="AM27" s="186"/>
      <c r="AN27" s="176" t="str">
        <f>IF(AM27="","",VLOOKUP(AM27,'G-7 Rivers Data'!$AO$4:$AP$7,2,FALSE))</f>
        <v/>
      </c>
      <c r="AO27" s="265" t="str">
        <f t="shared" si="8"/>
        <v/>
      </c>
      <c r="AP27" s="180"/>
      <c r="AQ27" s="181"/>
      <c r="AX27" s="35" t="str">
        <f>IFERROR(INDEX('G-7 Rivers Data'!$AZ$3:$AZ$7,MATCH(N27,'G-7 Rivers Data'!$AY$3:$AY$7,0)),"")</f>
        <v/>
      </c>
    </row>
    <row r="28" spans="2:50" ht="13.8" x14ac:dyDescent="0.25">
      <c r="B28" s="259" t="str">
        <f>'F-1 Off Site River Baseline'!AN26</f>
        <v/>
      </c>
      <c r="C28" s="175" t="str">
        <f>IF(B28="","",VLOOKUP($B28,'F-1 Off Site River Baseline'!$C$9:$R$257,2,FALSE))</f>
        <v/>
      </c>
      <c r="D28" s="175" t="str">
        <f>IF(C28="","",VLOOKUP($B28,'F-1 Off Site River Baseline'!$C$9:$R$257,3,FALSE))</f>
        <v/>
      </c>
      <c r="E28" s="175" t="str">
        <f>IF(D28="","",VLOOKUP($B28,'F-1 Off Site River Baseline'!$C$9:$R$257,4,FALSE))</f>
        <v/>
      </c>
      <c r="F28" s="175" t="str">
        <f>IF(E28="","",VLOOKUP($B28,'F-1 Off Site River Baseline'!$C$9:$R$257,5,FALSE))</f>
        <v/>
      </c>
      <c r="G28" s="175" t="str">
        <f>IF(F28="","",VLOOKUP($B28,'F-1 Off Site River Baseline'!$C$9:$R$257,6,FALSE))</f>
        <v/>
      </c>
      <c r="H28" s="175" t="str">
        <f>IF(G28="","",VLOOKUP($B28,'F-1 Off Site River Baseline'!$C$9:$R$257,7,FALSE))</f>
        <v/>
      </c>
      <c r="I28" s="175" t="str">
        <f>IF(H28="","",VLOOKUP($B28,'F-1 Off Site River Baseline'!$C$9:$R$257,8,FALSE))</f>
        <v/>
      </c>
      <c r="J28" s="175" t="str">
        <f>IF(I28="","",VLOOKUP($B28,'F-1 Off Site River Baseline'!$C$9:$R$257,9,FALSE))</f>
        <v/>
      </c>
      <c r="K28" s="175" t="str">
        <f>IF(J28="","",VLOOKUP($B28,'F-1 Off Site River Baseline'!$C$9:$R$257,10,FALSE))</f>
        <v/>
      </c>
      <c r="L28" s="175" t="str">
        <f>IF(B28="","",VLOOKUP($B28,'C-1 Site River Baseline'!$C$9:$R$257,15,FALSE))</f>
        <v/>
      </c>
      <c r="M28" s="176" t="str">
        <f>IF(L28="","",VLOOKUP($B28,'F-1 Off Site River Baseline'!$C$9:$R$257,16,FALSE))</f>
        <v/>
      </c>
      <c r="N28" s="639" t="str">
        <f t="shared" si="0"/>
        <v/>
      </c>
      <c r="O28" s="171" t="str">
        <f t="shared" si="3"/>
        <v/>
      </c>
      <c r="P28" s="172" t="str">
        <f>IF(C28="","",IF(AND(LEFT(C28,55)&lt;&gt;LEFT(N28,55),O28="High - High"),"Error - Not like for like",IF(AND(F28=S28,H28&gt;U28),"Error - Can not reduce condition",IF(AND(F28=S28,H28=U28,AJ28='F-1 Off Site River Baseline'!N26,'F-1 Off Site River Baseline'!P26=AL28),"Error - No enhancement",IF(AND(C28&lt;&gt;N28,F28&lt;S28),"Lower Distinctiveness Habitat"&amp;" - "&amp;T28,G28&amp;" - "&amp;T28)))))</f>
        <v/>
      </c>
      <c r="Q28" s="260" t="str">
        <f>IF(N28="","",VLOOKUP(B28,'F-1 Off Site River Baseline'!$C$10:$AA$257,19,FALSE))</f>
        <v/>
      </c>
      <c r="R28" s="171" t="str">
        <f>IF(N28="","",VLOOKUP(N28,'G-7 Rivers Data'!$B$2:$G$8,2,FALSE))</f>
        <v/>
      </c>
      <c r="S28" s="172" t="str">
        <f>IFERROR(VLOOKUP(R28,'G-7 Rivers Data'!$C$4:$D$8,2,FALSE),"")</f>
        <v/>
      </c>
      <c r="T28" s="173"/>
      <c r="U28" s="172" t="str">
        <f>IFERROR(INDEX('G-7 Rivers Data'!$H$4:$L$8,MATCH(N28,'G-7 Rivers Data'!$B$4:$B$8,0),MATCH(T28,'G-7 Rivers Data'!$H$3:$L$3,0)),"")</f>
        <v/>
      </c>
      <c r="V28" s="186"/>
      <c r="W28" s="175" t="str">
        <f>IF(V28="","",IF(VLOOKUP(V28,'G-7 Rivers Data'!$AG$4:$AI$9,2,FALSE)=0,"Spatial Data Missing",VLOOKUP(V28,'G-7 Rivers Data'!$AG$4:$AI$9,2,FALSE)))</f>
        <v/>
      </c>
      <c r="X28" s="176" t="str">
        <f>IF(V28="","",IF(VLOOKUP(V28,'G-7 Rivers Data'!$AG$4:$AI$9,3,FALSE)=0,"Spatial Data Missing",VLOOKUP(V28,'G-7 Rivers Data'!$AG$4:$AI$9,3,FALSE)))</f>
        <v/>
      </c>
      <c r="Y28" s="239" t="str">
        <f>IFERROR(IF(OR(LEFT(P28,5)="Error",LEFT(O28,5)="Error"),"Check Data",IF(F28&lt;S28,'G-7 Rivers Data'!$R$3,INDEX('G-7 Rivers Data'!$U$5:$Y$9,MATCH(G28,'G-7 Rivers Data'!$T$5:$T$9,0),MATCH(T28,'G-7 Rivers Data'!$U$4:$Y$4,0)))),"")</f>
        <v/>
      </c>
      <c r="Z28" s="275"/>
      <c r="AA28" s="275"/>
      <c r="AB28" s="175" t="str">
        <f t="shared" si="4"/>
        <v/>
      </c>
      <c r="AC28" s="262" t="str">
        <f t="shared" si="5"/>
        <v/>
      </c>
      <c r="AD28" s="382" t="str">
        <f>IFERROR(IF(AC28="Check Data","Check Data",VLOOKUP(AC28,'G-4 Temporal multipliers'!$A$4:$C$37,3,FALSE)),"")</f>
        <v/>
      </c>
      <c r="AE28" s="239" t="str">
        <f>IF(N28="","",VLOOKUP(N28,'G-7 Rivers Data'!$B$4:$G$8,5,FALSE))</f>
        <v/>
      </c>
      <c r="AF28" s="175" t="str">
        <f t="shared" si="6"/>
        <v/>
      </c>
      <c r="AG28" s="175" t="str">
        <f t="shared" si="7"/>
        <v/>
      </c>
      <c r="AH28" s="176" t="str">
        <f t="shared" si="2"/>
        <v/>
      </c>
      <c r="AI28" s="173"/>
      <c r="AJ28" s="172" t="str">
        <f>IF(AI28="","",IF(VLOOKUP(AI28,'G-7 Rivers Data'!$AA$4:$AB$7,2,FALSE)=0,"Spatial Data Missing",VLOOKUP(AI28,'G-7 Rivers Data'!$AA$4:$AB$7,2,FALSE)))</f>
        <v/>
      </c>
      <c r="AK28" s="187"/>
      <c r="AL28" s="172" t="str">
        <f>IF(AK28="","",IF(VLOOKUP(AK28,'G-7 Rivers Data'!$AD$4:$AE$8,2,FALSE)=0,"Spatial Data Missing",VLOOKUP(AK28,'G-7 Rivers Data'!$AD$4:$AE$8,2,FALSE)))</f>
        <v/>
      </c>
      <c r="AM28" s="186"/>
      <c r="AN28" s="176" t="str">
        <f>IF(AM28="","",VLOOKUP(AM28,'G-7 Rivers Data'!$AO$4:$AP$7,2,FALSE))</f>
        <v/>
      </c>
      <c r="AO28" s="265" t="str">
        <f t="shared" si="8"/>
        <v/>
      </c>
      <c r="AP28" s="180"/>
      <c r="AQ28" s="181"/>
      <c r="AX28" s="35" t="str">
        <f>IFERROR(INDEX('G-7 Rivers Data'!$AZ$3:$AZ$7,MATCH(N28,'G-7 Rivers Data'!$AY$3:$AY$7,0)),"")</f>
        <v/>
      </c>
    </row>
    <row r="29" spans="2:50" ht="13.8" x14ac:dyDescent="0.25">
      <c r="B29" s="259" t="str">
        <f>'F-1 Off Site River Baseline'!AN27</f>
        <v/>
      </c>
      <c r="C29" s="175" t="str">
        <f>IF(B29="","",VLOOKUP($B29,'F-1 Off Site River Baseline'!$C$9:$R$257,2,FALSE))</f>
        <v/>
      </c>
      <c r="D29" s="175" t="str">
        <f>IF(C29="","",VLOOKUP($B29,'F-1 Off Site River Baseline'!$C$9:$R$257,3,FALSE))</f>
        <v/>
      </c>
      <c r="E29" s="175" t="str">
        <f>IF(D29="","",VLOOKUP($B29,'F-1 Off Site River Baseline'!$C$9:$R$257,4,FALSE))</f>
        <v/>
      </c>
      <c r="F29" s="175" t="str">
        <f>IF(E29="","",VLOOKUP($B29,'F-1 Off Site River Baseline'!$C$9:$R$257,5,FALSE))</f>
        <v/>
      </c>
      <c r="G29" s="175" t="str">
        <f>IF(F29="","",VLOOKUP($B29,'F-1 Off Site River Baseline'!$C$9:$R$257,6,FALSE))</f>
        <v/>
      </c>
      <c r="H29" s="175" t="str">
        <f>IF(G29="","",VLOOKUP($B29,'F-1 Off Site River Baseline'!$C$9:$R$257,7,FALSE))</f>
        <v/>
      </c>
      <c r="I29" s="175" t="str">
        <f>IF(H29="","",VLOOKUP($B29,'F-1 Off Site River Baseline'!$C$9:$R$257,8,FALSE))</f>
        <v/>
      </c>
      <c r="J29" s="175" t="str">
        <f>IF(I29="","",VLOOKUP($B29,'F-1 Off Site River Baseline'!$C$9:$R$257,9,FALSE))</f>
        <v/>
      </c>
      <c r="K29" s="175" t="str">
        <f>IF(J29="","",VLOOKUP($B29,'F-1 Off Site River Baseline'!$C$9:$R$257,10,FALSE))</f>
        <v/>
      </c>
      <c r="L29" s="175" t="str">
        <f>IF(B29="","",VLOOKUP($B29,'C-1 Site River Baseline'!$C$9:$R$257,15,FALSE))</f>
        <v/>
      </c>
      <c r="M29" s="176" t="str">
        <f>IF(L29="","",VLOOKUP($B29,'F-1 Off Site River Baseline'!$C$9:$R$257,16,FALSE))</f>
        <v/>
      </c>
      <c r="N29" s="639" t="str">
        <f t="shared" si="0"/>
        <v/>
      </c>
      <c r="O29" s="171" t="str">
        <f t="shared" si="3"/>
        <v/>
      </c>
      <c r="P29" s="172" t="str">
        <f>IF(C29="","",IF(AND(LEFT(C29,55)&lt;&gt;LEFT(N29,55),O29="High - High"),"Error - Not like for like",IF(AND(F29=S29,H29&gt;U29),"Error - Can not reduce condition",IF(AND(F29=S29,H29=U29,AJ29='F-1 Off Site River Baseline'!N27,'F-1 Off Site River Baseline'!P27=AL29),"Error - No enhancement",IF(AND(C29&lt;&gt;N29,F29&lt;S29),"Lower Distinctiveness Habitat"&amp;" - "&amp;T29,G29&amp;" - "&amp;T29)))))</f>
        <v/>
      </c>
      <c r="Q29" s="260" t="str">
        <f>IF(N29="","",VLOOKUP(B29,'F-1 Off Site River Baseline'!$C$10:$AA$257,19,FALSE))</f>
        <v/>
      </c>
      <c r="R29" s="171" t="str">
        <f>IF(N29="","",VLOOKUP(N29,'G-7 Rivers Data'!$B$2:$G$8,2,FALSE))</f>
        <v/>
      </c>
      <c r="S29" s="172" t="str">
        <f>IFERROR(VLOOKUP(R29,'G-7 Rivers Data'!$C$4:$D$8,2,FALSE),"")</f>
        <v/>
      </c>
      <c r="T29" s="173"/>
      <c r="U29" s="172" t="str">
        <f>IFERROR(INDEX('G-7 Rivers Data'!$H$4:$L$8,MATCH(N29,'G-7 Rivers Data'!$B$4:$B$8,0),MATCH(T29,'G-7 Rivers Data'!$H$3:$L$3,0)),"")</f>
        <v/>
      </c>
      <c r="V29" s="186"/>
      <c r="W29" s="175" t="str">
        <f>IF(V29="","",IF(VLOOKUP(V29,'G-7 Rivers Data'!$AG$4:$AI$9,2,FALSE)=0,"Spatial Data Missing",VLOOKUP(V29,'G-7 Rivers Data'!$AG$4:$AI$9,2,FALSE)))</f>
        <v/>
      </c>
      <c r="X29" s="176" t="str">
        <f>IF(V29="","",IF(VLOOKUP(V29,'G-7 Rivers Data'!$AG$4:$AI$9,3,FALSE)=0,"Spatial Data Missing",VLOOKUP(V29,'G-7 Rivers Data'!$AG$4:$AI$9,3,FALSE)))</f>
        <v/>
      </c>
      <c r="Y29" s="239" t="str">
        <f>IFERROR(IF(OR(LEFT(P29,5)="Error",LEFT(O29,5)="Error"),"Check Data",IF(F29&lt;S29,'G-7 Rivers Data'!$R$3,INDEX('G-7 Rivers Data'!$U$5:$Y$9,MATCH(G29,'G-7 Rivers Data'!$T$5:$T$9,0),MATCH(T29,'G-7 Rivers Data'!$U$4:$Y$4,0)))),"")</f>
        <v/>
      </c>
      <c r="Z29" s="275"/>
      <c r="AA29" s="275"/>
      <c r="AB29" s="175" t="str">
        <f t="shared" si="4"/>
        <v/>
      </c>
      <c r="AC29" s="262" t="str">
        <f t="shared" si="5"/>
        <v/>
      </c>
      <c r="AD29" s="382" t="str">
        <f>IFERROR(IF(AC29="Check Data","Check Data",VLOOKUP(AC29,'G-4 Temporal multipliers'!$A$4:$C$37,3,FALSE)),"")</f>
        <v/>
      </c>
      <c r="AE29" s="239" t="str">
        <f>IF(N29="","",VLOOKUP(N29,'G-7 Rivers Data'!$B$4:$G$8,5,FALSE))</f>
        <v/>
      </c>
      <c r="AF29" s="175" t="str">
        <f t="shared" si="6"/>
        <v/>
      </c>
      <c r="AG29" s="175" t="str">
        <f t="shared" si="7"/>
        <v/>
      </c>
      <c r="AH29" s="176" t="str">
        <f t="shared" si="2"/>
        <v/>
      </c>
      <c r="AI29" s="173"/>
      <c r="AJ29" s="172" t="str">
        <f>IF(AI29="","",IF(VLOOKUP(AI29,'G-7 Rivers Data'!$AA$4:$AB$7,2,FALSE)=0,"Spatial Data Missing",VLOOKUP(AI29,'G-7 Rivers Data'!$AA$4:$AB$7,2,FALSE)))</f>
        <v/>
      </c>
      <c r="AK29" s="187"/>
      <c r="AL29" s="172" t="str">
        <f>IF(AK29="","",IF(VLOOKUP(AK29,'G-7 Rivers Data'!$AD$4:$AE$8,2,FALSE)=0,"Spatial Data Missing",VLOOKUP(AK29,'G-7 Rivers Data'!$AD$4:$AE$8,2,FALSE)))</f>
        <v/>
      </c>
      <c r="AM29" s="186"/>
      <c r="AN29" s="176" t="str">
        <f>IF(AM29="","",VLOOKUP(AM29,'G-7 Rivers Data'!$AO$4:$AP$7,2,FALSE))</f>
        <v/>
      </c>
      <c r="AO29" s="265" t="str">
        <f t="shared" si="8"/>
        <v/>
      </c>
      <c r="AP29" s="180"/>
      <c r="AQ29" s="181"/>
      <c r="AX29" s="35" t="str">
        <f>IFERROR(INDEX('G-7 Rivers Data'!$AZ$3:$AZ$7,MATCH(N29,'G-7 Rivers Data'!$AY$3:$AY$7,0)),"")</f>
        <v/>
      </c>
    </row>
    <row r="30" spans="2:50" ht="13.8" x14ac:dyDescent="0.25">
      <c r="B30" s="259" t="str">
        <f>'F-1 Off Site River Baseline'!AN28</f>
        <v/>
      </c>
      <c r="C30" s="175" t="str">
        <f>IF(B30="","",VLOOKUP($B30,'F-1 Off Site River Baseline'!$C$9:$R$257,2,FALSE))</f>
        <v/>
      </c>
      <c r="D30" s="175" t="str">
        <f>IF(C30="","",VLOOKUP($B30,'F-1 Off Site River Baseline'!$C$9:$R$257,3,FALSE))</f>
        <v/>
      </c>
      <c r="E30" s="175" t="str">
        <f>IF(D30="","",VLOOKUP($B30,'F-1 Off Site River Baseline'!$C$9:$R$257,4,FALSE))</f>
        <v/>
      </c>
      <c r="F30" s="175" t="str">
        <f>IF(E30="","",VLOOKUP($B30,'F-1 Off Site River Baseline'!$C$9:$R$257,5,FALSE))</f>
        <v/>
      </c>
      <c r="G30" s="175" t="str">
        <f>IF(F30="","",VLOOKUP($B30,'F-1 Off Site River Baseline'!$C$9:$R$257,6,FALSE))</f>
        <v/>
      </c>
      <c r="H30" s="175" t="str">
        <f>IF(G30="","",VLOOKUP($B30,'F-1 Off Site River Baseline'!$C$9:$R$257,7,FALSE))</f>
        <v/>
      </c>
      <c r="I30" s="175" t="str">
        <f>IF(H30="","",VLOOKUP($B30,'F-1 Off Site River Baseline'!$C$9:$R$257,8,FALSE))</f>
        <v/>
      </c>
      <c r="J30" s="175" t="str">
        <f>IF(I30="","",VLOOKUP($B30,'F-1 Off Site River Baseline'!$C$9:$R$257,9,FALSE))</f>
        <v/>
      </c>
      <c r="K30" s="175" t="str">
        <f>IF(J30="","",VLOOKUP($B30,'F-1 Off Site River Baseline'!$C$9:$R$257,10,FALSE))</f>
        <v/>
      </c>
      <c r="L30" s="175" t="str">
        <f>IF(B30="","",VLOOKUP($B30,'C-1 Site River Baseline'!$C$9:$R$257,15,FALSE))</f>
        <v/>
      </c>
      <c r="M30" s="176" t="str">
        <f>IF(L30="","",VLOOKUP($B30,'F-1 Off Site River Baseline'!$C$9:$R$257,16,FALSE))</f>
        <v/>
      </c>
      <c r="N30" s="639" t="str">
        <f t="shared" si="0"/>
        <v/>
      </c>
      <c r="O30" s="171" t="str">
        <f t="shared" si="3"/>
        <v/>
      </c>
      <c r="P30" s="172" t="str">
        <f>IF(C30="","",IF(AND(LEFT(C30,55)&lt;&gt;LEFT(N30,55),O30="High - High"),"Error - Not like for like",IF(AND(F30=S30,H30&gt;U30),"Error - Can not reduce condition",IF(AND(F30=S30,H30=U30,AJ30='F-1 Off Site River Baseline'!N28,'F-1 Off Site River Baseline'!P28=AL30),"Error - No enhancement",IF(AND(C30&lt;&gt;N30,F30&lt;S30),"Lower Distinctiveness Habitat"&amp;" - "&amp;T30,G30&amp;" - "&amp;T30)))))</f>
        <v/>
      </c>
      <c r="Q30" s="260" t="str">
        <f>IF(N30="","",VLOOKUP(B30,'F-1 Off Site River Baseline'!$C$10:$AA$257,19,FALSE))</f>
        <v/>
      </c>
      <c r="R30" s="171" t="str">
        <f>IF(N30="","",VLOOKUP(N30,'G-7 Rivers Data'!$B$2:$G$8,2,FALSE))</f>
        <v/>
      </c>
      <c r="S30" s="172" t="str">
        <f>IFERROR(VLOOKUP(R30,'G-7 Rivers Data'!$C$4:$D$8,2,FALSE),"")</f>
        <v/>
      </c>
      <c r="T30" s="173"/>
      <c r="U30" s="172" t="str">
        <f>IFERROR(INDEX('G-7 Rivers Data'!$H$4:$L$8,MATCH(N30,'G-7 Rivers Data'!$B$4:$B$8,0),MATCH(T30,'G-7 Rivers Data'!$H$3:$L$3,0)),"")</f>
        <v/>
      </c>
      <c r="V30" s="186"/>
      <c r="W30" s="175" t="str">
        <f>IF(V30="","",IF(VLOOKUP(V30,'G-7 Rivers Data'!$AG$4:$AI$9,2,FALSE)=0,"Spatial Data Missing",VLOOKUP(V30,'G-7 Rivers Data'!$AG$4:$AI$9,2,FALSE)))</f>
        <v/>
      </c>
      <c r="X30" s="176" t="str">
        <f>IF(V30="","",IF(VLOOKUP(V30,'G-7 Rivers Data'!$AG$4:$AI$9,3,FALSE)=0,"Spatial Data Missing",VLOOKUP(V30,'G-7 Rivers Data'!$AG$4:$AI$9,3,FALSE)))</f>
        <v/>
      </c>
      <c r="Y30" s="239" t="str">
        <f>IFERROR(IF(OR(LEFT(P30,5)="Error",LEFT(O30,5)="Error"),"Check Data",IF(F30&lt;S30,'G-7 Rivers Data'!$R$3,INDEX('G-7 Rivers Data'!$U$5:$Y$9,MATCH(G30,'G-7 Rivers Data'!$T$5:$T$9,0),MATCH(T30,'G-7 Rivers Data'!$U$4:$Y$4,0)))),"")</f>
        <v/>
      </c>
      <c r="Z30" s="275"/>
      <c r="AA30" s="275"/>
      <c r="AB30" s="175" t="str">
        <f t="shared" si="4"/>
        <v/>
      </c>
      <c r="AC30" s="262" t="str">
        <f t="shared" si="5"/>
        <v/>
      </c>
      <c r="AD30" s="382" t="str">
        <f>IFERROR(IF(AC30="Check Data","Check Data",VLOOKUP(AC30,'G-4 Temporal multipliers'!$A$4:$C$37,3,FALSE)),"")</f>
        <v/>
      </c>
      <c r="AE30" s="239" t="str">
        <f>IF(N30="","",VLOOKUP(N30,'G-7 Rivers Data'!$B$4:$G$8,5,FALSE))</f>
        <v/>
      </c>
      <c r="AF30" s="175" t="str">
        <f t="shared" si="6"/>
        <v/>
      </c>
      <c r="AG30" s="175" t="str">
        <f t="shared" si="7"/>
        <v/>
      </c>
      <c r="AH30" s="176" t="str">
        <f t="shared" si="2"/>
        <v/>
      </c>
      <c r="AI30" s="173"/>
      <c r="AJ30" s="172" t="str">
        <f>IF(AI30="","",IF(VLOOKUP(AI30,'G-7 Rivers Data'!$AA$4:$AB$7,2,FALSE)=0,"Spatial Data Missing",VLOOKUP(AI30,'G-7 Rivers Data'!$AA$4:$AB$7,2,FALSE)))</f>
        <v/>
      </c>
      <c r="AK30" s="187"/>
      <c r="AL30" s="172" t="str">
        <f>IF(AK30="","",IF(VLOOKUP(AK30,'G-7 Rivers Data'!$AD$4:$AE$8,2,FALSE)=0,"Spatial Data Missing",VLOOKUP(AK30,'G-7 Rivers Data'!$AD$4:$AE$8,2,FALSE)))</f>
        <v/>
      </c>
      <c r="AM30" s="186"/>
      <c r="AN30" s="176" t="str">
        <f>IF(AM30="","",VLOOKUP(AM30,'G-7 Rivers Data'!$AO$4:$AP$7,2,FALSE))</f>
        <v/>
      </c>
      <c r="AO30" s="265" t="str">
        <f t="shared" si="8"/>
        <v/>
      </c>
      <c r="AP30" s="180"/>
      <c r="AQ30" s="181"/>
      <c r="AX30" s="35" t="str">
        <f>IFERROR(INDEX('G-7 Rivers Data'!$AZ$3:$AZ$7,MATCH(N30,'G-7 Rivers Data'!$AY$3:$AY$7,0)),"")</f>
        <v/>
      </c>
    </row>
    <row r="31" spans="2:50" ht="13.8" x14ac:dyDescent="0.25">
      <c r="B31" s="259" t="str">
        <f>'F-1 Off Site River Baseline'!AN29</f>
        <v/>
      </c>
      <c r="C31" s="175" t="str">
        <f>IF(B31="","",VLOOKUP($B31,'F-1 Off Site River Baseline'!$C$9:$R$257,2,FALSE))</f>
        <v/>
      </c>
      <c r="D31" s="175" t="str">
        <f>IF(C31="","",VLOOKUP($B31,'F-1 Off Site River Baseline'!$C$9:$R$257,3,FALSE))</f>
        <v/>
      </c>
      <c r="E31" s="175" t="str">
        <f>IF(D31="","",VLOOKUP($B31,'F-1 Off Site River Baseline'!$C$9:$R$257,4,FALSE))</f>
        <v/>
      </c>
      <c r="F31" s="175" t="str">
        <f>IF(E31="","",VLOOKUP($B31,'F-1 Off Site River Baseline'!$C$9:$R$257,5,FALSE))</f>
        <v/>
      </c>
      <c r="G31" s="175" t="str">
        <f>IF(F31="","",VLOOKUP($B31,'F-1 Off Site River Baseline'!$C$9:$R$257,6,FALSE))</f>
        <v/>
      </c>
      <c r="H31" s="175" t="str">
        <f>IF(G31="","",VLOOKUP($B31,'F-1 Off Site River Baseline'!$C$9:$R$257,7,FALSE))</f>
        <v/>
      </c>
      <c r="I31" s="175" t="str">
        <f>IF(H31="","",VLOOKUP($B31,'F-1 Off Site River Baseline'!$C$9:$R$257,8,FALSE))</f>
        <v/>
      </c>
      <c r="J31" s="175" t="str">
        <f>IF(I31="","",VLOOKUP($B31,'F-1 Off Site River Baseline'!$C$9:$R$257,9,FALSE))</f>
        <v/>
      </c>
      <c r="K31" s="175" t="str">
        <f>IF(J31="","",VLOOKUP($B31,'F-1 Off Site River Baseline'!$C$9:$R$257,10,FALSE))</f>
        <v/>
      </c>
      <c r="L31" s="175" t="str">
        <f>IF(B31="","",VLOOKUP($B31,'C-1 Site River Baseline'!$C$9:$R$257,15,FALSE))</f>
        <v/>
      </c>
      <c r="M31" s="176" t="str">
        <f>IF(L31="","",VLOOKUP($B31,'F-1 Off Site River Baseline'!$C$9:$R$257,16,FALSE))</f>
        <v/>
      </c>
      <c r="N31" s="639" t="str">
        <f t="shared" si="0"/>
        <v/>
      </c>
      <c r="O31" s="171" t="str">
        <f t="shared" si="3"/>
        <v/>
      </c>
      <c r="P31" s="172" t="str">
        <f>IF(C31="","",IF(AND(LEFT(C31,55)&lt;&gt;LEFT(N31,55),O31="High - High"),"Error - Not like for like",IF(AND(F31=S31,H31&gt;U31),"Error - Can not reduce condition",IF(AND(F31=S31,H31=U31,AJ31='F-1 Off Site River Baseline'!N29,'F-1 Off Site River Baseline'!P29=AL31),"Error - No enhancement",IF(AND(C31&lt;&gt;N31,F31&lt;S31),"Lower Distinctiveness Habitat"&amp;" - "&amp;T31,G31&amp;" - "&amp;T31)))))</f>
        <v/>
      </c>
      <c r="Q31" s="260" t="str">
        <f>IF(N31="","",VLOOKUP(B31,'F-1 Off Site River Baseline'!$C$10:$AA$257,19,FALSE))</f>
        <v/>
      </c>
      <c r="R31" s="171" t="str">
        <f>IF(N31="","",VLOOKUP(N31,'G-7 Rivers Data'!$B$2:$G$8,2,FALSE))</f>
        <v/>
      </c>
      <c r="S31" s="172" t="str">
        <f>IFERROR(VLOOKUP(R31,'G-7 Rivers Data'!$C$4:$D$8,2,FALSE),"")</f>
        <v/>
      </c>
      <c r="T31" s="173"/>
      <c r="U31" s="172" t="str">
        <f>IFERROR(INDEX('G-7 Rivers Data'!$H$4:$L$8,MATCH(N31,'G-7 Rivers Data'!$B$4:$B$8,0),MATCH(T31,'G-7 Rivers Data'!$H$3:$L$3,0)),"")</f>
        <v/>
      </c>
      <c r="V31" s="186"/>
      <c r="W31" s="175" t="str">
        <f>IF(V31="","",IF(VLOOKUP(V31,'G-7 Rivers Data'!$AG$4:$AI$9,2,FALSE)=0,"Spatial Data Missing",VLOOKUP(V31,'G-7 Rivers Data'!$AG$4:$AI$9,2,FALSE)))</f>
        <v/>
      </c>
      <c r="X31" s="176" t="str">
        <f>IF(V31="","",IF(VLOOKUP(V31,'G-7 Rivers Data'!$AG$4:$AI$9,3,FALSE)=0,"Spatial Data Missing",VLOOKUP(V31,'G-7 Rivers Data'!$AG$4:$AI$9,3,FALSE)))</f>
        <v/>
      </c>
      <c r="Y31" s="239" t="str">
        <f>IFERROR(IF(OR(LEFT(P31,5)="Error",LEFT(O31,5)="Error"),"Check Data",IF(F31&lt;S31,'G-7 Rivers Data'!$R$3,INDEX('G-7 Rivers Data'!$U$5:$Y$9,MATCH(G31,'G-7 Rivers Data'!$T$5:$T$9,0),MATCH(T31,'G-7 Rivers Data'!$U$4:$Y$4,0)))),"")</f>
        <v/>
      </c>
      <c r="Z31" s="275"/>
      <c r="AA31" s="275"/>
      <c r="AB31" s="175" t="str">
        <f t="shared" si="4"/>
        <v/>
      </c>
      <c r="AC31" s="262" t="str">
        <f t="shared" si="5"/>
        <v/>
      </c>
      <c r="AD31" s="382" t="str">
        <f>IFERROR(IF(AC31="Check Data","Check Data",VLOOKUP(AC31,'G-4 Temporal multipliers'!$A$4:$C$37,3,FALSE)),"")</f>
        <v/>
      </c>
      <c r="AE31" s="239" t="str">
        <f>IF(N31="","",VLOOKUP(N31,'G-7 Rivers Data'!$B$4:$G$8,5,FALSE))</f>
        <v/>
      </c>
      <c r="AF31" s="175" t="str">
        <f t="shared" si="6"/>
        <v/>
      </c>
      <c r="AG31" s="175" t="str">
        <f t="shared" si="7"/>
        <v/>
      </c>
      <c r="AH31" s="176" t="str">
        <f t="shared" si="2"/>
        <v/>
      </c>
      <c r="AI31" s="173"/>
      <c r="AJ31" s="172" t="str">
        <f>IF(AI31="","",IF(VLOOKUP(AI31,'G-7 Rivers Data'!$AA$4:$AB$7,2,FALSE)=0,"Spatial Data Missing",VLOOKUP(AI31,'G-7 Rivers Data'!$AA$4:$AB$7,2,FALSE)))</f>
        <v/>
      </c>
      <c r="AK31" s="187"/>
      <c r="AL31" s="172" t="str">
        <f>IF(AK31="","",IF(VLOOKUP(AK31,'G-7 Rivers Data'!$AD$4:$AE$8,2,FALSE)=0,"Spatial Data Missing",VLOOKUP(AK31,'G-7 Rivers Data'!$AD$4:$AE$8,2,FALSE)))</f>
        <v/>
      </c>
      <c r="AM31" s="186"/>
      <c r="AN31" s="176" t="str">
        <f>IF(AM31="","",VLOOKUP(AM31,'G-7 Rivers Data'!$AO$4:$AP$7,2,FALSE))</f>
        <v/>
      </c>
      <c r="AO31" s="265" t="str">
        <f t="shared" si="8"/>
        <v/>
      </c>
      <c r="AP31" s="180"/>
      <c r="AQ31" s="181"/>
      <c r="AX31" s="35" t="str">
        <f>IFERROR(INDEX('G-7 Rivers Data'!$AZ$3:$AZ$7,MATCH(N31,'G-7 Rivers Data'!$AY$3:$AY$7,0)),"")</f>
        <v/>
      </c>
    </row>
    <row r="32" spans="2:50" ht="13.8" x14ac:dyDescent="0.25">
      <c r="B32" s="259" t="str">
        <f>'F-1 Off Site River Baseline'!AN30</f>
        <v/>
      </c>
      <c r="C32" s="175" t="str">
        <f>IF(B32="","",VLOOKUP($B32,'F-1 Off Site River Baseline'!$C$9:$R$257,2,FALSE))</f>
        <v/>
      </c>
      <c r="D32" s="175" t="str">
        <f>IF(C32="","",VLOOKUP($B32,'F-1 Off Site River Baseline'!$C$9:$R$257,3,FALSE))</f>
        <v/>
      </c>
      <c r="E32" s="175" t="str">
        <f>IF(D32="","",VLOOKUP($B32,'F-1 Off Site River Baseline'!$C$9:$R$257,4,FALSE))</f>
        <v/>
      </c>
      <c r="F32" s="175" t="str">
        <f>IF(E32="","",VLOOKUP($B32,'F-1 Off Site River Baseline'!$C$9:$R$257,5,FALSE))</f>
        <v/>
      </c>
      <c r="G32" s="175" t="str">
        <f>IF(F32="","",VLOOKUP($B32,'F-1 Off Site River Baseline'!$C$9:$R$257,6,FALSE))</f>
        <v/>
      </c>
      <c r="H32" s="175" t="str">
        <f>IF(G32="","",VLOOKUP($B32,'F-1 Off Site River Baseline'!$C$9:$R$257,7,FALSE))</f>
        <v/>
      </c>
      <c r="I32" s="175" t="str">
        <f>IF(H32="","",VLOOKUP($B32,'F-1 Off Site River Baseline'!$C$9:$R$257,8,FALSE))</f>
        <v/>
      </c>
      <c r="J32" s="175" t="str">
        <f>IF(I32="","",VLOOKUP($B32,'F-1 Off Site River Baseline'!$C$9:$R$257,9,FALSE))</f>
        <v/>
      </c>
      <c r="K32" s="175" t="str">
        <f>IF(J32="","",VLOOKUP($B32,'F-1 Off Site River Baseline'!$C$9:$R$257,10,FALSE))</f>
        <v/>
      </c>
      <c r="L32" s="175" t="str">
        <f>IF(B32="","",VLOOKUP($B32,'C-1 Site River Baseline'!$C$9:$R$257,15,FALSE))</f>
        <v/>
      </c>
      <c r="M32" s="176" t="str">
        <f>IF(L32="","",VLOOKUP($B32,'F-1 Off Site River Baseline'!$C$9:$R$257,16,FALSE))</f>
        <v/>
      </c>
      <c r="N32" s="639" t="str">
        <f t="shared" si="0"/>
        <v/>
      </c>
      <c r="O32" s="171" t="str">
        <f t="shared" si="3"/>
        <v/>
      </c>
      <c r="P32" s="172" t="str">
        <f>IF(C32="","",IF(AND(LEFT(C32,55)&lt;&gt;LEFT(N32,55),O32="High - High"),"Error - Not like for like",IF(AND(F32=S32,H32&gt;U32),"Error - Can not reduce condition",IF(AND(F32=S32,H32=U32,AJ32='F-1 Off Site River Baseline'!N30,'F-1 Off Site River Baseline'!P30=AL32),"Error - No enhancement",IF(AND(C32&lt;&gt;N32,F32&lt;S32),"Lower Distinctiveness Habitat"&amp;" - "&amp;T32,G32&amp;" - "&amp;T32)))))</f>
        <v/>
      </c>
      <c r="Q32" s="260" t="str">
        <f>IF(N32="","",VLOOKUP(B32,'F-1 Off Site River Baseline'!$C$10:$AA$257,19,FALSE))</f>
        <v/>
      </c>
      <c r="R32" s="171" t="str">
        <f>IF(N32="","",VLOOKUP(N32,'G-7 Rivers Data'!$B$2:$G$8,2,FALSE))</f>
        <v/>
      </c>
      <c r="S32" s="172" t="str">
        <f>IFERROR(VLOOKUP(R32,'G-7 Rivers Data'!$C$4:$D$8,2,FALSE),"")</f>
        <v/>
      </c>
      <c r="T32" s="173"/>
      <c r="U32" s="172" t="str">
        <f>IFERROR(INDEX('G-7 Rivers Data'!$H$4:$L$8,MATCH(N32,'G-7 Rivers Data'!$B$4:$B$8,0),MATCH(T32,'G-7 Rivers Data'!$H$3:$L$3,0)),"")</f>
        <v/>
      </c>
      <c r="V32" s="186"/>
      <c r="W32" s="175" t="str">
        <f>IF(V32="","",IF(VLOOKUP(V32,'G-7 Rivers Data'!$AG$4:$AI$9,2,FALSE)=0,"Spatial Data Missing",VLOOKUP(V32,'G-7 Rivers Data'!$AG$4:$AI$9,2,FALSE)))</f>
        <v/>
      </c>
      <c r="X32" s="176" t="str">
        <f>IF(V32="","",IF(VLOOKUP(V32,'G-7 Rivers Data'!$AG$4:$AI$9,3,FALSE)=0,"Spatial Data Missing",VLOOKUP(V32,'G-7 Rivers Data'!$AG$4:$AI$9,3,FALSE)))</f>
        <v/>
      </c>
      <c r="Y32" s="239" t="str">
        <f>IFERROR(IF(OR(LEFT(P32,5)="Error",LEFT(O32,5)="Error"),"Check Data",IF(F32&lt;S32,'G-7 Rivers Data'!$R$3,INDEX('G-7 Rivers Data'!$U$5:$Y$9,MATCH(G32,'G-7 Rivers Data'!$T$5:$T$9,0),MATCH(T32,'G-7 Rivers Data'!$U$4:$Y$4,0)))),"")</f>
        <v/>
      </c>
      <c r="Z32" s="275"/>
      <c r="AA32" s="275"/>
      <c r="AB32" s="175" t="str">
        <f t="shared" si="4"/>
        <v/>
      </c>
      <c r="AC32" s="262" t="str">
        <f t="shared" si="5"/>
        <v/>
      </c>
      <c r="AD32" s="382" t="str">
        <f>IFERROR(IF(AC32="Check Data","Check Data",VLOOKUP(AC32,'G-4 Temporal multipliers'!$A$4:$C$37,3,FALSE)),"")</f>
        <v/>
      </c>
      <c r="AE32" s="239" t="str">
        <f>IF(N32="","",VLOOKUP(N32,'G-7 Rivers Data'!$B$4:$G$8,5,FALSE))</f>
        <v/>
      </c>
      <c r="AF32" s="175" t="str">
        <f t="shared" si="6"/>
        <v/>
      </c>
      <c r="AG32" s="175" t="str">
        <f t="shared" si="7"/>
        <v/>
      </c>
      <c r="AH32" s="176" t="str">
        <f t="shared" si="2"/>
        <v/>
      </c>
      <c r="AI32" s="173"/>
      <c r="AJ32" s="172" t="str">
        <f>IF(AI32="","",IF(VLOOKUP(AI32,'G-7 Rivers Data'!$AA$4:$AB$7,2,FALSE)=0,"Spatial Data Missing",VLOOKUP(AI32,'G-7 Rivers Data'!$AA$4:$AB$7,2,FALSE)))</f>
        <v/>
      </c>
      <c r="AK32" s="187"/>
      <c r="AL32" s="172" t="str">
        <f>IF(AK32="","",IF(VLOOKUP(AK32,'G-7 Rivers Data'!$AD$4:$AE$8,2,FALSE)=0,"Spatial Data Missing",VLOOKUP(AK32,'G-7 Rivers Data'!$AD$4:$AE$8,2,FALSE)))</f>
        <v/>
      </c>
      <c r="AM32" s="186"/>
      <c r="AN32" s="176" t="str">
        <f>IF(AM32="","",VLOOKUP(AM32,'G-7 Rivers Data'!$AO$4:$AP$7,2,FALSE))</f>
        <v/>
      </c>
      <c r="AO32" s="265" t="str">
        <f t="shared" si="8"/>
        <v/>
      </c>
      <c r="AP32" s="180"/>
      <c r="AQ32" s="181"/>
      <c r="AX32" s="35" t="str">
        <f>IFERROR(INDEX('G-7 Rivers Data'!$AZ$3:$AZ$7,MATCH(N32,'G-7 Rivers Data'!$AY$3:$AY$7,0)),"")</f>
        <v/>
      </c>
    </row>
    <row r="33" spans="2:50" ht="13.8" x14ac:dyDescent="0.25">
      <c r="B33" s="259" t="str">
        <f>'F-1 Off Site River Baseline'!AN31</f>
        <v/>
      </c>
      <c r="C33" s="175" t="str">
        <f>IF(B33="","",VLOOKUP($B33,'F-1 Off Site River Baseline'!$C$9:$R$257,2,FALSE))</f>
        <v/>
      </c>
      <c r="D33" s="175" t="str">
        <f>IF(C33="","",VLOOKUP($B33,'F-1 Off Site River Baseline'!$C$9:$R$257,3,FALSE))</f>
        <v/>
      </c>
      <c r="E33" s="175" t="str">
        <f>IF(D33="","",VLOOKUP($B33,'F-1 Off Site River Baseline'!$C$9:$R$257,4,FALSE))</f>
        <v/>
      </c>
      <c r="F33" s="175" t="str">
        <f>IF(E33="","",VLOOKUP($B33,'F-1 Off Site River Baseline'!$C$9:$R$257,5,FALSE))</f>
        <v/>
      </c>
      <c r="G33" s="175" t="str">
        <f>IF(F33="","",VLOOKUP($B33,'F-1 Off Site River Baseline'!$C$9:$R$257,6,FALSE))</f>
        <v/>
      </c>
      <c r="H33" s="175" t="str">
        <f>IF(G33="","",VLOOKUP($B33,'F-1 Off Site River Baseline'!$C$9:$R$257,7,FALSE))</f>
        <v/>
      </c>
      <c r="I33" s="175" t="str">
        <f>IF(H33="","",VLOOKUP($B33,'F-1 Off Site River Baseline'!$C$9:$R$257,8,FALSE))</f>
        <v/>
      </c>
      <c r="J33" s="175" t="str">
        <f>IF(I33="","",VLOOKUP($B33,'F-1 Off Site River Baseline'!$C$9:$R$257,9,FALSE))</f>
        <v/>
      </c>
      <c r="K33" s="175" t="str">
        <f>IF(J33="","",VLOOKUP($B33,'F-1 Off Site River Baseline'!$C$9:$R$257,10,FALSE))</f>
        <v/>
      </c>
      <c r="L33" s="175" t="str">
        <f>IF(B33="","",VLOOKUP($B33,'C-1 Site River Baseline'!$C$9:$R$257,15,FALSE))</f>
        <v/>
      </c>
      <c r="M33" s="176" t="str">
        <f>IF(L33="","",VLOOKUP($B33,'F-1 Off Site River Baseline'!$C$9:$R$257,16,FALSE))</f>
        <v/>
      </c>
      <c r="N33" s="639" t="str">
        <f t="shared" si="0"/>
        <v/>
      </c>
      <c r="O33" s="171" t="str">
        <f t="shared" si="3"/>
        <v/>
      </c>
      <c r="P33" s="172" t="str">
        <f>IF(C33="","",IF(AND(LEFT(C33,55)&lt;&gt;LEFT(N33,55),O33="High - High"),"Error - Not like for like",IF(AND(F33=S33,H33&gt;U33),"Error - Can not reduce condition",IF(AND(F33=S33,H33=U33,AJ33='F-1 Off Site River Baseline'!N31,'F-1 Off Site River Baseline'!P31=AL33),"Error - No enhancement",IF(AND(C33&lt;&gt;N33,F33&lt;S33),"Lower Distinctiveness Habitat"&amp;" - "&amp;T33,G33&amp;" - "&amp;T33)))))</f>
        <v/>
      </c>
      <c r="Q33" s="260" t="str">
        <f>IF(N33="","",VLOOKUP(B33,'F-1 Off Site River Baseline'!$C$10:$AA$257,19,FALSE))</f>
        <v/>
      </c>
      <c r="R33" s="171" t="str">
        <f>IF(N33="","",VLOOKUP(N33,'G-7 Rivers Data'!$B$2:$G$8,2,FALSE))</f>
        <v/>
      </c>
      <c r="S33" s="172" t="str">
        <f>IFERROR(VLOOKUP(R33,'G-7 Rivers Data'!$C$4:$D$8,2,FALSE),"")</f>
        <v/>
      </c>
      <c r="T33" s="173"/>
      <c r="U33" s="172" t="str">
        <f>IFERROR(INDEX('G-7 Rivers Data'!$H$4:$L$8,MATCH(N33,'G-7 Rivers Data'!$B$4:$B$8,0),MATCH(T33,'G-7 Rivers Data'!$H$3:$L$3,0)),"")</f>
        <v/>
      </c>
      <c r="V33" s="186"/>
      <c r="W33" s="175" t="str">
        <f>IF(V33="","",IF(VLOOKUP(V33,'G-7 Rivers Data'!$AG$4:$AI$9,2,FALSE)=0,"Spatial Data Missing",VLOOKUP(V33,'G-7 Rivers Data'!$AG$4:$AI$9,2,FALSE)))</f>
        <v/>
      </c>
      <c r="X33" s="176" t="str">
        <f>IF(V33="","",IF(VLOOKUP(V33,'G-7 Rivers Data'!$AG$4:$AI$9,3,FALSE)=0,"Spatial Data Missing",VLOOKUP(V33,'G-7 Rivers Data'!$AG$4:$AI$9,3,FALSE)))</f>
        <v/>
      </c>
      <c r="Y33" s="239" t="str">
        <f>IFERROR(IF(OR(LEFT(P33,5)="Error",LEFT(O33,5)="Error"),"Check Data",IF(F33&lt;S33,'G-7 Rivers Data'!$R$3,INDEX('G-7 Rivers Data'!$U$5:$Y$9,MATCH(G33,'G-7 Rivers Data'!$T$5:$T$9,0),MATCH(T33,'G-7 Rivers Data'!$U$4:$Y$4,0)))),"")</f>
        <v/>
      </c>
      <c r="Z33" s="275"/>
      <c r="AA33" s="275"/>
      <c r="AB33" s="175" t="str">
        <f t="shared" si="4"/>
        <v/>
      </c>
      <c r="AC33" s="262" t="str">
        <f t="shared" si="5"/>
        <v/>
      </c>
      <c r="AD33" s="382" t="str">
        <f>IFERROR(IF(AC33="Check Data","Check Data",VLOOKUP(AC33,'G-4 Temporal multipliers'!$A$4:$C$37,3,FALSE)),"")</f>
        <v/>
      </c>
      <c r="AE33" s="239" t="str">
        <f>IF(N33="","",VLOOKUP(N33,'G-7 Rivers Data'!$B$4:$G$8,5,FALSE))</f>
        <v/>
      </c>
      <c r="AF33" s="175" t="str">
        <f t="shared" si="6"/>
        <v/>
      </c>
      <c r="AG33" s="175" t="str">
        <f t="shared" si="7"/>
        <v/>
      </c>
      <c r="AH33" s="176" t="str">
        <f t="shared" si="2"/>
        <v/>
      </c>
      <c r="AI33" s="173"/>
      <c r="AJ33" s="172" t="str">
        <f>IF(AI33="","",IF(VLOOKUP(AI33,'G-7 Rivers Data'!$AA$4:$AB$7,2,FALSE)=0,"Spatial Data Missing",VLOOKUP(AI33,'G-7 Rivers Data'!$AA$4:$AB$7,2,FALSE)))</f>
        <v/>
      </c>
      <c r="AK33" s="187"/>
      <c r="AL33" s="172" t="str">
        <f>IF(AK33="","",IF(VLOOKUP(AK33,'G-7 Rivers Data'!$AD$4:$AE$8,2,FALSE)=0,"Spatial Data Missing",VLOOKUP(AK33,'G-7 Rivers Data'!$AD$4:$AE$8,2,FALSE)))</f>
        <v/>
      </c>
      <c r="AM33" s="186"/>
      <c r="AN33" s="176" t="str">
        <f>IF(AM33="","",VLOOKUP(AM33,'G-7 Rivers Data'!$AO$4:$AP$7,2,FALSE))</f>
        <v/>
      </c>
      <c r="AO33" s="265" t="str">
        <f t="shared" si="8"/>
        <v/>
      </c>
      <c r="AP33" s="180"/>
      <c r="AQ33" s="181"/>
      <c r="AX33" s="35" t="str">
        <f>IFERROR(INDEX('G-7 Rivers Data'!$AZ$3:$AZ$7,MATCH(N33,'G-7 Rivers Data'!$AY$3:$AY$7,0)),"")</f>
        <v/>
      </c>
    </row>
    <row r="34" spans="2:50" ht="13.8" x14ac:dyDescent="0.25">
      <c r="B34" s="259" t="str">
        <f>'F-1 Off Site River Baseline'!AN32</f>
        <v/>
      </c>
      <c r="C34" s="175" t="str">
        <f>IF(B34="","",VLOOKUP($B34,'F-1 Off Site River Baseline'!$C$9:$R$257,2,FALSE))</f>
        <v/>
      </c>
      <c r="D34" s="175" t="str">
        <f>IF(C34="","",VLOOKUP($B34,'F-1 Off Site River Baseline'!$C$9:$R$257,3,FALSE))</f>
        <v/>
      </c>
      <c r="E34" s="175" t="str">
        <f>IF(D34="","",VLOOKUP($B34,'F-1 Off Site River Baseline'!$C$9:$R$257,4,FALSE))</f>
        <v/>
      </c>
      <c r="F34" s="175" t="str">
        <f>IF(E34="","",VLOOKUP($B34,'F-1 Off Site River Baseline'!$C$9:$R$257,5,FALSE))</f>
        <v/>
      </c>
      <c r="G34" s="175" t="str">
        <f>IF(F34="","",VLOOKUP($B34,'F-1 Off Site River Baseline'!$C$9:$R$257,6,FALSE))</f>
        <v/>
      </c>
      <c r="H34" s="175" t="str">
        <f>IF(G34="","",VLOOKUP($B34,'F-1 Off Site River Baseline'!$C$9:$R$257,7,FALSE))</f>
        <v/>
      </c>
      <c r="I34" s="175" t="str">
        <f>IF(H34="","",VLOOKUP($B34,'F-1 Off Site River Baseline'!$C$9:$R$257,8,FALSE))</f>
        <v/>
      </c>
      <c r="J34" s="175" t="str">
        <f>IF(I34="","",VLOOKUP($B34,'F-1 Off Site River Baseline'!$C$9:$R$257,9,FALSE))</f>
        <v/>
      </c>
      <c r="K34" s="175" t="str">
        <f>IF(J34="","",VLOOKUP($B34,'F-1 Off Site River Baseline'!$C$9:$R$257,10,FALSE))</f>
        <v/>
      </c>
      <c r="L34" s="175" t="str">
        <f>IF(B34="","",VLOOKUP($B34,'C-1 Site River Baseline'!$C$9:$R$257,15,FALSE))</f>
        <v/>
      </c>
      <c r="M34" s="176" t="str">
        <f>IF(L34="","",VLOOKUP($B34,'F-1 Off Site River Baseline'!$C$9:$R$257,16,FALSE))</f>
        <v/>
      </c>
      <c r="N34" s="639" t="str">
        <f t="shared" si="0"/>
        <v/>
      </c>
      <c r="O34" s="171" t="str">
        <f t="shared" si="3"/>
        <v/>
      </c>
      <c r="P34" s="172" t="str">
        <f>IF(C34="","",IF(AND(LEFT(C34,55)&lt;&gt;LEFT(N34,55),O34="High - High"),"Error - Not like for like",IF(AND(F34=S34,H34&gt;U34),"Error - Can not reduce condition",IF(AND(F34=S34,H34=U34,AJ34='F-1 Off Site River Baseline'!N32,'F-1 Off Site River Baseline'!P32=AL34),"Error - No enhancement",IF(AND(C34&lt;&gt;N34,F34&lt;S34),"Lower Distinctiveness Habitat"&amp;" - "&amp;T34,G34&amp;" - "&amp;T34)))))</f>
        <v/>
      </c>
      <c r="Q34" s="260" t="str">
        <f>IF(N34="","",VLOOKUP(B34,'F-1 Off Site River Baseline'!$C$10:$AA$257,19,FALSE))</f>
        <v/>
      </c>
      <c r="R34" s="171" t="str">
        <f>IF(N34="","",VLOOKUP(N34,'G-7 Rivers Data'!$B$2:$G$8,2,FALSE))</f>
        <v/>
      </c>
      <c r="S34" s="172" t="str">
        <f>IFERROR(VLOOKUP(R34,'G-7 Rivers Data'!$C$4:$D$8,2,FALSE),"")</f>
        <v/>
      </c>
      <c r="T34" s="173"/>
      <c r="U34" s="172" t="str">
        <f>IFERROR(INDEX('G-7 Rivers Data'!$H$4:$L$8,MATCH(N34,'G-7 Rivers Data'!$B$4:$B$8,0),MATCH(T34,'G-7 Rivers Data'!$H$3:$L$3,0)),"")</f>
        <v/>
      </c>
      <c r="V34" s="186"/>
      <c r="W34" s="175" t="str">
        <f>IF(V34="","",IF(VLOOKUP(V34,'G-7 Rivers Data'!$AG$4:$AI$9,2,FALSE)=0,"Spatial Data Missing",VLOOKUP(V34,'G-7 Rivers Data'!$AG$4:$AI$9,2,FALSE)))</f>
        <v/>
      </c>
      <c r="X34" s="176" t="str">
        <f>IF(V34="","",IF(VLOOKUP(V34,'G-7 Rivers Data'!$AG$4:$AI$9,3,FALSE)=0,"Spatial Data Missing",VLOOKUP(V34,'G-7 Rivers Data'!$AG$4:$AI$9,3,FALSE)))</f>
        <v/>
      </c>
      <c r="Y34" s="239" t="str">
        <f>IFERROR(IF(OR(LEFT(P34,5)="Error",LEFT(O34,5)="Error"),"Check Data",IF(F34&lt;S34,'G-7 Rivers Data'!$R$3,INDEX('G-7 Rivers Data'!$U$5:$Y$9,MATCH(G34,'G-7 Rivers Data'!$T$5:$T$9,0),MATCH(T34,'G-7 Rivers Data'!$U$4:$Y$4,0)))),"")</f>
        <v/>
      </c>
      <c r="Z34" s="275"/>
      <c r="AA34" s="275"/>
      <c r="AB34" s="175" t="str">
        <f t="shared" si="4"/>
        <v/>
      </c>
      <c r="AC34" s="262" t="str">
        <f t="shared" si="5"/>
        <v/>
      </c>
      <c r="AD34" s="382" t="str">
        <f>IFERROR(IF(AC34="Check Data","Check Data",VLOOKUP(AC34,'G-4 Temporal multipliers'!$A$4:$C$37,3,FALSE)),"")</f>
        <v/>
      </c>
      <c r="AE34" s="239" t="str">
        <f>IF(N34="","",VLOOKUP(N34,'G-7 Rivers Data'!$B$4:$G$8,5,FALSE))</f>
        <v/>
      </c>
      <c r="AF34" s="175" t="str">
        <f t="shared" si="6"/>
        <v/>
      </c>
      <c r="AG34" s="175" t="str">
        <f t="shared" si="7"/>
        <v/>
      </c>
      <c r="AH34" s="176" t="str">
        <f t="shared" si="2"/>
        <v/>
      </c>
      <c r="AI34" s="173"/>
      <c r="AJ34" s="172" t="str">
        <f>IF(AI34="","",IF(VLOOKUP(AI34,'G-7 Rivers Data'!$AA$4:$AB$7,2,FALSE)=0,"Spatial Data Missing",VLOOKUP(AI34,'G-7 Rivers Data'!$AA$4:$AB$7,2,FALSE)))</f>
        <v/>
      </c>
      <c r="AK34" s="187"/>
      <c r="AL34" s="172" t="str">
        <f>IF(AK34="","",IF(VLOOKUP(AK34,'G-7 Rivers Data'!$AD$4:$AE$8,2,FALSE)=0,"Spatial Data Missing",VLOOKUP(AK34,'G-7 Rivers Data'!$AD$4:$AE$8,2,FALSE)))</f>
        <v/>
      </c>
      <c r="AM34" s="186"/>
      <c r="AN34" s="176" t="str">
        <f>IF(AM34="","",VLOOKUP(AM34,'G-7 Rivers Data'!$AO$4:$AP$7,2,FALSE))</f>
        <v/>
      </c>
      <c r="AO34" s="265" t="str">
        <f t="shared" si="8"/>
        <v/>
      </c>
      <c r="AP34" s="180"/>
      <c r="AQ34" s="181"/>
      <c r="AX34" s="35" t="str">
        <f>IFERROR(INDEX('G-7 Rivers Data'!$AZ$3:$AZ$7,MATCH(N34,'G-7 Rivers Data'!$AY$3:$AY$7,0)),"")</f>
        <v/>
      </c>
    </row>
    <row r="35" spans="2:50" ht="13.8" x14ac:dyDescent="0.25">
      <c r="B35" s="259" t="str">
        <f>'F-1 Off Site River Baseline'!AN33</f>
        <v/>
      </c>
      <c r="C35" s="175" t="str">
        <f>IF(B35="","",VLOOKUP($B35,'F-1 Off Site River Baseline'!$C$9:$R$257,2,FALSE))</f>
        <v/>
      </c>
      <c r="D35" s="175" t="str">
        <f>IF(C35="","",VLOOKUP($B35,'F-1 Off Site River Baseline'!$C$9:$R$257,3,FALSE))</f>
        <v/>
      </c>
      <c r="E35" s="175" t="str">
        <f>IF(D35="","",VLOOKUP($B35,'F-1 Off Site River Baseline'!$C$9:$R$257,4,FALSE))</f>
        <v/>
      </c>
      <c r="F35" s="175" t="str">
        <f>IF(E35="","",VLOOKUP($B35,'F-1 Off Site River Baseline'!$C$9:$R$257,5,FALSE))</f>
        <v/>
      </c>
      <c r="G35" s="175" t="str">
        <f>IF(F35="","",VLOOKUP($B35,'F-1 Off Site River Baseline'!$C$9:$R$257,6,FALSE))</f>
        <v/>
      </c>
      <c r="H35" s="175" t="str">
        <f>IF(G35="","",VLOOKUP($B35,'F-1 Off Site River Baseline'!$C$9:$R$257,7,FALSE))</f>
        <v/>
      </c>
      <c r="I35" s="175" t="str">
        <f>IF(H35="","",VLOOKUP($B35,'F-1 Off Site River Baseline'!$C$9:$R$257,8,FALSE))</f>
        <v/>
      </c>
      <c r="J35" s="175" t="str">
        <f>IF(I35="","",VLOOKUP($B35,'F-1 Off Site River Baseline'!$C$9:$R$257,9,FALSE))</f>
        <v/>
      </c>
      <c r="K35" s="175" t="str">
        <f>IF(J35="","",VLOOKUP($B35,'F-1 Off Site River Baseline'!$C$9:$R$257,10,FALSE))</f>
        <v/>
      </c>
      <c r="L35" s="175" t="str">
        <f>IF(B35="","",VLOOKUP($B35,'C-1 Site River Baseline'!$C$9:$R$257,15,FALSE))</f>
        <v/>
      </c>
      <c r="M35" s="176" t="str">
        <f>IF(L35="","",VLOOKUP($B35,'F-1 Off Site River Baseline'!$C$9:$R$257,16,FALSE))</f>
        <v/>
      </c>
      <c r="N35" s="639" t="str">
        <f t="shared" si="0"/>
        <v/>
      </c>
      <c r="O35" s="171" t="str">
        <f t="shared" si="3"/>
        <v/>
      </c>
      <c r="P35" s="172" t="str">
        <f>IF(C35="","",IF(AND(LEFT(C35,55)&lt;&gt;LEFT(N35,55),O35="High - High"),"Error - Not like for like",IF(AND(F35=S35,H35&gt;U35),"Error - Can not reduce condition",IF(AND(F35=S35,H35=U35,AJ35='F-1 Off Site River Baseline'!N33,'F-1 Off Site River Baseline'!P33=AL35),"Error - No enhancement",IF(AND(C35&lt;&gt;N35,F35&lt;S35),"Lower Distinctiveness Habitat"&amp;" - "&amp;T35,G35&amp;" - "&amp;T35)))))</f>
        <v/>
      </c>
      <c r="Q35" s="260" t="str">
        <f>IF(N35="","",VLOOKUP(B35,'F-1 Off Site River Baseline'!$C$10:$AA$257,19,FALSE))</f>
        <v/>
      </c>
      <c r="R35" s="171" t="str">
        <f>IF(N35="","",VLOOKUP(N35,'G-7 Rivers Data'!$B$2:$G$8,2,FALSE))</f>
        <v/>
      </c>
      <c r="S35" s="172" t="str">
        <f>IFERROR(VLOOKUP(R35,'G-7 Rivers Data'!$C$4:$D$8,2,FALSE),"")</f>
        <v/>
      </c>
      <c r="T35" s="173"/>
      <c r="U35" s="172" t="str">
        <f>IFERROR(INDEX('G-7 Rivers Data'!$H$4:$L$8,MATCH(N35,'G-7 Rivers Data'!$B$4:$B$8,0),MATCH(T35,'G-7 Rivers Data'!$H$3:$L$3,0)),"")</f>
        <v/>
      </c>
      <c r="V35" s="186"/>
      <c r="W35" s="175" t="str">
        <f>IF(V35="","",IF(VLOOKUP(V35,'G-7 Rivers Data'!$AG$4:$AI$9,2,FALSE)=0,"Spatial Data Missing",VLOOKUP(V35,'G-7 Rivers Data'!$AG$4:$AI$9,2,FALSE)))</f>
        <v/>
      </c>
      <c r="X35" s="176" t="str">
        <f>IF(V35="","",IF(VLOOKUP(V35,'G-7 Rivers Data'!$AG$4:$AI$9,3,FALSE)=0,"Spatial Data Missing",VLOOKUP(V35,'G-7 Rivers Data'!$AG$4:$AI$9,3,FALSE)))</f>
        <v/>
      </c>
      <c r="Y35" s="239" t="str">
        <f>IFERROR(IF(OR(LEFT(P35,5)="Error",LEFT(O35,5)="Error"),"Check Data",IF(F35&lt;S35,'G-7 Rivers Data'!$R$3,INDEX('G-7 Rivers Data'!$U$5:$Y$9,MATCH(G35,'G-7 Rivers Data'!$T$5:$T$9,0),MATCH(T35,'G-7 Rivers Data'!$U$4:$Y$4,0)))),"")</f>
        <v/>
      </c>
      <c r="Z35" s="275"/>
      <c r="AA35" s="275"/>
      <c r="AB35" s="175" t="str">
        <f t="shared" si="4"/>
        <v/>
      </c>
      <c r="AC35" s="262" t="str">
        <f t="shared" si="5"/>
        <v/>
      </c>
      <c r="AD35" s="382" t="str">
        <f>IFERROR(IF(AC35="Check Data","Check Data",VLOOKUP(AC35,'G-4 Temporal multipliers'!$A$4:$C$37,3,FALSE)),"")</f>
        <v/>
      </c>
      <c r="AE35" s="239" t="str">
        <f>IF(N35="","",VLOOKUP(N35,'G-7 Rivers Data'!$B$4:$G$8,5,FALSE))</f>
        <v/>
      </c>
      <c r="AF35" s="175" t="str">
        <f t="shared" si="6"/>
        <v/>
      </c>
      <c r="AG35" s="175" t="str">
        <f t="shared" si="7"/>
        <v/>
      </c>
      <c r="AH35" s="176" t="str">
        <f t="shared" si="2"/>
        <v/>
      </c>
      <c r="AI35" s="173"/>
      <c r="AJ35" s="172" t="str">
        <f>IF(AI35="","",IF(VLOOKUP(AI35,'G-7 Rivers Data'!$AA$4:$AB$7,2,FALSE)=0,"Spatial Data Missing",VLOOKUP(AI35,'G-7 Rivers Data'!$AA$4:$AB$7,2,FALSE)))</f>
        <v/>
      </c>
      <c r="AK35" s="187"/>
      <c r="AL35" s="172" t="str">
        <f>IF(AK35="","",IF(VLOOKUP(AK35,'G-7 Rivers Data'!$AD$4:$AE$8,2,FALSE)=0,"Spatial Data Missing",VLOOKUP(AK35,'G-7 Rivers Data'!$AD$4:$AE$8,2,FALSE)))</f>
        <v/>
      </c>
      <c r="AM35" s="186"/>
      <c r="AN35" s="176" t="str">
        <f>IF(AM35="","",VLOOKUP(AM35,'G-7 Rivers Data'!$AO$4:$AP$7,2,FALSE))</f>
        <v/>
      </c>
      <c r="AO35" s="265" t="str">
        <f t="shared" si="8"/>
        <v/>
      </c>
      <c r="AP35" s="180"/>
      <c r="AQ35" s="181"/>
      <c r="AX35" s="35" t="str">
        <f>IFERROR(INDEX('G-7 Rivers Data'!$AZ$3:$AZ$7,MATCH(N35,'G-7 Rivers Data'!$AY$3:$AY$7,0)),"")</f>
        <v/>
      </c>
    </row>
    <row r="36" spans="2:50" ht="13.8" x14ac:dyDescent="0.25">
      <c r="B36" s="259" t="str">
        <f>'F-1 Off Site River Baseline'!AN34</f>
        <v/>
      </c>
      <c r="C36" s="175" t="str">
        <f>IF(B36="","",VLOOKUP($B36,'F-1 Off Site River Baseline'!$C$9:$R$257,2,FALSE))</f>
        <v/>
      </c>
      <c r="D36" s="175" t="str">
        <f>IF(C36="","",VLOOKUP($B36,'F-1 Off Site River Baseline'!$C$9:$R$257,3,FALSE))</f>
        <v/>
      </c>
      <c r="E36" s="175" t="str">
        <f>IF(D36="","",VLOOKUP($B36,'F-1 Off Site River Baseline'!$C$9:$R$257,4,FALSE))</f>
        <v/>
      </c>
      <c r="F36" s="175" t="str">
        <f>IF(E36="","",VLOOKUP($B36,'F-1 Off Site River Baseline'!$C$9:$R$257,5,FALSE))</f>
        <v/>
      </c>
      <c r="G36" s="175" t="str">
        <f>IF(F36="","",VLOOKUP($B36,'F-1 Off Site River Baseline'!$C$9:$R$257,6,FALSE))</f>
        <v/>
      </c>
      <c r="H36" s="175" t="str">
        <f>IF(G36="","",VLOOKUP($B36,'F-1 Off Site River Baseline'!$C$9:$R$257,7,FALSE))</f>
        <v/>
      </c>
      <c r="I36" s="175" t="str">
        <f>IF(H36="","",VLOOKUP($B36,'F-1 Off Site River Baseline'!$C$9:$R$257,8,FALSE))</f>
        <v/>
      </c>
      <c r="J36" s="175" t="str">
        <f>IF(I36="","",VLOOKUP($B36,'F-1 Off Site River Baseline'!$C$9:$R$257,9,FALSE))</f>
        <v/>
      </c>
      <c r="K36" s="175" t="str">
        <f>IF(J36="","",VLOOKUP($B36,'F-1 Off Site River Baseline'!$C$9:$R$257,10,FALSE))</f>
        <v/>
      </c>
      <c r="L36" s="175" t="str">
        <f>IF(B36="","",VLOOKUP($B36,'C-1 Site River Baseline'!$C$9:$R$257,15,FALSE))</f>
        <v/>
      </c>
      <c r="M36" s="176" t="str">
        <f>IF(L36="","",VLOOKUP($B36,'F-1 Off Site River Baseline'!$C$9:$R$257,16,FALSE))</f>
        <v/>
      </c>
      <c r="N36" s="639" t="str">
        <f t="shared" si="0"/>
        <v/>
      </c>
      <c r="O36" s="171" t="str">
        <f t="shared" si="3"/>
        <v/>
      </c>
      <c r="P36" s="172" t="str">
        <f>IF(C36="","",IF(AND(LEFT(C36,55)&lt;&gt;LEFT(N36,55),O36="High - High"),"Error - Not like for like",IF(AND(F36=S36,H36&gt;U36),"Error - Can not reduce condition",IF(AND(F36=S36,H36=U36,AJ36='F-1 Off Site River Baseline'!N34,'F-1 Off Site River Baseline'!P34=AL36),"Error - No enhancement",IF(AND(C36&lt;&gt;N36,F36&lt;S36),"Lower Distinctiveness Habitat"&amp;" - "&amp;T36,G36&amp;" - "&amp;T36)))))</f>
        <v/>
      </c>
      <c r="Q36" s="260" t="str">
        <f>IF(N36="","",VLOOKUP(B36,'F-1 Off Site River Baseline'!$C$10:$AA$257,19,FALSE))</f>
        <v/>
      </c>
      <c r="R36" s="171" t="str">
        <f>IF(N36="","",VLOOKUP(N36,'G-7 Rivers Data'!$B$2:$G$8,2,FALSE))</f>
        <v/>
      </c>
      <c r="S36" s="172" t="str">
        <f>IFERROR(VLOOKUP(R36,'G-7 Rivers Data'!$C$4:$D$8,2,FALSE),"")</f>
        <v/>
      </c>
      <c r="T36" s="173"/>
      <c r="U36" s="172" t="str">
        <f>IFERROR(INDEX('G-7 Rivers Data'!$H$4:$L$8,MATCH(N36,'G-7 Rivers Data'!$B$4:$B$8,0),MATCH(T36,'G-7 Rivers Data'!$H$3:$L$3,0)),"")</f>
        <v/>
      </c>
      <c r="V36" s="186"/>
      <c r="W36" s="175" t="str">
        <f>IF(V36="","",IF(VLOOKUP(V36,'G-7 Rivers Data'!$AG$4:$AI$9,2,FALSE)=0,"Spatial Data Missing",VLOOKUP(V36,'G-7 Rivers Data'!$AG$4:$AI$9,2,FALSE)))</f>
        <v/>
      </c>
      <c r="X36" s="176" t="str">
        <f>IF(V36="","",IF(VLOOKUP(V36,'G-7 Rivers Data'!$AG$4:$AI$9,3,FALSE)=0,"Spatial Data Missing",VLOOKUP(V36,'G-7 Rivers Data'!$AG$4:$AI$9,3,FALSE)))</f>
        <v/>
      </c>
      <c r="Y36" s="239" t="str">
        <f>IFERROR(IF(OR(LEFT(P36,5)="Error",LEFT(O36,5)="Error"),"Check Data",IF(F36&lt;S36,'G-7 Rivers Data'!$R$3,INDEX('G-7 Rivers Data'!$U$5:$Y$9,MATCH(G36,'G-7 Rivers Data'!$T$5:$T$9,0),MATCH(T36,'G-7 Rivers Data'!$U$4:$Y$4,0)))),"")</f>
        <v/>
      </c>
      <c r="Z36" s="275"/>
      <c r="AA36" s="275"/>
      <c r="AB36" s="175" t="str">
        <f t="shared" si="4"/>
        <v/>
      </c>
      <c r="AC36" s="262" t="str">
        <f t="shared" si="5"/>
        <v/>
      </c>
      <c r="AD36" s="382" t="str">
        <f>IFERROR(IF(AC36="Check Data","Check Data",VLOOKUP(AC36,'G-4 Temporal multipliers'!$A$4:$C$37,3,FALSE)),"")</f>
        <v/>
      </c>
      <c r="AE36" s="239" t="str">
        <f>IF(N36="","",VLOOKUP(N36,'G-7 Rivers Data'!$B$4:$G$8,5,FALSE))</f>
        <v/>
      </c>
      <c r="AF36" s="175" t="str">
        <f t="shared" si="6"/>
        <v/>
      </c>
      <c r="AG36" s="175" t="str">
        <f t="shared" si="7"/>
        <v/>
      </c>
      <c r="AH36" s="176" t="str">
        <f t="shared" si="2"/>
        <v/>
      </c>
      <c r="AI36" s="173"/>
      <c r="AJ36" s="172" t="str">
        <f>IF(AI36="","",IF(VLOOKUP(AI36,'G-7 Rivers Data'!$AA$4:$AB$7,2,FALSE)=0,"Spatial Data Missing",VLOOKUP(AI36,'G-7 Rivers Data'!$AA$4:$AB$7,2,FALSE)))</f>
        <v/>
      </c>
      <c r="AK36" s="187"/>
      <c r="AL36" s="172" t="str">
        <f>IF(AK36="","",IF(VLOOKUP(AK36,'G-7 Rivers Data'!$AD$4:$AE$8,2,FALSE)=0,"Spatial Data Missing",VLOOKUP(AK36,'G-7 Rivers Data'!$AD$4:$AE$8,2,FALSE)))</f>
        <v/>
      </c>
      <c r="AM36" s="186"/>
      <c r="AN36" s="176" t="str">
        <f>IF(AM36="","",VLOOKUP(AM36,'G-7 Rivers Data'!$AO$4:$AP$7,2,FALSE))</f>
        <v/>
      </c>
      <c r="AO36" s="265" t="str">
        <f t="shared" si="8"/>
        <v/>
      </c>
      <c r="AP36" s="180"/>
      <c r="AQ36" s="181"/>
      <c r="AX36" s="35" t="str">
        <f>IFERROR(INDEX('G-7 Rivers Data'!$AZ$3:$AZ$7,MATCH(N36,'G-7 Rivers Data'!$AY$3:$AY$7,0)),"")</f>
        <v/>
      </c>
    </row>
    <row r="37" spans="2:50" ht="13.8" x14ac:dyDescent="0.25">
      <c r="B37" s="259" t="str">
        <f>'F-1 Off Site River Baseline'!AN35</f>
        <v/>
      </c>
      <c r="C37" s="175" t="str">
        <f>IF(B37="","",VLOOKUP($B37,'F-1 Off Site River Baseline'!$C$9:$R$257,2,FALSE))</f>
        <v/>
      </c>
      <c r="D37" s="175" t="str">
        <f>IF(C37="","",VLOOKUP($B37,'F-1 Off Site River Baseline'!$C$9:$R$257,3,FALSE))</f>
        <v/>
      </c>
      <c r="E37" s="175" t="str">
        <f>IF(D37="","",VLOOKUP($B37,'F-1 Off Site River Baseline'!$C$9:$R$257,4,FALSE))</f>
        <v/>
      </c>
      <c r="F37" s="175" t="str">
        <f>IF(E37="","",VLOOKUP($B37,'F-1 Off Site River Baseline'!$C$9:$R$257,5,FALSE))</f>
        <v/>
      </c>
      <c r="G37" s="175" t="str">
        <f>IF(F37="","",VLOOKUP($B37,'F-1 Off Site River Baseline'!$C$9:$R$257,6,FALSE))</f>
        <v/>
      </c>
      <c r="H37" s="175" t="str">
        <f>IF(G37="","",VLOOKUP($B37,'F-1 Off Site River Baseline'!$C$9:$R$257,7,FALSE))</f>
        <v/>
      </c>
      <c r="I37" s="175" t="str">
        <f>IF(H37="","",VLOOKUP($B37,'F-1 Off Site River Baseline'!$C$9:$R$257,8,FALSE))</f>
        <v/>
      </c>
      <c r="J37" s="175" t="str">
        <f>IF(I37="","",VLOOKUP($B37,'F-1 Off Site River Baseline'!$C$9:$R$257,9,FALSE))</f>
        <v/>
      </c>
      <c r="K37" s="175" t="str">
        <f>IF(J37="","",VLOOKUP($B37,'F-1 Off Site River Baseline'!$C$9:$R$257,10,FALSE))</f>
        <v/>
      </c>
      <c r="L37" s="175" t="str">
        <f>IF(B37="","",VLOOKUP($B37,'C-1 Site River Baseline'!$C$9:$R$257,15,FALSE))</f>
        <v/>
      </c>
      <c r="M37" s="176" t="str">
        <f>IF(L37="","",VLOOKUP($B37,'F-1 Off Site River Baseline'!$C$9:$R$257,16,FALSE))</f>
        <v/>
      </c>
      <c r="N37" s="639" t="str">
        <f t="shared" si="0"/>
        <v/>
      </c>
      <c r="O37" s="171" t="str">
        <f t="shared" si="3"/>
        <v/>
      </c>
      <c r="P37" s="172" t="str">
        <f>IF(C37="","",IF(AND(LEFT(C37,55)&lt;&gt;LEFT(N37,55),O37="High - High"),"Error - Not like for like",IF(AND(F37=S37,H37&gt;U37),"Error - Can not reduce condition",IF(AND(F37=S37,H37=U37,AJ37='F-1 Off Site River Baseline'!N35,'F-1 Off Site River Baseline'!P35=AL37),"Error - No enhancement",IF(AND(C37&lt;&gt;N37,F37&lt;S37),"Lower Distinctiveness Habitat"&amp;" - "&amp;T37,G37&amp;" - "&amp;T37)))))</f>
        <v/>
      </c>
      <c r="Q37" s="260" t="str">
        <f>IF(N37="","",VLOOKUP(B37,'F-1 Off Site River Baseline'!$C$10:$AA$257,19,FALSE))</f>
        <v/>
      </c>
      <c r="R37" s="171" t="str">
        <f>IF(N37="","",VLOOKUP(N37,'G-7 Rivers Data'!$B$2:$G$8,2,FALSE))</f>
        <v/>
      </c>
      <c r="S37" s="172" t="str">
        <f>IFERROR(VLOOKUP(R37,'G-7 Rivers Data'!$C$4:$D$8,2,FALSE),"")</f>
        <v/>
      </c>
      <c r="T37" s="173"/>
      <c r="U37" s="172" t="str">
        <f>IFERROR(INDEX('G-7 Rivers Data'!$H$4:$L$8,MATCH(N37,'G-7 Rivers Data'!$B$4:$B$8,0),MATCH(T37,'G-7 Rivers Data'!$H$3:$L$3,0)),"")</f>
        <v/>
      </c>
      <c r="V37" s="186"/>
      <c r="W37" s="175" t="str">
        <f>IF(V37="","",IF(VLOOKUP(V37,'G-7 Rivers Data'!$AG$4:$AI$9,2,FALSE)=0,"Spatial Data Missing",VLOOKUP(V37,'G-7 Rivers Data'!$AG$4:$AI$9,2,FALSE)))</f>
        <v/>
      </c>
      <c r="X37" s="176" t="str">
        <f>IF(V37="","",IF(VLOOKUP(V37,'G-7 Rivers Data'!$AG$4:$AI$9,3,FALSE)=0,"Spatial Data Missing",VLOOKUP(V37,'G-7 Rivers Data'!$AG$4:$AI$9,3,FALSE)))</f>
        <v/>
      </c>
      <c r="Y37" s="239" t="str">
        <f>IFERROR(IF(OR(LEFT(P37,5)="Error",LEFT(O37,5)="Error"),"Check Data",IF(F37&lt;S37,'G-7 Rivers Data'!$R$3,INDEX('G-7 Rivers Data'!$U$5:$Y$9,MATCH(G37,'G-7 Rivers Data'!$T$5:$T$9,0),MATCH(T37,'G-7 Rivers Data'!$U$4:$Y$4,0)))),"")</f>
        <v/>
      </c>
      <c r="Z37" s="275"/>
      <c r="AA37" s="275"/>
      <c r="AB37" s="175" t="str">
        <f t="shared" si="4"/>
        <v/>
      </c>
      <c r="AC37" s="262" t="str">
        <f t="shared" si="5"/>
        <v/>
      </c>
      <c r="AD37" s="382" t="str">
        <f>IFERROR(IF(AC37="Check Data","Check Data",VLOOKUP(AC37,'G-4 Temporal multipliers'!$A$4:$C$37,3,FALSE)),"")</f>
        <v/>
      </c>
      <c r="AE37" s="239" t="str">
        <f>IF(N37="","",VLOOKUP(N37,'G-7 Rivers Data'!$B$4:$G$8,5,FALSE))</f>
        <v/>
      </c>
      <c r="AF37" s="175" t="str">
        <f t="shared" si="6"/>
        <v/>
      </c>
      <c r="AG37" s="175" t="str">
        <f t="shared" si="7"/>
        <v/>
      </c>
      <c r="AH37" s="176" t="str">
        <f t="shared" si="2"/>
        <v/>
      </c>
      <c r="AI37" s="173"/>
      <c r="AJ37" s="172" t="str">
        <f>IF(AI37="","",IF(VLOOKUP(AI37,'G-7 Rivers Data'!$AA$4:$AB$7,2,FALSE)=0,"Spatial Data Missing",VLOOKUP(AI37,'G-7 Rivers Data'!$AA$4:$AB$7,2,FALSE)))</f>
        <v/>
      </c>
      <c r="AK37" s="187"/>
      <c r="AL37" s="172" t="str">
        <f>IF(AK37="","",IF(VLOOKUP(AK37,'G-7 Rivers Data'!$AD$4:$AE$8,2,FALSE)=0,"Spatial Data Missing",VLOOKUP(AK37,'G-7 Rivers Data'!$AD$4:$AE$8,2,FALSE)))</f>
        <v/>
      </c>
      <c r="AM37" s="186"/>
      <c r="AN37" s="176" t="str">
        <f>IF(AM37="","",VLOOKUP(AM37,'G-7 Rivers Data'!$AO$4:$AP$7,2,FALSE))</f>
        <v/>
      </c>
      <c r="AO37" s="265" t="str">
        <f t="shared" si="8"/>
        <v/>
      </c>
      <c r="AP37" s="180"/>
      <c r="AQ37" s="181"/>
      <c r="AX37" s="35" t="str">
        <f>IFERROR(INDEX('G-7 Rivers Data'!$AZ$3:$AZ$7,MATCH(N37,'G-7 Rivers Data'!$AY$3:$AY$7,0)),"")</f>
        <v/>
      </c>
    </row>
    <row r="38" spans="2:50" ht="13.8" x14ac:dyDescent="0.25">
      <c r="B38" s="259" t="str">
        <f>'F-1 Off Site River Baseline'!AN36</f>
        <v/>
      </c>
      <c r="C38" s="175" t="str">
        <f>IF(B38="","",VLOOKUP($B38,'F-1 Off Site River Baseline'!$C$9:$R$257,2,FALSE))</f>
        <v/>
      </c>
      <c r="D38" s="175" t="str">
        <f>IF(C38="","",VLOOKUP($B38,'F-1 Off Site River Baseline'!$C$9:$R$257,3,FALSE))</f>
        <v/>
      </c>
      <c r="E38" s="175" t="str">
        <f>IF(D38="","",VLOOKUP($B38,'F-1 Off Site River Baseline'!$C$9:$R$257,4,FALSE))</f>
        <v/>
      </c>
      <c r="F38" s="175" t="str">
        <f>IF(E38="","",VLOOKUP($B38,'F-1 Off Site River Baseline'!$C$9:$R$257,5,FALSE))</f>
        <v/>
      </c>
      <c r="G38" s="175" t="str">
        <f>IF(F38="","",VLOOKUP($B38,'F-1 Off Site River Baseline'!$C$9:$R$257,6,FALSE))</f>
        <v/>
      </c>
      <c r="H38" s="175" t="str">
        <f>IF(G38="","",VLOOKUP($B38,'F-1 Off Site River Baseline'!$C$9:$R$257,7,FALSE))</f>
        <v/>
      </c>
      <c r="I38" s="175" t="str">
        <f>IF(H38="","",VLOOKUP($B38,'F-1 Off Site River Baseline'!$C$9:$R$257,8,FALSE))</f>
        <v/>
      </c>
      <c r="J38" s="175" t="str">
        <f>IF(I38="","",VLOOKUP($B38,'F-1 Off Site River Baseline'!$C$9:$R$257,9,FALSE))</f>
        <v/>
      </c>
      <c r="K38" s="175" t="str">
        <f>IF(J38="","",VLOOKUP($B38,'F-1 Off Site River Baseline'!$C$9:$R$257,10,FALSE))</f>
        <v/>
      </c>
      <c r="L38" s="175" t="str">
        <f>IF(B38="","",VLOOKUP($B38,'C-1 Site River Baseline'!$C$9:$R$257,15,FALSE))</f>
        <v/>
      </c>
      <c r="M38" s="176" t="str">
        <f>IF(L38="","",VLOOKUP($B38,'F-1 Off Site River Baseline'!$C$9:$R$257,16,FALSE))</f>
        <v/>
      </c>
      <c r="N38" s="639" t="str">
        <f t="shared" si="0"/>
        <v/>
      </c>
      <c r="O38" s="171" t="str">
        <f t="shared" si="3"/>
        <v/>
      </c>
      <c r="P38" s="172" t="str">
        <f>IF(C38="","",IF(AND(LEFT(C38,55)&lt;&gt;LEFT(N38,55),O38="High - High"),"Error - Not like for like",IF(AND(F38=S38,H38&gt;U38),"Error - Can not reduce condition",IF(AND(F38=S38,H38=U38,AJ38='F-1 Off Site River Baseline'!N36,'F-1 Off Site River Baseline'!P36=AL38),"Error - No enhancement",IF(AND(C38&lt;&gt;N38,F38&lt;S38),"Lower Distinctiveness Habitat"&amp;" - "&amp;T38,G38&amp;" - "&amp;T38)))))</f>
        <v/>
      </c>
      <c r="Q38" s="260" t="str">
        <f>IF(N38="","",VLOOKUP(B38,'F-1 Off Site River Baseline'!$C$10:$AA$257,19,FALSE))</f>
        <v/>
      </c>
      <c r="R38" s="171" t="str">
        <f>IF(N38="","",VLOOKUP(N38,'G-7 Rivers Data'!$B$2:$G$8,2,FALSE))</f>
        <v/>
      </c>
      <c r="S38" s="172" t="str">
        <f>IFERROR(VLOOKUP(R38,'G-7 Rivers Data'!$C$4:$D$8,2,FALSE),"")</f>
        <v/>
      </c>
      <c r="T38" s="173"/>
      <c r="U38" s="172" t="str">
        <f>IFERROR(INDEX('G-7 Rivers Data'!$H$4:$L$8,MATCH(N38,'G-7 Rivers Data'!$B$4:$B$8,0),MATCH(T38,'G-7 Rivers Data'!$H$3:$L$3,0)),"")</f>
        <v/>
      </c>
      <c r="V38" s="186"/>
      <c r="W38" s="175" t="str">
        <f>IF(V38="","",IF(VLOOKUP(V38,'G-7 Rivers Data'!$AG$4:$AI$9,2,FALSE)=0,"Spatial Data Missing",VLOOKUP(V38,'G-7 Rivers Data'!$AG$4:$AI$9,2,FALSE)))</f>
        <v/>
      </c>
      <c r="X38" s="176" t="str">
        <f>IF(V38="","",IF(VLOOKUP(V38,'G-7 Rivers Data'!$AG$4:$AI$9,3,FALSE)=0,"Spatial Data Missing",VLOOKUP(V38,'G-7 Rivers Data'!$AG$4:$AI$9,3,FALSE)))</f>
        <v/>
      </c>
      <c r="Y38" s="239" t="str">
        <f>IFERROR(IF(OR(LEFT(P38,5)="Error",LEFT(O38,5)="Error"),"Check Data",IF(F38&lt;S38,'G-7 Rivers Data'!$R$3,INDEX('G-7 Rivers Data'!$U$5:$Y$9,MATCH(G38,'G-7 Rivers Data'!$T$5:$T$9,0),MATCH(T38,'G-7 Rivers Data'!$U$4:$Y$4,0)))),"")</f>
        <v/>
      </c>
      <c r="Z38" s="275"/>
      <c r="AA38" s="275"/>
      <c r="AB38" s="175" t="str">
        <f t="shared" si="4"/>
        <v/>
      </c>
      <c r="AC38" s="262" t="str">
        <f t="shared" si="5"/>
        <v/>
      </c>
      <c r="AD38" s="382" t="str">
        <f>IFERROR(IF(AC38="Check Data","Check Data",VLOOKUP(AC38,'G-4 Temporal multipliers'!$A$4:$C$37,3,FALSE)),"")</f>
        <v/>
      </c>
      <c r="AE38" s="239" t="str">
        <f>IF(N38="","",VLOOKUP(N38,'G-7 Rivers Data'!$B$4:$G$8,5,FALSE))</f>
        <v/>
      </c>
      <c r="AF38" s="175" t="str">
        <f t="shared" si="6"/>
        <v/>
      </c>
      <c r="AG38" s="175" t="str">
        <f t="shared" si="7"/>
        <v/>
      </c>
      <c r="AH38" s="176" t="str">
        <f t="shared" si="2"/>
        <v/>
      </c>
      <c r="AI38" s="173"/>
      <c r="AJ38" s="172" t="str">
        <f>IF(AI38="","",IF(VLOOKUP(AI38,'G-7 Rivers Data'!$AA$4:$AB$7,2,FALSE)=0,"Spatial Data Missing",VLOOKUP(AI38,'G-7 Rivers Data'!$AA$4:$AB$7,2,FALSE)))</f>
        <v/>
      </c>
      <c r="AK38" s="187"/>
      <c r="AL38" s="172" t="str">
        <f>IF(AK38="","",IF(VLOOKUP(AK38,'G-7 Rivers Data'!$AD$4:$AE$8,2,FALSE)=0,"Spatial Data Missing",VLOOKUP(AK38,'G-7 Rivers Data'!$AD$4:$AE$8,2,FALSE)))</f>
        <v/>
      </c>
      <c r="AM38" s="186"/>
      <c r="AN38" s="176" t="str">
        <f>IF(AM38="","",VLOOKUP(AM38,'G-7 Rivers Data'!$AO$4:$AP$7,2,FALSE))</f>
        <v/>
      </c>
      <c r="AO38" s="265" t="str">
        <f t="shared" si="8"/>
        <v/>
      </c>
      <c r="AP38" s="180"/>
      <c r="AQ38" s="181"/>
      <c r="AX38" s="35" t="str">
        <f>IFERROR(INDEX('G-7 Rivers Data'!$AZ$3:$AZ$7,MATCH(N38,'G-7 Rivers Data'!$AY$3:$AY$7,0)),"")</f>
        <v/>
      </c>
    </row>
    <row r="39" spans="2:50" ht="13.8" x14ac:dyDescent="0.25">
      <c r="B39" s="259" t="str">
        <f>'F-1 Off Site River Baseline'!AN37</f>
        <v/>
      </c>
      <c r="C39" s="175" t="str">
        <f>IF(B39="","",VLOOKUP($B39,'F-1 Off Site River Baseline'!$C$9:$R$257,2,FALSE))</f>
        <v/>
      </c>
      <c r="D39" s="175" t="str">
        <f>IF(C39="","",VLOOKUP($B39,'F-1 Off Site River Baseline'!$C$9:$R$257,3,FALSE))</f>
        <v/>
      </c>
      <c r="E39" s="175" t="str">
        <f>IF(D39="","",VLOOKUP($B39,'F-1 Off Site River Baseline'!$C$9:$R$257,4,FALSE))</f>
        <v/>
      </c>
      <c r="F39" s="175" t="str">
        <f>IF(E39="","",VLOOKUP($B39,'F-1 Off Site River Baseline'!$C$9:$R$257,5,FALSE))</f>
        <v/>
      </c>
      <c r="G39" s="175" t="str">
        <f>IF(F39="","",VLOOKUP($B39,'F-1 Off Site River Baseline'!$C$9:$R$257,6,FALSE))</f>
        <v/>
      </c>
      <c r="H39" s="175" t="str">
        <f>IF(G39="","",VLOOKUP($B39,'F-1 Off Site River Baseline'!$C$9:$R$257,7,FALSE))</f>
        <v/>
      </c>
      <c r="I39" s="175" t="str">
        <f>IF(H39="","",VLOOKUP($B39,'F-1 Off Site River Baseline'!$C$9:$R$257,8,FALSE))</f>
        <v/>
      </c>
      <c r="J39" s="175" t="str">
        <f>IF(I39="","",VLOOKUP($B39,'F-1 Off Site River Baseline'!$C$9:$R$257,9,FALSE))</f>
        <v/>
      </c>
      <c r="K39" s="175" t="str">
        <f>IF(J39="","",VLOOKUP($B39,'F-1 Off Site River Baseline'!$C$9:$R$257,10,FALSE))</f>
        <v/>
      </c>
      <c r="L39" s="175" t="str">
        <f>IF(B39="","",VLOOKUP($B39,'C-1 Site River Baseline'!$C$9:$R$257,15,FALSE))</f>
        <v/>
      </c>
      <c r="M39" s="176" t="str">
        <f>IF(L39="","",VLOOKUP($B39,'F-1 Off Site River Baseline'!$C$9:$R$257,16,FALSE))</f>
        <v/>
      </c>
      <c r="N39" s="639" t="str">
        <f t="shared" si="0"/>
        <v/>
      </c>
      <c r="O39" s="171" t="str">
        <f t="shared" si="3"/>
        <v/>
      </c>
      <c r="P39" s="172" t="str">
        <f>IF(C39="","",IF(AND(LEFT(C39,55)&lt;&gt;LEFT(N39,55),O39="High - High"),"Error - Not like for like",IF(AND(F39=S39,H39&gt;U39),"Error - Can not reduce condition",IF(AND(F39=S39,H39=U39,AJ39='F-1 Off Site River Baseline'!N37,'F-1 Off Site River Baseline'!P37=AL39),"Error - No enhancement",IF(AND(C39&lt;&gt;N39,F39&lt;S39),"Lower Distinctiveness Habitat"&amp;" - "&amp;T39,G39&amp;" - "&amp;T39)))))</f>
        <v/>
      </c>
      <c r="Q39" s="260" t="str">
        <f>IF(N39="","",VLOOKUP(B39,'F-1 Off Site River Baseline'!$C$10:$AA$257,19,FALSE))</f>
        <v/>
      </c>
      <c r="R39" s="171" t="str">
        <f>IF(N39="","",VLOOKUP(N39,'G-7 Rivers Data'!$B$2:$G$8,2,FALSE))</f>
        <v/>
      </c>
      <c r="S39" s="172" t="str">
        <f>IFERROR(VLOOKUP(R39,'G-7 Rivers Data'!$C$4:$D$8,2,FALSE),"")</f>
        <v/>
      </c>
      <c r="T39" s="173"/>
      <c r="U39" s="172" t="str">
        <f>IFERROR(INDEX('G-7 Rivers Data'!$H$4:$L$8,MATCH(N39,'G-7 Rivers Data'!$B$4:$B$8,0),MATCH(T39,'G-7 Rivers Data'!$H$3:$L$3,0)),"")</f>
        <v/>
      </c>
      <c r="V39" s="186"/>
      <c r="W39" s="175" t="str">
        <f>IF(V39="","",IF(VLOOKUP(V39,'G-7 Rivers Data'!$AG$4:$AI$9,2,FALSE)=0,"Spatial Data Missing",VLOOKUP(V39,'G-7 Rivers Data'!$AG$4:$AI$9,2,FALSE)))</f>
        <v/>
      </c>
      <c r="X39" s="176" t="str">
        <f>IF(V39="","",IF(VLOOKUP(V39,'G-7 Rivers Data'!$AG$4:$AI$9,3,FALSE)=0,"Spatial Data Missing",VLOOKUP(V39,'G-7 Rivers Data'!$AG$4:$AI$9,3,FALSE)))</f>
        <v/>
      </c>
      <c r="Y39" s="239" t="str">
        <f>IFERROR(IF(OR(LEFT(P39,5)="Error",LEFT(O39,5)="Error"),"Check Data",IF(F39&lt;S39,'G-7 Rivers Data'!$R$3,INDEX('G-7 Rivers Data'!$U$5:$Y$9,MATCH(G39,'G-7 Rivers Data'!$T$5:$T$9,0),MATCH(T39,'G-7 Rivers Data'!$U$4:$Y$4,0)))),"")</f>
        <v/>
      </c>
      <c r="Z39" s="275"/>
      <c r="AA39" s="275"/>
      <c r="AB39" s="175" t="str">
        <f t="shared" si="4"/>
        <v/>
      </c>
      <c r="AC39" s="262" t="str">
        <f t="shared" si="5"/>
        <v/>
      </c>
      <c r="AD39" s="382" t="str">
        <f>IFERROR(IF(AC39="Check Data","Check Data",VLOOKUP(AC39,'G-4 Temporal multipliers'!$A$4:$C$37,3,FALSE)),"")</f>
        <v/>
      </c>
      <c r="AE39" s="239" t="str">
        <f>IF(N39="","",VLOOKUP(N39,'G-7 Rivers Data'!$B$4:$G$8,5,FALSE))</f>
        <v/>
      </c>
      <c r="AF39" s="175" t="str">
        <f t="shared" si="6"/>
        <v/>
      </c>
      <c r="AG39" s="175" t="str">
        <f t="shared" si="7"/>
        <v/>
      </c>
      <c r="AH39" s="176" t="str">
        <f t="shared" si="2"/>
        <v/>
      </c>
      <c r="AI39" s="173"/>
      <c r="AJ39" s="172" t="str">
        <f>IF(AI39="","",IF(VLOOKUP(AI39,'G-7 Rivers Data'!$AA$4:$AB$7,2,FALSE)=0,"Spatial Data Missing",VLOOKUP(AI39,'G-7 Rivers Data'!$AA$4:$AB$7,2,FALSE)))</f>
        <v/>
      </c>
      <c r="AK39" s="187"/>
      <c r="AL39" s="172" t="str">
        <f>IF(AK39="","",IF(VLOOKUP(AK39,'G-7 Rivers Data'!$AD$4:$AE$8,2,FALSE)=0,"Spatial Data Missing",VLOOKUP(AK39,'G-7 Rivers Data'!$AD$4:$AE$8,2,FALSE)))</f>
        <v/>
      </c>
      <c r="AM39" s="186"/>
      <c r="AN39" s="176" t="str">
        <f>IF(AM39="","",VLOOKUP(AM39,'G-7 Rivers Data'!$AO$4:$AP$7,2,FALSE))</f>
        <v/>
      </c>
      <c r="AO39" s="265" t="str">
        <f t="shared" si="8"/>
        <v/>
      </c>
      <c r="AP39" s="180"/>
      <c r="AQ39" s="181"/>
      <c r="AX39" s="35" t="str">
        <f>IFERROR(INDEX('G-7 Rivers Data'!$AZ$3:$AZ$7,MATCH(N39,'G-7 Rivers Data'!$AY$3:$AY$7,0)),"")</f>
        <v/>
      </c>
    </row>
    <row r="40" spans="2:50" ht="13.8" x14ac:dyDescent="0.25">
      <c r="B40" s="259" t="str">
        <f>'F-1 Off Site River Baseline'!AN38</f>
        <v/>
      </c>
      <c r="C40" s="175" t="str">
        <f>IF(B40="","",VLOOKUP($B40,'F-1 Off Site River Baseline'!$C$9:$R$257,2,FALSE))</f>
        <v/>
      </c>
      <c r="D40" s="175" t="str">
        <f>IF(C40="","",VLOOKUP($B40,'F-1 Off Site River Baseline'!$C$9:$R$257,3,FALSE))</f>
        <v/>
      </c>
      <c r="E40" s="175" t="str">
        <f>IF(D40="","",VLOOKUP($B40,'F-1 Off Site River Baseline'!$C$9:$R$257,4,FALSE))</f>
        <v/>
      </c>
      <c r="F40" s="175" t="str">
        <f>IF(E40="","",VLOOKUP($B40,'F-1 Off Site River Baseline'!$C$9:$R$257,5,FALSE))</f>
        <v/>
      </c>
      <c r="G40" s="175" t="str">
        <f>IF(F40="","",VLOOKUP($B40,'F-1 Off Site River Baseline'!$C$9:$R$257,6,FALSE))</f>
        <v/>
      </c>
      <c r="H40" s="175" t="str">
        <f>IF(G40="","",VLOOKUP($B40,'F-1 Off Site River Baseline'!$C$9:$R$257,7,FALSE))</f>
        <v/>
      </c>
      <c r="I40" s="175" t="str">
        <f>IF(H40="","",VLOOKUP($B40,'F-1 Off Site River Baseline'!$C$9:$R$257,8,FALSE))</f>
        <v/>
      </c>
      <c r="J40" s="175" t="str">
        <f>IF(I40="","",VLOOKUP($B40,'F-1 Off Site River Baseline'!$C$9:$R$257,9,FALSE))</f>
        <v/>
      </c>
      <c r="K40" s="175" t="str">
        <f>IF(J40="","",VLOOKUP($B40,'F-1 Off Site River Baseline'!$C$9:$R$257,10,FALSE))</f>
        <v/>
      </c>
      <c r="L40" s="175" t="str">
        <f>IF(B40="","",VLOOKUP($B40,'C-1 Site River Baseline'!$C$9:$R$257,15,FALSE))</f>
        <v/>
      </c>
      <c r="M40" s="176" t="str">
        <f>IF(L40="","",VLOOKUP($B40,'F-1 Off Site River Baseline'!$C$9:$R$257,16,FALSE))</f>
        <v/>
      </c>
      <c r="N40" s="639" t="str">
        <f t="shared" si="0"/>
        <v/>
      </c>
      <c r="O40" s="171" t="str">
        <f t="shared" si="3"/>
        <v/>
      </c>
      <c r="P40" s="172" t="str">
        <f>IF(C40="","",IF(AND(LEFT(C40,55)&lt;&gt;LEFT(N40,55),O40="High - High"),"Error - Not like for like",IF(AND(F40=S40,H40&gt;U40),"Error - Can not reduce condition",IF(AND(F40=S40,H40=U40,AJ40='F-1 Off Site River Baseline'!N38,'F-1 Off Site River Baseline'!P38=AL40),"Error - No enhancement",IF(AND(C40&lt;&gt;N40,F40&lt;S40),"Lower Distinctiveness Habitat"&amp;" - "&amp;T40,G40&amp;" - "&amp;T40)))))</f>
        <v/>
      </c>
      <c r="Q40" s="260" t="str">
        <f>IF(N40="","",VLOOKUP(B40,'F-1 Off Site River Baseline'!$C$10:$AA$257,19,FALSE))</f>
        <v/>
      </c>
      <c r="R40" s="171" t="str">
        <f>IF(N40="","",VLOOKUP(N40,'G-7 Rivers Data'!$B$2:$G$8,2,FALSE))</f>
        <v/>
      </c>
      <c r="S40" s="172" t="str">
        <f>IFERROR(VLOOKUP(R40,'G-7 Rivers Data'!$C$4:$D$8,2,FALSE),"")</f>
        <v/>
      </c>
      <c r="T40" s="173"/>
      <c r="U40" s="172" t="str">
        <f>IFERROR(INDEX('G-7 Rivers Data'!$H$4:$L$8,MATCH(N40,'G-7 Rivers Data'!$B$4:$B$8,0),MATCH(T40,'G-7 Rivers Data'!$H$3:$L$3,0)),"")</f>
        <v/>
      </c>
      <c r="V40" s="186"/>
      <c r="W40" s="175" t="str">
        <f>IF(V40="","",IF(VLOOKUP(V40,'G-7 Rivers Data'!$AG$4:$AI$9,2,FALSE)=0,"Spatial Data Missing",VLOOKUP(V40,'G-7 Rivers Data'!$AG$4:$AI$9,2,FALSE)))</f>
        <v/>
      </c>
      <c r="X40" s="176" t="str">
        <f>IF(V40="","",IF(VLOOKUP(V40,'G-7 Rivers Data'!$AG$4:$AI$9,3,FALSE)=0,"Spatial Data Missing",VLOOKUP(V40,'G-7 Rivers Data'!$AG$4:$AI$9,3,FALSE)))</f>
        <v/>
      </c>
      <c r="Y40" s="239" t="str">
        <f>IFERROR(IF(OR(LEFT(P40,5)="Error",LEFT(O40,5)="Error"),"Check Data",IF(F40&lt;S40,'G-7 Rivers Data'!$R$3,INDEX('G-7 Rivers Data'!$U$5:$Y$9,MATCH(G40,'G-7 Rivers Data'!$T$5:$T$9,0),MATCH(T40,'G-7 Rivers Data'!$U$4:$Y$4,0)))),"")</f>
        <v/>
      </c>
      <c r="Z40" s="275"/>
      <c r="AA40" s="275"/>
      <c r="AB40" s="175" t="str">
        <f t="shared" si="4"/>
        <v/>
      </c>
      <c r="AC40" s="262" t="str">
        <f t="shared" si="5"/>
        <v/>
      </c>
      <c r="AD40" s="382" t="str">
        <f>IFERROR(IF(AC40="Check Data","Check Data",VLOOKUP(AC40,'G-4 Temporal multipliers'!$A$4:$C$37,3,FALSE)),"")</f>
        <v/>
      </c>
      <c r="AE40" s="239" t="str">
        <f>IF(N40="","",VLOOKUP(N40,'G-7 Rivers Data'!$B$4:$G$8,5,FALSE))</f>
        <v/>
      </c>
      <c r="AF40" s="175" t="str">
        <f t="shared" si="6"/>
        <v/>
      </c>
      <c r="AG40" s="175" t="str">
        <f t="shared" si="7"/>
        <v/>
      </c>
      <c r="AH40" s="176" t="str">
        <f t="shared" si="2"/>
        <v/>
      </c>
      <c r="AI40" s="173"/>
      <c r="AJ40" s="172" t="str">
        <f>IF(AI40="","",IF(VLOOKUP(AI40,'G-7 Rivers Data'!$AA$4:$AB$7,2,FALSE)=0,"Spatial Data Missing",VLOOKUP(AI40,'G-7 Rivers Data'!$AA$4:$AB$7,2,FALSE)))</f>
        <v/>
      </c>
      <c r="AK40" s="187"/>
      <c r="AL40" s="172" t="str">
        <f>IF(AK40="","",IF(VLOOKUP(AK40,'G-7 Rivers Data'!$AD$4:$AE$8,2,FALSE)=0,"Spatial Data Missing",VLOOKUP(AK40,'G-7 Rivers Data'!$AD$4:$AE$8,2,FALSE)))</f>
        <v/>
      </c>
      <c r="AM40" s="186"/>
      <c r="AN40" s="176" t="str">
        <f>IF(AM40="","",VLOOKUP(AM40,'G-7 Rivers Data'!$AO$4:$AP$7,2,FALSE))</f>
        <v/>
      </c>
      <c r="AO40" s="265" t="str">
        <f t="shared" si="8"/>
        <v/>
      </c>
      <c r="AP40" s="180"/>
      <c r="AQ40" s="181"/>
      <c r="AX40" s="35" t="str">
        <f>IFERROR(INDEX('G-7 Rivers Data'!$AZ$3:$AZ$7,MATCH(N40,'G-7 Rivers Data'!$AY$3:$AY$7,0)),"")</f>
        <v/>
      </c>
    </row>
    <row r="41" spans="2:50" ht="13.8" x14ac:dyDescent="0.25">
      <c r="B41" s="259" t="str">
        <f>'F-1 Off Site River Baseline'!AN39</f>
        <v/>
      </c>
      <c r="C41" s="175" t="str">
        <f>IF(B41="","",VLOOKUP($B41,'F-1 Off Site River Baseline'!$C$9:$R$257,2,FALSE))</f>
        <v/>
      </c>
      <c r="D41" s="175" t="str">
        <f>IF(C41="","",VLOOKUP($B41,'F-1 Off Site River Baseline'!$C$9:$R$257,3,FALSE))</f>
        <v/>
      </c>
      <c r="E41" s="175" t="str">
        <f>IF(D41="","",VLOOKUP($B41,'F-1 Off Site River Baseline'!$C$9:$R$257,4,FALSE))</f>
        <v/>
      </c>
      <c r="F41" s="175" t="str">
        <f>IF(E41="","",VLOOKUP($B41,'F-1 Off Site River Baseline'!$C$9:$R$257,5,FALSE))</f>
        <v/>
      </c>
      <c r="G41" s="175" t="str">
        <f>IF(F41="","",VLOOKUP($B41,'F-1 Off Site River Baseline'!$C$9:$R$257,6,FALSE))</f>
        <v/>
      </c>
      <c r="H41" s="175" t="str">
        <f>IF(G41="","",VLOOKUP($B41,'F-1 Off Site River Baseline'!$C$9:$R$257,7,FALSE))</f>
        <v/>
      </c>
      <c r="I41" s="175" t="str">
        <f>IF(H41="","",VLOOKUP($B41,'F-1 Off Site River Baseline'!$C$9:$R$257,8,FALSE))</f>
        <v/>
      </c>
      <c r="J41" s="175" t="str">
        <f>IF(I41="","",VLOOKUP($B41,'F-1 Off Site River Baseline'!$C$9:$R$257,9,FALSE))</f>
        <v/>
      </c>
      <c r="K41" s="175" t="str">
        <f>IF(J41="","",VLOOKUP($B41,'F-1 Off Site River Baseline'!$C$9:$R$257,10,FALSE))</f>
        <v/>
      </c>
      <c r="L41" s="175" t="str">
        <f>IF(B41="","",VLOOKUP($B41,'C-1 Site River Baseline'!$C$9:$R$257,15,FALSE))</f>
        <v/>
      </c>
      <c r="M41" s="176" t="str">
        <f>IF(L41="","",VLOOKUP($B41,'F-1 Off Site River Baseline'!$C$9:$R$257,16,FALSE))</f>
        <v/>
      </c>
      <c r="N41" s="639" t="str">
        <f t="shared" si="0"/>
        <v/>
      </c>
      <c r="O41" s="171" t="str">
        <f t="shared" si="3"/>
        <v/>
      </c>
      <c r="P41" s="172" t="str">
        <f>IF(C41="","",IF(AND(LEFT(C41,55)&lt;&gt;LEFT(N41,55),O41="High - High"),"Error - Not like for like",IF(AND(F41=S41,H41&gt;U41),"Error - Can not reduce condition",IF(AND(F41=S41,H41=U41,AJ41='F-1 Off Site River Baseline'!N39,'F-1 Off Site River Baseline'!P39=AL41),"Error - No enhancement",IF(AND(C41&lt;&gt;N41,F41&lt;S41),"Lower Distinctiveness Habitat"&amp;" - "&amp;T41,G41&amp;" - "&amp;T41)))))</f>
        <v/>
      </c>
      <c r="Q41" s="260" t="str">
        <f>IF(N41="","",VLOOKUP(B41,'F-1 Off Site River Baseline'!$C$10:$AA$257,19,FALSE))</f>
        <v/>
      </c>
      <c r="R41" s="171" t="str">
        <f>IF(N41="","",VLOOKUP(N41,'G-7 Rivers Data'!$B$2:$G$8,2,FALSE))</f>
        <v/>
      </c>
      <c r="S41" s="172" t="str">
        <f>IFERROR(VLOOKUP(R41,'G-7 Rivers Data'!$C$4:$D$8,2,FALSE),"")</f>
        <v/>
      </c>
      <c r="T41" s="173"/>
      <c r="U41" s="172" t="str">
        <f>IFERROR(INDEX('G-7 Rivers Data'!$H$4:$L$8,MATCH(N41,'G-7 Rivers Data'!$B$4:$B$8,0),MATCH(T41,'G-7 Rivers Data'!$H$3:$L$3,0)),"")</f>
        <v/>
      </c>
      <c r="V41" s="186"/>
      <c r="W41" s="175" t="str">
        <f>IF(V41="","",IF(VLOOKUP(V41,'G-7 Rivers Data'!$AG$4:$AI$9,2,FALSE)=0,"Spatial Data Missing",VLOOKUP(V41,'G-7 Rivers Data'!$AG$4:$AI$9,2,FALSE)))</f>
        <v/>
      </c>
      <c r="X41" s="176" t="str">
        <f>IF(V41="","",IF(VLOOKUP(V41,'G-7 Rivers Data'!$AG$4:$AI$9,3,FALSE)=0,"Spatial Data Missing",VLOOKUP(V41,'G-7 Rivers Data'!$AG$4:$AI$9,3,FALSE)))</f>
        <v/>
      </c>
      <c r="Y41" s="239" t="str">
        <f>IFERROR(IF(OR(LEFT(P41,5)="Error",LEFT(O41,5)="Error"),"Check Data",IF(F41&lt;S41,'G-7 Rivers Data'!$R$3,INDEX('G-7 Rivers Data'!$U$5:$Y$9,MATCH(G41,'G-7 Rivers Data'!$T$5:$T$9,0),MATCH(T41,'G-7 Rivers Data'!$U$4:$Y$4,0)))),"")</f>
        <v/>
      </c>
      <c r="Z41" s="275"/>
      <c r="AA41" s="275"/>
      <c r="AB41" s="175" t="str">
        <f t="shared" si="4"/>
        <v/>
      </c>
      <c r="AC41" s="262" t="str">
        <f t="shared" si="5"/>
        <v/>
      </c>
      <c r="AD41" s="382" t="str">
        <f>IFERROR(IF(AC41="Check Data","Check Data",VLOOKUP(AC41,'G-4 Temporal multipliers'!$A$4:$C$37,3,FALSE)),"")</f>
        <v/>
      </c>
      <c r="AE41" s="239" t="str">
        <f>IF(N41="","",VLOOKUP(N41,'G-7 Rivers Data'!$B$4:$G$8,5,FALSE))</f>
        <v/>
      </c>
      <c r="AF41" s="175" t="str">
        <f t="shared" si="6"/>
        <v/>
      </c>
      <c r="AG41" s="175" t="str">
        <f t="shared" si="7"/>
        <v/>
      </c>
      <c r="AH41" s="176" t="str">
        <f t="shared" si="2"/>
        <v/>
      </c>
      <c r="AI41" s="173"/>
      <c r="AJ41" s="172" t="str">
        <f>IF(AI41="","",IF(VLOOKUP(AI41,'G-7 Rivers Data'!$AA$4:$AB$7,2,FALSE)=0,"Spatial Data Missing",VLOOKUP(AI41,'G-7 Rivers Data'!$AA$4:$AB$7,2,FALSE)))</f>
        <v/>
      </c>
      <c r="AK41" s="187"/>
      <c r="AL41" s="172" t="str">
        <f>IF(AK41="","",IF(VLOOKUP(AK41,'G-7 Rivers Data'!$AD$4:$AE$8,2,FALSE)=0,"Spatial Data Missing",VLOOKUP(AK41,'G-7 Rivers Data'!$AD$4:$AE$8,2,FALSE)))</f>
        <v/>
      </c>
      <c r="AM41" s="186"/>
      <c r="AN41" s="176" t="str">
        <f>IF(AM41="","",VLOOKUP(AM41,'G-7 Rivers Data'!$AO$4:$AP$7,2,FALSE))</f>
        <v/>
      </c>
      <c r="AO41" s="265" t="str">
        <f t="shared" si="8"/>
        <v/>
      </c>
      <c r="AP41" s="180"/>
      <c r="AQ41" s="181"/>
      <c r="AX41" s="35" t="str">
        <f>IFERROR(INDEX('G-7 Rivers Data'!$AZ$3:$AZ$7,MATCH(N41,'G-7 Rivers Data'!$AY$3:$AY$7,0)),"")</f>
        <v/>
      </c>
    </row>
    <row r="42" spans="2:50" ht="13.8" x14ac:dyDescent="0.25">
      <c r="B42" s="259" t="str">
        <f>'F-1 Off Site River Baseline'!AN40</f>
        <v/>
      </c>
      <c r="C42" s="175" t="str">
        <f>IF(B42="","",VLOOKUP($B42,'F-1 Off Site River Baseline'!$C$9:$R$257,2,FALSE))</f>
        <v/>
      </c>
      <c r="D42" s="175" t="str">
        <f>IF(C42="","",VLOOKUP($B42,'F-1 Off Site River Baseline'!$C$9:$R$257,3,FALSE))</f>
        <v/>
      </c>
      <c r="E42" s="175" t="str">
        <f>IF(D42="","",VLOOKUP($B42,'F-1 Off Site River Baseline'!$C$9:$R$257,4,FALSE))</f>
        <v/>
      </c>
      <c r="F42" s="175" t="str">
        <f>IF(E42="","",VLOOKUP($B42,'F-1 Off Site River Baseline'!$C$9:$R$257,5,FALSE))</f>
        <v/>
      </c>
      <c r="G42" s="175" t="str">
        <f>IF(F42="","",VLOOKUP($B42,'F-1 Off Site River Baseline'!$C$9:$R$257,6,FALSE))</f>
        <v/>
      </c>
      <c r="H42" s="175" t="str">
        <f>IF(G42="","",VLOOKUP($B42,'F-1 Off Site River Baseline'!$C$9:$R$257,7,FALSE))</f>
        <v/>
      </c>
      <c r="I42" s="175" t="str">
        <f>IF(H42="","",VLOOKUP($B42,'F-1 Off Site River Baseline'!$C$9:$R$257,8,FALSE))</f>
        <v/>
      </c>
      <c r="J42" s="175" t="str">
        <f>IF(I42="","",VLOOKUP($B42,'F-1 Off Site River Baseline'!$C$9:$R$257,9,FALSE))</f>
        <v/>
      </c>
      <c r="K42" s="175" t="str">
        <f>IF(J42="","",VLOOKUP($B42,'F-1 Off Site River Baseline'!$C$9:$R$257,10,FALSE))</f>
        <v/>
      </c>
      <c r="L42" s="175" t="str">
        <f>IF(B42="","",VLOOKUP($B42,'C-1 Site River Baseline'!$C$9:$R$257,15,FALSE))</f>
        <v/>
      </c>
      <c r="M42" s="176" t="str">
        <f>IF(L42="","",VLOOKUP($B42,'F-1 Off Site River Baseline'!$C$9:$R$257,16,FALSE))</f>
        <v/>
      </c>
      <c r="N42" s="639" t="str">
        <f t="shared" si="0"/>
        <v/>
      </c>
      <c r="O42" s="171" t="str">
        <f t="shared" si="3"/>
        <v/>
      </c>
      <c r="P42" s="172" t="str">
        <f>IF(C42="","",IF(AND(LEFT(C42,55)&lt;&gt;LEFT(N42,55),O42="High - High"),"Error - Not like for like",IF(AND(F42=S42,H42&gt;U42),"Error - Can not reduce condition",IF(AND(F42=S42,H42=U42,AJ42='F-1 Off Site River Baseline'!N40,'F-1 Off Site River Baseline'!P40=AL42),"Error - No enhancement",IF(AND(C42&lt;&gt;N42,F42&lt;S42),"Lower Distinctiveness Habitat"&amp;" - "&amp;T42,G42&amp;" - "&amp;T42)))))</f>
        <v/>
      </c>
      <c r="Q42" s="260" t="str">
        <f>IF(N42="","",VLOOKUP(B42,'F-1 Off Site River Baseline'!$C$10:$AA$257,19,FALSE))</f>
        <v/>
      </c>
      <c r="R42" s="171" t="str">
        <f>IF(N42="","",VLOOKUP(N42,'G-7 Rivers Data'!$B$2:$G$8,2,FALSE))</f>
        <v/>
      </c>
      <c r="S42" s="172" t="str">
        <f>IFERROR(VLOOKUP(R42,'G-7 Rivers Data'!$C$4:$D$8,2,FALSE),"")</f>
        <v/>
      </c>
      <c r="T42" s="173"/>
      <c r="U42" s="172" t="str">
        <f>IFERROR(INDEX('G-7 Rivers Data'!$H$4:$L$8,MATCH(N42,'G-7 Rivers Data'!$B$4:$B$8,0),MATCH(T42,'G-7 Rivers Data'!$H$3:$L$3,0)),"")</f>
        <v/>
      </c>
      <c r="V42" s="186"/>
      <c r="W42" s="175" t="str">
        <f>IF(V42="","",IF(VLOOKUP(V42,'G-7 Rivers Data'!$AG$4:$AI$9,2,FALSE)=0,"Spatial Data Missing",VLOOKUP(V42,'G-7 Rivers Data'!$AG$4:$AI$9,2,FALSE)))</f>
        <v/>
      </c>
      <c r="X42" s="176" t="str">
        <f>IF(V42="","",IF(VLOOKUP(V42,'G-7 Rivers Data'!$AG$4:$AI$9,3,FALSE)=0,"Spatial Data Missing",VLOOKUP(V42,'G-7 Rivers Data'!$AG$4:$AI$9,3,FALSE)))</f>
        <v/>
      </c>
      <c r="Y42" s="239" t="str">
        <f>IFERROR(IF(OR(LEFT(P42,5)="Error",LEFT(O42,5)="Error"),"Check Data",IF(F42&lt;S42,'G-7 Rivers Data'!$R$3,INDEX('G-7 Rivers Data'!$U$5:$Y$9,MATCH(G42,'G-7 Rivers Data'!$T$5:$T$9,0),MATCH(T42,'G-7 Rivers Data'!$U$4:$Y$4,0)))),"")</f>
        <v/>
      </c>
      <c r="Z42" s="275"/>
      <c r="AA42" s="275"/>
      <c r="AB42" s="175" t="str">
        <f t="shared" si="4"/>
        <v/>
      </c>
      <c r="AC42" s="262" t="str">
        <f t="shared" si="5"/>
        <v/>
      </c>
      <c r="AD42" s="382" t="str">
        <f>IFERROR(IF(AC42="Check Data","Check Data",VLOOKUP(AC42,'G-4 Temporal multipliers'!$A$4:$C$37,3,FALSE)),"")</f>
        <v/>
      </c>
      <c r="AE42" s="239" t="str">
        <f>IF(N42="","",VLOOKUP(N42,'G-7 Rivers Data'!$B$4:$G$8,5,FALSE))</f>
        <v/>
      </c>
      <c r="AF42" s="175" t="str">
        <f t="shared" si="6"/>
        <v/>
      </c>
      <c r="AG42" s="175" t="str">
        <f t="shared" si="7"/>
        <v/>
      </c>
      <c r="AH42" s="176" t="str">
        <f t="shared" si="2"/>
        <v/>
      </c>
      <c r="AI42" s="173"/>
      <c r="AJ42" s="172" t="str">
        <f>IF(AI42="","",IF(VLOOKUP(AI42,'G-7 Rivers Data'!$AA$4:$AB$7,2,FALSE)=0,"Spatial Data Missing",VLOOKUP(AI42,'G-7 Rivers Data'!$AA$4:$AB$7,2,FALSE)))</f>
        <v/>
      </c>
      <c r="AK42" s="187"/>
      <c r="AL42" s="172" t="str">
        <f>IF(AK42="","",IF(VLOOKUP(AK42,'G-7 Rivers Data'!$AD$4:$AE$8,2,FALSE)=0,"Spatial Data Missing",VLOOKUP(AK42,'G-7 Rivers Data'!$AD$4:$AE$8,2,FALSE)))</f>
        <v/>
      </c>
      <c r="AM42" s="186"/>
      <c r="AN42" s="176" t="str">
        <f>IF(AM42="","",VLOOKUP(AM42,'G-7 Rivers Data'!$AO$4:$AP$7,2,FALSE))</f>
        <v/>
      </c>
      <c r="AO42" s="265" t="str">
        <f t="shared" si="8"/>
        <v/>
      </c>
      <c r="AP42" s="180"/>
      <c r="AQ42" s="181"/>
      <c r="AX42" s="35" t="str">
        <f>IFERROR(INDEX('G-7 Rivers Data'!$AZ$3:$AZ$7,MATCH(N42,'G-7 Rivers Data'!$AY$3:$AY$7,0)),"")</f>
        <v/>
      </c>
    </row>
    <row r="43" spans="2:50" ht="13.8" x14ac:dyDescent="0.25">
      <c r="B43" s="259" t="str">
        <f>'F-1 Off Site River Baseline'!AN41</f>
        <v/>
      </c>
      <c r="C43" s="175" t="str">
        <f>IF(B43="","",VLOOKUP($B43,'F-1 Off Site River Baseline'!$C$9:$R$257,2,FALSE))</f>
        <v/>
      </c>
      <c r="D43" s="175" t="str">
        <f>IF(C43="","",VLOOKUP($B43,'F-1 Off Site River Baseline'!$C$9:$R$257,3,FALSE))</f>
        <v/>
      </c>
      <c r="E43" s="175" t="str">
        <f>IF(D43="","",VLOOKUP($B43,'F-1 Off Site River Baseline'!$C$9:$R$257,4,FALSE))</f>
        <v/>
      </c>
      <c r="F43" s="175" t="str">
        <f>IF(E43="","",VLOOKUP($B43,'F-1 Off Site River Baseline'!$C$9:$R$257,5,FALSE))</f>
        <v/>
      </c>
      <c r="G43" s="175" t="str">
        <f>IF(F43="","",VLOOKUP($B43,'F-1 Off Site River Baseline'!$C$9:$R$257,6,FALSE))</f>
        <v/>
      </c>
      <c r="H43" s="175" t="str">
        <f>IF(G43="","",VLOOKUP($B43,'F-1 Off Site River Baseline'!$C$9:$R$257,7,FALSE))</f>
        <v/>
      </c>
      <c r="I43" s="175" t="str">
        <f>IF(H43="","",VLOOKUP($B43,'F-1 Off Site River Baseline'!$C$9:$R$257,8,FALSE))</f>
        <v/>
      </c>
      <c r="J43" s="175" t="str">
        <f>IF(I43="","",VLOOKUP($B43,'F-1 Off Site River Baseline'!$C$9:$R$257,9,FALSE))</f>
        <v/>
      </c>
      <c r="K43" s="175" t="str">
        <f>IF(J43="","",VLOOKUP($B43,'F-1 Off Site River Baseline'!$C$9:$R$257,10,FALSE))</f>
        <v/>
      </c>
      <c r="L43" s="175" t="str">
        <f>IF(B43="","",VLOOKUP($B43,'C-1 Site River Baseline'!$C$9:$R$257,15,FALSE))</f>
        <v/>
      </c>
      <c r="M43" s="176" t="str">
        <f>IF(L43="","",VLOOKUP($B43,'F-1 Off Site River Baseline'!$C$9:$R$257,16,FALSE))</f>
        <v/>
      </c>
      <c r="N43" s="639" t="str">
        <f t="shared" si="0"/>
        <v/>
      </c>
      <c r="O43" s="171" t="str">
        <f t="shared" si="3"/>
        <v/>
      </c>
      <c r="P43" s="172" t="str">
        <f>IF(C43="","",IF(AND(LEFT(C43,55)&lt;&gt;LEFT(N43,55),O43="High - High"),"Error - Not like for like",IF(AND(F43=S43,H43&gt;U43),"Error - Can not reduce condition",IF(AND(F43=S43,H43=U43,AJ43='F-1 Off Site River Baseline'!N41,'F-1 Off Site River Baseline'!P41=AL43),"Error - No enhancement",IF(AND(C43&lt;&gt;N43,F43&lt;S43),"Lower Distinctiveness Habitat"&amp;" - "&amp;T43,G43&amp;" - "&amp;T43)))))</f>
        <v/>
      </c>
      <c r="Q43" s="260" t="str">
        <f>IF(N43="","",VLOOKUP(B43,'F-1 Off Site River Baseline'!$C$10:$AA$257,19,FALSE))</f>
        <v/>
      </c>
      <c r="R43" s="171" t="str">
        <f>IF(N43="","",VLOOKUP(N43,'G-7 Rivers Data'!$B$2:$G$8,2,FALSE))</f>
        <v/>
      </c>
      <c r="S43" s="172" t="str">
        <f>IFERROR(VLOOKUP(R43,'G-7 Rivers Data'!$C$4:$D$8,2,FALSE),"")</f>
        <v/>
      </c>
      <c r="T43" s="173"/>
      <c r="U43" s="172" t="str">
        <f>IFERROR(INDEX('G-7 Rivers Data'!$H$4:$L$8,MATCH(N43,'G-7 Rivers Data'!$B$4:$B$8,0),MATCH(T43,'G-7 Rivers Data'!$H$3:$L$3,0)),"")</f>
        <v/>
      </c>
      <c r="V43" s="186"/>
      <c r="W43" s="175" t="str">
        <f>IF(V43="","",IF(VLOOKUP(V43,'G-7 Rivers Data'!$AG$4:$AI$9,2,FALSE)=0,"Spatial Data Missing",VLOOKUP(V43,'G-7 Rivers Data'!$AG$4:$AI$9,2,FALSE)))</f>
        <v/>
      </c>
      <c r="X43" s="176" t="str">
        <f>IF(V43="","",IF(VLOOKUP(V43,'G-7 Rivers Data'!$AG$4:$AI$9,3,FALSE)=0,"Spatial Data Missing",VLOOKUP(V43,'G-7 Rivers Data'!$AG$4:$AI$9,3,FALSE)))</f>
        <v/>
      </c>
      <c r="Y43" s="239" t="str">
        <f>IFERROR(IF(OR(LEFT(P43,5)="Error",LEFT(O43,5)="Error"),"Check Data",IF(F43&lt;S43,'G-7 Rivers Data'!$R$3,INDEX('G-7 Rivers Data'!$U$5:$Y$9,MATCH(G43,'G-7 Rivers Data'!$T$5:$T$9,0),MATCH(T43,'G-7 Rivers Data'!$U$4:$Y$4,0)))),"")</f>
        <v/>
      </c>
      <c r="Z43" s="275"/>
      <c r="AA43" s="275"/>
      <c r="AB43" s="175" t="str">
        <f t="shared" si="4"/>
        <v/>
      </c>
      <c r="AC43" s="262" t="str">
        <f t="shared" si="5"/>
        <v/>
      </c>
      <c r="AD43" s="382" t="str">
        <f>IFERROR(IF(AC43="Check Data","Check Data",VLOOKUP(AC43,'G-4 Temporal multipliers'!$A$4:$C$37,3,FALSE)),"")</f>
        <v/>
      </c>
      <c r="AE43" s="239" t="str">
        <f>IF(N43="","",VLOOKUP(N43,'G-7 Rivers Data'!$B$4:$G$8,5,FALSE))</f>
        <v/>
      </c>
      <c r="AF43" s="175" t="str">
        <f t="shared" si="6"/>
        <v/>
      </c>
      <c r="AG43" s="175" t="str">
        <f t="shared" si="7"/>
        <v/>
      </c>
      <c r="AH43" s="176" t="str">
        <f t="shared" si="2"/>
        <v/>
      </c>
      <c r="AI43" s="173"/>
      <c r="AJ43" s="172" t="str">
        <f>IF(AI43="","",IF(VLOOKUP(AI43,'G-7 Rivers Data'!$AA$4:$AB$7,2,FALSE)=0,"Spatial Data Missing",VLOOKUP(AI43,'G-7 Rivers Data'!$AA$4:$AB$7,2,FALSE)))</f>
        <v/>
      </c>
      <c r="AK43" s="187"/>
      <c r="AL43" s="172" t="str">
        <f>IF(AK43="","",IF(VLOOKUP(AK43,'G-7 Rivers Data'!$AD$4:$AE$8,2,FALSE)=0,"Spatial Data Missing",VLOOKUP(AK43,'G-7 Rivers Data'!$AD$4:$AE$8,2,FALSE)))</f>
        <v/>
      </c>
      <c r="AM43" s="186"/>
      <c r="AN43" s="176" t="str">
        <f>IF(AM43="","",VLOOKUP(AM43,'G-7 Rivers Data'!$AO$4:$AP$7,2,FALSE))</f>
        <v/>
      </c>
      <c r="AO43" s="265" t="str">
        <f t="shared" si="8"/>
        <v/>
      </c>
      <c r="AP43" s="180"/>
      <c r="AQ43" s="181"/>
      <c r="AX43" s="35" t="str">
        <f>IFERROR(INDEX('G-7 Rivers Data'!$AZ$3:$AZ$7,MATCH(N43,'G-7 Rivers Data'!$AY$3:$AY$7,0)),"")</f>
        <v/>
      </c>
    </row>
    <row r="44" spans="2:50" ht="13.8" x14ac:dyDescent="0.25">
      <c r="B44" s="259" t="str">
        <f>'F-1 Off Site River Baseline'!AN42</f>
        <v/>
      </c>
      <c r="C44" s="175" t="str">
        <f>IF(B44="","",VLOOKUP($B44,'F-1 Off Site River Baseline'!$C$9:$R$257,2,FALSE))</f>
        <v/>
      </c>
      <c r="D44" s="175" t="str">
        <f>IF(C44="","",VLOOKUP($B44,'F-1 Off Site River Baseline'!$C$9:$R$257,3,FALSE))</f>
        <v/>
      </c>
      <c r="E44" s="175" t="str">
        <f>IF(D44="","",VLOOKUP($B44,'F-1 Off Site River Baseline'!$C$9:$R$257,4,FALSE))</f>
        <v/>
      </c>
      <c r="F44" s="175" t="str">
        <f>IF(E44="","",VLOOKUP($B44,'F-1 Off Site River Baseline'!$C$9:$R$257,5,FALSE))</f>
        <v/>
      </c>
      <c r="G44" s="175" t="str">
        <f>IF(F44="","",VLOOKUP($B44,'F-1 Off Site River Baseline'!$C$9:$R$257,6,FALSE))</f>
        <v/>
      </c>
      <c r="H44" s="175" t="str">
        <f>IF(G44="","",VLOOKUP($B44,'F-1 Off Site River Baseline'!$C$9:$R$257,7,FALSE))</f>
        <v/>
      </c>
      <c r="I44" s="175" t="str">
        <f>IF(H44="","",VLOOKUP($B44,'F-1 Off Site River Baseline'!$C$9:$R$257,8,FALSE))</f>
        <v/>
      </c>
      <c r="J44" s="175" t="str">
        <f>IF(I44="","",VLOOKUP($B44,'F-1 Off Site River Baseline'!$C$9:$R$257,9,FALSE))</f>
        <v/>
      </c>
      <c r="K44" s="175" t="str">
        <f>IF(J44="","",VLOOKUP($B44,'F-1 Off Site River Baseline'!$C$9:$R$257,10,FALSE))</f>
        <v/>
      </c>
      <c r="L44" s="175" t="str">
        <f>IF(B44="","",VLOOKUP($B44,'C-1 Site River Baseline'!$C$9:$R$257,15,FALSE))</f>
        <v/>
      </c>
      <c r="M44" s="176" t="str">
        <f>IF(L44="","",VLOOKUP($B44,'F-1 Off Site River Baseline'!$C$9:$R$257,16,FALSE))</f>
        <v/>
      </c>
      <c r="N44" s="639" t="str">
        <f t="shared" si="0"/>
        <v/>
      </c>
      <c r="O44" s="171" t="str">
        <f t="shared" si="3"/>
        <v/>
      </c>
      <c r="P44" s="172" t="str">
        <f>IF(C44="","",IF(AND(LEFT(C44,55)&lt;&gt;LEFT(N44,55),O44="High - High"),"Error - Not like for like",IF(AND(F44=S44,H44&gt;U44),"Error - Can not reduce condition",IF(AND(F44=S44,H44=U44,AJ44='F-1 Off Site River Baseline'!N42,'F-1 Off Site River Baseline'!P42=AL44),"Error - No enhancement",IF(AND(C44&lt;&gt;N44,F44&lt;S44),"Lower Distinctiveness Habitat"&amp;" - "&amp;T44,G44&amp;" - "&amp;T44)))))</f>
        <v/>
      </c>
      <c r="Q44" s="260" t="str">
        <f>IF(N44="","",VLOOKUP(B44,'F-1 Off Site River Baseline'!$C$10:$AA$257,19,FALSE))</f>
        <v/>
      </c>
      <c r="R44" s="171" t="str">
        <f>IF(N44="","",VLOOKUP(N44,'G-7 Rivers Data'!$B$2:$G$8,2,FALSE))</f>
        <v/>
      </c>
      <c r="S44" s="172" t="str">
        <f>IFERROR(VLOOKUP(R44,'G-7 Rivers Data'!$C$4:$D$8,2,FALSE),"")</f>
        <v/>
      </c>
      <c r="T44" s="173"/>
      <c r="U44" s="172" t="str">
        <f>IFERROR(INDEX('G-7 Rivers Data'!$H$4:$L$8,MATCH(N44,'G-7 Rivers Data'!$B$4:$B$8,0),MATCH(T44,'G-7 Rivers Data'!$H$3:$L$3,0)),"")</f>
        <v/>
      </c>
      <c r="V44" s="186"/>
      <c r="W44" s="175" t="str">
        <f>IF(V44="","",IF(VLOOKUP(V44,'G-7 Rivers Data'!$AG$4:$AI$9,2,FALSE)=0,"Spatial Data Missing",VLOOKUP(V44,'G-7 Rivers Data'!$AG$4:$AI$9,2,FALSE)))</f>
        <v/>
      </c>
      <c r="X44" s="176" t="str">
        <f>IF(V44="","",IF(VLOOKUP(V44,'G-7 Rivers Data'!$AG$4:$AI$9,3,FALSE)=0,"Spatial Data Missing",VLOOKUP(V44,'G-7 Rivers Data'!$AG$4:$AI$9,3,FALSE)))</f>
        <v/>
      </c>
      <c r="Y44" s="239" t="str">
        <f>IFERROR(IF(OR(LEFT(P44,5)="Error",LEFT(O44,5)="Error"),"Check Data",IF(F44&lt;S44,'G-7 Rivers Data'!$R$3,INDEX('G-7 Rivers Data'!$U$5:$Y$9,MATCH(G44,'G-7 Rivers Data'!$T$5:$T$9,0),MATCH(T44,'G-7 Rivers Data'!$U$4:$Y$4,0)))),"")</f>
        <v/>
      </c>
      <c r="Z44" s="275"/>
      <c r="AA44" s="275"/>
      <c r="AB44" s="175" t="str">
        <f t="shared" si="4"/>
        <v/>
      </c>
      <c r="AC44" s="262" t="str">
        <f t="shared" si="5"/>
        <v/>
      </c>
      <c r="AD44" s="382" t="str">
        <f>IFERROR(IF(AC44="Check Data","Check Data",VLOOKUP(AC44,'G-4 Temporal multipliers'!$A$4:$C$37,3,FALSE)),"")</f>
        <v/>
      </c>
      <c r="AE44" s="239" t="str">
        <f>IF(N44="","",VLOOKUP(N44,'G-7 Rivers Data'!$B$4:$G$8,5,FALSE))</f>
        <v/>
      </c>
      <c r="AF44" s="175" t="str">
        <f t="shared" si="6"/>
        <v/>
      </c>
      <c r="AG44" s="175" t="str">
        <f t="shared" si="7"/>
        <v/>
      </c>
      <c r="AH44" s="176" t="str">
        <f t="shared" si="2"/>
        <v/>
      </c>
      <c r="AI44" s="173"/>
      <c r="AJ44" s="172" t="str">
        <f>IF(AI44="","",IF(VLOOKUP(AI44,'G-7 Rivers Data'!$AA$4:$AB$7,2,FALSE)=0,"Spatial Data Missing",VLOOKUP(AI44,'G-7 Rivers Data'!$AA$4:$AB$7,2,FALSE)))</f>
        <v/>
      </c>
      <c r="AK44" s="187"/>
      <c r="AL44" s="172" t="str">
        <f>IF(AK44="","",IF(VLOOKUP(AK44,'G-7 Rivers Data'!$AD$4:$AE$8,2,FALSE)=0,"Spatial Data Missing",VLOOKUP(AK44,'G-7 Rivers Data'!$AD$4:$AE$8,2,FALSE)))</f>
        <v/>
      </c>
      <c r="AM44" s="186"/>
      <c r="AN44" s="176" t="str">
        <f>IF(AM44="","",VLOOKUP(AM44,'G-7 Rivers Data'!$AO$4:$AP$7,2,FALSE))</f>
        <v/>
      </c>
      <c r="AO44" s="265" t="str">
        <f t="shared" si="8"/>
        <v/>
      </c>
      <c r="AP44" s="180"/>
      <c r="AQ44" s="181"/>
      <c r="AX44" s="35" t="str">
        <f>IFERROR(INDEX('G-7 Rivers Data'!$AZ$3:$AZ$7,MATCH(N44,'G-7 Rivers Data'!$AY$3:$AY$7,0)),"")</f>
        <v/>
      </c>
    </row>
    <row r="45" spans="2:50" ht="13.8" x14ac:dyDescent="0.25">
      <c r="B45" s="259" t="str">
        <f>'F-1 Off Site River Baseline'!AN43</f>
        <v/>
      </c>
      <c r="C45" s="175" t="str">
        <f>IF(B45="","",VLOOKUP($B45,'F-1 Off Site River Baseline'!$C$9:$R$257,2,FALSE))</f>
        <v/>
      </c>
      <c r="D45" s="175" t="str">
        <f>IF(C45="","",VLOOKUP($B45,'F-1 Off Site River Baseline'!$C$9:$R$257,3,FALSE))</f>
        <v/>
      </c>
      <c r="E45" s="175" t="str">
        <f>IF(D45="","",VLOOKUP($B45,'F-1 Off Site River Baseline'!$C$9:$R$257,4,FALSE))</f>
        <v/>
      </c>
      <c r="F45" s="175" t="str">
        <f>IF(E45="","",VLOOKUP($B45,'F-1 Off Site River Baseline'!$C$9:$R$257,5,FALSE))</f>
        <v/>
      </c>
      <c r="G45" s="175" t="str">
        <f>IF(F45="","",VLOOKUP($B45,'F-1 Off Site River Baseline'!$C$9:$R$257,6,FALSE))</f>
        <v/>
      </c>
      <c r="H45" s="175" t="str">
        <f>IF(G45="","",VLOOKUP($B45,'F-1 Off Site River Baseline'!$C$9:$R$257,7,FALSE))</f>
        <v/>
      </c>
      <c r="I45" s="175" t="str">
        <f>IF(H45="","",VLOOKUP($B45,'F-1 Off Site River Baseline'!$C$9:$R$257,8,FALSE))</f>
        <v/>
      </c>
      <c r="J45" s="175" t="str">
        <f>IF(I45="","",VLOOKUP($B45,'F-1 Off Site River Baseline'!$C$9:$R$257,9,FALSE))</f>
        <v/>
      </c>
      <c r="K45" s="175" t="str">
        <f>IF(J45="","",VLOOKUP($B45,'F-1 Off Site River Baseline'!$C$9:$R$257,10,FALSE))</f>
        <v/>
      </c>
      <c r="L45" s="175" t="str">
        <f>IF(B45="","",VLOOKUP($B45,'C-1 Site River Baseline'!$C$9:$R$257,15,FALSE))</f>
        <v/>
      </c>
      <c r="M45" s="176" t="str">
        <f>IF(L45="","",VLOOKUP($B45,'F-1 Off Site River Baseline'!$C$9:$R$257,16,FALSE))</f>
        <v/>
      </c>
      <c r="N45" s="639" t="str">
        <f t="shared" si="0"/>
        <v/>
      </c>
      <c r="O45" s="171" t="str">
        <f t="shared" si="3"/>
        <v/>
      </c>
      <c r="P45" s="172" t="str">
        <f>IF(C45="","",IF(AND(LEFT(C45,55)&lt;&gt;LEFT(N45,55),O45="High - High"),"Error - Not like for like",IF(AND(F45=S45,H45&gt;U45),"Error - Can not reduce condition",IF(AND(F45=S45,H45=U45,AJ45='F-1 Off Site River Baseline'!N43,'F-1 Off Site River Baseline'!P43=AL45),"Error - No enhancement",IF(AND(C45&lt;&gt;N45,F45&lt;S45),"Lower Distinctiveness Habitat"&amp;" - "&amp;T45,G45&amp;" - "&amp;T45)))))</f>
        <v/>
      </c>
      <c r="Q45" s="260" t="str">
        <f>IF(N45="","",VLOOKUP(B45,'F-1 Off Site River Baseline'!$C$10:$AA$257,19,FALSE))</f>
        <v/>
      </c>
      <c r="R45" s="171" t="str">
        <f>IF(N45="","",VLOOKUP(N45,'G-7 Rivers Data'!$B$2:$G$8,2,FALSE))</f>
        <v/>
      </c>
      <c r="S45" s="172" t="str">
        <f>IFERROR(VLOOKUP(R45,'G-7 Rivers Data'!$C$4:$D$8,2,FALSE),"")</f>
        <v/>
      </c>
      <c r="T45" s="173"/>
      <c r="U45" s="172" t="str">
        <f>IFERROR(INDEX('G-7 Rivers Data'!$H$4:$L$8,MATCH(N45,'G-7 Rivers Data'!$B$4:$B$8,0),MATCH(T45,'G-7 Rivers Data'!$H$3:$L$3,0)),"")</f>
        <v/>
      </c>
      <c r="V45" s="186"/>
      <c r="W45" s="175" t="str">
        <f>IF(V45="","",IF(VLOOKUP(V45,'G-7 Rivers Data'!$AG$4:$AI$9,2,FALSE)=0,"Spatial Data Missing",VLOOKUP(V45,'G-7 Rivers Data'!$AG$4:$AI$9,2,FALSE)))</f>
        <v/>
      </c>
      <c r="X45" s="176" t="str">
        <f>IF(V45="","",IF(VLOOKUP(V45,'G-7 Rivers Data'!$AG$4:$AI$9,3,FALSE)=0,"Spatial Data Missing",VLOOKUP(V45,'G-7 Rivers Data'!$AG$4:$AI$9,3,FALSE)))</f>
        <v/>
      </c>
      <c r="Y45" s="239" t="str">
        <f>IFERROR(IF(OR(LEFT(P45,5)="Error",LEFT(O45,5)="Error"),"Check Data",IF(F45&lt;S45,'G-7 Rivers Data'!$R$3,INDEX('G-7 Rivers Data'!$U$5:$Y$9,MATCH(G45,'G-7 Rivers Data'!$T$5:$T$9,0),MATCH(T45,'G-7 Rivers Data'!$U$4:$Y$4,0)))),"")</f>
        <v/>
      </c>
      <c r="Z45" s="275"/>
      <c r="AA45" s="275"/>
      <c r="AB45" s="175" t="str">
        <f t="shared" si="4"/>
        <v/>
      </c>
      <c r="AC45" s="262" t="str">
        <f t="shared" si="5"/>
        <v/>
      </c>
      <c r="AD45" s="382" t="str">
        <f>IFERROR(IF(AC45="Check Data","Check Data",VLOOKUP(AC45,'G-4 Temporal multipliers'!$A$4:$C$37,3,FALSE)),"")</f>
        <v/>
      </c>
      <c r="AE45" s="239" t="str">
        <f>IF(N45="","",VLOOKUP(N45,'G-7 Rivers Data'!$B$4:$G$8,5,FALSE))</f>
        <v/>
      </c>
      <c r="AF45" s="175" t="str">
        <f t="shared" si="6"/>
        <v/>
      </c>
      <c r="AG45" s="175" t="str">
        <f t="shared" si="7"/>
        <v/>
      </c>
      <c r="AH45" s="176" t="str">
        <f t="shared" si="2"/>
        <v/>
      </c>
      <c r="AI45" s="173"/>
      <c r="AJ45" s="172" t="str">
        <f>IF(AI45="","",IF(VLOOKUP(AI45,'G-7 Rivers Data'!$AA$4:$AB$7,2,FALSE)=0,"Spatial Data Missing",VLOOKUP(AI45,'G-7 Rivers Data'!$AA$4:$AB$7,2,FALSE)))</f>
        <v/>
      </c>
      <c r="AK45" s="187"/>
      <c r="AL45" s="172" t="str">
        <f>IF(AK45="","",IF(VLOOKUP(AK45,'G-7 Rivers Data'!$AD$4:$AE$8,2,FALSE)=0,"Spatial Data Missing",VLOOKUP(AK45,'G-7 Rivers Data'!$AD$4:$AE$8,2,FALSE)))</f>
        <v/>
      </c>
      <c r="AM45" s="186"/>
      <c r="AN45" s="176" t="str">
        <f>IF(AM45="","",VLOOKUP(AM45,'G-7 Rivers Data'!$AO$4:$AP$7,2,FALSE))</f>
        <v/>
      </c>
      <c r="AO45" s="265" t="str">
        <f t="shared" si="8"/>
        <v/>
      </c>
      <c r="AP45" s="180"/>
      <c r="AQ45" s="181"/>
      <c r="AX45" s="35" t="str">
        <f>IFERROR(INDEX('G-7 Rivers Data'!$AZ$3:$AZ$7,MATCH(N45,'G-7 Rivers Data'!$AY$3:$AY$7,0)),"")</f>
        <v/>
      </c>
    </row>
    <row r="46" spans="2:50" ht="13.8" x14ac:dyDescent="0.25">
      <c r="B46" s="259" t="str">
        <f>'F-1 Off Site River Baseline'!AN44</f>
        <v/>
      </c>
      <c r="C46" s="175" t="str">
        <f>IF(B46="","",VLOOKUP($B46,'F-1 Off Site River Baseline'!$C$9:$R$257,2,FALSE))</f>
        <v/>
      </c>
      <c r="D46" s="175" t="str">
        <f>IF(C46="","",VLOOKUP($B46,'F-1 Off Site River Baseline'!$C$9:$R$257,3,FALSE))</f>
        <v/>
      </c>
      <c r="E46" s="175" t="str">
        <f>IF(D46="","",VLOOKUP($B46,'F-1 Off Site River Baseline'!$C$9:$R$257,4,FALSE))</f>
        <v/>
      </c>
      <c r="F46" s="175" t="str">
        <f>IF(E46="","",VLOOKUP($B46,'F-1 Off Site River Baseline'!$C$9:$R$257,5,FALSE))</f>
        <v/>
      </c>
      <c r="G46" s="175" t="str">
        <f>IF(F46="","",VLOOKUP($B46,'F-1 Off Site River Baseline'!$C$9:$R$257,6,FALSE))</f>
        <v/>
      </c>
      <c r="H46" s="175" t="str">
        <f>IF(G46="","",VLOOKUP($B46,'F-1 Off Site River Baseline'!$C$9:$R$257,7,FALSE))</f>
        <v/>
      </c>
      <c r="I46" s="175" t="str">
        <f>IF(H46="","",VLOOKUP($B46,'F-1 Off Site River Baseline'!$C$9:$R$257,8,FALSE))</f>
        <v/>
      </c>
      <c r="J46" s="175" t="str">
        <f>IF(I46="","",VLOOKUP($B46,'F-1 Off Site River Baseline'!$C$9:$R$257,9,FALSE))</f>
        <v/>
      </c>
      <c r="K46" s="175" t="str">
        <f>IF(J46="","",VLOOKUP($B46,'F-1 Off Site River Baseline'!$C$9:$R$257,10,FALSE))</f>
        <v/>
      </c>
      <c r="L46" s="175" t="str">
        <f>IF(B46="","",VLOOKUP($B46,'C-1 Site River Baseline'!$C$9:$R$257,15,FALSE))</f>
        <v/>
      </c>
      <c r="M46" s="176" t="str">
        <f>IF(L46="","",VLOOKUP($B46,'F-1 Off Site River Baseline'!$C$9:$R$257,16,FALSE))</f>
        <v/>
      </c>
      <c r="N46" s="639" t="str">
        <f t="shared" si="0"/>
        <v/>
      </c>
      <c r="O46" s="171" t="str">
        <f t="shared" si="3"/>
        <v/>
      </c>
      <c r="P46" s="172" t="str">
        <f>IF(C46="","",IF(AND(LEFT(C46,55)&lt;&gt;LEFT(N46,55),O46="High - High"),"Error - Not like for like",IF(AND(F46=S46,H46&gt;U46),"Error - Can not reduce condition",IF(AND(F46=S46,H46=U46,AJ46='F-1 Off Site River Baseline'!N44,'F-1 Off Site River Baseline'!P44=AL46),"Error - No enhancement",IF(AND(C46&lt;&gt;N46,F46&lt;S46),"Lower Distinctiveness Habitat"&amp;" - "&amp;T46,G46&amp;" - "&amp;T46)))))</f>
        <v/>
      </c>
      <c r="Q46" s="260" t="str">
        <f>IF(N46="","",VLOOKUP(B46,'F-1 Off Site River Baseline'!$C$10:$AA$257,19,FALSE))</f>
        <v/>
      </c>
      <c r="R46" s="171" t="str">
        <f>IF(N46="","",VLOOKUP(N46,'G-7 Rivers Data'!$B$2:$G$8,2,FALSE))</f>
        <v/>
      </c>
      <c r="S46" s="172" t="str">
        <f>IFERROR(VLOOKUP(R46,'G-7 Rivers Data'!$C$4:$D$8,2,FALSE),"")</f>
        <v/>
      </c>
      <c r="T46" s="173"/>
      <c r="U46" s="172" t="str">
        <f>IFERROR(INDEX('G-7 Rivers Data'!$H$4:$L$8,MATCH(N46,'G-7 Rivers Data'!$B$4:$B$8,0),MATCH(T46,'G-7 Rivers Data'!$H$3:$L$3,0)),"")</f>
        <v/>
      </c>
      <c r="V46" s="186"/>
      <c r="W46" s="175" t="str">
        <f>IF(V46="","",IF(VLOOKUP(V46,'G-7 Rivers Data'!$AG$4:$AI$9,2,FALSE)=0,"Spatial Data Missing",VLOOKUP(V46,'G-7 Rivers Data'!$AG$4:$AI$9,2,FALSE)))</f>
        <v/>
      </c>
      <c r="X46" s="176" t="str">
        <f>IF(V46="","",IF(VLOOKUP(V46,'G-7 Rivers Data'!$AG$4:$AI$9,3,FALSE)=0,"Spatial Data Missing",VLOOKUP(V46,'G-7 Rivers Data'!$AG$4:$AI$9,3,FALSE)))</f>
        <v/>
      </c>
      <c r="Y46" s="239" t="str">
        <f>IFERROR(IF(OR(LEFT(P46,5)="Error",LEFT(O46,5)="Error"),"Check Data",IF(F46&lt;S46,'G-7 Rivers Data'!$R$3,INDEX('G-7 Rivers Data'!$U$5:$Y$9,MATCH(G46,'G-7 Rivers Data'!$T$5:$T$9,0),MATCH(T46,'G-7 Rivers Data'!$U$4:$Y$4,0)))),"")</f>
        <v/>
      </c>
      <c r="Z46" s="275"/>
      <c r="AA46" s="275"/>
      <c r="AB46" s="175" t="str">
        <f t="shared" si="4"/>
        <v/>
      </c>
      <c r="AC46" s="262" t="str">
        <f t="shared" si="5"/>
        <v/>
      </c>
      <c r="AD46" s="382" t="str">
        <f>IFERROR(IF(AC46="Check Data","Check Data",VLOOKUP(AC46,'G-4 Temporal multipliers'!$A$4:$C$37,3,FALSE)),"")</f>
        <v/>
      </c>
      <c r="AE46" s="239" t="str">
        <f>IF(N46="","",VLOOKUP(N46,'G-7 Rivers Data'!$B$4:$G$8,5,FALSE))</f>
        <v/>
      </c>
      <c r="AF46" s="175" t="str">
        <f t="shared" si="6"/>
        <v/>
      </c>
      <c r="AG46" s="175" t="str">
        <f t="shared" si="7"/>
        <v/>
      </c>
      <c r="AH46" s="176" t="str">
        <f t="shared" si="2"/>
        <v/>
      </c>
      <c r="AI46" s="173"/>
      <c r="AJ46" s="172" t="str">
        <f>IF(AI46="","",IF(VLOOKUP(AI46,'G-7 Rivers Data'!$AA$4:$AB$7,2,FALSE)=0,"Spatial Data Missing",VLOOKUP(AI46,'G-7 Rivers Data'!$AA$4:$AB$7,2,FALSE)))</f>
        <v/>
      </c>
      <c r="AK46" s="187"/>
      <c r="AL46" s="172" t="str">
        <f>IF(AK46="","",IF(VLOOKUP(AK46,'G-7 Rivers Data'!$AD$4:$AE$8,2,FALSE)=0,"Spatial Data Missing",VLOOKUP(AK46,'G-7 Rivers Data'!$AD$4:$AE$8,2,FALSE)))</f>
        <v/>
      </c>
      <c r="AM46" s="186"/>
      <c r="AN46" s="176" t="str">
        <f>IF(AM46="","",VLOOKUP(AM46,'G-7 Rivers Data'!$AO$4:$AP$7,2,FALSE))</f>
        <v/>
      </c>
      <c r="AO46" s="265" t="str">
        <f t="shared" si="8"/>
        <v/>
      </c>
      <c r="AP46" s="180"/>
      <c r="AQ46" s="181"/>
      <c r="AX46" s="35" t="str">
        <f>IFERROR(INDEX('G-7 Rivers Data'!$AZ$3:$AZ$7,MATCH(N46,'G-7 Rivers Data'!$AY$3:$AY$7,0)),"")</f>
        <v/>
      </c>
    </row>
    <row r="47" spans="2:50" ht="13.8" x14ac:dyDescent="0.25">
      <c r="B47" s="259" t="str">
        <f>'F-1 Off Site River Baseline'!AN45</f>
        <v/>
      </c>
      <c r="C47" s="175" t="str">
        <f>IF(B47="","",VLOOKUP($B47,'F-1 Off Site River Baseline'!$C$9:$R$257,2,FALSE))</f>
        <v/>
      </c>
      <c r="D47" s="175" t="str">
        <f>IF(C47="","",VLOOKUP($B47,'F-1 Off Site River Baseline'!$C$9:$R$257,3,FALSE))</f>
        <v/>
      </c>
      <c r="E47" s="175" t="str">
        <f>IF(D47="","",VLOOKUP($B47,'F-1 Off Site River Baseline'!$C$9:$R$257,4,FALSE))</f>
        <v/>
      </c>
      <c r="F47" s="175" t="str">
        <f>IF(E47="","",VLOOKUP($B47,'F-1 Off Site River Baseline'!$C$9:$R$257,5,FALSE))</f>
        <v/>
      </c>
      <c r="G47" s="175" t="str">
        <f>IF(F47="","",VLOOKUP($B47,'F-1 Off Site River Baseline'!$C$9:$R$257,6,FALSE))</f>
        <v/>
      </c>
      <c r="H47" s="175" t="str">
        <f>IF(G47="","",VLOOKUP($B47,'F-1 Off Site River Baseline'!$C$9:$R$257,7,FALSE))</f>
        <v/>
      </c>
      <c r="I47" s="175" t="str">
        <f>IF(H47="","",VLOOKUP($B47,'F-1 Off Site River Baseline'!$C$9:$R$257,8,FALSE))</f>
        <v/>
      </c>
      <c r="J47" s="175" t="str">
        <f>IF(I47="","",VLOOKUP($B47,'F-1 Off Site River Baseline'!$C$9:$R$257,9,FALSE))</f>
        <v/>
      </c>
      <c r="K47" s="175" t="str">
        <f>IF(J47="","",VLOOKUP($B47,'F-1 Off Site River Baseline'!$C$9:$R$257,10,FALSE))</f>
        <v/>
      </c>
      <c r="L47" s="175" t="str">
        <f>IF(B47="","",VLOOKUP($B47,'C-1 Site River Baseline'!$C$9:$R$257,15,FALSE))</f>
        <v/>
      </c>
      <c r="M47" s="176" t="str">
        <f>IF(L47="","",VLOOKUP($B47,'F-1 Off Site River Baseline'!$C$9:$R$257,16,FALSE))</f>
        <v/>
      </c>
      <c r="N47" s="639" t="str">
        <f t="shared" si="0"/>
        <v/>
      </c>
      <c r="O47" s="171" t="str">
        <f t="shared" si="3"/>
        <v/>
      </c>
      <c r="P47" s="172" t="str">
        <f>IF(C47="","",IF(AND(LEFT(C47,55)&lt;&gt;LEFT(N47,55),O47="High - High"),"Error - Not like for like",IF(AND(F47=S47,H47&gt;U47),"Error - Can not reduce condition",IF(AND(F47=S47,H47=U47,AJ47='F-1 Off Site River Baseline'!N45,'F-1 Off Site River Baseline'!P45=AL47),"Error - No enhancement",IF(AND(C47&lt;&gt;N47,F47&lt;S47),"Lower Distinctiveness Habitat"&amp;" - "&amp;T47,G47&amp;" - "&amp;T47)))))</f>
        <v/>
      </c>
      <c r="Q47" s="260" t="str">
        <f>IF(N47="","",VLOOKUP(B47,'F-1 Off Site River Baseline'!$C$10:$AA$257,19,FALSE))</f>
        <v/>
      </c>
      <c r="R47" s="171" t="str">
        <f>IF(N47="","",VLOOKUP(N47,'G-7 Rivers Data'!$B$2:$G$8,2,FALSE))</f>
        <v/>
      </c>
      <c r="S47" s="172" t="str">
        <f>IFERROR(VLOOKUP(R47,'G-7 Rivers Data'!$C$4:$D$8,2,FALSE),"")</f>
        <v/>
      </c>
      <c r="T47" s="173"/>
      <c r="U47" s="172" t="str">
        <f>IFERROR(INDEX('G-7 Rivers Data'!$H$4:$L$8,MATCH(N47,'G-7 Rivers Data'!$B$4:$B$8,0),MATCH(T47,'G-7 Rivers Data'!$H$3:$L$3,0)),"")</f>
        <v/>
      </c>
      <c r="V47" s="186"/>
      <c r="W47" s="175" t="str">
        <f>IF(V47="","",IF(VLOOKUP(V47,'G-7 Rivers Data'!$AG$4:$AI$9,2,FALSE)=0,"Spatial Data Missing",VLOOKUP(V47,'G-7 Rivers Data'!$AG$4:$AI$9,2,FALSE)))</f>
        <v/>
      </c>
      <c r="X47" s="176" t="str">
        <f>IF(V47="","",IF(VLOOKUP(V47,'G-7 Rivers Data'!$AG$4:$AI$9,3,FALSE)=0,"Spatial Data Missing",VLOOKUP(V47,'G-7 Rivers Data'!$AG$4:$AI$9,3,FALSE)))</f>
        <v/>
      </c>
      <c r="Y47" s="239" t="str">
        <f>IFERROR(IF(OR(LEFT(P47,5)="Error",LEFT(O47,5)="Error"),"Check Data",IF(F47&lt;S47,'G-7 Rivers Data'!$R$3,INDEX('G-7 Rivers Data'!$U$5:$Y$9,MATCH(G47,'G-7 Rivers Data'!$T$5:$T$9,0),MATCH(T47,'G-7 Rivers Data'!$U$4:$Y$4,0)))),"")</f>
        <v/>
      </c>
      <c r="Z47" s="275"/>
      <c r="AA47" s="275"/>
      <c r="AB47" s="175" t="str">
        <f t="shared" si="4"/>
        <v/>
      </c>
      <c r="AC47" s="262" t="str">
        <f t="shared" si="5"/>
        <v/>
      </c>
      <c r="AD47" s="382" t="str">
        <f>IFERROR(IF(AC47="Check Data","Check Data",VLOOKUP(AC47,'G-4 Temporal multipliers'!$A$4:$C$37,3,FALSE)),"")</f>
        <v/>
      </c>
      <c r="AE47" s="239" t="str">
        <f>IF(N47="","",VLOOKUP(N47,'G-7 Rivers Data'!$B$4:$G$8,5,FALSE))</f>
        <v/>
      </c>
      <c r="AF47" s="175" t="str">
        <f t="shared" si="6"/>
        <v/>
      </c>
      <c r="AG47" s="175" t="str">
        <f t="shared" si="7"/>
        <v/>
      </c>
      <c r="AH47" s="176" t="str">
        <f t="shared" si="2"/>
        <v/>
      </c>
      <c r="AI47" s="173"/>
      <c r="AJ47" s="172" t="str">
        <f>IF(AI47="","",IF(VLOOKUP(AI47,'G-7 Rivers Data'!$AA$4:$AB$7,2,FALSE)=0,"Spatial Data Missing",VLOOKUP(AI47,'G-7 Rivers Data'!$AA$4:$AB$7,2,FALSE)))</f>
        <v/>
      </c>
      <c r="AK47" s="187"/>
      <c r="AL47" s="172" t="str">
        <f>IF(AK47="","",IF(VLOOKUP(AK47,'G-7 Rivers Data'!$AD$4:$AE$8,2,FALSE)=0,"Spatial Data Missing",VLOOKUP(AK47,'G-7 Rivers Data'!$AD$4:$AE$8,2,FALSE)))</f>
        <v/>
      </c>
      <c r="AM47" s="186"/>
      <c r="AN47" s="176" t="str">
        <f>IF(AM47="","",VLOOKUP(AM47,'G-7 Rivers Data'!$AO$4:$AP$7,2,FALSE))</f>
        <v/>
      </c>
      <c r="AO47" s="265" t="str">
        <f t="shared" si="8"/>
        <v/>
      </c>
      <c r="AP47" s="180"/>
      <c r="AQ47" s="181"/>
      <c r="AX47" s="35" t="str">
        <f>IFERROR(INDEX('G-7 Rivers Data'!$AZ$3:$AZ$7,MATCH(N47,'G-7 Rivers Data'!$AY$3:$AY$7,0)),"")</f>
        <v/>
      </c>
    </row>
    <row r="48" spans="2:50" ht="13.8" x14ac:dyDescent="0.25">
      <c r="B48" s="259" t="str">
        <f>'F-1 Off Site River Baseline'!AN46</f>
        <v/>
      </c>
      <c r="C48" s="175" t="str">
        <f>IF(B48="","",VLOOKUP($B48,'F-1 Off Site River Baseline'!$C$9:$R$257,2,FALSE))</f>
        <v/>
      </c>
      <c r="D48" s="175" t="str">
        <f>IF(C48="","",VLOOKUP($B48,'F-1 Off Site River Baseline'!$C$9:$R$257,3,FALSE))</f>
        <v/>
      </c>
      <c r="E48" s="175" t="str">
        <f>IF(D48="","",VLOOKUP($B48,'F-1 Off Site River Baseline'!$C$9:$R$257,4,FALSE))</f>
        <v/>
      </c>
      <c r="F48" s="175" t="str">
        <f>IF(E48="","",VLOOKUP($B48,'F-1 Off Site River Baseline'!$C$9:$R$257,5,FALSE))</f>
        <v/>
      </c>
      <c r="G48" s="175" t="str">
        <f>IF(F48="","",VLOOKUP($B48,'F-1 Off Site River Baseline'!$C$9:$R$257,6,FALSE))</f>
        <v/>
      </c>
      <c r="H48" s="175" t="str">
        <f>IF(G48="","",VLOOKUP($B48,'F-1 Off Site River Baseline'!$C$9:$R$257,7,FALSE))</f>
        <v/>
      </c>
      <c r="I48" s="175" t="str">
        <f>IF(H48="","",VLOOKUP($B48,'F-1 Off Site River Baseline'!$C$9:$R$257,8,FALSE))</f>
        <v/>
      </c>
      <c r="J48" s="175" t="str">
        <f>IF(I48="","",VLOOKUP($B48,'F-1 Off Site River Baseline'!$C$9:$R$257,9,FALSE))</f>
        <v/>
      </c>
      <c r="K48" s="175" t="str">
        <f>IF(J48="","",VLOOKUP($B48,'F-1 Off Site River Baseline'!$C$9:$R$257,10,FALSE))</f>
        <v/>
      </c>
      <c r="L48" s="175" t="str">
        <f>IF(B48="","",VLOOKUP($B48,'C-1 Site River Baseline'!$C$9:$R$257,15,FALSE))</f>
        <v/>
      </c>
      <c r="M48" s="176" t="str">
        <f>IF(L48="","",VLOOKUP($B48,'F-1 Off Site River Baseline'!$C$9:$R$257,16,FALSE))</f>
        <v/>
      </c>
      <c r="N48" s="639" t="str">
        <f t="shared" si="0"/>
        <v/>
      </c>
      <c r="O48" s="171" t="str">
        <f t="shared" si="3"/>
        <v/>
      </c>
      <c r="P48" s="172" t="str">
        <f>IF(C48="","",IF(AND(LEFT(C48,55)&lt;&gt;LEFT(N48,55),O48="High - High"),"Error - Not like for like",IF(AND(F48=S48,H48&gt;U48),"Error - Can not reduce condition",IF(AND(F48=S48,H48=U48,AJ48='F-1 Off Site River Baseline'!N46,'F-1 Off Site River Baseline'!P46=AL48),"Error - No enhancement",IF(AND(C48&lt;&gt;N48,F48&lt;S48),"Lower Distinctiveness Habitat"&amp;" - "&amp;T48,G48&amp;" - "&amp;T48)))))</f>
        <v/>
      </c>
      <c r="Q48" s="260" t="str">
        <f>IF(N48="","",VLOOKUP(B48,'F-1 Off Site River Baseline'!$C$10:$AA$257,19,FALSE))</f>
        <v/>
      </c>
      <c r="R48" s="171" t="str">
        <f>IF(N48="","",VLOOKUP(N48,'G-7 Rivers Data'!$B$2:$G$8,2,FALSE))</f>
        <v/>
      </c>
      <c r="S48" s="172" t="str">
        <f>IFERROR(VLOOKUP(R48,'G-7 Rivers Data'!$C$4:$D$8,2,FALSE),"")</f>
        <v/>
      </c>
      <c r="T48" s="173"/>
      <c r="U48" s="172" t="str">
        <f>IFERROR(INDEX('G-7 Rivers Data'!$H$4:$L$8,MATCH(N48,'G-7 Rivers Data'!$B$4:$B$8,0),MATCH(T48,'G-7 Rivers Data'!$H$3:$L$3,0)),"")</f>
        <v/>
      </c>
      <c r="V48" s="186"/>
      <c r="W48" s="175" t="str">
        <f>IF(V48="","",IF(VLOOKUP(V48,'G-7 Rivers Data'!$AG$4:$AI$9,2,FALSE)=0,"Spatial Data Missing",VLOOKUP(V48,'G-7 Rivers Data'!$AG$4:$AI$9,2,FALSE)))</f>
        <v/>
      </c>
      <c r="X48" s="176" t="str">
        <f>IF(V48="","",IF(VLOOKUP(V48,'G-7 Rivers Data'!$AG$4:$AI$9,3,FALSE)=0,"Spatial Data Missing",VLOOKUP(V48,'G-7 Rivers Data'!$AG$4:$AI$9,3,FALSE)))</f>
        <v/>
      </c>
      <c r="Y48" s="239" t="str">
        <f>IFERROR(IF(OR(LEFT(P48,5)="Error",LEFT(O48,5)="Error"),"Check Data",IF(F48&lt;S48,'G-7 Rivers Data'!$R$3,INDEX('G-7 Rivers Data'!$U$5:$Y$9,MATCH(G48,'G-7 Rivers Data'!$T$5:$T$9,0),MATCH(T48,'G-7 Rivers Data'!$U$4:$Y$4,0)))),"")</f>
        <v/>
      </c>
      <c r="Z48" s="275"/>
      <c r="AA48" s="275"/>
      <c r="AB48" s="175" t="str">
        <f t="shared" si="4"/>
        <v/>
      </c>
      <c r="AC48" s="262" t="str">
        <f t="shared" si="5"/>
        <v/>
      </c>
      <c r="AD48" s="382" t="str">
        <f>IFERROR(IF(AC48="Check Data","Check Data",VLOOKUP(AC48,'G-4 Temporal multipliers'!$A$4:$C$37,3,FALSE)),"")</f>
        <v/>
      </c>
      <c r="AE48" s="239" t="str">
        <f>IF(N48="","",VLOOKUP(N48,'G-7 Rivers Data'!$B$4:$G$8,5,FALSE))</f>
        <v/>
      </c>
      <c r="AF48" s="175" t="str">
        <f t="shared" si="6"/>
        <v/>
      </c>
      <c r="AG48" s="175" t="str">
        <f t="shared" si="7"/>
        <v/>
      </c>
      <c r="AH48" s="176" t="str">
        <f t="shared" si="2"/>
        <v/>
      </c>
      <c r="AI48" s="173"/>
      <c r="AJ48" s="172" t="str">
        <f>IF(AI48="","",IF(VLOOKUP(AI48,'G-7 Rivers Data'!$AA$4:$AB$7,2,FALSE)=0,"Spatial Data Missing",VLOOKUP(AI48,'G-7 Rivers Data'!$AA$4:$AB$7,2,FALSE)))</f>
        <v/>
      </c>
      <c r="AK48" s="187"/>
      <c r="AL48" s="172" t="str">
        <f>IF(AK48="","",IF(VLOOKUP(AK48,'G-7 Rivers Data'!$AD$4:$AE$8,2,FALSE)=0,"Spatial Data Missing",VLOOKUP(AK48,'G-7 Rivers Data'!$AD$4:$AE$8,2,FALSE)))</f>
        <v/>
      </c>
      <c r="AM48" s="186"/>
      <c r="AN48" s="176" t="str">
        <f>IF(AM48="","",VLOOKUP(AM48,'G-7 Rivers Data'!$AO$4:$AP$7,2,FALSE))</f>
        <v/>
      </c>
      <c r="AO48" s="265" t="str">
        <f t="shared" si="8"/>
        <v/>
      </c>
      <c r="AP48" s="180"/>
      <c r="AQ48" s="181"/>
      <c r="AX48" s="35" t="str">
        <f>IFERROR(INDEX('G-7 Rivers Data'!$AZ$3:$AZ$7,MATCH(N48,'G-7 Rivers Data'!$AY$3:$AY$7,0)),"")</f>
        <v/>
      </c>
    </row>
    <row r="49" spans="2:50" ht="13.8" x14ac:dyDescent="0.25">
      <c r="B49" s="259" t="str">
        <f>'F-1 Off Site River Baseline'!AN47</f>
        <v/>
      </c>
      <c r="C49" s="175" t="str">
        <f>IF(B49="","",VLOOKUP($B49,'F-1 Off Site River Baseline'!$C$9:$R$257,2,FALSE))</f>
        <v/>
      </c>
      <c r="D49" s="175" t="str">
        <f>IF(C49="","",VLOOKUP($B49,'F-1 Off Site River Baseline'!$C$9:$R$257,3,FALSE))</f>
        <v/>
      </c>
      <c r="E49" s="175" t="str">
        <f>IF(D49="","",VLOOKUP($B49,'F-1 Off Site River Baseline'!$C$9:$R$257,4,FALSE))</f>
        <v/>
      </c>
      <c r="F49" s="175" t="str">
        <f>IF(E49="","",VLOOKUP($B49,'F-1 Off Site River Baseline'!$C$9:$R$257,5,FALSE))</f>
        <v/>
      </c>
      <c r="G49" s="175" t="str">
        <f>IF(F49="","",VLOOKUP($B49,'F-1 Off Site River Baseline'!$C$9:$R$257,6,FALSE))</f>
        <v/>
      </c>
      <c r="H49" s="175" t="str">
        <f>IF(G49="","",VLOOKUP($B49,'F-1 Off Site River Baseline'!$C$9:$R$257,7,FALSE))</f>
        <v/>
      </c>
      <c r="I49" s="175" t="str">
        <f>IF(H49="","",VLOOKUP($B49,'F-1 Off Site River Baseline'!$C$9:$R$257,8,FALSE))</f>
        <v/>
      </c>
      <c r="J49" s="175" t="str">
        <f>IF(I49="","",VLOOKUP($B49,'F-1 Off Site River Baseline'!$C$9:$R$257,9,FALSE))</f>
        <v/>
      </c>
      <c r="K49" s="175" t="str">
        <f>IF(J49="","",VLOOKUP($B49,'F-1 Off Site River Baseline'!$C$9:$R$257,10,FALSE))</f>
        <v/>
      </c>
      <c r="L49" s="175" t="str">
        <f>IF(B49="","",VLOOKUP($B49,'C-1 Site River Baseline'!$C$9:$R$257,15,FALSE))</f>
        <v/>
      </c>
      <c r="M49" s="176" t="str">
        <f>IF(L49="","",VLOOKUP($B49,'F-1 Off Site River Baseline'!$C$9:$R$257,16,FALSE))</f>
        <v/>
      </c>
      <c r="N49" s="639" t="str">
        <f t="shared" si="0"/>
        <v/>
      </c>
      <c r="O49" s="171" t="str">
        <f t="shared" si="3"/>
        <v/>
      </c>
      <c r="P49" s="172" t="str">
        <f>IF(C49="","",IF(AND(LEFT(C49,55)&lt;&gt;LEFT(N49,55),O49="High - High"),"Error - Not like for like",IF(AND(F49=S49,H49&gt;U49),"Error - Can not reduce condition",IF(AND(F49=S49,H49=U49,AJ49='F-1 Off Site River Baseline'!N47,'F-1 Off Site River Baseline'!P47=AL49),"Error - No enhancement",IF(AND(C49&lt;&gt;N49,F49&lt;S49),"Lower Distinctiveness Habitat"&amp;" - "&amp;T49,G49&amp;" - "&amp;T49)))))</f>
        <v/>
      </c>
      <c r="Q49" s="260" t="str">
        <f>IF(N49="","",VLOOKUP(B49,'F-1 Off Site River Baseline'!$C$10:$AA$257,19,FALSE))</f>
        <v/>
      </c>
      <c r="R49" s="171" t="str">
        <f>IF(N49="","",VLOOKUP(N49,'G-7 Rivers Data'!$B$2:$G$8,2,FALSE))</f>
        <v/>
      </c>
      <c r="S49" s="172" t="str">
        <f>IFERROR(VLOOKUP(R49,'G-7 Rivers Data'!$C$4:$D$8,2,FALSE),"")</f>
        <v/>
      </c>
      <c r="T49" s="173"/>
      <c r="U49" s="172" t="str">
        <f>IFERROR(INDEX('G-7 Rivers Data'!$H$4:$L$8,MATCH(N49,'G-7 Rivers Data'!$B$4:$B$8,0),MATCH(T49,'G-7 Rivers Data'!$H$3:$L$3,0)),"")</f>
        <v/>
      </c>
      <c r="V49" s="186"/>
      <c r="W49" s="175" t="str">
        <f>IF(V49="","",IF(VLOOKUP(V49,'G-7 Rivers Data'!$AG$4:$AI$9,2,FALSE)=0,"Spatial Data Missing",VLOOKUP(V49,'G-7 Rivers Data'!$AG$4:$AI$9,2,FALSE)))</f>
        <v/>
      </c>
      <c r="X49" s="176" t="str">
        <f>IF(V49="","",IF(VLOOKUP(V49,'G-7 Rivers Data'!$AG$4:$AI$9,3,FALSE)=0,"Spatial Data Missing",VLOOKUP(V49,'G-7 Rivers Data'!$AG$4:$AI$9,3,FALSE)))</f>
        <v/>
      </c>
      <c r="Y49" s="239" t="str">
        <f>IFERROR(IF(OR(LEFT(P49,5)="Error",LEFT(O49,5)="Error"),"Check Data",IF(F49&lt;S49,'G-7 Rivers Data'!$R$3,INDEX('G-7 Rivers Data'!$U$5:$Y$9,MATCH(G49,'G-7 Rivers Data'!$T$5:$T$9,0),MATCH(T49,'G-7 Rivers Data'!$U$4:$Y$4,0)))),"")</f>
        <v/>
      </c>
      <c r="Z49" s="275"/>
      <c r="AA49" s="275"/>
      <c r="AB49" s="175" t="str">
        <f t="shared" si="4"/>
        <v/>
      </c>
      <c r="AC49" s="262" t="str">
        <f t="shared" si="5"/>
        <v/>
      </c>
      <c r="AD49" s="382" t="str">
        <f>IFERROR(IF(AC49="Check Data","Check Data",VLOOKUP(AC49,'G-4 Temporal multipliers'!$A$4:$C$37,3,FALSE)),"")</f>
        <v/>
      </c>
      <c r="AE49" s="239" t="str">
        <f>IF(N49="","",VLOOKUP(N49,'G-7 Rivers Data'!$B$4:$G$8,5,FALSE))</f>
        <v/>
      </c>
      <c r="AF49" s="175" t="str">
        <f t="shared" si="6"/>
        <v/>
      </c>
      <c r="AG49" s="175" t="str">
        <f t="shared" si="7"/>
        <v/>
      </c>
      <c r="AH49" s="176" t="str">
        <f t="shared" si="2"/>
        <v/>
      </c>
      <c r="AI49" s="173"/>
      <c r="AJ49" s="172" t="str">
        <f>IF(AI49="","",IF(VLOOKUP(AI49,'G-7 Rivers Data'!$AA$4:$AB$7,2,FALSE)=0,"Spatial Data Missing",VLOOKUP(AI49,'G-7 Rivers Data'!$AA$4:$AB$7,2,FALSE)))</f>
        <v/>
      </c>
      <c r="AK49" s="187"/>
      <c r="AL49" s="172" t="str">
        <f>IF(AK49="","",IF(VLOOKUP(AK49,'G-7 Rivers Data'!$AD$4:$AE$8,2,FALSE)=0,"Spatial Data Missing",VLOOKUP(AK49,'G-7 Rivers Data'!$AD$4:$AE$8,2,FALSE)))</f>
        <v/>
      </c>
      <c r="AM49" s="186"/>
      <c r="AN49" s="176" t="str">
        <f>IF(AM49="","",VLOOKUP(AM49,'G-7 Rivers Data'!$AO$4:$AP$7,2,FALSE))</f>
        <v/>
      </c>
      <c r="AO49" s="265" t="str">
        <f t="shared" si="8"/>
        <v/>
      </c>
      <c r="AP49" s="180"/>
      <c r="AQ49" s="181"/>
      <c r="AX49" s="35" t="str">
        <f>IFERROR(INDEX('G-7 Rivers Data'!$AZ$3:$AZ$7,MATCH(N49,'G-7 Rivers Data'!$AY$3:$AY$7,0)),"")</f>
        <v/>
      </c>
    </row>
    <row r="50" spans="2:50" ht="13.8" x14ac:dyDescent="0.25">
      <c r="B50" s="259" t="str">
        <f>'F-1 Off Site River Baseline'!AN48</f>
        <v/>
      </c>
      <c r="C50" s="175" t="str">
        <f>IF(B50="","",VLOOKUP($B50,'F-1 Off Site River Baseline'!$C$9:$R$257,2,FALSE))</f>
        <v/>
      </c>
      <c r="D50" s="175" t="str">
        <f>IF(C50="","",VLOOKUP($B50,'F-1 Off Site River Baseline'!$C$9:$R$257,3,FALSE))</f>
        <v/>
      </c>
      <c r="E50" s="175" t="str">
        <f>IF(D50="","",VLOOKUP($B50,'F-1 Off Site River Baseline'!$C$9:$R$257,4,FALSE))</f>
        <v/>
      </c>
      <c r="F50" s="175" t="str">
        <f>IF(E50="","",VLOOKUP($B50,'F-1 Off Site River Baseline'!$C$9:$R$257,5,FALSE))</f>
        <v/>
      </c>
      <c r="G50" s="175" t="str">
        <f>IF(F50="","",VLOOKUP($B50,'F-1 Off Site River Baseline'!$C$9:$R$257,6,FALSE))</f>
        <v/>
      </c>
      <c r="H50" s="175" t="str">
        <f>IF(G50="","",VLOOKUP($B50,'F-1 Off Site River Baseline'!$C$9:$R$257,7,FALSE))</f>
        <v/>
      </c>
      <c r="I50" s="175" t="str">
        <f>IF(H50="","",VLOOKUP($B50,'F-1 Off Site River Baseline'!$C$9:$R$257,8,FALSE))</f>
        <v/>
      </c>
      <c r="J50" s="175" t="str">
        <f>IF(I50="","",VLOOKUP($B50,'F-1 Off Site River Baseline'!$C$9:$R$257,9,FALSE))</f>
        <v/>
      </c>
      <c r="K50" s="175" t="str">
        <f>IF(J50="","",VLOOKUP($B50,'F-1 Off Site River Baseline'!$C$9:$R$257,10,FALSE))</f>
        <v/>
      </c>
      <c r="L50" s="175" t="str">
        <f>IF(B50="","",VLOOKUP($B50,'C-1 Site River Baseline'!$C$9:$R$257,15,FALSE))</f>
        <v/>
      </c>
      <c r="M50" s="176" t="str">
        <f>IF(L50="","",VLOOKUP($B50,'F-1 Off Site River Baseline'!$C$9:$R$257,16,FALSE))</f>
        <v/>
      </c>
      <c r="N50" s="639" t="str">
        <f t="shared" si="0"/>
        <v/>
      </c>
      <c r="O50" s="171" t="str">
        <f t="shared" si="3"/>
        <v/>
      </c>
      <c r="P50" s="172" t="str">
        <f>IF(C50="","",IF(AND(LEFT(C50,55)&lt;&gt;LEFT(N50,55),O50="High - High"),"Error - Not like for like",IF(AND(F50=S50,H50&gt;U50),"Error - Can not reduce condition",IF(AND(F50=S50,H50=U50,AJ50='F-1 Off Site River Baseline'!N48,'F-1 Off Site River Baseline'!P48=AL50),"Error - No enhancement",IF(AND(C50&lt;&gt;N50,F50&lt;S50),"Lower Distinctiveness Habitat"&amp;" - "&amp;T50,G50&amp;" - "&amp;T50)))))</f>
        <v/>
      </c>
      <c r="Q50" s="260" t="str">
        <f>IF(N50="","",VLOOKUP(B50,'F-1 Off Site River Baseline'!$C$10:$AA$257,19,FALSE))</f>
        <v/>
      </c>
      <c r="R50" s="171" t="str">
        <f>IF(N50="","",VLOOKUP(N50,'G-7 Rivers Data'!$B$2:$G$8,2,FALSE))</f>
        <v/>
      </c>
      <c r="S50" s="172" t="str">
        <f>IFERROR(VLOOKUP(R50,'G-7 Rivers Data'!$C$4:$D$8,2,FALSE),"")</f>
        <v/>
      </c>
      <c r="T50" s="173"/>
      <c r="U50" s="172" t="str">
        <f>IFERROR(INDEX('G-7 Rivers Data'!$H$4:$L$8,MATCH(N50,'G-7 Rivers Data'!$B$4:$B$8,0),MATCH(T50,'G-7 Rivers Data'!$H$3:$L$3,0)),"")</f>
        <v/>
      </c>
      <c r="V50" s="186"/>
      <c r="W50" s="175" t="str">
        <f>IF(V50="","",IF(VLOOKUP(V50,'G-7 Rivers Data'!$AG$4:$AI$9,2,FALSE)=0,"Spatial Data Missing",VLOOKUP(V50,'G-7 Rivers Data'!$AG$4:$AI$9,2,FALSE)))</f>
        <v/>
      </c>
      <c r="X50" s="176" t="str">
        <f>IF(V50="","",IF(VLOOKUP(V50,'G-7 Rivers Data'!$AG$4:$AI$9,3,FALSE)=0,"Spatial Data Missing",VLOOKUP(V50,'G-7 Rivers Data'!$AG$4:$AI$9,3,FALSE)))</f>
        <v/>
      </c>
      <c r="Y50" s="239" t="str">
        <f>IFERROR(IF(OR(LEFT(P50,5)="Error",LEFT(O50,5)="Error"),"Check Data",IF(F50&lt;S50,'G-7 Rivers Data'!$R$3,INDEX('G-7 Rivers Data'!$U$5:$Y$9,MATCH(G50,'G-7 Rivers Data'!$T$5:$T$9,0),MATCH(T50,'G-7 Rivers Data'!$U$4:$Y$4,0)))),"")</f>
        <v/>
      </c>
      <c r="Z50" s="275"/>
      <c r="AA50" s="275"/>
      <c r="AB50" s="175" t="str">
        <f t="shared" si="4"/>
        <v/>
      </c>
      <c r="AC50" s="262" t="str">
        <f t="shared" si="5"/>
        <v/>
      </c>
      <c r="AD50" s="382" t="str">
        <f>IFERROR(IF(AC50="Check Data","Check Data",VLOOKUP(AC50,'G-4 Temporal multipliers'!$A$4:$C$37,3,FALSE)),"")</f>
        <v/>
      </c>
      <c r="AE50" s="239" t="str">
        <f>IF(N50="","",VLOOKUP(N50,'G-7 Rivers Data'!$B$4:$G$8,5,FALSE))</f>
        <v/>
      </c>
      <c r="AF50" s="175" t="str">
        <f t="shared" si="6"/>
        <v/>
      </c>
      <c r="AG50" s="175" t="str">
        <f t="shared" si="7"/>
        <v/>
      </c>
      <c r="AH50" s="176" t="str">
        <f t="shared" si="2"/>
        <v/>
      </c>
      <c r="AI50" s="173"/>
      <c r="AJ50" s="172" t="str">
        <f>IF(AI50="","",IF(VLOOKUP(AI50,'G-7 Rivers Data'!$AA$4:$AB$7,2,FALSE)=0,"Spatial Data Missing",VLOOKUP(AI50,'G-7 Rivers Data'!$AA$4:$AB$7,2,FALSE)))</f>
        <v/>
      </c>
      <c r="AK50" s="187"/>
      <c r="AL50" s="172" t="str">
        <f>IF(AK50="","",IF(VLOOKUP(AK50,'G-7 Rivers Data'!$AD$4:$AE$8,2,FALSE)=0,"Spatial Data Missing",VLOOKUP(AK50,'G-7 Rivers Data'!$AD$4:$AE$8,2,FALSE)))</f>
        <v/>
      </c>
      <c r="AM50" s="186"/>
      <c r="AN50" s="176" t="str">
        <f>IF(AM50="","",VLOOKUP(AM50,'G-7 Rivers Data'!$AO$4:$AP$7,2,FALSE))</f>
        <v/>
      </c>
      <c r="AO50" s="265" t="str">
        <f t="shared" si="8"/>
        <v/>
      </c>
      <c r="AP50" s="180"/>
      <c r="AQ50" s="181"/>
      <c r="AX50" s="35" t="str">
        <f>IFERROR(INDEX('G-7 Rivers Data'!$AZ$3:$AZ$7,MATCH(N50,'G-7 Rivers Data'!$AY$3:$AY$7,0)),"")</f>
        <v/>
      </c>
    </row>
    <row r="51" spans="2:50" ht="13.8" x14ac:dyDescent="0.25">
      <c r="B51" s="259" t="str">
        <f>'F-1 Off Site River Baseline'!AN49</f>
        <v/>
      </c>
      <c r="C51" s="175" t="str">
        <f>IF(B51="","",VLOOKUP($B51,'F-1 Off Site River Baseline'!$C$9:$R$257,2,FALSE))</f>
        <v/>
      </c>
      <c r="D51" s="175" t="str">
        <f>IF(C51="","",VLOOKUP($B51,'F-1 Off Site River Baseline'!$C$9:$R$257,3,FALSE))</f>
        <v/>
      </c>
      <c r="E51" s="175" t="str">
        <f>IF(D51="","",VLOOKUP($B51,'F-1 Off Site River Baseline'!$C$9:$R$257,4,FALSE))</f>
        <v/>
      </c>
      <c r="F51" s="175" t="str">
        <f>IF(E51="","",VLOOKUP($B51,'F-1 Off Site River Baseline'!$C$9:$R$257,5,FALSE))</f>
        <v/>
      </c>
      <c r="G51" s="175" t="str">
        <f>IF(F51="","",VLOOKUP($B51,'F-1 Off Site River Baseline'!$C$9:$R$257,6,FALSE))</f>
        <v/>
      </c>
      <c r="H51" s="175" t="str">
        <f>IF(G51="","",VLOOKUP($B51,'F-1 Off Site River Baseline'!$C$9:$R$257,7,FALSE))</f>
        <v/>
      </c>
      <c r="I51" s="175" t="str">
        <f>IF(H51="","",VLOOKUP($B51,'F-1 Off Site River Baseline'!$C$9:$R$257,8,FALSE))</f>
        <v/>
      </c>
      <c r="J51" s="175" t="str">
        <f>IF(I51="","",VLOOKUP($B51,'F-1 Off Site River Baseline'!$C$9:$R$257,9,FALSE))</f>
        <v/>
      </c>
      <c r="K51" s="175" t="str">
        <f>IF(J51="","",VLOOKUP($B51,'F-1 Off Site River Baseline'!$C$9:$R$257,10,FALSE))</f>
        <v/>
      </c>
      <c r="L51" s="175" t="str">
        <f>IF(B51="","",VLOOKUP($B51,'C-1 Site River Baseline'!$C$9:$R$257,15,FALSE))</f>
        <v/>
      </c>
      <c r="M51" s="176" t="str">
        <f>IF(L51="","",VLOOKUP($B51,'F-1 Off Site River Baseline'!$C$9:$R$257,16,FALSE))</f>
        <v/>
      </c>
      <c r="N51" s="639" t="str">
        <f t="shared" si="0"/>
        <v/>
      </c>
      <c r="O51" s="171" t="str">
        <f t="shared" si="3"/>
        <v/>
      </c>
      <c r="P51" s="172" t="str">
        <f>IF(C51="","",IF(AND(LEFT(C51,55)&lt;&gt;LEFT(N51,55),O51="High - High"),"Error - Not like for like",IF(AND(F51=S51,H51&gt;U51),"Error - Can not reduce condition",IF(AND(F51=S51,H51=U51,AJ51='F-1 Off Site River Baseline'!N49,'F-1 Off Site River Baseline'!P49=AL51),"Error - No enhancement",IF(AND(C51&lt;&gt;N51,F51&lt;S51),"Lower Distinctiveness Habitat"&amp;" - "&amp;T51,G51&amp;" - "&amp;T51)))))</f>
        <v/>
      </c>
      <c r="Q51" s="260" t="str">
        <f>IF(N51="","",VLOOKUP(B51,'F-1 Off Site River Baseline'!$C$10:$AA$257,19,FALSE))</f>
        <v/>
      </c>
      <c r="R51" s="171" t="str">
        <f>IF(N51="","",VLOOKUP(N51,'G-7 Rivers Data'!$B$2:$G$8,2,FALSE))</f>
        <v/>
      </c>
      <c r="S51" s="172" t="str">
        <f>IFERROR(VLOOKUP(R51,'G-7 Rivers Data'!$C$4:$D$8,2,FALSE),"")</f>
        <v/>
      </c>
      <c r="T51" s="173"/>
      <c r="U51" s="172" t="str">
        <f>IFERROR(INDEX('G-7 Rivers Data'!$H$4:$L$8,MATCH(N51,'G-7 Rivers Data'!$B$4:$B$8,0),MATCH(T51,'G-7 Rivers Data'!$H$3:$L$3,0)),"")</f>
        <v/>
      </c>
      <c r="V51" s="186"/>
      <c r="W51" s="175" t="str">
        <f>IF(V51="","",IF(VLOOKUP(V51,'G-7 Rivers Data'!$AG$4:$AI$9,2,FALSE)=0,"Spatial Data Missing",VLOOKUP(V51,'G-7 Rivers Data'!$AG$4:$AI$9,2,FALSE)))</f>
        <v/>
      </c>
      <c r="X51" s="176" t="str">
        <f>IF(V51="","",IF(VLOOKUP(V51,'G-7 Rivers Data'!$AG$4:$AI$9,3,FALSE)=0,"Spatial Data Missing",VLOOKUP(V51,'G-7 Rivers Data'!$AG$4:$AI$9,3,FALSE)))</f>
        <v/>
      </c>
      <c r="Y51" s="239" t="str">
        <f>IFERROR(IF(OR(LEFT(P51,5)="Error",LEFT(O51,5)="Error"),"Check Data",IF(F51&lt;S51,'G-7 Rivers Data'!$R$3,INDEX('G-7 Rivers Data'!$U$5:$Y$9,MATCH(G51,'G-7 Rivers Data'!$T$5:$T$9,0),MATCH(T51,'G-7 Rivers Data'!$U$4:$Y$4,0)))),"")</f>
        <v/>
      </c>
      <c r="Z51" s="275"/>
      <c r="AA51" s="275"/>
      <c r="AB51" s="175" t="str">
        <f t="shared" si="4"/>
        <v/>
      </c>
      <c r="AC51" s="262" t="str">
        <f t="shared" si="5"/>
        <v/>
      </c>
      <c r="AD51" s="382" t="str">
        <f>IFERROR(IF(AC51="Check Data","Check Data",VLOOKUP(AC51,'G-4 Temporal multipliers'!$A$4:$C$37,3,FALSE)),"")</f>
        <v/>
      </c>
      <c r="AE51" s="239" t="str">
        <f>IF(N51="","",VLOOKUP(N51,'G-7 Rivers Data'!$B$4:$G$8,5,FALSE))</f>
        <v/>
      </c>
      <c r="AF51" s="175" t="str">
        <f t="shared" si="6"/>
        <v/>
      </c>
      <c r="AG51" s="175" t="str">
        <f t="shared" si="7"/>
        <v/>
      </c>
      <c r="AH51" s="176" t="str">
        <f t="shared" si="2"/>
        <v/>
      </c>
      <c r="AI51" s="173"/>
      <c r="AJ51" s="172" t="str">
        <f>IF(AI51="","",IF(VLOOKUP(AI51,'G-7 Rivers Data'!$AA$4:$AB$7,2,FALSE)=0,"Spatial Data Missing",VLOOKUP(AI51,'G-7 Rivers Data'!$AA$4:$AB$7,2,FALSE)))</f>
        <v/>
      </c>
      <c r="AK51" s="187"/>
      <c r="AL51" s="172" t="str">
        <f>IF(AK51="","",IF(VLOOKUP(AK51,'G-7 Rivers Data'!$AD$4:$AE$8,2,FALSE)=0,"Spatial Data Missing",VLOOKUP(AK51,'G-7 Rivers Data'!$AD$4:$AE$8,2,FALSE)))</f>
        <v/>
      </c>
      <c r="AM51" s="186"/>
      <c r="AN51" s="176" t="str">
        <f>IF(AM51="","",VLOOKUP(AM51,'G-7 Rivers Data'!$AO$4:$AP$7,2,FALSE))</f>
        <v/>
      </c>
      <c r="AO51" s="265" t="str">
        <f t="shared" si="8"/>
        <v/>
      </c>
      <c r="AP51" s="180"/>
      <c r="AQ51" s="181"/>
      <c r="AX51" s="35" t="str">
        <f>IFERROR(INDEX('G-7 Rivers Data'!$AZ$3:$AZ$7,MATCH(N51,'G-7 Rivers Data'!$AY$3:$AY$7,0)),"")</f>
        <v/>
      </c>
    </row>
    <row r="52" spans="2:50" ht="13.8" x14ac:dyDescent="0.25">
      <c r="B52" s="259" t="str">
        <f>'F-1 Off Site River Baseline'!AN50</f>
        <v/>
      </c>
      <c r="C52" s="175" t="str">
        <f>IF(B52="","",VLOOKUP($B52,'F-1 Off Site River Baseline'!$C$9:$R$257,2,FALSE))</f>
        <v/>
      </c>
      <c r="D52" s="175" t="str">
        <f>IF(C52="","",VLOOKUP($B52,'F-1 Off Site River Baseline'!$C$9:$R$257,3,FALSE))</f>
        <v/>
      </c>
      <c r="E52" s="175" t="str">
        <f>IF(D52="","",VLOOKUP($B52,'F-1 Off Site River Baseline'!$C$9:$R$257,4,FALSE))</f>
        <v/>
      </c>
      <c r="F52" s="175" t="str">
        <f>IF(E52="","",VLOOKUP($B52,'F-1 Off Site River Baseline'!$C$9:$R$257,5,FALSE))</f>
        <v/>
      </c>
      <c r="G52" s="175" t="str">
        <f>IF(F52="","",VLOOKUP($B52,'F-1 Off Site River Baseline'!$C$9:$R$257,6,FALSE))</f>
        <v/>
      </c>
      <c r="H52" s="175" t="str">
        <f>IF(G52="","",VLOOKUP($B52,'F-1 Off Site River Baseline'!$C$9:$R$257,7,FALSE))</f>
        <v/>
      </c>
      <c r="I52" s="175" t="str">
        <f>IF(H52="","",VLOOKUP($B52,'F-1 Off Site River Baseline'!$C$9:$R$257,8,FALSE))</f>
        <v/>
      </c>
      <c r="J52" s="175" t="str">
        <f>IF(I52="","",VLOOKUP($B52,'F-1 Off Site River Baseline'!$C$9:$R$257,9,FALSE))</f>
        <v/>
      </c>
      <c r="K52" s="175" t="str">
        <f>IF(J52="","",VLOOKUP($B52,'F-1 Off Site River Baseline'!$C$9:$R$257,10,FALSE))</f>
        <v/>
      </c>
      <c r="L52" s="175" t="str">
        <f>IF(B52="","",VLOOKUP($B52,'C-1 Site River Baseline'!$C$9:$R$257,15,FALSE))</f>
        <v/>
      </c>
      <c r="M52" s="176" t="str">
        <f>IF(L52="","",VLOOKUP($B52,'F-1 Off Site River Baseline'!$C$9:$R$257,16,FALSE))</f>
        <v/>
      </c>
      <c r="N52" s="639" t="str">
        <f t="shared" si="0"/>
        <v/>
      </c>
      <c r="O52" s="171" t="str">
        <f t="shared" si="3"/>
        <v/>
      </c>
      <c r="P52" s="172" t="str">
        <f>IF(C52="","",IF(AND(LEFT(C52,55)&lt;&gt;LEFT(N52,55),O52="High - High"),"Error - Not like for like",IF(AND(F52=S52,H52&gt;U52),"Error - Can not reduce condition",IF(AND(F52=S52,H52=U52,AJ52='F-1 Off Site River Baseline'!N50,'F-1 Off Site River Baseline'!P50=AL52),"Error - No enhancement",IF(AND(C52&lt;&gt;N52,F52&lt;S52),"Lower Distinctiveness Habitat"&amp;" - "&amp;T52,G52&amp;" - "&amp;T52)))))</f>
        <v/>
      </c>
      <c r="Q52" s="260" t="str">
        <f>IF(N52="","",VLOOKUP(B52,'F-1 Off Site River Baseline'!$C$10:$AA$257,19,FALSE))</f>
        <v/>
      </c>
      <c r="R52" s="171" t="str">
        <f>IF(N52="","",VLOOKUP(N52,'G-7 Rivers Data'!$B$2:$G$8,2,FALSE))</f>
        <v/>
      </c>
      <c r="S52" s="172" t="str">
        <f>IFERROR(VLOOKUP(R52,'G-7 Rivers Data'!$C$4:$D$8,2,FALSE),"")</f>
        <v/>
      </c>
      <c r="T52" s="173"/>
      <c r="U52" s="172" t="str">
        <f>IFERROR(INDEX('G-7 Rivers Data'!$H$4:$L$8,MATCH(N52,'G-7 Rivers Data'!$B$4:$B$8,0),MATCH(T52,'G-7 Rivers Data'!$H$3:$L$3,0)),"")</f>
        <v/>
      </c>
      <c r="V52" s="186"/>
      <c r="W52" s="175" t="str">
        <f>IF(V52="","",IF(VLOOKUP(V52,'G-7 Rivers Data'!$AG$4:$AI$9,2,FALSE)=0,"Spatial Data Missing",VLOOKUP(V52,'G-7 Rivers Data'!$AG$4:$AI$9,2,FALSE)))</f>
        <v/>
      </c>
      <c r="X52" s="176" t="str">
        <f>IF(V52="","",IF(VLOOKUP(V52,'G-7 Rivers Data'!$AG$4:$AI$9,3,FALSE)=0,"Spatial Data Missing",VLOOKUP(V52,'G-7 Rivers Data'!$AG$4:$AI$9,3,FALSE)))</f>
        <v/>
      </c>
      <c r="Y52" s="239" t="str">
        <f>IFERROR(IF(OR(LEFT(P52,5)="Error",LEFT(O52,5)="Error"),"Check Data",IF(F52&lt;S52,'G-7 Rivers Data'!$R$3,INDEX('G-7 Rivers Data'!$U$5:$Y$9,MATCH(G52,'G-7 Rivers Data'!$T$5:$T$9,0),MATCH(T52,'G-7 Rivers Data'!$U$4:$Y$4,0)))),"")</f>
        <v/>
      </c>
      <c r="Z52" s="275"/>
      <c r="AA52" s="275"/>
      <c r="AB52" s="175" t="str">
        <f t="shared" si="4"/>
        <v/>
      </c>
      <c r="AC52" s="262" t="str">
        <f t="shared" si="5"/>
        <v/>
      </c>
      <c r="AD52" s="382" t="str">
        <f>IFERROR(IF(AC52="Check Data","Check Data",VLOOKUP(AC52,'G-4 Temporal multipliers'!$A$4:$C$37,3,FALSE)),"")</f>
        <v/>
      </c>
      <c r="AE52" s="239" t="str">
        <f>IF(N52="","",VLOOKUP(N52,'G-7 Rivers Data'!$B$4:$G$8,5,FALSE))</f>
        <v/>
      </c>
      <c r="AF52" s="175" t="str">
        <f t="shared" si="6"/>
        <v/>
      </c>
      <c r="AG52" s="175" t="str">
        <f t="shared" si="7"/>
        <v/>
      </c>
      <c r="AH52" s="176" t="str">
        <f t="shared" si="2"/>
        <v/>
      </c>
      <c r="AI52" s="173"/>
      <c r="AJ52" s="172" t="str">
        <f>IF(AI52="","",IF(VLOOKUP(AI52,'G-7 Rivers Data'!$AA$4:$AB$7,2,FALSE)=0,"Spatial Data Missing",VLOOKUP(AI52,'G-7 Rivers Data'!$AA$4:$AB$7,2,FALSE)))</f>
        <v/>
      </c>
      <c r="AK52" s="187"/>
      <c r="AL52" s="172" t="str">
        <f>IF(AK52="","",IF(VLOOKUP(AK52,'G-7 Rivers Data'!$AD$4:$AE$8,2,FALSE)=0,"Spatial Data Missing",VLOOKUP(AK52,'G-7 Rivers Data'!$AD$4:$AE$8,2,FALSE)))</f>
        <v/>
      </c>
      <c r="AM52" s="186"/>
      <c r="AN52" s="176" t="str">
        <f>IF(AM52="","",VLOOKUP(AM52,'G-7 Rivers Data'!$AO$4:$AP$7,2,FALSE))</f>
        <v/>
      </c>
      <c r="AO52" s="265" t="str">
        <f t="shared" si="8"/>
        <v/>
      </c>
      <c r="AP52" s="180"/>
      <c r="AQ52" s="181"/>
      <c r="AX52" s="35" t="str">
        <f>IFERROR(INDEX('G-7 Rivers Data'!$AZ$3:$AZ$7,MATCH(N52,'G-7 Rivers Data'!$AY$3:$AY$7,0)),"")</f>
        <v/>
      </c>
    </row>
    <row r="53" spans="2:50" ht="13.8" x14ac:dyDescent="0.25">
      <c r="B53" s="259" t="str">
        <f>'F-1 Off Site River Baseline'!AN51</f>
        <v/>
      </c>
      <c r="C53" s="175" t="str">
        <f>IF(B53="","",VLOOKUP($B53,'F-1 Off Site River Baseline'!$C$9:$R$257,2,FALSE))</f>
        <v/>
      </c>
      <c r="D53" s="175" t="str">
        <f>IF(C53="","",VLOOKUP($B53,'F-1 Off Site River Baseline'!$C$9:$R$257,3,FALSE))</f>
        <v/>
      </c>
      <c r="E53" s="175" t="str">
        <f>IF(D53="","",VLOOKUP($B53,'F-1 Off Site River Baseline'!$C$9:$R$257,4,FALSE))</f>
        <v/>
      </c>
      <c r="F53" s="175" t="str">
        <f>IF(E53="","",VLOOKUP($B53,'F-1 Off Site River Baseline'!$C$9:$R$257,5,FALSE))</f>
        <v/>
      </c>
      <c r="G53" s="175" t="str">
        <f>IF(F53="","",VLOOKUP($B53,'F-1 Off Site River Baseline'!$C$9:$R$257,6,FALSE))</f>
        <v/>
      </c>
      <c r="H53" s="175" t="str">
        <f>IF(G53="","",VLOOKUP($B53,'F-1 Off Site River Baseline'!$C$9:$R$257,7,FALSE))</f>
        <v/>
      </c>
      <c r="I53" s="175" t="str">
        <f>IF(H53="","",VLOOKUP($B53,'F-1 Off Site River Baseline'!$C$9:$R$257,8,FALSE))</f>
        <v/>
      </c>
      <c r="J53" s="175" t="str">
        <f>IF(I53="","",VLOOKUP($B53,'F-1 Off Site River Baseline'!$C$9:$R$257,9,FALSE))</f>
        <v/>
      </c>
      <c r="K53" s="175" t="str">
        <f>IF(J53="","",VLOOKUP($B53,'F-1 Off Site River Baseline'!$C$9:$R$257,10,FALSE))</f>
        <v/>
      </c>
      <c r="L53" s="175" t="str">
        <f>IF(B53="","",VLOOKUP($B53,'C-1 Site River Baseline'!$C$9:$R$257,15,FALSE))</f>
        <v/>
      </c>
      <c r="M53" s="176" t="str">
        <f>IF(L53="","",VLOOKUP($B53,'F-1 Off Site River Baseline'!$C$9:$R$257,16,FALSE))</f>
        <v/>
      </c>
      <c r="N53" s="639" t="str">
        <f t="shared" si="0"/>
        <v/>
      </c>
      <c r="O53" s="171" t="str">
        <f t="shared" si="3"/>
        <v/>
      </c>
      <c r="P53" s="172" t="str">
        <f>IF(C53="","",IF(AND(LEFT(C53,55)&lt;&gt;LEFT(N53,55),O53="High - High"),"Error - Not like for like",IF(AND(F53=S53,H53&gt;U53),"Error - Can not reduce condition",IF(AND(F53=S53,H53=U53,AJ53='F-1 Off Site River Baseline'!N51,'F-1 Off Site River Baseline'!P51=AL53),"Error - No enhancement",IF(AND(C53&lt;&gt;N53,F53&lt;S53),"Lower Distinctiveness Habitat"&amp;" - "&amp;T53,G53&amp;" - "&amp;T53)))))</f>
        <v/>
      </c>
      <c r="Q53" s="260" t="str">
        <f>IF(N53="","",VLOOKUP(B53,'F-1 Off Site River Baseline'!$C$10:$AA$257,19,FALSE))</f>
        <v/>
      </c>
      <c r="R53" s="171" t="str">
        <f>IF(N53="","",VLOOKUP(N53,'G-7 Rivers Data'!$B$2:$G$8,2,FALSE))</f>
        <v/>
      </c>
      <c r="S53" s="172" t="str">
        <f>IFERROR(VLOOKUP(R53,'G-7 Rivers Data'!$C$4:$D$8,2,FALSE),"")</f>
        <v/>
      </c>
      <c r="T53" s="173"/>
      <c r="U53" s="172" t="str">
        <f>IFERROR(INDEX('G-7 Rivers Data'!$H$4:$L$8,MATCH(N53,'G-7 Rivers Data'!$B$4:$B$8,0),MATCH(T53,'G-7 Rivers Data'!$H$3:$L$3,0)),"")</f>
        <v/>
      </c>
      <c r="V53" s="186"/>
      <c r="W53" s="175" t="str">
        <f>IF(V53="","",IF(VLOOKUP(V53,'G-7 Rivers Data'!$AG$4:$AI$9,2,FALSE)=0,"Spatial Data Missing",VLOOKUP(V53,'G-7 Rivers Data'!$AG$4:$AI$9,2,FALSE)))</f>
        <v/>
      </c>
      <c r="X53" s="176" t="str">
        <f>IF(V53="","",IF(VLOOKUP(V53,'G-7 Rivers Data'!$AG$4:$AI$9,3,FALSE)=0,"Spatial Data Missing",VLOOKUP(V53,'G-7 Rivers Data'!$AG$4:$AI$9,3,FALSE)))</f>
        <v/>
      </c>
      <c r="Y53" s="239" t="str">
        <f>IFERROR(IF(OR(LEFT(P53,5)="Error",LEFT(O53,5)="Error"),"Check Data",IF(F53&lt;S53,'G-7 Rivers Data'!$R$3,INDEX('G-7 Rivers Data'!$U$5:$Y$9,MATCH(G53,'G-7 Rivers Data'!$T$5:$T$9,0),MATCH(T53,'G-7 Rivers Data'!$U$4:$Y$4,0)))),"")</f>
        <v/>
      </c>
      <c r="Z53" s="275"/>
      <c r="AA53" s="275"/>
      <c r="AB53" s="175" t="str">
        <f t="shared" si="4"/>
        <v/>
      </c>
      <c r="AC53" s="262" t="str">
        <f t="shared" si="5"/>
        <v/>
      </c>
      <c r="AD53" s="382" t="str">
        <f>IFERROR(IF(AC53="Check Data","Check Data",VLOOKUP(AC53,'G-4 Temporal multipliers'!$A$4:$C$37,3,FALSE)),"")</f>
        <v/>
      </c>
      <c r="AE53" s="239" t="str">
        <f>IF(N53="","",VLOOKUP(N53,'G-7 Rivers Data'!$B$4:$G$8,5,FALSE))</f>
        <v/>
      </c>
      <c r="AF53" s="175" t="str">
        <f t="shared" si="6"/>
        <v/>
      </c>
      <c r="AG53" s="175" t="str">
        <f t="shared" si="7"/>
        <v/>
      </c>
      <c r="AH53" s="176" t="str">
        <f t="shared" si="2"/>
        <v/>
      </c>
      <c r="AI53" s="173"/>
      <c r="AJ53" s="172" t="str">
        <f>IF(AI53="","",IF(VLOOKUP(AI53,'G-7 Rivers Data'!$AA$4:$AB$7,2,FALSE)=0,"Spatial Data Missing",VLOOKUP(AI53,'G-7 Rivers Data'!$AA$4:$AB$7,2,FALSE)))</f>
        <v/>
      </c>
      <c r="AK53" s="187"/>
      <c r="AL53" s="172" t="str">
        <f>IF(AK53="","",IF(VLOOKUP(AK53,'G-7 Rivers Data'!$AD$4:$AE$8,2,FALSE)=0,"Spatial Data Missing",VLOOKUP(AK53,'G-7 Rivers Data'!$AD$4:$AE$8,2,FALSE)))</f>
        <v/>
      </c>
      <c r="AM53" s="186"/>
      <c r="AN53" s="176" t="str">
        <f>IF(AM53="","",VLOOKUP(AM53,'G-7 Rivers Data'!$AO$4:$AP$7,2,FALSE))</f>
        <v/>
      </c>
      <c r="AO53" s="265" t="str">
        <f t="shared" si="8"/>
        <v/>
      </c>
      <c r="AP53" s="180"/>
      <c r="AQ53" s="181"/>
      <c r="AX53" s="35" t="str">
        <f>IFERROR(INDEX('G-7 Rivers Data'!$AZ$3:$AZ$7,MATCH(N53,'G-7 Rivers Data'!$AY$3:$AY$7,0)),"")</f>
        <v/>
      </c>
    </row>
    <row r="54" spans="2:50" ht="13.8" x14ac:dyDescent="0.25">
      <c r="B54" s="259" t="str">
        <f>'F-1 Off Site River Baseline'!AN52</f>
        <v/>
      </c>
      <c r="C54" s="175" t="str">
        <f>IF(B54="","",VLOOKUP($B54,'F-1 Off Site River Baseline'!$C$9:$R$257,2,FALSE))</f>
        <v/>
      </c>
      <c r="D54" s="175" t="str">
        <f>IF(C54="","",VLOOKUP($B54,'F-1 Off Site River Baseline'!$C$9:$R$257,3,FALSE))</f>
        <v/>
      </c>
      <c r="E54" s="175" t="str">
        <f>IF(D54="","",VLOOKUP($B54,'F-1 Off Site River Baseline'!$C$9:$R$257,4,FALSE))</f>
        <v/>
      </c>
      <c r="F54" s="175" t="str">
        <f>IF(E54="","",VLOOKUP($B54,'F-1 Off Site River Baseline'!$C$9:$R$257,5,FALSE))</f>
        <v/>
      </c>
      <c r="G54" s="175" t="str">
        <f>IF(F54="","",VLOOKUP($B54,'F-1 Off Site River Baseline'!$C$9:$R$257,6,FALSE))</f>
        <v/>
      </c>
      <c r="H54" s="175" t="str">
        <f>IF(G54="","",VLOOKUP($B54,'F-1 Off Site River Baseline'!$C$9:$R$257,7,FALSE))</f>
        <v/>
      </c>
      <c r="I54" s="175" t="str">
        <f>IF(H54="","",VLOOKUP($B54,'F-1 Off Site River Baseline'!$C$9:$R$257,8,FALSE))</f>
        <v/>
      </c>
      <c r="J54" s="175" t="str">
        <f>IF(I54="","",VLOOKUP($B54,'F-1 Off Site River Baseline'!$C$9:$R$257,9,FALSE))</f>
        <v/>
      </c>
      <c r="K54" s="175" t="str">
        <f>IF(J54="","",VLOOKUP($B54,'F-1 Off Site River Baseline'!$C$9:$R$257,10,FALSE))</f>
        <v/>
      </c>
      <c r="L54" s="175" t="str">
        <f>IF(B54="","",VLOOKUP($B54,'C-1 Site River Baseline'!$C$9:$R$257,15,FALSE))</f>
        <v/>
      </c>
      <c r="M54" s="176" t="str">
        <f>IF(L54="","",VLOOKUP($B54,'F-1 Off Site River Baseline'!$C$9:$R$257,16,FALSE))</f>
        <v/>
      </c>
      <c r="N54" s="639" t="str">
        <f t="shared" si="0"/>
        <v/>
      </c>
      <c r="O54" s="171" t="str">
        <f t="shared" si="3"/>
        <v/>
      </c>
      <c r="P54" s="172" t="str">
        <f>IF(C54="","",IF(AND(LEFT(C54,55)&lt;&gt;LEFT(N54,55),O54="High - High"),"Error - Not like for like",IF(AND(F54=S54,H54&gt;U54),"Error - Can not reduce condition",IF(AND(F54=S54,H54=U54,AJ54='F-1 Off Site River Baseline'!N52,'F-1 Off Site River Baseline'!P52=AL54),"Error - No enhancement",IF(AND(C54&lt;&gt;N54,F54&lt;S54),"Lower Distinctiveness Habitat"&amp;" - "&amp;T54,G54&amp;" - "&amp;T54)))))</f>
        <v/>
      </c>
      <c r="Q54" s="260" t="str">
        <f>IF(N54="","",VLOOKUP(B54,'F-1 Off Site River Baseline'!$C$10:$AA$257,19,FALSE))</f>
        <v/>
      </c>
      <c r="R54" s="171" t="str">
        <f>IF(N54="","",VLOOKUP(N54,'G-7 Rivers Data'!$B$2:$G$8,2,FALSE))</f>
        <v/>
      </c>
      <c r="S54" s="172" t="str">
        <f>IFERROR(VLOOKUP(R54,'G-7 Rivers Data'!$C$4:$D$8,2,FALSE),"")</f>
        <v/>
      </c>
      <c r="T54" s="173"/>
      <c r="U54" s="172" t="str">
        <f>IFERROR(INDEX('G-7 Rivers Data'!$H$4:$L$8,MATCH(N54,'G-7 Rivers Data'!$B$4:$B$8,0),MATCH(T54,'G-7 Rivers Data'!$H$3:$L$3,0)),"")</f>
        <v/>
      </c>
      <c r="V54" s="186"/>
      <c r="W54" s="175" t="str">
        <f>IF(V54="","",IF(VLOOKUP(V54,'G-7 Rivers Data'!$AG$4:$AI$9,2,FALSE)=0,"Spatial Data Missing",VLOOKUP(V54,'G-7 Rivers Data'!$AG$4:$AI$9,2,FALSE)))</f>
        <v/>
      </c>
      <c r="X54" s="176" t="str">
        <f>IF(V54="","",IF(VLOOKUP(V54,'G-7 Rivers Data'!$AG$4:$AI$9,3,FALSE)=0,"Spatial Data Missing",VLOOKUP(V54,'G-7 Rivers Data'!$AG$4:$AI$9,3,FALSE)))</f>
        <v/>
      </c>
      <c r="Y54" s="239" t="str">
        <f>IFERROR(IF(OR(LEFT(P54,5)="Error",LEFT(O54,5)="Error"),"Check Data",IF(F54&lt;S54,'G-7 Rivers Data'!$R$3,INDEX('G-7 Rivers Data'!$U$5:$Y$9,MATCH(G54,'G-7 Rivers Data'!$T$5:$T$9,0),MATCH(T54,'G-7 Rivers Data'!$U$4:$Y$4,0)))),"")</f>
        <v/>
      </c>
      <c r="Z54" s="275"/>
      <c r="AA54" s="275"/>
      <c r="AB54" s="175" t="str">
        <f t="shared" si="4"/>
        <v/>
      </c>
      <c r="AC54" s="262" t="str">
        <f t="shared" si="5"/>
        <v/>
      </c>
      <c r="AD54" s="382" t="str">
        <f>IFERROR(IF(AC54="Check Data","Check Data",VLOOKUP(AC54,'G-4 Temporal multipliers'!$A$4:$C$37,3,FALSE)),"")</f>
        <v/>
      </c>
      <c r="AE54" s="239" t="str">
        <f>IF(N54="","",VLOOKUP(N54,'G-7 Rivers Data'!$B$4:$G$8,5,FALSE))</f>
        <v/>
      </c>
      <c r="AF54" s="175" t="str">
        <f t="shared" si="6"/>
        <v/>
      </c>
      <c r="AG54" s="175" t="str">
        <f t="shared" si="7"/>
        <v/>
      </c>
      <c r="AH54" s="176" t="str">
        <f t="shared" si="2"/>
        <v/>
      </c>
      <c r="AI54" s="173"/>
      <c r="AJ54" s="172" t="str">
        <f>IF(AI54="","",IF(VLOOKUP(AI54,'G-7 Rivers Data'!$AA$4:$AB$7,2,FALSE)=0,"Spatial Data Missing",VLOOKUP(AI54,'G-7 Rivers Data'!$AA$4:$AB$7,2,FALSE)))</f>
        <v/>
      </c>
      <c r="AK54" s="187"/>
      <c r="AL54" s="172" t="str">
        <f>IF(AK54="","",IF(VLOOKUP(AK54,'G-7 Rivers Data'!$AD$4:$AE$8,2,FALSE)=0,"Spatial Data Missing",VLOOKUP(AK54,'G-7 Rivers Data'!$AD$4:$AE$8,2,FALSE)))</f>
        <v/>
      </c>
      <c r="AM54" s="186"/>
      <c r="AN54" s="176" t="str">
        <f>IF(AM54="","",VLOOKUP(AM54,'G-7 Rivers Data'!$AO$4:$AP$7,2,FALSE))</f>
        <v/>
      </c>
      <c r="AO54" s="265" t="str">
        <f t="shared" si="8"/>
        <v/>
      </c>
      <c r="AP54" s="180"/>
      <c r="AQ54" s="181"/>
      <c r="AX54" s="35" t="str">
        <f>IFERROR(INDEX('G-7 Rivers Data'!$AZ$3:$AZ$7,MATCH(N54,'G-7 Rivers Data'!$AY$3:$AY$7,0)),"")</f>
        <v/>
      </c>
    </row>
    <row r="55" spans="2:50" ht="13.8" x14ac:dyDescent="0.25">
      <c r="B55" s="259" t="str">
        <f>'F-1 Off Site River Baseline'!AN53</f>
        <v/>
      </c>
      <c r="C55" s="175" t="str">
        <f>IF(B55="","",VLOOKUP($B55,'F-1 Off Site River Baseline'!$C$9:$R$257,2,FALSE))</f>
        <v/>
      </c>
      <c r="D55" s="175" t="str">
        <f>IF(C55="","",VLOOKUP($B55,'F-1 Off Site River Baseline'!$C$9:$R$257,3,FALSE))</f>
        <v/>
      </c>
      <c r="E55" s="175" t="str">
        <f>IF(D55="","",VLOOKUP($B55,'F-1 Off Site River Baseline'!$C$9:$R$257,4,FALSE))</f>
        <v/>
      </c>
      <c r="F55" s="175" t="str">
        <f>IF(E55="","",VLOOKUP($B55,'F-1 Off Site River Baseline'!$C$9:$R$257,5,FALSE))</f>
        <v/>
      </c>
      <c r="G55" s="175" t="str">
        <f>IF(F55="","",VLOOKUP($B55,'F-1 Off Site River Baseline'!$C$9:$R$257,6,FALSE))</f>
        <v/>
      </c>
      <c r="H55" s="175" t="str">
        <f>IF(G55="","",VLOOKUP($B55,'F-1 Off Site River Baseline'!$C$9:$R$257,7,FALSE))</f>
        <v/>
      </c>
      <c r="I55" s="175" t="str">
        <f>IF(H55="","",VLOOKUP($B55,'F-1 Off Site River Baseline'!$C$9:$R$257,8,FALSE))</f>
        <v/>
      </c>
      <c r="J55" s="175" t="str">
        <f>IF(I55="","",VLOOKUP($B55,'F-1 Off Site River Baseline'!$C$9:$R$257,9,FALSE))</f>
        <v/>
      </c>
      <c r="K55" s="175" t="str">
        <f>IF(J55="","",VLOOKUP($B55,'F-1 Off Site River Baseline'!$C$9:$R$257,10,FALSE))</f>
        <v/>
      </c>
      <c r="L55" s="175" t="str">
        <f>IF(B55="","",VLOOKUP($B55,'C-1 Site River Baseline'!$C$9:$R$257,15,FALSE))</f>
        <v/>
      </c>
      <c r="M55" s="176" t="str">
        <f>IF(L55="","",VLOOKUP($B55,'F-1 Off Site River Baseline'!$C$9:$R$257,16,FALSE))</f>
        <v/>
      </c>
      <c r="N55" s="639" t="str">
        <f t="shared" si="0"/>
        <v/>
      </c>
      <c r="O55" s="171" t="str">
        <f t="shared" si="3"/>
        <v/>
      </c>
      <c r="P55" s="172" t="str">
        <f>IF(C55="","",IF(AND(LEFT(C55,55)&lt;&gt;LEFT(N55,55),O55="High - High"),"Error - Not like for like",IF(AND(F55=S55,H55&gt;U55),"Error - Can not reduce condition",IF(AND(F55=S55,H55=U55,AJ55='F-1 Off Site River Baseline'!N53,'F-1 Off Site River Baseline'!P53=AL55),"Error - No enhancement",IF(AND(C55&lt;&gt;N55,F55&lt;S55),"Lower Distinctiveness Habitat"&amp;" - "&amp;T55,G55&amp;" - "&amp;T55)))))</f>
        <v/>
      </c>
      <c r="Q55" s="260" t="str">
        <f>IF(N55="","",VLOOKUP(B55,'F-1 Off Site River Baseline'!$C$10:$AA$257,19,FALSE))</f>
        <v/>
      </c>
      <c r="R55" s="171" t="str">
        <f>IF(N55="","",VLOOKUP(N55,'G-7 Rivers Data'!$B$2:$G$8,2,FALSE))</f>
        <v/>
      </c>
      <c r="S55" s="172" t="str">
        <f>IFERROR(VLOOKUP(R55,'G-7 Rivers Data'!$C$4:$D$8,2,FALSE),"")</f>
        <v/>
      </c>
      <c r="T55" s="173"/>
      <c r="U55" s="172" t="str">
        <f>IFERROR(INDEX('G-7 Rivers Data'!$H$4:$L$8,MATCH(N55,'G-7 Rivers Data'!$B$4:$B$8,0),MATCH(T55,'G-7 Rivers Data'!$H$3:$L$3,0)),"")</f>
        <v/>
      </c>
      <c r="V55" s="186"/>
      <c r="W55" s="175" t="str">
        <f>IF(V55="","",IF(VLOOKUP(V55,'G-7 Rivers Data'!$AG$4:$AI$9,2,FALSE)=0,"Spatial Data Missing",VLOOKUP(V55,'G-7 Rivers Data'!$AG$4:$AI$9,2,FALSE)))</f>
        <v/>
      </c>
      <c r="X55" s="176" t="str">
        <f>IF(V55="","",IF(VLOOKUP(V55,'G-7 Rivers Data'!$AG$4:$AI$9,3,FALSE)=0,"Spatial Data Missing",VLOOKUP(V55,'G-7 Rivers Data'!$AG$4:$AI$9,3,FALSE)))</f>
        <v/>
      </c>
      <c r="Y55" s="239" t="str">
        <f>IFERROR(IF(OR(LEFT(P55,5)="Error",LEFT(O55,5)="Error"),"Check Data",IF(F55&lt;S55,'G-7 Rivers Data'!$R$3,INDEX('G-7 Rivers Data'!$U$5:$Y$9,MATCH(G55,'G-7 Rivers Data'!$T$5:$T$9,0),MATCH(T55,'G-7 Rivers Data'!$U$4:$Y$4,0)))),"")</f>
        <v/>
      </c>
      <c r="Z55" s="275"/>
      <c r="AA55" s="275"/>
      <c r="AB55" s="175" t="str">
        <f t="shared" si="4"/>
        <v/>
      </c>
      <c r="AC55" s="262" t="str">
        <f t="shared" si="5"/>
        <v/>
      </c>
      <c r="AD55" s="382" t="str">
        <f>IFERROR(IF(AC55="Check Data","Check Data",VLOOKUP(AC55,'G-4 Temporal multipliers'!$A$4:$C$37,3,FALSE)),"")</f>
        <v/>
      </c>
      <c r="AE55" s="239" t="str">
        <f>IF(N55="","",VLOOKUP(N55,'G-7 Rivers Data'!$B$4:$G$8,5,FALSE))</f>
        <v/>
      </c>
      <c r="AF55" s="175" t="str">
        <f t="shared" si="6"/>
        <v/>
      </c>
      <c r="AG55" s="175" t="str">
        <f t="shared" si="7"/>
        <v/>
      </c>
      <c r="AH55" s="176" t="str">
        <f t="shared" si="2"/>
        <v/>
      </c>
      <c r="AI55" s="173"/>
      <c r="AJ55" s="172" t="str">
        <f>IF(AI55="","",IF(VLOOKUP(AI55,'G-7 Rivers Data'!$AA$4:$AB$7,2,FALSE)=0,"Spatial Data Missing",VLOOKUP(AI55,'G-7 Rivers Data'!$AA$4:$AB$7,2,FALSE)))</f>
        <v/>
      </c>
      <c r="AK55" s="187"/>
      <c r="AL55" s="172" t="str">
        <f>IF(AK55="","",IF(VLOOKUP(AK55,'G-7 Rivers Data'!$AD$4:$AE$8,2,FALSE)=0,"Spatial Data Missing",VLOOKUP(AK55,'G-7 Rivers Data'!$AD$4:$AE$8,2,FALSE)))</f>
        <v/>
      </c>
      <c r="AM55" s="186"/>
      <c r="AN55" s="176" t="str">
        <f>IF(AM55="","",VLOOKUP(AM55,'G-7 Rivers Data'!$AO$4:$AP$7,2,FALSE))</f>
        <v/>
      </c>
      <c r="AO55" s="265" t="str">
        <f t="shared" si="8"/>
        <v/>
      </c>
      <c r="AP55" s="180"/>
      <c r="AQ55" s="181"/>
      <c r="AX55" s="35" t="str">
        <f>IFERROR(INDEX('G-7 Rivers Data'!$AZ$3:$AZ$7,MATCH(N55,'G-7 Rivers Data'!$AY$3:$AY$7,0)),"")</f>
        <v/>
      </c>
    </row>
    <row r="56" spans="2:50" ht="13.8" x14ac:dyDescent="0.25">
      <c r="B56" s="259" t="str">
        <f>'F-1 Off Site River Baseline'!AN54</f>
        <v/>
      </c>
      <c r="C56" s="175" t="str">
        <f>IF(B56="","",VLOOKUP($B56,'F-1 Off Site River Baseline'!$C$9:$R$257,2,FALSE))</f>
        <v/>
      </c>
      <c r="D56" s="175" t="str">
        <f>IF(C56="","",VLOOKUP($B56,'F-1 Off Site River Baseline'!$C$9:$R$257,3,FALSE))</f>
        <v/>
      </c>
      <c r="E56" s="175" t="str">
        <f>IF(D56="","",VLOOKUP($B56,'F-1 Off Site River Baseline'!$C$9:$R$257,4,FALSE))</f>
        <v/>
      </c>
      <c r="F56" s="175" t="str">
        <f>IF(E56="","",VLOOKUP($B56,'F-1 Off Site River Baseline'!$C$9:$R$257,5,FALSE))</f>
        <v/>
      </c>
      <c r="G56" s="175" t="str">
        <f>IF(F56="","",VLOOKUP($B56,'F-1 Off Site River Baseline'!$C$9:$R$257,6,FALSE))</f>
        <v/>
      </c>
      <c r="H56" s="175" t="str">
        <f>IF(G56="","",VLOOKUP($B56,'F-1 Off Site River Baseline'!$C$9:$R$257,7,FALSE))</f>
        <v/>
      </c>
      <c r="I56" s="175" t="str">
        <f>IF(H56="","",VLOOKUP($B56,'F-1 Off Site River Baseline'!$C$9:$R$257,8,FALSE))</f>
        <v/>
      </c>
      <c r="J56" s="175" t="str">
        <f>IF(I56="","",VLOOKUP($B56,'F-1 Off Site River Baseline'!$C$9:$R$257,9,FALSE))</f>
        <v/>
      </c>
      <c r="K56" s="175" t="str">
        <f>IF(J56="","",VLOOKUP($B56,'F-1 Off Site River Baseline'!$C$9:$R$257,10,FALSE))</f>
        <v/>
      </c>
      <c r="L56" s="175" t="str">
        <f>IF(B56="","",VLOOKUP($B56,'C-1 Site River Baseline'!$C$9:$R$257,15,FALSE))</f>
        <v/>
      </c>
      <c r="M56" s="176" t="str">
        <f>IF(L56="","",VLOOKUP($B56,'F-1 Off Site River Baseline'!$C$9:$R$257,16,FALSE))</f>
        <v/>
      </c>
      <c r="N56" s="639" t="str">
        <f t="shared" si="0"/>
        <v/>
      </c>
      <c r="O56" s="171" t="str">
        <f t="shared" si="3"/>
        <v/>
      </c>
      <c r="P56" s="172" t="str">
        <f>IF(C56="","",IF(AND(LEFT(C56,55)&lt;&gt;LEFT(N56,55),O56="High - High"),"Error - Not like for like",IF(AND(F56=S56,H56&gt;U56),"Error - Can not reduce condition",IF(AND(F56=S56,H56=U56,AJ56='F-1 Off Site River Baseline'!N54,'F-1 Off Site River Baseline'!P54=AL56),"Error - No enhancement",IF(AND(C56&lt;&gt;N56,F56&lt;S56),"Lower Distinctiveness Habitat"&amp;" - "&amp;T56,G56&amp;" - "&amp;T56)))))</f>
        <v/>
      </c>
      <c r="Q56" s="260" t="str">
        <f>IF(N56="","",VLOOKUP(B56,'F-1 Off Site River Baseline'!$C$10:$AA$257,19,FALSE))</f>
        <v/>
      </c>
      <c r="R56" s="171" t="str">
        <f>IF(N56="","",VLOOKUP(N56,'G-7 Rivers Data'!$B$2:$G$8,2,FALSE))</f>
        <v/>
      </c>
      <c r="S56" s="172" t="str">
        <f>IFERROR(VLOOKUP(R56,'G-7 Rivers Data'!$C$4:$D$8,2,FALSE),"")</f>
        <v/>
      </c>
      <c r="T56" s="173"/>
      <c r="U56" s="172" t="str">
        <f>IFERROR(INDEX('G-7 Rivers Data'!$H$4:$L$8,MATCH(N56,'G-7 Rivers Data'!$B$4:$B$8,0),MATCH(T56,'G-7 Rivers Data'!$H$3:$L$3,0)),"")</f>
        <v/>
      </c>
      <c r="V56" s="186"/>
      <c r="W56" s="175" t="str">
        <f>IF(V56="","",IF(VLOOKUP(V56,'G-7 Rivers Data'!$AG$4:$AI$9,2,FALSE)=0,"Spatial Data Missing",VLOOKUP(V56,'G-7 Rivers Data'!$AG$4:$AI$9,2,FALSE)))</f>
        <v/>
      </c>
      <c r="X56" s="176" t="str">
        <f>IF(V56="","",IF(VLOOKUP(V56,'G-7 Rivers Data'!$AG$4:$AI$9,3,FALSE)=0,"Spatial Data Missing",VLOOKUP(V56,'G-7 Rivers Data'!$AG$4:$AI$9,3,FALSE)))</f>
        <v/>
      </c>
      <c r="Y56" s="239" t="str">
        <f>IFERROR(IF(OR(LEFT(P56,5)="Error",LEFT(O56,5)="Error"),"Check Data",IF(F56&lt;S56,'G-7 Rivers Data'!$R$3,INDEX('G-7 Rivers Data'!$U$5:$Y$9,MATCH(G56,'G-7 Rivers Data'!$T$5:$T$9,0),MATCH(T56,'G-7 Rivers Data'!$U$4:$Y$4,0)))),"")</f>
        <v/>
      </c>
      <c r="Z56" s="275"/>
      <c r="AA56" s="275"/>
      <c r="AB56" s="175" t="str">
        <f t="shared" si="4"/>
        <v/>
      </c>
      <c r="AC56" s="262" t="str">
        <f t="shared" si="5"/>
        <v/>
      </c>
      <c r="AD56" s="382" t="str">
        <f>IFERROR(IF(AC56="Check Data","Check Data",VLOOKUP(AC56,'G-4 Temporal multipliers'!$A$4:$C$37,3,FALSE)),"")</f>
        <v/>
      </c>
      <c r="AE56" s="239" t="str">
        <f>IF(N56="","",VLOOKUP(N56,'G-7 Rivers Data'!$B$4:$G$8,5,FALSE))</f>
        <v/>
      </c>
      <c r="AF56" s="175" t="str">
        <f t="shared" si="6"/>
        <v/>
      </c>
      <c r="AG56" s="175" t="str">
        <f t="shared" si="7"/>
        <v/>
      </c>
      <c r="AH56" s="176" t="str">
        <f t="shared" si="2"/>
        <v/>
      </c>
      <c r="AI56" s="173"/>
      <c r="AJ56" s="172" t="str">
        <f>IF(AI56="","",IF(VLOOKUP(AI56,'G-7 Rivers Data'!$AA$4:$AB$7,2,FALSE)=0,"Spatial Data Missing",VLOOKUP(AI56,'G-7 Rivers Data'!$AA$4:$AB$7,2,FALSE)))</f>
        <v/>
      </c>
      <c r="AK56" s="187"/>
      <c r="AL56" s="172" t="str">
        <f>IF(AK56="","",IF(VLOOKUP(AK56,'G-7 Rivers Data'!$AD$4:$AE$8,2,FALSE)=0,"Spatial Data Missing",VLOOKUP(AK56,'G-7 Rivers Data'!$AD$4:$AE$8,2,FALSE)))</f>
        <v/>
      </c>
      <c r="AM56" s="186"/>
      <c r="AN56" s="176" t="str">
        <f>IF(AM56="","",VLOOKUP(AM56,'G-7 Rivers Data'!$AO$4:$AP$7,2,FALSE))</f>
        <v/>
      </c>
      <c r="AO56" s="265" t="str">
        <f t="shared" si="8"/>
        <v/>
      </c>
      <c r="AP56" s="180"/>
      <c r="AQ56" s="181"/>
      <c r="AX56" s="35" t="str">
        <f>IFERROR(INDEX('G-7 Rivers Data'!$AZ$3:$AZ$7,MATCH(N56,'G-7 Rivers Data'!$AY$3:$AY$7,0)),"")</f>
        <v/>
      </c>
    </row>
    <row r="57" spans="2:50" ht="13.8" x14ac:dyDescent="0.25">
      <c r="B57" s="259" t="str">
        <f>'F-1 Off Site River Baseline'!AN55</f>
        <v/>
      </c>
      <c r="C57" s="175" t="str">
        <f>IF(B57="","",VLOOKUP($B57,'F-1 Off Site River Baseline'!$C$9:$R$257,2,FALSE))</f>
        <v/>
      </c>
      <c r="D57" s="175" t="str">
        <f>IF(C57="","",VLOOKUP($B57,'F-1 Off Site River Baseline'!$C$9:$R$257,3,FALSE))</f>
        <v/>
      </c>
      <c r="E57" s="175" t="str">
        <f>IF(D57="","",VLOOKUP($B57,'F-1 Off Site River Baseline'!$C$9:$R$257,4,FALSE))</f>
        <v/>
      </c>
      <c r="F57" s="175" t="str">
        <f>IF(E57="","",VLOOKUP($B57,'F-1 Off Site River Baseline'!$C$9:$R$257,5,FALSE))</f>
        <v/>
      </c>
      <c r="G57" s="175" t="str">
        <f>IF(F57="","",VLOOKUP($B57,'F-1 Off Site River Baseline'!$C$9:$R$257,6,FALSE))</f>
        <v/>
      </c>
      <c r="H57" s="175" t="str">
        <f>IF(G57="","",VLOOKUP($B57,'F-1 Off Site River Baseline'!$C$9:$R$257,7,FALSE))</f>
        <v/>
      </c>
      <c r="I57" s="175" t="str">
        <f>IF(H57="","",VLOOKUP($B57,'F-1 Off Site River Baseline'!$C$9:$R$257,8,FALSE))</f>
        <v/>
      </c>
      <c r="J57" s="175" t="str">
        <f>IF(I57="","",VLOOKUP($B57,'F-1 Off Site River Baseline'!$C$9:$R$257,9,FALSE))</f>
        <v/>
      </c>
      <c r="K57" s="175" t="str">
        <f>IF(J57="","",VLOOKUP($B57,'F-1 Off Site River Baseline'!$C$9:$R$257,10,FALSE))</f>
        <v/>
      </c>
      <c r="L57" s="175" t="str">
        <f>IF(B57="","",VLOOKUP($B57,'C-1 Site River Baseline'!$C$9:$R$257,15,FALSE))</f>
        <v/>
      </c>
      <c r="M57" s="176" t="str">
        <f>IF(L57="","",VLOOKUP($B57,'F-1 Off Site River Baseline'!$C$9:$R$257,16,FALSE))</f>
        <v/>
      </c>
      <c r="N57" s="639" t="str">
        <f t="shared" si="0"/>
        <v/>
      </c>
      <c r="O57" s="171" t="str">
        <f t="shared" si="3"/>
        <v/>
      </c>
      <c r="P57" s="172" t="str">
        <f>IF(C57="","",IF(AND(LEFT(C57,55)&lt;&gt;LEFT(N57,55),O57="High - High"),"Error - Not like for like",IF(AND(F57=S57,H57&gt;U57),"Error - Can not reduce condition",IF(AND(F57=S57,H57=U57,AJ57='F-1 Off Site River Baseline'!N55,'F-1 Off Site River Baseline'!P55=AL57),"Error - No enhancement",IF(AND(C57&lt;&gt;N57,F57&lt;S57),"Lower Distinctiveness Habitat"&amp;" - "&amp;T57,G57&amp;" - "&amp;T57)))))</f>
        <v/>
      </c>
      <c r="Q57" s="260" t="str">
        <f>IF(N57="","",VLOOKUP(B57,'F-1 Off Site River Baseline'!$C$10:$AA$257,19,FALSE))</f>
        <v/>
      </c>
      <c r="R57" s="171" t="str">
        <f>IF(N57="","",VLOOKUP(N57,'G-7 Rivers Data'!$B$2:$G$8,2,FALSE))</f>
        <v/>
      </c>
      <c r="S57" s="172" t="str">
        <f>IFERROR(VLOOKUP(R57,'G-7 Rivers Data'!$C$4:$D$8,2,FALSE),"")</f>
        <v/>
      </c>
      <c r="T57" s="173"/>
      <c r="U57" s="172" t="str">
        <f>IFERROR(INDEX('G-7 Rivers Data'!$H$4:$L$8,MATCH(N57,'G-7 Rivers Data'!$B$4:$B$8,0),MATCH(T57,'G-7 Rivers Data'!$H$3:$L$3,0)),"")</f>
        <v/>
      </c>
      <c r="V57" s="186"/>
      <c r="W57" s="175" t="str">
        <f>IF(V57="","",IF(VLOOKUP(V57,'G-7 Rivers Data'!$AG$4:$AI$9,2,FALSE)=0,"Spatial Data Missing",VLOOKUP(V57,'G-7 Rivers Data'!$AG$4:$AI$9,2,FALSE)))</f>
        <v/>
      </c>
      <c r="X57" s="176" t="str">
        <f>IF(V57="","",IF(VLOOKUP(V57,'G-7 Rivers Data'!$AG$4:$AI$9,3,FALSE)=0,"Spatial Data Missing",VLOOKUP(V57,'G-7 Rivers Data'!$AG$4:$AI$9,3,FALSE)))</f>
        <v/>
      </c>
      <c r="Y57" s="239" t="str">
        <f>IFERROR(IF(OR(LEFT(P57,5)="Error",LEFT(O57,5)="Error"),"Check Data",IF(F57&lt;S57,'G-7 Rivers Data'!$R$3,INDEX('G-7 Rivers Data'!$U$5:$Y$9,MATCH(G57,'G-7 Rivers Data'!$T$5:$T$9,0),MATCH(T57,'G-7 Rivers Data'!$U$4:$Y$4,0)))),"")</f>
        <v/>
      </c>
      <c r="Z57" s="275"/>
      <c r="AA57" s="275"/>
      <c r="AB57" s="175" t="str">
        <f t="shared" si="4"/>
        <v/>
      </c>
      <c r="AC57" s="262" t="str">
        <f t="shared" si="5"/>
        <v/>
      </c>
      <c r="AD57" s="382" t="str">
        <f>IFERROR(IF(AC57="Check Data","Check Data",VLOOKUP(AC57,'G-4 Temporal multipliers'!$A$4:$C$37,3,FALSE)),"")</f>
        <v/>
      </c>
      <c r="AE57" s="239" t="str">
        <f>IF(N57="","",VLOOKUP(N57,'G-7 Rivers Data'!$B$4:$G$8,5,FALSE))</f>
        <v/>
      </c>
      <c r="AF57" s="175" t="str">
        <f t="shared" si="6"/>
        <v/>
      </c>
      <c r="AG57" s="175" t="str">
        <f t="shared" si="7"/>
        <v/>
      </c>
      <c r="AH57" s="176" t="str">
        <f t="shared" si="2"/>
        <v/>
      </c>
      <c r="AI57" s="173"/>
      <c r="AJ57" s="172" t="str">
        <f>IF(AI57="","",IF(VLOOKUP(AI57,'G-7 Rivers Data'!$AA$4:$AB$7,2,FALSE)=0,"Spatial Data Missing",VLOOKUP(AI57,'G-7 Rivers Data'!$AA$4:$AB$7,2,FALSE)))</f>
        <v/>
      </c>
      <c r="AK57" s="187"/>
      <c r="AL57" s="172" t="str">
        <f>IF(AK57="","",IF(VLOOKUP(AK57,'G-7 Rivers Data'!$AD$4:$AE$8,2,FALSE)=0,"Spatial Data Missing",VLOOKUP(AK57,'G-7 Rivers Data'!$AD$4:$AE$8,2,FALSE)))</f>
        <v/>
      </c>
      <c r="AM57" s="186"/>
      <c r="AN57" s="176" t="str">
        <f>IF(AM57="","",VLOOKUP(AM57,'G-7 Rivers Data'!$AO$4:$AP$7,2,FALSE))</f>
        <v/>
      </c>
      <c r="AO57" s="265" t="str">
        <f t="shared" si="8"/>
        <v/>
      </c>
      <c r="AP57" s="180"/>
      <c r="AQ57" s="181"/>
      <c r="AX57" s="35" t="str">
        <f>IFERROR(INDEX('G-7 Rivers Data'!$AZ$3:$AZ$7,MATCH(N57,'G-7 Rivers Data'!$AY$3:$AY$7,0)),"")</f>
        <v/>
      </c>
    </row>
    <row r="58" spans="2:50" ht="13.8" x14ac:dyDescent="0.25">
      <c r="B58" s="259" t="str">
        <f>'F-1 Off Site River Baseline'!AN56</f>
        <v/>
      </c>
      <c r="C58" s="175" t="str">
        <f>IF(B58="","",VLOOKUP($B58,'F-1 Off Site River Baseline'!$C$9:$R$257,2,FALSE))</f>
        <v/>
      </c>
      <c r="D58" s="175" t="str">
        <f>IF(C58="","",VLOOKUP($B58,'F-1 Off Site River Baseline'!$C$9:$R$257,3,FALSE))</f>
        <v/>
      </c>
      <c r="E58" s="175" t="str">
        <f>IF(D58="","",VLOOKUP($B58,'F-1 Off Site River Baseline'!$C$9:$R$257,4,FALSE))</f>
        <v/>
      </c>
      <c r="F58" s="175" t="str">
        <f>IF(E58="","",VLOOKUP($B58,'F-1 Off Site River Baseline'!$C$9:$R$257,5,FALSE))</f>
        <v/>
      </c>
      <c r="G58" s="175" t="str">
        <f>IF(F58="","",VLOOKUP($B58,'F-1 Off Site River Baseline'!$C$9:$R$257,6,FALSE))</f>
        <v/>
      </c>
      <c r="H58" s="175" t="str">
        <f>IF(G58="","",VLOOKUP($B58,'F-1 Off Site River Baseline'!$C$9:$R$257,7,FALSE))</f>
        <v/>
      </c>
      <c r="I58" s="175" t="str">
        <f>IF(H58="","",VLOOKUP($B58,'F-1 Off Site River Baseline'!$C$9:$R$257,8,FALSE))</f>
        <v/>
      </c>
      <c r="J58" s="175" t="str">
        <f>IF(I58="","",VLOOKUP($B58,'F-1 Off Site River Baseline'!$C$9:$R$257,9,FALSE))</f>
        <v/>
      </c>
      <c r="K58" s="175" t="str">
        <f>IF(J58="","",VLOOKUP($B58,'F-1 Off Site River Baseline'!$C$9:$R$257,10,FALSE))</f>
        <v/>
      </c>
      <c r="L58" s="175" t="str">
        <f>IF(B58="","",VLOOKUP($B58,'C-1 Site River Baseline'!$C$9:$R$257,15,FALSE))</f>
        <v/>
      </c>
      <c r="M58" s="176" t="str">
        <f>IF(L58="","",VLOOKUP($B58,'F-1 Off Site River Baseline'!$C$9:$R$257,16,FALSE))</f>
        <v/>
      </c>
      <c r="N58" s="639" t="str">
        <f t="shared" si="0"/>
        <v/>
      </c>
      <c r="O58" s="171" t="str">
        <f t="shared" si="3"/>
        <v/>
      </c>
      <c r="P58" s="172" t="str">
        <f>IF(C58="","",IF(AND(LEFT(C58,55)&lt;&gt;LEFT(N58,55),O58="High - High"),"Error - Not like for like",IF(AND(F58=S58,H58&gt;U58),"Error - Can not reduce condition",IF(AND(F58=S58,H58=U58,AJ58='F-1 Off Site River Baseline'!N56,'F-1 Off Site River Baseline'!P56=AL58),"Error - No enhancement",IF(AND(C58&lt;&gt;N58,F58&lt;S58),"Lower Distinctiveness Habitat"&amp;" - "&amp;T58,G58&amp;" - "&amp;T58)))))</f>
        <v/>
      </c>
      <c r="Q58" s="260" t="str">
        <f>IF(N58="","",VLOOKUP(B58,'F-1 Off Site River Baseline'!$C$10:$AA$257,19,FALSE))</f>
        <v/>
      </c>
      <c r="R58" s="171" t="str">
        <f>IF(N58="","",VLOOKUP(N58,'G-7 Rivers Data'!$B$2:$G$8,2,FALSE))</f>
        <v/>
      </c>
      <c r="S58" s="172" t="str">
        <f>IFERROR(VLOOKUP(R58,'G-7 Rivers Data'!$C$4:$D$8,2,FALSE),"")</f>
        <v/>
      </c>
      <c r="T58" s="173"/>
      <c r="U58" s="172" t="str">
        <f>IFERROR(INDEX('G-7 Rivers Data'!$H$4:$L$8,MATCH(N58,'G-7 Rivers Data'!$B$4:$B$8,0),MATCH(T58,'G-7 Rivers Data'!$H$3:$L$3,0)),"")</f>
        <v/>
      </c>
      <c r="V58" s="186"/>
      <c r="W58" s="175" t="str">
        <f>IF(V58="","",IF(VLOOKUP(V58,'G-7 Rivers Data'!$AG$4:$AI$9,2,FALSE)=0,"Spatial Data Missing",VLOOKUP(V58,'G-7 Rivers Data'!$AG$4:$AI$9,2,FALSE)))</f>
        <v/>
      </c>
      <c r="X58" s="176" t="str">
        <f>IF(V58="","",IF(VLOOKUP(V58,'G-7 Rivers Data'!$AG$4:$AI$9,3,FALSE)=0,"Spatial Data Missing",VLOOKUP(V58,'G-7 Rivers Data'!$AG$4:$AI$9,3,FALSE)))</f>
        <v/>
      </c>
      <c r="Y58" s="239" t="str">
        <f>IFERROR(IF(OR(LEFT(P58,5)="Error",LEFT(O58,5)="Error"),"Check Data",IF(F58&lt;S58,'G-7 Rivers Data'!$R$3,INDEX('G-7 Rivers Data'!$U$5:$Y$9,MATCH(G58,'G-7 Rivers Data'!$T$5:$T$9,0),MATCH(T58,'G-7 Rivers Data'!$U$4:$Y$4,0)))),"")</f>
        <v/>
      </c>
      <c r="Z58" s="275"/>
      <c r="AA58" s="275"/>
      <c r="AB58" s="175" t="str">
        <f t="shared" si="4"/>
        <v/>
      </c>
      <c r="AC58" s="262" t="str">
        <f t="shared" si="5"/>
        <v/>
      </c>
      <c r="AD58" s="382" t="str">
        <f>IFERROR(IF(AC58="Check Data","Check Data",VLOOKUP(AC58,'G-4 Temporal multipliers'!$A$4:$C$37,3,FALSE)),"")</f>
        <v/>
      </c>
      <c r="AE58" s="239" t="str">
        <f>IF(N58="","",VLOOKUP(N58,'G-7 Rivers Data'!$B$4:$G$8,5,FALSE))</f>
        <v/>
      </c>
      <c r="AF58" s="175" t="str">
        <f t="shared" si="6"/>
        <v/>
      </c>
      <c r="AG58" s="175" t="str">
        <f t="shared" si="7"/>
        <v/>
      </c>
      <c r="AH58" s="176" t="str">
        <f t="shared" si="2"/>
        <v/>
      </c>
      <c r="AI58" s="173"/>
      <c r="AJ58" s="172" t="str">
        <f>IF(AI58="","",IF(VLOOKUP(AI58,'G-7 Rivers Data'!$AA$4:$AB$7,2,FALSE)=0,"Spatial Data Missing",VLOOKUP(AI58,'G-7 Rivers Data'!$AA$4:$AB$7,2,FALSE)))</f>
        <v/>
      </c>
      <c r="AK58" s="187"/>
      <c r="AL58" s="172" t="str">
        <f>IF(AK58="","",IF(VLOOKUP(AK58,'G-7 Rivers Data'!$AD$4:$AE$8,2,FALSE)=0,"Spatial Data Missing",VLOOKUP(AK58,'G-7 Rivers Data'!$AD$4:$AE$8,2,FALSE)))</f>
        <v/>
      </c>
      <c r="AM58" s="186"/>
      <c r="AN58" s="176" t="str">
        <f>IF(AM58="","",VLOOKUP(AM58,'G-7 Rivers Data'!$AO$4:$AP$7,2,FALSE))</f>
        <v/>
      </c>
      <c r="AO58" s="265" t="str">
        <f t="shared" si="8"/>
        <v/>
      </c>
      <c r="AP58" s="180"/>
      <c r="AQ58" s="181"/>
      <c r="AX58" s="35" t="str">
        <f>IFERROR(INDEX('G-7 Rivers Data'!$AZ$3:$AZ$7,MATCH(N58,'G-7 Rivers Data'!$AY$3:$AY$7,0)),"")</f>
        <v/>
      </c>
    </row>
    <row r="59" spans="2:50" ht="13.8" x14ac:dyDescent="0.25">
      <c r="B59" s="259" t="str">
        <f>'F-1 Off Site River Baseline'!AN57</f>
        <v/>
      </c>
      <c r="C59" s="175" t="str">
        <f>IF(B59="","",VLOOKUP($B59,'F-1 Off Site River Baseline'!$C$9:$R$257,2,FALSE))</f>
        <v/>
      </c>
      <c r="D59" s="175" t="str">
        <f>IF(C59="","",VLOOKUP($B59,'F-1 Off Site River Baseline'!$C$9:$R$257,3,FALSE))</f>
        <v/>
      </c>
      <c r="E59" s="175" t="str">
        <f>IF(D59="","",VLOOKUP($B59,'F-1 Off Site River Baseline'!$C$9:$R$257,4,FALSE))</f>
        <v/>
      </c>
      <c r="F59" s="175" t="str">
        <f>IF(E59="","",VLOOKUP($B59,'F-1 Off Site River Baseline'!$C$9:$R$257,5,FALSE))</f>
        <v/>
      </c>
      <c r="G59" s="175" t="str">
        <f>IF(F59="","",VLOOKUP($B59,'F-1 Off Site River Baseline'!$C$9:$R$257,6,FALSE))</f>
        <v/>
      </c>
      <c r="H59" s="175" t="str">
        <f>IF(G59="","",VLOOKUP($B59,'F-1 Off Site River Baseline'!$C$9:$R$257,7,FALSE))</f>
        <v/>
      </c>
      <c r="I59" s="175" t="str">
        <f>IF(H59="","",VLOOKUP($B59,'F-1 Off Site River Baseline'!$C$9:$R$257,8,FALSE))</f>
        <v/>
      </c>
      <c r="J59" s="175" t="str">
        <f>IF(I59="","",VLOOKUP($B59,'F-1 Off Site River Baseline'!$C$9:$R$257,9,FALSE))</f>
        <v/>
      </c>
      <c r="K59" s="175" t="str">
        <f>IF(J59="","",VLOOKUP($B59,'F-1 Off Site River Baseline'!$C$9:$R$257,10,FALSE))</f>
        <v/>
      </c>
      <c r="L59" s="175" t="str">
        <f>IF(B59="","",VLOOKUP($B59,'C-1 Site River Baseline'!$C$9:$R$257,15,FALSE))</f>
        <v/>
      </c>
      <c r="M59" s="176" t="str">
        <f>IF(L59="","",VLOOKUP($B59,'F-1 Off Site River Baseline'!$C$9:$R$257,16,FALSE))</f>
        <v/>
      </c>
      <c r="N59" s="639" t="str">
        <f t="shared" si="0"/>
        <v/>
      </c>
      <c r="O59" s="171" t="str">
        <f t="shared" si="3"/>
        <v/>
      </c>
      <c r="P59" s="172" t="str">
        <f>IF(C59="","",IF(AND(LEFT(C59,55)&lt;&gt;LEFT(N59,55),O59="High - High"),"Error - Not like for like",IF(AND(F59=S59,H59&gt;U59),"Error - Can not reduce condition",IF(AND(F59=S59,H59=U59,AJ59='F-1 Off Site River Baseline'!N57,'F-1 Off Site River Baseline'!P57=AL59),"Error - No enhancement",IF(AND(C59&lt;&gt;N59,F59&lt;S59),"Lower Distinctiveness Habitat"&amp;" - "&amp;T59,G59&amp;" - "&amp;T59)))))</f>
        <v/>
      </c>
      <c r="Q59" s="260" t="str">
        <f>IF(N59="","",VLOOKUP(B59,'F-1 Off Site River Baseline'!$C$10:$AA$257,19,FALSE))</f>
        <v/>
      </c>
      <c r="R59" s="171" t="str">
        <f>IF(N59="","",VLOOKUP(N59,'G-7 Rivers Data'!$B$2:$G$8,2,FALSE))</f>
        <v/>
      </c>
      <c r="S59" s="172" t="str">
        <f>IFERROR(VLOOKUP(R59,'G-7 Rivers Data'!$C$4:$D$8,2,FALSE),"")</f>
        <v/>
      </c>
      <c r="T59" s="173"/>
      <c r="U59" s="172" t="str">
        <f>IFERROR(INDEX('G-7 Rivers Data'!$H$4:$L$8,MATCH(N59,'G-7 Rivers Data'!$B$4:$B$8,0),MATCH(T59,'G-7 Rivers Data'!$H$3:$L$3,0)),"")</f>
        <v/>
      </c>
      <c r="V59" s="186"/>
      <c r="W59" s="175" t="str">
        <f>IF(V59="","",IF(VLOOKUP(V59,'G-7 Rivers Data'!$AG$4:$AI$9,2,FALSE)=0,"Spatial Data Missing",VLOOKUP(V59,'G-7 Rivers Data'!$AG$4:$AI$9,2,FALSE)))</f>
        <v/>
      </c>
      <c r="X59" s="176" t="str">
        <f>IF(V59="","",IF(VLOOKUP(V59,'G-7 Rivers Data'!$AG$4:$AI$9,3,FALSE)=0,"Spatial Data Missing",VLOOKUP(V59,'G-7 Rivers Data'!$AG$4:$AI$9,3,FALSE)))</f>
        <v/>
      </c>
      <c r="Y59" s="239" t="str">
        <f>IFERROR(IF(OR(LEFT(P59,5)="Error",LEFT(O59,5)="Error"),"Check Data",IF(F59&lt;S59,'G-7 Rivers Data'!$R$3,INDEX('G-7 Rivers Data'!$U$5:$Y$9,MATCH(G59,'G-7 Rivers Data'!$T$5:$T$9,0),MATCH(T59,'G-7 Rivers Data'!$U$4:$Y$4,0)))),"")</f>
        <v/>
      </c>
      <c r="Z59" s="275"/>
      <c r="AA59" s="275"/>
      <c r="AB59" s="175" t="str">
        <f t="shared" si="4"/>
        <v/>
      </c>
      <c r="AC59" s="262" t="str">
        <f t="shared" si="5"/>
        <v/>
      </c>
      <c r="AD59" s="382" t="str">
        <f>IFERROR(IF(AC59="Check Data","Check Data",VLOOKUP(AC59,'G-4 Temporal multipliers'!$A$4:$C$37,3,FALSE)),"")</f>
        <v/>
      </c>
      <c r="AE59" s="239" t="str">
        <f>IF(N59="","",VLOOKUP(N59,'G-7 Rivers Data'!$B$4:$G$8,5,FALSE))</f>
        <v/>
      </c>
      <c r="AF59" s="175" t="str">
        <f t="shared" si="6"/>
        <v/>
      </c>
      <c r="AG59" s="175" t="str">
        <f t="shared" si="7"/>
        <v/>
      </c>
      <c r="AH59" s="176" t="str">
        <f t="shared" si="2"/>
        <v/>
      </c>
      <c r="AI59" s="173"/>
      <c r="AJ59" s="172" t="str">
        <f>IF(AI59="","",IF(VLOOKUP(AI59,'G-7 Rivers Data'!$AA$4:$AB$7,2,FALSE)=0,"Spatial Data Missing",VLOOKUP(AI59,'G-7 Rivers Data'!$AA$4:$AB$7,2,FALSE)))</f>
        <v/>
      </c>
      <c r="AK59" s="187"/>
      <c r="AL59" s="172" t="str">
        <f>IF(AK59="","",IF(VLOOKUP(AK59,'G-7 Rivers Data'!$AD$4:$AE$8,2,FALSE)=0,"Spatial Data Missing",VLOOKUP(AK59,'G-7 Rivers Data'!$AD$4:$AE$8,2,FALSE)))</f>
        <v/>
      </c>
      <c r="AM59" s="186"/>
      <c r="AN59" s="176" t="str">
        <f>IF(AM59="","",VLOOKUP(AM59,'G-7 Rivers Data'!$AO$4:$AP$7,2,FALSE))</f>
        <v/>
      </c>
      <c r="AO59" s="265" t="str">
        <f t="shared" si="8"/>
        <v/>
      </c>
      <c r="AP59" s="180"/>
      <c r="AQ59" s="181"/>
      <c r="AX59" s="35" t="str">
        <f>IFERROR(INDEX('G-7 Rivers Data'!$AZ$3:$AZ$7,MATCH(N59,'G-7 Rivers Data'!$AY$3:$AY$7,0)),"")</f>
        <v/>
      </c>
    </row>
    <row r="60" spans="2:50" ht="13.8" x14ac:dyDescent="0.25">
      <c r="B60" s="259" t="str">
        <f>'F-1 Off Site River Baseline'!AN58</f>
        <v/>
      </c>
      <c r="C60" s="175" t="str">
        <f>IF(B60="","",VLOOKUP($B60,'F-1 Off Site River Baseline'!$C$9:$R$257,2,FALSE))</f>
        <v/>
      </c>
      <c r="D60" s="175" t="str">
        <f>IF(C60="","",VLOOKUP($B60,'F-1 Off Site River Baseline'!$C$9:$R$257,3,FALSE))</f>
        <v/>
      </c>
      <c r="E60" s="175" t="str">
        <f>IF(D60="","",VLOOKUP($B60,'F-1 Off Site River Baseline'!$C$9:$R$257,4,FALSE))</f>
        <v/>
      </c>
      <c r="F60" s="175" t="str">
        <f>IF(E60="","",VLOOKUP($B60,'F-1 Off Site River Baseline'!$C$9:$R$257,5,FALSE))</f>
        <v/>
      </c>
      <c r="G60" s="175" t="str">
        <f>IF(F60="","",VLOOKUP($B60,'F-1 Off Site River Baseline'!$C$9:$R$257,6,FALSE))</f>
        <v/>
      </c>
      <c r="H60" s="175" t="str">
        <f>IF(G60="","",VLOOKUP($B60,'F-1 Off Site River Baseline'!$C$9:$R$257,7,FALSE))</f>
        <v/>
      </c>
      <c r="I60" s="175" t="str">
        <f>IF(H60="","",VLOOKUP($B60,'F-1 Off Site River Baseline'!$C$9:$R$257,8,FALSE))</f>
        <v/>
      </c>
      <c r="J60" s="175" t="str">
        <f>IF(I60="","",VLOOKUP($B60,'F-1 Off Site River Baseline'!$C$9:$R$257,9,FALSE))</f>
        <v/>
      </c>
      <c r="K60" s="175" t="str">
        <f>IF(J60="","",VLOOKUP($B60,'F-1 Off Site River Baseline'!$C$9:$R$257,10,FALSE))</f>
        <v/>
      </c>
      <c r="L60" s="175" t="str">
        <f>IF(B60="","",VLOOKUP($B60,'C-1 Site River Baseline'!$C$9:$R$257,15,FALSE))</f>
        <v/>
      </c>
      <c r="M60" s="176" t="str">
        <f>IF(L60="","",VLOOKUP($B60,'F-1 Off Site River Baseline'!$C$9:$R$257,16,FALSE))</f>
        <v/>
      </c>
      <c r="N60" s="639" t="str">
        <f t="shared" si="0"/>
        <v/>
      </c>
      <c r="O60" s="171" t="str">
        <f t="shared" si="3"/>
        <v/>
      </c>
      <c r="P60" s="172" t="str">
        <f>IF(C60="","",IF(AND(LEFT(C60,55)&lt;&gt;LEFT(N60,55),O60="High - High"),"Error - Not like for like",IF(AND(F60=S60,H60&gt;U60),"Error - Can not reduce condition",IF(AND(F60=S60,H60=U60,AJ60='F-1 Off Site River Baseline'!N58,'F-1 Off Site River Baseline'!P58=AL60),"Error - No enhancement",IF(AND(C60&lt;&gt;N60,F60&lt;S60),"Lower Distinctiveness Habitat"&amp;" - "&amp;T60,G60&amp;" - "&amp;T60)))))</f>
        <v/>
      </c>
      <c r="Q60" s="260" t="str">
        <f>IF(N60="","",VLOOKUP(B60,'F-1 Off Site River Baseline'!$C$10:$AA$257,19,FALSE))</f>
        <v/>
      </c>
      <c r="R60" s="171" t="str">
        <f>IF(N60="","",VLOOKUP(N60,'G-7 Rivers Data'!$B$2:$G$8,2,FALSE))</f>
        <v/>
      </c>
      <c r="S60" s="172" t="str">
        <f>IFERROR(VLOOKUP(R60,'G-7 Rivers Data'!$C$4:$D$8,2,FALSE),"")</f>
        <v/>
      </c>
      <c r="T60" s="173"/>
      <c r="U60" s="172" t="str">
        <f>IFERROR(INDEX('G-7 Rivers Data'!$H$4:$L$8,MATCH(N60,'G-7 Rivers Data'!$B$4:$B$8,0),MATCH(T60,'G-7 Rivers Data'!$H$3:$L$3,0)),"")</f>
        <v/>
      </c>
      <c r="V60" s="186"/>
      <c r="W60" s="175" t="str">
        <f>IF(V60="","",IF(VLOOKUP(V60,'G-7 Rivers Data'!$AG$4:$AI$9,2,FALSE)=0,"Spatial Data Missing",VLOOKUP(V60,'G-7 Rivers Data'!$AG$4:$AI$9,2,FALSE)))</f>
        <v/>
      </c>
      <c r="X60" s="176" t="str">
        <f>IF(V60="","",IF(VLOOKUP(V60,'G-7 Rivers Data'!$AG$4:$AI$9,3,FALSE)=0,"Spatial Data Missing",VLOOKUP(V60,'G-7 Rivers Data'!$AG$4:$AI$9,3,FALSE)))</f>
        <v/>
      </c>
      <c r="Y60" s="239" t="str">
        <f>IFERROR(IF(OR(LEFT(P60,5)="Error",LEFT(O60,5)="Error"),"Check Data",IF(F60&lt;S60,'G-7 Rivers Data'!$R$3,INDEX('G-7 Rivers Data'!$U$5:$Y$9,MATCH(G60,'G-7 Rivers Data'!$T$5:$T$9,0),MATCH(T60,'G-7 Rivers Data'!$U$4:$Y$4,0)))),"")</f>
        <v/>
      </c>
      <c r="Z60" s="275"/>
      <c r="AA60" s="275"/>
      <c r="AB60" s="175" t="str">
        <f t="shared" si="4"/>
        <v/>
      </c>
      <c r="AC60" s="262" t="str">
        <f t="shared" si="5"/>
        <v/>
      </c>
      <c r="AD60" s="382" t="str">
        <f>IFERROR(IF(AC60="Check Data","Check Data",VLOOKUP(AC60,'G-4 Temporal multipliers'!$A$4:$C$37,3,FALSE)),"")</f>
        <v/>
      </c>
      <c r="AE60" s="239" t="str">
        <f>IF(N60="","",VLOOKUP(N60,'G-7 Rivers Data'!$B$4:$G$8,5,FALSE))</f>
        <v/>
      </c>
      <c r="AF60" s="175" t="str">
        <f t="shared" si="6"/>
        <v/>
      </c>
      <c r="AG60" s="175" t="str">
        <f t="shared" si="7"/>
        <v/>
      </c>
      <c r="AH60" s="176" t="str">
        <f t="shared" si="2"/>
        <v/>
      </c>
      <c r="AI60" s="173"/>
      <c r="AJ60" s="172" t="str">
        <f>IF(AI60="","",IF(VLOOKUP(AI60,'G-7 Rivers Data'!$AA$4:$AB$7,2,FALSE)=0,"Spatial Data Missing",VLOOKUP(AI60,'G-7 Rivers Data'!$AA$4:$AB$7,2,FALSE)))</f>
        <v/>
      </c>
      <c r="AK60" s="187"/>
      <c r="AL60" s="172" t="str">
        <f>IF(AK60="","",IF(VLOOKUP(AK60,'G-7 Rivers Data'!$AD$4:$AE$8,2,FALSE)=0,"Spatial Data Missing",VLOOKUP(AK60,'G-7 Rivers Data'!$AD$4:$AE$8,2,FALSE)))</f>
        <v/>
      </c>
      <c r="AM60" s="186"/>
      <c r="AN60" s="176" t="str">
        <f>IF(AM60="","",VLOOKUP(AM60,'G-7 Rivers Data'!$AO$4:$AP$7,2,FALSE))</f>
        <v/>
      </c>
      <c r="AO60" s="265" t="str">
        <f t="shared" si="8"/>
        <v/>
      </c>
      <c r="AP60" s="180"/>
      <c r="AQ60" s="181"/>
      <c r="AX60" s="35" t="str">
        <f>IFERROR(INDEX('G-7 Rivers Data'!$AZ$3:$AZ$7,MATCH(N60,'G-7 Rivers Data'!$AY$3:$AY$7,0)),"")</f>
        <v/>
      </c>
    </row>
    <row r="61" spans="2:50" ht="13.8" x14ac:dyDescent="0.25">
      <c r="B61" s="259" t="str">
        <f>'F-1 Off Site River Baseline'!AN59</f>
        <v/>
      </c>
      <c r="C61" s="175" t="str">
        <f>IF(B61="","",VLOOKUP($B61,'F-1 Off Site River Baseline'!$C$9:$R$257,2,FALSE))</f>
        <v/>
      </c>
      <c r="D61" s="175" t="str">
        <f>IF(C61="","",VLOOKUP($B61,'F-1 Off Site River Baseline'!$C$9:$R$257,3,FALSE))</f>
        <v/>
      </c>
      <c r="E61" s="175" t="str">
        <f>IF(D61="","",VLOOKUP($B61,'F-1 Off Site River Baseline'!$C$9:$R$257,4,FALSE))</f>
        <v/>
      </c>
      <c r="F61" s="175" t="str">
        <f>IF(E61="","",VLOOKUP($B61,'F-1 Off Site River Baseline'!$C$9:$R$257,5,FALSE))</f>
        <v/>
      </c>
      <c r="G61" s="175" t="str">
        <f>IF(F61="","",VLOOKUP($B61,'F-1 Off Site River Baseline'!$C$9:$R$257,6,FALSE))</f>
        <v/>
      </c>
      <c r="H61" s="175" t="str">
        <f>IF(G61="","",VLOOKUP($B61,'F-1 Off Site River Baseline'!$C$9:$R$257,7,FALSE))</f>
        <v/>
      </c>
      <c r="I61" s="175" t="str">
        <f>IF(H61="","",VLOOKUP($B61,'F-1 Off Site River Baseline'!$C$9:$R$257,8,FALSE))</f>
        <v/>
      </c>
      <c r="J61" s="175" t="str">
        <f>IF(I61="","",VLOOKUP($B61,'F-1 Off Site River Baseline'!$C$9:$R$257,9,FALSE))</f>
        <v/>
      </c>
      <c r="K61" s="175" t="str">
        <f>IF(J61="","",VLOOKUP($B61,'F-1 Off Site River Baseline'!$C$9:$R$257,10,FALSE))</f>
        <v/>
      </c>
      <c r="L61" s="175" t="str">
        <f>IF(B61="","",VLOOKUP($B61,'C-1 Site River Baseline'!$C$9:$R$257,15,FALSE))</f>
        <v/>
      </c>
      <c r="M61" s="176" t="str">
        <f>IF(L61="","",VLOOKUP($B61,'F-1 Off Site River Baseline'!$C$9:$R$257,16,FALSE))</f>
        <v/>
      </c>
      <c r="N61" s="639" t="str">
        <f t="shared" si="0"/>
        <v/>
      </c>
      <c r="O61" s="171" t="str">
        <f t="shared" si="3"/>
        <v/>
      </c>
      <c r="P61" s="172" t="str">
        <f>IF(C61="","",IF(AND(LEFT(C61,55)&lt;&gt;LEFT(N61,55),O61="High - High"),"Error - Not like for like",IF(AND(F61=S61,H61&gt;U61),"Error - Can not reduce condition",IF(AND(F61=S61,H61=U61,AJ61='F-1 Off Site River Baseline'!N59,'F-1 Off Site River Baseline'!P59=AL61),"Error - No enhancement",IF(AND(C61&lt;&gt;N61,F61&lt;S61),"Lower Distinctiveness Habitat"&amp;" - "&amp;T61,G61&amp;" - "&amp;T61)))))</f>
        <v/>
      </c>
      <c r="Q61" s="260" t="str">
        <f>IF(N61="","",VLOOKUP(B61,'F-1 Off Site River Baseline'!$C$10:$AA$257,19,FALSE))</f>
        <v/>
      </c>
      <c r="R61" s="171" t="str">
        <f>IF(N61="","",VLOOKUP(N61,'G-7 Rivers Data'!$B$2:$G$8,2,FALSE))</f>
        <v/>
      </c>
      <c r="S61" s="172" t="str">
        <f>IFERROR(VLOOKUP(R61,'G-7 Rivers Data'!$C$4:$D$8,2,FALSE),"")</f>
        <v/>
      </c>
      <c r="T61" s="173"/>
      <c r="U61" s="172" t="str">
        <f>IFERROR(INDEX('G-7 Rivers Data'!$H$4:$L$8,MATCH(N61,'G-7 Rivers Data'!$B$4:$B$8,0),MATCH(T61,'G-7 Rivers Data'!$H$3:$L$3,0)),"")</f>
        <v/>
      </c>
      <c r="V61" s="186"/>
      <c r="W61" s="175" t="str">
        <f>IF(V61="","",IF(VLOOKUP(V61,'G-7 Rivers Data'!$AG$4:$AI$9,2,FALSE)=0,"Spatial Data Missing",VLOOKUP(V61,'G-7 Rivers Data'!$AG$4:$AI$9,2,FALSE)))</f>
        <v/>
      </c>
      <c r="X61" s="176" t="str">
        <f>IF(V61="","",IF(VLOOKUP(V61,'G-7 Rivers Data'!$AG$4:$AI$9,3,FALSE)=0,"Spatial Data Missing",VLOOKUP(V61,'G-7 Rivers Data'!$AG$4:$AI$9,3,FALSE)))</f>
        <v/>
      </c>
      <c r="Y61" s="239" t="str">
        <f>IFERROR(IF(OR(LEFT(P61,5)="Error",LEFT(O61,5)="Error"),"Check Data",IF(F61&lt;S61,'G-7 Rivers Data'!$R$3,INDEX('G-7 Rivers Data'!$U$5:$Y$9,MATCH(G61,'G-7 Rivers Data'!$T$5:$T$9,0),MATCH(T61,'G-7 Rivers Data'!$U$4:$Y$4,0)))),"")</f>
        <v/>
      </c>
      <c r="Z61" s="275"/>
      <c r="AA61" s="275"/>
      <c r="AB61" s="175" t="str">
        <f t="shared" si="4"/>
        <v/>
      </c>
      <c r="AC61" s="262" t="str">
        <f t="shared" si="5"/>
        <v/>
      </c>
      <c r="AD61" s="382" t="str">
        <f>IFERROR(IF(AC61="Check Data","Check Data",VLOOKUP(AC61,'G-4 Temporal multipliers'!$A$4:$C$37,3,FALSE)),"")</f>
        <v/>
      </c>
      <c r="AE61" s="239" t="str">
        <f>IF(N61="","",VLOOKUP(N61,'G-7 Rivers Data'!$B$4:$G$8,5,FALSE))</f>
        <v/>
      </c>
      <c r="AF61" s="175" t="str">
        <f t="shared" si="6"/>
        <v/>
      </c>
      <c r="AG61" s="175" t="str">
        <f t="shared" si="7"/>
        <v/>
      </c>
      <c r="AH61" s="176" t="str">
        <f t="shared" si="2"/>
        <v/>
      </c>
      <c r="AI61" s="173"/>
      <c r="AJ61" s="172" t="str">
        <f>IF(AI61="","",IF(VLOOKUP(AI61,'G-7 Rivers Data'!$AA$4:$AB$7,2,FALSE)=0,"Spatial Data Missing",VLOOKUP(AI61,'G-7 Rivers Data'!$AA$4:$AB$7,2,FALSE)))</f>
        <v/>
      </c>
      <c r="AK61" s="187"/>
      <c r="AL61" s="172" t="str">
        <f>IF(AK61="","",IF(VLOOKUP(AK61,'G-7 Rivers Data'!$AD$4:$AE$8,2,FALSE)=0,"Spatial Data Missing",VLOOKUP(AK61,'G-7 Rivers Data'!$AD$4:$AE$8,2,FALSE)))</f>
        <v/>
      </c>
      <c r="AM61" s="186"/>
      <c r="AN61" s="176" t="str">
        <f>IF(AM61="","",VLOOKUP(AM61,'G-7 Rivers Data'!$AO$4:$AP$7,2,FALSE))</f>
        <v/>
      </c>
      <c r="AO61" s="265" t="str">
        <f t="shared" si="8"/>
        <v/>
      </c>
      <c r="AP61" s="180"/>
      <c r="AQ61" s="181"/>
      <c r="AX61" s="35" t="str">
        <f>IFERROR(INDEX('G-7 Rivers Data'!$AZ$3:$AZ$7,MATCH(N61,'G-7 Rivers Data'!$AY$3:$AY$7,0)),"")</f>
        <v/>
      </c>
    </row>
    <row r="62" spans="2:50" ht="13.8" x14ac:dyDescent="0.25">
      <c r="B62" s="259" t="str">
        <f>'F-1 Off Site River Baseline'!AN60</f>
        <v/>
      </c>
      <c r="C62" s="175" t="str">
        <f>IF(B62="","",VLOOKUP($B62,'F-1 Off Site River Baseline'!$C$9:$R$257,2,FALSE))</f>
        <v/>
      </c>
      <c r="D62" s="175" t="str">
        <f>IF(C62="","",VLOOKUP($B62,'F-1 Off Site River Baseline'!$C$9:$R$257,3,FALSE))</f>
        <v/>
      </c>
      <c r="E62" s="175" t="str">
        <f>IF(D62="","",VLOOKUP($B62,'F-1 Off Site River Baseline'!$C$9:$R$257,4,FALSE))</f>
        <v/>
      </c>
      <c r="F62" s="175" t="str">
        <f>IF(E62="","",VLOOKUP($B62,'F-1 Off Site River Baseline'!$C$9:$R$257,5,FALSE))</f>
        <v/>
      </c>
      <c r="G62" s="175" t="str">
        <f>IF(F62="","",VLOOKUP($B62,'F-1 Off Site River Baseline'!$C$9:$R$257,6,FALSE))</f>
        <v/>
      </c>
      <c r="H62" s="175" t="str">
        <f>IF(G62="","",VLOOKUP($B62,'F-1 Off Site River Baseline'!$C$9:$R$257,7,FALSE))</f>
        <v/>
      </c>
      <c r="I62" s="175" t="str">
        <f>IF(H62="","",VLOOKUP($B62,'F-1 Off Site River Baseline'!$C$9:$R$257,8,FALSE))</f>
        <v/>
      </c>
      <c r="J62" s="175" t="str">
        <f>IF(I62="","",VLOOKUP($B62,'F-1 Off Site River Baseline'!$C$9:$R$257,9,FALSE))</f>
        <v/>
      </c>
      <c r="K62" s="175" t="str">
        <f>IF(J62="","",VLOOKUP($B62,'F-1 Off Site River Baseline'!$C$9:$R$257,10,FALSE))</f>
        <v/>
      </c>
      <c r="L62" s="175" t="str">
        <f>IF(B62="","",VLOOKUP($B62,'C-1 Site River Baseline'!$C$9:$R$257,15,FALSE))</f>
        <v/>
      </c>
      <c r="M62" s="176" t="str">
        <f>IF(L62="","",VLOOKUP($B62,'F-1 Off Site River Baseline'!$C$9:$R$257,16,FALSE))</f>
        <v/>
      </c>
      <c r="N62" s="639" t="str">
        <f t="shared" si="0"/>
        <v/>
      </c>
      <c r="O62" s="171" t="str">
        <f t="shared" si="3"/>
        <v/>
      </c>
      <c r="P62" s="172" t="str">
        <f>IF(C62="","",IF(AND(LEFT(C62,55)&lt;&gt;LEFT(N62,55),O62="High - High"),"Error - Not like for like",IF(AND(F62=S62,H62&gt;U62),"Error - Can not reduce condition",IF(AND(F62=S62,H62=U62,AJ62='F-1 Off Site River Baseline'!N60,'F-1 Off Site River Baseline'!P60=AL62),"Error - No enhancement",IF(AND(C62&lt;&gt;N62,F62&lt;S62),"Lower Distinctiveness Habitat"&amp;" - "&amp;T62,G62&amp;" - "&amp;T62)))))</f>
        <v/>
      </c>
      <c r="Q62" s="260" t="str">
        <f>IF(N62="","",VLOOKUP(B62,'F-1 Off Site River Baseline'!$C$10:$AA$257,19,FALSE))</f>
        <v/>
      </c>
      <c r="R62" s="171" t="str">
        <f>IF(N62="","",VLOOKUP(N62,'G-7 Rivers Data'!$B$2:$G$8,2,FALSE))</f>
        <v/>
      </c>
      <c r="S62" s="172" t="str">
        <f>IFERROR(VLOOKUP(R62,'G-7 Rivers Data'!$C$4:$D$8,2,FALSE),"")</f>
        <v/>
      </c>
      <c r="T62" s="173"/>
      <c r="U62" s="172" t="str">
        <f>IFERROR(INDEX('G-7 Rivers Data'!$H$4:$L$8,MATCH(N62,'G-7 Rivers Data'!$B$4:$B$8,0),MATCH(T62,'G-7 Rivers Data'!$H$3:$L$3,0)),"")</f>
        <v/>
      </c>
      <c r="V62" s="186"/>
      <c r="W62" s="175" t="str">
        <f>IF(V62="","",IF(VLOOKUP(V62,'G-7 Rivers Data'!$AG$4:$AI$9,2,FALSE)=0,"Spatial Data Missing",VLOOKUP(V62,'G-7 Rivers Data'!$AG$4:$AI$9,2,FALSE)))</f>
        <v/>
      </c>
      <c r="X62" s="176" t="str">
        <f>IF(V62="","",IF(VLOOKUP(V62,'G-7 Rivers Data'!$AG$4:$AI$9,3,FALSE)=0,"Spatial Data Missing",VLOOKUP(V62,'G-7 Rivers Data'!$AG$4:$AI$9,3,FALSE)))</f>
        <v/>
      </c>
      <c r="Y62" s="239" t="str">
        <f>IFERROR(IF(OR(LEFT(P62,5)="Error",LEFT(O62,5)="Error"),"Check Data",IF(F62&lt;S62,'G-7 Rivers Data'!$R$3,INDEX('G-7 Rivers Data'!$U$5:$Y$9,MATCH(G62,'G-7 Rivers Data'!$T$5:$T$9,0),MATCH(T62,'G-7 Rivers Data'!$U$4:$Y$4,0)))),"")</f>
        <v/>
      </c>
      <c r="Z62" s="275"/>
      <c r="AA62" s="275"/>
      <c r="AB62" s="175" t="str">
        <f t="shared" si="4"/>
        <v/>
      </c>
      <c r="AC62" s="262" t="str">
        <f t="shared" si="5"/>
        <v/>
      </c>
      <c r="AD62" s="382" t="str">
        <f>IFERROR(IF(AC62="Check Data","Check Data",VLOOKUP(AC62,'G-4 Temporal multipliers'!$A$4:$C$37,3,FALSE)),"")</f>
        <v/>
      </c>
      <c r="AE62" s="239" t="str">
        <f>IF(N62="","",VLOOKUP(N62,'G-7 Rivers Data'!$B$4:$G$8,5,FALSE))</f>
        <v/>
      </c>
      <c r="AF62" s="175" t="str">
        <f t="shared" si="6"/>
        <v/>
      </c>
      <c r="AG62" s="175" t="str">
        <f t="shared" si="7"/>
        <v/>
      </c>
      <c r="AH62" s="176" t="str">
        <f t="shared" si="2"/>
        <v/>
      </c>
      <c r="AI62" s="173"/>
      <c r="AJ62" s="172" t="str">
        <f>IF(AI62="","",IF(VLOOKUP(AI62,'G-7 Rivers Data'!$AA$4:$AB$7,2,FALSE)=0,"Spatial Data Missing",VLOOKUP(AI62,'G-7 Rivers Data'!$AA$4:$AB$7,2,FALSE)))</f>
        <v/>
      </c>
      <c r="AK62" s="187"/>
      <c r="AL62" s="172" t="str">
        <f>IF(AK62="","",IF(VLOOKUP(AK62,'G-7 Rivers Data'!$AD$4:$AE$8,2,FALSE)=0,"Spatial Data Missing",VLOOKUP(AK62,'G-7 Rivers Data'!$AD$4:$AE$8,2,FALSE)))</f>
        <v/>
      </c>
      <c r="AM62" s="186"/>
      <c r="AN62" s="176" t="str">
        <f>IF(AM62="","",VLOOKUP(AM62,'G-7 Rivers Data'!$AO$4:$AP$7,2,FALSE))</f>
        <v/>
      </c>
      <c r="AO62" s="265" t="str">
        <f t="shared" si="8"/>
        <v/>
      </c>
      <c r="AP62" s="180"/>
      <c r="AQ62" s="181"/>
      <c r="AX62" s="35" t="str">
        <f>IFERROR(INDEX('G-7 Rivers Data'!$AZ$3:$AZ$7,MATCH(N62,'G-7 Rivers Data'!$AY$3:$AY$7,0)),"")</f>
        <v/>
      </c>
    </row>
    <row r="63" spans="2:50" ht="13.8" x14ac:dyDescent="0.25">
      <c r="B63" s="259" t="str">
        <f>'F-1 Off Site River Baseline'!AN61</f>
        <v/>
      </c>
      <c r="C63" s="175" t="str">
        <f>IF(B63="","",VLOOKUP($B63,'F-1 Off Site River Baseline'!$C$9:$R$257,2,FALSE))</f>
        <v/>
      </c>
      <c r="D63" s="175" t="str">
        <f>IF(C63="","",VLOOKUP($B63,'F-1 Off Site River Baseline'!$C$9:$R$257,3,FALSE))</f>
        <v/>
      </c>
      <c r="E63" s="175" t="str">
        <f>IF(D63="","",VLOOKUP($B63,'F-1 Off Site River Baseline'!$C$9:$R$257,4,FALSE))</f>
        <v/>
      </c>
      <c r="F63" s="175" t="str">
        <f>IF(E63="","",VLOOKUP($B63,'F-1 Off Site River Baseline'!$C$9:$R$257,5,FALSE))</f>
        <v/>
      </c>
      <c r="G63" s="175" t="str">
        <f>IF(F63="","",VLOOKUP($B63,'F-1 Off Site River Baseline'!$C$9:$R$257,6,FALSE))</f>
        <v/>
      </c>
      <c r="H63" s="175" t="str">
        <f>IF(G63="","",VLOOKUP($B63,'F-1 Off Site River Baseline'!$C$9:$R$257,7,FALSE))</f>
        <v/>
      </c>
      <c r="I63" s="175" t="str">
        <f>IF(H63="","",VLOOKUP($B63,'F-1 Off Site River Baseline'!$C$9:$R$257,8,FALSE))</f>
        <v/>
      </c>
      <c r="J63" s="175" t="str">
        <f>IF(I63="","",VLOOKUP($B63,'F-1 Off Site River Baseline'!$C$9:$R$257,9,FALSE))</f>
        <v/>
      </c>
      <c r="K63" s="175" t="str">
        <f>IF(J63="","",VLOOKUP($B63,'F-1 Off Site River Baseline'!$C$9:$R$257,10,FALSE))</f>
        <v/>
      </c>
      <c r="L63" s="175" t="str">
        <f>IF(B63="","",VLOOKUP($B63,'C-1 Site River Baseline'!$C$9:$R$257,15,FALSE))</f>
        <v/>
      </c>
      <c r="M63" s="176" t="str">
        <f>IF(L63="","",VLOOKUP($B63,'F-1 Off Site River Baseline'!$C$9:$R$257,16,FALSE))</f>
        <v/>
      </c>
      <c r="N63" s="639" t="str">
        <f t="shared" si="0"/>
        <v/>
      </c>
      <c r="O63" s="171" t="str">
        <f t="shared" si="3"/>
        <v/>
      </c>
      <c r="P63" s="172" t="str">
        <f>IF(C63="","",IF(AND(LEFT(C63,55)&lt;&gt;LEFT(N63,55),O63="High - High"),"Error - Not like for like",IF(AND(F63=S63,H63&gt;U63),"Error - Can not reduce condition",IF(AND(F63=S63,H63=U63,AJ63='F-1 Off Site River Baseline'!N61,'F-1 Off Site River Baseline'!P61=AL63),"Error - No enhancement",IF(AND(C63&lt;&gt;N63,F63&lt;S63),"Lower Distinctiveness Habitat"&amp;" - "&amp;T63,G63&amp;" - "&amp;T63)))))</f>
        <v/>
      </c>
      <c r="Q63" s="260" t="str">
        <f>IF(N63="","",VLOOKUP(B63,'F-1 Off Site River Baseline'!$C$10:$AA$257,19,FALSE))</f>
        <v/>
      </c>
      <c r="R63" s="171" t="str">
        <f>IF(N63="","",VLOOKUP(N63,'G-7 Rivers Data'!$B$2:$G$8,2,FALSE))</f>
        <v/>
      </c>
      <c r="S63" s="172" t="str">
        <f>IFERROR(VLOOKUP(R63,'G-7 Rivers Data'!$C$4:$D$8,2,FALSE),"")</f>
        <v/>
      </c>
      <c r="T63" s="173"/>
      <c r="U63" s="172" t="str">
        <f>IFERROR(INDEX('G-7 Rivers Data'!$H$4:$L$8,MATCH(N63,'G-7 Rivers Data'!$B$4:$B$8,0),MATCH(T63,'G-7 Rivers Data'!$H$3:$L$3,0)),"")</f>
        <v/>
      </c>
      <c r="V63" s="186"/>
      <c r="W63" s="175" t="str">
        <f>IF(V63="","",IF(VLOOKUP(V63,'G-7 Rivers Data'!$AG$4:$AI$9,2,FALSE)=0,"Spatial Data Missing",VLOOKUP(V63,'G-7 Rivers Data'!$AG$4:$AI$9,2,FALSE)))</f>
        <v/>
      </c>
      <c r="X63" s="176" t="str">
        <f>IF(V63="","",IF(VLOOKUP(V63,'G-7 Rivers Data'!$AG$4:$AI$9,3,FALSE)=0,"Spatial Data Missing",VLOOKUP(V63,'G-7 Rivers Data'!$AG$4:$AI$9,3,FALSE)))</f>
        <v/>
      </c>
      <c r="Y63" s="239" t="str">
        <f>IFERROR(IF(OR(LEFT(P63,5)="Error",LEFT(O63,5)="Error"),"Check Data",IF(F63&lt;S63,'G-7 Rivers Data'!$R$3,INDEX('G-7 Rivers Data'!$U$5:$Y$9,MATCH(G63,'G-7 Rivers Data'!$T$5:$T$9,0),MATCH(T63,'G-7 Rivers Data'!$U$4:$Y$4,0)))),"")</f>
        <v/>
      </c>
      <c r="Z63" s="275"/>
      <c r="AA63" s="275"/>
      <c r="AB63" s="175" t="str">
        <f t="shared" si="4"/>
        <v/>
      </c>
      <c r="AC63" s="262" t="str">
        <f t="shared" si="5"/>
        <v/>
      </c>
      <c r="AD63" s="382" t="str">
        <f>IFERROR(IF(AC63="Check Data","Check Data",VLOOKUP(AC63,'G-4 Temporal multipliers'!$A$4:$C$37,3,FALSE)),"")</f>
        <v/>
      </c>
      <c r="AE63" s="239" t="str">
        <f>IF(N63="","",VLOOKUP(N63,'G-7 Rivers Data'!$B$4:$G$8,5,FALSE))</f>
        <v/>
      </c>
      <c r="AF63" s="175" t="str">
        <f t="shared" si="6"/>
        <v/>
      </c>
      <c r="AG63" s="175" t="str">
        <f t="shared" si="7"/>
        <v/>
      </c>
      <c r="AH63" s="176" t="str">
        <f t="shared" si="2"/>
        <v/>
      </c>
      <c r="AI63" s="173"/>
      <c r="AJ63" s="172" t="str">
        <f>IF(AI63="","",IF(VLOOKUP(AI63,'G-7 Rivers Data'!$AA$4:$AB$7,2,FALSE)=0,"Spatial Data Missing",VLOOKUP(AI63,'G-7 Rivers Data'!$AA$4:$AB$7,2,FALSE)))</f>
        <v/>
      </c>
      <c r="AK63" s="187"/>
      <c r="AL63" s="172" t="str">
        <f>IF(AK63="","",IF(VLOOKUP(AK63,'G-7 Rivers Data'!$AD$4:$AE$8,2,FALSE)=0,"Spatial Data Missing",VLOOKUP(AK63,'G-7 Rivers Data'!$AD$4:$AE$8,2,FALSE)))</f>
        <v/>
      </c>
      <c r="AM63" s="186"/>
      <c r="AN63" s="176" t="str">
        <f>IF(AM63="","",VLOOKUP(AM63,'G-7 Rivers Data'!$AO$4:$AP$7,2,FALSE))</f>
        <v/>
      </c>
      <c r="AO63" s="265" t="str">
        <f t="shared" si="8"/>
        <v/>
      </c>
      <c r="AP63" s="180"/>
      <c r="AQ63" s="181"/>
      <c r="AX63" s="35" t="str">
        <f>IFERROR(INDEX('G-7 Rivers Data'!$AZ$3:$AZ$7,MATCH(N63,'G-7 Rivers Data'!$AY$3:$AY$7,0)),"")</f>
        <v/>
      </c>
    </row>
    <row r="64" spans="2:50" ht="13.8" x14ac:dyDescent="0.25">
      <c r="B64" s="259" t="str">
        <f>'F-1 Off Site River Baseline'!AN62</f>
        <v/>
      </c>
      <c r="C64" s="175" t="str">
        <f>IF(B64="","",VLOOKUP($B64,'F-1 Off Site River Baseline'!$C$9:$R$257,2,FALSE))</f>
        <v/>
      </c>
      <c r="D64" s="175" t="str">
        <f>IF(C64="","",VLOOKUP($B64,'F-1 Off Site River Baseline'!$C$9:$R$257,3,FALSE))</f>
        <v/>
      </c>
      <c r="E64" s="175" t="str">
        <f>IF(D64="","",VLOOKUP($B64,'F-1 Off Site River Baseline'!$C$9:$R$257,4,FALSE))</f>
        <v/>
      </c>
      <c r="F64" s="175" t="str">
        <f>IF(E64="","",VLOOKUP($B64,'F-1 Off Site River Baseline'!$C$9:$R$257,5,FALSE))</f>
        <v/>
      </c>
      <c r="G64" s="175" t="str">
        <f>IF(F64="","",VLOOKUP($B64,'F-1 Off Site River Baseline'!$C$9:$R$257,6,FALSE))</f>
        <v/>
      </c>
      <c r="H64" s="175" t="str">
        <f>IF(G64="","",VLOOKUP($B64,'F-1 Off Site River Baseline'!$C$9:$R$257,7,FALSE))</f>
        <v/>
      </c>
      <c r="I64" s="175" t="str">
        <f>IF(H64="","",VLOOKUP($B64,'F-1 Off Site River Baseline'!$C$9:$R$257,8,FALSE))</f>
        <v/>
      </c>
      <c r="J64" s="175" t="str">
        <f>IF(I64="","",VLOOKUP($B64,'F-1 Off Site River Baseline'!$C$9:$R$257,9,FALSE))</f>
        <v/>
      </c>
      <c r="K64" s="175" t="str">
        <f>IF(J64="","",VLOOKUP($B64,'F-1 Off Site River Baseline'!$C$9:$R$257,10,FALSE))</f>
        <v/>
      </c>
      <c r="L64" s="175" t="str">
        <f>IF(B64="","",VLOOKUP($B64,'C-1 Site River Baseline'!$C$9:$R$257,15,FALSE))</f>
        <v/>
      </c>
      <c r="M64" s="176" t="str">
        <f>IF(L64="","",VLOOKUP($B64,'F-1 Off Site River Baseline'!$C$9:$R$257,16,FALSE))</f>
        <v/>
      </c>
      <c r="N64" s="639" t="str">
        <f t="shared" si="0"/>
        <v/>
      </c>
      <c r="O64" s="171" t="str">
        <f t="shared" si="3"/>
        <v/>
      </c>
      <c r="P64" s="172" t="str">
        <f>IF(C64="","",IF(AND(LEFT(C64,55)&lt;&gt;LEFT(N64,55),O64="High - High"),"Error - Not like for like",IF(AND(F64=S64,H64&gt;U64),"Error - Can not reduce condition",IF(AND(F64=S64,H64=U64,AJ64='F-1 Off Site River Baseline'!N62,'F-1 Off Site River Baseline'!P62=AL64),"Error - No enhancement",IF(AND(C64&lt;&gt;N64,F64&lt;S64),"Lower Distinctiveness Habitat"&amp;" - "&amp;T64,G64&amp;" - "&amp;T64)))))</f>
        <v/>
      </c>
      <c r="Q64" s="260" t="str">
        <f>IF(N64="","",VLOOKUP(B64,'F-1 Off Site River Baseline'!$C$10:$AA$257,19,FALSE))</f>
        <v/>
      </c>
      <c r="R64" s="171" t="str">
        <f>IF(N64="","",VLOOKUP(N64,'G-7 Rivers Data'!$B$2:$G$8,2,FALSE))</f>
        <v/>
      </c>
      <c r="S64" s="172" t="str">
        <f>IFERROR(VLOOKUP(R64,'G-7 Rivers Data'!$C$4:$D$8,2,FALSE),"")</f>
        <v/>
      </c>
      <c r="T64" s="173"/>
      <c r="U64" s="172" t="str">
        <f>IFERROR(INDEX('G-7 Rivers Data'!$H$4:$L$8,MATCH(N64,'G-7 Rivers Data'!$B$4:$B$8,0),MATCH(T64,'G-7 Rivers Data'!$H$3:$L$3,0)),"")</f>
        <v/>
      </c>
      <c r="V64" s="186"/>
      <c r="W64" s="175" t="str">
        <f>IF(V64="","",IF(VLOOKUP(V64,'G-7 Rivers Data'!$AG$4:$AI$9,2,FALSE)=0,"Spatial Data Missing",VLOOKUP(V64,'G-7 Rivers Data'!$AG$4:$AI$9,2,FALSE)))</f>
        <v/>
      </c>
      <c r="X64" s="176" t="str">
        <f>IF(V64="","",IF(VLOOKUP(V64,'G-7 Rivers Data'!$AG$4:$AI$9,3,FALSE)=0,"Spatial Data Missing",VLOOKUP(V64,'G-7 Rivers Data'!$AG$4:$AI$9,3,FALSE)))</f>
        <v/>
      </c>
      <c r="Y64" s="239" t="str">
        <f>IFERROR(IF(OR(LEFT(P64,5)="Error",LEFT(O64,5)="Error"),"Check Data",IF(F64&lt;S64,'G-7 Rivers Data'!$R$3,INDEX('G-7 Rivers Data'!$U$5:$Y$9,MATCH(G64,'G-7 Rivers Data'!$T$5:$T$9,0),MATCH(T64,'G-7 Rivers Data'!$U$4:$Y$4,0)))),"")</f>
        <v/>
      </c>
      <c r="Z64" s="275"/>
      <c r="AA64" s="275"/>
      <c r="AB64" s="175" t="str">
        <f t="shared" si="4"/>
        <v/>
      </c>
      <c r="AC64" s="262" t="str">
        <f t="shared" si="5"/>
        <v/>
      </c>
      <c r="AD64" s="382" t="str">
        <f>IFERROR(IF(AC64="Check Data","Check Data",VLOOKUP(AC64,'G-4 Temporal multipliers'!$A$4:$C$37,3,FALSE)),"")</f>
        <v/>
      </c>
      <c r="AE64" s="239" t="str">
        <f>IF(N64="","",VLOOKUP(N64,'G-7 Rivers Data'!$B$4:$G$8,5,FALSE))</f>
        <v/>
      </c>
      <c r="AF64" s="175" t="str">
        <f t="shared" si="6"/>
        <v/>
      </c>
      <c r="AG64" s="175" t="str">
        <f t="shared" si="7"/>
        <v/>
      </c>
      <c r="AH64" s="176" t="str">
        <f t="shared" si="2"/>
        <v/>
      </c>
      <c r="AI64" s="173"/>
      <c r="AJ64" s="172" t="str">
        <f>IF(AI64="","",IF(VLOOKUP(AI64,'G-7 Rivers Data'!$AA$4:$AB$7,2,FALSE)=0,"Spatial Data Missing",VLOOKUP(AI64,'G-7 Rivers Data'!$AA$4:$AB$7,2,FALSE)))</f>
        <v/>
      </c>
      <c r="AK64" s="187"/>
      <c r="AL64" s="172" t="str">
        <f>IF(AK64="","",IF(VLOOKUP(AK64,'G-7 Rivers Data'!$AD$4:$AE$8,2,FALSE)=0,"Spatial Data Missing",VLOOKUP(AK64,'G-7 Rivers Data'!$AD$4:$AE$8,2,FALSE)))</f>
        <v/>
      </c>
      <c r="AM64" s="186"/>
      <c r="AN64" s="176" t="str">
        <f>IF(AM64="","",VLOOKUP(AM64,'G-7 Rivers Data'!$AO$4:$AP$7,2,FALSE))</f>
        <v/>
      </c>
      <c r="AO64" s="265" t="str">
        <f t="shared" si="8"/>
        <v/>
      </c>
      <c r="AP64" s="180"/>
      <c r="AQ64" s="181"/>
      <c r="AX64" s="35" t="str">
        <f>IFERROR(INDEX('G-7 Rivers Data'!$AZ$3:$AZ$7,MATCH(N64,'G-7 Rivers Data'!$AY$3:$AY$7,0)),"")</f>
        <v/>
      </c>
    </row>
    <row r="65" spans="2:50" ht="13.8" x14ac:dyDescent="0.25">
      <c r="B65" s="259" t="str">
        <f>'F-1 Off Site River Baseline'!AN63</f>
        <v/>
      </c>
      <c r="C65" s="175" t="str">
        <f>IF(B65="","",VLOOKUP($B65,'F-1 Off Site River Baseline'!$C$9:$R$257,2,FALSE))</f>
        <v/>
      </c>
      <c r="D65" s="175" t="str">
        <f>IF(C65="","",VLOOKUP($B65,'F-1 Off Site River Baseline'!$C$9:$R$257,3,FALSE))</f>
        <v/>
      </c>
      <c r="E65" s="175" t="str">
        <f>IF(D65="","",VLOOKUP($B65,'F-1 Off Site River Baseline'!$C$9:$R$257,4,FALSE))</f>
        <v/>
      </c>
      <c r="F65" s="175" t="str">
        <f>IF(E65="","",VLOOKUP($B65,'F-1 Off Site River Baseline'!$C$9:$R$257,5,FALSE))</f>
        <v/>
      </c>
      <c r="G65" s="175" t="str">
        <f>IF(F65="","",VLOOKUP($B65,'F-1 Off Site River Baseline'!$C$9:$R$257,6,FALSE))</f>
        <v/>
      </c>
      <c r="H65" s="175" t="str">
        <f>IF(G65="","",VLOOKUP($B65,'F-1 Off Site River Baseline'!$C$9:$R$257,7,FALSE))</f>
        <v/>
      </c>
      <c r="I65" s="175" t="str">
        <f>IF(H65="","",VLOOKUP($B65,'F-1 Off Site River Baseline'!$C$9:$R$257,8,FALSE))</f>
        <v/>
      </c>
      <c r="J65" s="175" t="str">
        <f>IF(I65="","",VLOOKUP($B65,'F-1 Off Site River Baseline'!$C$9:$R$257,9,FALSE))</f>
        <v/>
      </c>
      <c r="K65" s="175" t="str">
        <f>IF(J65="","",VLOOKUP($B65,'F-1 Off Site River Baseline'!$C$9:$R$257,10,FALSE))</f>
        <v/>
      </c>
      <c r="L65" s="175" t="str">
        <f>IF(B65="","",VLOOKUP($B65,'C-1 Site River Baseline'!$C$9:$R$257,15,FALSE))</f>
        <v/>
      </c>
      <c r="M65" s="176" t="str">
        <f>IF(L65="","",VLOOKUP($B65,'F-1 Off Site River Baseline'!$C$9:$R$257,16,FALSE))</f>
        <v/>
      </c>
      <c r="N65" s="639" t="str">
        <f t="shared" si="0"/>
        <v/>
      </c>
      <c r="O65" s="171" t="str">
        <f t="shared" si="3"/>
        <v/>
      </c>
      <c r="P65" s="172" t="str">
        <f>IF(C65="","",IF(AND(LEFT(C65,55)&lt;&gt;LEFT(N65,55),O65="High - High"),"Error - Not like for like",IF(AND(F65=S65,H65&gt;U65),"Error - Can not reduce condition",IF(AND(F65=S65,H65=U65,AJ65='F-1 Off Site River Baseline'!N63,'F-1 Off Site River Baseline'!P63=AL65),"Error - No enhancement",IF(AND(C65&lt;&gt;N65,F65&lt;S65),"Lower Distinctiveness Habitat"&amp;" - "&amp;T65,G65&amp;" - "&amp;T65)))))</f>
        <v/>
      </c>
      <c r="Q65" s="260" t="str">
        <f>IF(N65="","",VLOOKUP(B65,'F-1 Off Site River Baseline'!$C$10:$AA$257,19,FALSE))</f>
        <v/>
      </c>
      <c r="R65" s="171" t="str">
        <f>IF(N65="","",VLOOKUP(N65,'G-7 Rivers Data'!$B$2:$G$8,2,FALSE))</f>
        <v/>
      </c>
      <c r="S65" s="172" t="str">
        <f>IFERROR(VLOOKUP(R65,'G-7 Rivers Data'!$C$4:$D$8,2,FALSE),"")</f>
        <v/>
      </c>
      <c r="T65" s="173"/>
      <c r="U65" s="172" t="str">
        <f>IFERROR(INDEX('G-7 Rivers Data'!$H$4:$L$8,MATCH(N65,'G-7 Rivers Data'!$B$4:$B$8,0),MATCH(T65,'G-7 Rivers Data'!$H$3:$L$3,0)),"")</f>
        <v/>
      </c>
      <c r="V65" s="186"/>
      <c r="W65" s="175" t="str">
        <f>IF(V65="","",IF(VLOOKUP(V65,'G-7 Rivers Data'!$AG$4:$AI$9,2,FALSE)=0,"Spatial Data Missing",VLOOKUP(V65,'G-7 Rivers Data'!$AG$4:$AI$9,2,FALSE)))</f>
        <v/>
      </c>
      <c r="X65" s="176" t="str">
        <f>IF(V65="","",IF(VLOOKUP(V65,'G-7 Rivers Data'!$AG$4:$AI$9,3,FALSE)=0,"Spatial Data Missing",VLOOKUP(V65,'G-7 Rivers Data'!$AG$4:$AI$9,3,FALSE)))</f>
        <v/>
      </c>
      <c r="Y65" s="239" t="str">
        <f>IFERROR(IF(OR(LEFT(P65,5)="Error",LEFT(O65,5)="Error"),"Check Data",IF(F65&lt;S65,'G-7 Rivers Data'!$R$3,INDEX('G-7 Rivers Data'!$U$5:$Y$9,MATCH(G65,'G-7 Rivers Data'!$T$5:$T$9,0),MATCH(T65,'G-7 Rivers Data'!$U$4:$Y$4,0)))),"")</f>
        <v/>
      </c>
      <c r="Z65" s="275"/>
      <c r="AA65" s="275"/>
      <c r="AB65" s="175" t="str">
        <f t="shared" si="4"/>
        <v/>
      </c>
      <c r="AC65" s="262" t="str">
        <f t="shared" si="5"/>
        <v/>
      </c>
      <c r="AD65" s="382" t="str">
        <f>IFERROR(IF(AC65="Check Data","Check Data",VLOOKUP(AC65,'G-4 Temporal multipliers'!$A$4:$C$37,3,FALSE)),"")</f>
        <v/>
      </c>
      <c r="AE65" s="239" t="str">
        <f>IF(N65="","",VLOOKUP(N65,'G-7 Rivers Data'!$B$4:$G$8,5,FALSE))</f>
        <v/>
      </c>
      <c r="AF65" s="175" t="str">
        <f t="shared" si="6"/>
        <v/>
      </c>
      <c r="AG65" s="175" t="str">
        <f t="shared" si="7"/>
        <v/>
      </c>
      <c r="AH65" s="176" t="str">
        <f t="shared" si="2"/>
        <v/>
      </c>
      <c r="AI65" s="173"/>
      <c r="AJ65" s="172" t="str">
        <f>IF(AI65="","",IF(VLOOKUP(AI65,'G-7 Rivers Data'!$AA$4:$AB$7,2,FALSE)=0,"Spatial Data Missing",VLOOKUP(AI65,'G-7 Rivers Data'!$AA$4:$AB$7,2,FALSE)))</f>
        <v/>
      </c>
      <c r="AK65" s="187"/>
      <c r="AL65" s="172" t="str">
        <f>IF(AK65="","",IF(VLOOKUP(AK65,'G-7 Rivers Data'!$AD$4:$AE$8,2,FALSE)=0,"Spatial Data Missing",VLOOKUP(AK65,'G-7 Rivers Data'!$AD$4:$AE$8,2,FALSE)))</f>
        <v/>
      </c>
      <c r="AM65" s="186"/>
      <c r="AN65" s="176" t="str">
        <f>IF(AM65="","",VLOOKUP(AM65,'G-7 Rivers Data'!$AO$4:$AP$7,2,FALSE))</f>
        <v/>
      </c>
      <c r="AO65" s="265" t="str">
        <f t="shared" si="8"/>
        <v/>
      </c>
      <c r="AP65" s="180"/>
      <c r="AQ65" s="181"/>
      <c r="AX65" s="35" t="str">
        <f>IFERROR(INDEX('G-7 Rivers Data'!$AZ$3:$AZ$7,MATCH(N65,'G-7 Rivers Data'!$AY$3:$AY$7,0)),"")</f>
        <v/>
      </c>
    </row>
    <row r="66" spans="2:50" ht="13.8" x14ac:dyDescent="0.25">
      <c r="B66" s="259" t="str">
        <f>'F-1 Off Site River Baseline'!AN64</f>
        <v/>
      </c>
      <c r="C66" s="175" t="str">
        <f>IF(B66="","",VLOOKUP($B66,'F-1 Off Site River Baseline'!$C$9:$R$257,2,FALSE))</f>
        <v/>
      </c>
      <c r="D66" s="175" t="str">
        <f>IF(C66="","",VLOOKUP($B66,'F-1 Off Site River Baseline'!$C$9:$R$257,3,FALSE))</f>
        <v/>
      </c>
      <c r="E66" s="175" t="str">
        <f>IF(D66="","",VLOOKUP($B66,'F-1 Off Site River Baseline'!$C$9:$R$257,4,FALSE))</f>
        <v/>
      </c>
      <c r="F66" s="175" t="str">
        <f>IF(E66="","",VLOOKUP($B66,'F-1 Off Site River Baseline'!$C$9:$R$257,5,FALSE))</f>
        <v/>
      </c>
      <c r="G66" s="175" t="str">
        <f>IF(F66="","",VLOOKUP($B66,'F-1 Off Site River Baseline'!$C$9:$R$257,6,FALSE))</f>
        <v/>
      </c>
      <c r="H66" s="175" t="str">
        <f>IF(G66="","",VLOOKUP($B66,'F-1 Off Site River Baseline'!$C$9:$R$257,7,FALSE))</f>
        <v/>
      </c>
      <c r="I66" s="175" t="str">
        <f>IF(H66="","",VLOOKUP($B66,'F-1 Off Site River Baseline'!$C$9:$R$257,8,FALSE))</f>
        <v/>
      </c>
      <c r="J66" s="175" t="str">
        <f>IF(I66="","",VLOOKUP($B66,'F-1 Off Site River Baseline'!$C$9:$R$257,9,FALSE))</f>
        <v/>
      </c>
      <c r="K66" s="175" t="str">
        <f>IF(J66="","",VLOOKUP($B66,'F-1 Off Site River Baseline'!$C$9:$R$257,10,FALSE))</f>
        <v/>
      </c>
      <c r="L66" s="175" t="str">
        <f>IF(B66="","",VLOOKUP($B66,'C-1 Site River Baseline'!$C$9:$R$257,15,FALSE))</f>
        <v/>
      </c>
      <c r="M66" s="176" t="str">
        <f>IF(L66="","",VLOOKUP($B66,'F-1 Off Site River Baseline'!$C$9:$R$257,16,FALSE))</f>
        <v/>
      </c>
      <c r="N66" s="639" t="str">
        <f t="shared" si="0"/>
        <v/>
      </c>
      <c r="O66" s="171" t="str">
        <f t="shared" si="3"/>
        <v/>
      </c>
      <c r="P66" s="172" t="str">
        <f>IF(C66="","",IF(AND(LEFT(C66,55)&lt;&gt;LEFT(N66,55),O66="High - High"),"Error - Not like for like",IF(AND(F66=S66,H66&gt;U66),"Error - Can not reduce condition",IF(AND(F66=S66,H66=U66,AJ66='F-1 Off Site River Baseline'!N64,'F-1 Off Site River Baseline'!P64=AL66),"Error - No enhancement",IF(AND(C66&lt;&gt;N66,F66&lt;S66),"Lower Distinctiveness Habitat"&amp;" - "&amp;T66,G66&amp;" - "&amp;T66)))))</f>
        <v/>
      </c>
      <c r="Q66" s="260" t="str">
        <f>IF(N66="","",VLOOKUP(B66,'F-1 Off Site River Baseline'!$C$10:$AA$257,19,FALSE))</f>
        <v/>
      </c>
      <c r="R66" s="171" t="str">
        <f>IF(N66="","",VLOOKUP(N66,'G-7 Rivers Data'!$B$2:$G$8,2,FALSE))</f>
        <v/>
      </c>
      <c r="S66" s="172" t="str">
        <f>IFERROR(VLOOKUP(R66,'G-7 Rivers Data'!$C$4:$D$8,2,FALSE),"")</f>
        <v/>
      </c>
      <c r="T66" s="173"/>
      <c r="U66" s="172" t="str">
        <f>IFERROR(INDEX('G-7 Rivers Data'!$H$4:$L$8,MATCH(N66,'G-7 Rivers Data'!$B$4:$B$8,0),MATCH(T66,'G-7 Rivers Data'!$H$3:$L$3,0)),"")</f>
        <v/>
      </c>
      <c r="V66" s="186"/>
      <c r="W66" s="175" t="str">
        <f>IF(V66="","",IF(VLOOKUP(V66,'G-7 Rivers Data'!$AG$4:$AI$9,2,FALSE)=0,"Spatial Data Missing",VLOOKUP(V66,'G-7 Rivers Data'!$AG$4:$AI$9,2,FALSE)))</f>
        <v/>
      </c>
      <c r="X66" s="176" t="str">
        <f>IF(V66="","",IF(VLOOKUP(V66,'G-7 Rivers Data'!$AG$4:$AI$9,3,FALSE)=0,"Spatial Data Missing",VLOOKUP(V66,'G-7 Rivers Data'!$AG$4:$AI$9,3,FALSE)))</f>
        <v/>
      </c>
      <c r="Y66" s="239" t="str">
        <f>IFERROR(IF(OR(LEFT(P66,5)="Error",LEFT(O66,5)="Error"),"Check Data",IF(F66&lt;S66,'G-7 Rivers Data'!$R$3,INDEX('G-7 Rivers Data'!$U$5:$Y$9,MATCH(G66,'G-7 Rivers Data'!$T$5:$T$9,0),MATCH(T66,'G-7 Rivers Data'!$U$4:$Y$4,0)))),"")</f>
        <v/>
      </c>
      <c r="Z66" s="275"/>
      <c r="AA66" s="275"/>
      <c r="AB66" s="175" t="str">
        <f t="shared" si="4"/>
        <v/>
      </c>
      <c r="AC66" s="262" t="str">
        <f t="shared" si="5"/>
        <v/>
      </c>
      <c r="AD66" s="382" t="str">
        <f>IFERROR(IF(AC66="Check Data","Check Data",VLOOKUP(AC66,'G-4 Temporal multipliers'!$A$4:$C$37,3,FALSE)),"")</f>
        <v/>
      </c>
      <c r="AE66" s="239" t="str">
        <f>IF(N66="","",VLOOKUP(N66,'G-7 Rivers Data'!$B$4:$G$8,5,FALSE))</f>
        <v/>
      </c>
      <c r="AF66" s="175" t="str">
        <f t="shared" si="6"/>
        <v/>
      </c>
      <c r="AG66" s="175" t="str">
        <f t="shared" si="7"/>
        <v/>
      </c>
      <c r="AH66" s="176" t="str">
        <f t="shared" si="2"/>
        <v/>
      </c>
      <c r="AI66" s="173"/>
      <c r="AJ66" s="172" t="str">
        <f>IF(AI66="","",IF(VLOOKUP(AI66,'G-7 Rivers Data'!$AA$4:$AB$7,2,FALSE)=0,"Spatial Data Missing",VLOOKUP(AI66,'G-7 Rivers Data'!$AA$4:$AB$7,2,FALSE)))</f>
        <v/>
      </c>
      <c r="AK66" s="187"/>
      <c r="AL66" s="172" t="str">
        <f>IF(AK66="","",IF(VLOOKUP(AK66,'G-7 Rivers Data'!$AD$4:$AE$8,2,FALSE)=0,"Spatial Data Missing",VLOOKUP(AK66,'G-7 Rivers Data'!$AD$4:$AE$8,2,FALSE)))</f>
        <v/>
      </c>
      <c r="AM66" s="186"/>
      <c r="AN66" s="176" t="str">
        <f>IF(AM66="","",VLOOKUP(AM66,'G-7 Rivers Data'!$AO$4:$AP$7,2,FALSE))</f>
        <v/>
      </c>
      <c r="AO66" s="265" t="str">
        <f t="shared" si="8"/>
        <v/>
      </c>
      <c r="AP66" s="180"/>
      <c r="AQ66" s="181"/>
      <c r="AX66" s="35" t="str">
        <f>IFERROR(INDEX('G-7 Rivers Data'!$AZ$3:$AZ$7,MATCH(N66,'G-7 Rivers Data'!$AY$3:$AY$7,0)),"")</f>
        <v/>
      </c>
    </row>
    <row r="67" spans="2:50" ht="13.8" x14ac:dyDescent="0.25">
      <c r="B67" s="259" t="str">
        <f>'F-1 Off Site River Baseline'!AN65</f>
        <v/>
      </c>
      <c r="C67" s="175" t="str">
        <f>IF(B67="","",VLOOKUP($B67,'F-1 Off Site River Baseline'!$C$9:$R$257,2,FALSE))</f>
        <v/>
      </c>
      <c r="D67" s="175" t="str">
        <f>IF(C67="","",VLOOKUP($B67,'F-1 Off Site River Baseline'!$C$9:$R$257,3,FALSE))</f>
        <v/>
      </c>
      <c r="E67" s="175" t="str">
        <f>IF(D67="","",VLOOKUP($B67,'F-1 Off Site River Baseline'!$C$9:$R$257,4,FALSE))</f>
        <v/>
      </c>
      <c r="F67" s="175" t="str">
        <f>IF(E67="","",VLOOKUP($B67,'F-1 Off Site River Baseline'!$C$9:$R$257,5,FALSE))</f>
        <v/>
      </c>
      <c r="G67" s="175" t="str">
        <f>IF(F67="","",VLOOKUP($B67,'F-1 Off Site River Baseline'!$C$9:$R$257,6,FALSE))</f>
        <v/>
      </c>
      <c r="H67" s="175" t="str">
        <f>IF(G67="","",VLOOKUP($B67,'F-1 Off Site River Baseline'!$C$9:$R$257,7,FALSE))</f>
        <v/>
      </c>
      <c r="I67" s="175" t="str">
        <f>IF(H67="","",VLOOKUP($B67,'F-1 Off Site River Baseline'!$C$9:$R$257,8,FALSE))</f>
        <v/>
      </c>
      <c r="J67" s="175" t="str">
        <f>IF(I67="","",VLOOKUP($B67,'F-1 Off Site River Baseline'!$C$9:$R$257,9,FALSE))</f>
        <v/>
      </c>
      <c r="K67" s="175" t="str">
        <f>IF(J67="","",VLOOKUP($B67,'F-1 Off Site River Baseline'!$C$9:$R$257,10,FALSE))</f>
        <v/>
      </c>
      <c r="L67" s="175" t="str">
        <f>IF(B67="","",VLOOKUP($B67,'C-1 Site River Baseline'!$C$9:$R$257,15,FALSE))</f>
        <v/>
      </c>
      <c r="M67" s="176" t="str">
        <f>IF(L67="","",VLOOKUP($B67,'F-1 Off Site River Baseline'!$C$9:$R$257,16,FALSE))</f>
        <v/>
      </c>
      <c r="N67" s="639" t="str">
        <f t="shared" si="0"/>
        <v/>
      </c>
      <c r="O67" s="171" t="str">
        <f t="shared" si="3"/>
        <v/>
      </c>
      <c r="P67" s="172" t="str">
        <f>IF(C67="","",IF(AND(LEFT(C67,55)&lt;&gt;LEFT(N67,55),O67="High - High"),"Error - Not like for like",IF(AND(F67=S67,H67&gt;U67),"Error - Can not reduce condition",IF(AND(F67=S67,H67=U67,AJ67='F-1 Off Site River Baseline'!N65,'F-1 Off Site River Baseline'!P65=AL67),"Error - No enhancement",IF(AND(C67&lt;&gt;N67,F67&lt;S67),"Lower Distinctiveness Habitat"&amp;" - "&amp;T67,G67&amp;" - "&amp;T67)))))</f>
        <v/>
      </c>
      <c r="Q67" s="260" t="str">
        <f>IF(N67="","",VLOOKUP(B67,'F-1 Off Site River Baseline'!$C$10:$AA$257,19,FALSE))</f>
        <v/>
      </c>
      <c r="R67" s="171" t="str">
        <f>IF(N67="","",VLOOKUP(N67,'G-7 Rivers Data'!$B$2:$G$8,2,FALSE))</f>
        <v/>
      </c>
      <c r="S67" s="172" t="str">
        <f>IFERROR(VLOOKUP(R67,'G-7 Rivers Data'!$C$4:$D$8,2,FALSE),"")</f>
        <v/>
      </c>
      <c r="T67" s="173"/>
      <c r="U67" s="172" t="str">
        <f>IFERROR(INDEX('G-7 Rivers Data'!$H$4:$L$8,MATCH(N67,'G-7 Rivers Data'!$B$4:$B$8,0),MATCH(T67,'G-7 Rivers Data'!$H$3:$L$3,0)),"")</f>
        <v/>
      </c>
      <c r="V67" s="186"/>
      <c r="W67" s="175" t="str">
        <f>IF(V67="","",IF(VLOOKUP(V67,'G-7 Rivers Data'!$AG$4:$AI$9,2,FALSE)=0,"Spatial Data Missing",VLOOKUP(V67,'G-7 Rivers Data'!$AG$4:$AI$9,2,FALSE)))</f>
        <v/>
      </c>
      <c r="X67" s="176" t="str">
        <f>IF(V67="","",IF(VLOOKUP(V67,'G-7 Rivers Data'!$AG$4:$AI$9,3,FALSE)=0,"Spatial Data Missing",VLOOKUP(V67,'G-7 Rivers Data'!$AG$4:$AI$9,3,FALSE)))</f>
        <v/>
      </c>
      <c r="Y67" s="239" t="str">
        <f>IFERROR(IF(OR(LEFT(P67,5)="Error",LEFT(O67,5)="Error"),"Check Data",IF(F67&lt;S67,'G-7 Rivers Data'!$R$3,INDEX('G-7 Rivers Data'!$U$5:$Y$9,MATCH(G67,'G-7 Rivers Data'!$T$5:$T$9,0),MATCH(T67,'G-7 Rivers Data'!$U$4:$Y$4,0)))),"")</f>
        <v/>
      </c>
      <c r="Z67" s="275"/>
      <c r="AA67" s="275"/>
      <c r="AB67" s="175" t="str">
        <f t="shared" si="4"/>
        <v/>
      </c>
      <c r="AC67" s="262" t="str">
        <f t="shared" si="5"/>
        <v/>
      </c>
      <c r="AD67" s="382" t="str">
        <f>IFERROR(IF(AC67="Check Data","Check Data",VLOOKUP(AC67,'G-4 Temporal multipliers'!$A$4:$C$37,3,FALSE)),"")</f>
        <v/>
      </c>
      <c r="AE67" s="239" t="str">
        <f>IF(N67="","",VLOOKUP(N67,'G-7 Rivers Data'!$B$4:$G$8,5,FALSE))</f>
        <v/>
      </c>
      <c r="AF67" s="175" t="str">
        <f t="shared" si="6"/>
        <v/>
      </c>
      <c r="AG67" s="175" t="str">
        <f t="shared" si="7"/>
        <v/>
      </c>
      <c r="AH67" s="176" t="str">
        <f t="shared" si="2"/>
        <v/>
      </c>
      <c r="AI67" s="173"/>
      <c r="AJ67" s="172" t="str">
        <f>IF(AI67="","",IF(VLOOKUP(AI67,'G-7 Rivers Data'!$AA$4:$AB$7,2,FALSE)=0,"Spatial Data Missing",VLOOKUP(AI67,'G-7 Rivers Data'!$AA$4:$AB$7,2,FALSE)))</f>
        <v/>
      </c>
      <c r="AK67" s="187"/>
      <c r="AL67" s="172" t="str">
        <f>IF(AK67="","",IF(VLOOKUP(AK67,'G-7 Rivers Data'!$AD$4:$AE$8,2,FALSE)=0,"Spatial Data Missing",VLOOKUP(AK67,'G-7 Rivers Data'!$AD$4:$AE$8,2,FALSE)))</f>
        <v/>
      </c>
      <c r="AM67" s="186"/>
      <c r="AN67" s="176" t="str">
        <f>IF(AM67="","",VLOOKUP(AM67,'G-7 Rivers Data'!$AO$4:$AP$7,2,FALSE))</f>
        <v/>
      </c>
      <c r="AO67" s="265" t="str">
        <f t="shared" si="8"/>
        <v/>
      </c>
      <c r="AP67" s="180"/>
      <c r="AQ67" s="181"/>
      <c r="AX67" s="35" t="str">
        <f>IFERROR(INDEX('G-7 Rivers Data'!$AZ$3:$AZ$7,MATCH(N67,'G-7 Rivers Data'!$AY$3:$AY$7,0)),"")</f>
        <v/>
      </c>
    </row>
    <row r="68" spans="2:50" ht="13.8" x14ac:dyDescent="0.25">
      <c r="B68" s="259" t="str">
        <f>'F-1 Off Site River Baseline'!AN66</f>
        <v/>
      </c>
      <c r="C68" s="175" t="str">
        <f>IF(B68="","",VLOOKUP($B68,'F-1 Off Site River Baseline'!$C$9:$R$257,2,FALSE))</f>
        <v/>
      </c>
      <c r="D68" s="175" t="str">
        <f>IF(C68="","",VLOOKUP($B68,'F-1 Off Site River Baseline'!$C$9:$R$257,3,FALSE))</f>
        <v/>
      </c>
      <c r="E68" s="175" t="str">
        <f>IF(D68="","",VLOOKUP($B68,'F-1 Off Site River Baseline'!$C$9:$R$257,4,FALSE))</f>
        <v/>
      </c>
      <c r="F68" s="175" t="str">
        <f>IF(E68="","",VLOOKUP($B68,'F-1 Off Site River Baseline'!$C$9:$R$257,5,FALSE))</f>
        <v/>
      </c>
      <c r="G68" s="175" t="str">
        <f>IF(F68="","",VLOOKUP($B68,'F-1 Off Site River Baseline'!$C$9:$R$257,6,FALSE))</f>
        <v/>
      </c>
      <c r="H68" s="175" t="str">
        <f>IF(G68="","",VLOOKUP($B68,'F-1 Off Site River Baseline'!$C$9:$R$257,7,FALSE))</f>
        <v/>
      </c>
      <c r="I68" s="175" t="str">
        <f>IF(H68="","",VLOOKUP($B68,'F-1 Off Site River Baseline'!$C$9:$R$257,8,FALSE))</f>
        <v/>
      </c>
      <c r="J68" s="175" t="str">
        <f>IF(I68="","",VLOOKUP($B68,'F-1 Off Site River Baseline'!$C$9:$R$257,9,FALSE))</f>
        <v/>
      </c>
      <c r="K68" s="175" t="str">
        <f>IF(J68="","",VLOOKUP($B68,'F-1 Off Site River Baseline'!$C$9:$R$257,10,FALSE))</f>
        <v/>
      </c>
      <c r="L68" s="175" t="str">
        <f>IF(B68="","",VLOOKUP($B68,'C-1 Site River Baseline'!$C$9:$R$257,15,FALSE))</f>
        <v/>
      </c>
      <c r="M68" s="176" t="str">
        <f>IF(L68="","",VLOOKUP($B68,'F-1 Off Site River Baseline'!$C$9:$R$257,16,FALSE))</f>
        <v/>
      </c>
      <c r="N68" s="639" t="str">
        <f t="shared" si="0"/>
        <v/>
      </c>
      <c r="O68" s="171" t="str">
        <f t="shared" si="3"/>
        <v/>
      </c>
      <c r="P68" s="172" t="str">
        <f>IF(C68="","",IF(AND(LEFT(C68,55)&lt;&gt;LEFT(N68,55),O68="High - High"),"Error - Not like for like",IF(AND(F68=S68,H68&gt;U68),"Error - Can not reduce condition",IF(AND(F68=S68,H68=U68,AJ68='F-1 Off Site River Baseline'!N66,'F-1 Off Site River Baseline'!P66=AL68),"Error - No enhancement",IF(AND(C68&lt;&gt;N68,F68&lt;S68),"Lower Distinctiveness Habitat"&amp;" - "&amp;T68,G68&amp;" - "&amp;T68)))))</f>
        <v/>
      </c>
      <c r="Q68" s="260" t="str">
        <f>IF(N68="","",VLOOKUP(B68,'F-1 Off Site River Baseline'!$C$10:$AA$257,19,FALSE))</f>
        <v/>
      </c>
      <c r="R68" s="171" t="str">
        <f>IF(N68="","",VLOOKUP(N68,'G-7 Rivers Data'!$B$2:$G$8,2,FALSE))</f>
        <v/>
      </c>
      <c r="S68" s="172" t="str">
        <f>IFERROR(VLOOKUP(R68,'G-7 Rivers Data'!$C$4:$D$8,2,FALSE),"")</f>
        <v/>
      </c>
      <c r="T68" s="173"/>
      <c r="U68" s="172" t="str">
        <f>IFERROR(INDEX('G-7 Rivers Data'!$H$4:$L$8,MATCH(N68,'G-7 Rivers Data'!$B$4:$B$8,0),MATCH(T68,'G-7 Rivers Data'!$H$3:$L$3,0)),"")</f>
        <v/>
      </c>
      <c r="V68" s="186"/>
      <c r="W68" s="175" t="str">
        <f>IF(V68="","",IF(VLOOKUP(V68,'G-7 Rivers Data'!$AG$4:$AI$9,2,FALSE)=0,"Spatial Data Missing",VLOOKUP(V68,'G-7 Rivers Data'!$AG$4:$AI$9,2,FALSE)))</f>
        <v/>
      </c>
      <c r="X68" s="176" t="str">
        <f>IF(V68="","",IF(VLOOKUP(V68,'G-7 Rivers Data'!$AG$4:$AI$9,3,FALSE)=0,"Spatial Data Missing",VLOOKUP(V68,'G-7 Rivers Data'!$AG$4:$AI$9,3,FALSE)))</f>
        <v/>
      </c>
      <c r="Y68" s="239" t="str">
        <f>IFERROR(IF(OR(LEFT(P68,5)="Error",LEFT(O68,5)="Error"),"Check Data",IF(F68&lt;S68,'G-7 Rivers Data'!$R$3,INDEX('G-7 Rivers Data'!$U$5:$Y$9,MATCH(G68,'G-7 Rivers Data'!$T$5:$T$9,0),MATCH(T68,'G-7 Rivers Data'!$U$4:$Y$4,0)))),"")</f>
        <v/>
      </c>
      <c r="Z68" s="275"/>
      <c r="AA68" s="275"/>
      <c r="AB68" s="175" t="str">
        <f t="shared" si="4"/>
        <v/>
      </c>
      <c r="AC68" s="262" t="str">
        <f t="shared" si="5"/>
        <v/>
      </c>
      <c r="AD68" s="382" t="str">
        <f>IFERROR(IF(AC68="Check Data","Check Data",VLOOKUP(AC68,'G-4 Temporal multipliers'!$A$4:$C$37,3,FALSE)),"")</f>
        <v/>
      </c>
      <c r="AE68" s="239" t="str">
        <f>IF(N68="","",VLOOKUP(N68,'G-7 Rivers Data'!$B$4:$G$8,5,FALSE))</f>
        <v/>
      </c>
      <c r="AF68" s="175" t="str">
        <f t="shared" si="6"/>
        <v/>
      </c>
      <c r="AG68" s="175" t="str">
        <f t="shared" si="7"/>
        <v/>
      </c>
      <c r="AH68" s="176" t="str">
        <f t="shared" si="2"/>
        <v/>
      </c>
      <c r="AI68" s="173"/>
      <c r="AJ68" s="172" t="str">
        <f>IF(AI68="","",IF(VLOOKUP(AI68,'G-7 Rivers Data'!$AA$4:$AB$7,2,FALSE)=0,"Spatial Data Missing",VLOOKUP(AI68,'G-7 Rivers Data'!$AA$4:$AB$7,2,FALSE)))</f>
        <v/>
      </c>
      <c r="AK68" s="187"/>
      <c r="AL68" s="172" t="str">
        <f>IF(AK68="","",IF(VLOOKUP(AK68,'G-7 Rivers Data'!$AD$4:$AE$8,2,FALSE)=0,"Spatial Data Missing",VLOOKUP(AK68,'G-7 Rivers Data'!$AD$4:$AE$8,2,FALSE)))</f>
        <v/>
      </c>
      <c r="AM68" s="186"/>
      <c r="AN68" s="176" t="str">
        <f>IF(AM68="","",VLOOKUP(AM68,'G-7 Rivers Data'!$AO$4:$AP$7,2,FALSE))</f>
        <v/>
      </c>
      <c r="AO68" s="265" t="str">
        <f t="shared" si="8"/>
        <v/>
      </c>
      <c r="AP68" s="180"/>
      <c r="AQ68" s="181"/>
      <c r="AX68" s="35" t="str">
        <f>IFERROR(INDEX('G-7 Rivers Data'!$AZ$3:$AZ$7,MATCH(N68,'G-7 Rivers Data'!$AY$3:$AY$7,0)),"")</f>
        <v/>
      </c>
    </row>
    <row r="69" spans="2:50" ht="13.8" x14ac:dyDescent="0.25">
      <c r="B69" s="259" t="str">
        <f>'F-1 Off Site River Baseline'!AN67</f>
        <v/>
      </c>
      <c r="C69" s="175" t="str">
        <f>IF(B69="","",VLOOKUP($B69,'F-1 Off Site River Baseline'!$C$9:$R$257,2,FALSE))</f>
        <v/>
      </c>
      <c r="D69" s="175" t="str">
        <f>IF(C69="","",VLOOKUP($B69,'F-1 Off Site River Baseline'!$C$9:$R$257,3,FALSE))</f>
        <v/>
      </c>
      <c r="E69" s="175" t="str">
        <f>IF(D69="","",VLOOKUP($B69,'F-1 Off Site River Baseline'!$C$9:$R$257,4,FALSE))</f>
        <v/>
      </c>
      <c r="F69" s="175" t="str">
        <f>IF(E69="","",VLOOKUP($B69,'F-1 Off Site River Baseline'!$C$9:$R$257,5,FALSE))</f>
        <v/>
      </c>
      <c r="G69" s="175" t="str">
        <f>IF(F69="","",VLOOKUP($B69,'F-1 Off Site River Baseline'!$C$9:$R$257,6,FALSE))</f>
        <v/>
      </c>
      <c r="H69" s="175" t="str">
        <f>IF(G69="","",VLOOKUP($B69,'F-1 Off Site River Baseline'!$C$9:$R$257,7,FALSE))</f>
        <v/>
      </c>
      <c r="I69" s="175" t="str">
        <f>IF(H69="","",VLOOKUP($B69,'F-1 Off Site River Baseline'!$C$9:$R$257,8,FALSE))</f>
        <v/>
      </c>
      <c r="J69" s="175" t="str">
        <f>IF(I69="","",VLOOKUP($B69,'F-1 Off Site River Baseline'!$C$9:$R$257,9,FALSE))</f>
        <v/>
      </c>
      <c r="K69" s="175" t="str">
        <f>IF(J69="","",VLOOKUP($B69,'F-1 Off Site River Baseline'!$C$9:$R$257,10,FALSE))</f>
        <v/>
      </c>
      <c r="L69" s="175" t="str">
        <f>IF(B69="","",VLOOKUP($B69,'C-1 Site River Baseline'!$C$9:$R$257,15,FALSE))</f>
        <v/>
      </c>
      <c r="M69" s="176" t="str">
        <f>IF(L69="","",VLOOKUP($B69,'F-1 Off Site River Baseline'!$C$9:$R$257,16,FALSE))</f>
        <v/>
      </c>
      <c r="N69" s="639" t="str">
        <f t="shared" si="0"/>
        <v/>
      </c>
      <c r="O69" s="171" t="str">
        <f t="shared" si="3"/>
        <v/>
      </c>
      <c r="P69" s="172" t="str">
        <f>IF(C69="","",IF(AND(LEFT(C69,55)&lt;&gt;LEFT(N69,55),O69="High - High"),"Error - Not like for like",IF(AND(F69=S69,H69&gt;U69),"Error - Can not reduce condition",IF(AND(F69=S69,H69=U69,AJ69='F-1 Off Site River Baseline'!N67,'F-1 Off Site River Baseline'!P67=AL69),"Error - No enhancement",IF(AND(C69&lt;&gt;N69,F69&lt;S69),"Lower Distinctiveness Habitat"&amp;" - "&amp;T69,G69&amp;" - "&amp;T69)))))</f>
        <v/>
      </c>
      <c r="Q69" s="260" t="str">
        <f>IF(N69="","",VLOOKUP(B69,'F-1 Off Site River Baseline'!$C$10:$AA$257,19,FALSE))</f>
        <v/>
      </c>
      <c r="R69" s="171" t="str">
        <f>IF(N69="","",VLOOKUP(N69,'G-7 Rivers Data'!$B$2:$G$8,2,FALSE))</f>
        <v/>
      </c>
      <c r="S69" s="172" t="str">
        <f>IFERROR(VLOOKUP(R69,'G-7 Rivers Data'!$C$4:$D$8,2,FALSE),"")</f>
        <v/>
      </c>
      <c r="T69" s="173"/>
      <c r="U69" s="172" t="str">
        <f>IFERROR(INDEX('G-7 Rivers Data'!$H$4:$L$8,MATCH(N69,'G-7 Rivers Data'!$B$4:$B$8,0),MATCH(T69,'G-7 Rivers Data'!$H$3:$L$3,0)),"")</f>
        <v/>
      </c>
      <c r="V69" s="186"/>
      <c r="W69" s="175" t="str">
        <f>IF(V69="","",IF(VLOOKUP(V69,'G-7 Rivers Data'!$AG$4:$AI$9,2,FALSE)=0,"Spatial Data Missing",VLOOKUP(V69,'G-7 Rivers Data'!$AG$4:$AI$9,2,FALSE)))</f>
        <v/>
      </c>
      <c r="X69" s="176" t="str">
        <f>IF(V69="","",IF(VLOOKUP(V69,'G-7 Rivers Data'!$AG$4:$AI$9,3,FALSE)=0,"Spatial Data Missing",VLOOKUP(V69,'G-7 Rivers Data'!$AG$4:$AI$9,3,FALSE)))</f>
        <v/>
      </c>
      <c r="Y69" s="239" t="str">
        <f>IFERROR(IF(OR(LEFT(P69,5)="Error",LEFT(O69,5)="Error"),"Check Data",IF(F69&lt;S69,'G-7 Rivers Data'!$R$3,INDEX('G-7 Rivers Data'!$U$5:$Y$9,MATCH(G69,'G-7 Rivers Data'!$T$5:$T$9,0),MATCH(T69,'G-7 Rivers Data'!$U$4:$Y$4,0)))),"")</f>
        <v/>
      </c>
      <c r="Z69" s="275"/>
      <c r="AA69" s="275"/>
      <c r="AB69" s="175" t="str">
        <f t="shared" si="4"/>
        <v/>
      </c>
      <c r="AC69" s="262" t="str">
        <f t="shared" si="5"/>
        <v/>
      </c>
      <c r="AD69" s="382" t="str">
        <f>IFERROR(IF(AC69="Check Data","Check Data",VLOOKUP(AC69,'G-4 Temporal multipliers'!$A$4:$C$37,3,FALSE)),"")</f>
        <v/>
      </c>
      <c r="AE69" s="239" t="str">
        <f>IF(N69="","",VLOOKUP(N69,'G-7 Rivers Data'!$B$4:$G$8,5,FALSE))</f>
        <v/>
      </c>
      <c r="AF69" s="175" t="str">
        <f t="shared" si="6"/>
        <v/>
      </c>
      <c r="AG69" s="175" t="str">
        <f t="shared" si="7"/>
        <v/>
      </c>
      <c r="AH69" s="176" t="str">
        <f t="shared" si="2"/>
        <v/>
      </c>
      <c r="AI69" s="173"/>
      <c r="AJ69" s="172" t="str">
        <f>IF(AI69="","",IF(VLOOKUP(AI69,'G-7 Rivers Data'!$AA$4:$AB$7,2,FALSE)=0,"Spatial Data Missing",VLOOKUP(AI69,'G-7 Rivers Data'!$AA$4:$AB$7,2,FALSE)))</f>
        <v/>
      </c>
      <c r="AK69" s="187"/>
      <c r="AL69" s="172" t="str">
        <f>IF(AK69="","",IF(VLOOKUP(AK69,'G-7 Rivers Data'!$AD$4:$AE$8,2,FALSE)=0,"Spatial Data Missing",VLOOKUP(AK69,'G-7 Rivers Data'!$AD$4:$AE$8,2,FALSE)))</f>
        <v/>
      </c>
      <c r="AM69" s="186"/>
      <c r="AN69" s="176" t="str">
        <f>IF(AM69="","",VLOOKUP(AM69,'G-7 Rivers Data'!$AO$4:$AP$7,2,FALSE))</f>
        <v/>
      </c>
      <c r="AO69" s="265" t="str">
        <f t="shared" si="8"/>
        <v/>
      </c>
      <c r="AP69" s="180"/>
      <c r="AQ69" s="181"/>
      <c r="AX69" s="35" t="str">
        <f>IFERROR(INDEX('G-7 Rivers Data'!$AZ$3:$AZ$7,MATCH(N69,'G-7 Rivers Data'!$AY$3:$AY$7,0)),"")</f>
        <v/>
      </c>
    </row>
    <row r="70" spans="2:50" ht="13.8" x14ac:dyDescent="0.25">
      <c r="B70" s="259" t="str">
        <f>'F-1 Off Site River Baseline'!AN68</f>
        <v/>
      </c>
      <c r="C70" s="175" t="str">
        <f>IF(B70="","",VLOOKUP($B70,'F-1 Off Site River Baseline'!$C$9:$R$257,2,FALSE))</f>
        <v/>
      </c>
      <c r="D70" s="175" t="str">
        <f>IF(C70="","",VLOOKUP($B70,'F-1 Off Site River Baseline'!$C$9:$R$257,3,FALSE))</f>
        <v/>
      </c>
      <c r="E70" s="175" t="str">
        <f>IF(D70="","",VLOOKUP($B70,'F-1 Off Site River Baseline'!$C$9:$R$257,4,FALSE))</f>
        <v/>
      </c>
      <c r="F70" s="175" t="str">
        <f>IF(E70="","",VLOOKUP($B70,'F-1 Off Site River Baseline'!$C$9:$R$257,5,FALSE))</f>
        <v/>
      </c>
      <c r="G70" s="175" t="str">
        <f>IF(F70="","",VLOOKUP($B70,'F-1 Off Site River Baseline'!$C$9:$R$257,6,FALSE))</f>
        <v/>
      </c>
      <c r="H70" s="175" t="str">
        <f>IF(G70="","",VLOOKUP($B70,'F-1 Off Site River Baseline'!$C$9:$R$257,7,FALSE))</f>
        <v/>
      </c>
      <c r="I70" s="175" t="str">
        <f>IF(H70="","",VLOOKUP($B70,'F-1 Off Site River Baseline'!$C$9:$R$257,8,FALSE))</f>
        <v/>
      </c>
      <c r="J70" s="175" t="str">
        <f>IF(I70="","",VLOOKUP($B70,'F-1 Off Site River Baseline'!$C$9:$R$257,9,FALSE))</f>
        <v/>
      </c>
      <c r="K70" s="175" t="str">
        <f>IF(J70="","",VLOOKUP($B70,'F-1 Off Site River Baseline'!$C$9:$R$257,10,FALSE))</f>
        <v/>
      </c>
      <c r="L70" s="175" t="str">
        <f>IF(B70="","",VLOOKUP($B70,'C-1 Site River Baseline'!$C$9:$R$257,15,FALSE))</f>
        <v/>
      </c>
      <c r="M70" s="176" t="str">
        <f>IF(L70="","",VLOOKUP($B70,'F-1 Off Site River Baseline'!$C$9:$R$257,16,FALSE))</f>
        <v/>
      </c>
      <c r="N70" s="639" t="str">
        <f t="shared" si="0"/>
        <v/>
      </c>
      <c r="O70" s="171" t="str">
        <f t="shared" si="3"/>
        <v/>
      </c>
      <c r="P70" s="172" t="str">
        <f>IF(C70="","",IF(AND(LEFT(C70,55)&lt;&gt;LEFT(N70,55),O70="High - High"),"Error - Not like for like",IF(AND(F70=S70,H70&gt;U70),"Error - Can not reduce condition",IF(AND(F70=S70,H70=U70,AJ70='F-1 Off Site River Baseline'!N68,'F-1 Off Site River Baseline'!P68=AL70),"Error - No enhancement",IF(AND(C70&lt;&gt;N70,F70&lt;S70),"Lower Distinctiveness Habitat"&amp;" - "&amp;T70,G70&amp;" - "&amp;T70)))))</f>
        <v/>
      </c>
      <c r="Q70" s="260" t="str">
        <f>IF(N70="","",VLOOKUP(B70,'F-1 Off Site River Baseline'!$C$10:$AA$257,19,FALSE))</f>
        <v/>
      </c>
      <c r="R70" s="171" t="str">
        <f>IF(N70="","",VLOOKUP(N70,'G-7 Rivers Data'!$B$2:$G$8,2,FALSE))</f>
        <v/>
      </c>
      <c r="S70" s="172" t="str">
        <f>IFERROR(VLOOKUP(R70,'G-7 Rivers Data'!$C$4:$D$8,2,FALSE),"")</f>
        <v/>
      </c>
      <c r="T70" s="173"/>
      <c r="U70" s="172" t="str">
        <f>IFERROR(INDEX('G-7 Rivers Data'!$H$4:$L$8,MATCH(N70,'G-7 Rivers Data'!$B$4:$B$8,0),MATCH(T70,'G-7 Rivers Data'!$H$3:$L$3,0)),"")</f>
        <v/>
      </c>
      <c r="V70" s="186"/>
      <c r="W70" s="175" t="str">
        <f>IF(V70="","",IF(VLOOKUP(V70,'G-7 Rivers Data'!$AG$4:$AI$9,2,FALSE)=0,"Spatial Data Missing",VLOOKUP(V70,'G-7 Rivers Data'!$AG$4:$AI$9,2,FALSE)))</f>
        <v/>
      </c>
      <c r="X70" s="176" t="str">
        <f>IF(V70="","",IF(VLOOKUP(V70,'G-7 Rivers Data'!$AG$4:$AI$9,3,FALSE)=0,"Spatial Data Missing",VLOOKUP(V70,'G-7 Rivers Data'!$AG$4:$AI$9,3,FALSE)))</f>
        <v/>
      </c>
      <c r="Y70" s="239" t="str">
        <f>IFERROR(IF(OR(LEFT(P70,5)="Error",LEFT(O70,5)="Error"),"Check Data",IF(F70&lt;S70,'G-7 Rivers Data'!$R$3,INDEX('G-7 Rivers Data'!$U$5:$Y$9,MATCH(G70,'G-7 Rivers Data'!$T$5:$T$9,0),MATCH(T70,'G-7 Rivers Data'!$U$4:$Y$4,0)))),"")</f>
        <v/>
      </c>
      <c r="Z70" s="275"/>
      <c r="AA70" s="275"/>
      <c r="AB70" s="175" t="str">
        <f t="shared" si="4"/>
        <v/>
      </c>
      <c r="AC70" s="262" t="str">
        <f t="shared" si="5"/>
        <v/>
      </c>
      <c r="AD70" s="382" t="str">
        <f>IFERROR(IF(AC70="Check Data","Check Data",VLOOKUP(AC70,'G-4 Temporal multipliers'!$A$4:$C$37,3,FALSE)),"")</f>
        <v/>
      </c>
      <c r="AE70" s="239" t="str">
        <f>IF(N70="","",VLOOKUP(N70,'G-7 Rivers Data'!$B$4:$G$8,5,FALSE))</f>
        <v/>
      </c>
      <c r="AF70" s="175" t="str">
        <f t="shared" si="6"/>
        <v/>
      </c>
      <c r="AG70" s="175" t="str">
        <f t="shared" si="7"/>
        <v/>
      </c>
      <c r="AH70" s="176" t="str">
        <f t="shared" si="2"/>
        <v/>
      </c>
      <c r="AI70" s="173"/>
      <c r="AJ70" s="172" t="str">
        <f>IF(AI70="","",IF(VLOOKUP(AI70,'G-7 Rivers Data'!$AA$4:$AB$7,2,FALSE)=0,"Spatial Data Missing",VLOOKUP(AI70,'G-7 Rivers Data'!$AA$4:$AB$7,2,FALSE)))</f>
        <v/>
      </c>
      <c r="AK70" s="187"/>
      <c r="AL70" s="172" t="str">
        <f>IF(AK70="","",IF(VLOOKUP(AK70,'G-7 Rivers Data'!$AD$4:$AE$8,2,FALSE)=0,"Spatial Data Missing",VLOOKUP(AK70,'G-7 Rivers Data'!$AD$4:$AE$8,2,FALSE)))</f>
        <v/>
      </c>
      <c r="AM70" s="186"/>
      <c r="AN70" s="176" t="str">
        <f>IF(AM70="","",VLOOKUP(AM70,'G-7 Rivers Data'!$AO$4:$AP$7,2,FALSE))</f>
        <v/>
      </c>
      <c r="AO70" s="265" t="str">
        <f t="shared" si="8"/>
        <v/>
      </c>
      <c r="AP70" s="180"/>
      <c r="AQ70" s="181"/>
      <c r="AX70" s="35" t="str">
        <f>IFERROR(INDEX('G-7 Rivers Data'!$AZ$3:$AZ$7,MATCH(N70,'G-7 Rivers Data'!$AY$3:$AY$7,0)),"")</f>
        <v/>
      </c>
    </row>
    <row r="71" spans="2:50" ht="13.8" x14ac:dyDescent="0.25">
      <c r="B71" s="259" t="str">
        <f>'F-1 Off Site River Baseline'!AN69</f>
        <v/>
      </c>
      <c r="C71" s="175" t="str">
        <f>IF(B71="","",VLOOKUP($B71,'F-1 Off Site River Baseline'!$C$9:$R$257,2,FALSE))</f>
        <v/>
      </c>
      <c r="D71" s="175" t="str">
        <f>IF(C71="","",VLOOKUP($B71,'F-1 Off Site River Baseline'!$C$9:$R$257,3,FALSE))</f>
        <v/>
      </c>
      <c r="E71" s="175" t="str">
        <f>IF(D71="","",VLOOKUP($B71,'F-1 Off Site River Baseline'!$C$9:$R$257,4,FALSE))</f>
        <v/>
      </c>
      <c r="F71" s="175" t="str">
        <f>IF(E71="","",VLOOKUP($B71,'F-1 Off Site River Baseline'!$C$9:$R$257,5,FALSE))</f>
        <v/>
      </c>
      <c r="G71" s="175" t="str">
        <f>IF(F71="","",VLOOKUP($B71,'F-1 Off Site River Baseline'!$C$9:$R$257,6,FALSE))</f>
        <v/>
      </c>
      <c r="H71" s="175" t="str">
        <f>IF(G71="","",VLOOKUP($B71,'F-1 Off Site River Baseline'!$C$9:$R$257,7,FALSE))</f>
        <v/>
      </c>
      <c r="I71" s="175" t="str">
        <f>IF(H71="","",VLOOKUP($B71,'F-1 Off Site River Baseline'!$C$9:$R$257,8,FALSE))</f>
        <v/>
      </c>
      <c r="J71" s="175" t="str">
        <f>IF(I71="","",VLOOKUP($B71,'F-1 Off Site River Baseline'!$C$9:$R$257,9,FALSE))</f>
        <v/>
      </c>
      <c r="K71" s="175" t="str">
        <f>IF(J71="","",VLOOKUP($B71,'F-1 Off Site River Baseline'!$C$9:$R$257,10,FALSE))</f>
        <v/>
      </c>
      <c r="L71" s="175" t="str">
        <f>IF(B71="","",VLOOKUP($B71,'C-1 Site River Baseline'!$C$9:$R$257,15,FALSE))</f>
        <v/>
      </c>
      <c r="M71" s="176" t="str">
        <f>IF(L71="","",VLOOKUP($B71,'F-1 Off Site River Baseline'!$C$9:$R$257,16,FALSE))</f>
        <v/>
      </c>
      <c r="N71" s="639" t="str">
        <f t="shared" si="0"/>
        <v/>
      </c>
      <c r="O71" s="171" t="str">
        <f t="shared" si="3"/>
        <v/>
      </c>
      <c r="P71" s="172" t="str">
        <f>IF(C71="","",IF(AND(LEFT(C71,55)&lt;&gt;LEFT(N71,55),O71="High - High"),"Error - Not like for like",IF(AND(F71=S71,H71&gt;U71),"Error - Can not reduce condition",IF(AND(F71=S71,H71=U71,AJ71='F-1 Off Site River Baseline'!N69,'F-1 Off Site River Baseline'!P69=AL71),"Error - No enhancement",IF(AND(C71&lt;&gt;N71,F71&lt;S71),"Lower Distinctiveness Habitat"&amp;" - "&amp;T71,G71&amp;" - "&amp;T71)))))</f>
        <v/>
      </c>
      <c r="Q71" s="260" t="str">
        <f>IF(N71="","",VLOOKUP(B71,'F-1 Off Site River Baseline'!$C$10:$AA$257,19,FALSE))</f>
        <v/>
      </c>
      <c r="R71" s="171" t="str">
        <f>IF(N71="","",VLOOKUP(N71,'G-7 Rivers Data'!$B$2:$G$8,2,FALSE))</f>
        <v/>
      </c>
      <c r="S71" s="172" t="str">
        <f>IFERROR(VLOOKUP(R71,'G-7 Rivers Data'!$C$4:$D$8,2,FALSE),"")</f>
        <v/>
      </c>
      <c r="T71" s="173"/>
      <c r="U71" s="172" t="str">
        <f>IFERROR(INDEX('G-7 Rivers Data'!$H$4:$L$8,MATCH(N71,'G-7 Rivers Data'!$B$4:$B$8,0),MATCH(T71,'G-7 Rivers Data'!$H$3:$L$3,0)),"")</f>
        <v/>
      </c>
      <c r="V71" s="186"/>
      <c r="W71" s="175" t="str">
        <f>IF(V71="","",IF(VLOOKUP(V71,'G-7 Rivers Data'!$AG$4:$AI$9,2,FALSE)=0,"Spatial Data Missing",VLOOKUP(V71,'G-7 Rivers Data'!$AG$4:$AI$9,2,FALSE)))</f>
        <v/>
      </c>
      <c r="X71" s="176" t="str">
        <f>IF(V71="","",IF(VLOOKUP(V71,'G-7 Rivers Data'!$AG$4:$AI$9,3,FALSE)=0,"Spatial Data Missing",VLOOKUP(V71,'G-7 Rivers Data'!$AG$4:$AI$9,3,FALSE)))</f>
        <v/>
      </c>
      <c r="Y71" s="239" t="str">
        <f>IFERROR(IF(OR(LEFT(P71,5)="Error",LEFT(O71,5)="Error"),"Check Data",IF(F71&lt;S71,'G-7 Rivers Data'!$R$3,INDEX('G-7 Rivers Data'!$U$5:$Y$9,MATCH(G71,'G-7 Rivers Data'!$T$5:$T$9,0),MATCH(T71,'G-7 Rivers Data'!$U$4:$Y$4,0)))),"")</f>
        <v/>
      </c>
      <c r="Z71" s="275"/>
      <c r="AA71" s="275"/>
      <c r="AB71" s="175" t="str">
        <f t="shared" si="4"/>
        <v/>
      </c>
      <c r="AC71" s="262" t="str">
        <f t="shared" si="5"/>
        <v/>
      </c>
      <c r="AD71" s="382" t="str">
        <f>IFERROR(IF(AC71="Check Data","Check Data",VLOOKUP(AC71,'G-4 Temporal multipliers'!$A$4:$C$37,3,FALSE)),"")</f>
        <v/>
      </c>
      <c r="AE71" s="239" t="str">
        <f>IF(N71="","",VLOOKUP(N71,'G-7 Rivers Data'!$B$4:$G$8,5,FALSE))</f>
        <v/>
      </c>
      <c r="AF71" s="175" t="str">
        <f t="shared" si="6"/>
        <v/>
      </c>
      <c r="AG71" s="175" t="str">
        <f t="shared" si="7"/>
        <v/>
      </c>
      <c r="AH71" s="176" t="str">
        <f t="shared" si="2"/>
        <v/>
      </c>
      <c r="AI71" s="173"/>
      <c r="AJ71" s="172" t="str">
        <f>IF(AI71="","",IF(VLOOKUP(AI71,'G-7 Rivers Data'!$AA$4:$AB$7,2,FALSE)=0,"Spatial Data Missing",VLOOKUP(AI71,'G-7 Rivers Data'!$AA$4:$AB$7,2,FALSE)))</f>
        <v/>
      </c>
      <c r="AK71" s="187"/>
      <c r="AL71" s="172" t="str">
        <f>IF(AK71="","",IF(VLOOKUP(AK71,'G-7 Rivers Data'!$AD$4:$AE$8,2,FALSE)=0,"Spatial Data Missing",VLOOKUP(AK71,'G-7 Rivers Data'!$AD$4:$AE$8,2,FALSE)))</f>
        <v/>
      </c>
      <c r="AM71" s="186"/>
      <c r="AN71" s="176" t="str">
        <f>IF(AM71="","",VLOOKUP(AM71,'G-7 Rivers Data'!$AO$4:$AP$7,2,FALSE))</f>
        <v/>
      </c>
      <c r="AO71" s="265" t="str">
        <f t="shared" si="8"/>
        <v/>
      </c>
      <c r="AP71" s="180"/>
      <c r="AQ71" s="181"/>
      <c r="AX71" s="35" t="str">
        <f>IFERROR(INDEX('G-7 Rivers Data'!$AZ$3:$AZ$7,MATCH(N71,'G-7 Rivers Data'!$AY$3:$AY$7,0)),"")</f>
        <v/>
      </c>
    </row>
    <row r="72" spans="2:50" ht="13.8" x14ac:dyDescent="0.25">
      <c r="B72" s="259" t="str">
        <f>'F-1 Off Site River Baseline'!AN70</f>
        <v/>
      </c>
      <c r="C72" s="175" t="str">
        <f>IF(B72="","",VLOOKUP($B72,'F-1 Off Site River Baseline'!$C$9:$R$257,2,FALSE))</f>
        <v/>
      </c>
      <c r="D72" s="175" t="str">
        <f>IF(C72="","",VLOOKUP($B72,'F-1 Off Site River Baseline'!$C$9:$R$257,3,FALSE))</f>
        <v/>
      </c>
      <c r="E72" s="175" t="str">
        <f>IF(D72="","",VLOOKUP($B72,'F-1 Off Site River Baseline'!$C$9:$R$257,4,FALSE))</f>
        <v/>
      </c>
      <c r="F72" s="175" t="str">
        <f>IF(E72="","",VLOOKUP($B72,'F-1 Off Site River Baseline'!$C$9:$R$257,5,FALSE))</f>
        <v/>
      </c>
      <c r="G72" s="175" t="str">
        <f>IF(F72="","",VLOOKUP($B72,'F-1 Off Site River Baseline'!$C$9:$R$257,6,FALSE))</f>
        <v/>
      </c>
      <c r="H72" s="175" t="str">
        <f>IF(G72="","",VLOOKUP($B72,'F-1 Off Site River Baseline'!$C$9:$R$257,7,FALSE))</f>
        <v/>
      </c>
      <c r="I72" s="175" t="str">
        <f>IF(H72="","",VLOOKUP($B72,'F-1 Off Site River Baseline'!$C$9:$R$257,8,FALSE))</f>
        <v/>
      </c>
      <c r="J72" s="175" t="str">
        <f>IF(I72="","",VLOOKUP($B72,'F-1 Off Site River Baseline'!$C$9:$R$257,9,FALSE))</f>
        <v/>
      </c>
      <c r="K72" s="175" t="str">
        <f>IF(J72="","",VLOOKUP($B72,'F-1 Off Site River Baseline'!$C$9:$R$257,10,FALSE))</f>
        <v/>
      </c>
      <c r="L72" s="175" t="str">
        <f>IF(B72="","",VLOOKUP($B72,'C-1 Site River Baseline'!$C$9:$R$257,15,FALSE))</f>
        <v/>
      </c>
      <c r="M72" s="176" t="str">
        <f>IF(L72="","",VLOOKUP($B72,'F-1 Off Site River Baseline'!$C$9:$R$257,16,FALSE))</f>
        <v/>
      </c>
      <c r="N72" s="639" t="str">
        <f t="shared" si="0"/>
        <v/>
      </c>
      <c r="O72" s="171" t="str">
        <f t="shared" si="3"/>
        <v/>
      </c>
      <c r="P72" s="172" t="str">
        <f>IF(C72="","",IF(AND(LEFT(C72,55)&lt;&gt;LEFT(N72,55),O72="High - High"),"Error - Not like for like",IF(AND(F72=S72,H72&gt;U72),"Error - Can not reduce condition",IF(AND(F72=S72,H72=U72,AJ72='F-1 Off Site River Baseline'!N70,'F-1 Off Site River Baseline'!P70=AL72),"Error - No enhancement",IF(AND(C72&lt;&gt;N72,F72&lt;S72),"Lower Distinctiveness Habitat"&amp;" - "&amp;T72,G72&amp;" - "&amp;T72)))))</f>
        <v/>
      </c>
      <c r="Q72" s="260" t="str">
        <f>IF(N72="","",VLOOKUP(B72,'F-1 Off Site River Baseline'!$C$10:$AA$257,19,FALSE))</f>
        <v/>
      </c>
      <c r="R72" s="171" t="str">
        <f>IF(N72="","",VLOOKUP(N72,'G-7 Rivers Data'!$B$2:$G$8,2,FALSE))</f>
        <v/>
      </c>
      <c r="S72" s="172" t="str">
        <f>IFERROR(VLOOKUP(R72,'G-7 Rivers Data'!$C$4:$D$8,2,FALSE),"")</f>
        <v/>
      </c>
      <c r="T72" s="173"/>
      <c r="U72" s="172" t="str">
        <f>IFERROR(INDEX('G-7 Rivers Data'!$H$4:$L$8,MATCH(N72,'G-7 Rivers Data'!$B$4:$B$8,0),MATCH(T72,'G-7 Rivers Data'!$H$3:$L$3,0)),"")</f>
        <v/>
      </c>
      <c r="V72" s="186"/>
      <c r="W72" s="175" t="str">
        <f>IF(V72="","",IF(VLOOKUP(V72,'G-7 Rivers Data'!$AG$4:$AI$9,2,FALSE)=0,"Spatial Data Missing",VLOOKUP(V72,'G-7 Rivers Data'!$AG$4:$AI$9,2,FALSE)))</f>
        <v/>
      </c>
      <c r="X72" s="176" t="str">
        <f>IF(V72="","",IF(VLOOKUP(V72,'G-7 Rivers Data'!$AG$4:$AI$9,3,FALSE)=0,"Spatial Data Missing",VLOOKUP(V72,'G-7 Rivers Data'!$AG$4:$AI$9,3,FALSE)))</f>
        <v/>
      </c>
      <c r="Y72" s="239" t="str">
        <f>IFERROR(IF(OR(LEFT(P72,5)="Error",LEFT(O72,5)="Error"),"Check Data",IF(F72&lt;S72,'G-7 Rivers Data'!$R$3,INDEX('G-7 Rivers Data'!$U$5:$Y$9,MATCH(G72,'G-7 Rivers Data'!$T$5:$T$9,0),MATCH(T72,'G-7 Rivers Data'!$U$4:$Y$4,0)))),"")</f>
        <v/>
      </c>
      <c r="Z72" s="275"/>
      <c r="AA72" s="275"/>
      <c r="AB72" s="175" t="str">
        <f t="shared" si="4"/>
        <v/>
      </c>
      <c r="AC72" s="262" t="str">
        <f t="shared" si="5"/>
        <v/>
      </c>
      <c r="AD72" s="382" t="str">
        <f>IFERROR(IF(AC72="Check Data","Check Data",VLOOKUP(AC72,'G-4 Temporal multipliers'!$A$4:$C$37,3,FALSE)),"")</f>
        <v/>
      </c>
      <c r="AE72" s="239" t="str">
        <f>IF(N72="","",VLOOKUP(N72,'G-7 Rivers Data'!$B$4:$G$8,5,FALSE))</f>
        <v/>
      </c>
      <c r="AF72" s="175" t="str">
        <f t="shared" si="6"/>
        <v/>
      </c>
      <c r="AG72" s="175" t="str">
        <f t="shared" si="7"/>
        <v/>
      </c>
      <c r="AH72" s="176" t="str">
        <f t="shared" si="2"/>
        <v/>
      </c>
      <c r="AI72" s="173"/>
      <c r="AJ72" s="172" t="str">
        <f>IF(AI72="","",IF(VLOOKUP(AI72,'G-7 Rivers Data'!$AA$4:$AB$7,2,FALSE)=0,"Spatial Data Missing",VLOOKUP(AI72,'G-7 Rivers Data'!$AA$4:$AB$7,2,FALSE)))</f>
        <v/>
      </c>
      <c r="AK72" s="187"/>
      <c r="AL72" s="172" t="str">
        <f>IF(AK72="","",IF(VLOOKUP(AK72,'G-7 Rivers Data'!$AD$4:$AE$8,2,FALSE)=0,"Spatial Data Missing",VLOOKUP(AK72,'G-7 Rivers Data'!$AD$4:$AE$8,2,FALSE)))</f>
        <v/>
      </c>
      <c r="AM72" s="186"/>
      <c r="AN72" s="176" t="str">
        <f>IF(AM72="","",VLOOKUP(AM72,'G-7 Rivers Data'!$AO$4:$AP$7,2,FALSE))</f>
        <v/>
      </c>
      <c r="AO72" s="265" t="str">
        <f t="shared" si="8"/>
        <v/>
      </c>
      <c r="AP72" s="180"/>
      <c r="AQ72" s="181"/>
      <c r="AX72" s="35" t="str">
        <f>IFERROR(INDEX('G-7 Rivers Data'!$AZ$3:$AZ$7,MATCH(N72,'G-7 Rivers Data'!$AY$3:$AY$7,0)),"")</f>
        <v/>
      </c>
    </row>
    <row r="73" spans="2:50" ht="13.8" x14ac:dyDescent="0.25">
      <c r="B73" s="259" t="str">
        <f>'F-1 Off Site River Baseline'!AN71</f>
        <v/>
      </c>
      <c r="C73" s="175" t="str">
        <f>IF(B73="","",VLOOKUP($B73,'F-1 Off Site River Baseline'!$C$9:$R$257,2,FALSE))</f>
        <v/>
      </c>
      <c r="D73" s="175" t="str">
        <f>IF(C73="","",VLOOKUP($B73,'F-1 Off Site River Baseline'!$C$9:$R$257,3,FALSE))</f>
        <v/>
      </c>
      <c r="E73" s="175" t="str">
        <f>IF(D73="","",VLOOKUP($B73,'F-1 Off Site River Baseline'!$C$9:$R$257,4,FALSE))</f>
        <v/>
      </c>
      <c r="F73" s="175" t="str">
        <f>IF(E73="","",VLOOKUP($B73,'F-1 Off Site River Baseline'!$C$9:$R$257,5,FALSE))</f>
        <v/>
      </c>
      <c r="G73" s="175" t="str">
        <f>IF(F73="","",VLOOKUP($B73,'F-1 Off Site River Baseline'!$C$9:$R$257,6,FALSE))</f>
        <v/>
      </c>
      <c r="H73" s="175" t="str">
        <f>IF(G73="","",VLOOKUP($B73,'F-1 Off Site River Baseline'!$C$9:$R$257,7,FALSE))</f>
        <v/>
      </c>
      <c r="I73" s="175" t="str">
        <f>IF(H73="","",VLOOKUP($B73,'F-1 Off Site River Baseline'!$C$9:$R$257,8,FALSE))</f>
        <v/>
      </c>
      <c r="J73" s="175" t="str">
        <f>IF(I73="","",VLOOKUP($B73,'F-1 Off Site River Baseline'!$C$9:$R$257,9,FALSE))</f>
        <v/>
      </c>
      <c r="K73" s="175" t="str">
        <f>IF(J73="","",VLOOKUP($B73,'F-1 Off Site River Baseline'!$C$9:$R$257,10,FALSE))</f>
        <v/>
      </c>
      <c r="L73" s="175" t="str">
        <f>IF(B73="","",VLOOKUP($B73,'C-1 Site River Baseline'!$C$9:$R$257,15,FALSE))</f>
        <v/>
      </c>
      <c r="M73" s="176" t="str">
        <f>IF(L73="","",VLOOKUP($B73,'F-1 Off Site River Baseline'!$C$9:$R$257,16,FALSE))</f>
        <v/>
      </c>
      <c r="N73" s="639" t="str">
        <f t="shared" si="0"/>
        <v/>
      </c>
      <c r="O73" s="171" t="str">
        <f t="shared" si="3"/>
        <v/>
      </c>
      <c r="P73" s="172" t="str">
        <f>IF(C73="","",IF(AND(LEFT(C73,55)&lt;&gt;LEFT(N73,55),O73="High - High"),"Error - Not like for like",IF(AND(F73=S73,H73&gt;U73),"Error - Can not reduce condition",IF(AND(F73=S73,H73=U73,AJ73='F-1 Off Site River Baseline'!N71,'F-1 Off Site River Baseline'!P71=AL73),"Error - No enhancement",IF(AND(C73&lt;&gt;N73,F73&lt;S73),"Lower Distinctiveness Habitat"&amp;" - "&amp;T73,G73&amp;" - "&amp;T73)))))</f>
        <v/>
      </c>
      <c r="Q73" s="260" t="str">
        <f>IF(N73="","",VLOOKUP(B73,'F-1 Off Site River Baseline'!$C$10:$AA$257,19,FALSE))</f>
        <v/>
      </c>
      <c r="R73" s="171" t="str">
        <f>IF(N73="","",VLOOKUP(N73,'G-7 Rivers Data'!$B$2:$G$8,2,FALSE))</f>
        <v/>
      </c>
      <c r="S73" s="172" t="str">
        <f>IFERROR(VLOOKUP(R73,'G-7 Rivers Data'!$C$4:$D$8,2,FALSE),"")</f>
        <v/>
      </c>
      <c r="T73" s="173"/>
      <c r="U73" s="172" t="str">
        <f>IFERROR(INDEX('G-7 Rivers Data'!$H$4:$L$8,MATCH(N73,'G-7 Rivers Data'!$B$4:$B$8,0),MATCH(T73,'G-7 Rivers Data'!$H$3:$L$3,0)),"")</f>
        <v/>
      </c>
      <c r="V73" s="186"/>
      <c r="W73" s="175" t="str">
        <f>IF(V73="","",IF(VLOOKUP(V73,'G-7 Rivers Data'!$AG$4:$AI$9,2,FALSE)=0,"Spatial Data Missing",VLOOKUP(V73,'G-7 Rivers Data'!$AG$4:$AI$9,2,FALSE)))</f>
        <v/>
      </c>
      <c r="X73" s="176" t="str">
        <f>IF(V73="","",IF(VLOOKUP(V73,'G-7 Rivers Data'!$AG$4:$AI$9,3,FALSE)=0,"Spatial Data Missing",VLOOKUP(V73,'G-7 Rivers Data'!$AG$4:$AI$9,3,FALSE)))</f>
        <v/>
      </c>
      <c r="Y73" s="239" t="str">
        <f>IFERROR(IF(OR(LEFT(P73,5)="Error",LEFT(O73,5)="Error"),"Check Data",IF(F73&lt;S73,'G-7 Rivers Data'!$R$3,INDEX('G-7 Rivers Data'!$U$5:$Y$9,MATCH(G73,'G-7 Rivers Data'!$T$5:$T$9,0),MATCH(T73,'G-7 Rivers Data'!$U$4:$Y$4,0)))),"")</f>
        <v/>
      </c>
      <c r="Z73" s="275"/>
      <c r="AA73" s="275"/>
      <c r="AB73" s="175" t="str">
        <f t="shared" si="4"/>
        <v/>
      </c>
      <c r="AC73" s="262" t="str">
        <f t="shared" si="5"/>
        <v/>
      </c>
      <c r="AD73" s="382" t="str">
        <f>IFERROR(IF(AC73="Check Data","Check Data",VLOOKUP(AC73,'G-4 Temporal multipliers'!$A$4:$C$37,3,FALSE)),"")</f>
        <v/>
      </c>
      <c r="AE73" s="239" t="str">
        <f>IF(N73="","",VLOOKUP(N73,'G-7 Rivers Data'!$B$4:$G$8,5,FALSE))</f>
        <v/>
      </c>
      <c r="AF73" s="175" t="str">
        <f t="shared" si="6"/>
        <v/>
      </c>
      <c r="AG73" s="175" t="str">
        <f t="shared" si="7"/>
        <v/>
      </c>
      <c r="AH73" s="176" t="str">
        <f t="shared" si="2"/>
        <v/>
      </c>
      <c r="AI73" s="173"/>
      <c r="AJ73" s="172" t="str">
        <f>IF(AI73="","",IF(VLOOKUP(AI73,'G-7 Rivers Data'!$AA$4:$AB$7,2,FALSE)=0,"Spatial Data Missing",VLOOKUP(AI73,'G-7 Rivers Data'!$AA$4:$AB$7,2,FALSE)))</f>
        <v/>
      </c>
      <c r="AK73" s="187"/>
      <c r="AL73" s="172" t="str">
        <f>IF(AK73="","",IF(VLOOKUP(AK73,'G-7 Rivers Data'!$AD$4:$AE$8,2,FALSE)=0,"Spatial Data Missing",VLOOKUP(AK73,'G-7 Rivers Data'!$AD$4:$AE$8,2,FALSE)))</f>
        <v/>
      </c>
      <c r="AM73" s="186"/>
      <c r="AN73" s="176" t="str">
        <f>IF(AM73="","",VLOOKUP(AM73,'G-7 Rivers Data'!$AO$4:$AP$7,2,FALSE))</f>
        <v/>
      </c>
      <c r="AO73" s="265" t="str">
        <f t="shared" si="8"/>
        <v/>
      </c>
      <c r="AP73" s="180"/>
      <c r="AQ73" s="181"/>
      <c r="AX73" s="35" t="str">
        <f>IFERROR(INDEX('G-7 Rivers Data'!$AZ$3:$AZ$7,MATCH(N73,'G-7 Rivers Data'!$AY$3:$AY$7,0)),"")</f>
        <v/>
      </c>
    </row>
    <row r="74" spans="2:50" ht="13.8" x14ac:dyDescent="0.25">
      <c r="B74" s="259" t="str">
        <f>'F-1 Off Site River Baseline'!AN72</f>
        <v/>
      </c>
      <c r="C74" s="175" t="str">
        <f>IF(B74="","",VLOOKUP($B74,'F-1 Off Site River Baseline'!$C$9:$R$257,2,FALSE))</f>
        <v/>
      </c>
      <c r="D74" s="175" t="str">
        <f>IF(C74="","",VLOOKUP($B74,'F-1 Off Site River Baseline'!$C$9:$R$257,3,FALSE))</f>
        <v/>
      </c>
      <c r="E74" s="175" t="str">
        <f>IF(D74="","",VLOOKUP($B74,'F-1 Off Site River Baseline'!$C$9:$R$257,4,FALSE))</f>
        <v/>
      </c>
      <c r="F74" s="175" t="str">
        <f>IF(E74="","",VLOOKUP($B74,'F-1 Off Site River Baseline'!$C$9:$R$257,5,FALSE))</f>
        <v/>
      </c>
      <c r="G74" s="175" t="str">
        <f>IF(F74="","",VLOOKUP($B74,'F-1 Off Site River Baseline'!$C$9:$R$257,6,FALSE))</f>
        <v/>
      </c>
      <c r="H74" s="175" t="str">
        <f>IF(G74="","",VLOOKUP($B74,'F-1 Off Site River Baseline'!$C$9:$R$257,7,FALSE))</f>
        <v/>
      </c>
      <c r="I74" s="175" t="str">
        <f>IF(H74="","",VLOOKUP($B74,'F-1 Off Site River Baseline'!$C$9:$R$257,8,FALSE))</f>
        <v/>
      </c>
      <c r="J74" s="175" t="str">
        <f>IF(I74="","",VLOOKUP($B74,'F-1 Off Site River Baseline'!$C$9:$R$257,9,FALSE))</f>
        <v/>
      </c>
      <c r="K74" s="175" t="str">
        <f>IF(J74="","",VLOOKUP($B74,'F-1 Off Site River Baseline'!$C$9:$R$257,10,FALSE))</f>
        <v/>
      </c>
      <c r="L74" s="175" t="str">
        <f>IF(B74="","",VLOOKUP($B74,'C-1 Site River Baseline'!$C$9:$R$257,15,FALSE))</f>
        <v/>
      </c>
      <c r="M74" s="176" t="str">
        <f>IF(L74="","",VLOOKUP($B74,'F-1 Off Site River Baseline'!$C$9:$R$257,16,FALSE))</f>
        <v/>
      </c>
      <c r="N74" s="639" t="str">
        <f t="shared" si="0"/>
        <v/>
      </c>
      <c r="O74" s="171" t="str">
        <f t="shared" si="3"/>
        <v/>
      </c>
      <c r="P74" s="172" t="str">
        <f>IF(C74="","",IF(AND(LEFT(C74,55)&lt;&gt;LEFT(N74,55),O74="High - High"),"Error - Not like for like",IF(AND(F74=S74,H74&gt;U74),"Error - Can not reduce condition",IF(AND(F74=S74,H74=U74,AJ74='F-1 Off Site River Baseline'!N72,'F-1 Off Site River Baseline'!P72=AL74),"Error - No enhancement",IF(AND(C74&lt;&gt;N74,F74&lt;S74),"Lower Distinctiveness Habitat"&amp;" - "&amp;T74,G74&amp;" - "&amp;T74)))))</f>
        <v/>
      </c>
      <c r="Q74" s="260" t="str">
        <f>IF(N74="","",VLOOKUP(B74,'F-1 Off Site River Baseline'!$C$10:$AA$257,19,FALSE))</f>
        <v/>
      </c>
      <c r="R74" s="171" t="str">
        <f>IF(N74="","",VLOOKUP(N74,'G-7 Rivers Data'!$B$2:$G$8,2,FALSE))</f>
        <v/>
      </c>
      <c r="S74" s="172" t="str">
        <f>IFERROR(VLOOKUP(R74,'G-7 Rivers Data'!$C$4:$D$8,2,FALSE),"")</f>
        <v/>
      </c>
      <c r="T74" s="173"/>
      <c r="U74" s="172" t="str">
        <f>IFERROR(INDEX('G-7 Rivers Data'!$H$4:$L$8,MATCH(N74,'G-7 Rivers Data'!$B$4:$B$8,0),MATCH(T74,'G-7 Rivers Data'!$H$3:$L$3,0)),"")</f>
        <v/>
      </c>
      <c r="V74" s="186"/>
      <c r="W74" s="175" t="str">
        <f>IF(V74="","",IF(VLOOKUP(V74,'G-7 Rivers Data'!$AG$4:$AI$9,2,FALSE)=0,"Spatial Data Missing",VLOOKUP(V74,'G-7 Rivers Data'!$AG$4:$AI$9,2,FALSE)))</f>
        <v/>
      </c>
      <c r="X74" s="176" t="str">
        <f>IF(V74="","",IF(VLOOKUP(V74,'G-7 Rivers Data'!$AG$4:$AI$9,3,FALSE)=0,"Spatial Data Missing",VLOOKUP(V74,'G-7 Rivers Data'!$AG$4:$AI$9,3,FALSE)))</f>
        <v/>
      </c>
      <c r="Y74" s="239" t="str">
        <f>IFERROR(IF(OR(LEFT(P74,5)="Error",LEFT(O74,5)="Error"),"Check Data",IF(F74&lt;S74,'G-7 Rivers Data'!$R$3,INDEX('G-7 Rivers Data'!$U$5:$Y$9,MATCH(G74,'G-7 Rivers Data'!$T$5:$T$9,0),MATCH(T74,'G-7 Rivers Data'!$U$4:$Y$4,0)))),"")</f>
        <v/>
      </c>
      <c r="Z74" s="275"/>
      <c r="AA74" s="275"/>
      <c r="AB74" s="175" t="str">
        <f t="shared" si="4"/>
        <v/>
      </c>
      <c r="AC74" s="262" t="str">
        <f t="shared" si="5"/>
        <v/>
      </c>
      <c r="AD74" s="382" t="str">
        <f>IFERROR(IF(AC74="Check Data","Check Data",VLOOKUP(AC74,'G-4 Temporal multipliers'!$A$4:$C$37,3,FALSE)),"")</f>
        <v/>
      </c>
      <c r="AE74" s="239" t="str">
        <f>IF(N74="","",VLOOKUP(N74,'G-7 Rivers Data'!$B$4:$G$8,5,FALSE))</f>
        <v/>
      </c>
      <c r="AF74" s="175" t="str">
        <f t="shared" si="6"/>
        <v/>
      </c>
      <c r="AG74" s="175" t="str">
        <f t="shared" si="7"/>
        <v/>
      </c>
      <c r="AH74" s="176" t="str">
        <f t="shared" si="2"/>
        <v/>
      </c>
      <c r="AI74" s="173"/>
      <c r="AJ74" s="172" t="str">
        <f>IF(AI74="","",IF(VLOOKUP(AI74,'G-7 Rivers Data'!$AA$4:$AB$7,2,FALSE)=0,"Spatial Data Missing",VLOOKUP(AI74,'G-7 Rivers Data'!$AA$4:$AB$7,2,FALSE)))</f>
        <v/>
      </c>
      <c r="AK74" s="187"/>
      <c r="AL74" s="172" t="str">
        <f>IF(AK74="","",IF(VLOOKUP(AK74,'G-7 Rivers Data'!$AD$4:$AE$8,2,FALSE)=0,"Spatial Data Missing",VLOOKUP(AK74,'G-7 Rivers Data'!$AD$4:$AE$8,2,FALSE)))</f>
        <v/>
      </c>
      <c r="AM74" s="186"/>
      <c r="AN74" s="176" t="str">
        <f>IF(AM74="","",VLOOKUP(AM74,'G-7 Rivers Data'!$AO$4:$AP$7,2,FALSE))</f>
        <v/>
      </c>
      <c r="AO74" s="265" t="str">
        <f t="shared" si="8"/>
        <v/>
      </c>
      <c r="AP74" s="180"/>
      <c r="AQ74" s="181"/>
      <c r="AX74" s="35" t="str">
        <f>IFERROR(INDEX('G-7 Rivers Data'!$AZ$3:$AZ$7,MATCH(N74,'G-7 Rivers Data'!$AY$3:$AY$7,0)),"")</f>
        <v/>
      </c>
    </row>
    <row r="75" spans="2:50" ht="13.8" x14ac:dyDescent="0.25">
      <c r="B75" s="259" t="str">
        <f>'F-1 Off Site River Baseline'!AN73</f>
        <v/>
      </c>
      <c r="C75" s="175" t="str">
        <f>IF(B75="","",VLOOKUP($B75,'F-1 Off Site River Baseline'!$C$9:$R$257,2,FALSE))</f>
        <v/>
      </c>
      <c r="D75" s="175" t="str">
        <f>IF(C75="","",VLOOKUP($B75,'F-1 Off Site River Baseline'!$C$9:$R$257,3,FALSE))</f>
        <v/>
      </c>
      <c r="E75" s="175" t="str">
        <f>IF(D75="","",VLOOKUP($B75,'F-1 Off Site River Baseline'!$C$9:$R$257,4,FALSE))</f>
        <v/>
      </c>
      <c r="F75" s="175" t="str">
        <f>IF(E75="","",VLOOKUP($B75,'F-1 Off Site River Baseline'!$C$9:$R$257,5,FALSE))</f>
        <v/>
      </c>
      <c r="G75" s="175" t="str">
        <f>IF(F75="","",VLOOKUP($B75,'F-1 Off Site River Baseline'!$C$9:$R$257,6,FALSE))</f>
        <v/>
      </c>
      <c r="H75" s="175" t="str">
        <f>IF(G75="","",VLOOKUP($B75,'F-1 Off Site River Baseline'!$C$9:$R$257,7,FALSE))</f>
        <v/>
      </c>
      <c r="I75" s="175" t="str">
        <f>IF(H75="","",VLOOKUP($B75,'F-1 Off Site River Baseline'!$C$9:$R$257,8,FALSE))</f>
        <v/>
      </c>
      <c r="J75" s="175" t="str">
        <f>IF(I75="","",VLOOKUP($B75,'F-1 Off Site River Baseline'!$C$9:$R$257,9,FALSE))</f>
        <v/>
      </c>
      <c r="K75" s="175" t="str">
        <f>IF(J75="","",VLOOKUP($B75,'F-1 Off Site River Baseline'!$C$9:$R$257,10,FALSE))</f>
        <v/>
      </c>
      <c r="L75" s="175" t="str">
        <f>IF(B75="","",VLOOKUP($B75,'C-1 Site River Baseline'!$C$9:$R$257,15,FALSE))</f>
        <v/>
      </c>
      <c r="M75" s="176" t="str">
        <f>IF(L75="","",VLOOKUP($B75,'F-1 Off Site River Baseline'!$C$9:$R$257,16,FALSE))</f>
        <v/>
      </c>
      <c r="N75" s="639" t="str">
        <f t="shared" si="0"/>
        <v/>
      </c>
      <c r="O75" s="171" t="str">
        <f t="shared" si="3"/>
        <v/>
      </c>
      <c r="P75" s="172" t="str">
        <f>IF(C75="","",IF(AND(LEFT(C75,55)&lt;&gt;LEFT(N75,55),O75="High - High"),"Error - Not like for like",IF(AND(F75=S75,H75&gt;U75),"Error - Can not reduce condition",IF(AND(F75=S75,H75=U75,AJ75='F-1 Off Site River Baseline'!N73,'F-1 Off Site River Baseline'!P73=AL75),"Error - No enhancement",IF(AND(C75&lt;&gt;N75,F75&lt;S75),"Lower Distinctiveness Habitat"&amp;" - "&amp;T75,G75&amp;" - "&amp;T75)))))</f>
        <v/>
      </c>
      <c r="Q75" s="260" t="str">
        <f>IF(N75="","",VLOOKUP(B75,'F-1 Off Site River Baseline'!$C$10:$AA$257,19,FALSE))</f>
        <v/>
      </c>
      <c r="R75" s="171" t="str">
        <f>IF(N75="","",VLOOKUP(N75,'G-7 Rivers Data'!$B$2:$G$8,2,FALSE))</f>
        <v/>
      </c>
      <c r="S75" s="172" t="str">
        <f>IFERROR(VLOOKUP(R75,'G-7 Rivers Data'!$C$4:$D$8,2,FALSE),"")</f>
        <v/>
      </c>
      <c r="T75" s="173"/>
      <c r="U75" s="172" t="str">
        <f>IFERROR(INDEX('G-7 Rivers Data'!$H$4:$L$8,MATCH(N75,'G-7 Rivers Data'!$B$4:$B$8,0),MATCH(T75,'G-7 Rivers Data'!$H$3:$L$3,0)),"")</f>
        <v/>
      </c>
      <c r="V75" s="186"/>
      <c r="W75" s="175" t="str">
        <f>IF(V75="","",IF(VLOOKUP(V75,'G-7 Rivers Data'!$AG$4:$AI$9,2,FALSE)=0,"Spatial Data Missing",VLOOKUP(V75,'G-7 Rivers Data'!$AG$4:$AI$9,2,FALSE)))</f>
        <v/>
      </c>
      <c r="X75" s="176" t="str">
        <f>IF(V75="","",IF(VLOOKUP(V75,'G-7 Rivers Data'!$AG$4:$AI$9,3,FALSE)=0,"Spatial Data Missing",VLOOKUP(V75,'G-7 Rivers Data'!$AG$4:$AI$9,3,FALSE)))</f>
        <v/>
      </c>
      <c r="Y75" s="239" t="str">
        <f>IFERROR(IF(OR(LEFT(P75,5)="Error",LEFT(O75,5)="Error"),"Check Data",IF(F75&lt;S75,'G-7 Rivers Data'!$R$3,INDEX('G-7 Rivers Data'!$U$5:$Y$9,MATCH(G75,'G-7 Rivers Data'!$T$5:$T$9,0),MATCH(T75,'G-7 Rivers Data'!$U$4:$Y$4,0)))),"")</f>
        <v/>
      </c>
      <c r="Z75" s="275"/>
      <c r="AA75" s="275"/>
      <c r="AB75" s="175" t="str">
        <f t="shared" si="4"/>
        <v/>
      </c>
      <c r="AC75" s="262" t="str">
        <f t="shared" si="5"/>
        <v/>
      </c>
      <c r="AD75" s="382" t="str">
        <f>IFERROR(IF(AC75="Check Data","Check Data",VLOOKUP(AC75,'G-4 Temporal multipliers'!$A$4:$C$37,3,FALSE)),"")</f>
        <v/>
      </c>
      <c r="AE75" s="239" t="str">
        <f>IF(N75="","",VLOOKUP(N75,'G-7 Rivers Data'!$B$4:$G$8,5,FALSE))</f>
        <v/>
      </c>
      <c r="AF75" s="175" t="str">
        <f t="shared" si="6"/>
        <v/>
      </c>
      <c r="AG75" s="175" t="str">
        <f t="shared" si="7"/>
        <v/>
      </c>
      <c r="AH75" s="176" t="str">
        <f t="shared" si="2"/>
        <v/>
      </c>
      <c r="AI75" s="173"/>
      <c r="AJ75" s="172" t="str">
        <f>IF(AI75="","",IF(VLOOKUP(AI75,'G-7 Rivers Data'!$AA$4:$AB$7,2,FALSE)=0,"Spatial Data Missing",VLOOKUP(AI75,'G-7 Rivers Data'!$AA$4:$AB$7,2,FALSE)))</f>
        <v/>
      </c>
      <c r="AK75" s="187"/>
      <c r="AL75" s="172" t="str">
        <f>IF(AK75="","",IF(VLOOKUP(AK75,'G-7 Rivers Data'!$AD$4:$AE$8,2,FALSE)=0,"Spatial Data Missing",VLOOKUP(AK75,'G-7 Rivers Data'!$AD$4:$AE$8,2,FALSE)))</f>
        <v/>
      </c>
      <c r="AM75" s="186"/>
      <c r="AN75" s="176" t="str">
        <f>IF(AM75="","",VLOOKUP(AM75,'G-7 Rivers Data'!$AO$4:$AP$7,2,FALSE))</f>
        <v/>
      </c>
      <c r="AO75" s="265" t="str">
        <f t="shared" si="8"/>
        <v/>
      </c>
      <c r="AP75" s="180"/>
      <c r="AQ75" s="181"/>
      <c r="AX75" s="35" t="str">
        <f>IFERROR(INDEX('G-7 Rivers Data'!$AZ$3:$AZ$7,MATCH(N75,'G-7 Rivers Data'!$AY$3:$AY$7,0)),"")</f>
        <v/>
      </c>
    </row>
    <row r="76" spans="2:50" ht="13.8" x14ac:dyDescent="0.25">
      <c r="B76" s="259" t="str">
        <f>'F-1 Off Site River Baseline'!AN74</f>
        <v/>
      </c>
      <c r="C76" s="175" t="str">
        <f>IF(B76="","",VLOOKUP($B76,'F-1 Off Site River Baseline'!$C$9:$R$257,2,FALSE))</f>
        <v/>
      </c>
      <c r="D76" s="175" t="str">
        <f>IF(C76="","",VLOOKUP($B76,'F-1 Off Site River Baseline'!$C$9:$R$257,3,FALSE))</f>
        <v/>
      </c>
      <c r="E76" s="175" t="str">
        <f>IF(D76="","",VLOOKUP($B76,'F-1 Off Site River Baseline'!$C$9:$R$257,4,FALSE))</f>
        <v/>
      </c>
      <c r="F76" s="175" t="str">
        <f>IF(E76="","",VLOOKUP($B76,'F-1 Off Site River Baseline'!$C$9:$R$257,5,FALSE))</f>
        <v/>
      </c>
      <c r="G76" s="175" t="str">
        <f>IF(F76="","",VLOOKUP($B76,'F-1 Off Site River Baseline'!$C$9:$R$257,6,FALSE))</f>
        <v/>
      </c>
      <c r="H76" s="175" t="str">
        <f>IF(G76="","",VLOOKUP($B76,'F-1 Off Site River Baseline'!$C$9:$R$257,7,FALSE))</f>
        <v/>
      </c>
      <c r="I76" s="175" t="str">
        <f>IF(H76="","",VLOOKUP($B76,'F-1 Off Site River Baseline'!$C$9:$R$257,8,FALSE))</f>
        <v/>
      </c>
      <c r="J76" s="175" t="str">
        <f>IF(I76="","",VLOOKUP($B76,'F-1 Off Site River Baseline'!$C$9:$R$257,9,FALSE))</f>
        <v/>
      </c>
      <c r="K76" s="175" t="str">
        <f>IF(J76="","",VLOOKUP($B76,'F-1 Off Site River Baseline'!$C$9:$R$257,10,FALSE))</f>
        <v/>
      </c>
      <c r="L76" s="175" t="str">
        <f>IF(B76="","",VLOOKUP($B76,'C-1 Site River Baseline'!$C$9:$R$257,15,FALSE))</f>
        <v/>
      </c>
      <c r="M76" s="176" t="str">
        <f>IF(L76="","",VLOOKUP($B76,'F-1 Off Site River Baseline'!$C$9:$R$257,16,FALSE))</f>
        <v/>
      </c>
      <c r="N76" s="639" t="str">
        <f t="shared" si="0"/>
        <v/>
      </c>
      <c r="O76" s="171" t="str">
        <f t="shared" si="3"/>
        <v/>
      </c>
      <c r="P76" s="172" t="str">
        <f>IF(C76="","",IF(AND(LEFT(C76,55)&lt;&gt;LEFT(N76,55),O76="High - High"),"Error - Not like for like",IF(AND(F76=S76,H76&gt;U76),"Error - Can not reduce condition",IF(AND(F76=S76,H76=U76,AJ76='F-1 Off Site River Baseline'!N74,'F-1 Off Site River Baseline'!P74=AL76),"Error - No enhancement",IF(AND(C76&lt;&gt;N76,F76&lt;S76),"Lower Distinctiveness Habitat"&amp;" - "&amp;T76,G76&amp;" - "&amp;T76)))))</f>
        <v/>
      </c>
      <c r="Q76" s="260" t="str">
        <f>IF(N76="","",VLOOKUP(B76,'F-1 Off Site River Baseline'!$C$10:$AA$257,19,FALSE))</f>
        <v/>
      </c>
      <c r="R76" s="171" t="str">
        <f>IF(N76="","",VLOOKUP(N76,'G-7 Rivers Data'!$B$2:$G$8,2,FALSE))</f>
        <v/>
      </c>
      <c r="S76" s="172" t="str">
        <f>IFERROR(VLOOKUP(R76,'G-7 Rivers Data'!$C$4:$D$8,2,FALSE),"")</f>
        <v/>
      </c>
      <c r="T76" s="173"/>
      <c r="U76" s="172" t="str">
        <f>IFERROR(INDEX('G-7 Rivers Data'!$H$4:$L$8,MATCH(N76,'G-7 Rivers Data'!$B$4:$B$8,0),MATCH(T76,'G-7 Rivers Data'!$H$3:$L$3,0)),"")</f>
        <v/>
      </c>
      <c r="V76" s="186"/>
      <c r="W76" s="175" t="str">
        <f>IF(V76="","",IF(VLOOKUP(V76,'G-7 Rivers Data'!$AG$4:$AI$9,2,FALSE)=0,"Spatial Data Missing",VLOOKUP(V76,'G-7 Rivers Data'!$AG$4:$AI$9,2,FALSE)))</f>
        <v/>
      </c>
      <c r="X76" s="176" t="str">
        <f>IF(V76="","",IF(VLOOKUP(V76,'G-7 Rivers Data'!$AG$4:$AI$9,3,FALSE)=0,"Spatial Data Missing",VLOOKUP(V76,'G-7 Rivers Data'!$AG$4:$AI$9,3,FALSE)))</f>
        <v/>
      </c>
      <c r="Y76" s="239" t="str">
        <f>IFERROR(IF(OR(LEFT(P76,5)="Error",LEFT(O76,5)="Error"),"Check Data",IF(F76&lt;S76,'G-7 Rivers Data'!$R$3,INDEX('G-7 Rivers Data'!$U$5:$Y$9,MATCH(G76,'G-7 Rivers Data'!$T$5:$T$9,0),MATCH(T76,'G-7 Rivers Data'!$U$4:$Y$4,0)))),"")</f>
        <v/>
      </c>
      <c r="Z76" s="275"/>
      <c r="AA76" s="275"/>
      <c r="AB76" s="175" t="str">
        <f t="shared" si="4"/>
        <v/>
      </c>
      <c r="AC76" s="262" t="str">
        <f t="shared" si="5"/>
        <v/>
      </c>
      <c r="AD76" s="382" t="str">
        <f>IFERROR(IF(AC76="Check Data","Check Data",VLOOKUP(AC76,'G-4 Temporal multipliers'!$A$4:$C$37,3,FALSE)),"")</f>
        <v/>
      </c>
      <c r="AE76" s="239" t="str">
        <f>IF(N76="","",VLOOKUP(N76,'G-7 Rivers Data'!$B$4:$G$8,5,FALSE))</f>
        <v/>
      </c>
      <c r="AF76" s="175" t="str">
        <f t="shared" si="6"/>
        <v/>
      </c>
      <c r="AG76" s="175" t="str">
        <f t="shared" si="7"/>
        <v/>
      </c>
      <c r="AH76" s="176" t="str">
        <f t="shared" ref="AH76:AH139" si="9">IF(N76="","",VLOOKUP(AE76,Difficulty,2,FALSE))</f>
        <v/>
      </c>
      <c r="AI76" s="173"/>
      <c r="AJ76" s="172" t="str">
        <f>IF(AI76="","",IF(VLOOKUP(AI76,'G-7 Rivers Data'!$AA$4:$AB$7,2,FALSE)=0,"Spatial Data Missing",VLOOKUP(AI76,'G-7 Rivers Data'!$AA$4:$AB$7,2,FALSE)))</f>
        <v/>
      </c>
      <c r="AK76" s="187"/>
      <c r="AL76" s="172" t="str">
        <f>IF(AK76="","",IF(VLOOKUP(AK76,'G-7 Rivers Data'!$AD$4:$AE$8,2,FALSE)=0,"Spatial Data Missing",VLOOKUP(AK76,'G-7 Rivers Data'!$AD$4:$AE$8,2,FALSE)))</f>
        <v/>
      </c>
      <c r="AM76" s="186"/>
      <c r="AN76" s="176" t="str">
        <f>IF(AM76="","",VLOOKUP(AM76,'G-7 Rivers Data'!$AO$4:$AP$7,2,FALSE))</f>
        <v/>
      </c>
      <c r="AO76" s="265" t="str">
        <f t="shared" si="8"/>
        <v/>
      </c>
      <c r="AP76" s="180"/>
      <c r="AQ76" s="181"/>
      <c r="AX76" s="35" t="str">
        <f>IFERROR(INDEX('G-7 Rivers Data'!$AZ$3:$AZ$7,MATCH(N76,'G-7 Rivers Data'!$AY$3:$AY$7,0)),"")</f>
        <v/>
      </c>
    </row>
    <row r="77" spans="2:50" ht="13.8" x14ac:dyDescent="0.25">
      <c r="B77" s="259" t="str">
        <f>'F-1 Off Site River Baseline'!AN75</f>
        <v/>
      </c>
      <c r="C77" s="175" t="str">
        <f>IF(B77="","",VLOOKUP($B77,'F-1 Off Site River Baseline'!$C$9:$R$257,2,FALSE))</f>
        <v/>
      </c>
      <c r="D77" s="175" t="str">
        <f>IF(C77="","",VLOOKUP($B77,'F-1 Off Site River Baseline'!$C$9:$R$257,3,FALSE))</f>
        <v/>
      </c>
      <c r="E77" s="175" t="str">
        <f>IF(D77="","",VLOOKUP($B77,'F-1 Off Site River Baseline'!$C$9:$R$257,4,FALSE))</f>
        <v/>
      </c>
      <c r="F77" s="175" t="str">
        <f>IF(E77="","",VLOOKUP($B77,'F-1 Off Site River Baseline'!$C$9:$R$257,5,FALSE))</f>
        <v/>
      </c>
      <c r="G77" s="175" t="str">
        <f>IF(F77="","",VLOOKUP($B77,'F-1 Off Site River Baseline'!$C$9:$R$257,6,FALSE))</f>
        <v/>
      </c>
      <c r="H77" s="175" t="str">
        <f>IF(G77="","",VLOOKUP($B77,'F-1 Off Site River Baseline'!$C$9:$R$257,7,FALSE))</f>
        <v/>
      </c>
      <c r="I77" s="175" t="str">
        <f>IF(H77="","",VLOOKUP($B77,'F-1 Off Site River Baseline'!$C$9:$R$257,8,FALSE))</f>
        <v/>
      </c>
      <c r="J77" s="175" t="str">
        <f>IF(I77="","",VLOOKUP($B77,'F-1 Off Site River Baseline'!$C$9:$R$257,9,FALSE))</f>
        <v/>
      </c>
      <c r="K77" s="175" t="str">
        <f>IF(J77="","",VLOOKUP($B77,'F-1 Off Site River Baseline'!$C$9:$R$257,10,FALSE))</f>
        <v/>
      </c>
      <c r="L77" s="175" t="str">
        <f>IF(B77="","",VLOOKUP($B77,'C-1 Site River Baseline'!$C$9:$R$257,15,FALSE))</f>
        <v/>
      </c>
      <c r="M77" s="176" t="str">
        <f>IF(L77="","",VLOOKUP($B77,'F-1 Off Site River Baseline'!$C$9:$R$257,16,FALSE))</f>
        <v/>
      </c>
      <c r="N77" s="639" t="str">
        <f t="shared" ref="N77:N140" si="10">C77</f>
        <v/>
      </c>
      <c r="O77" s="171" t="str">
        <f t="shared" ref="O77:O140" si="11">IF(B77="","",IF(S77&lt;F77,"Error Trading Down",E77&amp;" - "&amp;R77))</f>
        <v/>
      </c>
      <c r="P77" s="172" t="str">
        <f>IF(C77="","",IF(AND(LEFT(C77,55)&lt;&gt;LEFT(N77,55),O77="High - High"),"Error - Not like for like",IF(AND(F77=S77,H77&gt;U77),"Error - Can not reduce condition",IF(AND(F77=S77,H77=U77,AJ77='F-1 Off Site River Baseline'!N75,'F-1 Off Site River Baseline'!P75=AL77),"Error - No enhancement",IF(AND(C77&lt;&gt;N77,F77&lt;S77),"Lower Distinctiveness Habitat"&amp;" - "&amp;T77,G77&amp;" - "&amp;T77)))))</f>
        <v/>
      </c>
      <c r="Q77" s="260" t="str">
        <f>IF(N77="","",VLOOKUP(B77,'F-1 Off Site River Baseline'!$C$10:$AA$257,19,FALSE))</f>
        <v/>
      </c>
      <c r="R77" s="171" t="str">
        <f>IF(N77="","",VLOOKUP(N77,'G-7 Rivers Data'!$B$2:$G$8,2,FALSE))</f>
        <v/>
      </c>
      <c r="S77" s="172" t="str">
        <f>IFERROR(VLOOKUP(R77,'G-7 Rivers Data'!$C$4:$D$8,2,FALSE),"")</f>
        <v/>
      </c>
      <c r="T77" s="173"/>
      <c r="U77" s="172" t="str">
        <f>IFERROR(INDEX('G-7 Rivers Data'!$H$4:$L$8,MATCH(N77,'G-7 Rivers Data'!$B$4:$B$8,0),MATCH(T77,'G-7 Rivers Data'!$H$3:$L$3,0)),"")</f>
        <v/>
      </c>
      <c r="V77" s="186"/>
      <c r="W77" s="175" t="str">
        <f>IF(V77="","",IF(VLOOKUP(V77,'G-7 Rivers Data'!$AG$4:$AI$9,2,FALSE)=0,"Spatial Data Missing",VLOOKUP(V77,'G-7 Rivers Data'!$AG$4:$AI$9,2,FALSE)))</f>
        <v/>
      </c>
      <c r="X77" s="176" t="str">
        <f>IF(V77="","",IF(VLOOKUP(V77,'G-7 Rivers Data'!$AG$4:$AI$9,3,FALSE)=0,"Spatial Data Missing",VLOOKUP(V77,'G-7 Rivers Data'!$AG$4:$AI$9,3,FALSE)))</f>
        <v/>
      </c>
      <c r="Y77" s="239" t="str">
        <f>IFERROR(IF(OR(LEFT(P77,5)="Error",LEFT(O77,5)="Error"),"Check Data",IF(F77&lt;S77,'G-7 Rivers Data'!$R$3,INDEX('G-7 Rivers Data'!$U$5:$Y$9,MATCH(G77,'G-7 Rivers Data'!$T$5:$T$9,0),MATCH(T77,'G-7 Rivers Data'!$U$4:$Y$4,0)))),"")</f>
        <v/>
      </c>
      <c r="Z77" s="275"/>
      <c r="AA77" s="275"/>
      <c r="AB77" s="175" t="str">
        <f t="shared" ref="AB77:AB140" si="12">IF(Y77="","",IF(Y77="Check Data","Check Data",IF(AND(Z77&gt;0,AA77&gt;0),"Error -both advance and delayed habitat creation",IF(AND(OR(Z77="Habitat already in target condition",Y77&lt;=Z77),AA77=0),"Check details - Is there evidence that habitat has reached target condition?",IF(Z77&gt;0,"Check details - Is there evidence habitat creation started/in place?",IF(AA77&gt;0,"Check details- Delay in starting habitat in required condition?","Standard time to target condition applied"))))))</f>
        <v/>
      </c>
      <c r="AC77" s="262" t="str">
        <f t="shared" ref="AC77:AC140" si="13">IF(LEFT(AB77,5)="Error","Check Data",IF(AB77="Check Data","Check Data",IF(Y77="","",IF(Z77="30+",0,IF(AA77="30+","30+",IF(Y77+AA77&gt;30,"30+",IF(Y77+AA77-Z77&gt;0,Y77+AA77-Z77,IF(Y77-Z77&lt;0,0,Y77+AA77-Z77))))))))</f>
        <v/>
      </c>
      <c r="AD77" s="382" t="str">
        <f>IFERROR(IF(AC77="Check Data","Check Data",VLOOKUP(AC77,'G-4 Temporal multipliers'!$A$4:$C$37,3,FALSE)),"")</f>
        <v/>
      </c>
      <c r="AE77" s="239" t="str">
        <f>IF(N77="","",VLOOKUP(N77,'G-7 Rivers Data'!$B$4:$G$8,5,FALSE))</f>
        <v/>
      </c>
      <c r="AF77" s="175" t="str">
        <f t="shared" ref="AF77:AF140" si="14">IF(N77="","",IF(AC77="Check Data","Check Data",IF(T77="","",IF($AB77="Check details - Is there evidence that habitat has reached target condition?","Low Difficulty - only applicable if all habitat created before losses","Standard difficulty applied"))))</f>
        <v/>
      </c>
      <c r="AG77" s="175" t="str">
        <f t="shared" ref="AG77:AG140" si="15">(IF(AND(AF77="Standard difficulty applied",Y77&gt;Z77),AE77,IF(AND(AF77="Low Difficulty - only applicable if all habitat created before losses",Z77&gt;=Y77),"Low",AE77)))</f>
        <v/>
      </c>
      <c r="AH77" s="176" t="str">
        <f t="shared" si="9"/>
        <v/>
      </c>
      <c r="AI77" s="173"/>
      <c r="AJ77" s="172" t="str">
        <f>IF(AI77="","",IF(VLOOKUP(AI77,'G-7 Rivers Data'!$AA$4:$AB$7,2,FALSE)=0,"Spatial Data Missing",VLOOKUP(AI77,'G-7 Rivers Data'!$AA$4:$AB$7,2,FALSE)))</f>
        <v/>
      </c>
      <c r="AK77" s="187"/>
      <c r="AL77" s="172" t="str">
        <f>IF(AK77="","",IF(VLOOKUP(AK77,'G-7 Rivers Data'!$AD$4:$AE$8,2,FALSE)=0,"Spatial Data Missing",VLOOKUP(AK77,'G-7 Rivers Data'!$AD$4:$AE$8,2,FALSE)))</f>
        <v/>
      </c>
      <c r="AM77" s="186"/>
      <c r="AN77" s="176" t="str">
        <f>IF(AM77="","",VLOOKUP(AM77,'G-7 Rivers Data'!$AO$4:$AP$7,2,FALSE))</f>
        <v/>
      </c>
      <c r="AO77" s="265" t="str">
        <f t="shared" ref="AO77:AO140" si="16">IFERROR(IF(C77="","",IF(Q77&gt;D77,((((Q77*S77*U77)-(D77*F77*H77))*(AH77*AD77))+(D77*F77*H77))*(AL77*X77*AJ77*AN77),((((Q77*S77*U77)-(Q77*F77*H77))*(AH77*AD77))+(Q77*F77*H77))*(AL77*X77*AJ77*AN77))),"")</f>
        <v/>
      </c>
      <c r="AP77" s="180"/>
      <c r="AQ77" s="181"/>
      <c r="AX77" s="35" t="str">
        <f>IFERROR(INDEX('G-7 Rivers Data'!$AZ$3:$AZ$7,MATCH(N77,'G-7 Rivers Data'!$AY$3:$AY$7,0)),"")</f>
        <v/>
      </c>
    </row>
    <row r="78" spans="2:50" ht="13.8" x14ac:dyDescent="0.25">
      <c r="B78" s="259" t="str">
        <f>'F-1 Off Site River Baseline'!AN76</f>
        <v/>
      </c>
      <c r="C78" s="175" t="str">
        <f>IF(B78="","",VLOOKUP($B78,'F-1 Off Site River Baseline'!$C$9:$R$257,2,FALSE))</f>
        <v/>
      </c>
      <c r="D78" s="175" t="str">
        <f>IF(C78="","",VLOOKUP($B78,'F-1 Off Site River Baseline'!$C$9:$R$257,3,FALSE))</f>
        <v/>
      </c>
      <c r="E78" s="175" t="str">
        <f>IF(D78="","",VLOOKUP($B78,'F-1 Off Site River Baseline'!$C$9:$R$257,4,FALSE))</f>
        <v/>
      </c>
      <c r="F78" s="175" t="str">
        <f>IF(E78="","",VLOOKUP($B78,'F-1 Off Site River Baseline'!$C$9:$R$257,5,FALSE))</f>
        <v/>
      </c>
      <c r="G78" s="175" t="str">
        <f>IF(F78="","",VLOOKUP($B78,'F-1 Off Site River Baseline'!$C$9:$R$257,6,FALSE))</f>
        <v/>
      </c>
      <c r="H78" s="175" t="str">
        <f>IF(G78="","",VLOOKUP($B78,'F-1 Off Site River Baseline'!$C$9:$R$257,7,FALSE))</f>
        <v/>
      </c>
      <c r="I78" s="175" t="str">
        <f>IF(H78="","",VLOOKUP($B78,'F-1 Off Site River Baseline'!$C$9:$R$257,8,FALSE))</f>
        <v/>
      </c>
      <c r="J78" s="175" t="str">
        <f>IF(I78="","",VLOOKUP($B78,'F-1 Off Site River Baseline'!$C$9:$R$257,9,FALSE))</f>
        <v/>
      </c>
      <c r="K78" s="175" t="str">
        <f>IF(J78="","",VLOOKUP($B78,'F-1 Off Site River Baseline'!$C$9:$R$257,10,FALSE))</f>
        <v/>
      </c>
      <c r="L78" s="175" t="str">
        <f>IF(B78="","",VLOOKUP($B78,'C-1 Site River Baseline'!$C$9:$R$257,15,FALSE))</f>
        <v/>
      </c>
      <c r="M78" s="176" t="str">
        <f>IF(L78="","",VLOOKUP($B78,'F-1 Off Site River Baseline'!$C$9:$R$257,16,FALSE))</f>
        <v/>
      </c>
      <c r="N78" s="639" t="str">
        <f t="shared" si="10"/>
        <v/>
      </c>
      <c r="O78" s="171" t="str">
        <f t="shared" si="11"/>
        <v/>
      </c>
      <c r="P78" s="172" t="str">
        <f>IF(C78="","",IF(AND(LEFT(C78,55)&lt;&gt;LEFT(N78,55),O78="High - High"),"Error - Not like for like",IF(AND(F78=S78,H78&gt;U78),"Error - Can not reduce condition",IF(AND(F78=S78,H78=U78,AJ78='F-1 Off Site River Baseline'!N76,'F-1 Off Site River Baseline'!P76=AL78),"Error - No enhancement",IF(AND(C78&lt;&gt;N78,F78&lt;S78),"Lower Distinctiveness Habitat"&amp;" - "&amp;T78,G78&amp;" - "&amp;T78)))))</f>
        <v/>
      </c>
      <c r="Q78" s="260" t="str">
        <f>IF(N78="","",VLOOKUP(B78,'F-1 Off Site River Baseline'!$C$10:$AA$257,19,FALSE))</f>
        <v/>
      </c>
      <c r="R78" s="171" t="str">
        <f>IF(N78="","",VLOOKUP(N78,'G-7 Rivers Data'!$B$2:$G$8,2,FALSE))</f>
        <v/>
      </c>
      <c r="S78" s="172" t="str">
        <f>IFERROR(VLOOKUP(R78,'G-7 Rivers Data'!$C$4:$D$8,2,FALSE),"")</f>
        <v/>
      </c>
      <c r="T78" s="173"/>
      <c r="U78" s="172" t="str">
        <f>IFERROR(INDEX('G-7 Rivers Data'!$H$4:$L$8,MATCH(N78,'G-7 Rivers Data'!$B$4:$B$8,0),MATCH(T78,'G-7 Rivers Data'!$H$3:$L$3,0)),"")</f>
        <v/>
      </c>
      <c r="V78" s="186"/>
      <c r="W78" s="175" t="str">
        <f>IF(V78="","",IF(VLOOKUP(V78,'G-7 Rivers Data'!$AG$4:$AI$9,2,FALSE)=0,"Spatial Data Missing",VLOOKUP(V78,'G-7 Rivers Data'!$AG$4:$AI$9,2,FALSE)))</f>
        <v/>
      </c>
      <c r="X78" s="176" t="str">
        <f>IF(V78="","",IF(VLOOKUP(V78,'G-7 Rivers Data'!$AG$4:$AI$9,3,FALSE)=0,"Spatial Data Missing",VLOOKUP(V78,'G-7 Rivers Data'!$AG$4:$AI$9,3,FALSE)))</f>
        <v/>
      </c>
      <c r="Y78" s="239" t="str">
        <f>IFERROR(IF(OR(LEFT(P78,5)="Error",LEFT(O78,5)="Error"),"Check Data",IF(F78&lt;S78,'G-7 Rivers Data'!$R$3,INDEX('G-7 Rivers Data'!$U$5:$Y$9,MATCH(G78,'G-7 Rivers Data'!$T$5:$T$9,0),MATCH(T78,'G-7 Rivers Data'!$U$4:$Y$4,0)))),"")</f>
        <v/>
      </c>
      <c r="Z78" s="275"/>
      <c r="AA78" s="275"/>
      <c r="AB78" s="175" t="str">
        <f t="shared" si="12"/>
        <v/>
      </c>
      <c r="AC78" s="262" t="str">
        <f t="shared" si="13"/>
        <v/>
      </c>
      <c r="AD78" s="382" t="str">
        <f>IFERROR(IF(AC78="Check Data","Check Data",VLOOKUP(AC78,'G-4 Temporal multipliers'!$A$4:$C$37,3,FALSE)),"")</f>
        <v/>
      </c>
      <c r="AE78" s="239" t="str">
        <f>IF(N78="","",VLOOKUP(N78,'G-7 Rivers Data'!$B$4:$G$8,5,FALSE))</f>
        <v/>
      </c>
      <c r="AF78" s="175" t="str">
        <f t="shared" si="14"/>
        <v/>
      </c>
      <c r="AG78" s="175" t="str">
        <f t="shared" si="15"/>
        <v/>
      </c>
      <c r="AH78" s="176" t="str">
        <f t="shared" si="9"/>
        <v/>
      </c>
      <c r="AI78" s="173"/>
      <c r="AJ78" s="172" t="str">
        <f>IF(AI78="","",IF(VLOOKUP(AI78,'G-7 Rivers Data'!$AA$4:$AB$7,2,FALSE)=0,"Spatial Data Missing",VLOOKUP(AI78,'G-7 Rivers Data'!$AA$4:$AB$7,2,FALSE)))</f>
        <v/>
      </c>
      <c r="AK78" s="187"/>
      <c r="AL78" s="172" t="str">
        <f>IF(AK78="","",IF(VLOOKUP(AK78,'G-7 Rivers Data'!$AD$4:$AE$8,2,FALSE)=0,"Spatial Data Missing",VLOOKUP(AK78,'G-7 Rivers Data'!$AD$4:$AE$8,2,FALSE)))</f>
        <v/>
      </c>
      <c r="AM78" s="186"/>
      <c r="AN78" s="176" t="str">
        <f>IF(AM78="","",VLOOKUP(AM78,'G-7 Rivers Data'!$AO$4:$AP$7,2,FALSE))</f>
        <v/>
      </c>
      <c r="AO78" s="265" t="str">
        <f t="shared" si="16"/>
        <v/>
      </c>
      <c r="AP78" s="180"/>
      <c r="AQ78" s="181"/>
      <c r="AX78" s="35" t="str">
        <f>IFERROR(INDEX('G-7 Rivers Data'!$AZ$3:$AZ$7,MATCH(N78,'G-7 Rivers Data'!$AY$3:$AY$7,0)),"")</f>
        <v/>
      </c>
    </row>
    <row r="79" spans="2:50" ht="13.8" x14ac:dyDescent="0.25">
      <c r="B79" s="259" t="str">
        <f>'F-1 Off Site River Baseline'!AN77</f>
        <v/>
      </c>
      <c r="C79" s="175" t="str">
        <f>IF(B79="","",VLOOKUP($B79,'F-1 Off Site River Baseline'!$C$9:$R$257,2,FALSE))</f>
        <v/>
      </c>
      <c r="D79" s="175" t="str">
        <f>IF(C79="","",VLOOKUP($B79,'F-1 Off Site River Baseline'!$C$9:$R$257,3,FALSE))</f>
        <v/>
      </c>
      <c r="E79" s="175" t="str">
        <f>IF(D79="","",VLOOKUP($B79,'F-1 Off Site River Baseline'!$C$9:$R$257,4,FALSE))</f>
        <v/>
      </c>
      <c r="F79" s="175" t="str">
        <f>IF(E79="","",VLOOKUP($B79,'F-1 Off Site River Baseline'!$C$9:$R$257,5,FALSE))</f>
        <v/>
      </c>
      <c r="G79" s="175" t="str">
        <f>IF(F79="","",VLOOKUP($B79,'F-1 Off Site River Baseline'!$C$9:$R$257,6,FALSE))</f>
        <v/>
      </c>
      <c r="H79" s="175" t="str">
        <f>IF(G79="","",VLOOKUP($B79,'F-1 Off Site River Baseline'!$C$9:$R$257,7,FALSE))</f>
        <v/>
      </c>
      <c r="I79" s="175" t="str">
        <f>IF(H79="","",VLOOKUP($B79,'F-1 Off Site River Baseline'!$C$9:$R$257,8,FALSE))</f>
        <v/>
      </c>
      <c r="J79" s="175" t="str">
        <f>IF(I79="","",VLOOKUP($B79,'F-1 Off Site River Baseline'!$C$9:$R$257,9,FALSE))</f>
        <v/>
      </c>
      <c r="K79" s="175" t="str">
        <f>IF(J79="","",VLOOKUP($B79,'F-1 Off Site River Baseline'!$C$9:$R$257,10,FALSE))</f>
        <v/>
      </c>
      <c r="L79" s="175" t="str">
        <f>IF(B79="","",VLOOKUP($B79,'C-1 Site River Baseline'!$C$9:$R$257,15,FALSE))</f>
        <v/>
      </c>
      <c r="M79" s="176" t="str">
        <f>IF(L79="","",VLOOKUP($B79,'F-1 Off Site River Baseline'!$C$9:$R$257,16,FALSE))</f>
        <v/>
      </c>
      <c r="N79" s="639" t="str">
        <f t="shared" si="10"/>
        <v/>
      </c>
      <c r="O79" s="171" t="str">
        <f t="shared" si="11"/>
        <v/>
      </c>
      <c r="P79" s="172" t="str">
        <f>IF(C79="","",IF(AND(LEFT(C79,55)&lt;&gt;LEFT(N79,55),O79="High - High"),"Error - Not like for like",IF(AND(F79=S79,H79&gt;U79),"Error - Can not reduce condition",IF(AND(F79=S79,H79=U79,AJ79='F-1 Off Site River Baseline'!N77,'F-1 Off Site River Baseline'!P77=AL79),"Error - No enhancement",IF(AND(C79&lt;&gt;N79,F79&lt;S79),"Lower Distinctiveness Habitat"&amp;" - "&amp;T79,G79&amp;" - "&amp;T79)))))</f>
        <v/>
      </c>
      <c r="Q79" s="260" t="str">
        <f>IF(N79="","",VLOOKUP(B79,'F-1 Off Site River Baseline'!$C$10:$AA$257,19,FALSE))</f>
        <v/>
      </c>
      <c r="R79" s="171" t="str">
        <f>IF(N79="","",VLOOKUP(N79,'G-7 Rivers Data'!$B$2:$G$8,2,FALSE))</f>
        <v/>
      </c>
      <c r="S79" s="172" t="str">
        <f>IFERROR(VLOOKUP(R79,'G-7 Rivers Data'!$C$4:$D$8,2,FALSE),"")</f>
        <v/>
      </c>
      <c r="T79" s="173"/>
      <c r="U79" s="172" t="str">
        <f>IFERROR(INDEX('G-7 Rivers Data'!$H$4:$L$8,MATCH(N79,'G-7 Rivers Data'!$B$4:$B$8,0),MATCH(T79,'G-7 Rivers Data'!$H$3:$L$3,0)),"")</f>
        <v/>
      </c>
      <c r="V79" s="186"/>
      <c r="W79" s="175" t="str">
        <f>IF(V79="","",IF(VLOOKUP(V79,'G-7 Rivers Data'!$AG$4:$AI$9,2,FALSE)=0,"Spatial Data Missing",VLOOKUP(V79,'G-7 Rivers Data'!$AG$4:$AI$9,2,FALSE)))</f>
        <v/>
      </c>
      <c r="X79" s="176" t="str">
        <f>IF(V79="","",IF(VLOOKUP(V79,'G-7 Rivers Data'!$AG$4:$AI$9,3,FALSE)=0,"Spatial Data Missing",VLOOKUP(V79,'G-7 Rivers Data'!$AG$4:$AI$9,3,FALSE)))</f>
        <v/>
      </c>
      <c r="Y79" s="239" t="str">
        <f>IFERROR(IF(OR(LEFT(P79,5)="Error",LEFT(O79,5)="Error"),"Check Data",IF(F79&lt;S79,'G-7 Rivers Data'!$R$3,INDEX('G-7 Rivers Data'!$U$5:$Y$9,MATCH(G79,'G-7 Rivers Data'!$T$5:$T$9,0),MATCH(T79,'G-7 Rivers Data'!$U$4:$Y$4,0)))),"")</f>
        <v/>
      </c>
      <c r="Z79" s="275"/>
      <c r="AA79" s="275"/>
      <c r="AB79" s="175" t="str">
        <f t="shared" si="12"/>
        <v/>
      </c>
      <c r="AC79" s="262" t="str">
        <f t="shared" si="13"/>
        <v/>
      </c>
      <c r="AD79" s="382" t="str">
        <f>IFERROR(IF(AC79="Check Data","Check Data",VLOOKUP(AC79,'G-4 Temporal multipliers'!$A$4:$C$37,3,FALSE)),"")</f>
        <v/>
      </c>
      <c r="AE79" s="239" t="str">
        <f>IF(N79="","",VLOOKUP(N79,'G-7 Rivers Data'!$B$4:$G$8,5,FALSE))</f>
        <v/>
      </c>
      <c r="AF79" s="175" t="str">
        <f t="shared" si="14"/>
        <v/>
      </c>
      <c r="AG79" s="175" t="str">
        <f t="shared" si="15"/>
        <v/>
      </c>
      <c r="AH79" s="176" t="str">
        <f t="shared" si="9"/>
        <v/>
      </c>
      <c r="AI79" s="173"/>
      <c r="AJ79" s="172" t="str">
        <f>IF(AI79="","",IF(VLOOKUP(AI79,'G-7 Rivers Data'!$AA$4:$AB$7,2,FALSE)=0,"Spatial Data Missing",VLOOKUP(AI79,'G-7 Rivers Data'!$AA$4:$AB$7,2,FALSE)))</f>
        <v/>
      </c>
      <c r="AK79" s="187"/>
      <c r="AL79" s="172" t="str">
        <f>IF(AK79="","",IF(VLOOKUP(AK79,'G-7 Rivers Data'!$AD$4:$AE$8,2,FALSE)=0,"Spatial Data Missing",VLOOKUP(AK79,'G-7 Rivers Data'!$AD$4:$AE$8,2,FALSE)))</f>
        <v/>
      </c>
      <c r="AM79" s="186"/>
      <c r="AN79" s="176" t="str">
        <f>IF(AM79="","",VLOOKUP(AM79,'G-7 Rivers Data'!$AO$4:$AP$7,2,FALSE))</f>
        <v/>
      </c>
      <c r="AO79" s="265" t="str">
        <f t="shared" si="16"/>
        <v/>
      </c>
      <c r="AP79" s="180"/>
      <c r="AQ79" s="181"/>
      <c r="AX79" s="35" t="str">
        <f>IFERROR(INDEX('G-7 Rivers Data'!$AZ$3:$AZ$7,MATCH(N79,'G-7 Rivers Data'!$AY$3:$AY$7,0)),"")</f>
        <v/>
      </c>
    </row>
    <row r="80" spans="2:50" ht="13.8" x14ac:dyDescent="0.25">
      <c r="B80" s="259" t="str">
        <f>'F-1 Off Site River Baseline'!AN78</f>
        <v/>
      </c>
      <c r="C80" s="175" t="str">
        <f>IF(B80="","",VLOOKUP($B80,'F-1 Off Site River Baseline'!$C$9:$R$257,2,FALSE))</f>
        <v/>
      </c>
      <c r="D80" s="175" t="str">
        <f>IF(C80="","",VLOOKUP($B80,'F-1 Off Site River Baseline'!$C$9:$R$257,3,FALSE))</f>
        <v/>
      </c>
      <c r="E80" s="175" t="str">
        <f>IF(D80="","",VLOOKUP($B80,'F-1 Off Site River Baseline'!$C$9:$R$257,4,FALSE))</f>
        <v/>
      </c>
      <c r="F80" s="175" t="str">
        <f>IF(E80="","",VLOOKUP($B80,'F-1 Off Site River Baseline'!$C$9:$R$257,5,FALSE))</f>
        <v/>
      </c>
      <c r="G80" s="175" t="str">
        <f>IF(F80="","",VLOOKUP($B80,'F-1 Off Site River Baseline'!$C$9:$R$257,6,FALSE))</f>
        <v/>
      </c>
      <c r="H80" s="175" t="str">
        <f>IF(G80="","",VLOOKUP($B80,'F-1 Off Site River Baseline'!$C$9:$R$257,7,FALSE))</f>
        <v/>
      </c>
      <c r="I80" s="175" t="str">
        <f>IF(H80="","",VLOOKUP($B80,'F-1 Off Site River Baseline'!$C$9:$R$257,8,FALSE))</f>
        <v/>
      </c>
      <c r="J80" s="175" t="str">
        <f>IF(I80="","",VLOOKUP($B80,'F-1 Off Site River Baseline'!$C$9:$R$257,9,FALSE))</f>
        <v/>
      </c>
      <c r="K80" s="175" t="str">
        <f>IF(J80="","",VLOOKUP($B80,'F-1 Off Site River Baseline'!$C$9:$R$257,10,FALSE))</f>
        <v/>
      </c>
      <c r="L80" s="175" t="str">
        <f>IF(B80="","",VLOOKUP($B80,'C-1 Site River Baseline'!$C$9:$R$257,15,FALSE))</f>
        <v/>
      </c>
      <c r="M80" s="176" t="str">
        <f>IF(L80="","",VLOOKUP($B80,'F-1 Off Site River Baseline'!$C$9:$R$257,16,FALSE))</f>
        <v/>
      </c>
      <c r="N80" s="639" t="str">
        <f t="shared" si="10"/>
        <v/>
      </c>
      <c r="O80" s="171" t="str">
        <f t="shared" si="11"/>
        <v/>
      </c>
      <c r="P80" s="172" t="str">
        <f>IF(C80="","",IF(AND(LEFT(C80,55)&lt;&gt;LEFT(N80,55),O80="High - High"),"Error - Not like for like",IF(AND(F80=S80,H80&gt;U80),"Error - Can not reduce condition",IF(AND(F80=S80,H80=U80,AJ80='F-1 Off Site River Baseline'!N78,'F-1 Off Site River Baseline'!P78=AL80),"Error - No enhancement",IF(AND(C80&lt;&gt;N80,F80&lt;S80),"Lower Distinctiveness Habitat"&amp;" - "&amp;T80,G80&amp;" - "&amp;T80)))))</f>
        <v/>
      </c>
      <c r="Q80" s="260" t="str">
        <f>IF(N80="","",VLOOKUP(B80,'F-1 Off Site River Baseline'!$C$10:$AA$257,19,FALSE))</f>
        <v/>
      </c>
      <c r="R80" s="171" t="str">
        <f>IF(N80="","",VLOOKUP(N80,'G-7 Rivers Data'!$B$2:$G$8,2,FALSE))</f>
        <v/>
      </c>
      <c r="S80" s="172" t="str">
        <f>IFERROR(VLOOKUP(R80,'G-7 Rivers Data'!$C$4:$D$8,2,FALSE),"")</f>
        <v/>
      </c>
      <c r="T80" s="173"/>
      <c r="U80" s="172" t="str">
        <f>IFERROR(INDEX('G-7 Rivers Data'!$H$4:$L$8,MATCH(N80,'G-7 Rivers Data'!$B$4:$B$8,0),MATCH(T80,'G-7 Rivers Data'!$H$3:$L$3,0)),"")</f>
        <v/>
      </c>
      <c r="V80" s="186"/>
      <c r="W80" s="175" t="str">
        <f>IF(V80="","",IF(VLOOKUP(V80,'G-7 Rivers Data'!$AG$4:$AI$9,2,FALSE)=0,"Spatial Data Missing",VLOOKUP(V80,'G-7 Rivers Data'!$AG$4:$AI$9,2,FALSE)))</f>
        <v/>
      </c>
      <c r="X80" s="176" t="str">
        <f>IF(V80="","",IF(VLOOKUP(V80,'G-7 Rivers Data'!$AG$4:$AI$9,3,FALSE)=0,"Spatial Data Missing",VLOOKUP(V80,'G-7 Rivers Data'!$AG$4:$AI$9,3,FALSE)))</f>
        <v/>
      </c>
      <c r="Y80" s="239" t="str">
        <f>IFERROR(IF(OR(LEFT(P80,5)="Error",LEFT(O80,5)="Error"),"Check Data",IF(F80&lt;S80,'G-7 Rivers Data'!$R$3,INDEX('G-7 Rivers Data'!$U$5:$Y$9,MATCH(G80,'G-7 Rivers Data'!$T$5:$T$9,0),MATCH(T80,'G-7 Rivers Data'!$U$4:$Y$4,0)))),"")</f>
        <v/>
      </c>
      <c r="Z80" s="275"/>
      <c r="AA80" s="275"/>
      <c r="AB80" s="175" t="str">
        <f t="shared" si="12"/>
        <v/>
      </c>
      <c r="AC80" s="262" t="str">
        <f t="shared" si="13"/>
        <v/>
      </c>
      <c r="AD80" s="382" t="str">
        <f>IFERROR(IF(AC80="Check Data","Check Data",VLOOKUP(AC80,'G-4 Temporal multipliers'!$A$4:$C$37,3,FALSE)),"")</f>
        <v/>
      </c>
      <c r="AE80" s="239" t="str">
        <f>IF(N80="","",VLOOKUP(N80,'G-7 Rivers Data'!$B$4:$G$8,5,FALSE))</f>
        <v/>
      </c>
      <c r="AF80" s="175" t="str">
        <f t="shared" si="14"/>
        <v/>
      </c>
      <c r="AG80" s="175" t="str">
        <f t="shared" si="15"/>
        <v/>
      </c>
      <c r="AH80" s="176" t="str">
        <f t="shared" si="9"/>
        <v/>
      </c>
      <c r="AI80" s="173"/>
      <c r="AJ80" s="172" t="str">
        <f>IF(AI80="","",IF(VLOOKUP(AI80,'G-7 Rivers Data'!$AA$4:$AB$7,2,FALSE)=0,"Spatial Data Missing",VLOOKUP(AI80,'G-7 Rivers Data'!$AA$4:$AB$7,2,FALSE)))</f>
        <v/>
      </c>
      <c r="AK80" s="187"/>
      <c r="AL80" s="172" t="str">
        <f>IF(AK80="","",IF(VLOOKUP(AK80,'G-7 Rivers Data'!$AD$4:$AE$8,2,FALSE)=0,"Spatial Data Missing",VLOOKUP(AK80,'G-7 Rivers Data'!$AD$4:$AE$8,2,FALSE)))</f>
        <v/>
      </c>
      <c r="AM80" s="186"/>
      <c r="AN80" s="176" t="str">
        <f>IF(AM80="","",VLOOKUP(AM80,'G-7 Rivers Data'!$AO$4:$AP$7,2,FALSE))</f>
        <v/>
      </c>
      <c r="AO80" s="265" t="str">
        <f t="shared" si="16"/>
        <v/>
      </c>
      <c r="AP80" s="180"/>
      <c r="AQ80" s="181"/>
      <c r="AX80" s="35" t="str">
        <f>IFERROR(INDEX('G-7 Rivers Data'!$AZ$3:$AZ$7,MATCH(N80,'G-7 Rivers Data'!$AY$3:$AY$7,0)),"")</f>
        <v/>
      </c>
    </row>
    <row r="81" spans="2:50" ht="13.8" x14ac:dyDescent="0.25">
      <c r="B81" s="259" t="str">
        <f>'F-1 Off Site River Baseline'!AN79</f>
        <v/>
      </c>
      <c r="C81" s="175" t="str">
        <f>IF(B81="","",VLOOKUP($B81,'F-1 Off Site River Baseline'!$C$9:$R$257,2,FALSE))</f>
        <v/>
      </c>
      <c r="D81" s="175" t="str">
        <f>IF(C81="","",VLOOKUP($B81,'F-1 Off Site River Baseline'!$C$9:$R$257,3,FALSE))</f>
        <v/>
      </c>
      <c r="E81" s="175" t="str">
        <f>IF(D81="","",VLOOKUP($B81,'F-1 Off Site River Baseline'!$C$9:$R$257,4,FALSE))</f>
        <v/>
      </c>
      <c r="F81" s="175" t="str">
        <f>IF(E81="","",VLOOKUP($B81,'F-1 Off Site River Baseline'!$C$9:$R$257,5,FALSE))</f>
        <v/>
      </c>
      <c r="G81" s="175" t="str">
        <f>IF(F81="","",VLOOKUP($B81,'F-1 Off Site River Baseline'!$C$9:$R$257,6,FALSE))</f>
        <v/>
      </c>
      <c r="H81" s="175" t="str">
        <f>IF(G81="","",VLOOKUP($B81,'F-1 Off Site River Baseline'!$C$9:$R$257,7,FALSE))</f>
        <v/>
      </c>
      <c r="I81" s="175" t="str">
        <f>IF(H81="","",VLOOKUP($B81,'F-1 Off Site River Baseline'!$C$9:$R$257,8,FALSE))</f>
        <v/>
      </c>
      <c r="J81" s="175" t="str">
        <f>IF(I81="","",VLOOKUP($B81,'F-1 Off Site River Baseline'!$C$9:$R$257,9,FALSE))</f>
        <v/>
      </c>
      <c r="K81" s="175" t="str">
        <f>IF(J81="","",VLOOKUP($B81,'F-1 Off Site River Baseline'!$C$9:$R$257,10,FALSE))</f>
        <v/>
      </c>
      <c r="L81" s="175" t="str">
        <f>IF(B81="","",VLOOKUP($B81,'C-1 Site River Baseline'!$C$9:$R$257,15,FALSE))</f>
        <v/>
      </c>
      <c r="M81" s="176" t="str">
        <f>IF(L81="","",VLOOKUP($B81,'F-1 Off Site River Baseline'!$C$9:$R$257,16,FALSE))</f>
        <v/>
      </c>
      <c r="N81" s="639" t="str">
        <f t="shared" si="10"/>
        <v/>
      </c>
      <c r="O81" s="171" t="str">
        <f t="shared" si="11"/>
        <v/>
      </c>
      <c r="P81" s="172" t="str">
        <f>IF(C81="","",IF(AND(LEFT(C81,55)&lt;&gt;LEFT(N81,55),O81="High - High"),"Error - Not like for like",IF(AND(F81=S81,H81&gt;U81),"Error - Can not reduce condition",IF(AND(F81=S81,H81=U81,AJ81='F-1 Off Site River Baseline'!N79,'F-1 Off Site River Baseline'!P79=AL81),"Error - No enhancement",IF(AND(C81&lt;&gt;N81,F81&lt;S81),"Lower Distinctiveness Habitat"&amp;" - "&amp;T81,G81&amp;" - "&amp;T81)))))</f>
        <v/>
      </c>
      <c r="Q81" s="260" t="str">
        <f>IF(N81="","",VLOOKUP(B81,'F-1 Off Site River Baseline'!$C$10:$AA$257,19,FALSE))</f>
        <v/>
      </c>
      <c r="R81" s="171" t="str">
        <f>IF(N81="","",VLOOKUP(N81,'G-7 Rivers Data'!$B$2:$G$8,2,FALSE))</f>
        <v/>
      </c>
      <c r="S81" s="172" t="str">
        <f>IFERROR(VLOOKUP(R81,'G-7 Rivers Data'!$C$4:$D$8,2,FALSE),"")</f>
        <v/>
      </c>
      <c r="T81" s="173"/>
      <c r="U81" s="172" t="str">
        <f>IFERROR(INDEX('G-7 Rivers Data'!$H$4:$L$8,MATCH(N81,'G-7 Rivers Data'!$B$4:$B$8,0),MATCH(T81,'G-7 Rivers Data'!$H$3:$L$3,0)),"")</f>
        <v/>
      </c>
      <c r="V81" s="186"/>
      <c r="W81" s="175" t="str">
        <f>IF(V81="","",IF(VLOOKUP(V81,'G-7 Rivers Data'!$AG$4:$AI$9,2,FALSE)=0,"Spatial Data Missing",VLOOKUP(V81,'G-7 Rivers Data'!$AG$4:$AI$9,2,FALSE)))</f>
        <v/>
      </c>
      <c r="X81" s="176" t="str">
        <f>IF(V81="","",IF(VLOOKUP(V81,'G-7 Rivers Data'!$AG$4:$AI$9,3,FALSE)=0,"Spatial Data Missing",VLOOKUP(V81,'G-7 Rivers Data'!$AG$4:$AI$9,3,FALSE)))</f>
        <v/>
      </c>
      <c r="Y81" s="239" t="str">
        <f>IFERROR(IF(OR(LEFT(P81,5)="Error",LEFT(O81,5)="Error"),"Check Data",IF(F81&lt;S81,'G-7 Rivers Data'!$R$3,INDEX('G-7 Rivers Data'!$U$5:$Y$9,MATCH(G81,'G-7 Rivers Data'!$T$5:$T$9,0),MATCH(T81,'G-7 Rivers Data'!$U$4:$Y$4,0)))),"")</f>
        <v/>
      </c>
      <c r="Z81" s="275"/>
      <c r="AA81" s="275"/>
      <c r="AB81" s="175" t="str">
        <f t="shared" si="12"/>
        <v/>
      </c>
      <c r="AC81" s="262" t="str">
        <f t="shared" si="13"/>
        <v/>
      </c>
      <c r="AD81" s="382" t="str">
        <f>IFERROR(IF(AC81="Check Data","Check Data",VLOOKUP(AC81,'G-4 Temporal multipliers'!$A$4:$C$37,3,FALSE)),"")</f>
        <v/>
      </c>
      <c r="AE81" s="239" t="str">
        <f>IF(N81="","",VLOOKUP(N81,'G-7 Rivers Data'!$B$4:$G$8,5,FALSE))</f>
        <v/>
      </c>
      <c r="AF81" s="175" t="str">
        <f t="shared" si="14"/>
        <v/>
      </c>
      <c r="AG81" s="175" t="str">
        <f t="shared" si="15"/>
        <v/>
      </c>
      <c r="AH81" s="176" t="str">
        <f t="shared" si="9"/>
        <v/>
      </c>
      <c r="AI81" s="173"/>
      <c r="AJ81" s="172" t="str">
        <f>IF(AI81="","",IF(VLOOKUP(AI81,'G-7 Rivers Data'!$AA$4:$AB$7,2,FALSE)=0,"Spatial Data Missing",VLOOKUP(AI81,'G-7 Rivers Data'!$AA$4:$AB$7,2,FALSE)))</f>
        <v/>
      </c>
      <c r="AK81" s="187"/>
      <c r="AL81" s="172" t="str">
        <f>IF(AK81="","",IF(VLOOKUP(AK81,'G-7 Rivers Data'!$AD$4:$AE$8,2,FALSE)=0,"Spatial Data Missing",VLOOKUP(AK81,'G-7 Rivers Data'!$AD$4:$AE$8,2,FALSE)))</f>
        <v/>
      </c>
      <c r="AM81" s="186"/>
      <c r="AN81" s="176" t="str">
        <f>IF(AM81="","",VLOOKUP(AM81,'G-7 Rivers Data'!$AO$4:$AP$7,2,FALSE))</f>
        <v/>
      </c>
      <c r="AO81" s="265" t="str">
        <f t="shared" si="16"/>
        <v/>
      </c>
      <c r="AP81" s="180"/>
      <c r="AQ81" s="181"/>
      <c r="AX81" s="35" t="str">
        <f>IFERROR(INDEX('G-7 Rivers Data'!$AZ$3:$AZ$7,MATCH(N81,'G-7 Rivers Data'!$AY$3:$AY$7,0)),"")</f>
        <v/>
      </c>
    </row>
    <row r="82" spans="2:50" ht="13.8" x14ac:dyDescent="0.25">
      <c r="B82" s="259" t="str">
        <f>'F-1 Off Site River Baseline'!AN80</f>
        <v/>
      </c>
      <c r="C82" s="175" t="str">
        <f>IF(B82="","",VLOOKUP($B82,'F-1 Off Site River Baseline'!$C$9:$R$257,2,FALSE))</f>
        <v/>
      </c>
      <c r="D82" s="175" t="str">
        <f>IF(C82="","",VLOOKUP($B82,'F-1 Off Site River Baseline'!$C$9:$R$257,3,FALSE))</f>
        <v/>
      </c>
      <c r="E82" s="175" t="str">
        <f>IF(D82="","",VLOOKUP($B82,'F-1 Off Site River Baseline'!$C$9:$R$257,4,FALSE))</f>
        <v/>
      </c>
      <c r="F82" s="175" t="str">
        <f>IF(E82="","",VLOOKUP($B82,'F-1 Off Site River Baseline'!$C$9:$R$257,5,FALSE))</f>
        <v/>
      </c>
      <c r="G82" s="175" t="str">
        <f>IF(F82="","",VLOOKUP($B82,'F-1 Off Site River Baseline'!$C$9:$R$257,6,FALSE))</f>
        <v/>
      </c>
      <c r="H82" s="175" t="str">
        <f>IF(G82="","",VLOOKUP($B82,'F-1 Off Site River Baseline'!$C$9:$R$257,7,FALSE))</f>
        <v/>
      </c>
      <c r="I82" s="175" t="str">
        <f>IF(H82="","",VLOOKUP($B82,'F-1 Off Site River Baseline'!$C$9:$R$257,8,FALSE))</f>
        <v/>
      </c>
      <c r="J82" s="175" t="str">
        <f>IF(I82="","",VLOOKUP($B82,'F-1 Off Site River Baseline'!$C$9:$R$257,9,FALSE))</f>
        <v/>
      </c>
      <c r="K82" s="175" t="str">
        <f>IF(J82="","",VLOOKUP($B82,'F-1 Off Site River Baseline'!$C$9:$R$257,10,FALSE))</f>
        <v/>
      </c>
      <c r="L82" s="175" t="str">
        <f>IF(B82="","",VLOOKUP($B82,'C-1 Site River Baseline'!$C$9:$R$257,15,FALSE))</f>
        <v/>
      </c>
      <c r="M82" s="176" t="str">
        <f>IF(L82="","",VLOOKUP($B82,'F-1 Off Site River Baseline'!$C$9:$R$257,16,FALSE))</f>
        <v/>
      </c>
      <c r="N82" s="639" t="str">
        <f t="shared" si="10"/>
        <v/>
      </c>
      <c r="O82" s="171" t="str">
        <f t="shared" si="11"/>
        <v/>
      </c>
      <c r="P82" s="172" t="str">
        <f>IF(C82="","",IF(AND(LEFT(C82,55)&lt;&gt;LEFT(N82,55),O82="High - High"),"Error - Not like for like",IF(AND(F82=S82,H82&gt;U82),"Error - Can not reduce condition",IF(AND(F82=S82,H82=U82,AJ82='F-1 Off Site River Baseline'!N80,'F-1 Off Site River Baseline'!P80=AL82),"Error - No enhancement",IF(AND(C82&lt;&gt;N82,F82&lt;S82),"Lower Distinctiveness Habitat"&amp;" - "&amp;T82,G82&amp;" - "&amp;T82)))))</f>
        <v/>
      </c>
      <c r="Q82" s="260" t="str">
        <f>IF(N82="","",VLOOKUP(B82,'F-1 Off Site River Baseline'!$C$10:$AA$257,19,FALSE))</f>
        <v/>
      </c>
      <c r="R82" s="171" t="str">
        <f>IF(N82="","",VLOOKUP(N82,'G-7 Rivers Data'!$B$2:$G$8,2,FALSE))</f>
        <v/>
      </c>
      <c r="S82" s="172" t="str">
        <f>IFERROR(VLOOKUP(R82,'G-7 Rivers Data'!$C$4:$D$8,2,FALSE),"")</f>
        <v/>
      </c>
      <c r="T82" s="173"/>
      <c r="U82" s="172" t="str">
        <f>IFERROR(INDEX('G-7 Rivers Data'!$H$4:$L$8,MATCH(N82,'G-7 Rivers Data'!$B$4:$B$8,0),MATCH(T82,'G-7 Rivers Data'!$H$3:$L$3,0)),"")</f>
        <v/>
      </c>
      <c r="V82" s="186"/>
      <c r="W82" s="175" t="str">
        <f>IF(V82="","",IF(VLOOKUP(V82,'G-7 Rivers Data'!$AG$4:$AI$9,2,FALSE)=0,"Spatial Data Missing",VLOOKUP(V82,'G-7 Rivers Data'!$AG$4:$AI$9,2,FALSE)))</f>
        <v/>
      </c>
      <c r="X82" s="176" t="str">
        <f>IF(V82="","",IF(VLOOKUP(V82,'G-7 Rivers Data'!$AG$4:$AI$9,3,FALSE)=0,"Spatial Data Missing",VLOOKUP(V82,'G-7 Rivers Data'!$AG$4:$AI$9,3,FALSE)))</f>
        <v/>
      </c>
      <c r="Y82" s="239" t="str">
        <f>IFERROR(IF(OR(LEFT(P82,5)="Error",LEFT(O82,5)="Error"),"Check Data",IF(F82&lt;S82,'G-7 Rivers Data'!$R$3,INDEX('G-7 Rivers Data'!$U$5:$Y$9,MATCH(G82,'G-7 Rivers Data'!$T$5:$T$9,0),MATCH(T82,'G-7 Rivers Data'!$U$4:$Y$4,0)))),"")</f>
        <v/>
      </c>
      <c r="Z82" s="275"/>
      <c r="AA82" s="275"/>
      <c r="AB82" s="175" t="str">
        <f t="shared" si="12"/>
        <v/>
      </c>
      <c r="AC82" s="262" t="str">
        <f t="shared" si="13"/>
        <v/>
      </c>
      <c r="AD82" s="382" t="str">
        <f>IFERROR(IF(AC82="Check Data","Check Data",VLOOKUP(AC82,'G-4 Temporal multipliers'!$A$4:$C$37,3,FALSE)),"")</f>
        <v/>
      </c>
      <c r="AE82" s="239" t="str">
        <f>IF(N82="","",VLOOKUP(N82,'G-7 Rivers Data'!$B$4:$G$8,5,FALSE))</f>
        <v/>
      </c>
      <c r="AF82" s="175" t="str">
        <f t="shared" si="14"/>
        <v/>
      </c>
      <c r="AG82" s="175" t="str">
        <f t="shared" si="15"/>
        <v/>
      </c>
      <c r="AH82" s="176" t="str">
        <f t="shared" si="9"/>
        <v/>
      </c>
      <c r="AI82" s="173"/>
      <c r="AJ82" s="172" t="str">
        <f>IF(AI82="","",IF(VLOOKUP(AI82,'G-7 Rivers Data'!$AA$4:$AB$7,2,FALSE)=0,"Spatial Data Missing",VLOOKUP(AI82,'G-7 Rivers Data'!$AA$4:$AB$7,2,FALSE)))</f>
        <v/>
      </c>
      <c r="AK82" s="187"/>
      <c r="AL82" s="172" t="str">
        <f>IF(AK82="","",IF(VLOOKUP(AK82,'G-7 Rivers Data'!$AD$4:$AE$8,2,FALSE)=0,"Spatial Data Missing",VLOOKUP(AK82,'G-7 Rivers Data'!$AD$4:$AE$8,2,FALSE)))</f>
        <v/>
      </c>
      <c r="AM82" s="186"/>
      <c r="AN82" s="176" t="str">
        <f>IF(AM82="","",VLOOKUP(AM82,'G-7 Rivers Data'!$AO$4:$AP$7,2,FALSE))</f>
        <v/>
      </c>
      <c r="AO82" s="265" t="str">
        <f t="shared" si="16"/>
        <v/>
      </c>
      <c r="AP82" s="180"/>
      <c r="AQ82" s="181"/>
      <c r="AX82" s="35" t="str">
        <f>IFERROR(INDEX('G-7 Rivers Data'!$AZ$3:$AZ$7,MATCH(N82,'G-7 Rivers Data'!$AY$3:$AY$7,0)),"")</f>
        <v/>
      </c>
    </row>
    <row r="83" spans="2:50" ht="13.8" x14ac:dyDescent="0.25">
      <c r="B83" s="259" t="str">
        <f>'F-1 Off Site River Baseline'!AN81</f>
        <v/>
      </c>
      <c r="C83" s="175" t="str">
        <f>IF(B83="","",VLOOKUP($B83,'F-1 Off Site River Baseline'!$C$9:$R$257,2,FALSE))</f>
        <v/>
      </c>
      <c r="D83" s="175" t="str">
        <f>IF(C83="","",VLOOKUP($B83,'F-1 Off Site River Baseline'!$C$9:$R$257,3,FALSE))</f>
        <v/>
      </c>
      <c r="E83" s="175" t="str">
        <f>IF(D83="","",VLOOKUP($B83,'F-1 Off Site River Baseline'!$C$9:$R$257,4,FALSE))</f>
        <v/>
      </c>
      <c r="F83" s="175" t="str">
        <f>IF(E83="","",VLOOKUP($B83,'F-1 Off Site River Baseline'!$C$9:$R$257,5,FALSE))</f>
        <v/>
      </c>
      <c r="G83" s="175" t="str">
        <f>IF(F83="","",VLOOKUP($B83,'F-1 Off Site River Baseline'!$C$9:$R$257,6,FALSE))</f>
        <v/>
      </c>
      <c r="H83" s="175" t="str">
        <f>IF(G83="","",VLOOKUP($B83,'F-1 Off Site River Baseline'!$C$9:$R$257,7,FALSE))</f>
        <v/>
      </c>
      <c r="I83" s="175" t="str">
        <f>IF(H83="","",VLOOKUP($B83,'F-1 Off Site River Baseline'!$C$9:$R$257,8,FALSE))</f>
        <v/>
      </c>
      <c r="J83" s="175" t="str">
        <f>IF(I83="","",VLOOKUP($B83,'F-1 Off Site River Baseline'!$C$9:$R$257,9,FALSE))</f>
        <v/>
      </c>
      <c r="K83" s="175" t="str">
        <f>IF(J83="","",VLOOKUP($B83,'F-1 Off Site River Baseline'!$C$9:$R$257,10,FALSE))</f>
        <v/>
      </c>
      <c r="L83" s="175" t="str">
        <f>IF(B83="","",VLOOKUP($B83,'C-1 Site River Baseline'!$C$9:$R$257,15,FALSE))</f>
        <v/>
      </c>
      <c r="M83" s="176" t="str">
        <f>IF(L83="","",VLOOKUP($B83,'F-1 Off Site River Baseline'!$C$9:$R$257,16,FALSE))</f>
        <v/>
      </c>
      <c r="N83" s="639" t="str">
        <f t="shared" si="10"/>
        <v/>
      </c>
      <c r="O83" s="171" t="str">
        <f t="shared" si="11"/>
        <v/>
      </c>
      <c r="P83" s="172" t="str">
        <f>IF(C83="","",IF(AND(LEFT(C83,55)&lt;&gt;LEFT(N83,55),O83="High - High"),"Error - Not like for like",IF(AND(F83=S83,H83&gt;U83),"Error - Can not reduce condition",IF(AND(F83=S83,H83=U83,AJ83='F-1 Off Site River Baseline'!N81,'F-1 Off Site River Baseline'!P81=AL83),"Error - No enhancement",IF(AND(C83&lt;&gt;N83,F83&lt;S83),"Lower Distinctiveness Habitat"&amp;" - "&amp;T83,G83&amp;" - "&amp;T83)))))</f>
        <v/>
      </c>
      <c r="Q83" s="260" t="str">
        <f>IF(N83="","",VLOOKUP(B83,'F-1 Off Site River Baseline'!$C$10:$AA$257,19,FALSE))</f>
        <v/>
      </c>
      <c r="R83" s="171" t="str">
        <f>IF(N83="","",VLOOKUP(N83,'G-7 Rivers Data'!$B$2:$G$8,2,FALSE))</f>
        <v/>
      </c>
      <c r="S83" s="172" t="str">
        <f>IFERROR(VLOOKUP(R83,'G-7 Rivers Data'!$C$4:$D$8,2,FALSE),"")</f>
        <v/>
      </c>
      <c r="T83" s="173"/>
      <c r="U83" s="172" t="str">
        <f>IFERROR(INDEX('G-7 Rivers Data'!$H$4:$L$8,MATCH(N83,'G-7 Rivers Data'!$B$4:$B$8,0),MATCH(T83,'G-7 Rivers Data'!$H$3:$L$3,0)),"")</f>
        <v/>
      </c>
      <c r="V83" s="186"/>
      <c r="W83" s="175" t="str">
        <f>IF(V83="","",IF(VLOOKUP(V83,'G-7 Rivers Data'!$AG$4:$AI$9,2,FALSE)=0,"Spatial Data Missing",VLOOKUP(V83,'G-7 Rivers Data'!$AG$4:$AI$9,2,FALSE)))</f>
        <v/>
      </c>
      <c r="X83" s="176" t="str">
        <f>IF(V83="","",IF(VLOOKUP(V83,'G-7 Rivers Data'!$AG$4:$AI$9,3,FALSE)=0,"Spatial Data Missing",VLOOKUP(V83,'G-7 Rivers Data'!$AG$4:$AI$9,3,FALSE)))</f>
        <v/>
      </c>
      <c r="Y83" s="239" t="str">
        <f>IFERROR(IF(OR(LEFT(P83,5)="Error",LEFT(O83,5)="Error"),"Check Data",IF(F83&lt;S83,'G-7 Rivers Data'!$R$3,INDEX('G-7 Rivers Data'!$U$5:$Y$9,MATCH(G83,'G-7 Rivers Data'!$T$5:$T$9,0),MATCH(T83,'G-7 Rivers Data'!$U$4:$Y$4,0)))),"")</f>
        <v/>
      </c>
      <c r="Z83" s="275"/>
      <c r="AA83" s="275"/>
      <c r="AB83" s="175" t="str">
        <f t="shared" si="12"/>
        <v/>
      </c>
      <c r="AC83" s="262" t="str">
        <f t="shared" si="13"/>
        <v/>
      </c>
      <c r="AD83" s="382" t="str">
        <f>IFERROR(IF(AC83="Check Data","Check Data",VLOOKUP(AC83,'G-4 Temporal multipliers'!$A$4:$C$37,3,FALSE)),"")</f>
        <v/>
      </c>
      <c r="AE83" s="239" t="str">
        <f>IF(N83="","",VLOOKUP(N83,'G-7 Rivers Data'!$B$4:$G$8,5,FALSE))</f>
        <v/>
      </c>
      <c r="AF83" s="175" t="str">
        <f t="shared" si="14"/>
        <v/>
      </c>
      <c r="AG83" s="175" t="str">
        <f t="shared" si="15"/>
        <v/>
      </c>
      <c r="AH83" s="176" t="str">
        <f t="shared" si="9"/>
        <v/>
      </c>
      <c r="AI83" s="173"/>
      <c r="AJ83" s="172" t="str">
        <f>IF(AI83="","",IF(VLOOKUP(AI83,'G-7 Rivers Data'!$AA$4:$AB$7,2,FALSE)=0,"Spatial Data Missing",VLOOKUP(AI83,'G-7 Rivers Data'!$AA$4:$AB$7,2,FALSE)))</f>
        <v/>
      </c>
      <c r="AK83" s="187"/>
      <c r="AL83" s="172" t="str">
        <f>IF(AK83="","",IF(VLOOKUP(AK83,'G-7 Rivers Data'!$AD$4:$AE$8,2,FALSE)=0,"Spatial Data Missing",VLOOKUP(AK83,'G-7 Rivers Data'!$AD$4:$AE$8,2,FALSE)))</f>
        <v/>
      </c>
      <c r="AM83" s="186"/>
      <c r="AN83" s="176" t="str">
        <f>IF(AM83="","",VLOOKUP(AM83,'G-7 Rivers Data'!$AO$4:$AP$7,2,FALSE))</f>
        <v/>
      </c>
      <c r="AO83" s="265" t="str">
        <f t="shared" si="16"/>
        <v/>
      </c>
      <c r="AP83" s="180"/>
      <c r="AQ83" s="181"/>
      <c r="AX83" s="35" t="str">
        <f>IFERROR(INDEX('G-7 Rivers Data'!$AZ$3:$AZ$7,MATCH(N83,'G-7 Rivers Data'!$AY$3:$AY$7,0)),"")</f>
        <v/>
      </c>
    </row>
    <row r="84" spans="2:50" ht="13.8" x14ac:dyDescent="0.25">
      <c r="B84" s="259" t="str">
        <f>'F-1 Off Site River Baseline'!AN82</f>
        <v/>
      </c>
      <c r="C84" s="175" t="str">
        <f>IF(B84="","",VLOOKUP($B84,'F-1 Off Site River Baseline'!$C$9:$R$257,2,FALSE))</f>
        <v/>
      </c>
      <c r="D84" s="175" t="str">
        <f>IF(C84="","",VLOOKUP($B84,'F-1 Off Site River Baseline'!$C$9:$R$257,3,FALSE))</f>
        <v/>
      </c>
      <c r="E84" s="175" t="str">
        <f>IF(D84="","",VLOOKUP($B84,'F-1 Off Site River Baseline'!$C$9:$R$257,4,FALSE))</f>
        <v/>
      </c>
      <c r="F84" s="175" t="str">
        <f>IF(E84="","",VLOOKUP($B84,'F-1 Off Site River Baseline'!$C$9:$R$257,5,FALSE))</f>
        <v/>
      </c>
      <c r="G84" s="175" t="str">
        <f>IF(F84="","",VLOOKUP($B84,'F-1 Off Site River Baseline'!$C$9:$R$257,6,FALSE))</f>
        <v/>
      </c>
      <c r="H84" s="175" t="str">
        <f>IF(G84="","",VLOOKUP($B84,'F-1 Off Site River Baseline'!$C$9:$R$257,7,FALSE))</f>
        <v/>
      </c>
      <c r="I84" s="175" t="str">
        <f>IF(H84="","",VLOOKUP($B84,'F-1 Off Site River Baseline'!$C$9:$R$257,8,FALSE))</f>
        <v/>
      </c>
      <c r="J84" s="175" t="str">
        <f>IF(I84="","",VLOOKUP($B84,'F-1 Off Site River Baseline'!$C$9:$R$257,9,FALSE))</f>
        <v/>
      </c>
      <c r="K84" s="175" t="str">
        <f>IF(J84="","",VLOOKUP($B84,'F-1 Off Site River Baseline'!$C$9:$R$257,10,FALSE))</f>
        <v/>
      </c>
      <c r="L84" s="175" t="str">
        <f>IF(B84="","",VLOOKUP($B84,'C-1 Site River Baseline'!$C$9:$R$257,15,FALSE))</f>
        <v/>
      </c>
      <c r="M84" s="176" t="str">
        <f>IF(L84="","",VLOOKUP($B84,'F-1 Off Site River Baseline'!$C$9:$R$257,16,FALSE))</f>
        <v/>
      </c>
      <c r="N84" s="639" t="str">
        <f t="shared" si="10"/>
        <v/>
      </c>
      <c r="O84" s="171" t="str">
        <f t="shared" si="11"/>
        <v/>
      </c>
      <c r="P84" s="172" t="str">
        <f>IF(C84="","",IF(AND(LEFT(C84,55)&lt;&gt;LEFT(N84,55),O84="High - High"),"Error - Not like for like",IF(AND(F84=S84,H84&gt;U84),"Error - Can not reduce condition",IF(AND(F84=S84,H84=U84,AJ84='F-1 Off Site River Baseline'!N82,'F-1 Off Site River Baseline'!P82=AL84),"Error - No enhancement",IF(AND(C84&lt;&gt;N84,F84&lt;S84),"Lower Distinctiveness Habitat"&amp;" - "&amp;T84,G84&amp;" - "&amp;T84)))))</f>
        <v/>
      </c>
      <c r="Q84" s="260" t="str">
        <f>IF(N84="","",VLOOKUP(B84,'F-1 Off Site River Baseline'!$C$10:$AA$257,19,FALSE))</f>
        <v/>
      </c>
      <c r="R84" s="171" t="str">
        <f>IF(N84="","",VLOOKUP(N84,'G-7 Rivers Data'!$B$2:$G$8,2,FALSE))</f>
        <v/>
      </c>
      <c r="S84" s="172" t="str">
        <f>IFERROR(VLOOKUP(R84,'G-7 Rivers Data'!$C$4:$D$8,2,FALSE),"")</f>
        <v/>
      </c>
      <c r="T84" s="173"/>
      <c r="U84" s="172" t="str">
        <f>IFERROR(INDEX('G-7 Rivers Data'!$H$4:$L$8,MATCH(N84,'G-7 Rivers Data'!$B$4:$B$8,0),MATCH(T84,'G-7 Rivers Data'!$H$3:$L$3,0)),"")</f>
        <v/>
      </c>
      <c r="V84" s="186"/>
      <c r="W84" s="175" t="str">
        <f>IF(V84="","",IF(VLOOKUP(V84,'G-7 Rivers Data'!$AG$4:$AI$9,2,FALSE)=0,"Spatial Data Missing",VLOOKUP(V84,'G-7 Rivers Data'!$AG$4:$AI$9,2,FALSE)))</f>
        <v/>
      </c>
      <c r="X84" s="176" t="str">
        <f>IF(V84="","",IF(VLOOKUP(V84,'G-7 Rivers Data'!$AG$4:$AI$9,3,FALSE)=0,"Spatial Data Missing",VLOOKUP(V84,'G-7 Rivers Data'!$AG$4:$AI$9,3,FALSE)))</f>
        <v/>
      </c>
      <c r="Y84" s="239" t="str">
        <f>IFERROR(IF(OR(LEFT(P84,5)="Error",LEFT(O84,5)="Error"),"Check Data",IF(F84&lt;S84,'G-7 Rivers Data'!$R$3,INDEX('G-7 Rivers Data'!$U$5:$Y$9,MATCH(G84,'G-7 Rivers Data'!$T$5:$T$9,0),MATCH(T84,'G-7 Rivers Data'!$U$4:$Y$4,0)))),"")</f>
        <v/>
      </c>
      <c r="Z84" s="275"/>
      <c r="AA84" s="275"/>
      <c r="AB84" s="175" t="str">
        <f t="shared" si="12"/>
        <v/>
      </c>
      <c r="AC84" s="262" t="str">
        <f t="shared" si="13"/>
        <v/>
      </c>
      <c r="AD84" s="382" t="str">
        <f>IFERROR(IF(AC84="Check Data","Check Data",VLOOKUP(AC84,'G-4 Temporal multipliers'!$A$4:$C$37,3,FALSE)),"")</f>
        <v/>
      </c>
      <c r="AE84" s="239" t="str">
        <f>IF(N84="","",VLOOKUP(N84,'G-7 Rivers Data'!$B$4:$G$8,5,FALSE))</f>
        <v/>
      </c>
      <c r="AF84" s="175" t="str">
        <f t="shared" si="14"/>
        <v/>
      </c>
      <c r="AG84" s="175" t="str">
        <f t="shared" si="15"/>
        <v/>
      </c>
      <c r="AH84" s="176" t="str">
        <f t="shared" si="9"/>
        <v/>
      </c>
      <c r="AI84" s="173"/>
      <c r="AJ84" s="172" t="str">
        <f>IF(AI84="","",IF(VLOOKUP(AI84,'G-7 Rivers Data'!$AA$4:$AB$7,2,FALSE)=0,"Spatial Data Missing",VLOOKUP(AI84,'G-7 Rivers Data'!$AA$4:$AB$7,2,FALSE)))</f>
        <v/>
      </c>
      <c r="AK84" s="187"/>
      <c r="AL84" s="172" t="str">
        <f>IF(AK84="","",IF(VLOOKUP(AK84,'G-7 Rivers Data'!$AD$4:$AE$8,2,FALSE)=0,"Spatial Data Missing",VLOOKUP(AK84,'G-7 Rivers Data'!$AD$4:$AE$8,2,FALSE)))</f>
        <v/>
      </c>
      <c r="AM84" s="186"/>
      <c r="AN84" s="176" t="str">
        <f>IF(AM84="","",VLOOKUP(AM84,'G-7 Rivers Data'!$AO$4:$AP$7,2,FALSE))</f>
        <v/>
      </c>
      <c r="AO84" s="265" t="str">
        <f t="shared" si="16"/>
        <v/>
      </c>
      <c r="AP84" s="180"/>
      <c r="AQ84" s="181"/>
      <c r="AX84" s="35" t="str">
        <f>IFERROR(INDEX('G-7 Rivers Data'!$AZ$3:$AZ$7,MATCH(N84,'G-7 Rivers Data'!$AY$3:$AY$7,0)),"")</f>
        <v/>
      </c>
    </row>
    <row r="85" spans="2:50" ht="13.8" x14ac:dyDescent="0.25">
      <c r="B85" s="259" t="str">
        <f>'F-1 Off Site River Baseline'!AN83</f>
        <v/>
      </c>
      <c r="C85" s="175" t="str">
        <f>IF(B85="","",VLOOKUP($B85,'F-1 Off Site River Baseline'!$C$9:$R$257,2,FALSE))</f>
        <v/>
      </c>
      <c r="D85" s="175" t="str">
        <f>IF(C85="","",VLOOKUP($B85,'F-1 Off Site River Baseline'!$C$9:$R$257,3,FALSE))</f>
        <v/>
      </c>
      <c r="E85" s="175" t="str">
        <f>IF(D85="","",VLOOKUP($B85,'F-1 Off Site River Baseline'!$C$9:$R$257,4,FALSE))</f>
        <v/>
      </c>
      <c r="F85" s="175" t="str">
        <f>IF(E85="","",VLOOKUP($B85,'F-1 Off Site River Baseline'!$C$9:$R$257,5,FALSE))</f>
        <v/>
      </c>
      <c r="G85" s="175" t="str">
        <f>IF(F85="","",VLOOKUP($B85,'F-1 Off Site River Baseline'!$C$9:$R$257,6,FALSE))</f>
        <v/>
      </c>
      <c r="H85" s="175" t="str">
        <f>IF(G85="","",VLOOKUP($B85,'F-1 Off Site River Baseline'!$C$9:$R$257,7,FALSE))</f>
        <v/>
      </c>
      <c r="I85" s="175" t="str">
        <f>IF(H85="","",VLOOKUP($B85,'F-1 Off Site River Baseline'!$C$9:$R$257,8,FALSE))</f>
        <v/>
      </c>
      <c r="J85" s="175" t="str">
        <f>IF(I85="","",VLOOKUP($B85,'F-1 Off Site River Baseline'!$C$9:$R$257,9,FALSE))</f>
        <v/>
      </c>
      <c r="K85" s="175" t="str">
        <f>IF(J85="","",VLOOKUP($B85,'F-1 Off Site River Baseline'!$C$9:$R$257,10,FALSE))</f>
        <v/>
      </c>
      <c r="L85" s="175" t="str">
        <f>IF(B85="","",VLOOKUP($B85,'C-1 Site River Baseline'!$C$9:$R$257,15,FALSE))</f>
        <v/>
      </c>
      <c r="M85" s="176" t="str">
        <f>IF(L85="","",VLOOKUP($B85,'F-1 Off Site River Baseline'!$C$9:$R$257,16,FALSE))</f>
        <v/>
      </c>
      <c r="N85" s="639" t="str">
        <f t="shared" si="10"/>
        <v/>
      </c>
      <c r="O85" s="171" t="str">
        <f t="shared" si="11"/>
        <v/>
      </c>
      <c r="P85" s="172" t="str">
        <f>IF(C85="","",IF(AND(LEFT(C85,55)&lt;&gt;LEFT(N85,55),O85="High - High"),"Error - Not like for like",IF(AND(F85=S85,H85&gt;U85),"Error - Can not reduce condition",IF(AND(F85=S85,H85=U85,AJ85='F-1 Off Site River Baseline'!N83,'F-1 Off Site River Baseline'!P83=AL85),"Error - No enhancement",IF(AND(C85&lt;&gt;N85,F85&lt;S85),"Lower Distinctiveness Habitat"&amp;" - "&amp;T85,G85&amp;" - "&amp;T85)))))</f>
        <v/>
      </c>
      <c r="Q85" s="260" t="str">
        <f>IF(N85="","",VLOOKUP(B85,'F-1 Off Site River Baseline'!$C$10:$AA$257,19,FALSE))</f>
        <v/>
      </c>
      <c r="R85" s="171" t="str">
        <f>IF(N85="","",VLOOKUP(N85,'G-7 Rivers Data'!$B$2:$G$8,2,FALSE))</f>
        <v/>
      </c>
      <c r="S85" s="172" t="str">
        <f>IFERROR(VLOOKUP(R85,'G-7 Rivers Data'!$C$4:$D$8,2,FALSE),"")</f>
        <v/>
      </c>
      <c r="T85" s="173"/>
      <c r="U85" s="172" t="str">
        <f>IFERROR(INDEX('G-7 Rivers Data'!$H$4:$L$8,MATCH(N85,'G-7 Rivers Data'!$B$4:$B$8,0),MATCH(T85,'G-7 Rivers Data'!$H$3:$L$3,0)),"")</f>
        <v/>
      </c>
      <c r="V85" s="186"/>
      <c r="W85" s="175" t="str">
        <f>IF(V85="","",IF(VLOOKUP(V85,'G-7 Rivers Data'!$AG$4:$AI$9,2,FALSE)=0,"Spatial Data Missing",VLOOKUP(V85,'G-7 Rivers Data'!$AG$4:$AI$9,2,FALSE)))</f>
        <v/>
      </c>
      <c r="X85" s="176" t="str">
        <f>IF(V85="","",IF(VLOOKUP(V85,'G-7 Rivers Data'!$AG$4:$AI$9,3,FALSE)=0,"Spatial Data Missing",VLOOKUP(V85,'G-7 Rivers Data'!$AG$4:$AI$9,3,FALSE)))</f>
        <v/>
      </c>
      <c r="Y85" s="239" t="str">
        <f>IFERROR(IF(OR(LEFT(P85,5)="Error",LEFT(O85,5)="Error"),"Check Data",IF(F85&lt;S85,'G-7 Rivers Data'!$R$3,INDEX('G-7 Rivers Data'!$U$5:$Y$9,MATCH(G85,'G-7 Rivers Data'!$T$5:$T$9,0),MATCH(T85,'G-7 Rivers Data'!$U$4:$Y$4,0)))),"")</f>
        <v/>
      </c>
      <c r="Z85" s="275"/>
      <c r="AA85" s="275"/>
      <c r="AB85" s="175" t="str">
        <f t="shared" si="12"/>
        <v/>
      </c>
      <c r="AC85" s="262" t="str">
        <f t="shared" si="13"/>
        <v/>
      </c>
      <c r="AD85" s="382" t="str">
        <f>IFERROR(IF(AC85="Check Data","Check Data",VLOOKUP(AC85,'G-4 Temporal multipliers'!$A$4:$C$37,3,FALSE)),"")</f>
        <v/>
      </c>
      <c r="AE85" s="239" t="str">
        <f>IF(N85="","",VLOOKUP(N85,'G-7 Rivers Data'!$B$4:$G$8,5,FALSE))</f>
        <v/>
      </c>
      <c r="AF85" s="175" t="str">
        <f t="shared" si="14"/>
        <v/>
      </c>
      <c r="AG85" s="175" t="str">
        <f t="shared" si="15"/>
        <v/>
      </c>
      <c r="AH85" s="176" t="str">
        <f t="shared" si="9"/>
        <v/>
      </c>
      <c r="AI85" s="173"/>
      <c r="AJ85" s="172" t="str">
        <f>IF(AI85="","",IF(VLOOKUP(AI85,'G-7 Rivers Data'!$AA$4:$AB$7,2,FALSE)=0,"Spatial Data Missing",VLOOKUP(AI85,'G-7 Rivers Data'!$AA$4:$AB$7,2,FALSE)))</f>
        <v/>
      </c>
      <c r="AK85" s="187"/>
      <c r="AL85" s="172" t="str">
        <f>IF(AK85="","",IF(VLOOKUP(AK85,'G-7 Rivers Data'!$AD$4:$AE$8,2,FALSE)=0,"Spatial Data Missing",VLOOKUP(AK85,'G-7 Rivers Data'!$AD$4:$AE$8,2,FALSE)))</f>
        <v/>
      </c>
      <c r="AM85" s="186"/>
      <c r="AN85" s="176" t="str">
        <f>IF(AM85="","",VLOOKUP(AM85,'G-7 Rivers Data'!$AO$4:$AP$7,2,FALSE))</f>
        <v/>
      </c>
      <c r="AO85" s="265" t="str">
        <f t="shared" si="16"/>
        <v/>
      </c>
      <c r="AP85" s="180"/>
      <c r="AQ85" s="181"/>
      <c r="AX85" s="35" t="str">
        <f>IFERROR(INDEX('G-7 Rivers Data'!$AZ$3:$AZ$7,MATCH(N85,'G-7 Rivers Data'!$AY$3:$AY$7,0)),"")</f>
        <v/>
      </c>
    </row>
    <row r="86" spans="2:50" ht="13.8" x14ac:dyDescent="0.25">
      <c r="B86" s="259" t="str">
        <f>'F-1 Off Site River Baseline'!AN84</f>
        <v/>
      </c>
      <c r="C86" s="175" t="str">
        <f>IF(B86="","",VLOOKUP($B86,'F-1 Off Site River Baseline'!$C$9:$R$257,2,FALSE))</f>
        <v/>
      </c>
      <c r="D86" s="175" t="str">
        <f>IF(C86="","",VLOOKUP($B86,'F-1 Off Site River Baseline'!$C$9:$R$257,3,FALSE))</f>
        <v/>
      </c>
      <c r="E86" s="175" t="str">
        <f>IF(D86="","",VLOOKUP($B86,'F-1 Off Site River Baseline'!$C$9:$R$257,4,FALSE))</f>
        <v/>
      </c>
      <c r="F86" s="175" t="str">
        <f>IF(E86="","",VLOOKUP($B86,'F-1 Off Site River Baseline'!$C$9:$R$257,5,FALSE))</f>
        <v/>
      </c>
      <c r="G86" s="175" t="str">
        <f>IF(F86="","",VLOOKUP($B86,'F-1 Off Site River Baseline'!$C$9:$R$257,6,FALSE))</f>
        <v/>
      </c>
      <c r="H86" s="175" t="str">
        <f>IF(G86="","",VLOOKUP($B86,'F-1 Off Site River Baseline'!$C$9:$R$257,7,FALSE))</f>
        <v/>
      </c>
      <c r="I86" s="175" t="str">
        <f>IF(H86="","",VLOOKUP($B86,'F-1 Off Site River Baseline'!$C$9:$R$257,8,FALSE))</f>
        <v/>
      </c>
      <c r="J86" s="175" t="str">
        <f>IF(I86="","",VLOOKUP($B86,'F-1 Off Site River Baseline'!$C$9:$R$257,9,FALSE))</f>
        <v/>
      </c>
      <c r="K86" s="175" t="str">
        <f>IF(J86="","",VLOOKUP($B86,'F-1 Off Site River Baseline'!$C$9:$R$257,10,FALSE))</f>
        <v/>
      </c>
      <c r="L86" s="175" t="str">
        <f>IF(B86="","",VLOOKUP($B86,'C-1 Site River Baseline'!$C$9:$R$257,15,FALSE))</f>
        <v/>
      </c>
      <c r="M86" s="176" t="str">
        <f>IF(L86="","",VLOOKUP($B86,'F-1 Off Site River Baseline'!$C$9:$R$257,16,FALSE))</f>
        <v/>
      </c>
      <c r="N86" s="639" t="str">
        <f t="shared" si="10"/>
        <v/>
      </c>
      <c r="O86" s="171" t="str">
        <f t="shared" si="11"/>
        <v/>
      </c>
      <c r="P86" s="172" t="str">
        <f>IF(C86="","",IF(AND(LEFT(C86,55)&lt;&gt;LEFT(N86,55),O86="High - High"),"Error - Not like for like",IF(AND(F86=S86,H86&gt;U86),"Error - Can not reduce condition",IF(AND(F86=S86,H86=U86,AJ86='F-1 Off Site River Baseline'!N84,'F-1 Off Site River Baseline'!P84=AL86),"Error - No enhancement",IF(AND(C86&lt;&gt;N86,F86&lt;S86),"Lower Distinctiveness Habitat"&amp;" - "&amp;T86,G86&amp;" - "&amp;T86)))))</f>
        <v/>
      </c>
      <c r="Q86" s="260" t="str">
        <f>IF(N86="","",VLOOKUP(B86,'F-1 Off Site River Baseline'!$C$10:$AA$257,19,FALSE))</f>
        <v/>
      </c>
      <c r="R86" s="171" t="str">
        <f>IF(N86="","",VLOOKUP(N86,'G-7 Rivers Data'!$B$2:$G$8,2,FALSE))</f>
        <v/>
      </c>
      <c r="S86" s="172" t="str">
        <f>IFERROR(VLOOKUP(R86,'G-7 Rivers Data'!$C$4:$D$8,2,FALSE),"")</f>
        <v/>
      </c>
      <c r="T86" s="173"/>
      <c r="U86" s="172" t="str">
        <f>IFERROR(INDEX('G-7 Rivers Data'!$H$4:$L$8,MATCH(N86,'G-7 Rivers Data'!$B$4:$B$8,0),MATCH(T86,'G-7 Rivers Data'!$H$3:$L$3,0)),"")</f>
        <v/>
      </c>
      <c r="V86" s="186"/>
      <c r="W86" s="175" t="str">
        <f>IF(V86="","",IF(VLOOKUP(V86,'G-7 Rivers Data'!$AG$4:$AI$9,2,FALSE)=0,"Spatial Data Missing",VLOOKUP(V86,'G-7 Rivers Data'!$AG$4:$AI$9,2,FALSE)))</f>
        <v/>
      </c>
      <c r="X86" s="176" t="str">
        <f>IF(V86="","",IF(VLOOKUP(V86,'G-7 Rivers Data'!$AG$4:$AI$9,3,FALSE)=0,"Spatial Data Missing",VLOOKUP(V86,'G-7 Rivers Data'!$AG$4:$AI$9,3,FALSE)))</f>
        <v/>
      </c>
      <c r="Y86" s="239" t="str">
        <f>IFERROR(IF(OR(LEFT(P86,5)="Error",LEFT(O86,5)="Error"),"Check Data",IF(F86&lt;S86,'G-7 Rivers Data'!$R$3,INDEX('G-7 Rivers Data'!$U$5:$Y$9,MATCH(G86,'G-7 Rivers Data'!$T$5:$T$9,0),MATCH(T86,'G-7 Rivers Data'!$U$4:$Y$4,0)))),"")</f>
        <v/>
      </c>
      <c r="Z86" s="275"/>
      <c r="AA86" s="275"/>
      <c r="AB86" s="175" t="str">
        <f t="shared" si="12"/>
        <v/>
      </c>
      <c r="AC86" s="262" t="str">
        <f t="shared" si="13"/>
        <v/>
      </c>
      <c r="AD86" s="382" t="str">
        <f>IFERROR(IF(AC86="Check Data","Check Data",VLOOKUP(AC86,'G-4 Temporal multipliers'!$A$4:$C$37,3,FALSE)),"")</f>
        <v/>
      </c>
      <c r="AE86" s="239" t="str">
        <f>IF(N86="","",VLOOKUP(N86,'G-7 Rivers Data'!$B$4:$G$8,5,FALSE))</f>
        <v/>
      </c>
      <c r="AF86" s="175" t="str">
        <f t="shared" si="14"/>
        <v/>
      </c>
      <c r="AG86" s="175" t="str">
        <f t="shared" si="15"/>
        <v/>
      </c>
      <c r="AH86" s="176" t="str">
        <f t="shared" si="9"/>
        <v/>
      </c>
      <c r="AI86" s="173"/>
      <c r="AJ86" s="172" t="str">
        <f>IF(AI86="","",IF(VLOOKUP(AI86,'G-7 Rivers Data'!$AA$4:$AB$7,2,FALSE)=0,"Spatial Data Missing",VLOOKUP(AI86,'G-7 Rivers Data'!$AA$4:$AB$7,2,FALSE)))</f>
        <v/>
      </c>
      <c r="AK86" s="187"/>
      <c r="AL86" s="172" t="str">
        <f>IF(AK86="","",IF(VLOOKUP(AK86,'G-7 Rivers Data'!$AD$4:$AE$8,2,FALSE)=0,"Spatial Data Missing",VLOOKUP(AK86,'G-7 Rivers Data'!$AD$4:$AE$8,2,FALSE)))</f>
        <v/>
      </c>
      <c r="AM86" s="186"/>
      <c r="AN86" s="176" t="str">
        <f>IF(AM86="","",VLOOKUP(AM86,'G-7 Rivers Data'!$AO$4:$AP$7,2,FALSE))</f>
        <v/>
      </c>
      <c r="AO86" s="265" t="str">
        <f t="shared" si="16"/>
        <v/>
      </c>
      <c r="AP86" s="180"/>
      <c r="AQ86" s="181"/>
      <c r="AX86" s="35" t="str">
        <f>IFERROR(INDEX('G-7 Rivers Data'!$AZ$3:$AZ$7,MATCH(N86,'G-7 Rivers Data'!$AY$3:$AY$7,0)),"")</f>
        <v/>
      </c>
    </row>
    <row r="87" spans="2:50" ht="13.8" x14ac:dyDescent="0.25">
      <c r="B87" s="259" t="str">
        <f>'F-1 Off Site River Baseline'!AN85</f>
        <v/>
      </c>
      <c r="C87" s="175" t="str">
        <f>IF(B87="","",VLOOKUP($B87,'F-1 Off Site River Baseline'!$C$9:$R$257,2,FALSE))</f>
        <v/>
      </c>
      <c r="D87" s="175" t="str">
        <f>IF(C87="","",VLOOKUP($B87,'F-1 Off Site River Baseline'!$C$9:$R$257,3,FALSE))</f>
        <v/>
      </c>
      <c r="E87" s="175" t="str">
        <f>IF(D87="","",VLOOKUP($B87,'F-1 Off Site River Baseline'!$C$9:$R$257,4,FALSE))</f>
        <v/>
      </c>
      <c r="F87" s="175" t="str">
        <f>IF(E87="","",VLOOKUP($B87,'F-1 Off Site River Baseline'!$C$9:$R$257,5,FALSE))</f>
        <v/>
      </c>
      <c r="G87" s="175" t="str">
        <f>IF(F87="","",VLOOKUP($B87,'F-1 Off Site River Baseline'!$C$9:$R$257,6,FALSE))</f>
        <v/>
      </c>
      <c r="H87" s="175" t="str">
        <f>IF(G87="","",VLOOKUP($B87,'F-1 Off Site River Baseline'!$C$9:$R$257,7,FALSE))</f>
        <v/>
      </c>
      <c r="I87" s="175" t="str">
        <f>IF(H87="","",VLOOKUP($B87,'F-1 Off Site River Baseline'!$C$9:$R$257,8,FALSE))</f>
        <v/>
      </c>
      <c r="J87" s="175" t="str">
        <f>IF(I87="","",VLOOKUP($B87,'F-1 Off Site River Baseline'!$C$9:$R$257,9,FALSE))</f>
        <v/>
      </c>
      <c r="K87" s="175" t="str">
        <f>IF(J87="","",VLOOKUP($B87,'F-1 Off Site River Baseline'!$C$9:$R$257,10,FALSE))</f>
        <v/>
      </c>
      <c r="L87" s="175" t="str">
        <f>IF(B87="","",VLOOKUP($B87,'C-1 Site River Baseline'!$C$9:$R$257,15,FALSE))</f>
        <v/>
      </c>
      <c r="M87" s="176" t="str">
        <f>IF(L87="","",VLOOKUP($B87,'F-1 Off Site River Baseline'!$C$9:$R$257,16,FALSE))</f>
        <v/>
      </c>
      <c r="N87" s="639" t="str">
        <f t="shared" si="10"/>
        <v/>
      </c>
      <c r="O87" s="171" t="str">
        <f t="shared" si="11"/>
        <v/>
      </c>
      <c r="P87" s="172" t="str">
        <f>IF(C87="","",IF(AND(LEFT(C87,55)&lt;&gt;LEFT(N87,55),O87="High - High"),"Error - Not like for like",IF(AND(F87=S87,H87&gt;U87),"Error - Can not reduce condition",IF(AND(F87=S87,H87=U87,AJ87='F-1 Off Site River Baseline'!N85,'F-1 Off Site River Baseline'!P85=AL87),"Error - No enhancement",IF(AND(C87&lt;&gt;N87,F87&lt;S87),"Lower Distinctiveness Habitat"&amp;" - "&amp;T87,G87&amp;" - "&amp;T87)))))</f>
        <v/>
      </c>
      <c r="Q87" s="260" t="str">
        <f>IF(N87="","",VLOOKUP(B87,'F-1 Off Site River Baseline'!$C$10:$AA$257,19,FALSE))</f>
        <v/>
      </c>
      <c r="R87" s="171" t="str">
        <f>IF(N87="","",VLOOKUP(N87,'G-7 Rivers Data'!$B$2:$G$8,2,FALSE))</f>
        <v/>
      </c>
      <c r="S87" s="172" t="str">
        <f>IFERROR(VLOOKUP(R87,'G-7 Rivers Data'!$C$4:$D$8,2,FALSE),"")</f>
        <v/>
      </c>
      <c r="T87" s="173"/>
      <c r="U87" s="172" t="str">
        <f>IFERROR(INDEX('G-7 Rivers Data'!$H$4:$L$8,MATCH(N87,'G-7 Rivers Data'!$B$4:$B$8,0),MATCH(T87,'G-7 Rivers Data'!$H$3:$L$3,0)),"")</f>
        <v/>
      </c>
      <c r="V87" s="186"/>
      <c r="W87" s="175" t="str">
        <f>IF(V87="","",IF(VLOOKUP(V87,'G-7 Rivers Data'!$AG$4:$AI$9,2,FALSE)=0,"Spatial Data Missing",VLOOKUP(V87,'G-7 Rivers Data'!$AG$4:$AI$9,2,FALSE)))</f>
        <v/>
      </c>
      <c r="X87" s="176" t="str">
        <f>IF(V87="","",IF(VLOOKUP(V87,'G-7 Rivers Data'!$AG$4:$AI$9,3,FALSE)=0,"Spatial Data Missing",VLOOKUP(V87,'G-7 Rivers Data'!$AG$4:$AI$9,3,FALSE)))</f>
        <v/>
      </c>
      <c r="Y87" s="239" t="str">
        <f>IFERROR(IF(OR(LEFT(P87,5)="Error",LEFT(O87,5)="Error"),"Check Data",IF(F87&lt;S87,'G-7 Rivers Data'!$R$3,INDEX('G-7 Rivers Data'!$U$5:$Y$9,MATCH(G87,'G-7 Rivers Data'!$T$5:$T$9,0),MATCH(T87,'G-7 Rivers Data'!$U$4:$Y$4,0)))),"")</f>
        <v/>
      </c>
      <c r="Z87" s="275"/>
      <c r="AA87" s="275"/>
      <c r="AB87" s="175" t="str">
        <f t="shared" si="12"/>
        <v/>
      </c>
      <c r="AC87" s="262" t="str">
        <f t="shared" si="13"/>
        <v/>
      </c>
      <c r="AD87" s="382" t="str">
        <f>IFERROR(IF(AC87="Check Data","Check Data",VLOOKUP(AC87,'G-4 Temporal multipliers'!$A$4:$C$37,3,FALSE)),"")</f>
        <v/>
      </c>
      <c r="AE87" s="239" t="str">
        <f>IF(N87="","",VLOOKUP(N87,'G-7 Rivers Data'!$B$4:$G$8,5,FALSE))</f>
        <v/>
      </c>
      <c r="AF87" s="175" t="str">
        <f t="shared" si="14"/>
        <v/>
      </c>
      <c r="AG87" s="175" t="str">
        <f t="shared" si="15"/>
        <v/>
      </c>
      <c r="AH87" s="176" t="str">
        <f t="shared" si="9"/>
        <v/>
      </c>
      <c r="AI87" s="173"/>
      <c r="AJ87" s="172" t="str">
        <f>IF(AI87="","",IF(VLOOKUP(AI87,'G-7 Rivers Data'!$AA$4:$AB$7,2,FALSE)=0,"Spatial Data Missing",VLOOKUP(AI87,'G-7 Rivers Data'!$AA$4:$AB$7,2,FALSE)))</f>
        <v/>
      </c>
      <c r="AK87" s="187"/>
      <c r="AL87" s="172" t="str">
        <f>IF(AK87="","",IF(VLOOKUP(AK87,'G-7 Rivers Data'!$AD$4:$AE$8,2,FALSE)=0,"Spatial Data Missing",VLOOKUP(AK87,'G-7 Rivers Data'!$AD$4:$AE$8,2,FALSE)))</f>
        <v/>
      </c>
      <c r="AM87" s="186"/>
      <c r="AN87" s="176" t="str">
        <f>IF(AM87="","",VLOOKUP(AM87,'G-7 Rivers Data'!$AO$4:$AP$7,2,FALSE))</f>
        <v/>
      </c>
      <c r="AO87" s="265" t="str">
        <f t="shared" si="16"/>
        <v/>
      </c>
      <c r="AP87" s="180"/>
      <c r="AQ87" s="181"/>
      <c r="AX87" s="35" t="str">
        <f>IFERROR(INDEX('G-7 Rivers Data'!$AZ$3:$AZ$7,MATCH(N87,'G-7 Rivers Data'!$AY$3:$AY$7,0)),"")</f>
        <v/>
      </c>
    </row>
    <row r="88" spans="2:50" ht="13.8" x14ac:dyDescent="0.25">
      <c r="B88" s="259" t="str">
        <f>'F-1 Off Site River Baseline'!AN86</f>
        <v/>
      </c>
      <c r="C88" s="175" t="str">
        <f>IF(B88="","",VLOOKUP($B88,'F-1 Off Site River Baseline'!$C$9:$R$257,2,FALSE))</f>
        <v/>
      </c>
      <c r="D88" s="175" t="str">
        <f>IF(C88="","",VLOOKUP($B88,'F-1 Off Site River Baseline'!$C$9:$R$257,3,FALSE))</f>
        <v/>
      </c>
      <c r="E88" s="175" t="str">
        <f>IF(D88="","",VLOOKUP($B88,'F-1 Off Site River Baseline'!$C$9:$R$257,4,FALSE))</f>
        <v/>
      </c>
      <c r="F88" s="175" t="str">
        <f>IF(E88="","",VLOOKUP($B88,'F-1 Off Site River Baseline'!$C$9:$R$257,5,FALSE))</f>
        <v/>
      </c>
      <c r="G88" s="175" t="str">
        <f>IF(F88="","",VLOOKUP($B88,'F-1 Off Site River Baseline'!$C$9:$R$257,6,FALSE))</f>
        <v/>
      </c>
      <c r="H88" s="175" t="str">
        <f>IF(G88="","",VLOOKUP($B88,'F-1 Off Site River Baseline'!$C$9:$R$257,7,FALSE))</f>
        <v/>
      </c>
      <c r="I88" s="175" t="str">
        <f>IF(H88="","",VLOOKUP($B88,'F-1 Off Site River Baseline'!$C$9:$R$257,8,FALSE))</f>
        <v/>
      </c>
      <c r="J88" s="175" t="str">
        <f>IF(I88="","",VLOOKUP($B88,'F-1 Off Site River Baseline'!$C$9:$R$257,9,FALSE))</f>
        <v/>
      </c>
      <c r="K88" s="175" t="str">
        <f>IF(J88="","",VLOOKUP($B88,'F-1 Off Site River Baseline'!$C$9:$R$257,10,FALSE))</f>
        <v/>
      </c>
      <c r="L88" s="175" t="str">
        <f>IF(B88="","",VLOOKUP($B88,'C-1 Site River Baseline'!$C$9:$R$257,15,FALSE))</f>
        <v/>
      </c>
      <c r="M88" s="176" t="str">
        <f>IF(L88="","",VLOOKUP($B88,'F-1 Off Site River Baseline'!$C$9:$R$257,16,FALSE))</f>
        <v/>
      </c>
      <c r="N88" s="639" t="str">
        <f t="shared" si="10"/>
        <v/>
      </c>
      <c r="O88" s="171" t="str">
        <f t="shared" si="11"/>
        <v/>
      </c>
      <c r="P88" s="172" t="str">
        <f>IF(C88="","",IF(AND(LEFT(C88,55)&lt;&gt;LEFT(N88,55),O88="High - High"),"Error - Not like for like",IF(AND(F88=S88,H88&gt;U88),"Error - Can not reduce condition",IF(AND(F88=S88,H88=U88,AJ88='F-1 Off Site River Baseline'!N86,'F-1 Off Site River Baseline'!P86=AL88),"Error - No enhancement",IF(AND(C88&lt;&gt;N88,F88&lt;S88),"Lower Distinctiveness Habitat"&amp;" - "&amp;T88,G88&amp;" - "&amp;T88)))))</f>
        <v/>
      </c>
      <c r="Q88" s="260" t="str">
        <f>IF(N88="","",VLOOKUP(B88,'F-1 Off Site River Baseline'!$C$10:$AA$257,19,FALSE))</f>
        <v/>
      </c>
      <c r="R88" s="171" t="str">
        <f>IF(N88="","",VLOOKUP(N88,'G-7 Rivers Data'!$B$2:$G$8,2,FALSE))</f>
        <v/>
      </c>
      <c r="S88" s="172" t="str">
        <f>IFERROR(VLOOKUP(R88,'G-7 Rivers Data'!$C$4:$D$8,2,FALSE),"")</f>
        <v/>
      </c>
      <c r="T88" s="173"/>
      <c r="U88" s="172" t="str">
        <f>IFERROR(INDEX('G-7 Rivers Data'!$H$4:$L$8,MATCH(N88,'G-7 Rivers Data'!$B$4:$B$8,0),MATCH(T88,'G-7 Rivers Data'!$H$3:$L$3,0)),"")</f>
        <v/>
      </c>
      <c r="V88" s="186"/>
      <c r="W88" s="175" t="str">
        <f>IF(V88="","",IF(VLOOKUP(V88,'G-7 Rivers Data'!$AG$4:$AI$9,2,FALSE)=0,"Spatial Data Missing",VLOOKUP(V88,'G-7 Rivers Data'!$AG$4:$AI$9,2,FALSE)))</f>
        <v/>
      </c>
      <c r="X88" s="176" t="str">
        <f>IF(V88="","",IF(VLOOKUP(V88,'G-7 Rivers Data'!$AG$4:$AI$9,3,FALSE)=0,"Spatial Data Missing",VLOOKUP(V88,'G-7 Rivers Data'!$AG$4:$AI$9,3,FALSE)))</f>
        <v/>
      </c>
      <c r="Y88" s="239" t="str">
        <f>IFERROR(IF(OR(LEFT(P88,5)="Error",LEFT(O88,5)="Error"),"Check Data",IF(F88&lt;S88,'G-7 Rivers Data'!$R$3,INDEX('G-7 Rivers Data'!$U$5:$Y$9,MATCH(G88,'G-7 Rivers Data'!$T$5:$T$9,0),MATCH(T88,'G-7 Rivers Data'!$U$4:$Y$4,0)))),"")</f>
        <v/>
      </c>
      <c r="Z88" s="275"/>
      <c r="AA88" s="275"/>
      <c r="AB88" s="175" t="str">
        <f t="shared" si="12"/>
        <v/>
      </c>
      <c r="AC88" s="262" t="str">
        <f t="shared" si="13"/>
        <v/>
      </c>
      <c r="AD88" s="382" t="str">
        <f>IFERROR(IF(AC88="Check Data","Check Data",VLOOKUP(AC88,'G-4 Temporal multipliers'!$A$4:$C$37,3,FALSE)),"")</f>
        <v/>
      </c>
      <c r="AE88" s="239" t="str">
        <f>IF(N88="","",VLOOKUP(N88,'G-7 Rivers Data'!$B$4:$G$8,5,FALSE))</f>
        <v/>
      </c>
      <c r="AF88" s="175" t="str">
        <f t="shared" si="14"/>
        <v/>
      </c>
      <c r="AG88" s="175" t="str">
        <f t="shared" si="15"/>
        <v/>
      </c>
      <c r="AH88" s="176" t="str">
        <f t="shared" si="9"/>
        <v/>
      </c>
      <c r="AI88" s="173"/>
      <c r="AJ88" s="172" t="str">
        <f>IF(AI88="","",IF(VLOOKUP(AI88,'G-7 Rivers Data'!$AA$4:$AB$7,2,FALSE)=0,"Spatial Data Missing",VLOOKUP(AI88,'G-7 Rivers Data'!$AA$4:$AB$7,2,FALSE)))</f>
        <v/>
      </c>
      <c r="AK88" s="187"/>
      <c r="AL88" s="172" t="str">
        <f>IF(AK88="","",IF(VLOOKUP(AK88,'G-7 Rivers Data'!$AD$4:$AE$8,2,FALSE)=0,"Spatial Data Missing",VLOOKUP(AK88,'G-7 Rivers Data'!$AD$4:$AE$8,2,FALSE)))</f>
        <v/>
      </c>
      <c r="AM88" s="186"/>
      <c r="AN88" s="176" t="str">
        <f>IF(AM88="","",VLOOKUP(AM88,'G-7 Rivers Data'!$AO$4:$AP$7,2,FALSE))</f>
        <v/>
      </c>
      <c r="AO88" s="265" t="str">
        <f t="shared" si="16"/>
        <v/>
      </c>
      <c r="AP88" s="180"/>
      <c r="AQ88" s="181"/>
      <c r="AX88" s="35" t="str">
        <f>IFERROR(INDEX('G-7 Rivers Data'!$AZ$3:$AZ$7,MATCH(N88,'G-7 Rivers Data'!$AY$3:$AY$7,0)),"")</f>
        <v/>
      </c>
    </row>
    <row r="89" spans="2:50" ht="13.8" x14ac:dyDescent="0.25">
      <c r="B89" s="259" t="str">
        <f>'F-1 Off Site River Baseline'!AN87</f>
        <v/>
      </c>
      <c r="C89" s="175" t="str">
        <f>IF(B89="","",VLOOKUP($B89,'F-1 Off Site River Baseline'!$C$9:$R$257,2,FALSE))</f>
        <v/>
      </c>
      <c r="D89" s="175" t="str">
        <f>IF(C89="","",VLOOKUP($B89,'F-1 Off Site River Baseline'!$C$9:$R$257,3,FALSE))</f>
        <v/>
      </c>
      <c r="E89" s="175" t="str">
        <f>IF(D89="","",VLOOKUP($B89,'F-1 Off Site River Baseline'!$C$9:$R$257,4,FALSE))</f>
        <v/>
      </c>
      <c r="F89" s="175" t="str">
        <f>IF(E89="","",VLOOKUP($B89,'F-1 Off Site River Baseline'!$C$9:$R$257,5,FALSE))</f>
        <v/>
      </c>
      <c r="G89" s="175" t="str">
        <f>IF(F89="","",VLOOKUP($B89,'F-1 Off Site River Baseline'!$C$9:$R$257,6,FALSE))</f>
        <v/>
      </c>
      <c r="H89" s="175" t="str">
        <f>IF(G89="","",VLOOKUP($B89,'F-1 Off Site River Baseline'!$C$9:$R$257,7,FALSE))</f>
        <v/>
      </c>
      <c r="I89" s="175" t="str">
        <f>IF(H89="","",VLOOKUP($B89,'F-1 Off Site River Baseline'!$C$9:$R$257,8,FALSE))</f>
        <v/>
      </c>
      <c r="J89" s="175" t="str">
        <f>IF(I89="","",VLOOKUP($B89,'F-1 Off Site River Baseline'!$C$9:$R$257,9,FALSE))</f>
        <v/>
      </c>
      <c r="K89" s="175" t="str">
        <f>IF(J89="","",VLOOKUP($B89,'F-1 Off Site River Baseline'!$C$9:$R$257,10,FALSE))</f>
        <v/>
      </c>
      <c r="L89" s="175" t="str">
        <f>IF(B89="","",VLOOKUP($B89,'C-1 Site River Baseline'!$C$9:$R$257,15,FALSE))</f>
        <v/>
      </c>
      <c r="M89" s="176" t="str">
        <f>IF(L89="","",VLOOKUP($B89,'F-1 Off Site River Baseline'!$C$9:$R$257,16,FALSE))</f>
        <v/>
      </c>
      <c r="N89" s="639" t="str">
        <f t="shared" si="10"/>
        <v/>
      </c>
      <c r="O89" s="171" t="str">
        <f t="shared" si="11"/>
        <v/>
      </c>
      <c r="P89" s="172" t="str">
        <f>IF(C89="","",IF(AND(LEFT(C89,55)&lt;&gt;LEFT(N89,55),O89="High - High"),"Error - Not like for like",IF(AND(F89=S89,H89&gt;U89),"Error - Can not reduce condition",IF(AND(F89=S89,H89=U89,AJ89='F-1 Off Site River Baseline'!N87,'F-1 Off Site River Baseline'!P87=AL89),"Error - No enhancement",IF(AND(C89&lt;&gt;N89,F89&lt;S89),"Lower Distinctiveness Habitat"&amp;" - "&amp;T89,G89&amp;" - "&amp;T89)))))</f>
        <v/>
      </c>
      <c r="Q89" s="260" t="str">
        <f>IF(N89="","",VLOOKUP(B89,'F-1 Off Site River Baseline'!$C$10:$AA$257,19,FALSE))</f>
        <v/>
      </c>
      <c r="R89" s="171" t="str">
        <f>IF(N89="","",VLOOKUP(N89,'G-7 Rivers Data'!$B$2:$G$8,2,FALSE))</f>
        <v/>
      </c>
      <c r="S89" s="172" t="str">
        <f>IFERROR(VLOOKUP(R89,'G-7 Rivers Data'!$C$4:$D$8,2,FALSE),"")</f>
        <v/>
      </c>
      <c r="T89" s="173"/>
      <c r="U89" s="172" t="str">
        <f>IFERROR(INDEX('G-7 Rivers Data'!$H$4:$L$8,MATCH(N89,'G-7 Rivers Data'!$B$4:$B$8,0),MATCH(T89,'G-7 Rivers Data'!$H$3:$L$3,0)),"")</f>
        <v/>
      </c>
      <c r="V89" s="186"/>
      <c r="W89" s="175" t="str">
        <f>IF(V89="","",IF(VLOOKUP(V89,'G-7 Rivers Data'!$AG$4:$AI$9,2,FALSE)=0,"Spatial Data Missing",VLOOKUP(V89,'G-7 Rivers Data'!$AG$4:$AI$9,2,FALSE)))</f>
        <v/>
      </c>
      <c r="X89" s="176" t="str">
        <f>IF(V89="","",IF(VLOOKUP(V89,'G-7 Rivers Data'!$AG$4:$AI$9,3,FALSE)=0,"Spatial Data Missing",VLOOKUP(V89,'G-7 Rivers Data'!$AG$4:$AI$9,3,FALSE)))</f>
        <v/>
      </c>
      <c r="Y89" s="239" t="str">
        <f>IFERROR(IF(OR(LEFT(P89,5)="Error",LEFT(O89,5)="Error"),"Check Data",IF(F89&lt;S89,'G-7 Rivers Data'!$R$3,INDEX('G-7 Rivers Data'!$U$5:$Y$9,MATCH(G89,'G-7 Rivers Data'!$T$5:$T$9,0),MATCH(T89,'G-7 Rivers Data'!$U$4:$Y$4,0)))),"")</f>
        <v/>
      </c>
      <c r="Z89" s="275"/>
      <c r="AA89" s="275"/>
      <c r="AB89" s="175" t="str">
        <f t="shared" si="12"/>
        <v/>
      </c>
      <c r="AC89" s="262" t="str">
        <f t="shared" si="13"/>
        <v/>
      </c>
      <c r="AD89" s="382" t="str">
        <f>IFERROR(IF(AC89="Check Data","Check Data",VLOOKUP(AC89,'G-4 Temporal multipliers'!$A$4:$C$37,3,FALSE)),"")</f>
        <v/>
      </c>
      <c r="AE89" s="239" t="str">
        <f>IF(N89="","",VLOOKUP(N89,'G-7 Rivers Data'!$B$4:$G$8,5,FALSE))</f>
        <v/>
      </c>
      <c r="AF89" s="175" t="str">
        <f t="shared" si="14"/>
        <v/>
      </c>
      <c r="AG89" s="175" t="str">
        <f t="shared" si="15"/>
        <v/>
      </c>
      <c r="AH89" s="176" t="str">
        <f t="shared" si="9"/>
        <v/>
      </c>
      <c r="AI89" s="173"/>
      <c r="AJ89" s="172" t="str">
        <f>IF(AI89="","",IF(VLOOKUP(AI89,'G-7 Rivers Data'!$AA$4:$AB$7,2,FALSE)=0,"Spatial Data Missing",VLOOKUP(AI89,'G-7 Rivers Data'!$AA$4:$AB$7,2,FALSE)))</f>
        <v/>
      </c>
      <c r="AK89" s="187"/>
      <c r="AL89" s="172" t="str">
        <f>IF(AK89="","",IF(VLOOKUP(AK89,'G-7 Rivers Data'!$AD$4:$AE$8,2,FALSE)=0,"Spatial Data Missing",VLOOKUP(AK89,'G-7 Rivers Data'!$AD$4:$AE$8,2,FALSE)))</f>
        <v/>
      </c>
      <c r="AM89" s="186"/>
      <c r="AN89" s="176" t="str">
        <f>IF(AM89="","",VLOOKUP(AM89,'G-7 Rivers Data'!$AO$4:$AP$7,2,FALSE))</f>
        <v/>
      </c>
      <c r="AO89" s="265" t="str">
        <f t="shared" si="16"/>
        <v/>
      </c>
      <c r="AP89" s="180"/>
      <c r="AQ89" s="181"/>
      <c r="AX89" s="35" t="str">
        <f>IFERROR(INDEX('G-7 Rivers Data'!$AZ$3:$AZ$7,MATCH(N89,'G-7 Rivers Data'!$AY$3:$AY$7,0)),"")</f>
        <v/>
      </c>
    </row>
    <row r="90" spans="2:50" ht="13.8" x14ac:dyDescent="0.25">
      <c r="B90" s="259" t="str">
        <f>'F-1 Off Site River Baseline'!AN88</f>
        <v/>
      </c>
      <c r="C90" s="175" t="str">
        <f>IF(B90="","",VLOOKUP($B90,'F-1 Off Site River Baseline'!$C$9:$R$257,2,FALSE))</f>
        <v/>
      </c>
      <c r="D90" s="175" t="str">
        <f>IF(C90="","",VLOOKUP($B90,'F-1 Off Site River Baseline'!$C$9:$R$257,3,FALSE))</f>
        <v/>
      </c>
      <c r="E90" s="175" t="str">
        <f>IF(D90="","",VLOOKUP($B90,'F-1 Off Site River Baseline'!$C$9:$R$257,4,FALSE))</f>
        <v/>
      </c>
      <c r="F90" s="175" t="str">
        <f>IF(E90="","",VLOOKUP($B90,'F-1 Off Site River Baseline'!$C$9:$R$257,5,FALSE))</f>
        <v/>
      </c>
      <c r="G90" s="175" t="str">
        <f>IF(F90="","",VLOOKUP($B90,'F-1 Off Site River Baseline'!$C$9:$R$257,6,FALSE))</f>
        <v/>
      </c>
      <c r="H90" s="175" t="str">
        <f>IF(G90="","",VLOOKUP($B90,'F-1 Off Site River Baseline'!$C$9:$R$257,7,FALSE))</f>
        <v/>
      </c>
      <c r="I90" s="175" t="str">
        <f>IF(H90="","",VLOOKUP($B90,'F-1 Off Site River Baseline'!$C$9:$R$257,8,FALSE))</f>
        <v/>
      </c>
      <c r="J90" s="175" t="str">
        <f>IF(I90="","",VLOOKUP($B90,'F-1 Off Site River Baseline'!$C$9:$R$257,9,FALSE))</f>
        <v/>
      </c>
      <c r="K90" s="175" t="str">
        <f>IF(J90="","",VLOOKUP($B90,'F-1 Off Site River Baseline'!$C$9:$R$257,10,FALSE))</f>
        <v/>
      </c>
      <c r="L90" s="175" t="str">
        <f>IF(B90="","",VLOOKUP($B90,'C-1 Site River Baseline'!$C$9:$R$257,15,FALSE))</f>
        <v/>
      </c>
      <c r="M90" s="176" t="str">
        <f>IF(L90="","",VLOOKUP($B90,'F-1 Off Site River Baseline'!$C$9:$R$257,16,FALSE))</f>
        <v/>
      </c>
      <c r="N90" s="639" t="str">
        <f t="shared" si="10"/>
        <v/>
      </c>
      <c r="O90" s="171" t="str">
        <f t="shared" si="11"/>
        <v/>
      </c>
      <c r="P90" s="172" t="str">
        <f>IF(C90="","",IF(AND(LEFT(C90,55)&lt;&gt;LEFT(N90,55),O90="High - High"),"Error - Not like for like",IF(AND(F90=S90,H90&gt;U90),"Error - Can not reduce condition",IF(AND(F90=S90,H90=U90,AJ90='F-1 Off Site River Baseline'!N88,'F-1 Off Site River Baseline'!P88=AL90),"Error - No enhancement",IF(AND(C90&lt;&gt;N90,F90&lt;S90),"Lower Distinctiveness Habitat"&amp;" - "&amp;T90,G90&amp;" - "&amp;T90)))))</f>
        <v/>
      </c>
      <c r="Q90" s="260" t="str">
        <f>IF(N90="","",VLOOKUP(B90,'F-1 Off Site River Baseline'!$C$10:$AA$257,19,FALSE))</f>
        <v/>
      </c>
      <c r="R90" s="171" t="str">
        <f>IF(N90="","",VLOOKUP(N90,'G-7 Rivers Data'!$B$2:$G$8,2,FALSE))</f>
        <v/>
      </c>
      <c r="S90" s="172" t="str">
        <f>IFERROR(VLOOKUP(R90,'G-7 Rivers Data'!$C$4:$D$8,2,FALSE),"")</f>
        <v/>
      </c>
      <c r="T90" s="173"/>
      <c r="U90" s="172" t="str">
        <f>IFERROR(INDEX('G-7 Rivers Data'!$H$4:$L$8,MATCH(N90,'G-7 Rivers Data'!$B$4:$B$8,0),MATCH(T90,'G-7 Rivers Data'!$H$3:$L$3,0)),"")</f>
        <v/>
      </c>
      <c r="V90" s="186"/>
      <c r="W90" s="175" t="str">
        <f>IF(V90="","",IF(VLOOKUP(V90,'G-7 Rivers Data'!$AG$4:$AI$9,2,FALSE)=0,"Spatial Data Missing",VLOOKUP(V90,'G-7 Rivers Data'!$AG$4:$AI$9,2,FALSE)))</f>
        <v/>
      </c>
      <c r="X90" s="176" t="str">
        <f>IF(V90="","",IF(VLOOKUP(V90,'G-7 Rivers Data'!$AG$4:$AI$9,3,FALSE)=0,"Spatial Data Missing",VLOOKUP(V90,'G-7 Rivers Data'!$AG$4:$AI$9,3,FALSE)))</f>
        <v/>
      </c>
      <c r="Y90" s="239" t="str">
        <f>IFERROR(IF(OR(LEFT(P90,5)="Error",LEFT(O90,5)="Error"),"Check Data",IF(F90&lt;S90,'G-7 Rivers Data'!$R$3,INDEX('G-7 Rivers Data'!$U$5:$Y$9,MATCH(G90,'G-7 Rivers Data'!$T$5:$T$9,0),MATCH(T90,'G-7 Rivers Data'!$U$4:$Y$4,0)))),"")</f>
        <v/>
      </c>
      <c r="Z90" s="275"/>
      <c r="AA90" s="275"/>
      <c r="AB90" s="175" t="str">
        <f t="shared" si="12"/>
        <v/>
      </c>
      <c r="AC90" s="262" t="str">
        <f t="shared" si="13"/>
        <v/>
      </c>
      <c r="AD90" s="382" t="str">
        <f>IFERROR(IF(AC90="Check Data","Check Data",VLOOKUP(AC90,'G-4 Temporal multipliers'!$A$4:$C$37,3,FALSE)),"")</f>
        <v/>
      </c>
      <c r="AE90" s="239" t="str">
        <f>IF(N90="","",VLOOKUP(N90,'G-7 Rivers Data'!$B$4:$G$8,5,FALSE))</f>
        <v/>
      </c>
      <c r="AF90" s="175" t="str">
        <f t="shared" si="14"/>
        <v/>
      </c>
      <c r="AG90" s="175" t="str">
        <f t="shared" si="15"/>
        <v/>
      </c>
      <c r="AH90" s="176" t="str">
        <f t="shared" si="9"/>
        <v/>
      </c>
      <c r="AI90" s="173"/>
      <c r="AJ90" s="172" t="str">
        <f>IF(AI90="","",IF(VLOOKUP(AI90,'G-7 Rivers Data'!$AA$4:$AB$7,2,FALSE)=0,"Spatial Data Missing",VLOOKUP(AI90,'G-7 Rivers Data'!$AA$4:$AB$7,2,FALSE)))</f>
        <v/>
      </c>
      <c r="AK90" s="187"/>
      <c r="AL90" s="172" t="str">
        <f>IF(AK90="","",IF(VLOOKUP(AK90,'G-7 Rivers Data'!$AD$4:$AE$8,2,FALSE)=0,"Spatial Data Missing",VLOOKUP(AK90,'G-7 Rivers Data'!$AD$4:$AE$8,2,FALSE)))</f>
        <v/>
      </c>
      <c r="AM90" s="186"/>
      <c r="AN90" s="176" t="str">
        <f>IF(AM90="","",VLOOKUP(AM90,'G-7 Rivers Data'!$AO$4:$AP$7,2,FALSE))</f>
        <v/>
      </c>
      <c r="AO90" s="265" t="str">
        <f t="shared" si="16"/>
        <v/>
      </c>
      <c r="AP90" s="180"/>
      <c r="AQ90" s="181"/>
      <c r="AX90" s="35" t="str">
        <f>IFERROR(INDEX('G-7 Rivers Data'!$AZ$3:$AZ$7,MATCH(N90,'G-7 Rivers Data'!$AY$3:$AY$7,0)),"")</f>
        <v/>
      </c>
    </row>
    <row r="91" spans="2:50" ht="13.8" x14ac:dyDescent="0.25">
      <c r="B91" s="259" t="str">
        <f>'F-1 Off Site River Baseline'!AN89</f>
        <v/>
      </c>
      <c r="C91" s="175" t="str">
        <f>IF(B91="","",VLOOKUP($B91,'F-1 Off Site River Baseline'!$C$9:$R$257,2,FALSE))</f>
        <v/>
      </c>
      <c r="D91" s="175" t="str">
        <f>IF(C91="","",VLOOKUP($B91,'F-1 Off Site River Baseline'!$C$9:$R$257,3,FALSE))</f>
        <v/>
      </c>
      <c r="E91" s="175" t="str">
        <f>IF(D91="","",VLOOKUP($B91,'F-1 Off Site River Baseline'!$C$9:$R$257,4,FALSE))</f>
        <v/>
      </c>
      <c r="F91" s="175" t="str">
        <f>IF(E91="","",VLOOKUP($B91,'F-1 Off Site River Baseline'!$C$9:$R$257,5,FALSE))</f>
        <v/>
      </c>
      <c r="G91" s="175" t="str">
        <f>IF(F91="","",VLOOKUP($B91,'F-1 Off Site River Baseline'!$C$9:$R$257,6,FALSE))</f>
        <v/>
      </c>
      <c r="H91" s="175" t="str">
        <f>IF(G91="","",VLOOKUP($B91,'F-1 Off Site River Baseline'!$C$9:$R$257,7,FALSE))</f>
        <v/>
      </c>
      <c r="I91" s="175" t="str">
        <f>IF(H91="","",VLOOKUP($B91,'F-1 Off Site River Baseline'!$C$9:$R$257,8,FALSE))</f>
        <v/>
      </c>
      <c r="J91" s="175" t="str">
        <f>IF(I91="","",VLOOKUP($B91,'F-1 Off Site River Baseline'!$C$9:$R$257,9,FALSE))</f>
        <v/>
      </c>
      <c r="K91" s="175" t="str">
        <f>IF(J91="","",VLOOKUP($B91,'F-1 Off Site River Baseline'!$C$9:$R$257,10,FALSE))</f>
        <v/>
      </c>
      <c r="L91" s="175" t="str">
        <f>IF(B91="","",VLOOKUP($B91,'C-1 Site River Baseline'!$C$9:$R$257,15,FALSE))</f>
        <v/>
      </c>
      <c r="M91" s="176" t="str">
        <f>IF(L91="","",VLOOKUP($B91,'F-1 Off Site River Baseline'!$C$9:$R$257,16,FALSE))</f>
        <v/>
      </c>
      <c r="N91" s="639" t="str">
        <f t="shared" si="10"/>
        <v/>
      </c>
      <c r="O91" s="171" t="str">
        <f t="shared" si="11"/>
        <v/>
      </c>
      <c r="P91" s="172" t="str">
        <f>IF(C91="","",IF(AND(LEFT(C91,55)&lt;&gt;LEFT(N91,55),O91="High - High"),"Error - Not like for like",IF(AND(F91=S91,H91&gt;U91),"Error - Can not reduce condition",IF(AND(F91=S91,H91=U91,AJ91='F-1 Off Site River Baseline'!N89,'F-1 Off Site River Baseline'!P89=AL91),"Error - No enhancement",IF(AND(C91&lt;&gt;N91,F91&lt;S91),"Lower Distinctiveness Habitat"&amp;" - "&amp;T91,G91&amp;" - "&amp;T91)))))</f>
        <v/>
      </c>
      <c r="Q91" s="260" t="str">
        <f>IF(N91="","",VLOOKUP(B91,'F-1 Off Site River Baseline'!$C$10:$AA$257,19,FALSE))</f>
        <v/>
      </c>
      <c r="R91" s="171" t="str">
        <f>IF(N91="","",VLOOKUP(N91,'G-7 Rivers Data'!$B$2:$G$8,2,FALSE))</f>
        <v/>
      </c>
      <c r="S91" s="172" t="str">
        <f>IFERROR(VLOOKUP(R91,'G-7 Rivers Data'!$C$4:$D$8,2,FALSE),"")</f>
        <v/>
      </c>
      <c r="T91" s="173"/>
      <c r="U91" s="172" t="str">
        <f>IFERROR(INDEX('G-7 Rivers Data'!$H$4:$L$8,MATCH(N91,'G-7 Rivers Data'!$B$4:$B$8,0),MATCH(T91,'G-7 Rivers Data'!$H$3:$L$3,0)),"")</f>
        <v/>
      </c>
      <c r="V91" s="186"/>
      <c r="W91" s="175" t="str">
        <f>IF(V91="","",IF(VLOOKUP(V91,'G-7 Rivers Data'!$AG$4:$AI$9,2,FALSE)=0,"Spatial Data Missing",VLOOKUP(V91,'G-7 Rivers Data'!$AG$4:$AI$9,2,FALSE)))</f>
        <v/>
      </c>
      <c r="X91" s="176" t="str">
        <f>IF(V91="","",IF(VLOOKUP(V91,'G-7 Rivers Data'!$AG$4:$AI$9,3,FALSE)=0,"Spatial Data Missing",VLOOKUP(V91,'G-7 Rivers Data'!$AG$4:$AI$9,3,FALSE)))</f>
        <v/>
      </c>
      <c r="Y91" s="239" t="str">
        <f>IFERROR(IF(OR(LEFT(P91,5)="Error",LEFT(O91,5)="Error"),"Check Data",IF(F91&lt;S91,'G-7 Rivers Data'!$R$3,INDEX('G-7 Rivers Data'!$U$5:$Y$9,MATCH(G91,'G-7 Rivers Data'!$T$5:$T$9,0),MATCH(T91,'G-7 Rivers Data'!$U$4:$Y$4,0)))),"")</f>
        <v/>
      </c>
      <c r="Z91" s="275"/>
      <c r="AA91" s="275"/>
      <c r="AB91" s="175" t="str">
        <f t="shared" si="12"/>
        <v/>
      </c>
      <c r="AC91" s="262" t="str">
        <f t="shared" si="13"/>
        <v/>
      </c>
      <c r="AD91" s="382" t="str">
        <f>IFERROR(IF(AC91="Check Data","Check Data",VLOOKUP(AC91,'G-4 Temporal multipliers'!$A$4:$C$37,3,FALSE)),"")</f>
        <v/>
      </c>
      <c r="AE91" s="239" t="str">
        <f>IF(N91="","",VLOOKUP(N91,'G-7 Rivers Data'!$B$4:$G$8,5,FALSE))</f>
        <v/>
      </c>
      <c r="AF91" s="175" t="str">
        <f t="shared" si="14"/>
        <v/>
      </c>
      <c r="AG91" s="175" t="str">
        <f t="shared" si="15"/>
        <v/>
      </c>
      <c r="AH91" s="176" t="str">
        <f t="shared" si="9"/>
        <v/>
      </c>
      <c r="AI91" s="173"/>
      <c r="AJ91" s="172" t="str">
        <f>IF(AI91="","",IF(VLOOKUP(AI91,'G-7 Rivers Data'!$AA$4:$AB$7,2,FALSE)=0,"Spatial Data Missing",VLOOKUP(AI91,'G-7 Rivers Data'!$AA$4:$AB$7,2,FALSE)))</f>
        <v/>
      </c>
      <c r="AK91" s="187"/>
      <c r="AL91" s="172" t="str">
        <f>IF(AK91="","",IF(VLOOKUP(AK91,'G-7 Rivers Data'!$AD$4:$AE$8,2,FALSE)=0,"Spatial Data Missing",VLOOKUP(AK91,'G-7 Rivers Data'!$AD$4:$AE$8,2,FALSE)))</f>
        <v/>
      </c>
      <c r="AM91" s="186"/>
      <c r="AN91" s="176" t="str">
        <f>IF(AM91="","",VLOOKUP(AM91,'G-7 Rivers Data'!$AO$4:$AP$7,2,FALSE))</f>
        <v/>
      </c>
      <c r="AO91" s="265" t="str">
        <f t="shared" si="16"/>
        <v/>
      </c>
      <c r="AP91" s="180"/>
      <c r="AQ91" s="181"/>
      <c r="AX91" s="35" t="str">
        <f>IFERROR(INDEX('G-7 Rivers Data'!$AZ$3:$AZ$7,MATCH(N91,'G-7 Rivers Data'!$AY$3:$AY$7,0)),"")</f>
        <v/>
      </c>
    </row>
    <row r="92" spans="2:50" ht="13.8" x14ac:dyDescent="0.25">
      <c r="B92" s="259" t="str">
        <f>'F-1 Off Site River Baseline'!AN90</f>
        <v/>
      </c>
      <c r="C92" s="175" t="str">
        <f>IF(B92="","",VLOOKUP($B92,'F-1 Off Site River Baseline'!$C$9:$R$257,2,FALSE))</f>
        <v/>
      </c>
      <c r="D92" s="175" t="str">
        <f>IF(C92="","",VLOOKUP($B92,'F-1 Off Site River Baseline'!$C$9:$R$257,3,FALSE))</f>
        <v/>
      </c>
      <c r="E92" s="175" t="str">
        <f>IF(D92="","",VLOOKUP($B92,'F-1 Off Site River Baseline'!$C$9:$R$257,4,FALSE))</f>
        <v/>
      </c>
      <c r="F92" s="175" t="str">
        <f>IF(E92="","",VLOOKUP($B92,'F-1 Off Site River Baseline'!$C$9:$R$257,5,FALSE))</f>
        <v/>
      </c>
      <c r="G92" s="175" t="str">
        <f>IF(F92="","",VLOOKUP($B92,'F-1 Off Site River Baseline'!$C$9:$R$257,6,FALSE))</f>
        <v/>
      </c>
      <c r="H92" s="175" t="str">
        <f>IF(G92="","",VLOOKUP($B92,'F-1 Off Site River Baseline'!$C$9:$R$257,7,FALSE))</f>
        <v/>
      </c>
      <c r="I92" s="175" t="str">
        <f>IF(H92="","",VLOOKUP($B92,'F-1 Off Site River Baseline'!$C$9:$R$257,8,FALSE))</f>
        <v/>
      </c>
      <c r="J92" s="175" t="str">
        <f>IF(I92="","",VLOOKUP($B92,'F-1 Off Site River Baseline'!$C$9:$R$257,9,FALSE))</f>
        <v/>
      </c>
      <c r="K92" s="175" t="str">
        <f>IF(J92="","",VLOOKUP($B92,'F-1 Off Site River Baseline'!$C$9:$R$257,10,FALSE))</f>
        <v/>
      </c>
      <c r="L92" s="175" t="str">
        <f>IF(B92="","",VLOOKUP($B92,'C-1 Site River Baseline'!$C$9:$R$257,15,FALSE))</f>
        <v/>
      </c>
      <c r="M92" s="176" t="str">
        <f>IF(L92="","",VLOOKUP($B92,'F-1 Off Site River Baseline'!$C$9:$R$257,16,FALSE))</f>
        <v/>
      </c>
      <c r="N92" s="639" t="str">
        <f t="shared" si="10"/>
        <v/>
      </c>
      <c r="O92" s="171" t="str">
        <f t="shared" si="11"/>
        <v/>
      </c>
      <c r="P92" s="172" t="str">
        <f>IF(C92="","",IF(AND(LEFT(C92,55)&lt;&gt;LEFT(N92,55),O92="High - High"),"Error - Not like for like",IF(AND(F92=S92,H92&gt;U92),"Error - Can not reduce condition",IF(AND(F92=S92,H92=U92,AJ92='F-1 Off Site River Baseline'!N90,'F-1 Off Site River Baseline'!P90=AL92),"Error - No enhancement",IF(AND(C92&lt;&gt;N92,F92&lt;S92),"Lower Distinctiveness Habitat"&amp;" - "&amp;T92,G92&amp;" - "&amp;T92)))))</f>
        <v/>
      </c>
      <c r="Q92" s="260" t="str">
        <f>IF(N92="","",VLOOKUP(B92,'F-1 Off Site River Baseline'!$C$10:$AA$257,19,FALSE))</f>
        <v/>
      </c>
      <c r="R92" s="171" t="str">
        <f>IF(N92="","",VLOOKUP(N92,'G-7 Rivers Data'!$B$2:$G$8,2,FALSE))</f>
        <v/>
      </c>
      <c r="S92" s="172" t="str">
        <f>IFERROR(VLOOKUP(R92,'G-7 Rivers Data'!$C$4:$D$8,2,FALSE),"")</f>
        <v/>
      </c>
      <c r="T92" s="173"/>
      <c r="U92" s="172" t="str">
        <f>IFERROR(INDEX('G-7 Rivers Data'!$H$4:$L$8,MATCH(N92,'G-7 Rivers Data'!$B$4:$B$8,0),MATCH(T92,'G-7 Rivers Data'!$H$3:$L$3,0)),"")</f>
        <v/>
      </c>
      <c r="V92" s="186"/>
      <c r="W92" s="175" t="str">
        <f>IF(V92="","",IF(VLOOKUP(V92,'G-7 Rivers Data'!$AG$4:$AI$9,2,FALSE)=0,"Spatial Data Missing",VLOOKUP(V92,'G-7 Rivers Data'!$AG$4:$AI$9,2,FALSE)))</f>
        <v/>
      </c>
      <c r="X92" s="176" t="str">
        <f>IF(V92="","",IF(VLOOKUP(V92,'G-7 Rivers Data'!$AG$4:$AI$9,3,FALSE)=0,"Spatial Data Missing",VLOOKUP(V92,'G-7 Rivers Data'!$AG$4:$AI$9,3,FALSE)))</f>
        <v/>
      </c>
      <c r="Y92" s="239" t="str">
        <f>IFERROR(IF(OR(LEFT(P92,5)="Error",LEFT(O92,5)="Error"),"Check Data",IF(F92&lt;S92,'G-7 Rivers Data'!$R$3,INDEX('G-7 Rivers Data'!$U$5:$Y$9,MATCH(G92,'G-7 Rivers Data'!$T$5:$T$9,0),MATCH(T92,'G-7 Rivers Data'!$U$4:$Y$4,0)))),"")</f>
        <v/>
      </c>
      <c r="Z92" s="275"/>
      <c r="AA92" s="275"/>
      <c r="AB92" s="175" t="str">
        <f t="shared" si="12"/>
        <v/>
      </c>
      <c r="AC92" s="262" t="str">
        <f t="shared" si="13"/>
        <v/>
      </c>
      <c r="AD92" s="382" t="str">
        <f>IFERROR(IF(AC92="Check Data","Check Data",VLOOKUP(AC92,'G-4 Temporal multipliers'!$A$4:$C$37,3,FALSE)),"")</f>
        <v/>
      </c>
      <c r="AE92" s="239" t="str">
        <f>IF(N92="","",VLOOKUP(N92,'G-7 Rivers Data'!$B$4:$G$8,5,FALSE))</f>
        <v/>
      </c>
      <c r="AF92" s="175" t="str">
        <f t="shared" si="14"/>
        <v/>
      </c>
      <c r="AG92" s="175" t="str">
        <f t="shared" si="15"/>
        <v/>
      </c>
      <c r="AH92" s="176" t="str">
        <f t="shared" si="9"/>
        <v/>
      </c>
      <c r="AI92" s="173"/>
      <c r="AJ92" s="172" t="str">
        <f>IF(AI92="","",IF(VLOOKUP(AI92,'G-7 Rivers Data'!$AA$4:$AB$7,2,FALSE)=0,"Spatial Data Missing",VLOOKUP(AI92,'G-7 Rivers Data'!$AA$4:$AB$7,2,FALSE)))</f>
        <v/>
      </c>
      <c r="AK92" s="187"/>
      <c r="AL92" s="172" t="str">
        <f>IF(AK92="","",IF(VLOOKUP(AK92,'G-7 Rivers Data'!$AD$4:$AE$8,2,FALSE)=0,"Spatial Data Missing",VLOOKUP(AK92,'G-7 Rivers Data'!$AD$4:$AE$8,2,FALSE)))</f>
        <v/>
      </c>
      <c r="AM92" s="186"/>
      <c r="AN92" s="176" t="str">
        <f>IF(AM92="","",VLOOKUP(AM92,'G-7 Rivers Data'!$AO$4:$AP$7,2,FALSE))</f>
        <v/>
      </c>
      <c r="AO92" s="265" t="str">
        <f t="shared" si="16"/>
        <v/>
      </c>
      <c r="AP92" s="180"/>
      <c r="AQ92" s="181"/>
      <c r="AX92" s="35" t="str">
        <f>IFERROR(INDEX('G-7 Rivers Data'!$AZ$3:$AZ$7,MATCH(N92,'G-7 Rivers Data'!$AY$3:$AY$7,0)),"")</f>
        <v/>
      </c>
    </row>
    <row r="93" spans="2:50" ht="13.8" x14ac:dyDescent="0.25">
      <c r="B93" s="259" t="str">
        <f>'F-1 Off Site River Baseline'!AN91</f>
        <v/>
      </c>
      <c r="C93" s="175" t="str">
        <f>IF(B93="","",VLOOKUP($B93,'F-1 Off Site River Baseline'!$C$9:$R$257,2,FALSE))</f>
        <v/>
      </c>
      <c r="D93" s="175" t="str">
        <f>IF(C93="","",VLOOKUP($B93,'F-1 Off Site River Baseline'!$C$9:$R$257,3,FALSE))</f>
        <v/>
      </c>
      <c r="E93" s="175" t="str">
        <f>IF(D93="","",VLOOKUP($B93,'F-1 Off Site River Baseline'!$C$9:$R$257,4,FALSE))</f>
        <v/>
      </c>
      <c r="F93" s="175" t="str">
        <f>IF(E93="","",VLOOKUP($B93,'F-1 Off Site River Baseline'!$C$9:$R$257,5,FALSE))</f>
        <v/>
      </c>
      <c r="G93" s="175" t="str">
        <f>IF(F93="","",VLOOKUP($B93,'F-1 Off Site River Baseline'!$C$9:$R$257,6,FALSE))</f>
        <v/>
      </c>
      <c r="H93" s="175" t="str">
        <f>IF(G93="","",VLOOKUP($B93,'F-1 Off Site River Baseline'!$C$9:$R$257,7,FALSE))</f>
        <v/>
      </c>
      <c r="I93" s="175" t="str">
        <f>IF(H93="","",VLOOKUP($B93,'F-1 Off Site River Baseline'!$C$9:$R$257,8,FALSE))</f>
        <v/>
      </c>
      <c r="J93" s="175" t="str">
        <f>IF(I93="","",VLOOKUP($B93,'F-1 Off Site River Baseline'!$C$9:$R$257,9,FALSE))</f>
        <v/>
      </c>
      <c r="K93" s="175" t="str">
        <f>IF(J93="","",VLOOKUP($B93,'F-1 Off Site River Baseline'!$C$9:$R$257,10,FALSE))</f>
        <v/>
      </c>
      <c r="L93" s="175" t="str">
        <f>IF(B93="","",VLOOKUP($B93,'C-1 Site River Baseline'!$C$9:$R$257,15,FALSE))</f>
        <v/>
      </c>
      <c r="M93" s="176" t="str">
        <f>IF(L93="","",VLOOKUP($B93,'F-1 Off Site River Baseline'!$C$9:$R$257,16,FALSE))</f>
        <v/>
      </c>
      <c r="N93" s="639" t="str">
        <f t="shared" si="10"/>
        <v/>
      </c>
      <c r="O93" s="171" t="str">
        <f t="shared" si="11"/>
        <v/>
      </c>
      <c r="P93" s="172" t="str">
        <f>IF(C93="","",IF(AND(LEFT(C93,55)&lt;&gt;LEFT(N93,55),O93="High - High"),"Error - Not like for like",IF(AND(F93=S93,H93&gt;U93),"Error - Can not reduce condition",IF(AND(F93=S93,H93=U93,AJ93='F-1 Off Site River Baseline'!N91,'F-1 Off Site River Baseline'!P91=AL93),"Error - No enhancement",IF(AND(C93&lt;&gt;N93,F93&lt;S93),"Lower Distinctiveness Habitat"&amp;" - "&amp;T93,G93&amp;" - "&amp;T93)))))</f>
        <v/>
      </c>
      <c r="Q93" s="260" t="str">
        <f>IF(N93="","",VLOOKUP(B93,'F-1 Off Site River Baseline'!$C$10:$AA$257,19,FALSE))</f>
        <v/>
      </c>
      <c r="R93" s="171" t="str">
        <f>IF(N93="","",VLOOKUP(N93,'G-7 Rivers Data'!$B$2:$G$8,2,FALSE))</f>
        <v/>
      </c>
      <c r="S93" s="172" t="str">
        <f>IFERROR(VLOOKUP(R93,'G-7 Rivers Data'!$C$4:$D$8,2,FALSE),"")</f>
        <v/>
      </c>
      <c r="T93" s="173"/>
      <c r="U93" s="172" t="str">
        <f>IFERROR(INDEX('G-7 Rivers Data'!$H$4:$L$8,MATCH(N93,'G-7 Rivers Data'!$B$4:$B$8,0),MATCH(T93,'G-7 Rivers Data'!$H$3:$L$3,0)),"")</f>
        <v/>
      </c>
      <c r="V93" s="186"/>
      <c r="W93" s="175" t="str">
        <f>IF(V93="","",IF(VLOOKUP(V93,'G-7 Rivers Data'!$AG$4:$AI$9,2,FALSE)=0,"Spatial Data Missing",VLOOKUP(V93,'G-7 Rivers Data'!$AG$4:$AI$9,2,FALSE)))</f>
        <v/>
      </c>
      <c r="X93" s="176" t="str">
        <f>IF(V93="","",IF(VLOOKUP(V93,'G-7 Rivers Data'!$AG$4:$AI$9,3,FALSE)=0,"Spatial Data Missing",VLOOKUP(V93,'G-7 Rivers Data'!$AG$4:$AI$9,3,FALSE)))</f>
        <v/>
      </c>
      <c r="Y93" s="239" t="str">
        <f>IFERROR(IF(OR(LEFT(P93,5)="Error",LEFT(O93,5)="Error"),"Check Data",IF(F93&lt;S93,'G-7 Rivers Data'!$R$3,INDEX('G-7 Rivers Data'!$U$5:$Y$9,MATCH(G93,'G-7 Rivers Data'!$T$5:$T$9,0),MATCH(T93,'G-7 Rivers Data'!$U$4:$Y$4,0)))),"")</f>
        <v/>
      </c>
      <c r="Z93" s="275"/>
      <c r="AA93" s="275"/>
      <c r="AB93" s="175" t="str">
        <f t="shared" si="12"/>
        <v/>
      </c>
      <c r="AC93" s="262" t="str">
        <f t="shared" si="13"/>
        <v/>
      </c>
      <c r="AD93" s="382" t="str">
        <f>IFERROR(IF(AC93="Check Data","Check Data",VLOOKUP(AC93,'G-4 Temporal multipliers'!$A$4:$C$37,3,FALSE)),"")</f>
        <v/>
      </c>
      <c r="AE93" s="239" t="str">
        <f>IF(N93="","",VLOOKUP(N93,'G-7 Rivers Data'!$B$4:$G$8,5,FALSE))</f>
        <v/>
      </c>
      <c r="AF93" s="175" t="str">
        <f t="shared" si="14"/>
        <v/>
      </c>
      <c r="AG93" s="175" t="str">
        <f t="shared" si="15"/>
        <v/>
      </c>
      <c r="AH93" s="176" t="str">
        <f t="shared" si="9"/>
        <v/>
      </c>
      <c r="AI93" s="173"/>
      <c r="AJ93" s="172" t="str">
        <f>IF(AI93="","",IF(VLOOKUP(AI93,'G-7 Rivers Data'!$AA$4:$AB$7,2,FALSE)=0,"Spatial Data Missing",VLOOKUP(AI93,'G-7 Rivers Data'!$AA$4:$AB$7,2,FALSE)))</f>
        <v/>
      </c>
      <c r="AK93" s="187"/>
      <c r="AL93" s="172" t="str">
        <f>IF(AK93="","",IF(VLOOKUP(AK93,'G-7 Rivers Data'!$AD$4:$AE$8,2,FALSE)=0,"Spatial Data Missing",VLOOKUP(AK93,'G-7 Rivers Data'!$AD$4:$AE$8,2,FALSE)))</f>
        <v/>
      </c>
      <c r="AM93" s="186"/>
      <c r="AN93" s="176" t="str">
        <f>IF(AM93="","",VLOOKUP(AM93,'G-7 Rivers Data'!$AO$4:$AP$7,2,FALSE))</f>
        <v/>
      </c>
      <c r="AO93" s="265" t="str">
        <f t="shared" si="16"/>
        <v/>
      </c>
      <c r="AP93" s="180"/>
      <c r="AQ93" s="181"/>
      <c r="AX93" s="35" t="str">
        <f>IFERROR(INDEX('G-7 Rivers Data'!$AZ$3:$AZ$7,MATCH(N93,'G-7 Rivers Data'!$AY$3:$AY$7,0)),"")</f>
        <v/>
      </c>
    </row>
    <row r="94" spans="2:50" ht="13.8" x14ac:dyDescent="0.25">
      <c r="B94" s="259" t="str">
        <f>'F-1 Off Site River Baseline'!AN92</f>
        <v/>
      </c>
      <c r="C94" s="175" t="str">
        <f>IF(B94="","",VLOOKUP($B94,'F-1 Off Site River Baseline'!$C$9:$R$257,2,FALSE))</f>
        <v/>
      </c>
      <c r="D94" s="175" t="str">
        <f>IF(C94="","",VLOOKUP($B94,'F-1 Off Site River Baseline'!$C$9:$R$257,3,FALSE))</f>
        <v/>
      </c>
      <c r="E94" s="175" t="str">
        <f>IF(D94="","",VLOOKUP($B94,'F-1 Off Site River Baseline'!$C$9:$R$257,4,FALSE))</f>
        <v/>
      </c>
      <c r="F94" s="175" t="str">
        <f>IF(E94="","",VLOOKUP($B94,'F-1 Off Site River Baseline'!$C$9:$R$257,5,FALSE))</f>
        <v/>
      </c>
      <c r="G94" s="175" t="str">
        <f>IF(F94="","",VLOOKUP($B94,'F-1 Off Site River Baseline'!$C$9:$R$257,6,FALSE))</f>
        <v/>
      </c>
      <c r="H94" s="175" t="str">
        <f>IF(G94="","",VLOOKUP($B94,'F-1 Off Site River Baseline'!$C$9:$R$257,7,FALSE))</f>
        <v/>
      </c>
      <c r="I94" s="175" t="str">
        <f>IF(H94="","",VLOOKUP($B94,'F-1 Off Site River Baseline'!$C$9:$R$257,8,FALSE))</f>
        <v/>
      </c>
      <c r="J94" s="175" t="str">
        <f>IF(I94="","",VLOOKUP($B94,'F-1 Off Site River Baseline'!$C$9:$R$257,9,FALSE))</f>
        <v/>
      </c>
      <c r="K94" s="175" t="str">
        <f>IF(J94="","",VLOOKUP($B94,'F-1 Off Site River Baseline'!$C$9:$R$257,10,FALSE))</f>
        <v/>
      </c>
      <c r="L94" s="175" t="str">
        <f>IF(B94="","",VLOOKUP($B94,'C-1 Site River Baseline'!$C$9:$R$257,15,FALSE))</f>
        <v/>
      </c>
      <c r="M94" s="176" t="str">
        <f>IF(L94="","",VLOOKUP($B94,'F-1 Off Site River Baseline'!$C$9:$R$257,16,FALSE))</f>
        <v/>
      </c>
      <c r="N94" s="639" t="str">
        <f t="shared" si="10"/>
        <v/>
      </c>
      <c r="O94" s="171" t="str">
        <f t="shared" si="11"/>
        <v/>
      </c>
      <c r="P94" s="172" t="str">
        <f>IF(C94="","",IF(AND(LEFT(C94,55)&lt;&gt;LEFT(N94,55),O94="High - High"),"Error - Not like for like",IF(AND(F94=S94,H94&gt;U94),"Error - Can not reduce condition",IF(AND(F94=S94,H94=U94,AJ94='F-1 Off Site River Baseline'!N92,'F-1 Off Site River Baseline'!P92=AL94),"Error - No enhancement",IF(AND(C94&lt;&gt;N94,F94&lt;S94),"Lower Distinctiveness Habitat"&amp;" - "&amp;T94,G94&amp;" - "&amp;T94)))))</f>
        <v/>
      </c>
      <c r="Q94" s="260" t="str">
        <f>IF(N94="","",VLOOKUP(B94,'F-1 Off Site River Baseline'!$C$10:$AA$257,19,FALSE))</f>
        <v/>
      </c>
      <c r="R94" s="171" t="str">
        <f>IF(N94="","",VLOOKUP(N94,'G-7 Rivers Data'!$B$2:$G$8,2,FALSE))</f>
        <v/>
      </c>
      <c r="S94" s="172" t="str">
        <f>IFERROR(VLOOKUP(R94,'G-7 Rivers Data'!$C$4:$D$8,2,FALSE),"")</f>
        <v/>
      </c>
      <c r="T94" s="173"/>
      <c r="U94" s="172" t="str">
        <f>IFERROR(INDEX('G-7 Rivers Data'!$H$4:$L$8,MATCH(N94,'G-7 Rivers Data'!$B$4:$B$8,0),MATCH(T94,'G-7 Rivers Data'!$H$3:$L$3,0)),"")</f>
        <v/>
      </c>
      <c r="V94" s="186"/>
      <c r="W94" s="175" t="str">
        <f>IF(V94="","",IF(VLOOKUP(V94,'G-7 Rivers Data'!$AG$4:$AI$9,2,FALSE)=0,"Spatial Data Missing",VLOOKUP(V94,'G-7 Rivers Data'!$AG$4:$AI$9,2,FALSE)))</f>
        <v/>
      </c>
      <c r="X94" s="176" t="str">
        <f>IF(V94="","",IF(VLOOKUP(V94,'G-7 Rivers Data'!$AG$4:$AI$9,3,FALSE)=0,"Spatial Data Missing",VLOOKUP(V94,'G-7 Rivers Data'!$AG$4:$AI$9,3,FALSE)))</f>
        <v/>
      </c>
      <c r="Y94" s="239" t="str">
        <f>IFERROR(IF(OR(LEFT(P94,5)="Error",LEFT(O94,5)="Error"),"Check Data",IF(F94&lt;S94,'G-7 Rivers Data'!$R$3,INDEX('G-7 Rivers Data'!$U$5:$Y$9,MATCH(G94,'G-7 Rivers Data'!$T$5:$T$9,0),MATCH(T94,'G-7 Rivers Data'!$U$4:$Y$4,0)))),"")</f>
        <v/>
      </c>
      <c r="Z94" s="275"/>
      <c r="AA94" s="275"/>
      <c r="AB94" s="175" t="str">
        <f t="shared" si="12"/>
        <v/>
      </c>
      <c r="AC94" s="262" t="str">
        <f t="shared" si="13"/>
        <v/>
      </c>
      <c r="AD94" s="382" t="str">
        <f>IFERROR(IF(AC94="Check Data","Check Data",VLOOKUP(AC94,'G-4 Temporal multipliers'!$A$4:$C$37,3,FALSE)),"")</f>
        <v/>
      </c>
      <c r="AE94" s="239" t="str">
        <f>IF(N94="","",VLOOKUP(N94,'G-7 Rivers Data'!$B$4:$G$8,5,FALSE))</f>
        <v/>
      </c>
      <c r="AF94" s="175" t="str">
        <f t="shared" si="14"/>
        <v/>
      </c>
      <c r="AG94" s="175" t="str">
        <f t="shared" si="15"/>
        <v/>
      </c>
      <c r="AH94" s="176" t="str">
        <f t="shared" si="9"/>
        <v/>
      </c>
      <c r="AI94" s="173"/>
      <c r="AJ94" s="172" t="str">
        <f>IF(AI94="","",IF(VLOOKUP(AI94,'G-7 Rivers Data'!$AA$4:$AB$7,2,FALSE)=0,"Spatial Data Missing",VLOOKUP(AI94,'G-7 Rivers Data'!$AA$4:$AB$7,2,FALSE)))</f>
        <v/>
      </c>
      <c r="AK94" s="187"/>
      <c r="AL94" s="172" t="str">
        <f>IF(AK94="","",IF(VLOOKUP(AK94,'G-7 Rivers Data'!$AD$4:$AE$8,2,FALSE)=0,"Spatial Data Missing",VLOOKUP(AK94,'G-7 Rivers Data'!$AD$4:$AE$8,2,FALSE)))</f>
        <v/>
      </c>
      <c r="AM94" s="186"/>
      <c r="AN94" s="176" t="str">
        <f>IF(AM94="","",VLOOKUP(AM94,'G-7 Rivers Data'!$AO$4:$AP$7,2,FALSE))</f>
        <v/>
      </c>
      <c r="AO94" s="265" t="str">
        <f t="shared" si="16"/>
        <v/>
      </c>
      <c r="AP94" s="180"/>
      <c r="AQ94" s="181"/>
      <c r="AX94" s="35" t="str">
        <f>IFERROR(INDEX('G-7 Rivers Data'!$AZ$3:$AZ$7,MATCH(N94,'G-7 Rivers Data'!$AY$3:$AY$7,0)),"")</f>
        <v/>
      </c>
    </row>
    <row r="95" spans="2:50" ht="13.8" x14ac:dyDescent="0.25">
      <c r="B95" s="259" t="str">
        <f>'F-1 Off Site River Baseline'!AN93</f>
        <v/>
      </c>
      <c r="C95" s="175" t="str">
        <f>IF(B95="","",VLOOKUP($B95,'F-1 Off Site River Baseline'!$C$9:$R$257,2,FALSE))</f>
        <v/>
      </c>
      <c r="D95" s="175" t="str">
        <f>IF(C95="","",VLOOKUP($B95,'F-1 Off Site River Baseline'!$C$9:$R$257,3,FALSE))</f>
        <v/>
      </c>
      <c r="E95" s="175" t="str">
        <f>IF(D95="","",VLOOKUP($B95,'F-1 Off Site River Baseline'!$C$9:$R$257,4,FALSE))</f>
        <v/>
      </c>
      <c r="F95" s="175" t="str">
        <f>IF(E95="","",VLOOKUP($B95,'F-1 Off Site River Baseline'!$C$9:$R$257,5,FALSE))</f>
        <v/>
      </c>
      <c r="G95" s="175" t="str">
        <f>IF(F95="","",VLOOKUP($B95,'F-1 Off Site River Baseline'!$C$9:$R$257,6,FALSE))</f>
        <v/>
      </c>
      <c r="H95" s="175" t="str">
        <f>IF(G95="","",VLOOKUP($B95,'F-1 Off Site River Baseline'!$C$9:$R$257,7,FALSE))</f>
        <v/>
      </c>
      <c r="I95" s="175" t="str">
        <f>IF(H95="","",VLOOKUP($B95,'F-1 Off Site River Baseline'!$C$9:$R$257,8,FALSE))</f>
        <v/>
      </c>
      <c r="J95" s="175" t="str">
        <f>IF(I95="","",VLOOKUP($B95,'F-1 Off Site River Baseline'!$C$9:$R$257,9,FALSE))</f>
        <v/>
      </c>
      <c r="K95" s="175" t="str">
        <f>IF(J95="","",VLOOKUP($B95,'F-1 Off Site River Baseline'!$C$9:$R$257,10,FALSE))</f>
        <v/>
      </c>
      <c r="L95" s="175" t="str">
        <f>IF(B95="","",VLOOKUP($B95,'C-1 Site River Baseline'!$C$9:$R$257,15,FALSE))</f>
        <v/>
      </c>
      <c r="M95" s="176" t="str">
        <f>IF(L95="","",VLOOKUP($B95,'F-1 Off Site River Baseline'!$C$9:$R$257,16,FALSE))</f>
        <v/>
      </c>
      <c r="N95" s="639" t="str">
        <f t="shared" si="10"/>
        <v/>
      </c>
      <c r="O95" s="171" t="str">
        <f t="shared" si="11"/>
        <v/>
      </c>
      <c r="P95" s="172" t="str">
        <f>IF(C95="","",IF(AND(LEFT(C95,55)&lt;&gt;LEFT(N95,55),O95="High - High"),"Error - Not like for like",IF(AND(F95=S95,H95&gt;U95),"Error - Can not reduce condition",IF(AND(F95=S95,H95=U95,AJ95='F-1 Off Site River Baseline'!N93,'F-1 Off Site River Baseline'!P93=AL95),"Error - No enhancement",IF(AND(C95&lt;&gt;N95,F95&lt;S95),"Lower Distinctiveness Habitat"&amp;" - "&amp;T95,G95&amp;" - "&amp;T95)))))</f>
        <v/>
      </c>
      <c r="Q95" s="260" t="str">
        <f>IF(N95="","",VLOOKUP(B95,'F-1 Off Site River Baseline'!$C$10:$AA$257,19,FALSE))</f>
        <v/>
      </c>
      <c r="R95" s="171" t="str">
        <f>IF(N95="","",VLOOKUP(N95,'G-7 Rivers Data'!$B$2:$G$8,2,FALSE))</f>
        <v/>
      </c>
      <c r="S95" s="172" t="str">
        <f>IFERROR(VLOOKUP(R95,'G-7 Rivers Data'!$C$4:$D$8,2,FALSE),"")</f>
        <v/>
      </c>
      <c r="T95" s="173"/>
      <c r="U95" s="172" t="str">
        <f>IFERROR(INDEX('G-7 Rivers Data'!$H$4:$L$8,MATCH(N95,'G-7 Rivers Data'!$B$4:$B$8,0),MATCH(T95,'G-7 Rivers Data'!$H$3:$L$3,0)),"")</f>
        <v/>
      </c>
      <c r="V95" s="186"/>
      <c r="W95" s="175" t="str">
        <f>IF(V95="","",IF(VLOOKUP(V95,'G-7 Rivers Data'!$AG$4:$AI$9,2,FALSE)=0,"Spatial Data Missing",VLOOKUP(V95,'G-7 Rivers Data'!$AG$4:$AI$9,2,FALSE)))</f>
        <v/>
      </c>
      <c r="X95" s="176" t="str">
        <f>IF(V95="","",IF(VLOOKUP(V95,'G-7 Rivers Data'!$AG$4:$AI$9,3,FALSE)=0,"Spatial Data Missing",VLOOKUP(V95,'G-7 Rivers Data'!$AG$4:$AI$9,3,FALSE)))</f>
        <v/>
      </c>
      <c r="Y95" s="239" t="str">
        <f>IFERROR(IF(OR(LEFT(P95,5)="Error",LEFT(O95,5)="Error"),"Check Data",IF(F95&lt;S95,'G-7 Rivers Data'!$R$3,INDEX('G-7 Rivers Data'!$U$5:$Y$9,MATCH(G95,'G-7 Rivers Data'!$T$5:$T$9,0),MATCH(T95,'G-7 Rivers Data'!$U$4:$Y$4,0)))),"")</f>
        <v/>
      </c>
      <c r="Z95" s="275"/>
      <c r="AA95" s="275"/>
      <c r="AB95" s="175" t="str">
        <f t="shared" si="12"/>
        <v/>
      </c>
      <c r="AC95" s="262" t="str">
        <f t="shared" si="13"/>
        <v/>
      </c>
      <c r="AD95" s="382" t="str">
        <f>IFERROR(IF(AC95="Check Data","Check Data",VLOOKUP(AC95,'G-4 Temporal multipliers'!$A$4:$C$37,3,FALSE)),"")</f>
        <v/>
      </c>
      <c r="AE95" s="239" t="str">
        <f>IF(N95="","",VLOOKUP(N95,'G-7 Rivers Data'!$B$4:$G$8,5,FALSE))</f>
        <v/>
      </c>
      <c r="AF95" s="175" t="str">
        <f t="shared" si="14"/>
        <v/>
      </c>
      <c r="AG95" s="175" t="str">
        <f t="shared" si="15"/>
        <v/>
      </c>
      <c r="AH95" s="176" t="str">
        <f t="shared" si="9"/>
        <v/>
      </c>
      <c r="AI95" s="173"/>
      <c r="AJ95" s="172" t="str">
        <f>IF(AI95="","",IF(VLOOKUP(AI95,'G-7 Rivers Data'!$AA$4:$AB$7,2,FALSE)=0,"Spatial Data Missing",VLOOKUP(AI95,'G-7 Rivers Data'!$AA$4:$AB$7,2,FALSE)))</f>
        <v/>
      </c>
      <c r="AK95" s="187"/>
      <c r="AL95" s="172" t="str">
        <f>IF(AK95="","",IF(VLOOKUP(AK95,'G-7 Rivers Data'!$AD$4:$AE$8,2,FALSE)=0,"Spatial Data Missing",VLOOKUP(AK95,'G-7 Rivers Data'!$AD$4:$AE$8,2,FALSE)))</f>
        <v/>
      </c>
      <c r="AM95" s="186"/>
      <c r="AN95" s="176" t="str">
        <f>IF(AM95="","",VLOOKUP(AM95,'G-7 Rivers Data'!$AO$4:$AP$7,2,FALSE))</f>
        <v/>
      </c>
      <c r="AO95" s="265" t="str">
        <f t="shared" si="16"/>
        <v/>
      </c>
      <c r="AP95" s="180"/>
      <c r="AQ95" s="181"/>
      <c r="AX95" s="35" t="str">
        <f>IFERROR(INDEX('G-7 Rivers Data'!$AZ$3:$AZ$7,MATCH(N95,'G-7 Rivers Data'!$AY$3:$AY$7,0)),"")</f>
        <v/>
      </c>
    </row>
    <row r="96" spans="2:50" ht="13.8" x14ac:dyDescent="0.25">
      <c r="B96" s="259" t="str">
        <f>'F-1 Off Site River Baseline'!AN94</f>
        <v/>
      </c>
      <c r="C96" s="175" t="str">
        <f>IF(B96="","",VLOOKUP($B96,'F-1 Off Site River Baseline'!$C$9:$R$257,2,FALSE))</f>
        <v/>
      </c>
      <c r="D96" s="175" t="str">
        <f>IF(C96="","",VLOOKUP($B96,'F-1 Off Site River Baseline'!$C$9:$R$257,3,FALSE))</f>
        <v/>
      </c>
      <c r="E96" s="175" t="str">
        <f>IF(D96="","",VLOOKUP($B96,'F-1 Off Site River Baseline'!$C$9:$R$257,4,FALSE))</f>
        <v/>
      </c>
      <c r="F96" s="175" t="str">
        <f>IF(E96="","",VLOOKUP($B96,'F-1 Off Site River Baseline'!$C$9:$R$257,5,FALSE))</f>
        <v/>
      </c>
      <c r="G96" s="175" t="str">
        <f>IF(F96="","",VLOOKUP($B96,'F-1 Off Site River Baseline'!$C$9:$R$257,6,FALSE))</f>
        <v/>
      </c>
      <c r="H96" s="175" t="str">
        <f>IF(G96="","",VLOOKUP($B96,'F-1 Off Site River Baseline'!$C$9:$R$257,7,FALSE))</f>
        <v/>
      </c>
      <c r="I96" s="175" t="str">
        <f>IF(H96="","",VLOOKUP($B96,'F-1 Off Site River Baseline'!$C$9:$R$257,8,FALSE))</f>
        <v/>
      </c>
      <c r="J96" s="175" t="str">
        <f>IF(I96="","",VLOOKUP($B96,'F-1 Off Site River Baseline'!$C$9:$R$257,9,FALSE))</f>
        <v/>
      </c>
      <c r="K96" s="175" t="str">
        <f>IF(J96="","",VLOOKUP($B96,'F-1 Off Site River Baseline'!$C$9:$R$257,10,FALSE))</f>
        <v/>
      </c>
      <c r="L96" s="175" t="str">
        <f>IF(B96="","",VLOOKUP($B96,'C-1 Site River Baseline'!$C$9:$R$257,15,FALSE))</f>
        <v/>
      </c>
      <c r="M96" s="176" t="str">
        <f>IF(L96="","",VLOOKUP($B96,'F-1 Off Site River Baseline'!$C$9:$R$257,16,FALSE))</f>
        <v/>
      </c>
      <c r="N96" s="639" t="str">
        <f t="shared" si="10"/>
        <v/>
      </c>
      <c r="O96" s="171" t="str">
        <f t="shared" si="11"/>
        <v/>
      </c>
      <c r="P96" s="172" t="str">
        <f>IF(C96="","",IF(AND(LEFT(C96,55)&lt;&gt;LEFT(N96,55),O96="High - High"),"Error - Not like for like",IF(AND(F96=S96,H96&gt;U96),"Error - Can not reduce condition",IF(AND(F96=S96,H96=U96,AJ96='F-1 Off Site River Baseline'!N94,'F-1 Off Site River Baseline'!P94=AL96),"Error - No enhancement",IF(AND(C96&lt;&gt;N96,F96&lt;S96),"Lower Distinctiveness Habitat"&amp;" - "&amp;T96,G96&amp;" - "&amp;T96)))))</f>
        <v/>
      </c>
      <c r="Q96" s="260" t="str">
        <f>IF(N96="","",VLOOKUP(B96,'F-1 Off Site River Baseline'!$C$10:$AA$257,19,FALSE))</f>
        <v/>
      </c>
      <c r="R96" s="171" t="str">
        <f>IF(N96="","",VLOOKUP(N96,'G-7 Rivers Data'!$B$2:$G$8,2,FALSE))</f>
        <v/>
      </c>
      <c r="S96" s="172" t="str">
        <f>IFERROR(VLOOKUP(R96,'G-7 Rivers Data'!$C$4:$D$8,2,FALSE),"")</f>
        <v/>
      </c>
      <c r="T96" s="173"/>
      <c r="U96" s="172" t="str">
        <f>IFERROR(INDEX('G-7 Rivers Data'!$H$4:$L$8,MATCH(N96,'G-7 Rivers Data'!$B$4:$B$8,0),MATCH(T96,'G-7 Rivers Data'!$H$3:$L$3,0)),"")</f>
        <v/>
      </c>
      <c r="V96" s="186"/>
      <c r="W96" s="175" t="str">
        <f>IF(V96="","",IF(VLOOKUP(V96,'G-7 Rivers Data'!$AG$4:$AI$9,2,FALSE)=0,"Spatial Data Missing",VLOOKUP(V96,'G-7 Rivers Data'!$AG$4:$AI$9,2,FALSE)))</f>
        <v/>
      </c>
      <c r="X96" s="176" t="str">
        <f>IF(V96="","",IF(VLOOKUP(V96,'G-7 Rivers Data'!$AG$4:$AI$9,3,FALSE)=0,"Spatial Data Missing",VLOOKUP(V96,'G-7 Rivers Data'!$AG$4:$AI$9,3,FALSE)))</f>
        <v/>
      </c>
      <c r="Y96" s="239" t="str">
        <f>IFERROR(IF(OR(LEFT(P96,5)="Error",LEFT(O96,5)="Error"),"Check Data",IF(F96&lt;S96,'G-7 Rivers Data'!$R$3,INDEX('G-7 Rivers Data'!$U$5:$Y$9,MATCH(G96,'G-7 Rivers Data'!$T$5:$T$9,0),MATCH(T96,'G-7 Rivers Data'!$U$4:$Y$4,0)))),"")</f>
        <v/>
      </c>
      <c r="Z96" s="275"/>
      <c r="AA96" s="275"/>
      <c r="AB96" s="175" t="str">
        <f t="shared" si="12"/>
        <v/>
      </c>
      <c r="AC96" s="262" t="str">
        <f t="shared" si="13"/>
        <v/>
      </c>
      <c r="AD96" s="382" t="str">
        <f>IFERROR(IF(AC96="Check Data","Check Data",VLOOKUP(AC96,'G-4 Temporal multipliers'!$A$4:$C$37,3,FALSE)),"")</f>
        <v/>
      </c>
      <c r="AE96" s="239" t="str">
        <f>IF(N96="","",VLOOKUP(N96,'G-7 Rivers Data'!$B$4:$G$8,5,FALSE))</f>
        <v/>
      </c>
      <c r="AF96" s="175" t="str">
        <f t="shared" si="14"/>
        <v/>
      </c>
      <c r="AG96" s="175" t="str">
        <f t="shared" si="15"/>
        <v/>
      </c>
      <c r="AH96" s="176" t="str">
        <f t="shared" si="9"/>
        <v/>
      </c>
      <c r="AI96" s="173"/>
      <c r="AJ96" s="172" t="str">
        <f>IF(AI96="","",IF(VLOOKUP(AI96,'G-7 Rivers Data'!$AA$4:$AB$7,2,FALSE)=0,"Spatial Data Missing",VLOOKUP(AI96,'G-7 Rivers Data'!$AA$4:$AB$7,2,FALSE)))</f>
        <v/>
      </c>
      <c r="AK96" s="187"/>
      <c r="AL96" s="172" t="str">
        <f>IF(AK96="","",IF(VLOOKUP(AK96,'G-7 Rivers Data'!$AD$4:$AE$8,2,FALSE)=0,"Spatial Data Missing",VLOOKUP(AK96,'G-7 Rivers Data'!$AD$4:$AE$8,2,FALSE)))</f>
        <v/>
      </c>
      <c r="AM96" s="186"/>
      <c r="AN96" s="176" t="str">
        <f>IF(AM96="","",VLOOKUP(AM96,'G-7 Rivers Data'!$AO$4:$AP$7,2,FALSE))</f>
        <v/>
      </c>
      <c r="AO96" s="265" t="str">
        <f t="shared" si="16"/>
        <v/>
      </c>
      <c r="AP96" s="180"/>
      <c r="AQ96" s="181"/>
      <c r="AX96" s="35" t="str">
        <f>IFERROR(INDEX('G-7 Rivers Data'!$AZ$3:$AZ$7,MATCH(N96,'G-7 Rivers Data'!$AY$3:$AY$7,0)),"")</f>
        <v/>
      </c>
    </row>
    <row r="97" spans="2:50" ht="13.8" x14ac:dyDescent="0.25">
      <c r="B97" s="259" t="str">
        <f>'F-1 Off Site River Baseline'!AN95</f>
        <v/>
      </c>
      <c r="C97" s="175" t="str">
        <f>IF(B97="","",VLOOKUP($B97,'F-1 Off Site River Baseline'!$C$9:$R$257,2,FALSE))</f>
        <v/>
      </c>
      <c r="D97" s="175" t="str">
        <f>IF(C97="","",VLOOKUP($B97,'F-1 Off Site River Baseline'!$C$9:$R$257,3,FALSE))</f>
        <v/>
      </c>
      <c r="E97" s="175" t="str">
        <f>IF(D97="","",VLOOKUP($B97,'F-1 Off Site River Baseline'!$C$9:$R$257,4,FALSE))</f>
        <v/>
      </c>
      <c r="F97" s="175" t="str">
        <f>IF(E97="","",VLOOKUP($B97,'F-1 Off Site River Baseline'!$C$9:$R$257,5,FALSE))</f>
        <v/>
      </c>
      <c r="G97" s="175" t="str">
        <f>IF(F97="","",VLOOKUP($B97,'F-1 Off Site River Baseline'!$C$9:$R$257,6,FALSE))</f>
        <v/>
      </c>
      <c r="H97" s="175" t="str">
        <f>IF(G97="","",VLOOKUP($B97,'F-1 Off Site River Baseline'!$C$9:$R$257,7,FALSE))</f>
        <v/>
      </c>
      <c r="I97" s="175" t="str">
        <f>IF(H97="","",VLOOKUP($B97,'F-1 Off Site River Baseline'!$C$9:$R$257,8,FALSE))</f>
        <v/>
      </c>
      <c r="J97" s="175" t="str">
        <f>IF(I97="","",VLOOKUP($B97,'F-1 Off Site River Baseline'!$C$9:$R$257,9,FALSE))</f>
        <v/>
      </c>
      <c r="K97" s="175" t="str">
        <f>IF(J97="","",VLOOKUP($B97,'F-1 Off Site River Baseline'!$C$9:$R$257,10,FALSE))</f>
        <v/>
      </c>
      <c r="L97" s="175" t="str">
        <f>IF(B97="","",VLOOKUP($B97,'C-1 Site River Baseline'!$C$9:$R$257,15,FALSE))</f>
        <v/>
      </c>
      <c r="M97" s="176" t="str">
        <f>IF(L97="","",VLOOKUP($B97,'F-1 Off Site River Baseline'!$C$9:$R$257,16,FALSE))</f>
        <v/>
      </c>
      <c r="N97" s="639" t="str">
        <f t="shared" si="10"/>
        <v/>
      </c>
      <c r="O97" s="171" t="str">
        <f t="shared" si="11"/>
        <v/>
      </c>
      <c r="P97" s="172" t="str">
        <f>IF(C97="","",IF(AND(LEFT(C97,55)&lt;&gt;LEFT(N97,55),O97="High - High"),"Error - Not like for like",IF(AND(F97=S97,H97&gt;U97),"Error - Can not reduce condition",IF(AND(F97=S97,H97=U97,AJ97='F-1 Off Site River Baseline'!N95,'F-1 Off Site River Baseline'!P95=AL97),"Error - No enhancement",IF(AND(C97&lt;&gt;N97,F97&lt;S97),"Lower Distinctiveness Habitat"&amp;" - "&amp;T97,G97&amp;" - "&amp;T97)))))</f>
        <v/>
      </c>
      <c r="Q97" s="260" t="str">
        <f>IF(N97="","",VLOOKUP(B97,'F-1 Off Site River Baseline'!$C$10:$AA$257,19,FALSE))</f>
        <v/>
      </c>
      <c r="R97" s="171" t="str">
        <f>IF(N97="","",VLOOKUP(N97,'G-7 Rivers Data'!$B$2:$G$8,2,FALSE))</f>
        <v/>
      </c>
      <c r="S97" s="172" t="str">
        <f>IFERROR(VLOOKUP(R97,'G-7 Rivers Data'!$C$4:$D$8,2,FALSE),"")</f>
        <v/>
      </c>
      <c r="T97" s="173"/>
      <c r="U97" s="172" t="str">
        <f>IFERROR(INDEX('G-7 Rivers Data'!$H$4:$L$8,MATCH(N97,'G-7 Rivers Data'!$B$4:$B$8,0),MATCH(T97,'G-7 Rivers Data'!$H$3:$L$3,0)),"")</f>
        <v/>
      </c>
      <c r="V97" s="186"/>
      <c r="W97" s="175" t="str">
        <f>IF(V97="","",IF(VLOOKUP(V97,'G-7 Rivers Data'!$AG$4:$AI$9,2,FALSE)=0,"Spatial Data Missing",VLOOKUP(V97,'G-7 Rivers Data'!$AG$4:$AI$9,2,FALSE)))</f>
        <v/>
      </c>
      <c r="X97" s="176" t="str">
        <f>IF(V97="","",IF(VLOOKUP(V97,'G-7 Rivers Data'!$AG$4:$AI$9,3,FALSE)=0,"Spatial Data Missing",VLOOKUP(V97,'G-7 Rivers Data'!$AG$4:$AI$9,3,FALSE)))</f>
        <v/>
      </c>
      <c r="Y97" s="239" t="str">
        <f>IFERROR(IF(OR(LEFT(P97,5)="Error",LEFT(O97,5)="Error"),"Check Data",IF(F97&lt;S97,'G-7 Rivers Data'!$R$3,INDEX('G-7 Rivers Data'!$U$5:$Y$9,MATCH(G97,'G-7 Rivers Data'!$T$5:$T$9,0),MATCH(T97,'G-7 Rivers Data'!$U$4:$Y$4,0)))),"")</f>
        <v/>
      </c>
      <c r="Z97" s="275"/>
      <c r="AA97" s="275"/>
      <c r="AB97" s="175" t="str">
        <f t="shared" si="12"/>
        <v/>
      </c>
      <c r="AC97" s="262" t="str">
        <f t="shared" si="13"/>
        <v/>
      </c>
      <c r="AD97" s="382" t="str">
        <f>IFERROR(IF(AC97="Check Data","Check Data",VLOOKUP(AC97,'G-4 Temporal multipliers'!$A$4:$C$37,3,FALSE)),"")</f>
        <v/>
      </c>
      <c r="AE97" s="239" t="str">
        <f>IF(N97="","",VLOOKUP(N97,'G-7 Rivers Data'!$B$4:$G$8,5,FALSE))</f>
        <v/>
      </c>
      <c r="AF97" s="175" t="str">
        <f t="shared" si="14"/>
        <v/>
      </c>
      <c r="AG97" s="175" t="str">
        <f t="shared" si="15"/>
        <v/>
      </c>
      <c r="AH97" s="176" t="str">
        <f t="shared" si="9"/>
        <v/>
      </c>
      <c r="AI97" s="173"/>
      <c r="AJ97" s="172" t="str">
        <f>IF(AI97="","",IF(VLOOKUP(AI97,'G-7 Rivers Data'!$AA$4:$AB$7,2,FALSE)=0,"Spatial Data Missing",VLOOKUP(AI97,'G-7 Rivers Data'!$AA$4:$AB$7,2,FALSE)))</f>
        <v/>
      </c>
      <c r="AK97" s="187"/>
      <c r="AL97" s="172" t="str">
        <f>IF(AK97="","",IF(VLOOKUP(AK97,'G-7 Rivers Data'!$AD$4:$AE$8,2,FALSE)=0,"Spatial Data Missing",VLOOKUP(AK97,'G-7 Rivers Data'!$AD$4:$AE$8,2,FALSE)))</f>
        <v/>
      </c>
      <c r="AM97" s="186"/>
      <c r="AN97" s="176" t="str">
        <f>IF(AM97="","",VLOOKUP(AM97,'G-7 Rivers Data'!$AO$4:$AP$7,2,FALSE))</f>
        <v/>
      </c>
      <c r="AO97" s="265" t="str">
        <f t="shared" si="16"/>
        <v/>
      </c>
      <c r="AP97" s="180"/>
      <c r="AQ97" s="181"/>
      <c r="AX97" s="35" t="str">
        <f>IFERROR(INDEX('G-7 Rivers Data'!$AZ$3:$AZ$7,MATCH(N97,'G-7 Rivers Data'!$AY$3:$AY$7,0)),"")</f>
        <v/>
      </c>
    </row>
    <row r="98" spans="2:50" ht="13.8" x14ac:dyDescent="0.25">
      <c r="B98" s="259" t="str">
        <f>'F-1 Off Site River Baseline'!AN96</f>
        <v/>
      </c>
      <c r="C98" s="175" t="str">
        <f>IF(B98="","",VLOOKUP($B98,'F-1 Off Site River Baseline'!$C$9:$R$257,2,FALSE))</f>
        <v/>
      </c>
      <c r="D98" s="175" t="str">
        <f>IF(C98="","",VLOOKUP($B98,'F-1 Off Site River Baseline'!$C$9:$R$257,3,FALSE))</f>
        <v/>
      </c>
      <c r="E98" s="175" t="str">
        <f>IF(D98="","",VLOOKUP($B98,'F-1 Off Site River Baseline'!$C$9:$R$257,4,FALSE))</f>
        <v/>
      </c>
      <c r="F98" s="175" t="str">
        <f>IF(E98="","",VLOOKUP($B98,'F-1 Off Site River Baseline'!$C$9:$R$257,5,FALSE))</f>
        <v/>
      </c>
      <c r="G98" s="175" t="str">
        <f>IF(F98="","",VLOOKUP($B98,'F-1 Off Site River Baseline'!$C$9:$R$257,6,FALSE))</f>
        <v/>
      </c>
      <c r="H98" s="175" t="str">
        <f>IF(G98="","",VLOOKUP($B98,'F-1 Off Site River Baseline'!$C$9:$R$257,7,FALSE))</f>
        <v/>
      </c>
      <c r="I98" s="175" t="str">
        <f>IF(H98="","",VLOOKUP($B98,'F-1 Off Site River Baseline'!$C$9:$R$257,8,FALSE))</f>
        <v/>
      </c>
      <c r="J98" s="175" t="str">
        <f>IF(I98="","",VLOOKUP($B98,'F-1 Off Site River Baseline'!$C$9:$R$257,9,FALSE))</f>
        <v/>
      </c>
      <c r="K98" s="175" t="str">
        <f>IF(J98="","",VLOOKUP($B98,'F-1 Off Site River Baseline'!$C$9:$R$257,10,FALSE))</f>
        <v/>
      </c>
      <c r="L98" s="175" t="str">
        <f>IF(B98="","",VLOOKUP($B98,'C-1 Site River Baseline'!$C$9:$R$257,15,FALSE))</f>
        <v/>
      </c>
      <c r="M98" s="176" t="str">
        <f>IF(L98="","",VLOOKUP($B98,'F-1 Off Site River Baseline'!$C$9:$R$257,16,FALSE))</f>
        <v/>
      </c>
      <c r="N98" s="639" t="str">
        <f t="shared" si="10"/>
        <v/>
      </c>
      <c r="O98" s="171" t="str">
        <f t="shared" si="11"/>
        <v/>
      </c>
      <c r="P98" s="172" t="str">
        <f>IF(C98="","",IF(AND(LEFT(C98,55)&lt;&gt;LEFT(N98,55),O98="High - High"),"Error - Not like for like",IF(AND(F98=S98,H98&gt;U98),"Error - Can not reduce condition",IF(AND(F98=S98,H98=U98,AJ98='F-1 Off Site River Baseline'!N96,'F-1 Off Site River Baseline'!P96=AL98),"Error - No enhancement",IF(AND(C98&lt;&gt;N98,F98&lt;S98),"Lower Distinctiveness Habitat"&amp;" - "&amp;T98,G98&amp;" - "&amp;T98)))))</f>
        <v/>
      </c>
      <c r="Q98" s="260" t="str">
        <f>IF(N98="","",VLOOKUP(B98,'F-1 Off Site River Baseline'!$C$10:$AA$257,19,FALSE))</f>
        <v/>
      </c>
      <c r="R98" s="171" t="str">
        <f>IF(N98="","",VLOOKUP(N98,'G-7 Rivers Data'!$B$2:$G$8,2,FALSE))</f>
        <v/>
      </c>
      <c r="S98" s="172" t="str">
        <f>IFERROR(VLOOKUP(R98,'G-7 Rivers Data'!$C$4:$D$8,2,FALSE),"")</f>
        <v/>
      </c>
      <c r="T98" s="173"/>
      <c r="U98" s="172" t="str">
        <f>IFERROR(INDEX('G-7 Rivers Data'!$H$4:$L$8,MATCH(N98,'G-7 Rivers Data'!$B$4:$B$8,0),MATCH(T98,'G-7 Rivers Data'!$H$3:$L$3,0)),"")</f>
        <v/>
      </c>
      <c r="V98" s="186"/>
      <c r="W98" s="175" t="str">
        <f>IF(V98="","",IF(VLOOKUP(V98,'G-7 Rivers Data'!$AG$4:$AI$9,2,FALSE)=0,"Spatial Data Missing",VLOOKUP(V98,'G-7 Rivers Data'!$AG$4:$AI$9,2,FALSE)))</f>
        <v/>
      </c>
      <c r="X98" s="176" t="str">
        <f>IF(V98="","",IF(VLOOKUP(V98,'G-7 Rivers Data'!$AG$4:$AI$9,3,FALSE)=0,"Spatial Data Missing",VLOOKUP(V98,'G-7 Rivers Data'!$AG$4:$AI$9,3,FALSE)))</f>
        <v/>
      </c>
      <c r="Y98" s="239" t="str">
        <f>IFERROR(IF(OR(LEFT(P98,5)="Error",LEFT(O98,5)="Error"),"Check Data",IF(F98&lt;S98,'G-7 Rivers Data'!$R$3,INDEX('G-7 Rivers Data'!$U$5:$Y$9,MATCH(G98,'G-7 Rivers Data'!$T$5:$T$9,0),MATCH(T98,'G-7 Rivers Data'!$U$4:$Y$4,0)))),"")</f>
        <v/>
      </c>
      <c r="Z98" s="275"/>
      <c r="AA98" s="275"/>
      <c r="AB98" s="175" t="str">
        <f t="shared" si="12"/>
        <v/>
      </c>
      <c r="AC98" s="262" t="str">
        <f t="shared" si="13"/>
        <v/>
      </c>
      <c r="AD98" s="382" t="str">
        <f>IFERROR(IF(AC98="Check Data","Check Data",VLOOKUP(AC98,'G-4 Temporal multipliers'!$A$4:$C$37,3,FALSE)),"")</f>
        <v/>
      </c>
      <c r="AE98" s="239" t="str">
        <f>IF(N98="","",VLOOKUP(N98,'G-7 Rivers Data'!$B$4:$G$8,5,FALSE))</f>
        <v/>
      </c>
      <c r="AF98" s="175" t="str">
        <f t="shared" si="14"/>
        <v/>
      </c>
      <c r="AG98" s="175" t="str">
        <f t="shared" si="15"/>
        <v/>
      </c>
      <c r="AH98" s="176" t="str">
        <f t="shared" si="9"/>
        <v/>
      </c>
      <c r="AI98" s="173"/>
      <c r="AJ98" s="172" t="str">
        <f>IF(AI98="","",IF(VLOOKUP(AI98,'G-7 Rivers Data'!$AA$4:$AB$7,2,FALSE)=0,"Spatial Data Missing",VLOOKUP(AI98,'G-7 Rivers Data'!$AA$4:$AB$7,2,FALSE)))</f>
        <v/>
      </c>
      <c r="AK98" s="187"/>
      <c r="AL98" s="172" t="str">
        <f>IF(AK98="","",IF(VLOOKUP(AK98,'G-7 Rivers Data'!$AD$4:$AE$8,2,FALSE)=0,"Spatial Data Missing",VLOOKUP(AK98,'G-7 Rivers Data'!$AD$4:$AE$8,2,FALSE)))</f>
        <v/>
      </c>
      <c r="AM98" s="186"/>
      <c r="AN98" s="176" t="str">
        <f>IF(AM98="","",VLOOKUP(AM98,'G-7 Rivers Data'!$AO$4:$AP$7,2,FALSE))</f>
        <v/>
      </c>
      <c r="AO98" s="265" t="str">
        <f t="shared" si="16"/>
        <v/>
      </c>
      <c r="AP98" s="180"/>
      <c r="AQ98" s="181"/>
      <c r="AX98" s="35" t="str">
        <f>IFERROR(INDEX('G-7 Rivers Data'!$AZ$3:$AZ$7,MATCH(N98,'G-7 Rivers Data'!$AY$3:$AY$7,0)),"")</f>
        <v/>
      </c>
    </row>
    <row r="99" spans="2:50" ht="13.8" x14ac:dyDescent="0.25">
      <c r="B99" s="259" t="str">
        <f>'F-1 Off Site River Baseline'!AN97</f>
        <v/>
      </c>
      <c r="C99" s="175" t="str">
        <f>IF(B99="","",VLOOKUP($B99,'F-1 Off Site River Baseline'!$C$9:$R$257,2,FALSE))</f>
        <v/>
      </c>
      <c r="D99" s="175" t="str">
        <f>IF(C99="","",VLOOKUP($B99,'F-1 Off Site River Baseline'!$C$9:$R$257,3,FALSE))</f>
        <v/>
      </c>
      <c r="E99" s="175" t="str">
        <f>IF(D99="","",VLOOKUP($B99,'F-1 Off Site River Baseline'!$C$9:$R$257,4,FALSE))</f>
        <v/>
      </c>
      <c r="F99" s="175" t="str">
        <f>IF(E99="","",VLOOKUP($B99,'F-1 Off Site River Baseline'!$C$9:$R$257,5,FALSE))</f>
        <v/>
      </c>
      <c r="G99" s="175" t="str">
        <f>IF(F99="","",VLOOKUP($B99,'F-1 Off Site River Baseline'!$C$9:$R$257,6,FALSE))</f>
        <v/>
      </c>
      <c r="H99" s="175" t="str">
        <f>IF(G99="","",VLOOKUP($B99,'F-1 Off Site River Baseline'!$C$9:$R$257,7,FALSE))</f>
        <v/>
      </c>
      <c r="I99" s="175" t="str">
        <f>IF(H99="","",VLOOKUP($B99,'F-1 Off Site River Baseline'!$C$9:$R$257,8,FALSE))</f>
        <v/>
      </c>
      <c r="J99" s="175" t="str">
        <f>IF(I99="","",VLOOKUP($B99,'F-1 Off Site River Baseline'!$C$9:$R$257,9,FALSE))</f>
        <v/>
      </c>
      <c r="K99" s="175" t="str">
        <f>IF(J99="","",VLOOKUP($B99,'F-1 Off Site River Baseline'!$C$9:$R$257,10,FALSE))</f>
        <v/>
      </c>
      <c r="L99" s="175" t="str">
        <f>IF(B99="","",VLOOKUP($B99,'C-1 Site River Baseline'!$C$9:$R$257,15,FALSE))</f>
        <v/>
      </c>
      <c r="M99" s="176" t="str">
        <f>IF(L99="","",VLOOKUP($B99,'F-1 Off Site River Baseline'!$C$9:$R$257,16,FALSE))</f>
        <v/>
      </c>
      <c r="N99" s="639" t="str">
        <f t="shared" si="10"/>
        <v/>
      </c>
      <c r="O99" s="171" t="str">
        <f t="shared" si="11"/>
        <v/>
      </c>
      <c r="P99" s="172" t="str">
        <f>IF(C99="","",IF(AND(LEFT(C99,55)&lt;&gt;LEFT(N99,55),O99="High - High"),"Error - Not like for like",IF(AND(F99=S99,H99&gt;U99),"Error - Can not reduce condition",IF(AND(F99=S99,H99=U99,AJ99='F-1 Off Site River Baseline'!N97,'F-1 Off Site River Baseline'!P97=AL99),"Error - No enhancement",IF(AND(C99&lt;&gt;N99,F99&lt;S99),"Lower Distinctiveness Habitat"&amp;" - "&amp;T99,G99&amp;" - "&amp;T99)))))</f>
        <v/>
      </c>
      <c r="Q99" s="260" t="str">
        <f>IF(N99="","",VLOOKUP(B99,'F-1 Off Site River Baseline'!$C$10:$AA$257,19,FALSE))</f>
        <v/>
      </c>
      <c r="R99" s="171" t="str">
        <f>IF(N99="","",VLOOKUP(N99,'G-7 Rivers Data'!$B$2:$G$8,2,FALSE))</f>
        <v/>
      </c>
      <c r="S99" s="172" t="str">
        <f>IFERROR(VLOOKUP(R99,'G-7 Rivers Data'!$C$4:$D$8,2,FALSE),"")</f>
        <v/>
      </c>
      <c r="T99" s="173"/>
      <c r="U99" s="172" t="str">
        <f>IFERROR(INDEX('G-7 Rivers Data'!$H$4:$L$8,MATCH(N99,'G-7 Rivers Data'!$B$4:$B$8,0),MATCH(T99,'G-7 Rivers Data'!$H$3:$L$3,0)),"")</f>
        <v/>
      </c>
      <c r="V99" s="186"/>
      <c r="W99" s="175" t="str">
        <f>IF(V99="","",IF(VLOOKUP(V99,'G-7 Rivers Data'!$AG$4:$AI$9,2,FALSE)=0,"Spatial Data Missing",VLOOKUP(V99,'G-7 Rivers Data'!$AG$4:$AI$9,2,FALSE)))</f>
        <v/>
      </c>
      <c r="X99" s="176" t="str">
        <f>IF(V99="","",IF(VLOOKUP(V99,'G-7 Rivers Data'!$AG$4:$AI$9,3,FALSE)=0,"Spatial Data Missing",VLOOKUP(V99,'G-7 Rivers Data'!$AG$4:$AI$9,3,FALSE)))</f>
        <v/>
      </c>
      <c r="Y99" s="239" t="str">
        <f>IFERROR(IF(OR(LEFT(P99,5)="Error",LEFT(O99,5)="Error"),"Check Data",IF(F99&lt;S99,'G-7 Rivers Data'!$R$3,INDEX('G-7 Rivers Data'!$U$5:$Y$9,MATCH(G99,'G-7 Rivers Data'!$T$5:$T$9,0),MATCH(T99,'G-7 Rivers Data'!$U$4:$Y$4,0)))),"")</f>
        <v/>
      </c>
      <c r="Z99" s="275"/>
      <c r="AA99" s="275"/>
      <c r="AB99" s="175" t="str">
        <f t="shared" si="12"/>
        <v/>
      </c>
      <c r="AC99" s="262" t="str">
        <f t="shared" si="13"/>
        <v/>
      </c>
      <c r="AD99" s="382" t="str">
        <f>IFERROR(IF(AC99="Check Data","Check Data",VLOOKUP(AC99,'G-4 Temporal multipliers'!$A$4:$C$37,3,FALSE)),"")</f>
        <v/>
      </c>
      <c r="AE99" s="239" t="str">
        <f>IF(N99="","",VLOOKUP(N99,'G-7 Rivers Data'!$B$4:$G$8,5,FALSE))</f>
        <v/>
      </c>
      <c r="AF99" s="175" t="str">
        <f t="shared" si="14"/>
        <v/>
      </c>
      <c r="AG99" s="175" t="str">
        <f t="shared" si="15"/>
        <v/>
      </c>
      <c r="AH99" s="176" t="str">
        <f t="shared" si="9"/>
        <v/>
      </c>
      <c r="AI99" s="173"/>
      <c r="AJ99" s="172" t="str">
        <f>IF(AI99="","",IF(VLOOKUP(AI99,'G-7 Rivers Data'!$AA$4:$AB$7,2,FALSE)=0,"Spatial Data Missing",VLOOKUP(AI99,'G-7 Rivers Data'!$AA$4:$AB$7,2,FALSE)))</f>
        <v/>
      </c>
      <c r="AK99" s="187"/>
      <c r="AL99" s="172" t="str">
        <f>IF(AK99="","",IF(VLOOKUP(AK99,'G-7 Rivers Data'!$AD$4:$AE$8,2,FALSE)=0,"Spatial Data Missing",VLOOKUP(AK99,'G-7 Rivers Data'!$AD$4:$AE$8,2,FALSE)))</f>
        <v/>
      </c>
      <c r="AM99" s="186"/>
      <c r="AN99" s="176" t="str">
        <f>IF(AM99="","",VLOOKUP(AM99,'G-7 Rivers Data'!$AO$4:$AP$7,2,FALSE))</f>
        <v/>
      </c>
      <c r="AO99" s="265" t="str">
        <f t="shared" si="16"/>
        <v/>
      </c>
      <c r="AP99" s="180"/>
      <c r="AQ99" s="181"/>
      <c r="AX99" s="35" t="str">
        <f>IFERROR(INDEX('G-7 Rivers Data'!$AZ$3:$AZ$7,MATCH(N99,'G-7 Rivers Data'!$AY$3:$AY$7,0)),"")</f>
        <v/>
      </c>
    </row>
    <row r="100" spans="2:50" ht="13.8" x14ac:dyDescent="0.25">
      <c r="B100" s="259" t="str">
        <f>'F-1 Off Site River Baseline'!AN98</f>
        <v/>
      </c>
      <c r="C100" s="175" t="str">
        <f>IF(B100="","",VLOOKUP($B100,'F-1 Off Site River Baseline'!$C$9:$R$257,2,FALSE))</f>
        <v/>
      </c>
      <c r="D100" s="175" t="str">
        <f>IF(C100="","",VLOOKUP($B100,'F-1 Off Site River Baseline'!$C$9:$R$257,3,FALSE))</f>
        <v/>
      </c>
      <c r="E100" s="175" t="str">
        <f>IF(D100="","",VLOOKUP($B100,'F-1 Off Site River Baseline'!$C$9:$R$257,4,FALSE))</f>
        <v/>
      </c>
      <c r="F100" s="175" t="str">
        <f>IF(E100="","",VLOOKUP($B100,'F-1 Off Site River Baseline'!$C$9:$R$257,5,FALSE))</f>
        <v/>
      </c>
      <c r="G100" s="175" t="str">
        <f>IF(F100="","",VLOOKUP($B100,'F-1 Off Site River Baseline'!$C$9:$R$257,6,FALSE))</f>
        <v/>
      </c>
      <c r="H100" s="175" t="str">
        <f>IF(G100="","",VLOOKUP($B100,'F-1 Off Site River Baseline'!$C$9:$R$257,7,FALSE))</f>
        <v/>
      </c>
      <c r="I100" s="175" t="str">
        <f>IF(H100="","",VLOOKUP($B100,'F-1 Off Site River Baseline'!$C$9:$R$257,8,FALSE))</f>
        <v/>
      </c>
      <c r="J100" s="175" t="str">
        <f>IF(I100="","",VLOOKUP($B100,'F-1 Off Site River Baseline'!$C$9:$R$257,9,FALSE))</f>
        <v/>
      </c>
      <c r="K100" s="175" t="str">
        <f>IF(J100="","",VLOOKUP($B100,'F-1 Off Site River Baseline'!$C$9:$R$257,10,FALSE))</f>
        <v/>
      </c>
      <c r="L100" s="175" t="str">
        <f>IF(B100="","",VLOOKUP($B100,'C-1 Site River Baseline'!$C$9:$R$257,15,FALSE))</f>
        <v/>
      </c>
      <c r="M100" s="176" t="str">
        <f>IF(L100="","",VLOOKUP($B100,'F-1 Off Site River Baseline'!$C$9:$R$257,16,FALSE))</f>
        <v/>
      </c>
      <c r="N100" s="639" t="str">
        <f t="shared" si="10"/>
        <v/>
      </c>
      <c r="O100" s="171" t="str">
        <f t="shared" si="11"/>
        <v/>
      </c>
      <c r="P100" s="172" t="str">
        <f>IF(C100="","",IF(AND(LEFT(C100,55)&lt;&gt;LEFT(N100,55),O100="High - High"),"Error - Not like for like",IF(AND(F100=S100,H100&gt;U100),"Error - Can not reduce condition",IF(AND(F100=S100,H100=U100,AJ100='F-1 Off Site River Baseline'!N98,'F-1 Off Site River Baseline'!P98=AL100),"Error - No enhancement",IF(AND(C100&lt;&gt;N100,F100&lt;S100),"Lower Distinctiveness Habitat"&amp;" - "&amp;T100,G100&amp;" - "&amp;T100)))))</f>
        <v/>
      </c>
      <c r="Q100" s="260" t="str">
        <f>IF(N100="","",VLOOKUP(B100,'F-1 Off Site River Baseline'!$C$10:$AA$257,19,FALSE))</f>
        <v/>
      </c>
      <c r="R100" s="171" t="str">
        <f>IF(N100="","",VLOOKUP(N100,'G-7 Rivers Data'!$B$2:$G$8,2,FALSE))</f>
        <v/>
      </c>
      <c r="S100" s="172" t="str">
        <f>IFERROR(VLOOKUP(R100,'G-7 Rivers Data'!$C$4:$D$8,2,FALSE),"")</f>
        <v/>
      </c>
      <c r="T100" s="173"/>
      <c r="U100" s="172" t="str">
        <f>IFERROR(INDEX('G-7 Rivers Data'!$H$4:$L$8,MATCH(N100,'G-7 Rivers Data'!$B$4:$B$8,0),MATCH(T100,'G-7 Rivers Data'!$H$3:$L$3,0)),"")</f>
        <v/>
      </c>
      <c r="V100" s="186"/>
      <c r="W100" s="175" t="str">
        <f>IF(V100="","",IF(VLOOKUP(V100,'G-7 Rivers Data'!$AG$4:$AI$9,2,FALSE)=0,"Spatial Data Missing",VLOOKUP(V100,'G-7 Rivers Data'!$AG$4:$AI$9,2,FALSE)))</f>
        <v/>
      </c>
      <c r="X100" s="176" t="str">
        <f>IF(V100="","",IF(VLOOKUP(V100,'G-7 Rivers Data'!$AG$4:$AI$9,3,FALSE)=0,"Spatial Data Missing",VLOOKUP(V100,'G-7 Rivers Data'!$AG$4:$AI$9,3,FALSE)))</f>
        <v/>
      </c>
      <c r="Y100" s="239" t="str">
        <f>IFERROR(IF(OR(LEFT(P100,5)="Error",LEFT(O100,5)="Error"),"Check Data",IF(F100&lt;S100,'G-7 Rivers Data'!$R$3,INDEX('G-7 Rivers Data'!$U$5:$Y$9,MATCH(G100,'G-7 Rivers Data'!$T$5:$T$9,0),MATCH(T100,'G-7 Rivers Data'!$U$4:$Y$4,0)))),"")</f>
        <v/>
      </c>
      <c r="Z100" s="275"/>
      <c r="AA100" s="275"/>
      <c r="AB100" s="175" t="str">
        <f t="shared" si="12"/>
        <v/>
      </c>
      <c r="AC100" s="262" t="str">
        <f t="shared" si="13"/>
        <v/>
      </c>
      <c r="AD100" s="382" t="str">
        <f>IFERROR(IF(AC100="Check Data","Check Data",VLOOKUP(AC100,'G-4 Temporal multipliers'!$A$4:$C$37,3,FALSE)),"")</f>
        <v/>
      </c>
      <c r="AE100" s="239" t="str">
        <f>IF(N100="","",VLOOKUP(N100,'G-7 Rivers Data'!$B$4:$G$8,5,FALSE))</f>
        <v/>
      </c>
      <c r="AF100" s="175" t="str">
        <f t="shared" si="14"/>
        <v/>
      </c>
      <c r="AG100" s="175" t="str">
        <f t="shared" si="15"/>
        <v/>
      </c>
      <c r="AH100" s="176" t="str">
        <f t="shared" si="9"/>
        <v/>
      </c>
      <c r="AI100" s="173"/>
      <c r="AJ100" s="172" t="str">
        <f>IF(AI100="","",IF(VLOOKUP(AI100,'G-7 Rivers Data'!$AA$4:$AB$7,2,FALSE)=0,"Spatial Data Missing",VLOOKUP(AI100,'G-7 Rivers Data'!$AA$4:$AB$7,2,FALSE)))</f>
        <v/>
      </c>
      <c r="AK100" s="187"/>
      <c r="AL100" s="172" t="str">
        <f>IF(AK100="","",IF(VLOOKUP(AK100,'G-7 Rivers Data'!$AD$4:$AE$8,2,FALSE)=0,"Spatial Data Missing",VLOOKUP(AK100,'G-7 Rivers Data'!$AD$4:$AE$8,2,FALSE)))</f>
        <v/>
      </c>
      <c r="AM100" s="186"/>
      <c r="AN100" s="176" t="str">
        <f>IF(AM100="","",VLOOKUP(AM100,'G-7 Rivers Data'!$AO$4:$AP$7,2,FALSE))</f>
        <v/>
      </c>
      <c r="AO100" s="265" t="str">
        <f t="shared" si="16"/>
        <v/>
      </c>
      <c r="AP100" s="180"/>
      <c r="AQ100" s="181"/>
      <c r="AX100" s="35" t="str">
        <f>IFERROR(INDEX('G-7 Rivers Data'!$AZ$3:$AZ$7,MATCH(N100,'G-7 Rivers Data'!$AY$3:$AY$7,0)),"")</f>
        <v/>
      </c>
    </row>
    <row r="101" spans="2:50" ht="13.8" x14ac:dyDescent="0.25">
      <c r="B101" s="259" t="str">
        <f>'F-1 Off Site River Baseline'!AN99</f>
        <v/>
      </c>
      <c r="C101" s="175" t="str">
        <f>IF(B101="","",VLOOKUP($B101,'F-1 Off Site River Baseline'!$C$9:$R$257,2,FALSE))</f>
        <v/>
      </c>
      <c r="D101" s="175" t="str">
        <f>IF(C101="","",VLOOKUP($B101,'F-1 Off Site River Baseline'!$C$9:$R$257,3,FALSE))</f>
        <v/>
      </c>
      <c r="E101" s="175" t="str">
        <f>IF(D101="","",VLOOKUP($B101,'F-1 Off Site River Baseline'!$C$9:$R$257,4,FALSE))</f>
        <v/>
      </c>
      <c r="F101" s="175" t="str">
        <f>IF(E101="","",VLOOKUP($B101,'F-1 Off Site River Baseline'!$C$9:$R$257,5,FALSE))</f>
        <v/>
      </c>
      <c r="G101" s="175" t="str">
        <f>IF(F101="","",VLOOKUP($B101,'F-1 Off Site River Baseline'!$C$9:$R$257,6,FALSE))</f>
        <v/>
      </c>
      <c r="H101" s="175" t="str">
        <f>IF(G101="","",VLOOKUP($B101,'F-1 Off Site River Baseline'!$C$9:$R$257,7,FALSE))</f>
        <v/>
      </c>
      <c r="I101" s="175" t="str">
        <f>IF(H101="","",VLOOKUP($B101,'F-1 Off Site River Baseline'!$C$9:$R$257,8,FALSE))</f>
        <v/>
      </c>
      <c r="J101" s="175" t="str">
        <f>IF(I101="","",VLOOKUP($B101,'F-1 Off Site River Baseline'!$C$9:$R$257,9,FALSE))</f>
        <v/>
      </c>
      <c r="K101" s="175" t="str">
        <f>IF(J101="","",VLOOKUP($B101,'F-1 Off Site River Baseline'!$C$9:$R$257,10,FALSE))</f>
        <v/>
      </c>
      <c r="L101" s="175" t="str">
        <f>IF(B101="","",VLOOKUP($B101,'C-1 Site River Baseline'!$C$9:$R$257,15,FALSE))</f>
        <v/>
      </c>
      <c r="M101" s="176" t="str">
        <f>IF(L101="","",VLOOKUP($B101,'F-1 Off Site River Baseline'!$C$9:$R$257,16,FALSE))</f>
        <v/>
      </c>
      <c r="N101" s="639" t="str">
        <f t="shared" si="10"/>
        <v/>
      </c>
      <c r="O101" s="171" t="str">
        <f t="shared" si="11"/>
        <v/>
      </c>
      <c r="P101" s="172" t="str">
        <f>IF(C101="","",IF(AND(LEFT(C101,55)&lt;&gt;LEFT(N101,55),O101="High - High"),"Error - Not like for like",IF(AND(F101=S101,H101&gt;U101),"Error - Can not reduce condition",IF(AND(F101=S101,H101=U101,AJ101='F-1 Off Site River Baseline'!N99,'F-1 Off Site River Baseline'!P99=AL101),"Error - No enhancement",IF(AND(C101&lt;&gt;N101,F101&lt;S101),"Lower Distinctiveness Habitat"&amp;" - "&amp;T101,G101&amp;" - "&amp;T101)))))</f>
        <v/>
      </c>
      <c r="Q101" s="260" t="str">
        <f>IF(N101="","",VLOOKUP(B101,'F-1 Off Site River Baseline'!$C$10:$AA$257,19,FALSE))</f>
        <v/>
      </c>
      <c r="R101" s="171" t="str">
        <f>IF(N101="","",VLOOKUP(N101,'G-7 Rivers Data'!$B$2:$G$8,2,FALSE))</f>
        <v/>
      </c>
      <c r="S101" s="172" t="str">
        <f>IFERROR(VLOOKUP(R101,'G-7 Rivers Data'!$C$4:$D$8,2,FALSE),"")</f>
        <v/>
      </c>
      <c r="T101" s="173"/>
      <c r="U101" s="172" t="str">
        <f>IFERROR(INDEX('G-7 Rivers Data'!$H$4:$L$8,MATCH(N101,'G-7 Rivers Data'!$B$4:$B$8,0),MATCH(T101,'G-7 Rivers Data'!$H$3:$L$3,0)),"")</f>
        <v/>
      </c>
      <c r="V101" s="186"/>
      <c r="W101" s="175" t="str">
        <f>IF(V101="","",IF(VLOOKUP(V101,'G-7 Rivers Data'!$AG$4:$AI$9,2,FALSE)=0,"Spatial Data Missing",VLOOKUP(V101,'G-7 Rivers Data'!$AG$4:$AI$9,2,FALSE)))</f>
        <v/>
      </c>
      <c r="X101" s="176" t="str">
        <f>IF(V101="","",IF(VLOOKUP(V101,'G-7 Rivers Data'!$AG$4:$AI$9,3,FALSE)=0,"Spatial Data Missing",VLOOKUP(V101,'G-7 Rivers Data'!$AG$4:$AI$9,3,FALSE)))</f>
        <v/>
      </c>
      <c r="Y101" s="239" t="str">
        <f>IFERROR(IF(OR(LEFT(P101,5)="Error",LEFT(O101,5)="Error"),"Check Data",IF(F101&lt;S101,'G-7 Rivers Data'!$R$3,INDEX('G-7 Rivers Data'!$U$5:$Y$9,MATCH(G101,'G-7 Rivers Data'!$T$5:$T$9,0),MATCH(T101,'G-7 Rivers Data'!$U$4:$Y$4,0)))),"")</f>
        <v/>
      </c>
      <c r="Z101" s="275"/>
      <c r="AA101" s="275"/>
      <c r="AB101" s="175" t="str">
        <f t="shared" si="12"/>
        <v/>
      </c>
      <c r="AC101" s="262" t="str">
        <f t="shared" si="13"/>
        <v/>
      </c>
      <c r="AD101" s="382" t="str">
        <f>IFERROR(IF(AC101="Check Data","Check Data",VLOOKUP(AC101,'G-4 Temporal multipliers'!$A$4:$C$37,3,FALSE)),"")</f>
        <v/>
      </c>
      <c r="AE101" s="239" t="str">
        <f>IF(N101="","",VLOOKUP(N101,'G-7 Rivers Data'!$B$4:$G$8,5,FALSE))</f>
        <v/>
      </c>
      <c r="AF101" s="175" t="str">
        <f t="shared" si="14"/>
        <v/>
      </c>
      <c r="AG101" s="175" t="str">
        <f t="shared" si="15"/>
        <v/>
      </c>
      <c r="AH101" s="176" t="str">
        <f t="shared" si="9"/>
        <v/>
      </c>
      <c r="AI101" s="173"/>
      <c r="AJ101" s="172" t="str">
        <f>IF(AI101="","",IF(VLOOKUP(AI101,'G-7 Rivers Data'!$AA$4:$AB$7,2,FALSE)=0,"Spatial Data Missing",VLOOKUP(AI101,'G-7 Rivers Data'!$AA$4:$AB$7,2,FALSE)))</f>
        <v/>
      </c>
      <c r="AK101" s="187"/>
      <c r="AL101" s="172" t="str">
        <f>IF(AK101="","",IF(VLOOKUP(AK101,'G-7 Rivers Data'!$AD$4:$AE$8,2,FALSE)=0,"Spatial Data Missing",VLOOKUP(AK101,'G-7 Rivers Data'!$AD$4:$AE$8,2,FALSE)))</f>
        <v/>
      </c>
      <c r="AM101" s="186"/>
      <c r="AN101" s="176" t="str">
        <f>IF(AM101="","",VLOOKUP(AM101,'G-7 Rivers Data'!$AO$4:$AP$7,2,FALSE))</f>
        <v/>
      </c>
      <c r="AO101" s="265" t="str">
        <f t="shared" si="16"/>
        <v/>
      </c>
      <c r="AP101" s="180"/>
      <c r="AQ101" s="181"/>
      <c r="AX101" s="35" t="str">
        <f>IFERROR(INDEX('G-7 Rivers Data'!$AZ$3:$AZ$7,MATCH(N101,'G-7 Rivers Data'!$AY$3:$AY$7,0)),"")</f>
        <v/>
      </c>
    </row>
    <row r="102" spans="2:50" ht="13.8" x14ac:dyDescent="0.25">
      <c r="B102" s="259" t="str">
        <f>'F-1 Off Site River Baseline'!AN100</f>
        <v/>
      </c>
      <c r="C102" s="175" t="str">
        <f>IF(B102="","",VLOOKUP($B102,'F-1 Off Site River Baseline'!$C$9:$R$257,2,FALSE))</f>
        <v/>
      </c>
      <c r="D102" s="175" t="str">
        <f>IF(C102="","",VLOOKUP($B102,'F-1 Off Site River Baseline'!$C$9:$R$257,3,FALSE))</f>
        <v/>
      </c>
      <c r="E102" s="175" t="str">
        <f>IF(D102="","",VLOOKUP($B102,'F-1 Off Site River Baseline'!$C$9:$R$257,4,FALSE))</f>
        <v/>
      </c>
      <c r="F102" s="175" t="str">
        <f>IF(E102="","",VLOOKUP($B102,'F-1 Off Site River Baseline'!$C$9:$R$257,5,FALSE))</f>
        <v/>
      </c>
      <c r="G102" s="175" t="str">
        <f>IF(F102="","",VLOOKUP($B102,'F-1 Off Site River Baseline'!$C$9:$R$257,6,FALSE))</f>
        <v/>
      </c>
      <c r="H102" s="175" t="str">
        <f>IF(G102="","",VLOOKUP($B102,'F-1 Off Site River Baseline'!$C$9:$R$257,7,FALSE))</f>
        <v/>
      </c>
      <c r="I102" s="175" t="str">
        <f>IF(H102="","",VLOOKUP($B102,'F-1 Off Site River Baseline'!$C$9:$R$257,8,FALSE))</f>
        <v/>
      </c>
      <c r="J102" s="175" t="str">
        <f>IF(I102="","",VLOOKUP($B102,'F-1 Off Site River Baseline'!$C$9:$R$257,9,FALSE))</f>
        <v/>
      </c>
      <c r="K102" s="175" t="str">
        <f>IF(J102="","",VLOOKUP($B102,'F-1 Off Site River Baseline'!$C$9:$R$257,10,FALSE))</f>
        <v/>
      </c>
      <c r="L102" s="175" t="str">
        <f>IF(B102="","",VLOOKUP($B102,'C-1 Site River Baseline'!$C$9:$R$257,15,FALSE))</f>
        <v/>
      </c>
      <c r="M102" s="176" t="str">
        <f>IF(L102="","",VLOOKUP($B102,'F-1 Off Site River Baseline'!$C$9:$R$257,16,FALSE))</f>
        <v/>
      </c>
      <c r="N102" s="639" t="str">
        <f t="shared" si="10"/>
        <v/>
      </c>
      <c r="O102" s="171" t="str">
        <f t="shared" si="11"/>
        <v/>
      </c>
      <c r="P102" s="172" t="str">
        <f>IF(C102="","",IF(AND(LEFT(C102,55)&lt;&gt;LEFT(N102,55),O102="High - High"),"Error - Not like for like",IF(AND(F102=S102,H102&gt;U102),"Error - Can not reduce condition",IF(AND(F102=S102,H102=U102,AJ102='F-1 Off Site River Baseline'!N100,'F-1 Off Site River Baseline'!P100=AL102),"Error - No enhancement",IF(AND(C102&lt;&gt;N102,F102&lt;S102),"Lower Distinctiveness Habitat"&amp;" - "&amp;T102,G102&amp;" - "&amp;T102)))))</f>
        <v/>
      </c>
      <c r="Q102" s="260" t="str">
        <f>IF(N102="","",VLOOKUP(B102,'F-1 Off Site River Baseline'!$C$10:$AA$257,19,FALSE))</f>
        <v/>
      </c>
      <c r="R102" s="171" t="str">
        <f>IF(N102="","",VLOOKUP(N102,'G-7 Rivers Data'!$B$2:$G$8,2,FALSE))</f>
        <v/>
      </c>
      <c r="S102" s="172" t="str">
        <f>IFERROR(VLOOKUP(R102,'G-7 Rivers Data'!$C$4:$D$8,2,FALSE),"")</f>
        <v/>
      </c>
      <c r="T102" s="173"/>
      <c r="U102" s="172" t="str">
        <f>IFERROR(INDEX('G-7 Rivers Data'!$H$4:$L$8,MATCH(N102,'G-7 Rivers Data'!$B$4:$B$8,0),MATCH(T102,'G-7 Rivers Data'!$H$3:$L$3,0)),"")</f>
        <v/>
      </c>
      <c r="V102" s="186"/>
      <c r="W102" s="175" t="str">
        <f>IF(V102="","",IF(VLOOKUP(V102,'G-7 Rivers Data'!$AG$4:$AI$9,2,FALSE)=0,"Spatial Data Missing",VLOOKUP(V102,'G-7 Rivers Data'!$AG$4:$AI$9,2,FALSE)))</f>
        <v/>
      </c>
      <c r="X102" s="176" t="str">
        <f>IF(V102="","",IF(VLOOKUP(V102,'G-7 Rivers Data'!$AG$4:$AI$9,3,FALSE)=0,"Spatial Data Missing",VLOOKUP(V102,'G-7 Rivers Data'!$AG$4:$AI$9,3,FALSE)))</f>
        <v/>
      </c>
      <c r="Y102" s="239" t="str">
        <f>IFERROR(IF(OR(LEFT(P102,5)="Error",LEFT(O102,5)="Error"),"Check Data",IF(F102&lt;S102,'G-7 Rivers Data'!$R$3,INDEX('G-7 Rivers Data'!$U$5:$Y$9,MATCH(G102,'G-7 Rivers Data'!$T$5:$T$9,0),MATCH(T102,'G-7 Rivers Data'!$U$4:$Y$4,0)))),"")</f>
        <v/>
      </c>
      <c r="Z102" s="275"/>
      <c r="AA102" s="275"/>
      <c r="AB102" s="175" t="str">
        <f t="shared" si="12"/>
        <v/>
      </c>
      <c r="AC102" s="262" t="str">
        <f t="shared" si="13"/>
        <v/>
      </c>
      <c r="AD102" s="382" t="str">
        <f>IFERROR(IF(AC102="Check Data","Check Data",VLOOKUP(AC102,'G-4 Temporal multipliers'!$A$4:$C$37,3,FALSE)),"")</f>
        <v/>
      </c>
      <c r="AE102" s="239" t="str">
        <f>IF(N102="","",VLOOKUP(N102,'G-7 Rivers Data'!$B$4:$G$8,5,FALSE))</f>
        <v/>
      </c>
      <c r="AF102" s="175" t="str">
        <f t="shared" si="14"/>
        <v/>
      </c>
      <c r="AG102" s="175" t="str">
        <f t="shared" si="15"/>
        <v/>
      </c>
      <c r="AH102" s="176" t="str">
        <f t="shared" si="9"/>
        <v/>
      </c>
      <c r="AI102" s="173"/>
      <c r="AJ102" s="172" t="str">
        <f>IF(AI102="","",IF(VLOOKUP(AI102,'G-7 Rivers Data'!$AA$4:$AB$7,2,FALSE)=0,"Spatial Data Missing",VLOOKUP(AI102,'G-7 Rivers Data'!$AA$4:$AB$7,2,FALSE)))</f>
        <v/>
      </c>
      <c r="AK102" s="187"/>
      <c r="AL102" s="172" t="str">
        <f>IF(AK102="","",IF(VLOOKUP(AK102,'G-7 Rivers Data'!$AD$4:$AE$8,2,FALSE)=0,"Spatial Data Missing",VLOOKUP(AK102,'G-7 Rivers Data'!$AD$4:$AE$8,2,FALSE)))</f>
        <v/>
      </c>
      <c r="AM102" s="186"/>
      <c r="AN102" s="176" t="str">
        <f>IF(AM102="","",VLOOKUP(AM102,'G-7 Rivers Data'!$AO$4:$AP$7,2,FALSE))</f>
        <v/>
      </c>
      <c r="AO102" s="265" t="str">
        <f t="shared" si="16"/>
        <v/>
      </c>
      <c r="AP102" s="180"/>
      <c r="AQ102" s="181"/>
      <c r="AX102" s="35" t="str">
        <f>IFERROR(INDEX('G-7 Rivers Data'!$AZ$3:$AZ$7,MATCH(N102,'G-7 Rivers Data'!$AY$3:$AY$7,0)),"")</f>
        <v/>
      </c>
    </row>
    <row r="103" spans="2:50" ht="13.8" x14ac:dyDescent="0.25">
      <c r="B103" s="259" t="str">
        <f>'F-1 Off Site River Baseline'!AN101</f>
        <v/>
      </c>
      <c r="C103" s="175" t="str">
        <f>IF(B103="","",VLOOKUP($B103,'F-1 Off Site River Baseline'!$C$9:$R$257,2,FALSE))</f>
        <v/>
      </c>
      <c r="D103" s="175" t="str">
        <f>IF(C103="","",VLOOKUP($B103,'F-1 Off Site River Baseline'!$C$9:$R$257,3,FALSE))</f>
        <v/>
      </c>
      <c r="E103" s="175" t="str">
        <f>IF(D103="","",VLOOKUP($B103,'F-1 Off Site River Baseline'!$C$9:$R$257,4,FALSE))</f>
        <v/>
      </c>
      <c r="F103" s="175" t="str">
        <f>IF(E103="","",VLOOKUP($B103,'F-1 Off Site River Baseline'!$C$9:$R$257,5,FALSE))</f>
        <v/>
      </c>
      <c r="G103" s="175" t="str">
        <f>IF(F103="","",VLOOKUP($B103,'F-1 Off Site River Baseline'!$C$9:$R$257,6,FALSE))</f>
        <v/>
      </c>
      <c r="H103" s="175" t="str">
        <f>IF(G103="","",VLOOKUP($B103,'F-1 Off Site River Baseline'!$C$9:$R$257,7,FALSE))</f>
        <v/>
      </c>
      <c r="I103" s="175" t="str">
        <f>IF(H103="","",VLOOKUP($B103,'F-1 Off Site River Baseline'!$C$9:$R$257,8,FALSE))</f>
        <v/>
      </c>
      <c r="J103" s="175" t="str">
        <f>IF(I103="","",VLOOKUP($B103,'F-1 Off Site River Baseline'!$C$9:$R$257,9,FALSE))</f>
        <v/>
      </c>
      <c r="K103" s="175" t="str">
        <f>IF(J103="","",VLOOKUP($B103,'F-1 Off Site River Baseline'!$C$9:$R$257,10,FALSE))</f>
        <v/>
      </c>
      <c r="L103" s="175" t="str">
        <f>IF(B103="","",VLOOKUP($B103,'C-1 Site River Baseline'!$C$9:$R$257,15,FALSE))</f>
        <v/>
      </c>
      <c r="M103" s="176" t="str">
        <f>IF(L103="","",VLOOKUP($B103,'F-1 Off Site River Baseline'!$C$9:$R$257,16,FALSE))</f>
        <v/>
      </c>
      <c r="N103" s="639" t="str">
        <f t="shared" si="10"/>
        <v/>
      </c>
      <c r="O103" s="171" t="str">
        <f t="shared" si="11"/>
        <v/>
      </c>
      <c r="P103" s="172" t="str">
        <f>IF(C103="","",IF(AND(LEFT(C103,55)&lt;&gt;LEFT(N103,55),O103="High - High"),"Error - Not like for like",IF(AND(F103=S103,H103&gt;U103),"Error - Can not reduce condition",IF(AND(F103=S103,H103=U103,AJ103='F-1 Off Site River Baseline'!N101,'F-1 Off Site River Baseline'!P101=AL103),"Error - No enhancement",IF(AND(C103&lt;&gt;N103,F103&lt;S103),"Lower Distinctiveness Habitat"&amp;" - "&amp;T103,G103&amp;" - "&amp;T103)))))</f>
        <v/>
      </c>
      <c r="Q103" s="260" t="str">
        <f>IF(N103="","",VLOOKUP(B103,'F-1 Off Site River Baseline'!$C$10:$AA$257,19,FALSE))</f>
        <v/>
      </c>
      <c r="R103" s="171" t="str">
        <f>IF(N103="","",VLOOKUP(N103,'G-7 Rivers Data'!$B$2:$G$8,2,FALSE))</f>
        <v/>
      </c>
      <c r="S103" s="172" t="str">
        <f>IFERROR(VLOOKUP(R103,'G-7 Rivers Data'!$C$4:$D$8,2,FALSE),"")</f>
        <v/>
      </c>
      <c r="T103" s="173"/>
      <c r="U103" s="172" t="str">
        <f>IFERROR(INDEX('G-7 Rivers Data'!$H$4:$L$8,MATCH(N103,'G-7 Rivers Data'!$B$4:$B$8,0),MATCH(T103,'G-7 Rivers Data'!$H$3:$L$3,0)),"")</f>
        <v/>
      </c>
      <c r="V103" s="186"/>
      <c r="W103" s="175" t="str">
        <f>IF(V103="","",IF(VLOOKUP(V103,'G-7 Rivers Data'!$AG$4:$AI$9,2,FALSE)=0,"Spatial Data Missing",VLOOKUP(V103,'G-7 Rivers Data'!$AG$4:$AI$9,2,FALSE)))</f>
        <v/>
      </c>
      <c r="X103" s="176" t="str">
        <f>IF(V103="","",IF(VLOOKUP(V103,'G-7 Rivers Data'!$AG$4:$AI$9,3,FALSE)=0,"Spatial Data Missing",VLOOKUP(V103,'G-7 Rivers Data'!$AG$4:$AI$9,3,FALSE)))</f>
        <v/>
      </c>
      <c r="Y103" s="239" t="str">
        <f>IFERROR(IF(OR(LEFT(P103,5)="Error",LEFT(O103,5)="Error"),"Check Data",IF(F103&lt;S103,'G-7 Rivers Data'!$R$3,INDEX('G-7 Rivers Data'!$U$5:$Y$9,MATCH(G103,'G-7 Rivers Data'!$T$5:$T$9,0),MATCH(T103,'G-7 Rivers Data'!$U$4:$Y$4,0)))),"")</f>
        <v/>
      </c>
      <c r="Z103" s="275"/>
      <c r="AA103" s="275"/>
      <c r="AB103" s="175" t="str">
        <f t="shared" si="12"/>
        <v/>
      </c>
      <c r="AC103" s="262" t="str">
        <f t="shared" si="13"/>
        <v/>
      </c>
      <c r="AD103" s="382" t="str">
        <f>IFERROR(IF(AC103="Check Data","Check Data",VLOOKUP(AC103,'G-4 Temporal multipliers'!$A$4:$C$37,3,FALSE)),"")</f>
        <v/>
      </c>
      <c r="AE103" s="239" t="str">
        <f>IF(N103="","",VLOOKUP(N103,'G-7 Rivers Data'!$B$4:$G$8,5,FALSE))</f>
        <v/>
      </c>
      <c r="AF103" s="175" t="str">
        <f t="shared" si="14"/>
        <v/>
      </c>
      <c r="AG103" s="175" t="str">
        <f t="shared" si="15"/>
        <v/>
      </c>
      <c r="AH103" s="176" t="str">
        <f t="shared" si="9"/>
        <v/>
      </c>
      <c r="AI103" s="173"/>
      <c r="AJ103" s="172" t="str">
        <f>IF(AI103="","",IF(VLOOKUP(AI103,'G-7 Rivers Data'!$AA$4:$AB$7,2,FALSE)=0,"Spatial Data Missing",VLOOKUP(AI103,'G-7 Rivers Data'!$AA$4:$AB$7,2,FALSE)))</f>
        <v/>
      </c>
      <c r="AK103" s="187"/>
      <c r="AL103" s="172" t="str">
        <f>IF(AK103="","",IF(VLOOKUP(AK103,'G-7 Rivers Data'!$AD$4:$AE$8,2,FALSE)=0,"Spatial Data Missing",VLOOKUP(AK103,'G-7 Rivers Data'!$AD$4:$AE$8,2,FALSE)))</f>
        <v/>
      </c>
      <c r="AM103" s="186"/>
      <c r="AN103" s="176" t="str">
        <f>IF(AM103="","",VLOOKUP(AM103,'G-7 Rivers Data'!$AO$4:$AP$7,2,FALSE))</f>
        <v/>
      </c>
      <c r="AO103" s="265" t="str">
        <f t="shared" si="16"/>
        <v/>
      </c>
      <c r="AP103" s="180"/>
      <c r="AQ103" s="181"/>
      <c r="AX103" s="35" t="str">
        <f>IFERROR(INDEX('G-7 Rivers Data'!$AZ$3:$AZ$7,MATCH(N103,'G-7 Rivers Data'!$AY$3:$AY$7,0)),"")</f>
        <v/>
      </c>
    </row>
    <row r="104" spans="2:50" ht="13.8" x14ac:dyDescent="0.25">
      <c r="B104" s="259" t="str">
        <f>'F-1 Off Site River Baseline'!AN102</f>
        <v/>
      </c>
      <c r="C104" s="175" t="str">
        <f>IF(B104="","",VLOOKUP($B104,'F-1 Off Site River Baseline'!$C$9:$R$257,2,FALSE))</f>
        <v/>
      </c>
      <c r="D104" s="175" t="str">
        <f>IF(C104="","",VLOOKUP($B104,'F-1 Off Site River Baseline'!$C$9:$R$257,3,FALSE))</f>
        <v/>
      </c>
      <c r="E104" s="175" t="str">
        <f>IF(D104="","",VLOOKUP($B104,'F-1 Off Site River Baseline'!$C$9:$R$257,4,FALSE))</f>
        <v/>
      </c>
      <c r="F104" s="175" t="str">
        <f>IF(E104="","",VLOOKUP($B104,'F-1 Off Site River Baseline'!$C$9:$R$257,5,FALSE))</f>
        <v/>
      </c>
      <c r="G104" s="175" t="str">
        <f>IF(F104="","",VLOOKUP($B104,'F-1 Off Site River Baseline'!$C$9:$R$257,6,FALSE))</f>
        <v/>
      </c>
      <c r="H104" s="175" t="str">
        <f>IF(G104="","",VLOOKUP($B104,'F-1 Off Site River Baseline'!$C$9:$R$257,7,FALSE))</f>
        <v/>
      </c>
      <c r="I104" s="175" t="str">
        <f>IF(H104="","",VLOOKUP($B104,'F-1 Off Site River Baseline'!$C$9:$R$257,8,FALSE))</f>
        <v/>
      </c>
      <c r="J104" s="175" t="str">
        <f>IF(I104="","",VLOOKUP($B104,'F-1 Off Site River Baseline'!$C$9:$R$257,9,FALSE))</f>
        <v/>
      </c>
      <c r="K104" s="175" t="str">
        <f>IF(J104="","",VLOOKUP($B104,'F-1 Off Site River Baseline'!$C$9:$R$257,10,FALSE))</f>
        <v/>
      </c>
      <c r="L104" s="175" t="str">
        <f>IF(B104="","",VLOOKUP($B104,'C-1 Site River Baseline'!$C$9:$R$257,15,FALSE))</f>
        <v/>
      </c>
      <c r="M104" s="176" t="str">
        <f>IF(L104="","",VLOOKUP($B104,'F-1 Off Site River Baseline'!$C$9:$R$257,16,FALSE))</f>
        <v/>
      </c>
      <c r="N104" s="639" t="str">
        <f t="shared" si="10"/>
        <v/>
      </c>
      <c r="O104" s="171" t="str">
        <f t="shared" si="11"/>
        <v/>
      </c>
      <c r="P104" s="172" t="str">
        <f>IF(C104="","",IF(AND(LEFT(C104,55)&lt;&gt;LEFT(N104,55),O104="High - High"),"Error - Not like for like",IF(AND(F104=S104,H104&gt;U104),"Error - Can not reduce condition",IF(AND(F104=S104,H104=U104,AJ104='F-1 Off Site River Baseline'!N102,'F-1 Off Site River Baseline'!P102=AL104),"Error - No enhancement",IF(AND(C104&lt;&gt;N104,F104&lt;S104),"Lower Distinctiveness Habitat"&amp;" - "&amp;T104,G104&amp;" - "&amp;T104)))))</f>
        <v/>
      </c>
      <c r="Q104" s="260" t="str">
        <f>IF(N104="","",VLOOKUP(B104,'F-1 Off Site River Baseline'!$C$10:$AA$257,19,FALSE))</f>
        <v/>
      </c>
      <c r="R104" s="171" t="str">
        <f>IF(N104="","",VLOOKUP(N104,'G-7 Rivers Data'!$B$2:$G$8,2,FALSE))</f>
        <v/>
      </c>
      <c r="S104" s="172" t="str">
        <f>IFERROR(VLOOKUP(R104,'G-7 Rivers Data'!$C$4:$D$8,2,FALSE),"")</f>
        <v/>
      </c>
      <c r="T104" s="173"/>
      <c r="U104" s="172" t="str">
        <f>IFERROR(INDEX('G-7 Rivers Data'!$H$4:$L$8,MATCH(N104,'G-7 Rivers Data'!$B$4:$B$8,0),MATCH(T104,'G-7 Rivers Data'!$H$3:$L$3,0)),"")</f>
        <v/>
      </c>
      <c r="V104" s="186"/>
      <c r="W104" s="175" t="str">
        <f>IF(V104="","",IF(VLOOKUP(V104,'G-7 Rivers Data'!$AG$4:$AI$9,2,FALSE)=0,"Spatial Data Missing",VLOOKUP(V104,'G-7 Rivers Data'!$AG$4:$AI$9,2,FALSE)))</f>
        <v/>
      </c>
      <c r="X104" s="176" t="str">
        <f>IF(V104="","",IF(VLOOKUP(V104,'G-7 Rivers Data'!$AG$4:$AI$9,3,FALSE)=0,"Spatial Data Missing",VLOOKUP(V104,'G-7 Rivers Data'!$AG$4:$AI$9,3,FALSE)))</f>
        <v/>
      </c>
      <c r="Y104" s="239" t="str">
        <f>IFERROR(IF(OR(LEFT(P104,5)="Error",LEFT(O104,5)="Error"),"Check Data",IF(F104&lt;S104,'G-7 Rivers Data'!$R$3,INDEX('G-7 Rivers Data'!$U$5:$Y$9,MATCH(G104,'G-7 Rivers Data'!$T$5:$T$9,0),MATCH(T104,'G-7 Rivers Data'!$U$4:$Y$4,0)))),"")</f>
        <v/>
      </c>
      <c r="Z104" s="275"/>
      <c r="AA104" s="275"/>
      <c r="AB104" s="175" t="str">
        <f t="shared" si="12"/>
        <v/>
      </c>
      <c r="AC104" s="262" t="str">
        <f t="shared" si="13"/>
        <v/>
      </c>
      <c r="AD104" s="382" t="str">
        <f>IFERROR(IF(AC104="Check Data","Check Data",VLOOKUP(AC104,'G-4 Temporal multipliers'!$A$4:$C$37,3,FALSE)),"")</f>
        <v/>
      </c>
      <c r="AE104" s="239" t="str">
        <f>IF(N104="","",VLOOKUP(N104,'G-7 Rivers Data'!$B$4:$G$8,5,FALSE))</f>
        <v/>
      </c>
      <c r="AF104" s="175" t="str">
        <f t="shared" si="14"/>
        <v/>
      </c>
      <c r="AG104" s="175" t="str">
        <f t="shared" si="15"/>
        <v/>
      </c>
      <c r="AH104" s="176" t="str">
        <f t="shared" si="9"/>
        <v/>
      </c>
      <c r="AI104" s="173"/>
      <c r="AJ104" s="172" t="str">
        <f>IF(AI104="","",IF(VLOOKUP(AI104,'G-7 Rivers Data'!$AA$4:$AB$7,2,FALSE)=0,"Spatial Data Missing",VLOOKUP(AI104,'G-7 Rivers Data'!$AA$4:$AB$7,2,FALSE)))</f>
        <v/>
      </c>
      <c r="AK104" s="187"/>
      <c r="AL104" s="172" t="str">
        <f>IF(AK104="","",IF(VLOOKUP(AK104,'G-7 Rivers Data'!$AD$4:$AE$8,2,FALSE)=0,"Spatial Data Missing",VLOOKUP(AK104,'G-7 Rivers Data'!$AD$4:$AE$8,2,FALSE)))</f>
        <v/>
      </c>
      <c r="AM104" s="186"/>
      <c r="AN104" s="176" t="str">
        <f>IF(AM104="","",VLOOKUP(AM104,'G-7 Rivers Data'!$AO$4:$AP$7,2,FALSE))</f>
        <v/>
      </c>
      <c r="AO104" s="265" t="str">
        <f t="shared" si="16"/>
        <v/>
      </c>
      <c r="AP104" s="180"/>
      <c r="AQ104" s="181"/>
      <c r="AX104" s="35" t="str">
        <f>IFERROR(INDEX('G-7 Rivers Data'!$AZ$3:$AZ$7,MATCH(N104,'G-7 Rivers Data'!$AY$3:$AY$7,0)),"")</f>
        <v/>
      </c>
    </row>
    <row r="105" spans="2:50" ht="13.8" x14ac:dyDescent="0.25">
      <c r="B105" s="259" t="str">
        <f>'F-1 Off Site River Baseline'!AN103</f>
        <v/>
      </c>
      <c r="C105" s="175" t="str">
        <f>IF(B105="","",VLOOKUP($B105,'F-1 Off Site River Baseline'!$C$9:$R$257,2,FALSE))</f>
        <v/>
      </c>
      <c r="D105" s="175" t="str">
        <f>IF(C105="","",VLOOKUP($B105,'F-1 Off Site River Baseline'!$C$9:$R$257,3,FALSE))</f>
        <v/>
      </c>
      <c r="E105" s="175" t="str">
        <f>IF(D105="","",VLOOKUP($B105,'F-1 Off Site River Baseline'!$C$9:$R$257,4,FALSE))</f>
        <v/>
      </c>
      <c r="F105" s="175" t="str">
        <f>IF(E105="","",VLOOKUP($B105,'F-1 Off Site River Baseline'!$C$9:$R$257,5,FALSE))</f>
        <v/>
      </c>
      <c r="G105" s="175" t="str">
        <f>IF(F105="","",VLOOKUP($B105,'F-1 Off Site River Baseline'!$C$9:$R$257,6,FALSE))</f>
        <v/>
      </c>
      <c r="H105" s="175" t="str">
        <f>IF(G105="","",VLOOKUP($B105,'F-1 Off Site River Baseline'!$C$9:$R$257,7,FALSE))</f>
        <v/>
      </c>
      <c r="I105" s="175" t="str">
        <f>IF(H105="","",VLOOKUP($B105,'F-1 Off Site River Baseline'!$C$9:$R$257,8,FALSE))</f>
        <v/>
      </c>
      <c r="J105" s="175" t="str">
        <f>IF(I105="","",VLOOKUP($B105,'F-1 Off Site River Baseline'!$C$9:$R$257,9,FALSE))</f>
        <v/>
      </c>
      <c r="K105" s="175" t="str">
        <f>IF(J105="","",VLOOKUP($B105,'F-1 Off Site River Baseline'!$C$9:$R$257,10,FALSE))</f>
        <v/>
      </c>
      <c r="L105" s="175" t="str">
        <f>IF(B105="","",VLOOKUP($B105,'C-1 Site River Baseline'!$C$9:$R$257,15,FALSE))</f>
        <v/>
      </c>
      <c r="M105" s="176" t="str">
        <f>IF(L105="","",VLOOKUP($B105,'F-1 Off Site River Baseline'!$C$9:$R$257,16,FALSE))</f>
        <v/>
      </c>
      <c r="N105" s="639" t="str">
        <f t="shared" si="10"/>
        <v/>
      </c>
      <c r="O105" s="171" t="str">
        <f t="shared" si="11"/>
        <v/>
      </c>
      <c r="P105" s="172" t="str">
        <f>IF(C105="","",IF(AND(LEFT(C105,55)&lt;&gt;LEFT(N105,55),O105="High - High"),"Error - Not like for like",IF(AND(F105=S105,H105&gt;U105),"Error - Can not reduce condition",IF(AND(F105=S105,H105=U105,AJ105='F-1 Off Site River Baseline'!N103,'F-1 Off Site River Baseline'!P103=AL105),"Error - No enhancement",IF(AND(C105&lt;&gt;N105,F105&lt;S105),"Lower Distinctiveness Habitat"&amp;" - "&amp;T105,G105&amp;" - "&amp;T105)))))</f>
        <v/>
      </c>
      <c r="Q105" s="260" t="str">
        <f>IF(N105="","",VLOOKUP(B105,'F-1 Off Site River Baseline'!$C$10:$AA$257,19,FALSE))</f>
        <v/>
      </c>
      <c r="R105" s="171" t="str">
        <f>IF(N105="","",VLOOKUP(N105,'G-7 Rivers Data'!$B$2:$G$8,2,FALSE))</f>
        <v/>
      </c>
      <c r="S105" s="172" t="str">
        <f>IFERROR(VLOOKUP(R105,'G-7 Rivers Data'!$C$4:$D$8,2,FALSE),"")</f>
        <v/>
      </c>
      <c r="T105" s="173"/>
      <c r="U105" s="172" t="str">
        <f>IFERROR(INDEX('G-7 Rivers Data'!$H$4:$L$8,MATCH(N105,'G-7 Rivers Data'!$B$4:$B$8,0),MATCH(T105,'G-7 Rivers Data'!$H$3:$L$3,0)),"")</f>
        <v/>
      </c>
      <c r="V105" s="186"/>
      <c r="W105" s="175" t="str">
        <f>IF(V105="","",IF(VLOOKUP(V105,'G-7 Rivers Data'!$AG$4:$AI$9,2,FALSE)=0,"Spatial Data Missing",VLOOKUP(V105,'G-7 Rivers Data'!$AG$4:$AI$9,2,FALSE)))</f>
        <v/>
      </c>
      <c r="X105" s="176" t="str">
        <f>IF(V105="","",IF(VLOOKUP(V105,'G-7 Rivers Data'!$AG$4:$AI$9,3,FALSE)=0,"Spatial Data Missing",VLOOKUP(V105,'G-7 Rivers Data'!$AG$4:$AI$9,3,FALSE)))</f>
        <v/>
      </c>
      <c r="Y105" s="239" t="str">
        <f>IFERROR(IF(OR(LEFT(P105,5)="Error",LEFT(O105,5)="Error"),"Check Data",IF(F105&lt;S105,'G-7 Rivers Data'!$R$3,INDEX('G-7 Rivers Data'!$U$5:$Y$9,MATCH(G105,'G-7 Rivers Data'!$T$5:$T$9,0),MATCH(T105,'G-7 Rivers Data'!$U$4:$Y$4,0)))),"")</f>
        <v/>
      </c>
      <c r="Z105" s="275"/>
      <c r="AA105" s="275"/>
      <c r="AB105" s="175" t="str">
        <f t="shared" si="12"/>
        <v/>
      </c>
      <c r="AC105" s="262" t="str">
        <f t="shared" si="13"/>
        <v/>
      </c>
      <c r="AD105" s="382" t="str">
        <f>IFERROR(IF(AC105="Check Data","Check Data",VLOOKUP(AC105,'G-4 Temporal multipliers'!$A$4:$C$37,3,FALSE)),"")</f>
        <v/>
      </c>
      <c r="AE105" s="239" t="str">
        <f>IF(N105="","",VLOOKUP(N105,'G-7 Rivers Data'!$B$4:$G$8,5,FALSE))</f>
        <v/>
      </c>
      <c r="AF105" s="175" t="str">
        <f t="shared" si="14"/>
        <v/>
      </c>
      <c r="AG105" s="175" t="str">
        <f t="shared" si="15"/>
        <v/>
      </c>
      <c r="AH105" s="176" t="str">
        <f t="shared" si="9"/>
        <v/>
      </c>
      <c r="AI105" s="173"/>
      <c r="AJ105" s="172" t="str">
        <f>IF(AI105="","",IF(VLOOKUP(AI105,'G-7 Rivers Data'!$AA$4:$AB$7,2,FALSE)=0,"Spatial Data Missing",VLOOKUP(AI105,'G-7 Rivers Data'!$AA$4:$AB$7,2,FALSE)))</f>
        <v/>
      </c>
      <c r="AK105" s="187"/>
      <c r="AL105" s="172" t="str">
        <f>IF(AK105="","",IF(VLOOKUP(AK105,'G-7 Rivers Data'!$AD$4:$AE$8,2,FALSE)=0,"Spatial Data Missing",VLOOKUP(AK105,'G-7 Rivers Data'!$AD$4:$AE$8,2,FALSE)))</f>
        <v/>
      </c>
      <c r="AM105" s="186"/>
      <c r="AN105" s="176" t="str">
        <f>IF(AM105="","",VLOOKUP(AM105,'G-7 Rivers Data'!$AO$4:$AP$7,2,FALSE))</f>
        <v/>
      </c>
      <c r="AO105" s="265" t="str">
        <f t="shared" si="16"/>
        <v/>
      </c>
      <c r="AP105" s="180"/>
      <c r="AQ105" s="181"/>
      <c r="AX105" s="35" t="str">
        <f>IFERROR(INDEX('G-7 Rivers Data'!$AZ$3:$AZ$7,MATCH(N105,'G-7 Rivers Data'!$AY$3:$AY$7,0)),"")</f>
        <v/>
      </c>
    </row>
    <row r="106" spans="2:50" ht="13.8" x14ac:dyDescent="0.25">
      <c r="B106" s="259" t="str">
        <f>'F-1 Off Site River Baseline'!AN104</f>
        <v/>
      </c>
      <c r="C106" s="175" t="str">
        <f>IF(B106="","",VLOOKUP($B106,'F-1 Off Site River Baseline'!$C$9:$R$257,2,FALSE))</f>
        <v/>
      </c>
      <c r="D106" s="175" t="str">
        <f>IF(C106="","",VLOOKUP($B106,'F-1 Off Site River Baseline'!$C$9:$R$257,3,FALSE))</f>
        <v/>
      </c>
      <c r="E106" s="175" t="str">
        <f>IF(D106="","",VLOOKUP($B106,'F-1 Off Site River Baseline'!$C$9:$R$257,4,FALSE))</f>
        <v/>
      </c>
      <c r="F106" s="175" t="str">
        <f>IF(E106="","",VLOOKUP($B106,'F-1 Off Site River Baseline'!$C$9:$R$257,5,FALSE))</f>
        <v/>
      </c>
      <c r="G106" s="175" t="str">
        <f>IF(F106="","",VLOOKUP($B106,'F-1 Off Site River Baseline'!$C$9:$R$257,6,FALSE))</f>
        <v/>
      </c>
      <c r="H106" s="175" t="str">
        <f>IF(G106="","",VLOOKUP($B106,'F-1 Off Site River Baseline'!$C$9:$R$257,7,FALSE))</f>
        <v/>
      </c>
      <c r="I106" s="175" t="str">
        <f>IF(H106="","",VLOOKUP($B106,'F-1 Off Site River Baseline'!$C$9:$R$257,8,FALSE))</f>
        <v/>
      </c>
      <c r="J106" s="175" t="str">
        <f>IF(I106="","",VLOOKUP($B106,'F-1 Off Site River Baseline'!$C$9:$R$257,9,FALSE))</f>
        <v/>
      </c>
      <c r="K106" s="175" t="str">
        <f>IF(J106="","",VLOOKUP($B106,'F-1 Off Site River Baseline'!$C$9:$R$257,10,FALSE))</f>
        <v/>
      </c>
      <c r="L106" s="175" t="str">
        <f>IF(B106="","",VLOOKUP($B106,'C-1 Site River Baseline'!$C$9:$R$257,15,FALSE))</f>
        <v/>
      </c>
      <c r="M106" s="176" t="str">
        <f>IF(L106="","",VLOOKUP($B106,'F-1 Off Site River Baseline'!$C$9:$R$257,16,FALSE))</f>
        <v/>
      </c>
      <c r="N106" s="639" t="str">
        <f t="shared" si="10"/>
        <v/>
      </c>
      <c r="O106" s="171" t="str">
        <f t="shared" si="11"/>
        <v/>
      </c>
      <c r="P106" s="172" t="str">
        <f>IF(C106="","",IF(AND(LEFT(C106,55)&lt;&gt;LEFT(N106,55),O106="High - High"),"Error - Not like for like",IF(AND(F106=S106,H106&gt;U106),"Error - Can not reduce condition",IF(AND(F106=S106,H106=U106,AJ106='F-1 Off Site River Baseline'!N104,'F-1 Off Site River Baseline'!P104=AL106),"Error - No enhancement",IF(AND(C106&lt;&gt;N106,F106&lt;S106),"Lower Distinctiveness Habitat"&amp;" - "&amp;T106,G106&amp;" - "&amp;T106)))))</f>
        <v/>
      </c>
      <c r="Q106" s="260" t="str">
        <f>IF(N106="","",VLOOKUP(B106,'F-1 Off Site River Baseline'!$C$10:$AA$257,19,FALSE))</f>
        <v/>
      </c>
      <c r="R106" s="171" t="str">
        <f>IF(N106="","",VLOOKUP(N106,'G-7 Rivers Data'!$B$2:$G$8,2,FALSE))</f>
        <v/>
      </c>
      <c r="S106" s="172" t="str">
        <f>IFERROR(VLOOKUP(R106,'G-7 Rivers Data'!$C$4:$D$8,2,FALSE),"")</f>
        <v/>
      </c>
      <c r="T106" s="173"/>
      <c r="U106" s="172" t="str">
        <f>IFERROR(INDEX('G-7 Rivers Data'!$H$4:$L$8,MATCH(N106,'G-7 Rivers Data'!$B$4:$B$8,0),MATCH(T106,'G-7 Rivers Data'!$H$3:$L$3,0)),"")</f>
        <v/>
      </c>
      <c r="V106" s="186"/>
      <c r="W106" s="175" t="str">
        <f>IF(V106="","",IF(VLOOKUP(V106,'G-7 Rivers Data'!$AG$4:$AI$9,2,FALSE)=0,"Spatial Data Missing",VLOOKUP(V106,'G-7 Rivers Data'!$AG$4:$AI$9,2,FALSE)))</f>
        <v/>
      </c>
      <c r="X106" s="176" t="str">
        <f>IF(V106="","",IF(VLOOKUP(V106,'G-7 Rivers Data'!$AG$4:$AI$9,3,FALSE)=0,"Spatial Data Missing",VLOOKUP(V106,'G-7 Rivers Data'!$AG$4:$AI$9,3,FALSE)))</f>
        <v/>
      </c>
      <c r="Y106" s="239" t="str">
        <f>IFERROR(IF(OR(LEFT(P106,5)="Error",LEFT(O106,5)="Error"),"Check Data",IF(F106&lt;S106,'G-7 Rivers Data'!$R$3,INDEX('G-7 Rivers Data'!$U$5:$Y$9,MATCH(G106,'G-7 Rivers Data'!$T$5:$T$9,0),MATCH(T106,'G-7 Rivers Data'!$U$4:$Y$4,0)))),"")</f>
        <v/>
      </c>
      <c r="Z106" s="275"/>
      <c r="AA106" s="275"/>
      <c r="AB106" s="175" t="str">
        <f t="shared" si="12"/>
        <v/>
      </c>
      <c r="AC106" s="262" t="str">
        <f t="shared" si="13"/>
        <v/>
      </c>
      <c r="AD106" s="382" t="str">
        <f>IFERROR(IF(AC106="Check Data","Check Data",VLOOKUP(AC106,'G-4 Temporal multipliers'!$A$4:$C$37,3,FALSE)),"")</f>
        <v/>
      </c>
      <c r="AE106" s="239" t="str">
        <f>IF(N106="","",VLOOKUP(N106,'G-7 Rivers Data'!$B$4:$G$8,5,FALSE))</f>
        <v/>
      </c>
      <c r="AF106" s="175" t="str">
        <f t="shared" si="14"/>
        <v/>
      </c>
      <c r="AG106" s="175" t="str">
        <f t="shared" si="15"/>
        <v/>
      </c>
      <c r="AH106" s="176" t="str">
        <f t="shared" si="9"/>
        <v/>
      </c>
      <c r="AI106" s="173"/>
      <c r="AJ106" s="172" t="str">
        <f>IF(AI106="","",IF(VLOOKUP(AI106,'G-7 Rivers Data'!$AA$4:$AB$7,2,FALSE)=0,"Spatial Data Missing",VLOOKUP(AI106,'G-7 Rivers Data'!$AA$4:$AB$7,2,FALSE)))</f>
        <v/>
      </c>
      <c r="AK106" s="187"/>
      <c r="AL106" s="172" t="str">
        <f>IF(AK106="","",IF(VLOOKUP(AK106,'G-7 Rivers Data'!$AD$4:$AE$8,2,FALSE)=0,"Spatial Data Missing",VLOOKUP(AK106,'G-7 Rivers Data'!$AD$4:$AE$8,2,FALSE)))</f>
        <v/>
      </c>
      <c r="AM106" s="186"/>
      <c r="AN106" s="176" t="str">
        <f>IF(AM106="","",VLOOKUP(AM106,'G-7 Rivers Data'!$AO$4:$AP$7,2,FALSE))</f>
        <v/>
      </c>
      <c r="AO106" s="265" t="str">
        <f t="shared" si="16"/>
        <v/>
      </c>
      <c r="AP106" s="180"/>
      <c r="AQ106" s="181"/>
      <c r="AX106" s="35" t="str">
        <f>IFERROR(INDEX('G-7 Rivers Data'!$AZ$3:$AZ$7,MATCH(N106,'G-7 Rivers Data'!$AY$3:$AY$7,0)),"")</f>
        <v/>
      </c>
    </row>
    <row r="107" spans="2:50" ht="13.8" x14ac:dyDescent="0.25">
      <c r="B107" s="259" t="str">
        <f>'F-1 Off Site River Baseline'!AN105</f>
        <v/>
      </c>
      <c r="C107" s="175" t="str">
        <f>IF(B107="","",VLOOKUP($B107,'F-1 Off Site River Baseline'!$C$9:$R$257,2,FALSE))</f>
        <v/>
      </c>
      <c r="D107" s="175" t="str">
        <f>IF(C107="","",VLOOKUP($B107,'F-1 Off Site River Baseline'!$C$9:$R$257,3,FALSE))</f>
        <v/>
      </c>
      <c r="E107" s="175" t="str">
        <f>IF(D107="","",VLOOKUP($B107,'F-1 Off Site River Baseline'!$C$9:$R$257,4,FALSE))</f>
        <v/>
      </c>
      <c r="F107" s="175" t="str">
        <f>IF(E107="","",VLOOKUP($B107,'F-1 Off Site River Baseline'!$C$9:$R$257,5,FALSE))</f>
        <v/>
      </c>
      <c r="G107" s="175" t="str">
        <f>IF(F107="","",VLOOKUP($B107,'F-1 Off Site River Baseline'!$C$9:$R$257,6,FALSE))</f>
        <v/>
      </c>
      <c r="H107" s="175" t="str">
        <f>IF(G107="","",VLOOKUP($B107,'F-1 Off Site River Baseline'!$C$9:$R$257,7,FALSE))</f>
        <v/>
      </c>
      <c r="I107" s="175" t="str">
        <f>IF(H107="","",VLOOKUP($B107,'F-1 Off Site River Baseline'!$C$9:$R$257,8,FALSE))</f>
        <v/>
      </c>
      <c r="J107" s="175" t="str">
        <f>IF(I107="","",VLOOKUP($B107,'F-1 Off Site River Baseline'!$C$9:$R$257,9,FALSE))</f>
        <v/>
      </c>
      <c r="K107" s="175" t="str">
        <f>IF(J107="","",VLOOKUP($B107,'F-1 Off Site River Baseline'!$C$9:$R$257,10,FALSE))</f>
        <v/>
      </c>
      <c r="L107" s="175" t="str">
        <f>IF(B107="","",VLOOKUP($B107,'C-1 Site River Baseline'!$C$9:$R$257,15,FALSE))</f>
        <v/>
      </c>
      <c r="M107" s="176" t="str">
        <f>IF(L107="","",VLOOKUP($B107,'F-1 Off Site River Baseline'!$C$9:$R$257,16,FALSE))</f>
        <v/>
      </c>
      <c r="N107" s="639" t="str">
        <f t="shared" si="10"/>
        <v/>
      </c>
      <c r="O107" s="171" t="str">
        <f t="shared" si="11"/>
        <v/>
      </c>
      <c r="P107" s="172" t="str">
        <f>IF(C107="","",IF(AND(LEFT(C107,55)&lt;&gt;LEFT(N107,55),O107="High - High"),"Error - Not like for like",IF(AND(F107=S107,H107&gt;U107),"Error - Can not reduce condition",IF(AND(F107=S107,H107=U107,AJ107='F-1 Off Site River Baseline'!N105,'F-1 Off Site River Baseline'!P105=AL107),"Error - No enhancement",IF(AND(C107&lt;&gt;N107,F107&lt;S107),"Lower Distinctiveness Habitat"&amp;" - "&amp;T107,G107&amp;" - "&amp;T107)))))</f>
        <v/>
      </c>
      <c r="Q107" s="260" t="str">
        <f>IF(N107="","",VLOOKUP(B107,'F-1 Off Site River Baseline'!$C$10:$AA$257,19,FALSE))</f>
        <v/>
      </c>
      <c r="R107" s="171" t="str">
        <f>IF(N107="","",VLOOKUP(N107,'G-7 Rivers Data'!$B$2:$G$8,2,FALSE))</f>
        <v/>
      </c>
      <c r="S107" s="172" t="str">
        <f>IFERROR(VLOOKUP(R107,'G-7 Rivers Data'!$C$4:$D$8,2,FALSE),"")</f>
        <v/>
      </c>
      <c r="T107" s="173"/>
      <c r="U107" s="172" t="str">
        <f>IFERROR(INDEX('G-7 Rivers Data'!$H$4:$L$8,MATCH(N107,'G-7 Rivers Data'!$B$4:$B$8,0),MATCH(T107,'G-7 Rivers Data'!$H$3:$L$3,0)),"")</f>
        <v/>
      </c>
      <c r="V107" s="186"/>
      <c r="W107" s="175" t="str">
        <f>IF(V107="","",IF(VLOOKUP(V107,'G-7 Rivers Data'!$AG$4:$AI$9,2,FALSE)=0,"Spatial Data Missing",VLOOKUP(V107,'G-7 Rivers Data'!$AG$4:$AI$9,2,FALSE)))</f>
        <v/>
      </c>
      <c r="X107" s="176" t="str">
        <f>IF(V107="","",IF(VLOOKUP(V107,'G-7 Rivers Data'!$AG$4:$AI$9,3,FALSE)=0,"Spatial Data Missing",VLOOKUP(V107,'G-7 Rivers Data'!$AG$4:$AI$9,3,FALSE)))</f>
        <v/>
      </c>
      <c r="Y107" s="239" t="str">
        <f>IFERROR(IF(OR(LEFT(P107,5)="Error",LEFT(O107,5)="Error"),"Check Data",IF(F107&lt;S107,'G-7 Rivers Data'!$R$3,INDEX('G-7 Rivers Data'!$U$5:$Y$9,MATCH(G107,'G-7 Rivers Data'!$T$5:$T$9,0),MATCH(T107,'G-7 Rivers Data'!$U$4:$Y$4,0)))),"")</f>
        <v/>
      </c>
      <c r="Z107" s="275"/>
      <c r="AA107" s="275"/>
      <c r="AB107" s="175" t="str">
        <f t="shared" si="12"/>
        <v/>
      </c>
      <c r="AC107" s="262" t="str">
        <f t="shared" si="13"/>
        <v/>
      </c>
      <c r="AD107" s="382" t="str">
        <f>IFERROR(IF(AC107="Check Data","Check Data",VLOOKUP(AC107,'G-4 Temporal multipliers'!$A$4:$C$37,3,FALSE)),"")</f>
        <v/>
      </c>
      <c r="AE107" s="239" t="str">
        <f>IF(N107="","",VLOOKUP(N107,'G-7 Rivers Data'!$B$4:$G$8,5,FALSE))</f>
        <v/>
      </c>
      <c r="AF107" s="175" t="str">
        <f t="shared" si="14"/>
        <v/>
      </c>
      <c r="AG107" s="175" t="str">
        <f t="shared" si="15"/>
        <v/>
      </c>
      <c r="AH107" s="176" t="str">
        <f t="shared" si="9"/>
        <v/>
      </c>
      <c r="AI107" s="173"/>
      <c r="AJ107" s="172" t="str">
        <f>IF(AI107="","",IF(VLOOKUP(AI107,'G-7 Rivers Data'!$AA$4:$AB$7,2,FALSE)=0,"Spatial Data Missing",VLOOKUP(AI107,'G-7 Rivers Data'!$AA$4:$AB$7,2,FALSE)))</f>
        <v/>
      </c>
      <c r="AK107" s="187"/>
      <c r="AL107" s="172" t="str">
        <f>IF(AK107="","",IF(VLOOKUP(AK107,'G-7 Rivers Data'!$AD$4:$AE$8,2,FALSE)=0,"Spatial Data Missing",VLOOKUP(AK107,'G-7 Rivers Data'!$AD$4:$AE$8,2,FALSE)))</f>
        <v/>
      </c>
      <c r="AM107" s="186"/>
      <c r="AN107" s="176" t="str">
        <f>IF(AM107="","",VLOOKUP(AM107,'G-7 Rivers Data'!$AO$4:$AP$7,2,FALSE))</f>
        <v/>
      </c>
      <c r="AO107" s="265" t="str">
        <f t="shared" si="16"/>
        <v/>
      </c>
      <c r="AP107" s="180"/>
      <c r="AQ107" s="181"/>
      <c r="AX107" s="35" t="str">
        <f>IFERROR(INDEX('G-7 Rivers Data'!$AZ$3:$AZ$7,MATCH(N107,'G-7 Rivers Data'!$AY$3:$AY$7,0)),"")</f>
        <v/>
      </c>
    </row>
    <row r="108" spans="2:50" ht="13.8" x14ac:dyDescent="0.25">
      <c r="B108" s="259" t="str">
        <f>'F-1 Off Site River Baseline'!AN106</f>
        <v/>
      </c>
      <c r="C108" s="175" t="str">
        <f>IF(B108="","",VLOOKUP($B108,'F-1 Off Site River Baseline'!$C$9:$R$257,2,FALSE))</f>
        <v/>
      </c>
      <c r="D108" s="175" t="str">
        <f>IF(C108="","",VLOOKUP($B108,'F-1 Off Site River Baseline'!$C$9:$R$257,3,FALSE))</f>
        <v/>
      </c>
      <c r="E108" s="175" t="str">
        <f>IF(D108="","",VLOOKUP($B108,'F-1 Off Site River Baseline'!$C$9:$R$257,4,FALSE))</f>
        <v/>
      </c>
      <c r="F108" s="175" t="str">
        <f>IF(E108="","",VLOOKUP($B108,'F-1 Off Site River Baseline'!$C$9:$R$257,5,FALSE))</f>
        <v/>
      </c>
      <c r="G108" s="175" t="str">
        <f>IF(F108="","",VLOOKUP($B108,'F-1 Off Site River Baseline'!$C$9:$R$257,6,FALSE))</f>
        <v/>
      </c>
      <c r="H108" s="175" t="str">
        <f>IF(G108="","",VLOOKUP($B108,'F-1 Off Site River Baseline'!$C$9:$R$257,7,FALSE))</f>
        <v/>
      </c>
      <c r="I108" s="175" t="str">
        <f>IF(H108="","",VLOOKUP($B108,'F-1 Off Site River Baseline'!$C$9:$R$257,8,FALSE))</f>
        <v/>
      </c>
      <c r="J108" s="175" t="str">
        <f>IF(I108="","",VLOOKUP($B108,'F-1 Off Site River Baseline'!$C$9:$R$257,9,FALSE))</f>
        <v/>
      </c>
      <c r="K108" s="175" t="str">
        <f>IF(J108="","",VLOOKUP($B108,'F-1 Off Site River Baseline'!$C$9:$R$257,10,FALSE))</f>
        <v/>
      </c>
      <c r="L108" s="175" t="str">
        <f>IF(B108="","",VLOOKUP($B108,'C-1 Site River Baseline'!$C$9:$R$257,15,FALSE))</f>
        <v/>
      </c>
      <c r="M108" s="176" t="str">
        <f>IF(L108="","",VLOOKUP($B108,'F-1 Off Site River Baseline'!$C$9:$R$257,16,FALSE))</f>
        <v/>
      </c>
      <c r="N108" s="639" t="str">
        <f t="shared" si="10"/>
        <v/>
      </c>
      <c r="O108" s="171" t="str">
        <f t="shared" si="11"/>
        <v/>
      </c>
      <c r="P108" s="172" t="str">
        <f>IF(C108="","",IF(AND(LEFT(C108,55)&lt;&gt;LEFT(N108,55),O108="High - High"),"Error - Not like for like",IF(AND(F108=S108,H108&gt;U108),"Error - Can not reduce condition",IF(AND(F108=S108,H108=U108,AJ108='F-1 Off Site River Baseline'!N106,'F-1 Off Site River Baseline'!P106=AL108),"Error - No enhancement",IF(AND(C108&lt;&gt;N108,F108&lt;S108),"Lower Distinctiveness Habitat"&amp;" - "&amp;T108,G108&amp;" - "&amp;T108)))))</f>
        <v/>
      </c>
      <c r="Q108" s="260" t="str">
        <f>IF(N108="","",VLOOKUP(B108,'F-1 Off Site River Baseline'!$C$10:$AA$257,19,FALSE))</f>
        <v/>
      </c>
      <c r="R108" s="171" t="str">
        <f>IF(N108="","",VLOOKUP(N108,'G-7 Rivers Data'!$B$2:$G$8,2,FALSE))</f>
        <v/>
      </c>
      <c r="S108" s="172" t="str">
        <f>IFERROR(VLOOKUP(R108,'G-7 Rivers Data'!$C$4:$D$8,2,FALSE),"")</f>
        <v/>
      </c>
      <c r="T108" s="173"/>
      <c r="U108" s="172" t="str">
        <f>IFERROR(INDEX('G-7 Rivers Data'!$H$4:$L$8,MATCH(N108,'G-7 Rivers Data'!$B$4:$B$8,0),MATCH(T108,'G-7 Rivers Data'!$H$3:$L$3,0)),"")</f>
        <v/>
      </c>
      <c r="V108" s="186"/>
      <c r="W108" s="175" t="str">
        <f>IF(V108="","",IF(VLOOKUP(V108,'G-7 Rivers Data'!$AG$4:$AI$9,2,FALSE)=0,"Spatial Data Missing",VLOOKUP(V108,'G-7 Rivers Data'!$AG$4:$AI$9,2,FALSE)))</f>
        <v/>
      </c>
      <c r="X108" s="176" t="str">
        <f>IF(V108="","",IF(VLOOKUP(V108,'G-7 Rivers Data'!$AG$4:$AI$9,3,FALSE)=0,"Spatial Data Missing",VLOOKUP(V108,'G-7 Rivers Data'!$AG$4:$AI$9,3,FALSE)))</f>
        <v/>
      </c>
      <c r="Y108" s="239" t="str">
        <f>IFERROR(IF(OR(LEFT(P108,5)="Error",LEFT(O108,5)="Error"),"Check Data",IF(F108&lt;S108,'G-7 Rivers Data'!$R$3,INDEX('G-7 Rivers Data'!$U$5:$Y$9,MATCH(G108,'G-7 Rivers Data'!$T$5:$T$9,0),MATCH(T108,'G-7 Rivers Data'!$U$4:$Y$4,0)))),"")</f>
        <v/>
      </c>
      <c r="Z108" s="275"/>
      <c r="AA108" s="275"/>
      <c r="AB108" s="175" t="str">
        <f t="shared" si="12"/>
        <v/>
      </c>
      <c r="AC108" s="262" t="str">
        <f t="shared" si="13"/>
        <v/>
      </c>
      <c r="AD108" s="382" t="str">
        <f>IFERROR(IF(AC108="Check Data","Check Data",VLOOKUP(AC108,'G-4 Temporal multipliers'!$A$4:$C$37,3,FALSE)),"")</f>
        <v/>
      </c>
      <c r="AE108" s="239" t="str">
        <f>IF(N108="","",VLOOKUP(N108,'G-7 Rivers Data'!$B$4:$G$8,5,FALSE))</f>
        <v/>
      </c>
      <c r="AF108" s="175" t="str">
        <f t="shared" si="14"/>
        <v/>
      </c>
      <c r="AG108" s="175" t="str">
        <f t="shared" si="15"/>
        <v/>
      </c>
      <c r="AH108" s="176" t="str">
        <f t="shared" si="9"/>
        <v/>
      </c>
      <c r="AI108" s="173"/>
      <c r="AJ108" s="172" t="str">
        <f>IF(AI108="","",IF(VLOOKUP(AI108,'G-7 Rivers Data'!$AA$4:$AB$7,2,FALSE)=0,"Spatial Data Missing",VLOOKUP(AI108,'G-7 Rivers Data'!$AA$4:$AB$7,2,FALSE)))</f>
        <v/>
      </c>
      <c r="AK108" s="187"/>
      <c r="AL108" s="172" t="str">
        <f>IF(AK108="","",IF(VLOOKUP(AK108,'G-7 Rivers Data'!$AD$4:$AE$8,2,FALSE)=0,"Spatial Data Missing",VLOOKUP(AK108,'G-7 Rivers Data'!$AD$4:$AE$8,2,FALSE)))</f>
        <v/>
      </c>
      <c r="AM108" s="186"/>
      <c r="AN108" s="176" t="str">
        <f>IF(AM108="","",VLOOKUP(AM108,'G-7 Rivers Data'!$AO$4:$AP$7,2,FALSE))</f>
        <v/>
      </c>
      <c r="AO108" s="265" t="str">
        <f t="shared" si="16"/>
        <v/>
      </c>
      <c r="AP108" s="180"/>
      <c r="AQ108" s="181"/>
      <c r="AX108" s="35" t="str">
        <f>IFERROR(INDEX('G-7 Rivers Data'!$AZ$3:$AZ$7,MATCH(N108,'G-7 Rivers Data'!$AY$3:$AY$7,0)),"")</f>
        <v/>
      </c>
    </row>
    <row r="109" spans="2:50" ht="13.8" x14ac:dyDescent="0.25">
      <c r="B109" s="259" t="str">
        <f>'F-1 Off Site River Baseline'!AN107</f>
        <v/>
      </c>
      <c r="C109" s="175" t="str">
        <f>IF(B109="","",VLOOKUP($B109,'F-1 Off Site River Baseline'!$C$9:$R$257,2,FALSE))</f>
        <v/>
      </c>
      <c r="D109" s="175" t="str">
        <f>IF(C109="","",VLOOKUP($B109,'F-1 Off Site River Baseline'!$C$9:$R$257,3,FALSE))</f>
        <v/>
      </c>
      <c r="E109" s="175" t="str">
        <f>IF(D109="","",VLOOKUP($B109,'F-1 Off Site River Baseline'!$C$9:$R$257,4,FALSE))</f>
        <v/>
      </c>
      <c r="F109" s="175" t="str">
        <f>IF(E109="","",VLOOKUP($B109,'F-1 Off Site River Baseline'!$C$9:$R$257,5,FALSE))</f>
        <v/>
      </c>
      <c r="G109" s="175" t="str">
        <f>IF(F109="","",VLOOKUP($B109,'F-1 Off Site River Baseline'!$C$9:$R$257,6,FALSE))</f>
        <v/>
      </c>
      <c r="H109" s="175" t="str">
        <f>IF(G109="","",VLOOKUP($B109,'F-1 Off Site River Baseline'!$C$9:$R$257,7,FALSE))</f>
        <v/>
      </c>
      <c r="I109" s="175" t="str">
        <f>IF(H109="","",VLOOKUP($B109,'F-1 Off Site River Baseline'!$C$9:$R$257,8,FALSE))</f>
        <v/>
      </c>
      <c r="J109" s="175" t="str">
        <f>IF(I109="","",VLOOKUP($B109,'F-1 Off Site River Baseline'!$C$9:$R$257,9,FALSE))</f>
        <v/>
      </c>
      <c r="K109" s="175" t="str">
        <f>IF(J109="","",VLOOKUP($B109,'F-1 Off Site River Baseline'!$C$9:$R$257,10,FALSE))</f>
        <v/>
      </c>
      <c r="L109" s="175" t="str">
        <f>IF(B109="","",VLOOKUP($B109,'C-1 Site River Baseline'!$C$9:$R$257,15,FALSE))</f>
        <v/>
      </c>
      <c r="M109" s="176" t="str">
        <f>IF(L109="","",VLOOKUP($B109,'F-1 Off Site River Baseline'!$C$9:$R$257,16,FALSE))</f>
        <v/>
      </c>
      <c r="N109" s="639" t="str">
        <f t="shared" si="10"/>
        <v/>
      </c>
      <c r="O109" s="171" t="str">
        <f t="shared" si="11"/>
        <v/>
      </c>
      <c r="P109" s="172" t="str">
        <f>IF(C109="","",IF(AND(LEFT(C109,55)&lt;&gt;LEFT(N109,55),O109="High - High"),"Error - Not like for like",IF(AND(F109=S109,H109&gt;U109),"Error - Can not reduce condition",IF(AND(F109=S109,H109=U109,AJ109='F-1 Off Site River Baseline'!N107,'F-1 Off Site River Baseline'!P107=AL109),"Error - No enhancement",IF(AND(C109&lt;&gt;N109,F109&lt;S109),"Lower Distinctiveness Habitat"&amp;" - "&amp;T109,G109&amp;" - "&amp;T109)))))</f>
        <v/>
      </c>
      <c r="Q109" s="260" t="str">
        <f>IF(N109="","",VLOOKUP(B109,'F-1 Off Site River Baseline'!$C$10:$AA$257,19,FALSE))</f>
        <v/>
      </c>
      <c r="R109" s="171" t="str">
        <f>IF(N109="","",VLOOKUP(N109,'G-7 Rivers Data'!$B$2:$G$8,2,FALSE))</f>
        <v/>
      </c>
      <c r="S109" s="172" t="str">
        <f>IFERROR(VLOOKUP(R109,'G-7 Rivers Data'!$C$4:$D$8,2,FALSE),"")</f>
        <v/>
      </c>
      <c r="T109" s="173"/>
      <c r="U109" s="172" t="str">
        <f>IFERROR(INDEX('G-7 Rivers Data'!$H$4:$L$8,MATCH(N109,'G-7 Rivers Data'!$B$4:$B$8,0),MATCH(T109,'G-7 Rivers Data'!$H$3:$L$3,0)),"")</f>
        <v/>
      </c>
      <c r="V109" s="186"/>
      <c r="W109" s="175" t="str">
        <f>IF(V109="","",IF(VLOOKUP(V109,'G-7 Rivers Data'!$AG$4:$AI$9,2,FALSE)=0,"Spatial Data Missing",VLOOKUP(V109,'G-7 Rivers Data'!$AG$4:$AI$9,2,FALSE)))</f>
        <v/>
      </c>
      <c r="X109" s="176" t="str">
        <f>IF(V109="","",IF(VLOOKUP(V109,'G-7 Rivers Data'!$AG$4:$AI$9,3,FALSE)=0,"Spatial Data Missing",VLOOKUP(V109,'G-7 Rivers Data'!$AG$4:$AI$9,3,FALSE)))</f>
        <v/>
      </c>
      <c r="Y109" s="239" t="str">
        <f>IFERROR(IF(OR(LEFT(P109,5)="Error",LEFT(O109,5)="Error"),"Check Data",IF(F109&lt;S109,'G-7 Rivers Data'!$R$3,INDEX('G-7 Rivers Data'!$U$5:$Y$9,MATCH(G109,'G-7 Rivers Data'!$T$5:$T$9,0),MATCH(T109,'G-7 Rivers Data'!$U$4:$Y$4,0)))),"")</f>
        <v/>
      </c>
      <c r="Z109" s="275"/>
      <c r="AA109" s="275"/>
      <c r="AB109" s="175" t="str">
        <f t="shared" si="12"/>
        <v/>
      </c>
      <c r="AC109" s="262" t="str">
        <f t="shared" si="13"/>
        <v/>
      </c>
      <c r="AD109" s="382" t="str">
        <f>IFERROR(IF(AC109="Check Data","Check Data",VLOOKUP(AC109,'G-4 Temporal multipliers'!$A$4:$C$37,3,FALSE)),"")</f>
        <v/>
      </c>
      <c r="AE109" s="239" t="str">
        <f>IF(N109="","",VLOOKUP(N109,'G-7 Rivers Data'!$B$4:$G$8,5,FALSE))</f>
        <v/>
      </c>
      <c r="AF109" s="175" t="str">
        <f t="shared" si="14"/>
        <v/>
      </c>
      <c r="AG109" s="175" t="str">
        <f t="shared" si="15"/>
        <v/>
      </c>
      <c r="AH109" s="176" t="str">
        <f t="shared" si="9"/>
        <v/>
      </c>
      <c r="AI109" s="173"/>
      <c r="AJ109" s="172" t="str">
        <f>IF(AI109="","",IF(VLOOKUP(AI109,'G-7 Rivers Data'!$AA$4:$AB$7,2,FALSE)=0,"Spatial Data Missing",VLOOKUP(AI109,'G-7 Rivers Data'!$AA$4:$AB$7,2,FALSE)))</f>
        <v/>
      </c>
      <c r="AK109" s="187"/>
      <c r="AL109" s="172" t="str">
        <f>IF(AK109="","",IF(VLOOKUP(AK109,'G-7 Rivers Data'!$AD$4:$AE$8,2,FALSE)=0,"Spatial Data Missing",VLOOKUP(AK109,'G-7 Rivers Data'!$AD$4:$AE$8,2,FALSE)))</f>
        <v/>
      </c>
      <c r="AM109" s="186"/>
      <c r="AN109" s="176" t="str">
        <f>IF(AM109="","",VLOOKUP(AM109,'G-7 Rivers Data'!$AO$4:$AP$7,2,FALSE))</f>
        <v/>
      </c>
      <c r="AO109" s="265" t="str">
        <f t="shared" si="16"/>
        <v/>
      </c>
      <c r="AP109" s="180"/>
      <c r="AQ109" s="181"/>
      <c r="AX109" s="35" t="str">
        <f>IFERROR(INDEX('G-7 Rivers Data'!$AZ$3:$AZ$7,MATCH(N109,'G-7 Rivers Data'!$AY$3:$AY$7,0)),"")</f>
        <v/>
      </c>
    </row>
    <row r="110" spans="2:50" ht="13.8" x14ac:dyDescent="0.25">
      <c r="B110" s="259" t="str">
        <f>'F-1 Off Site River Baseline'!AN108</f>
        <v/>
      </c>
      <c r="C110" s="175" t="str">
        <f>IF(B110="","",VLOOKUP($B110,'F-1 Off Site River Baseline'!$C$9:$R$257,2,FALSE))</f>
        <v/>
      </c>
      <c r="D110" s="175" t="str">
        <f>IF(C110="","",VLOOKUP($B110,'F-1 Off Site River Baseline'!$C$9:$R$257,3,FALSE))</f>
        <v/>
      </c>
      <c r="E110" s="175" t="str">
        <f>IF(D110="","",VLOOKUP($B110,'F-1 Off Site River Baseline'!$C$9:$R$257,4,FALSE))</f>
        <v/>
      </c>
      <c r="F110" s="175" t="str">
        <f>IF(E110="","",VLOOKUP($B110,'F-1 Off Site River Baseline'!$C$9:$R$257,5,FALSE))</f>
        <v/>
      </c>
      <c r="G110" s="175" t="str">
        <f>IF(F110="","",VLOOKUP($B110,'F-1 Off Site River Baseline'!$C$9:$R$257,6,FALSE))</f>
        <v/>
      </c>
      <c r="H110" s="175" t="str">
        <f>IF(G110="","",VLOOKUP($B110,'F-1 Off Site River Baseline'!$C$9:$R$257,7,FALSE))</f>
        <v/>
      </c>
      <c r="I110" s="175" t="str">
        <f>IF(H110="","",VLOOKUP($B110,'F-1 Off Site River Baseline'!$C$9:$R$257,8,FALSE))</f>
        <v/>
      </c>
      <c r="J110" s="175" t="str">
        <f>IF(I110="","",VLOOKUP($B110,'F-1 Off Site River Baseline'!$C$9:$R$257,9,FALSE))</f>
        <v/>
      </c>
      <c r="K110" s="175" t="str">
        <f>IF(J110="","",VLOOKUP($B110,'F-1 Off Site River Baseline'!$C$9:$R$257,10,FALSE))</f>
        <v/>
      </c>
      <c r="L110" s="175" t="str">
        <f>IF(B110="","",VLOOKUP($B110,'C-1 Site River Baseline'!$C$9:$R$257,15,FALSE))</f>
        <v/>
      </c>
      <c r="M110" s="176" t="str">
        <f>IF(L110="","",VLOOKUP($B110,'F-1 Off Site River Baseline'!$C$9:$R$257,16,FALSE))</f>
        <v/>
      </c>
      <c r="N110" s="639" t="str">
        <f t="shared" si="10"/>
        <v/>
      </c>
      <c r="O110" s="171" t="str">
        <f t="shared" si="11"/>
        <v/>
      </c>
      <c r="P110" s="172" t="str">
        <f>IF(C110="","",IF(AND(LEFT(C110,55)&lt;&gt;LEFT(N110,55),O110="High - High"),"Error - Not like for like",IF(AND(F110=S110,H110&gt;U110),"Error - Can not reduce condition",IF(AND(F110=S110,H110=U110,AJ110='F-1 Off Site River Baseline'!N108,'F-1 Off Site River Baseline'!P108=AL110),"Error - No enhancement",IF(AND(C110&lt;&gt;N110,F110&lt;S110),"Lower Distinctiveness Habitat"&amp;" - "&amp;T110,G110&amp;" - "&amp;T110)))))</f>
        <v/>
      </c>
      <c r="Q110" s="260" t="str">
        <f>IF(N110="","",VLOOKUP(B110,'F-1 Off Site River Baseline'!$C$10:$AA$257,19,FALSE))</f>
        <v/>
      </c>
      <c r="R110" s="171" t="str">
        <f>IF(N110="","",VLOOKUP(N110,'G-7 Rivers Data'!$B$2:$G$8,2,FALSE))</f>
        <v/>
      </c>
      <c r="S110" s="172" t="str">
        <f>IFERROR(VLOOKUP(R110,'G-7 Rivers Data'!$C$4:$D$8,2,FALSE),"")</f>
        <v/>
      </c>
      <c r="T110" s="173"/>
      <c r="U110" s="172" t="str">
        <f>IFERROR(INDEX('G-7 Rivers Data'!$H$4:$L$8,MATCH(N110,'G-7 Rivers Data'!$B$4:$B$8,0),MATCH(T110,'G-7 Rivers Data'!$H$3:$L$3,0)),"")</f>
        <v/>
      </c>
      <c r="V110" s="186"/>
      <c r="W110" s="175" t="str">
        <f>IF(V110="","",IF(VLOOKUP(V110,'G-7 Rivers Data'!$AG$4:$AI$9,2,FALSE)=0,"Spatial Data Missing",VLOOKUP(V110,'G-7 Rivers Data'!$AG$4:$AI$9,2,FALSE)))</f>
        <v/>
      </c>
      <c r="X110" s="176" t="str">
        <f>IF(V110="","",IF(VLOOKUP(V110,'G-7 Rivers Data'!$AG$4:$AI$9,3,FALSE)=0,"Spatial Data Missing",VLOOKUP(V110,'G-7 Rivers Data'!$AG$4:$AI$9,3,FALSE)))</f>
        <v/>
      </c>
      <c r="Y110" s="239" t="str">
        <f>IFERROR(IF(OR(LEFT(P110,5)="Error",LEFT(O110,5)="Error"),"Check Data",IF(F110&lt;S110,'G-7 Rivers Data'!$R$3,INDEX('G-7 Rivers Data'!$U$5:$Y$9,MATCH(G110,'G-7 Rivers Data'!$T$5:$T$9,0),MATCH(T110,'G-7 Rivers Data'!$U$4:$Y$4,0)))),"")</f>
        <v/>
      </c>
      <c r="Z110" s="275"/>
      <c r="AA110" s="275"/>
      <c r="AB110" s="175" t="str">
        <f t="shared" si="12"/>
        <v/>
      </c>
      <c r="AC110" s="262" t="str">
        <f t="shared" si="13"/>
        <v/>
      </c>
      <c r="AD110" s="382" t="str">
        <f>IFERROR(IF(AC110="Check Data","Check Data",VLOOKUP(AC110,'G-4 Temporal multipliers'!$A$4:$C$37,3,FALSE)),"")</f>
        <v/>
      </c>
      <c r="AE110" s="239" t="str">
        <f>IF(N110="","",VLOOKUP(N110,'G-7 Rivers Data'!$B$4:$G$8,5,FALSE))</f>
        <v/>
      </c>
      <c r="AF110" s="175" t="str">
        <f t="shared" si="14"/>
        <v/>
      </c>
      <c r="AG110" s="175" t="str">
        <f t="shared" si="15"/>
        <v/>
      </c>
      <c r="AH110" s="176" t="str">
        <f t="shared" si="9"/>
        <v/>
      </c>
      <c r="AI110" s="173"/>
      <c r="AJ110" s="172" t="str">
        <f>IF(AI110="","",IF(VLOOKUP(AI110,'G-7 Rivers Data'!$AA$4:$AB$7,2,FALSE)=0,"Spatial Data Missing",VLOOKUP(AI110,'G-7 Rivers Data'!$AA$4:$AB$7,2,FALSE)))</f>
        <v/>
      </c>
      <c r="AK110" s="187"/>
      <c r="AL110" s="172" t="str">
        <f>IF(AK110="","",IF(VLOOKUP(AK110,'G-7 Rivers Data'!$AD$4:$AE$8,2,FALSE)=0,"Spatial Data Missing",VLOOKUP(AK110,'G-7 Rivers Data'!$AD$4:$AE$8,2,FALSE)))</f>
        <v/>
      </c>
      <c r="AM110" s="186"/>
      <c r="AN110" s="176" t="str">
        <f>IF(AM110="","",VLOOKUP(AM110,'G-7 Rivers Data'!$AO$4:$AP$7,2,FALSE))</f>
        <v/>
      </c>
      <c r="AO110" s="265" t="str">
        <f t="shared" si="16"/>
        <v/>
      </c>
      <c r="AP110" s="180"/>
      <c r="AQ110" s="181"/>
      <c r="AX110" s="35" t="str">
        <f>IFERROR(INDEX('G-7 Rivers Data'!$AZ$3:$AZ$7,MATCH(N110,'G-7 Rivers Data'!$AY$3:$AY$7,0)),"")</f>
        <v/>
      </c>
    </row>
    <row r="111" spans="2:50" ht="13.8" x14ac:dyDescent="0.25">
      <c r="B111" s="259" t="str">
        <f>'F-1 Off Site River Baseline'!AN109</f>
        <v/>
      </c>
      <c r="C111" s="175" t="str">
        <f>IF(B111="","",VLOOKUP($B111,'F-1 Off Site River Baseline'!$C$9:$R$257,2,FALSE))</f>
        <v/>
      </c>
      <c r="D111" s="175" t="str">
        <f>IF(C111="","",VLOOKUP($B111,'F-1 Off Site River Baseline'!$C$9:$R$257,3,FALSE))</f>
        <v/>
      </c>
      <c r="E111" s="175" t="str">
        <f>IF(D111="","",VLOOKUP($B111,'F-1 Off Site River Baseline'!$C$9:$R$257,4,FALSE))</f>
        <v/>
      </c>
      <c r="F111" s="175" t="str">
        <f>IF(E111="","",VLOOKUP($B111,'F-1 Off Site River Baseline'!$C$9:$R$257,5,FALSE))</f>
        <v/>
      </c>
      <c r="G111" s="175" t="str">
        <f>IF(F111="","",VLOOKUP($B111,'F-1 Off Site River Baseline'!$C$9:$R$257,6,FALSE))</f>
        <v/>
      </c>
      <c r="H111" s="175" t="str">
        <f>IF(G111="","",VLOOKUP($B111,'F-1 Off Site River Baseline'!$C$9:$R$257,7,FALSE))</f>
        <v/>
      </c>
      <c r="I111" s="175" t="str">
        <f>IF(H111="","",VLOOKUP($B111,'F-1 Off Site River Baseline'!$C$9:$R$257,8,FALSE))</f>
        <v/>
      </c>
      <c r="J111" s="175" t="str">
        <f>IF(I111="","",VLOOKUP($B111,'F-1 Off Site River Baseline'!$C$9:$R$257,9,FALSE))</f>
        <v/>
      </c>
      <c r="K111" s="175" t="str">
        <f>IF(J111="","",VLOOKUP($B111,'F-1 Off Site River Baseline'!$C$9:$R$257,10,FALSE))</f>
        <v/>
      </c>
      <c r="L111" s="175" t="str">
        <f>IF(B111="","",VLOOKUP($B111,'C-1 Site River Baseline'!$C$9:$R$257,15,FALSE))</f>
        <v/>
      </c>
      <c r="M111" s="176" t="str">
        <f>IF(L111="","",VLOOKUP($B111,'F-1 Off Site River Baseline'!$C$9:$R$257,16,FALSE))</f>
        <v/>
      </c>
      <c r="N111" s="639" t="str">
        <f t="shared" si="10"/>
        <v/>
      </c>
      <c r="O111" s="171" t="str">
        <f t="shared" si="11"/>
        <v/>
      </c>
      <c r="P111" s="172" t="str">
        <f>IF(C111="","",IF(AND(LEFT(C111,55)&lt;&gt;LEFT(N111,55),O111="High - High"),"Error - Not like for like",IF(AND(F111=S111,H111&gt;U111),"Error - Can not reduce condition",IF(AND(F111=S111,H111=U111,AJ111='F-1 Off Site River Baseline'!N109,'F-1 Off Site River Baseline'!P109=AL111),"Error - No enhancement",IF(AND(C111&lt;&gt;N111,F111&lt;S111),"Lower Distinctiveness Habitat"&amp;" - "&amp;T111,G111&amp;" - "&amp;T111)))))</f>
        <v/>
      </c>
      <c r="Q111" s="260" t="str">
        <f>IF(N111="","",VLOOKUP(B111,'F-1 Off Site River Baseline'!$C$10:$AA$257,19,FALSE))</f>
        <v/>
      </c>
      <c r="R111" s="171" t="str">
        <f>IF(N111="","",VLOOKUP(N111,'G-7 Rivers Data'!$B$2:$G$8,2,FALSE))</f>
        <v/>
      </c>
      <c r="S111" s="172" t="str">
        <f>IFERROR(VLOOKUP(R111,'G-7 Rivers Data'!$C$4:$D$8,2,FALSE),"")</f>
        <v/>
      </c>
      <c r="T111" s="173"/>
      <c r="U111" s="172" t="str">
        <f>IFERROR(INDEX('G-7 Rivers Data'!$H$4:$L$8,MATCH(N111,'G-7 Rivers Data'!$B$4:$B$8,0),MATCH(T111,'G-7 Rivers Data'!$H$3:$L$3,0)),"")</f>
        <v/>
      </c>
      <c r="V111" s="186"/>
      <c r="W111" s="175" t="str">
        <f>IF(V111="","",IF(VLOOKUP(V111,'G-7 Rivers Data'!$AG$4:$AI$9,2,FALSE)=0,"Spatial Data Missing",VLOOKUP(V111,'G-7 Rivers Data'!$AG$4:$AI$9,2,FALSE)))</f>
        <v/>
      </c>
      <c r="X111" s="176" t="str">
        <f>IF(V111="","",IF(VLOOKUP(V111,'G-7 Rivers Data'!$AG$4:$AI$9,3,FALSE)=0,"Spatial Data Missing",VLOOKUP(V111,'G-7 Rivers Data'!$AG$4:$AI$9,3,FALSE)))</f>
        <v/>
      </c>
      <c r="Y111" s="239" t="str">
        <f>IFERROR(IF(OR(LEFT(P111,5)="Error",LEFT(O111,5)="Error"),"Check Data",IF(F111&lt;S111,'G-7 Rivers Data'!$R$3,INDEX('G-7 Rivers Data'!$U$5:$Y$9,MATCH(G111,'G-7 Rivers Data'!$T$5:$T$9,0),MATCH(T111,'G-7 Rivers Data'!$U$4:$Y$4,0)))),"")</f>
        <v/>
      </c>
      <c r="Z111" s="275"/>
      <c r="AA111" s="275"/>
      <c r="AB111" s="175" t="str">
        <f t="shared" si="12"/>
        <v/>
      </c>
      <c r="AC111" s="262" t="str">
        <f t="shared" si="13"/>
        <v/>
      </c>
      <c r="AD111" s="382" t="str">
        <f>IFERROR(IF(AC111="Check Data","Check Data",VLOOKUP(AC111,'G-4 Temporal multipliers'!$A$4:$C$37,3,FALSE)),"")</f>
        <v/>
      </c>
      <c r="AE111" s="239" t="str">
        <f>IF(N111="","",VLOOKUP(N111,'G-7 Rivers Data'!$B$4:$G$8,5,FALSE))</f>
        <v/>
      </c>
      <c r="AF111" s="175" t="str">
        <f t="shared" si="14"/>
        <v/>
      </c>
      <c r="AG111" s="175" t="str">
        <f t="shared" si="15"/>
        <v/>
      </c>
      <c r="AH111" s="176" t="str">
        <f t="shared" si="9"/>
        <v/>
      </c>
      <c r="AI111" s="173"/>
      <c r="AJ111" s="172" t="str">
        <f>IF(AI111="","",IF(VLOOKUP(AI111,'G-7 Rivers Data'!$AA$4:$AB$7,2,FALSE)=0,"Spatial Data Missing",VLOOKUP(AI111,'G-7 Rivers Data'!$AA$4:$AB$7,2,FALSE)))</f>
        <v/>
      </c>
      <c r="AK111" s="187"/>
      <c r="AL111" s="172" t="str">
        <f>IF(AK111="","",IF(VLOOKUP(AK111,'G-7 Rivers Data'!$AD$4:$AE$8,2,FALSE)=0,"Spatial Data Missing",VLOOKUP(AK111,'G-7 Rivers Data'!$AD$4:$AE$8,2,FALSE)))</f>
        <v/>
      </c>
      <c r="AM111" s="186"/>
      <c r="AN111" s="176" t="str">
        <f>IF(AM111="","",VLOOKUP(AM111,'G-7 Rivers Data'!$AO$4:$AP$7,2,FALSE))</f>
        <v/>
      </c>
      <c r="AO111" s="265" t="str">
        <f t="shared" si="16"/>
        <v/>
      </c>
      <c r="AP111" s="180"/>
      <c r="AQ111" s="181"/>
      <c r="AX111" s="35" t="str">
        <f>IFERROR(INDEX('G-7 Rivers Data'!$AZ$3:$AZ$7,MATCH(N111,'G-7 Rivers Data'!$AY$3:$AY$7,0)),"")</f>
        <v/>
      </c>
    </row>
    <row r="112" spans="2:50" ht="13.8" x14ac:dyDescent="0.25">
      <c r="B112" s="259" t="str">
        <f>'F-1 Off Site River Baseline'!AN110</f>
        <v/>
      </c>
      <c r="C112" s="175" t="str">
        <f>IF(B112="","",VLOOKUP($B112,'F-1 Off Site River Baseline'!$C$9:$R$257,2,FALSE))</f>
        <v/>
      </c>
      <c r="D112" s="175" t="str">
        <f>IF(C112="","",VLOOKUP($B112,'F-1 Off Site River Baseline'!$C$9:$R$257,3,FALSE))</f>
        <v/>
      </c>
      <c r="E112" s="175" t="str">
        <f>IF(D112="","",VLOOKUP($B112,'F-1 Off Site River Baseline'!$C$9:$R$257,4,FALSE))</f>
        <v/>
      </c>
      <c r="F112" s="175" t="str">
        <f>IF(E112="","",VLOOKUP($B112,'F-1 Off Site River Baseline'!$C$9:$R$257,5,FALSE))</f>
        <v/>
      </c>
      <c r="G112" s="175" t="str">
        <f>IF(F112="","",VLOOKUP($B112,'F-1 Off Site River Baseline'!$C$9:$R$257,6,FALSE))</f>
        <v/>
      </c>
      <c r="H112" s="175" t="str">
        <f>IF(G112="","",VLOOKUP($B112,'F-1 Off Site River Baseline'!$C$9:$R$257,7,FALSE))</f>
        <v/>
      </c>
      <c r="I112" s="175" t="str">
        <f>IF(H112="","",VLOOKUP($B112,'F-1 Off Site River Baseline'!$C$9:$R$257,8,FALSE))</f>
        <v/>
      </c>
      <c r="J112" s="175" t="str">
        <f>IF(I112="","",VLOOKUP($B112,'F-1 Off Site River Baseline'!$C$9:$R$257,9,FALSE))</f>
        <v/>
      </c>
      <c r="K112" s="175" t="str">
        <f>IF(J112="","",VLOOKUP($B112,'F-1 Off Site River Baseline'!$C$9:$R$257,10,FALSE))</f>
        <v/>
      </c>
      <c r="L112" s="175" t="str">
        <f>IF(B112="","",VLOOKUP($B112,'C-1 Site River Baseline'!$C$9:$R$257,15,FALSE))</f>
        <v/>
      </c>
      <c r="M112" s="176" t="str">
        <f>IF(L112="","",VLOOKUP($B112,'F-1 Off Site River Baseline'!$C$9:$R$257,16,FALSE))</f>
        <v/>
      </c>
      <c r="N112" s="639" t="str">
        <f t="shared" si="10"/>
        <v/>
      </c>
      <c r="O112" s="171" t="str">
        <f t="shared" si="11"/>
        <v/>
      </c>
      <c r="P112" s="172" t="str">
        <f>IF(C112="","",IF(AND(LEFT(C112,55)&lt;&gt;LEFT(N112,55),O112="High - High"),"Error - Not like for like",IF(AND(F112=S112,H112&gt;U112),"Error - Can not reduce condition",IF(AND(F112=S112,H112=U112,AJ112='F-1 Off Site River Baseline'!N110,'F-1 Off Site River Baseline'!P110=AL112),"Error - No enhancement",IF(AND(C112&lt;&gt;N112,F112&lt;S112),"Lower Distinctiveness Habitat"&amp;" - "&amp;T112,G112&amp;" - "&amp;T112)))))</f>
        <v/>
      </c>
      <c r="Q112" s="260" t="str">
        <f>IF(N112="","",VLOOKUP(B112,'F-1 Off Site River Baseline'!$C$10:$AA$257,19,FALSE))</f>
        <v/>
      </c>
      <c r="R112" s="171" t="str">
        <f>IF(N112="","",VLOOKUP(N112,'G-7 Rivers Data'!$B$2:$G$8,2,FALSE))</f>
        <v/>
      </c>
      <c r="S112" s="172" t="str">
        <f>IFERROR(VLOOKUP(R112,'G-7 Rivers Data'!$C$4:$D$8,2,FALSE),"")</f>
        <v/>
      </c>
      <c r="T112" s="173"/>
      <c r="U112" s="172" t="str">
        <f>IFERROR(INDEX('G-7 Rivers Data'!$H$4:$L$8,MATCH(N112,'G-7 Rivers Data'!$B$4:$B$8,0),MATCH(T112,'G-7 Rivers Data'!$H$3:$L$3,0)),"")</f>
        <v/>
      </c>
      <c r="V112" s="186"/>
      <c r="W112" s="175" t="str">
        <f>IF(V112="","",IF(VLOOKUP(V112,'G-7 Rivers Data'!$AG$4:$AI$9,2,FALSE)=0,"Spatial Data Missing",VLOOKUP(V112,'G-7 Rivers Data'!$AG$4:$AI$9,2,FALSE)))</f>
        <v/>
      </c>
      <c r="X112" s="176" t="str">
        <f>IF(V112="","",IF(VLOOKUP(V112,'G-7 Rivers Data'!$AG$4:$AI$9,3,FALSE)=0,"Spatial Data Missing",VLOOKUP(V112,'G-7 Rivers Data'!$AG$4:$AI$9,3,FALSE)))</f>
        <v/>
      </c>
      <c r="Y112" s="239" t="str">
        <f>IFERROR(IF(OR(LEFT(P112,5)="Error",LEFT(O112,5)="Error"),"Check Data",IF(F112&lt;S112,'G-7 Rivers Data'!$R$3,INDEX('G-7 Rivers Data'!$U$5:$Y$9,MATCH(G112,'G-7 Rivers Data'!$T$5:$T$9,0),MATCH(T112,'G-7 Rivers Data'!$U$4:$Y$4,0)))),"")</f>
        <v/>
      </c>
      <c r="Z112" s="275"/>
      <c r="AA112" s="275"/>
      <c r="AB112" s="175" t="str">
        <f t="shared" si="12"/>
        <v/>
      </c>
      <c r="AC112" s="262" t="str">
        <f t="shared" si="13"/>
        <v/>
      </c>
      <c r="AD112" s="382" t="str">
        <f>IFERROR(IF(AC112="Check Data","Check Data",VLOOKUP(AC112,'G-4 Temporal multipliers'!$A$4:$C$37,3,FALSE)),"")</f>
        <v/>
      </c>
      <c r="AE112" s="239" t="str">
        <f>IF(N112="","",VLOOKUP(N112,'G-7 Rivers Data'!$B$4:$G$8,5,FALSE))</f>
        <v/>
      </c>
      <c r="AF112" s="175" t="str">
        <f t="shared" si="14"/>
        <v/>
      </c>
      <c r="AG112" s="175" t="str">
        <f t="shared" si="15"/>
        <v/>
      </c>
      <c r="AH112" s="176" t="str">
        <f t="shared" si="9"/>
        <v/>
      </c>
      <c r="AI112" s="173"/>
      <c r="AJ112" s="172" t="str">
        <f>IF(AI112="","",IF(VLOOKUP(AI112,'G-7 Rivers Data'!$AA$4:$AB$7,2,FALSE)=0,"Spatial Data Missing",VLOOKUP(AI112,'G-7 Rivers Data'!$AA$4:$AB$7,2,FALSE)))</f>
        <v/>
      </c>
      <c r="AK112" s="187"/>
      <c r="AL112" s="172" t="str">
        <f>IF(AK112="","",IF(VLOOKUP(AK112,'G-7 Rivers Data'!$AD$4:$AE$8,2,FALSE)=0,"Spatial Data Missing",VLOOKUP(AK112,'G-7 Rivers Data'!$AD$4:$AE$8,2,FALSE)))</f>
        <v/>
      </c>
      <c r="AM112" s="186"/>
      <c r="AN112" s="176" t="str">
        <f>IF(AM112="","",VLOOKUP(AM112,'G-7 Rivers Data'!$AO$4:$AP$7,2,FALSE))</f>
        <v/>
      </c>
      <c r="AO112" s="265" t="str">
        <f t="shared" si="16"/>
        <v/>
      </c>
      <c r="AP112" s="180"/>
      <c r="AQ112" s="181"/>
      <c r="AX112" s="35" t="str">
        <f>IFERROR(INDEX('G-7 Rivers Data'!$AZ$3:$AZ$7,MATCH(N112,'G-7 Rivers Data'!$AY$3:$AY$7,0)),"")</f>
        <v/>
      </c>
    </row>
    <row r="113" spans="2:50" ht="13.8" x14ac:dyDescent="0.25">
      <c r="B113" s="259" t="str">
        <f>'F-1 Off Site River Baseline'!AN111</f>
        <v/>
      </c>
      <c r="C113" s="175" t="str">
        <f>IF(B113="","",VLOOKUP($B113,'F-1 Off Site River Baseline'!$C$9:$R$257,2,FALSE))</f>
        <v/>
      </c>
      <c r="D113" s="175" t="str">
        <f>IF(C113="","",VLOOKUP($B113,'F-1 Off Site River Baseline'!$C$9:$R$257,3,FALSE))</f>
        <v/>
      </c>
      <c r="E113" s="175" t="str">
        <f>IF(D113="","",VLOOKUP($B113,'F-1 Off Site River Baseline'!$C$9:$R$257,4,FALSE))</f>
        <v/>
      </c>
      <c r="F113" s="175" t="str">
        <f>IF(E113="","",VLOOKUP($B113,'F-1 Off Site River Baseline'!$C$9:$R$257,5,FALSE))</f>
        <v/>
      </c>
      <c r="G113" s="175" t="str">
        <f>IF(F113="","",VLOOKUP($B113,'F-1 Off Site River Baseline'!$C$9:$R$257,6,FALSE))</f>
        <v/>
      </c>
      <c r="H113" s="175" t="str">
        <f>IF(G113="","",VLOOKUP($B113,'F-1 Off Site River Baseline'!$C$9:$R$257,7,FALSE))</f>
        <v/>
      </c>
      <c r="I113" s="175" t="str">
        <f>IF(H113="","",VLOOKUP($B113,'F-1 Off Site River Baseline'!$C$9:$R$257,8,FALSE))</f>
        <v/>
      </c>
      <c r="J113" s="175" t="str">
        <f>IF(I113="","",VLOOKUP($B113,'F-1 Off Site River Baseline'!$C$9:$R$257,9,FALSE))</f>
        <v/>
      </c>
      <c r="K113" s="175" t="str">
        <f>IF(J113="","",VLOOKUP($B113,'F-1 Off Site River Baseline'!$C$9:$R$257,10,FALSE))</f>
        <v/>
      </c>
      <c r="L113" s="175" t="str">
        <f>IF(B113="","",VLOOKUP($B113,'C-1 Site River Baseline'!$C$9:$R$257,15,FALSE))</f>
        <v/>
      </c>
      <c r="M113" s="176" t="str">
        <f>IF(L113="","",VLOOKUP($B113,'F-1 Off Site River Baseline'!$C$9:$R$257,16,FALSE))</f>
        <v/>
      </c>
      <c r="N113" s="639" t="str">
        <f t="shared" si="10"/>
        <v/>
      </c>
      <c r="O113" s="171" t="str">
        <f t="shared" si="11"/>
        <v/>
      </c>
      <c r="P113" s="172" t="str">
        <f>IF(C113="","",IF(AND(LEFT(C113,55)&lt;&gt;LEFT(N113,55),O113="High - High"),"Error - Not like for like",IF(AND(F113=S113,H113&gt;U113),"Error - Can not reduce condition",IF(AND(F113=S113,H113=U113,AJ113='F-1 Off Site River Baseline'!N111,'F-1 Off Site River Baseline'!P111=AL113),"Error - No enhancement",IF(AND(C113&lt;&gt;N113,F113&lt;S113),"Lower Distinctiveness Habitat"&amp;" - "&amp;T113,G113&amp;" - "&amp;T113)))))</f>
        <v/>
      </c>
      <c r="Q113" s="260" t="str">
        <f>IF(N113="","",VLOOKUP(B113,'F-1 Off Site River Baseline'!$C$10:$AA$257,19,FALSE))</f>
        <v/>
      </c>
      <c r="R113" s="171" t="str">
        <f>IF(N113="","",VLOOKUP(N113,'G-7 Rivers Data'!$B$2:$G$8,2,FALSE))</f>
        <v/>
      </c>
      <c r="S113" s="172" t="str">
        <f>IFERROR(VLOOKUP(R113,'G-7 Rivers Data'!$C$4:$D$8,2,FALSE),"")</f>
        <v/>
      </c>
      <c r="T113" s="173"/>
      <c r="U113" s="172" t="str">
        <f>IFERROR(INDEX('G-7 Rivers Data'!$H$4:$L$8,MATCH(N113,'G-7 Rivers Data'!$B$4:$B$8,0),MATCH(T113,'G-7 Rivers Data'!$H$3:$L$3,0)),"")</f>
        <v/>
      </c>
      <c r="V113" s="186"/>
      <c r="W113" s="175" t="str">
        <f>IF(V113="","",IF(VLOOKUP(V113,'G-7 Rivers Data'!$AG$4:$AI$9,2,FALSE)=0,"Spatial Data Missing",VLOOKUP(V113,'G-7 Rivers Data'!$AG$4:$AI$9,2,FALSE)))</f>
        <v/>
      </c>
      <c r="X113" s="176" t="str">
        <f>IF(V113="","",IF(VLOOKUP(V113,'G-7 Rivers Data'!$AG$4:$AI$9,3,FALSE)=0,"Spatial Data Missing",VLOOKUP(V113,'G-7 Rivers Data'!$AG$4:$AI$9,3,FALSE)))</f>
        <v/>
      </c>
      <c r="Y113" s="239" t="str">
        <f>IFERROR(IF(OR(LEFT(P113,5)="Error",LEFT(O113,5)="Error"),"Check Data",IF(F113&lt;S113,'G-7 Rivers Data'!$R$3,INDEX('G-7 Rivers Data'!$U$5:$Y$9,MATCH(G113,'G-7 Rivers Data'!$T$5:$T$9,0),MATCH(T113,'G-7 Rivers Data'!$U$4:$Y$4,0)))),"")</f>
        <v/>
      </c>
      <c r="Z113" s="275"/>
      <c r="AA113" s="275"/>
      <c r="AB113" s="175" t="str">
        <f t="shared" si="12"/>
        <v/>
      </c>
      <c r="AC113" s="262" t="str">
        <f t="shared" si="13"/>
        <v/>
      </c>
      <c r="AD113" s="382" t="str">
        <f>IFERROR(IF(AC113="Check Data","Check Data",VLOOKUP(AC113,'G-4 Temporal multipliers'!$A$4:$C$37,3,FALSE)),"")</f>
        <v/>
      </c>
      <c r="AE113" s="239" t="str">
        <f>IF(N113="","",VLOOKUP(N113,'G-7 Rivers Data'!$B$4:$G$8,5,FALSE))</f>
        <v/>
      </c>
      <c r="AF113" s="175" t="str">
        <f t="shared" si="14"/>
        <v/>
      </c>
      <c r="AG113" s="175" t="str">
        <f t="shared" si="15"/>
        <v/>
      </c>
      <c r="AH113" s="176" t="str">
        <f t="shared" si="9"/>
        <v/>
      </c>
      <c r="AI113" s="173"/>
      <c r="AJ113" s="172" t="str">
        <f>IF(AI113="","",IF(VLOOKUP(AI113,'G-7 Rivers Data'!$AA$4:$AB$7,2,FALSE)=0,"Spatial Data Missing",VLOOKUP(AI113,'G-7 Rivers Data'!$AA$4:$AB$7,2,FALSE)))</f>
        <v/>
      </c>
      <c r="AK113" s="187"/>
      <c r="AL113" s="172" t="str">
        <f>IF(AK113="","",IF(VLOOKUP(AK113,'G-7 Rivers Data'!$AD$4:$AE$8,2,FALSE)=0,"Spatial Data Missing",VLOOKUP(AK113,'G-7 Rivers Data'!$AD$4:$AE$8,2,FALSE)))</f>
        <v/>
      </c>
      <c r="AM113" s="186"/>
      <c r="AN113" s="176" t="str">
        <f>IF(AM113="","",VLOOKUP(AM113,'G-7 Rivers Data'!$AO$4:$AP$7,2,FALSE))</f>
        <v/>
      </c>
      <c r="AO113" s="265" t="str">
        <f t="shared" si="16"/>
        <v/>
      </c>
      <c r="AP113" s="180"/>
      <c r="AQ113" s="181"/>
      <c r="AX113" s="35" t="str">
        <f>IFERROR(INDEX('G-7 Rivers Data'!$AZ$3:$AZ$7,MATCH(N113,'G-7 Rivers Data'!$AY$3:$AY$7,0)),"")</f>
        <v/>
      </c>
    </row>
    <row r="114" spans="2:50" ht="13.8" x14ac:dyDescent="0.25">
      <c r="B114" s="259" t="str">
        <f>'F-1 Off Site River Baseline'!AN112</f>
        <v/>
      </c>
      <c r="C114" s="175" t="str">
        <f>IF(B114="","",VLOOKUP($B114,'F-1 Off Site River Baseline'!$C$9:$R$257,2,FALSE))</f>
        <v/>
      </c>
      <c r="D114" s="175" t="str">
        <f>IF(C114="","",VLOOKUP($B114,'F-1 Off Site River Baseline'!$C$9:$R$257,3,FALSE))</f>
        <v/>
      </c>
      <c r="E114" s="175" t="str">
        <f>IF(D114="","",VLOOKUP($B114,'F-1 Off Site River Baseline'!$C$9:$R$257,4,FALSE))</f>
        <v/>
      </c>
      <c r="F114" s="175" t="str">
        <f>IF(E114="","",VLOOKUP($B114,'F-1 Off Site River Baseline'!$C$9:$R$257,5,FALSE))</f>
        <v/>
      </c>
      <c r="G114" s="175" t="str">
        <f>IF(F114="","",VLOOKUP($B114,'F-1 Off Site River Baseline'!$C$9:$R$257,6,FALSE))</f>
        <v/>
      </c>
      <c r="H114" s="175" t="str">
        <f>IF(G114="","",VLOOKUP($B114,'F-1 Off Site River Baseline'!$C$9:$R$257,7,FALSE))</f>
        <v/>
      </c>
      <c r="I114" s="175" t="str">
        <f>IF(H114="","",VLOOKUP($B114,'F-1 Off Site River Baseline'!$C$9:$R$257,8,FALSE))</f>
        <v/>
      </c>
      <c r="J114" s="175" t="str">
        <f>IF(I114="","",VLOOKUP($B114,'F-1 Off Site River Baseline'!$C$9:$R$257,9,FALSE))</f>
        <v/>
      </c>
      <c r="K114" s="175" t="str">
        <f>IF(J114="","",VLOOKUP($B114,'F-1 Off Site River Baseline'!$C$9:$R$257,10,FALSE))</f>
        <v/>
      </c>
      <c r="L114" s="175" t="str">
        <f>IF(B114="","",VLOOKUP($B114,'C-1 Site River Baseline'!$C$9:$R$257,15,FALSE))</f>
        <v/>
      </c>
      <c r="M114" s="176" t="str">
        <f>IF(L114="","",VLOOKUP($B114,'F-1 Off Site River Baseline'!$C$9:$R$257,16,FALSE))</f>
        <v/>
      </c>
      <c r="N114" s="639" t="str">
        <f t="shared" si="10"/>
        <v/>
      </c>
      <c r="O114" s="171" t="str">
        <f t="shared" si="11"/>
        <v/>
      </c>
      <c r="P114" s="172" t="str">
        <f>IF(C114="","",IF(AND(LEFT(C114,55)&lt;&gt;LEFT(N114,55),O114="High - High"),"Error - Not like for like",IF(AND(F114=S114,H114&gt;U114),"Error - Can not reduce condition",IF(AND(F114=S114,H114=U114,AJ114='F-1 Off Site River Baseline'!N112,'F-1 Off Site River Baseline'!P112=AL114),"Error - No enhancement",IF(AND(C114&lt;&gt;N114,F114&lt;S114),"Lower Distinctiveness Habitat"&amp;" - "&amp;T114,G114&amp;" - "&amp;T114)))))</f>
        <v/>
      </c>
      <c r="Q114" s="260" t="str">
        <f>IF(N114="","",VLOOKUP(B114,'F-1 Off Site River Baseline'!$C$10:$AA$257,19,FALSE))</f>
        <v/>
      </c>
      <c r="R114" s="171" t="str">
        <f>IF(N114="","",VLOOKUP(N114,'G-7 Rivers Data'!$B$2:$G$8,2,FALSE))</f>
        <v/>
      </c>
      <c r="S114" s="172" t="str">
        <f>IFERROR(VLOOKUP(R114,'G-7 Rivers Data'!$C$4:$D$8,2,FALSE),"")</f>
        <v/>
      </c>
      <c r="T114" s="173"/>
      <c r="U114" s="172" t="str">
        <f>IFERROR(INDEX('G-7 Rivers Data'!$H$4:$L$8,MATCH(N114,'G-7 Rivers Data'!$B$4:$B$8,0),MATCH(T114,'G-7 Rivers Data'!$H$3:$L$3,0)),"")</f>
        <v/>
      </c>
      <c r="V114" s="186"/>
      <c r="W114" s="175" t="str">
        <f>IF(V114="","",IF(VLOOKUP(V114,'G-7 Rivers Data'!$AG$4:$AI$9,2,FALSE)=0,"Spatial Data Missing",VLOOKUP(V114,'G-7 Rivers Data'!$AG$4:$AI$9,2,FALSE)))</f>
        <v/>
      </c>
      <c r="X114" s="176" t="str">
        <f>IF(V114="","",IF(VLOOKUP(V114,'G-7 Rivers Data'!$AG$4:$AI$9,3,FALSE)=0,"Spatial Data Missing",VLOOKUP(V114,'G-7 Rivers Data'!$AG$4:$AI$9,3,FALSE)))</f>
        <v/>
      </c>
      <c r="Y114" s="239" t="str">
        <f>IFERROR(IF(OR(LEFT(P114,5)="Error",LEFT(O114,5)="Error"),"Check Data",IF(F114&lt;S114,'G-7 Rivers Data'!$R$3,INDEX('G-7 Rivers Data'!$U$5:$Y$9,MATCH(G114,'G-7 Rivers Data'!$T$5:$T$9,0),MATCH(T114,'G-7 Rivers Data'!$U$4:$Y$4,0)))),"")</f>
        <v/>
      </c>
      <c r="Z114" s="275"/>
      <c r="AA114" s="275"/>
      <c r="AB114" s="175" t="str">
        <f t="shared" si="12"/>
        <v/>
      </c>
      <c r="AC114" s="262" t="str">
        <f t="shared" si="13"/>
        <v/>
      </c>
      <c r="AD114" s="382" t="str">
        <f>IFERROR(IF(AC114="Check Data","Check Data",VLOOKUP(AC114,'G-4 Temporal multipliers'!$A$4:$C$37,3,FALSE)),"")</f>
        <v/>
      </c>
      <c r="AE114" s="239" t="str">
        <f>IF(N114="","",VLOOKUP(N114,'G-7 Rivers Data'!$B$4:$G$8,5,FALSE))</f>
        <v/>
      </c>
      <c r="AF114" s="175" t="str">
        <f t="shared" si="14"/>
        <v/>
      </c>
      <c r="AG114" s="175" t="str">
        <f t="shared" si="15"/>
        <v/>
      </c>
      <c r="AH114" s="176" t="str">
        <f t="shared" si="9"/>
        <v/>
      </c>
      <c r="AI114" s="173"/>
      <c r="AJ114" s="172" t="str">
        <f>IF(AI114="","",IF(VLOOKUP(AI114,'G-7 Rivers Data'!$AA$4:$AB$7,2,FALSE)=0,"Spatial Data Missing",VLOOKUP(AI114,'G-7 Rivers Data'!$AA$4:$AB$7,2,FALSE)))</f>
        <v/>
      </c>
      <c r="AK114" s="187"/>
      <c r="AL114" s="172" t="str">
        <f>IF(AK114="","",IF(VLOOKUP(AK114,'G-7 Rivers Data'!$AD$4:$AE$8,2,FALSE)=0,"Spatial Data Missing",VLOOKUP(AK114,'G-7 Rivers Data'!$AD$4:$AE$8,2,FALSE)))</f>
        <v/>
      </c>
      <c r="AM114" s="186"/>
      <c r="AN114" s="176" t="str">
        <f>IF(AM114="","",VLOOKUP(AM114,'G-7 Rivers Data'!$AO$4:$AP$7,2,FALSE))</f>
        <v/>
      </c>
      <c r="AO114" s="265" t="str">
        <f t="shared" si="16"/>
        <v/>
      </c>
      <c r="AP114" s="180"/>
      <c r="AQ114" s="181"/>
      <c r="AX114" s="35" t="str">
        <f>IFERROR(INDEX('G-7 Rivers Data'!$AZ$3:$AZ$7,MATCH(N114,'G-7 Rivers Data'!$AY$3:$AY$7,0)),"")</f>
        <v/>
      </c>
    </row>
    <row r="115" spans="2:50" ht="13.8" x14ac:dyDescent="0.25">
      <c r="B115" s="259" t="str">
        <f>'F-1 Off Site River Baseline'!AN113</f>
        <v/>
      </c>
      <c r="C115" s="175" t="str">
        <f>IF(B115="","",VLOOKUP($B115,'F-1 Off Site River Baseline'!$C$9:$R$257,2,FALSE))</f>
        <v/>
      </c>
      <c r="D115" s="175" t="str">
        <f>IF(C115="","",VLOOKUP($B115,'F-1 Off Site River Baseline'!$C$9:$R$257,3,FALSE))</f>
        <v/>
      </c>
      <c r="E115" s="175" t="str">
        <f>IF(D115="","",VLOOKUP($B115,'F-1 Off Site River Baseline'!$C$9:$R$257,4,FALSE))</f>
        <v/>
      </c>
      <c r="F115" s="175" t="str">
        <f>IF(E115="","",VLOOKUP($B115,'F-1 Off Site River Baseline'!$C$9:$R$257,5,FALSE))</f>
        <v/>
      </c>
      <c r="G115" s="175" t="str">
        <f>IF(F115="","",VLOOKUP($B115,'F-1 Off Site River Baseline'!$C$9:$R$257,6,FALSE))</f>
        <v/>
      </c>
      <c r="H115" s="175" t="str">
        <f>IF(G115="","",VLOOKUP($B115,'F-1 Off Site River Baseline'!$C$9:$R$257,7,FALSE))</f>
        <v/>
      </c>
      <c r="I115" s="175" t="str">
        <f>IF(H115="","",VLOOKUP($B115,'F-1 Off Site River Baseline'!$C$9:$R$257,8,FALSE))</f>
        <v/>
      </c>
      <c r="J115" s="175" t="str">
        <f>IF(I115="","",VLOOKUP($B115,'F-1 Off Site River Baseline'!$C$9:$R$257,9,FALSE))</f>
        <v/>
      </c>
      <c r="K115" s="175" t="str">
        <f>IF(J115="","",VLOOKUP($B115,'F-1 Off Site River Baseline'!$C$9:$R$257,10,FALSE))</f>
        <v/>
      </c>
      <c r="L115" s="175" t="str">
        <f>IF(B115="","",VLOOKUP($B115,'C-1 Site River Baseline'!$C$9:$R$257,15,FALSE))</f>
        <v/>
      </c>
      <c r="M115" s="176" t="str">
        <f>IF(L115="","",VLOOKUP($B115,'F-1 Off Site River Baseline'!$C$9:$R$257,16,FALSE))</f>
        <v/>
      </c>
      <c r="N115" s="639" t="str">
        <f t="shared" si="10"/>
        <v/>
      </c>
      <c r="O115" s="171" t="str">
        <f t="shared" si="11"/>
        <v/>
      </c>
      <c r="P115" s="172" t="str">
        <f>IF(C115="","",IF(AND(LEFT(C115,55)&lt;&gt;LEFT(N115,55),O115="High - High"),"Error - Not like for like",IF(AND(F115=S115,H115&gt;U115),"Error - Can not reduce condition",IF(AND(F115=S115,H115=U115,AJ115='F-1 Off Site River Baseline'!N113,'F-1 Off Site River Baseline'!P113=AL115),"Error - No enhancement",IF(AND(C115&lt;&gt;N115,F115&lt;S115),"Lower Distinctiveness Habitat"&amp;" - "&amp;T115,G115&amp;" - "&amp;T115)))))</f>
        <v/>
      </c>
      <c r="Q115" s="260" t="str">
        <f>IF(N115="","",VLOOKUP(B115,'F-1 Off Site River Baseline'!$C$10:$AA$257,19,FALSE))</f>
        <v/>
      </c>
      <c r="R115" s="171" t="str">
        <f>IF(N115="","",VLOOKUP(N115,'G-7 Rivers Data'!$B$2:$G$8,2,FALSE))</f>
        <v/>
      </c>
      <c r="S115" s="172" t="str">
        <f>IFERROR(VLOOKUP(R115,'G-7 Rivers Data'!$C$4:$D$8,2,FALSE),"")</f>
        <v/>
      </c>
      <c r="T115" s="173"/>
      <c r="U115" s="172" t="str">
        <f>IFERROR(INDEX('G-7 Rivers Data'!$H$4:$L$8,MATCH(N115,'G-7 Rivers Data'!$B$4:$B$8,0),MATCH(T115,'G-7 Rivers Data'!$H$3:$L$3,0)),"")</f>
        <v/>
      </c>
      <c r="V115" s="186"/>
      <c r="W115" s="175" t="str">
        <f>IF(V115="","",IF(VLOOKUP(V115,'G-7 Rivers Data'!$AG$4:$AI$9,2,FALSE)=0,"Spatial Data Missing",VLOOKUP(V115,'G-7 Rivers Data'!$AG$4:$AI$9,2,FALSE)))</f>
        <v/>
      </c>
      <c r="X115" s="176" t="str">
        <f>IF(V115="","",IF(VLOOKUP(V115,'G-7 Rivers Data'!$AG$4:$AI$9,3,FALSE)=0,"Spatial Data Missing",VLOOKUP(V115,'G-7 Rivers Data'!$AG$4:$AI$9,3,FALSE)))</f>
        <v/>
      </c>
      <c r="Y115" s="239" t="str">
        <f>IFERROR(IF(OR(LEFT(P115,5)="Error",LEFT(O115,5)="Error"),"Check Data",IF(F115&lt;S115,'G-7 Rivers Data'!$R$3,INDEX('G-7 Rivers Data'!$U$5:$Y$9,MATCH(G115,'G-7 Rivers Data'!$T$5:$T$9,0),MATCH(T115,'G-7 Rivers Data'!$U$4:$Y$4,0)))),"")</f>
        <v/>
      </c>
      <c r="Z115" s="275"/>
      <c r="AA115" s="275"/>
      <c r="AB115" s="175" t="str">
        <f t="shared" si="12"/>
        <v/>
      </c>
      <c r="AC115" s="262" t="str">
        <f t="shared" si="13"/>
        <v/>
      </c>
      <c r="AD115" s="382" t="str">
        <f>IFERROR(IF(AC115="Check Data","Check Data",VLOOKUP(AC115,'G-4 Temporal multipliers'!$A$4:$C$37,3,FALSE)),"")</f>
        <v/>
      </c>
      <c r="AE115" s="239" t="str">
        <f>IF(N115="","",VLOOKUP(N115,'G-7 Rivers Data'!$B$4:$G$8,5,FALSE))</f>
        <v/>
      </c>
      <c r="AF115" s="175" t="str">
        <f t="shared" si="14"/>
        <v/>
      </c>
      <c r="AG115" s="175" t="str">
        <f t="shared" si="15"/>
        <v/>
      </c>
      <c r="AH115" s="176" t="str">
        <f t="shared" si="9"/>
        <v/>
      </c>
      <c r="AI115" s="173"/>
      <c r="AJ115" s="172" t="str">
        <f>IF(AI115="","",IF(VLOOKUP(AI115,'G-7 Rivers Data'!$AA$4:$AB$7,2,FALSE)=0,"Spatial Data Missing",VLOOKUP(AI115,'G-7 Rivers Data'!$AA$4:$AB$7,2,FALSE)))</f>
        <v/>
      </c>
      <c r="AK115" s="187"/>
      <c r="AL115" s="172" t="str">
        <f>IF(AK115="","",IF(VLOOKUP(AK115,'G-7 Rivers Data'!$AD$4:$AE$8,2,FALSE)=0,"Spatial Data Missing",VLOOKUP(AK115,'G-7 Rivers Data'!$AD$4:$AE$8,2,FALSE)))</f>
        <v/>
      </c>
      <c r="AM115" s="186"/>
      <c r="AN115" s="176" t="str">
        <f>IF(AM115="","",VLOOKUP(AM115,'G-7 Rivers Data'!$AO$4:$AP$7,2,FALSE))</f>
        <v/>
      </c>
      <c r="AO115" s="265" t="str">
        <f t="shared" si="16"/>
        <v/>
      </c>
      <c r="AP115" s="180"/>
      <c r="AQ115" s="181"/>
      <c r="AX115" s="35" t="str">
        <f>IFERROR(INDEX('G-7 Rivers Data'!$AZ$3:$AZ$7,MATCH(N115,'G-7 Rivers Data'!$AY$3:$AY$7,0)),"")</f>
        <v/>
      </c>
    </row>
    <row r="116" spans="2:50" ht="13.8" x14ac:dyDescent="0.25">
      <c r="B116" s="259" t="str">
        <f>'F-1 Off Site River Baseline'!AN114</f>
        <v/>
      </c>
      <c r="C116" s="175" t="str">
        <f>IF(B116="","",VLOOKUP($B116,'F-1 Off Site River Baseline'!$C$9:$R$257,2,FALSE))</f>
        <v/>
      </c>
      <c r="D116" s="175" t="str">
        <f>IF(C116="","",VLOOKUP($B116,'F-1 Off Site River Baseline'!$C$9:$R$257,3,FALSE))</f>
        <v/>
      </c>
      <c r="E116" s="175" t="str">
        <f>IF(D116="","",VLOOKUP($B116,'F-1 Off Site River Baseline'!$C$9:$R$257,4,FALSE))</f>
        <v/>
      </c>
      <c r="F116" s="175" t="str">
        <f>IF(E116="","",VLOOKUP($B116,'F-1 Off Site River Baseline'!$C$9:$R$257,5,FALSE))</f>
        <v/>
      </c>
      <c r="G116" s="175" t="str">
        <f>IF(F116="","",VLOOKUP($B116,'F-1 Off Site River Baseline'!$C$9:$R$257,6,FALSE))</f>
        <v/>
      </c>
      <c r="H116" s="175" t="str">
        <f>IF(G116="","",VLOOKUP($B116,'F-1 Off Site River Baseline'!$C$9:$R$257,7,FALSE))</f>
        <v/>
      </c>
      <c r="I116" s="175" t="str">
        <f>IF(H116="","",VLOOKUP($B116,'F-1 Off Site River Baseline'!$C$9:$R$257,8,FALSE))</f>
        <v/>
      </c>
      <c r="J116" s="175" t="str">
        <f>IF(I116="","",VLOOKUP($B116,'F-1 Off Site River Baseline'!$C$9:$R$257,9,FALSE))</f>
        <v/>
      </c>
      <c r="K116" s="175" t="str">
        <f>IF(J116="","",VLOOKUP($B116,'F-1 Off Site River Baseline'!$C$9:$R$257,10,FALSE))</f>
        <v/>
      </c>
      <c r="L116" s="175" t="str">
        <f>IF(B116="","",VLOOKUP($B116,'C-1 Site River Baseline'!$C$9:$R$257,15,FALSE))</f>
        <v/>
      </c>
      <c r="M116" s="176" t="str">
        <f>IF(L116="","",VLOOKUP($B116,'F-1 Off Site River Baseline'!$C$9:$R$257,16,FALSE))</f>
        <v/>
      </c>
      <c r="N116" s="639" t="str">
        <f t="shared" si="10"/>
        <v/>
      </c>
      <c r="O116" s="171" t="str">
        <f t="shared" si="11"/>
        <v/>
      </c>
      <c r="P116" s="172" t="str">
        <f>IF(C116="","",IF(AND(LEFT(C116,55)&lt;&gt;LEFT(N116,55),O116="High - High"),"Error - Not like for like",IF(AND(F116=S116,H116&gt;U116),"Error - Can not reduce condition",IF(AND(F116=S116,H116=U116,AJ116='F-1 Off Site River Baseline'!N114,'F-1 Off Site River Baseline'!P114=AL116),"Error - No enhancement",IF(AND(C116&lt;&gt;N116,F116&lt;S116),"Lower Distinctiveness Habitat"&amp;" - "&amp;T116,G116&amp;" - "&amp;T116)))))</f>
        <v/>
      </c>
      <c r="Q116" s="260" t="str">
        <f>IF(N116="","",VLOOKUP(B116,'F-1 Off Site River Baseline'!$C$10:$AA$257,19,FALSE))</f>
        <v/>
      </c>
      <c r="R116" s="171" t="str">
        <f>IF(N116="","",VLOOKUP(N116,'G-7 Rivers Data'!$B$2:$G$8,2,FALSE))</f>
        <v/>
      </c>
      <c r="S116" s="172" t="str">
        <f>IFERROR(VLOOKUP(R116,'G-7 Rivers Data'!$C$4:$D$8,2,FALSE),"")</f>
        <v/>
      </c>
      <c r="T116" s="173"/>
      <c r="U116" s="172" t="str">
        <f>IFERROR(INDEX('G-7 Rivers Data'!$H$4:$L$8,MATCH(N116,'G-7 Rivers Data'!$B$4:$B$8,0),MATCH(T116,'G-7 Rivers Data'!$H$3:$L$3,0)),"")</f>
        <v/>
      </c>
      <c r="V116" s="186"/>
      <c r="W116" s="175" t="str">
        <f>IF(V116="","",IF(VLOOKUP(V116,'G-7 Rivers Data'!$AG$4:$AI$9,2,FALSE)=0,"Spatial Data Missing",VLOOKUP(V116,'G-7 Rivers Data'!$AG$4:$AI$9,2,FALSE)))</f>
        <v/>
      </c>
      <c r="X116" s="176" t="str">
        <f>IF(V116="","",IF(VLOOKUP(V116,'G-7 Rivers Data'!$AG$4:$AI$9,3,FALSE)=0,"Spatial Data Missing",VLOOKUP(V116,'G-7 Rivers Data'!$AG$4:$AI$9,3,FALSE)))</f>
        <v/>
      </c>
      <c r="Y116" s="239" t="str">
        <f>IFERROR(IF(OR(LEFT(P116,5)="Error",LEFT(O116,5)="Error"),"Check Data",IF(F116&lt;S116,'G-7 Rivers Data'!$R$3,INDEX('G-7 Rivers Data'!$U$5:$Y$9,MATCH(G116,'G-7 Rivers Data'!$T$5:$T$9,0),MATCH(T116,'G-7 Rivers Data'!$U$4:$Y$4,0)))),"")</f>
        <v/>
      </c>
      <c r="Z116" s="275"/>
      <c r="AA116" s="275"/>
      <c r="AB116" s="175" t="str">
        <f t="shared" si="12"/>
        <v/>
      </c>
      <c r="AC116" s="262" t="str">
        <f t="shared" si="13"/>
        <v/>
      </c>
      <c r="AD116" s="382" t="str">
        <f>IFERROR(IF(AC116="Check Data","Check Data",VLOOKUP(AC116,'G-4 Temporal multipliers'!$A$4:$C$37,3,FALSE)),"")</f>
        <v/>
      </c>
      <c r="AE116" s="239" t="str">
        <f>IF(N116="","",VLOOKUP(N116,'G-7 Rivers Data'!$B$4:$G$8,5,FALSE))</f>
        <v/>
      </c>
      <c r="AF116" s="175" t="str">
        <f t="shared" si="14"/>
        <v/>
      </c>
      <c r="AG116" s="175" t="str">
        <f t="shared" si="15"/>
        <v/>
      </c>
      <c r="AH116" s="176" t="str">
        <f t="shared" si="9"/>
        <v/>
      </c>
      <c r="AI116" s="173"/>
      <c r="AJ116" s="172" t="str">
        <f>IF(AI116="","",IF(VLOOKUP(AI116,'G-7 Rivers Data'!$AA$4:$AB$7,2,FALSE)=0,"Spatial Data Missing",VLOOKUP(AI116,'G-7 Rivers Data'!$AA$4:$AB$7,2,FALSE)))</f>
        <v/>
      </c>
      <c r="AK116" s="187"/>
      <c r="AL116" s="172" t="str">
        <f>IF(AK116="","",IF(VLOOKUP(AK116,'G-7 Rivers Data'!$AD$4:$AE$8,2,FALSE)=0,"Spatial Data Missing",VLOOKUP(AK116,'G-7 Rivers Data'!$AD$4:$AE$8,2,FALSE)))</f>
        <v/>
      </c>
      <c r="AM116" s="186"/>
      <c r="AN116" s="176" t="str">
        <f>IF(AM116="","",VLOOKUP(AM116,'G-7 Rivers Data'!$AO$4:$AP$7,2,FALSE))</f>
        <v/>
      </c>
      <c r="AO116" s="265" t="str">
        <f t="shared" si="16"/>
        <v/>
      </c>
      <c r="AP116" s="180"/>
      <c r="AQ116" s="181"/>
      <c r="AX116" s="35" t="str">
        <f>IFERROR(INDEX('G-7 Rivers Data'!$AZ$3:$AZ$7,MATCH(N116,'G-7 Rivers Data'!$AY$3:$AY$7,0)),"")</f>
        <v/>
      </c>
    </row>
    <row r="117" spans="2:50" ht="13.8" x14ac:dyDescent="0.25">
      <c r="B117" s="259" t="str">
        <f>'F-1 Off Site River Baseline'!AN115</f>
        <v/>
      </c>
      <c r="C117" s="175" t="str">
        <f>IF(B117="","",VLOOKUP($B117,'F-1 Off Site River Baseline'!$C$9:$R$257,2,FALSE))</f>
        <v/>
      </c>
      <c r="D117" s="175" t="str">
        <f>IF(C117="","",VLOOKUP($B117,'F-1 Off Site River Baseline'!$C$9:$R$257,3,FALSE))</f>
        <v/>
      </c>
      <c r="E117" s="175" t="str">
        <f>IF(D117="","",VLOOKUP($B117,'F-1 Off Site River Baseline'!$C$9:$R$257,4,FALSE))</f>
        <v/>
      </c>
      <c r="F117" s="175" t="str">
        <f>IF(E117="","",VLOOKUP($B117,'F-1 Off Site River Baseline'!$C$9:$R$257,5,FALSE))</f>
        <v/>
      </c>
      <c r="G117" s="175" t="str">
        <f>IF(F117="","",VLOOKUP($B117,'F-1 Off Site River Baseline'!$C$9:$R$257,6,FALSE))</f>
        <v/>
      </c>
      <c r="H117" s="175" t="str">
        <f>IF(G117="","",VLOOKUP($B117,'F-1 Off Site River Baseline'!$C$9:$R$257,7,FALSE))</f>
        <v/>
      </c>
      <c r="I117" s="175" t="str">
        <f>IF(H117="","",VLOOKUP($B117,'F-1 Off Site River Baseline'!$C$9:$R$257,8,FALSE))</f>
        <v/>
      </c>
      <c r="J117" s="175" t="str">
        <f>IF(I117="","",VLOOKUP($B117,'F-1 Off Site River Baseline'!$C$9:$R$257,9,FALSE))</f>
        <v/>
      </c>
      <c r="K117" s="175" t="str">
        <f>IF(J117="","",VLOOKUP($B117,'F-1 Off Site River Baseline'!$C$9:$R$257,10,FALSE))</f>
        <v/>
      </c>
      <c r="L117" s="175" t="str">
        <f>IF(B117="","",VLOOKUP($B117,'C-1 Site River Baseline'!$C$9:$R$257,15,FALSE))</f>
        <v/>
      </c>
      <c r="M117" s="176" t="str">
        <f>IF(L117="","",VLOOKUP($B117,'F-1 Off Site River Baseline'!$C$9:$R$257,16,FALSE))</f>
        <v/>
      </c>
      <c r="N117" s="639" t="str">
        <f t="shared" si="10"/>
        <v/>
      </c>
      <c r="O117" s="171" t="str">
        <f t="shared" si="11"/>
        <v/>
      </c>
      <c r="P117" s="172" t="str">
        <f>IF(C117="","",IF(AND(LEFT(C117,55)&lt;&gt;LEFT(N117,55),O117="High - High"),"Error - Not like for like",IF(AND(F117=S117,H117&gt;U117),"Error - Can not reduce condition",IF(AND(F117=S117,H117=U117,AJ117='F-1 Off Site River Baseline'!N115,'F-1 Off Site River Baseline'!P115=AL117),"Error - No enhancement",IF(AND(C117&lt;&gt;N117,F117&lt;S117),"Lower Distinctiveness Habitat"&amp;" - "&amp;T117,G117&amp;" - "&amp;T117)))))</f>
        <v/>
      </c>
      <c r="Q117" s="260" t="str">
        <f>IF(N117="","",VLOOKUP(B117,'F-1 Off Site River Baseline'!$C$10:$AA$257,19,FALSE))</f>
        <v/>
      </c>
      <c r="R117" s="171" t="str">
        <f>IF(N117="","",VLOOKUP(N117,'G-7 Rivers Data'!$B$2:$G$8,2,FALSE))</f>
        <v/>
      </c>
      <c r="S117" s="172" t="str">
        <f>IFERROR(VLOOKUP(R117,'G-7 Rivers Data'!$C$4:$D$8,2,FALSE),"")</f>
        <v/>
      </c>
      <c r="T117" s="173"/>
      <c r="U117" s="172" t="str">
        <f>IFERROR(INDEX('G-7 Rivers Data'!$H$4:$L$8,MATCH(N117,'G-7 Rivers Data'!$B$4:$B$8,0),MATCH(T117,'G-7 Rivers Data'!$H$3:$L$3,0)),"")</f>
        <v/>
      </c>
      <c r="V117" s="186"/>
      <c r="W117" s="175" t="str">
        <f>IF(V117="","",IF(VLOOKUP(V117,'G-7 Rivers Data'!$AG$4:$AI$9,2,FALSE)=0,"Spatial Data Missing",VLOOKUP(V117,'G-7 Rivers Data'!$AG$4:$AI$9,2,FALSE)))</f>
        <v/>
      </c>
      <c r="X117" s="176" t="str">
        <f>IF(V117="","",IF(VLOOKUP(V117,'G-7 Rivers Data'!$AG$4:$AI$9,3,FALSE)=0,"Spatial Data Missing",VLOOKUP(V117,'G-7 Rivers Data'!$AG$4:$AI$9,3,FALSE)))</f>
        <v/>
      </c>
      <c r="Y117" s="239" t="str">
        <f>IFERROR(IF(OR(LEFT(P117,5)="Error",LEFT(O117,5)="Error"),"Check Data",IF(F117&lt;S117,'G-7 Rivers Data'!$R$3,INDEX('G-7 Rivers Data'!$U$5:$Y$9,MATCH(G117,'G-7 Rivers Data'!$T$5:$T$9,0),MATCH(T117,'G-7 Rivers Data'!$U$4:$Y$4,0)))),"")</f>
        <v/>
      </c>
      <c r="Z117" s="275"/>
      <c r="AA117" s="275"/>
      <c r="AB117" s="175" t="str">
        <f t="shared" si="12"/>
        <v/>
      </c>
      <c r="AC117" s="262" t="str">
        <f t="shared" si="13"/>
        <v/>
      </c>
      <c r="AD117" s="382" t="str">
        <f>IFERROR(IF(AC117="Check Data","Check Data",VLOOKUP(AC117,'G-4 Temporal multipliers'!$A$4:$C$37,3,FALSE)),"")</f>
        <v/>
      </c>
      <c r="AE117" s="239" t="str">
        <f>IF(N117="","",VLOOKUP(N117,'G-7 Rivers Data'!$B$4:$G$8,5,FALSE))</f>
        <v/>
      </c>
      <c r="AF117" s="175" t="str">
        <f t="shared" si="14"/>
        <v/>
      </c>
      <c r="AG117" s="175" t="str">
        <f t="shared" si="15"/>
        <v/>
      </c>
      <c r="AH117" s="176" t="str">
        <f t="shared" si="9"/>
        <v/>
      </c>
      <c r="AI117" s="173"/>
      <c r="AJ117" s="172" t="str">
        <f>IF(AI117="","",IF(VLOOKUP(AI117,'G-7 Rivers Data'!$AA$4:$AB$7,2,FALSE)=0,"Spatial Data Missing",VLOOKUP(AI117,'G-7 Rivers Data'!$AA$4:$AB$7,2,FALSE)))</f>
        <v/>
      </c>
      <c r="AK117" s="187"/>
      <c r="AL117" s="172" t="str">
        <f>IF(AK117="","",IF(VLOOKUP(AK117,'G-7 Rivers Data'!$AD$4:$AE$8,2,FALSE)=0,"Spatial Data Missing",VLOOKUP(AK117,'G-7 Rivers Data'!$AD$4:$AE$8,2,FALSE)))</f>
        <v/>
      </c>
      <c r="AM117" s="186"/>
      <c r="AN117" s="176" t="str">
        <f>IF(AM117="","",VLOOKUP(AM117,'G-7 Rivers Data'!$AO$4:$AP$7,2,FALSE))</f>
        <v/>
      </c>
      <c r="AO117" s="265" t="str">
        <f t="shared" si="16"/>
        <v/>
      </c>
      <c r="AP117" s="180"/>
      <c r="AQ117" s="181"/>
      <c r="AX117" s="35" t="str">
        <f>IFERROR(INDEX('G-7 Rivers Data'!$AZ$3:$AZ$7,MATCH(N117,'G-7 Rivers Data'!$AY$3:$AY$7,0)),"")</f>
        <v/>
      </c>
    </row>
    <row r="118" spans="2:50" ht="13.8" x14ac:dyDescent="0.25">
      <c r="B118" s="259" t="str">
        <f>'F-1 Off Site River Baseline'!AN116</f>
        <v/>
      </c>
      <c r="C118" s="175" t="str">
        <f>IF(B118="","",VLOOKUP($B118,'F-1 Off Site River Baseline'!$C$9:$R$257,2,FALSE))</f>
        <v/>
      </c>
      <c r="D118" s="175" t="str">
        <f>IF(C118="","",VLOOKUP($B118,'F-1 Off Site River Baseline'!$C$9:$R$257,3,FALSE))</f>
        <v/>
      </c>
      <c r="E118" s="175" t="str">
        <f>IF(D118="","",VLOOKUP($B118,'F-1 Off Site River Baseline'!$C$9:$R$257,4,FALSE))</f>
        <v/>
      </c>
      <c r="F118" s="175" t="str">
        <f>IF(E118="","",VLOOKUP($B118,'F-1 Off Site River Baseline'!$C$9:$R$257,5,FALSE))</f>
        <v/>
      </c>
      <c r="G118" s="175" t="str">
        <f>IF(F118="","",VLOOKUP($B118,'F-1 Off Site River Baseline'!$C$9:$R$257,6,FALSE))</f>
        <v/>
      </c>
      <c r="H118" s="175" t="str">
        <f>IF(G118="","",VLOOKUP($B118,'F-1 Off Site River Baseline'!$C$9:$R$257,7,FALSE))</f>
        <v/>
      </c>
      <c r="I118" s="175" t="str">
        <f>IF(H118="","",VLOOKUP($B118,'F-1 Off Site River Baseline'!$C$9:$R$257,8,FALSE))</f>
        <v/>
      </c>
      <c r="J118" s="175" t="str">
        <f>IF(I118="","",VLOOKUP($B118,'F-1 Off Site River Baseline'!$C$9:$R$257,9,FALSE))</f>
        <v/>
      </c>
      <c r="K118" s="175" t="str">
        <f>IF(J118="","",VLOOKUP($B118,'F-1 Off Site River Baseline'!$C$9:$R$257,10,FALSE))</f>
        <v/>
      </c>
      <c r="L118" s="175" t="str">
        <f>IF(B118="","",VLOOKUP($B118,'C-1 Site River Baseline'!$C$9:$R$257,15,FALSE))</f>
        <v/>
      </c>
      <c r="M118" s="176" t="str">
        <f>IF(L118="","",VLOOKUP($B118,'F-1 Off Site River Baseline'!$C$9:$R$257,16,FALSE))</f>
        <v/>
      </c>
      <c r="N118" s="639" t="str">
        <f t="shared" si="10"/>
        <v/>
      </c>
      <c r="O118" s="171" t="str">
        <f t="shared" si="11"/>
        <v/>
      </c>
      <c r="P118" s="172" t="str">
        <f>IF(C118="","",IF(AND(LEFT(C118,55)&lt;&gt;LEFT(N118,55),O118="High - High"),"Error - Not like for like",IF(AND(F118=S118,H118&gt;U118),"Error - Can not reduce condition",IF(AND(F118=S118,H118=U118,AJ118='F-1 Off Site River Baseline'!N116,'F-1 Off Site River Baseline'!P116=AL118),"Error - No enhancement",IF(AND(C118&lt;&gt;N118,F118&lt;S118),"Lower Distinctiveness Habitat"&amp;" - "&amp;T118,G118&amp;" - "&amp;T118)))))</f>
        <v/>
      </c>
      <c r="Q118" s="260" t="str">
        <f>IF(N118="","",VLOOKUP(B118,'F-1 Off Site River Baseline'!$C$10:$AA$257,19,FALSE))</f>
        <v/>
      </c>
      <c r="R118" s="171" t="str">
        <f>IF(N118="","",VLOOKUP(N118,'G-7 Rivers Data'!$B$2:$G$8,2,FALSE))</f>
        <v/>
      </c>
      <c r="S118" s="172" t="str">
        <f>IFERROR(VLOOKUP(R118,'G-7 Rivers Data'!$C$4:$D$8,2,FALSE),"")</f>
        <v/>
      </c>
      <c r="T118" s="173"/>
      <c r="U118" s="172" t="str">
        <f>IFERROR(INDEX('G-7 Rivers Data'!$H$4:$L$8,MATCH(N118,'G-7 Rivers Data'!$B$4:$B$8,0),MATCH(T118,'G-7 Rivers Data'!$H$3:$L$3,0)),"")</f>
        <v/>
      </c>
      <c r="V118" s="186"/>
      <c r="W118" s="175" t="str">
        <f>IF(V118="","",IF(VLOOKUP(V118,'G-7 Rivers Data'!$AG$4:$AI$9,2,FALSE)=0,"Spatial Data Missing",VLOOKUP(V118,'G-7 Rivers Data'!$AG$4:$AI$9,2,FALSE)))</f>
        <v/>
      </c>
      <c r="X118" s="176" t="str">
        <f>IF(V118="","",IF(VLOOKUP(V118,'G-7 Rivers Data'!$AG$4:$AI$9,3,FALSE)=0,"Spatial Data Missing",VLOOKUP(V118,'G-7 Rivers Data'!$AG$4:$AI$9,3,FALSE)))</f>
        <v/>
      </c>
      <c r="Y118" s="239" t="str">
        <f>IFERROR(IF(OR(LEFT(P118,5)="Error",LEFT(O118,5)="Error"),"Check Data",IF(F118&lt;S118,'G-7 Rivers Data'!$R$3,INDEX('G-7 Rivers Data'!$U$5:$Y$9,MATCH(G118,'G-7 Rivers Data'!$T$5:$T$9,0),MATCH(T118,'G-7 Rivers Data'!$U$4:$Y$4,0)))),"")</f>
        <v/>
      </c>
      <c r="Z118" s="275"/>
      <c r="AA118" s="275"/>
      <c r="AB118" s="175" t="str">
        <f t="shared" si="12"/>
        <v/>
      </c>
      <c r="AC118" s="262" t="str">
        <f t="shared" si="13"/>
        <v/>
      </c>
      <c r="AD118" s="382" t="str">
        <f>IFERROR(IF(AC118="Check Data","Check Data",VLOOKUP(AC118,'G-4 Temporal multipliers'!$A$4:$C$37,3,FALSE)),"")</f>
        <v/>
      </c>
      <c r="AE118" s="239" t="str">
        <f>IF(N118="","",VLOOKUP(N118,'G-7 Rivers Data'!$B$4:$G$8,5,FALSE))</f>
        <v/>
      </c>
      <c r="AF118" s="175" t="str">
        <f t="shared" si="14"/>
        <v/>
      </c>
      <c r="AG118" s="175" t="str">
        <f t="shared" si="15"/>
        <v/>
      </c>
      <c r="AH118" s="176" t="str">
        <f t="shared" si="9"/>
        <v/>
      </c>
      <c r="AI118" s="173"/>
      <c r="AJ118" s="172" t="str">
        <f>IF(AI118="","",IF(VLOOKUP(AI118,'G-7 Rivers Data'!$AA$4:$AB$7,2,FALSE)=0,"Spatial Data Missing",VLOOKUP(AI118,'G-7 Rivers Data'!$AA$4:$AB$7,2,FALSE)))</f>
        <v/>
      </c>
      <c r="AK118" s="187"/>
      <c r="AL118" s="172" t="str">
        <f>IF(AK118="","",IF(VLOOKUP(AK118,'G-7 Rivers Data'!$AD$4:$AE$8,2,FALSE)=0,"Spatial Data Missing",VLOOKUP(AK118,'G-7 Rivers Data'!$AD$4:$AE$8,2,FALSE)))</f>
        <v/>
      </c>
      <c r="AM118" s="186"/>
      <c r="AN118" s="176" t="str">
        <f>IF(AM118="","",VLOOKUP(AM118,'G-7 Rivers Data'!$AO$4:$AP$7,2,FALSE))</f>
        <v/>
      </c>
      <c r="AO118" s="265" t="str">
        <f t="shared" si="16"/>
        <v/>
      </c>
      <c r="AP118" s="180"/>
      <c r="AQ118" s="181"/>
      <c r="AX118" s="35" t="str">
        <f>IFERROR(INDEX('G-7 Rivers Data'!$AZ$3:$AZ$7,MATCH(N118,'G-7 Rivers Data'!$AY$3:$AY$7,0)),"")</f>
        <v/>
      </c>
    </row>
    <row r="119" spans="2:50" ht="13.8" x14ac:dyDescent="0.25">
      <c r="B119" s="259" t="str">
        <f>'F-1 Off Site River Baseline'!AN117</f>
        <v/>
      </c>
      <c r="C119" s="175" t="str">
        <f>IF(B119="","",VLOOKUP($B119,'F-1 Off Site River Baseline'!$C$9:$R$257,2,FALSE))</f>
        <v/>
      </c>
      <c r="D119" s="175" t="str">
        <f>IF(C119="","",VLOOKUP($B119,'F-1 Off Site River Baseline'!$C$9:$R$257,3,FALSE))</f>
        <v/>
      </c>
      <c r="E119" s="175" t="str">
        <f>IF(D119="","",VLOOKUP($B119,'F-1 Off Site River Baseline'!$C$9:$R$257,4,FALSE))</f>
        <v/>
      </c>
      <c r="F119" s="175" t="str">
        <f>IF(E119="","",VLOOKUP($B119,'F-1 Off Site River Baseline'!$C$9:$R$257,5,FALSE))</f>
        <v/>
      </c>
      <c r="G119" s="175" t="str">
        <f>IF(F119="","",VLOOKUP($B119,'F-1 Off Site River Baseline'!$C$9:$R$257,6,FALSE))</f>
        <v/>
      </c>
      <c r="H119" s="175" t="str">
        <f>IF(G119="","",VLOOKUP($B119,'F-1 Off Site River Baseline'!$C$9:$R$257,7,FALSE))</f>
        <v/>
      </c>
      <c r="I119" s="175" t="str">
        <f>IF(H119="","",VLOOKUP($B119,'F-1 Off Site River Baseline'!$C$9:$R$257,8,FALSE))</f>
        <v/>
      </c>
      <c r="J119" s="175" t="str">
        <f>IF(I119="","",VLOOKUP($B119,'F-1 Off Site River Baseline'!$C$9:$R$257,9,FALSE))</f>
        <v/>
      </c>
      <c r="K119" s="175" t="str">
        <f>IF(J119="","",VLOOKUP($B119,'F-1 Off Site River Baseline'!$C$9:$R$257,10,FALSE))</f>
        <v/>
      </c>
      <c r="L119" s="175" t="str">
        <f>IF(B119="","",VLOOKUP($B119,'C-1 Site River Baseline'!$C$9:$R$257,15,FALSE))</f>
        <v/>
      </c>
      <c r="M119" s="176" t="str">
        <f>IF(L119="","",VLOOKUP($B119,'F-1 Off Site River Baseline'!$C$9:$R$257,16,FALSE))</f>
        <v/>
      </c>
      <c r="N119" s="639" t="str">
        <f t="shared" si="10"/>
        <v/>
      </c>
      <c r="O119" s="171" t="str">
        <f t="shared" si="11"/>
        <v/>
      </c>
      <c r="P119" s="172" t="str">
        <f>IF(C119="","",IF(AND(LEFT(C119,55)&lt;&gt;LEFT(N119,55),O119="High - High"),"Error - Not like for like",IF(AND(F119=S119,H119&gt;U119),"Error - Can not reduce condition",IF(AND(F119=S119,H119=U119,AJ119='F-1 Off Site River Baseline'!N117,'F-1 Off Site River Baseline'!P117=AL119),"Error - No enhancement",IF(AND(C119&lt;&gt;N119,F119&lt;S119),"Lower Distinctiveness Habitat"&amp;" - "&amp;T119,G119&amp;" - "&amp;T119)))))</f>
        <v/>
      </c>
      <c r="Q119" s="260" t="str">
        <f>IF(N119="","",VLOOKUP(B119,'F-1 Off Site River Baseline'!$C$10:$AA$257,19,FALSE))</f>
        <v/>
      </c>
      <c r="R119" s="171" t="str">
        <f>IF(N119="","",VLOOKUP(N119,'G-7 Rivers Data'!$B$2:$G$8,2,FALSE))</f>
        <v/>
      </c>
      <c r="S119" s="172" t="str">
        <f>IFERROR(VLOOKUP(R119,'G-7 Rivers Data'!$C$4:$D$8,2,FALSE),"")</f>
        <v/>
      </c>
      <c r="T119" s="173"/>
      <c r="U119" s="172" t="str">
        <f>IFERROR(INDEX('G-7 Rivers Data'!$H$4:$L$8,MATCH(N119,'G-7 Rivers Data'!$B$4:$B$8,0),MATCH(T119,'G-7 Rivers Data'!$H$3:$L$3,0)),"")</f>
        <v/>
      </c>
      <c r="V119" s="186"/>
      <c r="W119" s="175" t="str">
        <f>IF(V119="","",IF(VLOOKUP(V119,'G-7 Rivers Data'!$AG$4:$AI$9,2,FALSE)=0,"Spatial Data Missing",VLOOKUP(V119,'G-7 Rivers Data'!$AG$4:$AI$9,2,FALSE)))</f>
        <v/>
      </c>
      <c r="X119" s="176" t="str">
        <f>IF(V119="","",IF(VLOOKUP(V119,'G-7 Rivers Data'!$AG$4:$AI$9,3,FALSE)=0,"Spatial Data Missing",VLOOKUP(V119,'G-7 Rivers Data'!$AG$4:$AI$9,3,FALSE)))</f>
        <v/>
      </c>
      <c r="Y119" s="239" t="str">
        <f>IFERROR(IF(OR(LEFT(P119,5)="Error",LEFT(O119,5)="Error"),"Check Data",IF(F119&lt;S119,'G-7 Rivers Data'!$R$3,INDEX('G-7 Rivers Data'!$U$5:$Y$9,MATCH(G119,'G-7 Rivers Data'!$T$5:$T$9,0),MATCH(T119,'G-7 Rivers Data'!$U$4:$Y$4,0)))),"")</f>
        <v/>
      </c>
      <c r="Z119" s="275"/>
      <c r="AA119" s="275"/>
      <c r="AB119" s="175" t="str">
        <f t="shared" si="12"/>
        <v/>
      </c>
      <c r="AC119" s="262" t="str">
        <f t="shared" si="13"/>
        <v/>
      </c>
      <c r="AD119" s="382" t="str">
        <f>IFERROR(IF(AC119="Check Data","Check Data",VLOOKUP(AC119,'G-4 Temporal multipliers'!$A$4:$C$37,3,FALSE)),"")</f>
        <v/>
      </c>
      <c r="AE119" s="239" t="str">
        <f>IF(N119="","",VLOOKUP(N119,'G-7 Rivers Data'!$B$4:$G$8,5,FALSE))</f>
        <v/>
      </c>
      <c r="AF119" s="175" t="str">
        <f t="shared" si="14"/>
        <v/>
      </c>
      <c r="AG119" s="175" t="str">
        <f t="shared" si="15"/>
        <v/>
      </c>
      <c r="AH119" s="176" t="str">
        <f t="shared" si="9"/>
        <v/>
      </c>
      <c r="AI119" s="173"/>
      <c r="AJ119" s="172" t="str">
        <f>IF(AI119="","",IF(VLOOKUP(AI119,'G-7 Rivers Data'!$AA$4:$AB$7,2,FALSE)=0,"Spatial Data Missing",VLOOKUP(AI119,'G-7 Rivers Data'!$AA$4:$AB$7,2,FALSE)))</f>
        <v/>
      </c>
      <c r="AK119" s="187"/>
      <c r="AL119" s="172" t="str">
        <f>IF(AK119="","",IF(VLOOKUP(AK119,'G-7 Rivers Data'!$AD$4:$AE$8,2,FALSE)=0,"Spatial Data Missing",VLOOKUP(AK119,'G-7 Rivers Data'!$AD$4:$AE$8,2,FALSE)))</f>
        <v/>
      </c>
      <c r="AM119" s="186"/>
      <c r="AN119" s="176" t="str">
        <f>IF(AM119="","",VLOOKUP(AM119,'G-7 Rivers Data'!$AO$4:$AP$7,2,FALSE))</f>
        <v/>
      </c>
      <c r="AO119" s="265" t="str">
        <f t="shared" si="16"/>
        <v/>
      </c>
      <c r="AP119" s="180"/>
      <c r="AQ119" s="181"/>
      <c r="AX119" s="35" t="str">
        <f>IFERROR(INDEX('G-7 Rivers Data'!$AZ$3:$AZ$7,MATCH(N119,'G-7 Rivers Data'!$AY$3:$AY$7,0)),"")</f>
        <v/>
      </c>
    </row>
    <row r="120" spans="2:50" ht="13.8" x14ac:dyDescent="0.25">
      <c r="B120" s="259" t="str">
        <f>'F-1 Off Site River Baseline'!AN118</f>
        <v/>
      </c>
      <c r="C120" s="175" t="str">
        <f>IF(B120="","",VLOOKUP($B120,'F-1 Off Site River Baseline'!$C$9:$R$257,2,FALSE))</f>
        <v/>
      </c>
      <c r="D120" s="175" t="str">
        <f>IF(C120="","",VLOOKUP($B120,'F-1 Off Site River Baseline'!$C$9:$R$257,3,FALSE))</f>
        <v/>
      </c>
      <c r="E120" s="175" t="str">
        <f>IF(D120="","",VLOOKUP($B120,'F-1 Off Site River Baseline'!$C$9:$R$257,4,FALSE))</f>
        <v/>
      </c>
      <c r="F120" s="175" t="str">
        <f>IF(E120="","",VLOOKUP($B120,'F-1 Off Site River Baseline'!$C$9:$R$257,5,FALSE))</f>
        <v/>
      </c>
      <c r="G120" s="175" t="str">
        <f>IF(F120="","",VLOOKUP($B120,'F-1 Off Site River Baseline'!$C$9:$R$257,6,FALSE))</f>
        <v/>
      </c>
      <c r="H120" s="175" t="str">
        <f>IF(G120="","",VLOOKUP($B120,'F-1 Off Site River Baseline'!$C$9:$R$257,7,FALSE))</f>
        <v/>
      </c>
      <c r="I120" s="175" t="str">
        <f>IF(H120="","",VLOOKUP($B120,'F-1 Off Site River Baseline'!$C$9:$R$257,8,FALSE))</f>
        <v/>
      </c>
      <c r="J120" s="175" t="str">
        <f>IF(I120="","",VLOOKUP($B120,'F-1 Off Site River Baseline'!$C$9:$R$257,9,FALSE))</f>
        <v/>
      </c>
      <c r="K120" s="175" t="str">
        <f>IF(J120="","",VLOOKUP($B120,'F-1 Off Site River Baseline'!$C$9:$R$257,10,FALSE))</f>
        <v/>
      </c>
      <c r="L120" s="175" t="str">
        <f>IF(B120="","",VLOOKUP($B120,'C-1 Site River Baseline'!$C$9:$R$257,15,FALSE))</f>
        <v/>
      </c>
      <c r="M120" s="176" t="str">
        <f>IF(L120="","",VLOOKUP($B120,'F-1 Off Site River Baseline'!$C$9:$R$257,16,FALSE))</f>
        <v/>
      </c>
      <c r="N120" s="639" t="str">
        <f t="shared" si="10"/>
        <v/>
      </c>
      <c r="O120" s="171" t="str">
        <f t="shared" si="11"/>
        <v/>
      </c>
      <c r="P120" s="172" t="str">
        <f>IF(C120="","",IF(AND(LEFT(C120,55)&lt;&gt;LEFT(N120,55),O120="High - High"),"Error - Not like for like",IF(AND(F120=S120,H120&gt;U120),"Error - Can not reduce condition",IF(AND(F120=S120,H120=U120,AJ120='F-1 Off Site River Baseline'!N118,'F-1 Off Site River Baseline'!P118=AL120),"Error - No enhancement",IF(AND(C120&lt;&gt;N120,F120&lt;S120),"Lower Distinctiveness Habitat"&amp;" - "&amp;T120,G120&amp;" - "&amp;T120)))))</f>
        <v/>
      </c>
      <c r="Q120" s="260" t="str">
        <f>IF(N120="","",VLOOKUP(B120,'F-1 Off Site River Baseline'!$C$10:$AA$257,19,FALSE))</f>
        <v/>
      </c>
      <c r="R120" s="171" t="str">
        <f>IF(N120="","",VLOOKUP(N120,'G-7 Rivers Data'!$B$2:$G$8,2,FALSE))</f>
        <v/>
      </c>
      <c r="S120" s="172" t="str">
        <f>IFERROR(VLOOKUP(R120,'G-7 Rivers Data'!$C$4:$D$8,2,FALSE),"")</f>
        <v/>
      </c>
      <c r="T120" s="173"/>
      <c r="U120" s="172" t="str">
        <f>IFERROR(INDEX('G-7 Rivers Data'!$H$4:$L$8,MATCH(N120,'G-7 Rivers Data'!$B$4:$B$8,0),MATCH(T120,'G-7 Rivers Data'!$H$3:$L$3,0)),"")</f>
        <v/>
      </c>
      <c r="V120" s="186"/>
      <c r="W120" s="175" t="str">
        <f>IF(V120="","",IF(VLOOKUP(V120,'G-7 Rivers Data'!$AG$4:$AI$9,2,FALSE)=0,"Spatial Data Missing",VLOOKUP(V120,'G-7 Rivers Data'!$AG$4:$AI$9,2,FALSE)))</f>
        <v/>
      </c>
      <c r="X120" s="176" t="str">
        <f>IF(V120="","",IF(VLOOKUP(V120,'G-7 Rivers Data'!$AG$4:$AI$9,3,FALSE)=0,"Spatial Data Missing",VLOOKUP(V120,'G-7 Rivers Data'!$AG$4:$AI$9,3,FALSE)))</f>
        <v/>
      </c>
      <c r="Y120" s="239" t="str">
        <f>IFERROR(IF(OR(LEFT(P120,5)="Error",LEFT(O120,5)="Error"),"Check Data",IF(F120&lt;S120,'G-7 Rivers Data'!$R$3,INDEX('G-7 Rivers Data'!$U$5:$Y$9,MATCH(G120,'G-7 Rivers Data'!$T$5:$T$9,0),MATCH(T120,'G-7 Rivers Data'!$U$4:$Y$4,0)))),"")</f>
        <v/>
      </c>
      <c r="Z120" s="275"/>
      <c r="AA120" s="275"/>
      <c r="AB120" s="175" t="str">
        <f t="shared" si="12"/>
        <v/>
      </c>
      <c r="AC120" s="262" t="str">
        <f t="shared" si="13"/>
        <v/>
      </c>
      <c r="AD120" s="382" t="str">
        <f>IFERROR(IF(AC120="Check Data","Check Data",VLOOKUP(AC120,'G-4 Temporal multipliers'!$A$4:$C$37,3,FALSE)),"")</f>
        <v/>
      </c>
      <c r="AE120" s="239" t="str">
        <f>IF(N120="","",VLOOKUP(N120,'G-7 Rivers Data'!$B$4:$G$8,5,FALSE))</f>
        <v/>
      </c>
      <c r="AF120" s="175" t="str">
        <f t="shared" si="14"/>
        <v/>
      </c>
      <c r="AG120" s="175" t="str">
        <f t="shared" si="15"/>
        <v/>
      </c>
      <c r="AH120" s="176" t="str">
        <f t="shared" si="9"/>
        <v/>
      </c>
      <c r="AI120" s="173"/>
      <c r="AJ120" s="172" t="str">
        <f>IF(AI120="","",IF(VLOOKUP(AI120,'G-7 Rivers Data'!$AA$4:$AB$7,2,FALSE)=0,"Spatial Data Missing",VLOOKUP(AI120,'G-7 Rivers Data'!$AA$4:$AB$7,2,FALSE)))</f>
        <v/>
      </c>
      <c r="AK120" s="187"/>
      <c r="AL120" s="172" t="str">
        <f>IF(AK120="","",IF(VLOOKUP(AK120,'G-7 Rivers Data'!$AD$4:$AE$8,2,FALSE)=0,"Spatial Data Missing",VLOOKUP(AK120,'G-7 Rivers Data'!$AD$4:$AE$8,2,FALSE)))</f>
        <v/>
      </c>
      <c r="AM120" s="186"/>
      <c r="AN120" s="176" t="str">
        <f>IF(AM120="","",VLOOKUP(AM120,'G-7 Rivers Data'!$AO$4:$AP$7,2,FALSE))</f>
        <v/>
      </c>
      <c r="AO120" s="265" t="str">
        <f t="shared" si="16"/>
        <v/>
      </c>
      <c r="AP120" s="180"/>
      <c r="AQ120" s="181"/>
      <c r="AX120" s="35" t="str">
        <f>IFERROR(INDEX('G-7 Rivers Data'!$AZ$3:$AZ$7,MATCH(N120,'G-7 Rivers Data'!$AY$3:$AY$7,0)),"")</f>
        <v/>
      </c>
    </row>
    <row r="121" spans="2:50" ht="13.8" x14ac:dyDescent="0.25">
      <c r="B121" s="259" t="str">
        <f>'F-1 Off Site River Baseline'!AN119</f>
        <v/>
      </c>
      <c r="C121" s="175" t="str">
        <f>IF(B121="","",VLOOKUP($B121,'F-1 Off Site River Baseline'!$C$9:$R$257,2,FALSE))</f>
        <v/>
      </c>
      <c r="D121" s="175" t="str">
        <f>IF(C121="","",VLOOKUP($B121,'F-1 Off Site River Baseline'!$C$9:$R$257,3,FALSE))</f>
        <v/>
      </c>
      <c r="E121" s="175" t="str">
        <f>IF(D121="","",VLOOKUP($B121,'F-1 Off Site River Baseline'!$C$9:$R$257,4,FALSE))</f>
        <v/>
      </c>
      <c r="F121" s="175" t="str">
        <f>IF(E121="","",VLOOKUP($B121,'F-1 Off Site River Baseline'!$C$9:$R$257,5,FALSE))</f>
        <v/>
      </c>
      <c r="G121" s="175" t="str">
        <f>IF(F121="","",VLOOKUP($B121,'F-1 Off Site River Baseline'!$C$9:$R$257,6,FALSE))</f>
        <v/>
      </c>
      <c r="H121" s="175" t="str">
        <f>IF(G121="","",VLOOKUP($B121,'F-1 Off Site River Baseline'!$C$9:$R$257,7,FALSE))</f>
        <v/>
      </c>
      <c r="I121" s="175" t="str">
        <f>IF(H121="","",VLOOKUP($B121,'F-1 Off Site River Baseline'!$C$9:$R$257,8,FALSE))</f>
        <v/>
      </c>
      <c r="J121" s="175" t="str">
        <f>IF(I121="","",VLOOKUP($B121,'F-1 Off Site River Baseline'!$C$9:$R$257,9,FALSE))</f>
        <v/>
      </c>
      <c r="K121" s="175" t="str">
        <f>IF(J121="","",VLOOKUP($B121,'F-1 Off Site River Baseline'!$C$9:$R$257,10,FALSE))</f>
        <v/>
      </c>
      <c r="L121" s="175" t="str">
        <f>IF(B121="","",VLOOKUP($B121,'C-1 Site River Baseline'!$C$9:$R$257,15,FALSE))</f>
        <v/>
      </c>
      <c r="M121" s="176" t="str">
        <f>IF(L121="","",VLOOKUP($B121,'F-1 Off Site River Baseline'!$C$9:$R$257,16,FALSE))</f>
        <v/>
      </c>
      <c r="N121" s="639" t="str">
        <f t="shared" si="10"/>
        <v/>
      </c>
      <c r="O121" s="171" t="str">
        <f t="shared" si="11"/>
        <v/>
      </c>
      <c r="P121" s="172" t="str">
        <f>IF(C121="","",IF(AND(LEFT(C121,55)&lt;&gt;LEFT(N121,55),O121="High - High"),"Error - Not like for like",IF(AND(F121=S121,H121&gt;U121),"Error - Can not reduce condition",IF(AND(F121=S121,H121=U121,AJ121='F-1 Off Site River Baseline'!N119,'F-1 Off Site River Baseline'!P119=AL121),"Error - No enhancement",IF(AND(C121&lt;&gt;N121,F121&lt;S121),"Lower Distinctiveness Habitat"&amp;" - "&amp;T121,G121&amp;" - "&amp;T121)))))</f>
        <v/>
      </c>
      <c r="Q121" s="260" t="str">
        <f>IF(N121="","",VLOOKUP(B121,'F-1 Off Site River Baseline'!$C$10:$AA$257,19,FALSE))</f>
        <v/>
      </c>
      <c r="R121" s="171" t="str">
        <f>IF(N121="","",VLOOKUP(N121,'G-7 Rivers Data'!$B$2:$G$8,2,FALSE))</f>
        <v/>
      </c>
      <c r="S121" s="172" t="str">
        <f>IFERROR(VLOOKUP(R121,'G-7 Rivers Data'!$C$4:$D$8,2,FALSE),"")</f>
        <v/>
      </c>
      <c r="T121" s="173"/>
      <c r="U121" s="172" t="str">
        <f>IFERROR(INDEX('G-7 Rivers Data'!$H$4:$L$8,MATCH(N121,'G-7 Rivers Data'!$B$4:$B$8,0),MATCH(T121,'G-7 Rivers Data'!$H$3:$L$3,0)),"")</f>
        <v/>
      </c>
      <c r="V121" s="186"/>
      <c r="W121" s="175" t="str">
        <f>IF(V121="","",IF(VLOOKUP(V121,'G-7 Rivers Data'!$AG$4:$AI$9,2,FALSE)=0,"Spatial Data Missing",VLOOKUP(V121,'G-7 Rivers Data'!$AG$4:$AI$9,2,FALSE)))</f>
        <v/>
      </c>
      <c r="X121" s="176" t="str">
        <f>IF(V121="","",IF(VLOOKUP(V121,'G-7 Rivers Data'!$AG$4:$AI$9,3,FALSE)=0,"Spatial Data Missing",VLOOKUP(V121,'G-7 Rivers Data'!$AG$4:$AI$9,3,FALSE)))</f>
        <v/>
      </c>
      <c r="Y121" s="239" t="str">
        <f>IFERROR(IF(OR(LEFT(P121,5)="Error",LEFT(O121,5)="Error"),"Check Data",IF(F121&lt;S121,'G-7 Rivers Data'!$R$3,INDEX('G-7 Rivers Data'!$U$5:$Y$9,MATCH(G121,'G-7 Rivers Data'!$T$5:$T$9,0),MATCH(T121,'G-7 Rivers Data'!$U$4:$Y$4,0)))),"")</f>
        <v/>
      </c>
      <c r="Z121" s="275"/>
      <c r="AA121" s="275"/>
      <c r="AB121" s="175" t="str">
        <f t="shared" si="12"/>
        <v/>
      </c>
      <c r="AC121" s="262" t="str">
        <f t="shared" si="13"/>
        <v/>
      </c>
      <c r="AD121" s="382" t="str">
        <f>IFERROR(IF(AC121="Check Data","Check Data",VLOOKUP(AC121,'G-4 Temporal multipliers'!$A$4:$C$37,3,FALSE)),"")</f>
        <v/>
      </c>
      <c r="AE121" s="239" t="str">
        <f>IF(N121="","",VLOOKUP(N121,'G-7 Rivers Data'!$B$4:$G$8,5,FALSE))</f>
        <v/>
      </c>
      <c r="AF121" s="175" t="str">
        <f t="shared" si="14"/>
        <v/>
      </c>
      <c r="AG121" s="175" t="str">
        <f t="shared" si="15"/>
        <v/>
      </c>
      <c r="AH121" s="176" t="str">
        <f t="shared" si="9"/>
        <v/>
      </c>
      <c r="AI121" s="173"/>
      <c r="AJ121" s="172" t="str">
        <f>IF(AI121="","",IF(VLOOKUP(AI121,'G-7 Rivers Data'!$AA$4:$AB$7,2,FALSE)=0,"Spatial Data Missing",VLOOKUP(AI121,'G-7 Rivers Data'!$AA$4:$AB$7,2,FALSE)))</f>
        <v/>
      </c>
      <c r="AK121" s="187"/>
      <c r="AL121" s="172" t="str">
        <f>IF(AK121="","",IF(VLOOKUP(AK121,'G-7 Rivers Data'!$AD$4:$AE$8,2,FALSE)=0,"Spatial Data Missing",VLOOKUP(AK121,'G-7 Rivers Data'!$AD$4:$AE$8,2,FALSE)))</f>
        <v/>
      </c>
      <c r="AM121" s="186"/>
      <c r="AN121" s="176" t="str">
        <f>IF(AM121="","",VLOOKUP(AM121,'G-7 Rivers Data'!$AO$4:$AP$7,2,FALSE))</f>
        <v/>
      </c>
      <c r="AO121" s="265" t="str">
        <f t="shared" si="16"/>
        <v/>
      </c>
      <c r="AP121" s="180"/>
      <c r="AQ121" s="181"/>
      <c r="AX121" s="35" t="str">
        <f>IFERROR(INDEX('G-7 Rivers Data'!$AZ$3:$AZ$7,MATCH(N121,'G-7 Rivers Data'!$AY$3:$AY$7,0)),"")</f>
        <v/>
      </c>
    </row>
    <row r="122" spans="2:50" ht="13.8" x14ac:dyDescent="0.25">
      <c r="B122" s="259" t="str">
        <f>'F-1 Off Site River Baseline'!AN120</f>
        <v/>
      </c>
      <c r="C122" s="175" t="str">
        <f>IF(B122="","",VLOOKUP($B122,'F-1 Off Site River Baseline'!$C$9:$R$257,2,FALSE))</f>
        <v/>
      </c>
      <c r="D122" s="175" t="str">
        <f>IF(C122="","",VLOOKUP($B122,'F-1 Off Site River Baseline'!$C$9:$R$257,3,FALSE))</f>
        <v/>
      </c>
      <c r="E122" s="175" t="str">
        <f>IF(D122="","",VLOOKUP($B122,'F-1 Off Site River Baseline'!$C$9:$R$257,4,FALSE))</f>
        <v/>
      </c>
      <c r="F122" s="175" t="str">
        <f>IF(E122="","",VLOOKUP($B122,'F-1 Off Site River Baseline'!$C$9:$R$257,5,FALSE))</f>
        <v/>
      </c>
      <c r="G122" s="175" t="str">
        <f>IF(F122="","",VLOOKUP($B122,'F-1 Off Site River Baseline'!$C$9:$R$257,6,FALSE))</f>
        <v/>
      </c>
      <c r="H122" s="175" t="str">
        <f>IF(G122="","",VLOOKUP($B122,'F-1 Off Site River Baseline'!$C$9:$R$257,7,FALSE))</f>
        <v/>
      </c>
      <c r="I122" s="175" t="str">
        <f>IF(H122="","",VLOOKUP($B122,'F-1 Off Site River Baseline'!$C$9:$R$257,8,FALSE))</f>
        <v/>
      </c>
      <c r="J122" s="175" t="str">
        <f>IF(I122="","",VLOOKUP($B122,'F-1 Off Site River Baseline'!$C$9:$R$257,9,FALSE))</f>
        <v/>
      </c>
      <c r="K122" s="175" t="str">
        <f>IF(J122="","",VLOOKUP($B122,'F-1 Off Site River Baseline'!$C$9:$R$257,10,FALSE))</f>
        <v/>
      </c>
      <c r="L122" s="175" t="str">
        <f>IF(B122="","",VLOOKUP($B122,'C-1 Site River Baseline'!$C$9:$R$257,15,FALSE))</f>
        <v/>
      </c>
      <c r="M122" s="176" t="str">
        <f>IF(L122="","",VLOOKUP($B122,'F-1 Off Site River Baseline'!$C$9:$R$257,16,FALSE))</f>
        <v/>
      </c>
      <c r="N122" s="639" t="str">
        <f t="shared" si="10"/>
        <v/>
      </c>
      <c r="O122" s="171" t="str">
        <f t="shared" si="11"/>
        <v/>
      </c>
      <c r="P122" s="172" t="str">
        <f>IF(C122="","",IF(AND(LEFT(C122,55)&lt;&gt;LEFT(N122,55),O122="High - High"),"Error - Not like for like",IF(AND(F122=S122,H122&gt;U122),"Error - Can not reduce condition",IF(AND(F122=S122,H122=U122,AJ122='F-1 Off Site River Baseline'!N120,'F-1 Off Site River Baseline'!P120=AL122),"Error - No enhancement",IF(AND(C122&lt;&gt;N122,F122&lt;S122),"Lower Distinctiveness Habitat"&amp;" - "&amp;T122,G122&amp;" - "&amp;T122)))))</f>
        <v/>
      </c>
      <c r="Q122" s="260" t="str">
        <f>IF(N122="","",VLOOKUP(B122,'F-1 Off Site River Baseline'!$C$10:$AA$257,19,FALSE))</f>
        <v/>
      </c>
      <c r="R122" s="171" t="str">
        <f>IF(N122="","",VLOOKUP(N122,'G-7 Rivers Data'!$B$2:$G$8,2,FALSE))</f>
        <v/>
      </c>
      <c r="S122" s="172" t="str">
        <f>IFERROR(VLOOKUP(R122,'G-7 Rivers Data'!$C$4:$D$8,2,FALSE),"")</f>
        <v/>
      </c>
      <c r="T122" s="173"/>
      <c r="U122" s="172" t="str">
        <f>IFERROR(INDEX('G-7 Rivers Data'!$H$4:$L$8,MATCH(N122,'G-7 Rivers Data'!$B$4:$B$8,0),MATCH(T122,'G-7 Rivers Data'!$H$3:$L$3,0)),"")</f>
        <v/>
      </c>
      <c r="V122" s="186"/>
      <c r="W122" s="175" t="str">
        <f>IF(V122="","",IF(VLOOKUP(V122,'G-7 Rivers Data'!$AG$4:$AI$9,2,FALSE)=0,"Spatial Data Missing",VLOOKUP(V122,'G-7 Rivers Data'!$AG$4:$AI$9,2,FALSE)))</f>
        <v/>
      </c>
      <c r="X122" s="176" t="str">
        <f>IF(V122="","",IF(VLOOKUP(V122,'G-7 Rivers Data'!$AG$4:$AI$9,3,FALSE)=0,"Spatial Data Missing",VLOOKUP(V122,'G-7 Rivers Data'!$AG$4:$AI$9,3,FALSE)))</f>
        <v/>
      </c>
      <c r="Y122" s="239" t="str">
        <f>IFERROR(IF(OR(LEFT(P122,5)="Error",LEFT(O122,5)="Error"),"Check Data",IF(F122&lt;S122,'G-7 Rivers Data'!$R$3,INDEX('G-7 Rivers Data'!$U$5:$Y$9,MATCH(G122,'G-7 Rivers Data'!$T$5:$T$9,0),MATCH(T122,'G-7 Rivers Data'!$U$4:$Y$4,0)))),"")</f>
        <v/>
      </c>
      <c r="Z122" s="275"/>
      <c r="AA122" s="275"/>
      <c r="AB122" s="175" t="str">
        <f t="shared" si="12"/>
        <v/>
      </c>
      <c r="AC122" s="262" t="str">
        <f t="shared" si="13"/>
        <v/>
      </c>
      <c r="AD122" s="382" t="str">
        <f>IFERROR(IF(AC122="Check Data","Check Data",VLOOKUP(AC122,'G-4 Temporal multipliers'!$A$4:$C$37,3,FALSE)),"")</f>
        <v/>
      </c>
      <c r="AE122" s="239" t="str">
        <f>IF(N122="","",VLOOKUP(N122,'G-7 Rivers Data'!$B$4:$G$8,5,FALSE))</f>
        <v/>
      </c>
      <c r="AF122" s="175" t="str">
        <f t="shared" si="14"/>
        <v/>
      </c>
      <c r="AG122" s="175" t="str">
        <f t="shared" si="15"/>
        <v/>
      </c>
      <c r="AH122" s="176" t="str">
        <f t="shared" si="9"/>
        <v/>
      </c>
      <c r="AI122" s="173"/>
      <c r="AJ122" s="172" t="str">
        <f>IF(AI122="","",IF(VLOOKUP(AI122,'G-7 Rivers Data'!$AA$4:$AB$7,2,FALSE)=0,"Spatial Data Missing",VLOOKUP(AI122,'G-7 Rivers Data'!$AA$4:$AB$7,2,FALSE)))</f>
        <v/>
      </c>
      <c r="AK122" s="187"/>
      <c r="AL122" s="172" t="str">
        <f>IF(AK122="","",IF(VLOOKUP(AK122,'G-7 Rivers Data'!$AD$4:$AE$8,2,FALSE)=0,"Spatial Data Missing",VLOOKUP(AK122,'G-7 Rivers Data'!$AD$4:$AE$8,2,FALSE)))</f>
        <v/>
      </c>
      <c r="AM122" s="186"/>
      <c r="AN122" s="176" t="str">
        <f>IF(AM122="","",VLOOKUP(AM122,'G-7 Rivers Data'!$AO$4:$AP$7,2,FALSE))</f>
        <v/>
      </c>
      <c r="AO122" s="265" t="str">
        <f t="shared" si="16"/>
        <v/>
      </c>
      <c r="AP122" s="180"/>
      <c r="AQ122" s="181"/>
      <c r="AX122" s="35" t="str">
        <f>IFERROR(INDEX('G-7 Rivers Data'!$AZ$3:$AZ$7,MATCH(N122,'G-7 Rivers Data'!$AY$3:$AY$7,0)),"")</f>
        <v/>
      </c>
    </row>
    <row r="123" spans="2:50" ht="13.8" x14ac:dyDescent="0.25">
      <c r="B123" s="259" t="str">
        <f>'F-1 Off Site River Baseline'!AN121</f>
        <v/>
      </c>
      <c r="C123" s="175" t="str">
        <f>IF(B123="","",VLOOKUP($B123,'F-1 Off Site River Baseline'!$C$9:$R$257,2,FALSE))</f>
        <v/>
      </c>
      <c r="D123" s="175" t="str">
        <f>IF(C123="","",VLOOKUP($B123,'F-1 Off Site River Baseline'!$C$9:$R$257,3,FALSE))</f>
        <v/>
      </c>
      <c r="E123" s="175" t="str">
        <f>IF(D123="","",VLOOKUP($B123,'F-1 Off Site River Baseline'!$C$9:$R$257,4,FALSE))</f>
        <v/>
      </c>
      <c r="F123" s="175" t="str">
        <f>IF(E123="","",VLOOKUP($B123,'F-1 Off Site River Baseline'!$C$9:$R$257,5,FALSE))</f>
        <v/>
      </c>
      <c r="G123" s="175" t="str">
        <f>IF(F123="","",VLOOKUP($B123,'F-1 Off Site River Baseline'!$C$9:$R$257,6,FALSE))</f>
        <v/>
      </c>
      <c r="H123" s="175" t="str">
        <f>IF(G123="","",VLOOKUP($B123,'F-1 Off Site River Baseline'!$C$9:$R$257,7,FALSE))</f>
        <v/>
      </c>
      <c r="I123" s="175" t="str">
        <f>IF(H123="","",VLOOKUP($B123,'F-1 Off Site River Baseline'!$C$9:$R$257,8,FALSE))</f>
        <v/>
      </c>
      <c r="J123" s="175" t="str">
        <f>IF(I123="","",VLOOKUP($B123,'F-1 Off Site River Baseline'!$C$9:$R$257,9,FALSE))</f>
        <v/>
      </c>
      <c r="K123" s="175" t="str">
        <f>IF(J123="","",VLOOKUP($B123,'F-1 Off Site River Baseline'!$C$9:$R$257,10,FALSE))</f>
        <v/>
      </c>
      <c r="L123" s="175" t="str">
        <f>IF(B123="","",VLOOKUP($B123,'C-1 Site River Baseline'!$C$9:$R$257,15,FALSE))</f>
        <v/>
      </c>
      <c r="M123" s="176" t="str">
        <f>IF(L123="","",VLOOKUP($B123,'F-1 Off Site River Baseline'!$C$9:$R$257,16,FALSE))</f>
        <v/>
      </c>
      <c r="N123" s="639" t="str">
        <f t="shared" si="10"/>
        <v/>
      </c>
      <c r="O123" s="171" t="str">
        <f t="shared" si="11"/>
        <v/>
      </c>
      <c r="P123" s="172" t="str">
        <f>IF(C123="","",IF(AND(LEFT(C123,55)&lt;&gt;LEFT(N123,55),O123="High - High"),"Error - Not like for like",IF(AND(F123=S123,H123&gt;U123),"Error - Can not reduce condition",IF(AND(F123=S123,H123=U123,AJ123='F-1 Off Site River Baseline'!N121,'F-1 Off Site River Baseline'!P121=AL123),"Error - No enhancement",IF(AND(C123&lt;&gt;N123,F123&lt;S123),"Lower Distinctiveness Habitat"&amp;" - "&amp;T123,G123&amp;" - "&amp;T123)))))</f>
        <v/>
      </c>
      <c r="Q123" s="260" t="str">
        <f>IF(N123="","",VLOOKUP(B123,'F-1 Off Site River Baseline'!$C$10:$AA$257,19,FALSE))</f>
        <v/>
      </c>
      <c r="R123" s="171" t="str">
        <f>IF(N123="","",VLOOKUP(N123,'G-7 Rivers Data'!$B$2:$G$8,2,FALSE))</f>
        <v/>
      </c>
      <c r="S123" s="172" t="str">
        <f>IFERROR(VLOOKUP(R123,'G-7 Rivers Data'!$C$4:$D$8,2,FALSE),"")</f>
        <v/>
      </c>
      <c r="T123" s="173"/>
      <c r="U123" s="172" t="str">
        <f>IFERROR(INDEX('G-7 Rivers Data'!$H$4:$L$8,MATCH(N123,'G-7 Rivers Data'!$B$4:$B$8,0),MATCH(T123,'G-7 Rivers Data'!$H$3:$L$3,0)),"")</f>
        <v/>
      </c>
      <c r="V123" s="186"/>
      <c r="W123" s="175" t="str">
        <f>IF(V123="","",IF(VLOOKUP(V123,'G-7 Rivers Data'!$AG$4:$AI$9,2,FALSE)=0,"Spatial Data Missing",VLOOKUP(V123,'G-7 Rivers Data'!$AG$4:$AI$9,2,FALSE)))</f>
        <v/>
      </c>
      <c r="X123" s="176" t="str">
        <f>IF(V123="","",IF(VLOOKUP(V123,'G-7 Rivers Data'!$AG$4:$AI$9,3,FALSE)=0,"Spatial Data Missing",VLOOKUP(V123,'G-7 Rivers Data'!$AG$4:$AI$9,3,FALSE)))</f>
        <v/>
      </c>
      <c r="Y123" s="239" t="str">
        <f>IFERROR(IF(OR(LEFT(P123,5)="Error",LEFT(O123,5)="Error"),"Check Data",IF(F123&lt;S123,'G-7 Rivers Data'!$R$3,INDEX('G-7 Rivers Data'!$U$5:$Y$9,MATCH(G123,'G-7 Rivers Data'!$T$5:$T$9,0),MATCH(T123,'G-7 Rivers Data'!$U$4:$Y$4,0)))),"")</f>
        <v/>
      </c>
      <c r="Z123" s="275"/>
      <c r="AA123" s="275"/>
      <c r="AB123" s="175" t="str">
        <f t="shared" si="12"/>
        <v/>
      </c>
      <c r="AC123" s="262" t="str">
        <f t="shared" si="13"/>
        <v/>
      </c>
      <c r="AD123" s="382" t="str">
        <f>IFERROR(IF(AC123="Check Data","Check Data",VLOOKUP(AC123,'G-4 Temporal multipliers'!$A$4:$C$37,3,FALSE)),"")</f>
        <v/>
      </c>
      <c r="AE123" s="239" t="str">
        <f>IF(N123="","",VLOOKUP(N123,'G-7 Rivers Data'!$B$4:$G$8,5,FALSE))</f>
        <v/>
      </c>
      <c r="AF123" s="175" t="str">
        <f t="shared" si="14"/>
        <v/>
      </c>
      <c r="AG123" s="175" t="str">
        <f t="shared" si="15"/>
        <v/>
      </c>
      <c r="AH123" s="176" t="str">
        <f t="shared" si="9"/>
        <v/>
      </c>
      <c r="AI123" s="173"/>
      <c r="AJ123" s="172" t="str">
        <f>IF(AI123="","",IF(VLOOKUP(AI123,'G-7 Rivers Data'!$AA$4:$AB$7,2,FALSE)=0,"Spatial Data Missing",VLOOKUP(AI123,'G-7 Rivers Data'!$AA$4:$AB$7,2,FALSE)))</f>
        <v/>
      </c>
      <c r="AK123" s="187"/>
      <c r="AL123" s="172" t="str">
        <f>IF(AK123="","",IF(VLOOKUP(AK123,'G-7 Rivers Data'!$AD$4:$AE$8,2,FALSE)=0,"Spatial Data Missing",VLOOKUP(AK123,'G-7 Rivers Data'!$AD$4:$AE$8,2,FALSE)))</f>
        <v/>
      </c>
      <c r="AM123" s="186"/>
      <c r="AN123" s="176" t="str">
        <f>IF(AM123="","",VLOOKUP(AM123,'G-7 Rivers Data'!$AO$4:$AP$7,2,FALSE))</f>
        <v/>
      </c>
      <c r="AO123" s="265" t="str">
        <f t="shared" si="16"/>
        <v/>
      </c>
      <c r="AP123" s="180"/>
      <c r="AQ123" s="181"/>
      <c r="AX123" s="35" t="str">
        <f>IFERROR(INDEX('G-7 Rivers Data'!$AZ$3:$AZ$7,MATCH(N123,'G-7 Rivers Data'!$AY$3:$AY$7,0)),"")</f>
        <v/>
      </c>
    </row>
    <row r="124" spans="2:50" ht="13.8" x14ac:dyDescent="0.25">
      <c r="B124" s="259" t="str">
        <f>'F-1 Off Site River Baseline'!AN122</f>
        <v/>
      </c>
      <c r="C124" s="175" t="str">
        <f>IF(B124="","",VLOOKUP($B124,'F-1 Off Site River Baseline'!$C$9:$R$257,2,FALSE))</f>
        <v/>
      </c>
      <c r="D124" s="175" t="str">
        <f>IF(C124="","",VLOOKUP($B124,'F-1 Off Site River Baseline'!$C$9:$R$257,3,FALSE))</f>
        <v/>
      </c>
      <c r="E124" s="175" t="str">
        <f>IF(D124="","",VLOOKUP($B124,'F-1 Off Site River Baseline'!$C$9:$R$257,4,FALSE))</f>
        <v/>
      </c>
      <c r="F124" s="175" t="str">
        <f>IF(E124="","",VLOOKUP($B124,'F-1 Off Site River Baseline'!$C$9:$R$257,5,FALSE))</f>
        <v/>
      </c>
      <c r="G124" s="175" t="str">
        <f>IF(F124="","",VLOOKUP($B124,'F-1 Off Site River Baseline'!$C$9:$R$257,6,FALSE))</f>
        <v/>
      </c>
      <c r="H124" s="175" t="str">
        <f>IF(G124="","",VLOOKUP($B124,'F-1 Off Site River Baseline'!$C$9:$R$257,7,FALSE))</f>
        <v/>
      </c>
      <c r="I124" s="175" t="str">
        <f>IF(H124="","",VLOOKUP($B124,'F-1 Off Site River Baseline'!$C$9:$R$257,8,FALSE))</f>
        <v/>
      </c>
      <c r="J124" s="175" t="str">
        <f>IF(I124="","",VLOOKUP($B124,'F-1 Off Site River Baseline'!$C$9:$R$257,9,FALSE))</f>
        <v/>
      </c>
      <c r="K124" s="175" t="str">
        <f>IF(J124="","",VLOOKUP($B124,'F-1 Off Site River Baseline'!$C$9:$R$257,10,FALSE))</f>
        <v/>
      </c>
      <c r="L124" s="175" t="str">
        <f>IF(B124="","",VLOOKUP($B124,'C-1 Site River Baseline'!$C$9:$R$257,15,FALSE))</f>
        <v/>
      </c>
      <c r="M124" s="176" t="str">
        <f>IF(L124="","",VLOOKUP($B124,'F-1 Off Site River Baseline'!$C$9:$R$257,16,FALSE))</f>
        <v/>
      </c>
      <c r="N124" s="639" t="str">
        <f t="shared" si="10"/>
        <v/>
      </c>
      <c r="O124" s="171" t="str">
        <f t="shared" si="11"/>
        <v/>
      </c>
      <c r="P124" s="172" t="str">
        <f>IF(C124="","",IF(AND(LEFT(C124,55)&lt;&gt;LEFT(N124,55),O124="High - High"),"Error - Not like for like",IF(AND(F124=S124,H124&gt;U124),"Error - Can not reduce condition",IF(AND(F124=S124,H124=U124,AJ124='F-1 Off Site River Baseline'!N122,'F-1 Off Site River Baseline'!P122=AL124),"Error - No enhancement",IF(AND(C124&lt;&gt;N124,F124&lt;S124),"Lower Distinctiveness Habitat"&amp;" - "&amp;T124,G124&amp;" - "&amp;T124)))))</f>
        <v/>
      </c>
      <c r="Q124" s="260" t="str">
        <f>IF(N124="","",VLOOKUP(B124,'F-1 Off Site River Baseline'!$C$10:$AA$257,19,FALSE))</f>
        <v/>
      </c>
      <c r="R124" s="171" t="str">
        <f>IF(N124="","",VLOOKUP(N124,'G-7 Rivers Data'!$B$2:$G$8,2,FALSE))</f>
        <v/>
      </c>
      <c r="S124" s="172" t="str">
        <f>IFERROR(VLOOKUP(R124,'G-7 Rivers Data'!$C$4:$D$8,2,FALSE),"")</f>
        <v/>
      </c>
      <c r="T124" s="173"/>
      <c r="U124" s="172" t="str">
        <f>IFERROR(INDEX('G-7 Rivers Data'!$H$4:$L$8,MATCH(N124,'G-7 Rivers Data'!$B$4:$B$8,0),MATCH(T124,'G-7 Rivers Data'!$H$3:$L$3,0)),"")</f>
        <v/>
      </c>
      <c r="V124" s="186"/>
      <c r="W124" s="175" t="str">
        <f>IF(V124="","",IF(VLOOKUP(V124,'G-7 Rivers Data'!$AG$4:$AI$9,2,FALSE)=0,"Spatial Data Missing",VLOOKUP(V124,'G-7 Rivers Data'!$AG$4:$AI$9,2,FALSE)))</f>
        <v/>
      </c>
      <c r="X124" s="176" t="str">
        <f>IF(V124="","",IF(VLOOKUP(V124,'G-7 Rivers Data'!$AG$4:$AI$9,3,FALSE)=0,"Spatial Data Missing",VLOOKUP(V124,'G-7 Rivers Data'!$AG$4:$AI$9,3,FALSE)))</f>
        <v/>
      </c>
      <c r="Y124" s="239" t="str">
        <f>IFERROR(IF(OR(LEFT(P124,5)="Error",LEFT(O124,5)="Error"),"Check Data",IF(F124&lt;S124,'G-7 Rivers Data'!$R$3,INDEX('G-7 Rivers Data'!$U$5:$Y$9,MATCH(G124,'G-7 Rivers Data'!$T$5:$T$9,0),MATCH(T124,'G-7 Rivers Data'!$U$4:$Y$4,0)))),"")</f>
        <v/>
      </c>
      <c r="Z124" s="275"/>
      <c r="AA124" s="275"/>
      <c r="AB124" s="175" t="str">
        <f t="shared" si="12"/>
        <v/>
      </c>
      <c r="AC124" s="262" t="str">
        <f t="shared" si="13"/>
        <v/>
      </c>
      <c r="AD124" s="382" t="str">
        <f>IFERROR(IF(AC124="Check Data","Check Data",VLOOKUP(AC124,'G-4 Temporal multipliers'!$A$4:$C$37,3,FALSE)),"")</f>
        <v/>
      </c>
      <c r="AE124" s="239" t="str">
        <f>IF(N124="","",VLOOKUP(N124,'G-7 Rivers Data'!$B$4:$G$8,5,FALSE))</f>
        <v/>
      </c>
      <c r="AF124" s="175" t="str">
        <f t="shared" si="14"/>
        <v/>
      </c>
      <c r="AG124" s="175" t="str">
        <f t="shared" si="15"/>
        <v/>
      </c>
      <c r="AH124" s="176" t="str">
        <f t="shared" si="9"/>
        <v/>
      </c>
      <c r="AI124" s="173"/>
      <c r="AJ124" s="172" t="str">
        <f>IF(AI124="","",IF(VLOOKUP(AI124,'G-7 Rivers Data'!$AA$4:$AB$7,2,FALSE)=0,"Spatial Data Missing",VLOOKUP(AI124,'G-7 Rivers Data'!$AA$4:$AB$7,2,FALSE)))</f>
        <v/>
      </c>
      <c r="AK124" s="187"/>
      <c r="AL124" s="172" t="str">
        <f>IF(AK124="","",IF(VLOOKUP(AK124,'G-7 Rivers Data'!$AD$4:$AE$8,2,FALSE)=0,"Spatial Data Missing",VLOOKUP(AK124,'G-7 Rivers Data'!$AD$4:$AE$8,2,FALSE)))</f>
        <v/>
      </c>
      <c r="AM124" s="186"/>
      <c r="AN124" s="176" t="str">
        <f>IF(AM124="","",VLOOKUP(AM124,'G-7 Rivers Data'!$AO$4:$AP$7,2,FALSE))</f>
        <v/>
      </c>
      <c r="AO124" s="265" t="str">
        <f t="shared" si="16"/>
        <v/>
      </c>
      <c r="AP124" s="180"/>
      <c r="AQ124" s="181"/>
      <c r="AX124" s="35" t="str">
        <f>IFERROR(INDEX('G-7 Rivers Data'!$AZ$3:$AZ$7,MATCH(N124,'G-7 Rivers Data'!$AY$3:$AY$7,0)),"")</f>
        <v/>
      </c>
    </row>
    <row r="125" spans="2:50" ht="13.8" x14ac:dyDescent="0.25">
      <c r="B125" s="259" t="str">
        <f>'F-1 Off Site River Baseline'!AN123</f>
        <v/>
      </c>
      <c r="C125" s="175" t="str">
        <f>IF(B125="","",VLOOKUP($B125,'F-1 Off Site River Baseline'!$C$9:$R$257,2,FALSE))</f>
        <v/>
      </c>
      <c r="D125" s="175" t="str">
        <f>IF(C125="","",VLOOKUP($B125,'F-1 Off Site River Baseline'!$C$9:$R$257,3,FALSE))</f>
        <v/>
      </c>
      <c r="E125" s="175" t="str">
        <f>IF(D125="","",VLOOKUP($B125,'F-1 Off Site River Baseline'!$C$9:$R$257,4,FALSE))</f>
        <v/>
      </c>
      <c r="F125" s="175" t="str">
        <f>IF(E125="","",VLOOKUP($B125,'F-1 Off Site River Baseline'!$C$9:$R$257,5,FALSE))</f>
        <v/>
      </c>
      <c r="G125" s="175" t="str">
        <f>IF(F125="","",VLOOKUP($B125,'F-1 Off Site River Baseline'!$C$9:$R$257,6,FALSE))</f>
        <v/>
      </c>
      <c r="H125" s="175" t="str">
        <f>IF(G125="","",VLOOKUP($B125,'F-1 Off Site River Baseline'!$C$9:$R$257,7,FALSE))</f>
        <v/>
      </c>
      <c r="I125" s="175" t="str">
        <f>IF(H125="","",VLOOKUP($B125,'F-1 Off Site River Baseline'!$C$9:$R$257,8,FALSE))</f>
        <v/>
      </c>
      <c r="J125" s="175" t="str">
        <f>IF(I125="","",VLOOKUP($B125,'F-1 Off Site River Baseline'!$C$9:$R$257,9,FALSE))</f>
        <v/>
      </c>
      <c r="K125" s="175" t="str">
        <f>IF(J125="","",VLOOKUP($B125,'F-1 Off Site River Baseline'!$C$9:$R$257,10,FALSE))</f>
        <v/>
      </c>
      <c r="L125" s="175" t="str">
        <f>IF(B125="","",VLOOKUP($B125,'C-1 Site River Baseline'!$C$9:$R$257,15,FALSE))</f>
        <v/>
      </c>
      <c r="M125" s="176" t="str">
        <f>IF(L125="","",VLOOKUP($B125,'F-1 Off Site River Baseline'!$C$9:$R$257,16,FALSE))</f>
        <v/>
      </c>
      <c r="N125" s="639" t="str">
        <f t="shared" si="10"/>
        <v/>
      </c>
      <c r="O125" s="171" t="str">
        <f t="shared" si="11"/>
        <v/>
      </c>
      <c r="P125" s="172" t="str">
        <f>IF(C125="","",IF(AND(LEFT(C125,55)&lt;&gt;LEFT(N125,55),O125="High - High"),"Error - Not like for like",IF(AND(F125=S125,H125&gt;U125),"Error - Can not reduce condition",IF(AND(F125=S125,H125=U125,AJ125='F-1 Off Site River Baseline'!N123,'F-1 Off Site River Baseline'!P123=AL125),"Error - No enhancement",IF(AND(C125&lt;&gt;N125,F125&lt;S125),"Lower Distinctiveness Habitat"&amp;" - "&amp;T125,G125&amp;" - "&amp;T125)))))</f>
        <v/>
      </c>
      <c r="Q125" s="260" t="str">
        <f>IF(N125="","",VLOOKUP(B125,'F-1 Off Site River Baseline'!$C$10:$AA$257,19,FALSE))</f>
        <v/>
      </c>
      <c r="R125" s="171" t="str">
        <f>IF(N125="","",VLOOKUP(N125,'G-7 Rivers Data'!$B$2:$G$8,2,FALSE))</f>
        <v/>
      </c>
      <c r="S125" s="172" t="str">
        <f>IFERROR(VLOOKUP(R125,'G-7 Rivers Data'!$C$4:$D$8,2,FALSE),"")</f>
        <v/>
      </c>
      <c r="T125" s="173"/>
      <c r="U125" s="172" t="str">
        <f>IFERROR(INDEX('G-7 Rivers Data'!$H$4:$L$8,MATCH(N125,'G-7 Rivers Data'!$B$4:$B$8,0),MATCH(T125,'G-7 Rivers Data'!$H$3:$L$3,0)),"")</f>
        <v/>
      </c>
      <c r="V125" s="186"/>
      <c r="W125" s="175" t="str">
        <f>IF(V125="","",IF(VLOOKUP(V125,'G-7 Rivers Data'!$AG$4:$AI$9,2,FALSE)=0,"Spatial Data Missing",VLOOKUP(V125,'G-7 Rivers Data'!$AG$4:$AI$9,2,FALSE)))</f>
        <v/>
      </c>
      <c r="X125" s="176" t="str">
        <f>IF(V125="","",IF(VLOOKUP(V125,'G-7 Rivers Data'!$AG$4:$AI$9,3,FALSE)=0,"Spatial Data Missing",VLOOKUP(V125,'G-7 Rivers Data'!$AG$4:$AI$9,3,FALSE)))</f>
        <v/>
      </c>
      <c r="Y125" s="239" t="str">
        <f>IFERROR(IF(OR(LEFT(P125,5)="Error",LEFT(O125,5)="Error"),"Check Data",IF(F125&lt;S125,'G-7 Rivers Data'!$R$3,INDEX('G-7 Rivers Data'!$U$5:$Y$9,MATCH(G125,'G-7 Rivers Data'!$T$5:$T$9,0),MATCH(T125,'G-7 Rivers Data'!$U$4:$Y$4,0)))),"")</f>
        <v/>
      </c>
      <c r="Z125" s="275"/>
      <c r="AA125" s="275"/>
      <c r="AB125" s="175" t="str">
        <f t="shared" si="12"/>
        <v/>
      </c>
      <c r="AC125" s="262" t="str">
        <f t="shared" si="13"/>
        <v/>
      </c>
      <c r="AD125" s="382" t="str">
        <f>IFERROR(IF(AC125="Check Data","Check Data",VLOOKUP(AC125,'G-4 Temporal multipliers'!$A$4:$C$37,3,FALSE)),"")</f>
        <v/>
      </c>
      <c r="AE125" s="239" t="str">
        <f>IF(N125="","",VLOOKUP(N125,'G-7 Rivers Data'!$B$4:$G$8,5,FALSE))</f>
        <v/>
      </c>
      <c r="AF125" s="175" t="str">
        <f t="shared" si="14"/>
        <v/>
      </c>
      <c r="AG125" s="175" t="str">
        <f t="shared" si="15"/>
        <v/>
      </c>
      <c r="AH125" s="176" t="str">
        <f t="shared" si="9"/>
        <v/>
      </c>
      <c r="AI125" s="173"/>
      <c r="AJ125" s="172" t="str">
        <f>IF(AI125="","",IF(VLOOKUP(AI125,'G-7 Rivers Data'!$AA$4:$AB$7,2,FALSE)=0,"Spatial Data Missing",VLOOKUP(AI125,'G-7 Rivers Data'!$AA$4:$AB$7,2,FALSE)))</f>
        <v/>
      </c>
      <c r="AK125" s="187"/>
      <c r="AL125" s="172" t="str">
        <f>IF(AK125="","",IF(VLOOKUP(AK125,'G-7 Rivers Data'!$AD$4:$AE$8,2,FALSE)=0,"Spatial Data Missing",VLOOKUP(AK125,'G-7 Rivers Data'!$AD$4:$AE$8,2,FALSE)))</f>
        <v/>
      </c>
      <c r="AM125" s="186"/>
      <c r="AN125" s="176" t="str">
        <f>IF(AM125="","",VLOOKUP(AM125,'G-7 Rivers Data'!$AO$4:$AP$7,2,FALSE))</f>
        <v/>
      </c>
      <c r="AO125" s="265" t="str">
        <f t="shared" si="16"/>
        <v/>
      </c>
      <c r="AP125" s="180"/>
      <c r="AQ125" s="181"/>
      <c r="AX125" s="35" t="str">
        <f>IFERROR(INDEX('G-7 Rivers Data'!$AZ$3:$AZ$7,MATCH(N125,'G-7 Rivers Data'!$AY$3:$AY$7,0)),"")</f>
        <v/>
      </c>
    </row>
    <row r="126" spans="2:50" ht="13.8" x14ac:dyDescent="0.25">
      <c r="B126" s="259" t="str">
        <f>'F-1 Off Site River Baseline'!AN124</f>
        <v/>
      </c>
      <c r="C126" s="175" t="str">
        <f>IF(B126="","",VLOOKUP($B126,'F-1 Off Site River Baseline'!$C$9:$R$257,2,FALSE))</f>
        <v/>
      </c>
      <c r="D126" s="175" t="str">
        <f>IF(C126="","",VLOOKUP($B126,'F-1 Off Site River Baseline'!$C$9:$R$257,3,FALSE))</f>
        <v/>
      </c>
      <c r="E126" s="175" t="str">
        <f>IF(D126="","",VLOOKUP($B126,'F-1 Off Site River Baseline'!$C$9:$R$257,4,FALSE))</f>
        <v/>
      </c>
      <c r="F126" s="175" t="str">
        <f>IF(E126="","",VLOOKUP($B126,'F-1 Off Site River Baseline'!$C$9:$R$257,5,FALSE))</f>
        <v/>
      </c>
      <c r="G126" s="175" t="str">
        <f>IF(F126="","",VLOOKUP($B126,'F-1 Off Site River Baseline'!$C$9:$R$257,6,FALSE))</f>
        <v/>
      </c>
      <c r="H126" s="175" t="str">
        <f>IF(G126="","",VLOOKUP($B126,'F-1 Off Site River Baseline'!$C$9:$R$257,7,FALSE))</f>
        <v/>
      </c>
      <c r="I126" s="175" t="str">
        <f>IF(H126="","",VLOOKUP($B126,'F-1 Off Site River Baseline'!$C$9:$R$257,8,FALSE))</f>
        <v/>
      </c>
      <c r="J126" s="175" t="str">
        <f>IF(I126="","",VLOOKUP($B126,'F-1 Off Site River Baseline'!$C$9:$R$257,9,FALSE))</f>
        <v/>
      </c>
      <c r="K126" s="175" t="str">
        <f>IF(J126="","",VLOOKUP($B126,'F-1 Off Site River Baseline'!$C$9:$R$257,10,FALSE))</f>
        <v/>
      </c>
      <c r="L126" s="175" t="str">
        <f>IF(B126="","",VLOOKUP($B126,'C-1 Site River Baseline'!$C$9:$R$257,15,FALSE))</f>
        <v/>
      </c>
      <c r="M126" s="176" t="str">
        <f>IF(L126="","",VLOOKUP($B126,'F-1 Off Site River Baseline'!$C$9:$R$257,16,FALSE))</f>
        <v/>
      </c>
      <c r="N126" s="639" t="str">
        <f t="shared" si="10"/>
        <v/>
      </c>
      <c r="O126" s="171" t="str">
        <f t="shared" si="11"/>
        <v/>
      </c>
      <c r="P126" s="172" t="str">
        <f>IF(C126="","",IF(AND(LEFT(C126,55)&lt;&gt;LEFT(N126,55),O126="High - High"),"Error - Not like for like",IF(AND(F126=S126,H126&gt;U126),"Error - Can not reduce condition",IF(AND(F126=S126,H126=U126,AJ126='F-1 Off Site River Baseline'!N124,'F-1 Off Site River Baseline'!P124=AL126),"Error - No enhancement",IF(AND(C126&lt;&gt;N126,F126&lt;S126),"Lower Distinctiveness Habitat"&amp;" - "&amp;T126,G126&amp;" - "&amp;T126)))))</f>
        <v/>
      </c>
      <c r="Q126" s="260" t="str">
        <f>IF(N126="","",VLOOKUP(B126,'F-1 Off Site River Baseline'!$C$10:$AA$257,19,FALSE))</f>
        <v/>
      </c>
      <c r="R126" s="171" t="str">
        <f>IF(N126="","",VLOOKUP(N126,'G-7 Rivers Data'!$B$2:$G$8,2,FALSE))</f>
        <v/>
      </c>
      <c r="S126" s="172" t="str">
        <f>IFERROR(VLOOKUP(R126,'G-7 Rivers Data'!$C$4:$D$8,2,FALSE),"")</f>
        <v/>
      </c>
      <c r="T126" s="173"/>
      <c r="U126" s="172" t="str">
        <f>IFERROR(INDEX('G-7 Rivers Data'!$H$4:$L$8,MATCH(N126,'G-7 Rivers Data'!$B$4:$B$8,0),MATCH(T126,'G-7 Rivers Data'!$H$3:$L$3,0)),"")</f>
        <v/>
      </c>
      <c r="V126" s="186"/>
      <c r="W126" s="175" t="str">
        <f>IF(V126="","",IF(VLOOKUP(V126,'G-7 Rivers Data'!$AG$4:$AI$9,2,FALSE)=0,"Spatial Data Missing",VLOOKUP(V126,'G-7 Rivers Data'!$AG$4:$AI$9,2,FALSE)))</f>
        <v/>
      </c>
      <c r="X126" s="176" t="str">
        <f>IF(V126="","",IF(VLOOKUP(V126,'G-7 Rivers Data'!$AG$4:$AI$9,3,FALSE)=0,"Spatial Data Missing",VLOOKUP(V126,'G-7 Rivers Data'!$AG$4:$AI$9,3,FALSE)))</f>
        <v/>
      </c>
      <c r="Y126" s="239" t="str">
        <f>IFERROR(IF(OR(LEFT(P126,5)="Error",LEFT(O126,5)="Error"),"Check Data",IF(F126&lt;S126,'G-7 Rivers Data'!$R$3,INDEX('G-7 Rivers Data'!$U$5:$Y$9,MATCH(G126,'G-7 Rivers Data'!$T$5:$T$9,0),MATCH(T126,'G-7 Rivers Data'!$U$4:$Y$4,0)))),"")</f>
        <v/>
      </c>
      <c r="Z126" s="275"/>
      <c r="AA126" s="275"/>
      <c r="AB126" s="175" t="str">
        <f t="shared" si="12"/>
        <v/>
      </c>
      <c r="AC126" s="262" t="str">
        <f t="shared" si="13"/>
        <v/>
      </c>
      <c r="AD126" s="382" t="str">
        <f>IFERROR(IF(AC126="Check Data","Check Data",VLOOKUP(AC126,'G-4 Temporal multipliers'!$A$4:$C$37,3,FALSE)),"")</f>
        <v/>
      </c>
      <c r="AE126" s="239" t="str">
        <f>IF(N126="","",VLOOKUP(N126,'G-7 Rivers Data'!$B$4:$G$8,5,FALSE))</f>
        <v/>
      </c>
      <c r="AF126" s="175" t="str">
        <f t="shared" si="14"/>
        <v/>
      </c>
      <c r="AG126" s="175" t="str">
        <f t="shared" si="15"/>
        <v/>
      </c>
      <c r="AH126" s="176" t="str">
        <f t="shared" si="9"/>
        <v/>
      </c>
      <c r="AI126" s="173"/>
      <c r="AJ126" s="172" t="str">
        <f>IF(AI126="","",IF(VLOOKUP(AI126,'G-7 Rivers Data'!$AA$4:$AB$7,2,FALSE)=0,"Spatial Data Missing",VLOOKUP(AI126,'G-7 Rivers Data'!$AA$4:$AB$7,2,FALSE)))</f>
        <v/>
      </c>
      <c r="AK126" s="187"/>
      <c r="AL126" s="172" t="str">
        <f>IF(AK126="","",IF(VLOOKUP(AK126,'G-7 Rivers Data'!$AD$4:$AE$8,2,FALSE)=0,"Spatial Data Missing",VLOOKUP(AK126,'G-7 Rivers Data'!$AD$4:$AE$8,2,FALSE)))</f>
        <v/>
      </c>
      <c r="AM126" s="186"/>
      <c r="AN126" s="176" t="str">
        <f>IF(AM126="","",VLOOKUP(AM126,'G-7 Rivers Data'!$AO$4:$AP$7,2,FALSE))</f>
        <v/>
      </c>
      <c r="AO126" s="265" t="str">
        <f t="shared" si="16"/>
        <v/>
      </c>
      <c r="AP126" s="180"/>
      <c r="AQ126" s="181"/>
      <c r="AX126" s="35" t="str">
        <f>IFERROR(INDEX('G-7 Rivers Data'!$AZ$3:$AZ$7,MATCH(N126,'G-7 Rivers Data'!$AY$3:$AY$7,0)),"")</f>
        <v/>
      </c>
    </row>
    <row r="127" spans="2:50" ht="13.8" x14ac:dyDescent="0.25">
      <c r="B127" s="259" t="str">
        <f>'F-1 Off Site River Baseline'!AN125</f>
        <v/>
      </c>
      <c r="C127" s="175" t="str">
        <f>IF(B127="","",VLOOKUP($B127,'F-1 Off Site River Baseline'!$C$9:$R$257,2,FALSE))</f>
        <v/>
      </c>
      <c r="D127" s="175" t="str">
        <f>IF(C127="","",VLOOKUP($B127,'F-1 Off Site River Baseline'!$C$9:$R$257,3,FALSE))</f>
        <v/>
      </c>
      <c r="E127" s="175" t="str">
        <f>IF(D127="","",VLOOKUP($B127,'F-1 Off Site River Baseline'!$C$9:$R$257,4,FALSE))</f>
        <v/>
      </c>
      <c r="F127" s="175" t="str">
        <f>IF(E127="","",VLOOKUP($B127,'F-1 Off Site River Baseline'!$C$9:$R$257,5,FALSE))</f>
        <v/>
      </c>
      <c r="G127" s="175" t="str">
        <f>IF(F127="","",VLOOKUP($B127,'F-1 Off Site River Baseline'!$C$9:$R$257,6,FALSE))</f>
        <v/>
      </c>
      <c r="H127" s="175" t="str">
        <f>IF(G127="","",VLOOKUP($B127,'F-1 Off Site River Baseline'!$C$9:$R$257,7,FALSE))</f>
        <v/>
      </c>
      <c r="I127" s="175" t="str">
        <f>IF(H127="","",VLOOKUP($B127,'F-1 Off Site River Baseline'!$C$9:$R$257,8,FALSE))</f>
        <v/>
      </c>
      <c r="J127" s="175" t="str">
        <f>IF(I127="","",VLOOKUP($B127,'F-1 Off Site River Baseline'!$C$9:$R$257,9,FALSE))</f>
        <v/>
      </c>
      <c r="K127" s="175" t="str">
        <f>IF(J127="","",VLOOKUP($B127,'F-1 Off Site River Baseline'!$C$9:$R$257,10,FALSE))</f>
        <v/>
      </c>
      <c r="L127" s="175" t="str">
        <f>IF(B127="","",VLOOKUP($B127,'C-1 Site River Baseline'!$C$9:$R$257,15,FALSE))</f>
        <v/>
      </c>
      <c r="M127" s="176" t="str">
        <f>IF(L127="","",VLOOKUP($B127,'F-1 Off Site River Baseline'!$C$9:$R$257,16,FALSE))</f>
        <v/>
      </c>
      <c r="N127" s="639" t="str">
        <f t="shared" si="10"/>
        <v/>
      </c>
      <c r="O127" s="171" t="str">
        <f t="shared" si="11"/>
        <v/>
      </c>
      <c r="P127" s="172" t="str">
        <f>IF(C127="","",IF(AND(LEFT(C127,55)&lt;&gt;LEFT(N127,55),O127="High - High"),"Error - Not like for like",IF(AND(F127=S127,H127&gt;U127),"Error - Can not reduce condition",IF(AND(F127=S127,H127=U127,AJ127='F-1 Off Site River Baseline'!N125,'F-1 Off Site River Baseline'!P125=AL127),"Error - No enhancement",IF(AND(C127&lt;&gt;N127,F127&lt;S127),"Lower Distinctiveness Habitat"&amp;" - "&amp;T127,G127&amp;" - "&amp;T127)))))</f>
        <v/>
      </c>
      <c r="Q127" s="260" t="str">
        <f>IF(N127="","",VLOOKUP(B127,'F-1 Off Site River Baseline'!$C$10:$AA$257,19,FALSE))</f>
        <v/>
      </c>
      <c r="R127" s="171" t="str">
        <f>IF(N127="","",VLOOKUP(N127,'G-7 Rivers Data'!$B$2:$G$8,2,FALSE))</f>
        <v/>
      </c>
      <c r="S127" s="172" t="str">
        <f>IFERROR(VLOOKUP(R127,'G-7 Rivers Data'!$C$4:$D$8,2,FALSE),"")</f>
        <v/>
      </c>
      <c r="T127" s="173"/>
      <c r="U127" s="172" t="str">
        <f>IFERROR(INDEX('G-7 Rivers Data'!$H$4:$L$8,MATCH(N127,'G-7 Rivers Data'!$B$4:$B$8,0),MATCH(T127,'G-7 Rivers Data'!$H$3:$L$3,0)),"")</f>
        <v/>
      </c>
      <c r="V127" s="186"/>
      <c r="W127" s="175" t="str">
        <f>IF(V127="","",IF(VLOOKUP(V127,'G-7 Rivers Data'!$AG$4:$AI$9,2,FALSE)=0,"Spatial Data Missing",VLOOKUP(V127,'G-7 Rivers Data'!$AG$4:$AI$9,2,FALSE)))</f>
        <v/>
      </c>
      <c r="X127" s="176" t="str">
        <f>IF(V127="","",IF(VLOOKUP(V127,'G-7 Rivers Data'!$AG$4:$AI$9,3,FALSE)=0,"Spatial Data Missing",VLOOKUP(V127,'G-7 Rivers Data'!$AG$4:$AI$9,3,FALSE)))</f>
        <v/>
      </c>
      <c r="Y127" s="239" t="str">
        <f>IFERROR(IF(OR(LEFT(P127,5)="Error",LEFT(O127,5)="Error"),"Check Data",IF(F127&lt;S127,'G-7 Rivers Data'!$R$3,INDEX('G-7 Rivers Data'!$U$5:$Y$9,MATCH(G127,'G-7 Rivers Data'!$T$5:$T$9,0),MATCH(T127,'G-7 Rivers Data'!$U$4:$Y$4,0)))),"")</f>
        <v/>
      </c>
      <c r="Z127" s="275"/>
      <c r="AA127" s="275"/>
      <c r="AB127" s="175" t="str">
        <f t="shared" si="12"/>
        <v/>
      </c>
      <c r="AC127" s="262" t="str">
        <f t="shared" si="13"/>
        <v/>
      </c>
      <c r="AD127" s="382" t="str">
        <f>IFERROR(IF(AC127="Check Data","Check Data",VLOOKUP(AC127,'G-4 Temporal multipliers'!$A$4:$C$37,3,FALSE)),"")</f>
        <v/>
      </c>
      <c r="AE127" s="239" t="str">
        <f>IF(N127="","",VLOOKUP(N127,'G-7 Rivers Data'!$B$4:$G$8,5,FALSE))</f>
        <v/>
      </c>
      <c r="AF127" s="175" t="str">
        <f t="shared" si="14"/>
        <v/>
      </c>
      <c r="AG127" s="175" t="str">
        <f t="shared" si="15"/>
        <v/>
      </c>
      <c r="AH127" s="176" t="str">
        <f t="shared" si="9"/>
        <v/>
      </c>
      <c r="AI127" s="173"/>
      <c r="AJ127" s="172" t="str">
        <f>IF(AI127="","",IF(VLOOKUP(AI127,'G-7 Rivers Data'!$AA$4:$AB$7,2,FALSE)=0,"Spatial Data Missing",VLOOKUP(AI127,'G-7 Rivers Data'!$AA$4:$AB$7,2,FALSE)))</f>
        <v/>
      </c>
      <c r="AK127" s="187"/>
      <c r="AL127" s="172" t="str">
        <f>IF(AK127="","",IF(VLOOKUP(AK127,'G-7 Rivers Data'!$AD$4:$AE$8,2,FALSE)=0,"Spatial Data Missing",VLOOKUP(AK127,'G-7 Rivers Data'!$AD$4:$AE$8,2,FALSE)))</f>
        <v/>
      </c>
      <c r="AM127" s="186"/>
      <c r="AN127" s="176" t="str">
        <f>IF(AM127="","",VLOOKUP(AM127,'G-7 Rivers Data'!$AO$4:$AP$7,2,FALSE))</f>
        <v/>
      </c>
      <c r="AO127" s="265" t="str">
        <f t="shared" si="16"/>
        <v/>
      </c>
      <c r="AP127" s="180"/>
      <c r="AQ127" s="181"/>
      <c r="AX127" s="35" t="str">
        <f>IFERROR(INDEX('G-7 Rivers Data'!$AZ$3:$AZ$7,MATCH(N127,'G-7 Rivers Data'!$AY$3:$AY$7,0)),"")</f>
        <v/>
      </c>
    </row>
    <row r="128" spans="2:50" ht="13.8" x14ac:dyDescent="0.25">
      <c r="B128" s="259" t="str">
        <f>'F-1 Off Site River Baseline'!AN126</f>
        <v/>
      </c>
      <c r="C128" s="175" t="str">
        <f>IF(B128="","",VLOOKUP($B128,'F-1 Off Site River Baseline'!$C$9:$R$257,2,FALSE))</f>
        <v/>
      </c>
      <c r="D128" s="175" t="str">
        <f>IF(C128="","",VLOOKUP($B128,'F-1 Off Site River Baseline'!$C$9:$R$257,3,FALSE))</f>
        <v/>
      </c>
      <c r="E128" s="175" t="str">
        <f>IF(D128="","",VLOOKUP($B128,'F-1 Off Site River Baseline'!$C$9:$R$257,4,FALSE))</f>
        <v/>
      </c>
      <c r="F128" s="175" t="str">
        <f>IF(E128="","",VLOOKUP($B128,'F-1 Off Site River Baseline'!$C$9:$R$257,5,FALSE))</f>
        <v/>
      </c>
      <c r="G128" s="175" t="str">
        <f>IF(F128="","",VLOOKUP($B128,'F-1 Off Site River Baseline'!$C$9:$R$257,6,FALSE))</f>
        <v/>
      </c>
      <c r="H128" s="175" t="str">
        <f>IF(G128="","",VLOOKUP($B128,'F-1 Off Site River Baseline'!$C$9:$R$257,7,FALSE))</f>
        <v/>
      </c>
      <c r="I128" s="175" t="str">
        <f>IF(H128="","",VLOOKUP($B128,'F-1 Off Site River Baseline'!$C$9:$R$257,8,FALSE))</f>
        <v/>
      </c>
      <c r="J128" s="175" t="str">
        <f>IF(I128="","",VLOOKUP($B128,'F-1 Off Site River Baseline'!$C$9:$R$257,9,FALSE))</f>
        <v/>
      </c>
      <c r="K128" s="175" t="str">
        <f>IF(J128="","",VLOOKUP($B128,'F-1 Off Site River Baseline'!$C$9:$R$257,10,FALSE))</f>
        <v/>
      </c>
      <c r="L128" s="175" t="str">
        <f>IF(B128="","",VLOOKUP($B128,'C-1 Site River Baseline'!$C$9:$R$257,15,FALSE))</f>
        <v/>
      </c>
      <c r="M128" s="176" t="str">
        <f>IF(L128="","",VLOOKUP($B128,'F-1 Off Site River Baseline'!$C$9:$R$257,16,FALSE))</f>
        <v/>
      </c>
      <c r="N128" s="639" t="str">
        <f t="shared" si="10"/>
        <v/>
      </c>
      <c r="O128" s="171" t="str">
        <f t="shared" si="11"/>
        <v/>
      </c>
      <c r="P128" s="172" t="str">
        <f>IF(C128="","",IF(AND(LEFT(C128,55)&lt;&gt;LEFT(N128,55),O128="High - High"),"Error - Not like for like",IF(AND(F128=S128,H128&gt;U128),"Error - Can not reduce condition",IF(AND(F128=S128,H128=U128,AJ128='F-1 Off Site River Baseline'!N126,'F-1 Off Site River Baseline'!P126=AL128),"Error - No enhancement",IF(AND(C128&lt;&gt;N128,F128&lt;S128),"Lower Distinctiveness Habitat"&amp;" - "&amp;T128,G128&amp;" - "&amp;T128)))))</f>
        <v/>
      </c>
      <c r="Q128" s="260" t="str">
        <f>IF(N128="","",VLOOKUP(B128,'F-1 Off Site River Baseline'!$C$10:$AA$257,19,FALSE))</f>
        <v/>
      </c>
      <c r="R128" s="171" t="str">
        <f>IF(N128="","",VLOOKUP(N128,'G-7 Rivers Data'!$B$2:$G$8,2,FALSE))</f>
        <v/>
      </c>
      <c r="S128" s="172" t="str">
        <f>IFERROR(VLOOKUP(R128,'G-7 Rivers Data'!$C$4:$D$8,2,FALSE),"")</f>
        <v/>
      </c>
      <c r="T128" s="173"/>
      <c r="U128" s="172" t="str">
        <f>IFERROR(INDEX('G-7 Rivers Data'!$H$4:$L$8,MATCH(N128,'G-7 Rivers Data'!$B$4:$B$8,0),MATCH(T128,'G-7 Rivers Data'!$H$3:$L$3,0)),"")</f>
        <v/>
      </c>
      <c r="V128" s="186"/>
      <c r="W128" s="175" t="str">
        <f>IF(V128="","",IF(VLOOKUP(V128,'G-7 Rivers Data'!$AG$4:$AI$9,2,FALSE)=0,"Spatial Data Missing",VLOOKUP(V128,'G-7 Rivers Data'!$AG$4:$AI$9,2,FALSE)))</f>
        <v/>
      </c>
      <c r="X128" s="176" t="str">
        <f>IF(V128="","",IF(VLOOKUP(V128,'G-7 Rivers Data'!$AG$4:$AI$9,3,FALSE)=0,"Spatial Data Missing",VLOOKUP(V128,'G-7 Rivers Data'!$AG$4:$AI$9,3,FALSE)))</f>
        <v/>
      </c>
      <c r="Y128" s="239" t="str">
        <f>IFERROR(IF(OR(LEFT(P128,5)="Error",LEFT(O128,5)="Error"),"Check Data",IF(F128&lt;S128,'G-7 Rivers Data'!$R$3,INDEX('G-7 Rivers Data'!$U$5:$Y$9,MATCH(G128,'G-7 Rivers Data'!$T$5:$T$9,0),MATCH(T128,'G-7 Rivers Data'!$U$4:$Y$4,0)))),"")</f>
        <v/>
      </c>
      <c r="Z128" s="275"/>
      <c r="AA128" s="275"/>
      <c r="AB128" s="175" t="str">
        <f t="shared" si="12"/>
        <v/>
      </c>
      <c r="AC128" s="262" t="str">
        <f t="shared" si="13"/>
        <v/>
      </c>
      <c r="AD128" s="382" t="str">
        <f>IFERROR(IF(AC128="Check Data","Check Data",VLOOKUP(AC128,'G-4 Temporal multipliers'!$A$4:$C$37,3,FALSE)),"")</f>
        <v/>
      </c>
      <c r="AE128" s="239" t="str">
        <f>IF(N128="","",VLOOKUP(N128,'G-7 Rivers Data'!$B$4:$G$8,5,FALSE))</f>
        <v/>
      </c>
      <c r="AF128" s="175" t="str">
        <f t="shared" si="14"/>
        <v/>
      </c>
      <c r="AG128" s="175" t="str">
        <f t="shared" si="15"/>
        <v/>
      </c>
      <c r="AH128" s="176" t="str">
        <f t="shared" si="9"/>
        <v/>
      </c>
      <c r="AI128" s="173"/>
      <c r="AJ128" s="172" t="str">
        <f>IF(AI128="","",IF(VLOOKUP(AI128,'G-7 Rivers Data'!$AA$4:$AB$7,2,FALSE)=0,"Spatial Data Missing",VLOOKUP(AI128,'G-7 Rivers Data'!$AA$4:$AB$7,2,FALSE)))</f>
        <v/>
      </c>
      <c r="AK128" s="187"/>
      <c r="AL128" s="172" t="str">
        <f>IF(AK128="","",IF(VLOOKUP(AK128,'G-7 Rivers Data'!$AD$4:$AE$8,2,FALSE)=0,"Spatial Data Missing",VLOOKUP(AK128,'G-7 Rivers Data'!$AD$4:$AE$8,2,FALSE)))</f>
        <v/>
      </c>
      <c r="AM128" s="186"/>
      <c r="AN128" s="176" t="str">
        <f>IF(AM128="","",VLOOKUP(AM128,'G-7 Rivers Data'!$AO$4:$AP$7,2,FALSE))</f>
        <v/>
      </c>
      <c r="AO128" s="265" t="str">
        <f t="shared" si="16"/>
        <v/>
      </c>
      <c r="AP128" s="180"/>
      <c r="AQ128" s="181"/>
      <c r="AX128" s="35" t="str">
        <f>IFERROR(INDEX('G-7 Rivers Data'!$AZ$3:$AZ$7,MATCH(N128,'G-7 Rivers Data'!$AY$3:$AY$7,0)),"")</f>
        <v/>
      </c>
    </row>
    <row r="129" spans="2:50" ht="13.8" x14ac:dyDescent="0.25">
      <c r="B129" s="259" t="str">
        <f>'F-1 Off Site River Baseline'!AN127</f>
        <v/>
      </c>
      <c r="C129" s="175" t="str">
        <f>IF(B129="","",VLOOKUP($B129,'F-1 Off Site River Baseline'!$C$9:$R$257,2,FALSE))</f>
        <v/>
      </c>
      <c r="D129" s="175" t="str">
        <f>IF(C129="","",VLOOKUP($B129,'F-1 Off Site River Baseline'!$C$9:$R$257,3,FALSE))</f>
        <v/>
      </c>
      <c r="E129" s="175" t="str">
        <f>IF(D129="","",VLOOKUP($B129,'F-1 Off Site River Baseline'!$C$9:$R$257,4,FALSE))</f>
        <v/>
      </c>
      <c r="F129" s="175" t="str">
        <f>IF(E129="","",VLOOKUP($B129,'F-1 Off Site River Baseline'!$C$9:$R$257,5,FALSE))</f>
        <v/>
      </c>
      <c r="G129" s="175" t="str">
        <f>IF(F129="","",VLOOKUP($B129,'F-1 Off Site River Baseline'!$C$9:$R$257,6,FALSE))</f>
        <v/>
      </c>
      <c r="H129" s="175" t="str">
        <f>IF(G129="","",VLOOKUP($B129,'F-1 Off Site River Baseline'!$C$9:$R$257,7,FALSE))</f>
        <v/>
      </c>
      <c r="I129" s="175" t="str">
        <f>IF(H129="","",VLOOKUP($B129,'F-1 Off Site River Baseline'!$C$9:$R$257,8,FALSE))</f>
        <v/>
      </c>
      <c r="J129" s="175" t="str">
        <f>IF(I129="","",VLOOKUP($B129,'F-1 Off Site River Baseline'!$C$9:$R$257,9,FALSE))</f>
        <v/>
      </c>
      <c r="K129" s="175" t="str">
        <f>IF(J129="","",VLOOKUP($B129,'F-1 Off Site River Baseline'!$C$9:$R$257,10,FALSE))</f>
        <v/>
      </c>
      <c r="L129" s="175" t="str">
        <f>IF(B129="","",VLOOKUP($B129,'C-1 Site River Baseline'!$C$9:$R$257,15,FALSE))</f>
        <v/>
      </c>
      <c r="M129" s="176" t="str">
        <f>IF(L129="","",VLOOKUP($B129,'F-1 Off Site River Baseline'!$C$9:$R$257,16,FALSE))</f>
        <v/>
      </c>
      <c r="N129" s="639" t="str">
        <f t="shared" si="10"/>
        <v/>
      </c>
      <c r="O129" s="171" t="str">
        <f t="shared" si="11"/>
        <v/>
      </c>
      <c r="P129" s="172" t="str">
        <f>IF(C129="","",IF(AND(LEFT(C129,55)&lt;&gt;LEFT(N129,55),O129="High - High"),"Error - Not like for like",IF(AND(F129=S129,H129&gt;U129),"Error - Can not reduce condition",IF(AND(F129=S129,H129=U129,AJ129='F-1 Off Site River Baseline'!N127,'F-1 Off Site River Baseline'!P127=AL129),"Error - No enhancement",IF(AND(C129&lt;&gt;N129,F129&lt;S129),"Lower Distinctiveness Habitat"&amp;" - "&amp;T129,G129&amp;" - "&amp;T129)))))</f>
        <v/>
      </c>
      <c r="Q129" s="260" t="str">
        <f>IF(N129="","",VLOOKUP(B129,'F-1 Off Site River Baseline'!$C$10:$AA$257,19,FALSE))</f>
        <v/>
      </c>
      <c r="R129" s="171" t="str">
        <f>IF(N129="","",VLOOKUP(N129,'G-7 Rivers Data'!$B$2:$G$8,2,FALSE))</f>
        <v/>
      </c>
      <c r="S129" s="172" t="str">
        <f>IFERROR(VLOOKUP(R129,'G-7 Rivers Data'!$C$4:$D$8,2,FALSE),"")</f>
        <v/>
      </c>
      <c r="T129" s="173"/>
      <c r="U129" s="172" t="str">
        <f>IFERROR(INDEX('G-7 Rivers Data'!$H$4:$L$8,MATCH(N129,'G-7 Rivers Data'!$B$4:$B$8,0),MATCH(T129,'G-7 Rivers Data'!$H$3:$L$3,0)),"")</f>
        <v/>
      </c>
      <c r="V129" s="186"/>
      <c r="W129" s="175" t="str">
        <f>IF(V129="","",IF(VLOOKUP(V129,'G-7 Rivers Data'!$AG$4:$AI$9,2,FALSE)=0,"Spatial Data Missing",VLOOKUP(V129,'G-7 Rivers Data'!$AG$4:$AI$9,2,FALSE)))</f>
        <v/>
      </c>
      <c r="X129" s="176" t="str">
        <f>IF(V129="","",IF(VLOOKUP(V129,'G-7 Rivers Data'!$AG$4:$AI$9,3,FALSE)=0,"Spatial Data Missing",VLOOKUP(V129,'G-7 Rivers Data'!$AG$4:$AI$9,3,FALSE)))</f>
        <v/>
      </c>
      <c r="Y129" s="239" t="str">
        <f>IFERROR(IF(OR(LEFT(P129,5)="Error",LEFT(O129,5)="Error"),"Check Data",IF(F129&lt;S129,'G-7 Rivers Data'!$R$3,INDEX('G-7 Rivers Data'!$U$5:$Y$9,MATCH(G129,'G-7 Rivers Data'!$T$5:$T$9,0),MATCH(T129,'G-7 Rivers Data'!$U$4:$Y$4,0)))),"")</f>
        <v/>
      </c>
      <c r="Z129" s="275"/>
      <c r="AA129" s="275"/>
      <c r="AB129" s="175" t="str">
        <f t="shared" si="12"/>
        <v/>
      </c>
      <c r="AC129" s="262" t="str">
        <f t="shared" si="13"/>
        <v/>
      </c>
      <c r="AD129" s="382" t="str">
        <f>IFERROR(IF(AC129="Check Data","Check Data",VLOOKUP(AC129,'G-4 Temporal multipliers'!$A$4:$C$37,3,FALSE)),"")</f>
        <v/>
      </c>
      <c r="AE129" s="239" t="str">
        <f>IF(N129="","",VLOOKUP(N129,'G-7 Rivers Data'!$B$4:$G$8,5,FALSE))</f>
        <v/>
      </c>
      <c r="AF129" s="175" t="str">
        <f t="shared" si="14"/>
        <v/>
      </c>
      <c r="AG129" s="175" t="str">
        <f t="shared" si="15"/>
        <v/>
      </c>
      <c r="AH129" s="176" t="str">
        <f t="shared" si="9"/>
        <v/>
      </c>
      <c r="AI129" s="173"/>
      <c r="AJ129" s="172" t="str">
        <f>IF(AI129="","",IF(VLOOKUP(AI129,'G-7 Rivers Data'!$AA$4:$AB$7,2,FALSE)=0,"Spatial Data Missing",VLOOKUP(AI129,'G-7 Rivers Data'!$AA$4:$AB$7,2,FALSE)))</f>
        <v/>
      </c>
      <c r="AK129" s="187"/>
      <c r="AL129" s="172" t="str">
        <f>IF(AK129="","",IF(VLOOKUP(AK129,'G-7 Rivers Data'!$AD$4:$AE$8,2,FALSE)=0,"Spatial Data Missing",VLOOKUP(AK129,'G-7 Rivers Data'!$AD$4:$AE$8,2,FALSE)))</f>
        <v/>
      </c>
      <c r="AM129" s="186"/>
      <c r="AN129" s="176" t="str">
        <f>IF(AM129="","",VLOOKUP(AM129,'G-7 Rivers Data'!$AO$4:$AP$7,2,FALSE))</f>
        <v/>
      </c>
      <c r="AO129" s="265" t="str">
        <f t="shared" si="16"/>
        <v/>
      </c>
      <c r="AP129" s="180"/>
      <c r="AQ129" s="181"/>
      <c r="AX129" s="35" t="str">
        <f>IFERROR(INDEX('G-7 Rivers Data'!$AZ$3:$AZ$7,MATCH(N129,'G-7 Rivers Data'!$AY$3:$AY$7,0)),"")</f>
        <v/>
      </c>
    </row>
    <row r="130" spans="2:50" ht="13.8" x14ac:dyDescent="0.25">
      <c r="B130" s="259" t="str">
        <f>'F-1 Off Site River Baseline'!AN128</f>
        <v/>
      </c>
      <c r="C130" s="175" t="str">
        <f>IF(B130="","",VLOOKUP($B130,'F-1 Off Site River Baseline'!$C$9:$R$257,2,FALSE))</f>
        <v/>
      </c>
      <c r="D130" s="175" t="str">
        <f>IF(C130="","",VLOOKUP($B130,'F-1 Off Site River Baseline'!$C$9:$R$257,3,FALSE))</f>
        <v/>
      </c>
      <c r="E130" s="175" t="str">
        <f>IF(D130="","",VLOOKUP($B130,'F-1 Off Site River Baseline'!$C$9:$R$257,4,FALSE))</f>
        <v/>
      </c>
      <c r="F130" s="175" t="str">
        <f>IF(E130="","",VLOOKUP($B130,'F-1 Off Site River Baseline'!$C$9:$R$257,5,FALSE))</f>
        <v/>
      </c>
      <c r="G130" s="175" t="str">
        <f>IF(F130="","",VLOOKUP($B130,'F-1 Off Site River Baseline'!$C$9:$R$257,6,FALSE))</f>
        <v/>
      </c>
      <c r="H130" s="175" t="str">
        <f>IF(G130="","",VLOOKUP($B130,'F-1 Off Site River Baseline'!$C$9:$R$257,7,FALSE))</f>
        <v/>
      </c>
      <c r="I130" s="175" t="str">
        <f>IF(H130="","",VLOOKUP($B130,'F-1 Off Site River Baseline'!$C$9:$R$257,8,FALSE))</f>
        <v/>
      </c>
      <c r="J130" s="175" t="str">
        <f>IF(I130="","",VLOOKUP($B130,'F-1 Off Site River Baseline'!$C$9:$R$257,9,FALSE))</f>
        <v/>
      </c>
      <c r="K130" s="175" t="str">
        <f>IF(J130="","",VLOOKUP($B130,'F-1 Off Site River Baseline'!$C$9:$R$257,10,FALSE))</f>
        <v/>
      </c>
      <c r="L130" s="175" t="str">
        <f>IF(B130="","",VLOOKUP($B130,'C-1 Site River Baseline'!$C$9:$R$257,15,FALSE))</f>
        <v/>
      </c>
      <c r="M130" s="176" t="str">
        <f>IF(L130="","",VLOOKUP($B130,'F-1 Off Site River Baseline'!$C$9:$R$257,16,FALSE))</f>
        <v/>
      </c>
      <c r="N130" s="639" t="str">
        <f t="shared" si="10"/>
        <v/>
      </c>
      <c r="O130" s="171" t="str">
        <f t="shared" si="11"/>
        <v/>
      </c>
      <c r="P130" s="172" t="str">
        <f>IF(C130="","",IF(AND(LEFT(C130,55)&lt;&gt;LEFT(N130,55),O130="High - High"),"Error - Not like for like",IF(AND(F130=S130,H130&gt;U130),"Error - Can not reduce condition",IF(AND(F130=S130,H130=U130,AJ130='F-1 Off Site River Baseline'!N128,'F-1 Off Site River Baseline'!P128=AL130),"Error - No enhancement",IF(AND(C130&lt;&gt;N130,F130&lt;S130),"Lower Distinctiveness Habitat"&amp;" - "&amp;T130,G130&amp;" - "&amp;T130)))))</f>
        <v/>
      </c>
      <c r="Q130" s="260" t="str">
        <f>IF(N130="","",VLOOKUP(B130,'F-1 Off Site River Baseline'!$C$10:$AA$257,19,FALSE))</f>
        <v/>
      </c>
      <c r="R130" s="171" t="str">
        <f>IF(N130="","",VLOOKUP(N130,'G-7 Rivers Data'!$B$2:$G$8,2,FALSE))</f>
        <v/>
      </c>
      <c r="S130" s="172" t="str">
        <f>IFERROR(VLOOKUP(R130,'G-7 Rivers Data'!$C$4:$D$8,2,FALSE),"")</f>
        <v/>
      </c>
      <c r="T130" s="173"/>
      <c r="U130" s="172" t="str">
        <f>IFERROR(INDEX('G-7 Rivers Data'!$H$4:$L$8,MATCH(N130,'G-7 Rivers Data'!$B$4:$B$8,0),MATCH(T130,'G-7 Rivers Data'!$H$3:$L$3,0)),"")</f>
        <v/>
      </c>
      <c r="V130" s="186"/>
      <c r="W130" s="175" t="str">
        <f>IF(V130="","",IF(VLOOKUP(V130,'G-7 Rivers Data'!$AG$4:$AI$9,2,FALSE)=0,"Spatial Data Missing",VLOOKUP(V130,'G-7 Rivers Data'!$AG$4:$AI$9,2,FALSE)))</f>
        <v/>
      </c>
      <c r="X130" s="176" t="str">
        <f>IF(V130="","",IF(VLOOKUP(V130,'G-7 Rivers Data'!$AG$4:$AI$9,3,FALSE)=0,"Spatial Data Missing",VLOOKUP(V130,'G-7 Rivers Data'!$AG$4:$AI$9,3,FALSE)))</f>
        <v/>
      </c>
      <c r="Y130" s="239" t="str">
        <f>IFERROR(IF(OR(LEFT(P130,5)="Error",LEFT(O130,5)="Error"),"Check Data",IF(F130&lt;S130,'G-7 Rivers Data'!$R$3,INDEX('G-7 Rivers Data'!$U$5:$Y$9,MATCH(G130,'G-7 Rivers Data'!$T$5:$T$9,0),MATCH(T130,'G-7 Rivers Data'!$U$4:$Y$4,0)))),"")</f>
        <v/>
      </c>
      <c r="Z130" s="275"/>
      <c r="AA130" s="275"/>
      <c r="AB130" s="175" t="str">
        <f t="shared" si="12"/>
        <v/>
      </c>
      <c r="AC130" s="262" t="str">
        <f t="shared" si="13"/>
        <v/>
      </c>
      <c r="AD130" s="382" t="str">
        <f>IFERROR(IF(AC130="Check Data","Check Data",VLOOKUP(AC130,'G-4 Temporal multipliers'!$A$4:$C$37,3,FALSE)),"")</f>
        <v/>
      </c>
      <c r="AE130" s="239" t="str">
        <f>IF(N130="","",VLOOKUP(N130,'G-7 Rivers Data'!$B$4:$G$8,5,FALSE))</f>
        <v/>
      </c>
      <c r="AF130" s="175" t="str">
        <f t="shared" si="14"/>
        <v/>
      </c>
      <c r="AG130" s="175" t="str">
        <f t="shared" si="15"/>
        <v/>
      </c>
      <c r="AH130" s="176" t="str">
        <f t="shared" si="9"/>
        <v/>
      </c>
      <c r="AI130" s="173"/>
      <c r="AJ130" s="172" t="str">
        <f>IF(AI130="","",IF(VLOOKUP(AI130,'G-7 Rivers Data'!$AA$4:$AB$7,2,FALSE)=0,"Spatial Data Missing",VLOOKUP(AI130,'G-7 Rivers Data'!$AA$4:$AB$7,2,FALSE)))</f>
        <v/>
      </c>
      <c r="AK130" s="187"/>
      <c r="AL130" s="172" t="str">
        <f>IF(AK130="","",IF(VLOOKUP(AK130,'G-7 Rivers Data'!$AD$4:$AE$8,2,FALSE)=0,"Spatial Data Missing",VLOOKUP(AK130,'G-7 Rivers Data'!$AD$4:$AE$8,2,FALSE)))</f>
        <v/>
      </c>
      <c r="AM130" s="186"/>
      <c r="AN130" s="176" t="str">
        <f>IF(AM130="","",VLOOKUP(AM130,'G-7 Rivers Data'!$AO$4:$AP$7,2,FALSE))</f>
        <v/>
      </c>
      <c r="AO130" s="265" t="str">
        <f t="shared" si="16"/>
        <v/>
      </c>
      <c r="AP130" s="180"/>
      <c r="AQ130" s="181"/>
      <c r="AX130" s="35" t="str">
        <f>IFERROR(INDEX('G-7 Rivers Data'!$AZ$3:$AZ$7,MATCH(N130,'G-7 Rivers Data'!$AY$3:$AY$7,0)),"")</f>
        <v/>
      </c>
    </row>
    <row r="131" spans="2:50" ht="13.8" x14ac:dyDescent="0.25">
      <c r="B131" s="259" t="str">
        <f>'F-1 Off Site River Baseline'!AN129</f>
        <v/>
      </c>
      <c r="C131" s="175" t="str">
        <f>IF(B131="","",VLOOKUP($B131,'F-1 Off Site River Baseline'!$C$9:$R$257,2,FALSE))</f>
        <v/>
      </c>
      <c r="D131" s="175" t="str">
        <f>IF(C131="","",VLOOKUP($B131,'F-1 Off Site River Baseline'!$C$9:$R$257,3,FALSE))</f>
        <v/>
      </c>
      <c r="E131" s="175" t="str">
        <f>IF(D131="","",VLOOKUP($B131,'F-1 Off Site River Baseline'!$C$9:$R$257,4,FALSE))</f>
        <v/>
      </c>
      <c r="F131" s="175" t="str">
        <f>IF(E131="","",VLOOKUP($B131,'F-1 Off Site River Baseline'!$C$9:$R$257,5,FALSE))</f>
        <v/>
      </c>
      <c r="G131" s="175" t="str">
        <f>IF(F131="","",VLOOKUP($B131,'F-1 Off Site River Baseline'!$C$9:$R$257,6,FALSE))</f>
        <v/>
      </c>
      <c r="H131" s="175" t="str">
        <f>IF(G131="","",VLOOKUP($B131,'F-1 Off Site River Baseline'!$C$9:$R$257,7,FALSE))</f>
        <v/>
      </c>
      <c r="I131" s="175" t="str">
        <f>IF(H131="","",VLOOKUP($B131,'F-1 Off Site River Baseline'!$C$9:$R$257,8,FALSE))</f>
        <v/>
      </c>
      <c r="J131" s="175" t="str">
        <f>IF(I131="","",VLOOKUP($B131,'F-1 Off Site River Baseline'!$C$9:$R$257,9,FALSE))</f>
        <v/>
      </c>
      <c r="K131" s="175" t="str">
        <f>IF(J131="","",VLOOKUP($B131,'F-1 Off Site River Baseline'!$C$9:$R$257,10,FALSE))</f>
        <v/>
      </c>
      <c r="L131" s="175" t="str">
        <f>IF(B131="","",VLOOKUP($B131,'C-1 Site River Baseline'!$C$9:$R$257,15,FALSE))</f>
        <v/>
      </c>
      <c r="M131" s="176" t="str">
        <f>IF(L131="","",VLOOKUP($B131,'F-1 Off Site River Baseline'!$C$9:$R$257,16,FALSE))</f>
        <v/>
      </c>
      <c r="N131" s="639" t="str">
        <f t="shared" si="10"/>
        <v/>
      </c>
      <c r="O131" s="171" t="str">
        <f t="shared" si="11"/>
        <v/>
      </c>
      <c r="P131" s="172" t="str">
        <f>IF(C131="","",IF(AND(LEFT(C131,55)&lt;&gt;LEFT(N131,55),O131="High - High"),"Error - Not like for like",IF(AND(F131=S131,H131&gt;U131),"Error - Can not reduce condition",IF(AND(F131=S131,H131=U131,AJ131='F-1 Off Site River Baseline'!N129,'F-1 Off Site River Baseline'!P129=AL131),"Error - No enhancement",IF(AND(C131&lt;&gt;N131,F131&lt;S131),"Lower Distinctiveness Habitat"&amp;" - "&amp;T131,G131&amp;" - "&amp;T131)))))</f>
        <v/>
      </c>
      <c r="Q131" s="260" t="str">
        <f>IF(N131="","",VLOOKUP(B131,'F-1 Off Site River Baseline'!$C$10:$AA$257,19,FALSE))</f>
        <v/>
      </c>
      <c r="R131" s="171" t="str">
        <f>IF(N131="","",VLOOKUP(N131,'G-7 Rivers Data'!$B$2:$G$8,2,FALSE))</f>
        <v/>
      </c>
      <c r="S131" s="172" t="str">
        <f>IFERROR(VLOOKUP(R131,'G-7 Rivers Data'!$C$4:$D$8,2,FALSE),"")</f>
        <v/>
      </c>
      <c r="T131" s="173"/>
      <c r="U131" s="172" t="str">
        <f>IFERROR(INDEX('G-7 Rivers Data'!$H$4:$L$8,MATCH(N131,'G-7 Rivers Data'!$B$4:$B$8,0),MATCH(T131,'G-7 Rivers Data'!$H$3:$L$3,0)),"")</f>
        <v/>
      </c>
      <c r="V131" s="186"/>
      <c r="W131" s="175" t="str">
        <f>IF(V131="","",IF(VLOOKUP(V131,'G-7 Rivers Data'!$AG$4:$AI$9,2,FALSE)=0,"Spatial Data Missing",VLOOKUP(V131,'G-7 Rivers Data'!$AG$4:$AI$9,2,FALSE)))</f>
        <v/>
      </c>
      <c r="X131" s="176" t="str">
        <f>IF(V131="","",IF(VLOOKUP(V131,'G-7 Rivers Data'!$AG$4:$AI$9,3,FALSE)=0,"Spatial Data Missing",VLOOKUP(V131,'G-7 Rivers Data'!$AG$4:$AI$9,3,FALSE)))</f>
        <v/>
      </c>
      <c r="Y131" s="239" t="str">
        <f>IFERROR(IF(OR(LEFT(P131,5)="Error",LEFT(O131,5)="Error"),"Check Data",IF(F131&lt;S131,'G-7 Rivers Data'!$R$3,INDEX('G-7 Rivers Data'!$U$5:$Y$9,MATCH(G131,'G-7 Rivers Data'!$T$5:$T$9,0),MATCH(T131,'G-7 Rivers Data'!$U$4:$Y$4,0)))),"")</f>
        <v/>
      </c>
      <c r="Z131" s="275"/>
      <c r="AA131" s="275"/>
      <c r="AB131" s="175" t="str">
        <f t="shared" si="12"/>
        <v/>
      </c>
      <c r="AC131" s="262" t="str">
        <f t="shared" si="13"/>
        <v/>
      </c>
      <c r="AD131" s="382" t="str">
        <f>IFERROR(IF(AC131="Check Data","Check Data",VLOOKUP(AC131,'G-4 Temporal multipliers'!$A$4:$C$37,3,FALSE)),"")</f>
        <v/>
      </c>
      <c r="AE131" s="239" t="str">
        <f>IF(N131="","",VLOOKUP(N131,'G-7 Rivers Data'!$B$4:$G$8,5,FALSE))</f>
        <v/>
      </c>
      <c r="AF131" s="175" t="str">
        <f t="shared" si="14"/>
        <v/>
      </c>
      <c r="AG131" s="175" t="str">
        <f t="shared" si="15"/>
        <v/>
      </c>
      <c r="AH131" s="176" t="str">
        <f t="shared" si="9"/>
        <v/>
      </c>
      <c r="AI131" s="173"/>
      <c r="AJ131" s="172" t="str">
        <f>IF(AI131="","",IF(VLOOKUP(AI131,'G-7 Rivers Data'!$AA$4:$AB$7,2,FALSE)=0,"Spatial Data Missing",VLOOKUP(AI131,'G-7 Rivers Data'!$AA$4:$AB$7,2,FALSE)))</f>
        <v/>
      </c>
      <c r="AK131" s="187"/>
      <c r="AL131" s="172" t="str">
        <f>IF(AK131="","",IF(VLOOKUP(AK131,'G-7 Rivers Data'!$AD$4:$AE$8,2,FALSE)=0,"Spatial Data Missing",VLOOKUP(AK131,'G-7 Rivers Data'!$AD$4:$AE$8,2,FALSE)))</f>
        <v/>
      </c>
      <c r="AM131" s="186"/>
      <c r="AN131" s="176" t="str">
        <f>IF(AM131="","",VLOOKUP(AM131,'G-7 Rivers Data'!$AO$4:$AP$7,2,FALSE))</f>
        <v/>
      </c>
      <c r="AO131" s="265" t="str">
        <f t="shared" si="16"/>
        <v/>
      </c>
      <c r="AP131" s="180"/>
      <c r="AQ131" s="181"/>
      <c r="AX131" s="35" t="str">
        <f>IFERROR(INDEX('G-7 Rivers Data'!$AZ$3:$AZ$7,MATCH(N131,'G-7 Rivers Data'!$AY$3:$AY$7,0)),"")</f>
        <v/>
      </c>
    </row>
    <row r="132" spans="2:50" ht="13.8" x14ac:dyDescent="0.25">
      <c r="B132" s="259" t="str">
        <f>'F-1 Off Site River Baseline'!AN130</f>
        <v/>
      </c>
      <c r="C132" s="175" t="str">
        <f>IF(B132="","",VLOOKUP($B132,'F-1 Off Site River Baseline'!$C$9:$R$257,2,FALSE))</f>
        <v/>
      </c>
      <c r="D132" s="175" t="str">
        <f>IF(C132="","",VLOOKUP($B132,'F-1 Off Site River Baseline'!$C$9:$R$257,3,FALSE))</f>
        <v/>
      </c>
      <c r="E132" s="175" t="str">
        <f>IF(D132="","",VLOOKUP($B132,'F-1 Off Site River Baseline'!$C$9:$R$257,4,FALSE))</f>
        <v/>
      </c>
      <c r="F132" s="175" t="str">
        <f>IF(E132="","",VLOOKUP($B132,'F-1 Off Site River Baseline'!$C$9:$R$257,5,FALSE))</f>
        <v/>
      </c>
      <c r="G132" s="175" t="str">
        <f>IF(F132="","",VLOOKUP($B132,'F-1 Off Site River Baseline'!$C$9:$R$257,6,FALSE))</f>
        <v/>
      </c>
      <c r="H132" s="175" t="str">
        <f>IF(G132="","",VLOOKUP($B132,'F-1 Off Site River Baseline'!$C$9:$R$257,7,FALSE))</f>
        <v/>
      </c>
      <c r="I132" s="175" t="str">
        <f>IF(H132="","",VLOOKUP($B132,'F-1 Off Site River Baseline'!$C$9:$R$257,8,FALSE))</f>
        <v/>
      </c>
      <c r="J132" s="175" t="str">
        <f>IF(I132="","",VLOOKUP($B132,'F-1 Off Site River Baseline'!$C$9:$R$257,9,FALSE))</f>
        <v/>
      </c>
      <c r="K132" s="175" t="str">
        <f>IF(J132="","",VLOOKUP($B132,'F-1 Off Site River Baseline'!$C$9:$R$257,10,FALSE))</f>
        <v/>
      </c>
      <c r="L132" s="175" t="str">
        <f>IF(B132="","",VLOOKUP($B132,'C-1 Site River Baseline'!$C$9:$R$257,15,FALSE))</f>
        <v/>
      </c>
      <c r="M132" s="176" t="str">
        <f>IF(L132="","",VLOOKUP($B132,'F-1 Off Site River Baseline'!$C$9:$R$257,16,FALSE))</f>
        <v/>
      </c>
      <c r="N132" s="639" t="str">
        <f t="shared" si="10"/>
        <v/>
      </c>
      <c r="O132" s="171" t="str">
        <f t="shared" si="11"/>
        <v/>
      </c>
      <c r="P132" s="172" t="str">
        <f>IF(C132="","",IF(AND(LEFT(C132,55)&lt;&gt;LEFT(N132,55),O132="High - High"),"Error - Not like for like",IF(AND(F132=S132,H132&gt;U132),"Error - Can not reduce condition",IF(AND(F132=S132,H132=U132,AJ132='F-1 Off Site River Baseline'!N130,'F-1 Off Site River Baseline'!P130=AL132),"Error - No enhancement",IF(AND(C132&lt;&gt;N132,F132&lt;S132),"Lower Distinctiveness Habitat"&amp;" - "&amp;T132,G132&amp;" - "&amp;T132)))))</f>
        <v/>
      </c>
      <c r="Q132" s="260" t="str">
        <f>IF(N132="","",VLOOKUP(B132,'F-1 Off Site River Baseline'!$C$10:$AA$257,19,FALSE))</f>
        <v/>
      </c>
      <c r="R132" s="171" t="str">
        <f>IF(N132="","",VLOOKUP(N132,'G-7 Rivers Data'!$B$2:$G$8,2,FALSE))</f>
        <v/>
      </c>
      <c r="S132" s="172" t="str">
        <f>IFERROR(VLOOKUP(R132,'G-7 Rivers Data'!$C$4:$D$8,2,FALSE),"")</f>
        <v/>
      </c>
      <c r="T132" s="173"/>
      <c r="U132" s="172" t="str">
        <f>IFERROR(INDEX('G-7 Rivers Data'!$H$4:$L$8,MATCH(N132,'G-7 Rivers Data'!$B$4:$B$8,0),MATCH(T132,'G-7 Rivers Data'!$H$3:$L$3,0)),"")</f>
        <v/>
      </c>
      <c r="V132" s="186"/>
      <c r="W132" s="175" t="str">
        <f>IF(V132="","",IF(VLOOKUP(V132,'G-7 Rivers Data'!$AG$4:$AI$9,2,FALSE)=0,"Spatial Data Missing",VLOOKUP(V132,'G-7 Rivers Data'!$AG$4:$AI$9,2,FALSE)))</f>
        <v/>
      </c>
      <c r="X132" s="176" t="str">
        <f>IF(V132="","",IF(VLOOKUP(V132,'G-7 Rivers Data'!$AG$4:$AI$9,3,FALSE)=0,"Spatial Data Missing",VLOOKUP(V132,'G-7 Rivers Data'!$AG$4:$AI$9,3,FALSE)))</f>
        <v/>
      </c>
      <c r="Y132" s="239" t="str">
        <f>IFERROR(IF(OR(LEFT(P132,5)="Error",LEFT(O132,5)="Error"),"Check Data",IF(F132&lt;S132,'G-7 Rivers Data'!$R$3,INDEX('G-7 Rivers Data'!$U$5:$Y$9,MATCH(G132,'G-7 Rivers Data'!$T$5:$T$9,0),MATCH(T132,'G-7 Rivers Data'!$U$4:$Y$4,0)))),"")</f>
        <v/>
      </c>
      <c r="Z132" s="275"/>
      <c r="AA132" s="275"/>
      <c r="AB132" s="175" t="str">
        <f t="shared" si="12"/>
        <v/>
      </c>
      <c r="AC132" s="262" t="str">
        <f t="shared" si="13"/>
        <v/>
      </c>
      <c r="AD132" s="382" t="str">
        <f>IFERROR(IF(AC132="Check Data","Check Data",VLOOKUP(AC132,'G-4 Temporal multipliers'!$A$4:$C$37,3,FALSE)),"")</f>
        <v/>
      </c>
      <c r="AE132" s="239" t="str">
        <f>IF(N132="","",VLOOKUP(N132,'G-7 Rivers Data'!$B$4:$G$8,5,FALSE))</f>
        <v/>
      </c>
      <c r="AF132" s="175" t="str">
        <f t="shared" si="14"/>
        <v/>
      </c>
      <c r="AG132" s="175" t="str">
        <f t="shared" si="15"/>
        <v/>
      </c>
      <c r="AH132" s="176" t="str">
        <f t="shared" si="9"/>
        <v/>
      </c>
      <c r="AI132" s="173"/>
      <c r="AJ132" s="172" t="str">
        <f>IF(AI132="","",IF(VLOOKUP(AI132,'G-7 Rivers Data'!$AA$4:$AB$7,2,FALSE)=0,"Spatial Data Missing",VLOOKUP(AI132,'G-7 Rivers Data'!$AA$4:$AB$7,2,FALSE)))</f>
        <v/>
      </c>
      <c r="AK132" s="187"/>
      <c r="AL132" s="172" t="str">
        <f>IF(AK132="","",IF(VLOOKUP(AK132,'G-7 Rivers Data'!$AD$4:$AE$8,2,FALSE)=0,"Spatial Data Missing",VLOOKUP(AK132,'G-7 Rivers Data'!$AD$4:$AE$8,2,FALSE)))</f>
        <v/>
      </c>
      <c r="AM132" s="186"/>
      <c r="AN132" s="176" t="str">
        <f>IF(AM132="","",VLOOKUP(AM132,'G-7 Rivers Data'!$AO$4:$AP$7,2,FALSE))</f>
        <v/>
      </c>
      <c r="AO132" s="265" t="str">
        <f t="shared" si="16"/>
        <v/>
      </c>
      <c r="AP132" s="180"/>
      <c r="AQ132" s="181"/>
      <c r="AX132" s="35" t="str">
        <f>IFERROR(INDEX('G-7 Rivers Data'!$AZ$3:$AZ$7,MATCH(N132,'G-7 Rivers Data'!$AY$3:$AY$7,0)),"")</f>
        <v/>
      </c>
    </row>
    <row r="133" spans="2:50" ht="13.8" x14ac:dyDescent="0.25">
      <c r="B133" s="259" t="str">
        <f>'F-1 Off Site River Baseline'!AN131</f>
        <v/>
      </c>
      <c r="C133" s="175" t="str">
        <f>IF(B133="","",VLOOKUP($B133,'F-1 Off Site River Baseline'!$C$9:$R$257,2,FALSE))</f>
        <v/>
      </c>
      <c r="D133" s="175" t="str">
        <f>IF(C133="","",VLOOKUP($B133,'F-1 Off Site River Baseline'!$C$9:$R$257,3,FALSE))</f>
        <v/>
      </c>
      <c r="E133" s="175" t="str">
        <f>IF(D133="","",VLOOKUP($B133,'F-1 Off Site River Baseline'!$C$9:$R$257,4,FALSE))</f>
        <v/>
      </c>
      <c r="F133" s="175" t="str">
        <f>IF(E133="","",VLOOKUP($B133,'F-1 Off Site River Baseline'!$C$9:$R$257,5,FALSE))</f>
        <v/>
      </c>
      <c r="G133" s="175" t="str">
        <f>IF(F133="","",VLOOKUP($B133,'F-1 Off Site River Baseline'!$C$9:$R$257,6,FALSE))</f>
        <v/>
      </c>
      <c r="H133" s="175" t="str">
        <f>IF(G133="","",VLOOKUP($B133,'F-1 Off Site River Baseline'!$C$9:$R$257,7,FALSE))</f>
        <v/>
      </c>
      <c r="I133" s="175" t="str">
        <f>IF(H133="","",VLOOKUP($B133,'F-1 Off Site River Baseline'!$C$9:$R$257,8,FALSE))</f>
        <v/>
      </c>
      <c r="J133" s="175" t="str">
        <f>IF(I133="","",VLOOKUP($B133,'F-1 Off Site River Baseline'!$C$9:$R$257,9,FALSE))</f>
        <v/>
      </c>
      <c r="K133" s="175" t="str">
        <f>IF(J133="","",VLOOKUP($B133,'F-1 Off Site River Baseline'!$C$9:$R$257,10,FALSE))</f>
        <v/>
      </c>
      <c r="L133" s="175" t="str">
        <f>IF(B133="","",VLOOKUP($B133,'C-1 Site River Baseline'!$C$9:$R$257,15,FALSE))</f>
        <v/>
      </c>
      <c r="M133" s="176" t="str">
        <f>IF(L133="","",VLOOKUP($B133,'F-1 Off Site River Baseline'!$C$9:$R$257,16,FALSE))</f>
        <v/>
      </c>
      <c r="N133" s="639" t="str">
        <f t="shared" si="10"/>
        <v/>
      </c>
      <c r="O133" s="171" t="str">
        <f t="shared" si="11"/>
        <v/>
      </c>
      <c r="P133" s="172" t="str">
        <f>IF(C133="","",IF(AND(LEFT(C133,55)&lt;&gt;LEFT(N133,55),O133="High - High"),"Error - Not like for like",IF(AND(F133=S133,H133&gt;U133),"Error - Can not reduce condition",IF(AND(F133=S133,H133=U133,AJ133='F-1 Off Site River Baseline'!N131,'F-1 Off Site River Baseline'!P131=AL133),"Error - No enhancement",IF(AND(C133&lt;&gt;N133,F133&lt;S133),"Lower Distinctiveness Habitat"&amp;" - "&amp;T133,G133&amp;" - "&amp;T133)))))</f>
        <v/>
      </c>
      <c r="Q133" s="260" t="str">
        <f>IF(N133="","",VLOOKUP(B133,'F-1 Off Site River Baseline'!$C$10:$AA$257,19,FALSE))</f>
        <v/>
      </c>
      <c r="R133" s="171" t="str">
        <f>IF(N133="","",VLOOKUP(N133,'G-7 Rivers Data'!$B$2:$G$8,2,FALSE))</f>
        <v/>
      </c>
      <c r="S133" s="172" t="str">
        <f>IFERROR(VLOOKUP(R133,'G-7 Rivers Data'!$C$4:$D$8,2,FALSE),"")</f>
        <v/>
      </c>
      <c r="T133" s="173"/>
      <c r="U133" s="172" t="str">
        <f>IFERROR(INDEX('G-7 Rivers Data'!$H$4:$L$8,MATCH(N133,'G-7 Rivers Data'!$B$4:$B$8,0),MATCH(T133,'G-7 Rivers Data'!$H$3:$L$3,0)),"")</f>
        <v/>
      </c>
      <c r="V133" s="186"/>
      <c r="W133" s="175" t="str">
        <f>IF(V133="","",IF(VLOOKUP(V133,'G-7 Rivers Data'!$AG$4:$AI$9,2,FALSE)=0,"Spatial Data Missing",VLOOKUP(V133,'G-7 Rivers Data'!$AG$4:$AI$9,2,FALSE)))</f>
        <v/>
      </c>
      <c r="X133" s="176" t="str">
        <f>IF(V133="","",IF(VLOOKUP(V133,'G-7 Rivers Data'!$AG$4:$AI$9,3,FALSE)=0,"Spatial Data Missing",VLOOKUP(V133,'G-7 Rivers Data'!$AG$4:$AI$9,3,FALSE)))</f>
        <v/>
      </c>
      <c r="Y133" s="239" t="str">
        <f>IFERROR(IF(OR(LEFT(P133,5)="Error",LEFT(O133,5)="Error"),"Check Data",IF(F133&lt;S133,'G-7 Rivers Data'!$R$3,INDEX('G-7 Rivers Data'!$U$5:$Y$9,MATCH(G133,'G-7 Rivers Data'!$T$5:$T$9,0),MATCH(T133,'G-7 Rivers Data'!$U$4:$Y$4,0)))),"")</f>
        <v/>
      </c>
      <c r="Z133" s="275"/>
      <c r="AA133" s="275"/>
      <c r="AB133" s="175" t="str">
        <f t="shared" si="12"/>
        <v/>
      </c>
      <c r="AC133" s="262" t="str">
        <f t="shared" si="13"/>
        <v/>
      </c>
      <c r="AD133" s="382" t="str">
        <f>IFERROR(IF(AC133="Check Data","Check Data",VLOOKUP(AC133,'G-4 Temporal multipliers'!$A$4:$C$37,3,FALSE)),"")</f>
        <v/>
      </c>
      <c r="AE133" s="239" t="str">
        <f>IF(N133="","",VLOOKUP(N133,'G-7 Rivers Data'!$B$4:$G$8,5,FALSE))</f>
        <v/>
      </c>
      <c r="AF133" s="175" t="str">
        <f t="shared" si="14"/>
        <v/>
      </c>
      <c r="AG133" s="175" t="str">
        <f t="shared" si="15"/>
        <v/>
      </c>
      <c r="AH133" s="176" t="str">
        <f t="shared" si="9"/>
        <v/>
      </c>
      <c r="AI133" s="173"/>
      <c r="AJ133" s="172" t="str">
        <f>IF(AI133="","",IF(VLOOKUP(AI133,'G-7 Rivers Data'!$AA$4:$AB$7,2,FALSE)=0,"Spatial Data Missing",VLOOKUP(AI133,'G-7 Rivers Data'!$AA$4:$AB$7,2,FALSE)))</f>
        <v/>
      </c>
      <c r="AK133" s="187"/>
      <c r="AL133" s="172" t="str">
        <f>IF(AK133="","",IF(VLOOKUP(AK133,'G-7 Rivers Data'!$AD$4:$AE$8,2,FALSE)=0,"Spatial Data Missing",VLOOKUP(AK133,'G-7 Rivers Data'!$AD$4:$AE$8,2,FALSE)))</f>
        <v/>
      </c>
      <c r="AM133" s="186"/>
      <c r="AN133" s="176" t="str">
        <f>IF(AM133="","",VLOOKUP(AM133,'G-7 Rivers Data'!$AO$4:$AP$7,2,FALSE))</f>
        <v/>
      </c>
      <c r="AO133" s="265" t="str">
        <f t="shared" si="16"/>
        <v/>
      </c>
      <c r="AP133" s="180"/>
      <c r="AQ133" s="181"/>
      <c r="AX133" s="35" t="str">
        <f>IFERROR(INDEX('G-7 Rivers Data'!$AZ$3:$AZ$7,MATCH(N133,'G-7 Rivers Data'!$AY$3:$AY$7,0)),"")</f>
        <v/>
      </c>
    </row>
    <row r="134" spans="2:50" ht="13.8" x14ac:dyDescent="0.25">
      <c r="B134" s="259" t="str">
        <f>'F-1 Off Site River Baseline'!AN132</f>
        <v/>
      </c>
      <c r="C134" s="175" t="str">
        <f>IF(B134="","",VLOOKUP($B134,'F-1 Off Site River Baseline'!$C$9:$R$257,2,FALSE))</f>
        <v/>
      </c>
      <c r="D134" s="175" t="str">
        <f>IF(C134="","",VLOOKUP($B134,'F-1 Off Site River Baseline'!$C$9:$R$257,3,FALSE))</f>
        <v/>
      </c>
      <c r="E134" s="175" t="str">
        <f>IF(D134="","",VLOOKUP($B134,'F-1 Off Site River Baseline'!$C$9:$R$257,4,FALSE))</f>
        <v/>
      </c>
      <c r="F134" s="175" t="str">
        <f>IF(E134="","",VLOOKUP($B134,'F-1 Off Site River Baseline'!$C$9:$R$257,5,FALSE))</f>
        <v/>
      </c>
      <c r="G134" s="175" t="str">
        <f>IF(F134="","",VLOOKUP($B134,'F-1 Off Site River Baseline'!$C$9:$R$257,6,FALSE))</f>
        <v/>
      </c>
      <c r="H134" s="175" t="str">
        <f>IF(G134="","",VLOOKUP($B134,'F-1 Off Site River Baseline'!$C$9:$R$257,7,FALSE))</f>
        <v/>
      </c>
      <c r="I134" s="175" t="str">
        <f>IF(H134="","",VLOOKUP($B134,'F-1 Off Site River Baseline'!$C$9:$R$257,8,FALSE))</f>
        <v/>
      </c>
      <c r="J134" s="175" t="str">
        <f>IF(I134="","",VLOOKUP($B134,'F-1 Off Site River Baseline'!$C$9:$R$257,9,FALSE))</f>
        <v/>
      </c>
      <c r="K134" s="175" t="str">
        <f>IF(J134="","",VLOOKUP($B134,'F-1 Off Site River Baseline'!$C$9:$R$257,10,FALSE))</f>
        <v/>
      </c>
      <c r="L134" s="175" t="str">
        <f>IF(B134="","",VLOOKUP($B134,'C-1 Site River Baseline'!$C$9:$R$257,15,FALSE))</f>
        <v/>
      </c>
      <c r="M134" s="176" t="str">
        <f>IF(L134="","",VLOOKUP($B134,'F-1 Off Site River Baseline'!$C$9:$R$257,16,FALSE))</f>
        <v/>
      </c>
      <c r="N134" s="639" t="str">
        <f t="shared" si="10"/>
        <v/>
      </c>
      <c r="O134" s="171" t="str">
        <f t="shared" si="11"/>
        <v/>
      </c>
      <c r="P134" s="172" t="str">
        <f>IF(C134="","",IF(AND(LEFT(C134,55)&lt;&gt;LEFT(N134,55),O134="High - High"),"Error - Not like for like",IF(AND(F134=S134,H134&gt;U134),"Error - Can not reduce condition",IF(AND(F134=S134,H134=U134,AJ134='F-1 Off Site River Baseline'!N132,'F-1 Off Site River Baseline'!P132=AL134),"Error - No enhancement",IF(AND(C134&lt;&gt;N134,F134&lt;S134),"Lower Distinctiveness Habitat"&amp;" - "&amp;T134,G134&amp;" - "&amp;T134)))))</f>
        <v/>
      </c>
      <c r="Q134" s="260" t="str">
        <f>IF(N134="","",VLOOKUP(B134,'F-1 Off Site River Baseline'!$C$10:$AA$257,19,FALSE))</f>
        <v/>
      </c>
      <c r="R134" s="171" t="str">
        <f>IF(N134="","",VLOOKUP(N134,'G-7 Rivers Data'!$B$2:$G$8,2,FALSE))</f>
        <v/>
      </c>
      <c r="S134" s="172" t="str">
        <f>IFERROR(VLOOKUP(R134,'G-7 Rivers Data'!$C$4:$D$8,2,FALSE),"")</f>
        <v/>
      </c>
      <c r="T134" s="173"/>
      <c r="U134" s="172" t="str">
        <f>IFERROR(INDEX('G-7 Rivers Data'!$H$4:$L$8,MATCH(N134,'G-7 Rivers Data'!$B$4:$B$8,0),MATCH(T134,'G-7 Rivers Data'!$H$3:$L$3,0)),"")</f>
        <v/>
      </c>
      <c r="V134" s="186"/>
      <c r="W134" s="175" t="str">
        <f>IF(V134="","",IF(VLOOKUP(V134,'G-7 Rivers Data'!$AG$4:$AI$9,2,FALSE)=0,"Spatial Data Missing",VLOOKUP(V134,'G-7 Rivers Data'!$AG$4:$AI$9,2,FALSE)))</f>
        <v/>
      </c>
      <c r="X134" s="176" t="str">
        <f>IF(V134="","",IF(VLOOKUP(V134,'G-7 Rivers Data'!$AG$4:$AI$9,3,FALSE)=0,"Spatial Data Missing",VLOOKUP(V134,'G-7 Rivers Data'!$AG$4:$AI$9,3,FALSE)))</f>
        <v/>
      </c>
      <c r="Y134" s="239" t="str">
        <f>IFERROR(IF(OR(LEFT(P134,5)="Error",LEFT(O134,5)="Error"),"Check Data",IF(F134&lt;S134,'G-7 Rivers Data'!$R$3,INDEX('G-7 Rivers Data'!$U$5:$Y$9,MATCH(G134,'G-7 Rivers Data'!$T$5:$T$9,0),MATCH(T134,'G-7 Rivers Data'!$U$4:$Y$4,0)))),"")</f>
        <v/>
      </c>
      <c r="Z134" s="275"/>
      <c r="AA134" s="275"/>
      <c r="AB134" s="175" t="str">
        <f t="shared" si="12"/>
        <v/>
      </c>
      <c r="AC134" s="262" t="str">
        <f t="shared" si="13"/>
        <v/>
      </c>
      <c r="AD134" s="382" t="str">
        <f>IFERROR(IF(AC134="Check Data","Check Data",VLOOKUP(AC134,'G-4 Temporal multipliers'!$A$4:$C$37,3,FALSE)),"")</f>
        <v/>
      </c>
      <c r="AE134" s="239" t="str">
        <f>IF(N134="","",VLOOKUP(N134,'G-7 Rivers Data'!$B$4:$G$8,5,FALSE))</f>
        <v/>
      </c>
      <c r="AF134" s="175" t="str">
        <f t="shared" si="14"/>
        <v/>
      </c>
      <c r="AG134" s="175" t="str">
        <f t="shared" si="15"/>
        <v/>
      </c>
      <c r="AH134" s="176" t="str">
        <f t="shared" si="9"/>
        <v/>
      </c>
      <c r="AI134" s="173"/>
      <c r="AJ134" s="172" t="str">
        <f>IF(AI134="","",IF(VLOOKUP(AI134,'G-7 Rivers Data'!$AA$4:$AB$7,2,FALSE)=0,"Spatial Data Missing",VLOOKUP(AI134,'G-7 Rivers Data'!$AA$4:$AB$7,2,FALSE)))</f>
        <v/>
      </c>
      <c r="AK134" s="187"/>
      <c r="AL134" s="172" t="str">
        <f>IF(AK134="","",IF(VLOOKUP(AK134,'G-7 Rivers Data'!$AD$4:$AE$8,2,FALSE)=0,"Spatial Data Missing",VLOOKUP(AK134,'G-7 Rivers Data'!$AD$4:$AE$8,2,FALSE)))</f>
        <v/>
      </c>
      <c r="AM134" s="186"/>
      <c r="AN134" s="176" t="str">
        <f>IF(AM134="","",VLOOKUP(AM134,'G-7 Rivers Data'!$AO$4:$AP$7,2,FALSE))</f>
        <v/>
      </c>
      <c r="AO134" s="265" t="str">
        <f t="shared" si="16"/>
        <v/>
      </c>
      <c r="AP134" s="180"/>
      <c r="AQ134" s="181"/>
      <c r="AX134" s="35" t="str">
        <f>IFERROR(INDEX('G-7 Rivers Data'!$AZ$3:$AZ$7,MATCH(N134,'G-7 Rivers Data'!$AY$3:$AY$7,0)),"")</f>
        <v/>
      </c>
    </row>
    <row r="135" spans="2:50" ht="13.8" x14ac:dyDescent="0.25">
      <c r="B135" s="259" t="str">
        <f>'F-1 Off Site River Baseline'!AN133</f>
        <v/>
      </c>
      <c r="C135" s="175" t="str">
        <f>IF(B135="","",VLOOKUP($B135,'F-1 Off Site River Baseline'!$C$9:$R$257,2,FALSE))</f>
        <v/>
      </c>
      <c r="D135" s="175" t="str">
        <f>IF(C135="","",VLOOKUP($B135,'F-1 Off Site River Baseline'!$C$9:$R$257,3,FALSE))</f>
        <v/>
      </c>
      <c r="E135" s="175" t="str">
        <f>IF(D135="","",VLOOKUP($B135,'F-1 Off Site River Baseline'!$C$9:$R$257,4,FALSE))</f>
        <v/>
      </c>
      <c r="F135" s="175" t="str">
        <f>IF(E135="","",VLOOKUP($B135,'F-1 Off Site River Baseline'!$C$9:$R$257,5,FALSE))</f>
        <v/>
      </c>
      <c r="G135" s="175" t="str">
        <f>IF(F135="","",VLOOKUP($B135,'F-1 Off Site River Baseline'!$C$9:$R$257,6,FALSE))</f>
        <v/>
      </c>
      <c r="H135" s="175" t="str">
        <f>IF(G135="","",VLOOKUP($B135,'F-1 Off Site River Baseline'!$C$9:$R$257,7,FALSE))</f>
        <v/>
      </c>
      <c r="I135" s="175" t="str">
        <f>IF(H135="","",VLOOKUP($B135,'F-1 Off Site River Baseline'!$C$9:$R$257,8,FALSE))</f>
        <v/>
      </c>
      <c r="J135" s="175" t="str">
        <f>IF(I135="","",VLOOKUP($B135,'F-1 Off Site River Baseline'!$C$9:$R$257,9,FALSE))</f>
        <v/>
      </c>
      <c r="K135" s="175" t="str">
        <f>IF(J135="","",VLOOKUP($B135,'F-1 Off Site River Baseline'!$C$9:$R$257,10,FALSE))</f>
        <v/>
      </c>
      <c r="L135" s="175" t="str">
        <f>IF(B135="","",VLOOKUP($B135,'C-1 Site River Baseline'!$C$9:$R$257,15,FALSE))</f>
        <v/>
      </c>
      <c r="M135" s="176" t="str">
        <f>IF(L135="","",VLOOKUP($B135,'F-1 Off Site River Baseline'!$C$9:$R$257,16,FALSE))</f>
        <v/>
      </c>
      <c r="N135" s="639" t="str">
        <f t="shared" si="10"/>
        <v/>
      </c>
      <c r="O135" s="171" t="str">
        <f t="shared" si="11"/>
        <v/>
      </c>
      <c r="P135" s="172" t="str">
        <f>IF(C135="","",IF(AND(LEFT(C135,55)&lt;&gt;LEFT(N135,55),O135="High - High"),"Error - Not like for like",IF(AND(F135=S135,H135&gt;U135),"Error - Can not reduce condition",IF(AND(F135=S135,H135=U135,AJ135='F-1 Off Site River Baseline'!N133,'F-1 Off Site River Baseline'!P133=AL135),"Error - No enhancement",IF(AND(C135&lt;&gt;N135,F135&lt;S135),"Lower Distinctiveness Habitat"&amp;" - "&amp;T135,G135&amp;" - "&amp;T135)))))</f>
        <v/>
      </c>
      <c r="Q135" s="260" t="str">
        <f>IF(N135="","",VLOOKUP(B135,'F-1 Off Site River Baseline'!$C$10:$AA$257,19,FALSE))</f>
        <v/>
      </c>
      <c r="R135" s="171" t="str">
        <f>IF(N135="","",VLOOKUP(N135,'G-7 Rivers Data'!$B$2:$G$8,2,FALSE))</f>
        <v/>
      </c>
      <c r="S135" s="172" t="str">
        <f>IFERROR(VLOOKUP(R135,'G-7 Rivers Data'!$C$4:$D$8,2,FALSE),"")</f>
        <v/>
      </c>
      <c r="T135" s="173"/>
      <c r="U135" s="172" t="str">
        <f>IFERROR(INDEX('G-7 Rivers Data'!$H$4:$L$8,MATCH(N135,'G-7 Rivers Data'!$B$4:$B$8,0),MATCH(T135,'G-7 Rivers Data'!$H$3:$L$3,0)),"")</f>
        <v/>
      </c>
      <c r="V135" s="186"/>
      <c r="W135" s="175" t="str">
        <f>IF(V135="","",IF(VLOOKUP(V135,'G-7 Rivers Data'!$AG$4:$AI$9,2,FALSE)=0,"Spatial Data Missing",VLOOKUP(V135,'G-7 Rivers Data'!$AG$4:$AI$9,2,FALSE)))</f>
        <v/>
      </c>
      <c r="X135" s="176" t="str">
        <f>IF(V135="","",IF(VLOOKUP(V135,'G-7 Rivers Data'!$AG$4:$AI$9,3,FALSE)=0,"Spatial Data Missing",VLOOKUP(V135,'G-7 Rivers Data'!$AG$4:$AI$9,3,FALSE)))</f>
        <v/>
      </c>
      <c r="Y135" s="239" t="str">
        <f>IFERROR(IF(OR(LEFT(P135,5)="Error",LEFT(O135,5)="Error"),"Check Data",IF(F135&lt;S135,'G-7 Rivers Data'!$R$3,INDEX('G-7 Rivers Data'!$U$5:$Y$9,MATCH(G135,'G-7 Rivers Data'!$T$5:$T$9,0),MATCH(T135,'G-7 Rivers Data'!$U$4:$Y$4,0)))),"")</f>
        <v/>
      </c>
      <c r="Z135" s="275"/>
      <c r="AA135" s="275"/>
      <c r="AB135" s="175" t="str">
        <f t="shared" si="12"/>
        <v/>
      </c>
      <c r="AC135" s="262" t="str">
        <f t="shared" si="13"/>
        <v/>
      </c>
      <c r="AD135" s="382" t="str">
        <f>IFERROR(IF(AC135="Check Data","Check Data",VLOOKUP(AC135,'G-4 Temporal multipliers'!$A$4:$C$37,3,FALSE)),"")</f>
        <v/>
      </c>
      <c r="AE135" s="239" t="str">
        <f>IF(N135="","",VLOOKUP(N135,'G-7 Rivers Data'!$B$4:$G$8,5,FALSE))</f>
        <v/>
      </c>
      <c r="AF135" s="175" t="str">
        <f t="shared" si="14"/>
        <v/>
      </c>
      <c r="AG135" s="175" t="str">
        <f t="shared" si="15"/>
        <v/>
      </c>
      <c r="AH135" s="176" t="str">
        <f t="shared" si="9"/>
        <v/>
      </c>
      <c r="AI135" s="173"/>
      <c r="AJ135" s="172" t="str">
        <f>IF(AI135="","",IF(VLOOKUP(AI135,'G-7 Rivers Data'!$AA$4:$AB$7,2,FALSE)=0,"Spatial Data Missing",VLOOKUP(AI135,'G-7 Rivers Data'!$AA$4:$AB$7,2,FALSE)))</f>
        <v/>
      </c>
      <c r="AK135" s="187"/>
      <c r="AL135" s="172" t="str">
        <f>IF(AK135="","",IF(VLOOKUP(AK135,'G-7 Rivers Data'!$AD$4:$AE$8,2,FALSE)=0,"Spatial Data Missing",VLOOKUP(AK135,'G-7 Rivers Data'!$AD$4:$AE$8,2,FALSE)))</f>
        <v/>
      </c>
      <c r="AM135" s="186"/>
      <c r="AN135" s="176" t="str">
        <f>IF(AM135="","",VLOOKUP(AM135,'G-7 Rivers Data'!$AO$4:$AP$7,2,FALSE))</f>
        <v/>
      </c>
      <c r="AO135" s="265" t="str">
        <f t="shared" si="16"/>
        <v/>
      </c>
      <c r="AP135" s="180"/>
      <c r="AQ135" s="181"/>
      <c r="AX135" s="35" t="str">
        <f>IFERROR(INDEX('G-7 Rivers Data'!$AZ$3:$AZ$7,MATCH(N135,'G-7 Rivers Data'!$AY$3:$AY$7,0)),"")</f>
        <v/>
      </c>
    </row>
    <row r="136" spans="2:50" ht="13.8" x14ac:dyDescent="0.25">
      <c r="B136" s="259" t="str">
        <f>'F-1 Off Site River Baseline'!AN134</f>
        <v/>
      </c>
      <c r="C136" s="175" t="str">
        <f>IF(B136="","",VLOOKUP($B136,'F-1 Off Site River Baseline'!$C$9:$R$257,2,FALSE))</f>
        <v/>
      </c>
      <c r="D136" s="175" t="str">
        <f>IF(C136="","",VLOOKUP($B136,'F-1 Off Site River Baseline'!$C$9:$R$257,3,FALSE))</f>
        <v/>
      </c>
      <c r="E136" s="175" t="str">
        <f>IF(D136="","",VLOOKUP($B136,'F-1 Off Site River Baseline'!$C$9:$R$257,4,FALSE))</f>
        <v/>
      </c>
      <c r="F136" s="175" t="str">
        <f>IF(E136="","",VLOOKUP($B136,'F-1 Off Site River Baseline'!$C$9:$R$257,5,FALSE))</f>
        <v/>
      </c>
      <c r="G136" s="175" t="str">
        <f>IF(F136="","",VLOOKUP($B136,'F-1 Off Site River Baseline'!$C$9:$R$257,6,FALSE))</f>
        <v/>
      </c>
      <c r="H136" s="175" t="str">
        <f>IF(G136="","",VLOOKUP($B136,'F-1 Off Site River Baseline'!$C$9:$R$257,7,FALSE))</f>
        <v/>
      </c>
      <c r="I136" s="175" t="str">
        <f>IF(H136="","",VLOOKUP($B136,'F-1 Off Site River Baseline'!$C$9:$R$257,8,FALSE))</f>
        <v/>
      </c>
      <c r="J136" s="175" t="str">
        <f>IF(I136="","",VLOOKUP($B136,'F-1 Off Site River Baseline'!$C$9:$R$257,9,FALSE))</f>
        <v/>
      </c>
      <c r="K136" s="175" t="str">
        <f>IF(J136="","",VLOOKUP($B136,'F-1 Off Site River Baseline'!$C$9:$R$257,10,FALSE))</f>
        <v/>
      </c>
      <c r="L136" s="175" t="str">
        <f>IF(B136="","",VLOOKUP($B136,'C-1 Site River Baseline'!$C$9:$R$257,15,FALSE))</f>
        <v/>
      </c>
      <c r="M136" s="176" t="str">
        <f>IF(L136="","",VLOOKUP($B136,'F-1 Off Site River Baseline'!$C$9:$R$257,16,FALSE))</f>
        <v/>
      </c>
      <c r="N136" s="639" t="str">
        <f t="shared" si="10"/>
        <v/>
      </c>
      <c r="O136" s="171" t="str">
        <f t="shared" si="11"/>
        <v/>
      </c>
      <c r="P136" s="172" t="str">
        <f>IF(C136="","",IF(AND(LEFT(C136,55)&lt;&gt;LEFT(N136,55),O136="High - High"),"Error - Not like for like",IF(AND(F136=S136,H136&gt;U136),"Error - Can not reduce condition",IF(AND(F136=S136,H136=U136,AJ136='F-1 Off Site River Baseline'!N134,'F-1 Off Site River Baseline'!P134=AL136),"Error - No enhancement",IF(AND(C136&lt;&gt;N136,F136&lt;S136),"Lower Distinctiveness Habitat"&amp;" - "&amp;T136,G136&amp;" - "&amp;T136)))))</f>
        <v/>
      </c>
      <c r="Q136" s="260" t="str">
        <f>IF(N136="","",VLOOKUP(B136,'F-1 Off Site River Baseline'!$C$10:$AA$257,19,FALSE))</f>
        <v/>
      </c>
      <c r="R136" s="171" t="str">
        <f>IF(N136="","",VLOOKUP(N136,'G-7 Rivers Data'!$B$2:$G$8,2,FALSE))</f>
        <v/>
      </c>
      <c r="S136" s="172" t="str">
        <f>IFERROR(VLOOKUP(R136,'G-7 Rivers Data'!$C$4:$D$8,2,FALSE),"")</f>
        <v/>
      </c>
      <c r="T136" s="173"/>
      <c r="U136" s="172" t="str">
        <f>IFERROR(INDEX('G-7 Rivers Data'!$H$4:$L$8,MATCH(N136,'G-7 Rivers Data'!$B$4:$B$8,0),MATCH(T136,'G-7 Rivers Data'!$H$3:$L$3,0)),"")</f>
        <v/>
      </c>
      <c r="V136" s="186"/>
      <c r="W136" s="175" t="str">
        <f>IF(V136="","",IF(VLOOKUP(V136,'G-7 Rivers Data'!$AG$4:$AI$9,2,FALSE)=0,"Spatial Data Missing",VLOOKUP(V136,'G-7 Rivers Data'!$AG$4:$AI$9,2,FALSE)))</f>
        <v/>
      </c>
      <c r="X136" s="176" t="str">
        <f>IF(V136="","",IF(VLOOKUP(V136,'G-7 Rivers Data'!$AG$4:$AI$9,3,FALSE)=0,"Spatial Data Missing",VLOOKUP(V136,'G-7 Rivers Data'!$AG$4:$AI$9,3,FALSE)))</f>
        <v/>
      </c>
      <c r="Y136" s="239" t="str">
        <f>IFERROR(IF(OR(LEFT(P136,5)="Error",LEFT(O136,5)="Error"),"Check Data",IF(F136&lt;S136,'G-7 Rivers Data'!$R$3,INDEX('G-7 Rivers Data'!$U$5:$Y$9,MATCH(G136,'G-7 Rivers Data'!$T$5:$T$9,0),MATCH(T136,'G-7 Rivers Data'!$U$4:$Y$4,0)))),"")</f>
        <v/>
      </c>
      <c r="Z136" s="275"/>
      <c r="AA136" s="275"/>
      <c r="AB136" s="175" t="str">
        <f t="shared" si="12"/>
        <v/>
      </c>
      <c r="AC136" s="262" t="str">
        <f t="shared" si="13"/>
        <v/>
      </c>
      <c r="AD136" s="382" t="str">
        <f>IFERROR(IF(AC136="Check Data","Check Data",VLOOKUP(AC136,'G-4 Temporal multipliers'!$A$4:$C$37,3,FALSE)),"")</f>
        <v/>
      </c>
      <c r="AE136" s="239" t="str">
        <f>IF(N136="","",VLOOKUP(N136,'G-7 Rivers Data'!$B$4:$G$8,5,FALSE))</f>
        <v/>
      </c>
      <c r="AF136" s="175" t="str">
        <f t="shared" si="14"/>
        <v/>
      </c>
      <c r="AG136" s="175" t="str">
        <f t="shared" si="15"/>
        <v/>
      </c>
      <c r="AH136" s="176" t="str">
        <f t="shared" si="9"/>
        <v/>
      </c>
      <c r="AI136" s="173"/>
      <c r="AJ136" s="172" t="str">
        <f>IF(AI136="","",IF(VLOOKUP(AI136,'G-7 Rivers Data'!$AA$4:$AB$7,2,FALSE)=0,"Spatial Data Missing",VLOOKUP(AI136,'G-7 Rivers Data'!$AA$4:$AB$7,2,FALSE)))</f>
        <v/>
      </c>
      <c r="AK136" s="187"/>
      <c r="AL136" s="172" t="str">
        <f>IF(AK136="","",IF(VLOOKUP(AK136,'G-7 Rivers Data'!$AD$4:$AE$8,2,FALSE)=0,"Spatial Data Missing",VLOOKUP(AK136,'G-7 Rivers Data'!$AD$4:$AE$8,2,FALSE)))</f>
        <v/>
      </c>
      <c r="AM136" s="186"/>
      <c r="AN136" s="176" t="str">
        <f>IF(AM136="","",VLOOKUP(AM136,'G-7 Rivers Data'!$AO$4:$AP$7,2,FALSE))</f>
        <v/>
      </c>
      <c r="AO136" s="265" t="str">
        <f t="shared" si="16"/>
        <v/>
      </c>
      <c r="AP136" s="180"/>
      <c r="AQ136" s="181"/>
      <c r="AX136" s="35" t="str">
        <f>IFERROR(INDEX('G-7 Rivers Data'!$AZ$3:$AZ$7,MATCH(N136,'G-7 Rivers Data'!$AY$3:$AY$7,0)),"")</f>
        <v/>
      </c>
    </row>
    <row r="137" spans="2:50" ht="13.8" x14ac:dyDescent="0.25">
      <c r="B137" s="259" t="str">
        <f>'F-1 Off Site River Baseline'!AN135</f>
        <v/>
      </c>
      <c r="C137" s="175" t="str">
        <f>IF(B137="","",VLOOKUP($B137,'F-1 Off Site River Baseline'!$C$9:$R$257,2,FALSE))</f>
        <v/>
      </c>
      <c r="D137" s="175" t="str">
        <f>IF(C137="","",VLOOKUP($B137,'F-1 Off Site River Baseline'!$C$9:$R$257,3,FALSE))</f>
        <v/>
      </c>
      <c r="E137" s="175" t="str">
        <f>IF(D137="","",VLOOKUP($B137,'F-1 Off Site River Baseline'!$C$9:$R$257,4,FALSE))</f>
        <v/>
      </c>
      <c r="F137" s="175" t="str">
        <f>IF(E137="","",VLOOKUP($B137,'F-1 Off Site River Baseline'!$C$9:$R$257,5,FALSE))</f>
        <v/>
      </c>
      <c r="G137" s="175" t="str">
        <f>IF(F137="","",VLOOKUP($B137,'F-1 Off Site River Baseline'!$C$9:$R$257,6,FALSE))</f>
        <v/>
      </c>
      <c r="H137" s="175" t="str">
        <f>IF(G137="","",VLOOKUP($B137,'F-1 Off Site River Baseline'!$C$9:$R$257,7,FALSE))</f>
        <v/>
      </c>
      <c r="I137" s="175" t="str">
        <f>IF(H137="","",VLOOKUP($B137,'F-1 Off Site River Baseline'!$C$9:$R$257,8,FALSE))</f>
        <v/>
      </c>
      <c r="J137" s="175" t="str">
        <f>IF(I137="","",VLOOKUP($B137,'F-1 Off Site River Baseline'!$C$9:$R$257,9,FALSE))</f>
        <v/>
      </c>
      <c r="K137" s="175" t="str">
        <f>IF(J137="","",VLOOKUP($B137,'F-1 Off Site River Baseline'!$C$9:$R$257,10,FALSE))</f>
        <v/>
      </c>
      <c r="L137" s="175" t="str">
        <f>IF(B137="","",VLOOKUP($B137,'C-1 Site River Baseline'!$C$9:$R$257,15,FALSE))</f>
        <v/>
      </c>
      <c r="M137" s="176" t="str">
        <f>IF(L137="","",VLOOKUP($B137,'F-1 Off Site River Baseline'!$C$9:$R$257,16,FALSE))</f>
        <v/>
      </c>
      <c r="N137" s="639" t="str">
        <f t="shared" si="10"/>
        <v/>
      </c>
      <c r="O137" s="171" t="str">
        <f t="shared" si="11"/>
        <v/>
      </c>
      <c r="P137" s="172" t="str">
        <f>IF(C137="","",IF(AND(LEFT(C137,55)&lt;&gt;LEFT(N137,55),O137="High - High"),"Error - Not like for like",IF(AND(F137=S137,H137&gt;U137),"Error - Can not reduce condition",IF(AND(F137=S137,H137=U137,AJ137='F-1 Off Site River Baseline'!N135,'F-1 Off Site River Baseline'!P135=AL137),"Error - No enhancement",IF(AND(C137&lt;&gt;N137,F137&lt;S137),"Lower Distinctiveness Habitat"&amp;" - "&amp;T137,G137&amp;" - "&amp;T137)))))</f>
        <v/>
      </c>
      <c r="Q137" s="260" t="str">
        <f>IF(N137="","",VLOOKUP(B137,'F-1 Off Site River Baseline'!$C$10:$AA$257,19,FALSE))</f>
        <v/>
      </c>
      <c r="R137" s="171" t="str">
        <f>IF(N137="","",VLOOKUP(N137,'G-7 Rivers Data'!$B$2:$G$8,2,FALSE))</f>
        <v/>
      </c>
      <c r="S137" s="172" t="str">
        <f>IFERROR(VLOOKUP(R137,'G-7 Rivers Data'!$C$4:$D$8,2,FALSE),"")</f>
        <v/>
      </c>
      <c r="T137" s="173"/>
      <c r="U137" s="172" t="str">
        <f>IFERROR(INDEX('G-7 Rivers Data'!$H$4:$L$8,MATCH(N137,'G-7 Rivers Data'!$B$4:$B$8,0),MATCH(T137,'G-7 Rivers Data'!$H$3:$L$3,0)),"")</f>
        <v/>
      </c>
      <c r="V137" s="186"/>
      <c r="W137" s="175" t="str">
        <f>IF(V137="","",IF(VLOOKUP(V137,'G-7 Rivers Data'!$AG$4:$AI$9,2,FALSE)=0,"Spatial Data Missing",VLOOKUP(V137,'G-7 Rivers Data'!$AG$4:$AI$9,2,FALSE)))</f>
        <v/>
      </c>
      <c r="X137" s="176" t="str">
        <f>IF(V137="","",IF(VLOOKUP(V137,'G-7 Rivers Data'!$AG$4:$AI$9,3,FALSE)=0,"Spatial Data Missing",VLOOKUP(V137,'G-7 Rivers Data'!$AG$4:$AI$9,3,FALSE)))</f>
        <v/>
      </c>
      <c r="Y137" s="239" t="str">
        <f>IFERROR(IF(OR(LEFT(P137,5)="Error",LEFT(O137,5)="Error"),"Check Data",IF(F137&lt;S137,'G-7 Rivers Data'!$R$3,INDEX('G-7 Rivers Data'!$U$5:$Y$9,MATCH(G137,'G-7 Rivers Data'!$T$5:$T$9,0),MATCH(T137,'G-7 Rivers Data'!$U$4:$Y$4,0)))),"")</f>
        <v/>
      </c>
      <c r="Z137" s="275"/>
      <c r="AA137" s="275"/>
      <c r="AB137" s="175" t="str">
        <f t="shared" si="12"/>
        <v/>
      </c>
      <c r="AC137" s="262" t="str">
        <f t="shared" si="13"/>
        <v/>
      </c>
      <c r="AD137" s="382" t="str">
        <f>IFERROR(IF(AC137="Check Data","Check Data",VLOOKUP(AC137,'G-4 Temporal multipliers'!$A$4:$C$37,3,FALSE)),"")</f>
        <v/>
      </c>
      <c r="AE137" s="239" t="str">
        <f>IF(N137="","",VLOOKUP(N137,'G-7 Rivers Data'!$B$4:$G$8,5,FALSE))</f>
        <v/>
      </c>
      <c r="AF137" s="175" t="str">
        <f t="shared" si="14"/>
        <v/>
      </c>
      <c r="AG137" s="175" t="str">
        <f t="shared" si="15"/>
        <v/>
      </c>
      <c r="AH137" s="176" t="str">
        <f t="shared" si="9"/>
        <v/>
      </c>
      <c r="AI137" s="173"/>
      <c r="AJ137" s="172" t="str">
        <f>IF(AI137="","",IF(VLOOKUP(AI137,'G-7 Rivers Data'!$AA$4:$AB$7,2,FALSE)=0,"Spatial Data Missing",VLOOKUP(AI137,'G-7 Rivers Data'!$AA$4:$AB$7,2,FALSE)))</f>
        <v/>
      </c>
      <c r="AK137" s="187"/>
      <c r="AL137" s="172" t="str">
        <f>IF(AK137="","",IF(VLOOKUP(AK137,'G-7 Rivers Data'!$AD$4:$AE$8,2,FALSE)=0,"Spatial Data Missing",VLOOKUP(AK137,'G-7 Rivers Data'!$AD$4:$AE$8,2,FALSE)))</f>
        <v/>
      </c>
      <c r="AM137" s="186"/>
      <c r="AN137" s="176" t="str">
        <f>IF(AM137="","",VLOOKUP(AM137,'G-7 Rivers Data'!$AO$4:$AP$7,2,FALSE))</f>
        <v/>
      </c>
      <c r="AO137" s="265" t="str">
        <f t="shared" si="16"/>
        <v/>
      </c>
      <c r="AP137" s="180"/>
      <c r="AQ137" s="181"/>
      <c r="AX137" s="35" t="str">
        <f>IFERROR(INDEX('G-7 Rivers Data'!$AZ$3:$AZ$7,MATCH(N137,'G-7 Rivers Data'!$AY$3:$AY$7,0)),"")</f>
        <v/>
      </c>
    </row>
    <row r="138" spans="2:50" ht="13.8" x14ac:dyDescent="0.25">
      <c r="B138" s="259" t="str">
        <f>'F-1 Off Site River Baseline'!AN136</f>
        <v/>
      </c>
      <c r="C138" s="175" t="str">
        <f>IF(B138="","",VLOOKUP($B138,'F-1 Off Site River Baseline'!$C$9:$R$257,2,FALSE))</f>
        <v/>
      </c>
      <c r="D138" s="175" t="str">
        <f>IF(C138="","",VLOOKUP($B138,'F-1 Off Site River Baseline'!$C$9:$R$257,3,FALSE))</f>
        <v/>
      </c>
      <c r="E138" s="175" t="str">
        <f>IF(D138="","",VLOOKUP($B138,'F-1 Off Site River Baseline'!$C$9:$R$257,4,FALSE))</f>
        <v/>
      </c>
      <c r="F138" s="175" t="str">
        <f>IF(E138="","",VLOOKUP($B138,'F-1 Off Site River Baseline'!$C$9:$R$257,5,FALSE))</f>
        <v/>
      </c>
      <c r="G138" s="175" t="str">
        <f>IF(F138="","",VLOOKUP($B138,'F-1 Off Site River Baseline'!$C$9:$R$257,6,FALSE))</f>
        <v/>
      </c>
      <c r="H138" s="175" t="str">
        <f>IF(G138="","",VLOOKUP($B138,'F-1 Off Site River Baseline'!$C$9:$R$257,7,FALSE))</f>
        <v/>
      </c>
      <c r="I138" s="175" t="str">
        <f>IF(H138="","",VLOOKUP($B138,'F-1 Off Site River Baseline'!$C$9:$R$257,8,FALSE))</f>
        <v/>
      </c>
      <c r="J138" s="175" t="str">
        <f>IF(I138="","",VLOOKUP($B138,'F-1 Off Site River Baseline'!$C$9:$R$257,9,FALSE))</f>
        <v/>
      </c>
      <c r="K138" s="175" t="str">
        <f>IF(J138="","",VLOOKUP($B138,'F-1 Off Site River Baseline'!$C$9:$R$257,10,FALSE))</f>
        <v/>
      </c>
      <c r="L138" s="175" t="str">
        <f>IF(B138="","",VLOOKUP($B138,'C-1 Site River Baseline'!$C$9:$R$257,15,FALSE))</f>
        <v/>
      </c>
      <c r="M138" s="176" t="str">
        <f>IF(L138="","",VLOOKUP($B138,'F-1 Off Site River Baseline'!$C$9:$R$257,16,FALSE))</f>
        <v/>
      </c>
      <c r="N138" s="639" t="str">
        <f t="shared" si="10"/>
        <v/>
      </c>
      <c r="O138" s="171" t="str">
        <f t="shared" si="11"/>
        <v/>
      </c>
      <c r="P138" s="172" t="str">
        <f>IF(C138="","",IF(AND(LEFT(C138,55)&lt;&gt;LEFT(N138,55),O138="High - High"),"Error - Not like for like",IF(AND(F138=S138,H138&gt;U138),"Error - Can not reduce condition",IF(AND(F138=S138,H138=U138,AJ138='F-1 Off Site River Baseline'!N136,'F-1 Off Site River Baseline'!P136=AL138),"Error - No enhancement",IF(AND(C138&lt;&gt;N138,F138&lt;S138),"Lower Distinctiveness Habitat"&amp;" - "&amp;T138,G138&amp;" - "&amp;T138)))))</f>
        <v/>
      </c>
      <c r="Q138" s="260" t="str">
        <f>IF(N138="","",VLOOKUP(B138,'F-1 Off Site River Baseline'!$C$10:$AA$257,19,FALSE))</f>
        <v/>
      </c>
      <c r="R138" s="171" t="str">
        <f>IF(N138="","",VLOOKUP(N138,'G-7 Rivers Data'!$B$2:$G$8,2,FALSE))</f>
        <v/>
      </c>
      <c r="S138" s="172" t="str">
        <f>IFERROR(VLOOKUP(R138,'G-7 Rivers Data'!$C$4:$D$8,2,FALSE),"")</f>
        <v/>
      </c>
      <c r="T138" s="173"/>
      <c r="U138" s="172" t="str">
        <f>IFERROR(INDEX('G-7 Rivers Data'!$H$4:$L$8,MATCH(N138,'G-7 Rivers Data'!$B$4:$B$8,0),MATCH(T138,'G-7 Rivers Data'!$H$3:$L$3,0)),"")</f>
        <v/>
      </c>
      <c r="V138" s="186"/>
      <c r="W138" s="175" t="str">
        <f>IF(V138="","",IF(VLOOKUP(V138,'G-7 Rivers Data'!$AG$4:$AI$9,2,FALSE)=0,"Spatial Data Missing",VLOOKUP(V138,'G-7 Rivers Data'!$AG$4:$AI$9,2,FALSE)))</f>
        <v/>
      </c>
      <c r="X138" s="176" t="str">
        <f>IF(V138="","",IF(VLOOKUP(V138,'G-7 Rivers Data'!$AG$4:$AI$9,3,FALSE)=0,"Spatial Data Missing",VLOOKUP(V138,'G-7 Rivers Data'!$AG$4:$AI$9,3,FALSE)))</f>
        <v/>
      </c>
      <c r="Y138" s="239" t="str">
        <f>IFERROR(IF(OR(LEFT(P138,5)="Error",LEFT(O138,5)="Error"),"Check Data",IF(F138&lt;S138,'G-7 Rivers Data'!$R$3,INDEX('G-7 Rivers Data'!$U$5:$Y$9,MATCH(G138,'G-7 Rivers Data'!$T$5:$T$9,0),MATCH(T138,'G-7 Rivers Data'!$U$4:$Y$4,0)))),"")</f>
        <v/>
      </c>
      <c r="Z138" s="275"/>
      <c r="AA138" s="275"/>
      <c r="AB138" s="175" t="str">
        <f t="shared" si="12"/>
        <v/>
      </c>
      <c r="AC138" s="262" t="str">
        <f t="shared" si="13"/>
        <v/>
      </c>
      <c r="AD138" s="382" t="str">
        <f>IFERROR(IF(AC138="Check Data","Check Data",VLOOKUP(AC138,'G-4 Temporal multipliers'!$A$4:$C$37,3,FALSE)),"")</f>
        <v/>
      </c>
      <c r="AE138" s="239" t="str">
        <f>IF(N138="","",VLOOKUP(N138,'G-7 Rivers Data'!$B$4:$G$8,5,FALSE))</f>
        <v/>
      </c>
      <c r="AF138" s="175" t="str">
        <f t="shared" si="14"/>
        <v/>
      </c>
      <c r="AG138" s="175" t="str">
        <f t="shared" si="15"/>
        <v/>
      </c>
      <c r="AH138" s="176" t="str">
        <f t="shared" si="9"/>
        <v/>
      </c>
      <c r="AI138" s="173"/>
      <c r="AJ138" s="172" t="str">
        <f>IF(AI138="","",IF(VLOOKUP(AI138,'G-7 Rivers Data'!$AA$4:$AB$7,2,FALSE)=0,"Spatial Data Missing",VLOOKUP(AI138,'G-7 Rivers Data'!$AA$4:$AB$7,2,FALSE)))</f>
        <v/>
      </c>
      <c r="AK138" s="187"/>
      <c r="AL138" s="172" t="str">
        <f>IF(AK138="","",IF(VLOOKUP(AK138,'G-7 Rivers Data'!$AD$4:$AE$8,2,FALSE)=0,"Spatial Data Missing",VLOOKUP(AK138,'G-7 Rivers Data'!$AD$4:$AE$8,2,FALSE)))</f>
        <v/>
      </c>
      <c r="AM138" s="186"/>
      <c r="AN138" s="176" t="str">
        <f>IF(AM138="","",VLOOKUP(AM138,'G-7 Rivers Data'!$AO$4:$AP$7,2,FALSE))</f>
        <v/>
      </c>
      <c r="AO138" s="265" t="str">
        <f t="shared" si="16"/>
        <v/>
      </c>
      <c r="AP138" s="180"/>
      <c r="AQ138" s="181"/>
      <c r="AX138" s="35" t="str">
        <f>IFERROR(INDEX('G-7 Rivers Data'!$AZ$3:$AZ$7,MATCH(N138,'G-7 Rivers Data'!$AY$3:$AY$7,0)),"")</f>
        <v/>
      </c>
    </row>
    <row r="139" spans="2:50" ht="13.8" x14ac:dyDescent="0.25">
      <c r="B139" s="259" t="str">
        <f>'F-1 Off Site River Baseline'!AN137</f>
        <v/>
      </c>
      <c r="C139" s="175" t="str">
        <f>IF(B139="","",VLOOKUP($B139,'F-1 Off Site River Baseline'!$C$9:$R$257,2,FALSE))</f>
        <v/>
      </c>
      <c r="D139" s="175" t="str">
        <f>IF(C139="","",VLOOKUP($B139,'F-1 Off Site River Baseline'!$C$9:$R$257,3,FALSE))</f>
        <v/>
      </c>
      <c r="E139" s="175" t="str">
        <f>IF(D139="","",VLOOKUP($B139,'F-1 Off Site River Baseline'!$C$9:$R$257,4,FALSE))</f>
        <v/>
      </c>
      <c r="F139" s="175" t="str">
        <f>IF(E139="","",VLOOKUP($B139,'F-1 Off Site River Baseline'!$C$9:$R$257,5,FALSE))</f>
        <v/>
      </c>
      <c r="G139" s="175" t="str">
        <f>IF(F139="","",VLOOKUP($B139,'F-1 Off Site River Baseline'!$C$9:$R$257,6,FALSE))</f>
        <v/>
      </c>
      <c r="H139" s="175" t="str">
        <f>IF(G139="","",VLOOKUP($B139,'F-1 Off Site River Baseline'!$C$9:$R$257,7,FALSE))</f>
        <v/>
      </c>
      <c r="I139" s="175" t="str">
        <f>IF(H139="","",VLOOKUP($B139,'F-1 Off Site River Baseline'!$C$9:$R$257,8,FALSE))</f>
        <v/>
      </c>
      <c r="J139" s="175" t="str">
        <f>IF(I139="","",VLOOKUP($B139,'F-1 Off Site River Baseline'!$C$9:$R$257,9,FALSE))</f>
        <v/>
      </c>
      <c r="K139" s="175" t="str">
        <f>IF(J139="","",VLOOKUP($B139,'F-1 Off Site River Baseline'!$C$9:$R$257,10,FALSE))</f>
        <v/>
      </c>
      <c r="L139" s="175" t="str">
        <f>IF(B139="","",VLOOKUP($B139,'C-1 Site River Baseline'!$C$9:$R$257,15,FALSE))</f>
        <v/>
      </c>
      <c r="M139" s="176" t="str">
        <f>IF(L139="","",VLOOKUP($B139,'F-1 Off Site River Baseline'!$C$9:$R$257,16,FALSE))</f>
        <v/>
      </c>
      <c r="N139" s="639" t="str">
        <f t="shared" si="10"/>
        <v/>
      </c>
      <c r="O139" s="171" t="str">
        <f t="shared" si="11"/>
        <v/>
      </c>
      <c r="P139" s="172" t="str">
        <f>IF(C139="","",IF(AND(LEFT(C139,55)&lt;&gt;LEFT(N139,55),O139="High - High"),"Error - Not like for like",IF(AND(F139=S139,H139&gt;U139),"Error - Can not reduce condition",IF(AND(F139=S139,H139=U139,AJ139='F-1 Off Site River Baseline'!N137,'F-1 Off Site River Baseline'!P137=AL139),"Error - No enhancement",IF(AND(C139&lt;&gt;N139,F139&lt;S139),"Lower Distinctiveness Habitat"&amp;" - "&amp;T139,G139&amp;" - "&amp;T139)))))</f>
        <v/>
      </c>
      <c r="Q139" s="260" t="str">
        <f>IF(N139="","",VLOOKUP(B139,'F-1 Off Site River Baseline'!$C$10:$AA$257,19,FALSE))</f>
        <v/>
      </c>
      <c r="R139" s="171" t="str">
        <f>IF(N139="","",VLOOKUP(N139,'G-7 Rivers Data'!$B$2:$G$8,2,FALSE))</f>
        <v/>
      </c>
      <c r="S139" s="172" t="str">
        <f>IFERROR(VLOOKUP(R139,'G-7 Rivers Data'!$C$4:$D$8,2,FALSE),"")</f>
        <v/>
      </c>
      <c r="T139" s="173"/>
      <c r="U139" s="172" t="str">
        <f>IFERROR(INDEX('G-7 Rivers Data'!$H$4:$L$8,MATCH(N139,'G-7 Rivers Data'!$B$4:$B$8,0),MATCH(T139,'G-7 Rivers Data'!$H$3:$L$3,0)),"")</f>
        <v/>
      </c>
      <c r="V139" s="186"/>
      <c r="W139" s="175" t="str">
        <f>IF(V139="","",IF(VLOOKUP(V139,'G-7 Rivers Data'!$AG$4:$AI$9,2,FALSE)=0,"Spatial Data Missing",VLOOKUP(V139,'G-7 Rivers Data'!$AG$4:$AI$9,2,FALSE)))</f>
        <v/>
      </c>
      <c r="X139" s="176" t="str">
        <f>IF(V139="","",IF(VLOOKUP(V139,'G-7 Rivers Data'!$AG$4:$AI$9,3,FALSE)=0,"Spatial Data Missing",VLOOKUP(V139,'G-7 Rivers Data'!$AG$4:$AI$9,3,FALSE)))</f>
        <v/>
      </c>
      <c r="Y139" s="239" t="str">
        <f>IFERROR(IF(OR(LEFT(P139,5)="Error",LEFT(O139,5)="Error"),"Check Data",IF(F139&lt;S139,'G-7 Rivers Data'!$R$3,INDEX('G-7 Rivers Data'!$U$5:$Y$9,MATCH(G139,'G-7 Rivers Data'!$T$5:$T$9,0),MATCH(T139,'G-7 Rivers Data'!$U$4:$Y$4,0)))),"")</f>
        <v/>
      </c>
      <c r="Z139" s="275"/>
      <c r="AA139" s="275"/>
      <c r="AB139" s="175" t="str">
        <f t="shared" si="12"/>
        <v/>
      </c>
      <c r="AC139" s="262" t="str">
        <f t="shared" si="13"/>
        <v/>
      </c>
      <c r="AD139" s="382" t="str">
        <f>IFERROR(IF(AC139="Check Data","Check Data",VLOOKUP(AC139,'G-4 Temporal multipliers'!$A$4:$C$37,3,FALSE)),"")</f>
        <v/>
      </c>
      <c r="AE139" s="239" t="str">
        <f>IF(N139="","",VLOOKUP(N139,'G-7 Rivers Data'!$B$4:$G$8,5,FALSE))</f>
        <v/>
      </c>
      <c r="AF139" s="175" t="str">
        <f t="shared" si="14"/>
        <v/>
      </c>
      <c r="AG139" s="175" t="str">
        <f t="shared" si="15"/>
        <v/>
      </c>
      <c r="AH139" s="176" t="str">
        <f t="shared" si="9"/>
        <v/>
      </c>
      <c r="AI139" s="173"/>
      <c r="AJ139" s="172" t="str">
        <f>IF(AI139="","",IF(VLOOKUP(AI139,'G-7 Rivers Data'!$AA$4:$AB$7,2,FALSE)=0,"Spatial Data Missing",VLOOKUP(AI139,'G-7 Rivers Data'!$AA$4:$AB$7,2,FALSE)))</f>
        <v/>
      </c>
      <c r="AK139" s="187"/>
      <c r="AL139" s="172" t="str">
        <f>IF(AK139="","",IF(VLOOKUP(AK139,'G-7 Rivers Data'!$AD$4:$AE$8,2,FALSE)=0,"Spatial Data Missing",VLOOKUP(AK139,'G-7 Rivers Data'!$AD$4:$AE$8,2,FALSE)))</f>
        <v/>
      </c>
      <c r="AM139" s="186"/>
      <c r="AN139" s="176" t="str">
        <f>IF(AM139="","",VLOOKUP(AM139,'G-7 Rivers Data'!$AO$4:$AP$7,2,FALSE))</f>
        <v/>
      </c>
      <c r="AO139" s="265" t="str">
        <f t="shared" si="16"/>
        <v/>
      </c>
      <c r="AP139" s="180"/>
      <c r="AQ139" s="181"/>
      <c r="AX139" s="35" t="str">
        <f>IFERROR(INDEX('G-7 Rivers Data'!$AZ$3:$AZ$7,MATCH(N139,'G-7 Rivers Data'!$AY$3:$AY$7,0)),"")</f>
        <v/>
      </c>
    </row>
    <row r="140" spans="2:50" ht="13.8" x14ac:dyDescent="0.25">
      <c r="B140" s="259" t="str">
        <f>'F-1 Off Site River Baseline'!AN138</f>
        <v/>
      </c>
      <c r="C140" s="175" t="str">
        <f>IF(B140="","",VLOOKUP($B140,'F-1 Off Site River Baseline'!$C$9:$R$257,2,FALSE))</f>
        <v/>
      </c>
      <c r="D140" s="175" t="str">
        <f>IF(C140="","",VLOOKUP($B140,'F-1 Off Site River Baseline'!$C$9:$R$257,3,FALSE))</f>
        <v/>
      </c>
      <c r="E140" s="175" t="str">
        <f>IF(D140="","",VLOOKUP($B140,'F-1 Off Site River Baseline'!$C$9:$R$257,4,FALSE))</f>
        <v/>
      </c>
      <c r="F140" s="175" t="str">
        <f>IF(E140="","",VLOOKUP($B140,'F-1 Off Site River Baseline'!$C$9:$R$257,5,FALSE))</f>
        <v/>
      </c>
      <c r="G140" s="175" t="str">
        <f>IF(F140="","",VLOOKUP($B140,'F-1 Off Site River Baseline'!$C$9:$R$257,6,FALSE))</f>
        <v/>
      </c>
      <c r="H140" s="175" t="str">
        <f>IF(G140="","",VLOOKUP($B140,'F-1 Off Site River Baseline'!$C$9:$R$257,7,FALSE))</f>
        <v/>
      </c>
      <c r="I140" s="175" t="str">
        <f>IF(H140="","",VLOOKUP($B140,'F-1 Off Site River Baseline'!$C$9:$R$257,8,FALSE))</f>
        <v/>
      </c>
      <c r="J140" s="175" t="str">
        <f>IF(I140="","",VLOOKUP($B140,'F-1 Off Site River Baseline'!$C$9:$R$257,9,FALSE))</f>
        <v/>
      </c>
      <c r="K140" s="175" t="str">
        <f>IF(J140="","",VLOOKUP($B140,'F-1 Off Site River Baseline'!$C$9:$R$257,10,FALSE))</f>
        <v/>
      </c>
      <c r="L140" s="175" t="str">
        <f>IF(B140="","",VLOOKUP($B140,'C-1 Site River Baseline'!$C$9:$R$257,15,FALSE))</f>
        <v/>
      </c>
      <c r="M140" s="176" t="str">
        <f>IF(L140="","",VLOOKUP($B140,'F-1 Off Site River Baseline'!$C$9:$R$257,16,FALSE))</f>
        <v/>
      </c>
      <c r="N140" s="639" t="str">
        <f t="shared" si="10"/>
        <v/>
      </c>
      <c r="O140" s="171" t="str">
        <f t="shared" si="11"/>
        <v/>
      </c>
      <c r="P140" s="172" t="str">
        <f>IF(C140="","",IF(AND(LEFT(C140,55)&lt;&gt;LEFT(N140,55),O140="High - High"),"Error - Not like for like",IF(AND(F140=S140,H140&gt;U140),"Error - Can not reduce condition",IF(AND(F140=S140,H140=U140,AJ140='F-1 Off Site River Baseline'!N138,'F-1 Off Site River Baseline'!P138=AL140),"Error - No enhancement",IF(AND(C140&lt;&gt;N140,F140&lt;S140),"Lower Distinctiveness Habitat"&amp;" - "&amp;T140,G140&amp;" - "&amp;T140)))))</f>
        <v/>
      </c>
      <c r="Q140" s="260" t="str">
        <f>IF(N140="","",VLOOKUP(B140,'F-1 Off Site River Baseline'!$C$10:$AA$257,19,FALSE))</f>
        <v/>
      </c>
      <c r="R140" s="171" t="str">
        <f>IF(N140="","",VLOOKUP(N140,'G-7 Rivers Data'!$B$2:$G$8,2,FALSE))</f>
        <v/>
      </c>
      <c r="S140" s="172" t="str">
        <f>IFERROR(VLOOKUP(R140,'G-7 Rivers Data'!$C$4:$D$8,2,FALSE),"")</f>
        <v/>
      </c>
      <c r="T140" s="173"/>
      <c r="U140" s="172" t="str">
        <f>IFERROR(INDEX('G-7 Rivers Data'!$H$4:$L$8,MATCH(N140,'G-7 Rivers Data'!$B$4:$B$8,0),MATCH(T140,'G-7 Rivers Data'!$H$3:$L$3,0)),"")</f>
        <v/>
      </c>
      <c r="V140" s="186"/>
      <c r="W140" s="175" t="str">
        <f>IF(V140="","",IF(VLOOKUP(V140,'G-7 Rivers Data'!$AG$4:$AI$9,2,FALSE)=0,"Spatial Data Missing",VLOOKUP(V140,'G-7 Rivers Data'!$AG$4:$AI$9,2,FALSE)))</f>
        <v/>
      </c>
      <c r="X140" s="176" t="str">
        <f>IF(V140="","",IF(VLOOKUP(V140,'G-7 Rivers Data'!$AG$4:$AI$9,3,FALSE)=0,"Spatial Data Missing",VLOOKUP(V140,'G-7 Rivers Data'!$AG$4:$AI$9,3,FALSE)))</f>
        <v/>
      </c>
      <c r="Y140" s="239" t="str">
        <f>IFERROR(IF(OR(LEFT(P140,5)="Error",LEFT(O140,5)="Error"),"Check Data",IF(F140&lt;S140,'G-7 Rivers Data'!$R$3,INDEX('G-7 Rivers Data'!$U$5:$Y$9,MATCH(G140,'G-7 Rivers Data'!$T$5:$T$9,0),MATCH(T140,'G-7 Rivers Data'!$U$4:$Y$4,0)))),"")</f>
        <v/>
      </c>
      <c r="Z140" s="275"/>
      <c r="AA140" s="275"/>
      <c r="AB140" s="175" t="str">
        <f t="shared" si="12"/>
        <v/>
      </c>
      <c r="AC140" s="262" t="str">
        <f t="shared" si="13"/>
        <v/>
      </c>
      <c r="AD140" s="382" t="str">
        <f>IFERROR(IF(AC140="Check Data","Check Data",VLOOKUP(AC140,'G-4 Temporal multipliers'!$A$4:$C$37,3,FALSE)),"")</f>
        <v/>
      </c>
      <c r="AE140" s="239" t="str">
        <f>IF(N140="","",VLOOKUP(N140,'G-7 Rivers Data'!$B$4:$G$8,5,FALSE))</f>
        <v/>
      </c>
      <c r="AF140" s="175" t="str">
        <f t="shared" si="14"/>
        <v/>
      </c>
      <c r="AG140" s="175" t="str">
        <f t="shared" si="15"/>
        <v/>
      </c>
      <c r="AH140" s="176" t="str">
        <f t="shared" ref="AH140:AH203" si="17">IF(N140="","",VLOOKUP(AE140,Difficulty,2,FALSE))</f>
        <v/>
      </c>
      <c r="AI140" s="173"/>
      <c r="AJ140" s="172" t="str">
        <f>IF(AI140="","",IF(VLOOKUP(AI140,'G-7 Rivers Data'!$AA$4:$AB$7,2,FALSE)=0,"Spatial Data Missing",VLOOKUP(AI140,'G-7 Rivers Data'!$AA$4:$AB$7,2,FALSE)))</f>
        <v/>
      </c>
      <c r="AK140" s="187"/>
      <c r="AL140" s="172" t="str">
        <f>IF(AK140="","",IF(VLOOKUP(AK140,'G-7 Rivers Data'!$AD$4:$AE$8,2,FALSE)=0,"Spatial Data Missing",VLOOKUP(AK140,'G-7 Rivers Data'!$AD$4:$AE$8,2,FALSE)))</f>
        <v/>
      </c>
      <c r="AM140" s="186"/>
      <c r="AN140" s="176" t="str">
        <f>IF(AM140="","",VLOOKUP(AM140,'G-7 Rivers Data'!$AO$4:$AP$7,2,FALSE))</f>
        <v/>
      </c>
      <c r="AO140" s="265" t="str">
        <f t="shared" si="16"/>
        <v/>
      </c>
      <c r="AP140" s="180"/>
      <c r="AQ140" s="181"/>
      <c r="AX140" s="35" t="str">
        <f>IFERROR(INDEX('G-7 Rivers Data'!$AZ$3:$AZ$7,MATCH(N140,'G-7 Rivers Data'!$AY$3:$AY$7,0)),"")</f>
        <v/>
      </c>
    </row>
    <row r="141" spans="2:50" ht="13.8" x14ac:dyDescent="0.25">
      <c r="B141" s="259" t="str">
        <f>'F-1 Off Site River Baseline'!AN139</f>
        <v/>
      </c>
      <c r="C141" s="175" t="str">
        <f>IF(B141="","",VLOOKUP($B141,'F-1 Off Site River Baseline'!$C$9:$R$257,2,FALSE))</f>
        <v/>
      </c>
      <c r="D141" s="175" t="str">
        <f>IF(C141="","",VLOOKUP($B141,'F-1 Off Site River Baseline'!$C$9:$R$257,3,FALSE))</f>
        <v/>
      </c>
      <c r="E141" s="175" t="str">
        <f>IF(D141="","",VLOOKUP($B141,'F-1 Off Site River Baseline'!$C$9:$R$257,4,FALSE))</f>
        <v/>
      </c>
      <c r="F141" s="175" t="str">
        <f>IF(E141="","",VLOOKUP($B141,'F-1 Off Site River Baseline'!$C$9:$R$257,5,FALSE))</f>
        <v/>
      </c>
      <c r="G141" s="175" t="str">
        <f>IF(F141="","",VLOOKUP($B141,'F-1 Off Site River Baseline'!$C$9:$R$257,6,FALSE))</f>
        <v/>
      </c>
      <c r="H141" s="175" t="str">
        <f>IF(G141="","",VLOOKUP($B141,'F-1 Off Site River Baseline'!$C$9:$R$257,7,FALSE))</f>
        <v/>
      </c>
      <c r="I141" s="175" t="str">
        <f>IF(H141="","",VLOOKUP($B141,'F-1 Off Site River Baseline'!$C$9:$R$257,8,FALSE))</f>
        <v/>
      </c>
      <c r="J141" s="175" t="str">
        <f>IF(I141="","",VLOOKUP($B141,'F-1 Off Site River Baseline'!$C$9:$R$257,9,FALSE))</f>
        <v/>
      </c>
      <c r="K141" s="175" t="str">
        <f>IF(J141="","",VLOOKUP($B141,'F-1 Off Site River Baseline'!$C$9:$R$257,10,FALSE))</f>
        <v/>
      </c>
      <c r="L141" s="175" t="str">
        <f>IF(B141="","",VLOOKUP($B141,'C-1 Site River Baseline'!$C$9:$R$257,15,FALSE))</f>
        <v/>
      </c>
      <c r="M141" s="176" t="str">
        <f>IF(L141="","",VLOOKUP($B141,'F-1 Off Site River Baseline'!$C$9:$R$257,16,FALSE))</f>
        <v/>
      </c>
      <c r="N141" s="639" t="str">
        <f t="shared" ref="N141:N204" si="18">C141</f>
        <v/>
      </c>
      <c r="O141" s="171" t="str">
        <f t="shared" ref="O141:O204" si="19">IF(B141="","",IF(S141&lt;F141,"Error Trading Down",E141&amp;" - "&amp;R141))</f>
        <v/>
      </c>
      <c r="P141" s="172" t="str">
        <f>IF(C141="","",IF(AND(LEFT(C141,55)&lt;&gt;LEFT(N141,55),O141="High - High"),"Error - Not like for like",IF(AND(F141=S141,H141&gt;U141),"Error - Can not reduce condition",IF(AND(F141=S141,H141=U141,AJ141='F-1 Off Site River Baseline'!N139,'F-1 Off Site River Baseline'!P139=AL141),"Error - No enhancement",IF(AND(C141&lt;&gt;N141,F141&lt;S141),"Lower Distinctiveness Habitat"&amp;" - "&amp;T141,G141&amp;" - "&amp;T141)))))</f>
        <v/>
      </c>
      <c r="Q141" s="260" t="str">
        <f>IF(N141="","",VLOOKUP(B141,'F-1 Off Site River Baseline'!$C$10:$AA$257,19,FALSE))</f>
        <v/>
      </c>
      <c r="R141" s="171" t="str">
        <f>IF(N141="","",VLOOKUP(N141,'G-7 Rivers Data'!$B$2:$G$8,2,FALSE))</f>
        <v/>
      </c>
      <c r="S141" s="172" t="str">
        <f>IFERROR(VLOOKUP(R141,'G-7 Rivers Data'!$C$4:$D$8,2,FALSE),"")</f>
        <v/>
      </c>
      <c r="T141" s="173"/>
      <c r="U141" s="172" t="str">
        <f>IFERROR(INDEX('G-7 Rivers Data'!$H$4:$L$8,MATCH(N141,'G-7 Rivers Data'!$B$4:$B$8,0),MATCH(T141,'G-7 Rivers Data'!$H$3:$L$3,0)),"")</f>
        <v/>
      </c>
      <c r="V141" s="186"/>
      <c r="W141" s="175" t="str">
        <f>IF(V141="","",IF(VLOOKUP(V141,'G-7 Rivers Data'!$AG$4:$AI$9,2,FALSE)=0,"Spatial Data Missing",VLOOKUP(V141,'G-7 Rivers Data'!$AG$4:$AI$9,2,FALSE)))</f>
        <v/>
      </c>
      <c r="X141" s="176" t="str">
        <f>IF(V141="","",IF(VLOOKUP(V141,'G-7 Rivers Data'!$AG$4:$AI$9,3,FALSE)=0,"Spatial Data Missing",VLOOKUP(V141,'G-7 Rivers Data'!$AG$4:$AI$9,3,FALSE)))</f>
        <v/>
      </c>
      <c r="Y141" s="239" t="str">
        <f>IFERROR(IF(OR(LEFT(P141,5)="Error",LEFT(O141,5)="Error"),"Check Data",IF(F141&lt;S141,'G-7 Rivers Data'!$R$3,INDEX('G-7 Rivers Data'!$U$5:$Y$9,MATCH(G141,'G-7 Rivers Data'!$T$5:$T$9,0),MATCH(T141,'G-7 Rivers Data'!$U$4:$Y$4,0)))),"")</f>
        <v/>
      </c>
      <c r="Z141" s="275"/>
      <c r="AA141" s="275"/>
      <c r="AB141" s="175" t="str">
        <f t="shared" ref="AB141:AB204" si="20">IF(Y141="","",IF(Y141="Check Data","Check Data",IF(AND(Z141&gt;0,AA141&gt;0),"Error -both advance and delayed habitat creation",IF(AND(OR(Z141="Habitat already in target condition",Y141&lt;=Z141),AA141=0),"Check details - Is there evidence that habitat has reached target condition?",IF(Z141&gt;0,"Check details - Is there evidence habitat creation started/in place?",IF(AA141&gt;0,"Check details- Delay in starting habitat in required condition?","Standard time to target condition applied"))))))</f>
        <v/>
      </c>
      <c r="AC141" s="262" t="str">
        <f t="shared" ref="AC141:AC204" si="21">IF(LEFT(AB141,5)="Error","Check Data",IF(AB141="Check Data","Check Data",IF(Y141="","",IF(Z141="30+",0,IF(AA141="30+","30+",IF(Y141+AA141&gt;30,"30+",IF(Y141+AA141-Z141&gt;0,Y141+AA141-Z141,IF(Y141-Z141&lt;0,0,Y141+AA141-Z141))))))))</f>
        <v/>
      </c>
      <c r="AD141" s="382" t="str">
        <f>IFERROR(IF(AC141="Check Data","Check Data",VLOOKUP(AC141,'G-4 Temporal multipliers'!$A$4:$C$37,3,FALSE)),"")</f>
        <v/>
      </c>
      <c r="AE141" s="239" t="str">
        <f>IF(N141="","",VLOOKUP(N141,'G-7 Rivers Data'!$B$4:$G$8,5,FALSE))</f>
        <v/>
      </c>
      <c r="AF141" s="175" t="str">
        <f t="shared" ref="AF141:AF204" si="22">IF(N141="","",IF(AC141="Check Data","Check Data",IF(T141="","",IF($AB141="Check details - Is there evidence that habitat has reached target condition?","Low Difficulty - only applicable if all habitat created before losses","Standard difficulty applied"))))</f>
        <v/>
      </c>
      <c r="AG141" s="175" t="str">
        <f t="shared" ref="AG141:AG204" si="23">(IF(AND(AF141="Standard difficulty applied",Y141&gt;Z141),AE141,IF(AND(AF141="Low Difficulty - only applicable if all habitat created before losses",Z141&gt;=Y141),"Low",AE141)))</f>
        <v/>
      </c>
      <c r="AH141" s="176" t="str">
        <f t="shared" si="17"/>
        <v/>
      </c>
      <c r="AI141" s="173"/>
      <c r="AJ141" s="172" t="str">
        <f>IF(AI141="","",IF(VLOOKUP(AI141,'G-7 Rivers Data'!$AA$4:$AB$7,2,FALSE)=0,"Spatial Data Missing",VLOOKUP(AI141,'G-7 Rivers Data'!$AA$4:$AB$7,2,FALSE)))</f>
        <v/>
      </c>
      <c r="AK141" s="187"/>
      <c r="AL141" s="172" t="str">
        <f>IF(AK141="","",IF(VLOOKUP(AK141,'G-7 Rivers Data'!$AD$4:$AE$8,2,FALSE)=0,"Spatial Data Missing",VLOOKUP(AK141,'G-7 Rivers Data'!$AD$4:$AE$8,2,FALSE)))</f>
        <v/>
      </c>
      <c r="AM141" s="186"/>
      <c r="AN141" s="176" t="str">
        <f>IF(AM141="","",VLOOKUP(AM141,'G-7 Rivers Data'!$AO$4:$AP$7,2,FALSE))</f>
        <v/>
      </c>
      <c r="AO141" s="265" t="str">
        <f t="shared" ref="AO141:AO204" si="24">IFERROR(IF(C141="","",IF(Q141&gt;D141,((((Q141*S141*U141)-(D141*F141*H141))*(AH141*AD141))+(D141*F141*H141))*(AL141*X141*AJ141*AN141),((((Q141*S141*U141)-(Q141*F141*H141))*(AH141*AD141))+(Q141*F141*H141))*(AL141*X141*AJ141*AN141))),"")</f>
        <v/>
      </c>
      <c r="AP141" s="180"/>
      <c r="AQ141" s="181"/>
      <c r="AX141" s="35" t="str">
        <f>IFERROR(INDEX('G-7 Rivers Data'!$AZ$3:$AZ$7,MATCH(N141,'G-7 Rivers Data'!$AY$3:$AY$7,0)),"")</f>
        <v/>
      </c>
    </row>
    <row r="142" spans="2:50" ht="13.8" x14ac:dyDescent="0.25">
      <c r="B142" s="259" t="str">
        <f>'F-1 Off Site River Baseline'!AN140</f>
        <v/>
      </c>
      <c r="C142" s="175" t="str">
        <f>IF(B142="","",VLOOKUP($B142,'F-1 Off Site River Baseline'!$C$9:$R$257,2,FALSE))</f>
        <v/>
      </c>
      <c r="D142" s="175" t="str">
        <f>IF(C142="","",VLOOKUP($B142,'F-1 Off Site River Baseline'!$C$9:$R$257,3,FALSE))</f>
        <v/>
      </c>
      <c r="E142" s="175" t="str">
        <f>IF(D142="","",VLOOKUP($B142,'F-1 Off Site River Baseline'!$C$9:$R$257,4,FALSE))</f>
        <v/>
      </c>
      <c r="F142" s="175" t="str">
        <f>IF(E142="","",VLOOKUP($B142,'F-1 Off Site River Baseline'!$C$9:$R$257,5,FALSE))</f>
        <v/>
      </c>
      <c r="G142" s="175" t="str">
        <f>IF(F142="","",VLOOKUP($B142,'F-1 Off Site River Baseline'!$C$9:$R$257,6,FALSE))</f>
        <v/>
      </c>
      <c r="H142" s="175" t="str">
        <f>IF(G142="","",VLOOKUP($B142,'F-1 Off Site River Baseline'!$C$9:$R$257,7,FALSE))</f>
        <v/>
      </c>
      <c r="I142" s="175" t="str">
        <f>IF(H142="","",VLOOKUP($B142,'F-1 Off Site River Baseline'!$C$9:$R$257,8,FALSE))</f>
        <v/>
      </c>
      <c r="J142" s="175" t="str">
        <f>IF(I142="","",VLOOKUP($B142,'F-1 Off Site River Baseline'!$C$9:$R$257,9,FALSE))</f>
        <v/>
      </c>
      <c r="K142" s="175" t="str">
        <f>IF(J142="","",VLOOKUP($B142,'F-1 Off Site River Baseline'!$C$9:$R$257,10,FALSE))</f>
        <v/>
      </c>
      <c r="L142" s="175" t="str">
        <f>IF(B142="","",VLOOKUP($B142,'C-1 Site River Baseline'!$C$9:$R$257,15,FALSE))</f>
        <v/>
      </c>
      <c r="M142" s="176" t="str">
        <f>IF(L142="","",VLOOKUP($B142,'F-1 Off Site River Baseline'!$C$9:$R$257,16,FALSE))</f>
        <v/>
      </c>
      <c r="N142" s="639" t="str">
        <f t="shared" si="18"/>
        <v/>
      </c>
      <c r="O142" s="171" t="str">
        <f t="shared" si="19"/>
        <v/>
      </c>
      <c r="P142" s="172" t="str">
        <f>IF(C142="","",IF(AND(LEFT(C142,55)&lt;&gt;LEFT(N142,55),O142="High - High"),"Error - Not like for like",IF(AND(F142=S142,H142&gt;U142),"Error - Can not reduce condition",IF(AND(F142=S142,H142=U142,AJ142='F-1 Off Site River Baseline'!N140,'F-1 Off Site River Baseline'!P140=AL142),"Error - No enhancement",IF(AND(C142&lt;&gt;N142,F142&lt;S142),"Lower Distinctiveness Habitat"&amp;" - "&amp;T142,G142&amp;" - "&amp;T142)))))</f>
        <v/>
      </c>
      <c r="Q142" s="260" t="str">
        <f>IF(N142="","",VLOOKUP(B142,'F-1 Off Site River Baseline'!$C$10:$AA$257,19,FALSE))</f>
        <v/>
      </c>
      <c r="R142" s="171" t="str">
        <f>IF(N142="","",VLOOKUP(N142,'G-7 Rivers Data'!$B$2:$G$8,2,FALSE))</f>
        <v/>
      </c>
      <c r="S142" s="172" t="str">
        <f>IFERROR(VLOOKUP(R142,'G-7 Rivers Data'!$C$4:$D$8,2,FALSE),"")</f>
        <v/>
      </c>
      <c r="T142" s="173"/>
      <c r="U142" s="172" t="str">
        <f>IFERROR(INDEX('G-7 Rivers Data'!$H$4:$L$8,MATCH(N142,'G-7 Rivers Data'!$B$4:$B$8,0),MATCH(T142,'G-7 Rivers Data'!$H$3:$L$3,0)),"")</f>
        <v/>
      </c>
      <c r="V142" s="186"/>
      <c r="W142" s="175" t="str">
        <f>IF(V142="","",IF(VLOOKUP(V142,'G-7 Rivers Data'!$AG$4:$AI$9,2,FALSE)=0,"Spatial Data Missing",VLOOKUP(V142,'G-7 Rivers Data'!$AG$4:$AI$9,2,FALSE)))</f>
        <v/>
      </c>
      <c r="X142" s="176" t="str">
        <f>IF(V142="","",IF(VLOOKUP(V142,'G-7 Rivers Data'!$AG$4:$AI$9,3,FALSE)=0,"Spatial Data Missing",VLOOKUP(V142,'G-7 Rivers Data'!$AG$4:$AI$9,3,FALSE)))</f>
        <v/>
      </c>
      <c r="Y142" s="239" t="str">
        <f>IFERROR(IF(OR(LEFT(P142,5)="Error",LEFT(O142,5)="Error"),"Check Data",IF(F142&lt;S142,'G-7 Rivers Data'!$R$3,INDEX('G-7 Rivers Data'!$U$5:$Y$9,MATCH(G142,'G-7 Rivers Data'!$T$5:$T$9,0),MATCH(T142,'G-7 Rivers Data'!$U$4:$Y$4,0)))),"")</f>
        <v/>
      </c>
      <c r="Z142" s="275"/>
      <c r="AA142" s="275"/>
      <c r="AB142" s="175" t="str">
        <f t="shared" si="20"/>
        <v/>
      </c>
      <c r="AC142" s="262" t="str">
        <f t="shared" si="21"/>
        <v/>
      </c>
      <c r="AD142" s="382" t="str">
        <f>IFERROR(IF(AC142="Check Data","Check Data",VLOOKUP(AC142,'G-4 Temporal multipliers'!$A$4:$C$37,3,FALSE)),"")</f>
        <v/>
      </c>
      <c r="AE142" s="239" t="str">
        <f>IF(N142="","",VLOOKUP(N142,'G-7 Rivers Data'!$B$4:$G$8,5,FALSE))</f>
        <v/>
      </c>
      <c r="AF142" s="175" t="str">
        <f t="shared" si="22"/>
        <v/>
      </c>
      <c r="AG142" s="175" t="str">
        <f t="shared" si="23"/>
        <v/>
      </c>
      <c r="AH142" s="176" t="str">
        <f t="shared" si="17"/>
        <v/>
      </c>
      <c r="AI142" s="173"/>
      <c r="AJ142" s="172" t="str">
        <f>IF(AI142="","",IF(VLOOKUP(AI142,'G-7 Rivers Data'!$AA$4:$AB$7,2,FALSE)=0,"Spatial Data Missing",VLOOKUP(AI142,'G-7 Rivers Data'!$AA$4:$AB$7,2,FALSE)))</f>
        <v/>
      </c>
      <c r="AK142" s="187"/>
      <c r="AL142" s="172" t="str">
        <f>IF(AK142="","",IF(VLOOKUP(AK142,'G-7 Rivers Data'!$AD$4:$AE$8,2,FALSE)=0,"Spatial Data Missing",VLOOKUP(AK142,'G-7 Rivers Data'!$AD$4:$AE$8,2,FALSE)))</f>
        <v/>
      </c>
      <c r="AM142" s="186"/>
      <c r="AN142" s="176" t="str">
        <f>IF(AM142="","",VLOOKUP(AM142,'G-7 Rivers Data'!$AO$4:$AP$7,2,FALSE))</f>
        <v/>
      </c>
      <c r="AO142" s="265" t="str">
        <f t="shared" si="24"/>
        <v/>
      </c>
      <c r="AP142" s="180"/>
      <c r="AQ142" s="181"/>
      <c r="AX142" s="35" t="str">
        <f>IFERROR(INDEX('G-7 Rivers Data'!$AZ$3:$AZ$7,MATCH(N142,'G-7 Rivers Data'!$AY$3:$AY$7,0)),"")</f>
        <v/>
      </c>
    </row>
    <row r="143" spans="2:50" ht="13.8" x14ac:dyDescent="0.25">
      <c r="B143" s="259" t="str">
        <f>'F-1 Off Site River Baseline'!AN141</f>
        <v/>
      </c>
      <c r="C143" s="175" t="str">
        <f>IF(B143="","",VLOOKUP($B143,'F-1 Off Site River Baseline'!$C$9:$R$257,2,FALSE))</f>
        <v/>
      </c>
      <c r="D143" s="175" t="str">
        <f>IF(C143="","",VLOOKUP($B143,'F-1 Off Site River Baseline'!$C$9:$R$257,3,FALSE))</f>
        <v/>
      </c>
      <c r="E143" s="175" t="str">
        <f>IF(D143="","",VLOOKUP($B143,'F-1 Off Site River Baseline'!$C$9:$R$257,4,FALSE))</f>
        <v/>
      </c>
      <c r="F143" s="175" t="str">
        <f>IF(E143="","",VLOOKUP($B143,'F-1 Off Site River Baseline'!$C$9:$R$257,5,FALSE))</f>
        <v/>
      </c>
      <c r="G143" s="175" t="str">
        <f>IF(F143="","",VLOOKUP($B143,'F-1 Off Site River Baseline'!$C$9:$R$257,6,FALSE))</f>
        <v/>
      </c>
      <c r="H143" s="175" t="str">
        <f>IF(G143="","",VLOOKUP($B143,'F-1 Off Site River Baseline'!$C$9:$R$257,7,FALSE))</f>
        <v/>
      </c>
      <c r="I143" s="175" t="str">
        <f>IF(H143="","",VLOOKUP($B143,'F-1 Off Site River Baseline'!$C$9:$R$257,8,FALSE))</f>
        <v/>
      </c>
      <c r="J143" s="175" t="str">
        <f>IF(I143="","",VLOOKUP($B143,'F-1 Off Site River Baseline'!$C$9:$R$257,9,FALSE))</f>
        <v/>
      </c>
      <c r="K143" s="175" t="str">
        <f>IF(J143="","",VLOOKUP($B143,'F-1 Off Site River Baseline'!$C$9:$R$257,10,FALSE))</f>
        <v/>
      </c>
      <c r="L143" s="175" t="str">
        <f>IF(B143="","",VLOOKUP($B143,'C-1 Site River Baseline'!$C$9:$R$257,15,FALSE))</f>
        <v/>
      </c>
      <c r="M143" s="176" t="str">
        <f>IF(L143="","",VLOOKUP($B143,'F-1 Off Site River Baseline'!$C$9:$R$257,16,FALSE))</f>
        <v/>
      </c>
      <c r="N143" s="639" t="str">
        <f t="shared" si="18"/>
        <v/>
      </c>
      <c r="O143" s="171" t="str">
        <f t="shared" si="19"/>
        <v/>
      </c>
      <c r="P143" s="172" t="str">
        <f>IF(C143="","",IF(AND(LEFT(C143,55)&lt;&gt;LEFT(N143,55),O143="High - High"),"Error - Not like for like",IF(AND(F143=S143,H143&gt;U143),"Error - Can not reduce condition",IF(AND(F143=S143,H143=U143,AJ143='F-1 Off Site River Baseline'!N141,'F-1 Off Site River Baseline'!P141=AL143),"Error - No enhancement",IF(AND(C143&lt;&gt;N143,F143&lt;S143),"Lower Distinctiveness Habitat"&amp;" - "&amp;T143,G143&amp;" - "&amp;T143)))))</f>
        <v/>
      </c>
      <c r="Q143" s="260" t="str">
        <f>IF(N143="","",VLOOKUP(B143,'F-1 Off Site River Baseline'!$C$10:$AA$257,19,FALSE))</f>
        <v/>
      </c>
      <c r="R143" s="171" t="str">
        <f>IF(N143="","",VLOOKUP(N143,'G-7 Rivers Data'!$B$2:$G$8,2,FALSE))</f>
        <v/>
      </c>
      <c r="S143" s="172" t="str">
        <f>IFERROR(VLOOKUP(R143,'G-7 Rivers Data'!$C$4:$D$8,2,FALSE),"")</f>
        <v/>
      </c>
      <c r="T143" s="173"/>
      <c r="U143" s="172" t="str">
        <f>IFERROR(INDEX('G-7 Rivers Data'!$H$4:$L$8,MATCH(N143,'G-7 Rivers Data'!$B$4:$B$8,0),MATCH(T143,'G-7 Rivers Data'!$H$3:$L$3,0)),"")</f>
        <v/>
      </c>
      <c r="V143" s="186"/>
      <c r="W143" s="175" t="str">
        <f>IF(V143="","",IF(VLOOKUP(V143,'G-7 Rivers Data'!$AG$4:$AI$9,2,FALSE)=0,"Spatial Data Missing",VLOOKUP(V143,'G-7 Rivers Data'!$AG$4:$AI$9,2,FALSE)))</f>
        <v/>
      </c>
      <c r="X143" s="176" t="str">
        <f>IF(V143="","",IF(VLOOKUP(V143,'G-7 Rivers Data'!$AG$4:$AI$9,3,FALSE)=0,"Spatial Data Missing",VLOOKUP(V143,'G-7 Rivers Data'!$AG$4:$AI$9,3,FALSE)))</f>
        <v/>
      </c>
      <c r="Y143" s="239" t="str">
        <f>IFERROR(IF(OR(LEFT(P143,5)="Error",LEFT(O143,5)="Error"),"Check Data",IF(F143&lt;S143,'G-7 Rivers Data'!$R$3,INDEX('G-7 Rivers Data'!$U$5:$Y$9,MATCH(G143,'G-7 Rivers Data'!$T$5:$T$9,0),MATCH(T143,'G-7 Rivers Data'!$U$4:$Y$4,0)))),"")</f>
        <v/>
      </c>
      <c r="Z143" s="275"/>
      <c r="AA143" s="275"/>
      <c r="AB143" s="175" t="str">
        <f t="shared" si="20"/>
        <v/>
      </c>
      <c r="AC143" s="262" t="str">
        <f t="shared" si="21"/>
        <v/>
      </c>
      <c r="AD143" s="382" t="str">
        <f>IFERROR(IF(AC143="Check Data","Check Data",VLOOKUP(AC143,'G-4 Temporal multipliers'!$A$4:$C$37,3,FALSE)),"")</f>
        <v/>
      </c>
      <c r="AE143" s="239" t="str">
        <f>IF(N143="","",VLOOKUP(N143,'G-7 Rivers Data'!$B$4:$G$8,5,FALSE))</f>
        <v/>
      </c>
      <c r="AF143" s="175" t="str">
        <f t="shared" si="22"/>
        <v/>
      </c>
      <c r="AG143" s="175" t="str">
        <f t="shared" si="23"/>
        <v/>
      </c>
      <c r="AH143" s="176" t="str">
        <f t="shared" si="17"/>
        <v/>
      </c>
      <c r="AI143" s="173"/>
      <c r="AJ143" s="172" t="str">
        <f>IF(AI143="","",IF(VLOOKUP(AI143,'G-7 Rivers Data'!$AA$4:$AB$7,2,FALSE)=0,"Spatial Data Missing",VLOOKUP(AI143,'G-7 Rivers Data'!$AA$4:$AB$7,2,FALSE)))</f>
        <v/>
      </c>
      <c r="AK143" s="187"/>
      <c r="AL143" s="172" t="str">
        <f>IF(AK143="","",IF(VLOOKUP(AK143,'G-7 Rivers Data'!$AD$4:$AE$8,2,FALSE)=0,"Spatial Data Missing",VLOOKUP(AK143,'G-7 Rivers Data'!$AD$4:$AE$8,2,FALSE)))</f>
        <v/>
      </c>
      <c r="AM143" s="186"/>
      <c r="AN143" s="176" t="str">
        <f>IF(AM143="","",VLOOKUP(AM143,'G-7 Rivers Data'!$AO$4:$AP$7,2,FALSE))</f>
        <v/>
      </c>
      <c r="AO143" s="265" t="str">
        <f t="shared" si="24"/>
        <v/>
      </c>
      <c r="AP143" s="180"/>
      <c r="AQ143" s="181"/>
      <c r="AX143" s="35" t="str">
        <f>IFERROR(INDEX('G-7 Rivers Data'!$AZ$3:$AZ$7,MATCH(N143,'G-7 Rivers Data'!$AY$3:$AY$7,0)),"")</f>
        <v/>
      </c>
    </row>
    <row r="144" spans="2:50" ht="13.8" x14ac:dyDescent="0.25">
      <c r="B144" s="259" t="str">
        <f>'F-1 Off Site River Baseline'!AN142</f>
        <v/>
      </c>
      <c r="C144" s="175" t="str">
        <f>IF(B144="","",VLOOKUP($B144,'F-1 Off Site River Baseline'!$C$9:$R$257,2,FALSE))</f>
        <v/>
      </c>
      <c r="D144" s="175" t="str">
        <f>IF(C144="","",VLOOKUP($B144,'F-1 Off Site River Baseline'!$C$9:$R$257,3,FALSE))</f>
        <v/>
      </c>
      <c r="E144" s="175" t="str">
        <f>IF(D144="","",VLOOKUP($B144,'F-1 Off Site River Baseline'!$C$9:$R$257,4,FALSE))</f>
        <v/>
      </c>
      <c r="F144" s="175" t="str">
        <f>IF(E144="","",VLOOKUP($B144,'F-1 Off Site River Baseline'!$C$9:$R$257,5,FALSE))</f>
        <v/>
      </c>
      <c r="G144" s="175" t="str">
        <f>IF(F144="","",VLOOKUP($B144,'F-1 Off Site River Baseline'!$C$9:$R$257,6,FALSE))</f>
        <v/>
      </c>
      <c r="H144" s="175" t="str">
        <f>IF(G144="","",VLOOKUP($B144,'F-1 Off Site River Baseline'!$C$9:$R$257,7,FALSE))</f>
        <v/>
      </c>
      <c r="I144" s="175" t="str">
        <f>IF(H144="","",VLOOKUP($B144,'F-1 Off Site River Baseline'!$C$9:$R$257,8,FALSE))</f>
        <v/>
      </c>
      <c r="J144" s="175" t="str">
        <f>IF(I144="","",VLOOKUP($B144,'F-1 Off Site River Baseline'!$C$9:$R$257,9,FALSE))</f>
        <v/>
      </c>
      <c r="K144" s="175" t="str">
        <f>IF(J144="","",VLOOKUP($B144,'F-1 Off Site River Baseline'!$C$9:$R$257,10,FALSE))</f>
        <v/>
      </c>
      <c r="L144" s="175" t="str">
        <f>IF(B144="","",VLOOKUP($B144,'C-1 Site River Baseline'!$C$9:$R$257,15,FALSE))</f>
        <v/>
      </c>
      <c r="M144" s="176" t="str">
        <f>IF(L144="","",VLOOKUP($B144,'F-1 Off Site River Baseline'!$C$9:$R$257,16,FALSE))</f>
        <v/>
      </c>
      <c r="N144" s="639" t="str">
        <f t="shared" si="18"/>
        <v/>
      </c>
      <c r="O144" s="171" t="str">
        <f t="shared" si="19"/>
        <v/>
      </c>
      <c r="P144" s="172" t="str">
        <f>IF(C144="","",IF(AND(LEFT(C144,55)&lt;&gt;LEFT(N144,55),O144="High - High"),"Error - Not like for like",IF(AND(F144=S144,H144&gt;U144),"Error - Can not reduce condition",IF(AND(F144=S144,H144=U144,AJ144='F-1 Off Site River Baseline'!N142,'F-1 Off Site River Baseline'!P142=AL144),"Error - No enhancement",IF(AND(C144&lt;&gt;N144,F144&lt;S144),"Lower Distinctiveness Habitat"&amp;" - "&amp;T144,G144&amp;" - "&amp;T144)))))</f>
        <v/>
      </c>
      <c r="Q144" s="260" t="str">
        <f>IF(N144="","",VLOOKUP(B144,'F-1 Off Site River Baseline'!$C$10:$AA$257,19,FALSE))</f>
        <v/>
      </c>
      <c r="R144" s="171" t="str">
        <f>IF(N144="","",VLOOKUP(N144,'G-7 Rivers Data'!$B$2:$G$8,2,FALSE))</f>
        <v/>
      </c>
      <c r="S144" s="172" t="str">
        <f>IFERROR(VLOOKUP(R144,'G-7 Rivers Data'!$C$4:$D$8,2,FALSE),"")</f>
        <v/>
      </c>
      <c r="T144" s="173"/>
      <c r="U144" s="172" t="str">
        <f>IFERROR(INDEX('G-7 Rivers Data'!$H$4:$L$8,MATCH(N144,'G-7 Rivers Data'!$B$4:$B$8,0),MATCH(T144,'G-7 Rivers Data'!$H$3:$L$3,0)),"")</f>
        <v/>
      </c>
      <c r="V144" s="186"/>
      <c r="W144" s="175" t="str">
        <f>IF(V144="","",IF(VLOOKUP(V144,'G-7 Rivers Data'!$AG$4:$AI$9,2,FALSE)=0,"Spatial Data Missing",VLOOKUP(V144,'G-7 Rivers Data'!$AG$4:$AI$9,2,FALSE)))</f>
        <v/>
      </c>
      <c r="X144" s="176" t="str">
        <f>IF(V144="","",IF(VLOOKUP(V144,'G-7 Rivers Data'!$AG$4:$AI$9,3,FALSE)=0,"Spatial Data Missing",VLOOKUP(V144,'G-7 Rivers Data'!$AG$4:$AI$9,3,FALSE)))</f>
        <v/>
      </c>
      <c r="Y144" s="239" t="str">
        <f>IFERROR(IF(OR(LEFT(P144,5)="Error",LEFT(O144,5)="Error"),"Check Data",IF(F144&lt;S144,'G-7 Rivers Data'!$R$3,INDEX('G-7 Rivers Data'!$U$5:$Y$9,MATCH(G144,'G-7 Rivers Data'!$T$5:$T$9,0),MATCH(T144,'G-7 Rivers Data'!$U$4:$Y$4,0)))),"")</f>
        <v/>
      </c>
      <c r="Z144" s="275"/>
      <c r="AA144" s="275"/>
      <c r="AB144" s="175" t="str">
        <f t="shared" si="20"/>
        <v/>
      </c>
      <c r="AC144" s="262" t="str">
        <f t="shared" si="21"/>
        <v/>
      </c>
      <c r="AD144" s="382" t="str">
        <f>IFERROR(IF(AC144="Check Data","Check Data",VLOOKUP(AC144,'G-4 Temporal multipliers'!$A$4:$C$37,3,FALSE)),"")</f>
        <v/>
      </c>
      <c r="AE144" s="239" t="str">
        <f>IF(N144="","",VLOOKUP(N144,'G-7 Rivers Data'!$B$4:$G$8,5,FALSE))</f>
        <v/>
      </c>
      <c r="AF144" s="175" t="str">
        <f t="shared" si="22"/>
        <v/>
      </c>
      <c r="AG144" s="175" t="str">
        <f t="shared" si="23"/>
        <v/>
      </c>
      <c r="AH144" s="176" t="str">
        <f t="shared" si="17"/>
        <v/>
      </c>
      <c r="AI144" s="173"/>
      <c r="AJ144" s="172" t="str">
        <f>IF(AI144="","",IF(VLOOKUP(AI144,'G-7 Rivers Data'!$AA$4:$AB$7,2,FALSE)=0,"Spatial Data Missing",VLOOKUP(AI144,'G-7 Rivers Data'!$AA$4:$AB$7,2,FALSE)))</f>
        <v/>
      </c>
      <c r="AK144" s="187"/>
      <c r="AL144" s="172" t="str">
        <f>IF(AK144="","",IF(VLOOKUP(AK144,'G-7 Rivers Data'!$AD$4:$AE$8,2,FALSE)=0,"Spatial Data Missing",VLOOKUP(AK144,'G-7 Rivers Data'!$AD$4:$AE$8,2,FALSE)))</f>
        <v/>
      </c>
      <c r="AM144" s="186"/>
      <c r="AN144" s="176" t="str">
        <f>IF(AM144="","",VLOOKUP(AM144,'G-7 Rivers Data'!$AO$4:$AP$7,2,FALSE))</f>
        <v/>
      </c>
      <c r="AO144" s="265" t="str">
        <f t="shared" si="24"/>
        <v/>
      </c>
      <c r="AP144" s="180"/>
      <c r="AQ144" s="181"/>
      <c r="AX144" s="35" t="str">
        <f>IFERROR(INDEX('G-7 Rivers Data'!$AZ$3:$AZ$7,MATCH(N144,'G-7 Rivers Data'!$AY$3:$AY$7,0)),"")</f>
        <v/>
      </c>
    </row>
    <row r="145" spans="2:50" ht="13.8" x14ac:dyDescent="0.25">
      <c r="B145" s="259" t="str">
        <f>'F-1 Off Site River Baseline'!AN143</f>
        <v/>
      </c>
      <c r="C145" s="175" t="str">
        <f>IF(B145="","",VLOOKUP($B145,'F-1 Off Site River Baseline'!$C$9:$R$257,2,FALSE))</f>
        <v/>
      </c>
      <c r="D145" s="175" t="str">
        <f>IF(C145="","",VLOOKUP($B145,'F-1 Off Site River Baseline'!$C$9:$R$257,3,FALSE))</f>
        <v/>
      </c>
      <c r="E145" s="175" t="str">
        <f>IF(D145="","",VLOOKUP($B145,'F-1 Off Site River Baseline'!$C$9:$R$257,4,FALSE))</f>
        <v/>
      </c>
      <c r="F145" s="175" t="str">
        <f>IF(E145="","",VLOOKUP($B145,'F-1 Off Site River Baseline'!$C$9:$R$257,5,FALSE))</f>
        <v/>
      </c>
      <c r="G145" s="175" t="str">
        <f>IF(F145="","",VLOOKUP($B145,'F-1 Off Site River Baseline'!$C$9:$R$257,6,FALSE))</f>
        <v/>
      </c>
      <c r="H145" s="175" t="str">
        <f>IF(G145="","",VLOOKUP($B145,'F-1 Off Site River Baseline'!$C$9:$R$257,7,FALSE))</f>
        <v/>
      </c>
      <c r="I145" s="175" t="str">
        <f>IF(H145="","",VLOOKUP($B145,'F-1 Off Site River Baseline'!$C$9:$R$257,8,FALSE))</f>
        <v/>
      </c>
      <c r="J145" s="175" t="str">
        <f>IF(I145="","",VLOOKUP($B145,'F-1 Off Site River Baseline'!$C$9:$R$257,9,FALSE))</f>
        <v/>
      </c>
      <c r="K145" s="175" t="str">
        <f>IF(J145="","",VLOOKUP($B145,'F-1 Off Site River Baseline'!$C$9:$R$257,10,FALSE))</f>
        <v/>
      </c>
      <c r="L145" s="175" t="str">
        <f>IF(B145="","",VLOOKUP($B145,'C-1 Site River Baseline'!$C$9:$R$257,15,FALSE))</f>
        <v/>
      </c>
      <c r="M145" s="176" t="str">
        <f>IF(L145="","",VLOOKUP($B145,'F-1 Off Site River Baseline'!$C$9:$R$257,16,FALSE))</f>
        <v/>
      </c>
      <c r="N145" s="639" t="str">
        <f t="shared" si="18"/>
        <v/>
      </c>
      <c r="O145" s="171" t="str">
        <f t="shared" si="19"/>
        <v/>
      </c>
      <c r="P145" s="172" t="str">
        <f>IF(C145="","",IF(AND(LEFT(C145,55)&lt;&gt;LEFT(N145,55),O145="High - High"),"Error - Not like for like",IF(AND(F145=S145,H145&gt;U145),"Error - Can not reduce condition",IF(AND(F145=S145,H145=U145,AJ145='F-1 Off Site River Baseline'!N143,'F-1 Off Site River Baseline'!P143=AL145),"Error - No enhancement",IF(AND(C145&lt;&gt;N145,F145&lt;S145),"Lower Distinctiveness Habitat"&amp;" - "&amp;T145,G145&amp;" - "&amp;T145)))))</f>
        <v/>
      </c>
      <c r="Q145" s="260" t="str">
        <f>IF(N145="","",VLOOKUP(B145,'F-1 Off Site River Baseline'!$C$10:$AA$257,19,FALSE))</f>
        <v/>
      </c>
      <c r="R145" s="171" t="str">
        <f>IF(N145="","",VLOOKUP(N145,'G-7 Rivers Data'!$B$2:$G$8,2,FALSE))</f>
        <v/>
      </c>
      <c r="S145" s="172" t="str">
        <f>IFERROR(VLOOKUP(R145,'G-7 Rivers Data'!$C$4:$D$8,2,FALSE),"")</f>
        <v/>
      </c>
      <c r="T145" s="173"/>
      <c r="U145" s="172" t="str">
        <f>IFERROR(INDEX('G-7 Rivers Data'!$H$4:$L$8,MATCH(N145,'G-7 Rivers Data'!$B$4:$B$8,0),MATCH(T145,'G-7 Rivers Data'!$H$3:$L$3,0)),"")</f>
        <v/>
      </c>
      <c r="V145" s="186"/>
      <c r="W145" s="175" t="str">
        <f>IF(V145="","",IF(VLOOKUP(V145,'G-7 Rivers Data'!$AG$4:$AI$9,2,FALSE)=0,"Spatial Data Missing",VLOOKUP(V145,'G-7 Rivers Data'!$AG$4:$AI$9,2,FALSE)))</f>
        <v/>
      </c>
      <c r="X145" s="176" t="str">
        <f>IF(V145="","",IF(VLOOKUP(V145,'G-7 Rivers Data'!$AG$4:$AI$9,3,FALSE)=0,"Spatial Data Missing",VLOOKUP(V145,'G-7 Rivers Data'!$AG$4:$AI$9,3,FALSE)))</f>
        <v/>
      </c>
      <c r="Y145" s="239" t="str">
        <f>IFERROR(IF(OR(LEFT(P145,5)="Error",LEFT(O145,5)="Error"),"Check Data",IF(F145&lt;S145,'G-7 Rivers Data'!$R$3,INDEX('G-7 Rivers Data'!$U$5:$Y$9,MATCH(G145,'G-7 Rivers Data'!$T$5:$T$9,0),MATCH(T145,'G-7 Rivers Data'!$U$4:$Y$4,0)))),"")</f>
        <v/>
      </c>
      <c r="Z145" s="275"/>
      <c r="AA145" s="275"/>
      <c r="AB145" s="175" t="str">
        <f t="shared" si="20"/>
        <v/>
      </c>
      <c r="AC145" s="262" t="str">
        <f t="shared" si="21"/>
        <v/>
      </c>
      <c r="AD145" s="382" t="str">
        <f>IFERROR(IF(AC145="Check Data","Check Data",VLOOKUP(AC145,'G-4 Temporal multipliers'!$A$4:$C$37,3,FALSE)),"")</f>
        <v/>
      </c>
      <c r="AE145" s="239" t="str">
        <f>IF(N145="","",VLOOKUP(N145,'G-7 Rivers Data'!$B$4:$G$8,5,FALSE))</f>
        <v/>
      </c>
      <c r="AF145" s="175" t="str">
        <f t="shared" si="22"/>
        <v/>
      </c>
      <c r="AG145" s="175" t="str">
        <f t="shared" si="23"/>
        <v/>
      </c>
      <c r="AH145" s="176" t="str">
        <f t="shared" si="17"/>
        <v/>
      </c>
      <c r="AI145" s="173"/>
      <c r="AJ145" s="172" t="str">
        <f>IF(AI145="","",IF(VLOOKUP(AI145,'G-7 Rivers Data'!$AA$4:$AB$7,2,FALSE)=0,"Spatial Data Missing",VLOOKUP(AI145,'G-7 Rivers Data'!$AA$4:$AB$7,2,FALSE)))</f>
        <v/>
      </c>
      <c r="AK145" s="187"/>
      <c r="AL145" s="172" t="str">
        <f>IF(AK145="","",IF(VLOOKUP(AK145,'G-7 Rivers Data'!$AD$4:$AE$8,2,FALSE)=0,"Spatial Data Missing",VLOOKUP(AK145,'G-7 Rivers Data'!$AD$4:$AE$8,2,FALSE)))</f>
        <v/>
      </c>
      <c r="AM145" s="186"/>
      <c r="AN145" s="176" t="str">
        <f>IF(AM145="","",VLOOKUP(AM145,'G-7 Rivers Data'!$AO$4:$AP$7,2,FALSE))</f>
        <v/>
      </c>
      <c r="AO145" s="265" t="str">
        <f t="shared" si="24"/>
        <v/>
      </c>
      <c r="AP145" s="180"/>
      <c r="AQ145" s="181"/>
      <c r="AX145" s="35" t="str">
        <f>IFERROR(INDEX('G-7 Rivers Data'!$AZ$3:$AZ$7,MATCH(N145,'G-7 Rivers Data'!$AY$3:$AY$7,0)),"")</f>
        <v/>
      </c>
    </row>
    <row r="146" spans="2:50" ht="13.8" x14ac:dyDescent="0.25">
      <c r="B146" s="259" t="str">
        <f>'F-1 Off Site River Baseline'!AN144</f>
        <v/>
      </c>
      <c r="C146" s="175" t="str">
        <f>IF(B146="","",VLOOKUP($B146,'F-1 Off Site River Baseline'!$C$9:$R$257,2,FALSE))</f>
        <v/>
      </c>
      <c r="D146" s="175" t="str">
        <f>IF(C146="","",VLOOKUP($B146,'F-1 Off Site River Baseline'!$C$9:$R$257,3,FALSE))</f>
        <v/>
      </c>
      <c r="E146" s="175" t="str">
        <f>IF(D146="","",VLOOKUP($B146,'F-1 Off Site River Baseline'!$C$9:$R$257,4,FALSE))</f>
        <v/>
      </c>
      <c r="F146" s="175" t="str">
        <f>IF(E146="","",VLOOKUP($B146,'F-1 Off Site River Baseline'!$C$9:$R$257,5,FALSE))</f>
        <v/>
      </c>
      <c r="G146" s="175" t="str">
        <f>IF(F146="","",VLOOKUP($B146,'F-1 Off Site River Baseline'!$C$9:$R$257,6,FALSE))</f>
        <v/>
      </c>
      <c r="H146" s="175" t="str">
        <f>IF(G146="","",VLOOKUP($B146,'F-1 Off Site River Baseline'!$C$9:$R$257,7,FALSE))</f>
        <v/>
      </c>
      <c r="I146" s="175" t="str">
        <f>IF(H146="","",VLOOKUP($B146,'F-1 Off Site River Baseline'!$C$9:$R$257,8,FALSE))</f>
        <v/>
      </c>
      <c r="J146" s="175" t="str">
        <f>IF(I146="","",VLOOKUP($B146,'F-1 Off Site River Baseline'!$C$9:$R$257,9,FALSE))</f>
        <v/>
      </c>
      <c r="K146" s="175" t="str">
        <f>IF(J146="","",VLOOKUP($B146,'F-1 Off Site River Baseline'!$C$9:$R$257,10,FALSE))</f>
        <v/>
      </c>
      <c r="L146" s="175" t="str">
        <f>IF(B146="","",VLOOKUP($B146,'C-1 Site River Baseline'!$C$9:$R$257,15,FALSE))</f>
        <v/>
      </c>
      <c r="M146" s="176" t="str">
        <f>IF(L146="","",VLOOKUP($B146,'F-1 Off Site River Baseline'!$C$9:$R$257,16,FALSE))</f>
        <v/>
      </c>
      <c r="N146" s="639" t="str">
        <f t="shared" si="18"/>
        <v/>
      </c>
      <c r="O146" s="171" t="str">
        <f t="shared" si="19"/>
        <v/>
      </c>
      <c r="P146" s="172" t="str">
        <f>IF(C146="","",IF(AND(LEFT(C146,55)&lt;&gt;LEFT(N146,55),O146="High - High"),"Error - Not like for like",IF(AND(F146=S146,H146&gt;U146),"Error - Can not reduce condition",IF(AND(F146=S146,H146=U146,AJ146='F-1 Off Site River Baseline'!N144,'F-1 Off Site River Baseline'!P144=AL146),"Error - No enhancement",IF(AND(C146&lt;&gt;N146,F146&lt;S146),"Lower Distinctiveness Habitat"&amp;" - "&amp;T146,G146&amp;" - "&amp;T146)))))</f>
        <v/>
      </c>
      <c r="Q146" s="260" t="str">
        <f>IF(N146="","",VLOOKUP(B146,'F-1 Off Site River Baseline'!$C$10:$AA$257,19,FALSE))</f>
        <v/>
      </c>
      <c r="R146" s="171" t="str">
        <f>IF(N146="","",VLOOKUP(N146,'G-7 Rivers Data'!$B$2:$G$8,2,FALSE))</f>
        <v/>
      </c>
      <c r="S146" s="172" t="str">
        <f>IFERROR(VLOOKUP(R146,'G-7 Rivers Data'!$C$4:$D$8,2,FALSE),"")</f>
        <v/>
      </c>
      <c r="T146" s="173"/>
      <c r="U146" s="172" t="str">
        <f>IFERROR(INDEX('G-7 Rivers Data'!$H$4:$L$8,MATCH(N146,'G-7 Rivers Data'!$B$4:$B$8,0),MATCH(T146,'G-7 Rivers Data'!$H$3:$L$3,0)),"")</f>
        <v/>
      </c>
      <c r="V146" s="186"/>
      <c r="W146" s="175" t="str">
        <f>IF(V146="","",IF(VLOOKUP(V146,'G-7 Rivers Data'!$AG$4:$AI$9,2,FALSE)=0,"Spatial Data Missing",VLOOKUP(V146,'G-7 Rivers Data'!$AG$4:$AI$9,2,FALSE)))</f>
        <v/>
      </c>
      <c r="X146" s="176" t="str">
        <f>IF(V146="","",IF(VLOOKUP(V146,'G-7 Rivers Data'!$AG$4:$AI$9,3,FALSE)=0,"Spatial Data Missing",VLOOKUP(V146,'G-7 Rivers Data'!$AG$4:$AI$9,3,FALSE)))</f>
        <v/>
      </c>
      <c r="Y146" s="239" t="str">
        <f>IFERROR(IF(OR(LEFT(P146,5)="Error",LEFT(O146,5)="Error"),"Check Data",IF(F146&lt;S146,'G-7 Rivers Data'!$R$3,INDEX('G-7 Rivers Data'!$U$5:$Y$9,MATCH(G146,'G-7 Rivers Data'!$T$5:$T$9,0),MATCH(T146,'G-7 Rivers Data'!$U$4:$Y$4,0)))),"")</f>
        <v/>
      </c>
      <c r="Z146" s="275"/>
      <c r="AA146" s="275"/>
      <c r="AB146" s="175" t="str">
        <f t="shared" si="20"/>
        <v/>
      </c>
      <c r="AC146" s="262" t="str">
        <f t="shared" si="21"/>
        <v/>
      </c>
      <c r="AD146" s="382" t="str">
        <f>IFERROR(IF(AC146="Check Data","Check Data",VLOOKUP(AC146,'G-4 Temporal multipliers'!$A$4:$C$37,3,FALSE)),"")</f>
        <v/>
      </c>
      <c r="AE146" s="239" t="str">
        <f>IF(N146="","",VLOOKUP(N146,'G-7 Rivers Data'!$B$4:$G$8,5,FALSE))</f>
        <v/>
      </c>
      <c r="AF146" s="175" t="str">
        <f t="shared" si="22"/>
        <v/>
      </c>
      <c r="AG146" s="175" t="str">
        <f t="shared" si="23"/>
        <v/>
      </c>
      <c r="AH146" s="176" t="str">
        <f t="shared" si="17"/>
        <v/>
      </c>
      <c r="AI146" s="173"/>
      <c r="AJ146" s="172" t="str">
        <f>IF(AI146="","",IF(VLOOKUP(AI146,'G-7 Rivers Data'!$AA$4:$AB$7,2,FALSE)=0,"Spatial Data Missing",VLOOKUP(AI146,'G-7 Rivers Data'!$AA$4:$AB$7,2,FALSE)))</f>
        <v/>
      </c>
      <c r="AK146" s="187"/>
      <c r="AL146" s="172" t="str">
        <f>IF(AK146="","",IF(VLOOKUP(AK146,'G-7 Rivers Data'!$AD$4:$AE$8,2,FALSE)=0,"Spatial Data Missing",VLOOKUP(AK146,'G-7 Rivers Data'!$AD$4:$AE$8,2,FALSE)))</f>
        <v/>
      </c>
      <c r="AM146" s="186"/>
      <c r="AN146" s="176" t="str">
        <f>IF(AM146="","",VLOOKUP(AM146,'G-7 Rivers Data'!$AO$4:$AP$7,2,FALSE))</f>
        <v/>
      </c>
      <c r="AO146" s="265" t="str">
        <f t="shared" si="24"/>
        <v/>
      </c>
      <c r="AP146" s="180"/>
      <c r="AQ146" s="181"/>
      <c r="AX146" s="35" t="str">
        <f>IFERROR(INDEX('G-7 Rivers Data'!$AZ$3:$AZ$7,MATCH(N146,'G-7 Rivers Data'!$AY$3:$AY$7,0)),"")</f>
        <v/>
      </c>
    </row>
    <row r="147" spans="2:50" ht="13.8" x14ac:dyDescent="0.25">
      <c r="B147" s="259" t="str">
        <f>'F-1 Off Site River Baseline'!AN145</f>
        <v/>
      </c>
      <c r="C147" s="175" t="str">
        <f>IF(B147="","",VLOOKUP($B147,'F-1 Off Site River Baseline'!$C$9:$R$257,2,FALSE))</f>
        <v/>
      </c>
      <c r="D147" s="175" t="str">
        <f>IF(C147="","",VLOOKUP($B147,'F-1 Off Site River Baseline'!$C$9:$R$257,3,FALSE))</f>
        <v/>
      </c>
      <c r="E147" s="175" t="str">
        <f>IF(D147="","",VLOOKUP($B147,'F-1 Off Site River Baseline'!$C$9:$R$257,4,FALSE))</f>
        <v/>
      </c>
      <c r="F147" s="175" t="str">
        <f>IF(E147="","",VLOOKUP($B147,'F-1 Off Site River Baseline'!$C$9:$R$257,5,FALSE))</f>
        <v/>
      </c>
      <c r="G147" s="175" t="str">
        <f>IF(F147="","",VLOOKUP($B147,'F-1 Off Site River Baseline'!$C$9:$R$257,6,FALSE))</f>
        <v/>
      </c>
      <c r="H147" s="175" t="str">
        <f>IF(G147="","",VLOOKUP($B147,'F-1 Off Site River Baseline'!$C$9:$R$257,7,FALSE))</f>
        <v/>
      </c>
      <c r="I147" s="175" t="str">
        <f>IF(H147="","",VLOOKUP($B147,'F-1 Off Site River Baseline'!$C$9:$R$257,8,FALSE))</f>
        <v/>
      </c>
      <c r="J147" s="175" t="str">
        <f>IF(I147="","",VLOOKUP($B147,'F-1 Off Site River Baseline'!$C$9:$R$257,9,FALSE))</f>
        <v/>
      </c>
      <c r="K147" s="175" t="str">
        <f>IF(J147="","",VLOOKUP($B147,'F-1 Off Site River Baseline'!$C$9:$R$257,10,FALSE))</f>
        <v/>
      </c>
      <c r="L147" s="175" t="str">
        <f>IF(B147="","",VLOOKUP($B147,'C-1 Site River Baseline'!$C$9:$R$257,15,FALSE))</f>
        <v/>
      </c>
      <c r="M147" s="176" t="str">
        <f>IF(L147="","",VLOOKUP($B147,'F-1 Off Site River Baseline'!$C$9:$R$257,16,FALSE))</f>
        <v/>
      </c>
      <c r="N147" s="639" t="str">
        <f t="shared" si="18"/>
        <v/>
      </c>
      <c r="O147" s="171" t="str">
        <f t="shared" si="19"/>
        <v/>
      </c>
      <c r="P147" s="172" t="str">
        <f>IF(C147="","",IF(AND(LEFT(C147,55)&lt;&gt;LEFT(N147,55),O147="High - High"),"Error - Not like for like",IF(AND(F147=S147,H147&gt;U147),"Error - Can not reduce condition",IF(AND(F147=S147,H147=U147,AJ147='F-1 Off Site River Baseline'!N145,'F-1 Off Site River Baseline'!P145=AL147),"Error - No enhancement",IF(AND(C147&lt;&gt;N147,F147&lt;S147),"Lower Distinctiveness Habitat"&amp;" - "&amp;T147,G147&amp;" - "&amp;T147)))))</f>
        <v/>
      </c>
      <c r="Q147" s="260" t="str">
        <f>IF(N147="","",VLOOKUP(B147,'F-1 Off Site River Baseline'!$C$10:$AA$257,19,FALSE))</f>
        <v/>
      </c>
      <c r="R147" s="171" t="str">
        <f>IF(N147="","",VLOOKUP(N147,'G-7 Rivers Data'!$B$2:$G$8,2,FALSE))</f>
        <v/>
      </c>
      <c r="S147" s="172" t="str">
        <f>IFERROR(VLOOKUP(R147,'G-7 Rivers Data'!$C$4:$D$8,2,FALSE),"")</f>
        <v/>
      </c>
      <c r="T147" s="173"/>
      <c r="U147" s="172" t="str">
        <f>IFERROR(INDEX('G-7 Rivers Data'!$H$4:$L$8,MATCH(N147,'G-7 Rivers Data'!$B$4:$B$8,0),MATCH(T147,'G-7 Rivers Data'!$H$3:$L$3,0)),"")</f>
        <v/>
      </c>
      <c r="V147" s="186"/>
      <c r="W147" s="175" t="str">
        <f>IF(V147="","",IF(VLOOKUP(V147,'G-7 Rivers Data'!$AG$4:$AI$9,2,FALSE)=0,"Spatial Data Missing",VLOOKUP(V147,'G-7 Rivers Data'!$AG$4:$AI$9,2,FALSE)))</f>
        <v/>
      </c>
      <c r="X147" s="176" t="str">
        <f>IF(V147="","",IF(VLOOKUP(V147,'G-7 Rivers Data'!$AG$4:$AI$9,3,FALSE)=0,"Spatial Data Missing",VLOOKUP(V147,'G-7 Rivers Data'!$AG$4:$AI$9,3,FALSE)))</f>
        <v/>
      </c>
      <c r="Y147" s="239" t="str">
        <f>IFERROR(IF(OR(LEFT(P147,5)="Error",LEFT(O147,5)="Error"),"Check Data",IF(F147&lt;S147,'G-7 Rivers Data'!$R$3,INDEX('G-7 Rivers Data'!$U$5:$Y$9,MATCH(G147,'G-7 Rivers Data'!$T$5:$T$9,0),MATCH(T147,'G-7 Rivers Data'!$U$4:$Y$4,0)))),"")</f>
        <v/>
      </c>
      <c r="Z147" s="275"/>
      <c r="AA147" s="275"/>
      <c r="AB147" s="175" t="str">
        <f t="shared" si="20"/>
        <v/>
      </c>
      <c r="AC147" s="262" t="str">
        <f t="shared" si="21"/>
        <v/>
      </c>
      <c r="AD147" s="382" t="str">
        <f>IFERROR(IF(AC147="Check Data","Check Data",VLOOKUP(AC147,'G-4 Temporal multipliers'!$A$4:$C$37,3,FALSE)),"")</f>
        <v/>
      </c>
      <c r="AE147" s="239" t="str">
        <f>IF(N147="","",VLOOKUP(N147,'G-7 Rivers Data'!$B$4:$G$8,5,FALSE))</f>
        <v/>
      </c>
      <c r="AF147" s="175" t="str">
        <f t="shared" si="22"/>
        <v/>
      </c>
      <c r="AG147" s="175" t="str">
        <f t="shared" si="23"/>
        <v/>
      </c>
      <c r="AH147" s="176" t="str">
        <f t="shared" si="17"/>
        <v/>
      </c>
      <c r="AI147" s="173"/>
      <c r="AJ147" s="172" t="str">
        <f>IF(AI147="","",IF(VLOOKUP(AI147,'G-7 Rivers Data'!$AA$4:$AB$7,2,FALSE)=0,"Spatial Data Missing",VLOOKUP(AI147,'G-7 Rivers Data'!$AA$4:$AB$7,2,FALSE)))</f>
        <v/>
      </c>
      <c r="AK147" s="187"/>
      <c r="AL147" s="172" t="str">
        <f>IF(AK147="","",IF(VLOOKUP(AK147,'G-7 Rivers Data'!$AD$4:$AE$8,2,FALSE)=0,"Spatial Data Missing",VLOOKUP(AK147,'G-7 Rivers Data'!$AD$4:$AE$8,2,FALSE)))</f>
        <v/>
      </c>
      <c r="AM147" s="186"/>
      <c r="AN147" s="176" t="str">
        <f>IF(AM147="","",VLOOKUP(AM147,'G-7 Rivers Data'!$AO$4:$AP$7,2,FALSE))</f>
        <v/>
      </c>
      <c r="AO147" s="265" t="str">
        <f t="shared" si="24"/>
        <v/>
      </c>
      <c r="AP147" s="180"/>
      <c r="AQ147" s="181"/>
      <c r="AX147" s="35" t="str">
        <f>IFERROR(INDEX('G-7 Rivers Data'!$AZ$3:$AZ$7,MATCH(N147,'G-7 Rivers Data'!$AY$3:$AY$7,0)),"")</f>
        <v/>
      </c>
    </row>
    <row r="148" spans="2:50" ht="13.8" x14ac:dyDescent="0.25">
      <c r="B148" s="259" t="str">
        <f>'F-1 Off Site River Baseline'!AN146</f>
        <v/>
      </c>
      <c r="C148" s="175" t="str">
        <f>IF(B148="","",VLOOKUP($B148,'F-1 Off Site River Baseline'!$C$9:$R$257,2,FALSE))</f>
        <v/>
      </c>
      <c r="D148" s="175" t="str">
        <f>IF(C148="","",VLOOKUP($B148,'F-1 Off Site River Baseline'!$C$9:$R$257,3,FALSE))</f>
        <v/>
      </c>
      <c r="E148" s="175" t="str">
        <f>IF(D148="","",VLOOKUP($B148,'F-1 Off Site River Baseline'!$C$9:$R$257,4,FALSE))</f>
        <v/>
      </c>
      <c r="F148" s="175" t="str">
        <f>IF(E148="","",VLOOKUP($B148,'F-1 Off Site River Baseline'!$C$9:$R$257,5,FALSE))</f>
        <v/>
      </c>
      <c r="G148" s="175" t="str">
        <f>IF(F148="","",VLOOKUP($B148,'F-1 Off Site River Baseline'!$C$9:$R$257,6,FALSE))</f>
        <v/>
      </c>
      <c r="H148" s="175" t="str">
        <f>IF(G148="","",VLOOKUP($B148,'F-1 Off Site River Baseline'!$C$9:$R$257,7,FALSE))</f>
        <v/>
      </c>
      <c r="I148" s="175" t="str">
        <f>IF(H148="","",VLOOKUP($B148,'F-1 Off Site River Baseline'!$C$9:$R$257,8,FALSE))</f>
        <v/>
      </c>
      <c r="J148" s="175" t="str">
        <f>IF(I148="","",VLOOKUP($B148,'F-1 Off Site River Baseline'!$C$9:$R$257,9,FALSE))</f>
        <v/>
      </c>
      <c r="K148" s="175" t="str">
        <f>IF(J148="","",VLOOKUP($B148,'F-1 Off Site River Baseline'!$C$9:$R$257,10,FALSE))</f>
        <v/>
      </c>
      <c r="L148" s="175" t="str">
        <f>IF(B148="","",VLOOKUP($B148,'C-1 Site River Baseline'!$C$9:$R$257,15,FALSE))</f>
        <v/>
      </c>
      <c r="M148" s="176" t="str">
        <f>IF(L148="","",VLOOKUP($B148,'F-1 Off Site River Baseline'!$C$9:$R$257,16,FALSE))</f>
        <v/>
      </c>
      <c r="N148" s="639" t="str">
        <f t="shared" si="18"/>
        <v/>
      </c>
      <c r="O148" s="171" t="str">
        <f t="shared" si="19"/>
        <v/>
      </c>
      <c r="P148" s="172" t="str">
        <f>IF(C148="","",IF(AND(LEFT(C148,55)&lt;&gt;LEFT(N148,55),O148="High - High"),"Error - Not like for like",IF(AND(F148=S148,H148&gt;U148),"Error - Can not reduce condition",IF(AND(F148=S148,H148=U148,AJ148='F-1 Off Site River Baseline'!N146,'F-1 Off Site River Baseline'!P146=AL148),"Error - No enhancement",IF(AND(C148&lt;&gt;N148,F148&lt;S148),"Lower Distinctiveness Habitat"&amp;" - "&amp;T148,G148&amp;" - "&amp;T148)))))</f>
        <v/>
      </c>
      <c r="Q148" s="260" t="str">
        <f>IF(N148="","",VLOOKUP(B148,'F-1 Off Site River Baseline'!$C$10:$AA$257,19,FALSE))</f>
        <v/>
      </c>
      <c r="R148" s="171" t="str">
        <f>IF(N148="","",VLOOKUP(N148,'G-7 Rivers Data'!$B$2:$G$8,2,FALSE))</f>
        <v/>
      </c>
      <c r="S148" s="172" t="str">
        <f>IFERROR(VLOOKUP(R148,'G-7 Rivers Data'!$C$4:$D$8,2,FALSE),"")</f>
        <v/>
      </c>
      <c r="T148" s="173"/>
      <c r="U148" s="172" t="str">
        <f>IFERROR(INDEX('G-7 Rivers Data'!$H$4:$L$8,MATCH(N148,'G-7 Rivers Data'!$B$4:$B$8,0),MATCH(T148,'G-7 Rivers Data'!$H$3:$L$3,0)),"")</f>
        <v/>
      </c>
      <c r="V148" s="186"/>
      <c r="W148" s="175" t="str">
        <f>IF(V148="","",IF(VLOOKUP(V148,'G-7 Rivers Data'!$AG$4:$AI$9,2,FALSE)=0,"Spatial Data Missing",VLOOKUP(V148,'G-7 Rivers Data'!$AG$4:$AI$9,2,FALSE)))</f>
        <v/>
      </c>
      <c r="X148" s="176" t="str">
        <f>IF(V148="","",IF(VLOOKUP(V148,'G-7 Rivers Data'!$AG$4:$AI$9,3,FALSE)=0,"Spatial Data Missing",VLOOKUP(V148,'G-7 Rivers Data'!$AG$4:$AI$9,3,FALSE)))</f>
        <v/>
      </c>
      <c r="Y148" s="239" t="str">
        <f>IFERROR(IF(OR(LEFT(P148,5)="Error",LEFT(O148,5)="Error"),"Check Data",IF(F148&lt;S148,'G-7 Rivers Data'!$R$3,INDEX('G-7 Rivers Data'!$U$5:$Y$9,MATCH(G148,'G-7 Rivers Data'!$T$5:$T$9,0),MATCH(T148,'G-7 Rivers Data'!$U$4:$Y$4,0)))),"")</f>
        <v/>
      </c>
      <c r="Z148" s="275"/>
      <c r="AA148" s="275"/>
      <c r="AB148" s="175" t="str">
        <f t="shared" si="20"/>
        <v/>
      </c>
      <c r="AC148" s="262" t="str">
        <f t="shared" si="21"/>
        <v/>
      </c>
      <c r="AD148" s="382" t="str">
        <f>IFERROR(IF(AC148="Check Data","Check Data",VLOOKUP(AC148,'G-4 Temporal multipliers'!$A$4:$C$37,3,FALSE)),"")</f>
        <v/>
      </c>
      <c r="AE148" s="239" t="str">
        <f>IF(N148="","",VLOOKUP(N148,'G-7 Rivers Data'!$B$4:$G$8,5,FALSE))</f>
        <v/>
      </c>
      <c r="AF148" s="175" t="str">
        <f t="shared" si="22"/>
        <v/>
      </c>
      <c r="AG148" s="175" t="str">
        <f t="shared" si="23"/>
        <v/>
      </c>
      <c r="AH148" s="176" t="str">
        <f t="shared" si="17"/>
        <v/>
      </c>
      <c r="AI148" s="173"/>
      <c r="AJ148" s="172" t="str">
        <f>IF(AI148="","",IF(VLOOKUP(AI148,'G-7 Rivers Data'!$AA$4:$AB$7,2,FALSE)=0,"Spatial Data Missing",VLOOKUP(AI148,'G-7 Rivers Data'!$AA$4:$AB$7,2,FALSE)))</f>
        <v/>
      </c>
      <c r="AK148" s="187"/>
      <c r="AL148" s="172" t="str">
        <f>IF(AK148="","",IF(VLOOKUP(AK148,'G-7 Rivers Data'!$AD$4:$AE$8,2,FALSE)=0,"Spatial Data Missing",VLOOKUP(AK148,'G-7 Rivers Data'!$AD$4:$AE$8,2,FALSE)))</f>
        <v/>
      </c>
      <c r="AM148" s="186"/>
      <c r="AN148" s="176" t="str">
        <f>IF(AM148="","",VLOOKUP(AM148,'G-7 Rivers Data'!$AO$4:$AP$7,2,FALSE))</f>
        <v/>
      </c>
      <c r="AO148" s="265" t="str">
        <f t="shared" si="24"/>
        <v/>
      </c>
      <c r="AP148" s="180"/>
      <c r="AQ148" s="181"/>
      <c r="AX148" s="35" t="str">
        <f>IFERROR(INDEX('G-7 Rivers Data'!$AZ$3:$AZ$7,MATCH(N148,'G-7 Rivers Data'!$AY$3:$AY$7,0)),"")</f>
        <v/>
      </c>
    </row>
    <row r="149" spans="2:50" ht="13.8" x14ac:dyDescent="0.25">
      <c r="B149" s="259" t="str">
        <f>'F-1 Off Site River Baseline'!AN147</f>
        <v/>
      </c>
      <c r="C149" s="175" t="str">
        <f>IF(B149="","",VLOOKUP($B149,'F-1 Off Site River Baseline'!$C$9:$R$257,2,FALSE))</f>
        <v/>
      </c>
      <c r="D149" s="175" t="str">
        <f>IF(C149="","",VLOOKUP($B149,'F-1 Off Site River Baseline'!$C$9:$R$257,3,FALSE))</f>
        <v/>
      </c>
      <c r="E149" s="175" t="str">
        <f>IF(D149="","",VLOOKUP($B149,'F-1 Off Site River Baseline'!$C$9:$R$257,4,FALSE))</f>
        <v/>
      </c>
      <c r="F149" s="175" t="str">
        <f>IF(E149="","",VLOOKUP($B149,'F-1 Off Site River Baseline'!$C$9:$R$257,5,FALSE))</f>
        <v/>
      </c>
      <c r="G149" s="175" t="str">
        <f>IF(F149="","",VLOOKUP($B149,'F-1 Off Site River Baseline'!$C$9:$R$257,6,FALSE))</f>
        <v/>
      </c>
      <c r="H149" s="175" t="str">
        <f>IF(G149="","",VLOOKUP($B149,'F-1 Off Site River Baseline'!$C$9:$R$257,7,FALSE))</f>
        <v/>
      </c>
      <c r="I149" s="175" t="str">
        <f>IF(H149="","",VLOOKUP($B149,'F-1 Off Site River Baseline'!$C$9:$R$257,8,FALSE))</f>
        <v/>
      </c>
      <c r="J149" s="175" t="str">
        <f>IF(I149="","",VLOOKUP($B149,'F-1 Off Site River Baseline'!$C$9:$R$257,9,FALSE))</f>
        <v/>
      </c>
      <c r="K149" s="175" t="str">
        <f>IF(J149="","",VLOOKUP($B149,'F-1 Off Site River Baseline'!$C$9:$R$257,10,FALSE))</f>
        <v/>
      </c>
      <c r="L149" s="175" t="str">
        <f>IF(B149="","",VLOOKUP($B149,'C-1 Site River Baseline'!$C$9:$R$257,15,FALSE))</f>
        <v/>
      </c>
      <c r="M149" s="176" t="str">
        <f>IF(L149="","",VLOOKUP($B149,'F-1 Off Site River Baseline'!$C$9:$R$257,16,FALSE))</f>
        <v/>
      </c>
      <c r="N149" s="639" t="str">
        <f t="shared" si="18"/>
        <v/>
      </c>
      <c r="O149" s="171" t="str">
        <f t="shared" si="19"/>
        <v/>
      </c>
      <c r="P149" s="172" t="str">
        <f>IF(C149="","",IF(AND(LEFT(C149,55)&lt;&gt;LEFT(N149,55),O149="High - High"),"Error - Not like for like",IF(AND(F149=S149,H149&gt;U149),"Error - Can not reduce condition",IF(AND(F149=S149,H149=U149,AJ149='F-1 Off Site River Baseline'!N147,'F-1 Off Site River Baseline'!P147=AL149),"Error - No enhancement",IF(AND(C149&lt;&gt;N149,F149&lt;S149),"Lower Distinctiveness Habitat"&amp;" - "&amp;T149,G149&amp;" - "&amp;T149)))))</f>
        <v/>
      </c>
      <c r="Q149" s="260" t="str">
        <f>IF(N149="","",VLOOKUP(B149,'F-1 Off Site River Baseline'!$C$10:$AA$257,19,FALSE))</f>
        <v/>
      </c>
      <c r="R149" s="171" t="str">
        <f>IF(N149="","",VLOOKUP(N149,'G-7 Rivers Data'!$B$2:$G$8,2,FALSE))</f>
        <v/>
      </c>
      <c r="S149" s="172" t="str">
        <f>IFERROR(VLOOKUP(R149,'G-7 Rivers Data'!$C$4:$D$8,2,FALSE),"")</f>
        <v/>
      </c>
      <c r="T149" s="173"/>
      <c r="U149" s="172" t="str">
        <f>IFERROR(INDEX('G-7 Rivers Data'!$H$4:$L$8,MATCH(N149,'G-7 Rivers Data'!$B$4:$B$8,0),MATCH(T149,'G-7 Rivers Data'!$H$3:$L$3,0)),"")</f>
        <v/>
      </c>
      <c r="V149" s="186"/>
      <c r="W149" s="175" t="str">
        <f>IF(V149="","",IF(VLOOKUP(V149,'G-7 Rivers Data'!$AG$4:$AI$9,2,FALSE)=0,"Spatial Data Missing",VLOOKUP(V149,'G-7 Rivers Data'!$AG$4:$AI$9,2,FALSE)))</f>
        <v/>
      </c>
      <c r="X149" s="176" t="str">
        <f>IF(V149="","",IF(VLOOKUP(V149,'G-7 Rivers Data'!$AG$4:$AI$9,3,FALSE)=0,"Spatial Data Missing",VLOOKUP(V149,'G-7 Rivers Data'!$AG$4:$AI$9,3,FALSE)))</f>
        <v/>
      </c>
      <c r="Y149" s="239" t="str">
        <f>IFERROR(IF(OR(LEFT(P149,5)="Error",LEFT(O149,5)="Error"),"Check Data",IF(F149&lt;S149,'G-7 Rivers Data'!$R$3,INDEX('G-7 Rivers Data'!$U$5:$Y$9,MATCH(G149,'G-7 Rivers Data'!$T$5:$T$9,0),MATCH(T149,'G-7 Rivers Data'!$U$4:$Y$4,0)))),"")</f>
        <v/>
      </c>
      <c r="Z149" s="275"/>
      <c r="AA149" s="275"/>
      <c r="AB149" s="175" t="str">
        <f t="shared" si="20"/>
        <v/>
      </c>
      <c r="AC149" s="262" t="str">
        <f t="shared" si="21"/>
        <v/>
      </c>
      <c r="AD149" s="382" t="str">
        <f>IFERROR(IF(AC149="Check Data","Check Data",VLOOKUP(AC149,'G-4 Temporal multipliers'!$A$4:$C$37,3,FALSE)),"")</f>
        <v/>
      </c>
      <c r="AE149" s="239" t="str">
        <f>IF(N149="","",VLOOKUP(N149,'G-7 Rivers Data'!$B$4:$G$8,5,FALSE))</f>
        <v/>
      </c>
      <c r="AF149" s="175" t="str">
        <f t="shared" si="22"/>
        <v/>
      </c>
      <c r="AG149" s="175" t="str">
        <f t="shared" si="23"/>
        <v/>
      </c>
      <c r="AH149" s="176" t="str">
        <f t="shared" si="17"/>
        <v/>
      </c>
      <c r="AI149" s="173"/>
      <c r="AJ149" s="172" t="str">
        <f>IF(AI149="","",IF(VLOOKUP(AI149,'G-7 Rivers Data'!$AA$4:$AB$7,2,FALSE)=0,"Spatial Data Missing",VLOOKUP(AI149,'G-7 Rivers Data'!$AA$4:$AB$7,2,FALSE)))</f>
        <v/>
      </c>
      <c r="AK149" s="187"/>
      <c r="AL149" s="172" t="str">
        <f>IF(AK149="","",IF(VLOOKUP(AK149,'G-7 Rivers Data'!$AD$4:$AE$8,2,FALSE)=0,"Spatial Data Missing",VLOOKUP(AK149,'G-7 Rivers Data'!$AD$4:$AE$8,2,FALSE)))</f>
        <v/>
      </c>
      <c r="AM149" s="186"/>
      <c r="AN149" s="176" t="str">
        <f>IF(AM149="","",VLOOKUP(AM149,'G-7 Rivers Data'!$AO$4:$AP$7,2,FALSE))</f>
        <v/>
      </c>
      <c r="AO149" s="265" t="str">
        <f t="shared" si="24"/>
        <v/>
      </c>
      <c r="AP149" s="180"/>
      <c r="AQ149" s="181"/>
      <c r="AX149" s="35" t="str">
        <f>IFERROR(INDEX('G-7 Rivers Data'!$AZ$3:$AZ$7,MATCH(N149,'G-7 Rivers Data'!$AY$3:$AY$7,0)),"")</f>
        <v/>
      </c>
    </row>
    <row r="150" spans="2:50" ht="13.8" x14ac:dyDescent="0.25">
      <c r="B150" s="259" t="str">
        <f>'F-1 Off Site River Baseline'!AN148</f>
        <v/>
      </c>
      <c r="C150" s="175" t="str">
        <f>IF(B150="","",VLOOKUP($B150,'F-1 Off Site River Baseline'!$C$9:$R$257,2,FALSE))</f>
        <v/>
      </c>
      <c r="D150" s="175" t="str">
        <f>IF(C150="","",VLOOKUP($B150,'F-1 Off Site River Baseline'!$C$9:$R$257,3,FALSE))</f>
        <v/>
      </c>
      <c r="E150" s="175" t="str">
        <f>IF(D150="","",VLOOKUP($B150,'F-1 Off Site River Baseline'!$C$9:$R$257,4,FALSE))</f>
        <v/>
      </c>
      <c r="F150" s="175" t="str">
        <f>IF(E150="","",VLOOKUP($B150,'F-1 Off Site River Baseline'!$C$9:$R$257,5,FALSE))</f>
        <v/>
      </c>
      <c r="G150" s="175" t="str">
        <f>IF(F150="","",VLOOKUP($B150,'F-1 Off Site River Baseline'!$C$9:$R$257,6,FALSE))</f>
        <v/>
      </c>
      <c r="H150" s="175" t="str">
        <f>IF(G150="","",VLOOKUP($B150,'F-1 Off Site River Baseline'!$C$9:$R$257,7,FALSE))</f>
        <v/>
      </c>
      <c r="I150" s="175" t="str">
        <f>IF(H150="","",VLOOKUP($B150,'F-1 Off Site River Baseline'!$C$9:$R$257,8,FALSE))</f>
        <v/>
      </c>
      <c r="J150" s="175" t="str">
        <f>IF(I150="","",VLOOKUP($B150,'F-1 Off Site River Baseline'!$C$9:$R$257,9,FALSE))</f>
        <v/>
      </c>
      <c r="K150" s="175" t="str">
        <f>IF(J150="","",VLOOKUP($B150,'F-1 Off Site River Baseline'!$C$9:$R$257,10,FALSE))</f>
        <v/>
      </c>
      <c r="L150" s="175" t="str">
        <f>IF(B150="","",VLOOKUP($B150,'C-1 Site River Baseline'!$C$9:$R$257,15,FALSE))</f>
        <v/>
      </c>
      <c r="M150" s="176" t="str">
        <f>IF(L150="","",VLOOKUP($B150,'F-1 Off Site River Baseline'!$C$9:$R$257,16,FALSE))</f>
        <v/>
      </c>
      <c r="N150" s="639" t="str">
        <f t="shared" si="18"/>
        <v/>
      </c>
      <c r="O150" s="171" t="str">
        <f t="shared" si="19"/>
        <v/>
      </c>
      <c r="P150" s="172" t="str">
        <f>IF(C150="","",IF(AND(LEFT(C150,55)&lt;&gt;LEFT(N150,55),O150="High - High"),"Error - Not like for like",IF(AND(F150=S150,H150&gt;U150),"Error - Can not reduce condition",IF(AND(F150=S150,H150=U150,AJ150='F-1 Off Site River Baseline'!N148,'F-1 Off Site River Baseline'!P148=AL150),"Error - No enhancement",IF(AND(C150&lt;&gt;N150,F150&lt;S150),"Lower Distinctiveness Habitat"&amp;" - "&amp;T150,G150&amp;" - "&amp;T150)))))</f>
        <v/>
      </c>
      <c r="Q150" s="260" t="str">
        <f>IF(N150="","",VLOOKUP(B150,'F-1 Off Site River Baseline'!$C$10:$AA$257,19,FALSE))</f>
        <v/>
      </c>
      <c r="R150" s="171" t="str">
        <f>IF(N150="","",VLOOKUP(N150,'G-7 Rivers Data'!$B$2:$G$8,2,FALSE))</f>
        <v/>
      </c>
      <c r="S150" s="172" t="str">
        <f>IFERROR(VLOOKUP(R150,'G-7 Rivers Data'!$C$4:$D$8,2,FALSE),"")</f>
        <v/>
      </c>
      <c r="T150" s="173"/>
      <c r="U150" s="172" t="str">
        <f>IFERROR(INDEX('G-7 Rivers Data'!$H$4:$L$8,MATCH(N150,'G-7 Rivers Data'!$B$4:$B$8,0),MATCH(T150,'G-7 Rivers Data'!$H$3:$L$3,0)),"")</f>
        <v/>
      </c>
      <c r="V150" s="186"/>
      <c r="W150" s="175" t="str">
        <f>IF(V150="","",IF(VLOOKUP(V150,'G-7 Rivers Data'!$AG$4:$AI$9,2,FALSE)=0,"Spatial Data Missing",VLOOKUP(V150,'G-7 Rivers Data'!$AG$4:$AI$9,2,FALSE)))</f>
        <v/>
      </c>
      <c r="X150" s="176" t="str">
        <f>IF(V150="","",IF(VLOOKUP(V150,'G-7 Rivers Data'!$AG$4:$AI$9,3,FALSE)=0,"Spatial Data Missing",VLOOKUP(V150,'G-7 Rivers Data'!$AG$4:$AI$9,3,FALSE)))</f>
        <v/>
      </c>
      <c r="Y150" s="239" t="str">
        <f>IFERROR(IF(OR(LEFT(P150,5)="Error",LEFT(O150,5)="Error"),"Check Data",IF(F150&lt;S150,'G-7 Rivers Data'!$R$3,INDEX('G-7 Rivers Data'!$U$5:$Y$9,MATCH(G150,'G-7 Rivers Data'!$T$5:$T$9,0),MATCH(T150,'G-7 Rivers Data'!$U$4:$Y$4,0)))),"")</f>
        <v/>
      </c>
      <c r="Z150" s="275"/>
      <c r="AA150" s="275"/>
      <c r="AB150" s="175" t="str">
        <f t="shared" si="20"/>
        <v/>
      </c>
      <c r="AC150" s="262" t="str">
        <f t="shared" si="21"/>
        <v/>
      </c>
      <c r="AD150" s="382" t="str">
        <f>IFERROR(IF(AC150="Check Data","Check Data",VLOOKUP(AC150,'G-4 Temporal multipliers'!$A$4:$C$37,3,FALSE)),"")</f>
        <v/>
      </c>
      <c r="AE150" s="239" t="str">
        <f>IF(N150="","",VLOOKUP(N150,'G-7 Rivers Data'!$B$4:$G$8,5,FALSE))</f>
        <v/>
      </c>
      <c r="AF150" s="175" t="str">
        <f t="shared" si="22"/>
        <v/>
      </c>
      <c r="AG150" s="175" t="str">
        <f t="shared" si="23"/>
        <v/>
      </c>
      <c r="AH150" s="176" t="str">
        <f t="shared" si="17"/>
        <v/>
      </c>
      <c r="AI150" s="173"/>
      <c r="AJ150" s="172" t="str">
        <f>IF(AI150="","",IF(VLOOKUP(AI150,'G-7 Rivers Data'!$AA$4:$AB$7,2,FALSE)=0,"Spatial Data Missing",VLOOKUP(AI150,'G-7 Rivers Data'!$AA$4:$AB$7,2,FALSE)))</f>
        <v/>
      </c>
      <c r="AK150" s="187"/>
      <c r="AL150" s="172" t="str">
        <f>IF(AK150="","",IF(VLOOKUP(AK150,'G-7 Rivers Data'!$AD$4:$AE$8,2,FALSE)=0,"Spatial Data Missing",VLOOKUP(AK150,'G-7 Rivers Data'!$AD$4:$AE$8,2,FALSE)))</f>
        <v/>
      </c>
      <c r="AM150" s="186"/>
      <c r="AN150" s="176" t="str">
        <f>IF(AM150="","",VLOOKUP(AM150,'G-7 Rivers Data'!$AO$4:$AP$7,2,FALSE))</f>
        <v/>
      </c>
      <c r="AO150" s="265" t="str">
        <f t="shared" si="24"/>
        <v/>
      </c>
      <c r="AP150" s="180"/>
      <c r="AQ150" s="181"/>
      <c r="AX150" s="35" t="str">
        <f>IFERROR(INDEX('G-7 Rivers Data'!$AZ$3:$AZ$7,MATCH(N150,'G-7 Rivers Data'!$AY$3:$AY$7,0)),"")</f>
        <v/>
      </c>
    </row>
    <row r="151" spans="2:50" ht="13.8" x14ac:dyDescent="0.25">
      <c r="B151" s="259" t="str">
        <f>'F-1 Off Site River Baseline'!AN149</f>
        <v/>
      </c>
      <c r="C151" s="175" t="str">
        <f>IF(B151="","",VLOOKUP($B151,'F-1 Off Site River Baseline'!$C$9:$R$257,2,FALSE))</f>
        <v/>
      </c>
      <c r="D151" s="175" t="str">
        <f>IF(C151="","",VLOOKUP($B151,'F-1 Off Site River Baseline'!$C$9:$R$257,3,FALSE))</f>
        <v/>
      </c>
      <c r="E151" s="175" t="str">
        <f>IF(D151="","",VLOOKUP($B151,'F-1 Off Site River Baseline'!$C$9:$R$257,4,FALSE))</f>
        <v/>
      </c>
      <c r="F151" s="175" t="str">
        <f>IF(E151="","",VLOOKUP($B151,'F-1 Off Site River Baseline'!$C$9:$R$257,5,FALSE))</f>
        <v/>
      </c>
      <c r="G151" s="175" t="str">
        <f>IF(F151="","",VLOOKUP($B151,'F-1 Off Site River Baseline'!$C$9:$R$257,6,FALSE))</f>
        <v/>
      </c>
      <c r="H151" s="175" t="str">
        <f>IF(G151="","",VLOOKUP($B151,'F-1 Off Site River Baseline'!$C$9:$R$257,7,FALSE))</f>
        <v/>
      </c>
      <c r="I151" s="175" t="str">
        <f>IF(H151="","",VLOOKUP($B151,'F-1 Off Site River Baseline'!$C$9:$R$257,8,FALSE))</f>
        <v/>
      </c>
      <c r="J151" s="175" t="str">
        <f>IF(I151="","",VLOOKUP($B151,'F-1 Off Site River Baseline'!$C$9:$R$257,9,FALSE))</f>
        <v/>
      </c>
      <c r="K151" s="175" t="str">
        <f>IF(J151="","",VLOOKUP($B151,'F-1 Off Site River Baseline'!$C$9:$R$257,10,FALSE))</f>
        <v/>
      </c>
      <c r="L151" s="175" t="str">
        <f>IF(B151="","",VLOOKUP($B151,'C-1 Site River Baseline'!$C$9:$R$257,15,FALSE))</f>
        <v/>
      </c>
      <c r="M151" s="176" t="str">
        <f>IF(L151="","",VLOOKUP($B151,'F-1 Off Site River Baseline'!$C$9:$R$257,16,FALSE))</f>
        <v/>
      </c>
      <c r="N151" s="639" t="str">
        <f t="shared" si="18"/>
        <v/>
      </c>
      <c r="O151" s="171" t="str">
        <f t="shared" si="19"/>
        <v/>
      </c>
      <c r="P151" s="172" t="str">
        <f>IF(C151="","",IF(AND(LEFT(C151,55)&lt;&gt;LEFT(N151,55),O151="High - High"),"Error - Not like for like",IF(AND(F151=S151,H151&gt;U151),"Error - Can not reduce condition",IF(AND(F151=S151,H151=U151,AJ151='F-1 Off Site River Baseline'!N149,'F-1 Off Site River Baseline'!P149=AL151),"Error - No enhancement",IF(AND(C151&lt;&gt;N151,F151&lt;S151),"Lower Distinctiveness Habitat"&amp;" - "&amp;T151,G151&amp;" - "&amp;T151)))))</f>
        <v/>
      </c>
      <c r="Q151" s="260" t="str">
        <f>IF(N151="","",VLOOKUP(B151,'F-1 Off Site River Baseline'!$C$10:$AA$257,19,FALSE))</f>
        <v/>
      </c>
      <c r="R151" s="171" t="str">
        <f>IF(N151="","",VLOOKUP(N151,'G-7 Rivers Data'!$B$2:$G$8,2,FALSE))</f>
        <v/>
      </c>
      <c r="S151" s="172" t="str">
        <f>IFERROR(VLOOKUP(R151,'G-7 Rivers Data'!$C$4:$D$8,2,FALSE),"")</f>
        <v/>
      </c>
      <c r="T151" s="173"/>
      <c r="U151" s="172" t="str">
        <f>IFERROR(INDEX('G-7 Rivers Data'!$H$4:$L$8,MATCH(N151,'G-7 Rivers Data'!$B$4:$B$8,0),MATCH(T151,'G-7 Rivers Data'!$H$3:$L$3,0)),"")</f>
        <v/>
      </c>
      <c r="V151" s="186"/>
      <c r="W151" s="175" t="str">
        <f>IF(V151="","",IF(VLOOKUP(V151,'G-7 Rivers Data'!$AG$4:$AI$9,2,FALSE)=0,"Spatial Data Missing",VLOOKUP(V151,'G-7 Rivers Data'!$AG$4:$AI$9,2,FALSE)))</f>
        <v/>
      </c>
      <c r="X151" s="176" t="str">
        <f>IF(V151="","",IF(VLOOKUP(V151,'G-7 Rivers Data'!$AG$4:$AI$9,3,FALSE)=0,"Spatial Data Missing",VLOOKUP(V151,'G-7 Rivers Data'!$AG$4:$AI$9,3,FALSE)))</f>
        <v/>
      </c>
      <c r="Y151" s="239" t="str">
        <f>IFERROR(IF(OR(LEFT(P151,5)="Error",LEFT(O151,5)="Error"),"Check Data",IF(F151&lt;S151,'G-7 Rivers Data'!$R$3,INDEX('G-7 Rivers Data'!$U$5:$Y$9,MATCH(G151,'G-7 Rivers Data'!$T$5:$T$9,0),MATCH(T151,'G-7 Rivers Data'!$U$4:$Y$4,0)))),"")</f>
        <v/>
      </c>
      <c r="Z151" s="275"/>
      <c r="AA151" s="275"/>
      <c r="AB151" s="175" t="str">
        <f t="shared" si="20"/>
        <v/>
      </c>
      <c r="AC151" s="262" t="str">
        <f t="shared" si="21"/>
        <v/>
      </c>
      <c r="AD151" s="382" t="str">
        <f>IFERROR(IF(AC151="Check Data","Check Data",VLOOKUP(AC151,'G-4 Temporal multipliers'!$A$4:$C$37,3,FALSE)),"")</f>
        <v/>
      </c>
      <c r="AE151" s="239" t="str">
        <f>IF(N151="","",VLOOKUP(N151,'G-7 Rivers Data'!$B$4:$G$8,5,FALSE))</f>
        <v/>
      </c>
      <c r="AF151" s="175" t="str">
        <f t="shared" si="22"/>
        <v/>
      </c>
      <c r="AG151" s="175" t="str">
        <f t="shared" si="23"/>
        <v/>
      </c>
      <c r="AH151" s="176" t="str">
        <f t="shared" si="17"/>
        <v/>
      </c>
      <c r="AI151" s="173"/>
      <c r="AJ151" s="172" t="str">
        <f>IF(AI151="","",IF(VLOOKUP(AI151,'G-7 Rivers Data'!$AA$4:$AB$7,2,FALSE)=0,"Spatial Data Missing",VLOOKUP(AI151,'G-7 Rivers Data'!$AA$4:$AB$7,2,FALSE)))</f>
        <v/>
      </c>
      <c r="AK151" s="187"/>
      <c r="AL151" s="172" t="str">
        <f>IF(AK151="","",IF(VLOOKUP(AK151,'G-7 Rivers Data'!$AD$4:$AE$8,2,FALSE)=0,"Spatial Data Missing",VLOOKUP(AK151,'G-7 Rivers Data'!$AD$4:$AE$8,2,FALSE)))</f>
        <v/>
      </c>
      <c r="AM151" s="186"/>
      <c r="AN151" s="176" t="str">
        <f>IF(AM151="","",VLOOKUP(AM151,'G-7 Rivers Data'!$AO$4:$AP$7,2,FALSE))</f>
        <v/>
      </c>
      <c r="AO151" s="265" t="str">
        <f t="shared" si="24"/>
        <v/>
      </c>
      <c r="AP151" s="180"/>
      <c r="AQ151" s="181"/>
      <c r="AX151" s="35" t="str">
        <f>IFERROR(INDEX('G-7 Rivers Data'!$AZ$3:$AZ$7,MATCH(N151,'G-7 Rivers Data'!$AY$3:$AY$7,0)),"")</f>
        <v/>
      </c>
    </row>
    <row r="152" spans="2:50" ht="13.8" x14ac:dyDescent="0.25">
      <c r="B152" s="259" t="str">
        <f>'F-1 Off Site River Baseline'!AN150</f>
        <v/>
      </c>
      <c r="C152" s="175" t="str">
        <f>IF(B152="","",VLOOKUP($B152,'F-1 Off Site River Baseline'!$C$9:$R$257,2,FALSE))</f>
        <v/>
      </c>
      <c r="D152" s="175" t="str">
        <f>IF(C152="","",VLOOKUP($B152,'F-1 Off Site River Baseline'!$C$9:$R$257,3,FALSE))</f>
        <v/>
      </c>
      <c r="E152" s="175" t="str">
        <f>IF(D152="","",VLOOKUP($B152,'F-1 Off Site River Baseline'!$C$9:$R$257,4,FALSE))</f>
        <v/>
      </c>
      <c r="F152" s="175" t="str">
        <f>IF(E152="","",VLOOKUP($B152,'F-1 Off Site River Baseline'!$C$9:$R$257,5,FALSE))</f>
        <v/>
      </c>
      <c r="G152" s="175" t="str">
        <f>IF(F152="","",VLOOKUP($B152,'F-1 Off Site River Baseline'!$C$9:$R$257,6,FALSE))</f>
        <v/>
      </c>
      <c r="H152" s="175" t="str">
        <f>IF(G152="","",VLOOKUP($B152,'F-1 Off Site River Baseline'!$C$9:$R$257,7,FALSE))</f>
        <v/>
      </c>
      <c r="I152" s="175" t="str">
        <f>IF(H152="","",VLOOKUP($B152,'F-1 Off Site River Baseline'!$C$9:$R$257,8,FALSE))</f>
        <v/>
      </c>
      <c r="J152" s="175" t="str">
        <f>IF(I152="","",VLOOKUP($B152,'F-1 Off Site River Baseline'!$C$9:$R$257,9,FALSE))</f>
        <v/>
      </c>
      <c r="K152" s="175" t="str">
        <f>IF(J152="","",VLOOKUP($B152,'F-1 Off Site River Baseline'!$C$9:$R$257,10,FALSE))</f>
        <v/>
      </c>
      <c r="L152" s="175" t="str">
        <f>IF(B152="","",VLOOKUP($B152,'C-1 Site River Baseline'!$C$9:$R$257,15,FALSE))</f>
        <v/>
      </c>
      <c r="M152" s="176" t="str">
        <f>IF(L152="","",VLOOKUP($B152,'F-1 Off Site River Baseline'!$C$9:$R$257,16,FALSE))</f>
        <v/>
      </c>
      <c r="N152" s="639" t="str">
        <f t="shared" si="18"/>
        <v/>
      </c>
      <c r="O152" s="171" t="str">
        <f t="shared" si="19"/>
        <v/>
      </c>
      <c r="P152" s="172" t="str">
        <f>IF(C152="","",IF(AND(LEFT(C152,55)&lt;&gt;LEFT(N152,55),O152="High - High"),"Error - Not like for like",IF(AND(F152=S152,H152&gt;U152),"Error - Can not reduce condition",IF(AND(F152=S152,H152=U152,AJ152='F-1 Off Site River Baseline'!N150,'F-1 Off Site River Baseline'!P150=AL152),"Error - No enhancement",IF(AND(C152&lt;&gt;N152,F152&lt;S152),"Lower Distinctiveness Habitat"&amp;" - "&amp;T152,G152&amp;" - "&amp;T152)))))</f>
        <v/>
      </c>
      <c r="Q152" s="260" t="str">
        <f>IF(N152="","",VLOOKUP(B152,'F-1 Off Site River Baseline'!$C$10:$AA$257,19,FALSE))</f>
        <v/>
      </c>
      <c r="R152" s="171" t="str">
        <f>IF(N152="","",VLOOKUP(N152,'G-7 Rivers Data'!$B$2:$G$8,2,FALSE))</f>
        <v/>
      </c>
      <c r="S152" s="172" t="str">
        <f>IFERROR(VLOOKUP(R152,'G-7 Rivers Data'!$C$4:$D$8,2,FALSE),"")</f>
        <v/>
      </c>
      <c r="T152" s="173"/>
      <c r="U152" s="172" t="str">
        <f>IFERROR(INDEX('G-7 Rivers Data'!$H$4:$L$8,MATCH(N152,'G-7 Rivers Data'!$B$4:$B$8,0),MATCH(T152,'G-7 Rivers Data'!$H$3:$L$3,0)),"")</f>
        <v/>
      </c>
      <c r="V152" s="186"/>
      <c r="W152" s="175" t="str">
        <f>IF(V152="","",IF(VLOOKUP(V152,'G-7 Rivers Data'!$AG$4:$AI$9,2,FALSE)=0,"Spatial Data Missing",VLOOKUP(V152,'G-7 Rivers Data'!$AG$4:$AI$9,2,FALSE)))</f>
        <v/>
      </c>
      <c r="X152" s="176" t="str">
        <f>IF(V152="","",IF(VLOOKUP(V152,'G-7 Rivers Data'!$AG$4:$AI$9,3,FALSE)=0,"Spatial Data Missing",VLOOKUP(V152,'G-7 Rivers Data'!$AG$4:$AI$9,3,FALSE)))</f>
        <v/>
      </c>
      <c r="Y152" s="239" t="str">
        <f>IFERROR(IF(OR(LEFT(P152,5)="Error",LEFT(O152,5)="Error"),"Check Data",IF(F152&lt;S152,'G-7 Rivers Data'!$R$3,INDEX('G-7 Rivers Data'!$U$5:$Y$9,MATCH(G152,'G-7 Rivers Data'!$T$5:$T$9,0),MATCH(T152,'G-7 Rivers Data'!$U$4:$Y$4,0)))),"")</f>
        <v/>
      </c>
      <c r="Z152" s="275"/>
      <c r="AA152" s="275"/>
      <c r="AB152" s="175" t="str">
        <f t="shared" si="20"/>
        <v/>
      </c>
      <c r="AC152" s="262" t="str">
        <f t="shared" si="21"/>
        <v/>
      </c>
      <c r="AD152" s="382" t="str">
        <f>IFERROR(IF(AC152="Check Data","Check Data",VLOOKUP(AC152,'G-4 Temporal multipliers'!$A$4:$C$37,3,FALSE)),"")</f>
        <v/>
      </c>
      <c r="AE152" s="239" t="str">
        <f>IF(N152="","",VLOOKUP(N152,'G-7 Rivers Data'!$B$4:$G$8,5,FALSE))</f>
        <v/>
      </c>
      <c r="AF152" s="175" t="str">
        <f t="shared" si="22"/>
        <v/>
      </c>
      <c r="AG152" s="175" t="str">
        <f t="shared" si="23"/>
        <v/>
      </c>
      <c r="AH152" s="176" t="str">
        <f t="shared" si="17"/>
        <v/>
      </c>
      <c r="AI152" s="173"/>
      <c r="AJ152" s="172" t="str">
        <f>IF(AI152="","",IF(VLOOKUP(AI152,'G-7 Rivers Data'!$AA$4:$AB$7,2,FALSE)=0,"Spatial Data Missing",VLOOKUP(AI152,'G-7 Rivers Data'!$AA$4:$AB$7,2,FALSE)))</f>
        <v/>
      </c>
      <c r="AK152" s="187"/>
      <c r="AL152" s="172" t="str">
        <f>IF(AK152="","",IF(VLOOKUP(AK152,'G-7 Rivers Data'!$AD$4:$AE$8,2,FALSE)=0,"Spatial Data Missing",VLOOKUP(AK152,'G-7 Rivers Data'!$AD$4:$AE$8,2,FALSE)))</f>
        <v/>
      </c>
      <c r="AM152" s="186"/>
      <c r="AN152" s="176" t="str">
        <f>IF(AM152="","",VLOOKUP(AM152,'G-7 Rivers Data'!$AO$4:$AP$7,2,FALSE))</f>
        <v/>
      </c>
      <c r="AO152" s="265" t="str">
        <f t="shared" si="24"/>
        <v/>
      </c>
      <c r="AP152" s="180"/>
      <c r="AQ152" s="181"/>
      <c r="AX152" s="35" t="str">
        <f>IFERROR(INDEX('G-7 Rivers Data'!$AZ$3:$AZ$7,MATCH(N152,'G-7 Rivers Data'!$AY$3:$AY$7,0)),"")</f>
        <v/>
      </c>
    </row>
    <row r="153" spans="2:50" ht="13.8" x14ac:dyDescent="0.25">
      <c r="B153" s="259" t="str">
        <f>'F-1 Off Site River Baseline'!AN151</f>
        <v/>
      </c>
      <c r="C153" s="175" t="str">
        <f>IF(B153="","",VLOOKUP($B153,'F-1 Off Site River Baseline'!$C$9:$R$257,2,FALSE))</f>
        <v/>
      </c>
      <c r="D153" s="175" t="str">
        <f>IF(C153="","",VLOOKUP($B153,'F-1 Off Site River Baseline'!$C$9:$R$257,3,FALSE))</f>
        <v/>
      </c>
      <c r="E153" s="175" t="str">
        <f>IF(D153="","",VLOOKUP($B153,'F-1 Off Site River Baseline'!$C$9:$R$257,4,FALSE))</f>
        <v/>
      </c>
      <c r="F153" s="175" t="str">
        <f>IF(E153="","",VLOOKUP($B153,'F-1 Off Site River Baseline'!$C$9:$R$257,5,FALSE))</f>
        <v/>
      </c>
      <c r="G153" s="175" t="str">
        <f>IF(F153="","",VLOOKUP($B153,'F-1 Off Site River Baseline'!$C$9:$R$257,6,FALSE))</f>
        <v/>
      </c>
      <c r="H153" s="175" t="str">
        <f>IF(G153="","",VLOOKUP($B153,'F-1 Off Site River Baseline'!$C$9:$R$257,7,FALSE))</f>
        <v/>
      </c>
      <c r="I153" s="175" t="str">
        <f>IF(H153="","",VLOOKUP($B153,'F-1 Off Site River Baseline'!$C$9:$R$257,8,FALSE))</f>
        <v/>
      </c>
      <c r="J153" s="175" t="str">
        <f>IF(I153="","",VLOOKUP($B153,'F-1 Off Site River Baseline'!$C$9:$R$257,9,FALSE))</f>
        <v/>
      </c>
      <c r="K153" s="175" t="str">
        <f>IF(J153="","",VLOOKUP($B153,'F-1 Off Site River Baseline'!$C$9:$R$257,10,FALSE))</f>
        <v/>
      </c>
      <c r="L153" s="175" t="str">
        <f>IF(B153="","",VLOOKUP($B153,'C-1 Site River Baseline'!$C$9:$R$257,15,FALSE))</f>
        <v/>
      </c>
      <c r="M153" s="176" t="str">
        <f>IF(L153="","",VLOOKUP($B153,'F-1 Off Site River Baseline'!$C$9:$R$257,16,FALSE))</f>
        <v/>
      </c>
      <c r="N153" s="639" t="str">
        <f t="shared" si="18"/>
        <v/>
      </c>
      <c r="O153" s="171" t="str">
        <f t="shared" si="19"/>
        <v/>
      </c>
      <c r="P153" s="172" t="str">
        <f>IF(C153="","",IF(AND(LEFT(C153,55)&lt;&gt;LEFT(N153,55),O153="High - High"),"Error - Not like for like",IF(AND(F153=S153,H153&gt;U153),"Error - Can not reduce condition",IF(AND(F153=S153,H153=U153,AJ153='F-1 Off Site River Baseline'!N151,'F-1 Off Site River Baseline'!P151=AL153),"Error - No enhancement",IF(AND(C153&lt;&gt;N153,F153&lt;S153),"Lower Distinctiveness Habitat"&amp;" - "&amp;T153,G153&amp;" - "&amp;T153)))))</f>
        <v/>
      </c>
      <c r="Q153" s="260" t="str">
        <f>IF(N153="","",VLOOKUP(B153,'F-1 Off Site River Baseline'!$C$10:$AA$257,19,FALSE))</f>
        <v/>
      </c>
      <c r="R153" s="171" t="str">
        <f>IF(N153="","",VLOOKUP(N153,'G-7 Rivers Data'!$B$2:$G$8,2,FALSE))</f>
        <v/>
      </c>
      <c r="S153" s="172" t="str">
        <f>IFERROR(VLOOKUP(R153,'G-7 Rivers Data'!$C$4:$D$8,2,FALSE),"")</f>
        <v/>
      </c>
      <c r="T153" s="173"/>
      <c r="U153" s="172" t="str">
        <f>IFERROR(INDEX('G-7 Rivers Data'!$H$4:$L$8,MATCH(N153,'G-7 Rivers Data'!$B$4:$B$8,0),MATCH(T153,'G-7 Rivers Data'!$H$3:$L$3,0)),"")</f>
        <v/>
      </c>
      <c r="V153" s="186"/>
      <c r="W153" s="175" t="str">
        <f>IF(V153="","",IF(VLOOKUP(V153,'G-7 Rivers Data'!$AG$4:$AI$9,2,FALSE)=0,"Spatial Data Missing",VLOOKUP(V153,'G-7 Rivers Data'!$AG$4:$AI$9,2,FALSE)))</f>
        <v/>
      </c>
      <c r="X153" s="176" t="str">
        <f>IF(V153="","",IF(VLOOKUP(V153,'G-7 Rivers Data'!$AG$4:$AI$9,3,FALSE)=0,"Spatial Data Missing",VLOOKUP(V153,'G-7 Rivers Data'!$AG$4:$AI$9,3,FALSE)))</f>
        <v/>
      </c>
      <c r="Y153" s="239" t="str">
        <f>IFERROR(IF(OR(LEFT(P153,5)="Error",LEFT(O153,5)="Error"),"Check Data",IF(F153&lt;S153,'G-7 Rivers Data'!$R$3,INDEX('G-7 Rivers Data'!$U$5:$Y$9,MATCH(G153,'G-7 Rivers Data'!$T$5:$T$9,0),MATCH(T153,'G-7 Rivers Data'!$U$4:$Y$4,0)))),"")</f>
        <v/>
      </c>
      <c r="Z153" s="275"/>
      <c r="AA153" s="275"/>
      <c r="AB153" s="175" t="str">
        <f t="shared" si="20"/>
        <v/>
      </c>
      <c r="AC153" s="262" t="str">
        <f t="shared" si="21"/>
        <v/>
      </c>
      <c r="AD153" s="382" t="str">
        <f>IFERROR(IF(AC153="Check Data","Check Data",VLOOKUP(AC153,'G-4 Temporal multipliers'!$A$4:$C$37,3,FALSE)),"")</f>
        <v/>
      </c>
      <c r="AE153" s="239" t="str">
        <f>IF(N153="","",VLOOKUP(N153,'G-7 Rivers Data'!$B$4:$G$8,5,FALSE))</f>
        <v/>
      </c>
      <c r="AF153" s="175" t="str">
        <f t="shared" si="22"/>
        <v/>
      </c>
      <c r="AG153" s="175" t="str">
        <f t="shared" si="23"/>
        <v/>
      </c>
      <c r="AH153" s="176" t="str">
        <f t="shared" si="17"/>
        <v/>
      </c>
      <c r="AI153" s="173"/>
      <c r="AJ153" s="172" t="str">
        <f>IF(AI153="","",IF(VLOOKUP(AI153,'G-7 Rivers Data'!$AA$4:$AB$7,2,FALSE)=0,"Spatial Data Missing",VLOOKUP(AI153,'G-7 Rivers Data'!$AA$4:$AB$7,2,FALSE)))</f>
        <v/>
      </c>
      <c r="AK153" s="187"/>
      <c r="AL153" s="172" t="str">
        <f>IF(AK153="","",IF(VLOOKUP(AK153,'G-7 Rivers Data'!$AD$4:$AE$8,2,FALSE)=0,"Spatial Data Missing",VLOOKUP(AK153,'G-7 Rivers Data'!$AD$4:$AE$8,2,FALSE)))</f>
        <v/>
      </c>
      <c r="AM153" s="186"/>
      <c r="AN153" s="176" t="str">
        <f>IF(AM153="","",VLOOKUP(AM153,'G-7 Rivers Data'!$AO$4:$AP$7,2,FALSE))</f>
        <v/>
      </c>
      <c r="AO153" s="265" t="str">
        <f t="shared" si="24"/>
        <v/>
      </c>
      <c r="AP153" s="180"/>
      <c r="AQ153" s="181"/>
      <c r="AX153" s="35" t="str">
        <f>IFERROR(INDEX('G-7 Rivers Data'!$AZ$3:$AZ$7,MATCH(N153,'G-7 Rivers Data'!$AY$3:$AY$7,0)),"")</f>
        <v/>
      </c>
    </row>
    <row r="154" spans="2:50" ht="13.8" x14ac:dyDescent="0.25">
      <c r="B154" s="259" t="str">
        <f>'F-1 Off Site River Baseline'!AN152</f>
        <v/>
      </c>
      <c r="C154" s="175" t="str">
        <f>IF(B154="","",VLOOKUP($B154,'F-1 Off Site River Baseline'!$C$9:$R$257,2,FALSE))</f>
        <v/>
      </c>
      <c r="D154" s="175" t="str">
        <f>IF(C154="","",VLOOKUP($B154,'F-1 Off Site River Baseline'!$C$9:$R$257,3,FALSE))</f>
        <v/>
      </c>
      <c r="E154" s="175" t="str">
        <f>IF(D154="","",VLOOKUP($B154,'F-1 Off Site River Baseline'!$C$9:$R$257,4,FALSE))</f>
        <v/>
      </c>
      <c r="F154" s="175" t="str">
        <f>IF(E154="","",VLOOKUP($B154,'F-1 Off Site River Baseline'!$C$9:$R$257,5,FALSE))</f>
        <v/>
      </c>
      <c r="G154" s="175" t="str">
        <f>IF(F154="","",VLOOKUP($B154,'F-1 Off Site River Baseline'!$C$9:$R$257,6,FALSE))</f>
        <v/>
      </c>
      <c r="H154" s="175" t="str">
        <f>IF(G154="","",VLOOKUP($B154,'F-1 Off Site River Baseline'!$C$9:$R$257,7,FALSE))</f>
        <v/>
      </c>
      <c r="I154" s="175" t="str">
        <f>IF(H154="","",VLOOKUP($B154,'F-1 Off Site River Baseline'!$C$9:$R$257,8,FALSE))</f>
        <v/>
      </c>
      <c r="J154" s="175" t="str">
        <f>IF(I154="","",VLOOKUP($B154,'F-1 Off Site River Baseline'!$C$9:$R$257,9,FALSE))</f>
        <v/>
      </c>
      <c r="K154" s="175" t="str">
        <f>IF(J154="","",VLOOKUP($B154,'F-1 Off Site River Baseline'!$C$9:$R$257,10,FALSE))</f>
        <v/>
      </c>
      <c r="L154" s="175" t="str">
        <f>IF(B154="","",VLOOKUP($B154,'C-1 Site River Baseline'!$C$9:$R$257,15,FALSE))</f>
        <v/>
      </c>
      <c r="M154" s="176" t="str">
        <f>IF(L154="","",VLOOKUP($B154,'F-1 Off Site River Baseline'!$C$9:$R$257,16,FALSE))</f>
        <v/>
      </c>
      <c r="N154" s="639" t="str">
        <f t="shared" si="18"/>
        <v/>
      </c>
      <c r="O154" s="171" t="str">
        <f t="shared" si="19"/>
        <v/>
      </c>
      <c r="P154" s="172" t="str">
        <f>IF(C154="","",IF(AND(LEFT(C154,55)&lt;&gt;LEFT(N154,55),O154="High - High"),"Error - Not like for like",IF(AND(F154=S154,H154&gt;U154),"Error - Can not reduce condition",IF(AND(F154=S154,H154=U154,AJ154='F-1 Off Site River Baseline'!N152,'F-1 Off Site River Baseline'!P152=AL154),"Error - No enhancement",IF(AND(C154&lt;&gt;N154,F154&lt;S154),"Lower Distinctiveness Habitat"&amp;" - "&amp;T154,G154&amp;" - "&amp;T154)))))</f>
        <v/>
      </c>
      <c r="Q154" s="260" t="str">
        <f>IF(N154="","",VLOOKUP(B154,'F-1 Off Site River Baseline'!$C$10:$AA$257,19,FALSE))</f>
        <v/>
      </c>
      <c r="R154" s="171" t="str">
        <f>IF(N154="","",VLOOKUP(N154,'G-7 Rivers Data'!$B$2:$G$8,2,FALSE))</f>
        <v/>
      </c>
      <c r="S154" s="172" t="str">
        <f>IFERROR(VLOOKUP(R154,'G-7 Rivers Data'!$C$4:$D$8,2,FALSE),"")</f>
        <v/>
      </c>
      <c r="T154" s="173"/>
      <c r="U154" s="172" t="str">
        <f>IFERROR(INDEX('G-7 Rivers Data'!$H$4:$L$8,MATCH(N154,'G-7 Rivers Data'!$B$4:$B$8,0),MATCH(T154,'G-7 Rivers Data'!$H$3:$L$3,0)),"")</f>
        <v/>
      </c>
      <c r="V154" s="186"/>
      <c r="W154" s="175" t="str">
        <f>IF(V154="","",IF(VLOOKUP(V154,'G-7 Rivers Data'!$AG$4:$AI$9,2,FALSE)=0,"Spatial Data Missing",VLOOKUP(V154,'G-7 Rivers Data'!$AG$4:$AI$9,2,FALSE)))</f>
        <v/>
      </c>
      <c r="X154" s="176" t="str">
        <f>IF(V154="","",IF(VLOOKUP(V154,'G-7 Rivers Data'!$AG$4:$AI$9,3,FALSE)=0,"Spatial Data Missing",VLOOKUP(V154,'G-7 Rivers Data'!$AG$4:$AI$9,3,FALSE)))</f>
        <v/>
      </c>
      <c r="Y154" s="239" t="str">
        <f>IFERROR(IF(OR(LEFT(P154,5)="Error",LEFT(O154,5)="Error"),"Check Data",IF(F154&lt;S154,'G-7 Rivers Data'!$R$3,INDEX('G-7 Rivers Data'!$U$5:$Y$9,MATCH(G154,'G-7 Rivers Data'!$T$5:$T$9,0),MATCH(T154,'G-7 Rivers Data'!$U$4:$Y$4,0)))),"")</f>
        <v/>
      </c>
      <c r="Z154" s="275"/>
      <c r="AA154" s="275"/>
      <c r="AB154" s="175" t="str">
        <f t="shared" si="20"/>
        <v/>
      </c>
      <c r="AC154" s="262" t="str">
        <f t="shared" si="21"/>
        <v/>
      </c>
      <c r="AD154" s="382" t="str">
        <f>IFERROR(IF(AC154="Check Data","Check Data",VLOOKUP(AC154,'G-4 Temporal multipliers'!$A$4:$C$37,3,FALSE)),"")</f>
        <v/>
      </c>
      <c r="AE154" s="239" t="str">
        <f>IF(N154="","",VLOOKUP(N154,'G-7 Rivers Data'!$B$4:$G$8,5,FALSE))</f>
        <v/>
      </c>
      <c r="AF154" s="175" t="str">
        <f t="shared" si="22"/>
        <v/>
      </c>
      <c r="AG154" s="175" t="str">
        <f t="shared" si="23"/>
        <v/>
      </c>
      <c r="AH154" s="176" t="str">
        <f t="shared" si="17"/>
        <v/>
      </c>
      <c r="AI154" s="173"/>
      <c r="AJ154" s="172" t="str">
        <f>IF(AI154="","",IF(VLOOKUP(AI154,'G-7 Rivers Data'!$AA$4:$AB$7,2,FALSE)=0,"Spatial Data Missing",VLOOKUP(AI154,'G-7 Rivers Data'!$AA$4:$AB$7,2,FALSE)))</f>
        <v/>
      </c>
      <c r="AK154" s="187"/>
      <c r="AL154" s="172" t="str">
        <f>IF(AK154="","",IF(VLOOKUP(AK154,'G-7 Rivers Data'!$AD$4:$AE$8,2,FALSE)=0,"Spatial Data Missing",VLOOKUP(AK154,'G-7 Rivers Data'!$AD$4:$AE$8,2,FALSE)))</f>
        <v/>
      </c>
      <c r="AM154" s="186"/>
      <c r="AN154" s="176" t="str">
        <f>IF(AM154="","",VLOOKUP(AM154,'G-7 Rivers Data'!$AO$4:$AP$7,2,FALSE))</f>
        <v/>
      </c>
      <c r="AO154" s="265" t="str">
        <f t="shared" si="24"/>
        <v/>
      </c>
      <c r="AP154" s="180"/>
      <c r="AQ154" s="181"/>
      <c r="AX154" s="35" t="str">
        <f>IFERROR(INDEX('G-7 Rivers Data'!$AZ$3:$AZ$7,MATCH(N154,'G-7 Rivers Data'!$AY$3:$AY$7,0)),"")</f>
        <v/>
      </c>
    </row>
    <row r="155" spans="2:50" ht="13.8" x14ac:dyDescent="0.25">
      <c r="B155" s="259" t="str">
        <f>'F-1 Off Site River Baseline'!AN153</f>
        <v/>
      </c>
      <c r="C155" s="175" t="str">
        <f>IF(B155="","",VLOOKUP($B155,'F-1 Off Site River Baseline'!$C$9:$R$257,2,FALSE))</f>
        <v/>
      </c>
      <c r="D155" s="175" t="str">
        <f>IF(C155="","",VLOOKUP($B155,'F-1 Off Site River Baseline'!$C$9:$R$257,3,FALSE))</f>
        <v/>
      </c>
      <c r="E155" s="175" t="str">
        <f>IF(D155="","",VLOOKUP($B155,'F-1 Off Site River Baseline'!$C$9:$R$257,4,FALSE))</f>
        <v/>
      </c>
      <c r="F155" s="175" t="str">
        <f>IF(E155="","",VLOOKUP($B155,'F-1 Off Site River Baseline'!$C$9:$R$257,5,FALSE))</f>
        <v/>
      </c>
      <c r="G155" s="175" t="str">
        <f>IF(F155="","",VLOOKUP($B155,'F-1 Off Site River Baseline'!$C$9:$R$257,6,FALSE))</f>
        <v/>
      </c>
      <c r="H155" s="175" t="str">
        <f>IF(G155="","",VLOOKUP($B155,'F-1 Off Site River Baseline'!$C$9:$R$257,7,FALSE))</f>
        <v/>
      </c>
      <c r="I155" s="175" t="str">
        <f>IF(H155="","",VLOOKUP($B155,'F-1 Off Site River Baseline'!$C$9:$R$257,8,FALSE))</f>
        <v/>
      </c>
      <c r="J155" s="175" t="str">
        <f>IF(I155="","",VLOOKUP($B155,'F-1 Off Site River Baseline'!$C$9:$R$257,9,FALSE))</f>
        <v/>
      </c>
      <c r="K155" s="175" t="str">
        <f>IF(J155="","",VLOOKUP($B155,'F-1 Off Site River Baseline'!$C$9:$R$257,10,FALSE))</f>
        <v/>
      </c>
      <c r="L155" s="175" t="str">
        <f>IF(B155="","",VLOOKUP($B155,'C-1 Site River Baseline'!$C$9:$R$257,15,FALSE))</f>
        <v/>
      </c>
      <c r="M155" s="176" t="str">
        <f>IF(L155="","",VLOOKUP($B155,'F-1 Off Site River Baseline'!$C$9:$R$257,16,FALSE))</f>
        <v/>
      </c>
      <c r="N155" s="639" t="str">
        <f t="shared" si="18"/>
        <v/>
      </c>
      <c r="O155" s="171" t="str">
        <f t="shared" si="19"/>
        <v/>
      </c>
      <c r="P155" s="172" t="str">
        <f>IF(C155="","",IF(AND(LEFT(C155,55)&lt;&gt;LEFT(N155,55),O155="High - High"),"Error - Not like for like",IF(AND(F155=S155,H155&gt;U155),"Error - Can not reduce condition",IF(AND(F155=S155,H155=U155,AJ155='F-1 Off Site River Baseline'!N153,'F-1 Off Site River Baseline'!P153=AL155),"Error - No enhancement",IF(AND(C155&lt;&gt;N155,F155&lt;S155),"Lower Distinctiveness Habitat"&amp;" - "&amp;T155,G155&amp;" - "&amp;T155)))))</f>
        <v/>
      </c>
      <c r="Q155" s="260" t="str">
        <f>IF(N155="","",VLOOKUP(B155,'F-1 Off Site River Baseline'!$C$10:$AA$257,19,FALSE))</f>
        <v/>
      </c>
      <c r="R155" s="171" t="str">
        <f>IF(N155="","",VLOOKUP(N155,'G-7 Rivers Data'!$B$2:$G$8,2,FALSE))</f>
        <v/>
      </c>
      <c r="S155" s="172" t="str">
        <f>IFERROR(VLOOKUP(R155,'G-7 Rivers Data'!$C$4:$D$8,2,FALSE),"")</f>
        <v/>
      </c>
      <c r="T155" s="173"/>
      <c r="U155" s="172" t="str">
        <f>IFERROR(INDEX('G-7 Rivers Data'!$H$4:$L$8,MATCH(N155,'G-7 Rivers Data'!$B$4:$B$8,0),MATCH(T155,'G-7 Rivers Data'!$H$3:$L$3,0)),"")</f>
        <v/>
      </c>
      <c r="V155" s="186"/>
      <c r="W155" s="175" t="str">
        <f>IF(V155="","",IF(VLOOKUP(V155,'G-7 Rivers Data'!$AG$4:$AI$9,2,FALSE)=0,"Spatial Data Missing",VLOOKUP(V155,'G-7 Rivers Data'!$AG$4:$AI$9,2,FALSE)))</f>
        <v/>
      </c>
      <c r="X155" s="176" t="str">
        <f>IF(V155="","",IF(VLOOKUP(V155,'G-7 Rivers Data'!$AG$4:$AI$9,3,FALSE)=0,"Spatial Data Missing",VLOOKUP(V155,'G-7 Rivers Data'!$AG$4:$AI$9,3,FALSE)))</f>
        <v/>
      </c>
      <c r="Y155" s="239" t="str">
        <f>IFERROR(IF(OR(LEFT(P155,5)="Error",LEFT(O155,5)="Error"),"Check Data",IF(F155&lt;S155,'G-7 Rivers Data'!$R$3,INDEX('G-7 Rivers Data'!$U$5:$Y$9,MATCH(G155,'G-7 Rivers Data'!$T$5:$T$9,0),MATCH(T155,'G-7 Rivers Data'!$U$4:$Y$4,0)))),"")</f>
        <v/>
      </c>
      <c r="Z155" s="275"/>
      <c r="AA155" s="275"/>
      <c r="AB155" s="175" t="str">
        <f t="shared" si="20"/>
        <v/>
      </c>
      <c r="AC155" s="262" t="str">
        <f t="shared" si="21"/>
        <v/>
      </c>
      <c r="AD155" s="382" t="str">
        <f>IFERROR(IF(AC155="Check Data","Check Data",VLOOKUP(AC155,'G-4 Temporal multipliers'!$A$4:$C$37,3,FALSE)),"")</f>
        <v/>
      </c>
      <c r="AE155" s="239" t="str">
        <f>IF(N155="","",VLOOKUP(N155,'G-7 Rivers Data'!$B$4:$G$8,5,FALSE))</f>
        <v/>
      </c>
      <c r="AF155" s="175" t="str">
        <f t="shared" si="22"/>
        <v/>
      </c>
      <c r="AG155" s="175" t="str">
        <f t="shared" si="23"/>
        <v/>
      </c>
      <c r="AH155" s="176" t="str">
        <f t="shared" si="17"/>
        <v/>
      </c>
      <c r="AI155" s="173"/>
      <c r="AJ155" s="172" t="str">
        <f>IF(AI155="","",IF(VLOOKUP(AI155,'G-7 Rivers Data'!$AA$4:$AB$7,2,FALSE)=0,"Spatial Data Missing",VLOOKUP(AI155,'G-7 Rivers Data'!$AA$4:$AB$7,2,FALSE)))</f>
        <v/>
      </c>
      <c r="AK155" s="187"/>
      <c r="AL155" s="172" t="str">
        <f>IF(AK155="","",IF(VLOOKUP(AK155,'G-7 Rivers Data'!$AD$4:$AE$8,2,FALSE)=0,"Spatial Data Missing",VLOOKUP(AK155,'G-7 Rivers Data'!$AD$4:$AE$8,2,FALSE)))</f>
        <v/>
      </c>
      <c r="AM155" s="186"/>
      <c r="AN155" s="176" t="str">
        <f>IF(AM155="","",VLOOKUP(AM155,'G-7 Rivers Data'!$AO$4:$AP$7,2,FALSE))</f>
        <v/>
      </c>
      <c r="AO155" s="265" t="str">
        <f t="shared" si="24"/>
        <v/>
      </c>
      <c r="AP155" s="180"/>
      <c r="AQ155" s="181"/>
      <c r="AX155" s="35" t="str">
        <f>IFERROR(INDEX('G-7 Rivers Data'!$AZ$3:$AZ$7,MATCH(N155,'G-7 Rivers Data'!$AY$3:$AY$7,0)),"")</f>
        <v/>
      </c>
    </row>
    <row r="156" spans="2:50" ht="13.8" x14ac:dyDescent="0.25">
      <c r="B156" s="259" t="str">
        <f>'F-1 Off Site River Baseline'!AN154</f>
        <v/>
      </c>
      <c r="C156" s="175" t="str">
        <f>IF(B156="","",VLOOKUP($B156,'F-1 Off Site River Baseline'!$C$9:$R$257,2,FALSE))</f>
        <v/>
      </c>
      <c r="D156" s="175" t="str">
        <f>IF(C156="","",VLOOKUP($B156,'F-1 Off Site River Baseline'!$C$9:$R$257,3,FALSE))</f>
        <v/>
      </c>
      <c r="E156" s="175" t="str">
        <f>IF(D156="","",VLOOKUP($B156,'F-1 Off Site River Baseline'!$C$9:$R$257,4,FALSE))</f>
        <v/>
      </c>
      <c r="F156" s="175" t="str">
        <f>IF(E156="","",VLOOKUP($B156,'F-1 Off Site River Baseline'!$C$9:$R$257,5,FALSE))</f>
        <v/>
      </c>
      <c r="G156" s="175" t="str">
        <f>IF(F156="","",VLOOKUP($B156,'F-1 Off Site River Baseline'!$C$9:$R$257,6,FALSE))</f>
        <v/>
      </c>
      <c r="H156" s="175" t="str">
        <f>IF(G156="","",VLOOKUP($B156,'F-1 Off Site River Baseline'!$C$9:$R$257,7,FALSE))</f>
        <v/>
      </c>
      <c r="I156" s="175" t="str">
        <f>IF(H156="","",VLOOKUP($B156,'F-1 Off Site River Baseline'!$C$9:$R$257,8,FALSE))</f>
        <v/>
      </c>
      <c r="J156" s="175" t="str">
        <f>IF(I156="","",VLOOKUP($B156,'F-1 Off Site River Baseline'!$C$9:$R$257,9,FALSE))</f>
        <v/>
      </c>
      <c r="K156" s="175" t="str">
        <f>IF(J156="","",VLOOKUP($B156,'F-1 Off Site River Baseline'!$C$9:$R$257,10,FALSE))</f>
        <v/>
      </c>
      <c r="L156" s="175" t="str">
        <f>IF(B156="","",VLOOKUP($B156,'C-1 Site River Baseline'!$C$9:$R$257,15,FALSE))</f>
        <v/>
      </c>
      <c r="M156" s="176" t="str">
        <f>IF(L156="","",VLOOKUP($B156,'F-1 Off Site River Baseline'!$C$9:$R$257,16,FALSE))</f>
        <v/>
      </c>
      <c r="N156" s="639" t="str">
        <f t="shared" si="18"/>
        <v/>
      </c>
      <c r="O156" s="171" t="str">
        <f t="shared" si="19"/>
        <v/>
      </c>
      <c r="P156" s="172" t="str">
        <f>IF(C156="","",IF(AND(LEFT(C156,55)&lt;&gt;LEFT(N156,55),O156="High - High"),"Error - Not like for like",IF(AND(F156=S156,H156&gt;U156),"Error - Can not reduce condition",IF(AND(F156=S156,H156=U156,AJ156='F-1 Off Site River Baseline'!N154,'F-1 Off Site River Baseline'!P154=AL156),"Error - No enhancement",IF(AND(C156&lt;&gt;N156,F156&lt;S156),"Lower Distinctiveness Habitat"&amp;" - "&amp;T156,G156&amp;" - "&amp;T156)))))</f>
        <v/>
      </c>
      <c r="Q156" s="260" t="str">
        <f>IF(N156="","",VLOOKUP(B156,'F-1 Off Site River Baseline'!$C$10:$AA$257,19,FALSE))</f>
        <v/>
      </c>
      <c r="R156" s="171" t="str">
        <f>IF(N156="","",VLOOKUP(N156,'G-7 Rivers Data'!$B$2:$G$8,2,FALSE))</f>
        <v/>
      </c>
      <c r="S156" s="172" t="str">
        <f>IFERROR(VLOOKUP(R156,'G-7 Rivers Data'!$C$4:$D$8,2,FALSE),"")</f>
        <v/>
      </c>
      <c r="T156" s="173"/>
      <c r="U156" s="172" t="str">
        <f>IFERROR(INDEX('G-7 Rivers Data'!$H$4:$L$8,MATCH(N156,'G-7 Rivers Data'!$B$4:$B$8,0),MATCH(T156,'G-7 Rivers Data'!$H$3:$L$3,0)),"")</f>
        <v/>
      </c>
      <c r="V156" s="186"/>
      <c r="W156" s="175" t="str">
        <f>IF(V156="","",IF(VLOOKUP(V156,'G-7 Rivers Data'!$AG$4:$AI$9,2,FALSE)=0,"Spatial Data Missing",VLOOKUP(V156,'G-7 Rivers Data'!$AG$4:$AI$9,2,FALSE)))</f>
        <v/>
      </c>
      <c r="X156" s="176" t="str">
        <f>IF(V156="","",IF(VLOOKUP(V156,'G-7 Rivers Data'!$AG$4:$AI$9,3,FALSE)=0,"Spatial Data Missing",VLOOKUP(V156,'G-7 Rivers Data'!$AG$4:$AI$9,3,FALSE)))</f>
        <v/>
      </c>
      <c r="Y156" s="239" t="str">
        <f>IFERROR(IF(OR(LEFT(P156,5)="Error",LEFT(O156,5)="Error"),"Check Data",IF(F156&lt;S156,'G-7 Rivers Data'!$R$3,INDEX('G-7 Rivers Data'!$U$5:$Y$9,MATCH(G156,'G-7 Rivers Data'!$T$5:$T$9,0),MATCH(T156,'G-7 Rivers Data'!$U$4:$Y$4,0)))),"")</f>
        <v/>
      </c>
      <c r="Z156" s="275"/>
      <c r="AA156" s="275"/>
      <c r="AB156" s="175" t="str">
        <f t="shared" si="20"/>
        <v/>
      </c>
      <c r="AC156" s="262" t="str">
        <f t="shared" si="21"/>
        <v/>
      </c>
      <c r="AD156" s="382" t="str">
        <f>IFERROR(IF(AC156="Check Data","Check Data",VLOOKUP(AC156,'G-4 Temporal multipliers'!$A$4:$C$37,3,FALSE)),"")</f>
        <v/>
      </c>
      <c r="AE156" s="239" t="str">
        <f>IF(N156="","",VLOOKUP(N156,'G-7 Rivers Data'!$B$4:$G$8,5,FALSE))</f>
        <v/>
      </c>
      <c r="AF156" s="175" t="str">
        <f t="shared" si="22"/>
        <v/>
      </c>
      <c r="AG156" s="175" t="str">
        <f t="shared" si="23"/>
        <v/>
      </c>
      <c r="AH156" s="176" t="str">
        <f t="shared" si="17"/>
        <v/>
      </c>
      <c r="AI156" s="173"/>
      <c r="AJ156" s="172" t="str">
        <f>IF(AI156="","",IF(VLOOKUP(AI156,'G-7 Rivers Data'!$AA$4:$AB$7,2,FALSE)=0,"Spatial Data Missing",VLOOKUP(AI156,'G-7 Rivers Data'!$AA$4:$AB$7,2,FALSE)))</f>
        <v/>
      </c>
      <c r="AK156" s="187"/>
      <c r="AL156" s="172" t="str">
        <f>IF(AK156="","",IF(VLOOKUP(AK156,'G-7 Rivers Data'!$AD$4:$AE$8,2,FALSE)=0,"Spatial Data Missing",VLOOKUP(AK156,'G-7 Rivers Data'!$AD$4:$AE$8,2,FALSE)))</f>
        <v/>
      </c>
      <c r="AM156" s="186"/>
      <c r="AN156" s="176" t="str">
        <f>IF(AM156="","",VLOOKUP(AM156,'G-7 Rivers Data'!$AO$4:$AP$7,2,FALSE))</f>
        <v/>
      </c>
      <c r="AO156" s="265" t="str">
        <f t="shared" si="24"/>
        <v/>
      </c>
      <c r="AP156" s="180"/>
      <c r="AQ156" s="181"/>
      <c r="AX156" s="35" t="str">
        <f>IFERROR(INDEX('G-7 Rivers Data'!$AZ$3:$AZ$7,MATCH(N156,'G-7 Rivers Data'!$AY$3:$AY$7,0)),"")</f>
        <v/>
      </c>
    </row>
    <row r="157" spans="2:50" ht="13.8" x14ac:dyDescent="0.25">
      <c r="B157" s="259" t="str">
        <f>'F-1 Off Site River Baseline'!AN155</f>
        <v/>
      </c>
      <c r="C157" s="175" t="str">
        <f>IF(B157="","",VLOOKUP($B157,'F-1 Off Site River Baseline'!$C$9:$R$257,2,FALSE))</f>
        <v/>
      </c>
      <c r="D157" s="175" t="str">
        <f>IF(C157="","",VLOOKUP($B157,'F-1 Off Site River Baseline'!$C$9:$R$257,3,FALSE))</f>
        <v/>
      </c>
      <c r="E157" s="175" t="str">
        <f>IF(D157="","",VLOOKUP($B157,'F-1 Off Site River Baseline'!$C$9:$R$257,4,FALSE))</f>
        <v/>
      </c>
      <c r="F157" s="175" t="str">
        <f>IF(E157="","",VLOOKUP($B157,'F-1 Off Site River Baseline'!$C$9:$R$257,5,FALSE))</f>
        <v/>
      </c>
      <c r="G157" s="175" t="str">
        <f>IF(F157="","",VLOOKUP($B157,'F-1 Off Site River Baseline'!$C$9:$R$257,6,FALSE))</f>
        <v/>
      </c>
      <c r="H157" s="175" t="str">
        <f>IF(G157="","",VLOOKUP($B157,'F-1 Off Site River Baseline'!$C$9:$R$257,7,FALSE))</f>
        <v/>
      </c>
      <c r="I157" s="175" t="str">
        <f>IF(H157="","",VLOOKUP($B157,'F-1 Off Site River Baseline'!$C$9:$R$257,8,FALSE))</f>
        <v/>
      </c>
      <c r="J157" s="175" t="str">
        <f>IF(I157="","",VLOOKUP($B157,'F-1 Off Site River Baseline'!$C$9:$R$257,9,FALSE))</f>
        <v/>
      </c>
      <c r="K157" s="175" t="str">
        <f>IF(J157="","",VLOOKUP($B157,'F-1 Off Site River Baseline'!$C$9:$R$257,10,FALSE))</f>
        <v/>
      </c>
      <c r="L157" s="175" t="str">
        <f>IF(B157="","",VLOOKUP($B157,'C-1 Site River Baseline'!$C$9:$R$257,15,FALSE))</f>
        <v/>
      </c>
      <c r="M157" s="176" t="str">
        <f>IF(L157="","",VLOOKUP($B157,'F-1 Off Site River Baseline'!$C$9:$R$257,16,FALSE))</f>
        <v/>
      </c>
      <c r="N157" s="639" t="str">
        <f t="shared" si="18"/>
        <v/>
      </c>
      <c r="O157" s="171" t="str">
        <f t="shared" si="19"/>
        <v/>
      </c>
      <c r="P157" s="172" t="str">
        <f>IF(C157="","",IF(AND(LEFT(C157,55)&lt;&gt;LEFT(N157,55),O157="High - High"),"Error - Not like for like",IF(AND(F157=S157,H157&gt;U157),"Error - Can not reduce condition",IF(AND(F157=S157,H157=U157,AJ157='F-1 Off Site River Baseline'!N155,'F-1 Off Site River Baseline'!P155=AL157),"Error - No enhancement",IF(AND(C157&lt;&gt;N157,F157&lt;S157),"Lower Distinctiveness Habitat"&amp;" - "&amp;T157,G157&amp;" - "&amp;T157)))))</f>
        <v/>
      </c>
      <c r="Q157" s="260" t="str">
        <f>IF(N157="","",VLOOKUP(B157,'F-1 Off Site River Baseline'!$C$10:$AA$257,19,FALSE))</f>
        <v/>
      </c>
      <c r="R157" s="171" t="str">
        <f>IF(N157="","",VLOOKUP(N157,'G-7 Rivers Data'!$B$2:$G$8,2,FALSE))</f>
        <v/>
      </c>
      <c r="S157" s="172" t="str">
        <f>IFERROR(VLOOKUP(R157,'G-7 Rivers Data'!$C$4:$D$8,2,FALSE),"")</f>
        <v/>
      </c>
      <c r="T157" s="173"/>
      <c r="U157" s="172" t="str">
        <f>IFERROR(INDEX('G-7 Rivers Data'!$H$4:$L$8,MATCH(N157,'G-7 Rivers Data'!$B$4:$B$8,0),MATCH(T157,'G-7 Rivers Data'!$H$3:$L$3,0)),"")</f>
        <v/>
      </c>
      <c r="V157" s="186"/>
      <c r="W157" s="175" t="str">
        <f>IF(V157="","",IF(VLOOKUP(V157,'G-7 Rivers Data'!$AG$4:$AI$9,2,FALSE)=0,"Spatial Data Missing",VLOOKUP(V157,'G-7 Rivers Data'!$AG$4:$AI$9,2,FALSE)))</f>
        <v/>
      </c>
      <c r="X157" s="176" t="str">
        <f>IF(V157="","",IF(VLOOKUP(V157,'G-7 Rivers Data'!$AG$4:$AI$9,3,FALSE)=0,"Spatial Data Missing",VLOOKUP(V157,'G-7 Rivers Data'!$AG$4:$AI$9,3,FALSE)))</f>
        <v/>
      </c>
      <c r="Y157" s="239" t="str">
        <f>IFERROR(IF(OR(LEFT(P157,5)="Error",LEFT(O157,5)="Error"),"Check Data",IF(F157&lt;S157,'G-7 Rivers Data'!$R$3,INDEX('G-7 Rivers Data'!$U$5:$Y$9,MATCH(G157,'G-7 Rivers Data'!$T$5:$T$9,0),MATCH(T157,'G-7 Rivers Data'!$U$4:$Y$4,0)))),"")</f>
        <v/>
      </c>
      <c r="Z157" s="275"/>
      <c r="AA157" s="275"/>
      <c r="AB157" s="175" t="str">
        <f t="shared" si="20"/>
        <v/>
      </c>
      <c r="AC157" s="262" t="str">
        <f t="shared" si="21"/>
        <v/>
      </c>
      <c r="AD157" s="382" t="str">
        <f>IFERROR(IF(AC157="Check Data","Check Data",VLOOKUP(AC157,'G-4 Temporal multipliers'!$A$4:$C$37,3,FALSE)),"")</f>
        <v/>
      </c>
      <c r="AE157" s="239" t="str">
        <f>IF(N157="","",VLOOKUP(N157,'G-7 Rivers Data'!$B$4:$G$8,5,FALSE))</f>
        <v/>
      </c>
      <c r="AF157" s="175" t="str">
        <f t="shared" si="22"/>
        <v/>
      </c>
      <c r="AG157" s="175" t="str">
        <f t="shared" si="23"/>
        <v/>
      </c>
      <c r="AH157" s="176" t="str">
        <f t="shared" si="17"/>
        <v/>
      </c>
      <c r="AI157" s="173"/>
      <c r="AJ157" s="172" t="str">
        <f>IF(AI157="","",IF(VLOOKUP(AI157,'G-7 Rivers Data'!$AA$4:$AB$7,2,FALSE)=0,"Spatial Data Missing",VLOOKUP(AI157,'G-7 Rivers Data'!$AA$4:$AB$7,2,FALSE)))</f>
        <v/>
      </c>
      <c r="AK157" s="187"/>
      <c r="AL157" s="172" t="str">
        <f>IF(AK157="","",IF(VLOOKUP(AK157,'G-7 Rivers Data'!$AD$4:$AE$8,2,FALSE)=0,"Spatial Data Missing",VLOOKUP(AK157,'G-7 Rivers Data'!$AD$4:$AE$8,2,FALSE)))</f>
        <v/>
      </c>
      <c r="AM157" s="186"/>
      <c r="AN157" s="176" t="str">
        <f>IF(AM157="","",VLOOKUP(AM157,'G-7 Rivers Data'!$AO$4:$AP$7,2,FALSE))</f>
        <v/>
      </c>
      <c r="AO157" s="265" t="str">
        <f t="shared" si="24"/>
        <v/>
      </c>
      <c r="AP157" s="180"/>
      <c r="AQ157" s="181"/>
      <c r="AX157" s="35" t="str">
        <f>IFERROR(INDEX('G-7 Rivers Data'!$AZ$3:$AZ$7,MATCH(N157,'G-7 Rivers Data'!$AY$3:$AY$7,0)),"")</f>
        <v/>
      </c>
    </row>
    <row r="158" spans="2:50" ht="13.8" x14ac:dyDescent="0.25">
      <c r="B158" s="259" t="str">
        <f>'F-1 Off Site River Baseline'!AN156</f>
        <v/>
      </c>
      <c r="C158" s="175" t="str">
        <f>IF(B158="","",VLOOKUP($B158,'F-1 Off Site River Baseline'!$C$9:$R$257,2,FALSE))</f>
        <v/>
      </c>
      <c r="D158" s="175" t="str">
        <f>IF(C158="","",VLOOKUP($B158,'F-1 Off Site River Baseline'!$C$9:$R$257,3,FALSE))</f>
        <v/>
      </c>
      <c r="E158" s="175" t="str">
        <f>IF(D158="","",VLOOKUP($B158,'F-1 Off Site River Baseline'!$C$9:$R$257,4,FALSE))</f>
        <v/>
      </c>
      <c r="F158" s="175" t="str">
        <f>IF(E158="","",VLOOKUP($B158,'F-1 Off Site River Baseline'!$C$9:$R$257,5,FALSE))</f>
        <v/>
      </c>
      <c r="G158" s="175" t="str">
        <f>IF(F158="","",VLOOKUP($B158,'F-1 Off Site River Baseline'!$C$9:$R$257,6,FALSE))</f>
        <v/>
      </c>
      <c r="H158" s="175" t="str">
        <f>IF(G158="","",VLOOKUP($B158,'F-1 Off Site River Baseline'!$C$9:$R$257,7,FALSE))</f>
        <v/>
      </c>
      <c r="I158" s="175" t="str">
        <f>IF(H158="","",VLOOKUP($B158,'F-1 Off Site River Baseline'!$C$9:$R$257,8,FALSE))</f>
        <v/>
      </c>
      <c r="J158" s="175" t="str">
        <f>IF(I158="","",VLOOKUP($B158,'F-1 Off Site River Baseline'!$C$9:$R$257,9,FALSE))</f>
        <v/>
      </c>
      <c r="K158" s="175" t="str">
        <f>IF(J158="","",VLOOKUP($B158,'F-1 Off Site River Baseline'!$C$9:$R$257,10,FALSE))</f>
        <v/>
      </c>
      <c r="L158" s="175" t="str">
        <f>IF(B158="","",VLOOKUP($B158,'C-1 Site River Baseline'!$C$9:$R$257,15,FALSE))</f>
        <v/>
      </c>
      <c r="M158" s="176" t="str">
        <f>IF(L158="","",VLOOKUP($B158,'F-1 Off Site River Baseline'!$C$9:$R$257,16,FALSE))</f>
        <v/>
      </c>
      <c r="N158" s="639" t="str">
        <f t="shared" si="18"/>
        <v/>
      </c>
      <c r="O158" s="171" t="str">
        <f t="shared" si="19"/>
        <v/>
      </c>
      <c r="P158" s="172" t="str">
        <f>IF(C158="","",IF(AND(LEFT(C158,55)&lt;&gt;LEFT(N158,55),O158="High - High"),"Error - Not like for like",IF(AND(F158=S158,H158&gt;U158),"Error - Can not reduce condition",IF(AND(F158=S158,H158=U158,AJ158='F-1 Off Site River Baseline'!N156,'F-1 Off Site River Baseline'!P156=AL158),"Error - No enhancement",IF(AND(C158&lt;&gt;N158,F158&lt;S158),"Lower Distinctiveness Habitat"&amp;" - "&amp;T158,G158&amp;" - "&amp;T158)))))</f>
        <v/>
      </c>
      <c r="Q158" s="260" t="str">
        <f>IF(N158="","",VLOOKUP(B158,'F-1 Off Site River Baseline'!$C$10:$AA$257,19,FALSE))</f>
        <v/>
      </c>
      <c r="R158" s="171" t="str">
        <f>IF(N158="","",VLOOKUP(N158,'G-7 Rivers Data'!$B$2:$G$8,2,FALSE))</f>
        <v/>
      </c>
      <c r="S158" s="172" t="str">
        <f>IFERROR(VLOOKUP(R158,'G-7 Rivers Data'!$C$4:$D$8,2,FALSE),"")</f>
        <v/>
      </c>
      <c r="T158" s="173"/>
      <c r="U158" s="172" t="str">
        <f>IFERROR(INDEX('G-7 Rivers Data'!$H$4:$L$8,MATCH(N158,'G-7 Rivers Data'!$B$4:$B$8,0),MATCH(T158,'G-7 Rivers Data'!$H$3:$L$3,0)),"")</f>
        <v/>
      </c>
      <c r="V158" s="186"/>
      <c r="W158" s="175" t="str">
        <f>IF(V158="","",IF(VLOOKUP(V158,'G-7 Rivers Data'!$AG$4:$AI$9,2,FALSE)=0,"Spatial Data Missing",VLOOKUP(V158,'G-7 Rivers Data'!$AG$4:$AI$9,2,FALSE)))</f>
        <v/>
      </c>
      <c r="X158" s="176" t="str">
        <f>IF(V158="","",IF(VLOOKUP(V158,'G-7 Rivers Data'!$AG$4:$AI$9,3,FALSE)=0,"Spatial Data Missing",VLOOKUP(V158,'G-7 Rivers Data'!$AG$4:$AI$9,3,FALSE)))</f>
        <v/>
      </c>
      <c r="Y158" s="239" t="str">
        <f>IFERROR(IF(OR(LEFT(P158,5)="Error",LEFT(O158,5)="Error"),"Check Data",IF(F158&lt;S158,'G-7 Rivers Data'!$R$3,INDEX('G-7 Rivers Data'!$U$5:$Y$9,MATCH(G158,'G-7 Rivers Data'!$T$5:$T$9,0),MATCH(T158,'G-7 Rivers Data'!$U$4:$Y$4,0)))),"")</f>
        <v/>
      </c>
      <c r="Z158" s="275"/>
      <c r="AA158" s="275"/>
      <c r="AB158" s="175" t="str">
        <f t="shared" si="20"/>
        <v/>
      </c>
      <c r="AC158" s="262" t="str">
        <f t="shared" si="21"/>
        <v/>
      </c>
      <c r="AD158" s="382" t="str">
        <f>IFERROR(IF(AC158="Check Data","Check Data",VLOOKUP(AC158,'G-4 Temporal multipliers'!$A$4:$C$37,3,FALSE)),"")</f>
        <v/>
      </c>
      <c r="AE158" s="239" t="str">
        <f>IF(N158="","",VLOOKUP(N158,'G-7 Rivers Data'!$B$4:$G$8,5,FALSE))</f>
        <v/>
      </c>
      <c r="AF158" s="175" t="str">
        <f t="shared" si="22"/>
        <v/>
      </c>
      <c r="AG158" s="175" t="str">
        <f t="shared" si="23"/>
        <v/>
      </c>
      <c r="AH158" s="176" t="str">
        <f t="shared" si="17"/>
        <v/>
      </c>
      <c r="AI158" s="173"/>
      <c r="AJ158" s="172" t="str">
        <f>IF(AI158="","",IF(VLOOKUP(AI158,'G-7 Rivers Data'!$AA$4:$AB$7,2,FALSE)=0,"Spatial Data Missing",VLOOKUP(AI158,'G-7 Rivers Data'!$AA$4:$AB$7,2,FALSE)))</f>
        <v/>
      </c>
      <c r="AK158" s="187"/>
      <c r="AL158" s="172" t="str">
        <f>IF(AK158="","",IF(VLOOKUP(AK158,'G-7 Rivers Data'!$AD$4:$AE$8,2,FALSE)=0,"Spatial Data Missing",VLOOKUP(AK158,'G-7 Rivers Data'!$AD$4:$AE$8,2,FALSE)))</f>
        <v/>
      </c>
      <c r="AM158" s="186"/>
      <c r="AN158" s="176" t="str">
        <f>IF(AM158="","",VLOOKUP(AM158,'G-7 Rivers Data'!$AO$4:$AP$7,2,FALSE))</f>
        <v/>
      </c>
      <c r="AO158" s="265" t="str">
        <f t="shared" si="24"/>
        <v/>
      </c>
      <c r="AP158" s="180"/>
      <c r="AQ158" s="181"/>
      <c r="AX158" s="35" t="str">
        <f>IFERROR(INDEX('G-7 Rivers Data'!$AZ$3:$AZ$7,MATCH(N158,'G-7 Rivers Data'!$AY$3:$AY$7,0)),"")</f>
        <v/>
      </c>
    </row>
    <row r="159" spans="2:50" ht="13.8" x14ac:dyDescent="0.25">
      <c r="B159" s="259" t="str">
        <f>'F-1 Off Site River Baseline'!AN157</f>
        <v/>
      </c>
      <c r="C159" s="175" t="str">
        <f>IF(B159="","",VLOOKUP($B159,'F-1 Off Site River Baseline'!$C$9:$R$257,2,FALSE))</f>
        <v/>
      </c>
      <c r="D159" s="175" t="str">
        <f>IF(C159="","",VLOOKUP($B159,'F-1 Off Site River Baseline'!$C$9:$R$257,3,FALSE))</f>
        <v/>
      </c>
      <c r="E159" s="175" t="str">
        <f>IF(D159="","",VLOOKUP($B159,'F-1 Off Site River Baseline'!$C$9:$R$257,4,FALSE))</f>
        <v/>
      </c>
      <c r="F159" s="175" t="str">
        <f>IF(E159="","",VLOOKUP($B159,'F-1 Off Site River Baseline'!$C$9:$R$257,5,FALSE))</f>
        <v/>
      </c>
      <c r="G159" s="175" t="str">
        <f>IF(F159="","",VLOOKUP($B159,'F-1 Off Site River Baseline'!$C$9:$R$257,6,FALSE))</f>
        <v/>
      </c>
      <c r="H159" s="175" t="str">
        <f>IF(G159="","",VLOOKUP($B159,'F-1 Off Site River Baseline'!$C$9:$R$257,7,FALSE))</f>
        <v/>
      </c>
      <c r="I159" s="175" t="str">
        <f>IF(H159="","",VLOOKUP($B159,'F-1 Off Site River Baseline'!$C$9:$R$257,8,FALSE))</f>
        <v/>
      </c>
      <c r="J159" s="175" t="str">
        <f>IF(I159="","",VLOOKUP($B159,'F-1 Off Site River Baseline'!$C$9:$R$257,9,FALSE))</f>
        <v/>
      </c>
      <c r="K159" s="175" t="str">
        <f>IF(J159="","",VLOOKUP($B159,'F-1 Off Site River Baseline'!$C$9:$R$257,10,FALSE))</f>
        <v/>
      </c>
      <c r="L159" s="175" t="str">
        <f>IF(B159="","",VLOOKUP($B159,'C-1 Site River Baseline'!$C$9:$R$257,15,FALSE))</f>
        <v/>
      </c>
      <c r="M159" s="176" t="str">
        <f>IF(L159="","",VLOOKUP($B159,'F-1 Off Site River Baseline'!$C$9:$R$257,16,FALSE))</f>
        <v/>
      </c>
      <c r="N159" s="639" t="str">
        <f t="shared" si="18"/>
        <v/>
      </c>
      <c r="O159" s="171" t="str">
        <f t="shared" si="19"/>
        <v/>
      </c>
      <c r="P159" s="172" t="str">
        <f>IF(C159="","",IF(AND(LEFT(C159,55)&lt;&gt;LEFT(N159,55),O159="High - High"),"Error - Not like for like",IF(AND(F159=S159,H159&gt;U159),"Error - Can not reduce condition",IF(AND(F159=S159,H159=U159,AJ159='F-1 Off Site River Baseline'!N157,'F-1 Off Site River Baseline'!P157=AL159),"Error - No enhancement",IF(AND(C159&lt;&gt;N159,F159&lt;S159),"Lower Distinctiveness Habitat"&amp;" - "&amp;T159,G159&amp;" - "&amp;T159)))))</f>
        <v/>
      </c>
      <c r="Q159" s="260" t="str">
        <f>IF(N159="","",VLOOKUP(B159,'F-1 Off Site River Baseline'!$C$10:$AA$257,19,FALSE))</f>
        <v/>
      </c>
      <c r="R159" s="171" t="str">
        <f>IF(N159="","",VLOOKUP(N159,'G-7 Rivers Data'!$B$2:$G$8,2,FALSE))</f>
        <v/>
      </c>
      <c r="S159" s="172" t="str">
        <f>IFERROR(VLOOKUP(R159,'G-7 Rivers Data'!$C$4:$D$8,2,FALSE),"")</f>
        <v/>
      </c>
      <c r="T159" s="173"/>
      <c r="U159" s="172" t="str">
        <f>IFERROR(INDEX('G-7 Rivers Data'!$H$4:$L$8,MATCH(N159,'G-7 Rivers Data'!$B$4:$B$8,0),MATCH(T159,'G-7 Rivers Data'!$H$3:$L$3,0)),"")</f>
        <v/>
      </c>
      <c r="V159" s="186"/>
      <c r="W159" s="175" t="str">
        <f>IF(V159="","",IF(VLOOKUP(V159,'G-7 Rivers Data'!$AG$4:$AI$9,2,FALSE)=0,"Spatial Data Missing",VLOOKUP(V159,'G-7 Rivers Data'!$AG$4:$AI$9,2,FALSE)))</f>
        <v/>
      </c>
      <c r="X159" s="176" t="str">
        <f>IF(V159="","",IF(VLOOKUP(V159,'G-7 Rivers Data'!$AG$4:$AI$9,3,FALSE)=0,"Spatial Data Missing",VLOOKUP(V159,'G-7 Rivers Data'!$AG$4:$AI$9,3,FALSE)))</f>
        <v/>
      </c>
      <c r="Y159" s="239" t="str">
        <f>IFERROR(IF(OR(LEFT(P159,5)="Error",LEFT(O159,5)="Error"),"Check Data",IF(F159&lt;S159,'G-7 Rivers Data'!$R$3,INDEX('G-7 Rivers Data'!$U$5:$Y$9,MATCH(G159,'G-7 Rivers Data'!$T$5:$T$9,0),MATCH(T159,'G-7 Rivers Data'!$U$4:$Y$4,0)))),"")</f>
        <v/>
      </c>
      <c r="Z159" s="275"/>
      <c r="AA159" s="275"/>
      <c r="AB159" s="175" t="str">
        <f t="shared" si="20"/>
        <v/>
      </c>
      <c r="AC159" s="262" t="str">
        <f t="shared" si="21"/>
        <v/>
      </c>
      <c r="AD159" s="382" t="str">
        <f>IFERROR(IF(AC159="Check Data","Check Data",VLOOKUP(AC159,'G-4 Temporal multipliers'!$A$4:$C$37,3,FALSE)),"")</f>
        <v/>
      </c>
      <c r="AE159" s="239" t="str">
        <f>IF(N159="","",VLOOKUP(N159,'G-7 Rivers Data'!$B$4:$G$8,5,FALSE))</f>
        <v/>
      </c>
      <c r="AF159" s="175" t="str">
        <f t="shared" si="22"/>
        <v/>
      </c>
      <c r="AG159" s="175" t="str">
        <f t="shared" si="23"/>
        <v/>
      </c>
      <c r="AH159" s="176" t="str">
        <f t="shared" si="17"/>
        <v/>
      </c>
      <c r="AI159" s="173"/>
      <c r="AJ159" s="172" t="str">
        <f>IF(AI159="","",IF(VLOOKUP(AI159,'G-7 Rivers Data'!$AA$4:$AB$7,2,FALSE)=0,"Spatial Data Missing",VLOOKUP(AI159,'G-7 Rivers Data'!$AA$4:$AB$7,2,FALSE)))</f>
        <v/>
      </c>
      <c r="AK159" s="187"/>
      <c r="AL159" s="172" t="str">
        <f>IF(AK159="","",IF(VLOOKUP(AK159,'G-7 Rivers Data'!$AD$4:$AE$8,2,FALSE)=0,"Spatial Data Missing",VLOOKUP(AK159,'G-7 Rivers Data'!$AD$4:$AE$8,2,FALSE)))</f>
        <v/>
      </c>
      <c r="AM159" s="186"/>
      <c r="AN159" s="176" t="str">
        <f>IF(AM159="","",VLOOKUP(AM159,'G-7 Rivers Data'!$AO$4:$AP$7,2,FALSE))</f>
        <v/>
      </c>
      <c r="AO159" s="265" t="str">
        <f t="shared" si="24"/>
        <v/>
      </c>
      <c r="AP159" s="180"/>
      <c r="AQ159" s="181"/>
      <c r="AX159" s="35" t="str">
        <f>IFERROR(INDEX('G-7 Rivers Data'!$AZ$3:$AZ$7,MATCH(N159,'G-7 Rivers Data'!$AY$3:$AY$7,0)),"")</f>
        <v/>
      </c>
    </row>
    <row r="160" spans="2:50" ht="13.8" x14ac:dyDescent="0.25">
      <c r="B160" s="259" t="str">
        <f>'F-1 Off Site River Baseline'!AN158</f>
        <v/>
      </c>
      <c r="C160" s="175" t="str">
        <f>IF(B160="","",VLOOKUP($B160,'F-1 Off Site River Baseline'!$C$9:$R$257,2,FALSE))</f>
        <v/>
      </c>
      <c r="D160" s="175" t="str">
        <f>IF(C160="","",VLOOKUP($B160,'F-1 Off Site River Baseline'!$C$9:$R$257,3,FALSE))</f>
        <v/>
      </c>
      <c r="E160" s="175" t="str">
        <f>IF(D160="","",VLOOKUP($B160,'F-1 Off Site River Baseline'!$C$9:$R$257,4,FALSE))</f>
        <v/>
      </c>
      <c r="F160" s="175" t="str">
        <f>IF(E160="","",VLOOKUP($B160,'F-1 Off Site River Baseline'!$C$9:$R$257,5,FALSE))</f>
        <v/>
      </c>
      <c r="G160" s="175" t="str">
        <f>IF(F160="","",VLOOKUP($B160,'F-1 Off Site River Baseline'!$C$9:$R$257,6,FALSE))</f>
        <v/>
      </c>
      <c r="H160" s="175" t="str">
        <f>IF(G160="","",VLOOKUP($B160,'F-1 Off Site River Baseline'!$C$9:$R$257,7,FALSE))</f>
        <v/>
      </c>
      <c r="I160" s="175" t="str">
        <f>IF(H160="","",VLOOKUP($B160,'F-1 Off Site River Baseline'!$C$9:$R$257,8,FALSE))</f>
        <v/>
      </c>
      <c r="J160" s="175" t="str">
        <f>IF(I160="","",VLOOKUP($B160,'F-1 Off Site River Baseline'!$C$9:$R$257,9,FALSE))</f>
        <v/>
      </c>
      <c r="K160" s="175" t="str">
        <f>IF(J160="","",VLOOKUP($B160,'F-1 Off Site River Baseline'!$C$9:$R$257,10,FALSE))</f>
        <v/>
      </c>
      <c r="L160" s="175" t="str">
        <f>IF(B160="","",VLOOKUP($B160,'C-1 Site River Baseline'!$C$9:$R$257,15,FALSE))</f>
        <v/>
      </c>
      <c r="M160" s="176" t="str">
        <f>IF(L160="","",VLOOKUP($B160,'F-1 Off Site River Baseline'!$C$9:$R$257,16,FALSE))</f>
        <v/>
      </c>
      <c r="N160" s="639" t="str">
        <f t="shared" si="18"/>
        <v/>
      </c>
      <c r="O160" s="171" t="str">
        <f t="shared" si="19"/>
        <v/>
      </c>
      <c r="P160" s="172" t="str">
        <f>IF(C160="","",IF(AND(LEFT(C160,55)&lt;&gt;LEFT(N160,55),O160="High - High"),"Error - Not like for like",IF(AND(F160=S160,H160&gt;U160),"Error - Can not reduce condition",IF(AND(F160=S160,H160=U160,AJ160='F-1 Off Site River Baseline'!N158,'F-1 Off Site River Baseline'!P158=AL160),"Error - No enhancement",IF(AND(C160&lt;&gt;N160,F160&lt;S160),"Lower Distinctiveness Habitat"&amp;" - "&amp;T160,G160&amp;" - "&amp;T160)))))</f>
        <v/>
      </c>
      <c r="Q160" s="260" t="str">
        <f>IF(N160="","",VLOOKUP(B160,'F-1 Off Site River Baseline'!$C$10:$AA$257,19,FALSE))</f>
        <v/>
      </c>
      <c r="R160" s="171" t="str">
        <f>IF(N160="","",VLOOKUP(N160,'G-7 Rivers Data'!$B$2:$G$8,2,FALSE))</f>
        <v/>
      </c>
      <c r="S160" s="172" t="str">
        <f>IFERROR(VLOOKUP(R160,'G-7 Rivers Data'!$C$4:$D$8,2,FALSE),"")</f>
        <v/>
      </c>
      <c r="T160" s="173"/>
      <c r="U160" s="172" t="str">
        <f>IFERROR(INDEX('G-7 Rivers Data'!$H$4:$L$8,MATCH(N160,'G-7 Rivers Data'!$B$4:$B$8,0),MATCH(T160,'G-7 Rivers Data'!$H$3:$L$3,0)),"")</f>
        <v/>
      </c>
      <c r="V160" s="186"/>
      <c r="W160" s="175" t="str">
        <f>IF(V160="","",IF(VLOOKUP(V160,'G-7 Rivers Data'!$AG$4:$AI$9,2,FALSE)=0,"Spatial Data Missing",VLOOKUP(V160,'G-7 Rivers Data'!$AG$4:$AI$9,2,FALSE)))</f>
        <v/>
      </c>
      <c r="X160" s="176" t="str">
        <f>IF(V160="","",IF(VLOOKUP(V160,'G-7 Rivers Data'!$AG$4:$AI$9,3,FALSE)=0,"Spatial Data Missing",VLOOKUP(V160,'G-7 Rivers Data'!$AG$4:$AI$9,3,FALSE)))</f>
        <v/>
      </c>
      <c r="Y160" s="239" t="str">
        <f>IFERROR(IF(OR(LEFT(P160,5)="Error",LEFT(O160,5)="Error"),"Check Data",IF(F160&lt;S160,'G-7 Rivers Data'!$R$3,INDEX('G-7 Rivers Data'!$U$5:$Y$9,MATCH(G160,'G-7 Rivers Data'!$T$5:$T$9,0),MATCH(T160,'G-7 Rivers Data'!$U$4:$Y$4,0)))),"")</f>
        <v/>
      </c>
      <c r="Z160" s="275"/>
      <c r="AA160" s="275"/>
      <c r="AB160" s="175" t="str">
        <f t="shared" si="20"/>
        <v/>
      </c>
      <c r="AC160" s="262" t="str">
        <f t="shared" si="21"/>
        <v/>
      </c>
      <c r="AD160" s="382" t="str">
        <f>IFERROR(IF(AC160="Check Data","Check Data",VLOOKUP(AC160,'G-4 Temporal multipliers'!$A$4:$C$37,3,FALSE)),"")</f>
        <v/>
      </c>
      <c r="AE160" s="239" t="str">
        <f>IF(N160="","",VLOOKUP(N160,'G-7 Rivers Data'!$B$4:$G$8,5,FALSE))</f>
        <v/>
      </c>
      <c r="AF160" s="175" t="str">
        <f t="shared" si="22"/>
        <v/>
      </c>
      <c r="AG160" s="175" t="str">
        <f t="shared" si="23"/>
        <v/>
      </c>
      <c r="AH160" s="176" t="str">
        <f t="shared" si="17"/>
        <v/>
      </c>
      <c r="AI160" s="173"/>
      <c r="AJ160" s="172" t="str">
        <f>IF(AI160="","",IF(VLOOKUP(AI160,'G-7 Rivers Data'!$AA$4:$AB$7,2,FALSE)=0,"Spatial Data Missing",VLOOKUP(AI160,'G-7 Rivers Data'!$AA$4:$AB$7,2,FALSE)))</f>
        <v/>
      </c>
      <c r="AK160" s="187"/>
      <c r="AL160" s="172" t="str">
        <f>IF(AK160="","",IF(VLOOKUP(AK160,'G-7 Rivers Data'!$AD$4:$AE$8,2,FALSE)=0,"Spatial Data Missing",VLOOKUP(AK160,'G-7 Rivers Data'!$AD$4:$AE$8,2,FALSE)))</f>
        <v/>
      </c>
      <c r="AM160" s="186"/>
      <c r="AN160" s="176" t="str">
        <f>IF(AM160="","",VLOOKUP(AM160,'G-7 Rivers Data'!$AO$4:$AP$7,2,FALSE))</f>
        <v/>
      </c>
      <c r="AO160" s="265" t="str">
        <f t="shared" si="24"/>
        <v/>
      </c>
      <c r="AP160" s="180"/>
      <c r="AQ160" s="181"/>
      <c r="AX160" s="35" t="str">
        <f>IFERROR(INDEX('G-7 Rivers Data'!$AZ$3:$AZ$7,MATCH(N160,'G-7 Rivers Data'!$AY$3:$AY$7,0)),"")</f>
        <v/>
      </c>
    </row>
    <row r="161" spans="2:50" ht="13.8" x14ac:dyDescent="0.25">
      <c r="B161" s="259" t="str">
        <f>'F-1 Off Site River Baseline'!AN159</f>
        <v/>
      </c>
      <c r="C161" s="175" t="str">
        <f>IF(B161="","",VLOOKUP($B161,'F-1 Off Site River Baseline'!$C$9:$R$257,2,FALSE))</f>
        <v/>
      </c>
      <c r="D161" s="175" t="str">
        <f>IF(C161="","",VLOOKUP($B161,'F-1 Off Site River Baseline'!$C$9:$R$257,3,FALSE))</f>
        <v/>
      </c>
      <c r="E161" s="175" t="str">
        <f>IF(D161="","",VLOOKUP($B161,'F-1 Off Site River Baseline'!$C$9:$R$257,4,FALSE))</f>
        <v/>
      </c>
      <c r="F161" s="175" t="str">
        <f>IF(E161="","",VLOOKUP($B161,'F-1 Off Site River Baseline'!$C$9:$R$257,5,FALSE))</f>
        <v/>
      </c>
      <c r="G161" s="175" t="str">
        <f>IF(F161="","",VLOOKUP($B161,'F-1 Off Site River Baseline'!$C$9:$R$257,6,FALSE))</f>
        <v/>
      </c>
      <c r="H161" s="175" t="str">
        <f>IF(G161="","",VLOOKUP($B161,'F-1 Off Site River Baseline'!$C$9:$R$257,7,FALSE))</f>
        <v/>
      </c>
      <c r="I161" s="175" t="str">
        <f>IF(H161="","",VLOOKUP($B161,'F-1 Off Site River Baseline'!$C$9:$R$257,8,FALSE))</f>
        <v/>
      </c>
      <c r="J161" s="175" t="str">
        <f>IF(I161="","",VLOOKUP($B161,'F-1 Off Site River Baseline'!$C$9:$R$257,9,FALSE))</f>
        <v/>
      </c>
      <c r="K161" s="175" t="str">
        <f>IF(J161="","",VLOOKUP($B161,'F-1 Off Site River Baseline'!$C$9:$R$257,10,FALSE))</f>
        <v/>
      </c>
      <c r="L161" s="175" t="str">
        <f>IF(B161="","",VLOOKUP($B161,'C-1 Site River Baseline'!$C$9:$R$257,15,FALSE))</f>
        <v/>
      </c>
      <c r="M161" s="176" t="str">
        <f>IF(L161="","",VLOOKUP($B161,'F-1 Off Site River Baseline'!$C$9:$R$257,16,FALSE))</f>
        <v/>
      </c>
      <c r="N161" s="639" t="str">
        <f t="shared" si="18"/>
        <v/>
      </c>
      <c r="O161" s="171" t="str">
        <f t="shared" si="19"/>
        <v/>
      </c>
      <c r="P161" s="172" t="str">
        <f>IF(C161="","",IF(AND(LEFT(C161,55)&lt;&gt;LEFT(N161,55),O161="High - High"),"Error - Not like for like",IF(AND(F161=S161,H161&gt;U161),"Error - Can not reduce condition",IF(AND(F161=S161,H161=U161,AJ161='F-1 Off Site River Baseline'!N159,'F-1 Off Site River Baseline'!P159=AL161),"Error - No enhancement",IF(AND(C161&lt;&gt;N161,F161&lt;S161),"Lower Distinctiveness Habitat"&amp;" - "&amp;T161,G161&amp;" - "&amp;T161)))))</f>
        <v/>
      </c>
      <c r="Q161" s="260" t="str">
        <f>IF(N161="","",VLOOKUP(B161,'F-1 Off Site River Baseline'!$C$10:$AA$257,19,FALSE))</f>
        <v/>
      </c>
      <c r="R161" s="171" t="str">
        <f>IF(N161="","",VLOOKUP(N161,'G-7 Rivers Data'!$B$2:$G$8,2,FALSE))</f>
        <v/>
      </c>
      <c r="S161" s="172" t="str">
        <f>IFERROR(VLOOKUP(R161,'G-7 Rivers Data'!$C$4:$D$8,2,FALSE),"")</f>
        <v/>
      </c>
      <c r="T161" s="173"/>
      <c r="U161" s="172" t="str">
        <f>IFERROR(INDEX('G-7 Rivers Data'!$H$4:$L$8,MATCH(N161,'G-7 Rivers Data'!$B$4:$B$8,0),MATCH(T161,'G-7 Rivers Data'!$H$3:$L$3,0)),"")</f>
        <v/>
      </c>
      <c r="V161" s="186"/>
      <c r="W161" s="175" t="str">
        <f>IF(V161="","",IF(VLOOKUP(V161,'G-7 Rivers Data'!$AG$4:$AI$9,2,FALSE)=0,"Spatial Data Missing",VLOOKUP(V161,'G-7 Rivers Data'!$AG$4:$AI$9,2,FALSE)))</f>
        <v/>
      </c>
      <c r="X161" s="176" t="str">
        <f>IF(V161="","",IF(VLOOKUP(V161,'G-7 Rivers Data'!$AG$4:$AI$9,3,FALSE)=0,"Spatial Data Missing",VLOOKUP(V161,'G-7 Rivers Data'!$AG$4:$AI$9,3,FALSE)))</f>
        <v/>
      </c>
      <c r="Y161" s="239" t="str">
        <f>IFERROR(IF(OR(LEFT(P161,5)="Error",LEFT(O161,5)="Error"),"Check Data",IF(F161&lt;S161,'G-7 Rivers Data'!$R$3,INDEX('G-7 Rivers Data'!$U$5:$Y$9,MATCH(G161,'G-7 Rivers Data'!$T$5:$T$9,0),MATCH(T161,'G-7 Rivers Data'!$U$4:$Y$4,0)))),"")</f>
        <v/>
      </c>
      <c r="Z161" s="275"/>
      <c r="AA161" s="275"/>
      <c r="AB161" s="175" t="str">
        <f t="shared" si="20"/>
        <v/>
      </c>
      <c r="AC161" s="262" t="str">
        <f t="shared" si="21"/>
        <v/>
      </c>
      <c r="AD161" s="382" t="str">
        <f>IFERROR(IF(AC161="Check Data","Check Data",VLOOKUP(AC161,'G-4 Temporal multipliers'!$A$4:$C$37,3,FALSE)),"")</f>
        <v/>
      </c>
      <c r="AE161" s="239" t="str">
        <f>IF(N161="","",VLOOKUP(N161,'G-7 Rivers Data'!$B$4:$G$8,5,FALSE))</f>
        <v/>
      </c>
      <c r="AF161" s="175" t="str">
        <f t="shared" si="22"/>
        <v/>
      </c>
      <c r="AG161" s="175" t="str">
        <f t="shared" si="23"/>
        <v/>
      </c>
      <c r="AH161" s="176" t="str">
        <f t="shared" si="17"/>
        <v/>
      </c>
      <c r="AI161" s="173"/>
      <c r="AJ161" s="172" t="str">
        <f>IF(AI161="","",IF(VLOOKUP(AI161,'G-7 Rivers Data'!$AA$4:$AB$7,2,FALSE)=0,"Spatial Data Missing",VLOOKUP(AI161,'G-7 Rivers Data'!$AA$4:$AB$7,2,FALSE)))</f>
        <v/>
      </c>
      <c r="AK161" s="187"/>
      <c r="AL161" s="172" t="str">
        <f>IF(AK161="","",IF(VLOOKUP(AK161,'G-7 Rivers Data'!$AD$4:$AE$8,2,FALSE)=0,"Spatial Data Missing",VLOOKUP(AK161,'G-7 Rivers Data'!$AD$4:$AE$8,2,FALSE)))</f>
        <v/>
      </c>
      <c r="AM161" s="186"/>
      <c r="AN161" s="176" t="str">
        <f>IF(AM161="","",VLOOKUP(AM161,'G-7 Rivers Data'!$AO$4:$AP$7,2,FALSE))</f>
        <v/>
      </c>
      <c r="AO161" s="265" t="str">
        <f t="shared" si="24"/>
        <v/>
      </c>
      <c r="AP161" s="180"/>
      <c r="AQ161" s="181"/>
      <c r="AX161" s="35" t="str">
        <f>IFERROR(INDEX('G-7 Rivers Data'!$AZ$3:$AZ$7,MATCH(N161,'G-7 Rivers Data'!$AY$3:$AY$7,0)),"")</f>
        <v/>
      </c>
    </row>
    <row r="162" spans="2:50" ht="13.8" x14ac:dyDescent="0.25">
      <c r="B162" s="259" t="str">
        <f>'F-1 Off Site River Baseline'!AN160</f>
        <v/>
      </c>
      <c r="C162" s="175" t="str">
        <f>IF(B162="","",VLOOKUP($B162,'F-1 Off Site River Baseline'!$C$9:$R$257,2,FALSE))</f>
        <v/>
      </c>
      <c r="D162" s="175" t="str">
        <f>IF(C162="","",VLOOKUP($B162,'F-1 Off Site River Baseline'!$C$9:$R$257,3,FALSE))</f>
        <v/>
      </c>
      <c r="E162" s="175" t="str">
        <f>IF(D162="","",VLOOKUP($B162,'F-1 Off Site River Baseline'!$C$9:$R$257,4,FALSE))</f>
        <v/>
      </c>
      <c r="F162" s="175" t="str">
        <f>IF(E162="","",VLOOKUP($B162,'F-1 Off Site River Baseline'!$C$9:$R$257,5,FALSE))</f>
        <v/>
      </c>
      <c r="G162" s="175" t="str">
        <f>IF(F162="","",VLOOKUP($B162,'F-1 Off Site River Baseline'!$C$9:$R$257,6,FALSE))</f>
        <v/>
      </c>
      <c r="H162" s="175" t="str">
        <f>IF(G162="","",VLOOKUP($B162,'F-1 Off Site River Baseline'!$C$9:$R$257,7,FALSE))</f>
        <v/>
      </c>
      <c r="I162" s="175" t="str">
        <f>IF(H162="","",VLOOKUP($B162,'F-1 Off Site River Baseline'!$C$9:$R$257,8,FALSE))</f>
        <v/>
      </c>
      <c r="J162" s="175" t="str">
        <f>IF(I162="","",VLOOKUP($B162,'F-1 Off Site River Baseline'!$C$9:$R$257,9,FALSE))</f>
        <v/>
      </c>
      <c r="K162" s="175" t="str">
        <f>IF(J162="","",VLOOKUP($B162,'F-1 Off Site River Baseline'!$C$9:$R$257,10,FALSE))</f>
        <v/>
      </c>
      <c r="L162" s="175" t="str">
        <f>IF(B162="","",VLOOKUP($B162,'C-1 Site River Baseline'!$C$9:$R$257,15,FALSE))</f>
        <v/>
      </c>
      <c r="M162" s="176" t="str">
        <f>IF(L162="","",VLOOKUP($B162,'F-1 Off Site River Baseline'!$C$9:$R$257,16,FALSE))</f>
        <v/>
      </c>
      <c r="N162" s="639" t="str">
        <f t="shared" si="18"/>
        <v/>
      </c>
      <c r="O162" s="171" t="str">
        <f t="shared" si="19"/>
        <v/>
      </c>
      <c r="P162" s="172" t="str">
        <f>IF(C162="","",IF(AND(LEFT(C162,55)&lt;&gt;LEFT(N162,55),O162="High - High"),"Error - Not like for like",IF(AND(F162=S162,H162&gt;U162),"Error - Can not reduce condition",IF(AND(F162=S162,H162=U162,AJ162='F-1 Off Site River Baseline'!N160,'F-1 Off Site River Baseline'!P160=AL162),"Error - No enhancement",IF(AND(C162&lt;&gt;N162,F162&lt;S162),"Lower Distinctiveness Habitat"&amp;" - "&amp;T162,G162&amp;" - "&amp;T162)))))</f>
        <v/>
      </c>
      <c r="Q162" s="260" t="str">
        <f>IF(N162="","",VLOOKUP(B162,'F-1 Off Site River Baseline'!$C$10:$AA$257,19,FALSE))</f>
        <v/>
      </c>
      <c r="R162" s="171" t="str">
        <f>IF(N162="","",VLOOKUP(N162,'G-7 Rivers Data'!$B$2:$G$8,2,FALSE))</f>
        <v/>
      </c>
      <c r="S162" s="172" t="str">
        <f>IFERROR(VLOOKUP(R162,'G-7 Rivers Data'!$C$4:$D$8,2,FALSE),"")</f>
        <v/>
      </c>
      <c r="T162" s="173"/>
      <c r="U162" s="172" t="str">
        <f>IFERROR(INDEX('G-7 Rivers Data'!$H$4:$L$8,MATCH(N162,'G-7 Rivers Data'!$B$4:$B$8,0),MATCH(T162,'G-7 Rivers Data'!$H$3:$L$3,0)),"")</f>
        <v/>
      </c>
      <c r="V162" s="186"/>
      <c r="W162" s="175" t="str">
        <f>IF(V162="","",IF(VLOOKUP(V162,'G-7 Rivers Data'!$AG$4:$AI$9,2,FALSE)=0,"Spatial Data Missing",VLOOKUP(V162,'G-7 Rivers Data'!$AG$4:$AI$9,2,FALSE)))</f>
        <v/>
      </c>
      <c r="X162" s="176" t="str">
        <f>IF(V162="","",IF(VLOOKUP(V162,'G-7 Rivers Data'!$AG$4:$AI$9,3,FALSE)=0,"Spatial Data Missing",VLOOKUP(V162,'G-7 Rivers Data'!$AG$4:$AI$9,3,FALSE)))</f>
        <v/>
      </c>
      <c r="Y162" s="239" t="str">
        <f>IFERROR(IF(OR(LEFT(P162,5)="Error",LEFT(O162,5)="Error"),"Check Data",IF(F162&lt;S162,'G-7 Rivers Data'!$R$3,INDEX('G-7 Rivers Data'!$U$5:$Y$9,MATCH(G162,'G-7 Rivers Data'!$T$5:$T$9,0),MATCH(T162,'G-7 Rivers Data'!$U$4:$Y$4,0)))),"")</f>
        <v/>
      </c>
      <c r="Z162" s="275"/>
      <c r="AA162" s="275"/>
      <c r="AB162" s="175" t="str">
        <f t="shared" si="20"/>
        <v/>
      </c>
      <c r="AC162" s="262" t="str">
        <f t="shared" si="21"/>
        <v/>
      </c>
      <c r="AD162" s="382" t="str">
        <f>IFERROR(IF(AC162="Check Data","Check Data",VLOOKUP(AC162,'G-4 Temporal multipliers'!$A$4:$C$37,3,FALSE)),"")</f>
        <v/>
      </c>
      <c r="AE162" s="239" t="str">
        <f>IF(N162="","",VLOOKUP(N162,'G-7 Rivers Data'!$B$4:$G$8,5,FALSE))</f>
        <v/>
      </c>
      <c r="AF162" s="175" t="str">
        <f t="shared" si="22"/>
        <v/>
      </c>
      <c r="AG162" s="175" t="str">
        <f t="shared" si="23"/>
        <v/>
      </c>
      <c r="AH162" s="176" t="str">
        <f t="shared" si="17"/>
        <v/>
      </c>
      <c r="AI162" s="173"/>
      <c r="AJ162" s="172" t="str">
        <f>IF(AI162="","",IF(VLOOKUP(AI162,'G-7 Rivers Data'!$AA$4:$AB$7,2,FALSE)=0,"Spatial Data Missing",VLOOKUP(AI162,'G-7 Rivers Data'!$AA$4:$AB$7,2,FALSE)))</f>
        <v/>
      </c>
      <c r="AK162" s="187"/>
      <c r="AL162" s="172" t="str">
        <f>IF(AK162="","",IF(VLOOKUP(AK162,'G-7 Rivers Data'!$AD$4:$AE$8,2,FALSE)=0,"Spatial Data Missing",VLOOKUP(AK162,'G-7 Rivers Data'!$AD$4:$AE$8,2,FALSE)))</f>
        <v/>
      </c>
      <c r="AM162" s="186"/>
      <c r="AN162" s="176" t="str">
        <f>IF(AM162="","",VLOOKUP(AM162,'G-7 Rivers Data'!$AO$4:$AP$7,2,FALSE))</f>
        <v/>
      </c>
      <c r="AO162" s="265" t="str">
        <f t="shared" si="24"/>
        <v/>
      </c>
      <c r="AP162" s="180"/>
      <c r="AQ162" s="181"/>
      <c r="AX162" s="35" t="str">
        <f>IFERROR(INDEX('G-7 Rivers Data'!$AZ$3:$AZ$7,MATCH(N162,'G-7 Rivers Data'!$AY$3:$AY$7,0)),"")</f>
        <v/>
      </c>
    </row>
    <row r="163" spans="2:50" ht="13.8" x14ac:dyDescent="0.25">
      <c r="B163" s="259" t="str">
        <f>'F-1 Off Site River Baseline'!AN161</f>
        <v/>
      </c>
      <c r="C163" s="175" t="str">
        <f>IF(B163="","",VLOOKUP($B163,'F-1 Off Site River Baseline'!$C$9:$R$257,2,FALSE))</f>
        <v/>
      </c>
      <c r="D163" s="175" t="str">
        <f>IF(C163="","",VLOOKUP($B163,'F-1 Off Site River Baseline'!$C$9:$R$257,3,FALSE))</f>
        <v/>
      </c>
      <c r="E163" s="175" t="str">
        <f>IF(D163="","",VLOOKUP($B163,'F-1 Off Site River Baseline'!$C$9:$R$257,4,FALSE))</f>
        <v/>
      </c>
      <c r="F163" s="175" t="str">
        <f>IF(E163="","",VLOOKUP($B163,'F-1 Off Site River Baseline'!$C$9:$R$257,5,FALSE))</f>
        <v/>
      </c>
      <c r="G163" s="175" t="str">
        <f>IF(F163="","",VLOOKUP($B163,'F-1 Off Site River Baseline'!$C$9:$R$257,6,FALSE))</f>
        <v/>
      </c>
      <c r="H163" s="175" t="str">
        <f>IF(G163="","",VLOOKUP($B163,'F-1 Off Site River Baseline'!$C$9:$R$257,7,FALSE))</f>
        <v/>
      </c>
      <c r="I163" s="175" t="str">
        <f>IF(H163="","",VLOOKUP($B163,'F-1 Off Site River Baseline'!$C$9:$R$257,8,FALSE))</f>
        <v/>
      </c>
      <c r="J163" s="175" t="str">
        <f>IF(I163="","",VLOOKUP($B163,'F-1 Off Site River Baseline'!$C$9:$R$257,9,FALSE))</f>
        <v/>
      </c>
      <c r="K163" s="175" t="str">
        <f>IF(J163="","",VLOOKUP($B163,'F-1 Off Site River Baseline'!$C$9:$R$257,10,FALSE))</f>
        <v/>
      </c>
      <c r="L163" s="175" t="str">
        <f>IF(B163="","",VLOOKUP($B163,'C-1 Site River Baseline'!$C$9:$R$257,15,FALSE))</f>
        <v/>
      </c>
      <c r="M163" s="176" t="str">
        <f>IF(L163="","",VLOOKUP($B163,'F-1 Off Site River Baseline'!$C$9:$R$257,16,FALSE))</f>
        <v/>
      </c>
      <c r="N163" s="639" t="str">
        <f t="shared" si="18"/>
        <v/>
      </c>
      <c r="O163" s="171" t="str">
        <f t="shared" si="19"/>
        <v/>
      </c>
      <c r="P163" s="172" t="str">
        <f>IF(C163="","",IF(AND(LEFT(C163,55)&lt;&gt;LEFT(N163,55),O163="High - High"),"Error - Not like for like",IF(AND(F163=S163,H163&gt;U163),"Error - Can not reduce condition",IF(AND(F163=S163,H163=U163,AJ163='F-1 Off Site River Baseline'!N161,'F-1 Off Site River Baseline'!P161=AL163),"Error - No enhancement",IF(AND(C163&lt;&gt;N163,F163&lt;S163),"Lower Distinctiveness Habitat"&amp;" - "&amp;T163,G163&amp;" - "&amp;T163)))))</f>
        <v/>
      </c>
      <c r="Q163" s="260" t="str">
        <f>IF(N163="","",VLOOKUP(B163,'F-1 Off Site River Baseline'!$C$10:$AA$257,19,FALSE))</f>
        <v/>
      </c>
      <c r="R163" s="171" t="str">
        <f>IF(N163="","",VLOOKUP(N163,'G-7 Rivers Data'!$B$2:$G$8,2,FALSE))</f>
        <v/>
      </c>
      <c r="S163" s="172" t="str">
        <f>IFERROR(VLOOKUP(R163,'G-7 Rivers Data'!$C$4:$D$8,2,FALSE),"")</f>
        <v/>
      </c>
      <c r="T163" s="173"/>
      <c r="U163" s="172" t="str">
        <f>IFERROR(INDEX('G-7 Rivers Data'!$H$4:$L$8,MATCH(N163,'G-7 Rivers Data'!$B$4:$B$8,0),MATCH(T163,'G-7 Rivers Data'!$H$3:$L$3,0)),"")</f>
        <v/>
      </c>
      <c r="V163" s="186"/>
      <c r="W163" s="175" t="str">
        <f>IF(V163="","",IF(VLOOKUP(V163,'G-7 Rivers Data'!$AG$4:$AI$9,2,FALSE)=0,"Spatial Data Missing",VLOOKUP(V163,'G-7 Rivers Data'!$AG$4:$AI$9,2,FALSE)))</f>
        <v/>
      </c>
      <c r="X163" s="176" t="str">
        <f>IF(V163="","",IF(VLOOKUP(V163,'G-7 Rivers Data'!$AG$4:$AI$9,3,FALSE)=0,"Spatial Data Missing",VLOOKUP(V163,'G-7 Rivers Data'!$AG$4:$AI$9,3,FALSE)))</f>
        <v/>
      </c>
      <c r="Y163" s="239" t="str">
        <f>IFERROR(IF(OR(LEFT(P163,5)="Error",LEFT(O163,5)="Error"),"Check Data",IF(F163&lt;S163,'G-7 Rivers Data'!$R$3,INDEX('G-7 Rivers Data'!$U$5:$Y$9,MATCH(G163,'G-7 Rivers Data'!$T$5:$T$9,0),MATCH(T163,'G-7 Rivers Data'!$U$4:$Y$4,0)))),"")</f>
        <v/>
      </c>
      <c r="Z163" s="275"/>
      <c r="AA163" s="275"/>
      <c r="AB163" s="175" t="str">
        <f t="shared" si="20"/>
        <v/>
      </c>
      <c r="AC163" s="262" t="str">
        <f t="shared" si="21"/>
        <v/>
      </c>
      <c r="AD163" s="382" t="str">
        <f>IFERROR(IF(AC163="Check Data","Check Data",VLOOKUP(AC163,'G-4 Temporal multipliers'!$A$4:$C$37,3,FALSE)),"")</f>
        <v/>
      </c>
      <c r="AE163" s="239" t="str">
        <f>IF(N163="","",VLOOKUP(N163,'G-7 Rivers Data'!$B$4:$G$8,5,FALSE))</f>
        <v/>
      </c>
      <c r="AF163" s="175" t="str">
        <f t="shared" si="22"/>
        <v/>
      </c>
      <c r="AG163" s="175" t="str">
        <f t="shared" si="23"/>
        <v/>
      </c>
      <c r="AH163" s="176" t="str">
        <f t="shared" si="17"/>
        <v/>
      </c>
      <c r="AI163" s="173"/>
      <c r="AJ163" s="172" t="str">
        <f>IF(AI163="","",IF(VLOOKUP(AI163,'G-7 Rivers Data'!$AA$4:$AB$7,2,FALSE)=0,"Spatial Data Missing",VLOOKUP(AI163,'G-7 Rivers Data'!$AA$4:$AB$7,2,FALSE)))</f>
        <v/>
      </c>
      <c r="AK163" s="187"/>
      <c r="AL163" s="172" t="str">
        <f>IF(AK163="","",IF(VLOOKUP(AK163,'G-7 Rivers Data'!$AD$4:$AE$8,2,FALSE)=0,"Spatial Data Missing",VLOOKUP(AK163,'G-7 Rivers Data'!$AD$4:$AE$8,2,FALSE)))</f>
        <v/>
      </c>
      <c r="AM163" s="186"/>
      <c r="AN163" s="176" t="str">
        <f>IF(AM163="","",VLOOKUP(AM163,'G-7 Rivers Data'!$AO$4:$AP$7,2,FALSE))</f>
        <v/>
      </c>
      <c r="AO163" s="265" t="str">
        <f t="shared" si="24"/>
        <v/>
      </c>
      <c r="AP163" s="180"/>
      <c r="AQ163" s="181"/>
      <c r="AX163" s="35" t="str">
        <f>IFERROR(INDEX('G-7 Rivers Data'!$AZ$3:$AZ$7,MATCH(N163,'G-7 Rivers Data'!$AY$3:$AY$7,0)),"")</f>
        <v/>
      </c>
    </row>
    <row r="164" spans="2:50" ht="13.8" x14ac:dyDescent="0.25">
      <c r="B164" s="259" t="str">
        <f>'F-1 Off Site River Baseline'!AN162</f>
        <v/>
      </c>
      <c r="C164" s="175" t="str">
        <f>IF(B164="","",VLOOKUP($B164,'F-1 Off Site River Baseline'!$C$9:$R$257,2,FALSE))</f>
        <v/>
      </c>
      <c r="D164" s="175" t="str">
        <f>IF(C164="","",VLOOKUP($B164,'F-1 Off Site River Baseline'!$C$9:$R$257,3,FALSE))</f>
        <v/>
      </c>
      <c r="E164" s="175" t="str">
        <f>IF(D164="","",VLOOKUP($B164,'F-1 Off Site River Baseline'!$C$9:$R$257,4,FALSE))</f>
        <v/>
      </c>
      <c r="F164" s="175" t="str">
        <f>IF(E164="","",VLOOKUP($B164,'F-1 Off Site River Baseline'!$C$9:$R$257,5,FALSE))</f>
        <v/>
      </c>
      <c r="G164" s="175" t="str">
        <f>IF(F164="","",VLOOKUP($B164,'F-1 Off Site River Baseline'!$C$9:$R$257,6,FALSE))</f>
        <v/>
      </c>
      <c r="H164" s="175" t="str">
        <f>IF(G164="","",VLOOKUP($B164,'F-1 Off Site River Baseline'!$C$9:$R$257,7,FALSE))</f>
        <v/>
      </c>
      <c r="I164" s="175" t="str">
        <f>IF(H164="","",VLOOKUP($B164,'F-1 Off Site River Baseline'!$C$9:$R$257,8,FALSE))</f>
        <v/>
      </c>
      <c r="J164" s="175" t="str">
        <f>IF(I164="","",VLOOKUP($B164,'F-1 Off Site River Baseline'!$C$9:$R$257,9,FALSE))</f>
        <v/>
      </c>
      <c r="K164" s="175" t="str">
        <f>IF(J164="","",VLOOKUP($B164,'F-1 Off Site River Baseline'!$C$9:$R$257,10,FALSE))</f>
        <v/>
      </c>
      <c r="L164" s="175" t="str">
        <f>IF(B164="","",VLOOKUP($B164,'C-1 Site River Baseline'!$C$9:$R$257,15,FALSE))</f>
        <v/>
      </c>
      <c r="M164" s="176" t="str">
        <f>IF(L164="","",VLOOKUP($B164,'F-1 Off Site River Baseline'!$C$9:$R$257,16,FALSE))</f>
        <v/>
      </c>
      <c r="N164" s="639" t="str">
        <f t="shared" si="18"/>
        <v/>
      </c>
      <c r="O164" s="171" t="str">
        <f t="shared" si="19"/>
        <v/>
      </c>
      <c r="P164" s="172" t="str">
        <f>IF(C164="","",IF(AND(LEFT(C164,55)&lt;&gt;LEFT(N164,55),O164="High - High"),"Error - Not like for like",IF(AND(F164=S164,H164&gt;U164),"Error - Can not reduce condition",IF(AND(F164=S164,H164=U164,AJ164='F-1 Off Site River Baseline'!N162,'F-1 Off Site River Baseline'!P162=AL164),"Error - No enhancement",IF(AND(C164&lt;&gt;N164,F164&lt;S164),"Lower Distinctiveness Habitat"&amp;" - "&amp;T164,G164&amp;" - "&amp;T164)))))</f>
        <v/>
      </c>
      <c r="Q164" s="260" t="str">
        <f>IF(N164="","",VLOOKUP(B164,'F-1 Off Site River Baseline'!$C$10:$AA$257,19,FALSE))</f>
        <v/>
      </c>
      <c r="R164" s="171" t="str">
        <f>IF(N164="","",VLOOKUP(N164,'G-7 Rivers Data'!$B$2:$G$8,2,FALSE))</f>
        <v/>
      </c>
      <c r="S164" s="172" t="str">
        <f>IFERROR(VLOOKUP(R164,'G-7 Rivers Data'!$C$4:$D$8,2,FALSE),"")</f>
        <v/>
      </c>
      <c r="T164" s="173"/>
      <c r="U164" s="172" t="str">
        <f>IFERROR(INDEX('G-7 Rivers Data'!$H$4:$L$8,MATCH(N164,'G-7 Rivers Data'!$B$4:$B$8,0),MATCH(T164,'G-7 Rivers Data'!$H$3:$L$3,0)),"")</f>
        <v/>
      </c>
      <c r="V164" s="186"/>
      <c r="W164" s="175" t="str">
        <f>IF(V164="","",IF(VLOOKUP(V164,'G-7 Rivers Data'!$AG$4:$AI$9,2,FALSE)=0,"Spatial Data Missing",VLOOKUP(V164,'G-7 Rivers Data'!$AG$4:$AI$9,2,FALSE)))</f>
        <v/>
      </c>
      <c r="X164" s="176" t="str">
        <f>IF(V164="","",IF(VLOOKUP(V164,'G-7 Rivers Data'!$AG$4:$AI$9,3,FALSE)=0,"Spatial Data Missing",VLOOKUP(V164,'G-7 Rivers Data'!$AG$4:$AI$9,3,FALSE)))</f>
        <v/>
      </c>
      <c r="Y164" s="239" t="str">
        <f>IFERROR(IF(OR(LEFT(P164,5)="Error",LEFT(O164,5)="Error"),"Check Data",IF(F164&lt;S164,'G-7 Rivers Data'!$R$3,INDEX('G-7 Rivers Data'!$U$5:$Y$9,MATCH(G164,'G-7 Rivers Data'!$T$5:$T$9,0),MATCH(T164,'G-7 Rivers Data'!$U$4:$Y$4,0)))),"")</f>
        <v/>
      </c>
      <c r="Z164" s="275"/>
      <c r="AA164" s="275"/>
      <c r="AB164" s="175" t="str">
        <f t="shared" si="20"/>
        <v/>
      </c>
      <c r="AC164" s="262" t="str">
        <f t="shared" si="21"/>
        <v/>
      </c>
      <c r="AD164" s="382" t="str">
        <f>IFERROR(IF(AC164="Check Data","Check Data",VLOOKUP(AC164,'G-4 Temporal multipliers'!$A$4:$C$37,3,FALSE)),"")</f>
        <v/>
      </c>
      <c r="AE164" s="239" t="str">
        <f>IF(N164="","",VLOOKUP(N164,'G-7 Rivers Data'!$B$4:$G$8,5,FALSE))</f>
        <v/>
      </c>
      <c r="AF164" s="175" t="str">
        <f t="shared" si="22"/>
        <v/>
      </c>
      <c r="AG164" s="175" t="str">
        <f t="shared" si="23"/>
        <v/>
      </c>
      <c r="AH164" s="176" t="str">
        <f t="shared" si="17"/>
        <v/>
      </c>
      <c r="AI164" s="173"/>
      <c r="AJ164" s="172" t="str">
        <f>IF(AI164="","",IF(VLOOKUP(AI164,'G-7 Rivers Data'!$AA$4:$AB$7,2,FALSE)=0,"Spatial Data Missing",VLOOKUP(AI164,'G-7 Rivers Data'!$AA$4:$AB$7,2,FALSE)))</f>
        <v/>
      </c>
      <c r="AK164" s="187"/>
      <c r="AL164" s="172" t="str">
        <f>IF(AK164="","",IF(VLOOKUP(AK164,'G-7 Rivers Data'!$AD$4:$AE$8,2,FALSE)=0,"Spatial Data Missing",VLOOKUP(AK164,'G-7 Rivers Data'!$AD$4:$AE$8,2,FALSE)))</f>
        <v/>
      </c>
      <c r="AM164" s="186"/>
      <c r="AN164" s="176" t="str">
        <f>IF(AM164="","",VLOOKUP(AM164,'G-7 Rivers Data'!$AO$4:$AP$7,2,FALSE))</f>
        <v/>
      </c>
      <c r="AO164" s="265" t="str">
        <f t="shared" si="24"/>
        <v/>
      </c>
      <c r="AP164" s="180"/>
      <c r="AQ164" s="181"/>
      <c r="AX164" s="35" t="str">
        <f>IFERROR(INDEX('G-7 Rivers Data'!$AZ$3:$AZ$7,MATCH(N164,'G-7 Rivers Data'!$AY$3:$AY$7,0)),"")</f>
        <v/>
      </c>
    </row>
    <row r="165" spans="2:50" ht="13.8" x14ac:dyDescent="0.25">
      <c r="B165" s="259" t="str">
        <f>'F-1 Off Site River Baseline'!AN163</f>
        <v/>
      </c>
      <c r="C165" s="175" t="str">
        <f>IF(B165="","",VLOOKUP($B165,'F-1 Off Site River Baseline'!$C$9:$R$257,2,FALSE))</f>
        <v/>
      </c>
      <c r="D165" s="175" t="str">
        <f>IF(C165="","",VLOOKUP($B165,'F-1 Off Site River Baseline'!$C$9:$R$257,3,FALSE))</f>
        <v/>
      </c>
      <c r="E165" s="175" t="str">
        <f>IF(D165="","",VLOOKUP($B165,'F-1 Off Site River Baseline'!$C$9:$R$257,4,FALSE))</f>
        <v/>
      </c>
      <c r="F165" s="175" t="str">
        <f>IF(E165="","",VLOOKUP($B165,'F-1 Off Site River Baseline'!$C$9:$R$257,5,FALSE))</f>
        <v/>
      </c>
      <c r="G165" s="175" t="str">
        <f>IF(F165="","",VLOOKUP($B165,'F-1 Off Site River Baseline'!$C$9:$R$257,6,FALSE))</f>
        <v/>
      </c>
      <c r="H165" s="175" t="str">
        <f>IF(G165="","",VLOOKUP($B165,'F-1 Off Site River Baseline'!$C$9:$R$257,7,FALSE))</f>
        <v/>
      </c>
      <c r="I165" s="175" t="str">
        <f>IF(H165="","",VLOOKUP($B165,'F-1 Off Site River Baseline'!$C$9:$R$257,8,FALSE))</f>
        <v/>
      </c>
      <c r="J165" s="175" t="str">
        <f>IF(I165="","",VLOOKUP($B165,'F-1 Off Site River Baseline'!$C$9:$R$257,9,FALSE))</f>
        <v/>
      </c>
      <c r="K165" s="175" t="str">
        <f>IF(J165="","",VLOOKUP($B165,'F-1 Off Site River Baseline'!$C$9:$R$257,10,FALSE))</f>
        <v/>
      </c>
      <c r="L165" s="175" t="str">
        <f>IF(B165="","",VLOOKUP($B165,'C-1 Site River Baseline'!$C$9:$R$257,15,FALSE))</f>
        <v/>
      </c>
      <c r="M165" s="176" t="str">
        <f>IF(L165="","",VLOOKUP($B165,'F-1 Off Site River Baseline'!$C$9:$R$257,16,FALSE))</f>
        <v/>
      </c>
      <c r="N165" s="639" t="str">
        <f t="shared" si="18"/>
        <v/>
      </c>
      <c r="O165" s="171" t="str">
        <f t="shared" si="19"/>
        <v/>
      </c>
      <c r="P165" s="172" t="str">
        <f>IF(C165="","",IF(AND(LEFT(C165,55)&lt;&gt;LEFT(N165,55),O165="High - High"),"Error - Not like for like",IF(AND(F165=S165,H165&gt;U165),"Error - Can not reduce condition",IF(AND(F165=S165,H165=U165,AJ165='F-1 Off Site River Baseline'!N163,'F-1 Off Site River Baseline'!P163=AL165),"Error - No enhancement",IF(AND(C165&lt;&gt;N165,F165&lt;S165),"Lower Distinctiveness Habitat"&amp;" - "&amp;T165,G165&amp;" - "&amp;T165)))))</f>
        <v/>
      </c>
      <c r="Q165" s="260" t="str">
        <f>IF(N165="","",VLOOKUP(B165,'F-1 Off Site River Baseline'!$C$10:$AA$257,19,FALSE))</f>
        <v/>
      </c>
      <c r="R165" s="171" t="str">
        <f>IF(N165="","",VLOOKUP(N165,'G-7 Rivers Data'!$B$2:$G$8,2,FALSE))</f>
        <v/>
      </c>
      <c r="S165" s="172" t="str">
        <f>IFERROR(VLOOKUP(R165,'G-7 Rivers Data'!$C$4:$D$8,2,FALSE),"")</f>
        <v/>
      </c>
      <c r="T165" s="173"/>
      <c r="U165" s="172" t="str">
        <f>IFERROR(INDEX('G-7 Rivers Data'!$H$4:$L$8,MATCH(N165,'G-7 Rivers Data'!$B$4:$B$8,0),MATCH(T165,'G-7 Rivers Data'!$H$3:$L$3,0)),"")</f>
        <v/>
      </c>
      <c r="V165" s="186"/>
      <c r="W165" s="175" t="str">
        <f>IF(V165="","",IF(VLOOKUP(V165,'G-7 Rivers Data'!$AG$4:$AI$9,2,FALSE)=0,"Spatial Data Missing",VLOOKUP(V165,'G-7 Rivers Data'!$AG$4:$AI$9,2,FALSE)))</f>
        <v/>
      </c>
      <c r="X165" s="176" t="str">
        <f>IF(V165="","",IF(VLOOKUP(V165,'G-7 Rivers Data'!$AG$4:$AI$9,3,FALSE)=0,"Spatial Data Missing",VLOOKUP(V165,'G-7 Rivers Data'!$AG$4:$AI$9,3,FALSE)))</f>
        <v/>
      </c>
      <c r="Y165" s="239" t="str">
        <f>IFERROR(IF(OR(LEFT(P165,5)="Error",LEFT(O165,5)="Error"),"Check Data",IF(F165&lt;S165,'G-7 Rivers Data'!$R$3,INDEX('G-7 Rivers Data'!$U$5:$Y$9,MATCH(G165,'G-7 Rivers Data'!$T$5:$T$9,0),MATCH(T165,'G-7 Rivers Data'!$U$4:$Y$4,0)))),"")</f>
        <v/>
      </c>
      <c r="Z165" s="275"/>
      <c r="AA165" s="275"/>
      <c r="AB165" s="175" t="str">
        <f t="shared" si="20"/>
        <v/>
      </c>
      <c r="AC165" s="262" t="str">
        <f t="shared" si="21"/>
        <v/>
      </c>
      <c r="AD165" s="382" t="str">
        <f>IFERROR(IF(AC165="Check Data","Check Data",VLOOKUP(AC165,'G-4 Temporal multipliers'!$A$4:$C$37,3,FALSE)),"")</f>
        <v/>
      </c>
      <c r="AE165" s="239" t="str">
        <f>IF(N165="","",VLOOKUP(N165,'G-7 Rivers Data'!$B$4:$G$8,5,FALSE))</f>
        <v/>
      </c>
      <c r="AF165" s="175" t="str">
        <f t="shared" si="22"/>
        <v/>
      </c>
      <c r="AG165" s="175" t="str">
        <f t="shared" si="23"/>
        <v/>
      </c>
      <c r="AH165" s="176" t="str">
        <f t="shared" si="17"/>
        <v/>
      </c>
      <c r="AI165" s="173"/>
      <c r="AJ165" s="172" t="str">
        <f>IF(AI165="","",IF(VLOOKUP(AI165,'G-7 Rivers Data'!$AA$4:$AB$7,2,FALSE)=0,"Spatial Data Missing",VLOOKUP(AI165,'G-7 Rivers Data'!$AA$4:$AB$7,2,FALSE)))</f>
        <v/>
      </c>
      <c r="AK165" s="187"/>
      <c r="AL165" s="172" t="str">
        <f>IF(AK165="","",IF(VLOOKUP(AK165,'G-7 Rivers Data'!$AD$4:$AE$8,2,FALSE)=0,"Spatial Data Missing",VLOOKUP(AK165,'G-7 Rivers Data'!$AD$4:$AE$8,2,FALSE)))</f>
        <v/>
      </c>
      <c r="AM165" s="186"/>
      <c r="AN165" s="176" t="str">
        <f>IF(AM165="","",VLOOKUP(AM165,'G-7 Rivers Data'!$AO$4:$AP$7,2,FALSE))</f>
        <v/>
      </c>
      <c r="AO165" s="265" t="str">
        <f t="shared" si="24"/>
        <v/>
      </c>
      <c r="AP165" s="180"/>
      <c r="AQ165" s="181"/>
      <c r="AX165" s="35" t="str">
        <f>IFERROR(INDEX('G-7 Rivers Data'!$AZ$3:$AZ$7,MATCH(N165,'G-7 Rivers Data'!$AY$3:$AY$7,0)),"")</f>
        <v/>
      </c>
    </row>
    <row r="166" spans="2:50" ht="13.8" x14ac:dyDescent="0.25">
      <c r="B166" s="259" t="str">
        <f>'F-1 Off Site River Baseline'!AN164</f>
        <v/>
      </c>
      <c r="C166" s="175" t="str">
        <f>IF(B166="","",VLOOKUP($B166,'F-1 Off Site River Baseline'!$C$9:$R$257,2,FALSE))</f>
        <v/>
      </c>
      <c r="D166" s="175" t="str">
        <f>IF(C166="","",VLOOKUP($B166,'F-1 Off Site River Baseline'!$C$9:$R$257,3,FALSE))</f>
        <v/>
      </c>
      <c r="E166" s="175" t="str">
        <f>IF(D166="","",VLOOKUP($B166,'F-1 Off Site River Baseline'!$C$9:$R$257,4,FALSE))</f>
        <v/>
      </c>
      <c r="F166" s="175" t="str">
        <f>IF(E166="","",VLOOKUP($B166,'F-1 Off Site River Baseline'!$C$9:$R$257,5,FALSE))</f>
        <v/>
      </c>
      <c r="G166" s="175" t="str">
        <f>IF(F166="","",VLOOKUP($B166,'F-1 Off Site River Baseline'!$C$9:$R$257,6,FALSE))</f>
        <v/>
      </c>
      <c r="H166" s="175" t="str">
        <f>IF(G166="","",VLOOKUP($B166,'F-1 Off Site River Baseline'!$C$9:$R$257,7,FALSE))</f>
        <v/>
      </c>
      <c r="I166" s="175" t="str">
        <f>IF(H166="","",VLOOKUP($B166,'F-1 Off Site River Baseline'!$C$9:$R$257,8,FALSE))</f>
        <v/>
      </c>
      <c r="J166" s="175" t="str">
        <f>IF(I166="","",VLOOKUP($B166,'F-1 Off Site River Baseline'!$C$9:$R$257,9,FALSE))</f>
        <v/>
      </c>
      <c r="K166" s="175" t="str">
        <f>IF(J166="","",VLOOKUP($B166,'F-1 Off Site River Baseline'!$C$9:$R$257,10,FALSE))</f>
        <v/>
      </c>
      <c r="L166" s="175" t="str">
        <f>IF(B166="","",VLOOKUP($B166,'C-1 Site River Baseline'!$C$9:$R$257,15,FALSE))</f>
        <v/>
      </c>
      <c r="M166" s="176" t="str">
        <f>IF(L166="","",VLOOKUP($B166,'F-1 Off Site River Baseline'!$C$9:$R$257,16,FALSE))</f>
        <v/>
      </c>
      <c r="N166" s="639" t="str">
        <f t="shared" si="18"/>
        <v/>
      </c>
      <c r="O166" s="171" t="str">
        <f t="shared" si="19"/>
        <v/>
      </c>
      <c r="P166" s="172" t="str">
        <f>IF(C166="","",IF(AND(LEFT(C166,55)&lt;&gt;LEFT(N166,55),O166="High - High"),"Error - Not like for like",IF(AND(F166=S166,H166&gt;U166),"Error - Can not reduce condition",IF(AND(F166=S166,H166=U166,AJ166='F-1 Off Site River Baseline'!N164,'F-1 Off Site River Baseline'!P164=AL166),"Error - No enhancement",IF(AND(C166&lt;&gt;N166,F166&lt;S166),"Lower Distinctiveness Habitat"&amp;" - "&amp;T166,G166&amp;" - "&amp;T166)))))</f>
        <v/>
      </c>
      <c r="Q166" s="260" t="str">
        <f>IF(N166="","",VLOOKUP(B166,'F-1 Off Site River Baseline'!$C$10:$AA$257,19,FALSE))</f>
        <v/>
      </c>
      <c r="R166" s="171" t="str">
        <f>IF(N166="","",VLOOKUP(N166,'G-7 Rivers Data'!$B$2:$G$8,2,FALSE))</f>
        <v/>
      </c>
      <c r="S166" s="172" t="str">
        <f>IFERROR(VLOOKUP(R166,'G-7 Rivers Data'!$C$4:$D$8,2,FALSE),"")</f>
        <v/>
      </c>
      <c r="T166" s="173"/>
      <c r="U166" s="172" t="str">
        <f>IFERROR(INDEX('G-7 Rivers Data'!$H$4:$L$8,MATCH(N166,'G-7 Rivers Data'!$B$4:$B$8,0),MATCH(T166,'G-7 Rivers Data'!$H$3:$L$3,0)),"")</f>
        <v/>
      </c>
      <c r="V166" s="186"/>
      <c r="W166" s="175" t="str">
        <f>IF(V166="","",IF(VLOOKUP(V166,'G-7 Rivers Data'!$AG$4:$AI$9,2,FALSE)=0,"Spatial Data Missing",VLOOKUP(V166,'G-7 Rivers Data'!$AG$4:$AI$9,2,FALSE)))</f>
        <v/>
      </c>
      <c r="X166" s="176" t="str">
        <f>IF(V166="","",IF(VLOOKUP(V166,'G-7 Rivers Data'!$AG$4:$AI$9,3,FALSE)=0,"Spatial Data Missing",VLOOKUP(V166,'G-7 Rivers Data'!$AG$4:$AI$9,3,FALSE)))</f>
        <v/>
      </c>
      <c r="Y166" s="239" t="str">
        <f>IFERROR(IF(OR(LEFT(P166,5)="Error",LEFT(O166,5)="Error"),"Check Data",IF(F166&lt;S166,'G-7 Rivers Data'!$R$3,INDEX('G-7 Rivers Data'!$U$5:$Y$9,MATCH(G166,'G-7 Rivers Data'!$T$5:$T$9,0),MATCH(T166,'G-7 Rivers Data'!$U$4:$Y$4,0)))),"")</f>
        <v/>
      </c>
      <c r="Z166" s="275"/>
      <c r="AA166" s="275"/>
      <c r="AB166" s="175" t="str">
        <f t="shared" si="20"/>
        <v/>
      </c>
      <c r="AC166" s="262" t="str">
        <f t="shared" si="21"/>
        <v/>
      </c>
      <c r="AD166" s="382" t="str">
        <f>IFERROR(IF(AC166="Check Data","Check Data",VLOOKUP(AC166,'G-4 Temporal multipliers'!$A$4:$C$37,3,FALSE)),"")</f>
        <v/>
      </c>
      <c r="AE166" s="239" t="str">
        <f>IF(N166="","",VLOOKUP(N166,'G-7 Rivers Data'!$B$4:$G$8,5,FALSE))</f>
        <v/>
      </c>
      <c r="AF166" s="175" t="str">
        <f t="shared" si="22"/>
        <v/>
      </c>
      <c r="AG166" s="175" t="str">
        <f t="shared" si="23"/>
        <v/>
      </c>
      <c r="AH166" s="176" t="str">
        <f t="shared" si="17"/>
        <v/>
      </c>
      <c r="AI166" s="173"/>
      <c r="AJ166" s="172" t="str">
        <f>IF(AI166="","",IF(VLOOKUP(AI166,'G-7 Rivers Data'!$AA$4:$AB$7,2,FALSE)=0,"Spatial Data Missing",VLOOKUP(AI166,'G-7 Rivers Data'!$AA$4:$AB$7,2,FALSE)))</f>
        <v/>
      </c>
      <c r="AK166" s="187"/>
      <c r="AL166" s="172" t="str">
        <f>IF(AK166="","",IF(VLOOKUP(AK166,'G-7 Rivers Data'!$AD$4:$AE$8,2,FALSE)=0,"Spatial Data Missing",VLOOKUP(AK166,'G-7 Rivers Data'!$AD$4:$AE$8,2,FALSE)))</f>
        <v/>
      </c>
      <c r="AM166" s="186"/>
      <c r="AN166" s="176" t="str">
        <f>IF(AM166="","",VLOOKUP(AM166,'G-7 Rivers Data'!$AO$4:$AP$7,2,FALSE))</f>
        <v/>
      </c>
      <c r="AO166" s="265" t="str">
        <f t="shared" si="24"/>
        <v/>
      </c>
      <c r="AP166" s="180"/>
      <c r="AQ166" s="181"/>
      <c r="AX166" s="35" t="str">
        <f>IFERROR(INDEX('G-7 Rivers Data'!$AZ$3:$AZ$7,MATCH(N166,'G-7 Rivers Data'!$AY$3:$AY$7,0)),"")</f>
        <v/>
      </c>
    </row>
    <row r="167" spans="2:50" ht="13.8" x14ac:dyDescent="0.25">
      <c r="B167" s="259" t="str">
        <f>'F-1 Off Site River Baseline'!AN165</f>
        <v/>
      </c>
      <c r="C167" s="175" t="str">
        <f>IF(B167="","",VLOOKUP($B167,'F-1 Off Site River Baseline'!$C$9:$R$257,2,FALSE))</f>
        <v/>
      </c>
      <c r="D167" s="175" t="str">
        <f>IF(C167="","",VLOOKUP($B167,'F-1 Off Site River Baseline'!$C$9:$R$257,3,FALSE))</f>
        <v/>
      </c>
      <c r="E167" s="175" t="str">
        <f>IF(D167="","",VLOOKUP($B167,'F-1 Off Site River Baseline'!$C$9:$R$257,4,FALSE))</f>
        <v/>
      </c>
      <c r="F167" s="175" t="str">
        <f>IF(E167="","",VLOOKUP($B167,'F-1 Off Site River Baseline'!$C$9:$R$257,5,FALSE))</f>
        <v/>
      </c>
      <c r="G167" s="175" t="str">
        <f>IF(F167="","",VLOOKUP($B167,'F-1 Off Site River Baseline'!$C$9:$R$257,6,FALSE))</f>
        <v/>
      </c>
      <c r="H167" s="175" t="str">
        <f>IF(G167="","",VLOOKUP($B167,'F-1 Off Site River Baseline'!$C$9:$R$257,7,FALSE))</f>
        <v/>
      </c>
      <c r="I167" s="175" t="str">
        <f>IF(H167="","",VLOOKUP($B167,'F-1 Off Site River Baseline'!$C$9:$R$257,8,FALSE))</f>
        <v/>
      </c>
      <c r="J167" s="175" t="str">
        <f>IF(I167="","",VLOOKUP($B167,'F-1 Off Site River Baseline'!$C$9:$R$257,9,FALSE))</f>
        <v/>
      </c>
      <c r="K167" s="175" t="str">
        <f>IF(J167="","",VLOOKUP($B167,'F-1 Off Site River Baseline'!$C$9:$R$257,10,FALSE))</f>
        <v/>
      </c>
      <c r="L167" s="175" t="str">
        <f>IF(B167="","",VLOOKUP($B167,'C-1 Site River Baseline'!$C$9:$R$257,15,FALSE))</f>
        <v/>
      </c>
      <c r="M167" s="176" t="str">
        <f>IF(L167="","",VLOOKUP($B167,'F-1 Off Site River Baseline'!$C$9:$R$257,16,FALSE))</f>
        <v/>
      </c>
      <c r="N167" s="639" t="str">
        <f t="shared" si="18"/>
        <v/>
      </c>
      <c r="O167" s="171" t="str">
        <f t="shared" si="19"/>
        <v/>
      </c>
      <c r="P167" s="172" t="str">
        <f>IF(C167="","",IF(AND(LEFT(C167,55)&lt;&gt;LEFT(N167,55),O167="High - High"),"Error - Not like for like",IF(AND(F167=S167,H167&gt;U167),"Error - Can not reduce condition",IF(AND(F167=S167,H167=U167,AJ167='F-1 Off Site River Baseline'!N165,'F-1 Off Site River Baseline'!P165=AL167),"Error - No enhancement",IF(AND(C167&lt;&gt;N167,F167&lt;S167),"Lower Distinctiveness Habitat"&amp;" - "&amp;T167,G167&amp;" - "&amp;T167)))))</f>
        <v/>
      </c>
      <c r="Q167" s="260" t="str">
        <f>IF(N167="","",VLOOKUP(B167,'F-1 Off Site River Baseline'!$C$10:$AA$257,19,FALSE))</f>
        <v/>
      </c>
      <c r="R167" s="171" t="str">
        <f>IF(N167="","",VLOOKUP(N167,'G-7 Rivers Data'!$B$2:$G$8,2,FALSE))</f>
        <v/>
      </c>
      <c r="S167" s="172" t="str">
        <f>IFERROR(VLOOKUP(R167,'G-7 Rivers Data'!$C$4:$D$8,2,FALSE),"")</f>
        <v/>
      </c>
      <c r="T167" s="173"/>
      <c r="U167" s="172" t="str">
        <f>IFERROR(INDEX('G-7 Rivers Data'!$H$4:$L$8,MATCH(N167,'G-7 Rivers Data'!$B$4:$B$8,0),MATCH(T167,'G-7 Rivers Data'!$H$3:$L$3,0)),"")</f>
        <v/>
      </c>
      <c r="V167" s="186"/>
      <c r="W167" s="175" t="str">
        <f>IF(V167="","",IF(VLOOKUP(V167,'G-7 Rivers Data'!$AG$4:$AI$9,2,FALSE)=0,"Spatial Data Missing",VLOOKUP(V167,'G-7 Rivers Data'!$AG$4:$AI$9,2,FALSE)))</f>
        <v/>
      </c>
      <c r="X167" s="176" t="str">
        <f>IF(V167="","",IF(VLOOKUP(V167,'G-7 Rivers Data'!$AG$4:$AI$9,3,FALSE)=0,"Spatial Data Missing",VLOOKUP(V167,'G-7 Rivers Data'!$AG$4:$AI$9,3,FALSE)))</f>
        <v/>
      </c>
      <c r="Y167" s="239" t="str">
        <f>IFERROR(IF(OR(LEFT(P167,5)="Error",LEFT(O167,5)="Error"),"Check Data",IF(F167&lt;S167,'G-7 Rivers Data'!$R$3,INDEX('G-7 Rivers Data'!$U$5:$Y$9,MATCH(G167,'G-7 Rivers Data'!$T$5:$T$9,0),MATCH(T167,'G-7 Rivers Data'!$U$4:$Y$4,0)))),"")</f>
        <v/>
      </c>
      <c r="Z167" s="275"/>
      <c r="AA167" s="275"/>
      <c r="AB167" s="175" t="str">
        <f t="shared" si="20"/>
        <v/>
      </c>
      <c r="AC167" s="262" t="str">
        <f t="shared" si="21"/>
        <v/>
      </c>
      <c r="AD167" s="382" t="str">
        <f>IFERROR(IF(AC167="Check Data","Check Data",VLOOKUP(AC167,'G-4 Temporal multipliers'!$A$4:$C$37,3,FALSE)),"")</f>
        <v/>
      </c>
      <c r="AE167" s="239" t="str">
        <f>IF(N167="","",VLOOKUP(N167,'G-7 Rivers Data'!$B$4:$G$8,5,FALSE))</f>
        <v/>
      </c>
      <c r="AF167" s="175" t="str">
        <f t="shared" si="22"/>
        <v/>
      </c>
      <c r="AG167" s="175" t="str">
        <f t="shared" si="23"/>
        <v/>
      </c>
      <c r="AH167" s="176" t="str">
        <f t="shared" si="17"/>
        <v/>
      </c>
      <c r="AI167" s="173"/>
      <c r="AJ167" s="172" t="str">
        <f>IF(AI167="","",IF(VLOOKUP(AI167,'G-7 Rivers Data'!$AA$4:$AB$7,2,FALSE)=0,"Spatial Data Missing",VLOOKUP(AI167,'G-7 Rivers Data'!$AA$4:$AB$7,2,FALSE)))</f>
        <v/>
      </c>
      <c r="AK167" s="187"/>
      <c r="AL167" s="172" t="str">
        <f>IF(AK167="","",IF(VLOOKUP(AK167,'G-7 Rivers Data'!$AD$4:$AE$8,2,FALSE)=0,"Spatial Data Missing",VLOOKUP(AK167,'G-7 Rivers Data'!$AD$4:$AE$8,2,FALSE)))</f>
        <v/>
      </c>
      <c r="AM167" s="186"/>
      <c r="AN167" s="176" t="str">
        <f>IF(AM167="","",VLOOKUP(AM167,'G-7 Rivers Data'!$AO$4:$AP$7,2,FALSE))</f>
        <v/>
      </c>
      <c r="AO167" s="265" t="str">
        <f t="shared" si="24"/>
        <v/>
      </c>
      <c r="AP167" s="180"/>
      <c r="AQ167" s="181"/>
      <c r="AX167" s="35" t="str">
        <f>IFERROR(INDEX('G-7 Rivers Data'!$AZ$3:$AZ$7,MATCH(N167,'G-7 Rivers Data'!$AY$3:$AY$7,0)),"")</f>
        <v/>
      </c>
    </row>
    <row r="168" spans="2:50" ht="13.8" x14ac:dyDescent="0.25">
      <c r="B168" s="259" t="str">
        <f>'F-1 Off Site River Baseline'!AN166</f>
        <v/>
      </c>
      <c r="C168" s="175" t="str">
        <f>IF(B168="","",VLOOKUP($B168,'F-1 Off Site River Baseline'!$C$9:$R$257,2,FALSE))</f>
        <v/>
      </c>
      <c r="D168" s="175" t="str">
        <f>IF(C168="","",VLOOKUP($B168,'F-1 Off Site River Baseline'!$C$9:$R$257,3,FALSE))</f>
        <v/>
      </c>
      <c r="E168" s="175" t="str">
        <f>IF(D168="","",VLOOKUP($B168,'F-1 Off Site River Baseline'!$C$9:$R$257,4,FALSE))</f>
        <v/>
      </c>
      <c r="F168" s="175" t="str">
        <f>IF(E168="","",VLOOKUP($B168,'F-1 Off Site River Baseline'!$C$9:$R$257,5,FALSE))</f>
        <v/>
      </c>
      <c r="G168" s="175" t="str">
        <f>IF(F168="","",VLOOKUP($B168,'F-1 Off Site River Baseline'!$C$9:$R$257,6,FALSE))</f>
        <v/>
      </c>
      <c r="H168" s="175" t="str">
        <f>IF(G168="","",VLOOKUP($B168,'F-1 Off Site River Baseline'!$C$9:$R$257,7,FALSE))</f>
        <v/>
      </c>
      <c r="I168" s="175" t="str">
        <f>IF(H168="","",VLOOKUP($B168,'F-1 Off Site River Baseline'!$C$9:$R$257,8,FALSE))</f>
        <v/>
      </c>
      <c r="J168" s="175" t="str">
        <f>IF(I168="","",VLOOKUP($B168,'F-1 Off Site River Baseline'!$C$9:$R$257,9,FALSE))</f>
        <v/>
      </c>
      <c r="K168" s="175" t="str">
        <f>IF(J168="","",VLOOKUP($B168,'F-1 Off Site River Baseline'!$C$9:$R$257,10,FALSE))</f>
        <v/>
      </c>
      <c r="L168" s="175" t="str">
        <f>IF(B168="","",VLOOKUP($B168,'C-1 Site River Baseline'!$C$9:$R$257,15,FALSE))</f>
        <v/>
      </c>
      <c r="M168" s="176" t="str">
        <f>IF(L168="","",VLOOKUP($B168,'F-1 Off Site River Baseline'!$C$9:$R$257,16,FALSE))</f>
        <v/>
      </c>
      <c r="N168" s="639" t="str">
        <f t="shared" si="18"/>
        <v/>
      </c>
      <c r="O168" s="171" t="str">
        <f t="shared" si="19"/>
        <v/>
      </c>
      <c r="P168" s="172" t="str">
        <f>IF(C168="","",IF(AND(LEFT(C168,55)&lt;&gt;LEFT(N168,55),O168="High - High"),"Error - Not like for like",IF(AND(F168=S168,H168&gt;U168),"Error - Can not reduce condition",IF(AND(F168=S168,H168=U168,AJ168='F-1 Off Site River Baseline'!N166,'F-1 Off Site River Baseline'!P166=AL168),"Error - No enhancement",IF(AND(C168&lt;&gt;N168,F168&lt;S168),"Lower Distinctiveness Habitat"&amp;" - "&amp;T168,G168&amp;" - "&amp;T168)))))</f>
        <v/>
      </c>
      <c r="Q168" s="260" t="str">
        <f>IF(N168="","",VLOOKUP(B168,'F-1 Off Site River Baseline'!$C$10:$AA$257,19,FALSE))</f>
        <v/>
      </c>
      <c r="R168" s="171" t="str">
        <f>IF(N168="","",VLOOKUP(N168,'G-7 Rivers Data'!$B$2:$G$8,2,FALSE))</f>
        <v/>
      </c>
      <c r="S168" s="172" t="str">
        <f>IFERROR(VLOOKUP(R168,'G-7 Rivers Data'!$C$4:$D$8,2,FALSE),"")</f>
        <v/>
      </c>
      <c r="T168" s="173"/>
      <c r="U168" s="172" t="str">
        <f>IFERROR(INDEX('G-7 Rivers Data'!$H$4:$L$8,MATCH(N168,'G-7 Rivers Data'!$B$4:$B$8,0),MATCH(T168,'G-7 Rivers Data'!$H$3:$L$3,0)),"")</f>
        <v/>
      </c>
      <c r="V168" s="186"/>
      <c r="W168" s="175" t="str">
        <f>IF(V168="","",IF(VLOOKUP(V168,'G-7 Rivers Data'!$AG$4:$AI$9,2,FALSE)=0,"Spatial Data Missing",VLOOKUP(V168,'G-7 Rivers Data'!$AG$4:$AI$9,2,FALSE)))</f>
        <v/>
      </c>
      <c r="X168" s="176" t="str">
        <f>IF(V168="","",IF(VLOOKUP(V168,'G-7 Rivers Data'!$AG$4:$AI$9,3,FALSE)=0,"Spatial Data Missing",VLOOKUP(V168,'G-7 Rivers Data'!$AG$4:$AI$9,3,FALSE)))</f>
        <v/>
      </c>
      <c r="Y168" s="239" t="str">
        <f>IFERROR(IF(OR(LEFT(P168,5)="Error",LEFT(O168,5)="Error"),"Check Data",IF(F168&lt;S168,'G-7 Rivers Data'!$R$3,INDEX('G-7 Rivers Data'!$U$5:$Y$9,MATCH(G168,'G-7 Rivers Data'!$T$5:$T$9,0),MATCH(T168,'G-7 Rivers Data'!$U$4:$Y$4,0)))),"")</f>
        <v/>
      </c>
      <c r="Z168" s="275"/>
      <c r="AA168" s="275"/>
      <c r="AB168" s="175" t="str">
        <f t="shared" si="20"/>
        <v/>
      </c>
      <c r="AC168" s="262" t="str">
        <f t="shared" si="21"/>
        <v/>
      </c>
      <c r="AD168" s="382" t="str">
        <f>IFERROR(IF(AC168="Check Data","Check Data",VLOOKUP(AC168,'G-4 Temporal multipliers'!$A$4:$C$37,3,FALSE)),"")</f>
        <v/>
      </c>
      <c r="AE168" s="239" t="str">
        <f>IF(N168="","",VLOOKUP(N168,'G-7 Rivers Data'!$B$4:$G$8,5,FALSE))</f>
        <v/>
      </c>
      <c r="AF168" s="175" t="str">
        <f t="shared" si="22"/>
        <v/>
      </c>
      <c r="AG168" s="175" t="str">
        <f t="shared" si="23"/>
        <v/>
      </c>
      <c r="AH168" s="176" t="str">
        <f t="shared" si="17"/>
        <v/>
      </c>
      <c r="AI168" s="173"/>
      <c r="AJ168" s="172" t="str">
        <f>IF(AI168="","",IF(VLOOKUP(AI168,'G-7 Rivers Data'!$AA$4:$AB$7,2,FALSE)=0,"Spatial Data Missing",VLOOKUP(AI168,'G-7 Rivers Data'!$AA$4:$AB$7,2,FALSE)))</f>
        <v/>
      </c>
      <c r="AK168" s="187"/>
      <c r="AL168" s="172" t="str">
        <f>IF(AK168="","",IF(VLOOKUP(AK168,'G-7 Rivers Data'!$AD$4:$AE$8,2,FALSE)=0,"Spatial Data Missing",VLOOKUP(AK168,'G-7 Rivers Data'!$AD$4:$AE$8,2,FALSE)))</f>
        <v/>
      </c>
      <c r="AM168" s="186"/>
      <c r="AN168" s="176" t="str">
        <f>IF(AM168="","",VLOOKUP(AM168,'G-7 Rivers Data'!$AO$4:$AP$7,2,FALSE))</f>
        <v/>
      </c>
      <c r="AO168" s="265" t="str">
        <f t="shared" si="24"/>
        <v/>
      </c>
      <c r="AP168" s="180"/>
      <c r="AQ168" s="181"/>
      <c r="AX168" s="35" t="str">
        <f>IFERROR(INDEX('G-7 Rivers Data'!$AZ$3:$AZ$7,MATCH(N168,'G-7 Rivers Data'!$AY$3:$AY$7,0)),"")</f>
        <v/>
      </c>
    </row>
    <row r="169" spans="2:50" ht="13.8" x14ac:dyDescent="0.25">
      <c r="B169" s="259" t="str">
        <f>'F-1 Off Site River Baseline'!AN167</f>
        <v/>
      </c>
      <c r="C169" s="175" t="str">
        <f>IF(B169="","",VLOOKUP($B169,'F-1 Off Site River Baseline'!$C$9:$R$257,2,FALSE))</f>
        <v/>
      </c>
      <c r="D169" s="175" t="str">
        <f>IF(C169="","",VLOOKUP($B169,'F-1 Off Site River Baseline'!$C$9:$R$257,3,FALSE))</f>
        <v/>
      </c>
      <c r="E169" s="175" t="str">
        <f>IF(D169="","",VLOOKUP($B169,'F-1 Off Site River Baseline'!$C$9:$R$257,4,FALSE))</f>
        <v/>
      </c>
      <c r="F169" s="175" t="str">
        <f>IF(E169="","",VLOOKUP($B169,'F-1 Off Site River Baseline'!$C$9:$R$257,5,FALSE))</f>
        <v/>
      </c>
      <c r="G169" s="175" t="str">
        <f>IF(F169="","",VLOOKUP($B169,'F-1 Off Site River Baseline'!$C$9:$R$257,6,FALSE))</f>
        <v/>
      </c>
      <c r="H169" s="175" t="str">
        <f>IF(G169="","",VLOOKUP($B169,'F-1 Off Site River Baseline'!$C$9:$R$257,7,FALSE))</f>
        <v/>
      </c>
      <c r="I169" s="175" t="str">
        <f>IF(H169="","",VLOOKUP($B169,'F-1 Off Site River Baseline'!$C$9:$R$257,8,FALSE))</f>
        <v/>
      </c>
      <c r="J169" s="175" t="str">
        <f>IF(I169="","",VLOOKUP($B169,'F-1 Off Site River Baseline'!$C$9:$R$257,9,FALSE))</f>
        <v/>
      </c>
      <c r="K169" s="175" t="str">
        <f>IF(J169="","",VLOOKUP($B169,'F-1 Off Site River Baseline'!$C$9:$R$257,10,FALSE))</f>
        <v/>
      </c>
      <c r="L169" s="175" t="str">
        <f>IF(B169="","",VLOOKUP($B169,'C-1 Site River Baseline'!$C$9:$R$257,15,FALSE))</f>
        <v/>
      </c>
      <c r="M169" s="176" t="str">
        <f>IF(L169="","",VLOOKUP($B169,'F-1 Off Site River Baseline'!$C$9:$R$257,16,FALSE))</f>
        <v/>
      </c>
      <c r="N169" s="639" t="str">
        <f t="shared" si="18"/>
        <v/>
      </c>
      <c r="O169" s="171" t="str">
        <f t="shared" si="19"/>
        <v/>
      </c>
      <c r="P169" s="172" t="str">
        <f>IF(C169="","",IF(AND(LEFT(C169,55)&lt;&gt;LEFT(N169,55),O169="High - High"),"Error - Not like for like",IF(AND(F169=S169,H169&gt;U169),"Error - Can not reduce condition",IF(AND(F169=S169,H169=U169,AJ169='F-1 Off Site River Baseline'!N167,'F-1 Off Site River Baseline'!P167=AL169),"Error - No enhancement",IF(AND(C169&lt;&gt;N169,F169&lt;S169),"Lower Distinctiveness Habitat"&amp;" - "&amp;T169,G169&amp;" - "&amp;T169)))))</f>
        <v/>
      </c>
      <c r="Q169" s="260" t="str">
        <f>IF(N169="","",VLOOKUP(B169,'F-1 Off Site River Baseline'!$C$10:$AA$257,19,FALSE))</f>
        <v/>
      </c>
      <c r="R169" s="171" t="str">
        <f>IF(N169="","",VLOOKUP(N169,'G-7 Rivers Data'!$B$2:$G$8,2,FALSE))</f>
        <v/>
      </c>
      <c r="S169" s="172" t="str">
        <f>IFERROR(VLOOKUP(R169,'G-7 Rivers Data'!$C$4:$D$8,2,FALSE),"")</f>
        <v/>
      </c>
      <c r="T169" s="173"/>
      <c r="U169" s="172" t="str">
        <f>IFERROR(INDEX('G-7 Rivers Data'!$H$4:$L$8,MATCH(N169,'G-7 Rivers Data'!$B$4:$B$8,0),MATCH(T169,'G-7 Rivers Data'!$H$3:$L$3,0)),"")</f>
        <v/>
      </c>
      <c r="V169" s="186"/>
      <c r="W169" s="175" t="str">
        <f>IF(V169="","",IF(VLOOKUP(V169,'G-7 Rivers Data'!$AG$4:$AI$9,2,FALSE)=0,"Spatial Data Missing",VLOOKUP(V169,'G-7 Rivers Data'!$AG$4:$AI$9,2,FALSE)))</f>
        <v/>
      </c>
      <c r="X169" s="176" t="str">
        <f>IF(V169="","",IF(VLOOKUP(V169,'G-7 Rivers Data'!$AG$4:$AI$9,3,FALSE)=0,"Spatial Data Missing",VLOOKUP(V169,'G-7 Rivers Data'!$AG$4:$AI$9,3,FALSE)))</f>
        <v/>
      </c>
      <c r="Y169" s="239" t="str">
        <f>IFERROR(IF(OR(LEFT(P169,5)="Error",LEFT(O169,5)="Error"),"Check Data",IF(F169&lt;S169,'G-7 Rivers Data'!$R$3,INDEX('G-7 Rivers Data'!$U$5:$Y$9,MATCH(G169,'G-7 Rivers Data'!$T$5:$T$9,0),MATCH(T169,'G-7 Rivers Data'!$U$4:$Y$4,0)))),"")</f>
        <v/>
      </c>
      <c r="Z169" s="275"/>
      <c r="AA169" s="275"/>
      <c r="AB169" s="175" t="str">
        <f t="shared" si="20"/>
        <v/>
      </c>
      <c r="AC169" s="262" t="str">
        <f t="shared" si="21"/>
        <v/>
      </c>
      <c r="AD169" s="382" t="str">
        <f>IFERROR(IF(AC169="Check Data","Check Data",VLOOKUP(AC169,'G-4 Temporal multipliers'!$A$4:$C$37,3,FALSE)),"")</f>
        <v/>
      </c>
      <c r="AE169" s="239" t="str">
        <f>IF(N169="","",VLOOKUP(N169,'G-7 Rivers Data'!$B$4:$G$8,5,FALSE))</f>
        <v/>
      </c>
      <c r="AF169" s="175" t="str">
        <f t="shared" si="22"/>
        <v/>
      </c>
      <c r="AG169" s="175" t="str">
        <f t="shared" si="23"/>
        <v/>
      </c>
      <c r="AH169" s="176" t="str">
        <f t="shared" si="17"/>
        <v/>
      </c>
      <c r="AI169" s="173"/>
      <c r="AJ169" s="172" t="str">
        <f>IF(AI169="","",IF(VLOOKUP(AI169,'G-7 Rivers Data'!$AA$4:$AB$7,2,FALSE)=0,"Spatial Data Missing",VLOOKUP(AI169,'G-7 Rivers Data'!$AA$4:$AB$7,2,FALSE)))</f>
        <v/>
      </c>
      <c r="AK169" s="187"/>
      <c r="AL169" s="172" t="str">
        <f>IF(AK169="","",IF(VLOOKUP(AK169,'G-7 Rivers Data'!$AD$4:$AE$8,2,FALSE)=0,"Spatial Data Missing",VLOOKUP(AK169,'G-7 Rivers Data'!$AD$4:$AE$8,2,FALSE)))</f>
        <v/>
      </c>
      <c r="AM169" s="186"/>
      <c r="AN169" s="176" t="str">
        <f>IF(AM169="","",VLOOKUP(AM169,'G-7 Rivers Data'!$AO$4:$AP$7,2,FALSE))</f>
        <v/>
      </c>
      <c r="AO169" s="265" t="str">
        <f t="shared" si="24"/>
        <v/>
      </c>
      <c r="AP169" s="180"/>
      <c r="AQ169" s="181"/>
      <c r="AX169" s="35" t="str">
        <f>IFERROR(INDEX('G-7 Rivers Data'!$AZ$3:$AZ$7,MATCH(N169,'G-7 Rivers Data'!$AY$3:$AY$7,0)),"")</f>
        <v/>
      </c>
    </row>
    <row r="170" spans="2:50" ht="13.8" x14ac:dyDescent="0.25">
      <c r="B170" s="259" t="str">
        <f>'F-1 Off Site River Baseline'!AN168</f>
        <v/>
      </c>
      <c r="C170" s="175" t="str">
        <f>IF(B170="","",VLOOKUP($B170,'F-1 Off Site River Baseline'!$C$9:$R$257,2,FALSE))</f>
        <v/>
      </c>
      <c r="D170" s="175" t="str">
        <f>IF(C170="","",VLOOKUP($B170,'F-1 Off Site River Baseline'!$C$9:$R$257,3,FALSE))</f>
        <v/>
      </c>
      <c r="E170" s="175" t="str">
        <f>IF(D170="","",VLOOKUP($B170,'F-1 Off Site River Baseline'!$C$9:$R$257,4,FALSE))</f>
        <v/>
      </c>
      <c r="F170" s="175" t="str">
        <f>IF(E170="","",VLOOKUP($B170,'F-1 Off Site River Baseline'!$C$9:$R$257,5,FALSE))</f>
        <v/>
      </c>
      <c r="G170" s="175" t="str">
        <f>IF(F170="","",VLOOKUP($B170,'F-1 Off Site River Baseline'!$C$9:$R$257,6,FALSE))</f>
        <v/>
      </c>
      <c r="H170" s="175" t="str">
        <f>IF(G170="","",VLOOKUP($B170,'F-1 Off Site River Baseline'!$C$9:$R$257,7,FALSE))</f>
        <v/>
      </c>
      <c r="I170" s="175" t="str">
        <f>IF(H170="","",VLOOKUP($B170,'F-1 Off Site River Baseline'!$C$9:$R$257,8,FALSE))</f>
        <v/>
      </c>
      <c r="J170" s="175" t="str">
        <f>IF(I170="","",VLOOKUP($B170,'F-1 Off Site River Baseline'!$C$9:$R$257,9,FALSE))</f>
        <v/>
      </c>
      <c r="K170" s="175" t="str">
        <f>IF(J170="","",VLOOKUP($B170,'F-1 Off Site River Baseline'!$C$9:$R$257,10,FALSE))</f>
        <v/>
      </c>
      <c r="L170" s="175" t="str">
        <f>IF(B170="","",VLOOKUP($B170,'C-1 Site River Baseline'!$C$9:$R$257,15,FALSE))</f>
        <v/>
      </c>
      <c r="M170" s="176" t="str">
        <f>IF(L170="","",VLOOKUP($B170,'F-1 Off Site River Baseline'!$C$9:$R$257,16,FALSE))</f>
        <v/>
      </c>
      <c r="N170" s="639" t="str">
        <f t="shared" si="18"/>
        <v/>
      </c>
      <c r="O170" s="171" t="str">
        <f t="shared" si="19"/>
        <v/>
      </c>
      <c r="P170" s="172" t="str">
        <f>IF(C170="","",IF(AND(LEFT(C170,55)&lt;&gt;LEFT(N170,55),O170="High - High"),"Error - Not like for like",IF(AND(F170=S170,H170&gt;U170),"Error - Can not reduce condition",IF(AND(F170=S170,H170=U170,AJ170='F-1 Off Site River Baseline'!N168,'F-1 Off Site River Baseline'!P168=AL170),"Error - No enhancement",IF(AND(C170&lt;&gt;N170,F170&lt;S170),"Lower Distinctiveness Habitat"&amp;" - "&amp;T170,G170&amp;" - "&amp;T170)))))</f>
        <v/>
      </c>
      <c r="Q170" s="260" t="str">
        <f>IF(N170="","",VLOOKUP(B170,'F-1 Off Site River Baseline'!$C$10:$AA$257,19,FALSE))</f>
        <v/>
      </c>
      <c r="R170" s="171" t="str">
        <f>IF(N170="","",VLOOKUP(N170,'G-7 Rivers Data'!$B$2:$G$8,2,FALSE))</f>
        <v/>
      </c>
      <c r="S170" s="172" t="str">
        <f>IFERROR(VLOOKUP(R170,'G-7 Rivers Data'!$C$4:$D$8,2,FALSE),"")</f>
        <v/>
      </c>
      <c r="T170" s="173"/>
      <c r="U170" s="172" t="str">
        <f>IFERROR(INDEX('G-7 Rivers Data'!$H$4:$L$8,MATCH(N170,'G-7 Rivers Data'!$B$4:$B$8,0),MATCH(T170,'G-7 Rivers Data'!$H$3:$L$3,0)),"")</f>
        <v/>
      </c>
      <c r="V170" s="186"/>
      <c r="W170" s="175" t="str">
        <f>IF(V170="","",IF(VLOOKUP(V170,'G-7 Rivers Data'!$AG$4:$AI$9,2,FALSE)=0,"Spatial Data Missing",VLOOKUP(V170,'G-7 Rivers Data'!$AG$4:$AI$9,2,FALSE)))</f>
        <v/>
      </c>
      <c r="X170" s="176" t="str">
        <f>IF(V170="","",IF(VLOOKUP(V170,'G-7 Rivers Data'!$AG$4:$AI$9,3,FALSE)=0,"Spatial Data Missing",VLOOKUP(V170,'G-7 Rivers Data'!$AG$4:$AI$9,3,FALSE)))</f>
        <v/>
      </c>
      <c r="Y170" s="239" t="str">
        <f>IFERROR(IF(OR(LEFT(P170,5)="Error",LEFT(O170,5)="Error"),"Check Data",IF(F170&lt;S170,'G-7 Rivers Data'!$R$3,INDEX('G-7 Rivers Data'!$U$5:$Y$9,MATCH(G170,'G-7 Rivers Data'!$T$5:$T$9,0),MATCH(T170,'G-7 Rivers Data'!$U$4:$Y$4,0)))),"")</f>
        <v/>
      </c>
      <c r="Z170" s="275"/>
      <c r="AA170" s="275"/>
      <c r="AB170" s="175" t="str">
        <f t="shared" si="20"/>
        <v/>
      </c>
      <c r="AC170" s="262" t="str">
        <f t="shared" si="21"/>
        <v/>
      </c>
      <c r="AD170" s="382" t="str">
        <f>IFERROR(IF(AC170="Check Data","Check Data",VLOOKUP(AC170,'G-4 Temporal multipliers'!$A$4:$C$37,3,FALSE)),"")</f>
        <v/>
      </c>
      <c r="AE170" s="239" t="str">
        <f>IF(N170="","",VLOOKUP(N170,'G-7 Rivers Data'!$B$4:$G$8,5,FALSE))</f>
        <v/>
      </c>
      <c r="AF170" s="175" t="str">
        <f t="shared" si="22"/>
        <v/>
      </c>
      <c r="AG170" s="175" t="str">
        <f t="shared" si="23"/>
        <v/>
      </c>
      <c r="AH170" s="176" t="str">
        <f t="shared" si="17"/>
        <v/>
      </c>
      <c r="AI170" s="173"/>
      <c r="AJ170" s="172" t="str">
        <f>IF(AI170="","",IF(VLOOKUP(AI170,'G-7 Rivers Data'!$AA$4:$AB$7,2,FALSE)=0,"Spatial Data Missing",VLOOKUP(AI170,'G-7 Rivers Data'!$AA$4:$AB$7,2,FALSE)))</f>
        <v/>
      </c>
      <c r="AK170" s="187"/>
      <c r="AL170" s="172" t="str">
        <f>IF(AK170="","",IF(VLOOKUP(AK170,'G-7 Rivers Data'!$AD$4:$AE$8,2,FALSE)=0,"Spatial Data Missing",VLOOKUP(AK170,'G-7 Rivers Data'!$AD$4:$AE$8,2,FALSE)))</f>
        <v/>
      </c>
      <c r="AM170" s="186"/>
      <c r="AN170" s="176" t="str">
        <f>IF(AM170="","",VLOOKUP(AM170,'G-7 Rivers Data'!$AO$4:$AP$7,2,FALSE))</f>
        <v/>
      </c>
      <c r="AO170" s="265" t="str">
        <f t="shared" si="24"/>
        <v/>
      </c>
      <c r="AP170" s="180"/>
      <c r="AQ170" s="181"/>
      <c r="AX170" s="35" t="str">
        <f>IFERROR(INDEX('G-7 Rivers Data'!$AZ$3:$AZ$7,MATCH(N170,'G-7 Rivers Data'!$AY$3:$AY$7,0)),"")</f>
        <v/>
      </c>
    </row>
    <row r="171" spans="2:50" ht="13.8" x14ac:dyDescent="0.25">
      <c r="B171" s="259" t="str">
        <f>'F-1 Off Site River Baseline'!AN169</f>
        <v/>
      </c>
      <c r="C171" s="175" t="str">
        <f>IF(B171="","",VLOOKUP($B171,'F-1 Off Site River Baseline'!$C$9:$R$257,2,FALSE))</f>
        <v/>
      </c>
      <c r="D171" s="175" t="str">
        <f>IF(C171="","",VLOOKUP($B171,'F-1 Off Site River Baseline'!$C$9:$R$257,3,FALSE))</f>
        <v/>
      </c>
      <c r="E171" s="175" t="str">
        <f>IF(D171="","",VLOOKUP($B171,'F-1 Off Site River Baseline'!$C$9:$R$257,4,FALSE))</f>
        <v/>
      </c>
      <c r="F171" s="175" t="str">
        <f>IF(E171="","",VLOOKUP($B171,'F-1 Off Site River Baseline'!$C$9:$R$257,5,FALSE))</f>
        <v/>
      </c>
      <c r="G171" s="175" t="str">
        <f>IF(F171="","",VLOOKUP($B171,'F-1 Off Site River Baseline'!$C$9:$R$257,6,FALSE))</f>
        <v/>
      </c>
      <c r="H171" s="175" t="str">
        <f>IF(G171="","",VLOOKUP($B171,'F-1 Off Site River Baseline'!$C$9:$R$257,7,FALSE))</f>
        <v/>
      </c>
      <c r="I171" s="175" t="str">
        <f>IF(H171="","",VLOOKUP($B171,'F-1 Off Site River Baseline'!$C$9:$R$257,8,FALSE))</f>
        <v/>
      </c>
      <c r="J171" s="175" t="str">
        <f>IF(I171="","",VLOOKUP($B171,'F-1 Off Site River Baseline'!$C$9:$R$257,9,FALSE))</f>
        <v/>
      </c>
      <c r="K171" s="175" t="str">
        <f>IF(J171="","",VLOOKUP($B171,'F-1 Off Site River Baseline'!$C$9:$R$257,10,FALSE))</f>
        <v/>
      </c>
      <c r="L171" s="175" t="str">
        <f>IF(B171="","",VLOOKUP($B171,'C-1 Site River Baseline'!$C$9:$R$257,15,FALSE))</f>
        <v/>
      </c>
      <c r="M171" s="176" t="str">
        <f>IF(L171="","",VLOOKUP($B171,'F-1 Off Site River Baseline'!$C$9:$R$257,16,FALSE))</f>
        <v/>
      </c>
      <c r="N171" s="639" t="str">
        <f t="shared" si="18"/>
        <v/>
      </c>
      <c r="O171" s="171" t="str">
        <f t="shared" si="19"/>
        <v/>
      </c>
      <c r="P171" s="172" t="str">
        <f>IF(C171="","",IF(AND(LEFT(C171,55)&lt;&gt;LEFT(N171,55),O171="High - High"),"Error - Not like for like",IF(AND(F171=S171,H171&gt;U171),"Error - Can not reduce condition",IF(AND(F171=S171,H171=U171,AJ171='F-1 Off Site River Baseline'!N169,'F-1 Off Site River Baseline'!P169=AL171),"Error - No enhancement",IF(AND(C171&lt;&gt;N171,F171&lt;S171),"Lower Distinctiveness Habitat"&amp;" - "&amp;T171,G171&amp;" - "&amp;T171)))))</f>
        <v/>
      </c>
      <c r="Q171" s="260" t="str">
        <f>IF(N171="","",VLOOKUP(B171,'F-1 Off Site River Baseline'!$C$10:$AA$257,19,FALSE))</f>
        <v/>
      </c>
      <c r="R171" s="171" t="str">
        <f>IF(N171="","",VLOOKUP(N171,'G-7 Rivers Data'!$B$2:$G$8,2,FALSE))</f>
        <v/>
      </c>
      <c r="S171" s="172" t="str">
        <f>IFERROR(VLOOKUP(R171,'G-7 Rivers Data'!$C$4:$D$8,2,FALSE),"")</f>
        <v/>
      </c>
      <c r="T171" s="173"/>
      <c r="U171" s="172" t="str">
        <f>IFERROR(INDEX('G-7 Rivers Data'!$H$4:$L$8,MATCH(N171,'G-7 Rivers Data'!$B$4:$B$8,0),MATCH(T171,'G-7 Rivers Data'!$H$3:$L$3,0)),"")</f>
        <v/>
      </c>
      <c r="V171" s="186"/>
      <c r="W171" s="175" t="str">
        <f>IF(V171="","",IF(VLOOKUP(V171,'G-7 Rivers Data'!$AG$4:$AI$9,2,FALSE)=0,"Spatial Data Missing",VLOOKUP(V171,'G-7 Rivers Data'!$AG$4:$AI$9,2,FALSE)))</f>
        <v/>
      </c>
      <c r="X171" s="176" t="str">
        <f>IF(V171="","",IF(VLOOKUP(V171,'G-7 Rivers Data'!$AG$4:$AI$9,3,FALSE)=0,"Spatial Data Missing",VLOOKUP(V171,'G-7 Rivers Data'!$AG$4:$AI$9,3,FALSE)))</f>
        <v/>
      </c>
      <c r="Y171" s="239" t="str">
        <f>IFERROR(IF(OR(LEFT(P171,5)="Error",LEFT(O171,5)="Error"),"Check Data",IF(F171&lt;S171,'G-7 Rivers Data'!$R$3,INDEX('G-7 Rivers Data'!$U$5:$Y$9,MATCH(G171,'G-7 Rivers Data'!$T$5:$T$9,0),MATCH(T171,'G-7 Rivers Data'!$U$4:$Y$4,0)))),"")</f>
        <v/>
      </c>
      <c r="Z171" s="275"/>
      <c r="AA171" s="275"/>
      <c r="AB171" s="175" t="str">
        <f t="shared" si="20"/>
        <v/>
      </c>
      <c r="AC171" s="262" t="str">
        <f t="shared" si="21"/>
        <v/>
      </c>
      <c r="AD171" s="382" t="str">
        <f>IFERROR(IF(AC171="Check Data","Check Data",VLOOKUP(AC171,'G-4 Temporal multipliers'!$A$4:$C$37,3,FALSE)),"")</f>
        <v/>
      </c>
      <c r="AE171" s="239" t="str">
        <f>IF(N171="","",VLOOKUP(N171,'G-7 Rivers Data'!$B$4:$G$8,5,FALSE))</f>
        <v/>
      </c>
      <c r="AF171" s="175" t="str">
        <f t="shared" si="22"/>
        <v/>
      </c>
      <c r="AG171" s="175" t="str">
        <f t="shared" si="23"/>
        <v/>
      </c>
      <c r="AH171" s="176" t="str">
        <f t="shared" si="17"/>
        <v/>
      </c>
      <c r="AI171" s="173"/>
      <c r="AJ171" s="172" t="str">
        <f>IF(AI171="","",IF(VLOOKUP(AI171,'G-7 Rivers Data'!$AA$4:$AB$7,2,FALSE)=0,"Spatial Data Missing",VLOOKUP(AI171,'G-7 Rivers Data'!$AA$4:$AB$7,2,FALSE)))</f>
        <v/>
      </c>
      <c r="AK171" s="187"/>
      <c r="AL171" s="172" t="str">
        <f>IF(AK171="","",IF(VLOOKUP(AK171,'G-7 Rivers Data'!$AD$4:$AE$8,2,FALSE)=0,"Spatial Data Missing",VLOOKUP(AK171,'G-7 Rivers Data'!$AD$4:$AE$8,2,FALSE)))</f>
        <v/>
      </c>
      <c r="AM171" s="186"/>
      <c r="AN171" s="176" t="str">
        <f>IF(AM171="","",VLOOKUP(AM171,'G-7 Rivers Data'!$AO$4:$AP$7,2,FALSE))</f>
        <v/>
      </c>
      <c r="AO171" s="265" t="str">
        <f t="shared" si="24"/>
        <v/>
      </c>
      <c r="AP171" s="180"/>
      <c r="AQ171" s="181"/>
      <c r="AX171" s="35" t="str">
        <f>IFERROR(INDEX('G-7 Rivers Data'!$AZ$3:$AZ$7,MATCH(N171,'G-7 Rivers Data'!$AY$3:$AY$7,0)),"")</f>
        <v/>
      </c>
    </row>
    <row r="172" spans="2:50" ht="13.8" x14ac:dyDescent="0.25">
      <c r="B172" s="259" t="str">
        <f>'F-1 Off Site River Baseline'!AN170</f>
        <v/>
      </c>
      <c r="C172" s="175" t="str">
        <f>IF(B172="","",VLOOKUP($B172,'F-1 Off Site River Baseline'!$C$9:$R$257,2,FALSE))</f>
        <v/>
      </c>
      <c r="D172" s="175" t="str">
        <f>IF(C172="","",VLOOKUP($B172,'F-1 Off Site River Baseline'!$C$9:$R$257,3,FALSE))</f>
        <v/>
      </c>
      <c r="E172" s="175" t="str">
        <f>IF(D172="","",VLOOKUP($B172,'F-1 Off Site River Baseline'!$C$9:$R$257,4,FALSE))</f>
        <v/>
      </c>
      <c r="F172" s="175" t="str">
        <f>IF(E172="","",VLOOKUP($B172,'F-1 Off Site River Baseline'!$C$9:$R$257,5,FALSE))</f>
        <v/>
      </c>
      <c r="G172" s="175" t="str">
        <f>IF(F172="","",VLOOKUP($B172,'F-1 Off Site River Baseline'!$C$9:$R$257,6,FALSE))</f>
        <v/>
      </c>
      <c r="H172" s="175" t="str">
        <f>IF(G172="","",VLOOKUP($B172,'F-1 Off Site River Baseline'!$C$9:$R$257,7,FALSE))</f>
        <v/>
      </c>
      <c r="I172" s="175" t="str">
        <f>IF(H172="","",VLOOKUP($B172,'F-1 Off Site River Baseline'!$C$9:$R$257,8,FALSE))</f>
        <v/>
      </c>
      <c r="J172" s="175" t="str">
        <f>IF(I172="","",VLOOKUP($B172,'F-1 Off Site River Baseline'!$C$9:$R$257,9,FALSE))</f>
        <v/>
      </c>
      <c r="K172" s="175" t="str">
        <f>IF(J172="","",VLOOKUP($B172,'F-1 Off Site River Baseline'!$C$9:$R$257,10,FALSE))</f>
        <v/>
      </c>
      <c r="L172" s="175" t="str">
        <f>IF(B172="","",VLOOKUP($B172,'C-1 Site River Baseline'!$C$9:$R$257,15,FALSE))</f>
        <v/>
      </c>
      <c r="M172" s="176" t="str">
        <f>IF(L172="","",VLOOKUP($B172,'F-1 Off Site River Baseline'!$C$9:$R$257,16,FALSE))</f>
        <v/>
      </c>
      <c r="N172" s="639" t="str">
        <f t="shared" si="18"/>
        <v/>
      </c>
      <c r="O172" s="171" t="str">
        <f t="shared" si="19"/>
        <v/>
      </c>
      <c r="P172" s="172" t="str">
        <f>IF(C172="","",IF(AND(LEFT(C172,55)&lt;&gt;LEFT(N172,55),O172="High - High"),"Error - Not like for like",IF(AND(F172=S172,H172&gt;U172),"Error - Can not reduce condition",IF(AND(F172=S172,H172=U172,AJ172='F-1 Off Site River Baseline'!N170,'F-1 Off Site River Baseline'!P170=AL172),"Error - No enhancement",IF(AND(C172&lt;&gt;N172,F172&lt;S172),"Lower Distinctiveness Habitat"&amp;" - "&amp;T172,G172&amp;" - "&amp;T172)))))</f>
        <v/>
      </c>
      <c r="Q172" s="260" t="str">
        <f>IF(N172="","",VLOOKUP(B172,'F-1 Off Site River Baseline'!$C$10:$AA$257,19,FALSE))</f>
        <v/>
      </c>
      <c r="R172" s="171" t="str">
        <f>IF(N172="","",VLOOKUP(N172,'G-7 Rivers Data'!$B$2:$G$8,2,FALSE))</f>
        <v/>
      </c>
      <c r="S172" s="172" t="str">
        <f>IFERROR(VLOOKUP(R172,'G-7 Rivers Data'!$C$4:$D$8,2,FALSE),"")</f>
        <v/>
      </c>
      <c r="T172" s="173"/>
      <c r="U172" s="172" t="str">
        <f>IFERROR(INDEX('G-7 Rivers Data'!$H$4:$L$8,MATCH(N172,'G-7 Rivers Data'!$B$4:$B$8,0),MATCH(T172,'G-7 Rivers Data'!$H$3:$L$3,0)),"")</f>
        <v/>
      </c>
      <c r="V172" s="186"/>
      <c r="W172" s="175" t="str">
        <f>IF(V172="","",IF(VLOOKUP(V172,'G-7 Rivers Data'!$AG$4:$AI$9,2,FALSE)=0,"Spatial Data Missing",VLOOKUP(V172,'G-7 Rivers Data'!$AG$4:$AI$9,2,FALSE)))</f>
        <v/>
      </c>
      <c r="X172" s="176" t="str">
        <f>IF(V172="","",IF(VLOOKUP(V172,'G-7 Rivers Data'!$AG$4:$AI$9,3,FALSE)=0,"Spatial Data Missing",VLOOKUP(V172,'G-7 Rivers Data'!$AG$4:$AI$9,3,FALSE)))</f>
        <v/>
      </c>
      <c r="Y172" s="239" t="str">
        <f>IFERROR(IF(OR(LEFT(P172,5)="Error",LEFT(O172,5)="Error"),"Check Data",IF(F172&lt;S172,'G-7 Rivers Data'!$R$3,INDEX('G-7 Rivers Data'!$U$5:$Y$9,MATCH(G172,'G-7 Rivers Data'!$T$5:$T$9,0),MATCH(T172,'G-7 Rivers Data'!$U$4:$Y$4,0)))),"")</f>
        <v/>
      </c>
      <c r="Z172" s="275"/>
      <c r="AA172" s="275"/>
      <c r="AB172" s="175" t="str">
        <f t="shared" si="20"/>
        <v/>
      </c>
      <c r="AC172" s="262" t="str">
        <f t="shared" si="21"/>
        <v/>
      </c>
      <c r="AD172" s="382" t="str">
        <f>IFERROR(IF(AC172="Check Data","Check Data",VLOOKUP(AC172,'G-4 Temporal multipliers'!$A$4:$C$37,3,FALSE)),"")</f>
        <v/>
      </c>
      <c r="AE172" s="239" t="str">
        <f>IF(N172="","",VLOOKUP(N172,'G-7 Rivers Data'!$B$4:$G$8,5,FALSE))</f>
        <v/>
      </c>
      <c r="AF172" s="175" t="str">
        <f t="shared" si="22"/>
        <v/>
      </c>
      <c r="AG172" s="175" t="str">
        <f t="shared" si="23"/>
        <v/>
      </c>
      <c r="AH172" s="176" t="str">
        <f t="shared" si="17"/>
        <v/>
      </c>
      <c r="AI172" s="173"/>
      <c r="AJ172" s="172" t="str">
        <f>IF(AI172="","",IF(VLOOKUP(AI172,'G-7 Rivers Data'!$AA$4:$AB$7,2,FALSE)=0,"Spatial Data Missing",VLOOKUP(AI172,'G-7 Rivers Data'!$AA$4:$AB$7,2,FALSE)))</f>
        <v/>
      </c>
      <c r="AK172" s="187"/>
      <c r="AL172" s="172" t="str">
        <f>IF(AK172="","",IF(VLOOKUP(AK172,'G-7 Rivers Data'!$AD$4:$AE$8,2,FALSE)=0,"Spatial Data Missing",VLOOKUP(AK172,'G-7 Rivers Data'!$AD$4:$AE$8,2,FALSE)))</f>
        <v/>
      </c>
      <c r="AM172" s="186"/>
      <c r="AN172" s="176" t="str">
        <f>IF(AM172="","",VLOOKUP(AM172,'G-7 Rivers Data'!$AO$4:$AP$7,2,FALSE))</f>
        <v/>
      </c>
      <c r="AO172" s="265" t="str">
        <f t="shared" si="24"/>
        <v/>
      </c>
      <c r="AP172" s="180"/>
      <c r="AQ172" s="181"/>
      <c r="AX172" s="35" t="str">
        <f>IFERROR(INDEX('G-7 Rivers Data'!$AZ$3:$AZ$7,MATCH(N172,'G-7 Rivers Data'!$AY$3:$AY$7,0)),"")</f>
        <v/>
      </c>
    </row>
    <row r="173" spans="2:50" ht="13.8" x14ac:dyDescent="0.25">
      <c r="B173" s="259" t="str">
        <f>'F-1 Off Site River Baseline'!AN171</f>
        <v/>
      </c>
      <c r="C173" s="175" t="str">
        <f>IF(B173="","",VLOOKUP($B173,'F-1 Off Site River Baseline'!$C$9:$R$257,2,FALSE))</f>
        <v/>
      </c>
      <c r="D173" s="175" t="str">
        <f>IF(C173="","",VLOOKUP($B173,'F-1 Off Site River Baseline'!$C$9:$R$257,3,FALSE))</f>
        <v/>
      </c>
      <c r="E173" s="175" t="str">
        <f>IF(D173="","",VLOOKUP($B173,'F-1 Off Site River Baseline'!$C$9:$R$257,4,FALSE))</f>
        <v/>
      </c>
      <c r="F173" s="175" t="str">
        <f>IF(E173="","",VLOOKUP($B173,'F-1 Off Site River Baseline'!$C$9:$R$257,5,FALSE))</f>
        <v/>
      </c>
      <c r="G173" s="175" t="str">
        <f>IF(F173="","",VLOOKUP($B173,'F-1 Off Site River Baseline'!$C$9:$R$257,6,FALSE))</f>
        <v/>
      </c>
      <c r="H173" s="175" t="str">
        <f>IF(G173="","",VLOOKUP($B173,'F-1 Off Site River Baseline'!$C$9:$R$257,7,FALSE))</f>
        <v/>
      </c>
      <c r="I173" s="175" t="str">
        <f>IF(H173="","",VLOOKUP($B173,'F-1 Off Site River Baseline'!$C$9:$R$257,8,FALSE))</f>
        <v/>
      </c>
      <c r="J173" s="175" t="str">
        <f>IF(I173="","",VLOOKUP($B173,'F-1 Off Site River Baseline'!$C$9:$R$257,9,FALSE))</f>
        <v/>
      </c>
      <c r="K173" s="175" t="str">
        <f>IF(J173="","",VLOOKUP($B173,'F-1 Off Site River Baseline'!$C$9:$R$257,10,FALSE))</f>
        <v/>
      </c>
      <c r="L173" s="175" t="str">
        <f>IF(B173="","",VLOOKUP($B173,'C-1 Site River Baseline'!$C$9:$R$257,15,FALSE))</f>
        <v/>
      </c>
      <c r="M173" s="176" t="str">
        <f>IF(L173="","",VLOOKUP($B173,'F-1 Off Site River Baseline'!$C$9:$R$257,16,FALSE))</f>
        <v/>
      </c>
      <c r="N173" s="639" t="str">
        <f t="shared" si="18"/>
        <v/>
      </c>
      <c r="O173" s="171" t="str">
        <f t="shared" si="19"/>
        <v/>
      </c>
      <c r="P173" s="172" t="str">
        <f>IF(C173="","",IF(AND(LEFT(C173,55)&lt;&gt;LEFT(N173,55),O173="High - High"),"Error - Not like for like",IF(AND(F173=S173,H173&gt;U173),"Error - Can not reduce condition",IF(AND(F173=S173,H173=U173,AJ173='F-1 Off Site River Baseline'!N171,'F-1 Off Site River Baseline'!P171=AL173),"Error - No enhancement",IF(AND(C173&lt;&gt;N173,F173&lt;S173),"Lower Distinctiveness Habitat"&amp;" - "&amp;T173,G173&amp;" - "&amp;T173)))))</f>
        <v/>
      </c>
      <c r="Q173" s="260" t="str">
        <f>IF(N173="","",VLOOKUP(B173,'F-1 Off Site River Baseline'!$C$10:$AA$257,19,FALSE))</f>
        <v/>
      </c>
      <c r="R173" s="171" t="str">
        <f>IF(N173="","",VLOOKUP(N173,'G-7 Rivers Data'!$B$2:$G$8,2,FALSE))</f>
        <v/>
      </c>
      <c r="S173" s="172" t="str">
        <f>IFERROR(VLOOKUP(R173,'G-7 Rivers Data'!$C$4:$D$8,2,FALSE),"")</f>
        <v/>
      </c>
      <c r="T173" s="173"/>
      <c r="U173" s="172" t="str">
        <f>IFERROR(INDEX('G-7 Rivers Data'!$H$4:$L$8,MATCH(N173,'G-7 Rivers Data'!$B$4:$B$8,0),MATCH(T173,'G-7 Rivers Data'!$H$3:$L$3,0)),"")</f>
        <v/>
      </c>
      <c r="V173" s="186"/>
      <c r="W173" s="175" t="str">
        <f>IF(V173="","",IF(VLOOKUP(V173,'G-7 Rivers Data'!$AG$4:$AI$9,2,FALSE)=0,"Spatial Data Missing",VLOOKUP(V173,'G-7 Rivers Data'!$AG$4:$AI$9,2,FALSE)))</f>
        <v/>
      </c>
      <c r="X173" s="176" t="str">
        <f>IF(V173="","",IF(VLOOKUP(V173,'G-7 Rivers Data'!$AG$4:$AI$9,3,FALSE)=0,"Spatial Data Missing",VLOOKUP(V173,'G-7 Rivers Data'!$AG$4:$AI$9,3,FALSE)))</f>
        <v/>
      </c>
      <c r="Y173" s="239" t="str">
        <f>IFERROR(IF(OR(LEFT(P173,5)="Error",LEFT(O173,5)="Error"),"Check Data",IF(F173&lt;S173,'G-7 Rivers Data'!$R$3,INDEX('G-7 Rivers Data'!$U$5:$Y$9,MATCH(G173,'G-7 Rivers Data'!$T$5:$T$9,0),MATCH(T173,'G-7 Rivers Data'!$U$4:$Y$4,0)))),"")</f>
        <v/>
      </c>
      <c r="Z173" s="275"/>
      <c r="AA173" s="275"/>
      <c r="AB173" s="175" t="str">
        <f t="shared" si="20"/>
        <v/>
      </c>
      <c r="AC173" s="262" t="str">
        <f t="shared" si="21"/>
        <v/>
      </c>
      <c r="AD173" s="382" t="str">
        <f>IFERROR(IF(AC173="Check Data","Check Data",VLOOKUP(AC173,'G-4 Temporal multipliers'!$A$4:$C$37,3,FALSE)),"")</f>
        <v/>
      </c>
      <c r="AE173" s="239" t="str">
        <f>IF(N173="","",VLOOKUP(N173,'G-7 Rivers Data'!$B$4:$G$8,5,FALSE))</f>
        <v/>
      </c>
      <c r="AF173" s="175" t="str">
        <f t="shared" si="22"/>
        <v/>
      </c>
      <c r="AG173" s="175" t="str">
        <f t="shared" si="23"/>
        <v/>
      </c>
      <c r="AH173" s="176" t="str">
        <f t="shared" si="17"/>
        <v/>
      </c>
      <c r="AI173" s="173"/>
      <c r="AJ173" s="172" t="str">
        <f>IF(AI173="","",IF(VLOOKUP(AI173,'G-7 Rivers Data'!$AA$4:$AB$7,2,FALSE)=0,"Spatial Data Missing",VLOOKUP(AI173,'G-7 Rivers Data'!$AA$4:$AB$7,2,FALSE)))</f>
        <v/>
      </c>
      <c r="AK173" s="187"/>
      <c r="AL173" s="172" t="str">
        <f>IF(AK173="","",IF(VLOOKUP(AK173,'G-7 Rivers Data'!$AD$4:$AE$8,2,FALSE)=0,"Spatial Data Missing",VLOOKUP(AK173,'G-7 Rivers Data'!$AD$4:$AE$8,2,FALSE)))</f>
        <v/>
      </c>
      <c r="AM173" s="186"/>
      <c r="AN173" s="176" t="str">
        <f>IF(AM173="","",VLOOKUP(AM173,'G-7 Rivers Data'!$AO$4:$AP$7,2,FALSE))</f>
        <v/>
      </c>
      <c r="AO173" s="265" t="str">
        <f t="shared" si="24"/>
        <v/>
      </c>
      <c r="AP173" s="180"/>
      <c r="AQ173" s="181"/>
      <c r="AX173" s="35" t="str">
        <f>IFERROR(INDEX('G-7 Rivers Data'!$AZ$3:$AZ$7,MATCH(N173,'G-7 Rivers Data'!$AY$3:$AY$7,0)),"")</f>
        <v/>
      </c>
    </row>
    <row r="174" spans="2:50" ht="13.8" x14ac:dyDescent="0.25">
      <c r="B174" s="259" t="str">
        <f>'F-1 Off Site River Baseline'!AN172</f>
        <v/>
      </c>
      <c r="C174" s="175" t="str">
        <f>IF(B174="","",VLOOKUP($B174,'F-1 Off Site River Baseline'!$C$9:$R$257,2,FALSE))</f>
        <v/>
      </c>
      <c r="D174" s="175" t="str">
        <f>IF(C174="","",VLOOKUP($B174,'F-1 Off Site River Baseline'!$C$9:$R$257,3,FALSE))</f>
        <v/>
      </c>
      <c r="E174" s="175" t="str">
        <f>IF(D174="","",VLOOKUP($B174,'F-1 Off Site River Baseline'!$C$9:$R$257,4,FALSE))</f>
        <v/>
      </c>
      <c r="F174" s="175" t="str">
        <f>IF(E174="","",VLOOKUP($B174,'F-1 Off Site River Baseline'!$C$9:$R$257,5,FALSE))</f>
        <v/>
      </c>
      <c r="G174" s="175" t="str">
        <f>IF(F174="","",VLOOKUP($B174,'F-1 Off Site River Baseline'!$C$9:$R$257,6,FALSE))</f>
        <v/>
      </c>
      <c r="H174" s="175" t="str">
        <f>IF(G174="","",VLOOKUP($B174,'F-1 Off Site River Baseline'!$C$9:$R$257,7,FALSE))</f>
        <v/>
      </c>
      <c r="I174" s="175" t="str">
        <f>IF(H174="","",VLOOKUP($B174,'F-1 Off Site River Baseline'!$C$9:$R$257,8,FALSE))</f>
        <v/>
      </c>
      <c r="J174" s="175" t="str">
        <f>IF(I174="","",VLOOKUP($B174,'F-1 Off Site River Baseline'!$C$9:$R$257,9,FALSE))</f>
        <v/>
      </c>
      <c r="K174" s="175" t="str">
        <f>IF(J174="","",VLOOKUP($B174,'F-1 Off Site River Baseline'!$C$9:$R$257,10,FALSE))</f>
        <v/>
      </c>
      <c r="L174" s="175" t="str">
        <f>IF(B174="","",VLOOKUP($B174,'C-1 Site River Baseline'!$C$9:$R$257,15,FALSE))</f>
        <v/>
      </c>
      <c r="M174" s="176" t="str">
        <f>IF(L174="","",VLOOKUP($B174,'F-1 Off Site River Baseline'!$C$9:$R$257,16,FALSE))</f>
        <v/>
      </c>
      <c r="N174" s="639" t="str">
        <f t="shared" si="18"/>
        <v/>
      </c>
      <c r="O174" s="171" t="str">
        <f t="shared" si="19"/>
        <v/>
      </c>
      <c r="P174" s="172" t="str">
        <f>IF(C174="","",IF(AND(LEFT(C174,55)&lt;&gt;LEFT(N174,55),O174="High - High"),"Error - Not like for like",IF(AND(F174=S174,H174&gt;U174),"Error - Can not reduce condition",IF(AND(F174=S174,H174=U174,AJ174='F-1 Off Site River Baseline'!N172,'F-1 Off Site River Baseline'!P172=AL174),"Error - No enhancement",IF(AND(C174&lt;&gt;N174,F174&lt;S174),"Lower Distinctiveness Habitat"&amp;" - "&amp;T174,G174&amp;" - "&amp;T174)))))</f>
        <v/>
      </c>
      <c r="Q174" s="260" t="str">
        <f>IF(N174="","",VLOOKUP(B174,'F-1 Off Site River Baseline'!$C$10:$AA$257,19,FALSE))</f>
        <v/>
      </c>
      <c r="R174" s="171" t="str">
        <f>IF(N174="","",VLOOKUP(N174,'G-7 Rivers Data'!$B$2:$G$8,2,FALSE))</f>
        <v/>
      </c>
      <c r="S174" s="172" t="str">
        <f>IFERROR(VLOOKUP(R174,'G-7 Rivers Data'!$C$4:$D$8,2,FALSE),"")</f>
        <v/>
      </c>
      <c r="T174" s="173"/>
      <c r="U174" s="172" t="str">
        <f>IFERROR(INDEX('G-7 Rivers Data'!$H$4:$L$8,MATCH(N174,'G-7 Rivers Data'!$B$4:$B$8,0),MATCH(T174,'G-7 Rivers Data'!$H$3:$L$3,0)),"")</f>
        <v/>
      </c>
      <c r="V174" s="186"/>
      <c r="W174" s="175" t="str">
        <f>IF(V174="","",IF(VLOOKUP(V174,'G-7 Rivers Data'!$AG$4:$AI$9,2,FALSE)=0,"Spatial Data Missing",VLOOKUP(V174,'G-7 Rivers Data'!$AG$4:$AI$9,2,FALSE)))</f>
        <v/>
      </c>
      <c r="X174" s="176" t="str">
        <f>IF(V174="","",IF(VLOOKUP(V174,'G-7 Rivers Data'!$AG$4:$AI$9,3,FALSE)=0,"Spatial Data Missing",VLOOKUP(V174,'G-7 Rivers Data'!$AG$4:$AI$9,3,FALSE)))</f>
        <v/>
      </c>
      <c r="Y174" s="239" t="str">
        <f>IFERROR(IF(OR(LEFT(P174,5)="Error",LEFT(O174,5)="Error"),"Check Data",IF(F174&lt;S174,'G-7 Rivers Data'!$R$3,INDEX('G-7 Rivers Data'!$U$5:$Y$9,MATCH(G174,'G-7 Rivers Data'!$T$5:$T$9,0),MATCH(T174,'G-7 Rivers Data'!$U$4:$Y$4,0)))),"")</f>
        <v/>
      </c>
      <c r="Z174" s="275"/>
      <c r="AA174" s="275"/>
      <c r="AB174" s="175" t="str">
        <f t="shared" si="20"/>
        <v/>
      </c>
      <c r="AC174" s="262" t="str">
        <f t="shared" si="21"/>
        <v/>
      </c>
      <c r="AD174" s="382" t="str">
        <f>IFERROR(IF(AC174="Check Data","Check Data",VLOOKUP(AC174,'G-4 Temporal multipliers'!$A$4:$C$37,3,FALSE)),"")</f>
        <v/>
      </c>
      <c r="AE174" s="239" t="str">
        <f>IF(N174="","",VLOOKUP(N174,'G-7 Rivers Data'!$B$4:$G$8,5,FALSE))</f>
        <v/>
      </c>
      <c r="AF174" s="175" t="str">
        <f t="shared" si="22"/>
        <v/>
      </c>
      <c r="AG174" s="175" t="str">
        <f t="shared" si="23"/>
        <v/>
      </c>
      <c r="AH174" s="176" t="str">
        <f t="shared" si="17"/>
        <v/>
      </c>
      <c r="AI174" s="173"/>
      <c r="AJ174" s="172" t="str">
        <f>IF(AI174="","",IF(VLOOKUP(AI174,'G-7 Rivers Data'!$AA$4:$AB$7,2,FALSE)=0,"Spatial Data Missing",VLOOKUP(AI174,'G-7 Rivers Data'!$AA$4:$AB$7,2,FALSE)))</f>
        <v/>
      </c>
      <c r="AK174" s="187"/>
      <c r="AL174" s="172" t="str">
        <f>IF(AK174="","",IF(VLOOKUP(AK174,'G-7 Rivers Data'!$AD$4:$AE$8,2,FALSE)=0,"Spatial Data Missing",VLOOKUP(AK174,'G-7 Rivers Data'!$AD$4:$AE$8,2,FALSE)))</f>
        <v/>
      </c>
      <c r="AM174" s="186"/>
      <c r="AN174" s="176" t="str">
        <f>IF(AM174="","",VLOOKUP(AM174,'G-7 Rivers Data'!$AO$4:$AP$7,2,FALSE))</f>
        <v/>
      </c>
      <c r="AO174" s="265" t="str">
        <f t="shared" si="24"/>
        <v/>
      </c>
      <c r="AP174" s="180"/>
      <c r="AQ174" s="181"/>
      <c r="AX174" s="35" t="str">
        <f>IFERROR(INDEX('G-7 Rivers Data'!$AZ$3:$AZ$7,MATCH(N174,'G-7 Rivers Data'!$AY$3:$AY$7,0)),"")</f>
        <v/>
      </c>
    </row>
    <row r="175" spans="2:50" ht="13.8" x14ac:dyDescent="0.25">
      <c r="B175" s="259" t="str">
        <f>'F-1 Off Site River Baseline'!AN173</f>
        <v/>
      </c>
      <c r="C175" s="175" t="str">
        <f>IF(B175="","",VLOOKUP($B175,'F-1 Off Site River Baseline'!$C$9:$R$257,2,FALSE))</f>
        <v/>
      </c>
      <c r="D175" s="175" t="str">
        <f>IF(C175="","",VLOOKUP($B175,'F-1 Off Site River Baseline'!$C$9:$R$257,3,FALSE))</f>
        <v/>
      </c>
      <c r="E175" s="175" t="str">
        <f>IF(D175="","",VLOOKUP($B175,'F-1 Off Site River Baseline'!$C$9:$R$257,4,FALSE))</f>
        <v/>
      </c>
      <c r="F175" s="175" t="str">
        <f>IF(E175="","",VLOOKUP($B175,'F-1 Off Site River Baseline'!$C$9:$R$257,5,FALSE))</f>
        <v/>
      </c>
      <c r="G175" s="175" t="str">
        <f>IF(F175="","",VLOOKUP($B175,'F-1 Off Site River Baseline'!$C$9:$R$257,6,FALSE))</f>
        <v/>
      </c>
      <c r="H175" s="175" t="str">
        <f>IF(G175="","",VLOOKUP($B175,'F-1 Off Site River Baseline'!$C$9:$R$257,7,FALSE))</f>
        <v/>
      </c>
      <c r="I175" s="175" t="str">
        <f>IF(H175="","",VLOOKUP($B175,'F-1 Off Site River Baseline'!$C$9:$R$257,8,FALSE))</f>
        <v/>
      </c>
      <c r="J175" s="175" t="str">
        <f>IF(I175="","",VLOOKUP($B175,'F-1 Off Site River Baseline'!$C$9:$R$257,9,FALSE))</f>
        <v/>
      </c>
      <c r="K175" s="175" t="str">
        <f>IF(J175="","",VLOOKUP($B175,'F-1 Off Site River Baseline'!$C$9:$R$257,10,FALSE))</f>
        <v/>
      </c>
      <c r="L175" s="175" t="str">
        <f>IF(B175="","",VLOOKUP($B175,'C-1 Site River Baseline'!$C$9:$R$257,15,FALSE))</f>
        <v/>
      </c>
      <c r="M175" s="176" t="str">
        <f>IF(L175="","",VLOOKUP($B175,'F-1 Off Site River Baseline'!$C$9:$R$257,16,FALSE))</f>
        <v/>
      </c>
      <c r="N175" s="639" t="str">
        <f t="shared" si="18"/>
        <v/>
      </c>
      <c r="O175" s="171" t="str">
        <f t="shared" si="19"/>
        <v/>
      </c>
      <c r="P175" s="172" t="str">
        <f>IF(C175="","",IF(AND(LEFT(C175,55)&lt;&gt;LEFT(N175,55),O175="High - High"),"Error - Not like for like",IF(AND(F175=S175,H175&gt;U175),"Error - Can not reduce condition",IF(AND(F175=S175,H175=U175,AJ175='F-1 Off Site River Baseline'!N173,'F-1 Off Site River Baseline'!P173=AL175),"Error - No enhancement",IF(AND(C175&lt;&gt;N175,F175&lt;S175),"Lower Distinctiveness Habitat"&amp;" - "&amp;T175,G175&amp;" - "&amp;T175)))))</f>
        <v/>
      </c>
      <c r="Q175" s="260" t="str">
        <f>IF(N175="","",VLOOKUP(B175,'F-1 Off Site River Baseline'!$C$10:$AA$257,19,FALSE))</f>
        <v/>
      </c>
      <c r="R175" s="171" t="str">
        <f>IF(N175="","",VLOOKUP(N175,'G-7 Rivers Data'!$B$2:$G$8,2,FALSE))</f>
        <v/>
      </c>
      <c r="S175" s="172" t="str">
        <f>IFERROR(VLOOKUP(R175,'G-7 Rivers Data'!$C$4:$D$8,2,FALSE),"")</f>
        <v/>
      </c>
      <c r="T175" s="173"/>
      <c r="U175" s="172" t="str">
        <f>IFERROR(INDEX('G-7 Rivers Data'!$H$4:$L$8,MATCH(N175,'G-7 Rivers Data'!$B$4:$B$8,0),MATCH(T175,'G-7 Rivers Data'!$H$3:$L$3,0)),"")</f>
        <v/>
      </c>
      <c r="V175" s="186"/>
      <c r="W175" s="175" t="str">
        <f>IF(V175="","",IF(VLOOKUP(V175,'G-7 Rivers Data'!$AG$4:$AI$9,2,FALSE)=0,"Spatial Data Missing",VLOOKUP(V175,'G-7 Rivers Data'!$AG$4:$AI$9,2,FALSE)))</f>
        <v/>
      </c>
      <c r="X175" s="176" t="str">
        <f>IF(V175="","",IF(VLOOKUP(V175,'G-7 Rivers Data'!$AG$4:$AI$9,3,FALSE)=0,"Spatial Data Missing",VLOOKUP(V175,'G-7 Rivers Data'!$AG$4:$AI$9,3,FALSE)))</f>
        <v/>
      </c>
      <c r="Y175" s="239" t="str">
        <f>IFERROR(IF(OR(LEFT(P175,5)="Error",LEFT(O175,5)="Error"),"Check Data",IF(F175&lt;S175,'G-7 Rivers Data'!$R$3,INDEX('G-7 Rivers Data'!$U$5:$Y$9,MATCH(G175,'G-7 Rivers Data'!$T$5:$T$9,0),MATCH(T175,'G-7 Rivers Data'!$U$4:$Y$4,0)))),"")</f>
        <v/>
      </c>
      <c r="Z175" s="275"/>
      <c r="AA175" s="275"/>
      <c r="AB175" s="175" t="str">
        <f t="shared" si="20"/>
        <v/>
      </c>
      <c r="AC175" s="262" t="str">
        <f t="shared" si="21"/>
        <v/>
      </c>
      <c r="AD175" s="382" t="str">
        <f>IFERROR(IF(AC175="Check Data","Check Data",VLOOKUP(AC175,'G-4 Temporal multipliers'!$A$4:$C$37,3,FALSE)),"")</f>
        <v/>
      </c>
      <c r="AE175" s="239" t="str">
        <f>IF(N175="","",VLOOKUP(N175,'G-7 Rivers Data'!$B$4:$G$8,5,FALSE))</f>
        <v/>
      </c>
      <c r="AF175" s="175" t="str">
        <f t="shared" si="22"/>
        <v/>
      </c>
      <c r="AG175" s="175" t="str">
        <f t="shared" si="23"/>
        <v/>
      </c>
      <c r="AH175" s="176" t="str">
        <f t="shared" si="17"/>
        <v/>
      </c>
      <c r="AI175" s="173"/>
      <c r="AJ175" s="172" t="str">
        <f>IF(AI175="","",IF(VLOOKUP(AI175,'G-7 Rivers Data'!$AA$4:$AB$7,2,FALSE)=0,"Spatial Data Missing",VLOOKUP(AI175,'G-7 Rivers Data'!$AA$4:$AB$7,2,FALSE)))</f>
        <v/>
      </c>
      <c r="AK175" s="187"/>
      <c r="AL175" s="172" t="str">
        <f>IF(AK175="","",IF(VLOOKUP(AK175,'G-7 Rivers Data'!$AD$4:$AE$8,2,FALSE)=0,"Spatial Data Missing",VLOOKUP(AK175,'G-7 Rivers Data'!$AD$4:$AE$8,2,FALSE)))</f>
        <v/>
      </c>
      <c r="AM175" s="186"/>
      <c r="AN175" s="176" t="str">
        <f>IF(AM175="","",VLOOKUP(AM175,'G-7 Rivers Data'!$AO$4:$AP$7,2,FALSE))</f>
        <v/>
      </c>
      <c r="AO175" s="265" t="str">
        <f t="shared" si="24"/>
        <v/>
      </c>
      <c r="AP175" s="180"/>
      <c r="AQ175" s="181"/>
      <c r="AX175" s="35" t="str">
        <f>IFERROR(INDEX('G-7 Rivers Data'!$AZ$3:$AZ$7,MATCH(N175,'G-7 Rivers Data'!$AY$3:$AY$7,0)),"")</f>
        <v/>
      </c>
    </row>
    <row r="176" spans="2:50" ht="13.8" x14ac:dyDescent="0.25">
      <c r="B176" s="259" t="str">
        <f>'F-1 Off Site River Baseline'!AN174</f>
        <v/>
      </c>
      <c r="C176" s="175" t="str">
        <f>IF(B176="","",VLOOKUP($B176,'F-1 Off Site River Baseline'!$C$9:$R$257,2,FALSE))</f>
        <v/>
      </c>
      <c r="D176" s="175" t="str">
        <f>IF(C176="","",VLOOKUP($B176,'F-1 Off Site River Baseline'!$C$9:$R$257,3,FALSE))</f>
        <v/>
      </c>
      <c r="E176" s="175" t="str">
        <f>IF(D176="","",VLOOKUP($B176,'F-1 Off Site River Baseline'!$C$9:$R$257,4,FALSE))</f>
        <v/>
      </c>
      <c r="F176" s="175" t="str">
        <f>IF(E176="","",VLOOKUP($B176,'F-1 Off Site River Baseline'!$C$9:$R$257,5,FALSE))</f>
        <v/>
      </c>
      <c r="G176" s="175" t="str">
        <f>IF(F176="","",VLOOKUP($B176,'F-1 Off Site River Baseline'!$C$9:$R$257,6,FALSE))</f>
        <v/>
      </c>
      <c r="H176" s="175" t="str">
        <f>IF(G176="","",VLOOKUP($B176,'F-1 Off Site River Baseline'!$C$9:$R$257,7,FALSE))</f>
        <v/>
      </c>
      <c r="I176" s="175" t="str">
        <f>IF(H176="","",VLOOKUP($B176,'F-1 Off Site River Baseline'!$C$9:$R$257,8,FALSE))</f>
        <v/>
      </c>
      <c r="J176" s="175" t="str">
        <f>IF(I176="","",VLOOKUP($B176,'F-1 Off Site River Baseline'!$C$9:$R$257,9,FALSE))</f>
        <v/>
      </c>
      <c r="K176" s="175" t="str">
        <f>IF(J176="","",VLOOKUP($B176,'F-1 Off Site River Baseline'!$C$9:$R$257,10,FALSE))</f>
        <v/>
      </c>
      <c r="L176" s="175" t="str">
        <f>IF(B176="","",VLOOKUP($B176,'C-1 Site River Baseline'!$C$9:$R$257,15,FALSE))</f>
        <v/>
      </c>
      <c r="M176" s="176" t="str">
        <f>IF(L176="","",VLOOKUP($B176,'F-1 Off Site River Baseline'!$C$9:$R$257,16,FALSE))</f>
        <v/>
      </c>
      <c r="N176" s="639" t="str">
        <f t="shared" si="18"/>
        <v/>
      </c>
      <c r="O176" s="171" t="str">
        <f t="shared" si="19"/>
        <v/>
      </c>
      <c r="P176" s="172" t="str">
        <f>IF(C176="","",IF(AND(LEFT(C176,55)&lt;&gt;LEFT(N176,55),O176="High - High"),"Error - Not like for like",IF(AND(F176=S176,H176&gt;U176),"Error - Can not reduce condition",IF(AND(F176=S176,H176=U176,AJ176='F-1 Off Site River Baseline'!N174,'F-1 Off Site River Baseline'!P174=AL176),"Error - No enhancement",IF(AND(C176&lt;&gt;N176,F176&lt;S176),"Lower Distinctiveness Habitat"&amp;" - "&amp;T176,G176&amp;" - "&amp;T176)))))</f>
        <v/>
      </c>
      <c r="Q176" s="260" t="str">
        <f>IF(N176="","",VLOOKUP(B176,'F-1 Off Site River Baseline'!$C$10:$AA$257,19,FALSE))</f>
        <v/>
      </c>
      <c r="R176" s="171" t="str">
        <f>IF(N176="","",VLOOKUP(N176,'G-7 Rivers Data'!$B$2:$G$8,2,FALSE))</f>
        <v/>
      </c>
      <c r="S176" s="172" t="str">
        <f>IFERROR(VLOOKUP(R176,'G-7 Rivers Data'!$C$4:$D$8,2,FALSE),"")</f>
        <v/>
      </c>
      <c r="T176" s="173"/>
      <c r="U176" s="172" t="str">
        <f>IFERROR(INDEX('G-7 Rivers Data'!$H$4:$L$8,MATCH(N176,'G-7 Rivers Data'!$B$4:$B$8,0),MATCH(T176,'G-7 Rivers Data'!$H$3:$L$3,0)),"")</f>
        <v/>
      </c>
      <c r="V176" s="186"/>
      <c r="W176" s="175" t="str">
        <f>IF(V176="","",IF(VLOOKUP(V176,'G-7 Rivers Data'!$AG$4:$AI$9,2,FALSE)=0,"Spatial Data Missing",VLOOKUP(V176,'G-7 Rivers Data'!$AG$4:$AI$9,2,FALSE)))</f>
        <v/>
      </c>
      <c r="X176" s="176" t="str">
        <f>IF(V176="","",IF(VLOOKUP(V176,'G-7 Rivers Data'!$AG$4:$AI$9,3,FALSE)=0,"Spatial Data Missing",VLOOKUP(V176,'G-7 Rivers Data'!$AG$4:$AI$9,3,FALSE)))</f>
        <v/>
      </c>
      <c r="Y176" s="239" t="str">
        <f>IFERROR(IF(OR(LEFT(P176,5)="Error",LEFT(O176,5)="Error"),"Check Data",IF(F176&lt;S176,'G-7 Rivers Data'!$R$3,INDEX('G-7 Rivers Data'!$U$5:$Y$9,MATCH(G176,'G-7 Rivers Data'!$T$5:$T$9,0),MATCH(T176,'G-7 Rivers Data'!$U$4:$Y$4,0)))),"")</f>
        <v/>
      </c>
      <c r="Z176" s="275"/>
      <c r="AA176" s="275"/>
      <c r="AB176" s="175" t="str">
        <f t="shared" si="20"/>
        <v/>
      </c>
      <c r="AC176" s="262" t="str">
        <f t="shared" si="21"/>
        <v/>
      </c>
      <c r="AD176" s="382" t="str">
        <f>IFERROR(IF(AC176="Check Data","Check Data",VLOOKUP(AC176,'G-4 Temporal multipliers'!$A$4:$C$37,3,FALSE)),"")</f>
        <v/>
      </c>
      <c r="AE176" s="239" t="str">
        <f>IF(N176="","",VLOOKUP(N176,'G-7 Rivers Data'!$B$4:$G$8,5,FALSE))</f>
        <v/>
      </c>
      <c r="AF176" s="175" t="str">
        <f t="shared" si="22"/>
        <v/>
      </c>
      <c r="AG176" s="175" t="str">
        <f t="shared" si="23"/>
        <v/>
      </c>
      <c r="AH176" s="176" t="str">
        <f t="shared" si="17"/>
        <v/>
      </c>
      <c r="AI176" s="173"/>
      <c r="AJ176" s="172" t="str">
        <f>IF(AI176="","",IF(VLOOKUP(AI176,'G-7 Rivers Data'!$AA$4:$AB$7,2,FALSE)=0,"Spatial Data Missing",VLOOKUP(AI176,'G-7 Rivers Data'!$AA$4:$AB$7,2,FALSE)))</f>
        <v/>
      </c>
      <c r="AK176" s="187"/>
      <c r="AL176" s="172" t="str">
        <f>IF(AK176="","",IF(VLOOKUP(AK176,'G-7 Rivers Data'!$AD$4:$AE$8,2,FALSE)=0,"Spatial Data Missing",VLOOKUP(AK176,'G-7 Rivers Data'!$AD$4:$AE$8,2,FALSE)))</f>
        <v/>
      </c>
      <c r="AM176" s="186"/>
      <c r="AN176" s="176" t="str">
        <f>IF(AM176="","",VLOOKUP(AM176,'G-7 Rivers Data'!$AO$4:$AP$7,2,FALSE))</f>
        <v/>
      </c>
      <c r="AO176" s="265" t="str">
        <f t="shared" si="24"/>
        <v/>
      </c>
      <c r="AP176" s="180"/>
      <c r="AQ176" s="181"/>
      <c r="AX176" s="35" t="str">
        <f>IFERROR(INDEX('G-7 Rivers Data'!$AZ$3:$AZ$7,MATCH(N176,'G-7 Rivers Data'!$AY$3:$AY$7,0)),"")</f>
        <v/>
      </c>
    </row>
    <row r="177" spans="2:50" ht="13.8" x14ac:dyDescent="0.25">
      <c r="B177" s="259" t="str">
        <f>'F-1 Off Site River Baseline'!AN175</f>
        <v/>
      </c>
      <c r="C177" s="175" t="str">
        <f>IF(B177="","",VLOOKUP($B177,'F-1 Off Site River Baseline'!$C$9:$R$257,2,FALSE))</f>
        <v/>
      </c>
      <c r="D177" s="175" t="str">
        <f>IF(C177="","",VLOOKUP($B177,'F-1 Off Site River Baseline'!$C$9:$R$257,3,FALSE))</f>
        <v/>
      </c>
      <c r="E177" s="175" t="str">
        <f>IF(D177="","",VLOOKUP($B177,'F-1 Off Site River Baseline'!$C$9:$R$257,4,FALSE))</f>
        <v/>
      </c>
      <c r="F177" s="175" t="str">
        <f>IF(E177="","",VLOOKUP($B177,'F-1 Off Site River Baseline'!$C$9:$R$257,5,FALSE))</f>
        <v/>
      </c>
      <c r="G177" s="175" t="str">
        <f>IF(F177="","",VLOOKUP($B177,'F-1 Off Site River Baseline'!$C$9:$R$257,6,FALSE))</f>
        <v/>
      </c>
      <c r="H177" s="175" t="str">
        <f>IF(G177="","",VLOOKUP($B177,'F-1 Off Site River Baseline'!$C$9:$R$257,7,FALSE))</f>
        <v/>
      </c>
      <c r="I177" s="175" t="str">
        <f>IF(H177="","",VLOOKUP($B177,'F-1 Off Site River Baseline'!$C$9:$R$257,8,FALSE))</f>
        <v/>
      </c>
      <c r="J177" s="175" t="str">
        <f>IF(I177="","",VLOOKUP($B177,'F-1 Off Site River Baseline'!$C$9:$R$257,9,FALSE))</f>
        <v/>
      </c>
      <c r="K177" s="175" t="str">
        <f>IF(J177="","",VLOOKUP($B177,'F-1 Off Site River Baseline'!$C$9:$R$257,10,FALSE))</f>
        <v/>
      </c>
      <c r="L177" s="175" t="str">
        <f>IF(B177="","",VLOOKUP($B177,'C-1 Site River Baseline'!$C$9:$R$257,15,FALSE))</f>
        <v/>
      </c>
      <c r="M177" s="176" t="str">
        <f>IF(L177="","",VLOOKUP($B177,'F-1 Off Site River Baseline'!$C$9:$R$257,16,FALSE))</f>
        <v/>
      </c>
      <c r="N177" s="639" t="str">
        <f t="shared" si="18"/>
        <v/>
      </c>
      <c r="O177" s="171" t="str">
        <f t="shared" si="19"/>
        <v/>
      </c>
      <c r="P177" s="172" t="str">
        <f>IF(C177="","",IF(AND(LEFT(C177,55)&lt;&gt;LEFT(N177,55),O177="High - High"),"Error - Not like for like",IF(AND(F177=S177,H177&gt;U177),"Error - Can not reduce condition",IF(AND(F177=S177,H177=U177,AJ177='F-1 Off Site River Baseline'!N175,'F-1 Off Site River Baseline'!P175=AL177),"Error - No enhancement",IF(AND(C177&lt;&gt;N177,F177&lt;S177),"Lower Distinctiveness Habitat"&amp;" - "&amp;T177,G177&amp;" - "&amp;T177)))))</f>
        <v/>
      </c>
      <c r="Q177" s="260" t="str">
        <f>IF(N177="","",VLOOKUP(B177,'F-1 Off Site River Baseline'!$C$10:$AA$257,19,FALSE))</f>
        <v/>
      </c>
      <c r="R177" s="171" t="str">
        <f>IF(N177="","",VLOOKUP(N177,'G-7 Rivers Data'!$B$2:$G$8,2,FALSE))</f>
        <v/>
      </c>
      <c r="S177" s="172" t="str">
        <f>IFERROR(VLOOKUP(R177,'G-7 Rivers Data'!$C$4:$D$8,2,FALSE),"")</f>
        <v/>
      </c>
      <c r="T177" s="173"/>
      <c r="U177" s="172" t="str">
        <f>IFERROR(INDEX('G-7 Rivers Data'!$H$4:$L$8,MATCH(N177,'G-7 Rivers Data'!$B$4:$B$8,0),MATCH(T177,'G-7 Rivers Data'!$H$3:$L$3,0)),"")</f>
        <v/>
      </c>
      <c r="V177" s="186"/>
      <c r="W177" s="175" t="str">
        <f>IF(V177="","",IF(VLOOKUP(V177,'G-7 Rivers Data'!$AG$4:$AI$9,2,FALSE)=0,"Spatial Data Missing",VLOOKUP(V177,'G-7 Rivers Data'!$AG$4:$AI$9,2,FALSE)))</f>
        <v/>
      </c>
      <c r="X177" s="176" t="str">
        <f>IF(V177="","",IF(VLOOKUP(V177,'G-7 Rivers Data'!$AG$4:$AI$9,3,FALSE)=0,"Spatial Data Missing",VLOOKUP(V177,'G-7 Rivers Data'!$AG$4:$AI$9,3,FALSE)))</f>
        <v/>
      </c>
      <c r="Y177" s="239" t="str">
        <f>IFERROR(IF(OR(LEFT(P177,5)="Error",LEFT(O177,5)="Error"),"Check Data",IF(F177&lt;S177,'G-7 Rivers Data'!$R$3,INDEX('G-7 Rivers Data'!$U$5:$Y$9,MATCH(G177,'G-7 Rivers Data'!$T$5:$T$9,0),MATCH(T177,'G-7 Rivers Data'!$U$4:$Y$4,0)))),"")</f>
        <v/>
      </c>
      <c r="Z177" s="275"/>
      <c r="AA177" s="275"/>
      <c r="AB177" s="175" t="str">
        <f t="shared" si="20"/>
        <v/>
      </c>
      <c r="AC177" s="262" t="str">
        <f t="shared" si="21"/>
        <v/>
      </c>
      <c r="AD177" s="382" t="str">
        <f>IFERROR(IF(AC177="Check Data","Check Data",VLOOKUP(AC177,'G-4 Temporal multipliers'!$A$4:$C$37,3,FALSE)),"")</f>
        <v/>
      </c>
      <c r="AE177" s="239" t="str">
        <f>IF(N177="","",VLOOKUP(N177,'G-7 Rivers Data'!$B$4:$G$8,5,FALSE))</f>
        <v/>
      </c>
      <c r="AF177" s="175" t="str">
        <f t="shared" si="22"/>
        <v/>
      </c>
      <c r="AG177" s="175" t="str">
        <f t="shared" si="23"/>
        <v/>
      </c>
      <c r="AH177" s="176" t="str">
        <f t="shared" si="17"/>
        <v/>
      </c>
      <c r="AI177" s="173"/>
      <c r="AJ177" s="172" t="str">
        <f>IF(AI177="","",IF(VLOOKUP(AI177,'G-7 Rivers Data'!$AA$4:$AB$7,2,FALSE)=0,"Spatial Data Missing",VLOOKUP(AI177,'G-7 Rivers Data'!$AA$4:$AB$7,2,FALSE)))</f>
        <v/>
      </c>
      <c r="AK177" s="187"/>
      <c r="AL177" s="172" t="str">
        <f>IF(AK177="","",IF(VLOOKUP(AK177,'G-7 Rivers Data'!$AD$4:$AE$8,2,FALSE)=0,"Spatial Data Missing",VLOOKUP(AK177,'G-7 Rivers Data'!$AD$4:$AE$8,2,FALSE)))</f>
        <v/>
      </c>
      <c r="AM177" s="186"/>
      <c r="AN177" s="176" t="str">
        <f>IF(AM177="","",VLOOKUP(AM177,'G-7 Rivers Data'!$AO$4:$AP$7,2,FALSE))</f>
        <v/>
      </c>
      <c r="AO177" s="265" t="str">
        <f t="shared" si="24"/>
        <v/>
      </c>
      <c r="AP177" s="180"/>
      <c r="AQ177" s="181"/>
      <c r="AX177" s="35" t="str">
        <f>IFERROR(INDEX('G-7 Rivers Data'!$AZ$3:$AZ$7,MATCH(N177,'G-7 Rivers Data'!$AY$3:$AY$7,0)),"")</f>
        <v/>
      </c>
    </row>
    <row r="178" spans="2:50" ht="13.8" x14ac:dyDescent="0.25">
      <c r="B178" s="259" t="str">
        <f>'F-1 Off Site River Baseline'!AN176</f>
        <v/>
      </c>
      <c r="C178" s="175" t="str">
        <f>IF(B178="","",VLOOKUP($B178,'F-1 Off Site River Baseline'!$C$9:$R$257,2,FALSE))</f>
        <v/>
      </c>
      <c r="D178" s="175" t="str">
        <f>IF(C178="","",VLOOKUP($B178,'F-1 Off Site River Baseline'!$C$9:$R$257,3,FALSE))</f>
        <v/>
      </c>
      <c r="E178" s="175" t="str">
        <f>IF(D178="","",VLOOKUP($B178,'F-1 Off Site River Baseline'!$C$9:$R$257,4,FALSE))</f>
        <v/>
      </c>
      <c r="F178" s="175" t="str">
        <f>IF(E178="","",VLOOKUP($B178,'F-1 Off Site River Baseline'!$C$9:$R$257,5,FALSE))</f>
        <v/>
      </c>
      <c r="G178" s="175" t="str">
        <f>IF(F178="","",VLOOKUP($B178,'F-1 Off Site River Baseline'!$C$9:$R$257,6,FALSE))</f>
        <v/>
      </c>
      <c r="H178" s="175" t="str">
        <f>IF(G178="","",VLOOKUP($B178,'F-1 Off Site River Baseline'!$C$9:$R$257,7,FALSE))</f>
        <v/>
      </c>
      <c r="I178" s="175" t="str">
        <f>IF(H178="","",VLOOKUP($B178,'F-1 Off Site River Baseline'!$C$9:$R$257,8,FALSE))</f>
        <v/>
      </c>
      <c r="J178" s="175" t="str">
        <f>IF(I178="","",VLOOKUP($B178,'F-1 Off Site River Baseline'!$C$9:$R$257,9,FALSE))</f>
        <v/>
      </c>
      <c r="K178" s="175" t="str">
        <f>IF(J178="","",VLOOKUP($B178,'F-1 Off Site River Baseline'!$C$9:$R$257,10,FALSE))</f>
        <v/>
      </c>
      <c r="L178" s="175" t="str">
        <f>IF(B178="","",VLOOKUP($B178,'C-1 Site River Baseline'!$C$9:$R$257,15,FALSE))</f>
        <v/>
      </c>
      <c r="M178" s="176" t="str">
        <f>IF(L178="","",VLOOKUP($B178,'F-1 Off Site River Baseline'!$C$9:$R$257,16,FALSE))</f>
        <v/>
      </c>
      <c r="N178" s="639" t="str">
        <f t="shared" si="18"/>
        <v/>
      </c>
      <c r="O178" s="171" t="str">
        <f t="shared" si="19"/>
        <v/>
      </c>
      <c r="P178" s="172" t="str">
        <f>IF(C178="","",IF(AND(LEFT(C178,55)&lt;&gt;LEFT(N178,55),O178="High - High"),"Error - Not like for like",IF(AND(F178=S178,H178&gt;U178),"Error - Can not reduce condition",IF(AND(F178=S178,H178=U178,AJ178='F-1 Off Site River Baseline'!N176,'F-1 Off Site River Baseline'!P176=AL178),"Error - No enhancement",IF(AND(C178&lt;&gt;N178,F178&lt;S178),"Lower Distinctiveness Habitat"&amp;" - "&amp;T178,G178&amp;" - "&amp;T178)))))</f>
        <v/>
      </c>
      <c r="Q178" s="260" t="str">
        <f>IF(N178="","",VLOOKUP(B178,'F-1 Off Site River Baseline'!$C$10:$AA$257,19,FALSE))</f>
        <v/>
      </c>
      <c r="R178" s="171" t="str">
        <f>IF(N178="","",VLOOKUP(N178,'G-7 Rivers Data'!$B$2:$G$8,2,FALSE))</f>
        <v/>
      </c>
      <c r="S178" s="172" t="str">
        <f>IFERROR(VLOOKUP(R178,'G-7 Rivers Data'!$C$4:$D$8,2,FALSE),"")</f>
        <v/>
      </c>
      <c r="T178" s="173"/>
      <c r="U178" s="172" t="str">
        <f>IFERROR(INDEX('G-7 Rivers Data'!$H$4:$L$8,MATCH(N178,'G-7 Rivers Data'!$B$4:$B$8,0),MATCH(T178,'G-7 Rivers Data'!$H$3:$L$3,0)),"")</f>
        <v/>
      </c>
      <c r="V178" s="186"/>
      <c r="W178" s="175" t="str">
        <f>IF(V178="","",IF(VLOOKUP(V178,'G-7 Rivers Data'!$AG$4:$AI$9,2,FALSE)=0,"Spatial Data Missing",VLOOKUP(V178,'G-7 Rivers Data'!$AG$4:$AI$9,2,FALSE)))</f>
        <v/>
      </c>
      <c r="X178" s="176" t="str">
        <f>IF(V178="","",IF(VLOOKUP(V178,'G-7 Rivers Data'!$AG$4:$AI$9,3,FALSE)=0,"Spatial Data Missing",VLOOKUP(V178,'G-7 Rivers Data'!$AG$4:$AI$9,3,FALSE)))</f>
        <v/>
      </c>
      <c r="Y178" s="239" t="str">
        <f>IFERROR(IF(OR(LEFT(P178,5)="Error",LEFT(O178,5)="Error"),"Check Data",IF(F178&lt;S178,'G-7 Rivers Data'!$R$3,INDEX('G-7 Rivers Data'!$U$5:$Y$9,MATCH(G178,'G-7 Rivers Data'!$T$5:$T$9,0),MATCH(T178,'G-7 Rivers Data'!$U$4:$Y$4,0)))),"")</f>
        <v/>
      </c>
      <c r="Z178" s="275"/>
      <c r="AA178" s="275"/>
      <c r="AB178" s="175" t="str">
        <f t="shared" si="20"/>
        <v/>
      </c>
      <c r="AC178" s="262" t="str">
        <f t="shared" si="21"/>
        <v/>
      </c>
      <c r="AD178" s="382" t="str">
        <f>IFERROR(IF(AC178="Check Data","Check Data",VLOOKUP(AC178,'G-4 Temporal multipliers'!$A$4:$C$37,3,FALSE)),"")</f>
        <v/>
      </c>
      <c r="AE178" s="239" t="str">
        <f>IF(N178="","",VLOOKUP(N178,'G-7 Rivers Data'!$B$4:$G$8,5,FALSE))</f>
        <v/>
      </c>
      <c r="AF178" s="175" t="str">
        <f t="shared" si="22"/>
        <v/>
      </c>
      <c r="AG178" s="175" t="str">
        <f t="shared" si="23"/>
        <v/>
      </c>
      <c r="AH178" s="176" t="str">
        <f t="shared" si="17"/>
        <v/>
      </c>
      <c r="AI178" s="173"/>
      <c r="AJ178" s="172" t="str">
        <f>IF(AI178="","",IF(VLOOKUP(AI178,'G-7 Rivers Data'!$AA$4:$AB$7,2,FALSE)=0,"Spatial Data Missing",VLOOKUP(AI178,'G-7 Rivers Data'!$AA$4:$AB$7,2,FALSE)))</f>
        <v/>
      </c>
      <c r="AK178" s="187"/>
      <c r="AL178" s="172" t="str">
        <f>IF(AK178="","",IF(VLOOKUP(AK178,'G-7 Rivers Data'!$AD$4:$AE$8,2,FALSE)=0,"Spatial Data Missing",VLOOKUP(AK178,'G-7 Rivers Data'!$AD$4:$AE$8,2,FALSE)))</f>
        <v/>
      </c>
      <c r="AM178" s="186"/>
      <c r="AN178" s="176" t="str">
        <f>IF(AM178="","",VLOOKUP(AM178,'G-7 Rivers Data'!$AO$4:$AP$7,2,FALSE))</f>
        <v/>
      </c>
      <c r="AO178" s="265" t="str">
        <f t="shared" si="24"/>
        <v/>
      </c>
      <c r="AP178" s="180"/>
      <c r="AQ178" s="181"/>
      <c r="AX178" s="35" t="str">
        <f>IFERROR(INDEX('G-7 Rivers Data'!$AZ$3:$AZ$7,MATCH(N178,'G-7 Rivers Data'!$AY$3:$AY$7,0)),"")</f>
        <v/>
      </c>
    </row>
    <row r="179" spans="2:50" ht="13.8" x14ac:dyDescent="0.25">
      <c r="B179" s="259" t="str">
        <f>'F-1 Off Site River Baseline'!AN177</f>
        <v/>
      </c>
      <c r="C179" s="175" t="str">
        <f>IF(B179="","",VLOOKUP($B179,'F-1 Off Site River Baseline'!$C$9:$R$257,2,FALSE))</f>
        <v/>
      </c>
      <c r="D179" s="175" t="str">
        <f>IF(C179="","",VLOOKUP($B179,'F-1 Off Site River Baseline'!$C$9:$R$257,3,FALSE))</f>
        <v/>
      </c>
      <c r="E179" s="175" t="str">
        <f>IF(D179="","",VLOOKUP($B179,'F-1 Off Site River Baseline'!$C$9:$R$257,4,FALSE))</f>
        <v/>
      </c>
      <c r="F179" s="175" t="str">
        <f>IF(E179="","",VLOOKUP($B179,'F-1 Off Site River Baseline'!$C$9:$R$257,5,FALSE))</f>
        <v/>
      </c>
      <c r="G179" s="175" t="str">
        <f>IF(F179="","",VLOOKUP($B179,'F-1 Off Site River Baseline'!$C$9:$R$257,6,FALSE))</f>
        <v/>
      </c>
      <c r="H179" s="175" t="str">
        <f>IF(G179="","",VLOOKUP($B179,'F-1 Off Site River Baseline'!$C$9:$R$257,7,FALSE))</f>
        <v/>
      </c>
      <c r="I179" s="175" t="str">
        <f>IF(H179="","",VLOOKUP($B179,'F-1 Off Site River Baseline'!$C$9:$R$257,8,FALSE))</f>
        <v/>
      </c>
      <c r="J179" s="175" t="str">
        <f>IF(I179="","",VLOOKUP($B179,'F-1 Off Site River Baseline'!$C$9:$R$257,9,FALSE))</f>
        <v/>
      </c>
      <c r="K179" s="175" t="str">
        <f>IF(J179="","",VLOOKUP($B179,'F-1 Off Site River Baseline'!$C$9:$R$257,10,FALSE))</f>
        <v/>
      </c>
      <c r="L179" s="175" t="str">
        <f>IF(B179="","",VLOOKUP($B179,'C-1 Site River Baseline'!$C$9:$R$257,15,FALSE))</f>
        <v/>
      </c>
      <c r="M179" s="176" t="str">
        <f>IF(L179="","",VLOOKUP($B179,'F-1 Off Site River Baseline'!$C$9:$R$257,16,FALSE))</f>
        <v/>
      </c>
      <c r="N179" s="639" t="str">
        <f t="shared" si="18"/>
        <v/>
      </c>
      <c r="O179" s="171" t="str">
        <f t="shared" si="19"/>
        <v/>
      </c>
      <c r="P179" s="172" t="str">
        <f>IF(C179="","",IF(AND(LEFT(C179,55)&lt;&gt;LEFT(N179,55),O179="High - High"),"Error - Not like for like",IF(AND(F179=S179,H179&gt;U179),"Error - Can not reduce condition",IF(AND(F179=S179,H179=U179,AJ179='F-1 Off Site River Baseline'!N177,'F-1 Off Site River Baseline'!P177=AL179),"Error - No enhancement",IF(AND(C179&lt;&gt;N179,F179&lt;S179),"Lower Distinctiveness Habitat"&amp;" - "&amp;T179,G179&amp;" - "&amp;T179)))))</f>
        <v/>
      </c>
      <c r="Q179" s="260" t="str">
        <f>IF(N179="","",VLOOKUP(B179,'F-1 Off Site River Baseline'!$C$10:$AA$257,19,FALSE))</f>
        <v/>
      </c>
      <c r="R179" s="171" t="str">
        <f>IF(N179="","",VLOOKUP(N179,'G-7 Rivers Data'!$B$2:$G$8,2,FALSE))</f>
        <v/>
      </c>
      <c r="S179" s="172" t="str">
        <f>IFERROR(VLOOKUP(R179,'G-7 Rivers Data'!$C$4:$D$8,2,FALSE),"")</f>
        <v/>
      </c>
      <c r="T179" s="173"/>
      <c r="U179" s="172" t="str">
        <f>IFERROR(INDEX('G-7 Rivers Data'!$H$4:$L$8,MATCH(N179,'G-7 Rivers Data'!$B$4:$B$8,0),MATCH(T179,'G-7 Rivers Data'!$H$3:$L$3,0)),"")</f>
        <v/>
      </c>
      <c r="V179" s="186"/>
      <c r="W179" s="175" t="str">
        <f>IF(V179="","",IF(VLOOKUP(V179,'G-7 Rivers Data'!$AG$4:$AI$9,2,FALSE)=0,"Spatial Data Missing",VLOOKUP(V179,'G-7 Rivers Data'!$AG$4:$AI$9,2,FALSE)))</f>
        <v/>
      </c>
      <c r="X179" s="176" t="str">
        <f>IF(V179="","",IF(VLOOKUP(V179,'G-7 Rivers Data'!$AG$4:$AI$9,3,FALSE)=0,"Spatial Data Missing",VLOOKUP(V179,'G-7 Rivers Data'!$AG$4:$AI$9,3,FALSE)))</f>
        <v/>
      </c>
      <c r="Y179" s="239" t="str">
        <f>IFERROR(IF(OR(LEFT(P179,5)="Error",LEFT(O179,5)="Error"),"Check Data",IF(F179&lt;S179,'G-7 Rivers Data'!$R$3,INDEX('G-7 Rivers Data'!$U$5:$Y$9,MATCH(G179,'G-7 Rivers Data'!$T$5:$T$9,0),MATCH(T179,'G-7 Rivers Data'!$U$4:$Y$4,0)))),"")</f>
        <v/>
      </c>
      <c r="Z179" s="275"/>
      <c r="AA179" s="275"/>
      <c r="AB179" s="175" t="str">
        <f t="shared" si="20"/>
        <v/>
      </c>
      <c r="AC179" s="262" t="str">
        <f t="shared" si="21"/>
        <v/>
      </c>
      <c r="AD179" s="382" t="str">
        <f>IFERROR(IF(AC179="Check Data","Check Data",VLOOKUP(AC179,'G-4 Temporal multipliers'!$A$4:$C$37,3,FALSE)),"")</f>
        <v/>
      </c>
      <c r="AE179" s="239" t="str">
        <f>IF(N179="","",VLOOKUP(N179,'G-7 Rivers Data'!$B$4:$G$8,5,FALSE))</f>
        <v/>
      </c>
      <c r="AF179" s="175" t="str">
        <f t="shared" si="22"/>
        <v/>
      </c>
      <c r="AG179" s="175" t="str">
        <f t="shared" si="23"/>
        <v/>
      </c>
      <c r="AH179" s="176" t="str">
        <f t="shared" si="17"/>
        <v/>
      </c>
      <c r="AI179" s="173"/>
      <c r="AJ179" s="172" t="str">
        <f>IF(AI179="","",IF(VLOOKUP(AI179,'G-7 Rivers Data'!$AA$4:$AB$7,2,FALSE)=0,"Spatial Data Missing",VLOOKUP(AI179,'G-7 Rivers Data'!$AA$4:$AB$7,2,FALSE)))</f>
        <v/>
      </c>
      <c r="AK179" s="187"/>
      <c r="AL179" s="172" t="str">
        <f>IF(AK179="","",IF(VLOOKUP(AK179,'G-7 Rivers Data'!$AD$4:$AE$8,2,FALSE)=0,"Spatial Data Missing",VLOOKUP(AK179,'G-7 Rivers Data'!$AD$4:$AE$8,2,FALSE)))</f>
        <v/>
      </c>
      <c r="AM179" s="186"/>
      <c r="AN179" s="176" t="str">
        <f>IF(AM179="","",VLOOKUP(AM179,'G-7 Rivers Data'!$AO$4:$AP$7,2,FALSE))</f>
        <v/>
      </c>
      <c r="AO179" s="265" t="str">
        <f t="shared" si="24"/>
        <v/>
      </c>
      <c r="AP179" s="180"/>
      <c r="AQ179" s="181"/>
      <c r="AX179" s="35" t="str">
        <f>IFERROR(INDEX('G-7 Rivers Data'!$AZ$3:$AZ$7,MATCH(N179,'G-7 Rivers Data'!$AY$3:$AY$7,0)),"")</f>
        <v/>
      </c>
    </row>
    <row r="180" spans="2:50" ht="13.8" x14ac:dyDescent="0.25">
      <c r="B180" s="259" t="str">
        <f>'F-1 Off Site River Baseline'!AN178</f>
        <v/>
      </c>
      <c r="C180" s="175" t="str">
        <f>IF(B180="","",VLOOKUP($B180,'F-1 Off Site River Baseline'!$C$9:$R$257,2,FALSE))</f>
        <v/>
      </c>
      <c r="D180" s="175" t="str">
        <f>IF(C180="","",VLOOKUP($B180,'F-1 Off Site River Baseline'!$C$9:$R$257,3,FALSE))</f>
        <v/>
      </c>
      <c r="E180" s="175" t="str">
        <f>IF(D180="","",VLOOKUP($B180,'F-1 Off Site River Baseline'!$C$9:$R$257,4,FALSE))</f>
        <v/>
      </c>
      <c r="F180" s="175" t="str">
        <f>IF(E180="","",VLOOKUP($B180,'F-1 Off Site River Baseline'!$C$9:$R$257,5,FALSE))</f>
        <v/>
      </c>
      <c r="G180" s="175" t="str">
        <f>IF(F180="","",VLOOKUP($B180,'F-1 Off Site River Baseline'!$C$9:$R$257,6,FALSE))</f>
        <v/>
      </c>
      <c r="H180" s="175" t="str">
        <f>IF(G180="","",VLOOKUP($B180,'F-1 Off Site River Baseline'!$C$9:$R$257,7,FALSE))</f>
        <v/>
      </c>
      <c r="I180" s="175" t="str">
        <f>IF(H180="","",VLOOKUP($B180,'F-1 Off Site River Baseline'!$C$9:$R$257,8,FALSE))</f>
        <v/>
      </c>
      <c r="J180" s="175" t="str">
        <f>IF(I180="","",VLOOKUP($B180,'F-1 Off Site River Baseline'!$C$9:$R$257,9,FALSE))</f>
        <v/>
      </c>
      <c r="K180" s="175" t="str">
        <f>IF(J180="","",VLOOKUP($B180,'F-1 Off Site River Baseline'!$C$9:$R$257,10,FALSE))</f>
        <v/>
      </c>
      <c r="L180" s="175" t="str">
        <f>IF(B180="","",VLOOKUP($B180,'C-1 Site River Baseline'!$C$9:$R$257,15,FALSE))</f>
        <v/>
      </c>
      <c r="M180" s="176" t="str">
        <f>IF(L180="","",VLOOKUP($B180,'F-1 Off Site River Baseline'!$C$9:$R$257,16,FALSE))</f>
        <v/>
      </c>
      <c r="N180" s="639" t="str">
        <f t="shared" si="18"/>
        <v/>
      </c>
      <c r="O180" s="171" t="str">
        <f t="shared" si="19"/>
        <v/>
      </c>
      <c r="P180" s="172" t="str">
        <f>IF(C180="","",IF(AND(LEFT(C180,55)&lt;&gt;LEFT(N180,55),O180="High - High"),"Error - Not like for like",IF(AND(F180=S180,H180&gt;U180),"Error - Can not reduce condition",IF(AND(F180=S180,H180=U180,AJ180='F-1 Off Site River Baseline'!N178,'F-1 Off Site River Baseline'!P178=AL180),"Error - No enhancement",IF(AND(C180&lt;&gt;N180,F180&lt;S180),"Lower Distinctiveness Habitat"&amp;" - "&amp;T180,G180&amp;" - "&amp;T180)))))</f>
        <v/>
      </c>
      <c r="Q180" s="260" t="str">
        <f>IF(N180="","",VLOOKUP(B180,'F-1 Off Site River Baseline'!$C$10:$AA$257,19,FALSE))</f>
        <v/>
      </c>
      <c r="R180" s="171" t="str">
        <f>IF(N180="","",VLOOKUP(N180,'G-7 Rivers Data'!$B$2:$G$8,2,FALSE))</f>
        <v/>
      </c>
      <c r="S180" s="172" t="str">
        <f>IFERROR(VLOOKUP(R180,'G-7 Rivers Data'!$C$4:$D$8,2,FALSE),"")</f>
        <v/>
      </c>
      <c r="T180" s="173"/>
      <c r="U180" s="172" t="str">
        <f>IFERROR(INDEX('G-7 Rivers Data'!$H$4:$L$8,MATCH(N180,'G-7 Rivers Data'!$B$4:$B$8,0),MATCH(T180,'G-7 Rivers Data'!$H$3:$L$3,0)),"")</f>
        <v/>
      </c>
      <c r="V180" s="186"/>
      <c r="W180" s="175" t="str">
        <f>IF(V180="","",IF(VLOOKUP(V180,'G-7 Rivers Data'!$AG$4:$AI$9,2,FALSE)=0,"Spatial Data Missing",VLOOKUP(V180,'G-7 Rivers Data'!$AG$4:$AI$9,2,FALSE)))</f>
        <v/>
      </c>
      <c r="X180" s="176" t="str">
        <f>IF(V180="","",IF(VLOOKUP(V180,'G-7 Rivers Data'!$AG$4:$AI$9,3,FALSE)=0,"Spatial Data Missing",VLOOKUP(V180,'G-7 Rivers Data'!$AG$4:$AI$9,3,FALSE)))</f>
        <v/>
      </c>
      <c r="Y180" s="239" t="str">
        <f>IFERROR(IF(OR(LEFT(P180,5)="Error",LEFT(O180,5)="Error"),"Check Data",IF(F180&lt;S180,'G-7 Rivers Data'!$R$3,INDEX('G-7 Rivers Data'!$U$5:$Y$9,MATCH(G180,'G-7 Rivers Data'!$T$5:$T$9,0),MATCH(T180,'G-7 Rivers Data'!$U$4:$Y$4,0)))),"")</f>
        <v/>
      </c>
      <c r="Z180" s="275"/>
      <c r="AA180" s="275"/>
      <c r="AB180" s="175" t="str">
        <f t="shared" si="20"/>
        <v/>
      </c>
      <c r="AC180" s="262" t="str">
        <f t="shared" si="21"/>
        <v/>
      </c>
      <c r="AD180" s="382" t="str">
        <f>IFERROR(IF(AC180="Check Data","Check Data",VLOOKUP(AC180,'G-4 Temporal multipliers'!$A$4:$C$37,3,FALSE)),"")</f>
        <v/>
      </c>
      <c r="AE180" s="239" t="str">
        <f>IF(N180="","",VLOOKUP(N180,'G-7 Rivers Data'!$B$4:$G$8,5,FALSE))</f>
        <v/>
      </c>
      <c r="AF180" s="175" t="str">
        <f t="shared" si="22"/>
        <v/>
      </c>
      <c r="AG180" s="175" t="str">
        <f t="shared" si="23"/>
        <v/>
      </c>
      <c r="AH180" s="176" t="str">
        <f t="shared" si="17"/>
        <v/>
      </c>
      <c r="AI180" s="173"/>
      <c r="AJ180" s="172" t="str">
        <f>IF(AI180="","",IF(VLOOKUP(AI180,'G-7 Rivers Data'!$AA$4:$AB$7,2,FALSE)=0,"Spatial Data Missing",VLOOKUP(AI180,'G-7 Rivers Data'!$AA$4:$AB$7,2,FALSE)))</f>
        <v/>
      </c>
      <c r="AK180" s="187"/>
      <c r="AL180" s="172" t="str">
        <f>IF(AK180="","",IF(VLOOKUP(AK180,'G-7 Rivers Data'!$AD$4:$AE$8,2,FALSE)=0,"Spatial Data Missing",VLOOKUP(AK180,'G-7 Rivers Data'!$AD$4:$AE$8,2,FALSE)))</f>
        <v/>
      </c>
      <c r="AM180" s="186"/>
      <c r="AN180" s="176" t="str">
        <f>IF(AM180="","",VLOOKUP(AM180,'G-7 Rivers Data'!$AO$4:$AP$7,2,FALSE))</f>
        <v/>
      </c>
      <c r="AO180" s="265" t="str">
        <f t="shared" si="24"/>
        <v/>
      </c>
      <c r="AP180" s="180"/>
      <c r="AQ180" s="181"/>
      <c r="AX180" s="35" t="str">
        <f>IFERROR(INDEX('G-7 Rivers Data'!$AZ$3:$AZ$7,MATCH(N180,'G-7 Rivers Data'!$AY$3:$AY$7,0)),"")</f>
        <v/>
      </c>
    </row>
    <row r="181" spans="2:50" ht="13.8" x14ac:dyDescent="0.25">
      <c r="B181" s="259" t="str">
        <f>'F-1 Off Site River Baseline'!AN179</f>
        <v/>
      </c>
      <c r="C181" s="175" t="str">
        <f>IF(B181="","",VLOOKUP($B181,'F-1 Off Site River Baseline'!$C$9:$R$257,2,FALSE))</f>
        <v/>
      </c>
      <c r="D181" s="175" t="str">
        <f>IF(C181="","",VLOOKUP($B181,'F-1 Off Site River Baseline'!$C$9:$R$257,3,FALSE))</f>
        <v/>
      </c>
      <c r="E181" s="175" t="str">
        <f>IF(D181="","",VLOOKUP($B181,'F-1 Off Site River Baseline'!$C$9:$R$257,4,FALSE))</f>
        <v/>
      </c>
      <c r="F181" s="175" t="str">
        <f>IF(E181="","",VLOOKUP($B181,'F-1 Off Site River Baseline'!$C$9:$R$257,5,FALSE))</f>
        <v/>
      </c>
      <c r="G181" s="175" t="str">
        <f>IF(F181="","",VLOOKUP($B181,'F-1 Off Site River Baseline'!$C$9:$R$257,6,FALSE))</f>
        <v/>
      </c>
      <c r="H181" s="175" t="str">
        <f>IF(G181="","",VLOOKUP($B181,'F-1 Off Site River Baseline'!$C$9:$R$257,7,FALSE))</f>
        <v/>
      </c>
      <c r="I181" s="175" t="str">
        <f>IF(H181="","",VLOOKUP($B181,'F-1 Off Site River Baseline'!$C$9:$R$257,8,FALSE))</f>
        <v/>
      </c>
      <c r="J181" s="175" t="str">
        <f>IF(I181="","",VLOOKUP($B181,'F-1 Off Site River Baseline'!$C$9:$R$257,9,FALSE))</f>
        <v/>
      </c>
      <c r="K181" s="175" t="str">
        <f>IF(J181="","",VLOOKUP($B181,'F-1 Off Site River Baseline'!$C$9:$R$257,10,FALSE))</f>
        <v/>
      </c>
      <c r="L181" s="175" t="str">
        <f>IF(B181="","",VLOOKUP($B181,'C-1 Site River Baseline'!$C$9:$R$257,15,FALSE))</f>
        <v/>
      </c>
      <c r="M181" s="176" t="str">
        <f>IF(L181="","",VLOOKUP($B181,'F-1 Off Site River Baseline'!$C$9:$R$257,16,FALSE))</f>
        <v/>
      </c>
      <c r="N181" s="639" t="str">
        <f t="shared" si="18"/>
        <v/>
      </c>
      <c r="O181" s="171" t="str">
        <f t="shared" si="19"/>
        <v/>
      </c>
      <c r="P181" s="172" t="str">
        <f>IF(C181="","",IF(AND(LEFT(C181,55)&lt;&gt;LEFT(N181,55),O181="High - High"),"Error - Not like for like",IF(AND(F181=S181,H181&gt;U181),"Error - Can not reduce condition",IF(AND(F181=S181,H181=U181,AJ181='F-1 Off Site River Baseline'!N179,'F-1 Off Site River Baseline'!P179=AL181),"Error - No enhancement",IF(AND(C181&lt;&gt;N181,F181&lt;S181),"Lower Distinctiveness Habitat"&amp;" - "&amp;T181,G181&amp;" - "&amp;T181)))))</f>
        <v/>
      </c>
      <c r="Q181" s="260" t="str">
        <f>IF(N181="","",VLOOKUP(B181,'F-1 Off Site River Baseline'!$C$10:$AA$257,19,FALSE))</f>
        <v/>
      </c>
      <c r="R181" s="171" t="str">
        <f>IF(N181="","",VLOOKUP(N181,'G-7 Rivers Data'!$B$2:$G$8,2,FALSE))</f>
        <v/>
      </c>
      <c r="S181" s="172" t="str">
        <f>IFERROR(VLOOKUP(R181,'G-7 Rivers Data'!$C$4:$D$8,2,FALSE),"")</f>
        <v/>
      </c>
      <c r="T181" s="173"/>
      <c r="U181" s="172" t="str">
        <f>IFERROR(INDEX('G-7 Rivers Data'!$H$4:$L$8,MATCH(N181,'G-7 Rivers Data'!$B$4:$B$8,0),MATCH(T181,'G-7 Rivers Data'!$H$3:$L$3,0)),"")</f>
        <v/>
      </c>
      <c r="V181" s="186"/>
      <c r="W181" s="175" t="str">
        <f>IF(V181="","",IF(VLOOKUP(V181,'G-7 Rivers Data'!$AG$4:$AI$9,2,FALSE)=0,"Spatial Data Missing",VLOOKUP(V181,'G-7 Rivers Data'!$AG$4:$AI$9,2,FALSE)))</f>
        <v/>
      </c>
      <c r="X181" s="176" t="str">
        <f>IF(V181="","",IF(VLOOKUP(V181,'G-7 Rivers Data'!$AG$4:$AI$9,3,FALSE)=0,"Spatial Data Missing",VLOOKUP(V181,'G-7 Rivers Data'!$AG$4:$AI$9,3,FALSE)))</f>
        <v/>
      </c>
      <c r="Y181" s="239" t="str">
        <f>IFERROR(IF(OR(LEFT(P181,5)="Error",LEFT(O181,5)="Error"),"Check Data",IF(F181&lt;S181,'G-7 Rivers Data'!$R$3,INDEX('G-7 Rivers Data'!$U$5:$Y$9,MATCH(G181,'G-7 Rivers Data'!$T$5:$T$9,0),MATCH(T181,'G-7 Rivers Data'!$U$4:$Y$4,0)))),"")</f>
        <v/>
      </c>
      <c r="Z181" s="275"/>
      <c r="AA181" s="275"/>
      <c r="AB181" s="175" t="str">
        <f t="shared" si="20"/>
        <v/>
      </c>
      <c r="AC181" s="262" t="str">
        <f t="shared" si="21"/>
        <v/>
      </c>
      <c r="AD181" s="382" t="str">
        <f>IFERROR(IF(AC181="Check Data","Check Data",VLOOKUP(AC181,'G-4 Temporal multipliers'!$A$4:$C$37,3,FALSE)),"")</f>
        <v/>
      </c>
      <c r="AE181" s="239" t="str">
        <f>IF(N181="","",VLOOKUP(N181,'G-7 Rivers Data'!$B$4:$G$8,5,FALSE))</f>
        <v/>
      </c>
      <c r="AF181" s="175" t="str">
        <f t="shared" si="22"/>
        <v/>
      </c>
      <c r="AG181" s="175" t="str">
        <f t="shared" si="23"/>
        <v/>
      </c>
      <c r="AH181" s="176" t="str">
        <f t="shared" si="17"/>
        <v/>
      </c>
      <c r="AI181" s="173"/>
      <c r="AJ181" s="172" t="str">
        <f>IF(AI181="","",IF(VLOOKUP(AI181,'G-7 Rivers Data'!$AA$4:$AB$7,2,FALSE)=0,"Spatial Data Missing",VLOOKUP(AI181,'G-7 Rivers Data'!$AA$4:$AB$7,2,FALSE)))</f>
        <v/>
      </c>
      <c r="AK181" s="187"/>
      <c r="AL181" s="172" t="str">
        <f>IF(AK181="","",IF(VLOOKUP(AK181,'G-7 Rivers Data'!$AD$4:$AE$8,2,FALSE)=0,"Spatial Data Missing",VLOOKUP(AK181,'G-7 Rivers Data'!$AD$4:$AE$8,2,FALSE)))</f>
        <v/>
      </c>
      <c r="AM181" s="186"/>
      <c r="AN181" s="176" t="str">
        <f>IF(AM181="","",VLOOKUP(AM181,'G-7 Rivers Data'!$AO$4:$AP$7,2,FALSE))</f>
        <v/>
      </c>
      <c r="AO181" s="265" t="str">
        <f t="shared" si="24"/>
        <v/>
      </c>
      <c r="AP181" s="180"/>
      <c r="AQ181" s="181"/>
      <c r="AX181" s="35" t="str">
        <f>IFERROR(INDEX('G-7 Rivers Data'!$AZ$3:$AZ$7,MATCH(N181,'G-7 Rivers Data'!$AY$3:$AY$7,0)),"")</f>
        <v/>
      </c>
    </row>
    <row r="182" spans="2:50" ht="13.8" x14ac:dyDescent="0.25">
      <c r="B182" s="259" t="str">
        <f>'F-1 Off Site River Baseline'!AN180</f>
        <v/>
      </c>
      <c r="C182" s="175" t="str">
        <f>IF(B182="","",VLOOKUP($B182,'F-1 Off Site River Baseline'!$C$9:$R$257,2,FALSE))</f>
        <v/>
      </c>
      <c r="D182" s="175" t="str">
        <f>IF(C182="","",VLOOKUP($B182,'F-1 Off Site River Baseline'!$C$9:$R$257,3,FALSE))</f>
        <v/>
      </c>
      <c r="E182" s="175" t="str">
        <f>IF(D182="","",VLOOKUP($B182,'F-1 Off Site River Baseline'!$C$9:$R$257,4,FALSE))</f>
        <v/>
      </c>
      <c r="F182" s="175" t="str">
        <f>IF(E182="","",VLOOKUP($B182,'F-1 Off Site River Baseline'!$C$9:$R$257,5,FALSE))</f>
        <v/>
      </c>
      <c r="G182" s="175" t="str">
        <f>IF(F182="","",VLOOKUP($B182,'F-1 Off Site River Baseline'!$C$9:$R$257,6,FALSE))</f>
        <v/>
      </c>
      <c r="H182" s="175" t="str">
        <f>IF(G182="","",VLOOKUP($B182,'F-1 Off Site River Baseline'!$C$9:$R$257,7,FALSE))</f>
        <v/>
      </c>
      <c r="I182" s="175" t="str">
        <f>IF(H182="","",VLOOKUP($B182,'F-1 Off Site River Baseline'!$C$9:$R$257,8,FALSE))</f>
        <v/>
      </c>
      <c r="J182" s="175" t="str">
        <f>IF(I182="","",VLOOKUP($B182,'F-1 Off Site River Baseline'!$C$9:$R$257,9,FALSE))</f>
        <v/>
      </c>
      <c r="K182" s="175" t="str">
        <f>IF(J182="","",VLOOKUP($B182,'F-1 Off Site River Baseline'!$C$9:$R$257,10,FALSE))</f>
        <v/>
      </c>
      <c r="L182" s="175" t="str">
        <f>IF(B182="","",VLOOKUP($B182,'C-1 Site River Baseline'!$C$9:$R$257,15,FALSE))</f>
        <v/>
      </c>
      <c r="M182" s="176" t="str">
        <f>IF(L182="","",VLOOKUP($B182,'F-1 Off Site River Baseline'!$C$9:$R$257,16,FALSE))</f>
        <v/>
      </c>
      <c r="N182" s="639" t="str">
        <f t="shared" si="18"/>
        <v/>
      </c>
      <c r="O182" s="171" t="str">
        <f t="shared" si="19"/>
        <v/>
      </c>
      <c r="P182" s="172" t="str">
        <f>IF(C182="","",IF(AND(LEFT(C182,55)&lt;&gt;LEFT(N182,55),O182="High - High"),"Error - Not like for like",IF(AND(F182=S182,H182&gt;U182),"Error - Can not reduce condition",IF(AND(F182=S182,H182=U182,AJ182='F-1 Off Site River Baseline'!N180,'F-1 Off Site River Baseline'!P180=AL182),"Error - No enhancement",IF(AND(C182&lt;&gt;N182,F182&lt;S182),"Lower Distinctiveness Habitat"&amp;" - "&amp;T182,G182&amp;" - "&amp;T182)))))</f>
        <v/>
      </c>
      <c r="Q182" s="260" t="str">
        <f>IF(N182="","",VLOOKUP(B182,'F-1 Off Site River Baseline'!$C$10:$AA$257,19,FALSE))</f>
        <v/>
      </c>
      <c r="R182" s="171" t="str">
        <f>IF(N182="","",VLOOKUP(N182,'G-7 Rivers Data'!$B$2:$G$8,2,FALSE))</f>
        <v/>
      </c>
      <c r="S182" s="172" t="str">
        <f>IFERROR(VLOOKUP(R182,'G-7 Rivers Data'!$C$4:$D$8,2,FALSE),"")</f>
        <v/>
      </c>
      <c r="T182" s="173"/>
      <c r="U182" s="172" t="str">
        <f>IFERROR(INDEX('G-7 Rivers Data'!$H$4:$L$8,MATCH(N182,'G-7 Rivers Data'!$B$4:$B$8,0),MATCH(T182,'G-7 Rivers Data'!$H$3:$L$3,0)),"")</f>
        <v/>
      </c>
      <c r="V182" s="186"/>
      <c r="W182" s="175" t="str">
        <f>IF(V182="","",IF(VLOOKUP(V182,'G-7 Rivers Data'!$AG$4:$AI$9,2,FALSE)=0,"Spatial Data Missing",VLOOKUP(V182,'G-7 Rivers Data'!$AG$4:$AI$9,2,FALSE)))</f>
        <v/>
      </c>
      <c r="X182" s="176" t="str">
        <f>IF(V182="","",IF(VLOOKUP(V182,'G-7 Rivers Data'!$AG$4:$AI$9,3,FALSE)=0,"Spatial Data Missing",VLOOKUP(V182,'G-7 Rivers Data'!$AG$4:$AI$9,3,FALSE)))</f>
        <v/>
      </c>
      <c r="Y182" s="239" t="str">
        <f>IFERROR(IF(OR(LEFT(P182,5)="Error",LEFT(O182,5)="Error"),"Check Data",IF(F182&lt;S182,'G-7 Rivers Data'!$R$3,INDEX('G-7 Rivers Data'!$U$5:$Y$9,MATCH(G182,'G-7 Rivers Data'!$T$5:$T$9,0),MATCH(T182,'G-7 Rivers Data'!$U$4:$Y$4,0)))),"")</f>
        <v/>
      </c>
      <c r="Z182" s="275"/>
      <c r="AA182" s="275"/>
      <c r="AB182" s="175" t="str">
        <f t="shared" si="20"/>
        <v/>
      </c>
      <c r="AC182" s="262" t="str">
        <f t="shared" si="21"/>
        <v/>
      </c>
      <c r="AD182" s="382" t="str">
        <f>IFERROR(IF(AC182="Check Data","Check Data",VLOOKUP(AC182,'G-4 Temporal multipliers'!$A$4:$C$37,3,FALSE)),"")</f>
        <v/>
      </c>
      <c r="AE182" s="239" t="str">
        <f>IF(N182="","",VLOOKUP(N182,'G-7 Rivers Data'!$B$4:$G$8,5,FALSE))</f>
        <v/>
      </c>
      <c r="AF182" s="175" t="str">
        <f t="shared" si="22"/>
        <v/>
      </c>
      <c r="AG182" s="175" t="str">
        <f t="shared" si="23"/>
        <v/>
      </c>
      <c r="AH182" s="176" t="str">
        <f t="shared" si="17"/>
        <v/>
      </c>
      <c r="AI182" s="173"/>
      <c r="AJ182" s="172" t="str">
        <f>IF(AI182="","",IF(VLOOKUP(AI182,'G-7 Rivers Data'!$AA$4:$AB$7,2,FALSE)=0,"Spatial Data Missing",VLOOKUP(AI182,'G-7 Rivers Data'!$AA$4:$AB$7,2,FALSE)))</f>
        <v/>
      </c>
      <c r="AK182" s="187"/>
      <c r="AL182" s="172" t="str">
        <f>IF(AK182="","",IF(VLOOKUP(AK182,'G-7 Rivers Data'!$AD$4:$AE$8,2,FALSE)=0,"Spatial Data Missing",VLOOKUP(AK182,'G-7 Rivers Data'!$AD$4:$AE$8,2,FALSE)))</f>
        <v/>
      </c>
      <c r="AM182" s="186"/>
      <c r="AN182" s="176" t="str">
        <f>IF(AM182="","",VLOOKUP(AM182,'G-7 Rivers Data'!$AO$4:$AP$7,2,FALSE))</f>
        <v/>
      </c>
      <c r="AO182" s="265" t="str">
        <f t="shared" si="24"/>
        <v/>
      </c>
      <c r="AP182" s="180"/>
      <c r="AQ182" s="181"/>
      <c r="AX182" s="35" t="str">
        <f>IFERROR(INDEX('G-7 Rivers Data'!$AZ$3:$AZ$7,MATCH(N182,'G-7 Rivers Data'!$AY$3:$AY$7,0)),"")</f>
        <v/>
      </c>
    </row>
    <row r="183" spans="2:50" ht="13.8" x14ac:dyDescent="0.25">
      <c r="B183" s="259" t="str">
        <f>'F-1 Off Site River Baseline'!AN181</f>
        <v/>
      </c>
      <c r="C183" s="175" t="str">
        <f>IF(B183="","",VLOOKUP($B183,'F-1 Off Site River Baseline'!$C$9:$R$257,2,FALSE))</f>
        <v/>
      </c>
      <c r="D183" s="175" t="str">
        <f>IF(C183="","",VLOOKUP($B183,'F-1 Off Site River Baseline'!$C$9:$R$257,3,FALSE))</f>
        <v/>
      </c>
      <c r="E183" s="175" t="str">
        <f>IF(D183="","",VLOOKUP($B183,'F-1 Off Site River Baseline'!$C$9:$R$257,4,FALSE))</f>
        <v/>
      </c>
      <c r="F183" s="175" t="str">
        <f>IF(E183="","",VLOOKUP($B183,'F-1 Off Site River Baseline'!$C$9:$R$257,5,FALSE))</f>
        <v/>
      </c>
      <c r="G183" s="175" t="str">
        <f>IF(F183="","",VLOOKUP($B183,'F-1 Off Site River Baseline'!$C$9:$R$257,6,FALSE))</f>
        <v/>
      </c>
      <c r="H183" s="175" t="str">
        <f>IF(G183="","",VLOOKUP($B183,'F-1 Off Site River Baseline'!$C$9:$R$257,7,FALSE))</f>
        <v/>
      </c>
      <c r="I183" s="175" t="str">
        <f>IF(H183="","",VLOOKUP($B183,'F-1 Off Site River Baseline'!$C$9:$R$257,8,FALSE))</f>
        <v/>
      </c>
      <c r="J183" s="175" t="str">
        <f>IF(I183="","",VLOOKUP($B183,'F-1 Off Site River Baseline'!$C$9:$R$257,9,FALSE))</f>
        <v/>
      </c>
      <c r="K183" s="175" t="str">
        <f>IF(J183="","",VLOOKUP($B183,'F-1 Off Site River Baseline'!$C$9:$R$257,10,FALSE))</f>
        <v/>
      </c>
      <c r="L183" s="175" t="str">
        <f>IF(B183="","",VLOOKUP($B183,'C-1 Site River Baseline'!$C$9:$R$257,15,FALSE))</f>
        <v/>
      </c>
      <c r="M183" s="176" t="str">
        <f>IF(L183="","",VLOOKUP($B183,'F-1 Off Site River Baseline'!$C$9:$R$257,16,FALSE))</f>
        <v/>
      </c>
      <c r="N183" s="639" t="str">
        <f t="shared" si="18"/>
        <v/>
      </c>
      <c r="O183" s="171" t="str">
        <f t="shared" si="19"/>
        <v/>
      </c>
      <c r="P183" s="172" t="str">
        <f>IF(C183="","",IF(AND(LEFT(C183,55)&lt;&gt;LEFT(N183,55),O183="High - High"),"Error - Not like for like",IF(AND(F183=S183,H183&gt;U183),"Error - Can not reduce condition",IF(AND(F183=S183,H183=U183,AJ183='F-1 Off Site River Baseline'!N181,'F-1 Off Site River Baseline'!P181=AL183),"Error - No enhancement",IF(AND(C183&lt;&gt;N183,F183&lt;S183),"Lower Distinctiveness Habitat"&amp;" - "&amp;T183,G183&amp;" - "&amp;T183)))))</f>
        <v/>
      </c>
      <c r="Q183" s="260" t="str">
        <f>IF(N183="","",VLOOKUP(B183,'F-1 Off Site River Baseline'!$C$10:$AA$257,19,FALSE))</f>
        <v/>
      </c>
      <c r="R183" s="171" t="str">
        <f>IF(N183="","",VLOOKUP(N183,'G-7 Rivers Data'!$B$2:$G$8,2,FALSE))</f>
        <v/>
      </c>
      <c r="S183" s="172" t="str">
        <f>IFERROR(VLOOKUP(R183,'G-7 Rivers Data'!$C$4:$D$8,2,FALSE),"")</f>
        <v/>
      </c>
      <c r="T183" s="173"/>
      <c r="U183" s="172" t="str">
        <f>IFERROR(INDEX('G-7 Rivers Data'!$H$4:$L$8,MATCH(N183,'G-7 Rivers Data'!$B$4:$B$8,0),MATCH(T183,'G-7 Rivers Data'!$H$3:$L$3,0)),"")</f>
        <v/>
      </c>
      <c r="V183" s="186"/>
      <c r="W183" s="175" t="str">
        <f>IF(V183="","",IF(VLOOKUP(V183,'G-7 Rivers Data'!$AG$4:$AI$9,2,FALSE)=0,"Spatial Data Missing",VLOOKUP(V183,'G-7 Rivers Data'!$AG$4:$AI$9,2,FALSE)))</f>
        <v/>
      </c>
      <c r="X183" s="176" t="str">
        <f>IF(V183="","",IF(VLOOKUP(V183,'G-7 Rivers Data'!$AG$4:$AI$9,3,FALSE)=0,"Spatial Data Missing",VLOOKUP(V183,'G-7 Rivers Data'!$AG$4:$AI$9,3,FALSE)))</f>
        <v/>
      </c>
      <c r="Y183" s="239" t="str">
        <f>IFERROR(IF(OR(LEFT(P183,5)="Error",LEFT(O183,5)="Error"),"Check Data",IF(F183&lt;S183,'G-7 Rivers Data'!$R$3,INDEX('G-7 Rivers Data'!$U$5:$Y$9,MATCH(G183,'G-7 Rivers Data'!$T$5:$T$9,0),MATCH(T183,'G-7 Rivers Data'!$U$4:$Y$4,0)))),"")</f>
        <v/>
      </c>
      <c r="Z183" s="275"/>
      <c r="AA183" s="275"/>
      <c r="AB183" s="175" t="str">
        <f t="shared" si="20"/>
        <v/>
      </c>
      <c r="AC183" s="262" t="str">
        <f t="shared" si="21"/>
        <v/>
      </c>
      <c r="AD183" s="382" t="str">
        <f>IFERROR(IF(AC183="Check Data","Check Data",VLOOKUP(AC183,'G-4 Temporal multipliers'!$A$4:$C$37,3,FALSE)),"")</f>
        <v/>
      </c>
      <c r="AE183" s="239" t="str">
        <f>IF(N183="","",VLOOKUP(N183,'G-7 Rivers Data'!$B$4:$G$8,5,FALSE))</f>
        <v/>
      </c>
      <c r="AF183" s="175" t="str">
        <f t="shared" si="22"/>
        <v/>
      </c>
      <c r="AG183" s="175" t="str">
        <f t="shared" si="23"/>
        <v/>
      </c>
      <c r="AH183" s="176" t="str">
        <f t="shared" si="17"/>
        <v/>
      </c>
      <c r="AI183" s="173"/>
      <c r="AJ183" s="172" t="str">
        <f>IF(AI183="","",IF(VLOOKUP(AI183,'G-7 Rivers Data'!$AA$4:$AB$7,2,FALSE)=0,"Spatial Data Missing",VLOOKUP(AI183,'G-7 Rivers Data'!$AA$4:$AB$7,2,FALSE)))</f>
        <v/>
      </c>
      <c r="AK183" s="187"/>
      <c r="AL183" s="172" t="str">
        <f>IF(AK183="","",IF(VLOOKUP(AK183,'G-7 Rivers Data'!$AD$4:$AE$8,2,FALSE)=0,"Spatial Data Missing",VLOOKUP(AK183,'G-7 Rivers Data'!$AD$4:$AE$8,2,FALSE)))</f>
        <v/>
      </c>
      <c r="AM183" s="186"/>
      <c r="AN183" s="176" t="str">
        <f>IF(AM183="","",VLOOKUP(AM183,'G-7 Rivers Data'!$AO$4:$AP$7,2,FALSE))</f>
        <v/>
      </c>
      <c r="AO183" s="265" t="str">
        <f t="shared" si="24"/>
        <v/>
      </c>
      <c r="AP183" s="180"/>
      <c r="AQ183" s="181"/>
      <c r="AX183" s="35" t="str">
        <f>IFERROR(INDEX('G-7 Rivers Data'!$AZ$3:$AZ$7,MATCH(N183,'G-7 Rivers Data'!$AY$3:$AY$7,0)),"")</f>
        <v/>
      </c>
    </row>
    <row r="184" spans="2:50" ht="13.8" x14ac:dyDescent="0.25">
      <c r="B184" s="259" t="str">
        <f>'F-1 Off Site River Baseline'!AN182</f>
        <v/>
      </c>
      <c r="C184" s="175" t="str">
        <f>IF(B184="","",VLOOKUP($B184,'F-1 Off Site River Baseline'!$C$9:$R$257,2,FALSE))</f>
        <v/>
      </c>
      <c r="D184" s="175" t="str">
        <f>IF(C184="","",VLOOKUP($B184,'F-1 Off Site River Baseline'!$C$9:$R$257,3,FALSE))</f>
        <v/>
      </c>
      <c r="E184" s="175" t="str">
        <f>IF(D184="","",VLOOKUP($B184,'F-1 Off Site River Baseline'!$C$9:$R$257,4,FALSE))</f>
        <v/>
      </c>
      <c r="F184" s="175" t="str">
        <f>IF(E184="","",VLOOKUP($B184,'F-1 Off Site River Baseline'!$C$9:$R$257,5,FALSE))</f>
        <v/>
      </c>
      <c r="G184" s="175" t="str">
        <f>IF(F184="","",VLOOKUP($B184,'F-1 Off Site River Baseline'!$C$9:$R$257,6,FALSE))</f>
        <v/>
      </c>
      <c r="H184" s="175" t="str">
        <f>IF(G184="","",VLOOKUP($B184,'F-1 Off Site River Baseline'!$C$9:$R$257,7,FALSE))</f>
        <v/>
      </c>
      <c r="I184" s="175" t="str">
        <f>IF(H184="","",VLOOKUP($B184,'F-1 Off Site River Baseline'!$C$9:$R$257,8,FALSE))</f>
        <v/>
      </c>
      <c r="J184" s="175" t="str">
        <f>IF(I184="","",VLOOKUP($B184,'F-1 Off Site River Baseline'!$C$9:$R$257,9,FALSE))</f>
        <v/>
      </c>
      <c r="K184" s="175" t="str">
        <f>IF(J184="","",VLOOKUP($B184,'F-1 Off Site River Baseline'!$C$9:$R$257,10,FALSE))</f>
        <v/>
      </c>
      <c r="L184" s="175" t="str">
        <f>IF(B184="","",VLOOKUP($B184,'C-1 Site River Baseline'!$C$9:$R$257,15,FALSE))</f>
        <v/>
      </c>
      <c r="M184" s="176" t="str">
        <f>IF(L184="","",VLOOKUP($B184,'F-1 Off Site River Baseline'!$C$9:$R$257,16,FALSE))</f>
        <v/>
      </c>
      <c r="N184" s="639" t="str">
        <f t="shared" si="18"/>
        <v/>
      </c>
      <c r="O184" s="171" t="str">
        <f t="shared" si="19"/>
        <v/>
      </c>
      <c r="P184" s="172" t="str">
        <f>IF(C184="","",IF(AND(LEFT(C184,55)&lt;&gt;LEFT(N184,55),O184="High - High"),"Error - Not like for like",IF(AND(F184=S184,H184&gt;U184),"Error - Can not reduce condition",IF(AND(F184=S184,H184=U184,AJ184='F-1 Off Site River Baseline'!N182,'F-1 Off Site River Baseline'!P182=AL184),"Error - No enhancement",IF(AND(C184&lt;&gt;N184,F184&lt;S184),"Lower Distinctiveness Habitat"&amp;" - "&amp;T184,G184&amp;" - "&amp;T184)))))</f>
        <v/>
      </c>
      <c r="Q184" s="260" t="str">
        <f>IF(N184="","",VLOOKUP(B184,'F-1 Off Site River Baseline'!$C$10:$AA$257,19,FALSE))</f>
        <v/>
      </c>
      <c r="R184" s="171" t="str">
        <f>IF(N184="","",VLOOKUP(N184,'G-7 Rivers Data'!$B$2:$G$8,2,FALSE))</f>
        <v/>
      </c>
      <c r="S184" s="172" t="str">
        <f>IFERROR(VLOOKUP(R184,'G-7 Rivers Data'!$C$4:$D$8,2,FALSE),"")</f>
        <v/>
      </c>
      <c r="T184" s="173"/>
      <c r="U184" s="172" t="str">
        <f>IFERROR(INDEX('G-7 Rivers Data'!$H$4:$L$8,MATCH(N184,'G-7 Rivers Data'!$B$4:$B$8,0),MATCH(T184,'G-7 Rivers Data'!$H$3:$L$3,0)),"")</f>
        <v/>
      </c>
      <c r="V184" s="186"/>
      <c r="W184" s="175" t="str">
        <f>IF(V184="","",IF(VLOOKUP(V184,'G-7 Rivers Data'!$AG$4:$AI$9,2,FALSE)=0,"Spatial Data Missing",VLOOKUP(V184,'G-7 Rivers Data'!$AG$4:$AI$9,2,FALSE)))</f>
        <v/>
      </c>
      <c r="X184" s="176" t="str">
        <f>IF(V184="","",IF(VLOOKUP(V184,'G-7 Rivers Data'!$AG$4:$AI$9,3,FALSE)=0,"Spatial Data Missing",VLOOKUP(V184,'G-7 Rivers Data'!$AG$4:$AI$9,3,FALSE)))</f>
        <v/>
      </c>
      <c r="Y184" s="239" t="str">
        <f>IFERROR(IF(OR(LEFT(P184,5)="Error",LEFT(O184,5)="Error"),"Check Data",IF(F184&lt;S184,'G-7 Rivers Data'!$R$3,INDEX('G-7 Rivers Data'!$U$5:$Y$9,MATCH(G184,'G-7 Rivers Data'!$T$5:$T$9,0),MATCH(T184,'G-7 Rivers Data'!$U$4:$Y$4,0)))),"")</f>
        <v/>
      </c>
      <c r="Z184" s="275"/>
      <c r="AA184" s="275"/>
      <c r="AB184" s="175" t="str">
        <f t="shared" si="20"/>
        <v/>
      </c>
      <c r="AC184" s="262" t="str">
        <f t="shared" si="21"/>
        <v/>
      </c>
      <c r="AD184" s="382" t="str">
        <f>IFERROR(IF(AC184="Check Data","Check Data",VLOOKUP(AC184,'G-4 Temporal multipliers'!$A$4:$C$37,3,FALSE)),"")</f>
        <v/>
      </c>
      <c r="AE184" s="239" t="str">
        <f>IF(N184="","",VLOOKUP(N184,'G-7 Rivers Data'!$B$4:$G$8,5,FALSE))</f>
        <v/>
      </c>
      <c r="AF184" s="175" t="str">
        <f t="shared" si="22"/>
        <v/>
      </c>
      <c r="AG184" s="175" t="str">
        <f t="shared" si="23"/>
        <v/>
      </c>
      <c r="AH184" s="176" t="str">
        <f t="shared" si="17"/>
        <v/>
      </c>
      <c r="AI184" s="173"/>
      <c r="AJ184" s="172" t="str">
        <f>IF(AI184="","",IF(VLOOKUP(AI184,'G-7 Rivers Data'!$AA$4:$AB$7,2,FALSE)=0,"Spatial Data Missing",VLOOKUP(AI184,'G-7 Rivers Data'!$AA$4:$AB$7,2,FALSE)))</f>
        <v/>
      </c>
      <c r="AK184" s="187"/>
      <c r="AL184" s="172" t="str">
        <f>IF(AK184="","",IF(VLOOKUP(AK184,'G-7 Rivers Data'!$AD$4:$AE$8,2,FALSE)=0,"Spatial Data Missing",VLOOKUP(AK184,'G-7 Rivers Data'!$AD$4:$AE$8,2,FALSE)))</f>
        <v/>
      </c>
      <c r="AM184" s="186"/>
      <c r="AN184" s="176" t="str">
        <f>IF(AM184="","",VLOOKUP(AM184,'G-7 Rivers Data'!$AO$4:$AP$7,2,FALSE))</f>
        <v/>
      </c>
      <c r="AO184" s="265" t="str">
        <f t="shared" si="24"/>
        <v/>
      </c>
      <c r="AP184" s="180"/>
      <c r="AQ184" s="181"/>
      <c r="AX184" s="35" t="str">
        <f>IFERROR(INDEX('G-7 Rivers Data'!$AZ$3:$AZ$7,MATCH(N184,'G-7 Rivers Data'!$AY$3:$AY$7,0)),"")</f>
        <v/>
      </c>
    </row>
    <row r="185" spans="2:50" ht="13.8" x14ac:dyDescent="0.25">
      <c r="B185" s="259" t="str">
        <f>'F-1 Off Site River Baseline'!AN183</f>
        <v/>
      </c>
      <c r="C185" s="175" t="str">
        <f>IF(B185="","",VLOOKUP($B185,'F-1 Off Site River Baseline'!$C$9:$R$257,2,FALSE))</f>
        <v/>
      </c>
      <c r="D185" s="175" t="str">
        <f>IF(C185="","",VLOOKUP($B185,'F-1 Off Site River Baseline'!$C$9:$R$257,3,FALSE))</f>
        <v/>
      </c>
      <c r="E185" s="175" t="str">
        <f>IF(D185="","",VLOOKUP($B185,'F-1 Off Site River Baseline'!$C$9:$R$257,4,FALSE))</f>
        <v/>
      </c>
      <c r="F185" s="175" t="str">
        <f>IF(E185="","",VLOOKUP($B185,'F-1 Off Site River Baseline'!$C$9:$R$257,5,FALSE))</f>
        <v/>
      </c>
      <c r="G185" s="175" t="str">
        <f>IF(F185="","",VLOOKUP($B185,'F-1 Off Site River Baseline'!$C$9:$R$257,6,FALSE))</f>
        <v/>
      </c>
      <c r="H185" s="175" t="str">
        <f>IF(G185="","",VLOOKUP($B185,'F-1 Off Site River Baseline'!$C$9:$R$257,7,FALSE))</f>
        <v/>
      </c>
      <c r="I185" s="175" t="str">
        <f>IF(H185="","",VLOOKUP($B185,'F-1 Off Site River Baseline'!$C$9:$R$257,8,FALSE))</f>
        <v/>
      </c>
      <c r="J185" s="175" t="str">
        <f>IF(I185="","",VLOOKUP($B185,'F-1 Off Site River Baseline'!$C$9:$R$257,9,FALSE))</f>
        <v/>
      </c>
      <c r="K185" s="175" t="str">
        <f>IF(J185="","",VLOOKUP($B185,'F-1 Off Site River Baseline'!$C$9:$R$257,10,FALSE))</f>
        <v/>
      </c>
      <c r="L185" s="175" t="str">
        <f>IF(B185="","",VLOOKUP($B185,'C-1 Site River Baseline'!$C$9:$R$257,15,FALSE))</f>
        <v/>
      </c>
      <c r="M185" s="176" t="str">
        <f>IF(L185="","",VLOOKUP($B185,'F-1 Off Site River Baseline'!$C$9:$R$257,16,FALSE))</f>
        <v/>
      </c>
      <c r="N185" s="639" t="str">
        <f t="shared" si="18"/>
        <v/>
      </c>
      <c r="O185" s="171" t="str">
        <f t="shared" si="19"/>
        <v/>
      </c>
      <c r="P185" s="172" t="str">
        <f>IF(C185="","",IF(AND(LEFT(C185,55)&lt;&gt;LEFT(N185,55),O185="High - High"),"Error - Not like for like",IF(AND(F185=S185,H185&gt;U185),"Error - Can not reduce condition",IF(AND(F185=S185,H185=U185,AJ185='F-1 Off Site River Baseline'!N183,'F-1 Off Site River Baseline'!P183=AL185),"Error - No enhancement",IF(AND(C185&lt;&gt;N185,F185&lt;S185),"Lower Distinctiveness Habitat"&amp;" - "&amp;T185,G185&amp;" - "&amp;T185)))))</f>
        <v/>
      </c>
      <c r="Q185" s="260" t="str">
        <f>IF(N185="","",VLOOKUP(B185,'F-1 Off Site River Baseline'!$C$10:$AA$257,19,FALSE))</f>
        <v/>
      </c>
      <c r="R185" s="171" t="str">
        <f>IF(N185="","",VLOOKUP(N185,'G-7 Rivers Data'!$B$2:$G$8,2,FALSE))</f>
        <v/>
      </c>
      <c r="S185" s="172" t="str">
        <f>IFERROR(VLOOKUP(R185,'G-7 Rivers Data'!$C$4:$D$8,2,FALSE),"")</f>
        <v/>
      </c>
      <c r="T185" s="173"/>
      <c r="U185" s="172" t="str">
        <f>IFERROR(INDEX('G-7 Rivers Data'!$H$4:$L$8,MATCH(N185,'G-7 Rivers Data'!$B$4:$B$8,0),MATCH(T185,'G-7 Rivers Data'!$H$3:$L$3,0)),"")</f>
        <v/>
      </c>
      <c r="V185" s="186"/>
      <c r="W185" s="175" t="str">
        <f>IF(V185="","",IF(VLOOKUP(V185,'G-7 Rivers Data'!$AG$4:$AI$9,2,FALSE)=0,"Spatial Data Missing",VLOOKUP(V185,'G-7 Rivers Data'!$AG$4:$AI$9,2,FALSE)))</f>
        <v/>
      </c>
      <c r="X185" s="176" t="str">
        <f>IF(V185="","",IF(VLOOKUP(V185,'G-7 Rivers Data'!$AG$4:$AI$9,3,FALSE)=0,"Spatial Data Missing",VLOOKUP(V185,'G-7 Rivers Data'!$AG$4:$AI$9,3,FALSE)))</f>
        <v/>
      </c>
      <c r="Y185" s="239" t="str">
        <f>IFERROR(IF(OR(LEFT(P185,5)="Error",LEFT(O185,5)="Error"),"Check Data",IF(F185&lt;S185,'G-7 Rivers Data'!$R$3,INDEX('G-7 Rivers Data'!$U$5:$Y$9,MATCH(G185,'G-7 Rivers Data'!$T$5:$T$9,0),MATCH(T185,'G-7 Rivers Data'!$U$4:$Y$4,0)))),"")</f>
        <v/>
      </c>
      <c r="Z185" s="275"/>
      <c r="AA185" s="275"/>
      <c r="AB185" s="175" t="str">
        <f t="shared" si="20"/>
        <v/>
      </c>
      <c r="AC185" s="262" t="str">
        <f t="shared" si="21"/>
        <v/>
      </c>
      <c r="AD185" s="382" t="str">
        <f>IFERROR(IF(AC185="Check Data","Check Data",VLOOKUP(AC185,'G-4 Temporal multipliers'!$A$4:$C$37,3,FALSE)),"")</f>
        <v/>
      </c>
      <c r="AE185" s="239" t="str">
        <f>IF(N185="","",VLOOKUP(N185,'G-7 Rivers Data'!$B$4:$G$8,5,FALSE))</f>
        <v/>
      </c>
      <c r="AF185" s="175" t="str">
        <f t="shared" si="22"/>
        <v/>
      </c>
      <c r="AG185" s="175" t="str">
        <f t="shared" si="23"/>
        <v/>
      </c>
      <c r="AH185" s="176" t="str">
        <f t="shared" si="17"/>
        <v/>
      </c>
      <c r="AI185" s="173"/>
      <c r="AJ185" s="172" t="str">
        <f>IF(AI185="","",IF(VLOOKUP(AI185,'G-7 Rivers Data'!$AA$4:$AB$7,2,FALSE)=0,"Spatial Data Missing",VLOOKUP(AI185,'G-7 Rivers Data'!$AA$4:$AB$7,2,FALSE)))</f>
        <v/>
      </c>
      <c r="AK185" s="187"/>
      <c r="AL185" s="172" t="str">
        <f>IF(AK185="","",IF(VLOOKUP(AK185,'G-7 Rivers Data'!$AD$4:$AE$8,2,FALSE)=0,"Spatial Data Missing",VLOOKUP(AK185,'G-7 Rivers Data'!$AD$4:$AE$8,2,FALSE)))</f>
        <v/>
      </c>
      <c r="AM185" s="186"/>
      <c r="AN185" s="176" t="str">
        <f>IF(AM185="","",VLOOKUP(AM185,'G-7 Rivers Data'!$AO$4:$AP$7,2,FALSE))</f>
        <v/>
      </c>
      <c r="AO185" s="265" t="str">
        <f t="shared" si="24"/>
        <v/>
      </c>
      <c r="AP185" s="180"/>
      <c r="AQ185" s="181"/>
      <c r="AX185" s="35" t="str">
        <f>IFERROR(INDEX('G-7 Rivers Data'!$AZ$3:$AZ$7,MATCH(N185,'G-7 Rivers Data'!$AY$3:$AY$7,0)),"")</f>
        <v/>
      </c>
    </row>
    <row r="186" spans="2:50" ht="13.8" x14ac:dyDescent="0.25">
      <c r="B186" s="259" t="str">
        <f>'F-1 Off Site River Baseline'!AN184</f>
        <v/>
      </c>
      <c r="C186" s="175" t="str">
        <f>IF(B186="","",VLOOKUP($B186,'F-1 Off Site River Baseline'!$C$9:$R$257,2,FALSE))</f>
        <v/>
      </c>
      <c r="D186" s="175" t="str">
        <f>IF(C186="","",VLOOKUP($B186,'F-1 Off Site River Baseline'!$C$9:$R$257,3,FALSE))</f>
        <v/>
      </c>
      <c r="E186" s="175" t="str">
        <f>IF(D186="","",VLOOKUP($B186,'F-1 Off Site River Baseline'!$C$9:$R$257,4,FALSE))</f>
        <v/>
      </c>
      <c r="F186" s="175" t="str">
        <f>IF(E186="","",VLOOKUP($B186,'F-1 Off Site River Baseline'!$C$9:$R$257,5,FALSE))</f>
        <v/>
      </c>
      <c r="G186" s="175" t="str">
        <f>IF(F186="","",VLOOKUP($B186,'F-1 Off Site River Baseline'!$C$9:$R$257,6,FALSE))</f>
        <v/>
      </c>
      <c r="H186" s="175" t="str">
        <f>IF(G186="","",VLOOKUP($B186,'F-1 Off Site River Baseline'!$C$9:$R$257,7,FALSE))</f>
        <v/>
      </c>
      <c r="I186" s="175" t="str">
        <f>IF(H186="","",VLOOKUP($B186,'F-1 Off Site River Baseline'!$C$9:$R$257,8,FALSE))</f>
        <v/>
      </c>
      <c r="J186" s="175" t="str">
        <f>IF(I186="","",VLOOKUP($B186,'F-1 Off Site River Baseline'!$C$9:$R$257,9,FALSE))</f>
        <v/>
      </c>
      <c r="K186" s="175" t="str">
        <f>IF(J186="","",VLOOKUP($B186,'F-1 Off Site River Baseline'!$C$9:$R$257,10,FALSE))</f>
        <v/>
      </c>
      <c r="L186" s="175" t="str">
        <f>IF(B186="","",VLOOKUP($B186,'C-1 Site River Baseline'!$C$9:$R$257,15,FALSE))</f>
        <v/>
      </c>
      <c r="M186" s="176" t="str">
        <f>IF(L186="","",VLOOKUP($B186,'F-1 Off Site River Baseline'!$C$9:$R$257,16,FALSE))</f>
        <v/>
      </c>
      <c r="N186" s="639" t="str">
        <f t="shared" si="18"/>
        <v/>
      </c>
      <c r="O186" s="171" t="str">
        <f t="shared" si="19"/>
        <v/>
      </c>
      <c r="P186" s="172" t="str">
        <f>IF(C186="","",IF(AND(LEFT(C186,55)&lt;&gt;LEFT(N186,55),O186="High - High"),"Error - Not like for like",IF(AND(F186=S186,H186&gt;U186),"Error - Can not reduce condition",IF(AND(F186=S186,H186=U186,AJ186='F-1 Off Site River Baseline'!N184,'F-1 Off Site River Baseline'!P184=AL186),"Error - No enhancement",IF(AND(C186&lt;&gt;N186,F186&lt;S186),"Lower Distinctiveness Habitat"&amp;" - "&amp;T186,G186&amp;" - "&amp;T186)))))</f>
        <v/>
      </c>
      <c r="Q186" s="260" t="str">
        <f>IF(N186="","",VLOOKUP(B186,'F-1 Off Site River Baseline'!$C$10:$AA$257,19,FALSE))</f>
        <v/>
      </c>
      <c r="R186" s="171" t="str">
        <f>IF(N186="","",VLOOKUP(N186,'G-7 Rivers Data'!$B$2:$G$8,2,FALSE))</f>
        <v/>
      </c>
      <c r="S186" s="172" t="str">
        <f>IFERROR(VLOOKUP(R186,'G-7 Rivers Data'!$C$4:$D$8,2,FALSE),"")</f>
        <v/>
      </c>
      <c r="T186" s="173"/>
      <c r="U186" s="172" t="str">
        <f>IFERROR(INDEX('G-7 Rivers Data'!$H$4:$L$8,MATCH(N186,'G-7 Rivers Data'!$B$4:$B$8,0),MATCH(T186,'G-7 Rivers Data'!$H$3:$L$3,0)),"")</f>
        <v/>
      </c>
      <c r="V186" s="186"/>
      <c r="W186" s="175" t="str">
        <f>IF(V186="","",IF(VLOOKUP(V186,'G-7 Rivers Data'!$AG$4:$AI$9,2,FALSE)=0,"Spatial Data Missing",VLOOKUP(V186,'G-7 Rivers Data'!$AG$4:$AI$9,2,FALSE)))</f>
        <v/>
      </c>
      <c r="X186" s="176" t="str">
        <f>IF(V186="","",IF(VLOOKUP(V186,'G-7 Rivers Data'!$AG$4:$AI$9,3,FALSE)=0,"Spatial Data Missing",VLOOKUP(V186,'G-7 Rivers Data'!$AG$4:$AI$9,3,FALSE)))</f>
        <v/>
      </c>
      <c r="Y186" s="239" t="str">
        <f>IFERROR(IF(OR(LEFT(P186,5)="Error",LEFT(O186,5)="Error"),"Check Data",IF(F186&lt;S186,'G-7 Rivers Data'!$R$3,INDEX('G-7 Rivers Data'!$U$5:$Y$9,MATCH(G186,'G-7 Rivers Data'!$T$5:$T$9,0),MATCH(T186,'G-7 Rivers Data'!$U$4:$Y$4,0)))),"")</f>
        <v/>
      </c>
      <c r="Z186" s="275"/>
      <c r="AA186" s="275"/>
      <c r="AB186" s="175" t="str">
        <f t="shared" si="20"/>
        <v/>
      </c>
      <c r="AC186" s="262" t="str">
        <f t="shared" si="21"/>
        <v/>
      </c>
      <c r="AD186" s="382" t="str">
        <f>IFERROR(IF(AC186="Check Data","Check Data",VLOOKUP(AC186,'G-4 Temporal multipliers'!$A$4:$C$37,3,FALSE)),"")</f>
        <v/>
      </c>
      <c r="AE186" s="239" t="str">
        <f>IF(N186="","",VLOOKUP(N186,'G-7 Rivers Data'!$B$4:$G$8,5,FALSE))</f>
        <v/>
      </c>
      <c r="AF186" s="175" t="str">
        <f t="shared" si="22"/>
        <v/>
      </c>
      <c r="AG186" s="175" t="str">
        <f t="shared" si="23"/>
        <v/>
      </c>
      <c r="AH186" s="176" t="str">
        <f t="shared" si="17"/>
        <v/>
      </c>
      <c r="AI186" s="173"/>
      <c r="AJ186" s="172" t="str">
        <f>IF(AI186="","",IF(VLOOKUP(AI186,'G-7 Rivers Data'!$AA$4:$AB$7,2,FALSE)=0,"Spatial Data Missing",VLOOKUP(AI186,'G-7 Rivers Data'!$AA$4:$AB$7,2,FALSE)))</f>
        <v/>
      </c>
      <c r="AK186" s="187"/>
      <c r="AL186" s="172" t="str">
        <f>IF(AK186="","",IF(VLOOKUP(AK186,'G-7 Rivers Data'!$AD$4:$AE$8,2,FALSE)=0,"Spatial Data Missing",VLOOKUP(AK186,'G-7 Rivers Data'!$AD$4:$AE$8,2,FALSE)))</f>
        <v/>
      </c>
      <c r="AM186" s="186"/>
      <c r="AN186" s="176" t="str">
        <f>IF(AM186="","",VLOOKUP(AM186,'G-7 Rivers Data'!$AO$4:$AP$7,2,FALSE))</f>
        <v/>
      </c>
      <c r="AO186" s="265" t="str">
        <f t="shared" si="24"/>
        <v/>
      </c>
      <c r="AP186" s="180"/>
      <c r="AQ186" s="181"/>
      <c r="AX186" s="35" t="str">
        <f>IFERROR(INDEX('G-7 Rivers Data'!$AZ$3:$AZ$7,MATCH(N186,'G-7 Rivers Data'!$AY$3:$AY$7,0)),"")</f>
        <v/>
      </c>
    </row>
    <row r="187" spans="2:50" ht="13.8" x14ac:dyDescent="0.25">
      <c r="B187" s="259" t="str">
        <f>'F-1 Off Site River Baseline'!AN185</f>
        <v/>
      </c>
      <c r="C187" s="175" t="str">
        <f>IF(B187="","",VLOOKUP($B187,'F-1 Off Site River Baseline'!$C$9:$R$257,2,FALSE))</f>
        <v/>
      </c>
      <c r="D187" s="175" t="str">
        <f>IF(C187="","",VLOOKUP($B187,'F-1 Off Site River Baseline'!$C$9:$R$257,3,FALSE))</f>
        <v/>
      </c>
      <c r="E187" s="175" t="str">
        <f>IF(D187="","",VLOOKUP($B187,'F-1 Off Site River Baseline'!$C$9:$R$257,4,FALSE))</f>
        <v/>
      </c>
      <c r="F187" s="175" t="str">
        <f>IF(E187="","",VLOOKUP($B187,'F-1 Off Site River Baseline'!$C$9:$R$257,5,FALSE))</f>
        <v/>
      </c>
      <c r="G187" s="175" t="str">
        <f>IF(F187="","",VLOOKUP($B187,'F-1 Off Site River Baseline'!$C$9:$R$257,6,FALSE))</f>
        <v/>
      </c>
      <c r="H187" s="175" t="str">
        <f>IF(G187="","",VLOOKUP($B187,'F-1 Off Site River Baseline'!$C$9:$R$257,7,FALSE))</f>
        <v/>
      </c>
      <c r="I187" s="175" t="str">
        <f>IF(H187="","",VLOOKUP($B187,'F-1 Off Site River Baseline'!$C$9:$R$257,8,FALSE))</f>
        <v/>
      </c>
      <c r="J187" s="175" t="str">
        <f>IF(I187="","",VLOOKUP($B187,'F-1 Off Site River Baseline'!$C$9:$R$257,9,FALSE))</f>
        <v/>
      </c>
      <c r="K187" s="175" t="str">
        <f>IF(J187="","",VLOOKUP($B187,'F-1 Off Site River Baseline'!$C$9:$R$257,10,FALSE))</f>
        <v/>
      </c>
      <c r="L187" s="175" t="str">
        <f>IF(B187="","",VLOOKUP($B187,'C-1 Site River Baseline'!$C$9:$R$257,15,FALSE))</f>
        <v/>
      </c>
      <c r="M187" s="176" t="str">
        <f>IF(L187="","",VLOOKUP($B187,'F-1 Off Site River Baseline'!$C$9:$R$257,16,FALSE))</f>
        <v/>
      </c>
      <c r="N187" s="639" t="str">
        <f t="shared" si="18"/>
        <v/>
      </c>
      <c r="O187" s="171" t="str">
        <f t="shared" si="19"/>
        <v/>
      </c>
      <c r="P187" s="172" t="str">
        <f>IF(C187="","",IF(AND(LEFT(C187,55)&lt;&gt;LEFT(N187,55),O187="High - High"),"Error - Not like for like",IF(AND(F187=S187,H187&gt;U187),"Error - Can not reduce condition",IF(AND(F187=S187,H187=U187,AJ187='F-1 Off Site River Baseline'!N185,'F-1 Off Site River Baseline'!P185=AL187),"Error - No enhancement",IF(AND(C187&lt;&gt;N187,F187&lt;S187),"Lower Distinctiveness Habitat"&amp;" - "&amp;T187,G187&amp;" - "&amp;T187)))))</f>
        <v/>
      </c>
      <c r="Q187" s="260" t="str">
        <f>IF(N187="","",VLOOKUP(B187,'F-1 Off Site River Baseline'!$C$10:$AA$257,19,FALSE))</f>
        <v/>
      </c>
      <c r="R187" s="171" t="str">
        <f>IF(N187="","",VLOOKUP(N187,'G-7 Rivers Data'!$B$2:$G$8,2,FALSE))</f>
        <v/>
      </c>
      <c r="S187" s="172" t="str">
        <f>IFERROR(VLOOKUP(R187,'G-7 Rivers Data'!$C$4:$D$8,2,FALSE),"")</f>
        <v/>
      </c>
      <c r="T187" s="173"/>
      <c r="U187" s="172" t="str">
        <f>IFERROR(INDEX('G-7 Rivers Data'!$H$4:$L$8,MATCH(N187,'G-7 Rivers Data'!$B$4:$B$8,0),MATCH(T187,'G-7 Rivers Data'!$H$3:$L$3,0)),"")</f>
        <v/>
      </c>
      <c r="V187" s="186"/>
      <c r="W187" s="175" t="str">
        <f>IF(V187="","",IF(VLOOKUP(V187,'G-7 Rivers Data'!$AG$4:$AI$9,2,FALSE)=0,"Spatial Data Missing",VLOOKUP(V187,'G-7 Rivers Data'!$AG$4:$AI$9,2,FALSE)))</f>
        <v/>
      </c>
      <c r="X187" s="176" t="str">
        <f>IF(V187="","",IF(VLOOKUP(V187,'G-7 Rivers Data'!$AG$4:$AI$9,3,FALSE)=0,"Spatial Data Missing",VLOOKUP(V187,'G-7 Rivers Data'!$AG$4:$AI$9,3,FALSE)))</f>
        <v/>
      </c>
      <c r="Y187" s="239" t="str">
        <f>IFERROR(IF(OR(LEFT(P187,5)="Error",LEFT(O187,5)="Error"),"Check Data",IF(F187&lt;S187,'G-7 Rivers Data'!$R$3,INDEX('G-7 Rivers Data'!$U$5:$Y$9,MATCH(G187,'G-7 Rivers Data'!$T$5:$T$9,0),MATCH(T187,'G-7 Rivers Data'!$U$4:$Y$4,0)))),"")</f>
        <v/>
      </c>
      <c r="Z187" s="275"/>
      <c r="AA187" s="275"/>
      <c r="AB187" s="175" t="str">
        <f t="shared" si="20"/>
        <v/>
      </c>
      <c r="AC187" s="262" t="str">
        <f t="shared" si="21"/>
        <v/>
      </c>
      <c r="AD187" s="382" t="str">
        <f>IFERROR(IF(AC187="Check Data","Check Data",VLOOKUP(AC187,'G-4 Temporal multipliers'!$A$4:$C$37,3,FALSE)),"")</f>
        <v/>
      </c>
      <c r="AE187" s="239" t="str">
        <f>IF(N187="","",VLOOKUP(N187,'G-7 Rivers Data'!$B$4:$G$8,5,FALSE))</f>
        <v/>
      </c>
      <c r="AF187" s="175" t="str">
        <f t="shared" si="22"/>
        <v/>
      </c>
      <c r="AG187" s="175" t="str">
        <f t="shared" si="23"/>
        <v/>
      </c>
      <c r="AH187" s="176" t="str">
        <f t="shared" si="17"/>
        <v/>
      </c>
      <c r="AI187" s="173"/>
      <c r="AJ187" s="172" t="str">
        <f>IF(AI187="","",IF(VLOOKUP(AI187,'G-7 Rivers Data'!$AA$4:$AB$7,2,FALSE)=0,"Spatial Data Missing",VLOOKUP(AI187,'G-7 Rivers Data'!$AA$4:$AB$7,2,FALSE)))</f>
        <v/>
      </c>
      <c r="AK187" s="187"/>
      <c r="AL187" s="172" t="str">
        <f>IF(AK187="","",IF(VLOOKUP(AK187,'G-7 Rivers Data'!$AD$4:$AE$8,2,FALSE)=0,"Spatial Data Missing",VLOOKUP(AK187,'G-7 Rivers Data'!$AD$4:$AE$8,2,FALSE)))</f>
        <v/>
      </c>
      <c r="AM187" s="186"/>
      <c r="AN187" s="176" t="str">
        <f>IF(AM187="","",VLOOKUP(AM187,'G-7 Rivers Data'!$AO$4:$AP$7,2,FALSE))</f>
        <v/>
      </c>
      <c r="AO187" s="265" t="str">
        <f t="shared" si="24"/>
        <v/>
      </c>
      <c r="AP187" s="180"/>
      <c r="AQ187" s="181"/>
      <c r="AX187" s="35" t="str">
        <f>IFERROR(INDEX('G-7 Rivers Data'!$AZ$3:$AZ$7,MATCH(N187,'G-7 Rivers Data'!$AY$3:$AY$7,0)),"")</f>
        <v/>
      </c>
    </row>
    <row r="188" spans="2:50" ht="13.8" x14ac:dyDescent="0.25">
      <c r="B188" s="259" t="str">
        <f>'F-1 Off Site River Baseline'!AN186</f>
        <v/>
      </c>
      <c r="C188" s="175" t="str">
        <f>IF(B188="","",VLOOKUP($B188,'F-1 Off Site River Baseline'!$C$9:$R$257,2,FALSE))</f>
        <v/>
      </c>
      <c r="D188" s="175" t="str">
        <f>IF(C188="","",VLOOKUP($B188,'F-1 Off Site River Baseline'!$C$9:$R$257,3,FALSE))</f>
        <v/>
      </c>
      <c r="E188" s="175" t="str">
        <f>IF(D188="","",VLOOKUP($B188,'F-1 Off Site River Baseline'!$C$9:$R$257,4,FALSE))</f>
        <v/>
      </c>
      <c r="F188" s="175" t="str">
        <f>IF(E188="","",VLOOKUP($B188,'F-1 Off Site River Baseline'!$C$9:$R$257,5,FALSE))</f>
        <v/>
      </c>
      <c r="G188" s="175" t="str">
        <f>IF(F188="","",VLOOKUP($B188,'F-1 Off Site River Baseline'!$C$9:$R$257,6,FALSE))</f>
        <v/>
      </c>
      <c r="H188" s="175" t="str">
        <f>IF(G188="","",VLOOKUP($B188,'F-1 Off Site River Baseline'!$C$9:$R$257,7,FALSE))</f>
        <v/>
      </c>
      <c r="I188" s="175" t="str">
        <f>IF(H188="","",VLOOKUP($B188,'F-1 Off Site River Baseline'!$C$9:$R$257,8,FALSE))</f>
        <v/>
      </c>
      <c r="J188" s="175" t="str">
        <f>IF(I188="","",VLOOKUP($B188,'F-1 Off Site River Baseline'!$C$9:$R$257,9,FALSE))</f>
        <v/>
      </c>
      <c r="K188" s="175" t="str">
        <f>IF(J188="","",VLOOKUP($B188,'F-1 Off Site River Baseline'!$C$9:$R$257,10,FALSE))</f>
        <v/>
      </c>
      <c r="L188" s="175" t="str">
        <f>IF(B188="","",VLOOKUP($B188,'C-1 Site River Baseline'!$C$9:$R$257,15,FALSE))</f>
        <v/>
      </c>
      <c r="M188" s="176" t="str">
        <f>IF(L188="","",VLOOKUP($B188,'F-1 Off Site River Baseline'!$C$9:$R$257,16,FALSE))</f>
        <v/>
      </c>
      <c r="N188" s="639" t="str">
        <f t="shared" si="18"/>
        <v/>
      </c>
      <c r="O188" s="171" t="str">
        <f t="shared" si="19"/>
        <v/>
      </c>
      <c r="P188" s="172" t="str">
        <f>IF(C188="","",IF(AND(LEFT(C188,55)&lt;&gt;LEFT(N188,55),O188="High - High"),"Error - Not like for like",IF(AND(F188=S188,H188&gt;U188),"Error - Can not reduce condition",IF(AND(F188=S188,H188=U188,AJ188='F-1 Off Site River Baseline'!N186,'F-1 Off Site River Baseline'!P186=AL188),"Error - No enhancement",IF(AND(C188&lt;&gt;N188,F188&lt;S188),"Lower Distinctiveness Habitat"&amp;" - "&amp;T188,G188&amp;" - "&amp;T188)))))</f>
        <v/>
      </c>
      <c r="Q188" s="260" t="str">
        <f>IF(N188="","",VLOOKUP(B188,'F-1 Off Site River Baseline'!$C$10:$AA$257,19,FALSE))</f>
        <v/>
      </c>
      <c r="R188" s="171" t="str">
        <f>IF(N188="","",VLOOKUP(N188,'G-7 Rivers Data'!$B$2:$G$8,2,FALSE))</f>
        <v/>
      </c>
      <c r="S188" s="172" t="str">
        <f>IFERROR(VLOOKUP(R188,'G-7 Rivers Data'!$C$4:$D$8,2,FALSE),"")</f>
        <v/>
      </c>
      <c r="T188" s="173"/>
      <c r="U188" s="172" t="str">
        <f>IFERROR(INDEX('G-7 Rivers Data'!$H$4:$L$8,MATCH(N188,'G-7 Rivers Data'!$B$4:$B$8,0),MATCH(T188,'G-7 Rivers Data'!$H$3:$L$3,0)),"")</f>
        <v/>
      </c>
      <c r="V188" s="186"/>
      <c r="W188" s="175" t="str">
        <f>IF(V188="","",IF(VLOOKUP(V188,'G-7 Rivers Data'!$AG$4:$AI$9,2,FALSE)=0,"Spatial Data Missing",VLOOKUP(V188,'G-7 Rivers Data'!$AG$4:$AI$9,2,FALSE)))</f>
        <v/>
      </c>
      <c r="X188" s="176" t="str">
        <f>IF(V188="","",IF(VLOOKUP(V188,'G-7 Rivers Data'!$AG$4:$AI$9,3,FALSE)=0,"Spatial Data Missing",VLOOKUP(V188,'G-7 Rivers Data'!$AG$4:$AI$9,3,FALSE)))</f>
        <v/>
      </c>
      <c r="Y188" s="239" t="str">
        <f>IFERROR(IF(OR(LEFT(P188,5)="Error",LEFT(O188,5)="Error"),"Check Data",IF(F188&lt;S188,'G-7 Rivers Data'!$R$3,INDEX('G-7 Rivers Data'!$U$5:$Y$9,MATCH(G188,'G-7 Rivers Data'!$T$5:$T$9,0),MATCH(T188,'G-7 Rivers Data'!$U$4:$Y$4,0)))),"")</f>
        <v/>
      </c>
      <c r="Z188" s="275"/>
      <c r="AA188" s="275"/>
      <c r="AB188" s="175" t="str">
        <f t="shared" si="20"/>
        <v/>
      </c>
      <c r="AC188" s="262" t="str">
        <f t="shared" si="21"/>
        <v/>
      </c>
      <c r="AD188" s="382" t="str">
        <f>IFERROR(IF(AC188="Check Data","Check Data",VLOOKUP(AC188,'G-4 Temporal multipliers'!$A$4:$C$37,3,FALSE)),"")</f>
        <v/>
      </c>
      <c r="AE188" s="239" t="str">
        <f>IF(N188="","",VLOOKUP(N188,'G-7 Rivers Data'!$B$4:$G$8,5,FALSE))</f>
        <v/>
      </c>
      <c r="AF188" s="175" t="str">
        <f t="shared" si="22"/>
        <v/>
      </c>
      <c r="AG188" s="175" t="str">
        <f t="shared" si="23"/>
        <v/>
      </c>
      <c r="AH188" s="176" t="str">
        <f t="shared" si="17"/>
        <v/>
      </c>
      <c r="AI188" s="173"/>
      <c r="AJ188" s="172" t="str">
        <f>IF(AI188="","",IF(VLOOKUP(AI188,'G-7 Rivers Data'!$AA$4:$AB$7,2,FALSE)=0,"Spatial Data Missing",VLOOKUP(AI188,'G-7 Rivers Data'!$AA$4:$AB$7,2,FALSE)))</f>
        <v/>
      </c>
      <c r="AK188" s="187"/>
      <c r="AL188" s="172" t="str">
        <f>IF(AK188="","",IF(VLOOKUP(AK188,'G-7 Rivers Data'!$AD$4:$AE$8,2,FALSE)=0,"Spatial Data Missing",VLOOKUP(AK188,'G-7 Rivers Data'!$AD$4:$AE$8,2,FALSE)))</f>
        <v/>
      </c>
      <c r="AM188" s="186"/>
      <c r="AN188" s="176" t="str">
        <f>IF(AM188="","",VLOOKUP(AM188,'G-7 Rivers Data'!$AO$4:$AP$7,2,FALSE))</f>
        <v/>
      </c>
      <c r="AO188" s="265" t="str">
        <f t="shared" si="24"/>
        <v/>
      </c>
      <c r="AP188" s="180"/>
      <c r="AQ188" s="181"/>
      <c r="AX188" s="35" t="str">
        <f>IFERROR(INDEX('G-7 Rivers Data'!$AZ$3:$AZ$7,MATCH(N188,'G-7 Rivers Data'!$AY$3:$AY$7,0)),"")</f>
        <v/>
      </c>
    </row>
    <row r="189" spans="2:50" ht="13.8" x14ac:dyDescent="0.25">
      <c r="B189" s="259" t="str">
        <f>'F-1 Off Site River Baseline'!AN187</f>
        <v/>
      </c>
      <c r="C189" s="175" t="str">
        <f>IF(B189="","",VLOOKUP($B189,'F-1 Off Site River Baseline'!$C$9:$R$257,2,FALSE))</f>
        <v/>
      </c>
      <c r="D189" s="175" t="str">
        <f>IF(C189="","",VLOOKUP($B189,'F-1 Off Site River Baseline'!$C$9:$R$257,3,FALSE))</f>
        <v/>
      </c>
      <c r="E189" s="175" t="str">
        <f>IF(D189="","",VLOOKUP($B189,'F-1 Off Site River Baseline'!$C$9:$R$257,4,FALSE))</f>
        <v/>
      </c>
      <c r="F189" s="175" t="str">
        <f>IF(E189="","",VLOOKUP($B189,'F-1 Off Site River Baseline'!$C$9:$R$257,5,FALSE))</f>
        <v/>
      </c>
      <c r="G189" s="175" t="str">
        <f>IF(F189="","",VLOOKUP($B189,'F-1 Off Site River Baseline'!$C$9:$R$257,6,FALSE))</f>
        <v/>
      </c>
      <c r="H189" s="175" t="str">
        <f>IF(G189="","",VLOOKUP($B189,'F-1 Off Site River Baseline'!$C$9:$R$257,7,FALSE))</f>
        <v/>
      </c>
      <c r="I189" s="175" t="str">
        <f>IF(H189="","",VLOOKUP($B189,'F-1 Off Site River Baseline'!$C$9:$R$257,8,FALSE))</f>
        <v/>
      </c>
      <c r="J189" s="175" t="str">
        <f>IF(I189="","",VLOOKUP($B189,'F-1 Off Site River Baseline'!$C$9:$R$257,9,FALSE))</f>
        <v/>
      </c>
      <c r="K189" s="175" t="str">
        <f>IF(J189="","",VLOOKUP($B189,'F-1 Off Site River Baseline'!$C$9:$R$257,10,FALSE))</f>
        <v/>
      </c>
      <c r="L189" s="175" t="str">
        <f>IF(B189="","",VLOOKUP($B189,'C-1 Site River Baseline'!$C$9:$R$257,15,FALSE))</f>
        <v/>
      </c>
      <c r="M189" s="176" t="str">
        <f>IF(L189="","",VLOOKUP($B189,'F-1 Off Site River Baseline'!$C$9:$R$257,16,FALSE))</f>
        <v/>
      </c>
      <c r="N189" s="639" t="str">
        <f t="shared" si="18"/>
        <v/>
      </c>
      <c r="O189" s="171" t="str">
        <f t="shared" si="19"/>
        <v/>
      </c>
      <c r="P189" s="172" t="str">
        <f>IF(C189="","",IF(AND(LEFT(C189,55)&lt;&gt;LEFT(N189,55),O189="High - High"),"Error - Not like for like",IF(AND(F189=S189,H189&gt;U189),"Error - Can not reduce condition",IF(AND(F189=S189,H189=U189,AJ189='F-1 Off Site River Baseline'!N187,'F-1 Off Site River Baseline'!P187=AL189),"Error - No enhancement",IF(AND(C189&lt;&gt;N189,F189&lt;S189),"Lower Distinctiveness Habitat"&amp;" - "&amp;T189,G189&amp;" - "&amp;T189)))))</f>
        <v/>
      </c>
      <c r="Q189" s="260" t="str">
        <f>IF(N189="","",VLOOKUP(B189,'F-1 Off Site River Baseline'!$C$10:$AA$257,19,FALSE))</f>
        <v/>
      </c>
      <c r="R189" s="171" t="str">
        <f>IF(N189="","",VLOOKUP(N189,'G-7 Rivers Data'!$B$2:$G$8,2,FALSE))</f>
        <v/>
      </c>
      <c r="S189" s="172" t="str">
        <f>IFERROR(VLOOKUP(R189,'G-7 Rivers Data'!$C$4:$D$8,2,FALSE),"")</f>
        <v/>
      </c>
      <c r="T189" s="173"/>
      <c r="U189" s="172" t="str">
        <f>IFERROR(INDEX('G-7 Rivers Data'!$H$4:$L$8,MATCH(N189,'G-7 Rivers Data'!$B$4:$B$8,0),MATCH(T189,'G-7 Rivers Data'!$H$3:$L$3,0)),"")</f>
        <v/>
      </c>
      <c r="V189" s="186"/>
      <c r="W189" s="175" t="str">
        <f>IF(V189="","",IF(VLOOKUP(V189,'G-7 Rivers Data'!$AG$4:$AI$9,2,FALSE)=0,"Spatial Data Missing",VLOOKUP(V189,'G-7 Rivers Data'!$AG$4:$AI$9,2,FALSE)))</f>
        <v/>
      </c>
      <c r="X189" s="176" t="str">
        <f>IF(V189="","",IF(VLOOKUP(V189,'G-7 Rivers Data'!$AG$4:$AI$9,3,FALSE)=0,"Spatial Data Missing",VLOOKUP(V189,'G-7 Rivers Data'!$AG$4:$AI$9,3,FALSE)))</f>
        <v/>
      </c>
      <c r="Y189" s="239" t="str">
        <f>IFERROR(IF(OR(LEFT(P189,5)="Error",LEFT(O189,5)="Error"),"Check Data",IF(F189&lt;S189,'G-7 Rivers Data'!$R$3,INDEX('G-7 Rivers Data'!$U$5:$Y$9,MATCH(G189,'G-7 Rivers Data'!$T$5:$T$9,0),MATCH(T189,'G-7 Rivers Data'!$U$4:$Y$4,0)))),"")</f>
        <v/>
      </c>
      <c r="Z189" s="275"/>
      <c r="AA189" s="275"/>
      <c r="AB189" s="175" t="str">
        <f t="shared" si="20"/>
        <v/>
      </c>
      <c r="AC189" s="262" t="str">
        <f t="shared" si="21"/>
        <v/>
      </c>
      <c r="AD189" s="382" t="str">
        <f>IFERROR(IF(AC189="Check Data","Check Data",VLOOKUP(AC189,'G-4 Temporal multipliers'!$A$4:$C$37,3,FALSE)),"")</f>
        <v/>
      </c>
      <c r="AE189" s="239" t="str">
        <f>IF(N189="","",VLOOKUP(N189,'G-7 Rivers Data'!$B$4:$G$8,5,FALSE))</f>
        <v/>
      </c>
      <c r="AF189" s="175" t="str">
        <f t="shared" si="22"/>
        <v/>
      </c>
      <c r="AG189" s="175" t="str">
        <f t="shared" si="23"/>
        <v/>
      </c>
      <c r="AH189" s="176" t="str">
        <f t="shared" si="17"/>
        <v/>
      </c>
      <c r="AI189" s="173"/>
      <c r="AJ189" s="172" t="str">
        <f>IF(AI189="","",IF(VLOOKUP(AI189,'G-7 Rivers Data'!$AA$4:$AB$7,2,FALSE)=0,"Spatial Data Missing",VLOOKUP(AI189,'G-7 Rivers Data'!$AA$4:$AB$7,2,FALSE)))</f>
        <v/>
      </c>
      <c r="AK189" s="187"/>
      <c r="AL189" s="172" t="str">
        <f>IF(AK189="","",IF(VLOOKUP(AK189,'G-7 Rivers Data'!$AD$4:$AE$8,2,FALSE)=0,"Spatial Data Missing",VLOOKUP(AK189,'G-7 Rivers Data'!$AD$4:$AE$8,2,FALSE)))</f>
        <v/>
      </c>
      <c r="AM189" s="186"/>
      <c r="AN189" s="176" t="str">
        <f>IF(AM189="","",VLOOKUP(AM189,'G-7 Rivers Data'!$AO$4:$AP$7,2,FALSE))</f>
        <v/>
      </c>
      <c r="AO189" s="265" t="str">
        <f t="shared" si="24"/>
        <v/>
      </c>
      <c r="AP189" s="180"/>
      <c r="AQ189" s="181"/>
      <c r="AX189" s="35" t="str">
        <f>IFERROR(INDEX('G-7 Rivers Data'!$AZ$3:$AZ$7,MATCH(N189,'G-7 Rivers Data'!$AY$3:$AY$7,0)),"")</f>
        <v/>
      </c>
    </row>
    <row r="190" spans="2:50" ht="13.8" x14ac:dyDescent="0.25">
      <c r="B190" s="259" t="str">
        <f>'F-1 Off Site River Baseline'!AN188</f>
        <v/>
      </c>
      <c r="C190" s="175" t="str">
        <f>IF(B190="","",VLOOKUP($B190,'F-1 Off Site River Baseline'!$C$9:$R$257,2,FALSE))</f>
        <v/>
      </c>
      <c r="D190" s="175" t="str">
        <f>IF(C190="","",VLOOKUP($B190,'F-1 Off Site River Baseline'!$C$9:$R$257,3,FALSE))</f>
        <v/>
      </c>
      <c r="E190" s="175" t="str">
        <f>IF(D190="","",VLOOKUP($B190,'F-1 Off Site River Baseline'!$C$9:$R$257,4,FALSE))</f>
        <v/>
      </c>
      <c r="F190" s="175" t="str">
        <f>IF(E190="","",VLOOKUP($B190,'F-1 Off Site River Baseline'!$C$9:$R$257,5,FALSE))</f>
        <v/>
      </c>
      <c r="G190" s="175" t="str">
        <f>IF(F190="","",VLOOKUP($B190,'F-1 Off Site River Baseline'!$C$9:$R$257,6,FALSE))</f>
        <v/>
      </c>
      <c r="H190" s="175" t="str">
        <f>IF(G190="","",VLOOKUP($B190,'F-1 Off Site River Baseline'!$C$9:$R$257,7,FALSE))</f>
        <v/>
      </c>
      <c r="I190" s="175" t="str">
        <f>IF(H190="","",VLOOKUP($B190,'F-1 Off Site River Baseline'!$C$9:$R$257,8,FALSE))</f>
        <v/>
      </c>
      <c r="J190" s="175" t="str">
        <f>IF(I190="","",VLOOKUP($B190,'F-1 Off Site River Baseline'!$C$9:$R$257,9,FALSE))</f>
        <v/>
      </c>
      <c r="K190" s="175" t="str">
        <f>IF(J190="","",VLOOKUP($B190,'F-1 Off Site River Baseline'!$C$9:$R$257,10,FALSE))</f>
        <v/>
      </c>
      <c r="L190" s="175" t="str">
        <f>IF(B190="","",VLOOKUP($B190,'C-1 Site River Baseline'!$C$9:$R$257,15,FALSE))</f>
        <v/>
      </c>
      <c r="M190" s="176" t="str">
        <f>IF(L190="","",VLOOKUP($B190,'F-1 Off Site River Baseline'!$C$9:$R$257,16,FALSE))</f>
        <v/>
      </c>
      <c r="N190" s="639" t="str">
        <f t="shared" si="18"/>
        <v/>
      </c>
      <c r="O190" s="171" t="str">
        <f t="shared" si="19"/>
        <v/>
      </c>
      <c r="P190" s="172" t="str">
        <f>IF(C190="","",IF(AND(LEFT(C190,55)&lt;&gt;LEFT(N190,55),O190="High - High"),"Error - Not like for like",IF(AND(F190=S190,H190&gt;U190),"Error - Can not reduce condition",IF(AND(F190=S190,H190=U190,AJ190='F-1 Off Site River Baseline'!N188,'F-1 Off Site River Baseline'!P188=AL190),"Error - No enhancement",IF(AND(C190&lt;&gt;N190,F190&lt;S190),"Lower Distinctiveness Habitat"&amp;" - "&amp;T190,G190&amp;" - "&amp;T190)))))</f>
        <v/>
      </c>
      <c r="Q190" s="260" t="str">
        <f>IF(N190="","",VLOOKUP(B190,'F-1 Off Site River Baseline'!$C$10:$AA$257,19,FALSE))</f>
        <v/>
      </c>
      <c r="R190" s="171" t="str">
        <f>IF(N190="","",VLOOKUP(N190,'G-7 Rivers Data'!$B$2:$G$8,2,FALSE))</f>
        <v/>
      </c>
      <c r="S190" s="172" t="str">
        <f>IFERROR(VLOOKUP(R190,'G-7 Rivers Data'!$C$4:$D$8,2,FALSE),"")</f>
        <v/>
      </c>
      <c r="T190" s="173"/>
      <c r="U190" s="172" t="str">
        <f>IFERROR(INDEX('G-7 Rivers Data'!$H$4:$L$8,MATCH(N190,'G-7 Rivers Data'!$B$4:$B$8,0),MATCH(T190,'G-7 Rivers Data'!$H$3:$L$3,0)),"")</f>
        <v/>
      </c>
      <c r="V190" s="186"/>
      <c r="W190" s="175" t="str">
        <f>IF(V190="","",IF(VLOOKUP(V190,'G-7 Rivers Data'!$AG$4:$AI$9,2,FALSE)=0,"Spatial Data Missing",VLOOKUP(V190,'G-7 Rivers Data'!$AG$4:$AI$9,2,FALSE)))</f>
        <v/>
      </c>
      <c r="X190" s="176" t="str">
        <f>IF(V190="","",IF(VLOOKUP(V190,'G-7 Rivers Data'!$AG$4:$AI$9,3,FALSE)=0,"Spatial Data Missing",VLOOKUP(V190,'G-7 Rivers Data'!$AG$4:$AI$9,3,FALSE)))</f>
        <v/>
      </c>
      <c r="Y190" s="239" t="str">
        <f>IFERROR(IF(OR(LEFT(P190,5)="Error",LEFT(O190,5)="Error"),"Check Data",IF(F190&lt;S190,'G-7 Rivers Data'!$R$3,INDEX('G-7 Rivers Data'!$U$5:$Y$9,MATCH(G190,'G-7 Rivers Data'!$T$5:$T$9,0),MATCH(T190,'G-7 Rivers Data'!$U$4:$Y$4,0)))),"")</f>
        <v/>
      </c>
      <c r="Z190" s="275"/>
      <c r="AA190" s="275"/>
      <c r="AB190" s="175" t="str">
        <f t="shared" si="20"/>
        <v/>
      </c>
      <c r="AC190" s="262" t="str">
        <f t="shared" si="21"/>
        <v/>
      </c>
      <c r="AD190" s="382" t="str">
        <f>IFERROR(IF(AC190="Check Data","Check Data",VLOOKUP(AC190,'G-4 Temporal multipliers'!$A$4:$C$37,3,FALSE)),"")</f>
        <v/>
      </c>
      <c r="AE190" s="239" t="str">
        <f>IF(N190="","",VLOOKUP(N190,'G-7 Rivers Data'!$B$4:$G$8,5,FALSE))</f>
        <v/>
      </c>
      <c r="AF190" s="175" t="str">
        <f t="shared" si="22"/>
        <v/>
      </c>
      <c r="AG190" s="175" t="str">
        <f t="shared" si="23"/>
        <v/>
      </c>
      <c r="AH190" s="176" t="str">
        <f t="shared" si="17"/>
        <v/>
      </c>
      <c r="AI190" s="173"/>
      <c r="AJ190" s="172" t="str">
        <f>IF(AI190="","",IF(VLOOKUP(AI190,'G-7 Rivers Data'!$AA$4:$AB$7,2,FALSE)=0,"Spatial Data Missing",VLOOKUP(AI190,'G-7 Rivers Data'!$AA$4:$AB$7,2,FALSE)))</f>
        <v/>
      </c>
      <c r="AK190" s="187"/>
      <c r="AL190" s="172" t="str">
        <f>IF(AK190="","",IF(VLOOKUP(AK190,'G-7 Rivers Data'!$AD$4:$AE$8,2,FALSE)=0,"Spatial Data Missing",VLOOKUP(AK190,'G-7 Rivers Data'!$AD$4:$AE$8,2,FALSE)))</f>
        <v/>
      </c>
      <c r="AM190" s="186"/>
      <c r="AN190" s="176" t="str">
        <f>IF(AM190="","",VLOOKUP(AM190,'G-7 Rivers Data'!$AO$4:$AP$7,2,FALSE))</f>
        <v/>
      </c>
      <c r="AO190" s="265" t="str">
        <f t="shared" si="24"/>
        <v/>
      </c>
      <c r="AP190" s="180"/>
      <c r="AQ190" s="181"/>
      <c r="AX190" s="35" t="str">
        <f>IFERROR(INDEX('G-7 Rivers Data'!$AZ$3:$AZ$7,MATCH(N190,'G-7 Rivers Data'!$AY$3:$AY$7,0)),"")</f>
        <v/>
      </c>
    </row>
    <row r="191" spans="2:50" ht="13.8" x14ac:dyDescent="0.25">
      <c r="B191" s="259" t="str">
        <f>'F-1 Off Site River Baseline'!AN189</f>
        <v/>
      </c>
      <c r="C191" s="175" t="str">
        <f>IF(B191="","",VLOOKUP($B191,'F-1 Off Site River Baseline'!$C$9:$R$257,2,FALSE))</f>
        <v/>
      </c>
      <c r="D191" s="175" t="str">
        <f>IF(C191="","",VLOOKUP($B191,'F-1 Off Site River Baseline'!$C$9:$R$257,3,FALSE))</f>
        <v/>
      </c>
      <c r="E191" s="175" t="str">
        <f>IF(D191="","",VLOOKUP($B191,'F-1 Off Site River Baseline'!$C$9:$R$257,4,FALSE))</f>
        <v/>
      </c>
      <c r="F191" s="175" t="str">
        <f>IF(E191="","",VLOOKUP($B191,'F-1 Off Site River Baseline'!$C$9:$R$257,5,FALSE))</f>
        <v/>
      </c>
      <c r="G191" s="175" t="str">
        <f>IF(F191="","",VLOOKUP($B191,'F-1 Off Site River Baseline'!$C$9:$R$257,6,FALSE))</f>
        <v/>
      </c>
      <c r="H191" s="175" t="str">
        <f>IF(G191="","",VLOOKUP($B191,'F-1 Off Site River Baseline'!$C$9:$R$257,7,FALSE))</f>
        <v/>
      </c>
      <c r="I191" s="175" t="str">
        <f>IF(H191="","",VLOOKUP($B191,'F-1 Off Site River Baseline'!$C$9:$R$257,8,FALSE))</f>
        <v/>
      </c>
      <c r="J191" s="175" t="str">
        <f>IF(I191="","",VLOOKUP($B191,'F-1 Off Site River Baseline'!$C$9:$R$257,9,FALSE))</f>
        <v/>
      </c>
      <c r="K191" s="175" t="str">
        <f>IF(J191="","",VLOOKUP($B191,'F-1 Off Site River Baseline'!$C$9:$R$257,10,FALSE))</f>
        <v/>
      </c>
      <c r="L191" s="175" t="str">
        <f>IF(B191="","",VLOOKUP($B191,'C-1 Site River Baseline'!$C$9:$R$257,15,FALSE))</f>
        <v/>
      </c>
      <c r="M191" s="176" t="str">
        <f>IF(L191="","",VLOOKUP($B191,'F-1 Off Site River Baseline'!$C$9:$R$257,16,FALSE))</f>
        <v/>
      </c>
      <c r="N191" s="639" t="str">
        <f t="shared" si="18"/>
        <v/>
      </c>
      <c r="O191" s="171" t="str">
        <f t="shared" si="19"/>
        <v/>
      </c>
      <c r="P191" s="172" t="str">
        <f>IF(C191="","",IF(AND(LEFT(C191,55)&lt;&gt;LEFT(N191,55),O191="High - High"),"Error - Not like for like",IF(AND(F191=S191,H191&gt;U191),"Error - Can not reduce condition",IF(AND(F191=S191,H191=U191,AJ191='F-1 Off Site River Baseline'!N189,'F-1 Off Site River Baseline'!P189=AL191),"Error - No enhancement",IF(AND(C191&lt;&gt;N191,F191&lt;S191),"Lower Distinctiveness Habitat"&amp;" - "&amp;T191,G191&amp;" - "&amp;T191)))))</f>
        <v/>
      </c>
      <c r="Q191" s="260" t="str">
        <f>IF(N191="","",VLOOKUP(B191,'F-1 Off Site River Baseline'!$C$10:$AA$257,19,FALSE))</f>
        <v/>
      </c>
      <c r="R191" s="171" t="str">
        <f>IF(N191="","",VLOOKUP(N191,'G-7 Rivers Data'!$B$2:$G$8,2,FALSE))</f>
        <v/>
      </c>
      <c r="S191" s="172" t="str">
        <f>IFERROR(VLOOKUP(R191,'G-7 Rivers Data'!$C$4:$D$8,2,FALSE),"")</f>
        <v/>
      </c>
      <c r="T191" s="173"/>
      <c r="U191" s="172" t="str">
        <f>IFERROR(INDEX('G-7 Rivers Data'!$H$4:$L$8,MATCH(N191,'G-7 Rivers Data'!$B$4:$B$8,0),MATCH(T191,'G-7 Rivers Data'!$H$3:$L$3,0)),"")</f>
        <v/>
      </c>
      <c r="V191" s="186"/>
      <c r="W191" s="175" t="str">
        <f>IF(V191="","",IF(VLOOKUP(V191,'G-7 Rivers Data'!$AG$4:$AI$9,2,FALSE)=0,"Spatial Data Missing",VLOOKUP(V191,'G-7 Rivers Data'!$AG$4:$AI$9,2,FALSE)))</f>
        <v/>
      </c>
      <c r="X191" s="176" t="str">
        <f>IF(V191="","",IF(VLOOKUP(V191,'G-7 Rivers Data'!$AG$4:$AI$9,3,FALSE)=0,"Spatial Data Missing",VLOOKUP(V191,'G-7 Rivers Data'!$AG$4:$AI$9,3,FALSE)))</f>
        <v/>
      </c>
      <c r="Y191" s="239" t="str">
        <f>IFERROR(IF(OR(LEFT(P191,5)="Error",LEFT(O191,5)="Error"),"Check Data",IF(F191&lt;S191,'G-7 Rivers Data'!$R$3,INDEX('G-7 Rivers Data'!$U$5:$Y$9,MATCH(G191,'G-7 Rivers Data'!$T$5:$T$9,0),MATCH(T191,'G-7 Rivers Data'!$U$4:$Y$4,0)))),"")</f>
        <v/>
      </c>
      <c r="Z191" s="275"/>
      <c r="AA191" s="275"/>
      <c r="AB191" s="175" t="str">
        <f t="shared" si="20"/>
        <v/>
      </c>
      <c r="AC191" s="262" t="str">
        <f t="shared" si="21"/>
        <v/>
      </c>
      <c r="AD191" s="382" t="str">
        <f>IFERROR(IF(AC191="Check Data","Check Data",VLOOKUP(AC191,'G-4 Temporal multipliers'!$A$4:$C$37,3,FALSE)),"")</f>
        <v/>
      </c>
      <c r="AE191" s="239" t="str">
        <f>IF(N191="","",VLOOKUP(N191,'G-7 Rivers Data'!$B$4:$G$8,5,FALSE))</f>
        <v/>
      </c>
      <c r="AF191" s="175" t="str">
        <f t="shared" si="22"/>
        <v/>
      </c>
      <c r="AG191" s="175" t="str">
        <f t="shared" si="23"/>
        <v/>
      </c>
      <c r="AH191" s="176" t="str">
        <f t="shared" si="17"/>
        <v/>
      </c>
      <c r="AI191" s="173"/>
      <c r="AJ191" s="172" t="str">
        <f>IF(AI191="","",IF(VLOOKUP(AI191,'G-7 Rivers Data'!$AA$4:$AB$7,2,FALSE)=0,"Spatial Data Missing",VLOOKUP(AI191,'G-7 Rivers Data'!$AA$4:$AB$7,2,FALSE)))</f>
        <v/>
      </c>
      <c r="AK191" s="187"/>
      <c r="AL191" s="172" t="str">
        <f>IF(AK191="","",IF(VLOOKUP(AK191,'G-7 Rivers Data'!$AD$4:$AE$8,2,FALSE)=0,"Spatial Data Missing",VLOOKUP(AK191,'G-7 Rivers Data'!$AD$4:$AE$8,2,FALSE)))</f>
        <v/>
      </c>
      <c r="AM191" s="186"/>
      <c r="AN191" s="176" t="str">
        <f>IF(AM191="","",VLOOKUP(AM191,'G-7 Rivers Data'!$AO$4:$AP$7,2,FALSE))</f>
        <v/>
      </c>
      <c r="AO191" s="265" t="str">
        <f t="shared" si="24"/>
        <v/>
      </c>
      <c r="AP191" s="180"/>
      <c r="AQ191" s="181"/>
      <c r="AX191" s="35" t="str">
        <f>IFERROR(INDEX('G-7 Rivers Data'!$AZ$3:$AZ$7,MATCH(N191,'G-7 Rivers Data'!$AY$3:$AY$7,0)),"")</f>
        <v/>
      </c>
    </row>
    <row r="192" spans="2:50" ht="13.8" x14ac:dyDescent="0.25">
      <c r="B192" s="259" t="str">
        <f>'F-1 Off Site River Baseline'!AN190</f>
        <v/>
      </c>
      <c r="C192" s="175" t="str">
        <f>IF(B192="","",VLOOKUP($B192,'F-1 Off Site River Baseline'!$C$9:$R$257,2,FALSE))</f>
        <v/>
      </c>
      <c r="D192" s="175" t="str">
        <f>IF(C192="","",VLOOKUP($B192,'F-1 Off Site River Baseline'!$C$9:$R$257,3,FALSE))</f>
        <v/>
      </c>
      <c r="E192" s="175" t="str">
        <f>IF(D192="","",VLOOKUP($B192,'F-1 Off Site River Baseline'!$C$9:$R$257,4,FALSE))</f>
        <v/>
      </c>
      <c r="F192" s="175" t="str">
        <f>IF(E192="","",VLOOKUP($B192,'F-1 Off Site River Baseline'!$C$9:$R$257,5,FALSE))</f>
        <v/>
      </c>
      <c r="G192" s="175" t="str">
        <f>IF(F192="","",VLOOKUP($B192,'F-1 Off Site River Baseline'!$C$9:$R$257,6,FALSE))</f>
        <v/>
      </c>
      <c r="H192" s="175" t="str">
        <f>IF(G192="","",VLOOKUP($B192,'F-1 Off Site River Baseline'!$C$9:$R$257,7,FALSE))</f>
        <v/>
      </c>
      <c r="I192" s="175" t="str">
        <f>IF(H192="","",VLOOKUP($B192,'F-1 Off Site River Baseline'!$C$9:$R$257,8,FALSE))</f>
        <v/>
      </c>
      <c r="J192" s="175" t="str">
        <f>IF(I192="","",VLOOKUP($B192,'F-1 Off Site River Baseline'!$C$9:$R$257,9,FALSE))</f>
        <v/>
      </c>
      <c r="K192" s="175" t="str">
        <f>IF(J192="","",VLOOKUP($B192,'F-1 Off Site River Baseline'!$C$9:$R$257,10,FALSE))</f>
        <v/>
      </c>
      <c r="L192" s="175" t="str">
        <f>IF(B192="","",VLOOKUP($B192,'C-1 Site River Baseline'!$C$9:$R$257,15,FALSE))</f>
        <v/>
      </c>
      <c r="M192" s="176" t="str">
        <f>IF(L192="","",VLOOKUP($B192,'F-1 Off Site River Baseline'!$C$9:$R$257,16,FALSE))</f>
        <v/>
      </c>
      <c r="N192" s="639" t="str">
        <f t="shared" si="18"/>
        <v/>
      </c>
      <c r="O192" s="171" t="str">
        <f t="shared" si="19"/>
        <v/>
      </c>
      <c r="P192" s="172" t="str">
        <f>IF(C192="","",IF(AND(LEFT(C192,55)&lt;&gt;LEFT(N192,55),O192="High - High"),"Error - Not like for like",IF(AND(F192=S192,H192&gt;U192),"Error - Can not reduce condition",IF(AND(F192=S192,H192=U192,AJ192='F-1 Off Site River Baseline'!N190,'F-1 Off Site River Baseline'!P190=AL192),"Error - No enhancement",IF(AND(C192&lt;&gt;N192,F192&lt;S192),"Lower Distinctiveness Habitat"&amp;" - "&amp;T192,G192&amp;" - "&amp;T192)))))</f>
        <v/>
      </c>
      <c r="Q192" s="260" t="str">
        <f>IF(N192="","",VLOOKUP(B192,'F-1 Off Site River Baseline'!$C$10:$AA$257,19,FALSE))</f>
        <v/>
      </c>
      <c r="R192" s="171" t="str">
        <f>IF(N192="","",VLOOKUP(N192,'G-7 Rivers Data'!$B$2:$G$8,2,FALSE))</f>
        <v/>
      </c>
      <c r="S192" s="172" t="str">
        <f>IFERROR(VLOOKUP(R192,'G-7 Rivers Data'!$C$4:$D$8,2,FALSE),"")</f>
        <v/>
      </c>
      <c r="T192" s="173"/>
      <c r="U192" s="172" t="str">
        <f>IFERROR(INDEX('G-7 Rivers Data'!$H$4:$L$8,MATCH(N192,'G-7 Rivers Data'!$B$4:$B$8,0),MATCH(T192,'G-7 Rivers Data'!$H$3:$L$3,0)),"")</f>
        <v/>
      </c>
      <c r="V192" s="186"/>
      <c r="W192" s="175" t="str">
        <f>IF(V192="","",IF(VLOOKUP(V192,'G-7 Rivers Data'!$AG$4:$AI$9,2,FALSE)=0,"Spatial Data Missing",VLOOKUP(V192,'G-7 Rivers Data'!$AG$4:$AI$9,2,FALSE)))</f>
        <v/>
      </c>
      <c r="X192" s="176" t="str">
        <f>IF(V192="","",IF(VLOOKUP(V192,'G-7 Rivers Data'!$AG$4:$AI$9,3,FALSE)=0,"Spatial Data Missing",VLOOKUP(V192,'G-7 Rivers Data'!$AG$4:$AI$9,3,FALSE)))</f>
        <v/>
      </c>
      <c r="Y192" s="239" t="str">
        <f>IFERROR(IF(OR(LEFT(P192,5)="Error",LEFT(O192,5)="Error"),"Check Data",IF(F192&lt;S192,'G-7 Rivers Data'!$R$3,INDEX('G-7 Rivers Data'!$U$5:$Y$9,MATCH(G192,'G-7 Rivers Data'!$T$5:$T$9,0),MATCH(T192,'G-7 Rivers Data'!$U$4:$Y$4,0)))),"")</f>
        <v/>
      </c>
      <c r="Z192" s="275"/>
      <c r="AA192" s="275"/>
      <c r="AB192" s="175" t="str">
        <f t="shared" si="20"/>
        <v/>
      </c>
      <c r="AC192" s="262" t="str">
        <f t="shared" si="21"/>
        <v/>
      </c>
      <c r="AD192" s="382" t="str">
        <f>IFERROR(IF(AC192="Check Data","Check Data",VLOOKUP(AC192,'G-4 Temporal multipliers'!$A$4:$C$37,3,FALSE)),"")</f>
        <v/>
      </c>
      <c r="AE192" s="239" t="str">
        <f>IF(N192="","",VLOOKUP(N192,'G-7 Rivers Data'!$B$4:$G$8,5,FALSE))</f>
        <v/>
      </c>
      <c r="AF192" s="175" t="str">
        <f t="shared" si="22"/>
        <v/>
      </c>
      <c r="AG192" s="175" t="str">
        <f t="shared" si="23"/>
        <v/>
      </c>
      <c r="AH192" s="176" t="str">
        <f t="shared" si="17"/>
        <v/>
      </c>
      <c r="AI192" s="173"/>
      <c r="AJ192" s="172" t="str">
        <f>IF(AI192="","",IF(VLOOKUP(AI192,'G-7 Rivers Data'!$AA$4:$AB$7,2,FALSE)=0,"Spatial Data Missing",VLOOKUP(AI192,'G-7 Rivers Data'!$AA$4:$AB$7,2,FALSE)))</f>
        <v/>
      </c>
      <c r="AK192" s="187"/>
      <c r="AL192" s="172" t="str">
        <f>IF(AK192="","",IF(VLOOKUP(AK192,'G-7 Rivers Data'!$AD$4:$AE$8,2,FALSE)=0,"Spatial Data Missing",VLOOKUP(AK192,'G-7 Rivers Data'!$AD$4:$AE$8,2,FALSE)))</f>
        <v/>
      </c>
      <c r="AM192" s="186"/>
      <c r="AN192" s="176" t="str">
        <f>IF(AM192="","",VLOOKUP(AM192,'G-7 Rivers Data'!$AO$4:$AP$7,2,FALSE))</f>
        <v/>
      </c>
      <c r="AO192" s="265" t="str">
        <f t="shared" si="24"/>
        <v/>
      </c>
      <c r="AP192" s="180"/>
      <c r="AQ192" s="181"/>
      <c r="AX192" s="35" t="str">
        <f>IFERROR(INDEX('G-7 Rivers Data'!$AZ$3:$AZ$7,MATCH(N192,'G-7 Rivers Data'!$AY$3:$AY$7,0)),"")</f>
        <v/>
      </c>
    </row>
    <row r="193" spans="2:50" ht="13.8" x14ac:dyDescent="0.25">
      <c r="B193" s="259" t="str">
        <f>'F-1 Off Site River Baseline'!AN191</f>
        <v/>
      </c>
      <c r="C193" s="175" t="str">
        <f>IF(B193="","",VLOOKUP($B193,'F-1 Off Site River Baseline'!$C$9:$R$257,2,FALSE))</f>
        <v/>
      </c>
      <c r="D193" s="175" t="str">
        <f>IF(C193="","",VLOOKUP($B193,'F-1 Off Site River Baseline'!$C$9:$R$257,3,FALSE))</f>
        <v/>
      </c>
      <c r="E193" s="175" t="str">
        <f>IF(D193="","",VLOOKUP($B193,'F-1 Off Site River Baseline'!$C$9:$R$257,4,FALSE))</f>
        <v/>
      </c>
      <c r="F193" s="175" t="str">
        <f>IF(E193="","",VLOOKUP($B193,'F-1 Off Site River Baseline'!$C$9:$R$257,5,FALSE))</f>
        <v/>
      </c>
      <c r="G193" s="175" t="str">
        <f>IF(F193="","",VLOOKUP($B193,'F-1 Off Site River Baseline'!$C$9:$R$257,6,FALSE))</f>
        <v/>
      </c>
      <c r="H193" s="175" t="str">
        <f>IF(G193="","",VLOOKUP($B193,'F-1 Off Site River Baseline'!$C$9:$R$257,7,FALSE))</f>
        <v/>
      </c>
      <c r="I193" s="175" t="str">
        <f>IF(H193="","",VLOOKUP($B193,'F-1 Off Site River Baseline'!$C$9:$R$257,8,FALSE))</f>
        <v/>
      </c>
      <c r="J193" s="175" t="str">
        <f>IF(I193="","",VLOOKUP($B193,'F-1 Off Site River Baseline'!$C$9:$R$257,9,FALSE))</f>
        <v/>
      </c>
      <c r="K193" s="175" t="str">
        <f>IF(J193="","",VLOOKUP($B193,'F-1 Off Site River Baseline'!$C$9:$R$257,10,FALSE))</f>
        <v/>
      </c>
      <c r="L193" s="175" t="str">
        <f>IF(B193="","",VLOOKUP($B193,'C-1 Site River Baseline'!$C$9:$R$257,15,FALSE))</f>
        <v/>
      </c>
      <c r="M193" s="176" t="str">
        <f>IF(L193="","",VLOOKUP($B193,'F-1 Off Site River Baseline'!$C$9:$R$257,16,FALSE))</f>
        <v/>
      </c>
      <c r="N193" s="639" t="str">
        <f t="shared" si="18"/>
        <v/>
      </c>
      <c r="O193" s="171" t="str">
        <f t="shared" si="19"/>
        <v/>
      </c>
      <c r="P193" s="172" t="str">
        <f>IF(C193="","",IF(AND(LEFT(C193,55)&lt;&gt;LEFT(N193,55),O193="High - High"),"Error - Not like for like",IF(AND(F193=S193,H193&gt;U193),"Error - Can not reduce condition",IF(AND(F193=S193,H193=U193,AJ193='F-1 Off Site River Baseline'!N191,'F-1 Off Site River Baseline'!P191=AL193),"Error - No enhancement",IF(AND(C193&lt;&gt;N193,F193&lt;S193),"Lower Distinctiveness Habitat"&amp;" - "&amp;T193,G193&amp;" - "&amp;T193)))))</f>
        <v/>
      </c>
      <c r="Q193" s="260" t="str">
        <f>IF(N193="","",VLOOKUP(B193,'F-1 Off Site River Baseline'!$C$10:$AA$257,19,FALSE))</f>
        <v/>
      </c>
      <c r="R193" s="171" t="str">
        <f>IF(N193="","",VLOOKUP(N193,'G-7 Rivers Data'!$B$2:$G$8,2,FALSE))</f>
        <v/>
      </c>
      <c r="S193" s="172" t="str">
        <f>IFERROR(VLOOKUP(R193,'G-7 Rivers Data'!$C$4:$D$8,2,FALSE),"")</f>
        <v/>
      </c>
      <c r="T193" s="173"/>
      <c r="U193" s="172" t="str">
        <f>IFERROR(INDEX('G-7 Rivers Data'!$H$4:$L$8,MATCH(N193,'G-7 Rivers Data'!$B$4:$B$8,0),MATCH(T193,'G-7 Rivers Data'!$H$3:$L$3,0)),"")</f>
        <v/>
      </c>
      <c r="V193" s="186"/>
      <c r="W193" s="175" t="str">
        <f>IF(V193="","",IF(VLOOKUP(V193,'G-7 Rivers Data'!$AG$4:$AI$9,2,FALSE)=0,"Spatial Data Missing",VLOOKUP(V193,'G-7 Rivers Data'!$AG$4:$AI$9,2,FALSE)))</f>
        <v/>
      </c>
      <c r="X193" s="176" t="str">
        <f>IF(V193="","",IF(VLOOKUP(V193,'G-7 Rivers Data'!$AG$4:$AI$9,3,FALSE)=0,"Spatial Data Missing",VLOOKUP(V193,'G-7 Rivers Data'!$AG$4:$AI$9,3,FALSE)))</f>
        <v/>
      </c>
      <c r="Y193" s="239" t="str">
        <f>IFERROR(IF(OR(LEFT(P193,5)="Error",LEFT(O193,5)="Error"),"Check Data",IF(F193&lt;S193,'G-7 Rivers Data'!$R$3,INDEX('G-7 Rivers Data'!$U$5:$Y$9,MATCH(G193,'G-7 Rivers Data'!$T$5:$T$9,0),MATCH(T193,'G-7 Rivers Data'!$U$4:$Y$4,0)))),"")</f>
        <v/>
      </c>
      <c r="Z193" s="275"/>
      <c r="AA193" s="275"/>
      <c r="AB193" s="175" t="str">
        <f t="shared" si="20"/>
        <v/>
      </c>
      <c r="AC193" s="262" t="str">
        <f t="shared" si="21"/>
        <v/>
      </c>
      <c r="AD193" s="382" t="str">
        <f>IFERROR(IF(AC193="Check Data","Check Data",VLOOKUP(AC193,'G-4 Temporal multipliers'!$A$4:$C$37,3,FALSE)),"")</f>
        <v/>
      </c>
      <c r="AE193" s="239" t="str">
        <f>IF(N193="","",VLOOKUP(N193,'G-7 Rivers Data'!$B$4:$G$8,5,FALSE))</f>
        <v/>
      </c>
      <c r="AF193" s="175" t="str">
        <f t="shared" si="22"/>
        <v/>
      </c>
      <c r="AG193" s="175" t="str">
        <f t="shared" si="23"/>
        <v/>
      </c>
      <c r="AH193" s="176" t="str">
        <f t="shared" si="17"/>
        <v/>
      </c>
      <c r="AI193" s="173"/>
      <c r="AJ193" s="172" t="str">
        <f>IF(AI193="","",IF(VLOOKUP(AI193,'G-7 Rivers Data'!$AA$4:$AB$7,2,FALSE)=0,"Spatial Data Missing",VLOOKUP(AI193,'G-7 Rivers Data'!$AA$4:$AB$7,2,FALSE)))</f>
        <v/>
      </c>
      <c r="AK193" s="187"/>
      <c r="AL193" s="172" t="str">
        <f>IF(AK193="","",IF(VLOOKUP(AK193,'G-7 Rivers Data'!$AD$4:$AE$8,2,FALSE)=0,"Spatial Data Missing",VLOOKUP(AK193,'G-7 Rivers Data'!$AD$4:$AE$8,2,FALSE)))</f>
        <v/>
      </c>
      <c r="AM193" s="186"/>
      <c r="AN193" s="176" t="str">
        <f>IF(AM193="","",VLOOKUP(AM193,'G-7 Rivers Data'!$AO$4:$AP$7,2,FALSE))</f>
        <v/>
      </c>
      <c r="AO193" s="265" t="str">
        <f t="shared" si="24"/>
        <v/>
      </c>
      <c r="AP193" s="180"/>
      <c r="AQ193" s="181"/>
      <c r="AX193" s="35" t="str">
        <f>IFERROR(INDEX('G-7 Rivers Data'!$AZ$3:$AZ$7,MATCH(N193,'G-7 Rivers Data'!$AY$3:$AY$7,0)),"")</f>
        <v/>
      </c>
    </row>
    <row r="194" spans="2:50" ht="13.8" x14ac:dyDescent="0.25">
      <c r="B194" s="259" t="str">
        <f>'F-1 Off Site River Baseline'!AN192</f>
        <v/>
      </c>
      <c r="C194" s="175" t="str">
        <f>IF(B194="","",VLOOKUP($B194,'F-1 Off Site River Baseline'!$C$9:$R$257,2,FALSE))</f>
        <v/>
      </c>
      <c r="D194" s="175" t="str">
        <f>IF(C194="","",VLOOKUP($B194,'F-1 Off Site River Baseline'!$C$9:$R$257,3,FALSE))</f>
        <v/>
      </c>
      <c r="E194" s="175" t="str">
        <f>IF(D194="","",VLOOKUP($B194,'F-1 Off Site River Baseline'!$C$9:$R$257,4,FALSE))</f>
        <v/>
      </c>
      <c r="F194" s="175" t="str">
        <f>IF(E194="","",VLOOKUP($B194,'F-1 Off Site River Baseline'!$C$9:$R$257,5,FALSE))</f>
        <v/>
      </c>
      <c r="G194" s="175" t="str">
        <f>IF(F194="","",VLOOKUP($B194,'F-1 Off Site River Baseline'!$C$9:$R$257,6,FALSE))</f>
        <v/>
      </c>
      <c r="H194" s="175" t="str">
        <f>IF(G194="","",VLOOKUP($B194,'F-1 Off Site River Baseline'!$C$9:$R$257,7,FALSE))</f>
        <v/>
      </c>
      <c r="I194" s="175" t="str">
        <f>IF(H194="","",VLOOKUP($B194,'F-1 Off Site River Baseline'!$C$9:$R$257,8,FALSE))</f>
        <v/>
      </c>
      <c r="J194" s="175" t="str">
        <f>IF(I194="","",VLOOKUP($B194,'F-1 Off Site River Baseline'!$C$9:$R$257,9,FALSE))</f>
        <v/>
      </c>
      <c r="K194" s="175" t="str">
        <f>IF(J194="","",VLOOKUP($B194,'F-1 Off Site River Baseline'!$C$9:$R$257,10,FALSE))</f>
        <v/>
      </c>
      <c r="L194" s="175" t="str">
        <f>IF(B194="","",VLOOKUP($B194,'C-1 Site River Baseline'!$C$9:$R$257,15,FALSE))</f>
        <v/>
      </c>
      <c r="M194" s="176" t="str">
        <f>IF(L194="","",VLOOKUP($B194,'F-1 Off Site River Baseline'!$C$9:$R$257,16,FALSE))</f>
        <v/>
      </c>
      <c r="N194" s="639" t="str">
        <f t="shared" si="18"/>
        <v/>
      </c>
      <c r="O194" s="171" t="str">
        <f t="shared" si="19"/>
        <v/>
      </c>
      <c r="P194" s="172" t="str">
        <f>IF(C194="","",IF(AND(LEFT(C194,55)&lt;&gt;LEFT(N194,55),O194="High - High"),"Error - Not like for like",IF(AND(F194=S194,H194&gt;U194),"Error - Can not reduce condition",IF(AND(F194=S194,H194=U194,AJ194='F-1 Off Site River Baseline'!N192,'F-1 Off Site River Baseline'!P192=AL194),"Error - No enhancement",IF(AND(C194&lt;&gt;N194,F194&lt;S194),"Lower Distinctiveness Habitat"&amp;" - "&amp;T194,G194&amp;" - "&amp;T194)))))</f>
        <v/>
      </c>
      <c r="Q194" s="260" t="str">
        <f>IF(N194="","",VLOOKUP(B194,'F-1 Off Site River Baseline'!$C$10:$AA$257,19,FALSE))</f>
        <v/>
      </c>
      <c r="R194" s="171" t="str">
        <f>IF(N194="","",VLOOKUP(N194,'G-7 Rivers Data'!$B$2:$G$8,2,FALSE))</f>
        <v/>
      </c>
      <c r="S194" s="172" t="str">
        <f>IFERROR(VLOOKUP(R194,'G-7 Rivers Data'!$C$4:$D$8,2,FALSE),"")</f>
        <v/>
      </c>
      <c r="T194" s="173"/>
      <c r="U194" s="172" t="str">
        <f>IFERROR(INDEX('G-7 Rivers Data'!$H$4:$L$8,MATCH(N194,'G-7 Rivers Data'!$B$4:$B$8,0),MATCH(T194,'G-7 Rivers Data'!$H$3:$L$3,0)),"")</f>
        <v/>
      </c>
      <c r="V194" s="186"/>
      <c r="W194" s="175" t="str">
        <f>IF(V194="","",IF(VLOOKUP(V194,'G-7 Rivers Data'!$AG$4:$AI$9,2,FALSE)=0,"Spatial Data Missing",VLOOKUP(V194,'G-7 Rivers Data'!$AG$4:$AI$9,2,FALSE)))</f>
        <v/>
      </c>
      <c r="X194" s="176" t="str">
        <f>IF(V194="","",IF(VLOOKUP(V194,'G-7 Rivers Data'!$AG$4:$AI$9,3,FALSE)=0,"Spatial Data Missing",VLOOKUP(V194,'G-7 Rivers Data'!$AG$4:$AI$9,3,FALSE)))</f>
        <v/>
      </c>
      <c r="Y194" s="239" t="str">
        <f>IFERROR(IF(OR(LEFT(P194,5)="Error",LEFT(O194,5)="Error"),"Check Data",IF(F194&lt;S194,'G-7 Rivers Data'!$R$3,INDEX('G-7 Rivers Data'!$U$5:$Y$9,MATCH(G194,'G-7 Rivers Data'!$T$5:$T$9,0),MATCH(T194,'G-7 Rivers Data'!$U$4:$Y$4,0)))),"")</f>
        <v/>
      </c>
      <c r="Z194" s="275"/>
      <c r="AA194" s="275"/>
      <c r="AB194" s="175" t="str">
        <f t="shared" si="20"/>
        <v/>
      </c>
      <c r="AC194" s="262" t="str">
        <f t="shared" si="21"/>
        <v/>
      </c>
      <c r="AD194" s="382" t="str">
        <f>IFERROR(IF(AC194="Check Data","Check Data",VLOOKUP(AC194,'G-4 Temporal multipliers'!$A$4:$C$37,3,FALSE)),"")</f>
        <v/>
      </c>
      <c r="AE194" s="239" t="str">
        <f>IF(N194="","",VLOOKUP(N194,'G-7 Rivers Data'!$B$4:$G$8,5,FALSE))</f>
        <v/>
      </c>
      <c r="AF194" s="175" t="str">
        <f t="shared" si="22"/>
        <v/>
      </c>
      <c r="AG194" s="175" t="str">
        <f t="shared" si="23"/>
        <v/>
      </c>
      <c r="AH194" s="176" t="str">
        <f t="shared" si="17"/>
        <v/>
      </c>
      <c r="AI194" s="173"/>
      <c r="AJ194" s="172" t="str">
        <f>IF(AI194="","",IF(VLOOKUP(AI194,'G-7 Rivers Data'!$AA$4:$AB$7,2,FALSE)=0,"Spatial Data Missing",VLOOKUP(AI194,'G-7 Rivers Data'!$AA$4:$AB$7,2,FALSE)))</f>
        <v/>
      </c>
      <c r="AK194" s="187"/>
      <c r="AL194" s="172" t="str">
        <f>IF(AK194="","",IF(VLOOKUP(AK194,'G-7 Rivers Data'!$AD$4:$AE$8,2,FALSE)=0,"Spatial Data Missing",VLOOKUP(AK194,'G-7 Rivers Data'!$AD$4:$AE$8,2,FALSE)))</f>
        <v/>
      </c>
      <c r="AM194" s="186"/>
      <c r="AN194" s="176" t="str">
        <f>IF(AM194="","",VLOOKUP(AM194,'G-7 Rivers Data'!$AO$4:$AP$7,2,FALSE))</f>
        <v/>
      </c>
      <c r="AO194" s="265" t="str">
        <f t="shared" si="24"/>
        <v/>
      </c>
      <c r="AP194" s="180"/>
      <c r="AQ194" s="181"/>
      <c r="AX194" s="35" t="str">
        <f>IFERROR(INDEX('G-7 Rivers Data'!$AZ$3:$AZ$7,MATCH(N194,'G-7 Rivers Data'!$AY$3:$AY$7,0)),"")</f>
        <v/>
      </c>
    </row>
    <row r="195" spans="2:50" ht="13.8" x14ac:dyDescent="0.25">
      <c r="B195" s="259" t="str">
        <f>'F-1 Off Site River Baseline'!AN193</f>
        <v/>
      </c>
      <c r="C195" s="175" t="str">
        <f>IF(B195="","",VLOOKUP($B195,'F-1 Off Site River Baseline'!$C$9:$R$257,2,FALSE))</f>
        <v/>
      </c>
      <c r="D195" s="175" t="str">
        <f>IF(C195="","",VLOOKUP($B195,'F-1 Off Site River Baseline'!$C$9:$R$257,3,FALSE))</f>
        <v/>
      </c>
      <c r="E195" s="175" t="str">
        <f>IF(D195="","",VLOOKUP($B195,'F-1 Off Site River Baseline'!$C$9:$R$257,4,FALSE))</f>
        <v/>
      </c>
      <c r="F195" s="175" t="str">
        <f>IF(E195="","",VLOOKUP($B195,'F-1 Off Site River Baseline'!$C$9:$R$257,5,FALSE))</f>
        <v/>
      </c>
      <c r="G195" s="175" t="str">
        <f>IF(F195="","",VLOOKUP($B195,'F-1 Off Site River Baseline'!$C$9:$R$257,6,FALSE))</f>
        <v/>
      </c>
      <c r="H195" s="175" t="str">
        <f>IF(G195="","",VLOOKUP($B195,'F-1 Off Site River Baseline'!$C$9:$R$257,7,FALSE))</f>
        <v/>
      </c>
      <c r="I195" s="175" t="str">
        <f>IF(H195="","",VLOOKUP($B195,'F-1 Off Site River Baseline'!$C$9:$R$257,8,FALSE))</f>
        <v/>
      </c>
      <c r="J195" s="175" t="str">
        <f>IF(I195="","",VLOOKUP($B195,'F-1 Off Site River Baseline'!$C$9:$R$257,9,FALSE))</f>
        <v/>
      </c>
      <c r="K195" s="175" t="str">
        <f>IF(J195="","",VLOOKUP($B195,'F-1 Off Site River Baseline'!$C$9:$R$257,10,FALSE))</f>
        <v/>
      </c>
      <c r="L195" s="175" t="str">
        <f>IF(B195="","",VLOOKUP($B195,'C-1 Site River Baseline'!$C$9:$R$257,15,FALSE))</f>
        <v/>
      </c>
      <c r="M195" s="176" t="str">
        <f>IF(L195="","",VLOOKUP($B195,'F-1 Off Site River Baseline'!$C$9:$R$257,16,FALSE))</f>
        <v/>
      </c>
      <c r="N195" s="639" t="str">
        <f t="shared" si="18"/>
        <v/>
      </c>
      <c r="O195" s="171" t="str">
        <f t="shared" si="19"/>
        <v/>
      </c>
      <c r="P195" s="172" t="str">
        <f>IF(C195="","",IF(AND(LEFT(C195,55)&lt;&gt;LEFT(N195,55),O195="High - High"),"Error - Not like for like",IF(AND(F195=S195,H195&gt;U195),"Error - Can not reduce condition",IF(AND(F195=S195,H195=U195,AJ195='F-1 Off Site River Baseline'!N193,'F-1 Off Site River Baseline'!P193=AL195),"Error - No enhancement",IF(AND(C195&lt;&gt;N195,F195&lt;S195),"Lower Distinctiveness Habitat"&amp;" - "&amp;T195,G195&amp;" - "&amp;T195)))))</f>
        <v/>
      </c>
      <c r="Q195" s="260" t="str">
        <f>IF(N195="","",VLOOKUP(B195,'F-1 Off Site River Baseline'!$C$10:$AA$257,19,FALSE))</f>
        <v/>
      </c>
      <c r="R195" s="171" t="str">
        <f>IF(N195="","",VLOOKUP(N195,'G-7 Rivers Data'!$B$2:$G$8,2,FALSE))</f>
        <v/>
      </c>
      <c r="S195" s="172" t="str">
        <f>IFERROR(VLOOKUP(R195,'G-7 Rivers Data'!$C$4:$D$8,2,FALSE),"")</f>
        <v/>
      </c>
      <c r="T195" s="173"/>
      <c r="U195" s="172" t="str">
        <f>IFERROR(INDEX('G-7 Rivers Data'!$H$4:$L$8,MATCH(N195,'G-7 Rivers Data'!$B$4:$B$8,0),MATCH(T195,'G-7 Rivers Data'!$H$3:$L$3,0)),"")</f>
        <v/>
      </c>
      <c r="V195" s="186"/>
      <c r="W195" s="175" t="str">
        <f>IF(V195="","",IF(VLOOKUP(V195,'G-7 Rivers Data'!$AG$4:$AI$9,2,FALSE)=0,"Spatial Data Missing",VLOOKUP(V195,'G-7 Rivers Data'!$AG$4:$AI$9,2,FALSE)))</f>
        <v/>
      </c>
      <c r="X195" s="176" t="str">
        <f>IF(V195="","",IF(VLOOKUP(V195,'G-7 Rivers Data'!$AG$4:$AI$9,3,FALSE)=0,"Spatial Data Missing",VLOOKUP(V195,'G-7 Rivers Data'!$AG$4:$AI$9,3,FALSE)))</f>
        <v/>
      </c>
      <c r="Y195" s="239" t="str">
        <f>IFERROR(IF(OR(LEFT(P195,5)="Error",LEFT(O195,5)="Error"),"Check Data",IF(F195&lt;S195,'G-7 Rivers Data'!$R$3,INDEX('G-7 Rivers Data'!$U$5:$Y$9,MATCH(G195,'G-7 Rivers Data'!$T$5:$T$9,0),MATCH(T195,'G-7 Rivers Data'!$U$4:$Y$4,0)))),"")</f>
        <v/>
      </c>
      <c r="Z195" s="275"/>
      <c r="AA195" s="275"/>
      <c r="AB195" s="175" t="str">
        <f t="shared" si="20"/>
        <v/>
      </c>
      <c r="AC195" s="262" t="str">
        <f t="shared" si="21"/>
        <v/>
      </c>
      <c r="AD195" s="382" t="str">
        <f>IFERROR(IF(AC195="Check Data","Check Data",VLOOKUP(AC195,'G-4 Temporal multipliers'!$A$4:$C$37,3,FALSE)),"")</f>
        <v/>
      </c>
      <c r="AE195" s="239" t="str">
        <f>IF(N195="","",VLOOKUP(N195,'G-7 Rivers Data'!$B$4:$G$8,5,FALSE))</f>
        <v/>
      </c>
      <c r="AF195" s="175" t="str">
        <f t="shared" si="22"/>
        <v/>
      </c>
      <c r="AG195" s="175" t="str">
        <f t="shared" si="23"/>
        <v/>
      </c>
      <c r="AH195" s="176" t="str">
        <f t="shared" si="17"/>
        <v/>
      </c>
      <c r="AI195" s="173"/>
      <c r="AJ195" s="172" t="str">
        <f>IF(AI195="","",IF(VLOOKUP(AI195,'G-7 Rivers Data'!$AA$4:$AB$7,2,FALSE)=0,"Spatial Data Missing",VLOOKUP(AI195,'G-7 Rivers Data'!$AA$4:$AB$7,2,FALSE)))</f>
        <v/>
      </c>
      <c r="AK195" s="187"/>
      <c r="AL195" s="172" t="str">
        <f>IF(AK195="","",IF(VLOOKUP(AK195,'G-7 Rivers Data'!$AD$4:$AE$8,2,FALSE)=0,"Spatial Data Missing",VLOOKUP(AK195,'G-7 Rivers Data'!$AD$4:$AE$8,2,FALSE)))</f>
        <v/>
      </c>
      <c r="AM195" s="186"/>
      <c r="AN195" s="176" t="str">
        <f>IF(AM195="","",VLOOKUP(AM195,'G-7 Rivers Data'!$AO$4:$AP$7,2,FALSE))</f>
        <v/>
      </c>
      <c r="AO195" s="265" t="str">
        <f t="shared" si="24"/>
        <v/>
      </c>
      <c r="AP195" s="180"/>
      <c r="AQ195" s="181"/>
      <c r="AX195" s="35" t="str">
        <f>IFERROR(INDEX('G-7 Rivers Data'!$AZ$3:$AZ$7,MATCH(N195,'G-7 Rivers Data'!$AY$3:$AY$7,0)),"")</f>
        <v/>
      </c>
    </row>
    <row r="196" spans="2:50" ht="13.8" x14ac:dyDescent="0.25">
      <c r="B196" s="259" t="str">
        <f>'F-1 Off Site River Baseline'!AN194</f>
        <v/>
      </c>
      <c r="C196" s="175" t="str">
        <f>IF(B196="","",VLOOKUP($B196,'F-1 Off Site River Baseline'!$C$9:$R$257,2,FALSE))</f>
        <v/>
      </c>
      <c r="D196" s="175" t="str">
        <f>IF(C196="","",VLOOKUP($B196,'F-1 Off Site River Baseline'!$C$9:$R$257,3,FALSE))</f>
        <v/>
      </c>
      <c r="E196" s="175" t="str">
        <f>IF(D196="","",VLOOKUP($B196,'F-1 Off Site River Baseline'!$C$9:$R$257,4,FALSE))</f>
        <v/>
      </c>
      <c r="F196" s="175" t="str">
        <f>IF(E196="","",VLOOKUP($B196,'F-1 Off Site River Baseline'!$C$9:$R$257,5,FALSE))</f>
        <v/>
      </c>
      <c r="G196" s="175" t="str">
        <f>IF(F196="","",VLOOKUP($B196,'F-1 Off Site River Baseline'!$C$9:$R$257,6,FALSE))</f>
        <v/>
      </c>
      <c r="H196" s="175" t="str">
        <f>IF(G196="","",VLOOKUP($B196,'F-1 Off Site River Baseline'!$C$9:$R$257,7,FALSE))</f>
        <v/>
      </c>
      <c r="I196" s="175" t="str">
        <f>IF(H196="","",VLOOKUP($B196,'F-1 Off Site River Baseline'!$C$9:$R$257,8,FALSE))</f>
        <v/>
      </c>
      <c r="J196" s="175" t="str">
        <f>IF(I196="","",VLOOKUP($B196,'F-1 Off Site River Baseline'!$C$9:$R$257,9,FALSE))</f>
        <v/>
      </c>
      <c r="K196" s="175" t="str">
        <f>IF(J196="","",VLOOKUP($B196,'F-1 Off Site River Baseline'!$C$9:$R$257,10,FALSE))</f>
        <v/>
      </c>
      <c r="L196" s="175" t="str">
        <f>IF(B196="","",VLOOKUP($B196,'C-1 Site River Baseline'!$C$9:$R$257,15,FALSE))</f>
        <v/>
      </c>
      <c r="M196" s="176" t="str">
        <f>IF(L196="","",VLOOKUP($B196,'F-1 Off Site River Baseline'!$C$9:$R$257,16,FALSE))</f>
        <v/>
      </c>
      <c r="N196" s="639" t="str">
        <f t="shared" si="18"/>
        <v/>
      </c>
      <c r="O196" s="171" t="str">
        <f t="shared" si="19"/>
        <v/>
      </c>
      <c r="P196" s="172" t="str">
        <f>IF(C196="","",IF(AND(LEFT(C196,55)&lt;&gt;LEFT(N196,55),O196="High - High"),"Error - Not like for like",IF(AND(F196=S196,H196&gt;U196),"Error - Can not reduce condition",IF(AND(F196=S196,H196=U196,AJ196='F-1 Off Site River Baseline'!N194,'F-1 Off Site River Baseline'!P194=AL196),"Error - No enhancement",IF(AND(C196&lt;&gt;N196,F196&lt;S196),"Lower Distinctiveness Habitat"&amp;" - "&amp;T196,G196&amp;" - "&amp;T196)))))</f>
        <v/>
      </c>
      <c r="Q196" s="260" t="str">
        <f>IF(N196="","",VLOOKUP(B196,'F-1 Off Site River Baseline'!$C$10:$AA$257,19,FALSE))</f>
        <v/>
      </c>
      <c r="R196" s="171" t="str">
        <f>IF(N196="","",VLOOKUP(N196,'G-7 Rivers Data'!$B$2:$G$8,2,FALSE))</f>
        <v/>
      </c>
      <c r="S196" s="172" t="str">
        <f>IFERROR(VLOOKUP(R196,'G-7 Rivers Data'!$C$4:$D$8,2,FALSE),"")</f>
        <v/>
      </c>
      <c r="T196" s="173"/>
      <c r="U196" s="172" t="str">
        <f>IFERROR(INDEX('G-7 Rivers Data'!$H$4:$L$8,MATCH(N196,'G-7 Rivers Data'!$B$4:$B$8,0),MATCH(T196,'G-7 Rivers Data'!$H$3:$L$3,0)),"")</f>
        <v/>
      </c>
      <c r="V196" s="186"/>
      <c r="W196" s="175" t="str">
        <f>IF(V196="","",IF(VLOOKUP(V196,'G-7 Rivers Data'!$AG$4:$AI$9,2,FALSE)=0,"Spatial Data Missing",VLOOKUP(V196,'G-7 Rivers Data'!$AG$4:$AI$9,2,FALSE)))</f>
        <v/>
      </c>
      <c r="X196" s="176" t="str">
        <f>IF(V196="","",IF(VLOOKUP(V196,'G-7 Rivers Data'!$AG$4:$AI$9,3,FALSE)=0,"Spatial Data Missing",VLOOKUP(V196,'G-7 Rivers Data'!$AG$4:$AI$9,3,FALSE)))</f>
        <v/>
      </c>
      <c r="Y196" s="239" t="str">
        <f>IFERROR(IF(OR(LEFT(P196,5)="Error",LEFT(O196,5)="Error"),"Check Data",IF(F196&lt;S196,'G-7 Rivers Data'!$R$3,INDEX('G-7 Rivers Data'!$U$5:$Y$9,MATCH(G196,'G-7 Rivers Data'!$T$5:$T$9,0),MATCH(T196,'G-7 Rivers Data'!$U$4:$Y$4,0)))),"")</f>
        <v/>
      </c>
      <c r="Z196" s="275"/>
      <c r="AA196" s="275"/>
      <c r="AB196" s="175" t="str">
        <f t="shared" si="20"/>
        <v/>
      </c>
      <c r="AC196" s="262" t="str">
        <f t="shared" si="21"/>
        <v/>
      </c>
      <c r="AD196" s="382" t="str">
        <f>IFERROR(IF(AC196="Check Data","Check Data",VLOOKUP(AC196,'G-4 Temporal multipliers'!$A$4:$C$37,3,FALSE)),"")</f>
        <v/>
      </c>
      <c r="AE196" s="239" t="str">
        <f>IF(N196="","",VLOOKUP(N196,'G-7 Rivers Data'!$B$4:$G$8,5,FALSE))</f>
        <v/>
      </c>
      <c r="AF196" s="175" t="str">
        <f t="shared" si="22"/>
        <v/>
      </c>
      <c r="AG196" s="175" t="str">
        <f t="shared" si="23"/>
        <v/>
      </c>
      <c r="AH196" s="176" t="str">
        <f t="shared" si="17"/>
        <v/>
      </c>
      <c r="AI196" s="173"/>
      <c r="AJ196" s="172" t="str">
        <f>IF(AI196="","",IF(VLOOKUP(AI196,'G-7 Rivers Data'!$AA$4:$AB$7,2,FALSE)=0,"Spatial Data Missing",VLOOKUP(AI196,'G-7 Rivers Data'!$AA$4:$AB$7,2,FALSE)))</f>
        <v/>
      </c>
      <c r="AK196" s="187"/>
      <c r="AL196" s="172" t="str">
        <f>IF(AK196="","",IF(VLOOKUP(AK196,'G-7 Rivers Data'!$AD$4:$AE$8,2,FALSE)=0,"Spatial Data Missing",VLOOKUP(AK196,'G-7 Rivers Data'!$AD$4:$AE$8,2,FALSE)))</f>
        <v/>
      </c>
      <c r="AM196" s="186"/>
      <c r="AN196" s="176" t="str">
        <f>IF(AM196="","",VLOOKUP(AM196,'G-7 Rivers Data'!$AO$4:$AP$7,2,FALSE))</f>
        <v/>
      </c>
      <c r="AO196" s="265" t="str">
        <f t="shared" si="24"/>
        <v/>
      </c>
      <c r="AP196" s="180"/>
      <c r="AQ196" s="181"/>
      <c r="AX196" s="35" t="str">
        <f>IFERROR(INDEX('G-7 Rivers Data'!$AZ$3:$AZ$7,MATCH(N196,'G-7 Rivers Data'!$AY$3:$AY$7,0)),"")</f>
        <v/>
      </c>
    </row>
    <row r="197" spans="2:50" ht="13.8" x14ac:dyDescent="0.25">
      <c r="B197" s="259" t="str">
        <f>'F-1 Off Site River Baseline'!AN195</f>
        <v/>
      </c>
      <c r="C197" s="175" t="str">
        <f>IF(B197="","",VLOOKUP($B197,'F-1 Off Site River Baseline'!$C$9:$R$257,2,FALSE))</f>
        <v/>
      </c>
      <c r="D197" s="175" t="str">
        <f>IF(C197="","",VLOOKUP($B197,'F-1 Off Site River Baseline'!$C$9:$R$257,3,FALSE))</f>
        <v/>
      </c>
      <c r="E197" s="175" t="str">
        <f>IF(D197="","",VLOOKUP($B197,'F-1 Off Site River Baseline'!$C$9:$R$257,4,FALSE))</f>
        <v/>
      </c>
      <c r="F197" s="175" t="str">
        <f>IF(E197="","",VLOOKUP($B197,'F-1 Off Site River Baseline'!$C$9:$R$257,5,FALSE))</f>
        <v/>
      </c>
      <c r="G197" s="175" t="str">
        <f>IF(F197="","",VLOOKUP($B197,'F-1 Off Site River Baseline'!$C$9:$R$257,6,FALSE))</f>
        <v/>
      </c>
      <c r="H197" s="175" t="str">
        <f>IF(G197="","",VLOOKUP($B197,'F-1 Off Site River Baseline'!$C$9:$R$257,7,FALSE))</f>
        <v/>
      </c>
      <c r="I197" s="175" t="str">
        <f>IF(H197="","",VLOOKUP($B197,'F-1 Off Site River Baseline'!$C$9:$R$257,8,FALSE))</f>
        <v/>
      </c>
      <c r="J197" s="175" t="str">
        <f>IF(I197="","",VLOOKUP($B197,'F-1 Off Site River Baseline'!$C$9:$R$257,9,FALSE))</f>
        <v/>
      </c>
      <c r="K197" s="175" t="str">
        <f>IF(J197="","",VLOOKUP($B197,'F-1 Off Site River Baseline'!$C$9:$R$257,10,FALSE))</f>
        <v/>
      </c>
      <c r="L197" s="175" t="str">
        <f>IF(B197="","",VLOOKUP($B197,'C-1 Site River Baseline'!$C$9:$R$257,15,FALSE))</f>
        <v/>
      </c>
      <c r="M197" s="176" t="str">
        <f>IF(L197="","",VLOOKUP($B197,'F-1 Off Site River Baseline'!$C$9:$R$257,16,FALSE))</f>
        <v/>
      </c>
      <c r="N197" s="639" t="str">
        <f t="shared" si="18"/>
        <v/>
      </c>
      <c r="O197" s="171" t="str">
        <f t="shared" si="19"/>
        <v/>
      </c>
      <c r="P197" s="172" t="str">
        <f>IF(C197="","",IF(AND(LEFT(C197,55)&lt;&gt;LEFT(N197,55),O197="High - High"),"Error - Not like for like",IF(AND(F197=S197,H197&gt;U197),"Error - Can not reduce condition",IF(AND(F197=S197,H197=U197,AJ197='F-1 Off Site River Baseline'!N195,'F-1 Off Site River Baseline'!P195=AL197),"Error - No enhancement",IF(AND(C197&lt;&gt;N197,F197&lt;S197),"Lower Distinctiveness Habitat"&amp;" - "&amp;T197,G197&amp;" - "&amp;T197)))))</f>
        <v/>
      </c>
      <c r="Q197" s="260" t="str">
        <f>IF(N197="","",VLOOKUP(B197,'F-1 Off Site River Baseline'!$C$10:$AA$257,19,FALSE))</f>
        <v/>
      </c>
      <c r="R197" s="171" t="str">
        <f>IF(N197="","",VLOOKUP(N197,'G-7 Rivers Data'!$B$2:$G$8,2,FALSE))</f>
        <v/>
      </c>
      <c r="S197" s="172" t="str">
        <f>IFERROR(VLOOKUP(R197,'G-7 Rivers Data'!$C$4:$D$8,2,FALSE),"")</f>
        <v/>
      </c>
      <c r="T197" s="173"/>
      <c r="U197" s="172" t="str">
        <f>IFERROR(INDEX('G-7 Rivers Data'!$H$4:$L$8,MATCH(N197,'G-7 Rivers Data'!$B$4:$B$8,0),MATCH(T197,'G-7 Rivers Data'!$H$3:$L$3,0)),"")</f>
        <v/>
      </c>
      <c r="V197" s="186"/>
      <c r="W197" s="175" t="str">
        <f>IF(V197="","",IF(VLOOKUP(V197,'G-7 Rivers Data'!$AG$4:$AI$9,2,FALSE)=0,"Spatial Data Missing",VLOOKUP(V197,'G-7 Rivers Data'!$AG$4:$AI$9,2,FALSE)))</f>
        <v/>
      </c>
      <c r="X197" s="176" t="str">
        <f>IF(V197="","",IF(VLOOKUP(V197,'G-7 Rivers Data'!$AG$4:$AI$9,3,FALSE)=0,"Spatial Data Missing",VLOOKUP(V197,'G-7 Rivers Data'!$AG$4:$AI$9,3,FALSE)))</f>
        <v/>
      </c>
      <c r="Y197" s="239" t="str">
        <f>IFERROR(IF(OR(LEFT(P197,5)="Error",LEFT(O197,5)="Error"),"Check Data",IF(F197&lt;S197,'G-7 Rivers Data'!$R$3,INDEX('G-7 Rivers Data'!$U$5:$Y$9,MATCH(G197,'G-7 Rivers Data'!$T$5:$T$9,0),MATCH(T197,'G-7 Rivers Data'!$U$4:$Y$4,0)))),"")</f>
        <v/>
      </c>
      <c r="Z197" s="275"/>
      <c r="AA197" s="275"/>
      <c r="AB197" s="175" t="str">
        <f t="shared" si="20"/>
        <v/>
      </c>
      <c r="AC197" s="262" t="str">
        <f t="shared" si="21"/>
        <v/>
      </c>
      <c r="AD197" s="382" t="str">
        <f>IFERROR(IF(AC197="Check Data","Check Data",VLOOKUP(AC197,'G-4 Temporal multipliers'!$A$4:$C$37,3,FALSE)),"")</f>
        <v/>
      </c>
      <c r="AE197" s="239" t="str">
        <f>IF(N197="","",VLOOKUP(N197,'G-7 Rivers Data'!$B$4:$G$8,5,FALSE))</f>
        <v/>
      </c>
      <c r="AF197" s="175" t="str">
        <f t="shared" si="22"/>
        <v/>
      </c>
      <c r="AG197" s="175" t="str">
        <f t="shared" si="23"/>
        <v/>
      </c>
      <c r="AH197" s="176" t="str">
        <f t="shared" si="17"/>
        <v/>
      </c>
      <c r="AI197" s="173"/>
      <c r="AJ197" s="172" t="str">
        <f>IF(AI197="","",IF(VLOOKUP(AI197,'G-7 Rivers Data'!$AA$4:$AB$7,2,FALSE)=0,"Spatial Data Missing",VLOOKUP(AI197,'G-7 Rivers Data'!$AA$4:$AB$7,2,FALSE)))</f>
        <v/>
      </c>
      <c r="AK197" s="187"/>
      <c r="AL197" s="172" t="str">
        <f>IF(AK197="","",IF(VLOOKUP(AK197,'G-7 Rivers Data'!$AD$4:$AE$8,2,FALSE)=0,"Spatial Data Missing",VLOOKUP(AK197,'G-7 Rivers Data'!$AD$4:$AE$8,2,FALSE)))</f>
        <v/>
      </c>
      <c r="AM197" s="186"/>
      <c r="AN197" s="176" t="str">
        <f>IF(AM197="","",VLOOKUP(AM197,'G-7 Rivers Data'!$AO$4:$AP$7,2,FALSE))</f>
        <v/>
      </c>
      <c r="AO197" s="265" t="str">
        <f t="shared" si="24"/>
        <v/>
      </c>
      <c r="AP197" s="180"/>
      <c r="AQ197" s="181"/>
      <c r="AX197" s="35" t="str">
        <f>IFERROR(INDEX('G-7 Rivers Data'!$AZ$3:$AZ$7,MATCH(N197,'G-7 Rivers Data'!$AY$3:$AY$7,0)),"")</f>
        <v/>
      </c>
    </row>
    <row r="198" spans="2:50" ht="13.8" x14ac:dyDescent="0.25">
      <c r="B198" s="259" t="str">
        <f>'F-1 Off Site River Baseline'!AN196</f>
        <v/>
      </c>
      <c r="C198" s="175" t="str">
        <f>IF(B198="","",VLOOKUP($B198,'F-1 Off Site River Baseline'!$C$9:$R$257,2,FALSE))</f>
        <v/>
      </c>
      <c r="D198" s="175" t="str">
        <f>IF(C198="","",VLOOKUP($B198,'F-1 Off Site River Baseline'!$C$9:$R$257,3,FALSE))</f>
        <v/>
      </c>
      <c r="E198" s="175" t="str">
        <f>IF(D198="","",VLOOKUP($B198,'F-1 Off Site River Baseline'!$C$9:$R$257,4,FALSE))</f>
        <v/>
      </c>
      <c r="F198" s="175" t="str">
        <f>IF(E198="","",VLOOKUP($B198,'F-1 Off Site River Baseline'!$C$9:$R$257,5,FALSE))</f>
        <v/>
      </c>
      <c r="G198" s="175" t="str">
        <f>IF(F198="","",VLOOKUP($B198,'F-1 Off Site River Baseline'!$C$9:$R$257,6,FALSE))</f>
        <v/>
      </c>
      <c r="H198" s="175" t="str">
        <f>IF(G198="","",VLOOKUP($B198,'F-1 Off Site River Baseline'!$C$9:$R$257,7,FALSE))</f>
        <v/>
      </c>
      <c r="I198" s="175" t="str">
        <f>IF(H198="","",VLOOKUP($B198,'F-1 Off Site River Baseline'!$C$9:$R$257,8,FALSE))</f>
        <v/>
      </c>
      <c r="J198" s="175" t="str">
        <f>IF(I198="","",VLOOKUP($B198,'F-1 Off Site River Baseline'!$C$9:$R$257,9,FALSE))</f>
        <v/>
      </c>
      <c r="K198" s="175" t="str">
        <f>IF(J198="","",VLOOKUP($B198,'F-1 Off Site River Baseline'!$C$9:$R$257,10,FALSE))</f>
        <v/>
      </c>
      <c r="L198" s="175" t="str">
        <f>IF(B198="","",VLOOKUP($B198,'C-1 Site River Baseline'!$C$9:$R$257,15,FALSE))</f>
        <v/>
      </c>
      <c r="M198" s="176" t="str">
        <f>IF(L198="","",VLOOKUP($B198,'F-1 Off Site River Baseline'!$C$9:$R$257,16,FALSE))</f>
        <v/>
      </c>
      <c r="N198" s="639" t="str">
        <f t="shared" si="18"/>
        <v/>
      </c>
      <c r="O198" s="171" t="str">
        <f t="shared" si="19"/>
        <v/>
      </c>
      <c r="P198" s="172" t="str">
        <f>IF(C198="","",IF(AND(LEFT(C198,55)&lt;&gt;LEFT(N198,55),O198="High - High"),"Error - Not like for like",IF(AND(F198=S198,H198&gt;U198),"Error - Can not reduce condition",IF(AND(F198=S198,H198=U198,AJ198='F-1 Off Site River Baseline'!N196,'F-1 Off Site River Baseline'!P196=AL198),"Error - No enhancement",IF(AND(C198&lt;&gt;N198,F198&lt;S198),"Lower Distinctiveness Habitat"&amp;" - "&amp;T198,G198&amp;" - "&amp;T198)))))</f>
        <v/>
      </c>
      <c r="Q198" s="260" t="str">
        <f>IF(N198="","",VLOOKUP(B198,'F-1 Off Site River Baseline'!$C$10:$AA$257,19,FALSE))</f>
        <v/>
      </c>
      <c r="R198" s="171" t="str">
        <f>IF(N198="","",VLOOKUP(N198,'G-7 Rivers Data'!$B$2:$G$8,2,FALSE))</f>
        <v/>
      </c>
      <c r="S198" s="172" t="str">
        <f>IFERROR(VLOOKUP(R198,'G-7 Rivers Data'!$C$4:$D$8,2,FALSE),"")</f>
        <v/>
      </c>
      <c r="T198" s="173"/>
      <c r="U198" s="172" t="str">
        <f>IFERROR(INDEX('G-7 Rivers Data'!$H$4:$L$8,MATCH(N198,'G-7 Rivers Data'!$B$4:$B$8,0),MATCH(T198,'G-7 Rivers Data'!$H$3:$L$3,0)),"")</f>
        <v/>
      </c>
      <c r="V198" s="186"/>
      <c r="W198" s="175" t="str">
        <f>IF(V198="","",IF(VLOOKUP(V198,'G-7 Rivers Data'!$AG$4:$AI$9,2,FALSE)=0,"Spatial Data Missing",VLOOKUP(V198,'G-7 Rivers Data'!$AG$4:$AI$9,2,FALSE)))</f>
        <v/>
      </c>
      <c r="X198" s="176" t="str">
        <f>IF(V198="","",IF(VLOOKUP(V198,'G-7 Rivers Data'!$AG$4:$AI$9,3,FALSE)=0,"Spatial Data Missing",VLOOKUP(V198,'G-7 Rivers Data'!$AG$4:$AI$9,3,FALSE)))</f>
        <v/>
      </c>
      <c r="Y198" s="239" t="str">
        <f>IFERROR(IF(OR(LEFT(P198,5)="Error",LEFT(O198,5)="Error"),"Check Data",IF(F198&lt;S198,'G-7 Rivers Data'!$R$3,INDEX('G-7 Rivers Data'!$U$5:$Y$9,MATCH(G198,'G-7 Rivers Data'!$T$5:$T$9,0),MATCH(T198,'G-7 Rivers Data'!$U$4:$Y$4,0)))),"")</f>
        <v/>
      </c>
      <c r="Z198" s="275"/>
      <c r="AA198" s="275"/>
      <c r="AB198" s="175" t="str">
        <f t="shared" si="20"/>
        <v/>
      </c>
      <c r="AC198" s="262" t="str">
        <f t="shared" si="21"/>
        <v/>
      </c>
      <c r="AD198" s="382" t="str">
        <f>IFERROR(IF(AC198="Check Data","Check Data",VLOOKUP(AC198,'G-4 Temporal multipliers'!$A$4:$C$37,3,FALSE)),"")</f>
        <v/>
      </c>
      <c r="AE198" s="239" t="str">
        <f>IF(N198="","",VLOOKUP(N198,'G-7 Rivers Data'!$B$4:$G$8,5,FALSE))</f>
        <v/>
      </c>
      <c r="AF198" s="175" t="str">
        <f t="shared" si="22"/>
        <v/>
      </c>
      <c r="AG198" s="175" t="str">
        <f t="shared" si="23"/>
        <v/>
      </c>
      <c r="AH198" s="176" t="str">
        <f t="shared" si="17"/>
        <v/>
      </c>
      <c r="AI198" s="173"/>
      <c r="AJ198" s="172" t="str">
        <f>IF(AI198="","",IF(VLOOKUP(AI198,'G-7 Rivers Data'!$AA$4:$AB$7,2,FALSE)=0,"Spatial Data Missing",VLOOKUP(AI198,'G-7 Rivers Data'!$AA$4:$AB$7,2,FALSE)))</f>
        <v/>
      </c>
      <c r="AK198" s="187"/>
      <c r="AL198" s="172" t="str">
        <f>IF(AK198="","",IF(VLOOKUP(AK198,'G-7 Rivers Data'!$AD$4:$AE$8,2,FALSE)=0,"Spatial Data Missing",VLOOKUP(AK198,'G-7 Rivers Data'!$AD$4:$AE$8,2,FALSE)))</f>
        <v/>
      </c>
      <c r="AM198" s="186"/>
      <c r="AN198" s="176" t="str">
        <f>IF(AM198="","",VLOOKUP(AM198,'G-7 Rivers Data'!$AO$4:$AP$7,2,FALSE))</f>
        <v/>
      </c>
      <c r="AO198" s="265" t="str">
        <f t="shared" si="24"/>
        <v/>
      </c>
      <c r="AP198" s="180"/>
      <c r="AQ198" s="181"/>
      <c r="AX198" s="35" t="str">
        <f>IFERROR(INDEX('G-7 Rivers Data'!$AZ$3:$AZ$7,MATCH(N198,'G-7 Rivers Data'!$AY$3:$AY$7,0)),"")</f>
        <v/>
      </c>
    </row>
    <row r="199" spans="2:50" ht="13.8" x14ac:dyDescent="0.25">
      <c r="B199" s="259" t="str">
        <f>'F-1 Off Site River Baseline'!AN197</f>
        <v/>
      </c>
      <c r="C199" s="175" t="str">
        <f>IF(B199="","",VLOOKUP($B199,'F-1 Off Site River Baseline'!$C$9:$R$257,2,FALSE))</f>
        <v/>
      </c>
      <c r="D199" s="175" t="str">
        <f>IF(C199="","",VLOOKUP($B199,'F-1 Off Site River Baseline'!$C$9:$R$257,3,FALSE))</f>
        <v/>
      </c>
      <c r="E199" s="175" t="str">
        <f>IF(D199="","",VLOOKUP($B199,'F-1 Off Site River Baseline'!$C$9:$R$257,4,FALSE))</f>
        <v/>
      </c>
      <c r="F199" s="175" t="str">
        <f>IF(E199="","",VLOOKUP($B199,'F-1 Off Site River Baseline'!$C$9:$R$257,5,FALSE))</f>
        <v/>
      </c>
      <c r="G199" s="175" t="str">
        <f>IF(F199="","",VLOOKUP($B199,'F-1 Off Site River Baseline'!$C$9:$R$257,6,FALSE))</f>
        <v/>
      </c>
      <c r="H199" s="175" t="str">
        <f>IF(G199="","",VLOOKUP($B199,'F-1 Off Site River Baseline'!$C$9:$R$257,7,FALSE))</f>
        <v/>
      </c>
      <c r="I199" s="175" t="str">
        <f>IF(H199="","",VLOOKUP($B199,'F-1 Off Site River Baseline'!$C$9:$R$257,8,FALSE))</f>
        <v/>
      </c>
      <c r="J199" s="175" t="str">
        <f>IF(I199="","",VLOOKUP($B199,'F-1 Off Site River Baseline'!$C$9:$R$257,9,FALSE))</f>
        <v/>
      </c>
      <c r="K199" s="175" t="str">
        <f>IF(J199="","",VLOOKUP($B199,'F-1 Off Site River Baseline'!$C$9:$R$257,10,FALSE))</f>
        <v/>
      </c>
      <c r="L199" s="175" t="str">
        <f>IF(B199="","",VLOOKUP($B199,'C-1 Site River Baseline'!$C$9:$R$257,15,FALSE))</f>
        <v/>
      </c>
      <c r="M199" s="176" t="str">
        <f>IF(L199="","",VLOOKUP($B199,'F-1 Off Site River Baseline'!$C$9:$R$257,16,FALSE))</f>
        <v/>
      </c>
      <c r="N199" s="639" t="str">
        <f t="shared" si="18"/>
        <v/>
      </c>
      <c r="O199" s="171" t="str">
        <f t="shared" si="19"/>
        <v/>
      </c>
      <c r="P199" s="172" t="str">
        <f>IF(C199="","",IF(AND(LEFT(C199,55)&lt;&gt;LEFT(N199,55),O199="High - High"),"Error - Not like for like",IF(AND(F199=S199,H199&gt;U199),"Error - Can not reduce condition",IF(AND(F199=S199,H199=U199,AJ199='F-1 Off Site River Baseline'!N197,'F-1 Off Site River Baseline'!P197=AL199),"Error - No enhancement",IF(AND(C199&lt;&gt;N199,F199&lt;S199),"Lower Distinctiveness Habitat"&amp;" - "&amp;T199,G199&amp;" - "&amp;T199)))))</f>
        <v/>
      </c>
      <c r="Q199" s="260" t="str">
        <f>IF(N199="","",VLOOKUP(B199,'F-1 Off Site River Baseline'!$C$10:$AA$257,19,FALSE))</f>
        <v/>
      </c>
      <c r="R199" s="171" t="str">
        <f>IF(N199="","",VLOOKUP(N199,'G-7 Rivers Data'!$B$2:$G$8,2,FALSE))</f>
        <v/>
      </c>
      <c r="S199" s="172" t="str">
        <f>IFERROR(VLOOKUP(R199,'G-7 Rivers Data'!$C$4:$D$8,2,FALSE),"")</f>
        <v/>
      </c>
      <c r="T199" s="173"/>
      <c r="U199" s="172" t="str">
        <f>IFERROR(INDEX('G-7 Rivers Data'!$H$4:$L$8,MATCH(N199,'G-7 Rivers Data'!$B$4:$B$8,0),MATCH(T199,'G-7 Rivers Data'!$H$3:$L$3,0)),"")</f>
        <v/>
      </c>
      <c r="V199" s="186"/>
      <c r="W199" s="175" t="str">
        <f>IF(V199="","",IF(VLOOKUP(V199,'G-7 Rivers Data'!$AG$4:$AI$9,2,FALSE)=0,"Spatial Data Missing",VLOOKUP(V199,'G-7 Rivers Data'!$AG$4:$AI$9,2,FALSE)))</f>
        <v/>
      </c>
      <c r="X199" s="176" t="str">
        <f>IF(V199="","",IF(VLOOKUP(V199,'G-7 Rivers Data'!$AG$4:$AI$9,3,FALSE)=0,"Spatial Data Missing",VLOOKUP(V199,'G-7 Rivers Data'!$AG$4:$AI$9,3,FALSE)))</f>
        <v/>
      </c>
      <c r="Y199" s="239" t="str">
        <f>IFERROR(IF(OR(LEFT(P199,5)="Error",LEFT(O199,5)="Error"),"Check Data",IF(F199&lt;S199,'G-7 Rivers Data'!$R$3,INDEX('G-7 Rivers Data'!$U$5:$Y$9,MATCH(G199,'G-7 Rivers Data'!$T$5:$T$9,0),MATCH(T199,'G-7 Rivers Data'!$U$4:$Y$4,0)))),"")</f>
        <v/>
      </c>
      <c r="Z199" s="275"/>
      <c r="AA199" s="275"/>
      <c r="AB199" s="175" t="str">
        <f t="shared" si="20"/>
        <v/>
      </c>
      <c r="AC199" s="262" t="str">
        <f t="shared" si="21"/>
        <v/>
      </c>
      <c r="AD199" s="382" t="str">
        <f>IFERROR(IF(AC199="Check Data","Check Data",VLOOKUP(AC199,'G-4 Temporal multipliers'!$A$4:$C$37,3,FALSE)),"")</f>
        <v/>
      </c>
      <c r="AE199" s="239" t="str">
        <f>IF(N199="","",VLOOKUP(N199,'G-7 Rivers Data'!$B$4:$G$8,5,FALSE))</f>
        <v/>
      </c>
      <c r="AF199" s="175" t="str">
        <f t="shared" si="22"/>
        <v/>
      </c>
      <c r="AG199" s="175" t="str">
        <f t="shared" si="23"/>
        <v/>
      </c>
      <c r="AH199" s="176" t="str">
        <f t="shared" si="17"/>
        <v/>
      </c>
      <c r="AI199" s="173"/>
      <c r="AJ199" s="172" t="str">
        <f>IF(AI199="","",IF(VLOOKUP(AI199,'G-7 Rivers Data'!$AA$4:$AB$7,2,FALSE)=0,"Spatial Data Missing",VLOOKUP(AI199,'G-7 Rivers Data'!$AA$4:$AB$7,2,FALSE)))</f>
        <v/>
      </c>
      <c r="AK199" s="187"/>
      <c r="AL199" s="172" t="str">
        <f>IF(AK199="","",IF(VLOOKUP(AK199,'G-7 Rivers Data'!$AD$4:$AE$8,2,FALSE)=0,"Spatial Data Missing",VLOOKUP(AK199,'G-7 Rivers Data'!$AD$4:$AE$8,2,FALSE)))</f>
        <v/>
      </c>
      <c r="AM199" s="186"/>
      <c r="AN199" s="176" t="str">
        <f>IF(AM199="","",VLOOKUP(AM199,'G-7 Rivers Data'!$AO$4:$AP$7,2,FALSE))</f>
        <v/>
      </c>
      <c r="AO199" s="265" t="str">
        <f t="shared" si="24"/>
        <v/>
      </c>
      <c r="AP199" s="180"/>
      <c r="AQ199" s="181"/>
      <c r="AX199" s="35" t="str">
        <f>IFERROR(INDEX('G-7 Rivers Data'!$AZ$3:$AZ$7,MATCH(N199,'G-7 Rivers Data'!$AY$3:$AY$7,0)),"")</f>
        <v/>
      </c>
    </row>
    <row r="200" spans="2:50" ht="13.8" x14ac:dyDescent="0.25">
      <c r="B200" s="259" t="str">
        <f>'F-1 Off Site River Baseline'!AN198</f>
        <v/>
      </c>
      <c r="C200" s="175" t="str">
        <f>IF(B200="","",VLOOKUP($B200,'F-1 Off Site River Baseline'!$C$9:$R$257,2,FALSE))</f>
        <v/>
      </c>
      <c r="D200" s="175" t="str">
        <f>IF(C200="","",VLOOKUP($B200,'F-1 Off Site River Baseline'!$C$9:$R$257,3,FALSE))</f>
        <v/>
      </c>
      <c r="E200" s="175" t="str">
        <f>IF(D200="","",VLOOKUP($B200,'F-1 Off Site River Baseline'!$C$9:$R$257,4,FALSE))</f>
        <v/>
      </c>
      <c r="F200" s="175" t="str">
        <f>IF(E200="","",VLOOKUP($B200,'F-1 Off Site River Baseline'!$C$9:$R$257,5,FALSE))</f>
        <v/>
      </c>
      <c r="G200" s="175" t="str">
        <f>IF(F200="","",VLOOKUP($B200,'F-1 Off Site River Baseline'!$C$9:$R$257,6,FALSE))</f>
        <v/>
      </c>
      <c r="H200" s="175" t="str">
        <f>IF(G200="","",VLOOKUP($B200,'F-1 Off Site River Baseline'!$C$9:$R$257,7,FALSE))</f>
        <v/>
      </c>
      <c r="I200" s="175" t="str">
        <f>IF(H200="","",VLOOKUP($B200,'F-1 Off Site River Baseline'!$C$9:$R$257,8,FALSE))</f>
        <v/>
      </c>
      <c r="J200" s="175" t="str">
        <f>IF(I200="","",VLOOKUP($B200,'F-1 Off Site River Baseline'!$C$9:$R$257,9,FALSE))</f>
        <v/>
      </c>
      <c r="K200" s="175" t="str">
        <f>IF(J200="","",VLOOKUP($B200,'F-1 Off Site River Baseline'!$C$9:$R$257,10,FALSE))</f>
        <v/>
      </c>
      <c r="L200" s="175" t="str">
        <f>IF(B200="","",VLOOKUP($B200,'C-1 Site River Baseline'!$C$9:$R$257,15,FALSE))</f>
        <v/>
      </c>
      <c r="M200" s="176" t="str">
        <f>IF(L200="","",VLOOKUP($B200,'F-1 Off Site River Baseline'!$C$9:$R$257,16,FALSE))</f>
        <v/>
      </c>
      <c r="N200" s="639" t="str">
        <f t="shared" si="18"/>
        <v/>
      </c>
      <c r="O200" s="171" t="str">
        <f t="shared" si="19"/>
        <v/>
      </c>
      <c r="P200" s="172" t="str">
        <f>IF(C200="","",IF(AND(LEFT(C200,55)&lt;&gt;LEFT(N200,55),O200="High - High"),"Error - Not like for like",IF(AND(F200=S200,H200&gt;U200),"Error - Can not reduce condition",IF(AND(F200=S200,H200=U200,AJ200='F-1 Off Site River Baseline'!N198,'F-1 Off Site River Baseline'!P198=AL200),"Error - No enhancement",IF(AND(C200&lt;&gt;N200,F200&lt;S200),"Lower Distinctiveness Habitat"&amp;" - "&amp;T200,G200&amp;" - "&amp;T200)))))</f>
        <v/>
      </c>
      <c r="Q200" s="260" t="str">
        <f>IF(N200="","",VLOOKUP(B200,'F-1 Off Site River Baseline'!$C$10:$AA$257,19,FALSE))</f>
        <v/>
      </c>
      <c r="R200" s="171" t="str">
        <f>IF(N200="","",VLOOKUP(N200,'G-7 Rivers Data'!$B$2:$G$8,2,FALSE))</f>
        <v/>
      </c>
      <c r="S200" s="172" t="str">
        <f>IFERROR(VLOOKUP(R200,'G-7 Rivers Data'!$C$4:$D$8,2,FALSE),"")</f>
        <v/>
      </c>
      <c r="T200" s="173"/>
      <c r="U200" s="172" t="str">
        <f>IFERROR(INDEX('G-7 Rivers Data'!$H$4:$L$8,MATCH(N200,'G-7 Rivers Data'!$B$4:$B$8,0),MATCH(T200,'G-7 Rivers Data'!$H$3:$L$3,0)),"")</f>
        <v/>
      </c>
      <c r="V200" s="186"/>
      <c r="W200" s="175" t="str">
        <f>IF(V200="","",IF(VLOOKUP(V200,'G-7 Rivers Data'!$AG$4:$AI$9,2,FALSE)=0,"Spatial Data Missing",VLOOKUP(V200,'G-7 Rivers Data'!$AG$4:$AI$9,2,FALSE)))</f>
        <v/>
      </c>
      <c r="X200" s="176" t="str">
        <f>IF(V200="","",IF(VLOOKUP(V200,'G-7 Rivers Data'!$AG$4:$AI$9,3,FALSE)=0,"Spatial Data Missing",VLOOKUP(V200,'G-7 Rivers Data'!$AG$4:$AI$9,3,FALSE)))</f>
        <v/>
      </c>
      <c r="Y200" s="239" t="str">
        <f>IFERROR(IF(OR(LEFT(P200,5)="Error",LEFT(O200,5)="Error"),"Check Data",IF(F200&lt;S200,'G-7 Rivers Data'!$R$3,INDEX('G-7 Rivers Data'!$U$5:$Y$9,MATCH(G200,'G-7 Rivers Data'!$T$5:$T$9,0),MATCH(T200,'G-7 Rivers Data'!$U$4:$Y$4,0)))),"")</f>
        <v/>
      </c>
      <c r="Z200" s="275"/>
      <c r="AA200" s="275"/>
      <c r="AB200" s="175" t="str">
        <f t="shared" si="20"/>
        <v/>
      </c>
      <c r="AC200" s="262" t="str">
        <f t="shared" si="21"/>
        <v/>
      </c>
      <c r="AD200" s="382" t="str">
        <f>IFERROR(IF(AC200="Check Data","Check Data",VLOOKUP(AC200,'G-4 Temporal multipliers'!$A$4:$C$37,3,FALSE)),"")</f>
        <v/>
      </c>
      <c r="AE200" s="239" t="str">
        <f>IF(N200="","",VLOOKUP(N200,'G-7 Rivers Data'!$B$4:$G$8,5,FALSE))</f>
        <v/>
      </c>
      <c r="AF200" s="175" t="str">
        <f t="shared" si="22"/>
        <v/>
      </c>
      <c r="AG200" s="175" t="str">
        <f t="shared" si="23"/>
        <v/>
      </c>
      <c r="AH200" s="176" t="str">
        <f t="shared" si="17"/>
        <v/>
      </c>
      <c r="AI200" s="173"/>
      <c r="AJ200" s="172" t="str">
        <f>IF(AI200="","",IF(VLOOKUP(AI200,'G-7 Rivers Data'!$AA$4:$AB$7,2,FALSE)=0,"Spatial Data Missing",VLOOKUP(AI200,'G-7 Rivers Data'!$AA$4:$AB$7,2,FALSE)))</f>
        <v/>
      </c>
      <c r="AK200" s="187"/>
      <c r="AL200" s="172" t="str">
        <f>IF(AK200="","",IF(VLOOKUP(AK200,'G-7 Rivers Data'!$AD$4:$AE$8,2,FALSE)=0,"Spatial Data Missing",VLOOKUP(AK200,'G-7 Rivers Data'!$AD$4:$AE$8,2,FALSE)))</f>
        <v/>
      </c>
      <c r="AM200" s="186"/>
      <c r="AN200" s="176" t="str">
        <f>IF(AM200="","",VLOOKUP(AM200,'G-7 Rivers Data'!$AO$4:$AP$7,2,FALSE))</f>
        <v/>
      </c>
      <c r="AO200" s="265" t="str">
        <f t="shared" si="24"/>
        <v/>
      </c>
      <c r="AP200" s="180"/>
      <c r="AQ200" s="181"/>
      <c r="AX200" s="35" t="str">
        <f>IFERROR(INDEX('G-7 Rivers Data'!$AZ$3:$AZ$7,MATCH(N200,'G-7 Rivers Data'!$AY$3:$AY$7,0)),"")</f>
        <v/>
      </c>
    </row>
    <row r="201" spans="2:50" ht="13.8" x14ac:dyDescent="0.25">
      <c r="B201" s="259" t="str">
        <f>'F-1 Off Site River Baseline'!AN199</f>
        <v/>
      </c>
      <c r="C201" s="175" t="str">
        <f>IF(B201="","",VLOOKUP($B201,'F-1 Off Site River Baseline'!$C$9:$R$257,2,FALSE))</f>
        <v/>
      </c>
      <c r="D201" s="175" t="str">
        <f>IF(C201="","",VLOOKUP($B201,'F-1 Off Site River Baseline'!$C$9:$R$257,3,FALSE))</f>
        <v/>
      </c>
      <c r="E201" s="175" t="str">
        <f>IF(D201="","",VLOOKUP($B201,'F-1 Off Site River Baseline'!$C$9:$R$257,4,FALSE))</f>
        <v/>
      </c>
      <c r="F201" s="175" t="str">
        <f>IF(E201="","",VLOOKUP($B201,'F-1 Off Site River Baseline'!$C$9:$R$257,5,FALSE))</f>
        <v/>
      </c>
      <c r="G201" s="175" t="str">
        <f>IF(F201="","",VLOOKUP($B201,'F-1 Off Site River Baseline'!$C$9:$R$257,6,FALSE))</f>
        <v/>
      </c>
      <c r="H201" s="175" t="str">
        <f>IF(G201="","",VLOOKUP($B201,'F-1 Off Site River Baseline'!$C$9:$R$257,7,FALSE))</f>
        <v/>
      </c>
      <c r="I201" s="175" t="str">
        <f>IF(H201="","",VLOOKUP($B201,'F-1 Off Site River Baseline'!$C$9:$R$257,8,FALSE))</f>
        <v/>
      </c>
      <c r="J201" s="175" t="str">
        <f>IF(I201="","",VLOOKUP($B201,'F-1 Off Site River Baseline'!$C$9:$R$257,9,FALSE))</f>
        <v/>
      </c>
      <c r="K201" s="175" t="str">
        <f>IF(J201="","",VLOOKUP($B201,'F-1 Off Site River Baseline'!$C$9:$R$257,10,FALSE))</f>
        <v/>
      </c>
      <c r="L201" s="175" t="str">
        <f>IF(B201="","",VLOOKUP($B201,'C-1 Site River Baseline'!$C$9:$R$257,15,FALSE))</f>
        <v/>
      </c>
      <c r="M201" s="176" t="str">
        <f>IF(L201="","",VLOOKUP($B201,'F-1 Off Site River Baseline'!$C$9:$R$257,16,FALSE))</f>
        <v/>
      </c>
      <c r="N201" s="639" t="str">
        <f t="shared" si="18"/>
        <v/>
      </c>
      <c r="O201" s="171" t="str">
        <f t="shared" si="19"/>
        <v/>
      </c>
      <c r="P201" s="172" t="str">
        <f>IF(C201="","",IF(AND(LEFT(C201,55)&lt;&gt;LEFT(N201,55),O201="High - High"),"Error - Not like for like",IF(AND(F201=S201,H201&gt;U201),"Error - Can not reduce condition",IF(AND(F201=S201,H201=U201,AJ201='F-1 Off Site River Baseline'!N199,'F-1 Off Site River Baseline'!P199=AL201),"Error - No enhancement",IF(AND(C201&lt;&gt;N201,F201&lt;S201),"Lower Distinctiveness Habitat"&amp;" - "&amp;T201,G201&amp;" - "&amp;T201)))))</f>
        <v/>
      </c>
      <c r="Q201" s="260" t="str">
        <f>IF(N201="","",VLOOKUP(B201,'F-1 Off Site River Baseline'!$C$10:$AA$257,19,FALSE))</f>
        <v/>
      </c>
      <c r="R201" s="171" t="str">
        <f>IF(N201="","",VLOOKUP(N201,'G-7 Rivers Data'!$B$2:$G$8,2,FALSE))</f>
        <v/>
      </c>
      <c r="S201" s="172" t="str">
        <f>IFERROR(VLOOKUP(R201,'G-7 Rivers Data'!$C$4:$D$8,2,FALSE),"")</f>
        <v/>
      </c>
      <c r="T201" s="173"/>
      <c r="U201" s="172" t="str">
        <f>IFERROR(INDEX('G-7 Rivers Data'!$H$4:$L$8,MATCH(N201,'G-7 Rivers Data'!$B$4:$B$8,0),MATCH(T201,'G-7 Rivers Data'!$H$3:$L$3,0)),"")</f>
        <v/>
      </c>
      <c r="V201" s="186"/>
      <c r="W201" s="175" t="str">
        <f>IF(V201="","",IF(VLOOKUP(V201,'G-7 Rivers Data'!$AG$4:$AI$9,2,FALSE)=0,"Spatial Data Missing",VLOOKUP(V201,'G-7 Rivers Data'!$AG$4:$AI$9,2,FALSE)))</f>
        <v/>
      </c>
      <c r="X201" s="176" t="str">
        <f>IF(V201="","",IF(VLOOKUP(V201,'G-7 Rivers Data'!$AG$4:$AI$9,3,FALSE)=0,"Spatial Data Missing",VLOOKUP(V201,'G-7 Rivers Data'!$AG$4:$AI$9,3,FALSE)))</f>
        <v/>
      </c>
      <c r="Y201" s="239" t="str">
        <f>IFERROR(IF(OR(LEFT(P201,5)="Error",LEFT(O201,5)="Error"),"Check Data",IF(F201&lt;S201,'G-7 Rivers Data'!$R$3,INDEX('G-7 Rivers Data'!$U$5:$Y$9,MATCH(G201,'G-7 Rivers Data'!$T$5:$T$9,0),MATCH(T201,'G-7 Rivers Data'!$U$4:$Y$4,0)))),"")</f>
        <v/>
      </c>
      <c r="Z201" s="275"/>
      <c r="AA201" s="275"/>
      <c r="AB201" s="175" t="str">
        <f t="shared" si="20"/>
        <v/>
      </c>
      <c r="AC201" s="262" t="str">
        <f t="shared" si="21"/>
        <v/>
      </c>
      <c r="AD201" s="382" t="str">
        <f>IFERROR(IF(AC201="Check Data","Check Data",VLOOKUP(AC201,'G-4 Temporal multipliers'!$A$4:$C$37,3,FALSE)),"")</f>
        <v/>
      </c>
      <c r="AE201" s="239" t="str">
        <f>IF(N201="","",VLOOKUP(N201,'G-7 Rivers Data'!$B$4:$G$8,5,FALSE))</f>
        <v/>
      </c>
      <c r="AF201" s="175" t="str">
        <f t="shared" si="22"/>
        <v/>
      </c>
      <c r="AG201" s="175" t="str">
        <f t="shared" si="23"/>
        <v/>
      </c>
      <c r="AH201" s="176" t="str">
        <f t="shared" si="17"/>
        <v/>
      </c>
      <c r="AI201" s="173"/>
      <c r="AJ201" s="172" t="str">
        <f>IF(AI201="","",IF(VLOOKUP(AI201,'G-7 Rivers Data'!$AA$4:$AB$7,2,FALSE)=0,"Spatial Data Missing",VLOOKUP(AI201,'G-7 Rivers Data'!$AA$4:$AB$7,2,FALSE)))</f>
        <v/>
      </c>
      <c r="AK201" s="187"/>
      <c r="AL201" s="172" t="str">
        <f>IF(AK201="","",IF(VLOOKUP(AK201,'G-7 Rivers Data'!$AD$4:$AE$8,2,FALSE)=0,"Spatial Data Missing",VLOOKUP(AK201,'G-7 Rivers Data'!$AD$4:$AE$8,2,FALSE)))</f>
        <v/>
      </c>
      <c r="AM201" s="186"/>
      <c r="AN201" s="176" t="str">
        <f>IF(AM201="","",VLOOKUP(AM201,'G-7 Rivers Data'!$AO$4:$AP$7,2,FALSE))</f>
        <v/>
      </c>
      <c r="AO201" s="265" t="str">
        <f t="shared" si="24"/>
        <v/>
      </c>
      <c r="AP201" s="180"/>
      <c r="AQ201" s="181"/>
      <c r="AX201" s="35" t="str">
        <f>IFERROR(INDEX('G-7 Rivers Data'!$AZ$3:$AZ$7,MATCH(N201,'G-7 Rivers Data'!$AY$3:$AY$7,0)),"")</f>
        <v/>
      </c>
    </row>
    <row r="202" spans="2:50" ht="13.8" x14ac:dyDescent="0.25">
      <c r="B202" s="259" t="str">
        <f>'F-1 Off Site River Baseline'!AN200</f>
        <v/>
      </c>
      <c r="C202" s="175" t="str">
        <f>IF(B202="","",VLOOKUP($B202,'F-1 Off Site River Baseline'!$C$9:$R$257,2,FALSE))</f>
        <v/>
      </c>
      <c r="D202" s="175" t="str">
        <f>IF(C202="","",VLOOKUP($B202,'F-1 Off Site River Baseline'!$C$9:$R$257,3,FALSE))</f>
        <v/>
      </c>
      <c r="E202" s="175" t="str">
        <f>IF(D202="","",VLOOKUP($B202,'F-1 Off Site River Baseline'!$C$9:$R$257,4,FALSE))</f>
        <v/>
      </c>
      <c r="F202" s="175" t="str">
        <f>IF(E202="","",VLOOKUP($B202,'F-1 Off Site River Baseline'!$C$9:$R$257,5,FALSE))</f>
        <v/>
      </c>
      <c r="G202" s="175" t="str">
        <f>IF(F202="","",VLOOKUP($B202,'F-1 Off Site River Baseline'!$C$9:$R$257,6,FALSE))</f>
        <v/>
      </c>
      <c r="H202" s="175" t="str">
        <f>IF(G202="","",VLOOKUP($B202,'F-1 Off Site River Baseline'!$C$9:$R$257,7,FALSE))</f>
        <v/>
      </c>
      <c r="I202" s="175" t="str">
        <f>IF(H202="","",VLOOKUP($B202,'F-1 Off Site River Baseline'!$C$9:$R$257,8,FALSE))</f>
        <v/>
      </c>
      <c r="J202" s="175" t="str">
        <f>IF(I202="","",VLOOKUP($B202,'F-1 Off Site River Baseline'!$C$9:$R$257,9,FALSE))</f>
        <v/>
      </c>
      <c r="K202" s="175" t="str">
        <f>IF(J202="","",VLOOKUP($B202,'F-1 Off Site River Baseline'!$C$9:$R$257,10,FALSE))</f>
        <v/>
      </c>
      <c r="L202" s="175" t="str">
        <f>IF(B202="","",VLOOKUP($B202,'C-1 Site River Baseline'!$C$9:$R$257,15,FALSE))</f>
        <v/>
      </c>
      <c r="M202" s="176" t="str">
        <f>IF(L202="","",VLOOKUP($B202,'F-1 Off Site River Baseline'!$C$9:$R$257,16,FALSE))</f>
        <v/>
      </c>
      <c r="N202" s="639" t="str">
        <f t="shared" si="18"/>
        <v/>
      </c>
      <c r="O202" s="171" t="str">
        <f t="shared" si="19"/>
        <v/>
      </c>
      <c r="P202" s="172" t="str">
        <f>IF(C202="","",IF(AND(LEFT(C202,55)&lt;&gt;LEFT(N202,55),O202="High - High"),"Error - Not like for like",IF(AND(F202=S202,H202&gt;U202),"Error - Can not reduce condition",IF(AND(F202=S202,H202=U202,AJ202='F-1 Off Site River Baseline'!N200,'F-1 Off Site River Baseline'!P200=AL202),"Error - No enhancement",IF(AND(C202&lt;&gt;N202,F202&lt;S202),"Lower Distinctiveness Habitat"&amp;" - "&amp;T202,G202&amp;" - "&amp;T202)))))</f>
        <v/>
      </c>
      <c r="Q202" s="260" t="str">
        <f>IF(N202="","",VLOOKUP(B202,'F-1 Off Site River Baseline'!$C$10:$AA$257,19,FALSE))</f>
        <v/>
      </c>
      <c r="R202" s="171" t="str">
        <f>IF(N202="","",VLOOKUP(N202,'G-7 Rivers Data'!$B$2:$G$8,2,FALSE))</f>
        <v/>
      </c>
      <c r="S202" s="172" t="str">
        <f>IFERROR(VLOOKUP(R202,'G-7 Rivers Data'!$C$4:$D$8,2,FALSE),"")</f>
        <v/>
      </c>
      <c r="T202" s="173"/>
      <c r="U202" s="172" t="str">
        <f>IFERROR(INDEX('G-7 Rivers Data'!$H$4:$L$8,MATCH(N202,'G-7 Rivers Data'!$B$4:$B$8,0),MATCH(T202,'G-7 Rivers Data'!$H$3:$L$3,0)),"")</f>
        <v/>
      </c>
      <c r="V202" s="186"/>
      <c r="W202" s="175" t="str">
        <f>IF(V202="","",IF(VLOOKUP(V202,'G-7 Rivers Data'!$AG$4:$AI$9,2,FALSE)=0,"Spatial Data Missing",VLOOKUP(V202,'G-7 Rivers Data'!$AG$4:$AI$9,2,FALSE)))</f>
        <v/>
      </c>
      <c r="X202" s="176" t="str">
        <f>IF(V202="","",IF(VLOOKUP(V202,'G-7 Rivers Data'!$AG$4:$AI$9,3,FALSE)=0,"Spatial Data Missing",VLOOKUP(V202,'G-7 Rivers Data'!$AG$4:$AI$9,3,FALSE)))</f>
        <v/>
      </c>
      <c r="Y202" s="239" t="str">
        <f>IFERROR(IF(OR(LEFT(P202,5)="Error",LEFT(O202,5)="Error"),"Check Data",IF(F202&lt;S202,'G-7 Rivers Data'!$R$3,INDEX('G-7 Rivers Data'!$U$5:$Y$9,MATCH(G202,'G-7 Rivers Data'!$T$5:$T$9,0),MATCH(T202,'G-7 Rivers Data'!$U$4:$Y$4,0)))),"")</f>
        <v/>
      </c>
      <c r="Z202" s="275"/>
      <c r="AA202" s="275"/>
      <c r="AB202" s="175" t="str">
        <f t="shared" si="20"/>
        <v/>
      </c>
      <c r="AC202" s="262" t="str">
        <f t="shared" si="21"/>
        <v/>
      </c>
      <c r="AD202" s="382" t="str">
        <f>IFERROR(IF(AC202="Check Data","Check Data",VLOOKUP(AC202,'G-4 Temporal multipliers'!$A$4:$C$37,3,FALSE)),"")</f>
        <v/>
      </c>
      <c r="AE202" s="239" t="str">
        <f>IF(N202="","",VLOOKUP(N202,'G-7 Rivers Data'!$B$4:$G$8,5,FALSE))</f>
        <v/>
      </c>
      <c r="AF202" s="175" t="str">
        <f t="shared" si="22"/>
        <v/>
      </c>
      <c r="AG202" s="175" t="str">
        <f t="shared" si="23"/>
        <v/>
      </c>
      <c r="AH202" s="176" t="str">
        <f t="shared" si="17"/>
        <v/>
      </c>
      <c r="AI202" s="173"/>
      <c r="AJ202" s="172" t="str">
        <f>IF(AI202="","",IF(VLOOKUP(AI202,'G-7 Rivers Data'!$AA$4:$AB$7,2,FALSE)=0,"Spatial Data Missing",VLOOKUP(AI202,'G-7 Rivers Data'!$AA$4:$AB$7,2,FALSE)))</f>
        <v/>
      </c>
      <c r="AK202" s="187"/>
      <c r="AL202" s="172" t="str">
        <f>IF(AK202="","",IF(VLOOKUP(AK202,'G-7 Rivers Data'!$AD$4:$AE$8,2,FALSE)=0,"Spatial Data Missing",VLOOKUP(AK202,'G-7 Rivers Data'!$AD$4:$AE$8,2,FALSE)))</f>
        <v/>
      </c>
      <c r="AM202" s="186"/>
      <c r="AN202" s="176" t="str">
        <f>IF(AM202="","",VLOOKUP(AM202,'G-7 Rivers Data'!$AO$4:$AP$7,2,FALSE))</f>
        <v/>
      </c>
      <c r="AO202" s="265" t="str">
        <f t="shared" si="24"/>
        <v/>
      </c>
      <c r="AP202" s="180"/>
      <c r="AQ202" s="181"/>
      <c r="AX202" s="35" t="str">
        <f>IFERROR(INDEX('G-7 Rivers Data'!$AZ$3:$AZ$7,MATCH(N202,'G-7 Rivers Data'!$AY$3:$AY$7,0)),"")</f>
        <v/>
      </c>
    </row>
    <row r="203" spans="2:50" ht="13.8" x14ac:dyDescent="0.25">
      <c r="B203" s="259" t="str">
        <f>'F-1 Off Site River Baseline'!AN201</f>
        <v/>
      </c>
      <c r="C203" s="175" t="str">
        <f>IF(B203="","",VLOOKUP($B203,'F-1 Off Site River Baseline'!$C$9:$R$257,2,FALSE))</f>
        <v/>
      </c>
      <c r="D203" s="175" t="str">
        <f>IF(C203="","",VLOOKUP($B203,'F-1 Off Site River Baseline'!$C$9:$R$257,3,FALSE))</f>
        <v/>
      </c>
      <c r="E203" s="175" t="str">
        <f>IF(D203="","",VLOOKUP($B203,'F-1 Off Site River Baseline'!$C$9:$R$257,4,FALSE))</f>
        <v/>
      </c>
      <c r="F203" s="175" t="str">
        <f>IF(E203="","",VLOOKUP($B203,'F-1 Off Site River Baseline'!$C$9:$R$257,5,FALSE))</f>
        <v/>
      </c>
      <c r="G203" s="175" t="str">
        <f>IF(F203="","",VLOOKUP($B203,'F-1 Off Site River Baseline'!$C$9:$R$257,6,FALSE))</f>
        <v/>
      </c>
      <c r="H203" s="175" t="str">
        <f>IF(G203="","",VLOOKUP($B203,'F-1 Off Site River Baseline'!$C$9:$R$257,7,FALSE))</f>
        <v/>
      </c>
      <c r="I203" s="175" t="str">
        <f>IF(H203="","",VLOOKUP($B203,'F-1 Off Site River Baseline'!$C$9:$R$257,8,FALSE))</f>
        <v/>
      </c>
      <c r="J203" s="175" t="str">
        <f>IF(I203="","",VLOOKUP($B203,'F-1 Off Site River Baseline'!$C$9:$R$257,9,FALSE))</f>
        <v/>
      </c>
      <c r="K203" s="175" t="str">
        <f>IF(J203="","",VLOOKUP($B203,'F-1 Off Site River Baseline'!$C$9:$R$257,10,FALSE))</f>
        <v/>
      </c>
      <c r="L203" s="175" t="str">
        <f>IF(B203="","",VLOOKUP($B203,'C-1 Site River Baseline'!$C$9:$R$257,15,FALSE))</f>
        <v/>
      </c>
      <c r="M203" s="176" t="str">
        <f>IF(L203="","",VLOOKUP($B203,'F-1 Off Site River Baseline'!$C$9:$R$257,16,FALSE))</f>
        <v/>
      </c>
      <c r="N203" s="639" t="str">
        <f t="shared" si="18"/>
        <v/>
      </c>
      <c r="O203" s="171" t="str">
        <f t="shared" si="19"/>
        <v/>
      </c>
      <c r="P203" s="172" t="str">
        <f>IF(C203="","",IF(AND(LEFT(C203,55)&lt;&gt;LEFT(N203,55),O203="High - High"),"Error - Not like for like",IF(AND(F203=S203,H203&gt;U203),"Error - Can not reduce condition",IF(AND(F203=S203,H203=U203,AJ203='F-1 Off Site River Baseline'!N201,'F-1 Off Site River Baseline'!P201=AL203),"Error - No enhancement",IF(AND(C203&lt;&gt;N203,F203&lt;S203),"Lower Distinctiveness Habitat"&amp;" - "&amp;T203,G203&amp;" - "&amp;T203)))))</f>
        <v/>
      </c>
      <c r="Q203" s="260" t="str">
        <f>IF(N203="","",VLOOKUP(B203,'F-1 Off Site River Baseline'!$C$10:$AA$257,19,FALSE))</f>
        <v/>
      </c>
      <c r="R203" s="171" t="str">
        <f>IF(N203="","",VLOOKUP(N203,'G-7 Rivers Data'!$B$2:$G$8,2,FALSE))</f>
        <v/>
      </c>
      <c r="S203" s="172" t="str">
        <f>IFERROR(VLOOKUP(R203,'G-7 Rivers Data'!$C$4:$D$8,2,FALSE),"")</f>
        <v/>
      </c>
      <c r="T203" s="173"/>
      <c r="U203" s="172" t="str">
        <f>IFERROR(INDEX('G-7 Rivers Data'!$H$4:$L$8,MATCH(N203,'G-7 Rivers Data'!$B$4:$B$8,0),MATCH(T203,'G-7 Rivers Data'!$H$3:$L$3,0)),"")</f>
        <v/>
      </c>
      <c r="V203" s="186"/>
      <c r="W203" s="175" t="str">
        <f>IF(V203="","",IF(VLOOKUP(V203,'G-7 Rivers Data'!$AG$4:$AI$9,2,FALSE)=0,"Spatial Data Missing",VLOOKUP(V203,'G-7 Rivers Data'!$AG$4:$AI$9,2,FALSE)))</f>
        <v/>
      </c>
      <c r="X203" s="176" t="str">
        <f>IF(V203="","",IF(VLOOKUP(V203,'G-7 Rivers Data'!$AG$4:$AI$9,3,FALSE)=0,"Spatial Data Missing",VLOOKUP(V203,'G-7 Rivers Data'!$AG$4:$AI$9,3,FALSE)))</f>
        <v/>
      </c>
      <c r="Y203" s="239" t="str">
        <f>IFERROR(IF(OR(LEFT(P203,5)="Error",LEFT(O203,5)="Error"),"Check Data",IF(F203&lt;S203,'G-7 Rivers Data'!$R$3,INDEX('G-7 Rivers Data'!$U$5:$Y$9,MATCH(G203,'G-7 Rivers Data'!$T$5:$T$9,0),MATCH(T203,'G-7 Rivers Data'!$U$4:$Y$4,0)))),"")</f>
        <v/>
      </c>
      <c r="Z203" s="275"/>
      <c r="AA203" s="275"/>
      <c r="AB203" s="175" t="str">
        <f t="shared" si="20"/>
        <v/>
      </c>
      <c r="AC203" s="262" t="str">
        <f t="shared" si="21"/>
        <v/>
      </c>
      <c r="AD203" s="382" t="str">
        <f>IFERROR(IF(AC203="Check Data","Check Data",VLOOKUP(AC203,'G-4 Temporal multipliers'!$A$4:$C$37,3,FALSE)),"")</f>
        <v/>
      </c>
      <c r="AE203" s="239" t="str">
        <f>IF(N203="","",VLOOKUP(N203,'G-7 Rivers Data'!$B$4:$G$8,5,FALSE))</f>
        <v/>
      </c>
      <c r="AF203" s="175" t="str">
        <f t="shared" si="22"/>
        <v/>
      </c>
      <c r="AG203" s="175" t="str">
        <f t="shared" si="23"/>
        <v/>
      </c>
      <c r="AH203" s="176" t="str">
        <f t="shared" si="17"/>
        <v/>
      </c>
      <c r="AI203" s="173"/>
      <c r="AJ203" s="172" t="str">
        <f>IF(AI203="","",IF(VLOOKUP(AI203,'G-7 Rivers Data'!$AA$4:$AB$7,2,FALSE)=0,"Spatial Data Missing",VLOOKUP(AI203,'G-7 Rivers Data'!$AA$4:$AB$7,2,FALSE)))</f>
        <v/>
      </c>
      <c r="AK203" s="187"/>
      <c r="AL203" s="172" t="str">
        <f>IF(AK203="","",IF(VLOOKUP(AK203,'G-7 Rivers Data'!$AD$4:$AE$8,2,FALSE)=0,"Spatial Data Missing",VLOOKUP(AK203,'G-7 Rivers Data'!$AD$4:$AE$8,2,FALSE)))</f>
        <v/>
      </c>
      <c r="AM203" s="186"/>
      <c r="AN203" s="176" t="str">
        <f>IF(AM203="","",VLOOKUP(AM203,'G-7 Rivers Data'!$AO$4:$AP$7,2,FALSE))</f>
        <v/>
      </c>
      <c r="AO203" s="265" t="str">
        <f t="shared" si="24"/>
        <v/>
      </c>
      <c r="AP203" s="180"/>
      <c r="AQ203" s="181"/>
      <c r="AX203" s="35" t="str">
        <f>IFERROR(INDEX('G-7 Rivers Data'!$AZ$3:$AZ$7,MATCH(N203,'G-7 Rivers Data'!$AY$3:$AY$7,0)),"")</f>
        <v/>
      </c>
    </row>
    <row r="204" spans="2:50" ht="13.8" x14ac:dyDescent="0.25">
      <c r="B204" s="259" t="str">
        <f>'F-1 Off Site River Baseline'!AN202</f>
        <v/>
      </c>
      <c r="C204" s="175" t="str">
        <f>IF(B204="","",VLOOKUP($B204,'F-1 Off Site River Baseline'!$C$9:$R$257,2,FALSE))</f>
        <v/>
      </c>
      <c r="D204" s="175" t="str">
        <f>IF(C204="","",VLOOKUP($B204,'F-1 Off Site River Baseline'!$C$9:$R$257,3,FALSE))</f>
        <v/>
      </c>
      <c r="E204" s="175" t="str">
        <f>IF(D204="","",VLOOKUP($B204,'F-1 Off Site River Baseline'!$C$9:$R$257,4,FALSE))</f>
        <v/>
      </c>
      <c r="F204" s="175" t="str">
        <f>IF(E204="","",VLOOKUP($B204,'F-1 Off Site River Baseline'!$C$9:$R$257,5,FALSE))</f>
        <v/>
      </c>
      <c r="G204" s="175" t="str">
        <f>IF(F204="","",VLOOKUP($B204,'F-1 Off Site River Baseline'!$C$9:$R$257,6,FALSE))</f>
        <v/>
      </c>
      <c r="H204" s="175" t="str">
        <f>IF(G204="","",VLOOKUP($B204,'F-1 Off Site River Baseline'!$C$9:$R$257,7,FALSE))</f>
        <v/>
      </c>
      <c r="I204" s="175" t="str">
        <f>IF(H204="","",VLOOKUP($B204,'F-1 Off Site River Baseline'!$C$9:$R$257,8,FALSE))</f>
        <v/>
      </c>
      <c r="J204" s="175" t="str">
        <f>IF(I204="","",VLOOKUP($B204,'F-1 Off Site River Baseline'!$C$9:$R$257,9,FALSE))</f>
        <v/>
      </c>
      <c r="K204" s="175" t="str">
        <f>IF(J204="","",VLOOKUP($B204,'F-1 Off Site River Baseline'!$C$9:$R$257,10,FALSE))</f>
        <v/>
      </c>
      <c r="L204" s="175" t="str">
        <f>IF(B204="","",VLOOKUP($B204,'C-1 Site River Baseline'!$C$9:$R$257,15,FALSE))</f>
        <v/>
      </c>
      <c r="M204" s="176" t="str">
        <f>IF(L204="","",VLOOKUP($B204,'F-1 Off Site River Baseline'!$C$9:$R$257,16,FALSE))</f>
        <v/>
      </c>
      <c r="N204" s="639" t="str">
        <f t="shared" si="18"/>
        <v/>
      </c>
      <c r="O204" s="171" t="str">
        <f t="shared" si="19"/>
        <v/>
      </c>
      <c r="P204" s="172" t="str">
        <f>IF(C204="","",IF(AND(LEFT(C204,55)&lt;&gt;LEFT(N204,55),O204="High - High"),"Error - Not like for like",IF(AND(F204=S204,H204&gt;U204),"Error - Can not reduce condition",IF(AND(F204=S204,H204=U204,AJ204='F-1 Off Site River Baseline'!N202,'F-1 Off Site River Baseline'!P202=AL204),"Error - No enhancement",IF(AND(C204&lt;&gt;N204,F204&lt;S204),"Lower Distinctiveness Habitat"&amp;" - "&amp;T204,G204&amp;" - "&amp;T204)))))</f>
        <v/>
      </c>
      <c r="Q204" s="260" t="str">
        <f>IF(N204="","",VLOOKUP(B204,'F-1 Off Site River Baseline'!$C$10:$AA$257,19,FALSE))</f>
        <v/>
      </c>
      <c r="R204" s="171" t="str">
        <f>IF(N204="","",VLOOKUP(N204,'G-7 Rivers Data'!$B$2:$G$8,2,FALSE))</f>
        <v/>
      </c>
      <c r="S204" s="172" t="str">
        <f>IFERROR(VLOOKUP(R204,'G-7 Rivers Data'!$C$4:$D$8,2,FALSE),"")</f>
        <v/>
      </c>
      <c r="T204" s="173"/>
      <c r="U204" s="172" t="str">
        <f>IFERROR(INDEX('G-7 Rivers Data'!$H$4:$L$8,MATCH(N204,'G-7 Rivers Data'!$B$4:$B$8,0),MATCH(T204,'G-7 Rivers Data'!$H$3:$L$3,0)),"")</f>
        <v/>
      </c>
      <c r="V204" s="186"/>
      <c r="W204" s="175" t="str">
        <f>IF(V204="","",IF(VLOOKUP(V204,'G-7 Rivers Data'!$AG$4:$AI$9,2,FALSE)=0,"Spatial Data Missing",VLOOKUP(V204,'G-7 Rivers Data'!$AG$4:$AI$9,2,FALSE)))</f>
        <v/>
      </c>
      <c r="X204" s="176" t="str">
        <f>IF(V204="","",IF(VLOOKUP(V204,'G-7 Rivers Data'!$AG$4:$AI$9,3,FALSE)=0,"Spatial Data Missing",VLOOKUP(V204,'G-7 Rivers Data'!$AG$4:$AI$9,3,FALSE)))</f>
        <v/>
      </c>
      <c r="Y204" s="239" t="str">
        <f>IFERROR(IF(OR(LEFT(P204,5)="Error",LEFT(O204,5)="Error"),"Check Data",IF(F204&lt;S204,'G-7 Rivers Data'!$R$3,INDEX('G-7 Rivers Data'!$U$5:$Y$9,MATCH(G204,'G-7 Rivers Data'!$T$5:$T$9,0),MATCH(T204,'G-7 Rivers Data'!$U$4:$Y$4,0)))),"")</f>
        <v/>
      </c>
      <c r="Z204" s="275"/>
      <c r="AA204" s="275"/>
      <c r="AB204" s="175" t="str">
        <f t="shared" si="20"/>
        <v/>
      </c>
      <c r="AC204" s="262" t="str">
        <f t="shared" si="21"/>
        <v/>
      </c>
      <c r="AD204" s="382" t="str">
        <f>IFERROR(IF(AC204="Check Data","Check Data",VLOOKUP(AC204,'G-4 Temporal multipliers'!$A$4:$C$37,3,FALSE)),"")</f>
        <v/>
      </c>
      <c r="AE204" s="239" t="str">
        <f>IF(N204="","",VLOOKUP(N204,'G-7 Rivers Data'!$B$4:$G$8,5,FALSE))</f>
        <v/>
      </c>
      <c r="AF204" s="175" t="str">
        <f t="shared" si="22"/>
        <v/>
      </c>
      <c r="AG204" s="175" t="str">
        <f t="shared" si="23"/>
        <v/>
      </c>
      <c r="AH204" s="176" t="str">
        <f t="shared" ref="AH204:AH257" si="25">IF(N204="","",VLOOKUP(AE204,Difficulty,2,FALSE))</f>
        <v/>
      </c>
      <c r="AI204" s="173"/>
      <c r="AJ204" s="172" t="str">
        <f>IF(AI204="","",IF(VLOOKUP(AI204,'G-7 Rivers Data'!$AA$4:$AB$7,2,FALSE)=0,"Spatial Data Missing",VLOOKUP(AI204,'G-7 Rivers Data'!$AA$4:$AB$7,2,FALSE)))</f>
        <v/>
      </c>
      <c r="AK204" s="187"/>
      <c r="AL204" s="172" t="str">
        <f>IF(AK204="","",IF(VLOOKUP(AK204,'G-7 Rivers Data'!$AD$4:$AE$8,2,FALSE)=0,"Spatial Data Missing",VLOOKUP(AK204,'G-7 Rivers Data'!$AD$4:$AE$8,2,FALSE)))</f>
        <v/>
      </c>
      <c r="AM204" s="186"/>
      <c r="AN204" s="176" t="str">
        <f>IF(AM204="","",VLOOKUP(AM204,'G-7 Rivers Data'!$AO$4:$AP$7,2,FALSE))</f>
        <v/>
      </c>
      <c r="AO204" s="265" t="str">
        <f t="shared" si="24"/>
        <v/>
      </c>
      <c r="AP204" s="180"/>
      <c r="AQ204" s="181"/>
      <c r="AX204" s="35" t="str">
        <f>IFERROR(INDEX('G-7 Rivers Data'!$AZ$3:$AZ$7,MATCH(N204,'G-7 Rivers Data'!$AY$3:$AY$7,0)),"")</f>
        <v/>
      </c>
    </row>
    <row r="205" spans="2:50" ht="13.8" x14ac:dyDescent="0.25">
      <c r="B205" s="259" t="str">
        <f>'F-1 Off Site River Baseline'!AN203</f>
        <v/>
      </c>
      <c r="C205" s="175" t="str">
        <f>IF(B205="","",VLOOKUP($B205,'F-1 Off Site River Baseline'!$C$9:$R$257,2,FALSE))</f>
        <v/>
      </c>
      <c r="D205" s="175" t="str">
        <f>IF(C205="","",VLOOKUP($B205,'F-1 Off Site River Baseline'!$C$9:$R$257,3,FALSE))</f>
        <v/>
      </c>
      <c r="E205" s="175" t="str">
        <f>IF(D205="","",VLOOKUP($B205,'F-1 Off Site River Baseline'!$C$9:$R$257,4,FALSE))</f>
        <v/>
      </c>
      <c r="F205" s="175" t="str">
        <f>IF(E205="","",VLOOKUP($B205,'F-1 Off Site River Baseline'!$C$9:$R$257,5,FALSE))</f>
        <v/>
      </c>
      <c r="G205" s="175" t="str">
        <f>IF(F205="","",VLOOKUP($B205,'F-1 Off Site River Baseline'!$C$9:$R$257,6,FALSE))</f>
        <v/>
      </c>
      <c r="H205" s="175" t="str">
        <f>IF(G205="","",VLOOKUP($B205,'F-1 Off Site River Baseline'!$C$9:$R$257,7,FALSE))</f>
        <v/>
      </c>
      <c r="I205" s="175" t="str">
        <f>IF(H205="","",VLOOKUP($B205,'F-1 Off Site River Baseline'!$C$9:$R$257,8,FALSE))</f>
        <v/>
      </c>
      <c r="J205" s="175" t="str">
        <f>IF(I205="","",VLOOKUP($B205,'F-1 Off Site River Baseline'!$C$9:$R$257,9,FALSE))</f>
        <v/>
      </c>
      <c r="K205" s="175" t="str">
        <f>IF(J205="","",VLOOKUP($B205,'F-1 Off Site River Baseline'!$C$9:$R$257,10,FALSE))</f>
        <v/>
      </c>
      <c r="L205" s="175" t="str">
        <f>IF(B205="","",VLOOKUP($B205,'C-1 Site River Baseline'!$C$9:$R$257,15,FALSE))</f>
        <v/>
      </c>
      <c r="M205" s="176" t="str">
        <f>IF(L205="","",VLOOKUP($B205,'F-1 Off Site River Baseline'!$C$9:$R$257,16,FALSE))</f>
        <v/>
      </c>
      <c r="N205" s="639" t="str">
        <f t="shared" ref="N205:N257" si="26">C205</f>
        <v/>
      </c>
      <c r="O205" s="171" t="str">
        <f t="shared" ref="O205:O257" si="27">IF(B205="","",IF(S205&lt;F205,"Error Trading Down",E205&amp;" - "&amp;R205))</f>
        <v/>
      </c>
      <c r="P205" s="172" t="str">
        <f>IF(C205="","",IF(AND(LEFT(C205,55)&lt;&gt;LEFT(N205,55),O205="High - High"),"Error - Not like for like",IF(AND(F205=S205,H205&gt;U205),"Error - Can not reduce condition",IF(AND(F205=S205,H205=U205,AJ205='F-1 Off Site River Baseline'!N203,'F-1 Off Site River Baseline'!P203=AL205),"Error - No enhancement",IF(AND(C205&lt;&gt;N205,F205&lt;S205),"Lower Distinctiveness Habitat"&amp;" - "&amp;T205,G205&amp;" - "&amp;T205)))))</f>
        <v/>
      </c>
      <c r="Q205" s="260" t="str">
        <f>IF(N205="","",VLOOKUP(B205,'F-1 Off Site River Baseline'!$C$10:$AA$257,19,FALSE))</f>
        <v/>
      </c>
      <c r="R205" s="171" t="str">
        <f>IF(N205="","",VLOOKUP(N205,'G-7 Rivers Data'!$B$2:$G$8,2,FALSE))</f>
        <v/>
      </c>
      <c r="S205" s="172" t="str">
        <f>IFERROR(VLOOKUP(R205,'G-7 Rivers Data'!$C$4:$D$8,2,FALSE),"")</f>
        <v/>
      </c>
      <c r="T205" s="173"/>
      <c r="U205" s="172" t="str">
        <f>IFERROR(INDEX('G-7 Rivers Data'!$H$4:$L$8,MATCH(N205,'G-7 Rivers Data'!$B$4:$B$8,0),MATCH(T205,'G-7 Rivers Data'!$H$3:$L$3,0)),"")</f>
        <v/>
      </c>
      <c r="V205" s="186"/>
      <c r="W205" s="175" t="str">
        <f>IF(V205="","",IF(VLOOKUP(V205,'G-7 Rivers Data'!$AG$4:$AI$9,2,FALSE)=0,"Spatial Data Missing",VLOOKUP(V205,'G-7 Rivers Data'!$AG$4:$AI$9,2,FALSE)))</f>
        <v/>
      </c>
      <c r="X205" s="176" t="str">
        <f>IF(V205="","",IF(VLOOKUP(V205,'G-7 Rivers Data'!$AG$4:$AI$9,3,FALSE)=0,"Spatial Data Missing",VLOOKUP(V205,'G-7 Rivers Data'!$AG$4:$AI$9,3,FALSE)))</f>
        <v/>
      </c>
      <c r="Y205" s="239" t="str">
        <f>IFERROR(IF(OR(LEFT(P205,5)="Error",LEFT(O205,5)="Error"),"Check Data",IF(F205&lt;S205,'G-7 Rivers Data'!$R$3,INDEX('G-7 Rivers Data'!$U$5:$Y$9,MATCH(G205,'G-7 Rivers Data'!$T$5:$T$9,0),MATCH(T205,'G-7 Rivers Data'!$U$4:$Y$4,0)))),"")</f>
        <v/>
      </c>
      <c r="Z205" s="275"/>
      <c r="AA205" s="275"/>
      <c r="AB205" s="175" t="str">
        <f t="shared" ref="AB205:AB257" si="28">IF(Y205="","",IF(Y205="Check Data","Check Data",IF(AND(Z205&gt;0,AA205&gt;0),"Error -both advance and delayed habitat creation",IF(AND(OR(Z205="Habitat already in target condition",Y205&lt;=Z205),AA205=0),"Check details - Is there evidence that habitat has reached target condition?",IF(Z205&gt;0,"Check details - Is there evidence habitat creation started/in place?",IF(AA205&gt;0,"Check details- Delay in starting habitat in required condition?","Standard time to target condition applied"))))))</f>
        <v/>
      </c>
      <c r="AC205" s="262" t="str">
        <f t="shared" ref="AC205:AC257" si="29">IF(LEFT(AB205,5)="Error","Check Data",IF(AB205="Check Data","Check Data",IF(Y205="","",IF(Z205="30+",0,IF(AA205="30+","30+",IF(Y205+AA205&gt;30,"30+",IF(Y205+AA205-Z205&gt;0,Y205+AA205-Z205,IF(Y205-Z205&lt;0,0,Y205+AA205-Z205))))))))</f>
        <v/>
      </c>
      <c r="AD205" s="382" t="str">
        <f>IFERROR(IF(AC205="Check Data","Check Data",VLOOKUP(AC205,'G-4 Temporal multipliers'!$A$4:$C$37,3,FALSE)),"")</f>
        <v/>
      </c>
      <c r="AE205" s="239" t="str">
        <f>IF(N205="","",VLOOKUP(N205,'G-7 Rivers Data'!$B$4:$G$8,5,FALSE))</f>
        <v/>
      </c>
      <c r="AF205" s="175" t="str">
        <f t="shared" ref="AF205:AF257" si="30">IF(N205="","",IF(AC205="Check Data","Check Data",IF(T205="","",IF($AB205="Check details - Is there evidence that habitat has reached target condition?","Low Difficulty - only applicable if all habitat created before losses","Standard difficulty applied"))))</f>
        <v/>
      </c>
      <c r="AG205" s="175" t="str">
        <f t="shared" ref="AG205:AG257" si="31">(IF(AND(AF205="Standard difficulty applied",Y205&gt;Z205),AE205,IF(AND(AF205="Low Difficulty - only applicable if all habitat created before losses",Z205&gt;=Y205),"Low",AE205)))</f>
        <v/>
      </c>
      <c r="AH205" s="176" t="str">
        <f t="shared" si="25"/>
        <v/>
      </c>
      <c r="AI205" s="173"/>
      <c r="AJ205" s="172" t="str">
        <f>IF(AI205="","",IF(VLOOKUP(AI205,'G-7 Rivers Data'!$AA$4:$AB$7,2,FALSE)=0,"Spatial Data Missing",VLOOKUP(AI205,'G-7 Rivers Data'!$AA$4:$AB$7,2,FALSE)))</f>
        <v/>
      </c>
      <c r="AK205" s="187"/>
      <c r="AL205" s="172" t="str">
        <f>IF(AK205="","",IF(VLOOKUP(AK205,'G-7 Rivers Data'!$AD$4:$AE$8,2,FALSE)=0,"Spatial Data Missing",VLOOKUP(AK205,'G-7 Rivers Data'!$AD$4:$AE$8,2,FALSE)))</f>
        <v/>
      </c>
      <c r="AM205" s="186"/>
      <c r="AN205" s="176" t="str">
        <f>IF(AM205="","",VLOOKUP(AM205,'G-7 Rivers Data'!$AO$4:$AP$7,2,FALSE))</f>
        <v/>
      </c>
      <c r="AO205" s="265" t="str">
        <f t="shared" ref="AO205:AO257" si="32">IFERROR(IF(C205="","",IF(Q205&gt;D205,((((Q205*S205*U205)-(D205*F205*H205))*(AH205*AD205))+(D205*F205*H205))*(AL205*X205*AJ205*AN205),((((Q205*S205*U205)-(Q205*F205*H205))*(AH205*AD205))+(Q205*F205*H205))*(AL205*X205*AJ205*AN205))),"")</f>
        <v/>
      </c>
      <c r="AP205" s="180"/>
      <c r="AQ205" s="181"/>
      <c r="AX205" s="35" t="str">
        <f>IFERROR(INDEX('G-7 Rivers Data'!$AZ$3:$AZ$7,MATCH(N205,'G-7 Rivers Data'!$AY$3:$AY$7,0)),"")</f>
        <v/>
      </c>
    </row>
    <row r="206" spans="2:50" ht="13.8" x14ac:dyDescent="0.25">
      <c r="B206" s="259" t="str">
        <f>'F-1 Off Site River Baseline'!AN204</f>
        <v/>
      </c>
      <c r="C206" s="175" t="str">
        <f>IF(B206="","",VLOOKUP($B206,'F-1 Off Site River Baseline'!$C$9:$R$257,2,FALSE))</f>
        <v/>
      </c>
      <c r="D206" s="175" t="str">
        <f>IF(C206="","",VLOOKUP($B206,'F-1 Off Site River Baseline'!$C$9:$R$257,3,FALSE))</f>
        <v/>
      </c>
      <c r="E206" s="175" t="str">
        <f>IF(D206="","",VLOOKUP($B206,'F-1 Off Site River Baseline'!$C$9:$R$257,4,FALSE))</f>
        <v/>
      </c>
      <c r="F206" s="175" t="str">
        <f>IF(E206="","",VLOOKUP($B206,'F-1 Off Site River Baseline'!$C$9:$R$257,5,FALSE))</f>
        <v/>
      </c>
      <c r="G206" s="175" t="str">
        <f>IF(F206="","",VLOOKUP($B206,'F-1 Off Site River Baseline'!$C$9:$R$257,6,FALSE))</f>
        <v/>
      </c>
      <c r="H206" s="175" t="str">
        <f>IF(G206="","",VLOOKUP($B206,'F-1 Off Site River Baseline'!$C$9:$R$257,7,FALSE))</f>
        <v/>
      </c>
      <c r="I206" s="175" t="str">
        <f>IF(H206="","",VLOOKUP($B206,'F-1 Off Site River Baseline'!$C$9:$R$257,8,FALSE))</f>
        <v/>
      </c>
      <c r="J206" s="175" t="str">
        <f>IF(I206="","",VLOOKUP($B206,'F-1 Off Site River Baseline'!$C$9:$R$257,9,FALSE))</f>
        <v/>
      </c>
      <c r="K206" s="175" t="str">
        <f>IF(J206="","",VLOOKUP($B206,'F-1 Off Site River Baseline'!$C$9:$R$257,10,FALSE))</f>
        <v/>
      </c>
      <c r="L206" s="175" t="str">
        <f>IF(B206="","",VLOOKUP($B206,'C-1 Site River Baseline'!$C$9:$R$257,15,FALSE))</f>
        <v/>
      </c>
      <c r="M206" s="176" t="str">
        <f>IF(L206="","",VLOOKUP($B206,'F-1 Off Site River Baseline'!$C$9:$R$257,16,FALSE))</f>
        <v/>
      </c>
      <c r="N206" s="639" t="str">
        <f t="shared" si="26"/>
        <v/>
      </c>
      <c r="O206" s="171" t="str">
        <f t="shared" si="27"/>
        <v/>
      </c>
      <c r="P206" s="172" t="str">
        <f>IF(C206="","",IF(AND(LEFT(C206,55)&lt;&gt;LEFT(N206,55),O206="High - High"),"Error - Not like for like",IF(AND(F206=S206,H206&gt;U206),"Error - Can not reduce condition",IF(AND(F206=S206,H206=U206,AJ206='F-1 Off Site River Baseline'!N204,'F-1 Off Site River Baseline'!P204=AL206),"Error - No enhancement",IF(AND(C206&lt;&gt;N206,F206&lt;S206),"Lower Distinctiveness Habitat"&amp;" - "&amp;T206,G206&amp;" - "&amp;T206)))))</f>
        <v/>
      </c>
      <c r="Q206" s="260" t="str">
        <f>IF(N206="","",VLOOKUP(B206,'F-1 Off Site River Baseline'!$C$10:$AA$257,19,FALSE))</f>
        <v/>
      </c>
      <c r="R206" s="171" t="str">
        <f>IF(N206="","",VLOOKUP(N206,'G-7 Rivers Data'!$B$2:$G$8,2,FALSE))</f>
        <v/>
      </c>
      <c r="S206" s="172" t="str">
        <f>IFERROR(VLOOKUP(R206,'G-7 Rivers Data'!$C$4:$D$8,2,FALSE),"")</f>
        <v/>
      </c>
      <c r="T206" s="173"/>
      <c r="U206" s="172" t="str">
        <f>IFERROR(INDEX('G-7 Rivers Data'!$H$4:$L$8,MATCH(N206,'G-7 Rivers Data'!$B$4:$B$8,0),MATCH(T206,'G-7 Rivers Data'!$H$3:$L$3,0)),"")</f>
        <v/>
      </c>
      <c r="V206" s="186"/>
      <c r="W206" s="175" t="str">
        <f>IF(V206="","",IF(VLOOKUP(V206,'G-7 Rivers Data'!$AG$4:$AI$9,2,FALSE)=0,"Spatial Data Missing",VLOOKUP(V206,'G-7 Rivers Data'!$AG$4:$AI$9,2,FALSE)))</f>
        <v/>
      </c>
      <c r="X206" s="176" t="str">
        <f>IF(V206="","",IF(VLOOKUP(V206,'G-7 Rivers Data'!$AG$4:$AI$9,3,FALSE)=0,"Spatial Data Missing",VLOOKUP(V206,'G-7 Rivers Data'!$AG$4:$AI$9,3,FALSE)))</f>
        <v/>
      </c>
      <c r="Y206" s="239" t="str">
        <f>IFERROR(IF(OR(LEFT(P206,5)="Error",LEFT(O206,5)="Error"),"Check Data",IF(F206&lt;S206,'G-7 Rivers Data'!$R$3,INDEX('G-7 Rivers Data'!$U$5:$Y$9,MATCH(G206,'G-7 Rivers Data'!$T$5:$T$9,0),MATCH(T206,'G-7 Rivers Data'!$U$4:$Y$4,0)))),"")</f>
        <v/>
      </c>
      <c r="Z206" s="275"/>
      <c r="AA206" s="275"/>
      <c r="AB206" s="175" t="str">
        <f t="shared" si="28"/>
        <v/>
      </c>
      <c r="AC206" s="262" t="str">
        <f t="shared" si="29"/>
        <v/>
      </c>
      <c r="AD206" s="382" t="str">
        <f>IFERROR(IF(AC206="Check Data","Check Data",VLOOKUP(AC206,'G-4 Temporal multipliers'!$A$4:$C$37,3,FALSE)),"")</f>
        <v/>
      </c>
      <c r="AE206" s="239" t="str">
        <f>IF(N206="","",VLOOKUP(N206,'G-7 Rivers Data'!$B$4:$G$8,5,FALSE))</f>
        <v/>
      </c>
      <c r="AF206" s="175" t="str">
        <f t="shared" si="30"/>
        <v/>
      </c>
      <c r="AG206" s="175" t="str">
        <f t="shared" si="31"/>
        <v/>
      </c>
      <c r="AH206" s="176" t="str">
        <f t="shared" si="25"/>
        <v/>
      </c>
      <c r="AI206" s="173"/>
      <c r="AJ206" s="172" t="str">
        <f>IF(AI206="","",IF(VLOOKUP(AI206,'G-7 Rivers Data'!$AA$4:$AB$7,2,FALSE)=0,"Spatial Data Missing",VLOOKUP(AI206,'G-7 Rivers Data'!$AA$4:$AB$7,2,FALSE)))</f>
        <v/>
      </c>
      <c r="AK206" s="187"/>
      <c r="AL206" s="172" t="str">
        <f>IF(AK206="","",IF(VLOOKUP(AK206,'G-7 Rivers Data'!$AD$4:$AE$8,2,FALSE)=0,"Spatial Data Missing",VLOOKUP(AK206,'G-7 Rivers Data'!$AD$4:$AE$8,2,FALSE)))</f>
        <v/>
      </c>
      <c r="AM206" s="186"/>
      <c r="AN206" s="176" t="str">
        <f>IF(AM206="","",VLOOKUP(AM206,'G-7 Rivers Data'!$AO$4:$AP$7,2,FALSE))</f>
        <v/>
      </c>
      <c r="AO206" s="265" t="str">
        <f t="shared" si="32"/>
        <v/>
      </c>
      <c r="AP206" s="180"/>
      <c r="AQ206" s="181"/>
      <c r="AX206" s="35" t="str">
        <f>IFERROR(INDEX('G-7 Rivers Data'!$AZ$3:$AZ$7,MATCH(N206,'G-7 Rivers Data'!$AY$3:$AY$7,0)),"")</f>
        <v/>
      </c>
    </row>
    <row r="207" spans="2:50" ht="13.8" x14ac:dyDescent="0.25">
      <c r="B207" s="259" t="str">
        <f>'F-1 Off Site River Baseline'!AN205</f>
        <v/>
      </c>
      <c r="C207" s="175" t="str">
        <f>IF(B207="","",VLOOKUP($B207,'F-1 Off Site River Baseline'!$C$9:$R$257,2,FALSE))</f>
        <v/>
      </c>
      <c r="D207" s="175" t="str">
        <f>IF(C207="","",VLOOKUP($B207,'F-1 Off Site River Baseline'!$C$9:$R$257,3,FALSE))</f>
        <v/>
      </c>
      <c r="E207" s="175" t="str">
        <f>IF(D207="","",VLOOKUP($B207,'F-1 Off Site River Baseline'!$C$9:$R$257,4,FALSE))</f>
        <v/>
      </c>
      <c r="F207" s="175" t="str">
        <f>IF(E207="","",VLOOKUP($B207,'F-1 Off Site River Baseline'!$C$9:$R$257,5,FALSE))</f>
        <v/>
      </c>
      <c r="G207" s="175" t="str">
        <f>IF(F207="","",VLOOKUP($B207,'F-1 Off Site River Baseline'!$C$9:$R$257,6,FALSE))</f>
        <v/>
      </c>
      <c r="H207" s="175" t="str">
        <f>IF(G207="","",VLOOKUP($B207,'F-1 Off Site River Baseline'!$C$9:$R$257,7,FALSE))</f>
        <v/>
      </c>
      <c r="I207" s="175" t="str">
        <f>IF(H207="","",VLOOKUP($B207,'F-1 Off Site River Baseline'!$C$9:$R$257,8,FALSE))</f>
        <v/>
      </c>
      <c r="J207" s="175" t="str">
        <f>IF(I207="","",VLOOKUP($B207,'F-1 Off Site River Baseline'!$C$9:$R$257,9,FALSE))</f>
        <v/>
      </c>
      <c r="K207" s="175" t="str">
        <f>IF(J207="","",VLOOKUP($B207,'F-1 Off Site River Baseline'!$C$9:$R$257,10,FALSE))</f>
        <v/>
      </c>
      <c r="L207" s="175" t="str">
        <f>IF(B207="","",VLOOKUP($B207,'C-1 Site River Baseline'!$C$9:$R$257,15,FALSE))</f>
        <v/>
      </c>
      <c r="M207" s="176" t="str">
        <f>IF(L207="","",VLOOKUP($B207,'F-1 Off Site River Baseline'!$C$9:$R$257,16,FALSE))</f>
        <v/>
      </c>
      <c r="N207" s="639" t="str">
        <f t="shared" si="26"/>
        <v/>
      </c>
      <c r="O207" s="171" t="str">
        <f t="shared" si="27"/>
        <v/>
      </c>
      <c r="P207" s="172" t="str">
        <f>IF(C207="","",IF(AND(LEFT(C207,55)&lt;&gt;LEFT(N207,55),O207="High - High"),"Error - Not like for like",IF(AND(F207=S207,H207&gt;U207),"Error - Can not reduce condition",IF(AND(F207=S207,H207=U207,AJ207='F-1 Off Site River Baseline'!N205,'F-1 Off Site River Baseline'!P205=AL207),"Error - No enhancement",IF(AND(C207&lt;&gt;N207,F207&lt;S207),"Lower Distinctiveness Habitat"&amp;" - "&amp;T207,G207&amp;" - "&amp;T207)))))</f>
        <v/>
      </c>
      <c r="Q207" s="260" t="str">
        <f>IF(N207="","",VLOOKUP(B207,'F-1 Off Site River Baseline'!$C$10:$AA$257,19,FALSE))</f>
        <v/>
      </c>
      <c r="R207" s="171" t="str">
        <f>IF(N207="","",VLOOKUP(N207,'G-7 Rivers Data'!$B$2:$G$8,2,FALSE))</f>
        <v/>
      </c>
      <c r="S207" s="172" t="str">
        <f>IFERROR(VLOOKUP(R207,'G-7 Rivers Data'!$C$4:$D$8,2,FALSE),"")</f>
        <v/>
      </c>
      <c r="T207" s="173"/>
      <c r="U207" s="172" t="str">
        <f>IFERROR(INDEX('G-7 Rivers Data'!$H$4:$L$8,MATCH(N207,'G-7 Rivers Data'!$B$4:$B$8,0),MATCH(T207,'G-7 Rivers Data'!$H$3:$L$3,0)),"")</f>
        <v/>
      </c>
      <c r="V207" s="186"/>
      <c r="W207" s="175" t="str">
        <f>IF(V207="","",IF(VLOOKUP(V207,'G-7 Rivers Data'!$AG$4:$AI$9,2,FALSE)=0,"Spatial Data Missing",VLOOKUP(V207,'G-7 Rivers Data'!$AG$4:$AI$9,2,FALSE)))</f>
        <v/>
      </c>
      <c r="X207" s="176" t="str">
        <f>IF(V207="","",IF(VLOOKUP(V207,'G-7 Rivers Data'!$AG$4:$AI$9,3,FALSE)=0,"Spatial Data Missing",VLOOKUP(V207,'G-7 Rivers Data'!$AG$4:$AI$9,3,FALSE)))</f>
        <v/>
      </c>
      <c r="Y207" s="239" t="str">
        <f>IFERROR(IF(OR(LEFT(P207,5)="Error",LEFT(O207,5)="Error"),"Check Data",IF(F207&lt;S207,'G-7 Rivers Data'!$R$3,INDEX('G-7 Rivers Data'!$U$5:$Y$9,MATCH(G207,'G-7 Rivers Data'!$T$5:$T$9,0),MATCH(T207,'G-7 Rivers Data'!$U$4:$Y$4,0)))),"")</f>
        <v/>
      </c>
      <c r="Z207" s="275"/>
      <c r="AA207" s="275"/>
      <c r="AB207" s="175" t="str">
        <f t="shared" si="28"/>
        <v/>
      </c>
      <c r="AC207" s="262" t="str">
        <f t="shared" si="29"/>
        <v/>
      </c>
      <c r="AD207" s="382" t="str">
        <f>IFERROR(IF(AC207="Check Data","Check Data",VLOOKUP(AC207,'G-4 Temporal multipliers'!$A$4:$C$37,3,FALSE)),"")</f>
        <v/>
      </c>
      <c r="AE207" s="239" t="str">
        <f>IF(N207="","",VLOOKUP(N207,'G-7 Rivers Data'!$B$4:$G$8,5,FALSE))</f>
        <v/>
      </c>
      <c r="AF207" s="175" t="str">
        <f t="shared" si="30"/>
        <v/>
      </c>
      <c r="AG207" s="175" t="str">
        <f t="shared" si="31"/>
        <v/>
      </c>
      <c r="AH207" s="176" t="str">
        <f t="shared" si="25"/>
        <v/>
      </c>
      <c r="AI207" s="173"/>
      <c r="AJ207" s="172" t="str">
        <f>IF(AI207="","",IF(VLOOKUP(AI207,'G-7 Rivers Data'!$AA$4:$AB$7,2,FALSE)=0,"Spatial Data Missing",VLOOKUP(AI207,'G-7 Rivers Data'!$AA$4:$AB$7,2,FALSE)))</f>
        <v/>
      </c>
      <c r="AK207" s="187"/>
      <c r="AL207" s="172" t="str">
        <f>IF(AK207="","",IF(VLOOKUP(AK207,'G-7 Rivers Data'!$AD$4:$AE$8,2,FALSE)=0,"Spatial Data Missing",VLOOKUP(AK207,'G-7 Rivers Data'!$AD$4:$AE$8,2,FALSE)))</f>
        <v/>
      </c>
      <c r="AM207" s="186"/>
      <c r="AN207" s="176" t="str">
        <f>IF(AM207="","",VLOOKUP(AM207,'G-7 Rivers Data'!$AO$4:$AP$7,2,FALSE))</f>
        <v/>
      </c>
      <c r="AO207" s="265" t="str">
        <f t="shared" si="32"/>
        <v/>
      </c>
      <c r="AP207" s="180"/>
      <c r="AQ207" s="181"/>
      <c r="AX207" s="35" t="str">
        <f>IFERROR(INDEX('G-7 Rivers Data'!$AZ$3:$AZ$7,MATCH(N207,'G-7 Rivers Data'!$AY$3:$AY$7,0)),"")</f>
        <v/>
      </c>
    </row>
    <row r="208" spans="2:50" ht="13.8" x14ac:dyDescent="0.25">
      <c r="B208" s="259" t="str">
        <f>'F-1 Off Site River Baseline'!AN206</f>
        <v/>
      </c>
      <c r="C208" s="175" t="str">
        <f>IF(B208="","",VLOOKUP($B208,'F-1 Off Site River Baseline'!$C$9:$R$257,2,FALSE))</f>
        <v/>
      </c>
      <c r="D208" s="175" t="str">
        <f>IF(C208="","",VLOOKUP($B208,'F-1 Off Site River Baseline'!$C$9:$R$257,3,FALSE))</f>
        <v/>
      </c>
      <c r="E208" s="175" t="str">
        <f>IF(D208="","",VLOOKUP($B208,'F-1 Off Site River Baseline'!$C$9:$R$257,4,FALSE))</f>
        <v/>
      </c>
      <c r="F208" s="175" t="str">
        <f>IF(E208="","",VLOOKUP($B208,'F-1 Off Site River Baseline'!$C$9:$R$257,5,FALSE))</f>
        <v/>
      </c>
      <c r="G208" s="175" t="str">
        <f>IF(F208="","",VLOOKUP($B208,'F-1 Off Site River Baseline'!$C$9:$R$257,6,FALSE))</f>
        <v/>
      </c>
      <c r="H208" s="175" t="str">
        <f>IF(G208="","",VLOOKUP($B208,'F-1 Off Site River Baseline'!$C$9:$R$257,7,FALSE))</f>
        <v/>
      </c>
      <c r="I208" s="175" t="str">
        <f>IF(H208="","",VLOOKUP($B208,'F-1 Off Site River Baseline'!$C$9:$R$257,8,FALSE))</f>
        <v/>
      </c>
      <c r="J208" s="175" t="str">
        <f>IF(I208="","",VLOOKUP($B208,'F-1 Off Site River Baseline'!$C$9:$R$257,9,FALSE))</f>
        <v/>
      </c>
      <c r="K208" s="175" t="str">
        <f>IF(J208="","",VLOOKUP($B208,'F-1 Off Site River Baseline'!$C$9:$R$257,10,FALSE))</f>
        <v/>
      </c>
      <c r="L208" s="175" t="str">
        <f>IF(B208="","",VLOOKUP($B208,'C-1 Site River Baseline'!$C$9:$R$257,15,FALSE))</f>
        <v/>
      </c>
      <c r="M208" s="176" t="str">
        <f>IF(L208="","",VLOOKUP($B208,'F-1 Off Site River Baseline'!$C$9:$R$257,16,FALSE))</f>
        <v/>
      </c>
      <c r="N208" s="639" t="str">
        <f t="shared" si="26"/>
        <v/>
      </c>
      <c r="O208" s="171" t="str">
        <f t="shared" si="27"/>
        <v/>
      </c>
      <c r="P208" s="172" t="str">
        <f>IF(C208="","",IF(AND(LEFT(C208,55)&lt;&gt;LEFT(N208,55),O208="High - High"),"Error - Not like for like",IF(AND(F208=S208,H208&gt;U208),"Error - Can not reduce condition",IF(AND(F208=S208,H208=U208,AJ208='F-1 Off Site River Baseline'!N206,'F-1 Off Site River Baseline'!P206=AL208),"Error - No enhancement",IF(AND(C208&lt;&gt;N208,F208&lt;S208),"Lower Distinctiveness Habitat"&amp;" - "&amp;T208,G208&amp;" - "&amp;T208)))))</f>
        <v/>
      </c>
      <c r="Q208" s="260" t="str">
        <f>IF(N208="","",VLOOKUP(B208,'F-1 Off Site River Baseline'!$C$10:$AA$257,19,FALSE))</f>
        <v/>
      </c>
      <c r="R208" s="171" t="str">
        <f>IF(N208="","",VLOOKUP(N208,'G-7 Rivers Data'!$B$2:$G$8,2,FALSE))</f>
        <v/>
      </c>
      <c r="S208" s="172" t="str">
        <f>IFERROR(VLOOKUP(R208,'G-7 Rivers Data'!$C$4:$D$8,2,FALSE),"")</f>
        <v/>
      </c>
      <c r="T208" s="173"/>
      <c r="U208" s="172" t="str">
        <f>IFERROR(INDEX('G-7 Rivers Data'!$H$4:$L$8,MATCH(N208,'G-7 Rivers Data'!$B$4:$B$8,0),MATCH(T208,'G-7 Rivers Data'!$H$3:$L$3,0)),"")</f>
        <v/>
      </c>
      <c r="V208" s="186"/>
      <c r="W208" s="175" t="str">
        <f>IF(V208="","",IF(VLOOKUP(V208,'G-7 Rivers Data'!$AG$4:$AI$9,2,FALSE)=0,"Spatial Data Missing",VLOOKUP(V208,'G-7 Rivers Data'!$AG$4:$AI$9,2,FALSE)))</f>
        <v/>
      </c>
      <c r="X208" s="176" t="str">
        <f>IF(V208="","",IF(VLOOKUP(V208,'G-7 Rivers Data'!$AG$4:$AI$9,3,FALSE)=0,"Spatial Data Missing",VLOOKUP(V208,'G-7 Rivers Data'!$AG$4:$AI$9,3,FALSE)))</f>
        <v/>
      </c>
      <c r="Y208" s="239" t="str">
        <f>IFERROR(IF(OR(LEFT(P208,5)="Error",LEFT(O208,5)="Error"),"Check Data",IF(F208&lt;S208,'G-7 Rivers Data'!$R$3,INDEX('G-7 Rivers Data'!$U$5:$Y$9,MATCH(G208,'G-7 Rivers Data'!$T$5:$T$9,0),MATCH(T208,'G-7 Rivers Data'!$U$4:$Y$4,0)))),"")</f>
        <v/>
      </c>
      <c r="Z208" s="275"/>
      <c r="AA208" s="275"/>
      <c r="AB208" s="175" t="str">
        <f t="shared" si="28"/>
        <v/>
      </c>
      <c r="AC208" s="262" t="str">
        <f t="shared" si="29"/>
        <v/>
      </c>
      <c r="AD208" s="382" t="str">
        <f>IFERROR(IF(AC208="Check Data","Check Data",VLOOKUP(AC208,'G-4 Temporal multipliers'!$A$4:$C$37,3,FALSE)),"")</f>
        <v/>
      </c>
      <c r="AE208" s="239" t="str">
        <f>IF(N208="","",VLOOKUP(N208,'G-7 Rivers Data'!$B$4:$G$8,5,FALSE))</f>
        <v/>
      </c>
      <c r="AF208" s="175" t="str">
        <f t="shared" si="30"/>
        <v/>
      </c>
      <c r="AG208" s="175" t="str">
        <f t="shared" si="31"/>
        <v/>
      </c>
      <c r="AH208" s="176" t="str">
        <f t="shared" si="25"/>
        <v/>
      </c>
      <c r="AI208" s="173"/>
      <c r="AJ208" s="172" t="str">
        <f>IF(AI208="","",IF(VLOOKUP(AI208,'G-7 Rivers Data'!$AA$4:$AB$7,2,FALSE)=0,"Spatial Data Missing",VLOOKUP(AI208,'G-7 Rivers Data'!$AA$4:$AB$7,2,FALSE)))</f>
        <v/>
      </c>
      <c r="AK208" s="187"/>
      <c r="AL208" s="172" t="str">
        <f>IF(AK208="","",IF(VLOOKUP(AK208,'G-7 Rivers Data'!$AD$4:$AE$8,2,FALSE)=0,"Spatial Data Missing",VLOOKUP(AK208,'G-7 Rivers Data'!$AD$4:$AE$8,2,FALSE)))</f>
        <v/>
      </c>
      <c r="AM208" s="186"/>
      <c r="AN208" s="176" t="str">
        <f>IF(AM208="","",VLOOKUP(AM208,'G-7 Rivers Data'!$AO$4:$AP$7,2,FALSE))</f>
        <v/>
      </c>
      <c r="AO208" s="265" t="str">
        <f t="shared" si="32"/>
        <v/>
      </c>
      <c r="AP208" s="180"/>
      <c r="AQ208" s="181"/>
      <c r="AX208" s="35" t="str">
        <f>IFERROR(INDEX('G-7 Rivers Data'!$AZ$3:$AZ$7,MATCH(N208,'G-7 Rivers Data'!$AY$3:$AY$7,0)),"")</f>
        <v/>
      </c>
    </row>
    <row r="209" spans="2:50" ht="13.8" x14ac:dyDescent="0.25">
      <c r="B209" s="259" t="str">
        <f>'F-1 Off Site River Baseline'!AN207</f>
        <v/>
      </c>
      <c r="C209" s="175" t="str">
        <f>IF(B209="","",VLOOKUP($B209,'F-1 Off Site River Baseline'!$C$9:$R$257,2,FALSE))</f>
        <v/>
      </c>
      <c r="D209" s="175" t="str">
        <f>IF(C209="","",VLOOKUP($B209,'F-1 Off Site River Baseline'!$C$9:$R$257,3,FALSE))</f>
        <v/>
      </c>
      <c r="E209" s="175" t="str">
        <f>IF(D209="","",VLOOKUP($B209,'F-1 Off Site River Baseline'!$C$9:$R$257,4,FALSE))</f>
        <v/>
      </c>
      <c r="F209" s="175" t="str">
        <f>IF(E209="","",VLOOKUP($B209,'F-1 Off Site River Baseline'!$C$9:$R$257,5,FALSE))</f>
        <v/>
      </c>
      <c r="G209" s="175" t="str">
        <f>IF(F209="","",VLOOKUP($B209,'F-1 Off Site River Baseline'!$C$9:$R$257,6,FALSE))</f>
        <v/>
      </c>
      <c r="H209" s="175" t="str">
        <f>IF(G209="","",VLOOKUP($B209,'F-1 Off Site River Baseline'!$C$9:$R$257,7,FALSE))</f>
        <v/>
      </c>
      <c r="I209" s="175" t="str">
        <f>IF(H209="","",VLOOKUP($B209,'F-1 Off Site River Baseline'!$C$9:$R$257,8,FALSE))</f>
        <v/>
      </c>
      <c r="J209" s="175" t="str">
        <f>IF(I209="","",VLOOKUP($B209,'F-1 Off Site River Baseline'!$C$9:$R$257,9,FALSE))</f>
        <v/>
      </c>
      <c r="K209" s="175" t="str">
        <f>IF(J209="","",VLOOKUP($B209,'F-1 Off Site River Baseline'!$C$9:$R$257,10,FALSE))</f>
        <v/>
      </c>
      <c r="L209" s="175" t="str">
        <f>IF(B209="","",VLOOKUP($B209,'C-1 Site River Baseline'!$C$9:$R$257,15,FALSE))</f>
        <v/>
      </c>
      <c r="M209" s="176" t="str">
        <f>IF(L209="","",VLOOKUP($B209,'F-1 Off Site River Baseline'!$C$9:$R$257,16,FALSE))</f>
        <v/>
      </c>
      <c r="N209" s="639" t="str">
        <f t="shared" si="26"/>
        <v/>
      </c>
      <c r="O209" s="171" t="str">
        <f t="shared" si="27"/>
        <v/>
      </c>
      <c r="P209" s="172" t="str">
        <f>IF(C209="","",IF(AND(LEFT(C209,55)&lt;&gt;LEFT(N209,55),O209="High - High"),"Error - Not like for like",IF(AND(F209=S209,H209&gt;U209),"Error - Can not reduce condition",IF(AND(F209=S209,H209=U209,AJ209='F-1 Off Site River Baseline'!N207,'F-1 Off Site River Baseline'!P207=AL209),"Error - No enhancement",IF(AND(C209&lt;&gt;N209,F209&lt;S209),"Lower Distinctiveness Habitat"&amp;" - "&amp;T209,G209&amp;" - "&amp;T209)))))</f>
        <v/>
      </c>
      <c r="Q209" s="260" t="str">
        <f>IF(N209="","",VLOOKUP(B209,'F-1 Off Site River Baseline'!$C$10:$AA$257,19,FALSE))</f>
        <v/>
      </c>
      <c r="R209" s="171" t="str">
        <f>IF(N209="","",VLOOKUP(N209,'G-7 Rivers Data'!$B$2:$G$8,2,FALSE))</f>
        <v/>
      </c>
      <c r="S209" s="172" t="str">
        <f>IFERROR(VLOOKUP(R209,'G-7 Rivers Data'!$C$4:$D$8,2,FALSE),"")</f>
        <v/>
      </c>
      <c r="T209" s="173"/>
      <c r="U209" s="172" t="str">
        <f>IFERROR(INDEX('G-7 Rivers Data'!$H$4:$L$8,MATCH(N209,'G-7 Rivers Data'!$B$4:$B$8,0),MATCH(T209,'G-7 Rivers Data'!$H$3:$L$3,0)),"")</f>
        <v/>
      </c>
      <c r="V209" s="186"/>
      <c r="W209" s="175" t="str">
        <f>IF(V209="","",IF(VLOOKUP(V209,'G-7 Rivers Data'!$AG$4:$AI$9,2,FALSE)=0,"Spatial Data Missing",VLOOKUP(V209,'G-7 Rivers Data'!$AG$4:$AI$9,2,FALSE)))</f>
        <v/>
      </c>
      <c r="X209" s="176" t="str">
        <f>IF(V209="","",IF(VLOOKUP(V209,'G-7 Rivers Data'!$AG$4:$AI$9,3,FALSE)=0,"Spatial Data Missing",VLOOKUP(V209,'G-7 Rivers Data'!$AG$4:$AI$9,3,FALSE)))</f>
        <v/>
      </c>
      <c r="Y209" s="239" t="str">
        <f>IFERROR(IF(OR(LEFT(P209,5)="Error",LEFT(O209,5)="Error"),"Check Data",IF(F209&lt;S209,'G-7 Rivers Data'!$R$3,INDEX('G-7 Rivers Data'!$U$5:$Y$9,MATCH(G209,'G-7 Rivers Data'!$T$5:$T$9,0),MATCH(T209,'G-7 Rivers Data'!$U$4:$Y$4,0)))),"")</f>
        <v/>
      </c>
      <c r="Z209" s="275"/>
      <c r="AA209" s="275"/>
      <c r="AB209" s="175" t="str">
        <f t="shared" si="28"/>
        <v/>
      </c>
      <c r="AC209" s="262" t="str">
        <f t="shared" si="29"/>
        <v/>
      </c>
      <c r="AD209" s="382" t="str">
        <f>IFERROR(IF(AC209="Check Data","Check Data",VLOOKUP(AC209,'G-4 Temporal multipliers'!$A$4:$C$37,3,FALSE)),"")</f>
        <v/>
      </c>
      <c r="AE209" s="239" t="str">
        <f>IF(N209="","",VLOOKUP(N209,'G-7 Rivers Data'!$B$4:$G$8,5,FALSE))</f>
        <v/>
      </c>
      <c r="AF209" s="175" t="str">
        <f t="shared" si="30"/>
        <v/>
      </c>
      <c r="AG209" s="175" t="str">
        <f t="shared" si="31"/>
        <v/>
      </c>
      <c r="AH209" s="176" t="str">
        <f t="shared" si="25"/>
        <v/>
      </c>
      <c r="AI209" s="173"/>
      <c r="AJ209" s="172" t="str">
        <f>IF(AI209="","",IF(VLOOKUP(AI209,'G-7 Rivers Data'!$AA$4:$AB$7,2,FALSE)=0,"Spatial Data Missing",VLOOKUP(AI209,'G-7 Rivers Data'!$AA$4:$AB$7,2,FALSE)))</f>
        <v/>
      </c>
      <c r="AK209" s="187"/>
      <c r="AL209" s="172" t="str">
        <f>IF(AK209="","",IF(VLOOKUP(AK209,'G-7 Rivers Data'!$AD$4:$AE$8,2,FALSE)=0,"Spatial Data Missing",VLOOKUP(AK209,'G-7 Rivers Data'!$AD$4:$AE$8,2,FALSE)))</f>
        <v/>
      </c>
      <c r="AM209" s="186"/>
      <c r="AN209" s="176" t="str">
        <f>IF(AM209="","",VLOOKUP(AM209,'G-7 Rivers Data'!$AO$4:$AP$7,2,FALSE))</f>
        <v/>
      </c>
      <c r="AO209" s="265" t="str">
        <f t="shared" si="32"/>
        <v/>
      </c>
      <c r="AP209" s="180"/>
      <c r="AQ209" s="181"/>
      <c r="AX209" s="35" t="str">
        <f>IFERROR(INDEX('G-7 Rivers Data'!$AZ$3:$AZ$7,MATCH(N209,'G-7 Rivers Data'!$AY$3:$AY$7,0)),"")</f>
        <v/>
      </c>
    </row>
    <row r="210" spans="2:50" ht="13.8" x14ac:dyDescent="0.25">
      <c r="B210" s="259" t="str">
        <f>'F-1 Off Site River Baseline'!AN208</f>
        <v/>
      </c>
      <c r="C210" s="175" t="str">
        <f>IF(B210="","",VLOOKUP($B210,'F-1 Off Site River Baseline'!$C$9:$R$257,2,FALSE))</f>
        <v/>
      </c>
      <c r="D210" s="175" t="str">
        <f>IF(C210="","",VLOOKUP($B210,'F-1 Off Site River Baseline'!$C$9:$R$257,3,FALSE))</f>
        <v/>
      </c>
      <c r="E210" s="175" t="str">
        <f>IF(D210="","",VLOOKUP($B210,'F-1 Off Site River Baseline'!$C$9:$R$257,4,FALSE))</f>
        <v/>
      </c>
      <c r="F210" s="175" t="str">
        <f>IF(E210="","",VLOOKUP($B210,'F-1 Off Site River Baseline'!$C$9:$R$257,5,FALSE))</f>
        <v/>
      </c>
      <c r="G210" s="175" t="str">
        <f>IF(F210="","",VLOOKUP($B210,'F-1 Off Site River Baseline'!$C$9:$R$257,6,FALSE))</f>
        <v/>
      </c>
      <c r="H210" s="175" t="str">
        <f>IF(G210="","",VLOOKUP($B210,'F-1 Off Site River Baseline'!$C$9:$R$257,7,FALSE))</f>
        <v/>
      </c>
      <c r="I210" s="175" t="str">
        <f>IF(H210="","",VLOOKUP($B210,'F-1 Off Site River Baseline'!$C$9:$R$257,8,FALSE))</f>
        <v/>
      </c>
      <c r="J210" s="175" t="str">
        <f>IF(I210="","",VLOOKUP($B210,'F-1 Off Site River Baseline'!$C$9:$R$257,9,FALSE))</f>
        <v/>
      </c>
      <c r="K210" s="175" t="str">
        <f>IF(J210="","",VLOOKUP($B210,'F-1 Off Site River Baseline'!$C$9:$R$257,10,FALSE))</f>
        <v/>
      </c>
      <c r="L210" s="175" t="str">
        <f>IF(B210="","",VLOOKUP($B210,'C-1 Site River Baseline'!$C$9:$R$257,15,FALSE))</f>
        <v/>
      </c>
      <c r="M210" s="176" t="str">
        <f>IF(L210="","",VLOOKUP($B210,'F-1 Off Site River Baseline'!$C$9:$R$257,16,FALSE))</f>
        <v/>
      </c>
      <c r="N210" s="639" t="str">
        <f t="shared" si="26"/>
        <v/>
      </c>
      <c r="O210" s="171" t="str">
        <f t="shared" si="27"/>
        <v/>
      </c>
      <c r="P210" s="172" t="str">
        <f>IF(C210="","",IF(AND(LEFT(C210,55)&lt;&gt;LEFT(N210,55),O210="High - High"),"Error - Not like for like",IF(AND(F210=S210,H210&gt;U210),"Error - Can not reduce condition",IF(AND(F210=S210,H210=U210,AJ210='F-1 Off Site River Baseline'!N208,'F-1 Off Site River Baseline'!P208=AL210),"Error - No enhancement",IF(AND(C210&lt;&gt;N210,F210&lt;S210),"Lower Distinctiveness Habitat"&amp;" - "&amp;T210,G210&amp;" - "&amp;T210)))))</f>
        <v/>
      </c>
      <c r="Q210" s="260" t="str">
        <f>IF(N210="","",VLOOKUP(B210,'F-1 Off Site River Baseline'!$C$10:$AA$257,19,FALSE))</f>
        <v/>
      </c>
      <c r="R210" s="171" t="str">
        <f>IF(N210="","",VLOOKUP(N210,'G-7 Rivers Data'!$B$2:$G$8,2,FALSE))</f>
        <v/>
      </c>
      <c r="S210" s="172" t="str">
        <f>IFERROR(VLOOKUP(R210,'G-7 Rivers Data'!$C$4:$D$8,2,FALSE),"")</f>
        <v/>
      </c>
      <c r="T210" s="173"/>
      <c r="U210" s="172" t="str">
        <f>IFERROR(INDEX('G-7 Rivers Data'!$H$4:$L$8,MATCH(N210,'G-7 Rivers Data'!$B$4:$B$8,0),MATCH(T210,'G-7 Rivers Data'!$H$3:$L$3,0)),"")</f>
        <v/>
      </c>
      <c r="V210" s="186"/>
      <c r="W210" s="175" t="str">
        <f>IF(V210="","",IF(VLOOKUP(V210,'G-7 Rivers Data'!$AG$4:$AI$9,2,FALSE)=0,"Spatial Data Missing",VLOOKUP(V210,'G-7 Rivers Data'!$AG$4:$AI$9,2,FALSE)))</f>
        <v/>
      </c>
      <c r="X210" s="176" t="str">
        <f>IF(V210="","",IF(VLOOKUP(V210,'G-7 Rivers Data'!$AG$4:$AI$9,3,FALSE)=0,"Spatial Data Missing",VLOOKUP(V210,'G-7 Rivers Data'!$AG$4:$AI$9,3,FALSE)))</f>
        <v/>
      </c>
      <c r="Y210" s="239" t="str">
        <f>IFERROR(IF(OR(LEFT(P210,5)="Error",LEFT(O210,5)="Error"),"Check Data",IF(F210&lt;S210,'G-7 Rivers Data'!$R$3,INDEX('G-7 Rivers Data'!$U$5:$Y$9,MATCH(G210,'G-7 Rivers Data'!$T$5:$T$9,0),MATCH(T210,'G-7 Rivers Data'!$U$4:$Y$4,0)))),"")</f>
        <v/>
      </c>
      <c r="Z210" s="275"/>
      <c r="AA210" s="275"/>
      <c r="AB210" s="175" t="str">
        <f t="shared" si="28"/>
        <v/>
      </c>
      <c r="AC210" s="262" t="str">
        <f t="shared" si="29"/>
        <v/>
      </c>
      <c r="AD210" s="382" t="str">
        <f>IFERROR(IF(AC210="Check Data","Check Data",VLOOKUP(AC210,'G-4 Temporal multipliers'!$A$4:$C$37,3,FALSE)),"")</f>
        <v/>
      </c>
      <c r="AE210" s="239" t="str">
        <f>IF(N210="","",VLOOKUP(N210,'G-7 Rivers Data'!$B$4:$G$8,5,FALSE))</f>
        <v/>
      </c>
      <c r="AF210" s="175" t="str">
        <f t="shared" si="30"/>
        <v/>
      </c>
      <c r="AG210" s="175" t="str">
        <f t="shared" si="31"/>
        <v/>
      </c>
      <c r="AH210" s="176" t="str">
        <f t="shared" si="25"/>
        <v/>
      </c>
      <c r="AI210" s="173"/>
      <c r="AJ210" s="172" t="str">
        <f>IF(AI210="","",IF(VLOOKUP(AI210,'G-7 Rivers Data'!$AA$4:$AB$7,2,FALSE)=0,"Spatial Data Missing",VLOOKUP(AI210,'G-7 Rivers Data'!$AA$4:$AB$7,2,FALSE)))</f>
        <v/>
      </c>
      <c r="AK210" s="187"/>
      <c r="AL210" s="172" t="str">
        <f>IF(AK210="","",IF(VLOOKUP(AK210,'G-7 Rivers Data'!$AD$4:$AE$8,2,FALSE)=0,"Spatial Data Missing",VLOOKUP(AK210,'G-7 Rivers Data'!$AD$4:$AE$8,2,FALSE)))</f>
        <v/>
      </c>
      <c r="AM210" s="186"/>
      <c r="AN210" s="176" t="str">
        <f>IF(AM210="","",VLOOKUP(AM210,'G-7 Rivers Data'!$AO$4:$AP$7,2,FALSE))</f>
        <v/>
      </c>
      <c r="AO210" s="265" t="str">
        <f t="shared" si="32"/>
        <v/>
      </c>
      <c r="AP210" s="180"/>
      <c r="AQ210" s="181"/>
      <c r="AX210" s="35" t="str">
        <f>IFERROR(INDEX('G-7 Rivers Data'!$AZ$3:$AZ$7,MATCH(N210,'G-7 Rivers Data'!$AY$3:$AY$7,0)),"")</f>
        <v/>
      </c>
    </row>
    <row r="211" spans="2:50" ht="13.8" x14ac:dyDescent="0.25">
      <c r="B211" s="259" t="str">
        <f>'F-1 Off Site River Baseline'!AN209</f>
        <v/>
      </c>
      <c r="C211" s="175" t="str">
        <f>IF(B211="","",VLOOKUP($B211,'F-1 Off Site River Baseline'!$C$9:$R$257,2,FALSE))</f>
        <v/>
      </c>
      <c r="D211" s="175" t="str">
        <f>IF(C211="","",VLOOKUP($B211,'F-1 Off Site River Baseline'!$C$9:$R$257,3,FALSE))</f>
        <v/>
      </c>
      <c r="E211" s="175" t="str">
        <f>IF(D211="","",VLOOKUP($B211,'F-1 Off Site River Baseline'!$C$9:$R$257,4,FALSE))</f>
        <v/>
      </c>
      <c r="F211" s="175" t="str">
        <f>IF(E211="","",VLOOKUP($B211,'F-1 Off Site River Baseline'!$C$9:$R$257,5,FALSE))</f>
        <v/>
      </c>
      <c r="G211" s="175" t="str">
        <f>IF(F211="","",VLOOKUP($B211,'F-1 Off Site River Baseline'!$C$9:$R$257,6,FALSE))</f>
        <v/>
      </c>
      <c r="H211" s="175" t="str">
        <f>IF(G211="","",VLOOKUP($B211,'F-1 Off Site River Baseline'!$C$9:$R$257,7,FALSE))</f>
        <v/>
      </c>
      <c r="I211" s="175" t="str">
        <f>IF(H211="","",VLOOKUP($B211,'F-1 Off Site River Baseline'!$C$9:$R$257,8,FALSE))</f>
        <v/>
      </c>
      <c r="J211" s="175" t="str">
        <f>IF(I211="","",VLOOKUP($B211,'F-1 Off Site River Baseline'!$C$9:$R$257,9,FALSE))</f>
        <v/>
      </c>
      <c r="K211" s="175" t="str">
        <f>IF(J211="","",VLOOKUP($B211,'F-1 Off Site River Baseline'!$C$9:$R$257,10,FALSE))</f>
        <v/>
      </c>
      <c r="L211" s="175" t="str">
        <f>IF(B211="","",VLOOKUP($B211,'C-1 Site River Baseline'!$C$9:$R$257,15,FALSE))</f>
        <v/>
      </c>
      <c r="M211" s="176" t="str">
        <f>IF(L211="","",VLOOKUP($B211,'F-1 Off Site River Baseline'!$C$9:$R$257,16,FALSE))</f>
        <v/>
      </c>
      <c r="N211" s="639" t="str">
        <f t="shared" si="26"/>
        <v/>
      </c>
      <c r="O211" s="171" t="str">
        <f t="shared" si="27"/>
        <v/>
      </c>
      <c r="P211" s="172" t="str">
        <f>IF(C211="","",IF(AND(LEFT(C211,55)&lt;&gt;LEFT(N211,55),O211="High - High"),"Error - Not like for like",IF(AND(F211=S211,H211&gt;U211),"Error - Can not reduce condition",IF(AND(F211=S211,H211=U211,AJ211='F-1 Off Site River Baseline'!N209,'F-1 Off Site River Baseline'!P209=AL211),"Error - No enhancement",IF(AND(C211&lt;&gt;N211,F211&lt;S211),"Lower Distinctiveness Habitat"&amp;" - "&amp;T211,G211&amp;" - "&amp;T211)))))</f>
        <v/>
      </c>
      <c r="Q211" s="260" t="str">
        <f>IF(N211="","",VLOOKUP(B211,'F-1 Off Site River Baseline'!$C$10:$AA$257,19,FALSE))</f>
        <v/>
      </c>
      <c r="R211" s="171" t="str">
        <f>IF(N211="","",VLOOKUP(N211,'G-7 Rivers Data'!$B$2:$G$8,2,FALSE))</f>
        <v/>
      </c>
      <c r="S211" s="172" t="str">
        <f>IFERROR(VLOOKUP(R211,'G-7 Rivers Data'!$C$4:$D$8,2,FALSE),"")</f>
        <v/>
      </c>
      <c r="T211" s="173"/>
      <c r="U211" s="172" t="str">
        <f>IFERROR(INDEX('G-7 Rivers Data'!$H$4:$L$8,MATCH(N211,'G-7 Rivers Data'!$B$4:$B$8,0),MATCH(T211,'G-7 Rivers Data'!$H$3:$L$3,0)),"")</f>
        <v/>
      </c>
      <c r="V211" s="186"/>
      <c r="W211" s="175" t="str">
        <f>IF(V211="","",IF(VLOOKUP(V211,'G-7 Rivers Data'!$AG$4:$AI$9,2,FALSE)=0,"Spatial Data Missing",VLOOKUP(V211,'G-7 Rivers Data'!$AG$4:$AI$9,2,FALSE)))</f>
        <v/>
      </c>
      <c r="X211" s="176" t="str">
        <f>IF(V211="","",IF(VLOOKUP(V211,'G-7 Rivers Data'!$AG$4:$AI$9,3,FALSE)=0,"Spatial Data Missing",VLOOKUP(V211,'G-7 Rivers Data'!$AG$4:$AI$9,3,FALSE)))</f>
        <v/>
      </c>
      <c r="Y211" s="239" t="str">
        <f>IFERROR(IF(OR(LEFT(P211,5)="Error",LEFT(O211,5)="Error"),"Check Data",IF(F211&lt;S211,'G-7 Rivers Data'!$R$3,INDEX('G-7 Rivers Data'!$U$5:$Y$9,MATCH(G211,'G-7 Rivers Data'!$T$5:$T$9,0),MATCH(T211,'G-7 Rivers Data'!$U$4:$Y$4,0)))),"")</f>
        <v/>
      </c>
      <c r="Z211" s="275"/>
      <c r="AA211" s="275"/>
      <c r="AB211" s="175" t="str">
        <f t="shared" si="28"/>
        <v/>
      </c>
      <c r="AC211" s="262" t="str">
        <f t="shared" si="29"/>
        <v/>
      </c>
      <c r="AD211" s="382" t="str">
        <f>IFERROR(IF(AC211="Check Data","Check Data",VLOOKUP(AC211,'G-4 Temporal multipliers'!$A$4:$C$37,3,FALSE)),"")</f>
        <v/>
      </c>
      <c r="AE211" s="239" t="str">
        <f>IF(N211="","",VLOOKUP(N211,'G-7 Rivers Data'!$B$4:$G$8,5,FALSE))</f>
        <v/>
      </c>
      <c r="AF211" s="175" t="str">
        <f t="shared" si="30"/>
        <v/>
      </c>
      <c r="AG211" s="175" t="str">
        <f t="shared" si="31"/>
        <v/>
      </c>
      <c r="AH211" s="176" t="str">
        <f t="shared" si="25"/>
        <v/>
      </c>
      <c r="AI211" s="173"/>
      <c r="AJ211" s="172" t="str">
        <f>IF(AI211="","",IF(VLOOKUP(AI211,'G-7 Rivers Data'!$AA$4:$AB$7,2,FALSE)=0,"Spatial Data Missing",VLOOKUP(AI211,'G-7 Rivers Data'!$AA$4:$AB$7,2,FALSE)))</f>
        <v/>
      </c>
      <c r="AK211" s="187"/>
      <c r="AL211" s="172" t="str">
        <f>IF(AK211="","",IF(VLOOKUP(AK211,'G-7 Rivers Data'!$AD$4:$AE$8,2,FALSE)=0,"Spatial Data Missing",VLOOKUP(AK211,'G-7 Rivers Data'!$AD$4:$AE$8,2,FALSE)))</f>
        <v/>
      </c>
      <c r="AM211" s="186"/>
      <c r="AN211" s="176" t="str">
        <f>IF(AM211="","",VLOOKUP(AM211,'G-7 Rivers Data'!$AO$4:$AP$7,2,FALSE))</f>
        <v/>
      </c>
      <c r="AO211" s="265" t="str">
        <f t="shared" si="32"/>
        <v/>
      </c>
      <c r="AP211" s="180"/>
      <c r="AQ211" s="181"/>
      <c r="AX211" s="35" t="str">
        <f>IFERROR(INDEX('G-7 Rivers Data'!$AZ$3:$AZ$7,MATCH(N211,'G-7 Rivers Data'!$AY$3:$AY$7,0)),"")</f>
        <v/>
      </c>
    </row>
    <row r="212" spans="2:50" ht="13.8" x14ac:dyDescent="0.25">
      <c r="B212" s="259" t="str">
        <f>'F-1 Off Site River Baseline'!AN210</f>
        <v/>
      </c>
      <c r="C212" s="175" t="str">
        <f>IF(B212="","",VLOOKUP($B212,'F-1 Off Site River Baseline'!$C$9:$R$257,2,FALSE))</f>
        <v/>
      </c>
      <c r="D212" s="175" t="str">
        <f>IF(C212="","",VLOOKUP($B212,'F-1 Off Site River Baseline'!$C$9:$R$257,3,FALSE))</f>
        <v/>
      </c>
      <c r="E212" s="175" t="str">
        <f>IF(D212="","",VLOOKUP($B212,'F-1 Off Site River Baseline'!$C$9:$R$257,4,FALSE))</f>
        <v/>
      </c>
      <c r="F212" s="175" t="str">
        <f>IF(E212="","",VLOOKUP($B212,'F-1 Off Site River Baseline'!$C$9:$R$257,5,FALSE))</f>
        <v/>
      </c>
      <c r="G212" s="175" t="str">
        <f>IF(F212="","",VLOOKUP($B212,'F-1 Off Site River Baseline'!$C$9:$R$257,6,FALSE))</f>
        <v/>
      </c>
      <c r="H212" s="175" t="str">
        <f>IF(G212="","",VLOOKUP($B212,'F-1 Off Site River Baseline'!$C$9:$R$257,7,FALSE))</f>
        <v/>
      </c>
      <c r="I212" s="175" t="str">
        <f>IF(H212="","",VLOOKUP($B212,'F-1 Off Site River Baseline'!$C$9:$R$257,8,FALSE))</f>
        <v/>
      </c>
      <c r="J212" s="175" t="str">
        <f>IF(I212="","",VLOOKUP($B212,'F-1 Off Site River Baseline'!$C$9:$R$257,9,FALSE))</f>
        <v/>
      </c>
      <c r="K212" s="175" t="str">
        <f>IF(J212="","",VLOOKUP($B212,'F-1 Off Site River Baseline'!$C$9:$R$257,10,FALSE))</f>
        <v/>
      </c>
      <c r="L212" s="175" t="str">
        <f>IF(B212="","",VLOOKUP($B212,'C-1 Site River Baseline'!$C$9:$R$257,15,FALSE))</f>
        <v/>
      </c>
      <c r="M212" s="176" t="str">
        <f>IF(L212="","",VLOOKUP($B212,'F-1 Off Site River Baseline'!$C$9:$R$257,16,FALSE))</f>
        <v/>
      </c>
      <c r="N212" s="639" t="str">
        <f t="shared" si="26"/>
        <v/>
      </c>
      <c r="O212" s="171" t="str">
        <f t="shared" si="27"/>
        <v/>
      </c>
      <c r="P212" s="172" t="str">
        <f>IF(C212="","",IF(AND(LEFT(C212,55)&lt;&gt;LEFT(N212,55),O212="High - High"),"Error - Not like for like",IF(AND(F212=S212,H212&gt;U212),"Error - Can not reduce condition",IF(AND(F212=S212,H212=U212,AJ212='F-1 Off Site River Baseline'!N210,'F-1 Off Site River Baseline'!P210=AL212),"Error - No enhancement",IF(AND(C212&lt;&gt;N212,F212&lt;S212),"Lower Distinctiveness Habitat"&amp;" - "&amp;T212,G212&amp;" - "&amp;T212)))))</f>
        <v/>
      </c>
      <c r="Q212" s="260" t="str">
        <f>IF(N212="","",VLOOKUP(B212,'F-1 Off Site River Baseline'!$C$10:$AA$257,19,FALSE))</f>
        <v/>
      </c>
      <c r="R212" s="171" t="str">
        <f>IF(N212="","",VLOOKUP(N212,'G-7 Rivers Data'!$B$2:$G$8,2,FALSE))</f>
        <v/>
      </c>
      <c r="S212" s="172" t="str">
        <f>IFERROR(VLOOKUP(R212,'G-7 Rivers Data'!$C$4:$D$8,2,FALSE),"")</f>
        <v/>
      </c>
      <c r="T212" s="173"/>
      <c r="U212" s="172" t="str">
        <f>IFERROR(INDEX('G-7 Rivers Data'!$H$4:$L$8,MATCH(N212,'G-7 Rivers Data'!$B$4:$B$8,0),MATCH(T212,'G-7 Rivers Data'!$H$3:$L$3,0)),"")</f>
        <v/>
      </c>
      <c r="V212" s="186"/>
      <c r="W212" s="175" t="str">
        <f>IF(V212="","",IF(VLOOKUP(V212,'G-7 Rivers Data'!$AG$4:$AI$9,2,FALSE)=0,"Spatial Data Missing",VLOOKUP(V212,'G-7 Rivers Data'!$AG$4:$AI$9,2,FALSE)))</f>
        <v/>
      </c>
      <c r="X212" s="176" t="str">
        <f>IF(V212="","",IF(VLOOKUP(V212,'G-7 Rivers Data'!$AG$4:$AI$9,3,FALSE)=0,"Spatial Data Missing",VLOOKUP(V212,'G-7 Rivers Data'!$AG$4:$AI$9,3,FALSE)))</f>
        <v/>
      </c>
      <c r="Y212" s="239" t="str">
        <f>IFERROR(IF(OR(LEFT(P212,5)="Error",LEFT(O212,5)="Error"),"Check Data",IF(F212&lt;S212,'G-7 Rivers Data'!$R$3,INDEX('G-7 Rivers Data'!$U$5:$Y$9,MATCH(G212,'G-7 Rivers Data'!$T$5:$T$9,0),MATCH(T212,'G-7 Rivers Data'!$U$4:$Y$4,0)))),"")</f>
        <v/>
      </c>
      <c r="Z212" s="275"/>
      <c r="AA212" s="275"/>
      <c r="AB212" s="175" t="str">
        <f t="shared" si="28"/>
        <v/>
      </c>
      <c r="AC212" s="262" t="str">
        <f t="shared" si="29"/>
        <v/>
      </c>
      <c r="AD212" s="382" t="str">
        <f>IFERROR(IF(AC212="Check Data","Check Data",VLOOKUP(AC212,'G-4 Temporal multipliers'!$A$4:$C$37,3,FALSE)),"")</f>
        <v/>
      </c>
      <c r="AE212" s="239" t="str">
        <f>IF(N212="","",VLOOKUP(N212,'G-7 Rivers Data'!$B$4:$G$8,5,FALSE))</f>
        <v/>
      </c>
      <c r="AF212" s="175" t="str">
        <f t="shared" si="30"/>
        <v/>
      </c>
      <c r="AG212" s="175" t="str">
        <f t="shared" si="31"/>
        <v/>
      </c>
      <c r="AH212" s="176" t="str">
        <f t="shared" si="25"/>
        <v/>
      </c>
      <c r="AI212" s="173"/>
      <c r="AJ212" s="172" t="str">
        <f>IF(AI212="","",IF(VLOOKUP(AI212,'G-7 Rivers Data'!$AA$4:$AB$7,2,FALSE)=0,"Spatial Data Missing",VLOOKUP(AI212,'G-7 Rivers Data'!$AA$4:$AB$7,2,FALSE)))</f>
        <v/>
      </c>
      <c r="AK212" s="187"/>
      <c r="AL212" s="172" t="str">
        <f>IF(AK212="","",IF(VLOOKUP(AK212,'G-7 Rivers Data'!$AD$4:$AE$8,2,FALSE)=0,"Spatial Data Missing",VLOOKUP(AK212,'G-7 Rivers Data'!$AD$4:$AE$8,2,FALSE)))</f>
        <v/>
      </c>
      <c r="AM212" s="186"/>
      <c r="AN212" s="176" t="str">
        <f>IF(AM212="","",VLOOKUP(AM212,'G-7 Rivers Data'!$AO$4:$AP$7,2,FALSE))</f>
        <v/>
      </c>
      <c r="AO212" s="265" t="str">
        <f t="shared" si="32"/>
        <v/>
      </c>
      <c r="AP212" s="180"/>
      <c r="AQ212" s="181"/>
      <c r="AX212" s="35" t="str">
        <f>IFERROR(INDEX('G-7 Rivers Data'!$AZ$3:$AZ$7,MATCH(N212,'G-7 Rivers Data'!$AY$3:$AY$7,0)),"")</f>
        <v/>
      </c>
    </row>
    <row r="213" spans="2:50" ht="13.8" x14ac:dyDescent="0.25">
      <c r="B213" s="259" t="str">
        <f>'F-1 Off Site River Baseline'!AN211</f>
        <v/>
      </c>
      <c r="C213" s="175" t="str">
        <f>IF(B213="","",VLOOKUP($B213,'F-1 Off Site River Baseline'!$C$9:$R$257,2,FALSE))</f>
        <v/>
      </c>
      <c r="D213" s="175" t="str">
        <f>IF(C213="","",VLOOKUP($B213,'F-1 Off Site River Baseline'!$C$9:$R$257,3,FALSE))</f>
        <v/>
      </c>
      <c r="E213" s="175" t="str">
        <f>IF(D213="","",VLOOKUP($B213,'F-1 Off Site River Baseline'!$C$9:$R$257,4,FALSE))</f>
        <v/>
      </c>
      <c r="F213" s="175" t="str">
        <f>IF(E213="","",VLOOKUP($B213,'F-1 Off Site River Baseline'!$C$9:$R$257,5,FALSE))</f>
        <v/>
      </c>
      <c r="G213" s="175" t="str">
        <f>IF(F213="","",VLOOKUP($B213,'F-1 Off Site River Baseline'!$C$9:$R$257,6,FALSE))</f>
        <v/>
      </c>
      <c r="H213" s="175" t="str">
        <f>IF(G213="","",VLOOKUP($B213,'F-1 Off Site River Baseline'!$C$9:$R$257,7,FALSE))</f>
        <v/>
      </c>
      <c r="I213" s="175" t="str">
        <f>IF(H213="","",VLOOKUP($B213,'F-1 Off Site River Baseline'!$C$9:$R$257,8,FALSE))</f>
        <v/>
      </c>
      <c r="J213" s="175" t="str">
        <f>IF(I213="","",VLOOKUP($B213,'F-1 Off Site River Baseline'!$C$9:$R$257,9,FALSE))</f>
        <v/>
      </c>
      <c r="K213" s="175" t="str">
        <f>IF(J213="","",VLOOKUP($B213,'F-1 Off Site River Baseline'!$C$9:$R$257,10,FALSE))</f>
        <v/>
      </c>
      <c r="L213" s="175" t="str">
        <f>IF(B213="","",VLOOKUP($B213,'C-1 Site River Baseline'!$C$9:$R$257,15,FALSE))</f>
        <v/>
      </c>
      <c r="M213" s="176" t="str">
        <f>IF(L213="","",VLOOKUP($B213,'F-1 Off Site River Baseline'!$C$9:$R$257,16,FALSE))</f>
        <v/>
      </c>
      <c r="N213" s="639" t="str">
        <f t="shared" si="26"/>
        <v/>
      </c>
      <c r="O213" s="171" t="str">
        <f t="shared" si="27"/>
        <v/>
      </c>
      <c r="P213" s="172" t="str">
        <f>IF(C213="","",IF(AND(LEFT(C213,55)&lt;&gt;LEFT(N213,55),O213="High - High"),"Error - Not like for like",IF(AND(F213=S213,H213&gt;U213),"Error - Can not reduce condition",IF(AND(F213=S213,H213=U213,AJ213='F-1 Off Site River Baseline'!N211,'F-1 Off Site River Baseline'!P211=AL213),"Error - No enhancement",IF(AND(C213&lt;&gt;N213,F213&lt;S213),"Lower Distinctiveness Habitat"&amp;" - "&amp;T213,G213&amp;" - "&amp;T213)))))</f>
        <v/>
      </c>
      <c r="Q213" s="260" t="str">
        <f>IF(N213="","",VLOOKUP(B213,'F-1 Off Site River Baseline'!$C$10:$AA$257,19,FALSE))</f>
        <v/>
      </c>
      <c r="R213" s="171" t="str">
        <f>IF(N213="","",VLOOKUP(N213,'G-7 Rivers Data'!$B$2:$G$8,2,FALSE))</f>
        <v/>
      </c>
      <c r="S213" s="172" t="str">
        <f>IFERROR(VLOOKUP(R213,'G-7 Rivers Data'!$C$4:$D$8,2,FALSE),"")</f>
        <v/>
      </c>
      <c r="T213" s="173"/>
      <c r="U213" s="172" t="str">
        <f>IFERROR(INDEX('G-7 Rivers Data'!$H$4:$L$8,MATCH(N213,'G-7 Rivers Data'!$B$4:$B$8,0),MATCH(T213,'G-7 Rivers Data'!$H$3:$L$3,0)),"")</f>
        <v/>
      </c>
      <c r="V213" s="186"/>
      <c r="W213" s="175" t="str">
        <f>IF(V213="","",IF(VLOOKUP(V213,'G-7 Rivers Data'!$AG$4:$AI$9,2,FALSE)=0,"Spatial Data Missing",VLOOKUP(V213,'G-7 Rivers Data'!$AG$4:$AI$9,2,FALSE)))</f>
        <v/>
      </c>
      <c r="X213" s="176" t="str">
        <f>IF(V213="","",IF(VLOOKUP(V213,'G-7 Rivers Data'!$AG$4:$AI$9,3,FALSE)=0,"Spatial Data Missing",VLOOKUP(V213,'G-7 Rivers Data'!$AG$4:$AI$9,3,FALSE)))</f>
        <v/>
      </c>
      <c r="Y213" s="239" t="str">
        <f>IFERROR(IF(OR(LEFT(P213,5)="Error",LEFT(O213,5)="Error"),"Check Data",IF(F213&lt;S213,'G-7 Rivers Data'!$R$3,INDEX('G-7 Rivers Data'!$U$5:$Y$9,MATCH(G213,'G-7 Rivers Data'!$T$5:$T$9,0),MATCH(T213,'G-7 Rivers Data'!$U$4:$Y$4,0)))),"")</f>
        <v/>
      </c>
      <c r="Z213" s="275"/>
      <c r="AA213" s="275"/>
      <c r="AB213" s="175" t="str">
        <f t="shared" si="28"/>
        <v/>
      </c>
      <c r="AC213" s="262" t="str">
        <f t="shared" si="29"/>
        <v/>
      </c>
      <c r="AD213" s="382" t="str">
        <f>IFERROR(IF(AC213="Check Data","Check Data",VLOOKUP(AC213,'G-4 Temporal multipliers'!$A$4:$C$37,3,FALSE)),"")</f>
        <v/>
      </c>
      <c r="AE213" s="239" t="str">
        <f>IF(N213="","",VLOOKUP(N213,'G-7 Rivers Data'!$B$4:$G$8,5,FALSE))</f>
        <v/>
      </c>
      <c r="AF213" s="175" t="str">
        <f t="shared" si="30"/>
        <v/>
      </c>
      <c r="AG213" s="175" t="str">
        <f t="shared" si="31"/>
        <v/>
      </c>
      <c r="AH213" s="176" t="str">
        <f t="shared" si="25"/>
        <v/>
      </c>
      <c r="AI213" s="173"/>
      <c r="AJ213" s="172" t="str">
        <f>IF(AI213="","",IF(VLOOKUP(AI213,'G-7 Rivers Data'!$AA$4:$AB$7,2,FALSE)=0,"Spatial Data Missing",VLOOKUP(AI213,'G-7 Rivers Data'!$AA$4:$AB$7,2,FALSE)))</f>
        <v/>
      </c>
      <c r="AK213" s="187"/>
      <c r="AL213" s="172" t="str">
        <f>IF(AK213="","",IF(VLOOKUP(AK213,'G-7 Rivers Data'!$AD$4:$AE$8,2,FALSE)=0,"Spatial Data Missing",VLOOKUP(AK213,'G-7 Rivers Data'!$AD$4:$AE$8,2,FALSE)))</f>
        <v/>
      </c>
      <c r="AM213" s="186"/>
      <c r="AN213" s="176" t="str">
        <f>IF(AM213="","",VLOOKUP(AM213,'G-7 Rivers Data'!$AO$4:$AP$7,2,FALSE))</f>
        <v/>
      </c>
      <c r="AO213" s="265" t="str">
        <f t="shared" si="32"/>
        <v/>
      </c>
      <c r="AP213" s="180"/>
      <c r="AQ213" s="181"/>
      <c r="AX213" s="35" t="str">
        <f>IFERROR(INDEX('G-7 Rivers Data'!$AZ$3:$AZ$7,MATCH(N213,'G-7 Rivers Data'!$AY$3:$AY$7,0)),"")</f>
        <v/>
      </c>
    </row>
    <row r="214" spans="2:50" ht="13.8" x14ac:dyDescent="0.25">
      <c r="B214" s="259" t="str">
        <f>'F-1 Off Site River Baseline'!AN212</f>
        <v/>
      </c>
      <c r="C214" s="175" t="str">
        <f>IF(B214="","",VLOOKUP($B214,'F-1 Off Site River Baseline'!$C$9:$R$257,2,FALSE))</f>
        <v/>
      </c>
      <c r="D214" s="175" t="str">
        <f>IF(C214="","",VLOOKUP($B214,'F-1 Off Site River Baseline'!$C$9:$R$257,3,FALSE))</f>
        <v/>
      </c>
      <c r="E214" s="175" t="str">
        <f>IF(D214="","",VLOOKUP($B214,'F-1 Off Site River Baseline'!$C$9:$R$257,4,FALSE))</f>
        <v/>
      </c>
      <c r="F214" s="175" t="str">
        <f>IF(E214="","",VLOOKUP($B214,'F-1 Off Site River Baseline'!$C$9:$R$257,5,FALSE))</f>
        <v/>
      </c>
      <c r="G214" s="175" t="str">
        <f>IF(F214="","",VLOOKUP($B214,'F-1 Off Site River Baseline'!$C$9:$R$257,6,FALSE))</f>
        <v/>
      </c>
      <c r="H214" s="175" t="str">
        <f>IF(G214="","",VLOOKUP($B214,'F-1 Off Site River Baseline'!$C$9:$R$257,7,FALSE))</f>
        <v/>
      </c>
      <c r="I214" s="175" t="str">
        <f>IF(H214="","",VLOOKUP($B214,'F-1 Off Site River Baseline'!$C$9:$R$257,8,FALSE))</f>
        <v/>
      </c>
      <c r="J214" s="175" t="str">
        <f>IF(I214="","",VLOOKUP($B214,'F-1 Off Site River Baseline'!$C$9:$R$257,9,FALSE))</f>
        <v/>
      </c>
      <c r="K214" s="175" t="str">
        <f>IF(J214="","",VLOOKUP($B214,'F-1 Off Site River Baseline'!$C$9:$R$257,10,FALSE))</f>
        <v/>
      </c>
      <c r="L214" s="175" t="str">
        <f>IF(B214="","",VLOOKUP($B214,'C-1 Site River Baseline'!$C$9:$R$257,15,FALSE))</f>
        <v/>
      </c>
      <c r="M214" s="176" t="str">
        <f>IF(L214="","",VLOOKUP($B214,'F-1 Off Site River Baseline'!$C$9:$R$257,16,FALSE))</f>
        <v/>
      </c>
      <c r="N214" s="639" t="str">
        <f t="shared" si="26"/>
        <v/>
      </c>
      <c r="O214" s="171" t="str">
        <f t="shared" si="27"/>
        <v/>
      </c>
      <c r="P214" s="172" t="str">
        <f>IF(C214="","",IF(AND(LEFT(C214,55)&lt;&gt;LEFT(N214,55),O214="High - High"),"Error - Not like for like",IF(AND(F214=S214,H214&gt;U214),"Error - Can not reduce condition",IF(AND(F214=S214,H214=U214,AJ214='F-1 Off Site River Baseline'!N212,'F-1 Off Site River Baseline'!P212=AL214),"Error - No enhancement",IF(AND(C214&lt;&gt;N214,F214&lt;S214),"Lower Distinctiveness Habitat"&amp;" - "&amp;T214,G214&amp;" - "&amp;T214)))))</f>
        <v/>
      </c>
      <c r="Q214" s="260" t="str">
        <f>IF(N214="","",VLOOKUP(B214,'F-1 Off Site River Baseline'!$C$10:$AA$257,19,FALSE))</f>
        <v/>
      </c>
      <c r="R214" s="171" t="str">
        <f>IF(N214="","",VLOOKUP(N214,'G-7 Rivers Data'!$B$2:$G$8,2,FALSE))</f>
        <v/>
      </c>
      <c r="S214" s="172" t="str">
        <f>IFERROR(VLOOKUP(R214,'G-7 Rivers Data'!$C$4:$D$8,2,FALSE),"")</f>
        <v/>
      </c>
      <c r="T214" s="173"/>
      <c r="U214" s="172" t="str">
        <f>IFERROR(INDEX('G-7 Rivers Data'!$H$4:$L$8,MATCH(N214,'G-7 Rivers Data'!$B$4:$B$8,0),MATCH(T214,'G-7 Rivers Data'!$H$3:$L$3,0)),"")</f>
        <v/>
      </c>
      <c r="V214" s="186"/>
      <c r="W214" s="175" t="str">
        <f>IF(V214="","",IF(VLOOKUP(V214,'G-7 Rivers Data'!$AG$4:$AI$9,2,FALSE)=0,"Spatial Data Missing",VLOOKUP(V214,'G-7 Rivers Data'!$AG$4:$AI$9,2,FALSE)))</f>
        <v/>
      </c>
      <c r="X214" s="176" t="str">
        <f>IF(V214="","",IF(VLOOKUP(V214,'G-7 Rivers Data'!$AG$4:$AI$9,3,FALSE)=0,"Spatial Data Missing",VLOOKUP(V214,'G-7 Rivers Data'!$AG$4:$AI$9,3,FALSE)))</f>
        <v/>
      </c>
      <c r="Y214" s="239" t="str">
        <f>IFERROR(IF(OR(LEFT(P214,5)="Error",LEFT(O214,5)="Error"),"Check Data",IF(F214&lt;S214,'G-7 Rivers Data'!$R$3,INDEX('G-7 Rivers Data'!$U$5:$Y$9,MATCH(G214,'G-7 Rivers Data'!$T$5:$T$9,0),MATCH(T214,'G-7 Rivers Data'!$U$4:$Y$4,0)))),"")</f>
        <v/>
      </c>
      <c r="Z214" s="275"/>
      <c r="AA214" s="275"/>
      <c r="AB214" s="175" t="str">
        <f t="shared" si="28"/>
        <v/>
      </c>
      <c r="AC214" s="262" t="str">
        <f t="shared" si="29"/>
        <v/>
      </c>
      <c r="AD214" s="382" t="str">
        <f>IFERROR(IF(AC214="Check Data","Check Data",VLOOKUP(AC214,'G-4 Temporal multipliers'!$A$4:$C$37,3,FALSE)),"")</f>
        <v/>
      </c>
      <c r="AE214" s="239" t="str">
        <f>IF(N214="","",VLOOKUP(N214,'G-7 Rivers Data'!$B$4:$G$8,5,FALSE))</f>
        <v/>
      </c>
      <c r="AF214" s="175" t="str">
        <f t="shared" si="30"/>
        <v/>
      </c>
      <c r="AG214" s="175" t="str">
        <f t="shared" si="31"/>
        <v/>
      </c>
      <c r="AH214" s="176" t="str">
        <f t="shared" si="25"/>
        <v/>
      </c>
      <c r="AI214" s="173"/>
      <c r="AJ214" s="172" t="str">
        <f>IF(AI214="","",IF(VLOOKUP(AI214,'G-7 Rivers Data'!$AA$4:$AB$7,2,FALSE)=0,"Spatial Data Missing",VLOOKUP(AI214,'G-7 Rivers Data'!$AA$4:$AB$7,2,FALSE)))</f>
        <v/>
      </c>
      <c r="AK214" s="187"/>
      <c r="AL214" s="172" t="str">
        <f>IF(AK214="","",IF(VLOOKUP(AK214,'G-7 Rivers Data'!$AD$4:$AE$8,2,FALSE)=0,"Spatial Data Missing",VLOOKUP(AK214,'G-7 Rivers Data'!$AD$4:$AE$8,2,FALSE)))</f>
        <v/>
      </c>
      <c r="AM214" s="186"/>
      <c r="AN214" s="176" t="str">
        <f>IF(AM214="","",VLOOKUP(AM214,'G-7 Rivers Data'!$AO$4:$AP$7,2,FALSE))</f>
        <v/>
      </c>
      <c r="AO214" s="265" t="str">
        <f t="shared" si="32"/>
        <v/>
      </c>
      <c r="AP214" s="180"/>
      <c r="AQ214" s="181"/>
      <c r="AX214" s="35" t="str">
        <f>IFERROR(INDEX('G-7 Rivers Data'!$AZ$3:$AZ$7,MATCH(N214,'G-7 Rivers Data'!$AY$3:$AY$7,0)),"")</f>
        <v/>
      </c>
    </row>
    <row r="215" spans="2:50" ht="13.8" x14ac:dyDescent="0.25">
      <c r="B215" s="259" t="str">
        <f>'F-1 Off Site River Baseline'!AN213</f>
        <v/>
      </c>
      <c r="C215" s="175" t="str">
        <f>IF(B215="","",VLOOKUP($B215,'F-1 Off Site River Baseline'!$C$9:$R$257,2,FALSE))</f>
        <v/>
      </c>
      <c r="D215" s="175" t="str">
        <f>IF(C215="","",VLOOKUP($B215,'F-1 Off Site River Baseline'!$C$9:$R$257,3,FALSE))</f>
        <v/>
      </c>
      <c r="E215" s="175" t="str">
        <f>IF(D215="","",VLOOKUP($B215,'F-1 Off Site River Baseline'!$C$9:$R$257,4,FALSE))</f>
        <v/>
      </c>
      <c r="F215" s="175" t="str">
        <f>IF(E215="","",VLOOKUP($B215,'F-1 Off Site River Baseline'!$C$9:$R$257,5,FALSE))</f>
        <v/>
      </c>
      <c r="G215" s="175" t="str">
        <f>IF(F215="","",VLOOKUP($B215,'F-1 Off Site River Baseline'!$C$9:$R$257,6,FALSE))</f>
        <v/>
      </c>
      <c r="H215" s="175" t="str">
        <f>IF(G215="","",VLOOKUP($B215,'F-1 Off Site River Baseline'!$C$9:$R$257,7,FALSE))</f>
        <v/>
      </c>
      <c r="I215" s="175" t="str">
        <f>IF(H215="","",VLOOKUP($B215,'F-1 Off Site River Baseline'!$C$9:$R$257,8,FALSE))</f>
        <v/>
      </c>
      <c r="J215" s="175" t="str">
        <f>IF(I215="","",VLOOKUP($B215,'F-1 Off Site River Baseline'!$C$9:$R$257,9,FALSE))</f>
        <v/>
      </c>
      <c r="K215" s="175" t="str">
        <f>IF(J215="","",VLOOKUP($B215,'F-1 Off Site River Baseline'!$C$9:$R$257,10,FALSE))</f>
        <v/>
      </c>
      <c r="L215" s="175" t="str">
        <f>IF(B215="","",VLOOKUP($B215,'C-1 Site River Baseline'!$C$9:$R$257,15,FALSE))</f>
        <v/>
      </c>
      <c r="M215" s="176" t="str">
        <f>IF(L215="","",VLOOKUP($B215,'F-1 Off Site River Baseline'!$C$9:$R$257,16,FALSE))</f>
        <v/>
      </c>
      <c r="N215" s="639" t="str">
        <f t="shared" si="26"/>
        <v/>
      </c>
      <c r="O215" s="171" t="str">
        <f t="shared" si="27"/>
        <v/>
      </c>
      <c r="P215" s="172" t="str">
        <f>IF(C215="","",IF(AND(LEFT(C215,55)&lt;&gt;LEFT(N215,55),O215="High - High"),"Error - Not like for like",IF(AND(F215=S215,H215&gt;U215),"Error - Can not reduce condition",IF(AND(F215=S215,H215=U215,AJ215='F-1 Off Site River Baseline'!N213,'F-1 Off Site River Baseline'!P213=AL215),"Error - No enhancement",IF(AND(C215&lt;&gt;N215,F215&lt;S215),"Lower Distinctiveness Habitat"&amp;" - "&amp;T215,G215&amp;" - "&amp;T215)))))</f>
        <v/>
      </c>
      <c r="Q215" s="260" t="str">
        <f>IF(N215="","",VLOOKUP(B215,'F-1 Off Site River Baseline'!$C$10:$AA$257,19,FALSE))</f>
        <v/>
      </c>
      <c r="R215" s="171" t="str">
        <f>IF(N215="","",VLOOKUP(N215,'G-7 Rivers Data'!$B$2:$G$8,2,FALSE))</f>
        <v/>
      </c>
      <c r="S215" s="172" t="str">
        <f>IFERROR(VLOOKUP(R215,'G-7 Rivers Data'!$C$4:$D$8,2,FALSE),"")</f>
        <v/>
      </c>
      <c r="T215" s="173"/>
      <c r="U215" s="172" t="str">
        <f>IFERROR(INDEX('G-7 Rivers Data'!$H$4:$L$8,MATCH(N215,'G-7 Rivers Data'!$B$4:$B$8,0),MATCH(T215,'G-7 Rivers Data'!$H$3:$L$3,0)),"")</f>
        <v/>
      </c>
      <c r="V215" s="186"/>
      <c r="W215" s="175" t="str">
        <f>IF(V215="","",IF(VLOOKUP(V215,'G-7 Rivers Data'!$AG$4:$AI$9,2,FALSE)=0,"Spatial Data Missing",VLOOKUP(V215,'G-7 Rivers Data'!$AG$4:$AI$9,2,FALSE)))</f>
        <v/>
      </c>
      <c r="X215" s="176" t="str">
        <f>IF(V215="","",IF(VLOOKUP(V215,'G-7 Rivers Data'!$AG$4:$AI$9,3,FALSE)=0,"Spatial Data Missing",VLOOKUP(V215,'G-7 Rivers Data'!$AG$4:$AI$9,3,FALSE)))</f>
        <v/>
      </c>
      <c r="Y215" s="239" t="str">
        <f>IFERROR(IF(OR(LEFT(P215,5)="Error",LEFT(O215,5)="Error"),"Check Data",IF(F215&lt;S215,'G-7 Rivers Data'!$R$3,INDEX('G-7 Rivers Data'!$U$5:$Y$9,MATCH(G215,'G-7 Rivers Data'!$T$5:$T$9,0),MATCH(T215,'G-7 Rivers Data'!$U$4:$Y$4,0)))),"")</f>
        <v/>
      </c>
      <c r="Z215" s="275"/>
      <c r="AA215" s="275"/>
      <c r="AB215" s="175" t="str">
        <f t="shared" si="28"/>
        <v/>
      </c>
      <c r="AC215" s="262" t="str">
        <f t="shared" si="29"/>
        <v/>
      </c>
      <c r="AD215" s="382" t="str">
        <f>IFERROR(IF(AC215="Check Data","Check Data",VLOOKUP(AC215,'G-4 Temporal multipliers'!$A$4:$C$37,3,FALSE)),"")</f>
        <v/>
      </c>
      <c r="AE215" s="239" t="str">
        <f>IF(N215="","",VLOOKUP(N215,'G-7 Rivers Data'!$B$4:$G$8,5,FALSE))</f>
        <v/>
      </c>
      <c r="AF215" s="175" t="str">
        <f t="shared" si="30"/>
        <v/>
      </c>
      <c r="AG215" s="175" t="str">
        <f t="shared" si="31"/>
        <v/>
      </c>
      <c r="AH215" s="176" t="str">
        <f t="shared" si="25"/>
        <v/>
      </c>
      <c r="AI215" s="173"/>
      <c r="AJ215" s="172" t="str">
        <f>IF(AI215="","",IF(VLOOKUP(AI215,'G-7 Rivers Data'!$AA$4:$AB$7,2,FALSE)=0,"Spatial Data Missing",VLOOKUP(AI215,'G-7 Rivers Data'!$AA$4:$AB$7,2,FALSE)))</f>
        <v/>
      </c>
      <c r="AK215" s="187"/>
      <c r="AL215" s="172" t="str">
        <f>IF(AK215="","",IF(VLOOKUP(AK215,'G-7 Rivers Data'!$AD$4:$AE$8,2,FALSE)=0,"Spatial Data Missing",VLOOKUP(AK215,'G-7 Rivers Data'!$AD$4:$AE$8,2,FALSE)))</f>
        <v/>
      </c>
      <c r="AM215" s="186"/>
      <c r="AN215" s="176" t="str">
        <f>IF(AM215="","",VLOOKUP(AM215,'G-7 Rivers Data'!$AO$4:$AP$7,2,FALSE))</f>
        <v/>
      </c>
      <c r="AO215" s="265" t="str">
        <f t="shared" si="32"/>
        <v/>
      </c>
      <c r="AP215" s="180"/>
      <c r="AQ215" s="181"/>
      <c r="AX215" s="35" t="str">
        <f>IFERROR(INDEX('G-7 Rivers Data'!$AZ$3:$AZ$7,MATCH(N215,'G-7 Rivers Data'!$AY$3:$AY$7,0)),"")</f>
        <v/>
      </c>
    </row>
    <row r="216" spans="2:50" ht="13.8" x14ac:dyDescent="0.25">
      <c r="B216" s="259" t="str">
        <f>'F-1 Off Site River Baseline'!AN214</f>
        <v/>
      </c>
      <c r="C216" s="175" t="str">
        <f>IF(B216="","",VLOOKUP($B216,'F-1 Off Site River Baseline'!$C$9:$R$257,2,FALSE))</f>
        <v/>
      </c>
      <c r="D216" s="175" t="str">
        <f>IF(C216="","",VLOOKUP($B216,'F-1 Off Site River Baseline'!$C$9:$R$257,3,FALSE))</f>
        <v/>
      </c>
      <c r="E216" s="175" t="str">
        <f>IF(D216="","",VLOOKUP($B216,'F-1 Off Site River Baseline'!$C$9:$R$257,4,FALSE))</f>
        <v/>
      </c>
      <c r="F216" s="175" t="str">
        <f>IF(E216="","",VLOOKUP($B216,'F-1 Off Site River Baseline'!$C$9:$R$257,5,FALSE))</f>
        <v/>
      </c>
      <c r="G216" s="175" t="str">
        <f>IF(F216="","",VLOOKUP($B216,'F-1 Off Site River Baseline'!$C$9:$R$257,6,FALSE))</f>
        <v/>
      </c>
      <c r="H216" s="175" t="str">
        <f>IF(G216="","",VLOOKUP($B216,'F-1 Off Site River Baseline'!$C$9:$R$257,7,FALSE))</f>
        <v/>
      </c>
      <c r="I216" s="175" t="str">
        <f>IF(H216="","",VLOOKUP($B216,'F-1 Off Site River Baseline'!$C$9:$R$257,8,FALSE))</f>
        <v/>
      </c>
      <c r="J216" s="175" t="str">
        <f>IF(I216="","",VLOOKUP($B216,'F-1 Off Site River Baseline'!$C$9:$R$257,9,FALSE))</f>
        <v/>
      </c>
      <c r="K216" s="175" t="str">
        <f>IF(J216="","",VLOOKUP($B216,'F-1 Off Site River Baseline'!$C$9:$R$257,10,FALSE))</f>
        <v/>
      </c>
      <c r="L216" s="175" t="str">
        <f>IF(B216="","",VLOOKUP($B216,'C-1 Site River Baseline'!$C$9:$R$257,15,FALSE))</f>
        <v/>
      </c>
      <c r="M216" s="176" t="str">
        <f>IF(L216="","",VLOOKUP($B216,'F-1 Off Site River Baseline'!$C$9:$R$257,16,FALSE))</f>
        <v/>
      </c>
      <c r="N216" s="639" t="str">
        <f t="shared" si="26"/>
        <v/>
      </c>
      <c r="O216" s="171" t="str">
        <f t="shared" si="27"/>
        <v/>
      </c>
      <c r="P216" s="172" t="str">
        <f>IF(C216="","",IF(AND(LEFT(C216,55)&lt;&gt;LEFT(N216,55),O216="High - High"),"Error - Not like for like",IF(AND(F216=S216,H216&gt;U216),"Error - Can not reduce condition",IF(AND(F216=S216,H216=U216,AJ216='F-1 Off Site River Baseline'!N214,'F-1 Off Site River Baseline'!P214=AL216),"Error - No enhancement",IF(AND(C216&lt;&gt;N216,F216&lt;S216),"Lower Distinctiveness Habitat"&amp;" - "&amp;T216,G216&amp;" - "&amp;T216)))))</f>
        <v/>
      </c>
      <c r="Q216" s="260" t="str">
        <f>IF(N216="","",VLOOKUP(B216,'F-1 Off Site River Baseline'!$C$10:$AA$257,19,FALSE))</f>
        <v/>
      </c>
      <c r="R216" s="171" t="str">
        <f>IF(N216="","",VLOOKUP(N216,'G-7 Rivers Data'!$B$2:$G$8,2,FALSE))</f>
        <v/>
      </c>
      <c r="S216" s="172" t="str">
        <f>IFERROR(VLOOKUP(R216,'G-7 Rivers Data'!$C$4:$D$8,2,FALSE),"")</f>
        <v/>
      </c>
      <c r="T216" s="173"/>
      <c r="U216" s="172" t="str">
        <f>IFERROR(INDEX('G-7 Rivers Data'!$H$4:$L$8,MATCH(N216,'G-7 Rivers Data'!$B$4:$B$8,0),MATCH(T216,'G-7 Rivers Data'!$H$3:$L$3,0)),"")</f>
        <v/>
      </c>
      <c r="V216" s="186"/>
      <c r="W216" s="175" t="str">
        <f>IF(V216="","",IF(VLOOKUP(V216,'G-7 Rivers Data'!$AG$4:$AI$9,2,FALSE)=0,"Spatial Data Missing",VLOOKUP(V216,'G-7 Rivers Data'!$AG$4:$AI$9,2,FALSE)))</f>
        <v/>
      </c>
      <c r="X216" s="176" t="str">
        <f>IF(V216="","",IF(VLOOKUP(V216,'G-7 Rivers Data'!$AG$4:$AI$9,3,FALSE)=0,"Spatial Data Missing",VLOOKUP(V216,'G-7 Rivers Data'!$AG$4:$AI$9,3,FALSE)))</f>
        <v/>
      </c>
      <c r="Y216" s="239" t="str">
        <f>IFERROR(IF(OR(LEFT(P216,5)="Error",LEFT(O216,5)="Error"),"Check Data",IF(F216&lt;S216,'G-7 Rivers Data'!$R$3,INDEX('G-7 Rivers Data'!$U$5:$Y$9,MATCH(G216,'G-7 Rivers Data'!$T$5:$T$9,0),MATCH(T216,'G-7 Rivers Data'!$U$4:$Y$4,0)))),"")</f>
        <v/>
      </c>
      <c r="Z216" s="275"/>
      <c r="AA216" s="275"/>
      <c r="AB216" s="175" t="str">
        <f t="shared" si="28"/>
        <v/>
      </c>
      <c r="AC216" s="262" t="str">
        <f t="shared" si="29"/>
        <v/>
      </c>
      <c r="AD216" s="382" t="str">
        <f>IFERROR(IF(AC216="Check Data","Check Data",VLOOKUP(AC216,'G-4 Temporal multipliers'!$A$4:$C$37,3,FALSE)),"")</f>
        <v/>
      </c>
      <c r="AE216" s="239" t="str">
        <f>IF(N216="","",VLOOKUP(N216,'G-7 Rivers Data'!$B$4:$G$8,5,FALSE))</f>
        <v/>
      </c>
      <c r="AF216" s="175" t="str">
        <f t="shared" si="30"/>
        <v/>
      </c>
      <c r="AG216" s="175" t="str">
        <f t="shared" si="31"/>
        <v/>
      </c>
      <c r="AH216" s="176" t="str">
        <f t="shared" si="25"/>
        <v/>
      </c>
      <c r="AI216" s="173"/>
      <c r="AJ216" s="172" t="str">
        <f>IF(AI216="","",IF(VLOOKUP(AI216,'G-7 Rivers Data'!$AA$4:$AB$7,2,FALSE)=0,"Spatial Data Missing",VLOOKUP(AI216,'G-7 Rivers Data'!$AA$4:$AB$7,2,FALSE)))</f>
        <v/>
      </c>
      <c r="AK216" s="187"/>
      <c r="AL216" s="172" t="str">
        <f>IF(AK216="","",IF(VLOOKUP(AK216,'G-7 Rivers Data'!$AD$4:$AE$8,2,FALSE)=0,"Spatial Data Missing",VLOOKUP(AK216,'G-7 Rivers Data'!$AD$4:$AE$8,2,FALSE)))</f>
        <v/>
      </c>
      <c r="AM216" s="186"/>
      <c r="AN216" s="176" t="str">
        <f>IF(AM216="","",VLOOKUP(AM216,'G-7 Rivers Data'!$AO$4:$AP$7,2,FALSE))</f>
        <v/>
      </c>
      <c r="AO216" s="265" t="str">
        <f t="shared" si="32"/>
        <v/>
      </c>
      <c r="AP216" s="180"/>
      <c r="AQ216" s="181"/>
      <c r="AX216" s="35" t="str">
        <f>IFERROR(INDEX('G-7 Rivers Data'!$AZ$3:$AZ$7,MATCH(N216,'G-7 Rivers Data'!$AY$3:$AY$7,0)),"")</f>
        <v/>
      </c>
    </row>
    <row r="217" spans="2:50" ht="13.8" x14ac:dyDescent="0.25">
      <c r="B217" s="259" t="str">
        <f>'F-1 Off Site River Baseline'!AN215</f>
        <v/>
      </c>
      <c r="C217" s="175" t="str">
        <f>IF(B217="","",VLOOKUP($B217,'F-1 Off Site River Baseline'!$C$9:$R$257,2,FALSE))</f>
        <v/>
      </c>
      <c r="D217" s="175" t="str">
        <f>IF(C217="","",VLOOKUP($B217,'F-1 Off Site River Baseline'!$C$9:$R$257,3,FALSE))</f>
        <v/>
      </c>
      <c r="E217" s="175" t="str">
        <f>IF(D217="","",VLOOKUP($B217,'F-1 Off Site River Baseline'!$C$9:$R$257,4,FALSE))</f>
        <v/>
      </c>
      <c r="F217" s="175" t="str">
        <f>IF(E217="","",VLOOKUP($B217,'F-1 Off Site River Baseline'!$C$9:$R$257,5,FALSE))</f>
        <v/>
      </c>
      <c r="G217" s="175" t="str">
        <f>IF(F217="","",VLOOKUP($B217,'F-1 Off Site River Baseline'!$C$9:$R$257,6,FALSE))</f>
        <v/>
      </c>
      <c r="H217" s="175" t="str">
        <f>IF(G217="","",VLOOKUP($B217,'F-1 Off Site River Baseline'!$C$9:$R$257,7,FALSE))</f>
        <v/>
      </c>
      <c r="I217" s="175" t="str">
        <f>IF(H217="","",VLOOKUP($B217,'F-1 Off Site River Baseline'!$C$9:$R$257,8,FALSE))</f>
        <v/>
      </c>
      <c r="J217" s="175" t="str">
        <f>IF(I217="","",VLOOKUP($B217,'F-1 Off Site River Baseline'!$C$9:$R$257,9,FALSE))</f>
        <v/>
      </c>
      <c r="K217" s="175" t="str">
        <f>IF(J217="","",VLOOKUP($B217,'F-1 Off Site River Baseline'!$C$9:$R$257,10,FALSE))</f>
        <v/>
      </c>
      <c r="L217" s="175" t="str">
        <f>IF(B217="","",VLOOKUP($B217,'C-1 Site River Baseline'!$C$9:$R$257,15,FALSE))</f>
        <v/>
      </c>
      <c r="M217" s="176" t="str">
        <f>IF(L217="","",VLOOKUP($B217,'F-1 Off Site River Baseline'!$C$9:$R$257,16,FALSE))</f>
        <v/>
      </c>
      <c r="N217" s="639" t="str">
        <f t="shared" si="26"/>
        <v/>
      </c>
      <c r="O217" s="171" t="str">
        <f t="shared" si="27"/>
        <v/>
      </c>
      <c r="P217" s="172" t="str">
        <f>IF(C217="","",IF(AND(LEFT(C217,55)&lt;&gt;LEFT(N217,55),O217="High - High"),"Error - Not like for like",IF(AND(F217=S217,H217&gt;U217),"Error - Can not reduce condition",IF(AND(F217=S217,H217=U217,AJ217='F-1 Off Site River Baseline'!N215,'F-1 Off Site River Baseline'!P215=AL217),"Error - No enhancement",IF(AND(C217&lt;&gt;N217,F217&lt;S217),"Lower Distinctiveness Habitat"&amp;" - "&amp;T217,G217&amp;" - "&amp;T217)))))</f>
        <v/>
      </c>
      <c r="Q217" s="260" t="str">
        <f>IF(N217="","",VLOOKUP(B217,'F-1 Off Site River Baseline'!$C$10:$AA$257,19,FALSE))</f>
        <v/>
      </c>
      <c r="R217" s="171" t="str">
        <f>IF(N217="","",VLOOKUP(N217,'G-7 Rivers Data'!$B$2:$G$8,2,FALSE))</f>
        <v/>
      </c>
      <c r="S217" s="172" t="str">
        <f>IFERROR(VLOOKUP(R217,'G-7 Rivers Data'!$C$4:$D$8,2,FALSE),"")</f>
        <v/>
      </c>
      <c r="T217" s="173"/>
      <c r="U217" s="172" t="str">
        <f>IFERROR(INDEX('G-7 Rivers Data'!$H$4:$L$8,MATCH(N217,'G-7 Rivers Data'!$B$4:$B$8,0),MATCH(T217,'G-7 Rivers Data'!$H$3:$L$3,0)),"")</f>
        <v/>
      </c>
      <c r="V217" s="186"/>
      <c r="W217" s="175" t="str">
        <f>IF(V217="","",IF(VLOOKUP(V217,'G-7 Rivers Data'!$AG$4:$AI$9,2,FALSE)=0,"Spatial Data Missing",VLOOKUP(V217,'G-7 Rivers Data'!$AG$4:$AI$9,2,FALSE)))</f>
        <v/>
      </c>
      <c r="X217" s="176" t="str">
        <f>IF(V217="","",IF(VLOOKUP(V217,'G-7 Rivers Data'!$AG$4:$AI$9,3,FALSE)=0,"Spatial Data Missing",VLOOKUP(V217,'G-7 Rivers Data'!$AG$4:$AI$9,3,FALSE)))</f>
        <v/>
      </c>
      <c r="Y217" s="239" t="str">
        <f>IFERROR(IF(OR(LEFT(P217,5)="Error",LEFT(O217,5)="Error"),"Check Data",IF(F217&lt;S217,'G-7 Rivers Data'!$R$3,INDEX('G-7 Rivers Data'!$U$5:$Y$9,MATCH(G217,'G-7 Rivers Data'!$T$5:$T$9,0),MATCH(T217,'G-7 Rivers Data'!$U$4:$Y$4,0)))),"")</f>
        <v/>
      </c>
      <c r="Z217" s="275"/>
      <c r="AA217" s="275"/>
      <c r="AB217" s="175" t="str">
        <f t="shared" si="28"/>
        <v/>
      </c>
      <c r="AC217" s="262" t="str">
        <f t="shared" si="29"/>
        <v/>
      </c>
      <c r="AD217" s="382" t="str">
        <f>IFERROR(IF(AC217="Check Data","Check Data",VLOOKUP(AC217,'G-4 Temporal multipliers'!$A$4:$C$37,3,FALSE)),"")</f>
        <v/>
      </c>
      <c r="AE217" s="239" t="str">
        <f>IF(N217="","",VLOOKUP(N217,'G-7 Rivers Data'!$B$4:$G$8,5,FALSE))</f>
        <v/>
      </c>
      <c r="AF217" s="175" t="str">
        <f t="shared" si="30"/>
        <v/>
      </c>
      <c r="AG217" s="175" t="str">
        <f t="shared" si="31"/>
        <v/>
      </c>
      <c r="AH217" s="176" t="str">
        <f t="shared" si="25"/>
        <v/>
      </c>
      <c r="AI217" s="173"/>
      <c r="AJ217" s="172" t="str">
        <f>IF(AI217="","",IF(VLOOKUP(AI217,'G-7 Rivers Data'!$AA$4:$AB$7,2,FALSE)=0,"Spatial Data Missing",VLOOKUP(AI217,'G-7 Rivers Data'!$AA$4:$AB$7,2,FALSE)))</f>
        <v/>
      </c>
      <c r="AK217" s="187"/>
      <c r="AL217" s="172" t="str">
        <f>IF(AK217="","",IF(VLOOKUP(AK217,'G-7 Rivers Data'!$AD$4:$AE$8,2,FALSE)=0,"Spatial Data Missing",VLOOKUP(AK217,'G-7 Rivers Data'!$AD$4:$AE$8,2,FALSE)))</f>
        <v/>
      </c>
      <c r="AM217" s="186"/>
      <c r="AN217" s="176" t="str">
        <f>IF(AM217="","",VLOOKUP(AM217,'G-7 Rivers Data'!$AO$4:$AP$7,2,FALSE))</f>
        <v/>
      </c>
      <c r="AO217" s="265" t="str">
        <f t="shared" si="32"/>
        <v/>
      </c>
      <c r="AP217" s="180"/>
      <c r="AQ217" s="181"/>
      <c r="AX217" s="35" t="str">
        <f>IFERROR(INDEX('G-7 Rivers Data'!$AZ$3:$AZ$7,MATCH(N217,'G-7 Rivers Data'!$AY$3:$AY$7,0)),"")</f>
        <v/>
      </c>
    </row>
    <row r="218" spans="2:50" ht="13.8" x14ac:dyDescent="0.25">
      <c r="B218" s="259" t="str">
        <f>'F-1 Off Site River Baseline'!AN216</f>
        <v/>
      </c>
      <c r="C218" s="175" t="str">
        <f>IF(B218="","",VLOOKUP($B218,'F-1 Off Site River Baseline'!$C$9:$R$257,2,FALSE))</f>
        <v/>
      </c>
      <c r="D218" s="175" t="str">
        <f>IF(C218="","",VLOOKUP($B218,'F-1 Off Site River Baseline'!$C$9:$R$257,3,FALSE))</f>
        <v/>
      </c>
      <c r="E218" s="175" t="str">
        <f>IF(D218="","",VLOOKUP($B218,'F-1 Off Site River Baseline'!$C$9:$R$257,4,FALSE))</f>
        <v/>
      </c>
      <c r="F218" s="175" t="str">
        <f>IF(E218="","",VLOOKUP($B218,'F-1 Off Site River Baseline'!$C$9:$R$257,5,FALSE))</f>
        <v/>
      </c>
      <c r="G218" s="175" t="str">
        <f>IF(F218="","",VLOOKUP($B218,'F-1 Off Site River Baseline'!$C$9:$R$257,6,FALSE))</f>
        <v/>
      </c>
      <c r="H218" s="175" t="str">
        <f>IF(G218="","",VLOOKUP($B218,'F-1 Off Site River Baseline'!$C$9:$R$257,7,FALSE))</f>
        <v/>
      </c>
      <c r="I218" s="175" t="str">
        <f>IF(H218="","",VLOOKUP($B218,'F-1 Off Site River Baseline'!$C$9:$R$257,8,FALSE))</f>
        <v/>
      </c>
      <c r="J218" s="175" t="str">
        <f>IF(I218="","",VLOOKUP($B218,'F-1 Off Site River Baseline'!$C$9:$R$257,9,FALSE))</f>
        <v/>
      </c>
      <c r="K218" s="175" t="str">
        <f>IF(J218="","",VLOOKUP($B218,'F-1 Off Site River Baseline'!$C$9:$R$257,10,FALSE))</f>
        <v/>
      </c>
      <c r="L218" s="175" t="str">
        <f>IF(B218="","",VLOOKUP($B218,'C-1 Site River Baseline'!$C$9:$R$257,15,FALSE))</f>
        <v/>
      </c>
      <c r="M218" s="176" t="str">
        <f>IF(L218="","",VLOOKUP($B218,'F-1 Off Site River Baseline'!$C$9:$R$257,16,FALSE))</f>
        <v/>
      </c>
      <c r="N218" s="639" t="str">
        <f t="shared" si="26"/>
        <v/>
      </c>
      <c r="O218" s="171" t="str">
        <f t="shared" si="27"/>
        <v/>
      </c>
      <c r="P218" s="172" t="str">
        <f>IF(C218="","",IF(AND(LEFT(C218,55)&lt;&gt;LEFT(N218,55),O218="High - High"),"Error - Not like for like",IF(AND(F218=S218,H218&gt;U218),"Error - Can not reduce condition",IF(AND(F218=S218,H218=U218,AJ218='F-1 Off Site River Baseline'!N216,'F-1 Off Site River Baseline'!P216=AL218),"Error - No enhancement",IF(AND(C218&lt;&gt;N218,F218&lt;S218),"Lower Distinctiveness Habitat"&amp;" - "&amp;T218,G218&amp;" - "&amp;T218)))))</f>
        <v/>
      </c>
      <c r="Q218" s="260" t="str">
        <f>IF(N218="","",VLOOKUP(B218,'F-1 Off Site River Baseline'!$C$10:$AA$257,19,FALSE))</f>
        <v/>
      </c>
      <c r="R218" s="171" t="str">
        <f>IF(N218="","",VLOOKUP(N218,'G-7 Rivers Data'!$B$2:$G$8,2,FALSE))</f>
        <v/>
      </c>
      <c r="S218" s="172" t="str">
        <f>IFERROR(VLOOKUP(R218,'G-7 Rivers Data'!$C$4:$D$8,2,FALSE),"")</f>
        <v/>
      </c>
      <c r="T218" s="173"/>
      <c r="U218" s="172" t="str">
        <f>IFERROR(INDEX('G-7 Rivers Data'!$H$4:$L$8,MATCH(N218,'G-7 Rivers Data'!$B$4:$B$8,0),MATCH(T218,'G-7 Rivers Data'!$H$3:$L$3,0)),"")</f>
        <v/>
      </c>
      <c r="V218" s="186"/>
      <c r="W218" s="175" t="str">
        <f>IF(V218="","",IF(VLOOKUP(V218,'G-7 Rivers Data'!$AG$4:$AI$9,2,FALSE)=0,"Spatial Data Missing",VLOOKUP(V218,'G-7 Rivers Data'!$AG$4:$AI$9,2,FALSE)))</f>
        <v/>
      </c>
      <c r="X218" s="176" t="str">
        <f>IF(V218="","",IF(VLOOKUP(V218,'G-7 Rivers Data'!$AG$4:$AI$9,3,FALSE)=0,"Spatial Data Missing",VLOOKUP(V218,'G-7 Rivers Data'!$AG$4:$AI$9,3,FALSE)))</f>
        <v/>
      </c>
      <c r="Y218" s="239" t="str">
        <f>IFERROR(IF(OR(LEFT(P218,5)="Error",LEFT(O218,5)="Error"),"Check Data",IF(F218&lt;S218,'G-7 Rivers Data'!$R$3,INDEX('G-7 Rivers Data'!$U$5:$Y$9,MATCH(G218,'G-7 Rivers Data'!$T$5:$T$9,0),MATCH(T218,'G-7 Rivers Data'!$U$4:$Y$4,0)))),"")</f>
        <v/>
      </c>
      <c r="Z218" s="275"/>
      <c r="AA218" s="275"/>
      <c r="AB218" s="175" t="str">
        <f t="shared" si="28"/>
        <v/>
      </c>
      <c r="AC218" s="262" t="str">
        <f t="shared" si="29"/>
        <v/>
      </c>
      <c r="AD218" s="382" t="str">
        <f>IFERROR(IF(AC218="Check Data","Check Data",VLOOKUP(AC218,'G-4 Temporal multipliers'!$A$4:$C$37,3,FALSE)),"")</f>
        <v/>
      </c>
      <c r="AE218" s="239" t="str">
        <f>IF(N218="","",VLOOKUP(N218,'G-7 Rivers Data'!$B$4:$G$8,5,FALSE))</f>
        <v/>
      </c>
      <c r="AF218" s="175" t="str">
        <f t="shared" si="30"/>
        <v/>
      </c>
      <c r="AG218" s="175" t="str">
        <f t="shared" si="31"/>
        <v/>
      </c>
      <c r="AH218" s="176" t="str">
        <f t="shared" si="25"/>
        <v/>
      </c>
      <c r="AI218" s="173"/>
      <c r="AJ218" s="172" t="str">
        <f>IF(AI218="","",IF(VLOOKUP(AI218,'G-7 Rivers Data'!$AA$4:$AB$7,2,FALSE)=0,"Spatial Data Missing",VLOOKUP(AI218,'G-7 Rivers Data'!$AA$4:$AB$7,2,FALSE)))</f>
        <v/>
      </c>
      <c r="AK218" s="187"/>
      <c r="AL218" s="172" t="str">
        <f>IF(AK218="","",IF(VLOOKUP(AK218,'G-7 Rivers Data'!$AD$4:$AE$8,2,FALSE)=0,"Spatial Data Missing",VLOOKUP(AK218,'G-7 Rivers Data'!$AD$4:$AE$8,2,FALSE)))</f>
        <v/>
      </c>
      <c r="AM218" s="186"/>
      <c r="AN218" s="176" t="str">
        <f>IF(AM218="","",VLOOKUP(AM218,'G-7 Rivers Data'!$AO$4:$AP$7,2,FALSE))</f>
        <v/>
      </c>
      <c r="AO218" s="265" t="str">
        <f t="shared" si="32"/>
        <v/>
      </c>
      <c r="AP218" s="180"/>
      <c r="AQ218" s="181"/>
      <c r="AX218" s="35" t="str">
        <f>IFERROR(INDEX('G-7 Rivers Data'!$AZ$3:$AZ$7,MATCH(N218,'G-7 Rivers Data'!$AY$3:$AY$7,0)),"")</f>
        <v/>
      </c>
    </row>
    <row r="219" spans="2:50" ht="13.8" x14ac:dyDescent="0.25">
      <c r="B219" s="259" t="str">
        <f>'F-1 Off Site River Baseline'!AN217</f>
        <v/>
      </c>
      <c r="C219" s="175" t="str">
        <f>IF(B219="","",VLOOKUP($B219,'F-1 Off Site River Baseline'!$C$9:$R$257,2,FALSE))</f>
        <v/>
      </c>
      <c r="D219" s="175" t="str">
        <f>IF(C219="","",VLOOKUP($B219,'F-1 Off Site River Baseline'!$C$9:$R$257,3,FALSE))</f>
        <v/>
      </c>
      <c r="E219" s="175" t="str">
        <f>IF(D219="","",VLOOKUP($B219,'F-1 Off Site River Baseline'!$C$9:$R$257,4,FALSE))</f>
        <v/>
      </c>
      <c r="F219" s="175" t="str">
        <f>IF(E219="","",VLOOKUP($B219,'F-1 Off Site River Baseline'!$C$9:$R$257,5,FALSE))</f>
        <v/>
      </c>
      <c r="G219" s="175" t="str">
        <f>IF(F219="","",VLOOKUP($B219,'F-1 Off Site River Baseline'!$C$9:$R$257,6,FALSE))</f>
        <v/>
      </c>
      <c r="H219" s="175" t="str">
        <f>IF(G219="","",VLOOKUP($B219,'F-1 Off Site River Baseline'!$C$9:$R$257,7,FALSE))</f>
        <v/>
      </c>
      <c r="I219" s="175" t="str">
        <f>IF(H219="","",VLOOKUP($B219,'F-1 Off Site River Baseline'!$C$9:$R$257,8,FALSE))</f>
        <v/>
      </c>
      <c r="J219" s="175" t="str">
        <f>IF(I219="","",VLOOKUP($B219,'F-1 Off Site River Baseline'!$C$9:$R$257,9,FALSE))</f>
        <v/>
      </c>
      <c r="K219" s="175" t="str">
        <f>IF(J219="","",VLOOKUP($B219,'F-1 Off Site River Baseline'!$C$9:$R$257,10,FALSE))</f>
        <v/>
      </c>
      <c r="L219" s="175" t="str">
        <f>IF(B219="","",VLOOKUP($B219,'C-1 Site River Baseline'!$C$9:$R$257,15,FALSE))</f>
        <v/>
      </c>
      <c r="M219" s="176" t="str">
        <f>IF(L219="","",VLOOKUP($B219,'F-1 Off Site River Baseline'!$C$9:$R$257,16,FALSE))</f>
        <v/>
      </c>
      <c r="N219" s="639" t="str">
        <f t="shared" si="26"/>
        <v/>
      </c>
      <c r="O219" s="171" t="str">
        <f t="shared" si="27"/>
        <v/>
      </c>
      <c r="P219" s="172" t="str">
        <f>IF(C219="","",IF(AND(LEFT(C219,55)&lt;&gt;LEFT(N219,55),O219="High - High"),"Error - Not like for like",IF(AND(F219=S219,H219&gt;U219),"Error - Can not reduce condition",IF(AND(F219=S219,H219=U219,AJ219='F-1 Off Site River Baseline'!N217,'F-1 Off Site River Baseline'!P217=AL219),"Error - No enhancement",IF(AND(C219&lt;&gt;N219,F219&lt;S219),"Lower Distinctiveness Habitat"&amp;" - "&amp;T219,G219&amp;" - "&amp;T219)))))</f>
        <v/>
      </c>
      <c r="Q219" s="260" t="str">
        <f>IF(N219="","",VLOOKUP(B219,'F-1 Off Site River Baseline'!$C$10:$AA$257,19,FALSE))</f>
        <v/>
      </c>
      <c r="R219" s="171" t="str">
        <f>IF(N219="","",VLOOKUP(N219,'G-7 Rivers Data'!$B$2:$G$8,2,FALSE))</f>
        <v/>
      </c>
      <c r="S219" s="172" t="str">
        <f>IFERROR(VLOOKUP(R219,'G-7 Rivers Data'!$C$4:$D$8,2,FALSE),"")</f>
        <v/>
      </c>
      <c r="T219" s="173"/>
      <c r="U219" s="172" t="str">
        <f>IFERROR(INDEX('G-7 Rivers Data'!$H$4:$L$8,MATCH(N219,'G-7 Rivers Data'!$B$4:$B$8,0),MATCH(T219,'G-7 Rivers Data'!$H$3:$L$3,0)),"")</f>
        <v/>
      </c>
      <c r="V219" s="186"/>
      <c r="W219" s="175" t="str">
        <f>IF(V219="","",IF(VLOOKUP(V219,'G-7 Rivers Data'!$AG$4:$AI$9,2,FALSE)=0,"Spatial Data Missing",VLOOKUP(V219,'G-7 Rivers Data'!$AG$4:$AI$9,2,FALSE)))</f>
        <v/>
      </c>
      <c r="X219" s="176" t="str">
        <f>IF(V219="","",IF(VLOOKUP(V219,'G-7 Rivers Data'!$AG$4:$AI$9,3,FALSE)=0,"Spatial Data Missing",VLOOKUP(V219,'G-7 Rivers Data'!$AG$4:$AI$9,3,FALSE)))</f>
        <v/>
      </c>
      <c r="Y219" s="239" t="str">
        <f>IFERROR(IF(OR(LEFT(P219,5)="Error",LEFT(O219,5)="Error"),"Check Data",IF(F219&lt;S219,'G-7 Rivers Data'!$R$3,INDEX('G-7 Rivers Data'!$U$5:$Y$9,MATCH(G219,'G-7 Rivers Data'!$T$5:$T$9,0),MATCH(T219,'G-7 Rivers Data'!$U$4:$Y$4,0)))),"")</f>
        <v/>
      </c>
      <c r="Z219" s="275"/>
      <c r="AA219" s="275"/>
      <c r="AB219" s="175" t="str">
        <f t="shared" si="28"/>
        <v/>
      </c>
      <c r="AC219" s="262" t="str">
        <f t="shared" si="29"/>
        <v/>
      </c>
      <c r="AD219" s="382" t="str">
        <f>IFERROR(IF(AC219="Check Data","Check Data",VLOOKUP(AC219,'G-4 Temporal multipliers'!$A$4:$C$37,3,FALSE)),"")</f>
        <v/>
      </c>
      <c r="AE219" s="239" t="str">
        <f>IF(N219="","",VLOOKUP(N219,'G-7 Rivers Data'!$B$4:$G$8,5,FALSE))</f>
        <v/>
      </c>
      <c r="AF219" s="175" t="str">
        <f t="shared" si="30"/>
        <v/>
      </c>
      <c r="AG219" s="175" t="str">
        <f t="shared" si="31"/>
        <v/>
      </c>
      <c r="AH219" s="176" t="str">
        <f t="shared" si="25"/>
        <v/>
      </c>
      <c r="AI219" s="173"/>
      <c r="AJ219" s="172" t="str">
        <f>IF(AI219="","",IF(VLOOKUP(AI219,'G-7 Rivers Data'!$AA$4:$AB$7,2,FALSE)=0,"Spatial Data Missing",VLOOKUP(AI219,'G-7 Rivers Data'!$AA$4:$AB$7,2,FALSE)))</f>
        <v/>
      </c>
      <c r="AK219" s="187"/>
      <c r="AL219" s="172" t="str">
        <f>IF(AK219="","",IF(VLOOKUP(AK219,'G-7 Rivers Data'!$AD$4:$AE$8,2,FALSE)=0,"Spatial Data Missing",VLOOKUP(AK219,'G-7 Rivers Data'!$AD$4:$AE$8,2,FALSE)))</f>
        <v/>
      </c>
      <c r="AM219" s="186"/>
      <c r="AN219" s="176" t="str">
        <f>IF(AM219="","",VLOOKUP(AM219,'G-7 Rivers Data'!$AO$4:$AP$7,2,FALSE))</f>
        <v/>
      </c>
      <c r="AO219" s="265" t="str">
        <f t="shared" si="32"/>
        <v/>
      </c>
      <c r="AP219" s="180"/>
      <c r="AQ219" s="181"/>
      <c r="AX219" s="35" t="str">
        <f>IFERROR(INDEX('G-7 Rivers Data'!$AZ$3:$AZ$7,MATCH(N219,'G-7 Rivers Data'!$AY$3:$AY$7,0)),"")</f>
        <v/>
      </c>
    </row>
    <row r="220" spans="2:50" ht="13.8" x14ac:dyDescent="0.25">
      <c r="B220" s="259" t="str">
        <f>'F-1 Off Site River Baseline'!AN218</f>
        <v/>
      </c>
      <c r="C220" s="175" t="str">
        <f>IF(B220="","",VLOOKUP($B220,'F-1 Off Site River Baseline'!$C$9:$R$257,2,FALSE))</f>
        <v/>
      </c>
      <c r="D220" s="175" t="str">
        <f>IF(C220="","",VLOOKUP($B220,'F-1 Off Site River Baseline'!$C$9:$R$257,3,FALSE))</f>
        <v/>
      </c>
      <c r="E220" s="175" t="str">
        <f>IF(D220="","",VLOOKUP($B220,'F-1 Off Site River Baseline'!$C$9:$R$257,4,FALSE))</f>
        <v/>
      </c>
      <c r="F220" s="175" t="str">
        <f>IF(E220="","",VLOOKUP($B220,'F-1 Off Site River Baseline'!$C$9:$R$257,5,FALSE))</f>
        <v/>
      </c>
      <c r="G220" s="175" t="str">
        <f>IF(F220="","",VLOOKUP($B220,'F-1 Off Site River Baseline'!$C$9:$R$257,6,FALSE))</f>
        <v/>
      </c>
      <c r="H220" s="175" t="str">
        <f>IF(G220="","",VLOOKUP($B220,'F-1 Off Site River Baseline'!$C$9:$R$257,7,FALSE))</f>
        <v/>
      </c>
      <c r="I220" s="175" t="str">
        <f>IF(H220="","",VLOOKUP($B220,'F-1 Off Site River Baseline'!$C$9:$R$257,8,FALSE))</f>
        <v/>
      </c>
      <c r="J220" s="175" t="str">
        <f>IF(I220="","",VLOOKUP($B220,'F-1 Off Site River Baseline'!$C$9:$R$257,9,FALSE))</f>
        <v/>
      </c>
      <c r="K220" s="175" t="str">
        <f>IF(J220="","",VLOOKUP($B220,'F-1 Off Site River Baseline'!$C$9:$R$257,10,FALSE))</f>
        <v/>
      </c>
      <c r="L220" s="175" t="str">
        <f>IF(B220="","",VLOOKUP($B220,'C-1 Site River Baseline'!$C$9:$R$257,15,FALSE))</f>
        <v/>
      </c>
      <c r="M220" s="176" t="str">
        <f>IF(L220="","",VLOOKUP($B220,'F-1 Off Site River Baseline'!$C$9:$R$257,16,FALSE))</f>
        <v/>
      </c>
      <c r="N220" s="639" t="str">
        <f t="shared" si="26"/>
        <v/>
      </c>
      <c r="O220" s="171" t="str">
        <f t="shared" si="27"/>
        <v/>
      </c>
      <c r="P220" s="172" t="str">
        <f>IF(C220="","",IF(AND(LEFT(C220,55)&lt;&gt;LEFT(N220,55),O220="High - High"),"Error - Not like for like",IF(AND(F220=S220,H220&gt;U220),"Error - Can not reduce condition",IF(AND(F220=S220,H220=U220,AJ220='F-1 Off Site River Baseline'!N218,'F-1 Off Site River Baseline'!P218=AL220),"Error - No enhancement",IF(AND(C220&lt;&gt;N220,F220&lt;S220),"Lower Distinctiveness Habitat"&amp;" - "&amp;T220,G220&amp;" - "&amp;T220)))))</f>
        <v/>
      </c>
      <c r="Q220" s="260" t="str">
        <f>IF(N220="","",VLOOKUP(B220,'F-1 Off Site River Baseline'!$C$10:$AA$257,19,FALSE))</f>
        <v/>
      </c>
      <c r="R220" s="171" t="str">
        <f>IF(N220="","",VLOOKUP(N220,'G-7 Rivers Data'!$B$2:$G$8,2,FALSE))</f>
        <v/>
      </c>
      <c r="S220" s="172" t="str">
        <f>IFERROR(VLOOKUP(R220,'G-7 Rivers Data'!$C$4:$D$8,2,FALSE),"")</f>
        <v/>
      </c>
      <c r="T220" s="173"/>
      <c r="U220" s="172" t="str">
        <f>IFERROR(INDEX('G-7 Rivers Data'!$H$4:$L$8,MATCH(N220,'G-7 Rivers Data'!$B$4:$B$8,0),MATCH(T220,'G-7 Rivers Data'!$H$3:$L$3,0)),"")</f>
        <v/>
      </c>
      <c r="V220" s="186"/>
      <c r="W220" s="175" t="str">
        <f>IF(V220="","",IF(VLOOKUP(V220,'G-7 Rivers Data'!$AG$4:$AI$9,2,FALSE)=0,"Spatial Data Missing",VLOOKUP(V220,'G-7 Rivers Data'!$AG$4:$AI$9,2,FALSE)))</f>
        <v/>
      </c>
      <c r="X220" s="176" t="str">
        <f>IF(V220="","",IF(VLOOKUP(V220,'G-7 Rivers Data'!$AG$4:$AI$9,3,FALSE)=0,"Spatial Data Missing",VLOOKUP(V220,'G-7 Rivers Data'!$AG$4:$AI$9,3,FALSE)))</f>
        <v/>
      </c>
      <c r="Y220" s="239" t="str">
        <f>IFERROR(IF(OR(LEFT(P220,5)="Error",LEFT(O220,5)="Error"),"Check Data",IF(F220&lt;S220,'G-7 Rivers Data'!$R$3,INDEX('G-7 Rivers Data'!$U$5:$Y$9,MATCH(G220,'G-7 Rivers Data'!$T$5:$T$9,0),MATCH(T220,'G-7 Rivers Data'!$U$4:$Y$4,0)))),"")</f>
        <v/>
      </c>
      <c r="Z220" s="275"/>
      <c r="AA220" s="275"/>
      <c r="AB220" s="175" t="str">
        <f t="shared" si="28"/>
        <v/>
      </c>
      <c r="AC220" s="262" t="str">
        <f t="shared" si="29"/>
        <v/>
      </c>
      <c r="AD220" s="382" t="str">
        <f>IFERROR(IF(AC220="Check Data","Check Data",VLOOKUP(AC220,'G-4 Temporal multipliers'!$A$4:$C$37,3,FALSE)),"")</f>
        <v/>
      </c>
      <c r="AE220" s="239" t="str">
        <f>IF(N220="","",VLOOKUP(N220,'G-7 Rivers Data'!$B$4:$G$8,5,FALSE))</f>
        <v/>
      </c>
      <c r="AF220" s="175" t="str">
        <f t="shared" si="30"/>
        <v/>
      </c>
      <c r="AG220" s="175" t="str">
        <f t="shared" si="31"/>
        <v/>
      </c>
      <c r="AH220" s="176" t="str">
        <f t="shared" si="25"/>
        <v/>
      </c>
      <c r="AI220" s="173"/>
      <c r="AJ220" s="172" t="str">
        <f>IF(AI220="","",IF(VLOOKUP(AI220,'G-7 Rivers Data'!$AA$4:$AB$7,2,FALSE)=0,"Spatial Data Missing",VLOOKUP(AI220,'G-7 Rivers Data'!$AA$4:$AB$7,2,FALSE)))</f>
        <v/>
      </c>
      <c r="AK220" s="187"/>
      <c r="AL220" s="172" t="str">
        <f>IF(AK220="","",IF(VLOOKUP(AK220,'G-7 Rivers Data'!$AD$4:$AE$8,2,FALSE)=0,"Spatial Data Missing",VLOOKUP(AK220,'G-7 Rivers Data'!$AD$4:$AE$8,2,FALSE)))</f>
        <v/>
      </c>
      <c r="AM220" s="186"/>
      <c r="AN220" s="176" t="str">
        <f>IF(AM220="","",VLOOKUP(AM220,'G-7 Rivers Data'!$AO$4:$AP$7,2,FALSE))</f>
        <v/>
      </c>
      <c r="AO220" s="265" t="str">
        <f t="shared" si="32"/>
        <v/>
      </c>
      <c r="AP220" s="180"/>
      <c r="AQ220" s="181"/>
      <c r="AX220" s="35" t="str">
        <f>IFERROR(INDEX('G-7 Rivers Data'!$AZ$3:$AZ$7,MATCH(N220,'G-7 Rivers Data'!$AY$3:$AY$7,0)),"")</f>
        <v/>
      </c>
    </row>
    <row r="221" spans="2:50" ht="13.8" x14ac:dyDescent="0.25">
      <c r="B221" s="259" t="str">
        <f>'F-1 Off Site River Baseline'!AN219</f>
        <v/>
      </c>
      <c r="C221" s="175" t="str">
        <f>IF(B221="","",VLOOKUP($B221,'F-1 Off Site River Baseline'!$C$9:$R$257,2,FALSE))</f>
        <v/>
      </c>
      <c r="D221" s="175" t="str">
        <f>IF(C221="","",VLOOKUP($B221,'F-1 Off Site River Baseline'!$C$9:$R$257,3,FALSE))</f>
        <v/>
      </c>
      <c r="E221" s="175" t="str">
        <f>IF(D221="","",VLOOKUP($B221,'F-1 Off Site River Baseline'!$C$9:$R$257,4,FALSE))</f>
        <v/>
      </c>
      <c r="F221" s="175" t="str">
        <f>IF(E221="","",VLOOKUP($B221,'F-1 Off Site River Baseline'!$C$9:$R$257,5,FALSE))</f>
        <v/>
      </c>
      <c r="G221" s="175" t="str">
        <f>IF(F221="","",VLOOKUP($B221,'F-1 Off Site River Baseline'!$C$9:$R$257,6,FALSE))</f>
        <v/>
      </c>
      <c r="H221" s="175" t="str">
        <f>IF(G221="","",VLOOKUP($B221,'F-1 Off Site River Baseline'!$C$9:$R$257,7,FALSE))</f>
        <v/>
      </c>
      <c r="I221" s="175" t="str">
        <f>IF(H221="","",VLOOKUP($B221,'F-1 Off Site River Baseline'!$C$9:$R$257,8,FALSE))</f>
        <v/>
      </c>
      <c r="J221" s="175" t="str">
        <f>IF(I221="","",VLOOKUP($B221,'F-1 Off Site River Baseline'!$C$9:$R$257,9,FALSE))</f>
        <v/>
      </c>
      <c r="K221" s="175" t="str">
        <f>IF(J221="","",VLOOKUP($B221,'F-1 Off Site River Baseline'!$C$9:$R$257,10,FALSE))</f>
        <v/>
      </c>
      <c r="L221" s="175" t="str">
        <f>IF(B221="","",VLOOKUP($B221,'C-1 Site River Baseline'!$C$9:$R$257,15,FALSE))</f>
        <v/>
      </c>
      <c r="M221" s="176" t="str">
        <f>IF(L221="","",VLOOKUP($B221,'F-1 Off Site River Baseline'!$C$9:$R$257,16,FALSE))</f>
        <v/>
      </c>
      <c r="N221" s="639" t="str">
        <f t="shared" si="26"/>
        <v/>
      </c>
      <c r="O221" s="171" t="str">
        <f t="shared" si="27"/>
        <v/>
      </c>
      <c r="P221" s="172" t="str">
        <f>IF(C221="","",IF(AND(LEFT(C221,55)&lt;&gt;LEFT(N221,55),O221="High - High"),"Error - Not like for like",IF(AND(F221=S221,H221&gt;U221),"Error - Can not reduce condition",IF(AND(F221=S221,H221=U221,AJ221='F-1 Off Site River Baseline'!N219,'F-1 Off Site River Baseline'!P219=AL221),"Error - No enhancement",IF(AND(C221&lt;&gt;N221,F221&lt;S221),"Lower Distinctiveness Habitat"&amp;" - "&amp;T221,G221&amp;" - "&amp;T221)))))</f>
        <v/>
      </c>
      <c r="Q221" s="260" t="str">
        <f>IF(N221="","",VLOOKUP(B221,'F-1 Off Site River Baseline'!$C$10:$AA$257,19,FALSE))</f>
        <v/>
      </c>
      <c r="R221" s="171" t="str">
        <f>IF(N221="","",VLOOKUP(N221,'G-7 Rivers Data'!$B$2:$G$8,2,FALSE))</f>
        <v/>
      </c>
      <c r="S221" s="172" t="str">
        <f>IFERROR(VLOOKUP(R221,'G-7 Rivers Data'!$C$4:$D$8,2,FALSE),"")</f>
        <v/>
      </c>
      <c r="T221" s="173"/>
      <c r="U221" s="172" t="str">
        <f>IFERROR(INDEX('G-7 Rivers Data'!$H$4:$L$8,MATCH(N221,'G-7 Rivers Data'!$B$4:$B$8,0),MATCH(T221,'G-7 Rivers Data'!$H$3:$L$3,0)),"")</f>
        <v/>
      </c>
      <c r="V221" s="186"/>
      <c r="W221" s="175" t="str">
        <f>IF(V221="","",IF(VLOOKUP(V221,'G-7 Rivers Data'!$AG$4:$AI$9,2,FALSE)=0,"Spatial Data Missing",VLOOKUP(V221,'G-7 Rivers Data'!$AG$4:$AI$9,2,FALSE)))</f>
        <v/>
      </c>
      <c r="X221" s="176" t="str">
        <f>IF(V221="","",IF(VLOOKUP(V221,'G-7 Rivers Data'!$AG$4:$AI$9,3,FALSE)=0,"Spatial Data Missing",VLOOKUP(V221,'G-7 Rivers Data'!$AG$4:$AI$9,3,FALSE)))</f>
        <v/>
      </c>
      <c r="Y221" s="239" t="str">
        <f>IFERROR(IF(OR(LEFT(P221,5)="Error",LEFT(O221,5)="Error"),"Check Data",IF(F221&lt;S221,'G-7 Rivers Data'!$R$3,INDEX('G-7 Rivers Data'!$U$5:$Y$9,MATCH(G221,'G-7 Rivers Data'!$T$5:$T$9,0),MATCH(T221,'G-7 Rivers Data'!$U$4:$Y$4,0)))),"")</f>
        <v/>
      </c>
      <c r="Z221" s="275"/>
      <c r="AA221" s="275"/>
      <c r="AB221" s="175" t="str">
        <f t="shared" si="28"/>
        <v/>
      </c>
      <c r="AC221" s="262" t="str">
        <f t="shared" si="29"/>
        <v/>
      </c>
      <c r="AD221" s="382" t="str">
        <f>IFERROR(IF(AC221="Check Data","Check Data",VLOOKUP(AC221,'G-4 Temporal multipliers'!$A$4:$C$37,3,FALSE)),"")</f>
        <v/>
      </c>
      <c r="AE221" s="239" t="str">
        <f>IF(N221="","",VLOOKUP(N221,'G-7 Rivers Data'!$B$4:$G$8,5,FALSE))</f>
        <v/>
      </c>
      <c r="AF221" s="175" t="str">
        <f t="shared" si="30"/>
        <v/>
      </c>
      <c r="AG221" s="175" t="str">
        <f t="shared" si="31"/>
        <v/>
      </c>
      <c r="AH221" s="176" t="str">
        <f t="shared" si="25"/>
        <v/>
      </c>
      <c r="AI221" s="173"/>
      <c r="AJ221" s="172" t="str">
        <f>IF(AI221="","",IF(VLOOKUP(AI221,'G-7 Rivers Data'!$AA$4:$AB$7,2,FALSE)=0,"Spatial Data Missing",VLOOKUP(AI221,'G-7 Rivers Data'!$AA$4:$AB$7,2,FALSE)))</f>
        <v/>
      </c>
      <c r="AK221" s="187"/>
      <c r="AL221" s="172" t="str">
        <f>IF(AK221="","",IF(VLOOKUP(AK221,'G-7 Rivers Data'!$AD$4:$AE$8,2,FALSE)=0,"Spatial Data Missing",VLOOKUP(AK221,'G-7 Rivers Data'!$AD$4:$AE$8,2,FALSE)))</f>
        <v/>
      </c>
      <c r="AM221" s="186"/>
      <c r="AN221" s="176" t="str">
        <f>IF(AM221="","",VLOOKUP(AM221,'G-7 Rivers Data'!$AO$4:$AP$7,2,FALSE))</f>
        <v/>
      </c>
      <c r="AO221" s="265" t="str">
        <f t="shared" si="32"/>
        <v/>
      </c>
      <c r="AP221" s="180"/>
      <c r="AQ221" s="181"/>
      <c r="AX221" s="35" t="str">
        <f>IFERROR(INDEX('G-7 Rivers Data'!$AZ$3:$AZ$7,MATCH(N221,'G-7 Rivers Data'!$AY$3:$AY$7,0)),"")</f>
        <v/>
      </c>
    </row>
    <row r="222" spans="2:50" ht="13.8" x14ac:dyDescent="0.25">
      <c r="B222" s="259" t="str">
        <f>'F-1 Off Site River Baseline'!AN220</f>
        <v/>
      </c>
      <c r="C222" s="175" t="str">
        <f>IF(B222="","",VLOOKUP($B222,'F-1 Off Site River Baseline'!$C$9:$R$257,2,FALSE))</f>
        <v/>
      </c>
      <c r="D222" s="175" t="str">
        <f>IF(C222="","",VLOOKUP($B222,'F-1 Off Site River Baseline'!$C$9:$R$257,3,FALSE))</f>
        <v/>
      </c>
      <c r="E222" s="175" t="str">
        <f>IF(D222="","",VLOOKUP($B222,'F-1 Off Site River Baseline'!$C$9:$R$257,4,FALSE))</f>
        <v/>
      </c>
      <c r="F222" s="175" t="str">
        <f>IF(E222="","",VLOOKUP($B222,'F-1 Off Site River Baseline'!$C$9:$R$257,5,FALSE))</f>
        <v/>
      </c>
      <c r="G222" s="175" t="str">
        <f>IF(F222="","",VLOOKUP($B222,'F-1 Off Site River Baseline'!$C$9:$R$257,6,FALSE))</f>
        <v/>
      </c>
      <c r="H222" s="175" t="str">
        <f>IF(G222="","",VLOOKUP($B222,'F-1 Off Site River Baseline'!$C$9:$R$257,7,FALSE))</f>
        <v/>
      </c>
      <c r="I222" s="175" t="str">
        <f>IF(H222="","",VLOOKUP($B222,'F-1 Off Site River Baseline'!$C$9:$R$257,8,FALSE))</f>
        <v/>
      </c>
      <c r="J222" s="175" t="str">
        <f>IF(I222="","",VLOOKUP($B222,'F-1 Off Site River Baseline'!$C$9:$R$257,9,FALSE))</f>
        <v/>
      </c>
      <c r="K222" s="175" t="str">
        <f>IF(J222="","",VLOOKUP($B222,'F-1 Off Site River Baseline'!$C$9:$R$257,10,FALSE))</f>
        <v/>
      </c>
      <c r="L222" s="175" t="str">
        <f>IF(B222="","",VLOOKUP($B222,'C-1 Site River Baseline'!$C$9:$R$257,15,FALSE))</f>
        <v/>
      </c>
      <c r="M222" s="176" t="str">
        <f>IF(L222="","",VLOOKUP($B222,'F-1 Off Site River Baseline'!$C$9:$R$257,16,FALSE))</f>
        <v/>
      </c>
      <c r="N222" s="639" t="str">
        <f t="shared" si="26"/>
        <v/>
      </c>
      <c r="O222" s="171" t="str">
        <f t="shared" si="27"/>
        <v/>
      </c>
      <c r="P222" s="172" t="str">
        <f>IF(C222="","",IF(AND(LEFT(C222,55)&lt;&gt;LEFT(N222,55),O222="High - High"),"Error - Not like for like",IF(AND(F222=S222,H222&gt;U222),"Error - Can not reduce condition",IF(AND(F222=S222,H222=U222,AJ222='F-1 Off Site River Baseline'!N220,'F-1 Off Site River Baseline'!P220=AL222),"Error - No enhancement",IF(AND(C222&lt;&gt;N222,F222&lt;S222),"Lower Distinctiveness Habitat"&amp;" - "&amp;T222,G222&amp;" - "&amp;T222)))))</f>
        <v/>
      </c>
      <c r="Q222" s="260" t="str">
        <f>IF(N222="","",VLOOKUP(B222,'F-1 Off Site River Baseline'!$C$10:$AA$257,19,FALSE))</f>
        <v/>
      </c>
      <c r="R222" s="171" t="str">
        <f>IF(N222="","",VLOOKUP(N222,'G-7 Rivers Data'!$B$2:$G$8,2,FALSE))</f>
        <v/>
      </c>
      <c r="S222" s="172" t="str">
        <f>IFERROR(VLOOKUP(R222,'G-7 Rivers Data'!$C$4:$D$8,2,FALSE),"")</f>
        <v/>
      </c>
      <c r="T222" s="173"/>
      <c r="U222" s="172" t="str">
        <f>IFERROR(INDEX('G-7 Rivers Data'!$H$4:$L$8,MATCH(N222,'G-7 Rivers Data'!$B$4:$B$8,0),MATCH(T222,'G-7 Rivers Data'!$H$3:$L$3,0)),"")</f>
        <v/>
      </c>
      <c r="V222" s="186"/>
      <c r="W222" s="175" t="str">
        <f>IF(V222="","",IF(VLOOKUP(V222,'G-7 Rivers Data'!$AG$4:$AI$9,2,FALSE)=0,"Spatial Data Missing",VLOOKUP(V222,'G-7 Rivers Data'!$AG$4:$AI$9,2,FALSE)))</f>
        <v/>
      </c>
      <c r="X222" s="176" t="str">
        <f>IF(V222="","",IF(VLOOKUP(V222,'G-7 Rivers Data'!$AG$4:$AI$9,3,FALSE)=0,"Spatial Data Missing",VLOOKUP(V222,'G-7 Rivers Data'!$AG$4:$AI$9,3,FALSE)))</f>
        <v/>
      </c>
      <c r="Y222" s="239" t="str">
        <f>IFERROR(IF(OR(LEFT(P222,5)="Error",LEFT(O222,5)="Error"),"Check Data",IF(F222&lt;S222,'G-7 Rivers Data'!$R$3,INDEX('G-7 Rivers Data'!$U$5:$Y$9,MATCH(G222,'G-7 Rivers Data'!$T$5:$T$9,0),MATCH(T222,'G-7 Rivers Data'!$U$4:$Y$4,0)))),"")</f>
        <v/>
      </c>
      <c r="Z222" s="275"/>
      <c r="AA222" s="275"/>
      <c r="AB222" s="175" t="str">
        <f t="shared" si="28"/>
        <v/>
      </c>
      <c r="AC222" s="262" t="str">
        <f t="shared" si="29"/>
        <v/>
      </c>
      <c r="AD222" s="382" t="str">
        <f>IFERROR(IF(AC222="Check Data","Check Data",VLOOKUP(AC222,'G-4 Temporal multipliers'!$A$4:$C$37,3,FALSE)),"")</f>
        <v/>
      </c>
      <c r="AE222" s="239" t="str">
        <f>IF(N222="","",VLOOKUP(N222,'G-7 Rivers Data'!$B$4:$G$8,5,FALSE))</f>
        <v/>
      </c>
      <c r="AF222" s="175" t="str">
        <f t="shared" si="30"/>
        <v/>
      </c>
      <c r="AG222" s="175" t="str">
        <f t="shared" si="31"/>
        <v/>
      </c>
      <c r="AH222" s="176" t="str">
        <f t="shared" si="25"/>
        <v/>
      </c>
      <c r="AI222" s="173"/>
      <c r="AJ222" s="172" t="str">
        <f>IF(AI222="","",IF(VLOOKUP(AI222,'G-7 Rivers Data'!$AA$4:$AB$7,2,FALSE)=0,"Spatial Data Missing",VLOOKUP(AI222,'G-7 Rivers Data'!$AA$4:$AB$7,2,FALSE)))</f>
        <v/>
      </c>
      <c r="AK222" s="187"/>
      <c r="AL222" s="172" t="str">
        <f>IF(AK222="","",IF(VLOOKUP(AK222,'G-7 Rivers Data'!$AD$4:$AE$8,2,FALSE)=0,"Spatial Data Missing",VLOOKUP(AK222,'G-7 Rivers Data'!$AD$4:$AE$8,2,FALSE)))</f>
        <v/>
      </c>
      <c r="AM222" s="186"/>
      <c r="AN222" s="176" t="str">
        <f>IF(AM222="","",VLOOKUP(AM222,'G-7 Rivers Data'!$AO$4:$AP$7,2,FALSE))</f>
        <v/>
      </c>
      <c r="AO222" s="265" t="str">
        <f t="shared" si="32"/>
        <v/>
      </c>
      <c r="AP222" s="180"/>
      <c r="AQ222" s="181"/>
      <c r="AX222" s="35" t="str">
        <f>IFERROR(INDEX('G-7 Rivers Data'!$AZ$3:$AZ$7,MATCH(N222,'G-7 Rivers Data'!$AY$3:$AY$7,0)),"")</f>
        <v/>
      </c>
    </row>
    <row r="223" spans="2:50" ht="13.8" x14ac:dyDescent="0.25">
      <c r="B223" s="259" t="str">
        <f>'F-1 Off Site River Baseline'!AN221</f>
        <v/>
      </c>
      <c r="C223" s="175" t="str">
        <f>IF(B223="","",VLOOKUP($B223,'F-1 Off Site River Baseline'!$C$9:$R$257,2,FALSE))</f>
        <v/>
      </c>
      <c r="D223" s="175" t="str">
        <f>IF(C223="","",VLOOKUP($B223,'F-1 Off Site River Baseline'!$C$9:$R$257,3,FALSE))</f>
        <v/>
      </c>
      <c r="E223" s="175" t="str">
        <f>IF(D223="","",VLOOKUP($B223,'F-1 Off Site River Baseline'!$C$9:$R$257,4,FALSE))</f>
        <v/>
      </c>
      <c r="F223" s="175" t="str">
        <f>IF(E223="","",VLOOKUP($B223,'F-1 Off Site River Baseline'!$C$9:$R$257,5,FALSE))</f>
        <v/>
      </c>
      <c r="G223" s="175" t="str">
        <f>IF(F223="","",VLOOKUP($B223,'F-1 Off Site River Baseline'!$C$9:$R$257,6,FALSE))</f>
        <v/>
      </c>
      <c r="H223" s="175" t="str">
        <f>IF(G223="","",VLOOKUP($B223,'F-1 Off Site River Baseline'!$C$9:$R$257,7,FALSE))</f>
        <v/>
      </c>
      <c r="I223" s="175" t="str">
        <f>IF(H223="","",VLOOKUP($B223,'F-1 Off Site River Baseline'!$C$9:$R$257,8,FALSE))</f>
        <v/>
      </c>
      <c r="J223" s="175" t="str">
        <f>IF(I223="","",VLOOKUP($B223,'F-1 Off Site River Baseline'!$C$9:$R$257,9,FALSE))</f>
        <v/>
      </c>
      <c r="K223" s="175" t="str">
        <f>IF(J223="","",VLOOKUP($B223,'F-1 Off Site River Baseline'!$C$9:$R$257,10,FALSE))</f>
        <v/>
      </c>
      <c r="L223" s="175" t="str">
        <f>IF(B223="","",VLOOKUP($B223,'C-1 Site River Baseline'!$C$9:$R$257,15,FALSE))</f>
        <v/>
      </c>
      <c r="M223" s="176" t="str">
        <f>IF(L223="","",VLOOKUP($B223,'F-1 Off Site River Baseline'!$C$9:$R$257,16,FALSE))</f>
        <v/>
      </c>
      <c r="N223" s="639" t="str">
        <f t="shared" si="26"/>
        <v/>
      </c>
      <c r="O223" s="171" t="str">
        <f t="shared" si="27"/>
        <v/>
      </c>
      <c r="P223" s="172" t="str">
        <f>IF(C223="","",IF(AND(LEFT(C223,55)&lt;&gt;LEFT(N223,55),O223="High - High"),"Error - Not like for like",IF(AND(F223=S223,H223&gt;U223),"Error - Can not reduce condition",IF(AND(F223=S223,H223=U223,AJ223='F-1 Off Site River Baseline'!N221,'F-1 Off Site River Baseline'!P221=AL223),"Error - No enhancement",IF(AND(C223&lt;&gt;N223,F223&lt;S223),"Lower Distinctiveness Habitat"&amp;" - "&amp;T223,G223&amp;" - "&amp;T223)))))</f>
        <v/>
      </c>
      <c r="Q223" s="260" t="str">
        <f>IF(N223="","",VLOOKUP(B223,'F-1 Off Site River Baseline'!$C$10:$AA$257,19,FALSE))</f>
        <v/>
      </c>
      <c r="R223" s="171" t="str">
        <f>IF(N223="","",VLOOKUP(N223,'G-7 Rivers Data'!$B$2:$G$8,2,FALSE))</f>
        <v/>
      </c>
      <c r="S223" s="172" t="str">
        <f>IFERROR(VLOOKUP(R223,'G-7 Rivers Data'!$C$4:$D$8,2,FALSE),"")</f>
        <v/>
      </c>
      <c r="T223" s="173"/>
      <c r="U223" s="172" t="str">
        <f>IFERROR(INDEX('G-7 Rivers Data'!$H$4:$L$8,MATCH(N223,'G-7 Rivers Data'!$B$4:$B$8,0),MATCH(T223,'G-7 Rivers Data'!$H$3:$L$3,0)),"")</f>
        <v/>
      </c>
      <c r="V223" s="186"/>
      <c r="W223" s="175" t="str">
        <f>IF(V223="","",IF(VLOOKUP(V223,'G-7 Rivers Data'!$AG$4:$AI$9,2,FALSE)=0,"Spatial Data Missing",VLOOKUP(V223,'G-7 Rivers Data'!$AG$4:$AI$9,2,FALSE)))</f>
        <v/>
      </c>
      <c r="X223" s="176" t="str">
        <f>IF(V223="","",IF(VLOOKUP(V223,'G-7 Rivers Data'!$AG$4:$AI$9,3,FALSE)=0,"Spatial Data Missing",VLOOKUP(V223,'G-7 Rivers Data'!$AG$4:$AI$9,3,FALSE)))</f>
        <v/>
      </c>
      <c r="Y223" s="239" t="str">
        <f>IFERROR(IF(OR(LEFT(P223,5)="Error",LEFT(O223,5)="Error"),"Check Data",IF(F223&lt;S223,'G-7 Rivers Data'!$R$3,INDEX('G-7 Rivers Data'!$U$5:$Y$9,MATCH(G223,'G-7 Rivers Data'!$T$5:$T$9,0),MATCH(T223,'G-7 Rivers Data'!$U$4:$Y$4,0)))),"")</f>
        <v/>
      </c>
      <c r="Z223" s="275"/>
      <c r="AA223" s="275"/>
      <c r="AB223" s="175" t="str">
        <f t="shared" si="28"/>
        <v/>
      </c>
      <c r="AC223" s="262" t="str">
        <f t="shared" si="29"/>
        <v/>
      </c>
      <c r="AD223" s="382" t="str">
        <f>IFERROR(IF(AC223="Check Data","Check Data",VLOOKUP(AC223,'G-4 Temporal multipliers'!$A$4:$C$37,3,FALSE)),"")</f>
        <v/>
      </c>
      <c r="AE223" s="239" t="str">
        <f>IF(N223="","",VLOOKUP(N223,'G-7 Rivers Data'!$B$4:$G$8,5,FALSE))</f>
        <v/>
      </c>
      <c r="AF223" s="175" t="str">
        <f t="shared" si="30"/>
        <v/>
      </c>
      <c r="AG223" s="175" t="str">
        <f t="shared" si="31"/>
        <v/>
      </c>
      <c r="AH223" s="176" t="str">
        <f t="shared" si="25"/>
        <v/>
      </c>
      <c r="AI223" s="173"/>
      <c r="AJ223" s="172" t="str">
        <f>IF(AI223="","",IF(VLOOKUP(AI223,'G-7 Rivers Data'!$AA$4:$AB$7,2,FALSE)=0,"Spatial Data Missing",VLOOKUP(AI223,'G-7 Rivers Data'!$AA$4:$AB$7,2,FALSE)))</f>
        <v/>
      </c>
      <c r="AK223" s="187"/>
      <c r="AL223" s="172" t="str">
        <f>IF(AK223="","",IF(VLOOKUP(AK223,'G-7 Rivers Data'!$AD$4:$AE$8,2,FALSE)=0,"Spatial Data Missing",VLOOKUP(AK223,'G-7 Rivers Data'!$AD$4:$AE$8,2,FALSE)))</f>
        <v/>
      </c>
      <c r="AM223" s="186"/>
      <c r="AN223" s="176" t="str">
        <f>IF(AM223="","",VLOOKUP(AM223,'G-7 Rivers Data'!$AO$4:$AP$7,2,FALSE))</f>
        <v/>
      </c>
      <c r="AO223" s="265" t="str">
        <f t="shared" si="32"/>
        <v/>
      </c>
      <c r="AP223" s="180"/>
      <c r="AQ223" s="181"/>
      <c r="AX223" s="35" t="str">
        <f>IFERROR(INDEX('G-7 Rivers Data'!$AZ$3:$AZ$7,MATCH(N223,'G-7 Rivers Data'!$AY$3:$AY$7,0)),"")</f>
        <v/>
      </c>
    </row>
    <row r="224" spans="2:50" ht="13.8" x14ac:dyDescent="0.25">
      <c r="B224" s="259" t="str">
        <f>'F-1 Off Site River Baseline'!AN222</f>
        <v/>
      </c>
      <c r="C224" s="175" t="str">
        <f>IF(B224="","",VLOOKUP($B224,'F-1 Off Site River Baseline'!$C$9:$R$257,2,FALSE))</f>
        <v/>
      </c>
      <c r="D224" s="175" t="str">
        <f>IF(C224="","",VLOOKUP($B224,'F-1 Off Site River Baseline'!$C$9:$R$257,3,FALSE))</f>
        <v/>
      </c>
      <c r="E224" s="175" t="str">
        <f>IF(D224="","",VLOOKUP($B224,'F-1 Off Site River Baseline'!$C$9:$R$257,4,FALSE))</f>
        <v/>
      </c>
      <c r="F224" s="175" t="str">
        <f>IF(E224="","",VLOOKUP($B224,'F-1 Off Site River Baseline'!$C$9:$R$257,5,FALSE))</f>
        <v/>
      </c>
      <c r="G224" s="175" t="str">
        <f>IF(F224="","",VLOOKUP($B224,'F-1 Off Site River Baseline'!$C$9:$R$257,6,FALSE))</f>
        <v/>
      </c>
      <c r="H224" s="175" t="str">
        <f>IF(G224="","",VLOOKUP($B224,'F-1 Off Site River Baseline'!$C$9:$R$257,7,FALSE))</f>
        <v/>
      </c>
      <c r="I224" s="175" t="str">
        <f>IF(H224="","",VLOOKUP($B224,'F-1 Off Site River Baseline'!$C$9:$R$257,8,FALSE))</f>
        <v/>
      </c>
      <c r="J224" s="175" t="str">
        <f>IF(I224="","",VLOOKUP($B224,'F-1 Off Site River Baseline'!$C$9:$R$257,9,FALSE))</f>
        <v/>
      </c>
      <c r="K224" s="175" t="str">
        <f>IF(J224="","",VLOOKUP($B224,'F-1 Off Site River Baseline'!$C$9:$R$257,10,FALSE))</f>
        <v/>
      </c>
      <c r="L224" s="175" t="str">
        <f>IF(B224="","",VLOOKUP($B224,'C-1 Site River Baseline'!$C$9:$R$257,15,FALSE))</f>
        <v/>
      </c>
      <c r="M224" s="176" t="str">
        <f>IF(L224="","",VLOOKUP($B224,'F-1 Off Site River Baseline'!$C$9:$R$257,16,FALSE))</f>
        <v/>
      </c>
      <c r="N224" s="639" t="str">
        <f t="shared" si="26"/>
        <v/>
      </c>
      <c r="O224" s="171" t="str">
        <f t="shared" si="27"/>
        <v/>
      </c>
      <c r="P224" s="172" t="str">
        <f>IF(C224="","",IF(AND(LEFT(C224,55)&lt;&gt;LEFT(N224,55),O224="High - High"),"Error - Not like for like",IF(AND(F224=S224,H224&gt;U224),"Error - Can not reduce condition",IF(AND(F224=S224,H224=U224,AJ224='F-1 Off Site River Baseline'!N222,'F-1 Off Site River Baseline'!P222=AL224),"Error - No enhancement",IF(AND(C224&lt;&gt;N224,F224&lt;S224),"Lower Distinctiveness Habitat"&amp;" - "&amp;T224,G224&amp;" - "&amp;T224)))))</f>
        <v/>
      </c>
      <c r="Q224" s="260" t="str">
        <f>IF(N224="","",VLOOKUP(B224,'F-1 Off Site River Baseline'!$C$10:$AA$257,19,FALSE))</f>
        <v/>
      </c>
      <c r="R224" s="171" t="str">
        <f>IF(N224="","",VLOOKUP(N224,'G-7 Rivers Data'!$B$2:$G$8,2,FALSE))</f>
        <v/>
      </c>
      <c r="S224" s="172" t="str">
        <f>IFERROR(VLOOKUP(R224,'G-7 Rivers Data'!$C$4:$D$8,2,FALSE),"")</f>
        <v/>
      </c>
      <c r="T224" s="173"/>
      <c r="U224" s="172" t="str">
        <f>IFERROR(INDEX('G-7 Rivers Data'!$H$4:$L$8,MATCH(N224,'G-7 Rivers Data'!$B$4:$B$8,0),MATCH(T224,'G-7 Rivers Data'!$H$3:$L$3,0)),"")</f>
        <v/>
      </c>
      <c r="V224" s="186"/>
      <c r="W224" s="175" t="str">
        <f>IF(V224="","",IF(VLOOKUP(V224,'G-7 Rivers Data'!$AG$4:$AI$9,2,FALSE)=0,"Spatial Data Missing",VLOOKUP(V224,'G-7 Rivers Data'!$AG$4:$AI$9,2,FALSE)))</f>
        <v/>
      </c>
      <c r="X224" s="176" t="str">
        <f>IF(V224="","",IF(VLOOKUP(V224,'G-7 Rivers Data'!$AG$4:$AI$9,3,FALSE)=0,"Spatial Data Missing",VLOOKUP(V224,'G-7 Rivers Data'!$AG$4:$AI$9,3,FALSE)))</f>
        <v/>
      </c>
      <c r="Y224" s="239" t="str">
        <f>IFERROR(IF(OR(LEFT(P224,5)="Error",LEFT(O224,5)="Error"),"Check Data",IF(F224&lt;S224,'G-7 Rivers Data'!$R$3,INDEX('G-7 Rivers Data'!$U$5:$Y$9,MATCH(G224,'G-7 Rivers Data'!$T$5:$T$9,0),MATCH(T224,'G-7 Rivers Data'!$U$4:$Y$4,0)))),"")</f>
        <v/>
      </c>
      <c r="Z224" s="275"/>
      <c r="AA224" s="275"/>
      <c r="AB224" s="175" t="str">
        <f t="shared" si="28"/>
        <v/>
      </c>
      <c r="AC224" s="262" t="str">
        <f t="shared" si="29"/>
        <v/>
      </c>
      <c r="AD224" s="382" t="str">
        <f>IFERROR(IF(AC224="Check Data","Check Data",VLOOKUP(AC224,'G-4 Temporal multipliers'!$A$4:$C$37,3,FALSE)),"")</f>
        <v/>
      </c>
      <c r="AE224" s="239" t="str">
        <f>IF(N224="","",VLOOKUP(N224,'G-7 Rivers Data'!$B$4:$G$8,5,FALSE))</f>
        <v/>
      </c>
      <c r="AF224" s="175" t="str">
        <f t="shared" si="30"/>
        <v/>
      </c>
      <c r="AG224" s="175" t="str">
        <f t="shared" si="31"/>
        <v/>
      </c>
      <c r="AH224" s="176" t="str">
        <f t="shared" si="25"/>
        <v/>
      </c>
      <c r="AI224" s="173"/>
      <c r="AJ224" s="172" t="str">
        <f>IF(AI224="","",IF(VLOOKUP(AI224,'G-7 Rivers Data'!$AA$4:$AB$7,2,FALSE)=0,"Spatial Data Missing",VLOOKUP(AI224,'G-7 Rivers Data'!$AA$4:$AB$7,2,FALSE)))</f>
        <v/>
      </c>
      <c r="AK224" s="187"/>
      <c r="AL224" s="172" t="str">
        <f>IF(AK224="","",IF(VLOOKUP(AK224,'G-7 Rivers Data'!$AD$4:$AE$8,2,FALSE)=0,"Spatial Data Missing",VLOOKUP(AK224,'G-7 Rivers Data'!$AD$4:$AE$8,2,FALSE)))</f>
        <v/>
      </c>
      <c r="AM224" s="186"/>
      <c r="AN224" s="176" t="str">
        <f>IF(AM224="","",VLOOKUP(AM224,'G-7 Rivers Data'!$AO$4:$AP$7,2,FALSE))</f>
        <v/>
      </c>
      <c r="AO224" s="265" t="str">
        <f t="shared" si="32"/>
        <v/>
      </c>
      <c r="AP224" s="180"/>
      <c r="AQ224" s="181"/>
      <c r="AX224" s="35" t="str">
        <f>IFERROR(INDEX('G-7 Rivers Data'!$AZ$3:$AZ$7,MATCH(N224,'G-7 Rivers Data'!$AY$3:$AY$7,0)),"")</f>
        <v/>
      </c>
    </row>
    <row r="225" spans="2:50" ht="13.8" x14ac:dyDescent="0.25">
      <c r="B225" s="259" t="str">
        <f>'F-1 Off Site River Baseline'!AN223</f>
        <v/>
      </c>
      <c r="C225" s="175" t="str">
        <f>IF(B225="","",VLOOKUP($B225,'F-1 Off Site River Baseline'!$C$9:$R$257,2,FALSE))</f>
        <v/>
      </c>
      <c r="D225" s="175" t="str">
        <f>IF(C225="","",VLOOKUP($B225,'F-1 Off Site River Baseline'!$C$9:$R$257,3,FALSE))</f>
        <v/>
      </c>
      <c r="E225" s="175" t="str">
        <f>IF(D225="","",VLOOKUP($B225,'F-1 Off Site River Baseline'!$C$9:$R$257,4,FALSE))</f>
        <v/>
      </c>
      <c r="F225" s="175" t="str">
        <f>IF(E225="","",VLOOKUP($B225,'F-1 Off Site River Baseline'!$C$9:$R$257,5,FALSE))</f>
        <v/>
      </c>
      <c r="G225" s="175" t="str">
        <f>IF(F225="","",VLOOKUP($B225,'F-1 Off Site River Baseline'!$C$9:$R$257,6,FALSE))</f>
        <v/>
      </c>
      <c r="H225" s="175" t="str">
        <f>IF(G225="","",VLOOKUP($B225,'F-1 Off Site River Baseline'!$C$9:$R$257,7,FALSE))</f>
        <v/>
      </c>
      <c r="I225" s="175" t="str">
        <f>IF(H225="","",VLOOKUP($B225,'F-1 Off Site River Baseline'!$C$9:$R$257,8,FALSE))</f>
        <v/>
      </c>
      <c r="J225" s="175" t="str">
        <f>IF(I225="","",VLOOKUP($B225,'F-1 Off Site River Baseline'!$C$9:$R$257,9,FALSE))</f>
        <v/>
      </c>
      <c r="K225" s="175" t="str">
        <f>IF(J225="","",VLOOKUP($B225,'F-1 Off Site River Baseline'!$C$9:$R$257,10,FALSE))</f>
        <v/>
      </c>
      <c r="L225" s="175" t="str">
        <f>IF(B225="","",VLOOKUP($B225,'C-1 Site River Baseline'!$C$9:$R$257,15,FALSE))</f>
        <v/>
      </c>
      <c r="M225" s="176" t="str">
        <f>IF(L225="","",VLOOKUP($B225,'F-1 Off Site River Baseline'!$C$9:$R$257,16,FALSE))</f>
        <v/>
      </c>
      <c r="N225" s="639" t="str">
        <f t="shared" si="26"/>
        <v/>
      </c>
      <c r="O225" s="171" t="str">
        <f t="shared" si="27"/>
        <v/>
      </c>
      <c r="P225" s="172" t="str">
        <f>IF(C225="","",IF(AND(LEFT(C225,55)&lt;&gt;LEFT(N225,55),O225="High - High"),"Error - Not like for like",IF(AND(F225=S225,H225&gt;U225),"Error - Can not reduce condition",IF(AND(F225=S225,H225=U225,AJ225='F-1 Off Site River Baseline'!N223,'F-1 Off Site River Baseline'!P223=AL225),"Error - No enhancement",IF(AND(C225&lt;&gt;N225,F225&lt;S225),"Lower Distinctiveness Habitat"&amp;" - "&amp;T225,G225&amp;" - "&amp;T225)))))</f>
        <v/>
      </c>
      <c r="Q225" s="260" t="str">
        <f>IF(N225="","",VLOOKUP(B225,'F-1 Off Site River Baseline'!$C$10:$AA$257,19,FALSE))</f>
        <v/>
      </c>
      <c r="R225" s="171" t="str">
        <f>IF(N225="","",VLOOKUP(N225,'G-7 Rivers Data'!$B$2:$G$8,2,FALSE))</f>
        <v/>
      </c>
      <c r="S225" s="172" t="str">
        <f>IFERROR(VLOOKUP(R225,'G-7 Rivers Data'!$C$4:$D$8,2,FALSE),"")</f>
        <v/>
      </c>
      <c r="T225" s="173"/>
      <c r="U225" s="172" t="str">
        <f>IFERROR(INDEX('G-7 Rivers Data'!$H$4:$L$8,MATCH(N225,'G-7 Rivers Data'!$B$4:$B$8,0),MATCH(T225,'G-7 Rivers Data'!$H$3:$L$3,0)),"")</f>
        <v/>
      </c>
      <c r="V225" s="186"/>
      <c r="W225" s="175" t="str">
        <f>IF(V225="","",IF(VLOOKUP(V225,'G-7 Rivers Data'!$AG$4:$AI$9,2,FALSE)=0,"Spatial Data Missing",VLOOKUP(V225,'G-7 Rivers Data'!$AG$4:$AI$9,2,FALSE)))</f>
        <v/>
      </c>
      <c r="X225" s="176" t="str">
        <f>IF(V225="","",IF(VLOOKUP(V225,'G-7 Rivers Data'!$AG$4:$AI$9,3,FALSE)=0,"Spatial Data Missing",VLOOKUP(V225,'G-7 Rivers Data'!$AG$4:$AI$9,3,FALSE)))</f>
        <v/>
      </c>
      <c r="Y225" s="239" t="str">
        <f>IFERROR(IF(OR(LEFT(P225,5)="Error",LEFT(O225,5)="Error"),"Check Data",IF(F225&lt;S225,'G-7 Rivers Data'!$R$3,INDEX('G-7 Rivers Data'!$U$5:$Y$9,MATCH(G225,'G-7 Rivers Data'!$T$5:$T$9,0),MATCH(T225,'G-7 Rivers Data'!$U$4:$Y$4,0)))),"")</f>
        <v/>
      </c>
      <c r="Z225" s="275"/>
      <c r="AA225" s="275"/>
      <c r="AB225" s="175" t="str">
        <f t="shared" si="28"/>
        <v/>
      </c>
      <c r="AC225" s="262" t="str">
        <f t="shared" si="29"/>
        <v/>
      </c>
      <c r="AD225" s="382" t="str">
        <f>IFERROR(IF(AC225="Check Data","Check Data",VLOOKUP(AC225,'G-4 Temporal multipliers'!$A$4:$C$37,3,FALSE)),"")</f>
        <v/>
      </c>
      <c r="AE225" s="239" t="str">
        <f>IF(N225="","",VLOOKUP(N225,'G-7 Rivers Data'!$B$4:$G$8,5,FALSE))</f>
        <v/>
      </c>
      <c r="AF225" s="175" t="str">
        <f t="shared" si="30"/>
        <v/>
      </c>
      <c r="AG225" s="175" t="str">
        <f t="shared" si="31"/>
        <v/>
      </c>
      <c r="AH225" s="176" t="str">
        <f t="shared" si="25"/>
        <v/>
      </c>
      <c r="AI225" s="173"/>
      <c r="AJ225" s="172" t="str">
        <f>IF(AI225="","",IF(VLOOKUP(AI225,'G-7 Rivers Data'!$AA$4:$AB$7,2,FALSE)=0,"Spatial Data Missing",VLOOKUP(AI225,'G-7 Rivers Data'!$AA$4:$AB$7,2,FALSE)))</f>
        <v/>
      </c>
      <c r="AK225" s="187"/>
      <c r="AL225" s="172" t="str">
        <f>IF(AK225="","",IF(VLOOKUP(AK225,'G-7 Rivers Data'!$AD$4:$AE$8,2,FALSE)=0,"Spatial Data Missing",VLOOKUP(AK225,'G-7 Rivers Data'!$AD$4:$AE$8,2,FALSE)))</f>
        <v/>
      </c>
      <c r="AM225" s="186"/>
      <c r="AN225" s="176" t="str">
        <f>IF(AM225="","",VLOOKUP(AM225,'G-7 Rivers Data'!$AO$4:$AP$7,2,FALSE))</f>
        <v/>
      </c>
      <c r="AO225" s="265" t="str">
        <f t="shared" si="32"/>
        <v/>
      </c>
      <c r="AP225" s="180"/>
      <c r="AQ225" s="181"/>
      <c r="AX225" s="35" t="str">
        <f>IFERROR(INDEX('G-7 Rivers Data'!$AZ$3:$AZ$7,MATCH(N225,'G-7 Rivers Data'!$AY$3:$AY$7,0)),"")</f>
        <v/>
      </c>
    </row>
    <row r="226" spans="2:50" ht="13.8" x14ac:dyDescent="0.25">
      <c r="B226" s="259" t="str">
        <f>'F-1 Off Site River Baseline'!AN224</f>
        <v/>
      </c>
      <c r="C226" s="175" t="str">
        <f>IF(B226="","",VLOOKUP($B226,'F-1 Off Site River Baseline'!$C$9:$R$257,2,FALSE))</f>
        <v/>
      </c>
      <c r="D226" s="175" t="str">
        <f>IF(C226="","",VLOOKUP($B226,'F-1 Off Site River Baseline'!$C$9:$R$257,3,FALSE))</f>
        <v/>
      </c>
      <c r="E226" s="175" t="str">
        <f>IF(D226="","",VLOOKUP($B226,'F-1 Off Site River Baseline'!$C$9:$R$257,4,FALSE))</f>
        <v/>
      </c>
      <c r="F226" s="175" t="str">
        <f>IF(E226="","",VLOOKUP($B226,'F-1 Off Site River Baseline'!$C$9:$R$257,5,FALSE))</f>
        <v/>
      </c>
      <c r="G226" s="175" t="str">
        <f>IF(F226="","",VLOOKUP($B226,'F-1 Off Site River Baseline'!$C$9:$R$257,6,FALSE))</f>
        <v/>
      </c>
      <c r="H226" s="175" t="str">
        <f>IF(G226="","",VLOOKUP($B226,'F-1 Off Site River Baseline'!$C$9:$R$257,7,FALSE))</f>
        <v/>
      </c>
      <c r="I226" s="175" t="str">
        <f>IF(H226="","",VLOOKUP($B226,'F-1 Off Site River Baseline'!$C$9:$R$257,8,FALSE))</f>
        <v/>
      </c>
      <c r="J226" s="175" t="str">
        <f>IF(I226="","",VLOOKUP($B226,'F-1 Off Site River Baseline'!$C$9:$R$257,9,FALSE))</f>
        <v/>
      </c>
      <c r="K226" s="175" t="str">
        <f>IF(J226="","",VLOOKUP($B226,'F-1 Off Site River Baseline'!$C$9:$R$257,10,FALSE))</f>
        <v/>
      </c>
      <c r="L226" s="175" t="str">
        <f>IF(B226="","",VLOOKUP($B226,'C-1 Site River Baseline'!$C$9:$R$257,15,FALSE))</f>
        <v/>
      </c>
      <c r="M226" s="176" t="str">
        <f>IF(L226="","",VLOOKUP($B226,'F-1 Off Site River Baseline'!$C$9:$R$257,16,FALSE))</f>
        <v/>
      </c>
      <c r="N226" s="639" t="str">
        <f t="shared" si="26"/>
        <v/>
      </c>
      <c r="O226" s="171" t="str">
        <f t="shared" si="27"/>
        <v/>
      </c>
      <c r="P226" s="172" t="str">
        <f>IF(C226="","",IF(AND(LEFT(C226,55)&lt;&gt;LEFT(N226,55),O226="High - High"),"Error - Not like for like",IF(AND(F226=S226,H226&gt;U226),"Error - Can not reduce condition",IF(AND(F226=S226,H226=U226,AJ226='F-1 Off Site River Baseline'!N224,'F-1 Off Site River Baseline'!P224=AL226),"Error - No enhancement",IF(AND(C226&lt;&gt;N226,F226&lt;S226),"Lower Distinctiveness Habitat"&amp;" - "&amp;T226,G226&amp;" - "&amp;T226)))))</f>
        <v/>
      </c>
      <c r="Q226" s="260" t="str">
        <f>IF(N226="","",VLOOKUP(B226,'F-1 Off Site River Baseline'!$C$10:$AA$257,19,FALSE))</f>
        <v/>
      </c>
      <c r="R226" s="171" t="str">
        <f>IF(N226="","",VLOOKUP(N226,'G-7 Rivers Data'!$B$2:$G$8,2,FALSE))</f>
        <v/>
      </c>
      <c r="S226" s="172" t="str">
        <f>IFERROR(VLOOKUP(R226,'G-7 Rivers Data'!$C$4:$D$8,2,FALSE),"")</f>
        <v/>
      </c>
      <c r="T226" s="173"/>
      <c r="U226" s="172" t="str">
        <f>IFERROR(INDEX('G-7 Rivers Data'!$H$4:$L$8,MATCH(N226,'G-7 Rivers Data'!$B$4:$B$8,0),MATCH(T226,'G-7 Rivers Data'!$H$3:$L$3,0)),"")</f>
        <v/>
      </c>
      <c r="V226" s="186"/>
      <c r="W226" s="175" t="str">
        <f>IF(V226="","",IF(VLOOKUP(V226,'G-7 Rivers Data'!$AG$4:$AI$9,2,FALSE)=0,"Spatial Data Missing",VLOOKUP(V226,'G-7 Rivers Data'!$AG$4:$AI$9,2,FALSE)))</f>
        <v/>
      </c>
      <c r="X226" s="176" t="str">
        <f>IF(V226="","",IF(VLOOKUP(V226,'G-7 Rivers Data'!$AG$4:$AI$9,3,FALSE)=0,"Spatial Data Missing",VLOOKUP(V226,'G-7 Rivers Data'!$AG$4:$AI$9,3,FALSE)))</f>
        <v/>
      </c>
      <c r="Y226" s="239" t="str">
        <f>IFERROR(IF(OR(LEFT(P226,5)="Error",LEFT(O226,5)="Error"),"Check Data",IF(F226&lt;S226,'G-7 Rivers Data'!$R$3,INDEX('G-7 Rivers Data'!$U$5:$Y$9,MATCH(G226,'G-7 Rivers Data'!$T$5:$T$9,0),MATCH(T226,'G-7 Rivers Data'!$U$4:$Y$4,0)))),"")</f>
        <v/>
      </c>
      <c r="Z226" s="275"/>
      <c r="AA226" s="275"/>
      <c r="AB226" s="175" t="str">
        <f t="shared" si="28"/>
        <v/>
      </c>
      <c r="AC226" s="262" t="str">
        <f t="shared" si="29"/>
        <v/>
      </c>
      <c r="AD226" s="382" t="str">
        <f>IFERROR(IF(AC226="Check Data","Check Data",VLOOKUP(AC226,'G-4 Temporal multipliers'!$A$4:$C$37,3,FALSE)),"")</f>
        <v/>
      </c>
      <c r="AE226" s="239" t="str">
        <f>IF(N226="","",VLOOKUP(N226,'G-7 Rivers Data'!$B$4:$G$8,5,FALSE))</f>
        <v/>
      </c>
      <c r="AF226" s="175" t="str">
        <f t="shared" si="30"/>
        <v/>
      </c>
      <c r="AG226" s="175" t="str">
        <f t="shared" si="31"/>
        <v/>
      </c>
      <c r="AH226" s="176" t="str">
        <f t="shared" si="25"/>
        <v/>
      </c>
      <c r="AI226" s="173"/>
      <c r="AJ226" s="172" t="str">
        <f>IF(AI226="","",IF(VLOOKUP(AI226,'G-7 Rivers Data'!$AA$4:$AB$7,2,FALSE)=0,"Spatial Data Missing",VLOOKUP(AI226,'G-7 Rivers Data'!$AA$4:$AB$7,2,FALSE)))</f>
        <v/>
      </c>
      <c r="AK226" s="187"/>
      <c r="AL226" s="172" t="str">
        <f>IF(AK226="","",IF(VLOOKUP(AK226,'G-7 Rivers Data'!$AD$4:$AE$8,2,FALSE)=0,"Spatial Data Missing",VLOOKUP(AK226,'G-7 Rivers Data'!$AD$4:$AE$8,2,FALSE)))</f>
        <v/>
      </c>
      <c r="AM226" s="186"/>
      <c r="AN226" s="176" t="str">
        <f>IF(AM226="","",VLOOKUP(AM226,'G-7 Rivers Data'!$AO$4:$AP$7,2,FALSE))</f>
        <v/>
      </c>
      <c r="AO226" s="265" t="str">
        <f t="shared" si="32"/>
        <v/>
      </c>
      <c r="AP226" s="180"/>
      <c r="AQ226" s="181"/>
      <c r="AX226" s="35" t="str">
        <f>IFERROR(INDEX('G-7 Rivers Data'!$AZ$3:$AZ$7,MATCH(N226,'G-7 Rivers Data'!$AY$3:$AY$7,0)),"")</f>
        <v/>
      </c>
    </row>
    <row r="227" spans="2:50" ht="13.8" x14ac:dyDescent="0.25">
      <c r="B227" s="259" t="str">
        <f>'F-1 Off Site River Baseline'!AN225</f>
        <v/>
      </c>
      <c r="C227" s="175" t="str">
        <f>IF(B227="","",VLOOKUP($B227,'F-1 Off Site River Baseline'!$C$9:$R$257,2,FALSE))</f>
        <v/>
      </c>
      <c r="D227" s="175" t="str">
        <f>IF(C227="","",VLOOKUP($B227,'F-1 Off Site River Baseline'!$C$9:$R$257,3,FALSE))</f>
        <v/>
      </c>
      <c r="E227" s="175" t="str">
        <f>IF(D227="","",VLOOKUP($B227,'F-1 Off Site River Baseline'!$C$9:$R$257,4,FALSE))</f>
        <v/>
      </c>
      <c r="F227" s="175" t="str">
        <f>IF(E227="","",VLOOKUP($B227,'F-1 Off Site River Baseline'!$C$9:$R$257,5,FALSE))</f>
        <v/>
      </c>
      <c r="G227" s="175" t="str">
        <f>IF(F227="","",VLOOKUP($B227,'F-1 Off Site River Baseline'!$C$9:$R$257,6,FALSE))</f>
        <v/>
      </c>
      <c r="H227" s="175" t="str">
        <f>IF(G227="","",VLOOKUP($B227,'F-1 Off Site River Baseline'!$C$9:$R$257,7,FALSE))</f>
        <v/>
      </c>
      <c r="I227" s="175" t="str">
        <f>IF(H227="","",VLOOKUP($B227,'F-1 Off Site River Baseline'!$C$9:$R$257,8,FALSE))</f>
        <v/>
      </c>
      <c r="J227" s="175" t="str">
        <f>IF(I227="","",VLOOKUP($B227,'F-1 Off Site River Baseline'!$C$9:$R$257,9,FALSE))</f>
        <v/>
      </c>
      <c r="K227" s="175" t="str">
        <f>IF(J227="","",VLOOKUP($B227,'F-1 Off Site River Baseline'!$C$9:$R$257,10,FALSE))</f>
        <v/>
      </c>
      <c r="L227" s="175" t="str">
        <f>IF(B227="","",VLOOKUP($B227,'C-1 Site River Baseline'!$C$9:$R$257,15,FALSE))</f>
        <v/>
      </c>
      <c r="M227" s="176" t="str">
        <f>IF(L227="","",VLOOKUP($B227,'F-1 Off Site River Baseline'!$C$9:$R$257,16,FALSE))</f>
        <v/>
      </c>
      <c r="N227" s="639" t="str">
        <f t="shared" si="26"/>
        <v/>
      </c>
      <c r="O227" s="171" t="str">
        <f t="shared" si="27"/>
        <v/>
      </c>
      <c r="P227" s="172" t="str">
        <f>IF(C227="","",IF(AND(LEFT(C227,55)&lt;&gt;LEFT(N227,55),O227="High - High"),"Error - Not like for like",IF(AND(F227=S227,H227&gt;U227),"Error - Can not reduce condition",IF(AND(F227=S227,H227=U227,AJ227='F-1 Off Site River Baseline'!N225,'F-1 Off Site River Baseline'!P225=AL227),"Error - No enhancement",IF(AND(C227&lt;&gt;N227,F227&lt;S227),"Lower Distinctiveness Habitat"&amp;" - "&amp;T227,G227&amp;" - "&amp;T227)))))</f>
        <v/>
      </c>
      <c r="Q227" s="260" t="str">
        <f>IF(N227="","",VLOOKUP(B227,'F-1 Off Site River Baseline'!$C$10:$AA$257,19,FALSE))</f>
        <v/>
      </c>
      <c r="R227" s="171" t="str">
        <f>IF(N227="","",VLOOKUP(N227,'G-7 Rivers Data'!$B$2:$G$8,2,FALSE))</f>
        <v/>
      </c>
      <c r="S227" s="172" t="str">
        <f>IFERROR(VLOOKUP(R227,'G-7 Rivers Data'!$C$4:$D$8,2,FALSE),"")</f>
        <v/>
      </c>
      <c r="T227" s="173"/>
      <c r="U227" s="172" t="str">
        <f>IFERROR(INDEX('G-7 Rivers Data'!$H$4:$L$8,MATCH(N227,'G-7 Rivers Data'!$B$4:$B$8,0),MATCH(T227,'G-7 Rivers Data'!$H$3:$L$3,0)),"")</f>
        <v/>
      </c>
      <c r="V227" s="186"/>
      <c r="W227" s="175" t="str">
        <f>IF(V227="","",IF(VLOOKUP(V227,'G-7 Rivers Data'!$AG$4:$AI$9,2,FALSE)=0,"Spatial Data Missing",VLOOKUP(V227,'G-7 Rivers Data'!$AG$4:$AI$9,2,FALSE)))</f>
        <v/>
      </c>
      <c r="X227" s="176" t="str">
        <f>IF(V227="","",IF(VLOOKUP(V227,'G-7 Rivers Data'!$AG$4:$AI$9,3,FALSE)=0,"Spatial Data Missing",VLOOKUP(V227,'G-7 Rivers Data'!$AG$4:$AI$9,3,FALSE)))</f>
        <v/>
      </c>
      <c r="Y227" s="239" t="str">
        <f>IFERROR(IF(OR(LEFT(P227,5)="Error",LEFT(O227,5)="Error"),"Check Data",IF(F227&lt;S227,'G-7 Rivers Data'!$R$3,INDEX('G-7 Rivers Data'!$U$5:$Y$9,MATCH(G227,'G-7 Rivers Data'!$T$5:$T$9,0),MATCH(T227,'G-7 Rivers Data'!$U$4:$Y$4,0)))),"")</f>
        <v/>
      </c>
      <c r="Z227" s="275"/>
      <c r="AA227" s="275"/>
      <c r="AB227" s="175" t="str">
        <f t="shared" si="28"/>
        <v/>
      </c>
      <c r="AC227" s="262" t="str">
        <f t="shared" si="29"/>
        <v/>
      </c>
      <c r="AD227" s="382" t="str">
        <f>IFERROR(IF(AC227="Check Data","Check Data",VLOOKUP(AC227,'G-4 Temporal multipliers'!$A$4:$C$37,3,FALSE)),"")</f>
        <v/>
      </c>
      <c r="AE227" s="239" t="str">
        <f>IF(N227="","",VLOOKUP(N227,'G-7 Rivers Data'!$B$4:$G$8,5,FALSE))</f>
        <v/>
      </c>
      <c r="AF227" s="175" t="str">
        <f t="shared" si="30"/>
        <v/>
      </c>
      <c r="AG227" s="175" t="str">
        <f t="shared" si="31"/>
        <v/>
      </c>
      <c r="AH227" s="176" t="str">
        <f t="shared" si="25"/>
        <v/>
      </c>
      <c r="AI227" s="173"/>
      <c r="AJ227" s="172" t="str">
        <f>IF(AI227="","",IF(VLOOKUP(AI227,'G-7 Rivers Data'!$AA$4:$AB$7,2,FALSE)=0,"Spatial Data Missing",VLOOKUP(AI227,'G-7 Rivers Data'!$AA$4:$AB$7,2,FALSE)))</f>
        <v/>
      </c>
      <c r="AK227" s="187"/>
      <c r="AL227" s="172" t="str">
        <f>IF(AK227="","",IF(VLOOKUP(AK227,'G-7 Rivers Data'!$AD$4:$AE$8,2,FALSE)=0,"Spatial Data Missing",VLOOKUP(AK227,'G-7 Rivers Data'!$AD$4:$AE$8,2,FALSE)))</f>
        <v/>
      </c>
      <c r="AM227" s="186"/>
      <c r="AN227" s="176" t="str">
        <f>IF(AM227="","",VLOOKUP(AM227,'G-7 Rivers Data'!$AO$4:$AP$7,2,FALSE))</f>
        <v/>
      </c>
      <c r="AO227" s="265" t="str">
        <f t="shared" si="32"/>
        <v/>
      </c>
      <c r="AP227" s="180"/>
      <c r="AQ227" s="181"/>
      <c r="AX227" s="35" t="str">
        <f>IFERROR(INDEX('G-7 Rivers Data'!$AZ$3:$AZ$7,MATCH(N227,'G-7 Rivers Data'!$AY$3:$AY$7,0)),"")</f>
        <v/>
      </c>
    </row>
    <row r="228" spans="2:50" ht="13.8" x14ac:dyDescent="0.25">
      <c r="B228" s="259" t="str">
        <f>'F-1 Off Site River Baseline'!AN226</f>
        <v/>
      </c>
      <c r="C228" s="175" t="str">
        <f>IF(B228="","",VLOOKUP($B228,'F-1 Off Site River Baseline'!$C$9:$R$257,2,FALSE))</f>
        <v/>
      </c>
      <c r="D228" s="175" t="str">
        <f>IF(C228="","",VLOOKUP($B228,'F-1 Off Site River Baseline'!$C$9:$R$257,3,FALSE))</f>
        <v/>
      </c>
      <c r="E228" s="175" t="str">
        <f>IF(D228="","",VLOOKUP($B228,'F-1 Off Site River Baseline'!$C$9:$R$257,4,FALSE))</f>
        <v/>
      </c>
      <c r="F228" s="175" t="str">
        <f>IF(E228="","",VLOOKUP($B228,'F-1 Off Site River Baseline'!$C$9:$R$257,5,FALSE))</f>
        <v/>
      </c>
      <c r="G228" s="175" t="str">
        <f>IF(F228="","",VLOOKUP($B228,'F-1 Off Site River Baseline'!$C$9:$R$257,6,FALSE))</f>
        <v/>
      </c>
      <c r="H228" s="175" t="str">
        <f>IF(G228="","",VLOOKUP($B228,'F-1 Off Site River Baseline'!$C$9:$R$257,7,FALSE))</f>
        <v/>
      </c>
      <c r="I228" s="175" t="str">
        <f>IF(H228="","",VLOOKUP($B228,'F-1 Off Site River Baseline'!$C$9:$R$257,8,FALSE))</f>
        <v/>
      </c>
      <c r="J228" s="175" t="str">
        <f>IF(I228="","",VLOOKUP($B228,'F-1 Off Site River Baseline'!$C$9:$R$257,9,FALSE))</f>
        <v/>
      </c>
      <c r="K228" s="175" t="str">
        <f>IF(J228="","",VLOOKUP($B228,'F-1 Off Site River Baseline'!$C$9:$R$257,10,FALSE))</f>
        <v/>
      </c>
      <c r="L228" s="175" t="str">
        <f>IF(B228="","",VLOOKUP($B228,'C-1 Site River Baseline'!$C$9:$R$257,15,FALSE))</f>
        <v/>
      </c>
      <c r="M228" s="176" t="str">
        <f>IF(L228="","",VLOOKUP($B228,'F-1 Off Site River Baseline'!$C$9:$R$257,16,FALSE))</f>
        <v/>
      </c>
      <c r="N228" s="639" t="str">
        <f t="shared" si="26"/>
        <v/>
      </c>
      <c r="O228" s="171" t="str">
        <f t="shared" si="27"/>
        <v/>
      </c>
      <c r="P228" s="172" t="str">
        <f>IF(C228="","",IF(AND(LEFT(C228,55)&lt;&gt;LEFT(N228,55),O228="High - High"),"Error - Not like for like",IF(AND(F228=S228,H228&gt;U228),"Error - Can not reduce condition",IF(AND(F228=S228,H228=U228,AJ228='F-1 Off Site River Baseline'!N226,'F-1 Off Site River Baseline'!P226=AL228),"Error - No enhancement",IF(AND(C228&lt;&gt;N228,F228&lt;S228),"Lower Distinctiveness Habitat"&amp;" - "&amp;T228,G228&amp;" - "&amp;T228)))))</f>
        <v/>
      </c>
      <c r="Q228" s="260" t="str">
        <f>IF(N228="","",VLOOKUP(B228,'F-1 Off Site River Baseline'!$C$10:$AA$257,19,FALSE))</f>
        <v/>
      </c>
      <c r="R228" s="171" t="str">
        <f>IF(N228="","",VLOOKUP(N228,'G-7 Rivers Data'!$B$2:$G$8,2,FALSE))</f>
        <v/>
      </c>
      <c r="S228" s="172" t="str">
        <f>IFERROR(VLOOKUP(R228,'G-7 Rivers Data'!$C$4:$D$8,2,FALSE),"")</f>
        <v/>
      </c>
      <c r="T228" s="173"/>
      <c r="U228" s="172" t="str">
        <f>IFERROR(INDEX('G-7 Rivers Data'!$H$4:$L$8,MATCH(N228,'G-7 Rivers Data'!$B$4:$B$8,0),MATCH(T228,'G-7 Rivers Data'!$H$3:$L$3,0)),"")</f>
        <v/>
      </c>
      <c r="V228" s="186"/>
      <c r="W228" s="175" t="str">
        <f>IF(V228="","",IF(VLOOKUP(V228,'G-7 Rivers Data'!$AG$4:$AI$9,2,FALSE)=0,"Spatial Data Missing",VLOOKUP(V228,'G-7 Rivers Data'!$AG$4:$AI$9,2,FALSE)))</f>
        <v/>
      </c>
      <c r="X228" s="176" t="str">
        <f>IF(V228="","",IF(VLOOKUP(V228,'G-7 Rivers Data'!$AG$4:$AI$9,3,FALSE)=0,"Spatial Data Missing",VLOOKUP(V228,'G-7 Rivers Data'!$AG$4:$AI$9,3,FALSE)))</f>
        <v/>
      </c>
      <c r="Y228" s="239" t="str">
        <f>IFERROR(IF(OR(LEFT(P228,5)="Error",LEFT(O228,5)="Error"),"Check Data",IF(F228&lt;S228,'G-7 Rivers Data'!$R$3,INDEX('G-7 Rivers Data'!$U$5:$Y$9,MATCH(G228,'G-7 Rivers Data'!$T$5:$T$9,0),MATCH(T228,'G-7 Rivers Data'!$U$4:$Y$4,0)))),"")</f>
        <v/>
      </c>
      <c r="Z228" s="275"/>
      <c r="AA228" s="275"/>
      <c r="AB228" s="175" t="str">
        <f t="shared" si="28"/>
        <v/>
      </c>
      <c r="AC228" s="262" t="str">
        <f t="shared" si="29"/>
        <v/>
      </c>
      <c r="AD228" s="382" t="str">
        <f>IFERROR(IF(AC228="Check Data","Check Data",VLOOKUP(AC228,'G-4 Temporal multipliers'!$A$4:$C$37,3,FALSE)),"")</f>
        <v/>
      </c>
      <c r="AE228" s="239" t="str">
        <f>IF(N228="","",VLOOKUP(N228,'G-7 Rivers Data'!$B$4:$G$8,5,FALSE))</f>
        <v/>
      </c>
      <c r="AF228" s="175" t="str">
        <f t="shared" si="30"/>
        <v/>
      </c>
      <c r="AG228" s="175" t="str">
        <f t="shared" si="31"/>
        <v/>
      </c>
      <c r="AH228" s="176" t="str">
        <f t="shared" si="25"/>
        <v/>
      </c>
      <c r="AI228" s="173"/>
      <c r="AJ228" s="172" t="str">
        <f>IF(AI228="","",IF(VLOOKUP(AI228,'G-7 Rivers Data'!$AA$4:$AB$7,2,FALSE)=0,"Spatial Data Missing",VLOOKUP(AI228,'G-7 Rivers Data'!$AA$4:$AB$7,2,FALSE)))</f>
        <v/>
      </c>
      <c r="AK228" s="187"/>
      <c r="AL228" s="172" t="str">
        <f>IF(AK228="","",IF(VLOOKUP(AK228,'G-7 Rivers Data'!$AD$4:$AE$8,2,FALSE)=0,"Spatial Data Missing",VLOOKUP(AK228,'G-7 Rivers Data'!$AD$4:$AE$8,2,FALSE)))</f>
        <v/>
      </c>
      <c r="AM228" s="186"/>
      <c r="AN228" s="176" t="str">
        <f>IF(AM228="","",VLOOKUP(AM228,'G-7 Rivers Data'!$AO$4:$AP$7,2,FALSE))</f>
        <v/>
      </c>
      <c r="AO228" s="265" t="str">
        <f t="shared" si="32"/>
        <v/>
      </c>
      <c r="AP228" s="180"/>
      <c r="AQ228" s="181"/>
      <c r="AX228" s="35" t="str">
        <f>IFERROR(INDEX('G-7 Rivers Data'!$AZ$3:$AZ$7,MATCH(N228,'G-7 Rivers Data'!$AY$3:$AY$7,0)),"")</f>
        <v/>
      </c>
    </row>
    <row r="229" spans="2:50" ht="13.8" x14ac:dyDescent="0.25">
      <c r="B229" s="259" t="str">
        <f>'F-1 Off Site River Baseline'!AN227</f>
        <v/>
      </c>
      <c r="C229" s="175" t="str">
        <f>IF(B229="","",VLOOKUP($B229,'F-1 Off Site River Baseline'!$C$9:$R$257,2,FALSE))</f>
        <v/>
      </c>
      <c r="D229" s="175" t="str">
        <f>IF(C229="","",VLOOKUP($B229,'F-1 Off Site River Baseline'!$C$9:$R$257,3,FALSE))</f>
        <v/>
      </c>
      <c r="E229" s="175" t="str">
        <f>IF(D229="","",VLOOKUP($B229,'F-1 Off Site River Baseline'!$C$9:$R$257,4,FALSE))</f>
        <v/>
      </c>
      <c r="F229" s="175" t="str">
        <f>IF(E229="","",VLOOKUP($B229,'F-1 Off Site River Baseline'!$C$9:$R$257,5,FALSE))</f>
        <v/>
      </c>
      <c r="G229" s="175" t="str">
        <f>IF(F229="","",VLOOKUP($B229,'F-1 Off Site River Baseline'!$C$9:$R$257,6,FALSE))</f>
        <v/>
      </c>
      <c r="H229" s="175" t="str">
        <f>IF(G229="","",VLOOKUP($B229,'F-1 Off Site River Baseline'!$C$9:$R$257,7,FALSE))</f>
        <v/>
      </c>
      <c r="I229" s="175" t="str">
        <f>IF(H229="","",VLOOKUP($B229,'F-1 Off Site River Baseline'!$C$9:$R$257,8,FALSE))</f>
        <v/>
      </c>
      <c r="J229" s="175" t="str">
        <f>IF(I229="","",VLOOKUP($B229,'F-1 Off Site River Baseline'!$C$9:$R$257,9,FALSE))</f>
        <v/>
      </c>
      <c r="K229" s="175" t="str">
        <f>IF(J229="","",VLOOKUP($B229,'F-1 Off Site River Baseline'!$C$9:$R$257,10,FALSE))</f>
        <v/>
      </c>
      <c r="L229" s="175" t="str">
        <f>IF(B229="","",VLOOKUP($B229,'C-1 Site River Baseline'!$C$9:$R$257,15,FALSE))</f>
        <v/>
      </c>
      <c r="M229" s="176" t="str">
        <f>IF(L229="","",VLOOKUP($B229,'F-1 Off Site River Baseline'!$C$9:$R$257,16,FALSE))</f>
        <v/>
      </c>
      <c r="N229" s="639" t="str">
        <f t="shared" si="26"/>
        <v/>
      </c>
      <c r="O229" s="171" t="str">
        <f t="shared" si="27"/>
        <v/>
      </c>
      <c r="P229" s="172" t="str">
        <f>IF(C229="","",IF(AND(LEFT(C229,55)&lt;&gt;LEFT(N229,55),O229="High - High"),"Error - Not like for like",IF(AND(F229=S229,H229&gt;U229),"Error - Can not reduce condition",IF(AND(F229=S229,H229=U229,AJ229='F-1 Off Site River Baseline'!N227,'F-1 Off Site River Baseline'!P227=AL229),"Error - No enhancement",IF(AND(C229&lt;&gt;N229,F229&lt;S229),"Lower Distinctiveness Habitat"&amp;" - "&amp;T229,G229&amp;" - "&amp;T229)))))</f>
        <v/>
      </c>
      <c r="Q229" s="260" t="str">
        <f>IF(N229="","",VLOOKUP(B229,'F-1 Off Site River Baseline'!$C$10:$AA$257,19,FALSE))</f>
        <v/>
      </c>
      <c r="R229" s="171" t="str">
        <f>IF(N229="","",VLOOKUP(N229,'G-7 Rivers Data'!$B$2:$G$8,2,FALSE))</f>
        <v/>
      </c>
      <c r="S229" s="172" t="str">
        <f>IFERROR(VLOOKUP(R229,'G-7 Rivers Data'!$C$4:$D$8,2,FALSE),"")</f>
        <v/>
      </c>
      <c r="T229" s="173"/>
      <c r="U229" s="172" t="str">
        <f>IFERROR(INDEX('G-7 Rivers Data'!$H$4:$L$8,MATCH(N229,'G-7 Rivers Data'!$B$4:$B$8,0),MATCH(T229,'G-7 Rivers Data'!$H$3:$L$3,0)),"")</f>
        <v/>
      </c>
      <c r="V229" s="186"/>
      <c r="W229" s="175" t="str">
        <f>IF(V229="","",IF(VLOOKUP(V229,'G-7 Rivers Data'!$AG$4:$AI$9,2,FALSE)=0,"Spatial Data Missing",VLOOKUP(V229,'G-7 Rivers Data'!$AG$4:$AI$9,2,FALSE)))</f>
        <v/>
      </c>
      <c r="X229" s="176" t="str">
        <f>IF(V229="","",IF(VLOOKUP(V229,'G-7 Rivers Data'!$AG$4:$AI$9,3,FALSE)=0,"Spatial Data Missing",VLOOKUP(V229,'G-7 Rivers Data'!$AG$4:$AI$9,3,FALSE)))</f>
        <v/>
      </c>
      <c r="Y229" s="239" t="str">
        <f>IFERROR(IF(OR(LEFT(P229,5)="Error",LEFT(O229,5)="Error"),"Check Data",IF(F229&lt;S229,'G-7 Rivers Data'!$R$3,INDEX('G-7 Rivers Data'!$U$5:$Y$9,MATCH(G229,'G-7 Rivers Data'!$T$5:$T$9,0),MATCH(T229,'G-7 Rivers Data'!$U$4:$Y$4,0)))),"")</f>
        <v/>
      </c>
      <c r="Z229" s="275"/>
      <c r="AA229" s="275"/>
      <c r="AB229" s="175" t="str">
        <f t="shared" si="28"/>
        <v/>
      </c>
      <c r="AC229" s="262" t="str">
        <f t="shared" si="29"/>
        <v/>
      </c>
      <c r="AD229" s="382" t="str">
        <f>IFERROR(IF(AC229="Check Data","Check Data",VLOOKUP(AC229,'G-4 Temporal multipliers'!$A$4:$C$37,3,FALSE)),"")</f>
        <v/>
      </c>
      <c r="AE229" s="239" t="str">
        <f>IF(N229="","",VLOOKUP(N229,'G-7 Rivers Data'!$B$4:$G$8,5,FALSE))</f>
        <v/>
      </c>
      <c r="AF229" s="175" t="str">
        <f t="shared" si="30"/>
        <v/>
      </c>
      <c r="AG229" s="175" t="str">
        <f t="shared" si="31"/>
        <v/>
      </c>
      <c r="AH229" s="176" t="str">
        <f t="shared" si="25"/>
        <v/>
      </c>
      <c r="AI229" s="173"/>
      <c r="AJ229" s="172" t="str">
        <f>IF(AI229="","",IF(VLOOKUP(AI229,'G-7 Rivers Data'!$AA$4:$AB$7,2,FALSE)=0,"Spatial Data Missing",VLOOKUP(AI229,'G-7 Rivers Data'!$AA$4:$AB$7,2,FALSE)))</f>
        <v/>
      </c>
      <c r="AK229" s="187"/>
      <c r="AL229" s="172" t="str">
        <f>IF(AK229="","",IF(VLOOKUP(AK229,'G-7 Rivers Data'!$AD$4:$AE$8,2,FALSE)=0,"Spatial Data Missing",VLOOKUP(AK229,'G-7 Rivers Data'!$AD$4:$AE$8,2,FALSE)))</f>
        <v/>
      </c>
      <c r="AM229" s="186"/>
      <c r="AN229" s="176" t="str">
        <f>IF(AM229="","",VLOOKUP(AM229,'G-7 Rivers Data'!$AO$4:$AP$7,2,FALSE))</f>
        <v/>
      </c>
      <c r="AO229" s="265" t="str">
        <f t="shared" si="32"/>
        <v/>
      </c>
      <c r="AP229" s="180"/>
      <c r="AQ229" s="181"/>
      <c r="AX229" s="35" t="str">
        <f>IFERROR(INDEX('G-7 Rivers Data'!$AZ$3:$AZ$7,MATCH(N229,'G-7 Rivers Data'!$AY$3:$AY$7,0)),"")</f>
        <v/>
      </c>
    </row>
    <row r="230" spans="2:50" ht="13.8" x14ac:dyDescent="0.25">
      <c r="B230" s="259" t="str">
        <f>'F-1 Off Site River Baseline'!AN228</f>
        <v/>
      </c>
      <c r="C230" s="175" t="str">
        <f>IF(B230="","",VLOOKUP($B230,'F-1 Off Site River Baseline'!$C$9:$R$257,2,FALSE))</f>
        <v/>
      </c>
      <c r="D230" s="175" t="str">
        <f>IF(C230="","",VLOOKUP($B230,'F-1 Off Site River Baseline'!$C$9:$R$257,3,FALSE))</f>
        <v/>
      </c>
      <c r="E230" s="175" t="str">
        <f>IF(D230="","",VLOOKUP($B230,'F-1 Off Site River Baseline'!$C$9:$R$257,4,FALSE))</f>
        <v/>
      </c>
      <c r="F230" s="175" t="str">
        <f>IF(E230="","",VLOOKUP($B230,'F-1 Off Site River Baseline'!$C$9:$R$257,5,FALSE))</f>
        <v/>
      </c>
      <c r="G230" s="175" t="str">
        <f>IF(F230="","",VLOOKUP($B230,'F-1 Off Site River Baseline'!$C$9:$R$257,6,FALSE))</f>
        <v/>
      </c>
      <c r="H230" s="175" t="str">
        <f>IF(G230="","",VLOOKUP($B230,'F-1 Off Site River Baseline'!$C$9:$R$257,7,FALSE))</f>
        <v/>
      </c>
      <c r="I230" s="175" t="str">
        <f>IF(H230="","",VLOOKUP($B230,'F-1 Off Site River Baseline'!$C$9:$R$257,8,FALSE))</f>
        <v/>
      </c>
      <c r="J230" s="175" t="str">
        <f>IF(I230="","",VLOOKUP($B230,'F-1 Off Site River Baseline'!$C$9:$R$257,9,FALSE))</f>
        <v/>
      </c>
      <c r="K230" s="175" t="str">
        <f>IF(J230="","",VLOOKUP($B230,'F-1 Off Site River Baseline'!$C$9:$R$257,10,FALSE))</f>
        <v/>
      </c>
      <c r="L230" s="175" t="str">
        <f>IF(B230="","",VLOOKUP($B230,'C-1 Site River Baseline'!$C$9:$R$257,15,FALSE))</f>
        <v/>
      </c>
      <c r="M230" s="176" t="str">
        <f>IF(L230="","",VLOOKUP($B230,'F-1 Off Site River Baseline'!$C$9:$R$257,16,FALSE))</f>
        <v/>
      </c>
      <c r="N230" s="639" t="str">
        <f t="shared" si="26"/>
        <v/>
      </c>
      <c r="O230" s="171" t="str">
        <f t="shared" si="27"/>
        <v/>
      </c>
      <c r="P230" s="172" t="str">
        <f>IF(C230="","",IF(AND(LEFT(C230,55)&lt;&gt;LEFT(N230,55),O230="High - High"),"Error - Not like for like",IF(AND(F230=S230,H230&gt;U230),"Error - Can not reduce condition",IF(AND(F230=S230,H230=U230,AJ230='F-1 Off Site River Baseline'!N228,'F-1 Off Site River Baseline'!P228=AL230),"Error - No enhancement",IF(AND(C230&lt;&gt;N230,F230&lt;S230),"Lower Distinctiveness Habitat"&amp;" - "&amp;T230,G230&amp;" - "&amp;T230)))))</f>
        <v/>
      </c>
      <c r="Q230" s="260" t="str">
        <f>IF(N230="","",VLOOKUP(B230,'F-1 Off Site River Baseline'!$C$10:$AA$257,19,FALSE))</f>
        <v/>
      </c>
      <c r="R230" s="171" t="str">
        <f>IF(N230="","",VLOOKUP(N230,'G-7 Rivers Data'!$B$2:$G$8,2,FALSE))</f>
        <v/>
      </c>
      <c r="S230" s="172" t="str">
        <f>IFERROR(VLOOKUP(R230,'G-7 Rivers Data'!$C$4:$D$8,2,FALSE),"")</f>
        <v/>
      </c>
      <c r="T230" s="173"/>
      <c r="U230" s="172" t="str">
        <f>IFERROR(INDEX('G-7 Rivers Data'!$H$4:$L$8,MATCH(N230,'G-7 Rivers Data'!$B$4:$B$8,0),MATCH(T230,'G-7 Rivers Data'!$H$3:$L$3,0)),"")</f>
        <v/>
      </c>
      <c r="V230" s="186"/>
      <c r="W230" s="175" t="str">
        <f>IF(V230="","",IF(VLOOKUP(V230,'G-7 Rivers Data'!$AG$4:$AI$9,2,FALSE)=0,"Spatial Data Missing",VLOOKUP(V230,'G-7 Rivers Data'!$AG$4:$AI$9,2,FALSE)))</f>
        <v/>
      </c>
      <c r="X230" s="176" t="str">
        <f>IF(V230="","",IF(VLOOKUP(V230,'G-7 Rivers Data'!$AG$4:$AI$9,3,FALSE)=0,"Spatial Data Missing",VLOOKUP(V230,'G-7 Rivers Data'!$AG$4:$AI$9,3,FALSE)))</f>
        <v/>
      </c>
      <c r="Y230" s="239" t="str">
        <f>IFERROR(IF(OR(LEFT(P230,5)="Error",LEFT(O230,5)="Error"),"Check Data",IF(F230&lt;S230,'G-7 Rivers Data'!$R$3,INDEX('G-7 Rivers Data'!$U$5:$Y$9,MATCH(G230,'G-7 Rivers Data'!$T$5:$T$9,0),MATCH(T230,'G-7 Rivers Data'!$U$4:$Y$4,0)))),"")</f>
        <v/>
      </c>
      <c r="Z230" s="275"/>
      <c r="AA230" s="275"/>
      <c r="AB230" s="175" t="str">
        <f t="shared" si="28"/>
        <v/>
      </c>
      <c r="AC230" s="262" t="str">
        <f t="shared" si="29"/>
        <v/>
      </c>
      <c r="AD230" s="382" t="str">
        <f>IFERROR(IF(AC230="Check Data","Check Data",VLOOKUP(AC230,'G-4 Temporal multipliers'!$A$4:$C$37,3,FALSE)),"")</f>
        <v/>
      </c>
      <c r="AE230" s="239" t="str">
        <f>IF(N230="","",VLOOKUP(N230,'G-7 Rivers Data'!$B$4:$G$8,5,FALSE))</f>
        <v/>
      </c>
      <c r="AF230" s="175" t="str">
        <f t="shared" si="30"/>
        <v/>
      </c>
      <c r="AG230" s="175" t="str">
        <f t="shared" si="31"/>
        <v/>
      </c>
      <c r="AH230" s="176" t="str">
        <f t="shared" si="25"/>
        <v/>
      </c>
      <c r="AI230" s="173"/>
      <c r="AJ230" s="172" t="str">
        <f>IF(AI230="","",IF(VLOOKUP(AI230,'G-7 Rivers Data'!$AA$4:$AB$7,2,FALSE)=0,"Spatial Data Missing",VLOOKUP(AI230,'G-7 Rivers Data'!$AA$4:$AB$7,2,FALSE)))</f>
        <v/>
      </c>
      <c r="AK230" s="187"/>
      <c r="AL230" s="172" t="str">
        <f>IF(AK230="","",IF(VLOOKUP(AK230,'G-7 Rivers Data'!$AD$4:$AE$8,2,FALSE)=0,"Spatial Data Missing",VLOOKUP(AK230,'G-7 Rivers Data'!$AD$4:$AE$8,2,FALSE)))</f>
        <v/>
      </c>
      <c r="AM230" s="186"/>
      <c r="AN230" s="176" t="str">
        <f>IF(AM230="","",VLOOKUP(AM230,'G-7 Rivers Data'!$AO$4:$AP$7,2,FALSE))</f>
        <v/>
      </c>
      <c r="AO230" s="265" t="str">
        <f t="shared" si="32"/>
        <v/>
      </c>
      <c r="AP230" s="180"/>
      <c r="AQ230" s="181"/>
      <c r="AX230" s="35" t="str">
        <f>IFERROR(INDEX('G-7 Rivers Data'!$AZ$3:$AZ$7,MATCH(N230,'G-7 Rivers Data'!$AY$3:$AY$7,0)),"")</f>
        <v/>
      </c>
    </row>
    <row r="231" spans="2:50" ht="13.8" x14ac:dyDescent="0.25">
      <c r="B231" s="259" t="str">
        <f>'F-1 Off Site River Baseline'!AN229</f>
        <v/>
      </c>
      <c r="C231" s="175" t="str">
        <f>IF(B231="","",VLOOKUP($B231,'F-1 Off Site River Baseline'!$C$9:$R$257,2,FALSE))</f>
        <v/>
      </c>
      <c r="D231" s="175" t="str">
        <f>IF(C231="","",VLOOKUP($B231,'F-1 Off Site River Baseline'!$C$9:$R$257,3,FALSE))</f>
        <v/>
      </c>
      <c r="E231" s="175" t="str">
        <f>IF(D231="","",VLOOKUP($B231,'F-1 Off Site River Baseline'!$C$9:$R$257,4,FALSE))</f>
        <v/>
      </c>
      <c r="F231" s="175" t="str">
        <f>IF(E231="","",VLOOKUP($B231,'F-1 Off Site River Baseline'!$C$9:$R$257,5,FALSE))</f>
        <v/>
      </c>
      <c r="G231" s="175" t="str">
        <f>IF(F231="","",VLOOKUP($B231,'F-1 Off Site River Baseline'!$C$9:$R$257,6,FALSE))</f>
        <v/>
      </c>
      <c r="H231" s="175" t="str">
        <f>IF(G231="","",VLOOKUP($B231,'F-1 Off Site River Baseline'!$C$9:$R$257,7,FALSE))</f>
        <v/>
      </c>
      <c r="I231" s="175" t="str">
        <f>IF(H231="","",VLOOKUP($B231,'F-1 Off Site River Baseline'!$C$9:$R$257,8,FALSE))</f>
        <v/>
      </c>
      <c r="J231" s="175" t="str">
        <f>IF(I231="","",VLOOKUP($B231,'F-1 Off Site River Baseline'!$C$9:$R$257,9,FALSE))</f>
        <v/>
      </c>
      <c r="K231" s="175" t="str">
        <f>IF(J231="","",VLOOKUP($B231,'F-1 Off Site River Baseline'!$C$9:$R$257,10,FALSE))</f>
        <v/>
      </c>
      <c r="L231" s="175" t="str">
        <f>IF(B231="","",VLOOKUP($B231,'C-1 Site River Baseline'!$C$9:$R$257,15,FALSE))</f>
        <v/>
      </c>
      <c r="M231" s="176" t="str">
        <f>IF(L231="","",VLOOKUP($B231,'F-1 Off Site River Baseline'!$C$9:$R$257,16,FALSE))</f>
        <v/>
      </c>
      <c r="N231" s="639" t="str">
        <f t="shared" si="26"/>
        <v/>
      </c>
      <c r="O231" s="171" t="str">
        <f t="shared" si="27"/>
        <v/>
      </c>
      <c r="P231" s="172" t="str">
        <f>IF(C231="","",IF(AND(LEFT(C231,55)&lt;&gt;LEFT(N231,55),O231="High - High"),"Error - Not like for like",IF(AND(F231=S231,H231&gt;U231),"Error - Can not reduce condition",IF(AND(F231=S231,H231=U231,AJ231='F-1 Off Site River Baseline'!N229,'F-1 Off Site River Baseline'!P229=AL231),"Error - No enhancement",IF(AND(C231&lt;&gt;N231,F231&lt;S231),"Lower Distinctiveness Habitat"&amp;" - "&amp;T231,G231&amp;" - "&amp;T231)))))</f>
        <v/>
      </c>
      <c r="Q231" s="260" t="str">
        <f>IF(N231="","",VLOOKUP(B231,'F-1 Off Site River Baseline'!$C$10:$AA$257,19,FALSE))</f>
        <v/>
      </c>
      <c r="R231" s="171" t="str">
        <f>IF(N231="","",VLOOKUP(N231,'G-7 Rivers Data'!$B$2:$G$8,2,FALSE))</f>
        <v/>
      </c>
      <c r="S231" s="172" t="str">
        <f>IFERROR(VLOOKUP(R231,'G-7 Rivers Data'!$C$4:$D$8,2,FALSE),"")</f>
        <v/>
      </c>
      <c r="T231" s="173"/>
      <c r="U231" s="172" t="str">
        <f>IFERROR(INDEX('G-7 Rivers Data'!$H$4:$L$8,MATCH(N231,'G-7 Rivers Data'!$B$4:$B$8,0),MATCH(T231,'G-7 Rivers Data'!$H$3:$L$3,0)),"")</f>
        <v/>
      </c>
      <c r="V231" s="186"/>
      <c r="W231" s="175" t="str">
        <f>IF(V231="","",IF(VLOOKUP(V231,'G-7 Rivers Data'!$AG$4:$AI$9,2,FALSE)=0,"Spatial Data Missing",VLOOKUP(V231,'G-7 Rivers Data'!$AG$4:$AI$9,2,FALSE)))</f>
        <v/>
      </c>
      <c r="X231" s="176" t="str">
        <f>IF(V231="","",IF(VLOOKUP(V231,'G-7 Rivers Data'!$AG$4:$AI$9,3,FALSE)=0,"Spatial Data Missing",VLOOKUP(V231,'G-7 Rivers Data'!$AG$4:$AI$9,3,FALSE)))</f>
        <v/>
      </c>
      <c r="Y231" s="239" t="str">
        <f>IFERROR(IF(OR(LEFT(P231,5)="Error",LEFT(O231,5)="Error"),"Check Data",IF(F231&lt;S231,'G-7 Rivers Data'!$R$3,INDEX('G-7 Rivers Data'!$U$5:$Y$9,MATCH(G231,'G-7 Rivers Data'!$T$5:$T$9,0),MATCH(T231,'G-7 Rivers Data'!$U$4:$Y$4,0)))),"")</f>
        <v/>
      </c>
      <c r="Z231" s="275"/>
      <c r="AA231" s="275"/>
      <c r="AB231" s="175" t="str">
        <f t="shared" si="28"/>
        <v/>
      </c>
      <c r="AC231" s="262" t="str">
        <f t="shared" si="29"/>
        <v/>
      </c>
      <c r="AD231" s="382" t="str">
        <f>IFERROR(IF(AC231="Check Data","Check Data",VLOOKUP(AC231,'G-4 Temporal multipliers'!$A$4:$C$37,3,FALSE)),"")</f>
        <v/>
      </c>
      <c r="AE231" s="239" t="str">
        <f>IF(N231="","",VLOOKUP(N231,'G-7 Rivers Data'!$B$4:$G$8,5,FALSE))</f>
        <v/>
      </c>
      <c r="AF231" s="175" t="str">
        <f t="shared" si="30"/>
        <v/>
      </c>
      <c r="AG231" s="175" t="str">
        <f t="shared" si="31"/>
        <v/>
      </c>
      <c r="AH231" s="176" t="str">
        <f t="shared" si="25"/>
        <v/>
      </c>
      <c r="AI231" s="173"/>
      <c r="AJ231" s="172" t="str">
        <f>IF(AI231="","",IF(VLOOKUP(AI231,'G-7 Rivers Data'!$AA$4:$AB$7,2,FALSE)=0,"Spatial Data Missing",VLOOKUP(AI231,'G-7 Rivers Data'!$AA$4:$AB$7,2,FALSE)))</f>
        <v/>
      </c>
      <c r="AK231" s="187"/>
      <c r="AL231" s="172" t="str">
        <f>IF(AK231="","",IF(VLOOKUP(AK231,'G-7 Rivers Data'!$AD$4:$AE$8,2,FALSE)=0,"Spatial Data Missing",VLOOKUP(AK231,'G-7 Rivers Data'!$AD$4:$AE$8,2,FALSE)))</f>
        <v/>
      </c>
      <c r="AM231" s="186"/>
      <c r="AN231" s="176" t="str">
        <f>IF(AM231="","",VLOOKUP(AM231,'G-7 Rivers Data'!$AO$4:$AP$7,2,FALSE))</f>
        <v/>
      </c>
      <c r="AO231" s="265" t="str">
        <f t="shared" si="32"/>
        <v/>
      </c>
      <c r="AP231" s="180"/>
      <c r="AQ231" s="181"/>
      <c r="AX231" s="35" t="str">
        <f>IFERROR(INDEX('G-7 Rivers Data'!$AZ$3:$AZ$7,MATCH(N231,'G-7 Rivers Data'!$AY$3:$AY$7,0)),"")</f>
        <v/>
      </c>
    </row>
    <row r="232" spans="2:50" ht="13.8" x14ac:dyDescent="0.25">
      <c r="B232" s="259" t="str">
        <f>'F-1 Off Site River Baseline'!AN230</f>
        <v/>
      </c>
      <c r="C232" s="175" t="str">
        <f>IF(B232="","",VLOOKUP($B232,'F-1 Off Site River Baseline'!$C$9:$R$257,2,FALSE))</f>
        <v/>
      </c>
      <c r="D232" s="175" t="str">
        <f>IF(C232="","",VLOOKUP($B232,'F-1 Off Site River Baseline'!$C$9:$R$257,3,FALSE))</f>
        <v/>
      </c>
      <c r="E232" s="175" t="str">
        <f>IF(D232="","",VLOOKUP($B232,'F-1 Off Site River Baseline'!$C$9:$R$257,4,FALSE))</f>
        <v/>
      </c>
      <c r="F232" s="175" t="str">
        <f>IF(E232="","",VLOOKUP($B232,'F-1 Off Site River Baseline'!$C$9:$R$257,5,FALSE))</f>
        <v/>
      </c>
      <c r="G232" s="175" t="str">
        <f>IF(F232="","",VLOOKUP($B232,'F-1 Off Site River Baseline'!$C$9:$R$257,6,FALSE))</f>
        <v/>
      </c>
      <c r="H232" s="175" t="str">
        <f>IF(G232="","",VLOOKUP($B232,'F-1 Off Site River Baseline'!$C$9:$R$257,7,FALSE))</f>
        <v/>
      </c>
      <c r="I232" s="175" t="str">
        <f>IF(H232="","",VLOOKUP($B232,'F-1 Off Site River Baseline'!$C$9:$R$257,8,FALSE))</f>
        <v/>
      </c>
      <c r="J232" s="175" t="str">
        <f>IF(I232="","",VLOOKUP($B232,'F-1 Off Site River Baseline'!$C$9:$R$257,9,FALSE))</f>
        <v/>
      </c>
      <c r="K232" s="175" t="str">
        <f>IF(J232="","",VLOOKUP($B232,'F-1 Off Site River Baseline'!$C$9:$R$257,10,FALSE))</f>
        <v/>
      </c>
      <c r="L232" s="175" t="str">
        <f>IF(B232="","",VLOOKUP($B232,'C-1 Site River Baseline'!$C$9:$R$257,15,FALSE))</f>
        <v/>
      </c>
      <c r="M232" s="176" t="str">
        <f>IF(L232="","",VLOOKUP($B232,'F-1 Off Site River Baseline'!$C$9:$R$257,16,FALSE))</f>
        <v/>
      </c>
      <c r="N232" s="639" t="str">
        <f t="shared" si="26"/>
        <v/>
      </c>
      <c r="O232" s="171" t="str">
        <f t="shared" si="27"/>
        <v/>
      </c>
      <c r="P232" s="172" t="str">
        <f>IF(C232="","",IF(AND(LEFT(C232,55)&lt;&gt;LEFT(N232,55),O232="High - High"),"Error - Not like for like",IF(AND(F232=S232,H232&gt;U232),"Error - Can not reduce condition",IF(AND(F232=S232,H232=U232,AJ232='F-1 Off Site River Baseline'!N230,'F-1 Off Site River Baseline'!P230=AL232),"Error - No enhancement",IF(AND(C232&lt;&gt;N232,F232&lt;S232),"Lower Distinctiveness Habitat"&amp;" - "&amp;T232,G232&amp;" - "&amp;T232)))))</f>
        <v/>
      </c>
      <c r="Q232" s="260" t="str">
        <f>IF(N232="","",VLOOKUP(B232,'F-1 Off Site River Baseline'!$C$10:$AA$257,19,FALSE))</f>
        <v/>
      </c>
      <c r="R232" s="171" t="str">
        <f>IF(N232="","",VLOOKUP(N232,'G-7 Rivers Data'!$B$2:$G$8,2,FALSE))</f>
        <v/>
      </c>
      <c r="S232" s="172" t="str">
        <f>IFERROR(VLOOKUP(R232,'G-7 Rivers Data'!$C$4:$D$8,2,FALSE),"")</f>
        <v/>
      </c>
      <c r="T232" s="173"/>
      <c r="U232" s="172" t="str">
        <f>IFERROR(INDEX('G-7 Rivers Data'!$H$4:$L$8,MATCH(N232,'G-7 Rivers Data'!$B$4:$B$8,0),MATCH(T232,'G-7 Rivers Data'!$H$3:$L$3,0)),"")</f>
        <v/>
      </c>
      <c r="V232" s="186"/>
      <c r="W232" s="175" t="str">
        <f>IF(V232="","",IF(VLOOKUP(V232,'G-7 Rivers Data'!$AG$4:$AI$9,2,FALSE)=0,"Spatial Data Missing",VLOOKUP(V232,'G-7 Rivers Data'!$AG$4:$AI$9,2,FALSE)))</f>
        <v/>
      </c>
      <c r="X232" s="176" t="str">
        <f>IF(V232="","",IF(VLOOKUP(V232,'G-7 Rivers Data'!$AG$4:$AI$9,3,FALSE)=0,"Spatial Data Missing",VLOOKUP(V232,'G-7 Rivers Data'!$AG$4:$AI$9,3,FALSE)))</f>
        <v/>
      </c>
      <c r="Y232" s="239" t="str">
        <f>IFERROR(IF(OR(LEFT(P232,5)="Error",LEFT(O232,5)="Error"),"Check Data",IF(F232&lt;S232,'G-7 Rivers Data'!$R$3,INDEX('G-7 Rivers Data'!$U$5:$Y$9,MATCH(G232,'G-7 Rivers Data'!$T$5:$T$9,0),MATCH(T232,'G-7 Rivers Data'!$U$4:$Y$4,0)))),"")</f>
        <v/>
      </c>
      <c r="Z232" s="275"/>
      <c r="AA232" s="275"/>
      <c r="AB232" s="175" t="str">
        <f t="shared" si="28"/>
        <v/>
      </c>
      <c r="AC232" s="262" t="str">
        <f t="shared" si="29"/>
        <v/>
      </c>
      <c r="AD232" s="382" t="str">
        <f>IFERROR(IF(AC232="Check Data","Check Data",VLOOKUP(AC232,'G-4 Temporal multipliers'!$A$4:$C$37,3,FALSE)),"")</f>
        <v/>
      </c>
      <c r="AE232" s="239" t="str">
        <f>IF(N232="","",VLOOKUP(N232,'G-7 Rivers Data'!$B$4:$G$8,5,FALSE))</f>
        <v/>
      </c>
      <c r="AF232" s="175" t="str">
        <f t="shared" si="30"/>
        <v/>
      </c>
      <c r="AG232" s="175" t="str">
        <f t="shared" si="31"/>
        <v/>
      </c>
      <c r="AH232" s="176" t="str">
        <f t="shared" si="25"/>
        <v/>
      </c>
      <c r="AI232" s="173"/>
      <c r="AJ232" s="172" t="str">
        <f>IF(AI232="","",IF(VLOOKUP(AI232,'G-7 Rivers Data'!$AA$4:$AB$7,2,FALSE)=0,"Spatial Data Missing",VLOOKUP(AI232,'G-7 Rivers Data'!$AA$4:$AB$7,2,FALSE)))</f>
        <v/>
      </c>
      <c r="AK232" s="187"/>
      <c r="AL232" s="172" t="str">
        <f>IF(AK232="","",IF(VLOOKUP(AK232,'G-7 Rivers Data'!$AD$4:$AE$8,2,FALSE)=0,"Spatial Data Missing",VLOOKUP(AK232,'G-7 Rivers Data'!$AD$4:$AE$8,2,FALSE)))</f>
        <v/>
      </c>
      <c r="AM232" s="186"/>
      <c r="AN232" s="176" t="str">
        <f>IF(AM232="","",VLOOKUP(AM232,'G-7 Rivers Data'!$AO$4:$AP$7,2,FALSE))</f>
        <v/>
      </c>
      <c r="AO232" s="265" t="str">
        <f t="shared" si="32"/>
        <v/>
      </c>
      <c r="AP232" s="180"/>
      <c r="AQ232" s="181"/>
      <c r="AX232" s="35" t="str">
        <f>IFERROR(INDEX('G-7 Rivers Data'!$AZ$3:$AZ$7,MATCH(N232,'G-7 Rivers Data'!$AY$3:$AY$7,0)),"")</f>
        <v/>
      </c>
    </row>
    <row r="233" spans="2:50" ht="13.8" x14ac:dyDescent="0.25">
      <c r="B233" s="259" t="str">
        <f>'F-1 Off Site River Baseline'!AN231</f>
        <v/>
      </c>
      <c r="C233" s="175" t="str">
        <f>IF(B233="","",VLOOKUP($B233,'F-1 Off Site River Baseline'!$C$9:$R$257,2,FALSE))</f>
        <v/>
      </c>
      <c r="D233" s="175" t="str">
        <f>IF(C233="","",VLOOKUP($B233,'F-1 Off Site River Baseline'!$C$9:$R$257,3,FALSE))</f>
        <v/>
      </c>
      <c r="E233" s="175" t="str">
        <f>IF(D233="","",VLOOKUP($B233,'F-1 Off Site River Baseline'!$C$9:$R$257,4,FALSE))</f>
        <v/>
      </c>
      <c r="F233" s="175" t="str">
        <f>IF(E233="","",VLOOKUP($B233,'F-1 Off Site River Baseline'!$C$9:$R$257,5,FALSE))</f>
        <v/>
      </c>
      <c r="G233" s="175" t="str">
        <f>IF(F233="","",VLOOKUP($B233,'F-1 Off Site River Baseline'!$C$9:$R$257,6,FALSE))</f>
        <v/>
      </c>
      <c r="H233" s="175" t="str">
        <f>IF(G233="","",VLOOKUP($B233,'F-1 Off Site River Baseline'!$C$9:$R$257,7,FALSE))</f>
        <v/>
      </c>
      <c r="I233" s="175" t="str">
        <f>IF(H233="","",VLOOKUP($B233,'F-1 Off Site River Baseline'!$C$9:$R$257,8,FALSE))</f>
        <v/>
      </c>
      <c r="J233" s="175" t="str">
        <f>IF(I233="","",VLOOKUP($B233,'F-1 Off Site River Baseline'!$C$9:$R$257,9,FALSE))</f>
        <v/>
      </c>
      <c r="K233" s="175" t="str">
        <f>IF(J233="","",VLOOKUP($B233,'F-1 Off Site River Baseline'!$C$9:$R$257,10,FALSE))</f>
        <v/>
      </c>
      <c r="L233" s="175" t="str">
        <f>IF(B233="","",VLOOKUP($B233,'C-1 Site River Baseline'!$C$9:$R$257,15,FALSE))</f>
        <v/>
      </c>
      <c r="M233" s="176" t="str">
        <f>IF(L233="","",VLOOKUP($B233,'F-1 Off Site River Baseline'!$C$9:$R$257,16,FALSE))</f>
        <v/>
      </c>
      <c r="N233" s="639" t="str">
        <f t="shared" si="26"/>
        <v/>
      </c>
      <c r="O233" s="171" t="str">
        <f t="shared" si="27"/>
        <v/>
      </c>
      <c r="P233" s="172" t="str">
        <f>IF(C233="","",IF(AND(LEFT(C233,55)&lt;&gt;LEFT(N233,55),O233="High - High"),"Error - Not like for like",IF(AND(F233=S233,H233&gt;U233),"Error - Can not reduce condition",IF(AND(F233=S233,H233=U233,AJ233='F-1 Off Site River Baseline'!N231,'F-1 Off Site River Baseline'!P231=AL233),"Error - No enhancement",IF(AND(C233&lt;&gt;N233,F233&lt;S233),"Lower Distinctiveness Habitat"&amp;" - "&amp;T233,G233&amp;" - "&amp;T233)))))</f>
        <v/>
      </c>
      <c r="Q233" s="260" t="str">
        <f>IF(N233="","",VLOOKUP(B233,'F-1 Off Site River Baseline'!$C$10:$AA$257,19,FALSE))</f>
        <v/>
      </c>
      <c r="R233" s="171" t="str">
        <f>IF(N233="","",VLOOKUP(N233,'G-7 Rivers Data'!$B$2:$G$8,2,FALSE))</f>
        <v/>
      </c>
      <c r="S233" s="172" t="str">
        <f>IFERROR(VLOOKUP(R233,'G-7 Rivers Data'!$C$4:$D$8,2,FALSE),"")</f>
        <v/>
      </c>
      <c r="T233" s="173"/>
      <c r="U233" s="172" t="str">
        <f>IFERROR(INDEX('G-7 Rivers Data'!$H$4:$L$8,MATCH(N233,'G-7 Rivers Data'!$B$4:$B$8,0),MATCH(T233,'G-7 Rivers Data'!$H$3:$L$3,0)),"")</f>
        <v/>
      </c>
      <c r="V233" s="186"/>
      <c r="W233" s="175" t="str">
        <f>IF(V233="","",IF(VLOOKUP(V233,'G-7 Rivers Data'!$AG$4:$AI$9,2,FALSE)=0,"Spatial Data Missing",VLOOKUP(V233,'G-7 Rivers Data'!$AG$4:$AI$9,2,FALSE)))</f>
        <v/>
      </c>
      <c r="X233" s="176" t="str">
        <f>IF(V233="","",IF(VLOOKUP(V233,'G-7 Rivers Data'!$AG$4:$AI$9,3,FALSE)=0,"Spatial Data Missing",VLOOKUP(V233,'G-7 Rivers Data'!$AG$4:$AI$9,3,FALSE)))</f>
        <v/>
      </c>
      <c r="Y233" s="239" t="str">
        <f>IFERROR(IF(OR(LEFT(P233,5)="Error",LEFT(O233,5)="Error"),"Check Data",IF(F233&lt;S233,'G-7 Rivers Data'!$R$3,INDEX('G-7 Rivers Data'!$U$5:$Y$9,MATCH(G233,'G-7 Rivers Data'!$T$5:$T$9,0),MATCH(T233,'G-7 Rivers Data'!$U$4:$Y$4,0)))),"")</f>
        <v/>
      </c>
      <c r="Z233" s="275"/>
      <c r="AA233" s="275"/>
      <c r="AB233" s="175" t="str">
        <f t="shared" si="28"/>
        <v/>
      </c>
      <c r="AC233" s="262" t="str">
        <f t="shared" si="29"/>
        <v/>
      </c>
      <c r="AD233" s="382" t="str">
        <f>IFERROR(IF(AC233="Check Data","Check Data",VLOOKUP(AC233,'G-4 Temporal multipliers'!$A$4:$C$37,3,FALSE)),"")</f>
        <v/>
      </c>
      <c r="AE233" s="239" t="str">
        <f>IF(N233="","",VLOOKUP(N233,'G-7 Rivers Data'!$B$4:$G$8,5,FALSE))</f>
        <v/>
      </c>
      <c r="AF233" s="175" t="str">
        <f t="shared" si="30"/>
        <v/>
      </c>
      <c r="AG233" s="175" t="str">
        <f t="shared" si="31"/>
        <v/>
      </c>
      <c r="AH233" s="176" t="str">
        <f t="shared" si="25"/>
        <v/>
      </c>
      <c r="AI233" s="173"/>
      <c r="AJ233" s="172" t="str">
        <f>IF(AI233="","",IF(VLOOKUP(AI233,'G-7 Rivers Data'!$AA$4:$AB$7,2,FALSE)=0,"Spatial Data Missing",VLOOKUP(AI233,'G-7 Rivers Data'!$AA$4:$AB$7,2,FALSE)))</f>
        <v/>
      </c>
      <c r="AK233" s="187"/>
      <c r="AL233" s="172" t="str">
        <f>IF(AK233="","",IF(VLOOKUP(AK233,'G-7 Rivers Data'!$AD$4:$AE$8,2,FALSE)=0,"Spatial Data Missing",VLOOKUP(AK233,'G-7 Rivers Data'!$AD$4:$AE$8,2,FALSE)))</f>
        <v/>
      </c>
      <c r="AM233" s="186"/>
      <c r="AN233" s="176" t="str">
        <f>IF(AM233="","",VLOOKUP(AM233,'G-7 Rivers Data'!$AO$4:$AP$7,2,FALSE))</f>
        <v/>
      </c>
      <c r="AO233" s="265" t="str">
        <f t="shared" si="32"/>
        <v/>
      </c>
      <c r="AP233" s="180"/>
      <c r="AQ233" s="181"/>
      <c r="AX233" s="35" t="str">
        <f>IFERROR(INDEX('G-7 Rivers Data'!$AZ$3:$AZ$7,MATCH(N233,'G-7 Rivers Data'!$AY$3:$AY$7,0)),"")</f>
        <v/>
      </c>
    </row>
    <row r="234" spans="2:50" ht="13.8" x14ac:dyDescent="0.25">
      <c r="B234" s="259" t="str">
        <f>'F-1 Off Site River Baseline'!AN232</f>
        <v/>
      </c>
      <c r="C234" s="175" t="str">
        <f>IF(B234="","",VLOOKUP($B234,'F-1 Off Site River Baseline'!$C$9:$R$257,2,FALSE))</f>
        <v/>
      </c>
      <c r="D234" s="175" t="str">
        <f>IF(C234="","",VLOOKUP($B234,'F-1 Off Site River Baseline'!$C$9:$R$257,3,FALSE))</f>
        <v/>
      </c>
      <c r="E234" s="175" t="str">
        <f>IF(D234="","",VLOOKUP($B234,'F-1 Off Site River Baseline'!$C$9:$R$257,4,FALSE))</f>
        <v/>
      </c>
      <c r="F234" s="175" t="str">
        <f>IF(E234="","",VLOOKUP($B234,'F-1 Off Site River Baseline'!$C$9:$R$257,5,FALSE))</f>
        <v/>
      </c>
      <c r="G234" s="175" t="str">
        <f>IF(F234="","",VLOOKUP($B234,'F-1 Off Site River Baseline'!$C$9:$R$257,6,FALSE))</f>
        <v/>
      </c>
      <c r="H234" s="175" t="str">
        <f>IF(G234="","",VLOOKUP($B234,'F-1 Off Site River Baseline'!$C$9:$R$257,7,FALSE))</f>
        <v/>
      </c>
      <c r="I234" s="175" t="str">
        <f>IF(H234="","",VLOOKUP($B234,'F-1 Off Site River Baseline'!$C$9:$R$257,8,FALSE))</f>
        <v/>
      </c>
      <c r="J234" s="175" t="str">
        <f>IF(I234="","",VLOOKUP($B234,'F-1 Off Site River Baseline'!$C$9:$R$257,9,FALSE))</f>
        <v/>
      </c>
      <c r="K234" s="175" t="str">
        <f>IF(J234="","",VLOOKUP($B234,'F-1 Off Site River Baseline'!$C$9:$R$257,10,FALSE))</f>
        <v/>
      </c>
      <c r="L234" s="175" t="str">
        <f>IF(B234="","",VLOOKUP($B234,'C-1 Site River Baseline'!$C$9:$R$257,15,FALSE))</f>
        <v/>
      </c>
      <c r="M234" s="176" t="str">
        <f>IF(L234="","",VLOOKUP($B234,'F-1 Off Site River Baseline'!$C$9:$R$257,16,FALSE))</f>
        <v/>
      </c>
      <c r="N234" s="639" t="str">
        <f t="shared" si="26"/>
        <v/>
      </c>
      <c r="O234" s="171" t="str">
        <f t="shared" si="27"/>
        <v/>
      </c>
      <c r="P234" s="172" t="str">
        <f>IF(C234="","",IF(AND(LEFT(C234,55)&lt;&gt;LEFT(N234,55),O234="High - High"),"Error - Not like for like",IF(AND(F234=S234,H234&gt;U234),"Error - Can not reduce condition",IF(AND(F234=S234,H234=U234,AJ234='F-1 Off Site River Baseline'!N232,'F-1 Off Site River Baseline'!P232=AL234),"Error - No enhancement",IF(AND(C234&lt;&gt;N234,F234&lt;S234),"Lower Distinctiveness Habitat"&amp;" - "&amp;T234,G234&amp;" - "&amp;T234)))))</f>
        <v/>
      </c>
      <c r="Q234" s="260" t="str">
        <f>IF(N234="","",VLOOKUP(B234,'F-1 Off Site River Baseline'!$C$10:$AA$257,19,FALSE))</f>
        <v/>
      </c>
      <c r="R234" s="171" t="str">
        <f>IF(N234="","",VLOOKUP(N234,'G-7 Rivers Data'!$B$2:$G$8,2,FALSE))</f>
        <v/>
      </c>
      <c r="S234" s="172" t="str">
        <f>IFERROR(VLOOKUP(R234,'G-7 Rivers Data'!$C$4:$D$8,2,FALSE),"")</f>
        <v/>
      </c>
      <c r="T234" s="173"/>
      <c r="U234" s="172" t="str">
        <f>IFERROR(INDEX('G-7 Rivers Data'!$H$4:$L$8,MATCH(N234,'G-7 Rivers Data'!$B$4:$B$8,0),MATCH(T234,'G-7 Rivers Data'!$H$3:$L$3,0)),"")</f>
        <v/>
      </c>
      <c r="V234" s="186"/>
      <c r="W234" s="175" t="str">
        <f>IF(V234="","",IF(VLOOKUP(V234,'G-7 Rivers Data'!$AG$4:$AI$9,2,FALSE)=0,"Spatial Data Missing",VLOOKUP(V234,'G-7 Rivers Data'!$AG$4:$AI$9,2,FALSE)))</f>
        <v/>
      </c>
      <c r="X234" s="176" t="str">
        <f>IF(V234="","",IF(VLOOKUP(V234,'G-7 Rivers Data'!$AG$4:$AI$9,3,FALSE)=0,"Spatial Data Missing",VLOOKUP(V234,'G-7 Rivers Data'!$AG$4:$AI$9,3,FALSE)))</f>
        <v/>
      </c>
      <c r="Y234" s="239" t="str">
        <f>IFERROR(IF(OR(LEFT(P234,5)="Error",LEFT(O234,5)="Error"),"Check Data",IF(F234&lt;S234,'G-7 Rivers Data'!$R$3,INDEX('G-7 Rivers Data'!$U$5:$Y$9,MATCH(G234,'G-7 Rivers Data'!$T$5:$T$9,0),MATCH(T234,'G-7 Rivers Data'!$U$4:$Y$4,0)))),"")</f>
        <v/>
      </c>
      <c r="Z234" s="275"/>
      <c r="AA234" s="275"/>
      <c r="AB234" s="175" t="str">
        <f t="shared" si="28"/>
        <v/>
      </c>
      <c r="AC234" s="262" t="str">
        <f t="shared" si="29"/>
        <v/>
      </c>
      <c r="AD234" s="382" t="str">
        <f>IFERROR(IF(AC234="Check Data","Check Data",VLOOKUP(AC234,'G-4 Temporal multipliers'!$A$4:$C$37,3,FALSE)),"")</f>
        <v/>
      </c>
      <c r="AE234" s="239" t="str">
        <f>IF(N234="","",VLOOKUP(N234,'G-7 Rivers Data'!$B$4:$G$8,5,FALSE))</f>
        <v/>
      </c>
      <c r="AF234" s="175" t="str">
        <f t="shared" si="30"/>
        <v/>
      </c>
      <c r="AG234" s="175" t="str">
        <f t="shared" si="31"/>
        <v/>
      </c>
      <c r="AH234" s="176" t="str">
        <f t="shared" si="25"/>
        <v/>
      </c>
      <c r="AI234" s="173"/>
      <c r="AJ234" s="172" t="str">
        <f>IF(AI234="","",IF(VLOOKUP(AI234,'G-7 Rivers Data'!$AA$4:$AB$7,2,FALSE)=0,"Spatial Data Missing",VLOOKUP(AI234,'G-7 Rivers Data'!$AA$4:$AB$7,2,FALSE)))</f>
        <v/>
      </c>
      <c r="AK234" s="187"/>
      <c r="AL234" s="172" t="str">
        <f>IF(AK234="","",IF(VLOOKUP(AK234,'G-7 Rivers Data'!$AD$4:$AE$8,2,FALSE)=0,"Spatial Data Missing",VLOOKUP(AK234,'G-7 Rivers Data'!$AD$4:$AE$8,2,FALSE)))</f>
        <v/>
      </c>
      <c r="AM234" s="186"/>
      <c r="AN234" s="176" t="str">
        <f>IF(AM234="","",VLOOKUP(AM234,'G-7 Rivers Data'!$AO$4:$AP$7,2,FALSE))</f>
        <v/>
      </c>
      <c r="AO234" s="265" t="str">
        <f t="shared" si="32"/>
        <v/>
      </c>
      <c r="AP234" s="180"/>
      <c r="AQ234" s="181"/>
      <c r="AX234" s="35" t="str">
        <f>IFERROR(INDEX('G-7 Rivers Data'!$AZ$3:$AZ$7,MATCH(N234,'G-7 Rivers Data'!$AY$3:$AY$7,0)),"")</f>
        <v/>
      </c>
    </row>
    <row r="235" spans="2:50" ht="13.8" x14ac:dyDescent="0.25">
      <c r="B235" s="259" t="str">
        <f>'F-1 Off Site River Baseline'!AN233</f>
        <v/>
      </c>
      <c r="C235" s="175" t="str">
        <f>IF(B235="","",VLOOKUP($B235,'F-1 Off Site River Baseline'!$C$9:$R$257,2,FALSE))</f>
        <v/>
      </c>
      <c r="D235" s="175" t="str">
        <f>IF(C235="","",VLOOKUP($B235,'F-1 Off Site River Baseline'!$C$9:$R$257,3,FALSE))</f>
        <v/>
      </c>
      <c r="E235" s="175" t="str">
        <f>IF(D235="","",VLOOKUP($B235,'F-1 Off Site River Baseline'!$C$9:$R$257,4,FALSE))</f>
        <v/>
      </c>
      <c r="F235" s="175" t="str">
        <f>IF(E235="","",VLOOKUP($B235,'F-1 Off Site River Baseline'!$C$9:$R$257,5,FALSE))</f>
        <v/>
      </c>
      <c r="G235" s="175" t="str">
        <f>IF(F235="","",VLOOKUP($B235,'F-1 Off Site River Baseline'!$C$9:$R$257,6,FALSE))</f>
        <v/>
      </c>
      <c r="H235" s="175" t="str">
        <f>IF(G235="","",VLOOKUP($B235,'F-1 Off Site River Baseline'!$C$9:$R$257,7,FALSE))</f>
        <v/>
      </c>
      <c r="I235" s="175" t="str">
        <f>IF(H235="","",VLOOKUP($B235,'F-1 Off Site River Baseline'!$C$9:$R$257,8,FALSE))</f>
        <v/>
      </c>
      <c r="J235" s="175" t="str">
        <f>IF(I235="","",VLOOKUP($B235,'F-1 Off Site River Baseline'!$C$9:$R$257,9,FALSE))</f>
        <v/>
      </c>
      <c r="K235" s="175" t="str">
        <f>IF(J235="","",VLOOKUP($B235,'F-1 Off Site River Baseline'!$C$9:$R$257,10,FALSE))</f>
        <v/>
      </c>
      <c r="L235" s="175" t="str">
        <f>IF(B235="","",VLOOKUP($B235,'C-1 Site River Baseline'!$C$9:$R$257,15,FALSE))</f>
        <v/>
      </c>
      <c r="M235" s="176" t="str">
        <f>IF(L235="","",VLOOKUP($B235,'F-1 Off Site River Baseline'!$C$9:$R$257,16,FALSE))</f>
        <v/>
      </c>
      <c r="N235" s="639" t="str">
        <f t="shared" si="26"/>
        <v/>
      </c>
      <c r="O235" s="171" t="str">
        <f t="shared" si="27"/>
        <v/>
      </c>
      <c r="P235" s="172" t="str">
        <f>IF(C235="","",IF(AND(LEFT(C235,55)&lt;&gt;LEFT(N235,55),O235="High - High"),"Error - Not like for like",IF(AND(F235=S235,H235&gt;U235),"Error - Can not reduce condition",IF(AND(F235=S235,H235=U235,AJ235='F-1 Off Site River Baseline'!N233,'F-1 Off Site River Baseline'!P233=AL235),"Error - No enhancement",IF(AND(C235&lt;&gt;N235,F235&lt;S235),"Lower Distinctiveness Habitat"&amp;" - "&amp;T235,G235&amp;" - "&amp;T235)))))</f>
        <v/>
      </c>
      <c r="Q235" s="260" t="str">
        <f>IF(N235="","",VLOOKUP(B235,'F-1 Off Site River Baseline'!$C$10:$AA$257,19,FALSE))</f>
        <v/>
      </c>
      <c r="R235" s="171" t="str">
        <f>IF(N235="","",VLOOKUP(N235,'G-7 Rivers Data'!$B$2:$G$8,2,FALSE))</f>
        <v/>
      </c>
      <c r="S235" s="172" t="str">
        <f>IFERROR(VLOOKUP(R235,'G-7 Rivers Data'!$C$4:$D$8,2,FALSE),"")</f>
        <v/>
      </c>
      <c r="T235" s="173"/>
      <c r="U235" s="172" t="str">
        <f>IFERROR(INDEX('G-7 Rivers Data'!$H$4:$L$8,MATCH(N235,'G-7 Rivers Data'!$B$4:$B$8,0),MATCH(T235,'G-7 Rivers Data'!$H$3:$L$3,0)),"")</f>
        <v/>
      </c>
      <c r="V235" s="186"/>
      <c r="W235" s="175" t="str">
        <f>IF(V235="","",IF(VLOOKUP(V235,'G-7 Rivers Data'!$AG$4:$AI$9,2,FALSE)=0,"Spatial Data Missing",VLOOKUP(V235,'G-7 Rivers Data'!$AG$4:$AI$9,2,FALSE)))</f>
        <v/>
      </c>
      <c r="X235" s="176" t="str">
        <f>IF(V235="","",IF(VLOOKUP(V235,'G-7 Rivers Data'!$AG$4:$AI$9,3,FALSE)=0,"Spatial Data Missing",VLOOKUP(V235,'G-7 Rivers Data'!$AG$4:$AI$9,3,FALSE)))</f>
        <v/>
      </c>
      <c r="Y235" s="239" t="str">
        <f>IFERROR(IF(OR(LEFT(P235,5)="Error",LEFT(O235,5)="Error"),"Check Data",IF(F235&lt;S235,'G-7 Rivers Data'!$R$3,INDEX('G-7 Rivers Data'!$U$5:$Y$9,MATCH(G235,'G-7 Rivers Data'!$T$5:$T$9,0),MATCH(T235,'G-7 Rivers Data'!$U$4:$Y$4,0)))),"")</f>
        <v/>
      </c>
      <c r="Z235" s="275"/>
      <c r="AA235" s="275"/>
      <c r="AB235" s="175" t="str">
        <f t="shared" si="28"/>
        <v/>
      </c>
      <c r="AC235" s="262" t="str">
        <f t="shared" si="29"/>
        <v/>
      </c>
      <c r="AD235" s="382" t="str">
        <f>IFERROR(IF(AC235="Check Data","Check Data",VLOOKUP(AC235,'G-4 Temporal multipliers'!$A$4:$C$37,3,FALSE)),"")</f>
        <v/>
      </c>
      <c r="AE235" s="239" t="str">
        <f>IF(N235="","",VLOOKUP(N235,'G-7 Rivers Data'!$B$4:$G$8,5,FALSE))</f>
        <v/>
      </c>
      <c r="AF235" s="175" t="str">
        <f t="shared" si="30"/>
        <v/>
      </c>
      <c r="AG235" s="175" t="str">
        <f t="shared" si="31"/>
        <v/>
      </c>
      <c r="AH235" s="176" t="str">
        <f t="shared" si="25"/>
        <v/>
      </c>
      <c r="AI235" s="173"/>
      <c r="AJ235" s="172" t="str">
        <f>IF(AI235="","",IF(VLOOKUP(AI235,'G-7 Rivers Data'!$AA$4:$AB$7,2,FALSE)=0,"Spatial Data Missing",VLOOKUP(AI235,'G-7 Rivers Data'!$AA$4:$AB$7,2,FALSE)))</f>
        <v/>
      </c>
      <c r="AK235" s="187"/>
      <c r="AL235" s="172" t="str">
        <f>IF(AK235="","",IF(VLOOKUP(AK235,'G-7 Rivers Data'!$AD$4:$AE$8,2,FALSE)=0,"Spatial Data Missing",VLOOKUP(AK235,'G-7 Rivers Data'!$AD$4:$AE$8,2,FALSE)))</f>
        <v/>
      </c>
      <c r="AM235" s="186"/>
      <c r="AN235" s="176" t="str">
        <f>IF(AM235="","",VLOOKUP(AM235,'G-7 Rivers Data'!$AO$4:$AP$7,2,FALSE))</f>
        <v/>
      </c>
      <c r="AO235" s="265" t="str">
        <f t="shared" si="32"/>
        <v/>
      </c>
      <c r="AP235" s="180"/>
      <c r="AQ235" s="181"/>
      <c r="AX235" s="35" t="str">
        <f>IFERROR(INDEX('G-7 Rivers Data'!$AZ$3:$AZ$7,MATCH(N235,'G-7 Rivers Data'!$AY$3:$AY$7,0)),"")</f>
        <v/>
      </c>
    </row>
    <row r="236" spans="2:50" ht="13.8" x14ac:dyDescent="0.25">
      <c r="B236" s="259" t="str">
        <f>'F-1 Off Site River Baseline'!AN234</f>
        <v/>
      </c>
      <c r="C236" s="175" t="str">
        <f>IF(B236="","",VLOOKUP($B236,'F-1 Off Site River Baseline'!$C$9:$R$257,2,FALSE))</f>
        <v/>
      </c>
      <c r="D236" s="175" t="str">
        <f>IF(C236="","",VLOOKUP($B236,'F-1 Off Site River Baseline'!$C$9:$R$257,3,FALSE))</f>
        <v/>
      </c>
      <c r="E236" s="175" t="str">
        <f>IF(D236="","",VLOOKUP($B236,'F-1 Off Site River Baseline'!$C$9:$R$257,4,FALSE))</f>
        <v/>
      </c>
      <c r="F236" s="175" t="str">
        <f>IF(E236="","",VLOOKUP($B236,'F-1 Off Site River Baseline'!$C$9:$R$257,5,FALSE))</f>
        <v/>
      </c>
      <c r="G236" s="175" t="str">
        <f>IF(F236="","",VLOOKUP($B236,'F-1 Off Site River Baseline'!$C$9:$R$257,6,FALSE))</f>
        <v/>
      </c>
      <c r="H236" s="175" t="str">
        <f>IF(G236="","",VLOOKUP($B236,'F-1 Off Site River Baseline'!$C$9:$R$257,7,FALSE))</f>
        <v/>
      </c>
      <c r="I236" s="175" t="str">
        <f>IF(H236="","",VLOOKUP($B236,'F-1 Off Site River Baseline'!$C$9:$R$257,8,FALSE))</f>
        <v/>
      </c>
      <c r="J236" s="175" t="str">
        <f>IF(I236="","",VLOOKUP($B236,'F-1 Off Site River Baseline'!$C$9:$R$257,9,FALSE))</f>
        <v/>
      </c>
      <c r="K236" s="175" t="str">
        <f>IF(J236="","",VLOOKUP($B236,'F-1 Off Site River Baseline'!$C$9:$R$257,10,FALSE))</f>
        <v/>
      </c>
      <c r="L236" s="175" t="str">
        <f>IF(B236="","",VLOOKUP($B236,'C-1 Site River Baseline'!$C$9:$R$257,15,FALSE))</f>
        <v/>
      </c>
      <c r="M236" s="176" t="str">
        <f>IF(L236="","",VLOOKUP($B236,'F-1 Off Site River Baseline'!$C$9:$R$257,16,FALSE))</f>
        <v/>
      </c>
      <c r="N236" s="639" t="str">
        <f t="shared" si="26"/>
        <v/>
      </c>
      <c r="O236" s="171" t="str">
        <f t="shared" si="27"/>
        <v/>
      </c>
      <c r="P236" s="172" t="str">
        <f>IF(C236="","",IF(AND(LEFT(C236,55)&lt;&gt;LEFT(N236,55),O236="High - High"),"Error - Not like for like",IF(AND(F236=S236,H236&gt;U236),"Error - Can not reduce condition",IF(AND(F236=S236,H236=U236,AJ236='F-1 Off Site River Baseline'!N234,'F-1 Off Site River Baseline'!P234=AL236),"Error - No enhancement",IF(AND(C236&lt;&gt;N236,F236&lt;S236),"Lower Distinctiveness Habitat"&amp;" - "&amp;T236,G236&amp;" - "&amp;T236)))))</f>
        <v/>
      </c>
      <c r="Q236" s="260" t="str">
        <f>IF(N236="","",VLOOKUP(B236,'F-1 Off Site River Baseline'!$C$10:$AA$257,19,FALSE))</f>
        <v/>
      </c>
      <c r="R236" s="171" t="str">
        <f>IF(N236="","",VLOOKUP(N236,'G-7 Rivers Data'!$B$2:$G$8,2,FALSE))</f>
        <v/>
      </c>
      <c r="S236" s="172" t="str">
        <f>IFERROR(VLOOKUP(R236,'G-7 Rivers Data'!$C$4:$D$8,2,FALSE),"")</f>
        <v/>
      </c>
      <c r="T236" s="173"/>
      <c r="U236" s="172" t="str">
        <f>IFERROR(INDEX('G-7 Rivers Data'!$H$4:$L$8,MATCH(N236,'G-7 Rivers Data'!$B$4:$B$8,0),MATCH(T236,'G-7 Rivers Data'!$H$3:$L$3,0)),"")</f>
        <v/>
      </c>
      <c r="V236" s="186"/>
      <c r="W236" s="175" t="str">
        <f>IF(V236="","",IF(VLOOKUP(V236,'G-7 Rivers Data'!$AG$4:$AI$9,2,FALSE)=0,"Spatial Data Missing",VLOOKUP(V236,'G-7 Rivers Data'!$AG$4:$AI$9,2,FALSE)))</f>
        <v/>
      </c>
      <c r="X236" s="176" t="str">
        <f>IF(V236="","",IF(VLOOKUP(V236,'G-7 Rivers Data'!$AG$4:$AI$9,3,FALSE)=0,"Spatial Data Missing",VLOOKUP(V236,'G-7 Rivers Data'!$AG$4:$AI$9,3,FALSE)))</f>
        <v/>
      </c>
      <c r="Y236" s="239" t="str">
        <f>IFERROR(IF(OR(LEFT(P236,5)="Error",LEFT(O236,5)="Error"),"Check Data",IF(F236&lt;S236,'G-7 Rivers Data'!$R$3,INDEX('G-7 Rivers Data'!$U$5:$Y$9,MATCH(G236,'G-7 Rivers Data'!$T$5:$T$9,0),MATCH(T236,'G-7 Rivers Data'!$U$4:$Y$4,0)))),"")</f>
        <v/>
      </c>
      <c r="Z236" s="275"/>
      <c r="AA236" s="275"/>
      <c r="AB236" s="175" t="str">
        <f t="shared" si="28"/>
        <v/>
      </c>
      <c r="AC236" s="262" t="str">
        <f t="shared" si="29"/>
        <v/>
      </c>
      <c r="AD236" s="382" t="str">
        <f>IFERROR(IF(AC236="Check Data","Check Data",VLOOKUP(AC236,'G-4 Temporal multipliers'!$A$4:$C$37,3,FALSE)),"")</f>
        <v/>
      </c>
      <c r="AE236" s="239" t="str">
        <f>IF(N236="","",VLOOKUP(N236,'G-7 Rivers Data'!$B$4:$G$8,5,FALSE))</f>
        <v/>
      </c>
      <c r="AF236" s="175" t="str">
        <f t="shared" si="30"/>
        <v/>
      </c>
      <c r="AG236" s="175" t="str">
        <f t="shared" si="31"/>
        <v/>
      </c>
      <c r="AH236" s="176" t="str">
        <f t="shared" si="25"/>
        <v/>
      </c>
      <c r="AI236" s="173"/>
      <c r="AJ236" s="172" t="str">
        <f>IF(AI236="","",IF(VLOOKUP(AI236,'G-7 Rivers Data'!$AA$4:$AB$7,2,FALSE)=0,"Spatial Data Missing",VLOOKUP(AI236,'G-7 Rivers Data'!$AA$4:$AB$7,2,FALSE)))</f>
        <v/>
      </c>
      <c r="AK236" s="187"/>
      <c r="AL236" s="172" t="str">
        <f>IF(AK236="","",IF(VLOOKUP(AK236,'G-7 Rivers Data'!$AD$4:$AE$8,2,FALSE)=0,"Spatial Data Missing",VLOOKUP(AK236,'G-7 Rivers Data'!$AD$4:$AE$8,2,FALSE)))</f>
        <v/>
      </c>
      <c r="AM236" s="186"/>
      <c r="AN236" s="176" t="str">
        <f>IF(AM236="","",VLOOKUP(AM236,'G-7 Rivers Data'!$AO$4:$AP$7,2,FALSE))</f>
        <v/>
      </c>
      <c r="AO236" s="265" t="str">
        <f t="shared" si="32"/>
        <v/>
      </c>
      <c r="AP236" s="180"/>
      <c r="AQ236" s="181"/>
      <c r="AX236" s="35" t="str">
        <f>IFERROR(INDEX('G-7 Rivers Data'!$AZ$3:$AZ$7,MATCH(N236,'G-7 Rivers Data'!$AY$3:$AY$7,0)),"")</f>
        <v/>
      </c>
    </row>
    <row r="237" spans="2:50" ht="13.8" x14ac:dyDescent="0.25">
      <c r="B237" s="259" t="str">
        <f>'F-1 Off Site River Baseline'!AN235</f>
        <v/>
      </c>
      <c r="C237" s="175" t="str">
        <f>IF(B237="","",VLOOKUP($B237,'F-1 Off Site River Baseline'!$C$9:$R$257,2,FALSE))</f>
        <v/>
      </c>
      <c r="D237" s="175" t="str">
        <f>IF(C237="","",VLOOKUP($B237,'F-1 Off Site River Baseline'!$C$9:$R$257,3,FALSE))</f>
        <v/>
      </c>
      <c r="E237" s="175" t="str">
        <f>IF(D237="","",VLOOKUP($B237,'F-1 Off Site River Baseline'!$C$9:$R$257,4,FALSE))</f>
        <v/>
      </c>
      <c r="F237" s="175" t="str">
        <f>IF(E237="","",VLOOKUP($B237,'F-1 Off Site River Baseline'!$C$9:$R$257,5,FALSE))</f>
        <v/>
      </c>
      <c r="G237" s="175" t="str">
        <f>IF(F237="","",VLOOKUP($B237,'F-1 Off Site River Baseline'!$C$9:$R$257,6,FALSE))</f>
        <v/>
      </c>
      <c r="H237" s="175" t="str">
        <f>IF(G237="","",VLOOKUP($B237,'F-1 Off Site River Baseline'!$C$9:$R$257,7,FALSE))</f>
        <v/>
      </c>
      <c r="I237" s="175" t="str">
        <f>IF(H237="","",VLOOKUP($B237,'F-1 Off Site River Baseline'!$C$9:$R$257,8,FALSE))</f>
        <v/>
      </c>
      <c r="J237" s="175" t="str">
        <f>IF(I237="","",VLOOKUP($B237,'F-1 Off Site River Baseline'!$C$9:$R$257,9,FALSE))</f>
        <v/>
      </c>
      <c r="K237" s="175" t="str">
        <f>IF(J237="","",VLOOKUP($B237,'F-1 Off Site River Baseline'!$C$9:$R$257,10,FALSE))</f>
        <v/>
      </c>
      <c r="L237" s="175" t="str">
        <f>IF(B237="","",VLOOKUP($B237,'C-1 Site River Baseline'!$C$9:$R$257,15,FALSE))</f>
        <v/>
      </c>
      <c r="M237" s="176" t="str">
        <f>IF(L237="","",VLOOKUP($B237,'F-1 Off Site River Baseline'!$C$9:$R$257,16,FALSE))</f>
        <v/>
      </c>
      <c r="N237" s="639" t="str">
        <f t="shared" si="26"/>
        <v/>
      </c>
      <c r="O237" s="171" t="str">
        <f t="shared" si="27"/>
        <v/>
      </c>
      <c r="P237" s="172" t="str">
        <f>IF(C237="","",IF(AND(LEFT(C237,55)&lt;&gt;LEFT(N237,55),O237="High - High"),"Error - Not like for like",IF(AND(F237=S237,H237&gt;U237),"Error - Can not reduce condition",IF(AND(F237=S237,H237=U237,AJ237='F-1 Off Site River Baseline'!N235,'F-1 Off Site River Baseline'!P235=AL237),"Error - No enhancement",IF(AND(C237&lt;&gt;N237,F237&lt;S237),"Lower Distinctiveness Habitat"&amp;" - "&amp;T237,G237&amp;" - "&amp;T237)))))</f>
        <v/>
      </c>
      <c r="Q237" s="260" t="str">
        <f>IF(N237="","",VLOOKUP(B237,'F-1 Off Site River Baseline'!$C$10:$AA$257,19,FALSE))</f>
        <v/>
      </c>
      <c r="R237" s="171" t="str">
        <f>IF(N237="","",VLOOKUP(N237,'G-7 Rivers Data'!$B$2:$G$8,2,FALSE))</f>
        <v/>
      </c>
      <c r="S237" s="172" t="str">
        <f>IFERROR(VLOOKUP(R237,'G-7 Rivers Data'!$C$4:$D$8,2,FALSE),"")</f>
        <v/>
      </c>
      <c r="T237" s="173"/>
      <c r="U237" s="172" t="str">
        <f>IFERROR(INDEX('G-7 Rivers Data'!$H$4:$L$8,MATCH(N237,'G-7 Rivers Data'!$B$4:$B$8,0),MATCH(T237,'G-7 Rivers Data'!$H$3:$L$3,0)),"")</f>
        <v/>
      </c>
      <c r="V237" s="186"/>
      <c r="W237" s="175" t="str">
        <f>IF(V237="","",IF(VLOOKUP(V237,'G-7 Rivers Data'!$AG$4:$AI$9,2,FALSE)=0,"Spatial Data Missing",VLOOKUP(V237,'G-7 Rivers Data'!$AG$4:$AI$9,2,FALSE)))</f>
        <v/>
      </c>
      <c r="X237" s="176" t="str">
        <f>IF(V237="","",IF(VLOOKUP(V237,'G-7 Rivers Data'!$AG$4:$AI$9,3,FALSE)=0,"Spatial Data Missing",VLOOKUP(V237,'G-7 Rivers Data'!$AG$4:$AI$9,3,FALSE)))</f>
        <v/>
      </c>
      <c r="Y237" s="239" t="str">
        <f>IFERROR(IF(OR(LEFT(P237,5)="Error",LEFT(O237,5)="Error"),"Check Data",IF(F237&lt;S237,'G-7 Rivers Data'!$R$3,INDEX('G-7 Rivers Data'!$U$5:$Y$9,MATCH(G237,'G-7 Rivers Data'!$T$5:$T$9,0),MATCH(T237,'G-7 Rivers Data'!$U$4:$Y$4,0)))),"")</f>
        <v/>
      </c>
      <c r="Z237" s="275"/>
      <c r="AA237" s="275"/>
      <c r="AB237" s="175" t="str">
        <f t="shared" si="28"/>
        <v/>
      </c>
      <c r="AC237" s="262" t="str">
        <f t="shared" si="29"/>
        <v/>
      </c>
      <c r="AD237" s="382" t="str">
        <f>IFERROR(IF(AC237="Check Data","Check Data",VLOOKUP(AC237,'G-4 Temporal multipliers'!$A$4:$C$37,3,FALSE)),"")</f>
        <v/>
      </c>
      <c r="AE237" s="239" t="str">
        <f>IF(N237="","",VLOOKUP(N237,'G-7 Rivers Data'!$B$4:$G$8,5,FALSE))</f>
        <v/>
      </c>
      <c r="AF237" s="175" t="str">
        <f t="shared" si="30"/>
        <v/>
      </c>
      <c r="AG237" s="175" t="str">
        <f t="shared" si="31"/>
        <v/>
      </c>
      <c r="AH237" s="176" t="str">
        <f t="shared" si="25"/>
        <v/>
      </c>
      <c r="AI237" s="173"/>
      <c r="AJ237" s="172" t="str">
        <f>IF(AI237="","",IF(VLOOKUP(AI237,'G-7 Rivers Data'!$AA$4:$AB$7,2,FALSE)=0,"Spatial Data Missing",VLOOKUP(AI237,'G-7 Rivers Data'!$AA$4:$AB$7,2,FALSE)))</f>
        <v/>
      </c>
      <c r="AK237" s="187"/>
      <c r="AL237" s="172" t="str">
        <f>IF(AK237="","",IF(VLOOKUP(AK237,'G-7 Rivers Data'!$AD$4:$AE$8,2,FALSE)=0,"Spatial Data Missing",VLOOKUP(AK237,'G-7 Rivers Data'!$AD$4:$AE$8,2,FALSE)))</f>
        <v/>
      </c>
      <c r="AM237" s="186"/>
      <c r="AN237" s="176" t="str">
        <f>IF(AM237="","",VLOOKUP(AM237,'G-7 Rivers Data'!$AO$4:$AP$7,2,FALSE))</f>
        <v/>
      </c>
      <c r="AO237" s="265" t="str">
        <f t="shared" si="32"/>
        <v/>
      </c>
      <c r="AP237" s="180"/>
      <c r="AQ237" s="181"/>
      <c r="AX237" s="35" t="str">
        <f>IFERROR(INDEX('G-7 Rivers Data'!$AZ$3:$AZ$7,MATCH(N237,'G-7 Rivers Data'!$AY$3:$AY$7,0)),"")</f>
        <v/>
      </c>
    </row>
    <row r="238" spans="2:50" ht="13.8" x14ac:dyDescent="0.25">
      <c r="B238" s="259" t="str">
        <f>'F-1 Off Site River Baseline'!AN236</f>
        <v/>
      </c>
      <c r="C238" s="175" t="str">
        <f>IF(B238="","",VLOOKUP($B238,'F-1 Off Site River Baseline'!$C$9:$R$257,2,FALSE))</f>
        <v/>
      </c>
      <c r="D238" s="175" t="str">
        <f>IF(C238="","",VLOOKUP($B238,'F-1 Off Site River Baseline'!$C$9:$R$257,3,FALSE))</f>
        <v/>
      </c>
      <c r="E238" s="175" t="str">
        <f>IF(D238="","",VLOOKUP($B238,'F-1 Off Site River Baseline'!$C$9:$R$257,4,FALSE))</f>
        <v/>
      </c>
      <c r="F238" s="175" t="str">
        <f>IF(E238="","",VLOOKUP($B238,'F-1 Off Site River Baseline'!$C$9:$R$257,5,FALSE))</f>
        <v/>
      </c>
      <c r="G238" s="175" t="str">
        <f>IF(F238="","",VLOOKUP($B238,'F-1 Off Site River Baseline'!$C$9:$R$257,6,FALSE))</f>
        <v/>
      </c>
      <c r="H238" s="175" t="str">
        <f>IF(G238="","",VLOOKUP($B238,'F-1 Off Site River Baseline'!$C$9:$R$257,7,FALSE))</f>
        <v/>
      </c>
      <c r="I238" s="175" t="str">
        <f>IF(H238="","",VLOOKUP($B238,'F-1 Off Site River Baseline'!$C$9:$R$257,8,FALSE))</f>
        <v/>
      </c>
      <c r="J238" s="175" t="str">
        <f>IF(I238="","",VLOOKUP($B238,'F-1 Off Site River Baseline'!$C$9:$R$257,9,FALSE))</f>
        <v/>
      </c>
      <c r="K238" s="175" t="str">
        <f>IF(J238="","",VLOOKUP($B238,'F-1 Off Site River Baseline'!$C$9:$R$257,10,FALSE))</f>
        <v/>
      </c>
      <c r="L238" s="175" t="str">
        <f>IF(B238="","",VLOOKUP($B238,'C-1 Site River Baseline'!$C$9:$R$257,15,FALSE))</f>
        <v/>
      </c>
      <c r="M238" s="176" t="str">
        <f>IF(L238="","",VLOOKUP($B238,'F-1 Off Site River Baseline'!$C$9:$R$257,16,FALSE))</f>
        <v/>
      </c>
      <c r="N238" s="639" t="str">
        <f t="shared" si="26"/>
        <v/>
      </c>
      <c r="O238" s="171" t="str">
        <f t="shared" si="27"/>
        <v/>
      </c>
      <c r="P238" s="172" t="str">
        <f>IF(C238="","",IF(AND(LEFT(C238,55)&lt;&gt;LEFT(N238,55),O238="High - High"),"Error - Not like for like",IF(AND(F238=S238,H238&gt;U238),"Error - Can not reduce condition",IF(AND(F238=S238,H238=U238,AJ238='F-1 Off Site River Baseline'!N236,'F-1 Off Site River Baseline'!P236=AL238),"Error - No enhancement",IF(AND(C238&lt;&gt;N238,F238&lt;S238),"Lower Distinctiveness Habitat"&amp;" - "&amp;T238,G238&amp;" - "&amp;T238)))))</f>
        <v/>
      </c>
      <c r="Q238" s="260" t="str">
        <f>IF(N238="","",VLOOKUP(B238,'F-1 Off Site River Baseline'!$C$10:$AA$257,19,FALSE))</f>
        <v/>
      </c>
      <c r="R238" s="171" t="str">
        <f>IF(N238="","",VLOOKUP(N238,'G-7 Rivers Data'!$B$2:$G$8,2,FALSE))</f>
        <v/>
      </c>
      <c r="S238" s="172" t="str">
        <f>IFERROR(VLOOKUP(R238,'G-7 Rivers Data'!$C$4:$D$8,2,FALSE),"")</f>
        <v/>
      </c>
      <c r="T238" s="173"/>
      <c r="U238" s="172" t="str">
        <f>IFERROR(INDEX('G-7 Rivers Data'!$H$4:$L$8,MATCH(N238,'G-7 Rivers Data'!$B$4:$B$8,0),MATCH(T238,'G-7 Rivers Data'!$H$3:$L$3,0)),"")</f>
        <v/>
      </c>
      <c r="V238" s="186"/>
      <c r="W238" s="175" t="str">
        <f>IF(V238="","",IF(VLOOKUP(V238,'G-7 Rivers Data'!$AG$4:$AI$9,2,FALSE)=0,"Spatial Data Missing",VLOOKUP(V238,'G-7 Rivers Data'!$AG$4:$AI$9,2,FALSE)))</f>
        <v/>
      </c>
      <c r="X238" s="176" t="str">
        <f>IF(V238="","",IF(VLOOKUP(V238,'G-7 Rivers Data'!$AG$4:$AI$9,3,FALSE)=0,"Spatial Data Missing",VLOOKUP(V238,'G-7 Rivers Data'!$AG$4:$AI$9,3,FALSE)))</f>
        <v/>
      </c>
      <c r="Y238" s="239" t="str">
        <f>IFERROR(IF(OR(LEFT(P238,5)="Error",LEFT(O238,5)="Error"),"Check Data",IF(F238&lt;S238,'G-7 Rivers Data'!$R$3,INDEX('G-7 Rivers Data'!$U$5:$Y$9,MATCH(G238,'G-7 Rivers Data'!$T$5:$T$9,0),MATCH(T238,'G-7 Rivers Data'!$U$4:$Y$4,0)))),"")</f>
        <v/>
      </c>
      <c r="Z238" s="275"/>
      <c r="AA238" s="275"/>
      <c r="AB238" s="175" t="str">
        <f t="shared" si="28"/>
        <v/>
      </c>
      <c r="AC238" s="262" t="str">
        <f t="shared" si="29"/>
        <v/>
      </c>
      <c r="AD238" s="382" t="str">
        <f>IFERROR(IF(AC238="Check Data","Check Data",VLOOKUP(AC238,'G-4 Temporal multipliers'!$A$4:$C$37,3,FALSE)),"")</f>
        <v/>
      </c>
      <c r="AE238" s="239" t="str">
        <f>IF(N238="","",VLOOKUP(N238,'G-7 Rivers Data'!$B$4:$G$8,5,FALSE))</f>
        <v/>
      </c>
      <c r="AF238" s="175" t="str">
        <f t="shared" si="30"/>
        <v/>
      </c>
      <c r="AG238" s="175" t="str">
        <f t="shared" si="31"/>
        <v/>
      </c>
      <c r="AH238" s="176" t="str">
        <f t="shared" si="25"/>
        <v/>
      </c>
      <c r="AI238" s="173"/>
      <c r="AJ238" s="172" t="str">
        <f>IF(AI238="","",IF(VLOOKUP(AI238,'G-7 Rivers Data'!$AA$4:$AB$7,2,FALSE)=0,"Spatial Data Missing",VLOOKUP(AI238,'G-7 Rivers Data'!$AA$4:$AB$7,2,FALSE)))</f>
        <v/>
      </c>
      <c r="AK238" s="187"/>
      <c r="AL238" s="172" t="str">
        <f>IF(AK238="","",IF(VLOOKUP(AK238,'G-7 Rivers Data'!$AD$4:$AE$8,2,FALSE)=0,"Spatial Data Missing",VLOOKUP(AK238,'G-7 Rivers Data'!$AD$4:$AE$8,2,FALSE)))</f>
        <v/>
      </c>
      <c r="AM238" s="186"/>
      <c r="AN238" s="176" t="str">
        <f>IF(AM238="","",VLOOKUP(AM238,'G-7 Rivers Data'!$AO$4:$AP$7,2,FALSE))</f>
        <v/>
      </c>
      <c r="AO238" s="265" t="str">
        <f t="shared" si="32"/>
        <v/>
      </c>
      <c r="AP238" s="180"/>
      <c r="AQ238" s="181"/>
      <c r="AX238" s="35" t="str">
        <f>IFERROR(INDEX('G-7 Rivers Data'!$AZ$3:$AZ$7,MATCH(N238,'G-7 Rivers Data'!$AY$3:$AY$7,0)),"")</f>
        <v/>
      </c>
    </row>
    <row r="239" spans="2:50" ht="13.8" x14ac:dyDescent="0.25">
      <c r="B239" s="259" t="str">
        <f>'F-1 Off Site River Baseline'!AN237</f>
        <v/>
      </c>
      <c r="C239" s="175" t="str">
        <f>IF(B239="","",VLOOKUP($B239,'F-1 Off Site River Baseline'!$C$9:$R$257,2,FALSE))</f>
        <v/>
      </c>
      <c r="D239" s="175" t="str">
        <f>IF(C239="","",VLOOKUP($B239,'F-1 Off Site River Baseline'!$C$9:$R$257,3,FALSE))</f>
        <v/>
      </c>
      <c r="E239" s="175" t="str">
        <f>IF(D239="","",VLOOKUP($B239,'F-1 Off Site River Baseline'!$C$9:$R$257,4,FALSE))</f>
        <v/>
      </c>
      <c r="F239" s="175" t="str">
        <f>IF(E239="","",VLOOKUP($B239,'F-1 Off Site River Baseline'!$C$9:$R$257,5,FALSE))</f>
        <v/>
      </c>
      <c r="G239" s="175" t="str">
        <f>IF(F239="","",VLOOKUP($B239,'F-1 Off Site River Baseline'!$C$9:$R$257,6,FALSE))</f>
        <v/>
      </c>
      <c r="H239" s="175" t="str">
        <f>IF(G239="","",VLOOKUP($B239,'F-1 Off Site River Baseline'!$C$9:$R$257,7,FALSE))</f>
        <v/>
      </c>
      <c r="I239" s="175" t="str">
        <f>IF(H239="","",VLOOKUP($B239,'F-1 Off Site River Baseline'!$C$9:$R$257,8,FALSE))</f>
        <v/>
      </c>
      <c r="J239" s="175" t="str">
        <f>IF(I239="","",VLOOKUP($B239,'F-1 Off Site River Baseline'!$C$9:$R$257,9,FALSE))</f>
        <v/>
      </c>
      <c r="K239" s="175" t="str">
        <f>IF(J239="","",VLOOKUP($B239,'F-1 Off Site River Baseline'!$C$9:$R$257,10,FALSE))</f>
        <v/>
      </c>
      <c r="L239" s="175" t="str">
        <f>IF(B239="","",VLOOKUP($B239,'C-1 Site River Baseline'!$C$9:$R$257,15,FALSE))</f>
        <v/>
      </c>
      <c r="M239" s="176" t="str">
        <f>IF(L239="","",VLOOKUP($B239,'F-1 Off Site River Baseline'!$C$9:$R$257,16,FALSE))</f>
        <v/>
      </c>
      <c r="N239" s="639" t="str">
        <f t="shared" si="26"/>
        <v/>
      </c>
      <c r="O239" s="171" t="str">
        <f t="shared" si="27"/>
        <v/>
      </c>
      <c r="P239" s="172" t="str">
        <f>IF(C239="","",IF(AND(LEFT(C239,55)&lt;&gt;LEFT(N239,55),O239="High - High"),"Error - Not like for like",IF(AND(F239=S239,H239&gt;U239),"Error - Can not reduce condition",IF(AND(F239=S239,H239=U239,AJ239='F-1 Off Site River Baseline'!N237,'F-1 Off Site River Baseline'!P237=AL239),"Error - No enhancement",IF(AND(C239&lt;&gt;N239,F239&lt;S239),"Lower Distinctiveness Habitat"&amp;" - "&amp;T239,G239&amp;" - "&amp;T239)))))</f>
        <v/>
      </c>
      <c r="Q239" s="260" t="str">
        <f>IF(N239="","",VLOOKUP(B239,'F-1 Off Site River Baseline'!$C$10:$AA$257,19,FALSE))</f>
        <v/>
      </c>
      <c r="R239" s="171" t="str">
        <f>IF(N239="","",VLOOKUP(N239,'G-7 Rivers Data'!$B$2:$G$8,2,FALSE))</f>
        <v/>
      </c>
      <c r="S239" s="172" t="str">
        <f>IFERROR(VLOOKUP(R239,'G-7 Rivers Data'!$C$4:$D$8,2,FALSE),"")</f>
        <v/>
      </c>
      <c r="T239" s="173"/>
      <c r="U239" s="172" t="str">
        <f>IFERROR(INDEX('G-7 Rivers Data'!$H$4:$L$8,MATCH(N239,'G-7 Rivers Data'!$B$4:$B$8,0),MATCH(T239,'G-7 Rivers Data'!$H$3:$L$3,0)),"")</f>
        <v/>
      </c>
      <c r="V239" s="186"/>
      <c r="W239" s="175" t="str">
        <f>IF(V239="","",IF(VLOOKUP(V239,'G-7 Rivers Data'!$AG$4:$AI$9,2,FALSE)=0,"Spatial Data Missing",VLOOKUP(V239,'G-7 Rivers Data'!$AG$4:$AI$9,2,FALSE)))</f>
        <v/>
      </c>
      <c r="X239" s="176" t="str">
        <f>IF(V239="","",IF(VLOOKUP(V239,'G-7 Rivers Data'!$AG$4:$AI$9,3,FALSE)=0,"Spatial Data Missing",VLOOKUP(V239,'G-7 Rivers Data'!$AG$4:$AI$9,3,FALSE)))</f>
        <v/>
      </c>
      <c r="Y239" s="239" t="str">
        <f>IFERROR(IF(OR(LEFT(P239,5)="Error",LEFT(O239,5)="Error"),"Check Data",IF(F239&lt;S239,'G-7 Rivers Data'!$R$3,INDEX('G-7 Rivers Data'!$U$5:$Y$9,MATCH(G239,'G-7 Rivers Data'!$T$5:$T$9,0),MATCH(T239,'G-7 Rivers Data'!$U$4:$Y$4,0)))),"")</f>
        <v/>
      </c>
      <c r="Z239" s="275"/>
      <c r="AA239" s="275"/>
      <c r="AB239" s="175" t="str">
        <f t="shared" si="28"/>
        <v/>
      </c>
      <c r="AC239" s="262" t="str">
        <f t="shared" si="29"/>
        <v/>
      </c>
      <c r="AD239" s="382" t="str">
        <f>IFERROR(IF(AC239="Check Data","Check Data",VLOOKUP(AC239,'G-4 Temporal multipliers'!$A$4:$C$37,3,FALSE)),"")</f>
        <v/>
      </c>
      <c r="AE239" s="239" t="str">
        <f>IF(N239="","",VLOOKUP(N239,'G-7 Rivers Data'!$B$4:$G$8,5,FALSE))</f>
        <v/>
      </c>
      <c r="AF239" s="175" t="str">
        <f t="shared" si="30"/>
        <v/>
      </c>
      <c r="AG239" s="175" t="str">
        <f t="shared" si="31"/>
        <v/>
      </c>
      <c r="AH239" s="176" t="str">
        <f t="shared" si="25"/>
        <v/>
      </c>
      <c r="AI239" s="173"/>
      <c r="AJ239" s="172" t="str">
        <f>IF(AI239="","",IF(VLOOKUP(AI239,'G-7 Rivers Data'!$AA$4:$AB$7,2,FALSE)=0,"Spatial Data Missing",VLOOKUP(AI239,'G-7 Rivers Data'!$AA$4:$AB$7,2,FALSE)))</f>
        <v/>
      </c>
      <c r="AK239" s="187"/>
      <c r="AL239" s="172" t="str">
        <f>IF(AK239="","",IF(VLOOKUP(AK239,'G-7 Rivers Data'!$AD$4:$AE$8,2,FALSE)=0,"Spatial Data Missing",VLOOKUP(AK239,'G-7 Rivers Data'!$AD$4:$AE$8,2,FALSE)))</f>
        <v/>
      </c>
      <c r="AM239" s="186"/>
      <c r="AN239" s="176" t="str">
        <f>IF(AM239="","",VLOOKUP(AM239,'G-7 Rivers Data'!$AO$4:$AP$7,2,FALSE))</f>
        <v/>
      </c>
      <c r="AO239" s="265" t="str">
        <f t="shared" si="32"/>
        <v/>
      </c>
      <c r="AP239" s="180"/>
      <c r="AQ239" s="181"/>
      <c r="AX239" s="35" t="str">
        <f>IFERROR(INDEX('G-7 Rivers Data'!$AZ$3:$AZ$7,MATCH(N239,'G-7 Rivers Data'!$AY$3:$AY$7,0)),"")</f>
        <v/>
      </c>
    </row>
    <row r="240" spans="2:50" ht="13.8" x14ac:dyDescent="0.25">
      <c r="B240" s="259" t="str">
        <f>'F-1 Off Site River Baseline'!AN238</f>
        <v/>
      </c>
      <c r="C240" s="175" t="str">
        <f>IF(B240="","",VLOOKUP($B240,'F-1 Off Site River Baseline'!$C$9:$R$257,2,FALSE))</f>
        <v/>
      </c>
      <c r="D240" s="175" t="str">
        <f>IF(C240="","",VLOOKUP($B240,'F-1 Off Site River Baseline'!$C$9:$R$257,3,FALSE))</f>
        <v/>
      </c>
      <c r="E240" s="175" t="str">
        <f>IF(D240="","",VLOOKUP($B240,'F-1 Off Site River Baseline'!$C$9:$R$257,4,FALSE))</f>
        <v/>
      </c>
      <c r="F240" s="175" t="str">
        <f>IF(E240="","",VLOOKUP($B240,'F-1 Off Site River Baseline'!$C$9:$R$257,5,FALSE))</f>
        <v/>
      </c>
      <c r="G240" s="175" t="str">
        <f>IF(F240="","",VLOOKUP($B240,'F-1 Off Site River Baseline'!$C$9:$R$257,6,FALSE))</f>
        <v/>
      </c>
      <c r="H240" s="175" t="str">
        <f>IF(G240="","",VLOOKUP($B240,'F-1 Off Site River Baseline'!$C$9:$R$257,7,FALSE))</f>
        <v/>
      </c>
      <c r="I240" s="175" t="str">
        <f>IF(H240="","",VLOOKUP($B240,'F-1 Off Site River Baseline'!$C$9:$R$257,8,FALSE))</f>
        <v/>
      </c>
      <c r="J240" s="175" t="str">
        <f>IF(I240="","",VLOOKUP($B240,'F-1 Off Site River Baseline'!$C$9:$R$257,9,FALSE))</f>
        <v/>
      </c>
      <c r="K240" s="175" t="str">
        <f>IF(J240="","",VLOOKUP($B240,'F-1 Off Site River Baseline'!$C$9:$R$257,10,FALSE))</f>
        <v/>
      </c>
      <c r="L240" s="175" t="str">
        <f>IF(B240="","",VLOOKUP($B240,'C-1 Site River Baseline'!$C$9:$R$257,15,FALSE))</f>
        <v/>
      </c>
      <c r="M240" s="176" t="str">
        <f>IF(L240="","",VLOOKUP($B240,'F-1 Off Site River Baseline'!$C$9:$R$257,16,FALSE))</f>
        <v/>
      </c>
      <c r="N240" s="639" t="str">
        <f t="shared" si="26"/>
        <v/>
      </c>
      <c r="O240" s="171" t="str">
        <f t="shared" si="27"/>
        <v/>
      </c>
      <c r="P240" s="172" t="str">
        <f>IF(C240="","",IF(AND(LEFT(C240,55)&lt;&gt;LEFT(N240,55),O240="High - High"),"Error - Not like for like",IF(AND(F240=S240,H240&gt;U240),"Error - Can not reduce condition",IF(AND(F240=S240,H240=U240,AJ240='F-1 Off Site River Baseline'!N238,'F-1 Off Site River Baseline'!P238=AL240),"Error - No enhancement",IF(AND(C240&lt;&gt;N240,F240&lt;S240),"Lower Distinctiveness Habitat"&amp;" - "&amp;T240,G240&amp;" - "&amp;T240)))))</f>
        <v/>
      </c>
      <c r="Q240" s="260" t="str">
        <f>IF(N240="","",VLOOKUP(B240,'F-1 Off Site River Baseline'!$C$10:$AA$257,19,FALSE))</f>
        <v/>
      </c>
      <c r="R240" s="171" t="str">
        <f>IF(N240="","",VLOOKUP(N240,'G-7 Rivers Data'!$B$2:$G$8,2,FALSE))</f>
        <v/>
      </c>
      <c r="S240" s="172" t="str">
        <f>IFERROR(VLOOKUP(R240,'G-7 Rivers Data'!$C$4:$D$8,2,FALSE),"")</f>
        <v/>
      </c>
      <c r="T240" s="173"/>
      <c r="U240" s="172" t="str">
        <f>IFERROR(INDEX('G-7 Rivers Data'!$H$4:$L$8,MATCH(N240,'G-7 Rivers Data'!$B$4:$B$8,0),MATCH(T240,'G-7 Rivers Data'!$H$3:$L$3,0)),"")</f>
        <v/>
      </c>
      <c r="V240" s="186"/>
      <c r="W240" s="175" t="str">
        <f>IF(V240="","",IF(VLOOKUP(V240,'G-7 Rivers Data'!$AG$4:$AI$9,2,FALSE)=0,"Spatial Data Missing",VLOOKUP(V240,'G-7 Rivers Data'!$AG$4:$AI$9,2,FALSE)))</f>
        <v/>
      </c>
      <c r="X240" s="176" t="str">
        <f>IF(V240="","",IF(VLOOKUP(V240,'G-7 Rivers Data'!$AG$4:$AI$9,3,FALSE)=0,"Spatial Data Missing",VLOOKUP(V240,'G-7 Rivers Data'!$AG$4:$AI$9,3,FALSE)))</f>
        <v/>
      </c>
      <c r="Y240" s="239" t="str">
        <f>IFERROR(IF(OR(LEFT(P240,5)="Error",LEFT(O240,5)="Error"),"Check Data",IF(F240&lt;S240,'G-7 Rivers Data'!$R$3,INDEX('G-7 Rivers Data'!$U$5:$Y$9,MATCH(G240,'G-7 Rivers Data'!$T$5:$T$9,0),MATCH(T240,'G-7 Rivers Data'!$U$4:$Y$4,0)))),"")</f>
        <v/>
      </c>
      <c r="Z240" s="275"/>
      <c r="AA240" s="275"/>
      <c r="AB240" s="175" t="str">
        <f t="shared" si="28"/>
        <v/>
      </c>
      <c r="AC240" s="262" t="str">
        <f t="shared" si="29"/>
        <v/>
      </c>
      <c r="AD240" s="382" t="str">
        <f>IFERROR(IF(AC240="Check Data","Check Data",VLOOKUP(AC240,'G-4 Temporal multipliers'!$A$4:$C$37,3,FALSE)),"")</f>
        <v/>
      </c>
      <c r="AE240" s="239" t="str">
        <f>IF(N240="","",VLOOKUP(N240,'G-7 Rivers Data'!$B$4:$G$8,5,FALSE))</f>
        <v/>
      </c>
      <c r="AF240" s="175" t="str">
        <f t="shared" si="30"/>
        <v/>
      </c>
      <c r="AG240" s="175" t="str">
        <f t="shared" si="31"/>
        <v/>
      </c>
      <c r="AH240" s="176" t="str">
        <f t="shared" si="25"/>
        <v/>
      </c>
      <c r="AI240" s="173"/>
      <c r="AJ240" s="172" t="str">
        <f>IF(AI240="","",IF(VLOOKUP(AI240,'G-7 Rivers Data'!$AA$4:$AB$7,2,FALSE)=0,"Spatial Data Missing",VLOOKUP(AI240,'G-7 Rivers Data'!$AA$4:$AB$7,2,FALSE)))</f>
        <v/>
      </c>
      <c r="AK240" s="187"/>
      <c r="AL240" s="172" t="str">
        <f>IF(AK240="","",IF(VLOOKUP(AK240,'G-7 Rivers Data'!$AD$4:$AE$8,2,FALSE)=0,"Spatial Data Missing",VLOOKUP(AK240,'G-7 Rivers Data'!$AD$4:$AE$8,2,FALSE)))</f>
        <v/>
      </c>
      <c r="AM240" s="186"/>
      <c r="AN240" s="176" t="str">
        <f>IF(AM240="","",VLOOKUP(AM240,'G-7 Rivers Data'!$AO$4:$AP$7,2,FALSE))</f>
        <v/>
      </c>
      <c r="AO240" s="265" t="str">
        <f t="shared" si="32"/>
        <v/>
      </c>
      <c r="AP240" s="180"/>
      <c r="AQ240" s="181"/>
      <c r="AX240" s="35" t="str">
        <f>IFERROR(INDEX('G-7 Rivers Data'!$AZ$3:$AZ$7,MATCH(N240,'G-7 Rivers Data'!$AY$3:$AY$7,0)),"")</f>
        <v/>
      </c>
    </row>
    <row r="241" spans="2:50" ht="13.8" x14ac:dyDescent="0.25">
      <c r="B241" s="259" t="str">
        <f>'F-1 Off Site River Baseline'!AN239</f>
        <v/>
      </c>
      <c r="C241" s="175" t="str">
        <f>IF(B241="","",VLOOKUP($B241,'F-1 Off Site River Baseline'!$C$9:$R$257,2,FALSE))</f>
        <v/>
      </c>
      <c r="D241" s="175" t="str">
        <f>IF(C241="","",VLOOKUP($B241,'F-1 Off Site River Baseline'!$C$9:$R$257,3,FALSE))</f>
        <v/>
      </c>
      <c r="E241" s="175" t="str">
        <f>IF(D241="","",VLOOKUP($B241,'F-1 Off Site River Baseline'!$C$9:$R$257,4,FALSE))</f>
        <v/>
      </c>
      <c r="F241" s="175" t="str">
        <f>IF(E241="","",VLOOKUP($B241,'F-1 Off Site River Baseline'!$C$9:$R$257,5,FALSE))</f>
        <v/>
      </c>
      <c r="G241" s="175" t="str">
        <f>IF(F241="","",VLOOKUP($B241,'F-1 Off Site River Baseline'!$C$9:$R$257,6,FALSE))</f>
        <v/>
      </c>
      <c r="H241" s="175" t="str">
        <f>IF(G241="","",VLOOKUP($B241,'F-1 Off Site River Baseline'!$C$9:$R$257,7,FALSE))</f>
        <v/>
      </c>
      <c r="I241" s="175" t="str">
        <f>IF(H241="","",VLOOKUP($B241,'F-1 Off Site River Baseline'!$C$9:$R$257,8,FALSE))</f>
        <v/>
      </c>
      <c r="J241" s="175" t="str">
        <f>IF(I241="","",VLOOKUP($B241,'F-1 Off Site River Baseline'!$C$9:$R$257,9,FALSE))</f>
        <v/>
      </c>
      <c r="K241" s="175" t="str">
        <f>IF(J241="","",VLOOKUP($B241,'F-1 Off Site River Baseline'!$C$9:$R$257,10,FALSE))</f>
        <v/>
      </c>
      <c r="L241" s="175" t="str">
        <f>IF(B241="","",VLOOKUP($B241,'C-1 Site River Baseline'!$C$9:$R$257,15,FALSE))</f>
        <v/>
      </c>
      <c r="M241" s="176" t="str">
        <f>IF(L241="","",VLOOKUP($B241,'F-1 Off Site River Baseline'!$C$9:$R$257,16,FALSE))</f>
        <v/>
      </c>
      <c r="N241" s="639" t="str">
        <f t="shared" si="26"/>
        <v/>
      </c>
      <c r="O241" s="171" t="str">
        <f t="shared" si="27"/>
        <v/>
      </c>
      <c r="P241" s="172" t="str">
        <f>IF(C241="","",IF(AND(LEFT(C241,55)&lt;&gt;LEFT(N241,55),O241="High - High"),"Error - Not like for like",IF(AND(F241=S241,H241&gt;U241),"Error - Can not reduce condition",IF(AND(F241=S241,H241=U241,AJ241='F-1 Off Site River Baseline'!N239,'F-1 Off Site River Baseline'!P239=AL241),"Error - No enhancement",IF(AND(C241&lt;&gt;N241,F241&lt;S241),"Lower Distinctiveness Habitat"&amp;" - "&amp;T241,G241&amp;" - "&amp;T241)))))</f>
        <v/>
      </c>
      <c r="Q241" s="260" t="str">
        <f>IF(N241="","",VLOOKUP(B241,'F-1 Off Site River Baseline'!$C$10:$AA$257,19,FALSE))</f>
        <v/>
      </c>
      <c r="R241" s="171" t="str">
        <f>IF(N241="","",VLOOKUP(N241,'G-7 Rivers Data'!$B$2:$G$8,2,FALSE))</f>
        <v/>
      </c>
      <c r="S241" s="172" t="str">
        <f>IFERROR(VLOOKUP(R241,'G-7 Rivers Data'!$C$4:$D$8,2,FALSE),"")</f>
        <v/>
      </c>
      <c r="T241" s="173"/>
      <c r="U241" s="172" t="str">
        <f>IFERROR(INDEX('G-7 Rivers Data'!$H$4:$L$8,MATCH(N241,'G-7 Rivers Data'!$B$4:$B$8,0),MATCH(T241,'G-7 Rivers Data'!$H$3:$L$3,0)),"")</f>
        <v/>
      </c>
      <c r="V241" s="186"/>
      <c r="W241" s="175" t="str">
        <f>IF(V241="","",IF(VLOOKUP(V241,'G-7 Rivers Data'!$AG$4:$AI$9,2,FALSE)=0,"Spatial Data Missing",VLOOKUP(V241,'G-7 Rivers Data'!$AG$4:$AI$9,2,FALSE)))</f>
        <v/>
      </c>
      <c r="X241" s="176" t="str">
        <f>IF(V241="","",IF(VLOOKUP(V241,'G-7 Rivers Data'!$AG$4:$AI$9,3,FALSE)=0,"Spatial Data Missing",VLOOKUP(V241,'G-7 Rivers Data'!$AG$4:$AI$9,3,FALSE)))</f>
        <v/>
      </c>
      <c r="Y241" s="239" t="str">
        <f>IFERROR(IF(OR(LEFT(P241,5)="Error",LEFT(O241,5)="Error"),"Check Data",IF(F241&lt;S241,'G-7 Rivers Data'!$R$3,INDEX('G-7 Rivers Data'!$U$5:$Y$9,MATCH(G241,'G-7 Rivers Data'!$T$5:$T$9,0),MATCH(T241,'G-7 Rivers Data'!$U$4:$Y$4,0)))),"")</f>
        <v/>
      </c>
      <c r="Z241" s="275"/>
      <c r="AA241" s="275"/>
      <c r="AB241" s="175" t="str">
        <f t="shared" si="28"/>
        <v/>
      </c>
      <c r="AC241" s="262" t="str">
        <f t="shared" si="29"/>
        <v/>
      </c>
      <c r="AD241" s="382" t="str">
        <f>IFERROR(IF(AC241="Check Data","Check Data",VLOOKUP(AC241,'G-4 Temporal multipliers'!$A$4:$C$37,3,FALSE)),"")</f>
        <v/>
      </c>
      <c r="AE241" s="239" t="str">
        <f>IF(N241="","",VLOOKUP(N241,'G-7 Rivers Data'!$B$4:$G$8,5,FALSE))</f>
        <v/>
      </c>
      <c r="AF241" s="175" t="str">
        <f t="shared" si="30"/>
        <v/>
      </c>
      <c r="AG241" s="175" t="str">
        <f t="shared" si="31"/>
        <v/>
      </c>
      <c r="AH241" s="176" t="str">
        <f t="shared" si="25"/>
        <v/>
      </c>
      <c r="AI241" s="173"/>
      <c r="AJ241" s="172" t="str">
        <f>IF(AI241="","",IF(VLOOKUP(AI241,'G-7 Rivers Data'!$AA$4:$AB$7,2,FALSE)=0,"Spatial Data Missing",VLOOKUP(AI241,'G-7 Rivers Data'!$AA$4:$AB$7,2,FALSE)))</f>
        <v/>
      </c>
      <c r="AK241" s="187"/>
      <c r="AL241" s="172" t="str">
        <f>IF(AK241="","",IF(VLOOKUP(AK241,'G-7 Rivers Data'!$AD$4:$AE$8,2,FALSE)=0,"Spatial Data Missing",VLOOKUP(AK241,'G-7 Rivers Data'!$AD$4:$AE$8,2,FALSE)))</f>
        <v/>
      </c>
      <c r="AM241" s="186"/>
      <c r="AN241" s="176" t="str">
        <f>IF(AM241="","",VLOOKUP(AM241,'G-7 Rivers Data'!$AO$4:$AP$7,2,FALSE))</f>
        <v/>
      </c>
      <c r="AO241" s="265" t="str">
        <f t="shared" si="32"/>
        <v/>
      </c>
      <c r="AP241" s="180"/>
      <c r="AQ241" s="181"/>
      <c r="AX241" s="35" t="str">
        <f>IFERROR(INDEX('G-7 Rivers Data'!$AZ$3:$AZ$7,MATCH(N241,'G-7 Rivers Data'!$AY$3:$AY$7,0)),"")</f>
        <v/>
      </c>
    </row>
    <row r="242" spans="2:50" ht="13.8" x14ac:dyDescent="0.25">
      <c r="B242" s="259" t="str">
        <f>'F-1 Off Site River Baseline'!AN240</f>
        <v/>
      </c>
      <c r="C242" s="175" t="str">
        <f>IF(B242="","",VLOOKUP($B242,'F-1 Off Site River Baseline'!$C$9:$R$257,2,FALSE))</f>
        <v/>
      </c>
      <c r="D242" s="175" t="str">
        <f>IF(C242="","",VLOOKUP($B242,'F-1 Off Site River Baseline'!$C$9:$R$257,3,FALSE))</f>
        <v/>
      </c>
      <c r="E242" s="175" t="str">
        <f>IF(D242="","",VLOOKUP($B242,'F-1 Off Site River Baseline'!$C$9:$R$257,4,FALSE))</f>
        <v/>
      </c>
      <c r="F242" s="175" t="str">
        <f>IF(E242="","",VLOOKUP($B242,'F-1 Off Site River Baseline'!$C$9:$R$257,5,FALSE))</f>
        <v/>
      </c>
      <c r="G242" s="175" t="str">
        <f>IF(F242="","",VLOOKUP($B242,'F-1 Off Site River Baseline'!$C$9:$R$257,6,FALSE))</f>
        <v/>
      </c>
      <c r="H242" s="175" t="str">
        <f>IF(G242="","",VLOOKUP($B242,'F-1 Off Site River Baseline'!$C$9:$R$257,7,FALSE))</f>
        <v/>
      </c>
      <c r="I242" s="175" t="str">
        <f>IF(H242="","",VLOOKUP($B242,'F-1 Off Site River Baseline'!$C$9:$R$257,8,FALSE))</f>
        <v/>
      </c>
      <c r="J242" s="175" t="str">
        <f>IF(I242="","",VLOOKUP($B242,'F-1 Off Site River Baseline'!$C$9:$R$257,9,FALSE))</f>
        <v/>
      </c>
      <c r="K242" s="175" t="str">
        <f>IF(J242="","",VLOOKUP($B242,'F-1 Off Site River Baseline'!$C$9:$R$257,10,FALSE))</f>
        <v/>
      </c>
      <c r="L242" s="175" t="str">
        <f>IF(B242="","",VLOOKUP($B242,'C-1 Site River Baseline'!$C$9:$R$257,15,FALSE))</f>
        <v/>
      </c>
      <c r="M242" s="176" t="str">
        <f>IF(L242="","",VLOOKUP($B242,'F-1 Off Site River Baseline'!$C$9:$R$257,16,FALSE))</f>
        <v/>
      </c>
      <c r="N242" s="639" t="str">
        <f t="shared" si="26"/>
        <v/>
      </c>
      <c r="O242" s="171" t="str">
        <f t="shared" si="27"/>
        <v/>
      </c>
      <c r="P242" s="172" t="str">
        <f>IF(C242="","",IF(AND(LEFT(C242,55)&lt;&gt;LEFT(N242,55),O242="High - High"),"Error - Not like for like",IF(AND(F242=S242,H242&gt;U242),"Error - Can not reduce condition",IF(AND(F242=S242,H242=U242,AJ242='F-1 Off Site River Baseline'!N240,'F-1 Off Site River Baseline'!P240=AL242),"Error - No enhancement",IF(AND(C242&lt;&gt;N242,F242&lt;S242),"Lower Distinctiveness Habitat"&amp;" - "&amp;T242,G242&amp;" - "&amp;T242)))))</f>
        <v/>
      </c>
      <c r="Q242" s="260" t="str">
        <f>IF(N242="","",VLOOKUP(B242,'F-1 Off Site River Baseline'!$C$10:$AA$257,19,FALSE))</f>
        <v/>
      </c>
      <c r="R242" s="171" t="str">
        <f>IF(N242="","",VLOOKUP(N242,'G-7 Rivers Data'!$B$2:$G$8,2,FALSE))</f>
        <v/>
      </c>
      <c r="S242" s="172" t="str">
        <f>IFERROR(VLOOKUP(R242,'G-7 Rivers Data'!$C$4:$D$8,2,FALSE),"")</f>
        <v/>
      </c>
      <c r="T242" s="173"/>
      <c r="U242" s="172" t="str">
        <f>IFERROR(INDEX('G-7 Rivers Data'!$H$4:$L$8,MATCH(N242,'G-7 Rivers Data'!$B$4:$B$8,0),MATCH(T242,'G-7 Rivers Data'!$H$3:$L$3,0)),"")</f>
        <v/>
      </c>
      <c r="V242" s="186"/>
      <c r="W242" s="175" t="str">
        <f>IF(V242="","",IF(VLOOKUP(V242,'G-7 Rivers Data'!$AG$4:$AI$9,2,FALSE)=0,"Spatial Data Missing",VLOOKUP(V242,'G-7 Rivers Data'!$AG$4:$AI$9,2,FALSE)))</f>
        <v/>
      </c>
      <c r="X242" s="176" t="str">
        <f>IF(V242="","",IF(VLOOKUP(V242,'G-7 Rivers Data'!$AG$4:$AI$9,3,FALSE)=0,"Spatial Data Missing",VLOOKUP(V242,'G-7 Rivers Data'!$AG$4:$AI$9,3,FALSE)))</f>
        <v/>
      </c>
      <c r="Y242" s="239" t="str">
        <f>IFERROR(IF(OR(LEFT(P242,5)="Error",LEFT(O242,5)="Error"),"Check Data",IF(F242&lt;S242,'G-7 Rivers Data'!$R$3,INDEX('G-7 Rivers Data'!$U$5:$Y$9,MATCH(G242,'G-7 Rivers Data'!$T$5:$T$9,0),MATCH(T242,'G-7 Rivers Data'!$U$4:$Y$4,0)))),"")</f>
        <v/>
      </c>
      <c r="Z242" s="275"/>
      <c r="AA242" s="275"/>
      <c r="AB242" s="175" t="str">
        <f t="shared" si="28"/>
        <v/>
      </c>
      <c r="AC242" s="262" t="str">
        <f t="shared" si="29"/>
        <v/>
      </c>
      <c r="AD242" s="382" t="str">
        <f>IFERROR(IF(AC242="Check Data","Check Data",VLOOKUP(AC242,'G-4 Temporal multipliers'!$A$4:$C$37,3,FALSE)),"")</f>
        <v/>
      </c>
      <c r="AE242" s="239" t="str">
        <f>IF(N242="","",VLOOKUP(N242,'G-7 Rivers Data'!$B$4:$G$8,5,FALSE))</f>
        <v/>
      </c>
      <c r="AF242" s="175" t="str">
        <f t="shared" si="30"/>
        <v/>
      </c>
      <c r="AG242" s="175" t="str">
        <f t="shared" si="31"/>
        <v/>
      </c>
      <c r="AH242" s="176" t="str">
        <f t="shared" si="25"/>
        <v/>
      </c>
      <c r="AI242" s="173"/>
      <c r="AJ242" s="172" t="str">
        <f>IF(AI242="","",IF(VLOOKUP(AI242,'G-7 Rivers Data'!$AA$4:$AB$7,2,FALSE)=0,"Spatial Data Missing",VLOOKUP(AI242,'G-7 Rivers Data'!$AA$4:$AB$7,2,FALSE)))</f>
        <v/>
      </c>
      <c r="AK242" s="187"/>
      <c r="AL242" s="172" t="str">
        <f>IF(AK242="","",IF(VLOOKUP(AK242,'G-7 Rivers Data'!$AD$4:$AE$8,2,FALSE)=0,"Spatial Data Missing",VLOOKUP(AK242,'G-7 Rivers Data'!$AD$4:$AE$8,2,FALSE)))</f>
        <v/>
      </c>
      <c r="AM242" s="186"/>
      <c r="AN242" s="176" t="str">
        <f>IF(AM242="","",VLOOKUP(AM242,'G-7 Rivers Data'!$AO$4:$AP$7,2,FALSE))</f>
        <v/>
      </c>
      <c r="AO242" s="265" t="str">
        <f t="shared" si="32"/>
        <v/>
      </c>
      <c r="AP242" s="180"/>
      <c r="AQ242" s="181"/>
      <c r="AX242" s="35" t="str">
        <f>IFERROR(INDEX('G-7 Rivers Data'!$AZ$3:$AZ$7,MATCH(N242,'G-7 Rivers Data'!$AY$3:$AY$7,0)),"")</f>
        <v/>
      </c>
    </row>
    <row r="243" spans="2:50" ht="13.8" x14ac:dyDescent="0.25">
      <c r="B243" s="259" t="str">
        <f>'F-1 Off Site River Baseline'!AN241</f>
        <v/>
      </c>
      <c r="C243" s="175" t="str">
        <f>IF(B243="","",VLOOKUP($B243,'F-1 Off Site River Baseline'!$C$9:$R$257,2,FALSE))</f>
        <v/>
      </c>
      <c r="D243" s="175" t="str">
        <f>IF(C243="","",VLOOKUP($B243,'F-1 Off Site River Baseline'!$C$9:$R$257,3,FALSE))</f>
        <v/>
      </c>
      <c r="E243" s="175" t="str">
        <f>IF(D243="","",VLOOKUP($B243,'F-1 Off Site River Baseline'!$C$9:$R$257,4,FALSE))</f>
        <v/>
      </c>
      <c r="F243" s="175" t="str">
        <f>IF(E243="","",VLOOKUP($B243,'F-1 Off Site River Baseline'!$C$9:$R$257,5,FALSE))</f>
        <v/>
      </c>
      <c r="G243" s="175" t="str">
        <f>IF(F243="","",VLOOKUP($B243,'F-1 Off Site River Baseline'!$C$9:$R$257,6,FALSE))</f>
        <v/>
      </c>
      <c r="H243" s="175" t="str">
        <f>IF(G243="","",VLOOKUP($B243,'F-1 Off Site River Baseline'!$C$9:$R$257,7,FALSE))</f>
        <v/>
      </c>
      <c r="I243" s="175" t="str">
        <f>IF(H243="","",VLOOKUP($B243,'F-1 Off Site River Baseline'!$C$9:$R$257,8,FALSE))</f>
        <v/>
      </c>
      <c r="J243" s="175" t="str">
        <f>IF(I243="","",VLOOKUP($B243,'F-1 Off Site River Baseline'!$C$9:$R$257,9,FALSE))</f>
        <v/>
      </c>
      <c r="K243" s="175" t="str">
        <f>IF(J243="","",VLOOKUP($B243,'F-1 Off Site River Baseline'!$C$9:$R$257,10,FALSE))</f>
        <v/>
      </c>
      <c r="L243" s="175" t="str">
        <f>IF(B243="","",VLOOKUP($B243,'C-1 Site River Baseline'!$C$9:$R$257,15,FALSE))</f>
        <v/>
      </c>
      <c r="M243" s="176" t="str">
        <f>IF(L243="","",VLOOKUP($B243,'F-1 Off Site River Baseline'!$C$9:$R$257,16,FALSE))</f>
        <v/>
      </c>
      <c r="N243" s="639" t="str">
        <f t="shared" si="26"/>
        <v/>
      </c>
      <c r="O243" s="171" t="str">
        <f t="shared" si="27"/>
        <v/>
      </c>
      <c r="P243" s="172" t="str">
        <f>IF(C243="","",IF(AND(LEFT(C243,55)&lt;&gt;LEFT(N243,55),O243="High - High"),"Error - Not like for like",IF(AND(F243=S243,H243&gt;U243),"Error - Can not reduce condition",IF(AND(F243=S243,H243=U243,AJ243='F-1 Off Site River Baseline'!N241,'F-1 Off Site River Baseline'!P241=AL243),"Error - No enhancement",IF(AND(C243&lt;&gt;N243,F243&lt;S243),"Lower Distinctiveness Habitat"&amp;" - "&amp;T243,G243&amp;" - "&amp;T243)))))</f>
        <v/>
      </c>
      <c r="Q243" s="260" t="str">
        <f>IF(N243="","",VLOOKUP(B243,'F-1 Off Site River Baseline'!$C$10:$AA$257,19,FALSE))</f>
        <v/>
      </c>
      <c r="R243" s="171" t="str">
        <f>IF(N243="","",VLOOKUP(N243,'G-7 Rivers Data'!$B$2:$G$8,2,FALSE))</f>
        <v/>
      </c>
      <c r="S243" s="172" t="str">
        <f>IFERROR(VLOOKUP(R243,'G-7 Rivers Data'!$C$4:$D$8,2,FALSE),"")</f>
        <v/>
      </c>
      <c r="T243" s="173"/>
      <c r="U243" s="172" t="str">
        <f>IFERROR(INDEX('G-7 Rivers Data'!$H$4:$L$8,MATCH(N243,'G-7 Rivers Data'!$B$4:$B$8,0),MATCH(T243,'G-7 Rivers Data'!$H$3:$L$3,0)),"")</f>
        <v/>
      </c>
      <c r="V243" s="186"/>
      <c r="W243" s="175" t="str">
        <f>IF(V243="","",IF(VLOOKUP(V243,'G-7 Rivers Data'!$AG$4:$AI$9,2,FALSE)=0,"Spatial Data Missing",VLOOKUP(V243,'G-7 Rivers Data'!$AG$4:$AI$9,2,FALSE)))</f>
        <v/>
      </c>
      <c r="X243" s="176" t="str">
        <f>IF(V243="","",IF(VLOOKUP(V243,'G-7 Rivers Data'!$AG$4:$AI$9,3,FALSE)=0,"Spatial Data Missing",VLOOKUP(V243,'G-7 Rivers Data'!$AG$4:$AI$9,3,FALSE)))</f>
        <v/>
      </c>
      <c r="Y243" s="239" t="str">
        <f>IFERROR(IF(OR(LEFT(P243,5)="Error",LEFT(O243,5)="Error"),"Check Data",IF(F243&lt;S243,'G-7 Rivers Data'!$R$3,INDEX('G-7 Rivers Data'!$U$5:$Y$9,MATCH(G243,'G-7 Rivers Data'!$T$5:$T$9,0),MATCH(T243,'G-7 Rivers Data'!$U$4:$Y$4,0)))),"")</f>
        <v/>
      </c>
      <c r="Z243" s="275"/>
      <c r="AA243" s="275"/>
      <c r="AB243" s="175" t="str">
        <f t="shared" si="28"/>
        <v/>
      </c>
      <c r="AC243" s="262" t="str">
        <f t="shared" si="29"/>
        <v/>
      </c>
      <c r="AD243" s="382" t="str">
        <f>IFERROR(IF(AC243="Check Data","Check Data",VLOOKUP(AC243,'G-4 Temporal multipliers'!$A$4:$C$37,3,FALSE)),"")</f>
        <v/>
      </c>
      <c r="AE243" s="239" t="str">
        <f>IF(N243="","",VLOOKUP(N243,'G-7 Rivers Data'!$B$4:$G$8,5,FALSE))</f>
        <v/>
      </c>
      <c r="AF243" s="175" t="str">
        <f t="shared" si="30"/>
        <v/>
      </c>
      <c r="AG243" s="175" t="str">
        <f t="shared" si="31"/>
        <v/>
      </c>
      <c r="AH243" s="176" t="str">
        <f t="shared" si="25"/>
        <v/>
      </c>
      <c r="AI243" s="173"/>
      <c r="AJ243" s="172" t="str">
        <f>IF(AI243="","",IF(VLOOKUP(AI243,'G-7 Rivers Data'!$AA$4:$AB$7,2,FALSE)=0,"Spatial Data Missing",VLOOKUP(AI243,'G-7 Rivers Data'!$AA$4:$AB$7,2,FALSE)))</f>
        <v/>
      </c>
      <c r="AK243" s="187"/>
      <c r="AL243" s="172" t="str">
        <f>IF(AK243="","",IF(VLOOKUP(AK243,'G-7 Rivers Data'!$AD$4:$AE$8,2,FALSE)=0,"Spatial Data Missing",VLOOKUP(AK243,'G-7 Rivers Data'!$AD$4:$AE$8,2,FALSE)))</f>
        <v/>
      </c>
      <c r="AM243" s="186"/>
      <c r="AN243" s="176" t="str">
        <f>IF(AM243="","",VLOOKUP(AM243,'G-7 Rivers Data'!$AO$4:$AP$7,2,FALSE))</f>
        <v/>
      </c>
      <c r="AO243" s="265" t="str">
        <f t="shared" si="32"/>
        <v/>
      </c>
      <c r="AP243" s="355"/>
      <c r="AQ243" s="356"/>
      <c r="AX243" s="35" t="str">
        <f>IFERROR(INDEX('G-7 Rivers Data'!$AZ$3:$AZ$7,MATCH(N243,'G-7 Rivers Data'!$AY$3:$AY$7,0)),"")</f>
        <v/>
      </c>
    </row>
    <row r="244" spans="2:50" ht="13.8" x14ac:dyDescent="0.25">
      <c r="B244" s="259" t="str">
        <f>'F-1 Off Site River Baseline'!AN242</f>
        <v/>
      </c>
      <c r="C244" s="175" t="str">
        <f>IF(B244="","",VLOOKUP($B244,'F-1 Off Site River Baseline'!$C$9:$R$257,2,FALSE))</f>
        <v/>
      </c>
      <c r="D244" s="175" t="str">
        <f>IF(C244="","",VLOOKUP($B244,'F-1 Off Site River Baseline'!$C$9:$R$257,3,FALSE))</f>
        <v/>
      </c>
      <c r="E244" s="175" t="str">
        <f>IF(D244="","",VLOOKUP($B244,'F-1 Off Site River Baseline'!$C$9:$R$257,4,FALSE))</f>
        <v/>
      </c>
      <c r="F244" s="175" t="str">
        <f>IF(E244="","",VLOOKUP($B244,'F-1 Off Site River Baseline'!$C$9:$R$257,5,FALSE))</f>
        <v/>
      </c>
      <c r="G244" s="175" t="str">
        <f>IF(F244="","",VLOOKUP($B244,'F-1 Off Site River Baseline'!$C$9:$R$257,6,FALSE))</f>
        <v/>
      </c>
      <c r="H244" s="175" t="str">
        <f>IF(G244="","",VLOOKUP($B244,'F-1 Off Site River Baseline'!$C$9:$R$257,7,FALSE))</f>
        <v/>
      </c>
      <c r="I244" s="175" t="str">
        <f>IF(H244="","",VLOOKUP($B244,'F-1 Off Site River Baseline'!$C$9:$R$257,8,FALSE))</f>
        <v/>
      </c>
      <c r="J244" s="175" t="str">
        <f>IF(I244="","",VLOOKUP($B244,'F-1 Off Site River Baseline'!$C$9:$R$257,9,FALSE))</f>
        <v/>
      </c>
      <c r="K244" s="175" t="str">
        <f>IF(J244="","",VLOOKUP($B244,'F-1 Off Site River Baseline'!$C$9:$R$257,10,FALSE))</f>
        <v/>
      </c>
      <c r="L244" s="175" t="str">
        <f>IF(B244="","",VLOOKUP($B244,'C-1 Site River Baseline'!$C$9:$R$257,15,FALSE))</f>
        <v/>
      </c>
      <c r="M244" s="176" t="str">
        <f>IF(L244="","",VLOOKUP($B244,'F-1 Off Site River Baseline'!$C$9:$R$257,16,FALSE))</f>
        <v/>
      </c>
      <c r="N244" s="639" t="str">
        <f t="shared" si="26"/>
        <v/>
      </c>
      <c r="O244" s="171" t="str">
        <f t="shared" si="27"/>
        <v/>
      </c>
      <c r="P244" s="172" t="str">
        <f>IF(C244="","",IF(AND(LEFT(C244,55)&lt;&gt;LEFT(N244,55),O244="High - High"),"Error - Not like for like",IF(AND(F244=S244,H244&gt;U244),"Error - Can not reduce condition",IF(AND(F244=S244,H244=U244,AJ244='F-1 Off Site River Baseline'!N242,'F-1 Off Site River Baseline'!P242=AL244),"Error - No enhancement",IF(AND(C244&lt;&gt;N244,F244&lt;S244),"Lower Distinctiveness Habitat"&amp;" - "&amp;T244,G244&amp;" - "&amp;T244)))))</f>
        <v/>
      </c>
      <c r="Q244" s="260" t="str">
        <f>IF(N244="","",VLOOKUP(B244,'F-1 Off Site River Baseline'!$C$10:$AA$257,19,FALSE))</f>
        <v/>
      </c>
      <c r="R244" s="171" t="str">
        <f>IF(N244="","",VLOOKUP(N244,'G-7 Rivers Data'!$B$2:$G$8,2,FALSE))</f>
        <v/>
      </c>
      <c r="S244" s="172" t="str">
        <f>IFERROR(VLOOKUP(R244,'G-7 Rivers Data'!$C$4:$D$8,2,FALSE),"")</f>
        <v/>
      </c>
      <c r="T244" s="173"/>
      <c r="U244" s="172" t="str">
        <f>IFERROR(INDEX('G-7 Rivers Data'!$H$4:$L$8,MATCH(N244,'G-7 Rivers Data'!$B$4:$B$8,0),MATCH(T244,'G-7 Rivers Data'!$H$3:$L$3,0)),"")</f>
        <v/>
      </c>
      <c r="V244" s="186"/>
      <c r="W244" s="175" t="str">
        <f>IF(V244="","",IF(VLOOKUP(V244,'G-7 Rivers Data'!$AG$4:$AI$9,2,FALSE)=0,"Spatial Data Missing",VLOOKUP(V244,'G-7 Rivers Data'!$AG$4:$AI$9,2,FALSE)))</f>
        <v/>
      </c>
      <c r="X244" s="176" t="str">
        <f>IF(V244="","",IF(VLOOKUP(V244,'G-7 Rivers Data'!$AG$4:$AI$9,3,FALSE)=0,"Spatial Data Missing",VLOOKUP(V244,'G-7 Rivers Data'!$AG$4:$AI$9,3,FALSE)))</f>
        <v/>
      </c>
      <c r="Y244" s="239" t="str">
        <f>IFERROR(IF(OR(LEFT(P244,5)="Error",LEFT(O244,5)="Error"),"Check Data",IF(F244&lt;S244,'G-7 Rivers Data'!$R$3,INDEX('G-7 Rivers Data'!$U$5:$Y$9,MATCH(G244,'G-7 Rivers Data'!$T$5:$T$9,0),MATCH(T244,'G-7 Rivers Data'!$U$4:$Y$4,0)))),"")</f>
        <v/>
      </c>
      <c r="Z244" s="275"/>
      <c r="AA244" s="275"/>
      <c r="AB244" s="175" t="str">
        <f t="shared" si="28"/>
        <v/>
      </c>
      <c r="AC244" s="262" t="str">
        <f t="shared" si="29"/>
        <v/>
      </c>
      <c r="AD244" s="382" t="str">
        <f>IFERROR(IF(AC244="Check Data","Check Data",VLOOKUP(AC244,'G-4 Temporal multipliers'!$A$4:$C$37,3,FALSE)),"")</f>
        <v/>
      </c>
      <c r="AE244" s="239" t="str">
        <f>IF(N244="","",VLOOKUP(N244,'G-7 Rivers Data'!$B$4:$G$8,5,FALSE))</f>
        <v/>
      </c>
      <c r="AF244" s="175" t="str">
        <f t="shared" si="30"/>
        <v/>
      </c>
      <c r="AG244" s="175" t="str">
        <f t="shared" si="31"/>
        <v/>
      </c>
      <c r="AH244" s="176" t="str">
        <f t="shared" si="25"/>
        <v/>
      </c>
      <c r="AI244" s="173"/>
      <c r="AJ244" s="172" t="str">
        <f>IF(AI244="","",IF(VLOOKUP(AI244,'G-7 Rivers Data'!$AA$4:$AB$7,2,FALSE)=0,"Spatial Data Missing",VLOOKUP(AI244,'G-7 Rivers Data'!$AA$4:$AB$7,2,FALSE)))</f>
        <v/>
      </c>
      <c r="AK244" s="187"/>
      <c r="AL244" s="172" t="str">
        <f>IF(AK244="","",IF(VLOOKUP(AK244,'G-7 Rivers Data'!$AD$4:$AE$8,2,FALSE)=0,"Spatial Data Missing",VLOOKUP(AK244,'G-7 Rivers Data'!$AD$4:$AE$8,2,FALSE)))</f>
        <v/>
      </c>
      <c r="AM244" s="186"/>
      <c r="AN244" s="176" t="str">
        <f>IF(AM244="","",VLOOKUP(AM244,'G-7 Rivers Data'!$AO$4:$AP$7,2,FALSE))</f>
        <v/>
      </c>
      <c r="AO244" s="265" t="str">
        <f t="shared" si="32"/>
        <v/>
      </c>
      <c r="AP244" s="355"/>
      <c r="AQ244" s="356"/>
      <c r="AX244" s="35" t="str">
        <f>IFERROR(INDEX('G-7 Rivers Data'!$AZ$3:$AZ$7,MATCH(N244,'G-7 Rivers Data'!$AY$3:$AY$7,0)),"")</f>
        <v/>
      </c>
    </row>
    <row r="245" spans="2:50" ht="13.8" x14ac:dyDescent="0.25">
      <c r="B245" s="259" t="str">
        <f>'F-1 Off Site River Baseline'!AN243</f>
        <v/>
      </c>
      <c r="C245" s="175" t="str">
        <f>IF(B245="","",VLOOKUP($B245,'F-1 Off Site River Baseline'!$C$9:$R$257,2,FALSE))</f>
        <v/>
      </c>
      <c r="D245" s="175" t="str">
        <f>IF(C245="","",VLOOKUP($B245,'F-1 Off Site River Baseline'!$C$9:$R$257,3,FALSE))</f>
        <v/>
      </c>
      <c r="E245" s="175" t="str">
        <f>IF(D245="","",VLOOKUP($B245,'F-1 Off Site River Baseline'!$C$9:$R$257,4,FALSE))</f>
        <v/>
      </c>
      <c r="F245" s="175" t="str">
        <f>IF(E245="","",VLOOKUP($B245,'F-1 Off Site River Baseline'!$C$9:$R$257,5,FALSE))</f>
        <v/>
      </c>
      <c r="G245" s="175" t="str">
        <f>IF(F245="","",VLOOKUP($B245,'F-1 Off Site River Baseline'!$C$9:$R$257,6,FALSE))</f>
        <v/>
      </c>
      <c r="H245" s="175" t="str">
        <f>IF(G245="","",VLOOKUP($B245,'F-1 Off Site River Baseline'!$C$9:$R$257,7,FALSE))</f>
        <v/>
      </c>
      <c r="I245" s="175" t="str">
        <f>IF(H245="","",VLOOKUP($B245,'F-1 Off Site River Baseline'!$C$9:$R$257,8,FALSE))</f>
        <v/>
      </c>
      <c r="J245" s="175" t="str">
        <f>IF(I245="","",VLOOKUP($B245,'F-1 Off Site River Baseline'!$C$9:$R$257,9,FALSE))</f>
        <v/>
      </c>
      <c r="K245" s="175" t="str">
        <f>IF(J245="","",VLOOKUP($B245,'F-1 Off Site River Baseline'!$C$9:$R$257,10,FALSE))</f>
        <v/>
      </c>
      <c r="L245" s="175" t="str">
        <f>IF(B245="","",VLOOKUP($B245,'C-1 Site River Baseline'!$C$9:$R$257,15,FALSE))</f>
        <v/>
      </c>
      <c r="M245" s="176" t="str">
        <f>IF(L245="","",VLOOKUP($B245,'F-1 Off Site River Baseline'!$C$9:$R$257,16,FALSE))</f>
        <v/>
      </c>
      <c r="N245" s="639" t="str">
        <f t="shared" si="26"/>
        <v/>
      </c>
      <c r="O245" s="171" t="str">
        <f t="shared" si="27"/>
        <v/>
      </c>
      <c r="P245" s="172" t="str">
        <f>IF(C245="","",IF(AND(LEFT(C245,55)&lt;&gt;LEFT(N245,55),O245="High - High"),"Error - Not like for like",IF(AND(F245=S245,H245&gt;U245),"Error - Can not reduce condition",IF(AND(F245=S245,H245=U245,AJ245='F-1 Off Site River Baseline'!N243,'F-1 Off Site River Baseline'!P243=AL245),"Error - No enhancement",IF(AND(C245&lt;&gt;N245,F245&lt;S245),"Lower Distinctiveness Habitat"&amp;" - "&amp;T245,G245&amp;" - "&amp;T245)))))</f>
        <v/>
      </c>
      <c r="Q245" s="260" t="str">
        <f>IF(N245="","",VLOOKUP(B245,'F-1 Off Site River Baseline'!$C$10:$AA$257,19,FALSE))</f>
        <v/>
      </c>
      <c r="R245" s="171" t="str">
        <f>IF(N245="","",VLOOKUP(N245,'G-7 Rivers Data'!$B$2:$G$8,2,FALSE))</f>
        <v/>
      </c>
      <c r="S245" s="172" t="str">
        <f>IFERROR(VLOOKUP(R245,'G-7 Rivers Data'!$C$4:$D$8,2,FALSE),"")</f>
        <v/>
      </c>
      <c r="T245" s="173"/>
      <c r="U245" s="172" t="str">
        <f>IFERROR(INDEX('G-7 Rivers Data'!$H$4:$L$8,MATCH(N245,'G-7 Rivers Data'!$B$4:$B$8,0),MATCH(T245,'G-7 Rivers Data'!$H$3:$L$3,0)),"")</f>
        <v/>
      </c>
      <c r="V245" s="186"/>
      <c r="W245" s="175" t="str">
        <f>IF(V245="","",IF(VLOOKUP(V245,'G-7 Rivers Data'!$AG$4:$AI$9,2,FALSE)=0,"Spatial Data Missing",VLOOKUP(V245,'G-7 Rivers Data'!$AG$4:$AI$9,2,FALSE)))</f>
        <v/>
      </c>
      <c r="X245" s="176" t="str">
        <f>IF(V245="","",IF(VLOOKUP(V245,'G-7 Rivers Data'!$AG$4:$AI$9,3,FALSE)=0,"Spatial Data Missing",VLOOKUP(V245,'G-7 Rivers Data'!$AG$4:$AI$9,3,FALSE)))</f>
        <v/>
      </c>
      <c r="Y245" s="239" t="str">
        <f>IFERROR(IF(OR(LEFT(P245,5)="Error",LEFT(O245,5)="Error"),"Check Data",IF(F245&lt;S245,'G-7 Rivers Data'!$R$3,INDEX('G-7 Rivers Data'!$U$5:$Y$9,MATCH(G245,'G-7 Rivers Data'!$T$5:$T$9,0),MATCH(T245,'G-7 Rivers Data'!$U$4:$Y$4,0)))),"")</f>
        <v/>
      </c>
      <c r="Z245" s="275"/>
      <c r="AA245" s="275"/>
      <c r="AB245" s="175" t="str">
        <f t="shared" si="28"/>
        <v/>
      </c>
      <c r="AC245" s="262" t="str">
        <f t="shared" si="29"/>
        <v/>
      </c>
      <c r="AD245" s="382" t="str">
        <f>IFERROR(IF(AC245="Check Data","Check Data",VLOOKUP(AC245,'G-4 Temporal multipliers'!$A$4:$C$37,3,FALSE)),"")</f>
        <v/>
      </c>
      <c r="AE245" s="239" t="str">
        <f>IF(N245="","",VLOOKUP(N245,'G-7 Rivers Data'!$B$4:$G$8,5,FALSE))</f>
        <v/>
      </c>
      <c r="AF245" s="175" t="str">
        <f t="shared" si="30"/>
        <v/>
      </c>
      <c r="AG245" s="175" t="str">
        <f t="shared" si="31"/>
        <v/>
      </c>
      <c r="AH245" s="176" t="str">
        <f t="shared" si="25"/>
        <v/>
      </c>
      <c r="AI245" s="173"/>
      <c r="AJ245" s="172" t="str">
        <f>IF(AI245="","",IF(VLOOKUP(AI245,'G-7 Rivers Data'!$AA$4:$AB$7,2,FALSE)=0,"Spatial Data Missing",VLOOKUP(AI245,'G-7 Rivers Data'!$AA$4:$AB$7,2,FALSE)))</f>
        <v/>
      </c>
      <c r="AK245" s="187"/>
      <c r="AL245" s="172" t="str">
        <f>IF(AK245="","",IF(VLOOKUP(AK245,'G-7 Rivers Data'!$AD$4:$AE$8,2,FALSE)=0,"Spatial Data Missing",VLOOKUP(AK245,'G-7 Rivers Data'!$AD$4:$AE$8,2,FALSE)))</f>
        <v/>
      </c>
      <c r="AM245" s="186"/>
      <c r="AN245" s="176" t="str">
        <f>IF(AM245="","",VLOOKUP(AM245,'G-7 Rivers Data'!$AO$4:$AP$7,2,FALSE))</f>
        <v/>
      </c>
      <c r="AO245" s="265" t="str">
        <f t="shared" si="32"/>
        <v/>
      </c>
      <c r="AP245" s="355"/>
      <c r="AQ245" s="356"/>
      <c r="AX245" s="35" t="str">
        <f>IFERROR(INDEX('G-7 Rivers Data'!$AZ$3:$AZ$7,MATCH(N245,'G-7 Rivers Data'!$AY$3:$AY$7,0)),"")</f>
        <v/>
      </c>
    </row>
    <row r="246" spans="2:50" ht="13.8" x14ac:dyDescent="0.25">
      <c r="B246" s="259" t="str">
        <f>'F-1 Off Site River Baseline'!AN244</f>
        <v/>
      </c>
      <c r="C246" s="175" t="str">
        <f>IF(B246="","",VLOOKUP($B246,'F-1 Off Site River Baseline'!$C$9:$R$257,2,FALSE))</f>
        <v/>
      </c>
      <c r="D246" s="175" t="str">
        <f>IF(C246="","",VLOOKUP($B246,'F-1 Off Site River Baseline'!$C$9:$R$257,3,FALSE))</f>
        <v/>
      </c>
      <c r="E246" s="175" t="str">
        <f>IF(D246="","",VLOOKUP($B246,'F-1 Off Site River Baseline'!$C$9:$R$257,4,FALSE))</f>
        <v/>
      </c>
      <c r="F246" s="175" t="str">
        <f>IF(E246="","",VLOOKUP($B246,'F-1 Off Site River Baseline'!$C$9:$R$257,5,FALSE))</f>
        <v/>
      </c>
      <c r="G246" s="175" t="str">
        <f>IF(F246="","",VLOOKUP($B246,'F-1 Off Site River Baseline'!$C$9:$R$257,6,FALSE))</f>
        <v/>
      </c>
      <c r="H246" s="175" t="str">
        <f>IF(G246="","",VLOOKUP($B246,'F-1 Off Site River Baseline'!$C$9:$R$257,7,FALSE))</f>
        <v/>
      </c>
      <c r="I246" s="175" t="str">
        <f>IF(H246="","",VLOOKUP($B246,'F-1 Off Site River Baseline'!$C$9:$R$257,8,FALSE))</f>
        <v/>
      </c>
      <c r="J246" s="175" t="str">
        <f>IF(I246="","",VLOOKUP($B246,'F-1 Off Site River Baseline'!$C$9:$R$257,9,FALSE))</f>
        <v/>
      </c>
      <c r="K246" s="175" t="str">
        <f>IF(J246="","",VLOOKUP($B246,'F-1 Off Site River Baseline'!$C$9:$R$257,10,FALSE))</f>
        <v/>
      </c>
      <c r="L246" s="175" t="str">
        <f>IF(B246="","",VLOOKUP($B246,'C-1 Site River Baseline'!$C$9:$R$257,15,FALSE))</f>
        <v/>
      </c>
      <c r="M246" s="176" t="str">
        <f>IF(L246="","",VLOOKUP($B246,'F-1 Off Site River Baseline'!$C$9:$R$257,16,FALSE))</f>
        <v/>
      </c>
      <c r="N246" s="639" t="str">
        <f t="shared" si="26"/>
        <v/>
      </c>
      <c r="O246" s="171" t="str">
        <f t="shared" si="27"/>
        <v/>
      </c>
      <c r="P246" s="172" t="str">
        <f>IF(C246="","",IF(AND(LEFT(C246,55)&lt;&gt;LEFT(N246,55),O246="High - High"),"Error - Not like for like",IF(AND(F246=S246,H246&gt;U246),"Error - Can not reduce condition",IF(AND(F246=S246,H246=U246,AJ246='F-1 Off Site River Baseline'!N244,'F-1 Off Site River Baseline'!P244=AL246),"Error - No enhancement",IF(AND(C246&lt;&gt;N246,F246&lt;S246),"Lower Distinctiveness Habitat"&amp;" - "&amp;T246,G246&amp;" - "&amp;T246)))))</f>
        <v/>
      </c>
      <c r="Q246" s="260" t="str">
        <f>IF(N246="","",VLOOKUP(B246,'F-1 Off Site River Baseline'!$C$10:$AA$257,19,FALSE))</f>
        <v/>
      </c>
      <c r="R246" s="171" t="str">
        <f>IF(N246="","",VLOOKUP(N246,'G-7 Rivers Data'!$B$2:$G$8,2,FALSE))</f>
        <v/>
      </c>
      <c r="S246" s="172" t="str">
        <f>IFERROR(VLOOKUP(R246,'G-7 Rivers Data'!$C$4:$D$8,2,FALSE),"")</f>
        <v/>
      </c>
      <c r="T246" s="173"/>
      <c r="U246" s="172" t="str">
        <f>IFERROR(INDEX('G-7 Rivers Data'!$H$4:$L$8,MATCH(N246,'G-7 Rivers Data'!$B$4:$B$8,0),MATCH(T246,'G-7 Rivers Data'!$H$3:$L$3,0)),"")</f>
        <v/>
      </c>
      <c r="V246" s="186"/>
      <c r="W246" s="175" t="str">
        <f>IF(V246="","",IF(VLOOKUP(V246,'G-7 Rivers Data'!$AG$4:$AI$9,2,FALSE)=0,"Spatial Data Missing",VLOOKUP(V246,'G-7 Rivers Data'!$AG$4:$AI$9,2,FALSE)))</f>
        <v/>
      </c>
      <c r="X246" s="176" t="str">
        <f>IF(V246="","",IF(VLOOKUP(V246,'G-7 Rivers Data'!$AG$4:$AI$9,3,FALSE)=0,"Spatial Data Missing",VLOOKUP(V246,'G-7 Rivers Data'!$AG$4:$AI$9,3,FALSE)))</f>
        <v/>
      </c>
      <c r="Y246" s="239" t="str">
        <f>IFERROR(IF(OR(LEFT(P246,5)="Error",LEFT(O246,5)="Error"),"Check Data",IF(F246&lt;S246,'G-7 Rivers Data'!$R$3,INDEX('G-7 Rivers Data'!$U$5:$Y$9,MATCH(G246,'G-7 Rivers Data'!$T$5:$T$9,0),MATCH(T246,'G-7 Rivers Data'!$U$4:$Y$4,0)))),"")</f>
        <v/>
      </c>
      <c r="Z246" s="275"/>
      <c r="AA246" s="275"/>
      <c r="AB246" s="175" t="str">
        <f t="shared" si="28"/>
        <v/>
      </c>
      <c r="AC246" s="262" t="str">
        <f t="shared" si="29"/>
        <v/>
      </c>
      <c r="AD246" s="382" t="str">
        <f>IFERROR(IF(AC246="Check Data","Check Data",VLOOKUP(AC246,'G-4 Temporal multipliers'!$A$4:$C$37,3,FALSE)),"")</f>
        <v/>
      </c>
      <c r="AE246" s="239" t="str">
        <f>IF(N246="","",VLOOKUP(N246,'G-7 Rivers Data'!$B$4:$G$8,5,FALSE))</f>
        <v/>
      </c>
      <c r="AF246" s="175" t="str">
        <f t="shared" si="30"/>
        <v/>
      </c>
      <c r="AG246" s="175" t="str">
        <f t="shared" si="31"/>
        <v/>
      </c>
      <c r="AH246" s="176" t="str">
        <f t="shared" si="25"/>
        <v/>
      </c>
      <c r="AI246" s="173"/>
      <c r="AJ246" s="172" t="str">
        <f>IF(AI246="","",IF(VLOOKUP(AI246,'G-7 Rivers Data'!$AA$4:$AB$7,2,FALSE)=0,"Spatial Data Missing",VLOOKUP(AI246,'G-7 Rivers Data'!$AA$4:$AB$7,2,FALSE)))</f>
        <v/>
      </c>
      <c r="AK246" s="187"/>
      <c r="AL246" s="172" t="str">
        <f>IF(AK246="","",IF(VLOOKUP(AK246,'G-7 Rivers Data'!$AD$4:$AE$8,2,FALSE)=0,"Spatial Data Missing",VLOOKUP(AK246,'G-7 Rivers Data'!$AD$4:$AE$8,2,FALSE)))</f>
        <v/>
      </c>
      <c r="AM246" s="186"/>
      <c r="AN246" s="176" t="str">
        <f>IF(AM246="","",VLOOKUP(AM246,'G-7 Rivers Data'!$AO$4:$AP$7,2,FALSE))</f>
        <v/>
      </c>
      <c r="AO246" s="265" t="str">
        <f t="shared" si="32"/>
        <v/>
      </c>
      <c r="AP246" s="355"/>
      <c r="AQ246" s="356"/>
      <c r="AX246" s="35" t="str">
        <f>IFERROR(INDEX('G-7 Rivers Data'!$AZ$3:$AZ$7,MATCH(N246,'G-7 Rivers Data'!$AY$3:$AY$7,0)),"")</f>
        <v/>
      </c>
    </row>
    <row r="247" spans="2:50" ht="13.8" x14ac:dyDescent="0.25">
      <c r="B247" s="259" t="str">
        <f>'F-1 Off Site River Baseline'!AN245</f>
        <v/>
      </c>
      <c r="C247" s="175" t="str">
        <f>IF(B247="","",VLOOKUP($B247,'F-1 Off Site River Baseline'!$C$9:$R$257,2,FALSE))</f>
        <v/>
      </c>
      <c r="D247" s="175" t="str">
        <f>IF(C247="","",VLOOKUP($B247,'F-1 Off Site River Baseline'!$C$9:$R$257,3,FALSE))</f>
        <v/>
      </c>
      <c r="E247" s="175" t="str">
        <f>IF(D247="","",VLOOKUP($B247,'F-1 Off Site River Baseline'!$C$9:$R$257,4,FALSE))</f>
        <v/>
      </c>
      <c r="F247" s="175" t="str">
        <f>IF(E247="","",VLOOKUP($B247,'F-1 Off Site River Baseline'!$C$9:$R$257,5,FALSE))</f>
        <v/>
      </c>
      <c r="G247" s="175" t="str">
        <f>IF(F247="","",VLOOKUP($B247,'F-1 Off Site River Baseline'!$C$9:$R$257,6,FALSE))</f>
        <v/>
      </c>
      <c r="H247" s="175" t="str">
        <f>IF(G247="","",VLOOKUP($B247,'F-1 Off Site River Baseline'!$C$9:$R$257,7,FALSE))</f>
        <v/>
      </c>
      <c r="I247" s="175" t="str">
        <f>IF(H247="","",VLOOKUP($B247,'F-1 Off Site River Baseline'!$C$9:$R$257,8,FALSE))</f>
        <v/>
      </c>
      <c r="J247" s="175" t="str">
        <f>IF(I247="","",VLOOKUP($B247,'F-1 Off Site River Baseline'!$C$9:$R$257,9,FALSE))</f>
        <v/>
      </c>
      <c r="K247" s="175" t="str">
        <f>IF(J247="","",VLOOKUP($B247,'F-1 Off Site River Baseline'!$C$9:$R$257,10,FALSE))</f>
        <v/>
      </c>
      <c r="L247" s="175" t="str">
        <f>IF(B247="","",VLOOKUP($B247,'C-1 Site River Baseline'!$C$9:$R$257,15,FALSE))</f>
        <v/>
      </c>
      <c r="M247" s="176" t="str">
        <f>IF(L247="","",VLOOKUP($B247,'F-1 Off Site River Baseline'!$C$9:$R$257,16,FALSE))</f>
        <v/>
      </c>
      <c r="N247" s="639" t="str">
        <f t="shared" si="26"/>
        <v/>
      </c>
      <c r="O247" s="171" t="str">
        <f t="shared" si="27"/>
        <v/>
      </c>
      <c r="P247" s="172" t="str">
        <f>IF(C247="","",IF(AND(LEFT(C247,55)&lt;&gt;LEFT(N247,55),O247="High - High"),"Error - Not like for like",IF(AND(F247=S247,H247&gt;U247),"Error - Can not reduce condition",IF(AND(F247=S247,H247=U247,AJ247='F-1 Off Site River Baseline'!N245,'F-1 Off Site River Baseline'!P245=AL247),"Error - No enhancement",IF(AND(C247&lt;&gt;N247,F247&lt;S247),"Lower Distinctiveness Habitat"&amp;" - "&amp;T247,G247&amp;" - "&amp;T247)))))</f>
        <v/>
      </c>
      <c r="Q247" s="260" t="str">
        <f>IF(N247="","",VLOOKUP(B247,'F-1 Off Site River Baseline'!$C$10:$AA$257,19,FALSE))</f>
        <v/>
      </c>
      <c r="R247" s="171" t="str">
        <f>IF(N247="","",VLOOKUP(N247,'G-7 Rivers Data'!$B$2:$G$8,2,FALSE))</f>
        <v/>
      </c>
      <c r="S247" s="172" t="str">
        <f>IFERROR(VLOOKUP(R247,'G-7 Rivers Data'!$C$4:$D$8,2,FALSE),"")</f>
        <v/>
      </c>
      <c r="T247" s="173"/>
      <c r="U247" s="172" t="str">
        <f>IFERROR(INDEX('G-7 Rivers Data'!$H$4:$L$8,MATCH(N247,'G-7 Rivers Data'!$B$4:$B$8,0),MATCH(T247,'G-7 Rivers Data'!$H$3:$L$3,0)),"")</f>
        <v/>
      </c>
      <c r="V247" s="186"/>
      <c r="W247" s="175" t="str">
        <f>IF(V247="","",IF(VLOOKUP(V247,'G-7 Rivers Data'!$AG$4:$AI$9,2,FALSE)=0,"Spatial Data Missing",VLOOKUP(V247,'G-7 Rivers Data'!$AG$4:$AI$9,2,FALSE)))</f>
        <v/>
      </c>
      <c r="X247" s="176" t="str">
        <f>IF(V247="","",IF(VLOOKUP(V247,'G-7 Rivers Data'!$AG$4:$AI$9,3,FALSE)=0,"Spatial Data Missing",VLOOKUP(V247,'G-7 Rivers Data'!$AG$4:$AI$9,3,FALSE)))</f>
        <v/>
      </c>
      <c r="Y247" s="239" t="str">
        <f>IFERROR(IF(OR(LEFT(P247,5)="Error",LEFT(O247,5)="Error"),"Check Data",IF(F247&lt;S247,'G-7 Rivers Data'!$R$3,INDEX('G-7 Rivers Data'!$U$5:$Y$9,MATCH(G247,'G-7 Rivers Data'!$T$5:$T$9,0),MATCH(T247,'G-7 Rivers Data'!$U$4:$Y$4,0)))),"")</f>
        <v/>
      </c>
      <c r="Z247" s="275"/>
      <c r="AA247" s="275"/>
      <c r="AB247" s="175" t="str">
        <f t="shared" si="28"/>
        <v/>
      </c>
      <c r="AC247" s="262" t="str">
        <f t="shared" si="29"/>
        <v/>
      </c>
      <c r="AD247" s="382" t="str">
        <f>IFERROR(IF(AC247="Check Data","Check Data",VLOOKUP(AC247,'G-4 Temporal multipliers'!$A$4:$C$37,3,FALSE)),"")</f>
        <v/>
      </c>
      <c r="AE247" s="239" t="str">
        <f>IF(N247="","",VLOOKUP(N247,'G-7 Rivers Data'!$B$4:$G$8,5,FALSE))</f>
        <v/>
      </c>
      <c r="AF247" s="175" t="str">
        <f t="shared" si="30"/>
        <v/>
      </c>
      <c r="AG247" s="175" t="str">
        <f t="shared" si="31"/>
        <v/>
      </c>
      <c r="AH247" s="176" t="str">
        <f t="shared" si="25"/>
        <v/>
      </c>
      <c r="AI247" s="173"/>
      <c r="AJ247" s="172" t="str">
        <f>IF(AI247="","",IF(VLOOKUP(AI247,'G-7 Rivers Data'!$AA$4:$AB$7,2,FALSE)=0,"Spatial Data Missing",VLOOKUP(AI247,'G-7 Rivers Data'!$AA$4:$AB$7,2,FALSE)))</f>
        <v/>
      </c>
      <c r="AK247" s="187"/>
      <c r="AL247" s="172" t="str">
        <f>IF(AK247="","",IF(VLOOKUP(AK247,'G-7 Rivers Data'!$AD$4:$AE$8,2,FALSE)=0,"Spatial Data Missing",VLOOKUP(AK247,'G-7 Rivers Data'!$AD$4:$AE$8,2,FALSE)))</f>
        <v/>
      </c>
      <c r="AM247" s="186"/>
      <c r="AN247" s="176" t="str">
        <f>IF(AM247="","",VLOOKUP(AM247,'G-7 Rivers Data'!$AO$4:$AP$7,2,FALSE))</f>
        <v/>
      </c>
      <c r="AO247" s="265" t="str">
        <f t="shared" si="32"/>
        <v/>
      </c>
      <c r="AP247" s="355"/>
      <c r="AQ247" s="356"/>
      <c r="AX247" s="35" t="str">
        <f>IFERROR(INDEX('G-7 Rivers Data'!$AZ$3:$AZ$7,MATCH(N247,'G-7 Rivers Data'!$AY$3:$AY$7,0)),"")</f>
        <v/>
      </c>
    </row>
    <row r="248" spans="2:50" ht="13.8" x14ac:dyDescent="0.25">
      <c r="B248" s="259" t="str">
        <f>'F-1 Off Site River Baseline'!AN246</f>
        <v/>
      </c>
      <c r="C248" s="175" t="str">
        <f>IF(B248="","",VLOOKUP($B248,'F-1 Off Site River Baseline'!$C$9:$R$257,2,FALSE))</f>
        <v/>
      </c>
      <c r="D248" s="175" t="str">
        <f>IF(C248="","",VLOOKUP($B248,'F-1 Off Site River Baseline'!$C$9:$R$257,3,FALSE))</f>
        <v/>
      </c>
      <c r="E248" s="175" t="str">
        <f>IF(D248="","",VLOOKUP($B248,'F-1 Off Site River Baseline'!$C$9:$R$257,4,FALSE))</f>
        <v/>
      </c>
      <c r="F248" s="175" t="str">
        <f>IF(E248="","",VLOOKUP($B248,'F-1 Off Site River Baseline'!$C$9:$R$257,5,FALSE))</f>
        <v/>
      </c>
      <c r="G248" s="175" t="str">
        <f>IF(F248="","",VLOOKUP($B248,'F-1 Off Site River Baseline'!$C$9:$R$257,6,FALSE))</f>
        <v/>
      </c>
      <c r="H248" s="175" t="str">
        <f>IF(G248="","",VLOOKUP($B248,'F-1 Off Site River Baseline'!$C$9:$R$257,7,FALSE))</f>
        <v/>
      </c>
      <c r="I248" s="175" t="str">
        <f>IF(H248="","",VLOOKUP($B248,'F-1 Off Site River Baseline'!$C$9:$R$257,8,FALSE))</f>
        <v/>
      </c>
      <c r="J248" s="175" t="str">
        <f>IF(I248="","",VLOOKUP($B248,'F-1 Off Site River Baseline'!$C$9:$R$257,9,FALSE))</f>
        <v/>
      </c>
      <c r="K248" s="175" t="str">
        <f>IF(J248="","",VLOOKUP($B248,'F-1 Off Site River Baseline'!$C$9:$R$257,10,FALSE))</f>
        <v/>
      </c>
      <c r="L248" s="175" t="str">
        <f>IF(B248="","",VLOOKUP($B248,'C-1 Site River Baseline'!$C$9:$R$257,15,FALSE))</f>
        <v/>
      </c>
      <c r="M248" s="176" t="str">
        <f>IF(L248="","",VLOOKUP($B248,'F-1 Off Site River Baseline'!$C$9:$R$257,16,FALSE))</f>
        <v/>
      </c>
      <c r="N248" s="639" t="str">
        <f t="shared" si="26"/>
        <v/>
      </c>
      <c r="O248" s="171" t="str">
        <f t="shared" si="27"/>
        <v/>
      </c>
      <c r="P248" s="172" t="str">
        <f>IF(C248="","",IF(AND(LEFT(C248,55)&lt;&gt;LEFT(N248,55),O248="High - High"),"Error - Not like for like",IF(AND(F248=S248,H248&gt;U248),"Error - Can not reduce condition",IF(AND(F248=S248,H248=U248,AJ248='F-1 Off Site River Baseline'!N246,'F-1 Off Site River Baseline'!P246=AL248),"Error - No enhancement",IF(AND(C248&lt;&gt;N248,F248&lt;S248),"Lower Distinctiveness Habitat"&amp;" - "&amp;T248,G248&amp;" - "&amp;T248)))))</f>
        <v/>
      </c>
      <c r="Q248" s="260" t="str">
        <f>IF(N248="","",VLOOKUP(B248,'F-1 Off Site River Baseline'!$C$10:$AA$257,19,FALSE))</f>
        <v/>
      </c>
      <c r="R248" s="171" t="str">
        <f>IF(N248="","",VLOOKUP(N248,'G-7 Rivers Data'!$B$2:$G$8,2,FALSE))</f>
        <v/>
      </c>
      <c r="S248" s="172" t="str">
        <f>IFERROR(VLOOKUP(R248,'G-7 Rivers Data'!$C$4:$D$8,2,FALSE),"")</f>
        <v/>
      </c>
      <c r="T248" s="173"/>
      <c r="U248" s="172" t="str">
        <f>IFERROR(INDEX('G-7 Rivers Data'!$H$4:$L$8,MATCH(N248,'G-7 Rivers Data'!$B$4:$B$8,0),MATCH(T248,'G-7 Rivers Data'!$H$3:$L$3,0)),"")</f>
        <v/>
      </c>
      <c r="V248" s="186"/>
      <c r="W248" s="175" t="str">
        <f>IF(V248="","",IF(VLOOKUP(V248,'G-7 Rivers Data'!$AG$4:$AI$9,2,FALSE)=0,"Spatial Data Missing",VLOOKUP(V248,'G-7 Rivers Data'!$AG$4:$AI$9,2,FALSE)))</f>
        <v/>
      </c>
      <c r="X248" s="176" t="str">
        <f>IF(V248="","",IF(VLOOKUP(V248,'G-7 Rivers Data'!$AG$4:$AI$9,3,FALSE)=0,"Spatial Data Missing",VLOOKUP(V248,'G-7 Rivers Data'!$AG$4:$AI$9,3,FALSE)))</f>
        <v/>
      </c>
      <c r="Y248" s="239" t="str">
        <f>IFERROR(IF(OR(LEFT(P248,5)="Error",LEFT(O248,5)="Error"),"Check Data",IF(F248&lt;S248,'G-7 Rivers Data'!$R$3,INDEX('G-7 Rivers Data'!$U$5:$Y$9,MATCH(G248,'G-7 Rivers Data'!$T$5:$T$9,0),MATCH(T248,'G-7 Rivers Data'!$U$4:$Y$4,0)))),"")</f>
        <v/>
      </c>
      <c r="Z248" s="275"/>
      <c r="AA248" s="275"/>
      <c r="AB248" s="175" t="str">
        <f t="shared" si="28"/>
        <v/>
      </c>
      <c r="AC248" s="262" t="str">
        <f t="shared" si="29"/>
        <v/>
      </c>
      <c r="AD248" s="382" t="str">
        <f>IFERROR(IF(AC248="Check Data","Check Data",VLOOKUP(AC248,'G-4 Temporal multipliers'!$A$4:$C$37,3,FALSE)),"")</f>
        <v/>
      </c>
      <c r="AE248" s="239" t="str">
        <f>IF(N248="","",VLOOKUP(N248,'G-7 Rivers Data'!$B$4:$G$8,5,FALSE))</f>
        <v/>
      </c>
      <c r="AF248" s="175" t="str">
        <f t="shared" si="30"/>
        <v/>
      </c>
      <c r="AG248" s="175" t="str">
        <f t="shared" si="31"/>
        <v/>
      </c>
      <c r="AH248" s="176" t="str">
        <f t="shared" si="25"/>
        <v/>
      </c>
      <c r="AI248" s="173"/>
      <c r="AJ248" s="172" t="str">
        <f>IF(AI248="","",IF(VLOOKUP(AI248,'G-7 Rivers Data'!$AA$4:$AB$7,2,FALSE)=0,"Spatial Data Missing",VLOOKUP(AI248,'G-7 Rivers Data'!$AA$4:$AB$7,2,FALSE)))</f>
        <v/>
      </c>
      <c r="AK248" s="187"/>
      <c r="AL248" s="172" t="str">
        <f>IF(AK248="","",IF(VLOOKUP(AK248,'G-7 Rivers Data'!$AD$4:$AE$8,2,FALSE)=0,"Spatial Data Missing",VLOOKUP(AK248,'G-7 Rivers Data'!$AD$4:$AE$8,2,FALSE)))</f>
        <v/>
      </c>
      <c r="AM248" s="186"/>
      <c r="AN248" s="176" t="str">
        <f>IF(AM248="","",VLOOKUP(AM248,'G-7 Rivers Data'!$AO$4:$AP$7,2,FALSE))</f>
        <v/>
      </c>
      <c r="AO248" s="265" t="str">
        <f t="shared" si="32"/>
        <v/>
      </c>
      <c r="AP248" s="355"/>
      <c r="AQ248" s="356"/>
      <c r="AX248" s="35" t="str">
        <f>IFERROR(INDEX('G-7 Rivers Data'!$AZ$3:$AZ$7,MATCH(N248,'G-7 Rivers Data'!$AY$3:$AY$7,0)),"")</f>
        <v/>
      </c>
    </row>
    <row r="249" spans="2:50" ht="13.8" x14ac:dyDescent="0.25">
      <c r="B249" s="259" t="str">
        <f>'F-1 Off Site River Baseline'!AN247</f>
        <v/>
      </c>
      <c r="C249" s="175" t="str">
        <f>IF(B249="","",VLOOKUP($B249,'F-1 Off Site River Baseline'!$C$9:$R$257,2,FALSE))</f>
        <v/>
      </c>
      <c r="D249" s="175" t="str">
        <f>IF(C249="","",VLOOKUP($B249,'F-1 Off Site River Baseline'!$C$9:$R$257,3,FALSE))</f>
        <v/>
      </c>
      <c r="E249" s="175" t="str">
        <f>IF(D249="","",VLOOKUP($B249,'F-1 Off Site River Baseline'!$C$9:$R$257,4,FALSE))</f>
        <v/>
      </c>
      <c r="F249" s="175" t="str">
        <f>IF(E249="","",VLOOKUP($B249,'F-1 Off Site River Baseline'!$C$9:$R$257,5,FALSE))</f>
        <v/>
      </c>
      <c r="G249" s="175" t="str">
        <f>IF(F249="","",VLOOKUP($B249,'F-1 Off Site River Baseline'!$C$9:$R$257,6,FALSE))</f>
        <v/>
      </c>
      <c r="H249" s="175" t="str">
        <f>IF(G249="","",VLOOKUP($B249,'F-1 Off Site River Baseline'!$C$9:$R$257,7,FALSE))</f>
        <v/>
      </c>
      <c r="I249" s="175" t="str">
        <f>IF(H249="","",VLOOKUP($B249,'F-1 Off Site River Baseline'!$C$9:$R$257,8,FALSE))</f>
        <v/>
      </c>
      <c r="J249" s="175" t="str">
        <f>IF(I249="","",VLOOKUP($B249,'F-1 Off Site River Baseline'!$C$9:$R$257,9,FALSE))</f>
        <v/>
      </c>
      <c r="K249" s="175" t="str">
        <f>IF(J249="","",VLOOKUP($B249,'F-1 Off Site River Baseline'!$C$9:$R$257,10,FALSE))</f>
        <v/>
      </c>
      <c r="L249" s="175" t="str">
        <f>IF(B249="","",VLOOKUP($B249,'C-1 Site River Baseline'!$C$9:$R$257,15,FALSE))</f>
        <v/>
      </c>
      <c r="M249" s="176" t="str">
        <f>IF(L249="","",VLOOKUP($B249,'F-1 Off Site River Baseline'!$C$9:$R$257,16,FALSE))</f>
        <v/>
      </c>
      <c r="N249" s="639" t="str">
        <f t="shared" si="26"/>
        <v/>
      </c>
      <c r="O249" s="171" t="str">
        <f t="shared" si="27"/>
        <v/>
      </c>
      <c r="P249" s="172" t="str">
        <f>IF(C249="","",IF(AND(LEFT(C249,55)&lt;&gt;LEFT(N249,55),O249="High - High"),"Error - Not like for like",IF(AND(F249=S249,H249&gt;U249),"Error - Can not reduce condition",IF(AND(F249=S249,H249=U249,AJ249='F-1 Off Site River Baseline'!N247,'F-1 Off Site River Baseline'!P247=AL249),"Error - No enhancement",IF(AND(C249&lt;&gt;N249,F249&lt;S249),"Lower Distinctiveness Habitat"&amp;" - "&amp;T249,G249&amp;" - "&amp;T249)))))</f>
        <v/>
      </c>
      <c r="Q249" s="260" t="str">
        <f>IF(N249="","",VLOOKUP(B249,'F-1 Off Site River Baseline'!$C$10:$AA$257,19,FALSE))</f>
        <v/>
      </c>
      <c r="R249" s="171" t="str">
        <f>IF(N249="","",VLOOKUP(N249,'G-7 Rivers Data'!$B$2:$G$8,2,FALSE))</f>
        <v/>
      </c>
      <c r="S249" s="172" t="str">
        <f>IFERROR(VLOOKUP(R249,'G-7 Rivers Data'!$C$4:$D$8,2,FALSE),"")</f>
        <v/>
      </c>
      <c r="T249" s="173"/>
      <c r="U249" s="172" t="str">
        <f>IFERROR(INDEX('G-7 Rivers Data'!$H$4:$L$8,MATCH(N249,'G-7 Rivers Data'!$B$4:$B$8,0),MATCH(T249,'G-7 Rivers Data'!$H$3:$L$3,0)),"")</f>
        <v/>
      </c>
      <c r="V249" s="186"/>
      <c r="W249" s="175" t="str">
        <f>IF(V249="","",IF(VLOOKUP(V249,'G-7 Rivers Data'!$AG$4:$AI$9,2,FALSE)=0,"Spatial Data Missing",VLOOKUP(V249,'G-7 Rivers Data'!$AG$4:$AI$9,2,FALSE)))</f>
        <v/>
      </c>
      <c r="X249" s="176" t="str">
        <f>IF(V249="","",IF(VLOOKUP(V249,'G-7 Rivers Data'!$AG$4:$AI$9,3,FALSE)=0,"Spatial Data Missing",VLOOKUP(V249,'G-7 Rivers Data'!$AG$4:$AI$9,3,FALSE)))</f>
        <v/>
      </c>
      <c r="Y249" s="239" t="str">
        <f>IFERROR(IF(OR(LEFT(P249,5)="Error",LEFT(O249,5)="Error"),"Check Data",IF(F249&lt;S249,'G-7 Rivers Data'!$R$3,INDEX('G-7 Rivers Data'!$U$5:$Y$9,MATCH(G249,'G-7 Rivers Data'!$T$5:$T$9,0),MATCH(T249,'G-7 Rivers Data'!$U$4:$Y$4,0)))),"")</f>
        <v/>
      </c>
      <c r="Z249" s="275"/>
      <c r="AA249" s="275"/>
      <c r="AB249" s="175" t="str">
        <f t="shared" si="28"/>
        <v/>
      </c>
      <c r="AC249" s="262" t="str">
        <f t="shared" si="29"/>
        <v/>
      </c>
      <c r="AD249" s="382" t="str">
        <f>IFERROR(IF(AC249="Check Data","Check Data",VLOOKUP(AC249,'G-4 Temporal multipliers'!$A$4:$C$37,3,FALSE)),"")</f>
        <v/>
      </c>
      <c r="AE249" s="239" t="str">
        <f>IF(N249="","",VLOOKUP(N249,'G-7 Rivers Data'!$B$4:$G$8,5,FALSE))</f>
        <v/>
      </c>
      <c r="AF249" s="175" t="str">
        <f t="shared" si="30"/>
        <v/>
      </c>
      <c r="AG249" s="175" t="str">
        <f t="shared" si="31"/>
        <v/>
      </c>
      <c r="AH249" s="176" t="str">
        <f t="shared" si="25"/>
        <v/>
      </c>
      <c r="AI249" s="173"/>
      <c r="AJ249" s="172" t="str">
        <f>IF(AI249="","",IF(VLOOKUP(AI249,'G-7 Rivers Data'!$AA$4:$AB$7,2,FALSE)=0,"Spatial Data Missing",VLOOKUP(AI249,'G-7 Rivers Data'!$AA$4:$AB$7,2,FALSE)))</f>
        <v/>
      </c>
      <c r="AK249" s="187"/>
      <c r="AL249" s="172" t="str">
        <f>IF(AK249="","",IF(VLOOKUP(AK249,'G-7 Rivers Data'!$AD$4:$AE$8,2,FALSE)=0,"Spatial Data Missing",VLOOKUP(AK249,'G-7 Rivers Data'!$AD$4:$AE$8,2,FALSE)))</f>
        <v/>
      </c>
      <c r="AM249" s="186"/>
      <c r="AN249" s="176" t="str">
        <f>IF(AM249="","",VLOOKUP(AM249,'G-7 Rivers Data'!$AO$4:$AP$7,2,FALSE))</f>
        <v/>
      </c>
      <c r="AO249" s="265" t="str">
        <f t="shared" si="32"/>
        <v/>
      </c>
      <c r="AP249" s="355"/>
      <c r="AQ249" s="356"/>
      <c r="AX249" s="35" t="str">
        <f>IFERROR(INDEX('G-7 Rivers Data'!$AZ$3:$AZ$7,MATCH(N249,'G-7 Rivers Data'!$AY$3:$AY$7,0)),"")</f>
        <v/>
      </c>
    </row>
    <row r="250" spans="2:50" ht="13.8" x14ac:dyDescent="0.25">
      <c r="B250" s="259" t="str">
        <f>'F-1 Off Site River Baseline'!AN248</f>
        <v/>
      </c>
      <c r="C250" s="175" t="str">
        <f>IF(B250="","",VLOOKUP($B250,'F-1 Off Site River Baseline'!$C$9:$R$257,2,FALSE))</f>
        <v/>
      </c>
      <c r="D250" s="175" t="str">
        <f>IF(C250="","",VLOOKUP($B250,'F-1 Off Site River Baseline'!$C$9:$R$257,3,FALSE))</f>
        <v/>
      </c>
      <c r="E250" s="175" t="str">
        <f>IF(D250="","",VLOOKUP($B250,'F-1 Off Site River Baseline'!$C$9:$R$257,4,FALSE))</f>
        <v/>
      </c>
      <c r="F250" s="175" t="str">
        <f>IF(E250="","",VLOOKUP($B250,'F-1 Off Site River Baseline'!$C$9:$R$257,5,FALSE))</f>
        <v/>
      </c>
      <c r="G250" s="175" t="str">
        <f>IF(F250="","",VLOOKUP($B250,'F-1 Off Site River Baseline'!$C$9:$R$257,6,FALSE))</f>
        <v/>
      </c>
      <c r="H250" s="175" t="str">
        <f>IF(G250="","",VLOOKUP($B250,'F-1 Off Site River Baseline'!$C$9:$R$257,7,FALSE))</f>
        <v/>
      </c>
      <c r="I250" s="175" t="str">
        <f>IF(H250="","",VLOOKUP($B250,'F-1 Off Site River Baseline'!$C$9:$R$257,8,FALSE))</f>
        <v/>
      </c>
      <c r="J250" s="175" t="str">
        <f>IF(I250="","",VLOOKUP($B250,'F-1 Off Site River Baseline'!$C$9:$R$257,9,FALSE))</f>
        <v/>
      </c>
      <c r="K250" s="175" t="str">
        <f>IF(J250="","",VLOOKUP($B250,'F-1 Off Site River Baseline'!$C$9:$R$257,10,FALSE))</f>
        <v/>
      </c>
      <c r="L250" s="175" t="str">
        <f>IF(B250="","",VLOOKUP($B250,'C-1 Site River Baseline'!$C$9:$R$257,15,FALSE))</f>
        <v/>
      </c>
      <c r="M250" s="176" t="str">
        <f>IF(L250="","",VLOOKUP($B250,'F-1 Off Site River Baseline'!$C$9:$R$257,16,FALSE))</f>
        <v/>
      </c>
      <c r="N250" s="639" t="str">
        <f t="shared" si="26"/>
        <v/>
      </c>
      <c r="O250" s="171" t="str">
        <f t="shared" si="27"/>
        <v/>
      </c>
      <c r="P250" s="172" t="str">
        <f>IF(C250="","",IF(AND(LEFT(C250,55)&lt;&gt;LEFT(N250,55),O250="High - High"),"Error - Not like for like",IF(AND(F250=S250,H250&gt;U250),"Error - Can not reduce condition",IF(AND(F250=S250,H250=U250,AJ250='F-1 Off Site River Baseline'!N248,'F-1 Off Site River Baseline'!P248=AL250),"Error - No enhancement",IF(AND(C250&lt;&gt;N250,F250&lt;S250),"Lower Distinctiveness Habitat"&amp;" - "&amp;T250,G250&amp;" - "&amp;T250)))))</f>
        <v/>
      </c>
      <c r="Q250" s="260" t="str">
        <f>IF(N250="","",VLOOKUP(B250,'F-1 Off Site River Baseline'!$C$10:$AA$257,19,FALSE))</f>
        <v/>
      </c>
      <c r="R250" s="171" t="str">
        <f>IF(N250="","",VLOOKUP(N250,'G-7 Rivers Data'!$B$2:$G$8,2,FALSE))</f>
        <v/>
      </c>
      <c r="S250" s="172" t="str">
        <f>IFERROR(VLOOKUP(R250,'G-7 Rivers Data'!$C$4:$D$8,2,FALSE),"")</f>
        <v/>
      </c>
      <c r="T250" s="173"/>
      <c r="U250" s="172" t="str">
        <f>IFERROR(INDEX('G-7 Rivers Data'!$H$4:$L$8,MATCH(N250,'G-7 Rivers Data'!$B$4:$B$8,0),MATCH(T250,'G-7 Rivers Data'!$H$3:$L$3,0)),"")</f>
        <v/>
      </c>
      <c r="V250" s="186"/>
      <c r="W250" s="175" t="str">
        <f>IF(V250="","",IF(VLOOKUP(V250,'G-7 Rivers Data'!$AG$4:$AI$9,2,FALSE)=0,"Spatial Data Missing",VLOOKUP(V250,'G-7 Rivers Data'!$AG$4:$AI$9,2,FALSE)))</f>
        <v/>
      </c>
      <c r="X250" s="176" t="str">
        <f>IF(V250="","",IF(VLOOKUP(V250,'G-7 Rivers Data'!$AG$4:$AI$9,3,FALSE)=0,"Spatial Data Missing",VLOOKUP(V250,'G-7 Rivers Data'!$AG$4:$AI$9,3,FALSE)))</f>
        <v/>
      </c>
      <c r="Y250" s="239" t="str">
        <f>IFERROR(IF(OR(LEFT(P250,5)="Error",LEFT(O250,5)="Error"),"Check Data",IF(F250&lt;S250,'G-7 Rivers Data'!$R$3,INDEX('G-7 Rivers Data'!$U$5:$Y$9,MATCH(G250,'G-7 Rivers Data'!$T$5:$T$9,0),MATCH(T250,'G-7 Rivers Data'!$U$4:$Y$4,0)))),"")</f>
        <v/>
      </c>
      <c r="Z250" s="275"/>
      <c r="AA250" s="275"/>
      <c r="AB250" s="175" t="str">
        <f t="shared" si="28"/>
        <v/>
      </c>
      <c r="AC250" s="262" t="str">
        <f t="shared" si="29"/>
        <v/>
      </c>
      <c r="AD250" s="382" t="str">
        <f>IFERROR(IF(AC250="Check Data","Check Data",VLOOKUP(AC250,'G-4 Temporal multipliers'!$A$4:$C$37,3,FALSE)),"")</f>
        <v/>
      </c>
      <c r="AE250" s="239" t="str">
        <f>IF(N250="","",VLOOKUP(N250,'G-7 Rivers Data'!$B$4:$G$8,5,FALSE))</f>
        <v/>
      </c>
      <c r="AF250" s="175" t="str">
        <f t="shared" si="30"/>
        <v/>
      </c>
      <c r="AG250" s="175" t="str">
        <f t="shared" si="31"/>
        <v/>
      </c>
      <c r="AH250" s="176" t="str">
        <f t="shared" si="25"/>
        <v/>
      </c>
      <c r="AI250" s="173"/>
      <c r="AJ250" s="172" t="str">
        <f>IF(AI250="","",IF(VLOOKUP(AI250,'G-7 Rivers Data'!$AA$4:$AB$7,2,FALSE)=0,"Spatial Data Missing",VLOOKUP(AI250,'G-7 Rivers Data'!$AA$4:$AB$7,2,FALSE)))</f>
        <v/>
      </c>
      <c r="AK250" s="187"/>
      <c r="AL250" s="172" t="str">
        <f>IF(AK250="","",IF(VLOOKUP(AK250,'G-7 Rivers Data'!$AD$4:$AE$8,2,FALSE)=0,"Spatial Data Missing",VLOOKUP(AK250,'G-7 Rivers Data'!$AD$4:$AE$8,2,FALSE)))</f>
        <v/>
      </c>
      <c r="AM250" s="186"/>
      <c r="AN250" s="176" t="str">
        <f>IF(AM250="","",VLOOKUP(AM250,'G-7 Rivers Data'!$AO$4:$AP$7,2,FALSE))</f>
        <v/>
      </c>
      <c r="AO250" s="265" t="str">
        <f t="shared" si="32"/>
        <v/>
      </c>
      <c r="AP250" s="355"/>
      <c r="AQ250" s="356"/>
      <c r="AX250" s="35" t="str">
        <f>IFERROR(INDEX('G-7 Rivers Data'!$AZ$3:$AZ$7,MATCH(N250,'G-7 Rivers Data'!$AY$3:$AY$7,0)),"")</f>
        <v/>
      </c>
    </row>
    <row r="251" spans="2:50" ht="13.8" x14ac:dyDescent="0.25">
      <c r="B251" s="259" t="str">
        <f>'F-1 Off Site River Baseline'!AN249</f>
        <v/>
      </c>
      <c r="C251" s="175" t="str">
        <f>IF(B251="","",VLOOKUP($B251,'F-1 Off Site River Baseline'!$C$9:$R$257,2,FALSE))</f>
        <v/>
      </c>
      <c r="D251" s="175" t="str">
        <f>IF(C251="","",VLOOKUP($B251,'F-1 Off Site River Baseline'!$C$9:$R$257,3,FALSE))</f>
        <v/>
      </c>
      <c r="E251" s="175" t="str">
        <f>IF(D251="","",VLOOKUP($B251,'F-1 Off Site River Baseline'!$C$9:$R$257,4,FALSE))</f>
        <v/>
      </c>
      <c r="F251" s="175" t="str">
        <f>IF(E251="","",VLOOKUP($B251,'F-1 Off Site River Baseline'!$C$9:$R$257,5,FALSE))</f>
        <v/>
      </c>
      <c r="G251" s="175" t="str">
        <f>IF(F251="","",VLOOKUP($B251,'F-1 Off Site River Baseline'!$C$9:$R$257,6,FALSE))</f>
        <v/>
      </c>
      <c r="H251" s="175" t="str">
        <f>IF(G251="","",VLOOKUP($B251,'F-1 Off Site River Baseline'!$C$9:$R$257,7,FALSE))</f>
        <v/>
      </c>
      <c r="I251" s="175" t="str">
        <f>IF(H251="","",VLOOKUP($B251,'F-1 Off Site River Baseline'!$C$9:$R$257,8,FALSE))</f>
        <v/>
      </c>
      <c r="J251" s="175" t="str">
        <f>IF(I251="","",VLOOKUP($B251,'F-1 Off Site River Baseline'!$C$9:$R$257,9,FALSE))</f>
        <v/>
      </c>
      <c r="K251" s="175" t="str">
        <f>IF(J251="","",VLOOKUP($B251,'F-1 Off Site River Baseline'!$C$9:$R$257,10,FALSE))</f>
        <v/>
      </c>
      <c r="L251" s="175" t="str">
        <f>IF(B251="","",VLOOKUP($B251,'C-1 Site River Baseline'!$C$9:$R$257,15,FALSE))</f>
        <v/>
      </c>
      <c r="M251" s="176" t="str">
        <f>IF(L251="","",VLOOKUP($B251,'F-1 Off Site River Baseline'!$C$9:$R$257,16,FALSE))</f>
        <v/>
      </c>
      <c r="N251" s="639" t="str">
        <f t="shared" si="26"/>
        <v/>
      </c>
      <c r="O251" s="171" t="str">
        <f t="shared" si="27"/>
        <v/>
      </c>
      <c r="P251" s="172" t="str">
        <f>IF(C251="","",IF(AND(LEFT(C251,55)&lt;&gt;LEFT(N251,55),O251="High - High"),"Error - Not like for like",IF(AND(F251=S251,H251&gt;U251),"Error - Can not reduce condition",IF(AND(F251=S251,H251=U251,AJ251='F-1 Off Site River Baseline'!N249,'F-1 Off Site River Baseline'!P249=AL251),"Error - No enhancement",IF(AND(C251&lt;&gt;N251,F251&lt;S251),"Lower Distinctiveness Habitat"&amp;" - "&amp;T251,G251&amp;" - "&amp;T251)))))</f>
        <v/>
      </c>
      <c r="Q251" s="260" t="str">
        <f>IF(N251="","",VLOOKUP(B251,'F-1 Off Site River Baseline'!$C$10:$AA$257,19,FALSE))</f>
        <v/>
      </c>
      <c r="R251" s="171" t="str">
        <f>IF(N251="","",VLOOKUP(N251,'G-7 Rivers Data'!$B$2:$G$8,2,FALSE))</f>
        <v/>
      </c>
      <c r="S251" s="172" t="str">
        <f>IFERROR(VLOOKUP(R251,'G-7 Rivers Data'!$C$4:$D$8,2,FALSE),"")</f>
        <v/>
      </c>
      <c r="T251" s="173"/>
      <c r="U251" s="172" t="str">
        <f>IFERROR(INDEX('G-7 Rivers Data'!$H$4:$L$8,MATCH(N251,'G-7 Rivers Data'!$B$4:$B$8,0),MATCH(T251,'G-7 Rivers Data'!$H$3:$L$3,0)),"")</f>
        <v/>
      </c>
      <c r="V251" s="186"/>
      <c r="W251" s="175" t="str">
        <f>IF(V251="","",IF(VLOOKUP(V251,'G-7 Rivers Data'!$AG$4:$AI$9,2,FALSE)=0,"Spatial Data Missing",VLOOKUP(V251,'G-7 Rivers Data'!$AG$4:$AI$9,2,FALSE)))</f>
        <v/>
      </c>
      <c r="X251" s="176" t="str">
        <f>IF(V251="","",IF(VLOOKUP(V251,'G-7 Rivers Data'!$AG$4:$AI$9,3,FALSE)=0,"Spatial Data Missing",VLOOKUP(V251,'G-7 Rivers Data'!$AG$4:$AI$9,3,FALSE)))</f>
        <v/>
      </c>
      <c r="Y251" s="239" t="str">
        <f>IFERROR(IF(OR(LEFT(P251,5)="Error",LEFT(O251,5)="Error"),"Check Data",IF(F251&lt;S251,'G-7 Rivers Data'!$R$3,INDEX('G-7 Rivers Data'!$U$5:$Y$9,MATCH(G251,'G-7 Rivers Data'!$T$5:$T$9,0),MATCH(T251,'G-7 Rivers Data'!$U$4:$Y$4,0)))),"")</f>
        <v/>
      </c>
      <c r="Z251" s="275"/>
      <c r="AA251" s="275"/>
      <c r="AB251" s="175" t="str">
        <f t="shared" si="28"/>
        <v/>
      </c>
      <c r="AC251" s="262" t="str">
        <f t="shared" si="29"/>
        <v/>
      </c>
      <c r="AD251" s="382" t="str">
        <f>IFERROR(IF(AC251="Check Data","Check Data",VLOOKUP(AC251,'G-4 Temporal multipliers'!$A$4:$C$37,3,FALSE)),"")</f>
        <v/>
      </c>
      <c r="AE251" s="239" t="str">
        <f>IF(N251="","",VLOOKUP(N251,'G-7 Rivers Data'!$B$4:$G$8,5,FALSE))</f>
        <v/>
      </c>
      <c r="AF251" s="175" t="str">
        <f t="shared" si="30"/>
        <v/>
      </c>
      <c r="AG251" s="175" t="str">
        <f t="shared" si="31"/>
        <v/>
      </c>
      <c r="AH251" s="176" t="str">
        <f t="shared" si="25"/>
        <v/>
      </c>
      <c r="AI251" s="173"/>
      <c r="AJ251" s="172" t="str">
        <f>IF(AI251="","",IF(VLOOKUP(AI251,'G-7 Rivers Data'!$AA$4:$AB$7,2,FALSE)=0,"Spatial Data Missing",VLOOKUP(AI251,'G-7 Rivers Data'!$AA$4:$AB$7,2,FALSE)))</f>
        <v/>
      </c>
      <c r="AK251" s="187"/>
      <c r="AL251" s="172" t="str">
        <f>IF(AK251="","",IF(VLOOKUP(AK251,'G-7 Rivers Data'!$AD$4:$AE$8,2,FALSE)=0,"Spatial Data Missing",VLOOKUP(AK251,'G-7 Rivers Data'!$AD$4:$AE$8,2,FALSE)))</f>
        <v/>
      </c>
      <c r="AM251" s="186"/>
      <c r="AN251" s="176" t="str">
        <f>IF(AM251="","",VLOOKUP(AM251,'G-7 Rivers Data'!$AO$4:$AP$7,2,FALSE))</f>
        <v/>
      </c>
      <c r="AO251" s="265" t="str">
        <f t="shared" si="32"/>
        <v/>
      </c>
      <c r="AP251" s="355"/>
      <c r="AQ251" s="356"/>
      <c r="AX251" s="35" t="str">
        <f>IFERROR(INDEX('G-7 Rivers Data'!$AZ$3:$AZ$7,MATCH(N251,'G-7 Rivers Data'!$AY$3:$AY$7,0)),"")</f>
        <v/>
      </c>
    </row>
    <row r="252" spans="2:50" ht="13.8" x14ac:dyDescent="0.25">
      <c r="B252" s="259" t="str">
        <f>'F-1 Off Site River Baseline'!AN250</f>
        <v/>
      </c>
      <c r="C252" s="175" t="str">
        <f>IF(B252="","",VLOOKUP($B252,'F-1 Off Site River Baseline'!$C$9:$R$257,2,FALSE))</f>
        <v/>
      </c>
      <c r="D252" s="175" t="str">
        <f>IF(C252="","",VLOOKUP($B252,'F-1 Off Site River Baseline'!$C$9:$R$257,3,FALSE))</f>
        <v/>
      </c>
      <c r="E252" s="175" t="str">
        <f>IF(D252="","",VLOOKUP($B252,'F-1 Off Site River Baseline'!$C$9:$R$257,4,FALSE))</f>
        <v/>
      </c>
      <c r="F252" s="175" t="str">
        <f>IF(E252="","",VLOOKUP($B252,'F-1 Off Site River Baseline'!$C$9:$R$257,5,FALSE))</f>
        <v/>
      </c>
      <c r="G252" s="175" t="str">
        <f>IF(F252="","",VLOOKUP($B252,'F-1 Off Site River Baseline'!$C$9:$R$257,6,FALSE))</f>
        <v/>
      </c>
      <c r="H252" s="175" t="str">
        <f>IF(G252="","",VLOOKUP($B252,'F-1 Off Site River Baseline'!$C$9:$R$257,7,FALSE))</f>
        <v/>
      </c>
      <c r="I252" s="175" t="str">
        <f>IF(H252="","",VLOOKUP($B252,'F-1 Off Site River Baseline'!$C$9:$R$257,8,FALSE))</f>
        <v/>
      </c>
      <c r="J252" s="175" t="str">
        <f>IF(I252="","",VLOOKUP($B252,'F-1 Off Site River Baseline'!$C$9:$R$257,9,FALSE))</f>
        <v/>
      </c>
      <c r="K252" s="175" t="str">
        <f>IF(J252="","",VLOOKUP($B252,'F-1 Off Site River Baseline'!$C$9:$R$257,10,FALSE))</f>
        <v/>
      </c>
      <c r="L252" s="175" t="str">
        <f>IF(B252="","",VLOOKUP($B252,'C-1 Site River Baseline'!$C$9:$R$257,15,FALSE))</f>
        <v/>
      </c>
      <c r="M252" s="176" t="str">
        <f>IF(L252="","",VLOOKUP($B252,'F-1 Off Site River Baseline'!$C$9:$R$257,16,FALSE))</f>
        <v/>
      </c>
      <c r="N252" s="639" t="str">
        <f t="shared" si="26"/>
        <v/>
      </c>
      <c r="O252" s="171" t="str">
        <f t="shared" si="27"/>
        <v/>
      </c>
      <c r="P252" s="172" t="str">
        <f>IF(C252="","",IF(AND(LEFT(C252,55)&lt;&gt;LEFT(N252,55),O252="High - High"),"Error - Not like for like",IF(AND(F252=S252,H252&gt;U252),"Error - Can not reduce condition",IF(AND(F252=S252,H252=U252,AJ252='F-1 Off Site River Baseline'!N250,'F-1 Off Site River Baseline'!P250=AL252),"Error - No enhancement",IF(AND(C252&lt;&gt;N252,F252&lt;S252),"Lower Distinctiveness Habitat"&amp;" - "&amp;T252,G252&amp;" - "&amp;T252)))))</f>
        <v/>
      </c>
      <c r="Q252" s="260" t="str">
        <f>IF(N252="","",VLOOKUP(B252,'F-1 Off Site River Baseline'!$C$10:$AA$257,19,FALSE))</f>
        <v/>
      </c>
      <c r="R252" s="171" t="str">
        <f>IF(N252="","",VLOOKUP(N252,'G-7 Rivers Data'!$B$2:$G$8,2,FALSE))</f>
        <v/>
      </c>
      <c r="S252" s="172" t="str">
        <f>IFERROR(VLOOKUP(R252,'G-7 Rivers Data'!$C$4:$D$8,2,FALSE),"")</f>
        <v/>
      </c>
      <c r="T252" s="173"/>
      <c r="U252" s="172" t="str">
        <f>IFERROR(INDEX('G-7 Rivers Data'!$H$4:$L$8,MATCH(N252,'G-7 Rivers Data'!$B$4:$B$8,0),MATCH(T252,'G-7 Rivers Data'!$H$3:$L$3,0)),"")</f>
        <v/>
      </c>
      <c r="V252" s="186"/>
      <c r="W252" s="175" t="str">
        <f>IF(V252="","",IF(VLOOKUP(V252,'G-7 Rivers Data'!$AG$4:$AI$9,2,FALSE)=0,"Spatial Data Missing",VLOOKUP(V252,'G-7 Rivers Data'!$AG$4:$AI$9,2,FALSE)))</f>
        <v/>
      </c>
      <c r="X252" s="176" t="str">
        <f>IF(V252="","",IF(VLOOKUP(V252,'G-7 Rivers Data'!$AG$4:$AI$9,3,FALSE)=0,"Spatial Data Missing",VLOOKUP(V252,'G-7 Rivers Data'!$AG$4:$AI$9,3,FALSE)))</f>
        <v/>
      </c>
      <c r="Y252" s="239" t="str">
        <f>IFERROR(IF(OR(LEFT(P252,5)="Error",LEFT(O252,5)="Error"),"Check Data",IF(F252&lt;S252,'G-7 Rivers Data'!$R$3,INDEX('G-7 Rivers Data'!$U$5:$Y$9,MATCH(G252,'G-7 Rivers Data'!$T$5:$T$9,0),MATCH(T252,'G-7 Rivers Data'!$U$4:$Y$4,0)))),"")</f>
        <v/>
      </c>
      <c r="Z252" s="275"/>
      <c r="AA252" s="275"/>
      <c r="AB252" s="175" t="str">
        <f t="shared" si="28"/>
        <v/>
      </c>
      <c r="AC252" s="262" t="str">
        <f t="shared" si="29"/>
        <v/>
      </c>
      <c r="AD252" s="382" t="str">
        <f>IFERROR(IF(AC252="Check Data","Check Data",VLOOKUP(AC252,'G-4 Temporal multipliers'!$A$4:$C$37,3,FALSE)),"")</f>
        <v/>
      </c>
      <c r="AE252" s="239" t="str">
        <f>IF(N252="","",VLOOKUP(N252,'G-7 Rivers Data'!$B$4:$G$8,5,FALSE))</f>
        <v/>
      </c>
      <c r="AF252" s="175" t="str">
        <f t="shared" si="30"/>
        <v/>
      </c>
      <c r="AG252" s="175" t="str">
        <f t="shared" si="31"/>
        <v/>
      </c>
      <c r="AH252" s="176" t="str">
        <f t="shared" si="25"/>
        <v/>
      </c>
      <c r="AI252" s="173"/>
      <c r="AJ252" s="172" t="str">
        <f>IF(AI252="","",IF(VLOOKUP(AI252,'G-7 Rivers Data'!$AA$4:$AB$7,2,FALSE)=0,"Spatial Data Missing",VLOOKUP(AI252,'G-7 Rivers Data'!$AA$4:$AB$7,2,FALSE)))</f>
        <v/>
      </c>
      <c r="AK252" s="187"/>
      <c r="AL252" s="172" t="str">
        <f>IF(AK252="","",IF(VLOOKUP(AK252,'G-7 Rivers Data'!$AD$4:$AE$8,2,FALSE)=0,"Spatial Data Missing",VLOOKUP(AK252,'G-7 Rivers Data'!$AD$4:$AE$8,2,FALSE)))</f>
        <v/>
      </c>
      <c r="AM252" s="186"/>
      <c r="AN252" s="176" t="str">
        <f>IF(AM252="","",VLOOKUP(AM252,'G-7 Rivers Data'!$AO$4:$AP$7,2,FALSE))</f>
        <v/>
      </c>
      <c r="AO252" s="265" t="str">
        <f t="shared" si="32"/>
        <v/>
      </c>
      <c r="AP252" s="355"/>
      <c r="AQ252" s="356"/>
      <c r="AX252" s="35" t="str">
        <f>IFERROR(INDEX('G-7 Rivers Data'!$AZ$3:$AZ$7,MATCH(N252,'G-7 Rivers Data'!$AY$3:$AY$7,0)),"")</f>
        <v/>
      </c>
    </row>
    <row r="253" spans="2:50" ht="13.8" x14ac:dyDescent="0.25">
      <c r="B253" s="259" t="str">
        <f>'F-1 Off Site River Baseline'!AN251</f>
        <v/>
      </c>
      <c r="C253" s="175" t="str">
        <f>IF(B253="","",VLOOKUP($B253,'F-1 Off Site River Baseline'!$C$9:$R$257,2,FALSE))</f>
        <v/>
      </c>
      <c r="D253" s="175" t="str">
        <f>IF(C253="","",VLOOKUP($B253,'F-1 Off Site River Baseline'!$C$9:$R$257,3,FALSE))</f>
        <v/>
      </c>
      <c r="E253" s="175" t="str">
        <f>IF(D253="","",VLOOKUP($B253,'F-1 Off Site River Baseline'!$C$9:$R$257,4,FALSE))</f>
        <v/>
      </c>
      <c r="F253" s="175" t="str">
        <f>IF(E253="","",VLOOKUP($B253,'F-1 Off Site River Baseline'!$C$9:$R$257,5,FALSE))</f>
        <v/>
      </c>
      <c r="G253" s="175" t="str">
        <f>IF(F253="","",VLOOKUP($B253,'F-1 Off Site River Baseline'!$C$9:$R$257,6,FALSE))</f>
        <v/>
      </c>
      <c r="H253" s="175" t="str">
        <f>IF(G253="","",VLOOKUP($B253,'F-1 Off Site River Baseline'!$C$9:$R$257,7,FALSE))</f>
        <v/>
      </c>
      <c r="I253" s="175" t="str">
        <f>IF(H253="","",VLOOKUP($B253,'F-1 Off Site River Baseline'!$C$9:$R$257,8,FALSE))</f>
        <v/>
      </c>
      <c r="J253" s="175" t="str">
        <f>IF(I253="","",VLOOKUP($B253,'F-1 Off Site River Baseline'!$C$9:$R$257,9,FALSE))</f>
        <v/>
      </c>
      <c r="K253" s="175" t="str">
        <f>IF(J253="","",VLOOKUP($B253,'F-1 Off Site River Baseline'!$C$9:$R$257,10,FALSE))</f>
        <v/>
      </c>
      <c r="L253" s="175" t="str">
        <f>IF(B253="","",VLOOKUP($B253,'C-1 Site River Baseline'!$C$9:$R$257,15,FALSE))</f>
        <v/>
      </c>
      <c r="M253" s="176" t="str">
        <f>IF(L253="","",VLOOKUP($B253,'F-1 Off Site River Baseline'!$C$9:$R$257,16,FALSE))</f>
        <v/>
      </c>
      <c r="N253" s="639" t="str">
        <f t="shared" si="26"/>
        <v/>
      </c>
      <c r="O253" s="171" t="str">
        <f t="shared" si="27"/>
        <v/>
      </c>
      <c r="P253" s="172" t="str">
        <f>IF(C253="","",IF(AND(LEFT(C253,55)&lt;&gt;LEFT(N253,55),O253="High - High"),"Error - Not like for like",IF(AND(F253=S253,H253&gt;U253),"Error - Can not reduce condition",IF(AND(F253=S253,H253=U253,AJ253='F-1 Off Site River Baseline'!N251,'F-1 Off Site River Baseline'!P251=AL253),"Error - No enhancement",IF(AND(C253&lt;&gt;N253,F253&lt;S253),"Lower Distinctiveness Habitat"&amp;" - "&amp;T253,G253&amp;" - "&amp;T253)))))</f>
        <v/>
      </c>
      <c r="Q253" s="260" t="str">
        <f>IF(N253="","",VLOOKUP(B253,'F-1 Off Site River Baseline'!$C$10:$AA$257,19,FALSE))</f>
        <v/>
      </c>
      <c r="R253" s="171" t="str">
        <f>IF(N253="","",VLOOKUP(N253,'G-7 Rivers Data'!$B$2:$G$8,2,FALSE))</f>
        <v/>
      </c>
      <c r="S253" s="172" t="str">
        <f>IFERROR(VLOOKUP(R253,'G-7 Rivers Data'!$C$4:$D$8,2,FALSE),"")</f>
        <v/>
      </c>
      <c r="T253" s="173"/>
      <c r="U253" s="172" t="str">
        <f>IFERROR(INDEX('G-7 Rivers Data'!$H$4:$L$8,MATCH(N253,'G-7 Rivers Data'!$B$4:$B$8,0),MATCH(T253,'G-7 Rivers Data'!$H$3:$L$3,0)),"")</f>
        <v/>
      </c>
      <c r="V253" s="186"/>
      <c r="W253" s="175" t="str">
        <f>IF(V253="","",IF(VLOOKUP(V253,'G-7 Rivers Data'!$AG$4:$AI$9,2,FALSE)=0,"Spatial Data Missing",VLOOKUP(V253,'G-7 Rivers Data'!$AG$4:$AI$9,2,FALSE)))</f>
        <v/>
      </c>
      <c r="X253" s="176" t="str">
        <f>IF(V253="","",IF(VLOOKUP(V253,'G-7 Rivers Data'!$AG$4:$AI$9,3,FALSE)=0,"Spatial Data Missing",VLOOKUP(V253,'G-7 Rivers Data'!$AG$4:$AI$9,3,FALSE)))</f>
        <v/>
      </c>
      <c r="Y253" s="239" t="str">
        <f>IFERROR(IF(OR(LEFT(P253,5)="Error",LEFT(O253,5)="Error"),"Check Data",IF(F253&lt;S253,'G-7 Rivers Data'!$R$3,INDEX('G-7 Rivers Data'!$U$5:$Y$9,MATCH(G253,'G-7 Rivers Data'!$T$5:$T$9,0),MATCH(T253,'G-7 Rivers Data'!$U$4:$Y$4,0)))),"")</f>
        <v/>
      </c>
      <c r="Z253" s="275"/>
      <c r="AA253" s="275"/>
      <c r="AB253" s="175" t="str">
        <f t="shared" si="28"/>
        <v/>
      </c>
      <c r="AC253" s="262" t="str">
        <f t="shared" si="29"/>
        <v/>
      </c>
      <c r="AD253" s="382" t="str">
        <f>IFERROR(IF(AC253="Check Data","Check Data",VLOOKUP(AC253,'G-4 Temporal multipliers'!$A$4:$C$37,3,FALSE)),"")</f>
        <v/>
      </c>
      <c r="AE253" s="239" t="str">
        <f>IF(N253="","",VLOOKUP(N253,'G-7 Rivers Data'!$B$4:$G$8,5,FALSE))</f>
        <v/>
      </c>
      <c r="AF253" s="175" t="str">
        <f t="shared" si="30"/>
        <v/>
      </c>
      <c r="AG253" s="175" t="str">
        <f t="shared" si="31"/>
        <v/>
      </c>
      <c r="AH253" s="176" t="str">
        <f t="shared" si="25"/>
        <v/>
      </c>
      <c r="AI253" s="173"/>
      <c r="AJ253" s="172" t="str">
        <f>IF(AI253="","",IF(VLOOKUP(AI253,'G-7 Rivers Data'!$AA$4:$AB$7,2,FALSE)=0,"Spatial Data Missing",VLOOKUP(AI253,'G-7 Rivers Data'!$AA$4:$AB$7,2,FALSE)))</f>
        <v/>
      </c>
      <c r="AK253" s="187"/>
      <c r="AL253" s="172" t="str">
        <f>IF(AK253="","",IF(VLOOKUP(AK253,'G-7 Rivers Data'!$AD$4:$AE$8,2,FALSE)=0,"Spatial Data Missing",VLOOKUP(AK253,'G-7 Rivers Data'!$AD$4:$AE$8,2,FALSE)))</f>
        <v/>
      </c>
      <c r="AM253" s="186"/>
      <c r="AN253" s="176" t="str">
        <f>IF(AM253="","",VLOOKUP(AM253,'G-7 Rivers Data'!$AO$4:$AP$7,2,FALSE))</f>
        <v/>
      </c>
      <c r="AO253" s="265" t="str">
        <f t="shared" si="32"/>
        <v/>
      </c>
      <c r="AP253" s="355"/>
      <c r="AQ253" s="356"/>
      <c r="AX253" s="35" t="str">
        <f>IFERROR(INDEX('G-7 Rivers Data'!$AZ$3:$AZ$7,MATCH(N253,'G-7 Rivers Data'!$AY$3:$AY$7,0)),"")</f>
        <v/>
      </c>
    </row>
    <row r="254" spans="2:50" ht="13.8" x14ac:dyDescent="0.25">
      <c r="B254" s="259" t="str">
        <f>'F-1 Off Site River Baseline'!AN252</f>
        <v/>
      </c>
      <c r="C254" s="175" t="str">
        <f>IF(B254="","",VLOOKUP($B254,'F-1 Off Site River Baseline'!$C$9:$R$257,2,FALSE))</f>
        <v/>
      </c>
      <c r="D254" s="175" t="str">
        <f>IF(C254="","",VLOOKUP($B254,'F-1 Off Site River Baseline'!$C$9:$R$257,3,FALSE))</f>
        <v/>
      </c>
      <c r="E254" s="175" t="str">
        <f>IF(D254="","",VLOOKUP($B254,'F-1 Off Site River Baseline'!$C$9:$R$257,4,FALSE))</f>
        <v/>
      </c>
      <c r="F254" s="175" t="str">
        <f>IF(E254="","",VLOOKUP($B254,'F-1 Off Site River Baseline'!$C$9:$R$257,5,FALSE))</f>
        <v/>
      </c>
      <c r="G254" s="175" t="str">
        <f>IF(F254="","",VLOOKUP($B254,'F-1 Off Site River Baseline'!$C$9:$R$257,6,FALSE))</f>
        <v/>
      </c>
      <c r="H254" s="175" t="str">
        <f>IF(G254="","",VLOOKUP($B254,'F-1 Off Site River Baseline'!$C$9:$R$257,7,FALSE))</f>
        <v/>
      </c>
      <c r="I254" s="175" t="str">
        <f>IF(H254="","",VLOOKUP($B254,'F-1 Off Site River Baseline'!$C$9:$R$257,8,FALSE))</f>
        <v/>
      </c>
      <c r="J254" s="175" t="str">
        <f>IF(I254="","",VLOOKUP($B254,'F-1 Off Site River Baseline'!$C$9:$R$257,9,FALSE))</f>
        <v/>
      </c>
      <c r="K254" s="175" t="str">
        <f>IF(J254="","",VLOOKUP($B254,'F-1 Off Site River Baseline'!$C$9:$R$257,10,FALSE))</f>
        <v/>
      </c>
      <c r="L254" s="175" t="str">
        <f>IF(B254="","",VLOOKUP($B254,'C-1 Site River Baseline'!$C$9:$R$257,15,FALSE))</f>
        <v/>
      </c>
      <c r="M254" s="176" t="str">
        <f>IF(L254="","",VLOOKUP($B254,'F-1 Off Site River Baseline'!$C$9:$R$257,16,FALSE))</f>
        <v/>
      </c>
      <c r="N254" s="639" t="str">
        <f t="shared" si="26"/>
        <v/>
      </c>
      <c r="O254" s="171" t="str">
        <f t="shared" si="27"/>
        <v/>
      </c>
      <c r="P254" s="172" t="str">
        <f>IF(C254="","",IF(AND(LEFT(C254,55)&lt;&gt;LEFT(N254,55),O254="High - High"),"Error - Not like for like",IF(AND(F254=S254,H254&gt;U254),"Error - Can not reduce condition",IF(AND(F254=S254,H254=U254,AJ254='F-1 Off Site River Baseline'!N252,'F-1 Off Site River Baseline'!P252=AL254),"Error - No enhancement",IF(AND(C254&lt;&gt;N254,F254&lt;S254),"Lower Distinctiveness Habitat"&amp;" - "&amp;T254,G254&amp;" - "&amp;T254)))))</f>
        <v/>
      </c>
      <c r="Q254" s="260" t="str">
        <f>IF(N254="","",VLOOKUP(B254,'F-1 Off Site River Baseline'!$C$10:$AA$257,19,FALSE))</f>
        <v/>
      </c>
      <c r="R254" s="171" t="str">
        <f>IF(N254="","",VLOOKUP(N254,'G-7 Rivers Data'!$B$2:$G$8,2,FALSE))</f>
        <v/>
      </c>
      <c r="S254" s="172" t="str">
        <f>IFERROR(VLOOKUP(R254,'G-7 Rivers Data'!$C$4:$D$8,2,FALSE),"")</f>
        <v/>
      </c>
      <c r="T254" s="173"/>
      <c r="U254" s="172" t="str">
        <f>IFERROR(INDEX('G-7 Rivers Data'!$H$4:$L$8,MATCH(N254,'G-7 Rivers Data'!$B$4:$B$8,0),MATCH(T254,'G-7 Rivers Data'!$H$3:$L$3,0)),"")</f>
        <v/>
      </c>
      <c r="V254" s="186"/>
      <c r="W254" s="175" t="str">
        <f>IF(V254="","",IF(VLOOKUP(V254,'G-7 Rivers Data'!$AG$4:$AI$9,2,FALSE)=0,"Spatial Data Missing",VLOOKUP(V254,'G-7 Rivers Data'!$AG$4:$AI$9,2,FALSE)))</f>
        <v/>
      </c>
      <c r="X254" s="176" t="str">
        <f>IF(V254="","",IF(VLOOKUP(V254,'G-7 Rivers Data'!$AG$4:$AI$9,3,FALSE)=0,"Spatial Data Missing",VLOOKUP(V254,'G-7 Rivers Data'!$AG$4:$AI$9,3,FALSE)))</f>
        <v/>
      </c>
      <c r="Y254" s="239" t="str">
        <f>IFERROR(IF(OR(LEFT(P254,5)="Error",LEFT(O254,5)="Error"),"Check Data",IF(F254&lt;S254,'G-7 Rivers Data'!$R$3,INDEX('G-7 Rivers Data'!$U$5:$Y$9,MATCH(G254,'G-7 Rivers Data'!$T$5:$T$9,0),MATCH(T254,'G-7 Rivers Data'!$U$4:$Y$4,0)))),"")</f>
        <v/>
      </c>
      <c r="Z254" s="275"/>
      <c r="AA254" s="275"/>
      <c r="AB254" s="175" t="str">
        <f t="shared" si="28"/>
        <v/>
      </c>
      <c r="AC254" s="262" t="str">
        <f t="shared" si="29"/>
        <v/>
      </c>
      <c r="AD254" s="382" t="str">
        <f>IFERROR(IF(AC254="Check Data","Check Data",VLOOKUP(AC254,'G-4 Temporal multipliers'!$A$4:$C$37,3,FALSE)),"")</f>
        <v/>
      </c>
      <c r="AE254" s="239" t="str">
        <f>IF(N254="","",VLOOKUP(N254,'G-7 Rivers Data'!$B$4:$G$8,5,FALSE))</f>
        <v/>
      </c>
      <c r="AF254" s="175" t="str">
        <f t="shared" si="30"/>
        <v/>
      </c>
      <c r="AG254" s="175" t="str">
        <f t="shared" si="31"/>
        <v/>
      </c>
      <c r="AH254" s="176" t="str">
        <f t="shared" si="25"/>
        <v/>
      </c>
      <c r="AI254" s="173"/>
      <c r="AJ254" s="172" t="str">
        <f>IF(AI254="","",IF(VLOOKUP(AI254,'G-7 Rivers Data'!$AA$4:$AB$7,2,FALSE)=0,"Spatial Data Missing",VLOOKUP(AI254,'G-7 Rivers Data'!$AA$4:$AB$7,2,FALSE)))</f>
        <v/>
      </c>
      <c r="AK254" s="187"/>
      <c r="AL254" s="172" t="str">
        <f>IF(AK254="","",IF(VLOOKUP(AK254,'G-7 Rivers Data'!$AD$4:$AE$8,2,FALSE)=0,"Spatial Data Missing",VLOOKUP(AK254,'G-7 Rivers Data'!$AD$4:$AE$8,2,FALSE)))</f>
        <v/>
      </c>
      <c r="AM254" s="186"/>
      <c r="AN254" s="176" t="str">
        <f>IF(AM254="","",VLOOKUP(AM254,'G-7 Rivers Data'!$AO$4:$AP$7,2,FALSE))</f>
        <v/>
      </c>
      <c r="AO254" s="265" t="str">
        <f t="shared" si="32"/>
        <v/>
      </c>
      <c r="AP254" s="355"/>
      <c r="AQ254" s="356"/>
      <c r="AX254" s="35" t="str">
        <f>IFERROR(INDEX('G-7 Rivers Data'!$AZ$3:$AZ$7,MATCH(N254,'G-7 Rivers Data'!$AY$3:$AY$7,0)),"")</f>
        <v/>
      </c>
    </row>
    <row r="255" spans="2:50" ht="13.8" x14ac:dyDescent="0.25">
      <c r="B255" s="259" t="str">
        <f>'F-1 Off Site River Baseline'!AN253</f>
        <v/>
      </c>
      <c r="C255" s="175" t="str">
        <f>IF(B255="","",VLOOKUP($B255,'F-1 Off Site River Baseline'!$C$9:$R$257,2,FALSE))</f>
        <v/>
      </c>
      <c r="D255" s="175" t="str">
        <f>IF(C255="","",VLOOKUP($B255,'F-1 Off Site River Baseline'!$C$9:$R$257,3,FALSE))</f>
        <v/>
      </c>
      <c r="E255" s="175" t="str">
        <f>IF(D255="","",VLOOKUP($B255,'F-1 Off Site River Baseline'!$C$9:$R$257,4,FALSE))</f>
        <v/>
      </c>
      <c r="F255" s="175" t="str">
        <f>IF(E255="","",VLOOKUP($B255,'F-1 Off Site River Baseline'!$C$9:$R$257,5,FALSE))</f>
        <v/>
      </c>
      <c r="G255" s="175" t="str">
        <f>IF(F255="","",VLOOKUP($B255,'F-1 Off Site River Baseline'!$C$9:$R$257,6,FALSE))</f>
        <v/>
      </c>
      <c r="H255" s="175" t="str">
        <f>IF(G255="","",VLOOKUP($B255,'F-1 Off Site River Baseline'!$C$9:$R$257,7,FALSE))</f>
        <v/>
      </c>
      <c r="I255" s="175" t="str">
        <f>IF(H255="","",VLOOKUP($B255,'F-1 Off Site River Baseline'!$C$9:$R$257,8,FALSE))</f>
        <v/>
      </c>
      <c r="J255" s="175" t="str">
        <f>IF(I255="","",VLOOKUP($B255,'F-1 Off Site River Baseline'!$C$9:$R$257,9,FALSE))</f>
        <v/>
      </c>
      <c r="K255" s="175" t="str">
        <f>IF(J255="","",VLOOKUP($B255,'F-1 Off Site River Baseline'!$C$9:$R$257,10,FALSE))</f>
        <v/>
      </c>
      <c r="L255" s="175" t="str">
        <f>IF(B255="","",VLOOKUP($B255,'C-1 Site River Baseline'!$C$9:$R$257,15,FALSE))</f>
        <v/>
      </c>
      <c r="M255" s="176" t="str">
        <f>IF(L255="","",VLOOKUP($B255,'F-1 Off Site River Baseline'!$C$9:$R$257,16,FALSE))</f>
        <v/>
      </c>
      <c r="N255" s="639" t="str">
        <f t="shared" si="26"/>
        <v/>
      </c>
      <c r="O255" s="171" t="str">
        <f t="shared" si="27"/>
        <v/>
      </c>
      <c r="P255" s="172" t="str">
        <f>IF(C255="","",IF(AND(LEFT(C255,55)&lt;&gt;LEFT(N255,55),O255="High - High"),"Error - Not like for like",IF(AND(F255=S255,H255&gt;U255),"Error - Can not reduce condition",IF(AND(F255=S255,H255=U255,AJ255='F-1 Off Site River Baseline'!N253,'F-1 Off Site River Baseline'!P253=AL255),"Error - No enhancement",IF(AND(C255&lt;&gt;N255,F255&lt;S255),"Lower Distinctiveness Habitat"&amp;" - "&amp;T255,G255&amp;" - "&amp;T255)))))</f>
        <v/>
      </c>
      <c r="Q255" s="260" t="str">
        <f>IF(N255="","",VLOOKUP(B255,'F-1 Off Site River Baseline'!$C$10:$AA$257,19,FALSE))</f>
        <v/>
      </c>
      <c r="R255" s="171" t="str">
        <f>IF(N255="","",VLOOKUP(N255,'G-7 Rivers Data'!$B$2:$G$8,2,FALSE))</f>
        <v/>
      </c>
      <c r="S255" s="172" t="str">
        <f>IFERROR(VLOOKUP(R255,'G-7 Rivers Data'!$C$4:$D$8,2,FALSE),"")</f>
        <v/>
      </c>
      <c r="T255" s="173"/>
      <c r="U255" s="172" t="str">
        <f>IFERROR(INDEX('G-7 Rivers Data'!$H$4:$L$8,MATCH(N255,'G-7 Rivers Data'!$B$4:$B$8,0),MATCH(T255,'G-7 Rivers Data'!$H$3:$L$3,0)),"")</f>
        <v/>
      </c>
      <c r="V255" s="186"/>
      <c r="W255" s="175" t="str">
        <f>IF(V255="","",IF(VLOOKUP(V255,'G-7 Rivers Data'!$AG$4:$AI$9,2,FALSE)=0,"Spatial Data Missing",VLOOKUP(V255,'G-7 Rivers Data'!$AG$4:$AI$9,2,FALSE)))</f>
        <v/>
      </c>
      <c r="X255" s="176" t="str">
        <f>IF(V255="","",IF(VLOOKUP(V255,'G-7 Rivers Data'!$AG$4:$AI$9,3,FALSE)=0,"Spatial Data Missing",VLOOKUP(V255,'G-7 Rivers Data'!$AG$4:$AI$9,3,FALSE)))</f>
        <v/>
      </c>
      <c r="Y255" s="239" t="str">
        <f>IFERROR(IF(OR(LEFT(P255,5)="Error",LEFT(O255,5)="Error"),"Check Data",IF(F255&lt;S255,'G-7 Rivers Data'!$R$3,INDEX('G-7 Rivers Data'!$U$5:$Y$9,MATCH(G255,'G-7 Rivers Data'!$T$5:$T$9,0),MATCH(T255,'G-7 Rivers Data'!$U$4:$Y$4,0)))),"")</f>
        <v/>
      </c>
      <c r="Z255" s="275"/>
      <c r="AA255" s="275"/>
      <c r="AB255" s="175" t="str">
        <f t="shared" si="28"/>
        <v/>
      </c>
      <c r="AC255" s="262" t="str">
        <f t="shared" si="29"/>
        <v/>
      </c>
      <c r="AD255" s="382" t="str">
        <f>IFERROR(IF(AC255="Check Data","Check Data",VLOOKUP(AC255,'G-4 Temporal multipliers'!$A$4:$C$37,3,FALSE)),"")</f>
        <v/>
      </c>
      <c r="AE255" s="239" t="str">
        <f>IF(N255="","",VLOOKUP(N255,'G-7 Rivers Data'!$B$4:$G$8,5,FALSE))</f>
        <v/>
      </c>
      <c r="AF255" s="175" t="str">
        <f t="shared" si="30"/>
        <v/>
      </c>
      <c r="AG255" s="175" t="str">
        <f t="shared" si="31"/>
        <v/>
      </c>
      <c r="AH255" s="176" t="str">
        <f t="shared" si="25"/>
        <v/>
      </c>
      <c r="AI255" s="173"/>
      <c r="AJ255" s="172" t="str">
        <f>IF(AI255="","",IF(VLOOKUP(AI255,'G-7 Rivers Data'!$AA$4:$AB$7,2,FALSE)=0,"Spatial Data Missing",VLOOKUP(AI255,'G-7 Rivers Data'!$AA$4:$AB$7,2,FALSE)))</f>
        <v/>
      </c>
      <c r="AK255" s="187"/>
      <c r="AL255" s="172" t="str">
        <f>IF(AK255="","",IF(VLOOKUP(AK255,'G-7 Rivers Data'!$AD$4:$AE$8,2,FALSE)=0,"Spatial Data Missing",VLOOKUP(AK255,'G-7 Rivers Data'!$AD$4:$AE$8,2,FALSE)))</f>
        <v/>
      </c>
      <c r="AM255" s="186"/>
      <c r="AN255" s="176" t="str">
        <f>IF(AM255="","",VLOOKUP(AM255,'G-7 Rivers Data'!$AO$4:$AP$7,2,FALSE))</f>
        <v/>
      </c>
      <c r="AO255" s="265" t="str">
        <f t="shared" si="32"/>
        <v/>
      </c>
      <c r="AP255" s="355"/>
      <c r="AQ255" s="356"/>
      <c r="AX255" s="35" t="str">
        <f>IFERROR(INDEX('G-7 Rivers Data'!$AZ$3:$AZ$7,MATCH(N255,'G-7 Rivers Data'!$AY$3:$AY$7,0)),"")</f>
        <v/>
      </c>
    </row>
    <row r="256" spans="2:50" ht="13.8" x14ac:dyDescent="0.25">
      <c r="B256" s="259" t="str">
        <f>'F-1 Off Site River Baseline'!AN254</f>
        <v/>
      </c>
      <c r="C256" s="175" t="str">
        <f>IF(B256="","",VLOOKUP($B256,'F-1 Off Site River Baseline'!$C$9:$R$257,2,FALSE))</f>
        <v/>
      </c>
      <c r="D256" s="175" t="str">
        <f>IF(C256="","",VLOOKUP($B256,'F-1 Off Site River Baseline'!$C$9:$R$257,3,FALSE))</f>
        <v/>
      </c>
      <c r="E256" s="175" t="str">
        <f>IF(D256="","",VLOOKUP($B256,'F-1 Off Site River Baseline'!$C$9:$R$257,4,FALSE))</f>
        <v/>
      </c>
      <c r="F256" s="175" t="str">
        <f>IF(E256="","",VLOOKUP($B256,'F-1 Off Site River Baseline'!$C$9:$R$257,5,FALSE))</f>
        <v/>
      </c>
      <c r="G256" s="175" t="str">
        <f>IF(F256="","",VLOOKUP($B256,'F-1 Off Site River Baseline'!$C$9:$R$257,6,FALSE))</f>
        <v/>
      </c>
      <c r="H256" s="175" t="str">
        <f>IF(G256="","",VLOOKUP($B256,'F-1 Off Site River Baseline'!$C$9:$R$257,7,FALSE))</f>
        <v/>
      </c>
      <c r="I256" s="175" t="str">
        <f>IF(H256="","",VLOOKUP($B256,'F-1 Off Site River Baseline'!$C$9:$R$257,8,FALSE))</f>
        <v/>
      </c>
      <c r="J256" s="175" t="str">
        <f>IF(I256="","",VLOOKUP($B256,'F-1 Off Site River Baseline'!$C$9:$R$257,9,FALSE))</f>
        <v/>
      </c>
      <c r="K256" s="175" t="str">
        <f>IF(J256="","",VLOOKUP($B256,'F-1 Off Site River Baseline'!$C$9:$R$257,10,FALSE))</f>
        <v/>
      </c>
      <c r="L256" s="175" t="str">
        <f>IF(B256="","",VLOOKUP($B256,'C-1 Site River Baseline'!$C$9:$R$257,15,FALSE))</f>
        <v/>
      </c>
      <c r="M256" s="176" t="str">
        <f>IF(L256="","",VLOOKUP($B256,'F-1 Off Site River Baseline'!$C$9:$R$257,16,FALSE))</f>
        <v/>
      </c>
      <c r="N256" s="639" t="str">
        <f t="shared" si="26"/>
        <v/>
      </c>
      <c r="O256" s="171" t="str">
        <f t="shared" si="27"/>
        <v/>
      </c>
      <c r="P256" s="172" t="str">
        <f>IF(C256="","",IF(AND(LEFT(C256,55)&lt;&gt;LEFT(N256,55),O256="High - High"),"Error - Not like for like",IF(AND(F256=S256,H256&gt;U256),"Error - Can not reduce condition",IF(AND(F256=S256,H256=U256,AJ256='F-1 Off Site River Baseline'!N254,'F-1 Off Site River Baseline'!P254=AL256),"Error - No enhancement",IF(AND(C256&lt;&gt;N256,F256&lt;S256),"Lower Distinctiveness Habitat"&amp;" - "&amp;T256,G256&amp;" - "&amp;T256)))))</f>
        <v/>
      </c>
      <c r="Q256" s="260" t="str">
        <f>IF(N256="","",VLOOKUP(B256,'F-1 Off Site River Baseline'!$C$10:$AA$257,19,FALSE))</f>
        <v/>
      </c>
      <c r="R256" s="171" t="str">
        <f>IF(N256="","",VLOOKUP(N256,'G-7 Rivers Data'!$B$2:$G$8,2,FALSE))</f>
        <v/>
      </c>
      <c r="S256" s="172" t="str">
        <f>IFERROR(VLOOKUP(R256,'G-7 Rivers Data'!$C$4:$D$8,2,FALSE),"")</f>
        <v/>
      </c>
      <c r="T256" s="173"/>
      <c r="U256" s="172" t="str">
        <f>IFERROR(INDEX('G-7 Rivers Data'!$H$4:$L$8,MATCH(N256,'G-7 Rivers Data'!$B$4:$B$8,0),MATCH(T256,'G-7 Rivers Data'!$H$3:$L$3,0)),"")</f>
        <v/>
      </c>
      <c r="V256" s="186"/>
      <c r="W256" s="175" t="str">
        <f>IF(V256="","",IF(VLOOKUP(V256,'G-7 Rivers Data'!$AG$4:$AI$9,2,FALSE)=0,"Spatial Data Missing",VLOOKUP(V256,'G-7 Rivers Data'!$AG$4:$AI$9,2,FALSE)))</f>
        <v/>
      </c>
      <c r="X256" s="176" t="str">
        <f>IF(V256="","",IF(VLOOKUP(V256,'G-7 Rivers Data'!$AG$4:$AI$9,3,FALSE)=0,"Spatial Data Missing",VLOOKUP(V256,'G-7 Rivers Data'!$AG$4:$AI$9,3,FALSE)))</f>
        <v/>
      </c>
      <c r="Y256" s="239" t="str">
        <f>IFERROR(IF(OR(LEFT(P256,5)="Error",LEFT(O256,5)="Error"),"Check Data",IF(F256&lt;S256,'G-7 Rivers Data'!$R$3,INDEX('G-7 Rivers Data'!$U$5:$Y$9,MATCH(G256,'G-7 Rivers Data'!$T$5:$T$9,0),MATCH(T256,'G-7 Rivers Data'!$U$4:$Y$4,0)))),"")</f>
        <v/>
      </c>
      <c r="Z256" s="275"/>
      <c r="AA256" s="275"/>
      <c r="AB256" s="175" t="str">
        <f t="shared" si="28"/>
        <v/>
      </c>
      <c r="AC256" s="262" t="str">
        <f t="shared" si="29"/>
        <v/>
      </c>
      <c r="AD256" s="382" t="str">
        <f>IFERROR(IF(AC256="Check Data","Check Data",VLOOKUP(AC256,'G-4 Temporal multipliers'!$A$4:$C$37,3,FALSE)),"")</f>
        <v/>
      </c>
      <c r="AE256" s="239" t="str">
        <f>IF(N256="","",VLOOKUP(N256,'G-7 Rivers Data'!$B$4:$G$8,5,FALSE))</f>
        <v/>
      </c>
      <c r="AF256" s="175" t="str">
        <f t="shared" si="30"/>
        <v/>
      </c>
      <c r="AG256" s="175" t="str">
        <f t="shared" si="31"/>
        <v/>
      </c>
      <c r="AH256" s="176" t="str">
        <f t="shared" si="25"/>
        <v/>
      </c>
      <c r="AI256" s="173"/>
      <c r="AJ256" s="172" t="str">
        <f>IF(AI256="","",IF(VLOOKUP(AI256,'G-7 Rivers Data'!$AA$4:$AB$7,2,FALSE)=0,"Spatial Data Missing",VLOOKUP(AI256,'G-7 Rivers Data'!$AA$4:$AB$7,2,FALSE)))</f>
        <v/>
      </c>
      <c r="AK256" s="187"/>
      <c r="AL256" s="172" t="str">
        <f>IF(AK256="","",IF(VLOOKUP(AK256,'G-7 Rivers Data'!$AD$4:$AE$8,2,FALSE)=0,"Spatial Data Missing",VLOOKUP(AK256,'G-7 Rivers Data'!$AD$4:$AE$8,2,FALSE)))</f>
        <v/>
      </c>
      <c r="AM256" s="186"/>
      <c r="AN256" s="176" t="str">
        <f>IF(AM256="","",VLOOKUP(AM256,'G-7 Rivers Data'!$AO$4:$AP$7,2,FALSE))</f>
        <v/>
      </c>
      <c r="AO256" s="265" t="str">
        <f t="shared" si="32"/>
        <v/>
      </c>
      <c r="AP256" s="355"/>
      <c r="AQ256" s="356"/>
      <c r="AX256" s="35" t="str">
        <f>IFERROR(INDEX('G-7 Rivers Data'!$AZ$3:$AZ$7,MATCH(N256,'G-7 Rivers Data'!$AY$3:$AY$7,0)),"")</f>
        <v/>
      </c>
    </row>
    <row r="257" spans="2:50" ht="14.4" thickBot="1" x14ac:dyDescent="0.3">
      <c r="B257" s="649" t="str">
        <f>'F-1 Off Site River Baseline'!AN255</f>
        <v/>
      </c>
      <c r="C257" s="650" t="str">
        <f>IF(B257="","",VLOOKUP($B257,'F-1 Off Site River Baseline'!$C$9:$R$257,2,FALSE))</f>
        <v/>
      </c>
      <c r="D257" s="650" t="str">
        <f>IF(C257="","",VLOOKUP($B257,'F-1 Off Site River Baseline'!$C$9:$R$257,3,FALSE))</f>
        <v/>
      </c>
      <c r="E257" s="650" t="str">
        <f>IF(D257="","",VLOOKUP($B257,'F-1 Off Site River Baseline'!$C$9:$R$257,4,FALSE))</f>
        <v/>
      </c>
      <c r="F257" s="650" t="str">
        <f>IF(E257="","",VLOOKUP($B257,'F-1 Off Site River Baseline'!$C$9:$R$257,5,FALSE))</f>
        <v/>
      </c>
      <c r="G257" s="650" t="str">
        <f>IF(F257="","",VLOOKUP($B257,'F-1 Off Site River Baseline'!$C$9:$R$257,6,FALSE))</f>
        <v/>
      </c>
      <c r="H257" s="650" t="str">
        <f>IF(G257="","",VLOOKUP($B257,'F-1 Off Site River Baseline'!$C$9:$R$257,7,FALSE))</f>
        <v/>
      </c>
      <c r="I257" s="650" t="str">
        <f>IF(H257="","",VLOOKUP($B257,'F-1 Off Site River Baseline'!$C$9:$R$257,8,FALSE))</f>
        <v/>
      </c>
      <c r="J257" s="650" t="str">
        <f>IF(I257="","",VLOOKUP($B257,'F-1 Off Site River Baseline'!$C$9:$R$257,9,FALSE))</f>
        <v/>
      </c>
      <c r="K257" s="650" t="str">
        <f>IF(J257="","",VLOOKUP($B257,'F-1 Off Site River Baseline'!$C$9:$R$257,10,FALSE))</f>
        <v/>
      </c>
      <c r="L257" s="650" t="str">
        <f>IF(B257="","",VLOOKUP($B257,'C-1 Site River Baseline'!$C$9:$R$257,15,FALSE))</f>
        <v/>
      </c>
      <c r="M257" s="651" t="str">
        <f>IF(L257="","",VLOOKUP($B257,'F-1 Off Site River Baseline'!$C$9:$R$257,16,FALSE))</f>
        <v/>
      </c>
      <c r="N257" s="659" t="str">
        <f t="shared" si="26"/>
        <v/>
      </c>
      <c r="O257" s="248" t="str">
        <f t="shared" si="27"/>
        <v/>
      </c>
      <c r="P257" s="195" t="str">
        <f>IF(C257="","",IF(AND(LEFT(C257,55)&lt;&gt;LEFT(N257,55),O257="High - High"),"Error - Not like for like",IF(AND(F257=S257,H257&gt;U257),"Error - Can not reduce condition",IF(AND(F257=S257,H257=U257,AJ257='F-1 Off Site River Baseline'!N255,'F-1 Off Site River Baseline'!P255=AL257),"Error - No enhancement",IF(AND(C257&lt;&gt;N257,F257&lt;S257),"Lower Distinctiveness Habitat"&amp;" - "&amp;T257,G257&amp;" - "&amp;T257)))))</f>
        <v/>
      </c>
      <c r="Q257" s="652" t="str">
        <f>IF(N257="","",VLOOKUP(B257,'F-1 Off Site River Baseline'!$C$10:$AA$257,19,FALSE))</f>
        <v/>
      </c>
      <c r="R257" s="653" t="str">
        <f>IF(N257="","",VLOOKUP(N257,'G-7 Rivers Data'!$B$2:$G$8,2,FALSE))</f>
        <v/>
      </c>
      <c r="S257" s="651" t="str">
        <f>IFERROR(VLOOKUP(R257,'G-7 Rivers Data'!$C$4:$D$8,2,FALSE),"")</f>
        <v/>
      </c>
      <c r="T257" s="291"/>
      <c r="U257" s="651" t="str">
        <f>IFERROR(INDEX('G-7 Rivers Data'!$H$4:$L$8,MATCH(N257,'G-7 Rivers Data'!$B$4:$B$8,0),MATCH(T257,'G-7 Rivers Data'!$H$3:$L$3,0)),"")</f>
        <v/>
      </c>
      <c r="V257" s="291"/>
      <c r="W257" s="650" t="str">
        <f>IF(V257="","",IF(VLOOKUP(V257,'G-7 Rivers Data'!$AG$4:$AI$9,2,FALSE)=0,"Spatial Data Missing",VLOOKUP(V257,'G-7 Rivers Data'!$AG$4:$AI$9,2,FALSE)))</f>
        <v/>
      </c>
      <c r="X257" s="651" t="str">
        <f>IF(V257="","",IF(VLOOKUP(V257,'G-7 Rivers Data'!$AG$4:$AI$9,3,FALSE)=0,"Spatial Data Missing",VLOOKUP(V257,'G-7 Rivers Data'!$AG$4:$AI$9,3,FALSE)))</f>
        <v/>
      </c>
      <c r="Y257" s="653" t="str">
        <f>IFERROR(IF(OR(LEFT(P257,5)="Error",LEFT(O257,5)="Error"),"Check Data",IF(F257&lt;S257,'G-7 Rivers Data'!$R$3,INDEX('G-7 Rivers Data'!$U$5:$Y$9,MATCH(G257,'G-7 Rivers Data'!$T$5:$T$9,0),MATCH(T257,'G-7 Rivers Data'!$U$4:$Y$4,0)))),"")</f>
        <v/>
      </c>
      <c r="Z257" s="275"/>
      <c r="AA257" s="292"/>
      <c r="AB257" s="650" t="str">
        <f t="shared" si="28"/>
        <v/>
      </c>
      <c r="AC257" s="654" t="str">
        <f t="shared" si="29"/>
        <v/>
      </c>
      <c r="AD257" s="655" t="str">
        <f>IFERROR(IF(AC257="Check Data","Check Data",VLOOKUP(AC257,'G-4 Temporal multipliers'!$A$4:$C$37,3,FALSE)),"")</f>
        <v/>
      </c>
      <c r="AE257" s="653" t="str">
        <f>IF(N257="","",VLOOKUP(N257,'G-7 Rivers Data'!$B$4:$G$8,5,FALSE))</f>
        <v/>
      </c>
      <c r="AF257" s="175" t="str">
        <f t="shared" si="30"/>
        <v/>
      </c>
      <c r="AG257" s="175" t="str">
        <f t="shared" si="31"/>
        <v/>
      </c>
      <c r="AH257" s="651" t="str">
        <f t="shared" si="25"/>
        <v/>
      </c>
      <c r="AI257" s="706"/>
      <c r="AJ257" s="172" t="str">
        <f>IF(AI257="","",IF(VLOOKUP(AI257,'G-7 Rivers Data'!$AA$4:$AB$7,2,FALSE)=0,"Spatial Data Missing",VLOOKUP(AI257,'G-7 Rivers Data'!$AA$4:$AB$7,2,FALSE)))</f>
        <v/>
      </c>
      <c r="AK257" s="656"/>
      <c r="AL257" s="651" t="str">
        <f>IF(AK257="","",IF(VLOOKUP(AK257,'G-7 Rivers Data'!$AD$4:$AE$8,2,FALSE)=0,"Spatial Data Missing",VLOOKUP(AK257,'G-7 Rivers Data'!$AD$4:$AE$8,2,FALSE)))</f>
        <v/>
      </c>
      <c r="AM257" s="291"/>
      <c r="AN257" s="651" t="str">
        <f>IF(AM257="","",VLOOKUP(AM257,'G-7 Rivers Data'!$AO$4:$AP$7,2,FALSE))</f>
        <v/>
      </c>
      <c r="AO257" s="265" t="str">
        <f t="shared" si="32"/>
        <v/>
      </c>
      <c r="AP257" s="657"/>
      <c r="AQ257" s="658"/>
      <c r="AX257" s="35" t="str">
        <f>IFERROR(INDEX('G-7 Rivers Data'!$AZ$3:$AZ$7,MATCH(N257,'G-7 Rivers Data'!$AY$3:$AY$7,0)),"")</f>
        <v/>
      </c>
    </row>
    <row r="258" spans="2:50" ht="14.4" thickBot="1" x14ac:dyDescent="0.3">
      <c r="B258" s="51"/>
      <c r="C258" s="413"/>
      <c r="D258" s="200">
        <f>SUM(D12:D257)</f>
        <v>0</v>
      </c>
      <c r="E258" s="413"/>
      <c r="F258" s="413"/>
      <c r="G258" s="413"/>
      <c r="H258" s="413"/>
      <c r="I258" s="413"/>
      <c r="J258" s="413"/>
      <c r="K258" s="413"/>
      <c r="L258" s="413"/>
      <c r="M258" s="413"/>
      <c r="N258" s="413"/>
      <c r="O258" s="413"/>
      <c r="P258" s="413"/>
      <c r="Q258" s="200">
        <f>SUM(Q12:Q257)</f>
        <v>0</v>
      </c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 t="str">
        <f>IF(AI258="","",IF(VLOOKUP(AI258,'[2]G-7 Rivers Data'!$AA$4:$AB$6,2,FALSE)=0,"Spatial Data Missing",VLOOKUP(AI258,'[2]G-7 Rivers Data'!$AA$4:$AB$6,2,FALSE)))</f>
        <v/>
      </c>
      <c r="AK258" s="51"/>
      <c r="AL258" s="51"/>
      <c r="AM258" s="1055"/>
      <c r="AN258" s="1055"/>
      <c r="AO258" s="456">
        <f>SUM(AO12:AO257)</f>
        <v>0</v>
      </c>
      <c r="AP258" s="51"/>
      <c r="AQ258" s="51"/>
    </row>
    <row r="259" spans="2:50" ht="13.8" x14ac:dyDescent="0.25">
      <c r="AJ259" s="35" t="str">
        <f>IF(AI259="","",IF(VLOOKUP(AI259,'[2]G-7 Rivers Data'!$AA$4:$AB$6,2,FALSE)=0,"Spatial Data Missing",VLOOKUP(AI259,'[2]G-7 Rivers Data'!$AA$4:$AB$6,2,FALSE)))</f>
        <v/>
      </c>
      <c r="AM259" s="44"/>
    </row>
    <row r="260" spans="2:50" ht="13.8" x14ac:dyDescent="0.25"/>
    <row r="261" spans="2:50" ht="13.8" x14ac:dyDescent="0.25"/>
    <row r="262" spans="2:50" ht="13.8" x14ac:dyDescent="0.25"/>
    <row r="263" spans="2:50" ht="13.8" x14ac:dyDescent="0.25"/>
    <row r="264" spans="2:50" ht="13.8" x14ac:dyDescent="0.25"/>
    <row r="265" spans="2:50" ht="13.8" x14ac:dyDescent="0.25"/>
    <row r="266" spans="2:50" ht="13.8" x14ac:dyDescent="0.25"/>
  </sheetData>
  <sheetProtection algorithmName="SHA-512" hashValue="DchtMxDJkT66Dyf3aItEXUMck5H6EFQT+Q091+sJ3esyld+5rY/8LTUmcvqMi/3nbMzedFZ3Jdk3lL8lramFpw==" saltValue="k6HMcTs2NS0+zmX6heuWbA==" spinCount="100000" sheet="1" objects="1" scenarios="1"/>
  <customSheetViews>
    <customSheetView guid="{8BDA793C-C9C5-4FC6-A0A5-F1109F6D4F22}" state="hidden">
      <pane ySplit="11" topLeftCell="A12" activePane="bottomLeft" state="frozen"/>
      <selection pane="bottomLeft" activeCell="D14" sqref="D14"/>
    </customSheetView>
  </customSheetViews>
  <mergeCells count="19">
    <mergeCell ref="T10:U10"/>
    <mergeCell ref="AM258:AN258"/>
    <mergeCell ref="N9:AN9"/>
    <mergeCell ref="AP10:AQ10"/>
    <mergeCell ref="AO10:AO11"/>
    <mergeCell ref="B3:C4"/>
    <mergeCell ref="O10:P10"/>
    <mergeCell ref="AI10:AJ10"/>
    <mergeCell ref="AK10:AL10"/>
    <mergeCell ref="AM10:AN10"/>
    <mergeCell ref="Y2:AD4"/>
    <mergeCell ref="B2:C2"/>
    <mergeCell ref="C10:M10"/>
    <mergeCell ref="V10:X10"/>
    <mergeCell ref="Y10:AD10"/>
    <mergeCell ref="AE10:AH10"/>
    <mergeCell ref="N10:N11"/>
    <mergeCell ref="Q10:Q11"/>
    <mergeCell ref="R10:S10"/>
  </mergeCells>
  <conditionalFormatting sqref="L12:L257">
    <cfRule type="containsText" dxfId="17" priority="10" operator="containsText" text="Restore">
      <formula>NOT(ISERROR(SEARCH("Restore",L12)))</formula>
    </cfRule>
  </conditionalFormatting>
  <conditionalFormatting sqref="AO13:AO258 O12:AB257 AE12:AO257">
    <cfRule type="beginsWith" dxfId="16" priority="5" operator="beginsWith" text="No - Low">
      <formula>LEFT(O12,LEN("No - Low"))="No - Low"</formula>
    </cfRule>
    <cfRule type="containsText" dxfId="15" priority="6" operator="containsText" text="30+">
      <formula>NOT(ISERROR(SEARCH("30+",O12)))</formula>
    </cfRule>
    <cfRule type="containsText" dxfId="14" priority="7" operator="containsText" text="Spatial">
      <formula>NOT(ISERROR(SEARCH("Spatial",O12)))</formula>
    </cfRule>
    <cfRule type="containsText" dxfId="13" priority="8" operator="containsText" text="Check">
      <formula>NOT(ISERROR(SEARCH("Check",O12)))</formula>
    </cfRule>
    <cfRule type="containsText" dxfId="12" priority="9" operator="containsText" text="Error">
      <formula>NOT(ISERROR(SEARCH("Error",O12)))</formula>
    </cfRule>
  </conditionalFormatting>
  <conditionalFormatting sqref="AC12:AD257">
    <cfRule type="containsText" dxfId="11" priority="3" operator="containsText" text="Check">
      <formula>NOT(ISERROR(SEARCH("Check",AC12)))</formula>
    </cfRule>
    <cfRule type="beginsWith" dxfId="10" priority="4" operator="beginsWith" text="Error">
      <formula>LEFT(AC12,LEN("Error"))="Error"</formula>
    </cfRule>
  </conditionalFormatting>
  <conditionalFormatting sqref="Y2">
    <cfRule type="containsText" dxfId="9" priority="1" operator="containsText" text="Note">
      <formula>NOT(ISERROR(SEARCH("Note",Y2)))</formula>
    </cfRule>
  </conditionalFormatting>
  <dataValidations count="1">
    <dataValidation type="list" allowBlank="1" showInputMessage="1" showErrorMessage="1" sqref="T12:T257" xr:uid="{00000000-0002-0000-1C00-000000000000}">
      <formula1>INDIRECT(AX12)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C00-000001000000}">
          <x14:formula1>
            <xm:f>'\\LYN264DF\m312897$\Net Gain\Rivers and Streams\[Master metric with RS amendments with new G7 layout.xlsm]G-7 Rivers Data'!#REF!</xm:f>
          </x14:formula1>
          <xm:sqref>AI258:AI259</xm:sqref>
        </x14:dataValidation>
        <x14:dataValidation type="list" allowBlank="1" showInputMessage="1" showErrorMessage="1" xr:uid="{00000000-0002-0000-1C00-000002000000}">
          <x14:formula1>
            <xm:f>'G-7 Rivers Data'!$AG$4:$AG$9</xm:f>
          </x14:formula1>
          <xm:sqref>V12:V257</xm:sqref>
        </x14:dataValidation>
        <x14:dataValidation type="list" allowBlank="1" showInputMessage="1" showErrorMessage="1" xr:uid="{00000000-0002-0000-1C00-000004000000}">
          <x14:formula1>
            <xm:f>'G-7 Rivers Data'!$AD$4:$AD$7</xm:f>
          </x14:formula1>
          <xm:sqref>AK12:AK257</xm:sqref>
        </x14:dataValidation>
        <x14:dataValidation type="list" allowBlank="1" showInputMessage="1" showErrorMessage="1" xr:uid="{00000000-0002-0000-1C00-000005000000}">
          <x14:formula1>
            <xm:f>'G-7 Rivers Data'!$AO$4:$AO$6</xm:f>
          </x14:formula1>
          <xm:sqref>AM12:AM257</xm:sqref>
        </x14:dataValidation>
        <x14:dataValidation type="list" allowBlank="1" showInputMessage="1" showErrorMessage="1" xr:uid="{00000000-0002-0000-1C00-000006000000}">
          <x14:formula1>
            <xm:f>'G-7 Rivers Data'!$B$4:$B$8</xm:f>
          </x14:formula1>
          <xm:sqref>N12:N257</xm:sqref>
        </x14:dataValidation>
        <x14:dataValidation type="list" allowBlank="1" showInputMessage="1" showErrorMessage="1" xr:uid="{00000000-0002-0000-1C00-000007000000}">
          <x14:formula1>
            <xm:f>'G-4 Temporal multipliers'!$A$41:$A$72</xm:f>
          </x14:formula1>
          <xm:sqref>Z12:AA257</xm:sqref>
        </x14:dataValidation>
        <x14:dataValidation type="list" allowBlank="1" showInputMessage="1" showErrorMessage="1" xr:uid="{C28378F0-6EA8-4E24-813F-F4ACCB44203A}">
          <x14:formula1>
            <xm:f>'G-7 Rivers Data'!$AA$4:$AA$7</xm:f>
          </x14:formula1>
          <xm:sqref>AI12:AI257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rgb="FFFFC000"/>
  </sheetPr>
  <dimension ref="A1:AG155"/>
  <sheetViews>
    <sheetView showGridLines="0" showRowColHeaders="0" zoomScaleNormal="100" workbookViewId="0">
      <pane xSplit="2" ySplit="2" topLeftCell="C3" activePane="bottomRight" state="frozen"/>
      <selection activeCell="B18" sqref="B18:I19"/>
      <selection pane="topRight" activeCell="B18" sqref="B18:I19"/>
      <selection pane="bottomLeft" activeCell="B18" sqref="B18:I19"/>
      <selection pane="bottomRight" activeCell="E21" sqref="E21"/>
    </sheetView>
  </sheetViews>
  <sheetFormatPr defaultColWidth="0" defaultRowHeight="13.8" zeroHeight="1" x14ac:dyDescent="0.25"/>
  <cols>
    <col min="1" max="1" width="78.109375" style="35" hidden="1" customWidth="1"/>
    <col min="2" max="2" width="77" style="35" bestFit="1" customWidth="1"/>
    <col min="3" max="3" width="26.33203125" style="35" bestFit="1" customWidth="1"/>
    <col min="4" max="4" width="13.6640625" style="35" bestFit="1" customWidth="1"/>
    <col min="5" max="5" width="19.88671875" style="35" bestFit="1" customWidth="1"/>
    <col min="6" max="6" width="25.33203125" style="35" bestFit="1" customWidth="1"/>
    <col min="7" max="7" width="19.88671875" style="35" bestFit="1" customWidth="1"/>
    <col min="8" max="8" width="82.109375" style="35" bestFit="1" customWidth="1"/>
    <col min="9" max="9" width="26.109375" style="35" customWidth="1"/>
    <col min="10" max="10" width="60.5546875" style="35" bestFit="1" customWidth="1"/>
    <col min="11" max="11" width="21.109375" style="35" bestFit="1" customWidth="1"/>
    <col min="12" max="12" width="28.33203125" style="35" bestFit="1" customWidth="1"/>
    <col min="13" max="13" width="62.88671875" style="35" bestFit="1" customWidth="1"/>
    <col min="14" max="14" width="27.44140625" style="35" bestFit="1" customWidth="1"/>
    <col min="15" max="15" width="16.44140625" style="35" bestFit="1" customWidth="1"/>
    <col min="16" max="16" width="27.44140625" style="35" bestFit="1" customWidth="1"/>
    <col min="17" max="17" width="16.44140625" style="35" bestFit="1" customWidth="1"/>
    <col min="18" max="18" width="28.44140625" style="46" bestFit="1" customWidth="1"/>
    <col min="19" max="19" width="30.109375" style="35" bestFit="1" customWidth="1"/>
    <col min="20" max="28" width="26.109375" style="35" customWidth="1"/>
    <col min="29" max="32" width="26.109375" style="35" hidden="1" customWidth="1"/>
    <col min="33" max="16384" width="26.109375" style="35" hidden="1"/>
  </cols>
  <sheetData>
    <row r="1" spans="1:33" ht="57.6" customHeight="1" x14ac:dyDescent="0.4">
      <c r="D1" s="1081" t="s">
        <v>839</v>
      </c>
      <c r="E1" s="1081"/>
      <c r="F1" s="1081"/>
      <c r="G1" s="294"/>
      <c r="H1" s="294"/>
      <c r="I1" s="294"/>
      <c r="J1" s="294"/>
      <c r="V1" s="999" t="s">
        <v>303</v>
      </c>
      <c r="W1" s="1078"/>
      <c r="X1" s="1001"/>
      <c r="Z1" s="999" t="s">
        <v>304</v>
      </c>
      <c r="AA1" s="1001"/>
      <c r="AF1" s="1079" t="s">
        <v>1250</v>
      </c>
      <c r="AG1" s="1079" t="s">
        <v>1251</v>
      </c>
    </row>
    <row r="2" spans="1:33" s="142" customFormat="1" ht="41.4" customHeight="1" x14ac:dyDescent="0.25">
      <c r="B2" s="128" t="s">
        <v>244</v>
      </c>
      <c r="C2" s="295" t="s">
        <v>1419</v>
      </c>
      <c r="D2" s="295" t="s">
        <v>212</v>
      </c>
      <c r="E2" s="295" t="s">
        <v>213</v>
      </c>
      <c r="F2" s="295" t="s">
        <v>214</v>
      </c>
      <c r="G2" s="295" t="s">
        <v>215</v>
      </c>
      <c r="H2" s="295" t="s">
        <v>216</v>
      </c>
      <c r="I2" s="295" t="s">
        <v>217</v>
      </c>
      <c r="J2" s="295" t="s">
        <v>218</v>
      </c>
      <c r="K2" s="295" t="s">
        <v>111</v>
      </c>
      <c r="L2" s="295" t="s">
        <v>56</v>
      </c>
      <c r="M2" s="295" t="s">
        <v>138</v>
      </c>
      <c r="N2" s="296" t="s">
        <v>123</v>
      </c>
      <c r="O2" s="296" t="s">
        <v>55</v>
      </c>
      <c r="P2" s="296" t="s">
        <v>124</v>
      </c>
      <c r="Q2" s="296" t="s">
        <v>55</v>
      </c>
      <c r="R2" s="296" t="s">
        <v>1147</v>
      </c>
      <c r="S2" s="296" t="s">
        <v>1148</v>
      </c>
      <c r="T2" s="35"/>
      <c r="U2" s="35"/>
      <c r="V2" s="128" t="s">
        <v>10</v>
      </c>
      <c r="W2" s="128" t="s">
        <v>56</v>
      </c>
      <c r="X2" s="128" t="s">
        <v>130</v>
      </c>
      <c r="Y2" s="35"/>
      <c r="Z2" s="128" t="s">
        <v>116</v>
      </c>
      <c r="AA2" s="128" t="s">
        <v>117</v>
      </c>
      <c r="AB2" s="35"/>
      <c r="AC2" s="35"/>
      <c r="AD2" s="128" t="s">
        <v>1082</v>
      </c>
      <c r="AE2" s="35"/>
      <c r="AF2" s="1080"/>
      <c r="AG2" s="1080"/>
    </row>
    <row r="3" spans="1:33" ht="27.6" x14ac:dyDescent="0.25">
      <c r="A3" s="298" t="s">
        <v>1259</v>
      </c>
      <c r="B3" s="144" t="s">
        <v>375</v>
      </c>
      <c r="C3" s="299" t="s">
        <v>1139</v>
      </c>
      <c r="D3" s="242" t="s">
        <v>173</v>
      </c>
      <c r="E3" s="242"/>
      <c r="F3" s="175" t="s">
        <v>165</v>
      </c>
      <c r="G3" s="242"/>
      <c r="H3" s="175" t="s">
        <v>197</v>
      </c>
      <c r="I3" s="242"/>
      <c r="J3" s="242" t="s">
        <v>43</v>
      </c>
      <c r="K3" s="242" t="s">
        <v>6</v>
      </c>
      <c r="L3" s="242">
        <f t="shared" ref="L3:L9" si="0">IF($K3=$V$3,$W$3,IF($K3=$V$3,$W$3,IF($K3=$V$4,$W$4,IF($K3=$V$5,$W$5,IF($K3=$V$6,$W$6,IF($K3=$V$7,$W$7))))))</f>
        <v>4</v>
      </c>
      <c r="M3" s="242" t="str">
        <f>IF($K3=$V$3,$X$3,IF($K3=$V$4,$X$4,IF($K3=$V$5,$X$5,IF($K3=$V$6,$X$6,IF($K3=$V$7,$X$7)))))</f>
        <v>Same broad habitat or a higher distinctiveness habitat required</v>
      </c>
      <c r="N3" s="242" t="s">
        <v>8</v>
      </c>
      <c r="O3" s="242">
        <f t="shared" ref="O3:O34" si="1">VLOOKUP(N3,Difficulty,2,FALSE)</f>
        <v>1</v>
      </c>
      <c r="P3" s="242" t="s">
        <v>8</v>
      </c>
      <c r="Q3" s="242">
        <f t="shared" ref="Q3:Q34" si="2">VLOOKUP(P3,Difficulty,2,FALSE)</f>
        <v>1</v>
      </c>
      <c r="R3" s="175"/>
      <c r="S3" s="242"/>
      <c r="V3" s="175" t="s">
        <v>9</v>
      </c>
      <c r="W3" s="242">
        <v>8</v>
      </c>
      <c r="X3" s="473" t="s">
        <v>850</v>
      </c>
      <c r="Z3" s="297" t="s">
        <v>0</v>
      </c>
      <c r="AA3" s="242">
        <v>3</v>
      </c>
      <c r="AD3" s="297" t="s">
        <v>809</v>
      </c>
      <c r="AF3" s="301" t="s">
        <v>165</v>
      </c>
      <c r="AG3" s="301" t="s">
        <v>165</v>
      </c>
    </row>
    <row r="4" spans="1:33" x14ac:dyDescent="0.25">
      <c r="A4" s="298" t="s">
        <v>1260</v>
      </c>
      <c r="B4" s="144" t="s">
        <v>378</v>
      </c>
      <c r="C4" s="299" t="s">
        <v>1140</v>
      </c>
      <c r="D4" s="242" t="s">
        <v>173</v>
      </c>
      <c r="E4" s="242"/>
      <c r="F4" s="175" t="s">
        <v>165</v>
      </c>
      <c r="G4" s="242"/>
      <c r="H4" s="175" t="s">
        <v>197</v>
      </c>
      <c r="I4" s="242"/>
      <c r="J4" s="242" t="s">
        <v>43</v>
      </c>
      <c r="K4" s="242" t="s">
        <v>6</v>
      </c>
      <c r="L4" s="242">
        <f t="shared" si="0"/>
        <v>4</v>
      </c>
      <c r="M4" s="242" t="str">
        <f t="shared" ref="M4:M72" si="3">IF($K4=$V$3,$X$3,IF($K4=$V$4,$X$4,IF($K4=$V$5,$X$5,IF($K4=$V$6,$X$6,IF($K4=$V$7,$X$7)))))</f>
        <v>Same broad habitat or a higher distinctiveness habitat required</v>
      </c>
      <c r="N4" s="242" t="s">
        <v>8</v>
      </c>
      <c r="O4" s="242">
        <f t="shared" si="1"/>
        <v>1</v>
      </c>
      <c r="P4" s="242" t="s">
        <v>8</v>
      </c>
      <c r="Q4" s="242">
        <f t="shared" si="2"/>
        <v>1</v>
      </c>
      <c r="R4" s="175"/>
      <c r="S4" s="242"/>
      <c r="V4" s="242" t="s">
        <v>5</v>
      </c>
      <c r="W4" s="242">
        <v>6</v>
      </c>
      <c r="X4" s="474" t="s">
        <v>985</v>
      </c>
      <c r="Z4" s="297" t="s">
        <v>128</v>
      </c>
      <c r="AA4" s="242">
        <v>2.5</v>
      </c>
      <c r="AD4" s="297" t="s">
        <v>810</v>
      </c>
      <c r="AF4" s="301" t="s">
        <v>135</v>
      </c>
      <c r="AG4" s="301" t="s">
        <v>135</v>
      </c>
    </row>
    <row r="5" spans="1:33" ht="41.4" x14ac:dyDescent="0.25">
      <c r="A5" s="298" t="s">
        <v>1261</v>
      </c>
      <c r="B5" s="144" t="s">
        <v>376</v>
      </c>
      <c r="C5" s="299" t="s">
        <v>1141</v>
      </c>
      <c r="D5" s="242" t="s">
        <v>173</v>
      </c>
      <c r="E5" s="242"/>
      <c r="F5" s="175" t="s">
        <v>165</v>
      </c>
      <c r="G5" s="242"/>
      <c r="H5" s="175" t="s">
        <v>197</v>
      </c>
      <c r="I5" s="242"/>
      <c r="J5" s="242" t="s">
        <v>43</v>
      </c>
      <c r="K5" s="242" t="s">
        <v>6</v>
      </c>
      <c r="L5" s="242">
        <f t="shared" si="0"/>
        <v>4</v>
      </c>
      <c r="M5" s="242" t="str">
        <f t="shared" si="3"/>
        <v>Same broad habitat or a higher distinctiveness habitat required</v>
      </c>
      <c r="N5" s="242" t="s">
        <v>8</v>
      </c>
      <c r="O5" s="242">
        <f t="shared" si="1"/>
        <v>1</v>
      </c>
      <c r="P5" s="242" t="s">
        <v>8</v>
      </c>
      <c r="Q5" s="242">
        <f t="shared" si="2"/>
        <v>1</v>
      </c>
      <c r="R5" s="175"/>
      <c r="S5" s="242"/>
      <c r="V5" s="242" t="s">
        <v>6</v>
      </c>
      <c r="W5" s="242">
        <v>4</v>
      </c>
      <c r="X5" s="475" t="s">
        <v>984</v>
      </c>
      <c r="Z5" s="297" t="s">
        <v>1</v>
      </c>
      <c r="AA5" s="242">
        <v>2</v>
      </c>
      <c r="AF5" s="301" t="s">
        <v>164</v>
      </c>
      <c r="AG5" s="301" t="s">
        <v>1252</v>
      </c>
    </row>
    <row r="6" spans="1:33" ht="27.6" x14ac:dyDescent="0.25">
      <c r="A6" s="298" t="s">
        <v>1262</v>
      </c>
      <c r="B6" s="144" t="s">
        <v>374</v>
      </c>
      <c r="C6" s="242" t="s">
        <v>94</v>
      </c>
      <c r="D6" s="242" t="s">
        <v>173</v>
      </c>
      <c r="E6" s="242" t="s">
        <v>195</v>
      </c>
      <c r="F6" s="175" t="s">
        <v>165</v>
      </c>
      <c r="G6" s="242" t="s">
        <v>196</v>
      </c>
      <c r="H6" s="175" t="s">
        <v>197</v>
      </c>
      <c r="I6" s="242" t="s">
        <v>94</v>
      </c>
      <c r="J6" s="242" t="s">
        <v>43</v>
      </c>
      <c r="K6" s="242" t="s">
        <v>6</v>
      </c>
      <c r="L6" s="242">
        <f t="shared" si="0"/>
        <v>4</v>
      </c>
      <c r="M6" s="242" t="str">
        <f t="shared" si="3"/>
        <v>Same broad habitat or a higher distinctiveness habitat required</v>
      </c>
      <c r="N6" s="242" t="s">
        <v>8</v>
      </c>
      <c r="O6" s="242">
        <f t="shared" si="1"/>
        <v>1</v>
      </c>
      <c r="P6" s="242" t="s">
        <v>8</v>
      </c>
      <c r="Q6" s="242">
        <f t="shared" si="2"/>
        <v>1</v>
      </c>
      <c r="R6" s="175"/>
      <c r="S6" s="242"/>
      <c r="V6" s="242" t="s">
        <v>8</v>
      </c>
      <c r="W6" s="242">
        <v>2</v>
      </c>
      <c r="X6" s="476" t="s">
        <v>986</v>
      </c>
      <c r="Z6" s="297" t="s">
        <v>121</v>
      </c>
      <c r="AA6" s="299">
        <v>1.5</v>
      </c>
      <c r="AF6" s="301" t="s">
        <v>835</v>
      </c>
      <c r="AG6" s="301" t="s">
        <v>835</v>
      </c>
    </row>
    <row r="7" spans="1:33" ht="27.6" x14ac:dyDescent="0.25">
      <c r="A7" s="298" t="s">
        <v>45</v>
      </c>
      <c r="B7" s="144" t="s">
        <v>276</v>
      </c>
      <c r="C7" s="242" t="s">
        <v>96</v>
      </c>
      <c r="D7" s="242" t="s">
        <v>173</v>
      </c>
      <c r="E7" s="242"/>
      <c r="F7" s="175" t="s">
        <v>165</v>
      </c>
      <c r="G7" s="242"/>
      <c r="H7" s="175" t="s">
        <v>197</v>
      </c>
      <c r="I7" s="242" t="s">
        <v>96</v>
      </c>
      <c r="J7" s="242" t="s">
        <v>45</v>
      </c>
      <c r="K7" s="242" t="s">
        <v>8</v>
      </c>
      <c r="L7" s="242">
        <f t="shared" si="0"/>
        <v>2</v>
      </c>
      <c r="M7" s="242" t="str">
        <f t="shared" si="3"/>
        <v>Same distinctiveness or better habitat required</v>
      </c>
      <c r="N7" s="242" t="s">
        <v>8</v>
      </c>
      <c r="O7" s="242">
        <f t="shared" si="1"/>
        <v>1</v>
      </c>
      <c r="P7" s="242" t="s">
        <v>8</v>
      </c>
      <c r="Q7" s="242">
        <f t="shared" si="2"/>
        <v>1</v>
      </c>
      <c r="R7" s="175"/>
      <c r="S7" s="242"/>
      <c r="V7" s="242" t="s">
        <v>7</v>
      </c>
      <c r="W7" s="242">
        <v>0</v>
      </c>
      <c r="X7" s="300" t="s">
        <v>848</v>
      </c>
      <c r="Z7" s="300" t="s">
        <v>2</v>
      </c>
      <c r="AA7" s="299">
        <v>1</v>
      </c>
      <c r="AF7" s="301" t="s">
        <v>167</v>
      </c>
      <c r="AG7" s="301" t="s">
        <v>1253</v>
      </c>
    </row>
    <row r="8" spans="1:33" x14ac:dyDescent="0.25">
      <c r="A8" s="298" t="s">
        <v>1263</v>
      </c>
      <c r="B8" s="144" t="s">
        <v>379</v>
      </c>
      <c r="C8" s="299" t="s">
        <v>1142</v>
      </c>
      <c r="D8" s="242" t="s">
        <v>173</v>
      </c>
      <c r="E8" s="242"/>
      <c r="F8" s="175" t="s">
        <v>165</v>
      </c>
      <c r="G8" s="242"/>
      <c r="H8" s="175" t="s">
        <v>197</v>
      </c>
      <c r="I8" s="242"/>
      <c r="J8" s="242" t="s">
        <v>45</v>
      </c>
      <c r="K8" s="242" t="s">
        <v>8</v>
      </c>
      <c r="L8" s="242">
        <f t="shared" si="0"/>
        <v>2</v>
      </c>
      <c r="M8" s="242" t="str">
        <f t="shared" si="3"/>
        <v>Same distinctiveness or better habitat required</v>
      </c>
      <c r="N8" s="242" t="s">
        <v>8</v>
      </c>
      <c r="O8" s="242">
        <f t="shared" si="1"/>
        <v>1</v>
      </c>
      <c r="P8" s="242" t="s">
        <v>8</v>
      </c>
      <c r="Q8" s="242">
        <f t="shared" si="2"/>
        <v>1</v>
      </c>
      <c r="R8" s="175"/>
      <c r="S8" s="242"/>
      <c r="Z8" s="300" t="s">
        <v>118</v>
      </c>
      <c r="AA8" s="242">
        <v>1</v>
      </c>
      <c r="AF8" s="301" t="s">
        <v>166</v>
      </c>
      <c r="AG8" s="301" t="s">
        <v>166</v>
      </c>
    </row>
    <row r="9" spans="1:33" x14ac:dyDescent="0.25">
      <c r="A9" s="298" t="s">
        <v>1264</v>
      </c>
      <c r="B9" s="144" t="s">
        <v>377</v>
      </c>
      <c r="C9" s="299" t="s">
        <v>1143</v>
      </c>
      <c r="D9" s="242" t="s">
        <v>173</v>
      </c>
      <c r="E9" s="242"/>
      <c r="F9" s="175" t="s">
        <v>165</v>
      </c>
      <c r="G9" s="242"/>
      <c r="H9" s="175" t="s">
        <v>197</v>
      </c>
      <c r="I9" s="242"/>
      <c r="J9" s="242" t="s">
        <v>45</v>
      </c>
      <c r="K9" s="242" t="s">
        <v>6</v>
      </c>
      <c r="L9" s="242">
        <f t="shared" si="0"/>
        <v>4</v>
      </c>
      <c r="M9" s="242" t="str">
        <f t="shared" si="3"/>
        <v>Same broad habitat or a higher distinctiveness habitat required</v>
      </c>
      <c r="N9" s="242" t="s">
        <v>8</v>
      </c>
      <c r="O9" s="242">
        <f t="shared" si="1"/>
        <v>1</v>
      </c>
      <c r="P9" s="242" t="s">
        <v>8</v>
      </c>
      <c r="Q9" s="242">
        <f t="shared" si="2"/>
        <v>1</v>
      </c>
      <c r="R9" s="175"/>
      <c r="S9" s="242"/>
      <c r="Z9" s="297" t="s">
        <v>119</v>
      </c>
      <c r="AA9" s="242">
        <v>0</v>
      </c>
      <c r="AF9" s="301" t="s">
        <v>137</v>
      </c>
      <c r="AG9" s="301" t="s">
        <v>137</v>
      </c>
    </row>
    <row r="10" spans="1:33" x14ac:dyDescent="0.25">
      <c r="A10" s="298" t="s">
        <v>47</v>
      </c>
      <c r="B10" s="144" t="s">
        <v>279</v>
      </c>
      <c r="C10" s="242" t="s">
        <v>99</v>
      </c>
      <c r="D10" s="242" t="s">
        <v>173</v>
      </c>
      <c r="E10" s="242"/>
      <c r="F10" s="175" t="s">
        <v>165</v>
      </c>
      <c r="G10" s="242"/>
      <c r="H10" s="175" t="s">
        <v>197</v>
      </c>
      <c r="I10" s="242" t="s">
        <v>99</v>
      </c>
      <c r="J10" s="242" t="s">
        <v>47</v>
      </c>
      <c r="K10" s="242" t="s">
        <v>8</v>
      </c>
      <c r="L10" s="242">
        <f t="shared" ref="L10:L49" si="4">IF(K10=$V$3,$W$3,IF(K10=$V$3,$W$3,IF(K10=$V$4,$W$4,IF(K10=$V$5,$W$5,IF(K10=$V$6,$W$6,IF(K10=$V$7,$W$7))))))</f>
        <v>2</v>
      </c>
      <c r="M10" s="242" t="str">
        <f t="shared" si="3"/>
        <v>Same distinctiveness or better habitat required</v>
      </c>
      <c r="N10" s="242" t="s">
        <v>8</v>
      </c>
      <c r="O10" s="242">
        <f t="shared" si="1"/>
        <v>1</v>
      </c>
      <c r="P10" s="242" t="s">
        <v>8</v>
      </c>
      <c r="Q10" s="242">
        <f t="shared" si="2"/>
        <v>1</v>
      </c>
      <c r="R10" s="175"/>
      <c r="S10" s="242"/>
      <c r="AF10" s="301" t="s">
        <v>163</v>
      </c>
      <c r="AG10" s="301" t="s">
        <v>1254</v>
      </c>
    </row>
    <row r="11" spans="1:33" x14ac:dyDescent="0.25">
      <c r="A11" s="298" t="s">
        <v>46</v>
      </c>
      <c r="B11" s="144" t="s">
        <v>278</v>
      </c>
      <c r="C11" s="242" t="s">
        <v>98</v>
      </c>
      <c r="D11" s="242" t="s">
        <v>173</v>
      </c>
      <c r="E11" s="242"/>
      <c r="F11" s="175" t="s">
        <v>165</v>
      </c>
      <c r="G11" s="242"/>
      <c r="H11" s="175" t="s">
        <v>197</v>
      </c>
      <c r="I11" s="242" t="s">
        <v>98</v>
      </c>
      <c r="J11" s="242" t="s">
        <v>46</v>
      </c>
      <c r="K11" s="242" t="s">
        <v>8</v>
      </c>
      <c r="L11" s="242">
        <f t="shared" si="4"/>
        <v>2</v>
      </c>
      <c r="M11" s="242" t="str">
        <f t="shared" si="3"/>
        <v>Same distinctiveness or better habitat required</v>
      </c>
      <c r="N11" s="242" t="s">
        <v>8</v>
      </c>
      <c r="O11" s="242">
        <f t="shared" si="1"/>
        <v>1</v>
      </c>
      <c r="P11" s="242" t="s">
        <v>8</v>
      </c>
      <c r="Q11" s="242">
        <f t="shared" si="2"/>
        <v>1</v>
      </c>
      <c r="R11" s="175"/>
      <c r="S11" s="242"/>
      <c r="AF11" s="301" t="s">
        <v>1089</v>
      </c>
      <c r="AG11" s="301" t="s">
        <v>1255</v>
      </c>
    </row>
    <row r="12" spans="1:33" x14ac:dyDescent="0.25">
      <c r="A12" s="298" t="s">
        <v>198</v>
      </c>
      <c r="B12" s="144" t="s">
        <v>277</v>
      </c>
      <c r="C12" s="242" t="s">
        <v>97</v>
      </c>
      <c r="D12" s="242" t="s">
        <v>173</v>
      </c>
      <c r="E12" s="242"/>
      <c r="F12" s="175" t="s">
        <v>165</v>
      </c>
      <c r="G12" s="242"/>
      <c r="H12" s="175" t="s">
        <v>197</v>
      </c>
      <c r="I12" s="242" t="s">
        <v>97</v>
      </c>
      <c r="J12" s="242" t="s">
        <v>198</v>
      </c>
      <c r="K12" s="242" t="s">
        <v>8</v>
      </c>
      <c r="L12" s="242">
        <f t="shared" si="4"/>
        <v>2</v>
      </c>
      <c r="M12" s="242" t="str">
        <f t="shared" si="3"/>
        <v>Same distinctiveness or better habitat required</v>
      </c>
      <c r="N12" s="242" t="s">
        <v>8</v>
      </c>
      <c r="O12" s="242">
        <f t="shared" si="1"/>
        <v>1</v>
      </c>
      <c r="P12" s="242" t="s">
        <v>8</v>
      </c>
      <c r="Q12" s="242">
        <f t="shared" si="2"/>
        <v>1</v>
      </c>
      <c r="R12" s="175"/>
      <c r="S12" s="242"/>
      <c r="AF12" s="301" t="s">
        <v>1125</v>
      </c>
      <c r="AG12" s="301" t="s">
        <v>1256</v>
      </c>
    </row>
    <row r="13" spans="1:33" ht="14.4" thickBot="1" x14ac:dyDescent="0.3">
      <c r="A13" s="298" t="s">
        <v>44</v>
      </c>
      <c r="B13" s="302" t="s">
        <v>275</v>
      </c>
      <c r="C13" s="251" t="s">
        <v>95</v>
      </c>
      <c r="D13" s="251" t="s">
        <v>173</v>
      </c>
      <c r="E13" s="251"/>
      <c r="F13" s="194" t="s">
        <v>165</v>
      </c>
      <c r="G13" s="251"/>
      <c r="H13" s="194" t="s">
        <v>197</v>
      </c>
      <c r="I13" s="251" t="s">
        <v>95</v>
      </c>
      <c r="J13" s="251" t="s">
        <v>44</v>
      </c>
      <c r="K13" s="251" t="s">
        <v>8</v>
      </c>
      <c r="L13" s="251">
        <f t="shared" si="4"/>
        <v>2</v>
      </c>
      <c r="M13" s="251" t="str">
        <f t="shared" si="3"/>
        <v>Same distinctiveness or better habitat required</v>
      </c>
      <c r="N13" s="251" t="s">
        <v>8</v>
      </c>
      <c r="O13" s="251">
        <f t="shared" si="1"/>
        <v>1</v>
      </c>
      <c r="P13" s="251" t="s">
        <v>8</v>
      </c>
      <c r="Q13" s="251">
        <f t="shared" si="2"/>
        <v>1</v>
      </c>
      <c r="R13" s="194"/>
      <c r="S13" s="251"/>
      <c r="AF13" s="301" t="s">
        <v>1112</v>
      </c>
      <c r="AG13" s="301" t="s">
        <v>1257</v>
      </c>
    </row>
    <row r="14" spans="1:33" x14ac:dyDescent="0.25">
      <c r="A14" s="298" t="s">
        <v>237</v>
      </c>
      <c r="B14" s="303" t="s">
        <v>1159</v>
      </c>
      <c r="C14" s="262">
        <v>21</v>
      </c>
      <c r="D14" s="262" t="s">
        <v>173</v>
      </c>
      <c r="E14" s="262"/>
      <c r="F14" s="175" t="s">
        <v>135</v>
      </c>
      <c r="G14" s="262"/>
      <c r="H14" s="179" t="s">
        <v>237</v>
      </c>
      <c r="I14" s="262"/>
      <c r="J14" s="262" t="s">
        <v>237</v>
      </c>
      <c r="K14" s="262" t="s">
        <v>5</v>
      </c>
      <c r="L14" s="262">
        <f t="shared" si="4"/>
        <v>6</v>
      </c>
      <c r="M14" s="262" t="str">
        <f t="shared" si="3"/>
        <v>Same habitat required</v>
      </c>
      <c r="N14" s="262" t="s">
        <v>8</v>
      </c>
      <c r="O14" s="262">
        <f t="shared" si="1"/>
        <v>1</v>
      </c>
      <c r="P14" s="262" t="s">
        <v>6</v>
      </c>
      <c r="Q14" s="262">
        <f t="shared" si="2"/>
        <v>0.67</v>
      </c>
      <c r="R14" s="179"/>
      <c r="S14" s="262"/>
      <c r="AF14" s="301" t="s">
        <v>1105</v>
      </c>
      <c r="AG14" s="301" t="s">
        <v>1258</v>
      </c>
    </row>
    <row r="15" spans="1:33" x14ac:dyDescent="0.25">
      <c r="A15" s="298" t="s">
        <v>13</v>
      </c>
      <c r="B15" s="144" t="s">
        <v>248</v>
      </c>
      <c r="C15" s="242" t="s">
        <v>59</v>
      </c>
      <c r="D15" s="242" t="s">
        <v>173</v>
      </c>
      <c r="E15" s="242"/>
      <c r="F15" s="175" t="s">
        <v>135</v>
      </c>
      <c r="G15" s="242"/>
      <c r="H15" s="175" t="s">
        <v>168</v>
      </c>
      <c r="I15" s="242" t="s">
        <v>59</v>
      </c>
      <c r="J15" s="242" t="s">
        <v>13</v>
      </c>
      <c r="K15" s="242" t="s">
        <v>8</v>
      </c>
      <c r="L15" s="242">
        <f t="shared" si="4"/>
        <v>2</v>
      </c>
      <c r="M15" s="242" t="str">
        <f t="shared" si="3"/>
        <v>Same distinctiveness or better habitat required</v>
      </c>
      <c r="N15" s="242" t="s">
        <v>8</v>
      </c>
      <c r="O15" s="242">
        <f t="shared" si="1"/>
        <v>1</v>
      </c>
      <c r="P15" s="242" t="s">
        <v>8</v>
      </c>
      <c r="Q15" s="242">
        <f t="shared" si="2"/>
        <v>1</v>
      </c>
      <c r="R15" s="175"/>
      <c r="S15" s="242"/>
      <c r="AF15" s="301" t="s">
        <v>1495</v>
      </c>
      <c r="AG15" s="301" t="s">
        <v>1499</v>
      </c>
    </row>
    <row r="16" spans="1:33" x14ac:dyDescent="0.25">
      <c r="A16" s="298" t="s">
        <v>1265</v>
      </c>
      <c r="B16" s="144" t="s">
        <v>847</v>
      </c>
      <c r="C16" s="242">
        <v>25</v>
      </c>
      <c r="D16" s="242" t="s">
        <v>173</v>
      </c>
      <c r="E16" s="242"/>
      <c r="F16" s="175" t="s">
        <v>135</v>
      </c>
      <c r="G16" s="242"/>
      <c r="H16" s="175" t="s">
        <v>824</v>
      </c>
      <c r="I16" s="242"/>
      <c r="J16" s="242" t="s">
        <v>824</v>
      </c>
      <c r="K16" s="242" t="s">
        <v>5</v>
      </c>
      <c r="L16" s="242">
        <f t="shared" si="4"/>
        <v>6</v>
      </c>
      <c r="M16" s="242" t="str">
        <f t="shared" si="3"/>
        <v>Same habitat required</v>
      </c>
      <c r="N16" s="242" t="s">
        <v>5</v>
      </c>
      <c r="O16" s="242">
        <f t="shared" si="1"/>
        <v>0.33</v>
      </c>
      <c r="P16" s="242" t="s">
        <v>6</v>
      </c>
      <c r="Q16" s="242">
        <f t="shared" si="2"/>
        <v>0.67</v>
      </c>
      <c r="R16" s="175"/>
      <c r="S16" s="242"/>
    </row>
    <row r="17" spans="1:19" x14ac:dyDescent="0.25">
      <c r="A17" s="298" t="s">
        <v>15</v>
      </c>
      <c r="B17" s="144" t="s">
        <v>154</v>
      </c>
      <c r="C17" s="242" t="s">
        <v>61</v>
      </c>
      <c r="D17" s="242" t="s">
        <v>173</v>
      </c>
      <c r="E17" s="242"/>
      <c r="F17" s="175" t="s">
        <v>135</v>
      </c>
      <c r="G17" s="242" t="s">
        <v>176</v>
      </c>
      <c r="H17" s="175" t="s">
        <v>169</v>
      </c>
      <c r="I17" s="242" t="s">
        <v>61</v>
      </c>
      <c r="J17" s="304" t="s">
        <v>15</v>
      </c>
      <c r="K17" s="242" t="s">
        <v>5</v>
      </c>
      <c r="L17" s="242">
        <f t="shared" si="4"/>
        <v>6</v>
      </c>
      <c r="M17" s="242" t="str">
        <f t="shared" si="3"/>
        <v>Same habitat required</v>
      </c>
      <c r="N17" s="242" t="s">
        <v>5</v>
      </c>
      <c r="O17" s="242">
        <f t="shared" si="1"/>
        <v>0.33</v>
      </c>
      <c r="P17" s="242" t="s">
        <v>5</v>
      </c>
      <c r="Q17" s="242">
        <f t="shared" si="2"/>
        <v>0.33</v>
      </c>
      <c r="R17" s="175"/>
      <c r="S17" s="242"/>
    </row>
    <row r="18" spans="1:19" x14ac:dyDescent="0.25">
      <c r="A18" s="298" t="s">
        <v>11</v>
      </c>
      <c r="B18" s="144" t="s">
        <v>151</v>
      </c>
      <c r="C18" s="242" t="s">
        <v>57</v>
      </c>
      <c r="D18" s="242" t="s">
        <v>173</v>
      </c>
      <c r="E18" s="242" t="s">
        <v>174</v>
      </c>
      <c r="F18" s="175" t="s">
        <v>135</v>
      </c>
      <c r="G18" s="242" t="s">
        <v>175</v>
      </c>
      <c r="H18" s="175" t="s">
        <v>168</v>
      </c>
      <c r="I18" s="242" t="s">
        <v>57</v>
      </c>
      <c r="J18" s="304" t="s">
        <v>11</v>
      </c>
      <c r="K18" s="242" t="s">
        <v>9</v>
      </c>
      <c r="L18" s="242">
        <f t="shared" si="4"/>
        <v>8</v>
      </c>
      <c r="M18" s="242" t="str">
        <f t="shared" si="3"/>
        <v>Bespoke compensation likely to be required</v>
      </c>
      <c r="N18" s="242" t="s">
        <v>5</v>
      </c>
      <c r="O18" s="242">
        <f t="shared" si="1"/>
        <v>0.33</v>
      </c>
      <c r="P18" s="242" t="s">
        <v>5</v>
      </c>
      <c r="Q18" s="242">
        <f t="shared" si="2"/>
        <v>0.33</v>
      </c>
      <c r="R18" s="175"/>
      <c r="S18" s="242"/>
    </row>
    <row r="19" spans="1:19" x14ac:dyDescent="0.25">
      <c r="A19" s="298" t="s">
        <v>17</v>
      </c>
      <c r="B19" s="144" t="s">
        <v>156</v>
      </c>
      <c r="C19" s="242" t="s">
        <v>63</v>
      </c>
      <c r="D19" s="242" t="s">
        <v>173</v>
      </c>
      <c r="E19" s="242"/>
      <c r="F19" s="175" t="s">
        <v>135</v>
      </c>
      <c r="G19" s="242" t="s">
        <v>177</v>
      </c>
      <c r="H19" s="175" t="s">
        <v>170</v>
      </c>
      <c r="I19" s="242" t="s">
        <v>63</v>
      </c>
      <c r="J19" s="304" t="s">
        <v>17</v>
      </c>
      <c r="K19" s="242" t="s">
        <v>9</v>
      </c>
      <c r="L19" s="242">
        <f t="shared" si="4"/>
        <v>8</v>
      </c>
      <c r="M19" s="242" t="str">
        <f t="shared" si="3"/>
        <v>Bespoke compensation likely to be required</v>
      </c>
      <c r="N19" s="242" t="s">
        <v>5</v>
      </c>
      <c r="O19" s="242">
        <f t="shared" si="1"/>
        <v>0.33</v>
      </c>
      <c r="P19" s="242" t="s">
        <v>6</v>
      </c>
      <c r="Q19" s="242">
        <f t="shared" si="2"/>
        <v>0.67</v>
      </c>
      <c r="R19" s="175"/>
      <c r="S19" s="242"/>
    </row>
    <row r="20" spans="1:19" x14ac:dyDescent="0.25">
      <c r="A20" s="298" t="s">
        <v>171</v>
      </c>
      <c r="B20" s="144" t="s">
        <v>249</v>
      </c>
      <c r="C20" s="242" t="s">
        <v>178</v>
      </c>
      <c r="D20" s="242" t="s">
        <v>173</v>
      </c>
      <c r="E20" s="242"/>
      <c r="F20" s="175" t="s">
        <v>135</v>
      </c>
      <c r="G20" s="242" t="s">
        <v>178</v>
      </c>
      <c r="H20" s="175" t="s">
        <v>171</v>
      </c>
      <c r="I20" s="175" t="s">
        <v>219</v>
      </c>
      <c r="J20" s="300" t="s">
        <v>171</v>
      </c>
      <c r="K20" s="242" t="s">
        <v>8</v>
      </c>
      <c r="L20" s="242">
        <f t="shared" si="4"/>
        <v>2</v>
      </c>
      <c r="M20" s="297" t="str">
        <f t="shared" si="3"/>
        <v>Same distinctiveness or better habitat required</v>
      </c>
      <c r="N20" s="242" t="s">
        <v>8</v>
      </c>
      <c r="O20" s="242">
        <f t="shared" si="1"/>
        <v>1</v>
      </c>
      <c r="P20" s="242" t="s">
        <v>8</v>
      </c>
      <c r="Q20" s="242">
        <f t="shared" si="2"/>
        <v>1</v>
      </c>
      <c r="R20" s="175"/>
      <c r="S20" s="242"/>
    </row>
    <row r="21" spans="1:19" x14ac:dyDescent="0.25">
      <c r="A21" s="298" t="s">
        <v>14</v>
      </c>
      <c r="B21" s="144" t="s">
        <v>153</v>
      </c>
      <c r="C21" s="242" t="s">
        <v>60</v>
      </c>
      <c r="D21" s="242" t="s">
        <v>173</v>
      </c>
      <c r="E21" s="242"/>
      <c r="F21" s="175" t="s">
        <v>135</v>
      </c>
      <c r="G21" s="242"/>
      <c r="H21" s="175" t="s">
        <v>168</v>
      </c>
      <c r="I21" s="242" t="s">
        <v>60</v>
      </c>
      <c r="J21" s="242" t="s">
        <v>14</v>
      </c>
      <c r="K21" s="242" t="s">
        <v>6</v>
      </c>
      <c r="L21" s="242">
        <f t="shared" si="4"/>
        <v>4</v>
      </c>
      <c r="M21" s="242" t="str">
        <f t="shared" si="3"/>
        <v>Same broad habitat or a higher distinctiveness habitat required</v>
      </c>
      <c r="N21" s="242" t="s">
        <v>8</v>
      </c>
      <c r="O21" s="242">
        <f t="shared" si="1"/>
        <v>1</v>
      </c>
      <c r="P21" s="242" t="s">
        <v>8</v>
      </c>
      <c r="Q21" s="242">
        <f t="shared" si="2"/>
        <v>1</v>
      </c>
      <c r="R21" s="175"/>
      <c r="S21" s="242"/>
    </row>
    <row r="22" spans="1:19" x14ac:dyDescent="0.25">
      <c r="A22" s="298" t="s">
        <v>18</v>
      </c>
      <c r="B22" s="144" t="s">
        <v>158</v>
      </c>
      <c r="C22" s="242" t="s">
        <v>65</v>
      </c>
      <c r="D22" s="242" t="s">
        <v>173</v>
      </c>
      <c r="E22" s="242"/>
      <c r="F22" s="175" t="s">
        <v>135</v>
      </c>
      <c r="G22" s="242"/>
      <c r="H22" s="175" t="s">
        <v>170</v>
      </c>
      <c r="I22" s="242" t="s">
        <v>65</v>
      </c>
      <c r="J22" s="242" t="s">
        <v>18</v>
      </c>
      <c r="K22" s="242" t="s">
        <v>6</v>
      </c>
      <c r="L22" s="242">
        <f t="shared" si="4"/>
        <v>4</v>
      </c>
      <c r="M22" s="242" t="str">
        <f t="shared" si="3"/>
        <v>Same broad habitat or a higher distinctiveness habitat required</v>
      </c>
      <c r="N22" s="242" t="s">
        <v>8</v>
      </c>
      <c r="O22" s="242">
        <f t="shared" si="1"/>
        <v>1</v>
      </c>
      <c r="P22" s="242" t="s">
        <v>8</v>
      </c>
      <c r="Q22" s="242">
        <f t="shared" si="2"/>
        <v>1</v>
      </c>
      <c r="R22" s="175"/>
      <c r="S22" s="242"/>
    </row>
    <row r="23" spans="1:19" x14ac:dyDescent="0.25">
      <c r="A23" s="298" t="s">
        <v>241</v>
      </c>
      <c r="B23" s="144" t="s">
        <v>250</v>
      </c>
      <c r="C23" s="242" t="s">
        <v>242</v>
      </c>
      <c r="D23" s="242" t="s">
        <v>173</v>
      </c>
      <c r="E23" s="242"/>
      <c r="F23" s="175" t="s">
        <v>135</v>
      </c>
      <c r="G23" s="242" t="s">
        <v>242</v>
      </c>
      <c r="H23" s="175" t="s">
        <v>243</v>
      </c>
      <c r="I23" s="175"/>
      <c r="J23" s="242" t="s">
        <v>241</v>
      </c>
      <c r="K23" s="242" t="s">
        <v>5</v>
      </c>
      <c r="L23" s="242">
        <f t="shared" si="4"/>
        <v>6</v>
      </c>
      <c r="M23" s="242" t="str">
        <f t="shared" si="3"/>
        <v>Same habitat required</v>
      </c>
      <c r="N23" s="242" t="s">
        <v>5</v>
      </c>
      <c r="O23" s="242">
        <f t="shared" si="1"/>
        <v>0.33</v>
      </c>
      <c r="P23" s="242" t="s">
        <v>5</v>
      </c>
      <c r="Q23" s="242">
        <f t="shared" si="2"/>
        <v>0.33</v>
      </c>
      <c r="R23" s="175"/>
      <c r="S23" s="242"/>
    </row>
    <row r="24" spans="1:19" x14ac:dyDescent="0.25">
      <c r="A24" s="298" t="s">
        <v>12</v>
      </c>
      <c r="B24" s="144" t="s">
        <v>152</v>
      </c>
      <c r="C24" s="242" t="s">
        <v>58</v>
      </c>
      <c r="D24" s="242" t="s">
        <v>173</v>
      </c>
      <c r="E24" s="242"/>
      <c r="F24" s="175" t="s">
        <v>135</v>
      </c>
      <c r="G24" s="242"/>
      <c r="H24" s="175" t="s">
        <v>168</v>
      </c>
      <c r="I24" s="242" t="s">
        <v>58</v>
      </c>
      <c r="J24" s="304" t="s">
        <v>12</v>
      </c>
      <c r="K24" s="242" t="s">
        <v>6</v>
      </c>
      <c r="L24" s="242">
        <f t="shared" si="4"/>
        <v>4</v>
      </c>
      <c r="M24" s="242" t="str">
        <f t="shared" si="3"/>
        <v>Same broad habitat or a higher distinctiveness habitat required</v>
      </c>
      <c r="N24" s="242" t="s">
        <v>8</v>
      </c>
      <c r="O24" s="242">
        <f t="shared" si="1"/>
        <v>1</v>
      </c>
      <c r="P24" s="242" t="s">
        <v>8</v>
      </c>
      <c r="Q24" s="242">
        <f t="shared" si="2"/>
        <v>1</v>
      </c>
      <c r="R24" s="175"/>
      <c r="S24" s="242"/>
    </row>
    <row r="25" spans="1:19" x14ac:dyDescent="0.25">
      <c r="A25" s="298" t="s">
        <v>16</v>
      </c>
      <c r="B25" s="144" t="s">
        <v>155</v>
      </c>
      <c r="C25" s="242" t="s">
        <v>62</v>
      </c>
      <c r="D25" s="242" t="s">
        <v>173</v>
      </c>
      <c r="E25" s="242"/>
      <c r="F25" s="175" t="s">
        <v>135</v>
      </c>
      <c r="G25" s="242"/>
      <c r="H25" s="175" t="s">
        <v>169</v>
      </c>
      <c r="I25" s="242" t="s">
        <v>62</v>
      </c>
      <c r="J25" s="304" t="s">
        <v>16</v>
      </c>
      <c r="K25" s="242" t="s">
        <v>5</v>
      </c>
      <c r="L25" s="242">
        <f t="shared" si="4"/>
        <v>6</v>
      </c>
      <c r="M25" s="242" t="str">
        <f t="shared" si="3"/>
        <v>Same habitat required</v>
      </c>
      <c r="N25" s="242" t="s">
        <v>5</v>
      </c>
      <c r="O25" s="242">
        <f t="shared" si="1"/>
        <v>0.33</v>
      </c>
      <c r="P25" s="242" t="s">
        <v>5</v>
      </c>
      <c r="Q25" s="242">
        <f t="shared" si="2"/>
        <v>0.33</v>
      </c>
      <c r="R25" s="175"/>
      <c r="S25" s="242"/>
    </row>
    <row r="26" spans="1:19" ht="14.4" thickBot="1" x14ac:dyDescent="0.3">
      <c r="A26" s="298" t="s">
        <v>112</v>
      </c>
      <c r="B26" s="302" t="s">
        <v>157</v>
      </c>
      <c r="C26" s="251" t="s">
        <v>64</v>
      </c>
      <c r="D26" s="251" t="s">
        <v>173</v>
      </c>
      <c r="E26" s="251"/>
      <c r="F26" s="194" t="s">
        <v>135</v>
      </c>
      <c r="G26" s="251"/>
      <c r="H26" s="194" t="s">
        <v>170</v>
      </c>
      <c r="I26" s="251" t="s">
        <v>64</v>
      </c>
      <c r="J26" s="305" t="s">
        <v>112</v>
      </c>
      <c r="K26" s="251" t="s">
        <v>9</v>
      </c>
      <c r="L26" s="251">
        <f t="shared" si="4"/>
        <v>8</v>
      </c>
      <c r="M26" s="251" t="str">
        <f t="shared" si="3"/>
        <v>Bespoke compensation likely to be required</v>
      </c>
      <c r="N26" s="251" t="s">
        <v>5</v>
      </c>
      <c r="O26" s="251">
        <f t="shared" si="1"/>
        <v>0.33</v>
      </c>
      <c r="P26" s="251" t="s">
        <v>6</v>
      </c>
      <c r="Q26" s="251">
        <f t="shared" si="2"/>
        <v>0.67</v>
      </c>
      <c r="R26" s="194"/>
      <c r="S26" s="251"/>
    </row>
    <row r="27" spans="1:19" x14ac:dyDescent="0.25">
      <c r="A27" s="298" t="s">
        <v>31</v>
      </c>
      <c r="B27" s="303" t="s">
        <v>265</v>
      </c>
      <c r="C27" s="262" t="s">
        <v>80</v>
      </c>
      <c r="D27" s="262" t="s">
        <v>173</v>
      </c>
      <c r="E27" s="262"/>
      <c r="F27" s="179" t="s">
        <v>164</v>
      </c>
      <c r="G27" s="262" t="s">
        <v>188</v>
      </c>
      <c r="H27" s="179" t="s">
        <v>189</v>
      </c>
      <c r="I27" s="262" t="s">
        <v>80</v>
      </c>
      <c r="J27" s="262" t="s">
        <v>31</v>
      </c>
      <c r="K27" s="262" t="s">
        <v>6</v>
      </c>
      <c r="L27" s="262">
        <f t="shared" si="4"/>
        <v>4</v>
      </c>
      <c r="M27" s="262" t="str">
        <f t="shared" si="3"/>
        <v>Same broad habitat or a higher distinctiveness habitat required</v>
      </c>
      <c r="N27" s="262" t="s">
        <v>8</v>
      </c>
      <c r="O27" s="262">
        <f t="shared" si="1"/>
        <v>1</v>
      </c>
      <c r="P27" s="262" t="s">
        <v>8</v>
      </c>
      <c r="Q27" s="262">
        <f t="shared" si="2"/>
        <v>1</v>
      </c>
      <c r="R27" s="179"/>
      <c r="S27" s="262"/>
    </row>
    <row r="28" spans="1:19" x14ac:dyDescent="0.25">
      <c r="A28" s="298" t="s">
        <v>34</v>
      </c>
      <c r="B28" s="144" t="s">
        <v>267</v>
      </c>
      <c r="C28" s="242" t="s">
        <v>83</v>
      </c>
      <c r="D28" s="242" t="s">
        <v>173</v>
      </c>
      <c r="E28" s="242"/>
      <c r="F28" s="175" t="s">
        <v>164</v>
      </c>
      <c r="G28" s="242"/>
      <c r="H28" s="175" t="s">
        <v>189</v>
      </c>
      <c r="I28" s="242" t="s">
        <v>83</v>
      </c>
      <c r="J28" s="242" t="s">
        <v>34</v>
      </c>
      <c r="K28" s="242" t="s">
        <v>6</v>
      </c>
      <c r="L28" s="242">
        <f t="shared" si="4"/>
        <v>4</v>
      </c>
      <c r="M28" s="242" t="str">
        <f t="shared" si="3"/>
        <v>Same broad habitat or a higher distinctiveness habitat required</v>
      </c>
      <c r="N28" s="242" t="s">
        <v>8</v>
      </c>
      <c r="O28" s="242">
        <f t="shared" si="1"/>
        <v>1</v>
      </c>
      <c r="P28" s="242" t="s">
        <v>8</v>
      </c>
      <c r="Q28" s="242">
        <f t="shared" si="2"/>
        <v>1</v>
      </c>
      <c r="R28" s="175"/>
      <c r="S28" s="242"/>
    </row>
    <row r="29" spans="1:19" x14ac:dyDescent="0.25">
      <c r="A29" s="298" t="s">
        <v>35</v>
      </c>
      <c r="B29" s="144" t="s">
        <v>268</v>
      </c>
      <c r="C29" s="242" t="s">
        <v>84</v>
      </c>
      <c r="D29" s="242" t="s">
        <v>173</v>
      </c>
      <c r="E29" s="242"/>
      <c r="F29" s="175" t="s">
        <v>164</v>
      </c>
      <c r="G29" s="242"/>
      <c r="H29" s="175" t="s">
        <v>189</v>
      </c>
      <c r="I29" s="242" t="s">
        <v>84</v>
      </c>
      <c r="J29" s="242" t="s">
        <v>35</v>
      </c>
      <c r="K29" s="242" t="s">
        <v>6</v>
      </c>
      <c r="L29" s="242">
        <f t="shared" si="4"/>
        <v>4</v>
      </c>
      <c r="M29" s="242" t="str">
        <f t="shared" si="3"/>
        <v>Same broad habitat or a higher distinctiveness habitat required</v>
      </c>
      <c r="N29" s="242" t="s">
        <v>8</v>
      </c>
      <c r="O29" s="242">
        <f t="shared" si="1"/>
        <v>1</v>
      </c>
      <c r="P29" s="242" t="s">
        <v>8</v>
      </c>
      <c r="Q29" s="242">
        <f t="shared" si="2"/>
        <v>1</v>
      </c>
      <c r="R29" s="175"/>
      <c r="S29" s="242"/>
    </row>
    <row r="30" spans="1:19" x14ac:dyDescent="0.25">
      <c r="A30" s="298" t="s">
        <v>36</v>
      </c>
      <c r="B30" s="144" t="s">
        <v>269</v>
      </c>
      <c r="C30" s="242" t="s">
        <v>85</v>
      </c>
      <c r="D30" s="242" t="s">
        <v>173</v>
      </c>
      <c r="E30" s="242"/>
      <c r="F30" s="175" t="s">
        <v>164</v>
      </c>
      <c r="G30" s="242"/>
      <c r="H30" s="175" t="s">
        <v>189</v>
      </c>
      <c r="I30" s="242" t="s">
        <v>85</v>
      </c>
      <c r="J30" s="242" t="s">
        <v>36</v>
      </c>
      <c r="K30" s="242" t="s">
        <v>6</v>
      </c>
      <c r="L30" s="242">
        <f t="shared" si="4"/>
        <v>4</v>
      </c>
      <c r="M30" s="242" t="str">
        <f t="shared" si="3"/>
        <v>Same broad habitat or a higher distinctiveness habitat required</v>
      </c>
      <c r="N30" s="242" t="s">
        <v>8</v>
      </c>
      <c r="O30" s="242">
        <f t="shared" si="1"/>
        <v>1</v>
      </c>
      <c r="P30" s="242" t="s">
        <v>8</v>
      </c>
      <c r="Q30" s="242">
        <f t="shared" si="2"/>
        <v>1</v>
      </c>
      <c r="R30" s="175"/>
      <c r="S30" s="242"/>
    </row>
    <row r="31" spans="1:19" x14ac:dyDescent="0.25">
      <c r="A31" s="298" t="s">
        <v>32</v>
      </c>
      <c r="B31" s="144" t="s">
        <v>266</v>
      </c>
      <c r="C31" s="242" t="s">
        <v>81</v>
      </c>
      <c r="D31" s="242" t="s">
        <v>173</v>
      </c>
      <c r="E31" s="242"/>
      <c r="F31" s="175" t="s">
        <v>164</v>
      </c>
      <c r="G31" s="242"/>
      <c r="H31" s="175" t="s">
        <v>189</v>
      </c>
      <c r="I31" s="242" t="s">
        <v>81</v>
      </c>
      <c r="J31" s="242" t="s">
        <v>32</v>
      </c>
      <c r="K31" s="242" t="s">
        <v>6</v>
      </c>
      <c r="L31" s="242">
        <f t="shared" si="4"/>
        <v>4</v>
      </c>
      <c r="M31" s="242" t="str">
        <f t="shared" si="3"/>
        <v>Same broad habitat or a higher distinctiveness habitat required</v>
      </c>
      <c r="N31" s="242" t="s">
        <v>8</v>
      </c>
      <c r="O31" s="242">
        <f t="shared" si="1"/>
        <v>1</v>
      </c>
      <c r="P31" s="242" t="s">
        <v>8</v>
      </c>
      <c r="Q31" s="242">
        <f t="shared" si="2"/>
        <v>1</v>
      </c>
      <c r="R31" s="175"/>
      <c r="S31" s="242"/>
    </row>
    <row r="32" spans="1:19" x14ac:dyDescent="0.25">
      <c r="A32" s="298" t="s">
        <v>28</v>
      </c>
      <c r="B32" s="144" t="s">
        <v>262</v>
      </c>
      <c r="C32" s="242" t="s">
        <v>77</v>
      </c>
      <c r="D32" s="242" t="s">
        <v>173</v>
      </c>
      <c r="E32" s="242" t="s">
        <v>185</v>
      </c>
      <c r="F32" s="175" t="s">
        <v>164</v>
      </c>
      <c r="G32" s="242" t="s">
        <v>186</v>
      </c>
      <c r="H32" s="175" t="s">
        <v>187</v>
      </c>
      <c r="I32" s="242" t="s">
        <v>77</v>
      </c>
      <c r="J32" s="304" t="s">
        <v>28</v>
      </c>
      <c r="K32" s="242" t="s">
        <v>5</v>
      </c>
      <c r="L32" s="242">
        <f t="shared" si="4"/>
        <v>6</v>
      </c>
      <c r="M32" s="242" t="str">
        <f t="shared" si="3"/>
        <v>Same habitat required</v>
      </c>
      <c r="N32" s="242" t="s">
        <v>5</v>
      </c>
      <c r="O32" s="242">
        <f t="shared" si="1"/>
        <v>0.33</v>
      </c>
      <c r="P32" s="242" t="s">
        <v>6</v>
      </c>
      <c r="Q32" s="242">
        <f t="shared" si="2"/>
        <v>0.67</v>
      </c>
      <c r="R32" s="175"/>
      <c r="S32" s="242"/>
    </row>
    <row r="33" spans="1:19" ht="27.6" x14ac:dyDescent="0.25">
      <c r="A33" s="298" t="s">
        <v>38</v>
      </c>
      <c r="B33" s="144" t="s">
        <v>271</v>
      </c>
      <c r="C33" s="242" t="s">
        <v>87</v>
      </c>
      <c r="D33" s="242" t="s">
        <v>173</v>
      </c>
      <c r="E33" s="242"/>
      <c r="F33" s="175" t="s">
        <v>164</v>
      </c>
      <c r="G33" s="242"/>
      <c r="H33" s="175" t="s">
        <v>189</v>
      </c>
      <c r="I33" s="242" t="s">
        <v>87</v>
      </c>
      <c r="J33" s="242" t="s">
        <v>38</v>
      </c>
      <c r="K33" s="242" t="s">
        <v>6</v>
      </c>
      <c r="L33" s="242">
        <f t="shared" si="4"/>
        <v>4</v>
      </c>
      <c r="M33" s="242" t="str">
        <f t="shared" si="3"/>
        <v>Same broad habitat or a higher distinctiveness habitat required</v>
      </c>
      <c r="N33" s="242" t="s">
        <v>8</v>
      </c>
      <c r="O33" s="242">
        <f t="shared" si="1"/>
        <v>1</v>
      </c>
      <c r="P33" s="242" t="s">
        <v>8</v>
      </c>
      <c r="Q33" s="242">
        <f t="shared" si="2"/>
        <v>1</v>
      </c>
      <c r="R33" s="175" t="s">
        <v>1153</v>
      </c>
      <c r="S33" s="242"/>
    </row>
    <row r="34" spans="1:19" x14ac:dyDescent="0.25">
      <c r="A34" s="298" t="s">
        <v>30</v>
      </c>
      <c r="B34" s="144" t="s">
        <v>264</v>
      </c>
      <c r="C34" s="242" t="s">
        <v>79</v>
      </c>
      <c r="D34" s="242" t="s">
        <v>173</v>
      </c>
      <c r="E34" s="242"/>
      <c r="F34" s="175" t="s">
        <v>164</v>
      </c>
      <c r="G34" s="242"/>
      <c r="H34" s="175" t="s">
        <v>187</v>
      </c>
      <c r="I34" s="242" t="s">
        <v>79</v>
      </c>
      <c r="J34" s="304" t="s">
        <v>30</v>
      </c>
      <c r="K34" s="242" t="s">
        <v>9</v>
      </c>
      <c r="L34" s="242">
        <f t="shared" si="4"/>
        <v>8</v>
      </c>
      <c r="M34" s="242" t="str">
        <f t="shared" si="3"/>
        <v>Bespoke compensation likely to be required</v>
      </c>
      <c r="N34" s="242" t="s">
        <v>5</v>
      </c>
      <c r="O34" s="242">
        <f t="shared" si="1"/>
        <v>0.33</v>
      </c>
      <c r="P34" s="242" t="s">
        <v>5</v>
      </c>
      <c r="Q34" s="242">
        <f t="shared" si="2"/>
        <v>0.33</v>
      </c>
      <c r="R34" s="175"/>
      <c r="S34" s="242"/>
    </row>
    <row r="35" spans="1:19" x14ac:dyDescent="0.25">
      <c r="A35" s="298" t="s">
        <v>37</v>
      </c>
      <c r="B35" s="144" t="s">
        <v>270</v>
      </c>
      <c r="C35" s="242" t="s">
        <v>86</v>
      </c>
      <c r="D35" s="242" t="s">
        <v>173</v>
      </c>
      <c r="E35" s="242"/>
      <c r="F35" s="175" t="s">
        <v>164</v>
      </c>
      <c r="G35" s="242"/>
      <c r="H35" s="175" t="s">
        <v>189</v>
      </c>
      <c r="I35" s="242" t="s">
        <v>86</v>
      </c>
      <c r="J35" s="242" t="s">
        <v>37</v>
      </c>
      <c r="K35" s="242" t="s">
        <v>8</v>
      </c>
      <c r="L35" s="242">
        <f t="shared" si="4"/>
        <v>2</v>
      </c>
      <c r="M35" s="242" t="str">
        <f t="shared" si="3"/>
        <v>Same distinctiveness or better habitat required</v>
      </c>
      <c r="N35" s="242" t="s">
        <v>8</v>
      </c>
      <c r="O35" s="242">
        <f t="shared" ref="O35:O65" si="5">VLOOKUP(N35,Difficulty,2,FALSE)</f>
        <v>1</v>
      </c>
      <c r="P35" s="242" t="s">
        <v>8</v>
      </c>
      <c r="Q35" s="242">
        <f t="shared" ref="Q35:Q65" si="6">VLOOKUP(P35,Difficulty,2,FALSE)</f>
        <v>1</v>
      </c>
      <c r="R35" s="175"/>
      <c r="S35" s="242"/>
    </row>
    <row r="36" spans="1:19" x14ac:dyDescent="0.25">
      <c r="A36" s="298" t="s">
        <v>1266</v>
      </c>
      <c r="B36" s="144" t="s">
        <v>845</v>
      </c>
      <c r="C36" s="242" t="s">
        <v>82</v>
      </c>
      <c r="D36" s="242" t="s">
        <v>173</v>
      </c>
      <c r="E36" s="242"/>
      <c r="F36" s="175" t="s">
        <v>164</v>
      </c>
      <c r="G36" s="242"/>
      <c r="H36" s="175" t="s">
        <v>189</v>
      </c>
      <c r="I36" s="242" t="s">
        <v>82</v>
      </c>
      <c r="J36" s="242" t="s">
        <v>33</v>
      </c>
      <c r="K36" s="242" t="s">
        <v>5</v>
      </c>
      <c r="L36" s="242">
        <f t="shared" si="4"/>
        <v>6</v>
      </c>
      <c r="M36" s="242" t="str">
        <f t="shared" si="3"/>
        <v>Same habitat required</v>
      </c>
      <c r="N36" s="242" t="s">
        <v>6</v>
      </c>
      <c r="O36" s="242">
        <f t="shared" si="5"/>
        <v>0.67</v>
      </c>
      <c r="P36" s="242" t="s">
        <v>8</v>
      </c>
      <c r="Q36" s="242">
        <f t="shared" si="6"/>
        <v>1</v>
      </c>
      <c r="R36" s="175"/>
      <c r="S36" s="242"/>
    </row>
    <row r="37" spans="1:19" x14ac:dyDescent="0.25">
      <c r="A37" s="298" t="s">
        <v>1267</v>
      </c>
      <c r="B37" s="144" t="s">
        <v>846</v>
      </c>
      <c r="C37" s="242" t="s">
        <v>82</v>
      </c>
      <c r="D37" s="242" t="s">
        <v>173</v>
      </c>
      <c r="E37" s="242"/>
      <c r="F37" s="175" t="s">
        <v>164</v>
      </c>
      <c r="G37" s="242"/>
      <c r="H37" s="175" t="s">
        <v>189</v>
      </c>
      <c r="I37" s="242" t="s">
        <v>82</v>
      </c>
      <c r="J37" s="242" t="s">
        <v>823</v>
      </c>
      <c r="K37" s="242" t="s">
        <v>8</v>
      </c>
      <c r="L37" s="242">
        <f t="shared" ref="L37" si="7">IF(K37=$V$3,$W$3,IF(K37=$V$3,$W$3,IF(K37=$V$4,$W$4,IF(K37=$V$5,$W$5,IF(K37=$V$6,$W$6,IF(K37=$V$7,$W$7))))))</f>
        <v>2</v>
      </c>
      <c r="M37" s="242" t="str">
        <f t="shared" si="3"/>
        <v>Same distinctiveness or better habitat required</v>
      </c>
      <c r="N37" s="242" t="s">
        <v>8</v>
      </c>
      <c r="O37" s="242">
        <f t="shared" si="5"/>
        <v>1</v>
      </c>
      <c r="P37" s="242" t="s">
        <v>8</v>
      </c>
      <c r="Q37" s="242">
        <f t="shared" si="6"/>
        <v>1</v>
      </c>
      <c r="R37" s="175"/>
      <c r="S37" s="242"/>
    </row>
    <row r="38" spans="1:19" ht="14.4" thickBot="1" x14ac:dyDescent="0.3">
      <c r="A38" s="298" t="s">
        <v>29</v>
      </c>
      <c r="B38" s="302" t="s">
        <v>263</v>
      </c>
      <c r="C38" s="251" t="s">
        <v>78</v>
      </c>
      <c r="D38" s="251" t="s">
        <v>173</v>
      </c>
      <c r="E38" s="251"/>
      <c r="F38" s="194" t="s">
        <v>164</v>
      </c>
      <c r="G38" s="251"/>
      <c r="H38" s="194" t="s">
        <v>187</v>
      </c>
      <c r="I38" s="251" t="s">
        <v>78</v>
      </c>
      <c r="J38" s="305" t="s">
        <v>29</v>
      </c>
      <c r="K38" s="251" t="s">
        <v>5</v>
      </c>
      <c r="L38" s="251">
        <f t="shared" si="4"/>
        <v>6</v>
      </c>
      <c r="M38" s="251" t="str">
        <f t="shared" si="3"/>
        <v>Same habitat required</v>
      </c>
      <c r="N38" s="251" t="s">
        <v>6</v>
      </c>
      <c r="O38" s="251">
        <f t="shared" si="5"/>
        <v>0.67</v>
      </c>
      <c r="P38" s="251" t="s">
        <v>6</v>
      </c>
      <c r="Q38" s="251">
        <f t="shared" si="6"/>
        <v>0.67</v>
      </c>
      <c r="R38" s="194"/>
      <c r="S38" s="251"/>
    </row>
    <row r="39" spans="1:19" x14ac:dyDescent="0.25">
      <c r="A39" s="298" t="s">
        <v>54</v>
      </c>
      <c r="B39" s="303" t="s">
        <v>1149</v>
      </c>
      <c r="C39" s="262" t="s">
        <v>110</v>
      </c>
      <c r="D39" s="262" t="s">
        <v>210</v>
      </c>
      <c r="E39" s="262"/>
      <c r="F39" s="179" t="s">
        <v>835</v>
      </c>
      <c r="G39" s="262"/>
      <c r="H39" s="179" t="s">
        <v>211</v>
      </c>
      <c r="I39" s="262" t="s">
        <v>110</v>
      </c>
      <c r="J39" s="306" t="s">
        <v>54</v>
      </c>
      <c r="K39" s="262" t="s">
        <v>9</v>
      </c>
      <c r="L39" s="262">
        <f t="shared" si="4"/>
        <v>8</v>
      </c>
      <c r="M39" s="262" t="str">
        <f t="shared" si="3"/>
        <v>Bespoke compensation likely to be required</v>
      </c>
      <c r="N39" s="262" t="s">
        <v>342</v>
      </c>
      <c r="O39" s="262">
        <f t="shared" si="5"/>
        <v>0.1</v>
      </c>
      <c r="P39" s="262" t="s">
        <v>5</v>
      </c>
      <c r="Q39" s="262">
        <f t="shared" si="6"/>
        <v>0.33</v>
      </c>
      <c r="R39" s="179"/>
      <c r="S39" s="262"/>
    </row>
    <row r="40" spans="1:19" x14ac:dyDescent="0.25">
      <c r="A40" s="298" t="s">
        <v>1161</v>
      </c>
      <c r="B40" s="144" t="s">
        <v>1160</v>
      </c>
      <c r="C40" s="242">
        <v>362</v>
      </c>
      <c r="D40" s="242" t="s">
        <v>173</v>
      </c>
      <c r="E40" s="242"/>
      <c r="F40" s="175" t="s">
        <v>166</v>
      </c>
      <c r="G40" s="242"/>
      <c r="H40" s="175" t="s">
        <v>201</v>
      </c>
      <c r="I40" s="242"/>
      <c r="J40" s="242" t="s">
        <v>1161</v>
      </c>
      <c r="K40" s="242" t="s">
        <v>8</v>
      </c>
      <c r="L40" s="242">
        <f>IF(K40=$V$3,$W$3,IF(K40=$V$3,$W$3,IF(K40=$V$4,$W$4,IF(K40=$V$5,$W$5,IF(K40=$V$6,$W$6,IF(K40=$V$7,$W$7))))))</f>
        <v>2</v>
      </c>
      <c r="M40" s="242" t="str">
        <f>IF($K40=$V$3,$X$3,IF($K40=$V$4,$X$4,IF($K40=$V$5,$X$5,IF($K40=$V$6,$X$6,IF($K40=$V$7,$X$7)))))</f>
        <v>Same distinctiveness or better habitat required</v>
      </c>
      <c r="N40" s="242" t="s">
        <v>8</v>
      </c>
      <c r="O40" s="242">
        <f>VLOOKUP(N40,Difficulty,2,FALSE)</f>
        <v>1</v>
      </c>
      <c r="P40" s="242" t="s">
        <v>5</v>
      </c>
      <c r="Q40" s="242">
        <f>VLOOKUP(P40,Difficulty,2,FALSE)</f>
        <v>0.33</v>
      </c>
      <c r="R40" s="175"/>
      <c r="S40" s="242"/>
    </row>
    <row r="41" spans="1:19" x14ac:dyDescent="0.25">
      <c r="A41" s="298" t="s">
        <v>1268</v>
      </c>
      <c r="B41" s="144" t="s">
        <v>828</v>
      </c>
      <c r="C41" s="242" t="s">
        <v>1384</v>
      </c>
      <c r="D41" s="242" t="s">
        <v>210</v>
      </c>
      <c r="E41" s="242"/>
      <c r="F41" s="175" t="s">
        <v>835</v>
      </c>
      <c r="G41" s="242"/>
      <c r="H41" s="175" t="s">
        <v>211</v>
      </c>
      <c r="I41" s="242"/>
      <c r="J41" s="304"/>
      <c r="K41" s="242" t="s">
        <v>5</v>
      </c>
      <c r="L41" s="242">
        <f t="shared" ref="L41:L46" si="8">IF(K41=$V$3,$W$3,IF(K41=$V$3,$W$3,IF(K41=$V$4,$W$4,IF(K41=$V$5,$W$5,IF(K41=$V$6,$W$6,IF(K41=$V$7,$W$7))))))</f>
        <v>6</v>
      </c>
      <c r="M41" s="242" t="str">
        <f t="shared" si="3"/>
        <v>Same habitat required</v>
      </c>
      <c r="N41" s="242" t="s">
        <v>5</v>
      </c>
      <c r="O41" s="242">
        <f t="shared" si="5"/>
        <v>0.33</v>
      </c>
      <c r="P41" s="242" t="s">
        <v>5</v>
      </c>
      <c r="Q41" s="242">
        <f t="shared" si="6"/>
        <v>0.33</v>
      </c>
      <c r="R41" s="175"/>
      <c r="S41" s="242"/>
    </row>
    <row r="42" spans="1:19" x14ac:dyDescent="0.25">
      <c r="A42" s="298" t="s">
        <v>1269</v>
      </c>
      <c r="B42" s="144" t="s">
        <v>826</v>
      </c>
      <c r="C42" s="242" t="s">
        <v>1385</v>
      </c>
      <c r="D42" s="242" t="s">
        <v>210</v>
      </c>
      <c r="E42" s="242"/>
      <c r="F42" s="175" t="s">
        <v>835</v>
      </c>
      <c r="G42" s="242"/>
      <c r="H42" s="175" t="s">
        <v>211</v>
      </c>
      <c r="I42" s="242"/>
      <c r="J42" s="304"/>
      <c r="K42" s="242" t="s">
        <v>5</v>
      </c>
      <c r="L42" s="242">
        <f t="shared" si="8"/>
        <v>6</v>
      </c>
      <c r="M42" s="242" t="str">
        <f t="shared" si="3"/>
        <v>Same habitat required</v>
      </c>
      <c r="N42" s="242" t="s">
        <v>5</v>
      </c>
      <c r="O42" s="242">
        <f t="shared" si="5"/>
        <v>0.33</v>
      </c>
      <c r="P42" s="242" t="s">
        <v>6</v>
      </c>
      <c r="Q42" s="242">
        <f t="shared" si="6"/>
        <v>0.67</v>
      </c>
      <c r="R42" s="175"/>
      <c r="S42" s="242"/>
    </row>
    <row r="43" spans="1:19" x14ac:dyDescent="0.25">
      <c r="A43" s="298" t="s">
        <v>1270</v>
      </c>
      <c r="B43" s="144" t="s">
        <v>829</v>
      </c>
      <c r="C43" s="242" t="s">
        <v>1386</v>
      </c>
      <c r="D43" s="242" t="s">
        <v>210</v>
      </c>
      <c r="E43" s="242"/>
      <c r="F43" s="175" t="s">
        <v>835</v>
      </c>
      <c r="G43" s="242"/>
      <c r="H43" s="175" t="s">
        <v>211</v>
      </c>
      <c r="I43" s="242"/>
      <c r="J43" s="304"/>
      <c r="K43" s="242" t="s">
        <v>5</v>
      </c>
      <c r="L43" s="242">
        <f t="shared" si="8"/>
        <v>6</v>
      </c>
      <c r="M43" s="242" t="str">
        <f t="shared" si="3"/>
        <v>Same habitat required</v>
      </c>
      <c r="N43" s="242" t="s">
        <v>5</v>
      </c>
      <c r="O43" s="242">
        <f t="shared" si="5"/>
        <v>0.33</v>
      </c>
      <c r="P43" s="242" t="s">
        <v>5</v>
      </c>
      <c r="Q43" s="242">
        <f t="shared" si="6"/>
        <v>0.33</v>
      </c>
      <c r="R43" s="175"/>
      <c r="S43" s="242"/>
    </row>
    <row r="44" spans="1:19" x14ac:dyDescent="0.25">
      <c r="A44" s="298" t="s">
        <v>1271</v>
      </c>
      <c r="B44" s="144" t="s">
        <v>827</v>
      </c>
      <c r="C44" s="242" t="s">
        <v>1387</v>
      </c>
      <c r="D44" s="242" t="s">
        <v>210</v>
      </c>
      <c r="E44" s="242"/>
      <c r="F44" s="175" t="s">
        <v>835</v>
      </c>
      <c r="G44" s="242"/>
      <c r="H44" s="175" t="s">
        <v>211</v>
      </c>
      <c r="I44" s="242"/>
      <c r="J44" s="304"/>
      <c r="K44" s="242" t="s">
        <v>5</v>
      </c>
      <c r="L44" s="242">
        <f t="shared" si="8"/>
        <v>6</v>
      </c>
      <c r="M44" s="242" t="str">
        <f t="shared" si="3"/>
        <v>Same habitat required</v>
      </c>
      <c r="N44" s="242" t="s">
        <v>5</v>
      </c>
      <c r="O44" s="242">
        <f t="shared" si="5"/>
        <v>0.33</v>
      </c>
      <c r="P44" s="242" t="s">
        <v>5</v>
      </c>
      <c r="Q44" s="242">
        <f t="shared" si="6"/>
        <v>0.33</v>
      </c>
      <c r="R44" s="175"/>
      <c r="S44" s="242"/>
    </row>
    <row r="45" spans="1:19" x14ac:dyDescent="0.25">
      <c r="A45" s="298" t="s">
        <v>1272</v>
      </c>
      <c r="B45" s="144" t="s">
        <v>830</v>
      </c>
      <c r="C45" s="242" t="s">
        <v>1388</v>
      </c>
      <c r="D45" s="242" t="s">
        <v>210</v>
      </c>
      <c r="E45" s="242"/>
      <c r="F45" s="175" t="s">
        <v>835</v>
      </c>
      <c r="G45" s="242"/>
      <c r="H45" s="175" t="s">
        <v>211</v>
      </c>
      <c r="I45" s="242"/>
      <c r="J45" s="304"/>
      <c r="K45" s="242" t="s">
        <v>5</v>
      </c>
      <c r="L45" s="242">
        <f t="shared" si="8"/>
        <v>6</v>
      </c>
      <c r="M45" s="242" t="str">
        <f t="shared" si="3"/>
        <v>Same habitat required</v>
      </c>
      <c r="N45" s="242" t="s">
        <v>5</v>
      </c>
      <c r="O45" s="242">
        <f t="shared" si="5"/>
        <v>0.33</v>
      </c>
      <c r="P45" s="242" t="s">
        <v>5</v>
      </c>
      <c r="Q45" s="242">
        <f t="shared" si="6"/>
        <v>0.33</v>
      </c>
      <c r="R45" s="175"/>
      <c r="S45" s="242"/>
    </row>
    <row r="46" spans="1:19" x14ac:dyDescent="0.25">
      <c r="A46" s="298" t="s">
        <v>1273</v>
      </c>
      <c r="B46" s="144" t="s">
        <v>1150</v>
      </c>
      <c r="C46" s="242" t="s">
        <v>1389</v>
      </c>
      <c r="D46" s="242" t="s">
        <v>210</v>
      </c>
      <c r="E46" s="242"/>
      <c r="F46" s="175" t="s">
        <v>835</v>
      </c>
      <c r="G46" s="242"/>
      <c r="H46" s="175" t="s">
        <v>211</v>
      </c>
      <c r="I46" s="242"/>
      <c r="J46" s="304"/>
      <c r="K46" s="242" t="s">
        <v>5</v>
      </c>
      <c r="L46" s="242">
        <f t="shared" si="8"/>
        <v>6</v>
      </c>
      <c r="M46" s="242" t="str">
        <f t="shared" si="3"/>
        <v>Same habitat required</v>
      </c>
      <c r="N46" s="242" t="s">
        <v>6</v>
      </c>
      <c r="O46" s="242">
        <f t="shared" si="5"/>
        <v>0.67</v>
      </c>
      <c r="P46" s="242" t="s">
        <v>6</v>
      </c>
      <c r="Q46" s="242">
        <f t="shared" si="6"/>
        <v>0.67</v>
      </c>
      <c r="R46" s="175"/>
      <c r="S46" s="242"/>
    </row>
    <row r="47" spans="1:19" x14ac:dyDescent="0.25">
      <c r="A47" s="298" t="s">
        <v>1274</v>
      </c>
      <c r="B47" s="144" t="s">
        <v>1151</v>
      </c>
      <c r="C47" s="242" t="s">
        <v>108</v>
      </c>
      <c r="D47" s="242" t="s">
        <v>210</v>
      </c>
      <c r="E47" s="242"/>
      <c r="F47" s="175" t="s">
        <v>835</v>
      </c>
      <c r="G47" s="242"/>
      <c r="H47" s="175" t="s">
        <v>211</v>
      </c>
      <c r="I47" s="242" t="s">
        <v>108</v>
      </c>
      <c r="J47" s="304"/>
      <c r="K47" s="242" t="s">
        <v>6</v>
      </c>
      <c r="L47" s="242">
        <f t="shared" si="4"/>
        <v>4</v>
      </c>
      <c r="M47" s="242" t="str">
        <f t="shared" si="3"/>
        <v>Same broad habitat or a higher distinctiveness habitat required</v>
      </c>
      <c r="N47" s="242" t="s">
        <v>8</v>
      </c>
      <c r="O47" s="242">
        <f t="shared" si="5"/>
        <v>1</v>
      </c>
      <c r="P47" s="242" t="s">
        <v>6</v>
      </c>
      <c r="Q47" s="242">
        <f t="shared" si="6"/>
        <v>0.67</v>
      </c>
      <c r="R47" s="175"/>
      <c r="S47" s="242"/>
    </row>
    <row r="48" spans="1:19" x14ac:dyDescent="0.25">
      <c r="A48" s="298" t="s">
        <v>1275</v>
      </c>
      <c r="B48" s="144" t="s">
        <v>1152</v>
      </c>
      <c r="C48" s="242">
        <v>108</v>
      </c>
      <c r="D48" s="242" t="s">
        <v>210</v>
      </c>
      <c r="E48" s="242"/>
      <c r="F48" s="175" t="s">
        <v>835</v>
      </c>
      <c r="G48" s="242"/>
      <c r="H48" s="175" t="s">
        <v>211</v>
      </c>
      <c r="I48" s="242"/>
      <c r="J48" s="242"/>
      <c r="K48" s="242" t="s">
        <v>6</v>
      </c>
      <c r="L48" s="242">
        <f t="shared" si="4"/>
        <v>4</v>
      </c>
      <c r="M48" s="242" t="str">
        <f t="shared" si="3"/>
        <v>Same broad habitat or a higher distinctiveness habitat required</v>
      </c>
      <c r="N48" s="242" t="s">
        <v>6</v>
      </c>
      <c r="O48" s="242">
        <f t="shared" si="5"/>
        <v>0.67</v>
      </c>
      <c r="P48" s="242" t="s">
        <v>6</v>
      </c>
      <c r="Q48" s="242">
        <f t="shared" si="6"/>
        <v>0.67</v>
      </c>
      <c r="R48" s="175"/>
      <c r="S48" s="242"/>
    </row>
    <row r="49" spans="1:19" ht="14.4" thickBot="1" x14ac:dyDescent="0.3">
      <c r="A49" s="298" t="s">
        <v>1276</v>
      </c>
      <c r="B49" s="302" t="s">
        <v>831</v>
      </c>
      <c r="C49" s="251" t="s">
        <v>109</v>
      </c>
      <c r="D49" s="251" t="s">
        <v>210</v>
      </c>
      <c r="E49" s="251"/>
      <c r="F49" s="194" t="s">
        <v>835</v>
      </c>
      <c r="G49" s="251"/>
      <c r="H49" s="194" t="s">
        <v>211</v>
      </c>
      <c r="I49" s="251" t="s">
        <v>109</v>
      </c>
      <c r="J49" s="305"/>
      <c r="K49" s="251" t="s">
        <v>5</v>
      </c>
      <c r="L49" s="251">
        <f t="shared" si="4"/>
        <v>6</v>
      </c>
      <c r="M49" s="251" t="str">
        <f t="shared" si="3"/>
        <v>Same habitat required</v>
      </c>
      <c r="N49" s="251" t="s">
        <v>6</v>
      </c>
      <c r="O49" s="251">
        <f t="shared" si="5"/>
        <v>0.67</v>
      </c>
      <c r="P49" s="251" t="s">
        <v>6</v>
      </c>
      <c r="Q49" s="251">
        <f t="shared" si="6"/>
        <v>0.67</v>
      </c>
      <c r="R49" s="194"/>
      <c r="S49" s="251"/>
    </row>
    <row r="50" spans="1:19" x14ac:dyDescent="0.25">
      <c r="A50" s="298" t="s">
        <v>51</v>
      </c>
      <c r="B50" s="303" t="s">
        <v>300</v>
      </c>
      <c r="C50" s="262" t="s">
        <v>105</v>
      </c>
      <c r="D50" s="262" t="s">
        <v>210</v>
      </c>
      <c r="E50" s="262"/>
      <c r="F50" s="179" t="s">
        <v>167</v>
      </c>
      <c r="G50" s="262"/>
      <c r="H50" s="179" t="s">
        <v>206</v>
      </c>
      <c r="I50" s="262"/>
      <c r="J50" s="306" t="s">
        <v>51</v>
      </c>
      <c r="K50" s="262" t="s">
        <v>9</v>
      </c>
      <c r="L50" s="262">
        <f t="shared" ref="L50:L77" si="9">IF(K50=$V$3,$W$3,IF(K50=$V$3,$W$3,IF(K50=$V$4,$W$4,IF(K50=$V$5,$W$5,IF(K50=$V$6,$W$6,IF(K50=$V$7,$W$7))))))</f>
        <v>8</v>
      </c>
      <c r="M50" s="262" t="str">
        <f t="shared" si="3"/>
        <v>Bespoke compensation likely to be required</v>
      </c>
      <c r="N50" s="262" t="s">
        <v>342</v>
      </c>
      <c r="O50" s="262">
        <f t="shared" si="5"/>
        <v>0.1</v>
      </c>
      <c r="P50" s="262" t="s">
        <v>6</v>
      </c>
      <c r="Q50" s="262">
        <f t="shared" si="6"/>
        <v>0.67</v>
      </c>
      <c r="R50" s="179"/>
      <c r="S50" s="262"/>
    </row>
    <row r="51" spans="1:19" x14ac:dyDescent="0.25">
      <c r="A51" s="298" t="s">
        <v>1277</v>
      </c>
      <c r="B51" s="144" t="s">
        <v>855</v>
      </c>
      <c r="C51" s="242" t="s">
        <v>1144</v>
      </c>
      <c r="D51" s="242" t="s">
        <v>210</v>
      </c>
      <c r="E51" s="242"/>
      <c r="F51" s="175" t="s">
        <v>167</v>
      </c>
      <c r="G51" s="242"/>
      <c r="H51" s="175" t="s">
        <v>209</v>
      </c>
      <c r="I51" s="242"/>
      <c r="J51" s="242"/>
      <c r="K51" s="242" t="s">
        <v>5</v>
      </c>
      <c r="L51" s="242">
        <f t="shared" si="9"/>
        <v>6</v>
      </c>
      <c r="M51" s="242" t="str">
        <f t="shared" si="3"/>
        <v>Same habitat required</v>
      </c>
      <c r="N51" s="242" t="s">
        <v>342</v>
      </c>
      <c r="O51" s="242">
        <f t="shared" si="5"/>
        <v>0.1</v>
      </c>
      <c r="P51" s="242" t="s">
        <v>6</v>
      </c>
      <c r="Q51" s="242">
        <f t="shared" si="6"/>
        <v>0.67</v>
      </c>
      <c r="R51" s="175"/>
      <c r="S51" s="242"/>
    </row>
    <row r="52" spans="1:19" x14ac:dyDescent="0.25">
      <c r="A52" s="298" t="s">
        <v>1278</v>
      </c>
      <c r="B52" s="144" t="s">
        <v>856</v>
      </c>
      <c r="C52" s="242" t="s">
        <v>1145</v>
      </c>
      <c r="D52" s="242" t="s">
        <v>173</v>
      </c>
      <c r="E52" s="242"/>
      <c r="F52" s="175" t="s">
        <v>167</v>
      </c>
      <c r="G52" s="242"/>
      <c r="H52" s="175" t="s">
        <v>209</v>
      </c>
      <c r="I52" s="242" t="s">
        <v>105</v>
      </c>
      <c r="J52" s="304"/>
      <c r="K52" s="242" t="s">
        <v>5</v>
      </c>
      <c r="L52" s="242">
        <f t="shared" si="9"/>
        <v>6</v>
      </c>
      <c r="M52" s="242" t="str">
        <f t="shared" si="3"/>
        <v>Same habitat required</v>
      </c>
      <c r="N52" s="242" t="s">
        <v>342</v>
      </c>
      <c r="O52" s="242">
        <f t="shared" si="5"/>
        <v>0.1</v>
      </c>
      <c r="P52" s="242" t="s">
        <v>6</v>
      </c>
      <c r="Q52" s="242">
        <f t="shared" si="6"/>
        <v>0.67</v>
      </c>
      <c r="R52" s="175"/>
      <c r="S52" s="242"/>
    </row>
    <row r="53" spans="1:19" x14ac:dyDescent="0.25">
      <c r="A53" s="298" t="s">
        <v>1279</v>
      </c>
      <c r="B53" s="144" t="s">
        <v>1047</v>
      </c>
      <c r="C53" s="242">
        <v>17</v>
      </c>
      <c r="D53" s="242" t="s">
        <v>173</v>
      </c>
      <c r="E53" s="242"/>
      <c r="F53" s="175" t="s">
        <v>167</v>
      </c>
      <c r="G53" s="242"/>
      <c r="H53" s="175"/>
      <c r="I53" s="242"/>
      <c r="J53" s="242" t="s">
        <v>240</v>
      </c>
      <c r="K53" s="242" t="s">
        <v>8</v>
      </c>
      <c r="L53" s="242">
        <f t="shared" si="9"/>
        <v>2</v>
      </c>
      <c r="M53" s="242" t="str">
        <f t="shared" si="3"/>
        <v>Same distinctiveness or better habitat required</v>
      </c>
      <c r="N53" s="242" t="s">
        <v>8</v>
      </c>
      <c r="O53" s="242">
        <f t="shared" si="5"/>
        <v>1</v>
      </c>
      <c r="P53" s="242" t="s">
        <v>6</v>
      </c>
      <c r="Q53" s="242">
        <f t="shared" si="6"/>
        <v>0.67</v>
      </c>
      <c r="R53" s="175" t="s">
        <v>1154</v>
      </c>
      <c r="S53" s="242"/>
    </row>
    <row r="54" spans="1:19" x14ac:dyDescent="0.25">
      <c r="A54" s="298" t="s">
        <v>50</v>
      </c>
      <c r="B54" s="144" t="s">
        <v>298</v>
      </c>
      <c r="C54" s="242" t="s">
        <v>103</v>
      </c>
      <c r="D54" s="242" t="s">
        <v>173</v>
      </c>
      <c r="E54" s="242" t="s">
        <v>204</v>
      </c>
      <c r="F54" s="175" t="s">
        <v>167</v>
      </c>
      <c r="G54" s="242" t="s">
        <v>205</v>
      </c>
      <c r="H54" s="175" t="s">
        <v>206</v>
      </c>
      <c r="I54" s="242" t="s">
        <v>103</v>
      </c>
      <c r="J54" s="304" t="s">
        <v>50</v>
      </c>
      <c r="K54" s="242" t="s">
        <v>5</v>
      </c>
      <c r="L54" s="242">
        <f t="shared" si="9"/>
        <v>6</v>
      </c>
      <c r="M54" s="242" t="str">
        <f t="shared" si="3"/>
        <v>Same habitat required</v>
      </c>
      <c r="N54" s="242" t="s">
        <v>5</v>
      </c>
      <c r="O54" s="242">
        <f t="shared" si="5"/>
        <v>0.33</v>
      </c>
      <c r="P54" s="242" t="s">
        <v>8</v>
      </c>
      <c r="Q54" s="242">
        <f t="shared" si="6"/>
        <v>1</v>
      </c>
      <c r="R54" s="175"/>
      <c r="S54" s="242"/>
    </row>
    <row r="55" spans="1:19" x14ac:dyDescent="0.25">
      <c r="A55" s="298" t="s">
        <v>114</v>
      </c>
      <c r="B55" s="144" t="s">
        <v>299</v>
      </c>
      <c r="C55" s="242" t="s">
        <v>104</v>
      </c>
      <c r="D55" s="242" t="s">
        <v>173</v>
      </c>
      <c r="E55" s="242"/>
      <c r="F55" s="175" t="s">
        <v>167</v>
      </c>
      <c r="G55" s="242"/>
      <c r="H55" s="175" t="s">
        <v>206</v>
      </c>
      <c r="I55" s="242" t="s">
        <v>104</v>
      </c>
      <c r="J55" s="304" t="s">
        <v>114</v>
      </c>
      <c r="K55" s="242" t="s">
        <v>9</v>
      </c>
      <c r="L55" s="242">
        <f t="shared" si="9"/>
        <v>8</v>
      </c>
      <c r="M55" s="242" t="str">
        <f t="shared" si="3"/>
        <v>Bespoke compensation likely to be required</v>
      </c>
      <c r="N55" s="242" t="s">
        <v>342</v>
      </c>
      <c r="O55" s="242">
        <f t="shared" si="5"/>
        <v>0.1</v>
      </c>
      <c r="P55" s="242" t="s">
        <v>6</v>
      </c>
      <c r="Q55" s="242">
        <f t="shared" si="6"/>
        <v>0.67</v>
      </c>
      <c r="R55" s="175"/>
      <c r="S55" s="242"/>
    </row>
    <row r="56" spans="1:19" x14ac:dyDescent="0.25">
      <c r="A56" s="298" t="s">
        <v>53</v>
      </c>
      <c r="B56" s="144" t="s">
        <v>302</v>
      </c>
      <c r="C56" s="242" t="s">
        <v>107</v>
      </c>
      <c r="D56" s="242" t="s">
        <v>173</v>
      </c>
      <c r="E56" s="242"/>
      <c r="F56" s="175" t="s">
        <v>167</v>
      </c>
      <c r="G56" s="242" t="s">
        <v>207</v>
      </c>
      <c r="H56" s="175" t="s">
        <v>208</v>
      </c>
      <c r="I56" s="242" t="s">
        <v>107</v>
      </c>
      <c r="J56" s="304" t="s">
        <v>53</v>
      </c>
      <c r="K56" s="242" t="s">
        <v>5</v>
      </c>
      <c r="L56" s="242">
        <f t="shared" si="9"/>
        <v>6</v>
      </c>
      <c r="M56" s="242" t="str">
        <f t="shared" si="3"/>
        <v>Same habitat required</v>
      </c>
      <c r="N56" s="242" t="s">
        <v>5</v>
      </c>
      <c r="O56" s="242">
        <f t="shared" si="5"/>
        <v>0.33</v>
      </c>
      <c r="P56" s="242" t="s">
        <v>6</v>
      </c>
      <c r="Q56" s="242">
        <f t="shared" si="6"/>
        <v>0.67</v>
      </c>
      <c r="R56" s="175"/>
      <c r="S56" s="242"/>
    </row>
    <row r="57" spans="1:19" ht="14.4" thickBot="1" x14ac:dyDescent="0.3">
      <c r="A57" s="298" t="s">
        <v>52</v>
      </c>
      <c r="B57" s="302" t="s">
        <v>301</v>
      </c>
      <c r="C57" s="251" t="s">
        <v>106</v>
      </c>
      <c r="D57" s="251" t="s">
        <v>173</v>
      </c>
      <c r="E57" s="251"/>
      <c r="F57" s="194" t="s">
        <v>167</v>
      </c>
      <c r="G57" s="251"/>
      <c r="H57" s="194" t="s">
        <v>206</v>
      </c>
      <c r="I57" s="251" t="s">
        <v>106</v>
      </c>
      <c r="J57" s="251" t="s">
        <v>52</v>
      </c>
      <c r="K57" s="251" t="s">
        <v>6</v>
      </c>
      <c r="L57" s="251">
        <f t="shared" si="9"/>
        <v>4</v>
      </c>
      <c r="M57" s="251" t="str">
        <f t="shared" si="3"/>
        <v>Same broad habitat or a higher distinctiveness habitat required</v>
      </c>
      <c r="N57" s="251" t="s">
        <v>6</v>
      </c>
      <c r="O57" s="251">
        <f t="shared" si="5"/>
        <v>0.67</v>
      </c>
      <c r="P57" s="251" t="s">
        <v>6</v>
      </c>
      <c r="Q57" s="251">
        <f t="shared" si="6"/>
        <v>0.67</v>
      </c>
      <c r="R57" s="194"/>
      <c r="S57" s="251"/>
    </row>
    <row r="58" spans="1:19" x14ac:dyDescent="0.25">
      <c r="A58" s="298" t="s">
        <v>223</v>
      </c>
      <c r="B58" s="303" t="s">
        <v>287</v>
      </c>
      <c r="C58" s="262">
        <v>910</v>
      </c>
      <c r="D58" s="262" t="s">
        <v>173</v>
      </c>
      <c r="E58" s="262"/>
      <c r="F58" s="179" t="s">
        <v>166</v>
      </c>
      <c r="G58" s="262"/>
      <c r="H58" s="179" t="s">
        <v>201</v>
      </c>
      <c r="I58" s="262"/>
      <c r="J58" s="262" t="s">
        <v>223</v>
      </c>
      <c r="K58" s="262" t="s">
        <v>8</v>
      </c>
      <c r="L58" s="262">
        <f t="shared" si="9"/>
        <v>2</v>
      </c>
      <c r="M58" s="262" t="str">
        <f t="shared" si="3"/>
        <v>Same distinctiveness or better habitat required</v>
      </c>
      <c r="N58" s="262" t="s">
        <v>8</v>
      </c>
      <c r="O58" s="262">
        <f t="shared" si="5"/>
        <v>1</v>
      </c>
      <c r="P58" s="262" t="s">
        <v>8</v>
      </c>
      <c r="Q58" s="262">
        <f t="shared" si="6"/>
        <v>1</v>
      </c>
      <c r="R58" s="179"/>
      <c r="S58" s="262"/>
    </row>
    <row r="59" spans="1:19" x14ac:dyDescent="0.25">
      <c r="A59" s="298" t="s">
        <v>48</v>
      </c>
      <c r="B59" s="144" t="s">
        <v>281</v>
      </c>
      <c r="C59" s="242" t="s">
        <v>101</v>
      </c>
      <c r="D59" s="242" t="s">
        <v>173</v>
      </c>
      <c r="E59" s="242"/>
      <c r="F59" s="175" t="s">
        <v>166</v>
      </c>
      <c r="G59" s="242"/>
      <c r="H59" s="175" t="s">
        <v>201</v>
      </c>
      <c r="I59" s="242" t="s">
        <v>101</v>
      </c>
      <c r="J59" s="242" t="s">
        <v>48</v>
      </c>
      <c r="K59" s="242" t="s">
        <v>7</v>
      </c>
      <c r="L59" s="242">
        <f t="shared" si="9"/>
        <v>0</v>
      </c>
      <c r="M59" s="242" t="str">
        <f t="shared" si="3"/>
        <v>Compensation Not Required</v>
      </c>
      <c r="N59" s="242" t="s">
        <v>8</v>
      </c>
      <c r="O59" s="242">
        <f t="shared" si="5"/>
        <v>1</v>
      </c>
      <c r="P59" s="242" t="s">
        <v>8</v>
      </c>
      <c r="Q59" s="242">
        <f t="shared" si="6"/>
        <v>1</v>
      </c>
      <c r="R59" s="175"/>
      <c r="S59" s="242"/>
    </row>
    <row r="60" spans="1:19" x14ac:dyDescent="0.25">
      <c r="A60" s="298" t="s">
        <v>233</v>
      </c>
      <c r="B60" s="144" t="s">
        <v>296</v>
      </c>
      <c r="C60" s="242">
        <v>1191</v>
      </c>
      <c r="D60" s="242" t="s">
        <v>173</v>
      </c>
      <c r="E60" s="242"/>
      <c r="F60" s="175" t="s">
        <v>166</v>
      </c>
      <c r="G60" s="242"/>
      <c r="H60" s="175" t="s">
        <v>201</v>
      </c>
      <c r="I60" s="242"/>
      <c r="J60" s="242" t="s">
        <v>233</v>
      </c>
      <c r="K60" s="242" t="s">
        <v>8</v>
      </c>
      <c r="L60" s="242">
        <f t="shared" si="9"/>
        <v>2</v>
      </c>
      <c r="M60" s="242" t="str">
        <f t="shared" si="3"/>
        <v>Same distinctiveness or better habitat required</v>
      </c>
      <c r="N60" s="242" t="s">
        <v>6</v>
      </c>
      <c r="O60" s="242">
        <f t="shared" si="5"/>
        <v>0.67</v>
      </c>
      <c r="P60" s="242" t="s">
        <v>8</v>
      </c>
      <c r="Q60" s="242">
        <f t="shared" si="6"/>
        <v>1</v>
      </c>
      <c r="R60" s="175"/>
      <c r="S60" s="242"/>
    </row>
    <row r="61" spans="1:19" x14ac:dyDescent="0.25">
      <c r="A61" s="298" t="s">
        <v>227</v>
      </c>
      <c r="B61" s="144" t="s">
        <v>291</v>
      </c>
      <c r="C61" s="242">
        <v>1113</v>
      </c>
      <c r="D61" s="242" t="s">
        <v>173</v>
      </c>
      <c r="E61" s="242"/>
      <c r="F61" s="175" t="s">
        <v>166</v>
      </c>
      <c r="G61" s="242"/>
      <c r="H61" s="175" t="s">
        <v>201</v>
      </c>
      <c r="I61" s="242"/>
      <c r="J61" s="242" t="s">
        <v>227</v>
      </c>
      <c r="K61" s="242" t="s">
        <v>6</v>
      </c>
      <c r="L61" s="242">
        <f t="shared" si="9"/>
        <v>4</v>
      </c>
      <c r="M61" s="242" t="str">
        <f t="shared" si="3"/>
        <v>Same broad habitat or a higher distinctiveness habitat required</v>
      </c>
      <c r="N61" s="242" t="s">
        <v>6</v>
      </c>
      <c r="O61" s="242">
        <f t="shared" si="5"/>
        <v>0.67</v>
      </c>
      <c r="P61" s="242" t="s">
        <v>8</v>
      </c>
      <c r="Q61" s="242">
        <f t="shared" si="6"/>
        <v>1</v>
      </c>
      <c r="R61" s="175"/>
      <c r="S61" s="242"/>
    </row>
    <row r="62" spans="1:19" x14ac:dyDescent="0.25">
      <c r="A62" s="298" t="s">
        <v>49</v>
      </c>
      <c r="B62" s="144" t="s">
        <v>282</v>
      </c>
      <c r="C62" s="242" t="s">
        <v>102</v>
      </c>
      <c r="D62" s="242" t="s">
        <v>173</v>
      </c>
      <c r="E62" s="242"/>
      <c r="F62" s="175" t="s">
        <v>166</v>
      </c>
      <c r="G62" s="242"/>
      <c r="H62" s="175" t="s">
        <v>201</v>
      </c>
      <c r="I62" s="242" t="s">
        <v>102</v>
      </c>
      <c r="J62" s="242" t="s">
        <v>49</v>
      </c>
      <c r="K62" s="242" t="s">
        <v>7</v>
      </c>
      <c r="L62" s="242">
        <f t="shared" si="9"/>
        <v>0</v>
      </c>
      <c r="M62" s="242" t="str">
        <f t="shared" si="3"/>
        <v>Compensation Not Required</v>
      </c>
      <c r="N62" s="242" t="s">
        <v>8</v>
      </c>
      <c r="O62" s="242">
        <f t="shared" si="5"/>
        <v>1</v>
      </c>
      <c r="P62" s="242" t="s">
        <v>8</v>
      </c>
      <c r="Q62" s="242">
        <f t="shared" si="6"/>
        <v>1</v>
      </c>
      <c r="R62" s="175"/>
      <c r="S62" s="242"/>
    </row>
    <row r="63" spans="1:19" x14ac:dyDescent="0.25">
      <c r="A63" s="298" t="s">
        <v>222</v>
      </c>
      <c r="B63" s="144" t="s">
        <v>286</v>
      </c>
      <c r="C63" s="242">
        <v>800</v>
      </c>
      <c r="D63" s="242" t="s">
        <v>173</v>
      </c>
      <c r="E63" s="242"/>
      <c r="F63" s="175" t="s">
        <v>166</v>
      </c>
      <c r="G63" s="242"/>
      <c r="H63" s="175" t="s">
        <v>201</v>
      </c>
      <c r="I63" s="242"/>
      <c r="J63" s="242" t="s">
        <v>222</v>
      </c>
      <c r="K63" s="242" t="s">
        <v>6</v>
      </c>
      <c r="L63" s="242">
        <f t="shared" si="9"/>
        <v>4</v>
      </c>
      <c r="M63" s="242" t="str">
        <f t="shared" si="3"/>
        <v>Same broad habitat or a higher distinctiveness habitat required</v>
      </c>
      <c r="N63" s="242" t="s">
        <v>6</v>
      </c>
      <c r="O63" s="242">
        <f t="shared" si="5"/>
        <v>0.67</v>
      </c>
      <c r="P63" s="242" t="s">
        <v>8</v>
      </c>
      <c r="Q63" s="242">
        <f t="shared" si="6"/>
        <v>1</v>
      </c>
      <c r="R63" s="175"/>
      <c r="S63" s="242"/>
    </row>
    <row r="64" spans="1:19" x14ac:dyDescent="0.25">
      <c r="A64" s="298" t="s">
        <v>203</v>
      </c>
      <c r="B64" s="144" t="s">
        <v>280</v>
      </c>
      <c r="C64" s="242" t="s">
        <v>4</v>
      </c>
      <c r="D64" s="242" t="s">
        <v>173</v>
      </c>
      <c r="E64" s="242"/>
      <c r="F64" s="175" t="s">
        <v>166</v>
      </c>
      <c r="G64" s="242"/>
      <c r="H64" s="175" t="s">
        <v>201</v>
      </c>
      <c r="I64" s="242" t="s">
        <v>4</v>
      </c>
      <c r="J64" s="242" t="s">
        <v>203</v>
      </c>
      <c r="K64" s="242" t="s">
        <v>7</v>
      </c>
      <c r="L64" s="242">
        <f t="shared" si="9"/>
        <v>0</v>
      </c>
      <c r="M64" s="242" t="str">
        <f t="shared" si="3"/>
        <v>Compensation Not Required</v>
      </c>
      <c r="N64" s="242" t="s">
        <v>8</v>
      </c>
      <c r="O64" s="242">
        <f t="shared" si="5"/>
        <v>1</v>
      </c>
      <c r="P64" s="242" t="s">
        <v>6</v>
      </c>
      <c r="Q64" s="242">
        <f t="shared" si="6"/>
        <v>0.67</v>
      </c>
      <c r="R64" s="175"/>
      <c r="S64" s="242"/>
    </row>
    <row r="65" spans="1:19" x14ac:dyDescent="0.25">
      <c r="A65" s="298" t="s">
        <v>225</v>
      </c>
      <c r="B65" s="144" t="s">
        <v>289</v>
      </c>
      <c r="C65" s="242">
        <v>1111</v>
      </c>
      <c r="D65" s="242" t="s">
        <v>173</v>
      </c>
      <c r="E65" s="242"/>
      <c r="F65" s="175" t="s">
        <v>166</v>
      </c>
      <c r="G65" s="242"/>
      <c r="H65" s="175" t="s">
        <v>201</v>
      </c>
      <c r="I65" s="242"/>
      <c r="J65" s="242" t="s">
        <v>225</v>
      </c>
      <c r="K65" s="242" t="s">
        <v>8</v>
      </c>
      <c r="L65" s="242">
        <f t="shared" si="9"/>
        <v>2</v>
      </c>
      <c r="M65" s="242" t="str">
        <f t="shared" si="3"/>
        <v>Same distinctiveness or better habitat required</v>
      </c>
      <c r="N65" s="242" t="s">
        <v>8</v>
      </c>
      <c r="O65" s="242">
        <f t="shared" si="5"/>
        <v>1</v>
      </c>
      <c r="P65" s="242" t="s">
        <v>8</v>
      </c>
      <c r="Q65" s="242">
        <f t="shared" si="6"/>
        <v>1</v>
      </c>
      <c r="R65" s="175"/>
      <c r="S65" s="242"/>
    </row>
    <row r="66" spans="1:19" x14ac:dyDescent="0.25">
      <c r="A66" s="298" t="s">
        <v>1480</v>
      </c>
      <c r="B66" s="144" t="s">
        <v>1481</v>
      </c>
      <c r="C66" s="242">
        <v>1122</v>
      </c>
      <c r="D66" s="242" t="s">
        <v>173</v>
      </c>
      <c r="E66" s="242"/>
      <c r="F66" s="175" t="s">
        <v>166</v>
      </c>
      <c r="G66" s="242"/>
      <c r="H66" s="175" t="s">
        <v>201</v>
      </c>
      <c r="I66" s="242"/>
      <c r="J66" s="242" t="s">
        <v>229</v>
      </c>
      <c r="K66" s="242" t="s">
        <v>8</v>
      </c>
      <c r="L66" s="242">
        <f t="shared" si="9"/>
        <v>2</v>
      </c>
      <c r="M66" s="242" t="str">
        <f t="shared" si="3"/>
        <v>Same distinctiveness or better habitat required</v>
      </c>
      <c r="N66" s="242" t="s">
        <v>6</v>
      </c>
      <c r="O66" s="242">
        <f t="shared" ref="O66:O93" si="10">VLOOKUP(N66,Difficulty,2,FALSE)</f>
        <v>0.67</v>
      </c>
      <c r="P66" s="242" t="s">
        <v>6</v>
      </c>
      <c r="Q66" s="242">
        <f t="shared" ref="Q66:Q93" si="11">VLOOKUP(P66,Difficulty,2,FALSE)</f>
        <v>0.67</v>
      </c>
      <c r="R66" s="175"/>
      <c r="S66" s="242"/>
    </row>
    <row r="67" spans="1:19" x14ac:dyDescent="0.25">
      <c r="A67" s="298" t="s">
        <v>228</v>
      </c>
      <c r="B67" s="144" t="s">
        <v>292</v>
      </c>
      <c r="C67" s="242">
        <v>1121</v>
      </c>
      <c r="D67" s="242" t="s">
        <v>173</v>
      </c>
      <c r="E67" s="242"/>
      <c r="F67" s="175" t="s">
        <v>166</v>
      </c>
      <c r="G67" s="242"/>
      <c r="H67" s="175" t="s">
        <v>201</v>
      </c>
      <c r="I67" s="242"/>
      <c r="J67" s="242" t="s">
        <v>228</v>
      </c>
      <c r="K67" s="242" t="s">
        <v>8</v>
      </c>
      <c r="L67" s="242">
        <f t="shared" si="9"/>
        <v>2</v>
      </c>
      <c r="M67" s="242" t="str">
        <f t="shared" si="3"/>
        <v>Same distinctiveness or better habitat required</v>
      </c>
      <c r="N67" s="242" t="s">
        <v>6</v>
      </c>
      <c r="O67" s="242">
        <f t="shared" si="10"/>
        <v>0.67</v>
      </c>
      <c r="P67" s="242" t="s">
        <v>6</v>
      </c>
      <c r="Q67" s="242">
        <f t="shared" si="11"/>
        <v>0.67</v>
      </c>
      <c r="R67" s="175"/>
      <c r="S67" s="242"/>
    </row>
    <row r="68" spans="1:19" x14ac:dyDescent="0.25">
      <c r="A68" s="298" t="s">
        <v>230</v>
      </c>
      <c r="B68" s="144" t="s">
        <v>293</v>
      </c>
      <c r="C68" s="242">
        <v>1140</v>
      </c>
      <c r="D68" s="242" t="s">
        <v>173</v>
      </c>
      <c r="E68" s="242"/>
      <c r="F68" s="175" t="s">
        <v>166</v>
      </c>
      <c r="G68" s="242"/>
      <c r="H68" s="175" t="s">
        <v>201</v>
      </c>
      <c r="I68" s="242"/>
      <c r="J68" s="242" t="s">
        <v>230</v>
      </c>
      <c r="K68" s="242" t="s">
        <v>8</v>
      </c>
      <c r="L68" s="242">
        <f t="shared" si="9"/>
        <v>2</v>
      </c>
      <c r="M68" s="242" t="str">
        <f t="shared" si="3"/>
        <v>Same distinctiveness or better habitat required</v>
      </c>
      <c r="N68" s="242" t="s">
        <v>8</v>
      </c>
      <c r="O68" s="242">
        <f t="shared" si="10"/>
        <v>1</v>
      </c>
      <c r="P68" s="242" t="s">
        <v>8</v>
      </c>
      <c r="Q68" s="242">
        <f t="shared" si="11"/>
        <v>1</v>
      </c>
      <c r="R68" s="175"/>
      <c r="S68" s="242"/>
    </row>
    <row r="69" spans="1:19" x14ac:dyDescent="0.25">
      <c r="A69" s="298" t="s">
        <v>226</v>
      </c>
      <c r="B69" s="144" t="s">
        <v>290</v>
      </c>
      <c r="C69" s="242">
        <v>1112</v>
      </c>
      <c r="D69" s="242" t="s">
        <v>173</v>
      </c>
      <c r="E69" s="242"/>
      <c r="F69" s="175" t="s">
        <v>166</v>
      </c>
      <c r="G69" s="242"/>
      <c r="H69" s="175" t="s">
        <v>201</v>
      </c>
      <c r="I69" s="242"/>
      <c r="J69" s="242" t="s">
        <v>226</v>
      </c>
      <c r="K69" s="242" t="s">
        <v>6</v>
      </c>
      <c r="L69" s="242">
        <f t="shared" si="9"/>
        <v>4</v>
      </c>
      <c r="M69" s="242" t="str">
        <f t="shared" si="3"/>
        <v>Same broad habitat or a higher distinctiveness habitat required</v>
      </c>
      <c r="N69" s="242" t="s">
        <v>6</v>
      </c>
      <c r="O69" s="242">
        <f t="shared" si="10"/>
        <v>0.67</v>
      </c>
      <c r="P69" s="242" t="s">
        <v>6</v>
      </c>
      <c r="Q69" s="242">
        <f t="shared" si="11"/>
        <v>0.67</v>
      </c>
      <c r="R69" s="175"/>
      <c r="S69" s="242"/>
    </row>
    <row r="70" spans="1:19" x14ac:dyDescent="0.25">
      <c r="A70" s="298" t="s">
        <v>231</v>
      </c>
      <c r="B70" s="144" t="s">
        <v>294</v>
      </c>
      <c r="C70" s="242">
        <v>1160</v>
      </c>
      <c r="D70" s="242" t="s">
        <v>173</v>
      </c>
      <c r="E70" s="242"/>
      <c r="F70" s="175" t="s">
        <v>166</v>
      </c>
      <c r="G70" s="242"/>
      <c r="H70" s="175" t="s">
        <v>201</v>
      </c>
      <c r="I70" s="242"/>
      <c r="J70" s="242" t="s">
        <v>231</v>
      </c>
      <c r="K70" s="242" t="s">
        <v>8</v>
      </c>
      <c r="L70" s="242">
        <f t="shared" si="9"/>
        <v>2</v>
      </c>
      <c r="M70" s="242" t="str">
        <f t="shared" si="3"/>
        <v>Same distinctiveness or better habitat required</v>
      </c>
      <c r="N70" s="242" t="s">
        <v>8</v>
      </c>
      <c r="O70" s="242">
        <f t="shared" si="10"/>
        <v>1</v>
      </c>
      <c r="P70" s="242" t="s">
        <v>8</v>
      </c>
      <c r="Q70" s="242">
        <f t="shared" si="11"/>
        <v>1</v>
      </c>
      <c r="R70" s="175"/>
      <c r="S70" s="242"/>
    </row>
    <row r="71" spans="1:19" x14ac:dyDescent="0.25">
      <c r="A71" s="298" t="s">
        <v>202</v>
      </c>
      <c r="B71" s="144" t="s">
        <v>246</v>
      </c>
      <c r="C71" s="242" t="s">
        <v>100</v>
      </c>
      <c r="D71" s="242" t="s">
        <v>173</v>
      </c>
      <c r="E71" s="242" t="s">
        <v>199</v>
      </c>
      <c r="F71" s="175" t="s">
        <v>166</v>
      </c>
      <c r="G71" s="242" t="s">
        <v>200</v>
      </c>
      <c r="H71" s="175" t="s">
        <v>201</v>
      </c>
      <c r="I71" s="242" t="s">
        <v>100</v>
      </c>
      <c r="J71" s="304" t="s">
        <v>202</v>
      </c>
      <c r="K71" s="242" t="s">
        <v>5</v>
      </c>
      <c r="L71" s="242">
        <f t="shared" si="9"/>
        <v>6</v>
      </c>
      <c r="M71" s="242" t="str">
        <f t="shared" si="3"/>
        <v>Same habitat required</v>
      </c>
      <c r="N71" s="242" t="s">
        <v>6</v>
      </c>
      <c r="O71" s="242">
        <f t="shared" si="10"/>
        <v>0.67</v>
      </c>
      <c r="P71" s="242" t="s">
        <v>6</v>
      </c>
      <c r="Q71" s="242">
        <f t="shared" si="11"/>
        <v>0.67</v>
      </c>
      <c r="R71" s="175"/>
      <c r="S71" s="242"/>
    </row>
    <row r="72" spans="1:19" x14ac:dyDescent="0.25">
      <c r="A72" s="298" t="s">
        <v>234</v>
      </c>
      <c r="B72" s="144" t="s">
        <v>297</v>
      </c>
      <c r="C72" s="242">
        <v>1192</v>
      </c>
      <c r="D72" s="242" t="s">
        <v>173</v>
      </c>
      <c r="E72" s="242"/>
      <c r="F72" s="175" t="s">
        <v>166</v>
      </c>
      <c r="G72" s="242"/>
      <c r="H72" s="175" t="s">
        <v>201</v>
      </c>
      <c r="I72" s="242"/>
      <c r="J72" s="242" t="s">
        <v>234</v>
      </c>
      <c r="K72" s="242" t="s">
        <v>8</v>
      </c>
      <c r="L72" s="242">
        <f t="shared" si="9"/>
        <v>2</v>
      </c>
      <c r="M72" s="242" t="str">
        <f t="shared" si="3"/>
        <v>Same distinctiveness or better habitat required</v>
      </c>
      <c r="N72" s="242" t="s">
        <v>8</v>
      </c>
      <c r="O72" s="242">
        <f t="shared" si="10"/>
        <v>1</v>
      </c>
      <c r="P72" s="242" t="s">
        <v>8</v>
      </c>
      <c r="Q72" s="242">
        <f t="shared" si="11"/>
        <v>1</v>
      </c>
      <c r="R72" s="175"/>
      <c r="S72" s="242"/>
    </row>
    <row r="73" spans="1:19" x14ac:dyDescent="0.25">
      <c r="A73" s="298" t="s">
        <v>224</v>
      </c>
      <c r="B73" s="144" t="s">
        <v>288</v>
      </c>
      <c r="C73" s="242">
        <v>1030</v>
      </c>
      <c r="D73" s="242" t="s">
        <v>173</v>
      </c>
      <c r="E73" s="242"/>
      <c r="F73" s="175" t="s">
        <v>166</v>
      </c>
      <c r="G73" s="242"/>
      <c r="H73" s="175" t="s">
        <v>201</v>
      </c>
      <c r="I73" s="242"/>
      <c r="J73" s="242" t="s">
        <v>224</v>
      </c>
      <c r="K73" s="242" t="s">
        <v>8</v>
      </c>
      <c r="L73" s="242">
        <f t="shared" si="9"/>
        <v>2</v>
      </c>
      <c r="M73" s="242" t="str">
        <f t="shared" ref="M73:M127" si="12">IF($K73=$V$3,$X$3,IF($K73=$V$4,$X$4,IF($K73=$V$5,$X$5,IF($K73=$V$6,$X$6,IF($K73=$V$7,$X$7)))))</f>
        <v>Same distinctiveness or better habitat required</v>
      </c>
      <c r="N73" s="242" t="s">
        <v>6</v>
      </c>
      <c r="O73" s="242">
        <f t="shared" si="10"/>
        <v>0.67</v>
      </c>
      <c r="P73" s="242" t="s">
        <v>6</v>
      </c>
      <c r="Q73" s="242">
        <f t="shared" si="11"/>
        <v>0.67</v>
      </c>
      <c r="R73" s="175"/>
      <c r="S73" s="242"/>
    </row>
    <row r="74" spans="1:19" x14ac:dyDescent="0.25">
      <c r="A74" s="298" t="s">
        <v>1280</v>
      </c>
      <c r="B74" s="144" t="s">
        <v>1158</v>
      </c>
      <c r="C74" s="242">
        <v>1170</v>
      </c>
      <c r="D74" s="242" t="s">
        <v>173</v>
      </c>
      <c r="E74" s="242"/>
      <c r="F74" s="175" t="s">
        <v>166</v>
      </c>
      <c r="G74" s="242"/>
      <c r="H74" s="175" t="s">
        <v>201</v>
      </c>
      <c r="I74" s="242"/>
      <c r="J74" s="242" t="s">
        <v>371</v>
      </c>
      <c r="K74" s="242" t="s">
        <v>6</v>
      </c>
      <c r="L74" s="242">
        <f t="shared" si="9"/>
        <v>4</v>
      </c>
      <c r="M74" s="242" t="str">
        <f t="shared" si="12"/>
        <v>Same broad habitat or a higher distinctiveness habitat required</v>
      </c>
      <c r="N74" s="242" t="s">
        <v>8</v>
      </c>
      <c r="O74" s="242">
        <f t="shared" si="10"/>
        <v>1</v>
      </c>
      <c r="P74" s="242" t="s">
        <v>8</v>
      </c>
      <c r="Q74" s="242">
        <f t="shared" si="11"/>
        <v>1</v>
      </c>
      <c r="R74" s="175"/>
      <c r="S74" s="242"/>
    </row>
    <row r="75" spans="1:19" x14ac:dyDescent="0.25">
      <c r="A75" s="298" t="s">
        <v>232</v>
      </c>
      <c r="B75" s="144" t="s">
        <v>295</v>
      </c>
      <c r="C75" s="242">
        <v>1119</v>
      </c>
      <c r="D75" s="242" t="s">
        <v>173</v>
      </c>
      <c r="E75" s="242"/>
      <c r="F75" s="175" t="s">
        <v>166</v>
      </c>
      <c r="G75" s="242"/>
      <c r="H75" s="175" t="s">
        <v>201</v>
      </c>
      <c r="I75" s="242"/>
      <c r="J75" s="242" t="s">
        <v>232</v>
      </c>
      <c r="K75" s="242" t="s">
        <v>8</v>
      </c>
      <c r="L75" s="242">
        <f t="shared" si="9"/>
        <v>2</v>
      </c>
      <c r="M75" s="242" t="str">
        <f t="shared" si="12"/>
        <v>Same distinctiveness or better habitat required</v>
      </c>
      <c r="N75" s="242" t="s">
        <v>6</v>
      </c>
      <c r="O75" s="242">
        <f t="shared" si="10"/>
        <v>0.67</v>
      </c>
      <c r="P75" s="242" t="s">
        <v>6</v>
      </c>
      <c r="Q75" s="242">
        <f t="shared" si="11"/>
        <v>0.67</v>
      </c>
      <c r="R75" s="175"/>
      <c r="S75" s="242"/>
    </row>
    <row r="76" spans="1:19" x14ac:dyDescent="0.25">
      <c r="A76" s="298" t="s">
        <v>221</v>
      </c>
      <c r="B76" s="144" t="s">
        <v>284</v>
      </c>
      <c r="C76" s="242">
        <v>232</v>
      </c>
      <c r="D76" s="242" t="s">
        <v>173</v>
      </c>
      <c r="E76" s="242"/>
      <c r="F76" s="175" t="s">
        <v>166</v>
      </c>
      <c r="G76" s="242"/>
      <c r="H76" s="175" t="s">
        <v>201</v>
      </c>
      <c r="I76" s="242"/>
      <c r="J76" s="242" t="s">
        <v>221</v>
      </c>
      <c r="K76" s="242" t="s">
        <v>7</v>
      </c>
      <c r="L76" s="242">
        <f t="shared" si="9"/>
        <v>0</v>
      </c>
      <c r="M76" s="242" t="str">
        <f t="shared" si="12"/>
        <v>Compensation Not Required</v>
      </c>
      <c r="N76" s="242" t="s">
        <v>8</v>
      </c>
      <c r="O76" s="242">
        <f t="shared" si="10"/>
        <v>1</v>
      </c>
      <c r="P76" s="242" t="s">
        <v>8</v>
      </c>
      <c r="Q76" s="242">
        <f t="shared" si="11"/>
        <v>1</v>
      </c>
      <c r="R76" s="175"/>
      <c r="S76" s="242"/>
    </row>
    <row r="77" spans="1:19" x14ac:dyDescent="0.25">
      <c r="A77" s="298" t="s">
        <v>235</v>
      </c>
      <c r="B77" s="144" t="s">
        <v>285</v>
      </c>
      <c r="C77" s="242">
        <v>350</v>
      </c>
      <c r="D77" s="242" t="s">
        <v>173</v>
      </c>
      <c r="E77" s="242"/>
      <c r="F77" s="175" t="s">
        <v>166</v>
      </c>
      <c r="G77" s="242"/>
      <c r="H77" s="175" t="s">
        <v>201</v>
      </c>
      <c r="I77" s="242"/>
      <c r="J77" s="242" t="s">
        <v>235</v>
      </c>
      <c r="K77" s="242" t="s">
        <v>8</v>
      </c>
      <c r="L77" s="242">
        <f t="shared" si="9"/>
        <v>2</v>
      </c>
      <c r="M77" s="242" t="str">
        <f t="shared" si="12"/>
        <v>Same distinctiveness or better habitat required</v>
      </c>
      <c r="N77" s="242" t="s">
        <v>8</v>
      </c>
      <c r="O77" s="242">
        <f t="shared" si="10"/>
        <v>1</v>
      </c>
      <c r="P77" s="242" t="s">
        <v>8</v>
      </c>
      <c r="Q77" s="242">
        <f t="shared" si="11"/>
        <v>1</v>
      </c>
      <c r="R77" s="175" t="s">
        <v>1155</v>
      </c>
      <c r="S77" s="242"/>
    </row>
    <row r="78" spans="1:19" ht="14.4" thickBot="1" x14ac:dyDescent="0.3">
      <c r="A78" s="298" t="s">
        <v>220</v>
      </c>
      <c r="B78" s="302" t="s">
        <v>283</v>
      </c>
      <c r="C78" s="251">
        <v>231</v>
      </c>
      <c r="D78" s="251" t="s">
        <v>173</v>
      </c>
      <c r="E78" s="251"/>
      <c r="F78" s="194" t="s">
        <v>166</v>
      </c>
      <c r="G78" s="251"/>
      <c r="H78" s="194" t="s">
        <v>201</v>
      </c>
      <c r="I78" s="251"/>
      <c r="J78" s="251" t="s">
        <v>220</v>
      </c>
      <c r="K78" s="251" t="s">
        <v>8</v>
      </c>
      <c r="L78" s="251">
        <f t="shared" ref="L78:L99" si="13">IF(K78=$V$3,$W$3,IF(K78=$V$3,$W$3,IF(K78=$V$4,$W$4,IF(K78=$V$5,$W$5,IF(K78=$V$6,$W$6,IF(K78=$V$7,$W$7))))))</f>
        <v>2</v>
      </c>
      <c r="M78" s="251" t="str">
        <f t="shared" si="12"/>
        <v>Same distinctiveness or better habitat required</v>
      </c>
      <c r="N78" s="251" t="s">
        <v>8</v>
      </c>
      <c r="O78" s="251">
        <f t="shared" si="10"/>
        <v>1</v>
      </c>
      <c r="P78" s="251" t="s">
        <v>8</v>
      </c>
      <c r="Q78" s="251">
        <f t="shared" si="11"/>
        <v>1</v>
      </c>
      <c r="R78" s="194"/>
      <c r="S78" s="251"/>
    </row>
    <row r="79" spans="1:19" x14ac:dyDescent="0.25">
      <c r="A79" s="298" t="s">
        <v>39</v>
      </c>
      <c r="B79" s="303" t="s">
        <v>272</v>
      </c>
      <c r="C79" s="262" t="s">
        <v>88</v>
      </c>
      <c r="D79" s="262" t="s">
        <v>173</v>
      </c>
      <c r="E79" s="262"/>
      <c r="F79" s="179" t="s">
        <v>137</v>
      </c>
      <c r="G79" s="262"/>
      <c r="H79" s="179" t="s">
        <v>136</v>
      </c>
      <c r="I79" s="262" t="s">
        <v>88</v>
      </c>
      <c r="J79" s="306" t="s">
        <v>39</v>
      </c>
      <c r="K79" s="262" t="s">
        <v>9</v>
      </c>
      <c r="L79" s="262">
        <f t="shared" si="13"/>
        <v>8</v>
      </c>
      <c r="M79" s="262" t="str">
        <f t="shared" si="12"/>
        <v>Bespoke compensation likely to be required</v>
      </c>
      <c r="N79" s="262" t="s">
        <v>342</v>
      </c>
      <c r="O79" s="262">
        <f t="shared" si="10"/>
        <v>0.1</v>
      </c>
      <c r="P79" s="262" t="s">
        <v>5</v>
      </c>
      <c r="Q79" s="262">
        <f t="shared" si="11"/>
        <v>0.33</v>
      </c>
      <c r="R79" s="179"/>
      <c r="S79" s="262"/>
    </row>
    <row r="80" spans="1:19" x14ac:dyDescent="0.25">
      <c r="A80" s="298" t="s">
        <v>859</v>
      </c>
      <c r="B80" s="144" t="s">
        <v>858</v>
      </c>
      <c r="C80" s="242">
        <v>24</v>
      </c>
      <c r="D80" s="242" t="s">
        <v>173</v>
      </c>
      <c r="E80" s="242" t="s">
        <v>190</v>
      </c>
      <c r="F80" s="175" t="s">
        <v>137</v>
      </c>
      <c r="G80" s="242" t="s">
        <v>191</v>
      </c>
      <c r="H80" s="175" t="s">
        <v>136</v>
      </c>
      <c r="I80" s="242"/>
      <c r="J80" s="307" t="s">
        <v>859</v>
      </c>
      <c r="K80" s="242" t="s">
        <v>9</v>
      </c>
      <c r="L80" s="242">
        <f t="shared" si="13"/>
        <v>8</v>
      </c>
      <c r="M80" s="242" t="str">
        <f t="shared" si="12"/>
        <v>Bespoke compensation likely to be required</v>
      </c>
      <c r="N80" s="242" t="s">
        <v>342</v>
      </c>
      <c r="O80" s="242">
        <f t="shared" si="10"/>
        <v>0.1</v>
      </c>
      <c r="P80" s="242" t="s">
        <v>5</v>
      </c>
      <c r="Q80" s="242">
        <f t="shared" si="11"/>
        <v>0.33</v>
      </c>
      <c r="R80" s="175"/>
      <c r="S80" s="242"/>
    </row>
    <row r="81" spans="1:19" x14ac:dyDescent="0.25">
      <c r="A81" s="298" t="s">
        <v>1281</v>
      </c>
      <c r="B81" s="144" t="s">
        <v>852</v>
      </c>
      <c r="C81" s="242" t="s">
        <v>90</v>
      </c>
      <c r="D81" s="242" t="s">
        <v>173</v>
      </c>
      <c r="E81" s="242"/>
      <c r="F81" s="175" t="s">
        <v>137</v>
      </c>
      <c r="G81" s="242" t="s">
        <v>192</v>
      </c>
      <c r="H81" s="175" t="s">
        <v>193</v>
      </c>
      <c r="I81" s="242" t="s">
        <v>90</v>
      </c>
      <c r="J81" s="304" t="s">
        <v>41</v>
      </c>
      <c r="K81" s="242" t="s">
        <v>9</v>
      </c>
      <c r="L81" s="242">
        <f t="shared" si="13"/>
        <v>8</v>
      </c>
      <c r="M81" s="242" t="str">
        <f t="shared" si="12"/>
        <v>Bespoke compensation likely to be required</v>
      </c>
      <c r="N81" s="242" t="s">
        <v>5</v>
      </c>
      <c r="O81" s="242">
        <f t="shared" si="10"/>
        <v>0.33</v>
      </c>
      <c r="P81" s="242" t="s">
        <v>5</v>
      </c>
      <c r="Q81" s="242">
        <f t="shared" si="11"/>
        <v>0.33</v>
      </c>
      <c r="R81" s="175"/>
      <c r="S81" s="242"/>
    </row>
    <row r="82" spans="1:19" x14ac:dyDescent="0.25">
      <c r="A82" s="298" t="s">
        <v>40</v>
      </c>
      <c r="B82" s="144" t="s">
        <v>273</v>
      </c>
      <c r="C82" s="242" t="s">
        <v>89</v>
      </c>
      <c r="D82" s="242" t="s">
        <v>173</v>
      </c>
      <c r="E82" s="242"/>
      <c r="F82" s="175" t="s">
        <v>137</v>
      </c>
      <c r="G82" s="242"/>
      <c r="H82" s="175" t="s">
        <v>136</v>
      </c>
      <c r="I82" s="242" t="s">
        <v>89</v>
      </c>
      <c r="J82" s="304" t="s">
        <v>40</v>
      </c>
      <c r="K82" s="242" t="s">
        <v>9</v>
      </c>
      <c r="L82" s="242">
        <f t="shared" si="13"/>
        <v>8</v>
      </c>
      <c r="M82" s="242" t="str">
        <f t="shared" si="12"/>
        <v>Bespoke compensation likely to be required</v>
      </c>
      <c r="N82" s="242" t="s">
        <v>342</v>
      </c>
      <c r="O82" s="242">
        <f t="shared" si="10"/>
        <v>0.1</v>
      </c>
      <c r="P82" s="242" t="s">
        <v>5</v>
      </c>
      <c r="Q82" s="242">
        <f t="shared" si="11"/>
        <v>0.33</v>
      </c>
      <c r="R82" s="175"/>
      <c r="S82" s="242"/>
    </row>
    <row r="83" spans="1:19" x14ac:dyDescent="0.25">
      <c r="A83" s="298" t="s">
        <v>860</v>
      </c>
      <c r="B83" s="144" t="s">
        <v>1477</v>
      </c>
      <c r="C83" s="242" t="s">
        <v>93</v>
      </c>
      <c r="D83" s="242" t="s">
        <v>173</v>
      </c>
      <c r="E83" s="242"/>
      <c r="F83" s="175" t="s">
        <v>137</v>
      </c>
      <c r="G83" s="242"/>
      <c r="H83" s="175" t="s">
        <v>193</v>
      </c>
      <c r="I83" s="242" t="s">
        <v>93</v>
      </c>
      <c r="J83" s="242" t="s">
        <v>860</v>
      </c>
      <c r="K83" s="242" t="s">
        <v>9</v>
      </c>
      <c r="L83" s="242">
        <f t="shared" si="13"/>
        <v>8</v>
      </c>
      <c r="M83" s="242" t="str">
        <f t="shared" si="12"/>
        <v>Bespoke compensation likely to be required</v>
      </c>
      <c r="N83" s="242" t="s">
        <v>342</v>
      </c>
      <c r="O83" s="242">
        <f t="shared" si="10"/>
        <v>0.1</v>
      </c>
      <c r="P83" s="242" t="s">
        <v>5</v>
      </c>
      <c r="Q83" s="242">
        <f t="shared" si="11"/>
        <v>0.33</v>
      </c>
      <c r="R83" s="175"/>
      <c r="S83" s="242"/>
    </row>
    <row r="84" spans="1:19" x14ac:dyDescent="0.25">
      <c r="A84" s="298" t="s">
        <v>194</v>
      </c>
      <c r="B84" s="144" t="s">
        <v>274</v>
      </c>
      <c r="C84" s="242" t="s">
        <v>91</v>
      </c>
      <c r="D84" s="242" t="s">
        <v>173</v>
      </c>
      <c r="E84" s="242"/>
      <c r="F84" s="175" t="s">
        <v>137</v>
      </c>
      <c r="G84" s="242"/>
      <c r="H84" s="175" t="s">
        <v>193</v>
      </c>
      <c r="I84" s="242" t="s">
        <v>91</v>
      </c>
      <c r="J84" s="304" t="s">
        <v>194</v>
      </c>
      <c r="K84" s="242" t="s">
        <v>9</v>
      </c>
      <c r="L84" s="242">
        <f t="shared" si="13"/>
        <v>8</v>
      </c>
      <c r="M84" s="242" t="str">
        <f t="shared" si="12"/>
        <v>Bespoke compensation likely to be required</v>
      </c>
      <c r="N84" s="242" t="s">
        <v>5</v>
      </c>
      <c r="O84" s="242">
        <f t="shared" si="10"/>
        <v>0.33</v>
      </c>
      <c r="P84" s="242" t="s">
        <v>5</v>
      </c>
      <c r="Q84" s="242">
        <f t="shared" si="11"/>
        <v>0.33</v>
      </c>
      <c r="R84" s="175"/>
      <c r="S84" s="242"/>
    </row>
    <row r="85" spans="1:19" x14ac:dyDescent="0.25">
      <c r="A85" s="298" t="s">
        <v>42</v>
      </c>
      <c r="B85" s="144" t="s">
        <v>159</v>
      </c>
      <c r="C85" s="242" t="s">
        <v>92</v>
      </c>
      <c r="D85" s="242" t="s">
        <v>173</v>
      </c>
      <c r="E85" s="242"/>
      <c r="F85" s="175" t="s">
        <v>137</v>
      </c>
      <c r="G85" s="242"/>
      <c r="H85" s="175" t="s">
        <v>193</v>
      </c>
      <c r="I85" s="242" t="s">
        <v>92</v>
      </c>
      <c r="J85" s="304" t="s">
        <v>42</v>
      </c>
      <c r="K85" s="242" t="s">
        <v>5</v>
      </c>
      <c r="L85" s="242">
        <f t="shared" si="13"/>
        <v>6</v>
      </c>
      <c r="M85" s="242" t="str">
        <f t="shared" si="12"/>
        <v>Same habitat required</v>
      </c>
      <c r="N85" s="242" t="s">
        <v>6</v>
      </c>
      <c r="O85" s="242">
        <f t="shared" si="10"/>
        <v>0.67</v>
      </c>
      <c r="P85" s="242" t="s">
        <v>6</v>
      </c>
      <c r="Q85" s="242">
        <f t="shared" si="11"/>
        <v>0.67</v>
      </c>
      <c r="R85" s="175"/>
      <c r="S85" s="242"/>
    </row>
    <row r="86" spans="1:19" ht="14.4" thickBot="1" x14ac:dyDescent="0.3">
      <c r="A86" s="298" t="s">
        <v>1282</v>
      </c>
      <c r="B86" s="302" t="s">
        <v>861</v>
      </c>
      <c r="C86" s="308" t="s">
        <v>1146</v>
      </c>
      <c r="D86" s="251" t="s">
        <v>173</v>
      </c>
      <c r="E86" s="251"/>
      <c r="F86" s="194" t="s">
        <v>137</v>
      </c>
      <c r="G86" s="251"/>
      <c r="H86" s="194" t="s">
        <v>193</v>
      </c>
      <c r="I86" s="251"/>
      <c r="J86" s="309" t="s">
        <v>861</v>
      </c>
      <c r="K86" s="251" t="s">
        <v>9</v>
      </c>
      <c r="L86" s="251">
        <f t="shared" si="13"/>
        <v>8</v>
      </c>
      <c r="M86" s="251" t="str">
        <f t="shared" si="12"/>
        <v>Bespoke compensation likely to be required</v>
      </c>
      <c r="N86" s="251" t="s">
        <v>342</v>
      </c>
      <c r="O86" s="251">
        <f t="shared" si="10"/>
        <v>0.1</v>
      </c>
      <c r="P86" s="251" t="s">
        <v>5</v>
      </c>
      <c r="Q86" s="251">
        <f t="shared" si="11"/>
        <v>0.33</v>
      </c>
      <c r="R86" s="194"/>
      <c r="S86" s="251"/>
    </row>
    <row r="87" spans="1:19" x14ac:dyDescent="0.25">
      <c r="A87" s="298" t="s">
        <v>238</v>
      </c>
      <c r="B87" s="303" t="s">
        <v>247</v>
      </c>
      <c r="C87" s="262">
        <v>53</v>
      </c>
      <c r="D87" s="262" t="s">
        <v>173</v>
      </c>
      <c r="E87" s="262"/>
      <c r="F87" s="179" t="s">
        <v>163</v>
      </c>
      <c r="G87" s="262"/>
      <c r="H87" s="179" t="s">
        <v>239</v>
      </c>
      <c r="I87" s="262"/>
      <c r="J87" s="262" t="s">
        <v>238</v>
      </c>
      <c r="K87" s="262" t="s">
        <v>5</v>
      </c>
      <c r="L87" s="262">
        <f t="shared" si="13"/>
        <v>6</v>
      </c>
      <c r="M87" s="262" t="str">
        <f t="shared" si="12"/>
        <v>Same habitat required</v>
      </c>
      <c r="N87" s="262" t="s">
        <v>8</v>
      </c>
      <c r="O87" s="262">
        <f t="shared" si="10"/>
        <v>1</v>
      </c>
      <c r="P87" s="262" t="s">
        <v>8</v>
      </c>
      <c r="Q87" s="262">
        <f t="shared" si="11"/>
        <v>1</v>
      </c>
      <c r="R87" s="179"/>
      <c r="S87" s="262"/>
    </row>
    <row r="88" spans="1:19" x14ac:dyDescent="0.25">
      <c r="A88" s="298" t="s">
        <v>20</v>
      </c>
      <c r="B88" s="144" t="s">
        <v>253</v>
      </c>
      <c r="C88" s="242" t="s">
        <v>68</v>
      </c>
      <c r="D88" s="242" t="s">
        <v>173</v>
      </c>
      <c r="E88" s="242"/>
      <c r="F88" s="175" t="s">
        <v>163</v>
      </c>
      <c r="G88" s="242"/>
      <c r="H88" s="175" t="s">
        <v>181</v>
      </c>
      <c r="I88" s="242" t="s">
        <v>68</v>
      </c>
      <c r="J88" s="304" t="s">
        <v>20</v>
      </c>
      <c r="K88" s="242" t="s">
        <v>5</v>
      </c>
      <c r="L88" s="242">
        <f t="shared" si="13"/>
        <v>6</v>
      </c>
      <c r="M88" s="242" t="str">
        <f t="shared" si="12"/>
        <v>Same habitat required</v>
      </c>
      <c r="N88" s="242" t="s">
        <v>5</v>
      </c>
      <c r="O88" s="242">
        <f t="shared" si="10"/>
        <v>0.33</v>
      </c>
      <c r="P88" s="242" t="s">
        <v>5</v>
      </c>
      <c r="Q88" s="242">
        <f t="shared" si="11"/>
        <v>0.33</v>
      </c>
      <c r="R88" s="175"/>
      <c r="S88" s="242"/>
    </row>
    <row r="89" spans="1:19" x14ac:dyDescent="0.25">
      <c r="A89" s="298" t="s">
        <v>23</v>
      </c>
      <c r="B89" s="144" t="s">
        <v>256</v>
      </c>
      <c r="C89" s="242" t="s">
        <v>71</v>
      </c>
      <c r="D89" s="242" t="s">
        <v>173</v>
      </c>
      <c r="E89" s="242"/>
      <c r="F89" s="175" t="s">
        <v>163</v>
      </c>
      <c r="G89" s="242"/>
      <c r="H89" s="175" t="s">
        <v>181</v>
      </c>
      <c r="I89" s="242" t="s">
        <v>71</v>
      </c>
      <c r="J89" s="304" t="s">
        <v>23</v>
      </c>
      <c r="K89" s="242" t="s">
        <v>5</v>
      </c>
      <c r="L89" s="242">
        <f t="shared" si="13"/>
        <v>6</v>
      </c>
      <c r="M89" s="242" t="str">
        <f t="shared" si="12"/>
        <v>Same habitat required</v>
      </c>
      <c r="N89" s="242" t="s">
        <v>5</v>
      </c>
      <c r="O89" s="242">
        <f t="shared" si="10"/>
        <v>0.33</v>
      </c>
      <c r="P89" s="242" t="s">
        <v>5</v>
      </c>
      <c r="Q89" s="242">
        <f t="shared" si="11"/>
        <v>0.33</v>
      </c>
      <c r="R89" s="175"/>
      <c r="S89" s="242"/>
    </row>
    <row r="90" spans="1:19" x14ac:dyDescent="0.25">
      <c r="A90" s="298" t="s">
        <v>25</v>
      </c>
      <c r="B90" s="144" t="s">
        <v>259</v>
      </c>
      <c r="C90" s="242" t="s">
        <v>74</v>
      </c>
      <c r="D90" s="242" t="s">
        <v>173</v>
      </c>
      <c r="E90" s="242"/>
      <c r="F90" s="175" t="s">
        <v>163</v>
      </c>
      <c r="G90" s="242" t="s">
        <v>183</v>
      </c>
      <c r="H90" s="175" t="s">
        <v>184</v>
      </c>
      <c r="I90" s="242" t="s">
        <v>74</v>
      </c>
      <c r="J90" s="304" t="s">
        <v>25</v>
      </c>
      <c r="K90" s="242" t="s">
        <v>5</v>
      </c>
      <c r="L90" s="242">
        <f t="shared" si="13"/>
        <v>6</v>
      </c>
      <c r="M90" s="242" t="str">
        <f t="shared" si="12"/>
        <v>Same habitat required</v>
      </c>
      <c r="N90" s="242" t="s">
        <v>5</v>
      </c>
      <c r="O90" s="242">
        <f t="shared" si="10"/>
        <v>0.33</v>
      </c>
      <c r="P90" s="242" t="s">
        <v>5</v>
      </c>
      <c r="Q90" s="242">
        <f t="shared" si="11"/>
        <v>0.33</v>
      </c>
      <c r="R90" s="175"/>
      <c r="S90" s="242"/>
    </row>
    <row r="91" spans="1:19" x14ac:dyDescent="0.25">
      <c r="A91" s="298" t="s">
        <v>27</v>
      </c>
      <c r="B91" s="144" t="s">
        <v>245</v>
      </c>
      <c r="C91" s="242" t="s">
        <v>76</v>
      </c>
      <c r="D91" s="242" t="s">
        <v>173</v>
      </c>
      <c r="E91" s="242"/>
      <c r="F91" s="175" t="s">
        <v>163</v>
      </c>
      <c r="G91" s="242"/>
      <c r="H91" s="175" t="s">
        <v>184</v>
      </c>
      <c r="I91" s="242" t="s">
        <v>76</v>
      </c>
      <c r="J91" s="242" t="s">
        <v>27</v>
      </c>
      <c r="K91" s="242" t="s">
        <v>8</v>
      </c>
      <c r="L91" s="242">
        <f t="shared" si="13"/>
        <v>2</v>
      </c>
      <c r="M91" s="242" t="str">
        <f t="shared" si="12"/>
        <v>Same distinctiveness or better habitat required</v>
      </c>
      <c r="N91" s="242" t="s">
        <v>8</v>
      </c>
      <c r="O91" s="242">
        <f t="shared" si="10"/>
        <v>1</v>
      </c>
      <c r="P91" s="242" t="s">
        <v>8</v>
      </c>
      <c r="Q91" s="242">
        <f t="shared" si="11"/>
        <v>1</v>
      </c>
      <c r="R91" s="175"/>
      <c r="S91" s="242"/>
    </row>
    <row r="92" spans="1:19" x14ac:dyDescent="0.25">
      <c r="A92" s="298" t="s">
        <v>26</v>
      </c>
      <c r="B92" s="144" t="s">
        <v>260</v>
      </c>
      <c r="C92" s="242" t="s">
        <v>75</v>
      </c>
      <c r="D92" s="242" t="s">
        <v>173</v>
      </c>
      <c r="E92" s="242"/>
      <c r="F92" s="175" t="s">
        <v>163</v>
      </c>
      <c r="G92" s="242"/>
      <c r="H92" s="175" t="s">
        <v>184</v>
      </c>
      <c r="I92" s="242" t="s">
        <v>75</v>
      </c>
      <c r="J92" s="242" t="s">
        <v>26</v>
      </c>
      <c r="K92" s="242" t="s">
        <v>6</v>
      </c>
      <c r="L92" s="242">
        <f t="shared" si="13"/>
        <v>4</v>
      </c>
      <c r="M92" s="242" t="str">
        <f t="shared" si="12"/>
        <v>Same broad habitat or a higher distinctiveness habitat required</v>
      </c>
      <c r="N92" s="242" t="s">
        <v>6</v>
      </c>
      <c r="O92" s="242">
        <f t="shared" si="10"/>
        <v>0.67</v>
      </c>
      <c r="P92" s="242" t="s">
        <v>6</v>
      </c>
      <c r="Q92" s="242">
        <f t="shared" si="11"/>
        <v>0.67</v>
      </c>
      <c r="R92" s="175"/>
      <c r="S92" s="242"/>
    </row>
    <row r="93" spans="1:19" x14ac:dyDescent="0.25">
      <c r="A93" s="298" t="s">
        <v>24</v>
      </c>
      <c r="B93" s="144" t="s">
        <v>257</v>
      </c>
      <c r="C93" s="242" t="s">
        <v>72</v>
      </c>
      <c r="D93" s="242" t="s">
        <v>173</v>
      </c>
      <c r="E93" s="242"/>
      <c r="F93" s="175" t="s">
        <v>163</v>
      </c>
      <c r="G93" s="242"/>
      <c r="H93" s="175" t="s">
        <v>181</v>
      </c>
      <c r="I93" s="242" t="s">
        <v>72</v>
      </c>
      <c r="J93" s="242" t="s">
        <v>24</v>
      </c>
      <c r="K93" s="242" t="s">
        <v>6</v>
      </c>
      <c r="L93" s="242">
        <f t="shared" si="13"/>
        <v>4</v>
      </c>
      <c r="M93" s="242" t="str">
        <f t="shared" si="12"/>
        <v>Same broad habitat or a higher distinctiveness habitat required</v>
      </c>
      <c r="N93" s="242" t="s">
        <v>8</v>
      </c>
      <c r="O93" s="242">
        <f t="shared" si="10"/>
        <v>1</v>
      </c>
      <c r="P93" s="242" t="s">
        <v>8</v>
      </c>
      <c r="Q93" s="242">
        <f t="shared" si="11"/>
        <v>1</v>
      </c>
      <c r="R93" s="175"/>
      <c r="S93" s="242"/>
    </row>
    <row r="94" spans="1:19" x14ac:dyDescent="0.25">
      <c r="A94" s="298" t="s">
        <v>182</v>
      </c>
      <c r="B94" s="144" t="s">
        <v>258</v>
      </c>
      <c r="C94" s="242" t="s">
        <v>73</v>
      </c>
      <c r="D94" s="242" t="s">
        <v>173</v>
      </c>
      <c r="E94" s="242"/>
      <c r="F94" s="175" t="s">
        <v>163</v>
      </c>
      <c r="G94" s="242"/>
      <c r="H94" s="175" t="s">
        <v>181</v>
      </c>
      <c r="I94" s="242" t="s">
        <v>73</v>
      </c>
      <c r="J94" s="242" t="s">
        <v>182</v>
      </c>
      <c r="K94" s="242" t="s">
        <v>6</v>
      </c>
      <c r="L94" s="242">
        <f t="shared" si="13"/>
        <v>4</v>
      </c>
      <c r="M94" s="242" t="str">
        <f t="shared" si="12"/>
        <v>Same broad habitat or a higher distinctiveness habitat required</v>
      </c>
      <c r="N94" s="242" t="s">
        <v>8</v>
      </c>
      <c r="O94" s="242">
        <f t="shared" ref="O94:O99" si="14">VLOOKUP(N94,Difficulty,2,FALSE)</f>
        <v>1</v>
      </c>
      <c r="P94" s="242" t="s">
        <v>8</v>
      </c>
      <c r="Q94" s="242">
        <f t="shared" ref="Q94:Q99" si="15">VLOOKUP(P94,Difficulty,2,FALSE)</f>
        <v>1</v>
      </c>
      <c r="R94" s="175"/>
      <c r="S94" s="242"/>
    </row>
    <row r="95" spans="1:19" x14ac:dyDescent="0.25">
      <c r="A95" s="298" t="s">
        <v>22</v>
      </c>
      <c r="B95" s="144" t="s">
        <v>255</v>
      </c>
      <c r="C95" s="242" t="s">
        <v>70</v>
      </c>
      <c r="D95" s="242" t="s">
        <v>173</v>
      </c>
      <c r="E95" s="242"/>
      <c r="F95" s="175" t="s">
        <v>163</v>
      </c>
      <c r="G95" s="242"/>
      <c r="H95" s="175" t="s">
        <v>181</v>
      </c>
      <c r="I95" s="242" t="s">
        <v>70</v>
      </c>
      <c r="J95" s="304" t="s">
        <v>22</v>
      </c>
      <c r="K95" s="242" t="s">
        <v>5</v>
      </c>
      <c r="L95" s="242">
        <f t="shared" si="13"/>
        <v>6</v>
      </c>
      <c r="M95" s="242" t="str">
        <f t="shared" si="12"/>
        <v>Same habitat required</v>
      </c>
      <c r="N95" s="242" t="s">
        <v>6</v>
      </c>
      <c r="O95" s="242">
        <f t="shared" si="14"/>
        <v>0.67</v>
      </c>
      <c r="P95" s="242" t="s">
        <v>6</v>
      </c>
      <c r="Q95" s="242">
        <f t="shared" si="15"/>
        <v>0.67</v>
      </c>
      <c r="R95" s="175"/>
      <c r="S95" s="242"/>
    </row>
    <row r="96" spans="1:19" x14ac:dyDescent="0.25">
      <c r="A96" s="298" t="s">
        <v>19</v>
      </c>
      <c r="B96" s="144" t="s">
        <v>252</v>
      </c>
      <c r="C96" s="242" t="s">
        <v>67</v>
      </c>
      <c r="D96" s="242" t="s">
        <v>173</v>
      </c>
      <c r="E96" s="242"/>
      <c r="F96" s="175" t="s">
        <v>163</v>
      </c>
      <c r="G96" s="242"/>
      <c r="H96" s="175" t="s">
        <v>181</v>
      </c>
      <c r="I96" s="242" t="s">
        <v>67</v>
      </c>
      <c r="J96" s="304" t="s">
        <v>19</v>
      </c>
      <c r="K96" s="242" t="s">
        <v>5</v>
      </c>
      <c r="L96" s="242">
        <f t="shared" si="13"/>
        <v>6</v>
      </c>
      <c r="M96" s="242" t="str">
        <f t="shared" si="12"/>
        <v>Same habitat required</v>
      </c>
      <c r="N96" s="242" t="s">
        <v>5</v>
      </c>
      <c r="O96" s="242">
        <f t="shared" si="14"/>
        <v>0.33</v>
      </c>
      <c r="P96" s="242" t="s">
        <v>5</v>
      </c>
      <c r="Q96" s="242">
        <f t="shared" si="15"/>
        <v>0.33</v>
      </c>
      <c r="R96" s="175"/>
      <c r="S96" s="242"/>
    </row>
    <row r="97" spans="1:19" x14ac:dyDescent="0.25">
      <c r="A97" s="298" t="s">
        <v>113</v>
      </c>
      <c r="B97" s="144" t="s">
        <v>251</v>
      </c>
      <c r="C97" s="242" t="s">
        <v>66</v>
      </c>
      <c r="D97" s="242" t="s">
        <v>173</v>
      </c>
      <c r="E97" s="242" t="s">
        <v>179</v>
      </c>
      <c r="F97" s="175" t="s">
        <v>163</v>
      </c>
      <c r="G97" s="242" t="s">
        <v>180</v>
      </c>
      <c r="H97" s="175" t="s">
        <v>181</v>
      </c>
      <c r="I97" s="242" t="s">
        <v>66</v>
      </c>
      <c r="J97" s="304" t="s">
        <v>113</v>
      </c>
      <c r="K97" s="242" t="s">
        <v>5</v>
      </c>
      <c r="L97" s="242">
        <f t="shared" si="13"/>
        <v>6</v>
      </c>
      <c r="M97" s="242" t="str">
        <f t="shared" si="12"/>
        <v>Same habitat required</v>
      </c>
      <c r="N97" s="242" t="s">
        <v>5</v>
      </c>
      <c r="O97" s="242">
        <f t="shared" si="14"/>
        <v>0.33</v>
      </c>
      <c r="P97" s="242" t="s">
        <v>5</v>
      </c>
      <c r="Q97" s="242">
        <f t="shared" si="15"/>
        <v>0.33</v>
      </c>
      <c r="R97" s="175"/>
      <c r="S97" s="242"/>
    </row>
    <row r="98" spans="1:19" x14ac:dyDescent="0.25">
      <c r="A98" s="298" t="s">
        <v>21</v>
      </c>
      <c r="B98" s="144" t="s">
        <v>254</v>
      </c>
      <c r="C98" s="242" t="s">
        <v>69</v>
      </c>
      <c r="D98" s="242" t="s">
        <v>173</v>
      </c>
      <c r="E98" s="242"/>
      <c r="F98" s="175" t="s">
        <v>163</v>
      </c>
      <c r="G98" s="242"/>
      <c r="H98" s="175" t="s">
        <v>181</v>
      </c>
      <c r="I98" s="242" t="s">
        <v>69</v>
      </c>
      <c r="J98" s="304" t="s">
        <v>21</v>
      </c>
      <c r="K98" s="242" t="s">
        <v>5</v>
      </c>
      <c r="L98" s="242">
        <f t="shared" si="13"/>
        <v>6</v>
      </c>
      <c r="M98" s="242" t="str">
        <f t="shared" si="12"/>
        <v>Same habitat required</v>
      </c>
      <c r="N98" s="242" t="s">
        <v>6</v>
      </c>
      <c r="O98" s="242">
        <f t="shared" si="14"/>
        <v>0.67</v>
      </c>
      <c r="P98" s="242" t="s">
        <v>6</v>
      </c>
      <c r="Q98" s="242">
        <f t="shared" si="15"/>
        <v>0.67</v>
      </c>
      <c r="R98" s="175"/>
      <c r="S98" s="242"/>
    </row>
    <row r="99" spans="1:19" ht="14.4" thickBot="1" x14ac:dyDescent="0.3">
      <c r="A99" s="298" t="s">
        <v>236</v>
      </c>
      <c r="B99" s="302" t="s">
        <v>261</v>
      </c>
      <c r="C99" s="251">
        <v>20</v>
      </c>
      <c r="D99" s="251" t="s">
        <v>173</v>
      </c>
      <c r="E99" s="251"/>
      <c r="F99" s="194" t="s">
        <v>163</v>
      </c>
      <c r="G99" s="251"/>
      <c r="H99" s="194" t="s">
        <v>239</v>
      </c>
      <c r="I99" s="251"/>
      <c r="J99" s="251" t="s">
        <v>236</v>
      </c>
      <c r="K99" s="251" t="s">
        <v>9</v>
      </c>
      <c r="L99" s="251">
        <f t="shared" si="13"/>
        <v>8</v>
      </c>
      <c r="M99" s="251" t="str">
        <f t="shared" si="12"/>
        <v>Bespoke compensation likely to be required</v>
      </c>
      <c r="N99" s="251" t="s">
        <v>342</v>
      </c>
      <c r="O99" s="251">
        <f t="shared" si="14"/>
        <v>0.1</v>
      </c>
      <c r="P99" s="251" t="s">
        <v>5</v>
      </c>
      <c r="Q99" s="251">
        <f t="shared" si="15"/>
        <v>0.33</v>
      </c>
      <c r="R99" s="194"/>
      <c r="S99" s="251"/>
    </row>
    <row r="100" spans="1:19" ht="14.4" thickBot="1" x14ac:dyDescent="0.3">
      <c r="A100" s="298" t="s">
        <v>1089</v>
      </c>
      <c r="B100" s="310" t="s">
        <v>1086</v>
      </c>
      <c r="C100" s="311" t="s">
        <v>1156</v>
      </c>
      <c r="D100" s="312" t="s">
        <v>1087</v>
      </c>
      <c r="E100" s="312" t="s">
        <v>1088</v>
      </c>
      <c r="F100" s="313" t="s">
        <v>1089</v>
      </c>
      <c r="G100" s="312"/>
      <c r="H100" s="313" t="s">
        <v>1089</v>
      </c>
      <c r="I100" s="313"/>
      <c r="J100" s="312"/>
      <c r="K100" s="313" t="s">
        <v>5</v>
      </c>
      <c r="L100" s="313">
        <f t="shared" ref="L100" si="16">IF(K100=$V$3,$W$3,IF(K100=$V$3,$W$3,IF(K100=$V$4,$W$4,IF(K100=$V$5,$W$5,IF(K100=$V$6,$W$6,IF(K100=$V$7,$W$7))))))</f>
        <v>6</v>
      </c>
      <c r="M100" s="313" t="str">
        <f t="shared" si="12"/>
        <v>Same habitat required</v>
      </c>
      <c r="N100" s="313" t="s">
        <v>6</v>
      </c>
      <c r="O100" s="313">
        <f t="shared" ref="O100" si="17">VLOOKUP(N100,Difficulty,2,FALSE)</f>
        <v>0.67</v>
      </c>
      <c r="P100" s="313" t="s">
        <v>6</v>
      </c>
      <c r="Q100" s="313">
        <f t="shared" ref="Q100" si="18">VLOOKUP(P100,Difficulty,2,FALSE)</f>
        <v>0.67</v>
      </c>
      <c r="R100" s="314"/>
      <c r="S100" s="313"/>
    </row>
    <row r="101" spans="1:19" x14ac:dyDescent="0.25">
      <c r="A101" s="298" t="s">
        <v>1092</v>
      </c>
      <c r="B101" s="303" t="s">
        <v>1090</v>
      </c>
      <c r="C101" s="315" t="s">
        <v>1157</v>
      </c>
      <c r="D101" s="316" t="s">
        <v>1087</v>
      </c>
      <c r="E101" s="316" t="s">
        <v>1091</v>
      </c>
      <c r="F101" s="262" t="s">
        <v>1125</v>
      </c>
      <c r="G101" s="316"/>
      <c r="H101" s="262" t="s">
        <v>1092</v>
      </c>
      <c r="I101" s="262"/>
      <c r="J101" s="316"/>
      <c r="K101" s="262" t="s">
        <v>5</v>
      </c>
      <c r="L101" s="262">
        <f t="shared" ref="L101:L125" si="19">IF(K101=$V$3,$W$3,IF(K101=$V$3,$W$3,IF(K101=$V$4,$W$4,IF(K101=$V$5,$W$5,IF(K101=$V$6,$W$6,IF(K101=$V$7,$W$7))))))</f>
        <v>6</v>
      </c>
      <c r="M101" s="262" t="str">
        <f t="shared" si="12"/>
        <v>Same habitat required</v>
      </c>
      <c r="N101" s="262" t="s">
        <v>5</v>
      </c>
      <c r="O101" s="262">
        <f t="shared" ref="O101:O125" si="20">VLOOKUP(N101,Difficulty,2,FALSE)</f>
        <v>0.33</v>
      </c>
      <c r="P101" s="262" t="s">
        <v>6</v>
      </c>
      <c r="Q101" s="262">
        <f t="shared" ref="Q101:Q125" si="21">VLOOKUP(P101,Difficulty,2,FALSE)</f>
        <v>0.67</v>
      </c>
      <c r="R101" s="179"/>
      <c r="S101" s="262"/>
    </row>
    <row r="102" spans="1:19" x14ac:dyDescent="0.25">
      <c r="A102" s="317" t="s">
        <v>1283</v>
      </c>
      <c r="B102" s="318" t="s">
        <v>1163</v>
      </c>
      <c r="C102" s="315" t="s">
        <v>1390</v>
      </c>
      <c r="D102" s="125" t="s">
        <v>1087</v>
      </c>
      <c r="E102" s="125" t="s">
        <v>1091</v>
      </c>
      <c r="F102" s="242" t="s">
        <v>1125</v>
      </c>
      <c r="G102" s="125"/>
      <c r="H102" s="304" t="s">
        <v>1093</v>
      </c>
      <c r="I102" s="242"/>
      <c r="J102" s="125"/>
      <c r="K102" s="242" t="s">
        <v>9</v>
      </c>
      <c r="L102" s="242">
        <f t="shared" si="19"/>
        <v>8</v>
      </c>
      <c r="M102" s="242" t="str">
        <f t="shared" si="12"/>
        <v>Bespoke compensation likely to be required</v>
      </c>
      <c r="N102" s="242" t="s">
        <v>342</v>
      </c>
      <c r="O102" s="242">
        <f t="shared" si="20"/>
        <v>0.1</v>
      </c>
      <c r="P102" s="242" t="s">
        <v>6</v>
      </c>
      <c r="Q102" s="242">
        <f t="shared" si="21"/>
        <v>0.67</v>
      </c>
      <c r="R102" s="175"/>
      <c r="S102" s="242"/>
    </row>
    <row r="103" spans="1:19" x14ac:dyDescent="0.25">
      <c r="A103" s="298" t="s">
        <v>1095</v>
      </c>
      <c r="B103" s="144" t="s">
        <v>1094</v>
      </c>
      <c r="C103" s="299" t="s">
        <v>1391</v>
      </c>
      <c r="D103" s="125" t="s">
        <v>1087</v>
      </c>
      <c r="E103" s="125" t="s">
        <v>1091</v>
      </c>
      <c r="F103" s="242" t="s">
        <v>1125</v>
      </c>
      <c r="G103" s="125"/>
      <c r="H103" s="242" t="s">
        <v>1095</v>
      </c>
      <c r="I103" s="242"/>
      <c r="J103" s="125"/>
      <c r="K103" s="242" t="s">
        <v>5</v>
      </c>
      <c r="L103" s="242">
        <f t="shared" si="19"/>
        <v>6</v>
      </c>
      <c r="M103" s="242" t="str">
        <f t="shared" si="12"/>
        <v>Same habitat required</v>
      </c>
      <c r="N103" s="242" t="s">
        <v>5</v>
      </c>
      <c r="O103" s="242">
        <f t="shared" si="20"/>
        <v>0.33</v>
      </c>
      <c r="P103" s="242" t="s">
        <v>6</v>
      </c>
      <c r="Q103" s="242">
        <f t="shared" si="21"/>
        <v>0.67</v>
      </c>
      <c r="R103" s="175"/>
      <c r="S103" s="242"/>
    </row>
    <row r="104" spans="1:19" x14ac:dyDescent="0.25">
      <c r="A104" s="317" t="s">
        <v>1284</v>
      </c>
      <c r="B104" s="318" t="s">
        <v>1164</v>
      </c>
      <c r="C104" s="299" t="s">
        <v>1396</v>
      </c>
      <c r="D104" s="125" t="s">
        <v>1087</v>
      </c>
      <c r="E104" s="125" t="s">
        <v>1091</v>
      </c>
      <c r="F104" s="242" t="s">
        <v>1125</v>
      </c>
      <c r="G104" s="125"/>
      <c r="H104" s="304" t="s">
        <v>1096</v>
      </c>
      <c r="I104" s="242"/>
      <c r="J104" s="125"/>
      <c r="K104" s="242" t="s">
        <v>9</v>
      </c>
      <c r="L104" s="242">
        <f t="shared" si="19"/>
        <v>8</v>
      </c>
      <c r="M104" s="242" t="str">
        <f t="shared" si="12"/>
        <v>Bespoke compensation likely to be required</v>
      </c>
      <c r="N104" s="242" t="s">
        <v>342</v>
      </c>
      <c r="O104" s="242">
        <f t="shared" si="20"/>
        <v>0.1</v>
      </c>
      <c r="P104" s="242" t="s">
        <v>6</v>
      </c>
      <c r="Q104" s="242">
        <f t="shared" si="21"/>
        <v>0.67</v>
      </c>
      <c r="R104" s="175"/>
      <c r="S104" s="242"/>
    </row>
    <row r="105" spans="1:19" x14ac:dyDescent="0.25">
      <c r="A105" s="298" t="s">
        <v>1098</v>
      </c>
      <c r="B105" s="144" t="s">
        <v>1097</v>
      </c>
      <c r="C105" s="299" t="s">
        <v>1392</v>
      </c>
      <c r="D105" s="125" t="s">
        <v>1087</v>
      </c>
      <c r="E105" s="125" t="s">
        <v>1091</v>
      </c>
      <c r="F105" s="242" t="s">
        <v>1125</v>
      </c>
      <c r="G105" s="125"/>
      <c r="H105" s="242" t="s">
        <v>1098</v>
      </c>
      <c r="I105" s="242"/>
      <c r="J105" s="125"/>
      <c r="K105" s="242" t="s">
        <v>5</v>
      </c>
      <c r="L105" s="242">
        <f t="shared" si="19"/>
        <v>6</v>
      </c>
      <c r="M105" s="242" t="str">
        <f t="shared" si="12"/>
        <v>Same habitat required</v>
      </c>
      <c r="N105" s="242" t="s">
        <v>5</v>
      </c>
      <c r="O105" s="242">
        <f t="shared" si="20"/>
        <v>0.33</v>
      </c>
      <c r="P105" s="242" t="s">
        <v>6</v>
      </c>
      <c r="Q105" s="242">
        <f t="shared" si="21"/>
        <v>0.67</v>
      </c>
      <c r="R105" s="175"/>
      <c r="S105" s="242"/>
    </row>
    <row r="106" spans="1:19" x14ac:dyDescent="0.25">
      <c r="A106" s="317" t="s">
        <v>1510</v>
      </c>
      <c r="B106" s="318" t="s">
        <v>1508</v>
      </c>
      <c r="C106" s="299" t="s">
        <v>1395</v>
      </c>
      <c r="D106" s="125" t="s">
        <v>1087</v>
      </c>
      <c r="E106" s="125" t="s">
        <v>1091</v>
      </c>
      <c r="F106" s="242" t="s">
        <v>1125</v>
      </c>
      <c r="G106" s="125"/>
      <c r="H106" s="304" t="s">
        <v>1099</v>
      </c>
      <c r="I106" s="242"/>
      <c r="J106" s="125"/>
      <c r="K106" s="242" t="s">
        <v>9</v>
      </c>
      <c r="L106" s="242">
        <f t="shared" si="19"/>
        <v>8</v>
      </c>
      <c r="M106" s="242" t="str">
        <f t="shared" si="12"/>
        <v>Bespoke compensation likely to be required</v>
      </c>
      <c r="N106" s="242" t="s">
        <v>342</v>
      </c>
      <c r="O106" s="242">
        <f t="shared" si="20"/>
        <v>0.1</v>
      </c>
      <c r="P106" s="242" t="s">
        <v>6</v>
      </c>
      <c r="Q106" s="242">
        <f t="shared" si="21"/>
        <v>0.67</v>
      </c>
      <c r="R106" s="175"/>
      <c r="S106" s="242"/>
    </row>
    <row r="107" spans="1:19" x14ac:dyDescent="0.25">
      <c r="A107" s="298" t="s">
        <v>1101</v>
      </c>
      <c r="B107" s="144" t="s">
        <v>1100</v>
      </c>
      <c r="C107" s="299" t="s">
        <v>1397</v>
      </c>
      <c r="D107" s="125" t="s">
        <v>1087</v>
      </c>
      <c r="E107" s="125" t="s">
        <v>1091</v>
      </c>
      <c r="F107" s="242" t="s">
        <v>1125</v>
      </c>
      <c r="G107" s="125"/>
      <c r="H107" s="242" t="s">
        <v>1101</v>
      </c>
      <c r="I107" s="242"/>
      <c r="J107" s="125"/>
      <c r="K107" s="242" t="s">
        <v>5</v>
      </c>
      <c r="L107" s="242">
        <f t="shared" si="19"/>
        <v>6</v>
      </c>
      <c r="M107" s="242" t="str">
        <f t="shared" si="12"/>
        <v>Same habitat required</v>
      </c>
      <c r="N107" s="242" t="s">
        <v>5</v>
      </c>
      <c r="O107" s="242">
        <f t="shared" si="20"/>
        <v>0.33</v>
      </c>
      <c r="P107" s="242" t="s">
        <v>6</v>
      </c>
      <c r="Q107" s="242">
        <f t="shared" si="21"/>
        <v>0.67</v>
      </c>
      <c r="R107" s="175"/>
      <c r="S107" s="242"/>
    </row>
    <row r="108" spans="1:19" ht="14.4" thickBot="1" x14ac:dyDescent="0.3">
      <c r="A108" s="317" t="s">
        <v>1285</v>
      </c>
      <c r="B108" s="319" t="s">
        <v>1162</v>
      </c>
      <c r="C108" s="308" t="s">
        <v>1399</v>
      </c>
      <c r="D108" s="320" t="s">
        <v>1087</v>
      </c>
      <c r="E108" s="320" t="s">
        <v>1091</v>
      </c>
      <c r="F108" s="251" t="s">
        <v>1125</v>
      </c>
      <c r="G108" s="320"/>
      <c r="H108" s="305" t="s">
        <v>1102</v>
      </c>
      <c r="I108" s="251"/>
      <c r="J108" s="320"/>
      <c r="K108" s="251" t="s">
        <v>9</v>
      </c>
      <c r="L108" s="251">
        <f t="shared" si="19"/>
        <v>8</v>
      </c>
      <c r="M108" s="251" t="str">
        <f t="shared" si="12"/>
        <v>Bespoke compensation likely to be required</v>
      </c>
      <c r="N108" s="251" t="s">
        <v>342</v>
      </c>
      <c r="O108" s="251">
        <f t="shared" si="20"/>
        <v>0.1</v>
      </c>
      <c r="P108" s="251" t="s">
        <v>6</v>
      </c>
      <c r="Q108" s="251">
        <f t="shared" si="21"/>
        <v>0.67</v>
      </c>
      <c r="R108" s="194"/>
      <c r="S108" s="251"/>
    </row>
    <row r="109" spans="1:19" x14ac:dyDescent="0.25">
      <c r="A109" s="298" t="s">
        <v>1286</v>
      </c>
      <c r="B109" s="303" t="s">
        <v>1246</v>
      </c>
      <c r="C109" s="315" t="s">
        <v>1400</v>
      </c>
      <c r="D109" s="316" t="s">
        <v>1087</v>
      </c>
      <c r="E109" s="316" t="s">
        <v>1104</v>
      </c>
      <c r="F109" s="262" t="s">
        <v>1112</v>
      </c>
      <c r="G109" s="316"/>
      <c r="H109" s="262" t="s">
        <v>1111</v>
      </c>
      <c r="I109" s="262"/>
      <c r="J109" s="316"/>
      <c r="K109" s="262" t="s">
        <v>5</v>
      </c>
      <c r="L109" s="262">
        <f>IF(K109=$V$3,$W$3,IF(K109=$V$3,$W$3,IF(K109=$V$4,$W$4,IF(K109=$V$5,$W$5,IF(K109=$V$6,$W$6,IF(K109=$V$7,$W$7))))))</f>
        <v>6</v>
      </c>
      <c r="M109" s="262" t="str">
        <f>IF($K109=$V$3,$X$3,IF($K109=$V$4,$X$4,IF($K109=$V$5,$X$5,IF($K109=$V$6,$X$6,IF($K109=$V$7,$X$7)))))</f>
        <v>Same habitat required</v>
      </c>
      <c r="N109" s="262" t="s">
        <v>5</v>
      </c>
      <c r="O109" s="262">
        <f>VLOOKUP(N109,Difficulty,2,FALSE)</f>
        <v>0.33</v>
      </c>
      <c r="P109" s="262" t="s">
        <v>6</v>
      </c>
      <c r="Q109" s="262">
        <f>VLOOKUP(P109,Difficulty,2,FALSE)</f>
        <v>0.67</v>
      </c>
      <c r="R109" s="179"/>
      <c r="S109" s="262"/>
    </row>
    <row r="110" spans="1:19" ht="14.4" thickBot="1" x14ac:dyDescent="0.3">
      <c r="A110" s="298" t="s">
        <v>1176</v>
      </c>
      <c r="B110" s="302" t="s">
        <v>1247</v>
      </c>
      <c r="C110" s="308" t="s">
        <v>1401</v>
      </c>
      <c r="D110" s="320"/>
      <c r="E110" s="320"/>
      <c r="F110" s="251" t="s">
        <v>1112</v>
      </c>
      <c r="G110" s="320"/>
      <c r="H110" s="251" t="s">
        <v>1176</v>
      </c>
      <c r="I110" s="251"/>
      <c r="J110" s="320"/>
      <c r="K110" s="251" t="s">
        <v>8</v>
      </c>
      <c r="L110" s="251">
        <f>IF(K110=$V$3,$W$3,IF(K110=$V$3,$W$3,IF(K110=$V$4,$W$4,IF(K110=$V$5,$W$5,IF(K110=$V$6,$W$6,IF(K110=$V$7,$W$7))))))</f>
        <v>2</v>
      </c>
      <c r="M110" s="251" t="str">
        <f>IF($K110=$V$3,$X$3,IF($K110=$V$4,$X$4,IF($K110=$V$5,$X$5,IF($K110=$V$6,$X$6,IF($K110=$V$7,$X$7)))))</f>
        <v>Same distinctiveness or better habitat required</v>
      </c>
      <c r="N110" s="251" t="s">
        <v>5</v>
      </c>
      <c r="O110" s="251">
        <f>VLOOKUP(N110,Difficulty,2,FALSE)</f>
        <v>0.33</v>
      </c>
      <c r="P110" s="251" t="s">
        <v>6</v>
      </c>
      <c r="Q110" s="251">
        <f t="shared" ref="Q110" si="22">VLOOKUP(P110,Difficulty,2,FALSE)</f>
        <v>0.67</v>
      </c>
      <c r="R110" s="194"/>
      <c r="S110" s="251"/>
    </row>
    <row r="111" spans="1:19" x14ac:dyDescent="0.25">
      <c r="A111" s="298" t="s">
        <v>1106</v>
      </c>
      <c r="B111" s="303" t="s">
        <v>1103</v>
      </c>
      <c r="C111" s="315" t="s">
        <v>1402</v>
      </c>
      <c r="D111" s="316" t="s">
        <v>1087</v>
      </c>
      <c r="E111" s="316" t="s">
        <v>1104</v>
      </c>
      <c r="F111" s="262" t="s">
        <v>1105</v>
      </c>
      <c r="G111" s="316"/>
      <c r="H111" s="262" t="s">
        <v>1106</v>
      </c>
      <c r="I111" s="262"/>
      <c r="J111" s="316"/>
      <c r="K111" s="262" t="s">
        <v>6</v>
      </c>
      <c r="L111" s="262">
        <f t="shared" si="19"/>
        <v>4</v>
      </c>
      <c r="M111" s="262" t="str">
        <f t="shared" si="12"/>
        <v>Same broad habitat or a higher distinctiveness habitat required</v>
      </c>
      <c r="N111" s="262" t="s">
        <v>6</v>
      </c>
      <c r="O111" s="262">
        <f t="shared" si="20"/>
        <v>0.67</v>
      </c>
      <c r="P111" s="262" t="s">
        <v>6</v>
      </c>
      <c r="Q111" s="262">
        <f t="shared" si="21"/>
        <v>0.67</v>
      </c>
      <c r="R111" s="179"/>
      <c r="S111" s="262"/>
    </row>
    <row r="112" spans="1:19" x14ac:dyDescent="0.25">
      <c r="A112" s="298" t="s">
        <v>1108</v>
      </c>
      <c r="B112" s="144" t="s">
        <v>1107</v>
      </c>
      <c r="C112" s="299" t="s">
        <v>1394</v>
      </c>
      <c r="D112" s="125" t="s">
        <v>1087</v>
      </c>
      <c r="E112" s="125" t="s">
        <v>1104</v>
      </c>
      <c r="F112" s="242" t="s">
        <v>1105</v>
      </c>
      <c r="G112" s="125"/>
      <c r="H112" s="242" t="s">
        <v>1108</v>
      </c>
      <c r="I112" s="242"/>
      <c r="J112" s="125"/>
      <c r="K112" s="242" t="s">
        <v>5</v>
      </c>
      <c r="L112" s="242">
        <f t="shared" si="19"/>
        <v>6</v>
      </c>
      <c r="M112" s="242" t="str">
        <f t="shared" si="12"/>
        <v>Same habitat required</v>
      </c>
      <c r="N112" s="242" t="s">
        <v>5</v>
      </c>
      <c r="O112" s="242">
        <f t="shared" si="20"/>
        <v>0.33</v>
      </c>
      <c r="P112" s="242" t="s">
        <v>6</v>
      </c>
      <c r="Q112" s="242">
        <f t="shared" si="21"/>
        <v>0.67</v>
      </c>
      <c r="R112" s="175"/>
      <c r="S112" s="242"/>
    </row>
    <row r="113" spans="1:19" x14ac:dyDescent="0.25">
      <c r="A113" s="298" t="s">
        <v>1110</v>
      </c>
      <c r="B113" s="144" t="s">
        <v>1109</v>
      </c>
      <c r="C113" s="299" t="s">
        <v>1398</v>
      </c>
      <c r="D113" s="125" t="s">
        <v>1087</v>
      </c>
      <c r="E113" s="125" t="s">
        <v>1104</v>
      </c>
      <c r="F113" s="242" t="s">
        <v>1105</v>
      </c>
      <c r="G113" s="125"/>
      <c r="H113" s="242" t="s">
        <v>1110</v>
      </c>
      <c r="I113" s="242"/>
      <c r="J113" s="125"/>
      <c r="K113" s="242" t="s">
        <v>5</v>
      </c>
      <c r="L113" s="242">
        <f t="shared" si="19"/>
        <v>6</v>
      </c>
      <c r="M113" s="242" t="str">
        <f t="shared" si="12"/>
        <v>Same habitat required</v>
      </c>
      <c r="N113" s="242" t="s">
        <v>5</v>
      </c>
      <c r="O113" s="242">
        <f t="shared" si="20"/>
        <v>0.33</v>
      </c>
      <c r="P113" s="242" t="s">
        <v>6</v>
      </c>
      <c r="Q113" s="242">
        <f t="shared" si="21"/>
        <v>0.67</v>
      </c>
      <c r="R113" s="175"/>
      <c r="S113" s="242"/>
    </row>
    <row r="114" spans="1:19" x14ac:dyDescent="0.25">
      <c r="A114" s="298" t="s">
        <v>1287</v>
      </c>
      <c r="B114" s="144" t="s">
        <v>1212</v>
      </c>
      <c r="C114" s="299" t="s">
        <v>1393</v>
      </c>
      <c r="D114" s="125" t="s">
        <v>1087</v>
      </c>
      <c r="E114" s="125" t="s">
        <v>1104</v>
      </c>
      <c r="F114" s="242" t="s">
        <v>1105</v>
      </c>
      <c r="G114" s="125"/>
      <c r="H114" s="242" t="s">
        <v>1113</v>
      </c>
      <c r="I114" s="242"/>
      <c r="J114" s="125"/>
      <c r="K114" s="242" t="s">
        <v>5</v>
      </c>
      <c r="L114" s="242">
        <f t="shared" si="19"/>
        <v>6</v>
      </c>
      <c r="M114" s="242" t="str">
        <f t="shared" si="12"/>
        <v>Same habitat required</v>
      </c>
      <c r="N114" s="242" t="s">
        <v>5</v>
      </c>
      <c r="O114" s="242">
        <f t="shared" si="20"/>
        <v>0.33</v>
      </c>
      <c r="P114" s="242" t="s">
        <v>5</v>
      </c>
      <c r="Q114" s="242">
        <f t="shared" si="21"/>
        <v>0.33</v>
      </c>
      <c r="R114" s="175"/>
      <c r="S114" s="242"/>
    </row>
    <row r="115" spans="1:19" x14ac:dyDescent="0.25">
      <c r="A115" s="317" t="s">
        <v>1509</v>
      </c>
      <c r="B115" s="318" t="s">
        <v>1479</v>
      </c>
      <c r="C115" s="299" t="s">
        <v>1403</v>
      </c>
      <c r="D115" s="125" t="s">
        <v>1087</v>
      </c>
      <c r="E115" s="125" t="s">
        <v>1104</v>
      </c>
      <c r="F115" s="242" t="s">
        <v>1105</v>
      </c>
      <c r="G115" s="125"/>
      <c r="H115" s="304" t="s">
        <v>1207</v>
      </c>
      <c r="I115" s="242"/>
      <c r="J115" s="125"/>
      <c r="K115" s="242" t="s">
        <v>9</v>
      </c>
      <c r="L115" s="242">
        <f t="shared" si="19"/>
        <v>8</v>
      </c>
      <c r="M115" s="242" t="str">
        <f t="shared" si="12"/>
        <v>Bespoke compensation likely to be required</v>
      </c>
      <c r="N115" s="242" t="s">
        <v>342</v>
      </c>
      <c r="O115" s="242">
        <f t="shared" si="20"/>
        <v>0.1</v>
      </c>
      <c r="P115" s="242" t="s">
        <v>5</v>
      </c>
      <c r="Q115" s="242">
        <f t="shared" si="21"/>
        <v>0.33</v>
      </c>
      <c r="R115" s="175"/>
      <c r="S115" s="242"/>
    </row>
    <row r="116" spans="1:19" x14ac:dyDescent="0.25">
      <c r="A116" s="298" t="s">
        <v>1288</v>
      </c>
      <c r="B116" s="144" t="s">
        <v>1204</v>
      </c>
      <c r="C116" s="299" t="s">
        <v>1405</v>
      </c>
      <c r="D116" s="125"/>
      <c r="E116" s="125"/>
      <c r="F116" s="242" t="s">
        <v>1105</v>
      </c>
      <c r="G116" s="125"/>
      <c r="H116" s="242" t="s">
        <v>1208</v>
      </c>
      <c r="I116" s="242"/>
      <c r="J116" s="125"/>
      <c r="K116" s="242" t="s">
        <v>5</v>
      </c>
      <c r="L116" s="242">
        <f t="shared" si="19"/>
        <v>6</v>
      </c>
      <c r="M116" s="242" t="str">
        <f t="shared" si="12"/>
        <v>Same habitat required</v>
      </c>
      <c r="N116" s="242" t="s">
        <v>5</v>
      </c>
      <c r="O116" s="242">
        <f t="shared" si="20"/>
        <v>0.33</v>
      </c>
      <c r="P116" s="242" t="s">
        <v>6</v>
      </c>
      <c r="Q116" s="242">
        <f t="shared" si="21"/>
        <v>0.67</v>
      </c>
      <c r="R116" s="175"/>
      <c r="S116" s="242"/>
    </row>
    <row r="117" spans="1:19" x14ac:dyDescent="0.25">
      <c r="A117" s="298" t="s">
        <v>1209</v>
      </c>
      <c r="B117" s="144" t="s">
        <v>1205</v>
      </c>
      <c r="C117" s="299" t="s">
        <v>1404</v>
      </c>
      <c r="D117" s="125" t="s">
        <v>1087</v>
      </c>
      <c r="E117" s="125" t="s">
        <v>1104</v>
      </c>
      <c r="F117" s="242" t="s">
        <v>1105</v>
      </c>
      <c r="G117" s="125"/>
      <c r="H117" s="242" t="s">
        <v>1209</v>
      </c>
      <c r="I117" s="242"/>
      <c r="J117" s="125"/>
      <c r="K117" s="242" t="s">
        <v>5</v>
      </c>
      <c r="L117" s="242">
        <f t="shared" si="19"/>
        <v>6</v>
      </c>
      <c r="M117" s="242" t="str">
        <f t="shared" si="12"/>
        <v>Same habitat required</v>
      </c>
      <c r="N117" s="242" t="s">
        <v>5</v>
      </c>
      <c r="O117" s="242">
        <f t="shared" si="20"/>
        <v>0.33</v>
      </c>
      <c r="P117" s="242" t="s">
        <v>6</v>
      </c>
      <c r="Q117" s="242">
        <f t="shared" si="21"/>
        <v>0.67</v>
      </c>
      <c r="R117" s="175"/>
      <c r="S117" s="242"/>
    </row>
    <row r="118" spans="1:19" x14ac:dyDescent="0.25">
      <c r="A118" s="298" t="s">
        <v>1115</v>
      </c>
      <c r="B118" s="144" t="s">
        <v>1114</v>
      </c>
      <c r="C118" s="299" t="s">
        <v>1406</v>
      </c>
      <c r="D118" s="125" t="s">
        <v>1087</v>
      </c>
      <c r="E118" s="125" t="s">
        <v>1104</v>
      </c>
      <c r="F118" s="242" t="s">
        <v>1105</v>
      </c>
      <c r="G118" s="125"/>
      <c r="H118" s="242" t="s">
        <v>1115</v>
      </c>
      <c r="I118" s="242"/>
      <c r="J118" s="125"/>
      <c r="K118" s="242" t="s">
        <v>5</v>
      </c>
      <c r="L118" s="242">
        <f t="shared" si="19"/>
        <v>6</v>
      </c>
      <c r="M118" s="242" t="str">
        <f t="shared" si="12"/>
        <v>Same habitat required</v>
      </c>
      <c r="N118" s="242" t="s">
        <v>5</v>
      </c>
      <c r="O118" s="242">
        <f t="shared" si="20"/>
        <v>0.33</v>
      </c>
      <c r="P118" s="242" t="s">
        <v>6</v>
      </c>
      <c r="Q118" s="242">
        <f t="shared" si="21"/>
        <v>0.67</v>
      </c>
      <c r="R118" s="175"/>
      <c r="S118" s="242"/>
    </row>
    <row r="119" spans="1:19" x14ac:dyDescent="0.25">
      <c r="A119" s="298" t="s">
        <v>1117</v>
      </c>
      <c r="B119" s="144" t="s">
        <v>1116</v>
      </c>
      <c r="C119" s="299" t="s">
        <v>1407</v>
      </c>
      <c r="D119" s="125" t="s">
        <v>1087</v>
      </c>
      <c r="E119" s="125" t="s">
        <v>1104</v>
      </c>
      <c r="F119" s="242" t="s">
        <v>1105</v>
      </c>
      <c r="G119" s="125"/>
      <c r="H119" s="242" t="s">
        <v>1117</v>
      </c>
      <c r="I119" s="242"/>
      <c r="J119" s="125"/>
      <c r="K119" s="242" t="s">
        <v>8</v>
      </c>
      <c r="L119" s="242">
        <f t="shared" si="19"/>
        <v>2</v>
      </c>
      <c r="M119" s="242" t="str">
        <f t="shared" si="12"/>
        <v>Same distinctiveness or better habitat required</v>
      </c>
      <c r="N119" s="242" t="s">
        <v>6</v>
      </c>
      <c r="O119" s="242">
        <f t="shared" si="20"/>
        <v>0.67</v>
      </c>
      <c r="P119" s="242" t="s">
        <v>6</v>
      </c>
      <c r="Q119" s="242">
        <f t="shared" si="21"/>
        <v>0.67</v>
      </c>
      <c r="R119" s="175"/>
      <c r="S119" s="242"/>
    </row>
    <row r="120" spans="1:19" x14ac:dyDescent="0.25">
      <c r="A120" s="298" t="s">
        <v>1119</v>
      </c>
      <c r="B120" s="144" t="s">
        <v>1118</v>
      </c>
      <c r="C120" s="299" t="s">
        <v>1408</v>
      </c>
      <c r="D120" s="125"/>
      <c r="E120" s="125"/>
      <c r="F120" s="242" t="s">
        <v>1105</v>
      </c>
      <c r="G120" s="125"/>
      <c r="H120" s="242" t="s">
        <v>1119</v>
      </c>
      <c r="I120" s="242"/>
      <c r="J120" s="125"/>
      <c r="K120" s="242" t="s">
        <v>8</v>
      </c>
      <c r="L120" s="242">
        <f t="shared" si="19"/>
        <v>2</v>
      </c>
      <c r="M120" s="242" t="str">
        <f t="shared" si="12"/>
        <v>Same distinctiveness or better habitat required</v>
      </c>
      <c r="N120" s="242" t="s">
        <v>5</v>
      </c>
      <c r="O120" s="242">
        <f t="shared" si="20"/>
        <v>0.33</v>
      </c>
      <c r="P120" s="242" t="s">
        <v>6</v>
      </c>
      <c r="Q120" s="242">
        <f t="shared" si="21"/>
        <v>0.67</v>
      </c>
      <c r="R120" s="175"/>
      <c r="S120" s="242"/>
    </row>
    <row r="121" spans="1:19" x14ac:dyDescent="0.25">
      <c r="A121" s="298" t="s">
        <v>1172</v>
      </c>
      <c r="B121" s="144" t="s">
        <v>1167</v>
      </c>
      <c r="C121" s="299" t="s">
        <v>1409</v>
      </c>
      <c r="D121" s="125"/>
      <c r="E121" s="125"/>
      <c r="F121" s="242" t="s">
        <v>1105</v>
      </c>
      <c r="G121" s="125"/>
      <c r="H121" s="297" t="s">
        <v>1172</v>
      </c>
      <c r="I121" s="242"/>
      <c r="J121" s="125"/>
      <c r="K121" s="242" t="s">
        <v>8</v>
      </c>
      <c r="L121" s="242">
        <f t="shared" si="19"/>
        <v>2</v>
      </c>
      <c r="M121" s="242" t="str">
        <f t="shared" si="12"/>
        <v>Same distinctiveness or better habitat required</v>
      </c>
      <c r="N121" s="242" t="s">
        <v>6</v>
      </c>
      <c r="O121" s="242">
        <f t="shared" si="20"/>
        <v>0.67</v>
      </c>
      <c r="P121" s="242" t="s">
        <v>6</v>
      </c>
      <c r="Q121" s="242">
        <f t="shared" si="21"/>
        <v>0.67</v>
      </c>
      <c r="R121" s="175"/>
      <c r="S121" s="242"/>
    </row>
    <row r="122" spans="1:19" x14ac:dyDescent="0.25">
      <c r="A122" s="298" t="s">
        <v>1289</v>
      </c>
      <c r="B122" s="144" t="s">
        <v>1168</v>
      </c>
      <c r="C122" s="299" t="s">
        <v>1410</v>
      </c>
      <c r="D122" s="125" t="s">
        <v>1087</v>
      </c>
      <c r="E122" s="125" t="s">
        <v>1104</v>
      </c>
      <c r="F122" s="242" t="s">
        <v>1105</v>
      </c>
      <c r="G122" s="125"/>
      <c r="H122" s="242" t="s">
        <v>1119</v>
      </c>
      <c r="I122" s="242"/>
      <c r="J122" s="125"/>
      <c r="K122" s="242" t="s">
        <v>8</v>
      </c>
      <c r="L122" s="242">
        <f t="shared" si="19"/>
        <v>2</v>
      </c>
      <c r="M122" s="242" t="str">
        <f t="shared" si="12"/>
        <v>Same distinctiveness or better habitat required</v>
      </c>
      <c r="N122" s="242" t="s">
        <v>5</v>
      </c>
      <c r="O122" s="242">
        <f t="shared" si="20"/>
        <v>0.33</v>
      </c>
      <c r="P122" s="242" t="s">
        <v>6</v>
      </c>
      <c r="Q122" s="242">
        <f t="shared" si="21"/>
        <v>0.67</v>
      </c>
      <c r="R122" s="175"/>
      <c r="S122" s="242"/>
    </row>
    <row r="123" spans="1:19" x14ac:dyDescent="0.25">
      <c r="A123" s="298" t="s">
        <v>1121</v>
      </c>
      <c r="B123" s="144" t="s">
        <v>1120</v>
      </c>
      <c r="C123" s="299" t="s">
        <v>1412</v>
      </c>
      <c r="D123" s="125" t="s">
        <v>1087</v>
      </c>
      <c r="E123" s="125" t="s">
        <v>1104</v>
      </c>
      <c r="F123" s="242" t="s">
        <v>1105</v>
      </c>
      <c r="G123" s="125"/>
      <c r="H123" s="242" t="s">
        <v>1121</v>
      </c>
      <c r="I123" s="242"/>
      <c r="J123" s="125"/>
      <c r="K123" s="242" t="s">
        <v>8</v>
      </c>
      <c r="L123" s="242">
        <f t="shared" si="19"/>
        <v>2</v>
      </c>
      <c r="M123" s="242" t="str">
        <f t="shared" si="12"/>
        <v>Same distinctiveness or better habitat required</v>
      </c>
      <c r="N123" s="242" t="s">
        <v>5</v>
      </c>
      <c r="O123" s="242">
        <f t="shared" si="20"/>
        <v>0.33</v>
      </c>
      <c r="P123" s="242" t="s">
        <v>6</v>
      </c>
      <c r="Q123" s="242">
        <f t="shared" si="21"/>
        <v>0.67</v>
      </c>
      <c r="R123" s="175"/>
      <c r="S123" s="242"/>
    </row>
    <row r="124" spans="1:19" x14ac:dyDescent="0.25">
      <c r="A124" s="298" t="s">
        <v>1210</v>
      </c>
      <c r="B124" s="144" t="s">
        <v>1206</v>
      </c>
      <c r="C124" s="299" t="s">
        <v>1411</v>
      </c>
      <c r="D124" s="125" t="s">
        <v>1087</v>
      </c>
      <c r="E124" s="125" t="s">
        <v>1104</v>
      </c>
      <c r="F124" s="242" t="s">
        <v>1105</v>
      </c>
      <c r="G124" s="125"/>
      <c r="H124" s="242" t="s">
        <v>1210</v>
      </c>
      <c r="I124" s="242"/>
      <c r="J124" s="125"/>
      <c r="K124" s="242" t="s">
        <v>8</v>
      </c>
      <c r="L124" s="242">
        <f t="shared" si="19"/>
        <v>2</v>
      </c>
      <c r="M124" s="242" t="str">
        <f t="shared" si="12"/>
        <v>Same distinctiveness or better habitat required</v>
      </c>
      <c r="N124" s="242" t="s">
        <v>5</v>
      </c>
      <c r="O124" s="242">
        <f t="shared" si="20"/>
        <v>0.33</v>
      </c>
      <c r="P124" s="242" t="s">
        <v>5</v>
      </c>
      <c r="Q124" s="242">
        <f t="shared" si="21"/>
        <v>0.33</v>
      </c>
      <c r="R124" s="175"/>
      <c r="S124" s="242"/>
    </row>
    <row r="125" spans="1:19" x14ac:dyDescent="0.25">
      <c r="A125" s="298" t="s">
        <v>1123</v>
      </c>
      <c r="B125" s="144" t="s">
        <v>1122</v>
      </c>
      <c r="C125" s="299" t="s">
        <v>1413</v>
      </c>
      <c r="D125" s="125" t="s">
        <v>1087</v>
      </c>
      <c r="E125" s="125" t="s">
        <v>1104</v>
      </c>
      <c r="F125" s="242" t="s">
        <v>1105</v>
      </c>
      <c r="G125" s="125"/>
      <c r="H125" s="242" t="s">
        <v>1123</v>
      </c>
      <c r="I125" s="242"/>
      <c r="J125" s="125"/>
      <c r="K125" s="242" t="s">
        <v>8</v>
      </c>
      <c r="L125" s="242">
        <f t="shared" si="19"/>
        <v>2</v>
      </c>
      <c r="M125" s="242" t="str">
        <f t="shared" si="12"/>
        <v>Same distinctiveness or better habitat required</v>
      </c>
      <c r="N125" s="242" t="s">
        <v>5</v>
      </c>
      <c r="O125" s="242">
        <f t="shared" si="20"/>
        <v>0.33</v>
      </c>
      <c r="P125" s="242" t="s">
        <v>6</v>
      </c>
      <c r="Q125" s="242">
        <f t="shared" si="21"/>
        <v>0.67</v>
      </c>
      <c r="R125" s="175"/>
      <c r="S125" s="242"/>
    </row>
    <row r="126" spans="1:19" x14ac:dyDescent="0.25">
      <c r="A126" s="188" t="s">
        <v>1170</v>
      </c>
      <c r="B126" s="130" t="s">
        <v>1165</v>
      </c>
      <c r="C126" s="299" t="s">
        <v>1414</v>
      </c>
      <c r="D126" s="125" t="s">
        <v>1087</v>
      </c>
      <c r="E126" s="125"/>
      <c r="F126" s="242" t="s">
        <v>1105</v>
      </c>
      <c r="G126" s="125"/>
      <c r="H126" s="321" t="s">
        <v>1170</v>
      </c>
      <c r="I126" s="242"/>
      <c r="J126" s="125"/>
      <c r="K126" s="242" t="s">
        <v>6</v>
      </c>
      <c r="L126" s="242">
        <f t="shared" ref="L126" si="23">IF(K126=$V$3,$W$3,IF(K126=$V$3,$W$3,IF(K126=$V$4,$W$4,IF(K126=$V$5,$W$5,IF(K126=$V$6,$W$6,IF(K126=$V$7,$W$7))))))</f>
        <v>4</v>
      </c>
      <c r="M126" s="242" t="str">
        <f t="shared" si="12"/>
        <v>Same broad habitat or a higher distinctiveness habitat required</v>
      </c>
      <c r="N126" s="242" t="s">
        <v>6</v>
      </c>
      <c r="O126" s="242">
        <f t="shared" ref="O126" si="24">VLOOKUP(N126,Difficulty,2,FALSE)</f>
        <v>0.67</v>
      </c>
      <c r="P126" s="242" t="s">
        <v>6</v>
      </c>
      <c r="Q126" s="242">
        <f t="shared" ref="Q126" si="25">VLOOKUP(P126,Difficulty,2,FALSE)</f>
        <v>0.67</v>
      </c>
      <c r="R126" s="175"/>
      <c r="S126" s="242"/>
    </row>
    <row r="127" spans="1:19" ht="14.4" thickBot="1" x14ac:dyDescent="0.3">
      <c r="A127" s="188" t="s">
        <v>1171</v>
      </c>
      <c r="B127" s="322" t="s">
        <v>1166</v>
      </c>
      <c r="C127" s="308" t="s">
        <v>1415</v>
      </c>
      <c r="D127" s="320" t="s">
        <v>1087</v>
      </c>
      <c r="E127" s="320"/>
      <c r="F127" s="251" t="s">
        <v>1105</v>
      </c>
      <c r="G127" s="320"/>
      <c r="H127" s="323" t="s">
        <v>1171</v>
      </c>
      <c r="I127" s="251"/>
      <c r="J127" s="320"/>
      <c r="K127" s="251" t="s">
        <v>5</v>
      </c>
      <c r="L127" s="251">
        <f t="shared" ref="L127" si="26">IF(K127=$V$3,$W$3,IF(K127=$V$3,$W$3,IF(K127=$V$4,$W$4,IF(K127=$V$5,$W$5,IF(K127=$V$6,$W$6,IF(K127=$V$7,$W$7))))))</f>
        <v>6</v>
      </c>
      <c r="M127" s="251" t="str">
        <f t="shared" si="12"/>
        <v>Same habitat required</v>
      </c>
      <c r="N127" s="251" t="s">
        <v>5</v>
      </c>
      <c r="O127" s="251">
        <f t="shared" ref="O127" si="27">VLOOKUP(N127,Difficulty,2,FALSE)</f>
        <v>0.33</v>
      </c>
      <c r="P127" s="251" t="s">
        <v>6</v>
      </c>
      <c r="Q127" s="251">
        <f t="shared" ref="Q127" si="28">VLOOKUP(P127,Difficulty,2,FALSE)</f>
        <v>0.67</v>
      </c>
      <c r="R127" s="194"/>
      <c r="S127" s="251"/>
    </row>
    <row r="128" spans="1:19" ht="14.25" customHeight="1" x14ac:dyDescent="0.25">
      <c r="A128" s="188" t="s">
        <v>1173</v>
      </c>
      <c r="B128" s="324" t="s">
        <v>1496</v>
      </c>
      <c r="C128" s="315" t="s">
        <v>1416</v>
      </c>
      <c r="D128" s="316" t="s">
        <v>1087</v>
      </c>
      <c r="E128" s="316"/>
      <c r="F128" s="262" t="s">
        <v>1495</v>
      </c>
      <c r="G128" s="316"/>
      <c r="H128" s="325" t="s">
        <v>1173</v>
      </c>
      <c r="I128" s="262"/>
      <c r="J128" s="316"/>
      <c r="K128" s="262" t="s">
        <v>8</v>
      </c>
      <c r="L128" s="262">
        <f t="shared" ref="L128" si="29">IF(K128=$V$3,$W$3,IF(K128=$V$3,$W$3,IF(K128=$V$4,$W$4,IF(K128=$V$5,$W$5,IF(K128=$V$6,$W$6,IF(K128=$V$7,$W$7))))))</f>
        <v>2</v>
      </c>
      <c r="M128" s="262" t="str">
        <f t="shared" ref="M128:M129" si="30">IF($K128=$V$3,$X$3,IF($K128=$V$4,$X$4,IF($K128=$V$5,$X$5,IF($K128=$V$6,$X$6,IF($K128=$V$7,$X$7)))))</f>
        <v>Same distinctiveness or better habitat required</v>
      </c>
      <c r="N128" s="262" t="s">
        <v>6</v>
      </c>
      <c r="O128" s="262">
        <f t="shared" ref="O128:O130" si="31">VLOOKUP(N128,Difficulty,2,FALSE)</f>
        <v>0.67</v>
      </c>
      <c r="P128" s="262" t="s">
        <v>6</v>
      </c>
      <c r="Q128" s="262">
        <f t="shared" ref="Q128:Q130" si="32">VLOOKUP(P128,Difficulty,2,FALSE)</f>
        <v>0.67</v>
      </c>
      <c r="R128" s="179"/>
      <c r="S128" s="262"/>
    </row>
    <row r="129" spans="1:19" x14ac:dyDescent="0.25">
      <c r="A129" s="188" t="s">
        <v>1174</v>
      </c>
      <c r="B129" s="130" t="s">
        <v>1497</v>
      </c>
      <c r="C129" s="299" t="s">
        <v>1417</v>
      </c>
      <c r="D129" s="125" t="s">
        <v>1087</v>
      </c>
      <c r="E129" s="125"/>
      <c r="F129" s="262" t="s">
        <v>1495</v>
      </c>
      <c r="G129" s="125"/>
      <c r="H129" s="321" t="s">
        <v>1174</v>
      </c>
      <c r="I129" s="242"/>
      <c r="J129" s="125"/>
      <c r="K129" s="262" t="s">
        <v>8</v>
      </c>
      <c r="L129" s="242">
        <f t="shared" ref="L129" si="33">IF(K129=$V$3,$W$3,IF(K129=$V$3,$W$3,IF(K129=$V$4,$W$4,IF(K129=$V$5,$W$5,IF(K129=$V$6,$W$6,IF(K129=$V$7,$W$7))))))</f>
        <v>2</v>
      </c>
      <c r="M129" s="242" t="str">
        <f t="shared" si="30"/>
        <v>Same distinctiveness or better habitat required</v>
      </c>
      <c r="N129" s="242" t="s">
        <v>6</v>
      </c>
      <c r="O129" s="242">
        <f t="shared" si="31"/>
        <v>0.67</v>
      </c>
      <c r="P129" s="242" t="s">
        <v>6</v>
      </c>
      <c r="Q129" s="242">
        <f t="shared" si="32"/>
        <v>0.67</v>
      </c>
      <c r="R129" s="175"/>
      <c r="S129" s="242"/>
    </row>
    <row r="130" spans="1:19" ht="27.6" x14ac:dyDescent="0.25">
      <c r="A130" s="188" t="s">
        <v>1175</v>
      </c>
      <c r="B130" s="130" t="s">
        <v>1498</v>
      </c>
      <c r="C130" s="299" t="s">
        <v>1418</v>
      </c>
      <c r="D130" s="125" t="s">
        <v>1087</v>
      </c>
      <c r="E130" s="125"/>
      <c r="F130" s="262" t="s">
        <v>1495</v>
      </c>
      <c r="G130" s="125"/>
      <c r="H130" s="321" t="s">
        <v>1175</v>
      </c>
      <c r="I130" s="242"/>
      <c r="J130" s="125"/>
      <c r="K130" s="242" t="s">
        <v>6</v>
      </c>
      <c r="L130" s="242">
        <f t="shared" ref="L130" si="34">IF(K130=$V$3,$W$3,IF(K130=$V$3,$W$3,IF(K130=$V$4,$W$4,IF(K130=$V$5,$W$5,IF(K130=$V$6,$W$6,IF(K130=$V$7,$W$7))))))</f>
        <v>4</v>
      </c>
      <c r="M130" s="242" t="str">
        <f t="shared" ref="M130" si="35">IF($K130=$V$3,$X$3,IF($K130=$V$4,$X$4,IF($K130=$V$5,$X$5,IF($K130=$V$6,$X$6,IF($K130=$V$7,$X$7)))))</f>
        <v>Same broad habitat or a higher distinctiveness habitat required</v>
      </c>
      <c r="N130" s="242" t="s">
        <v>6</v>
      </c>
      <c r="O130" s="242">
        <f t="shared" si="31"/>
        <v>0.67</v>
      </c>
      <c r="P130" s="242" t="s">
        <v>6</v>
      </c>
      <c r="Q130" s="242">
        <f t="shared" si="32"/>
        <v>0.67</v>
      </c>
      <c r="R130" s="175"/>
      <c r="S130" s="242"/>
    </row>
    <row r="131" spans="1:19" x14ac:dyDescent="0.25"/>
    <row r="132" spans="1:19" x14ac:dyDescent="0.25"/>
    <row r="133" spans="1:19" x14ac:dyDescent="0.25"/>
    <row r="134" spans="1:19" x14ac:dyDescent="0.25"/>
    <row r="135" spans="1:19" x14ac:dyDescent="0.25"/>
    <row r="136" spans="1:19" x14ac:dyDescent="0.25"/>
    <row r="137" spans="1:19" x14ac:dyDescent="0.25"/>
    <row r="138" spans="1:19" x14ac:dyDescent="0.25"/>
    <row r="139" spans="1:19" x14ac:dyDescent="0.25"/>
    <row r="140" spans="1:19" x14ac:dyDescent="0.25"/>
    <row r="141" spans="1:19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</sheetData>
  <sheetProtection algorithmName="SHA-512" hashValue="KO5jPhIhDoGZhy8RvtWMfbavU3AuPNjUfY0DerI3118SqBo76bTDT4ZRmWXZ064A68Avuq1iAj3Kyd7OfaabMw==" saltValue="qZL1+BAjKeyaSOJaHUEEHA==" spinCount="100000" sheet="1" objects="1" scenarios="1"/>
  <autoFilter ref="B2:S130" xr:uid="{00000000-0009-0000-0000-00000F000000}"/>
  <customSheetViews>
    <customSheetView guid="{8BDA793C-C9C5-4FC6-A0A5-F1109F6D4F22}" scale="80" state="hidden">
      <pane xSplit="2" ySplit="2" topLeftCell="C3" activePane="bottomRight" state="frozen"/>
      <selection pane="bottomRight" activeCell="D14" sqref="D14"/>
    </customSheetView>
  </customSheetViews>
  <mergeCells count="5">
    <mergeCell ref="Z1:AA1"/>
    <mergeCell ref="V1:X1"/>
    <mergeCell ref="AF1:AF2"/>
    <mergeCell ref="AG1:AG2"/>
    <mergeCell ref="D1:F1"/>
  </mergeCells>
  <dataValidations count="1">
    <dataValidation type="list" allowBlank="1" showInputMessage="1" showErrorMessage="1" sqref="K3:K130" xr:uid="{00000000-0002-0000-0F00-000000000000}">
      <formula1>$V$3:$V$7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1000000}">
          <x14:formula1>
            <xm:f>'G-3 Multipliers'!$P$3:$P$6</xm:f>
          </x14:formula1>
          <xm:sqref>P3:P130 N3:N130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tabColor rgb="FFFFC000"/>
  </sheetPr>
  <dimension ref="A1:BG173"/>
  <sheetViews>
    <sheetView showGridLines="0" showRowColHeaders="0" zoomScaleNormal="100" workbookViewId="0">
      <selection activeCell="Z164" sqref="Z164"/>
    </sheetView>
  </sheetViews>
  <sheetFormatPr defaultColWidth="16.44140625" defaultRowHeight="13.8" x14ac:dyDescent="0.25"/>
  <cols>
    <col min="1" max="1" width="88.88671875" style="35" bestFit="1" customWidth="1"/>
    <col min="2" max="2" width="27.6640625" style="35" customWidth="1"/>
    <col min="3" max="3" width="18.5546875" style="35" customWidth="1"/>
    <col min="4" max="4" width="62.88671875" style="35" bestFit="1" customWidth="1"/>
    <col min="5" max="35" width="16.44140625" style="35"/>
    <col min="36" max="36" width="23.6640625" style="35" customWidth="1"/>
    <col min="37" max="38" width="16.44140625" style="35"/>
    <col min="39" max="39" width="23" style="35" customWidth="1"/>
    <col min="40" max="40" width="23.44140625" style="35" customWidth="1"/>
    <col min="41" max="41" width="21.6640625" style="35" customWidth="1"/>
    <col min="42" max="42" width="23.5546875" style="35" customWidth="1"/>
    <col min="43" max="46" width="16.44140625" style="35"/>
    <col min="47" max="47" width="78.44140625" style="35" customWidth="1"/>
    <col min="48" max="48" width="24.44140625" style="35" bestFit="1" customWidth="1"/>
    <col min="49" max="49" width="16.88671875" style="35" bestFit="1" customWidth="1"/>
    <col min="50" max="50" width="23.5546875" style="35" bestFit="1" customWidth="1"/>
    <col min="51" max="51" width="28.109375" style="35" customWidth="1"/>
    <col min="52" max="52" width="29.33203125" style="35" bestFit="1" customWidth="1"/>
    <col min="53" max="53" width="26.109375" style="35" bestFit="1" customWidth="1"/>
    <col min="54" max="54" width="25.88671875" style="35" bestFit="1" customWidth="1"/>
    <col min="55" max="55" width="28.109375" style="35" bestFit="1" customWidth="1"/>
    <col min="56" max="57" width="34.6640625" style="35" bestFit="1" customWidth="1"/>
    <col min="58" max="58" width="27.109375" style="35" bestFit="1" customWidth="1"/>
    <col min="59" max="59" width="9.109375" style="35" bestFit="1" customWidth="1"/>
    <col min="60" max="16384" width="16.44140625" style="35"/>
  </cols>
  <sheetData>
    <row r="1" spans="1:59" ht="51.6" customHeight="1" x14ac:dyDescent="0.6">
      <c r="A1" s="1086" t="s">
        <v>1318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  <c r="N1" s="1086"/>
      <c r="O1" s="1086"/>
      <c r="P1" s="1086"/>
      <c r="Q1" s="1086"/>
      <c r="R1" s="1086"/>
      <c r="S1" s="1086"/>
      <c r="T1" s="1086"/>
      <c r="U1" s="1086"/>
      <c r="V1" s="1086"/>
      <c r="W1" s="1086"/>
      <c r="X1" s="1086"/>
      <c r="Y1" s="1086"/>
      <c r="Z1" s="1086"/>
      <c r="AA1" s="1086"/>
      <c r="AB1" s="1086"/>
      <c r="AC1" s="1086"/>
      <c r="AD1" s="1086"/>
      <c r="AE1" s="1086"/>
      <c r="AF1" s="1086"/>
      <c r="AG1" s="151"/>
      <c r="AJ1" s="1083" t="s">
        <v>160</v>
      </c>
      <c r="AK1" s="1084"/>
      <c r="AL1" s="1084"/>
      <c r="AM1" s="1084"/>
      <c r="AN1" s="1084"/>
      <c r="AO1" s="1084"/>
      <c r="AP1" s="1085"/>
      <c r="AU1" s="1083" t="s">
        <v>781</v>
      </c>
      <c r="AV1" s="1084"/>
      <c r="AW1" s="1084"/>
      <c r="AX1" s="1084"/>
      <c r="AY1" s="1084"/>
      <c r="AZ1" s="1084"/>
      <c r="BA1" s="1084"/>
      <c r="BB1" s="1084"/>
      <c r="BC1" s="1084"/>
      <c r="BD1" s="1084"/>
      <c r="BE1" s="1084"/>
      <c r="BF1" s="1084"/>
      <c r="BG1" s="1085"/>
    </row>
    <row r="2" spans="1:59" ht="22.8" x14ac:dyDescent="0.4">
      <c r="A2" s="126">
        <v>1</v>
      </c>
      <c r="B2" s="126">
        <v>2</v>
      </c>
      <c r="C2" s="126">
        <v>3</v>
      </c>
      <c r="D2" s="126">
        <v>4</v>
      </c>
      <c r="E2" s="126">
        <v>5</v>
      </c>
      <c r="F2" s="126">
        <v>6</v>
      </c>
      <c r="G2" s="126">
        <v>7</v>
      </c>
      <c r="H2" s="126">
        <v>8</v>
      </c>
      <c r="I2" s="126">
        <v>9</v>
      </c>
      <c r="J2" s="126">
        <v>10</v>
      </c>
      <c r="K2" s="126">
        <v>11</v>
      </c>
      <c r="L2" s="126">
        <v>12</v>
      </c>
      <c r="M2" s="126">
        <v>13</v>
      </c>
      <c r="N2" s="126">
        <v>14</v>
      </c>
      <c r="O2" s="126">
        <v>15</v>
      </c>
      <c r="P2" s="126">
        <v>16</v>
      </c>
      <c r="Q2" s="126">
        <v>17</v>
      </c>
      <c r="R2" s="126">
        <v>18</v>
      </c>
      <c r="S2" s="126">
        <v>19</v>
      </c>
      <c r="T2" s="126">
        <v>20</v>
      </c>
      <c r="U2" s="126">
        <v>21</v>
      </c>
      <c r="V2" s="126">
        <v>22</v>
      </c>
      <c r="W2" s="126">
        <v>23</v>
      </c>
      <c r="X2" s="126">
        <v>24</v>
      </c>
      <c r="Y2" s="126">
        <v>25</v>
      </c>
      <c r="Z2" s="126">
        <v>26</v>
      </c>
      <c r="AA2" s="126">
        <v>27</v>
      </c>
      <c r="AB2" s="126">
        <v>28</v>
      </c>
      <c r="AC2" s="126">
        <v>29</v>
      </c>
      <c r="AD2" s="126">
        <v>30</v>
      </c>
      <c r="AE2" s="126">
        <v>31</v>
      </c>
      <c r="AF2" s="127">
        <v>32</v>
      </c>
    </row>
    <row r="3" spans="1:59" ht="107.4" customHeight="1" x14ac:dyDescent="0.6">
      <c r="A3" s="128" t="s">
        <v>1039</v>
      </c>
      <c r="B3" s="128" t="s">
        <v>134</v>
      </c>
      <c r="C3" s="128" t="s">
        <v>127</v>
      </c>
      <c r="D3" s="128" t="s">
        <v>1319</v>
      </c>
      <c r="E3" s="128" t="s">
        <v>1494</v>
      </c>
      <c r="F3" s="128" t="s">
        <v>1493</v>
      </c>
      <c r="G3" s="128" t="s">
        <v>1320</v>
      </c>
      <c r="H3" s="128" t="s">
        <v>1463</v>
      </c>
      <c r="I3" s="128" t="s">
        <v>364</v>
      </c>
      <c r="J3" s="128" t="s">
        <v>1433</v>
      </c>
      <c r="K3" s="128" t="s">
        <v>1464</v>
      </c>
      <c r="L3" s="128" t="s">
        <v>1362</v>
      </c>
      <c r="M3" s="128" t="s">
        <v>1465</v>
      </c>
      <c r="N3" s="128" t="s">
        <v>1364</v>
      </c>
      <c r="O3" s="128" t="s">
        <v>365</v>
      </c>
      <c r="P3" s="128" t="s">
        <v>366</v>
      </c>
      <c r="Q3" s="128" t="s">
        <v>305</v>
      </c>
      <c r="R3" s="128" t="s">
        <v>306</v>
      </c>
      <c r="S3" s="128" t="s">
        <v>1321</v>
      </c>
      <c r="T3" s="128" t="s">
        <v>821</v>
      </c>
      <c r="U3" s="128" t="s">
        <v>1466</v>
      </c>
      <c r="V3" s="128" t="s">
        <v>1422</v>
      </c>
      <c r="W3" s="128" t="s">
        <v>1467</v>
      </c>
      <c r="X3" s="128" t="s">
        <v>1424</v>
      </c>
      <c r="Y3" s="128" t="s">
        <v>1468</v>
      </c>
      <c r="Z3" s="128" t="s">
        <v>1469</v>
      </c>
      <c r="AA3" s="128" t="s">
        <v>1130</v>
      </c>
      <c r="AB3" s="128" t="s">
        <v>820</v>
      </c>
      <c r="AC3" s="128" t="s">
        <v>1470</v>
      </c>
      <c r="AD3" s="128" t="s">
        <v>1428</v>
      </c>
      <c r="AE3" s="128" t="s">
        <v>367</v>
      </c>
      <c r="AF3" s="128" t="s">
        <v>1430</v>
      </c>
      <c r="AJ3" s="150" t="s">
        <v>1323</v>
      </c>
      <c r="AK3" s="152" t="s">
        <v>149</v>
      </c>
      <c r="AL3" s="152" t="s">
        <v>150</v>
      </c>
      <c r="AM3" s="152" t="s">
        <v>775</v>
      </c>
      <c r="AN3" s="152" t="s">
        <v>776</v>
      </c>
      <c r="AO3" s="152" t="s">
        <v>777</v>
      </c>
      <c r="AP3" s="152" t="s">
        <v>778</v>
      </c>
      <c r="AU3" s="139" t="s">
        <v>342</v>
      </c>
      <c r="AV3" s="140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</row>
    <row r="4" spans="1:59" ht="31.2" x14ac:dyDescent="0.3">
      <c r="A4" s="129" t="str">
        <f>'G-1 All Habitats'!B3</f>
        <v>Cropland - Arable field margins cultivated annually</v>
      </c>
      <c r="B4" s="100" t="str">
        <f>'G-1 All Habitats'!F3</f>
        <v>Cropland</v>
      </c>
      <c r="C4" s="100" t="str">
        <f>'G-1 All Habitats'!K3</f>
        <v>Medium</v>
      </c>
      <c r="D4" s="100" t="str">
        <f>'G-1 All Habitats'!M3</f>
        <v>Same broad habitat or a higher distinctiveness habitat required</v>
      </c>
      <c r="E4" s="111">
        <f>IF(C4="V.High",SUMIF('A-1 Site Habitat Baseline'!$G$11:$G$258,'G-2 Habitat groups'!A4,'A-1 Site Habitat Baseline'!$S$11:$S$258)+SUMIF('A-1 Site Habitat Baseline'!$G$11:$G$258,'G-2 Habitat groups'!A4,'A-1 Site Habitat Baseline'!$T$11:$T$258),SUMIF('A-1 Site Habitat Baseline'!$G$11:$G$258,'G-2 Habitat groups'!A4,'A-1 Site Habitat Baseline'!$H$11:$H$258))</f>
        <v>0</v>
      </c>
      <c r="F4" s="111">
        <f>SUMIF('A-1 Site Habitat Baseline'!$G$11:$G$258,'G-2 Habitat groups'!A4,'A-1 Site Habitat Baseline'!$Q$11:$Q$258)</f>
        <v>0</v>
      </c>
      <c r="G4" s="111">
        <f>SUMIF('A-1 Site Habitat Baseline'!$G$11:$G$258,'G-2 Habitat groups'!A4,'A-1 Site Habitat Baseline'!$S$11:$S$258)</f>
        <v>0</v>
      </c>
      <c r="H4" s="111">
        <f>SUMIF('A-1 Site Habitat Baseline'!$G$11:$G$258,'G-2 Habitat groups'!A4,'A-1 Site Habitat Baseline'!$U$11:$U$258)</f>
        <v>0</v>
      </c>
      <c r="I4" s="111">
        <f>SUMIF('A-1 Site Habitat Baseline'!$G$11:$G$258,'G-2 Habitat groups'!A4,'A-1 Site Habitat Baseline'!$W$11:$W$258)</f>
        <v>0</v>
      </c>
      <c r="J4" s="111">
        <f>SUMIF('A-1 Site Habitat Baseline'!$G$11:$G$258,'G-2 Habitat groups'!A4,'A-1 Site Habitat Baseline'!$X$11:$X$258)</f>
        <v>0</v>
      </c>
      <c r="K4" s="111">
        <f>SUMIF('A-2 Site Habitat Creation'!$F$11:$F$256,'G-2 Habitat groups'!A4,'A-2 Site Habitat Creation'!$G$11:$G$256)</f>
        <v>0</v>
      </c>
      <c r="L4" s="111">
        <f>SUMIF('A-2 Site Habitat Creation'!$F$11:$F$256,'G-2 Habitat groups'!A4,'A-2 Site Habitat Creation'!$Y$11:$Y$256)</f>
        <v>0</v>
      </c>
      <c r="M4" s="111">
        <f>SUMIF('A-3 Site Habitat Enhancement'!$S$12:$S$257,'G-2 Habitat groups'!A4,'A-3 Site Habitat Enhancement'!$V$12:$V$257)</f>
        <v>0</v>
      </c>
      <c r="N4" s="111">
        <f>SUMIF('A-3 Site Habitat Enhancement'!$S$12:$S$257,'G-2 Habitat groups'!A4,'A-3 Site Habitat Enhancement'!$AN$12:$AN$257)</f>
        <v>0</v>
      </c>
      <c r="O4" s="111">
        <f t="shared" ref="O4:O35" si="0">G4+K4+M4</f>
        <v>0</v>
      </c>
      <c r="P4" s="111">
        <f t="shared" ref="P4:P35" si="1">H4+L4+N4</f>
        <v>0</v>
      </c>
      <c r="Q4" s="111">
        <f t="shared" ref="Q4:Q35" si="2">O4-E4</f>
        <v>0</v>
      </c>
      <c r="R4" s="111">
        <f t="shared" ref="R4:R35" si="3">P4-F4</f>
        <v>0</v>
      </c>
      <c r="S4" s="111">
        <f>IF(C4="V.High",SUMIF('D-1 Off Site Habitat Baseline'!$G$11:$G$258,'G-2 Habitat groups'!A4,'D-1 Off Site Habitat Baseline'!$S$11:$S$258)+SUMIF('D-1 Off Site Habitat Baseline'!$G$11:$G$258,'G-2 Habitat groups'!A4,'D-1 Off Site Habitat Baseline'!$T$11:$T$258),SUMIF('D-1 Off Site Habitat Baseline'!$G$11:$G$258,'G-2 Habitat groups'!A4,'D-1 Off Site Habitat Baseline'!$H$11:$H$258))</f>
        <v>0</v>
      </c>
      <c r="T4" s="111">
        <f>SUMIF('D-1 Off Site Habitat Baseline'!$G$11:$G$258,'G-2 Habitat groups'!A4,'D-1 Off Site Habitat Baseline'!$Q$11:$Q$258)</f>
        <v>0</v>
      </c>
      <c r="U4" s="512">
        <f>SUMIF('D-1 Off Site Habitat Baseline'!$G$11:$G$258,'G-2 Habitat groups'!A4,'D-1 Off Site Habitat Baseline'!$S$11:$S$258)</f>
        <v>0</v>
      </c>
      <c r="V4" s="111">
        <f>SUMIF('D-1 Off Site Habitat Baseline'!$G$11:$G$258,'G-2 Habitat groups'!A4,'D-1 Off Site Habitat Baseline'!$U$11:$U$258)</f>
        <v>0</v>
      </c>
      <c r="W4" s="111">
        <f>SUMIF('D-2 Off Site Habitat Creation'!$F$9:$F$255,'G-2 Habitat groups'!A4,'D-2 Off Site Habitat Creation'!$G$9:$G$255)</f>
        <v>0</v>
      </c>
      <c r="X4" s="111">
        <f>SUMIF('D-2 Off Site Habitat Creation'!$F$9:$F$255,'G-2 Habitat groups'!A4,'D-2 Off Site Habitat Creation'!$AA$9:$AA$255)</f>
        <v>0</v>
      </c>
      <c r="Y4" s="111">
        <f>SUMIF('D-3 Off Site Habitat Enhancment'!$S$12:$S$491,'G-2 Habitat groups'!A4,'D-3 Off Site Habitat Enhancment'!$V$12:$V$491)</f>
        <v>0</v>
      </c>
      <c r="Z4" s="111">
        <f>SUMIF('D-3 Off Site Habitat Enhancment'!$S$12:$S$491,'G-2 Habitat groups'!A4,'D-3 Off Site Habitat Enhancment'!$AP$12:$AP$491)</f>
        <v>0</v>
      </c>
      <c r="AA4" s="111">
        <f t="shared" ref="AA4:AA35" si="4">U4+W4+Y4</f>
        <v>0</v>
      </c>
      <c r="AB4" s="111">
        <f t="shared" ref="AB4:AB35" si="5">V4+X4+Z4</f>
        <v>0</v>
      </c>
      <c r="AC4" s="111">
        <f t="shared" ref="AC4:AC35" si="6">AA4-S4</f>
        <v>0</v>
      </c>
      <c r="AD4" s="111">
        <f t="shared" ref="AD4:AD35" si="7">AB4-T4</f>
        <v>0</v>
      </c>
      <c r="AE4" s="111">
        <f t="shared" ref="AE4:AE35" si="8">Q4+AC4</f>
        <v>0</v>
      </c>
      <c r="AF4" s="111">
        <f t="shared" ref="AF4:AF35" si="9">R4+AD4</f>
        <v>0</v>
      </c>
      <c r="AJ4" s="131" t="s">
        <v>165</v>
      </c>
      <c r="AK4" s="137">
        <f t="shared" ref="AK4:AK16" si="10">SUMIF($B:$B,$AJ4,E:E)</f>
        <v>0</v>
      </c>
      <c r="AL4" s="137">
        <f t="shared" ref="AL4:AL16" si="11">SUMIF($B:$B,$AJ4,F:F)</f>
        <v>0</v>
      </c>
      <c r="AM4" s="137">
        <f t="shared" ref="AM4:AM16" si="12">SUMIF($B:$B,$AJ4,O:O)</f>
        <v>0</v>
      </c>
      <c r="AN4" s="137">
        <f t="shared" ref="AN4:AN16" si="13">SUMIF($B:$B,$AJ4,P:P)</f>
        <v>0</v>
      </c>
      <c r="AO4" s="136">
        <f t="shared" ref="AO4:AO16" si="14">SUMIF($B:$B,$AJ4,Q:Q)</f>
        <v>0</v>
      </c>
      <c r="AP4" s="136">
        <f t="shared" ref="AP4:AP16" si="15">SUMIF($B:$B,$AJ4,R:R)</f>
        <v>0</v>
      </c>
      <c r="AU4" s="148" t="s">
        <v>148</v>
      </c>
      <c r="AV4" s="152" t="s">
        <v>134</v>
      </c>
      <c r="AW4" s="152" t="s">
        <v>149</v>
      </c>
      <c r="AX4" s="152" t="s">
        <v>785</v>
      </c>
      <c r="AY4" s="152" t="s">
        <v>775</v>
      </c>
      <c r="AZ4" s="152" t="s">
        <v>776</v>
      </c>
      <c r="BA4" s="152" t="s">
        <v>777</v>
      </c>
      <c r="BB4" s="152" t="s">
        <v>778</v>
      </c>
      <c r="BC4" s="152" t="s">
        <v>779</v>
      </c>
      <c r="BD4" s="152" t="s">
        <v>1324</v>
      </c>
      <c r="BE4" s="152" t="s">
        <v>783</v>
      </c>
      <c r="BF4" s="152" t="s">
        <v>784</v>
      </c>
      <c r="BG4" s="152" t="s">
        <v>836</v>
      </c>
    </row>
    <row r="5" spans="1:59" ht="14.4" customHeight="1" x14ac:dyDescent="0.25">
      <c r="A5" s="129" t="str">
        <f>'G-1 All Habitats'!B4</f>
        <v>Cropland - Arable field margins game bird mix</v>
      </c>
      <c r="B5" s="100" t="str">
        <f>'G-1 All Habitats'!F4</f>
        <v>Cropland</v>
      </c>
      <c r="C5" s="100" t="str">
        <f>'G-1 All Habitats'!K4</f>
        <v>Medium</v>
      </c>
      <c r="D5" s="100" t="str">
        <f>'G-1 All Habitats'!M4</f>
        <v>Same broad habitat or a higher distinctiveness habitat required</v>
      </c>
      <c r="E5" s="111">
        <f>IF(C5="V.High",SUMIF('A-1 Site Habitat Baseline'!$G$11:$G$258,'G-2 Habitat groups'!A5,'A-1 Site Habitat Baseline'!$S$11:$S$258)+SUMIF('A-1 Site Habitat Baseline'!$G$11:$G$258,'G-2 Habitat groups'!A5,'A-1 Site Habitat Baseline'!$T$11:$T$258),SUMIF('A-1 Site Habitat Baseline'!$G$11:$G$258,'G-2 Habitat groups'!A5,'A-1 Site Habitat Baseline'!$H$11:$H$258))</f>
        <v>0</v>
      </c>
      <c r="F5" s="111">
        <f>SUMIF('A-1 Site Habitat Baseline'!$G$11:$G$258,'G-2 Habitat groups'!A5,'A-1 Site Habitat Baseline'!$Q$11:$Q$258)</f>
        <v>0</v>
      </c>
      <c r="G5" s="111">
        <f>SUMIF('A-1 Site Habitat Baseline'!$G$11:$G$258,'G-2 Habitat groups'!A5,'A-1 Site Habitat Baseline'!$S$11:$S$258)</f>
        <v>0</v>
      </c>
      <c r="H5" s="111">
        <f>SUMIF('A-1 Site Habitat Baseline'!$G$11:$G$258,'G-2 Habitat groups'!A5,'A-1 Site Habitat Baseline'!$U$11:$U$258)</f>
        <v>0</v>
      </c>
      <c r="I5" s="111">
        <f>SUMIF('A-1 Site Habitat Baseline'!$G$11:$G$258,'G-2 Habitat groups'!A5,'A-1 Site Habitat Baseline'!$W$11:$W$258)</f>
        <v>0</v>
      </c>
      <c r="J5" s="111">
        <f>SUMIF('A-1 Site Habitat Baseline'!$G$11:$G$258,'G-2 Habitat groups'!A5,'A-1 Site Habitat Baseline'!$X$11:$X$258)</f>
        <v>0</v>
      </c>
      <c r="K5" s="111">
        <f>SUMIF('A-2 Site Habitat Creation'!$F$11:$F$256,'G-2 Habitat groups'!A5,'A-2 Site Habitat Creation'!$G$11:$G$256)</f>
        <v>0</v>
      </c>
      <c r="L5" s="111">
        <f>SUMIF('A-2 Site Habitat Creation'!$F$11:$F$256,'G-2 Habitat groups'!A5,'A-2 Site Habitat Creation'!$Y$11:$Y$256)</f>
        <v>0</v>
      </c>
      <c r="M5" s="111">
        <f>SUMIF('A-3 Site Habitat Enhancement'!$S$12:$S$257,'G-2 Habitat groups'!A5,'A-3 Site Habitat Enhancement'!$V$12:$V$257)</f>
        <v>0</v>
      </c>
      <c r="N5" s="111">
        <f>SUMIF('A-3 Site Habitat Enhancement'!$S$12:$S$257,'G-2 Habitat groups'!A5,'A-3 Site Habitat Enhancement'!$AN$12:$AN$257)</f>
        <v>0</v>
      </c>
      <c r="O5" s="111">
        <f t="shared" si="0"/>
        <v>0</v>
      </c>
      <c r="P5" s="111">
        <f t="shared" si="1"/>
        <v>0</v>
      </c>
      <c r="Q5" s="111">
        <f t="shared" si="2"/>
        <v>0</v>
      </c>
      <c r="R5" s="111">
        <f t="shared" si="3"/>
        <v>0</v>
      </c>
      <c r="S5" s="111">
        <f>IF(C5="V.High",SUMIF('D-1 Off Site Habitat Baseline'!$G$11:$G$258,'G-2 Habitat groups'!A5,'D-1 Off Site Habitat Baseline'!$S$11:$S$258)+SUMIF('D-1 Off Site Habitat Baseline'!$G$11:$G$258,'G-2 Habitat groups'!A5,'D-1 Off Site Habitat Baseline'!$T$11:$T$258),SUMIF('D-1 Off Site Habitat Baseline'!$G$11:$G$258,'G-2 Habitat groups'!A5,'D-1 Off Site Habitat Baseline'!$H$11:$H$258))</f>
        <v>0</v>
      </c>
      <c r="T5" s="111">
        <f>SUMIF('D-1 Off Site Habitat Baseline'!$G$11:$G$258,'G-2 Habitat groups'!A5,'D-1 Off Site Habitat Baseline'!$Q$11:$Q$258)</f>
        <v>0</v>
      </c>
      <c r="U5" s="513">
        <f>SUMIF('D-1 Off Site Habitat Baseline'!$G$11:$G$258,'G-2 Habitat groups'!A5,'D-1 Off Site Habitat Baseline'!$S$11:$S$258)</f>
        <v>0</v>
      </c>
      <c r="V5" s="111">
        <f>SUMIF('D-1 Off Site Habitat Baseline'!$G$11:$G$258,'G-2 Habitat groups'!A5,'D-1 Off Site Habitat Baseline'!$U$11:$U$258)</f>
        <v>0</v>
      </c>
      <c r="W5" s="111">
        <f>SUMIF('D-2 Off Site Habitat Creation'!$F$9:$F$255,'G-2 Habitat groups'!A5,'D-2 Off Site Habitat Creation'!$G$9:$G$255)</f>
        <v>0</v>
      </c>
      <c r="X5" s="111">
        <f>SUMIF('D-2 Off Site Habitat Creation'!$F$9:$F$255,'G-2 Habitat groups'!A5,'D-2 Off Site Habitat Creation'!$AA$9:$AA$255)</f>
        <v>0</v>
      </c>
      <c r="Y5" s="111">
        <f>SUMIF('D-3 Off Site Habitat Enhancment'!$S$12:$S$491,'G-2 Habitat groups'!A5,'D-3 Off Site Habitat Enhancment'!$V$12:$V$491)</f>
        <v>0</v>
      </c>
      <c r="Z5" s="111">
        <f>SUMIF('D-3 Off Site Habitat Enhancment'!$S$12:$S$491,'G-2 Habitat groups'!A5,'D-3 Off Site Habitat Enhancment'!$AP$12:$AP$491)</f>
        <v>0</v>
      </c>
      <c r="AA5" s="111">
        <f t="shared" si="4"/>
        <v>0</v>
      </c>
      <c r="AB5" s="111">
        <f t="shared" si="5"/>
        <v>0</v>
      </c>
      <c r="AC5" s="111">
        <f t="shared" si="6"/>
        <v>0</v>
      </c>
      <c r="AD5" s="111">
        <f t="shared" si="7"/>
        <v>0</v>
      </c>
      <c r="AE5" s="111">
        <f t="shared" si="8"/>
        <v>0</v>
      </c>
      <c r="AF5" s="111">
        <f t="shared" si="9"/>
        <v>0</v>
      </c>
      <c r="AJ5" s="132" t="s">
        <v>135</v>
      </c>
      <c r="AK5" s="124">
        <f t="shared" si="10"/>
        <v>0.27579999999999999</v>
      </c>
      <c r="AL5" s="124">
        <f t="shared" si="11"/>
        <v>0.55159999999999998</v>
      </c>
      <c r="AM5" s="124">
        <f>SUMIF($B:$B,$AJ5,O:O)</f>
        <v>0.1249</v>
      </c>
      <c r="AN5" s="124">
        <f t="shared" si="13"/>
        <v>0.33510976000000003</v>
      </c>
      <c r="AO5" s="136">
        <f t="shared" si="14"/>
        <v>-0.15089999999999998</v>
      </c>
      <c r="AP5" s="136">
        <f t="shared" si="15"/>
        <v>-0.21649024</v>
      </c>
      <c r="AU5" s="144" t="s">
        <v>151</v>
      </c>
      <c r="AV5" s="100" t="s">
        <v>135</v>
      </c>
      <c r="AW5" s="111">
        <f t="shared" ref="AW5:AW24" si="16">VLOOKUP($AU5,AllHabsSummaryData,5,FALSE)</f>
        <v>0</v>
      </c>
      <c r="AX5" s="111">
        <f t="shared" ref="AX5:AX24" si="17">VLOOKUP($AU5,AllHabsSummaryData,10,FALSE)</f>
        <v>0</v>
      </c>
      <c r="AY5" s="111">
        <f t="shared" ref="AY5:AY24" si="18">VLOOKUP($AU5,AllHabsSummaryData,15,FALSE)</f>
        <v>0</v>
      </c>
      <c r="AZ5" s="111">
        <f t="shared" ref="AZ5:AZ24" si="19">VLOOKUP($AU5,AllHabsSummaryData,16,FALSE)</f>
        <v>0</v>
      </c>
      <c r="BA5" s="111">
        <f t="shared" ref="BA5:BA24" si="20">VLOOKUP($AU5,AllHabsSummaryData,17,FALSE)</f>
        <v>0</v>
      </c>
      <c r="BB5" s="111">
        <f t="shared" ref="BB5:BB24" si="21">VLOOKUP($AU5,AllHabsSummaryData,18,FALSE)</f>
        <v>0</v>
      </c>
      <c r="BC5" s="111">
        <f t="shared" ref="BC5:BC24" si="22">VLOOKUP($AU5,AllHabsSummaryData,27,FALSE)</f>
        <v>0</v>
      </c>
      <c r="BD5" s="111">
        <f t="shared" ref="BD5:BD24" si="23">VLOOKUP($AU5,AllHabsSummaryData,30,FALSE)</f>
        <v>0</v>
      </c>
      <c r="BE5" s="111">
        <f t="shared" ref="BE5:BE24" si="24">BB5+BD5</f>
        <v>0</v>
      </c>
      <c r="BF5" s="111" t="str">
        <f t="shared" ref="BF5:BF24" si="25">IF(BE5&lt;0,BE5,"")</f>
        <v/>
      </c>
      <c r="BG5" s="111">
        <f>VLOOKUP($AU5,AllHabsSummaryData,9,FALSE)</f>
        <v>0</v>
      </c>
    </row>
    <row r="6" spans="1:59" ht="14.4" customHeight="1" x14ac:dyDescent="0.25">
      <c r="A6" s="129" t="str">
        <f>'G-1 All Habitats'!B5</f>
        <v>Cropland - Arable field margins pollen &amp; nectar</v>
      </c>
      <c r="B6" s="100" t="str">
        <f>'G-1 All Habitats'!F5</f>
        <v>Cropland</v>
      </c>
      <c r="C6" s="100" t="str">
        <f>'G-1 All Habitats'!K5</f>
        <v>Medium</v>
      </c>
      <c r="D6" s="100" t="str">
        <f>'G-1 All Habitats'!M5</f>
        <v>Same broad habitat or a higher distinctiveness habitat required</v>
      </c>
      <c r="E6" s="111">
        <f>IF(C6="V.High",SUMIF('A-1 Site Habitat Baseline'!$G$11:$G$258,'G-2 Habitat groups'!A6,'A-1 Site Habitat Baseline'!$S$11:$S$258)+SUMIF('A-1 Site Habitat Baseline'!$G$11:$G$258,'G-2 Habitat groups'!A6,'A-1 Site Habitat Baseline'!$T$11:$T$258),SUMIF('A-1 Site Habitat Baseline'!$G$11:$G$258,'G-2 Habitat groups'!A6,'A-1 Site Habitat Baseline'!$H$11:$H$258))</f>
        <v>0</v>
      </c>
      <c r="F6" s="111">
        <f>SUMIF('A-1 Site Habitat Baseline'!$G$11:$G$258,'G-2 Habitat groups'!A6,'A-1 Site Habitat Baseline'!$Q$11:$Q$258)</f>
        <v>0</v>
      </c>
      <c r="G6" s="111">
        <f>SUMIF('A-1 Site Habitat Baseline'!$G$11:$G$258,'G-2 Habitat groups'!A6,'A-1 Site Habitat Baseline'!$S$11:$S$258)</f>
        <v>0</v>
      </c>
      <c r="H6" s="111">
        <f>SUMIF('A-1 Site Habitat Baseline'!$G$11:$G$258,'G-2 Habitat groups'!A6,'A-1 Site Habitat Baseline'!$U$11:$U$258)</f>
        <v>0</v>
      </c>
      <c r="I6" s="111">
        <f>SUMIF('A-1 Site Habitat Baseline'!$G$11:$G$258,'G-2 Habitat groups'!A6,'A-1 Site Habitat Baseline'!$W$11:$W$258)</f>
        <v>0</v>
      </c>
      <c r="J6" s="111">
        <f>SUMIF('A-1 Site Habitat Baseline'!$G$11:$G$258,'G-2 Habitat groups'!A6,'A-1 Site Habitat Baseline'!$X$11:$X$258)</f>
        <v>0</v>
      </c>
      <c r="K6" s="111">
        <f>SUMIF('A-2 Site Habitat Creation'!$F$11:$F$256,'G-2 Habitat groups'!A6,'A-2 Site Habitat Creation'!$G$11:$G$256)</f>
        <v>0</v>
      </c>
      <c r="L6" s="111">
        <f>SUMIF('A-2 Site Habitat Creation'!$F$11:$F$256,'G-2 Habitat groups'!A6,'A-2 Site Habitat Creation'!$Y$11:$Y$256)</f>
        <v>0</v>
      </c>
      <c r="M6" s="111">
        <f>SUMIF('A-3 Site Habitat Enhancement'!$S$12:$S$257,'G-2 Habitat groups'!A6,'A-3 Site Habitat Enhancement'!$V$12:$V$257)</f>
        <v>0</v>
      </c>
      <c r="N6" s="111">
        <f>SUMIF('A-3 Site Habitat Enhancement'!$S$12:$S$257,'G-2 Habitat groups'!A6,'A-3 Site Habitat Enhancement'!$AN$12:$AN$257)</f>
        <v>0</v>
      </c>
      <c r="O6" s="111">
        <f t="shared" si="0"/>
        <v>0</v>
      </c>
      <c r="P6" s="111">
        <f t="shared" si="1"/>
        <v>0</v>
      </c>
      <c r="Q6" s="111">
        <f t="shared" si="2"/>
        <v>0</v>
      </c>
      <c r="R6" s="111">
        <f t="shared" si="3"/>
        <v>0</v>
      </c>
      <c r="S6" s="111">
        <f>IF(C6="V.High",SUMIF('D-1 Off Site Habitat Baseline'!$G$11:$G$258,'G-2 Habitat groups'!A6,'D-1 Off Site Habitat Baseline'!$S$11:$S$258)+SUMIF('D-1 Off Site Habitat Baseline'!$G$11:$G$258,'G-2 Habitat groups'!A6,'D-1 Off Site Habitat Baseline'!$T$11:$T$258),SUMIF('D-1 Off Site Habitat Baseline'!$G$11:$G$258,'G-2 Habitat groups'!A6,'D-1 Off Site Habitat Baseline'!$H$11:$H$258))</f>
        <v>0</v>
      </c>
      <c r="T6" s="111">
        <f>SUMIF('D-1 Off Site Habitat Baseline'!$G$11:$G$258,'G-2 Habitat groups'!A6,'D-1 Off Site Habitat Baseline'!$Q$11:$Q$258)</f>
        <v>0</v>
      </c>
      <c r="U6" s="513">
        <f>SUMIF('D-1 Off Site Habitat Baseline'!$G$11:$G$258,'G-2 Habitat groups'!A6,'D-1 Off Site Habitat Baseline'!$S$11:$S$258)</f>
        <v>0</v>
      </c>
      <c r="V6" s="111">
        <f>SUMIF('D-1 Off Site Habitat Baseline'!$G$11:$G$258,'G-2 Habitat groups'!A6,'D-1 Off Site Habitat Baseline'!$U$11:$U$258)</f>
        <v>0</v>
      </c>
      <c r="W6" s="111">
        <f>SUMIF('D-2 Off Site Habitat Creation'!$F$9:$F$255,'G-2 Habitat groups'!A6,'D-2 Off Site Habitat Creation'!$G$9:$G$255)</f>
        <v>0</v>
      </c>
      <c r="X6" s="111">
        <f>SUMIF('D-2 Off Site Habitat Creation'!$F$9:$F$255,'G-2 Habitat groups'!A6,'D-2 Off Site Habitat Creation'!$AA$9:$AA$255)</f>
        <v>0</v>
      </c>
      <c r="Y6" s="111">
        <f>SUMIF('D-3 Off Site Habitat Enhancment'!$S$12:$S$491,'G-2 Habitat groups'!A6,'D-3 Off Site Habitat Enhancment'!$V$12:$V$491)</f>
        <v>0</v>
      </c>
      <c r="Z6" s="111">
        <f>SUMIF('D-3 Off Site Habitat Enhancment'!$S$12:$S$491,'G-2 Habitat groups'!A6,'D-3 Off Site Habitat Enhancment'!$AP$12:$AP$491)</f>
        <v>0</v>
      </c>
      <c r="AA6" s="111">
        <f t="shared" si="4"/>
        <v>0</v>
      </c>
      <c r="AB6" s="111">
        <f t="shared" si="5"/>
        <v>0</v>
      </c>
      <c r="AC6" s="111">
        <f t="shared" si="6"/>
        <v>0</v>
      </c>
      <c r="AD6" s="111">
        <f t="shared" si="7"/>
        <v>0</v>
      </c>
      <c r="AE6" s="111">
        <f t="shared" si="8"/>
        <v>0</v>
      </c>
      <c r="AF6" s="111">
        <f t="shared" si="9"/>
        <v>0</v>
      </c>
      <c r="AJ6" s="132" t="s">
        <v>164</v>
      </c>
      <c r="AK6" s="124">
        <f t="shared" si="10"/>
        <v>5.8299999999999998E-2</v>
      </c>
      <c r="AL6" s="124">
        <f t="shared" si="11"/>
        <v>0.23319999999999999</v>
      </c>
      <c r="AM6" s="124">
        <f t="shared" si="12"/>
        <v>3.9199999999999999E-2</v>
      </c>
      <c r="AN6" s="124">
        <f t="shared" si="13"/>
        <v>0.26242948050816001</v>
      </c>
      <c r="AO6" s="136">
        <f t="shared" si="14"/>
        <v>-1.9099999999999999E-2</v>
      </c>
      <c r="AP6" s="136">
        <f t="shared" si="15"/>
        <v>2.9229480508160016E-2</v>
      </c>
      <c r="AU6" s="144" t="s">
        <v>156</v>
      </c>
      <c r="AV6" s="100" t="s">
        <v>135</v>
      </c>
      <c r="AW6" s="111">
        <f t="shared" si="16"/>
        <v>0</v>
      </c>
      <c r="AX6" s="111">
        <f t="shared" si="17"/>
        <v>0</v>
      </c>
      <c r="AY6" s="111">
        <f t="shared" si="18"/>
        <v>0</v>
      </c>
      <c r="AZ6" s="111">
        <f t="shared" si="19"/>
        <v>0</v>
      </c>
      <c r="BA6" s="111">
        <f t="shared" si="20"/>
        <v>0</v>
      </c>
      <c r="BB6" s="111">
        <f t="shared" si="21"/>
        <v>0</v>
      </c>
      <c r="BC6" s="111">
        <f t="shared" si="22"/>
        <v>0</v>
      </c>
      <c r="BD6" s="111">
        <f t="shared" si="23"/>
        <v>0</v>
      </c>
      <c r="BE6" s="111">
        <f t="shared" si="24"/>
        <v>0</v>
      </c>
      <c r="BF6" s="111" t="str">
        <f t="shared" si="25"/>
        <v/>
      </c>
      <c r="BG6" s="125">
        <f t="shared" ref="BG6:BG24" si="26">SUMIF($A$4:$A$104,AU6,$I$4:$I$104)</f>
        <v>0</v>
      </c>
    </row>
    <row r="7" spans="1:59" ht="14.4" customHeight="1" x14ac:dyDescent="0.25">
      <c r="A7" s="129" t="str">
        <f>'G-1 All Habitats'!B6</f>
        <v>Cropland - Arable field margins tussocky</v>
      </c>
      <c r="B7" s="100" t="str">
        <f>'G-1 All Habitats'!F6</f>
        <v>Cropland</v>
      </c>
      <c r="C7" s="100" t="str">
        <f>'G-1 All Habitats'!K6</f>
        <v>Medium</v>
      </c>
      <c r="D7" s="100" t="str">
        <f>'G-1 All Habitats'!M6</f>
        <v>Same broad habitat or a higher distinctiveness habitat required</v>
      </c>
      <c r="E7" s="111">
        <f>IF(C7="V.High",SUMIF('A-1 Site Habitat Baseline'!$G$11:$G$258,'G-2 Habitat groups'!A7,'A-1 Site Habitat Baseline'!$S$11:$S$258)+SUMIF('A-1 Site Habitat Baseline'!$G$11:$G$258,'G-2 Habitat groups'!A7,'A-1 Site Habitat Baseline'!$T$11:$T$258),SUMIF('A-1 Site Habitat Baseline'!$G$11:$G$258,'G-2 Habitat groups'!A7,'A-1 Site Habitat Baseline'!$H$11:$H$258))</f>
        <v>0</v>
      </c>
      <c r="F7" s="111">
        <f>SUMIF('A-1 Site Habitat Baseline'!$G$11:$G$258,'G-2 Habitat groups'!A7,'A-1 Site Habitat Baseline'!$Q$11:$Q$258)</f>
        <v>0</v>
      </c>
      <c r="G7" s="111">
        <f>SUMIF('A-1 Site Habitat Baseline'!$G$11:$G$258,'G-2 Habitat groups'!A7,'A-1 Site Habitat Baseline'!$S$11:$S$258)</f>
        <v>0</v>
      </c>
      <c r="H7" s="111">
        <f>SUMIF('A-1 Site Habitat Baseline'!$G$11:$G$258,'G-2 Habitat groups'!A7,'A-1 Site Habitat Baseline'!$U$11:$U$258)</f>
        <v>0</v>
      </c>
      <c r="I7" s="111">
        <f>SUMIF('A-1 Site Habitat Baseline'!$G$11:$G$258,'G-2 Habitat groups'!A7,'A-1 Site Habitat Baseline'!$W$11:$W$258)</f>
        <v>0</v>
      </c>
      <c r="J7" s="111">
        <f>SUMIF('A-1 Site Habitat Baseline'!$G$11:$G$258,'G-2 Habitat groups'!A7,'A-1 Site Habitat Baseline'!$X$11:$X$258)</f>
        <v>0</v>
      </c>
      <c r="K7" s="111">
        <f>SUMIF('A-2 Site Habitat Creation'!$F$11:$F$256,'G-2 Habitat groups'!A7,'A-2 Site Habitat Creation'!$G$11:$G$256)</f>
        <v>0</v>
      </c>
      <c r="L7" s="111">
        <f>SUMIF('A-2 Site Habitat Creation'!$F$11:$F$256,'G-2 Habitat groups'!A7,'A-2 Site Habitat Creation'!$Y$11:$Y$256)</f>
        <v>0</v>
      </c>
      <c r="M7" s="111">
        <f>SUMIF('A-3 Site Habitat Enhancement'!$S$12:$S$257,'G-2 Habitat groups'!A7,'A-3 Site Habitat Enhancement'!$V$12:$V$257)</f>
        <v>0</v>
      </c>
      <c r="N7" s="111">
        <f>SUMIF('A-3 Site Habitat Enhancement'!$S$12:$S$257,'G-2 Habitat groups'!A7,'A-3 Site Habitat Enhancement'!$AN$12:$AN$257)</f>
        <v>0</v>
      </c>
      <c r="O7" s="111">
        <f t="shared" si="0"/>
        <v>0</v>
      </c>
      <c r="P7" s="111">
        <f t="shared" si="1"/>
        <v>0</v>
      </c>
      <c r="Q7" s="111">
        <f t="shared" si="2"/>
        <v>0</v>
      </c>
      <c r="R7" s="111">
        <f t="shared" si="3"/>
        <v>0</v>
      </c>
      <c r="S7" s="111">
        <f>IF(C7="V.High",SUMIF('D-1 Off Site Habitat Baseline'!$G$11:$G$258,'G-2 Habitat groups'!A7,'D-1 Off Site Habitat Baseline'!$S$11:$S$258)+SUMIF('D-1 Off Site Habitat Baseline'!$G$11:$G$258,'G-2 Habitat groups'!A7,'D-1 Off Site Habitat Baseline'!$T$11:$T$258),SUMIF('D-1 Off Site Habitat Baseline'!$G$11:$G$258,'G-2 Habitat groups'!A7,'D-1 Off Site Habitat Baseline'!$H$11:$H$258))</f>
        <v>0</v>
      </c>
      <c r="T7" s="111">
        <f>SUMIF('D-1 Off Site Habitat Baseline'!$G$11:$G$258,'G-2 Habitat groups'!A7,'D-1 Off Site Habitat Baseline'!$Q$11:$Q$258)</f>
        <v>0</v>
      </c>
      <c r="U7" s="513">
        <f>SUMIF('D-1 Off Site Habitat Baseline'!$G$11:$G$258,'G-2 Habitat groups'!A7,'D-1 Off Site Habitat Baseline'!$S$11:$S$258)</f>
        <v>0</v>
      </c>
      <c r="V7" s="111">
        <f>SUMIF('D-1 Off Site Habitat Baseline'!$G$11:$G$258,'G-2 Habitat groups'!A7,'D-1 Off Site Habitat Baseline'!$U$11:$U$258)</f>
        <v>0</v>
      </c>
      <c r="W7" s="111">
        <f>SUMIF('D-2 Off Site Habitat Creation'!$F$9:$F$255,'G-2 Habitat groups'!A7,'D-2 Off Site Habitat Creation'!$G$9:$G$255)</f>
        <v>0</v>
      </c>
      <c r="X7" s="111">
        <f>SUMIF('D-2 Off Site Habitat Creation'!$F$9:$F$255,'G-2 Habitat groups'!A7,'D-2 Off Site Habitat Creation'!$AA$9:$AA$255)</f>
        <v>0</v>
      </c>
      <c r="Y7" s="111">
        <f>SUMIF('D-3 Off Site Habitat Enhancment'!$S$12:$S$491,'G-2 Habitat groups'!A7,'D-3 Off Site Habitat Enhancment'!$V$12:$V$491)</f>
        <v>0</v>
      </c>
      <c r="Z7" s="111">
        <f>SUMIF('D-3 Off Site Habitat Enhancment'!$S$12:$S$491,'G-2 Habitat groups'!A7,'D-3 Off Site Habitat Enhancment'!$AP$12:$AP$491)</f>
        <v>0</v>
      </c>
      <c r="AA7" s="111">
        <f t="shared" si="4"/>
        <v>0</v>
      </c>
      <c r="AB7" s="111">
        <f t="shared" si="5"/>
        <v>0</v>
      </c>
      <c r="AC7" s="111">
        <f t="shared" si="6"/>
        <v>0</v>
      </c>
      <c r="AD7" s="111">
        <f t="shared" si="7"/>
        <v>0</v>
      </c>
      <c r="AE7" s="111">
        <f t="shared" si="8"/>
        <v>0</v>
      </c>
      <c r="AF7" s="111">
        <f t="shared" si="9"/>
        <v>0</v>
      </c>
      <c r="AJ7" s="132" t="s">
        <v>835</v>
      </c>
      <c r="AK7" s="124">
        <f t="shared" si="10"/>
        <v>0</v>
      </c>
      <c r="AL7" s="124">
        <f t="shared" si="11"/>
        <v>0</v>
      </c>
      <c r="AM7" s="124">
        <f t="shared" si="12"/>
        <v>3.0000000000000001E-3</v>
      </c>
      <c r="AN7" s="124">
        <f t="shared" si="13"/>
        <v>1.158E-2</v>
      </c>
      <c r="AO7" s="136">
        <f t="shared" si="14"/>
        <v>3.0000000000000001E-3</v>
      </c>
      <c r="AP7" s="136">
        <f t="shared" si="15"/>
        <v>1.158E-2</v>
      </c>
      <c r="AU7" s="144" t="s">
        <v>157</v>
      </c>
      <c r="AV7" s="100" t="s">
        <v>135</v>
      </c>
      <c r="AW7" s="111">
        <f t="shared" si="16"/>
        <v>0</v>
      </c>
      <c r="AX7" s="111">
        <f t="shared" si="17"/>
        <v>0</v>
      </c>
      <c r="AY7" s="111">
        <f t="shared" si="18"/>
        <v>0</v>
      </c>
      <c r="AZ7" s="111">
        <f t="shared" si="19"/>
        <v>0</v>
      </c>
      <c r="BA7" s="111">
        <f t="shared" si="20"/>
        <v>0</v>
      </c>
      <c r="BB7" s="111">
        <f t="shared" si="21"/>
        <v>0</v>
      </c>
      <c r="BC7" s="111">
        <f t="shared" si="22"/>
        <v>0</v>
      </c>
      <c r="BD7" s="111">
        <f t="shared" si="23"/>
        <v>0</v>
      </c>
      <c r="BE7" s="111">
        <f t="shared" si="24"/>
        <v>0</v>
      </c>
      <c r="BF7" s="111" t="str">
        <f t="shared" si="25"/>
        <v/>
      </c>
      <c r="BG7" s="125">
        <f t="shared" si="26"/>
        <v>0</v>
      </c>
    </row>
    <row r="8" spans="1:59" ht="14.4" customHeight="1" x14ac:dyDescent="0.25">
      <c r="A8" s="129" t="str">
        <f>'G-1 All Habitats'!B7</f>
        <v>Cropland - Cereal crops</v>
      </c>
      <c r="B8" s="100" t="str">
        <f>'G-1 All Habitats'!F7</f>
        <v>Cropland</v>
      </c>
      <c r="C8" s="100" t="str">
        <f>'G-1 All Habitats'!K7</f>
        <v>Low</v>
      </c>
      <c r="D8" s="100" t="str">
        <f>'G-1 All Habitats'!M7</f>
        <v>Same distinctiveness or better habitat required</v>
      </c>
      <c r="E8" s="111">
        <f>IF(C8="V.High",SUMIF('A-1 Site Habitat Baseline'!$G$11:$G$258,'G-2 Habitat groups'!A8,'A-1 Site Habitat Baseline'!$S$11:$S$258)+SUMIF('A-1 Site Habitat Baseline'!$G$11:$G$258,'G-2 Habitat groups'!A8,'A-1 Site Habitat Baseline'!$T$11:$T$258),SUMIF('A-1 Site Habitat Baseline'!$G$11:$G$258,'G-2 Habitat groups'!A8,'A-1 Site Habitat Baseline'!$H$11:$H$258))</f>
        <v>0</v>
      </c>
      <c r="F8" s="111">
        <f>SUMIF('A-1 Site Habitat Baseline'!$G$11:$G$258,'G-2 Habitat groups'!A8,'A-1 Site Habitat Baseline'!$Q$11:$Q$258)</f>
        <v>0</v>
      </c>
      <c r="G8" s="111">
        <f>SUMIF('A-1 Site Habitat Baseline'!$G$11:$G$258,'G-2 Habitat groups'!A8,'A-1 Site Habitat Baseline'!$S$11:$S$258)</f>
        <v>0</v>
      </c>
      <c r="H8" s="111">
        <f>SUMIF('A-1 Site Habitat Baseline'!$G$11:$G$258,'G-2 Habitat groups'!A8,'A-1 Site Habitat Baseline'!$U$11:$U$258)</f>
        <v>0</v>
      </c>
      <c r="I8" s="111">
        <f>SUMIF('A-1 Site Habitat Baseline'!$G$11:$G$258,'G-2 Habitat groups'!A8,'A-1 Site Habitat Baseline'!$W$11:$W$258)</f>
        <v>0</v>
      </c>
      <c r="J8" s="111">
        <f>SUMIF('A-1 Site Habitat Baseline'!$G$11:$G$258,'G-2 Habitat groups'!A8,'A-1 Site Habitat Baseline'!$X$11:$X$258)</f>
        <v>0</v>
      </c>
      <c r="K8" s="111">
        <f>SUMIF('A-2 Site Habitat Creation'!$F$11:$F$256,'G-2 Habitat groups'!A8,'A-2 Site Habitat Creation'!$G$11:$G$256)</f>
        <v>0</v>
      </c>
      <c r="L8" s="111">
        <f>SUMIF('A-2 Site Habitat Creation'!$F$11:$F$256,'G-2 Habitat groups'!A8,'A-2 Site Habitat Creation'!$Y$11:$Y$256)</f>
        <v>0</v>
      </c>
      <c r="M8" s="111">
        <f>SUMIF('A-3 Site Habitat Enhancement'!$S$12:$S$257,'G-2 Habitat groups'!A8,'A-3 Site Habitat Enhancement'!$V$12:$V$257)</f>
        <v>0</v>
      </c>
      <c r="N8" s="111">
        <f>SUMIF('A-3 Site Habitat Enhancement'!$S$12:$S$257,'G-2 Habitat groups'!A8,'A-3 Site Habitat Enhancement'!$AN$12:$AN$257)</f>
        <v>0</v>
      </c>
      <c r="O8" s="111">
        <f t="shared" si="0"/>
        <v>0</v>
      </c>
      <c r="P8" s="111">
        <f t="shared" si="1"/>
        <v>0</v>
      </c>
      <c r="Q8" s="111">
        <f t="shared" si="2"/>
        <v>0</v>
      </c>
      <c r="R8" s="111">
        <f t="shared" si="3"/>
        <v>0</v>
      </c>
      <c r="S8" s="111">
        <f>IF(C8="V.High",SUMIF('D-1 Off Site Habitat Baseline'!$G$11:$G$258,'G-2 Habitat groups'!A8,'D-1 Off Site Habitat Baseline'!$S$11:$S$258)+SUMIF('D-1 Off Site Habitat Baseline'!$G$11:$G$258,'G-2 Habitat groups'!A8,'D-1 Off Site Habitat Baseline'!$T$11:$T$258),SUMIF('D-1 Off Site Habitat Baseline'!$G$11:$G$258,'G-2 Habitat groups'!A8,'D-1 Off Site Habitat Baseline'!$H$11:$H$258))</f>
        <v>0</v>
      </c>
      <c r="T8" s="111">
        <f>SUMIF('D-1 Off Site Habitat Baseline'!$G$11:$G$258,'G-2 Habitat groups'!A8,'D-1 Off Site Habitat Baseline'!$Q$11:$Q$258)</f>
        <v>0</v>
      </c>
      <c r="U8" s="513">
        <f>SUMIF('D-1 Off Site Habitat Baseline'!$G$11:$G$258,'G-2 Habitat groups'!A8,'D-1 Off Site Habitat Baseline'!$S$11:$S$258)</f>
        <v>0</v>
      </c>
      <c r="V8" s="111">
        <f>SUMIF('D-1 Off Site Habitat Baseline'!$G$11:$G$258,'G-2 Habitat groups'!A8,'D-1 Off Site Habitat Baseline'!$U$11:$U$258)</f>
        <v>0</v>
      </c>
      <c r="W8" s="111">
        <f>SUMIF('D-2 Off Site Habitat Creation'!$F$9:$F$255,'G-2 Habitat groups'!A8,'D-2 Off Site Habitat Creation'!$G$9:$G$255)</f>
        <v>0</v>
      </c>
      <c r="X8" s="111">
        <f>SUMIF('D-2 Off Site Habitat Creation'!$F$9:$F$255,'G-2 Habitat groups'!A8,'D-2 Off Site Habitat Creation'!$AA$9:$AA$255)</f>
        <v>0</v>
      </c>
      <c r="Y8" s="111">
        <f>SUMIF('D-3 Off Site Habitat Enhancment'!$S$12:$S$491,'G-2 Habitat groups'!A8,'D-3 Off Site Habitat Enhancment'!$V$12:$V$491)</f>
        <v>0</v>
      </c>
      <c r="Z8" s="111">
        <f>SUMIF('D-3 Off Site Habitat Enhancment'!$S$12:$S$491,'G-2 Habitat groups'!A8,'D-3 Off Site Habitat Enhancment'!$AP$12:$AP$491)</f>
        <v>0</v>
      </c>
      <c r="AA8" s="111">
        <f t="shared" si="4"/>
        <v>0</v>
      </c>
      <c r="AB8" s="111">
        <f t="shared" si="5"/>
        <v>0</v>
      </c>
      <c r="AC8" s="111">
        <f t="shared" si="6"/>
        <v>0</v>
      </c>
      <c r="AD8" s="111">
        <f t="shared" si="7"/>
        <v>0</v>
      </c>
      <c r="AE8" s="111">
        <f t="shared" si="8"/>
        <v>0</v>
      </c>
      <c r="AF8" s="111">
        <f t="shared" si="9"/>
        <v>0</v>
      </c>
      <c r="AJ8" s="133" t="s">
        <v>167</v>
      </c>
      <c r="AK8" s="124">
        <f t="shared" si="10"/>
        <v>0</v>
      </c>
      <c r="AL8" s="124">
        <f t="shared" si="11"/>
        <v>0</v>
      </c>
      <c r="AM8" s="124">
        <f t="shared" si="12"/>
        <v>0</v>
      </c>
      <c r="AN8" s="124">
        <f t="shared" si="13"/>
        <v>0</v>
      </c>
      <c r="AO8" s="136">
        <f t="shared" si="14"/>
        <v>0</v>
      </c>
      <c r="AP8" s="136">
        <f t="shared" si="15"/>
        <v>0</v>
      </c>
      <c r="AU8" s="144" t="s">
        <v>264</v>
      </c>
      <c r="AV8" s="100" t="s">
        <v>164</v>
      </c>
      <c r="AW8" s="111">
        <f t="shared" si="16"/>
        <v>0</v>
      </c>
      <c r="AX8" s="111">
        <f t="shared" si="17"/>
        <v>0</v>
      </c>
      <c r="AY8" s="111">
        <f t="shared" si="18"/>
        <v>0</v>
      </c>
      <c r="AZ8" s="111">
        <f t="shared" si="19"/>
        <v>0</v>
      </c>
      <c r="BA8" s="111">
        <f t="shared" si="20"/>
        <v>0</v>
      </c>
      <c r="BB8" s="111">
        <f t="shared" si="21"/>
        <v>0</v>
      </c>
      <c r="BC8" s="111">
        <f t="shared" si="22"/>
        <v>0</v>
      </c>
      <c r="BD8" s="111">
        <f t="shared" si="23"/>
        <v>0</v>
      </c>
      <c r="BE8" s="111">
        <f t="shared" si="24"/>
        <v>0</v>
      </c>
      <c r="BF8" s="111" t="str">
        <f t="shared" si="25"/>
        <v/>
      </c>
      <c r="BG8" s="125">
        <f t="shared" si="26"/>
        <v>0</v>
      </c>
    </row>
    <row r="9" spans="1:59" ht="14.4" customHeight="1" x14ac:dyDescent="0.25">
      <c r="A9" s="129" t="str">
        <f>'G-1 All Habitats'!B8</f>
        <v>Cropland - Cereal crops other</v>
      </c>
      <c r="B9" s="100" t="str">
        <f>'G-1 All Habitats'!F8</f>
        <v>Cropland</v>
      </c>
      <c r="C9" s="100" t="str">
        <f>'G-1 All Habitats'!K8</f>
        <v>Low</v>
      </c>
      <c r="D9" s="100" t="str">
        <f>'G-1 All Habitats'!M8</f>
        <v>Same distinctiveness or better habitat required</v>
      </c>
      <c r="E9" s="111">
        <f>IF(C9="V.High",SUMIF('A-1 Site Habitat Baseline'!$G$11:$G$258,'G-2 Habitat groups'!A9,'A-1 Site Habitat Baseline'!$S$11:$S$258)+SUMIF('A-1 Site Habitat Baseline'!$G$11:$G$258,'G-2 Habitat groups'!A9,'A-1 Site Habitat Baseline'!$T$11:$T$258),SUMIF('A-1 Site Habitat Baseline'!$G$11:$G$258,'G-2 Habitat groups'!A9,'A-1 Site Habitat Baseline'!$H$11:$H$258))</f>
        <v>0</v>
      </c>
      <c r="F9" s="111">
        <f>SUMIF('A-1 Site Habitat Baseline'!$G$11:$G$258,'G-2 Habitat groups'!A9,'A-1 Site Habitat Baseline'!$Q$11:$Q$258)</f>
        <v>0</v>
      </c>
      <c r="G9" s="111">
        <f>SUMIF('A-1 Site Habitat Baseline'!$G$11:$G$258,'G-2 Habitat groups'!A9,'A-1 Site Habitat Baseline'!$S$11:$S$258)</f>
        <v>0</v>
      </c>
      <c r="H9" s="111">
        <f>SUMIF('A-1 Site Habitat Baseline'!$G$11:$G$258,'G-2 Habitat groups'!A9,'A-1 Site Habitat Baseline'!$U$11:$U$258)</f>
        <v>0</v>
      </c>
      <c r="I9" s="111">
        <f>SUMIF('A-1 Site Habitat Baseline'!$G$11:$G$258,'G-2 Habitat groups'!A9,'A-1 Site Habitat Baseline'!$W$11:$W$258)</f>
        <v>0</v>
      </c>
      <c r="J9" s="111">
        <f>SUMIF('A-1 Site Habitat Baseline'!$G$11:$G$258,'G-2 Habitat groups'!A9,'A-1 Site Habitat Baseline'!$X$11:$X$258)</f>
        <v>0</v>
      </c>
      <c r="K9" s="111">
        <f>SUMIF('A-2 Site Habitat Creation'!$F$11:$F$256,'G-2 Habitat groups'!A9,'A-2 Site Habitat Creation'!$G$11:$G$256)</f>
        <v>0</v>
      </c>
      <c r="L9" s="111">
        <f>SUMIF('A-2 Site Habitat Creation'!$F$11:$F$256,'G-2 Habitat groups'!A9,'A-2 Site Habitat Creation'!$Y$11:$Y$256)</f>
        <v>0</v>
      </c>
      <c r="M9" s="111">
        <f>SUMIF('A-3 Site Habitat Enhancement'!$S$12:$S$257,'G-2 Habitat groups'!A9,'A-3 Site Habitat Enhancement'!$V$12:$V$257)</f>
        <v>0</v>
      </c>
      <c r="N9" s="111">
        <f>SUMIF('A-3 Site Habitat Enhancement'!$S$12:$S$257,'G-2 Habitat groups'!A9,'A-3 Site Habitat Enhancement'!$AN$12:$AN$257)</f>
        <v>0</v>
      </c>
      <c r="O9" s="111">
        <f t="shared" si="0"/>
        <v>0</v>
      </c>
      <c r="P9" s="111">
        <f t="shared" si="1"/>
        <v>0</v>
      </c>
      <c r="Q9" s="111">
        <f t="shared" si="2"/>
        <v>0</v>
      </c>
      <c r="R9" s="111">
        <f t="shared" si="3"/>
        <v>0</v>
      </c>
      <c r="S9" s="111">
        <f>IF(C9="V.High",SUMIF('D-1 Off Site Habitat Baseline'!$G$11:$G$258,'G-2 Habitat groups'!A9,'D-1 Off Site Habitat Baseline'!$S$11:$S$258)+SUMIF('D-1 Off Site Habitat Baseline'!$G$11:$G$258,'G-2 Habitat groups'!A9,'D-1 Off Site Habitat Baseline'!$T$11:$T$258),SUMIF('D-1 Off Site Habitat Baseline'!$G$11:$G$258,'G-2 Habitat groups'!A9,'D-1 Off Site Habitat Baseline'!$H$11:$H$258))</f>
        <v>0</v>
      </c>
      <c r="T9" s="111">
        <f>SUMIF('D-1 Off Site Habitat Baseline'!$G$11:$G$258,'G-2 Habitat groups'!A9,'D-1 Off Site Habitat Baseline'!$Q$11:$Q$258)</f>
        <v>0</v>
      </c>
      <c r="U9" s="513">
        <f>SUMIF('D-1 Off Site Habitat Baseline'!$G$11:$G$258,'G-2 Habitat groups'!A9,'D-1 Off Site Habitat Baseline'!$S$11:$S$258)</f>
        <v>0</v>
      </c>
      <c r="V9" s="111">
        <f>SUMIF('D-1 Off Site Habitat Baseline'!$G$11:$G$258,'G-2 Habitat groups'!A9,'D-1 Off Site Habitat Baseline'!$U$11:$U$258)</f>
        <v>0</v>
      </c>
      <c r="W9" s="111">
        <f>SUMIF('D-2 Off Site Habitat Creation'!$F$9:$F$255,'G-2 Habitat groups'!A9,'D-2 Off Site Habitat Creation'!$G$9:$G$255)</f>
        <v>0</v>
      </c>
      <c r="X9" s="111">
        <f>SUMIF('D-2 Off Site Habitat Creation'!$F$9:$F$255,'G-2 Habitat groups'!A9,'D-2 Off Site Habitat Creation'!$AA$9:$AA$255)</f>
        <v>0</v>
      </c>
      <c r="Y9" s="111">
        <f>SUMIF('D-3 Off Site Habitat Enhancment'!$S$12:$S$491,'G-2 Habitat groups'!A9,'D-3 Off Site Habitat Enhancment'!$V$12:$V$491)</f>
        <v>0</v>
      </c>
      <c r="Z9" s="111">
        <f>SUMIF('D-3 Off Site Habitat Enhancment'!$S$12:$S$491,'G-2 Habitat groups'!A9,'D-3 Off Site Habitat Enhancment'!$AP$12:$AP$491)</f>
        <v>0</v>
      </c>
      <c r="AA9" s="111">
        <f t="shared" si="4"/>
        <v>0</v>
      </c>
      <c r="AB9" s="111">
        <f t="shared" si="5"/>
        <v>0</v>
      </c>
      <c r="AC9" s="111">
        <f t="shared" si="6"/>
        <v>0</v>
      </c>
      <c r="AD9" s="111">
        <f t="shared" si="7"/>
        <v>0</v>
      </c>
      <c r="AE9" s="111">
        <f t="shared" si="8"/>
        <v>0</v>
      </c>
      <c r="AF9" s="111">
        <f t="shared" si="9"/>
        <v>0</v>
      </c>
      <c r="AJ9" s="132" t="s">
        <v>166</v>
      </c>
      <c r="AK9" s="124">
        <f t="shared" si="10"/>
        <v>4.4440999999999997</v>
      </c>
      <c r="AL9" s="124">
        <f t="shared" si="11"/>
        <v>0.57040000000000002</v>
      </c>
      <c r="AM9" s="124">
        <f t="shared" si="12"/>
        <v>4.6740000000000013</v>
      </c>
      <c r="AN9" s="124">
        <f t="shared" si="13"/>
        <v>1.8950811046285598</v>
      </c>
      <c r="AO9" s="136">
        <f t="shared" si="14"/>
        <v>0.22990000000000002</v>
      </c>
      <c r="AP9" s="136">
        <f t="shared" si="15"/>
        <v>1.3246811046285598</v>
      </c>
      <c r="AU9" s="144" t="s">
        <v>1149</v>
      </c>
      <c r="AV9" s="100" t="s">
        <v>835</v>
      </c>
      <c r="AW9" s="111">
        <f t="shared" si="16"/>
        <v>0</v>
      </c>
      <c r="AX9" s="111">
        <f t="shared" si="17"/>
        <v>0</v>
      </c>
      <c r="AY9" s="111">
        <f t="shared" si="18"/>
        <v>0</v>
      </c>
      <c r="AZ9" s="111">
        <f t="shared" si="19"/>
        <v>0</v>
      </c>
      <c r="BA9" s="111">
        <f t="shared" si="20"/>
        <v>0</v>
      </c>
      <c r="BB9" s="111">
        <f t="shared" si="21"/>
        <v>0</v>
      </c>
      <c r="BC9" s="111">
        <f t="shared" si="22"/>
        <v>0</v>
      </c>
      <c r="BD9" s="111">
        <f t="shared" si="23"/>
        <v>0</v>
      </c>
      <c r="BE9" s="111">
        <f t="shared" si="24"/>
        <v>0</v>
      </c>
      <c r="BF9" s="111" t="str">
        <f t="shared" si="25"/>
        <v/>
      </c>
      <c r="BG9" s="125">
        <f t="shared" si="26"/>
        <v>0</v>
      </c>
    </row>
    <row r="10" spans="1:59" ht="14.4" customHeight="1" x14ac:dyDescent="0.25">
      <c r="A10" s="129" t="str">
        <f>'G-1 All Habitats'!B9</f>
        <v>Cropland - Cereal crops winter stubble</v>
      </c>
      <c r="B10" s="100" t="str">
        <f>'G-1 All Habitats'!F9</f>
        <v>Cropland</v>
      </c>
      <c r="C10" s="100" t="str">
        <f>'G-1 All Habitats'!K9</f>
        <v>Medium</v>
      </c>
      <c r="D10" s="100" t="str">
        <f>'G-1 All Habitats'!M9</f>
        <v>Same broad habitat or a higher distinctiveness habitat required</v>
      </c>
      <c r="E10" s="111">
        <f>IF(C10="V.High",SUMIF('A-1 Site Habitat Baseline'!$G$11:$G$258,'G-2 Habitat groups'!A10,'A-1 Site Habitat Baseline'!$S$11:$S$258)+SUMIF('A-1 Site Habitat Baseline'!$G$11:$G$258,'G-2 Habitat groups'!A10,'A-1 Site Habitat Baseline'!$T$11:$T$258),SUMIF('A-1 Site Habitat Baseline'!$G$11:$G$258,'G-2 Habitat groups'!A10,'A-1 Site Habitat Baseline'!$H$11:$H$258))</f>
        <v>0</v>
      </c>
      <c r="F10" s="111">
        <f>SUMIF('A-1 Site Habitat Baseline'!$G$11:$G$258,'G-2 Habitat groups'!A10,'A-1 Site Habitat Baseline'!$Q$11:$Q$258)</f>
        <v>0</v>
      </c>
      <c r="G10" s="111">
        <f>SUMIF('A-1 Site Habitat Baseline'!$G$11:$G$258,'G-2 Habitat groups'!A10,'A-1 Site Habitat Baseline'!$S$11:$S$258)</f>
        <v>0</v>
      </c>
      <c r="H10" s="111">
        <f>SUMIF('A-1 Site Habitat Baseline'!$G$11:$G$258,'G-2 Habitat groups'!A10,'A-1 Site Habitat Baseline'!$U$11:$U$258)</f>
        <v>0</v>
      </c>
      <c r="I10" s="111">
        <f>SUMIF('A-1 Site Habitat Baseline'!$G$11:$G$258,'G-2 Habitat groups'!A10,'A-1 Site Habitat Baseline'!$W$11:$W$258)</f>
        <v>0</v>
      </c>
      <c r="J10" s="111">
        <f>SUMIF('A-1 Site Habitat Baseline'!$G$11:$G$258,'G-2 Habitat groups'!A10,'A-1 Site Habitat Baseline'!$X$11:$X$258)</f>
        <v>0</v>
      </c>
      <c r="K10" s="111">
        <f>SUMIF('A-2 Site Habitat Creation'!$F$11:$F$256,'G-2 Habitat groups'!A10,'A-2 Site Habitat Creation'!$G$11:$G$256)</f>
        <v>0</v>
      </c>
      <c r="L10" s="111">
        <f>SUMIF('A-2 Site Habitat Creation'!$F$11:$F$256,'G-2 Habitat groups'!A10,'A-2 Site Habitat Creation'!$Y$11:$Y$256)</f>
        <v>0</v>
      </c>
      <c r="M10" s="111">
        <f>SUMIF('A-3 Site Habitat Enhancement'!$S$12:$S$257,'G-2 Habitat groups'!A10,'A-3 Site Habitat Enhancement'!$V$12:$V$257)</f>
        <v>0</v>
      </c>
      <c r="N10" s="111">
        <f>SUMIF('A-3 Site Habitat Enhancement'!$S$12:$S$257,'G-2 Habitat groups'!A10,'A-3 Site Habitat Enhancement'!$AN$12:$AN$257)</f>
        <v>0</v>
      </c>
      <c r="O10" s="111">
        <f t="shared" si="0"/>
        <v>0</v>
      </c>
      <c r="P10" s="111">
        <f t="shared" si="1"/>
        <v>0</v>
      </c>
      <c r="Q10" s="111">
        <f t="shared" si="2"/>
        <v>0</v>
      </c>
      <c r="R10" s="111">
        <f t="shared" si="3"/>
        <v>0</v>
      </c>
      <c r="S10" s="111">
        <f>IF(C10="V.High",SUMIF('D-1 Off Site Habitat Baseline'!$G$11:$G$258,'G-2 Habitat groups'!A10,'D-1 Off Site Habitat Baseline'!$S$11:$S$258)+SUMIF('D-1 Off Site Habitat Baseline'!$G$11:$G$258,'G-2 Habitat groups'!A10,'D-1 Off Site Habitat Baseline'!$T$11:$T$258),SUMIF('D-1 Off Site Habitat Baseline'!$G$11:$G$258,'G-2 Habitat groups'!A10,'D-1 Off Site Habitat Baseline'!$H$11:$H$258))</f>
        <v>0</v>
      </c>
      <c r="T10" s="111">
        <f>SUMIF('D-1 Off Site Habitat Baseline'!$G$11:$G$258,'G-2 Habitat groups'!A10,'D-1 Off Site Habitat Baseline'!$Q$11:$Q$258)</f>
        <v>0</v>
      </c>
      <c r="U10" s="513">
        <f>SUMIF('D-1 Off Site Habitat Baseline'!$G$11:$G$258,'G-2 Habitat groups'!A10,'D-1 Off Site Habitat Baseline'!$S$11:$S$258)</f>
        <v>0</v>
      </c>
      <c r="V10" s="111">
        <f>SUMIF('D-1 Off Site Habitat Baseline'!$G$11:$G$258,'G-2 Habitat groups'!A10,'D-1 Off Site Habitat Baseline'!$U$11:$U$258)</f>
        <v>0</v>
      </c>
      <c r="W10" s="111">
        <f>SUMIF('D-2 Off Site Habitat Creation'!$F$9:$F$255,'G-2 Habitat groups'!A10,'D-2 Off Site Habitat Creation'!$G$9:$G$255)</f>
        <v>0</v>
      </c>
      <c r="X10" s="111">
        <f>SUMIF('D-2 Off Site Habitat Creation'!$F$9:$F$255,'G-2 Habitat groups'!A10,'D-2 Off Site Habitat Creation'!$AA$9:$AA$255)</f>
        <v>0</v>
      </c>
      <c r="Y10" s="111">
        <f>SUMIF('D-3 Off Site Habitat Enhancment'!$S$12:$S$491,'G-2 Habitat groups'!A10,'D-3 Off Site Habitat Enhancment'!$V$12:$V$491)</f>
        <v>0</v>
      </c>
      <c r="Z10" s="111">
        <f>SUMIF('D-3 Off Site Habitat Enhancment'!$S$12:$S$491,'G-2 Habitat groups'!A10,'D-3 Off Site Habitat Enhancment'!$AP$12:$AP$491)</f>
        <v>0</v>
      </c>
      <c r="AA10" s="111">
        <f t="shared" si="4"/>
        <v>0</v>
      </c>
      <c r="AB10" s="111">
        <f t="shared" si="5"/>
        <v>0</v>
      </c>
      <c r="AC10" s="111">
        <f t="shared" si="6"/>
        <v>0</v>
      </c>
      <c r="AD10" s="111">
        <f t="shared" si="7"/>
        <v>0</v>
      </c>
      <c r="AE10" s="111">
        <f t="shared" si="8"/>
        <v>0</v>
      </c>
      <c r="AF10" s="111">
        <f t="shared" si="9"/>
        <v>0</v>
      </c>
      <c r="AJ10" s="132" t="s">
        <v>137</v>
      </c>
      <c r="AK10" s="124">
        <f t="shared" si="10"/>
        <v>0</v>
      </c>
      <c r="AL10" s="124">
        <f t="shared" si="11"/>
        <v>0</v>
      </c>
      <c r="AM10" s="124">
        <f t="shared" si="12"/>
        <v>0</v>
      </c>
      <c r="AN10" s="124">
        <f t="shared" si="13"/>
        <v>0</v>
      </c>
      <c r="AO10" s="136">
        <f t="shared" si="14"/>
        <v>0</v>
      </c>
      <c r="AP10" s="136">
        <f t="shared" si="15"/>
        <v>0</v>
      </c>
      <c r="AU10" s="144" t="s">
        <v>300</v>
      </c>
      <c r="AV10" s="100" t="s">
        <v>167</v>
      </c>
      <c r="AW10" s="111">
        <f t="shared" si="16"/>
        <v>0</v>
      </c>
      <c r="AX10" s="111">
        <f t="shared" si="17"/>
        <v>0</v>
      </c>
      <c r="AY10" s="111">
        <f t="shared" si="18"/>
        <v>0</v>
      </c>
      <c r="AZ10" s="111">
        <f t="shared" si="19"/>
        <v>0</v>
      </c>
      <c r="BA10" s="111">
        <f t="shared" si="20"/>
        <v>0</v>
      </c>
      <c r="BB10" s="111">
        <f t="shared" si="21"/>
        <v>0</v>
      </c>
      <c r="BC10" s="111">
        <f t="shared" si="22"/>
        <v>0</v>
      </c>
      <c r="BD10" s="111">
        <f t="shared" si="23"/>
        <v>0</v>
      </c>
      <c r="BE10" s="111">
        <f t="shared" si="24"/>
        <v>0</v>
      </c>
      <c r="BF10" s="111" t="str">
        <f t="shared" si="25"/>
        <v/>
      </c>
      <c r="BG10" s="125">
        <f t="shared" si="26"/>
        <v>0</v>
      </c>
    </row>
    <row r="11" spans="1:59" ht="15" customHeight="1" x14ac:dyDescent="0.25">
      <c r="A11" s="129" t="str">
        <f>'G-1 All Habitats'!B10</f>
        <v>Cropland - Horticulture</v>
      </c>
      <c r="B11" s="100" t="str">
        <f>'G-1 All Habitats'!F10</f>
        <v>Cropland</v>
      </c>
      <c r="C11" s="100" t="str">
        <f>'G-1 All Habitats'!K10</f>
        <v>Low</v>
      </c>
      <c r="D11" s="100" t="str">
        <f>'G-1 All Habitats'!M10</f>
        <v>Same distinctiveness or better habitat required</v>
      </c>
      <c r="E11" s="111">
        <f>IF(C11="V.High",SUMIF('A-1 Site Habitat Baseline'!$G$11:$G$258,'G-2 Habitat groups'!A11,'A-1 Site Habitat Baseline'!$S$11:$S$258)+SUMIF('A-1 Site Habitat Baseline'!$G$11:$G$258,'G-2 Habitat groups'!A11,'A-1 Site Habitat Baseline'!$T$11:$T$258),SUMIF('A-1 Site Habitat Baseline'!$G$11:$G$258,'G-2 Habitat groups'!A11,'A-1 Site Habitat Baseline'!$H$11:$H$258))</f>
        <v>0</v>
      </c>
      <c r="F11" s="111">
        <f>SUMIF('A-1 Site Habitat Baseline'!$G$11:$G$258,'G-2 Habitat groups'!A11,'A-1 Site Habitat Baseline'!$Q$11:$Q$258)</f>
        <v>0</v>
      </c>
      <c r="G11" s="111">
        <f>SUMIF('A-1 Site Habitat Baseline'!$G$11:$G$258,'G-2 Habitat groups'!A11,'A-1 Site Habitat Baseline'!$S$11:$S$258)</f>
        <v>0</v>
      </c>
      <c r="H11" s="111">
        <f>SUMIF('A-1 Site Habitat Baseline'!$G$11:$G$258,'G-2 Habitat groups'!A11,'A-1 Site Habitat Baseline'!$U$11:$U$258)</f>
        <v>0</v>
      </c>
      <c r="I11" s="111">
        <f>SUMIF('A-1 Site Habitat Baseline'!$G$11:$G$258,'G-2 Habitat groups'!A11,'A-1 Site Habitat Baseline'!$W$11:$W$258)</f>
        <v>0</v>
      </c>
      <c r="J11" s="111">
        <f>SUMIF('A-1 Site Habitat Baseline'!$G$11:$G$258,'G-2 Habitat groups'!A11,'A-1 Site Habitat Baseline'!$X$11:$X$258)</f>
        <v>0</v>
      </c>
      <c r="K11" s="111">
        <f>SUMIF('A-2 Site Habitat Creation'!$F$11:$F$256,'G-2 Habitat groups'!A11,'A-2 Site Habitat Creation'!$G$11:$G$256)</f>
        <v>0</v>
      </c>
      <c r="L11" s="111">
        <f>SUMIF('A-2 Site Habitat Creation'!$F$11:$F$256,'G-2 Habitat groups'!A11,'A-2 Site Habitat Creation'!$Y$11:$Y$256)</f>
        <v>0</v>
      </c>
      <c r="M11" s="111">
        <f>SUMIF('A-3 Site Habitat Enhancement'!$S$12:$S$257,'G-2 Habitat groups'!A11,'A-3 Site Habitat Enhancement'!$V$12:$V$257)</f>
        <v>0</v>
      </c>
      <c r="N11" s="111">
        <f>SUMIF('A-3 Site Habitat Enhancement'!$S$12:$S$257,'G-2 Habitat groups'!A11,'A-3 Site Habitat Enhancement'!$AN$12:$AN$257)</f>
        <v>0</v>
      </c>
      <c r="O11" s="111">
        <f t="shared" si="0"/>
        <v>0</v>
      </c>
      <c r="P11" s="111">
        <f t="shared" si="1"/>
        <v>0</v>
      </c>
      <c r="Q11" s="111">
        <f t="shared" si="2"/>
        <v>0</v>
      </c>
      <c r="R11" s="111">
        <f t="shared" si="3"/>
        <v>0</v>
      </c>
      <c r="S11" s="111">
        <f>IF(C11="V.High",SUMIF('D-1 Off Site Habitat Baseline'!$G$11:$G$258,'G-2 Habitat groups'!A11,'D-1 Off Site Habitat Baseline'!$S$11:$S$258)+SUMIF('D-1 Off Site Habitat Baseline'!$G$11:$G$258,'G-2 Habitat groups'!A11,'D-1 Off Site Habitat Baseline'!$T$11:$T$258),SUMIF('D-1 Off Site Habitat Baseline'!$G$11:$G$258,'G-2 Habitat groups'!A11,'D-1 Off Site Habitat Baseline'!$H$11:$H$258))</f>
        <v>0</v>
      </c>
      <c r="T11" s="111">
        <f>SUMIF('D-1 Off Site Habitat Baseline'!$G$11:$G$258,'G-2 Habitat groups'!A11,'D-1 Off Site Habitat Baseline'!$Q$11:$Q$258)</f>
        <v>0</v>
      </c>
      <c r="U11" s="513">
        <f>SUMIF('D-1 Off Site Habitat Baseline'!$G$11:$G$258,'G-2 Habitat groups'!A11,'D-1 Off Site Habitat Baseline'!$S$11:$S$258)</f>
        <v>0</v>
      </c>
      <c r="V11" s="111">
        <f>SUMIF('D-1 Off Site Habitat Baseline'!$G$11:$G$258,'G-2 Habitat groups'!A11,'D-1 Off Site Habitat Baseline'!$U$11:$U$258)</f>
        <v>0</v>
      </c>
      <c r="W11" s="111">
        <f>SUMIF('D-2 Off Site Habitat Creation'!$F$9:$F$255,'G-2 Habitat groups'!A11,'D-2 Off Site Habitat Creation'!$G$9:$G$255)</f>
        <v>0</v>
      </c>
      <c r="X11" s="111">
        <f>SUMIF('D-2 Off Site Habitat Creation'!$F$9:$F$255,'G-2 Habitat groups'!A11,'D-2 Off Site Habitat Creation'!$AA$9:$AA$255)</f>
        <v>0</v>
      </c>
      <c r="Y11" s="111">
        <f>SUMIF('D-3 Off Site Habitat Enhancment'!$S$12:$S$491,'G-2 Habitat groups'!A11,'D-3 Off Site Habitat Enhancment'!$V$12:$V$491)</f>
        <v>0</v>
      </c>
      <c r="Z11" s="111">
        <f>SUMIF('D-3 Off Site Habitat Enhancment'!$S$12:$S$491,'G-2 Habitat groups'!A11,'D-3 Off Site Habitat Enhancment'!$AP$12:$AP$491)</f>
        <v>0</v>
      </c>
      <c r="AA11" s="111">
        <f t="shared" si="4"/>
        <v>0</v>
      </c>
      <c r="AB11" s="111">
        <f t="shared" si="5"/>
        <v>0</v>
      </c>
      <c r="AC11" s="111">
        <f t="shared" si="6"/>
        <v>0</v>
      </c>
      <c r="AD11" s="111">
        <f t="shared" si="7"/>
        <v>0</v>
      </c>
      <c r="AE11" s="111">
        <f t="shared" si="8"/>
        <v>0</v>
      </c>
      <c r="AF11" s="111">
        <f t="shared" si="9"/>
        <v>0</v>
      </c>
      <c r="AJ11" s="134" t="s">
        <v>163</v>
      </c>
      <c r="AK11" s="124">
        <f t="shared" si="10"/>
        <v>0</v>
      </c>
      <c r="AL11" s="124">
        <f t="shared" si="11"/>
        <v>0</v>
      </c>
      <c r="AM11" s="124">
        <f t="shared" si="12"/>
        <v>0</v>
      </c>
      <c r="AN11" s="124">
        <f t="shared" si="13"/>
        <v>0</v>
      </c>
      <c r="AO11" s="136">
        <f t="shared" si="14"/>
        <v>0</v>
      </c>
      <c r="AP11" s="136">
        <f t="shared" si="15"/>
        <v>0</v>
      </c>
      <c r="AU11" s="144" t="s">
        <v>299</v>
      </c>
      <c r="AV11" s="100" t="s">
        <v>167</v>
      </c>
      <c r="AW11" s="111">
        <f t="shared" si="16"/>
        <v>0</v>
      </c>
      <c r="AX11" s="111">
        <f t="shared" si="17"/>
        <v>0</v>
      </c>
      <c r="AY11" s="111">
        <f t="shared" si="18"/>
        <v>0</v>
      </c>
      <c r="AZ11" s="111">
        <f t="shared" si="19"/>
        <v>0</v>
      </c>
      <c r="BA11" s="111">
        <f t="shared" si="20"/>
        <v>0</v>
      </c>
      <c r="BB11" s="111">
        <f t="shared" si="21"/>
        <v>0</v>
      </c>
      <c r="BC11" s="111">
        <f t="shared" si="22"/>
        <v>0</v>
      </c>
      <c r="BD11" s="111">
        <f t="shared" si="23"/>
        <v>0</v>
      </c>
      <c r="BE11" s="111">
        <f t="shared" si="24"/>
        <v>0</v>
      </c>
      <c r="BF11" s="111" t="str">
        <f t="shared" si="25"/>
        <v/>
      </c>
      <c r="BG11" s="125">
        <f t="shared" si="26"/>
        <v>0</v>
      </c>
    </row>
    <row r="12" spans="1:59" ht="14.4" customHeight="1" x14ac:dyDescent="0.25">
      <c r="A12" s="129" t="str">
        <f>'G-1 All Habitats'!B11</f>
        <v>Cropland - Intensive orchards</v>
      </c>
      <c r="B12" s="100" t="str">
        <f>'G-1 All Habitats'!F11</f>
        <v>Cropland</v>
      </c>
      <c r="C12" s="100" t="str">
        <f>'G-1 All Habitats'!K11</f>
        <v>Low</v>
      </c>
      <c r="D12" s="100" t="str">
        <f>'G-1 All Habitats'!M11</f>
        <v>Same distinctiveness or better habitat required</v>
      </c>
      <c r="E12" s="111">
        <f>IF(C12="V.High",SUMIF('A-1 Site Habitat Baseline'!$G$11:$G$258,'G-2 Habitat groups'!A12,'A-1 Site Habitat Baseline'!$S$11:$S$258)+SUMIF('A-1 Site Habitat Baseline'!$G$11:$G$258,'G-2 Habitat groups'!A12,'A-1 Site Habitat Baseline'!$T$11:$T$258),SUMIF('A-1 Site Habitat Baseline'!$G$11:$G$258,'G-2 Habitat groups'!A12,'A-1 Site Habitat Baseline'!$H$11:$H$258))</f>
        <v>0</v>
      </c>
      <c r="F12" s="111">
        <f>SUMIF('A-1 Site Habitat Baseline'!$G$11:$G$258,'G-2 Habitat groups'!A12,'A-1 Site Habitat Baseline'!$Q$11:$Q$258)</f>
        <v>0</v>
      </c>
      <c r="G12" s="111">
        <f>SUMIF('A-1 Site Habitat Baseline'!$G$11:$G$258,'G-2 Habitat groups'!A12,'A-1 Site Habitat Baseline'!$S$11:$S$258)</f>
        <v>0</v>
      </c>
      <c r="H12" s="111">
        <f>SUMIF('A-1 Site Habitat Baseline'!$G$11:$G$258,'G-2 Habitat groups'!A12,'A-1 Site Habitat Baseline'!$U$11:$U$258)</f>
        <v>0</v>
      </c>
      <c r="I12" s="111">
        <f>SUMIF('A-1 Site Habitat Baseline'!$G$11:$G$258,'G-2 Habitat groups'!A12,'A-1 Site Habitat Baseline'!$W$11:$W$258)</f>
        <v>0</v>
      </c>
      <c r="J12" s="111">
        <f>SUMIF('A-1 Site Habitat Baseline'!$G$11:$G$258,'G-2 Habitat groups'!A12,'A-1 Site Habitat Baseline'!$X$11:$X$258)</f>
        <v>0</v>
      </c>
      <c r="K12" s="111">
        <f>SUMIF('A-2 Site Habitat Creation'!$F$11:$F$256,'G-2 Habitat groups'!A12,'A-2 Site Habitat Creation'!$G$11:$G$256)</f>
        <v>0</v>
      </c>
      <c r="L12" s="111">
        <f>SUMIF('A-2 Site Habitat Creation'!$F$11:$F$256,'G-2 Habitat groups'!A12,'A-2 Site Habitat Creation'!$Y$11:$Y$256)</f>
        <v>0</v>
      </c>
      <c r="M12" s="111">
        <f>SUMIF('A-3 Site Habitat Enhancement'!$S$12:$S$257,'G-2 Habitat groups'!A12,'A-3 Site Habitat Enhancement'!$V$12:$V$257)</f>
        <v>0</v>
      </c>
      <c r="N12" s="111">
        <f>SUMIF('A-3 Site Habitat Enhancement'!$S$12:$S$257,'G-2 Habitat groups'!A12,'A-3 Site Habitat Enhancement'!$AN$12:$AN$257)</f>
        <v>0</v>
      </c>
      <c r="O12" s="111">
        <f t="shared" si="0"/>
        <v>0</v>
      </c>
      <c r="P12" s="111">
        <f t="shared" si="1"/>
        <v>0</v>
      </c>
      <c r="Q12" s="111">
        <f t="shared" si="2"/>
        <v>0</v>
      </c>
      <c r="R12" s="111">
        <f t="shared" si="3"/>
        <v>0</v>
      </c>
      <c r="S12" s="111">
        <f>IF(C12="V.High",SUMIF('D-1 Off Site Habitat Baseline'!$G$11:$G$258,'G-2 Habitat groups'!A12,'D-1 Off Site Habitat Baseline'!$S$11:$S$258)+SUMIF('D-1 Off Site Habitat Baseline'!$G$11:$G$258,'G-2 Habitat groups'!A12,'D-1 Off Site Habitat Baseline'!$T$11:$T$258),SUMIF('D-1 Off Site Habitat Baseline'!$G$11:$G$258,'G-2 Habitat groups'!A12,'D-1 Off Site Habitat Baseline'!$H$11:$H$258))</f>
        <v>0</v>
      </c>
      <c r="T12" s="111">
        <f>SUMIF('D-1 Off Site Habitat Baseline'!$G$11:$G$258,'G-2 Habitat groups'!A12,'D-1 Off Site Habitat Baseline'!$Q$11:$Q$258)</f>
        <v>0</v>
      </c>
      <c r="U12" s="513">
        <f>SUMIF('D-1 Off Site Habitat Baseline'!$G$11:$G$258,'G-2 Habitat groups'!A12,'D-1 Off Site Habitat Baseline'!$S$11:$S$258)</f>
        <v>0</v>
      </c>
      <c r="V12" s="111">
        <f>SUMIF('D-1 Off Site Habitat Baseline'!$G$11:$G$258,'G-2 Habitat groups'!A12,'D-1 Off Site Habitat Baseline'!$U$11:$U$258)</f>
        <v>0</v>
      </c>
      <c r="W12" s="111">
        <f>SUMIF('D-2 Off Site Habitat Creation'!$F$9:$F$255,'G-2 Habitat groups'!A12,'D-2 Off Site Habitat Creation'!$G$9:$G$255)</f>
        <v>0</v>
      </c>
      <c r="X12" s="111">
        <f>SUMIF('D-2 Off Site Habitat Creation'!$F$9:$F$255,'G-2 Habitat groups'!A12,'D-2 Off Site Habitat Creation'!$AA$9:$AA$255)</f>
        <v>0</v>
      </c>
      <c r="Y12" s="111">
        <f>SUMIF('D-3 Off Site Habitat Enhancment'!$S$12:$S$491,'G-2 Habitat groups'!A12,'D-3 Off Site Habitat Enhancment'!$V$12:$V$491)</f>
        <v>0</v>
      </c>
      <c r="Z12" s="111">
        <f>SUMIF('D-3 Off Site Habitat Enhancment'!$S$12:$S$491,'G-2 Habitat groups'!A12,'D-3 Off Site Habitat Enhancment'!$AP$12:$AP$491)</f>
        <v>0</v>
      </c>
      <c r="AA12" s="111">
        <f t="shared" si="4"/>
        <v>0</v>
      </c>
      <c r="AB12" s="111">
        <f t="shared" si="5"/>
        <v>0</v>
      </c>
      <c r="AC12" s="111">
        <f t="shared" si="6"/>
        <v>0</v>
      </c>
      <c r="AD12" s="111">
        <f t="shared" si="7"/>
        <v>0</v>
      </c>
      <c r="AE12" s="111">
        <f t="shared" si="8"/>
        <v>0</v>
      </c>
      <c r="AF12" s="111">
        <f t="shared" si="9"/>
        <v>0</v>
      </c>
      <c r="AJ12" s="134" t="s">
        <v>1105</v>
      </c>
      <c r="AK12" s="124">
        <f t="shared" si="10"/>
        <v>0</v>
      </c>
      <c r="AL12" s="124">
        <f t="shared" si="11"/>
        <v>0</v>
      </c>
      <c r="AM12" s="124">
        <f t="shared" si="12"/>
        <v>0</v>
      </c>
      <c r="AN12" s="124">
        <f t="shared" si="13"/>
        <v>0</v>
      </c>
      <c r="AO12" s="136">
        <f t="shared" si="14"/>
        <v>0</v>
      </c>
      <c r="AP12" s="136">
        <f t="shared" si="15"/>
        <v>0</v>
      </c>
      <c r="AU12" s="144" t="s">
        <v>272</v>
      </c>
      <c r="AV12" s="100" t="s">
        <v>137</v>
      </c>
      <c r="AW12" s="111">
        <f t="shared" si="16"/>
        <v>0</v>
      </c>
      <c r="AX12" s="111">
        <f t="shared" si="17"/>
        <v>0</v>
      </c>
      <c r="AY12" s="111">
        <f t="shared" si="18"/>
        <v>0</v>
      </c>
      <c r="AZ12" s="111">
        <f t="shared" si="19"/>
        <v>0</v>
      </c>
      <c r="BA12" s="111">
        <f t="shared" si="20"/>
        <v>0</v>
      </c>
      <c r="BB12" s="111">
        <f t="shared" si="21"/>
        <v>0</v>
      </c>
      <c r="BC12" s="111">
        <f t="shared" si="22"/>
        <v>0</v>
      </c>
      <c r="BD12" s="111">
        <f t="shared" si="23"/>
        <v>0</v>
      </c>
      <c r="BE12" s="111">
        <f t="shared" si="24"/>
        <v>0</v>
      </c>
      <c r="BF12" s="111" t="str">
        <f t="shared" si="25"/>
        <v/>
      </c>
      <c r="BG12" s="125">
        <f t="shared" si="26"/>
        <v>0</v>
      </c>
    </row>
    <row r="13" spans="1:59" ht="14.4" customHeight="1" x14ac:dyDescent="0.25">
      <c r="A13" s="129" t="str">
        <f>'G-1 All Habitats'!B12</f>
        <v>Cropland - Non-cereal crops</v>
      </c>
      <c r="B13" s="100" t="str">
        <f>'G-1 All Habitats'!F12</f>
        <v>Cropland</v>
      </c>
      <c r="C13" s="100" t="str">
        <f>'G-1 All Habitats'!K12</f>
        <v>Low</v>
      </c>
      <c r="D13" s="100" t="str">
        <f>'G-1 All Habitats'!M12</f>
        <v>Same distinctiveness or better habitat required</v>
      </c>
      <c r="E13" s="111">
        <f>IF(C13="V.High",SUMIF('A-1 Site Habitat Baseline'!$G$11:$G$258,'G-2 Habitat groups'!A13,'A-1 Site Habitat Baseline'!$S$11:$S$258)+SUMIF('A-1 Site Habitat Baseline'!$G$11:$G$258,'G-2 Habitat groups'!A13,'A-1 Site Habitat Baseline'!$T$11:$T$258),SUMIF('A-1 Site Habitat Baseline'!$G$11:$G$258,'G-2 Habitat groups'!A13,'A-1 Site Habitat Baseline'!$H$11:$H$258))</f>
        <v>0</v>
      </c>
      <c r="F13" s="111">
        <f>SUMIF('A-1 Site Habitat Baseline'!$G$11:$G$258,'G-2 Habitat groups'!A13,'A-1 Site Habitat Baseline'!$Q$11:$Q$258)</f>
        <v>0</v>
      </c>
      <c r="G13" s="111">
        <f>SUMIF('A-1 Site Habitat Baseline'!$G$11:$G$258,'G-2 Habitat groups'!A13,'A-1 Site Habitat Baseline'!$S$11:$S$258)</f>
        <v>0</v>
      </c>
      <c r="H13" s="111">
        <f>SUMIF('A-1 Site Habitat Baseline'!$G$11:$G$258,'G-2 Habitat groups'!A13,'A-1 Site Habitat Baseline'!$U$11:$U$258)</f>
        <v>0</v>
      </c>
      <c r="I13" s="111">
        <f>SUMIF('A-1 Site Habitat Baseline'!$G$11:$G$258,'G-2 Habitat groups'!A13,'A-1 Site Habitat Baseline'!$W$11:$W$258)</f>
        <v>0</v>
      </c>
      <c r="J13" s="111">
        <f>SUMIF('A-1 Site Habitat Baseline'!$G$11:$G$258,'G-2 Habitat groups'!A13,'A-1 Site Habitat Baseline'!$X$11:$X$258)</f>
        <v>0</v>
      </c>
      <c r="K13" s="111">
        <f>SUMIF('A-2 Site Habitat Creation'!$F$11:$F$256,'G-2 Habitat groups'!A13,'A-2 Site Habitat Creation'!$G$11:$G$256)</f>
        <v>0</v>
      </c>
      <c r="L13" s="111">
        <f>SUMIF('A-2 Site Habitat Creation'!$F$11:$F$256,'G-2 Habitat groups'!A13,'A-2 Site Habitat Creation'!$Y$11:$Y$256)</f>
        <v>0</v>
      </c>
      <c r="M13" s="111">
        <f>SUMIF('A-3 Site Habitat Enhancement'!$S$12:$S$257,'G-2 Habitat groups'!A13,'A-3 Site Habitat Enhancement'!$V$12:$V$257)</f>
        <v>0</v>
      </c>
      <c r="N13" s="111">
        <f>SUMIF('A-3 Site Habitat Enhancement'!$S$12:$S$257,'G-2 Habitat groups'!A13,'A-3 Site Habitat Enhancement'!$AN$12:$AN$257)</f>
        <v>0</v>
      </c>
      <c r="O13" s="111">
        <f t="shared" si="0"/>
        <v>0</v>
      </c>
      <c r="P13" s="111">
        <f t="shared" si="1"/>
        <v>0</v>
      </c>
      <c r="Q13" s="111">
        <f t="shared" si="2"/>
        <v>0</v>
      </c>
      <c r="R13" s="111">
        <f t="shared" si="3"/>
        <v>0</v>
      </c>
      <c r="S13" s="111">
        <f>IF(C13="V.High",SUMIF('D-1 Off Site Habitat Baseline'!$G$11:$G$258,'G-2 Habitat groups'!A13,'D-1 Off Site Habitat Baseline'!$S$11:$S$258)+SUMIF('D-1 Off Site Habitat Baseline'!$G$11:$G$258,'G-2 Habitat groups'!A13,'D-1 Off Site Habitat Baseline'!$T$11:$T$258),SUMIF('D-1 Off Site Habitat Baseline'!$G$11:$G$258,'G-2 Habitat groups'!A13,'D-1 Off Site Habitat Baseline'!$H$11:$H$258))</f>
        <v>0</v>
      </c>
      <c r="T13" s="111">
        <f>SUMIF('D-1 Off Site Habitat Baseline'!$G$11:$G$258,'G-2 Habitat groups'!A13,'D-1 Off Site Habitat Baseline'!$Q$11:$Q$258)</f>
        <v>0</v>
      </c>
      <c r="U13" s="513">
        <f>SUMIF('D-1 Off Site Habitat Baseline'!$G$11:$G$258,'G-2 Habitat groups'!A13,'D-1 Off Site Habitat Baseline'!$S$11:$S$258)</f>
        <v>0</v>
      </c>
      <c r="V13" s="111">
        <f>SUMIF('D-1 Off Site Habitat Baseline'!$G$11:$G$258,'G-2 Habitat groups'!A13,'D-1 Off Site Habitat Baseline'!$U$11:$U$258)</f>
        <v>0</v>
      </c>
      <c r="W13" s="111">
        <f>SUMIF('D-2 Off Site Habitat Creation'!$F$9:$F$255,'G-2 Habitat groups'!A13,'D-2 Off Site Habitat Creation'!$G$9:$G$255)</f>
        <v>0</v>
      </c>
      <c r="X13" s="111">
        <f>SUMIF('D-2 Off Site Habitat Creation'!$F$9:$F$255,'G-2 Habitat groups'!A13,'D-2 Off Site Habitat Creation'!$AA$9:$AA$255)</f>
        <v>0</v>
      </c>
      <c r="Y13" s="111">
        <f>SUMIF('D-3 Off Site Habitat Enhancment'!$S$12:$S$491,'G-2 Habitat groups'!A13,'D-3 Off Site Habitat Enhancment'!$V$12:$V$491)</f>
        <v>0</v>
      </c>
      <c r="Z13" s="111">
        <f>SUMIF('D-3 Off Site Habitat Enhancment'!$S$12:$S$491,'G-2 Habitat groups'!A13,'D-3 Off Site Habitat Enhancment'!$AP$12:$AP$491)</f>
        <v>0</v>
      </c>
      <c r="AA13" s="111">
        <f t="shared" si="4"/>
        <v>0</v>
      </c>
      <c r="AB13" s="111">
        <f t="shared" si="5"/>
        <v>0</v>
      </c>
      <c r="AC13" s="111">
        <f t="shared" si="6"/>
        <v>0</v>
      </c>
      <c r="AD13" s="111">
        <f t="shared" si="7"/>
        <v>0</v>
      </c>
      <c r="AE13" s="111">
        <f t="shared" si="8"/>
        <v>0</v>
      </c>
      <c r="AF13" s="111">
        <f t="shared" si="9"/>
        <v>0</v>
      </c>
      <c r="AJ13" s="135" t="s">
        <v>1112</v>
      </c>
      <c r="AK13" s="124">
        <f t="shared" si="10"/>
        <v>0</v>
      </c>
      <c r="AL13" s="124">
        <f t="shared" si="11"/>
        <v>0</v>
      </c>
      <c r="AM13" s="124">
        <f t="shared" si="12"/>
        <v>0</v>
      </c>
      <c r="AN13" s="124">
        <f t="shared" si="13"/>
        <v>0</v>
      </c>
      <c r="AO13" s="136">
        <f t="shared" si="14"/>
        <v>0</v>
      </c>
      <c r="AP13" s="136">
        <f t="shared" si="15"/>
        <v>0</v>
      </c>
      <c r="AU13" s="144" t="s">
        <v>858</v>
      </c>
      <c r="AV13" s="100" t="s">
        <v>137</v>
      </c>
      <c r="AW13" s="111">
        <f t="shared" si="16"/>
        <v>0</v>
      </c>
      <c r="AX13" s="111">
        <f t="shared" si="17"/>
        <v>0</v>
      </c>
      <c r="AY13" s="111">
        <f t="shared" si="18"/>
        <v>0</v>
      </c>
      <c r="AZ13" s="111">
        <f t="shared" si="19"/>
        <v>0</v>
      </c>
      <c r="BA13" s="111">
        <f t="shared" si="20"/>
        <v>0</v>
      </c>
      <c r="BB13" s="111">
        <f t="shared" si="21"/>
        <v>0</v>
      </c>
      <c r="BC13" s="111">
        <f t="shared" si="22"/>
        <v>0</v>
      </c>
      <c r="BD13" s="111">
        <f t="shared" si="23"/>
        <v>0</v>
      </c>
      <c r="BE13" s="111">
        <f t="shared" si="24"/>
        <v>0</v>
      </c>
      <c r="BF13" s="111" t="str">
        <f t="shared" si="25"/>
        <v/>
      </c>
      <c r="BG13" s="125">
        <f t="shared" si="26"/>
        <v>0</v>
      </c>
    </row>
    <row r="14" spans="1:59" ht="14.4" customHeight="1" x14ac:dyDescent="0.25">
      <c r="A14" s="129" t="str">
        <f>'G-1 All Habitats'!B13</f>
        <v>Cropland - Temporary grass and clover leys</v>
      </c>
      <c r="B14" s="100" t="str">
        <f>'G-1 All Habitats'!F13</f>
        <v>Cropland</v>
      </c>
      <c r="C14" s="100" t="str">
        <f>'G-1 All Habitats'!K13</f>
        <v>Low</v>
      </c>
      <c r="D14" s="100" t="str">
        <f>'G-1 All Habitats'!M13</f>
        <v>Same distinctiveness or better habitat required</v>
      </c>
      <c r="E14" s="111">
        <f>IF(C14="V.High",SUMIF('A-1 Site Habitat Baseline'!$G$11:$G$258,'G-2 Habitat groups'!A14,'A-1 Site Habitat Baseline'!$S$11:$S$258)+SUMIF('A-1 Site Habitat Baseline'!$G$11:$G$258,'G-2 Habitat groups'!A14,'A-1 Site Habitat Baseline'!$T$11:$T$258),SUMIF('A-1 Site Habitat Baseline'!$G$11:$G$258,'G-2 Habitat groups'!A14,'A-1 Site Habitat Baseline'!$H$11:$H$258))</f>
        <v>0</v>
      </c>
      <c r="F14" s="111">
        <f>SUMIF('A-1 Site Habitat Baseline'!$G$11:$G$258,'G-2 Habitat groups'!A14,'A-1 Site Habitat Baseline'!$Q$11:$Q$258)</f>
        <v>0</v>
      </c>
      <c r="G14" s="111">
        <f>SUMIF('A-1 Site Habitat Baseline'!$G$11:$G$258,'G-2 Habitat groups'!A14,'A-1 Site Habitat Baseline'!$S$11:$S$258)</f>
        <v>0</v>
      </c>
      <c r="H14" s="111">
        <f>SUMIF('A-1 Site Habitat Baseline'!$G$11:$G$258,'G-2 Habitat groups'!A14,'A-1 Site Habitat Baseline'!$U$11:$U$258)</f>
        <v>0</v>
      </c>
      <c r="I14" s="111">
        <f>SUMIF('A-1 Site Habitat Baseline'!$G$11:$G$258,'G-2 Habitat groups'!A14,'A-1 Site Habitat Baseline'!$W$11:$W$258)</f>
        <v>0</v>
      </c>
      <c r="J14" s="111">
        <f>SUMIF('A-1 Site Habitat Baseline'!$G$11:$G$258,'G-2 Habitat groups'!A14,'A-1 Site Habitat Baseline'!$X$11:$X$258)</f>
        <v>0</v>
      </c>
      <c r="K14" s="111">
        <f>SUMIF('A-2 Site Habitat Creation'!$F$11:$F$256,'G-2 Habitat groups'!A14,'A-2 Site Habitat Creation'!$G$11:$G$256)</f>
        <v>0</v>
      </c>
      <c r="L14" s="111">
        <f>SUMIF('A-2 Site Habitat Creation'!$F$11:$F$256,'G-2 Habitat groups'!A14,'A-2 Site Habitat Creation'!$Y$11:$Y$256)</f>
        <v>0</v>
      </c>
      <c r="M14" s="111">
        <f>SUMIF('A-3 Site Habitat Enhancement'!$S$12:$S$257,'G-2 Habitat groups'!A14,'A-3 Site Habitat Enhancement'!$V$12:$V$257)</f>
        <v>0</v>
      </c>
      <c r="N14" s="111">
        <f>SUMIF('A-3 Site Habitat Enhancement'!$S$12:$S$257,'G-2 Habitat groups'!A14,'A-3 Site Habitat Enhancement'!$AN$12:$AN$257)</f>
        <v>0</v>
      </c>
      <c r="O14" s="111">
        <f t="shared" si="0"/>
        <v>0</v>
      </c>
      <c r="P14" s="111">
        <f t="shared" si="1"/>
        <v>0</v>
      </c>
      <c r="Q14" s="111">
        <f t="shared" si="2"/>
        <v>0</v>
      </c>
      <c r="R14" s="111">
        <f t="shared" si="3"/>
        <v>0</v>
      </c>
      <c r="S14" s="111">
        <f>IF(C14="V.High",SUMIF('D-1 Off Site Habitat Baseline'!$G$11:$G$258,'G-2 Habitat groups'!A14,'D-1 Off Site Habitat Baseline'!$S$11:$S$258)+SUMIF('D-1 Off Site Habitat Baseline'!$G$11:$G$258,'G-2 Habitat groups'!A14,'D-1 Off Site Habitat Baseline'!$T$11:$T$258),SUMIF('D-1 Off Site Habitat Baseline'!$G$11:$G$258,'G-2 Habitat groups'!A14,'D-1 Off Site Habitat Baseline'!$H$11:$H$258))</f>
        <v>0</v>
      </c>
      <c r="T14" s="111">
        <f>SUMIF('D-1 Off Site Habitat Baseline'!$G$11:$G$258,'G-2 Habitat groups'!A14,'D-1 Off Site Habitat Baseline'!$Q$11:$Q$258)</f>
        <v>0</v>
      </c>
      <c r="U14" s="513">
        <f>SUMIF('D-1 Off Site Habitat Baseline'!$G$11:$G$258,'G-2 Habitat groups'!A14,'D-1 Off Site Habitat Baseline'!$S$11:$S$258)</f>
        <v>0</v>
      </c>
      <c r="V14" s="111">
        <f>SUMIF('D-1 Off Site Habitat Baseline'!$G$11:$G$258,'G-2 Habitat groups'!A14,'D-1 Off Site Habitat Baseline'!$U$11:$U$258)</f>
        <v>0</v>
      </c>
      <c r="W14" s="111">
        <f>SUMIF('D-2 Off Site Habitat Creation'!$F$9:$F$255,'G-2 Habitat groups'!A14,'D-2 Off Site Habitat Creation'!$G$9:$G$255)</f>
        <v>0</v>
      </c>
      <c r="X14" s="111">
        <f>SUMIF('D-2 Off Site Habitat Creation'!$F$9:$F$255,'G-2 Habitat groups'!A14,'D-2 Off Site Habitat Creation'!$AA$9:$AA$255)</f>
        <v>0</v>
      </c>
      <c r="Y14" s="111">
        <f>SUMIF('D-3 Off Site Habitat Enhancment'!$S$12:$S$491,'G-2 Habitat groups'!A14,'D-3 Off Site Habitat Enhancment'!$V$12:$V$491)</f>
        <v>0</v>
      </c>
      <c r="Z14" s="111">
        <f>SUMIF('D-3 Off Site Habitat Enhancment'!$S$12:$S$491,'G-2 Habitat groups'!A14,'D-3 Off Site Habitat Enhancment'!$AP$12:$AP$491)</f>
        <v>0</v>
      </c>
      <c r="AA14" s="111">
        <f t="shared" si="4"/>
        <v>0</v>
      </c>
      <c r="AB14" s="111">
        <f t="shared" si="5"/>
        <v>0</v>
      </c>
      <c r="AC14" s="111">
        <f t="shared" si="6"/>
        <v>0</v>
      </c>
      <c r="AD14" s="111">
        <f t="shared" si="7"/>
        <v>0</v>
      </c>
      <c r="AE14" s="111">
        <f t="shared" si="8"/>
        <v>0</v>
      </c>
      <c r="AF14" s="111">
        <f t="shared" si="9"/>
        <v>0</v>
      </c>
      <c r="AJ14" s="135" t="s">
        <v>1125</v>
      </c>
      <c r="AK14" s="124">
        <f t="shared" si="10"/>
        <v>0</v>
      </c>
      <c r="AL14" s="124">
        <f t="shared" si="11"/>
        <v>0</v>
      </c>
      <c r="AM14" s="124">
        <f t="shared" si="12"/>
        <v>0</v>
      </c>
      <c r="AN14" s="124">
        <f t="shared" si="13"/>
        <v>0</v>
      </c>
      <c r="AO14" s="136">
        <f t="shared" si="14"/>
        <v>0</v>
      </c>
      <c r="AP14" s="136">
        <f t="shared" si="15"/>
        <v>0</v>
      </c>
      <c r="AU14" s="144" t="s">
        <v>852</v>
      </c>
      <c r="AV14" s="100" t="s">
        <v>137</v>
      </c>
      <c r="AW14" s="111">
        <f t="shared" si="16"/>
        <v>0</v>
      </c>
      <c r="AX14" s="111">
        <f t="shared" si="17"/>
        <v>0</v>
      </c>
      <c r="AY14" s="111">
        <f t="shared" si="18"/>
        <v>0</v>
      </c>
      <c r="AZ14" s="111">
        <f t="shared" si="19"/>
        <v>0</v>
      </c>
      <c r="BA14" s="111">
        <f t="shared" si="20"/>
        <v>0</v>
      </c>
      <c r="BB14" s="111">
        <f t="shared" si="21"/>
        <v>0</v>
      </c>
      <c r="BC14" s="111">
        <f t="shared" si="22"/>
        <v>0</v>
      </c>
      <c r="BD14" s="111">
        <f t="shared" si="23"/>
        <v>0</v>
      </c>
      <c r="BE14" s="111">
        <f t="shared" si="24"/>
        <v>0</v>
      </c>
      <c r="BF14" s="111" t="str">
        <f t="shared" si="25"/>
        <v/>
      </c>
      <c r="BG14" s="125">
        <f t="shared" si="26"/>
        <v>0</v>
      </c>
    </row>
    <row r="15" spans="1:59" ht="14.4" customHeight="1" x14ac:dyDescent="0.25">
      <c r="A15" s="129" t="str">
        <f>'G-1 All Habitats'!B14</f>
        <v>Grassland - Traditional orchards</v>
      </c>
      <c r="B15" s="100" t="str">
        <f>'G-1 All Habitats'!F14</f>
        <v>Grassland</v>
      </c>
      <c r="C15" s="100" t="str">
        <f>'G-1 All Habitats'!K14</f>
        <v>High</v>
      </c>
      <c r="D15" s="100" t="str">
        <f>'G-1 All Habitats'!M14</f>
        <v>Same habitat required</v>
      </c>
      <c r="E15" s="111">
        <f>IF(C15="V.High",SUMIF('A-1 Site Habitat Baseline'!$G$11:$G$258,'G-2 Habitat groups'!A15,'A-1 Site Habitat Baseline'!$S$11:$S$258)+SUMIF('A-1 Site Habitat Baseline'!$G$11:$G$258,'G-2 Habitat groups'!A15,'A-1 Site Habitat Baseline'!$T$11:$T$258),SUMIF('A-1 Site Habitat Baseline'!$G$11:$G$258,'G-2 Habitat groups'!A15,'A-1 Site Habitat Baseline'!$H$11:$H$258))</f>
        <v>0</v>
      </c>
      <c r="F15" s="111">
        <f>SUMIF('A-1 Site Habitat Baseline'!$G$11:$G$258,'G-2 Habitat groups'!A15,'A-1 Site Habitat Baseline'!$Q$11:$Q$258)</f>
        <v>0</v>
      </c>
      <c r="G15" s="111">
        <f>SUMIF('A-1 Site Habitat Baseline'!$G$11:$G$258,'G-2 Habitat groups'!A15,'A-1 Site Habitat Baseline'!$S$11:$S$258)</f>
        <v>0</v>
      </c>
      <c r="H15" s="111">
        <f>SUMIF('A-1 Site Habitat Baseline'!$G$11:$G$258,'G-2 Habitat groups'!A15,'A-1 Site Habitat Baseline'!$U$11:$U$258)</f>
        <v>0</v>
      </c>
      <c r="I15" s="111">
        <f>SUMIF('A-1 Site Habitat Baseline'!$G$11:$G$258,'G-2 Habitat groups'!A15,'A-1 Site Habitat Baseline'!$W$11:$W$258)</f>
        <v>0</v>
      </c>
      <c r="J15" s="111">
        <f>SUMIF('A-1 Site Habitat Baseline'!$G$11:$G$258,'G-2 Habitat groups'!A15,'A-1 Site Habitat Baseline'!$X$11:$X$258)</f>
        <v>0</v>
      </c>
      <c r="K15" s="111">
        <f>SUMIF('A-2 Site Habitat Creation'!$F$11:$F$256,'G-2 Habitat groups'!A15,'A-2 Site Habitat Creation'!$G$11:$G$256)</f>
        <v>0</v>
      </c>
      <c r="L15" s="111">
        <f>SUMIF('A-2 Site Habitat Creation'!$F$11:$F$256,'G-2 Habitat groups'!A15,'A-2 Site Habitat Creation'!$Y$11:$Y$256)</f>
        <v>0</v>
      </c>
      <c r="M15" s="111">
        <f>SUMIF('A-3 Site Habitat Enhancement'!$S$12:$S$257,'G-2 Habitat groups'!A15,'A-3 Site Habitat Enhancement'!$V$12:$V$257)</f>
        <v>0</v>
      </c>
      <c r="N15" s="111">
        <f>SUMIF('A-3 Site Habitat Enhancement'!$S$12:$S$257,'G-2 Habitat groups'!A15,'A-3 Site Habitat Enhancement'!$AN$12:$AN$257)</f>
        <v>0</v>
      </c>
      <c r="O15" s="111">
        <f t="shared" si="0"/>
        <v>0</v>
      </c>
      <c r="P15" s="111">
        <f t="shared" si="1"/>
        <v>0</v>
      </c>
      <c r="Q15" s="111">
        <f t="shared" si="2"/>
        <v>0</v>
      </c>
      <c r="R15" s="111">
        <f t="shared" si="3"/>
        <v>0</v>
      </c>
      <c r="S15" s="111">
        <f>IF(C15="V.High",SUMIF('D-1 Off Site Habitat Baseline'!$G$11:$G$258,'G-2 Habitat groups'!A15,'D-1 Off Site Habitat Baseline'!$S$11:$S$258)+SUMIF('D-1 Off Site Habitat Baseline'!$G$11:$G$258,'G-2 Habitat groups'!A15,'D-1 Off Site Habitat Baseline'!$T$11:$T$258),SUMIF('D-1 Off Site Habitat Baseline'!$G$11:$G$258,'G-2 Habitat groups'!A15,'D-1 Off Site Habitat Baseline'!$H$11:$H$258))</f>
        <v>0</v>
      </c>
      <c r="T15" s="111">
        <f>SUMIF('D-1 Off Site Habitat Baseline'!$G$11:$G$258,'G-2 Habitat groups'!A15,'D-1 Off Site Habitat Baseline'!$Q$11:$Q$258)</f>
        <v>0</v>
      </c>
      <c r="U15" s="513">
        <f>SUMIF('D-1 Off Site Habitat Baseline'!$G$11:$G$258,'G-2 Habitat groups'!A15,'D-1 Off Site Habitat Baseline'!$S$11:$S$258)</f>
        <v>0</v>
      </c>
      <c r="V15" s="111">
        <f>SUMIF('D-1 Off Site Habitat Baseline'!$G$11:$G$258,'G-2 Habitat groups'!A15,'D-1 Off Site Habitat Baseline'!$U$11:$U$258)</f>
        <v>0</v>
      </c>
      <c r="W15" s="111">
        <f>SUMIF('D-2 Off Site Habitat Creation'!$F$9:$F$255,'G-2 Habitat groups'!A15,'D-2 Off Site Habitat Creation'!$G$9:$G$255)</f>
        <v>0</v>
      </c>
      <c r="X15" s="111">
        <f>SUMIF('D-2 Off Site Habitat Creation'!$F$9:$F$255,'G-2 Habitat groups'!A15,'D-2 Off Site Habitat Creation'!$AA$9:$AA$255)</f>
        <v>0</v>
      </c>
      <c r="Y15" s="111">
        <f>SUMIF('D-3 Off Site Habitat Enhancment'!$S$12:$S$491,'G-2 Habitat groups'!A15,'D-3 Off Site Habitat Enhancment'!$V$12:$V$491)</f>
        <v>0</v>
      </c>
      <c r="Z15" s="111">
        <f>SUMIF('D-3 Off Site Habitat Enhancment'!$S$12:$S$491,'G-2 Habitat groups'!A15,'D-3 Off Site Habitat Enhancment'!$AP$12:$AP$491)</f>
        <v>0</v>
      </c>
      <c r="AA15" s="111">
        <f t="shared" si="4"/>
        <v>0</v>
      </c>
      <c r="AB15" s="111">
        <f t="shared" si="5"/>
        <v>0</v>
      </c>
      <c r="AC15" s="111">
        <f t="shared" si="6"/>
        <v>0</v>
      </c>
      <c r="AD15" s="111">
        <f t="shared" si="7"/>
        <v>0</v>
      </c>
      <c r="AE15" s="111">
        <f t="shared" si="8"/>
        <v>0</v>
      </c>
      <c r="AF15" s="111">
        <f t="shared" si="9"/>
        <v>0</v>
      </c>
      <c r="AJ15" s="134" t="s">
        <v>1089</v>
      </c>
      <c r="AK15" s="124">
        <f t="shared" si="10"/>
        <v>0</v>
      </c>
      <c r="AL15" s="124">
        <f t="shared" si="11"/>
        <v>0</v>
      </c>
      <c r="AM15" s="124">
        <f t="shared" si="12"/>
        <v>0</v>
      </c>
      <c r="AN15" s="124">
        <f t="shared" si="13"/>
        <v>0</v>
      </c>
      <c r="AO15" s="136">
        <f t="shared" si="14"/>
        <v>0</v>
      </c>
      <c r="AP15" s="136">
        <f t="shared" si="15"/>
        <v>0</v>
      </c>
      <c r="AU15" s="144" t="s">
        <v>273</v>
      </c>
      <c r="AV15" s="100" t="s">
        <v>137</v>
      </c>
      <c r="AW15" s="111">
        <f t="shared" si="16"/>
        <v>0</v>
      </c>
      <c r="AX15" s="111">
        <f t="shared" si="17"/>
        <v>0</v>
      </c>
      <c r="AY15" s="111">
        <f t="shared" si="18"/>
        <v>0</v>
      </c>
      <c r="AZ15" s="111">
        <f t="shared" si="19"/>
        <v>0</v>
      </c>
      <c r="BA15" s="111">
        <f t="shared" si="20"/>
        <v>0</v>
      </c>
      <c r="BB15" s="111">
        <f t="shared" si="21"/>
        <v>0</v>
      </c>
      <c r="BC15" s="111">
        <f t="shared" si="22"/>
        <v>0</v>
      </c>
      <c r="BD15" s="111">
        <f t="shared" si="23"/>
        <v>0</v>
      </c>
      <c r="BE15" s="111">
        <f t="shared" si="24"/>
        <v>0</v>
      </c>
      <c r="BF15" s="111" t="str">
        <f t="shared" si="25"/>
        <v/>
      </c>
      <c r="BG15" s="125">
        <f t="shared" si="26"/>
        <v>0</v>
      </c>
    </row>
    <row r="16" spans="1:59" x14ac:dyDescent="0.25">
      <c r="A16" s="129" t="str">
        <f>'G-1 All Habitats'!B15</f>
        <v>Grassland - Bracken</v>
      </c>
      <c r="B16" s="100" t="str">
        <f>'G-1 All Habitats'!F15</f>
        <v>Grassland</v>
      </c>
      <c r="C16" s="100" t="str">
        <f>'G-1 All Habitats'!K15</f>
        <v>Low</v>
      </c>
      <c r="D16" s="100" t="str">
        <f>'G-1 All Habitats'!M15</f>
        <v>Same distinctiveness or better habitat required</v>
      </c>
      <c r="E16" s="111">
        <f>IF(C16="V.High",SUMIF('A-1 Site Habitat Baseline'!$G$11:$G$258,'G-2 Habitat groups'!A16,'A-1 Site Habitat Baseline'!$S$11:$S$258)+SUMIF('A-1 Site Habitat Baseline'!$G$11:$G$258,'G-2 Habitat groups'!A16,'A-1 Site Habitat Baseline'!$T$11:$T$258),SUMIF('A-1 Site Habitat Baseline'!$G$11:$G$258,'G-2 Habitat groups'!A16,'A-1 Site Habitat Baseline'!$H$11:$H$258))</f>
        <v>0</v>
      </c>
      <c r="F16" s="111">
        <f>SUMIF('A-1 Site Habitat Baseline'!$G$11:$G$258,'G-2 Habitat groups'!A16,'A-1 Site Habitat Baseline'!$Q$11:$Q$258)</f>
        <v>0</v>
      </c>
      <c r="G16" s="111">
        <f>SUMIF('A-1 Site Habitat Baseline'!$G$11:$G$258,'G-2 Habitat groups'!A16,'A-1 Site Habitat Baseline'!$S$11:$S$258)</f>
        <v>0</v>
      </c>
      <c r="H16" s="111">
        <f>SUMIF('A-1 Site Habitat Baseline'!$G$11:$G$258,'G-2 Habitat groups'!A16,'A-1 Site Habitat Baseline'!$U$11:$U$258)</f>
        <v>0</v>
      </c>
      <c r="I16" s="111">
        <f>SUMIF('A-1 Site Habitat Baseline'!$G$11:$G$258,'G-2 Habitat groups'!A16,'A-1 Site Habitat Baseline'!$W$11:$W$258)</f>
        <v>0</v>
      </c>
      <c r="J16" s="111">
        <f>SUMIF('A-1 Site Habitat Baseline'!$G$11:$G$258,'G-2 Habitat groups'!A16,'A-1 Site Habitat Baseline'!$X$11:$X$258)</f>
        <v>0</v>
      </c>
      <c r="K16" s="111">
        <f>SUMIF('A-2 Site Habitat Creation'!$F$11:$F$256,'G-2 Habitat groups'!A16,'A-2 Site Habitat Creation'!$G$11:$G$256)</f>
        <v>0</v>
      </c>
      <c r="L16" s="111">
        <f>SUMIF('A-2 Site Habitat Creation'!$F$11:$F$256,'G-2 Habitat groups'!A16,'A-2 Site Habitat Creation'!$Y$11:$Y$256)</f>
        <v>0</v>
      </c>
      <c r="M16" s="111">
        <f>SUMIF('A-3 Site Habitat Enhancement'!$S$12:$S$257,'G-2 Habitat groups'!A16,'A-3 Site Habitat Enhancement'!$V$12:$V$257)</f>
        <v>0</v>
      </c>
      <c r="N16" s="111">
        <f>SUMIF('A-3 Site Habitat Enhancement'!$S$12:$S$257,'G-2 Habitat groups'!A16,'A-3 Site Habitat Enhancement'!$AN$12:$AN$257)</f>
        <v>0</v>
      </c>
      <c r="O16" s="111">
        <f t="shared" si="0"/>
        <v>0</v>
      </c>
      <c r="P16" s="111">
        <f t="shared" si="1"/>
        <v>0</v>
      </c>
      <c r="Q16" s="111">
        <f t="shared" si="2"/>
        <v>0</v>
      </c>
      <c r="R16" s="111">
        <f t="shared" si="3"/>
        <v>0</v>
      </c>
      <c r="S16" s="111">
        <f>IF(C16="V.High",SUMIF('D-1 Off Site Habitat Baseline'!$G$11:$G$258,'G-2 Habitat groups'!A16,'D-1 Off Site Habitat Baseline'!$S$11:$S$258)+SUMIF('D-1 Off Site Habitat Baseline'!$G$11:$G$258,'G-2 Habitat groups'!A16,'D-1 Off Site Habitat Baseline'!$T$11:$T$258),SUMIF('D-1 Off Site Habitat Baseline'!$G$11:$G$258,'G-2 Habitat groups'!A16,'D-1 Off Site Habitat Baseline'!$H$11:$H$258))</f>
        <v>0</v>
      </c>
      <c r="T16" s="111">
        <f>SUMIF('D-1 Off Site Habitat Baseline'!$G$11:$G$258,'G-2 Habitat groups'!A16,'D-1 Off Site Habitat Baseline'!$Q$11:$Q$258)</f>
        <v>0</v>
      </c>
      <c r="U16" s="513">
        <f>SUMIF('D-1 Off Site Habitat Baseline'!$G$11:$G$258,'G-2 Habitat groups'!A16,'D-1 Off Site Habitat Baseline'!$S$11:$S$258)</f>
        <v>0</v>
      </c>
      <c r="V16" s="111">
        <f>SUMIF('D-1 Off Site Habitat Baseline'!$G$11:$G$258,'G-2 Habitat groups'!A16,'D-1 Off Site Habitat Baseline'!$U$11:$U$258)</f>
        <v>0</v>
      </c>
      <c r="W16" s="111">
        <f>SUMIF('D-2 Off Site Habitat Creation'!$F$9:$F$255,'G-2 Habitat groups'!A16,'D-2 Off Site Habitat Creation'!$G$9:$G$255)</f>
        <v>0</v>
      </c>
      <c r="X16" s="111">
        <f>SUMIF('D-2 Off Site Habitat Creation'!$F$9:$F$255,'G-2 Habitat groups'!A16,'D-2 Off Site Habitat Creation'!$AA$9:$AA$255)</f>
        <v>0</v>
      </c>
      <c r="Y16" s="111">
        <f>SUMIF('D-3 Off Site Habitat Enhancment'!$S$12:$S$491,'G-2 Habitat groups'!A16,'D-3 Off Site Habitat Enhancment'!$V$12:$V$491)</f>
        <v>0</v>
      </c>
      <c r="Z16" s="111">
        <f>SUMIF('D-3 Off Site Habitat Enhancment'!$S$12:$S$491,'G-2 Habitat groups'!A16,'D-3 Off Site Habitat Enhancment'!$AP$12:$AP$491)</f>
        <v>0</v>
      </c>
      <c r="AA16" s="111">
        <f t="shared" si="4"/>
        <v>0</v>
      </c>
      <c r="AB16" s="111">
        <f t="shared" si="5"/>
        <v>0</v>
      </c>
      <c r="AC16" s="111">
        <f t="shared" si="6"/>
        <v>0</v>
      </c>
      <c r="AD16" s="111">
        <f t="shared" si="7"/>
        <v>0</v>
      </c>
      <c r="AE16" s="111">
        <f t="shared" si="8"/>
        <v>0</v>
      </c>
      <c r="AF16" s="111">
        <f t="shared" si="9"/>
        <v>0</v>
      </c>
      <c r="AJ16" s="134" t="s">
        <v>1495</v>
      </c>
      <c r="AK16" s="124">
        <f t="shared" si="10"/>
        <v>0</v>
      </c>
      <c r="AL16" s="124">
        <f t="shared" si="11"/>
        <v>0</v>
      </c>
      <c r="AM16" s="124">
        <f t="shared" si="12"/>
        <v>0</v>
      </c>
      <c r="AN16" s="124">
        <f t="shared" si="13"/>
        <v>0</v>
      </c>
      <c r="AO16" s="136">
        <f t="shared" si="14"/>
        <v>0</v>
      </c>
      <c r="AP16" s="136">
        <f t="shared" si="15"/>
        <v>0</v>
      </c>
      <c r="AU16" s="144" t="s">
        <v>1477</v>
      </c>
      <c r="AV16" s="100" t="s">
        <v>137</v>
      </c>
      <c r="AW16" s="111">
        <f t="shared" si="16"/>
        <v>0</v>
      </c>
      <c r="AX16" s="111">
        <f t="shared" si="17"/>
        <v>0</v>
      </c>
      <c r="AY16" s="111">
        <f t="shared" si="18"/>
        <v>0</v>
      </c>
      <c r="AZ16" s="111">
        <f t="shared" si="19"/>
        <v>0</v>
      </c>
      <c r="BA16" s="111">
        <f t="shared" si="20"/>
        <v>0</v>
      </c>
      <c r="BB16" s="111">
        <f t="shared" si="21"/>
        <v>0</v>
      </c>
      <c r="BC16" s="111">
        <f t="shared" si="22"/>
        <v>0</v>
      </c>
      <c r="BD16" s="111">
        <f t="shared" si="23"/>
        <v>0</v>
      </c>
      <c r="BE16" s="111">
        <f t="shared" si="24"/>
        <v>0</v>
      </c>
      <c r="BF16" s="111" t="str">
        <f t="shared" si="25"/>
        <v/>
      </c>
      <c r="BG16" s="125">
        <f t="shared" si="26"/>
        <v>0</v>
      </c>
    </row>
    <row r="17" spans="1:59" x14ac:dyDescent="0.25">
      <c r="A17" s="129" t="str">
        <f>'G-1 All Habitats'!B16</f>
        <v>Grassland - Floodplain Wetland Mosaic (CFGM)</v>
      </c>
      <c r="B17" s="100" t="str">
        <f>'G-1 All Habitats'!F16</f>
        <v>Grassland</v>
      </c>
      <c r="C17" s="100" t="str">
        <f>'G-1 All Habitats'!K16</f>
        <v>High</v>
      </c>
      <c r="D17" s="100" t="str">
        <f>'G-1 All Habitats'!M16</f>
        <v>Same habitat required</v>
      </c>
      <c r="E17" s="111">
        <f>IF(C17="V.High",SUMIF('A-1 Site Habitat Baseline'!$G$11:$G$258,'G-2 Habitat groups'!A17,'A-1 Site Habitat Baseline'!$S$11:$S$258)+SUMIF('A-1 Site Habitat Baseline'!$G$11:$G$258,'G-2 Habitat groups'!A17,'A-1 Site Habitat Baseline'!$T$11:$T$258),SUMIF('A-1 Site Habitat Baseline'!$G$11:$G$258,'G-2 Habitat groups'!A17,'A-1 Site Habitat Baseline'!$H$11:$H$258))</f>
        <v>0</v>
      </c>
      <c r="F17" s="111">
        <f>SUMIF('A-1 Site Habitat Baseline'!$G$11:$G$258,'G-2 Habitat groups'!A17,'A-1 Site Habitat Baseline'!$Q$11:$Q$258)</f>
        <v>0</v>
      </c>
      <c r="G17" s="111">
        <f>SUMIF('A-1 Site Habitat Baseline'!$G$11:$G$258,'G-2 Habitat groups'!A17,'A-1 Site Habitat Baseline'!$S$11:$S$258)</f>
        <v>0</v>
      </c>
      <c r="H17" s="111">
        <f>SUMIF('A-1 Site Habitat Baseline'!$G$11:$G$258,'G-2 Habitat groups'!A17,'A-1 Site Habitat Baseline'!$U$11:$U$258)</f>
        <v>0</v>
      </c>
      <c r="I17" s="111">
        <f>SUMIF('A-1 Site Habitat Baseline'!$G$11:$G$258,'G-2 Habitat groups'!A17,'A-1 Site Habitat Baseline'!$W$11:$W$258)</f>
        <v>0</v>
      </c>
      <c r="J17" s="111">
        <f>SUMIF('A-1 Site Habitat Baseline'!$G$11:$G$258,'G-2 Habitat groups'!A17,'A-1 Site Habitat Baseline'!$X$11:$X$258)</f>
        <v>0</v>
      </c>
      <c r="K17" s="111">
        <f>SUMIF('A-2 Site Habitat Creation'!$F$11:$F$256,'G-2 Habitat groups'!A17,'A-2 Site Habitat Creation'!$G$11:$G$256)</f>
        <v>0</v>
      </c>
      <c r="L17" s="111">
        <f>SUMIF('A-2 Site Habitat Creation'!$F$11:$F$256,'G-2 Habitat groups'!A17,'A-2 Site Habitat Creation'!$Y$11:$Y$256)</f>
        <v>0</v>
      </c>
      <c r="M17" s="111">
        <f>SUMIF('A-3 Site Habitat Enhancement'!$S$12:$S$257,'G-2 Habitat groups'!A17,'A-3 Site Habitat Enhancement'!$V$12:$V$257)</f>
        <v>0</v>
      </c>
      <c r="N17" s="111">
        <f>SUMIF('A-3 Site Habitat Enhancement'!$S$12:$S$257,'G-2 Habitat groups'!A17,'A-3 Site Habitat Enhancement'!$AN$12:$AN$257)</f>
        <v>0</v>
      </c>
      <c r="O17" s="111">
        <f t="shared" si="0"/>
        <v>0</v>
      </c>
      <c r="P17" s="111">
        <f t="shared" si="1"/>
        <v>0</v>
      </c>
      <c r="Q17" s="111">
        <f t="shared" si="2"/>
        <v>0</v>
      </c>
      <c r="R17" s="111">
        <f t="shared" si="3"/>
        <v>0</v>
      </c>
      <c r="S17" s="111">
        <f>IF(C17="V.High",SUMIF('D-1 Off Site Habitat Baseline'!$G$11:$G$258,'G-2 Habitat groups'!A17,'D-1 Off Site Habitat Baseline'!$S$11:$S$258)+SUMIF('D-1 Off Site Habitat Baseline'!$G$11:$G$258,'G-2 Habitat groups'!A17,'D-1 Off Site Habitat Baseline'!$T$11:$T$258),SUMIF('D-1 Off Site Habitat Baseline'!$G$11:$G$258,'G-2 Habitat groups'!A17,'D-1 Off Site Habitat Baseline'!$H$11:$H$258))</f>
        <v>0</v>
      </c>
      <c r="T17" s="111">
        <f>SUMIF('D-1 Off Site Habitat Baseline'!$G$11:$G$258,'G-2 Habitat groups'!A17,'D-1 Off Site Habitat Baseline'!$Q$11:$Q$258)</f>
        <v>0</v>
      </c>
      <c r="U17" s="513">
        <f>SUMIF('D-1 Off Site Habitat Baseline'!$G$11:$G$258,'G-2 Habitat groups'!A17,'D-1 Off Site Habitat Baseline'!$S$11:$S$258)</f>
        <v>0</v>
      </c>
      <c r="V17" s="111">
        <f>SUMIF('D-1 Off Site Habitat Baseline'!$G$11:$G$258,'G-2 Habitat groups'!A17,'D-1 Off Site Habitat Baseline'!$U$11:$U$258)</f>
        <v>0</v>
      </c>
      <c r="W17" s="111">
        <f>SUMIF('D-2 Off Site Habitat Creation'!$F$9:$F$255,'G-2 Habitat groups'!A17,'D-2 Off Site Habitat Creation'!$G$9:$G$255)</f>
        <v>0</v>
      </c>
      <c r="X17" s="111">
        <f>SUMIF('D-2 Off Site Habitat Creation'!$F$9:$F$255,'G-2 Habitat groups'!A17,'D-2 Off Site Habitat Creation'!$AA$9:$AA$255)</f>
        <v>0</v>
      </c>
      <c r="Y17" s="111">
        <f>SUMIF('D-3 Off Site Habitat Enhancment'!$S$12:$S$491,'G-2 Habitat groups'!A17,'D-3 Off Site Habitat Enhancment'!$V$12:$V$491)</f>
        <v>0</v>
      </c>
      <c r="Z17" s="111">
        <f>SUMIF('D-3 Off Site Habitat Enhancment'!$S$12:$S$491,'G-2 Habitat groups'!A17,'D-3 Off Site Habitat Enhancment'!$AP$12:$AP$491)</f>
        <v>0</v>
      </c>
      <c r="AA17" s="111">
        <f t="shared" si="4"/>
        <v>0</v>
      </c>
      <c r="AB17" s="111">
        <f t="shared" si="5"/>
        <v>0</v>
      </c>
      <c r="AC17" s="111">
        <f t="shared" si="6"/>
        <v>0</v>
      </c>
      <c r="AD17" s="111">
        <f t="shared" si="7"/>
        <v>0</v>
      </c>
      <c r="AE17" s="111">
        <f t="shared" si="8"/>
        <v>0</v>
      </c>
      <c r="AF17" s="111">
        <f t="shared" si="9"/>
        <v>0</v>
      </c>
      <c r="AU17" s="144" t="s">
        <v>274</v>
      </c>
      <c r="AV17" s="100" t="s">
        <v>137</v>
      </c>
      <c r="AW17" s="111">
        <f t="shared" si="16"/>
        <v>0</v>
      </c>
      <c r="AX17" s="111">
        <f t="shared" si="17"/>
        <v>0</v>
      </c>
      <c r="AY17" s="111">
        <f t="shared" si="18"/>
        <v>0</v>
      </c>
      <c r="AZ17" s="111">
        <f t="shared" si="19"/>
        <v>0</v>
      </c>
      <c r="BA17" s="111">
        <f t="shared" si="20"/>
        <v>0</v>
      </c>
      <c r="BB17" s="111">
        <f t="shared" si="21"/>
        <v>0</v>
      </c>
      <c r="BC17" s="111">
        <f t="shared" si="22"/>
        <v>0</v>
      </c>
      <c r="BD17" s="111">
        <f t="shared" si="23"/>
        <v>0</v>
      </c>
      <c r="BE17" s="111">
        <f t="shared" si="24"/>
        <v>0</v>
      </c>
      <c r="BF17" s="111" t="str">
        <f t="shared" si="25"/>
        <v/>
      </c>
      <c r="BG17" s="125">
        <f t="shared" si="26"/>
        <v>0</v>
      </c>
    </row>
    <row r="18" spans="1:59" x14ac:dyDescent="0.25">
      <c r="A18" s="129" t="str">
        <f>'G-1 All Habitats'!B17</f>
        <v>Grassland - Lowland calcareous grassland</v>
      </c>
      <c r="B18" s="100" t="str">
        <f>'G-1 All Habitats'!F17</f>
        <v>Grassland</v>
      </c>
      <c r="C18" s="100" t="str">
        <f>'G-1 All Habitats'!K17</f>
        <v>High</v>
      </c>
      <c r="D18" s="100" t="str">
        <f>'G-1 All Habitats'!M17</f>
        <v>Same habitat required</v>
      </c>
      <c r="E18" s="111">
        <f>IF(C18="V.High",SUMIF('A-1 Site Habitat Baseline'!$G$11:$G$258,'G-2 Habitat groups'!A18,'A-1 Site Habitat Baseline'!$S$11:$S$258)+SUMIF('A-1 Site Habitat Baseline'!$G$11:$G$258,'G-2 Habitat groups'!A18,'A-1 Site Habitat Baseline'!$T$11:$T$258),SUMIF('A-1 Site Habitat Baseline'!$G$11:$G$258,'G-2 Habitat groups'!A18,'A-1 Site Habitat Baseline'!$H$11:$H$258))</f>
        <v>0</v>
      </c>
      <c r="F18" s="111">
        <f>SUMIF('A-1 Site Habitat Baseline'!$G$11:$G$258,'G-2 Habitat groups'!A18,'A-1 Site Habitat Baseline'!$Q$11:$Q$258)</f>
        <v>0</v>
      </c>
      <c r="G18" s="111">
        <f>SUMIF('A-1 Site Habitat Baseline'!$G$11:$G$258,'G-2 Habitat groups'!A18,'A-1 Site Habitat Baseline'!$S$11:$S$258)</f>
        <v>0</v>
      </c>
      <c r="H18" s="111">
        <f>SUMIF('A-1 Site Habitat Baseline'!$G$11:$G$258,'G-2 Habitat groups'!A18,'A-1 Site Habitat Baseline'!$U$11:$U$258)</f>
        <v>0</v>
      </c>
      <c r="I18" s="111">
        <f>SUMIF('A-1 Site Habitat Baseline'!$G$11:$G$258,'G-2 Habitat groups'!A18,'A-1 Site Habitat Baseline'!$W$11:$W$258)</f>
        <v>0</v>
      </c>
      <c r="J18" s="111">
        <f>SUMIF('A-1 Site Habitat Baseline'!$G$11:$G$258,'G-2 Habitat groups'!A18,'A-1 Site Habitat Baseline'!$X$11:$X$258)</f>
        <v>0</v>
      </c>
      <c r="K18" s="111">
        <f>SUMIF('A-2 Site Habitat Creation'!$F$11:$F$256,'G-2 Habitat groups'!A18,'A-2 Site Habitat Creation'!$G$11:$G$256)</f>
        <v>0</v>
      </c>
      <c r="L18" s="111">
        <f>SUMIF('A-2 Site Habitat Creation'!$F$11:$F$256,'G-2 Habitat groups'!A18,'A-2 Site Habitat Creation'!$Y$11:$Y$256)</f>
        <v>0</v>
      </c>
      <c r="M18" s="111">
        <f>SUMIF('A-3 Site Habitat Enhancement'!$S$12:$S$257,'G-2 Habitat groups'!A18,'A-3 Site Habitat Enhancement'!$V$12:$V$257)</f>
        <v>0</v>
      </c>
      <c r="N18" s="111">
        <f>SUMIF('A-3 Site Habitat Enhancement'!$S$12:$S$257,'G-2 Habitat groups'!A18,'A-3 Site Habitat Enhancement'!$AN$12:$AN$257)</f>
        <v>0</v>
      </c>
      <c r="O18" s="111">
        <f t="shared" si="0"/>
        <v>0</v>
      </c>
      <c r="P18" s="111">
        <f t="shared" si="1"/>
        <v>0</v>
      </c>
      <c r="Q18" s="111">
        <f t="shared" si="2"/>
        <v>0</v>
      </c>
      <c r="R18" s="111">
        <f t="shared" si="3"/>
        <v>0</v>
      </c>
      <c r="S18" s="111">
        <f>IF(C18="V.High",SUMIF('D-1 Off Site Habitat Baseline'!$G$11:$G$258,'G-2 Habitat groups'!A18,'D-1 Off Site Habitat Baseline'!$S$11:$S$258)+SUMIF('D-1 Off Site Habitat Baseline'!$G$11:$G$258,'G-2 Habitat groups'!A18,'D-1 Off Site Habitat Baseline'!$T$11:$T$258),SUMIF('D-1 Off Site Habitat Baseline'!$G$11:$G$258,'G-2 Habitat groups'!A18,'D-1 Off Site Habitat Baseline'!$H$11:$H$258))</f>
        <v>0</v>
      </c>
      <c r="T18" s="111">
        <f>SUMIF('D-1 Off Site Habitat Baseline'!$G$11:$G$258,'G-2 Habitat groups'!A18,'D-1 Off Site Habitat Baseline'!$Q$11:$Q$258)</f>
        <v>0</v>
      </c>
      <c r="U18" s="513">
        <f>SUMIF('D-1 Off Site Habitat Baseline'!$G$11:$G$258,'G-2 Habitat groups'!A18,'D-1 Off Site Habitat Baseline'!$S$11:$S$258)</f>
        <v>0</v>
      </c>
      <c r="V18" s="111">
        <f>SUMIF('D-1 Off Site Habitat Baseline'!$G$11:$G$258,'G-2 Habitat groups'!A18,'D-1 Off Site Habitat Baseline'!$U$11:$U$258)</f>
        <v>0</v>
      </c>
      <c r="W18" s="111">
        <f>SUMIF('D-2 Off Site Habitat Creation'!$F$9:$F$255,'G-2 Habitat groups'!A18,'D-2 Off Site Habitat Creation'!$G$9:$G$255)</f>
        <v>0</v>
      </c>
      <c r="X18" s="111">
        <f>SUMIF('D-2 Off Site Habitat Creation'!$F$9:$F$255,'G-2 Habitat groups'!A18,'D-2 Off Site Habitat Creation'!$AA$9:$AA$255)</f>
        <v>0</v>
      </c>
      <c r="Y18" s="111">
        <f>SUMIF('D-3 Off Site Habitat Enhancment'!$S$12:$S$491,'G-2 Habitat groups'!A18,'D-3 Off Site Habitat Enhancment'!$V$12:$V$491)</f>
        <v>0</v>
      </c>
      <c r="Z18" s="111">
        <f>SUMIF('D-3 Off Site Habitat Enhancment'!$S$12:$S$491,'G-2 Habitat groups'!A18,'D-3 Off Site Habitat Enhancment'!$AP$12:$AP$491)</f>
        <v>0</v>
      </c>
      <c r="AA18" s="111">
        <f t="shared" si="4"/>
        <v>0</v>
      </c>
      <c r="AB18" s="111">
        <f t="shared" si="5"/>
        <v>0</v>
      </c>
      <c r="AC18" s="111">
        <f t="shared" si="6"/>
        <v>0</v>
      </c>
      <c r="AD18" s="111">
        <f t="shared" si="7"/>
        <v>0</v>
      </c>
      <c r="AE18" s="111">
        <f t="shared" si="8"/>
        <v>0</v>
      </c>
      <c r="AF18" s="111">
        <f t="shared" si="9"/>
        <v>0</v>
      </c>
      <c r="AU18" s="144" t="s">
        <v>861</v>
      </c>
      <c r="AV18" s="100" t="s">
        <v>137</v>
      </c>
      <c r="AW18" s="111">
        <f t="shared" si="16"/>
        <v>0</v>
      </c>
      <c r="AX18" s="111">
        <f t="shared" si="17"/>
        <v>0</v>
      </c>
      <c r="AY18" s="111">
        <f t="shared" si="18"/>
        <v>0</v>
      </c>
      <c r="AZ18" s="111">
        <f t="shared" si="19"/>
        <v>0</v>
      </c>
      <c r="BA18" s="111">
        <f t="shared" si="20"/>
        <v>0</v>
      </c>
      <c r="BB18" s="111">
        <f t="shared" si="21"/>
        <v>0</v>
      </c>
      <c r="BC18" s="111">
        <f t="shared" si="22"/>
        <v>0</v>
      </c>
      <c r="BD18" s="111">
        <f t="shared" si="23"/>
        <v>0</v>
      </c>
      <c r="BE18" s="111">
        <f t="shared" si="24"/>
        <v>0</v>
      </c>
      <c r="BF18" s="111" t="str">
        <f t="shared" si="25"/>
        <v/>
      </c>
      <c r="BG18" s="125">
        <f t="shared" si="26"/>
        <v>0</v>
      </c>
    </row>
    <row r="19" spans="1:59" ht="31.2" x14ac:dyDescent="0.3">
      <c r="A19" s="129" t="str">
        <f>'G-1 All Habitats'!B18</f>
        <v>Grassland - Lowland dry acid grassland</v>
      </c>
      <c r="B19" s="100" t="str">
        <f>'G-1 All Habitats'!F18</f>
        <v>Grassland</v>
      </c>
      <c r="C19" s="100" t="str">
        <f>'G-1 All Habitats'!K18</f>
        <v>V.High</v>
      </c>
      <c r="D19" s="100" t="str">
        <f>'G-1 All Habitats'!M18</f>
        <v>Bespoke compensation likely to be required</v>
      </c>
      <c r="E19" s="111">
        <f>IF(C19="V.High",SUMIF('A-1 Site Habitat Baseline'!$G$11:$G$258,'G-2 Habitat groups'!A19,'A-1 Site Habitat Baseline'!$S$11:$S$258)+SUMIF('A-1 Site Habitat Baseline'!$G$11:$G$258,'G-2 Habitat groups'!A19,'A-1 Site Habitat Baseline'!$T$11:$T$258),SUMIF('A-1 Site Habitat Baseline'!$G$11:$G$258,'G-2 Habitat groups'!A19,'A-1 Site Habitat Baseline'!$H$11:$H$258))</f>
        <v>0</v>
      </c>
      <c r="F19" s="111">
        <f>SUMIF('A-1 Site Habitat Baseline'!$G$11:$G$258,'G-2 Habitat groups'!A19,'A-1 Site Habitat Baseline'!$Q$11:$Q$258)</f>
        <v>0</v>
      </c>
      <c r="G19" s="111">
        <f>SUMIF('A-1 Site Habitat Baseline'!$G$11:$G$258,'G-2 Habitat groups'!A19,'A-1 Site Habitat Baseline'!$S$11:$S$258)</f>
        <v>0</v>
      </c>
      <c r="H19" s="111">
        <f>SUMIF('A-1 Site Habitat Baseline'!$G$11:$G$258,'G-2 Habitat groups'!A19,'A-1 Site Habitat Baseline'!$U$11:$U$258)</f>
        <v>0</v>
      </c>
      <c r="I19" s="111">
        <f>SUMIF('A-1 Site Habitat Baseline'!$G$11:$G$258,'G-2 Habitat groups'!A19,'A-1 Site Habitat Baseline'!$W$11:$W$258)</f>
        <v>0</v>
      </c>
      <c r="J19" s="111">
        <f>SUMIF('A-1 Site Habitat Baseline'!$G$11:$G$258,'G-2 Habitat groups'!A19,'A-1 Site Habitat Baseline'!$X$11:$X$258)</f>
        <v>0</v>
      </c>
      <c r="K19" s="111">
        <f>SUMIF('A-2 Site Habitat Creation'!$F$11:$F$256,'G-2 Habitat groups'!A19,'A-2 Site Habitat Creation'!$G$11:$G$256)</f>
        <v>0</v>
      </c>
      <c r="L19" s="111">
        <f>SUMIF('A-2 Site Habitat Creation'!$F$11:$F$256,'G-2 Habitat groups'!A19,'A-2 Site Habitat Creation'!$Y$11:$Y$256)</f>
        <v>0</v>
      </c>
      <c r="M19" s="111">
        <f>SUMIF('A-3 Site Habitat Enhancement'!$S$12:$S$257,'G-2 Habitat groups'!A19,'A-3 Site Habitat Enhancement'!$V$12:$V$257)</f>
        <v>0</v>
      </c>
      <c r="N19" s="111">
        <f>SUMIF('A-3 Site Habitat Enhancement'!$S$12:$S$257,'G-2 Habitat groups'!A19,'A-3 Site Habitat Enhancement'!$AN$12:$AN$257)</f>
        <v>0</v>
      </c>
      <c r="O19" s="111">
        <f t="shared" si="0"/>
        <v>0</v>
      </c>
      <c r="P19" s="111">
        <f t="shared" si="1"/>
        <v>0</v>
      </c>
      <c r="Q19" s="111">
        <f t="shared" si="2"/>
        <v>0</v>
      </c>
      <c r="R19" s="111">
        <f t="shared" si="3"/>
        <v>0</v>
      </c>
      <c r="S19" s="111">
        <f>IF(C19="V.High",SUMIF('D-1 Off Site Habitat Baseline'!$G$11:$G$258,'G-2 Habitat groups'!A19,'D-1 Off Site Habitat Baseline'!$S$11:$S$258)+SUMIF('D-1 Off Site Habitat Baseline'!$G$11:$G$258,'G-2 Habitat groups'!A19,'D-1 Off Site Habitat Baseline'!$T$11:$T$258),SUMIF('D-1 Off Site Habitat Baseline'!$G$11:$G$258,'G-2 Habitat groups'!A19,'D-1 Off Site Habitat Baseline'!$H$11:$H$258))</f>
        <v>0</v>
      </c>
      <c r="T19" s="111">
        <f>SUMIF('D-1 Off Site Habitat Baseline'!$G$11:$G$258,'G-2 Habitat groups'!A19,'D-1 Off Site Habitat Baseline'!$Q$11:$Q$258)</f>
        <v>0</v>
      </c>
      <c r="U19" s="513">
        <f>SUMIF('D-1 Off Site Habitat Baseline'!$G$11:$G$258,'G-2 Habitat groups'!A19,'D-1 Off Site Habitat Baseline'!$S$11:$S$258)</f>
        <v>0</v>
      </c>
      <c r="V19" s="111">
        <f>SUMIF('D-1 Off Site Habitat Baseline'!$G$11:$G$258,'G-2 Habitat groups'!A19,'D-1 Off Site Habitat Baseline'!$U$11:$U$258)</f>
        <v>0</v>
      </c>
      <c r="W19" s="111">
        <f>SUMIF('D-2 Off Site Habitat Creation'!$F$9:$F$255,'G-2 Habitat groups'!A19,'D-2 Off Site Habitat Creation'!$G$9:$G$255)</f>
        <v>0</v>
      </c>
      <c r="X19" s="111">
        <f>SUMIF('D-2 Off Site Habitat Creation'!$F$9:$F$255,'G-2 Habitat groups'!A19,'D-2 Off Site Habitat Creation'!$AA$9:$AA$255)</f>
        <v>0</v>
      </c>
      <c r="Y19" s="111">
        <f>SUMIF('D-3 Off Site Habitat Enhancment'!$S$12:$S$491,'G-2 Habitat groups'!A19,'D-3 Off Site Habitat Enhancment'!$V$12:$V$491)</f>
        <v>0</v>
      </c>
      <c r="Z19" s="111">
        <f>SUMIF('D-3 Off Site Habitat Enhancment'!$S$12:$S$491,'G-2 Habitat groups'!A19,'D-3 Off Site Habitat Enhancment'!$AP$12:$AP$491)</f>
        <v>0</v>
      </c>
      <c r="AA19" s="111">
        <f t="shared" si="4"/>
        <v>0</v>
      </c>
      <c r="AB19" s="111">
        <f t="shared" si="5"/>
        <v>0</v>
      </c>
      <c r="AC19" s="111">
        <f t="shared" si="6"/>
        <v>0</v>
      </c>
      <c r="AD19" s="111">
        <f t="shared" si="7"/>
        <v>0</v>
      </c>
      <c r="AE19" s="111">
        <f t="shared" si="8"/>
        <v>0</v>
      </c>
      <c r="AF19" s="111">
        <f t="shared" si="9"/>
        <v>0</v>
      </c>
      <c r="AJ19" s="152" t="s">
        <v>1127</v>
      </c>
      <c r="AK19" s="152" t="s">
        <v>149</v>
      </c>
      <c r="AL19" s="152" t="s">
        <v>150</v>
      </c>
      <c r="AM19" s="152" t="s">
        <v>779</v>
      </c>
      <c r="AN19" s="152" t="s">
        <v>780</v>
      </c>
      <c r="AO19" s="152" t="s">
        <v>1128</v>
      </c>
      <c r="AP19" s="152" t="s">
        <v>1129</v>
      </c>
      <c r="AU19" s="144" t="s">
        <v>261</v>
      </c>
      <c r="AV19" s="144" t="s">
        <v>163</v>
      </c>
      <c r="AW19" s="511">
        <f t="shared" si="16"/>
        <v>0</v>
      </c>
      <c r="AX19" s="511">
        <f t="shared" si="17"/>
        <v>0</v>
      </c>
      <c r="AY19" s="511">
        <f t="shared" si="18"/>
        <v>0</v>
      </c>
      <c r="AZ19" s="511">
        <f t="shared" si="19"/>
        <v>0</v>
      </c>
      <c r="BA19" s="511">
        <f t="shared" si="20"/>
        <v>0</v>
      </c>
      <c r="BB19" s="511">
        <f t="shared" si="21"/>
        <v>0</v>
      </c>
      <c r="BC19" s="511">
        <f t="shared" si="22"/>
        <v>0</v>
      </c>
      <c r="BD19" s="511">
        <f t="shared" si="23"/>
        <v>0</v>
      </c>
      <c r="BE19" s="511">
        <f t="shared" si="24"/>
        <v>0</v>
      </c>
      <c r="BF19" s="511" t="str">
        <f t="shared" si="25"/>
        <v/>
      </c>
      <c r="BG19" s="530">
        <f t="shared" si="26"/>
        <v>0</v>
      </c>
    </row>
    <row r="20" spans="1:59" x14ac:dyDescent="0.25">
      <c r="A20" s="129" t="str">
        <f>'G-1 All Habitats'!B19</f>
        <v>Grassland - Lowland meadows</v>
      </c>
      <c r="B20" s="100" t="str">
        <f>'G-1 All Habitats'!F19</f>
        <v>Grassland</v>
      </c>
      <c r="C20" s="100" t="str">
        <f>'G-1 All Habitats'!K19</f>
        <v>V.High</v>
      </c>
      <c r="D20" s="100" t="str">
        <f>'G-1 All Habitats'!M19</f>
        <v>Bespoke compensation likely to be required</v>
      </c>
      <c r="E20" s="111">
        <f>IF(C20="V.High",SUMIF('A-1 Site Habitat Baseline'!$G$11:$G$258,'G-2 Habitat groups'!A20,'A-1 Site Habitat Baseline'!$S$11:$S$258)+SUMIF('A-1 Site Habitat Baseline'!$G$11:$G$258,'G-2 Habitat groups'!A20,'A-1 Site Habitat Baseline'!$T$11:$T$258),SUMIF('A-1 Site Habitat Baseline'!$G$11:$G$258,'G-2 Habitat groups'!A20,'A-1 Site Habitat Baseline'!$H$11:$H$258))</f>
        <v>0</v>
      </c>
      <c r="F20" s="111">
        <f>SUMIF('A-1 Site Habitat Baseline'!$G$11:$G$258,'G-2 Habitat groups'!A20,'A-1 Site Habitat Baseline'!$Q$11:$Q$258)</f>
        <v>0</v>
      </c>
      <c r="G20" s="111">
        <f>SUMIF('A-1 Site Habitat Baseline'!$G$11:$G$258,'G-2 Habitat groups'!A20,'A-1 Site Habitat Baseline'!$S$11:$S$258)</f>
        <v>0</v>
      </c>
      <c r="H20" s="111">
        <f>SUMIF('A-1 Site Habitat Baseline'!$G$11:$G$258,'G-2 Habitat groups'!A20,'A-1 Site Habitat Baseline'!$U$11:$U$258)</f>
        <v>0</v>
      </c>
      <c r="I20" s="111">
        <f>SUMIF('A-1 Site Habitat Baseline'!$G$11:$G$258,'G-2 Habitat groups'!A20,'A-1 Site Habitat Baseline'!$W$11:$W$258)</f>
        <v>0</v>
      </c>
      <c r="J20" s="111">
        <f>SUMIF('A-1 Site Habitat Baseline'!$G$11:$G$258,'G-2 Habitat groups'!A20,'A-1 Site Habitat Baseline'!$X$11:$X$258)</f>
        <v>0</v>
      </c>
      <c r="K20" s="111">
        <f>SUMIF('A-2 Site Habitat Creation'!$F$11:$F$256,'G-2 Habitat groups'!A20,'A-2 Site Habitat Creation'!$G$11:$G$256)</f>
        <v>0</v>
      </c>
      <c r="L20" s="111">
        <f>SUMIF('A-2 Site Habitat Creation'!$F$11:$F$256,'G-2 Habitat groups'!A20,'A-2 Site Habitat Creation'!$Y$11:$Y$256)</f>
        <v>0</v>
      </c>
      <c r="M20" s="111">
        <f>SUMIF('A-3 Site Habitat Enhancement'!$S$12:$S$257,'G-2 Habitat groups'!A20,'A-3 Site Habitat Enhancement'!$V$12:$V$257)</f>
        <v>0</v>
      </c>
      <c r="N20" s="111">
        <f>SUMIF('A-3 Site Habitat Enhancement'!$S$12:$S$257,'G-2 Habitat groups'!A20,'A-3 Site Habitat Enhancement'!$AN$12:$AN$257)</f>
        <v>0</v>
      </c>
      <c r="O20" s="111">
        <f t="shared" si="0"/>
        <v>0</v>
      </c>
      <c r="P20" s="111">
        <f t="shared" si="1"/>
        <v>0</v>
      </c>
      <c r="Q20" s="111">
        <f t="shared" si="2"/>
        <v>0</v>
      </c>
      <c r="R20" s="111">
        <f t="shared" si="3"/>
        <v>0</v>
      </c>
      <c r="S20" s="111">
        <f>IF(C20="V.High",SUMIF('D-1 Off Site Habitat Baseline'!$G$11:$G$258,'G-2 Habitat groups'!A20,'D-1 Off Site Habitat Baseline'!$S$11:$S$258)+SUMIF('D-1 Off Site Habitat Baseline'!$G$11:$G$258,'G-2 Habitat groups'!A20,'D-1 Off Site Habitat Baseline'!$T$11:$T$258),SUMIF('D-1 Off Site Habitat Baseline'!$G$11:$G$258,'G-2 Habitat groups'!A20,'D-1 Off Site Habitat Baseline'!$H$11:$H$258))</f>
        <v>0</v>
      </c>
      <c r="T20" s="111">
        <f>SUMIF('D-1 Off Site Habitat Baseline'!$G$11:$G$258,'G-2 Habitat groups'!A20,'D-1 Off Site Habitat Baseline'!$Q$11:$Q$258)</f>
        <v>0</v>
      </c>
      <c r="U20" s="513">
        <f>SUMIF('D-1 Off Site Habitat Baseline'!$G$11:$G$258,'G-2 Habitat groups'!A20,'D-1 Off Site Habitat Baseline'!$S$11:$S$258)</f>
        <v>0</v>
      </c>
      <c r="V20" s="111">
        <f>SUMIF('D-1 Off Site Habitat Baseline'!$G$11:$G$258,'G-2 Habitat groups'!A20,'D-1 Off Site Habitat Baseline'!$U$11:$U$258)</f>
        <v>0</v>
      </c>
      <c r="W20" s="111">
        <f>SUMIF('D-2 Off Site Habitat Creation'!$F$9:$F$255,'G-2 Habitat groups'!A20,'D-2 Off Site Habitat Creation'!$G$9:$G$255)</f>
        <v>0</v>
      </c>
      <c r="X20" s="111">
        <f>SUMIF('D-2 Off Site Habitat Creation'!$F$9:$F$255,'G-2 Habitat groups'!A20,'D-2 Off Site Habitat Creation'!$AA$9:$AA$255)</f>
        <v>0</v>
      </c>
      <c r="Y20" s="111">
        <f>SUMIF('D-3 Off Site Habitat Enhancment'!$S$12:$S$491,'G-2 Habitat groups'!A20,'D-3 Off Site Habitat Enhancment'!$V$12:$V$491)</f>
        <v>0</v>
      </c>
      <c r="Z20" s="111">
        <f>SUMIF('D-3 Off Site Habitat Enhancment'!$S$12:$S$491,'G-2 Habitat groups'!A20,'D-3 Off Site Habitat Enhancment'!$AP$12:$AP$491)</f>
        <v>0</v>
      </c>
      <c r="AA20" s="111">
        <f t="shared" si="4"/>
        <v>0</v>
      </c>
      <c r="AB20" s="111">
        <f t="shared" si="5"/>
        <v>0</v>
      </c>
      <c r="AC20" s="111">
        <f t="shared" si="6"/>
        <v>0</v>
      </c>
      <c r="AD20" s="111">
        <f t="shared" si="7"/>
        <v>0</v>
      </c>
      <c r="AE20" s="111">
        <f t="shared" si="8"/>
        <v>0</v>
      </c>
      <c r="AF20" s="111">
        <f t="shared" si="9"/>
        <v>0</v>
      </c>
      <c r="AJ20" s="131" t="s">
        <v>165</v>
      </c>
      <c r="AK20" s="124">
        <f t="shared" ref="AK20:AK32" si="27">SUMIF($B:$B,$AJ20,S:S)</f>
        <v>0</v>
      </c>
      <c r="AL20" s="124">
        <f t="shared" ref="AL20:AL32" si="28">SUMIF($B:$B,$AJ20,T:T)</f>
        <v>0</v>
      </c>
      <c r="AM20" s="124">
        <f t="shared" ref="AM20:AM32" si="29">SUMIF($B:$B,$AJ20,AA:AA)</f>
        <v>0</v>
      </c>
      <c r="AN20" s="124">
        <f t="shared" ref="AN20:AN32" si="30">SUMIF($B:$B,$AJ20,AB:AB)</f>
        <v>0</v>
      </c>
      <c r="AO20" s="136">
        <f t="shared" ref="AO20:AO32" si="31">SUMIF($B:$B,$AJ20,AC:AC)</f>
        <v>0</v>
      </c>
      <c r="AP20" s="136">
        <f t="shared" ref="AP20:AP32" si="32">SUMIF($B:$B,$AJ20,AD:AD)</f>
        <v>0</v>
      </c>
      <c r="AU20" s="144" t="s">
        <v>1163</v>
      </c>
      <c r="AV20" s="100" t="s">
        <v>1124</v>
      </c>
      <c r="AW20" s="111">
        <f t="shared" si="16"/>
        <v>0</v>
      </c>
      <c r="AX20" s="111">
        <f t="shared" si="17"/>
        <v>0</v>
      </c>
      <c r="AY20" s="111">
        <f t="shared" si="18"/>
        <v>0</v>
      </c>
      <c r="AZ20" s="111">
        <f t="shared" si="19"/>
        <v>0</v>
      </c>
      <c r="BA20" s="111">
        <f t="shared" si="20"/>
        <v>0</v>
      </c>
      <c r="BB20" s="111">
        <f t="shared" si="21"/>
        <v>0</v>
      </c>
      <c r="BC20" s="111">
        <f t="shared" si="22"/>
        <v>0</v>
      </c>
      <c r="BD20" s="111">
        <f t="shared" si="23"/>
        <v>0</v>
      </c>
      <c r="BE20" s="111">
        <f t="shared" si="24"/>
        <v>0</v>
      </c>
      <c r="BF20" s="111" t="str">
        <f t="shared" si="25"/>
        <v/>
      </c>
      <c r="BG20" s="125">
        <f t="shared" si="26"/>
        <v>0</v>
      </c>
    </row>
    <row r="21" spans="1:59" x14ac:dyDescent="0.25">
      <c r="A21" s="129" t="str">
        <f>'G-1 All Habitats'!B20</f>
        <v>Grassland - Modified grassland</v>
      </c>
      <c r="B21" s="100" t="str">
        <f>'G-1 All Habitats'!F20</f>
        <v>Grassland</v>
      </c>
      <c r="C21" s="100" t="str">
        <f>'G-1 All Habitats'!K20</f>
        <v>Low</v>
      </c>
      <c r="D21" s="100" t="str">
        <f>'G-1 All Habitats'!M20</f>
        <v>Same distinctiveness or better habitat required</v>
      </c>
      <c r="E21" s="111">
        <f>IF(C21="V.High",SUMIF('A-1 Site Habitat Baseline'!$G$11:$G$258,'G-2 Habitat groups'!A21,'A-1 Site Habitat Baseline'!$S$11:$S$258)+SUMIF('A-1 Site Habitat Baseline'!$G$11:$G$258,'G-2 Habitat groups'!A21,'A-1 Site Habitat Baseline'!$T$11:$T$258),SUMIF('A-1 Site Habitat Baseline'!$G$11:$G$258,'G-2 Habitat groups'!A21,'A-1 Site Habitat Baseline'!$H$11:$H$258))</f>
        <v>0.27579999999999999</v>
      </c>
      <c r="F21" s="111">
        <f>SUMIF('A-1 Site Habitat Baseline'!$G$11:$G$258,'G-2 Habitat groups'!A21,'A-1 Site Habitat Baseline'!$Q$11:$Q$258)</f>
        <v>0.55159999999999998</v>
      </c>
      <c r="G21" s="111">
        <f>SUMIF('A-1 Site Habitat Baseline'!$G$11:$G$258,'G-2 Habitat groups'!A21,'A-1 Site Habitat Baseline'!$S$11:$S$258)</f>
        <v>0</v>
      </c>
      <c r="H21" s="111">
        <f>SUMIF('A-1 Site Habitat Baseline'!$G$11:$G$258,'G-2 Habitat groups'!A21,'A-1 Site Habitat Baseline'!$U$11:$U$258)</f>
        <v>0</v>
      </c>
      <c r="I21" s="111">
        <f>SUMIF('A-1 Site Habitat Baseline'!$G$11:$G$258,'G-2 Habitat groups'!A21,'A-1 Site Habitat Baseline'!$W$11:$W$258)</f>
        <v>0.27579999999999999</v>
      </c>
      <c r="J21" s="111">
        <f>SUMIF('A-1 Site Habitat Baseline'!$G$11:$G$258,'G-2 Habitat groups'!A21,'A-1 Site Habitat Baseline'!$X$11:$X$258)</f>
        <v>0.55159999999999998</v>
      </c>
      <c r="K21" s="111">
        <f>SUMIF('A-2 Site Habitat Creation'!$F$11:$F$256,'G-2 Habitat groups'!A21,'A-2 Site Habitat Creation'!$G$11:$G$256)</f>
        <v>7.2499999999999995E-2</v>
      </c>
      <c r="L21" s="111">
        <f>SUMIF('A-2 Site Habitat Creation'!$F$11:$F$256,'G-2 Habitat groups'!A21,'A-2 Site Habitat Creation'!$Y$11:$Y$256)</f>
        <v>0.13992499999999999</v>
      </c>
      <c r="M21" s="111">
        <f>SUMIF('A-3 Site Habitat Enhancement'!$S$12:$S$257,'G-2 Habitat groups'!A21,'A-3 Site Habitat Enhancement'!$V$12:$V$257)</f>
        <v>0</v>
      </c>
      <c r="N21" s="111">
        <f>SUMIF('A-3 Site Habitat Enhancement'!$S$12:$S$257,'G-2 Habitat groups'!A21,'A-3 Site Habitat Enhancement'!$AN$12:$AN$257)</f>
        <v>0</v>
      </c>
      <c r="O21" s="111">
        <f t="shared" si="0"/>
        <v>7.2499999999999995E-2</v>
      </c>
      <c r="P21" s="111">
        <f t="shared" si="1"/>
        <v>0.13992499999999999</v>
      </c>
      <c r="Q21" s="111">
        <f t="shared" si="2"/>
        <v>-0.20329999999999998</v>
      </c>
      <c r="R21" s="111">
        <f t="shared" si="3"/>
        <v>-0.41167500000000001</v>
      </c>
      <c r="S21" s="111">
        <f>IF(C21="V.High",SUMIF('D-1 Off Site Habitat Baseline'!$G$11:$G$258,'G-2 Habitat groups'!A21,'D-1 Off Site Habitat Baseline'!$S$11:$S$258)+SUMIF('D-1 Off Site Habitat Baseline'!$G$11:$G$258,'G-2 Habitat groups'!A21,'D-1 Off Site Habitat Baseline'!$T$11:$T$258),SUMIF('D-1 Off Site Habitat Baseline'!$G$11:$G$258,'G-2 Habitat groups'!A21,'D-1 Off Site Habitat Baseline'!$H$11:$H$258))</f>
        <v>0</v>
      </c>
      <c r="T21" s="111">
        <f>SUMIF('D-1 Off Site Habitat Baseline'!$G$11:$G$258,'G-2 Habitat groups'!A21,'D-1 Off Site Habitat Baseline'!$Q$11:$Q$258)</f>
        <v>0</v>
      </c>
      <c r="U21" s="513">
        <f>SUMIF('D-1 Off Site Habitat Baseline'!$G$11:$G$258,'G-2 Habitat groups'!A21,'D-1 Off Site Habitat Baseline'!$S$11:$S$258)</f>
        <v>0</v>
      </c>
      <c r="V21" s="111">
        <f>SUMIF('D-1 Off Site Habitat Baseline'!$G$11:$G$258,'G-2 Habitat groups'!A21,'D-1 Off Site Habitat Baseline'!$U$11:$U$258)</f>
        <v>0</v>
      </c>
      <c r="W21" s="111">
        <f>SUMIF('D-2 Off Site Habitat Creation'!$F$9:$F$255,'G-2 Habitat groups'!A21,'D-2 Off Site Habitat Creation'!$G$9:$G$255)</f>
        <v>0</v>
      </c>
      <c r="X21" s="111">
        <f>SUMIF('D-2 Off Site Habitat Creation'!$F$9:$F$255,'G-2 Habitat groups'!A21,'D-2 Off Site Habitat Creation'!$AA$9:$AA$255)</f>
        <v>0</v>
      </c>
      <c r="Y21" s="111">
        <f>SUMIF('D-3 Off Site Habitat Enhancment'!$S$12:$S$491,'G-2 Habitat groups'!A21,'D-3 Off Site Habitat Enhancment'!$V$12:$V$491)</f>
        <v>0</v>
      </c>
      <c r="Z21" s="111">
        <f>SUMIF('D-3 Off Site Habitat Enhancment'!$S$12:$S$491,'G-2 Habitat groups'!A21,'D-3 Off Site Habitat Enhancment'!$AP$12:$AP$491)</f>
        <v>0</v>
      </c>
      <c r="AA21" s="111">
        <f t="shared" si="4"/>
        <v>0</v>
      </c>
      <c r="AB21" s="111">
        <f t="shared" si="5"/>
        <v>0</v>
      </c>
      <c r="AC21" s="111">
        <f t="shared" si="6"/>
        <v>0</v>
      </c>
      <c r="AD21" s="111">
        <f t="shared" si="7"/>
        <v>0</v>
      </c>
      <c r="AE21" s="111">
        <f t="shared" si="8"/>
        <v>-0.20329999999999998</v>
      </c>
      <c r="AF21" s="111">
        <f t="shared" si="9"/>
        <v>-0.41167500000000001</v>
      </c>
      <c r="AJ21" s="132" t="s">
        <v>135</v>
      </c>
      <c r="AK21" s="124">
        <f t="shared" si="27"/>
        <v>0</v>
      </c>
      <c r="AL21" s="124">
        <f t="shared" si="28"/>
        <v>0</v>
      </c>
      <c r="AM21" s="124">
        <f t="shared" si="29"/>
        <v>0</v>
      </c>
      <c r="AN21" s="124">
        <f t="shared" si="30"/>
        <v>0</v>
      </c>
      <c r="AO21" s="136">
        <f t="shared" si="31"/>
        <v>0</v>
      </c>
      <c r="AP21" s="136">
        <f t="shared" si="32"/>
        <v>0</v>
      </c>
      <c r="AU21" s="144" t="s">
        <v>1164</v>
      </c>
      <c r="AV21" s="100" t="s">
        <v>1124</v>
      </c>
      <c r="AW21" s="111">
        <f t="shared" si="16"/>
        <v>0</v>
      </c>
      <c r="AX21" s="111">
        <f t="shared" si="17"/>
        <v>0</v>
      </c>
      <c r="AY21" s="111">
        <f t="shared" si="18"/>
        <v>0</v>
      </c>
      <c r="AZ21" s="111">
        <f t="shared" si="19"/>
        <v>0</v>
      </c>
      <c r="BA21" s="111">
        <f t="shared" si="20"/>
        <v>0</v>
      </c>
      <c r="BB21" s="111">
        <f t="shared" si="21"/>
        <v>0</v>
      </c>
      <c r="BC21" s="111">
        <f t="shared" si="22"/>
        <v>0</v>
      </c>
      <c r="BD21" s="111">
        <f t="shared" si="23"/>
        <v>0</v>
      </c>
      <c r="BE21" s="111">
        <f t="shared" si="24"/>
        <v>0</v>
      </c>
      <c r="BF21" s="111" t="str">
        <f t="shared" si="25"/>
        <v/>
      </c>
      <c r="BG21" s="125">
        <f t="shared" si="26"/>
        <v>0</v>
      </c>
    </row>
    <row r="22" spans="1:59" x14ac:dyDescent="0.25">
      <c r="A22" s="129" t="str">
        <f>'G-1 All Habitats'!B21</f>
        <v>Grassland - Other lowland acid grassland</v>
      </c>
      <c r="B22" s="100" t="str">
        <f>'G-1 All Habitats'!F21</f>
        <v>Grassland</v>
      </c>
      <c r="C22" s="100" t="str">
        <f>'G-1 All Habitats'!K21</f>
        <v>Medium</v>
      </c>
      <c r="D22" s="100" t="str">
        <f>'G-1 All Habitats'!M21</f>
        <v>Same broad habitat or a higher distinctiveness habitat required</v>
      </c>
      <c r="E22" s="111">
        <f>IF(C22="V.High",SUMIF('A-1 Site Habitat Baseline'!$G$11:$G$258,'G-2 Habitat groups'!A22,'A-1 Site Habitat Baseline'!$S$11:$S$258)+SUMIF('A-1 Site Habitat Baseline'!$G$11:$G$258,'G-2 Habitat groups'!A22,'A-1 Site Habitat Baseline'!$T$11:$T$258),SUMIF('A-1 Site Habitat Baseline'!$G$11:$G$258,'G-2 Habitat groups'!A22,'A-1 Site Habitat Baseline'!$H$11:$H$258))</f>
        <v>0</v>
      </c>
      <c r="F22" s="111">
        <f>SUMIF('A-1 Site Habitat Baseline'!$G$11:$G$258,'G-2 Habitat groups'!A22,'A-1 Site Habitat Baseline'!$Q$11:$Q$258)</f>
        <v>0</v>
      </c>
      <c r="G22" s="111">
        <f>SUMIF('A-1 Site Habitat Baseline'!$G$11:$G$258,'G-2 Habitat groups'!A22,'A-1 Site Habitat Baseline'!$S$11:$S$258)</f>
        <v>0</v>
      </c>
      <c r="H22" s="111">
        <f>SUMIF('A-1 Site Habitat Baseline'!$G$11:$G$258,'G-2 Habitat groups'!A22,'A-1 Site Habitat Baseline'!$U$11:$U$258)</f>
        <v>0</v>
      </c>
      <c r="I22" s="111">
        <f>SUMIF('A-1 Site Habitat Baseline'!$G$11:$G$258,'G-2 Habitat groups'!A22,'A-1 Site Habitat Baseline'!$W$11:$W$258)</f>
        <v>0</v>
      </c>
      <c r="J22" s="111">
        <f>SUMIF('A-1 Site Habitat Baseline'!$G$11:$G$258,'G-2 Habitat groups'!A22,'A-1 Site Habitat Baseline'!$X$11:$X$258)</f>
        <v>0</v>
      </c>
      <c r="K22" s="111">
        <f>SUMIF('A-2 Site Habitat Creation'!$F$11:$F$256,'G-2 Habitat groups'!A22,'A-2 Site Habitat Creation'!$G$11:$G$256)</f>
        <v>0</v>
      </c>
      <c r="L22" s="111">
        <f>SUMIF('A-2 Site Habitat Creation'!$F$11:$F$256,'G-2 Habitat groups'!A22,'A-2 Site Habitat Creation'!$Y$11:$Y$256)</f>
        <v>0</v>
      </c>
      <c r="M22" s="111">
        <f>SUMIF('A-3 Site Habitat Enhancement'!$S$12:$S$257,'G-2 Habitat groups'!A22,'A-3 Site Habitat Enhancement'!$V$12:$V$257)</f>
        <v>0</v>
      </c>
      <c r="N22" s="111">
        <f>SUMIF('A-3 Site Habitat Enhancement'!$S$12:$S$257,'G-2 Habitat groups'!A22,'A-3 Site Habitat Enhancement'!$AN$12:$AN$257)</f>
        <v>0</v>
      </c>
      <c r="O22" s="111">
        <f t="shared" si="0"/>
        <v>0</v>
      </c>
      <c r="P22" s="111">
        <f t="shared" si="1"/>
        <v>0</v>
      </c>
      <c r="Q22" s="111">
        <f t="shared" si="2"/>
        <v>0</v>
      </c>
      <c r="R22" s="111">
        <f t="shared" si="3"/>
        <v>0</v>
      </c>
      <c r="S22" s="111">
        <f>IF(C22="V.High",SUMIF('D-1 Off Site Habitat Baseline'!$G$11:$G$258,'G-2 Habitat groups'!A22,'D-1 Off Site Habitat Baseline'!$S$11:$S$258)+SUMIF('D-1 Off Site Habitat Baseline'!$G$11:$G$258,'G-2 Habitat groups'!A22,'D-1 Off Site Habitat Baseline'!$T$11:$T$258),SUMIF('D-1 Off Site Habitat Baseline'!$G$11:$G$258,'G-2 Habitat groups'!A22,'D-1 Off Site Habitat Baseline'!$H$11:$H$258))</f>
        <v>0</v>
      </c>
      <c r="T22" s="111">
        <f>SUMIF('D-1 Off Site Habitat Baseline'!$G$11:$G$258,'G-2 Habitat groups'!A22,'D-1 Off Site Habitat Baseline'!$Q$11:$Q$258)</f>
        <v>0</v>
      </c>
      <c r="U22" s="513">
        <f>SUMIF('D-1 Off Site Habitat Baseline'!$G$11:$G$258,'G-2 Habitat groups'!A22,'D-1 Off Site Habitat Baseline'!$S$11:$S$258)</f>
        <v>0</v>
      </c>
      <c r="V22" s="111">
        <f>SUMIF('D-1 Off Site Habitat Baseline'!$G$11:$G$258,'G-2 Habitat groups'!A22,'D-1 Off Site Habitat Baseline'!$U$11:$U$258)</f>
        <v>0</v>
      </c>
      <c r="W22" s="111">
        <f>SUMIF('D-2 Off Site Habitat Creation'!$F$9:$F$255,'G-2 Habitat groups'!A22,'D-2 Off Site Habitat Creation'!$G$9:$G$255)</f>
        <v>0</v>
      </c>
      <c r="X22" s="111">
        <f>SUMIF('D-2 Off Site Habitat Creation'!$F$9:$F$255,'G-2 Habitat groups'!A22,'D-2 Off Site Habitat Creation'!$AA$9:$AA$255)</f>
        <v>0</v>
      </c>
      <c r="Y22" s="111">
        <f>SUMIF('D-3 Off Site Habitat Enhancment'!$S$12:$S$491,'G-2 Habitat groups'!A22,'D-3 Off Site Habitat Enhancment'!$V$12:$V$491)</f>
        <v>0</v>
      </c>
      <c r="Z22" s="111">
        <f>SUMIF('D-3 Off Site Habitat Enhancment'!$S$12:$S$491,'G-2 Habitat groups'!A22,'D-3 Off Site Habitat Enhancment'!$AP$12:$AP$491)</f>
        <v>0</v>
      </c>
      <c r="AA22" s="111">
        <f t="shared" si="4"/>
        <v>0</v>
      </c>
      <c r="AB22" s="111">
        <f t="shared" si="5"/>
        <v>0</v>
      </c>
      <c r="AC22" s="111">
        <f t="shared" si="6"/>
        <v>0</v>
      </c>
      <c r="AD22" s="111">
        <f t="shared" si="7"/>
        <v>0</v>
      </c>
      <c r="AE22" s="111">
        <f t="shared" si="8"/>
        <v>0</v>
      </c>
      <c r="AF22" s="111">
        <f t="shared" si="9"/>
        <v>0</v>
      </c>
      <c r="AJ22" s="132" t="s">
        <v>164</v>
      </c>
      <c r="AK22" s="124">
        <f t="shared" si="27"/>
        <v>0</v>
      </c>
      <c r="AL22" s="124">
        <f t="shared" si="28"/>
        <v>0</v>
      </c>
      <c r="AM22" s="124">
        <f t="shared" si="29"/>
        <v>0</v>
      </c>
      <c r="AN22" s="124">
        <f t="shared" si="30"/>
        <v>0</v>
      </c>
      <c r="AO22" s="136">
        <f t="shared" si="31"/>
        <v>0</v>
      </c>
      <c r="AP22" s="136">
        <f t="shared" si="32"/>
        <v>0</v>
      </c>
      <c r="AU22" s="144" t="s">
        <v>1508</v>
      </c>
      <c r="AV22" s="100" t="s">
        <v>1124</v>
      </c>
      <c r="AW22" s="111">
        <f t="shared" si="16"/>
        <v>0</v>
      </c>
      <c r="AX22" s="111">
        <f t="shared" si="17"/>
        <v>0</v>
      </c>
      <c r="AY22" s="111">
        <f t="shared" si="18"/>
        <v>0</v>
      </c>
      <c r="AZ22" s="111">
        <f t="shared" si="19"/>
        <v>0</v>
      </c>
      <c r="BA22" s="111">
        <f t="shared" si="20"/>
        <v>0</v>
      </c>
      <c r="BB22" s="111">
        <f t="shared" si="21"/>
        <v>0</v>
      </c>
      <c r="BC22" s="111">
        <f t="shared" si="22"/>
        <v>0</v>
      </c>
      <c r="BD22" s="111">
        <f t="shared" si="23"/>
        <v>0</v>
      </c>
      <c r="BE22" s="111">
        <f t="shared" si="24"/>
        <v>0</v>
      </c>
      <c r="BF22" s="111" t="str">
        <f t="shared" si="25"/>
        <v/>
      </c>
      <c r="BG22" s="125">
        <f t="shared" si="26"/>
        <v>0</v>
      </c>
    </row>
    <row r="23" spans="1:59" x14ac:dyDescent="0.25">
      <c r="A23" s="129" t="str">
        <f>'G-1 All Habitats'!B22</f>
        <v>Grassland - Other neutral grassland</v>
      </c>
      <c r="B23" s="100" t="str">
        <f>'G-1 All Habitats'!F22</f>
        <v>Grassland</v>
      </c>
      <c r="C23" s="100" t="str">
        <f>'G-1 All Habitats'!K22</f>
        <v>Medium</v>
      </c>
      <c r="D23" s="100" t="str">
        <f>'G-1 All Habitats'!M22</f>
        <v>Same broad habitat or a higher distinctiveness habitat required</v>
      </c>
      <c r="E23" s="111">
        <f>IF(C23="V.High",SUMIF('A-1 Site Habitat Baseline'!$G$11:$G$258,'G-2 Habitat groups'!A23,'A-1 Site Habitat Baseline'!$S$11:$S$258)+SUMIF('A-1 Site Habitat Baseline'!$G$11:$G$258,'G-2 Habitat groups'!A23,'A-1 Site Habitat Baseline'!$T$11:$T$258),SUMIF('A-1 Site Habitat Baseline'!$G$11:$G$258,'G-2 Habitat groups'!A23,'A-1 Site Habitat Baseline'!$H$11:$H$258))</f>
        <v>0</v>
      </c>
      <c r="F23" s="111">
        <f>SUMIF('A-1 Site Habitat Baseline'!$G$11:$G$258,'G-2 Habitat groups'!A23,'A-1 Site Habitat Baseline'!$Q$11:$Q$258)</f>
        <v>0</v>
      </c>
      <c r="G23" s="111">
        <f>SUMIF('A-1 Site Habitat Baseline'!$G$11:$G$258,'G-2 Habitat groups'!A23,'A-1 Site Habitat Baseline'!$S$11:$S$258)</f>
        <v>0</v>
      </c>
      <c r="H23" s="111">
        <f>SUMIF('A-1 Site Habitat Baseline'!$G$11:$G$258,'G-2 Habitat groups'!A23,'A-1 Site Habitat Baseline'!$U$11:$U$258)</f>
        <v>0</v>
      </c>
      <c r="I23" s="111">
        <f>SUMIF('A-1 Site Habitat Baseline'!$G$11:$G$258,'G-2 Habitat groups'!A23,'A-1 Site Habitat Baseline'!$W$11:$W$258)</f>
        <v>0</v>
      </c>
      <c r="J23" s="111">
        <f>SUMIF('A-1 Site Habitat Baseline'!$G$11:$G$258,'G-2 Habitat groups'!A23,'A-1 Site Habitat Baseline'!$X$11:$X$258)</f>
        <v>0</v>
      </c>
      <c r="K23" s="111">
        <f>SUMIF('A-2 Site Habitat Creation'!$F$11:$F$256,'G-2 Habitat groups'!A23,'A-2 Site Habitat Creation'!$G$11:$G$256)</f>
        <v>5.2400000000000002E-2</v>
      </c>
      <c r="L23" s="111">
        <f>SUMIF('A-2 Site Habitat Creation'!$F$11:$F$256,'G-2 Habitat groups'!A23,'A-2 Site Habitat Creation'!$Y$11:$Y$256)</f>
        <v>0.19518476000000001</v>
      </c>
      <c r="M23" s="111">
        <f>SUMIF('A-3 Site Habitat Enhancement'!$S$12:$S$257,'G-2 Habitat groups'!A23,'A-3 Site Habitat Enhancement'!$V$12:$V$257)</f>
        <v>0</v>
      </c>
      <c r="N23" s="111">
        <f>SUMIF('A-3 Site Habitat Enhancement'!$S$12:$S$257,'G-2 Habitat groups'!A23,'A-3 Site Habitat Enhancement'!$AN$12:$AN$257)</f>
        <v>0</v>
      </c>
      <c r="O23" s="111">
        <f t="shared" si="0"/>
        <v>5.2400000000000002E-2</v>
      </c>
      <c r="P23" s="111">
        <f t="shared" si="1"/>
        <v>0.19518476000000001</v>
      </c>
      <c r="Q23" s="111">
        <f t="shared" si="2"/>
        <v>5.2400000000000002E-2</v>
      </c>
      <c r="R23" s="111">
        <f t="shared" si="3"/>
        <v>0.19518476000000001</v>
      </c>
      <c r="S23" s="111">
        <f>IF(C23="V.High",SUMIF('D-1 Off Site Habitat Baseline'!$G$11:$G$258,'G-2 Habitat groups'!A23,'D-1 Off Site Habitat Baseline'!$S$11:$S$258)+SUMIF('D-1 Off Site Habitat Baseline'!$G$11:$G$258,'G-2 Habitat groups'!A23,'D-1 Off Site Habitat Baseline'!$T$11:$T$258),SUMIF('D-1 Off Site Habitat Baseline'!$G$11:$G$258,'G-2 Habitat groups'!A23,'D-1 Off Site Habitat Baseline'!$H$11:$H$258))</f>
        <v>0</v>
      </c>
      <c r="T23" s="111">
        <f>SUMIF('D-1 Off Site Habitat Baseline'!$G$11:$G$258,'G-2 Habitat groups'!A23,'D-1 Off Site Habitat Baseline'!$Q$11:$Q$258)</f>
        <v>0</v>
      </c>
      <c r="U23" s="513">
        <f>SUMIF('D-1 Off Site Habitat Baseline'!$G$11:$G$258,'G-2 Habitat groups'!A23,'D-1 Off Site Habitat Baseline'!$S$11:$S$258)</f>
        <v>0</v>
      </c>
      <c r="V23" s="111">
        <f>SUMIF('D-1 Off Site Habitat Baseline'!$G$11:$G$258,'G-2 Habitat groups'!A23,'D-1 Off Site Habitat Baseline'!$U$11:$U$258)</f>
        <v>0</v>
      </c>
      <c r="W23" s="111">
        <f>SUMIF('D-2 Off Site Habitat Creation'!$F$9:$F$255,'G-2 Habitat groups'!A23,'D-2 Off Site Habitat Creation'!$G$9:$G$255)</f>
        <v>0</v>
      </c>
      <c r="X23" s="111">
        <f>SUMIF('D-2 Off Site Habitat Creation'!$F$9:$F$255,'G-2 Habitat groups'!A23,'D-2 Off Site Habitat Creation'!$AA$9:$AA$255)</f>
        <v>0</v>
      </c>
      <c r="Y23" s="111">
        <f>SUMIF('D-3 Off Site Habitat Enhancment'!$S$12:$S$491,'G-2 Habitat groups'!A23,'D-3 Off Site Habitat Enhancment'!$V$12:$V$491)</f>
        <v>0</v>
      </c>
      <c r="Z23" s="111">
        <f>SUMIF('D-3 Off Site Habitat Enhancment'!$S$12:$S$491,'G-2 Habitat groups'!A23,'D-3 Off Site Habitat Enhancment'!$AP$12:$AP$491)</f>
        <v>0</v>
      </c>
      <c r="AA23" s="111">
        <f t="shared" si="4"/>
        <v>0</v>
      </c>
      <c r="AB23" s="111">
        <f t="shared" si="5"/>
        <v>0</v>
      </c>
      <c r="AC23" s="111">
        <f t="shared" si="6"/>
        <v>0</v>
      </c>
      <c r="AD23" s="111">
        <f t="shared" si="7"/>
        <v>0</v>
      </c>
      <c r="AE23" s="111">
        <f t="shared" si="8"/>
        <v>5.2400000000000002E-2</v>
      </c>
      <c r="AF23" s="111">
        <f t="shared" si="9"/>
        <v>0.19518476000000001</v>
      </c>
      <c r="AJ23" s="132" t="s">
        <v>835</v>
      </c>
      <c r="AK23" s="124">
        <f t="shared" si="27"/>
        <v>0</v>
      </c>
      <c r="AL23" s="124">
        <f t="shared" si="28"/>
        <v>0</v>
      </c>
      <c r="AM23" s="124">
        <f t="shared" si="29"/>
        <v>0</v>
      </c>
      <c r="AN23" s="124">
        <f t="shared" si="30"/>
        <v>0</v>
      </c>
      <c r="AO23" s="136">
        <f t="shared" si="31"/>
        <v>0</v>
      </c>
      <c r="AP23" s="136">
        <f t="shared" si="32"/>
        <v>0</v>
      </c>
      <c r="AU23" s="144" t="s">
        <v>1162</v>
      </c>
      <c r="AV23" s="100" t="s">
        <v>1124</v>
      </c>
      <c r="AW23" s="111">
        <f t="shared" si="16"/>
        <v>0</v>
      </c>
      <c r="AX23" s="111">
        <f t="shared" si="17"/>
        <v>0</v>
      </c>
      <c r="AY23" s="111">
        <f t="shared" si="18"/>
        <v>0</v>
      </c>
      <c r="AZ23" s="111">
        <f t="shared" si="19"/>
        <v>0</v>
      </c>
      <c r="BA23" s="111">
        <f t="shared" si="20"/>
        <v>0</v>
      </c>
      <c r="BB23" s="111">
        <f t="shared" si="21"/>
        <v>0</v>
      </c>
      <c r="BC23" s="111">
        <f t="shared" si="22"/>
        <v>0</v>
      </c>
      <c r="BD23" s="111">
        <f t="shared" si="23"/>
        <v>0</v>
      </c>
      <c r="BE23" s="111">
        <f t="shared" si="24"/>
        <v>0</v>
      </c>
      <c r="BF23" s="111" t="str">
        <f t="shared" si="25"/>
        <v/>
      </c>
      <c r="BG23" s="125">
        <f t="shared" si="26"/>
        <v>0</v>
      </c>
    </row>
    <row r="24" spans="1:59" ht="18.600000000000001" customHeight="1" x14ac:dyDescent="0.25">
      <c r="A24" s="129" t="str">
        <f>'G-1 All Habitats'!B23</f>
        <v>Grassland - Tall herb communities</v>
      </c>
      <c r="B24" s="100" t="str">
        <f>'G-1 All Habitats'!F23</f>
        <v>Grassland</v>
      </c>
      <c r="C24" s="100" t="str">
        <f>'G-1 All Habitats'!K23</f>
        <v>High</v>
      </c>
      <c r="D24" s="100" t="str">
        <f>'G-1 All Habitats'!M23</f>
        <v>Same habitat required</v>
      </c>
      <c r="E24" s="111">
        <f>IF(C24="V.High",SUMIF('A-1 Site Habitat Baseline'!$G$11:$G$258,'G-2 Habitat groups'!A24,'A-1 Site Habitat Baseline'!$S$11:$S$258)+SUMIF('A-1 Site Habitat Baseline'!$G$11:$G$258,'G-2 Habitat groups'!A24,'A-1 Site Habitat Baseline'!$T$11:$T$258),SUMIF('A-1 Site Habitat Baseline'!$G$11:$G$258,'G-2 Habitat groups'!A24,'A-1 Site Habitat Baseline'!$H$11:$H$258))</f>
        <v>0</v>
      </c>
      <c r="F24" s="111">
        <f>SUMIF('A-1 Site Habitat Baseline'!$G$11:$G$258,'G-2 Habitat groups'!A24,'A-1 Site Habitat Baseline'!$Q$11:$Q$258)</f>
        <v>0</v>
      </c>
      <c r="G24" s="111">
        <f>SUMIF('A-1 Site Habitat Baseline'!$G$11:$G$258,'G-2 Habitat groups'!A24,'A-1 Site Habitat Baseline'!$S$11:$S$258)</f>
        <v>0</v>
      </c>
      <c r="H24" s="111">
        <f>SUMIF('A-1 Site Habitat Baseline'!$G$11:$G$258,'G-2 Habitat groups'!A24,'A-1 Site Habitat Baseline'!$U$11:$U$258)</f>
        <v>0</v>
      </c>
      <c r="I24" s="111">
        <f>SUMIF('A-1 Site Habitat Baseline'!$G$11:$G$258,'G-2 Habitat groups'!A24,'A-1 Site Habitat Baseline'!$W$11:$W$258)</f>
        <v>0</v>
      </c>
      <c r="J24" s="111">
        <f>SUMIF('A-1 Site Habitat Baseline'!$G$11:$G$258,'G-2 Habitat groups'!A24,'A-1 Site Habitat Baseline'!$X$11:$X$258)</f>
        <v>0</v>
      </c>
      <c r="K24" s="111">
        <f>SUMIF('A-2 Site Habitat Creation'!$F$11:$F$256,'G-2 Habitat groups'!A24,'A-2 Site Habitat Creation'!$G$11:$G$256)</f>
        <v>0</v>
      </c>
      <c r="L24" s="111">
        <f>SUMIF('A-2 Site Habitat Creation'!$F$11:$F$256,'G-2 Habitat groups'!A24,'A-2 Site Habitat Creation'!$Y$11:$Y$256)</f>
        <v>0</v>
      </c>
      <c r="M24" s="111">
        <f>SUMIF('A-3 Site Habitat Enhancement'!$S$12:$S$257,'G-2 Habitat groups'!A24,'A-3 Site Habitat Enhancement'!$V$12:$V$257)</f>
        <v>0</v>
      </c>
      <c r="N24" s="111">
        <f>SUMIF('A-3 Site Habitat Enhancement'!$S$12:$S$257,'G-2 Habitat groups'!A24,'A-3 Site Habitat Enhancement'!$AN$12:$AN$257)</f>
        <v>0</v>
      </c>
      <c r="O24" s="111">
        <f t="shared" si="0"/>
        <v>0</v>
      </c>
      <c r="P24" s="111">
        <f t="shared" si="1"/>
        <v>0</v>
      </c>
      <c r="Q24" s="111">
        <f t="shared" si="2"/>
        <v>0</v>
      </c>
      <c r="R24" s="111">
        <f t="shared" si="3"/>
        <v>0</v>
      </c>
      <c r="S24" s="111">
        <f>IF(C24="V.High",SUMIF('D-1 Off Site Habitat Baseline'!$G$11:$G$258,'G-2 Habitat groups'!A24,'D-1 Off Site Habitat Baseline'!$S$11:$S$258)+SUMIF('D-1 Off Site Habitat Baseline'!$G$11:$G$258,'G-2 Habitat groups'!A24,'D-1 Off Site Habitat Baseline'!$T$11:$T$258),SUMIF('D-1 Off Site Habitat Baseline'!$G$11:$G$258,'G-2 Habitat groups'!A24,'D-1 Off Site Habitat Baseline'!$H$11:$H$258))</f>
        <v>0</v>
      </c>
      <c r="T24" s="111">
        <f>SUMIF('D-1 Off Site Habitat Baseline'!$G$11:$G$258,'G-2 Habitat groups'!A24,'D-1 Off Site Habitat Baseline'!$Q$11:$Q$258)</f>
        <v>0</v>
      </c>
      <c r="U24" s="513">
        <f>SUMIF('D-1 Off Site Habitat Baseline'!$G$11:$G$258,'G-2 Habitat groups'!A24,'D-1 Off Site Habitat Baseline'!$S$11:$S$258)</f>
        <v>0</v>
      </c>
      <c r="V24" s="111">
        <f>SUMIF('D-1 Off Site Habitat Baseline'!$G$11:$G$258,'G-2 Habitat groups'!A24,'D-1 Off Site Habitat Baseline'!$U$11:$U$258)</f>
        <v>0</v>
      </c>
      <c r="W24" s="111">
        <f>SUMIF('D-2 Off Site Habitat Creation'!$F$9:$F$255,'G-2 Habitat groups'!A24,'D-2 Off Site Habitat Creation'!$G$9:$G$255)</f>
        <v>0</v>
      </c>
      <c r="X24" s="111">
        <f>SUMIF('D-2 Off Site Habitat Creation'!$F$9:$F$255,'G-2 Habitat groups'!A24,'D-2 Off Site Habitat Creation'!$AA$9:$AA$255)</f>
        <v>0</v>
      </c>
      <c r="Y24" s="111">
        <f>SUMIF('D-3 Off Site Habitat Enhancment'!$S$12:$S$491,'G-2 Habitat groups'!A24,'D-3 Off Site Habitat Enhancment'!$V$12:$V$491)</f>
        <v>0</v>
      </c>
      <c r="Z24" s="111">
        <f>SUMIF('D-3 Off Site Habitat Enhancment'!$S$12:$S$491,'G-2 Habitat groups'!A24,'D-3 Off Site Habitat Enhancment'!$AP$12:$AP$491)</f>
        <v>0</v>
      </c>
      <c r="AA24" s="111">
        <f t="shared" si="4"/>
        <v>0</v>
      </c>
      <c r="AB24" s="111">
        <f t="shared" si="5"/>
        <v>0</v>
      </c>
      <c r="AC24" s="111">
        <f t="shared" si="6"/>
        <v>0</v>
      </c>
      <c r="AD24" s="111">
        <f t="shared" si="7"/>
        <v>0</v>
      </c>
      <c r="AE24" s="111">
        <f t="shared" si="8"/>
        <v>0</v>
      </c>
      <c r="AF24" s="111">
        <f t="shared" si="9"/>
        <v>0</v>
      </c>
      <c r="AJ24" s="133" t="s">
        <v>167</v>
      </c>
      <c r="AK24" s="124">
        <f t="shared" si="27"/>
        <v>0</v>
      </c>
      <c r="AL24" s="124">
        <f t="shared" si="28"/>
        <v>0</v>
      </c>
      <c r="AM24" s="124">
        <f t="shared" si="29"/>
        <v>0</v>
      </c>
      <c r="AN24" s="124">
        <f t="shared" si="30"/>
        <v>0</v>
      </c>
      <c r="AO24" s="136">
        <f t="shared" si="31"/>
        <v>0</v>
      </c>
      <c r="AP24" s="136">
        <f t="shared" si="32"/>
        <v>0</v>
      </c>
      <c r="AU24" s="144" t="s">
        <v>1479</v>
      </c>
      <c r="AV24" s="100" t="s">
        <v>1105</v>
      </c>
      <c r="AW24" s="111">
        <f t="shared" si="16"/>
        <v>0</v>
      </c>
      <c r="AX24" s="111">
        <f t="shared" si="17"/>
        <v>0</v>
      </c>
      <c r="AY24" s="111">
        <f t="shared" si="18"/>
        <v>0</v>
      </c>
      <c r="AZ24" s="111">
        <f t="shared" si="19"/>
        <v>0</v>
      </c>
      <c r="BA24" s="111">
        <f t="shared" si="20"/>
        <v>0</v>
      </c>
      <c r="BB24" s="111">
        <f t="shared" si="21"/>
        <v>0</v>
      </c>
      <c r="BC24" s="111">
        <f t="shared" si="22"/>
        <v>0</v>
      </c>
      <c r="BD24" s="111">
        <f t="shared" si="23"/>
        <v>0</v>
      </c>
      <c r="BE24" s="111">
        <f t="shared" si="24"/>
        <v>0</v>
      </c>
      <c r="BF24" s="111" t="str">
        <f t="shared" si="25"/>
        <v/>
      </c>
      <c r="BG24" s="125">
        <f t="shared" si="26"/>
        <v>0</v>
      </c>
    </row>
    <row r="25" spans="1:59" ht="18" customHeight="1" x14ac:dyDescent="0.25">
      <c r="A25" s="129" t="str">
        <f>'G-1 All Habitats'!B24</f>
        <v>Grassland - Upland acid grassland</v>
      </c>
      <c r="B25" s="100" t="str">
        <f>'G-1 All Habitats'!F24</f>
        <v>Grassland</v>
      </c>
      <c r="C25" s="100" t="str">
        <f>'G-1 All Habitats'!K24</f>
        <v>Medium</v>
      </c>
      <c r="D25" s="100" t="str">
        <f>'G-1 All Habitats'!M24</f>
        <v>Same broad habitat or a higher distinctiveness habitat required</v>
      </c>
      <c r="E25" s="111">
        <f>IF(C25="V.High",SUMIF('A-1 Site Habitat Baseline'!$G$11:$G$258,'G-2 Habitat groups'!A25,'A-1 Site Habitat Baseline'!$S$11:$S$258)+SUMIF('A-1 Site Habitat Baseline'!$G$11:$G$258,'G-2 Habitat groups'!A25,'A-1 Site Habitat Baseline'!$T$11:$T$258),SUMIF('A-1 Site Habitat Baseline'!$G$11:$G$258,'G-2 Habitat groups'!A25,'A-1 Site Habitat Baseline'!$H$11:$H$258))</f>
        <v>0</v>
      </c>
      <c r="F25" s="111">
        <f>SUMIF('A-1 Site Habitat Baseline'!$G$11:$G$258,'G-2 Habitat groups'!A25,'A-1 Site Habitat Baseline'!$Q$11:$Q$258)</f>
        <v>0</v>
      </c>
      <c r="G25" s="111">
        <f>SUMIF('A-1 Site Habitat Baseline'!$G$11:$G$258,'G-2 Habitat groups'!A25,'A-1 Site Habitat Baseline'!$S$11:$S$258)</f>
        <v>0</v>
      </c>
      <c r="H25" s="111">
        <f>SUMIF('A-1 Site Habitat Baseline'!$G$11:$G$258,'G-2 Habitat groups'!A25,'A-1 Site Habitat Baseline'!$U$11:$U$258)</f>
        <v>0</v>
      </c>
      <c r="I25" s="111">
        <f>SUMIF('A-1 Site Habitat Baseline'!$G$11:$G$258,'G-2 Habitat groups'!A25,'A-1 Site Habitat Baseline'!$W$11:$W$258)</f>
        <v>0</v>
      </c>
      <c r="J25" s="111">
        <f>SUMIF('A-1 Site Habitat Baseline'!$G$11:$G$258,'G-2 Habitat groups'!A25,'A-1 Site Habitat Baseline'!$X$11:$X$258)</f>
        <v>0</v>
      </c>
      <c r="K25" s="111">
        <f>SUMIF('A-2 Site Habitat Creation'!$F$11:$F$256,'G-2 Habitat groups'!A25,'A-2 Site Habitat Creation'!$G$11:$G$256)</f>
        <v>0</v>
      </c>
      <c r="L25" s="111">
        <f>SUMIF('A-2 Site Habitat Creation'!$F$11:$F$256,'G-2 Habitat groups'!A25,'A-2 Site Habitat Creation'!$Y$11:$Y$256)</f>
        <v>0</v>
      </c>
      <c r="M25" s="111">
        <f>SUMIF('A-3 Site Habitat Enhancement'!$S$12:$S$257,'G-2 Habitat groups'!A25,'A-3 Site Habitat Enhancement'!$V$12:$V$257)</f>
        <v>0</v>
      </c>
      <c r="N25" s="111">
        <f>SUMIF('A-3 Site Habitat Enhancement'!$S$12:$S$257,'G-2 Habitat groups'!A25,'A-3 Site Habitat Enhancement'!$AN$12:$AN$257)</f>
        <v>0</v>
      </c>
      <c r="O25" s="111">
        <f t="shared" si="0"/>
        <v>0</v>
      </c>
      <c r="P25" s="111">
        <f t="shared" si="1"/>
        <v>0</v>
      </c>
      <c r="Q25" s="111">
        <f t="shared" si="2"/>
        <v>0</v>
      </c>
      <c r="R25" s="111">
        <f t="shared" si="3"/>
        <v>0</v>
      </c>
      <c r="S25" s="111">
        <f>IF(C25="V.High",SUMIF('D-1 Off Site Habitat Baseline'!$G$11:$G$258,'G-2 Habitat groups'!A25,'D-1 Off Site Habitat Baseline'!$S$11:$S$258)+SUMIF('D-1 Off Site Habitat Baseline'!$G$11:$G$258,'G-2 Habitat groups'!A25,'D-1 Off Site Habitat Baseline'!$T$11:$T$258),SUMIF('D-1 Off Site Habitat Baseline'!$G$11:$G$258,'G-2 Habitat groups'!A25,'D-1 Off Site Habitat Baseline'!$H$11:$H$258))</f>
        <v>0</v>
      </c>
      <c r="T25" s="111">
        <f>SUMIF('D-1 Off Site Habitat Baseline'!$G$11:$G$258,'G-2 Habitat groups'!A25,'D-1 Off Site Habitat Baseline'!$Q$11:$Q$258)</f>
        <v>0</v>
      </c>
      <c r="U25" s="513">
        <f>SUMIF('D-1 Off Site Habitat Baseline'!$G$11:$G$258,'G-2 Habitat groups'!A25,'D-1 Off Site Habitat Baseline'!$S$11:$S$258)</f>
        <v>0</v>
      </c>
      <c r="V25" s="111">
        <f>SUMIF('D-1 Off Site Habitat Baseline'!$G$11:$G$258,'G-2 Habitat groups'!A25,'D-1 Off Site Habitat Baseline'!$U$11:$U$258)</f>
        <v>0</v>
      </c>
      <c r="W25" s="111">
        <f>SUMIF('D-2 Off Site Habitat Creation'!$F$9:$F$255,'G-2 Habitat groups'!A25,'D-2 Off Site Habitat Creation'!$G$9:$G$255)</f>
        <v>0</v>
      </c>
      <c r="X25" s="111">
        <f>SUMIF('D-2 Off Site Habitat Creation'!$F$9:$F$255,'G-2 Habitat groups'!A25,'D-2 Off Site Habitat Creation'!$AA$9:$AA$255)</f>
        <v>0</v>
      </c>
      <c r="Y25" s="111">
        <f>SUMIF('D-3 Off Site Habitat Enhancment'!$S$12:$S$491,'G-2 Habitat groups'!A25,'D-3 Off Site Habitat Enhancment'!$V$12:$V$491)</f>
        <v>0</v>
      </c>
      <c r="Z25" s="111">
        <f>SUMIF('D-3 Off Site Habitat Enhancment'!$S$12:$S$491,'G-2 Habitat groups'!A25,'D-3 Off Site Habitat Enhancment'!$AP$12:$AP$491)</f>
        <v>0</v>
      </c>
      <c r="AA25" s="111">
        <f t="shared" si="4"/>
        <v>0</v>
      </c>
      <c r="AB25" s="111">
        <f t="shared" si="5"/>
        <v>0</v>
      </c>
      <c r="AC25" s="111">
        <f t="shared" si="6"/>
        <v>0</v>
      </c>
      <c r="AD25" s="111">
        <f t="shared" si="7"/>
        <v>0</v>
      </c>
      <c r="AE25" s="111">
        <f t="shared" si="8"/>
        <v>0</v>
      </c>
      <c r="AF25" s="111">
        <f t="shared" si="9"/>
        <v>0</v>
      </c>
      <c r="AJ25" s="132" t="s">
        <v>166</v>
      </c>
      <c r="AK25" s="124">
        <f t="shared" si="27"/>
        <v>0</v>
      </c>
      <c r="AL25" s="124">
        <f t="shared" si="28"/>
        <v>0</v>
      </c>
      <c r="AM25" s="124">
        <f t="shared" si="29"/>
        <v>0</v>
      </c>
      <c r="AN25" s="124">
        <f t="shared" si="30"/>
        <v>0</v>
      </c>
      <c r="AO25" s="136">
        <f t="shared" si="31"/>
        <v>0</v>
      </c>
      <c r="AP25" s="136">
        <f t="shared" si="32"/>
        <v>0</v>
      </c>
    </row>
    <row r="26" spans="1:59" x14ac:dyDescent="0.25">
      <c r="A26" s="129" t="str">
        <f>'G-1 All Habitats'!B25</f>
        <v>Grassland - Upland calcareous grassland</v>
      </c>
      <c r="B26" s="100" t="str">
        <f>'G-1 All Habitats'!F25</f>
        <v>Grassland</v>
      </c>
      <c r="C26" s="100" t="str">
        <f>'G-1 All Habitats'!K25</f>
        <v>High</v>
      </c>
      <c r="D26" s="100" t="str">
        <f>'G-1 All Habitats'!M25</f>
        <v>Same habitat required</v>
      </c>
      <c r="E26" s="111">
        <f>IF(C26="V.High",SUMIF('A-1 Site Habitat Baseline'!$G$11:$G$258,'G-2 Habitat groups'!A26,'A-1 Site Habitat Baseline'!$S$11:$S$258)+SUMIF('A-1 Site Habitat Baseline'!$G$11:$G$258,'G-2 Habitat groups'!A26,'A-1 Site Habitat Baseline'!$T$11:$T$258),SUMIF('A-1 Site Habitat Baseline'!$G$11:$G$258,'G-2 Habitat groups'!A26,'A-1 Site Habitat Baseline'!$H$11:$H$258))</f>
        <v>0</v>
      </c>
      <c r="F26" s="111">
        <f>SUMIF('A-1 Site Habitat Baseline'!$G$11:$G$258,'G-2 Habitat groups'!A26,'A-1 Site Habitat Baseline'!$Q$11:$Q$258)</f>
        <v>0</v>
      </c>
      <c r="G26" s="111">
        <f>SUMIF('A-1 Site Habitat Baseline'!$G$11:$G$258,'G-2 Habitat groups'!A26,'A-1 Site Habitat Baseline'!$S$11:$S$258)</f>
        <v>0</v>
      </c>
      <c r="H26" s="111">
        <f>SUMIF('A-1 Site Habitat Baseline'!$G$11:$G$258,'G-2 Habitat groups'!A26,'A-1 Site Habitat Baseline'!$U$11:$U$258)</f>
        <v>0</v>
      </c>
      <c r="I26" s="111">
        <f>SUMIF('A-1 Site Habitat Baseline'!$G$11:$G$258,'G-2 Habitat groups'!A26,'A-1 Site Habitat Baseline'!$W$11:$W$258)</f>
        <v>0</v>
      </c>
      <c r="J26" s="111">
        <f>SUMIF('A-1 Site Habitat Baseline'!$G$11:$G$258,'G-2 Habitat groups'!A26,'A-1 Site Habitat Baseline'!$X$11:$X$258)</f>
        <v>0</v>
      </c>
      <c r="K26" s="111">
        <f>SUMIF('A-2 Site Habitat Creation'!$F$11:$F$256,'G-2 Habitat groups'!A26,'A-2 Site Habitat Creation'!$G$11:$G$256)</f>
        <v>0</v>
      </c>
      <c r="L26" s="111">
        <f>SUMIF('A-2 Site Habitat Creation'!$F$11:$F$256,'G-2 Habitat groups'!A26,'A-2 Site Habitat Creation'!$Y$11:$Y$256)</f>
        <v>0</v>
      </c>
      <c r="M26" s="111">
        <f>SUMIF('A-3 Site Habitat Enhancement'!$S$12:$S$257,'G-2 Habitat groups'!A26,'A-3 Site Habitat Enhancement'!$V$12:$V$257)</f>
        <v>0</v>
      </c>
      <c r="N26" s="111">
        <f>SUMIF('A-3 Site Habitat Enhancement'!$S$12:$S$257,'G-2 Habitat groups'!A26,'A-3 Site Habitat Enhancement'!$AN$12:$AN$257)</f>
        <v>0</v>
      </c>
      <c r="O26" s="111">
        <f t="shared" si="0"/>
        <v>0</v>
      </c>
      <c r="P26" s="111">
        <f t="shared" si="1"/>
        <v>0</v>
      </c>
      <c r="Q26" s="111">
        <f t="shared" si="2"/>
        <v>0</v>
      </c>
      <c r="R26" s="111">
        <f t="shared" si="3"/>
        <v>0</v>
      </c>
      <c r="S26" s="111">
        <f>IF(C26="V.High",SUMIF('D-1 Off Site Habitat Baseline'!$G$11:$G$258,'G-2 Habitat groups'!A26,'D-1 Off Site Habitat Baseline'!$S$11:$S$258)+SUMIF('D-1 Off Site Habitat Baseline'!$G$11:$G$258,'G-2 Habitat groups'!A26,'D-1 Off Site Habitat Baseline'!$T$11:$T$258),SUMIF('D-1 Off Site Habitat Baseline'!$G$11:$G$258,'G-2 Habitat groups'!A26,'D-1 Off Site Habitat Baseline'!$H$11:$H$258))</f>
        <v>0</v>
      </c>
      <c r="T26" s="111">
        <f>SUMIF('D-1 Off Site Habitat Baseline'!$G$11:$G$258,'G-2 Habitat groups'!A26,'D-1 Off Site Habitat Baseline'!$Q$11:$Q$258)</f>
        <v>0</v>
      </c>
      <c r="U26" s="513">
        <f>SUMIF('D-1 Off Site Habitat Baseline'!$G$11:$G$258,'G-2 Habitat groups'!A26,'D-1 Off Site Habitat Baseline'!$S$11:$S$258)</f>
        <v>0</v>
      </c>
      <c r="V26" s="111">
        <f>SUMIF('D-1 Off Site Habitat Baseline'!$G$11:$G$258,'G-2 Habitat groups'!A26,'D-1 Off Site Habitat Baseline'!$U$11:$U$258)</f>
        <v>0</v>
      </c>
      <c r="W26" s="111">
        <f>SUMIF('D-2 Off Site Habitat Creation'!$F$9:$F$255,'G-2 Habitat groups'!A26,'D-2 Off Site Habitat Creation'!$G$9:$G$255)</f>
        <v>0</v>
      </c>
      <c r="X26" s="111">
        <f>SUMIF('D-2 Off Site Habitat Creation'!$F$9:$F$255,'G-2 Habitat groups'!A26,'D-2 Off Site Habitat Creation'!$AA$9:$AA$255)</f>
        <v>0</v>
      </c>
      <c r="Y26" s="111">
        <f>SUMIF('D-3 Off Site Habitat Enhancment'!$S$12:$S$491,'G-2 Habitat groups'!A26,'D-3 Off Site Habitat Enhancment'!$V$12:$V$491)</f>
        <v>0</v>
      </c>
      <c r="Z26" s="111">
        <f>SUMIF('D-3 Off Site Habitat Enhancment'!$S$12:$S$491,'G-2 Habitat groups'!A26,'D-3 Off Site Habitat Enhancment'!$AP$12:$AP$491)</f>
        <v>0</v>
      </c>
      <c r="AA26" s="111">
        <f t="shared" si="4"/>
        <v>0</v>
      </c>
      <c r="AB26" s="111">
        <f t="shared" si="5"/>
        <v>0</v>
      </c>
      <c r="AC26" s="111">
        <f t="shared" si="6"/>
        <v>0</v>
      </c>
      <c r="AD26" s="111">
        <f t="shared" si="7"/>
        <v>0</v>
      </c>
      <c r="AE26" s="111">
        <f t="shared" si="8"/>
        <v>0</v>
      </c>
      <c r="AF26" s="111">
        <f t="shared" si="9"/>
        <v>0</v>
      </c>
      <c r="AJ26" s="132" t="s">
        <v>137</v>
      </c>
      <c r="AK26" s="124">
        <f t="shared" si="27"/>
        <v>0</v>
      </c>
      <c r="AL26" s="124">
        <f t="shared" si="28"/>
        <v>0</v>
      </c>
      <c r="AM26" s="124">
        <f t="shared" si="29"/>
        <v>0</v>
      </c>
      <c r="AN26" s="124">
        <f t="shared" si="30"/>
        <v>0</v>
      </c>
      <c r="AO26" s="136">
        <f t="shared" si="31"/>
        <v>0</v>
      </c>
      <c r="AP26" s="136">
        <f t="shared" si="32"/>
        <v>0</v>
      </c>
    </row>
    <row r="27" spans="1:59" x14ac:dyDescent="0.25">
      <c r="A27" s="129" t="str">
        <f>'G-1 All Habitats'!B26</f>
        <v>Grassland - Upland hay meadows</v>
      </c>
      <c r="B27" s="100" t="str">
        <f>'G-1 All Habitats'!F26</f>
        <v>Grassland</v>
      </c>
      <c r="C27" s="100" t="str">
        <f>'G-1 All Habitats'!K26</f>
        <v>V.High</v>
      </c>
      <c r="D27" s="100" t="str">
        <f>'G-1 All Habitats'!M26</f>
        <v>Bespoke compensation likely to be required</v>
      </c>
      <c r="E27" s="111">
        <f>IF(C27="V.High",SUMIF('A-1 Site Habitat Baseline'!$G$11:$G$258,'G-2 Habitat groups'!A27,'A-1 Site Habitat Baseline'!$S$11:$S$258)+SUMIF('A-1 Site Habitat Baseline'!$G$11:$G$258,'G-2 Habitat groups'!A27,'A-1 Site Habitat Baseline'!$T$11:$T$258),SUMIF('A-1 Site Habitat Baseline'!$G$11:$G$258,'G-2 Habitat groups'!A27,'A-1 Site Habitat Baseline'!$H$11:$H$258))</f>
        <v>0</v>
      </c>
      <c r="F27" s="111">
        <f>SUMIF('A-1 Site Habitat Baseline'!$G$11:$G$258,'G-2 Habitat groups'!A27,'A-1 Site Habitat Baseline'!$Q$11:$Q$258)</f>
        <v>0</v>
      </c>
      <c r="G27" s="111">
        <f>SUMIF('A-1 Site Habitat Baseline'!$G$11:$G$258,'G-2 Habitat groups'!A27,'A-1 Site Habitat Baseline'!$S$11:$S$258)</f>
        <v>0</v>
      </c>
      <c r="H27" s="111">
        <f>SUMIF('A-1 Site Habitat Baseline'!$G$11:$G$258,'G-2 Habitat groups'!A27,'A-1 Site Habitat Baseline'!$U$11:$U$258)</f>
        <v>0</v>
      </c>
      <c r="I27" s="111">
        <f>SUMIF('A-1 Site Habitat Baseline'!$G$11:$G$258,'G-2 Habitat groups'!A27,'A-1 Site Habitat Baseline'!$W$11:$W$258)</f>
        <v>0</v>
      </c>
      <c r="J27" s="111">
        <f>SUMIF('A-1 Site Habitat Baseline'!$G$11:$G$258,'G-2 Habitat groups'!A27,'A-1 Site Habitat Baseline'!$X$11:$X$258)</f>
        <v>0</v>
      </c>
      <c r="K27" s="111">
        <f>SUMIF('A-2 Site Habitat Creation'!$F$11:$F$256,'G-2 Habitat groups'!A27,'A-2 Site Habitat Creation'!$G$11:$G$256)</f>
        <v>0</v>
      </c>
      <c r="L27" s="111">
        <f>SUMIF('A-2 Site Habitat Creation'!$F$11:$F$256,'G-2 Habitat groups'!A27,'A-2 Site Habitat Creation'!$Y$11:$Y$256)</f>
        <v>0</v>
      </c>
      <c r="M27" s="111">
        <f>SUMIF('A-3 Site Habitat Enhancement'!$S$12:$S$257,'G-2 Habitat groups'!A27,'A-3 Site Habitat Enhancement'!$V$12:$V$257)</f>
        <v>0</v>
      </c>
      <c r="N27" s="111">
        <f>SUMIF('A-3 Site Habitat Enhancement'!$S$12:$S$257,'G-2 Habitat groups'!A27,'A-3 Site Habitat Enhancement'!$AN$12:$AN$257)</f>
        <v>0</v>
      </c>
      <c r="O27" s="111">
        <f t="shared" si="0"/>
        <v>0</v>
      </c>
      <c r="P27" s="111">
        <f t="shared" si="1"/>
        <v>0</v>
      </c>
      <c r="Q27" s="111">
        <f t="shared" si="2"/>
        <v>0</v>
      </c>
      <c r="R27" s="111">
        <f t="shared" si="3"/>
        <v>0</v>
      </c>
      <c r="S27" s="111">
        <f>IF(C27="V.High",SUMIF('D-1 Off Site Habitat Baseline'!$G$11:$G$258,'G-2 Habitat groups'!A27,'D-1 Off Site Habitat Baseline'!$S$11:$S$258)+SUMIF('D-1 Off Site Habitat Baseline'!$G$11:$G$258,'G-2 Habitat groups'!A27,'D-1 Off Site Habitat Baseline'!$T$11:$T$258),SUMIF('D-1 Off Site Habitat Baseline'!$G$11:$G$258,'G-2 Habitat groups'!A27,'D-1 Off Site Habitat Baseline'!$H$11:$H$258))</f>
        <v>0</v>
      </c>
      <c r="T27" s="111">
        <f>SUMIF('D-1 Off Site Habitat Baseline'!$G$11:$G$258,'G-2 Habitat groups'!A27,'D-1 Off Site Habitat Baseline'!$Q$11:$Q$258)</f>
        <v>0</v>
      </c>
      <c r="U27" s="513">
        <f>SUMIF('D-1 Off Site Habitat Baseline'!$G$11:$G$258,'G-2 Habitat groups'!A27,'D-1 Off Site Habitat Baseline'!$S$11:$S$258)</f>
        <v>0</v>
      </c>
      <c r="V27" s="111">
        <f>SUMIF('D-1 Off Site Habitat Baseline'!$G$11:$G$258,'G-2 Habitat groups'!A27,'D-1 Off Site Habitat Baseline'!$U$11:$U$258)</f>
        <v>0</v>
      </c>
      <c r="W27" s="111">
        <f>SUMIF('D-2 Off Site Habitat Creation'!$F$9:$F$255,'G-2 Habitat groups'!A27,'D-2 Off Site Habitat Creation'!$G$9:$G$255)</f>
        <v>0</v>
      </c>
      <c r="X27" s="111">
        <f>SUMIF('D-2 Off Site Habitat Creation'!$F$9:$F$255,'G-2 Habitat groups'!A27,'D-2 Off Site Habitat Creation'!$AA$9:$AA$255)</f>
        <v>0</v>
      </c>
      <c r="Y27" s="111">
        <f>SUMIF('D-3 Off Site Habitat Enhancment'!$S$12:$S$491,'G-2 Habitat groups'!A27,'D-3 Off Site Habitat Enhancment'!$V$12:$V$491)</f>
        <v>0</v>
      </c>
      <c r="Z27" s="111">
        <f>SUMIF('D-3 Off Site Habitat Enhancment'!$S$12:$S$491,'G-2 Habitat groups'!A27,'D-3 Off Site Habitat Enhancment'!$AP$12:$AP$491)</f>
        <v>0</v>
      </c>
      <c r="AA27" s="111">
        <f t="shared" si="4"/>
        <v>0</v>
      </c>
      <c r="AB27" s="111">
        <f t="shared" si="5"/>
        <v>0</v>
      </c>
      <c r="AC27" s="111">
        <f t="shared" si="6"/>
        <v>0</v>
      </c>
      <c r="AD27" s="111">
        <f t="shared" si="7"/>
        <v>0</v>
      </c>
      <c r="AE27" s="111">
        <f t="shared" si="8"/>
        <v>0</v>
      </c>
      <c r="AF27" s="111">
        <f t="shared" si="9"/>
        <v>0</v>
      </c>
      <c r="AJ27" s="134" t="s">
        <v>163</v>
      </c>
      <c r="AK27" s="124">
        <f t="shared" si="27"/>
        <v>0</v>
      </c>
      <c r="AL27" s="124">
        <f t="shared" si="28"/>
        <v>0</v>
      </c>
      <c r="AM27" s="124">
        <f t="shared" si="29"/>
        <v>0</v>
      </c>
      <c r="AN27" s="124">
        <f t="shared" si="30"/>
        <v>0</v>
      </c>
      <c r="AO27" s="136">
        <f t="shared" si="31"/>
        <v>0</v>
      </c>
      <c r="AP27" s="136">
        <f t="shared" si="32"/>
        <v>0</v>
      </c>
    </row>
    <row r="28" spans="1:59" ht="15.6" customHeight="1" x14ac:dyDescent="0.25">
      <c r="A28" s="129" t="str">
        <f>'G-1 All Habitats'!B27</f>
        <v>Heathland and shrub - Blackthorn scrub</v>
      </c>
      <c r="B28" s="100" t="str">
        <f>'G-1 All Habitats'!F27</f>
        <v>Heathland and shrub</v>
      </c>
      <c r="C28" s="100" t="str">
        <f>'G-1 All Habitats'!K27</f>
        <v>Medium</v>
      </c>
      <c r="D28" s="100" t="str">
        <f>'G-1 All Habitats'!M27</f>
        <v>Same broad habitat or a higher distinctiveness habitat required</v>
      </c>
      <c r="E28" s="111">
        <f>IF(C28="V.High",SUMIF('A-1 Site Habitat Baseline'!$G$11:$G$258,'G-2 Habitat groups'!A28,'A-1 Site Habitat Baseline'!$S$11:$S$258)+SUMIF('A-1 Site Habitat Baseline'!$G$11:$G$258,'G-2 Habitat groups'!A28,'A-1 Site Habitat Baseline'!$T$11:$T$258),SUMIF('A-1 Site Habitat Baseline'!$G$11:$G$258,'G-2 Habitat groups'!A28,'A-1 Site Habitat Baseline'!$H$11:$H$258))</f>
        <v>0</v>
      </c>
      <c r="F28" s="111">
        <f>SUMIF('A-1 Site Habitat Baseline'!$G$11:$G$258,'G-2 Habitat groups'!A28,'A-1 Site Habitat Baseline'!$Q$11:$Q$258)</f>
        <v>0</v>
      </c>
      <c r="G28" s="111">
        <f>SUMIF('A-1 Site Habitat Baseline'!$G$11:$G$258,'G-2 Habitat groups'!A28,'A-1 Site Habitat Baseline'!$S$11:$S$258)</f>
        <v>0</v>
      </c>
      <c r="H28" s="111">
        <f>SUMIF('A-1 Site Habitat Baseline'!$G$11:$G$258,'G-2 Habitat groups'!A28,'A-1 Site Habitat Baseline'!$U$11:$U$258)</f>
        <v>0</v>
      </c>
      <c r="I28" s="111">
        <f>SUMIF('A-1 Site Habitat Baseline'!$G$11:$G$258,'G-2 Habitat groups'!A28,'A-1 Site Habitat Baseline'!$W$11:$W$258)</f>
        <v>0</v>
      </c>
      <c r="J28" s="111">
        <f>SUMIF('A-1 Site Habitat Baseline'!$G$11:$G$258,'G-2 Habitat groups'!A28,'A-1 Site Habitat Baseline'!$X$11:$X$258)</f>
        <v>0</v>
      </c>
      <c r="K28" s="111">
        <f>SUMIF('A-2 Site Habitat Creation'!$F$11:$F$256,'G-2 Habitat groups'!A28,'A-2 Site Habitat Creation'!$G$11:$G$256)</f>
        <v>0</v>
      </c>
      <c r="L28" s="111">
        <f>SUMIF('A-2 Site Habitat Creation'!$F$11:$F$256,'G-2 Habitat groups'!A28,'A-2 Site Habitat Creation'!$Y$11:$Y$256)</f>
        <v>0</v>
      </c>
      <c r="M28" s="111">
        <f>SUMIF('A-3 Site Habitat Enhancement'!$S$12:$S$257,'G-2 Habitat groups'!A28,'A-3 Site Habitat Enhancement'!$V$12:$V$257)</f>
        <v>0</v>
      </c>
      <c r="N28" s="111">
        <f>SUMIF('A-3 Site Habitat Enhancement'!$S$12:$S$257,'G-2 Habitat groups'!A28,'A-3 Site Habitat Enhancement'!$AN$12:$AN$257)</f>
        <v>0</v>
      </c>
      <c r="O28" s="111">
        <f t="shared" si="0"/>
        <v>0</v>
      </c>
      <c r="P28" s="111">
        <f t="shared" si="1"/>
        <v>0</v>
      </c>
      <c r="Q28" s="111">
        <f t="shared" si="2"/>
        <v>0</v>
      </c>
      <c r="R28" s="111">
        <f t="shared" si="3"/>
        <v>0</v>
      </c>
      <c r="S28" s="111">
        <f>IF(C28="V.High",SUMIF('D-1 Off Site Habitat Baseline'!$G$11:$G$258,'G-2 Habitat groups'!A28,'D-1 Off Site Habitat Baseline'!$S$11:$S$258)+SUMIF('D-1 Off Site Habitat Baseline'!$G$11:$G$258,'G-2 Habitat groups'!A28,'D-1 Off Site Habitat Baseline'!$T$11:$T$258),SUMIF('D-1 Off Site Habitat Baseline'!$G$11:$G$258,'G-2 Habitat groups'!A28,'D-1 Off Site Habitat Baseline'!$H$11:$H$258))</f>
        <v>0</v>
      </c>
      <c r="T28" s="111">
        <f>SUMIF('D-1 Off Site Habitat Baseline'!$G$11:$G$258,'G-2 Habitat groups'!A28,'D-1 Off Site Habitat Baseline'!$Q$11:$Q$258)</f>
        <v>0</v>
      </c>
      <c r="U28" s="513">
        <f>SUMIF('D-1 Off Site Habitat Baseline'!$G$11:$G$258,'G-2 Habitat groups'!A28,'D-1 Off Site Habitat Baseline'!$S$11:$S$258)</f>
        <v>0</v>
      </c>
      <c r="V28" s="111">
        <f>SUMIF('D-1 Off Site Habitat Baseline'!$G$11:$G$258,'G-2 Habitat groups'!A28,'D-1 Off Site Habitat Baseline'!$U$11:$U$258)</f>
        <v>0</v>
      </c>
      <c r="W28" s="111">
        <f>SUMIF('D-2 Off Site Habitat Creation'!$F$9:$F$255,'G-2 Habitat groups'!A28,'D-2 Off Site Habitat Creation'!$G$9:$G$255)</f>
        <v>0</v>
      </c>
      <c r="X28" s="111">
        <f>SUMIF('D-2 Off Site Habitat Creation'!$F$9:$F$255,'G-2 Habitat groups'!A28,'D-2 Off Site Habitat Creation'!$AA$9:$AA$255)</f>
        <v>0</v>
      </c>
      <c r="Y28" s="111">
        <f>SUMIF('D-3 Off Site Habitat Enhancment'!$S$12:$S$491,'G-2 Habitat groups'!A28,'D-3 Off Site Habitat Enhancment'!$V$12:$V$491)</f>
        <v>0</v>
      </c>
      <c r="Z28" s="111">
        <f>SUMIF('D-3 Off Site Habitat Enhancment'!$S$12:$S$491,'G-2 Habitat groups'!A28,'D-3 Off Site Habitat Enhancment'!$AP$12:$AP$491)</f>
        <v>0</v>
      </c>
      <c r="AA28" s="111">
        <f t="shared" si="4"/>
        <v>0</v>
      </c>
      <c r="AB28" s="111">
        <f t="shared" si="5"/>
        <v>0</v>
      </c>
      <c r="AC28" s="111">
        <f t="shared" si="6"/>
        <v>0</v>
      </c>
      <c r="AD28" s="111">
        <f t="shared" si="7"/>
        <v>0</v>
      </c>
      <c r="AE28" s="111">
        <f t="shared" si="8"/>
        <v>0</v>
      </c>
      <c r="AF28" s="111">
        <f t="shared" si="9"/>
        <v>0</v>
      </c>
      <c r="AJ28" s="134" t="s">
        <v>1105</v>
      </c>
      <c r="AK28" s="124">
        <f t="shared" si="27"/>
        <v>0</v>
      </c>
      <c r="AL28" s="124">
        <f t="shared" si="28"/>
        <v>0</v>
      </c>
      <c r="AM28" s="124">
        <f t="shared" si="29"/>
        <v>0</v>
      </c>
      <c r="AN28" s="124">
        <f t="shared" si="30"/>
        <v>0</v>
      </c>
      <c r="AO28" s="136">
        <f t="shared" si="31"/>
        <v>0</v>
      </c>
      <c r="AP28" s="136">
        <f t="shared" si="32"/>
        <v>0</v>
      </c>
      <c r="AU28" s="1082" t="s">
        <v>5</v>
      </c>
    </row>
    <row r="29" spans="1:59" ht="15.6" customHeight="1" x14ac:dyDescent="0.25">
      <c r="A29" s="129" t="str">
        <f>'G-1 All Habitats'!B28</f>
        <v>Heathland and shrub - Bramble scrub</v>
      </c>
      <c r="B29" s="100" t="str">
        <f>'G-1 All Habitats'!F28</f>
        <v>Heathland and shrub</v>
      </c>
      <c r="C29" s="100" t="str">
        <f>'G-1 All Habitats'!K28</f>
        <v>Medium</v>
      </c>
      <c r="D29" s="100" t="str">
        <f>'G-1 All Habitats'!M28</f>
        <v>Same broad habitat or a higher distinctiveness habitat required</v>
      </c>
      <c r="E29" s="111">
        <f>IF(C29="V.High",SUMIF('A-1 Site Habitat Baseline'!$G$11:$G$258,'G-2 Habitat groups'!A29,'A-1 Site Habitat Baseline'!$S$11:$S$258)+SUMIF('A-1 Site Habitat Baseline'!$G$11:$G$258,'G-2 Habitat groups'!A29,'A-1 Site Habitat Baseline'!$T$11:$T$258),SUMIF('A-1 Site Habitat Baseline'!$G$11:$G$258,'G-2 Habitat groups'!A29,'A-1 Site Habitat Baseline'!$H$11:$H$258))</f>
        <v>0</v>
      </c>
      <c r="F29" s="111">
        <f>SUMIF('A-1 Site Habitat Baseline'!$G$11:$G$258,'G-2 Habitat groups'!A29,'A-1 Site Habitat Baseline'!$Q$11:$Q$258)</f>
        <v>0</v>
      </c>
      <c r="G29" s="111">
        <f>SUMIF('A-1 Site Habitat Baseline'!$G$11:$G$258,'G-2 Habitat groups'!A29,'A-1 Site Habitat Baseline'!$S$11:$S$258)</f>
        <v>0</v>
      </c>
      <c r="H29" s="111">
        <f>SUMIF('A-1 Site Habitat Baseline'!$G$11:$G$258,'G-2 Habitat groups'!A29,'A-1 Site Habitat Baseline'!$U$11:$U$258)</f>
        <v>0</v>
      </c>
      <c r="I29" s="111">
        <f>SUMIF('A-1 Site Habitat Baseline'!$G$11:$G$258,'G-2 Habitat groups'!A29,'A-1 Site Habitat Baseline'!$W$11:$W$258)</f>
        <v>0</v>
      </c>
      <c r="J29" s="111">
        <f>SUMIF('A-1 Site Habitat Baseline'!$G$11:$G$258,'G-2 Habitat groups'!A29,'A-1 Site Habitat Baseline'!$X$11:$X$258)</f>
        <v>0</v>
      </c>
      <c r="K29" s="111">
        <f>SUMIF('A-2 Site Habitat Creation'!$F$11:$F$256,'G-2 Habitat groups'!A29,'A-2 Site Habitat Creation'!$G$11:$G$256)</f>
        <v>0</v>
      </c>
      <c r="L29" s="111">
        <f>SUMIF('A-2 Site Habitat Creation'!$F$11:$F$256,'G-2 Habitat groups'!A29,'A-2 Site Habitat Creation'!$Y$11:$Y$256)</f>
        <v>0</v>
      </c>
      <c r="M29" s="111">
        <f>SUMIF('A-3 Site Habitat Enhancement'!$S$12:$S$257,'G-2 Habitat groups'!A29,'A-3 Site Habitat Enhancement'!$V$12:$V$257)</f>
        <v>0</v>
      </c>
      <c r="N29" s="111">
        <f>SUMIF('A-3 Site Habitat Enhancement'!$S$12:$S$257,'G-2 Habitat groups'!A29,'A-3 Site Habitat Enhancement'!$AN$12:$AN$257)</f>
        <v>0</v>
      </c>
      <c r="O29" s="111">
        <f t="shared" si="0"/>
        <v>0</v>
      </c>
      <c r="P29" s="111">
        <f t="shared" si="1"/>
        <v>0</v>
      </c>
      <c r="Q29" s="111">
        <f t="shared" si="2"/>
        <v>0</v>
      </c>
      <c r="R29" s="111">
        <f t="shared" si="3"/>
        <v>0</v>
      </c>
      <c r="S29" s="111">
        <f>IF(C29="V.High",SUMIF('D-1 Off Site Habitat Baseline'!$G$11:$G$258,'G-2 Habitat groups'!A29,'D-1 Off Site Habitat Baseline'!$S$11:$S$258)+SUMIF('D-1 Off Site Habitat Baseline'!$G$11:$G$258,'G-2 Habitat groups'!A29,'D-1 Off Site Habitat Baseline'!$T$11:$T$258),SUMIF('D-1 Off Site Habitat Baseline'!$G$11:$G$258,'G-2 Habitat groups'!A29,'D-1 Off Site Habitat Baseline'!$H$11:$H$258))</f>
        <v>0</v>
      </c>
      <c r="T29" s="111">
        <f>SUMIF('D-1 Off Site Habitat Baseline'!$G$11:$G$258,'G-2 Habitat groups'!A29,'D-1 Off Site Habitat Baseline'!$Q$11:$Q$258)</f>
        <v>0</v>
      </c>
      <c r="U29" s="513">
        <f>SUMIF('D-1 Off Site Habitat Baseline'!$G$11:$G$258,'G-2 Habitat groups'!A29,'D-1 Off Site Habitat Baseline'!$S$11:$S$258)</f>
        <v>0</v>
      </c>
      <c r="V29" s="111">
        <f>SUMIF('D-1 Off Site Habitat Baseline'!$G$11:$G$258,'G-2 Habitat groups'!A29,'D-1 Off Site Habitat Baseline'!$U$11:$U$258)</f>
        <v>0</v>
      </c>
      <c r="W29" s="111">
        <f>SUMIF('D-2 Off Site Habitat Creation'!$F$9:$F$255,'G-2 Habitat groups'!A29,'D-2 Off Site Habitat Creation'!$G$9:$G$255)</f>
        <v>0</v>
      </c>
      <c r="X29" s="111">
        <f>SUMIF('D-2 Off Site Habitat Creation'!$F$9:$F$255,'G-2 Habitat groups'!A29,'D-2 Off Site Habitat Creation'!$AA$9:$AA$255)</f>
        <v>0</v>
      </c>
      <c r="Y29" s="111">
        <f>SUMIF('D-3 Off Site Habitat Enhancment'!$S$12:$S$491,'G-2 Habitat groups'!A29,'D-3 Off Site Habitat Enhancment'!$V$12:$V$491)</f>
        <v>0</v>
      </c>
      <c r="Z29" s="111">
        <f>SUMIF('D-3 Off Site Habitat Enhancment'!$S$12:$S$491,'G-2 Habitat groups'!A29,'D-3 Off Site Habitat Enhancment'!$AP$12:$AP$491)</f>
        <v>0</v>
      </c>
      <c r="AA29" s="111">
        <f t="shared" si="4"/>
        <v>0</v>
      </c>
      <c r="AB29" s="111">
        <f t="shared" si="5"/>
        <v>0</v>
      </c>
      <c r="AC29" s="111">
        <f t="shared" si="6"/>
        <v>0</v>
      </c>
      <c r="AD29" s="111">
        <f t="shared" si="7"/>
        <v>0</v>
      </c>
      <c r="AE29" s="111">
        <f t="shared" si="8"/>
        <v>0</v>
      </c>
      <c r="AF29" s="111">
        <f t="shared" si="9"/>
        <v>0</v>
      </c>
      <c r="AJ29" s="134" t="s">
        <v>1112</v>
      </c>
      <c r="AK29" s="137">
        <f t="shared" si="27"/>
        <v>0</v>
      </c>
      <c r="AL29" s="137">
        <f t="shared" si="28"/>
        <v>0</v>
      </c>
      <c r="AM29" s="137">
        <f t="shared" si="29"/>
        <v>0</v>
      </c>
      <c r="AN29" s="137">
        <f t="shared" si="30"/>
        <v>0</v>
      </c>
      <c r="AO29" s="136">
        <f t="shared" si="31"/>
        <v>0</v>
      </c>
      <c r="AP29" s="136">
        <f t="shared" si="32"/>
        <v>0</v>
      </c>
      <c r="AU29" s="108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</row>
    <row r="30" spans="1:59" ht="32.25" customHeight="1" x14ac:dyDescent="0.3">
      <c r="A30" s="129" t="str">
        <f>'G-1 All Habitats'!B29</f>
        <v>Heathland and shrub - Gorse scrub</v>
      </c>
      <c r="B30" s="100" t="str">
        <f>'G-1 All Habitats'!F29</f>
        <v>Heathland and shrub</v>
      </c>
      <c r="C30" s="100" t="str">
        <f>'G-1 All Habitats'!K29</f>
        <v>Medium</v>
      </c>
      <c r="D30" s="100" t="str">
        <f>'G-1 All Habitats'!M29</f>
        <v>Same broad habitat or a higher distinctiveness habitat required</v>
      </c>
      <c r="E30" s="111">
        <f>IF(C30="V.High",SUMIF('A-1 Site Habitat Baseline'!$G$11:$G$258,'G-2 Habitat groups'!A30,'A-1 Site Habitat Baseline'!$S$11:$S$258)+SUMIF('A-1 Site Habitat Baseline'!$G$11:$G$258,'G-2 Habitat groups'!A30,'A-1 Site Habitat Baseline'!$T$11:$T$258),SUMIF('A-1 Site Habitat Baseline'!$G$11:$G$258,'G-2 Habitat groups'!A30,'A-1 Site Habitat Baseline'!$H$11:$H$258))</f>
        <v>0</v>
      </c>
      <c r="F30" s="111">
        <f>SUMIF('A-1 Site Habitat Baseline'!$G$11:$G$258,'G-2 Habitat groups'!A30,'A-1 Site Habitat Baseline'!$Q$11:$Q$258)</f>
        <v>0</v>
      </c>
      <c r="G30" s="111">
        <f>SUMIF('A-1 Site Habitat Baseline'!$G$11:$G$258,'G-2 Habitat groups'!A30,'A-1 Site Habitat Baseline'!$S$11:$S$258)</f>
        <v>0</v>
      </c>
      <c r="H30" s="111">
        <f>SUMIF('A-1 Site Habitat Baseline'!$G$11:$G$258,'G-2 Habitat groups'!A30,'A-1 Site Habitat Baseline'!$U$11:$U$258)</f>
        <v>0</v>
      </c>
      <c r="I30" s="111">
        <f>SUMIF('A-1 Site Habitat Baseline'!$G$11:$G$258,'G-2 Habitat groups'!A30,'A-1 Site Habitat Baseline'!$W$11:$W$258)</f>
        <v>0</v>
      </c>
      <c r="J30" s="111">
        <f>SUMIF('A-1 Site Habitat Baseline'!$G$11:$G$258,'G-2 Habitat groups'!A30,'A-1 Site Habitat Baseline'!$X$11:$X$258)</f>
        <v>0</v>
      </c>
      <c r="K30" s="111">
        <f>SUMIF('A-2 Site Habitat Creation'!$F$11:$F$256,'G-2 Habitat groups'!A30,'A-2 Site Habitat Creation'!$G$11:$G$256)</f>
        <v>0</v>
      </c>
      <c r="L30" s="111">
        <f>SUMIF('A-2 Site Habitat Creation'!$F$11:$F$256,'G-2 Habitat groups'!A30,'A-2 Site Habitat Creation'!$Y$11:$Y$256)</f>
        <v>0</v>
      </c>
      <c r="M30" s="111">
        <f>SUMIF('A-3 Site Habitat Enhancement'!$S$12:$S$257,'G-2 Habitat groups'!A30,'A-3 Site Habitat Enhancement'!$V$12:$V$257)</f>
        <v>0</v>
      </c>
      <c r="N30" s="111">
        <f>SUMIF('A-3 Site Habitat Enhancement'!$S$12:$S$257,'G-2 Habitat groups'!A30,'A-3 Site Habitat Enhancement'!$AN$12:$AN$257)</f>
        <v>0</v>
      </c>
      <c r="O30" s="111">
        <f t="shared" si="0"/>
        <v>0</v>
      </c>
      <c r="P30" s="111">
        <f t="shared" si="1"/>
        <v>0</v>
      </c>
      <c r="Q30" s="111">
        <f t="shared" si="2"/>
        <v>0</v>
      </c>
      <c r="R30" s="111">
        <f t="shared" si="3"/>
        <v>0</v>
      </c>
      <c r="S30" s="111">
        <f>IF(C30="V.High",SUMIF('D-1 Off Site Habitat Baseline'!$G$11:$G$258,'G-2 Habitat groups'!A30,'D-1 Off Site Habitat Baseline'!$S$11:$S$258)+SUMIF('D-1 Off Site Habitat Baseline'!$G$11:$G$258,'G-2 Habitat groups'!A30,'D-1 Off Site Habitat Baseline'!$T$11:$T$258),SUMIF('D-1 Off Site Habitat Baseline'!$G$11:$G$258,'G-2 Habitat groups'!A30,'D-1 Off Site Habitat Baseline'!$H$11:$H$258))</f>
        <v>0</v>
      </c>
      <c r="T30" s="111">
        <f>SUMIF('D-1 Off Site Habitat Baseline'!$G$11:$G$258,'G-2 Habitat groups'!A30,'D-1 Off Site Habitat Baseline'!$Q$11:$Q$258)</f>
        <v>0</v>
      </c>
      <c r="U30" s="513">
        <f>SUMIF('D-1 Off Site Habitat Baseline'!$G$11:$G$258,'G-2 Habitat groups'!A30,'D-1 Off Site Habitat Baseline'!$S$11:$S$258)</f>
        <v>0</v>
      </c>
      <c r="V30" s="111">
        <f>SUMIF('D-1 Off Site Habitat Baseline'!$G$11:$G$258,'G-2 Habitat groups'!A30,'D-1 Off Site Habitat Baseline'!$U$11:$U$258)</f>
        <v>0</v>
      </c>
      <c r="W30" s="111">
        <f>SUMIF('D-2 Off Site Habitat Creation'!$F$9:$F$255,'G-2 Habitat groups'!A30,'D-2 Off Site Habitat Creation'!$G$9:$G$255)</f>
        <v>0</v>
      </c>
      <c r="X30" s="111">
        <f>SUMIF('D-2 Off Site Habitat Creation'!$F$9:$F$255,'G-2 Habitat groups'!A30,'D-2 Off Site Habitat Creation'!$AA$9:$AA$255)</f>
        <v>0</v>
      </c>
      <c r="Y30" s="111">
        <f>SUMIF('D-3 Off Site Habitat Enhancment'!$S$12:$S$491,'G-2 Habitat groups'!A30,'D-3 Off Site Habitat Enhancment'!$V$12:$V$491)</f>
        <v>0</v>
      </c>
      <c r="Z30" s="111">
        <f>SUMIF('D-3 Off Site Habitat Enhancment'!$S$12:$S$491,'G-2 Habitat groups'!A30,'D-3 Off Site Habitat Enhancment'!$AP$12:$AP$491)</f>
        <v>0</v>
      </c>
      <c r="AA30" s="111">
        <f t="shared" si="4"/>
        <v>0</v>
      </c>
      <c r="AB30" s="111">
        <f t="shared" si="5"/>
        <v>0</v>
      </c>
      <c r="AC30" s="111">
        <f t="shared" si="6"/>
        <v>0</v>
      </c>
      <c r="AD30" s="111">
        <f t="shared" si="7"/>
        <v>0</v>
      </c>
      <c r="AE30" s="111">
        <f t="shared" si="8"/>
        <v>0</v>
      </c>
      <c r="AF30" s="111">
        <f t="shared" si="9"/>
        <v>0</v>
      </c>
      <c r="AJ30" s="134" t="s">
        <v>1125</v>
      </c>
      <c r="AK30" s="137">
        <f t="shared" si="27"/>
        <v>0</v>
      </c>
      <c r="AL30" s="137">
        <f t="shared" si="28"/>
        <v>0</v>
      </c>
      <c r="AM30" s="137">
        <f t="shared" si="29"/>
        <v>0</v>
      </c>
      <c r="AN30" s="137">
        <f t="shared" si="30"/>
        <v>0</v>
      </c>
      <c r="AO30" s="136">
        <f t="shared" si="31"/>
        <v>0</v>
      </c>
      <c r="AP30" s="136">
        <f t="shared" si="32"/>
        <v>0</v>
      </c>
      <c r="AU30" s="148" t="s">
        <v>148</v>
      </c>
      <c r="AV30" s="152" t="s">
        <v>134</v>
      </c>
      <c r="AW30" s="152" t="s">
        <v>149</v>
      </c>
      <c r="AX30" s="152" t="s">
        <v>785</v>
      </c>
      <c r="AY30" s="152" t="s">
        <v>775</v>
      </c>
      <c r="AZ30" s="152" t="s">
        <v>776</v>
      </c>
      <c r="BA30" s="152" t="s">
        <v>777</v>
      </c>
      <c r="BB30" s="152" t="s">
        <v>778</v>
      </c>
      <c r="BC30" s="152" t="s">
        <v>779</v>
      </c>
      <c r="BD30" s="152" t="s">
        <v>1324</v>
      </c>
      <c r="BE30" s="152" t="s">
        <v>783</v>
      </c>
      <c r="BF30" s="152" t="s">
        <v>784</v>
      </c>
    </row>
    <row r="31" spans="1:59" x14ac:dyDescent="0.25">
      <c r="A31" s="129" t="str">
        <f>'G-1 All Habitats'!B30</f>
        <v>Heathland and shrub - Hawthorn scrub</v>
      </c>
      <c r="B31" s="100" t="str">
        <f>'G-1 All Habitats'!F30</f>
        <v>Heathland and shrub</v>
      </c>
      <c r="C31" s="100" t="str">
        <f>'G-1 All Habitats'!K30</f>
        <v>Medium</v>
      </c>
      <c r="D31" s="100" t="str">
        <f>'G-1 All Habitats'!M30</f>
        <v>Same broad habitat or a higher distinctiveness habitat required</v>
      </c>
      <c r="E31" s="111">
        <f>IF(C31="V.High",SUMIF('A-1 Site Habitat Baseline'!$G$11:$G$258,'G-2 Habitat groups'!A31,'A-1 Site Habitat Baseline'!$S$11:$S$258)+SUMIF('A-1 Site Habitat Baseline'!$G$11:$G$258,'G-2 Habitat groups'!A31,'A-1 Site Habitat Baseline'!$T$11:$T$258),SUMIF('A-1 Site Habitat Baseline'!$G$11:$G$258,'G-2 Habitat groups'!A31,'A-1 Site Habitat Baseline'!$H$11:$H$258))</f>
        <v>0</v>
      </c>
      <c r="F31" s="111">
        <f>SUMIF('A-1 Site Habitat Baseline'!$G$11:$G$258,'G-2 Habitat groups'!A31,'A-1 Site Habitat Baseline'!$Q$11:$Q$258)</f>
        <v>0</v>
      </c>
      <c r="G31" s="111">
        <f>SUMIF('A-1 Site Habitat Baseline'!$G$11:$G$258,'G-2 Habitat groups'!A31,'A-1 Site Habitat Baseline'!$S$11:$S$258)</f>
        <v>0</v>
      </c>
      <c r="H31" s="111">
        <f>SUMIF('A-1 Site Habitat Baseline'!$G$11:$G$258,'G-2 Habitat groups'!A31,'A-1 Site Habitat Baseline'!$U$11:$U$258)</f>
        <v>0</v>
      </c>
      <c r="I31" s="111">
        <f>SUMIF('A-1 Site Habitat Baseline'!$G$11:$G$258,'G-2 Habitat groups'!A31,'A-1 Site Habitat Baseline'!$W$11:$W$258)</f>
        <v>0</v>
      </c>
      <c r="J31" s="111">
        <f>SUMIF('A-1 Site Habitat Baseline'!$G$11:$G$258,'G-2 Habitat groups'!A31,'A-1 Site Habitat Baseline'!$X$11:$X$258)</f>
        <v>0</v>
      </c>
      <c r="K31" s="111">
        <f>SUMIF('A-2 Site Habitat Creation'!$F$11:$F$256,'G-2 Habitat groups'!A31,'A-2 Site Habitat Creation'!$G$11:$G$256)</f>
        <v>0</v>
      </c>
      <c r="L31" s="111">
        <f>SUMIF('A-2 Site Habitat Creation'!$F$11:$F$256,'G-2 Habitat groups'!A31,'A-2 Site Habitat Creation'!$Y$11:$Y$256)</f>
        <v>0</v>
      </c>
      <c r="M31" s="111">
        <f>SUMIF('A-3 Site Habitat Enhancement'!$S$12:$S$257,'G-2 Habitat groups'!A31,'A-3 Site Habitat Enhancement'!$V$12:$V$257)</f>
        <v>0</v>
      </c>
      <c r="N31" s="111">
        <f>SUMIF('A-3 Site Habitat Enhancement'!$S$12:$S$257,'G-2 Habitat groups'!A31,'A-3 Site Habitat Enhancement'!$AN$12:$AN$257)</f>
        <v>0</v>
      </c>
      <c r="O31" s="111">
        <f t="shared" si="0"/>
        <v>0</v>
      </c>
      <c r="P31" s="111">
        <f t="shared" si="1"/>
        <v>0</v>
      </c>
      <c r="Q31" s="111">
        <f t="shared" si="2"/>
        <v>0</v>
      </c>
      <c r="R31" s="111">
        <f t="shared" si="3"/>
        <v>0</v>
      </c>
      <c r="S31" s="111">
        <f>IF(C31="V.High",SUMIF('D-1 Off Site Habitat Baseline'!$G$11:$G$258,'G-2 Habitat groups'!A31,'D-1 Off Site Habitat Baseline'!$S$11:$S$258)+SUMIF('D-1 Off Site Habitat Baseline'!$G$11:$G$258,'G-2 Habitat groups'!A31,'D-1 Off Site Habitat Baseline'!$T$11:$T$258),SUMIF('D-1 Off Site Habitat Baseline'!$G$11:$G$258,'G-2 Habitat groups'!A31,'D-1 Off Site Habitat Baseline'!$H$11:$H$258))</f>
        <v>0</v>
      </c>
      <c r="T31" s="111">
        <f>SUMIF('D-1 Off Site Habitat Baseline'!$G$11:$G$258,'G-2 Habitat groups'!A31,'D-1 Off Site Habitat Baseline'!$Q$11:$Q$258)</f>
        <v>0</v>
      </c>
      <c r="U31" s="513">
        <f>SUMIF('D-1 Off Site Habitat Baseline'!$G$11:$G$258,'G-2 Habitat groups'!A31,'D-1 Off Site Habitat Baseline'!$S$11:$S$258)</f>
        <v>0</v>
      </c>
      <c r="V31" s="111">
        <f>SUMIF('D-1 Off Site Habitat Baseline'!$G$11:$G$258,'G-2 Habitat groups'!A31,'D-1 Off Site Habitat Baseline'!$U$11:$U$258)</f>
        <v>0</v>
      </c>
      <c r="W31" s="111">
        <f>SUMIF('D-2 Off Site Habitat Creation'!$F$9:$F$255,'G-2 Habitat groups'!A31,'D-2 Off Site Habitat Creation'!$G$9:$G$255)</f>
        <v>0</v>
      </c>
      <c r="X31" s="111">
        <f>SUMIF('D-2 Off Site Habitat Creation'!$F$9:$F$255,'G-2 Habitat groups'!A31,'D-2 Off Site Habitat Creation'!$AA$9:$AA$255)</f>
        <v>0</v>
      </c>
      <c r="Y31" s="111">
        <f>SUMIF('D-3 Off Site Habitat Enhancment'!$S$12:$S$491,'G-2 Habitat groups'!A31,'D-3 Off Site Habitat Enhancment'!$V$12:$V$491)</f>
        <v>0</v>
      </c>
      <c r="Z31" s="111">
        <f>SUMIF('D-3 Off Site Habitat Enhancment'!$S$12:$S$491,'G-2 Habitat groups'!A31,'D-3 Off Site Habitat Enhancment'!$AP$12:$AP$491)</f>
        <v>0</v>
      </c>
      <c r="AA31" s="111">
        <f t="shared" si="4"/>
        <v>0</v>
      </c>
      <c r="AB31" s="111">
        <f t="shared" si="5"/>
        <v>0</v>
      </c>
      <c r="AC31" s="111">
        <f t="shared" si="6"/>
        <v>0</v>
      </c>
      <c r="AD31" s="111">
        <f t="shared" si="7"/>
        <v>0</v>
      </c>
      <c r="AE31" s="111">
        <f t="shared" si="8"/>
        <v>0</v>
      </c>
      <c r="AF31" s="111">
        <f t="shared" si="9"/>
        <v>0</v>
      </c>
      <c r="AJ31" s="134" t="s">
        <v>1089</v>
      </c>
      <c r="AK31" s="124">
        <f t="shared" si="27"/>
        <v>0</v>
      </c>
      <c r="AL31" s="124">
        <f t="shared" si="28"/>
        <v>0</v>
      </c>
      <c r="AM31" s="124">
        <f t="shared" si="29"/>
        <v>0</v>
      </c>
      <c r="AN31" s="124">
        <f t="shared" si="30"/>
        <v>0</v>
      </c>
      <c r="AO31" s="136">
        <f t="shared" si="31"/>
        <v>0</v>
      </c>
      <c r="AP31" s="136">
        <f t="shared" si="32"/>
        <v>0</v>
      </c>
      <c r="AU31" s="138" t="s">
        <v>1159</v>
      </c>
      <c r="AV31" s="100" t="s">
        <v>135</v>
      </c>
      <c r="AW31" s="111">
        <f t="shared" ref="AW31:AW71" si="33">VLOOKUP($AU31,AllHabsSummaryData,5,FALSE)</f>
        <v>0</v>
      </c>
      <c r="AX31" s="111">
        <f t="shared" ref="AX31:AX71" si="34">VLOOKUP($AU31,AllHabsSummaryData,10,FALSE)</f>
        <v>0</v>
      </c>
      <c r="AY31" s="111">
        <f t="shared" ref="AY31:AY71" si="35">VLOOKUP($AU31,AllHabsSummaryData,15,FALSE)</f>
        <v>0</v>
      </c>
      <c r="AZ31" s="111">
        <f t="shared" ref="AZ31:AZ71" si="36">VLOOKUP($AU31,AllHabsSummaryData,16,FALSE)</f>
        <v>0</v>
      </c>
      <c r="BA31" s="111">
        <f t="shared" ref="BA31:BA71" si="37">VLOOKUP($AU31,AllHabsSummaryData,17,FALSE)</f>
        <v>0</v>
      </c>
      <c r="BB31" s="111">
        <f t="shared" ref="BB31:BB71" si="38">VLOOKUP($AU31,AllHabsSummaryData,18,FALSE)</f>
        <v>0</v>
      </c>
      <c r="BC31" s="111">
        <f t="shared" ref="BC31:BC71" si="39">VLOOKUP($AU31,AllHabsSummaryData,27,FALSE)</f>
        <v>0</v>
      </c>
      <c r="BD31" s="111">
        <f t="shared" ref="BD31:BD71" si="40">VLOOKUP($AU31,AllHabsSummaryData,30,FALSE)</f>
        <v>0</v>
      </c>
      <c r="BE31" s="111">
        <f t="shared" ref="BE31:BE71" si="41">BB31+BD31</f>
        <v>0</v>
      </c>
      <c r="BF31" s="111" t="str">
        <f t="shared" ref="BF31:BF71" si="42">IF(BE31&lt;0,BE31,"")</f>
        <v/>
      </c>
    </row>
    <row r="32" spans="1:59" x14ac:dyDescent="0.25">
      <c r="A32" s="129" t="str">
        <f>'G-1 All Habitats'!B31</f>
        <v>Heathland and shrub - Hazel scrub</v>
      </c>
      <c r="B32" s="100" t="str">
        <f>'G-1 All Habitats'!F31</f>
        <v>Heathland and shrub</v>
      </c>
      <c r="C32" s="100" t="str">
        <f>'G-1 All Habitats'!K31</f>
        <v>Medium</v>
      </c>
      <c r="D32" s="100" t="str">
        <f>'G-1 All Habitats'!M31</f>
        <v>Same broad habitat or a higher distinctiveness habitat required</v>
      </c>
      <c r="E32" s="111">
        <f>IF(C32="V.High",SUMIF('A-1 Site Habitat Baseline'!$G$11:$G$258,'G-2 Habitat groups'!A32,'A-1 Site Habitat Baseline'!$S$11:$S$258)+SUMIF('A-1 Site Habitat Baseline'!$G$11:$G$258,'G-2 Habitat groups'!A32,'A-1 Site Habitat Baseline'!$T$11:$T$258),SUMIF('A-1 Site Habitat Baseline'!$G$11:$G$258,'G-2 Habitat groups'!A32,'A-1 Site Habitat Baseline'!$H$11:$H$258))</f>
        <v>0</v>
      </c>
      <c r="F32" s="111">
        <f>SUMIF('A-1 Site Habitat Baseline'!$G$11:$G$258,'G-2 Habitat groups'!A32,'A-1 Site Habitat Baseline'!$Q$11:$Q$258)</f>
        <v>0</v>
      </c>
      <c r="G32" s="111">
        <f>SUMIF('A-1 Site Habitat Baseline'!$G$11:$G$258,'G-2 Habitat groups'!A32,'A-1 Site Habitat Baseline'!$S$11:$S$258)</f>
        <v>0</v>
      </c>
      <c r="H32" s="111">
        <f>SUMIF('A-1 Site Habitat Baseline'!$G$11:$G$258,'G-2 Habitat groups'!A32,'A-1 Site Habitat Baseline'!$U$11:$U$258)</f>
        <v>0</v>
      </c>
      <c r="I32" s="111">
        <f>SUMIF('A-1 Site Habitat Baseline'!$G$11:$G$258,'G-2 Habitat groups'!A32,'A-1 Site Habitat Baseline'!$W$11:$W$258)</f>
        <v>0</v>
      </c>
      <c r="J32" s="111">
        <f>SUMIF('A-1 Site Habitat Baseline'!$G$11:$G$258,'G-2 Habitat groups'!A32,'A-1 Site Habitat Baseline'!$X$11:$X$258)</f>
        <v>0</v>
      </c>
      <c r="K32" s="111">
        <f>SUMIF('A-2 Site Habitat Creation'!$F$11:$F$256,'G-2 Habitat groups'!A32,'A-2 Site Habitat Creation'!$G$11:$G$256)</f>
        <v>0</v>
      </c>
      <c r="L32" s="111">
        <f>SUMIF('A-2 Site Habitat Creation'!$F$11:$F$256,'G-2 Habitat groups'!A32,'A-2 Site Habitat Creation'!$Y$11:$Y$256)</f>
        <v>0</v>
      </c>
      <c r="M32" s="111">
        <f>SUMIF('A-3 Site Habitat Enhancement'!$S$12:$S$257,'G-2 Habitat groups'!A32,'A-3 Site Habitat Enhancement'!$V$12:$V$257)</f>
        <v>0</v>
      </c>
      <c r="N32" s="111">
        <f>SUMIF('A-3 Site Habitat Enhancement'!$S$12:$S$257,'G-2 Habitat groups'!A32,'A-3 Site Habitat Enhancement'!$AN$12:$AN$257)</f>
        <v>0</v>
      </c>
      <c r="O32" s="111">
        <f t="shared" si="0"/>
        <v>0</v>
      </c>
      <c r="P32" s="111">
        <f t="shared" si="1"/>
        <v>0</v>
      </c>
      <c r="Q32" s="111">
        <f t="shared" si="2"/>
        <v>0</v>
      </c>
      <c r="R32" s="111">
        <f t="shared" si="3"/>
        <v>0</v>
      </c>
      <c r="S32" s="111">
        <f>IF(C32="V.High",SUMIF('D-1 Off Site Habitat Baseline'!$G$11:$G$258,'G-2 Habitat groups'!A32,'D-1 Off Site Habitat Baseline'!$S$11:$S$258)+SUMIF('D-1 Off Site Habitat Baseline'!$G$11:$G$258,'G-2 Habitat groups'!A32,'D-1 Off Site Habitat Baseline'!$T$11:$T$258),SUMIF('D-1 Off Site Habitat Baseline'!$G$11:$G$258,'G-2 Habitat groups'!A32,'D-1 Off Site Habitat Baseline'!$H$11:$H$258))</f>
        <v>0</v>
      </c>
      <c r="T32" s="111">
        <f>SUMIF('D-1 Off Site Habitat Baseline'!$G$11:$G$258,'G-2 Habitat groups'!A32,'D-1 Off Site Habitat Baseline'!$Q$11:$Q$258)</f>
        <v>0</v>
      </c>
      <c r="U32" s="513">
        <f>SUMIF('D-1 Off Site Habitat Baseline'!$G$11:$G$258,'G-2 Habitat groups'!A32,'D-1 Off Site Habitat Baseline'!$S$11:$S$258)</f>
        <v>0</v>
      </c>
      <c r="V32" s="111">
        <f>SUMIF('D-1 Off Site Habitat Baseline'!$G$11:$G$258,'G-2 Habitat groups'!A32,'D-1 Off Site Habitat Baseline'!$U$11:$U$258)</f>
        <v>0</v>
      </c>
      <c r="W32" s="111">
        <f>SUMIF('D-2 Off Site Habitat Creation'!$F$9:$F$255,'G-2 Habitat groups'!A32,'D-2 Off Site Habitat Creation'!$G$9:$G$255)</f>
        <v>0</v>
      </c>
      <c r="X32" s="111">
        <f>SUMIF('D-2 Off Site Habitat Creation'!$F$9:$F$255,'G-2 Habitat groups'!A32,'D-2 Off Site Habitat Creation'!$AA$9:$AA$255)</f>
        <v>0</v>
      </c>
      <c r="Y32" s="111">
        <f>SUMIF('D-3 Off Site Habitat Enhancment'!$S$12:$S$491,'G-2 Habitat groups'!A32,'D-3 Off Site Habitat Enhancment'!$V$12:$V$491)</f>
        <v>0</v>
      </c>
      <c r="Z32" s="111">
        <f>SUMIF('D-3 Off Site Habitat Enhancment'!$S$12:$S$491,'G-2 Habitat groups'!A32,'D-3 Off Site Habitat Enhancment'!$AP$12:$AP$491)</f>
        <v>0</v>
      </c>
      <c r="AA32" s="111">
        <f t="shared" si="4"/>
        <v>0</v>
      </c>
      <c r="AB32" s="111">
        <f t="shared" si="5"/>
        <v>0</v>
      </c>
      <c r="AC32" s="111">
        <f t="shared" si="6"/>
        <v>0</v>
      </c>
      <c r="AD32" s="111">
        <f t="shared" si="7"/>
        <v>0</v>
      </c>
      <c r="AE32" s="111">
        <f t="shared" si="8"/>
        <v>0</v>
      </c>
      <c r="AF32" s="111">
        <f t="shared" si="9"/>
        <v>0</v>
      </c>
      <c r="AJ32" s="134" t="s">
        <v>1495</v>
      </c>
      <c r="AK32" s="124">
        <f t="shared" si="27"/>
        <v>0</v>
      </c>
      <c r="AL32" s="124">
        <f t="shared" si="28"/>
        <v>0</v>
      </c>
      <c r="AM32" s="124">
        <f t="shared" si="29"/>
        <v>0</v>
      </c>
      <c r="AN32" s="124">
        <f t="shared" si="30"/>
        <v>0</v>
      </c>
      <c r="AO32" s="136">
        <f t="shared" si="31"/>
        <v>0</v>
      </c>
      <c r="AP32" s="136">
        <f t="shared" si="32"/>
        <v>0</v>
      </c>
      <c r="AU32" s="138" t="s">
        <v>847</v>
      </c>
      <c r="AV32" s="100" t="s">
        <v>135</v>
      </c>
      <c r="AW32" s="111">
        <f t="shared" si="33"/>
        <v>0</v>
      </c>
      <c r="AX32" s="111">
        <f t="shared" si="34"/>
        <v>0</v>
      </c>
      <c r="AY32" s="111">
        <f t="shared" si="35"/>
        <v>0</v>
      </c>
      <c r="AZ32" s="111">
        <f t="shared" si="36"/>
        <v>0</v>
      </c>
      <c r="BA32" s="111">
        <f t="shared" si="37"/>
        <v>0</v>
      </c>
      <c r="BB32" s="111">
        <f t="shared" si="38"/>
        <v>0</v>
      </c>
      <c r="BC32" s="111">
        <f t="shared" si="39"/>
        <v>0</v>
      </c>
      <c r="BD32" s="111">
        <f t="shared" si="40"/>
        <v>0</v>
      </c>
      <c r="BE32" s="111">
        <f t="shared" si="41"/>
        <v>0</v>
      </c>
      <c r="BF32" s="111" t="str">
        <f t="shared" si="42"/>
        <v/>
      </c>
    </row>
    <row r="33" spans="1:58" x14ac:dyDescent="0.25">
      <c r="A33" s="129" t="str">
        <f>'G-1 All Habitats'!B32</f>
        <v>Heathland and shrub - Lowland Heathland</v>
      </c>
      <c r="B33" s="100" t="str">
        <f>'G-1 All Habitats'!F32</f>
        <v>Heathland and shrub</v>
      </c>
      <c r="C33" s="100" t="str">
        <f>'G-1 All Habitats'!K32</f>
        <v>High</v>
      </c>
      <c r="D33" s="100" t="str">
        <f>'G-1 All Habitats'!M32</f>
        <v>Same habitat required</v>
      </c>
      <c r="E33" s="111">
        <f>IF(C33="V.High",SUMIF('A-1 Site Habitat Baseline'!$G$11:$G$258,'G-2 Habitat groups'!A33,'A-1 Site Habitat Baseline'!$S$11:$S$258)+SUMIF('A-1 Site Habitat Baseline'!$G$11:$G$258,'G-2 Habitat groups'!A33,'A-1 Site Habitat Baseline'!$T$11:$T$258),SUMIF('A-1 Site Habitat Baseline'!$G$11:$G$258,'G-2 Habitat groups'!A33,'A-1 Site Habitat Baseline'!$H$11:$H$258))</f>
        <v>0</v>
      </c>
      <c r="F33" s="111">
        <f>SUMIF('A-1 Site Habitat Baseline'!$G$11:$G$258,'G-2 Habitat groups'!A33,'A-1 Site Habitat Baseline'!$Q$11:$Q$258)</f>
        <v>0</v>
      </c>
      <c r="G33" s="111">
        <f>SUMIF('A-1 Site Habitat Baseline'!$G$11:$G$258,'G-2 Habitat groups'!A33,'A-1 Site Habitat Baseline'!$S$11:$S$258)</f>
        <v>0</v>
      </c>
      <c r="H33" s="111">
        <f>SUMIF('A-1 Site Habitat Baseline'!$G$11:$G$258,'G-2 Habitat groups'!A33,'A-1 Site Habitat Baseline'!$U$11:$U$258)</f>
        <v>0</v>
      </c>
      <c r="I33" s="111">
        <f>SUMIF('A-1 Site Habitat Baseline'!$G$11:$G$258,'G-2 Habitat groups'!A33,'A-1 Site Habitat Baseline'!$W$11:$W$258)</f>
        <v>0</v>
      </c>
      <c r="J33" s="111">
        <f>SUMIF('A-1 Site Habitat Baseline'!$G$11:$G$258,'G-2 Habitat groups'!A33,'A-1 Site Habitat Baseline'!$X$11:$X$258)</f>
        <v>0</v>
      </c>
      <c r="K33" s="111">
        <f>SUMIF('A-2 Site Habitat Creation'!$F$11:$F$256,'G-2 Habitat groups'!A33,'A-2 Site Habitat Creation'!$G$11:$G$256)</f>
        <v>0</v>
      </c>
      <c r="L33" s="111">
        <f>SUMIF('A-2 Site Habitat Creation'!$F$11:$F$256,'G-2 Habitat groups'!A33,'A-2 Site Habitat Creation'!$Y$11:$Y$256)</f>
        <v>0</v>
      </c>
      <c r="M33" s="111">
        <f>SUMIF('A-3 Site Habitat Enhancement'!$S$12:$S$257,'G-2 Habitat groups'!A33,'A-3 Site Habitat Enhancement'!$V$12:$V$257)</f>
        <v>0</v>
      </c>
      <c r="N33" s="111">
        <f>SUMIF('A-3 Site Habitat Enhancement'!$S$12:$S$257,'G-2 Habitat groups'!A33,'A-3 Site Habitat Enhancement'!$AN$12:$AN$257)</f>
        <v>0</v>
      </c>
      <c r="O33" s="111">
        <f t="shared" si="0"/>
        <v>0</v>
      </c>
      <c r="P33" s="111">
        <f t="shared" si="1"/>
        <v>0</v>
      </c>
      <c r="Q33" s="111">
        <f t="shared" si="2"/>
        <v>0</v>
      </c>
      <c r="R33" s="111">
        <f t="shared" si="3"/>
        <v>0</v>
      </c>
      <c r="S33" s="111">
        <f>IF(C33="V.High",SUMIF('D-1 Off Site Habitat Baseline'!$G$11:$G$258,'G-2 Habitat groups'!A33,'D-1 Off Site Habitat Baseline'!$S$11:$S$258)+SUMIF('D-1 Off Site Habitat Baseline'!$G$11:$G$258,'G-2 Habitat groups'!A33,'D-1 Off Site Habitat Baseline'!$T$11:$T$258),SUMIF('D-1 Off Site Habitat Baseline'!$G$11:$G$258,'G-2 Habitat groups'!A33,'D-1 Off Site Habitat Baseline'!$H$11:$H$258))</f>
        <v>0</v>
      </c>
      <c r="T33" s="111">
        <f>SUMIF('D-1 Off Site Habitat Baseline'!$G$11:$G$258,'G-2 Habitat groups'!A33,'D-1 Off Site Habitat Baseline'!$Q$11:$Q$258)</f>
        <v>0</v>
      </c>
      <c r="U33" s="513">
        <f>SUMIF('D-1 Off Site Habitat Baseline'!$G$11:$G$258,'G-2 Habitat groups'!A33,'D-1 Off Site Habitat Baseline'!$S$11:$S$258)</f>
        <v>0</v>
      </c>
      <c r="V33" s="111">
        <f>SUMIF('D-1 Off Site Habitat Baseline'!$G$11:$G$258,'G-2 Habitat groups'!A33,'D-1 Off Site Habitat Baseline'!$U$11:$U$258)</f>
        <v>0</v>
      </c>
      <c r="W33" s="111">
        <f>SUMIF('D-2 Off Site Habitat Creation'!$F$9:$F$255,'G-2 Habitat groups'!A33,'D-2 Off Site Habitat Creation'!$G$9:$G$255)</f>
        <v>0</v>
      </c>
      <c r="X33" s="111">
        <f>SUMIF('D-2 Off Site Habitat Creation'!$F$9:$F$255,'G-2 Habitat groups'!A33,'D-2 Off Site Habitat Creation'!$AA$9:$AA$255)</f>
        <v>0</v>
      </c>
      <c r="Y33" s="111">
        <f>SUMIF('D-3 Off Site Habitat Enhancment'!$S$12:$S$491,'G-2 Habitat groups'!A33,'D-3 Off Site Habitat Enhancment'!$V$12:$V$491)</f>
        <v>0</v>
      </c>
      <c r="Z33" s="111">
        <f>SUMIF('D-3 Off Site Habitat Enhancment'!$S$12:$S$491,'G-2 Habitat groups'!A33,'D-3 Off Site Habitat Enhancment'!$AP$12:$AP$491)</f>
        <v>0</v>
      </c>
      <c r="AA33" s="111">
        <f t="shared" si="4"/>
        <v>0</v>
      </c>
      <c r="AB33" s="111">
        <f t="shared" si="5"/>
        <v>0</v>
      </c>
      <c r="AC33" s="111">
        <f t="shared" si="6"/>
        <v>0</v>
      </c>
      <c r="AD33" s="111">
        <f t="shared" si="7"/>
        <v>0</v>
      </c>
      <c r="AE33" s="111">
        <f t="shared" si="8"/>
        <v>0</v>
      </c>
      <c r="AF33" s="111">
        <f t="shared" si="9"/>
        <v>0</v>
      </c>
      <c r="AU33" s="138" t="s">
        <v>154</v>
      </c>
      <c r="AV33" s="100" t="s">
        <v>135</v>
      </c>
      <c r="AW33" s="111">
        <f t="shared" si="33"/>
        <v>0</v>
      </c>
      <c r="AX33" s="111">
        <f t="shared" si="34"/>
        <v>0</v>
      </c>
      <c r="AY33" s="111">
        <f t="shared" si="35"/>
        <v>0</v>
      </c>
      <c r="AZ33" s="111">
        <f t="shared" si="36"/>
        <v>0</v>
      </c>
      <c r="BA33" s="111">
        <f t="shared" si="37"/>
        <v>0</v>
      </c>
      <c r="BB33" s="111">
        <f t="shared" si="38"/>
        <v>0</v>
      </c>
      <c r="BC33" s="111">
        <f t="shared" si="39"/>
        <v>0</v>
      </c>
      <c r="BD33" s="111">
        <f t="shared" si="40"/>
        <v>0</v>
      </c>
      <c r="BE33" s="111">
        <f t="shared" si="41"/>
        <v>0</v>
      </c>
      <c r="BF33" s="111" t="str">
        <f t="shared" si="42"/>
        <v/>
      </c>
    </row>
    <row r="34" spans="1:58" x14ac:dyDescent="0.25">
      <c r="A34" s="129" t="str">
        <f>'G-1 All Habitats'!B33</f>
        <v>Heathland and shrub - Mixed scrub</v>
      </c>
      <c r="B34" s="100" t="str">
        <f>'G-1 All Habitats'!F33</f>
        <v>Heathland and shrub</v>
      </c>
      <c r="C34" s="100" t="str">
        <f>'G-1 All Habitats'!K33</f>
        <v>Medium</v>
      </c>
      <c r="D34" s="100" t="str">
        <f>'G-1 All Habitats'!M33</f>
        <v>Same broad habitat or a higher distinctiveness habitat required</v>
      </c>
      <c r="E34" s="111">
        <f>IF(C34="V.High",SUMIF('A-1 Site Habitat Baseline'!$G$11:$G$258,'G-2 Habitat groups'!A34,'A-1 Site Habitat Baseline'!$S$11:$S$258)+SUMIF('A-1 Site Habitat Baseline'!$G$11:$G$258,'G-2 Habitat groups'!A34,'A-1 Site Habitat Baseline'!$T$11:$T$258),SUMIF('A-1 Site Habitat Baseline'!$G$11:$G$258,'G-2 Habitat groups'!A34,'A-1 Site Habitat Baseline'!$H$11:$H$258))</f>
        <v>5.8299999999999998E-2</v>
      </c>
      <c r="F34" s="111">
        <f>SUMIF('A-1 Site Habitat Baseline'!$G$11:$G$258,'G-2 Habitat groups'!A34,'A-1 Site Habitat Baseline'!$Q$11:$Q$258)</f>
        <v>0.23319999999999999</v>
      </c>
      <c r="G34" s="111">
        <f>SUMIF('A-1 Site Habitat Baseline'!$G$11:$G$258,'G-2 Habitat groups'!A34,'A-1 Site Habitat Baseline'!$S$11:$S$258)</f>
        <v>0</v>
      </c>
      <c r="H34" s="111">
        <f>SUMIF('A-1 Site Habitat Baseline'!$G$11:$G$258,'G-2 Habitat groups'!A34,'A-1 Site Habitat Baseline'!$U$11:$U$258)</f>
        <v>0</v>
      </c>
      <c r="I34" s="111">
        <f>SUMIF('A-1 Site Habitat Baseline'!$G$11:$G$258,'G-2 Habitat groups'!A34,'A-1 Site Habitat Baseline'!$W$11:$W$258)</f>
        <v>5.8299999999999998E-2</v>
      </c>
      <c r="J34" s="111">
        <f>SUMIF('A-1 Site Habitat Baseline'!$G$11:$G$258,'G-2 Habitat groups'!A34,'A-1 Site Habitat Baseline'!$X$11:$X$258)</f>
        <v>0.23319999999999999</v>
      </c>
      <c r="K34" s="111">
        <f>SUMIF('A-2 Site Habitat Creation'!$F$11:$F$256,'G-2 Habitat groups'!A34,'A-2 Site Habitat Creation'!$G$11:$G$256)</f>
        <v>3.9199999999999999E-2</v>
      </c>
      <c r="L34" s="111">
        <f>SUMIF('A-2 Site Habitat Creation'!$F$11:$F$256,'G-2 Habitat groups'!A34,'A-2 Site Habitat Creation'!$Y$11:$Y$256)</f>
        <v>0.26242948050816001</v>
      </c>
      <c r="M34" s="111">
        <f>SUMIF('A-3 Site Habitat Enhancement'!$S$12:$S$257,'G-2 Habitat groups'!A34,'A-3 Site Habitat Enhancement'!$V$12:$V$257)</f>
        <v>0</v>
      </c>
      <c r="N34" s="111">
        <f>SUMIF('A-3 Site Habitat Enhancement'!$S$12:$S$257,'G-2 Habitat groups'!A34,'A-3 Site Habitat Enhancement'!$AN$12:$AN$257)</f>
        <v>0</v>
      </c>
      <c r="O34" s="111">
        <f t="shared" si="0"/>
        <v>3.9199999999999999E-2</v>
      </c>
      <c r="P34" s="111">
        <f t="shared" si="1"/>
        <v>0.26242948050816001</v>
      </c>
      <c r="Q34" s="111">
        <f t="shared" si="2"/>
        <v>-1.9099999999999999E-2</v>
      </c>
      <c r="R34" s="111">
        <f t="shared" si="3"/>
        <v>2.9229480508160016E-2</v>
      </c>
      <c r="S34" s="111">
        <f>IF(C34="V.High",SUMIF('D-1 Off Site Habitat Baseline'!$G$11:$G$258,'G-2 Habitat groups'!A34,'D-1 Off Site Habitat Baseline'!$S$11:$S$258)+SUMIF('D-1 Off Site Habitat Baseline'!$G$11:$G$258,'G-2 Habitat groups'!A34,'D-1 Off Site Habitat Baseline'!$T$11:$T$258),SUMIF('D-1 Off Site Habitat Baseline'!$G$11:$G$258,'G-2 Habitat groups'!A34,'D-1 Off Site Habitat Baseline'!$H$11:$H$258))</f>
        <v>0</v>
      </c>
      <c r="T34" s="111">
        <f>SUMIF('D-1 Off Site Habitat Baseline'!$G$11:$G$258,'G-2 Habitat groups'!A34,'D-1 Off Site Habitat Baseline'!$Q$11:$Q$258)</f>
        <v>0</v>
      </c>
      <c r="U34" s="513">
        <f>SUMIF('D-1 Off Site Habitat Baseline'!$G$11:$G$258,'G-2 Habitat groups'!A34,'D-1 Off Site Habitat Baseline'!$S$11:$S$258)</f>
        <v>0</v>
      </c>
      <c r="V34" s="111">
        <f>SUMIF('D-1 Off Site Habitat Baseline'!$G$11:$G$258,'G-2 Habitat groups'!A34,'D-1 Off Site Habitat Baseline'!$U$11:$U$258)</f>
        <v>0</v>
      </c>
      <c r="W34" s="111">
        <f>SUMIF('D-2 Off Site Habitat Creation'!$F$9:$F$255,'G-2 Habitat groups'!A34,'D-2 Off Site Habitat Creation'!$G$9:$G$255)</f>
        <v>0</v>
      </c>
      <c r="X34" s="111">
        <f>SUMIF('D-2 Off Site Habitat Creation'!$F$9:$F$255,'G-2 Habitat groups'!A34,'D-2 Off Site Habitat Creation'!$AA$9:$AA$255)</f>
        <v>0</v>
      </c>
      <c r="Y34" s="111">
        <f>SUMIF('D-3 Off Site Habitat Enhancment'!$S$12:$S$491,'G-2 Habitat groups'!A34,'D-3 Off Site Habitat Enhancment'!$V$12:$V$491)</f>
        <v>0</v>
      </c>
      <c r="Z34" s="111">
        <f>SUMIF('D-3 Off Site Habitat Enhancment'!$S$12:$S$491,'G-2 Habitat groups'!A34,'D-3 Off Site Habitat Enhancment'!$AP$12:$AP$491)</f>
        <v>0</v>
      </c>
      <c r="AA34" s="111">
        <f t="shared" si="4"/>
        <v>0</v>
      </c>
      <c r="AB34" s="111">
        <f t="shared" si="5"/>
        <v>0</v>
      </c>
      <c r="AC34" s="111">
        <f t="shared" si="6"/>
        <v>0</v>
      </c>
      <c r="AD34" s="111">
        <f t="shared" si="7"/>
        <v>0</v>
      </c>
      <c r="AE34" s="111">
        <f t="shared" si="8"/>
        <v>-1.9099999999999999E-2</v>
      </c>
      <c r="AF34" s="111">
        <f t="shared" si="9"/>
        <v>2.9229480508160016E-2</v>
      </c>
      <c r="AU34" s="138" t="s">
        <v>250</v>
      </c>
      <c r="AV34" s="100" t="s">
        <v>135</v>
      </c>
      <c r="AW34" s="111">
        <f t="shared" si="33"/>
        <v>0</v>
      </c>
      <c r="AX34" s="111">
        <f t="shared" si="34"/>
        <v>0</v>
      </c>
      <c r="AY34" s="111">
        <f t="shared" si="35"/>
        <v>0</v>
      </c>
      <c r="AZ34" s="111">
        <f t="shared" si="36"/>
        <v>0</v>
      </c>
      <c r="BA34" s="111">
        <f t="shared" si="37"/>
        <v>0</v>
      </c>
      <c r="BB34" s="111">
        <f t="shared" si="38"/>
        <v>0</v>
      </c>
      <c r="BC34" s="111">
        <f t="shared" si="39"/>
        <v>0</v>
      </c>
      <c r="BD34" s="111">
        <f t="shared" si="40"/>
        <v>0</v>
      </c>
      <c r="BE34" s="111">
        <f t="shared" si="41"/>
        <v>0</v>
      </c>
      <c r="BF34" s="111" t="str">
        <f t="shared" si="42"/>
        <v/>
      </c>
    </row>
    <row r="35" spans="1:58" x14ac:dyDescent="0.25">
      <c r="A35" s="129" t="str">
        <f>'G-1 All Habitats'!B34</f>
        <v>Heathland and shrub - Mountain heaths and willow scrub</v>
      </c>
      <c r="B35" s="100" t="str">
        <f>'G-1 All Habitats'!F34</f>
        <v>Heathland and shrub</v>
      </c>
      <c r="C35" s="100" t="str">
        <f>'G-1 All Habitats'!K34</f>
        <v>V.High</v>
      </c>
      <c r="D35" s="100" t="str">
        <f>'G-1 All Habitats'!M34</f>
        <v>Bespoke compensation likely to be required</v>
      </c>
      <c r="E35" s="111">
        <f>IF(C35="V.High",SUMIF('A-1 Site Habitat Baseline'!$G$11:$G$258,'G-2 Habitat groups'!A35,'A-1 Site Habitat Baseline'!$S$11:$S$258)+SUMIF('A-1 Site Habitat Baseline'!$G$11:$G$258,'G-2 Habitat groups'!A35,'A-1 Site Habitat Baseline'!$T$11:$T$258),SUMIF('A-1 Site Habitat Baseline'!$G$11:$G$258,'G-2 Habitat groups'!A35,'A-1 Site Habitat Baseline'!$H$11:$H$258))</f>
        <v>0</v>
      </c>
      <c r="F35" s="111">
        <f>SUMIF('A-1 Site Habitat Baseline'!$G$11:$G$258,'G-2 Habitat groups'!A35,'A-1 Site Habitat Baseline'!$Q$11:$Q$258)</f>
        <v>0</v>
      </c>
      <c r="G35" s="111">
        <f>SUMIF('A-1 Site Habitat Baseline'!$G$11:$G$258,'G-2 Habitat groups'!A35,'A-1 Site Habitat Baseline'!$S$11:$S$258)</f>
        <v>0</v>
      </c>
      <c r="H35" s="111">
        <f>SUMIF('A-1 Site Habitat Baseline'!$G$11:$G$258,'G-2 Habitat groups'!A35,'A-1 Site Habitat Baseline'!$U$11:$U$258)</f>
        <v>0</v>
      </c>
      <c r="I35" s="111">
        <f>SUMIF('A-1 Site Habitat Baseline'!$G$11:$G$258,'G-2 Habitat groups'!A35,'A-1 Site Habitat Baseline'!$W$11:$W$258)</f>
        <v>0</v>
      </c>
      <c r="J35" s="111">
        <f>SUMIF('A-1 Site Habitat Baseline'!$G$11:$G$258,'G-2 Habitat groups'!A35,'A-1 Site Habitat Baseline'!$X$11:$X$258)</f>
        <v>0</v>
      </c>
      <c r="K35" s="111">
        <f>SUMIF('A-2 Site Habitat Creation'!$F$11:$F$256,'G-2 Habitat groups'!A35,'A-2 Site Habitat Creation'!$G$11:$G$256)</f>
        <v>0</v>
      </c>
      <c r="L35" s="111">
        <f>SUMIF('A-2 Site Habitat Creation'!$F$11:$F$256,'G-2 Habitat groups'!A35,'A-2 Site Habitat Creation'!$Y$11:$Y$256)</f>
        <v>0</v>
      </c>
      <c r="M35" s="111">
        <f>SUMIF('A-3 Site Habitat Enhancement'!$S$12:$S$257,'G-2 Habitat groups'!A35,'A-3 Site Habitat Enhancement'!$V$12:$V$257)</f>
        <v>0</v>
      </c>
      <c r="N35" s="111">
        <f>SUMIF('A-3 Site Habitat Enhancement'!$S$12:$S$257,'G-2 Habitat groups'!A35,'A-3 Site Habitat Enhancement'!$AN$12:$AN$257)</f>
        <v>0</v>
      </c>
      <c r="O35" s="111">
        <f t="shared" si="0"/>
        <v>0</v>
      </c>
      <c r="P35" s="111">
        <f t="shared" si="1"/>
        <v>0</v>
      </c>
      <c r="Q35" s="111">
        <f t="shared" si="2"/>
        <v>0</v>
      </c>
      <c r="R35" s="111">
        <f t="shared" si="3"/>
        <v>0</v>
      </c>
      <c r="S35" s="111">
        <f>IF(C35="V.High",SUMIF('D-1 Off Site Habitat Baseline'!$G$11:$G$258,'G-2 Habitat groups'!A35,'D-1 Off Site Habitat Baseline'!$S$11:$S$258)+SUMIF('D-1 Off Site Habitat Baseline'!$G$11:$G$258,'G-2 Habitat groups'!A35,'D-1 Off Site Habitat Baseline'!$T$11:$T$258),SUMIF('D-1 Off Site Habitat Baseline'!$G$11:$G$258,'G-2 Habitat groups'!A35,'D-1 Off Site Habitat Baseline'!$H$11:$H$258))</f>
        <v>0</v>
      </c>
      <c r="T35" s="111">
        <f>SUMIF('D-1 Off Site Habitat Baseline'!$G$11:$G$258,'G-2 Habitat groups'!A35,'D-1 Off Site Habitat Baseline'!$Q$11:$Q$258)</f>
        <v>0</v>
      </c>
      <c r="U35" s="513">
        <f>SUMIF('D-1 Off Site Habitat Baseline'!$G$11:$G$258,'G-2 Habitat groups'!A35,'D-1 Off Site Habitat Baseline'!$S$11:$S$258)</f>
        <v>0</v>
      </c>
      <c r="V35" s="111">
        <f>SUMIF('D-1 Off Site Habitat Baseline'!$G$11:$G$258,'G-2 Habitat groups'!A35,'D-1 Off Site Habitat Baseline'!$U$11:$U$258)</f>
        <v>0</v>
      </c>
      <c r="W35" s="111">
        <f>SUMIF('D-2 Off Site Habitat Creation'!$F$9:$F$255,'G-2 Habitat groups'!A35,'D-2 Off Site Habitat Creation'!$G$9:$G$255)</f>
        <v>0</v>
      </c>
      <c r="X35" s="111">
        <f>SUMIF('D-2 Off Site Habitat Creation'!$F$9:$F$255,'G-2 Habitat groups'!A35,'D-2 Off Site Habitat Creation'!$AA$9:$AA$255)</f>
        <v>0</v>
      </c>
      <c r="Y35" s="111">
        <f>SUMIF('D-3 Off Site Habitat Enhancment'!$S$12:$S$491,'G-2 Habitat groups'!A35,'D-3 Off Site Habitat Enhancment'!$V$12:$V$491)</f>
        <v>0</v>
      </c>
      <c r="Z35" s="111">
        <f>SUMIF('D-3 Off Site Habitat Enhancment'!$S$12:$S$491,'G-2 Habitat groups'!A35,'D-3 Off Site Habitat Enhancment'!$AP$12:$AP$491)</f>
        <v>0</v>
      </c>
      <c r="AA35" s="111">
        <f t="shared" si="4"/>
        <v>0</v>
      </c>
      <c r="AB35" s="111">
        <f t="shared" si="5"/>
        <v>0</v>
      </c>
      <c r="AC35" s="111">
        <f t="shared" si="6"/>
        <v>0</v>
      </c>
      <c r="AD35" s="111">
        <f t="shared" si="7"/>
        <v>0</v>
      </c>
      <c r="AE35" s="111">
        <f t="shared" si="8"/>
        <v>0</v>
      </c>
      <c r="AF35" s="111">
        <f t="shared" si="9"/>
        <v>0</v>
      </c>
      <c r="AU35" s="138" t="s">
        <v>155</v>
      </c>
      <c r="AV35" s="100" t="s">
        <v>135</v>
      </c>
      <c r="AW35" s="111">
        <f t="shared" si="33"/>
        <v>0</v>
      </c>
      <c r="AX35" s="111">
        <f t="shared" si="34"/>
        <v>0</v>
      </c>
      <c r="AY35" s="111">
        <f t="shared" si="35"/>
        <v>0</v>
      </c>
      <c r="AZ35" s="111">
        <f t="shared" si="36"/>
        <v>0</v>
      </c>
      <c r="BA35" s="111">
        <f t="shared" si="37"/>
        <v>0</v>
      </c>
      <c r="BB35" s="111">
        <f t="shared" si="38"/>
        <v>0</v>
      </c>
      <c r="BC35" s="111">
        <f t="shared" si="39"/>
        <v>0</v>
      </c>
      <c r="BD35" s="111">
        <f t="shared" si="40"/>
        <v>0</v>
      </c>
      <c r="BE35" s="111">
        <f t="shared" si="41"/>
        <v>0</v>
      </c>
      <c r="BF35" s="111" t="str">
        <f t="shared" si="42"/>
        <v/>
      </c>
    </row>
    <row r="36" spans="1:58" x14ac:dyDescent="0.25">
      <c r="A36" s="129" t="str">
        <f>'G-1 All Habitats'!B35</f>
        <v>Heathland and shrub - Rhododendron scrub</v>
      </c>
      <c r="B36" s="100" t="str">
        <f>'G-1 All Habitats'!F35</f>
        <v>Heathland and shrub</v>
      </c>
      <c r="C36" s="100" t="str">
        <f>'G-1 All Habitats'!K35</f>
        <v>Low</v>
      </c>
      <c r="D36" s="100" t="str">
        <f>'G-1 All Habitats'!M35</f>
        <v>Same distinctiveness or better habitat required</v>
      </c>
      <c r="E36" s="111">
        <f>IF(C36="V.High",SUMIF('A-1 Site Habitat Baseline'!$G$11:$G$258,'G-2 Habitat groups'!A36,'A-1 Site Habitat Baseline'!$S$11:$S$258)+SUMIF('A-1 Site Habitat Baseline'!$G$11:$G$258,'G-2 Habitat groups'!A36,'A-1 Site Habitat Baseline'!$T$11:$T$258),SUMIF('A-1 Site Habitat Baseline'!$G$11:$G$258,'G-2 Habitat groups'!A36,'A-1 Site Habitat Baseline'!$H$11:$H$258))</f>
        <v>0</v>
      </c>
      <c r="F36" s="111">
        <f>SUMIF('A-1 Site Habitat Baseline'!$G$11:$G$258,'G-2 Habitat groups'!A36,'A-1 Site Habitat Baseline'!$Q$11:$Q$258)</f>
        <v>0</v>
      </c>
      <c r="G36" s="111">
        <f>SUMIF('A-1 Site Habitat Baseline'!$G$11:$G$258,'G-2 Habitat groups'!A36,'A-1 Site Habitat Baseline'!$S$11:$S$258)</f>
        <v>0</v>
      </c>
      <c r="H36" s="111">
        <f>SUMIF('A-1 Site Habitat Baseline'!$G$11:$G$258,'G-2 Habitat groups'!A36,'A-1 Site Habitat Baseline'!$U$11:$U$258)</f>
        <v>0</v>
      </c>
      <c r="I36" s="111">
        <f>SUMIF('A-1 Site Habitat Baseline'!$G$11:$G$258,'G-2 Habitat groups'!A36,'A-1 Site Habitat Baseline'!$W$11:$W$258)</f>
        <v>0</v>
      </c>
      <c r="J36" s="111">
        <f>SUMIF('A-1 Site Habitat Baseline'!$G$11:$G$258,'G-2 Habitat groups'!A36,'A-1 Site Habitat Baseline'!$X$11:$X$258)</f>
        <v>0</v>
      </c>
      <c r="K36" s="111">
        <f>SUMIF('A-2 Site Habitat Creation'!$F$11:$F$256,'G-2 Habitat groups'!A36,'A-2 Site Habitat Creation'!$G$11:$G$256)</f>
        <v>0</v>
      </c>
      <c r="L36" s="111">
        <f>SUMIF('A-2 Site Habitat Creation'!$F$11:$F$256,'G-2 Habitat groups'!A36,'A-2 Site Habitat Creation'!$Y$11:$Y$256)</f>
        <v>0</v>
      </c>
      <c r="M36" s="111">
        <f>SUMIF('A-3 Site Habitat Enhancement'!$S$12:$S$257,'G-2 Habitat groups'!A36,'A-3 Site Habitat Enhancement'!$V$12:$V$257)</f>
        <v>0</v>
      </c>
      <c r="N36" s="111">
        <f>SUMIF('A-3 Site Habitat Enhancement'!$S$12:$S$257,'G-2 Habitat groups'!A36,'A-3 Site Habitat Enhancement'!$AN$12:$AN$257)</f>
        <v>0</v>
      </c>
      <c r="O36" s="111">
        <f t="shared" ref="O36:O67" si="43">G36+K36+M36</f>
        <v>0</v>
      </c>
      <c r="P36" s="111">
        <f t="shared" ref="P36:P67" si="44">H36+L36+N36</f>
        <v>0</v>
      </c>
      <c r="Q36" s="111">
        <f t="shared" ref="Q36:Q67" si="45">O36-E36</f>
        <v>0</v>
      </c>
      <c r="R36" s="111">
        <f t="shared" ref="R36:R67" si="46">P36-F36</f>
        <v>0</v>
      </c>
      <c r="S36" s="111">
        <f>IF(C36="V.High",SUMIF('D-1 Off Site Habitat Baseline'!$G$11:$G$258,'G-2 Habitat groups'!A36,'D-1 Off Site Habitat Baseline'!$S$11:$S$258)+SUMIF('D-1 Off Site Habitat Baseline'!$G$11:$G$258,'G-2 Habitat groups'!A36,'D-1 Off Site Habitat Baseline'!$T$11:$T$258),SUMIF('D-1 Off Site Habitat Baseline'!$G$11:$G$258,'G-2 Habitat groups'!A36,'D-1 Off Site Habitat Baseline'!$H$11:$H$258))</f>
        <v>0</v>
      </c>
      <c r="T36" s="111">
        <f>SUMIF('D-1 Off Site Habitat Baseline'!$G$11:$G$258,'G-2 Habitat groups'!A36,'D-1 Off Site Habitat Baseline'!$Q$11:$Q$258)</f>
        <v>0</v>
      </c>
      <c r="U36" s="513">
        <f>SUMIF('D-1 Off Site Habitat Baseline'!$G$11:$G$258,'G-2 Habitat groups'!A36,'D-1 Off Site Habitat Baseline'!$S$11:$S$258)</f>
        <v>0</v>
      </c>
      <c r="V36" s="111">
        <f>SUMIF('D-1 Off Site Habitat Baseline'!$G$11:$G$258,'G-2 Habitat groups'!A36,'D-1 Off Site Habitat Baseline'!$U$11:$U$258)</f>
        <v>0</v>
      </c>
      <c r="W36" s="111">
        <f>SUMIF('D-2 Off Site Habitat Creation'!$F$9:$F$255,'G-2 Habitat groups'!A36,'D-2 Off Site Habitat Creation'!$G$9:$G$255)</f>
        <v>0</v>
      </c>
      <c r="X36" s="111">
        <f>SUMIF('D-2 Off Site Habitat Creation'!$F$9:$F$255,'G-2 Habitat groups'!A36,'D-2 Off Site Habitat Creation'!$AA$9:$AA$255)</f>
        <v>0</v>
      </c>
      <c r="Y36" s="111">
        <f>SUMIF('D-3 Off Site Habitat Enhancment'!$S$12:$S$491,'G-2 Habitat groups'!A36,'D-3 Off Site Habitat Enhancment'!$V$12:$V$491)</f>
        <v>0</v>
      </c>
      <c r="Z36" s="111">
        <f>SUMIF('D-3 Off Site Habitat Enhancment'!$S$12:$S$491,'G-2 Habitat groups'!A36,'D-3 Off Site Habitat Enhancment'!$AP$12:$AP$491)</f>
        <v>0</v>
      </c>
      <c r="AA36" s="111">
        <f t="shared" ref="AA36:AA67" si="47">U36+W36+Y36</f>
        <v>0</v>
      </c>
      <c r="AB36" s="111">
        <f t="shared" ref="AB36:AB67" si="48">V36+X36+Z36</f>
        <v>0</v>
      </c>
      <c r="AC36" s="111">
        <f t="shared" ref="AC36:AC67" si="49">AA36-S36</f>
        <v>0</v>
      </c>
      <c r="AD36" s="111">
        <f t="shared" ref="AD36:AD67" si="50">AB36-T36</f>
        <v>0</v>
      </c>
      <c r="AE36" s="111">
        <f t="shared" ref="AE36:AE67" si="51">Q36+AC36</f>
        <v>0</v>
      </c>
      <c r="AF36" s="111">
        <f t="shared" ref="AF36:AF67" si="52">R36+AD36</f>
        <v>0</v>
      </c>
      <c r="AU36" s="138" t="s">
        <v>262</v>
      </c>
      <c r="AV36" s="100" t="s">
        <v>135</v>
      </c>
      <c r="AW36" s="111">
        <f t="shared" si="33"/>
        <v>0</v>
      </c>
      <c r="AX36" s="111">
        <f t="shared" si="34"/>
        <v>0</v>
      </c>
      <c r="AY36" s="111">
        <f t="shared" si="35"/>
        <v>0</v>
      </c>
      <c r="AZ36" s="111">
        <f t="shared" si="36"/>
        <v>0</v>
      </c>
      <c r="BA36" s="111">
        <f t="shared" si="37"/>
        <v>0</v>
      </c>
      <c r="BB36" s="111">
        <f t="shared" si="38"/>
        <v>0</v>
      </c>
      <c r="BC36" s="111">
        <f t="shared" si="39"/>
        <v>0</v>
      </c>
      <c r="BD36" s="111">
        <f t="shared" si="40"/>
        <v>0</v>
      </c>
      <c r="BE36" s="111">
        <f t="shared" si="41"/>
        <v>0</v>
      </c>
      <c r="BF36" s="111" t="str">
        <f t="shared" si="42"/>
        <v/>
      </c>
    </row>
    <row r="37" spans="1:58" x14ac:dyDescent="0.25">
      <c r="A37" s="129" t="str">
        <f>'G-1 All Habitats'!B36</f>
        <v>Heathland and shrub - Sea buckthorn scrub (Annex 1)</v>
      </c>
      <c r="B37" s="100" t="str">
        <f>'G-1 All Habitats'!F36</f>
        <v>Heathland and shrub</v>
      </c>
      <c r="C37" s="100" t="str">
        <f>'G-1 All Habitats'!K36</f>
        <v>High</v>
      </c>
      <c r="D37" s="100" t="str">
        <f>'G-1 All Habitats'!M36</f>
        <v>Same habitat required</v>
      </c>
      <c r="E37" s="111">
        <f>IF(C37="V.High",SUMIF('A-1 Site Habitat Baseline'!$G$11:$G$258,'G-2 Habitat groups'!A37,'A-1 Site Habitat Baseline'!$S$11:$S$258)+SUMIF('A-1 Site Habitat Baseline'!$G$11:$G$258,'G-2 Habitat groups'!A37,'A-1 Site Habitat Baseline'!$T$11:$T$258),SUMIF('A-1 Site Habitat Baseline'!$G$11:$G$258,'G-2 Habitat groups'!A37,'A-1 Site Habitat Baseline'!$H$11:$H$258))</f>
        <v>0</v>
      </c>
      <c r="F37" s="111">
        <f>SUMIF('A-1 Site Habitat Baseline'!$G$11:$G$258,'G-2 Habitat groups'!A37,'A-1 Site Habitat Baseline'!$Q$11:$Q$258)</f>
        <v>0</v>
      </c>
      <c r="G37" s="111">
        <f>SUMIF('A-1 Site Habitat Baseline'!$G$11:$G$258,'G-2 Habitat groups'!A37,'A-1 Site Habitat Baseline'!$S$11:$S$258)</f>
        <v>0</v>
      </c>
      <c r="H37" s="111">
        <f>SUMIF('A-1 Site Habitat Baseline'!$G$11:$G$258,'G-2 Habitat groups'!A37,'A-1 Site Habitat Baseline'!$U$11:$U$258)</f>
        <v>0</v>
      </c>
      <c r="I37" s="111">
        <f>SUMIF('A-1 Site Habitat Baseline'!$G$11:$G$258,'G-2 Habitat groups'!A37,'A-1 Site Habitat Baseline'!$W$11:$W$258)</f>
        <v>0</v>
      </c>
      <c r="J37" s="111">
        <f>SUMIF('A-1 Site Habitat Baseline'!$G$11:$G$258,'G-2 Habitat groups'!A37,'A-1 Site Habitat Baseline'!$X$11:$X$258)</f>
        <v>0</v>
      </c>
      <c r="K37" s="111">
        <f>SUMIF('A-2 Site Habitat Creation'!$F$11:$F$256,'G-2 Habitat groups'!A37,'A-2 Site Habitat Creation'!$G$11:$G$256)</f>
        <v>0</v>
      </c>
      <c r="L37" s="111">
        <f>SUMIF('A-2 Site Habitat Creation'!$F$11:$F$256,'G-2 Habitat groups'!A37,'A-2 Site Habitat Creation'!$Y$11:$Y$256)</f>
        <v>0</v>
      </c>
      <c r="M37" s="111">
        <f>SUMIF('A-3 Site Habitat Enhancement'!$S$12:$S$257,'G-2 Habitat groups'!A37,'A-3 Site Habitat Enhancement'!$V$12:$V$257)</f>
        <v>0</v>
      </c>
      <c r="N37" s="111">
        <f>SUMIF('A-3 Site Habitat Enhancement'!$S$12:$S$257,'G-2 Habitat groups'!A37,'A-3 Site Habitat Enhancement'!$AN$12:$AN$257)</f>
        <v>0</v>
      </c>
      <c r="O37" s="111">
        <f t="shared" si="43"/>
        <v>0</v>
      </c>
      <c r="P37" s="111">
        <f t="shared" si="44"/>
        <v>0</v>
      </c>
      <c r="Q37" s="111">
        <f t="shared" si="45"/>
        <v>0</v>
      </c>
      <c r="R37" s="111">
        <f t="shared" si="46"/>
        <v>0</v>
      </c>
      <c r="S37" s="111">
        <f>IF(C37="V.High",SUMIF('D-1 Off Site Habitat Baseline'!$G$11:$G$258,'G-2 Habitat groups'!A37,'D-1 Off Site Habitat Baseline'!$S$11:$S$258)+SUMIF('D-1 Off Site Habitat Baseline'!$G$11:$G$258,'G-2 Habitat groups'!A37,'D-1 Off Site Habitat Baseline'!$T$11:$T$258),SUMIF('D-1 Off Site Habitat Baseline'!$G$11:$G$258,'G-2 Habitat groups'!A37,'D-1 Off Site Habitat Baseline'!$H$11:$H$258))</f>
        <v>0</v>
      </c>
      <c r="T37" s="111">
        <f>SUMIF('D-1 Off Site Habitat Baseline'!$G$11:$G$258,'G-2 Habitat groups'!A37,'D-1 Off Site Habitat Baseline'!$Q$11:$Q$258)</f>
        <v>0</v>
      </c>
      <c r="U37" s="513">
        <f>SUMIF('D-1 Off Site Habitat Baseline'!$G$11:$G$258,'G-2 Habitat groups'!A37,'D-1 Off Site Habitat Baseline'!$S$11:$S$258)</f>
        <v>0</v>
      </c>
      <c r="V37" s="111">
        <f>SUMIF('D-1 Off Site Habitat Baseline'!$G$11:$G$258,'G-2 Habitat groups'!A37,'D-1 Off Site Habitat Baseline'!$U$11:$U$258)</f>
        <v>0</v>
      </c>
      <c r="W37" s="111">
        <f>SUMIF('D-2 Off Site Habitat Creation'!$F$9:$F$255,'G-2 Habitat groups'!A37,'D-2 Off Site Habitat Creation'!$G$9:$G$255)</f>
        <v>0</v>
      </c>
      <c r="X37" s="111">
        <f>SUMIF('D-2 Off Site Habitat Creation'!$F$9:$F$255,'G-2 Habitat groups'!A37,'D-2 Off Site Habitat Creation'!$AA$9:$AA$255)</f>
        <v>0</v>
      </c>
      <c r="Y37" s="111">
        <f>SUMIF('D-3 Off Site Habitat Enhancment'!$S$12:$S$491,'G-2 Habitat groups'!A37,'D-3 Off Site Habitat Enhancment'!$V$12:$V$491)</f>
        <v>0</v>
      </c>
      <c r="Z37" s="111">
        <f>SUMIF('D-3 Off Site Habitat Enhancment'!$S$12:$S$491,'G-2 Habitat groups'!A37,'D-3 Off Site Habitat Enhancment'!$AP$12:$AP$491)</f>
        <v>0</v>
      </c>
      <c r="AA37" s="111">
        <f t="shared" si="47"/>
        <v>0</v>
      </c>
      <c r="AB37" s="111">
        <f t="shared" si="48"/>
        <v>0</v>
      </c>
      <c r="AC37" s="111">
        <f t="shared" si="49"/>
        <v>0</v>
      </c>
      <c r="AD37" s="111">
        <f t="shared" si="50"/>
        <v>0</v>
      </c>
      <c r="AE37" s="111">
        <f t="shared" si="51"/>
        <v>0</v>
      </c>
      <c r="AF37" s="111">
        <f t="shared" si="52"/>
        <v>0</v>
      </c>
      <c r="AU37" s="138" t="s">
        <v>845</v>
      </c>
      <c r="AV37" s="100" t="s">
        <v>164</v>
      </c>
      <c r="AW37" s="111">
        <f t="shared" si="33"/>
        <v>0</v>
      </c>
      <c r="AX37" s="111">
        <f t="shared" si="34"/>
        <v>0</v>
      </c>
      <c r="AY37" s="111">
        <f t="shared" si="35"/>
        <v>0</v>
      </c>
      <c r="AZ37" s="111">
        <f t="shared" si="36"/>
        <v>0</v>
      </c>
      <c r="BA37" s="111">
        <f t="shared" si="37"/>
        <v>0</v>
      </c>
      <c r="BB37" s="111">
        <f t="shared" si="38"/>
        <v>0</v>
      </c>
      <c r="BC37" s="111">
        <f t="shared" si="39"/>
        <v>0</v>
      </c>
      <c r="BD37" s="111">
        <f t="shared" si="40"/>
        <v>0</v>
      </c>
      <c r="BE37" s="111">
        <f t="shared" si="41"/>
        <v>0</v>
      </c>
      <c r="BF37" s="111" t="str">
        <f t="shared" si="42"/>
        <v/>
      </c>
    </row>
    <row r="38" spans="1:58" x14ac:dyDescent="0.25">
      <c r="A38" s="129" t="str">
        <f>'G-1 All Habitats'!B37</f>
        <v>Heathland and shrub - Sea buckthorn scrub (other)</v>
      </c>
      <c r="B38" s="100" t="str">
        <f>'G-1 All Habitats'!F37</f>
        <v>Heathland and shrub</v>
      </c>
      <c r="C38" s="100" t="str">
        <f>'G-1 All Habitats'!K37</f>
        <v>Low</v>
      </c>
      <c r="D38" s="100" t="str">
        <f>'G-1 All Habitats'!M37</f>
        <v>Same distinctiveness or better habitat required</v>
      </c>
      <c r="E38" s="111">
        <f>IF(C38="V.High",SUMIF('A-1 Site Habitat Baseline'!$G$11:$G$258,'G-2 Habitat groups'!A38,'A-1 Site Habitat Baseline'!$S$11:$S$258)+SUMIF('A-1 Site Habitat Baseline'!$G$11:$G$258,'G-2 Habitat groups'!A38,'A-1 Site Habitat Baseline'!$T$11:$T$258),SUMIF('A-1 Site Habitat Baseline'!$G$11:$G$258,'G-2 Habitat groups'!A38,'A-1 Site Habitat Baseline'!$H$11:$H$258))</f>
        <v>0</v>
      </c>
      <c r="F38" s="111">
        <f>SUMIF('A-1 Site Habitat Baseline'!$G$11:$G$258,'G-2 Habitat groups'!A38,'A-1 Site Habitat Baseline'!$Q$11:$Q$258)</f>
        <v>0</v>
      </c>
      <c r="G38" s="111">
        <f>SUMIF('A-1 Site Habitat Baseline'!$G$11:$G$258,'G-2 Habitat groups'!A38,'A-1 Site Habitat Baseline'!$S$11:$S$258)</f>
        <v>0</v>
      </c>
      <c r="H38" s="111">
        <f>SUMIF('A-1 Site Habitat Baseline'!$G$11:$G$258,'G-2 Habitat groups'!A38,'A-1 Site Habitat Baseline'!$U$11:$U$258)</f>
        <v>0</v>
      </c>
      <c r="I38" s="111">
        <f>SUMIF('A-1 Site Habitat Baseline'!$G$11:$G$258,'G-2 Habitat groups'!A38,'A-1 Site Habitat Baseline'!$W$11:$W$258)</f>
        <v>0</v>
      </c>
      <c r="J38" s="111">
        <f>SUMIF('A-1 Site Habitat Baseline'!$G$11:$G$258,'G-2 Habitat groups'!A38,'A-1 Site Habitat Baseline'!$X$11:$X$258)</f>
        <v>0</v>
      </c>
      <c r="K38" s="111">
        <f>SUMIF('A-2 Site Habitat Creation'!$F$11:$F$256,'G-2 Habitat groups'!A38,'A-2 Site Habitat Creation'!$G$11:$G$256)</f>
        <v>0</v>
      </c>
      <c r="L38" s="111">
        <f>SUMIF('A-2 Site Habitat Creation'!$F$11:$F$256,'G-2 Habitat groups'!A38,'A-2 Site Habitat Creation'!$Y$11:$Y$256)</f>
        <v>0</v>
      </c>
      <c r="M38" s="111">
        <f>SUMIF('A-3 Site Habitat Enhancement'!$S$12:$S$257,'G-2 Habitat groups'!A38,'A-3 Site Habitat Enhancement'!$V$12:$V$257)</f>
        <v>0</v>
      </c>
      <c r="N38" s="111">
        <f>SUMIF('A-3 Site Habitat Enhancement'!$S$12:$S$257,'G-2 Habitat groups'!A38,'A-3 Site Habitat Enhancement'!$AN$12:$AN$257)</f>
        <v>0</v>
      </c>
      <c r="O38" s="111">
        <f t="shared" si="43"/>
        <v>0</v>
      </c>
      <c r="P38" s="111">
        <f t="shared" si="44"/>
        <v>0</v>
      </c>
      <c r="Q38" s="111">
        <f t="shared" si="45"/>
        <v>0</v>
      </c>
      <c r="R38" s="111">
        <f t="shared" si="46"/>
        <v>0</v>
      </c>
      <c r="S38" s="111">
        <f>IF(C38="V.High",SUMIF('D-1 Off Site Habitat Baseline'!$G$11:$G$258,'G-2 Habitat groups'!A38,'D-1 Off Site Habitat Baseline'!$S$11:$S$258)+SUMIF('D-1 Off Site Habitat Baseline'!$G$11:$G$258,'G-2 Habitat groups'!A38,'D-1 Off Site Habitat Baseline'!$T$11:$T$258),SUMIF('D-1 Off Site Habitat Baseline'!$G$11:$G$258,'G-2 Habitat groups'!A38,'D-1 Off Site Habitat Baseline'!$H$11:$H$258))</f>
        <v>0</v>
      </c>
      <c r="T38" s="111">
        <f>SUMIF('D-1 Off Site Habitat Baseline'!$G$11:$G$258,'G-2 Habitat groups'!A38,'D-1 Off Site Habitat Baseline'!$Q$11:$Q$258)</f>
        <v>0</v>
      </c>
      <c r="U38" s="513">
        <f>SUMIF('D-1 Off Site Habitat Baseline'!$G$11:$G$258,'G-2 Habitat groups'!A38,'D-1 Off Site Habitat Baseline'!$S$11:$S$258)</f>
        <v>0</v>
      </c>
      <c r="V38" s="111">
        <f>SUMIF('D-1 Off Site Habitat Baseline'!$G$11:$G$258,'G-2 Habitat groups'!A38,'D-1 Off Site Habitat Baseline'!$U$11:$U$258)</f>
        <v>0</v>
      </c>
      <c r="W38" s="111">
        <f>SUMIF('D-2 Off Site Habitat Creation'!$F$9:$F$255,'G-2 Habitat groups'!A38,'D-2 Off Site Habitat Creation'!$G$9:$G$255)</f>
        <v>0</v>
      </c>
      <c r="X38" s="111">
        <f>SUMIF('D-2 Off Site Habitat Creation'!$F$9:$F$255,'G-2 Habitat groups'!A38,'D-2 Off Site Habitat Creation'!$AA$9:$AA$255)</f>
        <v>0</v>
      </c>
      <c r="Y38" s="111">
        <f>SUMIF('D-3 Off Site Habitat Enhancment'!$S$12:$S$491,'G-2 Habitat groups'!A38,'D-3 Off Site Habitat Enhancment'!$V$12:$V$491)</f>
        <v>0</v>
      </c>
      <c r="Z38" s="111">
        <f>SUMIF('D-3 Off Site Habitat Enhancment'!$S$12:$S$491,'G-2 Habitat groups'!A38,'D-3 Off Site Habitat Enhancment'!$AP$12:$AP$491)</f>
        <v>0</v>
      </c>
      <c r="AA38" s="111">
        <f t="shared" si="47"/>
        <v>0</v>
      </c>
      <c r="AB38" s="111">
        <f t="shared" si="48"/>
        <v>0</v>
      </c>
      <c r="AC38" s="111">
        <f t="shared" si="49"/>
        <v>0</v>
      </c>
      <c r="AD38" s="111">
        <f t="shared" si="50"/>
        <v>0</v>
      </c>
      <c r="AE38" s="111">
        <f t="shared" si="51"/>
        <v>0</v>
      </c>
      <c r="AF38" s="111">
        <f t="shared" si="52"/>
        <v>0</v>
      </c>
      <c r="AU38" s="138" t="s">
        <v>263</v>
      </c>
      <c r="AV38" s="100" t="s">
        <v>164</v>
      </c>
      <c r="AW38" s="111">
        <f t="shared" si="33"/>
        <v>0</v>
      </c>
      <c r="AX38" s="111">
        <f t="shared" si="34"/>
        <v>0</v>
      </c>
      <c r="AY38" s="111">
        <f t="shared" si="35"/>
        <v>0</v>
      </c>
      <c r="AZ38" s="111">
        <f t="shared" si="36"/>
        <v>0</v>
      </c>
      <c r="BA38" s="111">
        <f t="shared" si="37"/>
        <v>0</v>
      </c>
      <c r="BB38" s="111">
        <f t="shared" si="38"/>
        <v>0</v>
      </c>
      <c r="BC38" s="111">
        <f t="shared" si="39"/>
        <v>0</v>
      </c>
      <c r="BD38" s="111">
        <f t="shared" si="40"/>
        <v>0</v>
      </c>
      <c r="BE38" s="111">
        <f t="shared" si="41"/>
        <v>0</v>
      </c>
      <c r="BF38" s="111" t="str">
        <f t="shared" si="42"/>
        <v/>
      </c>
    </row>
    <row r="39" spans="1:58" x14ac:dyDescent="0.25">
      <c r="A39" s="129" t="str">
        <f>'G-1 All Habitats'!B38</f>
        <v>Heathland and shrub - Upland Heathland</v>
      </c>
      <c r="B39" s="100" t="str">
        <f>'G-1 All Habitats'!F38</f>
        <v>Heathland and shrub</v>
      </c>
      <c r="C39" s="100" t="str">
        <f>'G-1 All Habitats'!K38</f>
        <v>High</v>
      </c>
      <c r="D39" s="100" t="str">
        <f>'G-1 All Habitats'!M38</f>
        <v>Same habitat required</v>
      </c>
      <c r="E39" s="111">
        <f>IF(C39="V.High",SUMIF('A-1 Site Habitat Baseline'!$G$11:$G$258,'G-2 Habitat groups'!A39,'A-1 Site Habitat Baseline'!$S$11:$S$258)+SUMIF('A-1 Site Habitat Baseline'!$G$11:$G$258,'G-2 Habitat groups'!A39,'A-1 Site Habitat Baseline'!$T$11:$T$258),SUMIF('A-1 Site Habitat Baseline'!$G$11:$G$258,'G-2 Habitat groups'!A39,'A-1 Site Habitat Baseline'!$H$11:$H$258))</f>
        <v>0</v>
      </c>
      <c r="F39" s="111">
        <f>SUMIF('A-1 Site Habitat Baseline'!$G$11:$G$258,'G-2 Habitat groups'!A39,'A-1 Site Habitat Baseline'!$Q$11:$Q$258)</f>
        <v>0</v>
      </c>
      <c r="G39" s="111">
        <f>SUMIF('A-1 Site Habitat Baseline'!$G$11:$G$258,'G-2 Habitat groups'!A39,'A-1 Site Habitat Baseline'!$S$11:$S$258)</f>
        <v>0</v>
      </c>
      <c r="H39" s="111">
        <f>SUMIF('A-1 Site Habitat Baseline'!$G$11:$G$258,'G-2 Habitat groups'!A39,'A-1 Site Habitat Baseline'!$U$11:$U$258)</f>
        <v>0</v>
      </c>
      <c r="I39" s="111">
        <f>SUMIF('A-1 Site Habitat Baseline'!$G$11:$G$258,'G-2 Habitat groups'!A39,'A-1 Site Habitat Baseline'!$W$11:$W$258)</f>
        <v>0</v>
      </c>
      <c r="J39" s="111">
        <f>SUMIF('A-1 Site Habitat Baseline'!$G$11:$G$258,'G-2 Habitat groups'!A39,'A-1 Site Habitat Baseline'!$X$11:$X$258)</f>
        <v>0</v>
      </c>
      <c r="K39" s="111">
        <f>SUMIF('A-2 Site Habitat Creation'!$F$11:$F$256,'G-2 Habitat groups'!A39,'A-2 Site Habitat Creation'!$G$11:$G$256)</f>
        <v>0</v>
      </c>
      <c r="L39" s="111">
        <f>SUMIF('A-2 Site Habitat Creation'!$F$11:$F$256,'G-2 Habitat groups'!A39,'A-2 Site Habitat Creation'!$Y$11:$Y$256)</f>
        <v>0</v>
      </c>
      <c r="M39" s="111">
        <f>SUMIF('A-3 Site Habitat Enhancement'!$S$12:$S$257,'G-2 Habitat groups'!A39,'A-3 Site Habitat Enhancement'!$V$12:$V$257)</f>
        <v>0</v>
      </c>
      <c r="N39" s="111">
        <f>SUMIF('A-3 Site Habitat Enhancement'!$S$12:$S$257,'G-2 Habitat groups'!A39,'A-3 Site Habitat Enhancement'!$AN$12:$AN$257)</f>
        <v>0</v>
      </c>
      <c r="O39" s="111">
        <f t="shared" si="43"/>
        <v>0</v>
      </c>
      <c r="P39" s="111">
        <f t="shared" si="44"/>
        <v>0</v>
      </c>
      <c r="Q39" s="111">
        <f t="shared" si="45"/>
        <v>0</v>
      </c>
      <c r="R39" s="111">
        <f t="shared" si="46"/>
        <v>0</v>
      </c>
      <c r="S39" s="111">
        <f>IF(C39="V.High",SUMIF('D-1 Off Site Habitat Baseline'!$G$11:$G$258,'G-2 Habitat groups'!A39,'D-1 Off Site Habitat Baseline'!$S$11:$S$258)+SUMIF('D-1 Off Site Habitat Baseline'!$G$11:$G$258,'G-2 Habitat groups'!A39,'D-1 Off Site Habitat Baseline'!$T$11:$T$258),SUMIF('D-1 Off Site Habitat Baseline'!$G$11:$G$258,'G-2 Habitat groups'!A39,'D-1 Off Site Habitat Baseline'!$H$11:$H$258))</f>
        <v>0</v>
      </c>
      <c r="T39" s="111">
        <f>SUMIF('D-1 Off Site Habitat Baseline'!$G$11:$G$258,'G-2 Habitat groups'!A39,'D-1 Off Site Habitat Baseline'!$Q$11:$Q$258)</f>
        <v>0</v>
      </c>
      <c r="U39" s="513">
        <f>SUMIF('D-1 Off Site Habitat Baseline'!$G$11:$G$258,'G-2 Habitat groups'!A39,'D-1 Off Site Habitat Baseline'!$S$11:$S$258)</f>
        <v>0</v>
      </c>
      <c r="V39" s="111">
        <f>SUMIF('D-1 Off Site Habitat Baseline'!$G$11:$G$258,'G-2 Habitat groups'!A39,'D-1 Off Site Habitat Baseline'!$U$11:$U$258)</f>
        <v>0</v>
      </c>
      <c r="W39" s="111">
        <f>SUMIF('D-2 Off Site Habitat Creation'!$F$9:$F$255,'G-2 Habitat groups'!A39,'D-2 Off Site Habitat Creation'!$G$9:$G$255)</f>
        <v>0</v>
      </c>
      <c r="X39" s="111">
        <f>SUMIF('D-2 Off Site Habitat Creation'!$F$9:$F$255,'G-2 Habitat groups'!A39,'D-2 Off Site Habitat Creation'!$AA$9:$AA$255)</f>
        <v>0</v>
      </c>
      <c r="Y39" s="111">
        <f>SUMIF('D-3 Off Site Habitat Enhancment'!$S$12:$S$491,'G-2 Habitat groups'!A39,'D-3 Off Site Habitat Enhancment'!$V$12:$V$491)</f>
        <v>0</v>
      </c>
      <c r="Z39" s="111">
        <f>SUMIF('D-3 Off Site Habitat Enhancment'!$S$12:$S$491,'G-2 Habitat groups'!A39,'D-3 Off Site Habitat Enhancment'!$AP$12:$AP$491)</f>
        <v>0</v>
      </c>
      <c r="AA39" s="111">
        <f t="shared" si="47"/>
        <v>0</v>
      </c>
      <c r="AB39" s="111">
        <f t="shared" si="48"/>
        <v>0</v>
      </c>
      <c r="AC39" s="111">
        <f t="shared" si="49"/>
        <v>0</v>
      </c>
      <c r="AD39" s="111">
        <f t="shared" si="50"/>
        <v>0</v>
      </c>
      <c r="AE39" s="111">
        <f t="shared" si="51"/>
        <v>0</v>
      </c>
      <c r="AF39" s="111">
        <f t="shared" si="52"/>
        <v>0</v>
      </c>
      <c r="AU39" s="138" t="s">
        <v>828</v>
      </c>
      <c r="AV39" s="100" t="s">
        <v>835</v>
      </c>
      <c r="AW39" s="111">
        <f t="shared" si="33"/>
        <v>0</v>
      </c>
      <c r="AX39" s="111">
        <f t="shared" si="34"/>
        <v>0</v>
      </c>
      <c r="AY39" s="111">
        <f t="shared" si="35"/>
        <v>0</v>
      </c>
      <c r="AZ39" s="111">
        <f t="shared" si="36"/>
        <v>0</v>
      </c>
      <c r="BA39" s="111">
        <f t="shared" si="37"/>
        <v>0</v>
      </c>
      <c r="BB39" s="111">
        <f t="shared" si="38"/>
        <v>0</v>
      </c>
      <c r="BC39" s="111">
        <f t="shared" si="39"/>
        <v>0</v>
      </c>
      <c r="BD39" s="111">
        <f t="shared" si="40"/>
        <v>0</v>
      </c>
      <c r="BE39" s="111">
        <f t="shared" si="41"/>
        <v>0</v>
      </c>
      <c r="BF39" s="111" t="str">
        <f t="shared" si="42"/>
        <v/>
      </c>
    </row>
    <row r="40" spans="1:58" x14ac:dyDescent="0.25">
      <c r="A40" s="129" t="str">
        <f>'G-1 All Habitats'!B39</f>
        <v>Lakes - Aquifer fed naturally fluctuating water bodies</v>
      </c>
      <c r="B40" s="100" t="str">
        <f>'G-1 All Habitats'!F39</f>
        <v>Lakes</v>
      </c>
      <c r="C40" s="100" t="str">
        <f>'G-1 All Habitats'!K39</f>
        <v>V.High</v>
      </c>
      <c r="D40" s="100" t="str">
        <f>'G-1 All Habitats'!M39</f>
        <v>Bespoke compensation likely to be required</v>
      </c>
      <c r="E40" s="111">
        <f>IF(C40="V.High",SUMIF('A-1 Site Habitat Baseline'!$G$11:$G$258,'G-2 Habitat groups'!A40,'A-1 Site Habitat Baseline'!$S$11:$S$258)+SUMIF('A-1 Site Habitat Baseline'!$G$11:$G$258,'G-2 Habitat groups'!A40,'A-1 Site Habitat Baseline'!$T$11:$T$258),SUMIF('A-1 Site Habitat Baseline'!$G$11:$G$258,'G-2 Habitat groups'!A40,'A-1 Site Habitat Baseline'!$H$11:$H$258))</f>
        <v>0</v>
      </c>
      <c r="F40" s="111">
        <f>SUMIF('A-1 Site Habitat Baseline'!$G$11:$G$258,'G-2 Habitat groups'!A40,'A-1 Site Habitat Baseline'!$Q$11:$Q$258)</f>
        <v>0</v>
      </c>
      <c r="G40" s="111">
        <f>SUMIF('A-1 Site Habitat Baseline'!$G$11:$G$258,'G-2 Habitat groups'!A40,'A-1 Site Habitat Baseline'!$S$11:$S$258)</f>
        <v>0</v>
      </c>
      <c r="H40" s="111">
        <f>SUMIF('A-1 Site Habitat Baseline'!$G$11:$G$258,'G-2 Habitat groups'!A40,'A-1 Site Habitat Baseline'!$U$11:$U$258)</f>
        <v>0</v>
      </c>
      <c r="I40" s="111">
        <f>SUMIF('A-1 Site Habitat Baseline'!$G$11:$G$258,'G-2 Habitat groups'!A40,'A-1 Site Habitat Baseline'!$W$11:$W$258)</f>
        <v>0</v>
      </c>
      <c r="J40" s="111">
        <f>SUMIF('A-1 Site Habitat Baseline'!$G$11:$G$258,'G-2 Habitat groups'!A40,'A-1 Site Habitat Baseline'!$X$11:$X$258)</f>
        <v>0</v>
      </c>
      <c r="K40" s="111">
        <f>SUMIF('A-2 Site Habitat Creation'!$F$11:$F$256,'G-2 Habitat groups'!A40,'A-2 Site Habitat Creation'!$G$11:$G$256)</f>
        <v>0</v>
      </c>
      <c r="L40" s="111">
        <f>SUMIF('A-2 Site Habitat Creation'!$F$11:$F$256,'G-2 Habitat groups'!A40,'A-2 Site Habitat Creation'!$Y$11:$Y$256)</f>
        <v>0</v>
      </c>
      <c r="M40" s="111">
        <f>SUMIF('A-3 Site Habitat Enhancement'!$S$12:$S$257,'G-2 Habitat groups'!A40,'A-3 Site Habitat Enhancement'!$V$12:$V$257)</f>
        <v>0</v>
      </c>
      <c r="N40" s="111">
        <f>SUMIF('A-3 Site Habitat Enhancement'!$S$12:$S$257,'G-2 Habitat groups'!A40,'A-3 Site Habitat Enhancement'!$AN$12:$AN$257)</f>
        <v>0</v>
      </c>
      <c r="O40" s="111">
        <f t="shared" si="43"/>
        <v>0</v>
      </c>
      <c r="P40" s="111">
        <f t="shared" si="44"/>
        <v>0</v>
      </c>
      <c r="Q40" s="111">
        <f t="shared" si="45"/>
        <v>0</v>
      </c>
      <c r="R40" s="111">
        <f t="shared" si="46"/>
        <v>0</v>
      </c>
      <c r="S40" s="111">
        <f>IF(C40="V.High",SUMIF('D-1 Off Site Habitat Baseline'!$G$11:$G$258,'G-2 Habitat groups'!A40,'D-1 Off Site Habitat Baseline'!$S$11:$S$258)+SUMIF('D-1 Off Site Habitat Baseline'!$G$11:$G$258,'G-2 Habitat groups'!A40,'D-1 Off Site Habitat Baseline'!$T$11:$T$258),SUMIF('D-1 Off Site Habitat Baseline'!$G$11:$G$258,'G-2 Habitat groups'!A40,'D-1 Off Site Habitat Baseline'!$H$11:$H$258))</f>
        <v>0</v>
      </c>
      <c r="T40" s="111">
        <f>SUMIF('D-1 Off Site Habitat Baseline'!$G$11:$G$258,'G-2 Habitat groups'!A40,'D-1 Off Site Habitat Baseline'!$Q$11:$Q$258)</f>
        <v>0</v>
      </c>
      <c r="U40" s="513">
        <f>SUMIF('D-1 Off Site Habitat Baseline'!$G$11:$G$258,'G-2 Habitat groups'!A40,'D-1 Off Site Habitat Baseline'!$S$11:$S$258)</f>
        <v>0</v>
      </c>
      <c r="V40" s="111">
        <f>SUMIF('D-1 Off Site Habitat Baseline'!$G$11:$G$258,'G-2 Habitat groups'!A40,'D-1 Off Site Habitat Baseline'!$U$11:$U$258)</f>
        <v>0</v>
      </c>
      <c r="W40" s="111">
        <f>SUMIF('D-2 Off Site Habitat Creation'!$F$9:$F$255,'G-2 Habitat groups'!A40,'D-2 Off Site Habitat Creation'!$G$9:$G$255)</f>
        <v>0</v>
      </c>
      <c r="X40" s="111">
        <f>SUMIF('D-2 Off Site Habitat Creation'!$F$9:$F$255,'G-2 Habitat groups'!A40,'D-2 Off Site Habitat Creation'!$AA$9:$AA$255)</f>
        <v>0</v>
      </c>
      <c r="Y40" s="111">
        <f>SUMIF('D-3 Off Site Habitat Enhancment'!$S$12:$S$491,'G-2 Habitat groups'!A40,'D-3 Off Site Habitat Enhancment'!$V$12:$V$491)</f>
        <v>0</v>
      </c>
      <c r="Z40" s="111">
        <f>SUMIF('D-3 Off Site Habitat Enhancment'!$S$12:$S$491,'G-2 Habitat groups'!A40,'D-3 Off Site Habitat Enhancment'!$AP$12:$AP$491)</f>
        <v>0</v>
      </c>
      <c r="AA40" s="111">
        <f t="shared" si="47"/>
        <v>0</v>
      </c>
      <c r="AB40" s="111">
        <f t="shared" si="48"/>
        <v>0</v>
      </c>
      <c r="AC40" s="111">
        <f t="shared" si="49"/>
        <v>0</v>
      </c>
      <c r="AD40" s="111">
        <f t="shared" si="50"/>
        <v>0</v>
      </c>
      <c r="AE40" s="111">
        <f t="shared" si="51"/>
        <v>0</v>
      </c>
      <c r="AF40" s="111">
        <f t="shared" si="52"/>
        <v>0</v>
      </c>
      <c r="AU40" s="138" t="s">
        <v>826</v>
      </c>
      <c r="AV40" s="100" t="s">
        <v>835</v>
      </c>
      <c r="AW40" s="111">
        <f t="shared" si="33"/>
        <v>0</v>
      </c>
      <c r="AX40" s="111">
        <f t="shared" si="34"/>
        <v>0</v>
      </c>
      <c r="AY40" s="111">
        <f t="shared" si="35"/>
        <v>0</v>
      </c>
      <c r="AZ40" s="111">
        <f t="shared" si="36"/>
        <v>0</v>
      </c>
      <c r="BA40" s="111">
        <f t="shared" si="37"/>
        <v>0</v>
      </c>
      <c r="BB40" s="111">
        <f t="shared" si="38"/>
        <v>0</v>
      </c>
      <c r="BC40" s="111">
        <f t="shared" si="39"/>
        <v>0</v>
      </c>
      <c r="BD40" s="111">
        <f t="shared" si="40"/>
        <v>0</v>
      </c>
      <c r="BE40" s="111">
        <f t="shared" si="41"/>
        <v>0</v>
      </c>
      <c r="BF40" s="111" t="str">
        <f t="shared" si="42"/>
        <v/>
      </c>
    </row>
    <row r="41" spans="1:58" x14ac:dyDescent="0.25">
      <c r="A41" s="129" t="str">
        <f>'G-1 All Habitats'!B40</f>
        <v>Lakes - Ornamental lake or pond</v>
      </c>
      <c r="B41" s="100" t="str">
        <f>'G-1 All Habitats'!F40</f>
        <v>Urban</v>
      </c>
      <c r="C41" s="100" t="str">
        <f>'G-1 All Habitats'!K40</f>
        <v>Low</v>
      </c>
      <c r="D41" s="100" t="str">
        <f>'G-1 All Habitats'!M40</f>
        <v>Same distinctiveness or better habitat required</v>
      </c>
      <c r="E41" s="111">
        <f>IF(C41="V.High",SUMIF('A-1 Site Habitat Baseline'!$G$11:$G$258,'G-2 Habitat groups'!A41,'A-1 Site Habitat Baseline'!$S$11:$S$258)+SUMIF('A-1 Site Habitat Baseline'!$G$11:$G$258,'G-2 Habitat groups'!A41,'A-1 Site Habitat Baseline'!$T$11:$T$258),SUMIF('A-1 Site Habitat Baseline'!$G$11:$G$258,'G-2 Habitat groups'!A41,'A-1 Site Habitat Baseline'!$H$11:$H$258))</f>
        <v>0</v>
      </c>
      <c r="F41" s="111">
        <f>SUMIF('A-1 Site Habitat Baseline'!$G$11:$G$258,'G-2 Habitat groups'!A41,'A-1 Site Habitat Baseline'!$Q$11:$Q$258)</f>
        <v>0</v>
      </c>
      <c r="G41" s="111">
        <f>SUMIF('A-1 Site Habitat Baseline'!$G$11:$G$258,'G-2 Habitat groups'!A41,'A-1 Site Habitat Baseline'!$S$11:$S$258)</f>
        <v>0</v>
      </c>
      <c r="H41" s="111">
        <f>SUMIF('A-1 Site Habitat Baseline'!$G$11:$G$258,'G-2 Habitat groups'!A41,'A-1 Site Habitat Baseline'!$U$11:$U$258)</f>
        <v>0</v>
      </c>
      <c r="I41" s="111">
        <f>SUMIF('A-1 Site Habitat Baseline'!$G$11:$G$258,'G-2 Habitat groups'!A41,'A-1 Site Habitat Baseline'!$W$11:$W$258)</f>
        <v>0</v>
      </c>
      <c r="J41" s="111">
        <f>SUMIF('A-1 Site Habitat Baseline'!$G$11:$G$258,'G-2 Habitat groups'!A41,'A-1 Site Habitat Baseline'!$X$11:$X$258)</f>
        <v>0</v>
      </c>
      <c r="K41" s="111">
        <f>SUMIF('A-2 Site Habitat Creation'!$F$11:$F$256,'G-2 Habitat groups'!A41,'A-2 Site Habitat Creation'!$G$11:$G$256)</f>
        <v>0</v>
      </c>
      <c r="L41" s="111">
        <f>SUMIF('A-2 Site Habitat Creation'!$F$11:$F$256,'G-2 Habitat groups'!A41,'A-2 Site Habitat Creation'!$Y$11:$Y$256)</f>
        <v>0</v>
      </c>
      <c r="M41" s="111">
        <f>SUMIF('A-3 Site Habitat Enhancement'!$S$12:$S$257,'G-2 Habitat groups'!A41,'A-3 Site Habitat Enhancement'!$V$12:$V$257)</f>
        <v>0</v>
      </c>
      <c r="N41" s="111">
        <f>SUMIF('A-3 Site Habitat Enhancement'!$S$12:$S$257,'G-2 Habitat groups'!A41,'A-3 Site Habitat Enhancement'!$AN$12:$AN$257)</f>
        <v>0</v>
      </c>
      <c r="O41" s="111">
        <f t="shared" si="43"/>
        <v>0</v>
      </c>
      <c r="P41" s="111">
        <f t="shared" si="44"/>
        <v>0</v>
      </c>
      <c r="Q41" s="111">
        <f t="shared" si="45"/>
        <v>0</v>
      </c>
      <c r="R41" s="111">
        <f t="shared" si="46"/>
        <v>0</v>
      </c>
      <c r="S41" s="111">
        <f>IF(C41="V.High",SUMIF('D-1 Off Site Habitat Baseline'!$G$11:$G$258,'G-2 Habitat groups'!A41,'D-1 Off Site Habitat Baseline'!$S$11:$S$258)+SUMIF('D-1 Off Site Habitat Baseline'!$G$11:$G$258,'G-2 Habitat groups'!A41,'D-1 Off Site Habitat Baseline'!$T$11:$T$258),SUMIF('D-1 Off Site Habitat Baseline'!$G$11:$G$258,'G-2 Habitat groups'!A41,'D-1 Off Site Habitat Baseline'!$H$11:$H$258))</f>
        <v>0</v>
      </c>
      <c r="T41" s="111">
        <f>SUMIF('D-1 Off Site Habitat Baseline'!$G$11:$G$258,'G-2 Habitat groups'!A41,'D-1 Off Site Habitat Baseline'!$Q$11:$Q$258)</f>
        <v>0</v>
      </c>
      <c r="U41" s="513">
        <f>SUMIF('D-1 Off Site Habitat Baseline'!$G$11:$G$258,'G-2 Habitat groups'!A41,'D-1 Off Site Habitat Baseline'!$S$11:$S$258)</f>
        <v>0</v>
      </c>
      <c r="V41" s="111">
        <f>SUMIF('D-1 Off Site Habitat Baseline'!$G$11:$G$258,'G-2 Habitat groups'!A41,'D-1 Off Site Habitat Baseline'!$U$11:$U$258)</f>
        <v>0</v>
      </c>
      <c r="W41" s="111">
        <f>SUMIF('D-2 Off Site Habitat Creation'!$F$9:$F$255,'G-2 Habitat groups'!A41,'D-2 Off Site Habitat Creation'!$G$9:$G$255)</f>
        <v>0</v>
      </c>
      <c r="X41" s="111">
        <f>SUMIF('D-2 Off Site Habitat Creation'!$F$9:$F$255,'G-2 Habitat groups'!A41,'D-2 Off Site Habitat Creation'!$AA$9:$AA$255)</f>
        <v>0</v>
      </c>
      <c r="Y41" s="111">
        <f>SUMIF('D-3 Off Site Habitat Enhancment'!$S$12:$S$491,'G-2 Habitat groups'!A41,'D-3 Off Site Habitat Enhancment'!$V$12:$V$491)</f>
        <v>0</v>
      </c>
      <c r="Z41" s="111">
        <f>SUMIF('D-3 Off Site Habitat Enhancment'!$S$12:$S$491,'G-2 Habitat groups'!A41,'D-3 Off Site Habitat Enhancment'!$AP$12:$AP$491)</f>
        <v>0</v>
      </c>
      <c r="AA41" s="111">
        <f t="shared" si="47"/>
        <v>0</v>
      </c>
      <c r="AB41" s="111">
        <f t="shared" si="48"/>
        <v>0</v>
      </c>
      <c r="AC41" s="111">
        <f t="shared" si="49"/>
        <v>0</v>
      </c>
      <c r="AD41" s="111">
        <f t="shared" si="50"/>
        <v>0</v>
      </c>
      <c r="AE41" s="111">
        <f t="shared" si="51"/>
        <v>0</v>
      </c>
      <c r="AF41" s="111">
        <f t="shared" si="52"/>
        <v>0</v>
      </c>
      <c r="AU41" s="138" t="s">
        <v>829</v>
      </c>
      <c r="AV41" s="100" t="s">
        <v>835</v>
      </c>
      <c r="AW41" s="111">
        <f t="shared" si="33"/>
        <v>0</v>
      </c>
      <c r="AX41" s="111">
        <f t="shared" si="34"/>
        <v>0</v>
      </c>
      <c r="AY41" s="111">
        <f t="shared" si="35"/>
        <v>0</v>
      </c>
      <c r="AZ41" s="111">
        <f t="shared" si="36"/>
        <v>0</v>
      </c>
      <c r="BA41" s="111">
        <f t="shared" si="37"/>
        <v>0</v>
      </c>
      <c r="BB41" s="111">
        <f t="shared" si="38"/>
        <v>0</v>
      </c>
      <c r="BC41" s="111">
        <f t="shared" si="39"/>
        <v>0</v>
      </c>
      <c r="BD41" s="111">
        <f t="shared" si="40"/>
        <v>0</v>
      </c>
      <c r="BE41" s="111">
        <f t="shared" si="41"/>
        <v>0</v>
      </c>
      <c r="BF41" s="111" t="str">
        <f t="shared" si="42"/>
        <v/>
      </c>
    </row>
    <row r="42" spans="1:58" x14ac:dyDescent="0.25">
      <c r="A42" s="129" t="str">
        <f>'G-1 All Habitats'!B41</f>
        <v>Lakes - High alkalinity lakes</v>
      </c>
      <c r="B42" s="100" t="str">
        <f>'G-1 All Habitats'!F41</f>
        <v>Lakes</v>
      </c>
      <c r="C42" s="100" t="str">
        <f>'G-1 All Habitats'!K41</f>
        <v>High</v>
      </c>
      <c r="D42" s="100" t="str">
        <f>'G-1 All Habitats'!M41</f>
        <v>Same habitat required</v>
      </c>
      <c r="E42" s="111">
        <f>IF(C42="V.High",SUMIF('A-1 Site Habitat Baseline'!$G$11:$G$258,'G-2 Habitat groups'!A42,'A-1 Site Habitat Baseline'!$S$11:$S$258)+SUMIF('A-1 Site Habitat Baseline'!$G$11:$G$258,'G-2 Habitat groups'!A42,'A-1 Site Habitat Baseline'!$T$11:$T$258),SUMIF('A-1 Site Habitat Baseline'!$G$11:$G$258,'G-2 Habitat groups'!A42,'A-1 Site Habitat Baseline'!$H$11:$H$258))</f>
        <v>0</v>
      </c>
      <c r="F42" s="111">
        <f>SUMIF('A-1 Site Habitat Baseline'!$G$11:$G$258,'G-2 Habitat groups'!A42,'A-1 Site Habitat Baseline'!$Q$11:$Q$258)</f>
        <v>0</v>
      </c>
      <c r="G42" s="111">
        <f>SUMIF('A-1 Site Habitat Baseline'!$G$11:$G$258,'G-2 Habitat groups'!A42,'A-1 Site Habitat Baseline'!$S$11:$S$258)</f>
        <v>0</v>
      </c>
      <c r="H42" s="111">
        <f>SUMIF('A-1 Site Habitat Baseline'!$G$11:$G$258,'G-2 Habitat groups'!A42,'A-1 Site Habitat Baseline'!$U$11:$U$258)</f>
        <v>0</v>
      </c>
      <c r="I42" s="111">
        <f>SUMIF('A-1 Site Habitat Baseline'!$G$11:$G$258,'G-2 Habitat groups'!A42,'A-1 Site Habitat Baseline'!$W$11:$W$258)</f>
        <v>0</v>
      </c>
      <c r="J42" s="111">
        <f>SUMIF('A-1 Site Habitat Baseline'!$G$11:$G$258,'G-2 Habitat groups'!A42,'A-1 Site Habitat Baseline'!$X$11:$X$258)</f>
        <v>0</v>
      </c>
      <c r="K42" s="111">
        <f>SUMIF('A-2 Site Habitat Creation'!$F$11:$F$256,'G-2 Habitat groups'!A42,'A-2 Site Habitat Creation'!$G$11:$G$256)</f>
        <v>0</v>
      </c>
      <c r="L42" s="111">
        <f>SUMIF('A-2 Site Habitat Creation'!$F$11:$F$256,'G-2 Habitat groups'!A42,'A-2 Site Habitat Creation'!$Y$11:$Y$256)</f>
        <v>0</v>
      </c>
      <c r="M42" s="111">
        <f>SUMIF('A-3 Site Habitat Enhancement'!$S$12:$S$257,'G-2 Habitat groups'!A42,'A-3 Site Habitat Enhancement'!$V$12:$V$257)</f>
        <v>0</v>
      </c>
      <c r="N42" s="111">
        <f>SUMIF('A-3 Site Habitat Enhancement'!$S$12:$S$257,'G-2 Habitat groups'!A42,'A-3 Site Habitat Enhancement'!$AN$12:$AN$257)</f>
        <v>0</v>
      </c>
      <c r="O42" s="111">
        <f t="shared" si="43"/>
        <v>0</v>
      </c>
      <c r="P42" s="111">
        <f t="shared" si="44"/>
        <v>0</v>
      </c>
      <c r="Q42" s="111">
        <f t="shared" si="45"/>
        <v>0</v>
      </c>
      <c r="R42" s="111">
        <f t="shared" si="46"/>
        <v>0</v>
      </c>
      <c r="S42" s="111">
        <f>IF(C42="V.High",SUMIF('D-1 Off Site Habitat Baseline'!$G$11:$G$258,'G-2 Habitat groups'!A42,'D-1 Off Site Habitat Baseline'!$S$11:$S$258)+SUMIF('D-1 Off Site Habitat Baseline'!$G$11:$G$258,'G-2 Habitat groups'!A42,'D-1 Off Site Habitat Baseline'!$T$11:$T$258),SUMIF('D-1 Off Site Habitat Baseline'!$G$11:$G$258,'G-2 Habitat groups'!A42,'D-1 Off Site Habitat Baseline'!$H$11:$H$258))</f>
        <v>0</v>
      </c>
      <c r="T42" s="111">
        <f>SUMIF('D-1 Off Site Habitat Baseline'!$G$11:$G$258,'G-2 Habitat groups'!A42,'D-1 Off Site Habitat Baseline'!$Q$11:$Q$258)</f>
        <v>0</v>
      </c>
      <c r="U42" s="513">
        <f>SUMIF('D-1 Off Site Habitat Baseline'!$G$11:$G$258,'G-2 Habitat groups'!A42,'D-1 Off Site Habitat Baseline'!$S$11:$S$258)</f>
        <v>0</v>
      </c>
      <c r="V42" s="111">
        <f>SUMIF('D-1 Off Site Habitat Baseline'!$G$11:$G$258,'G-2 Habitat groups'!A42,'D-1 Off Site Habitat Baseline'!$U$11:$U$258)</f>
        <v>0</v>
      </c>
      <c r="W42" s="111">
        <f>SUMIF('D-2 Off Site Habitat Creation'!$F$9:$F$255,'G-2 Habitat groups'!A42,'D-2 Off Site Habitat Creation'!$G$9:$G$255)</f>
        <v>0</v>
      </c>
      <c r="X42" s="111">
        <f>SUMIF('D-2 Off Site Habitat Creation'!$F$9:$F$255,'G-2 Habitat groups'!A42,'D-2 Off Site Habitat Creation'!$AA$9:$AA$255)</f>
        <v>0</v>
      </c>
      <c r="Y42" s="111">
        <f>SUMIF('D-3 Off Site Habitat Enhancment'!$S$12:$S$491,'G-2 Habitat groups'!A42,'D-3 Off Site Habitat Enhancment'!$V$12:$V$491)</f>
        <v>0</v>
      </c>
      <c r="Z42" s="111">
        <f>SUMIF('D-3 Off Site Habitat Enhancment'!$S$12:$S$491,'G-2 Habitat groups'!A42,'D-3 Off Site Habitat Enhancment'!$AP$12:$AP$491)</f>
        <v>0</v>
      </c>
      <c r="AA42" s="111">
        <f t="shared" si="47"/>
        <v>0</v>
      </c>
      <c r="AB42" s="111">
        <f t="shared" si="48"/>
        <v>0</v>
      </c>
      <c r="AC42" s="111">
        <f t="shared" si="49"/>
        <v>0</v>
      </c>
      <c r="AD42" s="111">
        <f t="shared" si="50"/>
        <v>0</v>
      </c>
      <c r="AE42" s="111">
        <f t="shared" si="51"/>
        <v>0</v>
      </c>
      <c r="AF42" s="111">
        <f t="shared" si="52"/>
        <v>0</v>
      </c>
      <c r="AU42" s="138" t="s">
        <v>827</v>
      </c>
      <c r="AV42" s="100" t="s">
        <v>835</v>
      </c>
      <c r="AW42" s="111">
        <f t="shared" si="33"/>
        <v>0</v>
      </c>
      <c r="AX42" s="111">
        <f t="shared" si="34"/>
        <v>0</v>
      </c>
      <c r="AY42" s="111">
        <f t="shared" si="35"/>
        <v>0</v>
      </c>
      <c r="AZ42" s="111">
        <f t="shared" si="36"/>
        <v>0</v>
      </c>
      <c r="BA42" s="111">
        <f t="shared" si="37"/>
        <v>0</v>
      </c>
      <c r="BB42" s="111">
        <f t="shared" si="38"/>
        <v>0</v>
      </c>
      <c r="BC42" s="111">
        <f t="shared" si="39"/>
        <v>0</v>
      </c>
      <c r="BD42" s="111">
        <f t="shared" si="40"/>
        <v>0</v>
      </c>
      <c r="BE42" s="111">
        <f t="shared" si="41"/>
        <v>0</v>
      </c>
      <c r="BF42" s="111" t="str">
        <f t="shared" si="42"/>
        <v/>
      </c>
    </row>
    <row r="43" spans="1:58" x14ac:dyDescent="0.25">
      <c r="A43" s="129" t="str">
        <f>'G-1 All Habitats'!B42</f>
        <v>Lakes - Low alkalinity lakes</v>
      </c>
      <c r="B43" s="100" t="str">
        <f>'G-1 All Habitats'!F42</f>
        <v>Lakes</v>
      </c>
      <c r="C43" s="100" t="str">
        <f>'G-1 All Habitats'!K42</f>
        <v>High</v>
      </c>
      <c r="D43" s="100" t="str">
        <f>'G-1 All Habitats'!M42</f>
        <v>Same habitat required</v>
      </c>
      <c r="E43" s="111">
        <f>IF(C43="V.High",SUMIF('A-1 Site Habitat Baseline'!$G$11:$G$258,'G-2 Habitat groups'!A43,'A-1 Site Habitat Baseline'!$S$11:$S$258)+SUMIF('A-1 Site Habitat Baseline'!$G$11:$G$258,'G-2 Habitat groups'!A43,'A-1 Site Habitat Baseline'!$T$11:$T$258),SUMIF('A-1 Site Habitat Baseline'!$G$11:$G$258,'G-2 Habitat groups'!A43,'A-1 Site Habitat Baseline'!$H$11:$H$258))</f>
        <v>0</v>
      </c>
      <c r="F43" s="111">
        <f>SUMIF('A-1 Site Habitat Baseline'!$G$11:$G$258,'G-2 Habitat groups'!A43,'A-1 Site Habitat Baseline'!$Q$11:$Q$258)</f>
        <v>0</v>
      </c>
      <c r="G43" s="111">
        <f>SUMIF('A-1 Site Habitat Baseline'!$G$11:$G$258,'G-2 Habitat groups'!A43,'A-1 Site Habitat Baseline'!$S$11:$S$258)</f>
        <v>0</v>
      </c>
      <c r="H43" s="111">
        <f>SUMIF('A-1 Site Habitat Baseline'!$G$11:$G$258,'G-2 Habitat groups'!A43,'A-1 Site Habitat Baseline'!$U$11:$U$258)</f>
        <v>0</v>
      </c>
      <c r="I43" s="111">
        <f>SUMIF('A-1 Site Habitat Baseline'!$G$11:$G$258,'G-2 Habitat groups'!A43,'A-1 Site Habitat Baseline'!$W$11:$W$258)</f>
        <v>0</v>
      </c>
      <c r="J43" s="111">
        <f>SUMIF('A-1 Site Habitat Baseline'!$G$11:$G$258,'G-2 Habitat groups'!A43,'A-1 Site Habitat Baseline'!$X$11:$X$258)</f>
        <v>0</v>
      </c>
      <c r="K43" s="111">
        <f>SUMIF('A-2 Site Habitat Creation'!$F$11:$F$256,'G-2 Habitat groups'!A43,'A-2 Site Habitat Creation'!$G$11:$G$256)</f>
        <v>0</v>
      </c>
      <c r="L43" s="111">
        <f>SUMIF('A-2 Site Habitat Creation'!$F$11:$F$256,'G-2 Habitat groups'!A43,'A-2 Site Habitat Creation'!$Y$11:$Y$256)</f>
        <v>0</v>
      </c>
      <c r="M43" s="111">
        <f>SUMIF('A-3 Site Habitat Enhancement'!$S$12:$S$257,'G-2 Habitat groups'!A43,'A-3 Site Habitat Enhancement'!$V$12:$V$257)</f>
        <v>0</v>
      </c>
      <c r="N43" s="111">
        <f>SUMIF('A-3 Site Habitat Enhancement'!$S$12:$S$257,'G-2 Habitat groups'!A43,'A-3 Site Habitat Enhancement'!$AN$12:$AN$257)</f>
        <v>0</v>
      </c>
      <c r="O43" s="111">
        <f t="shared" si="43"/>
        <v>0</v>
      </c>
      <c r="P43" s="111">
        <f t="shared" si="44"/>
        <v>0</v>
      </c>
      <c r="Q43" s="111">
        <f t="shared" si="45"/>
        <v>0</v>
      </c>
      <c r="R43" s="111">
        <f t="shared" si="46"/>
        <v>0</v>
      </c>
      <c r="S43" s="111">
        <f>IF(C43="V.High",SUMIF('D-1 Off Site Habitat Baseline'!$G$11:$G$258,'G-2 Habitat groups'!A43,'D-1 Off Site Habitat Baseline'!$S$11:$S$258)+SUMIF('D-1 Off Site Habitat Baseline'!$G$11:$G$258,'G-2 Habitat groups'!A43,'D-1 Off Site Habitat Baseline'!$T$11:$T$258),SUMIF('D-1 Off Site Habitat Baseline'!$G$11:$G$258,'G-2 Habitat groups'!A43,'D-1 Off Site Habitat Baseline'!$H$11:$H$258))</f>
        <v>0</v>
      </c>
      <c r="T43" s="111">
        <f>SUMIF('D-1 Off Site Habitat Baseline'!$G$11:$G$258,'G-2 Habitat groups'!A43,'D-1 Off Site Habitat Baseline'!$Q$11:$Q$258)</f>
        <v>0</v>
      </c>
      <c r="U43" s="513">
        <f>SUMIF('D-1 Off Site Habitat Baseline'!$G$11:$G$258,'G-2 Habitat groups'!A43,'D-1 Off Site Habitat Baseline'!$S$11:$S$258)</f>
        <v>0</v>
      </c>
      <c r="V43" s="111">
        <f>SUMIF('D-1 Off Site Habitat Baseline'!$G$11:$G$258,'G-2 Habitat groups'!A43,'D-1 Off Site Habitat Baseline'!$U$11:$U$258)</f>
        <v>0</v>
      </c>
      <c r="W43" s="111">
        <f>SUMIF('D-2 Off Site Habitat Creation'!$F$9:$F$255,'G-2 Habitat groups'!A43,'D-2 Off Site Habitat Creation'!$G$9:$G$255)</f>
        <v>0</v>
      </c>
      <c r="X43" s="111">
        <f>SUMIF('D-2 Off Site Habitat Creation'!$F$9:$F$255,'G-2 Habitat groups'!A43,'D-2 Off Site Habitat Creation'!$AA$9:$AA$255)</f>
        <v>0</v>
      </c>
      <c r="Y43" s="111">
        <f>SUMIF('D-3 Off Site Habitat Enhancment'!$S$12:$S$491,'G-2 Habitat groups'!A43,'D-3 Off Site Habitat Enhancment'!$V$12:$V$491)</f>
        <v>0</v>
      </c>
      <c r="Z43" s="111">
        <f>SUMIF('D-3 Off Site Habitat Enhancment'!$S$12:$S$491,'G-2 Habitat groups'!A43,'D-3 Off Site Habitat Enhancment'!$AP$12:$AP$491)</f>
        <v>0</v>
      </c>
      <c r="AA43" s="111">
        <f t="shared" si="47"/>
        <v>0</v>
      </c>
      <c r="AB43" s="111">
        <f t="shared" si="48"/>
        <v>0</v>
      </c>
      <c r="AC43" s="111">
        <f t="shared" si="49"/>
        <v>0</v>
      </c>
      <c r="AD43" s="111">
        <f t="shared" si="50"/>
        <v>0</v>
      </c>
      <c r="AE43" s="111">
        <f t="shared" si="51"/>
        <v>0</v>
      </c>
      <c r="AF43" s="111">
        <f t="shared" si="52"/>
        <v>0</v>
      </c>
      <c r="AU43" s="138" t="s">
        <v>830</v>
      </c>
      <c r="AV43" s="100" t="s">
        <v>835</v>
      </c>
      <c r="AW43" s="111">
        <f t="shared" si="33"/>
        <v>0</v>
      </c>
      <c r="AX43" s="111">
        <f t="shared" si="34"/>
        <v>0</v>
      </c>
      <c r="AY43" s="111">
        <f t="shared" si="35"/>
        <v>0</v>
      </c>
      <c r="AZ43" s="111">
        <f t="shared" si="36"/>
        <v>0</v>
      </c>
      <c r="BA43" s="111">
        <f t="shared" si="37"/>
        <v>0</v>
      </c>
      <c r="BB43" s="111">
        <f t="shared" si="38"/>
        <v>0</v>
      </c>
      <c r="BC43" s="111">
        <f t="shared" si="39"/>
        <v>0</v>
      </c>
      <c r="BD43" s="111">
        <f t="shared" si="40"/>
        <v>0</v>
      </c>
      <c r="BE43" s="111">
        <f t="shared" si="41"/>
        <v>0</v>
      </c>
      <c r="BF43" s="111" t="str">
        <f t="shared" si="42"/>
        <v/>
      </c>
    </row>
    <row r="44" spans="1:58" x14ac:dyDescent="0.25">
      <c r="A44" s="129" t="str">
        <f>'G-1 All Habitats'!B43</f>
        <v>Lakes - Marl Lakes</v>
      </c>
      <c r="B44" s="100" t="str">
        <f>'G-1 All Habitats'!F43</f>
        <v>Lakes</v>
      </c>
      <c r="C44" s="100" t="str">
        <f>'G-1 All Habitats'!K43</f>
        <v>High</v>
      </c>
      <c r="D44" s="100" t="str">
        <f>'G-1 All Habitats'!M43</f>
        <v>Same habitat required</v>
      </c>
      <c r="E44" s="111">
        <f>IF(C44="V.High",SUMIF('A-1 Site Habitat Baseline'!$G$11:$G$258,'G-2 Habitat groups'!A44,'A-1 Site Habitat Baseline'!$S$11:$S$258)+SUMIF('A-1 Site Habitat Baseline'!$G$11:$G$258,'G-2 Habitat groups'!A44,'A-1 Site Habitat Baseline'!$T$11:$T$258),SUMIF('A-1 Site Habitat Baseline'!$G$11:$G$258,'G-2 Habitat groups'!A44,'A-1 Site Habitat Baseline'!$H$11:$H$258))</f>
        <v>0</v>
      </c>
      <c r="F44" s="111">
        <f>SUMIF('A-1 Site Habitat Baseline'!$G$11:$G$258,'G-2 Habitat groups'!A44,'A-1 Site Habitat Baseline'!$Q$11:$Q$258)</f>
        <v>0</v>
      </c>
      <c r="G44" s="111">
        <f>SUMIF('A-1 Site Habitat Baseline'!$G$11:$G$258,'G-2 Habitat groups'!A44,'A-1 Site Habitat Baseline'!$S$11:$S$258)</f>
        <v>0</v>
      </c>
      <c r="H44" s="111">
        <f>SUMIF('A-1 Site Habitat Baseline'!$G$11:$G$258,'G-2 Habitat groups'!A44,'A-1 Site Habitat Baseline'!$U$11:$U$258)</f>
        <v>0</v>
      </c>
      <c r="I44" s="111">
        <f>SUMIF('A-1 Site Habitat Baseline'!$G$11:$G$258,'G-2 Habitat groups'!A44,'A-1 Site Habitat Baseline'!$W$11:$W$258)</f>
        <v>0</v>
      </c>
      <c r="J44" s="111">
        <f>SUMIF('A-1 Site Habitat Baseline'!$G$11:$G$258,'G-2 Habitat groups'!A44,'A-1 Site Habitat Baseline'!$X$11:$X$258)</f>
        <v>0</v>
      </c>
      <c r="K44" s="111">
        <f>SUMIF('A-2 Site Habitat Creation'!$F$11:$F$256,'G-2 Habitat groups'!A44,'A-2 Site Habitat Creation'!$G$11:$G$256)</f>
        <v>0</v>
      </c>
      <c r="L44" s="111">
        <f>SUMIF('A-2 Site Habitat Creation'!$F$11:$F$256,'G-2 Habitat groups'!A44,'A-2 Site Habitat Creation'!$Y$11:$Y$256)</f>
        <v>0</v>
      </c>
      <c r="M44" s="111">
        <f>SUMIF('A-3 Site Habitat Enhancement'!$S$12:$S$257,'G-2 Habitat groups'!A44,'A-3 Site Habitat Enhancement'!$V$12:$V$257)</f>
        <v>0</v>
      </c>
      <c r="N44" s="111">
        <f>SUMIF('A-3 Site Habitat Enhancement'!$S$12:$S$257,'G-2 Habitat groups'!A44,'A-3 Site Habitat Enhancement'!$AN$12:$AN$257)</f>
        <v>0</v>
      </c>
      <c r="O44" s="111">
        <f t="shared" si="43"/>
        <v>0</v>
      </c>
      <c r="P44" s="111">
        <f t="shared" si="44"/>
        <v>0</v>
      </c>
      <c r="Q44" s="111">
        <f t="shared" si="45"/>
        <v>0</v>
      </c>
      <c r="R44" s="111">
        <f t="shared" si="46"/>
        <v>0</v>
      </c>
      <c r="S44" s="111">
        <f>IF(C44="V.High",SUMIF('D-1 Off Site Habitat Baseline'!$G$11:$G$258,'G-2 Habitat groups'!A44,'D-1 Off Site Habitat Baseline'!$S$11:$S$258)+SUMIF('D-1 Off Site Habitat Baseline'!$G$11:$G$258,'G-2 Habitat groups'!A44,'D-1 Off Site Habitat Baseline'!$T$11:$T$258),SUMIF('D-1 Off Site Habitat Baseline'!$G$11:$G$258,'G-2 Habitat groups'!A44,'D-1 Off Site Habitat Baseline'!$H$11:$H$258))</f>
        <v>0</v>
      </c>
      <c r="T44" s="111">
        <f>SUMIF('D-1 Off Site Habitat Baseline'!$G$11:$G$258,'G-2 Habitat groups'!A44,'D-1 Off Site Habitat Baseline'!$Q$11:$Q$258)</f>
        <v>0</v>
      </c>
      <c r="U44" s="513">
        <f>SUMIF('D-1 Off Site Habitat Baseline'!$G$11:$G$258,'G-2 Habitat groups'!A44,'D-1 Off Site Habitat Baseline'!$S$11:$S$258)</f>
        <v>0</v>
      </c>
      <c r="V44" s="111">
        <f>SUMIF('D-1 Off Site Habitat Baseline'!$G$11:$G$258,'G-2 Habitat groups'!A44,'D-1 Off Site Habitat Baseline'!$U$11:$U$258)</f>
        <v>0</v>
      </c>
      <c r="W44" s="111">
        <f>SUMIF('D-2 Off Site Habitat Creation'!$F$9:$F$255,'G-2 Habitat groups'!A44,'D-2 Off Site Habitat Creation'!$G$9:$G$255)</f>
        <v>0</v>
      </c>
      <c r="X44" s="111">
        <f>SUMIF('D-2 Off Site Habitat Creation'!$F$9:$F$255,'G-2 Habitat groups'!A44,'D-2 Off Site Habitat Creation'!$AA$9:$AA$255)</f>
        <v>0</v>
      </c>
      <c r="Y44" s="111">
        <f>SUMIF('D-3 Off Site Habitat Enhancment'!$S$12:$S$491,'G-2 Habitat groups'!A44,'D-3 Off Site Habitat Enhancment'!$V$12:$V$491)</f>
        <v>0</v>
      </c>
      <c r="Z44" s="111">
        <f>SUMIF('D-3 Off Site Habitat Enhancment'!$S$12:$S$491,'G-2 Habitat groups'!A44,'D-3 Off Site Habitat Enhancment'!$AP$12:$AP$491)</f>
        <v>0</v>
      </c>
      <c r="AA44" s="111">
        <f t="shared" si="47"/>
        <v>0</v>
      </c>
      <c r="AB44" s="111">
        <f t="shared" si="48"/>
        <v>0</v>
      </c>
      <c r="AC44" s="111">
        <f t="shared" si="49"/>
        <v>0</v>
      </c>
      <c r="AD44" s="111">
        <f t="shared" si="50"/>
        <v>0</v>
      </c>
      <c r="AE44" s="111">
        <f t="shared" si="51"/>
        <v>0</v>
      </c>
      <c r="AF44" s="111">
        <f t="shared" si="52"/>
        <v>0</v>
      </c>
      <c r="AU44" s="135" t="s">
        <v>1150</v>
      </c>
      <c r="AV44" s="100" t="s">
        <v>835</v>
      </c>
      <c r="AW44" s="111">
        <f t="shared" si="33"/>
        <v>0</v>
      </c>
      <c r="AX44" s="111">
        <f t="shared" si="34"/>
        <v>0</v>
      </c>
      <c r="AY44" s="111">
        <f t="shared" si="35"/>
        <v>0</v>
      </c>
      <c r="AZ44" s="111">
        <f t="shared" si="36"/>
        <v>0</v>
      </c>
      <c r="BA44" s="111">
        <f t="shared" si="37"/>
        <v>0</v>
      </c>
      <c r="BB44" s="111">
        <f t="shared" si="38"/>
        <v>0</v>
      </c>
      <c r="BC44" s="111">
        <f t="shared" si="39"/>
        <v>0</v>
      </c>
      <c r="BD44" s="111">
        <f t="shared" si="40"/>
        <v>0</v>
      </c>
      <c r="BE44" s="111">
        <f t="shared" si="41"/>
        <v>0</v>
      </c>
      <c r="BF44" s="111" t="str">
        <f t="shared" si="42"/>
        <v/>
      </c>
    </row>
    <row r="45" spans="1:58" x14ac:dyDescent="0.25">
      <c r="A45" s="129" t="str">
        <f>'G-1 All Habitats'!B44</f>
        <v>Lakes - Moderate alkalinity lakes</v>
      </c>
      <c r="B45" s="100" t="str">
        <f>'G-1 All Habitats'!F44</f>
        <v>Lakes</v>
      </c>
      <c r="C45" s="100" t="str">
        <f>'G-1 All Habitats'!K44</f>
        <v>High</v>
      </c>
      <c r="D45" s="100" t="str">
        <f>'G-1 All Habitats'!M44</f>
        <v>Same habitat required</v>
      </c>
      <c r="E45" s="111">
        <f>IF(C45="V.High",SUMIF('A-1 Site Habitat Baseline'!$G$11:$G$258,'G-2 Habitat groups'!A45,'A-1 Site Habitat Baseline'!$S$11:$S$258)+SUMIF('A-1 Site Habitat Baseline'!$G$11:$G$258,'G-2 Habitat groups'!A45,'A-1 Site Habitat Baseline'!$T$11:$T$258),SUMIF('A-1 Site Habitat Baseline'!$G$11:$G$258,'G-2 Habitat groups'!A45,'A-1 Site Habitat Baseline'!$H$11:$H$258))</f>
        <v>0</v>
      </c>
      <c r="F45" s="111">
        <f>SUMIF('A-1 Site Habitat Baseline'!$G$11:$G$258,'G-2 Habitat groups'!A45,'A-1 Site Habitat Baseline'!$Q$11:$Q$258)</f>
        <v>0</v>
      </c>
      <c r="G45" s="111">
        <f>SUMIF('A-1 Site Habitat Baseline'!$G$11:$G$258,'G-2 Habitat groups'!A45,'A-1 Site Habitat Baseline'!$S$11:$S$258)</f>
        <v>0</v>
      </c>
      <c r="H45" s="111">
        <f>SUMIF('A-1 Site Habitat Baseline'!$G$11:$G$258,'G-2 Habitat groups'!A45,'A-1 Site Habitat Baseline'!$U$11:$U$258)</f>
        <v>0</v>
      </c>
      <c r="I45" s="111">
        <f>SUMIF('A-1 Site Habitat Baseline'!$G$11:$G$258,'G-2 Habitat groups'!A45,'A-1 Site Habitat Baseline'!$W$11:$W$258)</f>
        <v>0</v>
      </c>
      <c r="J45" s="111">
        <f>SUMIF('A-1 Site Habitat Baseline'!$G$11:$G$258,'G-2 Habitat groups'!A45,'A-1 Site Habitat Baseline'!$X$11:$X$258)</f>
        <v>0</v>
      </c>
      <c r="K45" s="111">
        <f>SUMIF('A-2 Site Habitat Creation'!$F$11:$F$256,'G-2 Habitat groups'!A45,'A-2 Site Habitat Creation'!$G$11:$G$256)</f>
        <v>0</v>
      </c>
      <c r="L45" s="111">
        <f>SUMIF('A-2 Site Habitat Creation'!$F$11:$F$256,'G-2 Habitat groups'!A45,'A-2 Site Habitat Creation'!$Y$11:$Y$256)</f>
        <v>0</v>
      </c>
      <c r="M45" s="111">
        <f>SUMIF('A-3 Site Habitat Enhancement'!$S$12:$S$257,'G-2 Habitat groups'!A45,'A-3 Site Habitat Enhancement'!$V$12:$V$257)</f>
        <v>0</v>
      </c>
      <c r="N45" s="111">
        <f>SUMIF('A-3 Site Habitat Enhancement'!$S$12:$S$257,'G-2 Habitat groups'!A45,'A-3 Site Habitat Enhancement'!$AN$12:$AN$257)</f>
        <v>0</v>
      </c>
      <c r="O45" s="111">
        <f t="shared" si="43"/>
        <v>0</v>
      </c>
      <c r="P45" s="111">
        <f t="shared" si="44"/>
        <v>0</v>
      </c>
      <c r="Q45" s="111">
        <f t="shared" si="45"/>
        <v>0</v>
      </c>
      <c r="R45" s="111">
        <f t="shared" si="46"/>
        <v>0</v>
      </c>
      <c r="S45" s="111">
        <f>IF(C45="V.High",SUMIF('D-1 Off Site Habitat Baseline'!$G$11:$G$258,'G-2 Habitat groups'!A45,'D-1 Off Site Habitat Baseline'!$S$11:$S$258)+SUMIF('D-1 Off Site Habitat Baseline'!$G$11:$G$258,'G-2 Habitat groups'!A45,'D-1 Off Site Habitat Baseline'!$T$11:$T$258),SUMIF('D-1 Off Site Habitat Baseline'!$G$11:$G$258,'G-2 Habitat groups'!A45,'D-1 Off Site Habitat Baseline'!$H$11:$H$258))</f>
        <v>0</v>
      </c>
      <c r="T45" s="111">
        <f>SUMIF('D-1 Off Site Habitat Baseline'!$G$11:$G$258,'G-2 Habitat groups'!A45,'D-1 Off Site Habitat Baseline'!$Q$11:$Q$258)</f>
        <v>0</v>
      </c>
      <c r="U45" s="513">
        <f>SUMIF('D-1 Off Site Habitat Baseline'!$G$11:$G$258,'G-2 Habitat groups'!A45,'D-1 Off Site Habitat Baseline'!$S$11:$S$258)</f>
        <v>0</v>
      </c>
      <c r="V45" s="111">
        <f>SUMIF('D-1 Off Site Habitat Baseline'!$G$11:$G$258,'G-2 Habitat groups'!A45,'D-1 Off Site Habitat Baseline'!$U$11:$U$258)</f>
        <v>0</v>
      </c>
      <c r="W45" s="111">
        <f>SUMIF('D-2 Off Site Habitat Creation'!$F$9:$F$255,'G-2 Habitat groups'!A45,'D-2 Off Site Habitat Creation'!$G$9:$G$255)</f>
        <v>0</v>
      </c>
      <c r="X45" s="111">
        <f>SUMIF('D-2 Off Site Habitat Creation'!$F$9:$F$255,'G-2 Habitat groups'!A45,'D-2 Off Site Habitat Creation'!$AA$9:$AA$255)</f>
        <v>0</v>
      </c>
      <c r="Y45" s="111">
        <f>SUMIF('D-3 Off Site Habitat Enhancment'!$S$12:$S$491,'G-2 Habitat groups'!A45,'D-3 Off Site Habitat Enhancment'!$V$12:$V$491)</f>
        <v>0</v>
      </c>
      <c r="Z45" s="111">
        <f>SUMIF('D-3 Off Site Habitat Enhancment'!$S$12:$S$491,'G-2 Habitat groups'!A45,'D-3 Off Site Habitat Enhancment'!$AP$12:$AP$491)</f>
        <v>0</v>
      </c>
      <c r="AA45" s="111">
        <f t="shared" si="47"/>
        <v>0</v>
      </c>
      <c r="AB45" s="111">
        <f t="shared" si="48"/>
        <v>0</v>
      </c>
      <c r="AC45" s="111">
        <f t="shared" si="49"/>
        <v>0</v>
      </c>
      <c r="AD45" s="111">
        <f t="shared" si="50"/>
        <v>0</v>
      </c>
      <c r="AE45" s="111">
        <f t="shared" si="51"/>
        <v>0</v>
      </c>
      <c r="AF45" s="111">
        <f t="shared" si="52"/>
        <v>0</v>
      </c>
      <c r="AU45" s="138" t="s">
        <v>831</v>
      </c>
      <c r="AV45" s="100" t="s">
        <v>835</v>
      </c>
      <c r="AW45" s="111">
        <f t="shared" si="33"/>
        <v>0</v>
      </c>
      <c r="AX45" s="111">
        <f t="shared" si="34"/>
        <v>0</v>
      </c>
      <c r="AY45" s="111">
        <f t="shared" si="35"/>
        <v>0</v>
      </c>
      <c r="AZ45" s="111">
        <f t="shared" si="36"/>
        <v>0</v>
      </c>
      <c r="BA45" s="111">
        <f t="shared" si="37"/>
        <v>0</v>
      </c>
      <c r="BB45" s="111">
        <f t="shared" si="38"/>
        <v>0</v>
      </c>
      <c r="BC45" s="111">
        <f t="shared" si="39"/>
        <v>0</v>
      </c>
      <c r="BD45" s="111">
        <f t="shared" si="40"/>
        <v>0</v>
      </c>
      <c r="BE45" s="111">
        <f t="shared" si="41"/>
        <v>0</v>
      </c>
      <c r="BF45" s="111" t="str">
        <f t="shared" si="42"/>
        <v/>
      </c>
    </row>
    <row r="46" spans="1:58" x14ac:dyDescent="0.25">
      <c r="A46" s="129" t="str">
        <f>'G-1 All Habitats'!B45</f>
        <v>Lakes - Peat Lakes</v>
      </c>
      <c r="B46" s="100" t="str">
        <f>'G-1 All Habitats'!F45</f>
        <v>Lakes</v>
      </c>
      <c r="C46" s="100" t="str">
        <f>'G-1 All Habitats'!K45</f>
        <v>High</v>
      </c>
      <c r="D46" s="100" t="str">
        <f>'G-1 All Habitats'!M45</f>
        <v>Same habitat required</v>
      </c>
      <c r="E46" s="111">
        <f>IF(C46="V.High",SUMIF('A-1 Site Habitat Baseline'!$G$11:$G$258,'G-2 Habitat groups'!A46,'A-1 Site Habitat Baseline'!$S$11:$S$258)+SUMIF('A-1 Site Habitat Baseline'!$G$11:$G$258,'G-2 Habitat groups'!A46,'A-1 Site Habitat Baseline'!$T$11:$T$258),SUMIF('A-1 Site Habitat Baseline'!$G$11:$G$258,'G-2 Habitat groups'!A46,'A-1 Site Habitat Baseline'!$H$11:$H$258))</f>
        <v>0</v>
      </c>
      <c r="F46" s="111">
        <f>SUMIF('A-1 Site Habitat Baseline'!$G$11:$G$258,'G-2 Habitat groups'!A46,'A-1 Site Habitat Baseline'!$Q$11:$Q$258)</f>
        <v>0</v>
      </c>
      <c r="G46" s="111">
        <f>SUMIF('A-1 Site Habitat Baseline'!$G$11:$G$258,'G-2 Habitat groups'!A46,'A-1 Site Habitat Baseline'!$S$11:$S$258)</f>
        <v>0</v>
      </c>
      <c r="H46" s="111">
        <f>SUMIF('A-1 Site Habitat Baseline'!$G$11:$G$258,'G-2 Habitat groups'!A46,'A-1 Site Habitat Baseline'!$U$11:$U$258)</f>
        <v>0</v>
      </c>
      <c r="I46" s="111">
        <f>SUMIF('A-1 Site Habitat Baseline'!$G$11:$G$258,'G-2 Habitat groups'!A46,'A-1 Site Habitat Baseline'!$W$11:$W$258)</f>
        <v>0</v>
      </c>
      <c r="J46" s="111">
        <f>SUMIF('A-1 Site Habitat Baseline'!$G$11:$G$258,'G-2 Habitat groups'!A46,'A-1 Site Habitat Baseline'!$X$11:$X$258)</f>
        <v>0</v>
      </c>
      <c r="K46" s="111">
        <f>SUMIF('A-2 Site Habitat Creation'!$F$11:$F$256,'G-2 Habitat groups'!A46,'A-2 Site Habitat Creation'!$G$11:$G$256)</f>
        <v>0</v>
      </c>
      <c r="L46" s="111">
        <f>SUMIF('A-2 Site Habitat Creation'!$F$11:$F$256,'G-2 Habitat groups'!A46,'A-2 Site Habitat Creation'!$Y$11:$Y$256)</f>
        <v>0</v>
      </c>
      <c r="M46" s="111">
        <f>SUMIF('A-3 Site Habitat Enhancement'!$S$12:$S$257,'G-2 Habitat groups'!A46,'A-3 Site Habitat Enhancement'!$V$12:$V$257)</f>
        <v>0</v>
      </c>
      <c r="N46" s="111">
        <f>SUMIF('A-3 Site Habitat Enhancement'!$S$12:$S$257,'G-2 Habitat groups'!A46,'A-3 Site Habitat Enhancement'!$AN$12:$AN$257)</f>
        <v>0</v>
      </c>
      <c r="O46" s="111">
        <f t="shared" si="43"/>
        <v>0</v>
      </c>
      <c r="P46" s="111">
        <f t="shared" si="44"/>
        <v>0</v>
      </c>
      <c r="Q46" s="111">
        <f t="shared" si="45"/>
        <v>0</v>
      </c>
      <c r="R46" s="111">
        <f t="shared" si="46"/>
        <v>0</v>
      </c>
      <c r="S46" s="111">
        <f>IF(C46="V.High",SUMIF('D-1 Off Site Habitat Baseline'!$G$11:$G$258,'G-2 Habitat groups'!A46,'D-1 Off Site Habitat Baseline'!$S$11:$S$258)+SUMIF('D-1 Off Site Habitat Baseline'!$G$11:$G$258,'G-2 Habitat groups'!A46,'D-1 Off Site Habitat Baseline'!$T$11:$T$258),SUMIF('D-1 Off Site Habitat Baseline'!$G$11:$G$258,'G-2 Habitat groups'!A46,'D-1 Off Site Habitat Baseline'!$H$11:$H$258))</f>
        <v>0</v>
      </c>
      <c r="T46" s="111">
        <f>SUMIF('D-1 Off Site Habitat Baseline'!$G$11:$G$258,'G-2 Habitat groups'!A46,'D-1 Off Site Habitat Baseline'!$Q$11:$Q$258)</f>
        <v>0</v>
      </c>
      <c r="U46" s="513">
        <f>SUMIF('D-1 Off Site Habitat Baseline'!$G$11:$G$258,'G-2 Habitat groups'!A46,'D-1 Off Site Habitat Baseline'!$S$11:$S$258)</f>
        <v>0</v>
      </c>
      <c r="V46" s="111">
        <f>SUMIF('D-1 Off Site Habitat Baseline'!$G$11:$G$258,'G-2 Habitat groups'!A46,'D-1 Off Site Habitat Baseline'!$U$11:$U$258)</f>
        <v>0</v>
      </c>
      <c r="W46" s="111">
        <f>SUMIF('D-2 Off Site Habitat Creation'!$F$9:$F$255,'G-2 Habitat groups'!A46,'D-2 Off Site Habitat Creation'!$G$9:$G$255)</f>
        <v>0</v>
      </c>
      <c r="X46" s="111">
        <f>SUMIF('D-2 Off Site Habitat Creation'!$F$9:$F$255,'G-2 Habitat groups'!A46,'D-2 Off Site Habitat Creation'!$AA$9:$AA$255)</f>
        <v>0</v>
      </c>
      <c r="Y46" s="111">
        <f>SUMIF('D-3 Off Site Habitat Enhancment'!$S$12:$S$491,'G-2 Habitat groups'!A46,'D-3 Off Site Habitat Enhancment'!$V$12:$V$491)</f>
        <v>0</v>
      </c>
      <c r="Z46" s="111">
        <f>SUMIF('D-3 Off Site Habitat Enhancment'!$S$12:$S$491,'G-2 Habitat groups'!A46,'D-3 Off Site Habitat Enhancment'!$AP$12:$AP$491)</f>
        <v>0</v>
      </c>
      <c r="AA46" s="111">
        <f t="shared" si="47"/>
        <v>0</v>
      </c>
      <c r="AB46" s="111">
        <f t="shared" si="48"/>
        <v>0</v>
      </c>
      <c r="AC46" s="111">
        <f t="shared" si="49"/>
        <v>0</v>
      </c>
      <c r="AD46" s="111">
        <f t="shared" si="50"/>
        <v>0</v>
      </c>
      <c r="AE46" s="111">
        <f t="shared" si="51"/>
        <v>0</v>
      </c>
      <c r="AF46" s="111">
        <f t="shared" si="52"/>
        <v>0</v>
      </c>
      <c r="AU46" s="138" t="s">
        <v>855</v>
      </c>
      <c r="AV46" s="100" t="s">
        <v>167</v>
      </c>
      <c r="AW46" s="111">
        <f t="shared" si="33"/>
        <v>0</v>
      </c>
      <c r="AX46" s="111">
        <f t="shared" si="34"/>
        <v>0</v>
      </c>
      <c r="AY46" s="111">
        <f t="shared" si="35"/>
        <v>0</v>
      </c>
      <c r="AZ46" s="111">
        <f t="shared" si="36"/>
        <v>0</v>
      </c>
      <c r="BA46" s="111">
        <f t="shared" si="37"/>
        <v>0</v>
      </c>
      <c r="BB46" s="111">
        <f t="shared" si="38"/>
        <v>0</v>
      </c>
      <c r="BC46" s="111">
        <f t="shared" si="39"/>
        <v>0</v>
      </c>
      <c r="BD46" s="111">
        <f t="shared" si="40"/>
        <v>0</v>
      </c>
      <c r="BE46" s="111">
        <f t="shared" si="41"/>
        <v>0</v>
      </c>
      <c r="BF46" s="111" t="str">
        <f t="shared" si="42"/>
        <v/>
      </c>
    </row>
    <row r="47" spans="1:58" x14ac:dyDescent="0.25">
      <c r="A47" s="129" t="str">
        <f>'G-1 All Habitats'!B46</f>
        <v>Lakes - Ponds (Priority Habitat)</v>
      </c>
      <c r="B47" s="100" t="str">
        <f>'G-1 All Habitats'!F46</f>
        <v>Lakes</v>
      </c>
      <c r="C47" s="100" t="str">
        <f>'G-1 All Habitats'!K46</f>
        <v>High</v>
      </c>
      <c r="D47" s="100" t="str">
        <f>'G-1 All Habitats'!M46</f>
        <v>Same habitat required</v>
      </c>
      <c r="E47" s="111">
        <f>IF(C47="V.High",SUMIF('A-1 Site Habitat Baseline'!$G$11:$G$258,'G-2 Habitat groups'!A47,'A-1 Site Habitat Baseline'!$S$11:$S$258)+SUMIF('A-1 Site Habitat Baseline'!$G$11:$G$258,'G-2 Habitat groups'!A47,'A-1 Site Habitat Baseline'!$T$11:$T$258),SUMIF('A-1 Site Habitat Baseline'!$G$11:$G$258,'G-2 Habitat groups'!A47,'A-1 Site Habitat Baseline'!$H$11:$H$258))</f>
        <v>0</v>
      </c>
      <c r="F47" s="111">
        <f>SUMIF('A-1 Site Habitat Baseline'!$G$11:$G$258,'G-2 Habitat groups'!A47,'A-1 Site Habitat Baseline'!$Q$11:$Q$258)</f>
        <v>0</v>
      </c>
      <c r="G47" s="111">
        <f>SUMIF('A-1 Site Habitat Baseline'!$G$11:$G$258,'G-2 Habitat groups'!A47,'A-1 Site Habitat Baseline'!$S$11:$S$258)</f>
        <v>0</v>
      </c>
      <c r="H47" s="111">
        <f>SUMIF('A-1 Site Habitat Baseline'!$G$11:$G$258,'G-2 Habitat groups'!A47,'A-1 Site Habitat Baseline'!$U$11:$U$258)</f>
        <v>0</v>
      </c>
      <c r="I47" s="111">
        <f>SUMIF('A-1 Site Habitat Baseline'!$G$11:$G$258,'G-2 Habitat groups'!A47,'A-1 Site Habitat Baseline'!$W$11:$W$258)</f>
        <v>0</v>
      </c>
      <c r="J47" s="111">
        <f>SUMIF('A-1 Site Habitat Baseline'!$G$11:$G$258,'G-2 Habitat groups'!A47,'A-1 Site Habitat Baseline'!$X$11:$X$258)</f>
        <v>0</v>
      </c>
      <c r="K47" s="111">
        <f>SUMIF('A-2 Site Habitat Creation'!$F$11:$F$256,'G-2 Habitat groups'!A47,'A-2 Site Habitat Creation'!$G$11:$G$256)</f>
        <v>0</v>
      </c>
      <c r="L47" s="111">
        <f>SUMIF('A-2 Site Habitat Creation'!$F$11:$F$256,'G-2 Habitat groups'!A47,'A-2 Site Habitat Creation'!$Y$11:$Y$256)</f>
        <v>0</v>
      </c>
      <c r="M47" s="111">
        <f>SUMIF('A-3 Site Habitat Enhancement'!$S$12:$S$257,'G-2 Habitat groups'!A47,'A-3 Site Habitat Enhancement'!$V$12:$V$257)</f>
        <v>0</v>
      </c>
      <c r="N47" s="111">
        <f>SUMIF('A-3 Site Habitat Enhancement'!$S$12:$S$257,'G-2 Habitat groups'!A47,'A-3 Site Habitat Enhancement'!$AN$12:$AN$257)</f>
        <v>0</v>
      </c>
      <c r="O47" s="111">
        <f t="shared" si="43"/>
        <v>0</v>
      </c>
      <c r="P47" s="111">
        <f t="shared" si="44"/>
        <v>0</v>
      </c>
      <c r="Q47" s="111">
        <f t="shared" si="45"/>
        <v>0</v>
      </c>
      <c r="R47" s="111">
        <f t="shared" si="46"/>
        <v>0</v>
      </c>
      <c r="S47" s="111">
        <f>IF(C47="V.High",SUMIF('D-1 Off Site Habitat Baseline'!$G$11:$G$258,'G-2 Habitat groups'!A47,'D-1 Off Site Habitat Baseline'!$S$11:$S$258)+SUMIF('D-1 Off Site Habitat Baseline'!$G$11:$G$258,'G-2 Habitat groups'!A47,'D-1 Off Site Habitat Baseline'!$T$11:$T$258),SUMIF('D-1 Off Site Habitat Baseline'!$G$11:$G$258,'G-2 Habitat groups'!A47,'D-1 Off Site Habitat Baseline'!$H$11:$H$258))</f>
        <v>0</v>
      </c>
      <c r="T47" s="111">
        <f>SUMIF('D-1 Off Site Habitat Baseline'!$G$11:$G$258,'G-2 Habitat groups'!A47,'D-1 Off Site Habitat Baseline'!$Q$11:$Q$258)</f>
        <v>0</v>
      </c>
      <c r="U47" s="513">
        <f>SUMIF('D-1 Off Site Habitat Baseline'!$G$11:$G$258,'G-2 Habitat groups'!A47,'D-1 Off Site Habitat Baseline'!$S$11:$S$258)</f>
        <v>0</v>
      </c>
      <c r="V47" s="111">
        <f>SUMIF('D-1 Off Site Habitat Baseline'!$G$11:$G$258,'G-2 Habitat groups'!A47,'D-1 Off Site Habitat Baseline'!$U$11:$U$258)</f>
        <v>0</v>
      </c>
      <c r="W47" s="111">
        <f>SUMIF('D-2 Off Site Habitat Creation'!$F$9:$F$255,'G-2 Habitat groups'!A47,'D-2 Off Site Habitat Creation'!$G$9:$G$255)</f>
        <v>0</v>
      </c>
      <c r="X47" s="111">
        <f>SUMIF('D-2 Off Site Habitat Creation'!$F$9:$F$255,'G-2 Habitat groups'!A47,'D-2 Off Site Habitat Creation'!$AA$9:$AA$255)</f>
        <v>0</v>
      </c>
      <c r="Y47" s="111">
        <f>SUMIF('D-3 Off Site Habitat Enhancment'!$S$12:$S$491,'G-2 Habitat groups'!A47,'D-3 Off Site Habitat Enhancment'!$V$12:$V$491)</f>
        <v>0</v>
      </c>
      <c r="Z47" s="111">
        <f>SUMIF('D-3 Off Site Habitat Enhancment'!$S$12:$S$491,'G-2 Habitat groups'!A47,'D-3 Off Site Habitat Enhancment'!$AP$12:$AP$491)</f>
        <v>0</v>
      </c>
      <c r="AA47" s="111">
        <f t="shared" si="47"/>
        <v>0</v>
      </c>
      <c r="AB47" s="111">
        <f t="shared" si="48"/>
        <v>0</v>
      </c>
      <c r="AC47" s="111">
        <f t="shared" si="49"/>
        <v>0</v>
      </c>
      <c r="AD47" s="111">
        <f t="shared" si="50"/>
        <v>0</v>
      </c>
      <c r="AE47" s="111">
        <f t="shared" si="51"/>
        <v>0</v>
      </c>
      <c r="AF47" s="111">
        <f t="shared" si="52"/>
        <v>0</v>
      </c>
      <c r="AU47" s="138" t="s">
        <v>856</v>
      </c>
      <c r="AV47" s="100" t="s">
        <v>167</v>
      </c>
      <c r="AW47" s="111">
        <f t="shared" si="33"/>
        <v>0</v>
      </c>
      <c r="AX47" s="111">
        <f t="shared" si="34"/>
        <v>0</v>
      </c>
      <c r="AY47" s="111">
        <f t="shared" si="35"/>
        <v>0</v>
      </c>
      <c r="AZ47" s="111">
        <f t="shared" si="36"/>
        <v>0</v>
      </c>
      <c r="BA47" s="111">
        <f t="shared" si="37"/>
        <v>0</v>
      </c>
      <c r="BB47" s="111">
        <f t="shared" si="38"/>
        <v>0</v>
      </c>
      <c r="BC47" s="111">
        <f t="shared" si="39"/>
        <v>0</v>
      </c>
      <c r="BD47" s="111">
        <f t="shared" si="40"/>
        <v>0</v>
      </c>
      <c r="BE47" s="111">
        <f t="shared" si="41"/>
        <v>0</v>
      </c>
      <c r="BF47" s="111" t="str">
        <f t="shared" si="42"/>
        <v/>
      </c>
    </row>
    <row r="48" spans="1:58" x14ac:dyDescent="0.25">
      <c r="A48" s="129" t="str">
        <f>'G-1 All Habitats'!B47</f>
        <v>Lakes - Ponds (Non- Priority Habitat)</v>
      </c>
      <c r="B48" s="100" t="str">
        <f>'G-1 All Habitats'!F47</f>
        <v>Lakes</v>
      </c>
      <c r="C48" s="100" t="str">
        <f>'G-1 All Habitats'!K47</f>
        <v>Medium</v>
      </c>
      <c r="D48" s="100" t="str">
        <f>'G-1 All Habitats'!M47</f>
        <v>Same broad habitat or a higher distinctiveness habitat required</v>
      </c>
      <c r="E48" s="111">
        <f>IF(C48="V.High",SUMIF('A-1 Site Habitat Baseline'!$G$11:$G$258,'G-2 Habitat groups'!A48,'A-1 Site Habitat Baseline'!$S$11:$S$258)+SUMIF('A-1 Site Habitat Baseline'!$G$11:$G$258,'G-2 Habitat groups'!A48,'A-1 Site Habitat Baseline'!$T$11:$T$258),SUMIF('A-1 Site Habitat Baseline'!$G$11:$G$258,'G-2 Habitat groups'!A48,'A-1 Site Habitat Baseline'!$H$11:$H$258))</f>
        <v>0</v>
      </c>
      <c r="F48" s="111">
        <f>SUMIF('A-1 Site Habitat Baseline'!$G$11:$G$258,'G-2 Habitat groups'!A48,'A-1 Site Habitat Baseline'!$Q$11:$Q$258)</f>
        <v>0</v>
      </c>
      <c r="G48" s="111">
        <f>SUMIF('A-1 Site Habitat Baseline'!$G$11:$G$258,'G-2 Habitat groups'!A48,'A-1 Site Habitat Baseline'!$S$11:$S$258)</f>
        <v>0</v>
      </c>
      <c r="H48" s="111">
        <f>SUMIF('A-1 Site Habitat Baseline'!$G$11:$G$258,'G-2 Habitat groups'!A48,'A-1 Site Habitat Baseline'!$U$11:$U$258)</f>
        <v>0</v>
      </c>
      <c r="I48" s="111">
        <f>SUMIF('A-1 Site Habitat Baseline'!$G$11:$G$258,'G-2 Habitat groups'!A48,'A-1 Site Habitat Baseline'!$W$11:$W$258)</f>
        <v>0</v>
      </c>
      <c r="J48" s="111">
        <f>SUMIF('A-1 Site Habitat Baseline'!$G$11:$G$258,'G-2 Habitat groups'!A48,'A-1 Site Habitat Baseline'!$X$11:$X$258)</f>
        <v>0</v>
      </c>
      <c r="K48" s="111">
        <f>SUMIF('A-2 Site Habitat Creation'!$F$11:$F$256,'G-2 Habitat groups'!A48,'A-2 Site Habitat Creation'!$G$11:$G$256)</f>
        <v>3.0000000000000001E-3</v>
      </c>
      <c r="L48" s="111">
        <f>SUMIF('A-2 Site Habitat Creation'!$F$11:$F$256,'G-2 Habitat groups'!A48,'A-2 Site Habitat Creation'!$Y$11:$Y$256)</f>
        <v>1.158E-2</v>
      </c>
      <c r="M48" s="111">
        <f>SUMIF('A-3 Site Habitat Enhancement'!$S$12:$S$257,'G-2 Habitat groups'!A48,'A-3 Site Habitat Enhancement'!$V$12:$V$257)</f>
        <v>0</v>
      </c>
      <c r="N48" s="111">
        <f>SUMIF('A-3 Site Habitat Enhancement'!$S$12:$S$257,'G-2 Habitat groups'!A48,'A-3 Site Habitat Enhancement'!$AN$12:$AN$257)</f>
        <v>0</v>
      </c>
      <c r="O48" s="111">
        <f t="shared" si="43"/>
        <v>3.0000000000000001E-3</v>
      </c>
      <c r="P48" s="111">
        <f t="shared" si="44"/>
        <v>1.158E-2</v>
      </c>
      <c r="Q48" s="111">
        <f t="shared" si="45"/>
        <v>3.0000000000000001E-3</v>
      </c>
      <c r="R48" s="111">
        <f t="shared" si="46"/>
        <v>1.158E-2</v>
      </c>
      <c r="S48" s="111">
        <f>IF(C48="V.High",SUMIF('D-1 Off Site Habitat Baseline'!$G$11:$G$258,'G-2 Habitat groups'!A48,'D-1 Off Site Habitat Baseline'!$S$11:$S$258)+SUMIF('D-1 Off Site Habitat Baseline'!$G$11:$G$258,'G-2 Habitat groups'!A48,'D-1 Off Site Habitat Baseline'!$T$11:$T$258),SUMIF('D-1 Off Site Habitat Baseline'!$G$11:$G$258,'G-2 Habitat groups'!A48,'D-1 Off Site Habitat Baseline'!$H$11:$H$258))</f>
        <v>0</v>
      </c>
      <c r="T48" s="111">
        <f>SUMIF('D-1 Off Site Habitat Baseline'!$G$11:$G$258,'G-2 Habitat groups'!A48,'D-1 Off Site Habitat Baseline'!$Q$11:$Q$258)</f>
        <v>0</v>
      </c>
      <c r="U48" s="513">
        <f>SUMIF('D-1 Off Site Habitat Baseline'!$G$11:$G$258,'G-2 Habitat groups'!A48,'D-1 Off Site Habitat Baseline'!$S$11:$S$258)</f>
        <v>0</v>
      </c>
      <c r="V48" s="111">
        <f>SUMIF('D-1 Off Site Habitat Baseline'!$G$11:$G$258,'G-2 Habitat groups'!A48,'D-1 Off Site Habitat Baseline'!$U$11:$U$258)</f>
        <v>0</v>
      </c>
      <c r="W48" s="111">
        <f>SUMIF('D-2 Off Site Habitat Creation'!$F$9:$F$255,'G-2 Habitat groups'!A48,'D-2 Off Site Habitat Creation'!$G$9:$G$255)</f>
        <v>0</v>
      </c>
      <c r="X48" s="111">
        <f>SUMIF('D-2 Off Site Habitat Creation'!$F$9:$F$255,'G-2 Habitat groups'!A48,'D-2 Off Site Habitat Creation'!$AA$9:$AA$255)</f>
        <v>0</v>
      </c>
      <c r="Y48" s="111">
        <f>SUMIF('D-3 Off Site Habitat Enhancment'!$S$12:$S$491,'G-2 Habitat groups'!A48,'D-3 Off Site Habitat Enhancment'!$V$12:$V$491)</f>
        <v>0</v>
      </c>
      <c r="Z48" s="111">
        <f>SUMIF('D-3 Off Site Habitat Enhancment'!$S$12:$S$491,'G-2 Habitat groups'!A48,'D-3 Off Site Habitat Enhancment'!$AP$12:$AP$491)</f>
        <v>0</v>
      </c>
      <c r="AA48" s="111">
        <f t="shared" si="47"/>
        <v>0</v>
      </c>
      <c r="AB48" s="111">
        <f t="shared" si="48"/>
        <v>0</v>
      </c>
      <c r="AC48" s="111">
        <f t="shared" si="49"/>
        <v>0</v>
      </c>
      <c r="AD48" s="111">
        <f t="shared" si="50"/>
        <v>0</v>
      </c>
      <c r="AE48" s="111">
        <f t="shared" si="51"/>
        <v>3.0000000000000001E-3</v>
      </c>
      <c r="AF48" s="111">
        <f t="shared" si="52"/>
        <v>1.158E-2</v>
      </c>
      <c r="AU48" s="138" t="s">
        <v>298</v>
      </c>
      <c r="AV48" s="100" t="s">
        <v>167</v>
      </c>
      <c r="AW48" s="111">
        <f t="shared" si="33"/>
        <v>0</v>
      </c>
      <c r="AX48" s="111">
        <f t="shared" si="34"/>
        <v>0</v>
      </c>
      <c r="AY48" s="111">
        <f t="shared" si="35"/>
        <v>0</v>
      </c>
      <c r="AZ48" s="111">
        <f t="shared" si="36"/>
        <v>0</v>
      </c>
      <c r="BA48" s="111">
        <f t="shared" si="37"/>
        <v>0</v>
      </c>
      <c r="BB48" s="111">
        <f t="shared" si="38"/>
        <v>0</v>
      </c>
      <c r="BC48" s="111">
        <f t="shared" si="39"/>
        <v>0</v>
      </c>
      <c r="BD48" s="111">
        <f t="shared" si="40"/>
        <v>0</v>
      </c>
      <c r="BE48" s="111">
        <f t="shared" si="41"/>
        <v>0</v>
      </c>
      <c r="BF48" s="111" t="str">
        <f t="shared" si="42"/>
        <v/>
      </c>
    </row>
    <row r="49" spans="1:58" x14ac:dyDescent="0.25">
      <c r="A49" s="129" t="str">
        <f>'G-1 All Habitats'!B48</f>
        <v>Lakes - Reservoirs</v>
      </c>
      <c r="B49" s="100" t="str">
        <f>'G-1 All Habitats'!F48</f>
        <v>Lakes</v>
      </c>
      <c r="C49" s="100" t="str">
        <f>'G-1 All Habitats'!K48</f>
        <v>Medium</v>
      </c>
      <c r="D49" s="100" t="str">
        <f>'G-1 All Habitats'!M48</f>
        <v>Same broad habitat or a higher distinctiveness habitat required</v>
      </c>
      <c r="E49" s="111">
        <f>IF(C49="V.High",SUMIF('A-1 Site Habitat Baseline'!$G$11:$G$258,'G-2 Habitat groups'!A49,'A-1 Site Habitat Baseline'!$S$11:$S$258)+SUMIF('A-1 Site Habitat Baseline'!$G$11:$G$258,'G-2 Habitat groups'!A49,'A-1 Site Habitat Baseline'!$T$11:$T$258),SUMIF('A-1 Site Habitat Baseline'!$G$11:$G$258,'G-2 Habitat groups'!A49,'A-1 Site Habitat Baseline'!$H$11:$H$258))</f>
        <v>0</v>
      </c>
      <c r="F49" s="111">
        <f>SUMIF('A-1 Site Habitat Baseline'!$G$11:$G$258,'G-2 Habitat groups'!A49,'A-1 Site Habitat Baseline'!$Q$11:$Q$258)</f>
        <v>0</v>
      </c>
      <c r="G49" s="111">
        <f>SUMIF('A-1 Site Habitat Baseline'!$G$11:$G$258,'G-2 Habitat groups'!A49,'A-1 Site Habitat Baseline'!$S$11:$S$258)</f>
        <v>0</v>
      </c>
      <c r="H49" s="111">
        <f>SUMIF('A-1 Site Habitat Baseline'!$G$11:$G$258,'G-2 Habitat groups'!A49,'A-1 Site Habitat Baseline'!$U$11:$U$258)</f>
        <v>0</v>
      </c>
      <c r="I49" s="111">
        <f>SUMIF('A-1 Site Habitat Baseline'!$G$11:$G$258,'G-2 Habitat groups'!A49,'A-1 Site Habitat Baseline'!$W$11:$W$258)</f>
        <v>0</v>
      </c>
      <c r="J49" s="111">
        <f>SUMIF('A-1 Site Habitat Baseline'!$G$11:$G$258,'G-2 Habitat groups'!A49,'A-1 Site Habitat Baseline'!$X$11:$X$258)</f>
        <v>0</v>
      </c>
      <c r="K49" s="111">
        <f>SUMIF('A-2 Site Habitat Creation'!$F$11:$F$256,'G-2 Habitat groups'!A49,'A-2 Site Habitat Creation'!$G$11:$G$256)</f>
        <v>0</v>
      </c>
      <c r="L49" s="111">
        <f>SUMIF('A-2 Site Habitat Creation'!$F$11:$F$256,'G-2 Habitat groups'!A49,'A-2 Site Habitat Creation'!$Y$11:$Y$256)</f>
        <v>0</v>
      </c>
      <c r="M49" s="111">
        <f>SUMIF('A-3 Site Habitat Enhancement'!$S$12:$S$257,'G-2 Habitat groups'!A49,'A-3 Site Habitat Enhancement'!$V$12:$V$257)</f>
        <v>0</v>
      </c>
      <c r="N49" s="111">
        <f>SUMIF('A-3 Site Habitat Enhancement'!$S$12:$S$257,'G-2 Habitat groups'!A49,'A-3 Site Habitat Enhancement'!$AN$12:$AN$257)</f>
        <v>0</v>
      </c>
      <c r="O49" s="111">
        <f t="shared" si="43"/>
        <v>0</v>
      </c>
      <c r="P49" s="111">
        <f t="shared" si="44"/>
        <v>0</v>
      </c>
      <c r="Q49" s="111">
        <f t="shared" si="45"/>
        <v>0</v>
      </c>
      <c r="R49" s="111">
        <f t="shared" si="46"/>
        <v>0</v>
      </c>
      <c r="S49" s="111">
        <f>IF(C49="V.High",SUMIF('D-1 Off Site Habitat Baseline'!$G$11:$G$258,'G-2 Habitat groups'!A49,'D-1 Off Site Habitat Baseline'!$S$11:$S$258)+SUMIF('D-1 Off Site Habitat Baseline'!$G$11:$G$258,'G-2 Habitat groups'!A49,'D-1 Off Site Habitat Baseline'!$T$11:$T$258),SUMIF('D-1 Off Site Habitat Baseline'!$G$11:$G$258,'G-2 Habitat groups'!A49,'D-1 Off Site Habitat Baseline'!$H$11:$H$258))</f>
        <v>0</v>
      </c>
      <c r="T49" s="111">
        <f>SUMIF('D-1 Off Site Habitat Baseline'!$G$11:$G$258,'G-2 Habitat groups'!A49,'D-1 Off Site Habitat Baseline'!$Q$11:$Q$258)</f>
        <v>0</v>
      </c>
      <c r="U49" s="513">
        <f>SUMIF('D-1 Off Site Habitat Baseline'!$G$11:$G$258,'G-2 Habitat groups'!A49,'D-1 Off Site Habitat Baseline'!$S$11:$S$258)</f>
        <v>0</v>
      </c>
      <c r="V49" s="111">
        <f>SUMIF('D-1 Off Site Habitat Baseline'!$G$11:$G$258,'G-2 Habitat groups'!A49,'D-1 Off Site Habitat Baseline'!$U$11:$U$258)</f>
        <v>0</v>
      </c>
      <c r="W49" s="111">
        <f>SUMIF('D-2 Off Site Habitat Creation'!$F$9:$F$255,'G-2 Habitat groups'!A49,'D-2 Off Site Habitat Creation'!$G$9:$G$255)</f>
        <v>0</v>
      </c>
      <c r="X49" s="111">
        <f>SUMIF('D-2 Off Site Habitat Creation'!$F$9:$F$255,'G-2 Habitat groups'!A49,'D-2 Off Site Habitat Creation'!$AA$9:$AA$255)</f>
        <v>0</v>
      </c>
      <c r="Y49" s="111">
        <f>SUMIF('D-3 Off Site Habitat Enhancment'!$S$12:$S$491,'G-2 Habitat groups'!A49,'D-3 Off Site Habitat Enhancment'!$V$12:$V$491)</f>
        <v>0</v>
      </c>
      <c r="Z49" s="111">
        <f>SUMIF('D-3 Off Site Habitat Enhancment'!$S$12:$S$491,'G-2 Habitat groups'!A49,'D-3 Off Site Habitat Enhancment'!$AP$12:$AP$491)</f>
        <v>0</v>
      </c>
      <c r="AA49" s="111">
        <f t="shared" si="47"/>
        <v>0</v>
      </c>
      <c r="AB49" s="111">
        <f t="shared" si="48"/>
        <v>0</v>
      </c>
      <c r="AC49" s="111">
        <f t="shared" si="49"/>
        <v>0</v>
      </c>
      <c r="AD49" s="111">
        <f t="shared" si="50"/>
        <v>0</v>
      </c>
      <c r="AE49" s="111">
        <f t="shared" si="51"/>
        <v>0</v>
      </c>
      <c r="AF49" s="111">
        <f t="shared" si="52"/>
        <v>0</v>
      </c>
      <c r="AU49" s="138" t="s">
        <v>302</v>
      </c>
      <c r="AV49" s="100" t="s">
        <v>167</v>
      </c>
      <c r="AW49" s="111">
        <f t="shared" si="33"/>
        <v>0</v>
      </c>
      <c r="AX49" s="111">
        <f t="shared" si="34"/>
        <v>0</v>
      </c>
      <c r="AY49" s="111">
        <f t="shared" si="35"/>
        <v>0</v>
      </c>
      <c r="AZ49" s="111">
        <f t="shared" si="36"/>
        <v>0</v>
      </c>
      <c r="BA49" s="111">
        <f t="shared" si="37"/>
        <v>0</v>
      </c>
      <c r="BB49" s="111">
        <f t="shared" si="38"/>
        <v>0</v>
      </c>
      <c r="BC49" s="111">
        <f t="shared" si="39"/>
        <v>0</v>
      </c>
      <c r="BD49" s="111">
        <f t="shared" si="40"/>
        <v>0</v>
      </c>
      <c r="BE49" s="111">
        <f t="shared" si="41"/>
        <v>0</v>
      </c>
      <c r="BF49" s="111" t="str">
        <f t="shared" si="42"/>
        <v/>
      </c>
    </row>
    <row r="50" spans="1:58" x14ac:dyDescent="0.25">
      <c r="A50" s="129" t="str">
        <f>'G-1 All Habitats'!B49</f>
        <v>Lakes - Temporary lakes, ponds and pools</v>
      </c>
      <c r="B50" s="100" t="str">
        <f>'G-1 All Habitats'!F49</f>
        <v>Lakes</v>
      </c>
      <c r="C50" s="100" t="str">
        <f>'G-1 All Habitats'!K49</f>
        <v>High</v>
      </c>
      <c r="D50" s="100" t="str">
        <f>'G-1 All Habitats'!M49</f>
        <v>Same habitat required</v>
      </c>
      <c r="E50" s="111">
        <f>IF(C50="V.High",SUMIF('A-1 Site Habitat Baseline'!$G$11:$G$258,'G-2 Habitat groups'!A50,'A-1 Site Habitat Baseline'!$S$11:$S$258)+SUMIF('A-1 Site Habitat Baseline'!$G$11:$G$258,'G-2 Habitat groups'!A50,'A-1 Site Habitat Baseline'!$T$11:$T$258),SUMIF('A-1 Site Habitat Baseline'!$G$11:$G$258,'G-2 Habitat groups'!A50,'A-1 Site Habitat Baseline'!$H$11:$H$258))</f>
        <v>0</v>
      </c>
      <c r="F50" s="111">
        <f>SUMIF('A-1 Site Habitat Baseline'!$G$11:$G$258,'G-2 Habitat groups'!A50,'A-1 Site Habitat Baseline'!$Q$11:$Q$258)</f>
        <v>0</v>
      </c>
      <c r="G50" s="111">
        <f>SUMIF('A-1 Site Habitat Baseline'!$G$11:$G$258,'G-2 Habitat groups'!A50,'A-1 Site Habitat Baseline'!$S$11:$S$258)</f>
        <v>0</v>
      </c>
      <c r="H50" s="111">
        <f>SUMIF('A-1 Site Habitat Baseline'!$G$11:$G$258,'G-2 Habitat groups'!A50,'A-1 Site Habitat Baseline'!$U$11:$U$258)</f>
        <v>0</v>
      </c>
      <c r="I50" s="111">
        <f>SUMIF('A-1 Site Habitat Baseline'!$G$11:$G$258,'G-2 Habitat groups'!A50,'A-1 Site Habitat Baseline'!$W$11:$W$258)</f>
        <v>0</v>
      </c>
      <c r="J50" s="111">
        <f>SUMIF('A-1 Site Habitat Baseline'!$G$11:$G$258,'G-2 Habitat groups'!A50,'A-1 Site Habitat Baseline'!$X$11:$X$258)</f>
        <v>0</v>
      </c>
      <c r="K50" s="111">
        <f>SUMIF('A-2 Site Habitat Creation'!$F$11:$F$256,'G-2 Habitat groups'!A50,'A-2 Site Habitat Creation'!$G$11:$G$256)</f>
        <v>0</v>
      </c>
      <c r="L50" s="111">
        <f>SUMIF('A-2 Site Habitat Creation'!$F$11:$F$256,'G-2 Habitat groups'!A50,'A-2 Site Habitat Creation'!$Y$11:$Y$256)</f>
        <v>0</v>
      </c>
      <c r="M50" s="111">
        <f>SUMIF('A-3 Site Habitat Enhancement'!$S$12:$S$257,'G-2 Habitat groups'!A50,'A-3 Site Habitat Enhancement'!$V$12:$V$257)</f>
        <v>0</v>
      </c>
      <c r="N50" s="111">
        <f>SUMIF('A-3 Site Habitat Enhancement'!$S$12:$S$257,'G-2 Habitat groups'!A50,'A-3 Site Habitat Enhancement'!$AN$12:$AN$257)</f>
        <v>0</v>
      </c>
      <c r="O50" s="111">
        <f t="shared" si="43"/>
        <v>0</v>
      </c>
      <c r="P50" s="111">
        <f t="shared" si="44"/>
        <v>0</v>
      </c>
      <c r="Q50" s="111">
        <f t="shared" si="45"/>
        <v>0</v>
      </c>
      <c r="R50" s="111">
        <f t="shared" si="46"/>
        <v>0</v>
      </c>
      <c r="S50" s="111">
        <f>IF(C50="V.High",SUMIF('D-1 Off Site Habitat Baseline'!$G$11:$G$258,'G-2 Habitat groups'!A50,'D-1 Off Site Habitat Baseline'!$S$11:$S$258)+SUMIF('D-1 Off Site Habitat Baseline'!$G$11:$G$258,'G-2 Habitat groups'!A50,'D-1 Off Site Habitat Baseline'!$T$11:$T$258),SUMIF('D-1 Off Site Habitat Baseline'!$G$11:$G$258,'G-2 Habitat groups'!A50,'D-1 Off Site Habitat Baseline'!$H$11:$H$258))</f>
        <v>0</v>
      </c>
      <c r="T50" s="111">
        <f>SUMIF('D-1 Off Site Habitat Baseline'!$G$11:$G$258,'G-2 Habitat groups'!A50,'D-1 Off Site Habitat Baseline'!$Q$11:$Q$258)</f>
        <v>0</v>
      </c>
      <c r="U50" s="513">
        <f>SUMIF('D-1 Off Site Habitat Baseline'!$G$11:$G$258,'G-2 Habitat groups'!A50,'D-1 Off Site Habitat Baseline'!$S$11:$S$258)</f>
        <v>0</v>
      </c>
      <c r="V50" s="111">
        <f>SUMIF('D-1 Off Site Habitat Baseline'!$G$11:$G$258,'G-2 Habitat groups'!A50,'D-1 Off Site Habitat Baseline'!$U$11:$U$258)</f>
        <v>0</v>
      </c>
      <c r="W50" s="111">
        <f>SUMIF('D-2 Off Site Habitat Creation'!$F$9:$F$255,'G-2 Habitat groups'!A50,'D-2 Off Site Habitat Creation'!$G$9:$G$255)</f>
        <v>0</v>
      </c>
      <c r="X50" s="111">
        <f>SUMIF('D-2 Off Site Habitat Creation'!$F$9:$F$255,'G-2 Habitat groups'!A50,'D-2 Off Site Habitat Creation'!$AA$9:$AA$255)</f>
        <v>0</v>
      </c>
      <c r="Y50" s="111">
        <f>SUMIF('D-3 Off Site Habitat Enhancment'!$S$12:$S$491,'G-2 Habitat groups'!A50,'D-3 Off Site Habitat Enhancment'!$V$12:$V$491)</f>
        <v>0</v>
      </c>
      <c r="Z50" s="111">
        <f>SUMIF('D-3 Off Site Habitat Enhancment'!$S$12:$S$491,'G-2 Habitat groups'!A50,'D-3 Off Site Habitat Enhancment'!$AP$12:$AP$491)</f>
        <v>0</v>
      </c>
      <c r="AA50" s="111">
        <f t="shared" si="47"/>
        <v>0</v>
      </c>
      <c r="AB50" s="111">
        <f t="shared" si="48"/>
        <v>0</v>
      </c>
      <c r="AC50" s="111">
        <f t="shared" si="49"/>
        <v>0</v>
      </c>
      <c r="AD50" s="111">
        <f t="shared" si="50"/>
        <v>0</v>
      </c>
      <c r="AE50" s="111">
        <f t="shared" si="51"/>
        <v>0</v>
      </c>
      <c r="AF50" s="111">
        <f t="shared" si="52"/>
        <v>0</v>
      </c>
      <c r="AU50" s="138" t="s">
        <v>246</v>
      </c>
      <c r="AV50" s="100" t="s">
        <v>166</v>
      </c>
      <c r="AW50" s="111">
        <f t="shared" si="33"/>
        <v>0</v>
      </c>
      <c r="AX50" s="111">
        <f t="shared" si="34"/>
        <v>0</v>
      </c>
      <c r="AY50" s="111">
        <f t="shared" si="35"/>
        <v>0</v>
      </c>
      <c r="AZ50" s="111">
        <f t="shared" si="36"/>
        <v>0</v>
      </c>
      <c r="BA50" s="111">
        <f t="shared" si="37"/>
        <v>0</v>
      </c>
      <c r="BB50" s="111">
        <f t="shared" si="38"/>
        <v>0</v>
      </c>
      <c r="BC50" s="111">
        <f t="shared" si="39"/>
        <v>0</v>
      </c>
      <c r="BD50" s="111">
        <f t="shared" si="40"/>
        <v>0</v>
      </c>
      <c r="BE50" s="111">
        <f t="shared" si="41"/>
        <v>0</v>
      </c>
      <c r="BF50" s="111" t="str">
        <f t="shared" si="42"/>
        <v/>
      </c>
    </row>
    <row r="51" spans="1:58" x14ac:dyDescent="0.25">
      <c r="A51" s="129" t="str">
        <f>'G-1 All Habitats'!B50</f>
        <v>Sparsely vegetated land - Calaminarian grasslands</v>
      </c>
      <c r="B51" s="100" t="str">
        <f>'G-1 All Habitats'!F50</f>
        <v>Sparsely vegetated land</v>
      </c>
      <c r="C51" s="100" t="str">
        <f>'G-1 All Habitats'!K50</f>
        <v>V.High</v>
      </c>
      <c r="D51" s="100" t="str">
        <f>'G-1 All Habitats'!M50</f>
        <v>Bespoke compensation likely to be required</v>
      </c>
      <c r="E51" s="111">
        <f>IF(C51="V.High",SUMIF('A-1 Site Habitat Baseline'!$G$11:$G$258,'G-2 Habitat groups'!A51,'A-1 Site Habitat Baseline'!$S$11:$S$258)+SUMIF('A-1 Site Habitat Baseline'!$G$11:$G$258,'G-2 Habitat groups'!A51,'A-1 Site Habitat Baseline'!$T$11:$T$258),SUMIF('A-1 Site Habitat Baseline'!$G$11:$G$258,'G-2 Habitat groups'!A51,'A-1 Site Habitat Baseline'!$H$11:$H$258))</f>
        <v>0</v>
      </c>
      <c r="F51" s="111">
        <f>SUMIF('A-1 Site Habitat Baseline'!$G$11:$G$258,'G-2 Habitat groups'!A51,'A-1 Site Habitat Baseline'!$Q$11:$Q$258)</f>
        <v>0</v>
      </c>
      <c r="G51" s="111">
        <f>SUMIF('A-1 Site Habitat Baseline'!$G$11:$G$258,'G-2 Habitat groups'!A51,'A-1 Site Habitat Baseline'!$S$11:$S$258)</f>
        <v>0</v>
      </c>
      <c r="H51" s="111">
        <f>SUMIF('A-1 Site Habitat Baseline'!$G$11:$G$258,'G-2 Habitat groups'!A51,'A-1 Site Habitat Baseline'!$U$11:$U$258)</f>
        <v>0</v>
      </c>
      <c r="I51" s="111">
        <f>SUMIF('A-1 Site Habitat Baseline'!$G$11:$G$258,'G-2 Habitat groups'!A51,'A-1 Site Habitat Baseline'!$W$11:$W$258)</f>
        <v>0</v>
      </c>
      <c r="J51" s="111">
        <f>SUMIF('A-1 Site Habitat Baseline'!$G$11:$G$258,'G-2 Habitat groups'!A51,'A-1 Site Habitat Baseline'!$X$11:$X$258)</f>
        <v>0</v>
      </c>
      <c r="K51" s="111">
        <f>SUMIF('A-2 Site Habitat Creation'!$F$11:$F$256,'G-2 Habitat groups'!A51,'A-2 Site Habitat Creation'!$G$11:$G$256)</f>
        <v>0</v>
      </c>
      <c r="L51" s="111">
        <f>SUMIF('A-2 Site Habitat Creation'!$F$11:$F$256,'G-2 Habitat groups'!A51,'A-2 Site Habitat Creation'!$Y$11:$Y$256)</f>
        <v>0</v>
      </c>
      <c r="M51" s="111">
        <f>SUMIF('A-3 Site Habitat Enhancement'!$S$12:$S$257,'G-2 Habitat groups'!A51,'A-3 Site Habitat Enhancement'!$V$12:$V$257)</f>
        <v>0</v>
      </c>
      <c r="N51" s="111">
        <f>SUMIF('A-3 Site Habitat Enhancement'!$S$12:$S$257,'G-2 Habitat groups'!A51,'A-3 Site Habitat Enhancement'!$AN$12:$AN$257)</f>
        <v>0</v>
      </c>
      <c r="O51" s="111">
        <f t="shared" si="43"/>
        <v>0</v>
      </c>
      <c r="P51" s="111">
        <f t="shared" si="44"/>
        <v>0</v>
      </c>
      <c r="Q51" s="111">
        <f t="shared" si="45"/>
        <v>0</v>
      </c>
      <c r="R51" s="111">
        <f t="shared" si="46"/>
        <v>0</v>
      </c>
      <c r="S51" s="111">
        <f>IF(C51="V.High",SUMIF('D-1 Off Site Habitat Baseline'!$G$11:$G$258,'G-2 Habitat groups'!A51,'D-1 Off Site Habitat Baseline'!$S$11:$S$258)+SUMIF('D-1 Off Site Habitat Baseline'!$G$11:$G$258,'G-2 Habitat groups'!A51,'D-1 Off Site Habitat Baseline'!$T$11:$T$258),SUMIF('D-1 Off Site Habitat Baseline'!$G$11:$G$258,'G-2 Habitat groups'!A51,'D-1 Off Site Habitat Baseline'!$H$11:$H$258))</f>
        <v>0</v>
      </c>
      <c r="T51" s="111">
        <f>SUMIF('D-1 Off Site Habitat Baseline'!$G$11:$G$258,'G-2 Habitat groups'!A51,'D-1 Off Site Habitat Baseline'!$Q$11:$Q$258)</f>
        <v>0</v>
      </c>
      <c r="U51" s="513">
        <f>SUMIF('D-1 Off Site Habitat Baseline'!$G$11:$G$258,'G-2 Habitat groups'!A51,'D-1 Off Site Habitat Baseline'!$S$11:$S$258)</f>
        <v>0</v>
      </c>
      <c r="V51" s="111">
        <f>SUMIF('D-1 Off Site Habitat Baseline'!$G$11:$G$258,'G-2 Habitat groups'!A51,'D-1 Off Site Habitat Baseline'!$U$11:$U$258)</f>
        <v>0</v>
      </c>
      <c r="W51" s="111">
        <f>SUMIF('D-2 Off Site Habitat Creation'!$F$9:$F$255,'G-2 Habitat groups'!A51,'D-2 Off Site Habitat Creation'!$G$9:$G$255)</f>
        <v>0</v>
      </c>
      <c r="X51" s="111">
        <f>SUMIF('D-2 Off Site Habitat Creation'!$F$9:$F$255,'G-2 Habitat groups'!A51,'D-2 Off Site Habitat Creation'!$AA$9:$AA$255)</f>
        <v>0</v>
      </c>
      <c r="Y51" s="111">
        <f>SUMIF('D-3 Off Site Habitat Enhancment'!$S$12:$S$491,'G-2 Habitat groups'!A51,'D-3 Off Site Habitat Enhancment'!$V$12:$V$491)</f>
        <v>0</v>
      </c>
      <c r="Z51" s="111">
        <f>SUMIF('D-3 Off Site Habitat Enhancment'!$S$12:$S$491,'G-2 Habitat groups'!A51,'D-3 Off Site Habitat Enhancment'!$AP$12:$AP$491)</f>
        <v>0</v>
      </c>
      <c r="AA51" s="111">
        <f t="shared" si="47"/>
        <v>0</v>
      </c>
      <c r="AB51" s="111">
        <f t="shared" si="48"/>
        <v>0</v>
      </c>
      <c r="AC51" s="111">
        <f t="shared" si="49"/>
        <v>0</v>
      </c>
      <c r="AD51" s="111">
        <f t="shared" si="50"/>
        <v>0</v>
      </c>
      <c r="AE51" s="111">
        <f t="shared" si="51"/>
        <v>0</v>
      </c>
      <c r="AF51" s="111">
        <f t="shared" si="52"/>
        <v>0</v>
      </c>
      <c r="AU51" s="138" t="s">
        <v>159</v>
      </c>
      <c r="AV51" s="100" t="s">
        <v>137</v>
      </c>
      <c r="AW51" s="111">
        <f t="shared" si="33"/>
        <v>0</v>
      </c>
      <c r="AX51" s="111">
        <f t="shared" si="34"/>
        <v>0</v>
      </c>
      <c r="AY51" s="111">
        <f t="shared" si="35"/>
        <v>0</v>
      </c>
      <c r="AZ51" s="111">
        <f t="shared" si="36"/>
        <v>0</v>
      </c>
      <c r="BA51" s="111">
        <f t="shared" si="37"/>
        <v>0</v>
      </c>
      <c r="BB51" s="111">
        <f t="shared" si="38"/>
        <v>0</v>
      </c>
      <c r="BC51" s="111">
        <f t="shared" si="39"/>
        <v>0</v>
      </c>
      <c r="BD51" s="111">
        <f t="shared" si="40"/>
        <v>0</v>
      </c>
      <c r="BE51" s="111">
        <f t="shared" si="41"/>
        <v>0</v>
      </c>
      <c r="BF51" s="111" t="str">
        <f t="shared" si="42"/>
        <v/>
      </c>
    </row>
    <row r="52" spans="1:58" x14ac:dyDescent="0.25">
      <c r="A52" s="129" t="str">
        <f>'G-1 All Habitats'!B51</f>
        <v>Sparsely vegetated land - Coastal sand dunes</v>
      </c>
      <c r="B52" s="100" t="str">
        <f>'G-1 All Habitats'!F51</f>
        <v>Sparsely vegetated land</v>
      </c>
      <c r="C52" s="100" t="str">
        <f>'G-1 All Habitats'!K51</f>
        <v>High</v>
      </c>
      <c r="D52" s="100" t="str">
        <f>'G-1 All Habitats'!M51</f>
        <v>Same habitat required</v>
      </c>
      <c r="E52" s="111">
        <f>IF(C52="V.High",SUMIF('A-1 Site Habitat Baseline'!$G$11:$G$258,'G-2 Habitat groups'!A52,'A-1 Site Habitat Baseline'!$S$11:$S$258)+SUMIF('A-1 Site Habitat Baseline'!$G$11:$G$258,'G-2 Habitat groups'!A52,'A-1 Site Habitat Baseline'!$T$11:$T$258),SUMIF('A-1 Site Habitat Baseline'!$G$11:$G$258,'G-2 Habitat groups'!A52,'A-1 Site Habitat Baseline'!$H$11:$H$258))</f>
        <v>0</v>
      </c>
      <c r="F52" s="111">
        <f>SUMIF('A-1 Site Habitat Baseline'!$G$11:$G$258,'G-2 Habitat groups'!A52,'A-1 Site Habitat Baseline'!$Q$11:$Q$258)</f>
        <v>0</v>
      </c>
      <c r="G52" s="111">
        <f>SUMIF('A-1 Site Habitat Baseline'!$G$11:$G$258,'G-2 Habitat groups'!A52,'A-1 Site Habitat Baseline'!$S$11:$S$258)</f>
        <v>0</v>
      </c>
      <c r="H52" s="111">
        <f>SUMIF('A-1 Site Habitat Baseline'!$G$11:$G$258,'G-2 Habitat groups'!A52,'A-1 Site Habitat Baseline'!$U$11:$U$258)</f>
        <v>0</v>
      </c>
      <c r="I52" s="111">
        <f>SUMIF('A-1 Site Habitat Baseline'!$G$11:$G$258,'G-2 Habitat groups'!A52,'A-1 Site Habitat Baseline'!$W$11:$W$258)</f>
        <v>0</v>
      </c>
      <c r="J52" s="111">
        <f>SUMIF('A-1 Site Habitat Baseline'!$G$11:$G$258,'G-2 Habitat groups'!A52,'A-1 Site Habitat Baseline'!$X$11:$X$258)</f>
        <v>0</v>
      </c>
      <c r="K52" s="111">
        <f>SUMIF('A-2 Site Habitat Creation'!$F$11:$F$256,'G-2 Habitat groups'!A52,'A-2 Site Habitat Creation'!$G$11:$G$256)</f>
        <v>0</v>
      </c>
      <c r="L52" s="111">
        <f>SUMIF('A-2 Site Habitat Creation'!$F$11:$F$256,'G-2 Habitat groups'!A52,'A-2 Site Habitat Creation'!$Y$11:$Y$256)</f>
        <v>0</v>
      </c>
      <c r="M52" s="111">
        <f>SUMIF('A-3 Site Habitat Enhancement'!$S$12:$S$257,'G-2 Habitat groups'!A52,'A-3 Site Habitat Enhancement'!$V$12:$V$257)</f>
        <v>0</v>
      </c>
      <c r="N52" s="111">
        <f>SUMIF('A-3 Site Habitat Enhancement'!$S$12:$S$257,'G-2 Habitat groups'!A52,'A-3 Site Habitat Enhancement'!$AN$12:$AN$257)</f>
        <v>0</v>
      </c>
      <c r="O52" s="111">
        <f t="shared" si="43"/>
        <v>0</v>
      </c>
      <c r="P52" s="111">
        <f t="shared" si="44"/>
        <v>0</v>
      </c>
      <c r="Q52" s="111">
        <f t="shared" si="45"/>
        <v>0</v>
      </c>
      <c r="R52" s="111">
        <f t="shared" si="46"/>
        <v>0</v>
      </c>
      <c r="S52" s="111">
        <f>IF(C52="V.High",SUMIF('D-1 Off Site Habitat Baseline'!$G$11:$G$258,'G-2 Habitat groups'!A52,'D-1 Off Site Habitat Baseline'!$S$11:$S$258)+SUMIF('D-1 Off Site Habitat Baseline'!$G$11:$G$258,'G-2 Habitat groups'!A52,'D-1 Off Site Habitat Baseline'!$T$11:$T$258),SUMIF('D-1 Off Site Habitat Baseline'!$G$11:$G$258,'G-2 Habitat groups'!A52,'D-1 Off Site Habitat Baseline'!$H$11:$H$258))</f>
        <v>0</v>
      </c>
      <c r="T52" s="111">
        <f>SUMIF('D-1 Off Site Habitat Baseline'!$G$11:$G$258,'G-2 Habitat groups'!A52,'D-1 Off Site Habitat Baseline'!$Q$11:$Q$258)</f>
        <v>0</v>
      </c>
      <c r="U52" s="513">
        <f>SUMIF('D-1 Off Site Habitat Baseline'!$G$11:$G$258,'G-2 Habitat groups'!A52,'D-1 Off Site Habitat Baseline'!$S$11:$S$258)</f>
        <v>0</v>
      </c>
      <c r="V52" s="111">
        <f>SUMIF('D-1 Off Site Habitat Baseline'!$G$11:$G$258,'G-2 Habitat groups'!A52,'D-1 Off Site Habitat Baseline'!$U$11:$U$258)</f>
        <v>0</v>
      </c>
      <c r="W52" s="111">
        <f>SUMIF('D-2 Off Site Habitat Creation'!$F$9:$F$255,'G-2 Habitat groups'!A52,'D-2 Off Site Habitat Creation'!$G$9:$G$255)</f>
        <v>0</v>
      </c>
      <c r="X52" s="111">
        <f>SUMIF('D-2 Off Site Habitat Creation'!$F$9:$F$255,'G-2 Habitat groups'!A52,'D-2 Off Site Habitat Creation'!$AA$9:$AA$255)</f>
        <v>0</v>
      </c>
      <c r="Y52" s="111">
        <f>SUMIF('D-3 Off Site Habitat Enhancment'!$S$12:$S$491,'G-2 Habitat groups'!A52,'D-3 Off Site Habitat Enhancment'!$V$12:$V$491)</f>
        <v>0</v>
      </c>
      <c r="Z52" s="111">
        <f>SUMIF('D-3 Off Site Habitat Enhancment'!$S$12:$S$491,'G-2 Habitat groups'!A52,'D-3 Off Site Habitat Enhancment'!$AP$12:$AP$491)</f>
        <v>0</v>
      </c>
      <c r="AA52" s="111">
        <f t="shared" si="47"/>
        <v>0</v>
      </c>
      <c r="AB52" s="111">
        <f t="shared" si="48"/>
        <v>0</v>
      </c>
      <c r="AC52" s="111">
        <f t="shared" si="49"/>
        <v>0</v>
      </c>
      <c r="AD52" s="111">
        <f t="shared" si="50"/>
        <v>0</v>
      </c>
      <c r="AE52" s="111">
        <f t="shared" si="51"/>
        <v>0</v>
      </c>
      <c r="AF52" s="111">
        <f t="shared" si="52"/>
        <v>0</v>
      </c>
      <c r="AU52" s="100" t="s">
        <v>247</v>
      </c>
      <c r="AV52" s="100" t="s">
        <v>163</v>
      </c>
      <c r="AW52" s="111">
        <f t="shared" si="33"/>
        <v>0</v>
      </c>
      <c r="AX52" s="111">
        <f t="shared" si="34"/>
        <v>0</v>
      </c>
      <c r="AY52" s="111">
        <f t="shared" si="35"/>
        <v>0</v>
      </c>
      <c r="AZ52" s="111">
        <f t="shared" si="36"/>
        <v>0</v>
      </c>
      <c r="BA52" s="111">
        <f t="shared" si="37"/>
        <v>0</v>
      </c>
      <c r="BB52" s="111">
        <f t="shared" si="38"/>
        <v>0</v>
      </c>
      <c r="BC52" s="111">
        <f t="shared" si="39"/>
        <v>0</v>
      </c>
      <c r="BD52" s="111">
        <f t="shared" si="40"/>
        <v>0</v>
      </c>
      <c r="BE52" s="111">
        <f t="shared" si="41"/>
        <v>0</v>
      </c>
      <c r="BF52" s="111" t="str">
        <f t="shared" si="42"/>
        <v/>
      </c>
    </row>
    <row r="53" spans="1:58" x14ac:dyDescent="0.25">
      <c r="A53" s="129" t="str">
        <f>'G-1 All Habitats'!B52</f>
        <v>Sparsely vegetated land - Coastal vegetated shingle</v>
      </c>
      <c r="B53" s="100" t="str">
        <f>'G-1 All Habitats'!F52</f>
        <v>Sparsely vegetated land</v>
      </c>
      <c r="C53" s="100" t="str">
        <f>'G-1 All Habitats'!K52</f>
        <v>High</v>
      </c>
      <c r="D53" s="100" t="str">
        <f>'G-1 All Habitats'!M52</f>
        <v>Same habitat required</v>
      </c>
      <c r="E53" s="111">
        <f>IF(C53="V.High",SUMIF('A-1 Site Habitat Baseline'!$G$11:$G$258,'G-2 Habitat groups'!A53,'A-1 Site Habitat Baseline'!$S$11:$S$258)+SUMIF('A-1 Site Habitat Baseline'!$G$11:$G$258,'G-2 Habitat groups'!A53,'A-1 Site Habitat Baseline'!$T$11:$T$258),SUMIF('A-1 Site Habitat Baseline'!$G$11:$G$258,'G-2 Habitat groups'!A53,'A-1 Site Habitat Baseline'!$H$11:$H$258))</f>
        <v>0</v>
      </c>
      <c r="F53" s="111">
        <f>SUMIF('A-1 Site Habitat Baseline'!$G$11:$G$258,'G-2 Habitat groups'!A53,'A-1 Site Habitat Baseline'!$Q$11:$Q$258)</f>
        <v>0</v>
      </c>
      <c r="G53" s="111">
        <f>SUMIF('A-1 Site Habitat Baseline'!$G$11:$G$258,'G-2 Habitat groups'!A53,'A-1 Site Habitat Baseline'!$S$11:$S$258)</f>
        <v>0</v>
      </c>
      <c r="H53" s="111">
        <f>SUMIF('A-1 Site Habitat Baseline'!$G$11:$G$258,'G-2 Habitat groups'!A53,'A-1 Site Habitat Baseline'!$U$11:$U$258)</f>
        <v>0</v>
      </c>
      <c r="I53" s="111">
        <f>SUMIF('A-1 Site Habitat Baseline'!$G$11:$G$258,'G-2 Habitat groups'!A53,'A-1 Site Habitat Baseline'!$W$11:$W$258)</f>
        <v>0</v>
      </c>
      <c r="J53" s="111">
        <f>SUMIF('A-1 Site Habitat Baseline'!$G$11:$G$258,'G-2 Habitat groups'!A53,'A-1 Site Habitat Baseline'!$X$11:$X$258)</f>
        <v>0</v>
      </c>
      <c r="K53" s="111">
        <f>SUMIF('A-2 Site Habitat Creation'!$F$11:$F$256,'G-2 Habitat groups'!A53,'A-2 Site Habitat Creation'!$G$11:$G$256)</f>
        <v>0</v>
      </c>
      <c r="L53" s="111">
        <f>SUMIF('A-2 Site Habitat Creation'!$F$11:$F$256,'G-2 Habitat groups'!A53,'A-2 Site Habitat Creation'!$Y$11:$Y$256)</f>
        <v>0</v>
      </c>
      <c r="M53" s="111">
        <f>SUMIF('A-3 Site Habitat Enhancement'!$S$12:$S$257,'G-2 Habitat groups'!A53,'A-3 Site Habitat Enhancement'!$V$12:$V$257)</f>
        <v>0</v>
      </c>
      <c r="N53" s="111">
        <f>SUMIF('A-3 Site Habitat Enhancement'!$S$12:$S$257,'G-2 Habitat groups'!A53,'A-3 Site Habitat Enhancement'!$AN$12:$AN$257)</f>
        <v>0</v>
      </c>
      <c r="O53" s="111">
        <f t="shared" si="43"/>
        <v>0</v>
      </c>
      <c r="P53" s="111">
        <f t="shared" si="44"/>
        <v>0</v>
      </c>
      <c r="Q53" s="111">
        <f t="shared" si="45"/>
        <v>0</v>
      </c>
      <c r="R53" s="111">
        <f t="shared" si="46"/>
        <v>0</v>
      </c>
      <c r="S53" s="111">
        <f>IF(C53="V.High",SUMIF('D-1 Off Site Habitat Baseline'!$G$11:$G$258,'G-2 Habitat groups'!A53,'D-1 Off Site Habitat Baseline'!$S$11:$S$258)+SUMIF('D-1 Off Site Habitat Baseline'!$G$11:$G$258,'G-2 Habitat groups'!A53,'D-1 Off Site Habitat Baseline'!$T$11:$T$258),SUMIF('D-1 Off Site Habitat Baseline'!$G$11:$G$258,'G-2 Habitat groups'!A53,'D-1 Off Site Habitat Baseline'!$H$11:$H$258))</f>
        <v>0</v>
      </c>
      <c r="T53" s="111">
        <f>SUMIF('D-1 Off Site Habitat Baseline'!$G$11:$G$258,'G-2 Habitat groups'!A53,'D-1 Off Site Habitat Baseline'!$Q$11:$Q$258)</f>
        <v>0</v>
      </c>
      <c r="U53" s="513">
        <f>SUMIF('D-1 Off Site Habitat Baseline'!$G$11:$G$258,'G-2 Habitat groups'!A53,'D-1 Off Site Habitat Baseline'!$S$11:$S$258)</f>
        <v>0</v>
      </c>
      <c r="V53" s="111">
        <f>SUMIF('D-1 Off Site Habitat Baseline'!$G$11:$G$258,'G-2 Habitat groups'!A53,'D-1 Off Site Habitat Baseline'!$U$11:$U$258)</f>
        <v>0</v>
      </c>
      <c r="W53" s="111">
        <f>SUMIF('D-2 Off Site Habitat Creation'!$F$9:$F$255,'G-2 Habitat groups'!A53,'D-2 Off Site Habitat Creation'!$G$9:$G$255)</f>
        <v>0</v>
      </c>
      <c r="X53" s="111">
        <f>SUMIF('D-2 Off Site Habitat Creation'!$F$9:$F$255,'G-2 Habitat groups'!A53,'D-2 Off Site Habitat Creation'!$AA$9:$AA$255)</f>
        <v>0</v>
      </c>
      <c r="Y53" s="111">
        <f>SUMIF('D-3 Off Site Habitat Enhancment'!$S$12:$S$491,'G-2 Habitat groups'!A53,'D-3 Off Site Habitat Enhancment'!$V$12:$V$491)</f>
        <v>0</v>
      </c>
      <c r="Z53" s="111">
        <f>SUMIF('D-3 Off Site Habitat Enhancment'!$S$12:$S$491,'G-2 Habitat groups'!A53,'D-3 Off Site Habitat Enhancment'!$AP$12:$AP$491)</f>
        <v>0</v>
      </c>
      <c r="AA53" s="111">
        <f t="shared" si="47"/>
        <v>0</v>
      </c>
      <c r="AB53" s="111">
        <f t="shared" si="48"/>
        <v>0</v>
      </c>
      <c r="AC53" s="111">
        <f t="shared" si="49"/>
        <v>0</v>
      </c>
      <c r="AD53" s="111">
        <f t="shared" si="50"/>
        <v>0</v>
      </c>
      <c r="AE53" s="111">
        <f t="shared" si="51"/>
        <v>0</v>
      </c>
      <c r="AF53" s="111">
        <f t="shared" si="52"/>
        <v>0</v>
      </c>
      <c r="AU53" s="138" t="s">
        <v>253</v>
      </c>
      <c r="AV53" s="100" t="s">
        <v>163</v>
      </c>
      <c r="AW53" s="111">
        <f t="shared" si="33"/>
        <v>0</v>
      </c>
      <c r="AX53" s="111">
        <f t="shared" si="34"/>
        <v>0</v>
      </c>
      <c r="AY53" s="111">
        <f t="shared" si="35"/>
        <v>0</v>
      </c>
      <c r="AZ53" s="111">
        <f t="shared" si="36"/>
        <v>0</v>
      </c>
      <c r="BA53" s="111">
        <f t="shared" si="37"/>
        <v>0</v>
      </c>
      <c r="BB53" s="111">
        <f t="shared" si="38"/>
        <v>0</v>
      </c>
      <c r="BC53" s="111">
        <f t="shared" si="39"/>
        <v>0</v>
      </c>
      <c r="BD53" s="111">
        <f t="shared" si="40"/>
        <v>0</v>
      </c>
      <c r="BE53" s="111">
        <f t="shared" si="41"/>
        <v>0</v>
      </c>
      <c r="BF53" s="111" t="str">
        <f t="shared" si="42"/>
        <v/>
      </c>
    </row>
    <row r="54" spans="1:58" x14ac:dyDescent="0.25">
      <c r="A54" s="129" t="str">
        <f>'G-1 All Habitats'!B53</f>
        <v>Sparsely vegetated land - Ruderal/Ephemeral</v>
      </c>
      <c r="B54" s="100" t="str">
        <f>'G-1 All Habitats'!F53</f>
        <v>Sparsely vegetated land</v>
      </c>
      <c r="C54" s="100" t="str">
        <f>'G-1 All Habitats'!K53</f>
        <v>Low</v>
      </c>
      <c r="D54" s="100" t="str">
        <f>'G-1 All Habitats'!M53</f>
        <v>Same distinctiveness or better habitat required</v>
      </c>
      <c r="E54" s="111">
        <f>IF(C54="V.High",SUMIF('A-1 Site Habitat Baseline'!$G$11:$G$258,'G-2 Habitat groups'!A54,'A-1 Site Habitat Baseline'!$S$11:$S$258)+SUMIF('A-1 Site Habitat Baseline'!$G$11:$G$258,'G-2 Habitat groups'!A54,'A-1 Site Habitat Baseline'!$T$11:$T$258),SUMIF('A-1 Site Habitat Baseline'!$G$11:$G$258,'G-2 Habitat groups'!A54,'A-1 Site Habitat Baseline'!$H$11:$H$258))</f>
        <v>0</v>
      </c>
      <c r="F54" s="111">
        <f>SUMIF('A-1 Site Habitat Baseline'!$G$11:$G$258,'G-2 Habitat groups'!A54,'A-1 Site Habitat Baseline'!$Q$11:$Q$258)</f>
        <v>0</v>
      </c>
      <c r="G54" s="111">
        <f>SUMIF('A-1 Site Habitat Baseline'!$G$11:$G$258,'G-2 Habitat groups'!A54,'A-1 Site Habitat Baseline'!$S$11:$S$258)</f>
        <v>0</v>
      </c>
      <c r="H54" s="111">
        <f>SUMIF('A-1 Site Habitat Baseline'!$G$11:$G$258,'G-2 Habitat groups'!A54,'A-1 Site Habitat Baseline'!$U$11:$U$258)</f>
        <v>0</v>
      </c>
      <c r="I54" s="111">
        <f>SUMIF('A-1 Site Habitat Baseline'!$G$11:$G$258,'G-2 Habitat groups'!A54,'A-1 Site Habitat Baseline'!$W$11:$W$258)</f>
        <v>0</v>
      </c>
      <c r="J54" s="111">
        <f>SUMIF('A-1 Site Habitat Baseline'!$G$11:$G$258,'G-2 Habitat groups'!A54,'A-1 Site Habitat Baseline'!$X$11:$X$258)</f>
        <v>0</v>
      </c>
      <c r="K54" s="111">
        <f>SUMIF('A-2 Site Habitat Creation'!$F$11:$F$256,'G-2 Habitat groups'!A54,'A-2 Site Habitat Creation'!$G$11:$G$256)</f>
        <v>0</v>
      </c>
      <c r="L54" s="111">
        <f>SUMIF('A-2 Site Habitat Creation'!$F$11:$F$256,'G-2 Habitat groups'!A54,'A-2 Site Habitat Creation'!$Y$11:$Y$256)</f>
        <v>0</v>
      </c>
      <c r="M54" s="111">
        <f>SUMIF('A-3 Site Habitat Enhancement'!$S$12:$S$257,'G-2 Habitat groups'!A54,'A-3 Site Habitat Enhancement'!$V$12:$V$257)</f>
        <v>0</v>
      </c>
      <c r="N54" s="111">
        <f>SUMIF('A-3 Site Habitat Enhancement'!$S$12:$S$257,'G-2 Habitat groups'!A54,'A-3 Site Habitat Enhancement'!$AN$12:$AN$257)</f>
        <v>0</v>
      </c>
      <c r="O54" s="111">
        <f t="shared" si="43"/>
        <v>0</v>
      </c>
      <c r="P54" s="111">
        <f t="shared" si="44"/>
        <v>0</v>
      </c>
      <c r="Q54" s="111">
        <f t="shared" si="45"/>
        <v>0</v>
      </c>
      <c r="R54" s="111">
        <f t="shared" si="46"/>
        <v>0</v>
      </c>
      <c r="S54" s="111">
        <f>IF(C54="V.High",SUMIF('D-1 Off Site Habitat Baseline'!$G$11:$G$258,'G-2 Habitat groups'!A54,'D-1 Off Site Habitat Baseline'!$S$11:$S$258)+SUMIF('D-1 Off Site Habitat Baseline'!$G$11:$G$258,'G-2 Habitat groups'!A54,'D-1 Off Site Habitat Baseline'!$T$11:$T$258),SUMIF('D-1 Off Site Habitat Baseline'!$G$11:$G$258,'G-2 Habitat groups'!A54,'D-1 Off Site Habitat Baseline'!$H$11:$H$258))</f>
        <v>0</v>
      </c>
      <c r="T54" s="111">
        <f>SUMIF('D-1 Off Site Habitat Baseline'!$G$11:$G$258,'G-2 Habitat groups'!A54,'D-1 Off Site Habitat Baseline'!$Q$11:$Q$258)</f>
        <v>0</v>
      </c>
      <c r="U54" s="513">
        <f>SUMIF('D-1 Off Site Habitat Baseline'!$G$11:$G$258,'G-2 Habitat groups'!A54,'D-1 Off Site Habitat Baseline'!$S$11:$S$258)</f>
        <v>0</v>
      </c>
      <c r="V54" s="111">
        <f>SUMIF('D-1 Off Site Habitat Baseline'!$G$11:$G$258,'G-2 Habitat groups'!A54,'D-1 Off Site Habitat Baseline'!$U$11:$U$258)</f>
        <v>0</v>
      </c>
      <c r="W54" s="111">
        <f>SUMIF('D-2 Off Site Habitat Creation'!$F$9:$F$255,'G-2 Habitat groups'!A54,'D-2 Off Site Habitat Creation'!$G$9:$G$255)</f>
        <v>0</v>
      </c>
      <c r="X54" s="111">
        <f>SUMIF('D-2 Off Site Habitat Creation'!$F$9:$F$255,'G-2 Habitat groups'!A54,'D-2 Off Site Habitat Creation'!$AA$9:$AA$255)</f>
        <v>0</v>
      </c>
      <c r="Y54" s="111">
        <f>SUMIF('D-3 Off Site Habitat Enhancment'!$S$12:$S$491,'G-2 Habitat groups'!A54,'D-3 Off Site Habitat Enhancment'!$V$12:$V$491)</f>
        <v>0</v>
      </c>
      <c r="Z54" s="111">
        <f>SUMIF('D-3 Off Site Habitat Enhancment'!$S$12:$S$491,'G-2 Habitat groups'!A54,'D-3 Off Site Habitat Enhancment'!$AP$12:$AP$491)</f>
        <v>0</v>
      </c>
      <c r="AA54" s="111">
        <f t="shared" si="47"/>
        <v>0</v>
      </c>
      <c r="AB54" s="111">
        <f t="shared" si="48"/>
        <v>0</v>
      </c>
      <c r="AC54" s="111">
        <f t="shared" si="49"/>
        <v>0</v>
      </c>
      <c r="AD54" s="111">
        <f t="shared" si="50"/>
        <v>0</v>
      </c>
      <c r="AE54" s="111">
        <f t="shared" si="51"/>
        <v>0</v>
      </c>
      <c r="AF54" s="111">
        <f t="shared" si="52"/>
        <v>0</v>
      </c>
      <c r="AU54" s="138" t="s">
        <v>256</v>
      </c>
      <c r="AV54" s="100" t="s">
        <v>163</v>
      </c>
      <c r="AW54" s="111">
        <f t="shared" si="33"/>
        <v>0</v>
      </c>
      <c r="AX54" s="111">
        <f t="shared" si="34"/>
        <v>0</v>
      </c>
      <c r="AY54" s="111">
        <f t="shared" si="35"/>
        <v>0</v>
      </c>
      <c r="AZ54" s="111">
        <f t="shared" si="36"/>
        <v>0</v>
      </c>
      <c r="BA54" s="111">
        <f t="shared" si="37"/>
        <v>0</v>
      </c>
      <c r="BB54" s="111">
        <f t="shared" si="38"/>
        <v>0</v>
      </c>
      <c r="BC54" s="111">
        <f t="shared" si="39"/>
        <v>0</v>
      </c>
      <c r="BD54" s="111">
        <f t="shared" si="40"/>
        <v>0</v>
      </c>
      <c r="BE54" s="111">
        <f t="shared" si="41"/>
        <v>0</v>
      </c>
      <c r="BF54" s="111" t="str">
        <f t="shared" si="42"/>
        <v/>
      </c>
    </row>
    <row r="55" spans="1:58" x14ac:dyDescent="0.25">
      <c r="A55" s="129" t="str">
        <f>'G-1 All Habitats'!B54</f>
        <v>Sparsely vegetated land - Inland rock outcrop and scree habitats</v>
      </c>
      <c r="B55" s="100" t="str">
        <f>'G-1 All Habitats'!F54</f>
        <v>Sparsely vegetated land</v>
      </c>
      <c r="C55" s="100" t="str">
        <f>'G-1 All Habitats'!K54</f>
        <v>High</v>
      </c>
      <c r="D55" s="100" t="str">
        <f>'G-1 All Habitats'!M54</f>
        <v>Same habitat required</v>
      </c>
      <c r="E55" s="111">
        <f>IF(C55="V.High",SUMIF('A-1 Site Habitat Baseline'!$G$11:$G$258,'G-2 Habitat groups'!A55,'A-1 Site Habitat Baseline'!$S$11:$S$258)+SUMIF('A-1 Site Habitat Baseline'!$G$11:$G$258,'G-2 Habitat groups'!A55,'A-1 Site Habitat Baseline'!$T$11:$T$258),SUMIF('A-1 Site Habitat Baseline'!$G$11:$G$258,'G-2 Habitat groups'!A55,'A-1 Site Habitat Baseline'!$H$11:$H$258))</f>
        <v>0</v>
      </c>
      <c r="F55" s="111">
        <f>SUMIF('A-1 Site Habitat Baseline'!$G$11:$G$258,'G-2 Habitat groups'!A55,'A-1 Site Habitat Baseline'!$Q$11:$Q$258)</f>
        <v>0</v>
      </c>
      <c r="G55" s="111">
        <f>SUMIF('A-1 Site Habitat Baseline'!$G$11:$G$258,'G-2 Habitat groups'!A55,'A-1 Site Habitat Baseline'!$S$11:$S$258)</f>
        <v>0</v>
      </c>
      <c r="H55" s="111">
        <f>SUMIF('A-1 Site Habitat Baseline'!$G$11:$G$258,'G-2 Habitat groups'!A55,'A-1 Site Habitat Baseline'!$U$11:$U$258)</f>
        <v>0</v>
      </c>
      <c r="I55" s="111">
        <f>SUMIF('A-1 Site Habitat Baseline'!$G$11:$G$258,'G-2 Habitat groups'!A55,'A-1 Site Habitat Baseline'!$W$11:$W$258)</f>
        <v>0</v>
      </c>
      <c r="J55" s="111">
        <f>SUMIF('A-1 Site Habitat Baseline'!$G$11:$G$258,'G-2 Habitat groups'!A55,'A-1 Site Habitat Baseline'!$X$11:$X$258)</f>
        <v>0</v>
      </c>
      <c r="K55" s="111">
        <f>SUMIF('A-2 Site Habitat Creation'!$F$11:$F$256,'G-2 Habitat groups'!A55,'A-2 Site Habitat Creation'!$G$11:$G$256)</f>
        <v>0</v>
      </c>
      <c r="L55" s="111">
        <f>SUMIF('A-2 Site Habitat Creation'!$F$11:$F$256,'G-2 Habitat groups'!A55,'A-2 Site Habitat Creation'!$Y$11:$Y$256)</f>
        <v>0</v>
      </c>
      <c r="M55" s="111">
        <f>SUMIF('A-3 Site Habitat Enhancement'!$S$12:$S$257,'G-2 Habitat groups'!A55,'A-3 Site Habitat Enhancement'!$V$12:$V$257)</f>
        <v>0</v>
      </c>
      <c r="N55" s="111">
        <f>SUMIF('A-3 Site Habitat Enhancement'!$S$12:$S$257,'G-2 Habitat groups'!A55,'A-3 Site Habitat Enhancement'!$AN$12:$AN$257)</f>
        <v>0</v>
      </c>
      <c r="O55" s="111">
        <f t="shared" si="43"/>
        <v>0</v>
      </c>
      <c r="P55" s="111">
        <f t="shared" si="44"/>
        <v>0</v>
      </c>
      <c r="Q55" s="111">
        <f t="shared" si="45"/>
        <v>0</v>
      </c>
      <c r="R55" s="111">
        <f t="shared" si="46"/>
        <v>0</v>
      </c>
      <c r="S55" s="111">
        <f>IF(C55="V.High",SUMIF('D-1 Off Site Habitat Baseline'!$G$11:$G$258,'G-2 Habitat groups'!A55,'D-1 Off Site Habitat Baseline'!$S$11:$S$258)+SUMIF('D-1 Off Site Habitat Baseline'!$G$11:$G$258,'G-2 Habitat groups'!A55,'D-1 Off Site Habitat Baseline'!$T$11:$T$258),SUMIF('D-1 Off Site Habitat Baseline'!$G$11:$G$258,'G-2 Habitat groups'!A55,'D-1 Off Site Habitat Baseline'!$H$11:$H$258))</f>
        <v>0</v>
      </c>
      <c r="T55" s="111">
        <f>SUMIF('D-1 Off Site Habitat Baseline'!$G$11:$G$258,'G-2 Habitat groups'!A55,'D-1 Off Site Habitat Baseline'!$Q$11:$Q$258)</f>
        <v>0</v>
      </c>
      <c r="U55" s="513">
        <f>SUMIF('D-1 Off Site Habitat Baseline'!$G$11:$G$258,'G-2 Habitat groups'!A55,'D-1 Off Site Habitat Baseline'!$S$11:$S$258)</f>
        <v>0</v>
      </c>
      <c r="V55" s="111">
        <f>SUMIF('D-1 Off Site Habitat Baseline'!$G$11:$G$258,'G-2 Habitat groups'!A55,'D-1 Off Site Habitat Baseline'!$U$11:$U$258)</f>
        <v>0</v>
      </c>
      <c r="W55" s="111">
        <f>SUMIF('D-2 Off Site Habitat Creation'!$F$9:$F$255,'G-2 Habitat groups'!A55,'D-2 Off Site Habitat Creation'!$G$9:$G$255)</f>
        <v>0</v>
      </c>
      <c r="X55" s="111">
        <f>SUMIF('D-2 Off Site Habitat Creation'!$F$9:$F$255,'G-2 Habitat groups'!A55,'D-2 Off Site Habitat Creation'!$AA$9:$AA$255)</f>
        <v>0</v>
      </c>
      <c r="Y55" s="111">
        <f>SUMIF('D-3 Off Site Habitat Enhancment'!$S$12:$S$491,'G-2 Habitat groups'!A55,'D-3 Off Site Habitat Enhancment'!$V$12:$V$491)</f>
        <v>0</v>
      </c>
      <c r="Z55" s="111">
        <f>SUMIF('D-3 Off Site Habitat Enhancment'!$S$12:$S$491,'G-2 Habitat groups'!A55,'D-3 Off Site Habitat Enhancment'!$AP$12:$AP$491)</f>
        <v>0</v>
      </c>
      <c r="AA55" s="111">
        <f t="shared" si="47"/>
        <v>0</v>
      </c>
      <c r="AB55" s="111">
        <f t="shared" si="48"/>
        <v>0</v>
      </c>
      <c r="AC55" s="111">
        <f t="shared" si="49"/>
        <v>0</v>
      </c>
      <c r="AD55" s="111">
        <f t="shared" si="50"/>
        <v>0</v>
      </c>
      <c r="AE55" s="111">
        <f t="shared" si="51"/>
        <v>0</v>
      </c>
      <c r="AF55" s="111">
        <f t="shared" si="52"/>
        <v>0</v>
      </c>
      <c r="AU55" s="138" t="s">
        <v>259</v>
      </c>
      <c r="AV55" s="100" t="s">
        <v>163</v>
      </c>
      <c r="AW55" s="111">
        <f t="shared" si="33"/>
        <v>0</v>
      </c>
      <c r="AX55" s="111">
        <f t="shared" si="34"/>
        <v>0</v>
      </c>
      <c r="AY55" s="111">
        <f t="shared" si="35"/>
        <v>0</v>
      </c>
      <c r="AZ55" s="111">
        <f t="shared" si="36"/>
        <v>0</v>
      </c>
      <c r="BA55" s="111">
        <f t="shared" si="37"/>
        <v>0</v>
      </c>
      <c r="BB55" s="111">
        <f t="shared" si="38"/>
        <v>0</v>
      </c>
      <c r="BC55" s="111">
        <f t="shared" si="39"/>
        <v>0</v>
      </c>
      <c r="BD55" s="111">
        <f t="shared" si="40"/>
        <v>0</v>
      </c>
      <c r="BE55" s="111">
        <f t="shared" si="41"/>
        <v>0</v>
      </c>
      <c r="BF55" s="111" t="str">
        <f t="shared" si="42"/>
        <v/>
      </c>
    </row>
    <row r="56" spans="1:58" x14ac:dyDescent="0.25">
      <c r="A56" s="129" t="str">
        <f>'G-1 All Habitats'!B55</f>
        <v>Sparsely vegetated land - Limestone pavement</v>
      </c>
      <c r="B56" s="100" t="str">
        <f>'G-1 All Habitats'!F55</f>
        <v>Sparsely vegetated land</v>
      </c>
      <c r="C56" s="100" t="str">
        <f>'G-1 All Habitats'!K55</f>
        <v>V.High</v>
      </c>
      <c r="D56" s="100" t="str">
        <f>'G-1 All Habitats'!M55</f>
        <v>Bespoke compensation likely to be required</v>
      </c>
      <c r="E56" s="111">
        <f>IF(C56="V.High",SUMIF('A-1 Site Habitat Baseline'!$G$11:$G$258,'G-2 Habitat groups'!A56,'A-1 Site Habitat Baseline'!$S$11:$S$258)+SUMIF('A-1 Site Habitat Baseline'!$G$11:$G$258,'G-2 Habitat groups'!A56,'A-1 Site Habitat Baseline'!$T$11:$T$258),SUMIF('A-1 Site Habitat Baseline'!$G$11:$G$258,'G-2 Habitat groups'!A56,'A-1 Site Habitat Baseline'!$H$11:$H$258))</f>
        <v>0</v>
      </c>
      <c r="F56" s="111">
        <f>SUMIF('A-1 Site Habitat Baseline'!$G$11:$G$258,'G-2 Habitat groups'!A56,'A-1 Site Habitat Baseline'!$Q$11:$Q$258)</f>
        <v>0</v>
      </c>
      <c r="G56" s="111">
        <f>SUMIF('A-1 Site Habitat Baseline'!$G$11:$G$258,'G-2 Habitat groups'!A56,'A-1 Site Habitat Baseline'!$S$11:$S$258)</f>
        <v>0</v>
      </c>
      <c r="H56" s="111">
        <f>SUMIF('A-1 Site Habitat Baseline'!$G$11:$G$258,'G-2 Habitat groups'!A56,'A-1 Site Habitat Baseline'!$U$11:$U$258)</f>
        <v>0</v>
      </c>
      <c r="I56" s="111">
        <f>SUMIF('A-1 Site Habitat Baseline'!$G$11:$G$258,'G-2 Habitat groups'!A56,'A-1 Site Habitat Baseline'!$W$11:$W$258)</f>
        <v>0</v>
      </c>
      <c r="J56" s="111">
        <f>SUMIF('A-1 Site Habitat Baseline'!$G$11:$G$258,'G-2 Habitat groups'!A56,'A-1 Site Habitat Baseline'!$X$11:$X$258)</f>
        <v>0</v>
      </c>
      <c r="K56" s="111">
        <f>SUMIF('A-2 Site Habitat Creation'!$F$11:$F$256,'G-2 Habitat groups'!A56,'A-2 Site Habitat Creation'!$G$11:$G$256)</f>
        <v>0</v>
      </c>
      <c r="L56" s="111">
        <f>SUMIF('A-2 Site Habitat Creation'!$F$11:$F$256,'G-2 Habitat groups'!A56,'A-2 Site Habitat Creation'!$Y$11:$Y$256)</f>
        <v>0</v>
      </c>
      <c r="M56" s="111">
        <f>SUMIF('A-3 Site Habitat Enhancement'!$S$12:$S$257,'G-2 Habitat groups'!A56,'A-3 Site Habitat Enhancement'!$V$12:$V$257)</f>
        <v>0</v>
      </c>
      <c r="N56" s="111">
        <f>SUMIF('A-3 Site Habitat Enhancement'!$S$12:$S$257,'G-2 Habitat groups'!A56,'A-3 Site Habitat Enhancement'!$AN$12:$AN$257)</f>
        <v>0</v>
      </c>
      <c r="O56" s="111">
        <f t="shared" si="43"/>
        <v>0</v>
      </c>
      <c r="P56" s="111">
        <f t="shared" si="44"/>
        <v>0</v>
      </c>
      <c r="Q56" s="111">
        <f t="shared" si="45"/>
        <v>0</v>
      </c>
      <c r="R56" s="111">
        <f t="shared" si="46"/>
        <v>0</v>
      </c>
      <c r="S56" s="111">
        <f>IF(C56="V.High",SUMIF('D-1 Off Site Habitat Baseline'!$G$11:$G$258,'G-2 Habitat groups'!A56,'D-1 Off Site Habitat Baseline'!$S$11:$S$258)+SUMIF('D-1 Off Site Habitat Baseline'!$G$11:$G$258,'G-2 Habitat groups'!A56,'D-1 Off Site Habitat Baseline'!$T$11:$T$258),SUMIF('D-1 Off Site Habitat Baseline'!$G$11:$G$258,'G-2 Habitat groups'!A56,'D-1 Off Site Habitat Baseline'!$H$11:$H$258))</f>
        <v>0</v>
      </c>
      <c r="T56" s="111">
        <f>SUMIF('D-1 Off Site Habitat Baseline'!$G$11:$G$258,'G-2 Habitat groups'!A56,'D-1 Off Site Habitat Baseline'!$Q$11:$Q$258)</f>
        <v>0</v>
      </c>
      <c r="U56" s="513">
        <f>SUMIF('D-1 Off Site Habitat Baseline'!$G$11:$G$258,'G-2 Habitat groups'!A56,'D-1 Off Site Habitat Baseline'!$S$11:$S$258)</f>
        <v>0</v>
      </c>
      <c r="V56" s="111">
        <f>SUMIF('D-1 Off Site Habitat Baseline'!$G$11:$G$258,'G-2 Habitat groups'!A56,'D-1 Off Site Habitat Baseline'!$U$11:$U$258)</f>
        <v>0</v>
      </c>
      <c r="W56" s="111">
        <f>SUMIF('D-2 Off Site Habitat Creation'!$F$9:$F$255,'G-2 Habitat groups'!A56,'D-2 Off Site Habitat Creation'!$G$9:$G$255)</f>
        <v>0</v>
      </c>
      <c r="X56" s="111">
        <f>SUMIF('D-2 Off Site Habitat Creation'!$F$9:$F$255,'G-2 Habitat groups'!A56,'D-2 Off Site Habitat Creation'!$AA$9:$AA$255)</f>
        <v>0</v>
      </c>
      <c r="Y56" s="111">
        <f>SUMIF('D-3 Off Site Habitat Enhancment'!$S$12:$S$491,'G-2 Habitat groups'!A56,'D-3 Off Site Habitat Enhancment'!$V$12:$V$491)</f>
        <v>0</v>
      </c>
      <c r="Z56" s="111">
        <f>SUMIF('D-3 Off Site Habitat Enhancment'!$S$12:$S$491,'G-2 Habitat groups'!A56,'D-3 Off Site Habitat Enhancment'!$AP$12:$AP$491)</f>
        <v>0</v>
      </c>
      <c r="AA56" s="111">
        <f t="shared" si="47"/>
        <v>0</v>
      </c>
      <c r="AB56" s="111">
        <f t="shared" si="48"/>
        <v>0</v>
      </c>
      <c r="AC56" s="111">
        <f t="shared" si="49"/>
        <v>0</v>
      </c>
      <c r="AD56" s="111">
        <f t="shared" si="50"/>
        <v>0</v>
      </c>
      <c r="AE56" s="111">
        <f t="shared" si="51"/>
        <v>0</v>
      </c>
      <c r="AF56" s="111">
        <f t="shared" si="52"/>
        <v>0</v>
      </c>
      <c r="AU56" s="138" t="s">
        <v>255</v>
      </c>
      <c r="AV56" s="100" t="s">
        <v>163</v>
      </c>
      <c r="AW56" s="111">
        <f t="shared" si="33"/>
        <v>0</v>
      </c>
      <c r="AX56" s="111">
        <f t="shared" si="34"/>
        <v>0</v>
      </c>
      <c r="AY56" s="111">
        <f t="shared" si="35"/>
        <v>0</v>
      </c>
      <c r="AZ56" s="111">
        <f t="shared" si="36"/>
        <v>0</v>
      </c>
      <c r="BA56" s="111">
        <f t="shared" si="37"/>
        <v>0</v>
      </c>
      <c r="BB56" s="111">
        <f t="shared" si="38"/>
        <v>0</v>
      </c>
      <c r="BC56" s="111">
        <f t="shared" si="39"/>
        <v>0</v>
      </c>
      <c r="BD56" s="111">
        <f t="shared" si="40"/>
        <v>0</v>
      </c>
      <c r="BE56" s="111">
        <f t="shared" si="41"/>
        <v>0</v>
      </c>
      <c r="BF56" s="111" t="str">
        <f t="shared" si="42"/>
        <v/>
      </c>
    </row>
    <row r="57" spans="1:58" x14ac:dyDescent="0.25">
      <c r="A57" s="129" t="str">
        <f>'G-1 All Habitats'!B56</f>
        <v>Sparsely vegetated land - Maritime cliff and slopes</v>
      </c>
      <c r="B57" s="100" t="str">
        <f>'G-1 All Habitats'!F56</f>
        <v>Sparsely vegetated land</v>
      </c>
      <c r="C57" s="100" t="str">
        <f>'G-1 All Habitats'!K56</f>
        <v>High</v>
      </c>
      <c r="D57" s="100" t="str">
        <f>'G-1 All Habitats'!M56</f>
        <v>Same habitat required</v>
      </c>
      <c r="E57" s="111">
        <f>IF(C57="V.High",SUMIF('A-1 Site Habitat Baseline'!$G$11:$G$258,'G-2 Habitat groups'!A57,'A-1 Site Habitat Baseline'!$S$11:$S$258)+SUMIF('A-1 Site Habitat Baseline'!$G$11:$G$258,'G-2 Habitat groups'!A57,'A-1 Site Habitat Baseline'!$T$11:$T$258),SUMIF('A-1 Site Habitat Baseline'!$G$11:$G$258,'G-2 Habitat groups'!A57,'A-1 Site Habitat Baseline'!$H$11:$H$258))</f>
        <v>0</v>
      </c>
      <c r="F57" s="111">
        <f>SUMIF('A-1 Site Habitat Baseline'!$G$11:$G$258,'G-2 Habitat groups'!A57,'A-1 Site Habitat Baseline'!$Q$11:$Q$258)</f>
        <v>0</v>
      </c>
      <c r="G57" s="111">
        <f>SUMIF('A-1 Site Habitat Baseline'!$G$11:$G$258,'G-2 Habitat groups'!A57,'A-1 Site Habitat Baseline'!$S$11:$S$258)</f>
        <v>0</v>
      </c>
      <c r="H57" s="111">
        <f>SUMIF('A-1 Site Habitat Baseline'!$G$11:$G$258,'G-2 Habitat groups'!A57,'A-1 Site Habitat Baseline'!$U$11:$U$258)</f>
        <v>0</v>
      </c>
      <c r="I57" s="111">
        <f>SUMIF('A-1 Site Habitat Baseline'!$G$11:$G$258,'G-2 Habitat groups'!A57,'A-1 Site Habitat Baseline'!$W$11:$W$258)</f>
        <v>0</v>
      </c>
      <c r="J57" s="111">
        <f>SUMIF('A-1 Site Habitat Baseline'!$G$11:$G$258,'G-2 Habitat groups'!A57,'A-1 Site Habitat Baseline'!$X$11:$X$258)</f>
        <v>0</v>
      </c>
      <c r="K57" s="111">
        <f>SUMIF('A-2 Site Habitat Creation'!$F$11:$F$256,'G-2 Habitat groups'!A57,'A-2 Site Habitat Creation'!$G$11:$G$256)</f>
        <v>0</v>
      </c>
      <c r="L57" s="111">
        <f>SUMIF('A-2 Site Habitat Creation'!$F$11:$F$256,'G-2 Habitat groups'!A57,'A-2 Site Habitat Creation'!$Y$11:$Y$256)</f>
        <v>0</v>
      </c>
      <c r="M57" s="111">
        <f>SUMIF('A-3 Site Habitat Enhancement'!$S$12:$S$257,'G-2 Habitat groups'!A57,'A-3 Site Habitat Enhancement'!$V$12:$V$257)</f>
        <v>0</v>
      </c>
      <c r="N57" s="111">
        <f>SUMIF('A-3 Site Habitat Enhancement'!$S$12:$S$257,'G-2 Habitat groups'!A57,'A-3 Site Habitat Enhancement'!$AN$12:$AN$257)</f>
        <v>0</v>
      </c>
      <c r="O57" s="111">
        <f t="shared" si="43"/>
        <v>0</v>
      </c>
      <c r="P57" s="111">
        <f t="shared" si="44"/>
        <v>0</v>
      </c>
      <c r="Q57" s="111">
        <f t="shared" si="45"/>
        <v>0</v>
      </c>
      <c r="R57" s="111">
        <f t="shared" si="46"/>
        <v>0</v>
      </c>
      <c r="S57" s="111">
        <f>IF(C57="V.High",SUMIF('D-1 Off Site Habitat Baseline'!$G$11:$G$258,'G-2 Habitat groups'!A57,'D-1 Off Site Habitat Baseline'!$S$11:$S$258)+SUMIF('D-1 Off Site Habitat Baseline'!$G$11:$G$258,'G-2 Habitat groups'!A57,'D-1 Off Site Habitat Baseline'!$T$11:$T$258),SUMIF('D-1 Off Site Habitat Baseline'!$G$11:$G$258,'G-2 Habitat groups'!A57,'D-1 Off Site Habitat Baseline'!$H$11:$H$258))</f>
        <v>0</v>
      </c>
      <c r="T57" s="111">
        <f>SUMIF('D-1 Off Site Habitat Baseline'!$G$11:$G$258,'G-2 Habitat groups'!A57,'D-1 Off Site Habitat Baseline'!$Q$11:$Q$258)</f>
        <v>0</v>
      </c>
      <c r="U57" s="513">
        <f>SUMIF('D-1 Off Site Habitat Baseline'!$G$11:$G$258,'G-2 Habitat groups'!A57,'D-1 Off Site Habitat Baseline'!$S$11:$S$258)</f>
        <v>0</v>
      </c>
      <c r="V57" s="111">
        <f>SUMIF('D-1 Off Site Habitat Baseline'!$G$11:$G$258,'G-2 Habitat groups'!A57,'D-1 Off Site Habitat Baseline'!$U$11:$U$258)</f>
        <v>0</v>
      </c>
      <c r="W57" s="111">
        <f>SUMIF('D-2 Off Site Habitat Creation'!$F$9:$F$255,'G-2 Habitat groups'!A57,'D-2 Off Site Habitat Creation'!$G$9:$G$255)</f>
        <v>0</v>
      </c>
      <c r="X57" s="111">
        <f>SUMIF('D-2 Off Site Habitat Creation'!$F$9:$F$255,'G-2 Habitat groups'!A57,'D-2 Off Site Habitat Creation'!$AA$9:$AA$255)</f>
        <v>0</v>
      </c>
      <c r="Y57" s="111">
        <f>SUMIF('D-3 Off Site Habitat Enhancment'!$S$12:$S$491,'G-2 Habitat groups'!A57,'D-3 Off Site Habitat Enhancment'!$V$12:$V$491)</f>
        <v>0</v>
      </c>
      <c r="Z57" s="111">
        <f>SUMIF('D-3 Off Site Habitat Enhancment'!$S$12:$S$491,'G-2 Habitat groups'!A57,'D-3 Off Site Habitat Enhancment'!$AP$12:$AP$491)</f>
        <v>0</v>
      </c>
      <c r="AA57" s="111">
        <f t="shared" si="47"/>
        <v>0</v>
      </c>
      <c r="AB57" s="111">
        <f t="shared" si="48"/>
        <v>0</v>
      </c>
      <c r="AC57" s="111">
        <f t="shared" si="49"/>
        <v>0</v>
      </c>
      <c r="AD57" s="111">
        <f t="shared" si="50"/>
        <v>0</v>
      </c>
      <c r="AE57" s="111">
        <f t="shared" si="51"/>
        <v>0</v>
      </c>
      <c r="AF57" s="111">
        <f t="shared" si="52"/>
        <v>0</v>
      </c>
      <c r="AU57" s="138" t="s">
        <v>252</v>
      </c>
      <c r="AV57" s="100" t="s">
        <v>163</v>
      </c>
      <c r="AW57" s="111">
        <f t="shared" si="33"/>
        <v>0</v>
      </c>
      <c r="AX57" s="111">
        <f t="shared" si="34"/>
        <v>0</v>
      </c>
      <c r="AY57" s="111">
        <f t="shared" si="35"/>
        <v>0</v>
      </c>
      <c r="AZ57" s="111">
        <f t="shared" si="36"/>
        <v>0</v>
      </c>
      <c r="BA57" s="111">
        <f t="shared" si="37"/>
        <v>0</v>
      </c>
      <c r="BB57" s="111">
        <f t="shared" si="38"/>
        <v>0</v>
      </c>
      <c r="BC57" s="111">
        <f t="shared" si="39"/>
        <v>0</v>
      </c>
      <c r="BD57" s="111">
        <f t="shared" si="40"/>
        <v>0</v>
      </c>
      <c r="BE57" s="111">
        <f t="shared" si="41"/>
        <v>0</v>
      </c>
      <c r="BF57" s="111" t="str">
        <f t="shared" si="42"/>
        <v/>
      </c>
    </row>
    <row r="58" spans="1:58" x14ac:dyDescent="0.25">
      <c r="A58" s="129" t="str">
        <f>'G-1 All Habitats'!B57</f>
        <v>Sparsely vegetated land - Other inland rock and scree</v>
      </c>
      <c r="B58" s="100" t="str">
        <f>'G-1 All Habitats'!F57</f>
        <v>Sparsely vegetated land</v>
      </c>
      <c r="C58" s="100" t="str">
        <f>'G-1 All Habitats'!K57</f>
        <v>Medium</v>
      </c>
      <c r="D58" s="100" t="str">
        <f>'G-1 All Habitats'!M57</f>
        <v>Same broad habitat or a higher distinctiveness habitat required</v>
      </c>
      <c r="E58" s="111">
        <f>IF(C58="V.High",SUMIF('A-1 Site Habitat Baseline'!$G$11:$G$258,'G-2 Habitat groups'!A58,'A-1 Site Habitat Baseline'!$S$11:$S$258)+SUMIF('A-1 Site Habitat Baseline'!$G$11:$G$258,'G-2 Habitat groups'!A58,'A-1 Site Habitat Baseline'!$T$11:$T$258),SUMIF('A-1 Site Habitat Baseline'!$G$11:$G$258,'G-2 Habitat groups'!A58,'A-1 Site Habitat Baseline'!$H$11:$H$258))</f>
        <v>0</v>
      </c>
      <c r="F58" s="111">
        <f>SUMIF('A-1 Site Habitat Baseline'!$G$11:$G$258,'G-2 Habitat groups'!A58,'A-1 Site Habitat Baseline'!$Q$11:$Q$258)</f>
        <v>0</v>
      </c>
      <c r="G58" s="111">
        <f>SUMIF('A-1 Site Habitat Baseline'!$G$11:$G$258,'G-2 Habitat groups'!A58,'A-1 Site Habitat Baseline'!$S$11:$S$258)</f>
        <v>0</v>
      </c>
      <c r="H58" s="111">
        <f>SUMIF('A-1 Site Habitat Baseline'!$G$11:$G$258,'G-2 Habitat groups'!A58,'A-1 Site Habitat Baseline'!$U$11:$U$258)</f>
        <v>0</v>
      </c>
      <c r="I58" s="111">
        <f>SUMIF('A-1 Site Habitat Baseline'!$G$11:$G$258,'G-2 Habitat groups'!A58,'A-1 Site Habitat Baseline'!$W$11:$W$258)</f>
        <v>0</v>
      </c>
      <c r="J58" s="111">
        <f>SUMIF('A-1 Site Habitat Baseline'!$G$11:$G$258,'G-2 Habitat groups'!A58,'A-1 Site Habitat Baseline'!$X$11:$X$258)</f>
        <v>0</v>
      </c>
      <c r="K58" s="111">
        <f>SUMIF('A-2 Site Habitat Creation'!$F$11:$F$256,'G-2 Habitat groups'!A58,'A-2 Site Habitat Creation'!$G$11:$G$256)</f>
        <v>0</v>
      </c>
      <c r="L58" s="111">
        <f>SUMIF('A-2 Site Habitat Creation'!$F$11:$F$256,'G-2 Habitat groups'!A58,'A-2 Site Habitat Creation'!$Y$11:$Y$256)</f>
        <v>0</v>
      </c>
      <c r="M58" s="111">
        <f>SUMIF('A-3 Site Habitat Enhancement'!$S$12:$S$257,'G-2 Habitat groups'!A58,'A-3 Site Habitat Enhancement'!$V$12:$V$257)</f>
        <v>0</v>
      </c>
      <c r="N58" s="111">
        <f>SUMIF('A-3 Site Habitat Enhancement'!$S$12:$S$257,'G-2 Habitat groups'!A58,'A-3 Site Habitat Enhancement'!$AN$12:$AN$257)</f>
        <v>0</v>
      </c>
      <c r="O58" s="111">
        <f t="shared" si="43"/>
        <v>0</v>
      </c>
      <c r="P58" s="111">
        <f t="shared" si="44"/>
        <v>0</v>
      </c>
      <c r="Q58" s="111">
        <f t="shared" si="45"/>
        <v>0</v>
      </c>
      <c r="R58" s="111">
        <f t="shared" si="46"/>
        <v>0</v>
      </c>
      <c r="S58" s="111">
        <f>IF(C58="V.High",SUMIF('D-1 Off Site Habitat Baseline'!$G$11:$G$258,'G-2 Habitat groups'!A58,'D-1 Off Site Habitat Baseline'!$S$11:$S$258)+SUMIF('D-1 Off Site Habitat Baseline'!$G$11:$G$258,'G-2 Habitat groups'!A58,'D-1 Off Site Habitat Baseline'!$T$11:$T$258),SUMIF('D-1 Off Site Habitat Baseline'!$G$11:$G$258,'G-2 Habitat groups'!A58,'D-1 Off Site Habitat Baseline'!$H$11:$H$258))</f>
        <v>0</v>
      </c>
      <c r="T58" s="111">
        <f>SUMIF('D-1 Off Site Habitat Baseline'!$G$11:$G$258,'G-2 Habitat groups'!A58,'D-1 Off Site Habitat Baseline'!$Q$11:$Q$258)</f>
        <v>0</v>
      </c>
      <c r="U58" s="513">
        <f>SUMIF('D-1 Off Site Habitat Baseline'!$G$11:$G$258,'G-2 Habitat groups'!A58,'D-1 Off Site Habitat Baseline'!$S$11:$S$258)</f>
        <v>0</v>
      </c>
      <c r="V58" s="111">
        <f>SUMIF('D-1 Off Site Habitat Baseline'!$G$11:$G$258,'G-2 Habitat groups'!A58,'D-1 Off Site Habitat Baseline'!$U$11:$U$258)</f>
        <v>0</v>
      </c>
      <c r="W58" s="111">
        <f>SUMIF('D-2 Off Site Habitat Creation'!$F$9:$F$255,'G-2 Habitat groups'!A58,'D-2 Off Site Habitat Creation'!$G$9:$G$255)</f>
        <v>0</v>
      </c>
      <c r="X58" s="111">
        <f>SUMIF('D-2 Off Site Habitat Creation'!$F$9:$F$255,'G-2 Habitat groups'!A58,'D-2 Off Site Habitat Creation'!$AA$9:$AA$255)</f>
        <v>0</v>
      </c>
      <c r="Y58" s="111">
        <f>SUMIF('D-3 Off Site Habitat Enhancment'!$S$12:$S$491,'G-2 Habitat groups'!A58,'D-3 Off Site Habitat Enhancment'!$V$12:$V$491)</f>
        <v>0</v>
      </c>
      <c r="Z58" s="111">
        <f>SUMIF('D-3 Off Site Habitat Enhancment'!$S$12:$S$491,'G-2 Habitat groups'!A58,'D-3 Off Site Habitat Enhancment'!$AP$12:$AP$491)</f>
        <v>0</v>
      </c>
      <c r="AA58" s="111">
        <f t="shared" si="47"/>
        <v>0</v>
      </c>
      <c r="AB58" s="111">
        <f t="shared" si="48"/>
        <v>0</v>
      </c>
      <c r="AC58" s="111">
        <f t="shared" si="49"/>
        <v>0</v>
      </c>
      <c r="AD58" s="111">
        <f t="shared" si="50"/>
        <v>0</v>
      </c>
      <c r="AE58" s="111">
        <f t="shared" si="51"/>
        <v>0</v>
      </c>
      <c r="AF58" s="111">
        <f t="shared" si="52"/>
        <v>0</v>
      </c>
      <c r="AU58" s="138" t="s">
        <v>251</v>
      </c>
      <c r="AV58" s="100" t="s">
        <v>163</v>
      </c>
      <c r="AW58" s="111">
        <f t="shared" si="33"/>
        <v>0</v>
      </c>
      <c r="AX58" s="111">
        <f t="shared" si="34"/>
        <v>0</v>
      </c>
      <c r="AY58" s="111">
        <f t="shared" si="35"/>
        <v>0</v>
      </c>
      <c r="AZ58" s="111">
        <f t="shared" si="36"/>
        <v>0</v>
      </c>
      <c r="BA58" s="111">
        <f t="shared" si="37"/>
        <v>0</v>
      </c>
      <c r="BB58" s="111">
        <f t="shared" si="38"/>
        <v>0</v>
      </c>
      <c r="BC58" s="111">
        <f t="shared" si="39"/>
        <v>0</v>
      </c>
      <c r="BD58" s="111">
        <f t="shared" si="40"/>
        <v>0</v>
      </c>
      <c r="BE58" s="111">
        <f t="shared" si="41"/>
        <v>0</v>
      </c>
      <c r="BF58" s="111" t="str">
        <f t="shared" si="42"/>
        <v/>
      </c>
    </row>
    <row r="59" spans="1:58" x14ac:dyDescent="0.25">
      <c r="A59" s="129" t="str">
        <f>'G-1 All Habitats'!B58</f>
        <v>Urban - Allotments</v>
      </c>
      <c r="B59" s="100" t="str">
        <f>'G-1 All Habitats'!F58</f>
        <v>Urban</v>
      </c>
      <c r="C59" s="100" t="str">
        <f>'G-1 All Habitats'!K58</f>
        <v>Low</v>
      </c>
      <c r="D59" s="100" t="str">
        <f>'G-1 All Habitats'!M58</f>
        <v>Same distinctiveness or better habitat required</v>
      </c>
      <c r="E59" s="111">
        <f>IF(C59="V.High",SUMIF('A-1 Site Habitat Baseline'!$G$11:$G$258,'G-2 Habitat groups'!A59,'A-1 Site Habitat Baseline'!$S$11:$S$258)+SUMIF('A-1 Site Habitat Baseline'!$G$11:$G$258,'G-2 Habitat groups'!A59,'A-1 Site Habitat Baseline'!$T$11:$T$258),SUMIF('A-1 Site Habitat Baseline'!$G$11:$G$258,'G-2 Habitat groups'!A59,'A-1 Site Habitat Baseline'!$H$11:$H$258))</f>
        <v>0</v>
      </c>
      <c r="F59" s="111">
        <f>SUMIF('A-1 Site Habitat Baseline'!$G$11:$G$258,'G-2 Habitat groups'!A59,'A-1 Site Habitat Baseline'!$Q$11:$Q$258)</f>
        <v>0</v>
      </c>
      <c r="G59" s="111">
        <f>SUMIF('A-1 Site Habitat Baseline'!$G$11:$G$258,'G-2 Habitat groups'!A59,'A-1 Site Habitat Baseline'!$S$11:$S$258)</f>
        <v>0</v>
      </c>
      <c r="H59" s="111">
        <f>SUMIF('A-1 Site Habitat Baseline'!$G$11:$G$258,'G-2 Habitat groups'!A59,'A-1 Site Habitat Baseline'!$U$11:$U$258)</f>
        <v>0</v>
      </c>
      <c r="I59" s="111">
        <f>SUMIF('A-1 Site Habitat Baseline'!$G$11:$G$258,'G-2 Habitat groups'!A59,'A-1 Site Habitat Baseline'!$W$11:$W$258)</f>
        <v>0</v>
      </c>
      <c r="J59" s="111">
        <f>SUMIF('A-1 Site Habitat Baseline'!$G$11:$G$258,'G-2 Habitat groups'!A59,'A-1 Site Habitat Baseline'!$X$11:$X$258)</f>
        <v>0</v>
      </c>
      <c r="K59" s="111">
        <f>SUMIF('A-2 Site Habitat Creation'!$F$11:$F$256,'G-2 Habitat groups'!A59,'A-2 Site Habitat Creation'!$G$11:$G$256)</f>
        <v>3.5000000000000001E-3</v>
      </c>
      <c r="L59" s="111">
        <f>SUMIF('A-2 Site Habitat Creation'!$F$11:$F$256,'G-2 Habitat groups'!A59,'A-2 Site Habitat Creation'!$Y$11:$Y$256)</f>
        <v>6.7549999999999997E-3</v>
      </c>
      <c r="M59" s="111">
        <f>SUMIF('A-3 Site Habitat Enhancement'!$S$12:$S$257,'G-2 Habitat groups'!A59,'A-3 Site Habitat Enhancement'!$V$12:$V$257)</f>
        <v>0</v>
      </c>
      <c r="N59" s="111">
        <f>SUMIF('A-3 Site Habitat Enhancement'!$S$12:$S$257,'G-2 Habitat groups'!A59,'A-3 Site Habitat Enhancement'!$AN$12:$AN$257)</f>
        <v>0</v>
      </c>
      <c r="O59" s="111">
        <f t="shared" si="43"/>
        <v>3.5000000000000001E-3</v>
      </c>
      <c r="P59" s="111">
        <f t="shared" si="44"/>
        <v>6.7549999999999997E-3</v>
      </c>
      <c r="Q59" s="111">
        <f t="shared" si="45"/>
        <v>3.5000000000000001E-3</v>
      </c>
      <c r="R59" s="111">
        <f t="shared" si="46"/>
        <v>6.7549999999999997E-3</v>
      </c>
      <c r="S59" s="111">
        <f>IF(C59="V.High",SUMIF('D-1 Off Site Habitat Baseline'!$G$11:$G$258,'G-2 Habitat groups'!A59,'D-1 Off Site Habitat Baseline'!$S$11:$S$258)+SUMIF('D-1 Off Site Habitat Baseline'!$G$11:$G$258,'G-2 Habitat groups'!A59,'D-1 Off Site Habitat Baseline'!$T$11:$T$258),SUMIF('D-1 Off Site Habitat Baseline'!$G$11:$G$258,'G-2 Habitat groups'!A59,'D-1 Off Site Habitat Baseline'!$H$11:$H$258))</f>
        <v>0</v>
      </c>
      <c r="T59" s="111">
        <f>SUMIF('D-1 Off Site Habitat Baseline'!$G$11:$G$258,'G-2 Habitat groups'!A59,'D-1 Off Site Habitat Baseline'!$Q$11:$Q$258)</f>
        <v>0</v>
      </c>
      <c r="U59" s="513">
        <f>SUMIF('D-1 Off Site Habitat Baseline'!$G$11:$G$258,'G-2 Habitat groups'!A59,'D-1 Off Site Habitat Baseline'!$S$11:$S$258)</f>
        <v>0</v>
      </c>
      <c r="V59" s="111">
        <f>SUMIF('D-1 Off Site Habitat Baseline'!$G$11:$G$258,'G-2 Habitat groups'!A59,'D-1 Off Site Habitat Baseline'!$U$11:$U$258)</f>
        <v>0</v>
      </c>
      <c r="W59" s="111">
        <f>SUMIF('D-2 Off Site Habitat Creation'!$F$9:$F$255,'G-2 Habitat groups'!A59,'D-2 Off Site Habitat Creation'!$G$9:$G$255)</f>
        <v>0</v>
      </c>
      <c r="X59" s="111">
        <f>SUMIF('D-2 Off Site Habitat Creation'!$F$9:$F$255,'G-2 Habitat groups'!A59,'D-2 Off Site Habitat Creation'!$AA$9:$AA$255)</f>
        <v>0</v>
      </c>
      <c r="Y59" s="111">
        <f>SUMIF('D-3 Off Site Habitat Enhancment'!$S$12:$S$491,'G-2 Habitat groups'!A59,'D-3 Off Site Habitat Enhancment'!$V$12:$V$491)</f>
        <v>0</v>
      </c>
      <c r="Z59" s="111">
        <f>SUMIF('D-3 Off Site Habitat Enhancment'!$S$12:$S$491,'G-2 Habitat groups'!A59,'D-3 Off Site Habitat Enhancment'!$AP$12:$AP$491)</f>
        <v>0</v>
      </c>
      <c r="AA59" s="111">
        <f t="shared" si="47"/>
        <v>0</v>
      </c>
      <c r="AB59" s="111">
        <f t="shared" si="48"/>
        <v>0</v>
      </c>
      <c r="AC59" s="111">
        <f t="shared" si="49"/>
        <v>0</v>
      </c>
      <c r="AD59" s="111">
        <f t="shared" si="50"/>
        <v>0</v>
      </c>
      <c r="AE59" s="111">
        <f t="shared" si="51"/>
        <v>3.5000000000000001E-3</v>
      </c>
      <c r="AF59" s="111">
        <f t="shared" si="52"/>
        <v>6.7549999999999997E-3</v>
      </c>
      <c r="AU59" s="138" t="s">
        <v>254</v>
      </c>
      <c r="AV59" s="100" t="s">
        <v>163</v>
      </c>
      <c r="AW59" s="111">
        <f t="shared" si="33"/>
        <v>0</v>
      </c>
      <c r="AX59" s="111">
        <f t="shared" si="34"/>
        <v>0</v>
      </c>
      <c r="AY59" s="111">
        <f t="shared" si="35"/>
        <v>0</v>
      </c>
      <c r="AZ59" s="111">
        <f t="shared" si="36"/>
        <v>0</v>
      </c>
      <c r="BA59" s="111">
        <f t="shared" si="37"/>
        <v>0</v>
      </c>
      <c r="BB59" s="111">
        <f t="shared" si="38"/>
        <v>0</v>
      </c>
      <c r="BC59" s="111">
        <f t="shared" si="39"/>
        <v>0</v>
      </c>
      <c r="BD59" s="111">
        <f t="shared" si="40"/>
        <v>0</v>
      </c>
      <c r="BE59" s="111">
        <f t="shared" si="41"/>
        <v>0</v>
      </c>
      <c r="BF59" s="111" t="str">
        <f t="shared" si="42"/>
        <v/>
      </c>
    </row>
    <row r="60" spans="1:58" x14ac:dyDescent="0.25">
      <c r="A60" s="129" t="str">
        <f>'G-1 All Habitats'!B59</f>
        <v>Urban - Artificial unvegetated, unsealed surface</v>
      </c>
      <c r="B60" s="100" t="str">
        <f>'G-1 All Habitats'!F59</f>
        <v>Urban</v>
      </c>
      <c r="C60" s="100" t="str">
        <f>'G-1 All Habitats'!K59</f>
        <v>V.Low</v>
      </c>
      <c r="D60" s="100" t="str">
        <f>'G-1 All Habitats'!M59</f>
        <v>Compensation Not Required</v>
      </c>
      <c r="E60" s="111">
        <f>IF(C60="V.High",SUMIF('A-1 Site Habitat Baseline'!$G$11:$G$258,'G-2 Habitat groups'!A60,'A-1 Site Habitat Baseline'!$S$11:$S$258)+SUMIF('A-1 Site Habitat Baseline'!$G$11:$G$258,'G-2 Habitat groups'!A60,'A-1 Site Habitat Baseline'!$T$11:$T$258),SUMIF('A-1 Site Habitat Baseline'!$G$11:$G$258,'G-2 Habitat groups'!A60,'A-1 Site Habitat Baseline'!$H$11:$H$258))</f>
        <v>0</v>
      </c>
      <c r="F60" s="111">
        <f>SUMIF('A-1 Site Habitat Baseline'!$G$11:$G$258,'G-2 Habitat groups'!A60,'A-1 Site Habitat Baseline'!$Q$11:$Q$258)</f>
        <v>0</v>
      </c>
      <c r="G60" s="111">
        <f>SUMIF('A-1 Site Habitat Baseline'!$G$11:$G$258,'G-2 Habitat groups'!A60,'A-1 Site Habitat Baseline'!$S$11:$S$258)</f>
        <v>0</v>
      </c>
      <c r="H60" s="111">
        <f>SUMIF('A-1 Site Habitat Baseline'!$G$11:$G$258,'G-2 Habitat groups'!A60,'A-1 Site Habitat Baseline'!$U$11:$U$258)</f>
        <v>0</v>
      </c>
      <c r="I60" s="111">
        <f>SUMIF('A-1 Site Habitat Baseline'!$G$11:$G$258,'G-2 Habitat groups'!A60,'A-1 Site Habitat Baseline'!$W$11:$W$258)</f>
        <v>0</v>
      </c>
      <c r="J60" s="111">
        <f>SUMIF('A-1 Site Habitat Baseline'!$G$11:$G$258,'G-2 Habitat groups'!A60,'A-1 Site Habitat Baseline'!$X$11:$X$258)</f>
        <v>0</v>
      </c>
      <c r="K60" s="111">
        <f>SUMIF('A-2 Site Habitat Creation'!$F$11:$F$256,'G-2 Habitat groups'!A60,'A-2 Site Habitat Creation'!$G$11:$G$256)</f>
        <v>1.32E-2</v>
      </c>
      <c r="L60" s="111">
        <f>SUMIF('A-2 Site Habitat Creation'!$F$11:$F$256,'G-2 Habitat groups'!A60,'A-2 Site Habitat Creation'!$Y$11:$Y$256)</f>
        <v>0</v>
      </c>
      <c r="M60" s="111">
        <f>SUMIF('A-3 Site Habitat Enhancement'!$S$12:$S$257,'G-2 Habitat groups'!A60,'A-3 Site Habitat Enhancement'!$V$12:$V$257)</f>
        <v>0</v>
      </c>
      <c r="N60" s="111">
        <f>SUMIF('A-3 Site Habitat Enhancement'!$S$12:$S$257,'G-2 Habitat groups'!A60,'A-3 Site Habitat Enhancement'!$AN$12:$AN$257)</f>
        <v>0</v>
      </c>
      <c r="O60" s="111">
        <f t="shared" si="43"/>
        <v>1.32E-2</v>
      </c>
      <c r="P60" s="111">
        <f t="shared" si="44"/>
        <v>0</v>
      </c>
      <c r="Q60" s="111">
        <f t="shared" si="45"/>
        <v>1.32E-2</v>
      </c>
      <c r="R60" s="111">
        <f t="shared" si="46"/>
        <v>0</v>
      </c>
      <c r="S60" s="111">
        <f>IF(C60="V.High",SUMIF('D-1 Off Site Habitat Baseline'!$G$11:$G$258,'G-2 Habitat groups'!A60,'D-1 Off Site Habitat Baseline'!$S$11:$S$258)+SUMIF('D-1 Off Site Habitat Baseline'!$G$11:$G$258,'G-2 Habitat groups'!A60,'D-1 Off Site Habitat Baseline'!$T$11:$T$258),SUMIF('D-1 Off Site Habitat Baseline'!$G$11:$G$258,'G-2 Habitat groups'!A60,'D-1 Off Site Habitat Baseline'!$H$11:$H$258))</f>
        <v>0</v>
      </c>
      <c r="T60" s="111">
        <f>SUMIF('D-1 Off Site Habitat Baseline'!$G$11:$G$258,'G-2 Habitat groups'!A60,'D-1 Off Site Habitat Baseline'!$Q$11:$Q$258)</f>
        <v>0</v>
      </c>
      <c r="U60" s="513">
        <f>SUMIF('D-1 Off Site Habitat Baseline'!$G$11:$G$258,'G-2 Habitat groups'!A60,'D-1 Off Site Habitat Baseline'!$S$11:$S$258)</f>
        <v>0</v>
      </c>
      <c r="V60" s="111">
        <f>SUMIF('D-1 Off Site Habitat Baseline'!$G$11:$G$258,'G-2 Habitat groups'!A60,'D-1 Off Site Habitat Baseline'!$U$11:$U$258)</f>
        <v>0</v>
      </c>
      <c r="W60" s="111">
        <f>SUMIF('D-2 Off Site Habitat Creation'!$F$9:$F$255,'G-2 Habitat groups'!A60,'D-2 Off Site Habitat Creation'!$G$9:$G$255)</f>
        <v>0</v>
      </c>
      <c r="X60" s="111">
        <f>SUMIF('D-2 Off Site Habitat Creation'!$F$9:$F$255,'G-2 Habitat groups'!A60,'D-2 Off Site Habitat Creation'!$AA$9:$AA$255)</f>
        <v>0</v>
      </c>
      <c r="Y60" s="111">
        <f>SUMIF('D-3 Off Site Habitat Enhancment'!$S$12:$S$491,'G-2 Habitat groups'!A60,'D-3 Off Site Habitat Enhancment'!$V$12:$V$491)</f>
        <v>0</v>
      </c>
      <c r="Z60" s="111">
        <f>SUMIF('D-3 Off Site Habitat Enhancment'!$S$12:$S$491,'G-2 Habitat groups'!A60,'D-3 Off Site Habitat Enhancment'!$AP$12:$AP$491)</f>
        <v>0</v>
      </c>
      <c r="AA60" s="111">
        <f t="shared" si="47"/>
        <v>0</v>
      </c>
      <c r="AB60" s="111">
        <f t="shared" si="48"/>
        <v>0</v>
      </c>
      <c r="AC60" s="111">
        <f t="shared" si="49"/>
        <v>0</v>
      </c>
      <c r="AD60" s="111">
        <f t="shared" si="50"/>
        <v>0</v>
      </c>
      <c r="AE60" s="111">
        <f t="shared" si="51"/>
        <v>1.32E-2</v>
      </c>
      <c r="AF60" s="111">
        <f t="shared" si="52"/>
        <v>0</v>
      </c>
      <c r="AU60" s="138" t="s">
        <v>1086</v>
      </c>
      <c r="AV60" s="100" t="s">
        <v>1089</v>
      </c>
      <c r="AW60" s="111">
        <f t="shared" si="33"/>
        <v>0</v>
      </c>
      <c r="AX60" s="111">
        <f t="shared" si="34"/>
        <v>0</v>
      </c>
      <c r="AY60" s="111">
        <f t="shared" si="35"/>
        <v>0</v>
      </c>
      <c r="AZ60" s="111">
        <f t="shared" si="36"/>
        <v>0</v>
      </c>
      <c r="BA60" s="111">
        <f t="shared" si="37"/>
        <v>0</v>
      </c>
      <c r="BB60" s="111">
        <f t="shared" si="38"/>
        <v>0</v>
      </c>
      <c r="BC60" s="111">
        <f t="shared" si="39"/>
        <v>0</v>
      </c>
      <c r="BD60" s="111">
        <f t="shared" si="40"/>
        <v>0</v>
      </c>
      <c r="BE60" s="111">
        <f t="shared" si="41"/>
        <v>0</v>
      </c>
      <c r="BF60" s="111" t="str">
        <f t="shared" si="42"/>
        <v/>
      </c>
    </row>
    <row r="61" spans="1:58" x14ac:dyDescent="0.25">
      <c r="A61" s="129" t="str">
        <f>'G-1 All Habitats'!B60</f>
        <v>Urban - Bioswale</v>
      </c>
      <c r="B61" s="100" t="str">
        <f>'G-1 All Habitats'!F60</f>
        <v>Urban</v>
      </c>
      <c r="C61" s="100" t="str">
        <f>'G-1 All Habitats'!K60</f>
        <v>Low</v>
      </c>
      <c r="D61" s="100" t="str">
        <f>'G-1 All Habitats'!M60</f>
        <v>Same distinctiveness or better habitat required</v>
      </c>
      <c r="E61" s="111">
        <f>IF(C61="V.High",SUMIF('A-1 Site Habitat Baseline'!$G$11:$G$258,'G-2 Habitat groups'!A61,'A-1 Site Habitat Baseline'!$S$11:$S$258)+SUMIF('A-1 Site Habitat Baseline'!$G$11:$G$258,'G-2 Habitat groups'!A61,'A-1 Site Habitat Baseline'!$T$11:$T$258),SUMIF('A-1 Site Habitat Baseline'!$G$11:$G$258,'G-2 Habitat groups'!A61,'A-1 Site Habitat Baseline'!$H$11:$H$258))</f>
        <v>0</v>
      </c>
      <c r="F61" s="111">
        <f>SUMIF('A-1 Site Habitat Baseline'!$G$11:$G$258,'G-2 Habitat groups'!A61,'A-1 Site Habitat Baseline'!$Q$11:$Q$258)</f>
        <v>0</v>
      </c>
      <c r="G61" s="111">
        <f>SUMIF('A-1 Site Habitat Baseline'!$G$11:$G$258,'G-2 Habitat groups'!A61,'A-1 Site Habitat Baseline'!$S$11:$S$258)</f>
        <v>0</v>
      </c>
      <c r="H61" s="111">
        <f>SUMIF('A-1 Site Habitat Baseline'!$G$11:$G$258,'G-2 Habitat groups'!A61,'A-1 Site Habitat Baseline'!$U$11:$U$258)</f>
        <v>0</v>
      </c>
      <c r="I61" s="111">
        <f>SUMIF('A-1 Site Habitat Baseline'!$G$11:$G$258,'G-2 Habitat groups'!A61,'A-1 Site Habitat Baseline'!$W$11:$W$258)</f>
        <v>0</v>
      </c>
      <c r="J61" s="111">
        <f>SUMIF('A-1 Site Habitat Baseline'!$G$11:$G$258,'G-2 Habitat groups'!A61,'A-1 Site Habitat Baseline'!$X$11:$X$258)</f>
        <v>0</v>
      </c>
      <c r="K61" s="111">
        <f>SUMIF('A-2 Site Habitat Creation'!$F$11:$F$256,'G-2 Habitat groups'!A61,'A-2 Site Habitat Creation'!$G$11:$G$256)</f>
        <v>6.7299999999999999E-2</v>
      </c>
      <c r="L61" s="111">
        <f>SUMIF('A-2 Site Habitat Creation'!$F$11:$F$256,'G-2 Habitat groups'!A61,'A-2 Site Habitat Creation'!$Y$11:$Y$256)</f>
        <v>8.7025630000000007E-2</v>
      </c>
      <c r="M61" s="111">
        <f>SUMIF('A-3 Site Habitat Enhancement'!$S$12:$S$257,'G-2 Habitat groups'!A61,'A-3 Site Habitat Enhancement'!$V$12:$V$257)</f>
        <v>0</v>
      </c>
      <c r="N61" s="111">
        <f>SUMIF('A-3 Site Habitat Enhancement'!$S$12:$S$257,'G-2 Habitat groups'!A61,'A-3 Site Habitat Enhancement'!$AN$12:$AN$257)</f>
        <v>0</v>
      </c>
      <c r="O61" s="111">
        <f t="shared" si="43"/>
        <v>6.7299999999999999E-2</v>
      </c>
      <c r="P61" s="111">
        <f t="shared" si="44"/>
        <v>8.7025630000000007E-2</v>
      </c>
      <c r="Q61" s="111">
        <f t="shared" si="45"/>
        <v>6.7299999999999999E-2</v>
      </c>
      <c r="R61" s="111">
        <f t="shared" si="46"/>
        <v>8.7025630000000007E-2</v>
      </c>
      <c r="S61" s="111">
        <f>IF(C61="V.High",SUMIF('D-1 Off Site Habitat Baseline'!$G$11:$G$258,'G-2 Habitat groups'!A61,'D-1 Off Site Habitat Baseline'!$S$11:$S$258)+SUMIF('D-1 Off Site Habitat Baseline'!$G$11:$G$258,'G-2 Habitat groups'!A61,'D-1 Off Site Habitat Baseline'!$T$11:$T$258),SUMIF('D-1 Off Site Habitat Baseline'!$G$11:$G$258,'G-2 Habitat groups'!A61,'D-1 Off Site Habitat Baseline'!$H$11:$H$258))</f>
        <v>0</v>
      </c>
      <c r="T61" s="111">
        <f>SUMIF('D-1 Off Site Habitat Baseline'!$G$11:$G$258,'G-2 Habitat groups'!A61,'D-1 Off Site Habitat Baseline'!$Q$11:$Q$258)</f>
        <v>0</v>
      </c>
      <c r="U61" s="513">
        <f>SUMIF('D-1 Off Site Habitat Baseline'!$G$11:$G$258,'G-2 Habitat groups'!A61,'D-1 Off Site Habitat Baseline'!$S$11:$S$258)</f>
        <v>0</v>
      </c>
      <c r="V61" s="111">
        <f>SUMIF('D-1 Off Site Habitat Baseline'!$G$11:$G$258,'G-2 Habitat groups'!A61,'D-1 Off Site Habitat Baseline'!$U$11:$U$258)</f>
        <v>0</v>
      </c>
      <c r="W61" s="111">
        <f>SUMIF('D-2 Off Site Habitat Creation'!$F$9:$F$255,'G-2 Habitat groups'!A61,'D-2 Off Site Habitat Creation'!$G$9:$G$255)</f>
        <v>0</v>
      </c>
      <c r="X61" s="111">
        <f>SUMIF('D-2 Off Site Habitat Creation'!$F$9:$F$255,'G-2 Habitat groups'!A61,'D-2 Off Site Habitat Creation'!$AA$9:$AA$255)</f>
        <v>0</v>
      </c>
      <c r="Y61" s="111">
        <f>SUMIF('D-3 Off Site Habitat Enhancment'!$S$12:$S$491,'G-2 Habitat groups'!A61,'D-3 Off Site Habitat Enhancment'!$V$12:$V$491)</f>
        <v>0</v>
      </c>
      <c r="Z61" s="111">
        <f>SUMIF('D-3 Off Site Habitat Enhancment'!$S$12:$S$491,'G-2 Habitat groups'!A61,'D-3 Off Site Habitat Enhancment'!$AP$12:$AP$491)</f>
        <v>0</v>
      </c>
      <c r="AA61" s="111">
        <f t="shared" si="47"/>
        <v>0</v>
      </c>
      <c r="AB61" s="111">
        <f t="shared" si="48"/>
        <v>0</v>
      </c>
      <c r="AC61" s="111">
        <f t="shared" si="49"/>
        <v>0</v>
      </c>
      <c r="AD61" s="111">
        <f t="shared" si="50"/>
        <v>0</v>
      </c>
      <c r="AE61" s="111">
        <f t="shared" si="51"/>
        <v>6.7299999999999999E-2</v>
      </c>
      <c r="AF61" s="111">
        <f t="shared" si="52"/>
        <v>8.7025630000000007E-2</v>
      </c>
      <c r="AU61" s="143" t="s">
        <v>1090</v>
      </c>
      <c r="AV61" s="100" t="s">
        <v>1124</v>
      </c>
      <c r="AW61" s="111">
        <f t="shared" si="33"/>
        <v>0</v>
      </c>
      <c r="AX61" s="111">
        <f t="shared" si="34"/>
        <v>0</v>
      </c>
      <c r="AY61" s="111">
        <f t="shared" si="35"/>
        <v>0</v>
      </c>
      <c r="AZ61" s="111">
        <f t="shared" si="36"/>
        <v>0</v>
      </c>
      <c r="BA61" s="111">
        <f t="shared" si="37"/>
        <v>0</v>
      </c>
      <c r="BB61" s="111">
        <f t="shared" si="38"/>
        <v>0</v>
      </c>
      <c r="BC61" s="111">
        <f t="shared" si="39"/>
        <v>0</v>
      </c>
      <c r="BD61" s="111">
        <f t="shared" si="40"/>
        <v>0</v>
      </c>
      <c r="BE61" s="111">
        <f t="shared" si="41"/>
        <v>0</v>
      </c>
      <c r="BF61" s="111" t="str">
        <f t="shared" si="42"/>
        <v/>
      </c>
    </row>
    <row r="62" spans="1:58" x14ac:dyDescent="0.25">
      <c r="A62" s="129" t="str">
        <f>'G-1 All Habitats'!B61</f>
        <v>Urban - Brown roof</v>
      </c>
      <c r="B62" s="100" t="str">
        <f>'G-1 All Habitats'!F61</f>
        <v>Urban</v>
      </c>
      <c r="C62" s="100" t="str">
        <f>'G-1 All Habitats'!K61</f>
        <v>Medium</v>
      </c>
      <c r="D62" s="100" t="str">
        <f>'G-1 All Habitats'!M61</f>
        <v>Same broad habitat or a higher distinctiveness habitat required</v>
      </c>
      <c r="E62" s="111">
        <f>IF(C62="V.High",SUMIF('A-1 Site Habitat Baseline'!$G$11:$G$258,'G-2 Habitat groups'!A62,'A-1 Site Habitat Baseline'!$S$11:$S$258)+SUMIF('A-1 Site Habitat Baseline'!$G$11:$G$258,'G-2 Habitat groups'!A62,'A-1 Site Habitat Baseline'!$T$11:$T$258),SUMIF('A-1 Site Habitat Baseline'!$G$11:$G$258,'G-2 Habitat groups'!A62,'A-1 Site Habitat Baseline'!$H$11:$H$258))</f>
        <v>0</v>
      </c>
      <c r="F62" s="111">
        <f>SUMIF('A-1 Site Habitat Baseline'!$G$11:$G$258,'G-2 Habitat groups'!A62,'A-1 Site Habitat Baseline'!$Q$11:$Q$258)</f>
        <v>0</v>
      </c>
      <c r="G62" s="111">
        <f>SUMIF('A-1 Site Habitat Baseline'!$G$11:$G$258,'G-2 Habitat groups'!A62,'A-1 Site Habitat Baseline'!$S$11:$S$258)</f>
        <v>0</v>
      </c>
      <c r="H62" s="111">
        <f>SUMIF('A-1 Site Habitat Baseline'!$G$11:$G$258,'G-2 Habitat groups'!A62,'A-1 Site Habitat Baseline'!$U$11:$U$258)</f>
        <v>0</v>
      </c>
      <c r="I62" s="111">
        <f>SUMIF('A-1 Site Habitat Baseline'!$G$11:$G$258,'G-2 Habitat groups'!A62,'A-1 Site Habitat Baseline'!$W$11:$W$258)</f>
        <v>0</v>
      </c>
      <c r="J62" s="111">
        <f>SUMIF('A-1 Site Habitat Baseline'!$G$11:$G$258,'G-2 Habitat groups'!A62,'A-1 Site Habitat Baseline'!$X$11:$X$258)</f>
        <v>0</v>
      </c>
      <c r="K62" s="111">
        <f>SUMIF('A-2 Site Habitat Creation'!$F$11:$F$256,'G-2 Habitat groups'!A62,'A-2 Site Habitat Creation'!$G$11:$G$256)</f>
        <v>0</v>
      </c>
      <c r="L62" s="111">
        <f>SUMIF('A-2 Site Habitat Creation'!$F$11:$F$256,'G-2 Habitat groups'!A62,'A-2 Site Habitat Creation'!$Y$11:$Y$256)</f>
        <v>0</v>
      </c>
      <c r="M62" s="111">
        <f>SUMIF('A-3 Site Habitat Enhancement'!$S$12:$S$257,'G-2 Habitat groups'!A62,'A-3 Site Habitat Enhancement'!$V$12:$V$257)</f>
        <v>0</v>
      </c>
      <c r="N62" s="111">
        <f>SUMIF('A-3 Site Habitat Enhancement'!$S$12:$S$257,'G-2 Habitat groups'!A62,'A-3 Site Habitat Enhancement'!$AN$12:$AN$257)</f>
        <v>0</v>
      </c>
      <c r="O62" s="111">
        <f t="shared" si="43"/>
        <v>0</v>
      </c>
      <c r="P62" s="111">
        <f t="shared" si="44"/>
        <v>0</v>
      </c>
      <c r="Q62" s="111">
        <f t="shared" si="45"/>
        <v>0</v>
      </c>
      <c r="R62" s="111">
        <f t="shared" si="46"/>
        <v>0</v>
      </c>
      <c r="S62" s="111">
        <f>IF(C62="V.High",SUMIF('D-1 Off Site Habitat Baseline'!$G$11:$G$258,'G-2 Habitat groups'!A62,'D-1 Off Site Habitat Baseline'!$S$11:$S$258)+SUMIF('D-1 Off Site Habitat Baseline'!$G$11:$G$258,'G-2 Habitat groups'!A62,'D-1 Off Site Habitat Baseline'!$T$11:$T$258),SUMIF('D-1 Off Site Habitat Baseline'!$G$11:$G$258,'G-2 Habitat groups'!A62,'D-1 Off Site Habitat Baseline'!$H$11:$H$258))</f>
        <v>0</v>
      </c>
      <c r="T62" s="111">
        <f>SUMIF('D-1 Off Site Habitat Baseline'!$G$11:$G$258,'G-2 Habitat groups'!A62,'D-1 Off Site Habitat Baseline'!$Q$11:$Q$258)</f>
        <v>0</v>
      </c>
      <c r="U62" s="513">
        <f>SUMIF('D-1 Off Site Habitat Baseline'!$G$11:$G$258,'G-2 Habitat groups'!A62,'D-1 Off Site Habitat Baseline'!$S$11:$S$258)</f>
        <v>0</v>
      </c>
      <c r="V62" s="111">
        <f>SUMIF('D-1 Off Site Habitat Baseline'!$G$11:$G$258,'G-2 Habitat groups'!A62,'D-1 Off Site Habitat Baseline'!$U$11:$U$258)</f>
        <v>0</v>
      </c>
      <c r="W62" s="111">
        <f>SUMIF('D-2 Off Site Habitat Creation'!$F$9:$F$255,'G-2 Habitat groups'!A62,'D-2 Off Site Habitat Creation'!$G$9:$G$255)</f>
        <v>0</v>
      </c>
      <c r="X62" s="111">
        <f>SUMIF('D-2 Off Site Habitat Creation'!$F$9:$F$255,'G-2 Habitat groups'!A62,'D-2 Off Site Habitat Creation'!$AA$9:$AA$255)</f>
        <v>0</v>
      </c>
      <c r="Y62" s="111">
        <f>SUMIF('D-3 Off Site Habitat Enhancment'!$S$12:$S$491,'G-2 Habitat groups'!A62,'D-3 Off Site Habitat Enhancment'!$V$12:$V$491)</f>
        <v>0</v>
      </c>
      <c r="Z62" s="111">
        <f>SUMIF('D-3 Off Site Habitat Enhancment'!$S$12:$S$491,'G-2 Habitat groups'!A62,'D-3 Off Site Habitat Enhancment'!$AP$12:$AP$491)</f>
        <v>0</v>
      </c>
      <c r="AA62" s="111">
        <f t="shared" si="47"/>
        <v>0</v>
      </c>
      <c r="AB62" s="111">
        <f t="shared" si="48"/>
        <v>0</v>
      </c>
      <c r="AC62" s="111">
        <f t="shared" si="49"/>
        <v>0</v>
      </c>
      <c r="AD62" s="111">
        <f t="shared" si="50"/>
        <v>0</v>
      </c>
      <c r="AE62" s="111">
        <f t="shared" si="51"/>
        <v>0</v>
      </c>
      <c r="AF62" s="111">
        <f t="shared" si="52"/>
        <v>0</v>
      </c>
      <c r="AU62" s="143" t="s">
        <v>1094</v>
      </c>
      <c r="AV62" s="100" t="s">
        <v>1124</v>
      </c>
      <c r="AW62" s="111">
        <f t="shared" si="33"/>
        <v>0</v>
      </c>
      <c r="AX62" s="111">
        <f t="shared" si="34"/>
        <v>0</v>
      </c>
      <c r="AY62" s="111">
        <f t="shared" si="35"/>
        <v>0</v>
      </c>
      <c r="AZ62" s="111">
        <f t="shared" si="36"/>
        <v>0</v>
      </c>
      <c r="BA62" s="111">
        <f t="shared" si="37"/>
        <v>0</v>
      </c>
      <c r="BB62" s="111">
        <f t="shared" si="38"/>
        <v>0</v>
      </c>
      <c r="BC62" s="111">
        <f t="shared" si="39"/>
        <v>0</v>
      </c>
      <c r="BD62" s="111">
        <f t="shared" si="40"/>
        <v>0</v>
      </c>
      <c r="BE62" s="111">
        <f t="shared" si="41"/>
        <v>0</v>
      </c>
      <c r="BF62" s="111" t="str">
        <f t="shared" si="42"/>
        <v/>
      </c>
    </row>
    <row r="63" spans="1:58" x14ac:dyDescent="0.25">
      <c r="A63" s="129" t="str">
        <f>'G-1 All Habitats'!B62</f>
        <v>Urban - Built linear features</v>
      </c>
      <c r="B63" s="100" t="str">
        <f>'G-1 All Habitats'!F62</f>
        <v>Urban</v>
      </c>
      <c r="C63" s="100" t="str">
        <f>'G-1 All Habitats'!K62</f>
        <v>V.Low</v>
      </c>
      <c r="D63" s="100" t="str">
        <f>'G-1 All Habitats'!M62</f>
        <v>Compensation Not Required</v>
      </c>
      <c r="E63" s="111">
        <f>IF(C63="V.High",SUMIF('A-1 Site Habitat Baseline'!$G$11:$G$258,'G-2 Habitat groups'!A63,'A-1 Site Habitat Baseline'!$S$11:$S$258)+SUMIF('A-1 Site Habitat Baseline'!$G$11:$G$258,'G-2 Habitat groups'!A63,'A-1 Site Habitat Baseline'!$T$11:$T$258),SUMIF('A-1 Site Habitat Baseline'!$G$11:$G$258,'G-2 Habitat groups'!A63,'A-1 Site Habitat Baseline'!$H$11:$H$258))</f>
        <v>0</v>
      </c>
      <c r="F63" s="111">
        <f>SUMIF('A-1 Site Habitat Baseline'!$G$11:$G$258,'G-2 Habitat groups'!A63,'A-1 Site Habitat Baseline'!$Q$11:$Q$258)</f>
        <v>0</v>
      </c>
      <c r="G63" s="111">
        <f>SUMIF('A-1 Site Habitat Baseline'!$G$11:$G$258,'G-2 Habitat groups'!A63,'A-1 Site Habitat Baseline'!$S$11:$S$258)</f>
        <v>0</v>
      </c>
      <c r="H63" s="111">
        <f>SUMIF('A-1 Site Habitat Baseline'!$G$11:$G$258,'G-2 Habitat groups'!A63,'A-1 Site Habitat Baseline'!$U$11:$U$258)</f>
        <v>0</v>
      </c>
      <c r="I63" s="111">
        <f>SUMIF('A-1 Site Habitat Baseline'!$G$11:$G$258,'G-2 Habitat groups'!A63,'A-1 Site Habitat Baseline'!$W$11:$W$258)</f>
        <v>0</v>
      </c>
      <c r="J63" s="111">
        <f>SUMIF('A-1 Site Habitat Baseline'!$G$11:$G$258,'G-2 Habitat groups'!A63,'A-1 Site Habitat Baseline'!$X$11:$X$258)</f>
        <v>0</v>
      </c>
      <c r="K63" s="111">
        <f>SUMIF('A-2 Site Habitat Creation'!$F$11:$F$256,'G-2 Habitat groups'!A63,'A-2 Site Habitat Creation'!$G$11:$G$256)</f>
        <v>0</v>
      </c>
      <c r="L63" s="111">
        <f>SUMIF('A-2 Site Habitat Creation'!$F$11:$F$256,'G-2 Habitat groups'!A63,'A-2 Site Habitat Creation'!$Y$11:$Y$256)</f>
        <v>0</v>
      </c>
      <c r="M63" s="111">
        <f>SUMIF('A-3 Site Habitat Enhancement'!$S$12:$S$257,'G-2 Habitat groups'!A63,'A-3 Site Habitat Enhancement'!$V$12:$V$257)</f>
        <v>0</v>
      </c>
      <c r="N63" s="111">
        <f>SUMIF('A-3 Site Habitat Enhancement'!$S$12:$S$257,'G-2 Habitat groups'!A63,'A-3 Site Habitat Enhancement'!$AN$12:$AN$257)</f>
        <v>0</v>
      </c>
      <c r="O63" s="111">
        <f t="shared" si="43"/>
        <v>0</v>
      </c>
      <c r="P63" s="111">
        <f t="shared" si="44"/>
        <v>0</v>
      </c>
      <c r="Q63" s="111">
        <f t="shared" si="45"/>
        <v>0</v>
      </c>
      <c r="R63" s="111">
        <f t="shared" si="46"/>
        <v>0</v>
      </c>
      <c r="S63" s="111">
        <f>IF(C63="V.High",SUMIF('D-1 Off Site Habitat Baseline'!$G$11:$G$258,'G-2 Habitat groups'!A63,'D-1 Off Site Habitat Baseline'!$S$11:$S$258)+SUMIF('D-1 Off Site Habitat Baseline'!$G$11:$G$258,'G-2 Habitat groups'!A63,'D-1 Off Site Habitat Baseline'!$T$11:$T$258),SUMIF('D-1 Off Site Habitat Baseline'!$G$11:$G$258,'G-2 Habitat groups'!A63,'D-1 Off Site Habitat Baseline'!$H$11:$H$258))</f>
        <v>0</v>
      </c>
      <c r="T63" s="111">
        <f>SUMIF('D-1 Off Site Habitat Baseline'!$G$11:$G$258,'G-2 Habitat groups'!A63,'D-1 Off Site Habitat Baseline'!$Q$11:$Q$258)</f>
        <v>0</v>
      </c>
      <c r="U63" s="513">
        <f>SUMIF('D-1 Off Site Habitat Baseline'!$G$11:$G$258,'G-2 Habitat groups'!A63,'D-1 Off Site Habitat Baseline'!$S$11:$S$258)</f>
        <v>0</v>
      </c>
      <c r="V63" s="111">
        <f>SUMIF('D-1 Off Site Habitat Baseline'!$G$11:$G$258,'G-2 Habitat groups'!A63,'D-1 Off Site Habitat Baseline'!$U$11:$U$258)</f>
        <v>0</v>
      </c>
      <c r="W63" s="111">
        <f>SUMIF('D-2 Off Site Habitat Creation'!$F$9:$F$255,'G-2 Habitat groups'!A63,'D-2 Off Site Habitat Creation'!$G$9:$G$255)</f>
        <v>0</v>
      </c>
      <c r="X63" s="111">
        <f>SUMIF('D-2 Off Site Habitat Creation'!$F$9:$F$255,'G-2 Habitat groups'!A63,'D-2 Off Site Habitat Creation'!$AA$9:$AA$255)</f>
        <v>0</v>
      </c>
      <c r="Y63" s="111">
        <f>SUMIF('D-3 Off Site Habitat Enhancment'!$S$12:$S$491,'G-2 Habitat groups'!A63,'D-3 Off Site Habitat Enhancment'!$V$12:$V$491)</f>
        <v>0</v>
      </c>
      <c r="Z63" s="111">
        <f>SUMIF('D-3 Off Site Habitat Enhancment'!$S$12:$S$491,'G-2 Habitat groups'!A63,'D-3 Off Site Habitat Enhancment'!$AP$12:$AP$491)</f>
        <v>0</v>
      </c>
      <c r="AA63" s="111">
        <f t="shared" si="47"/>
        <v>0</v>
      </c>
      <c r="AB63" s="111">
        <f t="shared" si="48"/>
        <v>0</v>
      </c>
      <c r="AC63" s="111">
        <f t="shared" si="49"/>
        <v>0</v>
      </c>
      <c r="AD63" s="111">
        <f t="shared" si="50"/>
        <v>0</v>
      </c>
      <c r="AE63" s="111">
        <f t="shared" si="51"/>
        <v>0</v>
      </c>
      <c r="AF63" s="111">
        <f t="shared" si="52"/>
        <v>0</v>
      </c>
      <c r="AU63" s="143" t="s">
        <v>1097</v>
      </c>
      <c r="AV63" s="100" t="s">
        <v>1124</v>
      </c>
      <c r="AW63" s="111">
        <f t="shared" si="33"/>
        <v>0</v>
      </c>
      <c r="AX63" s="111">
        <f t="shared" si="34"/>
        <v>0</v>
      </c>
      <c r="AY63" s="111">
        <f t="shared" si="35"/>
        <v>0</v>
      </c>
      <c r="AZ63" s="111">
        <f t="shared" si="36"/>
        <v>0</v>
      </c>
      <c r="BA63" s="111">
        <f t="shared" si="37"/>
        <v>0</v>
      </c>
      <c r="BB63" s="111">
        <f t="shared" si="38"/>
        <v>0</v>
      </c>
      <c r="BC63" s="111">
        <f t="shared" si="39"/>
        <v>0</v>
      </c>
      <c r="BD63" s="111">
        <f t="shared" si="40"/>
        <v>0</v>
      </c>
      <c r="BE63" s="111">
        <f t="shared" si="41"/>
        <v>0</v>
      </c>
      <c r="BF63" s="111" t="str">
        <f t="shared" si="42"/>
        <v/>
      </c>
    </row>
    <row r="64" spans="1:58" x14ac:dyDescent="0.25">
      <c r="A64" s="129" t="str">
        <f>'G-1 All Habitats'!B63</f>
        <v>Urban - Cemeteries and churchyards</v>
      </c>
      <c r="B64" s="100" t="str">
        <f>'G-1 All Habitats'!F63</f>
        <v>Urban</v>
      </c>
      <c r="C64" s="100" t="str">
        <f>'G-1 All Habitats'!K63</f>
        <v>Medium</v>
      </c>
      <c r="D64" s="100" t="str">
        <f>'G-1 All Habitats'!M63</f>
        <v>Same broad habitat or a higher distinctiveness habitat required</v>
      </c>
      <c r="E64" s="111">
        <f>IF(C64="V.High",SUMIF('A-1 Site Habitat Baseline'!$G$11:$G$258,'G-2 Habitat groups'!A64,'A-1 Site Habitat Baseline'!$S$11:$S$258)+SUMIF('A-1 Site Habitat Baseline'!$G$11:$G$258,'G-2 Habitat groups'!A64,'A-1 Site Habitat Baseline'!$T$11:$T$258),SUMIF('A-1 Site Habitat Baseline'!$G$11:$G$258,'G-2 Habitat groups'!A64,'A-1 Site Habitat Baseline'!$H$11:$H$258))</f>
        <v>0</v>
      </c>
      <c r="F64" s="111">
        <f>SUMIF('A-1 Site Habitat Baseline'!$G$11:$G$258,'G-2 Habitat groups'!A64,'A-1 Site Habitat Baseline'!$Q$11:$Q$258)</f>
        <v>0</v>
      </c>
      <c r="G64" s="111">
        <f>SUMIF('A-1 Site Habitat Baseline'!$G$11:$G$258,'G-2 Habitat groups'!A64,'A-1 Site Habitat Baseline'!$S$11:$S$258)</f>
        <v>0</v>
      </c>
      <c r="H64" s="111">
        <f>SUMIF('A-1 Site Habitat Baseline'!$G$11:$G$258,'G-2 Habitat groups'!A64,'A-1 Site Habitat Baseline'!$U$11:$U$258)</f>
        <v>0</v>
      </c>
      <c r="I64" s="111">
        <f>SUMIF('A-1 Site Habitat Baseline'!$G$11:$G$258,'G-2 Habitat groups'!A64,'A-1 Site Habitat Baseline'!$W$11:$W$258)</f>
        <v>0</v>
      </c>
      <c r="J64" s="111">
        <f>SUMIF('A-1 Site Habitat Baseline'!$G$11:$G$258,'G-2 Habitat groups'!A64,'A-1 Site Habitat Baseline'!$X$11:$X$258)</f>
        <v>0</v>
      </c>
      <c r="K64" s="111">
        <f>SUMIF('A-2 Site Habitat Creation'!$F$11:$F$256,'G-2 Habitat groups'!A64,'A-2 Site Habitat Creation'!$G$11:$G$256)</f>
        <v>0</v>
      </c>
      <c r="L64" s="111">
        <f>SUMIF('A-2 Site Habitat Creation'!$F$11:$F$256,'G-2 Habitat groups'!A64,'A-2 Site Habitat Creation'!$Y$11:$Y$256)</f>
        <v>0</v>
      </c>
      <c r="M64" s="111">
        <f>SUMIF('A-3 Site Habitat Enhancement'!$S$12:$S$257,'G-2 Habitat groups'!A64,'A-3 Site Habitat Enhancement'!$V$12:$V$257)</f>
        <v>0</v>
      </c>
      <c r="N64" s="111">
        <f>SUMIF('A-3 Site Habitat Enhancement'!$S$12:$S$257,'G-2 Habitat groups'!A64,'A-3 Site Habitat Enhancement'!$AN$12:$AN$257)</f>
        <v>0</v>
      </c>
      <c r="O64" s="111">
        <f t="shared" si="43"/>
        <v>0</v>
      </c>
      <c r="P64" s="111">
        <f t="shared" si="44"/>
        <v>0</v>
      </c>
      <c r="Q64" s="111">
        <f t="shared" si="45"/>
        <v>0</v>
      </c>
      <c r="R64" s="111">
        <f t="shared" si="46"/>
        <v>0</v>
      </c>
      <c r="S64" s="111">
        <f>IF(C64="V.High",SUMIF('D-1 Off Site Habitat Baseline'!$G$11:$G$258,'G-2 Habitat groups'!A64,'D-1 Off Site Habitat Baseline'!$S$11:$S$258)+SUMIF('D-1 Off Site Habitat Baseline'!$G$11:$G$258,'G-2 Habitat groups'!A64,'D-1 Off Site Habitat Baseline'!$T$11:$T$258),SUMIF('D-1 Off Site Habitat Baseline'!$G$11:$G$258,'G-2 Habitat groups'!A64,'D-1 Off Site Habitat Baseline'!$H$11:$H$258))</f>
        <v>0</v>
      </c>
      <c r="T64" s="111">
        <f>SUMIF('D-1 Off Site Habitat Baseline'!$G$11:$G$258,'G-2 Habitat groups'!A64,'D-1 Off Site Habitat Baseline'!$Q$11:$Q$258)</f>
        <v>0</v>
      </c>
      <c r="U64" s="513">
        <f>SUMIF('D-1 Off Site Habitat Baseline'!$G$11:$G$258,'G-2 Habitat groups'!A64,'D-1 Off Site Habitat Baseline'!$S$11:$S$258)</f>
        <v>0</v>
      </c>
      <c r="V64" s="111">
        <f>SUMIF('D-1 Off Site Habitat Baseline'!$G$11:$G$258,'G-2 Habitat groups'!A64,'D-1 Off Site Habitat Baseline'!$U$11:$U$258)</f>
        <v>0</v>
      </c>
      <c r="W64" s="111">
        <f>SUMIF('D-2 Off Site Habitat Creation'!$F$9:$F$255,'G-2 Habitat groups'!A64,'D-2 Off Site Habitat Creation'!$G$9:$G$255)</f>
        <v>0</v>
      </c>
      <c r="X64" s="111">
        <f>SUMIF('D-2 Off Site Habitat Creation'!$F$9:$F$255,'G-2 Habitat groups'!A64,'D-2 Off Site Habitat Creation'!$AA$9:$AA$255)</f>
        <v>0</v>
      </c>
      <c r="Y64" s="111">
        <f>SUMIF('D-3 Off Site Habitat Enhancment'!$S$12:$S$491,'G-2 Habitat groups'!A64,'D-3 Off Site Habitat Enhancment'!$V$12:$V$491)</f>
        <v>0</v>
      </c>
      <c r="Z64" s="111">
        <f>SUMIF('D-3 Off Site Habitat Enhancment'!$S$12:$S$491,'G-2 Habitat groups'!A64,'D-3 Off Site Habitat Enhancment'!$AP$12:$AP$491)</f>
        <v>0</v>
      </c>
      <c r="AA64" s="111">
        <f t="shared" si="47"/>
        <v>0</v>
      </c>
      <c r="AB64" s="111">
        <f t="shared" si="48"/>
        <v>0</v>
      </c>
      <c r="AC64" s="111">
        <f t="shared" si="49"/>
        <v>0</v>
      </c>
      <c r="AD64" s="111">
        <f t="shared" si="50"/>
        <v>0</v>
      </c>
      <c r="AE64" s="111">
        <f t="shared" si="51"/>
        <v>0</v>
      </c>
      <c r="AF64" s="111">
        <f t="shared" si="52"/>
        <v>0</v>
      </c>
      <c r="AU64" s="143" t="s">
        <v>1100</v>
      </c>
      <c r="AV64" s="100" t="s">
        <v>1124</v>
      </c>
      <c r="AW64" s="111">
        <f t="shared" si="33"/>
        <v>0</v>
      </c>
      <c r="AX64" s="111">
        <f t="shared" si="34"/>
        <v>0</v>
      </c>
      <c r="AY64" s="111">
        <f t="shared" si="35"/>
        <v>0</v>
      </c>
      <c r="AZ64" s="111">
        <f t="shared" si="36"/>
        <v>0</v>
      </c>
      <c r="BA64" s="111">
        <f t="shared" si="37"/>
        <v>0</v>
      </c>
      <c r="BB64" s="111">
        <f t="shared" si="38"/>
        <v>0</v>
      </c>
      <c r="BC64" s="111">
        <f t="shared" si="39"/>
        <v>0</v>
      </c>
      <c r="BD64" s="111">
        <f t="shared" si="40"/>
        <v>0</v>
      </c>
      <c r="BE64" s="111">
        <f t="shared" si="41"/>
        <v>0</v>
      </c>
      <c r="BF64" s="111" t="str">
        <f t="shared" si="42"/>
        <v/>
      </c>
    </row>
    <row r="65" spans="1:59" x14ac:dyDescent="0.25">
      <c r="A65" s="129" t="str">
        <f>'G-1 All Habitats'!B64</f>
        <v>Urban - Developed land; sealed surface</v>
      </c>
      <c r="B65" s="100" t="str">
        <f>'G-1 All Habitats'!F64</f>
        <v>Urban</v>
      </c>
      <c r="C65" s="100" t="str">
        <f>'G-1 All Habitats'!K64</f>
        <v>V.Low</v>
      </c>
      <c r="D65" s="100" t="str">
        <f>'G-1 All Habitats'!M64</f>
        <v>Compensation Not Required</v>
      </c>
      <c r="E65" s="111">
        <f>IF(C65="V.High",SUMIF('A-1 Site Habitat Baseline'!$G$11:$G$258,'G-2 Habitat groups'!A65,'A-1 Site Habitat Baseline'!$S$11:$S$258)+SUMIF('A-1 Site Habitat Baseline'!$G$11:$G$258,'G-2 Habitat groups'!A65,'A-1 Site Habitat Baseline'!$T$11:$T$258),SUMIF('A-1 Site Habitat Baseline'!$G$11:$G$258,'G-2 Habitat groups'!A65,'A-1 Site Habitat Baseline'!$H$11:$H$258))</f>
        <v>4.2831999999999999</v>
      </c>
      <c r="F65" s="111">
        <f>SUMIF('A-1 Site Habitat Baseline'!$G$11:$G$258,'G-2 Habitat groups'!A65,'A-1 Site Habitat Baseline'!$Q$11:$Q$258)</f>
        <v>0</v>
      </c>
      <c r="G65" s="111">
        <f>SUMIF('A-1 Site Habitat Baseline'!$G$11:$G$258,'G-2 Habitat groups'!A65,'A-1 Site Habitat Baseline'!$S$11:$S$258)</f>
        <v>1.1000000000000001E-3</v>
      </c>
      <c r="H65" s="111">
        <f>SUMIF('A-1 Site Habitat Baseline'!$G$11:$G$258,'G-2 Habitat groups'!A65,'A-1 Site Habitat Baseline'!$U$11:$U$258)</f>
        <v>0</v>
      </c>
      <c r="I65" s="111">
        <f>SUMIF('A-1 Site Habitat Baseline'!$G$11:$G$258,'G-2 Habitat groups'!A65,'A-1 Site Habitat Baseline'!$W$11:$W$258)</f>
        <v>4.2820999999999998</v>
      </c>
      <c r="J65" s="111">
        <f>SUMIF('A-1 Site Habitat Baseline'!$G$11:$G$258,'G-2 Habitat groups'!A65,'A-1 Site Habitat Baseline'!$X$11:$X$258)</f>
        <v>0</v>
      </c>
      <c r="K65" s="111">
        <f>SUMIF('A-2 Site Habitat Creation'!$F$11:$F$256,'G-2 Habitat groups'!A65,'A-2 Site Habitat Creation'!$G$11:$G$256)</f>
        <v>3.7991999999999999</v>
      </c>
      <c r="L65" s="111">
        <f>SUMIF('A-2 Site Habitat Creation'!$F$11:$F$256,'G-2 Habitat groups'!A65,'A-2 Site Habitat Creation'!$Y$11:$Y$256)</f>
        <v>0</v>
      </c>
      <c r="M65" s="111">
        <f>SUMIF('A-3 Site Habitat Enhancement'!$S$12:$S$257,'G-2 Habitat groups'!A65,'A-3 Site Habitat Enhancement'!$V$12:$V$257)</f>
        <v>0</v>
      </c>
      <c r="N65" s="111">
        <f>SUMIF('A-3 Site Habitat Enhancement'!$S$12:$S$257,'G-2 Habitat groups'!A65,'A-3 Site Habitat Enhancement'!$AN$12:$AN$257)</f>
        <v>0</v>
      </c>
      <c r="O65" s="111">
        <f t="shared" si="43"/>
        <v>3.8003</v>
      </c>
      <c r="P65" s="111">
        <f t="shared" si="44"/>
        <v>0</v>
      </c>
      <c r="Q65" s="111">
        <f t="shared" si="45"/>
        <v>-0.48289999999999988</v>
      </c>
      <c r="R65" s="111">
        <f t="shared" si="46"/>
        <v>0</v>
      </c>
      <c r="S65" s="111">
        <f>IF(C65="V.High",SUMIF('D-1 Off Site Habitat Baseline'!$G$11:$G$258,'G-2 Habitat groups'!A65,'D-1 Off Site Habitat Baseline'!$S$11:$S$258)+SUMIF('D-1 Off Site Habitat Baseline'!$G$11:$G$258,'G-2 Habitat groups'!A65,'D-1 Off Site Habitat Baseline'!$T$11:$T$258),SUMIF('D-1 Off Site Habitat Baseline'!$G$11:$G$258,'G-2 Habitat groups'!A65,'D-1 Off Site Habitat Baseline'!$H$11:$H$258))</f>
        <v>0</v>
      </c>
      <c r="T65" s="111">
        <f>SUMIF('D-1 Off Site Habitat Baseline'!$G$11:$G$258,'G-2 Habitat groups'!A65,'D-1 Off Site Habitat Baseline'!$Q$11:$Q$258)</f>
        <v>0</v>
      </c>
      <c r="U65" s="513">
        <f>SUMIF('D-1 Off Site Habitat Baseline'!$G$11:$G$258,'G-2 Habitat groups'!A65,'D-1 Off Site Habitat Baseline'!$S$11:$S$258)</f>
        <v>0</v>
      </c>
      <c r="V65" s="111">
        <f>SUMIF('D-1 Off Site Habitat Baseline'!$G$11:$G$258,'G-2 Habitat groups'!A65,'D-1 Off Site Habitat Baseline'!$U$11:$U$258)</f>
        <v>0</v>
      </c>
      <c r="W65" s="111">
        <f>SUMIF('D-2 Off Site Habitat Creation'!$F$9:$F$255,'G-2 Habitat groups'!A65,'D-2 Off Site Habitat Creation'!$G$9:$G$255)</f>
        <v>0</v>
      </c>
      <c r="X65" s="111">
        <f>SUMIF('D-2 Off Site Habitat Creation'!$F$9:$F$255,'G-2 Habitat groups'!A65,'D-2 Off Site Habitat Creation'!$AA$9:$AA$255)</f>
        <v>0</v>
      </c>
      <c r="Y65" s="111">
        <f>SUMIF('D-3 Off Site Habitat Enhancment'!$S$12:$S$491,'G-2 Habitat groups'!A65,'D-3 Off Site Habitat Enhancment'!$V$12:$V$491)</f>
        <v>0</v>
      </c>
      <c r="Z65" s="111">
        <f>SUMIF('D-3 Off Site Habitat Enhancment'!$S$12:$S$491,'G-2 Habitat groups'!A65,'D-3 Off Site Habitat Enhancment'!$AP$12:$AP$491)</f>
        <v>0</v>
      </c>
      <c r="AA65" s="111">
        <f t="shared" si="47"/>
        <v>0</v>
      </c>
      <c r="AB65" s="111">
        <f t="shared" si="48"/>
        <v>0</v>
      </c>
      <c r="AC65" s="111">
        <f t="shared" si="49"/>
        <v>0</v>
      </c>
      <c r="AD65" s="111">
        <f t="shared" si="50"/>
        <v>0</v>
      </c>
      <c r="AE65" s="111">
        <f t="shared" si="51"/>
        <v>-0.48289999999999988</v>
      </c>
      <c r="AF65" s="111">
        <f t="shared" si="52"/>
        <v>0</v>
      </c>
      <c r="AU65" s="143" t="s">
        <v>1107</v>
      </c>
      <c r="AV65" s="100" t="s">
        <v>1105</v>
      </c>
      <c r="AW65" s="111">
        <f t="shared" si="33"/>
        <v>0</v>
      </c>
      <c r="AX65" s="111">
        <f t="shared" si="34"/>
        <v>0</v>
      </c>
      <c r="AY65" s="111">
        <f t="shared" si="35"/>
        <v>0</v>
      </c>
      <c r="AZ65" s="111">
        <f t="shared" si="36"/>
        <v>0</v>
      </c>
      <c r="BA65" s="111">
        <f t="shared" si="37"/>
        <v>0</v>
      </c>
      <c r="BB65" s="111">
        <f t="shared" si="38"/>
        <v>0</v>
      </c>
      <c r="BC65" s="111">
        <f t="shared" si="39"/>
        <v>0</v>
      </c>
      <c r="BD65" s="111">
        <f t="shared" si="40"/>
        <v>0</v>
      </c>
      <c r="BE65" s="111">
        <f t="shared" si="41"/>
        <v>0</v>
      </c>
      <c r="BF65" s="111" t="str">
        <f t="shared" si="42"/>
        <v/>
      </c>
    </row>
    <row r="66" spans="1:59" x14ac:dyDescent="0.25">
      <c r="A66" s="129" t="str">
        <f>'G-1 All Habitats'!B65</f>
        <v>Urban - Extensive green roof</v>
      </c>
      <c r="B66" s="100" t="str">
        <f>'G-1 All Habitats'!F65</f>
        <v>Urban</v>
      </c>
      <c r="C66" s="100" t="str">
        <f>'G-1 All Habitats'!K65</f>
        <v>Low</v>
      </c>
      <c r="D66" s="100" t="str">
        <f>'G-1 All Habitats'!M65</f>
        <v>Same distinctiveness or better habitat required</v>
      </c>
      <c r="E66" s="111">
        <f>IF(C66="V.High",SUMIF('A-1 Site Habitat Baseline'!$G$11:$G$258,'G-2 Habitat groups'!A66,'A-1 Site Habitat Baseline'!$S$11:$S$258)+SUMIF('A-1 Site Habitat Baseline'!$G$11:$G$258,'G-2 Habitat groups'!A66,'A-1 Site Habitat Baseline'!$T$11:$T$258),SUMIF('A-1 Site Habitat Baseline'!$G$11:$G$258,'G-2 Habitat groups'!A66,'A-1 Site Habitat Baseline'!$H$11:$H$258))</f>
        <v>0</v>
      </c>
      <c r="F66" s="111">
        <f>SUMIF('A-1 Site Habitat Baseline'!$G$11:$G$258,'G-2 Habitat groups'!A66,'A-1 Site Habitat Baseline'!$Q$11:$Q$258)</f>
        <v>0</v>
      </c>
      <c r="G66" s="111">
        <f>SUMIF('A-1 Site Habitat Baseline'!$G$11:$G$258,'G-2 Habitat groups'!A66,'A-1 Site Habitat Baseline'!$S$11:$S$258)</f>
        <v>0</v>
      </c>
      <c r="H66" s="111">
        <f>SUMIF('A-1 Site Habitat Baseline'!$G$11:$G$258,'G-2 Habitat groups'!A66,'A-1 Site Habitat Baseline'!$U$11:$U$258)</f>
        <v>0</v>
      </c>
      <c r="I66" s="111">
        <f>SUMIF('A-1 Site Habitat Baseline'!$G$11:$G$258,'G-2 Habitat groups'!A66,'A-1 Site Habitat Baseline'!$W$11:$W$258)</f>
        <v>0</v>
      </c>
      <c r="J66" s="111">
        <f>SUMIF('A-1 Site Habitat Baseline'!$G$11:$G$258,'G-2 Habitat groups'!A66,'A-1 Site Habitat Baseline'!$X$11:$X$258)</f>
        <v>0</v>
      </c>
      <c r="K66" s="111">
        <f>SUMIF('A-2 Site Habitat Creation'!$F$11:$F$256,'G-2 Habitat groups'!A66,'A-2 Site Habitat Creation'!$G$11:$G$256)</f>
        <v>0.27479999999999999</v>
      </c>
      <c r="L66" s="111">
        <f>SUMIF('A-2 Site Habitat Creation'!$F$11:$F$256,'G-2 Habitat groups'!A66,'A-2 Site Habitat Creation'!$Y$11:$Y$256)</f>
        <v>0.53036399999999995</v>
      </c>
      <c r="M66" s="111">
        <f>SUMIF('A-3 Site Habitat Enhancement'!$S$12:$S$257,'G-2 Habitat groups'!A66,'A-3 Site Habitat Enhancement'!$V$12:$V$257)</f>
        <v>0</v>
      </c>
      <c r="N66" s="111">
        <f>SUMIF('A-3 Site Habitat Enhancement'!$S$12:$S$257,'G-2 Habitat groups'!A66,'A-3 Site Habitat Enhancement'!$AN$12:$AN$257)</f>
        <v>0</v>
      </c>
      <c r="O66" s="111">
        <f t="shared" si="43"/>
        <v>0.27479999999999999</v>
      </c>
      <c r="P66" s="111">
        <f t="shared" si="44"/>
        <v>0.53036399999999995</v>
      </c>
      <c r="Q66" s="111">
        <f t="shared" si="45"/>
        <v>0.27479999999999999</v>
      </c>
      <c r="R66" s="111">
        <f t="shared" si="46"/>
        <v>0.53036399999999995</v>
      </c>
      <c r="S66" s="111">
        <f>IF(C66="V.High",SUMIF('D-1 Off Site Habitat Baseline'!$G$11:$G$258,'G-2 Habitat groups'!A66,'D-1 Off Site Habitat Baseline'!$S$11:$S$258)+SUMIF('D-1 Off Site Habitat Baseline'!$G$11:$G$258,'G-2 Habitat groups'!A66,'D-1 Off Site Habitat Baseline'!$T$11:$T$258),SUMIF('D-1 Off Site Habitat Baseline'!$G$11:$G$258,'G-2 Habitat groups'!A66,'D-1 Off Site Habitat Baseline'!$H$11:$H$258))</f>
        <v>0</v>
      </c>
      <c r="T66" s="111">
        <f>SUMIF('D-1 Off Site Habitat Baseline'!$G$11:$G$258,'G-2 Habitat groups'!A66,'D-1 Off Site Habitat Baseline'!$Q$11:$Q$258)</f>
        <v>0</v>
      </c>
      <c r="U66" s="513">
        <f>SUMIF('D-1 Off Site Habitat Baseline'!$G$11:$G$258,'G-2 Habitat groups'!A66,'D-1 Off Site Habitat Baseline'!$S$11:$S$258)</f>
        <v>0</v>
      </c>
      <c r="V66" s="111">
        <f>SUMIF('D-1 Off Site Habitat Baseline'!$G$11:$G$258,'G-2 Habitat groups'!A66,'D-1 Off Site Habitat Baseline'!$U$11:$U$258)</f>
        <v>0</v>
      </c>
      <c r="W66" s="111">
        <f>SUMIF('D-2 Off Site Habitat Creation'!$F$9:$F$255,'G-2 Habitat groups'!A66,'D-2 Off Site Habitat Creation'!$G$9:$G$255)</f>
        <v>0</v>
      </c>
      <c r="X66" s="111">
        <f>SUMIF('D-2 Off Site Habitat Creation'!$F$9:$F$255,'G-2 Habitat groups'!A66,'D-2 Off Site Habitat Creation'!$AA$9:$AA$255)</f>
        <v>0</v>
      </c>
      <c r="Y66" s="111">
        <f>SUMIF('D-3 Off Site Habitat Enhancment'!$S$12:$S$491,'G-2 Habitat groups'!A66,'D-3 Off Site Habitat Enhancment'!$V$12:$V$491)</f>
        <v>0</v>
      </c>
      <c r="Z66" s="111">
        <f>SUMIF('D-3 Off Site Habitat Enhancment'!$S$12:$S$491,'G-2 Habitat groups'!A66,'D-3 Off Site Habitat Enhancment'!$AP$12:$AP$491)</f>
        <v>0</v>
      </c>
      <c r="AA66" s="111">
        <f t="shared" si="47"/>
        <v>0</v>
      </c>
      <c r="AB66" s="111">
        <f t="shared" si="48"/>
        <v>0</v>
      </c>
      <c r="AC66" s="111">
        <f t="shared" si="49"/>
        <v>0</v>
      </c>
      <c r="AD66" s="111">
        <f t="shared" si="50"/>
        <v>0</v>
      </c>
      <c r="AE66" s="111">
        <f t="shared" si="51"/>
        <v>0.27479999999999999</v>
      </c>
      <c r="AF66" s="111">
        <f t="shared" si="52"/>
        <v>0.53036399999999995</v>
      </c>
      <c r="AU66" s="143" t="s">
        <v>1109</v>
      </c>
      <c r="AV66" s="100" t="s">
        <v>1105</v>
      </c>
      <c r="AW66" s="111">
        <f t="shared" si="33"/>
        <v>0</v>
      </c>
      <c r="AX66" s="111">
        <f t="shared" si="34"/>
        <v>0</v>
      </c>
      <c r="AY66" s="111">
        <f t="shared" si="35"/>
        <v>0</v>
      </c>
      <c r="AZ66" s="111">
        <f t="shared" si="36"/>
        <v>0</v>
      </c>
      <c r="BA66" s="111">
        <f t="shared" si="37"/>
        <v>0</v>
      </c>
      <c r="BB66" s="111">
        <f t="shared" si="38"/>
        <v>0</v>
      </c>
      <c r="BC66" s="111">
        <f t="shared" si="39"/>
        <v>0</v>
      </c>
      <c r="BD66" s="111">
        <f t="shared" si="40"/>
        <v>0</v>
      </c>
      <c r="BE66" s="111">
        <f t="shared" si="41"/>
        <v>0</v>
      </c>
      <c r="BF66" s="111" t="str">
        <f t="shared" si="42"/>
        <v/>
      </c>
    </row>
    <row r="67" spans="1:59" x14ac:dyDescent="0.25">
      <c r="A67" s="129" t="str">
        <f>'G-1 All Habitats'!B66</f>
        <v>Urban - Facade-bound green wall</v>
      </c>
      <c r="B67" s="100" t="str">
        <f>'G-1 All Habitats'!F66</f>
        <v>Urban</v>
      </c>
      <c r="C67" s="100" t="str">
        <f>'G-1 All Habitats'!K66</f>
        <v>Low</v>
      </c>
      <c r="D67" s="100" t="str">
        <f>'G-1 All Habitats'!M66</f>
        <v>Same distinctiveness or better habitat required</v>
      </c>
      <c r="E67" s="111">
        <f>IF(C67="V.High",SUMIF('A-1 Site Habitat Baseline'!$G$11:$G$258,'G-2 Habitat groups'!A67,'A-1 Site Habitat Baseline'!$S$11:$S$258)+SUMIF('A-1 Site Habitat Baseline'!$G$11:$G$258,'G-2 Habitat groups'!A67,'A-1 Site Habitat Baseline'!$T$11:$T$258),SUMIF('A-1 Site Habitat Baseline'!$G$11:$G$258,'G-2 Habitat groups'!A67,'A-1 Site Habitat Baseline'!$H$11:$H$258))</f>
        <v>0</v>
      </c>
      <c r="F67" s="111">
        <f>SUMIF('A-1 Site Habitat Baseline'!$G$11:$G$258,'G-2 Habitat groups'!A67,'A-1 Site Habitat Baseline'!$Q$11:$Q$258)</f>
        <v>0</v>
      </c>
      <c r="G67" s="111">
        <f>SUMIF('A-1 Site Habitat Baseline'!$G$11:$G$258,'G-2 Habitat groups'!A67,'A-1 Site Habitat Baseline'!$S$11:$S$258)</f>
        <v>0</v>
      </c>
      <c r="H67" s="111">
        <f>SUMIF('A-1 Site Habitat Baseline'!$G$11:$G$258,'G-2 Habitat groups'!A67,'A-1 Site Habitat Baseline'!$U$11:$U$258)</f>
        <v>0</v>
      </c>
      <c r="I67" s="111">
        <f>SUMIF('A-1 Site Habitat Baseline'!$G$11:$G$258,'G-2 Habitat groups'!A67,'A-1 Site Habitat Baseline'!$W$11:$W$258)</f>
        <v>0</v>
      </c>
      <c r="J67" s="111">
        <f>SUMIF('A-1 Site Habitat Baseline'!$G$11:$G$258,'G-2 Habitat groups'!A67,'A-1 Site Habitat Baseline'!$X$11:$X$258)</f>
        <v>0</v>
      </c>
      <c r="K67" s="111">
        <f>SUMIF('A-2 Site Habitat Creation'!$F$11:$F$256,'G-2 Habitat groups'!A67,'A-2 Site Habitat Creation'!$G$11:$G$256)</f>
        <v>0</v>
      </c>
      <c r="L67" s="111">
        <f>SUMIF('A-2 Site Habitat Creation'!$F$11:$F$256,'G-2 Habitat groups'!A67,'A-2 Site Habitat Creation'!$Y$11:$Y$256)</f>
        <v>0</v>
      </c>
      <c r="M67" s="111">
        <f>SUMIF('A-3 Site Habitat Enhancement'!$S$12:$S$257,'G-2 Habitat groups'!A67,'A-3 Site Habitat Enhancement'!$V$12:$V$257)</f>
        <v>0</v>
      </c>
      <c r="N67" s="111">
        <f>SUMIF('A-3 Site Habitat Enhancement'!$S$12:$S$257,'G-2 Habitat groups'!A67,'A-3 Site Habitat Enhancement'!$AN$12:$AN$257)</f>
        <v>0</v>
      </c>
      <c r="O67" s="111">
        <f t="shared" si="43"/>
        <v>0</v>
      </c>
      <c r="P67" s="111">
        <f t="shared" si="44"/>
        <v>0</v>
      </c>
      <c r="Q67" s="111">
        <f t="shared" si="45"/>
        <v>0</v>
      </c>
      <c r="R67" s="111">
        <f t="shared" si="46"/>
        <v>0</v>
      </c>
      <c r="S67" s="111">
        <f>IF(C67="V.High",SUMIF('D-1 Off Site Habitat Baseline'!$G$11:$G$258,'G-2 Habitat groups'!A67,'D-1 Off Site Habitat Baseline'!$S$11:$S$258)+SUMIF('D-1 Off Site Habitat Baseline'!$G$11:$G$258,'G-2 Habitat groups'!A67,'D-1 Off Site Habitat Baseline'!$T$11:$T$258),SUMIF('D-1 Off Site Habitat Baseline'!$G$11:$G$258,'G-2 Habitat groups'!A67,'D-1 Off Site Habitat Baseline'!$H$11:$H$258))</f>
        <v>0</v>
      </c>
      <c r="T67" s="111">
        <f>SUMIF('D-1 Off Site Habitat Baseline'!$G$11:$G$258,'G-2 Habitat groups'!A67,'D-1 Off Site Habitat Baseline'!$Q$11:$Q$258)</f>
        <v>0</v>
      </c>
      <c r="U67" s="513">
        <f>SUMIF('D-1 Off Site Habitat Baseline'!$G$11:$G$258,'G-2 Habitat groups'!A67,'D-1 Off Site Habitat Baseline'!$S$11:$S$258)</f>
        <v>0</v>
      </c>
      <c r="V67" s="111">
        <f>SUMIF('D-1 Off Site Habitat Baseline'!$G$11:$G$258,'G-2 Habitat groups'!A67,'D-1 Off Site Habitat Baseline'!$U$11:$U$258)</f>
        <v>0</v>
      </c>
      <c r="W67" s="111">
        <f>SUMIF('D-2 Off Site Habitat Creation'!$F$9:$F$255,'G-2 Habitat groups'!A67,'D-2 Off Site Habitat Creation'!$G$9:$G$255)</f>
        <v>0</v>
      </c>
      <c r="X67" s="111">
        <f>SUMIF('D-2 Off Site Habitat Creation'!$F$9:$F$255,'G-2 Habitat groups'!A67,'D-2 Off Site Habitat Creation'!$AA$9:$AA$255)</f>
        <v>0</v>
      </c>
      <c r="Y67" s="111">
        <f>SUMIF('D-3 Off Site Habitat Enhancment'!$S$12:$S$491,'G-2 Habitat groups'!A67,'D-3 Off Site Habitat Enhancment'!$V$12:$V$491)</f>
        <v>0</v>
      </c>
      <c r="Z67" s="111">
        <f>SUMIF('D-3 Off Site Habitat Enhancment'!$S$12:$S$491,'G-2 Habitat groups'!A67,'D-3 Off Site Habitat Enhancment'!$AP$12:$AP$491)</f>
        <v>0</v>
      </c>
      <c r="AA67" s="111">
        <f t="shared" si="47"/>
        <v>0</v>
      </c>
      <c r="AB67" s="111">
        <f t="shared" si="48"/>
        <v>0</v>
      </c>
      <c r="AC67" s="111">
        <f t="shared" si="49"/>
        <v>0</v>
      </c>
      <c r="AD67" s="111">
        <f t="shared" si="50"/>
        <v>0</v>
      </c>
      <c r="AE67" s="111">
        <f t="shared" si="51"/>
        <v>0</v>
      </c>
      <c r="AF67" s="111">
        <f t="shared" si="52"/>
        <v>0</v>
      </c>
      <c r="AU67" s="143" t="s">
        <v>1246</v>
      </c>
      <c r="AV67" s="100" t="s">
        <v>1126</v>
      </c>
      <c r="AW67" s="111">
        <f t="shared" si="33"/>
        <v>0</v>
      </c>
      <c r="AX67" s="111">
        <f t="shared" si="34"/>
        <v>0</v>
      </c>
      <c r="AY67" s="111">
        <f t="shared" si="35"/>
        <v>0</v>
      </c>
      <c r="AZ67" s="111">
        <f t="shared" si="36"/>
        <v>0</v>
      </c>
      <c r="BA67" s="111">
        <f t="shared" si="37"/>
        <v>0</v>
      </c>
      <c r="BB67" s="111">
        <f t="shared" si="38"/>
        <v>0</v>
      </c>
      <c r="BC67" s="111">
        <f t="shared" si="39"/>
        <v>0</v>
      </c>
      <c r="BD67" s="111">
        <f t="shared" si="40"/>
        <v>0</v>
      </c>
      <c r="BE67" s="111">
        <f t="shared" si="41"/>
        <v>0</v>
      </c>
      <c r="BF67" s="111" t="str">
        <f t="shared" si="42"/>
        <v/>
      </c>
    </row>
    <row r="68" spans="1:59" x14ac:dyDescent="0.25">
      <c r="A68" s="129" t="str">
        <f>'G-1 All Habitats'!B67</f>
        <v>Urban - Ground based green wall</v>
      </c>
      <c r="B68" s="100" t="str">
        <f>'G-1 All Habitats'!F67</f>
        <v>Urban</v>
      </c>
      <c r="C68" s="100" t="str">
        <f>'G-1 All Habitats'!K67</f>
        <v>Low</v>
      </c>
      <c r="D68" s="100" t="str">
        <f>'G-1 All Habitats'!M67</f>
        <v>Same distinctiveness or better habitat required</v>
      </c>
      <c r="E68" s="111">
        <f>IF(C68="V.High",SUMIF('A-1 Site Habitat Baseline'!$G$11:$G$258,'G-2 Habitat groups'!A68,'A-1 Site Habitat Baseline'!$S$11:$S$258)+SUMIF('A-1 Site Habitat Baseline'!$G$11:$G$258,'G-2 Habitat groups'!A68,'A-1 Site Habitat Baseline'!$T$11:$T$258),SUMIF('A-1 Site Habitat Baseline'!$G$11:$G$258,'G-2 Habitat groups'!A68,'A-1 Site Habitat Baseline'!$H$11:$H$258))</f>
        <v>8.5000000000000006E-3</v>
      </c>
      <c r="F68" s="111">
        <f>SUMIF('A-1 Site Habitat Baseline'!$G$11:$G$258,'G-2 Habitat groups'!A68,'A-1 Site Habitat Baseline'!$Q$11:$Q$258)</f>
        <v>1.7000000000000001E-2</v>
      </c>
      <c r="G68" s="111">
        <f>SUMIF('A-1 Site Habitat Baseline'!$G$11:$G$258,'G-2 Habitat groups'!A68,'A-1 Site Habitat Baseline'!$S$11:$S$258)</f>
        <v>0</v>
      </c>
      <c r="H68" s="111">
        <f>SUMIF('A-1 Site Habitat Baseline'!$G$11:$G$258,'G-2 Habitat groups'!A68,'A-1 Site Habitat Baseline'!$U$11:$U$258)</f>
        <v>0</v>
      </c>
      <c r="I68" s="111">
        <f>SUMIF('A-1 Site Habitat Baseline'!$G$11:$G$258,'G-2 Habitat groups'!A68,'A-1 Site Habitat Baseline'!$W$11:$W$258)</f>
        <v>8.5000000000000006E-3</v>
      </c>
      <c r="J68" s="111">
        <f>SUMIF('A-1 Site Habitat Baseline'!$G$11:$G$258,'G-2 Habitat groups'!A68,'A-1 Site Habitat Baseline'!$X$11:$X$258)</f>
        <v>1.7000000000000001E-2</v>
      </c>
      <c r="K68" s="111">
        <f>SUMIF('A-2 Site Habitat Creation'!$F$11:$F$256,'G-2 Habitat groups'!A68,'A-2 Site Habitat Creation'!$G$11:$G$256)</f>
        <v>0</v>
      </c>
      <c r="L68" s="111">
        <f>SUMIF('A-2 Site Habitat Creation'!$F$11:$F$256,'G-2 Habitat groups'!A68,'A-2 Site Habitat Creation'!$Y$11:$Y$256)</f>
        <v>0</v>
      </c>
      <c r="M68" s="111">
        <f>SUMIF('A-3 Site Habitat Enhancement'!$S$12:$S$257,'G-2 Habitat groups'!A68,'A-3 Site Habitat Enhancement'!$V$12:$V$257)</f>
        <v>0</v>
      </c>
      <c r="N68" s="111">
        <f>SUMIF('A-3 Site Habitat Enhancement'!$S$12:$S$257,'G-2 Habitat groups'!A68,'A-3 Site Habitat Enhancement'!$AN$12:$AN$257)</f>
        <v>0</v>
      </c>
      <c r="O68" s="111">
        <f t="shared" ref="O68:O99" si="53">G68+K68+M68</f>
        <v>0</v>
      </c>
      <c r="P68" s="111">
        <f t="shared" ref="P68:P99" si="54">H68+L68+N68</f>
        <v>0</v>
      </c>
      <c r="Q68" s="111">
        <f t="shared" ref="Q68:Q99" si="55">O68-E68</f>
        <v>-8.5000000000000006E-3</v>
      </c>
      <c r="R68" s="111">
        <f t="shared" ref="R68:R99" si="56">P68-F68</f>
        <v>-1.7000000000000001E-2</v>
      </c>
      <c r="S68" s="111">
        <f>IF(C68="V.High",SUMIF('D-1 Off Site Habitat Baseline'!$G$11:$G$258,'G-2 Habitat groups'!A68,'D-1 Off Site Habitat Baseline'!$S$11:$S$258)+SUMIF('D-1 Off Site Habitat Baseline'!$G$11:$G$258,'G-2 Habitat groups'!A68,'D-1 Off Site Habitat Baseline'!$T$11:$T$258),SUMIF('D-1 Off Site Habitat Baseline'!$G$11:$G$258,'G-2 Habitat groups'!A68,'D-1 Off Site Habitat Baseline'!$H$11:$H$258))</f>
        <v>0</v>
      </c>
      <c r="T68" s="111">
        <f>SUMIF('D-1 Off Site Habitat Baseline'!$G$11:$G$258,'G-2 Habitat groups'!A68,'D-1 Off Site Habitat Baseline'!$Q$11:$Q$258)</f>
        <v>0</v>
      </c>
      <c r="U68" s="513">
        <f>SUMIF('D-1 Off Site Habitat Baseline'!$G$11:$G$258,'G-2 Habitat groups'!A68,'D-1 Off Site Habitat Baseline'!$S$11:$S$258)</f>
        <v>0</v>
      </c>
      <c r="V68" s="111">
        <f>SUMIF('D-1 Off Site Habitat Baseline'!$G$11:$G$258,'G-2 Habitat groups'!A68,'D-1 Off Site Habitat Baseline'!$U$11:$U$258)</f>
        <v>0</v>
      </c>
      <c r="W68" s="111">
        <f>SUMIF('D-2 Off Site Habitat Creation'!$F$9:$F$255,'G-2 Habitat groups'!A68,'D-2 Off Site Habitat Creation'!$G$9:$G$255)</f>
        <v>0</v>
      </c>
      <c r="X68" s="111">
        <f>SUMIF('D-2 Off Site Habitat Creation'!$F$9:$F$255,'G-2 Habitat groups'!A68,'D-2 Off Site Habitat Creation'!$AA$9:$AA$255)</f>
        <v>0</v>
      </c>
      <c r="Y68" s="111">
        <f>SUMIF('D-3 Off Site Habitat Enhancment'!$S$12:$S$491,'G-2 Habitat groups'!A68,'D-3 Off Site Habitat Enhancment'!$V$12:$V$491)</f>
        <v>0</v>
      </c>
      <c r="Z68" s="111">
        <f>SUMIF('D-3 Off Site Habitat Enhancment'!$S$12:$S$491,'G-2 Habitat groups'!A68,'D-3 Off Site Habitat Enhancment'!$AP$12:$AP$491)</f>
        <v>0</v>
      </c>
      <c r="AA68" s="111">
        <f t="shared" ref="AA68:AA99" si="57">U68+W68+Y68</f>
        <v>0</v>
      </c>
      <c r="AB68" s="111">
        <f t="shared" ref="AB68:AB99" si="58">V68+X68+Z68</f>
        <v>0</v>
      </c>
      <c r="AC68" s="111">
        <f t="shared" ref="AC68:AC99" si="59">AA68-S68</f>
        <v>0</v>
      </c>
      <c r="AD68" s="111">
        <f t="shared" ref="AD68:AD99" si="60">AB68-T68</f>
        <v>0</v>
      </c>
      <c r="AE68" s="111">
        <f t="shared" ref="AE68:AE99" si="61">Q68+AC68</f>
        <v>-8.5000000000000006E-3</v>
      </c>
      <c r="AF68" s="111">
        <f t="shared" ref="AF68:AF99" si="62">R68+AD68</f>
        <v>-1.7000000000000001E-2</v>
      </c>
      <c r="AU68" s="144" t="s">
        <v>1204</v>
      </c>
      <c r="AV68" s="100" t="s">
        <v>1105</v>
      </c>
      <c r="AW68" s="111">
        <f t="shared" si="33"/>
        <v>0</v>
      </c>
      <c r="AX68" s="111">
        <f t="shared" si="34"/>
        <v>0</v>
      </c>
      <c r="AY68" s="111">
        <f t="shared" si="35"/>
        <v>0</v>
      </c>
      <c r="AZ68" s="111">
        <f t="shared" si="36"/>
        <v>0</v>
      </c>
      <c r="BA68" s="111">
        <f t="shared" si="37"/>
        <v>0</v>
      </c>
      <c r="BB68" s="111">
        <f t="shared" si="38"/>
        <v>0</v>
      </c>
      <c r="BC68" s="111">
        <f t="shared" si="39"/>
        <v>0</v>
      </c>
      <c r="BD68" s="111">
        <f t="shared" si="40"/>
        <v>0</v>
      </c>
      <c r="BE68" s="111">
        <f t="shared" si="41"/>
        <v>0</v>
      </c>
      <c r="BF68" s="111" t="str">
        <f t="shared" si="42"/>
        <v/>
      </c>
    </row>
    <row r="69" spans="1:59" x14ac:dyDescent="0.25">
      <c r="A69" s="129" t="str">
        <f>'G-1 All Habitats'!B68</f>
        <v>Urban - Ground level planters</v>
      </c>
      <c r="B69" s="100" t="str">
        <f>'G-1 All Habitats'!F68</f>
        <v>Urban</v>
      </c>
      <c r="C69" s="100" t="str">
        <f>'G-1 All Habitats'!K68</f>
        <v>Low</v>
      </c>
      <c r="D69" s="100" t="str">
        <f>'G-1 All Habitats'!M68</f>
        <v>Same distinctiveness or better habitat required</v>
      </c>
      <c r="E69" s="111">
        <f>IF(C69="V.High",SUMIF('A-1 Site Habitat Baseline'!$G$11:$G$258,'G-2 Habitat groups'!A69,'A-1 Site Habitat Baseline'!$S$11:$S$258)+SUMIF('A-1 Site Habitat Baseline'!$G$11:$G$258,'G-2 Habitat groups'!A69,'A-1 Site Habitat Baseline'!$T$11:$T$258),SUMIF('A-1 Site Habitat Baseline'!$G$11:$G$258,'G-2 Habitat groups'!A69,'A-1 Site Habitat Baseline'!$H$11:$H$258))</f>
        <v>0</v>
      </c>
      <c r="F69" s="111">
        <f>SUMIF('A-1 Site Habitat Baseline'!$G$11:$G$258,'G-2 Habitat groups'!A69,'A-1 Site Habitat Baseline'!$Q$11:$Q$258)</f>
        <v>0</v>
      </c>
      <c r="G69" s="111">
        <f>SUMIF('A-1 Site Habitat Baseline'!$G$11:$G$258,'G-2 Habitat groups'!A69,'A-1 Site Habitat Baseline'!$S$11:$S$258)</f>
        <v>0</v>
      </c>
      <c r="H69" s="111">
        <f>SUMIF('A-1 Site Habitat Baseline'!$G$11:$G$258,'G-2 Habitat groups'!A69,'A-1 Site Habitat Baseline'!$U$11:$U$258)</f>
        <v>0</v>
      </c>
      <c r="I69" s="111">
        <f>SUMIF('A-1 Site Habitat Baseline'!$G$11:$G$258,'G-2 Habitat groups'!A69,'A-1 Site Habitat Baseline'!$W$11:$W$258)</f>
        <v>0</v>
      </c>
      <c r="J69" s="111">
        <f>SUMIF('A-1 Site Habitat Baseline'!$G$11:$G$258,'G-2 Habitat groups'!A69,'A-1 Site Habitat Baseline'!$X$11:$X$258)</f>
        <v>0</v>
      </c>
      <c r="K69" s="111">
        <f>SUMIF('A-2 Site Habitat Creation'!$F$11:$F$256,'G-2 Habitat groups'!A69,'A-2 Site Habitat Creation'!$G$11:$G$256)</f>
        <v>0.29189999999999999</v>
      </c>
      <c r="L69" s="111">
        <f>SUMIF('A-2 Site Habitat Creation'!$F$11:$F$256,'G-2 Habitat groups'!A69,'A-2 Site Habitat Creation'!$Y$11:$Y$256)</f>
        <v>0.56336699999999995</v>
      </c>
      <c r="M69" s="111">
        <f>SUMIF('A-3 Site Habitat Enhancement'!$S$12:$S$257,'G-2 Habitat groups'!A69,'A-3 Site Habitat Enhancement'!$V$12:$V$257)</f>
        <v>0</v>
      </c>
      <c r="N69" s="111">
        <f>SUMIF('A-3 Site Habitat Enhancement'!$S$12:$S$257,'G-2 Habitat groups'!A69,'A-3 Site Habitat Enhancement'!$AN$12:$AN$257)</f>
        <v>0</v>
      </c>
      <c r="O69" s="111">
        <f t="shared" si="53"/>
        <v>0.29189999999999999</v>
      </c>
      <c r="P69" s="111">
        <f t="shared" si="54"/>
        <v>0.56336699999999995</v>
      </c>
      <c r="Q69" s="111">
        <f t="shared" si="55"/>
        <v>0.29189999999999999</v>
      </c>
      <c r="R69" s="111">
        <f t="shared" si="56"/>
        <v>0.56336699999999995</v>
      </c>
      <c r="S69" s="111">
        <f>IF(C69="V.High",SUMIF('D-1 Off Site Habitat Baseline'!$G$11:$G$258,'G-2 Habitat groups'!A69,'D-1 Off Site Habitat Baseline'!$S$11:$S$258)+SUMIF('D-1 Off Site Habitat Baseline'!$G$11:$G$258,'G-2 Habitat groups'!A69,'D-1 Off Site Habitat Baseline'!$T$11:$T$258),SUMIF('D-1 Off Site Habitat Baseline'!$G$11:$G$258,'G-2 Habitat groups'!A69,'D-1 Off Site Habitat Baseline'!$H$11:$H$258))</f>
        <v>0</v>
      </c>
      <c r="T69" s="111">
        <f>SUMIF('D-1 Off Site Habitat Baseline'!$G$11:$G$258,'G-2 Habitat groups'!A69,'D-1 Off Site Habitat Baseline'!$Q$11:$Q$258)</f>
        <v>0</v>
      </c>
      <c r="U69" s="513">
        <f>SUMIF('D-1 Off Site Habitat Baseline'!$G$11:$G$258,'G-2 Habitat groups'!A69,'D-1 Off Site Habitat Baseline'!$S$11:$S$258)</f>
        <v>0</v>
      </c>
      <c r="V69" s="111">
        <f>SUMIF('D-1 Off Site Habitat Baseline'!$G$11:$G$258,'G-2 Habitat groups'!A69,'D-1 Off Site Habitat Baseline'!$U$11:$U$258)</f>
        <v>0</v>
      </c>
      <c r="W69" s="111">
        <f>SUMIF('D-2 Off Site Habitat Creation'!$F$9:$F$255,'G-2 Habitat groups'!A69,'D-2 Off Site Habitat Creation'!$G$9:$G$255)</f>
        <v>0</v>
      </c>
      <c r="X69" s="111">
        <f>SUMIF('D-2 Off Site Habitat Creation'!$F$9:$F$255,'G-2 Habitat groups'!A69,'D-2 Off Site Habitat Creation'!$AA$9:$AA$255)</f>
        <v>0</v>
      </c>
      <c r="Y69" s="111">
        <f>SUMIF('D-3 Off Site Habitat Enhancment'!$S$12:$S$491,'G-2 Habitat groups'!A69,'D-3 Off Site Habitat Enhancment'!$V$12:$V$491)</f>
        <v>0</v>
      </c>
      <c r="Z69" s="111">
        <f>SUMIF('D-3 Off Site Habitat Enhancment'!$S$12:$S$491,'G-2 Habitat groups'!A69,'D-3 Off Site Habitat Enhancment'!$AP$12:$AP$491)</f>
        <v>0</v>
      </c>
      <c r="AA69" s="111">
        <f t="shared" si="57"/>
        <v>0</v>
      </c>
      <c r="AB69" s="111">
        <f t="shared" si="58"/>
        <v>0</v>
      </c>
      <c r="AC69" s="111">
        <f t="shared" si="59"/>
        <v>0</v>
      </c>
      <c r="AD69" s="111">
        <f t="shared" si="60"/>
        <v>0</v>
      </c>
      <c r="AE69" s="111">
        <f t="shared" si="61"/>
        <v>0.29189999999999999</v>
      </c>
      <c r="AF69" s="111">
        <f t="shared" si="62"/>
        <v>0.56336699999999995</v>
      </c>
      <c r="AU69" s="144" t="s">
        <v>1205</v>
      </c>
      <c r="AV69" s="100" t="s">
        <v>1105</v>
      </c>
      <c r="AW69" s="111">
        <f t="shared" si="33"/>
        <v>0</v>
      </c>
      <c r="AX69" s="111">
        <f t="shared" si="34"/>
        <v>0</v>
      </c>
      <c r="AY69" s="111">
        <f t="shared" si="35"/>
        <v>0</v>
      </c>
      <c r="AZ69" s="111">
        <f t="shared" si="36"/>
        <v>0</v>
      </c>
      <c r="BA69" s="111">
        <f t="shared" si="37"/>
        <v>0</v>
      </c>
      <c r="BB69" s="111">
        <f t="shared" si="38"/>
        <v>0</v>
      </c>
      <c r="BC69" s="111">
        <f t="shared" si="39"/>
        <v>0</v>
      </c>
      <c r="BD69" s="111">
        <f t="shared" si="40"/>
        <v>0</v>
      </c>
      <c r="BE69" s="111">
        <f t="shared" si="41"/>
        <v>0</v>
      </c>
      <c r="BF69" s="111" t="str">
        <f t="shared" si="42"/>
        <v/>
      </c>
    </row>
    <row r="70" spans="1:59" x14ac:dyDescent="0.25">
      <c r="A70" s="129" t="str">
        <f>'G-1 All Habitats'!B69</f>
        <v>Urban - Intensive green roof</v>
      </c>
      <c r="B70" s="100" t="str">
        <f>'G-1 All Habitats'!F69</f>
        <v>Urban</v>
      </c>
      <c r="C70" s="100" t="str">
        <f>'G-1 All Habitats'!K69</f>
        <v>Medium</v>
      </c>
      <c r="D70" s="100" t="str">
        <f>'G-1 All Habitats'!M69</f>
        <v>Same broad habitat or a higher distinctiveness habitat required</v>
      </c>
      <c r="E70" s="111">
        <f>IF(C70="V.High",SUMIF('A-1 Site Habitat Baseline'!$G$11:$G$258,'G-2 Habitat groups'!A70,'A-1 Site Habitat Baseline'!$S$11:$S$258)+SUMIF('A-1 Site Habitat Baseline'!$G$11:$G$258,'G-2 Habitat groups'!A70,'A-1 Site Habitat Baseline'!$T$11:$T$258),SUMIF('A-1 Site Habitat Baseline'!$G$11:$G$258,'G-2 Habitat groups'!A70,'A-1 Site Habitat Baseline'!$H$11:$H$258))</f>
        <v>0</v>
      </c>
      <c r="F70" s="111">
        <f>SUMIF('A-1 Site Habitat Baseline'!$G$11:$G$258,'G-2 Habitat groups'!A70,'A-1 Site Habitat Baseline'!$Q$11:$Q$258)</f>
        <v>0</v>
      </c>
      <c r="G70" s="111">
        <f>SUMIF('A-1 Site Habitat Baseline'!$G$11:$G$258,'G-2 Habitat groups'!A70,'A-1 Site Habitat Baseline'!$S$11:$S$258)</f>
        <v>0</v>
      </c>
      <c r="H70" s="111">
        <f>SUMIF('A-1 Site Habitat Baseline'!$G$11:$G$258,'G-2 Habitat groups'!A70,'A-1 Site Habitat Baseline'!$U$11:$U$258)</f>
        <v>0</v>
      </c>
      <c r="I70" s="111">
        <f>SUMIF('A-1 Site Habitat Baseline'!$G$11:$G$258,'G-2 Habitat groups'!A70,'A-1 Site Habitat Baseline'!$W$11:$W$258)</f>
        <v>0</v>
      </c>
      <c r="J70" s="111">
        <f>SUMIF('A-1 Site Habitat Baseline'!$G$11:$G$258,'G-2 Habitat groups'!A70,'A-1 Site Habitat Baseline'!$X$11:$X$258)</f>
        <v>0</v>
      </c>
      <c r="K70" s="111">
        <f>SUMIF('A-2 Site Habitat Creation'!$F$11:$F$256,'G-2 Habitat groups'!A70,'A-2 Site Habitat Creation'!$G$11:$G$256)</f>
        <v>0</v>
      </c>
      <c r="L70" s="111">
        <f>SUMIF('A-2 Site Habitat Creation'!$F$11:$F$256,'G-2 Habitat groups'!A70,'A-2 Site Habitat Creation'!$Y$11:$Y$256)</f>
        <v>0</v>
      </c>
      <c r="M70" s="111">
        <f>SUMIF('A-3 Site Habitat Enhancement'!$S$12:$S$257,'G-2 Habitat groups'!A70,'A-3 Site Habitat Enhancement'!$V$12:$V$257)</f>
        <v>0</v>
      </c>
      <c r="N70" s="111">
        <f>SUMIF('A-3 Site Habitat Enhancement'!$S$12:$S$257,'G-2 Habitat groups'!A70,'A-3 Site Habitat Enhancement'!$AN$12:$AN$257)</f>
        <v>0</v>
      </c>
      <c r="O70" s="111">
        <f t="shared" si="53"/>
        <v>0</v>
      </c>
      <c r="P70" s="111">
        <f t="shared" si="54"/>
        <v>0</v>
      </c>
      <c r="Q70" s="111">
        <f t="shared" si="55"/>
        <v>0</v>
      </c>
      <c r="R70" s="111">
        <f t="shared" si="56"/>
        <v>0</v>
      </c>
      <c r="S70" s="111">
        <f>IF(C70="V.High",SUMIF('D-1 Off Site Habitat Baseline'!$G$11:$G$258,'G-2 Habitat groups'!A70,'D-1 Off Site Habitat Baseline'!$S$11:$S$258)+SUMIF('D-1 Off Site Habitat Baseline'!$G$11:$G$258,'G-2 Habitat groups'!A70,'D-1 Off Site Habitat Baseline'!$T$11:$T$258),SUMIF('D-1 Off Site Habitat Baseline'!$G$11:$G$258,'G-2 Habitat groups'!A70,'D-1 Off Site Habitat Baseline'!$H$11:$H$258))</f>
        <v>0</v>
      </c>
      <c r="T70" s="111">
        <f>SUMIF('D-1 Off Site Habitat Baseline'!$G$11:$G$258,'G-2 Habitat groups'!A70,'D-1 Off Site Habitat Baseline'!$Q$11:$Q$258)</f>
        <v>0</v>
      </c>
      <c r="U70" s="513">
        <f>SUMIF('D-1 Off Site Habitat Baseline'!$G$11:$G$258,'G-2 Habitat groups'!A70,'D-1 Off Site Habitat Baseline'!$S$11:$S$258)</f>
        <v>0</v>
      </c>
      <c r="V70" s="111">
        <f>SUMIF('D-1 Off Site Habitat Baseline'!$G$11:$G$258,'G-2 Habitat groups'!A70,'D-1 Off Site Habitat Baseline'!$U$11:$U$258)</f>
        <v>0</v>
      </c>
      <c r="W70" s="111">
        <f>SUMIF('D-2 Off Site Habitat Creation'!$F$9:$F$255,'G-2 Habitat groups'!A70,'D-2 Off Site Habitat Creation'!$G$9:$G$255)</f>
        <v>0</v>
      </c>
      <c r="X70" s="111">
        <f>SUMIF('D-2 Off Site Habitat Creation'!$F$9:$F$255,'G-2 Habitat groups'!A70,'D-2 Off Site Habitat Creation'!$AA$9:$AA$255)</f>
        <v>0</v>
      </c>
      <c r="Y70" s="111">
        <f>SUMIF('D-3 Off Site Habitat Enhancment'!$S$12:$S$491,'G-2 Habitat groups'!A70,'D-3 Off Site Habitat Enhancment'!$V$12:$V$491)</f>
        <v>0</v>
      </c>
      <c r="Z70" s="111">
        <f>SUMIF('D-3 Off Site Habitat Enhancment'!$S$12:$S$491,'G-2 Habitat groups'!A70,'D-3 Off Site Habitat Enhancment'!$AP$12:$AP$491)</f>
        <v>0</v>
      </c>
      <c r="AA70" s="111">
        <f t="shared" si="57"/>
        <v>0</v>
      </c>
      <c r="AB70" s="111">
        <f t="shared" si="58"/>
        <v>0</v>
      </c>
      <c r="AC70" s="111">
        <f t="shared" si="59"/>
        <v>0</v>
      </c>
      <c r="AD70" s="111">
        <f t="shared" si="60"/>
        <v>0</v>
      </c>
      <c r="AE70" s="111">
        <f t="shared" si="61"/>
        <v>0</v>
      </c>
      <c r="AF70" s="111">
        <f t="shared" si="62"/>
        <v>0</v>
      </c>
      <c r="AU70" s="143" t="s">
        <v>1114</v>
      </c>
      <c r="AV70" s="100" t="s">
        <v>1105</v>
      </c>
      <c r="AW70" s="111">
        <f t="shared" si="33"/>
        <v>0</v>
      </c>
      <c r="AX70" s="111">
        <f t="shared" si="34"/>
        <v>0</v>
      </c>
      <c r="AY70" s="111">
        <f t="shared" si="35"/>
        <v>0</v>
      </c>
      <c r="AZ70" s="111">
        <f t="shared" si="36"/>
        <v>0</v>
      </c>
      <c r="BA70" s="111">
        <f t="shared" si="37"/>
        <v>0</v>
      </c>
      <c r="BB70" s="111">
        <f t="shared" si="38"/>
        <v>0</v>
      </c>
      <c r="BC70" s="111">
        <f t="shared" si="39"/>
        <v>0</v>
      </c>
      <c r="BD70" s="111">
        <f t="shared" si="40"/>
        <v>0</v>
      </c>
      <c r="BE70" s="111">
        <f t="shared" si="41"/>
        <v>0</v>
      </c>
      <c r="BF70" s="111" t="str">
        <f t="shared" si="42"/>
        <v/>
      </c>
    </row>
    <row r="71" spans="1:59" x14ac:dyDescent="0.25">
      <c r="A71" s="129" t="str">
        <f>'G-1 All Habitats'!B70</f>
        <v>Urban - Introduced shrub</v>
      </c>
      <c r="B71" s="100" t="str">
        <f>'G-1 All Habitats'!F70</f>
        <v>Urban</v>
      </c>
      <c r="C71" s="100" t="str">
        <f>'G-1 All Habitats'!K70</f>
        <v>Low</v>
      </c>
      <c r="D71" s="100" t="str">
        <f>'G-1 All Habitats'!M70</f>
        <v>Same distinctiveness or better habitat required</v>
      </c>
      <c r="E71" s="111">
        <f>IF(C71="V.High",SUMIF('A-1 Site Habitat Baseline'!$G$11:$G$258,'G-2 Habitat groups'!A71,'A-1 Site Habitat Baseline'!$S$11:$S$258)+SUMIF('A-1 Site Habitat Baseline'!$G$11:$G$258,'G-2 Habitat groups'!A71,'A-1 Site Habitat Baseline'!$T$11:$T$258),SUMIF('A-1 Site Habitat Baseline'!$G$11:$G$258,'G-2 Habitat groups'!A71,'A-1 Site Habitat Baseline'!$H$11:$H$258))</f>
        <v>1.7100000000000001E-2</v>
      </c>
      <c r="F71" s="111">
        <f>SUMIF('A-1 Site Habitat Baseline'!$G$11:$G$258,'G-2 Habitat groups'!A71,'A-1 Site Habitat Baseline'!$Q$11:$Q$258)</f>
        <v>3.4200000000000001E-2</v>
      </c>
      <c r="G71" s="111">
        <f>SUMIF('A-1 Site Habitat Baseline'!$G$11:$G$258,'G-2 Habitat groups'!A71,'A-1 Site Habitat Baseline'!$S$11:$S$258)</f>
        <v>0</v>
      </c>
      <c r="H71" s="111">
        <f>SUMIF('A-1 Site Habitat Baseline'!$G$11:$G$258,'G-2 Habitat groups'!A71,'A-1 Site Habitat Baseline'!$U$11:$U$258)</f>
        <v>0</v>
      </c>
      <c r="I71" s="111">
        <f>SUMIF('A-1 Site Habitat Baseline'!$G$11:$G$258,'G-2 Habitat groups'!A71,'A-1 Site Habitat Baseline'!$W$11:$W$258)</f>
        <v>1.7100000000000001E-2</v>
      </c>
      <c r="J71" s="111">
        <f>SUMIF('A-1 Site Habitat Baseline'!$G$11:$G$258,'G-2 Habitat groups'!A71,'A-1 Site Habitat Baseline'!$X$11:$X$258)</f>
        <v>3.4200000000000001E-2</v>
      </c>
      <c r="K71" s="111">
        <f>SUMIF('A-2 Site Habitat Creation'!$F$11:$F$256,'G-2 Habitat groups'!A71,'A-2 Site Habitat Creation'!$G$11:$G$256)</f>
        <v>0</v>
      </c>
      <c r="L71" s="111">
        <f>SUMIF('A-2 Site Habitat Creation'!$F$11:$F$256,'G-2 Habitat groups'!A71,'A-2 Site Habitat Creation'!$Y$11:$Y$256)</f>
        <v>0</v>
      </c>
      <c r="M71" s="111">
        <f>SUMIF('A-3 Site Habitat Enhancement'!$S$12:$S$257,'G-2 Habitat groups'!A71,'A-3 Site Habitat Enhancement'!$V$12:$V$257)</f>
        <v>0</v>
      </c>
      <c r="N71" s="111">
        <f>SUMIF('A-3 Site Habitat Enhancement'!$S$12:$S$257,'G-2 Habitat groups'!A71,'A-3 Site Habitat Enhancement'!$AN$12:$AN$257)</f>
        <v>0</v>
      </c>
      <c r="O71" s="111">
        <f t="shared" si="53"/>
        <v>0</v>
      </c>
      <c r="P71" s="111">
        <f t="shared" si="54"/>
        <v>0</v>
      </c>
      <c r="Q71" s="111">
        <f t="shared" si="55"/>
        <v>-1.7100000000000001E-2</v>
      </c>
      <c r="R71" s="111">
        <f t="shared" si="56"/>
        <v>-3.4200000000000001E-2</v>
      </c>
      <c r="S71" s="111">
        <f>IF(C71="V.High",SUMIF('D-1 Off Site Habitat Baseline'!$G$11:$G$258,'G-2 Habitat groups'!A71,'D-1 Off Site Habitat Baseline'!$S$11:$S$258)+SUMIF('D-1 Off Site Habitat Baseline'!$G$11:$G$258,'G-2 Habitat groups'!A71,'D-1 Off Site Habitat Baseline'!$T$11:$T$258),SUMIF('D-1 Off Site Habitat Baseline'!$G$11:$G$258,'G-2 Habitat groups'!A71,'D-1 Off Site Habitat Baseline'!$H$11:$H$258))</f>
        <v>0</v>
      </c>
      <c r="T71" s="111">
        <f>SUMIF('D-1 Off Site Habitat Baseline'!$G$11:$G$258,'G-2 Habitat groups'!A71,'D-1 Off Site Habitat Baseline'!$Q$11:$Q$258)</f>
        <v>0</v>
      </c>
      <c r="U71" s="513">
        <f>SUMIF('D-1 Off Site Habitat Baseline'!$G$11:$G$258,'G-2 Habitat groups'!A71,'D-1 Off Site Habitat Baseline'!$S$11:$S$258)</f>
        <v>0</v>
      </c>
      <c r="V71" s="111">
        <f>SUMIF('D-1 Off Site Habitat Baseline'!$G$11:$G$258,'G-2 Habitat groups'!A71,'D-1 Off Site Habitat Baseline'!$U$11:$U$258)</f>
        <v>0</v>
      </c>
      <c r="W71" s="111">
        <f>SUMIF('D-2 Off Site Habitat Creation'!$F$9:$F$255,'G-2 Habitat groups'!A71,'D-2 Off Site Habitat Creation'!$G$9:$G$255)</f>
        <v>0</v>
      </c>
      <c r="X71" s="111">
        <f>SUMIF('D-2 Off Site Habitat Creation'!$F$9:$F$255,'G-2 Habitat groups'!A71,'D-2 Off Site Habitat Creation'!$AA$9:$AA$255)</f>
        <v>0</v>
      </c>
      <c r="Y71" s="111">
        <f>SUMIF('D-3 Off Site Habitat Enhancment'!$S$12:$S$491,'G-2 Habitat groups'!A71,'D-3 Off Site Habitat Enhancment'!$V$12:$V$491)</f>
        <v>0</v>
      </c>
      <c r="Z71" s="111">
        <f>SUMIF('D-3 Off Site Habitat Enhancment'!$S$12:$S$491,'G-2 Habitat groups'!A71,'D-3 Off Site Habitat Enhancment'!$AP$12:$AP$491)</f>
        <v>0</v>
      </c>
      <c r="AA71" s="111">
        <f t="shared" si="57"/>
        <v>0</v>
      </c>
      <c r="AB71" s="111">
        <f t="shared" si="58"/>
        <v>0</v>
      </c>
      <c r="AC71" s="111">
        <f t="shared" si="59"/>
        <v>0</v>
      </c>
      <c r="AD71" s="111">
        <f t="shared" si="60"/>
        <v>0</v>
      </c>
      <c r="AE71" s="111">
        <f t="shared" si="61"/>
        <v>-1.7100000000000001E-2</v>
      </c>
      <c r="AF71" s="111">
        <f t="shared" si="62"/>
        <v>-3.4200000000000001E-2</v>
      </c>
      <c r="AU71" s="130" t="s">
        <v>1166</v>
      </c>
      <c r="AV71" s="100" t="s">
        <v>1105</v>
      </c>
      <c r="AW71" s="111">
        <f t="shared" si="33"/>
        <v>0</v>
      </c>
      <c r="AX71" s="111">
        <f t="shared" si="34"/>
        <v>0</v>
      </c>
      <c r="AY71" s="111">
        <f t="shared" si="35"/>
        <v>0</v>
      </c>
      <c r="AZ71" s="111">
        <f t="shared" si="36"/>
        <v>0</v>
      </c>
      <c r="BA71" s="111">
        <f t="shared" si="37"/>
        <v>0</v>
      </c>
      <c r="BB71" s="111">
        <f t="shared" si="38"/>
        <v>0</v>
      </c>
      <c r="BC71" s="111">
        <f t="shared" si="39"/>
        <v>0</v>
      </c>
      <c r="BD71" s="111">
        <f t="shared" si="40"/>
        <v>0</v>
      </c>
      <c r="BE71" s="111">
        <f t="shared" si="41"/>
        <v>0</v>
      </c>
      <c r="BF71" s="111" t="str">
        <f t="shared" si="42"/>
        <v/>
      </c>
    </row>
    <row r="72" spans="1:59" x14ac:dyDescent="0.25">
      <c r="A72" s="129" t="str">
        <f>'G-1 All Habitats'!B71</f>
        <v>Urban - Open Mosaic Habitats on Previously Developed Land</v>
      </c>
      <c r="B72" s="100" t="str">
        <f>'G-1 All Habitats'!F71</f>
        <v>Urban</v>
      </c>
      <c r="C72" s="100" t="str">
        <f>'G-1 All Habitats'!K71</f>
        <v>High</v>
      </c>
      <c r="D72" s="100" t="str">
        <f>'G-1 All Habitats'!M71</f>
        <v>Same habitat required</v>
      </c>
      <c r="E72" s="111">
        <f>IF(C72="V.High",SUMIF('A-1 Site Habitat Baseline'!$G$11:$G$258,'G-2 Habitat groups'!A72,'A-1 Site Habitat Baseline'!$S$11:$S$258)+SUMIF('A-1 Site Habitat Baseline'!$G$11:$G$258,'G-2 Habitat groups'!A72,'A-1 Site Habitat Baseline'!$T$11:$T$258),SUMIF('A-1 Site Habitat Baseline'!$G$11:$G$258,'G-2 Habitat groups'!A72,'A-1 Site Habitat Baseline'!$H$11:$H$258))</f>
        <v>0</v>
      </c>
      <c r="F72" s="111">
        <f>SUMIF('A-1 Site Habitat Baseline'!$G$11:$G$258,'G-2 Habitat groups'!A72,'A-1 Site Habitat Baseline'!$Q$11:$Q$258)</f>
        <v>0</v>
      </c>
      <c r="G72" s="111">
        <f>SUMIF('A-1 Site Habitat Baseline'!$G$11:$G$258,'G-2 Habitat groups'!A72,'A-1 Site Habitat Baseline'!$S$11:$S$258)</f>
        <v>0</v>
      </c>
      <c r="H72" s="111">
        <f>SUMIF('A-1 Site Habitat Baseline'!$G$11:$G$258,'G-2 Habitat groups'!A72,'A-1 Site Habitat Baseline'!$U$11:$U$258)</f>
        <v>0</v>
      </c>
      <c r="I72" s="111">
        <f>SUMIF('A-1 Site Habitat Baseline'!$G$11:$G$258,'G-2 Habitat groups'!A72,'A-1 Site Habitat Baseline'!$W$11:$W$258)</f>
        <v>0</v>
      </c>
      <c r="J72" s="111">
        <f>SUMIF('A-1 Site Habitat Baseline'!$G$11:$G$258,'G-2 Habitat groups'!A72,'A-1 Site Habitat Baseline'!$X$11:$X$258)</f>
        <v>0</v>
      </c>
      <c r="K72" s="111">
        <f>SUMIF('A-2 Site Habitat Creation'!$F$11:$F$256,'G-2 Habitat groups'!A72,'A-2 Site Habitat Creation'!$G$11:$G$256)</f>
        <v>0</v>
      </c>
      <c r="L72" s="111">
        <f>SUMIF('A-2 Site Habitat Creation'!$F$11:$F$256,'G-2 Habitat groups'!A72,'A-2 Site Habitat Creation'!$Y$11:$Y$256)</f>
        <v>0</v>
      </c>
      <c r="M72" s="111">
        <f>SUMIF('A-3 Site Habitat Enhancement'!$S$12:$S$257,'G-2 Habitat groups'!A72,'A-3 Site Habitat Enhancement'!$V$12:$V$257)</f>
        <v>0</v>
      </c>
      <c r="N72" s="111">
        <f>SUMIF('A-3 Site Habitat Enhancement'!$S$12:$S$257,'G-2 Habitat groups'!A72,'A-3 Site Habitat Enhancement'!$AN$12:$AN$257)</f>
        <v>0</v>
      </c>
      <c r="O72" s="111">
        <f t="shared" si="53"/>
        <v>0</v>
      </c>
      <c r="P72" s="111">
        <f t="shared" si="54"/>
        <v>0</v>
      </c>
      <c r="Q72" s="111">
        <f t="shared" si="55"/>
        <v>0</v>
      </c>
      <c r="R72" s="111">
        <f t="shared" si="56"/>
        <v>0</v>
      </c>
      <c r="S72" s="111">
        <f>IF(C72="V.High",SUMIF('D-1 Off Site Habitat Baseline'!$G$11:$G$258,'G-2 Habitat groups'!A72,'D-1 Off Site Habitat Baseline'!$S$11:$S$258)+SUMIF('D-1 Off Site Habitat Baseline'!$G$11:$G$258,'G-2 Habitat groups'!A72,'D-1 Off Site Habitat Baseline'!$T$11:$T$258),SUMIF('D-1 Off Site Habitat Baseline'!$G$11:$G$258,'G-2 Habitat groups'!A72,'D-1 Off Site Habitat Baseline'!$H$11:$H$258))</f>
        <v>0</v>
      </c>
      <c r="T72" s="111">
        <f>SUMIF('D-1 Off Site Habitat Baseline'!$G$11:$G$258,'G-2 Habitat groups'!A72,'D-1 Off Site Habitat Baseline'!$Q$11:$Q$258)</f>
        <v>0</v>
      </c>
      <c r="U72" s="513">
        <f>SUMIF('D-1 Off Site Habitat Baseline'!$G$11:$G$258,'G-2 Habitat groups'!A72,'D-1 Off Site Habitat Baseline'!$S$11:$S$258)</f>
        <v>0</v>
      </c>
      <c r="V72" s="111">
        <f>SUMIF('D-1 Off Site Habitat Baseline'!$G$11:$G$258,'G-2 Habitat groups'!A72,'D-1 Off Site Habitat Baseline'!$U$11:$U$258)</f>
        <v>0</v>
      </c>
      <c r="W72" s="111">
        <f>SUMIF('D-2 Off Site Habitat Creation'!$F$9:$F$255,'G-2 Habitat groups'!A72,'D-2 Off Site Habitat Creation'!$G$9:$G$255)</f>
        <v>0</v>
      </c>
      <c r="X72" s="111">
        <f>SUMIF('D-2 Off Site Habitat Creation'!$F$9:$F$255,'G-2 Habitat groups'!A72,'D-2 Off Site Habitat Creation'!$AA$9:$AA$255)</f>
        <v>0</v>
      </c>
      <c r="Y72" s="111">
        <f>SUMIF('D-3 Off Site Habitat Enhancment'!$S$12:$S$491,'G-2 Habitat groups'!A72,'D-3 Off Site Habitat Enhancment'!$V$12:$V$491)</f>
        <v>0</v>
      </c>
      <c r="Z72" s="111">
        <f>SUMIF('D-3 Off Site Habitat Enhancment'!$S$12:$S$491,'G-2 Habitat groups'!A72,'D-3 Off Site Habitat Enhancment'!$AP$12:$AP$491)</f>
        <v>0</v>
      </c>
      <c r="AA72" s="111">
        <f t="shared" si="57"/>
        <v>0</v>
      </c>
      <c r="AB72" s="111">
        <f t="shared" si="58"/>
        <v>0</v>
      </c>
      <c r="AC72" s="111">
        <f t="shared" si="59"/>
        <v>0</v>
      </c>
      <c r="AD72" s="111">
        <f t="shared" si="60"/>
        <v>0</v>
      </c>
      <c r="AE72" s="111">
        <f t="shared" si="61"/>
        <v>0</v>
      </c>
      <c r="AF72" s="111">
        <f t="shared" si="62"/>
        <v>0</v>
      </c>
    </row>
    <row r="73" spans="1:59" x14ac:dyDescent="0.25">
      <c r="A73" s="129" t="str">
        <f>'G-1 All Habitats'!B72</f>
        <v>Urban - Rain garden</v>
      </c>
      <c r="B73" s="100" t="str">
        <f>'G-1 All Habitats'!F72</f>
        <v>Urban</v>
      </c>
      <c r="C73" s="100" t="str">
        <f>'G-1 All Habitats'!K72</f>
        <v>Low</v>
      </c>
      <c r="D73" s="100" t="str">
        <f>'G-1 All Habitats'!M72</f>
        <v>Same distinctiveness or better habitat required</v>
      </c>
      <c r="E73" s="111">
        <f>IF(C73="V.High",SUMIF('A-1 Site Habitat Baseline'!$G$11:$G$258,'G-2 Habitat groups'!A73,'A-1 Site Habitat Baseline'!$S$11:$S$258)+SUMIF('A-1 Site Habitat Baseline'!$G$11:$G$258,'G-2 Habitat groups'!A73,'A-1 Site Habitat Baseline'!$T$11:$T$258),SUMIF('A-1 Site Habitat Baseline'!$G$11:$G$258,'G-2 Habitat groups'!A73,'A-1 Site Habitat Baseline'!$H$11:$H$258))</f>
        <v>0</v>
      </c>
      <c r="F73" s="111">
        <f>SUMIF('A-1 Site Habitat Baseline'!$G$11:$G$258,'G-2 Habitat groups'!A73,'A-1 Site Habitat Baseline'!$Q$11:$Q$258)</f>
        <v>0</v>
      </c>
      <c r="G73" s="111">
        <f>SUMIF('A-1 Site Habitat Baseline'!$G$11:$G$258,'G-2 Habitat groups'!A73,'A-1 Site Habitat Baseline'!$S$11:$S$258)</f>
        <v>0</v>
      </c>
      <c r="H73" s="111">
        <f>SUMIF('A-1 Site Habitat Baseline'!$G$11:$G$258,'G-2 Habitat groups'!A73,'A-1 Site Habitat Baseline'!$U$11:$U$258)</f>
        <v>0</v>
      </c>
      <c r="I73" s="111">
        <f>SUMIF('A-1 Site Habitat Baseline'!$G$11:$G$258,'G-2 Habitat groups'!A73,'A-1 Site Habitat Baseline'!$W$11:$W$258)</f>
        <v>0</v>
      </c>
      <c r="J73" s="111">
        <f>SUMIF('A-1 Site Habitat Baseline'!$G$11:$G$258,'G-2 Habitat groups'!A73,'A-1 Site Habitat Baseline'!$X$11:$X$258)</f>
        <v>0</v>
      </c>
      <c r="K73" s="111">
        <f>SUMIF('A-2 Site Habitat Creation'!$F$11:$F$256,'G-2 Habitat groups'!A73,'A-2 Site Habitat Creation'!$G$11:$G$256)</f>
        <v>0</v>
      </c>
      <c r="L73" s="111">
        <f>SUMIF('A-2 Site Habitat Creation'!$F$11:$F$256,'G-2 Habitat groups'!A73,'A-2 Site Habitat Creation'!$Y$11:$Y$256)</f>
        <v>0</v>
      </c>
      <c r="M73" s="111">
        <f>SUMIF('A-3 Site Habitat Enhancement'!$S$12:$S$257,'G-2 Habitat groups'!A73,'A-3 Site Habitat Enhancement'!$V$12:$V$257)</f>
        <v>0</v>
      </c>
      <c r="N73" s="111">
        <f>SUMIF('A-3 Site Habitat Enhancement'!$S$12:$S$257,'G-2 Habitat groups'!A73,'A-3 Site Habitat Enhancement'!$AN$12:$AN$257)</f>
        <v>0</v>
      </c>
      <c r="O73" s="111">
        <f t="shared" si="53"/>
        <v>0</v>
      </c>
      <c r="P73" s="111">
        <f t="shared" si="54"/>
        <v>0</v>
      </c>
      <c r="Q73" s="111">
        <f t="shared" si="55"/>
        <v>0</v>
      </c>
      <c r="R73" s="111">
        <f t="shared" si="56"/>
        <v>0</v>
      </c>
      <c r="S73" s="111">
        <f>IF(C73="V.High",SUMIF('D-1 Off Site Habitat Baseline'!$G$11:$G$258,'G-2 Habitat groups'!A73,'D-1 Off Site Habitat Baseline'!$S$11:$S$258)+SUMIF('D-1 Off Site Habitat Baseline'!$G$11:$G$258,'G-2 Habitat groups'!A73,'D-1 Off Site Habitat Baseline'!$T$11:$T$258),SUMIF('D-1 Off Site Habitat Baseline'!$G$11:$G$258,'G-2 Habitat groups'!A73,'D-1 Off Site Habitat Baseline'!$H$11:$H$258))</f>
        <v>0</v>
      </c>
      <c r="T73" s="111">
        <f>SUMIF('D-1 Off Site Habitat Baseline'!$G$11:$G$258,'G-2 Habitat groups'!A73,'D-1 Off Site Habitat Baseline'!$Q$11:$Q$258)</f>
        <v>0</v>
      </c>
      <c r="U73" s="513">
        <f>SUMIF('D-1 Off Site Habitat Baseline'!$G$11:$G$258,'G-2 Habitat groups'!A73,'D-1 Off Site Habitat Baseline'!$S$11:$S$258)</f>
        <v>0</v>
      </c>
      <c r="V73" s="111">
        <f>SUMIF('D-1 Off Site Habitat Baseline'!$G$11:$G$258,'G-2 Habitat groups'!A73,'D-1 Off Site Habitat Baseline'!$U$11:$U$258)</f>
        <v>0</v>
      </c>
      <c r="W73" s="111">
        <f>SUMIF('D-2 Off Site Habitat Creation'!$F$9:$F$255,'G-2 Habitat groups'!A73,'D-2 Off Site Habitat Creation'!$G$9:$G$255)</f>
        <v>0</v>
      </c>
      <c r="X73" s="111">
        <f>SUMIF('D-2 Off Site Habitat Creation'!$F$9:$F$255,'G-2 Habitat groups'!A73,'D-2 Off Site Habitat Creation'!$AA$9:$AA$255)</f>
        <v>0</v>
      </c>
      <c r="Y73" s="111">
        <f>SUMIF('D-3 Off Site Habitat Enhancment'!$S$12:$S$491,'G-2 Habitat groups'!A73,'D-3 Off Site Habitat Enhancment'!$V$12:$V$491)</f>
        <v>0</v>
      </c>
      <c r="Z73" s="111">
        <f>SUMIF('D-3 Off Site Habitat Enhancment'!$S$12:$S$491,'G-2 Habitat groups'!A73,'D-3 Off Site Habitat Enhancment'!$AP$12:$AP$491)</f>
        <v>0</v>
      </c>
      <c r="AA73" s="111">
        <f t="shared" si="57"/>
        <v>0</v>
      </c>
      <c r="AB73" s="111">
        <f t="shared" si="58"/>
        <v>0</v>
      </c>
      <c r="AC73" s="111">
        <f t="shared" si="59"/>
        <v>0</v>
      </c>
      <c r="AD73" s="111">
        <f t="shared" si="60"/>
        <v>0</v>
      </c>
      <c r="AE73" s="111">
        <f t="shared" si="61"/>
        <v>0</v>
      </c>
      <c r="AF73" s="111">
        <f t="shared" si="62"/>
        <v>0</v>
      </c>
    </row>
    <row r="74" spans="1:59" x14ac:dyDescent="0.25">
      <c r="A74" s="129" t="str">
        <f>'G-1 All Habitats'!B73</f>
        <v>Urban - Sand pit quarry or open cast mine</v>
      </c>
      <c r="B74" s="100" t="str">
        <f>'G-1 All Habitats'!F73</f>
        <v>Urban</v>
      </c>
      <c r="C74" s="100" t="str">
        <f>'G-1 All Habitats'!K73</f>
        <v>Low</v>
      </c>
      <c r="D74" s="100" t="str">
        <f>'G-1 All Habitats'!M73</f>
        <v>Same distinctiveness or better habitat required</v>
      </c>
      <c r="E74" s="111">
        <f>IF(C74="V.High",SUMIF('A-1 Site Habitat Baseline'!$G$11:$G$258,'G-2 Habitat groups'!A74,'A-1 Site Habitat Baseline'!$S$11:$S$258)+SUMIF('A-1 Site Habitat Baseline'!$G$11:$G$258,'G-2 Habitat groups'!A74,'A-1 Site Habitat Baseline'!$T$11:$T$258),SUMIF('A-1 Site Habitat Baseline'!$G$11:$G$258,'G-2 Habitat groups'!A74,'A-1 Site Habitat Baseline'!$H$11:$H$258))</f>
        <v>0</v>
      </c>
      <c r="F74" s="111">
        <f>SUMIF('A-1 Site Habitat Baseline'!$G$11:$G$258,'G-2 Habitat groups'!A74,'A-1 Site Habitat Baseline'!$Q$11:$Q$258)</f>
        <v>0</v>
      </c>
      <c r="G74" s="111">
        <f>SUMIF('A-1 Site Habitat Baseline'!$G$11:$G$258,'G-2 Habitat groups'!A74,'A-1 Site Habitat Baseline'!$S$11:$S$258)</f>
        <v>0</v>
      </c>
      <c r="H74" s="111">
        <f>SUMIF('A-1 Site Habitat Baseline'!$G$11:$G$258,'G-2 Habitat groups'!A74,'A-1 Site Habitat Baseline'!$U$11:$U$258)</f>
        <v>0</v>
      </c>
      <c r="I74" s="111">
        <f>SUMIF('A-1 Site Habitat Baseline'!$G$11:$G$258,'G-2 Habitat groups'!A74,'A-1 Site Habitat Baseline'!$W$11:$W$258)</f>
        <v>0</v>
      </c>
      <c r="J74" s="111">
        <f>SUMIF('A-1 Site Habitat Baseline'!$G$11:$G$258,'G-2 Habitat groups'!A74,'A-1 Site Habitat Baseline'!$X$11:$X$258)</f>
        <v>0</v>
      </c>
      <c r="K74" s="111">
        <f>SUMIF('A-2 Site Habitat Creation'!$F$11:$F$256,'G-2 Habitat groups'!A74,'A-2 Site Habitat Creation'!$G$11:$G$256)</f>
        <v>0</v>
      </c>
      <c r="L74" s="111">
        <f>SUMIF('A-2 Site Habitat Creation'!$F$11:$F$256,'G-2 Habitat groups'!A74,'A-2 Site Habitat Creation'!$Y$11:$Y$256)</f>
        <v>0</v>
      </c>
      <c r="M74" s="111">
        <f>SUMIF('A-3 Site Habitat Enhancement'!$S$12:$S$257,'G-2 Habitat groups'!A74,'A-3 Site Habitat Enhancement'!$V$12:$V$257)</f>
        <v>0</v>
      </c>
      <c r="N74" s="111">
        <f>SUMIF('A-3 Site Habitat Enhancement'!$S$12:$S$257,'G-2 Habitat groups'!A74,'A-3 Site Habitat Enhancement'!$AN$12:$AN$257)</f>
        <v>0</v>
      </c>
      <c r="O74" s="111">
        <f t="shared" si="53"/>
        <v>0</v>
      </c>
      <c r="P74" s="111">
        <f t="shared" si="54"/>
        <v>0</v>
      </c>
      <c r="Q74" s="111">
        <f t="shared" si="55"/>
        <v>0</v>
      </c>
      <c r="R74" s="111">
        <f t="shared" si="56"/>
        <v>0</v>
      </c>
      <c r="S74" s="111">
        <f>IF(C74="V.High",SUMIF('D-1 Off Site Habitat Baseline'!$G$11:$G$258,'G-2 Habitat groups'!A74,'D-1 Off Site Habitat Baseline'!$S$11:$S$258)+SUMIF('D-1 Off Site Habitat Baseline'!$G$11:$G$258,'G-2 Habitat groups'!A74,'D-1 Off Site Habitat Baseline'!$T$11:$T$258),SUMIF('D-1 Off Site Habitat Baseline'!$G$11:$G$258,'G-2 Habitat groups'!A74,'D-1 Off Site Habitat Baseline'!$H$11:$H$258))</f>
        <v>0</v>
      </c>
      <c r="T74" s="111">
        <f>SUMIF('D-1 Off Site Habitat Baseline'!$G$11:$G$258,'G-2 Habitat groups'!A74,'D-1 Off Site Habitat Baseline'!$Q$11:$Q$258)</f>
        <v>0</v>
      </c>
      <c r="U74" s="513">
        <f>SUMIF('D-1 Off Site Habitat Baseline'!$G$11:$G$258,'G-2 Habitat groups'!A74,'D-1 Off Site Habitat Baseline'!$S$11:$S$258)</f>
        <v>0</v>
      </c>
      <c r="V74" s="111">
        <f>SUMIF('D-1 Off Site Habitat Baseline'!$G$11:$G$258,'G-2 Habitat groups'!A74,'D-1 Off Site Habitat Baseline'!$U$11:$U$258)</f>
        <v>0</v>
      </c>
      <c r="W74" s="111">
        <f>SUMIF('D-2 Off Site Habitat Creation'!$F$9:$F$255,'G-2 Habitat groups'!A74,'D-2 Off Site Habitat Creation'!$G$9:$G$255)</f>
        <v>0</v>
      </c>
      <c r="X74" s="111">
        <f>SUMIF('D-2 Off Site Habitat Creation'!$F$9:$F$255,'G-2 Habitat groups'!A74,'D-2 Off Site Habitat Creation'!$AA$9:$AA$255)</f>
        <v>0</v>
      </c>
      <c r="Y74" s="111">
        <f>SUMIF('D-3 Off Site Habitat Enhancment'!$S$12:$S$491,'G-2 Habitat groups'!A74,'D-3 Off Site Habitat Enhancment'!$V$12:$V$491)</f>
        <v>0</v>
      </c>
      <c r="Z74" s="111">
        <f>SUMIF('D-3 Off Site Habitat Enhancment'!$S$12:$S$491,'G-2 Habitat groups'!A74,'D-3 Off Site Habitat Enhancment'!$AP$12:$AP$491)</f>
        <v>0</v>
      </c>
      <c r="AA74" s="111">
        <f t="shared" si="57"/>
        <v>0</v>
      </c>
      <c r="AB74" s="111">
        <f t="shared" si="58"/>
        <v>0</v>
      </c>
      <c r="AC74" s="111">
        <f t="shared" si="59"/>
        <v>0</v>
      </c>
      <c r="AD74" s="111">
        <f t="shared" si="60"/>
        <v>0</v>
      </c>
      <c r="AE74" s="111">
        <f t="shared" si="61"/>
        <v>0</v>
      </c>
      <c r="AF74" s="111">
        <f t="shared" si="62"/>
        <v>0</v>
      </c>
    </row>
    <row r="75" spans="1:59" x14ac:dyDescent="0.25">
      <c r="A75" s="129" t="str">
        <f>'G-1 All Habitats'!B74</f>
        <v>Urban - Urban Tree</v>
      </c>
      <c r="B75" s="100" t="str">
        <f>'G-1 All Habitats'!F74</f>
        <v>Urban</v>
      </c>
      <c r="C75" s="100" t="str">
        <f>'G-1 All Habitats'!K74</f>
        <v>Medium</v>
      </c>
      <c r="D75" s="100" t="str">
        <f>'G-1 All Habitats'!M74</f>
        <v>Same broad habitat or a higher distinctiveness habitat required</v>
      </c>
      <c r="E75" s="111">
        <f>IF(C75="V.High",SUMIF('A-1 Site Habitat Baseline'!$G$11:$G$258,'G-2 Habitat groups'!A75,'A-1 Site Habitat Baseline'!$S$11:$S$258)+SUMIF('A-1 Site Habitat Baseline'!$G$11:$G$258,'G-2 Habitat groups'!A75,'A-1 Site Habitat Baseline'!$T$11:$T$258),SUMIF('A-1 Site Habitat Baseline'!$G$11:$G$258,'G-2 Habitat groups'!A75,'A-1 Site Habitat Baseline'!$H$11:$H$258))</f>
        <v>0.12429999999999999</v>
      </c>
      <c r="F75" s="111">
        <f>SUMIF('A-1 Site Habitat Baseline'!$G$11:$G$258,'G-2 Habitat groups'!A75,'A-1 Site Habitat Baseline'!$Q$11:$Q$258)</f>
        <v>0.49719999999999998</v>
      </c>
      <c r="G75" s="111">
        <f>SUMIF('A-1 Site Habitat Baseline'!$G$11:$G$258,'G-2 Habitat groups'!A75,'A-1 Site Habitat Baseline'!$S$11:$S$258)</f>
        <v>8.8999999999999996E-2</v>
      </c>
      <c r="H75" s="111">
        <f>SUMIF('A-1 Site Habitat Baseline'!$G$11:$G$258,'G-2 Habitat groups'!A75,'A-1 Site Habitat Baseline'!$U$11:$U$258)</f>
        <v>0.35599999999999998</v>
      </c>
      <c r="I75" s="111">
        <f>SUMIF('A-1 Site Habitat Baseline'!$G$11:$G$258,'G-2 Habitat groups'!A75,'A-1 Site Habitat Baseline'!$W$11:$W$258)</f>
        <v>3.5299999999999998E-2</v>
      </c>
      <c r="J75" s="111">
        <f>SUMIF('A-1 Site Habitat Baseline'!$G$11:$G$258,'G-2 Habitat groups'!A75,'A-1 Site Habitat Baseline'!$X$11:$X$258)</f>
        <v>0.14119999999999999</v>
      </c>
      <c r="K75" s="111">
        <f>SUMIF('A-2 Site Habitat Creation'!$F$11:$F$256,'G-2 Habitat groups'!A75,'A-2 Site Habitat Creation'!$G$11:$G$256)</f>
        <v>0.1067</v>
      </c>
      <c r="L75" s="111">
        <f>SUMIF('A-2 Site Habitat Creation'!$F$11:$F$256,'G-2 Habitat groups'!A75,'A-2 Site Habitat Creation'!$Y$11:$Y$256)</f>
        <v>0.29888047462855993</v>
      </c>
      <c r="M75" s="111">
        <f>SUMIF('A-3 Site Habitat Enhancement'!$S$12:$S$257,'G-2 Habitat groups'!A75,'A-3 Site Habitat Enhancement'!$V$12:$V$257)</f>
        <v>0</v>
      </c>
      <c r="N75" s="111">
        <f>SUMIF('A-3 Site Habitat Enhancement'!$S$12:$S$257,'G-2 Habitat groups'!A75,'A-3 Site Habitat Enhancement'!$AN$12:$AN$257)</f>
        <v>0</v>
      </c>
      <c r="O75" s="111">
        <f t="shared" si="53"/>
        <v>0.19569999999999999</v>
      </c>
      <c r="P75" s="111">
        <f t="shared" si="54"/>
        <v>0.65488047462855992</v>
      </c>
      <c r="Q75" s="111">
        <f t="shared" si="55"/>
        <v>7.1399999999999991E-2</v>
      </c>
      <c r="R75" s="111">
        <f t="shared" si="56"/>
        <v>0.15768047462855994</v>
      </c>
      <c r="S75" s="111">
        <f>IF(C75="V.High",SUMIF('D-1 Off Site Habitat Baseline'!$G$11:$G$258,'G-2 Habitat groups'!A75,'D-1 Off Site Habitat Baseline'!$S$11:$S$258)+SUMIF('D-1 Off Site Habitat Baseline'!$G$11:$G$258,'G-2 Habitat groups'!A75,'D-1 Off Site Habitat Baseline'!$T$11:$T$258),SUMIF('D-1 Off Site Habitat Baseline'!$G$11:$G$258,'G-2 Habitat groups'!A75,'D-1 Off Site Habitat Baseline'!$H$11:$H$258))</f>
        <v>0</v>
      </c>
      <c r="T75" s="111">
        <f>SUMIF('D-1 Off Site Habitat Baseline'!$G$11:$G$258,'G-2 Habitat groups'!A75,'D-1 Off Site Habitat Baseline'!$Q$11:$Q$258)</f>
        <v>0</v>
      </c>
      <c r="U75" s="513">
        <f>SUMIF('D-1 Off Site Habitat Baseline'!$G$11:$G$258,'G-2 Habitat groups'!A75,'D-1 Off Site Habitat Baseline'!$S$11:$S$258)</f>
        <v>0</v>
      </c>
      <c r="V75" s="111">
        <f>SUMIF('D-1 Off Site Habitat Baseline'!$G$11:$G$258,'G-2 Habitat groups'!A75,'D-1 Off Site Habitat Baseline'!$U$11:$U$258)</f>
        <v>0</v>
      </c>
      <c r="W75" s="111">
        <f>SUMIF('D-2 Off Site Habitat Creation'!$F$9:$F$255,'G-2 Habitat groups'!A75,'D-2 Off Site Habitat Creation'!$G$9:$G$255)</f>
        <v>0</v>
      </c>
      <c r="X75" s="111">
        <f>SUMIF('D-2 Off Site Habitat Creation'!$F$9:$F$255,'G-2 Habitat groups'!A75,'D-2 Off Site Habitat Creation'!$AA$9:$AA$255)</f>
        <v>0</v>
      </c>
      <c r="Y75" s="111">
        <f>SUMIF('D-3 Off Site Habitat Enhancment'!$S$12:$S$491,'G-2 Habitat groups'!A75,'D-3 Off Site Habitat Enhancment'!$V$12:$V$491)</f>
        <v>0</v>
      </c>
      <c r="Z75" s="111">
        <f>SUMIF('D-3 Off Site Habitat Enhancment'!$S$12:$S$491,'G-2 Habitat groups'!A75,'D-3 Off Site Habitat Enhancment'!$AP$12:$AP$491)</f>
        <v>0</v>
      </c>
      <c r="AA75" s="111">
        <f t="shared" si="57"/>
        <v>0</v>
      </c>
      <c r="AB75" s="111">
        <f t="shared" si="58"/>
        <v>0</v>
      </c>
      <c r="AC75" s="111">
        <f t="shared" si="59"/>
        <v>0</v>
      </c>
      <c r="AD75" s="111">
        <f t="shared" si="60"/>
        <v>0</v>
      </c>
      <c r="AE75" s="111">
        <f t="shared" si="61"/>
        <v>7.1399999999999991E-2</v>
      </c>
      <c r="AF75" s="111">
        <f t="shared" si="62"/>
        <v>0.15768047462855994</v>
      </c>
    </row>
    <row r="76" spans="1:59" ht="35.4" x14ac:dyDescent="0.6">
      <c r="A76" s="129" t="str">
        <f>'G-1 All Habitats'!B75</f>
        <v>Urban - Sustainable urban drainage feature</v>
      </c>
      <c r="B76" s="100" t="str">
        <f>'G-1 All Habitats'!F75</f>
        <v>Urban</v>
      </c>
      <c r="C76" s="100" t="str">
        <f>'G-1 All Habitats'!K75</f>
        <v>Low</v>
      </c>
      <c r="D76" s="100" t="str">
        <f>'G-1 All Habitats'!M75</f>
        <v>Same distinctiveness or better habitat required</v>
      </c>
      <c r="E76" s="111">
        <f>IF(C76="V.High",SUMIF('A-1 Site Habitat Baseline'!$G$11:$G$258,'G-2 Habitat groups'!A76,'A-1 Site Habitat Baseline'!$S$11:$S$258)+SUMIF('A-1 Site Habitat Baseline'!$G$11:$G$258,'G-2 Habitat groups'!A76,'A-1 Site Habitat Baseline'!$T$11:$T$258),SUMIF('A-1 Site Habitat Baseline'!$G$11:$G$258,'G-2 Habitat groups'!A76,'A-1 Site Habitat Baseline'!$H$11:$H$258))</f>
        <v>0</v>
      </c>
      <c r="F76" s="111">
        <f>SUMIF('A-1 Site Habitat Baseline'!$G$11:$G$258,'G-2 Habitat groups'!A76,'A-1 Site Habitat Baseline'!$Q$11:$Q$258)</f>
        <v>0</v>
      </c>
      <c r="G76" s="111">
        <f>SUMIF('A-1 Site Habitat Baseline'!$G$11:$G$258,'G-2 Habitat groups'!A76,'A-1 Site Habitat Baseline'!$S$11:$S$258)</f>
        <v>0</v>
      </c>
      <c r="H76" s="111">
        <f>SUMIF('A-1 Site Habitat Baseline'!$G$11:$G$258,'G-2 Habitat groups'!A76,'A-1 Site Habitat Baseline'!$U$11:$U$258)</f>
        <v>0</v>
      </c>
      <c r="I76" s="111">
        <f>SUMIF('A-1 Site Habitat Baseline'!$G$11:$G$258,'G-2 Habitat groups'!A76,'A-1 Site Habitat Baseline'!$W$11:$W$258)</f>
        <v>0</v>
      </c>
      <c r="J76" s="111">
        <f>SUMIF('A-1 Site Habitat Baseline'!$G$11:$G$258,'G-2 Habitat groups'!A76,'A-1 Site Habitat Baseline'!$X$11:$X$258)</f>
        <v>0</v>
      </c>
      <c r="K76" s="111">
        <f>SUMIF('A-2 Site Habitat Creation'!$F$11:$F$256,'G-2 Habitat groups'!A76,'A-2 Site Habitat Creation'!$G$11:$G$256)</f>
        <v>0</v>
      </c>
      <c r="L76" s="111">
        <f>SUMIF('A-2 Site Habitat Creation'!$F$11:$F$256,'G-2 Habitat groups'!A76,'A-2 Site Habitat Creation'!$Y$11:$Y$256)</f>
        <v>0</v>
      </c>
      <c r="M76" s="111">
        <f>SUMIF('A-3 Site Habitat Enhancement'!$S$12:$S$257,'G-2 Habitat groups'!A76,'A-3 Site Habitat Enhancement'!$V$12:$V$257)</f>
        <v>0</v>
      </c>
      <c r="N76" s="111">
        <f>SUMIF('A-3 Site Habitat Enhancement'!$S$12:$S$257,'G-2 Habitat groups'!A76,'A-3 Site Habitat Enhancement'!$AN$12:$AN$257)</f>
        <v>0</v>
      </c>
      <c r="O76" s="111">
        <f t="shared" si="53"/>
        <v>0</v>
      </c>
      <c r="P76" s="111">
        <f t="shared" si="54"/>
        <v>0</v>
      </c>
      <c r="Q76" s="111">
        <f t="shared" si="55"/>
        <v>0</v>
      </c>
      <c r="R76" s="111">
        <f t="shared" si="56"/>
        <v>0</v>
      </c>
      <c r="S76" s="111">
        <f>IF(C76="V.High",SUMIF('D-1 Off Site Habitat Baseline'!$G$11:$G$258,'G-2 Habitat groups'!A76,'D-1 Off Site Habitat Baseline'!$S$11:$S$258)+SUMIF('D-1 Off Site Habitat Baseline'!$G$11:$G$258,'G-2 Habitat groups'!A76,'D-1 Off Site Habitat Baseline'!$T$11:$T$258),SUMIF('D-1 Off Site Habitat Baseline'!$G$11:$G$258,'G-2 Habitat groups'!A76,'D-1 Off Site Habitat Baseline'!$H$11:$H$258))</f>
        <v>0</v>
      </c>
      <c r="T76" s="111">
        <f>SUMIF('D-1 Off Site Habitat Baseline'!$G$11:$G$258,'G-2 Habitat groups'!A76,'D-1 Off Site Habitat Baseline'!$Q$11:$Q$258)</f>
        <v>0</v>
      </c>
      <c r="U76" s="513">
        <f>SUMIF('D-1 Off Site Habitat Baseline'!$G$11:$G$258,'G-2 Habitat groups'!A76,'D-1 Off Site Habitat Baseline'!$S$11:$S$258)</f>
        <v>0</v>
      </c>
      <c r="V76" s="111">
        <f>SUMIF('D-1 Off Site Habitat Baseline'!$G$11:$G$258,'G-2 Habitat groups'!A76,'D-1 Off Site Habitat Baseline'!$U$11:$U$258)</f>
        <v>0</v>
      </c>
      <c r="W76" s="111">
        <f>SUMIF('D-2 Off Site Habitat Creation'!$F$9:$F$255,'G-2 Habitat groups'!A76,'D-2 Off Site Habitat Creation'!$G$9:$G$255)</f>
        <v>0</v>
      </c>
      <c r="X76" s="111">
        <f>SUMIF('D-2 Off Site Habitat Creation'!$F$9:$F$255,'G-2 Habitat groups'!A76,'D-2 Off Site Habitat Creation'!$AA$9:$AA$255)</f>
        <v>0</v>
      </c>
      <c r="Y76" s="111">
        <f>SUMIF('D-3 Off Site Habitat Enhancment'!$S$12:$S$491,'G-2 Habitat groups'!A76,'D-3 Off Site Habitat Enhancment'!$V$12:$V$491)</f>
        <v>0</v>
      </c>
      <c r="Z76" s="111">
        <f>SUMIF('D-3 Off Site Habitat Enhancment'!$S$12:$S$491,'G-2 Habitat groups'!A76,'D-3 Off Site Habitat Enhancment'!$AP$12:$AP$491)</f>
        <v>0</v>
      </c>
      <c r="AA76" s="111">
        <f t="shared" si="57"/>
        <v>0</v>
      </c>
      <c r="AB76" s="111">
        <f t="shared" si="58"/>
        <v>0</v>
      </c>
      <c r="AC76" s="111">
        <f t="shared" si="59"/>
        <v>0</v>
      </c>
      <c r="AD76" s="111">
        <f t="shared" si="60"/>
        <v>0</v>
      </c>
      <c r="AE76" s="111">
        <f t="shared" si="61"/>
        <v>0</v>
      </c>
      <c r="AF76" s="111">
        <f t="shared" si="62"/>
        <v>0</v>
      </c>
      <c r="AU76" s="553" t="s">
        <v>6</v>
      </c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46"/>
    </row>
    <row r="77" spans="1:59" ht="33.75" customHeight="1" x14ac:dyDescent="0.3">
      <c r="A77" s="129" t="str">
        <f>'G-1 All Habitats'!B76</f>
        <v>Urban - Un-vegetated garden</v>
      </c>
      <c r="B77" s="100" t="str">
        <f>'G-1 All Habitats'!F76</f>
        <v>Urban</v>
      </c>
      <c r="C77" s="100" t="str">
        <f>'G-1 All Habitats'!K76</f>
        <v>V.Low</v>
      </c>
      <c r="D77" s="100" t="str">
        <f>'G-1 All Habitats'!M76</f>
        <v>Compensation Not Required</v>
      </c>
      <c r="E77" s="111">
        <f>IF(C77="V.High",SUMIF('A-1 Site Habitat Baseline'!$G$11:$G$258,'G-2 Habitat groups'!A77,'A-1 Site Habitat Baseline'!$S$11:$S$258)+SUMIF('A-1 Site Habitat Baseline'!$G$11:$G$258,'G-2 Habitat groups'!A77,'A-1 Site Habitat Baseline'!$T$11:$T$258),SUMIF('A-1 Site Habitat Baseline'!$G$11:$G$258,'G-2 Habitat groups'!A77,'A-1 Site Habitat Baseline'!$H$11:$H$258))</f>
        <v>0</v>
      </c>
      <c r="F77" s="111">
        <f>SUMIF('A-1 Site Habitat Baseline'!$G$11:$G$258,'G-2 Habitat groups'!A77,'A-1 Site Habitat Baseline'!$Q$11:$Q$258)</f>
        <v>0</v>
      </c>
      <c r="G77" s="111">
        <f>SUMIF('A-1 Site Habitat Baseline'!$G$11:$G$258,'G-2 Habitat groups'!A77,'A-1 Site Habitat Baseline'!$S$11:$S$258)</f>
        <v>0</v>
      </c>
      <c r="H77" s="111">
        <f>SUMIF('A-1 Site Habitat Baseline'!$G$11:$G$258,'G-2 Habitat groups'!A77,'A-1 Site Habitat Baseline'!$U$11:$U$258)</f>
        <v>0</v>
      </c>
      <c r="I77" s="111">
        <f>SUMIF('A-1 Site Habitat Baseline'!$G$11:$G$258,'G-2 Habitat groups'!A77,'A-1 Site Habitat Baseline'!$W$11:$W$258)</f>
        <v>0</v>
      </c>
      <c r="J77" s="111">
        <f>SUMIF('A-1 Site Habitat Baseline'!$G$11:$G$258,'G-2 Habitat groups'!A77,'A-1 Site Habitat Baseline'!$X$11:$X$258)</f>
        <v>0</v>
      </c>
      <c r="K77" s="111">
        <f>SUMIF('A-2 Site Habitat Creation'!$F$11:$F$256,'G-2 Habitat groups'!A77,'A-2 Site Habitat Creation'!$G$11:$G$256)</f>
        <v>0</v>
      </c>
      <c r="L77" s="111">
        <f>SUMIF('A-2 Site Habitat Creation'!$F$11:$F$256,'G-2 Habitat groups'!A77,'A-2 Site Habitat Creation'!$Y$11:$Y$256)</f>
        <v>0</v>
      </c>
      <c r="M77" s="111">
        <f>SUMIF('A-3 Site Habitat Enhancement'!$S$12:$S$257,'G-2 Habitat groups'!A77,'A-3 Site Habitat Enhancement'!$V$12:$V$257)</f>
        <v>0</v>
      </c>
      <c r="N77" s="111">
        <f>SUMIF('A-3 Site Habitat Enhancement'!$S$12:$S$257,'G-2 Habitat groups'!A77,'A-3 Site Habitat Enhancement'!$AN$12:$AN$257)</f>
        <v>0</v>
      </c>
      <c r="O77" s="111">
        <f t="shared" si="53"/>
        <v>0</v>
      </c>
      <c r="P77" s="111">
        <f t="shared" si="54"/>
        <v>0</v>
      </c>
      <c r="Q77" s="111">
        <f t="shared" si="55"/>
        <v>0</v>
      </c>
      <c r="R77" s="111">
        <f t="shared" si="56"/>
        <v>0</v>
      </c>
      <c r="S77" s="111">
        <f>IF(C77="V.High",SUMIF('D-1 Off Site Habitat Baseline'!$G$11:$G$258,'G-2 Habitat groups'!A77,'D-1 Off Site Habitat Baseline'!$S$11:$S$258)+SUMIF('D-1 Off Site Habitat Baseline'!$G$11:$G$258,'G-2 Habitat groups'!A77,'D-1 Off Site Habitat Baseline'!$T$11:$T$258),SUMIF('D-1 Off Site Habitat Baseline'!$G$11:$G$258,'G-2 Habitat groups'!A77,'D-1 Off Site Habitat Baseline'!$H$11:$H$258))</f>
        <v>0</v>
      </c>
      <c r="T77" s="111">
        <f>SUMIF('D-1 Off Site Habitat Baseline'!$G$11:$G$258,'G-2 Habitat groups'!A77,'D-1 Off Site Habitat Baseline'!$Q$11:$Q$258)</f>
        <v>0</v>
      </c>
      <c r="U77" s="513">
        <f>SUMIF('D-1 Off Site Habitat Baseline'!$G$11:$G$258,'G-2 Habitat groups'!A77,'D-1 Off Site Habitat Baseline'!$S$11:$S$258)</f>
        <v>0</v>
      </c>
      <c r="V77" s="111">
        <f>SUMIF('D-1 Off Site Habitat Baseline'!$G$11:$G$258,'G-2 Habitat groups'!A77,'D-1 Off Site Habitat Baseline'!$U$11:$U$258)</f>
        <v>0</v>
      </c>
      <c r="W77" s="111">
        <f>SUMIF('D-2 Off Site Habitat Creation'!$F$9:$F$255,'G-2 Habitat groups'!A77,'D-2 Off Site Habitat Creation'!$G$9:$G$255)</f>
        <v>0</v>
      </c>
      <c r="X77" s="111">
        <f>SUMIF('D-2 Off Site Habitat Creation'!$F$9:$F$255,'G-2 Habitat groups'!A77,'D-2 Off Site Habitat Creation'!$AA$9:$AA$255)</f>
        <v>0</v>
      </c>
      <c r="Y77" s="111">
        <f>SUMIF('D-3 Off Site Habitat Enhancment'!$S$12:$S$491,'G-2 Habitat groups'!A77,'D-3 Off Site Habitat Enhancment'!$V$12:$V$491)</f>
        <v>0</v>
      </c>
      <c r="Z77" s="111">
        <f>SUMIF('D-3 Off Site Habitat Enhancment'!$S$12:$S$491,'G-2 Habitat groups'!A77,'D-3 Off Site Habitat Enhancment'!$AP$12:$AP$491)</f>
        <v>0</v>
      </c>
      <c r="AA77" s="111">
        <f t="shared" si="57"/>
        <v>0</v>
      </c>
      <c r="AB77" s="111">
        <f t="shared" si="58"/>
        <v>0</v>
      </c>
      <c r="AC77" s="111">
        <f t="shared" si="59"/>
        <v>0</v>
      </c>
      <c r="AD77" s="111">
        <f t="shared" si="60"/>
        <v>0</v>
      </c>
      <c r="AE77" s="111">
        <f t="shared" si="61"/>
        <v>0</v>
      </c>
      <c r="AF77" s="111">
        <f t="shared" si="62"/>
        <v>0</v>
      </c>
      <c r="AU77" s="148" t="s">
        <v>148</v>
      </c>
      <c r="AV77" s="152" t="s">
        <v>134</v>
      </c>
      <c r="AW77" s="153" t="s">
        <v>149</v>
      </c>
      <c r="AX77" s="153" t="s">
        <v>785</v>
      </c>
      <c r="AY77" s="153" t="s">
        <v>775</v>
      </c>
      <c r="AZ77" s="153" t="s">
        <v>776</v>
      </c>
      <c r="BA77" s="153" t="s">
        <v>777</v>
      </c>
      <c r="BB77" s="153" t="s">
        <v>778</v>
      </c>
      <c r="BC77" s="153" t="s">
        <v>779</v>
      </c>
      <c r="BD77" s="152" t="s">
        <v>1324</v>
      </c>
      <c r="BE77" s="153" t="s">
        <v>783</v>
      </c>
      <c r="BF77" s="153" t="s">
        <v>1335</v>
      </c>
      <c r="BG77" s="147"/>
    </row>
    <row r="78" spans="1:59" x14ac:dyDescent="0.25">
      <c r="A78" s="129" t="str">
        <f>'G-1 All Habitats'!B77</f>
        <v>Urban - Vacant/derelict land/ bareground</v>
      </c>
      <c r="B78" s="100" t="str">
        <f>'G-1 All Habitats'!F77</f>
        <v>Urban</v>
      </c>
      <c r="C78" s="100" t="str">
        <f>'G-1 All Habitats'!K77</f>
        <v>Low</v>
      </c>
      <c r="D78" s="100" t="str">
        <f>'G-1 All Habitats'!M77</f>
        <v>Same distinctiveness or better habitat required</v>
      </c>
      <c r="E78" s="111">
        <f>IF(C78="V.High",SUMIF('A-1 Site Habitat Baseline'!$G$11:$G$258,'G-2 Habitat groups'!A78,'A-1 Site Habitat Baseline'!$S$11:$S$258)+SUMIF('A-1 Site Habitat Baseline'!$G$11:$G$258,'G-2 Habitat groups'!A78,'A-1 Site Habitat Baseline'!$T$11:$T$258),SUMIF('A-1 Site Habitat Baseline'!$G$11:$G$258,'G-2 Habitat groups'!A78,'A-1 Site Habitat Baseline'!$H$11:$H$258))</f>
        <v>1.0999999999999999E-2</v>
      </c>
      <c r="F78" s="111">
        <f>SUMIF('A-1 Site Habitat Baseline'!$G$11:$G$258,'G-2 Habitat groups'!A78,'A-1 Site Habitat Baseline'!$Q$11:$Q$258)</f>
        <v>2.1999999999999999E-2</v>
      </c>
      <c r="G78" s="111">
        <f>SUMIF('A-1 Site Habitat Baseline'!$G$11:$G$258,'G-2 Habitat groups'!A78,'A-1 Site Habitat Baseline'!$S$11:$S$258)</f>
        <v>0</v>
      </c>
      <c r="H78" s="111">
        <f>SUMIF('A-1 Site Habitat Baseline'!$G$11:$G$258,'G-2 Habitat groups'!A78,'A-1 Site Habitat Baseline'!$U$11:$U$258)</f>
        <v>0</v>
      </c>
      <c r="I78" s="111">
        <f>SUMIF('A-1 Site Habitat Baseline'!$G$11:$G$258,'G-2 Habitat groups'!A78,'A-1 Site Habitat Baseline'!$W$11:$W$258)</f>
        <v>1.0999999999999999E-2</v>
      </c>
      <c r="J78" s="111">
        <f>SUMIF('A-1 Site Habitat Baseline'!$G$11:$G$258,'G-2 Habitat groups'!A78,'A-1 Site Habitat Baseline'!$X$11:$X$258)</f>
        <v>2.1999999999999999E-2</v>
      </c>
      <c r="K78" s="111">
        <f>SUMIF('A-2 Site Habitat Creation'!$F$11:$F$256,'G-2 Habitat groups'!A78,'A-2 Site Habitat Creation'!$G$11:$G$256)</f>
        <v>0</v>
      </c>
      <c r="L78" s="111">
        <f>SUMIF('A-2 Site Habitat Creation'!$F$11:$F$256,'G-2 Habitat groups'!A78,'A-2 Site Habitat Creation'!$Y$11:$Y$256)</f>
        <v>0</v>
      </c>
      <c r="M78" s="111">
        <f>SUMIF('A-3 Site Habitat Enhancement'!$S$12:$S$257,'G-2 Habitat groups'!A78,'A-3 Site Habitat Enhancement'!$V$12:$V$257)</f>
        <v>0</v>
      </c>
      <c r="N78" s="111">
        <f>SUMIF('A-3 Site Habitat Enhancement'!$S$12:$S$257,'G-2 Habitat groups'!A78,'A-3 Site Habitat Enhancement'!$AN$12:$AN$257)</f>
        <v>0</v>
      </c>
      <c r="O78" s="111">
        <f t="shared" si="53"/>
        <v>0</v>
      </c>
      <c r="P78" s="111">
        <f t="shared" si="54"/>
        <v>0</v>
      </c>
      <c r="Q78" s="111">
        <f t="shared" si="55"/>
        <v>-1.0999999999999999E-2</v>
      </c>
      <c r="R78" s="111">
        <f t="shared" si="56"/>
        <v>-2.1999999999999999E-2</v>
      </c>
      <c r="S78" s="111">
        <f>IF(C78="V.High",SUMIF('D-1 Off Site Habitat Baseline'!$G$11:$G$258,'G-2 Habitat groups'!A78,'D-1 Off Site Habitat Baseline'!$S$11:$S$258)+SUMIF('D-1 Off Site Habitat Baseline'!$G$11:$G$258,'G-2 Habitat groups'!A78,'D-1 Off Site Habitat Baseline'!$T$11:$T$258),SUMIF('D-1 Off Site Habitat Baseline'!$G$11:$G$258,'G-2 Habitat groups'!A78,'D-1 Off Site Habitat Baseline'!$H$11:$H$258))</f>
        <v>0</v>
      </c>
      <c r="T78" s="111">
        <f>SUMIF('D-1 Off Site Habitat Baseline'!$G$11:$G$258,'G-2 Habitat groups'!A78,'D-1 Off Site Habitat Baseline'!$Q$11:$Q$258)</f>
        <v>0</v>
      </c>
      <c r="U78" s="513">
        <f>SUMIF('D-1 Off Site Habitat Baseline'!$G$11:$G$258,'G-2 Habitat groups'!A78,'D-1 Off Site Habitat Baseline'!$S$11:$S$258)</f>
        <v>0</v>
      </c>
      <c r="V78" s="111">
        <f>SUMIF('D-1 Off Site Habitat Baseline'!$G$11:$G$258,'G-2 Habitat groups'!A78,'D-1 Off Site Habitat Baseline'!$U$11:$U$258)</f>
        <v>0</v>
      </c>
      <c r="W78" s="111">
        <f>SUMIF('D-2 Off Site Habitat Creation'!$F$9:$F$255,'G-2 Habitat groups'!A78,'D-2 Off Site Habitat Creation'!$G$9:$G$255)</f>
        <v>0</v>
      </c>
      <c r="X78" s="111">
        <f>SUMIF('D-2 Off Site Habitat Creation'!$F$9:$F$255,'G-2 Habitat groups'!A78,'D-2 Off Site Habitat Creation'!$AA$9:$AA$255)</f>
        <v>0</v>
      </c>
      <c r="Y78" s="111">
        <f>SUMIF('D-3 Off Site Habitat Enhancment'!$S$12:$S$491,'G-2 Habitat groups'!A78,'D-3 Off Site Habitat Enhancment'!$V$12:$V$491)</f>
        <v>0</v>
      </c>
      <c r="Z78" s="111">
        <f>SUMIF('D-3 Off Site Habitat Enhancment'!$S$12:$S$491,'G-2 Habitat groups'!A78,'D-3 Off Site Habitat Enhancment'!$AP$12:$AP$491)</f>
        <v>0</v>
      </c>
      <c r="AA78" s="111">
        <f t="shared" si="57"/>
        <v>0</v>
      </c>
      <c r="AB78" s="111">
        <f t="shared" si="58"/>
        <v>0</v>
      </c>
      <c r="AC78" s="111">
        <f t="shared" si="59"/>
        <v>0</v>
      </c>
      <c r="AD78" s="111">
        <f t="shared" si="60"/>
        <v>0</v>
      </c>
      <c r="AE78" s="111">
        <f t="shared" si="61"/>
        <v>-1.0999999999999999E-2</v>
      </c>
      <c r="AF78" s="111">
        <f t="shared" si="62"/>
        <v>-2.1999999999999999E-2</v>
      </c>
      <c r="AU78" s="129" t="s">
        <v>375</v>
      </c>
      <c r="AV78" s="100" t="s">
        <v>165</v>
      </c>
      <c r="AW78" s="111">
        <f t="shared" ref="AW78:AW80" si="63">VLOOKUP($AU78,AllHabsSummaryData,5,FALSE)</f>
        <v>0</v>
      </c>
      <c r="AX78" s="111">
        <f t="shared" ref="AX78:AX103" si="64">VLOOKUP($AU78,AllHabsSummaryData,10,FALSE)</f>
        <v>0</v>
      </c>
      <c r="AY78" s="111">
        <f t="shared" ref="AY78:AY91" si="65">VLOOKUP($AU78,AllHabsSummaryData,15,FALSE)</f>
        <v>0</v>
      </c>
      <c r="AZ78" s="111">
        <f t="shared" ref="AZ78:AZ91" si="66">VLOOKUP($AU78,AllHabsSummaryData,16,FALSE)</f>
        <v>0</v>
      </c>
      <c r="BA78" s="111">
        <f t="shared" ref="BA78:BA91" si="67">VLOOKUP($AU78,AllHabsSummaryData,17,FALSE)</f>
        <v>0</v>
      </c>
      <c r="BB78" s="111">
        <f t="shared" ref="BB78:BB91" si="68">VLOOKUP($AU78,AllHabsSummaryData,18,FALSE)</f>
        <v>0</v>
      </c>
      <c r="BC78" s="111">
        <f t="shared" ref="BC78:BC91" si="69">VLOOKUP($AU78,AllHabsSummaryData,27,FALSE)</f>
        <v>0</v>
      </c>
      <c r="BD78" s="111">
        <f t="shared" ref="BD78:BD91" si="70">VLOOKUP($AU78,AllHabsSummaryData,30,FALSE)</f>
        <v>0</v>
      </c>
      <c r="BE78" s="111">
        <f t="shared" ref="BE78" si="71">BB78+BD78</f>
        <v>0</v>
      </c>
      <c r="BF78" s="111" t="str">
        <f>IF(BE78&lt;0,BE78,"")</f>
        <v/>
      </c>
    </row>
    <row r="79" spans="1:59" x14ac:dyDescent="0.25">
      <c r="A79" s="129" t="str">
        <f>'G-1 All Habitats'!B78</f>
        <v>Urban - Vegetated garden</v>
      </c>
      <c r="B79" s="100" t="str">
        <f>'G-1 All Habitats'!F78</f>
        <v>Urban</v>
      </c>
      <c r="C79" s="100" t="str">
        <f>'G-1 All Habitats'!K78</f>
        <v>Low</v>
      </c>
      <c r="D79" s="100" t="str">
        <f>'G-1 All Habitats'!M78</f>
        <v>Same distinctiveness or better habitat required</v>
      </c>
      <c r="E79" s="111">
        <f>IF(C79="V.High",SUMIF('A-1 Site Habitat Baseline'!$G$11:$G$258,'G-2 Habitat groups'!A79,'A-1 Site Habitat Baseline'!$S$11:$S$258)+SUMIF('A-1 Site Habitat Baseline'!$G$11:$G$258,'G-2 Habitat groups'!A79,'A-1 Site Habitat Baseline'!$T$11:$T$258),SUMIF('A-1 Site Habitat Baseline'!$G$11:$G$258,'G-2 Habitat groups'!A79,'A-1 Site Habitat Baseline'!$H$11:$H$258))</f>
        <v>0</v>
      </c>
      <c r="F79" s="111">
        <f>SUMIF('A-1 Site Habitat Baseline'!$G$11:$G$258,'G-2 Habitat groups'!A79,'A-1 Site Habitat Baseline'!$Q$11:$Q$258)</f>
        <v>0</v>
      </c>
      <c r="G79" s="111">
        <f>SUMIF('A-1 Site Habitat Baseline'!$G$11:$G$258,'G-2 Habitat groups'!A79,'A-1 Site Habitat Baseline'!$S$11:$S$258)</f>
        <v>0</v>
      </c>
      <c r="H79" s="111">
        <f>SUMIF('A-1 Site Habitat Baseline'!$G$11:$G$258,'G-2 Habitat groups'!A79,'A-1 Site Habitat Baseline'!$U$11:$U$258)</f>
        <v>0</v>
      </c>
      <c r="I79" s="111">
        <f>SUMIF('A-1 Site Habitat Baseline'!$G$11:$G$258,'G-2 Habitat groups'!A79,'A-1 Site Habitat Baseline'!$W$11:$W$258)</f>
        <v>0</v>
      </c>
      <c r="J79" s="111">
        <f>SUMIF('A-1 Site Habitat Baseline'!$G$11:$G$258,'G-2 Habitat groups'!A79,'A-1 Site Habitat Baseline'!$X$11:$X$258)</f>
        <v>0</v>
      </c>
      <c r="K79" s="111">
        <f>SUMIF('A-2 Site Habitat Creation'!$F$11:$F$256,'G-2 Habitat groups'!A79,'A-2 Site Habitat Creation'!$G$11:$G$256)</f>
        <v>2.7300000000000001E-2</v>
      </c>
      <c r="L79" s="111">
        <f>SUMIF('A-2 Site Habitat Creation'!$F$11:$F$256,'G-2 Habitat groups'!A79,'A-2 Site Habitat Creation'!$Y$11:$Y$256)</f>
        <v>5.2689E-2</v>
      </c>
      <c r="M79" s="111">
        <f>SUMIF('A-3 Site Habitat Enhancement'!$S$12:$S$257,'G-2 Habitat groups'!A79,'A-3 Site Habitat Enhancement'!$V$12:$V$257)</f>
        <v>0</v>
      </c>
      <c r="N79" s="111">
        <f>SUMIF('A-3 Site Habitat Enhancement'!$S$12:$S$257,'G-2 Habitat groups'!A79,'A-3 Site Habitat Enhancement'!$AN$12:$AN$257)</f>
        <v>0</v>
      </c>
      <c r="O79" s="111">
        <f t="shared" si="53"/>
        <v>2.7300000000000001E-2</v>
      </c>
      <c r="P79" s="111">
        <f t="shared" si="54"/>
        <v>5.2689E-2</v>
      </c>
      <c r="Q79" s="111">
        <f t="shared" si="55"/>
        <v>2.7300000000000001E-2</v>
      </c>
      <c r="R79" s="111">
        <f t="shared" si="56"/>
        <v>5.2689E-2</v>
      </c>
      <c r="S79" s="111">
        <f>IF(C79="V.High",SUMIF('D-1 Off Site Habitat Baseline'!$G$11:$G$258,'G-2 Habitat groups'!A79,'D-1 Off Site Habitat Baseline'!$S$11:$S$258)+SUMIF('D-1 Off Site Habitat Baseline'!$G$11:$G$258,'G-2 Habitat groups'!A79,'D-1 Off Site Habitat Baseline'!$T$11:$T$258),SUMIF('D-1 Off Site Habitat Baseline'!$G$11:$G$258,'G-2 Habitat groups'!A79,'D-1 Off Site Habitat Baseline'!$H$11:$H$258))</f>
        <v>0</v>
      </c>
      <c r="T79" s="111">
        <f>SUMIF('D-1 Off Site Habitat Baseline'!$G$11:$G$258,'G-2 Habitat groups'!A79,'D-1 Off Site Habitat Baseline'!$Q$11:$Q$258)</f>
        <v>0</v>
      </c>
      <c r="U79" s="513">
        <f>SUMIF('D-1 Off Site Habitat Baseline'!$G$11:$G$258,'G-2 Habitat groups'!A79,'D-1 Off Site Habitat Baseline'!$S$11:$S$258)</f>
        <v>0</v>
      </c>
      <c r="V79" s="111">
        <f>SUMIF('D-1 Off Site Habitat Baseline'!$G$11:$G$258,'G-2 Habitat groups'!A79,'D-1 Off Site Habitat Baseline'!$U$11:$U$258)</f>
        <v>0</v>
      </c>
      <c r="W79" s="111">
        <f>SUMIF('D-2 Off Site Habitat Creation'!$F$9:$F$255,'G-2 Habitat groups'!A79,'D-2 Off Site Habitat Creation'!$G$9:$G$255)</f>
        <v>0</v>
      </c>
      <c r="X79" s="111">
        <f>SUMIF('D-2 Off Site Habitat Creation'!$F$9:$F$255,'G-2 Habitat groups'!A79,'D-2 Off Site Habitat Creation'!$AA$9:$AA$255)</f>
        <v>0</v>
      </c>
      <c r="Y79" s="111">
        <f>SUMIF('D-3 Off Site Habitat Enhancment'!$S$12:$S$491,'G-2 Habitat groups'!A79,'D-3 Off Site Habitat Enhancment'!$V$12:$V$491)</f>
        <v>0</v>
      </c>
      <c r="Z79" s="111">
        <f>SUMIF('D-3 Off Site Habitat Enhancment'!$S$12:$S$491,'G-2 Habitat groups'!A79,'D-3 Off Site Habitat Enhancment'!$AP$12:$AP$491)</f>
        <v>0</v>
      </c>
      <c r="AA79" s="111">
        <f t="shared" si="57"/>
        <v>0</v>
      </c>
      <c r="AB79" s="111">
        <f t="shared" si="58"/>
        <v>0</v>
      </c>
      <c r="AC79" s="111">
        <f t="shared" si="59"/>
        <v>0</v>
      </c>
      <c r="AD79" s="111">
        <f t="shared" si="60"/>
        <v>0</v>
      </c>
      <c r="AE79" s="111">
        <f t="shared" si="61"/>
        <v>2.7300000000000001E-2</v>
      </c>
      <c r="AF79" s="111">
        <f t="shared" si="62"/>
        <v>5.2689E-2</v>
      </c>
      <c r="AU79" s="129" t="s">
        <v>378</v>
      </c>
      <c r="AV79" s="100" t="s">
        <v>165</v>
      </c>
      <c r="AW79" s="111">
        <f t="shared" si="63"/>
        <v>0</v>
      </c>
      <c r="AX79" s="111">
        <f t="shared" si="64"/>
        <v>0</v>
      </c>
      <c r="AY79" s="111">
        <f t="shared" si="65"/>
        <v>0</v>
      </c>
      <c r="AZ79" s="111">
        <f t="shared" si="66"/>
        <v>0</v>
      </c>
      <c r="BA79" s="111">
        <f t="shared" si="67"/>
        <v>0</v>
      </c>
      <c r="BB79" s="111">
        <f t="shared" si="68"/>
        <v>0</v>
      </c>
      <c r="BC79" s="111">
        <f t="shared" si="69"/>
        <v>0</v>
      </c>
      <c r="BD79" s="111">
        <f t="shared" si="70"/>
        <v>0</v>
      </c>
      <c r="BE79" s="111">
        <f t="shared" ref="BE79" si="72">BB79+BD79</f>
        <v>0</v>
      </c>
      <c r="BF79" s="111" t="str">
        <f t="shared" ref="BF79" si="73">IF(BE79&lt;0,BE79,"")</f>
        <v/>
      </c>
    </row>
    <row r="80" spans="1:59" x14ac:dyDescent="0.25">
      <c r="A80" s="129" t="str">
        <f>'G-1 All Habitats'!B79</f>
        <v>Wetland - Blanket bog</v>
      </c>
      <c r="B80" s="100" t="str">
        <f>'G-1 All Habitats'!F79</f>
        <v>Wetland</v>
      </c>
      <c r="C80" s="100" t="str">
        <f>'G-1 All Habitats'!K79</f>
        <v>V.High</v>
      </c>
      <c r="D80" s="100" t="str">
        <f>'G-1 All Habitats'!M79</f>
        <v>Bespoke compensation likely to be required</v>
      </c>
      <c r="E80" s="111">
        <f>IF(C80="V.High",SUMIF('A-1 Site Habitat Baseline'!$G$11:$G$258,'G-2 Habitat groups'!A80,'A-1 Site Habitat Baseline'!$S$11:$S$258)+SUMIF('A-1 Site Habitat Baseline'!$G$11:$G$258,'G-2 Habitat groups'!A80,'A-1 Site Habitat Baseline'!$T$11:$T$258),SUMIF('A-1 Site Habitat Baseline'!$G$11:$G$258,'G-2 Habitat groups'!A80,'A-1 Site Habitat Baseline'!$H$11:$H$258))</f>
        <v>0</v>
      </c>
      <c r="F80" s="111">
        <f>SUMIF('A-1 Site Habitat Baseline'!$G$11:$G$258,'G-2 Habitat groups'!A80,'A-1 Site Habitat Baseline'!$Q$11:$Q$258)</f>
        <v>0</v>
      </c>
      <c r="G80" s="111">
        <f>SUMIF('A-1 Site Habitat Baseline'!$G$11:$G$258,'G-2 Habitat groups'!A80,'A-1 Site Habitat Baseline'!$S$11:$S$258)</f>
        <v>0</v>
      </c>
      <c r="H80" s="111">
        <f>SUMIF('A-1 Site Habitat Baseline'!$G$11:$G$258,'G-2 Habitat groups'!A80,'A-1 Site Habitat Baseline'!$U$11:$U$258)</f>
        <v>0</v>
      </c>
      <c r="I80" s="111">
        <f>SUMIF('A-1 Site Habitat Baseline'!$G$11:$G$258,'G-2 Habitat groups'!A80,'A-1 Site Habitat Baseline'!$W$11:$W$258)</f>
        <v>0</v>
      </c>
      <c r="J80" s="111">
        <f>SUMIF('A-1 Site Habitat Baseline'!$G$11:$G$258,'G-2 Habitat groups'!A80,'A-1 Site Habitat Baseline'!$X$11:$X$258)</f>
        <v>0</v>
      </c>
      <c r="K80" s="111">
        <f>SUMIF('A-2 Site Habitat Creation'!$F$11:$F$256,'G-2 Habitat groups'!A80,'A-2 Site Habitat Creation'!$G$11:$G$256)</f>
        <v>0</v>
      </c>
      <c r="L80" s="111">
        <f>SUMIF('A-2 Site Habitat Creation'!$F$11:$F$256,'G-2 Habitat groups'!A80,'A-2 Site Habitat Creation'!$Y$11:$Y$256)</f>
        <v>0</v>
      </c>
      <c r="M80" s="111">
        <f>SUMIF('A-3 Site Habitat Enhancement'!$S$12:$S$257,'G-2 Habitat groups'!A80,'A-3 Site Habitat Enhancement'!$V$12:$V$257)</f>
        <v>0</v>
      </c>
      <c r="N80" s="111">
        <f>SUMIF('A-3 Site Habitat Enhancement'!$S$12:$S$257,'G-2 Habitat groups'!A80,'A-3 Site Habitat Enhancement'!$AN$12:$AN$257)</f>
        <v>0</v>
      </c>
      <c r="O80" s="111">
        <f t="shared" si="53"/>
        <v>0</v>
      </c>
      <c r="P80" s="111">
        <f t="shared" si="54"/>
        <v>0</v>
      </c>
      <c r="Q80" s="111">
        <f t="shared" si="55"/>
        <v>0</v>
      </c>
      <c r="R80" s="111">
        <f t="shared" si="56"/>
        <v>0</v>
      </c>
      <c r="S80" s="111">
        <f>IF(C80="V.High",SUMIF('D-1 Off Site Habitat Baseline'!$G$11:$G$258,'G-2 Habitat groups'!A80,'D-1 Off Site Habitat Baseline'!$S$11:$S$258)+SUMIF('D-1 Off Site Habitat Baseline'!$G$11:$G$258,'G-2 Habitat groups'!A80,'D-1 Off Site Habitat Baseline'!$T$11:$T$258),SUMIF('D-1 Off Site Habitat Baseline'!$G$11:$G$258,'G-2 Habitat groups'!A80,'D-1 Off Site Habitat Baseline'!$H$11:$H$258))</f>
        <v>0</v>
      </c>
      <c r="T80" s="111">
        <f>SUMIF('D-1 Off Site Habitat Baseline'!$G$11:$G$258,'G-2 Habitat groups'!A80,'D-1 Off Site Habitat Baseline'!$Q$11:$Q$258)</f>
        <v>0</v>
      </c>
      <c r="U80" s="513">
        <f>SUMIF('D-1 Off Site Habitat Baseline'!$G$11:$G$258,'G-2 Habitat groups'!A80,'D-1 Off Site Habitat Baseline'!$S$11:$S$258)</f>
        <v>0</v>
      </c>
      <c r="V80" s="111">
        <f>SUMIF('D-1 Off Site Habitat Baseline'!$G$11:$G$258,'G-2 Habitat groups'!A80,'D-1 Off Site Habitat Baseline'!$U$11:$U$258)</f>
        <v>0</v>
      </c>
      <c r="W80" s="111">
        <f>SUMIF('D-2 Off Site Habitat Creation'!$F$9:$F$255,'G-2 Habitat groups'!A80,'D-2 Off Site Habitat Creation'!$G$9:$G$255)</f>
        <v>0</v>
      </c>
      <c r="X80" s="111">
        <f>SUMIF('D-2 Off Site Habitat Creation'!$F$9:$F$255,'G-2 Habitat groups'!A80,'D-2 Off Site Habitat Creation'!$AA$9:$AA$255)</f>
        <v>0</v>
      </c>
      <c r="Y80" s="111">
        <f>SUMIF('D-3 Off Site Habitat Enhancment'!$S$12:$S$491,'G-2 Habitat groups'!A80,'D-3 Off Site Habitat Enhancment'!$V$12:$V$491)</f>
        <v>0</v>
      </c>
      <c r="Z80" s="111">
        <f>SUMIF('D-3 Off Site Habitat Enhancment'!$S$12:$S$491,'G-2 Habitat groups'!A80,'D-3 Off Site Habitat Enhancment'!$AP$12:$AP$491)</f>
        <v>0</v>
      </c>
      <c r="AA80" s="111">
        <f t="shared" si="57"/>
        <v>0</v>
      </c>
      <c r="AB80" s="111">
        <f t="shared" si="58"/>
        <v>0</v>
      </c>
      <c r="AC80" s="111">
        <f t="shared" si="59"/>
        <v>0</v>
      </c>
      <c r="AD80" s="111">
        <f t="shared" si="60"/>
        <v>0</v>
      </c>
      <c r="AE80" s="111">
        <f t="shared" si="61"/>
        <v>0</v>
      </c>
      <c r="AF80" s="111">
        <f t="shared" si="62"/>
        <v>0</v>
      </c>
      <c r="AU80" s="527" t="s">
        <v>376</v>
      </c>
      <c r="AV80" s="100" t="s">
        <v>165</v>
      </c>
      <c r="AW80" s="111">
        <f t="shared" si="63"/>
        <v>0</v>
      </c>
      <c r="AX80" s="111">
        <f t="shared" si="64"/>
        <v>0</v>
      </c>
      <c r="AY80" s="111">
        <f t="shared" si="65"/>
        <v>0</v>
      </c>
      <c r="AZ80" s="111">
        <f t="shared" si="66"/>
        <v>0</v>
      </c>
      <c r="BA80" s="111">
        <f t="shared" si="67"/>
        <v>0</v>
      </c>
      <c r="BB80" s="111">
        <f t="shared" si="68"/>
        <v>0</v>
      </c>
      <c r="BC80" s="111">
        <f t="shared" si="69"/>
        <v>0</v>
      </c>
      <c r="BD80" s="111">
        <f t="shared" si="70"/>
        <v>0</v>
      </c>
      <c r="BE80" s="111">
        <f t="shared" ref="BE80" si="74">BB80+BD80</f>
        <v>0</v>
      </c>
      <c r="BF80" s="111" t="str">
        <f t="shared" ref="BF80" si="75">IF(BE80&lt;0,BE80,"")</f>
        <v/>
      </c>
    </row>
    <row r="81" spans="1:58" x14ac:dyDescent="0.25">
      <c r="A81" s="129" t="str">
        <f>'G-1 All Habitats'!B80</f>
        <v>Wetland - Depressions on Peat substrates (H7150)</v>
      </c>
      <c r="B81" s="100" t="str">
        <f>'G-1 All Habitats'!F80</f>
        <v>Wetland</v>
      </c>
      <c r="C81" s="100" t="str">
        <f>'G-1 All Habitats'!K80</f>
        <v>V.High</v>
      </c>
      <c r="D81" s="100" t="str">
        <f>'G-1 All Habitats'!M80</f>
        <v>Bespoke compensation likely to be required</v>
      </c>
      <c r="E81" s="111">
        <f>IF(C81="V.High",SUMIF('A-1 Site Habitat Baseline'!$G$11:$G$258,'G-2 Habitat groups'!A81,'A-1 Site Habitat Baseline'!$S$11:$S$258)+SUMIF('A-1 Site Habitat Baseline'!$G$11:$G$258,'G-2 Habitat groups'!A81,'A-1 Site Habitat Baseline'!$T$11:$T$258),SUMIF('A-1 Site Habitat Baseline'!$G$11:$G$258,'G-2 Habitat groups'!A81,'A-1 Site Habitat Baseline'!$H$11:$H$258))</f>
        <v>0</v>
      </c>
      <c r="F81" s="111">
        <f>SUMIF('A-1 Site Habitat Baseline'!$G$11:$G$258,'G-2 Habitat groups'!A81,'A-1 Site Habitat Baseline'!$Q$11:$Q$258)</f>
        <v>0</v>
      </c>
      <c r="G81" s="111">
        <f>SUMIF('A-1 Site Habitat Baseline'!$G$11:$G$258,'G-2 Habitat groups'!A81,'A-1 Site Habitat Baseline'!$S$11:$S$258)</f>
        <v>0</v>
      </c>
      <c r="H81" s="111">
        <f>SUMIF('A-1 Site Habitat Baseline'!$G$11:$G$258,'G-2 Habitat groups'!A81,'A-1 Site Habitat Baseline'!$U$11:$U$258)</f>
        <v>0</v>
      </c>
      <c r="I81" s="111">
        <f>SUMIF('A-1 Site Habitat Baseline'!$G$11:$G$258,'G-2 Habitat groups'!A81,'A-1 Site Habitat Baseline'!$W$11:$W$258)</f>
        <v>0</v>
      </c>
      <c r="J81" s="111">
        <f>SUMIF('A-1 Site Habitat Baseline'!$G$11:$G$258,'G-2 Habitat groups'!A81,'A-1 Site Habitat Baseline'!$X$11:$X$258)</f>
        <v>0</v>
      </c>
      <c r="K81" s="111">
        <f>SUMIF('A-2 Site Habitat Creation'!$F$11:$F$256,'G-2 Habitat groups'!A81,'A-2 Site Habitat Creation'!$G$11:$G$256)</f>
        <v>0</v>
      </c>
      <c r="L81" s="111">
        <f>SUMIF('A-2 Site Habitat Creation'!$F$11:$F$256,'G-2 Habitat groups'!A81,'A-2 Site Habitat Creation'!$Y$11:$Y$256)</f>
        <v>0</v>
      </c>
      <c r="M81" s="111">
        <f>SUMIF('A-3 Site Habitat Enhancement'!$S$12:$S$257,'G-2 Habitat groups'!A81,'A-3 Site Habitat Enhancement'!$V$12:$V$257)</f>
        <v>0</v>
      </c>
      <c r="N81" s="111">
        <f>SUMIF('A-3 Site Habitat Enhancement'!$S$12:$S$257,'G-2 Habitat groups'!A81,'A-3 Site Habitat Enhancement'!$AN$12:$AN$257)</f>
        <v>0</v>
      </c>
      <c r="O81" s="111">
        <f t="shared" si="53"/>
        <v>0</v>
      </c>
      <c r="P81" s="111">
        <f t="shared" si="54"/>
        <v>0</v>
      </c>
      <c r="Q81" s="111">
        <f t="shared" si="55"/>
        <v>0</v>
      </c>
      <c r="R81" s="111">
        <f t="shared" si="56"/>
        <v>0</v>
      </c>
      <c r="S81" s="111">
        <f>IF(C81="V.High",SUMIF('D-1 Off Site Habitat Baseline'!$G$11:$G$258,'G-2 Habitat groups'!A81,'D-1 Off Site Habitat Baseline'!$S$11:$S$258)+SUMIF('D-1 Off Site Habitat Baseline'!$G$11:$G$258,'G-2 Habitat groups'!A81,'D-1 Off Site Habitat Baseline'!$T$11:$T$258),SUMIF('D-1 Off Site Habitat Baseline'!$G$11:$G$258,'G-2 Habitat groups'!A81,'D-1 Off Site Habitat Baseline'!$H$11:$H$258))</f>
        <v>0</v>
      </c>
      <c r="T81" s="111">
        <f>SUMIF('D-1 Off Site Habitat Baseline'!$G$11:$G$258,'G-2 Habitat groups'!A81,'D-1 Off Site Habitat Baseline'!$Q$11:$Q$258)</f>
        <v>0</v>
      </c>
      <c r="U81" s="513">
        <f>SUMIF('D-1 Off Site Habitat Baseline'!$G$11:$G$258,'G-2 Habitat groups'!A81,'D-1 Off Site Habitat Baseline'!$S$11:$S$258)</f>
        <v>0</v>
      </c>
      <c r="V81" s="111">
        <f>SUMIF('D-1 Off Site Habitat Baseline'!$G$11:$G$258,'G-2 Habitat groups'!A81,'D-1 Off Site Habitat Baseline'!$U$11:$U$258)</f>
        <v>0</v>
      </c>
      <c r="W81" s="111">
        <f>SUMIF('D-2 Off Site Habitat Creation'!$F$9:$F$255,'G-2 Habitat groups'!A81,'D-2 Off Site Habitat Creation'!$G$9:$G$255)</f>
        <v>0</v>
      </c>
      <c r="X81" s="111">
        <f>SUMIF('D-2 Off Site Habitat Creation'!$F$9:$F$255,'G-2 Habitat groups'!A81,'D-2 Off Site Habitat Creation'!$AA$9:$AA$255)</f>
        <v>0</v>
      </c>
      <c r="Y81" s="111">
        <f>SUMIF('D-3 Off Site Habitat Enhancment'!$S$12:$S$491,'G-2 Habitat groups'!A81,'D-3 Off Site Habitat Enhancment'!$V$12:$V$491)</f>
        <v>0</v>
      </c>
      <c r="Z81" s="111">
        <f>SUMIF('D-3 Off Site Habitat Enhancment'!$S$12:$S$491,'G-2 Habitat groups'!A81,'D-3 Off Site Habitat Enhancment'!$AP$12:$AP$491)</f>
        <v>0</v>
      </c>
      <c r="AA81" s="111">
        <f t="shared" si="57"/>
        <v>0</v>
      </c>
      <c r="AB81" s="111">
        <f t="shared" si="58"/>
        <v>0</v>
      </c>
      <c r="AC81" s="111">
        <f t="shared" si="59"/>
        <v>0</v>
      </c>
      <c r="AD81" s="111">
        <f t="shared" si="60"/>
        <v>0</v>
      </c>
      <c r="AE81" s="111">
        <f t="shared" si="61"/>
        <v>0</v>
      </c>
      <c r="AF81" s="111">
        <f t="shared" si="62"/>
        <v>0</v>
      </c>
      <c r="AU81" s="129" t="s">
        <v>374</v>
      </c>
      <c r="AV81" s="100" t="s">
        <v>165</v>
      </c>
      <c r="AW81" s="111">
        <f t="shared" ref="AW81:AW91" si="76">VLOOKUP($AU81,AllHabsSummaryData,5,FALSE)</f>
        <v>0</v>
      </c>
      <c r="AX81" s="111">
        <f t="shared" si="64"/>
        <v>0</v>
      </c>
      <c r="AY81" s="111">
        <f t="shared" si="65"/>
        <v>0</v>
      </c>
      <c r="AZ81" s="111">
        <f t="shared" si="66"/>
        <v>0</v>
      </c>
      <c r="BA81" s="111">
        <f t="shared" si="67"/>
        <v>0</v>
      </c>
      <c r="BB81" s="111">
        <f t="shared" si="68"/>
        <v>0</v>
      </c>
      <c r="BC81" s="111">
        <f t="shared" si="69"/>
        <v>0</v>
      </c>
      <c r="BD81" s="111">
        <f t="shared" si="70"/>
        <v>0</v>
      </c>
      <c r="BE81" s="111">
        <f t="shared" ref="BE81:BE91" si="77">BB81+BD81</f>
        <v>0</v>
      </c>
      <c r="BF81" s="111" t="str">
        <f t="shared" ref="BF81:BF91" si="78">IF(BE81&lt;0,BE81,"")</f>
        <v/>
      </c>
    </row>
    <row r="82" spans="1:58" x14ac:dyDescent="0.25">
      <c r="A82" s="129" t="str">
        <f>'G-1 All Habitats'!B81</f>
        <v>Wetland - Fens (upland and lowland)</v>
      </c>
      <c r="B82" s="100" t="str">
        <f>'G-1 All Habitats'!F81</f>
        <v>Wetland</v>
      </c>
      <c r="C82" s="100" t="str">
        <f>'G-1 All Habitats'!K81</f>
        <v>V.High</v>
      </c>
      <c r="D82" s="100" t="str">
        <f>'G-1 All Habitats'!M81</f>
        <v>Bespoke compensation likely to be required</v>
      </c>
      <c r="E82" s="111">
        <f>IF(C82="V.High",SUMIF('A-1 Site Habitat Baseline'!$G$11:$G$258,'G-2 Habitat groups'!A82,'A-1 Site Habitat Baseline'!$S$11:$S$258)+SUMIF('A-1 Site Habitat Baseline'!$G$11:$G$258,'G-2 Habitat groups'!A82,'A-1 Site Habitat Baseline'!$T$11:$T$258),SUMIF('A-1 Site Habitat Baseline'!$G$11:$G$258,'G-2 Habitat groups'!A82,'A-1 Site Habitat Baseline'!$H$11:$H$258))</f>
        <v>0</v>
      </c>
      <c r="F82" s="111">
        <f>SUMIF('A-1 Site Habitat Baseline'!$G$11:$G$258,'G-2 Habitat groups'!A82,'A-1 Site Habitat Baseline'!$Q$11:$Q$258)</f>
        <v>0</v>
      </c>
      <c r="G82" s="111">
        <f>SUMIF('A-1 Site Habitat Baseline'!$G$11:$G$258,'G-2 Habitat groups'!A82,'A-1 Site Habitat Baseline'!$S$11:$S$258)</f>
        <v>0</v>
      </c>
      <c r="H82" s="111">
        <f>SUMIF('A-1 Site Habitat Baseline'!$G$11:$G$258,'G-2 Habitat groups'!A82,'A-1 Site Habitat Baseline'!$U$11:$U$258)</f>
        <v>0</v>
      </c>
      <c r="I82" s="111">
        <f>SUMIF('A-1 Site Habitat Baseline'!$G$11:$G$258,'G-2 Habitat groups'!A82,'A-1 Site Habitat Baseline'!$W$11:$W$258)</f>
        <v>0</v>
      </c>
      <c r="J82" s="111">
        <f>SUMIF('A-1 Site Habitat Baseline'!$G$11:$G$258,'G-2 Habitat groups'!A82,'A-1 Site Habitat Baseline'!$X$11:$X$258)</f>
        <v>0</v>
      </c>
      <c r="K82" s="111">
        <f>SUMIF('A-2 Site Habitat Creation'!$F$11:$F$256,'G-2 Habitat groups'!A82,'A-2 Site Habitat Creation'!$G$11:$G$256)</f>
        <v>0</v>
      </c>
      <c r="L82" s="111">
        <f>SUMIF('A-2 Site Habitat Creation'!$F$11:$F$256,'G-2 Habitat groups'!A82,'A-2 Site Habitat Creation'!$Y$11:$Y$256)</f>
        <v>0</v>
      </c>
      <c r="M82" s="111">
        <f>SUMIF('A-3 Site Habitat Enhancement'!$S$12:$S$257,'G-2 Habitat groups'!A82,'A-3 Site Habitat Enhancement'!$V$12:$V$257)</f>
        <v>0</v>
      </c>
      <c r="N82" s="111">
        <f>SUMIF('A-3 Site Habitat Enhancement'!$S$12:$S$257,'G-2 Habitat groups'!A82,'A-3 Site Habitat Enhancement'!$AN$12:$AN$257)</f>
        <v>0</v>
      </c>
      <c r="O82" s="111">
        <f t="shared" si="53"/>
        <v>0</v>
      </c>
      <c r="P82" s="111">
        <f t="shared" si="54"/>
        <v>0</v>
      </c>
      <c r="Q82" s="111">
        <f t="shared" si="55"/>
        <v>0</v>
      </c>
      <c r="R82" s="111">
        <f t="shared" si="56"/>
        <v>0</v>
      </c>
      <c r="S82" s="111">
        <f>IF(C82="V.High",SUMIF('D-1 Off Site Habitat Baseline'!$G$11:$G$258,'G-2 Habitat groups'!A82,'D-1 Off Site Habitat Baseline'!$S$11:$S$258)+SUMIF('D-1 Off Site Habitat Baseline'!$G$11:$G$258,'G-2 Habitat groups'!A82,'D-1 Off Site Habitat Baseline'!$T$11:$T$258),SUMIF('D-1 Off Site Habitat Baseline'!$G$11:$G$258,'G-2 Habitat groups'!A82,'D-1 Off Site Habitat Baseline'!$H$11:$H$258))</f>
        <v>0</v>
      </c>
      <c r="T82" s="111">
        <f>SUMIF('D-1 Off Site Habitat Baseline'!$G$11:$G$258,'G-2 Habitat groups'!A82,'D-1 Off Site Habitat Baseline'!$Q$11:$Q$258)</f>
        <v>0</v>
      </c>
      <c r="U82" s="513">
        <f>SUMIF('D-1 Off Site Habitat Baseline'!$G$11:$G$258,'G-2 Habitat groups'!A82,'D-1 Off Site Habitat Baseline'!$S$11:$S$258)</f>
        <v>0</v>
      </c>
      <c r="V82" s="111">
        <f>SUMIF('D-1 Off Site Habitat Baseline'!$G$11:$G$258,'G-2 Habitat groups'!A82,'D-1 Off Site Habitat Baseline'!$U$11:$U$258)</f>
        <v>0</v>
      </c>
      <c r="W82" s="111">
        <f>SUMIF('D-2 Off Site Habitat Creation'!$F$9:$F$255,'G-2 Habitat groups'!A82,'D-2 Off Site Habitat Creation'!$G$9:$G$255)</f>
        <v>0</v>
      </c>
      <c r="X82" s="111">
        <f>SUMIF('D-2 Off Site Habitat Creation'!$F$9:$F$255,'G-2 Habitat groups'!A82,'D-2 Off Site Habitat Creation'!$AA$9:$AA$255)</f>
        <v>0</v>
      </c>
      <c r="Y82" s="111">
        <f>SUMIF('D-3 Off Site Habitat Enhancment'!$S$12:$S$491,'G-2 Habitat groups'!A82,'D-3 Off Site Habitat Enhancment'!$V$12:$V$491)</f>
        <v>0</v>
      </c>
      <c r="Z82" s="111">
        <f>SUMIF('D-3 Off Site Habitat Enhancment'!$S$12:$S$491,'G-2 Habitat groups'!A82,'D-3 Off Site Habitat Enhancment'!$AP$12:$AP$491)</f>
        <v>0</v>
      </c>
      <c r="AA82" s="111">
        <f t="shared" si="57"/>
        <v>0</v>
      </c>
      <c r="AB82" s="111">
        <f t="shared" si="58"/>
        <v>0</v>
      </c>
      <c r="AC82" s="111">
        <f t="shared" si="59"/>
        <v>0</v>
      </c>
      <c r="AD82" s="111">
        <f t="shared" si="60"/>
        <v>0</v>
      </c>
      <c r="AE82" s="111">
        <f t="shared" si="61"/>
        <v>0</v>
      </c>
      <c r="AF82" s="111">
        <f t="shared" si="62"/>
        <v>0</v>
      </c>
      <c r="AU82" s="129" t="s">
        <v>377</v>
      </c>
      <c r="AV82" s="100" t="s">
        <v>165</v>
      </c>
      <c r="AW82" s="111">
        <f t="shared" si="76"/>
        <v>0</v>
      </c>
      <c r="AX82" s="111">
        <f t="shared" si="64"/>
        <v>0</v>
      </c>
      <c r="AY82" s="111">
        <f t="shared" si="65"/>
        <v>0</v>
      </c>
      <c r="AZ82" s="111">
        <f t="shared" si="66"/>
        <v>0</v>
      </c>
      <c r="BA82" s="111">
        <f t="shared" si="67"/>
        <v>0</v>
      </c>
      <c r="BB82" s="111">
        <f t="shared" si="68"/>
        <v>0</v>
      </c>
      <c r="BC82" s="111">
        <f t="shared" si="69"/>
        <v>0</v>
      </c>
      <c r="BD82" s="111">
        <f t="shared" si="70"/>
        <v>0</v>
      </c>
      <c r="BE82" s="111">
        <f t="shared" si="77"/>
        <v>0</v>
      </c>
      <c r="BF82" s="111" t="str">
        <f t="shared" si="78"/>
        <v/>
      </c>
    </row>
    <row r="83" spans="1:58" x14ac:dyDescent="0.25">
      <c r="A83" s="129" t="str">
        <f>'G-1 All Habitats'!B82</f>
        <v>Wetland - Lowland raised bog</v>
      </c>
      <c r="B83" s="100" t="str">
        <f>'G-1 All Habitats'!F82</f>
        <v>Wetland</v>
      </c>
      <c r="C83" s="100" t="str">
        <f>'G-1 All Habitats'!K82</f>
        <v>V.High</v>
      </c>
      <c r="D83" s="100" t="str">
        <f>'G-1 All Habitats'!M82</f>
        <v>Bespoke compensation likely to be required</v>
      </c>
      <c r="E83" s="111">
        <f>IF(C83="V.High",SUMIF('A-1 Site Habitat Baseline'!$G$11:$G$258,'G-2 Habitat groups'!A83,'A-1 Site Habitat Baseline'!$S$11:$S$258)+SUMIF('A-1 Site Habitat Baseline'!$G$11:$G$258,'G-2 Habitat groups'!A83,'A-1 Site Habitat Baseline'!$T$11:$T$258),SUMIF('A-1 Site Habitat Baseline'!$G$11:$G$258,'G-2 Habitat groups'!A83,'A-1 Site Habitat Baseline'!$H$11:$H$258))</f>
        <v>0</v>
      </c>
      <c r="F83" s="111">
        <f>SUMIF('A-1 Site Habitat Baseline'!$G$11:$G$258,'G-2 Habitat groups'!A83,'A-1 Site Habitat Baseline'!$Q$11:$Q$258)</f>
        <v>0</v>
      </c>
      <c r="G83" s="111">
        <f>SUMIF('A-1 Site Habitat Baseline'!$G$11:$G$258,'G-2 Habitat groups'!A83,'A-1 Site Habitat Baseline'!$S$11:$S$258)</f>
        <v>0</v>
      </c>
      <c r="H83" s="111">
        <f>SUMIF('A-1 Site Habitat Baseline'!$G$11:$G$258,'G-2 Habitat groups'!A83,'A-1 Site Habitat Baseline'!$U$11:$U$258)</f>
        <v>0</v>
      </c>
      <c r="I83" s="111">
        <f>SUMIF('A-1 Site Habitat Baseline'!$G$11:$G$258,'G-2 Habitat groups'!A83,'A-1 Site Habitat Baseline'!$W$11:$W$258)</f>
        <v>0</v>
      </c>
      <c r="J83" s="111">
        <f>SUMIF('A-1 Site Habitat Baseline'!$G$11:$G$258,'G-2 Habitat groups'!A83,'A-1 Site Habitat Baseline'!$X$11:$X$258)</f>
        <v>0</v>
      </c>
      <c r="K83" s="111">
        <f>SUMIF('A-2 Site Habitat Creation'!$F$11:$F$256,'G-2 Habitat groups'!A83,'A-2 Site Habitat Creation'!$G$11:$G$256)</f>
        <v>0</v>
      </c>
      <c r="L83" s="111">
        <f>SUMIF('A-2 Site Habitat Creation'!$F$11:$F$256,'G-2 Habitat groups'!A83,'A-2 Site Habitat Creation'!$Y$11:$Y$256)</f>
        <v>0</v>
      </c>
      <c r="M83" s="111">
        <f>SUMIF('A-3 Site Habitat Enhancement'!$S$12:$S$257,'G-2 Habitat groups'!A83,'A-3 Site Habitat Enhancement'!$V$12:$V$257)</f>
        <v>0</v>
      </c>
      <c r="N83" s="111">
        <f>SUMIF('A-3 Site Habitat Enhancement'!$S$12:$S$257,'G-2 Habitat groups'!A83,'A-3 Site Habitat Enhancement'!$AN$12:$AN$257)</f>
        <v>0</v>
      </c>
      <c r="O83" s="111">
        <f t="shared" si="53"/>
        <v>0</v>
      </c>
      <c r="P83" s="111">
        <f t="shared" si="54"/>
        <v>0</v>
      </c>
      <c r="Q83" s="111">
        <f t="shared" si="55"/>
        <v>0</v>
      </c>
      <c r="R83" s="111">
        <f t="shared" si="56"/>
        <v>0</v>
      </c>
      <c r="S83" s="111">
        <f>IF(C83="V.High",SUMIF('D-1 Off Site Habitat Baseline'!$G$11:$G$258,'G-2 Habitat groups'!A83,'D-1 Off Site Habitat Baseline'!$S$11:$S$258)+SUMIF('D-1 Off Site Habitat Baseline'!$G$11:$G$258,'G-2 Habitat groups'!A83,'D-1 Off Site Habitat Baseline'!$T$11:$T$258),SUMIF('D-1 Off Site Habitat Baseline'!$G$11:$G$258,'G-2 Habitat groups'!A83,'D-1 Off Site Habitat Baseline'!$H$11:$H$258))</f>
        <v>0</v>
      </c>
      <c r="T83" s="111">
        <f>SUMIF('D-1 Off Site Habitat Baseline'!$G$11:$G$258,'G-2 Habitat groups'!A83,'D-1 Off Site Habitat Baseline'!$Q$11:$Q$258)</f>
        <v>0</v>
      </c>
      <c r="U83" s="513">
        <f>SUMIF('D-1 Off Site Habitat Baseline'!$G$11:$G$258,'G-2 Habitat groups'!A83,'D-1 Off Site Habitat Baseline'!$S$11:$S$258)</f>
        <v>0</v>
      </c>
      <c r="V83" s="111">
        <f>SUMIF('D-1 Off Site Habitat Baseline'!$G$11:$G$258,'G-2 Habitat groups'!A83,'D-1 Off Site Habitat Baseline'!$U$11:$U$258)</f>
        <v>0</v>
      </c>
      <c r="W83" s="111">
        <f>SUMIF('D-2 Off Site Habitat Creation'!$F$9:$F$255,'G-2 Habitat groups'!A83,'D-2 Off Site Habitat Creation'!$G$9:$G$255)</f>
        <v>0</v>
      </c>
      <c r="X83" s="111">
        <f>SUMIF('D-2 Off Site Habitat Creation'!$F$9:$F$255,'G-2 Habitat groups'!A83,'D-2 Off Site Habitat Creation'!$AA$9:$AA$255)</f>
        <v>0</v>
      </c>
      <c r="Y83" s="111">
        <f>SUMIF('D-3 Off Site Habitat Enhancment'!$S$12:$S$491,'G-2 Habitat groups'!A83,'D-3 Off Site Habitat Enhancment'!$V$12:$V$491)</f>
        <v>0</v>
      </c>
      <c r="Z83" s="111">
        <f>SUMIF('D-3 Off Site Habitat Enhancment'!$S$12:$S$491,'G-2 Habitat groups'!A83,'D-3 Off Site Habitat Enhancment'!$AP$12:$AP$491)</f>
        <v>0</v>
      </c>
      <c r="AA83" s="111">
        <f t="shared" si="57"/>
        <v>0</v>
      </c>
      <c r="AB83" s="111">
        <f t="shared" si="58"/>
        <v>0</v>
      </c>
      <c r="AC83" s="111">
        <f t="shared" si="59"/>
        <v>0</v>
      </c>
      <c r="AD83" s="111">
        <f t="shared" si="60"/>
        <v>0</v>
      </c>
      <c r="AE83" s="111">
        <f t="shared" si="61"/>
        <v>0</v>
      </c>
      <c r="AF83" s="111">
        <f t="shared" si="62"/>
        <v>0</v>
      </c>
      <c r="AU83" s="129" t="s">
        <v>153</v>
      </c>
      <c r="AV83" s="100" t="s">
        <v>135</v>
      </c>
      <c r="AW83" s="111">
        <f t="shared" si="76"/>
        <v>0</v>
      </c>
      <c r="AX83" s="111">
        <f t="shared" si="64"/>
        <v>0</v>
      </c>
      <c r="AY83" s="111">
        <f t="shared" si="65"/>
        <v>0</v>
      </c>
      <c r="AZ83" s="111">
        <f t="shared" si="66"/>
        <v>0</v>
      </c>
      <c r="BA83" s="111">
        <f t="shared" si="67"/>
        <v>0</v>
      </c>
      <c r="BB83" s="111">
        <f t="shared" si="68"/>
        <v>0</v>
      </c>
      <c r="BC83" s="111">
        <f t="shared" si="69"/>
        <v>0</v>
      </c>
      <c r="BD83" s="111">
        <f t="shared" si="70"/>
        <v>0</v>
      </c>
      <c r="BE83" s="111">
        <f t="shared" si="77"/>
        <v>0</v>
      </c>
      <c r="BF83" s="111" t="str">
        <f t="shared" si="78"/>
        <v/>
      </c>
    </row>
    <row r="84" spans="1:58" x14ac:dyDescent="0.25">
      <c r="A84" s="129" t="str">
        <f>'G-1 All Habitats'!B83</f>
        <v>Wetland - Oceanic Valley Mire[1] (D2.1)</v>
      </c>
      <c r="B84" s="100" t="str">
        <f>'G-1 All Habitats'!F83</f>
        <v>Wetland</v>
      </c>
      <c r="C84" s="100" t="str">
        <f>'G-1 All Habitats'!K83</f>
        <v>V.High</v>
      </c>
      <c r="D84" s="100" t="str">
        <f>'G-1 All Habitats'!M83</f>
        <v>Bespoke compensation likely to be required</v>
      </c>
      <c r="E84" s="111">
        <f>IF(C84="V.High",SUMIF('A-1 Site Habitat Baseline'!$G$11:$G$258,'G-2 Habitat groups'!A84,'A-1 Site Habitat Baseline'!$S$11:$S$258)+SUMIF('A-1 Site Habitat Baseline'!$G$11:$G$258,'G-2 Habitat groups'!A84,'A-1 Site Habitat Baseline'!$T$11:$T$258),SUMIF('A-1 Site Habitat Baseline'!$G$11:$G$258,'G-2 Habitat groups'!A84,'A-1 Site Habitat Baseline'!$H$11:$H$258))</f>
        <v>0</v>
      </c>
      <c r="F84" s="111">
        <f>SUMIF('A-1 Site Habitat Baseline'!$G$11:$G$258,'G-2 Habitat groups'!A84,'A-1 Site Habitat Baseline'!$Q$11:$Q$258)</f>
        <v>0</v>
      </c>
      <c r="G84" s="111">
        <f>SUMIF('A-1 Site Habitat Baseline'!$G$11:$G$258,'G-2 Habitat groups'!A84,'A-1 Site Habitat Baseline'!$S$11:$S$258)</f>
        <v>0</v>
      </c>
      <c r="H84" s="111">
        <f>SUMIF('A-1 Site Habitat Baseline'!$G$11:$G$258,'G-2 Habitat groups'!A84,'A-1 Site Habitat Baseline'!$U$11:$U$258)</f>
        <v>0</v>
      </c>
      <c r="I84" s="111">
        <f>SUMIF('A-1 Site Habitat Baseline'!$G$11:$G$258,'G-2 Habitat groups'!A84,'A-1 Site Habitat Baseline'!$W$11:$W$258)</f>
        <v>0</v>
      </c>
      <c r="J84" s="111">
        <f>SUMIF('A-1 Site Habitat Baseline'!$G$11:$G$258,'G-2 Habitat groups'!A84,'A-1 Site Habitat Baseline'!$X$11:$X$258)</f>
        <v>0</v>
      </c>
      <c r="K84" s="111">
        <f>SUMIF('A-2 Site Habitat Creation'!$F$11:$F$256,'G-2 Habitat groups'!A84,'A-2 Site Habitat Creation'!$G$11:$G$256)</f>
        <v>0</v>
      </c>
      <c r="L84" s="111">
        <f>SUMIF('A-2 Site Habitat Creation'!$F$11:$F$256,'G-2 Habitat groups'!A84,'A-2 Site Habitat Creation'!$Y$11:$Y$256)</f>
        <v>0</v>
      </c>
      <c r="M84" s="111">
        <f>SUMIF('A-3 Site Habitat Enhancement'!$S$12:$S$257,'G-2 Habitat groups'!A84,'A-3 Site Habitat Enhancement'!$V$12:$V$257)</f>
        <v>0</v>
      </c>
      <c r="N84" s="111">
        <f>SUMIF('A-3 Site Habitat Enhancement'!$S$12:$S$257,'G-2 Habitat groups'!A84,'A-3 Site Habitat Enhancement'!$AN$12:$AN$257)</f>
        <v>0</v>
      </c>
      <c r="O84" s="111">
        <f t="shared" si="53"/>
        <v>0</v>
      </c>
      <c r="P84" s="111">
        <f t="shared" si="54"/>
        <v>0</v>
      </c>
      <c r="Q84" s="111">
        <f t="shared" si="55"/>
        <v>0</v>
      </c>
      <c r="R84" s="111">
        <f t="shared" si="56"/>
        <v>0</v>
      </c>
      <c r="S84" s="111">
        <f>IF(C84="V.High",SUMIF('D-1 Off Site Habitat Baseline'!$G$11:$G$258,'G-2 Habitat groups'!A84,'D-1 Off Site Habitat Baseline'!$S$11:$S$258)+SUMIF('D-1 Off Site Habitat Baseline'!$G$11:$G$258,'G-2 Habitat groups'!A84,'D-1 Off Site Habitat Baseline'!$T$11:$T$258),SUMIF('D-1 Off Site Habitat Baseline'!$G$11:$G$258,'G-2 Habitat groups'!A84,'D-1 Off Site Habitat Baseline'!$H$11:$H$258))</f>
        <v>0</v>
      </c>
      <c r="T84" s="111">
        <f>SUMIF('D-1 Off Site Habitat Baseline'!$G$11:$G$258,'G-2 Habitat groups'!A84,'D-1 Off Site Habitat Baseline'!$Q$11:$Q$258)</f>
        <v>0</v>
      </c>
      <c r="U84" s="513">
        <f>SUMIF('D-1 Off Site Habitat Baseline'!$G$11:$G$258,'G-2 Habitat groups'!A84,'D-1 Off Site Habitat Baseline'!$S$11:$S$258)</f>
        <v>0</v>
      </c>
      <c r="V84" s="111">
        <f>SUMIF('D-1 Off Site Habitat Baseline'!$G$11:$G$258,'G-2 Habitat groups'!A84,'D-1 Off Site Habitat Baseline'!$U$11:$U$258)</f>
        <v>0</v>
      </c>
      <c r="W84" s="111">
        <f>SUMIF('D-2 Off Site Habitat Creation'!$F$9:$F$255,'G-2 Habitat groups'!A84,'D-2 Off Site Habitat Creation'!$G$9:$G$255)</f>
        <v>0</v>
      </c>
      <c r="X84" s="111">
        <f>SUMIF('D-2 Off Site Habitat Creation'!$F$9:$F$255,'G-2 Habitat groups'!A84,'D-2 Off Site Habitat Creation'!$AA$9:$AA$255)</f>
        <v>0</v>
      </c>
      <c r="Y84" s="111">
        <f>SUMIF('D-3 Off Site Habitat Enhancment'!$S$12:$S$491,'G-2 Habitat groups'!A84,'D-3 Off Site Habitat Enhancment'!$V$12:$V$491)</f>
        <v>0</v>
      </c>
      <c r="Z84" s="111">
        <f>SUMIF('D-3 Off Site Habitat Enhancment'!$S$12:$S$491,'G-2 Habitat groups'!A84,'D-3 Off Site Habitat Enhancment'!$AP$12:$AP$491)</f>
        <v>0</v>
      </c>
      <c r="AA84" s="111">
        <f t="shared" si="57"/>
        <v>0</v>
      </c>
      <c r="AB84" s="111">
        <f t="shared" si="58"/>
        <v>0</v>
      </c>
      <c r="AC84" s="111">
        <f t="shared" si="59"/>
        <v>0</v>
      </c>
      <c r="AD84" s="111">
        <f t="shared" si="60"/>
        <v>0</v>
      </c>
      <c r="AE84" s="111">
        <f t="shared" si="61"/>
        <v>0</v>
      </c>
      <c r="AF84" s="111">
        <f t="shared" si="62"/>
        <v>0</v>
      </c>
      <c r="AU84" s="129" t="s">
        <v>158</v>
      </c>
      <c r="AV84" s="100" t="s">
        <v>135</v>
      </c>
      <c r="AW84" s="111">
        <f t="shared" si="76"/>
        <v>0</v>
      </c>
      <c r="AX84" s="111">
        <f t="shared" si="64"/>
        <v>0</v>
      </c>
      <c r="AY84" s="111">
        <f t="shared" si="65"/>
        <v>5.2400000000000002E-2</v>
      </c>
      <c r="AZ84" s="111">
        <f t="shared" si="66"/>
        <v>0.19518476000000001</v>
      </c>
      <c r="BA84" s="111">
        <f t="shared" si="67"/>
        <v>5.2400000000000002E-2</v>
      </c>
      <c r="BB84" s="111">
        <f t="shared" si="68"/>
        <v>0.19518476000000001</v>
      </c>
      <c r="BC84" s="111">
        <f t="shared" si="69"/>
        <v>0</v>
      </c>
      <c r="BD84" s="111">
        <f t="shared" si="70"/>
        <v>0</v>
      </c>
      <c r="BE84" s="111">
        <f t="shared" si="77"/>
        <v>0.19518476000000001</v>
      </c>
      <c r="BF84" s="111" t="str">
        <f t="shared" si="78"/>
        <v/>
      </c>
    </row>
    <row r="85" spans="1:58" x14ac:dyDescent="0.25">
      <c r="A85" s="129" t="str">
        <f>'G-1 All Habitats'!B84</f>
        <v>Wetland - Purple moor grass and rush pastures</v>
      </c>
      <c r="B85" s="100" t="str">
        <f>'G-1 All Habitats'!F84</f>
        <v>Wetland</v>
      </c>
      <c r="C85" s="100" t="str">
        <f>'G-1 All Habitats'!K84</f>
        <v>V.High</v>
      </c>
      <c r="D85" s="100" t="str">
        <f>'G-1 All Habitats'!M84</f>
        <v>Bespoke compensation likely to be required</v>
      </c>
      <c r="E85" s="111">
        <f>IF(C85="V.High",SUMIF('A-1 Site Habitat Baseline'!$G$11:$G$258,'G-2 Habitat groups'!A85,'A-1 Site Habitat Baseline'!$S$11:$S$258)+SUMIF('A-1 Site Habitat Baseline'!$G$11:$G$258,'G-2 Habitat groups'!A85,'A-1 Site Habitat Baseline'!$T$11:$T$258),SUMIF('A-1 Site Habitat Baseline'!$G$11:$G$258,'G-2 Habitat groups'!A85,'A-1 Site Habitat Baseline'!$H$11:$H$258))</f>
        <v>0</v>
      </c>
      <c r="F85" s="111">
        <f>SUMIF('A-1 Site Habitat Baseline'!$G$11:$G$258,'G-2 Habitat groups'!A85,'A-1 Site Habitat Baseline'!$Q$11:$Q$258)</f>
        <v>0</v>
      </c>
      <c r="G85" s="111">
        <f>SUMIF('A-1 Site Habitat Baseline'!$G$11:$G$258,'G-2 Habitat groups'!A85,'A-1 Site Habitat Baseline'!$S$11:$S$258)</f>
        <v>0</v>
      </c>
      <c r="H85" s="111">
        <f>SUMIF('A-1 Site Habitat Baseline'!$G$11:$G$258,'G-2 Habitat groups'!A85,'A-1 Site Habitat Baseline'!$U$11:$U$258)</f>
        <v>0</v>
      </c>
      <c r="I85" s="111">
        <f>SUMIF('A-1 Site Habitat Baseline'!$G$11:$G$258,'G-2 Habitat groups'!A85,'A-1 Site Habitat Baseline'!$W$11:$W$258)</f>
        <v>0</v>
      </c>
      <c r="J85" s="111">
        <f>SUMIF('A-1 Site Habitat Baseline'!$G$11:$G$258,'G-2 Habitat groups'!A85,'A-1 Site Habitat Baseline'!$X$11:$X$258)</f>
        <v>0</v>
      </c>
      <c r="K85" s="111">
        <f>SUMIF('A-2 Site Habitat Creation'!$F$11:$F$256,'G-2 Habitat groups'!A85,'A-2 Site Habitat Creation'!$G$11:$G$256)</f>
        <v>0</v>
      </c>
      <c r="L85" s="111">
        <f>SUMIF('A-2 Site Habitat Creation'!$F$11:$F$256,'G-2 Habitat groups'!A85,'A-2 Site Habitat Creation'!$Y$11:$Y$256)</f>
        <v>0</v>
      </c>
      <c r="M85" s="111">
        <f>SUMIF('A-3 Site Habitat Enhancement'!$S$12:$S$257,'G-2 Habitat groups'!A85,'A-3 Site Habitat Enhancement'!$V$12:$V$257)</f>
        <v>0</v>
      </c>
      <c r="N85" s="111">
        <f>SUMIF('A-3 Site Habitat Enhancement'!$S$12:$S$257,'G-2 Habitat groups'!A85,'A-3 Site Habitat Enhancement'!$AN$12:$AN$257)</f>
        <v>0</v>
      </c>
      <c r="O85" s="111">
        <f t="shared" si="53"/>
        <v>0</v>
      </c>
      <c r="P85" s="111">
        <f t="shared" si="54"/>
        <v>0</v>
      </c>
      <c r="Q85" s="111">
        <f t="shared" si="55"/>
        <v>0</v>
      </c>
      <c r="R85" s="111">
        <f t="shared" si="56"/>
        <v>0</v>
      </c>
      <c r="S85" s="111">
        <f>IF(C85="V.High",SUMIF('D-1 Off Site Habitat Baseline'!$G$11:$G$258,'G-2 Habitat groups'!A85,'D-1 Off Site Habitat Baseline'!$S$11:$S$258)+SUMIF('D-1 Off Site Habitat Baseline'!$G$11:$G$258,'G-2 Habitat groups'!A85,'D-1 Off Site Habitat Baseline'!$T$11:$T$258),SUMIF('D-1 Off Site Habitat Baseline'!$G$11:$G$258,'G-2 Habitat groups'!A85,'D-1 Off Site Habitat Baseline'!$H$11:$H$258))</f>
        <v>0</v>
      </c>
      <c r="T85" s="111">
        <f>SUMIF('D-1 Off Site Habitat Baseline'!$G$11:$G$258,'G-2 Habitat groups'!A85,'D-1 Off Site Habitat Baseline'!$Q$11:$Q$258)</f>
        <v>0</v>
      </c>
      <c r="U85" s="513">
        <f>SUMIF('D-1 Off Site Habitat Baseline'!$G$11:$G$258,'G-2 Habitat groups'!A85,'D-1 Off Site Habitat Baseline'!$S$11:$S$258)</f>
        <v>0</v>
      </c>
      <c r="V85" s="111">
        <f>SUMIF('D-1 Off Site Habitat Baseline'!$G$11:$G$258,'G-2 Habitat groups'!A85,'D-1 Off Site Habitat Baseline'!$U$11:$U$258)</f>
        <v>0</v>
      </c>
      <c r="W85" s="111">
        <f>SUMIF('D-2 Off Site Habitat Creation'!$F$9:$F$255,'G-2 Habitat groups'!A85,'D-2 Off Site Habitat Creation'!$G$9:$G$255)</f>
        <v>0</v>
      </c>
      <c r="X85" s="111">
        <f>SUMIF('D-2 Off Site Habitat Creation'!$F$9:$F$255,'G-2 Habitat groups'!A85,'D-2 Off Site Habitat Creation'!$AA$9:$AA$255)</f>
        <v>0</v>
      </c>
      <c r="Y85" s="111">
        <f>SUMIF('D-3 Off Site Habitat Enhancment'!$S$12:$S$491,'G-2 Habitat groups'!A85,'D-3 Off Site Habitat Enhancment'!$V$12:$V$491)</f>
        <v>0</v>
      </c>
      <c r="Z85" s="111">
        <f>SUMIF('D-3 Off Site Habitat Enhancment'!$S$12:$S$491,'G-2 Habitat groups'!A85,'D-3 Off Site Habitat Enhancment'!$AP$12:$AP$491)</f>
        <v>0</v>
      </c>
      <c r="AA85" s="111">
        <f t="shared" si="57"/>
        <v>0</v>
      </c>
      <c r="AB85" s="111">
        <f t="shared" si="58"/>
        <v>0</v>
      </c>
      <c r="AC85" s="111">
        <f t="shared" si="59"/>
        <v>0</v>
      </c>
      <c r="AD85" s="111">
        <f t="shared" si="60"/>
        <v>0</v>
      </c>
      <c r="AE85" s="111">
        <f t="shared" si="61"/>
        <v>0</v>
      </c>
      <c r="AF85" s="111">
        <f t="shared" si="62"/>
        <v>0</v>
      </c>
      <c r="AU85" s="129" t="s">
        <v>152</v>
      </c>
      <c r="AV85" s="100" t="s">
        <v>135</v>
      </c>
      <c r="AW85" s="111">
        <f t="shared" si="76"/>
        <v>0</v>
      </c>
      <c r="AX85" s="111">
        <f t="shared" si="64"/>
        <v>0</v>
      </c>
      <c r="AY85" s="111">
        <f t="shared" si="65"/>
        <v>0</v>
      </c>
      <c r="AZ85" s="111">
        <f t="shared" si="66"/>
        <v>0</v>
      </c>
      <c r="BA85" s="111">
        <f t="shared" si="67"/>
        <v>0</v>
      </c>
      <c r="BB85" s="111">
        <f t="shared" si="68"/>
        <v>0</v>
      </c>
      <c r="BC85" s="111">
        <f t="shared" si="69"/>
        <v>0</v>
      </c>
      <c r="BD85" s="111">
        <f t="shared" si="70"/>
        <v>0</v>
      </c>
      <c r="BE85" s="111">
        <f t="shared" si="77"/>
        <v>0</v>
      </c>
      <c r="BF85" s="111" t="str">
        <f t="shared" si="78"/>
        <v/>
      </c>
    </row>
    <row r="86" spans="1:58" x14ac:dyDescent="0.25">
      <c r="A86" s="129" t="str">
        <f>'G-1 All Habitats'!B85</f>
        <v>Wetland - Reedbeds</v>
      </c>
      <c r="B86" s="100" t="str">
        <f>'G-1 All Habitats'!F85</f>
        <v>Wetland</v>
      </c>
      <c r="C86" s="100" t="str">
        <f>'G-1 All Habitats'!K85</f>
        <v>High</v>
      </c>
      <c r="D86" s="100" t="str">
        <f>'G-1 All Habitats'!M85</f>
        <v>Same habitat required</v>
      </c>
      <c r="E86" s="111">
        <f>IF(C86="V.High",SUMIF('A-1 Site Habitat Baseline'!$G$11:$G$258,'G-2 Habitat groups'!A86,'A-1 Site Habitat Baseline'!$S$11:$S$258)+SUMIF('A-1 Site Habitat Baseline'!$G$11:$G$258,'G-2 Habitat groups'!A86,'A-1 Site Habitat Baseline'!$T$11:$T$258),SUMIF('A-1 Site Habitat Baseline'!$G$11:$G$258,'G-2 Habitat groups'!A86,'A-1 Site Habitat Baseline'!$H$11:$H$258))</f>
        <v>0</v>
      </c>
      <c r="F86" s="111">
        <f>SUMIF('A-1 Site Habitat Baseline'!$G$11:$G$258,'G-2 Habitat groups'!A86,'A-1 Site Habitat Baseline'!$Q$11:$Q$258)</f>
        <v>0</v>
      </c>
      <c r="G86" s="111">
        <f>SUMIF('A-1 Site Habitat Baseline'!$G$11:$G$258,'G-2 Habitat groups'!A86,'A-1 Site Habitat Baseline'!$S$11:$S$258)</f>
        <v>0</v>
      </c>
      <c r="H86" s="111">
        <f>SUMIF('A-1 Site Habitat Baseline'!$G$11:$G$258,'G-2 Habitat groups'!A86,'A-1 Site Habitat Baseline'!$U$11:$U$258)</f>
        <v>0</v>
      </c>
      <c r="I86" s="111">
        <f>SUMIF('A-1 Site Habitat Baseline'!$G$11:$G$258,'G-2 Habitat groups'!A86,'A-1 Site Habitat Baseline'!$W$11:$W$258)</f>
        <v>0</v>
      </c>
      <c r="J86" s="111">
        <f>SUMIF('A-1 Site Habitat Baseline'!$G$11:$G$258,'G-2 Habitat groups'!A86,'A-1 Site Habitat Baseline'!$X$11:$X$258)</f>
        <v>0</v>
      </c>
      <c r="K86" s="111">
        <f>SUMIF('A-2 Site Habitat Creation'!$F$11:$F$256,'G-2 Habitat groups'!A86,'A-2 Site Habitat Creation'!$G$11:$G$256)</f>
        <v>0</v>
      </c>
      <c r="L86" s="111">
        <f>SUMIF('A-2 Site Habitat Creation'!$F$11:$F$256,'G-2 Habitat groups'!A86,'A-2 Site Habitat Creation'!$Y$11:$Y$256)</f>
        <v>0</v>
      </c>
      <c r="M86" s="111">
        <f>SUMIF('A-3 Site Habitat Enhancement'!$S$12:$S$257,'G-2 Habitat groups'!A86,'A-3 Site Habitat Enhancement'!$V$12:$V$257)</f>
        <v>0</v>
      </c>
      <c r="N86" s="111">
        <f>SUMIF('A-3 Site Habitat Enhancement'!$S$12:$S$257,'G-2 Habitat groups'!A86,'A-3 Site Habitat Enhancement'!$AN$12:$AN$257)</f>
        <v>0</v>
      </c>
      <c r="O86" s="111">
        <f t="shared" si="53"/>
        <v>0</v>
      </c>
      <c r="P86" s="111">
        <f t="shared" si="54"/>
        <v>0</v>
      </c>
      <c r="Q86" s="111">
        <f t="shared" si="55"/>
        <v>0</v>
      </c>
      <c r="R86" s="111">
        <f t="shared" si="56"/>
        <v>0</v>
      </c>
      <c r="S86" s="111">
        <f>IF(C86="V.High",SUMIF('D-1 Off Site Habitat Baseline'!$G$11:$G$258,'G-2 Habitat groups'!A86,'D-1 Off Site Habitat Baseline'!$S$11:$S$258)+SUMIF('D-1 Off Site Habitat Baseline'!$G$11:$G$258,'G-2 Habitat groups'!A86,'D-1 Off Site Habitat Baseline'!$T$11:$T$258),SUMIF('D-1 Off Site Habitat Baseline'!$G$11:$G$258,'G-2 Habitat groups'!A86,'D-1 Off Site Habitat Baseline'!$H$11:$H$258))</f>
        <v>0</v>
      </c>
      <c r="T86" s="111">
        <f>SUMIF('D-1 Off Site Habitat Baseline'!$G$11:$G$258,'G-2 Habitat groups'!A86,'D-1 Off Site Habitat Baseline'!$Q$11:$Q$258)</f>
        <v>0</v>
      </c>
      <c r="U86" s="513">
        <f>SUMIF('D-1 Off Site Habitat Baseline'!$G$11:$G$258,'G-2 Habitat groups'!A86,'D-1 Off Site Habitat Baseline'!$S$11:$S$258)</f>
        <v>0</v>
      </c>
      <c r="V86" s="111">
        <f>SUMIF('D-1 Off Site Habitat Baseline'!$G$11:$G$258,'G-2 Habitat groups'!A86,'D-1 Off Site Habitat Baseline'!$U$11:$U$258)</f>
        <v>0</v>
      </c>
      <c r="W86" s="111">
        <f>SUMIF('D-2 Off Site Habitat Creation'!$F$9:$F$255,'G-2 Habitat groups'!A86,'D-2 Off Site Habitat Creation'!$G$9:$G$255)</f>
        <v>0</v>
      </c>
      <c r="X86" s="111">
        <f>SUMIF('D-2 Off Site Habitat Creation'!$F$9:$F$255,'G-2 Habitat groups'!A86,'D-2 Off Site Habitat Creation'!$AA$9:$AA$255)</f>
        <v>0</v>
      </c>
      <c r="Y86" s="111">
        <f>SUMIF('D-3 Off Site Habitat Enhancment'!$S$12:$S$491,'G-2 Habitat groups'!A86,'D-3 Off Site Habitat Enhancment'!$V$12:$V$491)</f>
        <v>0</v>
      </c>
      <c r="Z86" s="111">
        <f>SUMIF('D-3 Off Site Habitat Enhancment'!$S$12:$S$491,'G-2 Habitat groups'!A86,'D-3 Off Site Habitat Enhancment'!$AP$12:$AP$491)</f>
        <v>0</v>
      </c>
      <c r="AA86" s="111">
        <f t="shared" si="57"/>
        <v>0</v>
      </c>
      <c r="AB86" s="111">
        <f t="shared" si="58"/>
        <v>0</v>
      </c>
      <c r="AC86" s="111">
        <f t="shared" si="59"/>
        <v>0</v>
      </c>
      <c r="AD86" s="111">
        <f t="shared" si="60"/>
        <v>0</v>
      </c>
      <c r="AE86" s="111">
        <f t="shared" si="61"/>
        <v>0</v>
      </c>
      <c r="AF86" s="111">
        <f t="shared" si="62"/>
        <v>0</v>
      </c>
      <c r="AU86" s="129" t="s">
        <v>265</v>
      </c>
      <c r="AV86" s="100" t="s">
        <v>164</v>
      </c>
      <c r="AW86" s="111">
        <f t="shared" si="76"/>
        <v>0</v>
      </c>
      <c r="AX86" s="111">
        <f t="shared" si="64"/>
        <v>0</v>
      </c>
      <c r="AY86" s="111">
        <f t="shared" si="65"/>
        <v>0</v>
      </c>
      <c r="AZ86" s="111">
        <f t="shared" si="66"/>
        <v>0</v>
      </c>
      <c r="BA86" s="111">
        <f t="shared" si="67"/>
        <v>0</v>
      </c>
      <c r="BB86" s="111">
        <f t="shared" si="68"/>
        <v>0</v>
      </c>
      <c r="BC86" s="111">
        <f t="shared" si="69"/>
        <v>0</v>
      </c>
      <c r="BD86" s="111">
        <f t="shared" si="70"/>
        <v>0</v>
      </c>
      <c r="BE86" s="111">
        <f t="shared" si="77"/>
        <v>0</v>
      </c>
      <c r="BF86" s="111" t="str">
        <f t="shared" si="78"/>
        <v/>
      </c>
    </row>
    <row r="87" spans="1:58" x14ac:dyDescent="0.25">
      <c r="A87" s="129" t="str">
        <f>'G-1 All Habitats'!B86</f>
        <v>Wetland - Transition mires and quaking bogs (H7140)</v>
      </c>
      <c r="B87" s="100" t="str">
        <f>'G-1 All Habitats'!F86</f>
        <v>Wetland</v>
      </c>
      <c r="C87" s="100" t="str">
        <f>'G-1 All Habitats'!K86</f>
        <v>V.High</v>
      </c>
      <c r="D87" s="100" t="str">
        <f>'G-1 All Habitats'!M86</f>
        <v>Bespoke compensation likely to be required</v>
      </c>
      <c r="E87" s="111">
        <f>IF(C87="V.High",SUMIF('A-1 Site Habitat Baseline'!$G$11:$G$258,'G-2 Habitat groups'!A87,'A-1 Site Habitat Baseline'!$S$11:$S$258)+SUMIF('A-1 Site Habitat Baseline'!$G$11:$G$258,'G-2 Habitat groups'!A87,'A-1 Site Habitat Baseline'!$T$11:$T$258),SUMIF('A-1 Site Habitat Baseline'!$G$11:$G$258,'G-2 Habitat groups'!A87,'A-1 Site Habitat Baseline'!$H$11:$H$258))</f>
        <v>0</v>
      </c>
      <c r="F87" s="111">
        <f>SUMIF('A-1 Site Habitat Baseline'!$G$11:$G$258,'G-2 Habitat groups'!A87,'A-1 Site Habitat Baseline'!$Q$11:$Q$258)</f>
        <v>0</v>
      </c>
      <c r="G87" s="111">
        <f>SUMIF('A-1 Site Habitat Baseline'!$G$11:$G$258,'G-2 Habitat groups'!A87,'A-1 Site Habitat Baseline'!$S$11:$S$258)</f>
        <v>0</v>
      </c>
      <c r="H87" s="111">
        <f>SUMIF('A-1 Site Habitat Baseline'!$G$11:$G$258,'G-2 Habitat groups'!A87,'A-1 Site Habitat Baseline'!$U$11:$U$258)</f>
        <v>0</v>
      </c>
      <c r="I87" s="111">
        <f>SUMIF('A-1 Site Habitat Baseline'!$G$11:$G$258,'G-2 Habitat groups'!A87,'A-1 Site Habitat Baseline'!$W$11:$W$258)</f>
        <v>0</v>
      </c>
      <c r="J87" s="111">
        <f>SUMIF('A-1 Site Habitat Baseline'!$G$11:$G$258,'G-2 Habitat groups'!A87,'A-1 Site Habitat Baseline'!$X$11:$X$258)</f>
        <v>0</v>
      </c>
      <c r="K87" s="111">
        <f>SUMIF('A-2 Site Habitat Creation'!$F$11:$F$256,'G-2 Habitat groups'!A87,'A-2 Site Habitat Creation'!$G$11:$G$256)</f>
        <v>0</v>
      </c>
      <c r="L87" s="111">
        <f>SUMIF('A-2 Site Habitat Creation'!$F$11:$F$256,'G-2 Habitat groups'!A87,'A-2 Site Habitat Creation'!$Y$11:$Y$256)</f>
        <v>0</v>
      </c>
      <c r="M87" s="111">
        <f>SUMIF('A-3 Site Habitat Enhancement'!$S$12:$S$257,'G-2 Habitat groups'!A87,'A-3 Site Habitat Enhancement'!$V$12:$V$257)</f>
        <v>0</v>
      </c>
      <c r="N87" s="111">
        <f>SUMIF('A-3 Site Habitat Enhancement'!$S$12:$S$257,'G-2 Habitat groups'!A87,'A-3 Site Habitat Enhancement'!$AN$12:$AN$257)</f>
        <v>0</v>
      </c>
      <c r="O87" s="111">
        <f t="shared" si="53"/>
        <v>0</v>
      </c>
      <c r="P87" s="111">
        <f t="shared" si="54"/>
        <v>0</v>
      </c>
      <c r="Q87" s="111">
        <f t="shared" si="55"/>
        <v>0</v>
      </c>
      <c r="R87" s="111">
        <f t="shared" si="56"/>
        <v>0</v>
      </c>
      <c r="S87" s="111">
        <f>IF(C87="V.High",SUMIF('D-1 Off Site Habitat Baseline'!$G$11:$G$258,'G-2 Habitat groups'!A87,'D-1 Off Site Habitat Baseline'!$S$11:$S$258)+SUMIF('D-1 Off Site Habitat Baseline'!$G$11:$G$258,'G-2 Habitat groups'!A87,'D-1 Off Site Habitat Baseline'!$T$11:$T$258),SUMIF('D-1 Off Site Habitat Baseline'!$G$11:$G$258,'G-2 Habitat groups'!A87,'D-1 Off Site Habitat Baseline'!$H$11:$H$258))</f>
        <v>0</v>
      </c>
      <c r="T87" s="111">
        <f>SUMIF('D-1 Off Site Habitat Baseline'!$G$11:$G$258,'G-2 Habitat groups'!A87,'D-1 Off Site Habitat Baseline'!$Q$11:$Q$258)</f>
        <v>0</v>
      </c>
      <c r="U87" s="513">
        <f>SUMIF('D-1 Off Site Habitat Baseline'!$G$11:$G$258,'G-2 Habitat groups'!A87,'D-1 Off Site Habitat Baseline'!$S$11:$S$258)</f>
        <v>0</v>
      </c>
      <c r="V87" s="111">
        <f>SUMIF('D-1 Off Site Habitat Baseline'!$G$11:$G$258,'G-2 Habitat groups'!A87,'D-1 Off Site Habitat Baseline'!$U$11:$U$258)</f>
        <v>0</v>
      </c>
      <c r="W87" s="111">
        <f>SUMIF('D-2 Off Site Habitat Creation'!$F$9:$F$255,'G-2 Habitat groups'!A87,'D-2 Off Site Habitat Creation'!$G$9:$G$255)</f>
        <v>0</v>
      </c>
      <c r="X87" s="111">
        <f>SUMIF('D-2 Off Site Habitat Creation'!$F$9:$F$255,'G-2 Habitat groups'!A87,'D-2 Off Site Habitat Creation'!$AA$9:$AA$255)</f>
        <v>0</v>
      </c>
      <c r="Y87" s="111">
        <f>SUMIF('D-3 Off Site Habitat Enhancment'!$S$12:$S$491,'G-2 Habitat groups'!A87,'D-3 Off Site Habitat Enhancment'!$V$12:$V$491)</f>
        <v>0</v>
      </c>
      <c r="Z87" s="111">
        <f>SUMIF('D-3 Off Site Habitat Enhancment'!$S$12:$S$491,'G-2 Habitat groups'!A87,'D-3 Off Site Habitat Enhancment'!$AP$12:$AP$491)</f>
        <v>0</v>
      </c>
      <c r="AA87" s="111">
        <f t="shared" si="57"/>
        <v>0</v>
      </c>
      <c r="AB87" s="111">
        <f t="shared" si="58"/>
        <v>0</v>
      </c>
      <c r="AC87" s="111">
        <f t="shared" si="59"/>
        <v>0</v>
      </c>
      <c r="AD87" s="111">
        <f t="shared" si="60"/>
        <v>0</v>
      </c>
      <c r="AE87" s="111">
        <f t="shared" si="61"/>
        <v>0</v>
      </c>
      <c r="AF87" s="111">
        <f t="shared" si="62"/>
        <v>0</v>
      </c>
      <c r="AU87" s="129" t="s">
        <v>267</v>
      </c>
      <c r="AV87" s="100" t="s">
        <v>164</v>
      </c>
      <c r="AW87" s="111">
        <f t="shared" si="76"/>
        <v>0</v>
      </c>
      <c r="AX87" s="111">
        <f t="shared" si="64"/>
        <v>0</v>
      </c>
      <c r="AY87" s="111">
        <f t="shared" si="65"/>
        <v>0</v>
      </c>
      <c r="AZ87" s="111">
        <f t="shared" si="66"/>
        <v>0</v>
      </c>
      <c r="BA87" s="111">
        <f t="shared" si="67"/>
        <v>0</v>
      </c>
      <c r="BB87" s="111">
        <f t="shared" si="68"/>
        <v>0</v>
      </c>
      <c r="BC87" s="111">
        <f t="shared" si="69"/>
        <v>0</v>
      </c>
      <c r="BD87" s="111">
        <f t="shared" si="70"/>
        <v>0</v>
      </c>
      <c r="BE87" s="111">
        <f t="shared" si="77"/>
        <v>0</v>
      </c>
      <c r="BF87" s="111" t="str">
        <f t="shared" si="78"/>
        <v/>
      </c>
    </row>
    <row r="88" spans="1:58" x14ac:dyDescent="0.25">
      <c r="A88" s="129" t="str">
        <f>'G-1 All Habitats'!B87</f>
        <v>Woodland and forest - Felled</v>
      </c>
      <c r="B88" s="100" t="str">
        <f>'G-1 All Habitats'!F87</f>
        <v>Woodland and forest</v>
      </c>
      <c r="C88" s="100" t="str">
        <f>'G-1 All Habitats'!K87</f>
        <v>High</v>
      </c>
      <c r="D88" s="100" t="str">
        <f>'G-1 All Habitats'!M87</f>
        <v>Same habitat required</v>
      </c>
      <c r="E88" s="111">
        <f>IF(C88="V.High",SUMIF('A-1 Site Habitat Baseline'!$G$11:$G$258,'G-2 Habitat groups'!A88,'A-1 Site Habitat Baseline'!$S$11:$S$258)+SUMIF('A-1 Site Habitat Baseline'!$G$11:$G$258,'G-2 Habitat groups'!A88,'A-1 Site Habitat Baseline'!$T$11:$T$258),SUMIF('A-1 Site Habitat Baseline'!$G$11:$G$258,'G-2 Habitat groups'!A88,'A-1 Site Habitat Baseline'!$H$11:$H$258))</f>
        <v>0</v>
      </c>
      <c r="F88" s="111">
        <f>SUMIF('A-1 Site Habitat Baseline'!$G$11:$G$258,'G-2 Habitat groups'!A88,'A-1 Site Habitat Baseline'!$Q$11:$Q$258)</f>
        <v>0</v>
      </c>
      <c r="G88" s="111">
        <f>SUMIF('A-1 Site Habitat Baseline'!$G$11:$G$258,'G-2 Habitat groups'!A88,'A-1 Site Habitat Baseline'!$S$11:$S$258)</f>
        <v>0</v>
      </c>
      <c r="H88" s="111">
        <f>SUMIF('A-1 Site Habitat Baseline'!$G$11:$G$258,'G-2 Habitat groups'!A88,'A-1 Site Habitat Baseline'!$U$11:$U$258)</f>
        <v>0</v>
      </c>
      <c r="I88" s="111">
        <f>SUMIF('A-1 Site Habitat Baseline'!$G$11:$G$258,'G-2 Habitat groups'!A88,'A-1 Site Habitat Baseline'!$W$11:$W$258)</f>
        <v>0</v>
      </c>
      <c r="J88" s="111">
        <f>SUMIF('A-1 Site Habitat Baseline'!$G$11:$G$258,'G-2 Habitat groups'!A88,'A-1 Site Habitat Baseline'!$X$11:$X$258)</f>
        <v>0</v>
      </c>
      <c r="K88" s="111">
        <f>SUMIF('A-2 Site Habitat Creation'!$F$11:$F$256,'G-2 Habitat groups'!A88,'A-2 Site Habitat Creation'!$G$11:$G$256)</f>
        <v>0</v>
      </c>
      <c r="L88" s="111">
        <f>SUMIF('A-2 Site Habitat Creation'!$F$11:$F$256,'G-2 Habitat groups'!A88,'A-2 Site Habitat Creation'!$Y$11:$Y$256)</f>
        <v>0</v>
      </c>
      <c r="M88" s="111">
        <f>SUMIF('A-3 Site Habitat Enhancement'!$S$12:$S$257,'G-2 Habitat groups'!A88,'A-3 Site Habitat Enhancement'!$V$12:$V$257)</f>
        <v>0</v>
      </c>
      <c r="N88" s="111">
        <f>SUMIF('A-3 Site Habitat Enhancement'!$S$12:$S$257,'G-2 Habitat groups'!A88,'A-3 Site Habitat Enhancement'!$AN$12:$AN$257)</f>
        <v>0</v>
      </c>
      <c r="O88" s="111">
        <f t="shared" si="53"/>
        <v>0</v>
      </c>
      <c r="P88" s="111">
        <f t="shared" si="54"/>
        <v>0</v>
      </c>
      <c r="Q88" s="111">
        <f t="shared" si="55"/>
        <v>0</v>
      </c>
      <c r="R88" s="111">
        <f t="shared" si="56"/>
        <v>0</v>
      </c>
      <c r="S88" s="111">
        <f>IF(C88="V.High",SUMIF('D-1 Off Site Habitat Baseline'!$G$11:$G$258,'G-2 Habitat groups'!A88,'D-1 Off Site Habitat Baseline'!$S$11:$S$258)+SUMIF('D-1 Off Site Habitat Baseline'!$G$11:$G$258,'G-2 Habitat groups'!A88,'D-1 Off Site Habitat Baseline'!$T$11:$T$258),SUMIF('D-1 Off Site Habitat Baseline'!$G$11:$G$258,'G-2 Habitat groups'!A88,'D-1 Off Site Habitat Baseline'!$H$11:$H$258))</f>
        <v>0</v>
      </c>
      <c r="T88" s="111">
        <f>SUMIF('D-1 Off Site Habitat Baseline'!$G$11:$G$258,'G-2 Habitat groups'!A88,'D-1 Off Site Habitat Baseline'!$Q$11:$Q$258)</f>
        <v>0</v>
      </c>
      <c r="U88" s="513">
        <f>SUMIF('D-1 Off Site Habitat Baseline'!$G$11:$G$258,'G-2 Habitat groups'!A88,'D-1 Off Site Habitat Baseline'!$S$11:$S$258)</f>
        <v>0</v>
      </c>
      <c r="V88" s="111">
        <f>SUMIF('D-1 Off Site Habitat Baseline'!$G$11:$G$258,'G-2 Habitat groups'!A88,'D-1 Off Site Habitat Baseline'!$U$11:$U$258)</f>
        <v>0</v>
      </c>
      <c r="W88" s="111">
        <f>SUMIF('D-2 Off Site Habitat Creation'!$F$9:$F$255,'G-2 Habitat groups'!A88,'D-2 Off Site Habitat Creation'!$G$9:$G$255)</f>
        <v>0</v>
      </c>
      <c r="X88" s="111">
        <f>SUMIF('D-2 Off Site Habitat Creation'!$F$9:$F$255,'G-2 Habitat groups'!A88,'D-2 Off Site Habitat Creation'!$AA$9:$AA$255)</f>
        <v>0</v>
      </c>
      <c r="Y88" s="111">
        <f>SUMIF('D-3 Off Site Habitat Enhancment'!$S$12:$S$491,'G-2 Habitat groups'!A88,'D-3 Off Site Habitat Enhancment'!$V$12:$V$491)</f>
        <v>0</v>
      </c>
      <c r="Z88" s="111">
        <f>SUMIF('D-3 Off Site Habitat Enhancment'!$S$12:$S$491,'G-2 Habitat groups'!A88,'D-3 Off Site Habitat Enhancment'!$AP$12:$AP$491)</f>
        <v>0</v>
      </c>
      <c r="AA88" s="111">
        <f t="shared" si="57"/>
        <v>0</v>
      </c>
      <c r="AB88" s="111">
        <f t="shared" si="58"/>
        <v>0</v>
      </c>
      <c r="AC88" s="111">
        <f t="shared" si="59"/>
        <v>0</v>
      </c>
      <c r="AD88" s="111">
        <f t="shared" si="60"/>
        <v>0</v>
      </c>
      <c r="AE88" s="111">
        <f t="shared" si="61"/>
        <v>0</v>
      </c>
      <c r="AF88" s="111">
        <f t="shared" si="62"/>
        <v>0</v>
      </c>
      <c r="AU88" s="129" t="s">
        <v>268</v>
      </c>
      <c r="AV88" s="100" t="s">
        <v>164</v>
      </c>
      <c r="AW88" s="111">
        <f t="shared" si="76"/>
        <v>0</v>
      </c>
      <c r="AX88" s="111">
        <f t="shared" si="64"/>
        <v>0</v>
      </c>
      <c r="AY88" s="111">
        <f t="shared" si="65"/>
        <v>0</v>
      </c>
      <c r="AZ88" s="111">
        <f t="shared" si="66"/>
        <v>0</v>
      </c>
      <c r="BA88" s="111">
        <f t="shared" si="67"/>
        <v>0</v>
      </c>
      <c r="BB88" s="111">
        <f t="shared" si="68"/>
        <v>0</v>
      </c>
      <c r="BC88" s="111">
        <f t="shared" si="69"/>
        <v>0</v>
      </c>
      <c r="BD88" s="111">
        <f t="shared" si="70"/>
        <v>0</v>
      </c>
      <c r="BE88" s="111">
        <f t="shared" si="77"/>
        <v>0</v>
      </c>
      <c r="BF88" s="111" t="str">
        <f t="shared" si="78"/>
        <v/>
      </c>
    </row>
    <row r="89" spans="1:58" x14ac:dyDescent="0.25">
      <c r="A89" s="129" t="str">
        <f>'G-1 All Habitats'!B88</f>
        <v>Woodland and forest - Lowland beech and yew woodland</v>
      </c>
      <c r="B89" s="100" t="str">
        <f>'G-1 All Habitats'!F88</f>
        <v>Woodland and forest</v>
      </c>
      <c r="C89" s="100" t="str">
        <f>'G-1 All Habitats'!K88</f>
        <v>High</v>
      </c>
      <c r="D89" s="100" t="str">
        <f>'G-1 All Habitats'!M88</f>
        <v>Same habitat required</v>
      </c>
      <c r="E89" s="111">
        <f>IF(C89="V.High",SUMIF('A-1 Site Habitat Baseline'!$G$11:$G$258,'G-2 Habitat groups'!A89,'A-1 Site Habitat Baseline'!$S$11:$S$258)+SUMIF('A-1 Site Habitat Baseline'!$G$11:$G$258,'G-2 Habitat groups'!A89,'A-1 Site Habitat Baseline'!$T$11:$T$258),SUMIF('A-1 Site Habitat Baseline'!$G$11:$G$258,'G-2 Habitat groups'!A89,'A-1 Site Habitat Baseline'!$H$11:$H$258))</f>
        <v>0</v>
      </c>
      <c r="F89" s="111">
        <f>SUMIF('A-1 Site Habitat Baseline'!$G$11:$G$258,'G-2 Habitat groups'!A89,'A-1 Site Habitat Baseline'!$Q$11:$Q$258)</f>
        <v>0</v>
      </c>
      <c r="G89" s="111">
        <f>SUMIF('A-1 Site Habitat Baseline'!$G$11:$G$258,'G-2 Habitat groups'!A89,'A-1 Site Habitat Baseline'!$S$11:$S$258)</f>
        <v>0</v>
      </c>
      <c r="H89" s="111">
        <f>SUMIF('A-1 Site Habitat Baseline'!$G$11:$G$258,'G-2 Habitat groups'!A89,'A-1 Site Habitat Baseline'!$U$11:$U$258)</f>
        <v>0</v>
      </c>
      <c r="I89" s="111">
        <f>SUMIF('A-1 Site Habitat Baseline'!$G$11:$G$258,'G-2 Habitat groups'!A89,'A-1 Site Habitat Baseline'!$W$11:$W$258)</f>
        <v>0</v>
      </c>
      <c r="J89" s="111">
        <f>SUMIF('A-1 Site Habitat Baseline'!$G$11:$G$258,'G-2 Habitat groups'!A89,'A-1 Site Habitat Baseline'!$X$11:$X$258)</f>
        <v>0</v>
      </c>
      <c r="K89" s="111">
        <f>SUMIF('A-2 Site Habitat Creation'!$F$11:$F$256,'G-2 Habitat groups'!A89,'A-2 Site Habitat Creation'!$G$11:$G$256)</f>
        <v>0</v>
      </c>
      <c r="L89" s="111">
        <f>SUMIF('A-2 Site Habitat Creation'!$F$11:$F$256,'G-2 Habitat groups'!A89,'A-2 Site Habitat Creation'!$Y$11:$Y$256)</f>
        <v>0</v>
      </c>
      <c r="M89" s="111">
        <f>SUMIF('A-3 Site Habitat Enhancement'!$S$12:$S$257,'G-2 Habitat groups'!A89,'A-3 Site Habitat Enhancement'!$V$12:$V$257)</f>
        <v>0</v>
      </c>
      <c r="N89" s="111">
        <f>SUMIF('A-3 Site Habitat Enhancement'!$S$12:$S$257,'G-2 Habitat groups'!A89,'A-3 Site Habitat Enhancement'!$AN$12:$AN$257)</f>
        <v>0</v>
      </c>
      <c r="O89" s="111">
        <f t="shared" si="53"/>
        <v>0</v>
      </c>
      <c r="P89" s="111">
        <f t="shared" si="54"/>
        <v>0</v>
      </c>
      <c r="Q89" s="111">
        <f t="shared" si="55"/>
        <v>0</v>
      </c>
      <c r="R89" s="111">
        <f t="shared" si="56"/>
        <v>0</v>
      </c>
      <c r="S89" s="111">
        <f>IF(C89="V.High",SUMIF('D-1 Off Site Habitat Baseline'!$G$11:$G$258,'G-2 Habitat groups'!A89,'D-1 Off Site Habitat Baseline'!$S$11:$S$258)+SUMIF('D-1 Off Site Habitat Baseline'!$G$11:$G$258,'G-2 Habitat groups'!A89,'D-1 Off Site Habitat Baseline'!$T$11:$T$258),SUMIF('D-1 Off Site Habitat Baseline'!$G$11:$G$258,'G-2 Habitat groups'!A89,'D-1 Off Site Habitat Baseline'!$H$11:$H$258))</f>
        <v>0</v>
      </c>
      <c r="T89" s="111">
        <f>SUMIF('D-1 Off Site Habitat Baseline'!$G$11:$G$258,'G-2 Habitat groups'!A89,'D-1 Off Site Habitat Baseline'!$Q$11:$Q$258)</f>
        <v>0</v>
      </c>
      <c r="U89" s="513">
        <f>SUMIF('D-1 Off Site Habitat Baseline'!$G$11:$G$258,'G-2 Habitat groups'!A89,'D-1 Off Site Habitat Baseline'!$S$11:$S$258)</f>
        <v>0</v>
      </c>
      <c r="V89" s="111">
        <f>SUMIF('D-1 Off Site Habitat Baseline'!$G$11:$G$258,'G-2 Habitat groups'!A89,'D-1 Off Site Habitat Baseline'!$U$11:$U$258)</f>
        <v>0</v>
      </c>
      <c r="W89" s="111">
        <f>SUMIF('D-2 Off Site Habitat Creation'!$F$9:$F$255,'G-2 Habitat groups'!A89,'D-2 Off Site Habitat Creation'!$G$9:$G$255)</f>
        <v>0</v>
      </c>
      <c r="X89" s="111">
        <f>SUMIF('D-2 Off Site Habitat Creation'!$F$9:$F$255,'G-2 Habitat groups'!A89,'D-2 Off Site Habitat Creation'!$AA$9:$AA$255)</f>
        <v>0</v>
      </c>
      <c r="Y89" s="111">
        <f>SUMIF('D-3 Off Site Habitat Enhancment'!$S$12:$S$491,'G-2 Habitat groups'!A89,'D-3 Off Site Habitat Enhancment'!$V$12:$V$491)</f>
        <v>0</v>
      </c>
      <c r="Z89" s="111">
        <f>SUMIF('D-3 Off Site Habitat Enhancment'!$S$12:$S$491,'G-2 Habitat groups'!A89,'D-3 Off Site Habitat Enhancment'!$AP$12:$AP$491)</f>
        <v>0</v>
      </c>
      <c r="AA89" s="111">
        <f t="shared" si="57"/>
        <v>0</v>
      </c>
      <c r="AB89" s="111">
        <f t="shared" si="58"/>
        <v>0</v>
      </c>
      <c r="AC89" s="111">
        <f t="shared" si="59"/>
        <v>0</v>
      </c>
      <c r="AD89" s="111">
        <f t="shared" si="60"/>
        <v>0</v>
      </c>
      <c r="AE89" s="111">
        <f t="shared" si="61"/>
        <v>0</v>
      </c>
      <c r="AF89" s="111">
        <f t="shared" si="62"/>
        <v>0</v>
      </c>
      <c r="AU89" s="129" t="s">
        <v>269</v>
      </c>
      <c r="AV89" s="100" t="s">
        <v>164</v>
      </c>
      <c r="AW89" s="111">
        <f t="shared" si="76"/>
        <v>0</v>
      </c>
      <c r="AX89" s="111">
        <f t="shared" si="64"/>
        <v>0</v>
      </c>
      <c r="AY89" s="111">
        <f t="shared" si="65"/>
        <v>0</v>
      </c>
      <c r="AZ89" s="111">
        <f t="shared" si="66"/>
        <v>0</v>
      </c>
      <c r="BA89" s="111">
        <f t="shared" si="67"/>
        <v>0</v>
      </c>
      <c r="BB89" s="111">
        <f t="shared" si="68"/>
        <v>0</v>
      </c>
      <c r="BC89" s="111">
        <f t="shared" si="69"/>
        <v>0</v>
      </c>
      <c r="BD89" s="111">
        <f t="shared" si="70"/>
        <v>0</v>
      </c>
      <c r="BE89" s="111">
        <f t="shared" si="77"/>
        <v>0</v>
      </c>
      <c r="BF89" s="111" t="str">
        <f t="shared" si="78"/>
        <v/>
      </c>
    </row>
    <row r="90" spans="1:58" x14ac:dyDescent="0.25">
      <c r="A90" s="129" t="str">
        <f>'G-1 All Habitats'!B89</f>
        <v>Woodland and forest - Lowland mixed deciduous woodland</v>
      </c>
      <c r="B90" s="100" t="str">
        <f>'G-1 All Habitats'!F89</f>
        <v>Woodland and forest</v>
      </c>
      <c r="C90" s="100" t="str">
        <f>'G-1 All Habitats'!K89</f>
        <v>High</v>
      </c>
      <c r="D90" s="100" t="str">
        <f>'G-1 All Habitats'!M89</f>
        <v>Same habitat required</v>
      </c>
      <c r="E90" s="111">
        <f>IF(C90="V.High",SUMIF('A-1 Site Habitat Baseline'!$G$11:$G$258,'G-2 Habitat groups'!A90,'A-1 Site Habitat Baseline'!$S$11:$S$258)+SUMIF('A-1 Site Habitat Baseline'!$G$11:$G$258,'G-2 Habitat groups'!A90,'A-1 Site Habitat Baseline'!$T$11:$T$258),SUMIF('A-1 Site Habitat Baseline'!$G$11:$G$258,'G-2 Habitat groups'!A90,'A-1 Site Habitat Baseline'!$H$11:$H$258))</f>
        <v>0</v>
      </c>
      <c r="F90" s="111">
        <f>SUMIF('A-1 Site Habitat Baseline'!$G$11:$G$258,'G-2 Habitat groups'!A90,'A-1 Site Habitat Baseline'!$Q$11:$Q$258)</f>
        <v>0</v>
      </c>
      <c r="G90" s="111">
        <f>SUMIF('A-1 Site Habitat Baseline'!$G$11:$G$258,'G-2 Habitat groups'!A90,'A-1 Site Habitat Baseline'!$S$11:$S$258)</f>
        <v>0</v>
      </c>
      <c r="H90" s="111">
        <f>SUMIF('A-1 Site Habitat Baseline'!$G$11:$G$258,'G-2 Habitat groups'!A90,'A-1 Site Habitat Baseline'!$U$11:$U$258)</f>
        <v>0</v>
      </c>
      <c r="I90" s="111">
        <f>SUMIF('A-1 Site Habitat Baseline'!$G$11:$G$258,'G-2 Habitat groups'!A90,'A-1 Site Habitat Baseline'!$W$11:$W$258)</f>
        <v>0</v>
      </c>
      <c r="J90" s="111">
        <f>SUMIF('A-1 Site Habitat Baseline'!$G$11:$G$258,'G-2 Habitat groups'!A90,'A-1 Site Habitat Baseline'!$X$11:$X$258)</f>
        <v>0</v>
      </c>
      <c r="K90" s="111">
        <f>SUMIF('A-2 Site Habitat Creation'!$F$11:$F$256,'G-2 Habitat groups'!A90,'A-2 Site Habitat Creation'!$G$11:$G$256)</f>
        <v>0</v>
      </c>
      <c r="L90" s="111">
        <f>SUMIF('A-2 Site Habitat Creation'!$F$11:$F$256,'G-2 Habitat groups'!A90,'A-2 Site Habitat Creation'!$Y$11:$Y$256)</f>
        <v>0</v>
      </c>
      <c r="M90" s="111">
        <f>SUMIF('A-3 Site Habitat Enhancement'!$S$12:$S$257,'G-2 Habitat groups'!A90,'A-3 Site Habitat Enhancement'!$V$12:$V$257)</f>
        <v>0</v>
      </c>
      <c r="N90" s="111">
        <f>SUMIF('A-3 Site Habitat Enhancement'!$S$12:$S$257,'G-2 Habitat groups'!A90,'A-3 Site Habitat Enhancement'!$AN$12:$AN$257)</f>
        <v>0</v>
      </c>
      <c r="O90" s="111">
        <f t="shared" si="53"/>
        <v>0</v>
      </c>
      <c r="P90" s="111">
        <f t="shared" si="54"/>
        <v>0</v>
      </c>
      <c r="Q90" s="111">
        <f t="shared" si="55"/>
        <v>0</v>
      </c>
      <c r="R90" s="111">
        <f t="shared" si="56"/>
        <v>0</v>
      </c>
      <c r="S90" s="111">
        <f>IF(C90="V.High",SUMIF('D-1 Off Site Habitat Baseline'!$G$11:$G$258,'G-2 Habitat groups'!A90,'D-1 Off Site Habitat Baseline'!$S$11:$S$258)+SUMIF('D-1 Off Site Habitat Baseline'!$G$11:$G$258,'G-2 Habitat groups'!A90,'D-1 Off Site Habitat Baseline'!$T$11:$T$258),SUMIF('D-1 Off Site Habitat Baseline'!$G$11:$G$258,'G-2 Habitat groups'!A90,'D-1 Off Site Habitat Baseline'!$H$11:$H$258))</f>
        <v>0</v>
      </c>
      <c r="T90" s="111">
        <f>SUMIF('D-1 Off Site Habitat Baseline'!$G$11:$G$258,'G-2 Habitat groups'!A90,'D-1 Off Site Habitat Baseline'!$Q$11:$Q$258)</f>
        <v>0</v>
      </c>
      <c r="U90" s="513">
        <f>SUMIF('D-1 Off Site Habitat Baseline'!$G$11:$G$258,'G-2 Habitat groups'!A90,'D-1 Off Site Habitat Baseline'!$S$11:$S$258)</f>
        <v>0</v>
      </c>
      <c r="V90" s="111">
        <f>SUMIF('D-1 Off Site Habitat Baseline'!$G$11:$G$258,'G-2 Habitat groups'!A90,'D-1 Off Site Habitat Baseline'!$U$11:$U$258)</f>
        <v>0</v>
      </c>
      <c r="W90" s="111">
        <f>SUMIF('D-2 Off Site Habitat Creation'!$F$9:$F$255,'G-2 Habitat groups'!A90,'D-2 Off Site Habitat Creation'!$G$9:$G$255)</f>
        <v>0</v>
      </c>
      <c r="X90" s="111">
        <f>SUMIF('D-2 Off Site Habitat Creation'!$F$9:$F$255,'G-2 Habitat groups'!A90,'D-2 Off Site Habitat Creation'!$AA$9:$AA$255)</f>
        <v>0</v>
      </c>
      <c r="Y90" s="111">
        <f>SUMIF('D-3 Off Site Habitat Enhancment'!$S$12:$S$491,'G-2 Habitat groups'!A90,'D-3 Off Site Habitat Enhancment'!$V$12:$V$491)</f>
        <v>0</v>
      </c>
      <c r="Z90" s="111">
        <f>SUMIF('D-3 Off Site Habitat Enhancment'!$S$12:$S$491,'G-2 Habitat groups'!A90,'D-3 Off Site Habitat Enhancment'!$AP$12:$AP$491)</f>
        <v>0</v>
      </c>
      <c r="AA90" s="111">
        <f t="shared" si="57"/>
        <v>0</v>
      </c>
      <c r="AB90" s="111">
        <f t="shared" si="58"/>
        <v>0</v>
      </c>
      <c r="AC90" s="111">
        <f t="shared" si="59"/>
        <v>0</v>
      </c>
      <c r="AD90" s="111">
        <f t="shared" si="60"/>
        <v>0</v>
      </c>
      <c r="AE90" s="111">
        <f t="shared" si="61"/>
        <v>0</v>
      </c>
      <c r="AF90" s="111">
        <f t="shared" si="62"/>
        <v>0</v>
      </c>
      <c r="AU90" s="129" t="s">
        <v>266</v>
      </c>
      <c r="AV90" s="100" t="s">
        <v>164</v>
      </c>
      <c r="AW90" s="111">
        <f t="shared" si="76"/>
        <v>0</v>
      </c>
      <c r="AX90" s="111">
        <f t="shared" si="64"/>
        <v>0</v>
      </c>
      <c r="AY90" s="111">
        <f t="shared" si="65"/>
        <v>0</v>
      </c>
      <c r="AZ90" s="111">
        <f t="shared" si="66"/>
        <v>0</v>
      </c>
      <c r="BA90" s="111">
        <f t="shared" si="67"/>
        <v>0</v>
      </c>
      <c r="BB90" s="111">
        <f t="shared" si="68"/>
        <v>0</v>
      </c>
      <c r="BC90" s="111">
        <f t="shared" si="69"/>
        <v>0</v>
      </c>
      <c r="BD90" s="111">
        <f t="shared" si="70"/>
        <v>0</v>
      </c>
      <c r="BE90" s="111">
        <f t="shared" si="77"/>
        <v>0</v>
      </c>
      <c r="BF90" s="111" t="str">
        <f t="shared" si="78"/>
        <v/>
      </c>
    </row>
    <row r="91" spans="1:58" x14ac:dyDescent="0.25">
      <c r="A91" s="129" t="str">
        <f>'G-1 All Habitats'!B90</f>
        <v>Woodland and forest - Native pine woodlands</v>
      </c>
      <c r="B91" s="100" t="str">
        <f>'G-1 All Habitats'!F90</f>
        <v>Woodland and forest</v>
      </c>
      <c r="C91" s="100" t="str">
        <f>'G-1 All Habitats'!K90</f>
        <v>High</v>
      </c>
      <c r="D91" s="100" t="str">
        <f>'G-1 All Habitats'!M90</f>
        <v>Same habitat required</v>
      </c>
      <c r="E91" s="111">
        <f>IF(C91="V.High",SUMIF('A-1 Site Habitat Baseline'!$G$11:$G$258,'G-2 Habitat groups'!A91,'A-1 Site Habitat Baseline'!$S$11:$S$258)+SUMIF('A-1 Site Habitat Baseline'!$G$11:$G$258,'G-2 Habitat groups'!A91,'A-1 Site Habitat Baseline'!$T$11:$T$258),SUMIF('A-1 Site Habitat Baseline'!$G$11:$G$258,'G-2 Habitat groups'!A91,'A-1 Site Habitat Baseline'!$H$11:$H$258))</f>
        <v>0</v>
      </c>
      <c r="F91" s="111">
        <f>SUMIF('A-1 Site Habitat Baseline'!$G$11:$G$258,'G-2 Habitat groups'!A91,'A-1 Site Habitat Baseline'!$Q$11:$Q$258)</f>
        <v>0</v>
      </c>
      <c r="G91" s="111">
        <f>SUMIF('A-1 Site Habitat Baseline'!$G$11:$G$258,'G-2 Habitat groups'!A91,'A-1 Site Habitat Baseline'!$S$11:$S$258)</f>
        <v>0</v>
      </c>
      <c r="H91" s="111">
        <f>SUMIF('A-1 Site Habitat Baseline'!$G$11:$G$258,'G-2 Habitat groups'!A91,'A-1 Site Habitat Baseline'!$U$11:$U$258)</f>
        <v>0</v>
      </c>
      <c r="I91" s="111">
        <f>SUMIF('A-1 Site Habitat Baseline'!$G$11:$G$258,'G-2 Habitat groups'!A91,'A-1 Site Habitat Baseline'!$W$11:$W$258)</f>
        <v>0</v>
      </c>
      <c r="J91" s="111">
        <f>SUMIF('A-1 Site Habitat Baseline'!$G$11:$G$258,'G-2 Habitat groups'!A91,'A-1 Site Habitat Baseline'!$X$11:$X$258)</f>
        <v>0</v>
      </c>
      <c r="K91" s="111">
        <f>SUMIF('A-2 Site Habitat Creation'!$F$11:$F$256,'G-2 Habitat groups'!A91,'A-2 Site Habitat Creation'!$G$11:$G$256)</f>
        <v>0</v>
      </c>
      <c r="L91" s="111">
        <f>SUMIF('A-2 Site Habitat Creation'!$F$11:$F$256,'G-2 Habitat groups'!A91,'A-2 Site Habitat Creation'!$Y$11:$Y$256)</f>
        <v>0</v>
      </c>
      <c r="M91" s="111">
        <f>SUMIF('A-3 Site Habitat Enhancement'!$S$12:$S$257,'G-2 Habitat groups'!A91,'A-3 Site Habitat Enhancement'!$V$12:$V$257)</f>
        <v>0</v>
      </c>
      <c r="N91" s="111">
        <f>SUMIF('A-3 Site Habitat Enhancement'!$S$12:$S$257,'G-2 Habitat groups'!A91,'A-3 Site Habitat Enhancement'!$AN$12:$AN$257)</f>
        <v>0</v>
      </c>
      <c r="O91" s="111">
        <f t="shared" si="53"/>
        <v>0</v>
      </c>
      <c r="P91" s="111">
        <f t="shared" si="54"/>
        <v>0</v>
      </c>
      <c r="Q91" s="111">
        <f t="shared" si="55"/>
        <v>0</v>
      </c>
      <c r="R91" s="111">
        <f t="shared" si="56"/>
        <v>0</v>
      </c>
      <c r="S91" s="111">
        <f>IF(C91="V.High",SUMIF('D-1 Off Site Habitat Baseline'!$G$11:$G$258,'G-2 Habitat groups'!A91,'D-1 Off Site Habitat Baseline'!$S$11:$S$258)+SUMIF('D-1 Off Site Habitat Baseline'!$G$11:$G$258,'G-2 Habitat groups'!A91,'D-1 Off Site Habitat Baseline'!$T$11:$T$258),SUMIF('D-1 Off Site Habitat Baseline'!$G$11:$G$258,'G-2 Habitat groups'!A91,'D-1 Off Site Habitat Baseline'!$H$11:$H$258))</f>
        <v>0</v>
      </c>
      <c r="T91" s="111">
        <f>SUMIF('D-1 Off Site Habitat Baseline'!$G$11:$G$258,'G-2 Habitat groups'!A91,'D-1 Off Site Habitat Baseline'!$Q$11:$Q$258)</f>
        <v>0</v>
      </c>
      <c r="U91" s="513">
        <f>SUMIF('D-1 Off Site Habitat Baseline'!$G$11:$G$258,'G-2 Habitat groups'!A91,'D-1 Off Site Habitat Baseline'!$S$11:$S$258)</f>
        <v>0</v>
      </c>
      <c r="V91" s="111">
        <f>SUMIF('D-1 Off Site Habitat Baseline'!$G$11:$G$258,'G-2 Habitat groups'!A91,'D-1 Off Site Habitat Baseline'!$U$11:$U$258)</f>
        <v>0</v>
      </c>
      <c r="W91" s="111">
        <f>SUMIF('D-2 Off Site Habitat Creation'!$F$9:$F$255,'G-2 Habitat groups'!A91,'D-2 Off Site Habitat Creation'!$G$9:$G$255)</f>
        <v>0</v>
      </c>
      <c r="X91" s="111">
        <f>SUMIF('D-2 Off Site Habitat Creation'!$F$9:$F$255,'G-2 Habitat groups'!A91,'D-2 Off Site Habitat Creation'!$AA$9:$AA$255)</f>
        <v>0</v>
      </c>
      <c r="Y91" s="111">
        <f>SUMIF('D-3 Off Site Habitat Enhancment'!$S$12:$S$491,'G-2 Habitat groups'!A91,'D-3 Off Site Habitat Enhancment'!$V$12:$V$491)</f>
        <v>0</v>
      </c>
      <c r="Z91" s="111">
        <f>SUMIF('D-3 Off Site Habitat Enhancment'!$S$12:$S$491,'G-2 Habitat groups'!A91,'D-3 Off Site Habitat Enhancment'!$AP$12:$AP$491)</f>
        <v>0</v>
      </c>
      <c r="AA91" s="111">
        <f t="shared" si="57"/>
        <v>0</v>
      </c>
      <c r="AB91" s="111">
        <f t="shared" si="58"/>
        <v>0</v>
      </c>
      <c r="AC91" s="111">
        <f t="shared" si="59"/>
        <v>0</v>
      </c>
      <c r="AD91" s="111">
        <f t="shared" si="60"/>
        <v>0</v>
      </c>
      <c r="AE91" s="111">
        <f t="shared" si="61"/>
        <v>0</v>
      </c>
      <c r="AF91" s="111">
        <f t="shared" si="62"/>
        <v>0</v>
      </c>
      <c r="AU91" s="129" t="s">
        <v>271</v>
      </c>
      <c r="AV91" s="100" t="s">
        <v>164</v>
      </c>
      <c r="AW91" s="111">
        <f t="shared" si="76"/>
        <v>5.8299999999999998E-2</v>
      </c>
      <c r="AX91" s="111">
        <f t="shared" si="64"/>
        <v>0.23319999999999999</v>
      </c>
      <c r="AY91" s="111">
        <f t="shared" si="65"/>
        <v>3.9199999999999999E-2</v>
      </c>
      <c r="AZ91" s="111">
        <f t="shared" si="66"/>
        <v>0.26242948050816001</v>
      </c>
      <c r="BA91" s="111">
        <f t="shared" si="67"/>
        <v>-1.9099999999999999E-2</v>
      </c>
      <c r="BB91" s="111">
        <f t="shared" si="68"/>
        <v>2.9229480508160016E-2</v>
      </c>
      <c r="BC91" s="111">
        <f t="shared" si="69"/>
        <v>0</v>
      </c>
      <c r="BD91" s="111">
        <f t="shared" si="70"/>
        <v>0</v>
      </c>
      <c r="BE91" s="111">
        <f t="shared" si="77"/>
        <v>2.9229480508160016E-2</v>
      </c>
      <c r="BF91" s="111" t="str">
        <f t="shared" si="78"/>
        <v/>
      </c>
    </row>
    <row r="92" spans="1:58" x14ac:dyDescent="0.25">
      <c r="A92" s="129" t="str">
        <f>'G-1 All Habitats'!B91</f>
        <v>Woodland and forest - Other coniferous woodland</v>
      </c>
      <c r="B92" s="100" t="str">
        <f>'G-1 All Habitats'!F91</f>
        <v>Woodland and forest</v>
      </c>
      <c r="C92" s="100" t="str">
        <f>'G-1 All Habitats'!K91</f>
        <v>Low</v>
      </c>
      <c r="D92" s="100" t="str">
        <f>'G-1 All Habitats'!M91</f>
        <v>Same distinctiveness or better habitat required</v>
      </c>
      <c r="E92" s="111">
        <f>IF(C92="V.High",SUMIF('A-1 Site Habitat Baseline'!$G$11:$G$258,'G-2 Habitat groups'!A92,'A-1 Site Habitat Baseline'!$S$11:$S$258)+SUMIF('A-1 Site Habitat Baseline'!$G$11:$G$258,'G-2 Habitat groups'!A92,'A-1 Site Habitat Baseline'!$T$11:$T$258),SUMIF('A-1 Site Habitat Baseline'!$G$11:$G$258,'G-2 Habitat groups'!A92,'A-1 Site Habitat Baseline'!$H$11:$H$258))</f>
        <v>0</v>
      </c>
      <c r="F92" s="111">
        <f>SUMIF('A-1 Site Habitat Baseline'!$G$11:$G$258,'G-2 Habitat groups'!A92,'A-1 Site Habitat Baseline'!$Q$11:$Q$258)</f>
        <v>0</v>
      </c>
      <c r="G92" s="111">
        <f>SUMIF('A-1 Site Habitat Baseline'!$G$11:$G$258,'G-2 Habitat groups'!A92,'A-1 Site Habitat Baseline'!$S$11:$S$258)</f>
        <v>0</v>
      </c>
      <c r="H92" s="111">
        <f>SUMIF('A-1 Site Habitat Baseline'!$G$11:$G$258,'G-2 Habitat groups'!A92,'A-1 Site Habitat Baseline'!$U$11:$U$258)</f>
        <v>0</v>
      </c>
      <c r="I92" s="111">
        <f>SUMIF('A-1 Site Habitat Baseline'!$G$11:$G$258,'G-2 Habitat groups'!A92,'A-1 Site Habitat Baseline'!$W$11:$W$258)</f>
        <v>0</v>
      </c>
      <c r="J92" s="111">
        <f>SUMIF('A-1 Site Habitat Baseline'!$G$11:$G$258,'G-2 Habitat groups'!A92,'A-1 Site Habitat Baseline'!$X$11:$X$258)</f>
        <v>0</v>
      </c>
      <c r="K92" s="111">
        <f>SUMIF('A-2 Site Habitat Creation'!$F$11:$F$256,'G-2 Habitat groups'!A92,'A-2 Site Habitat Creation'!$G$11:$G$256)</f>
        <v>0</v>
      </c>
      <c r="L92" s="111">
        <f>SUMIF('A-2 Site Habitat Creation'!$F$11:$F$256,'G-2 Habitat groups'!A92,'A-2 Site Habitat Creation'!$Y$11:$Y$256)</f>
        <v>0</v>
      </c>
      <c r="M92" s="111">
        <f>SUMIF('A-3 Site Habitat Enhancement'!$S$12:$S$257,'G-2 Habitat groups'!A92,'A-3 Site Habitat Enhancement'!$V$12:$V$257)</f>
        <v>0</v>
      </c>
      <c r="N92" s="111">
        <f>SUMIF('A-3 Site Habitat Enhancement'!$S$12:$S$257,'G-2 Habitat groups'!A92,'A-3 Site Habitat Enhancement'!$AN$12:$AN$257)</f>
        <v>0</v>
      </c>
      <c r="O92" s="111">
        <f t="shared" si="53"/>
        <v>0</v>
      </c>
      <c r="P92" s="111">
        <f t="shared" si="54"/>
        <v>0</v>
      </c>
      <c r="Q92" s="111">
        <f t="shared" si="55"/>
        <v>0</v>
      </c>
      <c r="R92" s="111">
        <f t="shared" si="56"/>
        <v>0</v>
      </c>
      <c r="S92" s="111">
        <f>IF(C92="V.High",SUMIF('D-1 Off Site Habitat Baseline'!$G$11:$G$258,'G-2 Habitat groups'!A92,'D-1 Off Site Habitat Baseline'!$S$11:$S$258)+SUMIF('D-1 Off Site Habitat Baseline'!$G$11:$G$258,'G-2 Habitat groups'!A92,'D-1 Off Site Habitat Baseline'!$T$11:$T$258),SUMIF('D-1 Off Site Habitat Baseline'!$G$11:$G$258,'G-2 Habitat groups'!A92,'D-1 Off Site Habitat Baseline'!$H$11:$H$258))</f>
        <v>0</v>
      </c>
      <c r="T92" s="111">
        <f>SUMIF('D-1 Off Site Habitat Baseline'!$G$11:$G$258,'G-2 Habitat groups'!A92,'D-1 Off Site Habitat Baseline'!$Q$11:$Q$258)</f>
        <v>0</v>
      </c>
      <c r="U92" s="513">
        <f>SUMIF('D-1 Off Site Habitat Baseline'!$G$11:$G$258,'G-2 Habitat groups'!A92,'D-1 Off Site Habitat Baseline'!$S$11:$S$258)</f>
        <v>0</v>
      </c>
      <c r="V92" s="111">
        <f>SUMIF('D-1 Off Site Habitat Baseline'!$G$11:$G$258,'G-2 Habitat groups'!A92,'D-1 Off Site Habitat Baseline'!$U$11:$U$258)</f>
        <v>0</v>
      </c>
      <c r="W92" s="111">
        <f>SUMIF('D-2 Off Site Habitat Creation'!$F$9:$F$255,'G-2 Habitat groups'!A92,'D-2 Off Site Habitat Creation'!$G$9:$G$255)</f>
        <v>0</v>
      </c>
      <c r="X92" s="111">
        <f>SUMIF('D-2 Off Site Habitat Creation'!$F$9:$F$255,'G-2 Habitat groups'!A92,'D-2 Off Site Habitat Creation'!$AA$9:$AA$255)</f>
        <v>0</v>
      </c>
      <c r="Y92" s="111">
        <f>SUMIF('D-3 Off Site Habitat Enhancment'!$S$12:$S$491,'G-2 Habitat groups'!A92,'D-3 Off Site Habitat Enhancment'!$V$12:$V$491)</f>
        <v>0</v>
      </c>
      <c r="Z92" s="111">
        <f>SUMIF('D-3 Off Site Habitat Enhancment'!$S$12:$S$491,'G-2 Habitat groups'!A92,'D-3 Off Site Habitat Enhancment'!$AP$12:$AP$491)</f>
        <v>0</v>
      </c>
      <c r="AA92" s="111">
        <f t="shared" si="57"/>
        <v>0</v>
      </c>
      <c r="AB92" s="111">
        <f t="shared" si="58"/>
        <v>0</v>
      </c>
      <c r="AC92" s="111">
        <f t="shared" si="59"/>
        <v>0</v>
      </c>
      <c r="AD92" s="111">
        <f t="shared" si="60"/>
        <v>0</v>
      </c>
      <c r="AE92" s="111">
        <f t="shared" si="61"/>
        <v>0</v>
      </c>
      <c r="AF92" s="111">
        <f t="shared" si="62"/>
        <v>0</v>
      </c>
      <c r="AU92" s="527" t="s">
        <v>1151</v>
      </c>
      <c r="AV92" s="100" t="s">
        <v>835</v>
      </c>
      <c r="AW92" s="111">
        <f t="shared" ref="AW92:AW103" si="79">VLOOKUP($AU92,AllHabsSummaryData,5,FALSE)</f>
        <v>0</v>
      </c>
      <c r="AX92" s="111">
        <f t="shared" si="64"/>
        <v>0</v>
      </c>
      <c r="AY92" s="111">
        <f t="shared" ref="AY92:AY103" si="80">VLOOKUP($AU92,AllHabsSummaryData,15,FALSE)</f>
        <v>3.0000000000000001E-3</v>
      </c>
      <c r="AZ92" s="111">
        <f t="shared" ref="AZ92:AZ103" si="81">VLOOKUP($AU92,AllHabsSummaryData,16,FALSE)</f>
        <v>1.158E-2</v>
      </c>
      <c r="BA92" s="111">
        <f t="shared" ref="BA92:BA103" si="82">VLOOKUP($AU92,AllHabsSummaryData,17,FALSE)</f>
        <v>3.0000000000000001E-3</v>
      </c>
      <c r="BB92" s="111">
        <f t="shared" ref="BB92:BB103" si="83">VLOOKUP($AU92,AllHabsSummaryData,18,FALSE)</f>
        <v>1.158E-2</v>
      </c>
      <c r="BC92" s="111">
        <f t="shared" ref="BC92:BC103" si="84">VLOOKUP($AU92,AllHabsSummaryData,27,FALSE)</f>
        <v>0</v>
      </c>
      <c r="BD92" s="111">
        <f t="shared" ref="BD92:BD103" si="85">VLOOKUP($AU92,AllHabsSummaryData,30,FALSE)</f>
        <v>0</v>
      </c>
      <c r="BE92" s="111">
        <f t="shared" ref="BE92:BE100" si="86">BB92+BD92</f>
        <v>1.158E-2</v>
      </c>
      <c r="BF92" s="111" t="str">
        <f t="shared" ref="BF92:BF100" si="87">IF(BE92&lt;0,BE92,"")</f>
        <v/>
      </c>
    </row>
    <row r="93" spans="1:58" x14ac:dyDescent="0.25">
      <c r="A93" s="129" t="str">
        <f>'G-1 All Habitats'!B92</f>
        <v>Woodland and forest - Other Scot's Pine woodland</v>
      </c>
      <c r="B93" s="100" t="str">
        <f>'G-1 All Habitats'!F92</f>
        <v>Woodland and forest</v>
      </c>
      <c r="C93" s="100" t="str">
        <f>'G-1 All Habitats'!K92</f>
        <v>Medium</v>
      </c>
      <c r="D93" s="100" t="str">
        <f>'G-1 All Habitats'!M92</f>
        <v>Same broad habitat or a higher distinctiveness habitat required</v>
      </c>
      <c r="E93" s="111">
        <f>IF(C93="V.High",SUMIF('A-1 Site Habitat Baseline'!$G$11:$G$258,'G-2 Habitat groups'!A93,'A-1 Site Habitat Baseline'!$S$11:$S$258)+SUMIF('A-1 Site Habitat Baseline'!$G$11:$G$258,'G-2 Habitat groups'!A93,'A-1 Site Habitat Baseline'!$T$11:$T$258),SUMIF('A-1 Site Habitat Baseline'!$G$11:$G$258,'G-2 Habitat groups'!A93,'A-1 Site Habitat Baseline'!$H$11:$H$258))</f>
        <v>0</v>
      </c>
      <c r="F93" s="111">
        <f>SUMIF('A-1 Site Habitat Baseline'!$G$11:$G$258,'G-2 Habitat groups'!A93,'A-1 Site Habitat Baseline'!$Q$11:$Q$258)</f>
        <v>0</v>
      </c>
      <c r="G93" s="111">
        <f>SUMIF('A-1 Site Habitat Baseline'!$G$11:$G$258,'G-2 Habitat groups'!A93,'A-1 Site Habitat Baseline'!$S$11:$S$258)</f>
        <v>0</v>
      </c>
      <c r="H93" s="111">
        <f>SUMIF('A-1 Site Habitat Baseline'!$G$11:$G$258,'G-2 Habitat groups'!A93,'A-1 Site Habitat Baseline'!$U$11:$U$258)</f>
        <v>0</v>
      </c>
      <c r="I93" s="111">
        <f>SUMIF('A-1 Site Habitat Baseline'!$G$11:$G$258,'G-2 Habitat groups'!A93,'A-1 Site Habitat Baseline'!$W$11:$W$258)</f>
        <v>0</v>
      </c>
      <c r="J93" s="111">
        <f>SUMIF('A-1 Site Habitat Baseline'!$G$11:$G$258,'G-2 Habitat groups'!A93,'A-1 Site Habitat Baseline'!$X$11:$X$258)</f>
        <v>0</v>
      </c>
      <c r="K93" s="111">
        <f>SUMIF('A-2 Site Habitat Creation'!$F$11:$F$256,'G-2 Habitat groups'!A93,'A-2 Site Habitat Creation'!$G$11:$G$256)</f>
        <v>0</v>
      </c>
      <c r="L93" s="111">
        <f>SUMIF('A-2 Site Habitat Creation'!$F$11:$F$256,'G-2 Habitat groups'!A93,'A-2 Site Habitat Creation'!$Y$11:$Y$256)</f>
        <v>0</v>
      </c>
      <c r="M93" s="111">
        <f>SUMIF('A-3 Site Habitat Enhancement'!$S$12:$S$257,'G-2 Habitat groups'!A93,'A-3 Site Habitat Enhancement'!$V$12:$V$257)</f>
        <v>0</v>
      </c>
      <c r="N93" s="111">
        <f>SUMIF('A-3 Site Habitat Enhancement'!$S$12:$S$257,'G-2 Habitat groups'!A93,'A-3 Site Habitat Enhancement'!$AN$12:$AN$257)</f>
        <v>0</v>
      </c>
      <c r="O93" s="111">
        <f t="shared" si="53"/>
        <v>0</v>
      </c>
      <c r="P93" s="111">
        <f t="shared" si="54"/>
        <v>0</v>
      </c>
      <c r="Q93" s="111">
        <f t="shared" si="55"/>
        <v>0</v>
      </c>
      <c r="R93" s="111">
        <f t="shared" si="56"/>
        <v>0</v>
      </c>
      <c r="S93" s="111">
        <f>IF(C93="V.High",SUMIF('D-1 Off Site Habitat Baseline'!$G$11:$G$258,'G-2 Habitat groups'!A93,'D-1 Off Site Habitat Baseline'!$S$11:$S$258)+SUMIF('D-1 Off Site Habitat Baseline'!$G$11:$G$258,'G-2 Habitat groups'!A93,'D-1 Off Site Habitat Baseline'!$T$11:$T$258),SUMIF('D-1 Off Site Habitat Baseline'!$G$11:$G$258,'G-2 Habitat groups'!A93,'D-1 Off Site Habitat Baseline'!$H$11:$H$258))</f>
        <v>0</v>
      </c>
      <c r="T93" s="111">
        <f>SUMIF('D-1 Off Site Habitat Baseline'!$G$11:$G$258,'G-2 Habitat groups'!A93,'D-1 Off Site Habitat Baseline'!$Q$11:$Q$258)</f>
        <v>0</v>
      </c>
      <c r="U93" s="513">
        <f>SUMIF('D-1 Off Site Habitat Baseline'!$G$11:$G$258,'G-2 Habitat groups'!A93,'D-1 Off Site Habitat Baseline'!$S$11:$S$258)</f>
        <v>0</v>
      </c>
      <c r="V93" s="111">
        <f>SUMIF('D-1 Off Site Habitat Baseline'!$G$11:$G$258,'G-2 Habitat groups'!A93,'D-1 Off Site Habitat Baseline'!$U$11:$U$258)</f>
        <v>0</v>
      </c>
      <c r="W93" s="111">
        <f>SUMIF('D-2 Off Site Habitat Creation'!$F$9:$F$255,'G-2 Habitat groups'!A93,'D-2 Off Site Habitat Creation'!$G$9:$G$255)</f>
        <v>0</v>
      </c>
      <c r="X93" s="111">
        <f>SUMIF('D-2 Off Site Habitat Creation'!$F$9:$F$255,'G-2 Habitat groups'!A93,'D-2 Off Site Habitat Creation'!$AA$9:$AA$255)</f>
        <v>0</v>
      </c>
      <c r="Y93" s="111">
        <f>SUMIF('D-3 Off Site Habitat Enhancment'!$S$12:$S$491,'G-2 Habitat groups'!A93,'D-3 Off Site Habitat Enhancment'!$V$12:$V$491)</f>
        <v>0</v>
      </c>
      <c r="Z93" s="111">
        <f>SUMIF('D-3 Off Site Habitat Enhancment'!$S$12:$S$491,'G-2 Habitat groups'!A93,'D-3 Off Site Habitat Enhancment'!$AP$12:$AP$491)</f>
        <v>0</v>
      </c>
      <c r="AA93" s="111">
        <f t="shared" si="57"/>
        <v>0</v>
      </c>
      <c r="AB93" s="111">
        <f t="shared" si="58"/>
        <v>0</v>
      </c>
      <c r="AC93" s="111">
        <f t="shared" si="59"/>
        <v>0</v>
      </c>
      <c r="AD93" s="111">
        <f t="shared" si="60"/>
        <v>0</v>
      </c>
      <c r="AE93" s="111">
        <f t="shared" si="61"/>
        <v>0</v>
      </c>
      <c r="AF93" s="111">
        <f t="shared" si="62"/>
        <v>0</v>
      </c>
      <c r="AU93" s="129" t="s">
        <v>1152</v>
      </c>
      <c r="AV93" s="100" t="s">
        <v>835</v>
      </c>
      <c r="AW93" s="111">
        <f t="shared" si="79"/>
        <v>0</v>
      </c>
      <c r="AX93" s="111">
        <f t="shared" si="64"/>
        <v>0</v>
      </c>
      <c r="AY93" s="111">
        <f t="shared" si="80"/>
        <v>0</v>
      </c>
      <c r="AZ93" s="111">
        <f t="shared" si="81"/>
        <v>0</v>
      </c>
      <c r="BA93" s="111">
        <f t="shared" si="82"/>
        <v>0</v>
      </c>
      <c r="BB93" s="111">
        <f t="shared" si="83"/>
        <v>0</v>
      </c>
      <c r="BC93" s="111">
        <f t="shared" si="84"/>
        <v>0</v>
      </c>
      <c r="BD93" s="111">
        <f t="shared" si="85"/>
        <v>0</v>
      </c>
      <c r="BE93" s="111">
        <f t="shared" si="86"/>
        <v>0</v>
      </c>
      <c r="BF93" s="111" t="str">
        <f t="shared" si="87"/>
        <v/>
      </c>
    </row>
    <row r="94" spans="1:58" x14ac:dyDescent="0.25">
      <c r="A94" s="129" t="str">
        <f>'G-1 All Habitats'!B93</f>
        <v>Woodland and forest - Other woodland; broadleaved</v>
      </c>
      <c r="B94" s="100" t="str">
        <f>'G-1 All Habitats'!F93</f>
        <v>Woodland and forest</v>
      </c>
      <c r="C94" s="100" t="str">
        <f>'G-1 All Habitats'!K93</f>
        <v>Medium</v>
      </c>
      <c r="D94" s="100" t="str">
        <f>'G-1 All Habitats'!M93</f>
        <v>Same broad habitat or a higher distinctiveness habitat required</v>
      </c>
      <c r="E94" s="111">
        <f>IF(C94="V.High",SUMIF('A-1 Site Habitat Baseline'!$G$11:$G$258,'G-2 Habitat groups'!A94,'A-1 Site Habitat Baseline'!$S$11:$S$258)+SUMIF('A-1 Site Habitat Baseline'!$G$11:$G$258,'G-2 Habitat groups'!A94,'A-1 Site Habitat Baseline'!$T$11:$T$258),SUMIF('A-1 Site Habitat Baseline'!$G$11:$G$258,'G-2 Habitat groups'!A94,'A-1 Site Habitat Baseline'!$H$11:$H$258))</f>
        <v>0</v>
      </c>
      <c r="F94" s="111">
        <f>SUMIF('A-1 Site Habitat Baseline'!$G$11:$G$258,'G-2 Habitat groups'!A94,'A-1 Site Habitat Baseline'!$Q$11:$Q$258)</f>
        <v>0</v>
      </c>
      <c r="G94" s="111">
        <f>SUMIF('A-1 Site Habitat Baseline'!$G$11:$G$258,'G-2 Habitat groups'!A94,'A-1 Site Habitat Baseline'!$S$11:$S$258)</f>
        <v>0</v>
      </c>
      <c r="H94" s="111">
        <f>SUMIF('A-1 Site Habitat Baseline'!$G$11:$G$258,'G-2 Habitat groups'!A94,'A-1 Site Habitat Baseline'!$U$11:$U$258)</f>
        <v>0</v>
      </c>
      <c r="I94" s="111">
        <f>SUMIF('A-1 Site Habitat Baseline'!$G$11:$G$258,'G-2 Habitat groups'!A94,'A-1 Site Habitat Baseline'!$W$11:$W$258)</f>
        <v>0</v>
      </c>
      <c r="J94" s="111">
        <f>SUMIF('A-1 Site Habitat Baseline'!$G$11:$G$258,'G-2 Habitat groups'!A94,'A-1 Site Habitat Baseline'!$X$11:$X$258)</f>
        <v>0</v>
      </c>
      <c r="K94" s="111">
        <f>SUMIF('A-2 Site Habitat Creation'!$F$11:$F$256,'G-2 Habitat groups'!A94,'A-2 Site Habitat Creation'!$G$11:$G$256)</f>
        <v>0</v>
      </c>
      <c r="L94" s="111">
        <f>SUMIF('A-2 Site Habitat Creation'!$F$11:$F$256,'G-2 Habitat groups'!A94,'A-2 Site Habitat Creation'!$Y$11:$Y$256)</f>
        <v>0</v>
      </c>
      <c r="M94" s="111">
        <f>SUMIF('A-3 Site Habitat Enhancement'!$S$12:$S$257,'G-2 Habitat groups'!A94,'A-3 Site Habitat Enhancement'!$V$12:$V$257)</f>
        <v>0</v>
      </c>
      <c r="N94" s="111">
        <f>SUMIF('A-3 Site Habitat Enhancement'!$S$12:$S$257,'G-2 Habitat groups'!A94,'A-3 Site Habitat Enhancement'!$AN$12:$AN$257)</f>
        <v>0</v>
      </c>
      <c r="O94" s="111">
        <f t="shared" si="53"/>
        <v>0</v>
      </c>
      <c r="P94" s="111">
        <f t="shared" si="54"/>
        <v>0</v>
      </c>
      <c r="Q94" s="111">
        <f t="shared" si="55"/>
        <v>0</v>
      </c>
      <c r="R94" s="111">
        <f t="shared" si="56"/>
        <v>0</v>
      </c>
      <c r="S94" s="111">
        <f>IF(C94="V.High",SUMIF('D-1 Off Site Habitat Baseline'!$G$11:$G$258,'G-2 Habitat groups'!A94,'D-1 Off Site Habitat Baseline'!$S$11:$S$258)+SUMIF('D-1 Off Site Habitat Baseline'!$G$11:$G$258,'G-2 Habitat groups'!A94,'D-1 Off Site Habitat Baseline'!$T$11:$T$258),SUMIF('D-1 Off Site Habitat Baseline'!$G$11:$G$258,'G-2 Habitat groups'!A94,'D-1 Off Site Habitat Baseline'!$H$11:$H$258))</f>
        <v>0</v>
      </c>
      <c r="T94" s="111">
        <f>SUMIF('D-1 Off Site Habitat Baseline'!$G$11:$G$258,'G-2 Habitat groups'!A94,'D-1 Off Site Habitat Baseline'!$Q$11:$Q$258)</f>
        <v>0</v>
      </c>
      <c r="U94" s="513">
        <f>SUMIF('D-1 Off Site Habitat Baseline'!$G$11:$G$258,'G-2 Habitat groups'!A94,'D-1 Off Site Habitat Baseline'!$S$11:$S$258)</f>
        <v>0</v>
      </c>
      <c r="V94" s="111">
        <f>SUMIF('D-1 Off Site Habitat Baseline'!$G$11:$G$258,'G-2 Habitat groups'!A94,'D-1 Off Site Habitat Baseline'!$U$11:$U$258)</f>
        <v>0</v>
      </c>
      <c r="W94" s="111">
        <f>SUMIF('D-2 Off Site Habitat Creation'!$F$9:$F$255,'G-2 Habitat groups'!A94,'D-2 Off Site Habitat Creation'!$G$9:$G$255)</f>
        <v>0</v>
      </c>
      <c r="X94" s="111">
        <f>SUMIF('D-2 Off Site Habitat Creation'!$F$9:$F$255,'G-2 Habitat groups'!A94,'D-2 Off Site Habitat Creation'!$AA$9:$AA$255)</f>
        <v>0</v>
      </c>
      <c r="Y94" s="111">
        <f>SUMIF('D-3 Off Site Habitat Enhancment'!$S$12:$S$491,'G-2 Habitat groups'!A94,'D-3 Off Site Habitat Enhancment'!$V$12:$V$491)</f>
        <v>0</v>
      </c>
      <c r="Z94" s="111">
        <f>SUMIF('D-3 Off Site Habitat Enhancment'!$S$12:$S$491,'G-2 Habitat groups'!A94,'D-3 Off Site Habitat Enhancment'!$AP$12:$AP$491)</f>
        <v>0</v>
      </c>
      <c r="AA94" s="111">
        <f t="shared" si="57"/>
        <v>0</v>
      </c>
      <c r="AB94" s="111">
        <f t="shared" si="58"/>
        <v>0</v>
      </c>
      <c r="AC94" s="111">
        <f t="shared" si="59"/>
        <v>0</v>
      </c>
      <c r="AD94" s="111">
        <f t="shared" si="60"/>
        <v>0</v>
      </c>
      <c r="AE94" s="111">
        <f t="shared" si="61"/>
        <v>0</v>
      </c>
      <c r="AF94" s="111">
        <f t="shared" si="62"/>
        <v>0</v>
      </c>
      <c r="AU94" s="129" t="s">
        <v>301</v>
      </c>
      <c r="AV94" s="100" t="s">
        <v>167</v>
      </c>
      <c r="AW94" s="111">
        <f t="shared" si="79"/>
        <v>0</v>
      </c>
      <c r="AX94" s="111">
        <f t="shared" si="64"/>
        <v>0</v>
      </c>
      <c r="AY94" s="111">
        <f t="shared" si="80"/>
        <v>0</v>
      </c>
      <c r="AZ94" s="111">
        <f t="shared" si="81"/>
        <v>0</v>
      </c>
      <c r="BA94" s="111">
        <f t="shared" si="82"/>
        <v>0</v>
      </c>
      <c r="BB94" s="111">
        <f t="shared" si="83"/>
        <v>0</v>
      </c>
      <c r="BC94" s="111">
        <f t="shared" si="84"/>
        <v>0</v>
      </c>
      <c r="BD94" s="111">
        <f t="shared" si="85"/>
        <v>0</v>
      </c>
      <c r="BE94" s="111">
        <f t="shared" si="86"/>
        <v>0</v>
      </c>
      <c r="BF94" s="111" t="str">
        <f t="shared" si="87"/>
        <v/>
      </c>
    </row>
    <row r="95" spans="1:58" x14ac:dyDescent="0.25">
      <c r="A95" s="129" t="str">
        <f>'G-1 All Habitats'!B94</f>
        <v>Woodland and forest - Other woodland; mixed</v>
      </c>
      <c r="B95" s="100" t="str">
        <f>'G-1 All Habitats'!F94</f>
        <v>Woodland and forest</v>
      </c>
      <c r="C95" s="100" t="str">
        <f>'G-1 All Habitats'!K94</f>
        <v>Medium</v>
      </c>
      <c r="D95" s="100" t="str">
        <f>'G-1 All Habitats'!M94</f>
        <v>Same broad habitat or a higher distinctiveness habitat required</v>
      </c>
      <c r="E95" s="111">
        <f>IF(C95="V.High",SUMIF('A-1 Site Habitat Baseline'!$G$11:$G$258,'G-2 Habitat groups'!A95,'A-1 Site Habitat Baseline'!$S$11:$S$258)+SUMIF('A-1 Site Habitat Baseline'!$G$11:$G$258,'G-2 Habitat groups'!A95,'A-1 Site Habitat Baseline'!$T$11:$T$258),SUMIF('A-1 Site Habitat Baseline'!$G$11:$G$258,'G-2 Habitat groups'!A95,'A-1 Site Habitat Baseline'!$H$11:$H$258))</f>
        <v>0</v>
      </c>
      <c r="F95" s="111">
        <f>SUMIF('A-1 Site Habitat Baseline'!$G$11:$G$258,'G-2 Habitat groups'!A95,'A-1 Site Habitat Baseline'!$Q$11:$Q$258)</f>
        <v>0</v>
      </c>
      <c r="G95" s="111">
        <f>SUMIF('A-1 Site Habitat Baseline'!$G$11:$G$258,'G-2 Habitat groups'!A95,'A-1 Site Habitat Baseline'!$S$11:$S$258)</f>
        <v>0</v>
      </c>
      <c r="H95" s="111">
        <f>SUMIF('A-1 Site Habitat Baseline'!$G$11:$G$258,'G-2 Habitat groups'!A95,'A-1 Site Habitat Baseline'!$U$11:$U$258)</f>
        <v>0</v>
      </c>
      <c r="I95" s="111">
        <f>SUMIF('A-1 Site Habitat Baseline'!$G$11:$G$258,'G-2 Habitat groups'!A95,'A-1 Site Habitat Baseline'!$W$11:$W$258)</f>
        <v>0</v>
      </c>
      <c r="J95" s="111">
        <f>SUMIF('A-1 Site Habitat Baseline'!$G$11:$G$258,'G-2 Habitat groups'!A95,'A-1 Site Habitat Baseline'!$X$11:$X$258)</f>
        <v>0</v>
      </c>
      <c r="K95" s="111">
        <f>SUMIF('A-2 Site Habitat Creation'!$F$11:$F$256,'G-2 Habitat groups'!A95,'A-2 Site Habitat Creation'!$G$11:$G$256)</f>
        <v>0</v>
      </c>
      <c r="L95" s="111">
        <f>SUMIF('A-2 Site Habitat Creation'!$F$11:$F$256,'G-2 Habitat groups'!A95,'A-2 Site Habitat Creation'!$Y$11:$Y$256)</f>
        <v>0</v>
      </c>
      <c r="M95" s="111">
        <f>SUMIF('A-3 Site Habitat Enhancement'!$S$12:$S$257,'G-2 Habitat groups'!A95,'A-3 Site Habitat Enhancement'!$V$12:$V$257)</f>
        <v>0</v>
      </c>
      <c r="N95" s="111">
        <f>SUMIF('A-3 Site Habitat Enhancement'!$S$12:$S$257,'G-2 Habitat groups'!A95,'A-3 Site Habitat Enhancement'!$AN$12:$AN$257)</f>
        <v>0</v>
      </c>
      <c r="O95" s="111">
        <f t="shared" si="53"/>
        <v>0</v>
      </c>
      <c r="P95" s="111">
        <f t="shared" si="54"/>
        <v>0</v>
      </c>
      <c r="Q95" s="111">
        <f t="shared" si="55"/>
        <v>0</v>
      </c>
      <c r="R95" s="111">
        <f t="shared" si="56"/>
        <v>0</v>
      </c>
      <c r="S95" s="111">
        <f>IF(C95="V.High",SUMIF('D-1 Off Site Habitat Baseline'!$G$11:$G$258,'G-2 Habitat groups'!A95,'D-1 Off Site Habitat Baseline'!$S$11:$S$258)+SUMIF('D-1 Off Site Habitat Baseline'!$G$11:$G$258,'G-2 Habitat groups'!A95,'D-1 Off Site Habitat Baseline'!$T$11:$T$258),SUMIF('D-1 Off Site Habitat Baseline'!$G$11:$G$258,'G-2 Habitat groups'!A95,'D-1 Off Site Habitat Baseline'!$H$11:$H$258))</f>
        <v>0</v>
      </c>
      <c r="T95" s="111">
        <f>SUMIF('D-1 Off Site Habitat Baseline'!$G$11:$G$258,'G-2 Habitat groups'!A95,'D-1 Off Site Habitat Baseline'!$Q$11:$Q$258)</f>
        <v>0</v>
      </c>
      <c r="U95" s="513">
        <f>SUMIF('D-1 Off Site Habitat Baseline'!$G$11:$G$258,'G-2 Habitat groups'!A95,'D-1 Off Site Habitat Baseline'!$S$11:$S$258)</f>
        <v>0</v>
      </c>
      <c r="V95" s="111">
        <f>SUMIF('D-1 Off Site Habitat Baseline'!$G$11:$G$258,'G-2 Habitat groups'!A95,'D-1 Off Site Habitat Baseline'!$U$11:$U$258)</f>
        <v>0</v>
      </c>
      <c r="W95" s="111">
        <f>SUMIF('D-2 Off Site Habitat Creation'!$F$9:$F$255,'G-2 Habitat groups'!A95,'D-2 Off Site Habitat Creation'!$G$9:$G$255)</f>
        <v>0</v>
      </c>
      <c r="X95" s="111">
        <f>SUMIF('D-2 Off Site Habitat Creation'!$F$9:$F$255,'G-2 Habitat groups'!A95,'D-2 Off Site Habitat Creation'!$AA$9:$AA$255)</f>
        <v>0</v>
      </c>
      <c r="Y95" s="111">
        <f>SUMIF('D-3 Off Site Habitat Enhancment'!$S$12:$S$491,'G-2 Habitat groups'!A95,'D-3 Off Site Habitat Enhancment'!$V$12:$V$491)</f>
        <v>0</v>
      </c>
      <c r="Z95" s="111">
        <f>SUMIF('D-3 Off Site Habitat Enhancment'!$S$12:$S$491,'G-2 Habitat groups'!A95,'D-3 Off Site Habitat Enhancment'!$AP$12:$AP$491)</f>
        <v>0</v>
      </c>
      <c r="AA95" s="111">
        <f t="shared" si="57"/>
        <v>0</v>
      </c>
      <c r="AB95" s="111">
        <f t="shared" si="58"/>
        <v>0</v>
      </c>
      <c r="AC95" s="111">
        <f t="shared" si="59"/>
        <v>0</v>
      </c>
      <c r="AD95" s="111">
        <f t="shared" si="60"/>
        <v>0</v>
      </c>
      <c r="AE95" s="111">
        <f t="shared" si="61"/>
        <v>0</v>
      </c>
      <c r="AF95" s="111">
        <f t="shared" si="62"/>
        <v>0</v>
      </c>
      <c r="AU95" s="129" t="s">
        <v>291</v>
      </c>
      <c r="AV95" s="100" t="s">
        <v>166</v>
      </c>
      <c r="AW95" s="111">
        <f t="shared" si="79"/>
        <v>0</v>
      </c>
      <c r="AX95" s="111">
        <f t="shared" si="64"/>
        <v>0</v>
      </c>
      <c r="AY95" s="111">
        <f t="shared" si="80"/>
        <v>0</v>
      </c>
      <c r="AZ95" s="111">
        <f t="shared" si="81"/>
        <v>0</v>
      </c>
      <c r="BA95" s="111">
        <f t="shared" si="82"/>
        <v>0</v>
      </c>
      <c r="BB95" s="111">
        <f t="shared" si="83"/>
        <v>0</v>
      </c>
      <c r="BC95" s="111">
        <f t="shared" si="84"/>
        <v>0</v>
      </c>
      <c r="BD95" s="111">
        <f t="shared" si="85"/>
        <v>0</v>
      </c>
      <c r="BE95" s="111">
        <f t="shared" si="86"/>
        <v>0</v>
      </c>
      <c r="BF95" s="111" t="str">
        <f t="shared" si="87"/>
        <v/>
      </c>
    </row>
    <row r="96" spans="1:58" x14ac:dyDescent="0.25">
      <c r="A96" s="129" t="str">
        <f>'G-1 All Habitats'!B95</f>
        <v>Woodland and forest - Upland birchwoods</v>
      </c>
      <c r="B96" s="100" t="str">
        <f>'G-1 All Habitats'!F95</f>
        <v>Woodland and forest</v>
      </c>
      <c r="C96" s="100" t="str">
        <f>'G-1 All Habitats'!K95</f>
        <v>High</v>
      </c>
      <c r="D96" s="100" t="str">
        <f>'G-1 All Habitats'!M95</f>
        <v>Same habitat required</v>
      </c>
      <c r="E96" s="111">
        <f>IF(C96="V.High",SUMIF('A-1 Site Habitat Baseline'!$G$11:$G$258,'G-2 Habitat groups'!A96,'A-1 Site Habitat Baseline'!$S$11:$S$258)+SUMIF('A-1 Site Habitat Baseline'!$G$11:$G$258,'G-2 Habitat groups'!A96,'A-1 Site Habitat Baseline'!$T$11:$T$258),SUMIF('A-1 Site Habitat Baseline'!$G$11:$G$258,'G-2 Habitat groups'!A96,'A-1 Site Habitat Baseline'!$H$11:$H$258))</f>
        <v>0</v>
      </c>
      <c r="F96" s="111">
        <f>SUMIF('A-1 Site Habitat Baseline'!$G$11:$G$258,'G-2 Habitat groups'!A96,'A-1 Site Habitat Baseline'!$Q$11:$Q$258)</f>
        <v>0</v>
      </c>
      <c r="G96" s="111">
        <f>SUMIF('A-1 Site Habitat Baseline'!$G$11:$G$258,'G-2 Habitat groups'!A96,'A-1 Site Habitat Baseline'!$S$11:$S$258)</f>
        <v>0</v>
      </c>
      <c r="H96" s="111">
        <f>SUMIF('A-1 Site Habitat Baseline'!$G$11:$G$258,'G-2 Habitat groups'!A96,'A-1 Site Habitat Baseline'!$U$11:$U$258)</f>
        <v>0</v>
      </c>
      <c r="I96" s="111">
        <f>SUMIF('A-1 Site Habitat Baseline'!$G$11:$G$258,'G-2 Habitat groups'!A96,'A-1 Site Habitat Baseline'!$W$11:$W$258)</f>
        <v>0</v>
      </c>
      <c r="J96" s="111">
        <f>SUMIF('A-1 Site Habitat Baseline'!$G$11:$G$258,'G-2 Habitat groups'!A96,'A-1 Site Habitat Baseline'!$X$11:$X$258)</f>
        <v>0</v>
      </c>
      <c r="K96" s="111">
        <f>SUMIF('A-2 Site Habitat Creation'!$F$11:$F$256,'G-2 Habitat groups'!A96,'A-2 Site Habitat Creation'!$G$11:$G$256)</f>
        <v>0</v>
      </c>
      <c r="L96" s="111">
        <f>SUMIF('A-2 Site Habitat Creation'!$F$11:$F$256,'G-2 Habitat groups'!A96,'A-2 Site Habitat Creation'!$Y$11:$Y$256)</f>
        <v>0</v>
      </c>
      <c r="M96" s="111">
        <f>SUMIF('A-3 Site Habitat Enhancement'!$S$12:$S$257,'G-2 Habitat groups'!A96,'A-3 Site Habitat Enhancement'!$V$12:$V$257)</f>
        <v>0</v>
      </c>
      <c r="N96" s="111">
        <f>SUMIF('A-3 Site Habitat Enhancement'!$S$12:$S$257,'G-2 Habitat groups'!A96,'A-3 Site Habitat Enhancement'!$AN$12:$AN$257)</f>
        <v>0</v>
      </c>
      <c r="O96" s="111">
        <f t="shared" si="53"/>
        <v>0</v>
      </c>
      <c r="P96" s="111">
        <f t="shared" si="54"/>
        <v>0</v>
      </c>
      <c r="Q96" s="111">
        <f t="shared" si="55"/>
        <v>0</v>
      </c>
      <c r="R96" s="111">
        <f t="shared" si="56"/>
        <v>0</v>
      </c>
      <c r="S96" s="111">
        <f>IF(C96="V.High",SUMIF('D-1 Off Site Habitat Baseline'!$G$11:$G$258,'G-2 Habitat groups'!A96,'D-1 Off Site Habitat Baseline'!$S$11:$S$258)+SUMIF('D-1 Off Site Habitat Baseline'!$G$11:$G$258,'G-2 Habitat groups'!A96,'D-1 Off Site Habitat Baseline'!$T$11:$T$258),SUMIF('D-1 Off Site Habitat Baseline'!$G$11:$G$258,'G-2 Habitat groups'!A96,'D-1 Off Site Habitat Baseline'!$H$11:$H$258))</f>
        <v>0</v>
      </c>
      <c r="T96" s="111">
        <f>SUMIF('D-1 Off Site Habitat Baseline'!$G$11:$G$258,'G-2 Habitat groups'!A96,'D-1 Off Site Habitat Baseline'!$Q$11:$Q$258)</f>
        <v>0</v>
      </c>
      <c r="U96" s="513">
        <f>SUMIF('D-1 Off Site Habitat Baseline'!$G$11:$G$258,'G-2 Habitat groups'!A96,'D-1 Off Site Habitat Baseline'!$S$11:$S$258)</f>
        <v>0</v>
      </c>
      <c r="V96" s="111">
        <f>SUMIF('D-1 Off Site Habitat Baseline'!$G$11:$G$258,'G-2 Habitat groups'!A96,'D-1 Off Site Habitat Baseline'!$U$11:$U$258)</f>
        <v>0</v>
      </c>
      <c r="W96" s="111">
        <f>SUMIF('D-2 Off Site Habitat Creation'!$F$9:$F$255,'G-2 Habitat groups'!A96,'D-2 Off Site Habitat Creation'!$G$9:$G$255)</f>
        <v>0</v>
      </c>
      <c r="X96" s="111">
        <f>SUMIF('D-2 Off Site Habitat Creation'!$F$9:$F$255,'G-2 Habitat groups'!A96,'D-2 Off Site Habitat Creation'!$AA$9:$AA$255)</f>
        <v>0</v>
      </c>
      <c r="Y96" s="111">
        <f>SUMIF('D-3 Off Site Habitat Enhancment'!$S$12:$S$491,'G-2 Habitat groups'!A96,'D-3 Off Site Habitat Enhancment'!$V$12:$V$491)</f>
        <v>0</v>
      </c>
      <c r="Z96" s="111">
        <f>SUMIF('D-3 Off Site Habitat Enhancment'!$S$12:$S$491,'G-2 Habitat groups'!A96,'D-3 Off Site Habitat Enhancment'!$AP$12:$AP$491)</f>
        <v>0</v>
      </c>
      <c r="AA96" s="111">
        <f t="shared" si="57"/>
        <v>0</v>
      </c>
      <c r="AB96" s="111">
        <f t="shared" si="58"/>
        <v>0</v>
      </c>
      <c r="AC96" s="111">
        <f t="shared" si="59"/>
        <v>0</v>
      </c>
      <c r="AD96" s="111">
        <f t="shared" si="60"/>
        <v>0</v>
      </c>
      <c r="AE96" s="111">
        <f t="shared" si="61"/>
        <v>0</v>
      </c>
      <c r="AF96" s="111">
        <f t="shared" si="62"/>
        <v>0</v>
      </c>
      <c r="AU96" s="129" t="s">
        <v>286</v>
      </c>
      <c r="AV96" s="100" t="s">
        <v>166</v>
      </c>
      <c r="AW96" s="111">
        <f t="shared" si="79"/>
        <v>0</v>
      </c>
      <c r="AX96" s="111">
        <f t="shared" si="64"/>
        <v>0</v>
      </c>
      <c r="AY96" s="111">
        <f t="shared" si="80"/>
        <v>0</v>
      </c>
      <c r="AZ96" s="111">
        <f t="shared" si="81"/>
        <v>0</v>
      </c>
      <c r="BA96" s="111">
        <f t="shared" si="82"/>
        <v>0</v>
      </c>
      <c r="BB96" s="111">
        <f t="shared" si="83"/>
        <v>0</v>
      </c>
      <c r="BC96" s="111">
        <f t="shared" si="84"/>
        <v>0</v>
      </c>
      <c r="BD96" s="111">
        <f t="shared" si="85"/>
        <v>0</v>
      </c>
      <c r="BE96" s="111">
        <f t="shared" si="86"/>
        <v>0</v>
      </c>
      <c r="BF96" s="111" t="str">
        <f t="shared" si="87"/>
        <v/>
      </c>
    </row>
    <row r="97" spans="1:59" x14ac:dyDescent="0.25">
      <c r="A97" s="129" t="str">
        <f>'G-1 All Habitats'!B96</f>
        <v>Woodland and forest - Upland mixed ashwoods</v>
      </c>
      <c r="B97" s="100" t="str">
        <f>'G-1 All Habitats'!F96</f>
        <v>Woodland and forest</v>
      </c>
      <c r="C97" s="100" t="str">
        <f>'G-1 All Habitats'!K96</f>
        <v>High</v>
      </c>
      <c r="D97" s="100" t="str">
        <f>'G-1 All Habitats'!M96</f>
        <v>Same habitat required</v>
      </c>
      <c r="E97" s="111">
        <f>IF(C97="V.High",SUMIF('A-1 Site Habitat Baseline'!$G$11:$G$258,'G-2 Habitat groups'!A97,'A-1 Site Habitat Baseline'!$S$11:$S$258)+SUMIF('A-1 Site Habitat Baseline'!$G$11:$G$258,'G-2 Habitat groups'!A97,'A-1 Site Habitat Baseline'!$T$11:$T$258),SUMIF('A-1 Site Habitat Baseline'!$G$11:$G$258,'G-2 Habitat groups'!A97,'A-1 Site Habitat Baseline'!$H$11:$H$258))</f>
        <v>0</v>
      </c>
      <c r="F97" s="111">
        <f>SUMIF('A-1 Site Habitat Baseline'!$G$11:$G$258,'G-2 Habitat groups'!A97,'A-1 Site Habitat Baseline'!$Q$11:$Q$258)</f>
        <v>0</v>
      </c>
      <c r="G97" s="111">
        <f>SUMIF('A-1 Site Habitat Baseline'!$G$11:$G$258,'G-2 Habitat groups'!A97,'A-1 Site Habitat Baseline'!$S$11:$S$258)</f>
        <v>0</v>
      </c>
      <c r="H97" s="111">
        <f>SUMIF('A-1 Site Habitat Baseline'!$G$11:$G$258,'G-2 Habitat groups'!A97,'A-1 Site Habitat Baseline'!$U$11:$U$258)</f>
        <v>0</v>
      </c>
      <c r="I97" s="111">
        <f>SUMIF('A-1 Site Habitat Baseline'!$G$11:$G$258,'G-2 Habitat groups'!A97,'A-1 Site Habitat Baseline'!$W$11:$W$258)</f>
        <v>0</v>
      </c>
      <c r="J97" s="111">
        <f>SUMIF('A-1 Site Habitat Baseline'!$G$11:$G$258,'G-2 Habitat groups'!A97,'A-1 Site Habitat Baseline'!$X$11:$X$258)</f>
        <v>0</v>
      </c>
      <c r="K97" s="111">
        <f>SUMIF('A-2 Site Habitat Creation'!$F$11:$F$256,'G-2 Habitat groups'!A97,'A-2 Site Habitat Creation'!$G$11:$G$256)</f>
        <v>0</v>
      </c>
      <c r="L97" s="111">
        <f>SUMIF('A-2 Site Habitat Creation'!$F$11:$F$256,'G-2 Habitat groups'!A97,'A-2 Site Habitat Creation'!$Y$11:$Y$256)</f>
        <v>0</v>
      </c>
      <c r="M97" s="111">
        <f>SUMIF('A-3 Site Habitat Enhancement'!$S$12:$S$257,'G-2 Habitat groups'!A97,'A-3 Site Habitat Enhancement'!$V$12:$V$257)</f>
        <v>0</v>
      </c>
      <c r="N97" s="111">
        <f>SUMIF('A-3 Site Habitat Enhancement'!$S$12:$S$257,'G-2 Habitat groups'!A97,'A-3 Site Habitat Enhancement'!$AN$12:$AN$257)</f>
        <v>0</v>
      </c>
      <c r="O97" s="111">
        <f t="shared" si="53"/>
        <v>0</v>
      </c>
      <c r="P97" s="111">
        <f t="shared" si="54"/>
        <v>0</v>
      </c>
      <c r="Q97" s="111">
        <f t="shared" si="55"/>
        <v>0</v>
      </c>
      <c r="R97" s="111">
        <f t="shared" si="56"/>
        <v>0</v>
      </c>
      <c r="S97" s="111">
        <f>IF(C97="V.High",SUMIF('D-1 Off Site Habitat Baseline'!$G$11:$G$258,'G-2 Habitat groups'!A97,'D-1 Off Site Habitat Baseline'!$S$11:$S$258)+SUMIF('D-1 Off Site Habitat Baseline'!$G$11:$G$258,'G-2 Habitat groups'!A97,'D-1 Off Site Habitat Baseline'!$T$11:$T$258),SUMIF('D-1 Off Site Habitat Baseline'!$G$11:$G$258,'G-2 Habitat groups'!A97,'D-1 Off Site Habitat Baseline'!$H$11:$H$258))</f>
        <v>0</v>
      </c>
      <c r="T97" s="111">
        <f>SUMIF('D-1 Off Site Habitat Baseline'!$G$11:$G$258,'G-2 Habitat groups'!A97,'D-1 Off Site Habitat Baseline'!$Q$11:$Q$258)</f>
        <v>0</v>
      </c>
      <c r="U97" s="513">
        <f>SUMIF('D-1 Off Site Habitat Baseline'!$G$11:$G$258,'G-2 Habitat groups'!A97,'D-1 Off Site Habitat Baseline'!$S$11:$S$258)</f>
        <v>0</v>
      </c>
      <c r="V97" s="111">
        <f>SUMIF('D-1 Off Site Habitat Baseline'!$G$11:$G$258,'G-2 Habitat groups'!A97,'D-1 Off Site Habitat Baseline'!$U$11:$U$258)</f>
        <v>0</v>
      </c>
      <c r="W97" s="111">
        <f>SUMIF('D-2 Off Site Habitat Creation'!$F$9:$F$255,'G-2 Habitat groups'!A97,'D-2 Off Site Habitat Creation'!$G$9:$G$255)</f>
        <v>0</v>
      </c>
      <c r="X97" s="111">
        <f>SUMIF('D-2 Off Site Habitat Creation'!$F$9:$F$255,'G-2 Habitat groups'!A97,'D-2 Off Site Habitat Creation'!$AA$9:$AA$255)</f>
        <v>0</v>
      </c>
      <c r="Y97" s="111">
        <f>SUMIF('D-3 Off Site Habitat Enhancment'!$S$12:$S$491,'G-2 Habitat groups'!A97,'D-3 Off Site Habitat Enhancment'!$V$12:$V$491)</f>
        <v>0</v>
      </c>
      <c r="Z97" s="111">
        <f>SUMIF('D-3 Off Site Habitat Enhancment'!$S$12:$S$491,'G-2 Habitat groups'!A97,'D-3 Off Site Habitat Enhancment'!$AP$12:$AP$491)</f>
        <v>0</v>
      </c>
      <c r="AA97" s="111">
        <f t="shared" si="57"/>
        <v>0</v>
      </c>
      <c r="AB97" s="111">
        <f t="shared" si="58"/>
        <v>0</v>
      </c>
      <c r="AC97" s="111">
        <f t="shared" si="59"/>
        <v>0</v>
      </c>
      <c r="AD97" s="111">
        <f t="shared" si="60"/>
        <v>0</v>
      </c>
      <c r="AE97" s="111">
        <f t="shared" si="61"/>
        <v>0</v>
      </c>
      <c r="AF97" s="111">
        <f t="shared" si="62"/>
        <v>0</v>
      </c>
      <c r="AU97" s="129" t="s">
        <v>290</v>
      </c>
      <c r="AV97" s="100" t="s">
        <v>166</v>
      </c>
      <c r="AW97" s="111">
        <f t="shared" si="79"/>
        <v>0</v>
      </c>
      <c r="AX97" s="111">
        <f t="shared" si="64"/>
        <v>0</v>
      </c>
      <c r="AY97" s="111">
        <f t="shared" si="80"/>
        <v>0</v>
      </c>
      <c r="AZ97" s="111">
        <f t="shared" si="81"/>
        <v>0</v>
      </c>
      <c r="BA97" s="111">
        <f t="shared" si="82"/>
        <v>0</v>
      </c>
      <c r="BB97" s="111">
        <f t="shared" si="83"/>
        <v>0</v>
      </c>
      <c r="BC97" s="111">
        <f t="shared" si="84"/>
        <v>0</v>
      </c>
      <c r="BD97" s="111">
        <f t="shared" si="85"/>
        <v>0</v>
      </c>
      <c r="BE97" s="111">
        <f t="shared" si="86"/>
        <v>0</v>
      </c>
      <c r="BF97" s="111" t="str">
        <f t="shared" si="87"/>
        <v/>
      </c>
    </row>
    <row r="98" spans="1:59" x14ac:dyDescent="0.25">
      <c r="A98" s="129" t="str">
        <f>'G-1 All Habitats'!B97</f>
        <v>Woodland and forest - Upland oakwood</v>
      </c>
      <c r="B98" s="100" t="str">
        <f>'G-1 All Habitats'!F97</f>
        <v>Woodland and forest</v>
      </c>
      <c r="C98" s="100" t="str">
        <f>'G-1 All Habitats'!K97</f>
        <v>High</v>
      </c>
      <c r="D98" s="100" t="str">
        <f>'G-1 All Habitats'!M97</f>
        <v>Same habitat required</v>
      </c>
      <c r="E98" s="111">
        <f>IF(C98="V.High",SUMIF('A-1 Site Habitat Baseline'!$G$11:$G$258,'G-2 Habitat groups'!A98,'A-1 Site Habitat Baseline'!$S$11:$S$258)+SUMIF('A-1 Site Habitat Baseline'!$G$11:$G$258,'G-2 Habitat groups'!A98,'A-1 Site Habitat Baseline'!$T$11:$T$258),SUMIF('A-1 Site Habitat Baseline'!$G$11:$G$258,'G-2 Habitat groups'!A98,'A-1 Site Habitat Baseline'!$H$11:$H$258))</f>
        <v>0</v>
      </c>
      <c r="F98" s="111">
        <f>SUMIF('A-1 Site Habitat Baseline'!$G$11:$G$258,'G-2 Habitat groups'!A98,'A-1 Site Habitat Baseline'!$Q$11:$Q$258)</f>
        <v>0</v>
      </c>
      <c r="G98" s="111">
        <f>SUMIF('A-1 Site Habitat Baseline'!$G$11:$G$258,'G-2 Habitat groups'!A98,'A-1 Site Habitat Baseline'!$S$11:$S$258)</f>
        <v>0</v>
      </c>
      <c r="H98" s="111">
        <f>SUMIF('A-1 Site Habitat Baseline'!$G$11:$G$258,'G-2 Habitat groups'!A98,'A-1 Site Habitat Baseline'!$U$11:$U$258)</f>
        <v>0</v>
      </c>
      <c r="I98" s="111">
        <f>SUMIF('A-1 Site Habitat Baseline'!$G$11:$G$258,'G-2 Habitat groups'!A98,'A-1 Site Habitat Baseline'!$W$11:$W$258)</f>
        <v>0</v>
      </c>
      <c r="J98" s="111">
        <f>SUMIF('A-1 Site Habitat Baseline'!$G$11:$G$258,'G-2 Habitat groups'!A98,'A-1 Site Habitat Baseline'!$X$11:$X$258)</f>
        <v>0</v>
      </c>
      <c r="K98" s="111">
        <f>SUMIF('A-2 Site Habitat Creation'!$F$11:$F$256,'G-2 Habitat groups'!A98,'A-2 Site Habitat Creation'!$G$11:$G$256)</f>
        <v>0</v>
      </c>
      <c r="L98" s="111">
        <f>SUMIF('A-2 Site Habitat Creation'!$F$11:$F$256,'G-2 Habitat groups'!A98,'A-2 Site Habitat Creation'!$Y$11:$Y$256)</f>
        <v>0</v>
      </c>
      <c r="M98" s="111">
        <f>SUMIF('A-3 Site Habitat Enhancement'!$S$12:$S$257,'G-2 Habitat groups'!A98,'A-3 Site Habitat Enhancement'!$V$12:$V$257)</f>
        <v>0</v>
      </c>
      <c r="N98" s="111">
        <f>SUMIF('A-3 Site Habitat Enhancement'!$S$12:$S$257,'G-2 Habitat groups'!A98,'A-3 Site Habitat Enhancement'!$AN$12:$AN$257)</f>
        <v>0</v>
      </c>
      <c r="O98" s="111">
        <f t="shared" si="53"/>
        <v>0</v>
      </c>
      <c r="P98" s="111">
        <f t="shared" si="54"/>
        <v>0</v>
      </c>
      <c r="Q98" s="111">
        <f t="shared" si="55"/>
        <v>0</v>
      </c>
      <c r="R98" s="111">
        <f t="shared" si="56"/>
        <v>0</v>
      </c>
      <c r="S98" s="111">
        <f>IF(C98="V.High",SUMIF('D-1 Off Site Habitat Baseline'!$G$11:$G$258,'G-2 Habitat groups'!A98,'D-1 Off Site Habitat Baseline'!$S$11:$S$258)+SUMIF('D-1 Off Site Habitat Baseline'!$G$11:$G$258,'G-2 Habitat groups'!A98,'D-1 Off Site Habitat Baseline'!$T$11:$T$258),SUMIF('D-1 Off Site Habitat Baseline'!$G$11:$G$258,'G-2 Habitat groups'!A98,'D-1 Off Site Habitat Baseline'!$H$11:$H$258))</f>
        <v>0</v>
      </c>
      <c r="T98" s="111">
        <f>SUMIF('D-1 Off Site Habitat Baseline'!$G$11:$G$258,'G-2 Habitat groups'!A98,'D-1 Off Site Habitat Baseline'!$Q$11:$Q$258)</f>
        <v>0</v>
      </c>
      <c r="U98" s="513">
        <f>SUMIF('D-1 Off Site Habitat Baseline'!$G$11:$G$258,'G-2 Habitat groups'!A98,'D-1 Off Site Habitat Baseline'!$S$11:$S$258)</f>
        <v>0</v>
      </c>
      <c r="V98" s="111">
        <f>SUMIF('D-1 Off Site Habitat Baseline'!$G$11:$G$258,'G-2 Habitat groups'!A98,'D-1 Off Site Habitat Baseline'!$U$11:$U$258)</f>
        <v>0</v>
      </c>
      <c r="W98" s="111">
        <f>SUMIF('D-2 Off Site Habitat Creation'!$F$9:$F$255,'G-2 Habitat groups'!A98,'D-2 Off Site Habitat Creation'!$G$9:$G$255)</f>
        <v>0</v>
      </c>
      <c r="X98" s="111">
        <f>SUMIF('D-2 Off Site Habitat Creation'!$F$9:$F$255,'G-2 Habitat groups'!A98,'D-2 Off Site Habitat Creation'!$AA$9:$AA$255)</f>
        <v>0</v>
      </c>
      <c r="Y98" s="111">
        <f>SUMIF('D-3 Off Site Habitat Enhancment'!$S$12:$S$491,'G-2 Habitat groups'!A98,'D-3 Off Site Habitat Enhancment'!$V$12:$V$491)</f>
        <v>0</v>
      </c>
      <c r="Z98" s="111">
        <f>SUMIF('D-3 Off Site Habitat Enhancment'!$S$12:$S$491,'G-2 Habitat groups'!A98,'D-3 Off Site Habitat Enhancment'!$AP$12:$AP$491)</f>
        <v>0</v>
      </c>
      <c r="AA98" s="111">
        <f t="shared" si="57"/>
        <v>0</v>
      </c>
      <c r="AB98" s="111">
        <f t="shared" si="58"/>
        <v>0</v>
      </c>
      <c r="AC98" s="111">
        <f t="shared" si="59"/>
        <v>0</v>
      </c>
      <c r="AD98" s="111">
        <f t="shared" si="60"/>
        <v>0</v>
      </c>
      <c r="AE98" s="111">
        <f t="shared" si="61"/>
        <v>0</v>
      </c>
      <c r="AF98" s="111">
        <f t="shared" si="62"/>
        <v>0</v>
      </c>
      <c r="AU98" s="129" t="s">
        <v>260</v>
      </c>
      <c r="AV98" s="100" t="s">
        <v>163</v>
      </c>
      <c r="AW98" s="111">
        <f t="shared" si="79"/>
        <v>0</v>
      </c>
      <c r="AX98" s="111">
        <f t="shared" si="64"/>
        <v>0</v>
      </c>
      <c r="AY98" s="111">
        <f t="shared" si="80"/>
        <v>0</v>
      </c>
      <c r="AZ98" s="111">
        <f t="shared" si="81"/>
        <v>0</v>
      </c>
      <c r="BA98" s="111">
        <f t="shared" si="82"/>
        <v>0</v>
      </c>
      <c r="BB98" s="111">
        <f t="shared" si="83"/>
        <v>0</v>
      </c>
      <c r="BC98" s="111">
        <f t="shared" si="84"/>
        <v>0</v>
      </c>
      <c r="BD98" s="111">
        <f t="shared" si="85"/>
        <v>0</v>
      </c>
      <c r="BE98" s="111">
        <f t="shared" si="86"/>
        <v>0</v>
      </c>
      <c r="BF98" s="111" t="str">
        <f t="shared" si="87"/>
        <v/>
      </c>
    </row>
    <row r="99" spans="1:59" x14ac:dyDescent="0.25">
      <c r="A99" s="129" t="str">
        <f>'G-1 All Habitats'!B98</f>
        <v>Woodland and forest - Wet woodland</v>
      </c>
      <c r="B99" s="100" t="str">
        <f>'G-1 All Habitats'!F98</f>
        <v>Woodland and forest</v>
      </c>
      <c r="C99" s="100" t="str">
        <f>'G-1 All Habitats'!K98</f>
        <v>High</v>
      </c>
      <c r="D99" s="100" t="str">
        <f>'G-1 All Habitats'!M98</f>
        <v>Same habitat required</v>
      </c>
      <c r="E99" s="111">
        <f>IF(C99="V.High",SUMIF('A-1 Site Habitat Baseline'!$G$11:$G$258,'G-2 Habitat groups'!A99,'A-1 Site Habitat Baseline'!$S$11:$S$258)+SUMIF('A-1 Site Habitat Baseline'!$G$11:$G$258,'G-2 Habitat groups'!A99,'A-1 Site Habitat Baseline'!$T$11:$T$258),SUMIF('A-1 Site Habitat Baseline'!$G$11:$G$258,'G-2 Habitat groups'!A99,'A-1 Site Habitat Baseline'!$H$11:$H$258))</f>
        <v>0</v>
      </c>
      <c r="F99" s="111">
        <f>SUMIF('A-1 Site Habitat Baseline'!$G$11:$G$258,'G-2 Habitat groups'!A99,'A-1 Site Habitat Baseline'!$Q$11:$Q$258)</f>
        <v>0</v>
      </c>
      <c r="G99" s="111">
        <f>SUMIF('A-1 Site Habitat Baseline'!$G$11:$G$258,'G-2 Habitat groups'!A99,'A-1 Site Habitat Baseline'!$S$11:$S$258)</f>
        <v>0</v>
      </c>
      <c r="H99" s="111">
        <f>SUMIF('A-1 Site Habitat Baseline'!$G$11:$G$258,'G-2 Habitat groups'!A99,'A-1 Site Habitat Baseline'!$U$11:$U$258)</f>
        <v>0</v>
      </c>
      <c r="I99" s="111">
        <f>SUMIF('A-1 Site Habitat Baseline'!$G$11:$G$258,'G-2 Habitat groups'!A99,'A-1 Site Habitat Baseline'!$W$11:$W$258)</f>
        <v>0</v>
      </c>
      <c r="J99" s="111">
        <f>SUMIF('A-1 Site Habitat Baseline'!$G$11:$G$258,'G-2 Habitat groups'!A99,'A-1 Site Habitat Baseline'!$X$11:$X$258)</f>
        <v>0</v>
      </c>
      <c r="K99" s="111">
        <f>SUMIF('A-2 Site Habitat Creation'!$F$11:$F$256,'G-2 Habitat groups'!A99,'A-2 Site Habitat Creation'!$G$11:$G$256)</f>
        <v>0</v>
      </c>
      <c r="L99" s="111">
        <f>SUMIF('A-2 Site Habitat Creation'!$F$11:$F$256,'G-2 Habitat groups'!A99,'A-2 Site Habitat Creation'!$Y$11:$Y$256)</f>
        <v>0</v>
      </c>
      <c r="M99" s="111">
        <f>SUMIF('A-3 Site Habitat Enhancement'!$S$12:$S$257,'G-2 Habitat groups'!A99,'A-3 Site Habitat Enhancement'!$V$12:$V$257)</f>
        <v>0</v>
      </c>
      <c r="N99" s="111">
        <f>SUMIF('A-3 Site Habitat Enhancement'!$S$12:$S$257,'G-2 Habitat groups'!A99,'A-3 Site Habitat Enhancement'!$AN$12:$AN$257)</f>
        <v>0</v>
      </c>
      <c r="O99" s="111">
        <f t="shared" si="53"/>
        <v>0</v>
      </c>
      <c r="P99" s="111">
        <f t="shared" si="54"/>
        <v>0</v>
      </c>
      <c r="Q99" s="111">
        <f t="shared" si="55"/>
        <v>0</v>
      </c>
      <c r="R99" s="111">
        <f t="shared" si="56"/>
        <v>0</v>
      </c>
      <c r="S99" s="111">
        <f>IF(C99="V.High",SUMIF('D-1 Off Site Habitat Baseline'!$G$11:$G$258,'G-2 Habitat groups'!A99,'D-1 Off Site Habitat Baseline'!$S$11:$S$258)+SUMIF('D-1 Off Site Habitat Baseline'!$G$11:$G$258,'G-2 Habitat groups'!A99,'D-1 Off Site Habitat Baseline'!$T$11:$T$258),SUMIF('D-1 Off Site Habitat Baseline'!$G$11:$G$258,'G-2 Habitat groups'!A99,'D-1 Off Site Habitat Baseline'!$H$11:$H$258))</f>
        <v>0</v>
      </c>
      <c r="T99" s="111">
        <f>SUMIF('D-1 Off Site Habitat Baseline'!$G$11:$G$258,'G-2 Habitat groups'!A99,'D-1 Off Site Habitat Baseline'!$Q$11:$Q$258)</f>
        <v>0</v>
      </c>
      <c r="U99" s="513">
        <f>SUMIF('D-1 Off Site Habitat Baseline'!$G$11:$G$258,'G-2 Habitat groups'!A99,'D-1 Off Site Habitat Baseline'!$S$11:$S$258)</f>
        <v>0</v>
      </c>
      <c r="V99" s="111">
        <f>SUMIF('D-1 Off Site Habitat Baseline'!$G$11:$G$258,'G-2 Habitat groups'!A99,'D-1 Off Site Habitat Baseline'!$U$11:$U$258)</f>
        <v>0</v>
      </c>
      <c r="W99" s="111">
        <f>SUMIF('D-2 Off Site Habitat Creation'!$F$9:$F$255,'G-2 Habitat groups'!A99,'D-2 Off Site Habitat Creation'!$G$9:$G$255)</f>
        <v>0</v>
      </c>
      <c r="X99" s="111">
        <f>SUMIF('D-2 Off Site Habitat Creation'!$F$9:$F$255,'G-2 Habitat groups'!A99,'D-2 Off Site Habitat Creation'!$AA$9:$AA$255)</f>
        <v>0</v>
      </c>
      <c r="Y99" s="111">
        <f>SUMIF('D-3 Off Site Habitat Enhancment'!$S$12:$S$491,'G-2 Habitat groups'!A99,'D-3 Off Site Habitat Enhancment'!$V$12:$V$491)</f>
        <v>0</v>
      </c>
      <c r="Z99" s="111">
        <f>SUMIF('D-3 Off Site Habitat Enhancment'!$S$12:$S$491,'G-2 Habitat groups'!A99,'D-3 Off Site Habitat Enhancment'!$AP$12:$AP$491)</f>
        <v>0</v>
      </c>
      <c r="AA99" s="111">
        <f t="shared" si="57"/>
        <v>0</v>
      </c>
      <c r="AB99" s="111">
        <f t="shared" si="58"/>
        <v>0</v>
      </c>
      <c r="AC99" s="111">
        <f t="shared" si="59"/>
        <v>0</v>
      </c>
      <c r="AD99" s="111">
        <f t="shared" si="60"/>
        <v>0</v>
      </c>
      <c r="AE99" s="111">
        <f t="shared" si="61"/>
        <v>0</v>
      </c>
      <c r="AF99" s="111">
        <f t="shared" si="62"/>
        <v>0</v>
      </c>
      <c r="AU99" s="129" t="s">
        <v>257</v>
      </c>
      <c r="AV99" s="100" t="s">
        <v>163</v>
      </c>
      <c r="AW99" s="111">
        <f t="shared" si="79"/>
        <v>0</v>
      </c>
      <c r="AX99" s="111">
        <f t="shared" si="64"/>
        <v>0</v>
      </c>
      <c r="AY99" s="111">
        <f t="shared" si="80"/>
        <v>0</v>
      </c>
      <c r="AZ99" s="111">
        <f t="shared" si="81"/>
        <v>0</v>
      </c>
      <c r="BA99" s="111">
        <f t="shared" si="82"/>
        <v>0</v>
      </c>
      <c r="BB99" s="111">
        <f t="shared" si="83"/>
        <v>0</v>
      </c>
      <c r="BC99" s="111">
        <f t="shared" si="84"/>
        <v>0</v>
      </c>
      <c r="BD99" s="111">
        <f t="shared" si="85"/>
        <v>0</v>
      </c>
      <c r="BE99" s="111">
        <f t="shared" si="86"/>
        <v>0</v>
      </c>
      <c r="BF99" s="111" t="str">
        <f t="shared" si="87"/>
        <v/>
      </c>
    </row>
    <row r="100" spans="1:59" x14ac:dyDescent="0.25">
      <c r="A100" s="129" t="str">
        <f>'G-1 All Habitats'!B99</f>
        <v>Woodland and forest - Wood-pasture and parkland</v>
      </c>
      <c r="B100" s="100" t="str">
        <f>'G-1 All Habitats'!F99</f>
        <v>Woodland and forest</v>
      </c>
      <c r="C100" s="100" t="str">
        <f>'G-1 All Habitats'!K99</f>
        <v>V.High</v>
      </c>
      <c r="D100" s="100" t="str">
        <f>'G-1 All Habitats'!M99</f>
        <v>Bespoke compensation likely to be required</v>
      </c>
      <c r="E100" s="111">
        <f>IF(C100="V.High",SUMIF('A-1 Site Habitat Baseline'!$G$11:$G$258,'G-2 Habitat groups'!A100,'A-1 Site Habitat Baseline'!$S$11:$S$258)+SUMIF('A-1 Site Habitat Baseline'!$G$11:$G$258,'G-2 Habitat groups'!A100,'A-1 Site Habitat Baseline'!$T$11:$T$258),SUMIF('A-1 Site Habitat Baseline'!$G$11:$G$258,'G-2 Habitat groups'!A100,'A-1 Site Habitat Baseline'!$H$11:$H$258))</f>
        <v>0</v>
      </c>
      <c r="F100" s="111">
        <f>SUMIF('A-1 Site Habitat Baseline'!$G$11:$G$258,'G-2 Habitat groups'!A100,'A-1 Site Habitat Baseline'!$Q$11:$Q$258)</f>
        <v>0</v>
      </c>
      <c r="G100" s="111">
        <f>SUMIF('A-1 Site Habitat Baseline'!$G$11:$G$258,'G-2 Habitat groups'!A100,'A-1 Site Habitat Baseline'!$S$11:$S$258)</f>
        <v>0</v>
      </c>
      <c r="H100" s="111">
        <f>SUMIF('A-1 Site Habitat Baseline'!$G$11:$G$258,'G-2 Habitat groups'!A100,'A-1 Site Habitat Baseline'!$U$11:$U$258)</f>
        <v>0</v>
      </c>
      <c r="I100" s="111">
        <f>SUMIF('A-1 Site Habitat Baseline'!$G$11:$G$258,'G-2 Habitat groups'!A100,'A-1 Site Habitat Baseline'!$W$11:$W$258)</f>
        <v>0</v>
      </c>
      <c r="J100" s="111">
        <f>SUMIF('A-1 Site Habitat Baseline'!$G$11:$G$258,'G-2 Habitat groups'!A100,'A-1 Site Habitat Baseline'!$X$11:$X$258)</f>
        <v>0</v>
      </c>
      <c r="K100" s="111">
        <f>SUMIF('A-2 Site Habitat Creation'!$F$11:$F$256,'G-2 Habitat groups'!A100,'A-2 Site Habitat Creation'!$G$11:$G$256)</f>
        <v>0</v>
      </c>
      <c r="L100" s="111">
        <f>SUMIF('A-2 Site Habitat Creation'!$F$11:$F$256,'G-2 Habitat groups'!A100,'A-2 Site Habitat Creation'!$Y$11:$Y$256)</f>
        <v>0</v>
      </c>
      <c r="M100" s="111">
        <f>SUMIF('A-3 Site Habitat Enhancement'!$S$12:$S$257,'G-2 Habitat groups'!A100,'A-3 Site Habitat Enhancement'!$V$12:$V$257)</f>
        <v>0</v>
      </c>
      <c r="N100" s="111">
        <f>SUMIF('A-3 Site Habitat Enhancement'!$S$12:$S$257,'G-2 Habitat groups'!A100,'A-3 Site Habitat Enhancement'!$AN$12:$AN$257)</f>
        <v>0</v>
      </c>
      <c r="O100" s="111">
        <f t="shared" ref="O100:O131" si="88">G100+K100+M100</f>
        <v>0</v>
      </c>
      <c r="P100" s="111">
        <f t="shared" ref="P100:P131" si="89">H100+L100+N100</f>
        <v>0</v>
      </c>
      <c r="Q100" s="111">
        <f t="shared" ref="Q100:Q131" si="90">O100-E100</f>
        <v>0</v>
      </c>
      <c r="R100" s="111">
        <f t="shared" ref="R100:R131" si="91">P100-F100</f>
        <v>0</v>
      </c>
      <c r="S100" s="111">
        <f>IF(C100="V.High",SUMIF('D-1 Off Site Habitat Baseline'!$G$11:$G$258,'G-2 Habitat groups'!A100,'D-1 Off Site Habitat Baseline'!$S$11:$S$258)+SUMIF('D-1 Off Site Habitat Baseline'!$G$11:$G$258,'G-2 Habitat groups'!A100,'D-1 Off Site Habitat Baseline'!$T$11:$T$258),SUMIF('D-1 Off Site Habitat Baseline'!$G$11:$G$258,'G-2 Habitat groups'!A100,'D-1 Off Site Habitat Baseline'!$H$11:$H$258))</f>
        <v>0</v>
      </c>
      <c r="T100" s="111">
        <f>SUMIF('D-1 Off Site Habitat Baseline'!$G$11:$G$258,'G-2 Habitat groups'!A100,'D-1 Off Site Habitat Baseline'!$Q$11:$Q$258)</f>
        <v>0</v>
      </c>
      <c r="U100" s="513">
        <f>SUMIF('D-1 Off Site Habitat Baseline'!$G$11:$G$258,'G-2 Habitat groups'!A100,'D-1 Off Site Habitat Baseline'!$S$11:$S$258)</f>
        <v>0</v>
      </c>
      <c r="V100" s="111">
        <f>SUMIF('D-1 Off Site Habitat Baseline'!$G$11:$G$258,'G-2 Habitat groups'!A100,'D-1 Off Site Habitat Baseline'!$U$11:$U$258)</f>
        <v>0</v>
      </c>
      <c r="W100" s="111">
        <f>SUMIF('D-2 Off Site Habitat Creation'!$F$9:$F$255,'G-2 Habitat groups'!A100,'D-2 Off Site Habitat Creation'!$G$9:$G$255)</f>
        <v>0</v>
      </c>
      <c r="X100" s="111">
        <f>SUMIF('D-2 Off Site Habitat Creation'!$F$9:$F$255,'G-2 Habitat groups'!A100,'D-2 Off Site Habitat Creation'!$AA$9:$AA$255)</f>
        <v>0</v>
      </c>
      <c r="Y100" s="111">
        <f>SUMIF('D-3 Off Site Habitat Enhancment'!$S$12:$S$491,'G-2 Habitat groups'!A100,'D-3 Off Site Habitat Enhancment'!$V$12:$V$491)</f>
        <v>0</v>
      </c>
      <c r="Z100" s="111">
        <f>SUMIF('D-3 Off Site Habitat Enhancment'!$S$12:$S$491,'G-2 Habitat groups'!A100,'D-3 Off Site Habitat Enhancment'!$AP$12:$AP$491)</f>
        <v>0</v>
      </c>
      <c r="AA100" s="111">
        <f t="shared" ref="AA100:AA132" si="92">U100+W100+Y100</f>
        <v>0</v>
      </c>
      <c r="AB100" s="111">
        <f t="shared" ref="AB100:AB132" si="93">V100+X100+Z100</f>
        <v>0</v>
      </c>
      <c r="AC100" s="111">
        <f t="shared" ref="AC100:AC131" si="94">AA100-S100</f>
        <v>0</v>
      </c>
      <c r="AD100" s="111">
        <f t="shared" ref="AD100:AD131" si="95">AB100-T100</f>
        <v>0</v>
      </c>
      <c r="AE100" s="111">
        <f t="shared" ref="AE100:AE131" si="96">Q100+AC100</f>
        <v>0</v>
      </c>
      <c r="AF100" s="111">
        <f t="shared" ref="AF100:AF131" si="97">R100+AD100</f>
        <v>0</v>
      </c>
      <c r="AU100" s="129" t="s">
        <v>258</v>
      </c>
      <c r="AV100" s="100" t="s">
        <v>163</v>
      </c>
      <c r="AW100" s="111">
        <f t="shared" si="79"/>
        <v>0</v>
      </c>
      <c r="AX100" s="111">
        <f t="shared" si="64"/>
        <v>0</v>
      </c>
      <c r="AY100" s="111">
        <f t="shared" si="80"/>
        <v>0</v>
      </c>
      <c r="AZ100" s="111">
        <f t="shared" si="81"/>
        <v>0</v>
      </c>
      <c r="BA100" s="111">
        <f t="shared" si="82"/>
        <v>0</v>
      </c>
      <c r="BB100" s="111">
        <f t="shared" si="83"/>
        <v>0</v>
      </c>
      <c r="BC100" s="111">
        <f t="shared" si="84"/>
        <v>0</v>
      </c>
      <c r="BD100" s="111">
        <f t="shared" si="85"/>
        <v>0</v>
      </c>
      <c r="BE100" s="111">
        <f t="shared" si="86"/>
        <v>0</v>
      </c>
      <c r="BF100" s="111" t="str">
        <f t="shared" si="87"/>
        <v/>
      </c>
    </row>
    <row r="101" spans="1:59" x14ac:dyDescent="0.25">
      <c r="A101" s="129" t="str">
        <f>'G-1 All Habitats'!B100</f>
        <v>Coastal lagoons - Coastal lagoons</v>
      </c>
      <c r="B101" s="100" t="str">
        <f>'G-1 All Habitats'!F100</f>
        <v>Coastal lagoons</v>
      </c>
      <c r="C101" s="100" t="str">
        <f>'G-1 All Habitats'!K100</f>
        <v>High</v>
      </c>
      <c r="D101" s="100" t="str">
        <f>'G-1 All Habitats'!M100</f>
        <v>Same habitat required</v>
      </c>
      <c r="E101" s="111">
        <f>IF(C101="V.High",SUMIF('A-1 Site Habitat Baseline'!$G$11:$G$258,'G-2 Habitat groups'!A101,'A-1 Site Habitat Baseline'!$S$11:$S$258)+SUMIF('A-1 Site Habitat Baseline'!$G$11:$G$258,'G-2 Habitat groups'!A101,'A-1 Site Habitat Baseline'!$T$11:$T$258),SUMIF('A-1 Site Habitat Baseline'!$G$11:$G$258,'G-2 Habitat groups'!A101,'A-1 Site Habitat Baseline'!$H$11:$H$258))</f>
        <v>0</v>
      </c>
      <c r="F101" s="111">
        <f>SUMIF('A-1 Site Habitat Baseline'!$G$11:$G$258,'G-2 Habitat groups'!A101,'A-1 Site Habitat Baseline'!$Q$11:$Q$258)</f>
        <v>0</v>
      </c>
      <c r="G101" s="111">
        <f>SUMIF('A-1 Site Habitat Baseline'!$G$11:$G$258,'G-2 Habitat groups'!A101,'A-1 Site Habitat Baseline'!$S$11:$S$258)</f>
        <v>0</v>
      </c>
      <c r="H101" s="111">
        <f>SUMIF('A-1 Site Habitat Baseline'!$G$11:$G$258,'G-2 Habitat groups'!A101,'A-1 Site Habitat Baseline'!$U$11:$U$258)</f>
        <v>0</v>
      </c>
      <c r="I101" s="111">
        <f>SUMIF('A-1 Site Habitat Baseline'!$G$11:$G$258,'G-2 Habitat groups'!A101,'A-1 Site Habitat Baseline'!$W$11:$W$258)</f>
        <v>0</v>
      </c>
      <c r="J101" s="111">
        <f>SUMIF('A-1 Site Habitat Baseline'!$G$11:$G$258,'G-2 Habitat groups'!A101,'A-1 Site Habitat Baseline'!$X$11:$X$258)</f>
        <v>0</v>
      </c>
      <c r="K101" s="111">
        <f>SUMIF('A-2 Site Habitat Creation'!$F$11:$F$256,'G-2 Habitat groups'!A101,'A-2 Site Habitat Creation'!$G$11:$G$256)</f>
        <v>0</v>
      </c>
      <c r="L101" s="111">
        <f>SUMIF('A-2 Site Habitat Creation'!$F$11:$F$256,'G-2 Habitat groups'!A101,'A-2 Site Habitat Creation'!$Y$11:$Y$256)</f>
        <v>0</v>
      </c>
      <c r="M101" s="111">
        <f>SUMIF('A-3 Site Habitat Enhancement'!$S$12:$S$257,'G-2 Habitat groups'!A101,'A-3 Site Habitat Enhancement'!$V$12:$V$257)</f>
        <v>0</v>
      </c>
      <c r="N101" s="111">
        <f>SUMIF('A-3 Site Habitat Enhancement'!$S$12:$S$257,'G-2 Habitat groups'!A101,'A-3 Site Habitat Enhancement'!$AN$12:$AN$257)</f>
        <v>0</v>
      </c>
      <c r="O101" s="111">
        <f t="shared" si="88"/>
        <v>0</v>
      </c>
      <c r="P101" s="111">
        <f t="shared" si="89"/>
        <v>0</v>
      </c>
      <c r="Q101" s="111">
        <f t="shared" si="90"/>
        <v>0</v>
      </c>
      <c r="R101" s="111">
        <f t="shared" si="91"/>
        <v>0</v>
      </c>
      <c r="S101" s="111">
        <f>IF(C101="V.High",SUMIF('D-1 Off Site Habitat Baseline'!$G$11:$G$258,'G-2 Habitat groups'!A101,'D-1 Off Site Habitat Baseline'!$S$11:$S$258)+SUMIF('D-1 Off Site Habitat Baseline'!$G$11:$G$258,'G-2 Habitat groups'!A101,'D-1 Off Site Habitat Baseline'!$T$11:$T$258),SUMIF('D-1 Off Site Habitat Baseline'!$G$11:$G$258,'G-2 Habitat groups'!A101,'D-1 Off Site Habitat Baseline'!$H$11:$H$258))</f>
        <v>0</v>
      </c>
      <c r="T101" s="111">
        <f>SUMIF('D-1 Off Site Habitat Baseline'!$G$11:$G$258,'G-2 Habitat groups'!A101,'D-1 Off Site Habitat Baseline'!$Q$11:$Q$258)</f>
        <v>0</v>
      </c>
      <c r="U101" s="513">
        <f>SUMIF('D-1 Off Site Habitat Baseline'!$G$11:$G$258,'G-2 Habitat groups'!A101,'D-1 Off Site Habitat Baseline'!$S$11:$S$258)</f>
        <v>0</v>
      </c>
      <c r="V101" s="111">
        <f>SUMIF('D-1 Off Site Habitat Baseline'!$G$11:$G$258,'G-2 Habitat groups'!A101,'D-1 Off Site Habitat Baseline'!$U$11:$U$258)</f>
        <v>0</v>
      </c>
      <c r="W101" s="111">
        <f>SUMIF('D-2 Off Site Habitat Creation'!$F$9:$F$255,'G-2 Habitat groups'!A101,'D-2 Off Site Habitat Creation'!$G$9:$G$255)</f>
        <v>0</v>
      </c>
      <c r="X101" s="111">
        <f>SUMIF('D-2 Off Site Habitat Creation'!$F$9:$F$255,'G-2 Habitat groups'!A101,'D-2 Off Site Habitat Creation'!$AA$9:$AA$255)</f>
        <v>0</v>
      </c>
      <c r="Y101" s="111">
        <f>SUMIF('D-3 Off Site Habitat Enhancment'!$S$12:$S$491,'G-2 Habitat groups'!A101,'D-3 Off Site Habitat Enhancment'!$V$12:$V$491)</f>
        <v>0</v>
      </c>
      <c r="Z101" s="111">
        <f>SUMIF('D-3 Off Site Habitat Enhancment'!$S$12:$S$491,'G-2 Habitat groups'!A101,'D-3 Off Site Habitat Enhancment'!$AP$12:$AP$491)</f>
        <v>0</v>
      </c>
      <c r="AA101" s="111">
        <f t="shared" si="92"/>
        <v>0</v>
      </c>
      <c r="AB101" s="111">
        <f t="shared" si="93"/>
        <v>0</v>
      </c>
      <c r="AC101" s="111">
        <f t="shared" si="94"/>
        <v>0</v>
      </c>
      <c r="AD101" s="111">
        <f t="shared" si="95"/>
        <v>0</v>
      </c>
      <c r="AE101" s="111">
        <f t="shared" si="96"/>
        <v>0</v>
      </c>
      <c r="AF101" s="111">
        <f t="shared" si="97"/>
        <v>0</v>
      </c>
      <c r="AU101" s="144" t="s">
        <v>1103</v>
      </c>
      <c r="AV101" s="100" t="s">
        <v>1105</v>
      </c>
      <c r="AW101" s="111">
        <f t="shared" si="79"/>
        <v>0</v>
      </c>
      <c r="AX101" s="111">
        <f t="shared" si="64"/>
        <v>0</v>
      </c>
      <c r="AY101" s="111">
        <f t="shared" si="80"/>
        <v>0</v>
      </c>
      <c r="AZ101" s="111">
        <f t="shared" si="81"/>
        <v>0</v>
      </c>
      <c r="BA101" s="111">
        <f t="shared" si="82"/>
        <v>0</v>
      </c>
      <c r="BB101" s="111">
        <f t="shared" si="83"/>
        <v>0</v>
      </c>
      <c r="BC101" s="111">
        <f t="shared" si="84"/>
        <v>0</v>
      </c>
      <c r="BD101" s="111">
        <f t="shared" si="85"/>
        <v>0</v>
      </c>
      <c r="BE101" s="111">
        <f t="shared" ref="BE101:BE102" si="98">BB101+BD101</f>
        <v>0</v>
      </c>
      <c r="BF101" s="111" t="str">
        <f t="shared" ref="BF101:BF102" si="99">IF(BE101&lt;0,BE101,"")</f>
        <v/>
      </c>
    </row>
    <row r="102" spans="1:59" x14ac:dyDescent="0.25">
      <c r="A102" s="129" t="str">
        <f>'G-1 All Habitats'!B101</f>
        <v>Rocky shore - High energy littoral rock</v>
      </c>
      <c r="B102" s="100" t="str">
        <f>'G-1 All Habitats'!F101</f>
        <v xml:space="preserve">Rocky shore </v>
      </c>
      <c r="C102" s="100" t="str">
        <f>'G-1 All Habitats'!K101</f>
        <v>High</v>
      </c>
      <c r="D102" s="100" t="str">
        <f>'G-1 All Habitats'!M101</f>
        <v>Same habitat required</v>
      </c>
      <c r="E102" s="111">
        <f>IF(C102="V.High",SUMIF('A-1 Site Habitat Baseline'!$G$11:$G$258,'G-2 Habitat groups'!A102,'A-1 Site Habitat Baseline'!$S$11:$S$258)+SUMIF('A-1 Site Habitat Baseline'!$G$11:$G$258,'G-2 Habitat groups'!A102,'A-1 Site Habitat Baseline'!$T$11:$T$258),SUMIF('A-1 Site Habitat Baseline'!$G$11:$G$258,'G-2 Habitat groups'!A102,'A-1 Site Habitat Baseline'!$H$11:$H$258))</f>
        <v>0</v>
      </c>
      <c r="F102" s="111">
        <f>SUMIF('A-1 Site Habitat Baseline'!$G$11:$G$258,'G-2 Habitat groups'!A102,'A-1 Site Habitat Baseline'!$Q$11:$Q$258)</f>
        <v>0</v>
      </c>
      <c r="G102" s="111">
        <f>SUMIF('A-1 Site Habitat Baseline'!$G$11:$G$258,'G-2 Habitat groups'!A102,'A-1 Site Habitat Baseline'!$S$11:$S$258)</f>
        <v>0</v>
      </c>
      <c r="H102" s="111">
        <f>SUMIF('A-1 Site Habitat Baseline'!$G$11:$G$258,'G-2 Habitat groups'!A102,'A-1 Site Habitat Baseline'!$U$11:$U$258)</f>
        <v>0</v>
      </c>
      <c r="I102" s="111">
        <f>SUMIF('A-1 Site Habitat Baseline'!$G$11:$G$258,'G-2 Habitat groups'!A102,'A-1 Site Habitat Baseline'!$W$11:$W$258)</f>
        <v>0</v>
      </c>
      <c r="J102" s="111">
        <f>SUMIF('A-1 Site Habitat Baseline'!$G$11:$G$258,'G-2 Habitat groups'!A102,'A-1 Site Habitat Baseline'!$X$11:$X$258)</f>
        <v>0</v>
      </c>
      <c r="K102" s="111">
        <f>SUMIF('A-2 Site Habitat Creation'!$F$11:$F$256,'G-2 Habitat groups'!A102,'A-2 Site Habitat Creation'!$G$11:$G$256)</f>
        <v>0</v>
      </c>
      <c r="L102" s="111">
        <f>SUMIF('A-2 Site Habitat Creation'!$F$11:$F$256,'G-2 Habitat groups'!A102,'A-2 Site Habitat Creation'!$Y$11:$Y$256)</f>
        <v>0</v>
      </c>
      <c r="M102" s="111">
        <f>SUMIF('A-3 Site Habitat Enhancement'!$S$12:$S$257,'G-2 Habitat groups'!A102,'A-3 Site Habitat Enhancement'!$V$12:$V$257)</f>
        <v>0</v>
      </c>
      <c r="N102" s="111">
        <f>SUMIF('A-3 Site Habitat Enhancement'!$S$12:$S$257,'G-2 Habitat groups'!A102,'A-3 Site Habitat Enhancement'!$AN$12:$AN$257)</f>
        <v>0</v>
      </c>
      <c r="O102" s="111">
        <f t="shared" si="88"/>
        <v>0</v>
      </c>
      <c r="P102" s="111">
        <f t="shared" si="89"/>
        <v>0</v>
      </c>
      <c r="Q102" s="111">
        <f t="shared" si="90"/>
        <v>0</v>
      </c>
      <c r="R102" s="111">
        <f t="shared" si="91"/>
        <v>0</v>
      </c>
      <c r="S102" s="111">
        <f>IF(C102="V.High",SUMIF('D-1 Off Site Habitat Baseline'!$G$11:$G$258,'G-2 Habitat groups'!A102,'D-1 Off Site Habitat Baseline'!$S$11:$S$258)+SUMIF('D-1 Off Site Habitat Baseline'!$G$11:$G$258,'G-2 Habitat groups'!A102,'D-1 Off Site Habitat Baseline'!$T$11:$T$258),SUMIF('D-1 Off Site Habitat Baseline'!$G$11:$G$258,'G-2 Habitat groups'!A102,'D-1 Off Site Habitat Baseline'!$H$11:$H$258))</f>
        <v>0</v>
      </c>
      <c r="T102" s="111">
        <f>SUMIF('D-1 Off Site Habitat Baseline'!$G$11:$G$258,'G-2 Habitat groups'!A102,'D-1 Off Site Habitat Baseline'!$Q$11:$Q$258)</f>
        <v>0</v>
      </c>
      <c r="U102" s="513">
        <f>SUMIF('D-1 Off Site Habitat Baseline'!$G$11:$G$258,'G-2 Habitat groups'!A102,'D-1 Off Site Habitat Baseline'!$S$11:$S$258)</f>
        <v>0</v>
      </c>
      <c r="V102" s="111">
        <f>SUMIF('D-1 Off Site Habitat Baseline'!$G$11:$G$258,'G-2 Habitat groups'!A102,'D-1 Off Site Habitat Baseline'!$U$11:$U$258)</f>
        <v>0</v>
      </c>
      <c r="W102" s="111">
        <f>SUMIF('D-2 Off Site Habitat Creation'!$F$9:$F$255,'G-2 Habitat groups'!A102,'D-2 Off Site Habitat Creation'!$G$9:$G$255)</f>
        <v>0</v>
      </c>
      <c r="X102" s="111">
        <f>SUMIF('D-2 Off Site Habitat Creation'!$F$9:$F$255,'G-2 Habitat groups'!A102,'D-2 Off Site Habitat Creation'!$AA$9:$AA$255)</f>
        <v>0</v>
      </c>
      <c r="Y102" s="111">
        <f>SUMIF('D-3 Off Site Habitat Enhancment'!$S$12:$S$491,'G-2 Habitat groups'!A102,'D-3 Off Site Habitat Enhancment'!$V$12:$V$491)</f>
        <v>0</v>
      </c>
      <c r="Z102" s="111">
        <f>SUMIF('D-3 Off Site Habitat Enhancment'!$S$12:$S$491,'G-2 Habitat groups'!A102,'D-3 Off Site Habitat Enhancment'!$AP$12:$AP$491)</f>
        <v>0</v>
      </c>
      <c r="AA102" s="111">
        <f t="shared" si="92"/>
        <v>0</v>
      </c>
      <c r="AB102" s="111">
        <f t="shared" si="93"/>
        <v>0</v>
      </c>
      <c r="AC102" s="111">
        <f t="shared" si="94"/>
        <v>0</v>
      </c>
      <c r="AD102" s="111">
        <f t="shared" si="95"/>
        <v>0</v>
      </c>
      <c r="AE102" s="111">
        <f t="shared" si="96"/>
        <v>0</v>
      </c>
      <c r="AF102" s="111">
        <f t="shared" si="97"/>
        <v>0</v>
      </c>
      <c r="AU102" s="130" t="s">
        <v>1165</v>
      </c>
      <c r="AV102" s="100" t="s">
        <v>1105</v>
      </c>
      <c r="AW102" s="111">
        <f t="shared" si="79"/>
        <v>0</v>
      </c>
      <c r="AX102" s="111">
        <f t="shared" si="64"/>
        <v>0</v>
      </c>
      <c r="AY102" s="111">
        <f t="shared" si="80"/>
        <v>0</v>
      </c>
      <c r="AZ102" s="111">
        <f t="shared" si="81"/>
        <v>0</v>
      </c>
      <c r="BA102" s="111">
        <f t="shared" si="82"/>
        <v>0</v>
      </c>
      <c r="BB102" s="111">
        <f t="shared" si="83"/>
        <v>0</v>
      </c>
      <c r="BC102" s="111">
        <f t="shared" si="84"/>
        <v>0</v>
      </c>
      <c r="BD102" s="111">
        <f t="shared" si="85"/>
        <v>0</v>
      </c>
      <c r="BE102" s="111">
        <f t="shared" si="98"/>
        <v>0</v>
      </c>
      <c r="BF102" s="111" t="str">
        <f t="shared" si="99"/>
        <v/>
      </c>
    </row>
    <row r="103" spans="1:59" ht="27.6" x14ac:dyDescent="0.25">
      <c r="A103" s="129" t="str">
        <f>'G-1 All Habitats'!B102</f>
        <v>Rocky shore - High energy littoral rock - on peat, clay or chalk</v>
      </c>
      <c r="B103" s="100" t="str">
        <f>'G-1 All Habitats'!F102</f>
        <v xml:space="preserve">Rocky shore </v>
      </c>
      <c r="C103" s="100" t="str">
        <f>'G-1 All Habitats'!K102</f>
        <v>V.High</v>
      </c>
      <c r="D103" s="100" t="str">
        <f>'G-1 All Habitats'!M102</f>
        <v>Bespoke compensation likely to be required</v>
      </c>
      <c r="E103" s="111">
        <f>IF(C103="V.High",SUMIF('A-1 Site Habitat Baseline'!$G$11:$G$258,'G-2 Habitat groups'!A103,'A-1 Site Habitat Baseline'!$S$11:$S$258)+SUMIF('A-1 Site Habitat Baseline'!$G$11:$G$258,'G-2 Habitat groups'!A103,'A-1 Site Habitat Baseline'!$T$11:$T$258),SUMIF('A-1 Site Habitat Baseline'!$G$11:$G$258,'G-2 Habitat groups'!A103,'A-1 Site Habitat Baseline'!$H$11:$H$258))</f>
        <v>0</v>
      </c>
      <c r="F103" s="111">
        <f>SUMIF('A-1 Site Habitat Baseline'!$G$11:$G$258,'G-2 Habitat groups'!A103,'A-1 Site Habitat Baseline'!$Q$11:$Q$258)</f>
        <v>0</v>
      </c>
      <c r="G103" s="111">
        <f>SUMIF('A-1 Site Habitat Baseline'!$G$11:$G$258,'G-2 Habitat groups'!A103,'A-1 Site Habitat Baseline'!$S$11:$S$258)</f>
        <v>0</v>
      </c>
      <c r="H103" s="111">
        <f>SUMIF('A-1 Site Habitat Baseline'!$G$11:$G$258,'G-2 Habitat groups'!A103,'A-1 Site Habitat Baseline'!$U$11:$U$258)</f>
        <v>0</v>
      </c>
      <c r="I103" s="111">
        <f>SUMIF('A-1 Site Habitat Baseline'!$G$11:$G$258,'G-2 Habitat groups'!A103,'A-1 Site Habitat Baseline'!$W$11:$W$258)</f>
        <v>0</v>
      </c>
      <c r="J103" s="111">
        <f>SUMIF('A-1 Site Habitat Baseline'!$G$11:$G$258,'G-2 Habitat groups'!A103,'A-1 Site Habitat Baseline'!$X$11:$X$258)</f>
        <v>0</v>
      </c>
      <c r="K103" s="111">
        <f>SUMIF('A-2 Site Habitat Creation'!$F$11:$F$256,'G-2 Habitat groups'!A103,'A-2 Site Habitat Creation'!$G$11:$G$256)</f>
        <v>0</v>
      </c>
      <c r="L103" s="111">
        <f>SUMIF('A-2 Site Habitat Creation'!$F$11:$F$256,'G-2 Habitat groups'!A103,'A-2 Site Habitat Creation'!$Y$11:$Y$256)</f>
        <v>0</v>
      </c>
      <c r="M103" s="111">
        <f>SUMIF('A-3 Site Habitat Enhancement'!$S$12:$S$257,'G-2 Habitat groups'!A103,'A-3 Site Habitat Enhancement'!$V$12:$V$257)</f>
        <v>0</v>
      </c>
      <c r="N103" s="111">
        <f>SUMIF('A-3 Site Habitat Enhancement'!$S$12:$S$257,'G-2 Habitat groups'!A103,'A-3 Site Habitat Enhancement'!$AN$12:$AN$257)</f>
        <v>0</v>
      </c>
      <c r="O103" s="111">
        <f t="shared" si="88"/>
        <v>0</v>
      </c>
      <c r="P103" s="111">
        <f t="shared" si="89"/>
        <v>0</v>
      </c>
      <c r="Q103" s="111">
        <f t="shared" si="90"/>
        <v>0</v>
      </c>
      <c r="R103" s="111">
        <f t="shared" si="91"/>
        <v>0</v>
      </c>
      <c r="S103" s="111">
        <f>IF(C103="V.High",SUMIF('D-1 Off Site Habitat Baseline'!$G$11:$G$258,'G-2 Habitat groups'!A103,'D-1 Off Site Habitat Baseline'!$S$11:$S$258)+SUMIF('D-1 Off Site Habitat Baseline'!$G$11:$G$258,'G-2 Habitat groups'!A103,'D-1 Off Site Habitat Baseline'!$T$11:$T$258),SUMIF('D-1 Off Site Habitat Baseline'!$G$11:$G$258,'G-2 Habitat groups'!A103,'D-1 Off Site Habitat Baseline'!$H$11:$H$258))</f>
        <v>0</v>
      </c>
      <c r="T103" s="111">
        <f>SUMIF('D-1 Off Site Habitat Baseline'!$G$11:$G$258,'G-2 Habitat groups'!A103,'D-1 Off Site Habitat Baseline'!$Q$11:$Q$258)</f>
        <v>0</v>
      </c>
      <c r="U103" s="513">
        <f>SUMIF('D-1 Off Site Habitat Baseline'!$G$11:$G$258,'G-2 Habitat groups'!A103,'D-1 Off Site Habitat Baseline'!$S$11:$S$258)</f>
        <v>0</v>
      </c>
      <c r="V103" s="111">
        <f>SUMIF('D-1 Off Site Habitat Baseline'!$G$11:$G$258,'G-2 Habitat groups'!A103,'D-1 Off Site Habitat Baseline'!$U$11:$U$258)</f>
        <v>0</v>
      </c>
      <c r="W103" s="111">
        <f>SUMIF('D-2 Off Site Habitat Creation'!$F$9:$F$255,'G-2 Habitat groups'!A103,'D-2 Off Site Habitat Creation'!$G$9:$G$255)</f>
        <v>0</v>
      </c>
      <c r="X103" s="111">
        <f>SUMIF('D-2 Off Site Habitat Creation'!$F$9:$F$255,'G-2 Habitat groups'!A103,'D-2 Off Site Habitat Creation'!$AA$9:$AA$255)</f>
        <v>0</v>
      </c>
      <c r="Y103" s="111">
        <f>SUMIF('D-3 Off Site Habitat Enhancment'!$S$12:$S$491,'G-2 Habitat groups'!A103,'D-3 Off Site Habitat Enhancment'!$V$12:$V$491)</f>
        <v>0</v>
      </c>
      <c r="Z103" s="111">
        <f>SUMIF('D-3 Off Site Habitat Enhancment'!$S$12:$S$491,'G-2 Habitat groups'!A103,'D-3 Off Site Habitat Enhancment'!$AP$12:$AP$491)</f>
        <v>0</v>
      </c>
      <c r="AA103" s="111">
        <f t="shared" si="92"/>
        <v>0</v>
      </c>
      <c r="AB103" s="111">
        <f t="shared" si="93"/>
        <v>0</v>
      </c>
      <c r="AC103" s="111">
        <f t="shared" si="94"/>
        <v>0</v>
      </c>
      <c r="AD103" s="111">
        <f t="shared" si="95"/>
        <v>0</v>
      </c>
      <c r="AE103" s="111">
        <f t="shared" si="96"/>
        <v>0</v>
      </c>
      <c r="AF103" s="111">
        <f t="shared" si="97"/>
        <v>0</v>
      </c>
      <c r="AU103" s="130" t="s">
        <v>1498</v>
      </c>
      <c r="AV103" s="100" t="s">
        <v>1169</v>
      </c>
      <c r="AW103" s="111">
        <f t="shared" si="79"/>
        <v>0</v>
      </c>
      <c r="AX103" s="111">
        <f t="shared" si="64"/>
        <v>0</v>
      </c>
      <c r="AY103" s="111">
        <f t="shared" si="80"/>
        <v>0</v>
      </c>
      <c r="AZ103" s="111">
        <f t="shared" si="81"/>
        <v>0</v>
      </c>
      <c r="BA103" s="111">
        <f t="shared" si="82"/>
        <v>0</v>
      </c>
      <c r="BB103" s="111">
        <f t="shared" si="83"/>
        <v>0</v>
      </c>
      <c r="BC103" s="111">
        <f t="shared" si="84"/>
        <v>0</v>
      </c>
      <c r="BD103" s="111">
        <f t="shared" si="85"/>
        <v>0</v>
      </c>
      <c r="BE103" s="111">
        <f t="shared" ref="BE103" si="100">BB103+BD103</f>
        <v>0</v>
      </c>
      <c r="BF103" s="111" t="str">
        <f t="shared" ref="BF103" si="101">IF(BE103&lt;0,BE103,"")</f>
        <v/>
      </c>
    </row>
    <row r="104" spans="1:59" x14ac:dyDescent="0.25">
      <c r="A104" s="129" t="str">
        <f>'G-1 All Habitats'!B103</f>
        <v>Rocky shore - Moderate energy littoral rock</v>
      </c>
      <c r="B104" s="100" t="str">
        <f>'G-1 All Habitats'!F103</f>
        <v xml:space="preserve">Rocky shore </v>
      </c>
      <c r="C104" s="100" t="str">
        <f>'G-1 All Habitats'!K103</f>
        <v>High</v>
      </c>
      <c r="D104" s="100" t="str">
        <f>'G-1 All Habitats'!M103</f>
        <v>Same habitat required</v>
      </c>
      <c r="E104" s="111">
        <f>IF(C104="V.High",SUMIF('A-1 Site Habitat Baseline'!$G$11:$G$258,'G-2 Habitat groups'!A104,'A-1 Site Habitat Baseline'!$S$11:$S$258)+SUMIF('A-1 Site Habitat Baseline'!$G$11:$G$258,'G-2 Habitat groups'!A104,'A-1 Site Habitat Baseline'!$T$11:$T$258),SUMIF('A-1 Site Habitat Baseline'!$G$11:$G$258,'G-2 Habitat groups'!A104,'A-1 Site Habitat Baseline'!$H$11:$H$258))</f>
        <v>0</v>
      </c>
      <c r="F104" s="111">
        <f>SUMIF('A-1 Site Habitat Baseline'!$G$11:$G$258,'G-2 Habitat groups'!A104,'A-1 Site Habitat Baseline'!$Q$11:$Q$258)</f>
        <v>0</v>
      </c>
      <c r="G104" s="111">
        <f>SUMIF('A-1 Site Habitat Baseline'!$G$11:$G$258,'G-2 Habitat groups'!A104,'A-1 Site Habitat Baseline'!$S$11:$S$258)</f>
        <v>0</v>
      </c>
      <c r="H104" s="111">
        <f>SUMIF('A-1 Site Habitat Baseline'!$G$11:$G$258,'G-2 Habitat groups'!A104,'A-1 Site Habitat Baseline'!$U$11:$U$258)</f>
        <v>0</v>
      </c>
      <c r="I104" s="111">
        <f>SUMIF('A-1 Site Habitat Baseline'!$G$11:$G$258,'G-2 Habitat groups'!A104,'A-1 Site Habitat Baseline'!$W$11:$W$258)</f>
        <v>0</v>
      </c>
      <c r="J104" s="111">
        <f>SUMIF('A-1 Site Habitat Baseline'!$G$11:$G$258,'G-2 Habitat groups'!A104,'A-1 Site Habitat Baseline'!$X$11:$X$258)</f>
        <v>0</v>
      </c>
      <c r="K104" s="111">
        <f>SUMIF('A-2 Site Habitat Creation'!$F$11:$F$256,'G-2 Habitat groups'!A104,'A-2 Site Habitat Creation'!$G$11:$G$256)</f>
        <v>0</v>
      </c>
      <c r="L104" s="111">
        <f>SUMIF('A-2 Site Habitat Creation'!$F$11:$F$256,'G-2 Habitat groups'!A104,'A-2 Site Habitat Creation'!$Y$11:$Y$256)</f>
        <v>0</v>
      </c>
      <c r="M104" s="111">
        <f>SUMIF('A-3 Site Habitat Enhancement'!$S$12:$S$257,'G-2 Habitat groups'!A104,'A-3 Site Habitat Enhancement'!$V$12:$V$257)</f>
        <v>0</v>
      </c>
      <c r="N104" s="111">
        <f>SUMIF('A-3 Site Habitat Enhancement'!$S$12:$S$257,'G-2 Habitat groups'!A104,'A-3 Site Habitat Enhancement'!$AN$12:$AN$257)</f>
        <v>0</v>
      </c>
      <c r="O104" s="111">
        <f t="shared" si="88"/>
        <v>0</v>
      </c>
      <c r="P104" s="111">
        <f t="shared" si="89"/>
        <v>0</v>
      </c>
      <c r="Q104" s="111">
        <f t="shared" si="90"/>
        <v>0</v>
      </c>
      <c r="R104" s="111">
        <f t="shared" si="91"/>
        <v>0</v>
      </c>
      <c r="S104" s="111">
        <f>IF(C104="V.High",SUMIF('D-1 Off Site Habitat Baseline'!$G$11:$G$258,'G-2 Habitat groups'!A104,'D-1 Off Site Habitat Baseline'!$S$11:$S$258)+SUMIF('D-1 Off Site Habitat Baseline'!$G$11:$G$258,'G-2 Habitat groups'!A104,'D-1 Off Site Habitat Baseline'!$T$11:$T$258),SUMIF('D-1 Off Site Habitat Baseline'!$G$11:$G$258,'G-2 Habitat groups'!A104,'D-1 Off Site Habitat Baseline'!$H$11:$H$258))</f>
        <v>0</v>
      </c>
      <c r="T104" s="111">
        <f>SUMIF('D-1 Off Site Habitat Baseline'!$G$11:$G$258,'G-2 Habitat groups'!A104,'D-1 Off Site Habitat Baseline'!$Q$11:$Q$258)</f>
        <v>0</v>
      </c>
      <c r="U104" s="513">
        <f>SUMIF('D-1 Off Site Habitat Baseline'!$G$11:$G$258,'G-2 Habitat groups'!A104,'D-1 Off Site Habitat Baseline'!$S$11:$S$258)</f>
        <v>0</v>
      </c>
      <c r="V104" s="111">
        <f>SUMIF('D-1 Off Site Habitat Baseline'!$G$11:$G$258,'G-2 Habitat groups'!A104,'D-1 Off Site Habitat Baseline'!$U$11:$U$258)</f>
        <v>0</v>
      </c>
      <c r="W104" s="111">
        <f>SUMIF('D-2 Off Site Habitat Creation'!$F$9:$F$255,'G-2 Habitat groups'!A104,'D-2 Off Site Habitat Creation'!$G$9:$G$255)</f>
        <v>0</v>
      </c>
      <c r="X104" s="111">
        <f>SUMIF('D-2 Off Site Habitat Creation'!$F$9:$F$255,'G-2 Habitat groups'!A104,'D-2 Off Site Habitat Creation'!$AA$9:$AA$255)</f>
        <v>0</v>
      </c>
      <c r="Y104" s="111">
        <f>SUMIF('D-3 Off Site Habitat Enhancment'!$S$12:$S$491,'G-2 Habitat groups'!A104,'D-3 Off Site Habitat Enhancment'!$V$12:$V$491)</f>
        <v>0</v>
      </c>
      <c r="Z104" s="111">
        <f>SUMIF('D-3 Off Site Habitat Enhancment'!$S$12:$S$491,'G-2 Habitat groups'!A104,'D-3 Off Site Habitat Enhancment'!$AP$12:$AP$491)</f>
        <v>0</v>
      </c>
      <c r="AA104" s="111">
        <f t="shared" si="92"/>
        <v>0</v>
      </c>
      <c r="AB104" s="111">
        <f t="shared" si="93"/>
        <v>0</v>
      </c>
      <c r="AC104" s="111">
        <f t="shared" si="94"/>
        <v>0</v>
      </c>
      <c r="AD104" s="111">
        <f t="shared" si="95"/>
        <v>0</v>
      </c>
      <c r="AE104" s="111">
        <f t="shared" si="96"/>
        <v>0</v>
      </c>
      <c r="AF104" s="111">
        <f t="shared" si="97"/>
        <v>0</v>
      </c>
    </row>
    <row r="105" spans="1:59" x14ac:dyDescent="0.25">
      <c r="A105" s="129" t="str">
        <f>'G-1 All Habitats'!B104</f>
        <v>Rocky shore - Moderate energy littoral rock - on peat, clay or chalk</v>
      </c>
      <c r="B105" s="100" t="str">
        <f>'G-1 All Habitats'!F104</f>
        <v xml:space="preserve">Rocky shore </v>
      </c>
      <c r="C105" s="100" t="str">
        <f>'G-1 All Habitats'!K104</f>
        <v>V.High</v>
      </c>
      <c r="D105" s="100" t="str">
        <f>'G-1 All Habitats'!M104</f>
        <v>Bespoke compensation likely to be required</v>
      </c>
      <c r="E105" s="111">
        <f>IF(C105="V.High",SUMIF('A-1 Site Habitat Baseline'!$G$11:$G$258,'G-2 Habitat groups'!A105,'A-1 Site Habitat Baseline'!$S$11:$S$258)+SUMIF('A-1 Site Habitat Baseline'!$G$11:$G$258,'G-2 Habitat groups'!A105,'A-1 Site Habitat Baseline'!$T$11:$T$258),SUMIF('A-1 Site Habitat Baseline'!$G$11:$G$258,'G-2 Habitat groups'!A105,'A-1 Site Habitat Baseline'!$H$11:$H$258))</f>
        <v>0</v>
      </c>
      <c r="F105" s="111">
        <f>SUMIF('A-1 Site Habitat Baseline'!$G$11:$G$258,'G-2 Habitat groups'!A105,'A-1 Site Habitat Baseline'!$Q$11:$Q$258)</f>
        <v>0</v>
      </c>
      <c r="G105" s="111">
        <f>SUMIF('A-1 Site Habitat Baseline'!$G$11:$G$258,'G-2 Habitat groups'!A105,'A-1 Site Habitat Baseline'!$S$11:$S$258)</f>
        <v>0</v>
      </c>
      <c r="H105" s="111">
        <f>SUMIF('A-1 Site Habitat Baseline'!$G$11:$G$258,'G-2 Habitat groups'!A105,'A-1 Site Habitat Baseline'!$U$11:$U$258)</f>
        <v>0</v>
      </c>
      <c r="I105" s="111">
        <f>SUMIF('A-1 Site Habitat Baseline'!$G$11:$G$258,'G-2 Habitat groups'!A105,'A-1 Site Habitat Baseline'!$W$11:$W$258)</f>
        <v>0</v>
      </c>
      <c r="J105" s="111">
        <f>SUMIF('A-1 Site Habitat Baseline'!$G$11:$G$258,'G-2 Habitat groups'!A105,'A-1 Site Habitat Baseline'!$X$11:$X$258)</f>
        <v>0</v>
      </c>
      <c r="K105" s="111">
        <f>SUMIF('A-2 Site Habitat Creation'!$F$11:$F$256,'G-2 Habitat groups'!A105,'A-2 Site Habitat Creation'!$G$11:$G$256)</f>
        <v>0</v>
      </c>
      <c r="L105" s="111">
        <f>SUMIF('A-2 Site Habitat Creation'!$F$11:$F$256,'G-2 Habitat groups'!A105,'A-2 Site Habitat Creation'!$Y$11:$Y$256)</f>
        <v>0</v>
      </c>
      <c r="M105" s="111">
        <f>SUMIF('A-3 Site Habitat Enhancement'!$S$12:$S$257,'G-2 Habitat groups'!A105,'A-3 Site Habitat Enhancement'!$V$12:$V$257)</f>
        <v>0</v>
      </c>
      <c r="N105" s="111">
        <f>SUMIF('A-3 Site Habitat Enhancement'!$S$12:$S$257,'G-2 Habitat groups'!A105,'A-3 Site Habitat Enhancement'!$AN$12:$AN$257)</f>
        <v>0</v>
      </c>
      <c r="O105" s="111">
        <f t="shared" si="88"/>
        <v>0</v>
      </c>
      <c r="P105" s="111">
        <f t="shared" si="89"/>
        <v>0</v>
      </c>
      <c r="Q105" s="111">
        <f t="shared" si="90"/>
        <v>0</v>
      </c>
      <c r="R105" s="111">
        <f t="shared" si="91"/>
        <v>0</v>
      </c>
      <c r="S105" s="111">
        <f>IF(C105="V.High",SUMIF('D-1 Off Site Habitat Baseline'!$G$11:$G$258,'G-2 Habitat groups'!A105,'D-1 Off Site Habitat Baseline'!$S$11:$S$258)+SUMIF('D-1 Off Site Habitat Baseline'!$G$11:$G$258,'G-2 Habitat groups'!A105,'D-1 Off Site Habitat Baseline'!$T$11:$T$258),SUMIF('D-1 Off Site Habitat Baseline'!$G$11:$G$258,'G-2 Habitat groups'!A105,'D-1 Off Site Habitat Baseline'!$H$11:$H$258))</f>
        <v>0</v>
      </c>
      <c r="T105" s="111">
        <f>SUMIF('D-1 Off Site Habitat Baseline'!$G$11:$G$258,'G-2 Habitat groups'!A105,'D-1 Off Site Habitat Baseline'!$Q$11:$Q$258)</f>
        <v>0</v>
      </c>
      <c r="U105" s="513">
        <f>SUMIF('D-1 Off Site Habitat Baseline'!$G$11:$G$258,'G-2 Habitat groups'!A105,'D-1 Off Site Habitat Baseline'!$S$11:$S$258)</f>
        <v>0</v>
      </c>
      <c r="V105" s="111">
        <f>SUMIF('D-1 Off Site Habitat Baseline'!$G$11:$G$258,'G-2 Habitat groups'!A105,'D-1 Off Site Habitat Baseline'!$U$11:$U$258)</f>
        <v>0</v>
      </c>
      <c r="W105" s="111">
        <f>SUMIF('D-2 Off Site Habitat Creation'!$F$9:$F$255,'G-2 Habitat groups'!A105,'D-2 Off Site Habitat Creation'!$G$9:$G$255)</f>
        <v>0</v>
      </c>
      <c r="X105" s="111">
        <f>SUMIF('D-2 Off Site Habitat Creation'!$F$9:$F$255,'G-2 Habitat groups'!A105,'D-2 Off Site Habitat Creation'!$AA$9:$AA$255)</f>
        <v>0</v>
      </c>
      <c r="Y105" s="111">
        <f>SUMIF('D-3 Off Site Habitat Enhancment'!$S$12:$S$491,'G-2 Habitat groups'!A105,'D-3 Off Site Habitat Enhancment'!$V$12:$V$491)</f>
        <v>0</v>
      </c>
      <c r="Z105" s="111">
        <f>SUMIF('D-3 Off Site Habitat Enhancment'!$S$12:$S$491,'G-2 Habitat groups'!A105,'D-3 Off Site Habitat Enhancment'!$AP$12:$AP$491)</f>
        <v>0</v>
      </c>
      <c r="AA105" s="111">
        <f t="shared" si="92"/>
        <v>0</v>
      </c>
      <c r="AB105" s="111">
        <f t="shared" si="93"/>
        <v>0</v>
      </c>
      <c r="AC105" s="111">
        <f t="shared" si="94"/>
        <v>0</v>
      </c>
      <c r="AD105" s="111">
        <f t="shared" si="95"/>
        <v>0</v>
      </c>
      <c r="AE105" s="111">
        <f t="shared" si="96"/>
        <v>0</v>
      </c>
      <c r="AF105" s="111">
        <f t="shared" si="97"/>
        <v>0</v>
      </c>
    </row>
    <row r="106" spans="1:59" x14ac:dyDescent="0.25">
      <c r="A106" s="129" t="str">
        <f>'G-1 All Habitats'!B105</f>
        <v>Rocky shore - Low energy littoral rock</v>
      </c>
      <c r="B106" s="100" t="str">
        <f>'G-1 All Habitats'!F105</f>
        <v xml:space="preserve">Rocky shore </v>
      </c>
      <c r="C106" s="100" t="str">
        <f>'G-1 All Habitats'!K105</f>
        <v>High</v>
      </c>
      <c r="D106" s="100" t="str">
        <f>'G-1 All Habitats'!M105</f>
        <v>Same habitat required</v>
      </c>
      <c r="E106" s="111">
        <f>IF(C106="V.High",SUMIF('A-1 Site Habitat Baseline'!$G$11:$G$258,'G-2 Habitat groups'!A106,'A-1 Site Habitat Baseline'!$S$11:$S$258)+SUMIF('A-1 Site Habitat Baseline'!$G$11:$G$258,'G-2 Habitat groups'!A106,'A-1 Site Habitat Baseline'!$T$11:$T$258),SUMIF('A-1 Site Habitat Baseline'!$G$11:$G$258,'G-2 Habitat groups'!A106,'A-1 Site Habitat Baseline'!$H$11:$H$258))</f>
        <v>0</v>
      </c>
      <c r="F106" s="111">
        <f>SUMIF('A-1 Site Habitat Baseline'!$G$11:$G$258,'G-2 Habitat groups'!A106,'A-1 Site Habitat Baseline'!$Q$11:$Q$258)</f>
        <v>0</v>
      </c>
      <c r="G106" s="111">
        <f>SUMIF('A-1 Site Habitat Baseline'!$G$11:$G$258,'G-2 Habitat groups'!A106,'A-1 Site Habitat Baseline'!$S$11:$S$258)</f>
        <v>0</v>
      </c>
      <c r="H106" s="111">
        <f>SUMIF('A-1 Site Habitat Baseline'!$G$11:$G$258,'G-2 Habitat groups'!A106,'A-1 Site Habitat Baseline'!$U$11:$U$258)</f>
        <v>0</v>
      </c>
      <c r="I106" s="111">
        <f>SUMIF('A-1 Site Habitat Baseline'!$G$11:$G$258,'G-2 Habitat groups'!A106,'A-1 Site Habitat Baseline'!$W$11:$W$258)</f>
        <v>0</v>
      </c>
      <c r="J106" s="111">
        <f>SUMIF('A-1 Site Habitat Baseline'!$G$11:$G$258,'G-2 Habitat groups'!A106,'A-1 Site Habitat Baseline'!$X$11:$X$258)</f>
        <v>0</v>
      </c>
      <c r="K106" s="111">
        <f>SUMIF('A-2 Site Habitat Creation'!$F$11:$F$256,'G-2 Habitat groups'!A106,'A-2 Site Habitat Creation'!$G$11:$G$256)</f>
        <v>0</v>
      </c>
      <c r="L106" s="111">
        <f>SUMIF('A-2 Site Habitat Creation'!$F$11:$F$256,'G-2 Habitat groups'!A106,'A-2 Site Habitat Creation'!$Y$11:$Y$256)</f>
        <v>0</v>
      </c>
      <c r="M106" s="111">
        <f>SUMIF('A-3 Site Habitat Enhancement'!$S$12:$S$257,'G-2 Habitat groups'!A106,'A-3 Site Habitat Enhancement'!$V$12:$V$257)</f>
        <v>0</v>
      </c>
      <c r="N106" s="111">
        <f>SUMIF('A-3 Site Habitat Enhancement'!$S$12:$S$257,'G-2 Habitat groups'!A106,'A-3 Site Habitat Enhancement'!$AN$12:$AN$257)</f>
        <v>0</v>
      </c>
      <c r="O106" s="111">
        <f t="shared" si="88"/>
        <v>0</v>
      </c>
      <c r="P106" s="111">
        <f t="shared" si="89"/>
        <v>0</v>
      </c>
      <c r="Q106" s="111">
        <f t="shared" si="90"/>
        <v>0</v>
      </c>
      <c r="R106" s="111">
        <f t="shared" si="91"/>
        <v>0</v>
      </c>
      <c r="S106" s="111">
        <f>IF(C106="V.High",SUMIF('D-1 Off Site Habitat Baseline'!$G$11:$G$258,'G-2 Habitat groups'!A106,'D-1 Off Site Habitat Baseline'!$S$11:$S$258)+SUMIF('D-1 Off Site Habitat Baseline'!$G$11:$G$258,'G-2 Habitat groups'!A106,'D-1 Off Site Habitat Baseline'!$T$11:$T$258),SUMIF('D-1 Off Site Habitat Baseline'!$G$11:$G$258,'G-2 Habitat groups'!A106,'D-1 Off Site Habitat Baseline'!$H$11:$H$258))</f>
        <v>0</v>
      </c>
      <c r="T106" s="111">
        <f>SUMIF('D-1 Off Site Habitat Baseline'!$G$11:$G$258,'G-2 Habitat groups'!A106,'D-1 Off Site Habitat Baseline'!$Q$11:$Q$258)</f>
        <v>0</v>
      </c>
      <c r="U106" s="513">
        <f>SUMIF('D-1 Off Site Habitat Baseline'!$G$11:$G$258,'G-2 Habitat groups'!A106,'D-1 Off Site Habitat Baseline'!$S$11:$S$258)</f>
        <v>0</v>
      </c>
      <c r="V106" s="111">
        <f>SUMIF('D-1 Off Site Habitat Baseline'!$G$11:$G$258,'G-2 Habitat groups'!A106,'D-1 Off Site Habitat Baseline'!$U$11:$U$258)</f>
        <v>0</v>
      </c>
      <c r="W106" s="111">
        <f>SUMIF('D-2 Off Site Habitat Creation'!$F$9:$F$255,'G-2 Habitat groups'!A106,'D-2 Off Site Habitat Creation'!$G$9:$G$255)</f>
        <v>0</v>
      </c>
      <c r="X106" s="111">
        <f>SUMIF('D-2 Off Site Habitat Creation'!$F$9:$F$255,'G-2 Habitat groups'!A106,'D-2 Off Site Habitat Creation'!$AA$9:$AA$255)</f>
        <v>0</v>
      </c>
      <c r="Y106" s="111">
        <f>SUMIF('D-3 Off Site Habitat Enhancment'!$S$12:$S$491,'G-2 Habitat groups'!A106,'D-3 Off Site Habitat Enhancment'!$V$12:$V$491)</f>
        <v>0</v>
      </c>
      <c r="Z106" s="111">
        <f>SUMIF('D-3 Off Site Habitat Enhancment'!$S$12:$S$491,'G-2 Habitat groups'!A106,'D-3 Off Site Habitat Enhancment'!$AP$12:$AP$491)</f>
        <v>0</v>
      </c>
      <c r="AA106" s="111">
        <f t="shared" si="92"/>
        <v>0</v>
      </c>
      <c r="AB106" s="111">
        <f t="shared" si="93"/>
        <v>0</v>
      </c>
      <c r="AC106" s="111">
        <f t="shared" si="94"/>
        <v>0</v>
      </c>
      <c r="AD106" s="111">
        <f t="shared" si="95"/>
        <v>0</v>
      </c>
      <c r="AE106" s="111">
        <f t="shared" si="96"/>
        <v>0</v>
      </c>
      <c r="AF106" s="111">
        <f t="shared" si="97"/>
        <v>0</v>
      </c>
    </row>
    <row r="107" spans="1:59" x14ac:dyDescent="0.25">
      <c r="A107" s="129" t="str">
        <f>'G-1 All Habitats'!B106</f>
        <v>Rocky shore - Low energy littoral rock - on peat, clay or chalk</v>
      </c>
      <c r="B107" s="100" t="str">
        <f>'G-1 All Habitats'!F106</f>
        <v xml:space="preserve">Rocky shore </v>
      </c>
      <c r="C107" s="100" t="str">
        <f>'G-1 All Habitats'!K106</f>
        <v>V.High</v>
      </c>
      <c r="D107" s="100" t="str">
        <f>'G-1 All Habitats'!M106</f>
        <v>Bespoke compensation likely to be required</v>
      </c>
      <c r="E107" s="111">
        <f>IF(C107="V.High",SUMIF('A-1 Site Habitat Baseline'!$G$11:$G$258,'G-2 Habitat groups'!A107,'A-1 Site Habitat Baseline'!$S$11:$S$258)+SUMIF('A-1 Site Habitat Baseline'!$G$11:$G$258,'G-2 Habitat groups'!A107,'A-1 Site Habitat Baseline'!$T$11:$T$258),SUMIF('A-1 Site Habitat Baseline'!$G$11:$G$258,'G-2 Habitat groups'!A107,'A-1 Site Habitat Baseline'!$H$11:$H$258))</f>
        <v>0</v>
      </c>
      <c r="F107" s="111">
        <f>SUMIF('A-1 Site Habitat Baseline'!$G$11:$G$258,'G-2 Habitat groups'!A107,'A-1 Site Habitat Baseline'!$Q$11:$Q$258)</f>
        <v>0</v>
      </c>
      <c r="G107" s="111">
        <f>SUMIF('A-1 Site Habitat Baseline'!$G$11:$G$258,'G-2 Habitat groups'!A107,'A-1 Site Habitat Baseline'!$S$11:$S$258)</f>
        <v>0</v>
      </c>
      <c r="H107" s="111">
        <f>SUMIF('A-1 Site Habitat Baseline'!$G$11:$G$258,'G-2 Habitat groups'!A107,'A-1 Site Habitat Baseline'!$U$11:$U$258)</f>
        <v>0</v>
      </c>
      <c r="I107" s="111">
        <f>SUMIF('A-1 Site Habitat Baseline'!$G$11:$G$258,'G-2 Habitat groups'!A107,'A-1 Site Habitat Baseline'!$W$11:$W$258)</f>
        <v>0</v>
      </c>
      <c r="J107" s="111">
        <f>SUMIF('A-1 Site Habitat Baseline'!$G$11:$G$258,'G-2 Habitat groups'!A107,'A-1 Site Habitat Baseline'!$X$11:$X$258)</f>
        <v>0</v>
      </c>
      <c r="K107" s="111">
        <f>SUMIF('A-2 Site Habitat Creation'!$F$11:$F$256,'G-2 Habitat groups'!A107,'A-2 Site Habitat Creation'!$G$11:$G$256)</f>
        <v>0</v>
      </c>
      <c r="L107" s="111">
        <f>SUMIF('A-2 Site Habitat Creation'!$F$11:$F$256,'G-2 Habitat groups'!A107,'A-2 Site Habitat Creation'!$Y$11:$Y$256)</f>
        <v>0</v>
      </c>
      <c r="M107" s="111">
        <f>SUMIF('A-3 Site Habitat Enhancement'!$S$12:$S$257,'G-2 Habitat groups'!A107,'A-3 Site Habitat Enhancement'!$V$12:$V$257)</f>
        <v>0</v>
      </c>
      <c r="N107" s="111">
        <f>SUMIF('A-3 Site Habitat Enhancement'!$S$12:$S$257,'G-2 Habitat groups'!A107,'A-3 Site Habitat Enhancement'!$AN$12:$AN$257)</f>
        <v>0</v>
      </c>
      <c r="O107" s="111">
        <f t="shared" si="88"/>
        <v>0</v>
      </c>
      <c r="P107" s="111">
        <f t="shared" si="89"/>
        <v>0</v>
      </c>
      <c r="Q107" s="111">
        <f t="shared" si="90"/>
        <v>0</v>
      </c>
      <c r="R107" s="111">
        <f t="shared" si="91"/>
        <v>0</v>
      </c>
      <c r="S107" s="111">
        <f>IF(C107="V.High",SUMIF('D-1 Off Site Habitat Baseline'!$G$11:$G$258,'G-2 Habitat groups'!A107,'D-1 Off Site Habitat Baseline'!$S$11:$S$258)+SUMIF('D-1 Off Site Habitat Baseline'!$G$11:$G$258,'G-2 Habitat groups'!A107,'D-1 Off Site Habitat Baseline'!$T$11:$T$258),SUMIF('D-1 Off Site Habitat Baseline'!$G$11:$G$258,'G-2 Habitat groups'!A107,'D-1 Off Site Habitat Baseline'!$H$11:$H$258))</f>
        <v>0</v>
      </c>
      <c r="T107" s="111">
        <f>SUMIF('D-1 Off Site Habitat Baseline'!$G$11:$G$258,'G-2 Habitat groups'!A107,'D-1 Off Site Habitat Baseline'!$Q$11:$Q$258)</f>
        <v>0</v>
      </c>
      <c r="U107" s="513">
        <f>SUMIF('D-1 Off Site Habitat Baseline'!$G$11:$G$258,'G-2 Habitat groups'!A107,'D-1 Off Site Habitat Baseline'!$S$11:$S$258)</f>
        <v>0</v>
      </c>
      <c r="V107" s="111">
        <f>SUMIF('D-1 Off Site Habitat Baseline'!$G$11:$G$258,'G-2 Habitat groups'!A107,'D-1 Off Site Habitat Baseline'!$U$11:$U$258)</f>
        <v>0</v>
      </c>
      <c r="W107" s="111">
        <f>SUMIF('D-2 Off Site Habitat Creation'!$F$9:$F$255,'G-2 Habitat groups'!A107,'D-2 Off Site Habitat Creation'!$G$9:$G$255)</f>
        <v>0</v>
      </c>
      <c r="X107" s="111">
        <f>SUMIF('D-2 Off Site Habitat Creation'!$F$9:$F$255,'G-2 Habitat groups'!A107,'D-2 Off Site Habitat Creation'!$AA$9:$AA$255)</f>
        <v>0</v>
      </c>
      <c r="Y107" s="111">
        <f>SUMIF('D-3 Off Site Habitat Enhancment'!$S$12:$S$491,'G-2 Habitat groups'!A107,'D-3 Off Site Habitat Enhancment'!$V$12:$V$491)</f>
        <v>0</v>
      </c>
      <c r="Z107" s="111">
        <f>SUMIF('D-3 Off Site Habitat Enhancment'!$S$12:$S$491,'G-2 Habitat groups'!A107,'D-3 Off Site Habitat Enhancment'!$AP$12:$AP$491)</f>
        <v>0</v>
      </c>
      <c r="AA107" s="111">
        <f t="shared" si="92"/>
        <v>0</v>
      </c>
      <c r="AB107" s="111">
        <f t="shared" si="93"/>
        <v>0</v>
      </c>
      <c r="AC107" s="111">
        <f t="shared" si="94"/>
        <v>0</v>
      </c>
      <c r="AD107" s="111">
        <f t="shared" si="95"/>
        <v>0</v>
      </c>
      <c r="AE107" s="111">
        <f t="shared" si="96"/>
        <v>0</v>
      </c>
      <c r="AF107" s="111">
        <f t="shared" si="97"/>
        <v>0</v>
      </c>
    </row>
    <row r="108" spans="1:59" x14ac:dyDescent="0.25">
      <c r="A108" s="129" t="str">
        <f>'G-1 All Habitats'!B107</f>
        <v>Rocky shore - Features of littoral rock</v>
      </c>
      <c r="B108" s="100" t="str">
        <f>'G-1 All Habitats'!F107</f>
        <v xml:space="preserve">Rocky shore </v>
      </c>
      <c r="C108" s="100" t="str">
        <f>'G-1 All Habitats'!K107</f>
        <v>High</v>
      </c>
      <c r="D108" s="100" t="str">
        <f>'G-1 All Habitats'!M107</f>
        <v>Same habitat required</v>
      </c>
      <c r="E108" s="111">
        <f>IF(C108="V.High",SUMIF('A-1 Site Habitat Baseline'!$G$11:$G$258,'G-2 Habitat groups'!A108,'A-1 Site Habitat Baseline'!$S$11:$S$258)+SUMIF('A-1 Site Habitat Baseline'!$G$11:$G$258,'G-2 Habitat groups'!A108,'A-1 Site Habitat Baseline'!$T$11:$T$258),SUMIF('A-1 Site Habitat Baseline'!$G$11:$G$258,'G-2 Habitat groups'!A108,'A-1 Site Habitat Baseline'!$H$11:$H$258))</f>
        <v>0</v>
      </c>
      <c r="F108" s="111">
        <f>SUMIF('A-1 Site Habitat Baseline'!$G$11:$G$258,'G-2 Habitat groups'!A108,'A-1 Site Habitat Baseline'!$Q$11:$Q$258)</f>
        <v>0</v>
      </c>
      <c r="G108" s="111">
        <f>SUMIF('A-1 Site Habitat Baseline'!$G$11:$G$258,'G-2 Habitat groups'!A108,'A-1 Site Habitat Baseline'!$S$11:$S$258)</f>
        <v>0</v>
      </c>
      <c r="H108" s="111">
        <f>SUMIF('A-1 Site Habitat Baseline'!$G$11:$G$258,'G-2 Habitat groups'!A108,'A-1 Site Habitat Baseline'!$U$11:$U$258)</f>
        <v>0</v>
      </c>
      <c r="I108" s="111">
        <f>SUMIF('A-1 Site Habitat Baseline'!$G$11:$G$258,'G-2 Habitat groups'!A108,'A-1 Site Habitat Baseline'!$W$11:$W$258)</f>
        <v>0</v>
      </c>
      <c r="J108" s="111">
        <f>SUMIF('A-1 Site Habitat Baseline'!$G$11:$G$258,'G-2 Habitat groups'!A108,'A-1 Site Habitat Baseline'!$X$11:$X$258)</f>
        <v>0</v>
      </c>
      <c r="K108" s="111">
        <f>SUMIF('A-2 Site Habitat Creation'!$F$11:$F$256,'G-2 Habitat groups'!A108,'A-2 Site Habitat Creation'!$G$11:$G$256)</f>
        <v>0</v>
      </c>
      <c r="L108" s="111">
        <f>SUMIF('A-2 Site Habitat Creation'!$F$11:$F$256,'G-2 Habitat groups'!A108,'A-2 Site Habitat Creation'!$Y$11:$Y$256)</f>
        <v>0</v>
      </c>
      <c r="M108" s="111">
        <f>SUMIF('A-3 Site Habitat Enhancement'!$S$12:$S$257,'G-2 Habitat groups'!A108,'A-3 Site Habitat Enhancement'!$V$12:$V$257)</f>
        <v>0</v>
      </c>
      <c r="N108" s="111">
        <f>SUMIF('A-3 Site Habitat Enhancement'!$S$12:$S$257,'G-2 Habitat groups'!A108,'A-3 Site Habitat Enhancement'!$AN$12:$AN$257)</f>
        <v>0</v>
      </c>
      <c r="O108" s="111">
        <f t="shared" si="88"/>
        <v>0</v>
      </c>
      <c r="P108" s="111">
        <f t="shared" si="89"/>
        <v>0</v>
      </c>
      <c r="Q108" s="111">
        <f t="shared" si="90"/>
        <v>0</v>
      </c>
      <c r="R108" s="111">
        <f t="shared" si="91"/>
        <v>0</v>
      </c>
      <c r="S108" s="111">
        <f>IF(C108="V.High",SUMIF('D-1 Off Site Habitat Baseline'!$G$11:$G$258,'G-2 Habitat groups'!A108,'D-1 Off Site Habitat Baseline'!$S$11:$S$258)+SUMIF('D-1 Off Site Habitat Baseline'!$G$11:$G$258,'G-2 Habitat groups'!A108,'D-1 Off Site Habitat Baseline'!$T$11:$T$258),SUMIF('D-1 Off Site Habitat Baseline'!$G$11:$G$258,'G-2 Habitat groups'!A108,'D-1 Off Site Habitat Baseline'!$H$11:$H$258))</f>
        <v>0</v>
      </c>
      <c r="T108" s="111">
        <f>SUMIF('D-1 Off Site Habitat Baseline'!$G$11:$G$258,'G-2 Habitat groups'!A108,'D-1 Off Site Habitat Baseline'!$Q$11:$Q$258)</f>
        <v>0</v>
      </c>
      <c r="U108" s="513">
        <f>SUMIF('D-1 Off Site Habitat Baseline'!$G$11:$G$258,'G-2 Habitat groups'!A108,'D-1 Off Site Habitat Baseline'!$S$11:$S$258)</f>
        <v>0</v>
      </c>
      <c r="V108" s="111">
        <f>SUMIF('D-1 Off Site Habitat Baseline'!$G$11:$G$258,'G-2 Habitat groups'!A108,'D-1 Off Site Habitat Baseline'!$U$11:$U$258)</f>
        <v>0</v>
      </c>
      <c r="W108" s="111">
        <f>SUMIF('D-2 Off Site Habitat Creation'!$F$9:$F$255,'G-2 Habitat groups'!A108,'D-2 Off Site Habitat Creation'!$G$9:$G$255)</f>
        <v>0</v>
      </c>
      <c r="X108" s="111">
        <f>SUMIF('D-2 Off Site Habitat Creation'!$F$9:$F$255,'G-2 Habitat groups'!A108,'D-2 Off Site Habitat Creation'!$AA$9:$AA$255)</f>
        <v>0</v>
      </c>
      <c r="Y108" s="111">
        <f>SUMIF('D-3 Off Site Habitat Enhancment'!$S$12:$S$491,'G-2 Habitat groups'!A108,'D-3 Off Site Habitat Enhancment'!$V$12:$V$491)</f>
        <v>0</v>
      </c>
      <c r="Z108" s="111">
        <f>SUMIF('D-3 Off Site Habitat Enhancment'!$S$12:$S$491,'G-2 Habitat groups'!A108,'D-3 Off Site Habitat Enhancment'!$AP$12:$AP$491)</f>
        <v>0</v>
      </c>
      <c r="AA108" s="111">
        <f t="shared" si="92"/>
        <v>0</v>
      </c>
      <c r="AB108" s="111">
        <f t="shared" si="93"/>
        <v>0</v>
      </c>
      <c r="AC108" s="111">
        <f t="shared" si="94"/>
        <v>0</v>
      </c>
      <c r="AD108" s="111">
        <f t="shared" si="95"/>
        <v>0</v>
      </c>
      <c r="AE108" s="111">
        <f t="shared" si="96"/>
        <v>0</v>
      </c>
      <c r="AF108" s="111">
        <f t="shared" si="97"/>
        <v>0</v>
      </c>
    </row>
    <row r="109" spans="1:59" ht="35.4" x14ac:dyDescent="0.6">
      <c r="A109" s="129" t="str">
        <f>'G-1 All Habitats'!B108</f>
        <v>Rocky shore - Features of littoral rock - on peat, clay or chalk</v>
      </c>
      <c r="B109" s="100" t="str">
        <f>'G-1 All Habitats'!F108</f>
        <v xml:space="preserve">Rocky shore </v>
      </c>
      <c r="C109" s="100" t="str">
        <f>'G-1 All Habitats'!K108</f>
        <v>V.High</v>
      </c>
      <c r="D109" s="100" t="str">
        <f>'G-1 All Habitats'!M108</f>
        <v>Bespoke compensation likely to be required</v>
      </c>
      <c r="E109" s="111">
        <f>IF(C109="V.High",SUMIF('A-1 Site Habitat Baseline'!$G$11:$G$258,'G-2 Habitat groups'!A109,'A-1 Site Habitat Baseline'!$S$11:$S$258)+SUMIF('A-1 Site Habitat Baseline'!$G$11:$G$258,'G-2 Habitat groups'!A109,'A-1 Site Habitat Baseline'!$T$11:$T$258),SUMIF('A-1 Site Habitat Baseline'!$G$11:$G$258,'G-2 Habitat groups'!A109,'A-1 Site Habitat Baseline'!$H$11:$H$258))</f>
        <v>0</v>
      </c>
      <c r="F109" s="111">
        <f>SUMIF('A-1 Site Habitat Baseline'!$G$11:$G$258,'G-2 Habitat groups'!A109,'A-1 Site Habitat Baseline'!$Q$11:$Q$258)</f>
        <v>0</v>
      </c>
      <c r="G109" s="111">
        <f>SUMIF('A-1 Site Habitat Baseline'!$G$11:$G$258,'G-2 Habitat groups'!A109,'A-1 Site Habitat Baseline'!$S$11:$S$258)</f>
        <v>0</v>
      </c>
      <c r="H109" s="111">
        <f>SUMIF('A-1 Site Habitat Baseline'!$G$11:$G$258,'G-2 Habitat groups'!A109,'A-1 Site Habitat Baseline'!$U$11:$U$258)</f>
        <v>0</v>
      </c>
      <c r="I109" s="111">
        <f>SUMIF('A-1 Site Habitat Baseline'!$G$11:$G$258,'G-2 Habitat groups'!A109,'A-1 Site Habitat Baseline'!$W$11:$W$258)</f>
        <v>0</v>
      </c>
      <c r="J109" s="111">
        <f>SUMIF('A-1 Site Habitat Baseline'!$G$11:$G$258,'G-2 Habitat groups'!A109,'A-1 Site Habitat Baseline'!$X$11:$X$258)</f>
        <v>0</v>
      </c>
      <c r="K109" s="111">
        <f>SUMIF('A-2 Site Habitat Creation'!$F$11:$F$256,'G-2 Habitat groups'!A109,'A-2 Site Habitat Creation'!$G$11:$G$256)</f>
        <v>0</v>
      </c>
      <c r="L109" s="111">
        <f>SUMIF('A-2 Site Habitat Creation'!$F$11:$F$256,'G-2 Habitat groups'!A109,'A-2 Site Habitat Creation'!$Y$11:$Y$256)</f>
        <v>0</v>
      </c>
      <c r="M109" s="111">
        <f>SUMIF('A-3 Site Habitat Enhancement'!$S$12:$S$257,'G-2 Habitat groups'!A109,'A-3 Site Habitat Enhancement'!$V$12:$V$257)</f>
        <v>0</v>
      </c>
      <c r="N109" s="111">
        <f>SUMIF('A-3 Site Habitat Enhancement'!$S$12:$S$257,'G-2 Habitat groups'!A109,'A-3 Site Habitat Enhancement'!$AN$12:$AN$257)</f>
        <v>0</v>
      </c>
      <c r="O109" s="111">
        <f t="shared" si="88"/>
        <v>0</v>
      </c>
      <c r="P109" s="111">
        <f t="shared" si="89"/>
        <v>0</v>
      </c>
      <c r="Q109" s="111">
        <f t="shared" si="90"/>
        <v>0</v>
      </c>
      <c r="R109" s="111">
        <f t="shared" si="91"/>
        <v>0</v>
      </c>
      <c r="S109" s="111">
        <f>IF(C109="V.High",SUMIF('D-1 Off Site Habitat Baseline'!$G$11:$G$258,'G-2 Habitat groups'!A109,'D-1 Off Site Habitat Baseline'!$S$11:$S$258)+SUMIF('D-1 Off Site Habitat Baseline'!$G$11:$G$258,'G-2 Habitat groups'!A109,'D-1 Off Site Habitat Baseline'!$T$11:$T$258),SUMIF('D-1 Off Site Habitat Baseline'!$G$11:$G$258,'G-2 Habitat groups'!A109,'D-1 Off Site Habitat Baseline'!$H$11:$H$258))</f>
        <v>0</v>
      </c>
      <c r="T109" s="111">
        <f>SUMIF('D-1 Off Site Habitat Baseline'!$G$11:$G$258,'G-2 Habitat groups'!A109,'D-1 Off Site Habitat Baseline'!$Q$11:$Q$258)</f>
        <v>0</v>
      </c>
      <c r="U109" s="513">
        <f>SUMIF('D-1 Off Site Habitat Baseline'!$G$11:$G$258,'G-2 Habitat groups'!A109,'D-1 Off Site Habitat Baseline'!$S$11:$S$258)</f>
        <v>0</v>
      </c>
      <c r="V109" s="111">
        <f>SUMIF('D-1 Off Site Habitat Baseline'!$G$11:$G$258,'G-2 Habitat groups'!A109,'D-1 Off Site Habitat Baseline'!$U$11:$U$258)</f>
        <v>0</v>
      </c>
      <c r="W109" s="111">
        <f>SUMIF('D-2 Off Site Habitat Creation'!$F$9:$F$255,'G-2 Habitat groups'!A109,'D-2 Off Site Habitat Creation'!$G$9:$G$255)</f>
        <v>0</v>
      </c>
      <c r="X109" s="111">
        <f>SUMIF('D-2 Off Site Habitat Creation'!$F$9:$F$255,'G-2 Habitat groups'!A109,'D-2 Off Site Habitat Creation'!$AA$9:$AA$255)</f>
        <v>0</v>
      </c>
      <c r="Y109" s="111">
        <f>SUMIF('D-3 Off Site Habitat Enhancment'!$S$12:$S$491,'G-2 Habitat groups'!A109,'D-3 Off Site Habitat Enhancment'!$V$12:$V$491)</f>
        <v>0</v>
      </c>
      <c r="Z109" s="111">
        <f>SUMIF('D-3 Off Site Habitat Enhancment'!$S$12:$S$491,'G-2 Habitat groups'!A109,'D-3 Off Site Habitat Enhancment'!$AP$12:$AP$491)</f>
        <v>0</v>
      </c>
      <c r="AA109" s="111">
        <f t="shared" si="92"/>
        <v>0</v>
      </c>
      <c r="AB109" s="111">
        <f t="shared" si="93"/>
        <v>0</v>
      </c>
      <c r="AC109" s="111">
        <f t="shared" si="94"/>
        <v>0</v>
      </c>
      <c r="AD109" s="111">
        <f t="shared" si="95"/>
        <v>0</v>
      </c>
      <c r="AE109" s="111">
        <f t="shared" si="96"/>
        <v>0</v>
      </c>
      <c r="AF109" s="111">
        <f t="shared" si="97"/>
        <v>0</v>
      </c>
      <c r="AU109" s="553" t="s">
        <v>8</v>
      </c>
    </row>
    <row r="110" spans="1:59" ht="33" customHeight="1" x14ac:dyDescent="0.3">
      <c r="A110" s="129" t="str">
        <f>'G-1 All Habitats'!B111</f>
        <v>Intertidal sediment - Littoral coarse sediment</v>
      </c>
      <c r="B110" s="100" t="str">
        <f>'G-1 All Habitats'!F111</f>
        <v>Intertidal sediment</v>
      </c>
      <c r="C110" s="100" t="str">
        <f>'G-1 All Habitats'!K111</f>
        <v>Medium</v>
      </c>
      <c r="D110" s="100" t="str">
        <f>'G-1 All Habitats'!M111</f>
        <v>Same broad habitat or a higher distinctiveness habitat required</v>
      </c>
      <c r="E110" s="111">
        <f>IF(C110="V.High",SUMIF('A-1 Site Habitat Baseline'!$G$11:$G$258,'G-2 Habitat groups'!A110,'A-1 Site Habitat Baseline'!$S$11:$S$258)+SUMIF('A-1 Site Habitat Baseline'!$G$11:$G$258,'G-2 Habitat groups'!A110,'A-1 Site Habitat Baseline'!$T$11:$T$258),SUMIF('A-1 Site Habitat Baseline'!$G$11:$G$258,'G-2 Habitat groups'!A110,'A-1 Site Habitat Baseline'!$H$11:$H$258))</f>
        <v>0</v>
      </c>
      <c r="F110" s="111">
        <f>SUMIF('A-1 Site Habitat Baseline'!$G$11:$G$258,'G-2 Habitat groups'!A110,'A-1 Site Habitat Baseline'!$Q$11:$Q$258)</f>
        <v>0</v>
      </c>
      <c r="G110" s="111">
        <f>SUMIF('A-1 Site Habitat Baseline'!$G$11:$G$258,'G-2 Habitat groups'!A110,'A-1 Site Habitat Baseline'!$S$11:$S$258)</f>
        <v>0</v>
      </c>
      <c r="H110" s="111">
        <f>SUMIF('A-1 Site Habitat Baseline'!$G$11:$G$258,'G-2 Habitat groups'!A110,'A-1 Site Habitat Baseline'!$U$11:$U$258)</f>
        <v>0</v>
      </c>
      <c r="I110" s="111">
        <f>SUMIF('A-1 Site Habitat Baseline'!$G$11:$G$258,'G-2 Habitat groups'!A110,'A-1 Site Habitat Baseline'!$W$11:$W$258)</f>
        <v>0</v>
      </c>
      <c r="J110" s="111">
        <f>SUMIF('A-1 Site Habitat Baseline'!$G$11:$G$258,'G-2 Habitat groups'!A110,'A-1 Site Habitat Baseline'!$X$11:$X$258)</f>
        <v>0</v>
      </c>
      <c r="K110" s="111">
        <f>SUMIF('A-2 Site Habitat Creation'!$F$11:$F$256,'G-2 Habitat groups'!A110,'A-2 Site Habitat Creation'!$G$11:$G$256)</f>
        <v>0</v>
      </c>
      <c r="L110" s="111">
        <f>SUMIF('A-2 Site Habitat Creation'!$F$11:$F$256,'G-2 Habitat groups'!A110,'A-2 Site Habitat Creation'!$Y$11:$Y$256)</f>
        <v>0</v>
      </c>
      <c r="M110" s="111">
        <f>SUMIF('A-3 Site Habitat Enhancement'!$S$12:$S$257,'G-2 Habitat groups'!A110,'A-3 Site Habitat Enhancement'!$V$12:$V$257)</f>
        <v>0</v>
      </c>
      <c r="N110" s="111">
        <f>SUMIF('A-3 Site Habitat Enhancement'!$S$12:$S$257,'G-2 Habitat groups'!A110,'A-3 Site Habitat Enhancement'!$AN$12:$AN$257)</f>
        <v>0</v>
      </c>
      <c r="O110" s="111">
        <f t="shared" si="88"/>
        <v>0</v>
      </c>
      <c r="P110" s="111">
        <f t="shared" si="89"/>
        <v>0</v>
      </c>
      <c r="Q110" s="111">
        <f t="shared" si="90"/>
        <v>0</v>
      </c>
      <c r="R110" s="111">
        <f t="shared" si="91"/>
        <v>0</v>
      </c>
      <c r="S110" s="111">
        <f>IF(C110="V.High",SUMIF('D-1 Off Site Habitat Baseline'!$G$11:$G$258,'G-2 Habitat groups'!A110,'D-1 Off Site Habitat Baseline'!$S$11:$S$258)+SUMIF('D-1 Off Site Habitat Baseline'!$G$11:$G$258,'G-2 Habitat groups'!A110,'D-1 Off Site Habitat Baseline'!$T$11:$T$258),SUMIF('D-1 Off Site Habitat Baseline'!$G$11:$G$258,'G-2 Habitat groups'!A110,'D-1 Off Site Habitat Baseline'!$H$11:$H$258))</f>
        <v>0</v>
      </c>
      <c r="T110" s="111">
        <f>SUMIF('D-1 Off Site Habitat Baseline'!$G$11:$G$258,'G-2 Habitat groups'!A110,'D-1 Off Site Habitat Baseline'!$Q$11:$Q$258)</f>
        <v>0</v>
      </c>
      <c r="U110" s="513">
        <f>SUMIF('D-1 Off Site Habitat Baseline'!$G$11:$G$258,'G-2 Habitat groups'!A110,'D-1 Off Site Habitat Baseline'!$S$11:$S$258)</f>
        <v>0</v>
      </c>
      <c r="V110" s="111">
        <f>SUMIF('D-1 Off Site Habitat Baseline'!$G$11:$G$258,'G-2 Habitat groups'!A110,'D-1 Off Site Habitat Baseline'!$U$11:$U$258)</f>
        <v>0</v>
      </c>
      <c r="W110" s="111">
        <f>SUMIF('D-2 Off Site Habitat Creation'!$F$9:$F$255,'G-2 Habitat groups'!A110,'D-2 Off Site Habitat Creation'!$G$9:$G$255)</f>
        <v>0</v>
      </c>
      <c r="X110" s="111">
        <f>SUMIF('D-2 Off Site Habitat Creation'!$F$9:$F$255,'G-2 Habitat groups'!A110,'D-2 Off Site Habitat Creation'!$AA$9:$AA$255)</f>
        <v>0</v>
      </c>
      <c r="Y110" s="111">
        <f>SUMIF('D-3 Off Site Habitat Enhancment'!$S$12:$S$491,'G-2 Habitat groups'!A110,'D-3 Off Site Habitat Enhancment'!$V$12:$V$491)</f>
        <v>0</v>
      </c>
      <c r="Z110" s="111">
        <f>SUMIF('D-3 Off Site Habitat Enhancment'!$S$12:$S$491,'G-2 Habitat groups'!A110,'D-3 Off Site Habitat Enhancment'!$AP$12:$AP$491)</f>
        <v>0</v>
      </c>
      <c r="AA110" s="111">
        <f t="shared" si="92"/>
        <v>0</v>
      </c>
      <c r="AB110" s="111">
        <f t="shared" si="93"/>
        <v>0</v>
      </c>
      <c r="AC110" s="111">
        <f t="shared" si="94"/>
        <v>0</v>
      </c>
      <c r="AD110" s="111">
        <f t="shared" si="95"/>
        <v>0</v>
      </c>
      <c r="AE110" s="111">
        <f t="shared" si="96"/>
        <v>0</v>
      </c>
      <c r="AF110" s="111">
        <f t="shared" si="97"/>
        <v>0</v>
      </c>
      <c r="AU110" s="148" t="s">
        <v>148</v>
      </c>
      <c r="AV110" s="152" t="s">
        <v>134</v>
      </c>
      <c r="AW110" s="153" t="s">
        <v>149</v>
      </c>
      <c r="AX110" s="153" t="s">
        <v>785</v>
      </c>
      <c r="AY110" s="153" t="s">
        <v>775</v>
      </c>
      <c r="AZ110" s="153" t="s">
        <v>776</v>
      </c>
      <c r="BA110" s="153" t="s">
        <v>777</v>
      </c>
      <c r="BB110" s="153" t="s">
        <v>778</v>
      </c>
      <c r="BC110" s="153" t="s">
        <v>779</v>
      </c>
      <c r="BD110" s="153" t="s">
        <v>1324</v>
      </c>
      <c r="BE110" s="153" t="s">
        <v>783</v>
      </c>
      <c r="BF110" s="153" t="s">
        <v>1335</v>
      </c>
      <c r="BG110" s="37"/>
    </row>
    <row r="111" spans="1:59" x14ac:dyDescent="0.25">
      <c r="A111" s="129" t="str">
        <f>'G-1 All Habitats'!B112</f>
        <v>Intertidal sediment - Littoral mud</v>
      </c>
      <c r="B111" s="100" t="str">
        <f>'G-1 All Habitats'!F112</f>
        <v>Intertidal sediment</v>
      </c>
      <c r="C111" s="100" t="str">
        <f>'G-1 All Habitats'!K112</f>
        <v>High</v>
      </c>
      <c r="D111" s="100" t="str">
        <f>'G-1 All Habitats'!M112</f>
        <v>Same habitat required</v>
      </c>
      <c r="E111" s="111">
        <f>IF(C111="V.High",SUMIF('A-1 Site Habitat Baseline'!$G$11:$G$258,'G-2 Habitat groups'!A111,'A-1 Site Habitat Baseline'!$S$11:$S$258)+SUMIF('A-1 Site Habitat Baseline'!$G$11:$G$258,'G-2 Habitat groups'!A111,'A-1 Site Habitat Baseline'!$T$11:$T$258),SUMIF('A-1 Site Habitat Baseline'!$G$11:$G$258,'G-2 Habitat groups'!A111,'A-1 Site Habitat Baseline'!$H$11:$H$258))</f>
        <v>0</v>
      </c>
      <c r="F111" s="111">
        <f>SUMIF('A-1 Site Habitat Baseline'!$G$11:$G$258,'G-2 Habitat groups'!A111,'A-1 Site Habitat Baseline'!$Q$11:$Q$258)</f>
        <v>0</v>
      </c>
      <c r="G111" s="111">
        <f>SUMIF('A-1 Site Habitat Baseline'!$G$11:$G$258,'G-2 Habitat groups'!A111,'A-1 Site Habitat Baseline'!$S$11:$S$258)</f>
        <v>0</v>
      </c>
      <c r="H111" s="111">
        <f>SUMIF('A-1 Site Habitat Baseline'!$G$11:$G$258,'G-2 Habitat groups'!A111,'A-1 Site Habitat Baseline'!$U$11:$U$258)</f>
        <v>0</v>
      </c>
      <c r="I111" s="111">
        <f>SUMIF('A-1 Site Habitat Baseline'!$G$11:$G$258,'G-2 Habitat groups'!A111,'A-1 Site Habitat Baseline'!$W$11:$W$258)</f>
        <v>0</v>
      </c>
      <c r="J111" s="111">
        <f>SUMIF('A-1 Site Habitat Baseline'!$G$11:$G$258,'G-2 Habitat groups'!A111,'A-1 Site Habitat Baseline'!$X$11:$X$258)</f>
        <v>0</v>
      </c>
      <c r="K111" s="111">
        <f>SUMIF('A-2 Site Habitat Creation'!$F$11:$F$256,'G-2 Habitat groups'!A111,'A-2 Site Habitat Creation'!$G$11:$G$256)</f>
        <v>0</v>
      </c>
      <c r="L111" s="111">
        <f>SUMIF('A-2 Site Habitat Creation'!$F$11:$F$256,'G-2 Habitat groups'!A111,'A-2 Site Habitat Creation'!$Y$11:$Y$256)</f>
        <v>0</v>
      </c>
      <c r="M111" s="111">
        <f>SUMIF('A-3 Site Habitat Enhancement'!$S$12:$S$257,'G-2 Habitat groups'!A111,'A-3 Site Habitat Enhancement'!$V$12:$V$257)</f>
        <v>0</v>
      </c>
      <c r="N111" s="111">
        <f>SUMIF('A-3 Site Habitat Enhancement'!$S$12:$S$257,'G-2 Habitat groups'!A111,'A-3 Site Habitat Enhancement'!$AN$12:$AN$257)</f>
        <v>0</v>
      </c>
      <c r="O111" s="111">
        <f t="shared" si="88"/>
        <v>0</v>
      </c>
      <c r="P111" s="111">
        <f t="shared" si="89"/>
        <v>0</v>
      </c>
      <c r="Q111" s="111">
        <f t="shared" si="90"/>
        <v>0</v>
      </c>
      <c r="R111" s="111">
        <f t="shared" si="91"/>
        <v>0</v>
      </c>
      <c r="S111" s="111">
        <f>IF(C111="V.High",SUMIF('D-1 Off Site Habitat Baseline'!$G$11:$G$258,'G-2 Habitat groups'!A111,'D-1 Off Site Habitat Baseline'!$S$11:$S$258)+SUMIF('D-1 Off Site Habitat Baseline'!$G$11:$G$258,'G-2 Habitat groups'!A111,'D-1 Off Site Habitat Baseline'!$T$11:$T$258),SUMIF('D-1 Off Site Habitat Baseline'!$G$11:$G$258,'G-2 Habitat groups'!A111,'D-1 Off Site Habitat Baseline'!$H$11:$H$258))</f>
        <v>0</v>
      </c>
      <c r="T111" s="111">
        <f>SUMIF('D-1 Off Site Habitat Baseline'!$G$11:$G$258,'G-2 Habitat groups'!A111,'D-1 Off Site Habitat Baseline'!$Q$11:$Q$258)</f>
        <v>0</v>
      </c>
      <c r="U111" s="513">
        <f>SUMIF('D-1 Off Site Habitat Baseline'!$G$11:$G$258,'G-2 Habitat groups'!A111,'D-1 Off Site Habitat Baseline'!$S$11:$S$258)</f>
        <v>0</v>
      </c>
      <c r="V111" s="111">
        <f>SUMIF('D-1 Off Site Habitat Baseline'!$G$11:$G$258,'G-2 Habitat groups'!A111,'D-1 Off Site Habitat Baseline'!$U$11:$U$258)</f>
        <v>0</v>
      </c>
      <c r="W111" s="111">
        <f>SUMIF('D-2 Off Site Habitat Creation'!$F$9:$F$255,'G-2 Habitat groups'!A111,'D-2 Off Site Habitat Creation'!$G$9:$G$255)</f>
        <v>0</v>
      </c>
      <c r="X111" s="111">
        <f>SUMIF('D-2 Off Site Habitat Creation'!$F$9:$F$255,'G-2 Habitat groups'!A111,'D-2 Off Site Habitat Creation'!$AA$9:$AA$255)</f>
        <v>0</v>
      </c>
      <c r="Y111" s="111">
        <f>SUMIF('D-3 Off Site Habitat Enhancment'!$S$12:$S$491,'G-2 Habitat groups'!A111,'D-3 Off Site Habitat Enhancment'!$V$12:$V$491)</f>
        <v>0</v>
      </c>
      <c r="Z111" s="111">
        <f>SUMIF('D-3 Off Site Habitat Enhancment'!$S$12:$S$491,'G-2 Habitat groups'!A111,'D-3 Off Site Habitat Enhancment'!$AP$12:$AP$491)</f>
        <v>0</v>
      </c>
      <c r="AA111" s="111">
        <f t="shared" si="92"/>
        <v>0</v>
      </c>
      <c r="AB111" s="111">
        <f t="shared" si="93"/>
        <v>0</v>
      </c>
      <c r="AC111" s="111">
        <f t="shared" si="94"/>
        <v>0</v>
      </c>
      <c r="AD111" s="111">
        <f t="shared" si="95"/>
        <v>0</v>
      </c>
      <c r="AE111" s="111">
        <f t="shared" si="96"/>
        <v>0</v>
      </c>
      <c r="AF111" s="111">
        <f t="shared" si="97"/>
        <v>0</v>
      </c>
      <c r="AU111" s="129" t="s">
        <v>276</v>
      </c>
      <c r="AV111" s="100" t="s">
        <v>165</v>
      </c>
      <c r="AW111" s="111">
        <f>VLOOKUP($AU111,AllHabsSummaryData,5,FALSE)</f>
        <v>0</v>
      </c>
      <c r="AX111" s="111">
        <f t="shared" ref="AX111:AX146" si="102">VLOOKUP($AU111,AllHabsSummaryData,10,FALSE)</f>
        <v>0</v>
      </c>
      <c r="AY111" s="111">
        <f t="shared" ref="AY111:AY123" si="103">VLOOKUP($AU111,AllHabsSummaryData,15,FALSE)</f>
        <v>0</v>
      </c>
      <c r="AZ111" s="111">
        <f t="shared" ref="AZ111:AZ123" si="104">VLOOKUP($AU111,AllHabsSummaryData,16,FALSE)</f>
        <v>0</v>
      </c>
      <c r="BA111" s="111">
        <f t="shared" ref="BA111:BA123" si="105">VLOOKUP($AU111,AllHabsSummaryData,17,FALSE)</f>
        <v>0</v>
      </c>
      <c r="BB111" s="111">
        <f t="shared" ref="BB111:BB123" si="106">VLOOKUP($AU111,AllHabsSummaryData,18,FALSE)</f>
        <v>0</v>
      </c>
      <c r="BC111" s="111">
        <f t="shared" ref="BC111:BC123" si="107">VLOOKUP($AU111,AllHabsSummaryData,27,FALSE)</f>
        <v>0</v>
      </c>
      <c r="BD111" s="111">
        <f t="shared" ref="BD111:BD123" si="108">VLOOKUP($AU111,AllHabsSummaryData,30,FALSE)</f>
        <v>0</v>
      </c>
      <c r="BE111" s="111">
        <f>BB111+BD111</f>
        <v>0</v>
      </c>
      <c r="BF111" s="111" t="str">
        <f>IF(BE111&lt;0,BE111,"")</f>
        <v/>
      </c>
    </row>
    <row r="112" spans="1:59" x14ac:dyDescent="0.25">
      <c r="A112" s="129" t="str">
        <f>'G-1 All Habitats'!B113</f>
        <v>Intertidal sediment - Littoral mixed sediments</v>
      </c>
      <c r="B112" s="100" t="str">
        <f>'G-1 All Habitats'!F113</f>
        <v>Intertidal sediment</v>
      </c>
      <c r="C112" s="100" t="str">
        <f>'G-1 All Habitats'!K113</f>
        <v>High</v>
      </c>
      <c r="D112" s="100" t="str">
        <f>'G-1 All Habitats'!M113</f>
        <v>Same habitat required</v>
      </c>
      <c r="E112" s="111">
        <f>IF(C112="V.High",SUMIF('A-1 Site Habitat Baseline'!$G$11:$G$258,'G-2 Habitat groups'!A112,'A-1 Site Habitat Baseline'!$S$11:$S$258)+SUMIF('A-1 Site Habitat Baseline'!$G$11:$G$258,'G-2 Habitat groups'!A112,'A-1 Site Habitat Baseline'!$T$11:$T$258),SUMIF('A-1 Site Habitat Baseline'!$G$11:$G$258,'G-2 Habitat groups'!A112,'A-1 Site Habitat Baseline'!$H$11:$H$258))</f>
        <v>0</v>
      </c>
      <c r="F112" s="111">
        <f>SUMIF('A-1 Site Habitat Baseline'!$G$11:$G$258,'G-2 Habitat groups'!A112,'A-1 Site Habitat Baseline'!$Q$11:$Q$258)</f>
        <v>0</v>
      </c>
      <c r="G112" s="111">
        <f>SUMIF('A-1 Site Habitat Baseline'!$G$11:$G$258,'G-2 Habitat groups'!A112,'A-1 Site Habitat Baseline'!$S$11:$S$258)</f>
        <v>0</v>
      </c>
      <c r="H112" s="111">
        <f>SUMIF('A-1 Site Habitat Baseline'!$G$11:$G$258,'G-2 Habitat groups'!A112,'A-1 Site Habitat Baseline'!$U$11:$U$258)</f>
        <v>0</v>
      </c>
      <c r="I112" s="111">
        <f>SUMIF('A-1 Site Habitat Baseline'!$G$11:$G$258,'G-2 Habitat groups'!A112,'A-1 Site Habitat Baseline'!$W$11:$W$258)</f>
        <v>0</v>
      </c>
      <c r="J112" s="111">
        <f>SUMIF('A-1 Site Habitat Baseline'!$G$11:$G$258,'G-2 Habitat groups'!A112,'A-1 Site Habitat Baseline'!$X$11:$X$258)</f>
        <v>0</v>
      </c>
      <c r="K112" s="111">
        <f>SUMIF('A-2 Site Habitat Creation'!$F$11:$F$256,'G-2 Habitat groups'!A112,'A-2 Site Habitat Creation'!$G$11:$G$256)</f>
        <v>0</v>
      </c>
      <c r="L112" s="111">
        <f>SUMIF('A-2 Site Habitat Creation'!$F$11:$F$256,'G-2 Habitat groups'!A112,'A-2 Site Habitat Creation'!$Y$11:$Y$256)</f>
        <v>0</v>
      </c>
      <c r="M112" s="111">
        <f>SUMIF('A-3 Site Habitat Enhancement'!$S$12:$S$257,'G-2 Habitat groups'!A112,'A-3 Site Habitat Enhancement'!$V$12:$V$257)</f>
        <v>0</v>
      </c>
      <c r="N112" s="111">
        <f>SUMIF('A-3 Site Habitat Enhancement'!$S$12:$S$257,'G-2 Habitat groups'!A112,'A-3 Site Habitat Enhancement'!$AN$12:$AN$257)</f>
        <v>0</v>
      </c>
      <c r="O112" s="111">
        <f t="shared" si="88"/>
        <v>0</v>
      </c>
      <c r="P112" s="111">
        <f t="shared" si="89"/>
        <v>0</v>
      </c>
      <c r="Q112" s="111">
        <f t="shared" si="90"/>
        <v>0</v>
      </c>
      <c r="R112" s="111">
        <f t="shared" si="91"/>
        <v>0</v>
      </c>
      <c r="S112" s="111">
        <f>IF(C112="V.High",SUMIF('D-1 Off Site Habitat Baseline'!$G$11:$G$258,'G-2 Habitat groups'!A112,'D-1 Off Site Habitat Baseline'!$S$11:$S$258)+SUMIF('D-1 Off Site Habitat Baseline'!$G$11:$G$258,'G-2 Habitat groups'!A112,'D-1 Off Site Habitat Baseline'!$T$11:$T$258),SUMIF('D-1 Off Site Habitat Baseline'!$G$11:$G$258,'G-2 Habitat groups'!A112,'D-1 Off Site Habitat Baseline'!$H$11:$H$258))</f>
        <v>0</v>
      </c>
      <c r="T112" s="111">
        <f>SUMIF('D-1 Off Site Habitat Baseline'!$G$11:$G$258,'G-2 Habitat groups'!A112,'D-1 Off Site Habitat Baseline'!$Q$11:$Q$258)</f>
        <v>0</v>
      </c>
      <c r="U112" s="513">
        <f>SUMIF('D-1 Off Site Habitat Baseline'!$G$11:$G$258,'G-2 Habitat groups'!A112,'D-1 Off Site Habitat Baseline'!$S$11:$S$258)</f>
        <v>0</v>
      </c>
      <c r="V112" s="111">
        <f>SUMIF('D-1 Off Site Habitat Baseline'!$G$11:$G$258,'G-2 Habitat groups'!A112,'D-1 Off Site Habitat Baseline'!$U$11:$U$258)</f>
        <v>0</v>
      </c>
      <c r="W112" s="111">
        <f>SUMIF('D-2 Off Site Habitat Creation'!$F$9:$F$255,'G-2 Habitat groups'!A112,'D-2 Off Site Habitat Creation'!$G$9:$G$255)</f>
        <v>0</v>
      </c>
      <c r="X112" s="111">
        <f>SUMIF('D-2 Off Site Habitat Creation'!$F$9:$F$255,'G-2 Habitat groups'!A112,'D-2 Off Site Habitat Creation'!$AA$9:$AA$255)</f>
        <v>0</v>
      </c>
      <c r="Y112" s="111">
        <f>SUMIF('D-3 Off Site Habitat Enhancment'!$S$12:$S$491,'G-2 Habitat groups'!A112,'D-3 Off Site Habitat Enhancment'!$V$12:$V$491)</f>
        <v>0</v>
      </c>
      <c r="Z112" s="111">
        <f>SUMIF('D-3 Off Site Habitat Enhancment'!$S$12:$S$491,'G-2 Habitat groups'!A112,'D-3 Off Site Habitat Enhancment'!$AP$12:$AP$491)</f>
        <v>0</v>
      </c>
      <c r="AA112" s="111">
        <f t="shared" si="92"/>
        <v>0</v>
      </c>
      <c r="AB112" s="111">
        <f t="shared" si="93"/>
        <v>0</v>
      </c>
      <c r="AC112" s="111">
        <f t="shared" si="94"/>
        <v>0</v>
      </c>
      <c r="AD112" s="111">
        <f t="shared" si="95"/>
        <v>0</v>
      </c>
      <c r="AE112" s="111">
        <f t="shared" si="96"/>
        <v>0</v>
      </c>
      <c r="AF112" s="111">
        <f t="shared" si="97"/>
        <v>0</v>
      </c>
      <c r="AU112" s="129" t="s">
        <v>379</v>
      </c>
      <c r="AV112" s="100" t="s">
        <v>165</v>
      </c>
      <c r="AW112" s="111">
        <f>VLOOKUP($AU112,AllHabsSummaryData,5,FALSE)</f>
        <v>0</v>
      </c>
      <c r="AX112" s="111">
        <f t="shared" si="102"/>
        <v>0</v>
      </c>
      <c r="AY112" s="111">
        <f t="shared" si="103"/>
        <v>0</v>
      </c>
      <c r="AZ112" s="111">
        <f t="shared" si="104"/>
        <v>0</v>
      </c>
      <c r="BA112" s="111">
        <f t="shared" si="105"/>
        <v>0</v>
      </c>
      <c r="BB112" s="111">
        <f t="shared" si="106"/>
        <v>0</v>
      </c>
      <c r="BC112" s="111">
        <f t="shared" si="107"/>
        <v>0</v>
      </c>
      <c r="BD112" s="111">
        <f t="shared" si="108"/>
        <v>0</v>
      </c>
      <c r="BE112" s="111">
        <f>BB112+BD112</f>
        <v>0</v>
      </c>
      <c r="BF112" s="111" t="str">
        <f>IF(BE112&lt;0,BE112,"")</f>
        <v/>
      </c>
    </row>
    <row r="113" spans="1:58" x14ac:dyDescent="0.25">
      <c r="A113" s="129" t="str">
        <f>'G-1 All Habitats'!B109</f>
        <v>Coastal saltmarsh - Saltmarshes and saline reedbeds</v>
      </c>
      <c r="B113" s="100" t="str">
        <f>'G-1 All Habitats'!F109</f>
        <v xml:space="preserve">Coastal saltmarsh </v>
      </c>
      <c r="C113" s="100" t="str">
        <f>'G-1 All Habitats'!K109</f>
        <v>High</v>
      </c>
      <c r="D113" s="100" t="str">
        <f>'G-1 All Habitats'!M109</f>
        <v>Same habitat required</v>
      </c>
      <c r="E113" s="111">
        <f>IF(C113="V.High",SUMIF('A-1 Site Habitat Baseline'!$G$11:$G$258,'G-2 Habitat groups'!A113,'A-1 Site Habitat Baseline'!$S$11:$S$258)+SUMIF('A-1 Site Habitat Baseline'!$G$11:$G$258,'G-2 Habitat groups'!A113,'A-1 Site Habitat Baseline'!$T$11:$T$258),SUMIF('A-1 Site Habitat Baseline'!$G$11:$G$258,'G-2 Habitat groups'!A113,'A-1 Site Habitat Baseline'!$H$11:$H$258))</f>
        <v>0</v>
      </c>
      <c r="F113" s="111">
        <f>SUMIF('A-1 Site Habitat Baseline'!$G$11:$G$258,'G-2 Habitat groups'!A113,'A-1 Site Habitat Baseline'!$Q$11:$Q$258)</f>
        <v>0</v>
      </c>
      <c r="G113" s="111">
        <f>SUMIF('A-1 Site Habitat Baseline'!$G$11:$G$258,'G-2 Habitat groups'!A113,'A-1 Site Habitat Baseline'!$S$11:$S$258)</f>
        <v>0</v>
      </c>
      <c r="H113" s="111">
        <f>SUMIF('A-1 Site Habitat Baseline'!$G$11:$G$258,'G-2 Habitat groups'!A113,'A-1 Site Habitat Baseline'!$U$11:$U$258)</f>
        <v>0</v>
      </c>
      <c r="I113" s="111">
        <f>SUMIF('A-1 Site Habitat Baseline'!$G$11:$G$258,'G-2 Habitat groups'!A113,'A-1 Site Habitat Baseline'!$W$11:$W$258)</f>
        <v>0</v>
      </c>
      <c r="J113" s="111">
        <f>SUMIF('A-1 Site Habitat Baseline'!$G$11:$G$258,'G-2 Habitat groups'!A113,'A-1 Site Habitat Baseline'!$X$11:$X$258)</f>
        <v>0</v>
      </c>
      <c r="K113" s="111">
        <f>SUMIF('A-2 Site Habitat Creation'!$F$11:$F$256,'G-2 Habitat groups'!A113,'A-2 Site Habitat Creation'!$G$11:$G$256)</f>
        <v>0</v>
      </c>
      <c r="L113" s="111">
        <f>SUMIF('A-2 Site Habitat Creation'!$F$11:$F$256,'G-2 Habitat groups'!A113,'A-2 Site Habitat Creation'!$Y$11:$Y$256)</f>
        <v>0</v>
      </c>
      <c r="M113" s="111">
        <f>SUMIF('A-3 Site Habitat Enhancement'!$S$12:$S$257,'G-2 Habitat groups'!A113,'A-3 Site Habitat Enhancement'!$V$12:$V$257)</f>
        <v>0</v>
      </c>
      <c r="N113" s="111">
        <f>SUMIF('A-3 Site Habitat Enhancement'!$S$12:$S$257,'G-2 Habitat groups'!A113,'A-3 Site Habitat Enhancement'!$AN$12:$AN$257)</f>
        <v>0</v>
      </c>
      <c r="O113" s="111">
        <f t="shared" si="88"/>
        <v>0</v>
      </c>
      <c r="P113" s="111">
        <f t="shared" si="89"/>
        <v>0</v>
      </c>
      <c r="Q113" s="111">
        <f t="shared" si="90"/>
        <v>0</v>
      </c>
      <c r="R113" s="111">
        <f t="shared" si="91"/>
        <v>0</v>
      </c>
      <c r="S113" s="111">
        <f>IF(C113="V.High",SUMIF('D-1 Off Site Habitat Baseline'!$G$11:$G$258,'G-2 Habitat groups'!A113,'D-1 Off Site Habitat Baseline'!$S$11:$S$258)+SUMIF('D-1 Off Site Habitat Baseline'!$G$11:$G$258,'G-2 Habitat groups'!A113,'D-1 Off Site Habitat Baseline'!$T$11:$T$258),SUMIF('D-1 Off Site Habitat Baseline'!$G$11:$G$258,'G-2 Habitat groups'!A113,'D-1 Off Site Habitat Baseline'!$H$11:$H$258))</f>
        <v>0</v>
      </c>
      <c r="T113" s="111">
        <f>SUMIF('D-1 Off Site Habitat Baseline'!$G$11:$G$258,'G-2 Habitat groups'!A113,'D-1 Off Site Habitat Baseline'!$Q$11:$Q$258)</f>
        <v>0</v>
      </c>
      <c r="U113" s="513">
        <f>SUMIF('D-1 Off Site Habitat Baseline'!$G$11:$G$258,'G-2 Habitat groups'!A113,'D-1 Off Site Habitat Baseline'!$S$11:$S$258)</f>
        <v>0</v>
      </c>
      <c r="V113" s="111">
        <f>SUMIF('D-1 Off Site Habitat Baseline'!$G$11:$G$258,'G-2 Habitat groups'!A113,'D-1 Off Site Habitat Baseline'!$U$11:$U$258)</f>
        <v>0</v>
      </c>
      <c r="W113" s="111">
        <f>SUMIF('D-2 Off Site Habitat Creation'!$F$9:$F$255,'G-2 Habitat groups'!A113,'D-2 Off Site Habitat Creation'!$G$9:$G$255)</f>
        <v>0</v>
      </c>
      <c r="X113" s="111">
        <f>SUMIF('D-2 Off Site Habitat Creation'!$F$9:$F$255,'G-2 Habitat groups'!A113,'D-2 Off Site Habitat Creation'!$AA$9:$AA$255)</f>
        <v>0</v>
      </c>
      <c r="Y113" s="111">
        <f>SUMIF('D-3 Off Site Habitat Enhancment'!$S$12:$S$491,'G-2 Habitat groups'!A113,'D-3 Off Site Habitat Enhancment'!$V$12:$V$491)</f>
        <v>0</v>
      </c>
      <c r="Z113" s="111">
        <f>SUMIF('D-3 Off Site Habitat Enhancment'!$S$12:$S$491,'G-2 Habitat groups'!A113,'D-3 Off Site Habitat Enhancment'!$AP$12:$AP$491)</f>
        <v>0</v>
      </c>
      <c r="AA113" s="111">
        <f t="shared" si="92"/>
        <v>0</v>
      </c>
      <c r="AB113" s="111">
        <f t="shared" si="93"/>
        <v>0</v>
      </c>
      <c r="AC113" s="111">
        <f t="shared" si="94"/>
        <v>0</v>
      </c>
      <c r="AD113" s="111">
        <f t="shared" si="95"/>
        <v>0</v>
      </c>
      <c r="AE113" s="111">
        <f t="shared" si="96"/>
        <v>0</v>
      </c>
      <c r="AF113" s="111">
        <f t="shared" si="97"/>
        <v>0</v>
      </c>
      <c r="AU113" s="129" t="s">
        <v>279</v>
      </c>
      <c r="AV113" s="100" t="s">
        <v>165</v>
      </c>
      <c r="AW113" s="111">
        <f>VLOOKUP($AU113,AllHabsSummaryData,5,FALSE)</f>
        <v>0</v>
      </c>
      <c r="AX113" s="111">
        <f t="shared" si="102"/>
        <v>0</v>
      </c>
      <c r="AY113" s="111">
        <f t="shared" si="103"/>
        <v>0</v>
      </c>
      <c r="AZ113" s="111">
        <f t="shared" si="104"/>
        <v>0</v>
      </c>
      <c r="BA113" s="111">
        <f t="shared" si="105"/>
        <v>0</v>
      </c>
      <c r="BB113" s="111">
        <f t="shared" si="106"/>
        <v>0</v>
      </c>
      <c r="BC113" s="111">
        <f t="shared" si="107"/>
        <v>0</v>
      </c>
      <c r="BD113" s="111">
        <f t="shared" si="108"/>
        <v>0</v>
      </c>
      <c r="BE113" s="111">
        <f>BB113+BD113</f>
        <v>0</v>
      </c>
      <c r="BF113" s="111" t="str">
        <f>IF(BE113&lt;0,BE113,"")</f>
        <v/>
      </c>
    </row>
    <row r="114" spans="1:58" x14ac:dyDescent="0.25">
      <c r="A114" s="129" t="str">
        <f>'G-1 All Habitats'!B110</f>
        <v>Coastal saltmarsh - Artificial saltmarshes and saline reedbeds</v>
      </c>
      <c r="B114" s="100" t="str">
        <f>'G-1 All Habitats'!F110</f>
        <v xml:space="preserve">Coastal saltmarsh </v>
      </c>
      <c r="C114" s="100" t="str">
        <f>'G-1 All Habitats'!K110</f>
        <v>Low</v>
      </c>
      <c r="D114" s="100" t="str">
        <f>'G-1 All Habitats'!M110</f>
        <v>Same distinctiveness or better habitat required</v>
      </c>
      <c r="E114" s="111">
        <f>IF(C114="V.High",SUMIF('A-1 Site Habitat Baseline'!$G$11:$G$258,'G-2 Habitat groups'!A114,'A-1 Site Habitat Baseline'!$S$11:$S$258)+SUMIF('A-1 Site Habitat Baseline'!$G$11:$G$258,'G-2 Habitat groups'!A114,'A-1 Site Habitat Baseline'!$T$11:$T$258),SUMIF('A-1 Site Habitat Baseline'!$G$11:$G$258,'G-2 Habitat groups'!A114,'A-1 Site Habitat Baseline'!$H$11:$H$258))</f>
        <v>0</v>
      </c>
      <c r="F114" s="111">
        <f>SUMIF('A-1 Site Habitat Baseline'!$G$11:$G$258,'G-2 Habitat groups'!A114,'A-1 Site Habitat Baseline'!$Q$11:$Q$258)</f>
        <v>0</v>
      </c>
      <c r="G114" s="111">
        <f>SUMIF('A-1 Site Habitat Baseline'!$G$11:$G$258,'G-2 Habitat groups'!A114,'A-1 Site Habitat Baseline'!$S$11:$S$258)</f>
        <v>0</v>
      </c>
      <c r="H114" s="111">
        <f>SUMIF('A-1 Site Habitat Baseline'!$G$11:$G$258,'G-2 Habitat groups'!A114,'A-1 Site Habitat Baseline'!$U$11:$U$258)</f>
        <v>0</v>
      </c>
      <c r="I114" s="111">
        <f>SUMIF('A-1 Site Habitat Baseline'!$G$11:$G$258,'G-2 Habitat groups'!A114,'A-1 Site Habitat Baseline'!$W$11:$W$258)</f>
        <v>0</v>
      </c>
      <c r="J114" s="111">
        <f>SUMIF('A-1 Site Habitat Baseline'!$G$11:$G$258,'G-2 Habitat groups'!A114,'A-1 Site Habitat Baseline'!$X$11:$X$258)</f>
        <v>0</v>
      </c>
      <c r="K114" s="111">
        <f>SUMIF('A-2 Site Habitat Creation'!$F$11:$F$256,'G-2 Habitat groups'!A114,'A-2 Site Habitat Creation'!$G$11:$G$256)</f>
        <v>0</v>
      </c>
      <c r="L114" s="111">
        <f>SUMIF('A-2 Site Habitat Creation'!$F$11:$F$256,'G-2 Habitat groups'!A114,'A-2 Site Habitat Creation'!$Y$11:$Y$256)</f>
        <v>0</v>
      </c>
      <c r="M114" s="111">
        <f>SUMIF('A-3 Site Habitat Enhancement'!$S$12:$S$257,'G-2 Habitat groups'!A114,'A-3 Site Habitat Enhancement'!$V$12:$V$257)</f>
        <v>0</v>
      </c>
      <c r="N114" s="111">
        <f>SUMIF('A-3 Site Habitat Enhancement'!$S$12:$S$257,'G-2 Habitat groups'!A114,'A-3 Site Habitat Enhancement'!$AN$12:$AN$257)</f>
        <v>0</v>
      </c>
      <c r="O114" s="111">
        <f t="shared" si="88"/>
        <v>0</v>
      </c>
      <c r="P114" s="111">
        <f t="shared" si="89"/>
        <v>0</v>
      </c>
      <c r="Q114" s="111">
        <f t="shared" si="90"/>
        <v>0</v>
      </c>
      <c r="R114" s="111">
        <f t="shared" si="91"/>
        <v>0</v>
      </c>
      <c r="S114" s="111">
        <f>IF(C114="V.High",SUMIF('D-1 Off Site Habitat Baseline'!$G$11:$G$258,'G-2 Habitat groups'!A114,'D-1 Off Site Habitat Baseline'!$S$11:$S$258)+SUMIF('D-1 Off Site Habitat Baseline'!$G$11:$G$258,'G-2 Habitat groups'!A114,'D-1 Off Site Habitat Baseline'!$T$11:$T$258),SUMIF('D-1 Off Site Habitat Baseline'!$G$11:$G$258,'G-2 Habitat groups'!A114,'D-1 Off Site Habitat Baseline'!$H$11:$H$258))</f>
        <v>0</v>
      </c>
      <c r="T114" s="111">
        <f>SUMIF('D-1 Off Site Habitat Baseline'!$G$11:$G$258,'G-2 Habitat groups'!A114,'D-1 Off Site Habitat Baseline'!$Q$11:$Q$258)</f>
        <v>0</v>
      </c>
      <c r="U114" s="513">
        <f>SUMIF('D-1 Off Site Habitat Baseline'!$G$11:$G$258,'G-2 Habitat groups'!A114,'D-1 Off Site Habitat Baseline'!$S$11:$S$258)</f>
        <v>0</v>
      </c>
      <c r="V114" s="111">
        <f>SUMIF('D-1 Off Site Habitat Baseline'!$G$11:$G$258,'G-2 Habitat groups'!A114,'D-1 Off Site Habitat Baseline'!$U$11:$U$258)</f>
        <v>0</v>
      </c>
      <c r="W114" s="111">
        <f>SUMIF('D-2 Off Site Habitat Creation'!$F$9:$F$255,'G-2 Habitat groups'!A114,'D-2 Off Site Habitat Creation'!$G$9:$G$255)</f>
        <v>0</v>
      </c>
      <c r="X114" s="111">
        <f>SUMIF('D-2 Off Site Habitat Creation'!$F$9:$F$255,'G-2 Habitat groups'!A114,'D-2 Off Site Habitat Creation'!$AA$9:$AA$255)</f>
        <v>0</v>
      </c>
      <c r="Y114" s="111">
        <f>SUMIF('D-3 Off Site Habitat Enhancment'!$S$12:$S$491,'G-2 Habitat groups'!A114,'D-3 Off Site Habitat Enhancment'!$V$12:$V$491)</f>
        <v>0</v>
      </c>
      <c r="Z114" s="111">
        <f>SUMIF('D-3 Off Site Habitat Enhancment'!$S$12:$S$491,'G-2 Habitat groups'!A114,'D-3 Off Site Habitat Enhancment'!$AP$12:$AP$491)</f>
        <v>0</v>
      </c>
      <c r="AA114" s="111">
        <f t="shared" si="92"/>
        <v>0</v>
      </c>
      <c r="AB114" s="111">
        <f t="shared" si="93"/>
        <v>0</v>
      </c>
      <c r="AC114" s="111">
        <f t="shared" si="94"/>
        <v>0</v>
      </c>
      <c r="AD114" s="111">
        <f t="shared" si="95"/>
        <v>0</v>
      </c>
      <c r="AE114" s="111">
        <f t="shared" si="96"/>
        <v>0</v>
      </c>
      <c r="AF114" s="111">
        <f t="shared" si="97"/>
        <v>0</v>
      </c>
      <c r="AU114" s="129" t="s">
        <v>278</v>
      </c>
      <c r="AV114" s="100" t="s">
        <v>165</v>
      </c>
      <c r="AW114" s="111">
        <f t="shared" ref="AW114:AW116" si="109">VLOOKUP($AU114,AllHabsSummaryData,5,FALSE)</f>
        <v>0</v>
      </c>
      <c r="AX114" s="111">
        <f t="shared" si="102"/>
        <v>0</v>
      </c>
      <c r="AY114" s="111">
        <f t="shared" si="103"/>
        <v>0</v>
      </c>
      <c r="AZ114" s="111">
        <f t="shared" si="104"/>
        <v>0</v>
      </c>
      <c r="BA114" s="111">
        <f t="shared" si="105"/>
        <v>0</v>
      </c>
      <c r="BB114" s="111">
        <f t="shared" si="106"/>
        <v>0</v>
      </c>
      <c r="BC114" s="111">
        <f t="shared" si="107"/>
        <v>0</v>
      </c>
      <c r="BD114" s="111">
        <f t="shared" si="108"/>
        <v>0</v>
      </c>
      <c r="BE114" s="111">
        <f t="shared" ref="BE114:BE116" si="110">BB114+BD114</f>
        <v>0</v>
      </c>
      <c r="BF114" s="111" t="str">
        <f t="shared" ref="BF114:BF116" si="111">IF(BE114&lt;0,BE114,"")</f>
        <v/>
      </c>
    </row>
    <row r="115" spans="1:58" x14ac:dyDescent="0.25">
      <c r="A115" s="129" t="str">
        <f>'G-1 All Habitats'!B114</f>
        <v>Intertidal sediment - Littoral seagrass</v>
      </c>
      <c r="B115" s="100" t="str">
        <f>'G-1 All Habitats'!F114</f>
        <v>Intertidal sediment</v>
      </c>
      <c r="C115" s="100" t="str">
        <f>'G-1 All Habitats'!K114</f>
        <v>High</v>
      </c>
      <c r="D115" s="100" t="str">
        <f>'G-1 All Habitats'!M114</f>
        <v>Same habitat required</v>
      </c>
      <c r="E115" s="111">
        <f>IF(C115="V.High",SUMIF('A-1 Site Habitat Baseline'!$G$11:$G$258,'G-2 Habitat groups'!A115,'A-1 Site Habitat Baseline'!$S$11:$S$258)+SUMIF('A-1 Site Habitat Baseline'!$G$11:$G$258,'G-2 Habitat groups'!A115,'A-1 Site Habitat Baseline'!$T$11:$T$258),SUMIF('A-1 Site Habitat Baseline'!$G$11:$G$258,'G-2 Habitat groups'!A115,'A-1 Site Habitat Baseline'!$H$11:$H$258))</f>
        <v>0</v>
      </c>
      <c r="F115" s="111">
        <f>SUMIF('A-1 Site Habitat Baseline'!$G$11:$G$258,'G-2 Habitat groups'!A115,'A-1 Site Habitat Baseline'!$Q$11:$Q$258)</f>
        <v>0</v>
      </c>
      <c r="G115" s="111">
        <f>SUMIF('A-1 Site Habitat Baseline'!$G$11:$G$258,'G-2 Habitat groups'!A115,'A-1 Site Habitat Baseline'!$S$11:$S$258)</f>
        <v>0</v>
      </c>
      <c r="H115" s="111">
        <f>SUMIF('A-1 Site Habitat Baseline'!$G$11:$G$258,'G-2 Habitat groups'!A115,'A-1 Site Habitat Baseline'!$U$11:$U$258)</f>
        <v>0</v>
      </c>
      <c r="I115" s="111">
        <f>SUMIF('A-1 Site Habitat Baseline'!$G$11:$G$258,'G-2 Habitat groups'!A115,'A-1 Site Habitat Baseline'!$W$11:$W$258)</f>
        <v>0</v>
      </c>
      <c r="J115" s="111">
        <f>SUMIF('A-1 Site Habitat Baseline'!$G$11:$G$258,'G-2 Habitat groups'!A115,'A-1 Site Habitat Baseline'!$X$11:$X$258)</f>
        <v>0</v>
      </c>
      <c r="K115" s="111">
        <f>SUMIF('A-2 Site Habitat Creation'!$F$11:$F$256,'G-2 Habitat groups'!A115,'A-2 Site Habitat Creation'!$G$11:$G$256)</f>
        <v>0</v>
      </c>
      <c r="L115" s="111">
        <f>SUMIF('A-2 Site Habitat Creation'!$F$11:$F$256,'G-2 Habitat groups'!A115,'A-2 Site Habitat Creation'!$Y$11:$Y$256)</f>
        <v>0</v>
      </c>
      <c r="M115" s="111">
        <f>SUMIF('A-3 Site Habitat Enhancement'!$S$12:$S$257,'G-2 Habitat groups'!A115,'A-3 Site Habitat Enhancement'!$V$12:$V$257)</f>
        <v>0</v>
      </c>
      <c r="N115" s="111">
        <f>SUMIF('A-3 Site Habitat Enhancement'!$S$12:$S$257,'G-2 Habitat groups'!A115,'A-3 Site Habitat Enhancement'!$AN$12:$AN$257)</f>
        <v>0</v>
      </c>
      <c r="O115" s="111">
        <f t="shared" si="88"/>
        <v>0</v>
      </c>
      <c r="P115" s="111">
        <f t="shared" si="89"/>
        <v>0</v>
      </c>
      <c r="Q115" s="111">
        <f t="shared" si="90"/>
        <v>0</v>
      </c>
      <c r="R115" s="111">
        <f t="shared" si="91"/>
        <v>0</v>
      </c>
      <c r="S115" s="111">
        <f>IF(C115="V.High",SUMIF('D-1 Off Site Habitat Baseline'!$G$11:$G$258,'G-2 Habitat groups'!A115,'D-1 Off Site Habitat Baseline'!$S$11:$S$258)+SUMIF('D-1 Off Site Habitat Baseline'!$G$11:$G$258,'G-2 Habitat groups'!A115,'D-1 Off Site Habitat Baseline'!$T$11:$T$258),SUMIF('D-1 Off Site Habitat Baseline'!$G$11:$G$258,'G-2 Habitat groups'!A115,'D-1 Off Site Habitat Baseline'!$H$11:$H$258))</f>
        <v>0</v>
      </c>
      <c r="T115" s="111">
        <f>SUMIF('D-1 Off Site Habitat Baseline'!$G$11:$G$258,'G-2 Habitat groups'!A115,'D-1 Off Site Habitat Baseline'!$Q$11:$Q$258)</f>
        <v>0</v>
      </c>
      <c r="U115" s="513">
        <f>SUMIF('D-1 Off Site Habitat Baseline'!$G$11:$G$258,'G-2 Habitat groups'!A115,'D-1 Off Site Habitat Baseline'!$S$11:$S$258)</f>
        <v>0</v>
      </c>
      <c r="V115" s="111">
        <f>SUMIF('D-1 Off Site Habitat Baseline'!$G$11:$G$258,'G-2 Habitat groups'!A115,'D-1 Off Site Habitat Baseline'!$U$11:$U$258)</f>
        <v>0</v>
      </c>
      <c r="W115" s="111">
        <f>SUMIF('D-2 Off Site Habitat Creation'!$F$9:$F$255,'G-2 Habitat groups'!A115,'D-2 Off Site Habitat Creation'!$G$9:$G$255)</f>
        <v>0</v>
      </c>
      <c r="X115" s="111">
        <f>SUMIF('D-2 Off Site Habitat Creation'!$F$9:$F$255,'G-2 Habitat groups'!A115,'D-2 Off Site Habitat Creation'!$AA$9:$AA$255)</f>
        <v>0</v>
      </c>
      <c r="Y115" s="111">
        <f>SUMIF('D-3 Off Site Habitat Enhancment'!$S$12:$S$491,'G-2 Habitat groups'!A115,'D-3 Off Site Habitat Enhancment'!$V$12:$V$491)</f>
        <v>0</v>
      </c>
      <c r="Z115" s="111">
        <f>SUMIF('D-3 Off Site Habitat Enhancment'!$S$12:$S$491,'G-2 Habitat groups'!A115,'D-3 Off Site Habitat Enhancment'!$AP$12:$AP$491)</f>
        <v>0</v>
      </c>
      <c r="AA115" s="111">
        <f t="shared" si="92"/>
        <v>0</v>
      </c>
      <c r="AB115" s="111">
        <f t="shared" si="93"/>
        <v>0</v>
      </c>
      <c r="AC115" s="111">
        <f t="shared" si="94"/>
        <v>0</v>
      </c>
      <c r="AD115" s="111">
        <f t="shared" si="95"/>
        <v>0</v>
      </c>
      <c r="AE115" s="111">
        <f t="shared" si="96"/>
        <v>0</v>
      </c>
      <c r="AF115" s="111">
        <f t="shared" si="97"/>
        <v>0</v>
      </c>
      <c r="AU115" s="129" t="s">
        <v>277</v>
      </c>
      <c r="AV115" s="100" t="s">
        <v>165</v>
      </c>
      <c r="AW115" s="111">
        <f t="shared" si="109"/>
        <v>0</v>
      </c>
      <c r="AX115" s="111">
        <f t="shared" si="102"/>
        <v>0</v>
      </c>
      <c r="AY115" s="111">
        <f t="shared" si="103"/>
        <v>0</v>
      </c>
      <c r="AZ115" s="111">
        <f t="shared" si="104"/>
        <v>0</v>
      </c>
      <c r="BA115" s="111">
        <f t="shared" si="105"/>
        <v>0</v>
      </c>
      <c r="BB115" s="111">
        <f t="shared" si="106"/>
        <v>0</v>
      </c>
      <c r="BC115" s="111">
        <f t="shared" si="107"/>
        <v>0</v>
      </c>
      <c r="BD115" s="111">
        <f t="shared" si="108"/>
        <v>0</v>
      </c>
      <c r="BE115" s="111">
        <f t="shared" si="110"/>
        <v>0</v>
      </c>
      <c r="BF115" s="111" t="str">
        <f t="shared" si="111"/>
        <v/>
      </c>
    </row>
    <row r="116" spans="1:58" x14ac:dyDescent="0.25">
      <c r="A116" s="129" t="str">
        <f>'G-1 All Habitats'!B115</f>
        <v>Intertidal sediment - Littoral seagrass on peat, clay or chalk</v>
      </c>
      <c r="B116" s="100" t="str">
        <f>'G-1 All Habitats'!F115</f>
        <v>Intertidal sediment</v>
      </c>
      <c r="C116" s="100" t="str">
        <f>'G-1 All Habitats'!K115</f>
        <v>V.High</v>
      </c>
      <c r="D116" s="100" t="str">
        <f>'G-1 All Habitats'!M115</f>
        <v>Bespoke compensation likely to be required</v>
      </c>
      <c r="E116" s="111">
        <f>IF(C116="V.High",SUMIF('A-1 Site Habitat Baseline'!$G$11:$G$258,'G-2 Habitat groups'!A116,'A-1 Site Habitat Baseline'!$S$11:$S$258)+SUMIF('A-1 Site Habitat Baseline'!$G$11:$G$258,'G-2 Habitat groups'!A116,'A-1 Site Habitat Baseline'!$T$11:$T$258),SUMIF('A-1 Site Habitat Baseline'!$G$11:$G$258,'G-2 Habitat groups'!A116,'A-1 Site Habitat Baseline'!$H$11:$H$258))</f>
        <v>0</v>
      </c>
      <c r="F116" s="111">
        <f>SUMIF('A-1 Site Habitat Baseline'!$G$11:$G$258,'G-2 Habitat groups'!A116,'A-1 Site Habitat Baseline'!$Q$11:$Q$258)</f>
        <v>0</v>
      </c>
      <c r="G116" s="111">
        <f>SUMIF('A-1 Site Habitat Baseline'!$G$11:$G$258,'G-2 Habitat groups'!A116,'A-1 Site Habitat Baseline'!$S$11:$S$258)</f>
        <v>0</v>
      </c>
      <c r="H116" s="111">
        <f>SUMIF('A-1 Site Habitat Baseline'!$G$11:$G$258,'G-2 Habitat groups'!A116,'A-1 Site Habitat Baseline'!$U$11:$U$258)</f>
        <v>0</v>
      </c>
      <c r="I116" s="111">
        <f>SUMIF('A-1 Site Habitat Baseline'!$G$11:$G$258,'G-2 Habitat groups'!A116,'A-1 Site Habitat Baseline'!$W$11:$W$258)</f>
        <v>0</v>
      </c>
      <c r="J116" s="111">
        <f>SUMIF('A-1 Site Habitat Baseline'!$G$11:$G$258,'G-2 Habitat groups'!A116,'A-1 Site Habitat Baseline'!$X$11:$X$258)</f>
        <v>0</v>
      </c>
      <c r="K116" s="111">
        <f>SUMIF('A-2 Site Habitat Creation'!$F$11:$F$256,'G-2 Habitat groups'!A116,'A-2 Site Habitat Creation'!$G$11:$G$256)</f>
        <v>0</v>
      </c>
      <c r="L116" s="111">
        <f>SUMIF('A-2 Site Habitat Creation'!$F$11:$F$256,'G-2 Habitat groups'!A116,'A-2 Site Habitat Creation'!$Y$11:$Y$256)</f>
        <v>0</v>
      </c>
      <c r="M116" s="111">
        <f>SUMIF('A-3 Site Habitat Enhancement'!$S$12:$S$257,'G-2 Habitat groups'!A116,'A-3 Site Habitat Enhancement'!$V$12:$V$257)</f>
        <v>0</v>
      </c>
      <c r="N116" s="111">
        <f>SUMIF('A-3 Site Habitat Enhancement'!$S$12:$S$257,'G-2 Habitat groups'!A116,'A-3 Site Habitat Enhancement'!$AN$12:$AN$257)</f>
        <v>0</v>
      </c>
      <c r="O116" s="111">
        <f t="shared" si="88"/>
        <v>0</v>
      </c>
      <c r="P116" s="111">
        <f t="shared" si="89"/>
        <v>0</v>
      </c>
      <c r="Q116" s="111">
        <f t="shared" si="90"/>
        <v>0</v>
      </c>
      <c r="R116" s="111">
        <f t="shared" si="91"/>
        <v>0</v>
      </c>
      <c r="S116" s="111">
        <f>IF(C116="V.High",SUMIF('D-1 Off Site Habitat Baseline'!$G$11:$G$258,'G-2 Habitat groups'!A116,'D-1 Off Site Habitat Baseline'!$S$11:$S$258)+SUMIF('D-1 Off Site Habitat Baseline'!$G$11:$G$258,'G-2 Habitat groups'!A116,'D-1 Off Site Habitat Baseline'!$T$11:$T$258),SUMIF('D-1 Off Site Habitat Baseline'!$G$11:$G$258,'G-2 Habitat groups'!A116,'D-1 Off Site Habitat Baseline'!$H$11:$H$258))</f>
        <v>0</v>
      </c>
      <c r="T116" s="111">
        <f>SUMIF('D-1 Off Site Habitat Baseline'!$G$11:$G$258,'G-2 Habitat groups'!A116,'D-1 Off Site Habitat Baseline'!$Q$11:$Q$258)</f>
        <v>0</v>
      </c>
      <c r="U116" s="513">
        <f>SUMIF('D-1 Off Site Habitat Baseline'!$G$11:$G$258,'G-2 Habitat groups'!A116,'D-1 Off Site Habitat Baseline'!$S$11:$S$258)</f>
        <v>0</v>
      </c>
      <c r="V116" s="111">
        <f>SUMIF('D-1 Off Site Habitat Baseline'!$G$11:$G$258,'G-2 Habitat groups'!A116,'D-1 Off Site Habitat Baseline'!$U$11:$U$258)</f>
        <v>0</v>
      </c>
      <c r="W116" s="111">
        <f>SUMIF('D-2 Off Site Habitat Creation'!$F$9:$F$255,'G-2 Habitat groups'!A116,'D-2 Off Site Habitat Creation'!$G$9:$G$255)</f>
        <v>0</v>
      </c>
      <c r="X116" s="111">
        <f>SUMIF('D-2 Off Site Habitat Creation'!$F$9:$F$255,'G-2 Habitat groups'!A116,'D-2 Off Site Habitat Creation'!$AA$9:$AA$255)</f>
        <v>0</v>
      </c>
      <c r="Y116" s="111">
        <f>SUMIF('D-3 Off Site Habitat Enhancment'!$S$12:$S$491,'G-2 Habitat groups'!A116,'D-3 Off Site Habitat Enhancment'!$V$12:$V$491)</f>
        <v>0</v>
      </c>
      <c r="Z116" s="111">
        <f>SUMIF('D-3 Off Site Habitat Enhancment'!$S$12:$S$491,'G-2 Habitat groups'!A116,'D-3 Off Site Habitat Enhancment'!$AP$12:$AP$491)</f>
        <v>0</v>
      </c>
      <c r="AA116" s="111">
        <f t="shared" si="92"/>
        <v>0</v>
      </c>
      <c r="AB116" s="111">
        <f t="shared" si="93"/>
        <v>0</v>
      </c>
      <c r="AC116" s="111">
        <f t="shared" si="94"/>
        <v>0</v>
      </c>
      <c r="AD116" s="111">
        <f t="shared" si="95"/>
        <v>0</v>
      </c>
      <c r="AE116" s="111">
        <f t="shared" si="96"/>
        <v>0</v>
      </c>
      <c r="AF116" s="111">
        <f t="shared" si="97"/>
        <v>0</v>
      </c>
      <c r="AU116" s="129" t="s">
        <v>275</v>
      </c>
      <c r="AV116" s="100" t="s">
        <v>165</v>
      </c>
      <c r="AW116" s="111">
        <f t="shared" si="109"/>
        <v>0</v>
      </c>
      <c r="AX116" s="111">
        <f t="shared" si="102"/>
        <v>0</v>
      </c>
      <c r="AY116" s="111">
        <f t="shared" si="103"/>
        <v>0</v>
      </c>
      <c r="AZ116" s="111">
        <f t="shared" si="104"/>
        <v>0</v>
      </c>
      <c r="BA116" s="111">
        <f t="shared" si="105"/>
        <v>0</v>
      </c>
      <c r="BB116" s="111">
        <f t="shared" si="106"/>
        <v>0</v>
      </c>
      <c r="BC116" s="111">
        <f t="shared" si="107"/>
        <v>0</v>
      </c>
      <c r="BD116" s="111">
        <f t="shared" si="108"/>
        <v>0</v>
      </c>
      <c r="BE116" s="111">
        <f t="shared" si="110"/>
        <v>0</v>
      </c>
      <c r="BF116" s="111" t="str">
        <f t="shared" si="111"/>
        <v/>
      </c>
    </row>
    <row r="117" spans="1:58" x14ac:dyDescent="0.25">
      <c r="A117" s="129" t="str">
        <f>'G-1 All Habitats'!B116</f>
        <v>Intertidal sediment - Littoral biogenic reefs - Mussels</v>
      </c>
      <c r="B117" s="100" t="str">
        <f>'G-1 All Habitats'!F116</f>
        <v>Intertidal sediment</v>
      </c>
      <c r="C117" s="100" t="str">
        <f>'G-1 All Habitats'!K116</f>
        <v>High</v>
      </c>
      <c r="D117" s="100" t="str">
        <f>'G-1 All Habitats'!M116</f>
        <v>Same habitat required</v>
      </c>
      <c r="E117" s="111">
        <f>IF(C117="V.High",SUMIF('A-1 Site Habitat Baseline'!$G$11:$G$258,'G-2 Habitat groups'!A117,'A-1 Site Habitat Baseline'!$S$11:$S$258)+SUMIF('A-1 Site Habitat Baseline'!$G$11:$G$258,'G-2 Habitat groups'!A117,'A-1 Site Habitat Baseline'!$T$11:$T$258),SUMIF('A-1 Site Habitat Baseline'!$G$11:$G$258,'G-2 Habitat groups'!A117,'A-1 Site Habitat Baseline'!$H$11:$H$258))</f>
        <v>0</v>
      </c>
      <c r="F117" s="111">
        <f>SUMIF('A-1 Site Habitat Baseline'!$G$11:$G$258,'G-2 Habitat groups'!A117,'A-1 Site Habitat Baseline'!$Q$11:$Q$258)</f>
        <v>0</v>
      </c>
      <c r="G117" s="111">
        <f>SUMIF('A-1 Site Habitat Baseline'!$G$11:$G$258,'G-2 Habitat groups'!A117,'A-1 Site Habitat Baseline'!$S$11:$S$258)</f>
        <v>0</v>
      </c>
      <c r="H117" s="111">
        <f>SUMIF('A-1 Site Habitat Baseline'!$G$11:$G$258,'G-2 Habitat groups'!A117,'A-1 Site Habitat Baseline'!$U$11:$U$258)</f>
        <v>0</v>
      </c>
      <c r="I117" s="111">
        <f>SUMIF('A-1 Site Habitat Baseline'!$G$11:$G$258,'G-2 Habitat groups'!A117,'A-1 Site Habitat Baseline'!$W$11:$W$258)</f>
        <v>0</v>
      </c>
      <c r="J117" s="111">
        <f>SUMIF('A-1 Site Habitat Baseline'!$G$11:$G$258,'G-2 Habitat groups'!A117,'A-1 Site Habitat Baseline'!$X$11:$X$258)</f>
        <v>0</v>
      </c>
      <c r="K117" s="111">
        <f>SUMIF('A-2 Site Habitat Creation'!$F$11:$F$256,'G-2 Habitat groups'!A117,'A-2 Site Habitat Creation'!$G$11:$G$256)</f>
        <v>0</v>
      </c>
      <c r="L117" s="111">
        <f>SUMIF('A-2 Site Habitat Creation'!$F$11:$F$256,'G-2 Habitat groups'!A117,'A-2 Site Habitat Creation'!$Y$11:$Y$256)</f>
        <v>0</v>
      </c>
      <c r="M117" s="111">
        <f>SUMIF('A-3 Site Habitat Enhancement'!$S$12:$S$257,'G-2 Habitat groups'!A117,'A-3 Site Habitat Enhancement'!$V$12:$V$257)</f>
        <v>0</v>
      </c>
      <c r="N117" s="111">
        <f>SUMIF('A-3 Site Habitat Enhancement'!$S$12:$S$257,'G-2 Habitat groups'!A117,'A-3 Site Habitat Enhancement'!$AN$12:$AN$257)</f>
        <v>0</v>
      </c>
      <c r="O117" s="111">
        <f t="shared" si="88"/>
        <v>0</v>
      </c>
      <c r="P117" s="111">
        <f t="shared" si="89"/>
        <v>0</v>
      </c>
      <c r="Q117" s="111">
        <f t="shared" si="90"/>
        <v>0</v>
      </c>
      <c r="R117" s="111">
        <f t="shared" si="91"/>
        <v>0</v>
      </c>
      <c r="S117" s="111">
        <f>IF(C117="V.High",SUMIF('D-1 Off Site Habitat Baseline'!$G$11:$G$258,'G-2 Habitat groups'!A117,'D-1 Off Site Habitat Baseline'!$S$11:$S$258)+SUMIF('D-1 Off Site Habitat Baseline'!$G$11:$G$258,'G-2 Habitat groups'!A117,'D-1 Off Site Habitat Baseline'!$T$11:$T$258),SUMIF('D-1 Off Site Habitat Baseline'!$G$11:$G$258,'G-2 Habitat groups'!A117,'D-1 Off Site Habitat Baseline'!$H$11:$H$258))</f>
        <v>0</v>
      </c>
      <c r="T117" s="111">
        <f>SUMIF('D-1 Off Site Habitat Baseline'!$G$11:$G$258,'G-2 Habitat groups'!A117,'D-1 Off Site Habitat Baseline'!$Q$11:$Q$258)</f>
        <v>0</v>
      </c>
      <c r="U117" s="513">
        <f>SUMIF('D-1 Off Site Habitat Baseline'!$G$11:$G$258,'G-2 Habitat groups'!A117,'D-1 Off Site Habitat Baseline'!$S$11:$S$258)</f>
        <v>0</v>
      </c>
      <c r="V117" s="111">
        <f>SUMIF('D-1 Off Site Habitat Baseline'!$G$11:$G$258,'G-2 Habitat groups'!A117,'D-1 Off Site Habitat Baseline'!$U$11:$U$258)</f>
        <v>0</v>
      </c>
      <c r="W117" s="111">
        <f>SUMIF('D-2 Off Site Habitat Creation'!$F$9:$F$255,'G-2 Habitat groups'!A117,'D-2 Off Site Habitat Creation'!$G$9:$G$255)</f>
        <v>0</v>
      </c>
      <c r="X117" s="111">
        <f>SUMIF('D-2 Off Site Habitat Creation'!$F$9:$F$255,'G-2 Habitat groups'!A117,'D-2 Off Site Habitat Creation'!$AA$9:$AA$255)</f>
        <v>0</v>
      </c>
      <c r="Y117" s="111">
        <f>SUMIF('D-3 Off Site Habitat Enhancment'!$S$12:$S$491,'G-2 Habitat groups'!A117,'D-3 Off Site Habitat Enhancment'!$V$12:$V$491)</f>
        <v>0</v>
      </c>
      <c r="Z117" s="111">
        <f>SUMIF('D-3 Off Site Habitat Enhancment'!$S$12:$S$491,'G-2 Habitat groups'!A117,'D-3 Off Site Habitat Enhancment'!$AP$12:$AP$491)</f>
        <v>0</v>
      </c>
      <c r="AA117" s="111">
        <f t="shared" si="92"/>
        <v>0</v>
      </c>
      <c r="AB117" s="111">
        <f t="shared" si="93"/>
        <v>0</v>
      </c>
      <c r="AC117" s="111">
        <f t="shared" si="94"/>
        <v>0</v>
      </c>
      <c r="AD117" s="111">
        <f t="shared" si="95"/>
        <v>0</v>
      </c>
      <c r="AE117" s="111">
        <f t="shared" si="96"/>
        <v>0</v>
      </c>
      <c r="AF117" s="111">
        <f t="shared" si="97"/>
        <v>0</v>
      </c>
      <c r="AU117" s="129" t="s">
        <v>249</v>
      </c>
      <c r="AV117" s="100" t="s">
        <v>135</v>
      </c>
      <c r="AW117" s="111">
        <f>VLOOKUP($AU117,AllHabsSummaryData,5,FALSE)</f>
        <v>0.27579999999999999</v>
      </c>
      <c r="AX117" s="111">
        <f t="shared" si="102"/>
        <v>0.55159999999999998</v>
      </c>
      <c r="AY117" s="111">
        <f t="shared" si="103"/>
        <v>7.2499999999999995E-2</v>
      </c>
      <c r="AZ117" s="111">
        <f t="shared" si="104"/>
        <v>0.13992499999999999</v>
      </c>
      <c r="BA117" s="111">
        <f t="shared" si="105"/>
        <v>-0.20329999999999998</v>
      </c>
      <c r="BB117" s="111">
        <f t="shared" si="106"/>
        <v>-0.41167500000000001</v>
      </c>
      <c r="BC117" s="111">
        <f t="shared" si="107"/>
        <v>0</v>
      </c>
      <c r="BD117" s="111">
        <f t="shared" si="108"/>
        <v>0</v>
      </c>
      <c r="BE117" s="111">
        <f>BB117+BD117</f>
        <v>-0.41167500000000001</v>
      </c>
      <c r="BF117" s="111">
        <f>IF(BE117&lt;0,BE117,"")</f>
        <v>-0.41167500000000001</v>
      </c>
    </row>
    <row r="118" spans="1:58" x14ac:dyDescent="0.25">
      <c r="A118" s="129" t="str">
        <f>'G-1 All Habitats'!B117</f>
        <v>Intertidal sediment - Littoral biogenic reefs - Sabellaria</v>
      </c>
      <c r="B118" s="100" t="str">
        <f>'G-1 All Habitats'!F117</f>
        <v>Intertidal sediment</v>
      </c>
      <c r="C118" s="100" t="str">
        <f>'G-1 All Habitats'!K117</f>
        <v>High</v>
      </c>
      <c r="D118" s="100" t="str">
        <f>'G-1 All Habitats'!M117</f>
        <v>Same habitat required</v>
      </c>
      <c r="E118" s="111">
        <f>IF(C118="V.High",SUMIF('A-1 Site Habitat Baseline'!$G$11:$G$258,'G-2 Habitat groups'!A118,'A-1 Site Habitat Baseline'!$S$11:$S$258)+SUMIF('A-1 Site Habitat Baseline'!$G$11:$G$258,'G-2 Habitat groups'!A118,'A-1 Site Habitat Baseline'!$T$11:$T$258),SUMIF('A-1 Site Habitat Baseline'!$G$11:$G$258,'G-2 Habitat groups'!A118,'A-1 Site Habitat Baseline'!$H$11:$H$258))</f>
        <v>0</v>
      </c>
      <c r="F118" s="111">
        <f>SUMIF('A-1 Site Habitat Baseline'!$G$11:$G$258,'G-2 Habitat groups'!A118,'A-1 Site Habitat Baseline'!$Q$11:$Q$258)</f>
        <v>0</v>
      </c>
      <c r="G118" s="111">
        <f>SUMIF('A-1 Site Habitat Baseline'!$G$11:$G$258,'G-2 Habitat groups'!A118,'A-1 Site Habitat Baseline'!$S$11:$S$258)</f>
        <v>0</v>
      </c>
      <c r="H118" s="111">
        <f>SUMIF('A-1 Site Habitat Baseline'!$G$11:$G$258,'G-2 Habitat groups'!A118,'A-1 Site Habitat Baseline'!$U$11:$U$258)</f>
        <v>0</v>
      </c>
      <c r="I118" s="111">
        <f>SUMIF('A-1 Site Habitat Baseline'!$G$11:$G$258,'G-2 Habitat groups'!A118,'A-1 Site Habitat Baseline'!$W$11:$W$258)</f>
        <v>0</v>
      </c>
      <c r="J118" s="111">
        <f>SUMIF('A-1 Site Habitat Baseline'!$G$11:$G$258,'G-2 Habitat groups'!A118,'A-1 Site Habitat Baseline'!$X$11:$X$258)</f>
        <v>0</v>
      </c>
      <c r="K118" s="111">
        <f>SUMIF('A-2 Site Habitat Creation'!$F$11:$F$256,'G-2 Habitat groups'!A118,'A-2 Site Habitat Creation'!$G$11:$G$256)</f>
        <v>0</v>
      </c>
      <c r="L118" s="111">
        <f>SUMIF('A-2 Site Habitat Creation'!$F$11:$F$256,'G-2 Habitat groups'!A118,'A-2 Site Habitat Creation'!$Y$11:$Y$256)</f>
        <v>0</v>
      </c>
      <c r="M118" s="111">
        <f>SUMIF('A-3 Site Habitat Enhancement'!$S$12:$S$257,'G-2 Habitat groups'!A118,'A-3 Site Habitat Enhancement'!$V$12:$V$257)</f>
        <v>0</v>
      </c>
      <c r="N118" s="111">
        <f>SUMIF('A-3 Site Habitat Enhancement'!$S$12:$S$257,'G-2 Habitat groups'!A118,'A-3 Site Habitat Enhancement'!$AN$12:$AN$257)</f>
        <v>0</v>
      </c>
      <c r="O118" s="111">
        <f t="shared" si="88"/>
        <v>0</v>
      </c>
      <c r="P118" s="111">
        <f t="shared" si="89"/>
        <v>0</v>
      </c>
      <c r="Q118" s="111">
        <f t="shared" si="90"/>
        <v>0</v>
      </c>
      <c r="R118" s="111">
        <f t="shared" si="91"/>
        <v>0</v>
      </c>
      <c r="S118" s="111">
        <f>IF(C118="V.High",SUMIF('D-1 Off Site Habitat Baseline'!$G$11:$G$258,'G-2 Habitat groups'!A118,'D-1 Off Site Habitat Baseline'!$S$11:$S$258)+SUMIF('D-1 Off Site Habitat Baseline'!$G$11:$G$258,'G-2 Habitat groups'!A118,'D-1 Off Site Habitat Baseline'!$T$11:$T$258),SUMIF('D-1 Off Site Habitat Baseline'!$G$11:$G$258,'G-2 Habitat groups'!A118,'D-1 Off Site Habitat Baseline'!$H$11:$H$258))</f>
        <v>0</v>
      </c>
      <c r="T118" s="111">
        <f>SUMIF('D-1 Off Site Habitat Baseline'!$G$11:$G$258,'G-2 Habitat groups'!A118,'D-1 Off Site Habitat Baseline'!$Q$11:$Q$258)</f>
        <v>0</v>
      </c>
      <c r="U118" s="513">
        <f>SUMIF('D-1 Off Site Habitat Baseline'!$G$11:$G$258,'G-2 Habitat groups'!A118,'D-1 Off Site Habitat Baseline'!$S$11:$S$258)</f>
        <v>0</v>
      </c>
      <c r="V118" s="111">
        <f>SUMIF('D-1 Off Site Habitat Baseline'!$G$11:$G$258,'G-2 Habitat groups'!A118,'D-1 Off Site Habitat Baseline'!$U$11:$U$258)</f>
        <v>0</v>
      </c>
      <c r="W118" s="111">
        <f>SUMIF('D-2 Off Site Habitat Creation'!$F$9:$F$255,'G-2 Habitat groups'!A118,'D-2 Off Site Habitat Creation'!$G$9:$G$255)</f>
        <v>0</v>
      </c>
      <c r="X118" s="111">
        <f>SUMIF('D-2 Off Site Habitat Creation'!$F$9:$F$255,'G-2 Habitat groups'!A118,'D-2 Off Site Habitat Creation'!$AA$9:$AA$255)</f>
        <v>0</v>
      </c>
      <c r="Y118" s="111">
        <f>SUMIF('D-3 Off Site Habitat Enhancment'!$S$12:$S$491,'G-2 Habitat groups'!A118,'D-3 Off Site Habitat Enhancment'!$V$12:$V$491)</f>
        <v>0</v>
      </c>
      <c r="Z118" s="111">
        <f>SUMIF('D-3 Off Site Habitat Enhancment'!$S$12:$S$491,'G-2 Habitat groups'!A118,'D-3 Off Site Habitat Enhancment'!$AP$12:$AP$491)</f>
        <v>0</v>
      </c>
      <c r="AA118" s="111">
        <f t="shared" si="92"/>
        <v>0</v>
      </c>
      <c r="AB118" s="111">
        <f t="shared" si="93"/>
        <v>0</v>
      </c>
      <c r="AC118" s="111">
        <f t="shared" si="94"/>
        <v>0</v>
      </c>
      <c r="AD118" s="111">
        <f t="shared" si="95"/>
        <v>0</v>
      </c>
      <c r="AE118" s="111">
        <f t="shared" si="96"/>
        <v>0</v>
      </c>
      <c r="AF118" s="111">
        <f t="shared" si="97"/>
        <v>0</v>
      </c>
      <c r="AU118" s="129" t="s">
        <v>248</v>
      </c>
      <c r="AV118" s="100" t="s">
        <v>135</v>
      </c>
      <c r="AW118" s="111">
        <f>VLOOKUP($AU118,AllHabsSummaryData,5,FALSE)</f>
        <v>0</v>
      </c>
      <c r="AX118" s="111">
        <f t="shared" si="102"/>
        <v>0</v>
      </c>
      <c r="AY118" s="111">
        <f t="shared" si="103"/>
        <v>0</v>
      </c>
      <c r="AZ118" s="111">
        <f t="shared" si="104"/>
        <v>0</v>
      </c>
      <c r="BA118" s="111">
        <f t="shared" si="105"/>
        <v>0</v>
      </c>
      <c r="BB118" s="111">
        <f t="shared" si="106"/>
        <v>0</v>
      </c>
      <c r="BC118" s="111">
        <f t="shared" si="107"/>
        <v>0</v>
      </c>
      <c r="BD118" s="111">
        <f t="shared" si="108"/>
        <v>0</v>
      </c>
      <c r="BE118" s="111">
        <f>BB118+BD118</f>
        <v>0</v>
      </c>
      <c r="BF118" s="111" t="str">
        <f>IF(BE118&lt;0,BE118,"")</f>
        <v/>
      </c>
    </row>
    <row r="119" spans="1:58" x14ac:dyDescent="0.25">
      <c r="A119" s="129" t="str">
        <f>'G-1 All Habitats'!B118</f>
        <v>Intertidal sediment - Features of littoral sediment</v>
      </c>
      <c r="B119" s="100" t="str">
        <f>'G-1 All Habitats'!F118</f>
        <v>Intertidal sediment</v>
      </c>
      <c r="C119" s="100" t="str">
        <f>'G-1 All Habitats'!K118</f>
        <v>High</v>
      </c>
      <c r="D119" s="100" t="str">
        <f>'G-1 All Habitats'!M118</f>
        <v>Same habitat required</v>
      </c>
      <c r="E119" s="111">
        <f>IF(C119="V.High",SUMIF('A-1 Site Habitat Baseline'!$G$11:$G$258,'G-2 Habitat groups'!A119,'A-1 Site Habitat Baseline'!$S$11:$S$258)+SUMIF('A-1 Site Habitat Baseline'!$G$11:$G$258,'G-2 Habitat groups'!A119,'A-1 Site Habitat Baseline'!$T$11:$T$258),SUMIF('A-1 Site Habitat Baseline'!$G$11:$G$258,'G-2 Habitat groups'!A119,'A-1 Site Habitat Baseline'!$H$11:$H$258))</f>
        <v>0</v>
      </c>
      <c r="F119" s="111">
        <f>SUMIF('A-1 Site Habitat Baseline'!$G$11:$G$258,'G-2 Habitat groups'!A119,'A-1 Site Habitat Baseline'!$Q$11:$Q$258)</f>
        <v>0</v>
      </c>
      <c r="G119" s="111">
        <f>SUMIF('A-1 Site Habitat Baseline'!$G$11:$G$258,'G-2 Habitat groups'!A119,'A-1 Site Habitat Baseline'!$S$11:$S$258)</f>
        <v>0</v>
      </c>
      <c r="H119" s="111">
        <f>SUMIF('A-1 Site Habitat Baseline'!$G$11:$G$258,'G-2 Habitat groups'!A119,'A-1 Site Habitat Baseline'!$U$11:$U$258)</f>
        <v>0</v>
      </c>
      <c r="I119" s="111">
        <f>SUMIF('A-1 Site Habitat Baseline'!$G$11:$G$258,'G-2 Habitat groups'!A119,'A-1 Site Habitat Baseline'!$W$11:$W$258)</f>
        <v>0</v>
      </c>
      <c r="J119" s="111">
        <f>SUMIF('A-1 Site Habitat Baseline'!$G$11:$G$258,'G-2 Habitat groups'!A119,'A-1 Site Habitat Baseline'!$X$11:$X$258)</f>
        <v>0</v>
      </c>
      <c r="K119" s="111">
        <f>SUMIF('A-2 Site Habitat Creation'!$F$11:$F$256,'G-2 Habitat groups'!A119,'A-2 Site Habitat Creation'!$G$11:$G$256)</f>
        <v>0</v>
      </c>
      <c r="L119" s="111">
        <f>SUMIF('A-2 Site Habitat Creation'!$F$11:$F$256,'G-2 Habitat groups'!A119,'A-2 Site Habitat Creation'!$Y$11:$Y$256)</f>
        <v>0</v>
      </c>
      <c r="M119" s="111">
        <f>SUMIF('A-3 Site Habitat Enhancement'!$S$12:$S$257,'G-2 Habitat groups'!A119,'A-3 Site Habitat Enhancement'!$V$12:$V$257)</f>
        <v>0</v>
      </c>
      <c r="N119" s="111">
        <f>SUMIF('A-3 Site Habitat Enhancement'!$S$12:$S$257,'G-2 Habitat groups'!A119,'A-3 Site Habitat Enhancement'!$AN$12:$AN$257)</f>
        <v>0</v>
      </c>
      <c r="O119" s="111">
        <f t="shared" si="88"/>
        <v>0</v>
      </c>
      <c r="P119" s="111">
        <f t="shared" si="89"/>
        <v>0</v>
      </c>
      <c r="Q119" s="111">
        <f t="shared" si="90"/>
        <v>0</v>
      </c>
      <c r="R119" s="111">
        <f t="shared" si="91"/>
        <v>0</v>
      </c>
      <c r="S119" s="111">
        <f>IF(C119="V.High",SUMIF('D-1 Off Site Habitat Baseline'!$G$11:$G$258,'G-2 Habitat groups'!A119,'D-1 Off Site Habitat Baseline'!$S$11:$S$258)+SUMIF('D-1 Off Site Habitat Baseline'!$G$11:$G$258,'G-2 Habitat groups'!A119,'D-1 Off Site Habitat Baseline'!$T$11:$T$258),SUMIF('D-1 Off Site Habitat Baseline'!$G$11:$G$258,'G-2 Habitat groups'!A119,'D-1 Off Site Habitat Baseline'!$H$11:$H$258))</f>
        <v>0</v>
      </c>
      <c r="T119" s="111">
        <f>SUMIF('D-1 Off Site Habitat Baseline'!$G$11:$G$258,'G-2 Habitat groups'!A119,'D-1 Off Site Habitat Baseline'!$Q$11:$Q$258)</f>
        <v>0</v>
      </c>
      <c r="U119" s="513">
        <f>SUMIF('D-1 Off Site Habitat Baseline'!$G$11:$G$258,'G-2 Habitat groups'!A119,'D-1 Off Site Habitat Baseline'!$S$11:$S$258)</f>
        <v>0</v>
      </c>
      <c r="V119" s="111">
        <f>SUMIF('D-1 Off Site Habitat Baseline'!$G$11:$G$258,'G-2 Habitat groups'!A119,'D-1 Off Site Habitat Baseline'!$U$11:$U$258)</f>
        <v>0</v>
      </c>
      <c r="W119" s="111">
        <f>SUMIF('D-2 Off Site Habitat Creation'!$F$9:$F$255,'G-2 Habitat groups'!A119,'D-2 Off Site Habitat Creation'!$G$9:$G$255)</f>
        <v>0</v>
      </c>
      <c r="X119" s="111">
        <f>SUMIF('D-2 Off Site Habitat Creation'!$F$9:$F$255,'G-2 Habitat groups'!A119,'D-2 Off Site Habitat Creation'!$AA$9:$AA$255)</f>
        <v>0</v>
      </c>
      <c r="Y119" s="111">
        <f>SUMIF('D-3 Off Site Habitat Enhancment'!$S$12:$S$491,'G-2 Habitat groups'!A119,'D-3 Off Site Habitat Enhancment'!$V$12:$V$491)</f>
        <v>0</v>
      </c>
      <c r="Z119" s="111">
        <f>SUMIF('D-3 Off Site Habitat Enhancment'!$S$12:$S$491,'G-2 Habitat groups'!A119,'D-3 Off Site Habitat Enhancment'!$AP$12:$AP$491)</f>
        <v>0</v>
      </c>
      <c r="AA119" s="111">
        <f t="shared" si="92"/>
        <v>0</v>
      </c>
      <c r="AB119" s="111">
        <f t="shared" si="93"/>
        <v>0</v>
      </c>
      <c r="AC119" s="111">
        <f t="shared" si="94"/>
        <v>0</v>
      </c>
      <c r="AD119" s="111">
        <f t="shared" si="95"/>
        <v>0</v>
      </c>
      <c r="AE119" s="111">
        <f t="shared" si="96"/>
        <v>0</v>
      </c>
      <c r="AF119" s="111">
        <f t="shared" si="97"/>
        <v>0</v>
      </c>
      <c r="AU119" s="129" t="s">
        <v>270</v>
      </c>
      <c r="AV119" s="100" t="s">
        <v>164</v>
      </c>
      <c r="AW119" s="111">
        <f>VLOOKUP($AU119,AllHabsSummaryData,5,FALSE)</f>
        <v>0</v>
      </c>
      <c r="AX119" s="111">
        <f t="shared" si="102"/>
        <v>0</v>
      </c>
      <c r="AY119" s="111">
        <f t="shared" si="103"/>
        <v>0</v>
      </c>
      <c r="AZ119" s="111">
        <f t="shared" si="104"/>
        <v>0</v>
      </c>
      <c r="BA119" s="111">
        <f t="shared" si="105"/>
        <v>0</v>
      </c>
      <c r="BB119" s="111">
        <f t="shared" si="106"/>
        <v>0</v>
      </c>
      <c r="BC119" s="111">
        <f t="shared" si="107"/>
        <v>0</v>
      </c>
      <c r="BD119" s="111">
        <f t="shared" si="108"/>
        <v>0</v>
      </c>
      <c r="BE119" s="111">
        <f t="shared" ref="BE119" si="112">BB119+BD119</f>
        <v>0</v>
      </c>
      <c r="BF119" s="111" t="str">
        <f t="shared" ref="BF119" si="113">IF(BE119&lt;0,BE119,"")</f>
        <v/>
      </c>
    </row>
    <row r="120" spans="1:58" x14ac:dyDescent="0.25">
      <c r="A120" s="129" t="str">
        <f>'G-1 All Habitats'!B119</f>
        <v>Intertidal sediment - Artificial littoral coarse sediment</v>
      </c>
      <c r="B120" s="100" t="str">
        <f>'G-1 All Habitats'!F119</f>
        <v>Intertidal sediment</v>
      </c>
      <c r="C120" s="100" t="str">
        <f>'G-1 All Habitats'!K119</f>
        <v>Low</v>
      </c>
      <c r="D120" s="100" t="str">
        <f>'G-1 All Habitats'!M119</f>
        <v>Same distinctiveness or better habitat required</v>
      </c>
      <c r="E120" s="111">
        <f>IF(C120="V.High",SUMIF('A-1 Site Habitat Baseline'!$G$11:$G$258,'G-2 Habitat groups'!A120,'A-1 Site Habitat Baseline'!$S$11:$S$258)+SUMIF('A-1 Site Habitat Baseline'!$G$11:$G$258,'G-2 Habitat groups'!A120,'A-1 Site Habitat Baseline'!$T$11:$T$258),SUMIF('A-1 Site Habitat Baseline'!$G$11:$G$258,'G-2 Habitat groups'!A120,'A-1 Site Habitat Baseline'!$H$11:$H$258))</f>
        <v>0</v>
      </c>
      <c r="F120" s="111">
        <f>SUMIF('A-1 Site Habitat Baseline'!$G$11:$G$258,'G-2 Habitat groups'!A120,'A-1 Site Habitat Baseline'!$Q$11:$Q$258)</f>
        <v>0</v>
      </c>
      <c r="G120" s="111">
        <f>SUMIF('A-1 Site Habitat Baseline'!$G$11:$G$258,'G-2 Habitat groups'!A120,'A-1 Site Habitat Baseline'!$S$11:$S$258)</f>
        <v>0</v>
      </c>
      <c r="H120" s="111">
        <f>SUMIF('A-1 Site Habitat Baseline'!$G$11:$G$258,'G-2 Habitat groups'!A120,'A-1 Site Habitat Baseline'!$U$11:$U$258)</f>
        <v>0</v>
      </c>
      <c r="I120" s="111">
        <f>SUMIF('A-1 Site Habitat Baseline'!$G$11:$G$258,'G-2 Habitat groups'!A120,'A-1 Site Habitat Baseline'!$W$11:$W$258)</f>
        <v>0</v>
      </c>
      <c r="J120" s="111">
        <f>SUMIF('A-1 Site Habitat Baseline'!$G$11:$G$258,'G-2 Habitat groups'!A120,'A-1 Site Habitat Baseline'!$X$11:$X$258)</f>
        <v>0</v>
      </c>
      <c r="K120" s="111">
        <f>SUMIF('A-2 Site Habitat Creation'!$F$11:$F$256,'G-2 Habitat groups'!A120,'A-2 Site Habitat Creation'!$G$11:$G$256)</f>
        <v>0</v>
      </c>
      <c r="L120" s="111">
        <f>SUMIF('A-2 Site Habitat Creation'!$F$11:$F$256,'G-2 Habitat groups'!A120,'A-2 Site Habitat Creation'!$Y$11:$Y$256)</f>
        <v>0</v>
      </c>
      <c r="M120" s="111">
        <f>SUMIF('A-3 Site Habitat Enhancement'!$S$12:$S$257,'G-2 Habitat groups'!A120,'A-3 Site Habitat Enhancement'!$V$12:$V$257)</f>
        <v>0</v>
      </c>
      <c r="N120" s="111">
        <f>SUMIF('A-3 Site Habitat Enhancement'!$S$12:$S$257,'G-2 Habitat groups'!A120,'A-3 Site Habitat Enhancement'!$AN$12:$AN$257)</f>
        <v>0</v>
      </c>
      <c r="O120" s="111">
        <f t="shared" si="88"/>
        <v>0</v>
      </c>
      <c r="P120" s="111">
        <f t="shared" si="89"/>
        <v>0</v>
      </c>
      <c r="Q120" s="111">
        <f t="shared" si="90"/>
        <v>0</v>
      </c>
      <c r="R120" s="111">
        <f t="shared" si="91"/>
        <v>0</v>
      </c>
      <c r="S120" s="111">
        <f>IF(C120="V.High",SUMIF('D-1 Off Site Habitat Baseline'!$G$11:$G$258,'G-2 Habitat groups'!A120,'D-1 Off Site Habitat Baseline'!$S$11:$S$258)+SUMIF('D-1 Off Site Habitat Baseline'!$G$11:$G$258,'G-2 Habitat groups'!A120,'D-1 Off Site Habitat Baseline'!$T$11:$T$258),SUMIF('D-1 Off Site Habitat Baseline'!$G$11:$G$258,'G-2 Habitat groups'!A120,'D-1 Off Site Habitat Baseline'!$H$11:$H$258))</f>
        <v>0</v>
      </c>
      <c r="T120" s="111">
        <f>SUMIF('D-1 Off Site Habitat Baseline'!$G$11:$G$258,'G-2 Habitat groups'!A120,'D-1 Off Site Habitat Baseline'!$Q$11:$Q$258)</f>
        <v>0</v>
      </c>
      <c r="U120" s="513">
        <f>SUMIF('D-1 Off Site Habitat Baseline'!$G$11:$G$258,'G-2 Habitat groups'!A120,'D-1 Off Site Habitat Baseline'!$S$11:$S$258)</f>
        <v>0</v>
      </c>
      <c r="V120" s="111">
        <f>SUMIF('D-1 Off Site Habitat Baseline'!$G$11:$G$258,'G-2 Habitat groups'!A120,'D-1 Off Site Habitat Baseline'!$U$11:$U$258)</f>
        <v>0</v>
      </c>
      <c r="W120" s="111">
        <f>SUMIF('D-2 Off Site Habitat Creation'!$F$9:$F$255,'G-2 Habitat groups'!A120,'D-2 Off Site Habitat Creation'!$G$9:$G$255)</f>
        <v>0</v>
      </c>
      <c r="X120" s="111">
        <f>SUMIF('D-2 Off Site Habitat Creation'!$F$9:$F$255,'G-2 Habitat groups'!A120,'D-2 Off Site Habitat Creation'!$AA$9:$AA$255)</f>
        <v>0</v>
      </c>
      <c r="Y120" s="111">
        <f>SUMIF('D-3 Off Site Habitat Enhancment'!$S$12:$S$491,'G-2 Habitat groups'!A120,'D-3 Off Site Habitat Enhancment'!$V$12:$V$491)</f>
        <v>0</v>
      </c>
      <c r="Z120" s="111">
        <f>SUMIF('D-3 Off Site Habitat Enhancment'!$S$12:$S$491,'G-2 Habitat groups'!A120,'D-3 Off Site Habitat Enhancment'!$AP$12:$AP$491)</f>
        <v>0</v>
      </c>
      <c r="AA120" s="111">
        <f t="shared" si="92"/>
        <v>0</v>
      </c>
      <c r="AB120" s="111">
        <f t="shared" si="93"/>
        <v>0</v>
      </c>
      <c r="AC120" s="111">
        <f t="shared" si="94"/>
        <v>0</v>
      </c>
      <c r="AD120" s="111">
        <f t="shared" si="95"/>
        <v>0</v>
      </c>
      <c r="AE120" s="111">
        <f t="shared" si="96"/>
        <v>0</v>
      </c>
      <c r="AF120" s="111">
        <f t="shared" si="97"/>
        <v>0</v>
      </c>
      <c r="AU120" s="129" t="s">
        <v>1160</v>
      </c>
      <c r="AV120" s="100" t="s">
        <v>835</v>
      </c>
      <c r="AW120" s="111">
        <f>VLOOKUP($AU121,AllHabsSummaryData,5,FALSE)</f>
        <v>0</v>
      </c>
      <c r="AX120" s="111">
        <f t="shared" si="102"/>
        <v>0</v>
      </c>
      <c r="AY120" s="111">
        <f t="shared" si="103"/>
        <v>0</v>
      </c>
      <c r="AZ120" s="111">
        <f t="shared" si="104"/>
        <v>0</v>
      </c>
      <c r="BA120" s="111">
        <f t="shared" si="105"/>
        <v>0</v>
      </c>
      <c r="BB120" s="111">
        <f t="shared" si="106"/>
        <v>0</v>
      </c>
      <c r="BC120" s="111">
        <f t="shared" si="107"/>
        <v>0</v>
      </c>
      <c r="BD120" s="111">
        <f t="shared" si="108"/>
        <v>0</v>
      </c>
      <c r="BE120" s="111">
        <f t="shared" ref="BE120:BE123" si="114">BB120+BD120</f>
        <v>0</v>
      </c>
      <c r="BF120" s="111" t="str">
        <f t="shared" ref="BF120:BF123" si="115">IF(BE120&lt;0,BE120,"")</f>
        <v/>
      </c>
    </row>
    <row r="121" spans="1:58" x14ac:dyDescent="0.25">
      <c r="A121" s="129" t="str">
        <f>'G-1 All Habitats'!B120</f>
        <v>Intertidal sediment - Artificial littoral mud</v>
      </c>
      <c r="B121" s="100" t="str">
        <f>'G-1 All Habitats'!F120</f>
        <v>Intertidal sediment</v>
      </c>
      <c r="C121" s="100" t="str">
        <f>'G-1 All Habitats'!K120</f>
        <v>Low</v>
      </c>
      <c r="D121" s="100" t="str">
        <f>'G-1 All Habitats'!M120</f>
        <v>Same distinctiveness or better habitat required</v>
      </c>
      <c r="E121" s="111">
        <f>IF(C121="V.High",SUMIF('A-1 Site Habitat Baseline'!$G$11:$G$258,'G-2 Habitat groups'!A121,'A-1 Site Habitat Baseline'!$S$11:$S$258)+SUMIF('A-1 Site Habitat Baseline'!$G$11:$G$258,'G-2 Habitat groups'!A121,'A-1 Site Habitat Baseline'!$T$11:$T$258),SUMIF('A-1 Site Habitat Baseline'!$G$11:$G$258,'G-2 Habitat groups'!A121,'A-1 Site Habitat Baseline'!$H$11:$H$258))</f>
        <v>0</v>
      </c>
      <c r="F121" s="111">
        <f>SUMIF('A-1 Site Habitat Baseline'!$G$11:$G$258,'G-2 Habitat groups'!A121,'A-1 Site Habitat Baseline'!$Q$11:$Q$258)</f>
        <v>0</v>
      </c>
      <c r="G121" s="111">
        <f>SUMIF('A-1 Site Habitat Baseline'!$G$11:$G$258,'G-2 Habitat groups'!A121,'A-1 Site Habitat Baseline'!$S$11:$S$258)</f>
        <v>0</v>
      </c>
      <c r="H121" s="111">
        <f>SUMIF('A-1 Site Habitat Baseline'!$G$11:$G$258,'G-2 Habitat groups'!A121,'A-1 Site Habitat Baseline'!$U$11:$U$258)</f>
        <v>0</v>
      </c>
      <c r="I121" s="111">
        <f>SUMIF('A-1 Site Habitat Baseline'!$G$11:$G$258,'G-2 Habitat groups'!A121,'A-1 Site Habitat Baseline'!$W$11:$W$258)</f>
        <v>0</v>
      </c>
      <c r="J121" s="111">
        <f>SUMIF('A-1 Site Habitat Baseline'!$G$11:$G$258,'G-2 Habitat groups'!A121,'A-1 Site Habitat Baseline'!$X$11:$X$258)</f>
        <v>0</v>
      </c>
      <c r="K121" s="111">
        <f>SUMIF('A-2 Site Habitat Creation'!$F$11:$F$256,'G-2 Habitat groups'!A121,'A-2 Site Habitat Creation'!$G$11:$G$256)</f>
        <v>0</v>
      </c>
      <c r="L121" s="111">
        <f>SUMIF('A-2 Site Habitat Creation'!$F$11:$F$256,'G-2 Habitat groups'!A121,'A-2 Site Habitat Creation'!$Y$11:$Y$256)</f>
        <v>0</v>
      </c>
      <c r="M121" s="111">
        <f>SUMIF('A-3 Site Habitat Enhancement'!$S$12:$S$257,'G-2 Habitat groups'!A121,'A-3 Site Habitat Enhancement'!$V$12:$V$257)</f>
        <v>0</v>
      </c>
      <c r="N121" s="111">
        <f>SUMIF('A-3 Site Habitat Enhancement'!$S$12:$S$257,'G-2 Habitat groups'!A121,'A-3 Site Habitat Enhancement'!$AN$12:$AN$257)</f>
        <v>0</v>
      </c>
      <c r="O121" s="111">
        <f t="shared" si="88"/>
        <v>0</v>
      </c>
      <c r="P121" s="111">
        <f t="shared" si="89"/>
        <v>0</v>
      </c>
      <c r="Q121" s="111">
        <f t="shared" si="90"/>
        <v>0</v>
      </c>
      <c r="R121" s="111">
        <f t="shared" si="91"/>
        <v>0</v>
      </c>
      <c r="S121" s="111">
        <f>IF(C121="V.High",SUMIF('D-1 Off Site Habitat Baseline'!$G$11:$G$258,'G-2 Habitat groups'!A121,'D-1 Off Site Habitat Baseline'!$S$11:$S$258)+SUMIF('D-1 Off Site Habitat Baseline'!$G$11:$G$258,'G-2 Habitat groups'!A121,'D-1 Off Site Habitat Baseline'!$T$11:$T$258),SUMIF('D-1 Off Site Habitat Baseline'!$G$11:$G$258,'G-2 Habitat groups'!A121,'D-1 Off Site Habitat Baseline'!$H$11:$H$258))</f>
        <v>0</v>
      </c>
      <c r="T121" s="111">
        <f>SUMIF('D-1 Off Site Habitat Baseline'!$G$11:$G$258,'G-2 Habitat groups'!A121,'D-1 Off Site Habitat Baseline'!$Q$11:$Q$258)</f>
        <v>0</v>
      </c>
      <c r="U121" s="513">
        <f>SUMIF('D-1 Off Site Habitat Baseline'!$G$11:$G$258,'G-2 Habitat groups'!A121,'D-1 Off Site Habitat Baseline'!$S$11:$S$258)</f>
        <v>0</v>
      </c>
      <c r="V121" s="111">
        <f>SUMIF('D-1 Off Site Habitat Baseline'!$G$11:$G$258,'G-2 Habitat groups'!A121,'D-1 Off Site Habitat Baseline'!$U$11:$U$258)</f>
        <v>0</v>
      </c>
      <c r="W121" s="111">
        <f>SUMIF('D-2 Off Site Habitat Creation'!$F$9:$F$255,'G-2 Habitat groups'!A121,'D-2 Off Site Habitat Creation'!$G$9:$G$255)</f>
        <v>0</v>
      </c>
      <c r="X121" s="111">
        <f>SUMIF('D-2 Off Site Habitat Creation'!$F$9:$F$255,'G-2 Habitat groups'!A121,'D-2 Off Site Habitat Creation'!$AA$9:$AA$255)</f>
        <v>0</v>
      </c>
      <c r="Y121" s="111">
        <f>SUMIF('D-3 Off Site Habitat Enhancment'!$S$12:$S$491,'G-2 Habitat groups'!A121,'D-3 Off Site Habitat Enhancment'!$V$12:$V$491)</f>
        <v>0</v>
      </c>
      <c r="Z121" s="111">
        <f>SUMIF('D-3 Off Site Habitat Enhancment'!$S$12:$S$491,'G-2 Habitat groups'!A121,'D-3 Off Site Habitat Enhancment'!$AP$12:$AP$491)</f>
        <v>0</v>
      </c>
      <c r="AA121" s="111">
        <f t="shared" si="92"/>
        <v>0</v>
      </c>
      <c r="AB121" s="111">
        <f t="shared" si="93"/>
        <v>0</v>
      </c>
      <c r="AC121" s="111">
        <f t="shared" si="94"/>
        <v>0</v>
      </c>
      <c r="AD121" s="111">
        <f t="shared" si="95"/>
        <v>0</v>
      </c>
      <c r="AE121" s="111">
        <f t="shared" si="96"/>
        <v>0</v>
      </c>
      <c r="AF121" s="111">
        <f t="shared" si="97"/>
        <v>0</v>
      </c>
      <c r="AU121" s="129" t="s">
        <v>1047</v>
      </c>
      <c r="AV121" s="100" t="s">
        <v>167</v>
      </c>
      <c r="AW121" s="111">
        <f>VLOOKUP($AU122,AllHabsSummaryData,5,FALSE)</f>
        <v>0</v>
      </c>
      <c r="AX121" s="111">
        <f t="shared" si="102"/>
        <v>0</v>
      </c>
      <c r="AY121" s="111">
        <f t="shared" si="103"/>
        <v>0</v>
      </c>
      <c r="AZ121" s="111">
        <f t="shared" si="104"/>
        <v>0</v>
      </c>
      <c r="BA121" s="111">
        <f t="shared" si="105"/>
        <v>0</v>
      </c>
      <c r="BB121" s="111">
        <f t="shared" si="106"/>
        <v>0</v>
      </c>
      <c r="BC121" s="111">
        <f t="shared" si="107"/>
        <v>0</v>
      </c>
      <c r="BD121" s="111">
        <f t="shared" si="108"/>
        <v>0</v>
      </c>
      <c r="BE121" s="111">
        <f t="shared" si="114"/>
        <v>0</v>
      </c>
      <c r="BF121" s="111" t="str">
        <f t="shared" si="115"/>
        <v/>
      </c>
    </row>
    <row r="122" spans="1:58" x14ac:dyDescent="0.25">
      <c r="A122" s="129" t="str">
        <f>'G-1 All Habitats'!B121</f>
        <v>Intertidal sediment - Artificial littoral sand</v>
      </c>
      <c r="B122" s="100" t="str">
        <f>'G-1 All Habitats'!F121</f>
        <v>Intertidal sediment</v>
      </c>
      <c r="C122" s="100" t="str">
        <f>'G-1 All Habitats'!K121</f>
        <v>Low</v>
      </c>
      <c r="D122" s="100" t="str">
        <f>'G-1 All Habitats'!M121</f>
        <v>Same distinctiveness or better habitat required</v>
      </c>
      <c r="E122" s="111">
        <f>IF(C122="V.High",SUMIF('A-1 Site Habitat Baseline'!$G$11:$G$258,'G-2 Habitat groups'!A122,'A-1 Site Habitat Baseline'!$S$11:$S$258)+SUMIF('A-1 Site Habitat Baseline'!$G$11:$G$258,'G-2 Habitat groups'!A122,'A-1 Site Habitat Baseline'!$T$11:$T$258),SUMIF('A-1 Site Habitat Baseline'!$G$11:$G$258,'G-2 Habitat groups'!A122,'A-1 Site Habitat Baseline'!$H$11:$H$258))</f>
        <v>0</v>
      </c>
      <c r="F122" s="111">
        <f>SUMIF('A-1 Site Habitat Baseline'!$G$11:$G$258,'G-2 Habitat groups'!A122,'A-1 Site Habitat Baseline'!$Q$11:$Q$258)</f>
        <v>0</v>
      </c>
      <c r="G122" s="111">
        <f>SUMIF('A-1 Site Habitat Baseline'!$G$11:$G$258,'G-2 Habitat groups'!A122,'A-1 Site Habitat Baseline'!$S$11:$S$258)</f>
        <v>0</v>
      </c>
      <c r="H122" s="111">
        <f>SUMIF('A-1 Site Habitat Baseline'!$G$11:$G$258,'G-2 Habitat groups'!A122,'A-1 Site Habitat Baseline'!$U$11:$U$258)</f>
        <v>0</v>
      </c>
      <c r="I122" s="111">
        <f>SUMIF('A-1 Site Habitat Baseline'!$G$11:$G$258,'G-2 Habitat groups'!A122,'A-1 Site Habitat Baseline'!$W$11:$W$258)</f>
        <v>0</v>
      </c>
      <c r="J122" s="111">
        <f>SUMIF('A-1 Site Habitat Baseline'!$G$11:$G$258,'G-2 Habitat groups'!A122,'A-1 Site Habitat Baseline'!$X$11:$X$258)</f>
        <v>0</v>
      </c>
      <c r="K122" s="111">
        <f>SUMIF('A-2 Site Habitat Creation'!$F$11:$F$256,'G-2 Habitat groups'!A122,'A-2 Site Habitat Creation'!$G$11:$G$256)</f>
        <v>0</v>
      </c>
      <c r="L122" s="111">
        <f>SUMIF('A-2 Site Habitat Creation'!$F$11:$F$256,'G-2 Habitat groups'!A122,'A-2 Site Habitat Creation'!$Y$11:$Y$256)</f>
        <v>0</v>
      </c>
      <c r="M122" s="111">
        <f>SUMIF('A-3 Site Habitat Enhancement'!$S$12:$S$257,'G-2 Habitat groups'!A122,'A-3 Site Habitat Enhancement'!$V$12:$V$257)</f>
        <v>0</v>
      </c>
      <c r="N122" s="111">
        <f>SUMIF('A-3 Site Habitat Enhancement'!$S$12:$S$257,'G-2 Habitat groups'!A122,'A-3 Site Habitat Enhancement'!$AN$12:$AN$257)</f>
        <v>0</v>
      </c>
      <c r="O122" s="111">
        <f t="shared" si="88"/>
        <v>0</v>
      </c>
      <c r="P122" s="111">
        <f t="shared" si="89"/>
        <v>0</v>
      </c>
      <c r="Q122" s="111">
        <f t="shared" si="90"/>
        <v>0</v>
      </c>
      <c r="R122" s="111">
        <f t="shared" si="91"/>
        <v>0</v>
      </c>
      <c r="S122" s="111">
        <f>IF(C122="V.High",SUMIF('D-1 Off Site Habitat Baseline'!$G$11:$G$258,'G-2 Habitat groups'!A122,'D-1 Off Site Habitat Baseline'!$S$11:$S$258)+SUMIF('D-1 Off Site Habitat Baseline'!$G$11:$G$258,'G-2 Habitat groups'!A122,'D-1 Off Site Habitat Baseline'!$T$11:$T$258),SUMIF('D-1 Off Site Habitat Baseline'!$G$11:$G$258,'G-2 Habitat groups'!A122,'D-1 Off Site Habitat Baseline'!$H$11:$H$258))</f>
        <v>0</v>
      </c>
      <c r="T122" s="111">
        <f>SUMIF('D-1 Off Site Habitat Baseline'!$G$11:$G$258,'G-2 Habitat groups'!A122,'D-1 Off Site Habitat Baseline'!$Q$11:$Q$258)</f>
        <v>0</v>
      </c>
      <c r="U122" s="513">
        <f>SUMIF('D-1 Off Site Habitat Baseline'!$G$11:$G$258,'G-2 Habitat groups'!A122,'D-1 Off Site Habitat Baseline'!$S$11:$S$258)</f>
        <v>0</v>
      </c>
      <c r="V122" s="111">
        <f>SUMIF('D-1 Off Site Habitat Baseline'!$G$11:$G$258,'G-2 Habitat groups'!A122,'D-1 Off Site Habitat Baseline'!$U$11:$U$258)</f>
        <v>0</v>
      </c>
      <c r="W122" s="111">
        <f>SUMIF('D-2 Off Site Habitat Creation'!$F$9:$F$255,'G-2 Habitat groups'!A122,'D-2 Off Site Habitat Creation'!$G$9:$G$255)</f>
        <v>0</v>
      </c>
      <c r="X122" s="111">
        <f>SUMIF('D-2 Off Site Habitat Creation'!$F$9:$F$255,'G-2 Habitat groups'!A122,'D-2 Off Site Habitat Creation'!$AA$9:$AA$255)</f>
        <v>0</v>
      </c>
      <c r="Y122" s="111">
        <f>SUMIF('D-3 Off Site Habitat Enhancment'!$S$12:$S$491,'G-2 Habitat groups'!A122,'D-3 Off Site Habitat Enhancment'!$V$12:$V$491)</f>
        <v>0</v>
      </c>
      <c r="Z122" s="111">
        <f>SUMIF('D-3 Off Site Habitat Enhancment'!$S$12:$S$491,'G-2 Habitat groups'!A122,'D-3 Off Site Habitat Enhancment'!$AP$12:$AP$491)</f>
        <v>0</v>
      </c>
      <c r="AA122" s="111">
        <f t="shared" si="92"/>
        <v>0</v>
      </c>
      <c r="AB122" s="111">
        <f t="shared" si="93"/>
        <v>0</v>
      </c>
      <c r="AC122" s="111">
        <f t="shared" si="94"/>
        <v>0</v>
      </c>
      <c r="AD122" s="111">
        <f t="shared" si="95"/>
        <v>0</v>
      </c>
      <c r="AE122" s="111">
        <f t="shared" si="96"/>
        <v>0</v>
      </c>
      <c r="AF122" s="111">
        <f t="shared" si="97"/>
        <v>0</v>
      </c>
      <c r="AU122" s="129" t="s">
        <v>296</v>
      </c>
      <c r="AV122" s="100" t="s">
        <v>166</v>
      </c>
      <c r="AW122" s="111">
        <f t="shared" ref="AW122:AW123" si="116">VLOOKUP($AU122,AllHabsSummaryData,5,FALSE)</f>
        <v>0</v>
      </c>
      <c r="AX122" s="111">
        <f t="shared" si="102"/>
        <v>0</v>
      </c>
      <c r="AY122" s="111">
        <f t="shared" si="103"/>
        <v>6.7299999999999999E-2</v>
      </c>
      <c r="AZ122" s="111">
        <f t="shared" si="104"/>
        <v>8.7025630000000007E-2</v>
      </c>
      <c r="BA122" s="111">
        <f t="shared" si="105"/>
        <v>6.7299999999999999E-2</v>
      </c>
      <c r="BB122" s="111">
        <f t="shared" si="106"/>
        <v>8.7025630000000007E-2</v>
      </c>
      <c r="BC122" s="111">
        <f t="shared" si="107"/>
        <v>0</v>
      </c>
      <c r="BD122" s="111">
        <f t="shared" si="108"/>
        <v>0</v>
      </c>
      <c r="BE122" s="111">
        <f t="shared" si="114"/>
        <v>8.7025630000000007E-2</v>
      </c>
      <c r="BF122" s="111" t="str">
        <f t="shared" si="115"/>
        <v/>
      </c>
    </row>
    <row r="123" spans="1:58" x14ac:dyDescent="0.25">
      <c r="A123" s="129" t="str">
        <f>'G-1 All Habitats'!B122</f>
        <v>Intertidal sediment - Artificial littoral muddy sand</v>
      </c>
      <c r="B123" s="100" t="str">
        <f>'G-1 All Habitats'!F122</f>
        <v>Intertidal sediment</v>
      </c>
      <c r="C123" s="100" t="str">
        <f>'G-1 All Habitats'!K122</f>
        <v>Low</v>
      </c>
      <c r="D123" s="100" t="str">
        <f>'G-1 All Habitats'!M122</f>
        <v>Same distinctiveness or better habitat required</v>
      </c>
      <c r="E123" s="111">
        <f>IF(C123="V.High",SUMIF('A-1 Site Habitat Baseline'!$G$11:$G$258,'G-2 Habitat groups'!A123,'A-1 Site Habitat Baseline'!$S$11:$S$258)+SUMIF('A-1 Site Habitat Baseline'!$G$11:$G$258,'G-2 Habitat groups'!A123,'A-1 Site Habitat Baseline'!$T$11:$T$258),SUMIF('A-1 Site Habitat Baseline'!$G$11:$G$258,'G-2 Habitat groups'!A123,'A-1 Site Habitat Baseline'!$H$11:$H$258))</f>
        <v>0</v>
      </c>
      <c r="F123" s="111">
        <f>SUMIF('A-1 Site Habitat Baseline'!$G$11:$G$258,'G-2 Habitat groups'!A123,'A-1 Site Habitat Baseline'!$Q$11:$Q$258)</f>
        <v>0</v>
      </c>
      <c r="G123" s="111">
        <f>SUMIF('A-1 Site Habitat Baseline'!$G$11:$G$258,'G-2 Habitat groups'!A123,'A-1 Site Habitat Baseline'!$S$11:$S$258)</f>
        <v>0</v>
      </c>
      <c r="H123" s="111">
        <f>SUMIF('A-1 Site Habitat Baseline'!$G$11:$G$258,'G-2 Habitat groups'!A123,'A-1 Site Habitat Baseline'!$U$11:$U$258)</f>
        <v>0</v>
      </c>
      <c r="I123" s="111">
        <f>SUMIF('A-1 Site Habitat Baseline'!$G$11:$G$258,'G-2 Habitat groups'!A123,'A-1 Site Habitat Baseline'!$W$11:$W$258)</f>
        <v>0</v>
      </c>
      <c r="J123" s="111">
        <f>SUMIF('A-1 Site Habitat Baseline'!$G$11:$G$258,'G-2 Habitat groups'!A123,'A-1 Site Habitat Baseline'!$X$11:$X$258)</f>
        <v>0</v>
      </c>
      <c r="K123" s="111">
        <f>SUMIF('A-2 Site Habitat Creation'!$F$11:$F$256,'G-2 Habitat groups'!A123,'A-2 Site Habitat Creation'!$G$11:$G$256)</f>
        <v>0</v>
      </c>
      <c r="L123" s="111">
        <f>SUMIF('A-2 Site Habitat Creation'!$F$11:$F$256,'G-2 Habitat groups'!A123,'A-2 Site Habitat Creation'!$Y$11:$Y$256)</f>
        <v>0</v>
      </c>
      <c r="M123" s="111">
        <f>SUMIF('A-3 Site Habitat Enhancement'!$S$12:$S$257,'G-2 Habitat groups'!A123,'A-3 Site Habitat Enhancement'!$V$12:$V$257)</f>
        <v>0</v>
      </c>
      <c r="N123" s="111">
        <f>SUMIF('A-3 Site Habitat Enhancement'!$S$12:$S$257,'G-2 Habitat groups'!A123,'A-3 Site Habitat Enhancement'!$AN$12:$AN$257)</f>
        <v>0</v>
      </c>
      <c r="O123" s="111">
        <f t="shared" si="88"/>
        <v>0</v>
      </c>
      <c r="P123" s="111">
        <f t="shared" si="89"/>
        <v>0</v>
      </c>
      <c r="Q123" s="111">
        <f t="shared" si="90"/>
        <v>0</v>
      </c>
      <c r="R123" s="111">
        <f t="shared" si="91"/>
        <v>0</v>
      </c>
      <c r="S123" s="111">
        <f>IF(C123="V.High",SUMIF('D-1 Off Site Habitat Baseline'!$G$11:$G$258,'G-2 Habitat groups'!A123,'D-1 Off Site Habitat Baseline'!$S$11:$S$258)+SUMIF('D-1 Off Site Habitat Baseline'!$G$11:$G$258,'G-2 Habitat groups'!A123,'D-1 Off Site Habitat Baseline'!$T$11:$T$258),SUMIF('D-1 Off Site Habitat Baseline'!$G$11:$G$258,'G-2 Habitat groups'!A123,'D-1 Off Site Habitat Baseline'!$H$11:$H$258))</f>
        <v>0</v>
      </c>
      <c r="T123" s="111">
        <f>SUMIF('D-1 Off Site Habitat Baseline'!$G$11:$G$258,'G-2 Habitat groups'!A123,'D-1 Off Site Habitat Baseline'!$Q$11:$Q$258)</f>
        <v>0</v>
      </c>
      <c r="U123" s="513">
        <f>SUMIF('D-1 Off Site Habitat Baseline'!$G$11:$G$258,'G-2 Habitat groups'!A123,'D-1 Off Site Habitat Baseline'!$S$11:$S$258)</f>
        <v>0</v>
      </c>
      <c r="V123" s="111">
        <f>SUMIF('D-1 Off Site Habitat Baseline'!$G$11:$G$258,'G-2 Habitat groups'!A123,'D-1 Off Site Habitat Baseline'!$U$11:$U$258)</f>
        <v>0</v>
      </c>
      <c r="W123" s="111">
        <f>SUMIF('D-2 Off Site Habitat Creation'!$F$9:$F$255,'G-2 Habitat groups'!A123,'D-2 Off Site Habitat Creation'!$G$9:$G$255)</f>
        <v>0</v>
      </c>
      <c r="X123" s="111">
        <f>SUMIF('D-2 Off Site Habitat Creation'!$F$9:$F$255,'G-2 Habitat groups'!A123,'D-2 Off Site Habitat Creation'!$AA$9:$AA$255)</f>
        <v>0</v>
      </c>
      <c r="Y123" s="111">
        <f>SUMIF('D-3 Off Site Habitat Enhancment'!$S$12:$S$491,'G-2 Habitat groups'!A123,'D-3 Off Site Habitat Enhancment'!$V$12:$V$491)</f>
        <v>0</v>
      </c>
      <c r="Z123" s="111">
        <f>SUMIF('D-3 Off Site Habitat Enhancment'!$S$12:$S$491,'G-2 Habitat groups'!A123,'D-3 Off Site Habitat Enhancment'!$AP$12:$AP$491)</f>
        <v>0</v>
      </c>
      <c r="AA123" s="111">
        <f t="shared" si="92"/>
        <v>0</v>
      </c>
      <c r="AB123" s="111">
        <f t="shared" si="93"/>
        <v>0</v>
      </c>
      <c r="AC123" s="111">
        <f t="shared" si="94"/>
        <v>0</v>
      </c>
      <c r="AD123" s="111">
        <f t="shared" si="95"/>
        <v>0</v>
      </c>
      <c r="AE123" s="111">
        <f t="shared" si="96"/>
        <v>0</v>
      </c>
      <c r="AF123" s="111">
        <f t="shared" si="97"/>
        <v>0</v>
      </c>
      <c r="AU123" s="129" t="s">
        <v>287</v>
      </c>
      <c r="AV123" s="100" t="s">
        <v>166</v>
      </c>
      <c r="AW123" s="111">
        <f t="shared" si="116"/>
        <v>0</v>
      </c>
      <c r="AX123" s="111">
        <f t="shared" si="102"/>
        <v>0</v>
      </c>
      <c r="AY123" s="111">
        <f t="shared" si="103"/>
        <v>3.5000000000000001E-3</v>
      </c>
      <c r="AZ123" s="111">
        <f t="shared" si="104"/>
        <v>6.7549999999999997E-3</v>
      </c>
      <c r="BA123" s="111">
        <f t="shared" si="105"/>
        <v>3.5000000000000001E-3</v>
      </c>
      <c r="BB123" s="111">
        <f t="shared" si="106"/>
        <v>6.7549999999999997E-3</v>
      </c>
      <c r="BC123" s="111">
        <f t="shared" si="107"/>
        <v>0</v>
      </c>
      <c r="BD123" s="111">
        <f t="shared" si="108"/>
        <v>0</v>
      </c>
      <c r="BE123" s="111">
        <f t="shared" si="114"/>
        <v>6.7549999999999997E-3</v>
      </c>
      <c r="BF123" s="111" t="str">
        <f t="shared" si="115"/>
        <v/>
      </c>
    </row>
    <row r="124" spans="1:58" x14ac:dyDescent="0.25">
      <c r="A124" s="129" t="str">
        <f>'G-1 All Habitats'!B123</f>
        <v>Intertidal sediment - Artificial littoral mixed sediments</v>
      </c>
      <c r="B124" s="100" t="str">
        <f>'G-1 All Habitats'!F123</f>
        <v>Intertidal sediment</v>
      </c>
      <c r="C124" s="100" t="str">
        <f>'G-1 All Habitats'!K123</f>
        <v>Low</v>
      </c>
      <c r="D124" s="100" t="str">
        <f>'G-1 All Habitats'!M123</f>
        <v>Same distinctiveness or better habitat required</v>
      </c>
      <c r="E124" s="111">
        <f>IF(C124="V.High",SUMIF('A-1 Site Habitat Baseline'!$G$11:$G$258,'G-2 Habitat groups'!A124,'A-1 Site Habitat Baseline'!$S$11:$S$258)+SUMIF('A-1 Site Habitat Baseline'!$G$11:$G$258,'G-2 Habitat groups'!A124,'A-1 Site Habitat Baseline'!$T$11:$T$258),SUMIF('A-1 Site Habitat Baseline'!$G$11:$G$258,'G-2 Habitat groups'!A124,'A-1 Site Habitat Baseline'!$H$11:$H$258))</f>
        <v>0</v>
      </c>
      <c r="F124" s="111">
        <f>SUMIF('A-1 Site Habitat Baseline'!$G$11:$G$258,'G-2 Habitat groups'!A124,'A-1 Site Habitat Baseline'!$Q$11:$Q$258)</f>
        <v>0</v>
      </c>
      <c r="G124" s="111">
        <f>SUMIF('A-1 Site Habitat Baseline'!$G$11:$G$258,'G-2 Habitat groups'!A124,'A-1 Site Habitat Baseline'!$S$11:$S$258)</f>
        <v>0</v>
      </c>
      <c r="H124" s="111">
        <f>SUMIF('A-1 Site Habitat Baseline'!$G$11:$G$258,'G-2 Habitat groups'!A124,'A-1 Site Habitat Baseline'!$U$11:$U$258)</f>
        <v>0</v>
      </c>
      <c r="I124" s="111">
        <f>SUMIF('A-1 Site Habitat Baseline'!$G$11:$G$258,'G-2 Habitat groups'!A124,'A-1 Site Habitat Baseline'!$W$11:$W$258)</f>
        <v>0</v>
      </c>
      <c r="J124" s="111">
        <f>SUMIF('A-1 Site Habitat Baseline'!$G$11:$G$258,'G-2 Habitat groups'!A124,'A-1 Site Habitat Baseline'!$X$11:$X$258)</f>
        <v>0</v>
      </c>
      <c r="K124" s="111">
        <f>SUMIF('A-2 Site Habitat Creation'!$F$11:$F$256,'G-2 Habitat groups'!A124,'A-2 Site Habitat Creation'!$G$11:$G$256)</f>
        <v>0</v>
      </c>
      <c r="L124" s="111">
        <f>SUMIF('A-2 Site Habitat Creation'!$F$11:$F$256,'G-2 Habitat groups'!A124,'A-2 Site Habitat Creation'!$Y$11:$Y$256)</f>
        <v>0</v>
      </c>
      <c r="M124" s="111">
        <f>SUMIF('A-3 Site Habitat Enhancement'!$S$12:$S$257,'G-2 Habitat groups'!A124,'A-3 Site Habitat Enhancement'!$V$12:$V$257)</f>
        <v>0</v>
      </c>
      <c r="N124" s="111">
        <f>SUMIF('A-3 Site Habitat Enhancement'!$S$12:$S$257,'G-2 Habitat groups'!A124,'A-3 Site Habitat Enhancement'!$AN$12:$AN$257)</f>
        <v>0</v>
      </c>
      <c r="O124" s="111">
        <f t="shared" si="88"/>
        <v>0</v>
      </c>
      <c r="P124" s="111">
        <f t="shared" si="89"/>
        <v>0</v>
      </c>
      <c r="Q124" s="111">
        <f t="shared" si="90"/>
        <v>0</v>
      </c>
      <c r="R124" s="111">
        <f t="shared" si="91"/>
        <v>0</v>
      </c>
      <c r="S124" s="111">
        <f>IF(C124="V.High",SUMIF('D-1 Off Site Habitat Baseline'!$G$11:$G$258,'G-2 Habitat groups'!A124,'D-1 Off Site Habitat Baseline'!$S$11:$S$258)+SUMIF('D-1 Off Site Habitat Baseline'!$G$11:$G$258,'G-2 Habitat groups'!A124,'D-1 Off Site Habitat Baseline'!$T$11:$T$258),SUMIF('D-1 Off Site Habitat Baseline'!$G$11:$G$258,'G-2 Habitat groups'!A124,'D-1 Off Site Habitat Baseline'!$H$11:$H$258))</f>
        <v>0</v>
      </c>
      <c r="T124" s="111">
        <f>SUMIF('D-1 Off Site Habitat Baseline'!$G$11:$G$258,'G-2 Habitat groups'!A124,'D-1 Off Site Habitat Baseline'!$Q$11:$Q$258)</f>
        <v>0</v>
      </c>
      <c r="U124" s="513">
        <f>SUMIF('D-1 Off Site Habitat Baseline'!$G$11:$G$258,'G-2 Habitat groups'!A124,'D-1 Off Site Habitat Baseline'!$S$11:$S$258)</f>
        <v>0</v>
      </c>
      <c r="V124" s="111">
        <f>SUMIF('D-1 Off Site Habitat Baseline'!$G$11:$G$258,'G-2 Habitat groups'!A124,'D-1 Off Site Habitat Baseline'!$U$11:$U$258)</f>
        <v>0</v>
      </c>
      <c r="W124" s="111">
        <f>SUMIF('D-2 Off Site Habitat Creation'!$F$9:$F$255,'G-2 Habitat groups'!A124,'D-2 Off Site Habitat Creation'!$G$9:$G$255)</f>
        <v>0</v>
      </c>
      <c r="X124" s="111">
        <f>SUMIF('D-2 Off Site Habitat Creation'!$F$9:$F$255,'G-2 Habitat groups'!A124,'D-2 Off Site Habitat Creation'!$AA$9:$AA$255)</f>
        <v>0</v>
      </c>
      <c r="Y124" s="111">
        <f>SUMIF('D-3 Off Site Habitat Enhancment'!$S$12:$S$491,'G-2 Habitat groups'!A124,'D-3 Off Site Habitat Enhancment'!$V$12:$V$491)</f>
        <v>0</v>
      </c>
      <c r="Z124" s="111">
        <f>SUMIF('D-3 Off Site Habitat Enhancment'!$S$12:$S$491,'G-2 Habitat groups'!A124,'D-3 Off Site Habitat Enhancment'!$AP$12:$AP$491)</f>
        <v>0</v>
      </c>
      <c r="AA124" s="111">
        <f t="shared" si="92"/>
        <v>0</v>
      </c>
      <c r="AB124" s="111">
        <f t="shared" si="93"/>
        <v>0</v>
      </c>
      <c r="AC124" s="111">
        <f t="shared" si="94"/>
        <v>0</v>
      </c>
      <c r="AD124" s="111">
        <f t="shared" si="95"/>
        <v>0</v>
      </c>
      <c r="AE124" s="111">
        <f t="shared" si="96"/>
        <v>0</v>
      </c>
      <c r="AF124" s="111">
        <f t="shared" si="97"/>
        <v>0</v>
      </c>
      <c r="AU124" s="129" t="s">
        <v>1481</v>
      </c>
      <c r="AV124" s="100" t="s">
        <v>166</v>
      </c>
      <c r="AW124" s="111">
        <f t="shared" ref="AW124:AW146" si="117">VLOOKUP($AU124,AllHabsSummaryData,5,FALSE)</f>
        <v>0</v>
      </c>
      <c r="AX124" s="111">
        <f t="shared" si="102"/>
        <v>0</v>
      </c>
      <c r="AY124" s="111">
        <f t="shared" ref="AY124:AY146" si="118">VLOOKUP($AU124,AllHabsSummaryData,15,FALSE)</f>
        <v>0</v>
      </c>
      <c r="AZ124" s="111">
        <f t="shared" ref="AZ124:AZ146" si="119">VLOOKUP($AU124,AllHabsSummaryData,16,FALSE)</f>
        <v>0</v>
      </c>
      <c r="BA124" s="111">
        <f t="shared" ref="BA124:BA146" si="120">VLOOKUP($AU124,AllHabsSummaryData,17,FALSE)</f>
        <v>0</v>
      </c>
      <c r="BB124" s="111">
        <f t="shared" ref="BB124:BB146" si="121">VLOOKUP($AU124,AllHabsSummaryData,18,FALSE)</f>
        <v>0</v>
      </c>
      <c r="BC124" s="111">
        <f t="shared" ref="BC124:BC146" si="122">VLOOKUP($AU124,AllHabsSummaryData,27,FALSE)</f>
        <v>0</v>
      </c>
      <c r="BD124" s="111">
        <f t="shared" ref="BD124:BD146" si="123">VLOOKUP($AU124,AllHabsSummaryData,30,FALSE)</f>
        <v>0</v>
      </c>
      <c r="BE124" s="111">
        <f t="shared" ref="BE124:BE135" si="124">BB124+BD124</f>
        <v>0</v>
      </c>
      <c r="BF124" s="111" t="str">
        <f t="shared" ref="BF124:BF135" si="125">IF(BE124&lt;0,BE124,"")</f>
        <v/>
      </c>
    </row>
    <row r="125" spans="1:58" x14ac:dyDescent="0.25">
      <c r="A125" s="129" t="str">
        <f>'G-1 All Habitats'!B124</f>
        <v>Intertidal sediment - Artificial littoral seagrass</v>
      </c>
      <c r="B125" s="100" t="str">
        <f>'G-1 All Habitats'!F124</f>
        <v>Intertidal sediment</v>
      </c>
      <c r="C125" s="100" t="str">
        <f>'G-1 All Habitats'!K124</f>
        <v>Low</v>
      </c>
      <c r="D125" s="100" t="str">
        <f>'G-1 All Habitats'!M124</f>
        <v>Same distinctiveness or better habitat required</v>
      </c>
      <c r="E125" s="111">
        <f>IF(C125="V.High",SUMIF('A-1 Site Habitat Baseline'!$G$11:$G$258,'G-2 Habitat groups'!A125,'A-1 Site Habitat Baseline'!$S$11:$S$258)+SUMIF('A-1 Site Habitat Baseline'!$G$11:$G$258,'G-2 Habitat groups'!A125,'A-1 Site Habitat Baseline'!$T$11:$T$258),SUMIF('A-1 Site Habitat Baseline'!$G$11:$G$258,'G-2 Habitat groups'!A125,'A-1 Site Habitat Baseline'!$H$11:$H$258))</f>
        <v>0</v>
      </c>
      <c r="F125" s="111">
        <f>SUMIF('A-1 Site Habitat Baseline'!$G$11:$G$258,'G-2 Habitat groups'!A125,'A-1 Site Habitat Baseline'!$Q$11:$Q$258)</f>
        <v>0</v>
      </c>
      <c r="G125" s="111">
        <f>SUMIF('A-1 Site Habitat Baseline'!$G$11:$G$258,'G-2 Habitat groups'!A125,'A-1 Site Habitat Baseline'!$S$11:$S$258)</f>
        <v>0</v>
      </c>
      <c r="H125" s="111">
        <f>SUMIF('A-1 Site Habitat Baseline'!$G$11:$G$258,'G-2 Habitat groups'!A125,'A-1 Site Habitat Baseline'!$U$11:$U$258)</f>
        <v>0</v>
      </c>
      <c r="I125" s="111">
        <f>SUMIF('A-1 Site Habitat Baseline'!$G$11:$G$258,'G-2 Habitat groups'!A125,'A-1 Site Habitat Baseline'!$W$11:$W$258)</f>
        <v>0</v>
      </c>
      <c r="J125" s="111">
        <f>SUMIF('A-1 Site Habitat Baseline'!$G$11:$G$258,'G-2 Habitat groups'!A125,'A-1 Site Habitat Baseline'!$X$11:$X$258)</f>
        <v>0</v>
      </c>
      <c r="K125" s="111">
        <f>SUMIF('A-2 Site Habitat Creation'!$F$11:$F$256,'G-2 Habitat groups'!A125,'A-2 Site Habitat Creation'!$G$11:$G$256)</f>
        <v>0</v>
      </c>
      <c r="L125" s="111">
        <f>SUMIF('A-2 Site Habitat Creation'!$F$11:$F$256,'G-2 Habitat groups'!A125,'A-2 Site Habitat Creation'!$Y$11:$Y$256)</f>
        <v>0</v>
      </c>
      <c r="M125" s="111">
        <f>SUMIF('A-3 Site Habitat Enhancement'!$S$12:$S$257,'G-2 Habitat groups'!A125,'A-3 Site Habitat Enhancement'!$V$12:$V$257)</f>
        <v>0</v>
      </c>
      <c r="N125" s="111">
        <f>SUMIF('A-3 Site Habitat Enhancement'!$S$12:$S$257,'G-2 Habitat groups'!A125,'A-3 Site Habitat Enhancement'!$AN$12:$AN$257)</f>
        <v>0</v>
      </c>
      <c r="O125" s="111">
        <f t="shared" si="88"/>
        <v>0</v>
      </c>
      <c r="P125" s="111">
        <f t="shared" si="89"/>
        <v>0</v>
      </c>
      <c r="Q125" s="111">
        <f t="shared" si="90"/>
        <v>0</v>
      </c>
      <c r="R125" s="111">
        <f t="shared" si="91"/>
        <v>0</v>
      </c>
      <c r="S125" s="111">
        <f>IF(C125="V.High",SUMIF('D-1 Off Site Habitat Baseline'!$G$11:$G$258,'G-2 Habitat groups'!A125,'D-1 Off Site Habitat Baseline'!$S$11:$S$258)+SUMIF('D-1 Off Site Habitat Baseline'!$G$11:$G$258,'G-2 Habitat groups'!A125,'D-1 Off Site Habitat Baseline'!$T$11:$T$258),SUMIF('D-1 Off Site Habitat Baseline'!$G$11:$G$258,'G-2 Habitat groups'!A125,'D-1 Off Site Habitat Baseline'!$H$11:$H$258))</f>
        <v>0</v>
      </c>
      <c r="T125" s="111">
        <f>SUMIF('D-1 Off Site Habitat Baseline'!$G$11:$G$258,'G-2 Habitat groups'!A125,'D-1 Off Site Habitat Baseline'!$Q$11:$Q$258)</f>
        <v>0</v>
      </c>
      <c r="U125" s="513">
        <f>SUMIF('D-1 Off Site Habitat Baseline'!$G$11:$G$258,'G-2 Habitat groups'!A125,'D-1 Off Site Habitat Baseline'!$S$11:$S$258)</f>
        <v>0</v>
      </c>
      <c r="V125" s="111">
        <f>SUMIF('D-1 Off Site Habitat Baseline'!$G$11:$G$258,'G-2 Habitat groups'!A125,'D-1 Off Site Habitat Baseline'!$U$11:$U$258)</f>
        <v>0</v>
      </c>
      <c r="W125" s="111">
        <f>SUMIF('D-2 Off Site Habitat Creation'!$F$9:$F$255,'G-2 Habitat groups'!A125,'D-2 Off Site Habitat Creation'!$G$9:$G$255)</f>
        <v>0</v>
      </c>
      <c r="X125" s="111">
        <f>SUMIF('D-2 Off Site Habitat Creation'!$F$9:$F$255,'G-2 Habitat groups'!A125,'D-2 Off Site Habitat Creation'!$AA$9:$AA$255)</f>
        <v>0</v>
      </c>
      <c r="Y125" s="111">
        <f>SUMIF('D-3 Off Site Habitat Enhancment'!$S$12:$S$491,'G-2 Habitat groups'!A125,'D-3 Off Site Habitat Enhancment'!$V$12:$V$491)</f>
        <v>0</v>
      </c>
      <c r="Z125" s="111">
        <f>SUMIF('D-3 Off Site Habitat Enhancment'!$S$12:$S$491,'G-2 Habitat groups'!A125,'D-3 Off Site Habitat Enhancment'!$AP$12:$AP$491)</f>
        <v>0</v>
      </c>
      <c r="AA125" s="111">
        <f t="shared" si="92"/>
        <v>0</v>
      </c>
      <c r="AB125" s="111">
        <f t="shared" si="93"/>
        <v>0</v>
      </c>
      <c r="AC125" s="111">
        <f t="shared" si="94"/>
        <v>0</v>
      </c>
      <c r="AD125" s="111">
        <f t="shared" si="95"/>
        <v>0</v>
      </c>
      <c r="AE125" s="111">
        <f t="shared" si="96"/>
        <v>0</v>
      </c>
      <c r="AF125" s="111">
        <f t="shared" si="97"/>
        <v>0</v>
      </c>
      <c r="AU125" s="129" t="s">
        <v>292</v>
      </c>
      <c r="AV125" s="100" t="s">
        <v>166</v>
      </c>
      <c r="AW125" s="111">
        <f t="shared" si="117"/>
        <v>8.5000000000000006E-3</v>
      </c>
      <c r="AX125" s="111">
        <f t="shared" si="102"/>
        <v>1.7000000000000001E-2</v>
      </c>
      <c r="AY125" s="111">
        <f t="shared" si="118"/>
        <v>0</v>
      </c>
      <c r="AZ125" s="111">
        <f t="shared" si="119"/>
        <v>0</v>
      </c>
      <c r="BA125" s="111">
        <f t="shared" si="120"/>
        <v>-8.5000000000000006E-3</v>
      </c>
      <c r="BB125" s="111">
        <f t="shared" si="121"/>
        <v>-1.7000000000000001E-2</v>
      </c>
      <c r="BC125" s="111">
        <f t="shared" si="122"/>
        <v>0</v>
      </c>
      <c r="BD125" s="111">
        <f t="shared" si="123"/>
        <v>0</v>
      </c>
      <c r="BE125" s="111">
        <f t="shared" si="124"/>
        <v>-1.7000000000000001E-2</v>
      </c>
      <c r="BF125" s="111">
        <f t="shared" si="125"/>
        <v>-1.7000000000000001E-2</v>
      </c>
    </row>
    <row r="126" spans="1:58" x14ac:dyDescent="0.25">
      <c r="A126" s="129" t="str">
        <f>'G-1 All Habitats'!B125</f>
        <v>Intertidal sediment - Artificial littoral biogenic reefs</v>
      </c>
      <c r="B126" s="100" t="str">
        <f>'G-1 All Habitats'!F125</f>
        <v>Intertidal sediment</v>
      </c>
      <c r="C126" s="100" t="str">
        <f>'G-1 All Habitats'!K125</f>
        <v>Low</v>
      </c>
      <c r="D126" s="100" t="str">
        <f>'G-1 All Habitats'!M125</f>
        <v>Same distinctiveness or better habitat required</v>
      </c>
      <c r="E126" s="111">
        <f>IF(C126="V.High",SUMIF('A-1 Site Habitat Baseline'!$G$11:$G$258,'G-2 Habitat groups'!A126,'A-1 Site Habitat Baseline'!$S$11:$S$258)+SUMIF('A-1 Site Habitat Baseline'!$G$11:$G$258,'G-2 Habitat groups'!A126,'A-1 Site Habitat Baseline'!$T$11:$T$258),SUMIF('A-1 Site Habitat Baseline'!$G$11:$G$258,'G-2 Habitat groups'!A126,'A-1 Site Habitat Baseline'!$H$11:$H$258))</f>
        <v>0</v>
      </c>
      <c r="F126" s="111">
        <f>SUMIF('A-1 Site Habitat Baseline'!$G$11:$G$258,'G-2 Habitat groups'!A126,'A-1 Site Habitat Baseline'!$Q$11:$Q$258)</f>
        <v>0</v>
      </c>
      <c r="G126" s="111">
        <f>SUMIF('A-1 Site Habitat Baseline'!$G$11:$G$258,'G-2 Habitat groups'!A126,'A-1 Site Habitat Baseline'!$S$11:$S$258)</f>
        <v>0</v>
      </c>
      <c r="H126" s="111">
        <f>SUMIF('A-1 Site Habitat Baseline'!$G$11:$G$258,'G-2 Habitat groups'!A126,'A-1 Site Habitat Baseline'!$U$11:$U$258)</f>
        <v>0</v>
      </c>
      <c r="I126" s="111">
        <f>SUMIF('A-1 Site Habitat Baseline'!$G$11:$G$258,'G-2 Habitat groups'!A126,'A-1 Site Habitat Baseline'!$W$11:$W$258)</f>
        <v>0</v>
      </c>
      <c r="J126" s="111">
        <f>SUMIF('A-1 Site Habitat Baseline'!$G$11:$G$258,'G-2 Habitat groups'!A126,'A-1 Site Habitat Baseline'!$X$11:$X$258)</f>
        <v>0</v>
      </c>
      <c r="K126" s="111">
        <f>SUMIF('A-2 Site Habitat Creation'!$F$11:$F$256,'G-2 Habitat groups'!A126,'A-2 Site Habitat Creation'!$G$11:$G$256)</f>
        <v>0</v>
      </c>
      <c r="L126" s="111">
        <f>SUMIF('A-2 Site Habitat Creation'!$F$11:$F$256,'G-2 Habitat groups'!A126,'A-2 Site Habitat Creation'!$Y$11:$Y$256)</f>
        <v>0</v>
      </c>
      <c r="M126" s="111">
        <f>SUMIF('A-3 Site Habitat Enhancement'!$S$12:$S$257,'G-2 Habitat groups'!A126,'A-3 Site Habitat Enhancement'!$V$12:$V$257)</f>
        <v>0</v>
      </c>
      <c r="N126" s="111">
        <f>SUMIF('A-3 Site Habitat Enhancement'!$S$12:$S$257,'G-2 Habitat groups'!A126,'A-3 Site Habitat Enhancement'!$AN$12:$AN$257)</f>
        <v>0</v>
      </c>
      <c r="O126" s="111">
        <f t="shared" si="88"/>
        <v>0</v>
      </c>
      <c r="P126" s="111">
        <f t="shared" si="89"/>
        <v>0</v>
      </c>
      <c r="Q126" s="111">
        <f t="shared" si="90"/>
        <v>0</v>
      </c>
      <c r="R126" s="111">
        <f t="shared" si="91"/>
        <v>0</v>
      </c>
      <c r="S126" s="111">
        <f>IF(C126="V.High",SUMIF('D-1 Off Site Habitat Baseline'!$G$11:$G$258,'G-2 Habitat groups'!A126,'D-1 Off Site Habitat Baseline'!$S$11:$S$258)+SUMIF('D-1 Off Site Habitat Baseline'!$G$11:$G$258,'G-2 Habitat groups'!A126,'D-1 Off Site Habitat Baseline'!$T$11:$T$258),SUMIF('D-1 Off Site Habitat Baseline'!$G$11:$G$258,'G-2 Habitat groups'!A126,'D-1 Off Site Habitat Baseline'!$H$11:$H$258))</f>
        <v>0</v>
      </c>
      <c r="T126" s="111">
        <f>SUMIF('D-1 Off Site Habitat Baseline'!$G$11:$G$258,'G-2 Habitat groups'!A126,'D-1 Off Site Habitat Baseline'!$Q$11:$Q$258)</f>
        <v>0</v>
      </c>
      <c r="U126" s="513">
        <f>SUMIF('D-1 Off Site Habitat Baseline'!$G$11:$G$258,'G-2 Habitat groups'!A126,'D-1 Off Site Habitat Baseline'!$S$11:$S$258)</f>
        <v>0</v>
      </c>
      <c r="V126" s="111">
        <f>SUMIF('D-1 Off Site Habitat Baseline'!$G$11:$G$258,'G-2 Habitat groups'!A126,'D-1 Off Site Habitat Baseline'!$U$11:$U$258)</f>
        <v>0</v>
      </c>
      <c r="W126" s="111">
        <f>SUMIF('D-2 Off Site Habitat Creation'!$F$9:$F$255,'G-2 Habitat groups'!A126,'D-2 Off Site Habitat Creation'!$G$9:$G$255)</f>
        <v>0</v>
      </c>
      <c r="X126" s="111">
        <f>SUMIF('D-2 Off Site Habitat Creation'!$F$9:$F$255,'G-2 Habitat groups'!A126,'D-2 Off Site Habitat Creation'!$AA$9:$AA$255)</f>
        <v>0</v>
      </c>
      <c r="Y126" s="111">
        <f>SUMIF('D-3 Off Site Habitat Enhancment'!$S$12:$S$491,'G-2 Habitat groups'!A126,'D-3 Off Site Habitat Enhancment'!$V$12:$V$491)</f>
        <v>0</v>
      </c>
      <c r="Z126" s="111">
        <f>SUMIF('D-3 Off Site Habitat Enhancment'!$S$12:$S$491,'G-2 Habitat groups'!A126,'D-3 Off Site Habitat Enhancment'!$AP$12:$AP$491)</f>
        <v>0</v>
      </c>
      <c r="AA126" s="111">
        <f t="shared" si="92"/>
        <v>0</v>
      </c>
      <c r="AB126" s="111">
        <f t="shared" si="93"/>
        <v>0</v>
      </c>
      <c r="AC126" s="111">
        <f t="shared" si="94"/>
        <v>0</v>
      </c>
      <c r="AD126" s="111">
        <f t="shared" si="95"/>
        <v>0</v>
      </c>
      <c r="AE126" s="111">
        <f t="shared" si="96"/>
        <v>0</v>
      </c>
      <c r="AF126" s="111">
        <f t="shared" si="97"/>
        <v>0</v>
      </c>
      <c r="AU126" s="129" t="s">
        <v>293</v>
      </c>
      <c r="AV126" s="100" t="s">
        <v>166</v>
      </c>
      <c r="AW126" s="111">
        <f t="shared" si="117"/>
        <v>0</v>
      </c>
      <c r="AX126" s="111">
        <f t="shared" si="102"/>
        <v>0</v>
      </c>
      <c r="AY126" s="111">
        <f t="shared" si="118"/>
        <v>0.29189999999999999</v>
      </c>
      <c r="AZ126" s="111">
        <f t="shared" si="119"/>
        <v>0.56336699999999995</v>
      </c>
      <c r="BA126" s="111">
        <f t="shared" si="120"/>
        <v>0.29189999999999999</v>
      </c>
      <c r="BB126" s="111">
        <f t="shared" si="121"/>
        <v>0.56336699999999995</v>
      </c>
      <c r="BC126" s="111">
        <f t="shared" si="122"/>
        <v>0</v>
      </c>
      <c r="BD126" s="111">
        <f t="shared" si="123"/>
        <v>0</v>
      </c>
      <c r="BE126" s="111">
        <f t="shared" si="124"/>
        <v>0.56336699999999995</v>
      </c>
      <c r="BF126" s="111" t="str">
        <f t="shared" si="125"/>
        <v/>
      </c>
    </row>
    <row r="127" spans="1:58" x14ac:dyDescent="0.25">
      <c r="A127" s="129" t="str">
        <f>'G-1 All Habitats'!B126</f>
        <v>Intertidal sediment - Littoral sand</v>
      </c>
      <c r="B127" s="100" t="str">
        <f>'G-1 All Habitats'!F126</f>
        <v>Intertidal sediment</v>
      </c>
      <c r="C127" s="100" t="str">
        <f>'G-1 All Habitats'!K126</f>
        <v>Medium</v>
      </c>
      <c r="D127" s="100" t="str">
        <f>'G-1 All Habitats'!M126</f>
        <v>Same broad habitat or a higher distinctiveness habitat required</v>
      </c>
      <c r="E127" s="111">
        <f>IF(C127="V.High",SUMIF('A-1 Site Habitat Baseline'!$G$11:$G$258,'G-2 Habitat groups'!A127,'A-1 Site Habitat Baseline'!$S$11:$S$258)+SUMIF('A-1 Site Habitat Baseline'!$G$11:$G$258,'G-2 Habitat groups'!A127,'A-1 Site Habitat Baseline'!$T$11:$T$258),SUMIF('A-1 Site Habitat Baseline'!$G$11:$G$258,'G-2 Habitat groups'!A127,'A-1 Site Habitat Baseline'!$H$11:$H$258))</f>
        <v>0</v>
      </c>
      <c r="F127" s="111">
        <f>SUMIF('A-1 Site Habitat Baseline'!$G$11:$G$258,'G-2 Habitat groups'!A127,'A-1 Site Habitat Baseline'!$Q$11:$Q$258)</f>
        <v>0</v>
      </c>
      <c r="G127" s="111">
        <f>SUMIF('A-1 Site Habitat Baseline'!$G$11:$G$258,'G-2 Habitat groups'!A127,'A-1 Site Habitat Baseline'!$S$11:$S$258)</f>
        <v>0</v>
      </c>
      <c r="H127" s="111">
        <f>SUMIF('A-1 Site Habitat Baseline'!$G$11:$G$258,'G-2 Habitat groups'!A127,'A-1 Site Habitat Baseline'!$U$11:$U$258)</f>
        <v>0</v>
      </c>
      <c r="I127" s="111">
        <f>SUMIF('A-1 Site Habitat Baseline'!$G$11:$G$258,'G-2 Habitat groups'!A127,'A-1 Site Habitat Baseline'!$W$11:$W$258)</f>
        <v>0</v>
      </c>
      <c r="J127" s="111">
        <f>SUMIF('A-1 Site Habitat Baseline'!$G$11:$G$258,'G-2 Habitat groups'!A127,'A-1 Site Habitat Baseline'!$X$11:$X$258)</f>
        <v>0</v>
      </c>
      <c r="K127" s="111">
        <f>SUMIF('A-2 Site Habitat Creation'!$F$11:$F$256,'G-2 Habitat groups'!A127,'A-2 Site Habitat Creation'!$G$11:$G$256)</f>
        <v>0</v>
      </c>
      <c r="L127" s="111">
        <f>SUMIF('A-2 Site Habitat Creation'!$F$11:$F$256,'G-2 Habitat groups'!A127,'A-2 Site Habitat Creation'!$Y$11:$Y$256)</f>
        <v>0</v>
      </c>
      <c r="M127" s="111">
        <f>SUMIF('A-3 Site Habitat Enhancement'!$S$12:$S$257,'G-2 Habitat groups'!A127,'A-3 Site Habitat Enhancement'!$V$12:$V$257)</f>
        <v>0</v>
      </c>
      <c r="N127" s="111">
        <f>SUMIF('A-3 Site Habitat Enhancement'!$S$12:$S$257,'G-2 Habitat groups'!A127,'A-3 Site Habitat Enhancement'!$AN$12:$AN$257)</f>
        <v>0</v>
      </c>
      <c r="O127" s="111">
        <f t="shared" si="88"/>
        <v>0</v>
      </c>
      <c r="P127" s="111">
        <f t="shared" si="89"/>
        <v>0</v>
      </c>
      <c r="Q127" s="111">
        <f t="shared" si="90"/>
        <v>0</v>
      </c>
      <c r="R127" s="111">
        <f t="shared" si="91"/>
        <v>0</v>
      </c>
      <c r="S127" s="111">
        <f>IF(C127="V.High",SUMIF('D-1 Off Site Habitat Baseline'!$G$11:$G$258,'G-2 Habitat groups'!A127,'D-1 Off Site Habitat Baseline'!$S$11:$S$258)+SUMIF('D-1 Off Site Habitat Baseline'!$G$11:$G$258,'G-2 Habitat groups'!A127,'D-1 Off Site Habitat Baseline'!$T$11:$T$258),SUMIF('D-1 Off Site Habitat Baseline'!$G$11:$G$258,'G-2 Habitat groups'!A127,'D-1 Off Site Habitat Baseline'!$H$11:$H$258))</f>
        <v>0</v>
      </c>
      <c r="T127" s="111">
        <f>SUMIF('D-1 Off Site Habitat Baseline'!$G$11:$G$258,'G-2 Habitat groups'!A127,'D-1 Off Site Habitat Baseline'!$Q$11:$Q$258)</f>
        <v>0</v>
      </c>
      <c r="U127" s="513">
        <f>SUMIF('D-1 Off Site Habitat Baseline'!$G$11:$G$258,'G-2 Habitat groups'!A127,'D-1 Off Site Habitat Baseline'!$S$11:$S$258)</f>
        <v>0</v>
      </c>
      <c r="V127" s="111">
        <f>SUMIF('D-1 Off Site Habitat Baseline'!$G$11:$G$258,'G-2 Habitat groups'!A127,'D-1 Off Site Habitat Baseline'!$U$11:$U$258)</f>
        <v>0</v>
      </c>
      <c r="W127" s="111">
        <f>SUMIF('D-2 Off Site Habitat Creation'!$F$9:$F$255,'G-2 Habitat groups'!A127,'D-2 Off Site Habitat Creation'!$G$9:$G$255)</f>
        <v>0</v>
      </c>
      <c r="X127" s="111">
        <f>SUMIF('D-2 Off Site Habitat Creation'!$F$9:$F$255,'G-2 Habitat groups'!A127,'D-2 Off Site Habitat Creation'!$AA$9:$AA$255)</f>
        <v>0</v>
      </c>
      <c r="Y127" s="111">
        <f>SUMIF('D-3 Off Site Habitat Enhancment'!$S$12:$S$491,'G-2 Habitat groups'!A127,'D-3 Off Site Habitat Enhancment'!$V$12:$V$491)</f>
        <v>0</v>
      </c>
      <c r="Z127" s="111">
        <f>SUMIF('D-3 Off Site Habitat Enhancment'!$S$12:$S$491,'G-2 Habitat groups'!A127,'D-3 Off Site Habitat Enhancment'!$AP$12:$AP$491)</f>
        <v>0</v>
      </c>
      <c r="AA127" s="111">
        <f t="shared" si="92"/>
        <v>0</v>
      </c>
      <c r="AB127" s="111">
        <f t="shared" si="93"/>
        <v>0</v>
      </c>
      <c r="AC127" s="111">
        <f t="shared" si="94"/>
        <v>0</v>
      </c>
      <c r="AD127" s="111">
        <f t="shared" si="95"/>
        <v>0</v>
      </c>
      <c r="AE127" s="111">
        <f t="shared" si="96"/>
        <v>0</v>
      </c>
      <c r="AF127" s="111">
        <f t="shared" si="97"/>
        <v>0</v>
      </c>
      <c r="AU127" s="129" t="s">
        <v>289</v>
      </c>
      <c r="AV127" s="100" t="s">
        <v>166</v>
      </c>
      <c r="AW127" s="111">
        <f t="shared" si="117"/>
        <v>0</v>
      </c>
      <c r="AX127" s="111">
        <f t="shared" si="102"/>
        <v>0</v>
      </c>
      <c r="AY127" s="111">
        <f t="shared" si="118"/>
        <v>0.27479999999999999</v>
      </c>
      <c r="AZ127" s="111">
        <f t="shared" si="119"/>
        <v>0.53036399999999995</v>
      </c>
      <c r="BA127" s="111">
        <f t="shared" si="120"/>
        <v>0.27479999999999999</v>
      </c>
      <c r="BB127" s="111">
        <f t="shared" si="121"/>
        <v>0.53036399999999995</v>
      </c>
      <c r="BC127" s="111">
        <f t="shared" si="122"/>
        <v>0</v>
      </c>
      <c r="BD127" s="111">
        <f t="shared" si="123"/>
        <v>0</v>
      </c>
      <c r="BE127" s="111">
        <f t="shared" si="124"/>
        <v>0.53036399999999995</v>
      </c>
      <c r="BF127" s="111" t="str">
        <f t="shared" si="125"/>
        <v/>
      </c>
    </row>
    <row r="128" spans="1:58" x14ac:dyDescent="0.25">
      <c r="A128" s="129" t="str">
        <f>'G-1 All Habitats'!B127</f>
        <v>Intertidal sediment - Littoral muddy sand</v>
      </c>
      <c r="B128" s="100" t="str">
        <f>'G-1 All Habitats'!F127</f>
        <v>Intertidal sediment</v>
      </c>
      <c r="C128" s="100" t="str">
        <f>'G-1 All Habitats'!K127</f>
        <v>High</v>
      </c>
      <c r="D128" s="100" t="str">
        <f>'G-1 All Habitats'!M127</f>
        <v>Same habitat required</v>
      </c>
      <c r="E128" s="111">
        <f>IF(C128="V.High",SUMIF('A-1 Site Habitat Baseline'!$G$11:$G$258,'G-2 Habitat groups'!A128,'A-1 Site Habitat Baseline'!$S$11:$S$258)+SUMIF('A-1 Site Habitat Baseline'!$G$11:$G$258,'G-2 Habitat groups'!A128,'A-1 Site Habitat Baseline'!$T$11:$T$258),SUMIF('A-1 Site Habitat Baseline'!$G$11:$G$258,'G-2 Habitat groups'!A128,'A-1 Site Habitat Baseline'!$H$11:$H$258))</f>
        <v>0</v>
      </c>
      <c r="F128" s="111">
        <f>SUMIF('A-1 Site Habitat Baseline'!$G$11:$G$258,'G-2 Habitat groups'!A128,'A-1 Site Habitat Baseline'!$Q$11:$Q$258)</f>
        <v>0</v>
      </c>
      <c r="G128" s="111">
        <f>SUMIF('A-1 Site Habitat Baseline'!$G$11:$G$258,'G-2 Habitat groups'!A128,'A-1 Site Habitat Baseline'!$S$11:$S$258)</f>
        <v>0</v>
      </c>
      <c r="H128" s="111">
        <f>SUMIF('A-1 Site Habitat Baseline'!$G$11:$G$258,'G-2 Habitat groups'!A128,'A-1 Site Habitat Baseline'!$U$11:$U$258)</f>
        <v>0</v>
      </c>
      <c r="I128" s="111">
        <f>SUMIF('A-1 Site Habitat Baseline'!$G$11:$G$258,'G-2 Habitat groups'!A128,'A-1 Site Habitat Baseline'!$W$11:$W$258)</f>
        <v>0</v>
      </c>
      <c r="J128" s="111">
        <f>SUMIF('A-1 Site Habitat Baseline'!$G$11:$G$258,'G-2 Habitat groups'!A128,'A-1 Site Habitat Baseline'!$X$11:$X$258)</f>
        <v>0</v>
      </c>
      <c r="K128" s="111">
        <f>SUMIF('A-2 Site Habitat Creation'!$F$11:$F$256,'G-2 Habitat groups'!A128,'A-2 Site Habitat Creation'!$G$11:$G$256)</f>
        <v>0</v>
      </c>
      <c r="L128" s="111">
        <f>SUMIF('A-2 Site Habitat Creation'!$F$11:$F$256,'G-2 Habitat groups'!A128,'A-2 Site Habitat Creation'!$Y$11:$Y$256)</f>
        <v>0</v>
      </c>
      <c r="M128" s="111">
        <f>SUMIF('A-3 Site Habitat Enhancement'!$S$12:$S$257,'G-2 Habitat groups'!A128,'A-3 Site Habitat Enhancement'!$V$12:$V$257)</f>
        <v>0</v>
      </c>
      <c r="N128" s="111">
        <f>SUMIF('A-3 Site Habitat Enhancement'!$S$12:$S$257,'G-2 Habitat groups'!A128,'A-3 Site Habitat Enhancement'!$AN$12:$AN$257)</f>
        <v>0</v>
      </c>
      <c r="O128" s="111">
        <f t="shared" si="88"/>
        <v>0</v>
      </c>
      <c r="P128" s="111">
        <f t="shared" si="89"/>
        <v>0</v>
      </c>
      <c r="Q128" s="111">
        <f t="shared" si="90"/>
        <v>0</v>
      </c>
      <c r="R128" s="111">
        <f t="shared" si="91"/>
        <v>0</v>
      </c>
      <c r="S128" s="111">
        <f>IF(C128="V.High",SUMIF('D-1 Off Site Habitat Baseline'!$G$11:$G$258,'G-2 Habitat groups'!A128,'D-1 Off Site Habitat Baseline'!$S$11:$S$258)+SUMIF('D-1 Off Site Habitat Baseline'!$G$11:$G$258,'G-2 Habitat groups'!A128,'D-1 Off Site Habitat Baseline'!$T$11:$T$258),SUMIF('D-1 Off Site Habitat Baseline'!$G$11:$G$258,'G-2 Habitat groups'!A128,'D-1 Off Site Habitat Baseline'!$H$11:$H$258))</f>
        <v>0</v>
      </c>
      <c r="T128" s="111">
        <f>SUMIF('D-1 Off Site Habitat Baseline'!$G$11:$G$258,'G-2 Habitat groups'!A128,'D-1 Off Site Habitat Baseline'!$Q$11:$Q$258)</f>
        <v>0</v>
      </c>
      <c r="U128" s="513">
        <f>SUMIF('D-1 Off Site Habitat Baseline'!$G$11:$G$258,'G-2 Habitat groups'!A128,'D-1 Off Site Habitat Baseline'!$S$11:$S$258)</f>
        <v>0</v>
      </c>
      <c r="V128" s="111">
        <f>SUMIF('D-1 Off Site Habitat Baseline'!$G$11:$G$258,'G-2 Habitat groups'!A128,'D-1 Off Site Habitat Baseline'!$U$11:$U$258)</f>
        <v>0</v>
      </c>
      <c r="W128" s="111">
        <f>SUMIF('D-2 Off Site Habitat Creation'!$F$9:$F$255,'G-2 Habitat groups'!A128,'D-2 Off Site Habitat Creation'!$G$9:$G$255)</f>
        <v>0</v>
      </c>
      <c r="X128" s="111">
        <f>SUMIF('D-2 Off Site Habitat Creation'!$F$9:$F$255,'G-2 Habitat groups'!A128,'D-2 Off Site Habitat Creation'!$AA$9:$AA$255)</f>
        <v>0</v>
      </c>
      <c r="Y128" s="111">
        <f>SUMIF('D-3 Off Site Habitat Enhancment'!$S$12:$S$491,'G-2 Habitat groups'!A128,'D-3 Off Site Habitat Enhancment'!$V$12:$V$491)</f>
        <v>0</v>
      </c>
      <c r="Z128" s="111">
        <f>SUMIF('D-3 Off Site Habitat Enhancment'!$S$12:$S$491,'G-2 Habitat groups'!A128,'D-3 Off Site Habitat Enhancment'!$AP$12:$AP$491)</f>
        <v>0</v>
      </c>
      <c r="AA128" s="111">
        <f t="shared" si="92"/>
        <v>0</v>
      </c>
      <c r="AB128" s="111">
        <f t="shared" si="93"/>
        <v>0</v>
      </c>
      <c r="AC128" s="111">
        <f t="shared" si="94"/>
        <v>0</v>
      </c>
      <c r="AD128" s="111">
        <f t="shared" si="95"/>
        <v>0</v>
      </c>
      <c r="AE128" s="111">
        <f t="shared" si="96"/>
        <v>0</v>
      </c>
      <c r="AF128" s="111">
        <f t="shared" si="97"/>
        <v>0</v>
      </c>
      <c r="AU128" s="129" t="s">
        <v>294</v>
      </c>
      <c r="AV128" s="100" t="s">
        <v>166</v>
      </c>
      <c r="AW128" s="111">
        <f t="shared" si="117"/>
        <v>1.7100000000000001E-2</v>
      </c>
      <c r="AX128" s="111">
        <f t="shared" si="102"/>
        <v>3.4200000000000001E-2</v>
      </c>
      <c r="AY128" s="111">
        <f t="shared" si="118"/>
        <v>0</v>
      </c>
      <c r="AZ128" s="111">
        <f t="shared" si="119"/>
        <v>0</v>
      </c>
      <c r="BA128" s="111">
        <f t="shared" si="120"/>
        <v>-1.7100000000000001E-2</v>
      </c>
      <c r="BB128" s="111">
        <f t="shared" si="121"/>
        <v>-3.4200000000000001E-2</v>
      </c>
      <c r="BC128" s="111">
        <f t="shared" si="122"/>
        <v>0</v>
      </c>
      <c r="BD128" s="111">
        <f t="shared" si="123"/>
        <v>0</v>
      </c>
      <c r="BE128" s="111">
        <f t="shared" si="124"/>
        <v>-3.4200000000000001E-2</v>
      </c>
      <c r="BF128" s="111">
        <f t="shared" si="125"/>
        <v>-3.4200000000000001E-2</v>
      </c>
    </row>
    <row r="129" spans="1:58" x14ac:dyDescent="0.25">
      <c r="A129" s="129" t="str">
        <f>'G-1 All Habitats'!B128</f>
        <v>Intertidal Hard Structures - Artificial hard structures</v>
      </c>
      <c r="B129" s="100" t="str">
        <f>'G-1 All Habitats'!F128</f>
        <v>Intertidal Hard Structures</v>
      </c>
      <c r="C129" s="100" t="str">
        <f>'G-1 All Habitats'!K128</f>
        <v>Low</v>
      </c>
      <c r="D129" s="100" t="str">
        <f>'G-1 All Habitats'!M128</f>
        <v>Same distinctiveness or better habitat required</v>
      </c>
      <c r="E129" s="111">
        <f>IF(C129="V.High",SUMIF('A-1 Site Habitat Baseline'!$G$11:$G$258,'G-2 Habitat groups'!A129,'A-1 Site Habitat Baseline'!$S$11:$S$258)+SUMIF('A-1 Site Habitat Baseline'!$G$11:$G$258,'G-2 Habitat groups'!A129,'A-1 Site Habitat Baseline'!$T$11:$T$258),SUMIF('A-1 Site Habitat Baseline'!$G$11:$G$258,'G-2 Habitat groups'!A129,'A-1 Site Habitat Baseline'!$H$11:$H$258))</f>
        <v>0</v>
      </c>
      <c r="F129" s="111">
        <f>SUMIF('A-1 Site Habitat Baseline'!$G$11:$G$258,'G-2 Habitat groups'!A129,'A-1 Site Habitat Baseline'!$Q$11:$Q$258)</f>
        <v>0</v>
      </c>
      <c r="G129" s="111">
        <f>SUMIF('A-1 Site Habitat Baseline'!$G$11:$G$258,'G-2 Habitat groups'!A129,'A-1 Site Habitat Baseline'!$S$11:$S$258)</f>
        <v>0</v>
      </c>
      <c r="H129" s="111">
        <f>SUMIF('A-1 Site Habitat Baseline'!$G$11:$G$258,'G-2 Habitat groups'!A129,'A-1 Site Habitat Baseline'!$U$11:$U$258)</f>
        <v>0</v>
      </c>
      <c r="I129" s="111">
        <f>SUMIF('A-1 Site Habitat Baseline'!$G$11:$G$258,'G-2 Habitat groups'!A129,'A-1 Site Habitat Baseline'!$W$11:$W$258)</f>
        <v>0</v>
      </c>
      <c r="J129" s="111">
        <f>SUMIF('A-1 Site Habitat Baseline'!$G$11:$G$258,'G-2 Habitat groups'!A129,'A-1 Site Habitat Baseline'!$X$11:$X$258)</f>
        <v>0</v>
      </c>
      <c r="K129" s="111">
        <f>SUMIF('A-2 Site Habitat Creation'!$F$11:$F$256,'G-2 Habitat groups'!A129,'A-2 Site Habitat Creation'!$G$11:$G$256)</f>
        <v>0</v>
      </c>
      <c r="L129" s="111">
        <f>SUMIF('A-2 Site Habitat Creation'!$F$11:$F$256,'G-2 Habitat groups'!A129,'A-2 Site Habitat Creation'!$Y$11:$Y$256)</f>
        <v>0</v>
      </c>
      <c r="M129" s="111">
        <f>SUMIF('A-3 Site Habitat Enhancement'!$S$12:$S$257,'G-2 Habitat groups'!A129,'A-3 Site Habitat Enhancement'!$V$12:$V$257)</f>
        <v>0</v>
      </c>
      <c r="N129" s="111">
        <f>SUMIF('A-3 Site Habitat Enhancement'!$S$12:$S$257,'G-2 Habitat groups'!A129,'A-3 Site Habitat Enhancement'!$AN$12:$AN$257)</f>
        <v>0</v>
      </c>
      <c r="O129" s="111">
        <f t="shared" si="88"/>
        <v>0</v>
      </c>
      <c r="P129" s="111">
        <f t="shared" si="89"/>
        <v>0</v>
      </c>
      <c r="Q129" s="111">
        <f t="shared" si="90"/>
        <v>0</v>
      </c>
      <c r="R129" s="111">
        <f t="shared" si="91"/>
        <v>0</v>
      </c>
      <c r="S129" s="111">
        <f>IF(C129="V.High",SUMIF('D-1 Off Site Habitat Baseline'!$G$11:$G$258,'G-2 Habitat groups'!A129,'D-1 Off Site Habitat Baseline'!$S$11:$S$258)+SUMIF('D-1 Off Site Habitat Baseline'!$G$11:$G$258,'G-2 Habitat groups'!A129,'D-1 Off Site Habitat Baseline'!$T$11:$T$258),SUMIF('D-1 Off Site Habitat Baseline'!$G$11:$G$258,'G-2 Habitat groups'!A129,'D-1 Off Site Habitat Baseline'!$H$11:$H$258))</f>
        <v>0</v>
      </c>
      <c r="T129" s="111">
        <f>SUMIF('D-1 Off Site Habitat Baseline'!$G$11:$G$258,'G-2 Habitat groups'!A129,'D-1 Off Site Habitat Baseline'!$Q$11:$Q$258)</f>
        <v>0</v>
      </c>
      <c r="U129" s="513">
        <f>SUMIF('D-1 Off Site Habitat Baseline'!$G$11:$G$258,'G-2 Habitat groups'!A129,'D-1 Off Site Habitat Baseline'!$S$11:$S$258)</f>
        <v>0</v>
      </c>
      <c r="V129" s="111">
        <f>SUMIF('D-1 Off Site Habitat Baseline'!$G$11:$G$258,'G-2 Habitat groups'!A129,'D-1 Off Site Habitat Baseline'!$U$11:$U$258)</f>
        <v>0</v>
      </c>
      <c r="W129" s="111">
        <f>SUMIF('D-2 Off Site Habitat Creation'!$F$9:$F$255,'G-2 Habitat groups'!A129,'D-2 Off Site Habitat Creation'!$G$9:$G$255)</f>
        <v>0</v>
      </c>
      <c r="X129" s="111">
        <f>SUMIF('D-2 Off Site Habitat Creation'!$F$9:$F$255,'G-2 Habitat groups'!A129,'D-2 Off Site Habitat Creation'!$AA$9:$AA$255)</f>
        <v>0</v>
      </c>
      <c r="Y129" s="111">
        <f>SUMIF('D-3 Off Site Habitat Enhancment'!$S$12:$S$491,'G-2 Habitat groups'!A129,'D-3 Off Site Habitat Enhancment'!$V$12:$V$491)</f>
        <v>0</v>
      </c>
      <c r="Z129" s="111">
        <f>SUMIF('D-3 Off Site Habitat Enhancment'!$S$12:$S$491,'G-2 Habitat groups'!A129,'D-3 Off Site Habitat Enhancment'!$AP$12:$AP$491)</f>
        <v>0</v>
      </c>
      <c r="AA129" s="111">
        <f t="shared" si="92"/>
        <v>0</v>
      </c>
      <c r="AB129" s="111">
        <f t="shared" si="93"/>
        <v>0</v>
      </c>
      <c r="AC129" s="111">
        <f t="shared" si="94"/>
        <v>0</v>
      </c>
      <c r="AD129" s="111">
        <f t="shared" si="95"/>
        <v>0</v>
      </c>
      <c r="AE129" s="111">
        <f t="shared" si="96"/>
        <v>0</v>
      </c>
      <c r="AF129" s="111">
        <f t="shared" si="97"/>
        <v>0</v>
      </c>
      <c r="AU129" s="129" t="s">
        <v>297</v>
      </c>
      <c r="AV129" s="100" t="s">
        <v>166</v>
      </c>
      <c r="AW129" s="111">
        <f t="shared" si="117"/>
        <v>0</v>
      </c>
      <c r="AX129" s="111">
        <f t="shared" si="102"/>
        <v>0</v>
      </c>
      <c r="AY129" s="111">
        <f t="shared" si="118"/>
        <v>0</v>
      </c>
      <c r="AZ129" s="111">
        <f t="shared" si="119"/>
        <v>0</v>
      </c>
      <c r="BA129" s="111">
        <f t="shared" si="120"/>
        <v>0</v>
      </c>
      <c r="BB129" s="111">
        <f t="shared" si="121"/>
        <v>0</v>
      </c>
      <c r="BC129" s="111">
        <f t="shared" si="122"/>
        <v>0</v>
      </c>
      <c r="BD129" s="111">
        <f t="shared" si="123"/>
        <v>0</v>
      </c>
      <c r="BE129" s="111">
        <f t="shared" si="124"/>
        <v>0</v>
      </c>
      <c r="BF129" s="111" t="str">
        <f t="shared" si="125"/>
        <v/>
      </c>
    </row>
    <row r="130" spans="1:58" x14ac:dyDescent="0.25">
      <c r="A130" s="129" t="str">
        <f>'G-1 All Habitats'!B129</f>
        <v>Intertidal Hard Structures - Artificial features of hard structures</v>
      </c>
      <c r="B130" s="100" t="str">
        <f>'G-1 All Habitats'!F129</f>
        <v>Intertidal Hard Structures</v>
      </c>
      <c r="C130" s="100" t="str">
        <f>'G-1 All Habitats'!K129</f>
        <v>Low</v>
      </c>
      <c r="D130" s="100" t="str">
        <f>'G-1 All Habitats'!M129</f>
        <v>Same distinctiveness or better habitat required</v>
      </c>
      <c r="E130" s="111">
        <f>IF(C130="V.High",SUMIF('A-1 Site Habitat Baseline'!$G$11:$G$258,'G-2 Habitat groups'!A130,'A-1 Site Habitat Baseline'!$S$11:$S$258)+SUMIF('A-1 Site Habitat Baseline'!$G$11:$G$258,'G-2 Habitat groups'!A130,'A-1 Site Habitat Baseline'!$T$11:$T$258),SUMIF('A-1 Site Habitat Baseline'!$G$11:$G$258,'G-2 Habitat groups'!A130,'A-1 Site Habitat Baseline'!$H$11:$H$258))</f>
        <v>0</v>
      </c>
      <c r="F130" s="111">
        <f>SUMIF('A-1 Site Habitat Baseline'!$G$11:$G$258,'G-2 Habitat groups'!A130,'A-1 Site Habitat Baseline'!$Q$11:$Q$258)</f>
        <v>0</v>
      </c>
      <c r="G130" s="111">
        <f>SUMIF('A-1 Site Habitat Baseline'!$G$11:$G$258,'G-2 Habitat groups'!A130,'A-1 Site Habitat Baseline'!$S$11:$S$258)</f>
        <v>0</v>
      </c>
      <c r="H130" s="111">
        <f>SUMIF('A-1 Site Habitat Baseline'!$G$11:$G$258,'G-2 Habitat groups'!A130,'A-1 Site Habitat Baseline'!$U$11:$U$258)</f>
        <v>0</v>
      </c>
      <c r="I130" s="111">
        <f>SUMIF('A-1 Site Habitat Baseline'!$G$11:$G$258,'G-2 Habitat groups'!A130,'A-1 Site Habitat Baseline'!$W$11:$W$258)</f>
        <v>0</v>
      </c>
      <c r="J130" s="111">
        <f>SUMIF('A-1 Site Habitat Baseline'!$G$11:$G$258,'G-2 Habitat groups'!A130,'A-1 Site Habitat Baseline'!$X$11:$X$258)</f>
        <v>0</v>
      </c>
      <c r="K130" s="111">
        <f>SUMIF('A-2 Site Habitat Creation'!$F$11:$F$256,'G-2 Habitat groups'!A130,'A-2 Site Habitat Creation'!$G$11:$G$256)</f>
        <v>0</v>
      </c>
      <c r="L130" s="111">
        <f>SUMIF('A-2 Site Habitat Creation'!$F$11:$F$256,'G-2 Habitat groups'!A130,'A-2 Site Habitat Creation'!$Y$11:$Y$256)</f>
        <v>0</v>
      </c>
      <c r="M130" s="111">
        <f>SUMIF('A-3 Site Habitat Enhancement'!$S$12:$S$257,'G-2 Habitat groups'!A130,'A-3 Site Habitat Enhancement'!$V$12:$V$257)</f>
        <v>0</v>
      </c>
      <c r="N130" s="111">
        <f>SUMIF('A-3 Site Habitat Enhancement'!$S$12:$S$257,'G-2 Habitat groups'!A130,'A-3 Site Habitat Enhancement'!$AN$12:$AN$257)</f>
        <v>0</v>
      </c>
      <c r="O130" s="111">
        <f t="shared" si="88"/>
        <v>0</v>
      </c>
      <c r="P130" s="111">
        <f t="shared" si="89"/>
        <v>0</v>
      </c>
      <c r="Q130" s="111">
        <f t="shared" si="90"/>
        <v>0</v>
      </c>
      <c r="R130" s="111">
        <f t="shared" si="91"/>
        <v>0</v>
      </c>
      <c r="S130" s="111">
        <f>IF(C130="V.High",SUMIF('D-1 Off Site Habitat Baseline'!$G$11:$G$258,'G-2 Habitat groups'!A130,'D-1 Off Site Habitat Baseline'!$S$11:$S$258)+SUMIF('D-1 Off Site Habitat Baseline'!$G$11:$G$258,'G-2 Habitat groups'!A130,'D-1 Off Site Habitat Baseline'!$T$11:$T$258),SUMIF('D-1 Off Site Habitat Baseline'!$G$11:$G$258,'G-2 Habitat groups'!A130,'D-1 Off Site Habitat Baseline'!$H$11:$H$258))</f>
        <v>0</v>
      </c>
      <c r="T130" s="111">
        <f>SUMIF('D-1 Off Site Habitat Baseline'!$G$11:$G$258,'G-2 Habitat groups'!A130,'D-1 Off Site Habitat Baseline'!$Q$11:$Q$258)</f>
        <v>0</v>
      </c>
      <c r="U130" s="513">
        <f>SUMIF('D-1 Off Site Habitat Baseline'!$G$11:$G$258,'G-2 Habitat groups'!A130,'D-1 Off Site Habitat Baseline'!$S$11:$S$258)</f>
        <v>0</v>
      </c>
      <c r="V130" s="111">
        <f>SUMIF('D-1 Off Site Habitat Baseline'!$G$11:$G$258,'G-2 Habitat groups'!A130,'D-1 Off Site Habitat Baseline'!$U$11:$U$258)</f>
        <v>0</v>
      </c>
      <c r="W130" s="111">
        <f>SUMIF('D-2 Off Site Habitat Creation'!$F$9:$F$255,'G-2 Habitat groups'!A130,'D-2 Off Site Habitat Creation'!$G$9:$G$255)</f>
        <v>0</v>
      </c>
      <c r="X130" s="111">
        <f>SUMIF('D-2 Off Site Habitat Creation'!$F$9:$F$255,'G-2 Habitat groups'!A130,'D-2 Off Site Habitat Creation'!$AA$9:$AA$255)</f>
        <v>0</v>
      </c>
      <c r="Y130" s="111">
        <f>SUMIF('D-3 Off Site Habitat Enhancment'!$S$12:$S$491,'G-2 Habitat groups'!A130,'D-3 Off Site Habitat Enhancment'!$V$12:$V$491)</f>
        <v>0</v>
      </c>
      <c r="Z130" s="111">
        <f>SUMIF('D-3 Off Site Habitat Enhancment'!$S$12:$S$491,'G-2 Habitat groups'!A130,'D-3 Off Site Habitat Enhancment'!$AP$12:$AP$491)</f>
        <v>0</v>
      </c>
      <c r="AA130" s="111">
        <f t="shared" si="92"/>
        <v>0</v>
      </c>
      <c r="AB130" s="111">
        <f t="shared" si="93"/>
        <v>0</v>
      </c>
      <c r="AC130" s="111">
        <f t="shared" si="94"/>
        <v>0</v>
      </c>
      <c r="AD130" s="111">
        <f t="shared" si="95"/>
        <v>0</v>
      </c>
      <c r="AE130" s="111">
        <f t="shared" si="96"/>
        <v>0</v>
      </c>
      <c r="AF130" s="111">
        <f t="shared" si="97"/>
        <v>0</v>
      </c>
      <c r="AU130" s="129" t="s">
        <v>288</v>
      </c>
      <c r="AV130" s="100" t="s">
        <v>166</v>
      </c>
      <c r="AW130" s="111">
        <f t="shared" si="117"/>
        <v>0</v>
      </c>
      <c r="AX130" s="111">
        <f t="shared" si="102"/>
        <v>0</v>
      </c>
      <c r="AY130" s="111">
        <f t="shared" si="118"/>
        <v>0</v>
      </c>
      <c r="AZ130" s="111">
        <f t="shared" si="119"/>
        <v>0</v>
      </c>
      <c r="BA130" s="111">
        <f t="shared" si="120"/>
        <v>0</v>
      </c>
      <c r="BB130" s="111">
        <f t="shared" si="121"/>
        <v>0</v>
      </c>
      <c r="BC130" s="111">
        <f t="shared" si="122"/>
        <v>0</v>
      </c>
      <c r="BD130" s="111">
        <f t="shared" si="123"/>
        <v>0</v>
      </c>
      <c r="BE130" s="111">
        <f t="shared" si="124"/>
        <v>0</v>
      </c>
      <c r="BF130" s="111" t="str">
        <f t="shared" si="125"/>
        <v/>
      </c>
    </row>
    <row r="131" spans="1:58" x14ac:dyDescent="0.25">
      <c r="A131" s="129" t="str">
        <f>'G-1 All Habitats'!B130</f>
        <v>Intertidal Hard Structures - Artificial hard structures with Integrated Greening of Grey Infrastructure (IGGI)</v>
      </c>
      <c r="B131" s="100" t="str">
        <f>'G-1 All Habitats'!F130</f>
        <v>Intertidal Hard Structures</v>
      </c>
      <c r="C131" s="100" t="str">
        <f>'G-1 All Habitats'!K130</f>
        <v>Medium</v>
      </c>
      <c r="D131" s="100" t="str">
        <f>'G-1 All Habitats'!M130</f>
        <v>Same broad habitat or a higher distinctiveness habitat required</v>
      </c>
      <c r="E131" s="111">
        <f>IF(C131="V.High",SUMIF('A-1 Site Habitat Baseline'!$G$11:$G$258,'G-2 Habitat groups'!A131,'A-1 Site Habitat Baseline'!$S$11:$S$258)+SUMIF('A-1 Site Habitat Baseline'!$G$11:$G$258,'G-2 Habitat groups'!A131,'A-1 Site Habitat Baseline'!$T$11:$T$258),SUMIF('A-1 Site Habitat Baseline'!$G$11:$G$258,'G-2 Habitat groups'!A131,'A-1 Site Habitat Baseline'!$H$11:$H$258))</f>
        <v>0</v>
      </c>
      <c r="F131" s="111">
        <f>SUMIF('A-1 Site Habitat Baseline'!$G$11:$G$258,'G-2 Habitat groups'!A131,'A-1 Site Habitat Baseline'!$Q$11:$Q$258)</f>
        <v>0</v>
      </c>
      <c r="G131" s="111">
        <f>SUMIF('A-1 Site Habitat Baseline'!$G$11:$G$258,'G-2 Habitat groups'!A131,'A-1 Site Habitat Baseline'!$S$11:$S$258)</f>
        <v>0</v>
      </c>
      <c r="H131" s="111">
        <f>SUMIF('A-1 Site Habitat Baseline'!$G$11:$G$258,'G-2 Habitat groups'!A131,'A-1 Site Habitat Baseline'!$U$11:$U$258)</f>
        <v>0</v>
      </c>
      <c r="I131" s="111">
        <f>SUMIF('A-1 Site Habitat Baseline'!$G$11:$G$258,'G-2 Habitat groups'!A131,'A-1 Site Habitat Baseline'!$W$11:$W$258)</f>
        <v>0</v>
      </c>
      <c r="J131" s="111">
        <f>SUMIF('A-1 Site Habitat Baseline'!$G$11:$G$258,'G-2 Habitat groups'!A131,'A-1 Site Habitat Baseline'!$X$11:$X$258)</f>
        <v>0</v>
      </c>
      <c r="K131" s="111">
        <f>SUMIF('A-2 Site Habitat Creation'!$F$11:$F$256,'G-2 Habitat groups'!A131,'A-2 Site Habitat Creation'!$G$11:$G$256)</f>
        <v>0</v>
      </c>
      <c r="L131" s="111">
        <f>SUMIF('A-2 Site Habitat Creation'!$F$11:$F$256,'G-2 Habitat groups'!A131,'A-2 Site Habitat Creation'!$Y$11:$Y$256)</f>
        <v>0</v>
      </c>
      <c r="M131" s="111">
        <f>SUMIF('A-3 Site Habitat Enhancement'!$S$12:$S$257,'G-2 Habitat groups'!A131,'A-3 Site Habitat Enhancement'!$V$12:$V$257)</f>
        <v>0</v>
      </c>
      <c r="N131" s="111">
        <f>SUMIF('A-3 Site Habitat Enhancement'!$S$12:$S$257,'G-2 Habitat groups'!A131,'A-3 Site Habitat Enhancement'!$AN$12:$AN$257)</f>
        <v>0</v>
      </c>
      <c r="O131" s="111">
        <f t="shared" si="88"/>
        <v>0</v>
      </c>
      <c r="P131" s="111">
        <f t="shared" si="89"/>
        <v>0</v>
      </c>
      <c r="Q131" s="111">
        <f t="shared" si="90"/>
        <v>0</v>
      </c>
      <c r="R131" s="111">
        <f t="shared" si="91"/>
        <v>0</v>
      </c>
      <c r="S131" s="111">
        <f>IF(C131="V.High",SUMIF('D-1 Off Site Habitat Baseline'!$G$11:$G$258,'G-2 Habitat groups'!A131,'D-1 Off Site Habitat Baseline'!$S$11:$S$258)+SUMIF('D-1 Off Site Habitat Baseline'!$G$11:$G$258,'G-2 Habitat groups'!A131,'D-1 Off Site Habitat Baseline'!$T$11:$T$258),SUMIF('D-1 Off Site Habitat Baseline'!$G$11:$G$258,'G-2 Habitat groups'!A131,'D-1 Off Site Habitat Baseline'!$H$11:$H$258))</f>
        <v>0</v>
      </c>
      <c r="T131" s="111">
        <f>SUMIF('D-1 Off Site Habitat Baseline'!$G$11:$G$258,'G-2 Habitat groups'!A131,'D-1 Off Site Habitat Baseline'!$Q$11:$Q$258)</f>
        <v>0</v>
      </c>
      <c r="U131" s="513">
        <f>SUMIF('D-1 Off Site Habitat Baseline'!$G$11:$G$258,'G-2 Habitat groups'!A131,'D-1 Off Site Habitat Baseline'!$S$11:$S$258)</f>
        <v>0</v>
      </c>
      <c r="V131" s="111">
        <f>SUMIF('D-1 Off Site Habitat Baseline'!$G$11:$G$258,'G-2 Habitat groups'!A131,'D-1 Off Site Habitat Baseline'!$U$11:$U$258)</f>
        <v>0</v>
      </c>
      <c r="W131" s="111">
        <f>SUMIF('D-2 Off Site Habitat Creation'!$F$9:$F$255,'G-2 Habitat groups'!A131,'D-2 Off Site Habitat Creation'!$G$9:$G$255)</f>
        <v>0</v>
      </c>
      <c r="X131" s="111">
        <f>SUMIF('D-2 Off Site Habitat Creation'!$F$9:$F$255,'G-2 Habitat groups'!A131,'D-2 Off Site Habitat Creation'!$AA$9:$AA$255)</f>
        <v>0</v>
      </c>
      <c r="Y131" s="111">
        <f>SUMIF('D-3 Off Site Habitat Enhancment'!$S$12:$S$491,'G-2 Habitat groups'!A131,'D-3 Off Site Habitat Enhancment'!$V$12:$V$491)</f>
        <v>0</v>
      </c>
      <c r="Z131" s="111">
        <f>SUMIF('D-3 Off Site Habitat Enhancment'!$S$12:$S$491,'G-2 Habitat groups'!A131,'D-3 Off Site Habitat Enhancment'!$AP$12:$AP$491)</f>
        <v>0</v>
      </c>
      <c r="AA131" s="111">
        <f t="shared" si="92"/>
        <v>0</v>
      </c>
      <c r="AB131" s="111">
        <f t="shared" si="93"/>
        <v>0</v>
      </c>
      <c r="AC131" s="111">
        <f t="shared" si="94"/>
        <v>0</v>
      </c>
      <c r="AD131" s="111">
        <f t="shared" si="95"/>
        <v>0</v>
      </c>
      <c r="AE131" s="111">
        <f t="shared" si="96"/>
        <v>0</v>
      </c>
      <c r="AF131" s="111">
        <f t="shared" si="97"/>
        <v>0</v>
      </c>
      <c r="AU131" s="129" t="s">
        <v>1158</v>
      </c>
      <c r="AV131" s="100" t="s">
        <v>166</v>
      </c>
      <c r="AW131" s="111">
        <f t="shared" si="117"/>
        <v>0.12429999999999999</v>
      </c>
      <c r="AX131" s="111">
        <f t="shared" si="102"/>
        <v>0.14119999999999999</v>
      </c>
      <c r="AY131" s="111">
        <f t="shared" si="118"/>
        <v>0.19569999999999999</v>
      </c>
      <c r="AZ131" s="111">
        <f t="shared" si="119"/>
        <v>0.65488047462855992</v>
      </c>
      <c r="BA131" s="111">
        <f t="shared" si="120"/>
        <v>7.1399999999999991E-2</v>
      </c>
      <c r="BB131" s="111">
        <f t="shared" si="121"/>
        <v>0.15768047462855994</v>
      </c>
      <c r="BC131" s="111">
        <f t="shared" si="122"/>
        <v>0</v>
      </c>
      <c r="BD131" s="111">
        <f t="shared" si="123"/>
        <v>0</v>
      </c>
      <c r="BE131" s="111">
        <f t="shared" si="124"/>
        <v>0.15768047462855994</v>
      </c>
      <c r="BF131" s="111" t="str">
        <f t="shared" si="125"/>
        <v/>
      </c>
    </row>
    <row r="132" spans="1:58" x14ac:dyDescent="0.25">
      <c r="A132" s="129">
        <f>'G-1 All Habitats'!B137</f>
        <v>0</v>
      </c>
      <c r="B132" s="100">
        <f>'G-1 All Habitats'!F131</f>
        <v>0</v>
      </c>
      <c r="C132" s="100">
        <f>'G-1 All Habitats'!K131</f>
        <v>0</v>
      </c>
      <c r="D132" s="100">
        <f>'G-1 All Habitats'!M131</f>
        <v>0</v>
      </c>
      <c r="E132" s="111">
        <f>IF(C132="V.High",SUMIF('A-1 Site Habitat Baseline'!$G$11:$G$258,'G-2 Habitat groups'!A132,'A-1 Site Habitat Baseline'!$S$11:$S$258)+SUMIF('A-1 Site Habitat Baseline'!$G$11:$G$258,'G-2 Habitat groups'!A132,'A-1 Site Habitat Baseline'!$T$11:$T$258),SUMIF('A-1 Site Habitat Baseline'!$G$11:$G$258,'G-2 Habitat groups'!A132,'A-1 Site Habitat Baseline'!$H$11:$H$258))</f>
        <v>0</v>
      </c>
      <c r="F132" s="111">
        <f>SUMIF('A-1 Site Habitat Baseline'!$G$11:$G$258,'G-2 Habitat groups'!A132,'A-1 Site Habitat Baseline'!$Q$11:$Q$258)</f>
        <v>0</v>
      </c>
      <c r="G132" s="111">
        <f>SUMIF('A-1 Site Habitat Baseline'!$G$11:$G$258,'G-2 Habitat groups'!A132,'A-1 Site Habitat Baseline'!$S$11:$S$258)</f>
        <v>0</v>
      </c>
      <c r="H132" s="111">
        <f>SUMIF('A-1 Site Habitat Baseline'!$G$11:$G$258,'G-2 Habitat groups'!A132,'A-1 Site Habitat Baseline'!$U$11:$U$258)</f>
        <v>0</v>
      </c>
      <c r="I132" s="111">
        <f>SUMIF('A-1 Site Habitat Baseline'!$G$11:$G$258,'G-2 Habitat groups'!A132,'A-1 Site Habitat Baseline'!$W$11:$W$258)</f>
        <v>0</v>
      </c>
      <c r="J132" s="111">
        <f>SUMIF('A-1 Site Habitat Baseline'!$G$11:$G$258,'G-2 Habitat groups'!A132,'A-1 Site Habitat Baseline'!$X$11:$X$258)</f>
        <v>0</v>
      </c>
      <c r="K132" s="111">
        <f>SUMIF('A-2 Site Habitat Creation'!$F$11:$F$256,'G-2 Habitat groups'!A132,'A-2 Site Habitat Creation'!$G$11:$G$256)</f>
        <v>0</v>
      </c>
      <c r="L132" s="111">
        <f>SUMIF('A-2 Site Habitat Creation'!$F$11:$F$256,'G-2 Habitat groups'!A132,'A-2 Site Habitat Creation'!$Y$11:$Y$256)</f>
        <v>0</v>
      </c>
      <c r="M132" s="111">
        <f>SUMIF('A-3 Site Habitat Enhancement'!$S$12:$S$257,'G-2 Habitat groups'!A132,'A-3 Site Habitat Enhancement'!$V$12:$V$257)</f>
        <v>0</v>
      </c>
      <c r="N132" s="111">
        <f>SUMIF('A-3 Site Habitat Enhancement'!$S$12:$S$257,'G-2 Habitat groups'!A132,'A-3 Site Habitat Enhancement'!$AN$12:$AN$257)</f>
        <v>0</v>
      </c>
      <c r="O132" s="111">
        <f t="shared" ref="O132:O137" si="126">G132+K132+M132</f>
        <v>0</v>
      </c>
      <c r="P132" s="111">
        <f t="shared" ref="P132:P137" si="127">H132+L132+N132</f>
        <v>0</v>
      </c>
      <c r="Q132" s="111">
        <f t="shared" ref="Q132:Q137" si="128">O132-E132</f>
        <v>0</v>
      </c>
      <c r="R132" s="111">
        <f t="shared" ref="R132:R137" si="129">P132-F132</f>
        <v>0</v>
      </c>
      <c r="S132" s="111">
        <f>IF(C132="V.High",SUMIF('D-1 Off Site Habitat Baseline'!$G$11:$G$258,'G-2 Habitat groups'!A132,'D-1 Off Site Habitat Baseline'!$S$11:$S$258)+SUMIF('D-1 Off Site Habitat Baseline'!$G$11:$G$258,'G-2 Habitat groups'!A132,'D-1 Off Site Habitat Baseline'!$T$11:$T$258),SUMIF('D-1 Off Site Habitat Baseline'!$G$11:$G$258,'G-2 Habitat groups'!A132,'D-1 Off Site Habitat Baseline'!$H$11:$H$258))</f>
        <v>0</v>
      </c>
      <c r="T132" s="111">
        <f>SUMIF('D-1 Off Site Habitat Baseline'!$G$11:$G$258,'G-2 Habitat groups'!A132,'D-1 Off Site Habitat Baseline'!$Q$11:$Q$258)</f>
        <v>0</v>
      </c>
      <c r="U132" s="513">
        <f>SUMIF('D-1 Off Site Habitat Baseline'!$G$11:$G$258,'G-2 Habitat groups'!A132,'D-1 Off Site Habitat Baseline'!$S$11:$S$258)</f>
        <v>0</v>
      </c>
      <c r="V132" s="111">
        <f>SUMIF('D-1 Off Site Habitat Baseline'!$G$11:$G$258,'G-2 Habitat groups'!A132,'D-1 Off Site Habitat Baseline'!$U$11:$U$258)</f>
        <v>0</v>
      </c>
      <c r="W132" s="111">
        <f>SUMIF('D-2 Off Site Habitat Creation'!$F$9:$F$255,'G-2 Habitat groups'!A132,'D-2 Off Site Habitat Creation'!$G$9:$G$255)</f>
        <v>0</v>
      </c>
      <c r="X132" s="111">
        <f>SUMIF('D-2 Off Site Habitat Creation'!$F$9:$F$255,'G-2 Habitat groups'!A132,'D-2 Off Site Habitat Creation'!$AA$9:$AA$255)</f>
        <v>0</v>
      </c>
      <c r="Y132" s="111">
        <f>SUMIF('D-3 Off Site Habitat Enhancment'!$S$12:$S$491,'G-2 Habitat groups'!A132,'D-3 Off Site Habitat Enhancment'!$V$12:$V$491)</f>
        <v>0</v>
      </c>
      <c r="Z132" s="111">
        <f>SUMIF('D-3 Off Site Habitat Enhancment'!$S$12:$S$491,'G-2 Habitat groups'!A132,'D-3 Off Site Habitat Enhancment'!$AP$12:$AP$491)</f>
        <v>0</v>
      </c>
      <c r="AA132" s="111">
        <f t="shared" si="92"/>
        <v>0</v>
      </c>
      <c r="AB132" s="111">
        <f t="shared" si="93"/>
        <v>0</v>
      </c>
      <c r="AC132" s="111">
        <f t="shared" ref="AC132:AC137" si="130">AA132-S132</f>
        <v>0</v>
      </c>
      <c r="AD132" s="111">
        <f t="shared" ref="AD132:AD137" si="131">AB132-T132</f>
        <v>0</v>
      </c>
      <c r="AE132" s="111">
        <f t="shared" ref="AE132:AE137" si="132">Q132+AC132</f>
        <v>0</v>
      </c>
      <c r="AF132" s="111">
        <f t="shared" ref="AF132:AF137" si="133">R132+AD132</f>
        <v>0</v>
      </c>
      <c r="AU132" s="129" t="s">
        <v>295</v>
      </c>
      <c r="AV132" s="100" t="s">
        <v>166</v>
      </c>
      <c r="AW132" s="111">
        <f t="shared" si="117"/>
        <v>0</v>
      </c>
      <c r="AX132" s="111">
        <f t="shared" si="102"/>
        <v>0</v>
      </c>
      <c r="AY132" s="111">
        <f t="shared" si="118"/>
        <v>0</v>
      </c>
      <c r="AZ132" s="111">
        <f t="shared" si="119"/>
        <v>0</v>
      </c>
      <c r="BA132" s="111">
        <f t="shared" si="120"/>
        <v>0</v>
      </c>
      <c r="BB132" s="111">
        <f t="shared" si="121"/>
        <v>0</v>
      </c>
      <c r="BC132" s="111">
        <f t="shared" si="122"/>
        <v>0</v>
      </c>
      <c r="BD132" s="111">
        <f t="shared" si="123"/>
        <v>0</v>
      </c>
      <c r="BE132" s="111">
        <f t="shared" si="124"/>
        <v>0</v>
      </c>
      <c r="BF132" s="111" t="str">
        <f t="shared" si="125"/>
        <v/>
      </c>
    </row>
    <row r="133" spans="1:58" x14ac:dyDescent="0.25">
      <c r="A133" s="129">
        <f>'G-1 All Habitats'!B138</f>
        <v>0</v>
      </c>
      <c r="B133" s="100">
        <f>'G-1 All Habitats'!F132</f>
        <v>0</v>
      </c>
      <c r="C133" s="100">
        <f>'G-1 All Habitats'!K132</f>
        <v>0</v>
      </c>
      <c r="D133" s="100">
        <f>'G-1 All Habitats'!M132</f>
        <v>0</v>
      </c>
      <c r="E133" s="111">
        <f>IF(C133="V.High",SUMIF('A-1 Site Habitat Baseline'!$G$11:$G$258,'G-2 Habitat groups'!A133,'A-1 Site Habitat Baseline'!$S$11:$S$258)+SUMIF('A-1 Site Habitat Baseline'!$G$11:$G$258,'G-2 Habitat groups'!A133,'A-1 Site Habitat Baseline'!$T$11:$T$258),SUMIF('A-1 Site Habitat Baseline'!$G$11:$G$258,'G-2 Habitat groups'!A133,'A-1 Site Habitat Baseline'!$H$11:$H$258))</f>
        <v>0</v>
      </c>
      <c r="F133" s="111">
        <f>SUMIF('A-1 Site Habitat Baseline'!$G$11:$G$258,'G-2 Habitat groups'!A133,'A-1 Site Habitat Baseline'!$Q$11:$Q$258)</f>
        <v>0</v>
      </c>
      <c r="G133" s="111">
        <f>SUMIF('A-1 Site Habitat Baseline'!$G$11:$G$258,'G-2 Habitat groups'!A133,'A-1 Site Habitat Baseline'!$S$11:$S$258)</f>
        <v>0</v>
      </c>
      <c r="H133" s="111">
        <f>SUMIF('A-1 Site Habitat Baseline'!$G$11:$G$258,'G-2 Habitat groups'!A133,'A-1 Site Habitat Baseline'!$U$11:$U$258)</f>
        <v>0</v>
      </c>
      <c r="I133" s="111">
        <f>SUMIF('A-1 Site Habitat Baseline'!$G$11:$G$258,'G-2 Habitat groups'!A133,'A-1 Site Habitat Baseline'!$W$11:$W$258)</f>
        <v>0</v>
      </c>
      <c r="J133" s="111">
        <f>SUMIF('A-1 Site Habitat Baseline'!$G$11:$G$258,'G-2 Habitat groups'!A133,'A-1 Site Habitat Baseline'!$X$11:$X$258)</f>
        <v>0</v>
      </c>
      <c r="K133" s="111">
        <f>SUMIF('A-2 Site Habitat Creation'!$F$11:$F$256,'G-2 Habitat groups'!A133,'A-2 Site Habitat Creation'!$G$11:$G$256)</f>
        <v>0</v>
      </c>
      <c r="L133" s="111">
        <f>SUMIF('A-2 Site Habitat Creation'!$F$11:$F$256,'G-2 Habitat groups'!A133,'A-2 Site Habitat Creation'!$Y$11:$Y$256)</f>
        <v>0</v>
      </c>
      <c r="M133" s="111">
        <f>SUMIF('A-3 Site Habitat Enhancement'!$S$12:$S$257,'G-2 Habitat groups'!A133,'A-3 Site Habitat Enhancement'!$V$12:$V$257)</f>
        <v>0</v>
      </c>
      <c r="N133" s="111">
        <f>SUMIF('A-3 Site Habitat Enhancement'!$S$12:$S$257,'G-2 Habitat groups'!A133,'A-3 Site Habitat Enhancement'!$AN$12:$AN$257)</f>
        <v>0</v>
      </c>
      <c r="O133" s="111">
        <f t="shared" si="126"/>
        <v>0</v>
      </c>
      <c r="P133" s="111">
        <f t="shared" si="127"/>
        <v>0</v>
      </c>
      <c r="Q133" s="111">
        <f t="shared" si="128"/>
        <v>0</v>
      </c>
      <c r="R133" s="111">
        <f t="shared" si="129"/>
        <v>0</v>
      </c>
      <c r="S133" s="111">
        <f>IF(C133="V.High",SUMIF('D-1 Off Site Habitat Baseline'!$G$11:$G$258,'G-2 Habitat groups'!A133,'D-1 Off Site Habitat Baseline'!$S$11:$S$258)+SUMIF('D-1 Off Site Habitat Baseline'!$G$11:$G$258,'G-2 Habitat groups'!A133,'D-1 Off Site Habitat Baseline'!$T$11:$T$258),SUMIF('D-1 Off Site Habitat Baseline'!$G$11:$G$258,'G-2 Habitat groups'!A133,'D-1 Off Site Habitat Baseline'!$H$11:$H$258))</f>
        <v>0</v>
      </c>
      <c r="T133" s="111">
        <f>SUMIF('D-1 Off Site Habitat Baseline'!$G$11:$G$258,'G-2 Habitat groups'!A133,'D-1 Off Site Habitat Baseline'!$Q$11:$Q$258)</f>
        <v>0</v>
      </c>
      <c r="U133" s="513">
        <f>SUMIF('D-1 Off Site Habitat Baseline'!$G$11:$G$258,'G-2 Habitat groups'!A133,'D-1 Off Site Habitat Baseline'!$S$11:$S$258)</f>
        <v>0</v>
      </c>
      <c r="V133" s="111">
        <f>SUMIF('D-1 Off Site Habitat Baseline'!$G$11:$G$258,'G-2 Habitat groups'!A133,'D-1 Off Site Habitat Baseline'!$U$11:$U$258)</f>
        <v>0</v>
      </c>
      <c r="W133" s="111">
        <f>SUMIF('D-2 Off Site Habitat Creation'!$F$9:$F$255,'G-2 Habitat groups'!A133,'D-2 Off Site Habitat Creation'!$G$9:$G$255)</f>
        <v>0</v>
      </c>
      <c r="X133" s="111">
        <f>SUMIF('D-2 Off Site Habitat Creation'!$F$9:$F$255,'G-2 Habitat groups'!A133,'D-2 Off Site Habitat Creation'!$AA$9:$AA$255)</f>
        <v>0</v>
      </c>
      <c r="Y133" s="111">
        <f>SUMIF('D-3 Off Site Habitat Enhancment'!$S$12:$S$491,'G-2 Habitat groups'!A133,'D-3 Off Site Habitat Enhancment'!$V$12:$V$491)</f>
        <v>0</v>
      </c>
      <c r="Z133" s="111">
        <f>SUMIF('D-3 Off Site Habitat Enhancment'!$S$12:$S$491,'G-2 Habitat groups'!A133,'D-3 Off Site Habitat Enhancment'!$AP$12:$AP$491)</f>
        <v>0</v>
      </c>
      <c r="AA133" s="111">
        <f t="shared" ref="AA133:AA137" si="134">U133+W133+Y133</f>
        <v>0</v>
      </c>
      <c r="AB133" s="111">
        <f t="shared" ref="AB133:AB137" si="135">V133+X133+Z133</f>
        <v>0</v>
      </c>
      <c r="AC133" s="111">
        <f t="shared" si="130"/>
        <v>0</v>
      </c>
      <c r="AD133" s="111">
        <f t="shared" si="131"/>
        <v>0</v>
      </c>
      <c r="AE133" s="111">
        <f t="shared" si="132"/>
        <v>0</v>
      </c>
      <c r="AF133" s="111">
        <f t="shared" si="133"/>
        <v>0</v>
      </c>
      <c r="AU133" s="129" t="s">
        <v>285</v>
      </c>
      <c r="AV133" s="100" t="s">
        <v>166</v>
      </c>
      <c r="AW133" s="111">
        <f t="shared" si="117"/>
        <v>1.0999999999999999E-2</v>
      </c>
      <c r="AX133" s="111">
        <f t="shared" si="102"/>
        <v>2.1999999999999999E-2</v>
      </c>
      <c r="AY133" s="111">
        <f t="shared" si="118"/>
        <v>0</v>
      </c>
      <c r="AZ133" s="111">
        <f t="shared" si="119"/>
        <v>0</v>
      </c>
      <c r="BA133" s="111">
        <f t="shared" si="120"/>
        <v>-1.0999999999999999E-2</v>
      </c>
      <c r="BB133" s="111">
        <f t="shared" si="121"/>
        <v>-2.1999999999999999E-2</v>
      </c>
      <c r="BC133" s="111">
        <f t="shared" si="122"/>
        <v>0</v>
      </c>
      <c r="BD133" s="111">
        <f t="shared" si="123"/>
        <v>0</v>
      </c>
      <c r="BE133" s="111">
        <f t="shared" si="124"/>
        <v>-2.1999999999999999E-2</v>
      </c>
      <c r="BF133" s="111">
        <f t="shared" si="125"/>
        <v>-2.1999999999999999E-2</v>
      </c>
    </row>
    <row r="134" spans="1:58" x14ac:dyDescent="0.25">
      <c r="A134" s="129">
        <f>'G-1 All Habitats'!B139</f>
        <v>0</v>
      </c>
      <c r="B134" s="100">
        <f>'G-1 All Habitats'!F133</f>
        <v>0</v>
      </c>
      <c r="C134" s="100">
        <f>'G-1 All Habitats'!K133</f>
        <v>0</v>
      </c>
      <c r="D134" s="100">
        <f>'G-1 All Habitats'!M133</f>
        <v>0</v>
      </c>
      <c r="E134" s="111">
        <f>IF(C134="V.High",SUMIF('A-1 Site Habitat Baseline'!$G$11:$G$258,'G-2 Habitat groups'!A134,'A-1 Site Habitat Baseline'!$S$11:$S$258)+SUMIF('A-1 Site Habitat Baseline'!$G$11:$G$258,'G-2 Habitat groups'!A134,'A-1 Site Habitat Baseline'!$T$11:$T$258),SUMIF('A-1 Site Habitat Baseline'!$G$11:$G$258,'G-2 Habitat groups'!A134,'A-1 Site Habitat Baseline'!$H$11:$H$258))</f>
        <v>0</v>
      </c>
      <c r="F134" s="111">
        <f>SUMIF('A-1 Site Habitat Baseline'!$G$11:$G$258,'G-2 Habitat groups'!A134,'A-1 Site Habitat Baseline'!$Q$11:$Q$258)</f>
        <v>0</v>
      </c>
      <c r="G134" s="111">
        <f>SUMIF('A-1 Site Habitat Baseline'!$G$11:$G$258,'G-2 Habitat groups'!A134,'A-1 Site Habitat Baseline'!$S$11:$S$258)</f>
        <v>0</v>
      </c>
      <c r="H134" s="111">
        <f>SUMIF('A-1 Site Habitat Baseline'!$G$11:$G$258,'G-2 Habitat groups'!A134,'A-1 Site Habitat Baseline'!$U$11:$U$258)</f>
        <v>0</v>
      </c>
      <c r="I134" s="111">
        <f>SUMIF('A-1 Site Habitat Baseline'!$G$11:$G$258,'G-2 Habitat groups'!A134,'A-1 Site Habitat Baseline'!$W$11:$W$258)</f>
        <v>0</v>
      </c>
      <c r="J134" s="111">
        <f>SUMIF('A-1 Site Habitat Baseline'!$G$11:$G$258,'G-2 Habitat groups'!A134,'A-1 Site Habitat Baseline'!$X$11:$X$258)</f>
        <v>0</v>
      </c>
      <c r="K134" s="111">
        <f>SUMIF('A-2 Site Habitat Creation'!$F$11:$F$256,'G-2 Habitat groups'!A134,'A-2 Site Habitat Creation'!$G$11:$G$256)</f>
        <v>0</v>
      </c>
      <c r="L134" s="111">
        <f>SUMIF('A-2 Site Habitat Creation'!$F$11:$F$256,'G-2 Habitat groups'!A134,'A-2 Site Habitat Creation'!$Y$11:$Y$256)</f>
        <v>0</v>
      </c>
      <c r="M134" s="111">
        <f>SUMIF('A-3 Site Habitat Enhancement'!$S$12:$S$257,'G-2 Habitat groups'!A134,'A-3 Site Habitat Enhancement'!$V$12:$V$257)</f>
        <v>0</v>
      </c>
      <c r="N134" s="111">
        <f>SUMIF('A-3 Site Habitat Enhancement'!$S$12:$S$257,'G-2 Habitat groups'!A134,'A-3 Site Habitat Enhancement'!$AN$12:$AN$257)</f>
        <v>0</v>
      </c>
      <c r="O134" s="111">
        <f t="shared" si="126"/>
        <v>0</v>
      </c>
      <c r="P134" s="111">
        <f t="shared" si="127"/>
        <v>0</v>
      </c>
      <c r="Q134" s="111">
        <f t="shared" si="128"/>
        <v>0</v>
      </c>
      <c r="R134" s="111">
        <f t="shared" si="129"/>
        <v>0</v>
      </c>
      <c r="S134" s="111">
        <f>IF(C134="V.High",SUMIF('D-1 Off Site Habitat Baseline'!$G$11:$G$258,'G-2 Habitat groups'!A134,'D-1 Off Site Habitat Baseline'!$S$11:$S$258)+SUMIF('D-1 Off Site Habitat Baseline'!$G$11:$G$258,'G-2 Habitat groups'!A134,'D-1 Off Site Habitat Baseline'!$T$11:$T$258),SUMIF('D-1 Off Site Habitat Baseline'!$G$11:$G$258,'G-2 Habitat groups'!A134,'D-1 Off Site Habitat Baseline'!$H$11:$H$258))</f>
        <v>0</v>
      </c>
      <c r="T134" s="111">
        <f>SUMIF('D-1 Off Site Habitat Baseline'!$G$11:$G$258,'G-2 Habitat groups'!A134,'D-1 Off Site Habitat Baseline'!$Q$11:$Q$258)</f>
        <v>0</v>
      </c>
      <c r="U134" s="513">
        <f>SUMIF('D-1 Off Site Habitat Baseline'!$G$11:$G$258,'G-2 Habitat groups'!A134,'D-1 Off Site Habitat Baseline'!$S$11:$S$258)</f>
        <v>0</v>
      </c>
      <c r="V134" s="111">
        <f>SUMIF('D-1 Off Site Habitat Baseline'!$G$11:$G$258,'G-2 Habitat groups'!A134,'D-1 Off Site Habitat Baseline'!$U$11:$U$258)</f>
        <v>0</v>
      </c>
      <c r="W134" s="111">
        <f>SUMIF('D-2 Off Site Habitat Creation'!$F$9:$F$255,'G-2 Habitat groups'!A134,'D-2 Off Site Habitat Creation'!$G$9:$G$255)</f>
        <v>0</v>
      </c>
      <c r="X134" s="111">
        <f>SUMIF('D-2 Off Site Habitat Creation'!$F$9:$F$255,'G-2 Habitat groups'!A134,'D-2 Off Site Habitat Creation'!$AA$9:$AA$255)</f>
        <v>0</v>
      </c>
      <c r="Y134" s="111">
        <f>SUMIF('D-3 Off Site Habitat Enhancment'!$S$12:$S$491,'G-2 Habitat groups'!A134,'D-3 Off Site Habitat Enhancment'!$V$12:$V$491)</f>
        <v>0</v>
      </c>
      <c r="Z134" s="111">
        <f>SUMIF('D-3 Off Site Habitat Enhancment'!$S$12:$S$491,'G-2 Habitat groups'!A134,'D-3 Off Site Habitat Enhancment'!$AP$12:$AP$491)</f>
        <v>0</v>
      </c>
      <c r="AA134" s="111">
        <f t="shared" si="134"/>
        <v>0</v>
      </c>
      <c r="AB134" s="111">
        <f t="shared" si="135"/>
        <v>0</v>
      </c>
      <c r="AC134" s="111">
        <f t="shared" si="130"/>
        <v>0</v>
      </c>
      <c r="AD134" s="111">
        <f t="shared" si="131"/>
        <v>0</v>
      </c>
      <c r="AE134" s="111">
        <f t="shared" si="132"/>
        <v>0</v>
      </c>
      <c r="AF134" s="111">
        <f t="shared" si="133"/>
        <v>0</v>
      </c>
      <c r="AU134" s="129" t="s">
        <v>283</v>
      </c>
      <c r="AV134" s="100" t="s">
        <v>166</v>
      </c>
      <c r="AW134" s="111">
        <f t="shared" si="117"/>
        <v>0</v>
      </c>
      <c r="AX134" s="111">
        <f t="shared" si="102"/>
        <v>0</v>
      </c>
      <c r="AY134" s="111">
        <f t="shared" si="118"/>
        <v>2.7300000000000001E-2</v>
      </c>
      <c r="AZ134" s="111">
        <f t="shared" si="119"/>
        <v>5.2689E-2</v>
      </c>
      <c r="BA134" s="111">
        <f t="shared" si="120"/>
        <v>2.7300000000000001E-2</v>
      </c>
      <c r="BB134" s="111">
        <f t="shared" si="121"/>
        <v>5.2689E-2</v>
      </c>
      <c r="BC134" s="111">
        <f t="shared" si="122"/>
        <v>0</v>
      </c>
      <c r="BD134" s="111">
        <f t="shared" si="123"/>
        <v>0</v>
      </c>
      <c r="BE134" s="111">
        <f t="shared" si="124"/>
        <v>5.2689E-2</v>
      </c>
      <c r="BF134" s="111" t="str">
        <f t="shared" si="125"/>
        <v/>
      </c>
    </row>
    <row r="135" spans="1:58" x14ac:dyDescent="0.25">
      <c r="A135" s="129">
        <f>'G-1 All Habitats'!B140</f>
        <v>0</v>
      </c>
      <c r="B135" s="100">
        <f>'G-1 All Habitats'!F134</f>
        <v>0</v>
      </c>
      <c r="C135" s="100">
        <f>'G-1 All Habitats'!K134</f>
        <v>0</v>
      </c>
      <c r="D135" s="100">
        <f>'G-1 All Habitats'!M134</f>
        <v>0</v>
      </c>
      <c r="E135" s="111">
        <f>IF(C135="V.High",SUMIF('A-1 Site Habitat Baseline'!$G$11:$G$258,'G-2 Habitat groups'!A135,'A-1 Site Habitat Baseline'!$S$11:$S$258)+SUMIF('A-1 Site Habitat Baseline'!$G$11:$G$258,'G-2 Habitat groups'!A135,'A-1 Site Habitat Baseline'!$T$11:$T$258),SUMIF('A-1 Site Habitat Baseline'!$G$11:$G$258,'G-2 Habitat groups'!A135,'A-1 Site Habitat Baseline'!$H$11:$H$258))</f>
        <v>0</v>
      </c>
      <c r="F135" s="111">
        <f>SUMIF('A-1 Site Habitat Baseline'!$G$11:$G$258,'G-2 Habitat groups'!A135,'A-1 Site Habitat Baseline'!$Q$11:$Q$258)</f>
        <v>0</v>
      </c>
      <c r="G135" s="111">
        <f>SUMIF('A-1 Site Habitat Baseline'!$G$11:$G$258,'G-2 Habitat groups'!A135,'A-1 Site Habitat Baseline'!$S$11:$S$258)</f>
        <v>0</v>
      </c>
      <c r="H135" s="111">
        <f>SUMIF('A-1 Site Habitat Baseline'!$G$11:$G$258,'G-2 Habitat groups'!A135,'A-1 Site Habitat Baseline'!$U$11:$U$258)</f>
        <v>0</v>
      </c>
      <c r="I135" s="111">
        <f>SUMIF('A-1 Site Habitat Baseline'!$G$11:$G$258,'G-2 Habitat groups'!A135,'A-1 Site Habitat Baseline'!$W$11:$W$258)</f>
        <v>0</v>
      </c>
      <c r="J135" s="111">
        <f>SUMIF('A-1 Site Habitat Baseline'!$G$11:$G$258,'G-2 Habitat groups'!A135,'A-1 Site Habitat Baseline'!$X$11:$X$258)</f>
        <v>0</v>
      </c>
      <c r="K135" s="111">
        <f>SUMIF('A-2 Site Habitat Creation'!$F$11:$F$256,'G-2 Habitat groups'!A135,'A-2 Site Habitat Creation'!$G$11:$G$256)</f>
        <v>0</v>
      </c>
      <c r="L135" s="111">
        <f>SUMIF('A-2 Site Habitat Creation'!$F$11:$F$256,'G-2 Habitat groups'!A135,'A-2 Site Habitat Creation'!$Y$11:$Y$256)</f>
        <v>0</v>
      </c>
      <c r="M135" s="111">
        <f>SUMIF('A-3 Site Habitat Enhancement'!$S$12:$S$257,'G-2 Habitat groups'!A135,'A-3 Site Habitat Enhancement'!$V$12:$V$257)</f>
        <v>0</v>
      </c>
      <c r="N135" s="111">
        <f>SUMIF('A-3 Site Habitat Enhancement'!$S$12:$S$257,'G-2 Habitat groups'!A135,'A-3 Site Habitat Enhancement'!$AN$12:$AN$257)</f>
        <v>0</v>
      </c>
      <c r="O135" s="111">
        <f t="shared" si="126"/>
        <v>0</v>
      </c>
      <c r="P135" s="111">
        <f t="shared" si="127"/>
        <v>0</v>
      </c>
      <c r="Q135" s="111">
        <f t="shared" si="128"/>
        <v>0</v>
      </c>
      <c r="R135" s="111">
        <f t="shared" si="129"/>
        <v>0</v>
      </c>
      <c r="S135" s="111">
        <f>IF(C135="V.High",SUMIF('D-1 Off Site Habitat Baseline'!$G$11:$G$258,'G-2 Habitat groups'!A135,'D-1 Off Site Habitat Baseline'!$S$11:$S$258)+SUMIF('D-1 Off Site Habitat Baseline'!$G$11:$G$258,'G-2 Habitat groups'!A135,'D-1 Off Site Habitat Baseline'!$T$11:$T$258),SUMIF('D-1 Off Site Habitat Baseline'!$G$11:$G$258,'G-2 Habitat groups'!A135,'D-1 Off Site Habitat Baseline'!$H$11:$H$258))</f>
        <v>0</v>
      </c>
      <c r="T135" s="111">
        <f>SUMIF('D-1 Off Site Habitat Baseline'!$G$11:$G$258,'G-2 Habitat groups'!A135,'D-1 Off Site Habitat Baseline'!$Q$11:$Q$258)</f>
        <v>0</v>
      </c>
      <c r="U135" s="513">
        <f>SUMIF('D-1 Off Site Habitat Baseline'!$G$11:$G$258,'G-2 Habitat groups'!A135,'D-1 Off Site Habitat Baseline'!$S$11:$S$258)</f>
        <v>0</v>
      </c>
      <c r="V135" s="111">
        <f>SUMIF('D-1 Off Site Habitat Baseline'!$G$11:$G$258,'G-2 Habitat groups'!A135,'D-1 Off Site Habitat Baseline'!$U$11:$U$258)</f>
        <v>0</v>
      </c>
      <c r="W135" s="111">
        <f>SUMIF('D-2 Off Site Habitat Creation'!$F$9:$F$255,'G-2 Habitat groups'!A135,'D-2 Off Site Habitat Creation'!$G$9:$G$255)</f>
        <v>0</v>
      </c>
      <c r="X135" s="111">
        <f>SUMIF('D-2 Off Site Habitat Creation'!$F$9:$F$255,'G-2 Habitat groups'!A135,'D-2 Off Site Habitat Creation'!$AA$9:$AA$255)</f>
        <v>0</v>
      </c>
      <c r="Y135" s="111">
        <f>SUMIF('D-3 Off Site Habitat Enhancment'!$S$12:$S$491,'G-2 Habitat groups'!A135,'D-3 Off Site Habitat Enhancment'!$V$12:$V$491)</f>
        <v>0</v>
      </c>
      <c r="Z135" s="111">
        <f>SUMIF('D-3 Off Site Habitat Enhancment'!$S$12:$S$491,'G-2 Habitat groups'!A135,'D-3 Off Site Habitat Enhancment'!$AP$12:$AP$491)</f>
        <v>0</v>
      </c>
      <c r="AA135" s="111">
        <f t="shared" si="134"/>
        <v>0</v>
      </c>
      <c r="AB135" s="111">
        <f t="shared" si="135"/>
        <v>0</v>
      </c>
      <c r="AC135" s="111">
        <f t="shared" si="130"/>
        <v>0</v>
      </c>
      <c r="AD135" s="111">
        <f t="shared" si="131"/>
        <v>0</v>
      </c>
      <c r="AE135" s="111">
        <f t="shared" si="132"/>
        <v>0</v>
      </c>
      <c r="AF135" s="111">
        <f t="shared" si="133"/>
        <v>0</v>
      </c>
      <c r="AU135" s="149" t="s">
        <v>245</v>
      </c>
      <c r="AV135" s="100" t="s">
        <v>163</v>
      </c>
      <c r="AW135" s="111">
        <f t="shared" si="117"/>
        <v>0</v>
      </c>
      <c r="AX135" s="111">
        <f t="shared" si="102"/>
        <v>0</v>
      </c>
      <c r="AY135" s="111">
        <f t="shared" si="118"/>
        <v>0</v>
      </c>
      <c r="AZ135" s="111">
        <f t="shared" si="119"/>
        <v>0</v>
      </c>
      <c r="BA135" s="111">
        <f t="shared" si="120"/>
        <v>0</v>
      </c>
      <c r="BB135" s="111">
        <f t="shared" si="121"/>
        <v>0</v>
      </c>
      <c r="BC135" s="111">
        <f t="shared" si="122"/>
        <v>0</v>
      </c>
      <c r="BD135" s="111">
        <f t="shared" si="123"/>
        <v>0</v>
      </c>
      <c r="BE135" s="111">
        <f t="shared" si="124"/>
        <v>0</v>
      </c>
      <c r="BF135" s="111" t="str">
        <f t="shared" si="125"/>
        <v/>
      </c>
    </row>
    <row r="136" spans="1:58" x14ac:dyDescent="0.25">
      <c r="A136" s="129">
        <f>'G-1 All Habitats'!B141</f>
        <v>0</v>
      </c>
      <c r="B136" s="100">
        <f>'G-1 All Habitats'!F135</f>
        <v>0</v>
      </c>
      <c r="C136" s="100">
        <f>'G-1 All Habitats'!K135</f>
        <v>0</v>
      </c>
      <c r="D136" s="100">
        <f>'G-1 All Habitats'!M135</f>
        <v>0</v>
      </c>
      <c r="E136" s="111">
        <f>IF(C136="V.High",SUMIF('A-1 Site Habitat Baseline'!$G$11:$G$258,'G-2 Habitat groups'!A136,'A-1 Site Habitat Baseline'!$S$11:$S$258)+SUMIF('A-1 Site Habitat Baseline'!$G$11:$G$258,'G-2 Habitat groups'!A136,'A-1 Site Habitat Baseline'!$T$11:$T$258),SUMIF('A-1 Site Habitat Baseline'!$G$11:$G$258,'G-2 Habitat groups'!A136,'A-1 Site Habitat Baseline'!$H$11:$H$258))</f>
        <v>0</v>
      </c>
      <c r="F136" s="111">
        <f>SUMIF('A-1 Site Habitat Baseline'!$G$11:$G$258,'G-2 Habitat groups'!A136,'A-1 Site Habitat Baseline'!$Q$11:$Q$258)</f>
        <v>0</v>
      </c>
      <c r="G136" s="111">
        <f>SUMIF('A-1 Site Habitat Baseline'!$G$11:$G$258,'G-2 Habitat groups'!A136,'A-1 Site Habitat Baseline'!$S$11:$S$258)</f>
        <v>0</v>
      </c>
      <c r="H136" s="111">
        <f>SUMIF('A-1 Site Habitat Baseline'!$G$11:$G$258,'G-2 Habitat groups'!A136,'A-1 Site Habitat Baseline'!$U$11:$U$258)</f>
        <v>0</v>
      </c>
      <c r="I136" s="111">
        <f>SUMIF('A-1 Site Habitat Baseline'!$G$11:$G$258,'G-2 Habitat groups'!A136,'A-1 Site Habitat Baseline'!$W$11:$W$258)</f>
        <v>0</v>
      </c>
      <c r="J136" s="111">
        <f>SUMIF('A-1 Site Habitat Baseline'!$G$11:$G$258,'G-2 Habitat groups'!A136,'A-1 Site Habitat Baseline'!$X$11:$X$258)</f>
        <v>0</v>
      </c>
      <c r="K136" s="111">
        <f>SUMIF('A-2 Site Habitat Creation'!$F$11:$F$256,'G-2 Habitat groups'!A136,'A-2 Site Habitat Creation'!$G$11:$G$256)</f>
        <v>0</v>
      </c>
      <c r="L136" s="111">
        <f>SUMIF('A-2 Site Habitat Creation'!$F$11:$F$256,'G-2 Habitat groups'!A136,'A-2 Site Habitat Creation'!$Y$11:$Y$256)</f>
        <v>0</v>
      </c>
      <c r="M136" s="111">
        <f>SUMIF('A-3 Site Habitat Enhancement'!$S$12:$S$257,'G-2 Habitat groups'!A136,'A-3 Site Habitat Enhancement'!$V$12:$V$257)</f>
        <v>0</v>
      </c>
      <c r="N136" s="111">
        <f>SUMIF('A-3 Site Habitat Enhancement'!$S$12:$S$257,'G-2 Habitat groups'!A136,'A-3 Site Habitat Enhancement'!$AN$12:$AN$257)</f>
        <v>0</v>
      </c>
      <c r="O136" s="111">
        <f t="shared" si="126"/>
        <v>0</v>
      </c>
      <c r="P136" s="111">
        <f t="shared" si="127"/>
        <v>0</v>
      </c>
      <c r="Q136" s="111">
        <f t="shared" si="128"/>
        <v>0</v>
      </c>
      <c r="R136" s="111">
        <f t="shared" si="129"/>
        <v>0</v>
      </c>
      <c r="S136" s="111">
        <f>IF(C136="V.High",SUMIF('D-1 Off Site Habitat Baseline'!$G$11:$G$258,'G-2 Habitat groups'!A136,'D-1 Off Site Habitat Baseline'!$S$11:$S$258)+SUMIF('D-1 Off Site Habitat Baseline'!$G$11:$G$258,'G-2 Habitat groups'!A136,'D-1 Off Site Habitat Baseline'!$T$11:$T$258),SUMIF('D-1 Off Site Habitat Baseline'!$G$11:$G$258,'G-2 Habitat groups'!A136,'D-1 Off Site Habitat Baseline'!$H$11:$H$258))</f>
        <v>0</v>
      </c>
      <c r="T136" s="111">
        <f>SUMIF('D-1 Off Site Habitat Baseline'!$G$11:$G$258,'G-2 Habitat groups'!A136,'D-1 Off Site Habitat Baseline'!$Q$11:$Q$258)</f>
        <v>0</v>
      </c>
      <c r="U136" s="513">
        <f>SUMIF('D-1 Off Site Habitat Baseline'!$G$11:$G$258,'G-2 Habitat groups'!A136,'D-1 Off Site Habitat Baseline'!$S$11:$S$258)</f>
        <v>0</v>
      </c>
      <c r="V136" s="111">
        <f>SUMIF('D-1 Off Site Habitat Baseline'!$G$11:$G$258,'G-2 Habitat groups'!A136,'D-1 Off Site Habitat Baseline'!$U$11:$U$258)</f>
        <v>0</v>
      </c>
      <c r="W136" s="111">
        <f>SUMIF('D-2 Off Site Habitat Creation'!$F$9:$F$255,'G-2 Habitat groups'!A136,'D-2 Off Site Habitat Creation'!$G$9:$G$255)</f>
        <v>0</v>
      </c>
      <c r="X136" s="111">
        <f>SUMIF('D-2 Off Site Habitat Creation'!$F$9:$F$255,'G-2 Habitat groups'!A136,'D-2 Off Site Habitat Creation'!$AA$9:$AA$255)</f>
        <v>0</v>
      </c>
      <c r="Y136" s="111">
        <f>SUMIF('D-3 Off Site Habitat Enhancment'!$S$12:$S$491,'G-2 Habitat groups'!A136,'D-3 Off Site Habitat Enhancment'!$V$12:$V$491)</f>
        <v>0</v>
      </c>
      <c r="Z136" s="111">
        <f>SUMIF('D-3 Off Site Habitat Enhancment'!$S$12:$S$491,'G-2 Habitat groups'!A136,'D-3 Off Site Habitat Enhancment'!$AP$12:$AP$491)</f>
        <v>0</v>
      </c>
      <c r="AA136" s="111">
        <f t="shared" si="134"/>
        <v>0</v>
      </c>
      <c r="AB136" s="111">
        <f t="shared" si="135"/>
        <v>0</v>
      </c>
      <c r="AC136" s="111">
        <f t="shared" si="130"/>
        <v>0</v>
      </c>
      <c r="AD136" s="111">
        <f t="shared" si="131"/>
        <v>0</v>
      </c>
      <c r="AE136" s="111">
        <f t="shared" si="132"/>
        <v>0</v>
      </c>
      <c r="AF136" s="111">
        <f t="shared" si="133"/>
        <v>0</v>
      </c>
      <c r="AU136" s="129" t="s">
        <v>1247</v>
      </c>
      <c r="AV136" s="144" t="s">
        <v>1112</v>
      </c>
      <c r="AW136" s="111">
        <f t="shared" si="117"/>
        <v>0</v>
      </c>
      <c r="AX136" s="111">
        <f t="shared" si="102"/>
        <v>0</v>
      </c>
      <c r="AY136" s="111">
        <f t="shared" si="118"/>
        <v>0</v>
      </c>
      <c r="AZ136" s="111">
        <f t="shared" si="119"/>
        <v>0</v>
      </c>
      <c r="BA136" s="111">
        <f t="shared" si="120"/>
        <v>0</v>
      </c>
      <c r="BB136" s="111">
        <f t="shared" si="121"/>
        <v>0</v>
      </c>
      <c r="BC136" s="111">
        <f t="shared" si="122"/>
        <v>0</v>
      </c>
      <c r="BD136" s="111">
        <f t="shared" si="123"/>
        <v>0</v>
      </c>
      <c r="BE136" s="111">
        <f t="shared" ref="BE136" si="136">BB136+BD136</f>
        <v>0</v>
      </c>
      <c r="BF136" s="111" t="str">
        <f t="shared" ref="BF136" si="137">IF(BE136&lt;0,BE136,"")</f>
        <v/>
      </c>
    </row>
    <row r="137" spans="1:58" x14ac:dyDescent="0.25">
      <c r="A137" s="129">
        <f>'G-1 All Habitats'!B142</f>
        <v>0</v>
      </c>
      <c r="B137" s="100">
        <f>'G-1 All Habitats'!F136</f>
        <v>0</v>
      </c>
      <c r="C137" s="100">
        <f>'G-1 All Habitats'!K136</f>
        <v>0</v>
      </c>
      <c r="D137" s="100">
        <f>'G-1 All Habitats'!M136</f>
        <v>0</v>
      </c>
      <c r="E137" s="111">
        <f>IF(C137="V.High",SUMIF('A-1 Site Habitat Baseline'!$G$11:$G$258,'G-2 Habitat groups'!A137,'A-1 Site Habitat Baseline'!$S$11:$S$258)+SUMIF('A-1 Site Habitat Baseline'!$G$11:$G$258,'G-2 Habitat groups'!A137,'A-1 Site Habitat Baseline'!$T$11:$T$258),SUMIF('A-1 Site Habitat Baseline'!$G$11:$G$258,'G-2 Habitat groups'!A137,'A-1 Site Habitat Baseline'!$H$11:$H$258))</f>
        <v>0</v>
      </c>
      <c r="F137" s="111">
        <f>SUMIF('A-1 Site Habitat Baseline'!$G$11:$G$258,'G-2 Habitat groups'!A137,'A-1 Site Habitat Baseline'!$Q$11:$Q$258)</f>
        <v>0</v>
      </c>
      <c r="G137" s="111">
        <f>SUMIF('A-1 Site Habitat Baseline'!$G$11:$G$258,'G-2 Habitat groups'!A137,'A-1 Site Habitat Baseline'!$S$11:$S$258)</f>
        <v>0</v>
      </c>
      <c r="H137" s="111">
        <f>SUMIF('A-1 Site Habitat Baseline'!$G$11:$G$258,'G-2 Habitat groups'!A137,'A-1 Site Habitat Baseline'!$U$11:$U$258)</f>
        <v>0</v>
      </c>
      <c r="I137" s="111">
        <f>SUMIF('A-1 Site Habitat Baseline'!$G$11:$G$258,'G-2 Habitat groups'!A137,'A-1 Site Habitat Baseline'!$W$11:$W$258)</f>
        <v>0</v>
      </c>
      <c r="J137" s="111">
        <f>SUMIF('A-1 Site Habitat Baseline'!$G$11:$G$258,'G-2 Habitat groups'!A137,'A-1 Site Habitat Baseline'!$X$11:$X$258)</f>
        <v>0</v>
      </c>
      <c r="K137" s="111">
        <f>SUMIF('A-2 Site Habitat Creation'!$F$11:$F$256,'G-2 Habitat groups'!A137,'A-2 Site Habitat Creation'!$G$11:$G$256)</f>
        <v>0</v>
      </c>
      <c r="L137" s="111">
        <f>SUMIF('A-2 Site Habitat Creation'!$F$11:$F$256,'G-2 Habitat groups'!A137,'A-2 Site Habitat Creation'!$Y$11:$Y$256)</f>
        <v>0</v>
      </c>
      <c r="M137" s="111">
        <f>SUMIF('A-3 Site Habitat Enhancement'!$S$12:$S$257,'G-2 Habitat groups'!A137,'A-3 Site Habitat Enhancement'!$V$12:$V$257)</f>
        <v>0</v>
      </c>
      <c r="N137" s="111">
        <f>SUMIF('A-3 Site Habitat Enhancement'!$S$12:$S$257,'G-2 Habitat groups'!A137,'A-3 Site Habitat Enhancement'!$AN$12:$AN$257)</f>
        <v>0</v>
      </c>
      <c r="O137" s="111">
        <f t="shared" si="126"/>
        <v>0</v>
      </c>
      <c r="P137" s="111">
        <f t="shared" si="127"/>
        <v>0</v>
      </c>
      <c r="Q137" s="111">
        <f t="shared" si="128"/>
        <v>0</v>
      </c>
      <c r="R137" s="111">
        <f t="shared" si="129"/>
        <v>0</v>
      </c>
      <c r="S137" s="111">
        <f>IF(C137="V.High",SUMIF('D-1 Off Site Habitat Baseline'!$G$11:$G$258,'G-2 Habitat groups'!A137,'D-1 Off Site Habitat Baseline'!$S$11:$S$258)+SUMIF('D-1 Off Site Habitat Baseline'!$G$11:$G$258,'G-2 Habitat groups'!A137,'D-1 Off Site Habitat Baseline'!$T$11:$T$258),SUMIF('D-1 Off Site Habitat Baseline'!$G$11:$G$258,'G-2 Habitat groups'!A137,'D-1 Off Site Habitat Baseline'!$H$11:$H$258))</f>
        <v>0</v>
      </c>
      <c r="T137" s="111">
        <f>SUMIF('D-1 Off Site Habitat Baseline'!$G$11:$G$258,'G-2 Habitat groups'!A137,'D-1 Off Site Habitat Baseline'!$Q$11:$Q$258)</f>
        <v>0</v>
      </c>
      <c r="U137" s="513">
        <f>SUMIF('D-1 Off Site Habitat Baseline'!$G$11:$G$258,'G-2 Habitat groups'!A137,'D-1 Off Site Habitat Baseline'!$S$11:$S$258)</f>
        <v>0</v>
      </c>
      <c r="V137" s="111">
        <f>SUMIF('D-1 Off Site Habitat Baseline'!$G$11:$G$258,'G-2 Habitat groups'!A137,'D-1 Off Site Habitat Baseline'!$U$11:$U$258)</f>
        <v>0</v>
      </c>
      <c r="W137" s="111">
        <f>SUMIF('D-2 Off Site Habitat Creation'!$F$9:$F$255,'G-2 Habitat groups'!A137,'D-2 Off Site Habitat Creation'!$G$9:$G$255)</f>
        <v>0</v>
      </c>
      <c r="X137" s="111">
        <f>SUMIF('D-2 Off Site Habitat Creation'!$F$9:$F$255,'G-2 Habitat groups'!A137,'D-2 Off Site Habitat Creation'!$AA$9:$AA$255)</f>
        <v>0</v>
      </c>
      <c r="Y137" s="111">
        <f>SUMIF('D-3 Off Site Habitat Enhancment'!$S$12:$S$491,'G-2 Habitat groups'!A137,'D-3 Off Site Habitat Enhancment'!$V$12:$V$491)</f>
        <v>0</v>
      </c>
      <c r="Z137" s="111">
        <f>SUMIF('D-3 Off Site Habitat Enhancment'!$S$12:$S$491,'G-2 Habitat groups'!A137,'D-3 Off Site Habitat Enhancment'!$AP$12:$AP$491)</f>
        <v>0</v>
      </c>
      <c r="AA137" s="111">
        <f t="shared" si="134"/>
        <v>0</v>
      </c>
      <c r="AB137" s="111">
        <f t="shared" si="135"/>
        <v>0</v>
      </c>
      <c r="AC137" s="111">
        <f t="shared" si="130"/>
        <v>0</v>
      </c>
      <c r="AD137" s="111">
        <f t="shared" si="131"/>
        <v>0</v>
      </c>
      <c r="AE137" s="111">
        <f t="shared" si="132"/>
        <v>0</v>
      </c>
      <c r="AF137" s="111">
        <f t="shared" si="133"/>
        <v>0</v>
      </c>
      <c r="AU137" s="129" t="s">
        <v>1116</v>
      </c>
      <c r="AV137" s="100" t="s">
        <v>1105</v>
      </c>
      <c r="AW137" s="111">
        <f t="shared" si="117"/>
        <v>0</v>
      </c>
      <c r="AX137" s="111">
        <f t="shared" si="102"/>
        <v>0</v>
      </c>
      <c r="AY137" s="111">
        <f t="shared" si="118"/>
        <v>0</v>
      </c>
      <c r="AZ137" s="111">
        <f t="shared" si="119"/>
        <v>0</v>
      </c>
      <c r="BA137" s="111">
        <f t="shared" si="120"/>
        <v>0</v>
      </c>
      <c r="BB137" s="111">
        <f t="shared" si="121"/>
        <v>0</v>
      </c>
      <c r="BC137" s="111">
        <f t="shared" si="122"/>
        <v>0</v>
      </c>
      <c r="BD137" s="111">
        <f t="shared" si="123"/>
        <v>0</v>
      </c>
      <c r="BE137" s="111">
        <f t="shared" ref="BE137:BE145" si="138">BB137+BD137</f>
        <v>0</v>
      </c>
      <c r="BF137" s="111" t="str">
        <f t="shared" ref="BF137:BF145" si="139">IF(BE137&lt;0,BE137,"")</f>
        <v/>
      </c>
    </row>
    <row r="138" spans="1:58" x14ac:dyDescent="0.25">
      <c r="AU138" s="129" t="s">
        <v>1118</v>
      </c>
      <c r="AV138" s="100" t="s">
        <v>1105</v>
      </c>
      <c r="AW138" s="111">
        <f t="shared" si="117"/>
        <v>0</v>
      </c>
      <c r="AX138" s="111">
        <f t="shared" si="102"/>
        <v>0</v>
      </c>
      <c r="AY138" s="111">
        <f t="shared" si="118"/>
        <v>0</v>
      </c>
      <c r="AZ138" s="111">
        <f t="shared" si="119"/>
        <v>0</v>
      </c>
      <c r="BA138" s="111">
        <f t="shared" si="120"/>
        <v>0</v>
      </c>
      <c r="BB138" s="111">
        <f t="shared" si="121"/>
        <v>0</v>
      </c>
      <c r="BC138" s="111">
        <f t="shared" si="122"/>
        <v>0</v>
      </c>
      <c r="BD138" s="111">
        <f t="shared" si="123"/>
        <v>0</v>
      </c>
      <c r="BE138" s="111">
        <f t="shared" si="138"/>
        <v>0</v>
      </c>
      <c r="BF138" s="111" t="str">
        <f t="shared" si="139"/>
        <v/>
      </c>
    </row>
    <row r="139" spans="1:58" x14ac:dyDescent="0.25">
      <c r="AU139" s="129" t="s">
        <v>1167</v>
      </c>
      <c r="AV139" s="100" t="s">
        <v>1105</v>
      </c>
      <c r="AW139" s="111">
        <f t="shared" si="117"/>
        <v>0</v>
      </c>
      <c r="AX139" s="111">
        <f t="shared" si="102"/>
        <v>0</v>
      </c>
      <c r="AY139" s="111">
        <f t="shared" si="118"/>
        <v>0</v>
      </c>
      <c r="AZ139" s="111">
        <f t="shared" si="119"/>
        <v>0</v>
      </c>
      <c r="BA139" s="111">
        <f t="shared" si="120"/>
        <v>0</v>
      </c>
      <c r="BB139" s="111">
        <f t="shared" si="121"/>
        <v>0</v>
      </c>
      <c r="BC139" s="111">
        <f t="shared" si="122"/>
        <v>0</v>
      </c>
      <c r="BD139" s="111">
        <f t="shared" si="123"/>
        <v>0</v>
      </c>
      <c r="BE139" s="111">
        <f t="shared" si="138"/>
        <v>0</v>
      </c>
      <c r="BF139" s="111" t="str">
        <f t="shared" si="139"/>
        <v/>
      </c>
    </row>
    <row r="140" spans="1:58" x14ac:dyDescent="0.25">
      <c r="AU140" s="129" t="s">
        <v>1168</v>
      </c>
      <c r="AV140" s="100" t="s">
        <v>1105</v>
      </c>
      <c r="AW140" s="111">
        <f t="shared" si="117"/>
        <v>0</v>
      </c>
      <c r="AX140" s="111">
        <f t="shared" si="102"/>
        <v>0</v>
      </c>
      <c r="AY140" s="111">
        <f t="shared" si="118"/>
        <v>0</v>
      </c>
      <c r="AZ140" s="111">
        <f t="shared" si="119"/>
        <v>0</v>
      </c>
      <c r="BA140" s="111">
        <f t="shared" si="120"/>
        <v>0</v>
      </c>
      <c r="BB140" s="111">
        <f t="shared" si="121"/>
        <v>0</v>
      </c>
      <c r="BC140" s="111">
        <f t="shared" si="122"/>
        <v>0</v>
      </c>
      <c r="BD140" s="111">
        <f t="shared" si="123"/>
        <v>0</v>
      </c>
      <c r="BE140" s="111">
        <f t="shared" si="138"/>
        <v>0</v>
      </c>
      <c r="BF140" s="111" t="str">
        <f t="shared" si="139"/>
        <v/>
      </c>
    </row>
    <row r="141" spans="1:58" x14ac:dyDescent="0.25">
      <c r="AU141" s="129" t="s">
        <v>1120</v>
      </c>
      <c r="AV141" s="100" t="s">
        <v>1105</v>
      </c>
      <c r="AW141" s="111">
        <f t="shared" si="117"/>
        <v>0</v>
      </c>
      <c r="AX141" s="111">
        <f t="shared" si="102"/>
        <v>0</v>
      </c>
      <c r="AY141" s="111">
        <f t="shared" si="118"/>
        <v>0</v>
      </c>
      <c r="AZ141" s="111">
        <f t="shared" si="119"/>
        <v>0</v>
      </c>
      <c r="BA141" s="111">
        <f t="shared" si="120"/>
        <v>0</v>
      </c>
      <c r="BB141" s="111">
        <f t="shared" si="121"/>
        <v>0</v>
      </c>
      <c r="BC141" s="111">
        <f t="shared" si="122"/>
        <v>0</v>
      </c>
      <c r="BD141" s="111">
        <f t="shared" si="123"/>
        <v>0</v>
      </c>
      <c r="BE141" s="111">
        <f t="shared" si="138"/>
        <v>0</v>
      </c>
      <c r="BF141" s="111" t="str">
        <f t="shared" si="139"/>
        <v/>
      </c>
    </row>
    <row r="142" spans="1:58" ht="27.6" x14ac:dyDescent="0.45">
      <c r="A142" s="499" t="s">
        <v>1356</v>
      </c>
      <c r="AU142" s="129" t="s">
        <v>1206</v>
      </c>
      <c r="AV142" s="100" t="s">
        <v>1105</v>
      </c>
      <c r="AW142" s="111">
        <f t="shared" si="117"/>
        <v>0</v>
      </c>
      <c r="AX142" s="111">
        <f t="shared" si="102"/>
        <v>0</v>
      </c>
      <c r="AY142" s="111">
        <f t="shared" si="118"/>
        <v>0</v>
      </c>
      <c r="AZ142" s="111">
        <f t="shared" si="119"/>
        <v>0</v>
      </c>
      <c r="BA142" s="111">
        <f t="shared" si="120"/>
        <v>0</v>
      </c>
      <c r="BB142" s="111">
        <f t="shared" si="121"/>
        <v>0</v>
      </c>
      <c r="BC142" s="111">
        <f t="shared" si="122"/>
        <v>0</v>
      </c>
      <c r="BD142" s="111">
        <f t="shared" si="123"/>
        <v>0</v>
      </c>
      <c r="BE142" s="111">
        <f t="shared" si="138"/>
        <v>0</v>
      </c>
      <c r="BF142" s="111" t="str">
        <f t="shared" si="139"/>
        <v/>
      </c>
    </row>
    <row r="143" spans="1:58" x14ac:dyDescent="0.25">
      <c r="AU143" s="129" t="s">
        <v>1122</v>
      </c>
      <c r="AV143" s="100" t="s">
        <v>1105</v>
      </c>
      <c r="AW143" s="111">
        <f t="shared" si="117"/>
        <v>0</v>
      </c>
      <c r="AX143" s="111">
        <f t="shared" si="102"/>
        <v>0</v>
      </c>
      <c r="AY143" s="111">
        <f t="shared" si="118"/>
        <v>0</v>
      </c>
      <c r="AZ143" s="111">
        <f t="shared" si="119"/>
        <v>0</v>
      </c>
      <c r="BA143" s="111">
        <f t="shared" si="120"/>
        <v>0</v>
      </c>
      <c r="BB143" s="111">
        <f t="shared" si="121"/>
        <v>0</v>
      </c>
      <c r="BC143" s="111">
        <f t="shared" si="122"/>
        <v>0</v>
      </c>
      <c r="BD143" s="111">
        <f t="shared" si="123"/>
        <v>0</v>
      </c>
      <c r="BE143" s="111">
        <f t="shared" si="138"/>
        <v>0</v>
      </c>
      <c r="BF143" s="111" t="str">
        <f t="shared" si="139"/>
        <v/>
      </c>
    </row>
    <row r="144" spans="1:58" x14ac:dyDescent="0.25">
      <c r="AU144" s="155" t="s">
        <v>1496</v>
      </c>
      <c r="AV144" s="144" t="s">
        <v>1169</v>
      </c>
      <c r="AW144" s="111">
        <f t="shared" si="117"/>
        <v>0</v>
      </c>
      <c r="AX144" s="111">
        <f t="shared" si="102"/>
        <v>0</v>
      </c>
      <c r="AY144" s="111">
        <f t="shared" si="118"/>
        <v>0</v>
      </c>
      <c r="AZ144" s="111">
        <f t="shared" si="119"/>
        <v>0</v>
      </c>
      <c r="BA144" s="111">
        <f t="shared" si="120"/>
        <v>0</v>
      </c>
      <c r="BB144" s="111">
        <f t="shared" si="121"/>
        <v>0</v>
      </c>
      <c r="BC144" s="111">
        <f t="shared" si="122"/>
        <v>0</v>
      </c>
      <c r="BD144" s="111">
        <f t="shared" si="123"/>
        <v>0</v>
      </c>
      <c r="BE144" s="111">
        <f t="shared" si="138"/>
        <v>0</v>
      </c>
      <c r="BF144" s="111" t="str">
        <f t="shared" si="139"/>
        <v/>
      </c>
    </row>
    <row r="145" spans="1:59" ht="22.8" x14ac:dyDescent="0.4">
      <c r="A145" s="126">
        <v>1</v>
      </c>
      <c r="B145" s="126">
        <v>2</v>
      </c>
      <c r="C145" s="126">
        <v>3</v>
      </c>
      <c r="D145" s="126">
        <v>4</v>
      </c>
      <c r="E145" s="126">
        <v>5</v>
      </c>
      <c r="F145" s="126">
        <v>6</v>
      </c>
      <c r="G145" s="126">
        <v>7</v>
      </c>
      <c r="H145" s="126">
        <v>8</v>
      </c>
      <c r="I145" s="126">
        <v>9</v>
      </c>
      <c r="J145" s="126">
        <v>10</v>
      </c>
      <c r="K145" s="126">
        <v>11</v>
      </c>
      <c r="L145" s="126">
        <v>12</v>
      </c>
      <c r="M145" s="126">
        <v>13</v>
      </c>
      <c r="N145" s="126">
        <v>14</v>
      </c>
      <c r="O145" s="126">
        <v>15</v>
      </c>
      <c r="P145" s="126">
        <v>16</v>
      </c>
      <c r="Q145" s="126">
        <v>17</v>
      </c>
      <c r="R145" s="126">
        <v>18</v>
      </c>
      <c r="S145" s="126">
        <v>19</v>
      </c>
      <c r="T145" s="126">
        <v>20</v>
      </c>
      <c r="U145" s="126">
        <v>21</v>
      </c>
      <c r="V145" s="126">
        <v>22</v>
      </c>
      <c r="W145" s="126">
        <v>23</v>
      </c>
      <c r="X145" s="126">
        <v>24</v>
      </c>
      <c r="Y145" s="126">
        <v>25</v>
      </c>
      <c r="Z145" s="126">
        <v>26</v>
      </c>
      <c r="AA145" s="126">
        <v>27</v>
      </c>
      <c r="AB145" s="126">
        <v>28</v>
      </c>
      <c r="AC145" s="126">
        <v>29</v>
      </c>
      <c r="AD145" s="126">
        <v>30</v>
      </c>
      <c r="AE145" s="126">
        <v>31</v>
      </c>
      <c r="AF145" s="127">
        <v>32</v>
      </c>
      <c r="AU145" s="155" t="s">
        <v>1497</v>
      </c>
      <c r="AV145" s="144" t="s">
        <v>1169</v>
      </c>
      <c r="AW145" s="111">
        <f t="shared" si="117"/>
        <v>0</v>
      </c>
      <c r="AX145" s="111">
        <f t="shared" si="102"/>
        <v>0</v>
      </c>
      <c r="AY145" s="111">
        <f t="shared" si="118"/>
        <v>0</v>
      </c>
      <c r="AZ145" s="111">
        <f t="shared" si="119"/>
        <v>0</v>
      </c>
      <c r="BA145" s="111">
        <f t="shared" si="120"/>
        <v>0</v>
      </c>
      <c r="BB145" s="111">
        <f t="shared" si="121"/>
        <v>0</v>
      </c>
      <c r="BC145" s="111">
        <f t="shared" si="122"/>
        <v>0</v>
      </c>
      <c r="BD145" s="111">
        <f t="shared" si="123"/>
        <v>0</v>
      </c>
      <c r="BE145" s="111">
        <f t="shared" si="138"/>
        <v>0</v>
      </c>
      <c r="BF145" s="111" t="str">
        <f t="shared" si="139"/>
        <v/>
      </c>
    </row>
    <row r="146" spans="1:59" ht="69" x14ac:dyDescent="0.25">
      <c r="A146" s="128" t="s">
        <v>1357</v>
      </c>
      <c r="B146" s="128" t="s">
        <v>134</v>
      </c>
      <c r="C146" s="128" t="s">
        <v>310</v>
      </c>
      <c r="D146" s="128" t="s">
        <v>1319</v>
      </c>
      <c r="E146" s="128" t="s">
        <v>1432</v>
      </c>
      <c r="F146" s="128" t="s">
        <v>1493</v>
      </c>
      <c r="G146" s="128" t="s">
        <v>1359</v>
      </c>
      <c r="H146" s="128" t="s">
        <v>363</v>
      </c>
      <c r="I146" s="128" t="s">
        <v>1360</v>
      </c>
      <c r="J146" s="128" t="s">
        <v>1433</v>
      </c>
      <c r="K146" s="128" t="s">
        <v>1361</v>
      </c>
      <c r="L146" s="128" t="s">
        <v>1362</v>
      </c>
      <c r="M146" s="128" t="s">
        <v>1363</v>
      </c>
      <c r="N146" s="128" t="s">
        <v>1364</v>
      </c>
      <c r="O146" s="128" t="s">
        <v>1365</v>
      </c>
      <c r="P146" s="128" t="s">
        <v>366</v>
      </c>
      <c r="Q146" s="128" t="s">
        <v>1420</v>
      </c>
      <c r="R146" s="128" t="s">
        <v>306</v>
      </c>
      <c r="S146" s="128" t="s">
        <v>1366</v>
      </c>
      <c r="T146" s="128" t="s">
        <v>821</v>
      </c>
      <c r="U146" s="128" t="s">
        <v>1423</v>
      </c>
      <c r="V146" s="128" t="s">
        <v>1422</v>
      </c>
      <c r="W146" s="128" t="s">
        <v>1421</v>
      </c>
      <c r="X146" s="128" t="s">
        <v>1424</v>
      </c>
      <c r="Y146" s="128" t="s">
        <v>1425</v>
      </c>
      <c r="Z146" s="128" t="s">
        <v>1322</v>
      </c>
      <c r="AA146" s="128" t="s">
        <v>1426</v>
      </c>
      <c r="AB146" s="128" t="s">
        <v>820</v>
      </c>
      <c r="AC146" s="128" t="s">
        <v>1427</v>
      </c>
      <c r="AD146" s="128" t="s">
        <v>1428</v>
      </c>
      <c r="AE146" s="128" t="s">
        <v>1429</v>
      </c>
      <c r="AF146" s="128" t="s">
        <v>1430</v>
      </c>
      <c r="AU146" s="500" t="s">
        <v>846</v>
      </c>
      <c r="AV146" s="501" t="s">
        <v>164</v>
      </c>
      <c r="AW146" s="511">
        <f t="shared" si="117"/>
        <v>0</v>
      </c>
      <c r="AX146" s="511">
        <f t="shared" si="102"/>
        <v>0</v>
      </c>
      <c r="AY146" s="511">
        <f t="shared" si="118"/>
        <v>0</v>
      </c>
      <c r="AZ146" s="511">
        <f t="shared" si="119"/>
        <v>0</v>
      </c>
      <c r="BA146" s="511">
        <f t="shared" si="120"/>
        <v>0</v>
      </c>
      <c r="BB146" s="511">
        <f t="shared" si="121"/>
        <v>0</v>
      </c>
      <c r="BC146" s="511">
        <f t="shared" si="122"/>
        <v>0</v>
      </c>
      <c r="BD146" s="511">
        <f t="shared" si="123"/>
        <v>0</v>
      </c>
      <c r="BE146" s="511">
        <f>BB146+BD146</f>
        <v>0</v>
      </c>
      <c r="BF146" s="511" t="str">
        <f>IF(BE146&lt;0,BE146,"")</f>
        <v/>
      </c>
    </row>
    <row r="147" spans="1:59" x14ac:dyDescent="0.25">
      <c r="A147" s="129" t="str">
        <f>'G-6 Hedgerow Data'!B3</f>
        <v>Native Species Rich Hedgerow with trees - Associated with bank or ditch</v>
      </c>
      <c r="B147" s="100" t="s">
        <v>1358</v>
      </c>
      <c r="C147" s="100" t="str">
        <f>'G-6 Hedgerow Data'!C3</f>
        <v>V.High</v>
      </c>
      <c r="D147" s="100" t="str">
        <f>'G-6 Hedgerow Data'!AH3</f>
        <v>Like for like</v>
      </c>
      <c r="E147" s="111">
        <f>SUMIF('B-1 Site Hedge Baseline'!$D$10:$D$257,'G-2 Habitat groups'!A147,'B-1 Site Hedge Baseline'!$E$10:$E$257)</f>
        <v>0</v>
      </c>
      <c r="F147" s="111">
        <f>SUMIF('B-1 Site Hedge Baseline'!$D$10:$D$257,'G-2 Habitat groups'!A147,'B-1 Site Hedge Baseline'!$N$10:$N$257)</f>
        <v>0</v>
      </c>
      <c r="G147" s="111">
        <f>SUMIF('B-1 Site Hedge Baseline'!$D$10:$D$257,'G-2 Habitat groups'!A147,'B-1 Site Hedge Baseline'!$P$10:$P$257)</f>
        <v>0</v>
      </c>
      <c r="H147" s="111">
        <f>SUMIF('B-1 Site Hedge Baseline'!$D$10:$D$257,'G-2 Habitat groups'!A147,'B-1 Site Hedge Baseline'!$R$10:$R$257)</f>
        <v>0</v>
      </c>
      <c r="I147" s="111">
        <f>SUMIF('B-1 Site Hedge Baseline'!$D$10:$D$257,'G-2 Habitat groups'!A147,'B-1 Site Hedge Baseline'!$T$10:$T$257)</f>
        <v>0</v>
      </c>
      <c r="J147" s="111">
        <f>SUMIF('B-1 Site Hedge Baseline'!$D$10:$D$257,'G-2 Habitat groups'!A147,'B-1 Site Hedge Baseline'!$U$10:$U$257)</f>
        <v>0</v>
      </c>
      <c r="K147" s="111">
        <f>SUMIF('B-2 Site Hedge Creation'!$D$12:$D$259,'G-2 Habitat groups'!A147,'B-2 Site Hedge Creation'!$E$12:$E$259)</f>
        <v>0</v>
      </c>
      <c r="L147" s="111">
        <f>SUMIF('B-2 Site Hedge Creation'!$D$12:$D$259,'G-2 Habitat groups'!A147,'B-2 Site Hedge Creation'!$W$12:$W$259)</f>
        <v>0</v>
      </c>
      <c r="M147" s="111">
        <f>SUMIF('B-3 Site Hedge Enhancement'!$M$12:$M$257,'G-2 Habitat groups'!A147,'B-3 Site Hedge Enhancement'!$P$12:$P$257)</f>
        <v>0</v>
      </c>
      <c r="N147" s="111">
        <f>SUMIF('B-3 Site Hedge Enhancement'!$M$12:$M$257,'G-2 Habitat groups'!A147,'B-3 Site Hedge Enhancement'!$AH$12:$AH$257)</f>
        <v>0</v>
      </c>
      <c r="O147" s="111">
        <f t="shared" ref="O147:O159" si="140">G147+K147+M147</f>
        <v>0</v>
      </c>
      <c r="P147" s="111">
        <f t="shared" ref="P147:P159" si="141">H147+L147+N147</f>
        <v>0</v>
      </c>
      <c r="Q147" s="111">
        <f t="shared" ref="Q147:Q159" si="142">O147-E147</f>
        <v>0</v>
      </c>
      <c r="R147" s="111">
        <f t="shared" ref="R147:R159" si="143">P147-F147</f>
        <v>0</v>
      </c>
      <c r="S147" s="111">
        <f>SUMIF('E-1 Off Site Hedge Baseline'!$D$10:$D$257,'G-2 Habitat groups'!A147,'E-1 Off Site Hedge Baseline'!$E$10:$E$257)</f>
        <v>0</v>
      </c>
      <c r="T147" s="111">
        <f>SUMIF('E-1 Off Site Hedge Baseline'!$D$10:$D$257,'G-2 Habitat groups'!A147,'E-1 Off Site Hedge Baseline'!$N$10:$N$257)</f>
        <v>0</v>
      </c>
      <c r="U147" s="111">
        <f>SUMIF('E-1 Off Site Hedge Baseline'!$D$10:$D$257,'G-2 Habitat groups'!A147,'E-1 Off Site Hedge Baseline'!$P$10:$P$257)</f>
        <v>0</v>
      </c>
      <c r="V147" s="111">
        <f>SUMIF('E-1 Off Site Hedge Baseline'!$D$10:$D$257,'G-2 Habitat groups'!A147,'E-1 Off Site Hedge Baseline'!$R$10:$R$257)</f>
        <v>0</v>
      </c>
      <c r="W147" s="111">
        <f>SUMIF('E-2 Off Site Hedge Creation'!$D$12:$D$259,'G-2 Habitat groups'!A147,'E-2 Off Site Hedge Creation'!$R$12:$R$259)</f>
        <v>0</v>
      </c>
      <c r="X147" s="111">
        <f>SUMIF('E-2 Off Site Hedge Creation'!$D$12:$D$259,'G-2 Habitat groups'!A147,'E-2 Off Site Hedge Creation'!$Y$12:$Y$259)</f>
        <v>0</v>
      </c>
      <c r="Y147" s="111">
        <f>SUMIF('E-3 Off Site Hedge Enhancement'!$M$12:$M$259,'G-2 Habitat groups'!A147,'E-3 Off Site Hedge Enhancement'!$P$12:$P$259)</f>
        <v>0</v>
      </c>
      <c r="Z147" s="111">
        <f>SUMIF('E-3 Off Site Hedge Enhancement'!$M$12:$M$259,'G-2 Habitat groups'!A147,'E-3 Off Site Hedge Enhancement'!$AJ$12:$AJ$259)</f>
        <v>0</v>
      </c>
      <c r="AA147" s="111">
        <f>U147+W147+Y147</f>
        <v>0</v>
      </c>
      <c r="AB147" s="111">
        <f>V147+X147+Z147</f>
        <v>0</v>
      </c>
      <c r="AC147" s="111">
        <f t="shared" ref="AC147:AC159" si="144">AA147-S147</f>
        <v>0</v>
      </c>
      <c r="AD147" s="111">
        <f t="shared" ref="AD147:AD159" si="145">AB147-T147</f>
        <v>0</v>
      </c>
      <c r="AE147" s="111">
        <f t="shared" ref="AE147:AE159" si="146">Q147+AC147</f>
        <v>0</v>
      </c>
      <c r="AF147" s="111">
        <f t="shared" ref="AF147:AF159" si="147">R147+AD147</f>
        <v>0</v>
      </c>
    </row>
    <row r="148" spans="1:59" x14ac:dyDescent="0.25">
      <c r="A148" s="129" t="str">
        <f>'G-6 Hedgerow Data'!B4</f>
        <v>Native Species Rich Hedgerow with trees</v>
      </c>
      <c r="B148" s="100" t="s">
        <v>1358</v>
      </c>
      <c r="C148" s="100" t="str">
        <f>'G-6 Hedgerow Data'!C4</f>
        <v>High</v>
      </c>
      <c r="D148" s="100" t="str">
        <f>'G-6 Hedgerow Data'!AH4</f>
        <v>Like for like or better</v>
      </c>
      <c r="E148" s="111">
        <f>SUMIF('B-1 Site Hedge Baseline'!$D$10:$D$257,'G-2 Habitat groups'!A148,'B-1 Site Hedge Baseline'!$E$10:$E$257)</f>
        <v>0</v>
      </c>
      <c r="F148" s="111">
        <f>SUMIF('B-1 Site Hedge Baseline'!$D$10:$D$257,'G-2 Habitat groups'!A148,'B-1 Site Hedge Baseline'!$N$10:$N$257)</f>
        <v>0</v>
      </c>
      <c r="G148" s="111">
        <f>SUMIF('B-1 Site Hedge Baseline'!$D$10:$D$257,'G-2 Habitat groups'!A148,'B-1 Site Hedge Baseline'!$P$10:$P$257)</f>
        <v>0</v>
      </c>
      <c r="H148" s="111">
        <f>SUMIF('B-1 Site Hedge Baseline'!$D$10:$D$257,'G-2 Habitat groups'!A148,'B-1 Site Hedge Baseline'!$R$10:$R$257)</f>
        <v>0</v>
      </c>
      <c r="I148" s="111">
        <f>SUMIF('B-1 Site Hedge Baseline'!$D$10:$D$257,'G-2 Habitat groups'!A148,'B-1 Site Hedge Baseline'!$T$10:$T$257)</f>
        <v>0</v>
      </c>
      <c r="J148" s="111">
        <f>SUMIF('A-1 Site Habitat Baseline'!$G$11:$G$258,'G-2 Habitat groups'!A148,'A-1 Site Habitat Baseline'!$X$11:$X$258)</f>
        <v>0</v>
      </c>
      <c r="K148" s="111">
        <f>SUMIF('B-2 Site Hedge Creation'!$D$12:$D$259,'G-2 Habitat groups'!A148,'B-2 Site Hedge Creation'!$E$12:$E$259)</f>
        <v>0</v>
      </c>
      <c r="L148" s="111">
        <f>SUMIF('B-2 Site Hedge Creation'!$D$12:$D$259,'G-2 Habitat groups'!A148,'B-2 Site Hedge Creation'!$W$12:$W$259)</f>
        <v>0</v>
      </c>
      <c r="M148" s="111">
        <f>SUMIF('B-3 Site Hedge Enhancement'!$M$12:$M$257,'G-2 Habitat groups'!A148,'B-3 Site Hedge Enhancement'!$P$12:$P$257)</f>
        <v>0</v>
      </c>
      <c r="N148" s="111">
        <f>SUMIF('B-3 Site Hedge Enhancement'!$M$12:$M$257,'G-2 Habitat groups'!A148,'B-3 Site Hedge Enhancement'!$AH$12:$AH$257)</f>
        <v>0</v>
      </c>
      <c r="O148" s="111">
        <f t="shared" si="140"/>
        <v>0</v>
      </c>
      <c r="P148" s="111">
        <f t="shared" si="141"/>
        <v>0</v>
      </c>
      <c r="Q148" s="111">
        <f t="shared" si="142"/>
        <v>0</v>
      </c>
      <c r="R148" s="111">
        <f t="shared" si="143"/>
        <v>0</v>
      </c>
      <c r="S148" s="111">
        <f>SUMIF('E-1 Off Site Hedge Baseline'!$D$10:$D$257,'G-2 Habitat groups'!A148,'E-1 Off Site Hedge Baseline'!$E$10:$E$257)</f>
        <v>0</v>
      </c>
      <c r="T148" s="111">
        <f>SUMIF('E-1 Off Site Hedge Baseline'!$D$10:$D$257,'G-2 Habitat groups'!A148,'E-1 Off Site Hedge Baseline'!$N$10:$N$257)</f>
        <v>0</v>
      </c>
      <c r="U148" s="111">
        <f>SUMIF('E-1 Off Site Hedge Baseline'!$D$10:$D$257,'G-2 Habitat groups'!A148,'E-1 Off Site Hedge Baseline'!$P$10:$P$257)</f>
        <v>0</v>
      </c>
      <c r="V148" s="111">
        <f>SUMIF('E-1 Off Site Hedge Baseline'!$D$10:$D$257,'G-2 Habitat groups'!A148,'E-1 Off Site Hedge Baseline'!$R$10:$R$257)</f>
        <v>0</v>
      </c>
      <c r="W148" s="111">
        <f>SUMIF('E-2 Off Site Hedge Creation'!$D$12:$D$259,'G-2 Habitat groups'!A148,'E-2 Off Site Hedge Creation'!$R$12:$R$259)</f>
        <v>0</v>
      </c>
      <c r="X148" s="111">
        <f>SUMIF('E-2 Off Site Hedge Creation'!$D$12:$D$259,'G-2 Habitat groups'!A148,'E-2 Off Site Hedge Creation'!$Y$12:$Y$259)</f>
        <v>0</v>
      </c>
      <c r="Y148" s="111">
        <f>SUMIF('E-3 Off Site Hedge Enhancement'!$M$12:$M$259,'G-2 Habitat groups'!A148,'E-3 Off Site Hedge Enhancement'!$P$12:$P$259)</f>
        <v>0</v>
      </c>
      <c r="Z148" s="111">
        <f>SUMIF('E-3 Off Site Hedge Enhancement'!$M$12:$M$259,'G-2 Habitat groups'!A148,'E-3 Off Site Hedge Enhancement'!$AJ$12:$AJ$259)</f>
        <v>0</v>
      </c>
      <c r="AA148" s="111">
        <f t="shared" ref="AA148:AA159" si="148">U148+W148+Y148</f>
        <v>0</v>
      </c>
      <c r="AB148" s="111">
        <f t="shared" ref="AB148:AB159" si="149">V148+X148+Z148</f>
        <v>0</v>
      </c>
      <c r="AC148" s="111">
        <f t="shared" si="144"/>
        <v>0</v>
      </c>
      <c r="AD148" s="111">
        <f t="shared" si="145"/>
        <v>0</v>
      </c>
      <c r="AE148" s="111">
        <f t="shared" si="146"/>
        <v>0</v>
      </c>
      <c r="AF148" s="111">
        <f t="shared" si="147"/>
        <v>0</v>
      </c>
    </row>
    <row r="149" spans="1:59" x14ac:dyDescent="0.25">
      <c r="A149" s="129" t="str">
        <f>'G-6 Hedgerow Data'!B5</f>
        <v>Native Species Rich Hedgerow - Associated with bank or ditch</v>
      </c>
      <c r="B149" s="100" t="s">
        <v>1358</v>
      </c>
      <c r="C149" s="100" t="str">
        <f>'G-6 Hedgerow Data'!C5</f>
        <v>High</v>
      </c>
      <c r="D149" s="100" t="str">
        <f>'G-6 Hedgerow Data'!AH5</f>
        <v>Like for like or better</v>
      </c>
      <c r="E149" s="111">
        <f>SUMIF('B-1 Site Hedge Baseline'!$D$10:$D$257,'G-2 Habitat groups'!A149,'B-1 Site Hedge Baseline'!$E$10:$E$257)</f>
        <v>0</v>
      </c>
      <c r="F149" s="111">
        <f>SUMIF('B-1 Site Hedge Baseline'!$D$10:$D$257,'G-2 Habitat groups'!A149,'B-1 Site Hedge Baseline'!$N$10:$N$257)</f>
        <v>0</v>
      </c>
      <c r="G149" s="111">
        <f>SUMIF('B-1 Site Hedge Baseline'!$D$10:$D$257,'G-2 Habitat groups'!A149,'B-1 Site Hedge Baseline'!$P$10:$P$257)</f>
        <v>0</v>
      </c>
      <c r="H149" s="111">
        <f>SUMIF('B-1 Site Hedge Baseline'!$D$10:$D$257,'G-2 Habitat groups'!A149,'B-1 Site Hedge Baseline'!$R$10:$R$257)</f>
        <v>0</v>
      </c>
      <c r="I149" s="111">
        <f>SUMIF('B-1 Site Hedge Baseline'!$D$10:$D$257,'G-2 Habitat groups'!A149,'B-1 Site Hedge Baseline'!$T$10:$T$257)</f>
        <v>0</v>
      </c>
      <c r="J149" s="111">
        <f>SUMIF('A-1 Site Habitat Baseline'!$G$11:$G$258,'G-2 Habitat groups'!A149,'A-1 Site Habitat Baseline'!$X$11:$X$258)</f>
        <v>0</v>
      </c>
      <c r="K149" s="111">
        <f>SUMIF('B-2 Site Hedge Creation'!$D$12:$D$259,'G-2 Habitat groups'!A149,'B-2 Site Hedge Creation'!$E$12:$E$259)</f>
        <v>0</v>
      </c>
      <c r="L149" s="111">
        <f>SUMIF('B-2 Site Hedge Creation'!$D$12:$D$259,'G-2 Habitat groups'!A149,'B-2 Site Hedge Creation'!$W$12:$W$259)</f>
        <v>0</v>
      </c>
      <c r="M149" s="111">
        <f>SUMIF('B-3 Site Hedge Enhancement'!$M$12:$M$257,'G-2 Habitat groups'!A149,'B-3 Site Hedge Enhancement'!$P$12:$P$257)</f>
        <v>0</v>
      </c>
      <c r="N149" s="111">
        <f>SUMIF('B-3 Site Hedge Enhancement'!$M$12:$M$257,'G-2 Habitat groups'!A149,'B-3 Site Hedge Enhancement'!$AH$12:$AH$257)</f>
        <v>0</v>
      </c>
      <c r="O149" s="111">
        <f t="shared" si="140"/>
        <v>0</v>
      </c>
      <c r="P149" s="111">
        <f t="shared" si="141"/>
        <v>0</v>
      </c>
      <c r="Q149" s="111">
        <f t="shared" si="142"/>
        <v>0</v>
      </c>
      <c r="R149" s="111">
        <f t="shared" si="143"/>
        <v>0</v>
      </c>
      <c r="S149" s="111">
        <f>SUMIF('E-1 Off Site Hedge Baseline'!$D$10:$D$257,'G-2 Habitat groups'!A149,'E-1 Off Site Hedge Baseline'!$E$10:$E$257)</f>
        <v>0</v>
      </c>
      <c r="T149" s="111">
        <f>SUMIF('E-1 Off Site Hedge Baseline'!$D$10:$D$257,'G-2 Habitat groups'!A149,'E-1 Off Site Hedge Baseline'!$N$10:$N$257)</f>
        <v>0</v>
      </c>
      <c r="U149" s="111">
        <f>SUMIF('E-1 Off Site Hedge Baseline'!$D$10:$D$257,'G-2 Habitat groups'!A149,'E-1 Off Site Hedge Baseline'!$P$10:$P$257)</f>
        <v>0</v>
      </c>
      <c r="V149" s="111">
        <f>SUMIF('E-1 Off Site Hedge Baseline'!$D$10:$D$257,'G-2 Habitat groups'!A149,'E-1 Off Site Hedge Baseline'!$R$10:$R$257)</f>
        <v>0</v>
      </c>
      <c r="W149" s="111">
        <f>SUMIF('E-2 Off Site Hedge Creation'!$D$12:$D$259,'G-2 Habitat groups'!A149,'E-2 Off Site Hedge Creation'!$R$12:$R$259)</f>
        <v>0</v>
      </c>
      <c r="X149" s="111">
        <f>SUMIF('E-2 Off Site Hedge Creation'!$D$12:$D$259,'G-2 Habitat groups'!A149,'E-2 Off Site Hedge Creation'!$Y$12:$Y$259)</f>
        <v>0</v>
      </c>
      <c r="Y149" s="111">
        <f>SUMIF('E-3 Off Site Hedge Enhancement'!$M$12:$M$259,'G-2 Habitat groups'!A149,'E-3 Off Site Hedge Enhancement'!$P$12:$P$259)</f>
        <v>0</v>
      </c>
      <c r="Z149" s="111">
        <f>SUMIF('E-3 Off Site Hedge Enhancement'!$M$12:$M$259,'G-2 Habitat groups'!A149,'E-3 Off Site Hedge Enhancement'!$AJ$12:$AJ$259)</f>
        <v>0</v>
      </c>
      <c r="AA149" s="111">
        <f t="shared" si="148"/>
        <v>0</v>
      </c>
      <c r="AB149" s="111">
        <f t="shared" si="149"/>
        <v>0</v>
      </c>
      <c r="AC149" s="111">
        <f t="shared" si="144"/>
        <v>0</v>
      </c>
      <c r="AD149" s="111">
        <f t="shared" si="145"/>
        <v>0</v>
      </c>
      <c r="AE149" s="111">
        <f t="shared" si="146"/>
        <v>0</v>
      </c>
      <c r="AF149" s="111">
        <f t="shared" si="147"/>
        <v>0</v>
      </c>
    </row>
    <row r="150" spans="1:59" x14ac:dyDescent="0.25">
      <c r="A150" s="129" t="str">
        <f>'G-6 Hedgerow Data'!B6</f>
        <v>Native Hedgerow with trees - Associated with bank or ditch</v>
      </c>
      <c r="B150" s="100" t="s">
        <v>1358</v>
      </c>
      <c r="C150" s="100" t="str">
        <f>'G-6 Hedgerow Data'!C6</f>
        <v>High</v>
      </c>
      <c r="D150" s="100" t="str">
        <f>'G-6 Hedgerow Data'!AH6</f>
        <v>Like for like or better</v>
      </c>
      <c r="E150" s="111">
        <f>SUMIF('B-1 Site Hedge Baseline'!$D$10:$D$257,'G-2 Habitat groups'!A150,'B-1 Site Hedge Baseline'!$E$10:$E$257)</f>
        <v>0</v>
      </c>
      <c r="F150" s="111">
        <f>SUMIF('B-1 Site Hedge Baseline'!$D$10:$D$257,'G-2 Habitat groups'!A150,'B-1 Site Hedge Baseline'!$N$10:$N$257)</f>
        <v>0</v>
      </c>
      <c r="G150" s="111">
        <f>SUMIF('B-1 Site Hedge Baseline'!$D$10:$D$257,'G-2 Habitat groups'!A150,'B-1 Site Hedge Baseline'!$P$10:$P$257)</f>
        <v>0</v>
      </c>
      <c r="H150" s="111">
        <f>SUMIF('B-1 Site Hedge Baseline'!$D$10:$D$257,'G-2 Habitat groups'!A150,'B-1 Site Hedge Baseline'!$R$10:$R$257)</f>
        <v>0</v>
      </c>
      <c r="I150" s="111">
        <f>SUMIF('B-1 Site Hedge Baseline'!$D$10:$D$257,'G-2 Habitat groups'!A150,'B-1 Site Hedge Baseline'!$T$10:$T$257)</f>
        <v>0</v>
      </c>
      <c r="J150" s="111">
        <f>SUMIF('A-1 Site Habitat Baseline'!$G$11:$G$258,'G-2 Habitat groups'!A150,'A-1 Site Habitat Baseline'!$X$11:$X$258)</f>
        <v>0</v>
      </c>
      <c r="K150" s="111">
        <f>SUMIF('B-2 Site Hedge Creation'!$D$12:$D$259,'G-2 Habitat groups'!A150,'B-2 Site Hedge Creation'!$E$12:$E$259)</f>
        <v>0</v>
      </c>
      <c r="L150" s="111">
        <f>SUMIF('B-2 Site Hedge Creation'!$D$12:$D$259,'G-2 Habitat groups'!A150,'B-2 Site Hedge Creation'!$W$12:$W$259)</f>
        <v>0</v>
      </c>
      <c r="M150" s="111">
        <f>SUMIF('B-3 Site Hedge Enhancement'!$M$12:$M$257,'G-2 Habitat groups'!A150,'B-3 Site Hedge Enhancement'!$P$12:$P$257)</f>
        <v>0</v>
      </c>
      <c r="N150" s="111">
        <f>SUMIF('B-3 Site Hedge Enhancement'!$M$12:$M$257,'G-2 Habitat groups'!A150,'B-3 Site Hedge Enhancement'!$AH$12:$AH$257)</f>
        <v>0</v>
      </c>
      <c r="O150" s="111">
        <f t="shared" si="140"/>
        <v>0</v>
      </c>
      <c r="P150" s="111">
        <f t="shared" si="141"/>
        <v>0</v>
      </c>
      <c r="Q150" s="111">
        <f t="shared" si="142"/>
        <v>0</v>
      </c>
      <c r="R150" s="111">
        <f t="shared" si="143"/>
        <v>0</v>
      </c>
      <c r="S150" s="111">
        <f>SUMIF('E-1 Off Site Hedge Baseline'!$D$10:$D$257,'G-2 Habitat groups'!A150,'E-1 Off Site Hedge Baseline'!$E$10:$E$257)</f>
        <v>0</v>
      </c>
      <c r="T150" s="111">
        <f>SUMIF('E-1 Off Site Hedge Baseline'!$D$10:$D$257,'G-2 Habitat groups'!A150,'E-1 Off Site Hedge Baseline'!$N$10:$N$257)</f>
        <v>0</v>
      </c>
      <c r="U150" s="111">
        <f>SUMIF('E-1 Off Site Hedge Baseline'!$D$10:$D$257,'G-2 Habitat groups'!A150,'E-1 Off Site Hedge Baseline'!$P$10:$P$257)</f>
        <v>0</v>
      </c>
      <c r="V150" s="111">
        <f>SUMIF('E-1 Off Site Hedge Baseline'!$D$10:$D$257,'G-2 Habitat groups'!A150,'E-1 Off Site Hedge Baseline'!$R$10:$R$257)</f>
        <v>0</v>
      </c>
      <c r="W150" s="111">
        <f>SUMIF('E-2 Off Site Hedge Creation'!$D$12:$D$259,'G-2 Habitat groups'!A150,'E-2 Off Site Hedge Creation'!$R$12:$R$259)</f>
        <v>0</v>
      </c>
      <c r="X150" s="111">
        <f>SUMIF('E-2 Off Site Hedge Creation'!$D$12:$D$259,'G-2 Habitat groups'!A150,'E-2 Off Site Hedge Creation'!$Y$12:$Y$259)</f>
        <v>0</v>
      </c>
      <c r="Y150" s="111">
        <f>SUMIF('E-3 Off Site Hedge Enhancement'!$M$12:$M$259,'G-2 Habitat groups'!A150,'E-3 Off Site Hedge Enhancement'!$P$12:$P$259)</f>
        <v>0</v>
      </c>
      <c r="Z150" s="111">
        <f>SUMIF('E-3 Off Site Hedge Enhancement'!$M$12:$M$259,'G-2 Habitat groups'!A150,'E-3 Off Site Hedge Enhancement'!$AJ$12:$AJ$259)</f>
        <v>0</v>
      </c>
      <c r="AA150" s="111">
        <f t="shared" si="148"/>
        <v>0</v>
      </c>
      <c r="AB150" s="111">
        <f t="shared" si="149"/>
        <v>0</v>
      </c>
      <c r="AC150" s="111">
        <f t="shared" si="144"/>
        <v>0</v>
      </c>
      <c r="AD150" s="111">
        <f t="shared" si="145"/>
        <v>0</v>
      </c>
      <c r="AE150" s="111">
        <f t="shared" si="146"/>
        <v>0</v>
      </c>
      <c r="AF150" s="111">
        <f t="shared" si="147"/>
        <v>0</v>
      </c>
    </row>
    <row r="151" spans="1:59" ht="35.4" x14ac:dyDescent="0.6">
      <c r="A151" s="500" t="str">
        <f>'G-6 Hedgerow Data'!B7</f>
        <v>Native Species Rich Hedgerow</v>
      </c>
      <c r="B151" s="501" t="s">
        <v>1358</v>
      </c>
      <c r="C151" s="501" t="str">
        <f>'G-6 Hedgerow Data'!C7</f>
        <v>Medium</v>
      </c>
      <c r="D151" s="501" t="str">
        <f>'G-6 Hedgerow Data'!AH7</f>
        <v>Like for like or better</v>
      </c>
      <c r="E151" s="511">
        <f>SUMIF('B-1 Site Hedge Baseline'!$D$10:$D$257,'G-2 Habitat groups'!A151,'B-1 Site Hedge Baseline'!$E$10:$E$257)</f>
        <v>0</v>
      </c>
      <c r="F151" s="511">
        <f>SUMIF('B-1 Site Hedge Baseline'!$D$10:$D$257,'G-2 Habitat groups'!A151,'B-1 Site Hedge Baseline'!$N$10:$N$257)</f>
        <v>0</v>
      </c>
      <c r="G151" s="511">
        <f>SUMIF('B-1 Site Hedge Baseline'!$D$10:$D$257,'G-2 Habitat groups'!A151,'B-1 Site Hedge Baseline'!$P$10:$P$257)</f>
        <v>0</v>
      </c>
      <c r="H151" s="511">
        <f>SUMIF('B-1 Site Hedge Baseline'!$D$10:$D$257,'G-2 Habitat groups'!A151,'B-1 Site Hedge Baseline'!$R$10:$R$257)</f>
        <v>0</v>
      </c>
      <c r="I151" s="511">
        <f>SUMIF('B-1 Site Hedge Baseline'!$D$10:$D$257,'G-2 Habitat groups'!A151,'B-1 Site Hedge Baseline'!$T$10:$T$257)</f>
        <v>0</v>
      </c>
      <c r="J151" s="511">
        <f>SUMIF('A-1 Site Habitat Baseline'!$G$11:$G$258,'G-2 Habitat groups'!A151,'A-1 Site Habitat Baseline'!$X$11:$X$258)</f>
        <v>0</v>
      </c>
      <c r="K151" s="511">
        <f>SUMIF('B-2 Site Hedge Creation'!$D$12:$D$259,'G-2 Habitat groups'!A151,'B-2 Site Hedge Creation'!$E$12:$E$259)</f>
        <v>0</v>
      </c>
      <c r="L151" s="511">
        <f>SUMIF('B-2 Site Hedge Creation'!$D$12:$D$259,'G-2 Habitat groups'!A151,'B-2 Site Hedge Creation'!$W$12:$W$259)</f>
        <v>0</v>
      </c>
      <c r="M151" s="511">
        <f>SUMIF('B-3 Site Hedge Enhancement'!$M$12:$M$257,'G-2 Habitat groups'!A151,'B-3 Site Hedge Enhancement'!$P$12:$P$257)</f>
        <v>0</v>
      </c>
      <c r="N151" s="511">
        <f>SUMIF('B-3 Site Hedge Enhancement'!$M$12:$M$257,'G-2 Habitat groups'!A151,'B-3 Site Hedge Enhancement'!$AH$12:$AH$257)</f>
        <v>0</v>
      </c>
      <c r="O151" s="511">
        <f t="shared" si="140"/>
        <v>0</v>
      </c>
      <c r="P151" s="511">
        <f t="shared" si="141"/>
        <v>0</v>
      </c>
      <c r="Q151" s="511">
        <f t="shared" si="142"/>
        <v>0</v>
      </c>
      <c r="R151" s="511">
        <f t="shared" si="143"/>
        <v>0</v>
      </c>
      <c r="S151" s="511">
        <f>SUMIF('E-1 Off Site Hedge Baseline'!$D$10:$D$257,'G-2 Habitat groups'!A151,'E-1 Off Site Hedge Baseline'!$E$10:$E$257)</f>
        <v>0</v>
      </c>
      <c r="T151" s="111">
        <f>SUMIF('E-1 Off Site Hedge Baseline'!$D$10:$D$257,'G-2 Habitat groups'!A151,'E-1 Off Site Hedge Baseline'!$N$10:$N$257)</f>
        <v>0</v>
      </c>
      <c r="U151" s="111">
        <f>SUMIF('E-1 Off Site Hedge Baseline'!$D$10:$D$257,'G-2 Habitat groups'!A151,'E-1 Off Site Hedge Baseline'!$P$10:$P$257)</f>
        <v>0</v>
      </c>
      <c r="V151" s="111">
        <f>SUMIF('E-1 Off Site Hedge Baseline'!$D$10:$D$257,'G-2 Habitat groups'!A151,'E-1 Off Site Hedge Baseline'!$R$10:$R$257)</f>
        <v>0</v>
      </c>
      <c r="W151" s="111">
        <f>SUMIF('E-2 Off Site Hedge Creation'!$D$12:$D$259,'G-2 Habitat groups'!A151,'E-2 Off Site Hedge Creation'!$R$12:$R$259)</f>
        <v>0</v>
      </c>
      <c r="X151" s="111">
        <f>SUMIF('E-2 Off Site Hedge Creation'!$D$12:$D$259,'G-2 Habitat groups'!A151,'E-2 Off Site Hedge Creation'!$Y$12:$Y$259)</f>
        <v>0</v>
      </c>
      <c r="Y151" s="111">
        <f>SUMIF('E-3 Off Site Hedge Enhancement'!$M$12:$M$259,'G-2 Habitat groups'!A151,'E-3 Off Site Hedge Enhancement'!$P$12:$P$259)</f>
        <v>0</v>
      </c>
      <c r="Z151" s="111">
        <f>SUMIF('E-3 Off Site Hedge Enhancement'!$M$12:$M$259,'G-2 Habitat groups'!A151,'E-3 Off Site Hedge Enhancement'!$AJ$12:$AJ$259)</f>
        <v>0</v>
      </c>
      <c r="AA151" s="511">
        <f t="shared" si="148"/>
        <v>0</v>
      </c>
      <c r="AB151" s="511">
        <f t="shared" si="149"/>
        <v>0</v>
      </c>
      <c r="AC151" s="511">
        <f t="shared" si="144"/>
        <v>0</v>
      </c>
      <c r="AD151" s="511">
        <f t="shared" si="145"/>
        <v>0</v>
      </c>
      <c r="AE151" s="511">
        <f t="shared" si="146"/>
        <v>0</v>
      </c>
      <c r="AF151" s="511">
        <f t="shared" si="147"/>
        <v>0</v>
      </c>
      <c r="AU151" s="553" t="s">
        <v>782</v>
      </c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46"/>
    </row>
    <row r="152" spans="1:59" ht="31.2" x14ac:dyDescent="0.3">
      <c r="A152" s="500" t="str">
        <f>'G-6 Hedgerow Data'!B8</f>
        <v>Native Hedgerow - Associated with bank or ditch</v>
      </c>
      <c r="B152" s="501" t="s">
        <v>1358</v>
      </c>
      <c r="C152" s="501" t="str">
        <f>'G-6 Hedgerow Data'!C8</f>
        <v>Medium</v>
      </c>
      <c r="D152" s="501" t="str">
        <f>'G-6 Hedgerow Data'!AH8</f>
        <v>Like for like or better</v>
      </c>
      <c r="E152" s="511">
        <f>SUMIF('B-1 Site Hedge Baseline'!$D$10:$D$257,'G-2 Habitat groups'!A152,'B-1 Site Hedge Baseline'!$E$10:$E$257)</f>
        <v>0</v>
      </c>
      <c r="F152" s="511">
        <f>SUMIF('B-1 Site Hedge Baseline'!$D$10:$D$257,'G-2 Habitat groups'!A152,'B-1 Site Hedge Baseline'!$N$10:$N$257)</f>
        <v>0</v>
      </c>
      <c r="G152" s="511">
        <f>SUMIF('B-1 Site Hedge Baseline'!$D$10:$D$257,'G-2 Habitat groups'!A152,'B-1 Site Hedge Baseline'!$P$10:$P$257)</f>
        <v>0</v>
      </c>
      <c r="H152" s="511">
        <f>SUMIF('B-1 Site Hedge Baseline'!$D$10:$D$257,'G-2 Habitat groups'!A152,'B-1 Site Hedge Baseline'!$R$10:$R$257)</f>
        <v>0</v>
      </c>
      <c r="I152" s="511">
        <f>SUMIF('B-1 Site Hedge Baseline'!$D$10:$D$257,'G-2 Habitat groups'!A152,'B-1 Site Hedge Baseline'!$T$10:$T$257)</f>
        <v>0</v>
      </c>
      <c r="J152" s="511">
        <f>SUMIF('A-1 Site Habitat Baseline'!$G$11:$G$258,'G-2 Habitat groups'!A152,'A-1 Site Habitat Baseline'!$X$11:$X$258)</f>
        <v>0</v>
      </c>
      <c r="K152" s="511">
        <f>SUMIF('B-2 Site Hedge Creation'!$D$12:$D$259,'G-2 Habitat groups'!A152,'B-2 Site Hedge Creation'!$E$12:$E$259)</f>
        <v>0</v>
      </c>
      <c r="L152" s="511">
        <f>SUMIF('B-2 Site Hedge Creation'!$D$12:$D$259,'G-2 Habitat groups'!A152,'B-2 Site Hedge Creation'!$W$12:$W$259)</f>
        <v>0</v>
      </c>
      <c r="M152" s="511">
        <f>SUMIF('B-3 Site Hedge Enhancement'!$M$12:$M$257,'G-2 Habitat groups'!A152,'B-3 Site Hedge Enhancement'!$P$12:$P$257)</f>
        <v>0</v>
      </c>
      <c r="N152" s="511">
        <f>SUMIF('B-3 Site Hedge Enhancement'!$M$12:$M$257,'G-2 Habitat groups'!A152,'B-3 Site Hedge Enhancement'!$AH$12:$AH$257)</f>
        <v>0</v>
      </c>
      <c r="O152" s="511">
        <f t="shared" si="140"/>
        <v>0</v>
      </c>
      <c r="P152" s="511">
        <f t="shared" si="141"/>
        <v>0</v>
      </c>
      <c r="Q152" s="511">
        <f t="shared" si="142"/>
        <v>0</v>
      </c>
      <c r="R152" s="511">
        <f t="shared" si="143"/>
        <v>0</v>
      </c>
      <c r="S152" s="511">
        <f>SUMIF('E-1 Off Site Hedge Baseline'!$D$10:$D$257,'G-2 Habitat groups'!A152,'E-1 Off Site Hedge Baseline'!$E$10:$E$257)</f>
        <v>0</v>
      </c>
      <c r="T152" s="111">
        <f>SUMIF('E-1 Off Site Hedge Baseline'!$D$10:$D$257,'G-2 Habitat groups'!A152,'E-1 Off Site Hedge Baseline'!$N$10:$N$257)</f>
        <v>0</v>
      </c>
      <c r="U152" s="111">
        <f>SUMIF('E-1 Off Site Hedge Baseline'!$D$10:$D$257,'G-2 Habitat groups'!A152,'E-1 Off Site Hedge Baseline'!$P$10:$P$257)</f>
        <v>0</v>
      </c>
      <c r="V152" s="111">
        <f>SUMIF('E-1 Off Site Hedge Baseline'!$D$10:$D$257,'G-2 Habitat groups'!A152,'E-1 Off Site Hedge Baseline'!$R$10:$R$257)</f>
        <v>0</v>
      </c>
      <c r="W152" s="111">
        <f>SUMIF('E-2 Off Site Hedge Creation'!$D$12:$D$259,'G-2 Habitat groups'!A152,'E-2 Off Site Hedge Creation'!$R$12:$R$259)</f>
        <v>0</v>
      </c>
      <c r="X152" s="111">
        <f>SUMIF('E-2 Off Site Hedge Creation'!$D$12:$D$259,'G-2 Habitat groups'!A152,'E-2 Off Site Hedge Creation'!$Y$12:$Y$259)</f>
        <v>0</v>
      </c>
      <c r="Y152" s="111">
        <f>SUMIF('E-3 Off Site Hedge Enhancement'!$M$12:$M$259,'G-2 Habitat groups'!A152,'E-3 Off Site Hedge Enhancement'!$P$12:$P$259)</f>
        <v>0</v>
      </c>
      <c r="Z152" s="111">
        <f>SUMIF('E-3 Off Site Hedge Enhancement'!$M$12:$M$259,'G-2 Habitat groups'!A152,'E-3 Off Site Hedge Enhancement'!$AJ$12:$AJ$259)</f>
        <v>0</v>
      </c>
      <c r="AA152" s="511">
        <f t="shared" si="148"/>
        <v>0</v>
      </c>
      <c r="AB152" s="511">
        <f t="shared" si="149"/>
        <v>0</v>
      </c>
      <c r="AC152" s="511">
        <f t="shared" si="144"/>
        <v>0</v>
      </c>
      <c r="AD152" s="511">
        <f t="shared" si="145"/>
        <v>0</v>
      </c>
      <c r="AE152" s="511">
        <f t="shared" si="146"/>
        <v>0</v>
      </c>
      <c r="AF152" s="511">
        <f t="shared" si="147"/>
        <v>0</v>
      </c>
      <c r="AU152" s="100" t="s">
        <v>148</v>
      </c>
      <c r="AV152" s="100" t="s">
        <v>134</v>
      </c>
      <c r="AW152" s="145" t="s">
        <v>149</v>
      </c>
      <c r="AX152" s="145" t="s">
        <v>785</v>
      </c>
      <c r="AY152" s="145" t="s">
        <v>775</v>
      </c>
      <c r="AZ152" s="145" t="s">
        <v>776</v>
      </c>
      <c r="BA152" s="145" t="s">
        <v>777</v>
      </c>
      <c r="BB152" s="145" t="s">
        <v>778</v>
      </c>
      <c r="BC152" s="145" t="s">
        <v>779</v>
      </c>
      <c r="BD152" s="153" t="s">
        <v>1324</v>
      </c>
      <c r="BE152" s="145" t="s">
        <v>783</v>
      </c>
      <c r="BF152" s="153" t="s">
        <v>1335</v>
      </c>
    </row>
    <row r="153" spans="1:59" x14ac:dyDescent="0.25">
      <c r="A153" s="129" t="str">
        <f>'G-6 Hedgerow Data'!B9</f>
        <v>Native Hedgerow with trees</v>
      </c>
      <c r="B153" s="100" t="s">
        <v>1358</v>
      </c>
      <c r="C153" s="100" t="str">
        <f>'G-6 Hedgerow Data'!C9</f>
        <v>Medium</v>
      </c>
      <c r="D153" s="100" t="str">
        <f>'G-6 Hedgerow Data'!AH9</f>
        <v>Like for like or better</v>
      </c>
      <c r="E153" s="111">
        <f>SUMIF('B-1 Site Hedge Baseline'!$D$10:$D$257,'G-2 Habitat groups'!A153,'B-1 Site Hedge Baseline'!$E$10:$E$257)</f>
        <v>0</v>
      </c>
      <c r="F153" s="111">
        <f>SUMIF('B-1 Site Hedge Baseline'!$D$10:$D$257,'G-2 Habitat groups'!A153,'B-1 Site Hedge Baseline'!$N$10:$N$257)</f>
        <v>0</v>
      </c>
      <c r="G153" s="111">
        <f>SUMIF('B-1 Site Hedge Baseline'!$D$10:$D$257,'G-2 Habitat groups'!A153,'B-1 Site Hedge Baseline'!$P$10:$P$257)</f>
        <v>0</v>
      </c>
      <c r="H153" s="111">
        <f>SUMIF('B-1 Site Hedge Baseline'!$D$10:$D$257,'G-2 Habitat groups'!A153,'B-1 Site Hedge Baseline'!$R$10:$R$257)</f>
        <v>0</v>
      </c>
      <c r="I153" s="111">
        <f>SUMIF('B-1 Site Hedge Baseline'!$D$10:$D$257,'G-2 Habitat groups'!A153,'B-1 Site Hedge Baseline'!$T$10:$T$257)</f>
        <v>0</v>
      </c>
      <c r="J153" s="111">
        <f>SUMIF('A-1 Site Habitat Baseline'!$G$11:$G$258,'G-2 Habitat groups'!A153,'A-1 Site Habitat Baseline'!$X$11:$X$258)</f>
        <v>0</v>
      </c>
      <c r="K153" s="111">
        <f>SUMIF('B-2 Site Hedge Creation'!$D$12:$D$259,'G-2 Habitat groups'!A153,'B-2 Site Hedge Creation'!$E$12:$E$259)</f>
        <v>0</v>
      </c>
      <c r="L153" s="111">
        <f>SUMIF('B-2 Site Hedge Creation'!$D$12:$D$259,'G-2 Habitat groups'!A153,'B-2 Site Hedge Creation'!$W$12:$W$259)</f>
        <v>0</v>
      </c>
      <c r="M153" s="111">
        <f>SUMIF('B-3 Site Hedge Enhancement'!$M$12:$M$257,'G-2 Habitat groups'!A153,'B-3 Site Hedge Enhancement'!$P$12:$P$257)</f>
        <v>0</v>
      </c>
      <c r="N153" s="111">
        <f>SUMIF('B-3 Site Hedge Enhancement'!$M$12:$M$257,'G-2 Habitat groups'!A153,'B-3 Site Hedge Enhancement'!$AH$12:$AH$257)</f>
        <v>0</v>
      </c>
      <c r="O153" s="111">
        <f t="shared" si="140"/>
        <v>0</v>
      </c>
      <c r="P153" s="111">
        <f t="shared" si="141"/>
        <v>0</v>
      </c>
      <c r="Q153" s="111">
        <f t="shared" si="142"/>
        <v>0</v>
      </c>
      <c r="R153" s="111">
        <f t="shared" si="143"/>
        <v>0</v>
      </c>
      <c r="S153" s="111">
        <f>SUMIF('E-1 Off Site Hedge Baseline'!$D$10:$D$257,'G-2 Habitat groups'!A153,'E-1 Off Site Hedge Baseline'!$E$10:$E$257)</f>
        <v>0</v>
      </c>
      <c r="T153" s="111">
        <f>SUMIF('E-1 Off Site Hedge Baseline'!$D$10:$D$257,'G-2 Habitat groups'!A153,'E-1 Off Site Hedge Baseline'!$N$10:$N$257)</f>
        <v>0</v>
      </c>
      <c r="U153" s="111">
        <f>SUMIF('E-1 Off Site Hedge Baseline'!$D$10:$D$257,'G-2 Habitat groups'!A153,'E-1 Off Site Hedge Baseline'!$P$10:$P$257)</f>
        <v>0</v>
      </c>
      <c r="V153" s="111">
        <f>SUMIF('E-1 Off Site Hedge Baseline'!$D$10:$D$257,'G-2 Habitat groups'!A153,'E-1 Off Site Hedge Baseline'!$R$10:$R$257)</f>
        <v>0</v>
      </c>
      <c r="W153" s="111">
        <f>SUMIF('E-2 Off Site Hedge Creation'!$D$12:$D$259,'G-2 Habitat groups'!A153,'E-2 Off Site Hedge Creation'!$R$12:$R$259)</f>
        <v>0</v>
      </c>
      <c r="X153" s="111">
        <f>SUMIF('E-2 Off Site Hedge Creation'!$D$12:$D$259,'G-2 Habitat groups'!A153,'E-2 Off Site Hedge Creation'!$Y$12:$Y$259)</f>
        <v>0</v>
      </c>
      <c r="Y153" s="111">
        <f>SUMIF('E-3 Off Site Hedge Enhancement'!$M$12:$M$259,'G-2 Habitat groups'!A153,'E-3 Off Site Hedge Enhancement'!$P$12:$P$259)</f>
        <v>0</v>
      </c>
      <c r="Z153" s="111">
        <f>SUMIF('E-3 Off Site Hedge Enhancement'!$M$12:$M$259,'G-2 Habitat groups'!A153,'E-3 Off Site Hedge Enhancement'!$AJ$12:$AJ$259)</f>
        <v>0</v>
      </c>
      <c r="AA153" s="111">
        <f t="shared" si="148"/>
        <v>0</v>
      </c>
      <c r="AB153" s="111">
        <f t="shared" si="149"/>
        <v>0</v>
      </c>
      <c r="AC153" s="111">
        <f t="shared" si="144"/>
        <v>0</v>
      </c>
      <c r="AD153" s="111">
        <f t="shared" si="145"/>
        <v>0</v>
      </c>
      <c r="AE153" s="111">
        <f t="shared" si="146"/>
        <v>0</v>
      </c>
      <c r="AF153" s="111">
        <f t="shared" si="147"/>
        <v>0</v>
      </c>
      <c r="AU153" s="129" t="s">
        <v>281</v>
      </c>
      <c r="AV153" s="100" t="s">
        <v>166</v>
      </c>
      <c r="AW153" s="111">
        <f>VLOOKUP($AU153,AllHabsSummaryData,5,FALSE)</f>
        <v>0</v>
      </c>
      <c r="AX153" s="111">
        <f>VLOOKUP($AU153,AllHabsSummaryData,10,FALSE)</f>
        <v>0</v>
      </c>
      <c r="AY153" s="111">
        <f>VLOOKUP($AU153,AllHabsSummaryData,15,FALSE)</f>
        <v>1.32E-2</v>
      </c>
      <c r="AZ153" s="111">
        <f>VLOOKUP($AU153,AllHabsSummaryData,16,FALSE)</f>
        <v>0</v>
      </c>
      <c r="BA153" s="111">
        <f>VLOOKUP($AU153,AllHabsSummaryData,17,FALSE)</f>
        <v>1.32E-2</v>
      </c>
      <c r="BB153" s="111">
        <f>VLOOKUP($AU153,AllHabsSummaryData,18,FALSE)</f>
        <v>0</v>
      </c>
      <c r="BC153" s="111">
        <f>VLOOKUP($AU153,AllHabsSummaryData,27,FALSE)</f>
        <v>0</v>
      </c>
      <c r="BD153" s="111">
        <f>VLOOKUP($AU153,AllHabsSummaryData,30,FALSE)</f>
        <v>0</v>
      </c>
      <c r="BE153" s="111">
        <f>BB153+BD153</f>
        <v>0</v>
      </c>
      <c r="BF153" s="111" t="str">
        <f>IF(BE153&lt;0,BE153,"")</f>
        <v/>
      </c>
    </row>
    <row r="154" spans="1:59" x14ac:dyDescent="0.25">
      <c r="A154" s="129" t="str">
        <f>'G-6 Hedgerow Data'!B10</f>
        <v>Line of Trees (Ecologically Valuable)</v>
      </c>
      <c r="B154" s="100" t="s">
        <v>1358</v>
      </c>
      <c r="C154" s="100" t="str">
        <f>'G-6 Hedgerow Data'!C10</f>
        <v>Medium</v>
      </c>
      <c r="D154" s="100" t="str">
        <f>'G-6 Hedgerow Data'!AH10</f>
        <v>Like for like or better</v>
      </c>
      <c r="E154" s="111">
        <f>SUMIF('B-1 Site Hedge Baseline'!$D$10:$D$257,'G-2 Habitat groups'!A154,'B-1 Site Hedge Baseline'!$E$10:$E$257)</f>
        <v>0</v>
      </c>
      <c r="F154" s="111">
        <f>SUMIF('B-1 Site Hedge Baseline'!$D$10:$D$257,'G-2 Habitat groups'!A154,'B-1 Site Hedge Baseline'!$N$10:$N$257)</f>
        <v>0</v>
      </c>
      <c r="G154" s="111">
        <f>SUMIF('B-1 Site Hedge Baseline'!$D$10:$D$257,'G-2 Habitat groups'!A154,'B-1 Site Hedge Baseline'!$P$10:$P$257)</f>
        <v>0</v>
      </c>
      <c r="H154" s="111">
        <f>SUMIF('B-1 Site Hedge Baseline'!$D$10:$D$257,'G-2 Habitat groups'!A154,'B-1 Site Hedge Baseline'!$R$10:$R$257)</f>
        <v>0</v>
      </c>
      <c r="I154" s="111">
        <f>SUMIF('B-1 Site Hedge Baseline'!$D$10:$D$257,'G-2 Habitat groups'!A154,'B-1 Site Hedge Baseline'!$T$10:$T$257)</f>
        <v>0</v>
      </c>
      <c r="J154" s="111">
        <f>SUMIF('A-1 Site Habitat Baseline'!$G$11:$G$258,'G-2 Habitat groups'!A154,'A-1 Site Habitat Baseline'!$X$11:$X$258)</f>
        <v>0</v>
      </c>
      <c r="K154" s="111">
        <f>SUMIF('B-2 Site Hedge Creation'!$D$12:$D$259,'G-2 Habitat groups'!A154,'B-2 Site Hedge Creation'!$E$12:$E$259)</f>
        <v>0</v>
      </c>
      <c r="L154" s="111">
        <f>SUMIF('B-2 Site Hedge Creation'!$D$12:$D$259,'G-2 Habitat groups'!A154,'B-2 Site Hedge Creation'!$W$12:$W$259)</f>
        <v>0</v>
      </c>
      <c r="M154" s="111">
        <f>SUMIF('B-3 Site Hedge Enhancement'!$M$12:$M$257,'G-2 Habitat groups'!A154,'B-3 Site Hedge Enhancement'!$P$12:$P$257)</f>
        <v>0</v>
      </c>
      <c r="N154" s="111">
        <f>SUMIF('B-3 Site Hedge Enhancement'!$M$12:$M$257,'G-2 Habitat groups'!A154,'B-3 Site Hedge Enhancement'!$AH$12:$AH$257)</f>
        <v>0</v>
      </c>
      <c r="O154" s="111">
        <f t="shared" si="140"/>
        <v>0</v>
      </c>
      <c r="P154" s="111">
        <f t="shared" si="141"/>
        <v>0</v>
      </c>
      <c r="Q154" s="111">
        <f t="shared" si="142"/>
        <v>0</v>
      </c>
      <c r="R154" s="111">
        <f t="shared" si="143"/>
        <v>0</v>
      </c>
      <c r="S154" s="111">
        <f>SUMIF('E-1 Off Site Hedge Baseline'!$D$10:$D$257,'G-2 Habitat groups'!A154,'E-1 Off Site Hedge Baseline'!$E$10:$E$257)</f>
        <v>0</v>
      </c>
      <c r="T154" s="111">
        <f>SUMIF('E-1 Off Site Hedge Baseline'!$D$10:$D$257,'G-2 Habitat groups'!A154,'E-1 Off Site Hedge Baseline'!$N$10:$N$257)</f>
        <v>0</v>
      </c>
      <c r="U154" s="111">
        <f>SUMIF('E-1 Off Site Hedge Baseline'!$D$10:$D$257,'G-2 Habitat groups'!A154,'E-1 Off Site Hedge Baseline'!$P$10:$P$257)</f>
        <v>0</v>
      </c>
      <c r="V154" s="111">
        <f>SUMIF('E-1 Off Site Hedge Baseline'!$D$10:$D$257,'G-2 Habitat groups'!A154,'E-1 Off Site Hedge Baseline'!$R$10:$R$257)</f>
        <v>0</v>
      </c>
      <c r="W154" s="111">
        <f>SUMIF('E-2 Off Site Hedge Creation'!$D$12:$D$259,'G-2 Habitat groups'!A154,'E-2 Off Site Hedge Creation'!$R$12:$R$259)</f>
        <v>0</v>
      </c>
      <c r="X154" s="111">
        <f>SUMIF('E-2 Off Site Hedge Creation'!$D$12:$D$259,'G-2 Habitat groups'!A154,'E-2 Off Site Hedge Creation'!$Y$12:$Y$259)</f>
        <v>0</v>
      </c>
      <c r="Y154" s="111">
        <f>SUMIF('E-3 Off Site Hedge Enhancement'!$M$12:$M$259,'G-2 Habitat groups'!A154,'E-3 Off Site Hedge Enhancement'!$P$12:$P$259)</f>
        <v>0</v>
      </c>
      <c r="Z154" s="111">
        <f>SUMIF('E-3 Off Site Hedge Enhancement'!$M$12:$M$259,'G-2 Habitat groups'!A154,'E-3 Off Site Hedge Enhancement'!$AJ$12:$AJ$259)</f>
        <v>0</v>
      </c>
      <c r="AA154" s="111">
        <f t="shared" si="148"/>
        <v>0</v>
      </c>
      <c r="AB154" s="111">
        <f t="shared" si="149"/>
        <v>0</v>
      </c>
      <c r="AC154" s="111">
        <f t="shared" si="144"/>
        <v>0</v>
      </c>
      <c r="AD154" s="111">
        <f t="shared" si="145"/>
        <v>0</v>
      </c>
      <c r="AE154" s="111">
        <f t="shared" si="146"/>
        <v>0</v>
      </c>
      <c r="AF154" s="111">
        <f t="shared" si="147"/>
        <v>0</v>
      </c>
      <c r="AU154" s="129" t="s">
        <v>282</v>
      </c>
      <c r="AV154" s="100" t="s">
        <v>166</v>
      </c>
      <c r="AW154" s="111">
        <f>VLOOKUP($AU154,AllHabsSummaryData,5,FALSE)</f>
        <v>0</v>
      </c>
      <c r="AX154" s="111">
        <f>VLOOKUP($AU154,AllHabsSummaryData,10,FALSE)</f>
        <v>0</v>
      </c>
      <c r="AY154" s="111">
        <f>VLOOKUP($AU154,AllHabsSummaryData,15,FALSE)</f>
        <v>0</v>
      </c>
      <c r="AZ154" s="111">
        <f>VLOOKUP($AU154,AllHabsSummaryData,16,FALSE)</f>
        <v>0</v>
      </c>
      <c r="BA154" s="111">
        <f>VLOOKUP($AU154,AllHabsSummaryData,17,FALSE)</f>
        <v>0</v>
      </c>
      <c r="BB154" s="111">
        <f>VLOOKUP($AU154,AllHabsSummaryData,18,FALSE)</f>
        <v>0</v>
      </c>
      <c r="BC154" s="111">
        <f>VLOOKUP($AU154,AllHabsSummaryData,27,FALSE)</f>
        <v>0</v>
      </c>
      <c r="BD154" s="111">
        <f>VLOOKUP($AU154,AllHabsSummaryData,30,FALSE)</f>
        <v>0</v>
      </c>
      <c r="BE154" s="111">
        <f>BB154+BD154</f>
        <v>0</v>
      </c>
      <c r="BF154" s="111" t="str">
        <f>IF(BE154&lt;0,BE154,"")</f>
        <v/>
      </c>
    </row>
    <row r="155" spans="1:59" x14ac:dyDescent="0.25">
      <c r="A155" s="129" t="str">
        <f>'G-6 Hedgerow Data'!B11</f>
        <v>Line of Trees (Ecologically Valuable) - with Bank or Ditch</v>
      </c>
      <c r="B155" s="100" t="s">
        <v>1358</v>
      </c>
      <c r="C155" s="100" t="str">
        <f>'G-6 Hedgerow Data'!C11</f>
        <v>Medium</v>
      </c>
      <c r="D155" s="100" t="str">
        <f>'G-6 Hedgerow Data'!AH11</f>
        <v>Like for like or better</v>
      </c>
      <c r="E155" s="111">
        <f>SUMIF('B-1 Site Hedge Baseline'!$D$10:$D$257,'G-2 Habitat groups'!A155,'B-1 Site Hedge Baseline'!$E$10:$E$257)</f>
        <v>0</v>
      </c>
      <c r="F155" s="111">
        <f>SUMIF('B-1 Site Hedge Baseline'!$D$10:$D$257,'G-2 Habitat groups'!A155,'B-1 Site Hedge Baseline'!$N$10:$N$257)</f>
        <v>0</v>
      </c>
      <c r="G155" s="111">
        <f>SUMIF('B-1 Site Hedge Baseline'!$D$10:$D$257,'G-2 Habitat groups'!A155,'B-1 Site Hedge Baseline'!$P$10:$P$257)</f>
        <v>0</v>
      </c>
      <c r="H155" s="111">
        <f>SUMIF('B-1 Site Hedge Baseline'!$D$10:$D$257,'G-2 Habitat groups'!A155,'B-1 Site Hedge Baseline'!$R$10:$R$257)</f>
        <v>0</v>
      </c>
      <c r="I155" s="111">
        <f>SUMIF('B-1 Site Hedge Baseline'!$D$10:$D$257,'G-2 Habitat groups'!A155,'B-1 Site Hedge Baseline'!$T$10:$T$257)</f>
        <v>0</v>
      </c>
      <c r="J155" s="111">
        <f>SUMIF('A-1 Site Habitat Baseline'!$G$11:$G$258,'G-2 Habitat groups'!A155,'A-1 Site Habitat Baseline'!$X$11:$X$258)</f>
        <v>0</v>
      </c>
      <c r="K155" s="111">
        <f>SUMIF('B-2 Site Hedge Creation'!$D$12:$D$259,'G-2 Habitat groups'!A155,'B-2 Site Hedge Creation'!$E$12:$E$259)</f>
        <v>0</v>
      </c>
      <c r="L155" s="111">
        <f>SUMIF('B-2 Site Hedge Creation'!$D$12:$D$259,'G-2 Habitat groups'!A155,'B-2 Site Hedge Creation'!$W$12:$W$259)</f>
        <v>0</v>
      </c>
      <c r="M155" s="111">
        <f>SUMIF('B-3 Site Hedge Enhancement'!$M$12:$M$257,'G-2 Habitat groups'!A155,'B-3 Site Hedge Enhancement'!$P$12:$P$257)</f>
        <v>0</v>
      </c>
      <c r="N155" s="111">
        <f>SUMIF('B-3 Site Hedge Enhancement'!$M$12:$M$257,'G-2 Habitat groups'!A155,'B-3 Site Hedge Enhancement'!$AH$12:$AH$257)</f>
        <v>0</v>
      </c>
      <c r="O155" s="111">
        <f t="shared" si="140"/>
        <v>0</v>
      </c>
      <c r="P155" s="111">
        <f t="shared" si="141"/>
        <v>0</v>
      </c>
      <c r="Q155" s="111">
        <f t="shared" si="142"/>
        <v>0</v>
      </c>
      <c r="R155" s="111">
        <f t="shared" si="143"/>
        <v>0</v>
      </c>
      <c r="S155" s="111">
        <f>SUMIF('E-1 Off Site Hedge Baseline'!$D$10:$D$257,'G-2 Habitat groups'!A155,'E-1 Off Site Hedge Baseline'!$E$10:$E$257)</f>
        <v>0</v>
      </c>
      <c r="T155" s="111">
        <f>SUMIF('E-1 Off Site Hedge Baseline'!$D$10:$D$257,'G-2 Habitat groups'!A155,'E-1 Off Site Hedge Baseline'!$N$10:$N$257)</f>
        <v>0</v>
      </c>
      <c r="U155" s="111">
        <f>SUMIF('E-1 Off Site Hedge Baseline'!$D$10:$D$257,'G-2 Habitat groups'!A155,'E-1 Off Site Hedge Baseline'!$P$10:$P$257)</f>
        <v>0</v>
      </c>
      <c r="V155" s="111">
        <f>SUMIF('E-1 Off Site Hedge Baseline'!$D$10:$D$257,'G-2 Habitat groups'!A155,'E-1 Off Site Hedge Baseline'!$R$10:$R$257)</f>
        <v>0</v>
      </c>
      <c r="W155" s="111">
        <f>SUMIF('E-2 Off Site Hedge Creation'!$D$12:$D$259,'G-2 Habitat groups'!A155,'E-2 Off Site Hedge Creation'!$R$12:$R$259)</f>
        <v>0</v>
      </c>
      <c r="X155" s="111">
        <f>SUMIF('E-2 Off Site Hedge Creation'!$D$12:$D$259,'G-2 Habitat groups'!A155,'E-2 Off Site Hedge Creation'!$Y$12:$Y$259)</f>
        <v>0</v>
      </c>
      <c r="Y155" s="111">
        <f>SUMIF('E-3 Off Site Hedge Enhancement'!$M$12:$M$259,'G-2 Habitat groups'!A155,'E-3 Off Site Hedge Enhancement'!$P$12:$P$259)</f>
        <v>0</v>
      </c>
      <c r="Z155" s="111">
        <f>SUMIF('E-3 Off Site Hedge Enhancement'!$M$12:$M$259,'G-2 Habitat groups'!A155,'E-3 Off Site Hedge Enhancement'!$AJ$12:$AJ$259)</f>
        <v>0</v>
      </c>
      <c r="AA155" s="111">
        <f t="shared" si="148"/>
        <v>0</v>
      </c>
      <c r="AB155" s="111">
        <f t="shared" si="149"/>
        <v>0</v>
      </c>
      <c r="AC155" s="111">
        <f t="shared" si="144"/>
        <v>0</v>
      </c>
      <c r="AD155" s="111">
        <f t="shared" si="145"/>
        <v>0</v>
      </c>
      <c r="AE155" s="111">
        <f t="shared" si="146"/>
        <v>0</v>
      </c>
      <c r="AF155" s="111">
        <f t="shared" si="147"/>
        <v>0</v>
      </c>
      <c r="AU155" s="129" t="s">
        <v>280</v>
      </c>
      <c r="AV155" s="100" t="s">
        <v>166</v>
      </c>
      <c r="AW155" s="111">
        <f>VLOOKUP($AU155,AllHabsSummaryData,5,FALSE)</f>
        <v>4.2831999999999999</v>
      </c>
      <c r="AX155" s="111">
        <f>VLOOKUP($AU155,AllHabsSummaryData,10,FALSE)</f>
        <v>0</v>
      </c>
      <c r="AY155" s="111">
        <f>VLOOKUP($AU155,AllHabsSummaryData,15,FALSE)</f>
        <v>3.8003</v>
      </c>
      <c r="AZ155" s="111">
        <f>VLOOKUP($AU155,AllHabsSummaryData,16,FALSE)</f>
        <v>0</v>
      </c>
      <c r="BA155" s="111">
        <f>VLOOKUP($AU155,AllHabsSummaryData,17,FALSE)</f>
        <v>-0.48289999999999988</v>
      </c>
      <c r="BB155" s="111">
        <f>VLOOKUP($AU155,AllHabsSummaryData,18,FALSE)</f>
        <v>0</v>
      </c>
      <c r="BC155" s="111">
        <f>VLOOKUP($AU155,AllHabsSummaryData,27,FALSE)</f>
        <v>0</v>
      </c>
      <c r="BD155" s="111">
        <f>VLOOKUP($AU155,AllHabsSummaryData,30,FALSE)</f>
        <v>0</v>
      </c>
      <c r="BE155" s="111">
        <f>BB155+BD155</f>
        <v>0</v>
      </c>
      <c r="BF155" s="111" t="str">
        <f>IF(BE155&lt;0,BE155,"")</f>
        <v/>
      </c>
    </row>
    <row r="156" spans="1:59" x14ac:dyDescent="0.25">
      <c r="A156" s="129" t="str">
        <f>'G-6 Hedgerow Data'!B12</f>
        <v>Native Hedgerow</v>
      </c>
      <c r="B156" s="100" t="s">
        <v>1358</v>
      </c>
      <c r="C156" s="100" t="str">
        <f>'G-6 Hedgerow Data'!C12</f>
        <v>Low</v>
      </c>
      <c r="D156" s="100" t="str">
        <f>'G-6 Hedgerow Data'!AH12</f>
        <v>Same distinctiveness band or better</v>
      </c>
      <c r="E156" s="111">
        <f>SUMIF('B-1 Site Hedge Baseline'!$D$10:$D$257,'G-2 Habitat groups'!A156,'B-1 Site Hedge Baseline'!$E$10:$E$257)</f>
        <v>0</v>
      </c>
      <c r="F156" s="111">
        <f>SUMIF('B-1 Site Hedge Baseline'!$D$10:$D$257,'G-2 Habitat groups'!A156,'B-1 Site Hedge Baseline'!$N$10:$N$257)</f>
        <v>0</v>
      </c>
      <c r="G156" s="111">
        <f>SUMIF('B-1 Site Hedge Baseline'!$D$10:$D$257,'G-2 Habitat groups'!A156,'B-1 Site Hedge Baseline'!$P$10:$P$257)</f>
        <v>0</v>
      </c>
      <c r="H156" s="111">
        <f>SUMIF('B-1 Site Hedge Baseline'!$D$10:$D$257,'G-2 Habitat groups'!A156,'B-1 Site Hedge Baseline'!$R$10:$R$257)</f>
        <v>0</v>
      </c>
      <c r="I156" s="111">
        <f>SUMIF('B-1 Site Hedge Baseline'!$D$10:$D$257,'G-2 Habitat groups'!A156,'B-1 Site Hedge Baseline'!$T$10:$T$257)</f>
        <v>0</v>
      </c>
      <c r="J156" s="111">
        <f>SUMIF('A-1 Site Habitat Baseline'!$G$11:$G$258,'G-2 Habitat groups'!A156,'A-1 Site Habitat Baseline'!$X$11:$X$258)</f>
        <v>0</v>
      </c>
      <c r="K156" s="111">
        <f>SUMIF('B-2 Site Hedge Creation'!$D$12:$D$259,'G-2 Habitat groups'!A156,'B-2 Site Hedge Creation'!$E$12:$E$259)</f>
        <v>0</v>
      </c>
      <c r="L156" s="111">
        <f>SUMIF('B-2 Site Hedge Creation'!$D$12:$D$259,'G-2 Habitat groups'!A156,'B-2 Site Hedge Creation'!$W$12:$W$259)</f>
        <v>0</v>
      </c>
      <c r="M156" s="111">
        <f>SUMIF('B-3 Site Hedge Enhancement'!$M$12:$M$257,'G-2 Habitat groups'!A156,'B-3 Site Hedge Enhancement'!$P$12:$P$257)</f>
        <v>0</v>
      </c>
      <c r="N156" s="111">
        <f>SUMIF('B-3 Site Hedge Enhancement'!$M$12:$M$257,'G-2 Habitat groups'!A156,'B-3 Site Hedge Enhancement'!$AH$12:$AH$257)</f>
        <v>0</v>
      </c>
      <c r="O156" s="111">
        <f t="shared" si="140"/>
        <v>0</v>
      </c>
      <c r="P156" s="111">
        <f t="shared" si="141"/>
        <v>0</v>
      </c>
      <c r="Q156" s="111">
        <f t="shared" si="142"/>
        <v>0</v>
      </c>
      <c r="R156" s="111">
        <f t="shared" si="143"/>
        <v>0</v>
      </c>
      <c r="S156" s="111">
        <f>SUMIF('E-1 Off Site Hedge Baseline'!$D$10:$D$257,'G-2 Habitat groups'!A156,'E-1 Off Site Hedge Baseline'!$E$10:$E$257)</f>
        <v>0</v>
      </c>
      <c r="T156" s="111">
        <f>SUMIF('E-1 Off Site Hedge Baseline'!$D$10:$D$257,'G-2 Habitat groups'!A156,'E-1 Off Site Hedge Baseline'!$N$10:$N$257)</f>
        <v>0</v>
      </c>
      <c r="U156" s="111">
        <f>SUMIF('E-1 Off Site Hedge Baseline'!$D$10:$D$257,'G-2 Habitat groups'!A156,'E-1 Off Site Hedge Baseline'!$P$10:$P$257)</f>
        <v>0</v>
      </c>
      <c r="V156" s="111">
        <f>SUMIF('E-1 Off Site Hedge Baseline'!$D$10:$D$257,'G-2 Habitat groups'!A156,'E-1 Off Site Hedge Baseline'!$R$10:$R$257)</f>
        <v>0</v>
      </c>
      <c r="W156" s="111">
        <f>SUMIF('E-2 Off Site Hedge Creation'!$D$12:$D$259,'G-2 Habitat groups'!A156,'E-2 Off Site Hedge Creation'!$R$12:$R$259)</f>
        <v>0</v>
      </c>
      <c r="X156" s="111">
        <f>SUMIF('E-2 Off Site Hedge Creation'!$D$12:$D$259,'G-2 Habitat groups'!A156,'E-2 Off Site Hedge Creation'!$Y$12:$Y$259)</f>
        <v>0</v>
      </c>
      <c r="Y156" s="111">
        <f>SUMIF('E-3 Off Site Hedge Enhancement'!$M$12:$M$259,'G-2 Habitat groups'!A156,'E-3 Off Site Hedge Enhancement'!$P$12:$P$259)</f>
        <v>0</v>
      </c>
      <c r="Z156" s="111">
        <f>SUMIF('E-3 Off Site Hedge Enhancement'!$M$12:$M$259,'G-2 Habitat groups'!A156,'E-3 Off Site Hedge Enhancement'!$AJ$12:$AJ$259)</f>
        <v>0</v>
      </c>
      <c r="AA156" s="111">
        <f t="shared" si="148"/>
        <v>0</v>
      </c>
      <c r="AB156" s="111">
        <f t="shared" si="149"/>
        <v>0</v>
      </c>
      <c r="AC156" s="111">
        <f t="shared" si="144"/>
        <v>0</v>
      </c>
      <c r="AD156" s="111">
        <f t="shared" si="145"/>
        <v>0</v>
      </c>
      <c r="AE156" s="111">
        <f t="shared" si="146"/>
        <v>0</v>
      </c>
      <c r="AF156" s="111">
        <f t="shared" si="147"/>
        <v>0</v>
      </c>
      <c r="AU156" s="129" t="s">
        <v>284</v>
      </c>
      <c r="AV156" s="100" t="s">
        <v>166</v>
      </c>
      <c r="AW156" s="111">
        <f>VLOOKUP($AU156,AllHabsSummaryData,5,FALSE)</f>
        <v>0</v>
      </c>
      <c r="AX156" s="111">
        <f>VLOOKUP($AU156,AllHabsSummaryData,10,FALSE)</f>
        <v>0</v>
      </c>
      <c r="AY156" s="111">
        <f>VLOOKUP($AU156,AllHabsSummaryData,15,FALSE)</f>
        <v>0</v>
      </c>
      <c r="AZ156" s="111">
        <f>VLOOKUP($AU156,AllHabsSummaryData,16,FALSE)</f>
        <v>0</v>
      </c>
      <c r="BA156" s="111">
        <f>VLOOKUP($AU156,AllHabsSummaryData,17,FALSE)</f>
        <v>0</v>
      </c>
      <c r="BB156" s="111">
        <f>VLOOKUP($AU156,AllHabsSummaryData,18,FALSE)</f>
        <v>0</v>
      </c>
      <c r="BC156" s="111">
        <f>VLOOKUP($AU156,AllHabsSummaryData,27,FALSE)</f>
        <v>0</v>
      </c>
      <c r="BD156" s="111">
        <f>VLOOKUP($AU156,AllHabsSummaryData,30,FALSE)</f>
        <v>0</v>
      </c>
      <c r="BE156" s="111">
        <f>BB156+BD156</f>
        <v>0</v>
      </c>
      <c r="BF156" s="111" t="str">
        <f>IF(BE156&lt;0,BE156,"")</f>
        <v/>
      </c>
    </row>
    <row r="157" spans="1:59" x14ac:dyDescent="0.25">
      <c r="A157" s="129" t="str">
        <f>'G-6 Hedgerow Data'!B13</f>
        <v>Line of Trees</v>
      </c>
      <c r="B157" s="100" t="s">
        <v>1358</v>
      </c>
      <c r="C157" s="100" t="str">
        <f>'G-6 Hedgerow Data'!C13</f>
        <v>Low</v>
      </c>
      <c r="D157" s="100" t="str">
        <f>'G-6 Hedgerow Data'!AH13</f>
        <v>Same distinctiveness band or better</v>
      </c>
      <c r="E157" s="111">
        <f>SUMIF('B-1 Site Hedge Baseline'!$D$10:$D$257,'G-2 Habitat groups'!A157,'B-1 Site Hedge Baseline'!$E$10:$E$257)</f>
        <v>0</v>
      </c>
      <c r="F157" s="111">
        <f>SUMIF('B-1 Site Hedge Baseline'!$D$10:$D$257,'G-2 Habitat groups'!A157,'B-1 Site Hedge Baseline'!$N$10:$N$257)</f>
        <v>0</v>
      </c>
      <c r="G157" s="111">
        <f>SUMIF('B-1 Site Hedge Baseline'!$D$10:$D$257,'G-2 Habitat groups'!A157,'B-1 Site Hedge Baseline'!$P$10:$P$257)</f>
        <v>0</v>
      </c>
      <c r="H157" s="111">
        <f>SUMIF('B-1 Site Hedge Baseline'!$D$10:$D$257,'G-2 Habitat groups'!A157,'B-1 Site Hedge Baseline'!$R$10:$R$257)</f>
        <v>0</v>
      </c>
      <c r="I157" s="111">
        <f>SUMIF('B-1 Site Hedge Baseline'!$D$10:$D$257,'G-2 Habitat groups'!A157,'B-1 Site Hedge Baseline'!$T$10:$T$257)</f>
        <v>0</v>
      </c>
      <c r="J157" s="111">
        <f>SUMIF('A-1 Site Habitat Baseline'!$G$11:$G$258,'G-2 Habitat groups'!A157,'A-1 Site Habitat Baseline'!$X$11:$X$258)</f>
        <v>0</v>
      </c>
      <c r="K157" s="111">
        <f>SUMIF('B-2 Site Hedge Creation'!$D$12:$D$259,'G-2 Habitat groups'!A157,'B-2 Site Hedge Creation'!$E$12:$E$259)</f>
        <v>0</v>
      </c>
      <c r="L157" s="111">
        <f>SUMIF('B-2 Site Hedge Creation'!$D$12:$D$259,'G-2 Habitat groups'!A157,'B-2 Site Hedge Creation'!$W$12:$W$259)</f>
        <v>0</v>
      </c>
      <c r="M157" s="111">
        <f>SUMIF('B-3 Site Hedge Enhancement'!$M$12:$M$257,'G-2 Habitat groups'!A157,'B-3 Site Hedge Enhancement'!$P$12:$P$257)</f>
        <v>0</v>
      </c>
      <c r="N157" s="111">
        <f>SUMIF('B-3 Site Hedge Enhancement'!$M$12:$M$257,'G-2 Habitat groups'!A157,'B-3 Site Hedge Enhancement'!$AH$12:$AH$257)</f>
        <v>0</v>
      </c>
      <c r="O157" s="111">
        <f t="shared" si="140"/>
        <v>0</v>
      </c>
      <c r="P157" s="111">
        <f t="shared" si="141"/>
        <v>0</v>
      </c>
      <c r="Q157" s="111">
        <f t="shared" si="142"/>
        <v>0</v>
      </c>
      <c r="R157" s="111">
        <f t="shared" si="143"/>
        <v>0</v>
      </c>
      <c r="S157" s="111">
        <f>SUMIF('E-1 Off Site Hedge Baseline'!$D$10:$D$257,'G-2 Habitat groups'!A157,'E-1 Off Site Hedge Baseline'!$E$10:$E$257)</f>
        <v>0</v>
      </c>
      <c r="T157" s="111">
        <f>SUMIF('E-1 Off Site Hedge Baseline'!$D$10:$D$257,'G-2 Habitat groups'!A157,'E-1 Off Site Hedge Baseline'!$N$10:$N$257)</f>
        <v>0</v>
      </c>
      <c r="U157" s="111">
        <f>SUMIF('E-1 Off Site Hedge Baseline'!$D$10:$D$257,'G-2 Habitat groups'!A157,'E-1 Off Site Hedge Baseline'!$P$10:$P$257)</f>
        <v>0</v>
      </c>
      <c r="V157" s="111">
        <f>SUMIF('E-1 Off Site Hedge Baseline'!$D$10:$D$257,'G-2 Habitat groups'!A157,'E-1 Off Site Hedge Baseline'!$R$10:$R$257)</f>
        <v>0</v>
      </c>
      <c r="W157" s="111">
        <f>SUMIF('E-2 Off Site Hedge Creation'!$D$12:$D$259,'G-2 Habitat groups'!A157,'E-2 Off Site Hedge Creation'!$R$12:$R$259)</f>
        <v>0</v>
      </c>
      <c r="X157" s="111">
        <f>SUMIF('E-2 Off Site Hedge Creation'!$D$12:$D$259,'G-2 Habitat groups'!A157,'E-2 Off Site Hedge Creation'!$Y$12:$Y$259)</f>
        <v>0</v>
      </c>
      <c r="Y157" s="111">
        <f>SUMIF('E-3 Off Site Hedge Enhancement'!$M$12:$M$259,'G-2 Habitat groups'!A157,'E-3 Off Site Hedge Enhancement'!$P$12:$P$259)</f>
        <v>0</v>
      </c>
      <c r="Z157" s="111">
        <f>SUMIF('E-3 Off Site Hedge Enhancement'!$M$12:$M$259,'G-2 Habitat groups'!A157,'E-3 Off Site Hedge Enhancement'!$AJ$12:$AJ$259)</f>
        <v>0</v>
      </c>
      <c r="AA157" s="111">
        <f t="shared" si="148"/>
        <v>0</v>
      </c>
      <c r="AB157" s="111">
        <f t="shared" si="149"/>
        <v>0</v>
      </c>
      <c r="AC157" s="111">
        <f t="shared" si="144"/>
        <v>0</v>
      </c>
      <c r="AD157" s="111">
        <f t="shared" si="145"/>
        <v>0</v>
      </c>
      <c r="AE157" s="111">
        <f t="shared" si="146"/>
        <v>0</v>
      </c>
      <c r="AF157" s="111">
        <f t="shared" si="147"/>
        <v>0</v>
      </c>
    </row>
    <row r="158" spans="1:59" x14ac:dyDescent="0.25">
      <c r="A158" s="129" t="str">
        <f>'G-6 Hedgerow Data'!B14</f>
        <v>Line of Trees - Associated with bank or ditch</v>
      </c>
      <c r="B158" s="100" t="s">
        <v>1358</v>
      </c>
      <c r="C158" s="100" t="str">
        <f>'G-6 Hedgerow Data'!C14</f>
        <v>Low</v>
      </c>
      <c r="D158" s="100" t="str">
        <f>'G-6 Hedgerow Data'!AH14</f>
        <v>Same distinctiveness band or better</v>
      </c>
      <c r="E158" s="111">
        <f>SUMIF('B-1 Site Hedge Baseline'!$D$10:$D$257,'G-2 Habitat groups'!A158,'B-1 Site Hedge Baseline'!$E$10:$E$257)</f>
        <v>0</v>
      </c>
      <c r="F158" s="111">
        <f>SUMIF('B-1 Site Hedge Baseline'!$D$10:$D$257,'G-2 Habitat groups'!A158,'B-1 Site Hedge Baseline'!$N$10:$N$257)</f>
        <v>0</v>
      </c>
      <c r="G158" s="111">
        <f>SUMIF('B-1 Site Hedge Baseline'!$D$10:$D$257,'G-2 Habitat groups'!A158,'B-1 Site Hedge Baseline'!$P$10:$P$257)</f>
        <v>0</v>
      </c>
      <c r="H158" s="111">
        <f>SUMIF('B-1 Site Hedge Baseline'!$D$10:$D$257,'G-2 Habitat groups'!A158,'B-1 Site Hedge Baseline'!$R$10:$R$257)</f>
        <v>0</v>
      </c>
      <c r="I158" s="111">
        <f>SUMIF('B-1 Site Hedge Baseline'!$D$10:$D$257,'G-2 Habitat groups'!A158,'B-1 Site Hedge Baseline'!$T$10:$T$257)</f>
        <v>0</v>
      </c>
      <c r="J158" s="111">
        <f>SUMIF('A-1 Site Habitat Baseline'!$G$11:$G$258,'G-2 Habitat groups'!A158,'A-1 Site Habitat Baseline'!$X$11:$X$258)</f>
        <v>0</v>
      </c>
      <c r="K158" s="111">
        <f>SUMIF('B-2 Site Hedge Creation'!$D$12:$D$259,'G-2 Habitat groups'!A158,'B-2 Site Hedge Creation'!$E$12:$E$259)</f>
        <v>0</v>
      </c>
      <c r="L158" s="111">
        <f>SUMIF('B-2 Site Hedge Creation'!$D$12:$D$259,'G-2 Habitat groups'!A158,'B-2 Site Hedge Creation'!$W$12:$W$259)</f>
        <v>0</v>
      </c>
      <c r="M158" s="111">
        <f>SUMIF('B-3 Site Hedge Enhancement'!$M$12:$M$257,'G-2 Habitat groups'!A158,'B-3 Site Hedge Enhancement'!$P$12:$P$257)</f>
        <v>0</v>
      </c>
      <c r="N158" s="111">
        <f>SUMIF('B-3 Site Hedge Enhancement'!$M$12:$M$257,'G-2 Habitat groups'!A158,'B-3 Site Hedge Enhancement'!$AH$12:$AH$257)</f>
        <v>0</v>
      </c>
      <c r="O158" s="111">
        <f t="shared" si="140"/>
        <v>0</v>
      </c>
      <c r="P158" s="111">
        <f t="shared" si="141"/>
        <v>0</v>
      </c>
      <c r="Q158" s="111">
        <f t="shared" si="142"/>
        <v>0</v>
      </c>
      <c r="R158" s="111">
        <f t="shared" si="143"/>
        <v>0</v>
      </c>
      <c r="S158" s="111">
        <f>SUMIF('E-1 Off Site Hedge Baseline'!$D$10:$D$257,'G-2 Habitat groups'!A158,'E-1 Off Site Hedge Baseline'!$E$10:$E$257)</f>
        <v>0</v>
      </c>
      <c r="T158" s="111">
        <f>SUMIF('E-1 Off Site Hedge Baseline'!$D$10:$D$257,'G-2 Habitat groups'!A158,'E-1 Off Site Hedge Baseline'!$N$10:$N$257)</f>
        <v>0</v>
      </c>
      <c r="U158" s="111">
        <f>SUMIF('E-1 Off Site Hedge Baseline'!$D$10:$D$257,'G-2 Habitat groups'!A158,'E-1 Off Site Hedge Baseline'!$P$10:$P$257)</f>
        <v>0</v>
      </c>
      <c r="V158" s="111">
        <f>SUMIF('E-1 Off Site Hedge Baseline'!$D$10:$D$257,'G-2 Habitat groups'!A158,'E-1 Off Site Hedge Baseline'!$R$10:$R$257)</f>
        <v>0</v>
      </c>
      <c r="W158" s="111">
        <f>SUMIF('E-2 Off Site Hedge Creation'!$D$12:$D$259,'G-2 Habitat groups'!A158,'E-2 Off Site Hedge Creation'!$R$12:$R$259)</f>
        <v>0</v>
      </c>
      <c r="X158" s="111">
        <f>SUMIF('E-2 Off Site Hedge Creation'!$D$12:$D$259,'G-2 Habitat groups'!A158,'E-2 Off Site Hedge Creation'!$Y$12:$Y$259)</f>
        <v>0</v>
      </c>
      <c r="Y158" s="111">
        <f>SUMIF('E-3 Off Site Hedge Enhancement'!$M$12:$M$259,'G-2 Habitat groups'!A158,'E-3 Off Site Hedge Enhancement'!$P$12:$P$259)</f>
        <v>0</v>
      </c>
      <c r="Z158" s="111">
        <f>SUMIF('E-3 Off Site Hedge Enhancement'!$M$12:$M$259,'G-2 Habitat groups'!A158,'E-3 Off Site Hedge Enhancement'!$AJ$12:$AJ$259)</f>
        <v>0</v>
      </c>
      <c r="AA158" s="111">
        <f t="shared" si="148"/>
        <v>0</v>
      </c>
      <c r="AB158" s="111">
        <f t="shared" si="149"/>
        <v>0</v>
      </c>
      <c r="AC158" s="111">
        <f t="shared" si="144"/>
        <v>0</v>
      </c>
      <c r="AD158" s="111">
        <f t="shared" si="145"/>
        <v>0</v>
      </c>
      <c r="AE158" s="111">
        <f t="shared" si="146"/>
        <v>0</v>
      </c>
      <c r="AF158" s="111">
        <f t="shared" si="147"/>
        <v>0</v>
      </c>
    </row>
    <row r="159" spans="1:59" x14ac:dyDescent="0.25">
      <c r="A159" s="129" t="str">
        <f>'G-6 Hedgerow Data'!B15</f>
        <v>Hedge Ornamental Non Native</v>
      </c>
      <c r="B159" s="100" t="s">
        <v>1358</v>
      </c>
      <c r="C159" s="100" t="str">
        <f>'G-6 Hedgerow Data'!C15</f>
        <v>V.Low</v>
      </c>
      <c r="D159" s="100" t="str">
        <f>'G-6 Hedgerow Data'!AH15</f>
        <v>Same distinctiveness band or better</v>
      </c>
      <c r="E159" s="111">
        <f>SUMIF('B-1 Site Hedge Baseline'!$D$10:$D$257,'G-2 Habitat groups'!A159,'B-1 Site Hedge Baseline'!$E$10:$E$257)</f>
        <v>3.6999999999999998E-2</v>
      </c>
      <c r="F159" s="111">
        <f>SUMIF('B-1 Site Hedge Baseline'!$D$10:$D$257,'G-2 Habitat groups'!A159,'B-1 Site Hedge Baseline'!$N$10:$N$257)</f>
        <v>3.6999999999999998E-2</v>
      </c>
      <c r="G159" s="111">
        <f>SUMIF('B-1 Site Hedge Baseline'!$D$10:$D$257,'G-2 Habitat groups'!A159,'B-1 Site Hedge Baseline'!$P$10:$P$257)</f>
        <v>0</v>
      </c>
      <c r="H159" s="111">
        <f>SUMIF('B-1 Site Hedge Baseline'!$D$10:$D$257,'G-2 Habitat groups'!A159,'B-1 Site Hedge Baseline'!$R$10:$R$257)</f>
        <v>0</v>
      </c>
      <c r="I159" s="111">
        <f>SUMIF('B-1 Site Hedge Baseline'!$D$10:$D$257,'G-2 Habitat groups'!A159,'B-1 Site Hedge Baseline'!$T$10:$T$257)</f>
        <v>3.6999999999999998E-2</v>
      </c>
      <c r="J159" s="111">
        <f>SUMIF('A-1 Site Habitat Baseline'!$G$11:$G$258,'G-2 Habitat groups'!A159,'A-1 Site Habitat Baseline'!$X$11:$X$258)</f>
        <v>0</v>
      </c>
      <c r="K159" s="111">
        <f>SUMIF('B-2 Site Hedge Creation'!$D$12:$D$259,'G-2 Habitat groups'!A159,'B-2 Site Hedge Creation'!$E$12:$E$259)</f>
        <v>1.296</v>
      </c>
      <c r="L159" s="111">
        <f>SUMIF('B-2 Site Hedge Creation'!$D$12:$D$259,'G-2 Habitat groups'!A159,'B-2 Site Hedge Creation'!$W$12:$W$259)</f>
        <v>1.25064</v>
      </c>
      <c r="M159" s="111">
        <f>SUMIF('B-3 Site Hedge Enhancement'!$M$12:$M$257,'G-2 Habitat groups'!A159,'B-3 Site Hedge Enhancement'!$P$12:$P$257)</f>
        <v>0</v>
      </c>
      <c r="N159" s="111">
        <f>SUMIF('B-3 Site Hedge Enhancement'!$M$12:$M$257,'G-2 Habitat groups'!A159,'B-3 Site Hedge Enhancement'!$AH$12:$AH$257)</f>
        <v>0</v>
      </c>
      <c r="O159" s="111">
        <f t="shared" si="140"/>
        <v>1.296</v>
      </c>
      <c r="P159" s="111">
        <f t="shared" si="141"/>
        <v>1.25064</v>
      </c>
      <c r="Q159" s="111">
        <f t="shared" si="142"/>
        <v>1.2590000000000001</v>
      </c>
      <c r="R159" s="111">
        <f t="shared" si="143"/>
        <v>1.2136400000000001</v>
      </c>
      <c r="S159" s="111">
        <f>SUMIF('E-1 Off Site Hedge Baseline'!$D$10:$D$257,'G-2 Habitat groups'!A159,'E-1 Off Site Hedge Baseline'!$E$10:$E$257)</f>
        <v>0</v>
      </c>
      <c r="T159" s="111">
        <f>SUMIF('E-1 Off Site Hedge Baseline'!$D$10:$D$257,'G-2 Habitat groups'!A159,'E-1 Off Site Hedge Baseline'!$N$10:$N$257)</f>
        <v>0</v>
      </c>
      <c r="U159" s="111">
        <f>SUMIF('E-1 Off Site Hedge Baseline'!$D$10:$D$257,'G-2 Habitat groups'!A159,'E-1 Off Site Hedge Baseline'!$P$10:$P$257)</f>
        <v>0</v>
      </c>
      <c r="V159" s="111">
        <f>SUMIF('E-1 Off Site Hedge Baseline'!$D$10:$D$257,'G-2 Habitat groups'!A159,'E-1 Off Site Hedge Baseline'!$R$10:$R$257)</f>
        <v>0</v>
      </c>
      <c r="W159" s="111">
        <f>SUMIF('E-2 Off Site Hedge Creation'!$D$12:$D$259,'G-2 Habitat groups'!A159,'E-2 Off Site Hedge Creation'!$R$12:$R$259)</f>
        <v>0</v>
      </c>
      <c r="X159" s="111">
        <f>SUMIF('E-2 Off Site Hedge Creation'!$D$12:$D$259,'G-2 Habitat groups'!A159,'E-2 Off Site Hedge Creation'!$Y$12:$Y$259)</f>
        <v>0</v>
      </c>
      <c r="Y159" s="111">
        <f>SUMIF('E-3 Off Site Hedge Enhancement'!$M$12:$M$259,'G-2 Habitat groups'!A159,'E-3 Off Site Hedge Enhancement'!$P$12:$P$259)</f>
        <v>0</v>
      </c>
      <c r="Z159" s="111">
        <f>SUMIF('E-3 Off Site Hedge Enhancement'!$M$12:$M$259,'G-2 Habitat groups'!A159,'E-3 Off Site Hedge Enhancement'!$AJ$12:$AJ$259)</f>
        <v>0</v>
      </c>
      <c r="AA159" s="111">
        <f t="shared" si="148"/>
        <v>0</v>
      </c>
      <c r="AB159" s="111">
        <f t="shared" si="149"/>
        <v>0</v>
      </c>
      <c r="AC159" s="111">
        <f t="shared" si="144"/>
        <v>0</v>
      </c>
      <c r="AD159" s="111">
        <f t="shared" si="145"/>
        <v>0</v>
      </c>
      <c r="AE159" s="111">
        <f t="shared" si="146"/>
        <v>1.2590000000000001</v>
      </c>
      <c r="AF159" s="111">
        <f t="shared" si="147"/>
        <v>1.2136400000000001</v>
      </c>
    </row>
    <row r="164" spans="1:32" ht="27.6" x14ac:dyDescent="0.45">
      <c r="A164" s="499" t="s">
        <v>1373</v>
      </c>
    </row>
    <row r="167" spans="1:32" ht="22.8" x14ac:dyDescent="0.4">
      <c r="A167" s="126">
        <v>1</v>
      </c>
      <c r="B167" s="126">
        <v>2</v>
      </c>
      <c r="C167" s="126">
        <v>3</v>
      </c>
      <c r="D167" s="126">
        <v>4</v>
      </c>
      <c r="E167" s="126">
        <v>5</v>
      </c>
      <c r="F167" s="126">
        <v>6</v>
      </c>
      <c r="G167" s="126">
        <v>7</v>
      </c>
      <c r="H167" s="126">
        <v>8</v>
      </c>
      <c r="I167" s="126">
        <v>9</v>
      </c>
      <c r="J167" s="126">
        <v>10</v>
      </c>
      <c r="K167" s="126">
        <v>11</v>
      </c>
      <c r="L167" s="126">
        <v>12</v>
      </c>
      <c r="M167" s="126">
        <v>13</v>
      </c>
      <c r="N167" s="126">
        <v>14</v>
      </c>
      <c r="O167" s="126">
        <v>15</v>
      </c>
      <c r="P167" s="126">
        <v>16</v>
      </c>
      <c r="Q167" s="126">
        <v>17</v>
      </c>
      <c r="R167" s="126">
        <v>18</v>
      </c>
      <c r="S167" s="126">
        <v>19</v>
      </c>
      <c r="T167" s="126">
        <v>20</v>
      </c>
      <c r="U167" s="126">
        <v>21</v>
      </c>
      <c r="V167" s="126">
        <v>22</v>
      </c>
      <c r="W167" s="126">
        <v>23</v>
      </c>
      <c r="X167" s="126">
        <v>24</v>
      </c>
      <c r="Y167" s="126">
        <v>25</v>
      </c>
      <c r="Z167" s="126">
        <v>26</v>
      </c>
      <c r="AA167" s="126">
        <v>27</v>
      </c>
      <c r="AB167" s="126">
        <v>28</v>
      </c>
      <c r="AC167" s="126">
        <v>29</v>
      </c>
      <c r="AD167" s="126">
        <v>30</v>
      </c>
      <c r="AE167" s="126">
        <v>31</v>
      </c>
      <c r="AF167" s="127">
        <v>32</v>
      </c>
    </row>
    <row r="168" spans="1:32" ht="69" x14ac:dyDescent="0.25">
      <c r="A168" s="128" t="s">
        <v>1431</v>
      </c>
      <c r="B168" s="128" t="s">
        <v>134</v>
      </c>
      <c r="C168" s="128" t="s">
        <v>310</v>
      </c>
      <c r="D168" s="128" t="s">
        <v>1319</v>
      </c>
      <c r="E168" s="128" t="s">
        <v>1432</v>
      </c>
      <c r="F168" s="128" t="s">
        <v>1493</v>
      </c>
      <c r="G168" s="128" t="s">
        <v>1359</v>
      </c>
      <c r="H168" s="128" t="s">
        <v>363</v>
      </c>
      <c r="I168" s="128" t="s">
        <v>1360</v>
      </c>
      <c r="J168" s="128" t="s">
        <v>1433</v>
      </c>
      <c r="K168" s="128" t="s">
        <v>1361</v>
      </c>
      <c r="L168" s="128" t="s">
        <v>1362</v>
      </c>
      <c r="M168" s="128" t="s">
        <v>1363</v>
      </c>
      <c r="N168" s="128" t="s">
        <v>1364</v>
      </c>
      <c r="O168" s="128" t="s">
        <v>1365</v>
      </c>
      <c r="P168" s="128" t="s">
        <v>366</v>
      </c>
      <c r="Q168" s="128" t="s">
        <v>1420</v>
      </c>
      <c r="R168" s="128" t="s">
        <v>306</v>
      </c>
      <c r="S168" s="128" t="s">
        <v>1366</v>
      </c>
      <c r="T168" s="128" t="s">
        <v>821</v>
      </c>
      <c r="U168" s="128" t="s">
        <v>1423</v>
      </c>
      <c r="V168" s="128" t="s">
        <v>1422</v>
      </c>
      <c r="W168" s="128" t="s">
        <v>1421</v>
      </c>
      <c r="X168" s="128" t="s">
        <v>1424</v>
      </c>
      <c r="Y168" s="128" t="s">
        <v>1425</v>
      </c>
      <c r="Z168" s="128" t="s">
        <v>1322</v>
      </c>
      <c r="AA168" s="128" t="s">
        <v>1426</v>
      </c>
      <c r="AB168" s="128" t="s">
        <v>820</v>
      </c>
      <c r="AC168" s="128" t="s">
        <v>1427</v>
      </c>
      <c r="AD168" s="128" t="s">
        <v>1428</v>
      </c>
      <c r="AE168" s="128" t="s">
        <v>1429</v>
      </c>
      <c r="AF168" s="128" t="s">
        <v>1430</v>
      </c>
    </row>
    <row r="169" spans="1:32" x14ac:dyDescent="0.25">
      <c r="A169" s="129" t="str">
        <f>'G-7 Rivers Data'!B4</f>
        <v>Priority Habitat</v>
      </c>
      <c r="B169" s="100" t="s">
        <v>1434</v>
      </c>
      <c r="C169" s="100" t="str">
        <f>'G-7 Rivers Data'!C4</f>
        <v>V.High</v>
      </c>
      <c r="D169" s="100" t="str">
        <f>'G-7 Rivers Data'!AU4</f>
        <v>Loss Unacceptable</v>
      </c>
      <c r="E169" s="111">
        <f>SUMIF('C-1 Site River Baseline'!$D$10:$D$257,'G-2 Habitat groups'!A169,'C-1 Site River Baseline'!$E$10:$E$257)</f>
        <v>0</v>
      </c>
      <c r="F169" s="111">
        <f>SUMIF('C-1 Site River Baseline'!$D$10:$D$257,'G-2 Habitat groups'!A169,'C-1 Site River Baseline'!$R$10:$R$257)</f>
        <v>0</v>
      </c>
      <c r="G169" s="111">
        <f>SUMIF('C-1 Site River Baseline'!$D$10:$D$257,'G-2 Habitat groups'!A169,'C-1 Site River Baseline'!$T$10:$T$257)</f>
        <v>0</v>
      </c>
      <c r="H169" s="111">
        <f>SUMIF('C-1 Site River Baseline'!$D$10:$D$257,'G-2 Habitat groups'!A169,'C-1 Site River Baseline'!$V$10:$V$257)</f>
        <v>0</v>
      </c>
      <c r="I169" s="111">
        <f>SUMIF('C-1 Site River Baseline'!$D$10:$D$257,'G-2 Habitat groups'!A169,'C-1 Site River Baseline'!$X$10:$X$257)</f>
        <v>0</v>
      </c>
      <c r="J169" s="111">
        <f>SUMIF('C-1 Site River Baseline'!$D$10:$D$257,'G-2 Habitat groups'!A169,'C-1 Site River Baseline'!$Y$10:$Y$257)</f>
        <v>0</v>
      </c>
      <c r="K169" s="111">
        <f>SUMIF('C-2 Site River Creation'!$C$10:$C$257,'G-2 Habitat groups'!A169,'C-2 Site River Creation'!$D$10:$D$257)</f>
        <v>0</v>
      </c>
      <c r="L169" s="111">
        <f>SUMIF('C-2 Site River Creation'!$C$10:$C$257,'G-2 Habitat groups'!A169,'C-2 Site River Creation'!$Z$10:$Z$257)</f>
        <v>0</v>
      </c>
      <c r="M169" s="111">
        <f>SUMIF('C-3 Site River Enhancement'!$N$12:$N$257,'G-2 Habitat groups'!A169,'C-3 Site River Enhancement'!$Q$12:$Q$257)</f>
        <v>0</v>
      </c>
      <c r="N169" s="111">
        <f>SUMIF('C-3 Site River Enhancement'!$N$12:$N$257,'G-2 Habitat groups'!A169,'C-3 Site River Enhancement'!$AM$12:$AM$257)</f>
        <v>0</v>
      </c>
      <c r="O169" s="111">
        <f t="shared" ref="O169:O173" si="150">G169+K169+M169</f>
        <v>0</v>
      </c>
      <c r="P169" s="111">
        <f t="shared" ref="P169:P173" si="151">H169+L169+N169</f>
        <v>0</v>
      </c>
      <c r="Q169" s="111">
        <f>O169-E169</f>
        <v>0</v>
      </c>
      <c r="R169" s="111">
        <f t="shared" ref="R169:R173" si="152">P169-F169</f>
        <v>0</v>
      </c>
      <c r="S169" s="111">
        <f>SUMIF('F-1 Off Site River Baseline'!$D$10:$D$257,'G-2 Habitat groups'!A169,'F-1 Off Site River Baseline'!$E$10:$E$257)</f>
        <v>0</v>
      </c>
      <c r="T169" s="111">
        <f>SUMIF('F-1 Off Site River Baseline'!$D$10:$D$257,'G-2 Habitat groups'!A169,'F-1 Off Site River Baseline'!$R$10:$R$257)</f>
        <v>0</v>
      </c>
      <c r="U169" s="111">
        <f>SUMIF('F-1 Off Site River Baseline'!$D$10:$D$257,'G-2 Habitat groups'!A169,'F-1 Off Site River Baseline'!$T$10:$T$257)</f>
        <v>0</v>
      </c>
      <c r="V169" s="111">
        <f>SUMIF('F-1 Off Site River Baseline'!$D$10:$D$257,'G-2 Habitat groups'!A169,'F-1 Off Site River Baseline'!$V$10:$V$257)</f>
        <v>0</v>
      </c>
      <c r="W169" s="111">
        <f>SUMIF('F-2 Off Site River Creation'!$C$12:$C$259,'G-2 Habitat groups'!A169,'F-2 Off Site River Creation'!$D$12:$D$259)</f>
        <v>0</v>
      </c>
      <c r="X169" s="111">
        <f>SUMIF('F-2 Off Site River Creation'!$C$12:$C$259,'G-2 Habitat groups'!A169,'F-2 Off Site River Creation'!$AB$12:$AB$259)</f>
        <v>0</v>
      </c>
      <c r="Y169" s="111">
        <f>SUMIF('F-3 Off Site River Enhancement'!$N$12:$N$259,'G-2 Habitat groups'!A169,'F-3 Off Site River Enhancement'!$Q$12:$Q$259)</f>
        <v>0</v>
      </c>
      <c r="Z169" s="111">
        <f>SUMIF('F-3 Off Site River Enhancement'!$N$12:$N$259,'G-2 Habitat groups'!A169,'F-3 Off Site River Enhancement'!$AO$12:$AO$259)</f>
        <v>0</v>
      </c>
      <c r="AA169" s="111">
        <f>U169+W169+Y169</f>
        <v>0</v>
      </c>
      <c r="AB169" s="111">
        <f>V169+X169+Z169</f>
        <v>0</v>
      </c>
      <c r="AC169" s="111">
        <f t="shared" ref="AC169:AC173" si="153">AA169-S169</f>
        <v>0</v>
      </c>
      <c r="AD169" s="111">
        <f t="shared" ref="AD169:AD173" si="154">AB169-T169</f>
        <v>0</v>
      </c>
      <c r="AE169" s="111">
        <f t="shared" ref="AE169:AE173" si="155">Q169+AC169</f>
        <v>0</v>
      </c>
      <c r="AF169" s="111">
        <f t="shared" ref="AF169:AF173" si="156">R169+AD169</f>
        <v>0</v>
      </c>
    </row>
    <row r="170" spans="1:32" x14ac:dyDescent="0.25">
      <c r="A170" s="129" t="str">
        <f>'G-7 Rivers Data'!B5</f>
        <v>Other Rivers and Streams</v>
      </c>
      <c r="B170" s="100" t="s">
        <v>1434</v>
      </c>
      <c r="C170" s="100" t="str">
        <f>'G-7 Rivers Data'!C5</f>
        <v>High</v>
      </c>
      <c r="D170" s="100" t="str">
        <f>'G-7 Rivers Data'!AU5</f>
        <v>Avoid</v>
      </c>
      <c r="E170" s="111">
        <f>SUMIF('C-1 Site River Baseline'!$D$10:$D$257,'G-2 Habitat groups'!A170,'C-1 Site River Baseline'!$E$10:$E$257)</f>
        <v>0</v>
      </c>
      <c r="F170" s="111">
        <f>SUMIF('C-1 Site River Baseline'!$D$10:$D$257,'G-2 Habitat groups'!A170,'C-1 Site River Baseline'!$R$10:$R$257)</f>
        <v>0</v>
      </c>
      <c r="G170" s="111">
        <f>SUMIF('C-1 Site River Baseline'!$D$10:$D$257,'G-2 Habitat groups'!A170,'C-1 Site River Baseline'!$T$10:$T$257)</f>
        <v>0</v>
      </c>
      <c r="H170" s="111">
        <f>SUMIF('C-1 Site River Baseline'!$D$10:$D$257,'G-2 Habitat groups'!A170,'C-1 Site River Baseline'!$V$10:$V$257)</f>
        <v>0</v>
      </c>
      <c r="I170" s="111">
        <f>SUMIF('C-1 Site River Baseline'!$D$10:$D$257,'G-2 Habitat groups'!A170,'C-1 Site River Baseline'!$X$10:$X$257)</f>
        <v>0</v>
      </c>
      <c r="J170" s="111">
        <f>SUMIF('C-1 Site River Baseline'!$D$10:$D$257,'G-2 Habitat groups'!A170,'C-1 Site River Baseline'!$Y$10:$Y$257)</f>
        <v>0</v>
      </c>
      <c r="K170" s="111">
        <f>SUMIF('C-2 Site River Creation'!$C$10:$C$257,'G-2 Habitat groups'!A170,'C-2 Site River Creation'!$D$10:$D$257)</f>
        <v>0</v>
      </c>
      <c r="L170" s="111">
        <f>SUMIF('C-2 Site River Creation'!$C$10:$C$257,'G-2 Habitat groups'!A170,'C-2 Site River Creation'!$Z$10:$Z$257)</f>
        <v>0</v>
      </c>
      <c r="M170" s="111">
        <f>SUMIF('C-3 Site River Enhancement'!$N$12:$N$257,'G-2 Habitat groups'!A170,'C-3 Site River Enhancement'!$Q$12:$Q$257)</f>
        <v>0</v>
      </c>
      <c r="N170" s="111">
        <f>SUMIF('C-3 Site River Enhancement'!$N$12:$N$257,'G-2 Habitat groups'!A170,'C-3 Site River Enhancement'!$AM$12:$AM$257)</f>
        <v>0</v>
      </c>
      <c r="O170" s="111">
        <f>G170+K170+M170</f>
        <v>0</v>
      </c>
      <c r="P170" s="111">
        <f>H170+L170+N170</f>
        <v>0</v>
      </c>
      <c r="Q170" s="111">
        <f t="shared" ref="Q170:Q173" si="157">O170-E170</f>
        <v>0</v>
      </c>
      <c r="R170" s="111">
        <f t="shared" si="152"/>
        <v>0</v>
      </c>
      <c r="S170" s="111">
        <f>SUMIF('F-1 Off Site River Baseline'!$D$10:$D$257,'G-2 Habitat groups'!A170,'F-1 Off Site River Baseline'!$E$10:$E$257)</f>
        <v>0</v>
      </c>
      <c r="T170" s="111">
        <f>SUMIF('F-1 Off Site River Baseline'!$D$10:$D$257,'G-2 Habitat groups'!A170,'F-1 Off Site River Baseline'!$R$10:$R$257)</f>
        <v>0</v>
      </c>
      <c r="U170" s="111">
        <f>SUMIF('F-1 Off Site River Baseline'!$D$10:$D$257,'G-2 Habitat groups'!A170,'F-1 Off Site River Baseline'!$T$10:$T$257)</f>
        <v>0</v>
      </c>
      <c r="V170" s="111">
        <f>SUMIF('F-1 Off Site River Baseline'!$D$10:$D$257,'G-2 Habitat groups'!A170,'F-1 Off Site River Baseline'!$V$10:$V$257)</f>
        <v>0</v>
      </c>
      <c r="W170" s="111">
        <f>SUMIF('F-2 Off Site River Creation'!$C$12:$C$259,'G-2 Habitat groups'!A170,'F-2 Off Site River Creation'!$D$12:$D$259)</f>
        <v>0</v>
      </c>
      <c r="X170" s="111">
        <f>SUMIF('F-2 Off Site River Creation'!$C$12:$C$259,'G-2 Habitat groups'!A170,'F-2 Off Site River Creation'!$AB$12:$AB$259)</f>
        <v>0</v>
      </c>
      <c r="Y170" s="111">
        <f>SUMIF('F-3 Off Site River Enhancement'!$N$12:$N$259,'G-2 Habitat groups'!A170,'F-3 Off Site River Enhancement'!$Q$12:$Q$259)</f>
        <v>0</v>
      </c>
      <c r="Z170" s="111">
        <f>SUMIF('F-3 Off Site River Enhancement'!$N$12:$N$259,'G-2 Habitat groups'!A170,'F-3 Off Site River Enhancement'!$AO$12:$AO$259)</f>
        <v>0</v>
      </c>
      <c r="AA170" s="111">
        <f t="shared" ref="AA170:AA173" si="158">U170+W170+Y170</f>
        <v>0</v>
      </c>
      <c r="AB170" s="111">
        <f t="shared" ref="AB170:AB173" si="159">V170+X170+Z170</f>
        <v>0</v>
      </c>
      <c r="AC170" s="111">
        <f t="shared" si="153"/>
        <v>0</v>
      </c>
      <c r="AD170" s="111">
        <f t="shared" si="154"/>
        <v>0</v>
      </c>
      <c r="AE170" s="111">
        <f t="shared" si="155"/>
        <v>0</v>
      </c>
      <c r="AF170" s="111">
        <f t="shared" si="156"/>
        <v>0</v>
      </c>
    </row>
    <row r="171" spans="1:32" x14ac:dyDescent="0.25">
      <c r="A171" s="129" t="str">
        <f>'G-7 Rivers Data'!B6</f>
        <v>Ditches</v>
      </c>
      <c r="B171" s="100" t="s">
        <v>1434</v>
      </c>
      <c r="C171" s="100" t="str">
        <f>'G-7 Rivers Data'!C6</f>
        <v>Medium</v>
      </c>
      <c r="D171" s="100" t="str">
        <f>'G-7 Rivers Data'!AU6</f>
        <v>Avoid, Mitigate or Compensate</v>
      </c>
      <c r="E171" s="111">
        <f>SUMIF('C-1 Site River Baseline'!$D$10:$D$257,'G-2 Habitat groups'!A171,'C-1 Site River Baseline'!$E$10:$E$257)</f>
        <v>0</v>
      </c>
      <c r="F171" s="111">
        <f>SUMIF('C-1 Site River Baseline'!$D$10:$D$257,'G-2 Habitat groups'!A171,'C-1 Site River Baseline'!$R$10:$R$257)</f>
        <v>0</v>
      </c>
      <c r="G171" s="111">
        <f>SUMIF('C-1 Site River Baseline'!$D$10:$D$257,'G-2 Habitat groups'!A171,'C-1 Site River Baseline'!$T$10:$T$257)</f>
        <v>0</v>
      </c>
      <c r="H171" s="111">
        <f>SUMIF('C-1 Site River Baseline'!$D$10:$D$257,'G-2 Habitat groups'!A171,'C-1 Site River Baseline'!$V$10:$V$257)</f>
        <v>0</v>
      </c>
      <c r="I171" s="111">
        <f>SUMIF('C-1 Site River Baseline'!$D$10:$D$257,'G-2 Habitat groups'!A171,'C-1 Site River Baseline'!$X$10:$X$257)</f>
        <v>0</v>
      </c>
      <c r="J171" s="111">
        <f>SUMIF('C-1 Site River Baseline'!$D$10:$D$257,'G-2 Habitat groups'!A171,'C-1 Site River Baseline'!$Y$10:$Y$257)</f>
        <v>0</v>
      </c>
      <c r="K171" s="111">
        <f>SUMIF('C-2 Site River Creation'!$C$10:$C$257,'G-2 Habitat groups'!A171,'C-2 Site River Creation'!$D$10:$D$257)</f>
        <v>0</v>
      </c>
      <c r="L171" s="111">
        <f>SUMIF('C-2 Site River Creation'!$C$10:$C$257,'G-2 Habitat groups'!A171,'C-2 Site River Creation'!$Z$10:$Z$257)</f>
        <v>0</v>
      </c>
      <c r="M171" s="111">
        <f>SUMIF('C-3 Site River Enhancement'!$N$12:$N$257,'G-2 Habitat groups'!A171,'C-3 Site River Enhancement'!$Q$12:$Q$257)</f>
        <v>0</v>
      </c>
      <c r="N171" s="111">
        <f>SUMIF('C-3 Site River Enhancement'!$N$12:$N$257,'G-2 Habitat groups'!A171,'C-3 Site River Enhancement'!$AM$12:$AM$257)</f>
        <v>0</v>
      </c>
      <c r="O171" s="111">
        <f t="shared" si="150"/>
        <v>0</v>
      </c>
      <c r="P171" s="111">
        <f t="shared" si="151"/>
        <v>0</v>
      </c>
      <c r="Q171" s="111">
        <f t="shared" si="157"/>
        <v>0</v>
      </c>
      <c r="R171" s="111">
        <f t="shared" si="152"/>
        <v>0</v>
      </c>
      <c r="S171" s="111">
        <f>SUMIF('F-1 Off Site River Baseline'!$D$10:$D$257,'G-2 Habitat groups'!A171,'F-1 Off Site River Baseline'!$E$10:$E$257)</f>
        <v>0</v>
      </c>
      <c r="T171" s="111">
        <f>SUMIF('F-1 Off Site River Baseline'!$D$10:$D$257,'G-2 Habitat groups'!A171,'F-1 Off Site River Baseline'!$R$10:$R$257)</f>
        <v>0</v>
      </c>
      <c r="U171" s="111">
        <f>SUMIF('F-1 Off Site River Baseline'!$D$10:$D$257,'G-2 Habitat groups'!A171,'F-1 Off Site River Baseline'!$T$10:$T$257)</f>
        <v>0</v>
      </c>
      <c r="V171" s="111">
        <f>SUMIF('F-1 Off Site River Baseline'!$D$10:$D$257,'G-2 Habitat groups'!A171,'F-1 Off Site River Baseline'!$V$10:$V$257)</f>
        <v>0</v>
      </c>
      <c r="W171" s="111">
        <f>SUMIF('F-2 Off Site River Creation'!$C$12:$C$259,'G-2 Habitat groups'!A171,'F-2 Off Site River Creation'!$D$12:$D$259)</f>
        <v>0</v>
      </c>
      <c r="X171" s="111">
        <f>SUMIF('F-2 Off Site River Creation'!$C$12:$C$259,'G-2 Habitat groups'!A171,'F-2 Off Site River Creation'!$AB$12:$AB$259)</f>
        <v>0</v>
      </c>
      <c r="Y171" s="111">
        <f>SUMIF('F-3 Off Site River Enhancement'!$N$12:$N$259,'G-2 Habitat groups'!A171,'F-3 Off Site River Enhancement'!$Q$12:$Q$259)</f>
        <v>0</v>
      </c>
      <c r="Z171" s="111">
        <f>SUMIF('F-3 Off Site River Enhancement'!$N$12:$N$259,'G-2 Habitat groups'!A171,'F-3 Off Site River Enhancement'!$AO$12:$AO$259)</f>
        <v>0</v>
      </c>
      <c r="AA171" s="111">
        <f t="shared" si="158"/>
        <v>0</v>
      </c>
      <c r="AB171" s="111">
        <f t="shared" si="159"/>
        <v>0</v>
      </c>
      <c r="AC171" s="111">
        <f t="shared" si="153"/>
        <v>0</v>
      </c>
      <c r="AD171" s="111">
        <f t="shared" si="154"/>
        <v>0</v>
      </c>
      <c r="AE171" s="111">
        <f t="shared" si="155"/>
        <v>0</v>
      </c>
      <c r="AF171" s="111">
        <f t="shared" si="156"/>
        <v>0</v>
      </c>
    </row>
    <row r="172" spans="1:32" x14ac:dyDescent="0.25">
      <c r="A172" s="129" t="str">
        <f>'G-7 Rivers Data'!B7</f>
        <v>Canals</v>
      </c>
      <c r="B172" s="100" t="s">
        <v>1434</v>
      </c>
      <c r="C172" s="100" t="str">
        <f>'G-7 Rivers Data'!C7</f>
        <v>Medium</v>
      </c>
      <c r="D172" s="100" t="str">
        <f>'G-7 Rivers Data'!AU6</f>
        <v>Avoid, Mitigate or Compensate</v>
      </c>
      <c r="E172" s="111">
        <f>SUMIF('C-1 Site River Baseline'!$D$10:$D$257,'G-2 Habitat groups'!A172,'C-1 Site River Baseline'!$E$10:$E$257)</f>
        <v>0</v>
      </c>
      <c r="F172" s="111">
        <f>SUMIF('C-1 Site River Baseline'!$D$10:$D$257,'G-2 Habitat groups'!A172,'C-1 Site River Baseline'!$R$10:$R$257)</f>
        <v>0</v>
      </c>
      <c r="G172" s="111">
        <f>SUMIF('C-1 Site River Baseline'!$D$10:$D$257,'G-2 Habitat groups'!A172,'C-1 Site River Baseline'!$T$10:$T$257)</f>
        <v>0</v>
      </c>
      <c r="H172" s="111">
        <f>SUMIF('C-1 Site River Baseline'!$D$10:$D$257,'G-2 Habitat groups'!A172,'C-1 Site River Baseline'!$V$10:$V$257)</f>
        <v>0</v>
      </c>
      <c r="I172" s="111">
        <f>SUMIF('C-1 Site River Baseline'!$D$10:$D$257,'G-2 Habitat groups'!A172,'C-1 Site River Baseline'!$X$10:$X$257)</f>
        <v>0</v>
      </c>
      <c r="J172" s="111">
        <f>SUMIF('C-1 Site River Baseline'!$D$10:$D$257,'G-2 Habitat groups'!A172,'C-1 Site River Baseline'!$Y$10:$Y$257)</f>
        <v>0</v>
      </c>
      <c r="K172" s="111">
        <f>SUMIF('C-2 Site River Creation'!$C$10:$C$257,'G-2 Habitat groups'!A172,'C-2 Site River Creation'!$D$10:$D$257)</f>
        <v>0</v>
      </c>
      <c r="L172" s="111">
        <f>SUMIF('C-2 Site River Creation'!$C$10:$C$257,'G-2 Habitat groups'!A172,'C-2 Site River Creation'!$Z$10:$Z$257)</f>
        <v>0</v>
      </c>
      <c r="M172" s="111">
        <f>SUMIF('C-3 Site River Enhancement'!$N$12:$N$257,'G-2 Habitat groups'!A172,'C-3 Site River Enhancement'!$Q$12:$Q$257)</f>
        <v>0</v>
      </c>
      <c r="N172" s="111">
        <f>SUMIF('C-3 Site River Enhancement'!$N$12:$N$257,'G-2 Habitat groups'!A172,'C-3 Site River Enhancement'!$AM$12:$AM$257)</f>
        <v>0</v>
      </c>
      <c r="O172" s="111">
        <f t="shared" si="150"/>
        <v>0</v>
      </c>
      <c r="P172" s="111">
        <f t="shared" si="151"/>
        <v>0</v>
      </c>
      <c r="Q172" s="111">
        <f t="shared" si="157"/>
        <v>0</v>
      </c>
      <c r="R172" s="111">
        <f t="shared" si="152"/>
        <v>0</v>
      </c>
      <c r="S172" s="111">
        <f>SUMIF('F-1 Off Site River Baseline'!$D$10:$D$257,'G-2 Habitat groups'!A172,'F-1 Off Site River Baseline'!$E$10:$E$257)</f>
        <v>0</v>
      </c>
      <c r="T172" s="111">
        <f>SUMIF('F-1 Off Site River Baseline'!$D$10:$D$257,'G-2 Habitat groups'!A172,'F-1 Off Site River Baseline'!$R$10:$R$257)</f>
        <v>0</v>
      </c>
      <c r="U172" s="111">
        <f>SUMIF('F-1 Off Site River Baseline'!$D$10:$D$257,'G-2 Habitat groups'!A172,'F-1 Off Site River Baseline'!$T$10:$T$257)</f>
        <v>0</v>
      </c>
      <c r="V172" s="111">
        <f>SUMIF('F-1 Off Site River Baseline'!$D$10:$D$257,'G-2 Habitat groups'!A172,'F-1 Off Site River Baseline'!$V$10:$V$257)</f>
        <v>0</v>
      </c>
      <c r="W172" s="111">
        <f>SUMIF('F-2 Off Site River Creation'!$C$12:$C$259,'G-2 Habitat groups'!A172,'F-2 Off Site River Creation'!$D$12:$D$259)</f>
        <v>0</v>
      </c>
      <c r="X172" s="111">
        <f>SUMIF('F-2 Off Site River Creation'!$C$12:$C$259,'G-2 Habitat groups'!A172,'F-2 Off Site River Creation'!$AB$12:$AB$259)</f>
        <v>0</v>
      </c>
      <c r="Y172" s="111">
        <f>SUMIF('F-3 Off Site River Enhancement'!$N$12:$N$259,'G-2 Habitat groups'!A172,'F-3 Off Site River Enhancement'!$Q$12:$Q$259)</f>
        <v>0</v>
      </c>
      <c r="Z172" s="111">
        <f>SUMIF('F-3 Off Site River Enhancement'!$N$12:$N$259,'G-2 Habitat groups'!A172,'F-3 Off Site River Enhancement'!$AO$12:$AO$259)</f>
        <v>0</v>
      </c>
      <c r="AA172" s="111">
        <f t="shared" si="158"/>
        <v>0</v>
      </c>
      <c r="AB172" s="111">
        <f t="shared" si="159"/>
        <v>0</v>
      </c>
      <c r="AC172" s="111">
        <f t="shared" si="153"/>
        <v>0</v>
      </c>
      <c r="AD172" s="111">
        <f t="shared" si="154"/>
        <v>0</v>
      </c>
      <c r="AE172" s="111">
        <f t="shared" si="155"/>
        <v>0</v>
      </c>
      <c r="AF172" s="111">
        <f t="shared" si="156"/>
        <v>0</v>
      </c>
    </row>
    <row r="173" spans="1:32" x14ac:dyDescent="0.25">
      <c r="A173" s="129" t="str">
        <f>'G-7 Rivers Data'!B8</f>
        <v>Culvert</v>
      </c>
      <c r="B173" s="100" t="s">
        <v>1434</v>
      </c>
      <c r="C173" s="100" t="str">
        <f>'G-7 Rivers Data'!C8</f>
        <v>Low</v>
      </c>
      <c r="D173" s="100" t="str">
        <f>'G-7 Rivers Data'!AU7</f>
        <v>Mitigate or Compensate</v>
      </c>
      <c r="E173" s="111">
        <f>SUMIF('C-1 Site River Baseline'!$D$10:$D$257,'G-2 Habitat groups'!A173,'C-1 Site River Baseline'!$E$10:$E$257)</f>
        <v>0</v>
      </c>
      <c r="F173" s="111">
        <f>SUMIF('C-1 Site River Baseline'!$D$10:$D$257,'G-2 Habitat groups'!A173,'C-1 Site River Baseline'!$R$10:$R$257)</f>
        <v>0</v>
      </c>
      <c r="G173" s="111">
        <f>SUMIF('C-1 Site River Baseline'!$D$10:$D$257,'G-2 Habitat groups'!A173,'C-1 Site River Baseline'!$T$10:$T$257)</f>
        <v>0</v>
      </c>
      <c r="H173" s="111">
        <f>SUMIF('C-1 Site River Baseline'!$D$10:$D$257,'G-2 Habitat groups'!A173,'C-1 Site River Baseline'!$V$10:$V$257)</f>
        <v>0</v>
      </c>
      <c r="I173" s="111">
        <f>SUMIF('C-1 Site River Baseline'!$D$10:$D$257,'G-2 Habitat groups'!A173,'C-1 Site River Baseline'!$X$10:$X$257)</f>
        <v>0</v>
      </c>
      <c r="J173" s="111">
        <f>SUMIF('C-1 Site River Baseline'!$D$10:$D$257,'G-2 Habitat groups'!A173,'C-1 Site River Baseline'!$Y$10:$Y$257)</f>
        <v>0</v>
      </c>
      <c r="K173" s="111">
        <f>SUMIF('C-2 Site River Creation'!$C$10:$C$257,'G-2 Habitat groups'!A173,'C-2 Site River Creation'!$D$10:$D$257)</f>
        <v>0</v>
      </c>
      <c r="L173" s="111">
        <f>SUMIF('C-2 Site River Creation'!$C$10:$C$257,'G-2 Habitat groups'!A173,'C-2 Site River Creation'!$Z$10:$Z$257)</f>
        <v>0</v>
      </c>
      <c r="M173" s="111">
        <f>SUMIF('C-3 Site River Enhancement'!$N$12:$N$257,'G-2 Habitat groups'!A173,'C-3 Site River Enhancement'!$Q$12:$Q$257)</f>
        <v>0</v>
      </c>
      <c r="N173" s="111">
        <f>SUMIF('C-3 Site River Enhancement'!$N$12:$N$257,'G-2 Habitat groups'!A173,'C-3 Site River Enhancement'!$AM$12:$AM$257)</f>
        <v>0</v>
      </c>
      <c r="O173" s="511">
        <f t="shared" si="150"/>
        <v>0</v>
      </c>
      <c r="P173" s="511">
        <f t="shared" si="151"/>
        <v>0</v>
      </c>
      <c r="Q173" s="511">
        <f t="shared" si="157"/>
        <v>0</v>
      </c>
      <c r="R173" s="511">
        <f t="shared" si="152"/>
        <v>0</v>
      </c>
      <c r="S173" s="111">
        <f>SUMIF('F-1 Off Site River Baseline'!$D$10:$D$257,'G-2 Habitat groups'!A173,'F-1 Off Site River Baseline'!$E$10:$E$257)</f>
        <v>0</v>
      </c>
      <c r="T173" s="111">
        <f>SUMIF('F-1 Off Site River Baseline'!$D$10:$D$257,'G-2 Habitat groups'!A173,'F-1 Off Site River Baseline'!$R$10:$R$257)</f>
        <v>0</v>
      </c>
      <c r="U173" s="111">
        <f>SUMIF('F-1 Off Site River Baseline'!$D$10:$D$257,'G-2 Habitat groups'!A173,'F-1 Off Site River Baseline'!$T$10:$T$257)</f>
        <v>0</v>
      </c>
      <c r="V173" s="111">
        <f>SUMIF('F-1 Off Site River Baseline'!$D$10:$D$257,'G-2 Habitat groups'!A173,'F-1 Off Site River Baseline'!$V$10:$V$257)</f>
        <v>0</v>
      </c>
      <c r="W173" s="111">
        <f>SUMIF('F-2 Off Site River Creation'!$C$12:$C$259,'G-2 Habitat groups'!A173,'F-2 Off Site River Creation'!$D$12:$D$259)</f>
        <v>0</v>
      </c>
      <c r="X173" s="111">
        <f>SUMIF('F-2 Off Site River Creation'!$C$12:$C$259,'G-2 Habitat groups'!A173,'F-2 Off Site River Creation'!$AB$12:$AB$259)</f>
        <v>0</v>
      </c>
      <c r="Y173" s="111">
        <f>SUMIF('F-3 Off Site River Enhancement'!$N$12:$N$259,'G-2 Habitat groups'!A173,'F-3 Off Site River Enhancement'!$Q$12:$Q$259)</f>
        <v>0</v>
      </c>
      <c r="Z173" s="111">
        <f>SUMIF('F-3 Off Site River Enhancement'!$N$12:$N$259,'G-2 Habitat groups'!A173,'F-3 Off Site River Enhancement'!$AO$12:$AO$259)</f>
        <v>0</v>
      </c>
      <c r="AA173" s="511">
        <f t="shared" si="158"/>
        <v>0</v>
      </c>
      <c r="AB173" s="511">
        <f t="shared" si="159"/>
        <v>0</v>
      </c>
      <c r="AC173" s="511">
        <f t="shared" si="153"/>
        <v>0</v>
      </c>
      <c r="AD173" s="511">
        <f t="shared" si="154"/>
        <v>0</v>
      </c>
      <c r="AE173" s="511">
        <f t="shared" si="155"/>
        <v>0</v>
      </c>
      <c r="AF173" s="511">
        <f t="shared" si="156"/>
        <v>0</v>
      </c>
    </row>
  </sheetData>
  <sheetProtection algorithmName="SHA-512" hashValue="RU+pxUYGGvWJUnoLv8eWnt5MsvxiVT4ex0DzaTOS5nJqBSKWIMhkJJO1fVurqsEFmENuWRVaNfr+z3/lNuOksg==" saltValue="JXbWvCiFZW8EX/WO3B8Y3A==" spinCount="100000" sheet="1" objects="1" scenarios="1"/>
  <customSheetViews>
    <customSheetView guid="{8BDA793C-C9C5-4FC6-A0A5-F1109F6D4F22}" state="hidden" topLeftCell="AS84">
      <selection activeCell="D14" sqref="D14"/>
    </customSheetView>
  </customSheetViews>
  <mergeCells count="4">
    <mergeCell ref="AU28:AU29"/>
    <mergeCell ref="AJ1:AP1"/>
    <mergeCell ref="AU1:BG1"/>
    <mergeCell ref="A1:AF1"/>
  </mergeCells>
  <conditionalFormatting sqref="R4:R137">
    <cfRule type="cellIs" dxfId="8" priority="16" operator="lessThan">
      <formula>0</formula>
    </cfRule>
  </conditionalFormatting>
  <conditionalFormatting sqref="AD4:AD137">
    <cfRule type="cellIs" dxfId="7" priority="11" operator="lessThan">
      <formula>0</formula>
    </cfRule>
  </conditionalFormatting>
  <conditionalFormatting sqref="AE4:AF137">
    <cfRule type="cellIs" dxfId="6" priority="7" operator="lessThan">
      <formula>0</formula>
    </cfRule>
  </conditionalFormatting>
  <conditionalFormatting sqref="R147:R159">
    <cfRule type="cellIs" dxfId="5" priority="6" operator="lessThan">
      <formula>0</formula>
    </cfRule>
  </conditionalFormatting>
  <conditionalFormatting sqref="AD147:AD159">
    <cfRule type="cellIs" dxfId="4" priority="5" operator="lessThan">
      <formula>0</formula>
    </cfRule>
  </conditionalFormatting>
  <conditionalFormatting sqref="AE147:AF159">
    <cfRule type="cellIs" dxfId="3" priority="4" operator="lessThan">
      <formula>0</formula>
    </cfRule>
  </conditionalFormatting>
  <conditionalFormatting sqref="AE169:AF173">
    <cfRule type="cellIs" dxfId="2" priority="1" operator="lessThan">
      <formula>0</formula>
    </cfRule>
  </conditionalFormatting>
  <conditionalFormatting sqref="R169:R173">
    <cfRule type="cellIs" dxfId="1" priority="3" operator="lessThan">
      <formula>0</formula>
    </cfRule>
  </conditionalFormatting>
  <conditionalFormatting sqref="AD169:AD173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8">
    <tabColor rgb="FFFFC000"/>
  </sheetPr>
  <dimension ref="A1:AH142"/>
  <sheetViews>
    <sheetView showGridLines="0" showRowColHeaders="0" zoomScale="90" zoomScaleNormal="90" workbookViewId="0">
      <selection activeCell="B18" sqref="B18:I19"/>
    </sheetView>
  </sheetViews>
  <sheetFormatPr defaultColWidth="0" defaultRowHeight="13.8" zeroHeight="1" x14ac:dyDescent="0.25"/>
  <cols>
    <col min="1" max="1" width="76.44140625" style="35" customWidth="1"/>
    <col min="2" max="2" width="28.88671875" style="35" bestFit="1" customWidth="1"/>
    <col min="3" max="3" width="18.5546875" style="35" bestFit="1" customWidth="1"/>
    <col min="4" max="4" width="30.5546875" style="35" bestFit="1" customWidth="1"/>
    <col min="5" max="5" width="18.5546875" style="35" bestFit="1" customWidth="1"/>
    <col min="6" max="7" width="9.109375" style="35" customWidth="1"/>
    <col min="8" max="8" width="16.33203125" style="35" hidden="1" customWidth="1"/>
    <col min="9" max="9" width="32.88671875" style="35" hidden="1" customWidth="1"/>
    <col min="10" max="10" width="8.109375" style="35" hidden="1" customWidth="1"/>
    <col min="11" max="11" width="9.109375" style="35" customWidth="1"/>
    <col min="12" max="12" width="38.5546875" style="35" customWidth="1"/>
    <col min="13" max="13" width="26.33203125" style="35" customWidth="1"/>
    <col min="14" max="14" width="12" style="35" bestFit="1" customWidth="1"/>
    <col min="15" max="15" width="9.109375" style="35" customWidth="1"/>
    <col min="16" max="16" width="11.6640625" style="35" bestFit="1" customWidth="1"/>
    <col min="17" max="17" width="9.109375" style="35" customWidth="1"/>
    <col min="18" max="18" width="18.88671875" style="35" customWidth="1"/>
    <col min="19" max="19" width="40" style="35" customWidth="1"/>
    <col min="20" max="20" width="19.44140625" style="35" customWidth="1"/>
    <col min="21" max="21" width="9.109375" style="35" customWidth="1"/>
    <col min="22" max="22" width="11.33203125" style="35" customWidth="1"/>
    <col min="23" max="23" width="12" style="35" bestFit="1" customWidth="1"/>
    <col min="24" max="24" width="14.33203125" style="35" bestFit="1" customWidth="1"/>
    <col min="25" max="25" width="17.6640625" style="35" bestFit="1" customWidth="1"/>
    <col min="26" max="26" width="10.109375" style="35" bestFit="1" customWidth="1"/>
    <col min="27" max="28" width="9.109375" style="35" customWidth="1"/>
    <col min="29" max="34" width="0" style="35" hidden="1" customWidth="1"/>
    <col min="35" max="16384" width="9.109375" style="35" hidden="1"/>
  </cols>
  <sheetData>
    <row r="1" spans="1:26" ht="36.6" customHeight="1" thickBot="1" x14ac:dyDescent="0.5">
      <c r="A1" s="1087" t="s">
        <v>334</v>
      </c>
      <c r="B1" s="1088"/>
      <c r="C1" s="1088"/>
      <c r="D1" s="1088"/>
      <c r="E1" s="1089"/>
      <c r="J1" s="427"/>
      <c r="L1" s="1087" t="s">
        <v>971</v>
      </c>
      <c r="M1" s="1088"/>
      <c r="N1" s="1089"/>
      <c r="P1" s="1087" t="s">
        <v>311</v>
      </c>
      <c r="Q1" s="1089"/>
    </row>
    <row r="2" spans="1:26" ht="42" customHeight="1" thickBot="1" x14ac:dyDescent="0.5">
      <c r="A2" s="428" t="s">
        <v>1039</v>
      </c>
      <c r="B2" s="272" t="s">
        <v>123</v>
      </c>
      <c r="C2" s="272" t="s">
        <v>55</v>
      </c>
      <c r="D2" s="272" t="s">
        <v>124</v>
      </c>
      <c r="E2" s="428" t="s">
        <v>55</v>
      </c>
      <c r="H2" s="1093" t="s">
        <v>131</v>
      </c>
      <c r="I2" s="1094"/>
      <c r="J2" s="1095"/>
      <c r="L2" s="1090" t="s">
        <v>3</v>
      </c>
      <c r="M2" s="1091"/>
      <c r="N2" s="1092"/>
      <c r="P2" s="428" t="s">
        <v>340</v>
      </c>
      <c r="Q2" s="428" t="s">
        <v>341</v>
      </c>
      <c r="S2" s="905" t="s">
        <v>1500</v>
      </c>
      <c r="T2" s="918"/>
      <c r="W2" s="1087" t="s">
        <v>812</v>
      </c>
      <c r="X2" s="1088"/>
      <c r="Y2" s="1088"/>
      <c r="Z2" s="1089"/>
    </row>
    <row r="3" spans="1:26" x14ac:dyDescent="0.25">
      <c r="A3" s="135" t="str">
        <f>'G-1 All Habitats'!B100</f>
        <v>Coastal lagoons - Coastal lagoons</v>
      </c>
      <c r="B3" s="242" t="str">
        <f>'G-1 All Habitats'!N100</f>
        <v>Medium</v>
      </c>
      <c r="C3" s="242">
        <f>'G-1 All Habitats'!O100</f>
        <v>0.67</v>
      </c>
      <c r="D3" s="242" t="str">
        <f>'G-1 All Habitats'!P100</f>
        <v>Medium</v>
      </c>
      <c r="E3" s="242">
        <f>'G-1 All Habitats'!Q100</f>
        <v>0.67</v>
      </c>
      <c r="H3" s="128" t="s">
        <v>140</v>
      </c>
      <c r="I3" s="419" t="s">
        <v>337</v>
      </c>
      <c r="J3" s="419" t="s">
        <v>132</v>
      </c>
      <c r="L3" s="419" t="s">
        <v>337</v>
      </c>
      <c r="M3" s="128" t="s">
        <v>133</v>
      </c>
      <c r="N3" s="419" t="s">
        <v>55</v>
      </c>
      <c r="P3" s="155" t="s">
        <v>8</v>
      </c>
      <c r="Q3" s="242">
        <v>1</v>
      </c>
      <c r="S3" s="428" t="s">
        <v>343</v>
      </c>
      <c r="T3" s="428" t="s">
        <v>55</v>
      </c>
      <c r="W3" s="428" t="s">
        <v>813</v>
      </c>
      <c r="X3" s="428" t="s">
        <v>817</v>
      </c>
      <c r="Y3" s="428" t="s">
        <v>816</v>
      </c>
      <c r="Z3" s="428" t="s">
        <v>818</v>
      </c>
    </row>
    <row r="4" spans="1:26" ht="41.4" x14ac:dyDescent="0.25">
      <c r="A4" s="135" t="str">
        <f>'G-1 All Habitats'!B109</f>
        <v>Coastal saltmarsh - Saltmarshes and saline reedbeds</v>
      </c>
      <c r="B4" s="242" t="str">
        <f>'G-1 All Habitats'!N109</f>
        <v>High</v>
      </c>
      <c r="C4" s="242">
        <f>'G-1 All Habitats'!O109</f>
        <v>0.33</v>
      </c>
      <c r="D4" s="242" t="str">
        <f>'G-1 All Habitats'!P109</f>
        <v>Medium</v>
      </c>
      <c r="E4" s="242">
        <f>'G-1 All Habitats'!Q109</f>
        <v>0.67</v>
      </c>
      <c r="H4" s="155" t="s">
        <v>5</v>
      </c>
      <c r="I4" s="175" t="s">
        <v>994</v>
      </c>
      <c r="J4" s="242">
        <v>1.1499999999999999</v>
      </c>
      <c r="L4" s="155" t="s">
        <v>968</v>
      </c>
      <c r="M4" s="175" t="s">
        <v>335</v>
      </c>
      <c r="N4" s="242">
        <v>1.1499999999999999</v>
      </c>
      <c r="P4" s="155" t="s">
        <v>6</v>
      </c>
      <c r="Q4" s="242">
        <v>0.67</v>
      </c>
      <c r="S4" s="155" t="s">
        <v>344</v>
      </c>
      <c r="T4" s="175">
        <v>1</v>
      </c>
      <c r="W4" s="129" t="s">
        <v>814</v>
      </c>
      <c r="X4" s="242">
        <v>0.1</v>
      </c>
      <c r="Y4" s="242">
        <f>X4*12</f>
        <v>1.2000000000000002</v>
      </c>
      <c r="Z4" s="429">
        <f>3.14*(Y4*Y4)/10000</f>
        <v>4.5216000000000012E-4</v>
      </c>
    </row>
    <row r="5" spans="1:26" ht="41.4" x14ac:dyDescent="0.25">
      <c r="A5" s="135" t="str">
        <f>'G-1 All Habitats'!B3</f>
        <v>Cropland - Arable field margins cultivated annually</v>
      </c>
      <c r="B5" s="242" t="str">
        <f>'G-1 All Habitats'!N3</f>
        <v>Low</v>
      </c>
      <c r="C5" s="242">
        <f>'G-1 All Habitats'!O3</f>
        <v>1</v>
      </c>
      <c r="D5" s="242" t="str">
        <f>'G-1 All Habitats'!P3</f>
        <v>Low</v>
      </c>
      <c r="E5" s="242">
        <f>'G-1 All Habitats'!Q3</f>
        <v>1</v>
      </c>
      <c r="H5" s="155" t="s">
        <v>6</v>
      </c>
      <c r="I5" s="175" t="s">
        <v>995</v>
      </c>
      <c r="J5" s="242">
        <v>1.1000000000000001</v>
      </c>
      <c r="L5" s="155" t="s">
        <v>969</v>
      </c>
      <c r="M5" s="175" t="s">
        <v>338</v>
      </c>
      <c r="N5" s="242">
        <v>1.1000000000000001</v>
      </c>
      <c r="P5" s="155" t="s">
        <v>5</v>
      </c>
      <c r="Q5" s="242">
        <v>0.33</v>
      </c>
      <c r="S5" s="155" t="s">
        <v>1348</v>
      </c>
      <c r="T5" s="175">
        <v>0.75</v>
      </c>
      <c r="W5" s="129" t="s">
        <v>6</v>
      </c>
      <c r="X5" s="242">
        <v>0.3</v>
      </c>
      <c r="Y5" s="242">
        <f t="shared" ref="Y5:Y6" si="0">X5*12</f>
        <v>3.5999999999999996</v>
      </c>
      <c r="Z5" s="429">
        <f t="shared" ref="Z5:Z6" si="1">3.14*(Y5*Y5)/10000</f>
        <v>4.0694399999999997E-3</v>
      </c>
    </row>
    <row r="6" spans="1:26" ht="41.4" x14ac:dyDescent="0.25">
      <c r="A6" s="135" t="str">
        <f>'G-1 All Habitats'!B4</f>
        <v>Cropland - Arable field margins game bird mix</v>
      </c>
      <c r="B6" s="242" t="str">
        <f>'G-1 All Habitats'!N4</f>
        <v>Low</v>
      </c>
      <c r="C6" s="242">
        <f>'G-1 All Habitats'!O4</f>
        <v>1</v>
      </c>
      <c r="D6" s="242" t="str">
        <f>'G-1 All Habitats'!P4</f>
        <v>Low</v>
      </c>
      <c r="E6" s="242">
        <f>'G-1 All Habitats'!Q4</f>
        <v>1</v>
      </c>
      <c r="H6" s="430" t="s">
        <v>8</v>
      </c>
      <c r="I6" s="175" t="s">
        <v>1040</v>
      </c>
      <c r="J6" s="242">
        <v>1</v>
      </c>
      <c r="L6" s="155" t="s">
        <v>970</v>
      </c>
      <c r="M6" s="175" t="s">
        <v>336</v>
      </c>
      <c r="N6" s="242">
        <v>1</v>
      </c>
      <c r="P6" s="155" t="s">
        <v>342</v>
      </c>
      <c r="Q6" s="242">
        <v>0.1</v>
      </c>
      <c r="S6" s="521" t="s">
        <v>1349</v>
      </c>
      <c r="T6" s="175">
        <v>0.5</v>
      </c>
      <c r="W6" s="129" t="s">
        <v>815</v>
      </c>
      <c r="X6" s="242">
        <v>0.5</v>
      </c>
      <c r="Y6" s="242">
        <f t="shared" si="0"/>
        <v>6</v>
      </c>
      <c r="Z6" s="429">
        <f t="shared" si="1"/>
        <v>1.1304E-2</v>
      </c>
    </row>
    <row r="7" spans="1:26" ht="49.95" customHeight="1" x14ac:dyDescent="0.25">
      <c r="A7" s="135" t="str">
        <f>'G-1 All Habitats'!B5</f>
        <v>Cropland - Arable field margins pollen &amp; nectar</v>
      </c>
      <c r="B7" s="242" t="str">
        <f>'G-1 All Habitats'!N5</f>
        <v>Low</v>
      </c>
      <c r="C7" s="242">
        <f>'G-1 All Habitats'!O5</f>
        <v>1</v>
      </c>
      <c r="D7" s="242" t="str">
        <f>'G-1 All Habitats'!P5</f>
        <v>Low</v>
      </c>
      <c r="E7" s="242">
        <f>'G-1 All Habitats'!Q5</f>
        <v>1</v>
      </c>
      <c r="H7" s="430" t="s">
        <v>833</v>
      </c>
      <c r="I7" s="175" t="s">
        <v>1213</v>
      </c>
      <c r="J7" s="242">
        <v>1</v>
      </c>
      <c r="S7" s="522" t="s">
        <v>1473</v>
      </c>
      <c r="T7" s="175">
        <v>1</v>
      </c>
    </row>
    <row r="8" spans="1:26" ht="49.95" customHeight="1" x14ac:dyDescent="0.25">
      <c r="A8" s="135" t="str">
        <f>'G-1 All Habitats'!B6</f>
        <v>Cropland - Arable field margins tussocky</v>
      </c>
      <c r="B8" s="242" t="str">
        <f>'G-1 All Habitats'!N6</f>
        <v>Low</v>
      </c>
      <c r="C8" s="242">
        <f>'G-1 All Habitats'!O6</f>
        <v>1</v>
      </c>
      <c r="D8" s="242" t="str">
        <f>'G-1 All Habitats'!P6</f>
        <v>Low</v>
      </c>
      <c r="E8" s="242">
        <f>'G-1 All Habitats'!Q6</f>
        <v>1</v>
      </c>
      <c r="S8" s="522" t="s">
        <v>1474</v>
      </c>
      <c r="T8" s="175">
        <v>0.75</v>
      </c>
    </row>
    <row r="9" spans="1:26" ht="49.95" customHeight="1" x14ac:dyDescent="0.25">
      <c r="A9" s="135" t="str">
        <f>'G-1 All Habitats'!B7</f>
        <v>Cropland - Cereal crops</v>
      </c>
      <c r="B9" s="242" t="str">
        <f>'G-1 All Habitats'!N7</f>
        <v>Low</v>
      </c>
      <c r="C9" s="242">
        <f>'G-1 All Habitats'!O7</f>
        <v>1</v>
      </c>
      <c r="D9" s="242" t="str">
        <f>'G-1 All Habitats'!P7</f>
        <v>Low</v>
      </c>
      <c r="E9" s="242">
        <f>'G-1 All Habitats'!Q7</f>
        <v>1</v>
      </c>
      <c r="L9" s="521" t="s">
        <v>1349</v>
      </c>
      <c r="S9" s="522" t="s">
        <v>1475</v>
      </c>
      <c r="T9" s="175">
        <v>0.5</v>
      </c>
    </row>
    <row r="10" spans="1:26" x14ac:dyDescent="0.25">
      <c r="A10" s="135" t="str">
        <f>'G-1 All Habitats'!B8</f>
        <v>Cropland - Cereal crops other</v>
      </c>
      <c r="B10" s="242" t="str">
        <f>'G-1 All Habitats'!N8</f>
        <v>Low</v>
      </c>
      <c r="C10" s="242">
        <f>'G-1 All Habitats'!O8</f>
        <v>1</v>
      </c>
      <c r="D10" s="242" t="str">
        <f>'G-1 All Habitats'!P8</f>
        <v>Low</v>
      </c>
      <c r="E10" s="242">
        <f>'G-1 All Habitats'!Q8</f>
        <v>1</v>
      </c>
    </row>
    <row r="11" spans="1:26" x14ac:dyDescent="0.25">
      <c r="A11" s="135" t="str">
        <f>'G-1 All Habitats'!B9</f>
        <v>Cropland - Cereal crops winter stubble</v>
      </c>
      <c r="B11" s="242" t="str">
        <f>'G-1 All Habitats'!N9</f>
        <v>Low</v>
      </c>
      <c r="C11" s="242">
        <f>'G-1 All Habitats'!O9</f>
        <v>1</v>
      </c>
      <c r="D11" s="242" t="str">
        <f>'G-1 All Habitats'!P9</f>
        <v>Low</v>
      </c>
      <c r="E11" s="242">
        <f>'G-1 All Habitats'!Q9</f>
        <v>1</v>
      </c>
    </row>
    <row r="12" spans="1:26" x14ac:dyDescent="0.25">
      <c r="A12" s="135" t="str">
        <f>'G-1 All Habitats'!B10</f>
        <v>Cropland - Horticulture</v>
      </c>
      <c r="B12" s="242" t="str">
        <f>'G-1 All Habitats'!N10</f>
        <v>Low</v>
      </c>
      <c r="C12" s="242">
        <f>'G-1 All Habitats'!O10</f>
        <v>1</v>
      </c>
      <c r="D12" s="242" t="str">
        <f>'G-1 All Habitats'!P10</f>
        <v>Low</v>
      </c>
      <c r="E12" s="242">
        <f>'G-1 All Habitats'!Q10</f>
        <v>1</v>
      </c>
    </row>
    <row r="13" spans="1:26" x14ac:dyDescent="0.25">
      <c r="A13" s="135" t="str">
        <f>'G-1 All Habitats'!B11</f>
        <v>Cropland - Intensive orchards</v>
      </c>
      <c r="B13" s="242" t="str">
        <f>'G-1 All Habitats'!N11</f>
        <v>Low</v>
      </c>
      <c r="C13" s="242">
        <f>'G-1 All Habitats'!O11</f>
        <v>1</v>
      </c>
      <c r="D13" s="242" t="str">
        <f>'G-1 All Habitats'!P11</f>
        <v>Low</v>
      </c>
      <c r="E13" s="242">
        <f>'G-1 All Habitats'!Q11</f>
        <v>1</v>
      </c>
    </row>
    <row r="14" spans="1:26" x14ac:dyDescent="0.25">
      <c r="A14" s="135" t="str">
        <f>'G-1 All Habitats'!B12</f>
        <v>Cropland - Non-cereal crops</v>
      </c>
      <c r="B14" s="242" t="str">
        <f>'G-1 All Habitats'!N12</f>
        <v>Low</v>
      </c>
      <c r="C14" s="242">
        <f>'G-1 All Habitats'!O12</f>
        <v>1</v>
      </c>
      <c r="D14" s="242" t="str">
        <f>'G-1 All Habitats'!P12</f>
        <v>Low</v>
      </c>
      <c r="E14" s="242">
        <f>'G-1 All Habitats'!Q12</f>
        <v>1</v>
      </c>
    </row>
    <row r="15" spans="1:26" x14ac:dyDescent="0.25">
      <c r="A15" s="135" t="str">
        <f>'G-1 All Habitats'!B13</f>
        <v>Cropland - Temporary grass and clover leys</v>
      </c>
      <c r="B15" s="242" t="str">
        <f>'G-1 All Habitats'!N13</f>
        <v>Low</v>
      </c>
      <c r="C15" s="242">
        <f>'G-1 All Habitats'!O13</f>
        <v>1</v>
      </c>
      <c r="D15" s="242" t="str">
        <f>'G-1 All Habitats'!P13</f>
        <v>Low</v>
      </c>
      <c r="E15" s="242">
        <f>'G-1 All Habitats'!Q13</f>
        <v>1</v>
      </c>
    </row>
    <row r="16" spans="1:26" x14ac:dyDescent="0.25">
      <c r="A16" s="135" t="str">
        <f>'G-1 All Habitats'!B14</f>
        <v>Grassland - Traditional orchards</v>
      </c>
      <c r="B16" s="242" t="str">
        <f>'G-1 All Habitats'!N14</f>
        <v>Low</v>
      </c>
      <c r="C16" s="242">
        <f>'G-1 All Habitats'!O14</f>
        <v>1</v>
      </c>
      <c r="D16" s="242" t="str">
        <f>'G-1 All Habitats'!P14</f>
        <v>Medium</v>
      </c>
      <c r="E16" s="242">
        <f>'G-1 All Habitats'!Q14</f>
        <v>0.67</v>
      </c>
    </row>
    <row r="17" spans="1:5" x14ac:dyDescent="0.25">
      <c r="A17" s="135" t="str">
        <f>'G-1 All Habitats'!B15</f>
        <v>Grassland - Bracken</v>
      </c>
      <c r="B17" s="242" t="str">
        <f>'G-1 All Habitats'!N15</f>
        <v>Low</v>
      </c>
      <c r="C17" s="242">
        <f>'G-1 All Habitats'!O15</f>
        <v>1</v>
      </c>
      <c r="D17" s="242" t="str">
        <f>'G-1 All Habitats'!P15</f>
        <v>Low</v>
      </c>
      <c r="E17" s="242">
        <f>'G-1 All Habitats'!Q15</f>
        <v>1</v>
      </c>
    </row>
    <row r="18" spans="1:5" x14ac:dyDescent="0.25">
      <c r="A18" s="135" t="str">
        <f>'G-1 All Habitats'!B16</f>
        <v>Grassland - Floodplain Wetland Mosaic (CFGM)</v>
      </c>
      <c r="B18" s="242" t="str">
        <f>'G-1 All Habitats'!N16</f>
        <v>High</v>
      </c>
      <c r="C18" s="242">
        <f>'G-1 All Habitats'!O16</f>
        <v>0.33</v>
      </c>
      <c r="D18" s="242" t="str">
        <f>'G-1 All Habitats'!P16</f>
        <v>Medium</v>
      </c>
      <c r="E18" s="242">
        <f>'G-1 All Habitats'!Q16</f>
        <v>0.67</v>
      </c>
    </row>
    <row r="19" spans="1:5" x14ac:dyDescent="0.25">
      <c r="A19" s="135" t="str">
        <f>'G-1 All Habitats'!B17</f>
        <v>Grassland - Lowland calcareous grassland</v>
      </c>
      <c r="B19" s="242" t="str">
        <f>'G-1 All Habitats'!N17</f>
        <v>High</v>
      </c>
      <c r="C19" s="242">
        <f>'G-1 All Habitats'!O17</f>
        <v>0.33</v>
      </c>
      <c r="D19" s="242" t="str">
        <f>'G-1 All Habitats'!P17</f>
        <v>High</v>
      </c>
      <c r="E19" s="242">
        <f>'G-1 All Habitats'!Q17</f>
        <v>0.33</v>
      </c>
    </row>
    <row r="20" spans="1:5" x14ac:dyDescent="0.25">
      <c r="A20" s="135" t="str">
        <f>'G-1 All Habitats'!B18</f>
        <v>Grassland - Lowland dry acid grassland</v>
      </c>
      <c r="B20" s="242" t="str">
        <f>'G-1 All Habitats'!N18</f>
        <v>High</v>
      </c>
      <c r="C20" s="242">
        <f>'G-1 All Habitats'!O18</f>
        <v>0.33</v>
      </c>
      <c r="D20" s="242" t="str">
        <f>'G-1 All Habitats'!P18</f>
        <v>High</v>
      </c>
      <c r="E20" s="242">
        <f>'G-1 All Habitats'!Q18</f>
        <v>0.33</v>
      </c>
    </row>
    <row r="21" spans="1:5" x14ac:dyDescent="0.25">
      <c r="A21" s="135" t="str">
        <f>'G-1 All Habitats'!B19</f>
        <v>Grassland - Lowland meadows</v>
      </c>
      <c r="B21" s="242" t="str">
        <f>'G-1 All Habitats'!N19</f>
        <v>High</v>
      </c>
      <c r="C21" s="242">
        <f>'G-1 All Habitats'!O19</f>
        <v>0.33</v>
      </c>
      <c r="D21" s="242" t="str">
        <f>'G-1 All Habitats'!P19</f>
        <v>Medium</v>
      </c>
      <c r="E21" s="242">
        <f>'G-1 All Habitats'!Q19</f>
        <v>0.67</v>
      </c>
    </row>
    <row r="22" spans="1:5" x14ac:dyDescent="0.25">
      <c r="A22" s="135" t="str">
        <f>'G-1 All Habitats'!B20</f>
        <v>Grassland - Modified grassland</v>
      </c>
      <c r="B22" s="242" t="str">
        <f>'G-1 All Habitats'!N20</f>
        <v>Low</v>
      </c>
      <c r="C22" s="242">
        <f>'G-1 All Habitats'!O20</f>
        <v>1</v>
      </c>
      <c r="D22" s="242" t="str">
        <f>'G-1 All Habitats'!P20</f>
        <v>Low</v>
      </c>
      <c r="E22" s="242">
        <f>'G-1 All Habitats'!Q20</f>
        <v>1</v>
      </c>
    </row>
    <row r="23" spans="1:5" x14ac:dyDescent="0.25">
      <c r="A23" s="135" t="str">
        <f>'G-1 All Habitats'!B21</f>
        <v>Grassland - Other lowland acid grassland</v>
      </c>
      <c r="B23" s="242" t="str">
        <f>'G-1 All Habitats'!N21</f>
        <v>Low</v>
      </c>
      <c r="C23" s="242">
        <f>'G-1 All Habitats'!O21</f>
        <v>1</v>
      </c>
      <c r="D23" s="242" t="str">
        <f>'G-1 All Habitats'!P21</f>
        <v>Low</v>
      </c>
      <c r="E23" s="242">
        <f>'G-1 All Habitats'!Q21</f>
        <v>1</v>
      </c>
    </row>
    <row r="24" spans="1:5" x14ac:dyDescent="0.25">
      <c r="A24" s="135" t="str">
        <f>'G-1 All Habitats'!B22</f>
        <v>Grassland - Other neutral grassland</v>
      </c>
      <c r="B24" s="242" t="str">
        <f>'G-1 All Habitats'!N22</f>
        <v>Low</v>
      </c>
      <c r="C24" s="242">
        <f>'G-1 All Habitats'!O22</f>
        <v>1</v>
      </c>
      <c r="D24" s="242" t="str">
        <f>'G-1 All Habitats'!P22</f>
        <v>Low</v>
      </c>
      <c r="E24" s="242">
        <f>'G-1 All Habitats'!Q22</f>
        <v>1</v>
      </c>
    </row>
    <row r="25" spans="1:5" x14ac:dyDescent="0.25">
      <c r="A25" s="135" t="str">
        <f>'G-1 All Habitats'!B23</f>
        <v>Grassland - Tall herb communities</v>
      </c>
      <c r="B25" s="242" t="str">
        <f>'G-1 All Habitats'!N23</f>
        <v>High</v>
      </c>
      <c r="C25" s="242">
        <f>'G-1 All Habitats'!O23</f>
        <v>0.33</v>
      </c>
      <c r="D25" s="242" t="str">
        <f>'G-1 All Habitats'!P23</f>
        <v>High</v>
      </c>
      <c r="E25" s="242">
        <f>'G-1 All Habitats'!Q23</f>
        <v>0.33</v>
      </c>
    </row>
    <row r="26" spans="1:5" x14ac:dyDescent="0.25">
      <c r="A26" s="135" t="str">
        <f>'G-1 All Habitats'!B24</f>
        <v>Grassland - Upland acid grassland</v>
      </c>
      <c r="B26" s="242" t="str">
        <f>'G-1 All Habitats'!N24</f>
        <v>Low</v>
      </c>
      <c r="C26" s="242">
        <f>'G-1 All Habitats'!O24</f>
        <v>1</v>
      </c>
      <c r="D26" s="242" t="str">
        <f>'G-1 All Habitats'!P24</f>
        <v>Low</v>
      </c>
      <c r="E26" s="242">
        <f>'G-1 All Habitats'!Q24</f>
        <v>1</v>
      </c>
    </row>
    <row r="27" spans="1:5" x14ac:dyDescent="0.25">
      <c r="A27" s="135" t="str">
        <f>'G-1 All Habitats'!B25</f>
        <v>Grassland - Upland calcareous grassland</v>
      </c>
      <c r="B27" s="242" t="str">
        <f>'G-1 All Habitats'!N25</f>
        <v>High</v>
      </c>
      <c r="C27" s="242">
        <f>'G-1 All Habitats'!O25</f>
        <v>0.33</v>
      </c>
      <c r="D27" s="242" t="str">
        <f>'G-1 All Habitats'!P25</f>
        <v>High</v>
      </c>
      <c r="E27" s="242">
        <f>'G-1 All Habitats'!Q25</f>
        <v>0.33</v>
      </c>
    </row>
    <row r="28" spans="1:5" x14ac:dyDescent="0.25">
      <c r="A28" s="135" t="str">
        <f>'G-1 All Habitats'!B26</f>
        <v>Grassland - Upland hay meadows</v>
      </c>
      <c r="B28" s="242" t="str">
        <f>'G-1 All Habitats'!N26</f>
        <v>High</v>
      </c>
      <c r="C28" s="242">
        <f>'G-1 All Habitats'!O26</f>
        <v>0.33</v>
      </c>
      <c r="D28" s="242" t="str">
        <f>'G-1 All Habitats'!P26</f>
        <v>Medium</v>
      </c>
      <c r="E28" s="242">
        <f>'G-1 All Habitats'!Q26</f>
        <v>0.67</v>
      </c>
    </row>
    <row r="29" spans="1:5" x14ac:dyDescent="0.25">
      <c r="A29" s="135" t="str">
        <f>'G-1 All Habitats'!B27</f>
        <v>Heathland and shrub - Blackthorn scrub</v>
      </c>
      <c r="B29" s="242" t="str">
        <f>'G-1 All Habitats'!N27</f>
        <v>Low</v>
      </c>
      <c r="C29" s="242">
        <f>'G-1 All Habitats'!O27</f>
        <v>1</v>
      </c>
      <c r="D29" s="242" t="str">
        <f>'G-1 All Habitats'!P27</f>
        <v>Low</v>
      </c>
      <c r="E29" s="242">
        <f>'G-1 All Habitats'!Q27</f>
        <v>1</v>
      </c>
    </row>
    <row r="30" spans="1:5" x14ac:dyDescent="0.25">
      <c r="A30" s="135" t="str">
        <f>'G-1 All Habitats'!B28</f>
        <v>Heathland and shrub - Bramble scrub</v>
      </c>
      <c r="B30" s="242" t="str">
        <f>'G-1 All Habitats'!N28</f>
        <v>Low</v>
      </c>
      <c r="C30" s="242">
        <f>'G-1 All Habitats'!O28</f>
        <v>1</v>
      </c>
      <c r="D30" s="242" t="str">
        <f>'G-1 All Habitats'!P28</f>
        <v>Low</v>
      </c>
      <c r="E30" s="242">
        <f>'G-1 All Habitats'!Q28</f>
        <v>1</v>
      </c>
    </row>
    <row r="31" spans="1:5" x14ac:dyDescent="0.25">
      <c r="A31" s="135" t="str">
        <f>'G-1 All Habitats'!B29</f>
        <v>Heathland and shrub - Gorse scrub</v>
      </c>
      <c r="B31" s="242" t="str">
        <f>'G-1 All Habitats'!N29</f>
        <v>Low</v>
      </c>
      <c r="C31" s="242">
        <f>'G-1 All Habitats'!O29</f>
        <v>1</v>
      </c>
      <c r="D31" s="242" t="str">
        <f>'G-1 All Habitats'!P29</f>
        <v>Low</v>
      </c>
      <c r="E31" s="242">
        <f>'G-1 All Habitats'!Q29</f>
        <v>1</v>
      </c>
    </row>
    <row r="32" spans="1:5" x14ac:dyDescent="0.25">
      <c r="A32" s="135" t="str">
        <f>'G-1 All Habitats'!B30</f>
        <v>Heathland and shrub - Hawthorn scrub</v>
      </c>
      <c r="B32" s="242" t="str">
        <f>'G-1 All Habitats'!N30</f>
        <v>Low</v>
      </c>
      <c r="C32" s="242">
        <f>'G-1 All Habitats'!O30</f>
        <v>1</v>
      </c>
      <c r="D32" s="242" t="str">
        <f>'G-1 All Habitats'!P30</f>
        <v>Low</v>
      </c>
      <c r="E32" s="242">
        <f>'G-1 All Habitats'!Q30</f>
        <v>1</v>
      </c>
    </row>
    <row r="33" spans="1:5" x14ac:dyDescent="0.25">
      <c r="A33" s="135" t="str">
        <f>'G-1 All Habitats'!B31</f>
        <v>Heathland and shrub - Hazel scrub</v>
      </c>
      <c r="B33" s="242" t="s">
        <v>6</v>
      </c>
      <c r="C33" s="242">
        <f>'G-1 All Habitats'!O31</f>
        <v>1</v>
      </c>
      <c r="D33" s="242" t="s">
        <v>6</v>
      </c>
      <c r="E33" s="242">
        <f>'G-1 All Habitats'!Q31</f>
        <v>1</v>
      </c>
    </row>
    <row r="34" spans="1:5" x14ac:dyDescent="0.25">
      <c r="A34" s="135" t="str">
        <f>'G-1 All Habitats'!B32</f>
        <v>Heathland and shrub - Lowland Heathland</v>
      </c>
      <c r="B34" s="242" t="str">
        <f>'G-1 All Habitats'!N32</f>
        <v>High</v>
      </c>
      <c r="C34" s="242">
        <f>'G-1 All Habitats'!O32</f>
        <v>0.33</v>
      </c>
      <c r="D34" s="242" t="str">
        <f>'G-1 All Habitats'!P32</f>
        <v>Medium</v>
      </c>
      <c r="E34" s="242">
        <f>'G-1 All Habitats'!Q32</f>
        <v>0.67</v>
      </c>
    </row>
    <row r="35" spans="1:5" x14ac:dyDescent="0.25">
      <c r="A35" s="135" t="str">
        <f>'G-1 All Habitats'!B33</f>
        <v>Heathland and shrub - Mixed scrub</v>
      </c>
      <c r="B35" s="242" t="str">
        <f>'G-1 All Habitats'!N33</f>
        <v>Low</v>
      </c>
      <c r="C35" s="242">
        <f>'G-1 All Habitats'!O33</f>
        <v>1</v>
      </c>
      <c r="D35" s="242" t="str">
        <f>'G-1 All Habitats'!P33</f>
        <v>Low</v>
      </c>
      <c r="E35" s="242">
        <f>'G-1 All Habitats'!Q33</f>
        <v>1</v>
      </c>
    </row>
    <row r="36" spans="1:5" x14ac:dyDescent="0.25">
      <c r="A36" s="135" t="str">
        <f>'G-1 All Habitats'!B34</f>
        <v>Heathland and shrub - Mountain heaths and willow scrub</v>
      </c>
      <c r="B36" s="242" t="str">
        <f>'G-1 All Habitats'!N34</f>
        <v>High</v>
      </c>
      <c r="C36" s="242">
        <f>'G-1 All Habitats'!O34</f>
        <v>0.33</v>
      </c>
      <c r="D36" s="242" t="str">
        <f>'G-1 All Habitats'!P34</f>
        <v>High</v>
      </c>
      <c r="E36" s="242">
        <f>'G-1 All Habitats'!Q34</f>
        <v>0.33</v>
      </c>
    </row>
    <row r="37" spans="1:5" x14ac:dyDescent="0.25">
      <c r="A37" s="135" t="str">
        <f>'G-1 All Habitats'!B35</f>
        <v>Heathland and shrub - Rhododendron scrub</v>
      </c>
      <c r="B37" s="242" t="str">
        <f>'G-1 All Habitats'!N35</f>
        <v>Low</v>
      </c>
      <c r="C37" s="242">
        <f>'G-1 All Habitats'!O35</f>
        <v>1</v>
      </c>
      <c r="D37" s="242" t="str">
        <f>'G-1 All Habitats'!P35</f>
        <v>Low</v>
      </c>
      <c r="E37" s="242">
        <f>'G-1 All Habitats'!Q35</f>
        <v>1</v>
      </c>
    </row>
    <row r="38" spans="1:5" x14ac:dyDescent="0.25">
      <c r="A38" s="135" t="str">
        <f>'G-1 All Habitats'!B36</f>
        <v>Heathland and shrub - Sea buckthorn scrub (Annex 1)</v>
      </c>
      <c r="B38" s="242" t="str">
        <f>'G-1 All Habitats'!N36</f>
        <v>Medium</v>
      </c>
      <c r="C38" s="242">
        <f>'G-1 All Habitats'!O36</f>
        <v>0.67</v>
      </c>
      <c r="D38" s="242" t="str">
        <f>'G-1 All Habitats'!P36</f>
        <v>Low</v>
      </c>
      <c r="E38" s="242">
        <f>'G-1 All Habitats'!Q36</f>
        <v>1</v>
      </c>
    </row>
    <row r="39" spans="1:5" x14ac:dyDescent="0.25">
      <c r="A39" s="135" t="str">
        <f>'G-1 All Habitats'!B37</f>
        <v>Heathland and shrub - Sea buckthorn scrub (other)</v>
      </c>
      <c r="B39" s="242" t="str">
        <f>'G-1 All Habitats'!N37</f>
        <v>Low</v>
      </c>
      <c r="C39" s="242">
        <f>'G-1 All Habitats'!O37</f>
        <v>1</v>
      </c>
      <c r="D39" s="242" t="str">
        <f>'G-1 All Habitats'!P37</f>
        <v>Low</v>
      </c>
      <c r="E39" s="242">
        <f>'G-1 All Habitats'!Q37</f>
        <v>1</v>
      </c>
    </row>
    <row r="40" spans="1:5" x14ac:dyDescent="0.25">
      <c r="A40" s="135" t="str">
        <f>'G-1 All Habitats'!B38</f>
        <v>Heathland and shrub - Upland Heathland</v>
      </c>
      <c r="B40" s="242" t="str">
        <f>'G-1 All Habitats'!N38</f>
        <v>Medium</v>
      </c>
      <c r="C40" s="242">
        <f>'G-1 All Habitats'!O38</f>
        <v>0.67</v>
      </c>
      <c r="D40" s="242" t="str">
        <f>'G-1 All Habitats'!P38</f>
        <v>Medium</v>
      </c>
      <c r="E40" s="242">
        <f>'G-1 All Habitats'!Q38</f>
        <v>0.67</v>
      </c>
    </row>
    <row r="41" spans="1:5" x14ac:dyDescent="0.25">
      <c r="A41" s="135" t="str">
        <f>'G-1 All Habitats'!B125</f>
        <v>Intertidal sediment - Artificial littoral biogenic reefs</v>
      </c>
      <c r="B41" s="242" t="str">
        <f>'G-1 All Habitats'!N125</f>
        <v>High</v>
      </c>
      <c r="C41" s="242">
        <f>'G-1 All Habitats'!O125</f>
        <v>0.33</v>
      </c>
      <c r="D41" s="242" t="str">
        <f>'G-1 All Habitats'!P125</f>
        <v>Medium</v>
      </c>
      <c r="E41" s="242">
        <f>'G-1 All Habitats'!Q125</f>
        <v>0.67</v>
      </c>
    </row>
    <row r="42" spans="1:5" x14ac:dyDescent="0.25">
      <c r="A42" s="135" t="str">
        <f>'G-1 All Habitats'!B119</f>
        <v>Intertidal sediment - Artificial littoral coarse sediment</v>
      </c>
      <c r="B42" s="242" t="str">
        <f>'G-1 All Habitats'!N119</f>
        <v>Medium</v>
      </c>
      <c r="C42" s="242">
        <f>'G-1 All Habitats'!O119</f>
        <v>0.67</v>
      </c>
      <c r="D42" s="242" t="str">
        <f>'G-1 All Habitats'!P119</f>
        <v>Medium</v>
      </c>
      <c r="E42" s="242">
        <f>'G-1 All Habitats'!Q119</f>
        <v>0.67</v>
      </c>
    </row>
    <row r="43" spans="1:5" x14ac:dyDescent="0.25">
      <c r="A43" s="135" t="str">
        <f>'G-1 All Habitats'!B123</f>
        <v>Intertidal sediment - Artificial littoral mixed sediments</v>
      </c>
      <c r="B43" s="242" t="str">
        <f>'G-1 All Habitats'!N123</f>
        <v>High</v>
      </c>
      <c r="C43" s="242">
        <f>'G-1 All Habitats'!O123</f>
        <v>0.33</v>
      </c>
      <c r="D43" s="242" t="str">
        <f>'G-1 All Habitats'!P123</f>
        <v>Medium</v>
      </c>
      <c r="E43" s="242">
        <f>'G-1 All Habitats'!Q123</f>
        <v>0.67</v>
      </c>
    </row>
    <row r="44" spans="1:5" x14ac:dyDescent="0.25">
      <c r="A44" s="135" t="str">
        <f>'G-1 All Habitats'!B122</f>
        <v>Intertidal sediment - Artificial littoral muddy sand</v>
      </c>
      <c r="B44" s="242" t="str">
        <f>'G-1 All Habitats'!N122</f>
        <v>High</v>
      </c>
      <c r="C44" s="242">
        <f>'G-1 All Habitats'!O122</f>
        <v>0.33</v>
      </c>
      <c r="D44" s="242" t="str">
        <f>'G-1 All Habitats'!P122</f>
        <v>Medium</v>
      </c>
      <c r="E44" s="242">
        <f>'G-1 All Habitats'!Q122</f>
        <v>0.67</v>
      </c>
    </row>
    <row r="45" spans="1:5" x14ac:dyDescent="0.25">
      <c r="A45" s="135" t="str">
        <f>'G-1 All Habitats'!B124</f>
        <v>Intertidal sediment - Artificial littoral seagrass</v>
      </c>
      <c r="B45" s="242" t="str">
        <f>'G-1 All Habitats'!N124</f>
        <v>High</v>
      </c>
      <c r="C45" s="242">
        <f>'G-1 All Habitats'!O124</f>
        <v>0.33</v>
      </c>
      <c r="D45" s="242" t="str">
        <f>'G-1 All Habitats'!P124</f>
        <v>High</v>
      </c>
      <c r="E45" s="242">
        <f>'G-1 All Habitats'!Q124</f>
        <v>0.33</v>
      </c>
    </row>
    <row r="46" spans="1:5" x14ac:dyDescent="0.25">
      <c r="A46" s="135" t="str">
        <f>'G-1 All Habitats'!B118</f>
        <v>Intertidal sediment - Features of littoral sediment</v>
      </c>
      <c r="B46" s="242" t="str">
        <f>'G-1 All Habitats'!N118</f>
        <v>High</v>
      </c>
      <c r="C46" s="242">
        <f>'G-1 All Habitats'!O118</f>
        <v>0.33</v>
      </c>
      <c r="D46" s="242" t="str">
        <f>'G-1 All Habitats'!P118</f>
        <v>Medium</v>
      </c>
      <c r="E46" s="242">
        <f>'G-1 All Habitats'!Q118</f>
        <v>0.67</v>
      </c>
    </row>
    <row r="47" spans="1:5" x14ac:dyDescent="0.25">
      <c r="A47" s="135" t="str">
        <f>'G-1 All Habitats'!B117</f>
        <v>Intertidal sediment - Littoral biogenic reefs - Sabellaria</v>
      </c>
      <c r="B47" s="242" t="str">
        <f>'G-1 All Habitats'!N117</f>
        <v>High</v>
      </c>
      <c r="C47" s="242">
        <f>'G-1 All Habitats'!O117</f>
        <v>0.33</v>
      </c>
      <c r="D47" s="242" t="str">
        <f>'G-1 All Habitats'!P117</f>
        <v>Medium</v>
      </c>
      <c r="E47" s="242">
        <f>'G-1 All Habitats'!Q117</f>
        <v>0.67</v>
      </c>
    </row>
    <row r="48" spans="1:5" x14ac:dyDescent="0.25">
      <c r="A48" s="135" t="str">
        <f>'G-1 All Habitats'!B111</f>
        <v>Intertidal sediment - Littoral coarse sediment</v>
      </c>
      <c r="B48" s="242" t="str">
        <f>'G-1 All Habitats'!N111</f>
        <v>Medium</v>
      </c>
      <c r="C48" s="242">
        <f>'G-1 All Habitats'!O111</f>
        <v>0.67</v>
      </c>
      <c r="D48" s="242" t="str">
        <f>'G-1 All Habitats'!P111</f>
        <v>Medium</v>
      </c>
      <c r="E48" s="242">
        <f>'G-1 All Habitats'!Q111</f>
        <v>0.67</v>
      </c>
    </row>
    <row r="49" spans="1:5" x14ac:dyDescent="0.25">
      <c r="A49" s="135" t="str">
        <f>'G-1 All Habitats'!B113</f>
        <v>Intertidal sediment - Littoral mixed sediments</v>
      </c>
      <c r="B49" s="242" t="str">
        <f>'G-1 All Habitats'!N113</f>
        <v>High</v>
      </c>
      <c r="C49" s="242">
        <f>'G-1 All Habitats'!O113</f>
        <v>0.33</v>
      </c>
      <c r="D49" s="242" t="str">
        <f>'G-1 All Habitats'!P113</f>
        <v>Medium</v>
      </c>
      <c r="E49" s="242">
        <f>'G-1 All Habitats'!Q113</f>
        <v>0.67</v>
      </c>
    </row>
    <row r="50" spans="1:5" x14ac:dyDescent="0.25">
      <c r="A50" s="135" t="str">
        <f>'G-1 All Habitats'!B112</f>
        <v>Intertidal sediment - Littoral mud</v>
      </c>
      <c r="B50" s="242" t="str">
        <f>'G-1 All Habitats'!N112</f>
        <v>High</v>
      </c>
      <c r="C50" s="242">
        <f>'G-1 All Habitats'!O112</f>
        <v>0.33</v>
      </c>
      <c r="D50" s="242" t="str">
        <f>'G-1 All Habitats'!P112</f>
        <v>Medium</v>
      </c>
      <c r="E50" s="242">
        <f>'G-1 All Habitats'!Q112</f>
        <v>0.67</v>
      </c>
    </row>
    <row r="51" spans="1:5" x14ac:dyDescent="0.25">
      <c r="A51" s="135" t="str">
        <f>'G-1 All Habitats'!B114</f>
        <v>Intertidal sediment - Littoral seagrass</v>
      </c>
      <c r="B51" s="242" t="str">
        <f>'G-1 All Habitats'!N114</f>
        <v>High</v>
      </c>
      <c r="C51" s="242">
        <f>'G-1 All Habitats'!O114</f>
        <v>0.33</v>
      </c>
      <c r="D51" s="242" t="str">
        <f>'G-1 All Habitats'!P114</f>
        <v>High</v>
      </c>
      <c r="E51" s="242">
        <f>'G-1 All Habitats'!Q114</f>
        <v>0.33</v>
      </c>
    </row>
    <row r="52" spans="1:5" x14ac:dyDescent="0.25">
      <c r="A52" s="135" t="str">
        <f>'G-1 All Habitats'!B115</f>
        <v>Intertidal sediment - Littoral seagrass on peat, clay or chalk</v>
      </c>
      <c r="B52" s="242" t="str">
        <f>'G-1 All Habitats'!N115</f>
        <v>Very High</v>
      </c>
      <c r="C52" s="242">
        <f>'G-1 All Habitats'!O115</f>
        <v>0.1</v>
      </c>
      <c r="D52" s="242" t="str">
        <f>'G-1 All Habitats'!P115</f>
        <v>High</v>
      </c>
      <c r="E52" s="242">
        <f>'G-1 All Habitats'!Q115</f>
        <v>0.33</v>
      </c>
    </row>
    <row r="53" spans="1:5" x14ac:dyDescent="0.25">
      <c r="A53" s="135" t="str">
        <f>'G-1 All Habitats'!B39</f>
        <v>Lakes - Aquifer fed naturally fluctuating water bodies</v>
      </c>
      <c r="B53" s="242" t="str">
        <f>'G-1 All Habitats'!N39</f>
        <v>Very High</v>
      </c>
      <c r="C53" s="242">
        <f>'G-1 All Habitats'!O39</f>
        <v>0.1</v>
      </c>
      <c r="D53" s="242" t="str">
        <f>'G-1 All Habitats'!P39</f>
        <v>High</v>
      </c>
      <c r="E53" s="242">
        <f>'G-1 All Habitats'!Q39</f>
        <v>0.33</v>
      </c>
    </row>
    <row r="54" spans="1:5" x14ac:dyDescent="0.25">
      <c r="A54" s="135" t="str">
        <f>'G-1 All Habitats'!B40</f>
        <v>Lakes - Ornamental lake or pond</v>
      </c>
      <c r="B54" s="242" t="str">
        <f>'G-1 All Habitats'!N40</f>
        <v>Low</v>
      </c>
      <c r="C54" s="242">
        <f>'G-1 All Habitats'!O40</f>
        <v>1</v>
      </c>
      <c r="D54" s="242" t="str">
        <f>'G-1 All Habitats'!P40</f>
        <v>High</v>
      </c>
      <c r="E54" s="242">
        <f>'G-1 All Habitats'!Q40</f>
        <v>0.33</v>
      </c>
    </row>
    <row r="55" spans="1:5" x14ac:dyDescent="0.25">
      <c r="A55" s="135" t="str">
        <f>'G-1 All Habitats'!B41</f>
        <v>Lakes - High alkalinity lakes</v>
      </c>
      <c r="B55" s="242" t="str">
        <f>'G-1 All Habitats'!N41</f>
        <v>High</v>
      </c>
      <c r="C55" s="242">
        <f>'G-1 All Habitats'!O41</f>
        <v>0.33</v>
      </c>
      <c r="D55" s="242" t="str">
        <f>'G-1 All Habitats'!P41</f>
        <v>High</v>
      </c>
      <c r="E55" s="242">
        <f>'G-1 All Habitats'!Q41</f>
        <v>0.33</v>
      </c>
    </row>
    <row r="56" spans="1:5" x14ac:dyDescent="0.25">
      <c r="A56" s="135" t="str">
        <f>'G-1 All Habitats'!B42</f>
        <v>Lakes - Low alkalinity lakes</v>
      </c>
      <c r="B56" s="242" t="str">
        <f>'G-1 All Habitats'!N42</f>
        <v>High</v>
      </c>
      <c r="C56" s="242">
        <f>'G-1 All Habitats'!O42</f>
        <v>0.33</v>
      </c>
      <c r="D56" s="242" t="str">
        <f>'G-1 All Habitats'!P42</f>
        <v>Medium</v>
      </c>
      <c r="E56" s="242">
        <f>'G-1 All Habitats'!Q42</f>
        <v>0.67</v>
      </c>
    </row>
    <row r="57" spans="1:5" x14ac:dyDescent="0.25">
      <c r="A57" s="135" t="str">
        <f>'G-1 All Habitats'!B43</f>
        <v>Lakes - Marl Lakes</v>
      </c>
      <c r="B57" s="242" t="str">
        <f>'G-1 All Habitats'!N43</f>
        <v>High</v>
      </c>
      <c r="C57" s="242">
        <f>'G-1 All Habitats'!O43</f>
        <v>0.33</v>
      </c>
      <c r="D57" s="242" t="str">
        <f>'G-1 All Habitats'!P43</f>
        <v>High</v>
      </c>
      <c r="E57" s="242">
        <f>'G-1 All Habitats'!Q43</f>
        <v>0.33</v>
      </c>
    </row>
    <row r="58" spans="1:5" x14ac:dyDescent="0.25">
      <c r="A58" s="135" t="str">
        <f>'G-1 All Habitats'!B44</f>
        <v>Lakes - Moderate alkalinity lakes</v>
      </c>
      <c r="B58" s="242" t="str">
        <f>'G-1 All Habitats'!N44</f>
        <v>High</v>
      </c>
      <c r="C58" s="242">
        <f>'G-1 All Habitats'!O44</f>
        <v>0.33</v>
      </c>
      <c r="D58" s="242" t="str">
        <f>'G-1 All Habitats'!P44</f>
        <v>High</v>
      </c>
      <c r="E58" s="242">
        <f>'G-1 All Habitats'!Q44</f>
        <v>0.33</v>
      </c>
    </row>
    <row r="59" spans="1:5" x14ac:dyDescent="0.25">
      <c r="A59" s="135" t="str">
        <f>'G-1 All Habitats'!B45</f>
        <v>Lakes - Peat Lakes</v>
      </c>
      <c r="B59" s="242" t="str">
        <f>'G-1 All Habitats'!N45</f>
        <v>High</v>
      </c>
      <c r="C59" s="242">
        <f>'G-1 All Habitats'!O45</f>
        <v>0.33</v>
      </c>
      <c r="D59" s="242" t="str">
        <f>'G-1 All Habitats'!P45</f>
        <v>High</v>
      </c>
      <c r="E59" s="242">
        <f>'G-1 All Habitats'!Q45</f>
        <v>0.33</v>
      </c>
    </row>
    <row r="60" spans="1:5" x14ac:dyDescent="0.25">
      <c r="A60" s="135" t="str">
        <f>'G-1 All Habitats'!B47</f>
        <v>Lakes - Ponds (Non- Priority Habitat)</v>
      </c>
      <c r="B60" s="242" t="str">
        <f>'G-1 All Habitats'!N47</f>
        <v>Low</v>
      </c>
      <c r="C60" s="242">
        <f>'G-1 All Habitats'!O47</f>
        <v>1</v>
      </c>
      <c r="D60" s="242" t="str">
        <f>'G-1 All Habitats'!P47</f>
        <v>Medium</v>
      </c>
      <c r="E60" s="242">
        <f>'G-1 All Habitats'!Q47</f>
        <v>0.67</v>
      </c>
    </row>
    <row r="61" spans="1:5" x14ac:dyDescent="0.25">
      <c r="A61" s="135" t="str">
        <f>'G-1 All Habitats'!B46</f>
        <v>Lakes - Ponds (Priority Habitat)</v>
      </c>
      <c r="B61" s="242" t="str">
        <f>'G-1 All Habitats'!N46</f>
        <v>Medium</v>
      </c>
      <c r="C61" s="242">
        <f>'G-1 All Habitats'!O46</f>
        <v>0.67</v>
      </c>
      <c r="D61" s="242" t="str">
        <f>'G-1 All Habitats'!P46</f>
        <v>Medium</v>
      </c>
      <c r="E61" s="242">
        <f>'G-1 All Habitats'!Q46</f>
        <v>0.67</v>
      </c>
    </row>
    <row r="62" spans="1:5" x14ac:dyDescent="0.25">
      <c r="A62" s="135" t="str">
        <f>'G-1 All Habitats'!B48</f>
        <v>Lakes - Reservoirs</v>
      </c>
      <c r="B62" s="242" t="str">
        <f>'G-1 All Habitats'!N48</f>
        <v>Medium</v>
      </c>
      <c r="C62" s="242">
        <f>'G-1 All Habitats'!O48</f>
        <v>0.67</v>
      </c>
      <c r="D62" s="242" t="str">
        <f>'G-1 All Habitats'!P48</f>
        <v>Medium</v>
      </c>
      <c r="E62" s="242">
        <f>'G-1 All Habitats'!Q48</f>
        <v>0.67</v>
      </c>
    </row>
    <row r="63" spans="1:5" x14ac:dyDescent="0.25">
      <c r="A63" s="135" t="str">
        <f>'G-1 All Habitats'!B49</f>
        <v>Lakes - Temporary lakes, ponds and pools</v>
      </c>
      <c r="B63" s="242" t="str">
        <f>'G-1 All Habitats'!N49</f>
        <v>Medium</v>
      </c>
      <c r="C63" s="242">
        <f>'G-1 All Habitats'!O49</f>
        <v>0.67</v>
      </c>
      <c r="D63" s="242" t="str">
        <f>'G-1 All Habitats'!P49</f>
        <v>Medium</v>
      </c>
      <c r="E63" s="242">
        <f>'G-1 All Habitats'!Q49</f>
        <v>0.67</v>
      </c>
    </row>
    <row r="64" spans="1:5" x14ac:dyDescent="0.25">
      <c r="A64" s="135" t="str">
        <f>'G-1 All Habitats'!B107</f>
        <v>Rocky shore - Features of littoral rock</v>
      </c>
      <c r="B64" s="242" t="str">
        <f>'G-1 All Habitats'!N107</f>
        <v>High</v>
      </c>
      <c r="C64" s="242">
        <f>'G-1 All Habitats'!O107</f>
        <v>0.33</v>
      </c>
      <c r="D64" s="242" t="str">
        <f>'G-1 All Habitats'!P107</f>
        <v>Medium</v>
      </c>
      <c r="E64" s="242">
        <f>'G-1 All Habitats'!Q107</f>
        <v>0.67</v>
      </c>
    </row>
    <row r="65" spans="1:5" x14ac:dyDescent="0.25">
      <c r="A65" s="135" t="str">
        <f>'G-1 All Habitats'!B108</f>
        <v>Rocky shore - Features of littoral rock - on peat, clay or chalk</v>
      </c>
      <c r="B65" s="242" t="str">
        <f>'G-1 All Habitats'!N108</f>
        <v>Very High</v>
      </c>
      <c r="C65" s="242">
        <f>'G-1 All Habitats'!O108</f>
        <v>0.1</v>
      </c>
      <c r="D65" s="242" t="str">
        <f>'G-1 All Habitats'!P108</f>
        <v>Medium</v>
      </c>
      <c r="E65" s="242">
        <f>'G-1 All Habitats'!Q108</f>
        <v>0.67</v>
      </c>
    </row>
    <row r="66" spans="1:5" x14ac:dyDescent="0.25">
      <c r="A66" s="135" t="str">
        <f>'G-1 All Habitats'!B101</f>
        <v>Rocky shore - High energy littoral rock</v>
      </c>
      <c r="B66" s="242" t="str">
        <f>'G-1 All Habitats'!N101</f>
        <v>High</v>
      </c>
      <c r="C66" s="242">
        <f>'G-1 All Habitats'!O101</f>
        <v>0.33</v>
      </c>
      <c r="D66" s="242" t="str">
        <f>'G-1 All Habitats'!P101</f>
        <v>Medium</v>
      </c>
      <c r="E66" s="242">
        <f>'G-1 All Habitats'!Q101</f>
        <v>0.67</v>
      </c>
    </row>
    <row r="67" spans="1:5" x14ac:dyDescent="0.25">
      <c r="A67" s="135" t="str">
        <f>'G-1 All Habitats'!B102</f>
        <v>Rocky shore - High energy littoral rock - on peat, clay or chalk</v>
      </c>
      <c r="B67" s="242" t="str">
        <f>'G-1 All Habitats'!N102</f>
        <v>Very High</v>
      </c>
      <c r="C67" s="242">
        <f>'G-1 All Habitats'!O102</f>
        <v>0.1</v>
      </c>
      <c r="D67" s="242" t="str">
        <f>'G-1 All Habitats'!P102</f>
        <v>Medium</v>
      </c>
      <c r="E67" s="242">
        <f>'G-1 All Habitats'!Q102</f>
        <v>0.67</v>
      </c>
    </row>
    <row r="68" spans="1:5" x14ac:dyDescent="0.25">
      <c r="A68" s="135" t="str">
        <f>'G-1 All Habitats'!B105</f>
        <v>Rocky shore - Low energy littoral rock</v>
      </c>
      <c r="B68" s="242" t="str">
        <f>'G-1 All Habitats'!N105</f>
        <v>High</v>
      </c>
      <c r="C68" s="242">
        <f>'G-1 All Habitats'!O105</f>
        <v>0.33</v>
      </c>
      <c r="D68" s="242" t="str">
        <f>'G-1 All Habitats'!P105</f>
        <v>Medium</v>
      </c>
      <c r="E68" s="242">
        <f>'G-1 All Habitats'!Q105</f>
        <v>0.67</v>
      </c>
    </row>
    <row r="69" spans="1:5" x14ac:dyDescent="0.25">
      <c r="A69" s="135" t="str">
        <f>'G-1 All Habitats'!B106</f>
        <v>Rocky shore - Low energy littoral rock - on peat, clay or chalk</v>
      </c>
      <c r="B69" s="242" t="str">
        <f>'G-1 All Habitats'!N106</f>
        <v>Very High</v>
      </c>
      <c r="C69" s="242">
        <f>'G-1 All Habitats'!O106</f>
        <v>0.1</v>
      </c>
      <c r="D69" s="242" t="str">
        <f>'G-1 All Habitats'!P106</f>
        <v>Medium</v>
      </c>
      <c r="E69" s="242">
        <f>'G-1 All Habitats'!Q106</f>
        <v>0.67</v>
      </c>
    </row>
    <row r="70" spans="1:5" x14ac:dyDescent="0.25">
      <c r="A70" s="135" t="str">
        <f>'G-1 All Habitats'!B103</f>
        <v>Rocky shore - Moderate energy littoral rock</v>
      </c>
      <c r="B70" s="242" t="str">
        <f>'G-1 All Habitats'!N103</f>
        <v>High</v>
      </c>
      <c r="C70" s="242">
        <f>'G-1 All Habitats'!O103</f>
        <v>0.33</v>
      </c>
      <c r="D70" s="242" t="str">
        <f>'G-1 All Habitats'!P103</f>
        <v>Medium</v>
      </c>
      <c r="E70" s="242">
        <f>'G-1 All Habitats'!Q103</f>
        <v>0.67</v>
      </c>
    </row>
    <row r="71" spans="1:5" x14ac:dyDescent="0.25">
      <c r="A71" s="135" t="str">
        <f>'G-1 All Habitats'!B104</f>
        <v>Rocky shore - Moderate energy littoral rock - on peat, clay or chalk</v>
      </c>
      <c r="B71" s="242" t="str">
        <f>'G-1 All Habitats'!N104</f>
        <v>Very High</v>
      </c>
      <c r="C71" s="242">
        <f>'G-1 All Habitats'!O104</f>
        <v>0.1</v>
      </c>
      <c r="D71" s="242" t="str">
        <f>'G-1 All Habitats'!P104</f>
        <v>Medium</v>
      </c>
      <c r="E71" s="242">
        <f>'G-1 All Habitats'!Q104</f>
        <v>0.67</v>
      </c>
    </row>
    <row r="72" spans="1:5" x14ac:dyDescent="0.25">
      <c r="A72" s="135" t="str">
        <f>'G-1 All Habitats'!B50</f>
        <v>Sparsely vegetated land - Calaminarian grasslands</v>
      </c>
      <c r="B72" s="242" t="str">
        <f>'G-1 All Habitats'!N50</f>
        <v>Very High</v>
      </c>
      <c r="C72" s="242">
        <f>'G-1 All Habitats'!O50</f>
        <v>0.1</v>
      </c>
      <c r="D72" s="242" t="str">
        <f>'G-1 All Habitats'!P50</f>
        <v>Medium</v>
      </c>
      <c r="E72" s="242">
        <f>'G-1 All Habitats'!Q50</f>
        <v>0.67</v>
      </c>
    </row>
    <row r="73" spans="1:5" x14ac:dyDescent="0.25">
      <c r="A73" s="135" t="str">
        <f>'G-1 All Habitats'!B51</f>
        <v>Sparsely vegetated land - Coastal sand dunes</v>
      </c>
      <c r="B73" s="242" t="str">
        <f>'G-1 All Habitats'!N51</f>
        <v>Very High</v>
      </c>
      <c r="C73" s="242">
        <f>'G-1 All Habitats'!O51</f>
        <v>0.1</v>
      </c>
      <c r="D73" s="242" t="str">
        <f>'G-1 All Habitats'!P51</f>
        <v>Medium</v>
      </c>
      <c r="E73" s="242">
        <f>'G-1 All Habitats'!Q51</f>
        <v>0.67</v>
      </c>
    </row>
    <row r="74" spans="1:5" x14ac:dyDescent="0.25">
      <c r="A74" s="135" t="str">
        <f>'G-1 All Habitats'!B52</f>
        <v>Sparsely vegetated land - Coastal vegetated shingle</v>
      </c>
      <c r="B74" s="242" t="str">
        <f>'G-1 All Habitats'!N52</f>
        <v>Very High</v>
      </c>
      <c r="C74" s="242">
        <f>'G-1 All Habitats'!O52</f>
        <v>0.1</v>
      </c>
      <c r="D74" s="242" t="str">
        <f>'G-1 All Habitats'!P52</f>
        <v>Medium</v>
      </c>
      <c r="E74" s="242">
        <f>'G-1 All Habitats'!Q52</f>
        <v>0.67</v>
      </c>
    </row>
    <row r="75" spans="1:5" x14ac:dyDescent="0.25">
      <c r="A75" s="135" t="str">
        <f>'G-1 All Habitats'!B54</f>
        <v>Sparsely vegetated land - Inland rock outcrop and scree habitats</v>
      </c>
      <c r="B75" s="242" t="str">
        <f>'G-1 All Habitats'!N54</f>
        <v>High</v>
      </c>
      <c r="C75" s="242">
        <f>'G-1 All Habitats'!O54</f>
        <v>0.33</v>
      </c>
      <c r="D75" s="242" t="str">
        <f>'G-1 All Habitats'!P54</f>
        <v>Low</v>
      </c>
      <c r="E75" s="242">
        <f>'G-1 All Habitats'!Q54</f>
        <v>1</v>
      </c>
    </row>
    <row r="76" spans="1:5" x14ac:dyDescent="0.25">
      <c r="A76" s="135" t="str">
        <f>'G-1 All Habitats'!B55</f>
        <v>Sparsely vegetated land - Limestone pavement</v>
      </c>
      <c r="B76" s="242" t="str">
        <f>'G-1 All Habitats'!N55</f>
        <v>Very High</v>
      </c>
      <c r="C76" s="242">
        <f>'G-1 All Habitats'!O55</f>
        <v>0.1</v>
      </c>
      <c r="D76" s="242" t="str">
        <f>'G-1 All Habitats'!P55</f>
        <v>Medium</v>
      </c>
      <c r="E76" s="242">
        <f>'G-1 All Habitats'!Q55</f>
        <v>0.67</v>
      </c>
    </row>
    <row r="77" spans="1:5" x14ac:dyDescent="0.25">
      <c r="A77" s="135" t="str">
        <f>'G-1 All Habitats'!B56</f>
        <v>Sparsely vegetated land - Maritime cliff and slopes</v>
      </c>
      <c r="B77" s="242" t="str">
        <f>'G-1 All Habitats'!N56</f>
        <v>High</v>
      </c>
      <c r="C77" s="242">
        <f>'G-1 All Habitats'!O56</f>
        <v>0.33</v>
      </c>
      <c r="D77" s="242" t="str">
        <f>'G-1 All Habitats'!P56</f>
        <v>Medium</v>
      </c>
      <c r="E77" s="242">
        <f>'G-1 All Habitats'!Q56</f>
        <v>0.67</v>
      </c>
    </row>
    <row r="78" spans="1:5" x14ac:dyDescent="0.25">
      <c r="A78" s="135" t="str">
        <f>'G-1 All Habitats'!B57</f>
        <v>Sparsely vegetated land - Other inland rock and scree</v>
      </c>
      <c r="B78" s="242" t="str">
        <f>'G-1 All Habitats'!N57</f>
        <v>Medium</v>
      </c>
      <c r="C78" s="242">
        <f>'G-1 All Habitats'!O57</f>
        <v>0.67</v>
      </c>
      <c r="D78" s="242" t="str">
        <f>'G-1 All Habitats'!P57</f>
        <v>Medium</v>
      </c>
      <c r="E78" s="242">
        <f>'G-1 All Habitats'!Q57</f>
        <v>0.67</v>
      </c>
    </row>
    <row r="79" spans="1:5" x14ac:dyDescent="0.25">
      <c r="A79" s="135" t="str">
        <f>'G-1 All Habitats'!B53</f>
        <v>Sparsely vegetated land - Ruderal/Ephemeral</v>
      </c>
      <c r="B79" s="242" t="str">
        <f>'G-1 All Habitats'!N53</f>
        <v>Low</v>
      </c>
      <c r="C79" s="242">
        <f>'G-1 All Habitats'!O53</f>
        <v>1</v>
      </c>
      <c r="D79" s="242" t="str">
        <f>'G-1 All Habitats'!P53</f>
        <v>Medium</v>
      </c>
      <c r="E79" s="242">
        <f>'G-1 All Habitats'!Q53</f>
        <v>0.67</v>
      </c>
    </row>
    <row r="80" spans="1:5" x14ac:dyDescent="0.25">
      <c r="A80" s="135" t="str">
        <f>'G-1 All Habitats'!B77</f>
        <v>Urban - Vacant/derelict land/ bareground</v>
      </c>
      <c r="B80" s="242" t="str">
        <f>'G-1 All Habitats'!N77</f>
        <v>Low</v>
      </c>
      <c r="C80" s="242">
        <f>'G-1 All Habitats'!O77</f>
        <v>1</v>
      </c>
      <c r="D80" s="242" t="str">
        <f>'G-1 All Habitats'!P77</f>
        <v>Low</v>
      </c>
      <c r="E80" s="242">
        <f>'G-1 All Habitats'!Q77</f>
        <v>1</v>
      </c>
    </row>
    <row r="81" spans="1:5" x14ac:dyDescent="0.25">
      <c r="A81" s="135" t="str">
        <f>'G-1 All Habitats'!B58</f>
        <v>Urban - Allotments</v>
      </c>
      <c r="B81" s="242" t="str">
        <f>'G-1 All Habitats'!N58</f>
        <v>Low</v>
      </c>
      <c r="C81" s="242">
        <f>'G-1 All Habitats'!O58</f>
        <v>1</v>
      </c>
      <c r="D81" s="242" t="str">
        <f>'G-1 All Habitats'!P58</f>
        <v>Low</v>
      </c>
      <c r="E81" s="242">
        <f>'G-1 All Habitats'!Q58</f>
        <v>1</v>
      </c>
    </row>
    <row r="82" spans="1:5" x14ac:dyDescent="0.25">
      <c r="A82" s="135" t="str">
        <f>'G-1 All Habitats'!B59</f>
        <v>Urban - Artificial unvegetated, unsealed surface</v>
      </c>
      <c r="B82" s="242" t="str">
        <f>'G-1 All Habitats'!N59</f>
        <v>Low</v>
      </c>
      <c r="C82" s="242">
        <f>'G-1 All Habitats'!O59</f>
        <v>1</v>
      </c>
      <c r="D82" s="242" t="str">
        <f>'G-1 All Habitats'!P59</f>
        <v>Low</v>
      </c>
      <c r="E82" s="242">
        <f>'G-1 All Habitats'!Q59</f>
        <v>1</v>
      </c>
    </row>
    <row r="83" spans="1:5" x14ac:dyDescent="0.25">
      <c r="A83" s="135" t="str">
        <f>'G-1 All Habitats'!B60</f>
        <v>Urban - Bioswale</v>
      </c>
      <c r="B83" s="242" t="str">
        <f>'G-1 All Habitats'!N60</f>
        <v>Medium</v>
      </c>
      <c r="C83" s="242">
        <f>'G-1 All Habitats'!O60</f>
        <v>0.67</v>
      </c>
      <c r="D83" s="242" t="str">
        <f>'G-1 All Habitats'!P60</f>
        <v>Low</v>
      </c>
      <c r="E83" s="242">
        <f>'G-1 All Habitats'!Q60</f>
        <v>1</v>
      </c>
    </row>
    <row r="84" spans="1:5" x14ac:dyDescent="0.25">
      <c r="A84" s="135" t="str">
        <f>'G-1 All Habitats'!B61</f>
        <v>Urban - Brown roof</v>
      </c>
      <c r="B84" s="242" t="str">
        <f>'G-1 All Habitats'!N61</f>
        <v>Medium</v>
      </c>
      <c r="C84" s="242">
        <f>'G-1 All Habitats'!O61</f>
        <v>0.67</v>
      </c>
      <c r="D84" s="242" t="str">
        <f>'G-1 All Habitats'!P61</f>
        <v>Low</v>
      </c>
      <c r="E84" s="242">
        <f>'G-1 All Habitats'!Q61</f>
        <v>1</v>
      </c>
    </row>
    <row r="85" spans="1:5" x14ac:dyDescent="0.25">
      <c r="A85" s="135" t="str">
        <f>'G-1 All Habitats'!B62</f>
        <v>Urban - Built linear features</v>
      </c>
      <c r="B85" s="242" t="str">
        <f>'G-1 All Habitats'!N62</f>
        <v>Low</v>
      </c>
      <c r="C85" s="242">
        <f>'G-1 All Habitats'!O62</f>
        <v>1</v>
      </c>
      <c r="D85" s="242" t="str">
        <f>'G-1 All Habitats'!P62</f>
        <v>Low</v>
      </c>
      <c r="E85" s="242">
        <f>'G-1 All Habitats'!Q62</f>
        <v>1</v>
      </c>
    </row>
    <row r="86" spans="1:5" x14ac:dyDescent="0.25">
      <c r="A86" s="135" t="str">
        <f>'G-1 All Habitats'!B63</f>
        <v>Urban - Cemeteries and churchyards</v>
      </c>
      <c r="B86" s="242" t="str">
        <f>'G-1 All Habitats'!N63</f>
        <v>Medium</v>
      </c>
      <c r="C86" s="242">
        <f>'G-1 All Habitats'!O63</f>
        <v>0.67</v>
      </c>
      <c r="D86" s="242" t="str">
        <f>'G-1 All Habitats'!P63</f>
        <v>Low</v>
      </c>
      <c r="E86" s="242">
        <f>'G-1 All Habitats'!Q63</f>
        <v>1</v>
      </c>
    </row>
    <row r="87" spans="1:5" x14ac:dyDescent="0.25">
      <c r="A87" s="135" t="str">
        <f>'G-1 All Habitats'!B64</f>
        <v>Urban - Developed land; sealed surface</v>
      </c>
      <c r="B87" s="242" t="str">
        <f>'G-1 All Habitats'!N64</f>
        <v>Low</v>
      </c>
      <c r="C87" s="242">
        <f>'G-1 All Habitats'!O64</f>
        <v>1</v>
      </c>
      <c r="D87" s="242" t="str">
        <f>'G-1 All Habitats'!P64</f>
        <v>Medium</v>
      </c>
      <c r="E87" s="242">
        <f>'G-1 All Habitats'!Q64</f>
        <v>0.67</v>
      </c>
    </row>
    <row r="88" spans="1:5" x14ac:dyDescent="0.25">
      <c r="A88" s="135" t="str">
        <f>'G-1 All Habitats'!B65</f>
        <v>Urban - Extensive green roof</v>
      </c>
      <c r="B88" s="242" t="str">
        <f>'G-1 All Habitats'!N65</f>
        <v>Low</v>
      </c>
      <c r="C88" s="242">
        <f>'G-1 All Habitats'!O65</f>
        <v>1</v>
      </c>
      <c r="D88" s="242" t="str">
        <f>'G-1 All Habitats'!P65</f>
        <v>Low</v>
      </c>
      <c r="E88" s="242">
        <f>'G-1 All Habitats'!Q65</f>
        <v>1</v>
      </c>
    </row>
    <row r="89" spans="1:5" x14ac:dyDescent="0.25">
      <c r="A89" s="135" t="str">
        <f>'G-1 All Habitats'!B66</f>
        <v>Urban - Facade-bound green wall</v>
      </c>
      <c r="B89" s="242" t="str">
        <f>'G-1 All Habitats'!N66</f>
        <v>Medium</v>
      </c>
      <c r="C89" s="242">
        <f>'G-1 All Habitats'!O66</f>
        <v>0.67</v>
      </c>
      <c r="D89" s="242" t="str">
        <f>'G-1 All Habitats'!P66</f>
        <v>Medium</v>
      </c>
      <c r="E89" s="242">
        <f>'G-1 All Habitats'!Q66</f>
        <v>0.67</v>
      </c>
    </row>
    <row r="90" spans="1:5" x14ac:dyDescent="0.25">
      <c r="A90" s="135" t="str">
        <f>'G-1 All Habitats'!B67</f>
        <v>Urban - Ground based green wall</v>
      </c>
      <c r="B90" s="242" t="str">
        <f>'G-1 All Habitats'!N67</f>
        <v>Medium</v>
      </c>
      <c r="C90" s="242">
        <f>'G-1 All Habitats'!O67</f>
        <v>0.67</v>
      </c>
      <c r="D90" s="242" t="str">
        <f>'G-1 All Habitats'!P67</f>
        <v>Medium</v>
      </c>
      <c r="E90" s="242">
        <f>'G-1 All Habitats'!Q67</f>
        <v>0.67</v>
      </c>
    </row>
    <row r="91" spans="1:5" x14ac:dyDescent="0.25">
      <c r="A91" s="135" t="str">
        <f>'G-1 All Habitats'!B68</f>
        <v>Urban - Ground level planters</v>
      </c>
      <c r="B91" s="242" t="str">
        <f>'G-1 All Habitats'!N68</f>
        <v>Low</v>
      </c>
      <c r="C91" s="242">
        <f>'G-1 All Habitats'!O68</f>
        <v>1</v>
      </c>
      <c r="D91" s="242" t="str">
        <f>'G-1 All Habitats'!P68</f>
        <v>Low</v>
      </c>
      <c r="E91" s="242">
        <f>'G-1 All Habitats'!Q68</f>
        <v>1</v>
      </c>
    </row>
    <row r="92" spans="1:5" x14ac:dyDescent="0.25">
      <c r="A92" s="135" t="str">
        <f>'G-1 All Habitats'!B69</f>
        <v>Urban - Intensive green roof</v>
      </c>
      <c r="B92" s="242" t="str">
        <f>'G-1 All Habitats'!N69</f>
        <v>Medium</v>
      </c>
      <c r="C92" s="242">
        <f>'G-1 All Habitats'!O69</f>
        <v>0.67</v>
      </c>
      <c r="D92" s="242" t="str">
        <f>'G-1 All Habitats'!P69</f>
        <v>Medium</v>
      </c>
      <c r="E92" s="242">
        <f>'G-1 All Habitats'!Q69</f>
        <v>0.67</v>
      </c>
    </row>
    <row r="93" spans="1:5" x14ac:dyDescent="0.25">
      <c r="A93" s="135" t="str">
        <f>'G-1 All Habitats'!B70</f>
        <v>Urban - Introduced shrub</v>
      </c>
      <c r="B93" s="242" t="str">
        <f>'G-1 All Habitats'!N70</f>
        <v>Low</v>
      </c>
      <c r="C93" s="242">
        <f>'G-1 All Habitats'!O70</f>
        <v>1</v>
      </c>
      <c r="D93" s="242" t="str">
        <f>'G-1 All Habitats'!P70</f>
        <v>Low</v>
      </c>
      <c r="E93" s="242">
        <f>'G-1 All Habitats'!Q70</f>
        <v>1</v>
      </c>
    </row>
    <row r="94" spans="1:5" x14ac:dyDescent="0.25">
      <c r="A94" s="135" t="str">
        <f>'G-1 All Habitats'!B71</f>
        <v>Urban - Open Mosaic Habitats on Previously Developed Land</v>
      </c>
      <c r="B94" s="242" t="str">
        <f>'G-1 All Habitats'!N71</f>
        <v>Medium</v>
      </c>
      <c r="C94" s="242">
        <f>'G-1 All Habitats'!O71</f>
        <v>0.67</v>
      </c>
      <c r="D94" s="242" t="str">
        <f>'G-1 All Habitats'!P71</f>
        <v>Medium</v>
      </c>
      <c r="E94" s="242">
        <f>'G-1 All Habitats'!Q71</f>
        <v>0.67</v>
      </c>
    </row>
    <row r="95" spans="1:5" x14ac:dyDescent="0.25">
      <c r="A95" s="135" t="str">
        <f>'G-1 All Habitats'!B72</f>
        <v>Urban - Rain garden</v>
      </c>
      <c r="B95" s="242" t="str">
        <f>'G-1 All Habitats'!N72</f>
        <v>Low</v>
      </c>
      <c r="C95" s="242">
        <f>'G-1 All Habitats'!O72</f>
        <v>1</v>
      </c>
      <c r="D95" s="242" t="str">
        <f>'G-1 All Habitats'!P72</f>
        <v>Low</v>
      </c>
      <c r="E95" s="242">
        <f>'G-1 All Habitats'!Q72</f>
        <v>1</v>
      </c>
    </row>
    <row r="96" spans="1:5" x14ac:dyDescent="0.25">
      <c r="A96" s="135" t="str">
        <f>'G-1 All Habitats'!B73</f>
        <v>Urban - Sand pit quarry or open cast mine</v>
      </c>
      <c r="B96" s="242" t="str">
        <f>'G-1 All Habitats'!N73</f>
        <v>Medium</v>
      </c>
      <c r="C96" s="242">
        <f>'G-1 All Habitats'!O73</f>
        <v>0.67</v>
      </c>
      <c r="D96" s="242" t="str">
        <f>'G-1 All Habitats'!P73</f>
        <v>Medium</v>
      </c>
      <c r="E96" s="242">
        <f>'G-1 All Habitats'!Q73</f>
        <v>0.67</v>
      </c>
    </row>
    <row r="97" spans="1:5" x14ac:dyDescent="0.25">
      <c r="A97" s="135" t="str">
        <f>'G-1 All Habitats'!B74</f>
        <v>Urban - Urban Tree</v>
      </c>
      <c r="B97" s="242" t="str">
        <f>'G-1 All Habitats'!N74</f>
        <v>Low</v>
      </c>
      <c r="C97" s="242">
        <f>'G-1 All Habitats'!O74</f>
        <v>1</v>
      </c>
      <c r="D97" s="242" t="str">
        <f>'G-1 All Habitats'!P74</f>
        <v>Low</v>
      </c>
      <c r="E97" s="242">
        <f>'G-1 All Habitats'!Q74</f>
        <v>1</v>
      </c>
    </row>
    <row r="98" spans="1:5" x14ac:dyDescent="0.25">
      <c r="A98" s="135" t="str">
        <f>'G-1 All Habitats'!B75</f>
        <v>Urban - Sustainable urban drainage feature</v>
      </c>
      <c r="B98" s="242" t="str">
        <f>'G-1 All Habitats'!N75</f>
        <v>Medium</v>
      </c>
      <c r="C98" s="242">
        <f>'G-1 All Habitats'!O75</f>
        <v>0.67</v>
      </c>
      <c r="D98" s="242" t="str">
        <f>'G-1 All Habitats'!P75</f>
        <v>Medium</v>
      </c>
      <c r="E98" s="242">
        <f>'G-1 All Habitats'!Q75</f>
        <v>0.67</v>
      </c>
    </row>
    <row r="99" spans="1:5" x14ac:dyDescent="0.25">
      <c r="A99" s="135" t="str">
        <f>'G-1 All Habitats'!B76</f>
        <v>Urban - Un-vegetated garden</v>
      </c>
      <c r="B99" s="242" t="str">
        <f>'G-1 All Habitats'!N76</f>
        <v>Low</v>
      </c>
      <c r="C99" s="242">
        <f>'G-1 All Habitats'!O76</f>
        <v>1</v>
      </c>
      <c r="D99" s="242" t="str">
        <f>'G-1 All Habitats'!P76</f>
        <v>Low</v>
      </c>
      <c r="E99" s="242">
        <f>'G-1 All Habitats'!Q76</f>
        <v>1</v>
      </c>
    </row>
    <row r="100" spans="1:5" x14ac:dyDescent="0.25">
      <c r="A100" s="135" t="str">
        <f>'G-1 All Habitats'!B78</f>
        <v>Urban - Vegetated garden</v>
      </c>
      <c r="B100" s="242" t="str">
        <f>'G-1 All Habitats'!N78</f>
        <v>Low</v>
      </c>
      <c r="C100" s="242">
        <f>'G-1 All Habitats'!O78</f>
        <v>1</v>
      </c>
      <c r="D100" s="242" t="str">
        <f>'G-1 All Habitats'!P78</f>
        <v>Low</v>
      </c>
      <c r="E100" s="242">
        <f>'G-1 All Habitats'!Q78</f>
        <v>1</v>
      </c>
    </row>
    <row r="101" spans="1:5" x14ac:dyDescent="0.25">
      <c r="A101" s="135" t="str">
        <f>'G-1 All Habitats'!B79</f>
        <v>Wetland - Blanket bog</v>
      </c>
      <c r="B101" s="242" t="str">
        <f>'G-1 All Habitats'!N79</f>
        <v>Very High</v>
      </c>
      <c r="C101" s="242">
        <f>'G-1 All Habitats'!O79</f>
        <v>0.1</v>
      </c>
      <c r="D101" s="242" t="str">
        <f>'G-1 All Habitats'!P79</f>
        <v>High</v>
      </c>
      <c r="E101" s="242">
        <f>'G-1 All Habitats'!Q79</f>
        <v>0.33</v>
      </c>
    </row>
    <row r="102" spans="1:5" x14ac:dyDescent="0.25">
      <c r="A102" s="135" t="str">
        <f>'G-1 All Habitats'!B80</f>
        <v>Wetland - Depressions on Peat substrates (H7150)</v>
      </c>
      <c r="B102" s="242" t="str">
        <f>'G-1 All Habitats'!N80</f>
        <v>Very High</v>
      </c>
      <c r="C102" s="242">
        <f>'G-1 All Habitats'!O80</f>
        <v>0.1</v>
      </c>
      <c r="D102" s="242" t="str">
        <f>'G-1 All Habitats'!P80</f>
        <v>High</v>
      </c>
      <c r="E102" s="242">
        <f>'G-1 All Habitats'!Q80</f>
        <v>0.33</v>
      </c>
    </row>
    <row r="103" spans="1:5" x14ac:dyDescent="0.25">
      <c r="A103" s="135" t="str">
        <f>'G-1 All Habitats'!B81</f>
        <v>Wetland - Fens (upland and lowland)</v>
      </c>
      <c r="B103" s="242" t="str">
        <f>'G-1 All Habitats'!N81</f>
        <v>High</v>
      </c>
      <c r="C103" s="242">
        <f>'G-1 All Habitats'!O81</f>
        <v>0.33</v>
      </c>
      <c r="D103" s="242" t="str">
        <f>'G-1 All Habitats'!P81</f>
        <v>High</v>
      </c>
      <c r="E103" s="242">
        <f>'G-1 All Habitats'!Q81</f>
        <v>0.33</v>
      </c>
    </row>
    <row r="104" spans="1:5" x14ac:dyDescent="0.25">
      <c r="A104" s="135" t="str">
        <f>'G-1 All Habitats'!B82</f>
        <v>Wetland - Lowland raised bog</v>
      </c>
      <c r="B104" s="242" t="str">
        <f>'G-1 All Habitats'!N82</f>
        <v>Very High</v>
      </c>
      <c r="C104" s="242">
        <f>'G-1 All Habitats'!O82</f>
        <v>0.1</v>
      </c>
      <c r="D104" s="242" t="str">
        <f>'G-1 All Habitats'!P82</f>
        <v>High</v>
      </c>
      <c r="E104" s="242">
        <f>'G-1 All Habitats'!Q82</f>
        <v>0.33</v>
      </c>
    </row>
    <row r="105" spans="1:5" x14ac:dyDescent="0.25">
      <c r="A105" s="135" t="str">
        <f>'G-1 All Habitats'!B83</f>
        <v>Wetland - Oceanic Valley Mire[1] (D2.1)</v>
      </c>
      <c r="B105" s="242" t="str">
        <f>'G-1 All Habitats'!N83</f>
        <v>Very High</v>
      </c>
      <c r="C105" s="242">
        <f>'G-1 All Habitats'!O83</f>
        <v>0.1</v>
      </c>
      <c r="D105" s="242" t="str">
        <f>'G-1 All Habitats'!P83</f>
        <v>High</v>
      </c>
      <c r="E105" s="242">
        <f>'G-1 All Habitats'!Q83</f>
        <v>0.33</v>
      </c>
    </row>
    <row r="106" spans="1:5" x14ac:dyDescent="0.25">
      <c r="A106" s="135" t="str">
        <f>'G-1 All Habitats'!B84</f>
        <v>Wetland - Purple moor grass and rush pastures</v>
      </c>
      <c r="B106" s="242" t="str">
        <f>'G-1 All Habitats'!N84</f>
        <v>High</v>
      </c>
      <c r="C106" s="242">
        <f>'G-1 All Habitats'!O84</f>
        <v>0.33</v>
      </c>
      <c r="D106" s="242" t="str">
        <f>'G-1 All Habitats'!P84</f>
        <v>High</v>
      </c>
      <c r="E106" s="242">
        <f>'G-1 All Habitats'!Q84</f>
        <v>0.33</v>
      </c>
    </row>
    <row r="107" spans="1:5" x14ac:dyDescent="0.25">
      <c r="A107" s="135" t="str">
        <f>'G-1 All Habitats'!B85</f>
        <v>Wetland - Reedbeds</v>
      </c>
      <c r="B107" s="242" t="str">
        <f>'G-1 All Habitats'!N85</f>
        <v>Medium</v>
      </c>
      <c r="C107" s="242">
        <f>'G-1 All Habitats'!O85</f>
        <v>0.67</v>
      </c>
      <c r="D107" s="242" t="str">
        <f>'G-1 All Habitats'!P85</f>
        <v>Medium</v>
      </c>
      <c r="E107" s="242">
        <f>'G-1 All Habitats'!Q85</f>
        <v>0.67</v>
      </c>
    </row>
    <row r="108" spans="1:5" x14ac:dyDescent="0.25">
      <c r="A108" s="135" t="str">
        <f>'G-1 All Habitats'!B86</f>
        <v>Wetland - Transition mires and quaking bogs (H7140)</v>
      </c>
      <c r="B108" s="242" t="str">
        <f>'G-1 All Habitats'!N86</f>
        <v>Very High</v>
      </c>
      <c r="C108" s="242">
        <f>'G-1 All Habitats'!O86</f>
        <v>0.1</v>
      </c>
      <c r="D108" s="242" t="str">
        <f>'G-1 All Habitats'!P86</f>
        <v>High</v>
      </c>
      <c r="E108" s="242">
        <f>'G-1 All Habitats'!Q86</f>
        <v>0.33</v>
      </c>
    </row>
    <row r="109" spans="1:5" x14ac:dyDescent="0.25">
      <c r="A109" s="135" t="str">
        <f>'G-1 All Habitats'!B87</f>
        <v>Woodland and forest - Felled</v>
      </c>
      <c r="B109" s="242" t="str">
        <f>'G-1 All Habitats'!N87</f>
        <v>Low</v>
      </c>
      <c r="C109" s="242">
        <f>'G-1 All Habitats'!O87</f>
        <v>1</v>
      </c>
      <c r="D109" s="242" t="str">
        <f>'G-1 All Habitats'!P87</f>
        <v>Low</v>
      </c>
      <c r="E109" s="242">
        <f>'G-1 All Habitats'!Q87</f>
        <v>1</v>
      </c>
    </row>
    <row r="110" spans="1:5" x14ac:dyDescent="0.25">
      <c r="A110" s="135" t="str">
        <f>'G-1 All Habitats'!B88</f>
        <v>Woodland and forest - Lowland beech and yew woodland</v>
      </c>
      <c r="B110" s="242" t="str">
        <f>'G-1 All Habitats'!N88</f>
        <v>High</v>
      </c>
      <c r="C110" s="242">
        <f>'G-1 All Habitats'!O88</f>
        <v>0.33</v>
      </c>
      <c r="D110" s="242" t="str">
        <f>'G-1 All Habitats'!P88</f>
        <v>High</v>
      </c>
      <c r="E110" s="242">
        <f>'G-1 All Habitats'!Q88</f>
        <v>0.33</v>
      </c>
    </row>
    <row r="111" spans="1:5" x14ac:dyDescent="0.25">
      <c r="A111" s="135" t="str">
        <f>'G-1 All Habitats'!B89</f>
        <v>Woodland and forest - Lowland mixed deciduous woodland</v>
      </c>
      <c r="B111" s="242" t="str">
        <f>'G-1 All Habitats'!N89</f>
        <v>High</v>
      </c>
      <c r="C111" s="242">
        <f>'G-1 All Habitats'!O89</f>
        <v>0.33</v>
      </c>
      <c r="D111" s="242" t="str">
        <f>'G-1 All Habitats'!P89</f>
        <v>High</v>
      </c>
      <c r="E111" s="242">
        <f>'G-1 All Habitats'!Q89</f>
        <v>0.33</v>
      </c>
    </row>
    <row r="112" spans="1:5" x14ac:dyDescent="0.25">
      <c r="A112" s="135" t="str">
        <f>'G-1 All Habitats'!B90</f>
        <v>Woodland and forest - Native pine woodlands</v>
      </c>
      <c r="B112" s="242" t="str">
        <f>'G-1 All Habitats'!N90</f>
        <v>High</v>
      </c>
      <c r="C112" s="242">
        <f>'G-1 All Habitats'!O90</f>
        <v>0.33</v>
      </c>
      <c r="D112" s="242" t="str">
        <f>'G-1 All Habitats'!P90</f>
        <v>High</v>
      </c>
      <c r="E112" s="242">
        <f>'G-1 All Habitats'!Q90</f>
        <v>0.33</v>
      </c>
    </row>
    <row r="113" spans="1:5" x14ac:dyDescent="0.25">
      <c r="A113" s="135" t="str">
        <f>'G-1 All Habitats'!B91</f>
        <v>Woodland and forest - Other coniferous woodland</v>
      </c>
      <c r="B113" s="242" t="str">
        <f>'G-1 All Habitats'!N91</f>
        <v>Low</v>
      </c>
      <c r="C113" s="242">
        <f>'G-1 All Habitats'!O91</f>
        <v>1</v>
      </c>
      <c r="D113" s="242" t="str">
        <f>'G-1 All Habitats'!P91</f>
        <v>Low</v>
      </c>
      <c r="E113" s="242">
        <f>'G-1 All Habitats'!Q91</f>
        <v>1</v>
      </c>
    </row>
    <row r="114" spans="1:5" x14ac:dyDescent="0.25">
      <c r="A114" s="135" t="str">
        <f>'G-1 All Habitats'!B92</f>
        <v>Woodland and forest - Other Scot's Pine woodland</v>
      </c>
      <c r="B114" s="242" t="str">
        <f>'G-1 All Habitats'!N92</f>
        <v>Medium</v>
      </c>
      <c r="C114" s="242">
        <f>'G-1 All Habitats'!O92</f>
        <v>0.67</v>
      </c>
      <c r="D114" s="242" t="str">
        <f>'G-1 All Habitats'!P92</f>
        <v>Medium</v>
      </c>
      <c r="E114" s="242">
        <f>'G-1 All Habitats'!Q92</f>
        <v>0.67</v>
      </c>
    </row>
    <row r="115" spans="1:5" x14ac:dyDescent="0.25">
      <c r="A115" s="135" t="str">
        <f>'G-1 All Habitats'!B93</f>
        <v>Woodland and forest - Other woodland; broadleaved</v>
      </c>
      <c r="B115" s="242" t="str">
        <f>'G-1 All Habitats'!N93</f>
        <v>Low</v>
      </c>
      <c r="C115" s="242">
        <f>'G-1 All Habitats'!O93</f>
        <v>1</v>
      </c>
      <c r="D115" s="242" t="str">
        <f>'G-1 All Habitats'!P93</f>
        <v>Low</v>
      </c>
      <c r="E115" s="242">
        <f>'G-1 All Habitats'!Q93</f>
        <v>1</v>
      </c>
    </row>
    <row r="116" spans="1:5" x14ac:dyDescent="0.25">
      <c r="A116" s="135" t="str">
        <f>'G-1 All Habitats'!B94</f>
        <v>Woodland and forest - Other woodland; mixed</v>
      </c>
      <c r="B116" s="242" t="str">
        <f>'G-1 All Habitats'!N94</f>
        <v>Low</v>
      </c>
      <c r="C116" s="242">
        <f>'G-1 All Habitats'!O94</f>
        <v>1</v>
      </c>
      <c r="D116" s="242" t="str">
        <f>'G-1 All Habitats'!P94</f>
        <v>Low</v>
      </c>
      <c r="E116" s="242">
        <f>'G-1 All Habitats'!Q94</f>
        <v>1</v>
      </c>
    </row>
    <row r="117" spans="1:5" x14ac:dyDescent="0.25">
      <c r="A117" s="135" t="str">
        <f>'G-1 All Habitats'!B95</f>
        <v>Woodland and forest - Upland birchwoods</v>
      </c>
      <c r="B117" s="242" t="str">
        <f>'G-1 All Habitats'!N95</f>
        <v>Medium</v>
      </c>
      <c r="C117" s="242">
        <f>'G-1 All Habitats'!O95</f>
        <v>0.67</v>
      </c>
      <c r="D117" s="242" t="str">
        <f>'G-1 All Habitats'!P95</f>
        <v>Medium</v>
      </c>
      <c r="E117" s="242">
        <f>'G-1 All Habitats'!Q95</f>
        <v>0.67</v>
      </c>
    </row>
    <row r="118" spans="1:5" x14ac:dyDescent="0.25">
      <c r="A118" s="135" t="str">
        <f>'G-1 All Habitats'!B96</f>
        <v>Woodland and forest - Upland mixed ashwoods</v>
      </c>
      <c r="B118" s="242" t="str">
        <f>'G-1 All Habitats'!N96</f>
        <v>High</v>
      </c>
      <c r="C118" s="242">
        <f>'G-1 All Habitats'!O96</f>
        <v>0.33</v>
      </c>
      <c r="D118" s="242" t="str">
        <f>'G-1 All Habitats'!P96</f>
        <v>High</v>
      </c>
      <c r="E118" s="242">
        <f>'G-1 All Habitats'!Q96</f>
        <v>0.33</v>
      </c>
    </row>
    <row r="119" spans="1:5" x14ac:dyDescent="0.25">
      <c r="A119" s="135" t="str">
        <f>'G-1 All Habitats'!B97</f>
        <v>Woodland and forest - Upland oakwood</v>
      </c>
      <c r="B119" s="242" t="str">
        <f>'G-1 All Habitats'!N97</f>
        <v>High</v>
      </c>
      <c r="C119" s="242">
        <f>'G-1 All Habitats'!O97</f>
        <v>0.33</v>
      </c>
      <c r="D119" s="242" t="str">
        <f>'G-1 All Habitats'!P97</f>
        <v>High</v>
      </c>
      <c r="E119" s="242">
        <f>'G-1 All Habitats'!Q97</f>
        <v>0.33</v>
      </c>
    </row>
    <row r="120" spans="1:5" x14ac:dyDescent="0.25">
      <c r="A120" s="135" t="str">
        <f>'G-1 All Habitats'!B98</f>
        <v>Woodland and forest - Wet woodland</v>
      </c>
      <c r="B120" s="242" t="str">
        <f>'G-1 All Habitats'!N98</f>
        <v>Medium</v>
      </c>
      <c r="C120" s="242">
        <f>'G-1 All Habitats'!O98</f>
        <v>0.67</v>
      </c>
      <c r="D120" s="242" t="str">
        <f>'G-1 All Habitats'!P98</f>
        <v>Medium</v>
      </c>
      <c r="E120" s="242">
        <f>'G-1 All Habitats'!Q98</f>
        <v>0.67</v>
      </c>
    </row>
    <row r="121" spans="1:5" x14ac:dyDescent="0.25">
      <c r="A121" s="135" t="str">
        <f>'G-1 All Habitats'!B99</f>
        <v>Woodland and forest - Wood-pasture and parkland</v>
      </c>
      <c r="B121" s="242" t="str">
        <f>'G-1 All Habitats'!N99</f>
        <v>Very High</v>
      </c>
      <c r="C121" s="242">
        <f>'G-1 All Habitats'!O99</f>
        <v>0.1</v>
      </c>
      <c r="D121" s="242" t="str">
        <f>'G-1 All Habitats'!P99</f>
        <v>High</v>
      </c>
      <c r="E121" s="242">
        <f>'G-1 All Habitats'!Q99</f>
        <v>0.33</v>
      </c>
    </row>
    <row r="122" spans="1:5" x14ac:dyDescent="0.25">
      <c r="A122" s="135" t="str">
        <f>'G-1 All Habitats'!B126</f>
        <v>Intertidal sediment - Littoral sand</v>
      </c>
      <c r="B122" s="242" t="str">
        <f>'G-1 All Habitats'!N126</f>
        <v>Medium</v>
      </c>
      <c r="C122" s="242">
        <f>'G-1 All Habitats'!O126</f>
        <v>0.67</v>
      </c>
      <c r="D122" s="242" t="str">
        <f>'G-1 All Habitats'!P126</f>
        <v>Medium</v>
      </c>
      <c r="E122" s="242">
        <f>'G-1 All Habitats'!Q126</f>
        <v>0.67</v>
      </c>
    </row>
    <row r="123" spans="1:5" x14ac:dyDescent="0.25">
      <c r="A123" s="135" t="str">
        <f>'G-1 All Habitats'!B127</f>
        <v>Intertidal sediment - Littoral muddy sand</v>
      </c>
      <c r="B123" s="242" t="str">
        <f>'G-1 All Habitats'!N127</f>
        <v>High</v>
      </c>
      <c r="C123" s="242">
        <f>'G-1 All Habitats'!O127</f>
        <v>0.33</v>
      </c>
      <c r="D123" s="242" t="str">
        <f>'G-1 All Habitats'!P127</f>
        <v>Medium</v>
      </c>
      <c r="E123" s="242">
        <f>'G-1 All Habitats'!Q127</f>
        <v>0.67</v>
      </c>
    </row>
    <row r="124" spans="1:5" x14ac:dyDescent="0.25">
      <c r="A124" s="135" t="str">
        <f>'G-1 All Habitats'!B128</f>
        <v>Intertidal Hard Structures - Artificial hard structures</v>
      </c>
      <c r="B124" s="242" t="str">
        <f>'G-1 All Habitats'!N128</f>
        <v>Medium</v>
      </c>
      <c r="C124" s="242">
        <f>'G-1 All Habitats'!O128</f>
        <v>0.67</v>
      </c>
      <c r="D124" s="242" t="str">
        <f>'G-1 All Habitats'!P128</f>
        <v>Medium</v>
      </c>
      <c r="E124" s="242">
        <f>'G-1 All Habitats'!Q128</f>
        <v>0.67</v>
      </c>
    </row>
    <row r="125" spans="1:5" x14ac:dyDescent="0.25">
      <c r="A125" s="135" t="str">
        <f>'G-1 All Habitats'!B129</f>
        <v>Intertidal Hard Structures - Artificial features of hard structures</v>
      </c>
      <c r="B125" s="242" t="str">
        <f>'G-1 All Habitats'!N129</f>
        <v>Medium</v>
      </c>
      <c r="C125" s="242">
        <f>'G-1 All Habitats'!O129</f>
        <v>0.67</v>
      </c>
      <c r="D125" s="242" t="str">
        <f>'G-1 All Habitats'!P129</f>
        <v>Medium</v>
      </c>
      <c r="E125" s="242">
        <f>'G-1 All Habitats'!Q129</f>
        <v>0.67</v>
      </c>
    </row>
    <row r="126" spans="1:5" x14ac:dyDescent="0.25">
      <c r="A126" s="135" t="str">
        <f>'G-1 All Habitats'!B130</f>
        <v>Intertidal Hard Structures - Artificial hard structures with Integrated Greening of Grey Infrastructure (IGGI)</v>
      </c>
      <c r="B126" s="242" t="str">
        <f>'G-1 All Habitats'!N130</f>
        <v>Medium</v>
      </c>
      <c r="C126" s="242">
        <f>'G-1 All Habitats'!O130</f>
        <v>0.67</v>
      </c>
      <c r="D126" s="242" t="str">
        <f>'G-1 All Habitats'!P130</f>
        <v>Medium</v>
      </c>
      <c r="E126" s="242">
        <f>'G-1 All Habitats'!Q130</f>
        <v>0.67</v>
      </c>
    </row>
    <row r="127" spans="1:5" x14ac:dyDescent="0.25">
      <c r="A127" s="135" t="str">
        <f>'G-1 All Habitats'!B110</f>
        <v>Coastal saltmarsh - Artificial saltmarshes and saline reedbeds</v>
      </c>
      <c r="B127" s="242" t="str">
        <f>'G-1 All Habitats'!N110</f>
        <v>High</v>
      </c>
      <c r="C127" s="242">
        <f>'G-1 All Habitats'!O110</f>
        <v>0.33</v>
      </c>
      <c r="D127" s="242" t="str">
        <f>'G-1 All Habitats'!P110</f>
        <v>Medium</v>
      </c>
      <c r="E127" s="242">
        <f>'G-1 All Habitats'!Q110</f>
        <v>0.67</v>
      </c>
    </row>
    <row r="128" spans="1:5" x14ac:dyDescent="0.25">
      <c r="A128" s="135" t="str">
        <f>'G-1 All Habitats'!B116</f>
        <v>Intertidal sediment - Littoral biogenic reefs - Mussels</v>
      </c>
      <c r="B128" s="242" t="str">
        <f>'G-1 All Habitats'!N116</f>
        <v>High</v>
      </c>
      <c r="C128" s="242">
        <f>'G-1 All Habitats'!O116</f>
        <v>0.33</v>
      </c>
      <c r="D128" s="242" t="str">
        <f>'G-1 All Habitats'!P116</f>
        <v>Medium</v>
      </c>
      <c r="E128" s="242">
        <f>'G-1 All Habitats'!Q116</f>
        <v>0.67</v>
      </c>
    </row>
    <row r="129" spans="1:5" x14ac:dyDescent="0.25">
      <c r="A129" s="135" t="str">
        <f>'G-1 All Habitats'!B120</f>
        <v>Intertidal sediment - Artificial littoral mud</v>
      </c>
      <c r="B129" s="242" t="str">
        <f>'G-1 All Habitats'!N120</f>
        <v>High</v>
      </c>
      <c r="C129" s="242">
        <f>'G-1 All Habitats'!O120</f>
        <v>0.33</v>
      </c>
      <c r="D129" s="242" t="str">
        <f>'G-1 All Habitats'!P120</f>
        <v>Medium</v>
      </c>
      <c r="E129" s="242">
        <f>'G-1 All Habitats'!Q120</f>
        <v>0.67</v>
      </c>
    </row>
    <row r="130" spans="1:5" x14ac:dyDescent="0.25">
      <c r="A130" s="135" t="str">
        <f>'G-1 All Habitats'!B121</f>
        <v>Intertidal sediment - Artificial littoral sand</v>
      </c>
      <c r="B130" s="242" t="str">
        <f>'G-1 All Habitats'!N121</f>
        <v>Medium</v>
      </c>
      <c r="C130" s="242">
        <f>'G-1 All Habitats'!O121</f>
        <v>0.67</v>
      </c>
      <c r="D130" s="242" t="str">
        <f>'G-1 All Habitats'!P121</f>
        <v>Medium</v>
      </c>
      <c r="E130" s="242">
        <f>'G-1 All Habitats'!Q121</f>
        <v>0.67</v>
      </c>
    </row>
    <row r="131" spans="1:5" x14ac:dyDescent="0.25"/>
    <row r="132" spans="1:5" x14ac:dyDescent="0.25"/>
    <row r="133" spans="1:5" x14ac:dyDescent="0.25"/>
    <row r="134" spans="1:5" x14ac:dyDescent="0.25"/>
    <row r="135" spans="1:5" x14ac:dyDescent="0.25"/>
    <row r="136" spans="1:5" x14ac:dyDescent="0.25"/>
    <row r="137" spans="1:5" x14ac:dyDescent="0.25"/>
    <row r="138" spans="1:5" x14ac:dyDescent="0.25"/>
    <row r="139" spans="1:5" x14ac:dyDescent="0.25"/>
    <row r="140" spans="1:5" x14ac:dyDescent="0.25"/>
    <row r="141" spans="1:5" x14ac:dyDescent="0.25"/>
    <row r="142" spans="1:5" x14ac:dyDescent="0.25"/>
  </sheetData>
  <sheetProtection algorithmName="SHA-512" hashValue="N5VXRMg9fIKpl6yLgBeQzAD7uP9pBagS8JWd6LEj0fv2NkJGjjovOlBniUtSYsT9HMM79P/CpwJCB7u3Yyjtdw==" saltValue="fj37CwmyuPXRb9uH6zA7Fg==" spinCount="100000" sheet="1" objects="1" scenarios="1"/>
  <autoFilter ref="A2:E122" xr:uid="{00000000-0009-0000-0000-00001E000000}">
    <sortState xmlns:xlrd2="http://schemas.microsoft.com/office/spreadsheetml/2017/richdata2" ref="A9:E141">
      <sortCondition ref="A2:A141"/>
    </sortState>
  </autoFilter>
  <customSheetViews>
    <customSheetView guid="{8BDA793C-C9C5-4FC6-A0A5-F1109F6D4F22}" state="hidden">
      <selection activeCell="D14" sqref="D14"/>
    </customSheetView>
  </customSheetViews>
  <mergeCells count="7">
    <mergeCell ref="W2:Z2"/>
    <mergeCell ref="S2:T2"/>
    <mergeCell ref="A1:E1"/>
    <mergeCell ref="L2:N2"/>
    <mergeCell ref="H2:J2"/>
    <mergeCell ref="L1:N1"/>
    <mergeCell ref="P1:Q1"/>
  </mergeCells>
  <dataValidations count="2">
    <dataValidation type="list" allowBlank="1" showInputMessage="1" showErrorMessage="1" sqref="B3:B130 D3:D130" xr:uid="{00000000-0002-0000-1E00-000000000000}">
      <formula1>$P$3:$P$6</formula1>
    </dataValidation>
    <dataValidation type="list" allowBlank="1" showInputMessage="1" showErrorMessage="1" sqref="C3:C130" xr:uid="{00000000-0002-0000-1E00-000001000000}">
      <formula1>$Q$3:$Q$6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3">
    <tabColor theme="0" tint="-0.249977111117893"/>
  </sheetPr>
  <dimension ref="A1:Z591"/>
  <sheetViews>
    <sheetView zoomScaleNormal="100" workbookViewId="0">
      <selection activeCell="T17" sqref="T17"/>
    </sheetView>
  </sheetViews>
  <sheetFormatPr defaultColWidth="0" defaultRowHeight="14.4" customHeight="1" zeroHeight="1" x14ac:dyDescent="0.3"/>
  <cols>
    <col min="1" max="3" width="2.109375" style="9" customWidth="1"/>
    <col min="4" max="4" width="18.6640625" style="9" customWidth="1"/>
    <col min="5" max="8" width="9.109375" style="9" customWidth="1"/>
    <col min="9" max="9" width="7" style="9" customWidth="1"/>
    <col min="10" max="12" width="9.109375" style="9" customWidth="1"/>
    <col min="13" max="13" width="12.109375" style="9" customWidth="1"/>
    <col min="14" max="14" width="5.6640625" style="9" customWidth="1"/>
    <col min="15" max="15" width="14.5546875" style="9" customWidth="1"/>
    <col min="16" max="16" width="14" style="9" customWidth="1"/>
    <col min="17" max="17" width="13.6640625" style="9" bestFit="1" customWidth="1"/>
    <col min="18" max="18" width="19.33203125" style="9" customWidth="1"/>
    <col min="19" max="26" width="9.109375" style="9" customWidth="1"/>
    <col min="27" max="16384" width="9.109375" style="9" hidden="1"/>
  </cols>
  <sheetData>
    <row r="1" spans="1:18" ht="15.75" customHeight="1" x14ac:dyDescent="0.6">
      <c r="B1" s="16"/>
      <c r="C1" s="16"/>
      <c r="E1" s="17"/>
      <c r="F1" s="760"/>
      <c r="G1" s="760"/>
      <c r="H1" s="760"/>
      <c r="I1" s="760"/>
      <c r="J1" s="760"/>
      <c r="K1" s="761"/>
      <c r="L1" s="761"/>
      <c r="M1" s="761"/>
      <c r="N1" s="761"/>
      <c r="O1" s="761"/>
    </row>
    <row r="2" spans="1:18" ht="15.75" customHeight="1" x14ac:dyDescent="0.6">
      <c r="B2" s="16"/>
      <c r="C2" s="16"/>
      <c r="E2" s="17"/>
    </row>
    <row r="3" spans="1:18" ht="15.75" customHeight="1" x14ac:dyDescent="0.6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8" ht="16.5" customHeight="1" x14ac:dyDescent="0.6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8" ht="16.5" customHeight="1" x14ac:dyDescent="0.6">
      <c r="A5" s="17"/>
      <c r="B5" s="17"/>
      <c r="C5" s="17"/>
      <c r="D5" s="17"/>
      <c r="E5" s="17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6.5" customHeight="1" x14ac:dyDescent="0.6">
      <c r="B6" s="16"/>
      <c r="C6" s="16"/>
      <c r="D6" s="17"/>
      <c r="E6" s="17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6.5" customHeight="1" x14ac:dyDescent="0.6">
      <c r="B7" s="16"/>
      <c r="C7" s="17"/>
      <c r="D7" s="17"/>
      <c r="E7" s="17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16.5" customHeight="1" x14ac:dyDescent="0.6">
      <c r="B8" s="16"/>
      <c r="C8" s="16"/>
      <c r="D8" s="17"/>
      <c r="E8" s="1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6.5" customHeight="1" x14ac:dyDescent="0.3">
      <c r="B9" s="16"/>
      <c r="C9" s="16"/>
      <c r="D9" s="20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30" customHeight="1" x14ac:dyDescent="0.4">
      <c r="B10" s="16"/>
      <c r="C10" s="16"/>
      <c r="D10" s="8"/>
      <c r="E10" s="8"/>
      <c r="F10" s="8"/>
      <c r="G10" s="762"/>
      <c r="H10" s="762"/>
      <c r="I10" s="762"/>
      <c r="J10" s="762"/>
      <c r="K10" s="762"/>
      <c r="L10" s="762"/>
      <c r="M10" s="762"/>
      <c r="N10" s="762"/>
      <c r="O10" s="762"/>
    </row>
    <row r="11" spans="1:18" ht="16.5" customHeight="1" x14ac:dyDescent="0.3">
      <c r="B11" s="16"/>
      <c r="C11" s="16"/>
    </row>
    <row r="12" spans="1:18" ht="16.5" customHeight="1" x14ac:dyDescent="0.3">
      <c r="B12" s="16"/>
      <c r="C12" s="16"/>
    </row>
    <row r="13" spans="1:18" ht="16.5" customHeight="1" x14ac:dyDescent="0.3">
      <c r="B13" s="16"/>
      <c r="C13" s="16"/>
    </row>
    <row r="14" spans="1:18" ht="16.5" customHeight="1" x14ac:dyDescent="0.3">
      <c r="B14" s="16"/>
      <c r="C14" s="16"/>
    </row>
    <row r="15" spans="1:18" ht="16.5" customHeight="1" x14ac:dyDescent="0.3">
      <c r="B15" s="16"/>
      <c r="C15" s="16"/>
    </row>
    <row r="16" spans="1:18" ht="16.5" customHeight="1" x14ac:dyDescent="0.3">
      <c r="B16" s="16"/>
      <c r="C16" s="16"/>
    </row>
    <row r="17" spans="2:3" ht="16.5" customHeight="1" x14ac:dyDescent="0.3">
      <c r="B17" s="16"/>
      <c r="C17" s="16"/>
    </row>
    <row r="18" spans="2:3" ht="16.5" customHeight="1" x14ac:dyDescent="0.3">
      <c r="B18" s="16"/>
      <c r="C18" s="16"/>
    </row>
    <row r="19" spans="2:3" ht="16.5" customHeight="1" x14ac:dyDescent="0.3">
      <c r="B19" s="16"/>
      <c r="C19" s="16"/>
    </row>
    <row r="20" spans="2:3" ht="16.5" customHeight="1" x14ac:dyDescent="0.3">
      <c r="B20" s="16"/>
      <c r="C20" s="16"/>
    </row>
    <row r="21" spans="2:3" ht="16.5" customHeight="1" x14ac:dyDescent="0.3">
      <c r="B21" s="16"/>
      <c r="C21" s="16"/>
    </row>
    <row r="22" spans="2:3" ht="16.5" customHeight="1" x14ac:dyDescent="0.3">
      <c r="B22" s="16"/>
      <c r="C22" s="16"/>
    </row>
    <row r="23" spans="2:3" ht="16.5" customHeight="1" x14ac:dyDescent="0.3">
      <c r="B23" s="16"/>
      <c r="C23" s="16"/>
    </row>
    <row r="24" spans="2:3" ht="16.5" customHeight="1" x14ac:dyDescent="0.3">
      <c r="B24" s="16"/>
      <c r="C24" s="16"/>
    </row>
    <row r="25" spans="2:3" ht="16.5" customHeight="1" x14ac:dyDescent="0.3">
      <c r="B25" s="16"/>
      <c r="C25" s="16"/>
    </row>
    <row r="26" spans="2:3" ht="16.5" customHeight="1" x14ac:dyDescent="0.3">
      <c r="B26" s="16"/>
      <c r="C26" s="16"/>
    </row>
    <row r="27" spans="2:3" ht="16.5" customHeight="1" x14ac:dyDescent="0.3">
      <c r="B27" s="16"/>
      <c r="C27" s="16"/>
    </row>
    <row r="28" spans="2:3" ht="16.5" customHeight="1" x14ac:dyDescent="0.3">
      <c r="B28" s="16"/>
      <c r="C28" s="16"/>
    </row>
    <row r="29" spans="2:3" ht="16.5" customHeight="1" x14ac:dyDescent="0.3">
      <c r="B29" s="16"/>
      <c r="C29" s="16"/>
    </row>
    <row r="30" spans="2:3" ht="16.5" customHeight="1" x14ac:dyDescent="0.3">
      <c r="B30" s="16"/>
      <c r="C30" s="16"/>
    </row>
    <row r="31" spans="2:3" ht="16.5" customHeight="1" x14ac:dyDescent="0.3">
      <c r="B31" s="16"/>
      <c r="C31" s="16"/>
    </row>
    <row r="32" spans="2:3" ht="16.5" customHeight="1" x14ac:dyDescent="0.3">
      <c r="B32" s="16"/>
      <c r="C32" s="16"/>
    </row>
    <row r="33" spans="2:3" ht="16.5" customHeight="1" x14ac:dyDescent="0.3">
      <c r="B33" s="16"/>
      <c r="C33" s="16"/>
    </row>
    <row r="34" spans="2:3" ht="16.5" customHeight="1" x14ac:dyDescent="0.3">
      <c r="B34" s="16"/>
      <c r="C34" s="16"/>
    </row>
    <row r="35" spans="2:3" ht="16.5" customHeight="1" x14ac:dyDescent="0.3">
      <c r="B35" s="16"/>
      <c r="C35" s="16"/>
    </row>
    <row r="36" spans="2:3" ht="16.5" customHeight="1" x14ac:dyDescent="0.3">
      <c r="B36" s="16"/>
      <c r="C36" s="16"/>
    </row>
    <row r="37" spans="2:3" ht="16.5" customHeight="1" x14ac:dyDescent="0.3">
      <c r="B37" s="16"/>
      <c r="C37" s="16"/>
    </row>
    <row r="38" spans="2:3" ht="16.5" customHeight="1" x14ac:dyDescent="0.3">
      <c r="B38" s="16"/>
      <c r="C38" s="16"/>
    </row>
    <row r="39" spans="2:3" ht="16.5" customHeight="1" x14ac:dyDescent="0.3">
      <c r="B39" s="16"/>
      <c r="C39" s="16"/>
    </row>
    <row r="40" spans="2:3" ht="16.5" customHeight="1" x14ac:dyDescent="0.3">
      <c r="B40" s="16"/>
      <c r="C40" s="16"/>
    </row>
    <row r="41" spans="2:3" ht="16.5" customHeight="1" x14ac:dyDescent="0.3">
      <c r="B41" s="16"/>
      <c r="C41" s="16"/>
    </row>
    <row r="42" spans="2:3" ht="16.5" customHeight="1" x14ac:dyDescent="0.3">
      <c r="B42" s="16"/>
      <c r="C42" s="16"/>
    </row>
    <row r="43" spans="2:3" ht="16.5" customHeight="1" x14ac:dyDescent="0.3">
      <c r="B43" s="16"/>
      <c r="C43" s="16"/>
    </row>
    <row r="44" spans="2:3" ht="16.5" customHeight="1" x14ac:dyDescent="0.3">
      <c r="B44" s="16"/>
      <c r="C44" s="16"/>
    </row>
    <row r="45" spans="2:3" ht="16.5" customHeight="1" x14ac:dyDescent="0.3">
      <c r="B45" s="16"/>
      <c r="C45" s="16"/>
    </row>
    <row r="46" spans="2:3" ht="16.5" customHeight="1" x14ac:dyDescent="0.3">
      <c r="B46" s="16"/>
      <c r="C46" s="16"/>
    </row>
    <row r="47" spans="2:3" ht="16.5" customHeight="1" x14ac:dyDescent="0.3">
      <c r="B47" s="16"/>
      <c r="C47" s="16"/>
    </row>
    <row r="48" spans="2:3" ht="16.5" customHeight="1" x14ac:dyDescent="0.3">
      <c r="B48" s="16"/>
      <c r="C48" s="16"/>
    </row>
    <row r="49" spans="2:3" ht="16.5" customHeight="1" x14ac:dyDescent="0.3">
      <c r="B49" s="16"/>
      <c r="C49" s="16"/>
    </row>
    <row r="50" spans="2:3" ht="16.5" customHeight="1" x14ac:dyDescent="0.3">
      <c r="B50" s="16"/>
      <c r="C50" s="16"/>
    </row>
    <row r="51" spans="2:3" ht="16.5" customHeight="1" x14ac:dyDescent="0.3">
      <c r="B51" s="16"/>
      <c r="C51" s="16"/>
    </row>
    <row r="52" spans="2:3" ht="16.5" customHeight="1" x14ac:dyDescent="0.3">
      <c r="B52" s="16"/>
      <c r="C52" s="16"/>
    </row>
    <row r="53" spans="2:3" ht="16.5" customHeight="1" x14ac:dyDescent="0.3">
      <c r="B53" s="16"/>
      <c r="C53" s="16"/>
    </row>
    <row r="54" spans="2:3" ht="16.5" customHeight="1" x14ac:dyDescent="0.3">
      <c r="B54" s="16"/>
      <c r="C54" s="16"/>
    </row>
    <row r="55" spans="2:3" ht="16.5" customHeight="1" x14ac:dyDescent="0.3">
      <c r="B55" s="16"/>
      <c r="C55" s="16"/>
    </row>
    <row r="56" spans="2:3" ht="16.5" customHeight="1" x14ac:dyDescent="0.3">
      <c r="B56" s="16"/>
      <c r="C56" s="16"/>
    </row>
    <row r="57" spans="2:3" ht="16.5" customHeight="1" x14ac:dyDescent="0.3">
      <c r="B57" s="16"/>
      <c r="C57" s="16"/>
    </row>
    <row r="58" spans="2:3" ht="16.5" customHeight="1" x14ac:dyDescent="0.3">
      <c r="B58" s="16"/>
      <c r="C58" s="16"/>
    </row>
    <row r="59" spans="2:3" ht="16.5" customHeight="1" x14ac:dyDescent="0.3">
      <c r="B59" s="16"/>
      <c r="C59" s="16"/>
    </row>
    <row r="60" spans="2:3" ht="16.5" hidden="1" customHeight="1" x14ac:dyDescent="0.3">
      <c r="B60" s="16"/>
      <c r="C60" s="16"/>
    </row>
    <row r="61" spans="2:3" ht="16.5" hidden="1" customHeight="1" x14ac:dyDescent="0.3">
      <c r="B61" s="16"/>
      <c r="C61" s="16"/>
    </row>
    <row r="62" spans="2:3" ht="16.5" hidden="1" customHeight="1" x14ac:dyDescent="0.3">
      <c r="B62" s="16"/>
      <c r="C62" s="16"/>
    </row>
    <row r="63" spans="2:3" ht="16.5" hidden="1" customHeight="1" x14ac:dyDescent="0.3">
      <c r="B63" s="16"/>
      <c r="C63" s="16"/>
    </row>
    <row r="64" spans="2:3" ht="16.5" hidden="1" customHeight="1" x14ac:dyDescent="0.3">
      <c r="B64" s="16"/>
      <c r="C64" s="16"/>
    </row>
    <row r="65" spans="2:3" ht="16.5" hidden="1" customHeight="1" x14ac:dyDescent="0.3">
      <c r="B65" s="16"/>
      <c r="C65" s="16"/>
    </row>
    <row r="66" spans="2:3" ht="16.5" hidden="1" customHeight="1" x14ac:dyDescent="0.3">
      <c r="B66" s="16"/>
      <c r="C66" s="16"/>
    </row>
    <row r="67" spans="2:3" ht="16.5" hidden="1" customHeight="1" x14ac:dyDescent="0.3">
      <c r="B67" s="16"/>
      <c r="C67" s="16"/>
    </row>
    <row r="68" spans="2:3" ht="16.5" hidden="1" customHeight="1" x14ac:dyDescent="0.3">
      <c r="B68" s="16"/>
      <c r="C68" s="16"/>
    </row>
    <row r="69" spans="2:3" ht="16.5" hidden="1" customHeight="1" x14ac:dyDescent="0.3">
      <c r="B69" s="16"/>
      <c r="C69" s="16"/>
    </row>
    <row r="70" spans="2:3" ht="16.5" hidden="1" customHeight="1" x14ac:dyDescent="0.3">
      <c r="B70" s="16"/>
      <c r="C70" s="16"/>
    </row>
    <row r="71" spans="2:3" ht="16.5" hidden="1" customHeight="1" x14ac:dyDescent="0.3">
      <c r="B71" s="16"/>
      <c r="C71" s="16"/>
    </row>
    <row r="72" spans="2:3" ht="16.5" hidden="1" customHeight="1" x14ac:dyDescent="0.3">
      <c r="B72" s="16"/>
      <c r="C72" s="16"/>
    </row>
    <row r="73" spans="2:3" ht="16.5" hidden="1" customHeight="1" x14ac:dyDescent="0.3">
      <c r="B73" s="16"/>
      <c r="C73" s="16"/>
    </row>
    <row r="74" spans="2:3" ht="16.5" hidden="1" customHeight="1" x14ac:dyDescent="0.3">
      <c r="B74" s="16"/>
      <c r="C74" s="16"/>
    </row>
    <row r="75" spans="2:3" ht="16.5" hidden="1" customHeight="1" x14ac:dyDescent="0.3">
      <c r="B75" s="16"/>
      <c r="C75" s="16"/>
    </row>
    <row r="76" spans="2:3" ht="16.5" hidden="1" customHeight="1" x14ac:dyDescent="0.3">
      <c r="B76" s="16"/>
      <c r="C76" s="16"/>
    </row>
    <row r="77" spans="2:3" ht="16.5" hidden="1" customHeight="1" x14ac:dyDescent="0.3">
      <c r="B77" s="16"/>
      <c r="C77" s="16"/>
    </row>
    <row r="78" spans="2:3" ht="16.5" hidden="1" customHeight="1" x14ac:dyDescent="0.3">
      <c r="B78" s="16"/>
      <c r="C78" s="16"/>
    </row>
    <row r="79" spans="2:3" ht="16.5" hidden="1" customHeight="1" x14ac:dyDescent="0.3">
      <c r="B79" s="16"/>
      <c r="C79" s="16"/>
    </row>
    <row r="80" spans="2:3" ht="16.5" hidden="1" customHeight="1" x14ac:dyDescent="0.3">
      <c r="B80" s="16"/>
      <c r="C80" s="16"/>
    </row>
    <row r="81" spans="2:3" ht="16.5" hidden="1" customHeight="1" x14ac:dyDescent="0.3">
      <c r="B81" s="16"/>
      <c r="C81" s="16"/>
    </row>
    <row r="82" spans="2:3" ht="16.5" hidden="1" customHeight="1" x14ac:dyDescent="0.3">
      <c r="B82" s="16"/>
      <c r="C82" s="16"/>
    </row>
    <row r="83" spans="2:3" ht="16.5" hidden="1" customHeight="1" x14ac:dyDescent="0.3">
      <c r="B83" s="16"/>
      <c r="C83" s="16"/>
    </row>
    <row r="84" spans="2:3" ht="16.5" hidden="1" customHeight="1" x14ac:dyDescent="0.3">
      <c r="B84" s="16"/>
      <c r="C84" s="16"/>
    </row>
    <row r="85" spans="2:3" ht="16.5" hidden="1" customHeight="1" x14ac:dyDescent="0.3">
      <c r="B85" s="16"/>
      <c r="C85" s="16"/>
    </row>
    <row r="86" spans="2:3" ht="16.5" hidden="1" customHeight="1" x14ac:dyDescent="0.3">
      <c r="B86" s="16"/>
      <c r="C86" s="16"/>
    </row>
    <row r="87" spans="2:3" ht="16.5" hidden="1" customHeight="1" x14ac:dyDescent="0.3">
      <c r="B87" s="16"/>
      <c r="C87" s="16"/>
    </row>
    <row r="88" spans="2:3" ht="16.5" hidden="1" customHeight="1" x14ac:dyDescent="0.3">
      <c r="B88" s="16"/>
      <c r="C88" s="16"/>
    </row>
    <row r="89" spans="2:3" ht="16.5" hidden="1" customHeight="1" x14ac:dyDescent="0.3">
      <c r="B89" s="16"/>
      <c r="C89" s="16"/>
    </row>
    <row r="90" spans="2:3" ht="16.5" hidden="1" customHeight="1" x14ac:dyDescent="0.3">
      <c r="B90" s="16"/>
      <c r="C90" s="16"/>
    </row>
    <row r="91" spans="2:3" ht="16.5" hidden="1" customHeight="1" x14ac:dyDescent="0.3">
      <c r="B91" s="16"/>
      <c r="C91" s="16"/>
    </row>
    <row r="92" spans="2:3" ht="16.5" hidden="1" customHeight="1" x14ac:dyDescent="0.3">
      <c r="B92" s="16"/>
      <c r="C92" s="16"/>
    </row>
    <row r="93" spans="2:3" ht="16.5" hidden="1" customHeight="1" x14ac:dyDescent="0.3">
      <c r="B93" s="16"/>
      <c r="C93" s="16"/>
    </row>
    <row r="94" spans="2:3" ht="16.5" hidden="1" customHeight="1" x14ac:dyDescent="0.3">
      <c r="B94" s="16"/>
      <c r="C94" s="16"/>
    </row>
    <row r="95" spans="2:3" ht="16.5" hidden="1" customHeight="1" x14ac:dyDescent="0.3">
      <c r="B95" s="16"/>
      <c r="C95" s="16"/>
    </row>
    <row r="96" spans="2:3" ht="16.5" hidden="1" customHeight="1" x14ac:dyDescent="0.3">
      <c r="B96" s="16"/>
      <c r="C96" s="16"/>
    </row>
    <row r="97" spans="2:3" ht="16.5" hidden="1" customHeight="1" x14ac:dyDescent="0.3">
      <c r="B97" s="16"/>
      <c r="C97" s="16"/>
    </row>
    <row r="98" spans="2:3" ht="16.5" hidden="1" customHeight="1" x14ac:dyDescent="0.3">
      <c r="B98" s="16"/>
      <c r="C98" s="16"/>
    </row>
    <row r="99" spans="2:3" ht="16.5" hidden="1" customHeight="1" x14ac:dyDescent="0.3">
      <c r="B99" s="16"/>
      <c r="C99" s="16"/>
    </row>
    <row r="100" spans="2:3" ht="16.5" hidden="1" customHeight="1" x14ac:dyDescent="0.3">
      <c r="B100" s="16"/>
      <c r="C100" s="16"/>
    </row>
    <row r="101" spans="2:3" ht="16.5" hidden="1" customHeight="1" x14ac:dyDescent="0.3">
      <c r="B101" s="16"/>
      <c r="C101" s="16"/>
    </row>
    <row r="102" spans="2:3" ht="16.5" hidden="1" customHeight="1" x14ac:dyDescent="0.3">
      <c r="B102" s="16"/>
      <c r="C102" s="16"/>
    </row>
    <row r="103" spans="2:3" ht="16.5" hidden="1" customHeight="1" x14ac:dyDescent="0.3">
      <c r="B103" s="16"/>
      <c r="C103" s="16"/>
    </row>
    <row r="104" spans="2:3" ht="16.5" hidden="1" customHeight="1" x14ac:dyDescent="0.3">
      <c r="B104" s="16"/>
      <c r="C104" s="16"/>
    </row>
    <row r="105" spans="2:3" ht="16.5" hidden="1" customHeight="1" x14ac:dyDescent="0.3">
      <c r="B105" s="16"/>
      <c r="C105" s="16"/>
    </row>
    <row r="106" spans="2:3" ht="16.5" hidden="1" customHeight="1" x14ac:dyDescent="0.3">
      <c r="B106" s="16"/>
      <c r="C106" s="16"/>
    </row>
    <row r="107" spans="2:3" ht="16.5" hidden="1" customHeight="1" x14ac:dyDescent="0.3">
      <c r="B107" s="16"/>
      <c r="C107" s="16"/>
    </row>
    <row r="108" spans="2:3" ht="16.5" hidden="1" customHeight="1" x14ac:dyDescent="0.3">
      <c r="B108" s="16"/>
      <c r="C108" s="16"/>
    </row>
    <row r="109" spans="2:3" ht="16.5" hidden="1" customHeight="1" x14ac:dyDescent="0.3">
      <c r="B109" s="16"/>
      <c r="C109" s="16"/>
    </row>
    <row r="110" spans="2:3" ht="16.5" hidden="1" customHeight="1" x14ac:dyDescent="0.3">
      <c r="B110" s="16"/>
      <c r="C110" s="16"/>
    </row>
    <row r="111" spans="2:3" ht="16.5" hidden="1" customHeight="1" x14ac:dyDescent="0.3">
      <c r="B111" s="16"/>
      <c r="C111" s="16"/>
    </row>
    <row r="112" spans="2:3" ht="16.5" hidden="1" customHeight="1" x14ac:dyDescent="0.3">
      <c r="B112" s="16"/>
      <c r="C112" s="16"/>
    </row>
    <row r="113" spans="2:3" ht="16.5" hidden="1" customHeight="1" x14ac:dyDescent="0.3">
      <c r="B113" s="16"/>
      <c r="C113" s="16"/>
    </row>
    <row r="114" spans="2:3" ht="16.5" hidden="1" customHeight="1" x14ac:dyDescent="0.3">
      <c r="B114" s="16"/>
      <c r="C114" s="16"/>
    </row>
    <row r="115" spans="2:3" ht="16.5" hidden="1" customHeight="1" x14ac:dyDescent="0.3">
      <c r="B115" s="16"/>
      <c r="C115" s="16"/>
    </row>
    <row r="116" spans="2:3" ht="16.5" hidden="1" customHeight="1" x14ac:dyDescent="0.3">
      <c r="B116" s="16"/>
      <c r="C116" s="16"/>
    </row>
    <row r="117" spans="2:3" ht="16.5" hidden="1" customHeight="1" x14ac:dyDescent="0.3">
      <c r="B117" s="16"/>
      <c r="C117" s="16"/>
    </row>
    <row r="118" spans="2:3" ht="16.5" hidden="1" customHeight="1" x14ac:dyDescent="0.3">
      <c r="B118" s="16"/>
      <c r="C118" s="16"/>
    </row>
    <row r="119" spans="2:3" ht="16.5" hidden="1" customHeight="1" x14ac:dyDescent="0.3">
      <c r="B119" s="16"/>
      <c r="C119" s="16"/>
    </row>
    <row r="120" spans="2:3" ht="16.5" hidden="1" customHeight="1" x14ac:dyDescent="0.3">
      <c r="B120" s="16"/>
      <c r="C120" s="16"/>
    </row>
    <row r="121" spans="2:3" ht="16.5" hidden="1" customHeight="1" x14ac:dyDescent="0.3">
      <c r="B121" s="16"/>
      <c r="C121" s="16"/>
    </row>
    <row r="122" spans="2:3" ht="16.5" hidden="1" customHeight="1" x14ac:dyDescent="0.3">
      <c r="B122" s="16"/>
      <c r="C122" s="16"/>
    </row>
    <row r="123" spans="2:3" ht="16.5" hidden="1" customHeight="1" x14ac:dyDescent="0.3">
      <c r="B123" s="16"/>
      <c r="C123" s="16"/>
    </row>
    <row r="124" spans="2:3" ht="16.5" hidden="1" customHeight="1" x14ac:dyDescent="0.3">
      <c r="B124" s="16"/>
      <c r="C124" s="16"/>
    </row>
    <row r="125" spans="2:3" ht="16.5" hidden="1" customHeight="1" x14ac:dyDescent="0.3">
      <c r="B125" s="16"/>
      <c r="C125" s="16"/>
    </row>
    <row r="126" spans="2:3" ht="16.5" hidden="1" customHeight="1" x14ac:dyDescent="0.3">
      <c r="B126" s="16"/>
      <c r="C126" s="16"/>
    </row>
    <row r="127" spans="2:3" ht="16.5" hidden="1" customHeight="1" x14ac:dyDescent="0.3">
      <c r="B127" s="16"/>
      <c r="C127" s="16"/>
    </row>
    <row r="128" spans="2:3" ht="16.5" hidden="1" customHeight="1" x14ac:dyDescent="0.3">
      <c r="B128" s="16"/>
      <c r="C128" s="16"/>
    </row>
    <row r="129" spans="2:3" ht="16.5" hidden="1" customHeight="1" x14ac:dyDescent="0.3">
      <c r="B129" s="16"/>
      <c r="C129" s="16"/>
    </row>
    <row r="130" spans="2:3" ht="16.5" hidden="1" customHeight="1" x14ac:dyDescent="0.3">
      <c r="B130" s="16"/>
      <c r="C130" s="16"/>
    </row>
    <row r="131" spans="2:3" ht="16.5" hidden="1" customHeight="1" x14ac:dyDescent="0.3">
      <c r="B131" s="16"/>
      <c r="C131" s="16"/>
    </row>
    <row r="132" spans="2:3" ht="16.5" hidden="1" customHeight="1" x14ac:dyDescent="0.3">
      <c r="B132" s="16"/>
      <c r="C132" s="16"/>
    </row>
    <row r="133" spans="2:3" ht="16.5" hidden="1" customHeight="1" x14ac:dyDescent="0.3">
      <c r="B133" s="16"/>
      <c r="C133" s="16"/>
    </row>
    <row r="134" spans="2:3" ht="16.5" hidden="1" customHeight="1" x14ac:dyDescent="0.3">
      <c r="B134" s="16"/>
      <c r="C134" s="16"/>
    </row>
    <row r="135" spans="2:3" ht="16.5" hidden="1" customHeight="1" x14ac:dyDescent="0.3">
      <c r="B135" s="16"/>
      <c r="C135" s="16"/>
    </row>
    <row r="136" spans="2:3" ht="16.5" hidden="1" customHeight="1" x14ac:dyDescent="0.3">
      <c r="B136" s="16"/>
      <c r="C136" s="16"/>
    </row>
    <row r="137" spans="2:3" ht="16.5" hidden="1" customHeight="1" x14ac:dyDescent="0.3">
      <c r="B137" s="16"/>
      <c r="C137" s="16"/>
    </row>
    <row r="138" spans="2:3" ht="16.5" hidden="1" customHeight="1" x14ac:dyDescent="0.3">
      <c r="B138" s="16"/>
      <c r="C138" s="16"/>
    </row>
    <row r="139" spans="2:3" ht="16.5" hidden="1" customHeight="1" x14ac:dyDescent="0.3">
      <c r="B139" s="16"/>
      <c r="C139" s="16"/>
    </row>
    <row r="140" spans="2:3" ht="16.5" hidden="1" customHeight="1" x14ac:dyDescent="0.3">
      <c r="B140" s="16"/>
      <c r="C140" s="16"/>
    </row>
    <row r="141" spans="2:3" ht="16.5" hidden="1" customHeight="1" x14ac:dyDescent="0.3">
      <c r="B141" s="16"/>
      <c r="C141" s="16"/>
    </row>
    <row r="142" spans="2:3" ht="16.5" hidden="1" customHeight="1" x14ac:dyDescent="0.3">
      <c r="B142" s="16"/>
      <c r="C142" s="16"/>
    </row>
    <row r="143" spans="2:3" ht="16.5" hidden="1" customHeight="1" x14ac:dyDescent="0.3">
      <c r="B143" s="16"/>
      <c r="C143" s="16"/>
    </row>
    <row r="144" spans="2:3" ht="16.5" hidden="1" customHeight="1" x14ac:dyDescent="0.3">
      <c r="B144" s="16"/>
      <c r="C144" s="16"/>
    </row>
    <row r="145" spans="2:3" ht="16.5" hidden="1" customHeight="1" x14ac:dyDescent="0.3">
      <c r="B145" s="16"/>
      <c r="C145" s="16"/>
    </row>
    <row r="146" spans="2:3" ht="16.5" hidden="1" customHeight="1" x14ac:dyDescent="0.3">
      <c r="B146" s="16"/>
      <c r="C146" s="16"/>
    </row>
    <row r="147" spans="2:3" ht="16.5" hidden="1" customHeight="1" x14ac:dyDescent="0.3">
      <c r="B147" s="16"/>
      <c r="C147" s="16"/>
    </row>
    <row r="148" spans="2:3" ht="16.5" hidden="1" customHeight="1" x14ac:dyDescent="0.3">
      <c r="B148" s="16"/>
      <c r="C148" s="16"/>
    </row>
    <row r="149" spans="2:3" ht="16.5" hidden="1" customHeight="1" x14ac:dyDescent="0.3">
      <c r="B149" s="16"/>
      <c r="C149" s="16"/>
    </row>
    <row r="150" spans="2:3" ht="16.5" hidden="1" customHeight="1" x14ac:dyDescent="0.3">
      <c r="B150" s="16"/>
      <c r="C150" s="16"/>
    </row>
    <row r="151" spans="2:3" ht="16.5" hidden="1" customHeight="1" x14ac:dyDescent="0.3">
      <c r="B151" s="16"/>
      <c r="C151" s="16"/>
    </row>
    <row r="152" spans="2:3" ht="16.5" hidden="1" customHeight="1" x14ac:dyDescent="0.3">
      <c r="B152" s="16"/>
      <c r="C152" s="16"/>
    </row>
    <row r="153" spans="2:3" ht="16.5" hidden="1" customHeight="1" x14ac:dyDescent="0.3">
      <c r="B153" s="16"/>
      <c r="C153" s="16"/>
    </row>
    <row r="154" spans="2:3" ht="16.5" hidden="1" customHeight="1" x14ac:dyDescent="0.3">
      <c r="B154" s="16"/>
      <c r="C154" s="16"/>
    </row>
    <row r="155" spans="2:3" ht="16.5" hidden="1" customHeight="1" x14ac:dyDescent="0.3">
      <c r="B155" s="16"/>
      <c r="C155" s="16"/>
    </row>
    <row r="156" spans="2:3" ht="16.5" hidden="1" customHeight="1" x14ac:dyDescent="0.3">
      <c r="B156" s="16"/>
      <c r="C156" s="16"/>
    </row>
    <row r="157" spans="2:3" ht="16.5" hidden="1" customHeight="1" x14ac:dyDescent="0.3">
      <c r="B157" s="16"/>
      <c r="C157" s="16"/>
    </row>
    <row r="158" spans="2:3" ht="16.5" hidden="1" customHeight="1" x14ac:dyDescent="0.3">
      <c r="B158" s="16"/>
      <c r="C158" s="16"/>
    </row>
    <row r="159" spans="2:3" ht="16.5" hidden="1" customHeight="1" x14ac:dyDescent="0.3">
      <c r="B159" s="16"/>
      <c r="C159" s="16"/>
    </row>
    <row r="160" spans="2:3" ht="16.5" hidden="1" customHeight="1" x14ac:dyDescent="0.3">
      <c r="B160" s="16"/>
      <c r="C160" s="16"/>
    </row>
    <row r="161" spans="2:3" ht="16.5" hidden="1" customHeight="1" x14ac:dyDescent="0.3">
      <c r="B161" s="16"/>
      <c r="C161" s="16"/>
    </row>
    <row r="162" spans="2:3" ht="16.5" hidden="1" customHeight="1" x14ac:dyDescent="0.3">
      <c r="B162" s="16"/>
      <c r="C162" s="16"/>
    </row>
    <row r="163" spans="2:3" ht="16.5" hidden="1" customHeight="1" x14ac:dyDescent="0.3">
      <c r="B163" s="16"/>
      <c r="C163" s="16"/>
    </row>
    <row r="164" spans="2:3" ht="16.5" hidden="1" customHeight="1" x14ac:dyDescent="0.3">
      <c r="B164" s="16"/>
      <c r="C164" s="16"/>
    </row>
    <row r="165" spans="2:3" ht="16.5" hidden="1" customHeight="1" x14ac:dyDescent="0.3">
      <c r="B165" s="16"/>
      <c r="C165" s="16"/>
    </row>
    <row r="166" spans="2:3" ht="16.5" hidden="1" customHeight="1" x14ac:dyDescent="0.3">
      <c r="B166" s="16"/>
      <c r="C166" s="16"/>
    </row>
    <row r="167" spans="2:3" ht="16.5" hidden="1" customHeight="1" x14ac:dyDescent="0.3">
      <c r="B167" s="16"/>
      <c r="C167" s="16"/>
    </row>
    <row r="168" spans="2:3" ht="16.5" hidden="1" customHeight="1" x14ac:dyDescent="0.3">
      <c r="B168" s="16"/>
      <c r="C168" s="16"/>
    </row>
    <row r="169" spans="2:3" ht="16.5" hidden="1" customHeight="1" x14ac:dyDescent="0.3">
      <c r="B169" s="16"/>
      <c r="C169" s="16"/>
    </row>
    <row r="170" spans="2:3" ht="16.5" hidden="1" customHeight="1" x14ac:dyDescent="0.3">
      <c r="B170" s="16"/>
      <c r="C170" s="16"/>
    </row>
    <row r="171" spans="2:3" ht="16.5" hidden="1" customHeight="1" x14ac:dyDescent="0.3">
      <c r="B171" s="16"/>
      <c r="C171" s="16"/>
    </row>
    <row r="172" spans="2:3" ht="16.5" hidden="1" customHeight="1" x14ac:dyDescent="0.3">
      <c r="B172" s="16"/>
      <c r="C172" s="16"/>
    </row>
    <row r="173" spans="2:3" ht="16.5" hidden="1" customHeight="1" x14ac:dyDescent="0.3">
      <c r="B173" s="16"/>
      <c r="C173" s="16"/>
    </row>
    <row r="174" spans="2:3" ht="16.5" hidden="1" customHeight="1" x14ac:dyDescent="0.3">
      <c r="B174" s="16"/>
      <c r="C174" s="16"/>
    </row>
    <row r="175" spans="2:3" ht="16.5" hidden="1" customHeight="1" x14ac:dyDescent="0.3">
      <c r="B175" s="16"/>
      <c r="C175" s="16"/>
    </row>
    <row r="176" spans="2:3" ht="16.5" hidden="1" customHeight="1" x14ac:dyDescent="0.3">
      <c r="B176" s="16"/>
      <c r="C176" s="16"/>
    </row>
    <row r="177" spans="2:3" ht="16.5" hidden="1" customHeight="1" x14ac:dyDescent="0.3">
      <c r="B177" s="16"/>
      <c r="C177" s="16"/>
    </row>
    <row r="178" spans="2:3" ht="16.5" hidden="1" customHeight="1" x14ac:dyDescent="0.3">
      <c r="B178" s="16"/>
      <c r="C178" s="16"/>
    </row>
    <row r="179" spans="2:3" ht="16.5" hidden="1" customHeight="1" x14ac:dyDescent="0.3">
      <c r="B179" s="16"/>
      <c r="C179" s="16"/>
    </row>
    <row r="180" spans="2:3" ht="16.5" hidden="1" customHeight="1" x14ac:dyDescent="0.3">
      <c r="B180" s="16"/>
      <c r="C180" s="16"/>
    </row>
    <row r="181" spans="2:3" ht="16.5" hidden="1" customHeight="1" x14ac:dyDescent="0.3">
      <c r="B181" s="16"/>
      <c r="C181" s="16"/>
    </row>
    <row r="182" spans="2:3" ht="16.5" hidden="1" customHeight="1" x14ac:dyDescent="0.3">
      <c r="B182" s="16"/>
      <c r="C182" s="16"/>
    </row>
    <row r="183" spans="2:3" ht="16.5" hidden="1" customHeight="1" x14ac:dyDescent="0.3">
      <c r="B183" s="16"/>
      <c r="C183" s="16"/>
    </row>
    <row r="184" spans="2:3" ht="16.5" hidden="1" customHeight="1" x14ac:dyDescent="0.3">
      <c r="B184" s="16"/>
      <c r="C184" s="16"/>
    </row>
    <row r="185" spans="2:3" ht="16.5" hidden="1" customHeight="1" x14ac:dyDescent="0.3">
      <c r="B185" s="16"/>
      <c r="C185" s="16"/>
    </row>
    <row r="186" spans="2:3" ht="16.5" hidden="1" customHeight="1" x14ac:dyDescent="0.3">
      <c r="B186" s="16"/>
      <c r="C186" s="16"/>
    </row>
    <row r="187" spans="2:3" ht="16.5" hidden="1" customHeight="1" x14ac:dyDescent="0.3">
      <c r="B187" s="16"/>
      <c r="C187" s="16"/>
    </row>
    <row r="188" spans="2:3" ht="16.5" hidden="1" customHeight="1" x14ac:dyDescent="0.3">
      <c r="B188" s="16"/>
      <c r="C188" s="16"/>
    </row>
    <row r="189" spans="2:3" ht="16.5" hidden="1" customHeight="1" x14ac:dyDescent="0.3">
      <c r="B189" s="16"/>
      <c r="C189" s="16"/>
    </row>
    <row r="190" spans="2:3" ht="16.5" hidden="1" customHeight="1" x14ac:dyDescent="0.3">
      <c r="B190" s="16"/>
      <c r="C190" s="16"/>
    </row>
    <row r="191" spans="2:3" ht="16.5" hidden="1" customHeight="1" x14ac:dyDescent="0.3">
      <c r="B191" s="16"/>
      <c r="C191" s="16"/>
    </row>
    <row r="192" spans="2:3" ht="16.5" hidden="1" customHeight="1" x14ac:dyDescent="0.3">
      <c r="B192" s="16"/>
      <c r="C192" s="16"/>
    </row>
    <row r="193" spans="2:3" ht="16.5" hidden="1" customHeight="1" x14ac:dyDescent="0.3">
      <c r="B193" s="16"/>
      <c r="C193" s="16"/>
    </row>
    <row r="194" spans="2:3" ht="16.5" hidden="1" customHeight="1" x14ac:dyDescent="0.3">
      <c r="B194" s="16"/>
      <c r="C194" s="16"/>
    </row>
    <row r="195" spans="2:3" ht="16.5" hidden="1" customHeight="1" x14ac:dyDescent="0.3">
      <c r="B195" s="16"/>
      <c r="C195" s="16"/>
    </row>
    <row r="196" spans="2:3" ht="16.5" hidden="1" customHeight="1" x14ac:dyDescent="0.3">
      <c r="B196" s="16"/>
      <c r="C196" s="16"/>
    </row>
    <row r="197" spans="2:3" ht="16.5" hidden="1" customHeight="1" x14ac:dyDescent="0.3">
      <c r="B197" s="16"/>
      <c r="C197" s="16"/>
    </row>
    <row r="198" spans="2:3" ht="16.5" hidden="1" customHeight="1" x14ac:dyDescent="0.3">
      <c r="B198" s="16"/>
      <c r="C198" s="16"/>
    </row>
    <row r="199" spans="2:3" ht="16.5" hidden="1" customHeight="1" x14ac:dyDescent="0.3">
      <c r="B199" s="16"/>
      <c r="C199" s="16"/>
    </row>
    <row r="200" spans="2:3" ht="16.5" hidden="1" customHeight="1" x14ac:dyDescent="0.3">
      <c r="B200" s="16"/>
      <c r="C200" s="16"/>
    </row>
    <row r="201" spans="2:3" ht="16.5" hidden="1" customHeight="1" x14ac:dyDescent="0.3">
      <c r="B201" s="16"/>
      <c r="C201" s="16"/>
    </row>
    <row r="202" spans="2:3" ht="16.5" hidden="1" customHeight="1" x14ac:dyDescent="0.3">
      <c r="B202" s="16"/>
      <c r="C202" s="16"/>
    </row>
    <row r="203" spans="2:3" ht="16.5" hidden="1" customHeight="1" x14ac:dyDescent="0.3">
      <c r="B203" s="16"/>
      <c r="C203" s="16"/>
    </row>
    <row r="204" spans="2:3" ht="16.5" hidden="1" customHeight="1" x14ac:dyDescent="0.3">
      <c r="B204" s="16"/>
      <c r="C204" s="16"/>
    </row>
    <row r="205" spans="2:3" ht="16.5" hidden="1" customHeight="1" x14ac:dyDescent="0.3">
      <c r="B205" s="16"/>
      <c r="C205" s="16"/>
    </row>
    <row r="206" spans="2:3" ht="16.5" hidden="1" customHeight="1" x14ac:dyDescent="0.3">
      <c r="B206" s="16"/>
      <c r="C206" s="16"/>
    </row>
    <row r="207" spans="2:3" ht="16.5" hidden="1" customHeight="1" x14ac:dyDescent="0.3">
      <c r="B207" s="16"/>
      <c r="C207" s="16"/>
    </row>
    <row r="208" spans="2:3" ht="16.5" hidden="1" customHeight="1" x14ac:dyDescent="0.3">
      <c r="B208" s="16"/>
      <c r="C208" s="16"/>
    </row>
    <row r="209" spans="2:3" ht="16.5" hidden="1" customHeight="1" x14ac:dyDescent="0.3">
      <c r="B209" s="16"/>
      <c r="C209" s="16"/>
    </row>
    <row r="210" spans="2:3" ht="16.5" hidden="1" customHeight="1" x14ac:dyDescent="0.3">
      <c r="B210" s="16"/>
      <c r="C210" s="16"/>
    </row>
    <row r="211" spans="2:3" ht="16.5" hidden="1" customHeight="1" x14ac:dyDescent="0.3">
      <c r="B211" s="16"/>
      <c r="C211" s="16"/>
    </row>
    <row r="212" spans="2:3" ht="16.5" hidden="1" customHeight="1" x14ac:dyDescent="0.3">
      <c r="B212" s="16"/>
      <c r="C212" s="16"/>
    </row>
    <row r="213" spans="2:3" ht="16.5" hidden="1" customHeight="1" x14ac:dyDescent="0.3">
      <c r="B213" s="16"/>
      <c r="C213" s="16"/>
    </row>
    <row r="214" spans="2:3" ht="16.5" hidden="1" customHeight="1" x14ac:dyDescent="0.3">
      <c r="B214" s="16"/>
      <c r="C214" s="16"/>
    </row>
    <row r="215" spans="2:3" ht="16.5" hidden="1" customHeight="1" x14ac:dyDescent="0.3">
      <c r="B215" s="16"/>
      <c r="C215" s="16"/>
    </row>
    <row r="216" spans="2:3" ht="16.5" hidden="1" customHeight="1" x14ac:dyDescent="0.3">
      <c r="B216" s="16"/>
      <c r="C216" s="16"/>
    </row>
    <row r="217" spans="2:3" ht="16.5" hidden="1" customHeight="1" x14ac:dyDescent="0.3">
      <c r="B217" s="16"/>
      <c r="C217" s="16"/>
    </row>
    <row r="218" spans="2:3" ht="16.5" hidden="1" customHeight="1" x14ac:dyDescent="0.3">
      <c r="B218" s="16"/>
      <c r="C218" s="16"/>
    </row>
    <row r="219" spans="2:3" ht="16.5" hidden="1" customHeight="1" x14ac:dyDescent="0.3">
      <c r="B219" s="16"/>
      <c r="C219" s="16"/>
    </row>
    <row r="220" spans="2:3" ht="16.5" hidden="1" customHeight="1" x14ac:dyDescent="0.3">
      <c r="B220" s="16"/>
      <c r="C220" s="16"/>
    </row>
    <row r="221" spans="2:3" ht="16.5" hidden="1" customHeight="1" x14ac:dyDescent="0.3">
      <c r="B221" s="16"/>
      <c r="C221" s="16"/>
    </row>
    <row r="222" spans="2:3" ht="16.5" hidden="1" customHeight="1" x14ac:dyDescent="0.3">
      <c r="B222" s="16"/>
      <c r="C222" s="16"/>
    </row>
    <row r="223" spans="2:3" ht="16.5" hidden="1" customHeight="1" x14ac:dyDescent="0.3">
      <c r="B223" s="16"/>
      <c r="C223" s="16"/>
    </row>
    <row r="224" spans="2:3" ht="16.5" hidden="1" customHeight="1" x14ac:dyDescent="0.3">
      <c r="B224" s="16"/>
      <c r="C224" s="16"/>
    </row>
    <row r="225" spans="2:3" ht="16.5" hidden="1" customHeight="1" x14ac:dyDescent="0.3">
      <c r="B225" s="16"/>
      <c r="C225" s="16"/>
    </row>
    <row r="226" spans="2:3" ht="16.5" hidden="1" customHeight="1" x14ac:dyDescent="0.3">
      <c r="B226" s="16"/>
      <c r="C226" s="16"/>
    </row>
    <row r="227" spans="2:3" ht="16.5" hidden="1" customHeight="1" x14ac:dyDescent="0.3">
      <c r="B227" s="16"/>
      <c r="C227" s="16"/>
    </row>
    <row r="228" spans="2:3" ht="16.5" hidden="1" customHeight="1" x14ac:dyDescent="0.3">
      <c r="B228" s="16"/>
      <c r="C228" s="16"/>
    </row>
    <row r="229" spans="2:3" ht="16.5" hidden="1" customHeight="1" x14ac:dyDescent="0.3">
      <c r="B229" s="16"/>
      <c r="C229" s="16"/>
    </row>
    <row r="230" spans="2:3" ht="16.5" hidden="1" customHeight="1" x14ac:dyDescent="0.3">
      <c r="B230" s="16"/>
      <c r="C230" s="16"/>
    </row>
    <row r="231" spans="2:3" ht="16.5" hidden="1" customHeight="1" x14ac:dyDescent="0.3">
      <c r="B231" s="16"/>
      <c r="C231" s="16"/>
    </row>
    <row r="232" spans="2:3" ht="16.5" hidden="1" customHeight="1" x14ac:dyDescent="0.3">
      <c r="B232" s="16"/>
      <c r="C232" s="16"/>
    </row>
    <row r="233" spans="2:3" ht="16.5" hidden="1" customHeight="1" x14ac:dyDescent="0.3">
      <c r="B233" s="16"/>
      <c r="C233" s="16"/>
    </row>
    <row r="234" spans="2:3" ht="16.5" hidden="1" customHeight="1" x14ac:dyDescent="0.3">
      <c r="B234" s="16"/>
      <c r="C234" s="16"/>
    </row>
    <row r="235" spans="2:3" ht="16.5" hidden="1" customHeight="1" x14ac:dyDescent="0.3">
      <c r="B235" s="16"/>
      <c r="C235" s="16"/>
    </row>
    <row r="236" spans="2:3" ht="16.5" hidden="1" customHeight="1" x14ac:dyDescent="0.3">
      <c r="B236" s="16"/>
      <c r="C236" s="16"/>
    </row>
    <row r="237" spans="2:3" ht="16.5" hidden="1" customHeight="1" x14ac:dyDescent="0.3">
      <c r="B237" s="16"/>
      <c r="C237" s="16"/>
    </row>
    <row r="238" spans="2:3" ht="16.5" hidden="1" customHeight="1" x14ac:dyDescent="0.3">
      <c r="B238" s="16"/>
      <c r="C238" s="16"/>
    </row>
    <row r="239" spans="2:3" ht="16.5" hidden="1" customHeight="1" x14ac:dyDescent="0.3">
      <c r="B239" s="16"/>
      <c r="C239" s="16"/>
    </row>
    <row r="240" spans="2:3" ht="16.5" hidden="1" customHeight="1" x14ac:dyDescent="0.3">
      <c r="B240" s="16"/>
      <c r="C240" s="16"/>
    </row>
    <row r="241" spans="2:3" ht="16.5" hidden="1" customHeight="1" x14ac:dyDescent="0.3">
      <c r="B241" s="16"/>
      <c r="C241" s="16"/>
    </row>
    <row r="242" spans="2:3" ht="16.5" hidden="1" customHeight="1" x14ac:dyDescent="0.3">
      <c r="B242" s="16"/>
      <c r="C242" s="16"/>
    </row>
    <row r="243" spans="2:3" ht="16.5" hidden="1" customHeight="1" x14ac:dyDescent="0.3">
      <c r="B243" s="16"/>
      <c r="C243" s="16"/>
    </row>
    <row r="244" spans="2:3" ht="16.5" hidden="1" customHeight="1" x14ac:dyDescent="0.3">
      <c r="B244" s="16"/>
      <c r="C244" s="16"/>
    </row>
    <row r="245" spans="2:3" ht="16.5" hidden="1" customHeight="1" x14ac:dyDescent="0.3">
      <c r="B245" s="16"/>
      <c r="C245" s="16"/>
    </row>
    <row r="246" spans="2:3" ht="16.5" hidden="1" customHeight="1" x14ac:dyDescent="0.3">
      <c r="B246" s="16"/>
      <c r="C246" s="16"/>
    </row>
    <row r="247" spans="2:3" ht="16.5" hidden="1" customHeight="1" x14ac:dyDescent="0.3">
      <c r="B247" s="16"/>
      <c r="C247" s="16"/>
    </row>
    <row r="248" spans="2:3" ht="16.5" hidden="1" customHeight="1" x14ac:dyDescent="0.3">
      <c r="B248" s="16"/>
      <c r="C248" s="16"/>
    </row>
    <row r="249" spans="2:3" ht="16.5" hidden="1" customHeight="1" x14ac:dyDescent="0.3">
      <c r="B249" s="16"/>
      <c r="C249" s="16"/>
    </row>
    <row r="250" spans="2:3" ht="16.5" hidden="1" customHeight="1" x14ac:dyDescent="0.3">
      <c r="B250" s="16"/>
      <c r="C250" s="16"/>
    </row>
    <row r="251" spans="2:3" ht="16.5" hidden="1" customHeight="1" x14ac:dyDescent="0.3">
      <c r="B251" s="16"/>
      <c r="C251" s="16"/>
    </row>
    <row r="252" spans="2:3" ht="16.5" hidden="1" customHeight="1" x14ac:dyDescent="0.3">
      <c r="B252" s="16"/>
      <c r="C252" s="16"/>
    </row>
    <row r="253" spans="2:3" ht="16.5" hidden="1" customHeight="1" x14ac:dyDescent="0.3">
      <c r="B253" s="16"/>
      <c r="C253" s="16"/>
    </row>
    <row r="254" spans="2:3" ht="16.5" hidden="1" customHeight="1" x14ac:dyDescent="0.3">
      <c r="B254" s="16"/>
      <c r="C254" s="16"/>
    </row>
    <row r="255" spans="2:3" ht="16.5" hidden="1" customHeight="1" x14ac:dyDescent="0.3">
      <c r="B255" s="16"/>
      <c r="C255" s="16"/>
    </row>
    <row r="256" spans="2:3" ht="16.5" hidden="1" customHeight="1" x14ac:dyDescent="0.3">
      <c r="B256" s="16"/>
      <c r="C256" s="16"/>
    </row>
    <row r="257" spans="2:3" ht="16.5" hidden="1" customHeight="1" x14ac:dyDescent="0.3">
      <c r="B257" s="16"/>
      <c r="C257" s="16"/>
    </row>
    <row r="258" spans="2:3" ht="16.5" hidden="1" customHeight="1" x14ac:dyDescent="0.3">
      <c r="B258" s="16"/>
      <c r="C258" s="16"/>
    </row>
    <row r="259" spans="2:3" ht="16.5" hidden="1" customHeight="1" x14ac:dyDescent="0.3">
      <c r="B259" s="16"/>
      <c r="C259" s="16"/>
    </row>
    <row r="260" spans="2:3" ht="16.5" hidden="1" customHeight="1" x14ac:dyDescent="0.3">
      <c r="B260" s="16"/>
      <c r="C260" s="16"/>
    </row>
    <row r="261" spans="2:3" ht="16.5" hidden="1" customHeight="1" x14ac:dyDescent="0.3">
      <c r="B261" s="16"/>
      <c r="C261" s="16"/>
    </row>
    <row r="262" spans="2:3" ht="16.5" hidden="1" customHeight="1" x14ac:dyDescent="0.3">
      <c r="B262" s="16"/>
      <c r="C262" s="16"/>
    </row>
    <row r="263" spans="2:3" ht="16.5" hidden="1" customHeight="1" x14ac:dyDescent="0.3">
      <c r="B263" s="16"/>
      <c r="C263" s="16"/>
    </row>
    <row r="264" spans="2:3" ht="16.5" hidden="1" customHeight="1" x14ac:dyDescent="0.3">
      <c r="B264" s="16"/>
      <c r="C264" s="16"/>
    </row>
    <row r="265" spans="2:3" ht="16.5" hidden="1" customHeight="1" x14ac:dyDescent="0.3">
      <c r="B265" s="16"/>
      <c r="C265" s="16"/>
    </row>
    <row r="266" spans="2:3" ht="16.5" hidden="1" customHeight="1" x14ac:dyDescent="0.3">
      <c r="B266" s="16"/>
      <c r="C266" s="16"/>
    </row>
    <row r="267" spans="2:3" ht="16.5" hidden="1" customHeight="1" x14ac:dyDescent="0.3">
      <c r="B267" s="16"/>
      <c r="C267" s="16"/>
    </row>
    <row r="268" spans="2:3" ht="16.5" hidden="1" customHeight="1" x14ac:dyDescent="0.3">
      <c r="B268" s="16"/>
      <c r="C268" s="16"/>
    </row>
    <row r="269" spans="2:3" ht="16.5" hidden="1" customHeight="1" x14ac:dyDescent="0.3">
      <c r="B269" s="16"/>
      <c r="C269" s="16"/>
    </row>
    <row r="270" spans="2:3" ht="16.5" hidden="1" customHeight="1" x14ac:dyDescent="0.3">
      <c r="B270" s="16"/>
      <c r="C270" s="16"/>
    </row>
    <row r="271" spans="2:3" ht="16.5" hidden="1" customHeight="1" x14ac:dyDescent="0.3">
      <c r="B271" s="16"/>
      <c r="C271" s="16"/>
    </row>
    <row r="272" spans="2:3" ht="16.5" hidden="1" customHeight="1" x14ac:dyDescent="0.3">
      <c r="B272" s="16"/>
      <c r="C272" s="16"/>
    </row>
    <row r="273" spans="2:3" ht="16.5" hidden="1" customHeight="1" x14ac:dyDescent="0.3">
      <c r="B273" s="16"/>
      <c r="C273" s="16"/>
    </row>
    <row r="274" spans="2:3" ht="16.5" hidden="1" customHeight="1" x14ac:dyDescent="0.3">
      <c r="B274" s="16"/>
      <c r="C274" s="16"/>
    </row>
    <row r="275" spans="2:3" ht="16.5" hidden="1" customHeight="1" x14ac:dyDescent="0.3">
      <c r="B275" s="16"/>
      <c r="C275" s="16"/>
    </row>
    <row r="276" spans="2:3" ht="16.5" hidden="1" customHeight="1" x14ac:dyDescent="0.3">
      <c r="B276" s="16"/>
      <c r="C276" s="16"/>
    </row>
    <row r="277" spans="2:3" ht="16.5" hidden="1" customHeight="1" x14ac:dyDescent="0.3">
      <c r="B277" s="16"/>
      <c r="C277" s="16"/>
    </row>
    <row r="278" spans="2:3" ht="16.5" hidden="1" customHeight="1" x14ac:dyDescent="0.3">
      <c r="B278" s="16"/>
      <c r="C278" s="16"/>
    </row>
    <row r="279" spans="2:3" ht="16.5" hidden="1" customHeight="1" x14ac:dyDescent="0.3">
      <c r="B279" s="16"/>
      <c r="C279" s="16"/>
    </row>
    <row r="280" spans="2:3" ht="16.5" hidden="1" customHeight="1" x14ac:dyDescent="0.3">
      <c r="B280" s="16"/>
      <c r="C280" s="16"/>
    </row>
    <row r="281" spans="2:3" ht="16.5" hidden="1" customHeight="1" x14ac:dyDescent="0.3">
      <c r="B281" s="16"/>
      <c r="C281" s="16"/>
    </row>
    <row r="282" spans="2:3" ht="16.5" hidden="1" customHeight="1" x14ac:dyDescent="0.3">
      <c r="B282" s="16"/>
      <c r="C282" s="16"/>
    </row>
    <row r="283" spans="2:3" ht="16.5" hidden="1" customHeight="1" x14ac:dyDescent="0.3">
      <c r="B283" s="16"/>
      <c r="C283" s="16"/>
    </row>
    <row r="284" spans="2:3" ht="16.5" hidden="1" customHeight="1" x14ac:dyDescent="0.3">
      <c r="B284" s="16"/>
      <c r="C284" s="16"/>
    </row>
    <row r="285" spans="2:3" ht="16.5" hidden="1" customHeight="1" x14ac:dyDescent="0.3">
      <c r="B285" s="16"/>
      <c r="C285" s="16"/>
    </row>
    <row r="286" spans="2:3" ht="16.5" hidden="1" customHeight="1" x14ac:dyDescent="0.3">
      <c r="B286" s="16"/>
      <c r="C286" s="16"/>
    </row>
    <row r="287" spans="2:3" ht="16.5" hidden="1" customHeight="1" x14ac:dyDescent="0.3">
      <c r="B287" s="16"/>
      <c r="C287" s="16"/>
    </row>
    <row r="288" spans="2:3" ht="16.5" hidden="1" customHeight="1" x14ac:dyDescent="0.3">
      <c r="B288" s="16"/>
      <c r="C288" s="16"/>
    </row>
    <row r="289" spans="2:3" ht="16.5" hidden="1" customHeight="1" x14ac:dyDescent="0.3">
      <c r="B289" s="16"/>
      <c r="C289" s="16"/>
    </row>
    <row r="290" spans="2:3" ht="16.5" hidden="1" customHeight="1" x14ac:dyDescent="0.3">
      <c r="B290" s="16"/>
      <c r="C290" s="16"/>
    </row>
    <row r="291" spans="2:3" ht="16.5" hidden="1" customHeight="1" x14ac:dyDescent="0.3">
      <c r="B291" s="16"/>
      <c r="C291" s="16"/>
    </row>
    <row r="292" spans="2:3" ht="16.5" hidden="1" customHeight="1" x14ac:dyDescent="0.3">
      <c r="B292" s="16"/>
      <c r="C292" s="16"/>
    </row>
    <row r="293" spans="2:3" ht="16.5" hidden="1" customHeight="1" x14ac:dyDescent="0.3">
      <c r="B293" s="16"/>
      <c r="C293" s="16"/>
    </row>
    <row r="294" spans="2:3" ht="16.5" hidden="1" customHeight="1" x14ac:dyDescent="0.3">
      <c r="B294" s="16"/>
      <c r="C294" s="16"/>
    </row>
    <row r="295" spans="2:3" ht="16.5" hidden="1" customHeight="1" x14ac:dyDescent="0.3">
      <c r="B295" s="16"/>
      <c r="C295" s="16"/>
    </row>
    <row r="296" spans="2:3" ht="16.5" hidden="1" customHeight="1" x14ac:dyDescent="0.3">
      <c r="B296" s="16"/>
      <c r="C296" s="16"/>
    </row>
    <row r="297" spans="2:3" ht="16.5" hidden="1" customHeight="1" x14ac:dyDescent="0.3">
      <c r="B297" s="16"/>
      <c r="C297" s="16"/>
    </row>
    <row r="298" spans="2:3" ht="16.5" hidden="1" customHeight="1" x14ac:dyDescent="0.3">
      <c r="B298" s="16"/>
      <c r="C298" s="16"/>
    </row>
    <row r="299" spans="2:3" ht="16.5" hidden="1" customHeight="1" x14ac:dyDescent="0.3">
      <c r="B299" s="16"/>
      <c r="C299" s="16"/>
    </row>
    <row r="300" spans="2:3" ht="16.5" hidden="1" customHeight="1" x14ac:dyDescent="0.3">
      <c r="B300" s="16"/>
      <c r="C300" s="16"/>
    </row>
    <row r="301" spans="2:3" ht="16.5" hidden="1" customHeight="1" x14ac:dyDescent="0.3">
      <c r="B301" s="16"/>
      <c r="C301" s="16"/>
    </row>
    <row r="302" spans="2:3" ht="16.5" hidden="1" customHeight="1" x14ac:dyDescent="0.3">
      <c r="B302" s="16"/>
      <c r="C302" s="16"/>
    </row>
    <row r="303" spans="2:3" ht="16.5" hidden="1" customHeight="1" x14ac:dyDescent="0.3">
      <c r="B303" s="16"/>
      <c r="C303" s="16"/>
    </row>
    <row r="304" spans="2:3" ht="16.5" hidden="1" customHeight="1" x14ac:dyDescent="0.3">
      <c r="B304" s="16"/>
      <c r="C304" s="16"/>
    </row>
    <row r="305" spans="2:3" ht="16.5" hidden="1" customHeight="1" x14ac:dyDescent="0.3">
      <c r="B305" s="16"/>
      <c r="C305" s="16"/>
    </row>
    <row r="306" spans="2:3" ht="16.5" hidden="1" customHeight="1" x14ac:dyDescent="0.3">
      <c r="B306" s="16"/>
      <c r="C306" s="16"/>
    </row>
    <row r="307" spans="2:3" ht="16.5" hidden="1" customHeight="1" x14ac:dyDescent="0.3">
      <c r="B307" s="16"/>
      <c r="C307" s="16"/>
    </row>
    <row r="308" spans="2:3" ht="16.5" hidden="1" customHeight="1" x14ac:dyDescent="0.3">
      <c r="B308" s="16"/>
      <c r="C308" s="16"/>
    </row>
    <row r="309" spans="2:3" ht="16.5" hidden="1" customHeight="1" x14ac:dyDescent="0.3">
      <c r="B309" s="16"/>
      <c r="C309" s="16"/>
    </row>
    <row r="310" spans="2:3" ht="16.5" hidden="1" customHeight="1" x14ac:dyDescent="0.3">
      <c r="B310" s="16"/>
      <c r="C310" s="16"/>
    </row>
    <row r="311" spans="2:3" ht="16.5" hidden="1" customHeight="1" x14ac:dyDescent="0.3">
      <c r="B311" s="16"/>
      <c r="C311" s="16"/>
    </row>
    <row r="312" spans="2:3" ht="16.5" hidden="1" customHeight="1" x14ac:dyDescent="0.3">
      <c r="B312" s="16"/>
      <c r="C312" s="16"/>
    </row>
    <row r="313" spans="2:3" ht="16.5" hidden="1" customHeight="1" x14ac:dyDescent="0.3">
      <c r="B313" s="16"/>
      <c r="C313" s="16"/>
    </row>
    <row r="314" spans="2:3" ht="16.5" hidden="1" customHeight="1" x14ac:dyDescent="0.3">
      <c r="B314" s="16"/>
      <c r="C314" s="16"/>
    </row>
    <row r="315" spans="2:3" ht="16.5" hidden="1" customHeight="1" x14ac:dyDescent="0.3">
      <c r="B315" s="16"/>
      <c r="C315" s="16"/>
    </row>
    <row r="316" spans="2:3" ht="16.5" hidden="1" customHeight="1" x14ac:dyDescent="0.3">
      <c r="B316" s="16"/>
      <c r="C316" s="16"/>
    </row>
    <row r="317" spans="2:3" ht="16.5" hidden="1" customHeight="1" x14ac:dyDescent="0.3">
      <c r="B317" s="16"/>
      <c r="C317" s="16"/>
    </row>
    <row r="318" spans="2:3" ht="16.5" hidden="1" customHeight="1" x14ac:dyDescent="0.3">
      <c r="B318" s="16"/>
      <c r="C318" s="16"/>
    </row>
    <row r="319" spans="2:3" ht="16.5" hidden="1" customHeight="1" x14ac:dyDescent="0.3">
      <c r="B319" s="16"/>
      <c r="C319" s="16"/>
    </row>
    <row r="320" spans="2:3" ht="16.5" hidden="1" customHeight="1" x14ac:dyDescent="0.3">
      <c r="B320" s="16"/>
      <c r="C320" s="16"/>
    </row>
    <row r="321" spans="2:3" ht="16.5" hidden="1" customHeight="1" x14ac:dyDescent="0.3">
      <c r="B321" s="16"/>
      <c r="C321" s="16"/>
    </row>
    <row r="322" spans="2:3" ht="16.5" hidden="1" customHeight="1" x14ac:dyDescent="0.3">
      <c r="B322" s="16"/>
      <c r="C322" s="16"/>
    </row>
    <row r="323" spans="2:3" ht="16.5" hidden="1" customHeight="1" x14ac:dyDescent="0.3">
      <c r="B323" s="16"/>
      <c r="C323" s="16"/>
    </row>
    <row r="324" spans="2:3" ht="16.5" hidden="1" customHeight="1" x14ac:dyDescent="0.3">
      <c r="B324" s="16"/>
      <c r="C324" s="16"/>
    </row>
    <row r="325" spans="2:3" ht="16.5" hidden="1" customHeight="1" x14ac:dyDescent="0.3">
      <c r="B325" s="16"/>
      <c r="C325" s="16"/>
    </row>
    <row r="326" spans="2:3" ht="16.5" hidden="1" customHeight="1" x14ac:dyDescent="0.3">
      <c r="B326" s="16"/>
      <c r="C326" s="16"/>
    </row>
    <row r="327" spans="2:3" ht="16.5" hidden="1" customHeight="1" x14ac:dyDescent="0.3">
      <c r="B327" s="16"/>
      <c r="C327" s="16"/>
    </row>
    <row r="328" spans="2:3" ht="16.5" hidden="1" customHeight="1" x14ac:dyDescent="0.3">
      <c r="B328" s="16"/>
      <c r="C328" s="16"/>
    </row>
    <row r="329" spans="2:3" ht="16.5" hidden="1" customHeight="1" x14ac:dyDescent="0.3">
      <c r="B329" s="16"/>
      <c r="C329" s="16"/>
    </row>
    <row r="330" spans="2:3" ht="16.5" hidden="1" customHeight="1" x14ac:dyDescent="0.3">
      <c r="B330" s="16"/>
      <c r="C330" s="16"/>
    </row>
    <row r="331" spans="2:3" ht="16.5" hidden="1" customHeight="1" x14ac:dyDescent="0.3">
      <c r="B331" s="16"/>
      <c r="C331" s="16"/>
    </row>
    <row r="332" spans="2:3" ht="16.5" hidden="1" customHeight="1" x14ac:dyDescent="0.3">
      <c r="B332" s="16"/>
      <c r="C332" s="16"/>
    </row>
    <row r="333" spans="2:3" ht="16.5" hidden="1" customHeight="1" x14ac:dyDescent="0.3">
      <c r="B333" s="16"/>
      <c r="C333" s="16"/>
    </row>
    <row r="334" spans="2:3" ht="16.5" hidden="1" customHeight="1" x14ac:dyDescent="0.3">
      <c r="B334" s="16"/>
      <c r="C334" s="16"/>
    </row>
    <row r="335" spans="2:3" ht="16.5" hidden="1" customHeight="1" x14ac:dyDescent="0.3">
      <c r="B335" s="16"/>
      <c r="C335" s="16"/>
    </row>
    <row r="336" spans="2:3" ht="16.5" hidden="1" customHeight="1" x14ac:dyDescent="0.3">
      <c r="B336" s="16"/>
      <c r="C336" s="16"/>
    </row>
    <row r="337" spans="2:3" ht="16.5" hidden="1" customHeight="1" x14ac:dyDescent="0.3">
      <c r="B337" s="16"/>
      <c r="C337" s="16"/>
    </row>
    <row r="338" spans="2:3" ht="16.5" hidden="1" customHeight="1" x14ac:dyDescent="0.3">
      <c r="B338" s="16"/>
      <c r="C338" s="16"/>
    </row>
    <row r="339" spans="2:3" ht="16.5" hidden="1" customHeight="1" x14ac:dyDescent="0.3">
      <c r="B339" s="16"/>
      <c r="C339" s="16"/>
    </row>
    <row r="340" spans="2:3" ht="16.5" hidden="1" customHeight="1" x14ac:dyDescent="0.3">
      <c r="B340" s="16"/>
      <c r="C340" s="16"/>
    </row>
    <row r="341" spans="2:3" ht="16.5" hidden="1" customHeight="1" x14ac:dyDescent="0.3">
      <c r="B341" s="16"/>
      <c r="C341" s="16"/>
    </row>
    <row r="342" spans="2:3" ht="16.5" hidden="1" customHeight="1" x14ac:dyDescent="0.3">
      <c r="B342" s="16"/>
      <c r="C342" s="16"/>
    </row>
    <row r="343" spans="2:3" ht="16.5" hidden="1" customHeight="1" x14ac:dyDescent="0.3">
      <c r="B343" s="16"/>
      <c r="C343" s="16"/>
    </row>
    <row r="344" spans="2:3" ht="16.5" hidden="1" customHeight="1" x14ac:dyDescent="0.3">
      <c r="B344" s="16"/>
      <c r="C344" s="16"/>
    </row>
    <row r="345" spans="2:3" ht="16.5" hidden="1" customHeight="1" x14ac:dyDescent="0.3">
      <c r="B345" s="16"/>
      <c r="C345" s="16"/>
    </row>
    <row r="346" spans="2:3" ht="16.5" hidden="1" customHeight="1" x14ac:dyDescent="0.3">
      <c r="B346" s="16"/>
      <c r="C346" s="16"/>
    </row>
    <row r="347" spans="2:3" ht="16.5" hidden="1" customHeight="1" x14ac:dyDescent="0.3">
      <c r="B347" s="16"/>
      <c r="C347" s="16"/>
    </row>
    <row r="348" spans="2:3" ht="16.5" hidden="1" customHeight="1" x14ac:dyDescent="0.3">
      <c r="B348" s="16"/>
      <c r="C348" s="16"/>
    </row>
    <row r="349" spans="2:3" ht="16.5" hidden="1" customHeight="1" x14ac:dyDescent="0.3">
      <c r="B349" s="16"/>
      <c r="C349" s="16"/>
    </row>
    <row r="350" spans="2:3" ht="16.5" hidden="1" customHeight="1" x14ac:dyDescent="0.3">
      <c r="B350" s="16"/>
      <c r="C350" s="16"/>
    </row>
    <row r="351" spans="2:3" ht="16.5" hidden="1" customHeight="1" x14ac:dyDescent="0.3">
      <c r="B351" s="16"/>
      <c r="C351" s="16"/>
    </row>
    <row r="352" spans="2:3" ht="16.5" hidden="1" customHeight="1" x14ac:dyDescent="0.3">
      <c r="B352" s="16"/>
      <c r="C352" s="16"/>
    </row>
    <row r="353" spans="2:3" ht="16.5" hidden="1" customHeight="1" x14ac:dyDescent="0.3">
      <c r="B353" s="16"/>
      <c r="C353" s="16"/>
    </row>
    <row r="354" spans="2:3" ht="16.5" hidden="1" customHeight="1" x14ac:dyDescent="0.3">
      <c r="B354" s="16"/>
      <c r="C354" s="16"/>
    </row>
    <row r="355" spans="2:3" ht="16.5" hidden="1" customHeight="1" x14ac:dyDescent="0.3">
      <c r="B355" s="16"/>
      <c r="C355" s="16"/>
    </row>
    <row r="356" spans="2:3" ht="16.5" hidden="1" customHeight="1" x14ac:dyDescent="0.3">
      <c r="B356" s="16"/>
      <c r="C356" s="16"/>
    </row>
    <row r="357" spans="2:3" ht="16.5" hidden="1" customHeight="1" x14ac:dyDescent="0.3">
      <c r="B357" s="16"/>
      <c r="C357" s="16"/>
    </row>
    <row r="358" spans="2:3" ht="16.5" hidden="1" customHeight="1" x14ac:dyDescent="0.3">
      <c r="B358" s="16"/>
      <c r="C358" s="16"/>
    </row>
    <row r="359" spans="2:3" ht="16.5" hidden="1" customHeight="1" x14ac:dyDescent="0.3">
      <c r="B359" s="16"/>
      <c r="C359" s="16"/>
    </row>
    <row r="360" spans="2:3" ht="16.5" hidden="1" customHeight="1" x14ac:dyDescent="0.3">
      <c r="B360" s="16"/>
      <c r="C360" s="16"/>
    </row>
    <row r="361" spans="2:3" ht="16.5" hidden="1" customHeight="1" x14ac:dyDescent="0.3">
      <c r="B361" s="16"/>
      <c r="C361" s="16"/>
    </row>
    <row r="362" spans="2:3" ht="16.5" hidden="1" customHeight="1" x14ac:dyDescent="0.3">
      <c r="B362" s="16"/>
      <c r="C362" s="16"/>
    </row>
    <row r="363" spans="2:3" ht="16.5" hidden="1" customHeight="1" x14ac:dyDescent="0.3">
      <c r="B363" s="16"/>
      <c r="C363" s="16"/>
    </row>
    <row r="364" spans="2:3" ht="16.5" hidden="1" customHeight="1" x14ac:dyDescent="0.3">
      <c r="B364" s="16"/>
      <c r="C364" s="16"/>
    </row>
    <row r="365" spans="2:3" ht="16.5" hidden="1" customHeight="1" x14ac:dyDescent="0.3">
      <c r="B365" s="16"/>
      <c r="C365" s="16"/>
    </row>
    <row r="366" spans="2:3" ht="16.5" hidden="1" customHeight="1" x14ac:dyDescent="0.3">
      <c r="B366" s="16"/>
      <c r="C366" s="16"/>
    </row>
    <row r="367" spans="2:3" ht="16.5" hidden="1" customHeight="1" x14ac:dyDescent="0.3">
      <c r="B367" s="16"/>
      <c r="C367" s="16"/>
    </row>
    <row r="368" spans="2:3" ht="16.5" hidden="1" customHeight="1" x14ac:dyDescent="0.3">
      <c r="B368" s="16"/>
      <c r="C368" s="16"/>
    </row>
    <row r="369" spans="2:3" ht="16.5" hidden="1" customHeight="1" x14ac:dyDescent="0.3">
      <c r="B369" s="16"/>
      <c r="C369" s="16"/>
    </row>
    <row r="370" spans="2:3" ht="16.5" hidden="1" customHeight="1" x14ac:dyDescent="0.3">
      <c r="B370" s="16"/>
      <c r="C370" s="16"/>
    </row>
    <row r="371" spans="2:3" ht="16.5" hidden="1" customHeight="1" x14ac:dyDescent="0.3">
      <c r="B371" s="16"/>
      <c r="C371" s="16"/>
    </row>
    <row r="372" spans="2:3" ht="16.5" hidden="1" customHeight="1" x14ac:dyDescent="0.3">
      <c r="B372" s="16"/>
      <c r="C372" s="16"/>
    </row>
    <row r="373" spans="2:3" ht="16.5" hidden="1" customHeight="1" x14ac:dyDescent="0.3">
      <c r="B373" s="16"/>
      <c r="C373" s="16"/>
    </row>
    <row r="374" spans="2:3" ht="16.5" hidden="1" customHeight="1" x14ac:dyDescent="0.3">
      <c r="B374" s="16"/>
      <c r="C374" s="16"/>
    </row>
    <row r="375" spans="2:3" ht="16.5" hidden="1" customHeight="1" x14ac:dyDescent="0.3">
      <c r="B375" s="16"/>
      <c r="C375" s="16"/>
    </row>
    <row r="376" spans="2:3" ht="16.5" hidden="1" customHeight="1" x14ac:dyDescent="0.3">
      <c r="B376" s="16"/>
      <c r="C376" s="16"/>
    </row>
    <row r="377" spans="2:3" ht="16.5" hidden="1" customHeight="1" x14ac:dyDescent="0.3">
      <c r="B377" s="16"/>
      <c r="C377" s="16"/>
    </row>
    <row r="378" spans="2:3" ht="16.5" hidden="1" customHeight="1" x14ac:dyDescent="0.3">
      <c r="B378" s="16"/>
      <c r="C378" s="16"/>
    </row>
    <row r="379" spans="2:3" ht="16.5" hidden="1" customHeight="1" x14ac:dyDescent="0.3">
      <c r="B379" s="16"/>
      <c r="C379" s="16"/>
    </row>
    <row r="380" spans="2:3" ht="16.5" hidden="1" customHeight="1" x14ac:dyDescent="0.3">
      <c r="B380" s="16"/>
      <c r="C380" s="16"/>
    </row>
    <row r="381" spans="2:3" ht="16.5" hidden="1" customHeight="1" x14ac:dyDescent="0.3">
      <c r="B381" s="16"/>
      <c r="C381" s="16"/>
    </row>
    <row r="382" spans="2:3" ht="16.5" hidden="1" customHeight="1" x14ac:dyDescent="0.3">
      <c r="B382" s="16"/>
      <c r="C382" s="16"/>
    </row>
    <row r="383" spans="2:3" ht="16.5" hidden="1" customHeight="1" x14ac:dyDescent="0.3">
      <c r="B383" s="16"/>
      <c r="C383" s="16"/>
    </row>
    <row r="384" spans="2:3" ht="16.5" hidden="1" customHeight="1" x14ac:dyDescent="0.3">
      <c r="B384" s="16"/>
      <c r="C384" s="16"/>
    </row>
    <row r="385" spans="2:3" ht="16.5" hidden="1" customHeight="1" x14ac:dyDescent="0.3">
      <c r="B385" s="16"/>
      <c r="C385" s="16"/>
    </row>
    <row r="386" spans="2:3" ht="16.5" hidden="1" customHeight="1" x14ac:dyDescent="0.3">
      <c r="B386" s="16"/>
      <c r="C386" s="16"/>
    </row>
    <row r="387" spans="2:3" ht="16.5" hidden="1" customHeight="1" x14ac:dyDescent="0.3">
      <c r="B387" s="16"/>
      <c r="C387" s="16"/>
    </row>
    <row r="388" spans="2:3" ht="16.5" hidden="1" customHeight="1" x14ac:dyDescent="0.3">
      <c r="B388" s="16"/>
      <c r="C388" s="16"/>
    </row>
    <row r="389" spans="2:3" ht="16.5" hidden="1" customHeight="1" x14ac:dyDescent="0.3">
      <c r="B389" s="16"/>
      <c r="C389" s="16"/>
    </row>
    <row r="390" spans="2:3" ht="16.5" hidden="1" customHeight="1" x14ac:dyDescent="0.3">
      <c r="B390" s="16"/>
      <c r="C390" s="16"/>
    </row>
    <row r="391" spans="2:3" ht="16.5" hidden="1" customHeight="1" x14ac:dyDescent="0.3">
      <c r="B391" s="16"/>
      <c r="C391" s="16"/>
    </row>
    <row r="392" spans="2:3" ht="16.5" hidden="1" customHeight="1" x14ac:dyDescent="0.3">
      <c r="B392" s="16"/>
      <c r="C392" s="16"/>
    </row>
    <row r="393" spans="2:3" ht="16.5" hidden="1" customHeight="1" x14ac:dyDescent="0.3">
      <c r="B393" s="16"/>
      <c r="C393" s="16"/>
    </row>
    <row r="394" spans="2:3" ht="16.5" hidden="1" customHeight="1" x14ac:dyDescent="0.3">
      <c r="B394" s="16"/>
      <c r="C394" s="16"/>
    </row>
    <row r="395" spans="2:3" ht="16.5" hidden="1" customHeight="1" x14ac:dyDescent="0.3">
      <c r="B395" s="16"/>
      <c r="C395" s="16"/>
    </row>
    <row r="396" spans="2:3" ht="16.5" hidden="1" customHeight="1" x14ac:dyDescent="0.3">
      <c r="B396" s="16"/>
      <c r="C396" s="16"/>
    </row>
    <row r="397" spans="2:3" ht="16.5" hidden="1" customHeight="1" x14ac:dyDescent="0.3">
      <c r="B397" s="16"/>
      <c r="C397" s="16"/>
    </row>
    <row r="398" spans="2:3" ht="16.5" hidden="1" customHeight="1" x14ac:dyDescent="0.3">
      <c r="B398" s="16"/>
      <c r="C398" s="16"/>
    </row>
    <row r="399" spans="2:3" ht="16.5" hidden="1" customHeight="1" x14ac:dyDescent="0.3">
      <c r="B399" s="16"/>
      <c r="C399" s="16"/>
    </row>
    <row r="400" spans="2:3" ht="16.5" hidden="1" customHeight="1" x14ac:dyDescent="0.3">
      <c r="B400" s="16"/>
      <c r="C400" s="16"/>
    </row>
    <row r="401" spans="2:3" ht="16.5" hidden="1" customHeight="1" x14ac:dyDescent="0.3">
      <c r="B401" s="16"/>
      <c r="C401" s="16"/>
    </row>
    <row r="402" spans="2:3" ht="16.5" hidden="1" customHeight="1" x14ac:dyDescent="0.3">
      <c r="B402" s="16"/>
      <c r="C402" s="16"/>
    </row>
    <row r="403" spans="2:3" ht="16.5" hidden="1" customHeight="1" x14ac:dyDescent="0.3">
      <c r="B403" s="16"/>
      <c r="C403" s="16"/>
    </row>
    <row r="404" spans="2:3" ht="16.5" hidden="1" customHeight="1" x14ac:dyDescent="0.3">
      <c r="B404" s="16"/>
      <c r="C404" s="16"/>
    </row>
    <row r="405" spans="2:3" ht="16.5" hidden="1" customHeight="1" x14ac:dyDescent="0.3">
      <c r="B405" s="16"/>
      <c r="C405" s="16"/>
    </row>
    <row r="406" spans="2:3" ht="16.5" hidden="1" customHeight="1" x14ac:dyDescent="0.3">
      <c r="B406" s="16"/>
      <c r="C406" s="16"/>
    </row>
    <row r="407" spans="2:3" ht="16.5" hidden="1" customHeight="1" x14ac:dyDescent="0.3">
      <c r="B407" s="16"/>
      <c r="C407" s="16"/>
    </row>
    <row r="408" spans="2:3" ht="16.5" hidden="1" customHeight="1" x14ac:dyDescent="0.3">
      <c r="B408" s="16"/>
      <c r="C408" s="16"/>
    </row>
    <row r="409" spans="2:3" ht="16.5" hidden="1" customHeight="1" x14ac:dyDescent="0.3">
      <c r="B409" s="16"/>
      <c r="C409" s="16"/>
    </row>
    <row r="410" spans="2:3" ht="16.5" hidden="1" customHeight="1" x14ac:dyDescent="0.3">
      <c r="B410" s="16"/>
      <c r="C410" s="16"/>
    </row>
    <row r="411" spans="2:3" ht="16.5" hidden="1" customHeight="1" x14ac:dyDescent="0.3">
      <c r="B411" s="16"/>
      <c r="C411" s="16"/>
    </row>
    <row r="412" spans="2:3" ht="16.5" hidden="1" customHeight="1" x14ac:dyDescent="0.3">
      <c r="B412" s="16"/>
      <c r="C412" s="16"/>
    </row>
    <row r="413" spans="2:3" ht="16.5" hidden="1" customHeight="1" x14ac:dyDescent="0.3">
      <c r="B413" s="16"/>
      <c r="C413" s="16"/>
    </row>
    <row r="414" spans="2:3" ht="16.5" hidden="1" customHeight="1" x14ac:dyDescent="0.3">
      <c r="B414" s="16"/>
      <c r="C414" s="16"/>
    </row>
    <row r="415" spans="2:3" ht="16.5" hidden="1" customHeight="1" x14ac:dyDescent="0.3">
      <c r="B415" s="16"/>
      <c r="C415" s="16"/>
    </row>
    <row r="416" spans="2:3" ht="16.5" hidden="1" customHeight="1" x14ac:dyDescent="0.3">
      <c r="B416" s="16"/>
      <c r="C416" s="16"/>
    </row>
    <row r="417" spans="2:3" ht="16.5" hidden="1" customHeight="1" x14ac:dyDescent="0.3">
      <c r="B417" s="16"/>
      <c r="C417" s="16"/>
    </row>
    <row r="418" spans="2:3" ht="16.5" hidden="1" customHeight="1" x14ac:dyDescent="0.3">
      <c r="B418" s="16"/>
      <c r="C418" s="16"/>
    </row>
    <row r="419" spans="2:3" ht="16.5" hidden="1" customHeight="1" x14ac:dyDescent="0.3">
      <c r="B419" s="16"/>
      <c r="C419" s="16"/>
    </row>
    <row r="420" spans="2:3" ht="16.5" hidden="1" customHeight="1" x14ac:dyDescent="0.3">
      <c r="B420" s="16"/>
      <c r="C420" s="16"/>
    </row>
    <row r="421" spans="2:3" ht="16.5" hidden="1" customHeight="1" x14ac:dyDescent="0.3">
      <c r="B421" s="16"/>
      <c r="C421" s="16"/>
    </row>
    <row r="422" spans="2:3" ht="16.5" hidden="1" customHeight="1" x14ac:dyDescent="0.3">
      <c r="B422" s="16"/>
      <c r="C422" s="16"/>
    </row>
    <row r="423" spans="2:3" ht="16.5" hidden="1" customHeight="1" x14ac:dyDescent="0.3">
      <c r="B423" s="16"/>
      <c r="C423" s="16"/>
    </row>
    <row r="424" spans="2:3" ht="16.5" hidden="1" customHeight="1" x14ac:dyDescent="0.3">
      <c r="B424" s="16"/>
      <c r="C424" s="16"/>
    </row>
    <row r="425" spans="2:3" ht="16.5" hidden="1" customHeight="1" x14ac:dyDescent="0.3">
      <c r="B425" s="16"/>
      <c r="C425" s="16"/>
    </row>
    <row r="426" spans="2:3" ht="16.5" hidden="1" customHeight="1" x14ac:dyDescent="0.3">
      <c r="B426" s="16"/>
      <c r="C426" s="16"/>
    </row>
    <row r="427" spans="2:3" ht="16.5" hidden="1" customHeight="1" x14ac:dyDescent="0.3">
      <c r="B427" s="16"/>
      <c r="C427" s="16"/>
    </row>
    <row r="428" spans="2:3" ht="16.5" hidden="1" customHeight="1" x14ac:dyDescent="0.3">
      <c r="B428" s="16"/>
      <c r="C428" s="16"/>
    </row>
    <row r="429" spans="2:3" ht="16.5" hidden="1" customHeight="1" x14ac:dyDescent="0.3">
      <c r="B429" s="16"/>
      <c r="C429" s="16"/>
    </row>
    <row r="430" spans="2:3" ht="16.5" hidden="1" customHeight="1" x14ac:dyDescent="0.3">
      <c r="B430" s="16"/>
      <c r="C430" s="16"/>
    </row>
    <row r="431" spans="2:3" ht="16.5" hidden="1" customHeight="1" x14ac:dyDescent="0.3">
      <c r="B431" s="16"/>
      <c r="C431" s="16"/>
    </row>
    <row r="432" spans="2:3" ht="16.5" hidden="1" customHeight="1" x14ac:dyDescent="0.3">
      <c r="B432" s="16"/>
      <c r="C432" s="16"/>
    </row>
    <row r="433" spans="2:3" ht="16.5" hidden="1" customHeight="1" x14ac:dyDescent="0.3">
      <c r="B433" s="16"/>
      <c r="C433" s="16"/>
    </row>
    <row r="434" spans="2:3" ht="16.5" hidden="1" customHeight="1" x14ac:dyDescent="0.3">
      <c r="B434" s="16"/>
      <c r="C434" s="16"/>
    </row>
    <row r="435" spans="2:3" ht="16.5" hidden="1" customHeight="1" x14ac:dyDescent="0.3">
      <c r="B435" s="16"/>
      <c r="C435" s="16"/>
    </row>
    <row r="436" spans="2:3" ht="16.5" hidden="1" customHeight="1" x14ac:dyDescent="0.3">
      <c r="B436" s="16"/>
      <c r="C436" s="16"/>
    </row>
    <row r="437" spans="2:3" ht="16.5" hidden="1" customHeight="1" x14ac:dyDescent="0.3">
      <c r="B437" s="16"/>
      <c r="C437" s="16"/>
    </row>
    <row r="438" spans="2:3" ht="16.5" hidden="1" customHeight="1" x14ac:dyDescent="0.3">
      <c r="B438" s="16"/>
      <c r="C438" s="16"/>
    </row>
    <row r="439" spans="2:3" ht="16.5" hidden="1" customHeight="1" x14ac:dyDescent="0.3">
      <c r="B439" s="16"/>
      <c r="C439" s="16"/>
    </row>
    <row r="440" spans="2:3" ht="16.5" hidden="1" customHeight="1" x14ac:dyDescent="0.3">
      <c r="B440" s="16"/>
      <c r="C440" s="16"/>
    </row>
    <row r="441" spans="2:3" ht="16.5" hidden="1" customHeight="1" x14ac:dyDescent="0.3">
      <c r="B441" s="16"/>
      <c r="C441" s="16"/>
    </row>
    <row r="442" spans="2:3" ht="16.5" hidden="1" customHeight="1" x14ac:dyDescent="0.3">
      <c r="B442" s="16"/>
      <c r="C442" s="16"/>
    </row>
    <row r="443" spans="2:3" ht="16.5" hidden="1" customHeight="1" x14ac:dyDescent="0.3">
      <c r="B443" s="16"/>
      <c r="C443" s="16"/>
    </row>
    <row r="444" spans="2:3" ht="16.5" hidden="1" customHeight="1" x14ac:dyDescent="0.3">
      <c r="B444" s="16"/>
      <c r="C444" s="16"/>
    </row>
    <row r="445" spans="2:3" ht="16.5" hidden="1" customHeight="1" x14ac:dyDescent="0.3">
      <c r="B445" s="16"/>
      <c r="C445" s="16"/>
    </row>
    <row r="446" spans="2:3" ht="16.5" hidden="1" customHeight="1" x14ac:dyDescent="0.3">
      <c r="B446" s="16"/>
      <c r="C446" s="16"/>
    </row>
    <row r="447" spans="2:3" ht="16.5" hidden="1" customHeight="1" x14ac:dyDescent="0.3">
      <c r="B447" s="16"/>
      <c r="C447" s="16"/>
    </row>
    <row r="448" spans="2:3" ht="16.5" hidden="1" customHeight="1" x14ac:dyDescent="0.3">
      <c r="B448" s="16"/>
      <c r="C448" s="16"/>
    </row>
    <row r="449" spans="2:3" ht="16.5" hidden="1" customHeight="1" x14ac:dyDescent="0.3">
      <c r="B449" s="16"/>
      <c r="C449" s="16"/>
    </row>
    <row r="450" spans="2:3" ht="16.5" hidden="1" customHeight="1" x14ac:dyDescent="0.3">
      <c r="B450" s="16"/>
      <c r="C450" s="16"/>
    </row>
    <row r="451" spans="2:3" ht="16.5" hidden="1" customHeight="1" x14ac:dyDescent="0.3">
      <c r="B451" s="16"/>
      <c r="C451" s="16"/>
    </row>
    <row r="452" spans="2:3" ht="16.5" hidden="1" customHeight="1" x14ac:dyDescent="0.3">
      <c r="B452" s="16"/>
      <c r="C452" s="16"/>
    </row>
    <row r="453" spans="2:3" ht="16.5" hidden="1" customHeight="1" x14ac:dyDescent="0.3">
      <c r="B453" s="16"/>
      <c r="C453" s="16"/>
    </row>
    <row r="454" spans="2:3" ht="16.5" hidden="1" customHeight="1" x14ac:dyDescent="0.3">
      <c r="B454" s="16"/>
      <c r="C454" s="16"/>
    </row>
    <row r="455" spans="2:3" ht="16.5" hidden="1" customHeight="1" x14ac:dyDescent="0.3">
      <c r="B455" s="16"/>
      <c r="C455" s="16"/>
    </row>
    <row r="456" spans="2:3" ht="16.5" hidden="1" customHeight="1" x14ac:dyDescent="0.3">
      <c r="B456" s="16"/>
      <c r="C456" s="16"/>
    </row>
    <row r="457" spans="2:3" ht="16.5" hidden="1" customHeight="1" x14ac:dyDescent="0.3">
      <c r="B457" s="16"/>
      <c r="C457" s="16"/>
    </row>
    <row r="458" spans="2:3" ht="16.5" hidden="1" customHeight="1" x14ac:dyDescent="0.3">
      <c r="B458" s="16"/>
      <c r="C458" s="16"/>
    </row>
    <row r="459" spans="2:3" ht="16.5" hidden="1" customHeight="1" x14ac:dyDescent="0.3">
      <c r="B459" s="16"/>
      <c r="C459" s="16"/>
    </row>
    <row r="460" spans="2:3" ht="16.5" hidden="1" customHeight="1" x14ac:dyDescent="0.3">
      <c r="B460" s="16"/>
      <c r="C460" s="16"/>
    </row>
    <row r="461" spans="2:3" ht="16.5" hidden="1" customHeight="1" x14ac:dyDescent="0.3">
      <c r="B461" s="16"/>
      <c r="C461" s="16"/>
    </row>
    <row r="462" spans="2:3" ht="16.5" hidden="1" customHeight="1" x14ac:dyDescent="0.3">
      <c r="B462" s="16"/>
      <c r="C462" s="16"/>
    </row>
    <row r="463" spans="2:3" ht="16.5" hidden="1" customHeight="1" x14ac:dyDescent="0.3">
      <c r="B463" s="16"/>
      <c r="C463" s="16"/>
    </row>
    <row r="464" spans="2:3" ht="16.5" hidden="1" customHeight="1" x14ac:dyDescent="0.3">
      <c r="B464" s="16"/>
      <c r="C464" s="16"/>
    </row>
    <row r="465" spans="2:3" ht="16.5" hidden="1" customHeight="1" x14ac:dyDescent="0.3">
      <c r="B465" s="16"/>
      <c r="C465" s="16"/>
    </row>
    <row r="466" spans="2:3" ht="16.5" hidden="1" customHeight="1" x14ac:dyDescent="0.3">
      <c r="B466" s="16"/>
      <c r="C466" s="16"/>
    </row>
    <row r="467" spans="2:3" ht="16.5" hidden="1" customHeight="1" x14ac:dyDescent="0.3">
      <c r="B467" s="16"/>
      <c r="C467" s="16"/>
    </row>
    <row r="468" spans="2:3" ht="16.5" hidden="1" customHeight="1" x14ac:dyDescent="0.3">
      <c r="B468" s="16"/>
      <c r="C468" s="16"/>
    </row>
    <row r="469" spans="2:3" ht="16.5" hidden="1" customHeight="1" x14ac:dyDescent="0.3">
      <c r="B469" s="16"/>
      <c r="C469" s="16"/>
    </row>
    <row r="470" spans="2:3" ht="16.5" hidden="1" customHeight="1" x14ac:dyDescent="0.3">
      <c r="B470" s="16"/>
      <c r="C470" s="16"/>
    </row>
    <row r="471" spans="2:3" ht="16.5" hidden="1" customHeight="1" x14ac:dyDescent="0.3">
      <c r="B471" s="16"/>
      <c r="C471" s="16"/>
    </row>
    <row r="472" spans="2:3" ht="16.5" hidden="1" customHeight="1" x14ac:dyDescent="0.3">
      <c r="B472" s="16"/>
      <c r="C472" s="16"/>
    </row>
    <row r="473" spans="2:3" ht="16.5" hidden="1" customHeight="1" x14ac:dyDescent="0.3">
      <c r="B473" s="16"/>
      <c r="C473" s="16"/>
    </row>
    <row r="474" spans="2:3" ht="16.5" hidden="1" customHeight="1" x14ac:dyDescent="0.3">
      <c r="B474" s="16"/>
      <c r="C474" s="16"/>
    </row>
    <row r="475" spans="2:3" ht="16.5" hidden="1" customHeight="1" x14ac:dyDescent="0.3">
      <c r="B475" s="16"/>
      <c r="C475" s="16"/>
    </row>
    <row r="476" spans="2:3" ht="16.5" hidden="1" customHeight="1" x14ac:dyDescent="0.3">
      <c r="B476" s="16"/>
      <c r="C476" s="16"/>
    </row>
    <row r="477" spans="2:3" ht="16.5" hidden="1" customHeight="1" x14ac:dyDescent="0.3">
      <c r="B477" s="16"/>
      <c r="C477" s="16"/>
    </row>
    <row r="478" spans="2:3" ht="16.5" hidden="1" customHeight="1" x14ac:dyDescent="0.3">
      <c r="B478" s="16"/>
      <c r="C478" s="16"/>
    </row>
    <row r="479" spans="2:3" ht="16.5" hidden="1" customHeight="1" x14ac:dyDescent="0.3">
      <c r="B479" s="16"/>
      <c r="C479" s="16"/>
    </row>
    <row r="480" spans="2:3" ht="16.5" hidden="1" customHeight="1" x14ac:dyDescent="0.3">
      <c r="B480" s="16"/>
      <c r="C480" s="16"/>
    </row>
    <row r="481" spans="2:3" ht="16.5" hidden="1" customHeight="1" x14ac:dyDescent="0.3">
      <c r="B481" s="16"/>
      <c r="C481" s="16"/>
    </row>
    <row r="482" spans="2:3" ht="16.5" hidden="1" customHeight="1" x14ac:dyDescent="0.3">
      <c r="B482" s="16"/>
      <c r="C482" s="16"/>
    </row>
    <row r="483" spans="2:3" ht="16.5" hidden="1" customHeight="1" x14ac:dyDescent="0.3">
      <c r="B483" s="16"/>
      <c r="C483" s="16"/>
    </row>
    <row r="484" spans="2:3" ht="16.5" hidden="1" customHeight="1" x14ac:dyDescent="0.3">
      <c r="B484" s="16"/>
      <c r="C484" s="16"/>
    </row>
    <row r="485" spans="2:3" ht="16.5" hidden="1" customHeight="1" x14ac:dyDescent="0.3">
      <c r="B485" s="16"/>
      <c r="C485" s="16"/>
    </row>
    <row r="486" spans="2:3" ht="16.5" hidden="1" customHeight="1" x14ac:dyDescent="0.3">
      <c r="B486" s="16"/>
      <c r="C486" s="16"/>
    </row>
    <row r="487" spans="2:3" ht="16.5" hidden="1" customHeight="1" x14ac:dyDescent="0.3">
      <c r="B487" s="16"/>
      <c r="C487" s="16"/>
    </row>
    <row r="488" spans="2:3" ht="16.5" hidden="1" customHeight="1" x14ac:dyDescent="0.3">
      <c r="B488" s="16"/>
      <c r="C488" s="16"/>
    </row>
    <row r="489" spans="2:3" ht="16.5" hidden="1" customHeight="1" x14ac:dyDescent="0.3">
      <c r="B489" s="16"/>
      <c r="C489" s="16"/>
    </row>
    <row r="490" spans="2:3" ht="16.5" hidden="1" customHeight="1" x14ac:dyDescent="0.3">
      <c r="B490" s="16"/>
      <c r="C490" s="16"/>
    </row>
    <row r="491" spans="2:3" ht="16.5" hidden="1" customHeight="1" x14ac:dyDescent="0.3">
      <c r="B491" s="16"/>
      <c r="C491" s="16"/>
    </row>
    <row r="492" spans="2:3" ht="16.5" hidden="1" customHeight="1" x14ac:dyDescent="0.3">
      <c r="B492" s="16"/>
      <c r="C492" s="16"/>
    </row>
    <row r="493" spans="2:3" ht="16.5" hidden="1" customHeight="1" x14ac:dyDescent="0.3">
      <c r="B493" s="16"/>
      <c r="C493" s="16"/>
    </row>
    <row r="494" spans="2:3" ht="16.5" hidden="1" customHeight="1" x14ac:dyDescent="0.3">
      <c r="B494" s="16"/>
      <c r="C494" s="16"/>
    </row>
    <row r="495" spans="2:3" ht="16.5" hidden="1" customHeight="1" x14ac:dyDescent="0.3">
      <c r="B495" s="16"/>
      <c r="C495" s="16"/>
    </row>
    <row r="496" spans="2:3" ht="16.5" hidden="1" customHeight="1" x14ac:dyDescent="0.3">
      <c r="B496" s="16"/>
      <c r="C496" s="16"/>
    </row>
    <row r="497" spans="2:3" ht="16.5" hidden="1" customHeight="1" x14ac:dyDescent="0.3">
      <c r="B497" s="16"/>
      <c r="C497" s="16"/>
    </row>
    <row r="498" spans="2:3" ht="16.5" hidden="1" customHeight="1" x14ac:dyDescent="0.3">
      <c r="B498" s="16"/>
      <c r="C498" s="16"/>
    </row>
    <row r="499" spans="2:3" ht="16.5" hidden="1" customHeight="1" x14ac:dyDescent="0.3">
      <c r="B499" s="16"/>
      <c r="C499" s="16"/>
    </row>
    <row r="500" spans="2:3" ht="16.5" hidden="1" customHeight="1" x14ac:dyDescent="0.3">
      <c r="B500" s="16"/>
      <c r="C500" s="16"/>
    </row>
    <row r="501" spans="2:3" ht="16.5" hidden="1" customHeight="1" x14ac:dyDescent="0.3">
      <c r="B501" s="16"/>
      <c r="C501" s="16"/>
    </row>
    <row r="502" spans="2:3" ht="16.5" hidden="1" customHeight="1" x14ac:dyDescent="0.3">
      <c r="B502" s="16"/>
      <c r="C502" s="16"/>
    </row>
    <row r="503" spans="2:3" ht="16.5" hidden="1" customHeight="1" x14ac:dyDescent="0.3">
      <c r="B503" s="16"/>
      <c r="C503" s="16"/>
    </row>
    <row r="504" spans="2:3" ht="16.5" hidden="1" customHeight="1" x14ac:dyDescent="0.3">
      <c r="B504" s="16"/>
      <c r="C504" s="16"/>
    </row>
    <row r="505" spans="2:3" ht="16.5" hidden="1" customHeight="1" x14ac:dyDescent="0.3">
      <c r="B505" s="16"/>
      <c r="C505" s="16"/>
    </row>
    <row r="506" spans="2:3" ht="16.5" hidden="1" customHeight="1" x14ac:dyDescent="0.3">
      <c r="B506" s="16"/>
      <c r="C506" s="16"/>
    </row>
    <row r="507" spans="2:3" ht="16.5" hidden="1" customHeight="1" x14ac:dyDescent="0.3">
      <c r="B507" s="16"/>
      <c r="C507" s="16"/>
    </row>
    <row r="508" spans="2:3" ht="16.5" hidden="1" customHeight="1" x14ac:dyDescent="0.3">
      <c r="B508" s="16"/>
      <c r="C508" s="16"/>
    </row>
    <row r="509" spans="2:3" ht="16.5" hidden="1" customHeight="1" x14ac:dyDescent="0.3">
      <c r="B509" s="16"/>
      <c r="C509" s="16"/>
    </row>
    <row r="510" spans="2:3" ht="16.5" hidden="1" customHeight="1" x14ac:dyDescent="0.3">
      <c r="B510" s="16"/>
      <c r="C510" s="16"/>
    </row>
    <row r="511" spans="2:3" ht="16.5" hidden="1" customHeight="1" x14ac:dyDescent="0.3">
      <c r="B511" s="16"/>
      <c r="C511" s="16"/>
    </row>
    <row r="512" spans="2:3" ht="16.5" hidden="1" customHeight="1" x14ac:dyDescent="0.3">
      <c r="B512" s="16"/>
      <c r="C512" s="16"/>
    </row>
    <row r="513" spans="2:3" ht="16.5" hidden="1" customHeight="1" x14ac:dyDescent="0.3">
      <c r="B513" s="16"/>
      <c r="C513" s="16"/>
    </row>
    <row r="514" spans="2:3" ht="16.5" hidden="1" customHeight="1" x14ac:dyDescent="0.3">
      <c r="B514" s="16"/>
      <c r="C514" s="16"/>
    </row>
    <row r="515" spans="2:3" ht="16.5" hidden="1" customHeight="1" x14ac:dyDescent="0.3">
      <c r="B515" s="16"/>
      <c r="C515" s="16"/>
    </row>
    <row r="516" spans="2:3" ht="16.5" hidden="1" customHeight="1" x14ac:dyDescent="0.3">
      <c r="B516" s="16"/>
      <c r="C516" s="16"/>
    </row>
    <row r="517" spans="2:3" ht="16.5" hidden="1" customHeight="1" x14ac:dyDescent="0.3">
      <c r="B517" s="16"/>
      <c r="C517" s="16"/>
    </row>
    <row r="518" spans="2:3" ht="16.5" hidden="1" customHeight="1" x14ac:dyDescent="0.3">
      <c r="B518" s="16"/>
      <c r="C518" s="16"/>
    </row>
    <row r="519" spans="2:3" ht="16.5" hidden="1" customHeight="1" x14ac:dyDescent="0.3">
      <c r="B519" s="16"/>
      <c r="C519" s="16"/>
    </row>
    <row r="520" spans="2:3" ht="16.5" hidden="1" customHeight="1" x14ac:dyDescent="0.3">
      <c r="B520" s="16"/>
      <c r="C520" s="16"/>
    </row>
    <row r="521" spans="2:3" ht="16.5" hidden="1" customHeight="1" x14ac:dyDescent="0.3">
      <c r="B521" s="16"/>
      <c r="C521" s="16"/>
    </row>
    <row r="522" spans="2:3" ht="16.5" hidden="1" customHeight="1" x14ac:dyDescent="0.3">
      <c r="B522" s="16"/>
      <c r="C522" s="16"/>
    </row>
    <row r="523" spans="2:3" ht="16.5" hidden="1" customHeight="1" x14ac:dyDescent="0.3">
      <c r="B523" s="16"/>
      <c r="C523" s="16"/>
    </row>
    <row r="524" spans="2:3" ht="16.5" hidden="1" customHeight="1" x14ac:dyDescent="0.3">
      <c r="B524" s="16"/>
      <c r="C524" s="16"/>
    </row>
    <row r="525" spans="2:3" ht="16.5" hidden="1" customHeight="1" x14ac:dyDescent="0.3">
      <c r="B525" s="16"/>
      <c r="C525" s="16"/>
    </row>
    <row r="526" spans="2:3" ht="16.5" hidden="1" customHeight="1" x14ac:dyDescent="0.3">
      <c r="B526" s="16"/>
      <c r="C526" s="16"/>
    </row>
    <row r="527" spans="2:3" ht="16.5" hidden="1" customHeight="1" x14ac:dyDescent="0.3">
      <c r="B527" s="16"/>
      <c r="C527" s="16"/>
    </row>
    <row r="528" spans="2:3" ht="16.5" hidden="1" customHeight="1" x14ac:dyDescent="0.3">
      <c r="B528" s="16"/>
      <c r="C528" s="16"/>
    </row>
    <row r="529" spans="2:3" ht="16.5" hidden="1" customHeight="1" x14ac:dyDescent="0.3">
      <c r="B529" s="16"/>
      <c r="C529" s="16"/>
    </row>
    <row r="530" spans="2:3" ht="16.5" hidden="1" customHeight="1" x14ac:dyDescent="0.3">
      <c r="B530" s="16"/>
      <c r="C530" s="16"/>
    </row>
    <row r="531" spans="2:3" ht="16.5" hidden="1" customHeight="1" x14ac:dyDescent="0.3">
      <c r="B531" s="16"/>
      <c r="C531" s="16"/>
    </row>
    <row r="532" spans="2:3" ht="16.5" hidden="1" customHeight="1" x14ac:dyDescent="0.3">
      <c r="B532" s="16"/>
      <c r="C532" s="16"/>
    </row>
    <row r="533" spans="2:3" ht="16.5" hidden="1" customHeight="1" x14ac:dyDescent="0.3">
      <c r="B533" s="16"/>
      <c r="C533" s="16"/>
    </row>
    <row r="534" spans="2:3" ht="16.5" hidden="1" customHeight="1" x14ac:dyDescent="0.3">
      <c r="B534" s="16"/>
      <c r="C534" s="16"/>
    </row>
    <row r="535" spans="2:3" ht="16.5" hidden="1" customHeight="1" x14ac:dyDescent="0.3">
      <c r="B535" s="16"/>
      <c r="C535" s="16"/>
    </row>
    <row r="536" spans="2:3" ht="16.5" hidden="1" customHeight="1" x14ac:dyDescent="0.3">
      <c r="B536" s="16"/>
      <c r="C536" s="16"/>
    </row>
    <row r="537" spans="2:3" ht="16.5" hidden="1" customHeight="1" x14ac:dyDescent="0.3">
      <c r="B537" s="16"/>
      <c r="C537" s="16"/>
    </row>
    <row r="538" spans="2:3" ht="16.5" hidden="1" customHeight="1" x14ac:dyDescent="0.3">
      <c r="B538" s="16"/>
      <c r="C538" s="16"/>
    </row>
    <row r="539" spans="2:3" ht="16.5" hidden="1" customHeight="1" x14ac:dyDescent="0.3">
      <c r="B539" s="16"/>
      <c r="C539" s="16"/>
    </row>
    <row r="540" spans="2:3" ht="16.5" hidden="1" customHeight="1" x14ac:dyDescent="0.3">
      <c r="B540" s="16"/>
      <c r="C540" s="16"/>
    </row>
    <row r="541" spans="2:3" ht="16.5" hidden="1" customHeight="1" x14ac:dyDescent="0.3">
      <c r="B541" s="16"/>
      <c r="C541" s="16"/>
    </row>
    <row r="542" spans="2:3" ht="16.5" hidden="1" customHeight="1" x14ac:dyDescent="0.3">
      <c r="B542" s="16"/>
      <c r="C542" s="16"/>
    </row>
    <row r="543" spans="2:3" ht="16.5" hidden="1" customHeight="1" x14ac:dyDescent="0.3">
      <c r="B543" s="16"/>
      <c r="C543" s="16"/>
    </row>
    <row r="544" spans="2:3" ht="16.5" hidden="1" customHeight="1" x14ac:dyDescent="0.3">
      <c r="B544" s="16"/>
      <c r="C544" s="16"/>
    </row>
    <row r="545" spans="2:3" ht="16.5" hidden="1" customHeight="1" x14ac:dyDescent="0.3">
      <c r="B545" s="16"/>
      <c r="C545" s="16"/>
    </row>
    <row r="546" spans="2:3" ht="16.5" hidden="1" customHeight="1" x14ac:dyDescent="0.3">
      <c r="B546" s="16"/>
      <c r="C546" s="16"/>
    </row>
    <row r="547" spans="2:3" ht="16.5" hidden="1" customHeight="1" x14ac:dyDescent="0.3">
      <c r="B547" s="16"/>
      <c r="C547" s="16"/>
    </row>
    <row r="548" spans="2:3" ht="16.5" hidden="1" customHeight="1" x14ac:dyDescent="0.3">
      <c r="B548" s="16"/>
      <c r="C548" s="16"/>
    </row>
    <row r="549" spans="2:3" ht="16.5" hidden="1" customHeight="1" x14ac:dyDescent="0.3">
      <c r="B549" s="16"/>
      <c r="C549" s="16"/>
    </row>
    <row r="550" spans="2:3" ht="16.5" hidden="1" customHeight="1" x14ac:dyDescent="0.3">
      <c r="B550" s="16"/>
      <c r="C550" s="16"/>
    </row>
    <row r="551" spans="2:3" ht="16.5" hidden="1" customHeight="1" x14ac:dyDescent="0.3">
      <c r="B551" s="16"/>
      <c r="C551" s="16"/>
    </row>
    <row r="552" spans="2:3" ht="16.5" hidden="1" customHeight="1" x14ac:dyDescent="0.3">
      <c r="B552" s="16"/>
      <c r="C552" s="16"/>
    </row>
    <row r="553" spans="2:3" ht="16.5" hidden="1" customHeight="1" x14ac:dyDescent="0.3">
      <c r="B553" s="16"/>
      <c r="C553" s="16"/>
    </row>
    <row r="554" spans="2:3" ht="16.5" hidden="1" customHeight="1" x14ac:dyDescent="0.3"/>
    <row r="555" spans="2:3" ht="16.5" hidden="1" customHeight="1" x14ac:dyDescent="0.3"/>
    <row r="556" spans="2:3" ht="16.5" hidden="1" customHeight="1" x14ac:dyDescent="0.3"/>
    <row r="557" spans="2:3" ht="16.5" hidden="1" customHeight="1" x14ac:dyDescent="0.3"/>
    <row r="558" spans="2:3" ht="16.5" hidden="1" customHeight="1" x14ac:dyDescent="0.3"/>
    <row r="559" spans="2:3" ht="16.5" hidden="1" customHeight="1" x14ac:dyDescent="0.3"/>
    <row r="560" spans="2:3" ht="16.5" hidden="1" customHeight="1" x14ac:dyDescent="0.3"/>
    <row r="561" ht="16.5" hidden="1" customHeight="1" x14ac:dyDescent="0.3"/>
    <row r="562" ht="16.5" hidden="1" customHeight="1" x14ac:dyDescent="0.3"/>
    <row r="563" ht="16.5" hidden="1" customHeight="1" x14ac:dyDescent="0.3"/>
    <row r="564" ht="16.5" hidden="1" customHeight="1" x14ac:dyDescent="0.3"/>
    <row r="565" hidden="1" x14ac:dyDescent="0.3"/>
    <row r="566" hidden="1" x14ac:dyDescent="0.3"/>
    <row r="567" hidden="1" x14ac:dyDescent="0.3"/>
    <row r="568" hidden="1" x14ac:dyDescent="0.3"/>
    <row r="569" hidden="1" x14ac:dyDescent="0.3"/>
    <row r="570" hidden="1" x14ac:dyDescent="0.3"/>
    <row r="571" hidden="1" x14ac:dyDescent="0.3"/>
    <row r="572" hidden="1" x14ac:dyDescent="0.3"/>
    <row r="573" hidden="1" x14ac:dyDescent="0.3"/>
    <row r="574" hidden="1" x14ac:dyDescent="0.3"/>
    <row r="575" hidden="1" x14ac:dyDescent="0.3"/>
    <row r="576" hidden="1" x14ac:dyDescent="0.3"/>
    <row r="577" hidden="1" x14ac:dyDescent="0.3"/>
    <row r="578" hidden="1" x14ac:dyDescent="0.3"/>
    <row r="579" hidden="1" x14ac:dyDescent="0.3"/>
    <row r="580" hidden="1" x14ac:dyDescent="0.3"/>
    <row r="581" hidden="1" x14ac:dyDescent="0.3"/>
    <row r="582" hidden="1" x14ac:dyDescent="0.3"/>
    <row r="583" hidden="1" x14ac:dyDescent="0.3"/>
    <row r="584" hidden="1" x14ac:dyDescent="0.3"/>
    <row r="585" hidden="1" x14ac:dyDescent="0.3"/>
    <row r="586" hidden="1" x14ac:dyDescent="0.3"/>
    <row r="587" hidden="1" x14ac:dyDescent="0.3"/>
    <row r="588" hidden="1" x14ac:dyDescent="0.3"/>
    <row r="589" hidden="1" x14ac:dyDescent="0.3"/>
    <row r="590" hidden="1" x14ac:dyDescent="0.3"/>
    <row r="591" hidden="1" x14ac:dyDescent="0.3"/>
  </sheetData>
  <sheetProtection algorithmName="SHA-512" hashValue="bMGGtQs2xj5CmTlM6aTPRITkx5E467rvDdWPkwdwzyjqPQdrdYJj4gHDjHawEJ0+RnRh2AraNEslhkb5HGtA1w==" saltValue="CcHxgEs+ihBNOMPlZEGSmQ==" spinCount="100000" sheet="1" objects="1" scenarios="1"/>
  <customSheetViews>
    <customSheetView guid="{8BDA793C-C9C5-4FC6-A0A5-F1109F6D4F22}" state="hidden">
      <selection activeCell="D14" sqref="D14"/>
    </customSheetView>
  </customSheetViews>
  <mergeCells count="3">
    <mergeCell ref="F1:J1"/>
    <mergeCell ref="K1:O1"/>
    <mergeCell ref="G10:O10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3073" r:id="rId4">
          <objectPr locked="0" defaultSize="0" r:id="rId5">
            <anchor moveWithCells="1">
              <from>
                <xdr:col>6</xdr:col>
                <xdr:colOff>0</xdr:colOff>
                <xdr:row>10</xdr:row>
                <xdr:rowOff>121920</xdr:rowOff>
              </from>
              <to>
                <xdr:col>14</xdr:col>
                <xdr:colOff>960120</xdr:colOff>
                <xdr:row>48</xdr:row>
                <xdr:rowOff>182880</xdr:rowOff>
              </to>
            </anchor>
          </objectPr>
        </oleObject>
      </mc:Choice>
      <mc:Fallback>
        <oleObject progId="Acrobat Document" shapeId="3073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7">
    <tabColor rgb="FFFFC000"/>
    <pageSetUpPr fitToPage="1"/>
  </sheetPr>
  <dimension ref="A1:AH149"/>
  <sheetViews>
    <sheetView showGridLines="0" showRowColHeaders="0" zoomScaleNormal="100" workbookViewId="0">
      <pane xSplit="6" ySplit="3" topLeftCell="G4" activePane="bottomRight" state="frozen"/>
      <selection activeCell="B18" sqref="B18:I19"/>
      <selection pane="topRight" activeCell="B18" sqref="B18:I19"/>
      <selection pane="bottomLeft" activeCell="B18" sqref="B18:I19"/>
      <selection pane="bottomRight" activeCell="B18" sqref="B18:I19"/>
    </sheetView>
  </sheetViews>
  <sheetFormatPr defaultColWidth="0" defaultRowHeight="13.8" zeroHeight="1" x14ac:dyDescent="0.25"/>
  <cols>
    <col min="1" max="1" width="20.109375" style="35" hidden="1" customWidth="1"/>
    <col min="2" max="2" width="5.6640625" style="35" hidden="1" customWidth="1"/>
    <col min="3" max="3" width="7.6640625" style="35" hidden="1" customWidth="1"/>
    <col min="4" max="4" width="16.5546875" style="35" hidden="1" customWidth="1"/>
    <col min="5" max="5" width="4.109375" style="35" customWidth="1"/>
    <col min="6" max="6" width="88.88671875" style="35" bestFit="1" customWidth="1"/>
    <col min="7" max="7" width="13.109375" style="35" bestFit="1" customWidth="1"/>
    <col min="8" max="8" width="18.5546875" style="35" bestFit="1" customWidth="1"/>
    <col min="9" max="9" width="16.88671875" style="35" bestFit="1" customWidth="1"/>
    <col min="10" max="10" width="17.6640625" style="35" bestFit="1" customWidth="1"/>
    <col min="11" max="11" width="13" style="35" bestFit="1" customWidth="1"/>
    <col min="12" max="12" width="23.5546875" style="35" bestFit="1" customWidth="1"/>
    <col min="13" max="13" width="18.5546875" style="35" bestFit="1" customWidth="1"/>
    <col min="14" max="14" width="9.109375" style="35" customWidth="1"/>
    <col min="15" max="16" width="12.109375" style="35" customWidth="1"/>
    <col min="17" max="17" width="12.88671875" style="35" customWidth="1"/>
    <col min="18" max="18" width="11.44140625" style="35" customWidth="1"/>
    <col min="19" max="33" width="9.109375" style="35" customWidth="1"/>
    <col min="34" max="34" width="8.109375" style="35" hidden="1" customWidth="1"/>
    <col min="35" max="16384" width="9.109375" style="35" hidden="1"/>
  </cols>
  <sheetData>
    <row r="1" spans="1:13" ht="55.2" customHeight="1" x14ac:dyDescent="0.5">
      <c r="A1" s="1097"/>
      <c r="B1" s="1097"/>
      <c r="C1" s="1097"/>
      <c r="F1" s="420"/>
      <c r="G1" s="420"/>
      <c r="H1" s="420"/>
      <c r="I1" s="420"/>
      <c r="J1" s="420"/>
      <c r="K1" s="420"/>
      <c r="L1" s="420"/>
      <c r="M1" s="420"/>
    </row>
    <row r="2" spans="1:13" ht="29.4" customHeight="1" x14ac:dyDescent="0.5">
      <c r="A2" s="1096" t="s">
        <v>172</v>
      </c>
      <c r="B2" s="1096"/>
      <c r="C2" s="1096"/>
      <c r="F2" s="421"/>
      <c r="G2" s="1098" t="s">
        <v>122</v>
      </c>
      <c r="H2" s="1098"/>
      <c r="I2" s="1098"/>
      <c r="J2" s="1098"/>
      <c r="K2" s="1098"/>
      <c r="L2" s="1098"/>
      <c r="M2" s="1099"/>
    </row>
    <row r="3" spans="1:13" ht="69" x14ac:dyDescent="0.25">
      <c r="A3" s="128" t="s">
        <v>125</v>
      </c>
      <c r="B3" s="128" t="s">
        <v>126</v>
      </c>
      <c r="C3" s="128" t="s">
        <v>129</v>
      </c>
      <c r="F3" s="422" t="s">
        <v>1039</v>
      </c>
      <c r="G3" s="129" t="s">
        <v>0</v>
      </c>
      <c r="H3" s="129" t="s">
        <v>128</v>
      </c>
      <c r="I3" s="129" t="s">
        <v>1</v>
      </c>
      <c r="J3" s="129" t="s">
        <v>121</v>
      </c>
      <c r="K3" s="155" t="s">
        <v>2</v>
      </c>
      <c r="L3" s="155" t="s">
        <v>118</v>
      </c>
      <c r="M3" s="129" t="s">
        <v>119</v>
      </c>
    </row>
    <row r="4" spans="1:13" x14ac:dyDescent="0.25">
      <c r="A4" s="129">
        <v>0</v>
      </c>
      <c r="B4" s="242">
        <v>100</v>
      </c>
      <c r="C4" s="423">
        <v>1</v>
      </c>
      <c r="F4" s="100" t="str">
        <f>'G-1 All Habitats'!B3</f>
        <v>Cropland - Arable field margins cultivated annually</v>
      </c>
      <c r="G4" s="242" t="s">
        <v>832</v>
      </c>
      <c r="H4" s="242" t="s">
        <v>832</v>
      </c>
      <c r="I4" s="242" t="s">
        <v>832</v>
      </c>
      <c r="J4" s="242" t="s">
        <v>832</v>
      </c>
      <c r="K4" s="242" t="s">
        <v>832</v>
      </c>
      <c r="L4" s="242">
        <v>1</v>
      </c>
      <c r="M4" s="242" t="s">
        <v>832</v>
      </c>
    </row>
    <row r="5" spans="1:13" x14ac:dyDescent="0.25">
      <c r="A5" s="129">
        <v>1</v>
      </c>
      <c r="B5" s="242">
        <v>96.5</v>
      </c>
      <c r="C5" s="423">
        <v>0.96499999999999997</v>
      </c>
      <c r="F5" s="100" t="str">
        <f>'G-1 All Habitats'!B4</f>
        <v>Cropland - Arable field margins game bird mix</v>
      </c>
      <c r="G5" s="242" t="s">
        <v>832</v>
      </c>
      <c r="H5" s="242" t="s">
        <v>832</v>
      </c>
      <c r="I5" s="242" t="s">
        <v>832</v>
      </c>
      <c r="J5" s="242" t="s">
        <v>832</v>
      </c>
      <c r="K5" s="242" t="s">
        <v>832</v>
      </c>
      <c r="L5" s="242">
        <v>1</v>
      </c>
      <c r="M5" s="242" t="s">
        <v>832</v>
      </c>
    </row>
    <row r="6" spans="1:13" x14ac:dyDescent="0.25">
      <c r="A6" s="129">
        <v>2</v>
      </c>
      <c r="B6" s="242">
        <v>93.122500000000002</v>
      </c>
      <c r="C6" s="423">
        <v>0.93122499999999997</v>
      </c>
      <c r="F6" s="100" t="str">
        <f>'G-1 All Habitats'!B5</f>
        <v>Cropland - Arable field margins pollen &amp; nectar</v>
      </c>
      <c r="G6" s="242" t="s">
        <v>832</v>
      </c>
      <c r="H6" s="242" t="s">
        <v>832</v>
      </c>
      <c r="I6" s="242" t="s">
        <v>832</v>
      </c>
      <c r="J6" s="242" t="s">
        <v>832</v>
      </c>
      <c r="K6" s="242" t="s">
        <v>832</v>
      </c>
      <c r="L6" s="242">
        <v>1</v>
      </c>
      <c r="M6" s="242" t="s">
        <v>832</v>
      </c>
    </row>
    <row r="7" spans="1:13" x14ac:dyDescent="0.25">
      <c r="A7" s="129">
        <v>3</v>
      </c>
      <c r="B7" s="242">
        <v>89.863212500000003</v>
      </c>
      <c r="C7" s="423">
        <v>0.898632125</v>
      </c>
      <c r="F7" s="100" t="str">
        <f>'G-1 All Habitats'!B6</f>
        <v>Cropland - Arable field margins tussocky</v>
      </c>
      <c r="G7" s="242" t="s">
        <v>832</v>
      </c>
      <c r="H7" s="242" t="s">
        <v>832</v>
      </c>
      <c r="I7" s="242" t="s">
        <v>832</v>
      </c>
      <c r="J7" s="242" t="s">
        <v>832</v>
      </c>
      <c r="K7" s="242" t="s">
        <v>832</v>
      </c>
      <c r="L7" s="242">
        <v>1</v>
      </c>
      <c r="M7" s="242" t="s">
        <v>832</v>
      </c>
    </row>
    <row r="8" spans="1:13" x14ac:dyDescent="0.25">
      <c r="A8" s="129">
        <v>4</v>
      </c>
      <c r="B8" s="242">
        <v>86.718000059999994</v>
      </c>
      <c r="C8" s="423">
        <v>0.86718000059999989</v>
      </c>
      <c r="F8" s="100" t="str">
        <f>'G-1 All Habitats'!B7</f>
        <v>Cropland - Cereal crops</v>
      </c>
      <c r="G8" s="242" t="s">
        <v>832</v>
      </c>
      <c r="H8" s="242" t="s">
        <v>832</v>
      </c>
      <c r="I8" s="242" t="s">
        <v>832</v>
      </c>
      <c r="J8" s="242" t="s">
        <v>832</v>
      </c>
      <c r="K8" s="242" t="s">
        <v>832</v>
      </c>
      <c r="L8" s="242">
        <v>1</v>
      </c>
      <c r="M8" s="242" t="s">
        <v>832</v>
      </c>
    </row>
    <row r="9" spans="1:13" x14ac:dyDescent="0.25">
      <c r="A9" s="129">
        <v>5</v>
      </c>
      <c r="B9" s="242">
        <v>83.682870059999999</v>
      </c>
      <c r="C9" s="423">
        <v>0.83682870060000003</v>
      </c>
      <c r="F9" s="100" t="str">
        <f>'G-1 All Habitats'!B8</f>
        <v>Cropland - Cereal crops other</v>
      </c>
      <c r="G9" s="242" t="s">
        <v>832</v>
      </c>
      <c r="H9" s="242" t="s">
        <v>832</v>
      </c>
      <c r="I9" s="242" t="s">
        <v>832</v>
      </c>
      <c r="J9" s="242" t="s">
        <v>832</v>
      </c>
      <c r="K9" s="242" t="s">
        <v>832</v>
      </c>
      <c r="L9" s="242">
        <v>1</v>
      </c>
      <c r="M9" s="242" t="s">
        <v>832</v>
      </c>
    </row>
    <row r="10" spans="1:13" x14ac:dyDescent="0.25">
      <c r="A10" s="129">
        <v>6</v>
      </c>
      <c r="B10" s="242">
        <v>80.753969609999999</v>
      </c>
      <c r="C10" s="423">
        <v>0.80753969609999998</v>
      </c>
      <c r="F10" s="100" t="str">
        <f>'G-1 All Habitats'!B9</f>
        <v>Cropland - Cereal crops winter stubble</v>
      </c>
      <c r="G10" s="242" t="s">
        <v>832</v>
      </c>
      <c r="H10" s="242" t="s">
        <v>832</v>
      </c>
      <c r="I10" s="242" t="s">
        <v>832</v>
      </c>
      <c r="J10" s="242" t="s">
        <v>832</v>
      </c>
      <c r="K10" s="242" t="s">
        <v>832</v>
      </c>
      <c r="L10" s="242">
        <v>1</v>
      </c>
      <c r="M10" s="242" t="s">
        <v>832</v>
      </c>
    </row>
    <row r="11" spans="1:13" x14ac:dyDescent="0.25">
      <c r="A11" s="129">
        <v>7</v>
      </c>
      <c r="B11" s="242">
        <v>77.927580669999998</v>
      </c>
      <c r="C11" s="423">
        <v>0.77927580669999996</v>
      </c>
      <c r="F11" s="100" t="str">
        <f>'G-1 All Habitats'!B10</f>
        <v>Cropland - Horticulture</v>
      </c>
      <c r="G11" s="242" t="s">
        <v>832</v>
      </c>
      <c r="H11" s="242" t="s">
        <v>832</v>
      </c>
      <c r="I11" s="242" t="s">
        <v>832</v>
      </c>
      <c r="J11" s="242" t="s">
        <v>832</v>
      </c>
      <c r="K11" s="242" t="s">
        <v>832</v>
      </c>
      <c r="L11" s="242">
        <v>1</v>
      </c>
      <c r="M11" s="242" t="s">
        <v>832</v>
      </c>
    </row>
    <row r="12" spans="1:13" x14ac:dyDescent="0.25">
      <c r="A12" s="129">
        <v>8</v>
      </c>
      <c r="B12" s="242">
        <v>75.200115350000004</v>
      </c>
      <c r="C12" s="423">
        <v>0.75200115350000007</v>
      </c>
      <c r="F12" s="100" t="str">
        <f>'G-1 All Habitats'!B11</f>
        <v>Cropland - Intensive orchards</v>
      </c>
      <c r="G12" s="242" t="s">
        <v>832</v>
      </c>
      <c r="H12" s="242" t="s">
        <v>832</v>
      </c>
      <c r="I12" s="242" t="s">
        <v>832</v>
      </c>
      <c r="J12" s="242" t="s">
        <v>832</v>
      </c>
      <c r="K12" s="242" t="s">
        <v>832</v>
      </c>
      <c r="L12" s="242">
        <v>1</v>
      </c>
      <c r="M12" s="242" t="s">
        <v>832</v>
      </c>
    </row>
    <row r="13" spans="1:13" x14ac:dyDescent="0.25">
      <c r="A13" s="129">
        <v>9</v>
      </c>
      <c r="B13" s="242">
        <v>72.568111310000006</v>
      </c>
      <c r="C13" s="423">
        <v>0.72568111310000005</v>
      </c>
      <c r="F13" s="100" t="str">
        <f>'G-1 All Habitats'!B12</f>
        <v>Cropland - Non-cereal crops</v>
      </c>
      <c r="G13" s="242" t="s">
        <v>832</v>
      </c>
      <c r="H13" s="242" t="s">
        <v>832</v>
      </c>
      <c r="I13" s="242" t="s">
        <v>832</v>
      </c>
      <c r="J13" s="242" t="s">
        <v>832</v>
      </c>
      <c r="K13" s="242" t="s">
        <v>832</v>
      </c>
      <c r="L13" s="242">
        <v>1</v>
      </c>
      <c r="M13" s="242" t="s">
        <v>832</v>
      </c>
    </row>
    <row r="14" spans="1:13" x14ac:dyDescent="0.25">
      <c r="A14" s="129">
        <v>10</v>
      </c>
      <c r="B14" s="242">
        <v>70.028227419999993</v>
      </c>
      <c r="C14" s="423">
        <v>0.70028227419999989</v>
      </c>
      <c r="F14" s="100" t="str">
        <f>'G-1 All Habitats'!B13</f>
        <v>Cropland - Temporary grass and clover leys</v>
      </c>
      <c r="G14" s="242" t="s">
        <v>832</v>
      </c>
      <c r="H14" s="242" t="s">
        <v>832</v>
      </c>
      <c r="I14" s="242" t="s">
        <v>832</v>
      </c>
      <c r="J14" s="242" t="s">
        <v>832</v>
      </c>
      <c r="K14" s="242" t="s">
        <v>832</v>
      </c>
      <c r="L14" s="242">
        <v>1</v>
      </c>
      <c r="M14" s="242" t="s">
        <v>832</v>
      </c>
    </row>
    <row r="15" spans="1:13" x14ac:dyDescent="0.25">
      <c r="A15" s="129">
        <v>11</v>
      </c>
      <c r="B15" s="242">
        <v>67.577239460000001</v>
      </c>
      <c r="C15" s="423">
        <v>0.67577239460000005</v>
      </c>
      <c r="F15" s="100" t="str">
        <f>'G-1 All Habitats'!B14</f>
        <v>Grassland - Traditional orchards</v>
      </c>
      <c r="G15" s="242">
        <v>30</v>
      </c>
      <c r="H15" s="242">
        <v>25</v>
      </c>
      <c r="I15" s="242">
        <v>20</v>
      </c>
      <c r="J15" s="242">
        <v>10</v>
      </c>
      <c r="K15" s="242">
        <v>5</v>
      </c>
      <c r="L15" s="242" t="s">
        <v>832</v>
      </c>
      <c r="M15" s="242" t="s">
        <v>832</v>
      </c>
    </row>
    <row r="16" spans="1:13" x14ac:dyDescent="0.25">
      <c r="A16" s="129">
        <v>12</v>
      </c>
      <c r="B16" s="242">
        <v>65.212036069999996</v>
      </c>
      <c r="C16" s="423">
        <v>0.65212036070000001</v>
      </c>
      <c r="F16" s="100" t="str">
        <f>'G-1 All Habitats'!B15</f>
        <v>Grassland - Bracken</v>
      </c>
      <c r="G16" s="242" t="s">
        <v>832</v>
      </c>
      <c r="H16" s="242" t="s">
        <v>832</v>
      </c>
      <c r="I16" s="242" t="s">
        <v>832</v>
      </c>
      <c r="J16" s="242" t="s">
        <v>832</v>
      </c>
      <c r="K16" s="242">
        <v>1</v>
      </c>
      <c r="L16" s="242" t="s">
        <v>832</v>
      </c>
      <c r="M16" s="242" t="s">
        <v>832</v>
      </c>
    </row>
    <row r="17" spans="1:13" x14ac:dyDescent="0.25">
      <c r="A17" s="129">
        <v>13</v>
      </c>
      <c r="B17" s="242">
        <v>62.929614809999997</v>
      </c>
      <c r="C17" s="423">
        <v>0.62929614810000001</v>
      </c>
      <c r="F17" s="100" t="str">
        <f>'G-1 All Habitats'!B16</f>
        <v>Grassland - Floodplain Wetland Mosaic (CFGM)</v>
      </c>
      <c r="G17" s="242">
        <v>20</v>
      </c>
      <c r="H17" s="242">
        <v>15</v>
      </c>
      <c r="I17" s="242">
        <v>10</v>
      </c>
      <c r="J17" s="242">
        <v>8</v>
      </c>
      <c r="K17" s="242">
        <v>5</v>
      </c>
      <c r="L17" s="242" t="s">
        <v>832</v>
      </c>
      <c r="M17" s="242" t="s">
        <v>832</v>
      </c>
    </row>
    <row r="18" spans="1:13" x14ac:dyDescent="0.25">
      <c r="A18" s="129">
        <v>14</v>
      </c>
      <c r="B18" s="242">
        <v>60.727078290000001</v>
      </c>
      <c r="C18" s="423">
        <v>0.60727078290000003</v>
      </c>
      <c r="F18" s="100" t="str">
        <f>'G-1 All Habitats'!B17</f>
        <v>Grassland - Lowland calcareous grassland</v>
      </c>
      <c r="G18" s="242">
        <v>20</v>
      </c>
      <c r="H18" s="242">
        <v>15</v>
      </c>
      <c r="I18" s="242">
        <v>10</v>
      </c>
      <c r="J18" s="242">
        <v>8</v>
      </c>
      <c r="K18" s="242">
        <v>5</v>
      </c>
      <c r="L18" s="242" t="s">
        <v>832</v>
      </c>
      <c r="M18" s="242" t="s">
        <v>832</v>
      </c>
    </row>
    <row r="19" spans="1:13" x14ac:dyDescent="0.25">
      <c r="A19" s="129">
        <v>15</v>
      </c>
      <c r="B19" s="242">
        <v>58.601630550000003</v>
      </c>
      <c r="C19" s="423">
        <v>0.58601630550000006</v>
      </c>
      <c r="F19" s="100" t="str">
        <f>'G-1 All Habitats'!B18</f>
        <v>Grassland - Lowland dry acid grassland</v>
      </c>
      <c r="G19" s="242" t="s">
        <v>1211</v>
      </c>
      <c r="H19" s="242">
        <v>25</v>
      </c>
      <c r="I19" s="242">
        <v>20</v>
      </c>
      <c r="J19" s="242">
        <v>15</v>
      </c>
      <c r="K19" s="242">
        <v>10</v>
      </c>
      <c r="L19" s="242" t="s">
        <v>832</v>
      </c>
      <c r="M19" s="242" t="s">
        <v>832</v>
      </c>
    </row>
    <row r="20" spans="1:13" x14ac:dyDescent="0.25">
      <c r="A20" s="129">
        <v>16</v>
      </c>
      <c r="B20" s="242">
        <v>56.550573479999997</v>
      </c>
      <c r="C20" s="423">
        <v>0.56550573479999999</v>
      </c>
      <c r="F20" s="100" t="str">
        <f>'G-1 All Habitats'!B19</f>
        <v>Grassland - Lowland meadows</v>
      </c>
      <c r="G20" s="242">
        <v>15</v>
      </c>
      <c r="H20" s="242">
        <v>12</v>
      </c>
      <c r="I20" s="242">
        <v>10</v>
      </c>
      <c r="J20" s="242">
        <v>8</v>
      </c>
      <c r="K20" s="242">
        <v>5</v>
      </c>
      <c r="L20" s="242" t="s">
        <v>832</v>
      </c>
      <c r="M20" s="242" t="s">
        <v>832</v>
      </c>
    </row>
    <row r="21" spans="1:13" ht="15" customHeight="1" x14ac:dyDescent="0.25">
      <c r="A21" s="129">
        <v>17</v>
      </c>
      <c r="B21" s="242">
        <v>54.571303409999999</v>
      </c>
      <c r="C21" s="423">
        <v>0.54571303409999994</v>
      </c>
      <c r="F21" s="100" t="str">
        <f>'G-1 All Habitats'!B20</f>
        <v>Grassland - Modified grassland</v>
      </c>
      <c r="G21" s="242">
        <v>7</v>
      </c>
      <c r="H21" s="242">
        <v>5</v>
      </c>
      <c r="I21" s="242">
        <v>4</v>
      </c>
      <c r="J21" s="242">
        <v>2</v>
      </c>
      <c r="K21" s="242">
        <v>1</v>
      </c>
      <c r="L21" s="242">
        <v>1</v>
      </c>
      <c r="M21" s="242" t="s">
        <v>832</v>
      </c>
    </row>
    <row r="22" spans="1:13" ht="15" customHeight="1" x14ac:dyDescent="0.25">
      <c r="A22" s="129">
        <v>18</v>
      </c>
      <c r="B22" s="242">
        <v>52.661307790000002</v>
      </c>
      <c r="C22" s="423">
        <v>0.5266130779</v>
      </c>
      <c r="F22" s="100" t="str">
        <f>'G-1 All Habitats'!B21</f>
        <v>Grassland - Other lowland acid grassland</v>
      </c>
      <c r="G22" s="242">
        <v>15</v>
      </c>
      <c r="H22" s="242">
        <v>12</v>
      </c>
      <c r="I22" s="242">
        <v>10</v>
      </c>
      <c r="J22" s="242">
        <v>5</v>
      </c>
      <c r="K22" s="242">
        <v>1</v>
      </c>
      <c r="L22" s="242" t="s">
        <v>832</v>
      </c>
      <c r="M22" s="242" t="s">
        <v>832</v>
      </c>
    </row>
    <row r="23" spans="1:13" ht="15" customHeight="1" x14ac:dyDescent="0.25">
      <c r="A23" s="129">
        <v>19</v>
      </c>
      <c r="B23" s="242">
        <v>50.818162020000003</v>
      </c>
      <c r="C23" s="423">
        <v>0.50818162020000002</v>
      </c>
      <c r="F23" s="100" t="str">
        <f>'G-1 All Habitats'!B22</f>
        <v>Grassland - Other neutral grassland</v>
      </c>
      <c r="G23" s="242">
        <v>10</v>
      </c>
      <c r="H23" s="242">
        <v>7</v>
      </c>
      <c r="I23" s="242">
        <v>5</v>
      </c>
      <c r="J23" s="242">
        <v>3</v>
      </c>
      <c r="K23" s="242">
        <v>2</v>
      </c>
      <c r="L23" s="242" t="s">
        <v>832</v>
      </c>
      <c r="M23" s="242" t="s">
        <v>832</v>
      </c>
    </row>
    <row r="24" spans="1:13" ht="15" customHeight="1" x14ac:dyDescent="0.25">
      <c r="A24" s="129">
        <v>20</v>
      </c>
      <c r="B24" s="242">
        <v>49.039526350000003</v>
      </c>
      <c r="C24" s="423">
        <v>0.49039526350000001</v>
      </c>
      <c r="F24" s="100" t="str">
        <f>'G-1 All Habitats'!B23</f>
        <v>Grassland - Tall herb communities</v>
      </c>
      <c r="G24" s="242">
        <v>30</v>
      </c>
      <c r="H24" s="242">
        <v>25</v>
      </c>
      <c r="I24" s="242">
        <v>20</v>
      </c>
      <c r="J24" s="242">
        <v>15</v>
      </c>
      <c r="K24" s="242">
        <v>10</v>
      </c>
      <c r="L24" s="242" t="s">
        <v>832</v>
      </c>
      <c r="M24" s="242" t="s">
        <v>832</v>
      </c>
    </row>
    <row r="25" spans="1:13" ht="15" customHeight="1" x14ac:dyDescent="0.25">
      <c r="A25" s="129">
        <v>21</v>
      </c>
      <c r="B25" s="242">
        <v>47.323142930000003</v>
      </c>
      <c r="C25" s="423">
        <v>0.47323142930000001</v>
      </c>
      <c r="F25" s="100" t="str">
        <f>'G-1 All Habitats'!B24</f>
        <v>Grassland - Upland acid grassland</v>
      </c>
      <c r="G25" s="242">
        <v>15</v>
      </c>
      <c r="H25" s="242">
        <v>12</v>
      </c>
      <c r="I25" s="242">
        <v>10</v>
      </c>
      <c r="J25" s="242">
        <v>5</v>
      </c>
      <c r="K25" s="242">
        <v>1</v>
      </c>
      <c r="L25" s="242" t="s">
        <v>832</v>
      </c>
      <c r="M25" s="242" t="s">
        <v>832</v>
      </c>
    </row>
    <row r="26" spans="1:13" ht="15" customHeight="1" x14ac:dyDescent="0.25">
      <c r="A26" s="129">
        <v>22</v>
      </c>
      <c r="B26" s="242">
        <v>45.666832919999997</v>
      </c>
      <c r="C26" s="423">
        <v>0.4566683292</v>
      </c>
      <c r="F26" s="100" t="str">
        <f>'G-1 All Habitats'!B25</f>
        <v>Grassland - Upland calcareous grassland</v>
      </c>
      <c r="G26" s="242">
        <v>25</v>
      </c>
      <c r="H26" s="242">
        <v>20</v>
      </c>
      <c r="I26" s="242">
        <v>15</v>
      </c>
      <c r="J26" s="242">
        <v>12</v>
      </c>
      <c r="K26" s="242">
        <v>10</v>
      </c>
      <c r="L26" s="242" t="s">
        <v>832</v>
      </c>
      <c r="M26" s="242" t="s">
        <v>832</v>
      </c>
    </row>
    <row r="27" spans="1:13" x14ac:dyDescent="0.25">
      <c r="A27" s="129">
        <v>23</v>
      </c>
      <c r="B27" s="242">
        <v>44.068493770000003</v>
      </c>
      <c r="C27" s="423">
        <v>0.44068493770000006</v>
      </c>
      <c r="F27" s="100" t="str">
        <f>'G-1 All Habitats'!B26</f>
        <v>Grassland - Upland hay meadows</v>
      </c>
      <c r="G27" s="242">
        <v>20</v>
      </c>
      <c r="H27" s="242">
        <v>18</v>
      </c>
      <c r="I27" s="242">
        <v>15</v>
      </c>
      <c r="J27" s="242">
        <v>12</v>
      </c>
      <c r="K27" s="242">
        <v>10</v>
      </c>
      <c r="L27" s="242" t="s">
        <v>832</v>
      </c>
      <c r="M27" s="242" t="s">
        <v>832</v>
      </c>
    </row>
    <row r="28" spans="1:13" x14ac:dyDescent="0.25">
      <c r="A28" s="129">
        <v>24</v>
      </c>
      <c r="B28" s="242">
        <v>42.52609649</v>
      </c>
      <c r="C28" s="423">
        <v>0.42526096489999998</v>
      </c>
      <c r="F28" s="100" t="str">
        <f>'G-1 All Habitats'!B27</f>
        <v>Heathland and shrub - Blackthorn scrub</v>
      </c>
      <c r="G28" s="242">
        <v>10</v>
      </c>
      <c r="H28" s="242">
        <v>7</v>
      </c>
      <c r="I28" s="242">
        <v>5</v>
      </c>
      <c r="J28" s="242">
        <v>3</v>
      </c>
      <c r="K28" s="242">
        <v>1</v>
      </c>
      <c r="L28" s="242" t="s">
        <v>832</v>
      </c>
      <c r="M28" s="242" t="s">
        <v>832</v>
      </c>
    </row>
    <row r="29" spans="1:13" x14ac:dyDescent="0.25">
      <c r="A29" s="129">
        <v>25</v>
      </c>
      <c r="B29" s="242">
        <v>41.037683110000003</v>
      </c>
      <c r="C29" s="423">
        <v>0.41037683110000001</v>
      </c>
      <c r="F29" s="100" t="str">
        <f>'G-1 All Habitats'!B28</f>
        <v>Heathland and shrub - Bramble scrub</v>
      </c>
      <c r="G29" s="242" t="s">
        <v>832</v>
      </c>
      <c r="H29" s="242" t="s">
        <v>832</v>
      </c>
      <c r="I29" s="242" t="s">
        <v>832</v>
      </c>
      <c r="J29" s="242" t="s">
        <v>832</v>
      </c>
      <c r="K29" s="242">
        <v>1</v>
      </c>
      <c r="L29" s="242" t="s">
        <v>832</v>
      </c>
      <c r="M29" s="242" t="s">
        <v>832</v>
      </c>
    </row>
    <row r="30" spans="1:13" x14ac:dyDescent="0.25">
      <c r="A30" s="129">
        <v>26</v>
      </c>
      <c r="B30" s="242">
        <v>39.601364199999999</v>
      </c>
      <c r="C30" s="423">
        <v>0.396013642</v>
      </c>
      <c r="F30" s="100" t="str">
        <f>'G-1 All Habitats'!B29</f>
        <v>Heathland and shrub - Gorse scrub</v>
      </c>
      <c r="G30" s="242">
        <v>10</v>
      </c>
      <c r="H30" s="242">
        <v>7</v>
      </c>
      <c r="I30" s="242">
        <v>5</v>
      </c>
      <c r="J30" s="242">
        <v>3</v>
      </c>
      <c r="K30" s="242">
        <v>1</v>
      </c>
      <c r="L30" s="242" t="s">
        <v>832</v>
      </c>
      <c r="M30" s="242" t="s">
        <v>832</v>
      </c>
    </row>
    <row r="31" spans="1:13" x14ac:dyDescent="0.25">
      <c r="A31" s="129">
        <v>27</v>
      </c>
      <c r="B31" s="242">
        <v>38.215316459999997</v>
      </c>
      <c r="C31" s="423">
        <v>0.38215316459999998</v>
      </c>
      <c r="F31" s="100" t="str">
        <f>'G-1 All Habitats'!B30</f>
        <v>Heathland and shrub - Hawthorn scrub</v>
      </c>
      <c r="G31" s="242">
        <v>10</v>
      </c>
      <c r="H31" s="242">
        <v>7</v>
      </c>
      <c r="I31" s="242">
        <v>5</v>
      </c>
      <c r="J31" s="242">
        <v>3</v>
      </c>
      <c r="K31" s="242">
        <v>1</v>
      </c>
      <c r="L31" s="242" t="s">
        <v>832</v>
      </c>
      <c r="M31" s="242" t="s">
        <v>832</v>
      </c>
    </row>
    <row r="32" spans="1:13" x14ac:dyDescent="0.25">
      <c r="A32" s="129">
        <v>28</v>
      </c>
      <c r="B32" s="242">
        <v>36.877780379999997</v>
      </c>
      <c r="C32" s="423">
        <v>0.36877780379999997</v>
      </c>
      <c r="F32" s="100" t="str">
        <f>'G-1 All Habitats'!B31</f>
        <v>Heathland and shrub - Hazel scrub</v>
      </c>
      <c r="G32" s="242">
        <v>15</v>
      </c>
      <c r="H32" s="242">
        <v>12</v>
      </c>
      <c r="I32" s="242">
        <v>10</v>
      </c>
      <c r="J32" s="242">
        <v>7</v>
      </c>
      <c r="K32" s="242">
        <v>5</v>
      </c>
      <c r="L32" s="242" t="s">
        <v>832</v>
      </c>
      <c r="M32" s="242" t="s">
        <v>832</v>
      </c>
    </row>
    <row r="33" spans="1:13" x14ac:dyDescent="0.25">
      <c r="A33" s="129">
        <v>29</v>
      </c>
      <c r="B33" s="242">
        <v>35.587058069999998</v>
      </c>
      <c r="C33" s="423">
        <v>0.35587058069999999</v>
      </c>
      <c r="F33" s="100" t="str">
        <f>'G-1 All Habitats'!B32</f>
        <v>Heathland and shrub - Lowland Heathland</v>
      </c>
      <c r="G33" s="242" t="s">
        <v>1211</v>
      </c>
      <c r="H33" s="242">
        <v>25</v>
      </c>
      <c r="I33" s="242">
        <v>20</v>
      </c>
      <c r="J33" s="242">
        <v>15</v>
      </c>
      <c r="K33" s="242">
        <v>10</v>
      </c>
      <c r="L33" s="242" t="s">
        <v>832</v>
      </c>
      <c r="M33" s="242" t="s">
        <v>832</v>
      </c>
    </row>
    <row r="34" spans="1:13" x14ac:dyDescent="0.25">
      <c r="A34" s="129">
        <v>30</v>
      </c>
      <c r="B34" s="242">
        <v>34.34151104</v>
      </c>
      <c r="C34" s="423">
        <v>0.3434151104</v>
      </c>
      <c r="F34" s="100" t="str">
        <f>'G-1 All Habitats'!B33</f>
        <v>Heathland and shrub - Mixed scrub</v>
      </c>
      <c r="G34" s="242">
        <v>10</v>
      </c>
      <c r="H34" s="242">
        <v>7</v>
      </c>
      <c r="I34" s="242">
        <v>5</v>
      </c>
      <c r="J34" s="242">
        <v>3</v>
      </c>
      <c r="K34" s="242">
        <v>1</v>
      </c>
      <c r="L34" s="242" t="s">
        <v>832</v>
      </c>
      <c r="M34" s="242" t="s">
        <v>832</v>
      </c>
    </row>
    <row r="35" spans="1:13" x14ac:dyDescent="0.25">
      <c r="A35" s="129">
        <v>31</v>
      </c>
      <c r="B35" s="242">
        <v>33.139558149999999</v>
      </c>
      <c r="C35" s="423">
        <v>0.33139558149999998</v>
      </c>
      <c r="F35" s="100" t="str">
        <f>'G-1 All Habitats'!B34</f>
        <v>Heathland and shrub - Mountain heaths and willow scrub</v>
      </c>
      <c r="G35" s="242" t="s">
        <v>1211</v>
      </c>
      <c r="H35" s="242" t="s">
        <v>1211</v>
      </c>
      <c r="I35" s="242">
        <v>25</v>
      </c>
      <c r="J35" s="242">
        <v>23</v>
      </c>
      <c r="K35" s="242">
        <v>15</v>
      </c>
      <c r="L35" s="242" t="s">
        <v>832</v>
      </c>
      <c r="M35" s="242" t="s">
        <v>832</v>
      </c>
    </row>
    <row r="36" spans="1:13" x14ac:dyDescent="0.25">
      <c r="A36" s="129" t="s">
        <v>1211</v>
      </c>
      <c r="B36" s="247">
        <v>31.979673609999999</v>
      </c>
      <c r="C36" s="423">
        <v>0.31979673609999998</v>
      </c>
      <c r="F36" s="100" t="str">
        <f>'G-1 All Habitats'!B35</f>
        <v>Heathland and shrub - Rhododendron scrub</v>
      </c>
      <c r="G36" s="242" t="s">
        <v>832</v>
      </c>
      <c r="H36" s="242" t="s">
        <v>832</v>
      </c>
      <c r="I36" s="242" t="s">
        <v>832</v>
      </c>
      <c r="J36" s="242" t="s">
        <v>832</v>
      </c>
      <c r="K36" s="242">
        <v>1</v>
      </c>
      <c r="L36" s="242" t="s">
        <v>832</v>
      </c>
      <c r="M36" s="242" t="s">
        <v>832</v>
      </c>
    </row>
    <row r="37" spans="1:13" x14ac:dyDescent="0.25">
      <c r="A37" s="424" t="s">
        <v>832</v>
      </c>
      <c r="B37" s="425" t="s">
        <v>833</v>
      </c>
      <c r="C37" s="425" t="s">
        <v>833</v>
      </c>
      <c r="F37" s="100" t="str">
        <f>'G-1 All Habitats'!B36</f>
        <v>Heathland and shrub - Sea buckthorn scrub (Annex 1)</v>
      </c>
      <c r="G37" s="242">
        <v>10</v>
      </c>
      <c r="H37" s="242">
        <v>7</v>
      </c>
      <c r="I37" s="242">
        <v>5</v>
      </c>
      <c r="J37" s="242">
        <v>3</v>
      </c>
      <c r="K37" s="242">
        <v>1</v>
      </c>
      <c r="L37" s="242" t="s">
        <v>832</v>
      </c>
      <c r="M37" s="242" t="s">
        <v>832</v>
      </c>
    </row>
    <row r="38" spans="1:13" x14ac:dyDescent="0.25">
      <c r="A38" s="46"/>
      <c r="B38" s="46"/>
      <c r="C38" s="46"/>
      <c r="F38" s="100" t="str">
        <f>'G-1 All Habitats'!B37</f>
        <v>Heathland and shrub - Sea buckthorn scrub (other)</v>
      </c>
      <c r="G38" s="242" t="s">
        <v>832</v>
      </c>
      <c r="H38" s="242" t="s">
        <v>832</v>
      </c>
      <c r="I38" s="242" t="s">
        <v>832</v>
      </c>
      <c r="J38" s="242" t="s">
        <v>832</v>
      </c>
      <c r="K38" s="242">
        <v>1</v>
      </c>
      <c r="L38" s="242" t="s">
        <v>832</v>
      </c>
      <c r="M38" s="242" t="s">
        <v>832</v>
      </c>
    </row>
    <row r="39" spans="1:13" ht="27.6" x14ac:dyDescent="0.25">
      <c r="A39" s="426" t="s">
        <v>1294</v>
      </c>
      <c r="B39" s="46"/>
      <c r="C39" s="46"/>
      <c r="F39" s="100" t="str">
        <f>'G-1 All Habitats'!B38</f>
        <v>Heathland and shrub - Upland Heathland</v>
      </c>
      <c r="G39" s="242">
        <v>30</v>
      </c>
      <c r="H39" s="242">
        <v>25</v>
      </c>
      <c r="I39" s="242">
        <v>20</v>
      </c>
      <c r="J39" s="242">
        <v>15</v>
      </c>
      <c r="K39" s="242">
        <v>10</v>
      </c>
      <c r="L39" s="242" t="s">
        <v>832</v>
      </c>
      <c r="M39" s="242" t="s">
        <v>832</v>
      </c>
    </row>
    <row r="40" spans="1:13" x14ac:dyDescent="0.25">
      <c r="A40" s="128" t="s">
        <v>125</v>
      </c>
      <c r="B40" s="46"/>
      <c r="C40" s="46"/>
      <c r="F40" s="100" t="str">
        <f>'G-1 All Habitats'!B39</f>
        <v>Lakes - Aquifer fed naturally fluctuating water bodies</v>
      </c>
      <c r="G40" s="242">
        <v>30</v>
      </c>
      <c r="H40" s="242">
        <v>20</v>
      </c>
      <c r="I40" s="242">
        <v>15</v>
      </c>
      <c r="J40" s="242">
        <v>10</v>
      </c>
      <c r="K40" s="242">
        <v>1</v>
      </c>
      <c r="L40" s="242" t="s">
        <v>832</v>
      </c>
      <c r="M40" s="242" t="s">
        <v>832</v>
      </c>
    </row>
    <row r="41" spans="1:13" x14ac:dyDescent="0.25">
      <c r="A41" s="242">
        <v>0</v>
      </c>
      <c r="B41" s="46"/>
      <c r="C41" s="46"/>
      <c r="F41" s="100" t="str">
        <f>'G-1 All Habitats'!B41</f>
        <v>Lakes - High alkalinity lakes</v>
      </c>
      <c r="G41" s="242">
        <v>30</v>
      </c>
      <c r="H41" s="242">
        <v>20</v>
      </c>
      <c r="I41" s="242">
        <v>10</v>
      </c>
      <c r="J41" s="242">
        <v>7</v>
      </c>
      <c r="K41" s="242">
        <v>5</v>
      </c>
      <c r="L41" s="242" t="s">
        <v>832</v>
      </c>
      <c r="M41" s="242" t="s">
        <v>832</v>
      </c>
    </row>
    <row r="42" spans="1:13" x14ac:dyDescent="0.25">
      <c r="A42" s="242">
        <v>1</v>
      </c>
      <c r="B42" s="46"/>
      <c r="C42" s="46"/>
      <c r="F42" s="100" t="str">
        <f>'G-1 All Habitats'!B42</f>
        <v>Lakes - Low alkalinity lakes</v>
      </c>
      <c r="G42" s="242">
        <v>30</v>
      </c>
      <c r="H42" s="242">
        <v>20</v>
      </c>
      <c r="I42" s="242">
        <v>10</v>
      </c>
      <c r="J42" s="242">
        <v>7</v>
      </c>
      <c r="K42" s="242">
        <v>5</v>
      </c>
      <c r="L42" s="242" t="s">
        <v>832</v>
      </c>
      <c r="M42" s="242" t="s">
        <v>832</v>
      </c>
    </row>
    <row r="43" spans="1:13" x14ac:dyDescent="0.25">
      <c r="A43" s="242">
        <v>2</v>
      </c>
      <c r="B43" s="46"/>
      <c r="C43" s="46"/>
      <c r="F43" s="100" t="str">
        <f>'G-1 All Habitats'!B43</f>
        <v>Lakes - Marl Lakes</v>
      </c>
      <c r="G43" s="242">
        <v>30</v>
      </c>
      <c r="H43" s="242">
        <v>20</v>
      </c>
      <c r="I43" s="242">
        <v>10</v>
      </c>
      <c r="J43" s="242">
        <v>7</v>
      </c>
      <c r="K43" s="242">
        <v>5</v>
      </c>
      <c r="L43" s="242" t="s">
        <v>832</v>
      </c>
      <c r="M43" s="242" t="s">
        <v>832</v>
      </c>
    </row>
    <row r="44" spans="1:13" x14ac:dyDescent="0.25">
      <c r="A44" s="242">
        <v>3</v>
      </c>
      <c r="B44" s="46"/>
      <c r="C44" s="46"/>
      <c r="F44" s="100" t="str">
        <f>'G-1 All Habitats'!B44</f>
        <v>Lakes - Moderate alkalinity lakes</v>
      </c>
      <c r="G44" s="242">
        <v>30</v>
      </c>
      <c r="H44" s="242">
        <v>20</v>
      </c>
      <c r="I44" s="242">
        <v>10</v>
      </c>
      <c r="J44" s="242">
        <v>7</v>
      </c>
      <c r="K44" s="242">
        <v>5</v>
      </c>
      <c r="L44" s="242" t="s">
        <v>832</v>
      </c>
      <c r="M44" s="242" t="s">
        <v>832</v>
      </c>
    </row>
    <row r="45" spans="1:13" x14ac:dyDescent="0.25">
      <c r="A45" s="242">
        <v>4</v>
      </c>
      <c r="B45" s="46"/>
      <c r="C45" s="46"/>
      <c r="F45" s="100" t="str">
        <f>'G-1 All Habitats'!B45</f>
        <v>Lakes - Peat Lakes</v>
      </c>
      <c r="G45" s="242">
        <v>30</v>
      </c>
      <c r="H45" s="242">
        <v>20</v>
      </c>
      <c r="I45" s="242">
        <v>10</v>
      </c>
      <c r="J45" s="242">
        <v>7</v>
      </c>
      <c r="K45" s="242">
        <v>5</v>
      </c>
      <c r="L45" s="242" t="s">
        <v>832</v>
      </c>
      <c r="M45" s="242" t="s">
        <v>832</v>
      </c>
    </row>
    <row r="46" spans="1:13" x14ac:dyDescent="0.25">
      <c r="A46" s="242">
        <v>5</v>
      </c>
      <c r="B46" s="46"/>
      <c r="C46" s="46"/>
      <c r="F46" s="100" t="str">
        <f>'G-1 All Habitats'!B46</f>
        <v>Lakes - Ponds (Priority Habitat)</v>
      </c>
      <c r="G46" s="242">
        <v>5</v>
      </c>
      <c r="H46" s="242">
        <v>4</v>
      </c>
      <c r="I46" s="242">
        <v>3</v>
      </c>
      <c r="J46" s="242">
        <v>2</v>
      </c>
      <c r="K46" s="242">
        <v>1</v>
      </c>
      <c r="L46" s="242" t="s">
        <v>832</v>
      </c>
      <c r="M46" s="242" t="s">
        <v>832</v>
      </c>
    </row>
    <row r="47" spans="1:13" x14ac:dyDescent="0.25">
      <c r="A47" s="242">
        <v>6</v>
      </c>
      <c r="B47" s="46"/>
      <c r="C47" s="46"/>
      <c r="F47" s="100" t="str">
        <f>'G-1 All Habitats'!B47</f>
        <v>Lakes - Ponds (Non- Priority Habitat)</v>
      </c>
      <c r="G47" s="242">
        <v>5</v>
      </c>
      <c r="H47" s="242">
        <v>4</v>
      </c>
      <c r="I47" s="242">
        <v>3</v>
      </c>
      <c r="J47" s="242">
        <v>2</v>
      </c>
      <c r="K47" s="242">
        <v>1</v>
      </c>
      <c r="L47" s="242" t="s">
        <v>832</v>
      </c>
      <c r="M47" s="242" t="s">
        <v>832</v>
      </c>
    </row>
    <row r="48" spans="1:13" x14ac:dyDescent="0.25">
      <c r="A48" s="242">
        <v>7</v>
      </c>
      <c r="B48" s="46"/>
      <c r="C48" s="46"/>
      <c r="F48" s="100" t="str">
        <f>'G-1 All Habitats'!B48</f>
        <v>Lakes - Reservoirs</v>
      </c>
      <c r="G48" s="242">
        <v>10</v>
      </c>
      <c r="H48" s="242">
        <v>7</v>
      </c>
      <c r="I48" s="242">
        <v>5</v>
      </c>
      <c r="J48" s="242">
        <v>3</v>
      </c>
      <c r="K48" s="242">
        <v>1</v>
      </c>
      <c r="L48" s="242" t="s">
        <v>832</v>
      </c>
      <c r="M48" s="242" t="s">
        <v>832</v>
      </c>
    </row>
    <row r="49" spans="1:13" x14ac:dyDescent="0.25">
      <c r="A49" s="242">
        <v>8</v>
      </c>
      <c r="B49" s="46"/>
      <c r="C49" s="46"/>
      <c r="F49" s="100" t="str">
        <f>'G-1 All Habitats'!B49</f>
        <v>Lakes - Temporary lakes, ponds and pools</v>
      </c>
      <c r="G49" s="242">
        <v>5</v>
      </c>
      <c r="H49" s="242">
        <v>4</v>
      </c>
      <c r="I49" s="242">
        <v>3</v>
      </c>
      <c r="J49" s="242">
        <v>2</v>
      </c>
      <c r="K49" s="242">
        <v>1</v>
      </c>
      <c r="L49" s="242" t="s">
        <v>832</v>
      </c>
      <c r="M49" s="242" t="s">
        <v>832</v>
      </c>
    </row>
    <row r="50" spans="1:13" x14ac:dyDescent="0.25">
      <c r="A50" s="242">
        <v>9</v>
      </c>
      <c r="B50" s="46"/>
      <c r="C50" s="46"/>
      <c r="F50" s="100" t="str">
        <f>'G-1 All Habitats'!B50</f>
        <v>Sparsely vegetated land - Calaminarian grasslands</v>
      </c>
      <c r="G50" s="242">
        <v>10</v>
      </c>
      <c r="H50" s="242">
        <v>7</v>
      </c>
      <c r="I50" s="242">
        <v>5</v>
      </c>
      <c r="J50" s="242">
        <v>3</v>
      </c>
      <c r="K50" s="242">
        <v>2</v>
      </c>
      <c r="L50" s="242" t="s">
        <v>832</v>
      </c>
      <c r="M50" s="242" t="s">
        <v>832</v>
      </c>
    </row>
    <row r="51" spans="1:13" x14ac:dyDescent="0.25">
      <c r="A51" s="242">
        <v>10</v>
      </c>
      <c r="B51" s="46"/>
      <c r="C51" s="46"/>
      <c r="F51" s="100" t="str">
        <f>'G-1 All Habitats'!B51</f>
        <v>Sparsely vegetated land - Coastal sand dunes</v>
      </c>
      <c r="G51" s="242">
        <v>20</v>
      </c>
      <c r="H51" s="242">
        <v>15</v>
      </c>
      <c r="I51" s="242">
        <v>10</v>
      </c>
      <c r="J51" s="242">
        <v>7</v>
      </c>
      <c r="K51" s="242">
        <v>5</v>
      </c>
      <c r="L51" s="242" t="s">
        <v>832</v>
      </c>
      <c r="M51" s="242" t="s">
        <v>832</v>
      </c>
    </row>
    <row r="52" spans="1:13" x14ac:dyDescent="0.25">
      <c r="A52" s="242">
        <v>11</v>
      </c>
      <c r="B52" s="46"/>
      <c r="C52" s="46"/>
      <c r="F52" s="100" t="str">
        <f>'G-1 All Habitats'!B52</f>
        <v>Sparsely vegetated land - Coastal vegetated shingle</v>
      </c>
      <c r="G52" s="242">
        <v>20</v>
      </c>
      <c r="H52" s="242">
        <v>15</v>
      </c>
      <c r="I52" s="242">
        <v>10</v>
      </c>
      <c r="J52" s="242">
        <v>7</v>
      </c>
      <c r="K52" s="242">
        <v>5</v>
      </c>
      <c r="L52" s="242" t="s">
        <v>832</v>
      </c>
      <c r="M52" s="242" t="s">
        <v>832</v>
      </c>
    </row>
    <row r="53" spans="1:13" x14ac:dyDescent="0.25">
      <c r="A53" s="242">
        <v>12</v>
      </c>
      <c r="B53" s="46"/>
      <c r="C53" s="46"/>
      <c r="F53" s="100" t="str">
        <f>'G-1 All Habitats'!B53</f>
        <v>Sparsely vegetated land - Ruderal/Ephemeral</v>
      </c>
      <c r="G53" s="242">
        <v>5</v>
      </c>
      <c r="H53" s="242">
        <v>4</v>
      </c>
      <c r="I53" s="242">
        <v>3</v>
      </c>
      <c r="J53" s="242">
        <v>2</v>
      </c>
      <c r="K53" s="242">
        <v>1</v>
      </c>
      <c r="L53" s="242" t="s">
        <v>832</v>
      </c>
      <c r="M53" s="242" t="s">
        <v>832</v>
      </c>
    </row>
    <row r="54" spans="1:13" x14ac:dyDescent="0.25">
      <c r="A54" s="242">
        <v>13</v>
      </c>
      <c r="B54" s="46"/>
      <c r="C54" s="46"/>
      <c r="F54" s="100" t="str">
        <f>'G-1 All Habitats'!B54</f>
        <v>Sparsely vegetated land - Inland rock outcrop and scree habitats</v>
      </c>
      <c r="G54" s="242" t="s">
        <v>1211</v>
      </c>
      <c r="H54" s="242">
        <v>25</v>
      </c>
      <c r="I54" s="242">
        <v>20</v>
      </c>
      <c r="J54" s="242">
        <v>15</v>
      </c>
      <c r="K54" s="242">
        <v>10</v>
      </c>
      <c r="L54" s="242" t="s">
        <v>832</v>
      </c>
      <c r="M54" s="242" t="s">
        <v>832</v>
      </c>
    </row>
    <row r="55" spans="1:13" x14ac:dyDescent="0.25">
      <c r="A55" s="242">
        <v>14</v>
      </c>
      <c r="B55" s="46"/>
      <c r="C55" s="46"/>
      <c r="F55" s="100" t="str">
        <f>'G-1 All Habitats'!B55</f>
        <v>Sparsely vegetated land - Limestone pavement</v>
      </c>
      <c r="G55" s="242" t="s">
        <v>1211</v>
      </c>
      <c r="H55" s="242" t="s">
        <v>1211</v>
      </c>
      <c r="I55" s="242" t="s">
        <v>1211</v>
      </c>
      <c r="J55" s="242" t="s">
        <v>1211</v>
      </c>
      <c r="K55" s="242" t="s">
        <v>1211</v>
      </c>
      <c r="L55" s="242" t="s">
        <v>832</v>
      </c>
      <c r="M55" s="242" t="s">
        <v>832</v>
      </c>
    </row>
    <row r="56" spans="1:13" x14ac:dyDescent="0.25">
      <c r="A56" s="242">
        <v>15</v>
      </c>
      <c r="B56" s="46"/>
      <c r="C56" s="46"/>
      <c r="F56" s="100" t="str">
        <f>'G-1 All Habitats'!B56</f>
        <v>Sparsely vegetated land - Maritime cliff and slopes</v>
      </c>
      <c r="G56" s="242">
        <v>20</v>
      </c>
      <c r="H56" s="242">
        <v>15</v>
      </c>
      <c r="I56" s="242">
        <v>10</v>
      </c>
      <c r="J56" s="242">
        <v>7</v>
      </c>
      <c r="K56" s="242">
        <v>5</v>
      </c>
      <c r="L56" s="242" t="s">
        <v>832</v>
      </c>
      <c r="M56" s="242" t="s">
        <v>832</v>
      </c>
    </row>
    <row r="57" spans="1:13" x14ac:dyDescent="0.25">
      <c r="A57" s="242">
        <v>16</v>
      </c>
      <c r="B57" s="46"/>
      <c r="C57" s="46"/>
      <c r="F57" s="100" t="str">
        <f>'G-1 All Habitats'!B57</f>
        <v>Sparsely vegetated land - Other inland rock and scree</v>
      </c>
      <c r="G57" s="242">
        <v>20</v>
      </c>
      <c r="H57" s="242">
        <v>15</v>
      </c>
      <c r="I57" s="242">
        <v>10</v>
      </c>
      <c r="J57" s="242">
        <v>7</v>
      </c>
      <c r="K57" s="242">
        <v>5</v>
      </c>
      <c r="L57" s="242" t="s">
        <v>832</v>
      </c>
      <c r="M57" s="242" t="s">
        <v>832</v>
      </c>
    </row>
    <row r="58" spans="1:13" x14ac:dyDescent="0.25">
      <c r="A58" s="242">
        <v>17</v>
      </c>
      <c r="B58" s="46"/>
      <c r="C58" s="46"/>
      <c r="F58" s="100" t="str">
        <f>'G-1 All Habitats'!B58</f>
        <v>Urban - Allotments</v>
      </c>
      <c r="G58" s="242">
        <v>1</v>
      </c>
      <c r="H58" s="242">
        <v>1</v>
      </c>
      <c r="I58" s="242">
        <v>1</v>
      </c>
      <c r="J58" s="242">
        <v>1</v>
      </c>
      <c r="K58" s="242">
        <v>1</v>
      </c>
      <c r="L58" s="242" t="s">
        <v>832</v>
      </c>
      <c r="M58" s="242" t="s">
        <v>832</v>
      </c>
    </row>
    <row r="59" spans="1:13" x14ac:dyDescent="0.25">
      <c r="A59" s="242">
        <v>18</v>
      </c>
      <c r="B59" s="46"/>
      <c r="C59" s="46"/>
      <c r="F59" s="100" t="str">
        <f>'G-1 All Habitats'!B40</f>
        <v>Lakes - Ornamental lake or pond</v>
      </c>
      <c r="G59" s="242">
        <v>5</v>
      </c>
      <c r="H59" s="242">
        <v>4</v>
      </c>
      <c r="I59" s="242">
        <v>3</v>
      </c>
      <c r="J59" s="242">
        <v>2</v>
      </c>
      <c r="K59" s="242">
        <v>1</v>
      </c>
      <c r="L59" s="242" t="s">
        <v>832</v>
      </c>
      <c r="M59" s="242" t="s">
        <v>832</v>
      </c>
    </row>
    <row r="60" spans="1:13" x14ac:dyDescent="0.25">
      <c r="A60" s="242">
        <v>19</v>
      </c>
      <c r="B60" s="46"/>
      <c r="C60" s="46"/>
      <c r="F60" s="100" t="str">
        <f>'G-1 All Habitats'!B59</f>
        <v>Urban - Artificial unvegetated, unsealed surface</v>
      </c>
      <c r="G60" s="242" t="s">
        <v>832</v>
      </c>
      <c r="H60" s="242" t="s">
        <v>832</v>
      </c>
      <c r="I60" s="242" t="s">
        <v>832</v>
      </c>
      <c r="J60" s="242" t="s">
        <v>832</v>
      </c>
      <c r="K60" s="242" t="s">
        <v>832</v>
      </c>
      <c r="L60" s="242" t="s">
        <v>832</v>
      </c>
      <c r="M60" s="242">
        <v>0</v>
      </c>
    </row>
    <row r="61" spans="1:13" x14ac:dyDescent="0.25">
      <c r="A61" s="242">
        <v>20</v>
      </c>
      <c r="B61" s="46"/>
      <c r="C61" s="46"/>
      <c r="F61" s="100" t="str">
        <f>'G-1 All Habitats'!B60</f>
        <v>Urban - Bioswale</v>
      </c>
      <c r="G61" s="242">
        <v>3</v>
      </c>
      <c r="H61" s="242">
        <v>2</v>
      </c>
      <c r="I61" s="242">
        <v>1</v>
      </c>
      <c r="J61" s="242">
        <v>1</v>
      </c>
      <c r="K61" s="242">
        <v>1</v>
      </c>
      <c r="L61" s="242" t="s">
        <v>832</v>
      </c>
      <c r="M61" s="242" t="s">
        <v>832</v>
      </c>
    </row>
    <row r="62" spans="1:13" x14ac:dyDescent="0.25">
      <c r="A62" s="242">
        <v>21</v>
      </c>
      <c r="B62" s="46"/>
      <c r="C62" s="46"/>
      <c r="F62" s="100" t="str">
        <f>'G-1 All Habitats'!B61</f>
        <v>Urban - Brown roof</v>
      </c>
      <c r="G62" s="242">
        <v>10</v>
      </c>
      <c r="H62" s="242">
        <v>7</v>
      </c>
      <c r="I62" s="242">
        <v>5</v>
      </c>
      <c r="J62" s="242">
        <v>3</v>
      </c>
      <c r="K62" s="242">
        <v>1</v>
      </c>
      <c r="L62" s="242" t="s">
        <v>832</v>
      </c>
      <c r="M62" s="242" t="s">
        <v>832</v>
      </c>
    </row>
    <row r="63" spans="1:13" x14ac:dyDescent="0.25">
      <c r="A63" s="242">
        <v>22</v>
      </c>
      <c r="B63" s="46"/>
      <c r="C63" s="46"/>
      <c r="F63" s="100" t="str">
        <f>'G-1 All Habitats'!B62</f>
        <v>Urban - Built linear features</v>
      </c>
      <c r="G63" s="242" t="s">
        <v>832</v>
      </c>
      <c r="H63" s="242" t="s">
        <v>832</v>
      </c>
      <c r="I63" s="242" t="s">
        <v>832</v>
      </c>
      <c r="J63" s="242" t="s">
        <v>832</v>
      </c>
      <c r="K63" s="242" t="s">
        <v>832</v>
      </c>
      <c r="L63" s="242" t="s">
        <v>832</v>
      </c>
      <c r="M63" s="242">
        <v>0</v>
      </c>
    </row>
    <row r="64" spans="1:13" x14ac:dyDescent="0.25">
      <c r="A64" s="242">
        <v>23</v>
      </c>
      <c r="B64" s="46"/>
      <c r="C64" s="46"/>
      <c r="F64" s="100" t="str">
        <f>'G-1 All Habitats'!B63</f>
        <v>Urban - Cemeteries and churchyards</v>
      </c>
      <c r="G64" s="242">
        <v>20</v>
      </c>
      <c r="H64" s="242">
        <v>17</v>
      </c>
      <c r="I64" s="242">
        <v>15</v>
      </c>
      <c r="J64" s="242">
        <v>12</v>
      </c>
      <c r="K64" s="242">
        <v>10</v>
      </c>
      <c r="L64" s="242" t="s">
        <v>832</v>
      </c>
      <c r="M64" s="242" t="s">
        <v>832</v>
      </c>
    </row>
    <row r="65" spans="1:13" x14ac:dyDescent="0.25">
      <c r="A65" s="242">
        <v>24</v>
      </c>
      <c r="B65" s="46"/>
      <c r="C65" s="46"/>
      <c r="F65" s="100" t="str">
        <f>'G-1 All Habitats'!B64</f>
        <v>Urban - Developed land; sealed surface</v>
      </c>
      <c r="G65" s="242" t="s">
        <v>832</v>
      </c>
      <c r="H65" s="242" t="s">
        <v>832</v>
      </c>
      <c r="I65" s="242" t="s">
        <v>832</v>
      </c>
      <c r="J65" s="242" t="s">
        <v>832</v>
      </c>
      <c r="K65" s="242" t="s">
        <v>832</v>
      </c>
      <c r="L65" s="242" t="s">
        <v>832</v>
      </c>
      <c r="M65" s="242">
        <v>0</v>
      </c>
    </row>
    <row r="66" spans="1:13" x14ac:dyDescent="0.25">
      <c r="A66" s="242">
        <v>25</v>
      </c>
      <c r="B66" s="46"/>
      <c r="C66" s="46"/>
      <c r="F66" s="100" t="str">
        <f>'G-1 All Habitats'!B65</f>
        <v>Urban - Extensive green roof</v>
      </c>
      <c r="G66" s="242">
        <v>5</v>
      </c>
      <c r="H66" s="242">
        <v>4</v>
      </c>
      <c r="I66" s="242">
        <v>3</v>
      </c>
      <c r="J66" s="242">
        <v>2</v>
      </c>
      <c r="K66" s="242">
        <v>1</v>
      </c>
      <c r="L66" s="242" t="s">
        <v>832</v>
      </c>
      <c r="M66" s="242" t="s">
        <v>832</v>
      </c>
    </row>
    <row r="67" spans="1:13" x14ac:dyDescent="0.25">
      <c r="A67" s="242">
        <v>26</v>
      </c>
      <c r="B67" s="46"/>
      <c r="C67" s="46"/>
      <c r="F67" s="100" t="str">
        <f>'G-1 All Habitats'!B66</f>
        <v>Urban - Facade-bound green wall</v>
      </c>
      <c r="G67" s="242">
        <v>5</v>
      </c>
      <c r="H67" s="242">
        <v>4</v>
      </c>
      <c r="I67" s="242">
        <v>3</v>
      </c>
      <c r="J67" s="242">
        <v>2</v>
      </c>
      <c r="K67" s="242">
        <v>1</v>
      </c>
      <c r="L67" s="242" t="s">
        <v>832</v>
      </c>
      <c r="M67" s="242" t="s">
        <v>832</v>
      </c>
    </row>
    <row r="68" spans="1:13" x14ac:dyDescent="0.25">
      <c r="A68" s="242">
        <v>27</v>
      </c>
      <c r="B68" s="46"/>
      <c r="C68" s="46"/>
      <c r="F68" s="100" t="str">
        <f>'G-1 All Habitats'!B67</f>
        <v>Urban - Ground based green wall</v>
      </c>
      <c r="G68" s="242">
        <v>5</v>
      </c>
      <c r="H68" s="242">
        <v>4</v>
      </c>
      <c r="I68" s="242">
        <v>3</v>
      </c>
      <c r="J68" s="242">
        <v>2</v>
      </c>
      <c r="K68" s="242">
        <v>1</v>
      </c>
      <c r="L68" s="242" t="s">
        <v>832</v>
      </c>
      <c r="M68" s="242" t="s">
        <v>832</v>
      </c>
    </row>
    <row r="69" spans="1:13" x14ac:dyDescent="0.25">
      <c r="A69" s="242">
        <v>28</v>
      </c>
      <c r="B69" s="46"/>
      <c r="C69" s="46"/>
      <c r="F69" s="100" t="str">
        <f>'G-1 All Habitats'!B68</f>
        <v>Urban - Ground level planters</v>
      </c>
      <c r="G69" s="242" t="s">
        <v>832</v>
      </c>
      <c r="H69" s="242" t="s">
        <v>832</v>
      </c>
      <c r="I69" s="242" t="s">
        <v>832</v>
      </c>
      <c r="J69" s="242" t="s">
        <v>832</v>
      </c>
      <c r="K69" s="242">
        <v>1</v>
      </c>
      <c r="L69" s="242" t="s">
        <v>832</v>
      </c>
      <c r="M69" s="242" t="s">
        <v>832</v>
      </c>
    </row>
    <row r="70" spans="1:13" x14ac:dyDescent="0.25">
      <c r="A70" s="242">
        <v>29</v>
      </c>
      <c r="B70" s="46"/>
      <c r="C70" s="46"/>
      <c r="F70" s="100" t="str">
        <f>'G-1 All Habitats'!B69</f>
        <v>Urban - Intensive green roof</v>
      </c>
      <c r="G70" s="242">
        <v>10</v>
      </c>
      <c r="H70" s="242">
        <v>8</v>
      </c>
      <c r="I70" s="242">
        <v>5</v>
      </c>
      <c r="J70" s="242">
        <v>3</v>
      </c>
      <c r="K70" s="242">
        <v>1</v>
      </c>
      <c r="L70" s="242" t="s">
        <v>832</v>
      </c>
      <c r="M70" s="242" t="s">
        <v>832</v>
      </c>
    </row>
    <row r="71" spans="1:13" x14ac:dyDescent="0.25">
      <c r="A71" s="242">
        <v>30</v>
      </c>
      <c r="B71" s="46"/>
      <c r="C71" s="46"/>
      <c r="F71" s="100" t="str">
        <f>'G-1 All Habitats'!B70</f>
        <v>Urban - Introduced shrub</v>
      </c>
      <c r="G71" s="242" t="s">
        <v>832</v>
      </c>
      <c r="H71" s="242" t="s">
        <v>832</v>
      </c>
      <c r="I71" s="242" t="s">
        <v>832</v>
      </c>
      <c r="J71" s="242" t="s">
        <v>832</v>
      </c>
      <c r="K71" s="242">
        <v>1</v>
      </c>
      <c r="L71" s="242" t="s">
        <v>832</v>
      </c>
      <c r="M71" s="242" t="s">
        <v>832</v>
      </c>
    </row>
    <row r="72" spans="1:13" x14ac:dyDescent="0.25">
      <c r="A72" s="242" t="s">
        <v>1211</v>
      </c>
      <c r="B72" s="46"/>
      <c r="C72" s="46"/>
      <c r="F72" s="100" t="str">
        <f>'G-1 All Habitats'!B71</f>
        <v>Urban - Open Mosaic Habitats on Previously Developed Land</v>
      </c>
      <c r="G72" s="242">
        <v>10</v>
      </c>
      <c r="H72" s="242">
        <v>7</v>
      </c>
      <c r="I72" s="242">
        <v>4</v>
      </c>
      <c r="J72" s="242">
        <v>2</v>
      </c>
      <c r="K72" s="242">
        <v>0</v>
      </c>
      <c r="L72" s="242" t="s">
        <v>832</v>
      </c>
      <c r="M72" s="242" t="s">
        <v>832</v>
      </c>
    </row>
    <row r="73" spans="1:13" x14ac:dyDescent="0.25">
      <c r="A73" s="46"/>
      <c r="B73" s="46"/>
      <c r="C73" s="46"/>
      <c r="F73" s="100" t="str">
        <f>'G-1 All Habitats'!B72</f>
        <v>Urban - Rain garden</v>
      </c>
      <c r="G73" s="242">
        <v>5</v>
      </c>
      <c r="H73" s="242">
        <v>4</v>
      </c>
      <c r="I73" s="242">
        <v>3</v>
      </c>
      <c r="J73" s="242">
        <v>2</v>
      </c>
      <c r="K73" s="242">
        <v>1</v>
      </c>
      <c r="L73" s="242" t="s">
        <v>832</v>
      </c>
      <c r="M73" s="242" t="s">
        <v>832</v>
      </c>
    </row>
    <row r="74" spans="1:13" x14ac:dyDescent="0.25">
      <c r="A74" s="46"/>
      <c r="B74" s="46"/>
      <c r="C74" s="46"/>
      <c r="F74" s="100" t="str">
        <f>'G-1 All Habitats'!B73</f>
        <v>Urban - Sand pit quarry or open cast mine</v>
      </c>
      <c r="G74" s="242" t="s">
        <v>832</v>
      </c>
      <c r="H74" s="242" t="s">
        <v>832</v>
      </c>
      <c r="I74" s="242" t="s">
        <v>832</v>
      </c>
      <c r="J74" s="242" t="s">
        <v>832</v>
      </c>
      <c r="K74" s="242">
        <v>1</v>
      </c>
      <c r="L74" s="242" t="s">
        <v>832</v>
      </c>
      <c r="M74" s="242" t="s">
        <v>832</v>
      </c>
    </row>
    <row r="75" spans="1:13" x14ac:dyDescent="0.25">
      <c r="A75" s="46"/>
      <c r="B75" s="46"/>
      <c r="C75" s="46"/>
      <c r="F75" s="100" t="str">
        <f>'G-1 All Habitats'!B74</f>
        <v>Urban - Urban Tree</v>
      </c>
      <c r="G75" s="242" t="s">
        <v>1211</v>
      </c>
      <c r="H75" s="242" t="s">
        <v>1211</v>
      </c>
      <c r="I75" s="242">
        <v>27</v>
      </c>
      <c r="J75" s="242">
        <v>15</v>
      </c>
      <c r="K75" s="242">
        <v>10</v>
      </c>
      <c r="L75" s="242" t="s">
        <v>832</v>
      </c>
      <c r="M75" s="242" t="s">
        <v>832</v>
      </c>
    </row>
    <row r="76" spans="1:13" x14ac:dyDescent="0.25">
      <c r="A76" s="46"/>
      <c r="B76" s="46"/>
      <c r="C76" s="46"/>
      <c r="F76" s="100" t="str">
        <f>'G-1 All Habitats'!B75</f>
        <v>Urban - Sustainable urban drainage feature</v>
      </c>
      <c r="G76" s="242">
        <v>5</v>
      </c>
      <c r="H76" s="242">
        <v>4</v>
      </c>
      <c r="I76" s="242">
        <v>3</v>
      </c>
      <c r="J76" s="242">
        <v>2</v>
      </c>
      <c r="K76" s="242">
        <v>1</v>
      </c>
      <c r="L76" s="242" t="s">
        <v>832</v>
      </c>
      <c r="M76" s="242" t="s">
        <v>832</v>
      </c>
    </row>
    <row r="77" spans="1:13" x14ac:dyDescent="0.25">
      <c r="A77" s="46"/>
      <c r="B77" s="46"/>
      <c r="C77" s="46"/>
      <c r="F77" s="100" t="str">
        <f>'G-1 All Habitats'!B76</f>
        <v>Urban - Un-vegetated garden</v>
      </c>
      <c r="G77" s="242" t="s">
        <v>832</v>
      </c>
      <c r="H77" s="242" t="s">
        <v>832</v>
      </c>
      <c r="I77" s="242" t="s">
        <v>832</v>
      </c>
      <c r="J77" s="242" t="s">
        <v>832</v>
      </c>
      <c r="K77" s="242" t="s">
        <v>832</v>
      </c>
      <c r="L77" s="242" t="s">
        <v>832</v>
      </c>
      <c r="M77" s="242">
        <v>0</v>
      </c>
    </row>
    <row r="78" spans="1:13" x14ac:dyDescent="0.25">
      <c r="A78" s="46"/>
      <c r="B78" s="46"/>
      <c r="C78" s="46"/>
      <c r="F78" s="100" t="str">
        <f>'G-1 All Habitats'!B77</f>
        <v>Urban - Vacant/derelict land/ bareground</v>
      </c>
      <c r="G78" s="242">
        <v>5</v>
      </c>
      <c r="H78" s="242">
        <v>4</v>
      </c>
      <c r="I78" s="242">
        <v>3</v>
      </c>
      <c r="J78" s="242">
        <v>2</v>
      </c>
      <c r="K78" s="242">
        <v>1</v>
      </c>
      <c r="L78" s="242" t="s">
        <v>832</v>
      </c>
      <c r="M78" s="242" t="s">
        <v>832</v>
      </c>
    </row>
    <row r="79" spans="1:13" x14ac:dyDescent="0.25">
      <c r="A79" s="46"/>
      <c r="B79" s="46"/>
      <c r="C79" s="46"/>
      <c r="F79" s="100" t="str">
        <f>'G-1 All Habitats'!B78</f>
        <v>Urban - Vegetated garden</v>
      </c>
      <c r="G79" s="242" t="s">
        <v>832</v>
      </c>
      <c r="H79" s="242" t="s">
        <v>832</v>
      </c>
      <c r="I79" s="242" t="s">
        <v>832</v>
      </c>
      <c r="J79" s="242" t="s">
        <v>832</v>
      </c>
      <c r="K79" s="242">
        <v>1</v>
      </c>
      <c r="L79" s="242" t="s">
        <v>832</v>
      </c>
      <c r="M79" s="242" t="s">
        <v>832</v>
      </c>
    </row>
    <row r="80" spans="1:13" x14ac:dyDescent="0.25">
      <c r="A80" s="46"/>
      <c r="B80" s="46"/>
      <c r="C80" s="46"/>
      <c r="F80" s="100" t="str">
        <f>'G-1 All Habitats'!B79</f>
        <v>Wetland - Blanket bog</v>
      </c>
      <c r="G80" s="242" t="s">
        <v>1211</v>
      </c>
      <c r="H80" s="242" t="s">
        <v>1211</v>
      </c>
      <c r="I80" s="242" t="s">
        <v>1211</v>
      </c>
      <c r="J80" s="242" t="s">
        <v>1211</v>
      </c>
      <c r="K80" s="242" t="s">
        <v>1211</v>
      </c>
      <c r="L80" s="242" t="s">
        <v>832</v>
      </c>
      <c r="M80" s="242" t="s">
        <v>832</v>
      </c>
    </row>
    <row r="81" spans="1:13" x14ac:dyDescent="0.25">
      <c r="A81" s="46"/>
      <c r="B81" s="46"/>
      <c r="C81" s="46"/>
      <c r="F81" s="100" t="str">
        <f>'G-1 All Habitats'!B80</f>
        <v>Wetland - Depressions on Peat substrates (H7150)</v>
      </c>
      <c r="G81" s="242" t="s">
        <v>1211</v>
      </c>
      <c r="H81" s="242" t="s">
        <v>1211</v>
      </c>
      <c r="I81" s="242">
        <v>30</v>
      </c>
      <c r="J81" s="242">
        <v>25</v>
      </c>
      <c r="K81" s="242">
        <v>15</v>
      </c>
      <c r="L81" s="242" t="s">
        <v>832</v>
      </c>
      <c r="M81" s="242" t="s">
        <v>832</v>
      </c>
    </row>
    <row r="82" spans="1:13" x14ac:dyDescent="0.25">
      <c r="A82" s="46"/>
      <c r="B82" s="46"/>
      <c r="C82" s="46"/>
      <c r="F82" s="100" t="str">
        <f>'G-1 All Habitats'!B81</f>
        <v>Wetland - Fens (upland and lowland)</v>
      </c>
      <c r="G82" s="242">
        <v>30</v>
      </c>
      <c r="H82" s="242">
        <v>25</v>
      </c>
      <c r="I82" s="242">
        <v>20</v>
      </c>
      <c r="J82" s="242">
        <v>15</v>
      </c>
      <c r="K82" s="242">
        <v>10</v>
      </c>
      <c r="L82" s="242" t="s">
        <v>832</v>
      </c>
      <c r="M82" s="242" t="s">
        <v>832</v>
      </c>
    </row>
    <row r="83" spans="1:13" x14ac:dyDescent="0.25">
      <c r="A83" s="46"/>
      <c r="B83" s="46"/>
      <c r="C83" s="46"/>
      <c r="F83" s="100" t="str">
        <f>'G-1 All Habitats'!B82</f>
        <v>Wetland - Lowland raised bog</v>
      </c>
      <c r="G83" s="242" t="s">
        <v>1211</v>
      </c>
      <c r="H83" s="242" t="s">
        <v>1211</v>
      </c>
      <c r="I83" s="242">
        <v>30</v>
      </c>
      <c r="J83" s="242">
        <v>20</v>
      </c>
      <c r="K83" s="242">
        <v>15</v>
      </c>
      <c r="L83" s="242" t="s">
        <v>832</v>
      </c>
      <c r="M83" s="242" t="s">
        <v>832</v>
      </c>
    </row>
    <row r="84" spans="1:13" x14ac:dyDescent="0.25">
      <c r="A84" s="46"/>
      <c r="B84" s="46"/>
      <c r="C84" s="46"/>
      <c r="F84" s="100" t="str">
        <f>'G-1 All Habitats'!B83</f>
        <v>Wetland - Oceanic Valley Mire[1] (D2.1)</v>
      </c>
      <c r="G84" s="242" t="s">
        <v>1211</v>
      </c>
      <c r="H84" s="242" t="s">
        <v>1211</v>
      </c>
      <c r="I84" s="242">
        <v>30</v>
      </c>
      <c r="J84" s="242">
        <v>20</v>
      </c>
      <c r="K84" s="242">
        <v>15</v>
      </c>
      <c r="L84" s="242" t="s">
        <v>832</v>
      </c>
      <c r="M84" s="242" t="s">
        <v>832</v>
      </c>
    </row>
    <row r="85" spans="1:13" x14ac:dyDescent="0.25">
      <c r="A85" s="46"/>
      <c r="B85" s="46"/>
      <c r="C85" s="46"/>
      <c r="F85" s="100" t="str">
        <f>'G-1 All Habitats'!B84</f>
        <v>Wetland - Purple moor grass and rush pastures</v>
      </c>
      <c r="G85" s="242">
        <v>30</v>
      </c>
      <c r="H85" s="242">
        <v>25</v>
      </c>
      <c r="I85" s="242">
        <v>20</v>
      </c>
      <c r="J85" s="242">
        <v>15</v>
      </c>
      <c r="K85" s="242">
        <v>10</v>
      </c>
      <c r="L85" s="242" t="s">
        <v>832</v>
      </c>
      <c r="M85" s="242" t="s">
        <v>832</v>
      </c>
    </row>
    <row r="86" spans="1:13" x14ac:dyDescent="0.25">
      <c r="A86" s="46"/>
      <c r="B86" s="46"/>
      <c r="C86" s="46"/>
      <c r="F86" s="100" t="str">
        <f>'G-1 All Habitats'!B85</f>
        <v>Wetland - Reedbeds</v>
      </c>
      <c r="G86" s="242">
        <v>12</v>
      </c>
      <c r="H86" s="242">
        <v>10</v>
      </c>
      <c r="I86" s="242">
        <v>7</v>
      </c>
      <c r="J86" s="242">
        <v>5</v>
      </c>
      <c r="K86" s="242">
        <v>3</v>
      </c>
      <c r="L86" s="242" t="s">
        <v>832</v>
      </c>
      <c r="M86" s="242" t="s">
        <v>832</v>
      </c>
    </row>
    <row r="87" spans="1:13" x14ac:dyDescent="0.25">
      <c r="A87" s="46"/>
      <c r="B87" s="46"/>
      <c r="C87" s="46"/>
      <c r="F87" s="100" t="str">
        <f>'G-1 All Habitats'!B86</f>
        <v>Wetland - Transition mires and quaking bogs (H7140)</v>
      </c>
      <c r="G87" s="242" t="s">
        <v>1211</v>
      </c>
      <c r="H87" s="242" t="s">
        <v>1211</v>
      </c>
      <c r="I87" s="242">
        <v>30</v>
      </c>
      <c r="J87" s="242">
        <v>25</v>
      </c>
      <c r="K87" s="242">
        <v>15</v>
      </c>
      <c r="L87" s="242" t="s">
        <v>832</v>
      </c>
      <c r="M87" s="242" t="s">
        <v>832</v>
      </c>
    </row>
    <row r="88" spans="1:13" x14ac:dyDescent="0.25">
      <c r="A88" s="46"/>
      <c r="B88" s="46"/>
      <c r="C88" s="46"/>
      <c r="F88" s="100" t="str">
        <f>'G-1 All Habitats'!B87</f>
        <v>Woodland and forest - Felled</v>
      </c>
      <c r="G88" s="242" t="s">
        <v>832</v>
      </c>
      <c r="H88" s="242" t="s">
        <v>832</v>
      </c>
      <c r="I88" s="242" t="s">
        <v>832</v>
      </c>
      <c r="J88" s="242" t="s">
        <v>832</v>
      </c>
      <c r="K88" s="242" t="s">
        <v>832</v>
      </c>
      <c r="L88" s="242" t="s">
        <v>832</v>
      </c>
      <c r="M88" s="242" t="s">
        <v>832</v>
      </c>
    </row>
    <row r="89" spans="1:13" x14ac:dyDescent="0.25">
      <c r="A89" s="46"/>
      <c r="B89" s="46"/>
      <c r="C89" s="46"/>
      <c r="F89" s="100" t="str">
        <f>'G-1 All Habitats'!B88</f>
        <v>Woodland and forest - Lowland beech and yew woodland</v>
      </c>
      <c r="G89" s="242" t="s">
        <v>1211</v>
      </c>
      <c r="H89" s="242" t="s">
        <v>1211</v>
      </c>
      <c r="I89" s="242" t="s">
        <v>1211</v>
      </c>
      <c r="J89" s="242">
        <v>25</v>
      </c>
      <c r="K89" s="242">
        <v>10</v>
      </c>
      <c r="L89" s="242" t="s">
        <v>832</v>
      </c>
      <c r="M89" s="242" t="s">
        <v>832</v>
      </c>
    </row>
    <row r="90" spans="1:13" x14ac:dyDescent="0.25">
      <c r="A90" s="46"/>
      <c r="B90" s="46"/>
      <c r="C90" s="46"/>
      <c r="F90" s="100" t="str">
        <f>'G-1 All Habitats'!B89</f>
        <v>Woodland and forest - Lowland mixed deciduous woodland</v>
      </c>
      <c r="G90" s="242" t="s">
        <v>1211</v>
      </c>
      <c r="H90" s="242" t="s">
        <v>1211</v>
      </c>
      <c r="I90" s="242" t="s">
        <v>1211</v>
      </c>
      <c r="J90" s="242">
        <v>25</v>
      </c>
      <c r="K90" s="242">
        <v>10</v>
      </c>
      <c r="L90" s="242" t="s">
        <v>832</v>
      </c>
      <c r="M90" s="242" t="s">
        <v>832</v>
      </c>
    </row>
    <row r="91" spans="1:13" x14ac:dyDescent="0.25">
      <c r="A91" s="46"/>
      <c r="B91" s="46"/>
      <c r="C91" s="46"/>
      <c r="F91" s="100" t="str">
        <f>'G-1 All Habitats'!B90</f>
        <v>Woodland and forest - Native pine woodlands</v>
      </c>
      <c r="G91" s="242" t="s">
        <v>1211</v>
      </c>
      <c r="H91" s="242" t="s">
        <v>1211</v>
      </c>
      <c r="I91" s="242" t="s">
        <v>1211</v>
      </c>
      <c r="J91" s="242">
        <v>25</v>
      </c>
      <c r="K91" s="242">
        <v>10</v>
      </c>
      <c r="L91" s="242" t="s">
        <v>832</v>
      </c>
      <c r="M91" s="242" t="s">
        <v>832</v>
      </c>
    </row>
    <row r="92" spans="1:13" x14ac:dyDescent="0.25">
      <c r="A92" s="46"/>
      <c r="B92" s="46"/>
      <c r="C92" s="46"/>
      <c r="F92" s="100" t="str">
        <f>'G-1 All Habitats'!B91</f>
        <v>Woodland and forest - Other coniferous woodland</v>
      </c>
      <c r="G92" s="242" t="s">
        <v>1211</v>
      </c>
      <c r="H92" s="242" t="s">
        <v>1211</v>
      </c>
      <c r="I92" s="242">
        <v>30</v>
      </c>
      <c r="J92" s="242">
        <v>10</v>
      </c>
      <c r="K92" s="242">
        <v>5</v>
      </c>
      <c r="L92" s="242" t="s">
        <v>832</v>
      </c>
      <c r="M92" s="242" t="s">
        <v>832</v>
      </c>
    </row>
    <row r="93" spans="1:13" x14ac:dyDescent="0.25">
      <c r="A93" s="46"/>
      <c r="B93" s="46"/>
      <c r="C93" s="46"/>
      <c r="F93" s="100" t="str">
        <f>'G-1 All Habitats'!B92</f>
        <v>Woodland and forest - Other Scot's Pine woodland</v>
      </c>
      <c r="G93" s="242" t="s">
        <v>1211</v>
      </c>
      <c r="H93" s="242" t="s">
        <v>1211</v>
      </c>
      <c r="I93" s="242" t="s">
        <v>1211</v>
      </c>
      <c r="J93" s="242">
        <v>25</v>
      </c>
      <c r="K93" s="242">
        <v>10</v>
      </c>
      <c r="L93" s="242" t="s">
        <v>832</v>
      </c>
      <c r="M93" s="242" t="s">
        <v>832</v>
      </c>
    </row>
    <row r="94" spans="1:13" x14ac:dyDescent="0.25">
      <c r="A94" s="46"/>
      <c r="B94" s="46"/>
      <c r="C94" s="46"/>
      <c r="F94" s="100" t="str">
        <f>'G-1 All Habitats'!B93</f>
        <v>Woodland and forest - Other woodland; broadleaved</v>
      </c>
      <c r="G94" s="242" t="s">
        <v>1211</v>
      </c>
      <c r="H94" s="242">
        <v>20</v>
      </c>
      <c r="I94" s="242">
        <v>15</v>
      </c>
      <c r="J94" s="242">
        <v>7</v>
      </c>
      <c r="K94" s="242">
        <v>5</v>
      </c>
      <c r="L94" s="242" t="s">
        <v>832</v>
      </c>
      <c r="M94" s="242" t="s">
        <v>832</v>
      </c>
    </row>
    <row r="95" spans="1:13" x14ac:dyDescent="0.25">
      <c r="A95" s="46"/>
      <c r="B95" s="46"/>
      <c r="C95" s="46"/>
      <c r="F95" s="100" t="str">
        <f>'G-1 All Habitats'!B94</f>
        <v>Woodland and forest - Other woodland; mixed</v>
      </c>
      <c r="G95" s="242" t="s">
        <v>1211</v>
      </c>
      <c r="H95" s="242" t="s">
        <v>1211</v>
      </c>
      <c r="I95" s="242">
        <v>30</v>
      </c>
      <c r="J95" s="242">
        <v>10</v>
      </c>
      <c r="K95" s="242">
        <v>5</v>
      </c>
      <c r="L95" s="242" t="s">
        <v>832</v>
      </c>
      <c r="M95" s="242" t="s">
        <v>832</v>
      </c>
    </row>
    <row r="96" spans="1:13" x14ac:dyDescent="0.25">
      <c r="A96" s="46"/>
      <c r="B96" s="46"/>
      <c r="C96" s="46"/>
      <c r="F96" s="100" t="str">
        <f>'G-1 All Habitats'!B95</f>
        <v>Woodland and forest - Upland birchwoods</v>
      </c>
      <c r="G96" s="242" t="s">
        <v>1211</v>
      </c>
      <c r="H96" s="242">
        <v>30</v>
      </c>
      <c r="I96" s="242">
        <v>25</v>
      </c>
      <c r="J96" s="242">
        <v>20</v>
      </c>
      <c r="K96" s="242">
        <v>10</v>
      </c>
      <c r="L96" s="242" t="s">
        <v>832</v>
      </c>
      <c r="M96" s="242" t="s">
        <v>832</v>
      </c>
    </row>
    <row r="97" spans="1:13" x14ac:dyDescent="0.25">
      <c r="A97" s="46"/>
      <c r="B97" s="46"/>
      <c r="C97" s="46"/>
      <c r="F97" s="100" t="str">
        <f>'G-1 All Habitats'!B96</f>
        <v>Woodland and forest - Upland mixed ashwoods</v>
      </c>
      <c r="G97" s="242" t="s">
        <v>1211</v>
      </c>
      <c r="H97" s="242" t="s">
        <v>1211</v>
      </c>
      <c r="I97" s="242" t="s">
        <v>1211</v>
      </c>
      <c r="J97" s="242">
        <v>25</v>
      </c>
      <c r="K97" s="242">
        <v>10</v>
      </c>
      <c r="L97" s="242" t="s">
        <v>832</v>
      </c>
      <c r="M97" s="242" t="s">
        <v>832</v>
      </c>
    </row>
    <row r="98" spans="1:13" x14ac:dyDescent="0.25">
      <c r="A98" s="46"/>
      <c r="B98" s="46"/>
      <c r="C98" s="46"/>
      <c r="F98" s="100" t="str">
        <f>'G-1 All Habitats'!B97</f>
        <v>Woodland and forest - Upland oakwood</v>
      </c>
      <c r="G98" s="242" t="s">
        <v>1211</v>
      </c>
      <c r="H98" s="242" t="s">
        <v>1211</v>
      </c>
      <c r="I98" s="242" t="s">
        <v>1211</v>
      </c>
      <c r="J98" s="242">
        <v>25</v>
      </c>
      <c r="K98" s="242">
        <v>10</v>
      </c>
      <c r="L98" s="242" t="s">
        <v>832</v>
      </c>
      <c r="M98" s="242" t="s">
        <v>832</v>
      </c>
    </row>
    <row r="99" spans="1:13" x14ac:dyDescent="0.25">
      <c r="F99" s="100" t="str">
        <f>'G-1 All Habitats'!B98</f>
        <v>Woodland and forest - Wet woodland</v>
      </c>
      <c r="G99" s="242" t="s">
        <v>1211</v>
      </c>
      <c r="H99" s="242">
        <v>30</v>
      </c>
      <c r="I99" s="242">
        <v>15</v>
      </c>
      <c r="J99" s="242">
        <v>10</v>
      </c>
      <c r="K99" s="242">
        <v>5</v>
      </c>
      <c r="L99" s="242" t="s">
        <v>832</v>
      </c>
      <c r="M99" s="242" t="s">
        <v>832</v>
      </c>
    </row>
    <row r="100" spans="1:13" x14ac:dyDescent="0.25">
      <c r="F100" s="100" t="str">
        <f>'G-1 All Habitats'!B99</f>
        <v>Woodland and forest - Wood-pasture and parkland</v>
      </c>
      <c r="G100" s="242" t="s">
        <v>1211</v>
      </c>
      <c r="H100" s="242" t="s">
        <v>1211</v>
      </c>
      <c r="I100" s="242" t="s">
        <v>1211</v>
      </c>
      <c r="J100" s="242">
        <v>25</v>
      </c>
      <c r="K100" s="242">
        <v>10</v>
      </c>
      <c r="L100" s="242" t="s">
        <v>832</v>
      </c>
      <c r="M100" s="242" t="s">
        <v>832</v>
      </c>
    </row>
    <row r="101" spans="1:13" x14ac:dyDescent="0.25">
      <c r="F101" s="100" t="str">
        <f>'G-1 All Habitats'!B100</f>
        <v>Coastal lagoons - Coastal lagoons</v>
      </c>
      <c r="G101" s="242">
        <v>10</v>
      </c>
      <c r="H101" s="242">
        <v>8</v>
      </c>
      <c r="I101" s="242">
        <v>5</v>
      </c>
      <c r="J101" s="242">
        <v>3</v>
      </c>
      <c r="K101" s="242">
        <v>1</v>
      </c>
      <c r="L101" s="242" t="s">
        <v>832</v>
      </c>
      <c r="M101" s="242" t="s">
        <v>832</v>
      </c>
    </row>
    <row r="102" spans="1:13" x14ac:dyDescent="0.25">
      <c r="F102" s="100" t="str">
        <f>'G-1 All Habitats'!B101</f>
        <v>Rocky shore - High energy littoral rock</v>
      </c>
      <c r="G102" s="242">
        <v>10</v>
      </c>
      <c r="H102" s="242">
        <v>7</v>
      </c>
      <c r="I102" s="242">
        <v>4</v>
      </c>
      <c r="J102" s="242">
        <v>2</v>
      </c>
      <c r="K102" s="242">
        <v>1</v>
      </c>
      <c r="L102" s="242" t="s">
        <v>832</v>
      </c>
      <c r="M102" s="242" t="s">
        <v>832</v>
      </c>
    </row>
    <row r="103" spans="1:13" x14ac:dyDescent="0.25">
      <c r="F103" s="100" t="str">
        <f>'G-1 All Habitats'!B102</f>
        <v>Rocky shore - High energy littoral rock - on peat, clay or chalk</v>
      </c>
      <c r="G103" s="242" t="s">
        <v>1211</v>
      </c>
      <c r="H103" s="242" t="s">
        <v>1211</v>
      </c>
      <c r="I103" s="242" t="s">
        <v>1211</v>
      </c>
      <c r="J103" s="242" t="s">
        <v>1211</v>
      </c>
      <c r="K103" s="242" t="s">
        <v>1211</v>
      </c>
      <c r="L103" s="242" t="s">
        <v>832</v>
      </c>
      <c r="M103" s="242" t="s">
        <v>832</v>
      </c>
    </row>
    <row r="104" spans="1:13" x14ac:dyDescent="0.25">
      <c r="F104" s="100" t="str">
        <f>'G-1 All Habitats'!B103</f>
        <v>Rocky shore - Moderate energy littoral rock</v>
      </c>
      <c r="G104" s="242">
        <v>13</v>
      </c>
      <c r="H104" s="242">
        <v>8</v>
      </c>
      <c r="I104" s="242">
        <v>4</v>
      </c>
      <c r="J104" s="242">
        <v>2</v>
      </c>
      <c r="K104" s="242">
        <v>1</v>
      </c>
      <c r="L104" s="242" t="s">
        <v>832</v>
      </c>
      <c r="M104" s="242" t="s">
        <v>832</v>
      </c>
    </row>
    <row r="105" spans="1:13" x14ac:dyDescent="0.25">
      <c r="F105" s="100" t="str">
        <f>'G-1 All Habitats'!B104</f>
        <v>Rocky shore - Moderate energy littoral rock - on peat, clay or chalk</v>
      </c>
      <c r="G105" s="242" t="s">
        <v>1211</v>
      </c>
      <c r="H105" s="242" t="s">
        <v>1211</v>
      </c>
      <c r="I105" s="242" t="s">
        <v>1211</v>
      </c>
      <c r="J105" s="242" t="s">
        <v>1211</v>
      </c>
      <c r="K105" s="242" t="s">
        <v>1211</v>
      </c>
      <c r="L105" s="242" t="s">
        <v>832</v>
      </c>
      <c r="M105" s="242" t="s">
        <v>832</v>
      </c>
    </row>
    <row r="106" spans="1:13" x14ac:dyDescent="0.25">
      <c r="F106" s="100" t="str">
        <f>'G-1 All Habitats'!B105</f>
        <v>Rocky shore - Low energy littoral rock</v>
      </c>
      <c r="G106" s="242">
        <v>15</v>
      </c>
      <c r="H106" s="242">
        <v>10</v>
      </c>
      <c r="I106" s="242">
        <v>5</v>
      </c>
      <c r="J106" s="242">
        <v>1</v>
      </c>
      <c r="K106" s="242">
        <v>1</v>
      </c>
      <c r="L106" s="242" t="s">
        <v>832</v>
      </c>
      <c r="M106" s="242" t="s">
        <v>832</v>
      </c>
    </row>
    <row r="107" spans="1:13" x14ac:dyDescent="0.25">
      <c r="F107" s="100" t="str">
        <f>'G-1 All Habitats'!B106</f>
        <v>Rocky shore - Low energy littoral rock - on peat, clay or chalk</v>
      </c>
      <c r="G107" s="242" t="s">
        <v>1211</v>
      </c>
      <c r="H107" s="242" t="s">
        <v>1211</v>
      </c>
      <c r="I107" s="242" t="s">
        <v>1211</v>
      </c>
      <c r="J107" s="242" t="s">
        <v>1211</v>
      </c>
      <c r="K107" s="242" t="s">
        <v>1211</v>
      </c>
      <c r="L107" s="242" t="s">
        <v>832</v>
      </c>
      <c r="M107" s="242" t="s">
        <v>832</v>
      </c>
    </row>
    <row r="108" spans="1:13" x14ac:dyDescent="0.25">
      <c r="F108" s="100" t="str">
        <f>'G-1 All Habitats'!B107</f>
        <v>Rocky shore - Features of littoral rock</v>
      </c>
      <c r="G108" s="242">
        <v>13</v>
      </c>
      <c r="H108" s="242">
        <v>8</v>
      </c>
      <c r="I108" s="242">
        <v>4</v>
      </c>
      <c r="J108" s="242">
        <v>2</v>
      </c>
      <c r="K108" s="242">
        <v>1</v>
      </c>
      <c r="L108" s="242" t="s">
        <v>832</v>
      </c>
      <c r="M108" s="242" t="s">
        <v>832</v>
      </c>
    </row>
    <row r="109" spans="1:13" x14ac:dyDescent="0.25">
      <c r="F109" s="100" t="str">
        <f>'G-1 All Habitats'!B108</f>
        <v>Rocky shore - Features of littoral rock - on peat, clay or chalk</v>
      </c>
      <c r="G109" s="242" t="s">
        <v>1211</v>
      </c>
      <c r="H109" s="242" t="s">
        <v>1211</v>
      </c>
      <c r="I109" s="242" t="s">
        <v>1211</v>
      </c>
      <c r="J109" s="242" t="s">
        <v>1211</v>
      </c>
      <c r="K109" s="242" t="s">
        <v>1211</v>
      </c>
      <c r="L109" s="242" t="s">
        <v>832</v>
      </c>
      <c r="M109" s="242" t="s">
        <v>832</v>
      </c>
    </row>
    <row r="110" spans="1:13" x14ac:dyDescent="0.25">
      <c r="F110" s="100" t="str">
        <f>'G-1 All Habitats'!B111</f>
        <v>Intertidal sediment - Littoral coarse sediment</v>
      </c>
      <c r="G110" s="242">
        <v>3</v>
      </c>
      <c r="H110" s="242">
        <v>2</v>
      </c>
      <c r="I110" s="242">
        <v>1</v>
      </c>
      <c r="J110" s="242">
        <v>1</v>
      </c>
      <c r="K110" s="242">
        <v>1</v>
      </c>
      <c r="L110" s="242" t="s">
        <v>832</v>
      </c>
      <c r="M110" s="242" t="s">
        <v>832</v>
      </c>
    </row>
    <row r="111" spans="1:13" x14ac:dyDescent="0.25">
      <c r="F111" s="100" t="str">
        <f>'G-1 All Habitats'!B112</f>
        <v>Intertidal sediment - Littoral mud</v>
      </c>
      <c r="G111" s="242">
        <v>6</v>
      </c>
      <c r="H111" s="242">
        <v>4</v>
      </c>
      <c r="I111" s="242">
        <v>3</v>
      </c>
      <c r="J111" s="242">
        <v>2</v>
      </c>
      <c r="K111" s="242">
        <v>1</v>
      </c>
      <c r="L111" s="242" t="s">
        <v>832</v>
      </c>
      <c r="M111" s="242" t="s">
        <v>832</v>
      </c>
    </row>
    <row r="112" spans="1:13" x14ac:dyDescent="0.25">
      <c r="F112" s="100" t="str">
        <f>'G-1 All Habitats'!B113</f>
        <v>Intertidal sediment - Littoral mixed sediments</v>
      </c>
      <c r="G112" s="242">
        <v>5</v>
      </c>
      <c r="H112" s="242">
        <v>4</v>
      </c>
      <c r="I112" s="242">
        <v>3</v>
      </c>
      <c r="J112" s="242">
        <v>2</v>
      </c>
      <c r="K112" s="242">
        <v>1</v>
      </c>
      <c r="L112" s="242" t="s">
        <v>832</v>
      </c>
      <c r="M112" s="242" t="s">
        <v>832</v>
      </c>
    </row>
    <row r="113" spans="6:13" x14ac:dyDescent="0.25">
      <c r="F113" s="100" t="str">
        <f>'G-1 All Habitats'!B109</f>
        <v>Coastal saltmarsh - Saltmarshes and saline reedbeds</v>
      </c>
      <c r="G113" s="242">
        <v>15</v>
      </c>
      <c r="H113" s="242">
        <v>10</v>
      </c>
      <c r="I113" s="242">
        <v>7</v>
      </c>
      <c r="J113" s="242">
        <v>3</v>
      </c>
      <c r="K113" s="242">
        <v>1</v>
      </c>
      <c r="L113" s="242" t="s">
        <v>832</v>
      </c>
      <c r="M113" s="242" t="s">
        <v>832</v>
      </c>
    </row>
    <row r="114" spans="6:13" x14ac:dyDescent="0.25">
      <c r="F114" s="100" t="str">
        <f>'G-1 All Habitats'!B110</f>
        <v>Coastal saltmarsh - Artificial saltmarshes and saline reedbeds</v>
      </c>
      <c r="G114" s="242">
        <v>15</v>
      </c>
      <c r="H114" s="242">
        <v>10</v>
      </c>
      <c r="I114" s="242">
        <v>7</v>
      </c>
      <c r="J114" s="242">
        <v>3</v>
      </c>
      <c r="K114" s="242">
        <v>1</v>
      </c>
      <c r="L114" s="242" t="s">
        <v>832</v>
      </c>
      <c r="M114" s="242" t="s">
        <v>832</v>
      </c>
    </row>
    <row r="115" spans="6:13" x14ac:dyDescent="0.25">
      <c r="F115" s="100" t="str">
        <f>'G-1 All Habitats'!B114</f>
        <v>Intertidal sediment - Littoral seagrass</v>
      </c>
      <c r="G115" s="242">
        <v>20</v>
      </c>
      <c r="H115" s="242">
        <v>15</v>
      </c>
      <c r="I115" s="242">
        <v>10</v>
      </c>
      <c r="J115" s="242">
        <v>5</v>
      </c>
      <c r="K115" s="242">
        <v>2</v>
      </c>
      <c r="L115" s="242" t="s">
        <v>832</v>
      </c>
      <c r="M115" s="242" t="s">
        <v>832</v>
      </c>
    </row>
    <row r="116" spans="6:13" x14ac:dyDescent="0.25">
      <c r="F116" s="100" t="str">
        <f>'G-1 All Habitats'!B115</f>
        <v>Intertidal sediment - Littoral seagrass on peat, clay or chalk</v>
      </c>
      <c r="G116" s="242" t="s">
        <v>1211</v>
      </c>
      <c r="H116" s="242" t="s">
        <v>1211</v>
      </c>
      <c r="I116" s="242" t="s">
        <v>1211</v>
      </c>
      <c r="J116" s="242" t="s">
        <v>1211</v>
      </c>
      <c r="K116" s="242" t="s">
        <v>1211</v>
      </c>
      <c r="L116" s="242" t="s">
        <v>832</v>
      </c>
      <c r="M116" s="242" t="s">
        <v>832</v>
      </c>
    </row>
    <row r="117" spans="6:13" x14ac:dyDescent="0.25">
      <c r="F117" s="100" t="str">
        <f>'G-1 All Habitats'!B116</f>
        <v>Intertidal sediment - Littoral biogenic reefs - Mussels</v>
      </c>
      <c r="G117" s="242">
        <v>15</v>
      </c>
      <c r="H117" s="242">
        <v>10</v>
      </c>
      <c r="I117" s="242">
        <v>5</v>
      </c>
      <c r="J117" s="242">
        <v>3</v>
      </c>
      <c r="K117" s="242">
        <v>3</v>
      </c>
      <c r="L117" s="242" t="s">
        <v>832</v>
      </c>
      <c r="M117" s="242" t="s">
        <v>832</v>
      </c>
    </row>
    <row r="118" spans="6:13" x14ac:dyDescent="0.25">
      <c r="F118" s="100" t="str">
        <f>'G-1 All Habitats'!B117</f>
        <v>Intertidal sediment - Littoral biogenic reefs - Sabellaria</v>
      </c>
      <c r="G118" s="242">
        <v>15</v>
      </c>
      <c r="H118" s="242">
        <v>10</v>
      </c>
      <c r="I118" s="242">
        <v>5</v>
      </c>
      <c r="J118" s="242">
        <v>3</v>
      </c>
      <c r="K118" s="242">
        <v>3</v>
      </c>
      <c r="L118" s="242" t="s">
        <v>832</v>
      </c>
      <c r="M118" s="242" t="s">
        <v>832</v>
      </c>
    </row>
    <row r="119" spans="6:13" x14ac:dyDescent="0.25">
      <c r="F119" s="100" t="str">
        <f>'G-1 All Habitats'!B118</f>
        <v>Intertidal sediment - Features of littoral sediment</v>
      </c>
      <c r="G119" s="242">
        <v>10</v>
      </c>
      <c r="H119" s="242">
        <v>7</v>
      </c>
      <c r="I119" s="242">
        <v>5</v>
      </c>
      <c r="J119" s="242">
        <v>3</v>
      </c>
      <c r="K119" s="242">
        <v>3</v>
      </c>
      <c r="L119" s="242" t="s">
        <v>832</v>
      </c>
      <c r="M119" s="242" t="s">
        <v>832</v>
      </c>
    </row>
    <row r="120" spans="6:13" x14ac:dyDescent="0.25">
      <c r="F120" s="100" t="str">
        <f>'G-1 All Habitats'!B119</f>
        <v>Intertidal sediment - Artificial littoral coarse sediment</v>
      </c>
      <c r="G120" s="242">
        <v>3</v>
      </c>
      <c r="H120" s="242">
        <v>2</v>
      </c>
      <c r="I120" s="242">
        <v>1</v>
      </c>
      <c r="J120" s="242">
        <v>1</v>
      </c>
      <c r="K120" s="242">
        <v>1</v>
      </c>
      <c r="L120" s="242" t="s">
        <v>832</v>
      </c>
      <c r="M120" s="242" t="s">
        <v>832</v>
      </c>
    </row>
    <row r="121" spans="6:13" x14ac:dyDescent="0.25">
      <c r="F121" s="100" t="str">
        <f>'G-1 All Habitats'!B120</f>
        <v>Intertidal sediment - Artificial littoral mud</v>
      </c>
      <c r="G121" s="242">
        <v>6</v>
      </c>
      <c r="H121" s="242">
        <v>4</v>
      </c>
      <c r="I121" s="242">
        <v>3</v>
      </c>
      <c r="J121" s="242">
        <v>2</v>
      </c>
      <c r="K121" s="242">
        <v>1</v>
      </c>
      <c r="L121" s="242" t="s">
        <v>832</v>
      </c>
      <c r="M121" s="242" t="s">
        <v>832</v>
      </c>
    </row>
    <row r="122" spans="6:13" x14ac:dyDescent="0.25">
      <c r="F122" s="100" t="str">
        <f>'G-1 All Habitats'!B121</f>
        <v>Intertidal sediment - Artificial littoral sand</v>
      </c>
      <c r="G122" s="242">
        <v>4</v>
      </c>
      <c r="H122" s="242">
        <v>2</v>
      </c>
      <c r="I122" s="242">
        <v>1</v>
      </c>
      <c r="J122" s="242">
        <v>1</v>
      </c>
      <c r="K122" s="242">
        <v>1</v>
      </c>
      <c r="L122" s="242" t="s">
        <v>832</v>
      </c>
      <c r="M122" s="242" t="s">
        <v>832</v>
      </c>
    </row>
    <row r="123" spans="6:13" x14ac:dyDescent="0.25">
      <c r="F123" s="100" t="str">
        <f>'G-1 All Habitats'!B122</f>
        <v>Intertidal sediment - Artificial littoral muddy sand</v>
      </c>
      <c r="G123" s="242">
        <v>5</v>
      </c>
      <c r="H123" s="242">
        <v>4</v>
      </c>
      <c r="I123" s="242">
        <v>3</v>
      </c>
      <c r="J123" s="242">
        <v>2</v>
      </c>
      <c r="K123" s="242">
        <v>1</v>
      </c>
      <c r="L123" s="242" t="s">
        <v>832</v>
      </c>
      <c r="M123" s="242" t="s">
        <v>832</v>
      </c>
    </row>
    <row r="124" spans="6:13" x14ac:dyDescent="0.25">
      <c r="F124" s="100" t="str">
        <f>'G-1 All Habitats'!B123</f>
        <v>Intertidal sediment - Artificial littoral mixed sediments</v>
      </c>
      <c r="G124" s="242">
        <v>5</v>
      </c>
      <c r="H124" s="242">
        <v>4</v>
      </c>
      <c r="I124" s="242">
        <v>3</v>
      </c>
      <c r="J124" s="242">
        <v>2</v>
      </c>
      <c r="K124" s="242">
        <v>1</v>
      </c>
      <c r="L124" s="242" t="s">
        <v>832</v>
      </c>
      <c r="M124" s="242" t="s">
        <v>832</v>
      </c>
    </row>
    <row r="125" spans="6:13" x14ac:dyDescent="0.25">
      <c r="F125" s="100" t="str">
        <f>'G-1 All Habitats'!B124</f>
        <v>Intertidal sediment - Artificial littoral seagrass</v>
      </c>
      <c r="G125" s="242">
        <v>20</v>
      </c>
      <c r="H125" s="242">
        <v>15</v>
      </c>
      <c r="I125" s="242">
        <v>10</v>
      </c>
      <c r="J125" s="242">
        <v>5</v>
      </c>
      <c r="K125" s="242">
        <v>2</v>
      </c>
      <c r="L125" s="242" t="s">
        <v>832</v>
      </c>
      <c r="M125" s="242" t="s">
        <v>832</v>
      </c>
    </row>
    <row r="126" spans="6:13" x14ac:dyDescent="0.25">
      <c r="F126" s="100" t="str">
        <f>'G-1 All Habitats'!B125</f>
        <v>Intertidal sediment - Artificial littoral biogenic reefs</v>
      </c>
      <c r="G126" s="242">
        <v>15</v>
      </c>
      <c r="H126" s="242">
        <v>10</v>
      </c>
      <c r="I126" s="242">
        <v>5</v>
      </c>
      <c r="J126" s="242">
        <v>3</v>
      </c>
      <c r="K126" s="242">
        <v>3</v>
      </c>
      <c r="L126" s="242" t="s">
        <v>832</v>
      </c>
      <c r="M126" s="242" t="s">
        <v>832</v>
      </c>
    </row>
    <row r="127" spans="6:13" x14ac:dyDescent="0.25">
      <c r="F127" s="100" t="str">
        <f>'G-1 All Habitats'!B126</f>
        <v>Intertidal sediment - Littoral sand</v>
      </c>
      <c r="G127" s="242">
        <v>4</v>
      </c>
      <c r="H127" s="242">
        <v>2</v>
      </c>
      <c r="I127" s="242">
        <v>1</v>
      </c>
      <c r="J127" s="242">
        <v>1</v>
      </c>
      <c r="K127" s="242">
        <v>1</v>
      </c>
      <c r="L127" s="242" t="s">
        <v>832</v>
      </c>
      <c r="M127" s="242" t="s">
        <v>832</v>
      </c>
    </row>
    <row r="128" spans="6:13" x14ac:dyDescent="0.25">
      <c r="F128" s="100" t="str">
        <f>'G-1 All Habitats'!B127</f>
        <v>Intertidal sediment - Littoral muddy sand</v>
      </c>
      <c r="G128" s="242">
        <v>5</v>
      </c>
      <c r="H128" s="242">
        <v>4</v>
      </c>
      <c r="I128" s="242">
        <v>3</v>
      </c>
      <c r="J128" s="242">
        <v>2</v>
      </c>
      <c r="K128" s="242">
        <v>1</v>
      </c>
      <c r="L128" s="242" t="s">
        <v>832</v>
      </c>
      <c r="M128" s="242" t="s">
        <v>832</v>
      </c>
    </row>
    <row r="129" spans="6:13" x14ac:dyDescent="0.25">
      <c r="F129" s="100" t="str">
        <f>'G-1 All Habitats'!B128</f>
        <v>Intertidal Hard Structures - Artificial hard structures</v>
      </c>
      <c r="G129" s="242">
        <v>15</v>
      </c>
      <c r="H129" s="242">
        <v>10</v>
      </c>
      <c r="I129" s="242">
        <v>5</v>
      </c>
      <c r="J129" s="242">
        <v>2</v>
      </c>
      <c r="K129" s="242">
        <v>1</v>
      </c>
      <c r="L129" s="242" t="s">
        <v>832</v>
      </c>
      <c r="M129" s="242" t="s">
        <v>832</v>
      </c>
    </row>
    <row r="130" spans="6:13" x14ac:dyDescent="0.25">
      <c r="F130" s="100" t="str">
        <f>'G-1 All Habitats'!B129</f>
        <v>Intertidal Hard Structures - Artificial features of hard structures</v>
      </c>
      <c r="G130" s="242">
        <v>13</v>
      </c>
      <c r="H130" s="242">
        <v>8</v>
      </c>
      <c r="I130" s="242">
        <v>4</v>
      </c>
      <c r="J130" s="242">
        <v>2</v>
      </c>
      <c r="K130" s="242">
        <v>1</v>
      </c>
      <c r="L130" s="242" t="s">
        <v>832</v>
      </c>
      <c r="M130" s="242" t="s">
        <v>832</v>
      </c>
    </row>
    <row r="131" spans="6:13" x14ac:dyDescent="0.25">
      <c r="F131" s="100" t="str">
        <f>'G-1 All Habitats'!B130</f>
        <v>Intertidal Hard Structures - Artificial hard structures with Integrated Greening of Grey Infrastructure (IGGI)</v>
      </c>
      <c r="G131" s="242">
        <v>13</v>
      </c>
      <c r="H131" s="242">
        <v>8</v>
      </c>
      <c r="I131" s="242">
        <v>4</v>
      </c>
      <c r="J131" s="242">
        <v>2</v>
      </c>
      <c r="K131" s="242">
        <v>1</v>
      </c>
      <c r="L131" s="242" t="s">
        <v>832</v>
      </c>
      <c r="M131" s="242" t="s">
        <v>832</v>
      </c>
    </row>
    <row r="132" spans="6:13" x14ac:dyDescent="0.25"/>
    <row r="133" spans="6:13" x14ac:dyDescent="0.25"/>
    <row r="134" spans="6:13" x14ac:dyDescent="0.25"/>
    <row r="135" spans="6:13" x14ac:dyDescent="0.25"/>
    <row r="136" spans="6:13" x14ac:dyDescent="0.25"/>
    <row r="137" spans="6:13" x14ac:dyDescent="0.25"/>
    <row r="138" spans="6:13" x14ac:dyDescent="0.25"/>
    <row r="139" spans="6:13" x14ac:dyDescent="0.25"/>
    <row r="140" spans="6:13" x14ac:dyDescent="0.25"/>
    <row r="141" spans="6:13" x14ac:dyDescent="0.25"/>
    <row r="142" spans="6:13" x14ac:dyDescent="0.25"/>
    <row r="143" spans="6:13" x14ac:dyDescent="0.25"/>
    <row r="144" spans="6:13" x14ac:dyDescent="0.25"/>
    <row r="145" x14ac:dyDescent="0.25"/>
    <row r="146" x14ac:dyDescent="0.25"/>
    <row r="147" x14ac:dyDescent="0.25"/>
    <row r="148" x14ac:dyDescent="0.25"/>
    <row r="149" x14ac:dyDescent="0.25"/>
  </sheetData>
  <sheetProtection algorithmName="SHA-512" hashValue="PpZiTXKWEBHKOeiKzsn+/0POSwVssZUqw814iyDn1ecZz8P31evscuIvfKur1STrOeRaxZnyPqTfb3zm+gK5aQ==" saltValue="aQbqF9FuaJOftDgafX4XWQ==" spinCount="100000" sheet="1" objects="1" scenarios="1"/>
  <autoFilter ref="F3:M128" xr:uid="{00000000-0009-0000-0000-00001F000000}"/>
  <customSheetViews>
    <customSheetView guid="{8BDA793C-C9C5-4FC6-A0A5-F1109F6D4F22}" scale="90" state="hidden">
      <pane xSplit="6" ySplit="3" topLeftCell="G45" activePane="bottomRight" state="frozen"/>
      <selection pane="bottomRight" activeCell="D14" sqref="D14"/>
    </customSheetView>
  </customSheetViews>
  <mergeCells count="3">
    <mergeCell ref="A2:C2"/>
    <mergeCell ref="A1:C1"/>
    <mergeCell ref="G2:M2"/>
  </mergeCells>
  <dataValidations count="1">
    <dataValidation type="list" allowBlank="1" showInputMessage="1" showErrorMessage="1" sqref="G4:M131" xr:uid="{00000000-0002-0000-1F00-000000000000}">
      <formula1>$A$4:$A$37</formula1>
    </dataValidation>
  </dataValidations>
  <pageMargins left="0.7" right="0.7" top="0.75" bottom="0.75" header="0.3" footer="0.3"/>
  <pageSetup paperSize="9" scale="26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2">
    <tabColor rgb="FFFFC000"/>
  </sheetPr>
  <dimension ref="A1:AI292"/>
  <sheetViews>
    <sheetView showGridLines="0" showRowColHeaders="0" zoomScaleNormal="100" workbookViewId="0">
      <pane xSplit="3" ySplit="4" topLeftCell="D5" activePane="bottomRight" state="frozen"/>
      <selection activeCell="B18" sqref="B18:I19"/>
      <selection pane="topRight" activeCell="B18" sqref="B18:I19"/>
      <selection pane="bottomLeft" activeCell="B18" sqref="B18:I19"/>
      <selection pane="bottomRight" activeCell="B18" sqref="B18:I19"/>
    </sheetView>
  </sheetViews>
  <sheetFormatPr defaultColWidth="0" defaultRowHeight="13.8" zeroHeight="1" x14ac:dyDescent="0.25"/>
  <cols>
    <col min="1" max="1" width="3.5546875" style="35" customWidth="1"/>
    <col min="2" max="2" width="3.109375" style="35" customWidth="1"/>
    <col min="3" max="3" width="88.88671875" style="35" bestFit="1" customWidth="1"/>
    <col min="4" max="4" width="18" style="46" customWidth="1"/>
    <col min="5" max="5" width="18.88671875" style="46" customWidth="1"/>
    <col min="6" max="6" width="17.88671875" style="46" customWidth="1"/>
    <col min="7" max="7" width="18.6640625" style="46" customWidth="1"/>
    <col min="8" max="8" width="18.88671875" style="46" customWidth="1"/>
    <col min="9" max="9" width="17.6640625" style="46" customWidth="1"/>
    <col min="10" max="10" width="17.44140625" style="46" customWidth="1"/>
    <col min="11" max="11" width="14.44140625" style="46" bestFit="1" customWidth="1"/>
    <col min="12" max="12" width="12.6640625" style="46" bestFit="1" customWidth="1"/>
    <col min="13" max="17" width="14.44140625" style="46" bestFit="1" customWidth="1"/>
    <col min="18" max="18" width="14.33203125" style="46" bestFit="1" customWidth="1"/>
    <col min="19" max="19" width="13.109375" style="46" bestFit="1" customWidth="1"/>
    <col min="20" max="20" width="14.44140625" style="46" bestFit="1" customWidth="1"/>
    <col min="21" max="21" width="12.6640625" style="46" bestFit="1" customWidth="1"/>
    <col min="22" max="22" width="11.88671875" style="46" customWidth="1"/>
    <col min="23" max="26" width="11.88671875" style="35" customWidth="1"/>
    <col min="27" max="35" width="11.88671875" style="35" hidden="1" customWidth="1"/>
    <col min="36" max="16384" width="9.109375" style="35" hidden="1"/>
  </cols>
  <sheetData>
    <row r="1" spans="3:21" ht="33.6" customHeight="1" x14ac:dyDescent="0.25"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3:21" ht="41.4" x14ac:dyDescent="0.25">
      <c r="C2" s="419" t="s">
        <v>1041</v>
      </c>
      <c r="D2" s="130" t="s">
        <v>361</v>
      </c>
      <c r="E2" s="130" t="s">
        <v>361</v>
      </c>
      <c r="F2" s="130" t="s">
        <v>361</v>
      </c>
      <c r="G2" s="130" t="s">
        <v>361</v>
      </c>
      <c r="H2" s="130" t="s">
        <v>361</v>
      </c>
      <c r="I2" s="130" t="s">
        <v>361</v>
      </c>
      <c r="J2" s="130" t="s">
        <v>361</v>
      </c>
      <c r="K2" s="130" t="s">
        <v>2</v>
      </c>
      <c r="L2" s="130" t="s">
        <v>2</v>
      </c>
      <c r="M2" s="130" t="s">
        <v>2</v>
      </c>
      <c r="N2" s="130" t="s">
        <v>2</v>
      </c>
      <c r="O2" s="130" t="s">
        <v>121</v>
      </c>
      <c r="P2" s="130" t="s">
        <v>121</v>
      </c>
      <c r="Q2" s="130" t="s">
        <v>121</v>
      </c>
      <c r="R2" s="130" t="s">
        <v>1</v>
      </c>
      <c r="S2" s="130" t="s">
        <v>1</v>
      </c>
      <c r="T2" s="130" t="s">
        <v>128</v>
      </c>
      <c r="U2" s="130" t="s">
        <v>0</v>
      </c>
    </row>
    <row r="3" spans="3:21" ht="29.4" customHeight="1" x14ac:dyDescent="0.25">
      <c r="C3" s="419" t="s">
        <v>1472</v>
      </c>
      <c r="D3" s="130" t="s">
        <v>119</v>
      </c>
      <c r="E3" s="130" t="s">
        <v>118</v>
      </c>
      <c r="F3" s="130" t="s">
        <v>2</v>
      </c>
      <c r="G3" s="130" t="s">
        <v>121</v>
      </c>
      <c r="H3" s="130" t="s">
        <v>1</v>
      </c>
      <c r="I3" s="130" t="s">
        <v>128</v>
      </c>
      <c r="J3" s="130" t="s">
        <v>0</v>
      </c>
      <c r="K3" s="130" t="s">
        <v>121</v>
      </c>
      <c r="L3" s="130" t="s">
        <v>1</v>
      </c>
      <c r="M3" s="130" t="s">
        <v>128</v>
      </c>
      <c r="N3" s="130" t="s">
        <v>0</v>
      </c>
      <c r="O3" s="130" t="s">
        <v>1</v>
      </c>
      <c r="P3" s="130" t="s">
        <v>128</v>
      </c>
      <c r="Q3" s="130" t="s">
        <v>0</v>
      </c>
      <c r="R3" s="130" t="s">
        <v>128</v>
      </c>
      <c r="S3" s="130" t="s">
        <v>0</v>
      </c>
      <c r="T3" s="130" t="s">
        <v>0</v>
      </c>
      <c r="U3" s="130" t="s">
        <v>0</v>
      </c>
    </row>
    <row r="4" spans="3:21" ht="63" customHeight="1" x14ac:dyDescent="0.25">
      <c r="C4" s="419" t="s">
        <v>307</v>
      </c>
      <c r="D4" s="128" t="s">
        <v>786</v>
      </c>
      <c r="E4" s="128" t="s">
        <v>787</v>
      </c>
      <c r="F4" s="128" t="s">
        <v>788</v>
      </c>
      <c r="G4" s="128" t="s">
        <v>789</v>
      </c>
      <c r="H4" s="128" t="s">
        <v>790</v>
      </c>
      <c r="I4" s="128" t="s">
        <v>791</v>
      </c>
      <c r="J4" s="128" t="s">
        <v>792</v>
      </c>
      <c r="K4" s="128" t="s">
        <v>320</v>
      </c>
      <c r="L4" s="128" t="s">
        <v>314</v>
      </c>
      <c r="M4" s="128" t="s">
        <v>313</v>
      </c>
      <c r="N4" s="128" t="s">
        <v>315</v>
      </c>
      <c r="O4" s="128" t="s">
        <v>319</v>
      </c>
      <c r="P4" s="128" t="s">
        <v>312</v>
      </c>
      <c r="Q4" s="128" t="s">
        <v>316</v>
      </c>
      <c r="R4" s="128" t="s">
        <v>318</v>
      </c>
      <c r="S4" s="128" t="s">
        <v>321</v>
      </c>
      <c r="T4" s="128" t="s">
        <v>317</v>
      </c>
      <c r="U4" s="128" t="s">
        <v>793</v>
      </c>
    </row>
    <row r="5" spans="3:21" x14ac:dyDescent="0.25">
      <c r="C5" s="100" t="str">
        <f>'G-1 All Habitats'!B3</f>
        <v>Cropland - Arable field margins cultivated annually</v>
      </c>
      <c r="D5" s="242" t="s">
        <v>832</v>
      </c>
      <c r="E5" s="242">
        <v>1</v>
      </c>
      <c r="F5" s="242" t="s">
        <v>832</v>
      </c>
      <c r="G5" s="242" t="s">
        <v>832</v>
      </c>
      <c r="H5" s="242" t="s">
        <v>832</v>
      </c>
      <c r="I5" s="242" t="s">
        <v>832</v>
      </c>
      <c r="J5" s="242" t="s">
        <v>832</v>
      </c>
      <c r="K5" s="242" t="s">
        <v>832</v>
      </c>
      <c r="L5" s="242" t="s">
        <v>832</v>
      </c>
      <c r="M5" s="242" t="s">
        <v>832</v>
      </c>
      <c r="N5" s="242" t="s">
        <v>832</v>
      </c>
      <c r="O5" s="242" t="s">
        <v>832</v>
      </c>
      <c r="P5" s="242" t="s">
        <v>832</v>
      </c>
      <c r="Q5" s="242" t="s">
        <v>832</v>
      </c>
      <c r="R5" s="242" t="s">
        <v>832</v>
      </c>
      <c r="S5" s="242" t="s">
        <v>832</v>
      </c>
      <c r="T5" s="242" t="s">
        <v>832</v>
      </c>
      <c r="U5" s="242" t="s">
        <v>832</v>
      </c>
    </row>
    <row r="6" spans="3:21" x14ac:dyDescent="0.25">
      <c r="C6" s="100" t="str">
        <f>'G-1 All Habitats'!B4</f>
        <v>Cropland - Arable field margins game bird mix</v>
      </c>
      <c r="D6" s="242" t="s">
        <v>832</v>
      </c>
      <c r="E6" s="242">
        <v>1</v>
      </c>
      <c r="F6" s="242" t="s">
        <v>832</v>
      </c>
      <c r="G6" s="242" t="s">
        <v>832</v>
      </c>
      <c r="H6" s="242" t="s">
        <v>832</v>
      </c>
      <c r="I6" s="242" t="s">
        <v>832</v>
      </c>
      <c r="J6" s="242" t="s">
        <v>832</v>
      </c>
      <c r="K6" s="242" t="s">
        <v>832</v>
      </c>
      <c r="L6" s="242" t="s">
        <v>832</v>
      </c>
      <c r="M6" s="242" t="s">
        <v>832</v>
      </c>
      <c r="N6" s="242" t="s">
        <v>832</v>
      </c>
      <c r="O6" s="242" t="s">
        <v>832</v>
      </c>
      <c r="P6" s="242" t="s">
        <v>832</v>
      </c>
      <c r="Q6" s="242" t="s">
        <v>832</v>
      </c>
      <c r="R6" s="242" t="s">
        <v>832</v>
      </c>
      <c r="S6" s="242" t="s">
        <v>832</v>
      </c>
      <c r="T6" s="242" t="s">
        <v>832</v>
      </c>
      <c r="U6" s="242" t="s">
        <v>832</v>
      </c>
    </row>
    <row r="7" spans="3:21" x14ac:dyDescent="0.25">
      <c r="C7" s="100" t="str">
        <f>'G-1 All Habitats'!B5</f>
        <v>Cropland - Arable field margins pollen &amp; nectar</v>
      </c>
      <c r="D7" s="242" t="s">
        <v>832</v>
      </c>
      <c r="E7" s="242">
        <v>1</v>
      </c>
      <c r="F7" s="242" t="s">
        <v>832</v>
      </c>
      <c r="G7" s="242" t="s">
        <v>832</v>
      </c>
      <c r="H7" s="242" t="s">
        <v>832</v>
      </c>
      <c r="I7" s="242" t="s">
        <v>832</v>
      </c>
      <c r="J7" s="242" t="s">
        <v>832</v>
      </c>
      <c r="K7" s="242" t="s">
        <v>832</v>
      </c>
      <c r="L7" s="242" t="s">
        <v>832</v>
      </c>
      <c r="M7" s="242" t="s">
        <v>832</v>
      </c>
      <c r="N7" s="242" t="s">
        <v>832</v>
      </c>
      <c r="O7" s="242" t="s">
        <v>832</v>
      </c>
      <c r="P7" s="242" t="s">
        <v>832</v>
      </c>
      <c r="Q7" s="242" t="s">
        <v>832</v>
      </c>
      <c r="R7" s="242" t="s">
        <v>832</v>
      </c>
      <c r="S7" s="242" t="s">
        <v>832</v>
      </c>
      <c r="T7" s="242" t="s">
        <v>832</v>
      </c>
      <c r="U7" s="242" t="s">
        <v>832</v>
      </c>
    </row>
    <row r="8" spans="3:21" x14ac:dyDescent="0.25">
      <c r="C8" s="100" t="str">
        <f>'G-1 All Habitats'!B6</f>
        <v>Cropland - Arable field margins tussocky</v>
      </c>
      <c r="D8" s="242" t="s">
        <v>832</v>
      </c>
      <c r="E8" s="242">
        <v>1</v>
      </c>
      <c r="F8" s="242" t="s">
        <v>832</v>
      </c>
      <c r="G8" s="242" t="s">
        <v>832</v>
      </c>
      <c r="H8" s="242" t="s">
        <v>832</v>
      </c>
      <c r="I8" s="242" t="s">
        <v>832</v>
      </c>
      <c r="J8" s="242" t="s">
        <v>832</v>
      </c>
      <c r="K8" s="242" t="s">
        <v>832</v>
      </c>
      <c r="L8" s="242" t="s">
        <v>832</v>
      </c>
      <c r="M8" s="242" t="s">
        <v>832</v>
      </c>
      <c r="N8" s="242" t="s">
        <v>832</v>
      </c>
      <c r="O8" s="242" t="s">
        <v>832</v>
      </c>
      <c r="P8" s="242" t="s">
        <v>832</v>
      </c>
      <c r="Q8" s="242" t="s">
        <v>832</v>
      </c>
      <c r="R8" s="242" t="s">
        <v>832</v>
      </c>
      <c r="S8" s="242" t="s">
        <v>832</v>
      </c>
      <c r="T8" s="242" t="s">
        <v>832</v>
      </c>
      <c r="U8" s="242" t="s">
        <v>832</v>
      </c>
    </row>
    <row r="9" spans="3:21" x14ac:dyDescent="0.25">
      <c r="C9" s="100" t="str">
        <f>'G-1 All Habitats'!B7</f>
        <v>Cropland - Cereal crops</v>
      </c>
      <c r="D9" s="242" t="s">
        <v>832</v>
      </c>
      <c r="E9" s="242" t="s">
        <v>832</v>
      </c>
      <c r="F9" s="242" t="s">
        <v>832</v>
      </c>
      <c r="G9" s="242" t="s">
        <v>832</v>
      </c>
      <c r="H9" s="242" t="s">
        <v>832</v>
      </c>
      <c r="I9" s="242" t="s">
        <v>832</v>
      </c>
      <c r="J9" s="242" t="s">
        <v>832</v>
      </c>
      <c r="K9" s="242" t="s">
        <v>832</v>
      </c>
      <c r="L9" s="242" t="s">
        <v>832</v>
      </c>
      <c r="M9" s="242" t="s">
        <v>832</v>
      </c>
      <c r="N9" s="242" t="s">
        <v>832</v>
      </c>
      <c r="O9" s="242" t="s">
        <v>832</v>
      </c>
      <c r="P9" s="242" t="s">
        <v>832</v>
      </c>
      <c r="Q9" s="242" t="s">
        <v>832</v>
      </c>
      <c r="R9" s="242" t="s">
        <v>832</v>
      </c>
      <c r="S9" s="242" t="s">
        <v>832</v>
      </c>
      <c r="T9" s="242" t="s">
        <v>832</v>
      </c>
      <c r="U9" s="242" t="s">
        <v>832</v>
      </c>
    </row>
    <row r="10" spans="3:21" x14ac:dyDescent="0.25">
      <c r="C10" s="100" t="str">
        <f>'G-1 All Habitats'!B8</f>
        <v>Cropland - Cereal crops other</v>
      </c>
      <c r="D10" s="242" t="s">
        <v>832</v>
      </c>
      <c r="E10" s="242" t="s">
        <v>832</v>
      </c>
      <c r="F10" s="242" t="s">
        <v>832</v>
      </c>
      <c r="G10" s="242" t="s">
        <v>832</v>
      </c>
      <c r="H10" s="242" t="s">
        <v>832</v>
      </c>
      <c r="I10" s="242" t="s">
        <v>832</v>
      </c>
      <c r="J10" s="242" t="s">
        <v>832</v>
      </c>
      <c r="K10" s="242" t="s">
        <v>832</v>
      </c>
      <c r="L10" s="242" t="s">
        <v>832</v>
      </c>
      <c r="M10" s="242" t="s">
        <v>832</v>
      </c>
      <c r="N10" s="242" t="s">
        <v>832</v>
      </c>
      <c r="O10" s="242" t="s">
        <v>832</v>
      </c>
      <c r="P10" s="242" t="s">
        <v>832</v>
      </c>
      <c r="Q10" s="242" t="s">
        <v>832</v>
      </c>
      <c r="R10" s="242" t="s">
        <v>832</v>
      </c>
      <c r="S10" s="242" t="s">
        <v>832</v>
      </c>
      <c r="T10" s="242" t="s">
        <v>832</v>
      </c>
      <c r="U10" s="242" t="s">
        <v>832</v>
      </c>
    </row>
    <row r="11" spans="3:21" x14ac:dyDescent="0.25">
      <c r="C11" s="100" t="str">
        <f>'G-1 All Habitats'!B9</f>
        <v>Cropland - Cereal crops winter stubble</v>
      </c>
      <c r="D11" s="242" t="s">
        <v>832</v>
      </c>
      <c r="E11" s="242">
        <v>1</v>
      </c>
      <c r="F11" s="242" t="s">
        <v>832</v>
      </c>
      <c r="G11" s="242" t="s">
        <v>832</v>
      </c>
      <c r="H11" s="242" t="s">
        <v>832</v>
      </c>
      <c r="I11" s="242" t="s">
        <v>832</v>
      </c>
      <c r="J11" s="242" t="s">
        <v>832</v>
      </c>
      <c r="K11" s="242" t="s">
        <v>832</v>
      </c>
      <c r="L11" s="242" t="s">
        <v>832</v>
      </c>
      <c r="M11" s="242" t="s">
        <v>832</v>
      </c>
      <c r="N11" s="242" t="s">
        <v>832</v>
      </c>
      <c r="O11" s="242" t="s">
        <v>832</v>
      </c>
      <c r="P11" s="242" t="s">
        <v>832</v>
      </c>
      <c r="Q11" s="242" t="s">
        <v>832</v>
      </c>
      <c r="R11" s="242" t="s">
        <v>832</v>
      </c>
      <c r="S11" s="242" t="s">
        <v>832</v>
      </c>
      <c r="T11" s="242" t="s">
        <v>832</v>
      </c>
      <c r="U11" s="242" t="s">
        <v>832</v>
      </c>
    </row>
    <row r="12" spans="3:21" x14ac:dyDescent="0.25">
      <c r="C12" s="100" t="str">
        <f>'G-1 All Habitats'!B10</f>
        <v>Cropland - Horticulture</v>
      </c>
      <c r="D12" s="242" t="s">
        <v>832</v>
      </c>
      <c r="E12" s="242" t="s">
        <v>832</v>
      </c>
      <c r="F12" s="242" t="s">
        <v>832</v>
      </c>
      <c r="G12" s="242" t="s">
        <v>832</v>
      </c>
      <c r="H12" s="242" t="s">
        <v>832</v>
      </c>
      <c r="I12" s="242" t="s">
        <v>832</v>
      </c>
      <c r="J12" s="242" t="s">
        <v>832</v>
      </c>
      <c r="K12" s="242" t="s">
        <v>832</v>
      </c>
      <c r="L12" s="242" t="s">
        <v>832</v>
      </c>
      <c r="M12" s="242" t="s">
        <v>832</v>
      </c>
      <c r="N12" s="242" t="s">
        <v>832</v>
      </c>
      <c r="O12" s="242" t="s">
        <v>832</v>
      </c>
      <c r="P12" s="242" t="s">
        <v>832</v>
      </c>
      <c r="Q12" s="242" t="s">
        <v>832</v>
      </c>
      <c r="R12" s="242" t="s">
        <v>832</v>
      </c>
      <c r="S12" s="242" t="s">
        <v>832</v>
      </c>
      <c r="T12" s="242" t="s">
        <v>832</v>
      </c>
      <c r="U12" s="242" t="s">
        <v>832</v>
      </c>
    </row>
    <row r="13" spans="3:21" x14ac:dyDescent="0.25">
      <c r="C13" s="100" t="str">
        <f>'G-1 All Habitats'!B11</f>
        <v>Cropland - Intensive orchards</v>
      </c>
      <c r="D13" s="242" t="s">
        <v>832</v>
      </c>
      <c r="E13" s="242" t="s">
        <v>832</v>
      </c>
      <c r="F13" s="242" t="s">
        <v>832</v>
      </c>
      <c r="G13" s="242" t="s">
        <v>832</v>
      </c>
      <c r="H13" s="242" t="s">
        <v>832</v>
      </c>
      <c r="I13" s="242" t="s">
        <v>832</v>
      </c>
      <c r="J13" s="242" t="s">
        <v>832</v>
      </c>
      <c r="K13" s="242" t="s">
        <v>832</v>
      </c>
      <c r="L13" s="242" t="s">
        <v>832</v>
      </c>
      <c r="M13" s="242" t="s">
        <v>832</v>
      </c>
      <c r="N13" s="242" t="s">
        <v>832</v>
      </c>
      <c r="O13" s="242" t="s">
        <v>832</v>
      </c>
      <c r="P13" s="242" t="s">
        <v>832</v>
      </c>
      <c r="Q13" s="242" t="s">
        <v>832</v>
      </c>
      <c r="R13" s="242" t="s">
        <v>832</v>
      </c>
      <c r="S13" s="242" t="s">
        <v>832</v>
      </c>
      <c r="T13" s="242" t="s">
        <v>832</v>
      </c>
      <c r="U13" s="242" t="s">
        <v>832</v>
      </c>
    </row>
    <row r="14" spans="3:21" x14ac:dyDescent="0.25">
      <c r="C14" s="100" t="str">
        <f>'G-1 All Habitats'!B12</f>
        <v>Cropland - Non-cereal crops</v>
      </c>
      <c r="D14" s="242" t="s">
        <v>832</v>
      </c>
      <c r="E14" s="242" t="s">
        <v>832</v>
      </c>
      <c r="F14" s="242" t="s">
        <v>832</v>
      </c>
      <c r="G14" s="242" t="s">
        <v>832</v>
      </c>
      <c r="H14" s="242" t="s">
        <v>832</v>
      </c>
      <c r="I14" s="242" t="s">
        <v>832</v>
      </c>
      <c r="J14" s="242" t="s">
        <v>832</v>
      </c>
      <c r="K14" s="242" t="s">
        <v>832</v>
      </c>
      <c r="L14" s="242" t="s">
        <v>832</v>
      </c>
      <c r="M14" s="242" t="s">
        <v>832</v>
      </c>
      <c r="N14" s="242" t="s">
        <v>832</v>
      </c>
      <c r="O14" s="242" t="s">
        <v>832</v>
      </c>
      <c r="P14" s="242" t="s">
        <v>832</v>
      </c>
      <c r="Q14" s="242" t="s">
        <v>832</v>
      </c>
      <c r="R14" s="242" t="s">
        <v>832</v>
      </c>
      <c r="S14" s="242" t="s">
        <v>832</v>
      </c>
      <c r="T14" s="242" t="s">
        <v>832</v>
      </c>
      <c r="U14" s="242" t="s">
        <v>832</v>
      </c>
    </row>
    <row r="15" spans="3:21" x14ac:dyDescent="0.25">
      <c r="C15" s="100" t="str">
        <f>'G-1 All Habitats'!B13</f>
        <v>Cropland - Temporary grass and clover leys</v>
      </c>
      <c r="D15" s="242" t="s">
        <v>832</v>
      </c>
      <c r="E15" s="242" t="s">
        <v>832</v>
      </c>
      <c r="F15" s="242" t="s">
        <v>832</v>
      </c>
      <c r="G15" s="242" t="s">
        <v>832</v>
      </c>
      <c r="H15" s="242" t="s">
        <v>832</v>
      </c>
      <c r="I15" s="242" t="s">
        <v>832</v>
      </c>
      <c r="J15" s="242" t="s">
        <v>832</v>
      </c>
      <c r="K15" s="242" t="s">
        <v>832</v>
      </c>
      <c r="L15" s="242" t="s">
        <v>832</v>
      </c>
      <c r="M15" s="242" t="s">
        <v>832</v>
      </c>
      <c r="N15" s="242" t="s">
        <v>832</v>
      </c>
      <c r="O15" s="242" t="s">
        <v>832</v>
      </c>
      <c r="P15" s="242" t="s">
        <v>832</v>
      </c>
      <c r="Q15" s="242" t="s">
        <v>832</v>
      </c>
      <c r="R15" s="242" t="s">
        <v>832</v>
      </c>
      <c r="S15" s="242" t="s">
        <v>832</v>
      </c>
      <c r="T15" s="242" t="s">
        <v>832</v>
      </c>
      <c r="U15" s="242" t="s">
        <v>832</v>
      </c>
    </row>
    <row r="16" spans="3:21" x14ac:dyDescent="0.25">
      <c r="C16" s="100" t="str">
        <f>'G-1 All Habitats'!B14</f>
        <v>Grassland - Traditional orchards</v>
      </c>
      <c r="D16" s="242" t="s">
        <v>832</v>
      </c>
      <c r="E16" s="242" t="s">
        <v>832</v>
      </c>
      <c r="F16" s="242">
        <v>5</v>
      </c>
      <c r="G16" s="242">
        <v>10</v>
      </c>
      <c r="H16" s="242">
        <v>20</v>
      </c>
      <c r="I16" s="242">
        <v>25</v>
      </c>
      <c r="J16" s="242">
        <v>30</v>
      </c>
      <c r="K16" s="242">
        <v>5</v>
      </c>
      <c r="L16" s="242">
        <v>15</v>
      </c>
      <c r="M16" s="242">
        <v>20</v>
      </c>
      <c r="N16" s="242">
        <v>25</v>
      </c>
      <c r="O16" s="242">
        <v>10</v>
      </c>
      <c r="P16" s="242">
        <v>15</v>
      </c>
      <c r="Q16" s="242">
        <v>20</v>
      </c>
      <c r="R16" s="242">
        <v>5</v>
      </c>
      <c r="S16" s="242">
        <v>10</v>
      </c>
      <c r="T16" s="242">
        <v>5</v>
      </c>
      <c r="U16" s="242" t="s">
        <v>832</v>
      </c>
    </row>
    <row r="17" spans="3:21" x14ac:dyDescent="0.25">
      <c r="C17" s="100" t="str">
        <f>'G-1 All Habitats'!B15</f>
        <v>Grassland - Bracken</v>
      </c>
      <c r="D17" s="242" t="s">
        <v>832</v>
      </c>
      <c r="E17" s="242" t="s">
        <v>832</v>
      </c>
      <c r="F17" s="242">
        <v>1</v>
      </c>
      <c r="G17" s="242" t="s">
        <v>832</v>
      </c>
      <c r="H17" s="242" t="s">
        <v>832</v>
      </c>
      <c r="I17" s="242" t="s">
        <v>832</v>
      </c>
      <c r="J17" s="242" t="s">
        <v>832</v>
      </c>
      <c r="K17" s="242" t="s">
        <v>832</v>
      </c>
      <c r="L17" s="242" t="s">
        <v>832</v>
      </c>
      <c r="M17" s="242" t="s">
        <v>832</v>
      </c>
      <c r="N17" s="242" t="s">
        <v>832</v>
      </c>
      <c r="O17" s="242" t="s">
        <v>832</v>
      </c>
      <c r="P17" s="242" t="s">
        <v>832</v>
      </c>
      <c r="Q17" s="242" t="s">
        <v>832</v>
      </c>
      <c r="R17" s="242" t="s">
        <v>832</v>
      </c>
      <c r="S17" s="242" t="s">
        <v>832</v>
      </c>
      <c r="T17" s="242" t="s">
        <v>832</v>
      </c>
      <c r="U17" s="242" t="s">
        <v>832</v>
      </c>
    </row>
    <row r="18" spans="3:21" x14ac:dyDescent="0.25">
      <c r="C18" s="100" t="str">
        <f>'G-1 All Habitats'!B16</f>
        <v>Grassland - Floodplain Wetland Mosaic (CFGM)</v>
      </c>
      <c r="D18" s="242" t="s">
        <v>832</v>
      </c>
      <c r="E18" s="242" t="s">
        <v>832</v>
      </c>
      <c r="F18" s="242">
        <v>5</v>
      </c>
      <c r="G18" s="242">
        <v>8</v>
      </c>
      <c r="H18" s="242">
        <v>10</v>
      </c>
      <c r="I18" s="242">
        <v>12</v>
      </c>
      <c r="J18" s="242">
        <v>15</v>
      </c>
      <c r="K18" s="242">
        <v>8</v>
      </c>
      <c r="L18" s="242">
        <v>10</v>
      </c>
      <c r="M18" s="242">
        <v>12</v>
      </c>
      <c r="N18" s="242">
        <v>15</v>
      </c>
      <c r="O18" s="242">
        <v>2</v>
      </c>
      <c r="P18" s="242">
        <v>4</v>
      </c>
      <c r="Q18" s="242">
        <v>7</v>
      </c>
      <c r="R18" s="242">
        <v>2</v>
      </c>
      <c r="S18" s="242">
        <v>4</v>
      </c>
      <c r="T18" s="242">
        <v>3</v>
      </c>
      <c r="U18" s="242" t="s">
        <v>832</v>
      </c>
    </row>
    <row r="19" spans="3:21" x14ac:dyDescent="0.25">
      <c r="C19" s="100" t="str">
        <f>'G-1 All Habitats'!B17</f>
        <v>Grassland - Lowland calcareous grassland</v>
      </c>
      <c r="D19" s="242" t="s">
        <v>832</v>
      </c>
      <c r="E19" s="242" t="s">
        <v>832</v>
      </c>
      <c r="F19" s="242">
        <v>10</v>
      </c>
      <c r="G19" s="242">
        <v>15</v>
      </c>
      <c r="H19" s="242">
        <v>20</v>
      </c>
      <c r="I19" s="242">
        <v>25</v>
      </c>
      <c r="J19" s="242">
        <v>30</v>
      </c>
      <c r="K19" s="242">
        <v>5</v>
      </c>
      <c r="L19" s="242">
        <v>10</v>
      </c>
      <c r="M19" s="242">
        <v>15</v>
      </c>
      <c r="N19" s="242">
        <v>20</v>
      </c>
      <c r="O19" s="242">
        <v>5</v>
      </c>
      <c r="P19" s="242">
        <v>10</v>
      </c>
      <c r="Q19" s="242">
        <v>15</v>
      </c>
      <c r="R19" s="242">
        <v>5</v>
      </c>
      <c r="S19" s="242">
        <v>10</v>
      </c>
      <c r="T19" s="242">
        <v>5</v>
      </c>
      <c r="U19" s="242" t="s">
        <v>832</v>
      </c>
    </row>
    <row r="20" spans="3:21" x14ac:dyDescent="0.25">
      <c r="C20" s="100" t="str">
        <f>'G-1 All Habitats'!B18</f>
        <v>Grassland - Lowland dry acid grassland</v>
      </c>
      <c r="D20" s="242" t="s">
        <v>832</v>
      </c>
      <c r="E20" s="242" t="s">
        <v>832</v>
      </c>
      <c r="F20" s="242">
        <v>10</v>
      </c>
      <c r="G20" s="242">
        <v>15</v>
      </c>
      <c r="H20" s="242">
        <v>20</v>
      </c>
      <c r="I20" s="242">
        <v>25</v>
      </c>
      <c r="J20" s="242" t="s">
        <v>1211</v>
      </c>
      <c r="K20" s="242">
        <v>5</v>
      </c>
      <c r="L20" s="242">
        <v>15</v>
      </c>
      <c r="M20" s="242">
        <v>20</v>
      </c>
      <c r="N20" s="242" t="s">
        <v>1211</v>
      </c>
      <c r="O20" s="242">
        <v>8</v>
      </c>
      <c r="P20" s="242">
        <v>15</v>
      </c>
      <c r="Q20" s="242">
        <v>25</v>
      </c>
      <c r="R20" s="242">
        <v>10</v>
      </c>
      <c r="S20" s="242">
        <v>20</v>
      </c>
      <c r="T20" s="242">
        <v>10</v>
      </c>
      <c r="U20" s="242" t="s">
        <v>832</v>
      </c>
    </row>
    <row r="21" spans="3:21" x14ac:dyDescent="0.25">
      <c r="C21" s="100" t="str">
        <f>'G-1 All Habitats'!B19</f>
        <v>Grassland - Lowland meadows</v>
      </c>
      <c r="D21" s="242" t="s">
        <v>832</v>
      </c>
      <c r="E21" s="242" t="s">
        <v>832</v>
      </c>
      <c r="F21" s="242">
        <v>5</v>
      </c>
      <c r="G21" s="242">
        <v>8</v>
      </c>
      <c r="H21" s="242">
        <v>10</v>
      </c>
      <c r="I21" s="242">
        <v>12</v>
      </c>
      <c r="J21" s="242">
        <v>15</v>
      </c>
      <c r="K21" s="242">
        <v>4</v>
      </c>
      <c r="L21" s="242">
        <v>8</v>
      </c>
      <c r="M21" s="242">
        <v>11</v>
      </c>
      <c r="N21" s="242">
        <v>15</v>
      </c>
      <c r="O21" s="242">
        <v>4</v>
      </c>
      <c r="P21" s="242">
        <v>8</v>
      </c>
      <c r="Q21" s="242">
        <v>11</v>
      </c>
      <c r="R21" s="242">
        <v>4</v>
      </c>
      <c r="S21" s="242">
        <v>8</v>
      </c>
      <c r="T21" s="242">
        <v>4</v>
      </c>
      <c r="U21" s="242" t="s">
        <v>832</v>
      </c>
    </row>
    <row r="22" spans="3:21" x14ac:dyDescent="0.25">
      <c r="C22" s="100" t="str">
        <f>'G-1 All Habitats'!B20</f>
        <v>Grassland - Modified grassland</v>
      </c>
      <c r="D22" s="242" t="s">
        <v>832</v>
      </c>
      <c r="E22" s="242">
        <v>1</v>
      </c>
      <c r="F22" s="242">
        <v>1</v>
      </c>
      <c r="G22" s="242">
        <v>5</v>
      </c>
      <c r="H22" s="242">
        <v>10</v>
      </c>
      <c r="I22" s="242">
        <v>12</v>
      </c>
      <c r="J22" s="242">
        <v>15</v>
      </c>
      <c r="K22" s="242">
        <v>5</v>
      </c>
      <c r="L22" s="242">
        <v>10</v>
      </c>
      <c r="M22" s="242">
        <v>12</v>
      </c>
      <c r="N22" s="242">
        <v>15</v>
      </c>
      <c r="O22" s="242">
        <v>8</v>
      </c>
      <c r="P22" s="242">
        <v>10</v>
      </c>
      <c r="Q22" s="242">
        <v>12</v>
      </c>
      <c r="R22" s="242">
        <v>8</v>
      </c>
      <c r="S22" s="242">
        <v>10</v>
      </c>
      <c r="T22" s="242">
        <v>8</v>
      </c>
      <c r="U22" s="242" t="s">
        <v>832</v>
      </c>
    </row>
    <row r="23" spans="3:21" x14ac:dyDescent="0.25">
      <c r="C23" s="100" t="str">
        <f>'G-1 All Habitats'!B21</f>
        <v>Grassland - Other lowland acid grassland</v>
      </c>
      <c r="D23" s="242" t="s">
        <v>832</v>
      </c>
      <c r="E23" s="242" t="s">
        <v>832</v>
      </c>
      <c r="F23" s="242">
        <v>1</v>
      </c>
      <c r="G23" s="242">
        <v>5</v>
      </c>
      <c r="H23" s="242">
        <v>10</v>
      </c>
      <c r="I23" s="242">
        <v>12</v>
      </c>
      <c r="J23" s="242">
        <v>15</v>
      </c>
      <c r="K23" s="242">
        <v>5</v>
      </c>
      <c r="L23" s="242">
        <v>10</v>
      </c>
      <c r="M23" s="242">
        <v>12</v>
      </c>
      <c r="N23" s="242">
        <v>15</v>
      </c>
      <c r="O23" s="242">
        <v>8</v>
      </c>
      <c r="P23" s="242">
        <v>10</v>
      </c>
      <c r="Q23" s="242">
        <v>12</v>
      </c>
      <c r="R23" s="242">
        <v>8</v>
      </c>
      <c r="S23" s="242">
        <v>10</v>
      </c>
      <c r="T23" s="242">
        <v>8</v>
      </c>
      <c r="U23" s="242" t="s">
        <v>832</v>
      </c>
    </row>
    <row r="24" spans="3:21" x14ac:dyDescent="0.25">
      <c r="C24" s="100" t="str">
        <f>'G-1 All Habitats'!B22</f>
        <v>Grassland - Other neutral grassland</v>
      </c>
      <c r="D24" s="242" t="s">
        <v>832</v>
      </c>
      <c r="E24" s="242" t="s">
        <v>832</v>
      </c>
      <c r="F24" s="242">
        <v>1</v>
      </c>
      <c r="G24" s="242">
        <v>5</v>
      </c>
      <c r="H24" s="242">
        <v>10</v>
      </c>
      <c r="I24" s="242">
        <v>12</v>
      </c>
      <c r="J24" s="242">
        <v>15</v>
      </c>
      <c r="K24" s="242">
        <v>5</v>
      </c>
      <c r="L24" s="242">
        <v>10</v>
      </c>
      <c r="M24" s="242">
        <v>12</v>
      </c>
      <c r="N24" s="242">
        <v>15</v>
      </c>
      <c r="O24" s="242">
        <v>8</v>
      </c>
      <c r="P24" s="242">
        <v>10</v>
      </c>
      <c r="Q24" s="242">
        <v>12</v>
      </c>
      <c r="R24" s="242">
        <v>8</v>
      </c>
      <c r="S24" s="242">
        <v>10</v>
      </c>
      <c r="T24" s="242">
        <v>8</v>
      </c>
      <c r="U24" s="242" t="s">
        <v>832</v>
      </c>
    </row>
    <row r="25" spans="3:21" x14ac:dyDescent="0.25">
      <c r="C25" s="100" t="str">
        <f>'G-1 All Habitats'!B23</f>
        <v>Grassland - Tall herb communities</v>
      </c>
      <c r="D25" s="242" t="s">
        <v>832</v>
      </c>
      <c r="E25" s="242" t="s">
        <v>832</v>
      </c>
      <c r="F25" s="242">
        <v>10</v>
      </c>
      <c r="G25" s="242">
        <v>15</v>
      </c>
      <c r="H25" s="242">
        <v>20</v>
      </c>
      <c r="I25" s="242">
        <v>25</v>
      </c>
      <c r="J25" s="242">
        <v>30</v>
      </c>
      <c r="K25" s="242">
        <v>10</v>
      </c>
      <c r="L25" s="242">
        <v>20</v>
      </c>
      <c r="M25" s="242">
        <v>25</v>
      </c>
      <c r="N25" s="242">
        <v>30</v>
      </c>
      <c r="O25" s="242">
        <v>10</v>
      </c>
      <c r="P25" s="242">
        <v>10</v>
      </c>
      <c r="Q25" s="242">
        <v>15</v>
      </c>
      <c r="R25" s="242">
        <v>5</v>
      </c>
      <c r="S25" s="242">
        <v>10</v>
      </c>
      <c r="T25" s="242">
        <v>5</v>
      </c>
      <c r="U25" s="242" t="s">
        <v>832</v>
      </c>
    </row>
    <row r="26" spans="3:21" x14ac:dyDescent="0.25">
      <c r="C26" s="100" t="str">
        <f>'G-1 All Habitats'!B24</f>
        <v>Grassland - Upland acid grassland</v>
      </c>
      <c r="D26" s="242" t="s">
        <v>832</v>
      </c>
      <c r="E26" s="242" t="s">
        <v>832</v>
      </c>
      <c r="F26" s="242">
        <v>1</v>
      </c>
      <c r="G26" s="242">
        <v>5</v>
      </c>
      <c r="H26" s="242">
        <v>10</v>
      </c>
      <c r="I26" s="242">
        <v>12</v>
      </c>
      <c r="J26" s="242">
        <v>15</v>
      </c>
      <c r="K26" s="242">
        <v>5</v>
      </c>
      <c r="L26" s="242">
        <v>10</v>
      </c>
      <c r="M26" s="242">
        <v>12</v>
      </c>
      <c r="N26" s="242">
        <v>15</v>
      </c>
      <c r="O26" s="242">
        <v>8</v>
      </c>
      <c r="P26" s="242">
        <v>10</v>
      </c>
      <c r="Q26" s="242">
        <v>12</v>
      </c>
      <c r="R26" s="242">
        <v>8</v>
      </c>
      <c r="S26" s="242">
        <v>10</v>
      </c>
      <c r="T26" s="242">
        <v>8</v>
      </c>
      <c r="U26" s="242" t="s">
        <v>832</v>
      </c>
    </row>
    <row r="27" spans="3:21" x14ac:dyDescent="0.25">
      <c r="C27" s="100" t="str">
        <f>'G-1 All Habitats'!B25</f>
        <v>Grassland - Upland calcareous grassland</v>
      </c>
      <c r="D27" s="242" t="s">
        <v>832</v>
      </c>
      <c r="E27" s="242" t="s">
        <v>832</v>
      </c>
      <c r="F27" s="242">
        <v>10</v>
      </c>
      <c r="G27" s="242">
        <v>12</v>
      </c>
      <c r="H27" s="242">
        <v>15</v>
      </c>
      <c r="I27" s="242">
        <v>20</v>
      </c>
      <c r="J27" s="242">
        <v>25</v>
      </c>
      <c r="K27" s="242">
        <v>10</v>
      </c>
      <c r="L27" s="242">
        <v>15</v>
      </c>
      <c r="M27" s="242">
        <v>18</v>
      </c>
      <c r="N27" s="242">
        <v>20</v>
      </c>
      <c r="O27" s="242">
        <v>10</v>
      </c>
      <c r="P27" s="242">
        <v>15</v>
      </c>
      <c r="Q27" s="242">
        <v>18</v>
      </c>
      <c r="R27" s="242">
        <v>10</v>
      </c>
      <c r="S27" s="242">
        <v>10</v>
      </c>
      <c r="T27" s="242">
        <v>10</v>
      </c>
      <c r="U27" s="242" t="s">
        <v>832</v>
      </c>
    </row>
    <row r="28" spans="3:21" x14ac:dyDescent="0.25">
      <c r="C28" s="100" t="str">
        <f>'G-1 All Habitats'!B26</f>
        <v>Grassland - Upland hay meadows</v>
      </c>
      <c r="D28" s="242" t="s">
        <v>832</v>
      </c>
      <c r="E28" s="242" t="s">
        <v>832</v>
      </c>
      <c r="F28" s="242">
        <v>10</v>
      </c>
      <c r="G28" s="242">
        <v>12</v>
      </c>
      <c r="H28" s="242">
        <v>15</v>
      </c>
      <c r="I28" s="242">
        <v>18</v>
      </c>
      <c r="J28" s="242">
        <v>20</v>
      </c>
      <c r="K28" s="242">
        <v>10</v>
      </c>
      <c r="L28" s="242">
        <v>15</v>
      </c>
      <c r="M28" s="242">
        <v>18</v>
      </c>
      <c r="N28" s="242">
        <v>20</v>
      </c>
      <c r="O28" s="242">
        <v>10</v>
      </c>
      <c r="P28" s="242">
        <v>15</v>
      </c>
      <c r="Q28" s="242">
        <v>18</v>
      </c>
      <c r="R28" s="242">
        <v>10</v>
      </c>
      <c r="S28" s="242">
        <v>15</v>
      </c>
      <c r="T28" s="242">
        <v>10</v>
      </c>
      <c r="U28" s="242" t="s">
        <v>832</v>
      </c>
    </row>
    <row r="29" spans="3:21" x14ac:dyDescent="0.25">
      <c r="C29" s="100" t="str">
        <f>'G-1 All Habitats'!B27</f>
        <v>Heathland and shrub - Blackthorn scrub</v>
      </c>
      <c r="D29" s="242" t="s">
        <v>832</v>
      </c>
      <c r="E29" s="242" t="s">
        <v>832</v>
      </c>
      <c r="F29" s="242">
        <v>1</v>
      </c>
      <c r="G29" s="242">
        <v>3</v>
      </c>
      <c r="H29" s="242">
        <v>5</v>
      </c>
      <c r="I29" s="242">
        <v>7</v>
      </c>
      <c r="J29" s="242">
        <v>10</v>
      </c>
      <c r="K29" s="242">
        <v>1</v>
      </c>
      <c r="L29" s="242">
        <v>5</v>
      </c>
      <c r="M29" s="242">
        <v>7</v>
      </c>
      <c r="N29" s="242">
        <v>10</v>
      </c>
      <c r="O29" s="242">
        <v>3</v>
      </c>
      <c r="P29" s="242">
        <v>5</v>
      </c>
      <c r="Q29" s="242">
        <v>3</v>
      </c>
      <c r="R29" s="242">
        <v>2</v>
      </c>
      <c r="S29" s="242">
        <v>3</v>
      </c>
      <c r="T29" s="242">
        <v>2</v>
      </c>
      <c r="U29" s="242" t="s">
        <v>832</v>
      </c>
    </row>
    <row r="30" spans="3:21" x14ac:dyDescent="0.25">
      <c r="C30" s="100" t="str">
        <f>'G-1 All Habitats'!B28</f>
        <v>Heathland and shrub - Bramble scrub</v>
      </c>
      <c r="D30" s="242" t="s">
        <v>832</v>
      </c>
      <c r="E30" s="242" t="s">
        <v>832</v>
      </c>
      <c r="F30" s="242">
        <v>1</v>
      </c>
      <c r="G30" s="242" t="s">
        <v>832</v>
      </c>
      <c r="H30" s="242" t="s">
        <v>832</v>
      </c>
      <c r="I30" s="242" t="s">
        <v>832</v>
      </c>
      <c r="J30" s="242" t="s">
        <v>832</v>
      </c>
      <c r="K30" s="242" t="s">
        <v>832</v>
      </c>
      <c r="L30" s="242" t="s">
        <v>832</v>
      </c>
      <c r="M30" s="242" t="s">
        <v>832</v>
      </c>
      <c r="N30" s="242" t="s">
        <v>832</v>
      </c>
      <c r="O30" s="242" t="s">
        <v>832</v>
      </c>
      <c r="P30" s="242" t="s">
        <v>832</v>
      </c>
      <c r="Q30" s="242" t="s">
        <v>832</v>
      </c>
      <c r="R30" s="242" t="s">
        <v>832</v>
      </c>
      <c r="S30" s="242" t="s">
        <v>832</v>
      </c>
      <c r="T30" s="242" t="s">
        <v>832</v>
      </c>
      <c r="U30" s="242" t="s">
        <v>832</v>
      </c>
    </row>
    <row r="31" spans="3:21" x14ac:dyDescent="0.25">
      <c r="C31" s="100" t="str">
        <f>'G-1 All Habitats'!B29</f>
        <v>Heathland and shrub - Gorse scrub</v>
      </c>
      <c r="D31" s="242" t="s">
        <v>832</v>
      </c>
      <c r="E31" s="242" t="s">
        <v>832</v>
      </c>
      <c r="F31" s="242">
        <v>1</v>
      </c>
      <c r="G31" s="242">
        <v>3</v>
      </c>
      <c r="H31" s="242">
        <v>5</v>
      </c>
      <c r="I31" s="242">
        <v>7</v>
      </c>
      <c r="J31" s="242">
        <v>10</v>
      </c>
      <c r="K31" s="242">
        <v>1</v>
      </c>
      <c r="L31" s="242">
        <v>5</v>
      </c>
      <c r="M31" s="242">
        <v>7</v>
      </c>
      <c r="N31" s="242">
        <v>10</v>
      </c>
      <c r="O31" s="242">
        <v>3</v>
      </c>
      <c r="P31" s="242">
        <v>5</v>
      </c>
      <c r="Q31" s="242">
        <v>7</v>
      </c>
      <c r="R31" s="242">
        <v>2</v>
      </c>
      <c r="S31" s="242">
        <v>3</v>
      </c>
      <c r="T31" s="242">
        <v>2</v>
      </c>
      <c r="U31" s="242" t="s">
        <v>832</v>
      </c>
    </row>
    <row r="32" spans="3:21" x14ac:dyDescent="0.25">
      <c r="C32" s="100" t="str">
        <f>'G-1 All Habitats'!B30</f>
        <v>Heathland and shrub - Hawthorn scrub</v>
      </c>
      <c r="D32" s="242" t="s">
        <v>832</v>
      </c>
      <c r="E32" s="242" t="s">
        <v>832</v>
      </c>
      <c r="F32" s="242">
        <v>1</v>
      </c>
      <c r="G32" s="242">
        <v>3</v>
      </c>
      <c r="H32" s="242">
        <v>5</v>
      </c>
      <c r="I32" s="242">
        <v>7</v>
      </c>
      <c r="J32" s="242">
        <v>10</v>
      </c>
      <c r="K32" s="242">
        <v>1</v>
      </c>
      <c r="L32" s="242">
        <v>5</v>
      </c>
      <c r="M32" s="242">
        <v>7</v>
      </c>
      <c r="N32" s="242">
        <v>10</v>
      </c>
      <c r="O32" s="242">
        <v>3</v>
      </c>
      <c r="P32" s="242">
        <v>5</v>
      </c>
      <c r="Q32" s="242">
        <v>7</v>
      </c>
      <c r="R32" s="242">
        <v>2</v>
      </c>
      <c r="S32" s="242">
        <v>3</v>
      </c>
      <c r="T32" s="242">
        <v>2</v>
      </c>
      <c r="U32" s="242" t="s">
        <v>832</v>
      </c>
    </row>
    <row r="33" spans="3:21" x14ac:dyDescent="0.25">
      <c r="C33" s="100" t="str">
        <f>'G-1 All Habitats'!B31</f>
        <v>Heathland and shrub - Hazel scrub</v>
      </c>
      <c r="D33" s="242" t="s">
        <v>832</v>
      </c>
      <c r="E33" s="242" t="s">
        <v>832</v>
      </c>
      <c r="F33" s="242">
        <v>5</v>
      </c>
      <c r="G33" s="242">
        <v>7</v>
      </c>
      <c r="H33" s="242">
        <v>10</v>
      </c>
      <c r="I33" s="242">
        <v>12</v>
      </c>
      <c r="J33" s="242">
        <v>15</v>
      </c>
      <c r="K33" s="242">
        <v>5</v>
      </c>
      <c r="L33" s="242">
        <v>7</v>
      </c>
      <c r="M33" s="242">
        <v>12</v>
      </c>
      <c r="N33" s="242">
        <v>15</v>
      </c>
      <c r="O33" s="242">
        <v>5</v>
      </c>
      <c r="P33" s="242">
        <v>8</v>
      </c>
      <c r="Q33" s="242">
        <v>12</v>
      </c>
      <c r="R33" s="242">
        <v>5</v>
      </c>
      <c r="S33" s="242">
        <v>7</v>
      </c>
      <c r="T33" s="242">
        <v>5</v>
      </c>
      <c r="U33" s="242" t="s">
        <v>832</v>
      </c>
    </row>
    <row r="34" spans="3:21" x14ac:dyDescent="0.25">
      <c r="C34" s="100" t="str">
        <f>'G-1 All Habitats'!B32</f>
        <v>Heathland and shrub - Lowland Heathland</v>
      </c>
      <c r="D34" s="242" t="s">
        <v>832</v>
      </c>
      <c r="E34" s="242" t="s">
        <v>832</v>
      </c>
      <c r="F34" s="242">
        <v>10</v>
      </c>
      <c r="G34" s="242">
        <v>15</v>
      </c>
      <c r="H34" s="242">
        <v>20</v>
      </c>
      <c r="I34" s="242">
        <v>25</v>
      </c>
      <c r="J34" s="242" t="s">
        <v>1211</v>
      </c>
      <c r="K34" s="242">
        <v>5</v>
      </c>
      <c r="L34" s="242">
        <v>10</v>
      </c>
      <c r="M34" s="242">
        <v>15</v>
      </c>
      <c r="N34" s="242">
        <v>25</v>
      </c>
      <c r="O34" s="242">
        <v>5</v>
      </c>
      <c r="P34" s="242">
        <v>10</v>
      </c>
      <c r="Q34" s="242">
        <v>20</v>
      </c>
      <c r="R34" s="242">
        <v>5</v>
      </c>
      <c r="S34" s="242">
        <v>15</v>
      </c>
      <c r="T34" s="242">
        <v>10</v>
      </c>
      <c r="U34" s="242" t="s">
        <v>832</v>
      </c>
    </row>
    <row r="35" spans="3:21" x14ac:dyDescent="0.25">
      <c r="C35" s="100" t="str">
        <f>'G-1 All Habitats'!B33</f>
        <v>Heathland and shrub - Mixed scrub</v>
      </c>
      <c r="D35" s="242" t="s">
        <v>832</v>
      </c>
      <c r="E35" s="242" t="s">
        <v>832</v>
      </c>
      <c r="F35" s="242">
        <v>1</v>
      </c>
      <c r="G35" s="242">
        <v>3</v>
      </c>
      <c r="H35" s="242">
        <v>5</v>
      </c>
      <c r="I35" s="242">
        <v>7</v>
      </c>
      <c r="J35" s="242">
        <v>10</v>
      </c>
      <c r="K35" s="242">
        <v>1</v>
      </c>
      <c r="L35" s="242">
        <v>5</v>
      </c>
      <c r="M35" s="242">
        <v>7</v>
      </c>
      <c r="N35" s="242">
        <v>10</v>
      </c>
      <c r="O35" s="242">
        <v>3</v>
      </c>
      <c r="P35" s="242">
        <v>5</v>
      </c>
      <c r="Q35" s="242">
        <v>7</v>
      </c>
      <c r="R35" s="242">
        <v>2</v>
      </c>
      <c r="S35" s="242">
        <v>3</v>
      </c>
      <c r="T35" s="242">
        <v>2</v>
      </c>
      <c r="U35" s="242" t="s">
        <v>832</v>
      </c>
    </row>
    <row r="36" spans="3:21" x14ac:dyDescent="0.25">
      <c r="C36" s="100" t="str">
        <f>'G-1 All Habitats'!B34</f>
        <v>Heathland and shrub - Mountain heaths and willow scrub</v>
      </c>
      <c r="D36" s="242" t="s">
        <v>832</v>
      </c>
      <c r="E36" s="242" t="s">
        <v>832</v>
      </c>
      <c r="F36" s="242">
        <v>15</v>
      </c>
      <c r="G36" s="242">
        <v>23</v>
      </c>
      <c r="H36" s="242">
        <v>25</v>
      </c>
      <c r="I36" s="242" t="s">
        <v>1211</v>
      </c>
      <c r="J36" s="242" t="s">
        <v>1211</v>
      </c>
      <c r="K36" s="242">
        <v>20</v>
      </c>
      <c r="L36" s="242" t="s">
        <v>1211</v>
      </c>
      <c r="M36" s="242" t="s">
        <v>1211</v>
      </c>
      <c r="N36" s="242" t="s">
        <v>1211</v>
      </c>
      <c r="O36" s="242">
        <v>20</v>
      </c>
      <c r="P36" s="242" t="s">
        <v>1211</v>
      </c>
      <c r="Q36" s="242" t="s">
        <v>1211</v>
      </c>
      <c r="R36" s="242">
        <v>20</v>
      </c>
      <c r="S36" s="242" t="s">
        <v>1211</v>
      </c>
      <c r="T36" s="242">
        <v>20</v>
      </c>
      <c r="U36" s="242" t="s">
        <v>832</v>
      </c>
    </row>
    <row r="37" spans="3:21" x14ac:dyDescent="0.25">
      <c r="C37" s="100" t="str">
        <f>'G-1 All Habitats'!B35</f>
        <v>Heathland and shrub - Rhododendron scrub</v>
      </c>
      <c r="D37" s="242" t="s">
        <v>832</v>
      </c>
      <c r="E37" s="242" t="s">
        <v>832</v>
      </c>
      <c r="F37" s="242">
        <v>1</v>
      </c>
      <c r="G37" s="242" t="s">
        <v>832</v>
      </c>
      <c r="H37" s="242" t="s">
        <v>832</v>
      </c>
      <c r="I37" s="242" t="s">
        <v>832</v>
      </c>
      <c r="J37" s="242" t="s">
        <v>832</v>
      </c>
      <c r="K37" s="242" t="s">
        <v>832</v>
      </c>
      <c r="L37" s="242" t="s">
        <v>832</v>
      </c>
      <c r="M37" s="242" t="s">
        <v>832</v>
      </c>
      <c r="N37" s="242" t="s">
        <v>832</v>
      </c>
      <c r="O37" s="242" t="s">
        <v>832</v>
      </c>
      <c r="P37" s="242" t="s">
        <v>832</v>
      </c>
      <c r="Q37" s="242" t="s">
        <v>832</v>
      </c>
      <c r="R37" s="242" t="s">
        <v>832</v>
      </c>
      <c r="S37" s="242" t="s">
        <v>832</v>
      </c>
      <c r="T37" s="242" t="s">
        <v>832</v>
      </c>
      <c r="U37" s="242" t="s">
        <v>832</v>
      </c>
    </row>
    <row r="38" spans="3:21" x14ac:dyDescent="0.25">
      <c r="C38" s="100" t="str">
        <f>'G-1 All Habitats'!B36</f>
        <v>Heathland and shrub - Sea buckthorn scrub (Annex 1)</v>
      </c>
      <c r="D38" s="242" t="s">
        <v>832</v>
      </c>
      <c r="E38" s="242" t="s">
        <v>832</v>
      </c>
      <c r="F38" s="242">
        <v>5</v>
      </c>
      <c r="G38" s="242">
        <v>7</v>
      </c>
      <c r="H38" s="242">
        <v>10</v>
      </c>
      <c r="I38" s="242">
        <v>12</v>
      </c>
      <c r="J38" s="242">
        <v>15</v>
      </c>
      <c r="K38" s="242">
        <v>5</v>
      </c>
      <c r="L38" s="242">
        <v>7</v>
      </c>
      <c r="M38" s="242">
        <v>10</v>
      </c>
      <c r="N38" s="242">
        <v>12</v>
      </c>
      <c r="O38" s="242">
        <v>5</v>
      </c>
      <c r="P38" s="242">
        <v>7</v>
      </c>
      <c r="Q38" s="242">
        <v>10</v>
      </c>
      <c r="R38" s="242">
        <v>5</v>
      </c>
      <c r="S38" s="242">
        <v>7</v>
      </c>
      <c r="T38" s="242">
        <v>5</v>
      </c>
      <c r="U38" s="242" t="s">
        <v>832</v>
      </c>
    </row>
    <row r="39" spans="3:21" x14ac:dyDescent="0.25">
      <c r="C39" s="100" t="str">
        <f>'G-1 All Habitats'!B37</f>
        <v>Heathland and shrub - Sea buckthorn scrub (other)</v>
      </c>
      <c r="D39" s="242" t="s">
        <v>832</v>
      </c>
      <c r="E39" s="242" t="s">
        <v>832</v>
      </c>
      <c r="F39" s="242" t="s">
        <v>832</v>
      </c>
      <c r="G39" s="242" t="s">
        <v>832</v>
      </c>
      <c r="H39" s="242" t="s">
        <v>832</v>
      </c>
      <c r="I39" s="242" t="s">
        <v>832</v>
      </c>
      <c r="J39" s="242" t="s">
        <v>832</v>
      </c>
      <c r="K39" s="242" t="s">
        <v>832</v>
      </c>
      <c r="L39" s="242" t="s">
        <v>832</v>
      </c>
      <c r="M39" s="242" t="s">
        <v>832</v>
      </c>
      <c r="N39" s="242" t="s">
        <v>832</v>
      </c>
      <c r="O39" s="242" t="s">
        <v>832</v>
      </c>
      <c r="P39" s="242" t="s">
        <v>832</v>
      </c>
      <c r="Q39" s="242" t="s">
        <v>832</v>
      </c>
      <c r="R39" s="242" t="s">
        <v>832</v>
      </c>
      <c r="S39" s="242" t="s">
        <v>832</v>
      </c>
      <c r="T39" s="242" t="s">
        <v>832</v>
      </c>
      <c r="U39" s="242" t="s">
        <v>832</v>
      </c>
    </row>
    <row r="40" spans="3:21" x14ac:dyDescent="0.25">
      <c r="C40" s="100" t="str">
        <f>'G-1 All Habitats'!B38</f>
        <v>Heathland and shrub - Upland Heathland</v>
      </c>
      <c r="D40" s="242" t="s">
        <v>832</v>
      </c>
      <c r="E40" s="242" t="s">
        <v>832</v>
      </c>
      <c r="F40" s="242">
        <v>10</v>
      </c>
      <c r="G40" s="242">
        <v>15</v>
      </c>
      <c r="H40" s="242">
        <v>20</v>
      </c>
      <c r="I40" s="242">
        <v>25</v>
      </c>
      <c r="J40" s="242">
        <v>30</v>
      </c>
      <c r="K40" s="242">
        <v>10</v>
      </c>
      <c r="L40" s="242">
        <v>20</v>
      </c>
      <c r="M40" s="242">
        <v>30</v>
      </c>
      <c r="N40" s="242" t="s">
        <v>1211</v>
      </c>
      <c r="O40" s="242">
        <v>10</v>
      </c>
      <c r="P40" s="242">
        <v>20</v>
      </c>
      <c r="Q40" s="242">
        <v>30</v>
      </c>
      <c r="R40" s="242">
        <v>10</v>
      </c>
      <c r="S40" s="242">
        <v>20</v>
      </c>
      <c r="T40" s="242">
        <v>10</v>
      </c>
      <c r="U40" s="242" t="s">
        <v>832</v>
      </c>
    </row>
    <row r="41" spans="3:21" x14ac:dyDescent="0.25">
      <c r="C41" s="100" t="str">
        <f>'G-1 All Habitats'!B39</f>
        <v>Lakes - Aquifer fed naturally fluctuating water bodies</v>
      </c>
      <c r="D41" s="242" t="s">
        <v>832</v>
      </c>
      <c r="E41" s="242" t="s">
        <v>832</v>
      </c>
      <c r="F41" s="242">
        <v>1</v>
      </c>
      <c r="G41" s="242">
        <v>10</v>
      </c>
      <c r="H41" s="242">
        <v>15</v>
      </c>
      <c r="I41" s="242">
        <v>20</v>
      </c>
      <c r="J41" s="242">
        <v>30</v>
      </c>
      <c r="K41" s="242">
        <v>5</v>
      </c>
      <c r="L41" s="242">
        <v>10</v>
      </c>
      <c r="M41" s="242">
        <v>15</v>
      </c>
      <c r="N41" s="242">
        <v>30</v>
      </c>
      <c r="O41" s="242">
        <v>5</v>
      </c>
      <c r="P41" s="242">
        <v>15</v>
      </c>
      <c r="Q41" s="242">
        <v>25</v>
      </c>
      <c r="R41" s="242">
        <v>5</v>
      </c>
      <c r="S41" s="242">
        <v>20</v>
      </c>
      <c r="T41" s="242">
        <v>5</v>
      </c>
      <c r="U41" s="242" t="s">
        <v>832</v>
      </c>
    </row>
    <row r="42" spans="3:21" x14ac:dyDescent="0.25">
      <c r="C42" s="100" t="str">
        <f>'G-1 All Habitats'!B41</f>
        <v>Lakes - High alkalinity lakes</v>
      </c>
      <c r="D42" s="242" t="s">
        <v>832</v>
      </c>
      <c r="E42" s="242" t="s">
        <v>832</v>
      </c>
      <c r="F42" s="242">
        <v>2</v>
      </c>
      <c r="G42" s="242">
        <v>3</v>
      </c>
      <c r="H42" s="242">
        <v>5</v>
      </c>
      <c r="I42" s="242">
        <v>7</v>
      </c>
      <c r="J42" s="242">
        <v>10</v>
      </c>
      <c r="K42" s="242">
        <v>5</v>
      </c>
      <c r="L42" s="242">
        <v>10</v>
      </c>
      <c r="M42" s="242">
        <v>15</v>
      </c>
      <c r="N42" s="242">
        <v>30</v>
      </c>
      <c r="O42" s="242">
        <v>5</v>
      </c>
      <c r="P42" s="242">
        <v>15</v>
      </c>
      <c r="Q42" s="242">
        <v>25</v>
      </c>
      <c r="R42" s="242">
        <v>10</v>
      </c>
      <c r="S42" s="242">
        <v>20</v>
      </c>
      <c r="T42" s="242">
        <v>10</v>
      </c>
      <c r="U42" s="242" t="s">
        <v>832</v>
      </c>
    </row>
    <row r="43" spans="3:21" x14ac:dyDescent="0.25">
      <c r="C43" s="100" t="str">
        <f>'G-1 All Habitats'!B42</f>
        <v>Lakes - Low alkalinity lakes</v>
      </c>
      <c r="D43" s="242" t="s">
        <v>832</v>
      </c>
      <c r="E43" s="242" t="s">
        <v>832</v>
      </c>
      <c r="F43" s="242">
        <v>5</v>
      </c>
      <c r="G43" s="242">
        <v>10</v>
      </c>
      <c r="H43" s="242">
        <v>15</v>
      </c>
      <c r="I43" s="242">
        <v>20</v>
      </c>
      <c r="J43" s="242">
        <v>30</v>
      </c>
      <c r="K43" s="242">
        <v>5</v>
      </c>
      <c r="L43" s="242">
        <v>10</v>
      </c>
      <c r="M43" s="242">
        <v>15</v>
      </c>
      <c r="N43" s="242">
        <v>20</v>
      </c>
      <c r="O43" s="242">
        <v>5</v>
      </c>
      <c r="P43" s="242">
        <v>10</v>
      </c>
      <c r="Q43" s="242">
        <v>15</v>
      </c>
      <c r="R43" s="242">
        <v>5</v>
      </c>
      <c r="S43" s="242">
        <v>10</v>
      </c>
      <c r="T43" s="242">
        <v>5</v>
      </c>
      <c r="U43" s="242" t="s">
        <v>832</v>
      </c>
    </row>
    <row r="44" spans="3:21" x14ac:dyDescent="0.25">
      <c r="C44" s="100" t="str">
        <f>'G-1 All Habitats'!B43</f>
        <v>Lakes - Marl Lakes</v>
      </c>
      <c r="D44" s="242" t="s">
        <v>832</v>
      </c>
      <c r="E44" s="242" t="s">
        <v>832</v>
      </c>
      <c r="F44" s="242">
        <v>5</v>
      </c>
      <c r="G44" s="242">
        <v>7</v>
      </c>
      <c r="H44" s="242">
        <v>10</v>
      </c>
      <c r="I44" s="242">
        <v>15</v>
      </c>
      <c r="J44" s="242">
        <v>20</v>
      </c>
      <c r="K44" s="242">
        <v>5</v>
      </c>
      <c r="L44" s="242">
        <v>10</v>
      </c>
      <c r="M44" s="242">
        <v>15</v>
      </c>
      <c r="N44" s="242">
        <v>30</v>
      </c>
      <c r="O44" s="242">
        <v>5</v>
      </c>
      <c r="P44" s="242">
        <v>15</v>
      </c>
      <c r="Q44" s="242">
        <v>25</v>
      </c>
      <c r="R44" s="242">
        <v>10</v>
      </c>
      <c r="S44" s="242">
        <v>20</v>
      </c>
      <c r="T44" s="242">
        <v>10</v>
      </c>
      <c r="U44" s="242" t="s">
        <v>832</v>
      </c>
    </row>
    <row r="45" spans="3:21" x14ac:dyDescent="0.25">
      <c r="C45" s="100" t="str">
        <f>'G-1 All Habitats'!B44</f>
        <v>Lakes - Moderate alkalinity lakes</v>
      </c>
      <c r="D45" s="242" t="s">
        <v>832</v>
      </c>
      <c r="E45" s="242" t="s">
        <v>832</v>
      </c>
      <c r="F45" s="242">
        <v>5</v>
      </c>
      <c r="G45" s="242">
        <v>7</v>
      </c>
      <c r="H45" s="242">
        <v>10</v>
      </c>
      <c r="I45" s="242">
        <v>15</v>
      </c>
      <c r="J45" s="242">
        <v>20</v>
      </c>
      <c r="K45" s="242">
        <v>5</v>
      </c>
      <c r="L45" s="242">
        <v>10</v>
      </c>
      <c r="M45" s="242">
        <v>15</v>
      </c>
      <c r="N45" s="242">
        <v>30</v>
      </c>
      <c r="O45" s="242">
        <v>5</v>
      </c>
      <c r="P45" s="242">
        <v>15</v>
      </c>
      <c r="Q45" s="242">
        <v>25</v>
      </c>
      <c r="R45" s="242">
        <v>10</v>
      </c>
      <c r="S45" s="242">
        <v>20</v>
      </c>
      <c r="T45" s="242">
        <v>10</v>
      </c>
      <c r="U45" s="242" t="s">
        <v>832</v>
      </c>
    </row>
    <row r="46" spans="3:21" x14ac:dyDescent="0.25">
      <c r="C46" s="100" t="str">
        <f>'G-1 All Habitats'!B45</f>
        <v>Lakes - Peat Lakes</v>
      </c>
      <c r="D46" s="242" t="s">
        <v>832</v>
      </c>
      <c r="E46" s="242" t="s">
        <v>832</v>
      </c>
      <c r="F46" s="242">
        <v>5</v>
      </c>
      <c r="G46" s="242">
        <v>10</v>
      </c>
      <c r="H46" s="242">
        <v>15</v>
      </c>
      <c r="I46" s="242">
        <v>20</v>
      </c>
      <c r="J46" s="242">
        <v>30</v>
      </c>
      <c r="K46" s="242">
        <v>5</v>
      </c>
      <c r="L46" s="242">
        <v>10</v>
      </c>
      <c r="M46" s="242">
        <v>15</v>
      </c>
      <c r="N46" s="242">
        <v>30</v>
      </c>
      <c r="O46" s="242">
        <v>5</v>
      </c>
      <c r="P46" s="242">
        <v>15</v>
      </c>
      <c r="Q46" s="242">
        <v>25</v>
      </c>
      <c r="R46" s="242">
        <v>10</v>
      </c>
      <c r="S46" s="242">
        <v>20</v>
      </c>
      <c r="T46" s="242">
        <v>10</v>
      </c>
      <c r="U46" s="242" t="s">
        <v>832</v>
      </c>
    </row>
    <row r="47" spans="3:21" x14ac:dyDescent="0.25">
      <c r="C47" s="100" t="str">
        <f>'G-1 All Habitats'!B46</f>
        <v>Lakes - Ponds (Priority Habitat)</v>
      </c>
      <c r="D47" s="242" t="s">
        <v>832</v>
      </c>
      <c r="E47" s="242" t="s">
        <v>832</v>
      </c>
      <c r="F47" s="242">
        <v>2</v>
      </c>
      <c r="G47" s="242">
        <v>3</v>
      </c>
      <c r="H47" s="242">
        <v>5</v>
      </c>
      <c r="I47" s="242">
        <v>7</v>
      </c>
      <c r="J47" s="242">
        <v>10</v>
      </c>
      <c r="K47" s="242">
        <v>2</v>
      </c>
      <c r="L47" s="242">
        <v>4</v>
      </c>
      <c r="M47" s="242">
        <v>6</v>
      </c>
      <c r="N47" s="242">
        <v>8</v>
      </c>
      <c r="O47" s="242">
        <v>2</v>
      </c>
      <c r="P47" s="242">
        <v>4</v>
      </c>
      <c r="Q47" s="242">
        <v>6</v>
      </c>
      <c r="R47" s="242">
        <v>2</v>
      </c>
      <c r="S47" s="242">
        <v>4</v>
      </c>
      <c r="T47" s="242">
        <v>2</v>
      </c>
      <c r="U47" s="242" t="s">
        <v>832</v>
      </c>
    </row>
    <row r="48" spans="3:21" x14ac:dyDescent="0.25">
      <c r="C48" s="100" t="str">
        <f>'G-1 All Habitats'!B47</f>
        <v>Lakes - Ponds (Non- Priority Habitat)</v>
      </c>
      <c r="D48" s="242" t="s">
        <v>832</v>
      </c>
      <c r="E48" s="242" t="s">
        <v>832</v>
      </c>
      <c r="F48" s="242">
        <v>1</v>
      </c>
      <c r="G48" s="242">
        <v>2</v>
      </c>
      <c r="H48" s="242">
        <v>3</v>
      </c>
      <c r="I48" s="242">
        <v>4</v>
      </c>
      <c r="J48" s="242">
        <v>5</v>
      </c>
      <c r="K48" s="242">
        <v>2</v>
      </c>
      <c r="L48" s="242">
        <v>4</v>
      </c>
      <c r="M48" s="242">
        <v>6</v>
      </c>
      <c r="N48" s="242">
        <v>8</v>
      </c>
      <c r="O48" s="242">
        <v>2</v>
      </c>
      <c r="P48" s="242">
        <v>4</v>
      </c>
      <c r="Q48" s="242">
        <v>6</v>
      </c>
      <c r="R48" s="242">
        <v>2</v>
      </c>
      <c r="S48" s="242">
        <v>4</v>
      </c>
      <c r="T48" s="242">
        <v>2</v>
      </c>
      <c r="U48" s="242" t="s">
        <v>832</v>
      </c>
    </row>
    <row r="49" spans="3:21" x14ac:dyDescent="0.25">
      <c r="C49" s="100" t="str">
        <f>'G-1 All Habitats'!B48</f>
        <v>Lakes - Reservoirs</v>
      </c>
      <c r="D49" s="242" t="s">
        <v>832</v>
      </c>
      <c r="E49" s="242" t="s">
        <v>832</v>
      </c>
      <c r="F49" s="242">
        <v>1</v>
      </c>
      <c r="G49" s="242">
        <v>3</v>
      </c>
      <c r="H49" s="242">
        <v>5</v>
      </c>
      <c r="I49" s="242">
        <v>7</v>
      </c>
      <c r="J49" s="242">
        <v>10</v>
      </c>
      <c r="K49" s="242">
        <v>5</v>
      </c>
      <c r="L49" s="242">
        <v>10</v>
      </c>
      <c r="M49" s="242">
        <v>15</v>
      </c>
      <c r="N49" s="242">
        <v>30</v>
      </c>
      <c r="O49" s="242">
        <v>5</v>
      </c>
      <c r="P49" s="242">
        <v>15</v>
      </c>
      <c r="Q49" s="242">
        <v>25</v>
      </c>
      <c r="R49" s="242">
        <v>10</v>
      </c>
      <c r="S49" s="242">
        <v>20</v>
      </c>
      <c r="T49" s="242">
        <v>10</v>
      </c>
      <c r="U49" s="242" t="s">
        <v>832</v>
      </c>
    </row>
    <row r="50" spans="3:21" x14ac:dyDescent="0.25">
      <c r="C50" s="100" t="str">
        <f>'G-1 All Habitats'!B49</f>
        <v>Lakes - Temporary lakes, ponds and pools</v>
      </c>
      <c r="D50" s="242" t="s">
        <v>832</v>
      </c>
      <c r="E50" s="242" t="s">
        <v>832</v>
      </c>
      <c r="F50" s="242">
        <v>2</v>
      </c>
      <c r="G50" s="242">
        <v>3</v>
      </c>
      <c r="H50" s="242">
        <v>5</v>
      </c>
      <c r="I50" s="242">
        <v>7</v>
      </c>
      <c r="J50" s="242">
        <v>10</v>
      </c>
      <c r="K50" s="242">
        <v>2</v>
      </c>
      <c r="L50" s="242">
        <v>4</v>
      </c>
      <c r="M50" s="242">
        <v>6</v>
      </c>
      <c r="N50" s="242">
        <v>8</v>
      </c>
      <c r="O50" s="242">
        <v>2</v>
      </c>
      <c r="P50" s="242">
        <v>4</v>
      </c>
      <c r="Q50" s="242">
        <v>6</v>
      </c>
      <c r="R50" s="242">
        <v>2</v>
      </c>
      <c r="S50" s="242">
        <v>4</v>
      </c>
      <c r="T50" s="242">
        <v>2</v>
      </c>
      <c r="U50" s="242" t="s">
        <v>832</v>
      </c>
    </row>
    <row r="51" spans="3:21" x14ac:dyDescent="0.25">
      <c r="C51" s="100" t="str">
        <f>'G-1 All Habitats'!B50</f>
        <v>Sparsely vegetated land - Calaminarian grasslands</v>
      </c>
      <c r="D51" s="242" t="s">
        <v>832</v>
      </c>
      <c r="E51" s="242" t="s">
        <v>832</v>
      </c>
      <c r="F51" s="242">
        <v>2</v>
      </c>
      <c r="G51" s="242">
        <v>3</v>
      </c>
      <c r="H51" s="242">
        <v>5</v>
      </c>
      <c r="I51" s="242">
        <v>7</v>
      </c>
      <c r="J51" s="242">
        <v>10</v>
      </c>
      <c r="K51" s="242">
        <v>1</v>
      </c>
      <c r="L51" s="242">
        <v>3</v>
      </c>
      <c r="M51" s="242">
        <v>5</v>
      </c>
      <c r="N51" s="242">
        <v>8</v>
      </c>
      <c r="O51" s="242">
        <v>1</v>
      </c>
      <c r="P51" s="242">
        <v>4</v>
      </c>
      <c r="Q51" s="242">
        <v>7</v>
      </c>
      <c r="R51" s="242">
        <v>2</v>
      </c>
      <c r="S51" s="242">
        <v>5</v>
      </c>
      <c r="T51" s="242">
        <v>3</v>
      </c>
      <c r="U51" s="242" t="s">
        <v>832</v>
      </c>
    </row>
    <row r="52" spans="3:21" x14ac:dyDescent="0.25">
      <c r="C52" s="100" t="str">
        <f>'G-1 All Habitats'!B51</f>
        <v>Sparsely vegetated land - Coastal sand dunes</v>
      </c>
      <c r="D52" s="242" t="s">
        <v>832</v>
      </c>
      <c r="E52" s="242" t="s">
        <v>832</v>
      </c>
      <c r="F52" s="242">
        <v>5</v>
      </c>
      <c r="G52" s="242">
        <v>7</v>
      </c>
      <c r="H52" s="242">
        <v>10</v>
      </c>
      <c r="I52" s="242">
        <v>15</v>
      </c>
      <c r="J52" s="242">
        <v>20</v>
      </c>
      <c r="K52" s="242">
        <v>5</v>
      </c>
      <c r="L52" s="242">
        <v>8</v>
      </c>
      <c r="M52" s="242">
        <v>15</v>
      </c>
      <c r="N52" s="242">
        <v>20</v>
      </c>
      <c r="O52" s="242">
        <v>5</v>
      </c>
      <c r="P52" s="242">
        <v>10</v>
      </c>
      <c r="Q52" s="242">
        <v>18</v>
      </c>
      <c r="R52" s="242">
        <v>7</v>
      </c>
      <c r="S52" s="242">
        <v>12</v>
      </c>
      <c r="T52" s="242">
        <v>8</v>
      </c>
      <c r="U52" s="242" t="s">
        <v>832</v>
      </c>
    </row>
    <row r="53" spans="3:21" x14ac:dyDescent="0.25">
      <c r="C53" s="100" t="str">
        <f>'G-1 All Habitats'!B52</f>
        <v>Sparsely vegetated land - Coastal vegetated shingle</v>
      </c>
      <c r="D53" s="242" t="s">
        <v>832</v>
      </c>
      <c r="E53" s="242" t="s">
        <v>832</v>
      </c>
      <c r="F53" s="242">
        <v>5</v>
      </c>
      <c r="G53" s="242">
        <v>7</v>
      </c>
      <c r="H53" s="242">
        <v>10</v>
      </c>
      <c r="I53" s="242">
        <v>15</v>
      </c>
      <c r="J53" s="242">
        <v>20</v>
      </c>
      <c r="K53" s="242">
        <v>5</v>
      </c>
      <c r="L53" s="242">
        <v>8</v>
      </c>
      <c r="M53" s="242">
        <v>15</v>
      </c>
      <c r="N53" s="242">
        <v>20</v>
      </c>
      <c r="O53" s="242">
        <v>5</v>
      </c>
      <c r="P53" s="242">
        <v>10</v>
      </c>
      <c r="Q53" s="242">
        <v>18</v>
      </c>
      <c r="R53" s="242">
        <v>7</v>
      </c>
      <c r="S53" s="242">
        <v>12</v>
      </c>
      <c r="T53" s="242">
        <v>8</v>
      </c>
      <c r="U53" s="242" t="s">
        <v>832</v>
      </c>
    </row>
    <row r="54" spans="3:21" x14ac:dyDescent="0.25">
      <c r="C54" s="100" t="str">
        <f>'G-1 All Habitats'!B53</f>
        <v>Sparsely vegetated land - Ruderal/Ephemeral</v>
      </c>
      <c r="D54" s="242" t="s">
        <v>832</v>
      </c>
      <c r="E54" s="242" t="s">
        <v>832</v>
      </c>
      <c r="F54" s="242" t="s">
        <v>832</v>
      </c>
      <c r="G54" s="242" t="s">
        <v>832</v>
      </c>
      <c r="H54" s="242" t="s">
        <v>832</v>
      </c>
      <c r="I54" s="242" t="s">
        <v>832</v>
      </c>
      <c r="J54" s="242" t="s">
        <v>832</v>
      </c>
      <c r="K54" s="242">
        <v>1</v>
      </c>
      <c r="L54" s="242">
        <v>2</v>
      </c>
      <c r="M54" s="242">
        <v>3</v>
      </c>
      <c r="N54" s="242">
        <v>5</v>
      </c>
      <c r="O54" s="242">
        <v>1</v>
      </c>
      <c r="P54" s="242">
        <v>2</v>
      </c>
      <c r="Q54" s="242">
        <v>3</v>
      </c>
      <c r="R54" s="242">
        <v>1</v>
      </c>
      <c r="S54" s="242">
        <v>2</v>
      </c>
      <c r="T54" s="242">
        <v>1</v>
      </c>
      <c r="U54" s="242" t="s">
        <v>832</v>
      </c>
    </row>
    <row r="55" spans="3:21" x14ac:dyDescent="0.25">
      <c r="C55" s="100" t="str">
        <f>'G-1 All Habitats'!B54</f>
        <v>Sparsely vegetated land - Inland rock outcrop and scree habitats</v>
      </c>
      <c r="D55" s="242" t="s">
        <v>832</v>
      </c>
      <c r="E55" s="242" t="s">
        <v>832</v>
      </c>
      <c r="F55" s="242">
        <v>10</v>
      </c>
      <c r="G55" s="242">
        <v>15</v>
      </c>
      <c r="H55" s="242">
        <v>20</v>
      </c>
      <c r="I55" s="242">
        <v>25</v>
      </c>
      <c r="J55" s="242" t="s">
        <v>1211</v>
      </c>
      <c r="K55" s="242">
        <v>10</v>
      </c>
      <c r="L55" s="242">
        <v>15</v>
      </c>
      <c r="M55" s="242">
        <v>25</v>
      </c>
      <c r="N55" s="242" t="s">
        <v>1211</v>
      </c>
      <c r="O55" s="242">
        <v>20</v>
      </c>
      <c r="P55" s="242">
        <v>25</v>
      </c>
      <c r="Q55" s="242">
        <v>27</v>
      </c>
      <c r="R55" s="242">
        <v>15</v>
      </c>
      <c r="S55" s="242">
        <v>20</v>
      </c>
      <c r="T55" s="242">
        <v>15</v>
      </c>
      <c r="U55" s="242" t="s">
        <v>832</v>
      </c>
    </row>
    <row r="56" spans="3:21" x14ac:dyDescent="0.25">
      <c r="C56" s="100" t="str">
        <f>'G-1 All Habitats'!B55</f>
        <v>Sparsely vegetated land - Limestone pavement</v>
      </c>
      <c r="D56" s="242" t="s">
        <v>832</v>
      </c>
      <c r="E56" s="242" t="s">
        <v>832</v>
      </c>
      <c r="F56" s="242" t="s">
        <v>1211</v>
      </c>
      <c r="G56" s="242" t="s">
        <v>1211</v>
      </c>
      <c r="H56" s="242" t="s">
        <v>1211</v>
      </c>
      <c r="I56" s="242" t="s">
        <v>1211</v>
      </c>
      <c r="J56" s="242" t="s">
        <v>1211</v>
      </c>
      <c r="K56" s="242">
        <v>5</v>
      </c>
      <c r="L56" s="242">
        <v>10</v>
      </c>
      <c r="M56" s="242">
        <v>15</v>
      </c>
      <c r="N56" s="242">
        <v>20</v>
      </c>
      <c r="O56" s="242">
        <v>5</v>
      </c>
      <c r="P56" s="242">
        <v>10</v>
      </c>
      <c r="Q56" s="242">
        <v>15</v>
      </c>
      <c r="R56" s="242">
        <v>5</v>
      </c>
      <c r="S56" s="242">
        <v>10</v>
      </c>
      <c r="T56" s="242">
        <v>5</v>
      </c>
      <c r="U56" s="242" t="s">
        <v>832</v>
      </c>
    </row>
    <row r="57" spans="3:21" x14ac:dyDescent="0.25">
      <c r="C57" s="100" t="str">
        <f>'G-1 All Habitats'!B56</f>
        <v>Sparsely vegetated land - Maritime cliff and slopes</v>
      </c>
      <c r="D57" s="242" t="s">
        <v>832</v>
      </c>
      <c r="E57" s="242" t="s">
        <v>832</v>
      </c>
      <c r="F57" s="242">
        <v>10</v>
      </c>
      <c r="G57" s="242">
        <v>15</v>
      </c>
      <c r="H57" s="242">
        <v>20</v>
      </c>
      <c r="I57" s="242">
        <v>25</v>
      </c>
      <c r="J57" s="242" t="s">
        <v>1211</v>
      </c>
      <c r="K57" s="242">
        <v>5</v>
      </c>
      <c r="L57" s="242">
        <v>8</v>
      </c>
      <c r="M57" s="242">
        <v>15</v>
      </c>
      <c r="N57" s="242">
        <v>20</v>
      </c>
      <c r="O57" s="242">
        <v>5</v>
      </c>
      <c r="P57" s="242">
        <v>10</v>
      </c>
      <c r="Q57" s="242">
        <v>18</v>
      </c>
      <c r="R57" s="242">
        <v>7</v>
      </c>
      <c r="S57" s="242">
        <v>12</v>
      </c>
      <c r="T57" s="242">
        <v>8</v>
      </c>
      <c r="U57" s="242" t="s">
        <v>832</v>
      </c>
    </row>
    <row r="58" spans="3:21" x14ac:dyDescent="0.25">
      <c r="C58" s="100" t="str">
        <f>'G-1 All Habitats'!B57</f>
        <v>Sparsely vegetated land - Other inland rock and scree</v>
      </c>
      <c r="D58" s="242" t="s">
        <v>832</v>
      </c>
      <c r="E58" s="242" t="s">
        <v>832</v>
      </c>
      <c r="F58" s="242">
        <v>3</v>
      </c>
      <c r="G58" s="242">
        <v>5</v>
      </c>
      <c r="H58" s="242">
        <v>10</v>
      </c>
      <c r="I58" s="242">
        <v>15</v>
      </c>
      <c r="J58" s="242">
        <v>20</v>
      </c>
      <c r="K58" s="242">
        <v>5</v>
      </c>
      <c r="L58" s="242">
        <v>10</v>
      </c>
      <c r="M58" s="242">
        <v>15</v>
      </c>
      <c r="N58" s="242">
        <v>20</v>
      </c>
      <c r="O58" s="242">
        <v>5</v>
      </c>
      <c r="P58" s="242">
        <v>10</v>
      </c>
      <c r="Q58" s="242">
        <v>15</v>
      </c>
      <c r="R58" s="242">
        <v>5</v>
      </c>
      <c r="S58" s="242">
        <v>10</v>
      </c>
      <c r="T58" s="242">
        <v>5</v>
      </c>
      <c r="U58" s="242" t="s">
        <v>832</v>
      </c>
    </row>
    <row r="59" spans="3:21" x14ac:dyDescent="0.25">
      <c r="C59" s="100" t="str">
        <f>'G-1 All Habitats'!B58</f>
        <v>Urban - Allotments</v>
      </c>
      <c r="D59" s="242">
        <v>1</v>
      </c>
      <c r="E59" s="242">
        <v>1</v>
      </c>
      <c r="F59" s="242">
        <v>1</v>
      </c>
      <c r="G59" s="242">
        <v>1</v>
      </c>
      <c r="H59" s="242">
        <v>1</v>
      </c>
      <c r="I59" s="242">
        <v>1</v>
      </c>
      <c r="J59" s="242">
        <v>1</v>
      </c>
      <c r="K59" s="242">
        <v>1</v>
      </c>
      <c r="L59" s="242">
        <v>1</v>
      </c>
      <c r="M59" s="242">
        <v>1</v>
      </c>
      <c r="N59" s="242">
        <v>1</v>
      </c>
      <c r="O59" s="242">
        <v>1</v>
      </c>
      <c r="P59" s="242">
        <v>1</v>
      </c>
      <c r="Q59" s="242">
        <v>1</v>
      </c>
      <c r="R59" s="242">
        <v>1</v>
      </c>
      <c r="S59" s="242">
        <v>1</v>
      </c>
      <c r="T59" s="242">
        <v>1</v>
      </c>
      <c r="U59" s="242" t="s">
        <v>832</v>
      </c>
    </row>
    <row r="60" spans="3:21" x14ac:dyDescent="0.25">
      <c r="C60" s="100" t="str">
        <f>'G-1 All Habitats'!B40</f>
        <v>Lakes - Ornamental lake or pond</v>
      </c>
      <c r="D60" s="242" t="s">
        <v>832</v>
      </c>
      <c r="E60" s="242" t="s">
        <v>832</v>
      </c>
      <c r="F60" s="242">
        <v>1</v>
      </c>
      <c r="G60" s="242">
        <v>2</v>
      </c>
      <c r="H60" s="242">
        <v>3</v>
      </c>
      <c r="I60" s="242">
        <v>4</v>
      </c>
      <c r="J60" s="242">
        <v>5</v>
      </c>
      <c r="K60" s="242">
        <v>2</v>
      </c>
      <c r="L60" s="242">
        <v>4</v>
      </c>
      <c r="M60" s="242">
        <v>6</v>
      </c>
      <c r="N60" s="242">
        <v>8</v>
      </c>
      <c r="O60" s="242">
        <v>2</v>
      </c>
      <c r="P60" s="242">
        <v>4</v>
      </c>
      <c r="Q60" s="242">
        <v>6</v>
      </c>
      <c r="R60" s="242">
        <v>2</v>
      </c>
      <c r="S60" s="242">
        <v>4</v>
      </c>
      <c r="T60" s="242">
        <v>2</v>
      </c>
      <c r="U60" s="242" t="s">
        <v>832</v>
      </c>
    </row>
    <row r="61" spans="3:21" x14ac:dyDescent="0.25">
      <c r="C61" s="100" t="str">
        <f>'G-1 All Habitats'!B59</f>
        <v>Urban - Artificial unvegetated, unsealed surface</v>
      </c>
      <c r="D61" s="242" t="s">
        <v>832</v>
      </c>
      <c r="E61" s="242" t="s">
        <v>832</v>
      </c>
      <c r="F61" s="242" t="s">
        <v>832</v>
      </c>
      <c r="G61" s="242" t="s">
        <v>832</v>
      </c>
      <c r="H61" s="242" t="s">
        <v>832</v>
      </c>
      <c r="I61" s="242" t="s">
        <v>832</v>
      </c>
      <c r="J61" s="242" t="s">
        <v>832</v>
      </c>
      <c r="K61" s="242" t="s">
        <v>832</v>
      </c>
      <c r="L61" s="242" t="s">
        <v>832</v>
      </c>
      <c r="M61" s="242" t="s">
        <v>832</v>
      </c>
      <c r="N61" s="242" t="s">
        <v>832</v>
      </c>
      <c r="O61" s="242" t="s">
        <v>832</v>
      </c>
      <c r="P61" s="242" t="s">
        <v>832</v>
      </c>
      <c r="Q61" s="242" t="s">
        <v>832</v>
      </c>
      <c r="R61" s="242" t="s">
        <v>832</v>
      </c>
      <c r="S61" s="242" t="s">
        <v>832</v>
      </c>
      <c r="T61" s="242" t="s">
        <v>832</v>
      </c>
      <c r="U61" s="242" t="s">
        <v>832</v>
      </c>
    </row>
    <row r="62" spans="3:21" x14ac:dyDescent="0.25">
      <c r="C62" s="100" t="str">
        <f>'G-1 All Habitats'!B60</f>
        <v>Urban - Bioswale</v>
      </c>
      <c r="D62" s="242" t="s">
        <v>832</v>
      </c>
      <c r="E62" s="242" t="s">
        <v>832</v>
      </c>
      <c r="F62" s="242">
        <v>1</v>
      </c>
      <c r="G62" s="242">
        <v>1</v>
      </c>
      <c r="H62" s="242">
        <v>1</v>
      </c>
      <c r="I62" s="242">
        <v>2</v>
      </c>
      <c r="J62" s="242">
        <v>3</v>
      </c>
      <c r="K62" s="242">
        <v>1</v>
      </c>
      <c r="L62" s="242">
        <v>2</v>
      </c>
      <c r="M62" s="242">
        <v>2</v>
      </c>
      <c r="N62" s="242">
        <v>3</v>
      </c>
      <c r="O62" s="242">
        <v>1</v>
      </c>
      <c r="P62" s="242">
        <v>3</v>
      </c>
      <c r="Q62" s="242">
        <v>3</v>
      </c>
      <c r="R62" s="242">
        <v>2</v>
      </c>
      <c r="S62" s="242">
        <v>2</v>
      </c>
      <c r="T62" s="242">
        <v>2</v>
      </c>
      <c r="U62" s="242" t="s">
        <v>832</v>
      </c>
    </row>
    <row r="63" spans="3:21" x14ac:dyDescent="0.25">
      <c r="C63" s="100" t="str">
        <f>'G-1 All Habitats'!B61</f>
        <v>Urban - Brown roof</v>
      </c>
      <c r="D63" s="242" t="s">
        <v>832</v>
      </c>
      <c r="E63" s="242" t="s">
        <v>832</v>
      </c>
      <c r="F63" s="242">
        <v>1</v>
      </c>
      <c r="G63" s="242">
        <v>3</v>
      </c>
      <c r="H63" s="242">
        <v>5</v>
      </c>
      <c r="I63" s="242">
        <v>7</v>
      </c>
      <c r="J63" s="242">
        <v>10</v>
      </c>
      <c r="K63" s="242">
        <v>1</v>
      </c>
      <c r="L63" s="242">
        <v>5</v>
      </c>
      <c r="M63" s="242">
        <v>7</v>
      </c>
      <c r="N63" s="242">
        <v>10</v>
      </c>
      <c r="O63" s="242">
        <v>5</v>
      </c>
      <c r="P63" s="242">
        <v>8</v>
      </c>
      <c r="Q63" s="242">
        <v>10</v>
      </c>
      <c r="R63" s="242">
        <v>5</v>
      </c>
      <c r="S63" s="242">
        <v>5</v>
      </c>
      <c r="T63" s="242">
        <v>3</v>
      </c>
      <c r="U63" s="242" t="s">
        <v>832</v>
      </c>
    </row>
    <row r="64" spans="3:21" x14ac:dyDescent="0.25">
      <c r="C64" s="100" t="str">
        <f>'G-1 All Habitats'!B62</f>
        <v>Urban - Built linear features</v>
      </c>
      <c r="D64" s="242" t="s">
        <v>832</v>
      </c>
      <c r="E64" s="242" t="s">
        <v>832</v>
      </c>
      <c r="F64" s="242" t="s">
        <v>832</v>
      </c>
      <c r="G64" s="242" t="s">
        <v>832</v>
      </c>
      <c r="H64" s="242" t="s">
        <v>832</v>
      </c>
      <c r="I64" s="242" t="s">
        <v>832</v>
      </c>
      <c r="J64" s="242" t="s">
        <v>832</v>
      </c>
      <c r="K64" s="242" t="s">
        <v>832</v>
      </c>
      <c r="L64" s="242" t="s">
        <v>832</v>
      </c>
      <c r="M64" s="242" t="s">
        <v>832</v>
      </c>
      <c r="N64" s="242" t="s">
        <v>832</v>
      </c>
      <c r="O64" s="242" t="s">
        <v>832</v>
      </c>
      <c r="P64" s="242" t="s">
        <v>832</v>
      </c>
      <c r="Q64" s="242" t="s">
        <v>832</v>
      </c>
      <c r="R64" s="242" t="s">
        <v>832</v>
      </c>
      <c r="S64" s="242" t="s">
        <v>832</v>
      </c>
      <c r="T64" s="242" t="s">
        <v>832</v>
      </c>
      <c r="U64" s="242" t="s">
        <v>832</v>
      </c>
    </row>
    <row r="65" spans="3:21" x14ac:dyDescent="0.25">
      <c r="C65" s="100" t="str">
        <f>'G-1 All Habitats'!B63</f>
        <v>Urban - Cemeteries and churchyards</v>
      </c>
      <c r="D65" s="242" t="s">
        <v>832</v>
      </c>
      <c r="E65" s="242" t="s">
        <v>832</v>
      </c>
      <c r="F65" s="242">
        <v>10</v>
      </c>
      <c r="G65" s="242">
        <v>12</v>
      </c>
      <c r="H65" s="242">
        <v>15</v>
      </c>
      <c r="I65" s="242">
        <v>17</v>
      </c>
      <c r="J65" s="242">
        <v>20</v>
      </c>
      <c r="K65" s="242">
        <v>5</v>
      </c>
      <c r="L65" s="242">
        <v>10</v>
      </c>
      <c r="M65" s="242">
        <v>15</v>
      </c>
      <c r="N65" s="242">
        <v>20</v>
      </c>
      <c r="O65" s="242">
        <v>10</v>
      </c>
      <c r="P65" s="242">
        <v>15</v>
      </c>
      <c r="Q65" s="242">
        <v>20</v>
      </c>
      <c r="R65" s="242">
        <v>10</v>
      </c>
      <c r="S65" s="242">
        <v>15</v>
      </c>
      <c r="T65" s="242">
        <v>5</v>
      </c>
      <c r="U65" s="242" t="s">
        <v>832</v>
      </c>
    </row>
    <row r="66" spans="3:21" x14ac:dyDescent="0.25">
      <c r="C66" s="100" t="str">
        <f>'G-1 All Habitats'!B64</f>
        <v>Urban - Developed land; sealed surface</v>
      </c>
      <c r="D66" s="242" t="s">
        <v>832</v>
      </c>
      <c r="E66" s="242" t="s">
        <v>832</v>
      </c>
      <c r="F66" s="242" t="s">
        <v>832</v>
      </c>
      <c r="G66" s="242" t="s">
        <v>832</v>
      </c>
      <c r="H66" s="242" t="s">
        <v>832</v>
      </c>
      <c r="I66" s="242" t="s">
        <v>832</v>
      </c>
      <c r="J66" s="242" t="s">
        <v>832</v>
      </c>
      <c r="K66" s="242" t="s">
        <v>832</v>
      </c>
      <c r="L66" s="242" t="s">
        <v>832</v>
      </c>
      <c r="M66" s="242" t="s">
        <v>832</v>
      </c>
      <c r="N66" s="242" t="s">
        <v>832</v>
      </c>
      <c r="O66" s="242" t="s">
        <v>832</v>
      </c>
      <c r="P66" s="242" t="s">
        <v>832</v>
      </c>
      <c r="Q66" s="242" t="s">
        <v>832</v>
      </c>
      <c r="R66" s="242" t="s">
        <v>832</v>
      </c>
      <c r="S66" s="242" t="s">
        <v>832</v>
      </c>
      <c r="T66" s="242" t="s">
        <v>832</v>
      </c>
      <c r="U66" s="242" t="s">
        <v>832</v>
      </c>
    </row>
    <row r="67" spans="3:21" x14ac:dyDescent="0.25">
      <c r="C67" s="100" t="str">
        <f>'G-1 All Habitats'!B65</f>
        <v>Urban - Extensive green roof</v>
      </c>
      <c r="D67" s="242" t="s">
        <v>832</v>
      </c>
      <c r="E67" s="242" t="s">
        <v>832</v>
      </c>
      <c r="F67" s="242">
        <v>1</v>
      </c>
      <c r="G67" s="242">
        <v>2</v>
      </c>
      <c r="H67" s="242">
        <v>3</v>
      </c>
      <c r="I67" s="242">
        <v>4</v>
      </c>
      <c r="J67" s="242">
        <v>5</v>
      </c>
      <c r="K67" s="242">
        <v>1</v>
      </c>
      <c r="L67" s="242">
        <v>2</v>
      </c>
      <c r="M67" s="242">
        <v>3</v>
      </c>
      <c r="N67" s="242">
        <v>5</v>
      </c>
      <c r="O67" s="242">
        <v>1</v>
      </c>
      <c r="P67" s="242">
        <v>2</v>
      </c>
      <c r="Q67" s="242">
        <v>3</v>
      </c>
      <c r="R67" s="242">
        <v>1</v>
      </c>
      <c r="S67" s="242">
        <v>2</v>
      </c>
      <c r="T67" s="242">
        <v>1</v>
      </c>
      <c r="U67" s="242" t="s">
        <v>832</v>
      </c>
    </row>
    <row r="68" spans="3:21" x14ac:dyDescent="0.25">
      <c r="C68" s="100" t="str">
        <f>'G-1 All Habitats'!B66</f>
        <v>Urban - Facade-bound green wall</v>
      </c>
      <c r="D68" s="242" t="s">
        <v>832</v>
      </c>
      <c r="E68" s="242" t="s">
        <v>832</v>
      </c>
      <c r="F68" s="242">
        <v>1</v>
      </c>
      <c r="G68" s="242">
        <v>2</v>
      </c>
      <c r="H68" s="242">
        <v>3</v>
      </c>
      <c r="I68" s="242">
        <v>4</v>
      </c>
      <c r="J68" s="242">
        <v>5</v>
      </c>
      <c r="K68" s="242">
        <v>1</v>
      </c>
      <c r="L68" s="242">
        <v>2</v>
      </c>
      <c r="M68" s="242">
        <v>3</v>
      </c>
      <c r="N68" s="242">
        <v>5</v>
      </c>
      <c r="O68" s="242">
        <v>1</v>
      </c>
      <c r="P68" s="242">
        <v>2</v>
      </c>
      <c r="Q68" s="242">
        <v>3</v>
      </c>
      <c r="R68" s="242">
        <v>1</v>
      </c>
      <c r="S68" s="242">
        <v>2</v>
      </c>
      <c r="T68" s="242">
        <v>1</v>
      </c>
      <c r="U68" s="242" t="s">
        <v>832</v>
      </c>
    </row>
    <row r="69" spans="3:21" x14ac:dyDescent="0.25">
      <c r="C69" s="100" t="str">
        <f>'G-1 All Habitats'!B67</f>
        <v>Urban - Ground based green wall</v>
      </c>
      <c r="D69" s="242" t="s">
        <v>832</v>
      </c>
      <c r="E69" s="242" t="s">
        <v>832</v>
      </c>
      <c r="F69" s="242">
        <v>1</v>
      </c>
      <c r="G69" s="242">
        <v>2</v>
      </c>
      <c r="H69" s="242">
        <v>3</v>
      </c>
      <c r="I69" s="242">
        <v>4</v>
      </c>
      <c r="J69" s="242">
        <v>5</v>
      </c>
      <c r="K69" s="242">
        <v>1</v>
      </c>
      <c r="L69" s="242">
        <v>2</v>
      </c>
      <c r="M69" s="242">
        <v>3</v>
      </c>
      <c r="N69" s="242">
        <v>5</v>
      </c>
      <c r="O69" s="242">
        <v>1</v>
      </c>
      <c r="P69" s="242">
        <v>2</v>
      </c>
      <c r="Q69" s="242">
        <v>3</v>
      </c>
      <c r="R69" s="242">
        <v>1</v>
      </c>
      <c r="S69" s="242">
        <v>2</v>
      </c>
      <c r="T69" s="242">
        <v>1</v>
      </c>
      <c r="U69" s="242" t="s">
        <v>832</v>
      </c>
    </row>
    <row r="70" spans="3:21" x14ac:dyDescent="0.25">
      <c r="C70" s="100" t="str">
        <f>'G-1 All Habitats'!B68</f>
        <v>Urban - Ground level planters</v>
      </c>
      <c r="D70" s="242" t="s">
        <v>832</v>
      </c>
      <c r="E70" s="242" t="s">
        <v>832</v>
      </c>
      <c r="F70" s="242" t="s">
        <v>832</v>
      </c>
      <c r="G70" s="242" t="s">
        <v>832</v>
      </c>
      <c r="H70" s="242" t="s">
        <v>832</v>
      </c>
      <c r="I70" s="242" t="s">
        <v>832</v>
      </c>
      <c r="J70" s="242" t="s">
        <v>832</v>
      </c>
      <c r="K70" s="242" t="s">
        <v>832</v>
      </c>
      <c r="L70" s="242" t="s">
        <v>832</v>
      </c>
      <c r="M70" s="242" t="s">
        <v>832</v>
      </c>
      <c r="N70" s="242" t="s">
        <v>832</v>
      </c>
      <c r="O70" s="242" t="s">
        <v>832</v>
      </c>
      <c r="P70" s="242" t="s">
        <v>832</v>
      </c>
      <c r="Q70" s="242" t="s">
        <v>832</v>
      </c>
      <c r="R70" s="242" t="s">
        <v>832</v>
      </c>
      <c r="S70" s="242" t="s">
        <v>832</v>
      </c>
      <c r="T70" s="242" t="s">
        <v>832</v>
      </c>
      <c r="U70" s="242" t="s">
        <v>832</v>
      </c>
    </row>
    <row r="71" spans="3:21" x14ac:dyDescent="0.25">
      <c r="C71" s="100" t="str">
        <f>'G-1 All Habitats'!B69</f>
        <v>Urban - Intensive green roof</v>
      </c>
      <c r="D71" s="242" t="s">
        <v>832</v>
      </c>
      <c r="E71" s="242" t="s">
        <v>832</v>
      </c>
      <c r="F71" s="242">
        <v>1</v>
      </c>
      <c r="G71" s="242">
        <v>3</v>
      </c>
      <c r="H71" s="242">
        <v>5</v>
      </c>
      <c r="I71" s="242">
        <v>8</v>
      </c>
      <c r="J71" s="242">
        <v>10</v>
      </c>
      <c r="K71" s="242">
        <v>3</v>
      </c>
      <c r="L71" s="242">
        <v>5</v>
      </c>
      <c r="M71" s="242">
        <v>8</v>
      </c>
      <c r="N71" s="242">
        <v>10</v>
      </c>
      <c r="O71" s="242">
        <v>3</v>
      </c>
      <c r="P71" s="242">
        <v>8</v>
      </c>
      <c r="Q71" s="242">
        <v>8</v>
      </c>
      <c r="R71" s="242">
        <v>3</v>
      </c>
      <c r="S71" s="242">
        <v>5</v>
      </c>
      <c r="T71" s="242">
        <v>2</v>
      </c>
      <c r="U71" s="242" t="s">
        <v>832</v>
      </c>
    </row>
    <row r="72" spans="3:21" x14ac:dyDescent="0.25">
      <c r="C72" s="100" t="str">
        <f>'G-1 All Habitats'!B70</f>
        <v>Urban - Introduced shrub</v>
      </c>
      <c r="D72" s="242" t="s">
        <v>832</v>
      </c>
      <c r="E72" s="242" t="s">
        <v>832</v>
      </c>
      <c r="F72" s="242" t="s">
        <v>832</v>
      </c>
      <c r="G72" s="242" t="s">
        <v>832</v>
      </c>
      <c r="H72" s="242" t="s">
        <v>832</v>
      </c>
      <c r="I72" s="242" t="s">
        <v>832</v>
      </c>
      <c r="J72" s="242" t="s">
        <v>832</v>
      </c>
      <c r="K72" s="242" t="s">
        <v>832</v>
      </c>
      <c r="L72" s="242" t="s">
        <v>832</v>
      </c>
      <c r="M72" s="242" t="s">
        <v>832</v>
      </c>
      <c r="N72" s="242" t="s">
        <v>832</v>
      </c>
      <c r="O72" s="242" t="s">
        <v>832</v>
      </c>
      <c r="P72" s="242" t="s">
        <v>832</v>
      </c>
      <c r="Q72" s="242" t="s">
        <v>832</v>
      </c>
      <c r="R72" s="242" t="s">
        <v>832</v>
      </c>
      <c r="S72" s="242" t="s">
        <v>832</v>
      </c>
      <c r="T72" s="242" t="s">
        <v>832</v>
      </c>
      <c r="U72" s="242" t="s">
        <v>832</v>
      </c>
    </row>
    <row r="73" spans="3:21" x14ac:dyDescent="0.25">
      <c r="C73" s="100" t="str">
        <f>'G-1 All Habitats'!B71</f>
        <v>Urban - Open Mosaic Habitats on Previously Developed Land</v>
      </c>
      <c r="D73" s="242" t="s">
        <v>832</v>
      </c>
      <c r="E73" s="242" t="s">
        <v>832</v>
      </c>
      <c r="F73" s="242">
        <v>0</v>
      </c>
      <c r="G73" s="242">
        <v>2</v>
      </c>
      <c r="H73" s="242">
        <v>4</v>
      </c>
      <c r="I73" s="242">
        <v>7</v>
      </c>
      <c r="J73" s="242">
        <v>10</v>
      </c>
      <c r="K73" s="242">
        <v>2</v>
      </c>
      <c r="L73" s="242">
        <v>4</v>
      </c>
      <c r="M73" s="242">
        <v>7</v>
      </c>
      <c r="N73" s="242">
        <v>10</v>
      </c>
      <c r="O73" s="242">
        <v>2</v>
      </c>
      <c r="P73" s="242">
        <v>5</v>
      </c>
      <c r="Q73" s="242">
        <v>8</v>
      </c>
      <c r="R73" s="242">
        <v>3</v>
      </c>
      <c r="S73" s="242">
        <v>4</v>
      </c>
      <c r="T73" s="242">
        <v>3</v>
      </c>
      <c r="U73" s="242" t="s">
        <v>832</v>
      </c>
    </row>
    <row r="74" spans="3:21" x14ac:dyDescent="0.25">
      <c r="C74" s="100" t="str">
        <f>'G-1 All Habitats'!B72</f>
        <v>Urban - Rain garden</v>
      </c>
      <c r="D74" s="242" t="s">
        <v>832</v>
      </c>
      <c r="E74" s="242" t="s">
        <v>832</v>
      </c>
      <c r="F74" s="242">
        <v>1</v>
      </c>
      <c r="G74" s="242">
        <v>1</v>
      </c>
      <c r="H74" s="242">
        <v>1</v>
      </c>
      <c r="I74" s="242">
        <v>1</v>
      </c>
      <c r="J74" s="242">
        <v>1</v>
      </c>
      <c r="K74" s="242">
        <v>1</v>
      </c>
      <c r="L74" s="242">
        <v>1</v>
      </c>
      <c r="M74" s="242">
        <v>1</v>
      </c>
      <c r="N74" s="242">
        <v>1</v>
      </c>
      <c r="O74" s="242">
        <v>1</v>
      </c>
      <c r="P74" s="242">
        <v>1</v>
      </c>
      <c r="Q74" s="242">
        <v>1</v>
      </c>
      <c r="R74" s="242">
        <v>1</v>
      </c>
      <c r="S74" s="242">
        <v>1</v>
      </c>
      <c r="T74" s="242">
        <v>1</v>
      </c>
      <c r="U74" s="242" t="s">
        <v>832</v>
      </c>
    </row>
    <row r="75" spans="3:21" x14ac:dyDescent="0.25">
      <c r="C75" s="100" t="str">
        <f>'G-1 All Habitats'!B73</f>
        <v>Urban - Sand pit quarry or open cast mine</v>
      </c>
      <c r="D75" s="242" t="s">
        <v>832</v>
      </c>
      <c r="E75" s="242" t="s">
        <v>832</v>
      </c>
      <c r="F75" s="242">
        <v>1</v>
      </c>
      <c r="G75" s="242" t="s">
        <v>832</v>
      </c>
      <c r="H75" s="242" t="s">
        <v>832</v>
      </c>
      <c r="I75" s="242" t="s">
        <v>832</v>
      </c>
      <c r="J75" s="242" t="s">
        <v>832</v>
      </c>
      <c r="K75" s="242" t="s">
        <v>832</v>
      </c>
      <c r="L75" s="242" t="s">
        <v>832</v>
      </c>
      <c r="M75" s="242" t="s">
        <v>832</v>
      </c>
      <c r="N75" s="242" t="s">
        <v>832</v>
      </c>
      <c r="O75" s="242" t="s">
        <v>832</v>
      </c>
      <c r="P75" s="242" t="s">
        <v>832</v>
      </c>
      <c r="Q75" s="242" t="s">
        <v>832</v>
      </c>
      <c r="R75" s="242" t="s">
        <v>832</v>
      </c>
      <c r="S75" s="242" t="s">
        <v>832</v>
      </c>
      <c r="T75" s="242" t="s">
        <v>832</v>
      </c>
      <c r="U75" s="242" t="s">
        <v>832</v>
      </c>
    </row>
    <row r="76" spans="3:21" x14ac:dyDescent="0.25">
      <c r="C76" s="100" t="str">
        <f>'G-1 All Habitats'!B74</f>
        <v>Urban - Urban Tree</v>
      </c>
      <c r="D76" s="242" t="s">
        <v>832</v>
      </c>
      <c r="E76" s="242" t="s">
        <v>832</v>
      </c>
      <c r="F76" s="242" t="s">
        <v>832</v>
      </c>
      <c r="G76" s="242" t="s">
        <v>832</v>
      </c>
      <c r="H76" s="242" t="s">
        <v>832</v>
      </c>
      <c r="I76" s="242" t="s">
        <v>832</v>
      </c>
      <c r="J76" s="242" t="s">
        <v>832</v>
      </c>
      <c r="K76" s="242">
        <v>8</v>
      </c>
      <c r="L76" s="242">
        <v>16</v>
      </c>
      <c r="M76" s="242">
        <v>24</v>
      </c>
      <c r="N76" s="242" t="s">
        <v>1211</v>
      </c>
      <c r="O76" s="242">
        <v>8</v>
      </c>
      <c r="P76" s="242">
        <v>16</v>
      </c>
      <c r="Q76" s="242">
        <v>24</v>
      </c>
      <c r="R76" s="242">
        <v>8</v>
      </c>
      <c r="S76" s="242">
        <v>16</v>
      </c>
      <c r="T76" s="242">
        <v>8</v>
      </c>
      <c r="U76" s="242" t="s">
        <v>832</v>
      </c>
    </row>
    <row r="77" spans="3:21" x14ac:dyDescent="0.25">
      <c r="C77" s="100" t="str">
        <f>'G-1 All Habitats'!B75</f>
        <v>Urban - Sustainable urban drainage feature</v>
      </c>
      <c r="D77" s="242" t="s">
        <v>832</v>
      </c>
      <c r="E77" s="242" t="s">
        <v>832</v>
      </c>
      <c r="F77" s="242">
        <v>1</v>
      </c>
      <c r="G77" s="242">
        <v>2</v>
      </c>
      <c r="H77" s="242">
        <v>3</v>
      </c>
      <c r="I77" s="242">
        <v>4</v>
      </c>
      <c r="J77" s="242">
        <v>5</v>
      </c>
      <c r="K77" s="242">
        <v>1</v>
      </c>
      <c r="L77" s="242">
        <v>2</v>
      </c>
      <c r="M77" s="242">
        <v>3</v>
      </c>
      <c r="N77" s="242">
        <v>5</v>
      </c>
      <c r="O77" s="242">
        <v>1</v>
      </c>
      <c r="P77" s="242">
        <v>2</v>
      </c>
      <c r="Q77" s="242">
        <v>3</v>
      </c>
      <c r="R77" s="242">
        <v>1</v>
      </c>
      <c r="S77" s="242">
        <v>2</v>
      </c>
      <c r="T77" s="242">
        <v>1</v>
      </c>
      <c r="U77" s="242" t="s">
        <v>832</v>
      </c>
    </row>
    <row r="78" spans="3:21" x14ac:dyDescent="0.25">
      <c r="C78" s="100" t="str">
        <f>'G-1 All Habitats'!B76</f>
        <v>Urban - Un-vegetated garden</v>
      </c>
      <c r="D78" s="242" t="s">
        <v>832</v>
      </c>
      <c r="E78" s="242" t="s">
        <v>832</v>
      </c>
      <c r="F78" s="242" t="s">
        <v>832</v>
      </c>
      <c r="G78" s="242" t="s">
        <v>832</v>
      </c>
      <c r="H78" s="242" t="s">
        <v>832</v>
      </c>
      <c r="I78" s="242" t="s">
        <v>832</v>
      </c>
      <c r="J78" s="242" t="s">
        <v>832</v>
      </c>
      <c r="K78" s="242" t="s">
        <v>832</v>
      </c>
      <c r="L78" s="242" t="s">
        <v>832</v>
      </c>
      <c r="M78" s="242" t="s">
        <v>832</v>
      </c>
      <c r="N78" s="242" t="s">
        <v>832</v>
      </c>
      <c r="O78" s="242" t="s">
        <v>832</v>
      </c>
      <c r="P78" s="242" t="s">
        <v>832</v>
      </c>
      <c r="Q78" s="242" t="s">
        <v>832</v>
      </c>
      <c r="R78" s="242" t="s">
        <v>832</v>
      </c>
      <c r="S78" s="242" t="s">
        <v>832</v>
      </c>
      <c r="T78" s="242" t="s">
        <v>832</v>
      </c>
      <c r="U78" s="242" t="s">
        <v>832</v>
      </c>
    </row>
    <row r="79" spans="3:21" x14ac:dyDescent="0.25">
      <c r="C79" s="100" t="str">
        <f>'G-1 All Habitats'!B77</f>
        <v>Urban - Vacant/derelict land/ bareground</v>
      </c>
      <c r="D79" s="242" t="s">
        <v>832</v>
      </c>
      <c r="E79" s="242" t="s">
        <v>832</v>
      </c>
      <c r="F79" s="242">
        <v>1</v>
      </c>
      <c r="G79" s="242">
        <v>1</v>
      </c>
      <c r="H79" s="242">
        <v>1</v>
      </c>
      <c r="I79" s="242">
        <v>1</v>
      </c>
      <c r="J79" s="242">
        <v>1</v>
      </c>
      <c r="K79" s="242">
        <v>1</v>
      </c>
      <c r="L79" s="242">
        <v>1</v>
      </c>
      <c r="M79" s="242">
        <v>1</v>
      </c>
      <c r="N79" s="242">
        <v>1</v>
      </c>
      <c r="O79" s="242">
        <v>1</v>
      </c>
      <c r="P79" s="242">
        <v>1</v>
      </c>
      <c r="Q79" s="242">
        <v>1</v>
      </c>
      <c r="R79" s="242">
        <v>1</v>
      </c>
      <c r="S79" s="242">
        <v>1</v>
      </c>
      <c r="T79" s="242">
        <v>1</v>
      </c>
      <c r="U79" s="242" t="s">
        <v>832</v>
      </c>
    </row>
    <row r="80" spans="3:21" x14ac:dyDescent="0.25">
      <c r="C80" s="100" t="str">
        <f>'G-1 All Habitats'!B78</f>
        <v>Urban - Vegetated garden</v>
      </c>
      <c r="D80" s="242" t="s">
        <v>832</v>
      </c>
      <c r="E80" s="242" t="s">
        <v>832</v>
      </c>
      <c r="F80" s="242">
        <v>1</v>
      </c>
      <c r="G80" s="242">
        <v>2</v>
      </c>
      <c r="H80" s="242">
        <v>3</v>
      </c>
      <c r="I80" s="242">
        <v>4</v>
      </c>
      <c r="J80" s="242">
        <v>5</v>
      </c>
      <c r="K80" s="242">
        <v>1</v>
      </c>
      <c r="L80" s="242">
        <v>2</v>
      </c>
      <c r="M80" s="242">
        <v>3</v>
      </c>
      <c r="N80" s="242">
        <v>5</v>
      </c>
      <c r="O80" s="242">
        <v>1</v>
      </c>
      <c r="P80" s="242">
        <v>2</v>
      </c>
      <c r="Q80" s="242">
        <v>3</v>
      </c>
      <c r="R80" s="242">
        <v>1</v>
      </c>
      <c r="S80" s="242">
        <v>2</v>
      </c>
      <c r="T80" s="242">
        <v>1</v>
      </c>
      <c r="U80" s="242" t="s">
        <v>832</v>
      </c>
    </row>
    <row r="81" spans="3:21" x14ac:dyDescent="0.25">
      <c r="C81" s="100" t="str">
        <f>'G-1 All Habitats'!B79</f>
        <v>Wetland - Blanket bog</v>
      </c>
      <c r="D81" s="242" t="s">
        <v>832</v>
      </c>
      <c r="E81" s="242" t="s">
        <v>832</v>
      </c>
      <c r="F81" s="242">
        <v>15</v>
      </c>
      <c r="G81" s="242">
        <v>25</v>
      </c>
      <c r="H81" s="242">
        <v>30</v>
      </c>
      <c r="I81" s="242" t="s">
        <v>1211</v>
      </c>
      <c r="J81" s="242" t="s">
        <v>1211</v>
      </c>
      <c r="K81" s="242">
        <v>10</v>
      </c>
      <c r="L81" s="242">
        <v>20</v>
      </c>
      <c r="M81" s="242" t="s">
        <v>1211</v>
      </c>
      <c r="N81" s="242">
        <v>30</v>
      </c>
      <c r="O81" s="242">
        <v>10</v>
      </c>
      <c r="P81" s="242" t="s">
        <v>1211</v>
      </c>
      <c r="Q81" s="242" t="s">
        <v>1211</v>
      </c>
      <c r="R81" s="242">
        <v>30</v>
      </c>
      <c r="S81" s="242" t="s">
        <v>1211</v>
      </c>
      <c r="T81" s="242">
        <v>30</v>
      </c>
      <c r="U81" s="242" t="s">
        <v>832</v>
      </c>
    </row>
    <row r="82" spans="3:21" x14ac:dyDescent="0.25">
      <c r="C82" s="100" t="str">
        <f>'G-1 All Habitats'!B80</f>
        <v>Wetland - Depressions on Peat substrates (H7150)</v>
      </c>
      <c r="D82" s="242" t="s">
        <v>832</v>
      </c>
      <c r="E82" s="242" t="s">
        <v>832</v>
      </c>
      <c r="F82" s="242">
        <v>15</v>
      </c>
      <c r="G82" s="242">
        <v>25</v>
      </c>
      <c r="H82" s="242">
        <v>30</v>
      </c>
      <c r="I82" s="242" t="s">
        <v>1211</v>
      </c>
      <c r="J82" s="242" t="s">
        <v>1211</v>
      </c>
      <c r="K82" s="242">
        <v>10</v>
      </c>
      <c r="L82" s="242">
        <v>20</v>
      </c>
      <c r="M82" s="242">
        <v>25</v>
      </c>
      <c r="N82" s="242">
        <v>30</v>
      </c>
      <c r="O82" s="242">
        <v>10</v>
      </c>
      <c r="P82" s="242">
        <v>20</v>
      </c>
      <c r="Q82" s="242">
        <v>25</v>
      </c>
      <c r="R82" s="242">
        <v>10</v>
      </c>
      <c r="S82" s="242">
        <v>20</v>
      </c>
      <c r="T82" s="242">
        <v>10</v>
      </c>
      <c r="U82" s="242" t="s">
        <v>832</v>
      </c>
    </row>
    <row r="83" spans="3:21" x14ac:dyDescent="0.25">
      <c r="C83" s="100" t="str">
        <f>'G-1 All Habitats'!B81</f>
        <v>Wetland - Fens (upland and lowland)</v>
      </c>
      <c r="D83" s="242" t="s">
        <v>832</v>
      </c>
      <c r="E83" s="242" t="s">
        <v>832</v>
      </c>
      <c r="F83" s="242">
        <v>10</v>
      </c>
      <c r="G83" s="242">
        <v>12</v>
      </c>
      <c r="H83" s="242">
        <v>15</v>
      </c>
      <c r="I83" s="242">
        <v>25</v>
      </c>
      <c r="J83" s="242">
        <v>30</v>
      </c>
      <c r="K83" s="242">
        <v>10</v>
      </c>
      <c r="L83" s="242">
        <v>12</v>
      </c>
      <c r="M83" s="242">
        <v>15</v>
      </c>
      <c r="N83" s="242">
        <v>18</v>
      </c>
      <c r="O83" s="242">
        <v>10</v>
      </c>
      <c r="P83" s="242">
        <v>12</v>
      </c>
      <c r="Q83" s="242">
        <v>15</v>
      </c>
      <c r="R83" s="242">
        <v>10</v>
      </c>
      <c r="S83" s="242">
        <v>12</v>
      </c>
      <c r="T83" s="242">
        <v>10</v>
      </c>
      <c r="U83" s="242" t="s">
        <v>832</v>
      </c>
    </row>
    <row r="84" spans="3:21" x14ac:dyDescent="0.25">
      <c r="C84" s="100" t="str">
        <f>'G-1 All Habitats'!B82</f>
        <v>Wetland - Lowland raised bog</v>
      </c>
      <c r="D84" s="242" t="s">
        <v>832</v>
      </c>
      <c r="E84" s="242" t="s">
        <v>832</v>
      </c>
      <c r="F84" s="242">
        <v>15</v>
      </c>
      <c r="G84" s="242">
        <v>20</v>
      </c>
      <c r="H84" s="242">
        <v>30</v>
      </c>
      <c r="I84" s="242" t="s">
        <v>1211</v>
      </c>
      <c r="J84" s="242" t="s">
        <v>1211</v>
      </c>
      <c r="K84" s="242">
        <v>10</v>
      </c>
      <c r="L84" s="242">
        <v>20</v>
      </c>
      <c r="M84" s="242">
        <v>25</v>
      </c>
      <c r="N84" s="242">
        <v>30</v>
      </c>
      <c r="O84" s="242">
        <v>10</v>
      </c>
      <c r="P84" s="242">
        <v>20</v>
      </c>
      <c r="Q84" s="242">
        <v>20</v>
      </c>
      <c r="R84" s="242">
        <v>10</v>
      </c>
      <c r="S84" s="242">
        <v>15</v>
      </c>
      <c r="T84" s="242">
        <v>10</v>
      </c>
      <c r="U84" s="242" t="s">
        <v>832</v>
      </c>
    </row>
    <row r="85" spans="3:21" x14ac:dyDescent="0.25">
      <c r="C85" s="100" t="str">
        <f>'G-1 All Habitats'!B83</f>
        <v>Wetland - Oceanic Valley Mire[1] (D2.1)</v>
      </c>
      <c r="D85" s="242" t="s">
        <v>832</v>
      </c>
      <c r="E85" s="242" t="s">
        <v>832</v>
      </c>
      <c r="F85" s="242">
        <v>15</v>
      </c>
      <c r="G85" s="242">
        <v>20</v>
      </c>
      <c r="H85" s="242">
        <v>30</v>
      </c>
      <c r="I85" s="242" t="s">
        <v>1211</v>
      </c>
      <c r="J85" s="242" t="s">
        <v>1211</v>
      </c>
      <c r="K85" s="242">
        <v>10</v>
      </c>
      <c r="L85" s="242">
        <v>20</v>
      </c>
      <c r="M85" s="242">
        <v>25</v>
      </c>
      <c r="N85" s="242">
        <v>30</v>
      </c>
      <c r="O85" s="242">
        <v>10</v>
      </c>
      <c r="P85" s="242">
        <v>20</v>
      </c>
      <c r="Q85" s="242">
        <v>20</v>
      </c>
      <c r="R85" s="242">
        <v>10</v>
      </c>
      <c r="S85" s="242">
        <v>15</v>
      </c>
      <c r="T85" s="242">
        <v>10</v>
      </c>
      <c r="U85" s="242" t="s">
        <v>832</v>
      </c>
    </row>
    <row r="86" spans="3:21" x14ac:dyDescent="0.25">
      <c r="C86" s="100" t="str">
        <f>'G-1 All Habitats'!B84</f>
        <v>Wetland - Purple moor grass and rush pastures</v>
      </c>
      <c r="D86" s="242" t="s">
        <v>832</v>
      </c>
      <c r="E86" s="242" t="s">
        <v>832</v>
      </c>
      <c r="F86" s="242">
        <v>10</v>
      </c>
      <c r="G86" s="242">
        <v>12</v>
      </c>
      <c r="H86" s="242">
        <v>15</v>
      </c>
      <c r="I86" s="242">
        <v>17</v>
      </c>
      <c r="J86" s="242">
        <v>20</v>
      </c>
      <c r="K86" s="242">
        <v>10</v>
      </c>
      <c r="L86" s="242">
        <v>10</v>
      </c>
      <c r="M86" s="242">
        <v>15</v>
      </c>
      <c r="N86" s="242">
        <v>20</v>
      </c>
      <c r="O86" s="242">
        <v>10</v>
      </c>
      <c r="P86" s="242">
        <v>15</v>
      </c>
      <c r="Q86" s="242">
        <v>20</v>
      </c>
      <c r="R86" s="242">
        <v>10</v>
      </c>
      <c r="S86" s="242">
        <v>15</v>
      </c>
      <c r="T86" s="242">
        <v>10</v>
      </c>
      <c r="U86" s="242" t="s">
        <v>832</v>
      </c>
    </row>
    <row r="87" spans="3:21" x14ac:dyDescent="0.25">
      <c r="C87" s="100" t="str">
        <f>'G-1 All Habitats'!B85</f>
        <v>Wetland - Reedbeds</v>
      </c>
      <c r="D87" s="242" t="s">
        <v>832</v>
      </c>
      <c r="E87" s="242" t="s">
        <v>832</v>
      </c>
      <c r="F87" s="242">
        <v>5</v>
      </c>
      <c r="G87" s="242">
        <v>7</v>
      </c>
      <c r="H87" s="242">
        <v>10</v>
      </c>
      <c r="I87" s="242">
        <v>12</v>
      </c>
      <c r="J87" s="242">
        <v>15</v>
      </c>
      <c r="K87" s="242">
        <v>5</v>
      </c>
      <c r="L87" s="242">
        <v>7</v>
      </c>
      <c r="M87" s="242">
        <v>10</v>
      </c>
      <c r="N87" s="242">
        <v>12</v>
      </c>
      <c r="O87" s="242">
        <v>5</v>
      </c>
      <c r="P87" s="242">
        <v>7</v>
      </c>
      <c r="Q87" s="242">
        <v>10</v>
      </c>
      <c r="R87" s="242">
        <v>5</v>
      </c>
      <c r="S87" s="242">
        <v>7</v>
      </c>
      <c r="T87" s="242">
        <v>5</v>
      </c>
      <c r="U87" s="242" t="s">
        <v>832</v>
      </c>
    </row>
    <row r="88" spans="3:21" x14ac:dyDescent="0.25">
      <c r="C88" s="100" t="str">
        <f>'G-1 All Habitats'!B86</f>
        <v>Wetland - Transition mires and quaking bogs (H7140)</v>
      </c>
      <c r="D88" s="242" t="s">
        <v>832</v>
      </c>
      <c r="E88" s="242" t="s">
        <v>832</v>
      </c>
      <c r="F88" s="242">
        <v>15</v>
      </c>
      <c r="G88" s="242">
        <v>25</v>
      </c>
      <c r="H88" s="242">
        <v>30</v>
      </c>
      <c r="I88" s="242" t="s">
        <v>1211</v>
      </c>
      <c r="J88" s="242" t="s">
        <v>1211</v>
      </c>
      <c r="K88" s="242">
        <v>10</v>
      </c>
      <c r="L88" s="242">
        <v>20</v>
      </c>
      <c r="M88" s="242">
        <v>25</v>
      </c>
      <c r="N88" s="242">
        <v>30</v>
      </c>
      <c r="O88" s="242">
        <v>10</v>
      </c>
      <c r="P88" s="242">
        <v>20</v>
      </c>
      <c r="Q88" s="242">
        <v>20</v>
      </c>
      <c r="R88" s="242">
        <v>10</v>
      </c>
      <c r="S88" s="242">
        <v>15</v>
      </c>
      <c r="T88" s="242">
        <v>10</v>
      </c>
      <c r="U88" s="242" t="s">
        <v>832</v>
      </c>
    </row>
    <row r="89" spans="3:21" x14ac:dyDescent="0.25">
      <c r="C89" s="100" t="str">
        <f>'G-1 All Habitats'!B87</f>
        <v>Woodland and forest - Felled</v>
      </c>
      <c r="D89" s="242" t="s">
        <v>832</v>
      </c>
      <c r="E89" s="242" t="s">
        <v>832</v>
      </c>
      <c r="F89" s="242" t="s">
        <v>832</v>
      </c>
      <c r="G89" s="242" t="s">
        <v>832</v>
      </c>
      <c r="H89" s="242" t="s">
        <v>832</v>
      </c>
      <c r="I89" s="242" t="s">
        <v>832</v>
      </c>
      <c r="J89" s="242" t="s">
        <v>832</v>
      </c>
      <c r="K89" s="242" t="s">
        <v>832</v>
      </c>
      <c r="L89" s="242" t="s">
        <v>832</v>
      </c>
      <c r="M89" s="242" t="s">
        <v>832</v>
      </c>
      <c r="N89" s="242" t="s">
        <v>832</v>
      </c>
      <c r="O89" s="242" t="s">
        <v>832</v>
      </c>
      <c r="P89" s="242" t="s">
        <v>832</v>
      </c>
      <c r="Q89" s="242" t="s">
        <v>832</v>
      </c>
      <c r="R89" s="242" t="s">
        <v>832</v>
      </c>
      <c r="S89" s="242" t="s">
        <v>832</v>
      </c>
      <c r="T89" s="242" t="s">
        <v>832</v>
      </c>
      <c r="U89" s="242" t="s">
        <v>832</v>
      </c>
    </row>
    <row r="90" spans="3:21" x14ac:dyDescent="0.25">
      <c r="C90" s="100" t="str">
        <f>'G-1 All Habitats'!B88</f>
        <v>Woodland and forest - Lowland beech and yew woodland</v>
      </c>
      <c r="D90" s="242" t="s">
        <v>832</v>
      </c>
      <c r="E90" s="242" t="s">
        <v>832</v>
      </c>
      <c r="F90" s="242">
        <v>10</v>
      </c>
      <c r="G90" s="242">
        <v>25</v>
      </c>
      <c r="H90" s="242" t="s">
        <v>1211</v>
      </c>
      <c r="I90" s="242" t="s">
        <v>1211</v>
      </c>
      <c r="J90" s="242" t="s">
        <v>1211</v>
      </c>
      <c r="K90" s="242">
        <v>25</v>
      </c>
      <c r="L90" s="242" t="s">
        <v>1211</v>
      </c>
      <c r="M90" s="242" t="s">
        <v>1211</v>
      </c>
      <c r="N90" s="242" t="s">
        <v>1211</v>
      </c>
      <c r="O90" s="242" t="s">
        <v>1211</v>
      </c>
      <c r="P90" s="242" t="s">
        <v>1211</v>
      </c>
      <c r="Q90" s="242" t="s">
        <v>1211</v>
      </c>
      <c r="R90" s="242" t="s">
        <v>1211</v>
      </c>
      <c r="S90" s="242" t="s">
        <v>1211</v>
      </c>
      <c r="T90" s="242" t="s">
        <v>1211</v>
      </c>
      <c r="U90" s="242" t="s">
        <v>832</v>
      </c>
    </row>
    <row r="91" spans="3:21" x14ac:dyDescent="0.25">
      <c r="C91" s="100" t="str">
        <f>'G-1 All Habitats'!B89</f>
        <v>Woodland and forest - Lowland mixed deciduous woodland</v>
      </c>
      <c r="D91" s="242" t="s">
        <v>832</v>
      </c>
      <c r="E91" s="242" t="s">
        <v>832</v>
      </c>
      <c r="F91" s="242">
        <v>10</v>
      </c>
      <c r="G91" s="242">
        <v>25</v>
      </c>
      <c r="H91" s="242" t="s">
        <v>1211</v>
      </c>
      <c r="I91" s="242" t="s">
        <v>1211</v>
      </c>
      <c r="J91" s="242" t="s">
        <v>1211</v>
      </c>
      <c r="K91" s="242">
        <v>10</v>
      </c>
      <c r="L91" s="242">
        <v>20</v>
      </c>
      <c r="M91" s="242">
        <v>25</v>
      </c>
      <c r="N91" s="242" t="s">
        <v>1211</v>
      </c>
      <c r="O91" s="242">
        <v>10</v>
      </c>
      <c r="P91" s="242">
        <v>20</v>
      </c>
      <c r="Q91" s="242">
        <v>25</v>
      </c>
      <c r="R91" s="242">
        <v>10</v>
      </c>
      <c r="S91" s="242">
        <v>20</v>
      </c>
      <c r="T91" s="242">
        <v>10</v>
      </c>
      <c r="U91" s="242" t="s">
        <v>832</v>
      </c>
    </row>
    <row r="92" spans="3:21" x14ac:dyDescent="0.25">
      <c r="C92" s="100" t="str">
        <f>'G-1 All Habitats'!B90</f>
        <v>Woodland and forest - Native pine woodlands</v>
      </c>
      <c r="D92" s="242" t="s">
        <v>832</v>
      </c>
      <c r="E92" s="242" t="s">
        <v>832</v>
      </c>
      <c r="F92" s="242">
        <v>25</v>
      </c>
      <c r="G92" s="242">
        <v>30</v>
      </c>
      <c r="H92" s="242" t="s">
        <v>1211</v>
      </c>
      <c r="I92" s="242" t="s">
        <v>1211</v>
      </c>
      <c r="J92" s="242" t="s">
        <v>1211</v>
      </c>
      <c r="K92" s="242">
        <v>10</v>
      </c>
      <c r="L92" s="242">
        <v>15</v>
      </c>
      <c r="M92" s="242">
        <v>20</v>
      </c>
      <c r="N92" s="242" t="s">
        <v>1211</v>
      </c>
      <c r="O92" s="242">
        <v>15</v>
      </c>
      <c r="P92" s="242">
        <v>20</v>
      </c>
      <c r="Q92" s="242">
        <v>25</v>
      </c>
      <c r="R92" s="242">
        <v>10</v>
      </c>
      <c r="S92" s="242">
        <v>15</v>
      </c>
      <c r="T92" s="242">
        <v>10</v>
      </c>
      <c r="U92" s="242" t="s">
        <v>832</v>
      </c>
    </row>
    <row r="93" spans="3:21" x14ac:dyDescent="0.25">
      <c r="C93" s="100" t="str">
        <f>'G-1 All Habitats'!B91</f>
        <v>Woodland and forest - Other coniferous woodland</v>
      </c>
      <c r="D93" s="242" t="s">
        <v>832</v>
      </c>
      <c r="E93" s="242" t="s">
        <v>832</v>
      </c>
      <c r="F93" s="242" t="s">
        <v>832</v>
      </c>
      <c r="G93" s="242" t="s">
        <v>832</v>
      </c>
      <c r="H93" s="242" t="s">
        <v>832</v>
      </c>
      <c r="I93" s="242" t="s">
        <v>832</v>
      </c>
      <c r="J93" s="242" t="s">
        <v>832</v>
      </c>
      <c r="K93" s="242">
        <v>5</v>
      </c>
      <c r="L93" s="242">
        <v>25</v>
      </c>
      <c r="M93" s="242" t="s">
        <v>1211</v>
      </c>
      <c r="N93" s="242" t="s">
        <v>1211</v>
      </c>
      <c r="O93" s="242">
        <v>20</v>
      </c>
      <c r="P93" s="242">
        <v>15</v>
      </c>
      <c r="Q93" s="242">
        <v>25</v>
      </c>
      <c r="R93" s="242">
        <v>5</v>
      </c>
      <c r="S93" s="242">
        <v>7</v>
      </c>
      <c r="T93" s="242">
        <v>10</v>
      </c>
      <c r="U93" s="242" t="s">
        <v>832</v>
      </c>
    </row>
    <row r="94" spans="3:21" x14ac:dyDescent="0.25">
      <c r="C94" s="100" t="str">
        <f>'G-1 All Habitats'!B92</f>
        <v>Woodland and forest - Other Scot's Pine woodland</v>
      </c>
      <c r="D94" s="242" t="s">
        <v>832</v>
      </c>
      <c r="E94" s="242" t="s">
        <v>832</v>
      </c>
      <c r="F94" s="242">
        <v>20</v>
      </c>
      <c r="G94" s="242">
        <v>25</v>
      </c>
      <c r="H94" s="242" t="s">
        <v>1211</v>
      </c>
      <c r="I94" s="242" t="s">
        <v>1211</v>
      </c>
      <c r="J94" s="242" t="s">
        <v>1211</v>
      </c>
      <c r="K94" s="242">
        <v>10</v>
      </c>
      <c r="L94" s="242">
        <v>15</v>
      </c>
      <c r="M94" s="242">
        <v>20</v>
      </c>
      <c r="N94" s="242" t="s">
        <v>1211</v>
      </c>
      <c r="O94" s="242">
        <v>15</v>
      </c>
      <c r="P94" s="242">
        <v>20</v>
      </c>
      <c r="Q94" s="242">
        <v>25</v>
      </c>
      <c r="R94" s="242">
        <v>10</v>
      </c>
      <c r="S94" s="242">
        <v>15</v>
      </c>
      <c r="T94" s="242">
        <v>10</v>
      </c>
      <c r="U94" s="242" t="s">
        <v>832</v>
      </c>
    </row>
    <row r="95" spans="3:21" x14ac:dyDescent="0.25">
      <c r="C95" s="100" t="str">
        <f>'G-1 All Habitats'!B93</f>
        <v>Woodland and forest - Other woodland; broadleaved</v>
      </c>
      <c r="D95" s="242" t="s">
        <v>832</v>
      </c>
      <c r="E95" s="242" t="s">
        <v>832</v>
      </c>
      <c r="F95" s="242">
        <v>5</v>
      </c>
      <c r="G95" s="242">
        <v>10</v>
      </c>
      <c r="H95" s="242">
        <v>15</v>
      </c>
      <c r="I95" s="242">
        <v>20</v>
      </c>
      <c r="J95" s="242">
        <v>25</v>
      </c>
      <c r="K95" s="242">
        <v>5</v>
      </c>
      <c r="L95" s="242">
        <v>10</v>
      </c>
      <c r="M95" s="242">
        <v>15</v>
      </c>
      <c r="N95" s="242">
        <v>20</v>
      </c>
      <c r="O95" s="242">
        <v>5</v>
      </c>
      <c r="P95" s="242">
        <v>10</v>
      </c>
      <c r="Q95" s="242">
        <v>15</v>
      </c>
      <c r="R95" s="242">
        <v>5</v>
      </c>
      <c r="S95" s="242">
        <v>10</v>
      </c>
      <c r="T95" s="242">
        <v>5</v>
      </c>
      <c r="U95" s="242" t="s">
        <v>832</v>
      </c>
    </row>
    <row r="96" spans="3:21" x14ac:dyDescent="0.25">
      <c r="C96" s="100" t="str">
        <f>'G-1 All Habitats'!B94</f>
        <v>Woodland and forest - Other woodland; mixed</v>
      </c>
      <c r="D96" s="242" t="s">
        <v>832</v>
      </c>
      <c r="E96" s="242" t="s">
        <v>832</v>
      </c>
      <c r="F96" s="242">
        <v>5</v>
      </c>
      <c r="G96" s="242">
        <v>10</v>
      </c>
      <c r="H96" s="242">
        <v>15</v>
      </c>
      <c r="I96" s="242">
        <v>20</v>
      </c>
      <c r="J96" s="242">
        <v>25</v>
      </c>
      <c r="K96" s="242">
        <v>5</v>
      </c>
      <c r="L96" s="242">
        <v>10</v>
      </c>
      <c r="M96" s="242">
        <v>15</v>
      </c>
      <c r="N96" s="242">
        <v>20</v>
      </c>
      <c r="O96" s="242">
        <v>5</v>
      </c>
      <c r="P96" s="242">
        <v>10</v>
      </c>
      <c r="Q96" s="242">
        <v>15</v>
      </c>
      <c r="R96" s="242">
        <v>5</v>
      </c>
      <c r="S96" s="242">
        <v>10</v>
      </c>
      <c r="T96" s="242">
        <v>5</v>
      </c>
      <c r="U96" s="242" t="s">
        <v>832</v>
      </c>
    </row>
    <row r="97" spans="3:21" x14ac:dyDescent="0.25">
      <c r="C97" s="100" t="str">
        <f>'G-1 All Habitats'!B95</f>
        <v>Woodland and forest - Upland birchwoods</v>
      </c>
      <c r="D97" s="242" t="s">
        <v>832</v>
      </c>
      <c r="E97" s="242" t="s">
        <v>832</v>
      </c>
      <c r="F97" s="242">
        <v>10</v>
      </c>
      <c r="G97" s="242">
        <v>20</v>
      </c>
      <c r="H97" s="242">
        <v>25</v>
      </c>
      <c r="I97" s="242">
        <v>30</v>
      </c>
      <c r="J97" s="242" t="s">
        <v>1211</v>
      </c>
      <c r="K97" s="242">
        <v>10</v>
      </c>
      <c r="L97" s="242">
        <v>15</v>
      </c>
      <c r="M97" s="242">
        <v>20</v>
      </c>
      <c r="N97" s="242" t="s">
        <v>1211</v>
      </c>
      <c r="O97" s="242">
        <v>15</v>
      </c>
      <c r="P97" s="242">
        <v>20</v>
      </c>
      <c r="Q97" s="242">
        <v>25</v>
      </c>
      <c r="R97" s="242">
        <v>10</v>
      </c>
      <c r="S97" s="242">
        <v>15</v>
      </c>
      <c r="T97" s="242">
        <v>10</v>
      </c>
      <c r="U97" s="242" t="s">
        <v>832</v>
      </c>
    </row>
    <row r="98" spans="3:21" x14ac:dyDescent="0.25">
      <c r="C98" s="100" t="str">
        <f>'G-1 All Habitats'!B96</f>
        <v>Woodland and forest - Upland mixed ashwoods</v>
      </c>
      <c r="D98" s="242" t="s">
        <v>832</v>
      </c>
      <c r="E98" s="242" t="s">
        <v>832</v>
      </c>
      <c r="F98" s="242">
        <v>10</v>
      </c>
      <c r="G98" s="242">
        <v>25</v>
      </c>
      <c r="H98" s="242" t="s">
        <v>1211</v>
      </c>
      <c r="I98" s="242" t="s">
        <v>1211</v>
      </c>
      <c r="J98" s="242" t="s">
        <v>1211</v>
      </c>
      <c r="K98" s="242">
        <v>10</v>
      </c>
      <c r="L98" s="242">
        <v>15</v>
      </c>
      <c r="M98" s="242">
        <v>20</v>
      </c>
      <c r="N98" s="242" t="s">
        <v>1211</v>
      </c>
      <c r="O98" s="242">
        <v>15</v>
      </c>
      <c r="P98" s="242">
        <v>20</v>
      </c>
      <c r="Q98" s="242">
        <v>25</v>
      </c>
      <c r="R98" s="242">
        <v>10</v>
      </c>
      <c r="S98" s="242">
        <v>15</v>
      </c>
      <c r="T98" s="242">
        <v>10</v>
      </c>
      <c r="U98" s="242" t="s">
        <v>832</v>
      </c>
    </row>
    <row r="99" spans="3:21" x14ac:dyDescent="0.25">
      <c r="C99" s="100" t="str">
        <f>'G-1 All Habitats'!B97</f>
        <v>Woodland and forest - Upland oakwood</v>
      </c>
      <c r="D99" s="242" t="s">
        <v>832</v>
      </c>
      <c r="E99" s="242" t="s">
        <v>832</v>
      </c>
      <c r="F99" s="242">
        <v>10</v>
      </c>
      <c r="G99" s="242">
        <v>25</v>
      </c>
      <c r="H99" s="242" t="s">
        <v>1211</v>
      </c>
      <c r="I99" s="242" t="s">
        <v>1211</v>
      </c>
      <c r="J99" s="242" t="s">
        <v>1211</v>
      </c>
      <c r="K99" s="242">
        <v>25</v>
      </c>
      <c r="L99" s="242" t="s">
        <v>1211</v>
      </c>
      <c r="M99" s="242" t="s">
        <v>1211</v>
      </c>
      <c r="N99" s="242" t="s">
        <v>1211</v>
      </c>
      <c r="O99" s="242" t="s">
        <v>1211</v>
      </c>
      <c r="P99" s="242" t="s">
        <v>1211</v>
      </c>
      <c r="Q99" s="242" t="s">
        <v>1211</v>
      </c>
      <c r="R99" s="242" t="s">
        <v>1211</v>
      </c>
      <c r="S99" s="242" t="s">
        <v>1211</v>
      </c>
      <c r="T99" s="242" t="s">
        <v>1211</v>
      </c>
      <c r="U99" s="242" t="s">
        <v>832</v>
      </c>
    </row>
    <row r="100" spans="3:21" x14ac:dyDescent="0.25">
      <c r="C100" s="100" t="str">
        <f>'G-1 All Habitats'!B98</f>
        <v>Woodland and forest - Wet woodland</v>
      </c>
      <c r="D100" s="242" t="s">
        <v>832</v>
      </c>
      <c r="E100" s="242" t="s">
        <v>832</v>
      </c>
      <c r="F100" s="242">
        <v>10</v>
      </c>
      <c r="G100" s="242">
        <v>20</v>
      </c>
      <c r="H100" s="242">
        <v>25</v>
      </c>
      <c r="I100" s="242">
        <v>30</v>
      </c>
      <c r="J100" s="242" t="s">
        <v>1211</v>
      </c>
      <c r="K100" s="242">
        <v>10</v>
      </c>
      <c r="L100" s="242">
        <v>10</v>
      </c>
      <c r="M100" s="242">
        <v>15</v>
      </c>
      <c r="N100" s="242" t="s">
        <v>1211</v>
      </c>
      <c r="O100" s="242">
        <v>15</v>
      </c>
      <c r="P100" s="242">
        <v>20</v>
      </c>
      <c r="Q100" s="242">
        <v>25</v>
      </c>
      <c r="R100" s="242">
        <v>10</v>
      </c>
      <c r="S100" s="242">
        <v>15</v>
      </c>
      <c r="T100" s="242">
        <v>10</v>
      </c>
      <c r="U100" s="242" t="s">
        <v>832</v>
      </c>
    </row>
    <row r="101" spans="3:21" x14ac:dyDescent="0.25">
      <c r="C101" s="100" t="str">
        <f>'G-1 All Habitats'!B99</f>
        <v>Woodland and forest - Wood-pasture and parkland</v>
      </c>
      <c r="D101" s="242" t="s">
        <v>832</v>
      </c>
      <c r="E101" s="242" t="s">
        <v>832</v>
      </c>
      <c r="F101" s="242">
        <v>10</v>
      </c>
      <c r="G101" s="242">
        <v>25</v>
      </c>
      <c r="H101" s="242" t="s">
        <v>1211</v>
      </c>
      <c r="I101" s="242" t="s">
        <v>1211</v>
      </c>
      <c r="J101" s="242" t="s">
        <v>1211</v>
      </c>
      <c r="K101" s="242">
        <v>25</v>
      </c>
      <c r="L101" s="242" t="s">
        <v>1211</v>
      </c>
      <c r="M101" s="242" t="s">
        <v>1211</v>
      </c>
      <c r="N101" s="242" t="s">
        <v>1211</v>
      </c>
      <c r="O101" s="242" t="s">
        <v>1211</v>
      </c>
      <c r="P101" s="242" t="s">
        <v>1211</v>
      </c>
      <c r="Q101" s="242" t="s">
        <v>1211</v>
      </c>
      <c r="R101" s="242" t="s">
        <v>1211</v>
      </c>
      <c r="S101" s="242" t="s">
        <v>1211</v>
      </c>
      <c r="T101" s="242" t="s">
        <v>1211</v>
      </c>
      <c r="U101" s="242" t="s">
        <v>832</v>
      </c>
    </row>
    <row r="102" spans="3:21" x14ac:dyDescent="0.25">
      <c r="C102" s="100" t="str">
        <f>'G-1 All Habitats'!B100</f>
        <v>Coastal lagoons - Coastal lagoons</v>
      </c>
      <c r="D102" s="242" t="s">
        <v>832</v>
      </c>
      <c r="E102" s="242" t="s">
        <v>832</v>
      </c>
      <c r="F102" s="242" t="s">
        <v>832</v>
      </c>
      <c r="G102" s="242" t="s">
        <v>832</v>
      </c>
      <c r="H102" s="242" t="s">
        <v>832</v>
      </c>
      <c r="I102" s="242" t="s">
        <v>832</v>
      </c>
      <c r="J102" s="242" t="s">
        <v>832</v>
      </c>
      <c r="K102" s="242">
        <v>1</v>
      </c>
      <c r="L102" s="242">
        <v>4</v>
      </c>
      <c r="M102" s="242">
        <v>8</v>
      </c>
      <c r="N102" s="242">
        <v>12</v>
      </c>
      <c r="O102" s="242">
        <v>3</v>
      </c>
      <c r="P102" s="242">
        <v>7</v>
      </c>
      <c r="Q102" s="242">
        <v>11</v>
      </c>
      <c r="R102" s="242">
        <v>4</v>
      </c>
      <c r="S102" s="242">
        <v>8</v>
      </c>
      <c r="T102" s="242">
        <v>4</v>
      </c>
      <c r="U102" s="242" t="s">
        <v>832</v>
      </c>
    </row>
    <row r="103" spans="3:21" x14ac:dyDescent="0.25">
      <c r="C103" s="100" t="str">
        <f>'G-1 All Habitats'!B101</f>
        <v>Rocky shore - High energy littoral rock</v>
      </c>
      <c r="D103" s="242" t="s">
        <v>832</v>
      </c>
      <c r="E103" s="242" t="s">
        <v>832</v>
      </c>
      <c r="F103" s="242" t="s">
        <v>832</v>
      </c>
      <c r="G103" s="242" t="s">
        <v>832</v>
      </c>
      <c r="H103" s="242" t="s">
        <v>832</v>
      </c>
      <c r="I103" s="242" t="s">
        <v>832</v>
      </c>
      <c r="J103" s="242" t="s">
        <v>832</v>
      </c>
      <c r="K103" s="242">
        <v>2</v>
      </c>
      <c r="L103" s="242">
        <v>4</v>
      </c>
      <c r="M103" s="242">
        <v>6</v>
      </c>
      <c r="N103" s="242">
        <v>10</v>
      </c>
      <c r="O103" s="242">
        <v>2</v>
      </c>
      <c r="P103" s="242">
        <v>4</v>
      </c>
      <c r="Q103" s="242">
        <v>8</v>
      </c>
      <c r="R103" s="242">
        <v>2</v>
      </c>
      <c r="S103" s="242">
        <v>6</v>
      </c>
      <c r="T103" s="242">
        <v>4</v>
      </c>
      <c r="U103" s="242" t="s">
        <v>832</v>
      </c>
    </row>
    <row r="104" spans="3:21" x14ac:dyDescent="0.25">
      <c r="C104" s="100" t="str">
        <f>'G-1 All Habitats'!B102</f>
        <v>Rocky shore - High energy littoral rock - on peat, clay or chalk</v>
      </c>
      <c r="D104" s="242" t="s">
        <v>832</v>
      </c>
      <c r="E104" s="242" t="s">
        <v>832</v>
      </c>
      <c r="F104" s="242" t="s">
        <v>832</v>
      </c>
      <c r="G104" s="242" t="s">
        <v>832</v>
      </c>
      <c r="H104" s="242" t="s">
        <v>832</v>
      </c>
      <c r="I104" s="242" t="s">
        <v>832</v>
      </c>
      <c r="J104" s="242" t="s">
        <v>832</v>
      </c>
      <c r="K104" s="242">
        <v>2</v>
      </c>
      <c r="L104" s="242">
        <v>4</v>
      </c>
      <c r="M104" s="242">
        <v>6</v>
      </c>
      <c r="N104" s="242">
        <v>10</v>
      </c>
      <c r="O104" s="242">
        <v>2</v>
      </c>
      <c r="P104" s="242">
        <v>4</v>
      </c>
      <c r="Q104" s="242">
        <v>8</v>
      </c>
      <c r="R104" s="242">
        <v>2</v>
      </c>
      <c r="S104" s="242">
        <v>6</v>
      </c>
      <c r="T104" s="242">
        <v>4</v>
      </c>
      <c r="U104" s="242" t="s">
        <v>832</v>
      </c>
    </row>
    <row r="105" spans="3:21" x14ac:dyDescent="0.25">
      <c r="C105" s="100" t="str">
        <f>'G-1 All Habitats'!B103</f>
        <v>Rocky shore - Moderate energy littoral rock</v>
      </c>
      <c r="D105" s="242" t="s">
        <v>832</v>
      </c>
      <c r="E105" s="242" t="s">
        <v>832</v>
      </c>
      <c r="F105" s="242" t="s">
        <v>832</v>
      </c>
      <c r="G105" s="242" t="s">
        <v>832</v>
      </c>
      <c r="H105" s="242" t="s">
        <v>832</v>
      </c>
      <c r="I105" s="242" t="s">
        <v>832</v>
      </c>
      <c r="J105" s="242" t="s">
        <v>832</v>
      </c>
      <c r="K105" s="242">
        <v>2</v>
      </c>
      <c r="L105" s="242">
        <v>4</v>
      </c>
      <c r="M105" s="242">
        <v>6</v>
      </c>
      <c r="N105" s="242">
        <v>11</v>
      </c>
      <c r="O105" s="242">
        <v>2</v>
      </c>
      <c r="P105" s="242">
        <v>4</v>
      </c>
      <c r="Q105" s="242">
        <v>9</v>
      </c>
      <c r="R105" s="242">
        <v>2</v>
      </c>
      <c r="S105" s="242">
        <v>7</v>
      </c>
      <c r="T105" s="242">
        <v>5</v>
      </c>
      <c r="U105" s="242" t="s">
        <v>832</v>
      </c>
    </row>
    <row r="106" spans="3:21" x14ac:dyDescent="0.25">
      <c r="C106" s="100" t="str">
        <f>'G-1 All Habitats'!B104</f>
        <v>Rocky shore - Moderate energy littoral rock - on peat, clay or chalk</v>
      </c>
      <c r="D106" s="242" t="s">
        <v>832</v>
      </c>
      <c r="E106" s="242" t="s">
        <v>832</v>
      </c>
      <c r="F106" s="242" t="s">
        <v>832</v>
      </c>
      <c r="G106" s="242" t="s">
        <v>832</v>
      </c>
      <c r="H106" s="242" t="s">
        <v>832</v>
      </c>
      <c r="I106" s="242" t="s">
        <v>832</v>
      </c>
      <c r="J106" s="242" t="s">
        <v>832</v>
      </c>
      <c r="K106" s="242">
        <v>2</v>
      </c>
      <c r="L106" s="242">
        <v>4</v>
      </c>
      <c r="M106" s="242">
        <v>6</v>
      </c>
      <c r="N106" s="242">
        <v>11</v>
      </c>
      <c r="O106" s="242">
        <v>2</v>
      </c>
      <c r="P106" s="242">
        <v>4</v>
      </c>
      <c r="Q106" s="242">
        <v>9</v>
      </c>
      <c r="R106" s="242">
        <v>2</v>
      </c>
      <c r="S106" s="242">
        <v>7</v>
      </c>
      <c r="T106" s="242">
        <v>5</v>
      </c>
      <c r="U106" s="242" t="s">
        <v>832</v>
      </c>
    </row>
    <row r="107" spans="3:21" x14ac:dyDescent="0.25">
      <c r="C107" s="100" t="str">
        <f>'G-1 All Habitats'!B105</f>
        <v>Rocky shore - Low energy littoral rock</v>
      </c>
      <c r="D107" s="242" t="s">
        <v>832</v>
      </c>
      <c r="E107" s="242" t="s">
        <v>832</v>
      </c>
      <c r="F107" s="242" t="s">
        <v>832</v>
      </c>
      <c r="G107" s="242" t="s">
        <v>832</v>
      </c>
      <c r="H107" s="242" t="s">
        <v>832</v>
      </c>
      <c r="I107" s="242" t="s">
        <v>832</v>
      </c>
      <c r="J107" s="242" t="s">
        <v>832</v>
      </c>
      <c r="K107" s="242">
        <v>2</v>
      </c>
      <c r="L107" s="242">
        <v>4</v>
      </c>
      <c r="M107" s="242">
        <v>6</v>
      </c>
      <c r="N107" s="242">
        <v>12</v>
      </c>
      <c r="O107" s="242">
        <v>2</v>
      </c>
      <c r="P107" s="242">
        <v>4</v>
      </c>
      <c r="Q107" s="242">
        <v>10</v>
      </c>
      <c r="R107" s="242">
        <v>2</v>
      </c>
      <c r="S107" s="242">
        <v>8</v>
      </c>
      <c r="T107" s="242">
        <v>6</v>
      </c>
      <c r="U107" s="242" t="s">
        <v>832</v>
      </c>
    </row>
    <row r="108" spans="3:21" x14ac:dyDescent="0.25">
      <c r="C108" s="100" t="str">
        <f>'G-1 All Habitats'!B106</f>
        <v>Rocky shore - Low energy littoral rock - on peat, clay or chalk</v>
      </c>
      <c r="D108" s="242" t="s">
        <v>832</v>
      </c>
      <c r="E108" s="242" t="s">
        <v>832</v>
      </c>
      <c r="F108" s="242" t="s">
        <v>832</v>
      </c>
      <c r="G108" s="242" t="s">
        <v>832</v>
      </c>
      <c r="H108" s="242" t="s">
        <v>832</v>
      </c>
      <c r="I108" s="242" t="s">
        <v>832</v>
      </c>
      <c r="J108" s="242" t="s">
        <v>832</v>
      </c>
      <c r="K108" s="242">
        <v>2</v>
      </c>
      <c r="L108" s="242">
        <v>4</v>
      </c>
      <c r="M108" s="242">
        <v>6</v>
      </c>
      <c r="N108" s="242">
        <v>12</v>
      </c>
      <c r="O108" s="242">
        <v>2</v>
      </c>
      <c r="P108" s="242">
        <v>4</v>
      </c>
      <c r="Q108" s="242">
        <v>10</v>
      </c>
      <c r="R108" s="242">
        <v>2</v>
      </c>
      <c r="S108" s="242">
        <v>8</v>
      </c>
      <c r="T108" s="242">
        <v>6</v>
      </c>
      <c r="U108" s="242" t="s">
        <v>832</v>
      </c>
    </row>
    <row r="109" spans="3:21" x14ac:dyDescent="0.25">
      <c r="C109" s="100" t="str">
        <f>'G-1 All Habitats'!B107</f>
        <v>Rocky shore - Features of littoral rock</v>
      </c>
      <c r="D109" s="242" t="s">
        <v>832</v>
      </c>
      <c r="E109" s="242" t="s">
        <v>832</v>
      </c>
      <c r="F109" s="242" t="s">
        <v>832</v>
      </c>
      <c r="G109" s="242" t="s">
        <v>832</v>
      </c>
      <c r="H109" s="242" t="s">
        <v>832</v>
      </c>
      <c r="I109" s="242" t="s">
        <v>832</v>
      </c>
      <c r="J109" s="242" t="s">
        <v>832</v>
      </c>
      <c r="K109" s="242">
        <v>2</v>
      </c>
      <c r="L109" s="242">
        <v>4</v>
      </c>
      <c r="M109" s="242">
        <v>6</v>
      </c>
      <c r="N109" s="242">
        <v>11</v>
      </c>
      <c r="O109" s="242">
        <v>2</v>
      </c>
      <c r="P109" s="242">
        <v>4</v>
      </c>
      <c r="Q109" s="242">
        <v>9</v>
      </c>
      <c r="R109" s="242">
        <v>2</v>
      </c>
      <c r="S109" s="242">
        <v>7</v>
      </c>
      <c r="T109" s="242">
        <v>5</v>
      </c>
      <c r="U109" s="242" t="s">
        <v>832</v>
      </c>
    </row>
    <row r="110" spans="3:21" x14ac:dyDescent="0.25">
      <c r="C110" s="100" t="str">
        <f>'G-1 All Habitats'!B108</f>
        <v>Rocky shore - Features of littoral rock - on peat, clay or chalk</v>
      </c>
      <c r="D110" s="242" t="s">
        <v>832</v>
      </c>
      <c r="E110" s="242" t="s">
        <v>832</v>
      </c>
      <c r="F110" s="242" t="s">
        <v>832</v>
      </c>
      <c r="G110" s="242" t="s">
        <v>832</v>
      </c>
      <c r="H110" s="242" t="s">
        <v>832</v>
      </c>
      <c r="I110" s="242" t="s">
        <v>832</v>
      </c>
      <c r="J110" s="242" t="s">
        <v>832</v>
      </c>
      <c r="K110" s="242">
        <v>2</v>
      </c>
      <c r="L110" s="242">
        <v>4</v>
      </c>
      <c r="M110" s="242">
        <v>6</v>
      </c>
      <c r="N110" s="242">
        <v>11</v>
      </c>
      <c r="O110" s="242">
        <v>2</v>
      </c>
      <c r="P110" s="242">
        <v>4</v>
      </c>
      <c r="Q110" s="242">
        <v>9</v>
      </c>
      <c r="R110" s="242">
        <v>2</v>
      </c>
      <c r="S110" s="242">
        <v>7</v>
      </c>
      <c r="T110" s="242">
        <v>5</v>
      </c>
      <c r="U110" s="242" t="s">
        <v>832</v>
      </c>
    </row>
    <row r="111" spans="3:21" x14ac:dyDescent="0.25">
      <c r="C111" s="100" t="str">
        <f>'G-1 All Habitats'!B111</f>
        <v>Intertidal sediment - Littoral coarse sediment</v>
      </c>
      <c r="D111" s="242" t="s">
        <v>832</v>
      </c>
      <c r="E111" s="242" t="s">
        <v>832</v>
      </c>
      <c r="F111" s="242" t="s">
        <v>832</v>
      </c>
      <c r="G111" s="242" t="s">
        <v>832</v>
      </c>
      <c r="H111" s="242" t="s">
        <v>832</v>
      </c>
      <c r="I111" s="242" t="s">
        <v>832</v>
      </c>
      <c r="J111" s="242" t="s">
        <v>832</v>
      </c>
      <c r="K111" s="242">
        <v>1</v>
      </c>
      <c r="L111" s="242">
        <v>2</v>
      </c>
      <c r="M111" s="242">
        <v>3</v>
      </c>
      <c r="N111" s="242">
        <v>4</v>
      </c>
      <c r="O111" s="242">
        <v>1</v>
      </c>
      <c r="P111" s="242">
        <v>2</v>
      </c>
      <c r="Q111" s="242">
        <v>3</v>
      </c>
      <c r="R111" s="242">
        <v>1</v>
      </c>
      <c r="S111" s="242">
        <v>2</v>
      </c>
      <c r="T111" s="242">
        <v>1</v>
      </c>
      <c r="U111" s="242" t="s">
        <v>832</v>
      </c>
    </row>
    <row r="112" spans="3:21" x14ac:dyDescent="0.25">
      <c r="C112" s="100" t="str">
        <f>'G-1 All Habitats'!B112</f>
        <v>Intertidal sediment - Littoral mud</v>
      </c>
      <c r="D112" s="242" t="s">
        <v>832</v>
      </c>
      <c r="E112" s="242" t="s">
        <v>832</v>
      </c>
      <c r="F112" s="242" t="s">
        <v>832</v>
      </c>
      <c r="G112" s="242" t="s">
        <v>832</v>
      </c>
      <c r="H112" s="242" t="s">
        <v>832</v>
      </c>
      <c r="I112" s="242" t="s">
        <v>832</v>
      </c>
      <c r="J112" s="242" t="s">
        <v>832</v>
      </c>
      <c r="K112" s="242">
        <v>2</v>
      </c>
      <c r="L112" s="242">
        <v>4</v>
      </c>
      <c r="M112" s="242">
        <v>6</v>
      </c>
      <c r="N112" s="242">
        <v>8</v>
      </c>
      <c r="O112" s="242">
        <v>2</v>
      </c>
      <c r="P112" s="242">
        <v>4</v>
      </c>
      <c r="Q112" s="242">
        <v>6</v>
      </c>
      <c r="R112" s="242">
        <v>2</v>
      </c>
      <c r="S112" s="242">
        <v>4</v>
      </c>
      <c r="T112" s="242">
        <v>2</v>
      </c>
      <c r="U112" s="242" t="s">
        <v>832</v>
      </c>
    </row>
    <row r="113" spans="3:21" x14ac:dyDescent="0.25">
      <c r="C113" s="100" t="str">
        <f>'G-1 All Habitats'!B113</f>
        <v>Intertidal sediment - Littoral mixed sediments</v>
      </c>
      <c r="D113" s="242" t="s">
        <v>832</v>
      </c>
      <c r="E113" s="242" t="s">
        <v>832</v>
      </c>
      <c r="F113" s="242" t="s">
        <v>832</v>
      </c>
      <c r="G113" s="242" t="s">
        <v>832</v>
      </c>
      <c r="H113" s="242" t="s">
        <v>832</v>
      </c>
      <c r="I113" s="242" t="s">
        <v>832</v>
      </c>
      <c r="J113" s="242" t="s">
        <v>832</v>
      </c>
      <c r="K113" s="242">
        <v>1</v>
      </c>
      <c r="L113" s="242">
        <v>2</v>
      </c>
      <c r="M113" s="242">
        <v>3</v>
      </c>
      <c r="N113" s="242">
        <v>4</v>
      </c>
      <c r="O113" s="242">
        <v>1</v>
      </c>
      <c r="P113" s="242">
        <v>2</v>
      </c>
      <c r="Q113" s="242">
        <v>3</v>
      </c>
      <c r="R113" s="242">
        <v>1</v>
      </c>
      <c r="S113" s="242">
        <v>2</v>
      </c>
      <c r="T113" s="242">
        <v>1</v>
      </c>
      <c r="U113" s="242" t="s">
        <v>832</v>
      </c>
    </row>
    <row r="114" spans="3:21" x14ac:dyDescent="0.25">
      <c r="C114" s="100" t="str">
        <f>'G-1 All Habitats'!B109</f>
        <v>Coastal saltmarsh - Saltmarshes and saline reedbeds</v>
      </c>
      <c r="D114" s="242" t="s">
        <v>832</v>
      </c>
      <c r="E114" s="242" t="s">
        <v>832</v>
      </c>
      <c r="F114" s="242" t="s">
        <v>832</v>
      </c>
      <c r="G114" s="242" t="s">
        <v>832</v>
      </c>
      <c r="H114" s="242" t="s">
        <v>832</v>
      </c>
      <c r="I114" s="242" t="s">
        <v>832</v>
      </c>
      <c r="J114" s="242" t="s">
        <v>832</v>
      </c>
      <c r="K114" s="242">
        <v>2</v>
      </c>
      <c r="L114" s="242">
        <v>6</v>
      </c>
      <c r="M114" s="242">
        <v>10</v>
      </c>
      <c r="N114" s="242">
        <v>20</v>
      </c>
      <c r="O114" s="242">
        <v>4</v>
      </c>
      <c r="P114" s="242">
        <v>8</v>
      </c>
      <c r="Q114" s="242">
        <v>18</v>
      </c>
      <c r="R114" s="242">
        <v>4</v>
      </c>
      <c r="S114" s="242">
        <v>14</v>
      </c>
      <c r="T114" s="242">
        <v>10</v>
      </c>
      <c r="U114" s="242" t="s">
        <v>832</v>
      </c>
    </row>
    <row r="115" spans="3:21" x14ac:dyDescent="0.25">
      <c r="C115" s="100" t="str">
        <f>'G-1 All Habitats'!B110</f>
        <v>Coastal saltmarsh - Artificial saltmarshes and saline reedbeds</v>
      </c>
      <c r="D115" s="242" t="s">
        <v>832</v>
      </c>
      <c r="E115" s="242" t="s">
        <v>832</v>
      </c>
      <c r="F115" s="242" t="s">
        <v>832</v>
      </c>
      <c r="G115" s="242" t="s">
        <v>832</v>
      </c>
      <c r="H115" s="242" t="s">
        <v>832</v>
      </c>
      <c r="I115" s="242" t="s">
        <v>832</v>
      </c>
      <c r="J115" s="242" t="s">
        <v>832</v>
      </c>
      <c r="K115" s="242">
        <v>2</v>
      </c>
      <c r="L115" s="242">
        <v>6</v>
      </c>
      <c r="M115" s="242">
        <v>10</v>
      </c>
      <c r="N115" s="242">
        <v>20</v>
      </c>
      <c r="O115" s="242">
        <v>4</v>
      </c>
      <c r="P115" s="242">
        <v>8</v>
      </c>
      <c r="Q115" s="242">
        <v>18</v>
      </c>
      <c r="R115" s="242">
        <v>4</v>
      </c>
      <c r="S115" s="242">
        <v>14</v>
      </c>
      <c r="T115" s="242">
        <v>10</v>
      </c>
      <c r="U115" s="242" t="s">
        <v>832</v>
      </c>
    </row>
    <row r="116" spans="3:21" x14ac:dyDescent="0.25">
      <c r="C116" s="100" t="str">
        <f>'G-1 All Habitats'!B114</f>
        <v>Intertidal sediment - Littoral seagrass</v>
      </c>
      <c r="D116" s="242" t="s">
        <v>832</v>
      </c>
      <c r="E116" s="242" t="s">
        <v>832</v>
      </c>
      <c r="F116" s="242" t="s">
        <v>832</v>
      </c>
      <c r="G116" s="242" t="s">
        <v>832</v>
      </c>
      <c r="H116" s="242" t="s">
        <v>832</v>
      </c>
      <c r="I116" s="242" t="s">
        <v>832</v>
      </c>
      <c r="J116" s="242" t="s">
        <v>832</v>
      </c>
      <c r="K116" s="242">
        <v>3</v>
      </c>
      <c r="L116" s="242">
        <v>13</v>
      </c>
      <c r="M116" s="242">
        <v>23</v>
      </c>
      <c r="N116" s="242">
        <v>0</v>
      </c>
      <c r="O116" s="242">
        <v>10</v>
      </c>
      <c r="P116" s="242">
        <v>20</v>
      </c>
      <c r="Q116" s="242">
        <v>30</v>
      </c>
      <c r="R116" s="242">
        <v>10</v>
      </c>
      <c r="S116" s="242">
        <v>20</v>
      </c>
      <c r="T116" s="242">
        <v>10</v>
      </c>
      <c r="U116" s="242" t="s">
        <v>832</v>
      </c>
    </row>
    <row r="117" spans="3:21" x14ac:dyDescent="0.25">
      <c r="C117" s="100" t="str">
        <f>'G-1 All Habitats'!B115</f>
        <v>Intertidal sediment - Littoral seagrass on peat, clay or chalk</v>
      </c>
      <c r="D117" s="242" t="s">
        <v>832</v>
      </c>
      <c r="E117" s="242" t="s">
        <v>832</v>
      </c>
      <c r="F117" s="242" t="s">
        <v>832</v>
      </c>
      <c r="G117" s="242" t="s">
        <v>832</v>
      </c>
      <c r="H117" s="242" t="s">
        <v>832</v>
      </c>
      <c r="I117" s="242" t="s">
        <v>832</v>
      </c>
      <c r="J117" s="242" t="s">
        <v>832</v>
      </c>
      <c r="K117" s="242">
        <v>2</v>
      </c>
      <c r="L117" s="242">
        <v>4</v>
      </c>
      <c r="M117" s="242">
        <v>7</v>
      </c>
      <c r="N117" s="242">
        <v>0</v>
      </c>
      <c r="O117" s="242">
        <v>2</v>
      </c>
      <c r="P117" s="242">
        <v>3</v>
      </c>
      <c r="Q117" s="242">
        <v>8</v>
      </c>
      <c r="R117" s="242">
        <v>3</v>
      </c>
      <c r="S117" s="242">
        <v>6</v>
      </c>
      <c r="T117" s="242">
        <v>3</v>
      </c>
      <c r="U117" s="242" t="s">
        <v>832</v>
      </c>
    </row>
    <row r="118" spans="3:21" x14ac:dyDescent="0.25">
      <c r="C118" s="100" t="str">
        <f>'G-1 All Habitats'!B116</f>
        <v>Intertidal sediment - Littoral biogenic reefs - Mussels</v>
      </c>
      <c r="D118" s="242" t="s">
        <v>832</v>
      </c>
      <c r="E118" s="242" t="s">
        <v>832</v>
      </c>
      <c r="F118" s="242" t="s">
        <v>832</v>
      </c>
      <c r="G118" s="242" t="s">
        <v>832</v>
      </c>
      <c r="H118" s="242" t="s">
        <v>832</v>
      </c>
      <c r="I118" s="242" t="s">
        <v>832</v>
      </c>
      <c r="J118" s="242" t="s">
        <v>832</v>
      </c>
      <c r="K118" s="242">
        <v>2</v>
      </c>
      <c r="L118" s="242">
        <v>4</v>
      </c>
      <c r="M118" s="242">
        <v>7</v>
      </c>
      <c r="N118" s="242">
        <v>10</v>
      </c>
      <c r="O118" s="242">
        <v>2</v>
      </c>
      <c r="P118" s="242">
        <v>3</v>
      </c>
      <c r="Q118" s="242">
        <v>8</v>
      </c>
      <c r="R118" s="242">
        <v>3</v>
      </c>
      <c r="S118" s="242">
        <v>6</v>
      </c>
      <c r="T118" s="242">
        <v>3</v>
      </c>
      <c r="U118" s="242" t="s">
        <v>832</v>
      </c>
    </row>
    <row r="119" spans="3:21" x14ac:dyDescent="0.25">
      <c r="C119" s="100" t="str">
        <f>'G-1 All Habitats'!B117</f>
        <v>Intertidal sediment - Littoral biogenic reefs - Sabellaria</v>
      </c>
      <c r="D119" s="242" t="s">
        <v>832</v>
      </c>
      <c r="E119" s="242" t="s">
        <v>832</v>
      </c>
      <c r="F119" s="242" t="s">
        <v>832</v>
      </c>
      <c r="G119" s="242" t="s">
        <v>832</v>
      </c>
      <c r="H119" s="242" t="s">
        <v>832</v>
      </c>
      <c r="I119" s="242" t="s">
        <v>832</v>
      </c>
      <c r="J119" s="242" t="s">
        <v>832</v>
      </c>
      <c r="K119" s="242">
        <v>2</v>
      </c>
      <c r="L119" s="242">
        <v>4</v>
      </c>
      <c r="M119" s="242">
        <v>7</v>
      </c>
      <c r="N119" s="242">
        <v>10</v>
      </c>
      <c r="O119" s="242">
        <v>2</v>
      </c>
      <c r="P119" s="242">
        <v>3</v>
      </c>
      <c r="Q119" s="242">
        <v>8</v>
      </c>
      <c r="R119" s="242">
        <v>3</v>
      </c>
      <c r="S119" s="242">
        <v>6</v>
      </c>
      <c r="T119" s="242">
        <v>3</v>
      </c>
      <c r="U119" s="242" t="s">
        <v>832</v>
      </c>
    </row>
    <row r="120" spans="3:21" x14ac:dyDescent="0.25">
      <c r="C120" s="100" t="str">
        <f>'G-1 All Habitats'!B118</f>
        <v>Intertidal sediment - Features of littoral sediment</v>
      </c>
      <c r="D120" s="242" t="s">
        <v>832</v>
      </c>
      <c r="E120" s="242" t="s">
        <v>832</v>
      </c>
      <c r="F120" s="242" t="s">
        <v>832</v>
      </c>
      <c r="G120" s="242" t="s">
        <v>832</v>
      </c>
      <c r="H120" s="242" t="s">
        <v>832</v>
      </c>
      <c r="I120" s="242" t="s">
        <v>832</v>
      </c>
      <c r="J120" s="242" t="s">
        <v>832</v>
      </c>
      <c r="K120" s="242">
        <v>1</v>
      </c>
      <c r="L120" s="242">
        <v>2</v>
      </c>
      <c r="M120" s="242">
        <v>3</v>
      </c>
      <c r="N120" s="242">
        <v>5</v>
      </c>
      <c r="O120" s="242">
        <v>1</v>
      </c>
      <c r="P120" s="242">
        <v>2</v>
      </c>
      <c r="Q120" s="242">
        <v>4</v>
      </c>
      <c r="R120" s="242">
        <v>1</v>
      </c>
      <c r="S120" s="242">
        <v>3</v>
      </c>
      <c r="T120" s="242">
        <v>2</v>
      </c>
      <c r="U120" s="242" t="s">
        <v>832</v>
      </c>
    </row>
    <row r="121" spans="3:21" x14ac:dyDescent="0.25">
      <c r="C121" s="100" t="str">
        <f>'G-1 All Habitats'!B119</f>
        <v>Intertidal sediment - Artificial littoral coarse sediment</v>
      </c>
      <c r="D121" s="242" t="s">
        <v>832</v>
      </c>
      <c r="E121" s="242" t="s">
        <v>832</v>
      </c>
      <c r="F121" s="242" t="s">
        <v>832</v>
      </c>
      <c r="G121" s="242" t="s">
        <v>832</v>
      </c>
      <c r="H121" s="242" t="s">
        <v>832</v>
      </c>
      <c r="I121" s="242" t="s">
        <v>832</v>
      </c>
      <c r="J121" s="242" t="s">
        <v>832</v>
      </c>
      <c r="K121" s="242">
        <v>1</v>
      </c>
      <c r="L121" s="242">
        <v>2</v>
      </c>
      <c r="M121" s="242">
        <v>3</v>
      </c>
      <c r="N121" s="242">
        <v>4</v>
      </c>
      <c r="O121" s="242">
        <v>1</v>
      </c>
      <c r="P121" s="242">
        <v>2</v>
      </c>
      <c r="Q121" s="242">
        <v>3</v>
      </c>
      <c r="R121" s="242">
        <v>1</v>
      </c>
      <c r="S121" s="242">
        <v>2</v>
      </c>
      <c r="T121" s="242">
        <v>1</v>
      </c>
      <c r="U121" s="242" t="s">
        <v>832</v>
      </c>
    </row>
    <row r="122" spans="3:21" x14ac:dyDescent="0.25">
      <c r="C122" s="100" t="str">
        <f>'G-1 All Habitats'!B120</f>
        <v>Intertidal sediment - Artificial littoral mud</v>
      </c>
      <c r="D122" s="242" t="s">
        <v>832</v>
      </c>
      <c r="E122" s="242" t="s">
        <v>832</v>
      </c>
      <c r="F122" s="242" t="s">
        <v>832</v>
      </c>
      <c r="G122" s="242" t="s">
        <v>832</v>
      </c>
      <c r="H122" s="242" t="s">
        <v>832</v>
      </c>
      <c r="I122" s="242" t="s">
        <v>832</v>
      </c>
      <c r="J122" s="242" t="s">
        <v>832</v>
      </c>
      <c r="K122" s="242">
        <v>2</v>
      </c>
      <c r="L122" s="242">
        <v>4</v>
      </c>
      <c r="M122" s="242">
        <v>6</v>
      </c>
      <c r="N122" s="242">
        <v>8</v>
      </c>
      <c r="O122" s="242">
        <v>2</v>
      </c>
      <c r="P122" s="242">
        <v>4</v>
      </c>
      <c r="Q122" s="242">
        <v>6</v>
      </c>
      <c r="R122" s="242">
        <v>2</v>
      </c>
      <c r="S122" s="242">
        <v>4</v>
      </c>
      <c r="T122" s="242">
        <v>2</v>
      </c>
      <c r="U122" s="242" t="s">
        <v>832</v>
      </c>
    </row>
    <row r="123" spans="3:21" x14ac:dyDescent="0.25">
      <c r="C123" s="100" t="str">
        <f>'G-1 All Habitats'!B121</f>
        <v>Intertidal sediment - Artificial littoral sand</v>
      </c>
      <c r="D123" s="242" t="s">
        <v>832</v>
      </c>
      <c r="E123" s="242" t="s">
        <v>832</v>
      </c>
      <c r="F123" s="242" t="s">
        <v>832</v>
      </c>
      <c r="G123" s="242" t="s">
        <v>832</v>
      </c>
      <c r="H123" s="242" t="s">
        <v>832</v>
      </c>
      <c r="I123" s="242" t="s">
        <v>832</v>
      </c>
      <c r="J123" s="242" t="s">
        <v>832</v>
      </c>
      <c r="K123" s="242">
        <v>2</v>
      </c>
      <c r="L123" s="242">
        <v>3</v>
      </c>
      <c r="M123" s="242">
        <v>4</v>
      </c>
      <c r="N123" s="242">
        <v>6</v>
      </c>
      <c r="O123" s="242">
        <v>1</v>
      </c>
      <c r="P123" s="242">
        <v>2</v>
      </c>
      <c r="Q123" s="242">
        <v>4</v>
      </c>
      <c r="R123" s="242">
        <v>1</v>
      </c>
      <c r="S123" s="242">
        <v>3</v>
      </c>
      <c r="T123" s="242">
        <v>2</v>
      </c>
      <c r="U123" s="242" t="s">
        <v>832</v>
      </c>
    </row>
    <row r="124" spans="3:21" x14ac:dyDescent="0.25">
      <c r="C124" s="100" t="str">
        <f>'G-1 All Habitats'!B122</f>
        <v>Intertidal sediment - Artificial littoral muddy sand</v>
      </c>
      <c r="D124" s="242" t="s">
        <v>832</v>
      </c>
      <c r="E124" s="242" t="s">
        <v>832</v>
      </c>
      <c r="F124" s="242" t="s">
        <v>832</v>
      </c>
      <c r="G124" s="242" t="s">
        <v>832</v>
      </c>
      <c r="H124" s="242" t="s">
        <v>832</v>
      </c>
      <c r="I124" s="242" t="s">
        <v>832</v>
      </c>
      <c r="J124" s="242" t="s">
        <v>832</v>
      </c>
      <c r="K124" s="242">
        <v>2</v>
      </c>
      <c r="L124" s="242">
        <v>4</v>
      </c>
      <c r="M124" s="242">
        <v>6</v>
      </c>
      <c r="N124" s="242">
        <v>8</v>
      </c>
      <c r="O124" s="242">
        <v>2</v>
      </c>
      <c r="P124" s="242">
        <v>4</v>
      </c>
      <c r="Q124" s="242">
        <v>6</v>
      </c>
      <c r="R124" s="242">
        <v>2</v>
      </c>
      <c r="S124" s="242">
        <v>4</v>
      </c>
      <c r="T124" s="242">
        <v>2</v>
      </c>
      <c r="U124" s="242" t="s">
        <v>832</v>
      </c>
    </row>
    <row r="125" spans="3:21" x14ac:dyDescent="0.25">
      <c r="C125" s="100" t="str">
        <f>'G-1 All Habitats'!B123</f>
        <v>Intertidal sediment - Artificial littoral mixed sediments</v>
      </c>
      <c r="D125" s="242" t="s">
        <v>832</v>
      </c>
      <c r="E125" s="242" t="s">
        <v>832</v>
      </c>
      <c r="F125" s="242" t="s">
        <v>832</v>
      </c>
      <c r="G125" s="242" t="s">
        <v>832</v>
      </c>
      <c r="H125" s="242" t="s">
        <v>832</v>
      </c>
      <c r="I125" s="242" t="s">
        <v>832</v>
      </c>
      <c r="J125" s="242" t="s">
        <v>832</v>
      </c>
      <c r="K125" s="242">
        <v>1</v>
      </c>
      <c r="L125" s="242">
        <v>2</v>
      </c>
      <c r="M125" s="242">
        <v>3</v>
      </c>
      <c r="N125" s="242">
        <v>4</v>
      </c>
      <c r="O125" s="242">
        <v>1</v>
      </c>
      <c r="P125" s="242">
        <v>2</v>
      </c>
      <c r="Q125" s="242">
        <v>3</v>
      </c>
      <c r="R125" s="242">
        <v>1</v>
      </c>
      <c r="S125" s="242">
        <v>2</v>
      </c>
      <c r="T125" s="242">
        <v>1</v>
      </c>
      <c r="U125" s="242" t="s">
        <v>832</v>
      </c>
    </row>
    <row r="126" spans="3:21" x14ac:dyDescent="0.25">
      <c r="C126" s="100" t="str">
        <f>'G-1 All Habitats'!B124</f>
        <v>Intertidal sediment - Artificial littoral seagrass</v>
      </c>
      <c r="D126" s="242" t="s">
        <v>832</v>
      </c>
      <c r="E126" s="242" t="s">
        <v>832</v>
      </c>
      <c r="F126" s="242" t="s">
        <v>832</v>
      </c>
      <c r="G126" s="242" t="s">
        <v>832</v>
      </c>
      <c r="H126" s="242" t="s">
        <v>832</v>
      </c>
      <c r="I126" s="242" t="s">
        <v>832</v>
      </c>
      <c r="J126" s="242" t="s">
        <v>832</v>
      </c>
      <c r="K126" s="242">
        <v>3</v>
      </c>
      <c r="L126" s="242">
        <v>13</v>
      </c>
      <c r="M126" s="242">
        <v>23</v>
      </c>
      <c r="N126" s="242" t="s">
        <v>1211</v>
      </c>
      <c r="O126" s="242">
        <v>10</v>
      </c>
      <c r="P126" s="242">
        <v>20</v>
      </c>
      <c r="Q126" s="242">
        <v>30</v>
      </c>
      <c r="R126" s="242">
        <v>10</v>
      </c>
      <c r="S126" s="242">
        <v>20</v>
      </c>
      <c r="T126" s="242">
        <v>10</v>
      </c>
      <c r="U126" s="242" t="s">
        <v>832</v>
      </c>
    </row>
    <row r="127" spans="3:21" x14ac:dyDescent="0.25">
      <c r="C127" s="100" t="str">
        <f>'G-1 All Habitats'!B125</f>
        <v>Intertidal sediment - Artificial littoral biogenic reefs</v>
      </c>
      <c r="D127" s="242" t="s">
        <v>832</v>
      </c>
      <c r="E127" s="242" t="s">
        <v>832</v>
      </c>
      <c r="F127" s="242" t="s">
        <v>832</v>
      </c>
      <c r="G127" s="242" t="s">
        <v>832</v>
      </c>
      <c r="H127" s="242" t="s">
        <v>832</v>
      </c>
      <c r="I127" s="242" t="s">
        <v>832</v>
      </c>
      <c r="J127" s="242" t="s">
        <v>832</v>
      </c>
      <c r="K127" s="242">
        <v>2</v>
      </c>
      <c r="L127" s="242">
        <v>4</v>
      </c>
      <c r="M127" s="242">
        <v>7</v>
      </c>
      <c r="N127" s="242">
        <v>10</v>
      </c>
      <c r="O127" s="242">
        <v>2</v>
      </c>
      <c r="P127" s="242">
        <v>3</v>
      </c>
      <c r="Q127" s="242">
        <v>8</v>
      </c>
      <c r="R127" s="242">
        <v>3</v>
      </c>
      <c r="S127" s="242">
        <v>6</v>
      </c>
      <c r="T127" s="242">
        <v>3</v>
      </c>
      <c r="U127" s="242" t="s">
        <v>832</v>
      </c>
    </row>
    <row r="128" spans="3:21" x14ac:dyDescent="0.25">
      <c r="C128" s="100" t="str">
        <f>'G-1 All Habitats'!B126</f>
        <v>Intertidal sediment - Littoral sand</v>
      </c>
      <c r="D128" s="242" t="s">
        <v>832</v>
      </c>
      <c r="E128" s="242" t="s">
        <v>832</v>
      </c>
      <c r="F128" s="242" t="s">
        <v>832</v>
      </c>
      <c r="G128" s="242" t="s">
        <v>832</v>
      </c>
      <c r="H128" s="242" t="s">
        <v>832</v>
      </c>
      <c r="I128" s="242" t="s">
        <v>832</v>
      </c>
      <c r="J128" s="242" t="s">
        <v>832</v>
      </c>
      <c r="K128" s="242">
        <v>2</v>
      </c>
      <c r="L128" s="242">
        <v>3</v>
      </c>
      <c r="M128" s="242">
        <v>4</v>
      </c>
      <c r="N128" s="242">
        <v>6</v>
      </c>
      <c r="O128" s="242">
        <v>1</v>
      </c>
      <c r="P128" s="242">
        <v>2</v>
      </c>
      <c r="Q128" s="242">
        <v>4</v>
      </c>
      <c r="R128" s="242">
        <v>1</v>
      </c>
      <c r="S128" s="242">
        <v>3</v>
      </c>
      <c r="T128" s="242">
        <v>2</v>
      </c>
      <c r="U128" s="242" t="s">
        <v>832</v>
      </c>
    </row>
    <row r="129" spans="3:21" x14ac:dyDescent="0.25">
      <c r="C129" s="100" t="str">
        <f>'G-1 All Habitats'!B127</f>
        <v>Intertidal sediment - Littoral muddy sand</v>
      </c>
      <c r="D129" s="242" t="s">
        <v>832</v>
      </c>
      <c r="E129" s="242" t="s">
        <v>832</v>
      </c>
      <c r="F129" s="242" t="s">
        <v>832</v>
      </c>
      <c r="G129" s="242" t="s">
        <v>832</v>
      </c>
      <c r="H129" s="242" t="s">
        <v>832</v>
      </c>
      <c r="I129" s="242" t="s">
        <v>832</v>
      </c>
      <c r="J129" s="242" t="s">
        <v>832</v>
      </c>
      <c r="K129" s="242">
        <v>2</v>
      </c>
      <c r="L129" s="242">
        <v>4</v>
      </c>
      <c r="M129" s="242">
        <v>6</v>
      </c>
      <c r="N129" s="242">
        <v>8</v>
      </c>
      <c r="O129" s="242">
        <v>2</v>
      </c>
      <c r="P129" s="242">
        <v>4</v>
      </c>
      <c r="Q129" s="242">
        <v>6</v>
      </c>
      <c r="R129" s="242">
        <v>2</v>
      </c>
      <c r="S129" s="242">
        <v>4</v>
      </c>
      <c r="T129" s="242">
        <v>2</v>
      </c>
      <c r="U129" s="242" t="s">
        <v>832</v>
      </c>
    </row>
    <row r="130" spans="3:21" x14ac:dyDescent="0.25">
      <c r="C130" s="100" t="str">
        <f>'G-1 All Habitats'!B128</f>
        <v>Intertidal Hard Structures - Artificial hard structures</v>
      </c>
      <c r="D130" s="242" t="s">
        <v>832</v>
      </c>
      <c r="E130" s="242" t="s">
        <v>832</v>
      </c>
      <c r="F130" s="242" t="s">
        <v>832</v>
      </c>
      <c r="G130" s="242" t="s">
        <v>832</v>
      </c>
      <c r="H130" s="242" t="s">
        <v>832</v>
      </c>
      <c r="I130" s="242" t="s">
        <v>832</v>
      </c>
      <c r="J130" s="242" t="s">
        <v>832</v>
      </c>
      <c r="K130" s="242">
        <v>6</v>
      </c>
      <c r="L130" s="242">
        <v>4</v>
      </c>
      <c r="M130" s="242">
        <v>10</v>
      </c>
      <c r="N130" s="242">
        <v>2</v>
      </c>
      <c r="O130" s="242">
        <v>2</v>
      </c>
      <c r="P130" s="242">
        <v>8</v>
      </c>
      <c r="Q130" s="242">
        <v>6</v>
      </c>
      <c r="R130" s="242">
        <v>2</v>
      </c>
      <c r="S130" s="242">
        <v>12</v>
      </c>
      <c r="T130" s="242">
        <v>4</v>
      </c>
      <c r="U130" s="242" t="s">
        <v>832</v>
      </c>
    </row>
    <row r="131" spans="3:21" x14ac:dyDescent="0.25">
      <c r="C131" s="100" t="str">
        <f>'G-1 All Habitats'!B129</f>
        <v>Intertidal Hard Structures - Artificial features of hard structures</v>
      </c>
      <c r="D131" s="242" t="s">
        <v>832</v>
      </c>
      <c r="E131" s="242" t="s">
        <v>832</v>
      </c>
      <c r="F131" s="242" t="s">
        <v>832</v>
      </c>
      <c r="G131" s="242" t="s">
        <v>832</v>
      </c>
      <c r="H131" s="242" t="s">
        <v>832</v>
      </c>
      <c r="I131" s="242" t="s">
        <v>832</v>
      </c>
      <c r="J131" s="242" t="s">
        <v>832</v>
      </c>
      <c r="K131" s="242">
        <v>5</v>
      </c>
      <c r="L131" s="242">
        <v>4</v>
      </c>
      <c r="M131" s="242">
        <v>9</v>
      </c>
      <c r="N131" s="242">
        <v>2</v>
      </c>
      <c r="O131" s="242">
        <v>2</v>
      </c>
      <c r="P131" s="242">
        <v>7</v>
      </c>
      <c r="Q131" s="242">
        <v>6</v>
      </c>
      <c r="R131" s="242">
        <v>2</v>
      </c>
      <c r="S131" s="242">
        <v>11</v>
      </c>
      <c r="T131" s="242">
        <v>4</v>
      </c>
      <c r="U131" s="242" t="s">
        <v>832</v>
      </c>
    </row>
    <row r="132" spans="3:21" x14ac:dyDescent="0.25">
      <c r="C132" s="100" t="str">
        <f>'G-1 All Habitats'!B130</f>
        <v>Intertidal Hard Structures - Artificial hard structures with Integrated Greening of Grey Infrastructure (IGGI)</v>
      </c>
      <c r="D132" s="242" t="s">
        <v>832</v>
      </c>
      <c r="E132" s="242" t="s">
        <v>832</v>
      </c>
      <c r="F132" s="242" t="s">
        <v>832</v>
      </c>
      <c r="G132" s="242" t="s">
        <v>832</v>
      </c>
      <c r="H132" s="242" t="s">
        <v>832</v>
      </c>
      <c r="I132" s="242" t="s">
        <v>832</v>
      </c>
      <c r="J132" s="242" t="s">
        <v>832</v>
      </c>
      <c r="K132" s="242">
        <v>5</v>
      </c>
      <c r="L132" s="242">
        <v>4</v>
      </c>
      <c r="M132" s="242">
        <v>9</v>
      </c>
      <c r="N132" s="242">
        <v>2</v>
      </c>
      <c r="O132" s="242">
        <v>2</v>
      </c>
      <c r="P132" s="242">
        <v>7</v>
      </c>
      <c r="Q132" s="242">
        <v>6</v>
      </c>
      <c r="R132" s="242">
        <v>2</v>
      </c>
      <c r="S132" s="242">
        <v>11</v>
      </c>
      <c r="T132" s="242">
        <v>4</v>
      </c>
      <c r="U132" s="242" t="s">
        <v>832</v>
      </c>
    </row>
    <row r="133" spans="3:21" x14ac:dyDescent="0.25">
      <c r="C133" s="46"/>
    </row>
    <row r="134" spans="3:21" x14ac:dyDescent="0.25">
      <c r="C134" s="46"/>
    </row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sheetProtection algorithmName="SHA-512" hashValue="GHSHmFJiuFgP05HO7cRr6YzY62I6RoiM3iH/38l9wAitODHdh67RnoVHM/Vza029BGFf5qkeKom/AW108rfYXQ==" saltValue="oah/1qTk9oj0ysGvWujwWQ==" spinCount="100000" sheet="1" objects="1" scenarios="1"/>
  <customSheetViews>
    <customSheetView guid="{8BDA793C-C9C5-4FC6-A0A5-F1109F6D4F22}" state="hidden">
      <pane xSplit="3" ySplit="4" topLeftCell="D127" activePane="bottomRight" state="frozen"/>
      <selection pane="bottomRight" activeCell="D14" sqref="D14"/>
    </customSheetView>
  </customSheetView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000-000000000000}">
          <x14:formula1>
            <xm:f>'G-4 Temporal multipliers'!$A$4:$A$37</xm:f>
          </x14:formula1>
          <xm:sqref>D5:U132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>
    <tabColor rgb="FFFFC000"/>
  </sheetPr>
  <dimension ref="A1:BW20"/>
  <sheetViews>
    <sheetView showGridLines="0" showRowColHeaders="0" zoomScaleNormal="100" workbookViewId="0">
      <pane xSplit="2" ySplit="2" topLeftCell="C3" activePane="bottomRight" state="frozen"/>
      <selection activeCell="B18" sqref="B18:I19"/>
      <selection pane="topRight" activeCell="B18" sqref="B18:I19"/>
      <selection pane="bottomLeft" activeCell="B18" sqref="B18:I19"/>
      <selection pane="bottomRight" activeCell="B18" sqref="B18:I19"/>
    </sheetView>
  </sheetViews>
  <sheetFormatPr defaultColWidth="0" defaultRowHeight="13.8" zeroHeight="1" x14ac:dyDescent="0.25"/>
  <cols>
    <col min="1" max="1" width="8.33203125" style="35" customWidth="1"/>
    <col min="2" max="2" width="66.44140625" style="35" bestFit="1" customWidth="1"/>
    <col min="3" max="3" width="17.33203125" style="35" customWidth="1"/>
    <col min="4" max="4" width="17.109375" style="35" customWidth="1"/>
    <col min="5" max="5" width="10.33203125" style="35" customWidth="1"/>
    <col min="6" max="6" width="9.5546875" style="35" hidden="1" customWidth="1"/>
    <col min="7" max="7" width="12.109375" style="35" customWidth="1"/>
    <col min="8" max="8" width="10" style="35" hidden="1" customWidth="1"/>
    <col min="9" max="9" width="10.33203125" style="35" customWidth="1"/>
    <col min="10" max="10" width="8.109375" style="35" hidden="1" customWidth="1"/>
    <col min="11" max="11" width="12.109375" style="35" customWidth="1"/>
    <col min="12" max="12" width="7.88671875" style="35" hidden="1" customWidth="1"/>
    <col min="13" max="13" width="10.6640625" style="35" customWidth="1"/>
    <col min="14" max="14" width="10.5546875" style="35" hidden="1" customWidth="1"/>
    <col min="15" max="15" width="10.6640625" style="35" hidden="1" customWidth="1"/>
    <col min="16" max="16" width="4.109375" style="35" hidden="1" customWidth="1"/>
    <col min="17" max="17" width="12.5546875" style="254" customWidth="1"/>
    <col min="18" max="18" width="4.109375" style="35" hidden="1" customWidth="1"/>
    <col min="19" max="19" width="6.88671875" style="35" bestFit="1" customWidth="1"/>
    <col min="20" max="31" width="5.33203125" style="35" bestFit="1" customWidth="1"/>
    <col min="32" max="32" width="12.6640625" style="35" customWidth="1"/>
    <col min="33" max="33" width="13" style="35" customWidth="1"/>
    <col min="34" max="34" width="32.109375" style="35" customWidth="1"/>
    <col min="35" max="35" width="8.88671875" style="35" customWidth="1"/>
    <col min="36" max="37" width="14" style="35" customWidth="1"/>
    <col min="38" max="38" width="8.88671875" style="35" customWidth="1"/>
    <col min="39" max="39" width="66.44140625" style="35" bestFit="1" customWidth="1"/>
    <col min="40" max="40" width="14.5546875" style="35" bestFit="1" customWidth="1"/>
    <col min="41" max="52" width="16.88671875" style="35" bestFit="1" customWidth="1"/>
    <col min="53" max="56" width="8.88671875" style="35" customWidth="1"/>
    <col min="57" max="61" width="8.88671875" style="35" hidden="1" customWidth="1"/>
    <col min="62" max="62" width="12.44140625" style="217" hidden="1" customWidth="1"/>
    <col min="63" max="64" width="12" style="35" hidden="1" customWidth="1"/>
    <col min="65" max="75" width="0" style="35" hidden="1" customWidth="1"/>
    <col min="76" max="16384" width="8.88671875" style="35" hidden="1"/>
  </cols>
  <sheetData>
    <row r="1" spans="1:64" ht="66.75" customHeight="1" thickBot="1" x14ac:dyDescent="0.4">
      <c r="A1" s="1097"/>
      <c r="B1" s="1100"/>
      <c r="C1" s="1104" t="s">
        <v>310</v>
      </c>
      <c r="D1" s="1105"/>
      <c r="E1" s="1101" t="s">
        <v>328</v>
      </c>
      <c r="F1" s="1102"/>
      <c r="G1" s="1102"/>
      <c r="H1" s="1102"/>
      <c r="I1" s="1103"/>
      <c r="J1" s="1101" t="s">
        <v>1215</v>
      </c>
      <c r="K1" s="1102"/>
      <c r="L1" s="1102"/>
      <c r="M1" s="1102"/>
      <c r="N1" s="1102"/>
      <c r="O1" s="1102"/>
      <c r="P1" s="1102"/>
      <c r="Q1" s="1102"/>
      <c r="R1" s="1103"/>
      <c r="S1" s="1101" t="s">
        <v>1216</v>
      </c>
      <c r="T1" s="1102"/>
      <c r="U1" s="1102"/>
      <c r="V1" s="1102"/>
      <c r="W1" s="1102"/>
      <c r="X1" s="1102"/>
      <c r="Y1" s="1102"/>
      <c r="Z1" s="1102"/>
      <c r="AA1" s="1102"/>
      <c r="AB1" s="1102"/>
      <c r="AC1" s="1102"/>
      <c r="AD1" s="1102"/>
      <c r="AE1" s="1103"/>
      <c r="AF1" s="1104" t="s">
        <v>311</v>
      </c>
      <c r="AG1" s="1105"/>
      <c r="AH1" s="1014" t="s">
        <v>339</v>
      </c>
      <c r="AJ1" s="1104" t="s">
        <v>332</v>
      </c>
      <c r="AK1" s="1105"/>
      <c r="AM1" s="216" t="s">
        <v>1189</v>
      </c>
      <c r="AN1" s="1108" t="s">
        <v>1217</v>
      </c>
      <c r="AO1" s="1108"/>
      <c r="AP1" s="1108"/>
      <c r="AQ1" s="1108"/>
      <c r="AR1" s="1108"/>
      <c r="AS1" s="1108"/>
      <c r="AT1" s="1108"/>
      <c r="AU1" s="1108"/>
      <c r="AV1" s="1108"/>
      <c r="AW1" s="1108"/>
      <c r="AX1" s="1108"/>
      <c r="AY1" s="1108"/>
      <c r="AZ1" s="1108"/>
      <c r="BK1" s="1106" t="s">
        <v>1306</v>
      </c>
      <c r="BL1" s="1107"/>
    </row>
    <row r="2" spans="1:64" ht="182.25" customHeight="1" thickBot="1" x14ac:dyDescent="0.3">
      <c r="B2" s="218" t="s">
        <v>1039</v>
      </c>
      <c r="C2" s="214" t="s">
        <v>111</v>
      </c>
      <c r="D2" s="219" t="s">
        <v>56</v>
      </c>
      <c r="E2" s="214" t="s">
        <v>2</v>
      </c>
      <c r="F2" s="220"/>
      <c r="G2" s="220" t="s">
        <v>1</v>
      </c>
      <c r="H2" s="220"/>
      <c r="I2" s="219" t="s">
        <v>0</v>
      </c>
      <c r="J2" s="214"/>
      <c r="K2" s="220" t="s">
        <v>314</v>
      </c>
      <c r="L2" s="220"/>
      <c r="M2" s="220" t="s">
        <v>315</v>
      </c>
      <c r="N2" s="220"/>
      <c r="O2" s="220"/>
      <c r="P2" s="220"/>
      <c r="Q2" s="219" t="s">
        <v>321</v>
      </c>
      <c r="R2" s="221"/>
      <c r="S2" s="222" t="s">
        <v>1218</v>
      </c>
      <c r="T2" s="223" t="s">
        <v>322</v>
      </c>
      <c r="U2" s="223" t="s">
        <v>1219</v>
      </c>
      <c r="V2" s="223" t="s">
        <v>1220</v>
      </c>
      <c r="W2" s="223" t="s">
        <v>323</v>
      </c>
      <c r="X2" s="223" t="s">
        <v>1221</v>
      </c>
      <c r="Y2" s="223" t="s">
        <v>325</v>
      </c>
      <c r="Z2" s="223" t="s">
        <v>1222</v>
      </c>
      <c r="AA2" s="223" t="s">
        <v>1223</v>
      </c>
      <c r="AB2" s="223" t="s">
        <v>324</v>
      </c>
      <c r="AC2" s="223" t="s">
        <v>1224</v>
      </c>
      <c r="AD2" s="223" t="s">
        <v>1225</v>
      </c>
      <c r="AE2" s="223" t="s">
        <v>1226</v>
      </c>
      <c r="AF2" s="214" t="s">
        <v>123</v>
      </c>
      <c r="AG2" s="219" t="s">
        <v>124</v>
      </c>
      <c r="AH2" s="1041"/>
      <c r="AJ2" s="214" t="s">
        <v>330</v>
      </c>
      <c r="AK2" s="219" t="s">
        <v>331</v>
      </c>
      <c r="AM2" s="224" t="s">
        <v>1227</v>
      </c>
      <c r="AN2" s="199" t="s">
        <v>1218</v>
      </c>
      <c r="AO2" s="199" t="s">
        <v>322</v>
      </c>
      <c r="AP2" s="199" t="s">
        <v>1228</v>
      </c>
      <c r="AQ2" s="199" t="s">
        <v>1220</v>
      </c>
      <c r="AR2" s="199" t="s">
        <v>323</v>
      </c>
      <c r="AS2" s="199" t="s">
        <v>1221</v>
      </c>
      <c r="AT2" s="199" t="s">
        <v>325</v>
      </c>
      <c r="AU2" s="199" t="s">
        <v>1222</v>
      </c>
      <c r="AV2" s="199" t="s">
        <v>1223</v>
      </c>
      <c r="AW2" s="199" t="s">
        <v>324</v>
      </c>
      <c r="AX2" s="199" t="s">
        <v>1224</v>
      </c>
      <c r="AY2" s="199" t="s">
        <v>1244</v>
      </c>
      <c r="AZ2" s="199" t="s">
        <v>1226</v>
      </c>
      <c r="BK2" s="101" t="s">
        <v>1304</v>
      </c>
      <c r="BL2" s="101" t="s">
        <v>1305</v>
      </c>
    </row>
    <row r="3" spans="1:64" ht="30.75" customHeight="1" thickBot="1" x14ac:dyDescent="0.3">
      <c r="A3" s="225"/>
      <c r="B3" s="226" t="s">
        <v>1218</v>
      </c>
      <c r="C3" s="227" t="s">
        <v>9</v>
      </c>
      <c r="D3" s="228">
        <v>8</v>
      </c>
      <c r="E3" s="229">
        <v>1</v>
      </c>
      <c r="F3" s="230"/>
      <c r="G3" s="230">
        <v>10</v>
      </c>
      <c r="H3" s="230"/>
      <c r="I3" s="228">
        <v>20</v>
      </c>
      <c r="J3" s="229"/>
      <c r="K3" s="230">
        <v>6</v>
      </c>
      <c r="L3" s="230"/>
      <c r="M3" s="230">
        <v>10</v>
      </c>
      <c r="N3" s="230"/>
      <c r="O3" s="230"/>
      <c r="P3" s="230"/>
      <c r="Q3" s="228">
        <v>4</v>
      </c>
      <c r="R3" s="231"/>
      <c r="S3" s="232" t="s">
        <v>1229</v>
      </c>
      <c r="T3" s="233" t="s">
        <v>1229</v>
      </c>
      <c r="U3" s="233" t="s">
        <v>1229</v>
      </c>
      <c r="V3" s="233" t="s">
        <v>1229</v>
      </c>
      <c r="W3" s="233" t="s">
        <v>1229</v>
      </c>
      <c r="X3" s="233" t="s">
        <v>1229</v>
      </c>
      <c r="Y3" s="233" t="s">
        <v>1229</v>
      </c>
      <c r="Z3" s="233" t="s">
        <v>1229</v>
      </c>
      <c r="AA3" s="233" t="s">
        <v>1229</v>
      </c>
      <c r="AB3" s="233" t="s">
        <v>1229</v>
      </c>
      <c r="AC3" s="233" t="s">
        <v>1229</v>
      </c>
      <c r="AD3" s="233" t="s">
        <v>1229</v>
      </c>
      <c r="AE3" s="234" t="s">
        <v>1229</v>
      </c>
      <c r="AF3" s="241" t="s">
        <v>8</v>
      </c>
      <c r="AG3" s="240" t="s">
        <v>8</v>
      </c>
      <c r="AH3" s="235" t="s">
        <v>1307</v>
      </c>
      <c r="AJ3" s="236" t="s">
        <v>0</v>
      </c>
      <c r="AK3" s="237">
        <v>3</v>
      </c>
      <c r="AM3" s="226" t="s">
        <v>1218</v>
      </c>
      <c r="AN3" s="233" t="s">
        <v>1230</v>
      </c>
      <c r="AO3" s="528" t="s">
        <v>1231</v>
      </c>
      <c r="AP3" s="233" t="s">
        <v>1231</v>
      </c>
      <c r="AQ3" s="233" t="s">
        <v>1231</v>
      </c>
      <c r="AR3" s="233" t="s">
        <v>1231</v>
      </c>
      <c r="AS3" s="233" t="s">
        <v>1231</v>
      </c>
      <c r="AT3" s="233" t="s">
        <v>1231</v>
      </c>
      <c r="AU3" s="233" t="s">
        <v>1231</v>
      </c>
      <c r="AV3" s="233" t="s">
        <v>1231</v>
      </c>
      <c r="AW3" s="233" t="s">
        <v>1231</v>
      </c>
      <c r="AX3" s="233" t="s">
        <v>1231</v>
      </c>
      <c r="AY3" s="233" t="s">
        <v>1231</v>
      </c>
      <c r="AZ3" s="233" t="s">
        <v>1231</v>
      </c>
      <c r="BJ3" s="217" t="s">
        <v>1304</v>
      </c>
      <c r="BK3" s="238" t="s">
        <v>0</v>
      </c>
      <c r="BL3" s="238" t="s">
        <v>2</v>
      </c>
    </row>
    <row r="4" spans="1:64" ht="30.75" customHeight="1" thickBot="1" x14ac:dyDescent="0.3">
      <c r="A4" s="225"/>
      <c r="B4" s="226" t="s">
        <v>322</v>
      </c>
      <c r="C4" s="239" t="s">
        <v>5</v>
      </c>
      <c r="D4" s="240">
        <v>6</v>
      </c>
      <c r="E4" s="241">
        <v>1</v>
      </c>
      <c r="F4" s="242"/>
      <c r="G4" s="242">
        <v>10</v>
      </c>
      <c r="H4" s="242"/>
      <c r="I4" s="240">
        <v>20</v>
      </c>
      <c r="J4" s="241"/>
      <c r="K4" s="242">
        <v>6</v>
      </c>
      <c r="L4" s="242"/>
      <c r="M4" s="242">
        <v>10</v>
      </c>
      <c r="N4" s="242"/>
      <c r="O4" s="242"/>
      <c r="P4" s="242"/>
      <c r="Q4" s="240">
        <v>4</v>
      </c>
      <c r="R4" s="243"/>
      <c r="S4" s="241">
        <v>5</v>
      </c>
      <c r="T4" s="233" t="s">
        <v>1229</v>
      </c>
      <c r="U4" s="233" t="s">
        <v>1229</v>
      </c>
      <c r="V4" s="233" t="s">
        <v>1229</v>
      </c>
      <c r="W4" s="233" t="s">
        <v>1229</v>
      </c>
      <c r="X4" s="233" t="s">
        <v>1229</v>
      </c>
      <c r="Y4" s="233" t="s">
        <v>1229</v>
      </c>
      <c r="Z4" s="233" t="s">
        <v>1229</v>
      </c>
      <c r="AA4" s="233" t="s">
        <v>1229</v>
      </c>
      <c r="AB4" s="233" t="s">
        <v>1229</v>
      </c>
      <c r="AC4" s="233" t="s">
        <v>1229</v>
      </c>
      <c r="AD4" s="233" t="s">
        <v>1229</v>
      </c>
      <c r="AE4" s="234" t="s">
        <v>1229</v>
      </c>
      <c r="AF4" s="241" t="s">
        <v>8</v>
      </c>
      <c r="AG4" s="240" t="s">
        <v>8</v>
      </c>
      <c r="AH4" s="244" t="s">
        <v>849</v>
      </c>
      <c r="AJ4" s="99" t="s">
        <v>1</v>
      </c>
      <c r="AK4" s="245">
        <v>2</v>
      </c>
      <c r="AM4" s="226" t="s">
        <v>322</v>
      </c>
      <c r="AN4" s="233" t="s">
        <v>1232</v>
      </c>
      <c r="AO4" s="528" t="s">
        <v>1233</v>
      </c>
      <c r="AP4" s="233" t="s">
        <v>1233</v>
      </c>
      <c r="AQ4" s="233" t="s">
        <v>1233</v>
      </c>
      <c r="AR4" s="233" t="s">
        <v>1231</v>
      </c>
      <c r="AS4" s="233" t="s">
        <v>1231</v>
      </c>
      <c r="AT4" s="233" t="s">
        <v>1231</v>
      </c>
      <c r="AU4" s="233" t="s">
        <v>1231</v>
      </c>
      <c r="AV4" s="233" t="s">
        <v>1231</v>
      </c>
      <c r="AW4" s="233" t="s">
        <v>1231</v>
      </c>
      <c r="AX4" s="233" t="s">
        <v>1231</v>
      </c>
      <c r="AY4" s="233" t="s">
        <v>1231</v>
      </c>
      <c r="AZ4" s="233" t="s">
        <v>1231</v>
      </c>
      <c r="BJ4" s="217" t="s">
        <v>1304</v>
      </c>
      <c r="BK4" s="238" t="s">
        <v>1</v>
      </c>
    </row>
    <row r="5" spans="1:64" ht="30.75" customHeight="1" thickBot="1" x14ac:dyDescent="0.3">
      <c r="A5" s="225"/>
      <c r="B5" s="226" t="s">
        <v>1228</v>
      </c>
      <c r="C5" s="239" t="s">
        <v>5</v>
      </c>
      <c r="D5" s="240">
        <v>6</v>
      </c>
      <c r="E5" s="241">
        <v>1</v>
      </c>
      <c r="F5" s="242"/>
      <c r="G5" s="242">
        <v>5</v>
      </c>
      <c r="H5" s="242"/>
      <c r="I5" s="240">
        <v>12</v>
      </c>
      <c r="J5" s="241"/>
      <c r="K5" s="242">
        <v>3</v>
      </c>
      <c r="L5" s="242"/>
      <c r="M5" s="242">
        <v>5</v>
      </c>
      <c r="N5" s="242"/>
      <c r="O5" s="242"/>
      <c r="P5" s="242"/>
      <c r="Q5" s="240">
        <v>2</v>
      </c>
      <c r="R5" s="243"/>
      <c r="S5" s="241">
        <v>10</v>
      </c>
      <c r="T5" s="233" t="s">
        <v>1229</v>
      </c>
      <c r="U5" s="233" t="s">
        <v>1229</v>
      </c>
      <c r="V5" s="233" t="s">
        <v>1229</v>
      </c>
      <c r="W5" s="233" t="s">
        <v>1229</v>
      </c>
      <c r="X5" s="233" t="s">
        <v>1229</v>
      </c>
      <c r="Y5" s="233" t="s">
        <v>1229</v>
      </c>
      <c r="Z5" s="233" t="s">
        <v>1229</v>
      </c>
      <c r="AA5" s="233" t="s">
        <v>1229</v>
      </c>
      <c r="AB5" s="233" t="s">
        <v>1229</v>
      </c>
      <c r="AC5" s="233" t="s">
        <v>1229</v>
      </c>
      <c r="AD5" s="233" t="s">
        <v>1229</v>
      </c>
      <c r="AE5" s="234" t="s">
        <v>1229</v>
      </c>
      <c r="AF5" s="241" t="s">
        <v>8</v>
      </c>
      <c r="AG5" s="240" t="s">
        <v>8</v>
      </c>
      <c r="AH5" s="244" t="s">
        <v>849</v>
      </c>
      <c r="AJ5" s="101" t="s">
        <v>2</v>
      </c>
      <c r="AK5" s="246">
        <v>1</v>
      </c>
      <c r="AM5" s="226" t="s">
        <v>1228</v>
      </c>
      <c r="AN5" s="233" t="s">
        <v>1232</v>
      </c>
      <c r="AO5" s="528" t="s">
        <v>1233</v>
      </c>
      <c r="AP5" s="233" t="s">
        <v>1233</v>
      </c>
      <c r="AQ5" s="233" t="s">
        <v>1233</v>
      </c>
      <c r="AR5" s="233" t="s">
        <v>1231</v>
      </c>
      <c r="AS5" s="233" t="s">
        <v>1231</v>
      </c>
      <c r="AT5" s="233" t="s">
        <v>1231</v>
      </c>
      <c r="AU5" s="233" t="s">
        <v>1231</v>
      </c>
      <c r="AV5" s="233" t="s">
        <v>1231</v>
      </c>
      <c r="AW5" s="233" t="s">
        <v>1231</v>
      </c>
      <c r="AX5" s="233" t="s">
        <v>1231</v>
      </c>
      <c r="AY5" s="233" t="s">
        <v>1231</v>
      </c>
      <c r="AZ5" s="233" t="s">
        <v>1231</v>
      </c>
      <c r="BJ5" s="217" t="s">
        <v>1304</v>
      </c>
      <c r="BK5" s="238" t="s">
        <v>2</v>
      </c>
    </row>
    <row r="6" spans="1:64" ht="30.75" customHeight="1" thickBot="1" x14ac:dyDescent="0.3">
      <c r="A6" s="225"/>
      <c r="B6" s="226" t="s">
        <v>1234</v>
      </c>
      <c r="C6" s="239" t="s">
        <v>5</v>
      </c>
      <c r="D6" s="240">
        <v>6</v>
      </c>
      <c r="E6" s="241">
        <v>1</v>
      </c>
      <c r="F6" s="242"/>
      <c r="G6" s="242">
        <v>10</v>
      </c>
      <c r="H6" s="242"/>
      <c r="I6" s="240">
        <v>20</v>
      </c>
      <c r="J6" s="241"/>
      <c r="K6" s="242">
        <v>6</v>
      </c>
      <c r="L6" s="242"/>
      <c r="M6" s="242">
        <v>10</v>
      </c>
      <c r="N6" s="242"/>
      <c r="O6" s="242"/>
      <c r="P6" s="242"/>
      <c r="Q6" s="240">
        <v>4</v>
      </c>
      <c r="R6" s="243"/>
      <c r="S6" s="241">
        <v>5</v>
      </c>
      <c r="T6" s="233" t="s">
        <v>1229</v>
      </c>
      <c r="U6" s="233" t="s">
        <v>1229</v>
      </c>
      <c r="V6" s="233" t="s">
        <v>1229</v>
      </c>
      <c r="W6" s="233" t="s">
        <v>1229</v>
      </c>
      <c r="X6" s="233" t="s">
        <v>1229</v>
      </c>
      <c r="Y6" s="233" t="s">
        <v>1229</v>
      </c>
      <c r="Z6" s="233" t="s">
        <v>1229</v>
      </c>
      <c r="AA6" s="233" t="s">
        <v>1229</v>
      </c>
      <c r="AB6" s="233" t="s">
        <v>1229</v>
      </c>
      <c r="AC6" s="233" t="s">
        <v>1229</v>
      </c>
      <c r="AD6" s="233" t="s">
        <v>1229</v>
      </c>
      <c r="AE6" s="234" t="s">
        <v>1229</v>
      </c>
      <c r="AF6" s="241" t="s">
        <v>8</v>
      </c>
      <c r="AG6" s="240" t="s">
        <v>8</v>
      </c>
      <c r="AH6" s="244" t="s">
        <v>849</v>
      </c>
      <c r="AM6" s="226" t="s">
        <v>1234</v>
      </c>
      <c r="AN6" s="528" t="s">
        <v>1232</v>
      </c>
      <c r="AO6" s="528" t="s">
        <v>1233</v>
      </c>
      <c r="AP6" s="528" t="s">
        <v>1233</v>
      </c>
      <c r="AQ6" s="528" t="s">
        <v>1233</v>
      </c>
      <c r="AR6" s="528" t="s">
        <v>1231</v>
      </c>
      <c r="AS6" s="528" t="s">
        <v>1231</v>
      </c>
      <c r="AT6" s="528" t="s">
        <v>1231</v>
      </c>
      <c r="AU6" s="528" t="s">
        <v>1231</v>
      </c>
      <c r="AV6" s="528" t="s">
        <v>1231</v>
      </c>
      <c r="AW6" s="528" t="s">
        <v>1231</v>
      </c>
      <c r="AX6" s="528" t="s">
        <v>1231</v>
      </c>
      <c r="AY6" s="528" t="s">
        <v>1231</v>
      </c>
      <c r="AZ6" s="528" t="s">
        <v>1231</v>
      </c>
      <c r="BJ6" s="217" t="s">
        <v>1304</v>
      </c>
    </row>
    <row r="7" spans="1:64" ht="42" thickBot="1" x14ac:dyDescent="0.3">
      <c r="A7" s="225"/>
      <c r="B7" s="226" t="s">
        <v>323</v>
      </c>
      <c r="C7" s="239" t="s">
        <v>6</v>
      </c>
      <c r="D7" s="240">
        <v>4</v>
      </c>
      <c r="E7" s="241">
        <v>1</v>
      </c>
      <c r="F7" s="242"/>
      <c r="G7" s="242">
        <v>5</v>
      </c>
      <c r="H7" s="242"/>
      <c r="I7" s="240">
        <v>12</v>
      </c>
      <c r="J7" s="241"/>
      <c r="K7" s="242">
        <v>3</v>
      </c>
      <c r="L7" s="242"/>
      <c r="M7" s="242">
        <v>5</v>
      </c>
      <c r="N7" s="242"/>
      <c r="O7" s="242"/>
      <c r="P7" s="242"/>
      <c r="Q7" s="240">
        <v>2</v>
      </c>
      <c r="R7" s="243"/>
      <c r="S7" s="241">
        <v>10</v>
      </c>
      <c r="T7" s="242">
        <v>10</v>
      </c>
      <c r="U7" s="242">
        <v>5</v>
      </c>
      <c r="V7" s="242">
        <v>10</v>
      </c>
      <c r="W7" s="233" t="s">
        <v>1229</v>
      </c>
      <c r="X7" s="233" t="s">
        <v>1229</v>
      </c>
      <c r="Y7" s="233" t="s">
        <v>1229</v>
      </c>
      <c r="Z7" s="233" t="s">
        <v>1229</v>
      </c>
      <c r="AA7" s="233" t="s">
        <v>1229</v>
      </c>
      <c r="AB7" s="233" t="s">
        <v>1229</v>
      </c>
      <c r="AC7" s="233" t="s">
        <v>1229</v>
      </c>
      <c r="AD7" s="233" t="s">
        <v>1229</v>
      </c>
      <c r="AE7" s="234" t="s">
        <v>1229</v>
      </c>
      <c r="AF7" s="241" t="s">
        <v>8</v>
      </c>
      <c r="AG7" s="240" t="s">
        <v>8</v>
      </c>
      <c r="AH7" s="244" t="s">
        <v>849</v>
      </c>
      <c r="AM7" s="226" t="s">
        <v>323</v>
      </c>
      <c r="AN7" s="528" t="s">
        <v>1235</v>
      </c>
      <c r="AO7" s="175" t="s">
        <v>1236</v>
      </c>
      <c r="AP7" s="175" t="s">
        <v>1236</v>
      </c>
      <c r="AQ7" s="175" t="s">
        <v>1236</v>
      </c>
      <c r="AR7" s="175" t="s">
        <v>1237</v>
      </c>
      <c r="AS7" s="175" t="s">
        <v>1237</v>
      </c>
      <c r="AT7" s="175" t="s">
        <v>1237</v>
      </c>
      <c r="AU7" s="175" t="s">
        <v>1238</v>
      </c>
      <c r="AV7" s="175" t="s">
        <v>1238</v>
      </c>
      <c r="AW7" s="528" t="s">
        <v>1231</v>
      </c>
      <c r="AX7" s="528" t="s">
        <v>1231</v>
      </c>
      <c r="AY7" s="528" t="s">
        <v>1231</v>
      </c>
      <c r="AZ7" s="528" t="s">
        <v>1231</v>
      </c>
      <c r="BJ7" s="217" t="s">
        <v>1304</v>
      </c>
    </row>
    <row r="8" spans="1:64" ht="42" thickBot="1" x14ac:dyDescent="0.3">
      <c r="A8" s="225"/>
      <c r="B8" s="226" t="s">
        <v>1239</v>
      </c>
      <c r="C8" s="239" t="s">
        <v>6</v>
      </c>
      <c r="D8" s="240">
        <v>4</v>
      </c>
      <c r="E8" s="241">
        <v>1</v>
      </c>
      <c r="F8" s="242"/>
      <c r="G8" s="242">
        <v>5</v>
      </c>
      <c r="H8" s="242"/>
      <c r="I8" s="240">
        <v>12</v>
      </c>
      <c r="J8" s="241"/>
      <c r="K8" s="242">
        <v>3</v>
      </c>
      <c r="L8" s="242"/>
      <c r="M8" s="242">
        <v>5</v>
      </c>
      <c r="N8" s="242"/>
      <c r="O8" s="242"/>
      <c r="P8" s="242"/>
      <c r="Q8" s="240">
        <v>2</v>
      </c>
      <c r="R8" s="243"/>
      <c r="S8" s="241">
        <v>10</v>
      </c>
      <c r="T8" s="242">
        <v>10</v>
      </c>
      <c r="U8" s="242">
        <v>5</v>
      </c>
      <c r="V8" s="242">
        <v>10</v>
      </c>
      <c r="W8" s="233" t="s">
        <v>1229</v>
      </c>
      <c r="X8" s="233" t="s">
        <v>1229</v>
      </c>
      <c r="Y8" s="233" t="s">
        <v>1229</v>
      </c>
      <c r="Z8" s="233" t="s">
        <v>1229</v>
      </c>
      <c r="AA8" s="233" t="s">
        <v>1229</v>
      </c>
      <c r="AB8" s="233" t="s">
        <v>1229</v>
      </c>
      <c r="AC8" s="233" t="s">
        <v>1229</v>
      </c>
      <c r="AD8" s="233" t="s">
        <v>1229</v>
      </c>
      <c r="AE8" s="234" t="s">
        <v>1229</v>
      </c>
      <c r="AF8" s="241" t="s">
        <v>8</v>
      </c>
      <c r="AG8" s="240" t="s">
        <v>8</v>
      </c>
      <c r="AH8" s="244" t="s">
        <v>849</v>
      </c>
      <c r="AM8" s="226" t="s">
        <v>1239</v>
      </c>
      <c r="AN8" s="528" t="s">
        <v>1235</v>
      </c>
      <c r="AO8" s="175" t="s">
        <v>1236</v>
      </c>
      <c r="AP8" s="175" t="s">
        <v>1236</v>
      </c>
      <c r="AQ8" s="175" t="s">
        <v>1236</v>
      </c>
      <c r="AR8" s="175" t="s">
        <v>1237</v>
      </c>
      <c r="AS8" s="175" t="s">
        <v>1237</v>
      </c>
      <c r="AT8" s="175" t="s">
        <v>1237</v>
      </c>
      <c r="AU8" s="175" t="s">
        <v>1238</v>
      </c>
      <c r="AV8" s="175" t="s">
        <v>1238</v>
      </c>
      <c r="AW8" s="528" t="s">
        <v>1231</v>
      </c>
      <c r="AX8" s="528" t="s">
        <v>1231</v>
      </c>
      <c r="AY8" s="528" t="s">
        <v>1231</v>
      </c>
      <c r="AZ8" s="528" t="s">
        <v>1231</v>
      </c>
      <c r="BJ8" s="217" t="s">
        <v>1304</v>
      </c>
    </row>
    <row r="9" spans="1:64" ht="28.2" thickBot="1" x14ac:dyDescent="0.3">
      <c r="B9" s="226" t="s">
        <v>325</v>
      </c>
      <c r="C9" s="239" t="s">
        <v>6</v>
      </c>
      <c r="D9" s="240">
        <v>4</v>
      </c>
      <c r="E9" s="241">
        <v>1</v>
      </c>
      <c r="F9" s="242"/>
      <c r="G9" s="242">
        <v>10</v>
      </c>
      <c r="H9" s="242"/>
      <c r="I9" s="240">
        <v>20</v>
      </c>
      <c r="J9" s="241"/>
      <c r="K9" s="242">
        <v>6</v>
      </c>
      <c r="L9" s="242"/>
      <c r="M9" s="242">
        <v>10</v>
      </c>
      <c r="N9" s="242"/>
      <c r="O9" s="242"/>
      <c r="P9" s="242"/>
      <c r="Q9" s="240">
        <v>4</v>
      </c>
      <c r="R9" s="243"/>
      <c r="S9" s="241">
        <v>5</v>
      </c>
      <c r="T9" s="242">
        <v>5</v>
      </c>
      <c r="U9" s="242">
        <v>5</v>
      </c>
      <c r="V9" s="242">
        <v>5</v>
      </c>
      <c r="W9" s="233" t="s">
        <v>1229</v>
      </c>
      <c r="X9" s="233" t="s">
        <v>1229</v>
      </c>
      <c r="Y9" s="233" t="s">
        <v>1229</v>
      </c>
      <c r="Z9" s="233" t="s">
        <v>1229</v>
      </c>
      <c r="AA9" s="233" t="s">
        <v>1229</v>
      </c>
      <c r="AB9" s="233" t="s">
        <v>1229</v>
      </c>
      <c r="AC9" s="233" t="s">
        <v>1229</v>
      </c>
      <c r="AD9" s="233" t="s">
        <v>1229</v>
      </c>
      <c r="AE9" s="234" t="s">
        <v>1229</v>
      </c>
      <c r="AF9" s="241" t="s">
        <v>8</v>
      </c>
      <c r="AG9" s="240" t="s">
        <v>8</v>
      </c>
      <c r="AH9" s="244" t="s">
        <v>849</v>
      </c>
      <c r="AM9" s="226" t="s">
        <v>325</v>
      </c>
      <c r="AN9" s="528" t="s">
        <v>1235</v>
      </c>
      <c r="AO9" s="175" t="s">
        <v>1236</v>
      </c>
      <c r="AP9" s="175" t="s">
        <v>1236</v>
      </c>
      <c r="AQ9" s="175" t="s">
        <v>1236</v>
      </c>
      <c r="AR9" s="175" t="s">
        <v>1237</v>
      </c>
      <c r="AS9" s="175" t="s">
        <v>1237</v>
      </c>
      <c r="AT9" s="175" t="s">
        <v>1237</v>
      </c>
      <c r="AU9" s="175" t="s">
        <v>1237</v>
      </c>
      <c r="AV9" s="175" t="s">
        <v>1237</v>
      </c>
      <c r="AW9" s="528" t="s">
        <v>1231</v>
      </c>
      <c r="AX9" s="528" t="s">
        <v>1231</v>
      </c>
      <c r="AY9" s="528" t="s">
        <v>1231</v>
      </c>
      <c r="AZ9" s="528" t="s">
        <v>1231</v>
      </c>
      <c r="BJ9" s="217" t="s">
        <v>1304</v>
      </c>
    </row>
    <row r="10" spans="1:64" ht="42" thickBot="1" x14ac:dyDescent="0.3">
      <c r="B10" s="226" t="s">
        <v>327</v>
      </c>
      <c r="C10" s="239" t="s">
        <v>6</v>
      </c>
      <c r="D10" s="240">
        <v>4</v>
      </c>
      <c r="E10" s="241">
        <v>5</v>
      </c>
      <c r="F10" s="242"/>
      <c r="G10" s="242">
        <v>20</v>
      </c>
      <c r="H10" s="242"/>
      <c r="I10" s="240" t="s">
        <v>1211</v>
      </c>
      <c r="J10" s="241"/>
      <c r="K10" s="242">
        <v>20</v>
      </c>
      <c r="L10" s="242"/>
      <c r="M10" s="242">
        <v>30</v>
      </c>
      <c r="N10" s="242"/>
      <c r="O10" s="242"/>
      <c r="P10" s="242"/>
      <c r="Q10" s="240">
        <v>10</v>
      </c>
      <c r="R10" s="243"/>
      <c r="S10" s="241">
        <v>12</v>
      </c>
      <c r="T10" s="242">
        <v>12</v>
      </c>
      <c r="U10" s="233" t="s">
        <v>1229</v>
      </c>
      <c r="V10" s="242">
        <v>12</v>
      </c>
      <c r="W10" s="233" t="s">
        <v>1229</v>
      </c>
      <c r="X10" s="233" t="s">
        <v>1229</v>
      </c>
      <c r="Y10" s="233" t="s">
        <v>1229</v>
      </c>
      <c r="Z10" s="233" t="s">
        <v>1229</v>
      </c>
      <c r="AA10" s="233" t="s">
        <v>1229</v>
      </c>
      <c r="AB10" s="233" t="s">
        <v>1229</v>
      </c>
      <c r="AC10" s="233" t="s">
        <v>1229</v>
      </c>
      <c r="AD10" s="233" t="s">
        <v>1229</v>
      </c>
      <c r="AE10" s="234" t="s">
        <v>1229</v>
      </c>
      <c r="AF10" s="241" t="s">
        <v>8</v>
      </c>
      <c r="AG10" s="240" t="s">
        <v>8</v>
      </c>
      <c r="AH10" s="244" t="s">
        <v>849</v>
      </c>
      <c r="AM10" s="226" t="s">
        <v>1222</v>
      </c>
      <c r="AN10" s="528" t="s">
        <v>1235</v>
      </c>
      <c r="AO10" s="175" t="s">
        <v>1236</v>
      </c>
      <c r="AP10" s="175" t="s">
        <v>1238</v>
      </c>
      <c r="AQ10" s="175" t="s">
        <v>1236</v>
      </c>
      <c r="AR10" s="175" t="s">
        <v>1238</v>
      </c>
      <c r="AS10" s="175" t="s">
        <v>1238</v>
      </c>
      <c r="AT10" s="175" t="s">
        <v>1237</v>
      </c>
      <c r="AU10" s="175" t="s">
        <v>1237</v>
      </c>
      <c r="AV10" s="175" t="s">
        <v>1237</v>
      </c>
      <c r="AW10" s="528" t="s">
        <v>1231</v>
      </c>
      <c r="AX10" s="528" t="s">
        <v>1231</v>
      </c>
      <c r="AY10" s="528" t="s">
        <v>1231</v>
      </c>
      <c r="AZ10" s="528" t="s">
        <v>1231</v>
      </c>
      <c r="BJ10" s="217" t="s">
        <v>1304</v>
      </c>
    </row>
    <row r="11" spans="1:64" ht="42" thickBot="1" x14ac:dyDescent="0.3">
      <c r="B11" s="226" t="s">
        <v>326</v>
      </c>
      <c r="C11" s="239" t="s">
        <v>6</v>
      </c>
      <c r="D11" s="240">
        <v>4</v>
      </c>
      <c r="E11" s="241">
        <v>5</v>
      </c>
      <c r="F11" s="242"/>
      <c r="G11" s="242">
        <v>20</v>
      </c>
      <c r="H11" s="242"/>
      <c r="I11" s="240" t="s">
        <v>1211</v>
      </c>
      <c r="J11" s="241"/>
      <c r="K11" s="242">
        <v>20</v>
      </c>
      <c r="L11" s="242"/>
      <c r="M11" s="242">
        <v>30</v>
      </c>
      <c r="N11" s="242"/>
      <c r="O11" s="242"/>
      <c r="P11" s="242"/>
      <c r="Q11" s="240">
        <v>10</v>
      </c>
      <c r="R11" s="243"/>
      <c r="S11" s="241">
        <v>12</v>
      </c>
      <c r="T11" s="242">
        <v>12</v>
      </c>
      <c r="U11" s="233" t="s">
        <v>1229</v>
      </c>
      <c r="V11" s="242">
        <v>12</v>
      </c>
      <c r="W11" s="233" t="s">
        <v>1229</v>
      </c>
      <c r="X11" s="233" t="s">
        <v>1229</v>
      </c>
      <c r="Y11" s="233" t="s">
        <v>1229</v>
      </c>
      <c r="Z11" s="233" t="s">
        <v>1229</v>
      </c>
      <c r="AA11" s="233" t="s">
        <v>1229</v>
      </c>
      <c r="AB11" s="233" t="s">
        <v>1229</v>
      </c>
      <c r="AC11" s="233" t="s">
        <v>1229</v>
      </c>
      <c r="AD11" s="233" t="s">
        <v>1229</v>
      </c>
      <c r="AE11" s="234" t="s">
        <v>1229</v>
      </c>
      <c r="AF11" s="241" t="s">
        <v>8</v>
      </c>
      <c r="AG11" s="240" t="s">
        <v>8</v>
      </c>
      <c r="AH11" s="244" t="s">
        <v>849</v>
      </c>
      <c r="AM11" s="226" t="s">
        <v>1223</v>
      </c>
      <c r="AN11" s="528" t="s">
        <v>1235</v>
      </c>
      <c r="AO11" s="175" t="s">
        <v>1236</v>
      </c>
      <c r="AP11" s="175" t="s">
        <v>1238</v>
      </c>
      <c r="AQ11" s="175" t="s">
        <v>1236</v>
      </c>
      <c r="AR11" s="175" t="s">
        <v>1238</v>
      </c>
      <c r="AS11" s="175" t="s">
        <v>1238</v>
      </c>
      <c r="AT11" s="175" t="s">
        <v>1237</v>
      </c>
      <c r="AU11" s="175" t="s">
        <v>1237</v>
      </c>
      <c r="AV11" s="175" t="s">
        <v>1237</v>
      </c>
      <c r="AW11" s="528" t="s">
        <v>1231</v>
      </c>
      <c r="AX11" s="528" t="s">
        <v>1231</v>
      </c>
      <c r="AY11" s="528" t="s">
        <v>1231</v>
      </c>
      <c r="AZ11" s="528" t="s">
        <v>1231</v>
      </c>
      <c r="BJ11" s="217" t="s">
        <v>1304</v>
      </c>
    </row>
    <row r="12" spans="1:64" ht="42" thickBot="1" x14ac:dyDescent="0.3">
      <c r="B12" s="226" t="s">
        <v>324</v>
      </c>
      <c r="C12" s="239" t="s">
        <v>8</v>
      </c>
      <c r="D12" s="240">
        <v>2</v>
      </c>
      <c r="E12" s="241">
        <v>1</v>
      </c>
      <c r="F12" s="242"/>
      <c r="G12" s="242">
        <v>5</v>
      </c>
      <c r="H12" s="242"/>
      <c r="I12" s="240">
        <v>12</v>
      </c>
      <c r="J12" s="241"/>
      <c r="K12" s="242">
        <v>3</v>
      </c>
      <c r="L12" s="242"/>
      <c r="M12" s="242">
        <v>5</v>
      </c>
      <c r="N12" s="242"/>
      <c r="O12" s="242"/>
      <c r="P12" s="242"/>
      <c r="Q12" s="240">
        <v>2</v>
      </c>
      <c r="R12" s="243"/>
      <c r="S12" s="241">
        <v>10</v>
      </c>
      <c r="T12" s="242">
        <v>10</v>
      </c>
      <c r="U12" s="242">
        <v>5</v>
      </c>
      <c r="V12" s="242">
        <v>10</v>
      </c>
      <c r="W12" s="242">
        <v>5</v>
      </c>
      <c r="X12" s="242">
        <v>6</v>
      </c>
      <c r="Y12" s="242">
        <v>10</v>
      </c>
      <c r="Z12" s="233" t="s">
        <v>1229</v>
      </c>
      <c r="AA12" s="233" t="s">
        <v>1229</v>
      </c>
      <c r="AB12" s="233" t="s">
        <v>1229</v>
      </c>
      <c r="AC12" s="233" t="s">
        <v>1229</v>
      </c>
      <c r="AD12" s="233" t="s">
        <v>1229</v>
      </c>
      <c r="AE12" s="234" t="s">
        <v>1229</v>
      </c>
      <c r="AF12" s="241" t="s">
        <v>8</v>
      </c>
      <c r="AG12" s="240" t="s">
        <v>8</v>
      </c>
      <c r="AH12" s="244" t="s">
        <v>851</v>
      </c>
      <c r="AM12" s="226" t="s">
        <v>324</v>
      </c>
      <c r="AN12" s="528" t="s">
        <v>1240</v>
      </c>
      <c r="AO12" s="528" t="s">
        <v>1241</v>
      </c>
      <c r="AP12" s="528" t="s">
        <v>1241</v>
      </c>
      <c r="AQ12" s="528" t="s">
        <v>1241</v>
      </c>
      <c r="AR12" s="528" t="s">
        <v>1242</v>
      </c>
      <c r="AS12" s="528" t="s">
        <v>1242</v>
      </c>
      <c r="AT12" s="528" t="s">
        <v>1242</v>
      </c>
      <c r="AU12" s="175" t="s">
        <v>1238</v>
      </c>
      <c r="AV12" s="175" t="s">
        <v>1238</v>
      </c>
      <c r="AW12" s="175" t="s">
        <v>1243</v>
      </c>
      <c r="AX12" s="175" t="s">
        <v>1238</v>
      </c>
      <c r="AY12" s="175" t="s">
        <v>1238</v>
      </c>
      <c r="AZ12" s="528" t="s">
        <v>1231</v>
      </c>
      <c r="BJ12" s="217" t="s">
        <v>1304</v>
      </c>
    </row>
    <row r="13" spans="1:64" ht="42" thickBot="1" x14ac:dyDescent="0.3">
      <c r="B13" s="226" t="s">
        <v>1224</v>
      </c>
      <c r="C13" s="239" t="s">
        <v>8</v>
      </c>
      <c r="D13" s="240">
        <v>2</v>
      </c>
      <c r="E13" s="241">
        <v>5</v>
      </c>
      <c r="F13" s="242"/>
      <c r="G13" s="242">
        <v>20</v>
      </c>
      <c r="H13" s="242"/>
      <c r="I13" s="240" t="s">
        <v>1211</v>
      </c>
      <c r="J13" s="241"/>
      <c r="K13" s="242">
        <v>20</v>
      </c>
      <c r="L13" s="242"/>
      <c r="M13" s="242">
        <v>30</v>
      </c>
      <c r="N13" s="242"/>
      <c r="O13" s="242"/>
      <c r="P13" s="242"/>
      <c r="Q13" s="240">
        <v>10</v>
      </c>
      <c r="R13" s="243"/>
      <c r="S13" s="241">
        <v>12</v>
      </c>
      <c r="T13" s="242">
        <v>12</v>
      </c>
      <c r="U13" s="233" t="s">
        <v>1229</v>
      </c>
      <c r="V13" s="242">
        <v>12</v>
      </c>
      <c r="W13" s="233" t="s">
        <v>1229</v>
      </c>
      <c r="X13" s="233" t="s">
        <v>1229</v>
      </c>
      <c r="Y13" s="242">
        <v>12</v>
      </c>
      <c r="Z13" s="233" t="s">
        <v>1229</v>
      </c>
      <c r="AA13" s="233" t="s">
        <v>1229</v>
      </c>
      <c r="AB13" s="233" t="s">
        <v>1229</v>
      </c>
      <c r="AC13" s="233" t="s">
        <v>1229</v>
      </c>
      <c r="AD13" s="233" t="s">
        <v>1229</v>
      </c>
      <c r="AE13" s="234" t="s">
        <v>1229</v>
      </c>
      <c r="AF13" s="241" t="s">
        <v>8</v>
      </c>
      <c r="AG13" s="240" t="s">
        <v>8</v>
      </c>
      <c r="AH13" s="244" t="s">
        <v>851</v>
      </c>
      <c r="AM13" s="226" t="s">
        <v>1224</v>
      </c>
      <c r="AN13" s="528" t="s">
        <v>1240</v>
      </c>
      <c r="AO13" s="528" t="s">
        <v>1241</v>
      </c>
      <c r="AP13" s="175" t="s">
        <v>1238</v>
      </c>
      <c r="AQ13" s="528" t="s">
        <v>1241</v>
      </c>
      <c r="AR13" s="175" t="s">
        <v>1238</v>
      </c>
      <c r="AS13" s="175" t="s">
        <v>1238</v>
      </c>
      <c r="AT13" s="528" t="s">
        <v>1242</v>
      </c>
      <c r="AU13" s="175" t="s">
        <v>1238</v>
      </c>
      <c r="AV13" s="175" t="s">
        <v>1238</v>
      </c>
      <c r="AW13" s="175" t="s">
        <v>1238</v>
      </c>
      <c r="AX13" s="175" t="s">
        <v>1243</v>
      </c>
      <c r="AY13" s="175" t="s">
        <v>1243</v>
      </c>
      <c r="AZ13" s="528" t="s">
        <v>1231</v>
      </c>
      <c r="BJ13" s="217" t="s">
        <v>1304</v>
      </c>
    </row>
    <row r="14" spans="1:64" ht="42" thickBot="1" x14ac:dyDescent="0.3">
      <c r="B14" s="226" t="s">
        <v>1455</v>
      </c>
      <c r="C14" s="239" t="s">
        <v>8</v>
      </c>
      <c r="D14" s="240">
        <v>2</v>
      </c>
      <c r="E14" s="241">
        <v>5</v>
      </c>
      <c r="F14" s="242"/>
      <c r="G14" s="242">
        <v>20</v>
      </c>
      <c r="H14" s="242"/>
      <c r="I14" s="240" t="s">
        <v>1211</v>
      </c>
      <c r="J14" s="241"/>
      <c r="K14" s="242">
        <v>20</v>
      </c>
      <c r="L14" s="242"/>
      <c r="M14" s="242">
        <v>30</v>
      </c>
      <c r="N14" s="242"/>
      <c r="O14" s="242"/>
      <c r="P14" s="242"/>
      <c r="Q14" s="240">
        <v>10</v>
      </c>
      <c r="R14" s="243"/>
      <c r="S14" s="241">
        <v>12</v>
      </c>
      <c r="T14" s="242">
        <v>12</v>
      </c>
      <c r="U14" s="233" t="s">
        <v>1229</v>
      </c>
      <c r="V14" s="242">
        <v>12</v>
      </c>
      <c r="W14" s="233" t="s">
        <v>1229</v>
      </c>
      <c r="X14" s="233" t="s">
        <v>1229</v>
      </c>
      <c r="Y14" s="242">
        <v>12</v>
      </c>
      <c r="Z14" s="233" t="s">
        <v>1229</v>
      </c>
      <c r="AA14" s="233" t="s">
        <v>1229</v>
      </c>
      <c r="AB14" s="233" t="s">
        <v>1229</v>
      </c>
      <c r="AC14" s="233" t="s">
        <v>1229</v>
      </c>
      <c r="AD14" s="233" t="s">
        <v>1229</v>
      </c>
      <c r="AE14" s="234" t="s">
        <v>1229</v>
      </c>
      <c r="AF14" s="241" t="s">
        <v>8</v>
      </c>
      <c r="AG14" s="240" t="s">
        <v>8</v>
      </c>
      <c r="AH14" s="244" t="s">
        <v>851</v>
      </c>
      <c r="AM14" s="226" t="s">
        <v>1455</v>
      </c>
      <c r="AN14" s="528" t="s">
        <v>1240</v>
      </c>
      <c r="AO14" s="528" t="s">
        <v>1241</v>
      </c>
      <c r="AP14" s="175" t="s">
        <v>1238</v>
      </c>
      <c r="AQ14" s="528" t="s">
        <v>1241</v>
      </c>
      <c r="AR14" s="175" t="s">
        <v>1238</v>
      </c>
      <c r="AS14" s="175" t="s">
        <v>1238</v>
      </c>
      <c r="AT14" s="528" t="s">
        <v>1242</v>
      </c>
      <c r="AU14" s="175" t="s">
        <v>1238</v>
      </c>
      <c r="AV14" s="175" t="s">
        <v>1238</v>
      </c>
      <c r="AW14" s="175" t="s">
        <v>1238</v>
      </c>
      <c r="AX14" s="175" t="s">
        <v>1243</v>
      </c>
      <c r="AY14" s="175" t="s">
        <v>1243</v>
      </c>
      <c r="AZ14" s="528" t="s">
        <v>1231</v>
      </c>
      <c r="BJ14" s="217" t="s">
        <v>1304</v>
      </c>
    </row>
    <row r="15" spans="1:64" ht="42" thickBot="1" x14ac:dyDescent="0.3">
      <c r="B15" s="226" t="s">
        <v>1226</v>
      </c>
      <c r="C15" s="248" t="s">
        <v>7</v>
      </c>
      <c r="D15" s="249">
        <v>1</v>
      </c>
      <c r="E15" s="250">
        <v>1</v>
      </c>
      <c r="F15" s="251"/>
      <c r="G15" s="251" t="s">
        <v>833</v>
      </c>
      <c r="H15" s="251"/>
      <c r="I15" s="249" t="s">
        <v>833</v>
      </c>
      <c r="J15" s="250"/>
      <c r="K15" s="251" t="s">
        <v>833</v>
      </c>
      <c r="L15" s="251"/>
      <c r="M15" s="251" t="s">
        <v>833</v>
      </c>
      <c r="N15" s="251"/>
      <c r="O15" s="251"/>
      <c r="P15" s="251"/>
      <c r="Q15" s="249" t="s">
        <v>833</v>
      </c>
      <c r="R15" s="252"/>
      <c r="S15" s="699" t="s">
        <v>1229</v>
      </c>
      <c r="T15" s="700" t="s">
        <v>1229</v>
      </c>
      <c r="U15" s="700" t="s">
        <v>1229</v>
      </c>
      <c r="V15" s="700" t="s">
        <v>1229</v>
      </c>
      <c r="W15" s="700" t="s">
        <v>1229</v>
      </c>
      <c r="X15" s="700" t="s">
        <v>1229</v>
      </c>
      <c r="Y15" s="700" t="s">
        <v>1229</v>
      </c>
      <c r="Z15" s="700" t="s">
        <v>1229</v>
      </c>
      <c r="AA15" s="700" t="s">
        <v>1229</v>
      </c>
      <c r="AB15" s="700" t="s">
        <v>1229</v>
      </c>
      <c r="AC15" s="700" t="s">
        <v>1229</v>
      </c>
      <c r="AD15" s="700" t="s">
        <v>1229</v>
      </c>
      <c r="AE15" s="701" t="s">
        <v>1229</v>
      </c>
      <c r="AF15" s="250" t="s">
        <v>8</v>
      </c>
      <c r="AG15" s="249" t="s">
        <v>8</v>
      </c>
      <c r="AH15" s="253" t="s">
        <v>851</v>
      </c>
      <c r="AM15" s="226" t="s">
        <v>1226</v>
      </c>
      <c r="AN15" s="175" t="s">
        <v>1238</v>
      </c>
      <c r="AO15" s="175" t="s">
        <v>1238</v>
      </c>
      <c r="AP15" s="175" t="s">
        <v>1238</v>
      </c>
      <c r="AQ15" s="175" t="s">
        <v>1238</v>
      </c>
      <c r="AR15" s="175" t="s">
        <v>1238</v>
      </c>
      <c r="AS15" s="175" t="s">
        <v>1238</v>
      </c>
      <c r="AT15" s="175" t="s">
        <v>1238</v>
      </c>
      <c r="AU15" s="175" t="s">
        <v>1238</v>
      </c>
      <c r="AV15" s="175" t="s">
        <v>1238</v>
      </c>
      <c r="AW15" s="175" t="s">
        <v>1238</v>
      </c>
      <c r="AX15" s="175" t="s">
        <v>1238</v>
      </c>
      <c r="AY15" s="175" t="s">
        <v>1238</v>
      </c>
      <c r="AZ15" s="175" t="s">
        <v>1245</v>
      </c>
      <c r="BJ15" s="217" t="s">
        <v>1305</v>
      </c>
    </row>
    <row r="16" spans="1:64" x14ac:dyDescent="0.25">
      <c r="Q16" s="51"/>
    </row>
    <row r="17" spans="17:17" x14ac:dyDescent="0.25">
      <c r="Q17" s="35"/>
    </row>
    <row r="18" spans="17:17" x14ac:dyDescent="0.25">
      <c r="Q18" s="35"/>
    </row>
    <row r="19" spans="17:17" x14ac:dyDescent="0.25">
      <c r="Q19" s="35"/>
    </row>
    <row r="20" spans="17:17" ht="184.5" hidden="1" customHeight="1" x14ac:dyDescent="0.25"/>
  </sheetData>
  <sheetProtection algorithmName="SHA-512" hashValue="YQjddNIcbfHzaev6cV2Q/rGrJE4FTeRqdKpuSobM04aeyByfuB7Q6pCRVuUAtsKSC6SL0qhb2NSCpgd/+ddMXg==" saltValue="RjtI1acyLUrbYgIzV+fnqw==" spinCount="100000" sheet="1" objects="1" scenarios="1"/>
  <customSheetViews>
    <customSheetView guid="{8BDA793C-C9C5-4FC6-A0A5-F1109F6D4F22}" scale="110" state="hidden">
      <pane xSplit="2" ySplit="2" topLeftCell="S15" activePane="bottomRight" state="frozen"/>
      <selection pane="bottomRight" activeCell="D14" sqref="D14"/>
    </customSheetView>
  </customSheetViews>
  <mergeCells count="10">
    <mergeCell ref="BK1:BL1"/>
    <mergeCell ref="AF1:AG1"/>
    <mergeCell ref="AH1:AH2"/>
    <mergeCell ref="AJ1:AK1"/>
    <mergeCell ref="AN1:AZ1"/>
    <mergeCell ref="A1:B1"/>
    <mergeCell ref="E1:I1"/>
    <mergeCell ref="C1:D1"/>
    <mergeCell ref="J1:R1"/>
    <mergeCell ref="S1:AE1"/>
  </mergeCells>
  <phoneticPr fontId="9" type="noConversion"/>
  <dataValidations count="1">
    <dataValidation type="list" allowBlank="1" showInputMessage="1" showErrorMessage="1" sqref="R3:R15" xr:uid="{00000000-0002-0000-1600-000000000000}">
      <formula1>$AR$16:$AR$43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600-000001000000}">
          <x14:formula1>
            <xm:f>'\\LYN264DF\m312897$\Net Gain\[Latest Tool with updated hedgerows 06 11 2020.xlsm]G-3 Multipliers'!#REF!</xm:f>
          </x14:formula1>
          <xm:sqref>AF3:AG15</xm:sqref>
        </x14:dataValidation>
        <x14:dataValidation type="list" allowBlank="1" showInputMessage="1" showErrorMessage="1" xr:uid="{00000000-0002-0000-1600-000002000000}">
          <x14:formula1>
            <xm:f>'\\LYN264DF\m312897$\Net Gain\[Latest Tool with updated hedgerows 06 11 2020.xlsm]G-1 All Habitats'!#REF!</xm:f>
          </x14:formula1>
          <xm:sqref>C3:C15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0">
    <tabColor rgb="FFFFC000"/>
  </sheetPr>
  <dimension ref="A1:BJ30"/>
  <sheetViews>
    <sheetView showGridLines="0" showRowColHeaders="0" workbookViewId="0">
      <selection activeCell="B13" sqref="B13"/>
    </sheetView>
  </sheetViews>
  <sheetFormatPr defaultColWidth="0" defaultRowHeight="13.8" zeroHeight="1" x14ac:dyDescent="0.25"/>
  <cols>
    <col min="1" max="1" width="9.109375" style="35" customWidth="1"/>
    <col min="2" max="2" width="37.33203125" style="35" customWidth="1"/>
    <col min="3" max="4" width="17.6640625" style="35" customWidth="1"/>
    <col min="5" max="5" width="14.5546875" style="35" customWidth="1"/>
    <col min="6" max="6" width="15.6640625" style="35" customWidth="1"/>
    <col min="7" max="7" width="13.109375" style="35" customWidth="1"/>
    <col min="8" max="9" width="11.88671875" style="35" customWidth="1"/>
    <col min="10" max="10" width="13" style="35" customWidth="1"/>
    <col min="11" max="11" width="12.109375" style="35" customWidth="1"/>
    <col min="12" max="13" width="10.6640625" style="35" customWidth="1"/>
    <col min="14" max="14" width="14.109375" style="35" customWidth="1"/>
    <col min="15" max="15" width="8.5546875" style="35" customWidth="1"/>
    <col min="16" max="16" width="10.6640625" style="35" customWidth="1"/>
    <col min="17" max="17" width="19" style="35" customWidth="1"/>
    <col min="18" max="18" width="16" style="35" customWidth="1"/>
    <col min="19" max="19" width="14.44140625" style="35" customWidth="1"/>
    <col min="20" max="20" width="15.88671875" style="35" customWidth="1"/>
    <col min="21" max="22" width="15.6640625" style="35" customWidth="1"/>
    <col min="23" max="26" width="10.6640625" style="35" customWidth="1"/>
    <col min="27" max="27" width="18.88671875" style="35" bestFit="1" customWidth="1"/>
    <col min="28" max="28" width="13.44140625" style="35" customWidth="1"/>
    <col min="29" max="29" width="9.109375" style="35" customWidth="1"/>
    <col min="30" max="30" width="18" style="35" customWidth="1"/>
    <col min="31" max="31" width="9.5546875" style="35" bestFit="1" customWidth="1"/>
    <col min="32" max="32" width="9.109375" style="35" customWidth="1"/>
    <col min="33" max="33" width="59.88671875" style="35" customWidth="1"/>
    <col min="34" max="34" width="24.6640625" style="35" customWidth="1"/>
    <col min="35" max="35" width="18.88671875" style="35" customWidth="1"/>
    <col min="36" max="36" width="9.109375" style="35" customWidth="1"/>
    <col min="37" max="37" width="46.6640625" style="35" bestFit="1" customWidth="1"/>
    <col min="38" max="38" width="24.33203125" style="35" customWidth="1"/>
    <col min="39" max="39" width="13.6640625" style="35" customWidth="1"/>
    <col min="40" max="40" width="9.109375" style="35" customWidth="1"/>
    <col min="41" max="41" width="20.44140625" style="35" bestFit="1" customWidth="1"/>
    <col min="42" max="42" width="13" style="35" customWidth="1"/>
    <col min="43" max="44" width="9.109375" style="35" customWidth="1"/>
    <col min="45" max="45" width="25.109375" style="35" bestFit="1" customWidth="1"/>
    <col min="46" max="46" width="20.44140625" style="35" bestFit="1" customWidth="1"/>
    <col min="47" max="47" width="31.33203125" style="35" customWidth="1"/>
    <col min="48" max="48" width="9.109375" style="35" customWidth="1"/>
    <col min="49" max="49" width="13" style="35" customWidth="1"/>
    <col min="50" max="50" width="9.109375" style="35" hidden="1" customWidth="1"/>
    <col min="51" max="51" width="23.6640625" style="35" hidden="1" customWidth="1"/>
    <col min="52" max="52" width="15.6640625" style="35" hidden="1" customWidth="1"/>
    <col min="53" max="53" width="9.109375" style="35" hidden="1" customWidth="1"/>
    <col min="54" max="55" width="10.88671875" style="35" hidden="1" customWidth="1"/>
    <col min="56" max="62" width="0" style="35" hidden="1" customWidth="1"/>
    <col min="63" max="16384" width="9.109375" style="35" hidden="1"/>
  </cols>
  <sheetData>
    <row r="1" spans="1:55" ht="14.4" thickBot="1" x14ac:dyDescent="0.3">
      <c r="A1" s="1097"/>
      <c r="B1" s="1097"/>
    </row>
    <row r="2" spans="1:55" ht="31.5" customHeight="1" thickBot="1" x14ac:dyDescent="0.35">
      <c r="A2" s="1097"/>
      <c r="B2" s="1097"/>
      <c r="C2" s="1111" t="s">
        <v>310</v>
      </c>
      <c r="D2" s="1112"/>
      <c r="E2" s="1101" t="s">
        <v>311</v>
      </c>
      <c r="F2" s="1102"/>
      <c r="G2" s="1102"/>
      <c r="H2" s="1101" t="s">
        <v>332</v>
      </c>
      <c r="I2" s="1102"/>
      <c r="J2" s="1102"/>
      <c r="K2" s="1102"/>
      <c r="L2" s="1103"/>
      <c r="N2" s="1113" t="s">
        <v>1491</v>
      </c>
      <c r="O2" s="1114"/>
      <c r="Q2" s="1109" t="s">
        <v>1492</v>
      </c>
      <c r="R2" s="1110"/>
      <c r="T2" s="1047" t="s">
        <v>329</v>
      </c>
      <c r="U2" s="1053"/>
      <c r="V2" s="1053"/>
      <c r="W2" s="1053"/>
      <c r="X2" s="1053"/>
      <c r="Y2" s="1118"/>
      <c r="AA2" s="1119" t="s">
        <v>347</v>
      </c>
      <c r="AB2" s="1120"/>
      <c r="AC2" s="159"/>
      <c r="AD2" s="1119" t="s">
        <v>347</v>
      </c>
      <c r="AE2" s="1120"/>
      <c r="AG2" s="1119" t="s">
        <v>351</v>
      </c>
      <c r="AH2" s="1121"/>
      <c r="AI2" s="1120"/>
      <c r="AK2" s="1119" t="s">
        <v>351</v>
      </c>
      <c r="AL2" s="1121"/>
      <c r="AM2" s="1120"/>
      <c r="AO2" s="874" t="s">
        <v>351</v>
      </c>
      <c r="AP2" s="1115"/>
      <c r="AQ2" s="432"/>
      <c r="AS2" s="1075" t="s">
        <v>303</v>
      </c>
      <c r="AT2" s="1116"/>
      <c r="AU2" s="1117"/>
      <c r="AY2" s="433"/>
      <c r="AZ2" s="434" t="s">
        <v>1298</v>
      </c>
      <c r="BB2" s="433" t="s">
        <v>1308</v>
      </c>
      <c r="BC2" s="434" t="s">
        <v>1309</v>
      </c>
    </row>
    <row r="3" spans="1:55" ht="42" thickBot="1" x14ac:dyDescent="0.3">
      <c r="B3" s="435" t="s">
        <v>1039</v>
      </c>
      <c r="C3" s="391" t="s">
        <v>111</v>
      </c>
      <c r="D3" s="390" t="s">
        <v>56</v>
      </c>
      <c r="E3" s="391" t="s">
        <v>123</v>
      </c>
      <c r="F3" s="390" t="s">
        <v>124</v>
      </c>
      <c r="G3" s="436" t="s">
        <v>339</v>
      </c>
      <c r="H3" s="437" t="s">
        <v>0</v>
      </c>
      <c r="I3" s="438" t="s">
        <v>128</v>
      </c>
      <c r="J3" s="438" t="s">
        <v>1</v>
      </c>
      <c r="K3" s="438" t="s">
        <v>121</v>
      </c>
      <c r="L3" s="439" t="s">
        <v>2</v>
      </c>
      <c r="N3" s="440" t="s">
        <v>0</v>
      </c>
      <c r="O3" s="334">
        <v>10</v>
      </c>
      <c r="Q3" s="529" t="s">
        <v>1189</v>
      </c>
      <c r="R3" s="249">
        <v>10</v>
      </c>
      <c r="T3" s="391"/>
      <c r="U3" s="1047" t="s">
        <v>1190</v>
      </c>
      <c r="V3" s="1053"/>
      <c r="W3" s="1053"/>
      <c r="X3" s="1053"/>
      <c r="Y3" s="1118"/>
      <c r="AA3" s="391" t="s">
        <v>1191</v>
      </c>
      <c r="AB3" s="390" t="s">
        <v>346</v>
      </c>
      <c r="AC3" s="159"/>
      <c r="AD3" s="391" t="s">
        <v>345</v>
      </c>
      <c r="AE3" s="390" t="s">
        <v>346</v>
      </c>
      <c r="AG3" s="390" t="s">
        <v>349</v>
      </c>
      <c r="AH3" s="389" t="s">
        <v>343</v>
      </c>
      <c r="AI3" s="391" t="s">
        <v>348</v>
      </c>
      <c r="AK3" s="390" t="s">
        <v>349</v>
      </c>
      <c r="AL3" s="389" t="s">
        <v>343</v>
      </c>
      <c r="AM3" s="391" t="s">
        <v>348</v>
      </c>
      <c r="AO3" s="441" t="s">
        <v>349</v>
      </c>
      <c r="AP3" s="391" t="s">
        <v>348</v>
      </c>
      <c r="AS3" s="433" t="s">
        <v>10</v>
      </c>
      <c r="AT3" s="442" t="s">
        <v>56</v>
      </c>
      <c r="AU3" s="434" t="s">
        <v>130</v>
      </c>
      <c r="AY3" s="443" t="s">
        <v>1192</v>
      </c>
      <c r="AZ3" s="444" t="s">
        <v>1308</v>
      </c>
      <c r="BB3" s="171" t="s">
        <v>0</v>
      </c>
      <c r="BC3" s="172" t="s">
        <v>2</v>
      </c>
    </row>
    <row r="4" spans="1:55" ht="28.2" thickBot="1" x14ac:dyDescent="0.3">
      <c r="B4" s="100" t="s">
        <v>1192</v>
      </c>
      <c r="C4" s="299" t="s">
        <v>9</v>
      </c>
      <c r="D4" s="175">
        <v>8</v>
      </c>
      <c r="E4" s="125" t="s">
        <v>5</v>
      </c>
      <c r="F4" s="125" t="s">
        <v>6</v>
      </c>
      <c r="G4" s="247" t="s">
        <v>1296</v>
      </c>
      <c r="H4" s="125">
        <v>3</v>
      </c>
      <c r="I4" s="125">
        <v>2.5</v>
      </c>
      <c r="J4" s="125">
        <v>2</v>
      </c>
      <c r="K4" s="125">
        <v>1.5</v>
      </c>
      <c r="L4" s="247">
        <v>1</v>
      </c>
      <c r="M4" s="26"/>
      <c r="N4" s="440" t="s">
        <v>128</v>
      </c>
      <c r="O4" s="334">
        <v>8</v>
      </c>
      <c r="T4" s="445" t="s">
        <v>1193</v>
      </c>
      <c r="U4" s="446" t="s">
        <v>2</v>
      </c>
      <c r="V4" s="447" t="s">
        <v>121</v>
      </c>
      <c r="W4" s="447" t="s">
        <v>1</v>
      </c>
      <c r="X4" s="447" t="s">
        <v>128</v>
      </c>
      <c r="Y4" s="447" t="s">
        <v>0</v>
      </c>
      <c r="AA4" s="129" t="s">
        <v>1456</v>
      </c>
      <c r="AB4" s="242">
        <v>1</v>
      </c>
      <c r="AC4" s="159"/>
      <c r="AD4" s="129" t="s">
        <v>1456</v>
      </c>
      <c r="AE4" s="242">
        <v>1</v>
      </c>
      <c r="AG4" s="129" t="s">
        <v>1457</v>
      </c>
      <c r="AH4" s="175" t="s">
        <v>336</v>
      </c>
      <c r="AI4" s="242">
        <v>1</v>
      </c>
      <c r="AK4" s="129" t="s">
        <v>1457</v>
      </c>
      <c r="AL4" s="175" t="s">
        <v>336</v>
      </c>
      <c r="AM4" s="242">
        <v>1</v>
      </c>
      <c r="AO4" s="129" t="s">
        <v>1482</v>
      </c>
      <c r="AP4" s="242">
        <v>0.25</v>
      </c>
      <c r="AS4" s="448" t="s">
        <v>9</v>
      </c>
      <c r="AT4" s="262">
        <v>8</v>
      </c>
      <c r="AU4" s="449" t="s">
        <v>811</v>
      </c>
      <c r="AY4" s="99" t="s">
        <v>1194</v>
      </c>
      <c r="AZ4" s="444" t="s">
        <v>1308</v>
      </c>
      <c r="BB4" s="239" t="s">
        <v>128</v>
      </c>
      <c r="BC4" s="450"/>
    </row>
    <row r="5" spans="1:55" ht="27.6" x14ac:dyDescent="0.25">
      <c r="B5" s="100" t="s">
        <v>1194</v>
      </c>
      <c r="C5" s="299" t="s">
        <v>5</v>
      </c>
      <c r="D5" s="175">
        <v>6</v>
      </c>
      <c r="E5" s="125" t="s">
        <v>5</v>
      </c>
      <c r="F5" s="125" t="s">
        <v>6</v>
      </c>
      <c r="G5" s="247" t="s">
        <v>1296</v>
      </c>
      <c r="H5" s="125">
        <v>3</v>
      </c>
      <c r="I5" s="125">
        <v>2.5</v>
      </c>
      <c r="J5" s="125">
        <v>2</v>
      </c>
      <c r="K5" s="125">
        <v>1.5</v>
      </c>
      <c r="L5" s="247">
        <v>1</v>
      </c>
      <c r="M5" s="26"/>
      <c r="N5" s="440" t="s">
        <v>1</v>
      </c>
      <c r="O5" s="334">
        <v>5</v>
      </c>
      <c r="T5" s="440" t="s">
        <v>2</v>
      </c>
      <c r="U5" s="451">
        <v>1</v>
      </c>
      <c r="V5" s="316">
        <v>2</v>
      </c>
      <c r="W5" s="316">
        <v>4</v>
      </c>
      <c r="X5" s="316">
        <v>6</v>
      </c>
      <c r="Y5" s="316">
        <v>8</v>
      </c>
      <c r="AA5" s="129" t="s">
        <v>1195</v>
      </c>
      <c r="AB5" s="242">
        <v>0.8</v>
      </c>
      <c r="AC5" s="159"/>
      <c r="AD5" s="129" t="s">
        <v>1195</v>
      </c>
      <c r="AE5" s="242">
        <v>0.95</v>
      </c>
      <c r="AG5" s="129" t="s">
        <v>352</v>
      </c>
      <c r="AH5" s="175" t="s">
        <v>335</v>
      </c>
      <c r="AI5" s="242">
        <v>1.1499999999999999</v>
      </c>
      <c r="AK5" s="129" t="s">
        <v>1199</v>
      </c>
      <c r="AL5" s="175" t="s">
        <v>335</v>
      </c>
      <c r="AM5" s="242">
        <v>1.1499999999999999</v>
      </c>
      <c r="AO5" s="129" t="s">
        <v>350</v>
      </c>
      <c r="AP5" s="242">
        <v>0.5</v>
      </c>
      <c r="AS5" s="393" t="s">
        <v>5</v>
      </c>
      <c r="AT5" s="242">
        <v>6</v>
      </c>
      <c r="AU5" s="176" t="s">
        <v>115</v>
      </c>
      <c r="AY5" s="99" t="s">
        <v>1295</v>
      </c>
      <c r="AZ5" s="444" t="s">
        <v>1308</v>
      </c>
      <c r="BB5" s="239" t="s">
        <v>1</v>
      </c>
      <c r="BC5" s="450"/>
    </row>
    <row r="6" spans="1:55" ht="27.6" x14ac:dyDescent="0.25">
      <c r="B6" s="100" t="s">
        <v>1295</v>
      </c>
      <c r="C6" s="299" t="s">
        <v>6</v>
      </c>
      <c r="D6" s="242">
        <v>4</v>
      </c>
      <c r="E6" s="125" t="s">
        <v>8</v>
      </c>
      <c r="F6" s="125" t="s">
        <v>6</v>
      </c>
      <c r="G6" s="247" t="s">
        <v>1296</v>
      </c>
      <c r="H6" s="125">
        <v>3</v>
      </c>
      <c r="I6" s="125">
        <v>2.5</v>
      </c>
      <c r="J6" s="125">
        <v>2</v>
      </c>
      <c r="K6" s="125">
        <v>1.5</v>
      </c>
      <c r="L6" s="247">
        <v>1</v>
      </c>
      <c r="M6" s="26"/>
      <c r="N6" s="440" t="s">
        <v>121</v>
      </c>
      <c r="O6" s="334">
        <v>2</v>
      </c>
      <c r="T6" s="440" t="s">
        <v>121</v>
      </c>
      <c r="U6" s="452" t="s">
        <v>833</v>
      </c>
      <c r="V6" s="125">
        <v>1</v>
      </c>
      <c r="W6" s="125">
        <v>2</v>
      </c>
      <c r="X6" s="125">
        <v>4</v>
      </c>
      <c r="Y6" s="125">
        <v>6</v>
      </c>
      <c r="AA6" s="129" t="s">
        <v>1196</v>
      </c>
      <c r="AB6" s="242">
        <v>0.5</v>
      </c>
      <c r="AC6" s="159"/>
      <c r="AD6" s="129" t="s">
        <v>1</v>
      </c>
      <c r="AE6" s="242">
        <v>0.85</v>
      </c>
      <c r="AG6" s="129" t="s">
        <v>353</v>
      </c>
      <c r="AH6" s="175" t="s">
        <v>335</v>
      </c>
      <c r="AI6" s="242">
        <v>1.1499999999999999</v>
      </c>
      <c r="AK6" s="129" t="s">
        <v>806</v>
      </c>
      <c r="AL6" s="175" t="s">
        <v>335</v>
      </c>
      <c r="AM6" s="242">
        <v>1.1499999999999999</v>
      </c>
      <c r="AO6" s="100" t="s">
        <v>844</v>
      </c>
      <c r="AP6" s="125">
        <v>1</v>
      </c>
      <c r="AS6" s="393" t="s">
        <v>6</v>
      </c>
      <c r="AT6" s="242">
        <v>4</v>
      </c>
      <c r="AU6" s="176" t="s">
        <v>161</v>
      </c>
      <c r="AY6" s="99" t="s">
        <v>957</v>
      </c>
      <c r="AZ6" s="444" t="s">
        <v>1308</v>
      </c>
      <c r="BB6" s="239" t="s">
        <v>121</v>
      </c>
      <c r="BC6" s="450"/>
    </row>
    <row r="7" spans="1:55" ht="28.2" thickBot="1" x14ac:dyDescent="0.3">
      <c r="B7" s="100" t="s">
        <v>957</v>
      </c>
      <c r="C7" s="299" t="s">
        <v>6</v>
      </c>
      <c r="D7" s="242">
        <v>4</v>
      </c>
      <c r="E7" s="125" t="s">
        <v>8</v>
      </c>
      <c r="F7" s="125" t="s">
        <v>6</v>
      </c>
      <c r="G7" s="247" t="s">
        <v>1296</v>
      </c>
      <c r="H7" s="125">
        <v>3</v>
      </c>
      <c r="I7" s="125">
        <v>2.5</v>
      </c>
      <c r="J7" s="125">
        <v>2</v>
      </c>
      <c r="K7" s="125">
        <v>1.5</v>
      </c>
      <c r="L7" s="247">
        <v>1</v>
      </c>
      <c r="M7" s="26"/>
      <c r="N7" s="440" t="s">
        <v>2</v>
      </c>
      <c r="O7" s="334">
        <v>1</v>
      </c>
      <c r="T7" s="440" t="s">
        <v>1</v>
      </c>
      <c r="U7" s="452" t="s">
        <v>833</v>
      </c>
      <c r="V7" s="125" t="s">
        <v>833</v>
      </c>
      <c r="W7" s="125">
        <v>1</v>
      </c>
      <c r="X7" s="125">
        <v>2</v>
      </c>
      <c r="Y7" s="125">
        <v>4</v>
      </c>
      <c r="AA7" s="129" t="s">
        <v>1505</v>
      </c>
      <c r="AB7" s="242">
        <v>1</v>
      </c>
      <c r="AC7" s="159"/>
      <c r="AD7" s="129" t="s">
        <v>1196</v>
      </c>
      <c r="AE7" s="242">
        <v>0.75</v>
      </c>
      <c r="AG7" s="129" t="s">
        <v>354</v>
      </c>
      <c r="AH7" s="175" t="s">
        <v>335</v>
      </c>
      <c r="AI7" s="242">
        <v>1.1499999999999999</v>
      </c>
      <c r="AK7" s="129" t="s">
        <v>807</v>
      </c>
      <c r="AL7" s="175" t="s">
        <v>335</v>
      </c>
      <c r="AM7" s="242">
        <v>1.1499999999999999</v>
      </c>
      <c r="AO7" s="453"/>
      <c r="AP7" s="453"/>
      <c r="AS7" s="385" t="s">
        <v>8</v>
      </c>
      <c r="AT7" s="251">
        <v>2</v>
      </c>
      <c r="AU7" s="249" t="s">
        <v>1198</v>
      </c>
      <c r="AY7" s="101" t="s">
        <v>1197</v>
      </c>
      <c r="AZ7" s="444" t="s">
        <v>1309</v>
      </c>
      <c r="BB7" s="248" t="s">
        <v>2</v>
      </c>
      <c r="BC7" s="454"/>
    </row>
    <row r="8" spans="1:55" ht="27.6" x14ac:dyDescent="0.25">
      <c r="B8" s="135" t="s">
        <v>1197</v>
      </c>
      <c r="C8" s="299" t="s">
        <v>8</v>
      </c>
      <c r="D8" s="242">
        <v>2</v>
      </c>
      <c r="E8" s="125" t="s">
        <v>8</v>
      </c>
      <c r="F8" s="125" t="s">
        <v>6</v>
      </c>
      <c r="G8" s="247" t="s">
        <v>1296</v>
      </c>
      <c r="H8" s="125" t="s">
        <v>832</v>
      </c>
      <c r="I8" s="125" t="s">
        <v>832</v>
      </c>
      <c r="J8" s="125" t="s">
        <v>832</v>
      </c>
      <c r="K8" s="125" t="s">
        <v>832</v>
      </c>
      <c r="L8" s="247">
        <v>1</v>
      </c>
      <c r="M8" s="26"/>
      <c r="T8" s="440" t="s">
        <v>128</v>
      </c>
      <c r="U8" s="452" t="s">
        <v>833</v>
      </c>
      <c r="V8" s="125" t="s">
        <v>833</v>
      </c>
      <c r="W8" s="125" t="s">
        <v>833</v>
      </c>
      <c r="X8" s="125">
        <v>1</v>
      </c>
      <c r="Y8" s="125">
        <v>2</v>
      </c>
      <c r="AC8" s="159"/>
      <c r="AG8" s="129" t="s">
        <v>355</v>
      </c>
      <c r="AH8" s="175" t="s">
        <v>335</v>
      </c>
      <c r="AI8" s="242">
        <v>1.1499999999999999</v>
      </c>
      <c r="AK8" s="129" t="s">
        <v>1458</v>
      </c>
      <c r="AL8" s="175" t="s">
        <v>335</v>
      </c>
      <c r="AM8" s="242">
        <v>1.1499999999999999</v>
      </c>
    </row>
    <row r="9" spans="1:55" ht="27.6" x14ac:dyDescent="0.25">
      <c r="T9" s="440" t="s">
        <v>0</v>
      </c>
      <c r="U9" s="452" t="s">
        <v>833</v>
      </c>
      <c r="V9" s="125" t="s">
        <v>833</v>
      </c>
      <c r="W9" s="125" t="s">
        <v>833</v>
      </c>
      <c r="X9" s="125" t="s">
        <v>833</v>
      </c>
      <c r="Y9" s="125">
        <v>1</v>
      </c>
      <c r="AG9" s="129" t="s">
        <v>356</v>
      </c>
      <c r="AH9" s="175" t="s">
        <v>335</v>
      </c>
      <c r="AI9" s="242">
        <v>1.1499999999999999</v>
      </c>
      <c r="AK9" s="129" t="s">
        <v>808</v>
      </c>
      <c r="AL9" s="175" t="s">
        <v>335</v>
      </c>
      <c r="AM9" s="242">
        <v>1.1499999999999999</v>
      </c>
    </row>
    <row r="10" spans="1:55" x14ac:dyDescent="0.25">
      <c r="AF10" s="159"/>
    </row>
    <row r="11" spans="1:55" x14ac:dyDescent="0.25">
      <c r="AF11" s="159"/>
    </row>
    <row r="12" spans="1:55" x14ac:dyDescent="0.25">
      <c r="AF12" s="159"/>
    </row>
    <row r="13" spans="1:55" x14ac:dyDescent="0.25">
      <c r="AF13" s="159"/>
      <c r="AG13" s="159"/>
      <c r="AH13" s="159"/>
    </row>
    <row r="14" spans="1:55" x14ac:dyDescent="0.25">
      <c r="AF14" s="159"/>
    </row>
    <row r="15" spans="1:55" x14ac:dyDescent="0.25"/>
    <row r="16" spans="1:5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sheetProtection algorithmName="SHA-512" hashValue="a91v7qLxN/f4Nn/F6PvND3ShzdH98NSbKAs+PgB0oKTnME9DWoIIA7KJF/U8ag6elV+wJZjr1ncNECPDMT/QYg==" saltValue="7O0YL0G8T2djrQbSxKJ1nw==" spinCount="100000" sheet="1" objects="1" scenarios="1"/>
  <customSheetViews>
    <customSheetView guid="{8BDA793C-C9C5-4FC6-A0A5-F1109F6D4F22}" state="hidden">
      <selection activeCell="D14" sqref="D14"/>
    </customSheetView>
  </customSheetViews>
  <mergeCells count="14">
    <mergeCell ref="AO2:AP2"/>
    <mergeCell ref="AS2:AU2"/>
    <mergeCell ref="U3:Y3"/>
    <mergeCell ref="T2:Y2"/>
    <mergeCell ref="AA2:AB2"/>
    <mergeCell ref="AD2:AE2"/>
    <mergeCell ref="AG2:AI2"/>
    <mergeCell ref="AK2:AM2"/>
    <mergeCell ref="Q2:R2"/>
    <mergeCell ref="A1:B2"/>
    <mergeCell ref="C2:D2"/>
    <mergeCell ref="E2:G2"/>
    <mergeCell ref="H2:L2"/>
    <mergeCell ref="N2:O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>
    <tabColor rgb="FFFFC000"/>
  </sheetPr>
  <dimension ref="A1:Q147"/>
  <sheetViews>
    <sheetView showGridLines="0" showRowColHeaders="0" zoomScaleNormal="100" workbookViewId="0">
      <pane xSplit="1" ySplit="3" topLeftCell="B4" activePane="bottomRight" state="frozen"/>
      <selection activeCell="B18" sqref="B18:I19"/>
      <selection pane="topRight" activeCell="B18" sqref="B18:I19"/>
      <selection pane="bottomLeft" activeCell="B18" sqref="B18:I19"/>
      <selection pane="bottomRight" activeCell="B18" sqref="B18:I19"/>
    </sheetView>
  </sheetViews>
  <sheetFormatPr defaultColWidth="0" defaultRowHeight="0" customHeight="1" zeroHeight="1" x14ac:dyDescent="0.25"/>
  <cols>
    <col min="1" max="1" width="88.88671875" style="35" bestFit="1" customWidth="1"/>
    <col min="2" max="2" width="12.6640625" style="35" bestFit="1" customWidth="1"/>
    <col min="3" max="3" width="17.109375" style="35" bestFit="1" customWidth="1"/>
    <col min="4" max="4" width="15.33203125" style="35" bestFit="1" customWidth="1"/>
    <col min="5" max="5" width="16.33203125" style="35" bestFit="1" customWidth="1"/>
    <col min="6" max="6" width="12.6640625" style="35" bestFit="1" customWidth="1"/>
    <col min="7" max="7" width="22" style="35" bestFit="1" customWidth="1"/>
    <col min="8" max="8" width="16.6640625" style="35" bestFit="1" customWidth="1"/>
    <col min="9" max="9" width="15.6640625" style="35" hidden="1" customWidth="1"/>
    <col min="10" max="10" width="16.109375" style="35" hidden="1" customWidth="1"/>
    <col min="11" max="11" width="11.33203125" style="35" hidden="1" customWidth="1"/>
    <col min="12" max="12" width="6.5546875" style="35" hidden="1" customWidth="1"/>
    <col min="13" max="13" width="11" style="35" hidden="1" customWidth="1"/>
    <col min="14" max="14" width="0" style="35" hidden="1" customWidth="1"/>
    <col min="15" max="17" width="9.109375" style="35" customWidth="1"/>
    <col min="18" max="16384" width="9.109375" style="35" hidden="1"/>
  </cols>
  <sheetData>
    <row r="1" spans="1:14" ht="28.95" customHeight="1" x14ac:dyDescent="0.5">
      <c r="A1" s="1124"/>
      <c r="B1" s="420"/>
      <c r="C1" s="420"/>
      <c r="D1" s="420"/>
      <c r="E1" s="420"/>
      <c r="F1" s="420"/>
      <c r="G1" s="420"/>
      <c r="H1" s="458"/>
    </row>
    <row r="2" spans="1:14" ht="29.4" customHeight="1" x14ac:dyDescent="0.5">
      <c r="A2" s="1125"/>
      <c r="B2" s="1122" t="s">
        <v>332</v>
      </c>
      <c r="C2" s="1122"/>
      <c r="D2" s="1122"/>
      <c r="E2" s="1122"/>
      <c r="F2" s="1122"/>
      <c r="G2" s="1122"/>
      <c r="H2" s="1123"/>
    </row>
    <row r="3" spans="1:14" ht="22.8" x14ac:dyDescent="0.4">
      <c r="A3" s="422" t="s">
        <v>1039</v>
      </c>
      <c r="B3" s="129" t="s">
        <v>0</v>
      </c>
      <c r="C3" s="129" t="s">
        <v>128</v>
      </c>
      <c r="D3" s="129" t="s">
        <v>1</v>
      </c>
      <c r="E3" s="129" t="s">
        <v>121</v>
      </c>
      <c r="F3" s="155" t="s">
        <v>2</v>
      </c>
      <c r="G3" s="155" t="s">
        <v>118</v>
      </c>
      <c r="H3" s="129" t="s">
        <v>119</v>
      </c>
      <c r="I3" s="35" t="s">
        <v>1298</v>
      </c>
      <c r="J3" s="1126" t="s">
        <v>1299</v>
      </c>
      <c r="K3" s="1127"/>
      <c r="L3" s="1127"/>
      <c r="M3" s="1128"/>
    </row>
    <row r="4" spans="1:14" ht="13.8" x14ac:dyDescent="0.25">
      <c r="A4" s="100" t="str">
        <f>'G-1 All Habitats'!B3</f>
        <v>Cropland - Arable field margins cultivated annually</v>
      </c>
      <c r="B4" s="242" t="s">
        <v>832</v>
      </c>
      <c r="C4" s="242" t="s">
        <v>832</v>
      </c>
      <c r="D4" s="242" t="s">
        <v>832</v>
      </c>
      <c r="E4" s="242" t="s">
        <v>832</v>
      </c>
      <c r="F4" s="242" t="s">
        <v>832</v>
      </c>
      <c r="G4" s="242">
        <v>1</v>
      </c>
      <c r="H4" s="242" t="s">
        <v>832</v>
      </c>
      <c r="I4" s="35" t="str">
        <f>IF(G4=1,"Cond1",IF(H4=0,"Cond2",IF(AND(B4=3,C4=2.5,D4=2,E4=1.5,F4=1),"Cond4",IF(F4=1,"Cond3","Check"))))</f>
        <v>Cond1</v>
      </c>
      <c r="J4" s="457" t="s">
        <v>1300</v>
      </c>
      <c r="K4" s="457" t="s">
        <v>1301</v>
      </c>
      <c r="L4" s="457" t="s">
        <v>1302</v>
      </c>
      <c r="M4" s="457" t="s">
        <v>1303</v>
      </c>
      <c r="N4" s="35" t="s">
        <v>1506</v>
      </c>
    </row>
    <row r="5" spans="1:14" ht="13.8" x14ac:dyDescent="0.25">
      <c r="A5" s="100" t="str">
        <f>'G-1 All Habitats'!B4</f>
        <v>Cropland - Arable field margins game bird mix</v>
      </c>
      <c r="B5" s="242" t="s">
        <v>832</v>
      </c>
      <c r="C5" s="242" t="s">
        <v>832</v>
      </c>
      <c r="D5" s="242" t="s">
        <v>832</v>
      </c>
      <c r="E5" s="242" t="s">
        <v>832</v>
      </c>
      <c r="F5" s="242" t="s">
        <v>832</v>
      </c>
      <c r="G5" s="242">
        <v>1</v>
      </c>
      <c r="H5" s="242" t="s">
        <v>832</v>
      </c>
      <c r="I5" s="35" t="str">
        <f t="shared" ref="I5:I68" si="0">IF(G5=1,"Cond1",IF(H5=0,"Cond2",IF(AND(B5=3,C5=2.5,D5=2,E5=1.5,F5=1),"Cond4",IF(F5=1,"Cond3","Check"))))</f>
        <v>Cond1</v>
      </c>
      <c r="J5" s="301" t="s">
        <v>118</v>
      </c>
      <c r="K5" s="301" t="s">
        <v>119</v>
      </c>
      <c r="L5" s="414" t="s">
        <v>2</v>
      </c>
      <c r="M5" s="301" t="s">
        <v>0</v>
      </c>
      <c r="N5" s="35" t="s">
        <v>0</v>
      </c>
    </row>
    <row r="6" spans="1:14" ht="13.8" x14ac:dyDescent="0.25">
      <c r="A6" s="100" t="str">
        <f>'G-1 All Habitats'!B5</f>
        <v>Cropland - Arable field margins pollen &amp; nectar</v>
      </c>
      <c r="B6" s="242" t="s">
        <v>832</v>
      </c>
      <c r="C6" s="242" t="s">
        <v>832</v>
      </c>
      <c r="D6" s="242" t="s">
        <v>832</v>
      </c>
      <c r="E6" s="242" t="s">
        <v>832</v>
      </c>
      <c r="F6" s="242" t="s">
        <v>832</v>
      </c>
      <c r="G6" s="242">
        <v>1</v>
      </c>
      <c r="H6" s="242" t="s">
        <v>832</v>
      </c>
      <c r="I6" s="35" t="str">
        <f t="shared" si="0"/>
        <v>Cond1</v>
      </c>
      <c r="M6" s="301" t="s">
        <v>128</v>
      </c>
    </row>
    <row r="7" spans="1:14" ht="13.8" x14ac:dyDescent="0.25">
      <c r="A7" s="100" t="str">
        <f>'G-1 All Habitats'!B6</f>
        <v>Cropland - Arable field margins tussocky</v>
      </c>
      <c r="B7" s="242" t="s">
        <v>832</v>
      </c>
      <c r="C7" s="242" t="s">
        <v>832</v>
      </c>
      <c r="D7" s="242" t="s">
        <v>832</v>
      </c>
      <c r="E7" s="242" t="s">
        <v>832</v>
      </c>
      <c r="F7" s="242" t="s">
        <v>832</v>
      </c>
      <c r="G7" s="242">
        <v>1</v>
      </c>
      <c r="H7" s="242" t="s">
        <v>832</v>
      </c>
      <c r="I7" s="35" t="str">
        <f t="shared" si="0"/>
        <v>Cond1</v>
      </c>
      <c r="M7" s="301" t="s">
        <v>1</v>
      </c>
    </row>
    <row r="8" spans="1:14" ht="13.8" x14ac:dyDescent="0.25">
      <c r="A8" s="100" t="str">
        <f>'G-1 All Habitats'!B7</f>
        <v>Cropland - Cereal crops</v>
      </c>
      <c r="B8" s="242" t="s">
        <v>832</v>
      </c>
      <c r="C8" s="242" t="s">
        <v>832</v>
      </c>
      <c r="D8" s="242" t="s">
        <v>832</v>
      </c>
      <c r="E8" s="242" t="s">
        <v>832</v>
      </c>
      <c r="F8" s="242" t="s">
        <v>832</v>
      </c>
      <c r="G8" s="242">
        <v>1</v>
      </c>
      <c r="H8" s="242" t="s">
        <v>832</v>
      </c>
      <c r="I8" s="35" t="str">
        <f t="shared" si="0"/>
        <v>Cond1</v>
      </c>
      <c r="M8" s="301" t="s">
        <v>121</v>
      </c>
    </row>
    <row r="9" spans="1:14" ht="13.8" x14ac:dyDescent="0.25">
      <c r="A9" s="100" t="str">
        <f>'G-1 All Habitats'!B8</f>
        <v>Cropland - Cereal crops other</v>
      </c>
      <c r="B9" s="242" t="s">
        <v>832</v>
      </c>
      <c r="C9" s="242" t="s">
        <v>832</v>
      </c>
      <c r="D9" s="242" t="s">
        <v>832</v>
      </c>
      <c r="E9" s="242" t="s">
        <v>832</v>
      </c>
      <c r="F9" s="242" t="s">
        <v>832</v>
      </c>
      <c r="G9" s="242">
        <v>1</v>
      </c>
      <c r="H9" s="242" t="s">
        <v>832</v>
      </c>
      <c r="I9" s="35" t="str">
        <f t="shared" si="0"/>
        <v>Cond1</v>
      </c>
      <c r="M9" s="414" t="s">
        <v>2</v>
      </c>
    </row>
    <row r="10" spans="1:14" ht="13.8" x14ac:dyDescent="0.25">
      <c r="A10" s="100" t="str">
        <f>'G-1 All Habitats'!B9</f>
        <v>Cropland - Cereal crops winter stubble</v>
      </c>
      <c r="B10" s="242" t="s">
        <v>832</v>
      </c>
      <c r="C10" s="242" t="s">
        <v>832</v>
      </c>
      <c r="D10" s="242" t="s">
        <v>832</v>
      </c>
      <c r="E10" s="242" t="s">
        <v>832</v>
      </c>
      <c r="F10" s="242" t="s">
        <v>832</v>
      </c>
      <c r="G10" s="242">
        <v>1</v>
      </c>
      <c r="H10" s="242" t="s">
        <v>832</v>
      </c>
      <c r="I10" s="35" t="str">
        <f t="shared" si="0"/>
        <v>Cond1</v>
      </c>
    </row>
    <row r="11" spans="1:14" ht="13.8" x14ac:dyDescent="0.25">
      <c r="A11" s="100" t="str">
        <f>'G-1 All Habitats'!B10</f>
        <v>Cropland - Horticulture</v>
      </c>
      <c r="B11" s="242" t="s">
        <v>832</v>
      </c>
      <c r="C11" s="242" t="s">
        <v>832</v>
      </c>
      <c r="D11" s="242" t="s">
        <v>832</v>
      </c>
      <c r="E11" s="242" t="s">
        <v>832</v>
      </c>
      <c r="F11" s="242" t="s">
        <v>832</v>
      </c>
      <c r="G11" s="242">
        <v>1</v>
      </c>
      <c r="H11" s="242" t="s">
        <v>832</v>
      </c>
      <c r="I11" s="35" t="str">
        <f t="shared" si="0"/>
        <v>Cond1</v>
      </c>
    </row>
    <row r="12" spans="1:14" ht="13.8" x14ac:dyDescent="0.25">
      <c r="A12" s="100" t="str">
        <f>'G-1 All Habitats'!B11</f>
        <v>Cropland - Intensive orchards</v>
      </c>
      <c r="B12" s="242" t="s">
        <v>832</v>
      </c>
      <c r="C12" s="242" t="s">
        <v>832</v>
      </c>
      <c r="D12" s="242" t="s">
        <v>832</v>
      </c>
      <c r="E12" s="242" t="s">
        <v>832</v>
      </c>
      <c r="F12" s="242" t="s">
        <v>832</v>
      </c>
      <c r="G12" s="242">
        <v>1</v>
      </c>
      <c r="H12" s="242" t="s">
        <v>832</v>
      </c>
      <c r="I12" s="35" t="str">
        <f t="shared" si="0"/>
        <v>Cond1</v>
      </c>
    </row>
    <row r="13" spans="1:14" ht="13.8" x14ac:dyDescent="0.25">
      <c r="A13" s="100" t="str">
        <f>'G-1 All Habitats'!B12</f>
        <v>Cropland - Non-cereal crops</v>
      </c>
      <c r="B13" s="242" t="s">
        <v>832</v>
      </c>
      <c r="C13" s="242" t="s">
        <v>832</v>
      </c>
      <c r="D13" s="242" t="s">
        <v>832</v>
      </c>
      <c r="E13" s="242" t="s">
        <v>832</v>
      </c>
      <c r="F13" s="242" t="s">
        <v>832</v>
      </c>
      <c r="G13" s="242">
        <v>1</v>
      </c>
      <c r="H13" s="242" t="s">
        <v>832</v>
      </c>
      <c r="I13" s="35" t="str">
        <f t="shared" si="0"/>
        <v>Cond1</v>
      </c>
    </row>
    <row r="14" spans="1:14" ht="13.8" x14ac:dyDescent="0.25">
      <c r="A14" s="100" t="str">
        <f>'G-1 All Habitats'!B13</f>
        <v>Cropland - Temporary grass and clover leys</v>
      </c>
      <c r="B14" s="242" t="s">
        <v>832</v>
      </c>
      <c r="C14" s="242" t="s">
        <v>832</v>
      </c>
      <c r="D14" s="242" t="s">
        <v>832</v>
      </c>
      <c r="E14" s="242" t="s">
        <v>832</v>
      </c>
      <c r="F14" s="242" t="s">
        <v>832</v>
      </c>
      <c r="G14" s="242">
        <v>1</v>
      </c>
      <c r="H14" s="242" t="s">
        <v>832</v>
      </c>
      <c r="I14" s="35" t="str">
        <f t="shared" si="0"/>
        <v>Cond1</v>
      </c>
    </row>
    <row r="15" spans="1:14" ht="13.8" x14ac:dyDescent="0.25">
      <c r="A15" s="100" t="str">
        <f>'G-1 All Habitats'!B14</f>
        <v>Grassland - Traditional orchards</v>
      </c>
      <c r="B15" s="242">
        <v>3</v>
      </c>
      <c r="C15" s="242">
        <v>2.5</v>
      </c>
      <c r="D15" s="242">
        <v>2</v>
      </c>
      <c r="E15" s="242">
        <v>1.5</v>
      </c>
      <c r="F15" s="242">
        <v>1</v>
      </c>
      <c r="G15" s="242" t="s">
        <v>832</v>
      </c>
      <c r="H15" s="242" t="s">
        <v>832</v>
      </c>
      <c r="I15" s="35" t="str">
        <f t="shared" si="0"/>
        <v>Cond4</v>
      </c>
    </row>
    <row r="16" spans="1:14" ht="13.8" x14ac:dyDescent="0.25">
      <c r="A16" s="100" t="str">
        <f>'G-1 All Habitats'!B15</f>
        <v>Grassland - Bracken</v>
      </c>
      <c r="B16" s="242" t="s">
        <v>832</v>
      </c>
      <c r="C16" s="242" t="s">
        <v>832</v>
      </c>
      <c r="D16" s="242" t="s">
        <v>832</v>
      </c>
      <c r="E16" s="242" t="s">
        <v>832</v>
      </c>
      <c r="F16" s="242">
        <v>1</v>
      </c>
      <c r="G16" s="242" t="s">
        <v>832</v>
      </c>
      <c r="H16" s="242" t="s">
        <v>832</v>
      </c>
      <c r="I16" s="35" t="str">
        <f t="shared" si="0"/>
        <v>Cond3</v>
      </c>
    </row>
    <row r="17" spans="1:9" ht="13.8" x14ac:dyDescent="0.25">
      <c r="A17" s="100" t="str">
        <f>'G-1 All Habitats'!B16</f>
        <v>Grassland - Floodplain Wetland Mosaic (CFGM)</v>
      </c>
      <c r="B17" s="242">
        <v>3</v>
      </c>
      <c r="C17" s="242">
        <v>2.5</v>
      </c>
      <c r="D17" s="242">
        <v>2</v>
      </c>
      <c r="E17" s="242">
        <v>1.5</v>
      </c>
      <c r="F17" s="242">
        <v>1</v>
      </c>
      <c r="G17" s="242" t="s">
        <v>832</v>
      </c>
      <c r="H17" s="242" t="s">
        <v>832</v>
      </c>
      <c r="I17" s="35" t="str">
        <f t="shared" si="0"/>
        <v>Cond4</v>
      </c>
    </row>
    <row r="18" spans="1:9" ht="13.8" x14ac:dyDescent="0.25">
      <c r="A18" s="100" t="str">
        <f>'G-1 All Habitats'!B17</f>
        <v>Grassland - Lowland calcareous grassland</v>
      </c>
      <c r="B18" s="242">
        <v>3</v>
      </c>
      <c r="C18" s="242">
        <v>2.5</v>
      </c>
      <c r="D18" s="242">
        <v>2</v>
      </c>
      <c r="E18" s="242">
        <v>1.5</v>
      </c>
      <c r="F18" s="242">
        <v>1</v>
      </c>
      <c r="G18" s="242" t="s">
        <v>832</v>
      </c>
      <c r="H18" s="242" t="s">
        <v>832</v>
      </c>
      <c r="I18" s="35" t="str">
        <f t="shared" si="0"/>
        <v>Cond4</v>
      </c>
    </row>
    <row r="19" spans="1:9" ht="13.8" x14ac:dyDescent="0.25">
      <c r="A19" s="100" t="str">
        <f>'G-1 All Habitats'!B18</f>
        <v>Grassland - Lowland dry acid grassland</v>
      </c>
      <c r="B19" s="242">
        <v>3</v>
      </c>
      <c r="C19" s="242">
        <v>2.5</v>
      </c>
      <c r="D19" s="242">
        <v>2</v>
      </c>
      <c r="E19" s="242">
        <v>1.5</v>
      </c>
      <c r="F19" s="242">
        <v>1</v>
      </c>
      <c r="G19" s="242" t="s">
        <v>832</v>
      </c>
      <c r="H19" s="242" t="s">
        <v>832</v>
      </c>
      <c r="I19" s="35" t="str">
        <f t="shared" si="0"/>
        <v>Cond4</v>
      </c>
    </row>
    <row r="20" spans="1:9" ht="13.8" x14ac:dyDescent="0.25">
      <c r="A20" s="100" t="str">
        <f>'G-1 All Habitats'!B19</f>
        <v>Grassland - Lowland meadows</v>
      </c>
      <c r="B20" s="242">
        <v>3</v>
      </c>
      <c r="C20" s="242">
        <v>2.5</v>
      </c>
      <c r="D20" s="242">
        <v>2</v>
      </c>
      <c r="E20" s="242">
        <v>1.5</v>
      </c>
      <c r="F20" s="242">
        <v>1</v>
      </c>
      <c r="G20" s="242" t="s">
        <v>832</v>
      </c>
      <c r="H20" s="242" t="s">
        <v>832</v>
      </c>
      <c r="I20" s="35" t="str">
        <f t="shared" si="0"/>
        <v>Cond4</v>
      </c>
    </row>
    <row r="21" spans="1:9" ht="15" customHeight="1" x14ac:dyDescent="0.25">
      <c r="A21" s="100" t="str">
        <f>'G-1 All Habitats'!B20</f>
        <v>Grassland - Modified grassland</v>
      </c>
      <c r="B21" s="242">
        <v>3</v>
      </c>
      <c r="C21" s="242">
        <v>2.5</v>
      </c>
      <c r="D21" s="242">
        <v>2</v>
      </c>
      <c r="E21" s="242">
        <v>1.5</v>
      </c>
      <c r="F21" s="242">
        <v>1</v>
      </c>
      <c r="G21" s="242" t="s">
        <v>832</v>
      </c>
      <c r="H21" s="242" t="s">
        <v>832</v>
      </c>
      <c r="I21" s="35" t="str">
        <f t="shared" si="0"/>
        <v>Cond4</v>
      </c>
    </row>
    <row r="22" spans="1:9" ht="15" customHeight="1" x14ac:dyDescent="0.25">
      <c r="A22" s="100" t="str">
        <f>'G-1 All Habitats'!B21</f>
        <v>Grassland - Other lowland acid grassland</v>
      </c>
      <c r="B22" s="242">
        <v>3</v>
      </c>
      <c r="C22" s="242">
        <v>2.5</v>
      </c>
      <c r="D22" s="242">
        <v>2</v>
      </c>
      <c r="E22" s="242">
        <v>1.5</v>
      </c>
      <c r="F22" s="242">
        <v>1</v>
      </c>
      <c r="G22" s="242" t="s">
        <v>832</v>
      </c>
      <c r="H22" s="242" t="s">
        <v>832</v>
      </c>
      <c r="I22" s="35" t="str">
        <f t="shared" si="0"/>
        <v>Cond4</v>
      </c>
    </row>
    <row r="23" spans="1:9" ht="15" customHeight="1" x14ac:dyDescent="0.25">
      <c r="A23" s="100" t="str">
        <f>'G-1 All Habitats'!B22</f>
        <v>Grassland - Other neutral grassland</v>
      </c>
      <c r="B23" s="242">
        <v>3</v>
      </c>
      <c r="C23" s="242">
        <v>2.5</v>
      </c>
      <c r="D23" s="242">
        <v>2</v>
      </c>
      <c r="E23" s="242">
        <v>1.5</v>
      </c>
      <c r="F23" s="242">
        <v>1</v>
      </c>
      <c r="G23" s="242" t="s">
        <v>832</v>
      </c>
      <c r="H23" s="242" t="s">
        <v>832</v>
      </c>
      <c r="I23" s="35" t="str">
        <f t="shared" si="0"/>
        <v>Cond4</v>
      </c>
    </row>
    <row r="24" spans="1:9" ht="15" customHeight="1" x14ac:dyDescent="0.25">
      <c r="A24" s="100" t="str">
        <f>'G-1 All Habitats'!B23</f>
        <v>Grassland - Tall herb communities</v>
      </c>
      <c r="B24" s="242">
        <v>3</v>
      </c>
      <c r="C24" s="242">
        <v>2.5</v>
      </c>
      <c r="D24" s="242">
        <v>2</v>
      </c>
      <c r="E24" s="242">
        <v>1.5</v>
      </c>
      <c r="F24" s="242">
        <v>1</v>
      </c>
      <c r="G24" s="242" t="s">
        <v>832</v>
      </c>
      <c r="H24" s="242" t="s">
        <v>832</v>
      </c>
      <c r="I24" s="35" t="str">
        <f t="shared" si="0"/>
        <v>Cond4</v>
      </c>
    </row>
    <row r="25" spans="1:9" ht="15" customHeight="1" x14ac:dyDescent="0.25">
      <c r="A25" s="100" t="str">
        <f>'G-1 All Habitats'!B24</f>
        <v>Grassland - Upland acid grassland</v>
      </c>
      <c r="B25" s="242">
        <v>3</v>
      </c>
      <c r="C25" s="242">
        <v>2.5</v>
      </c>
      <c r="D25" s="242">
        <v>2</v>
      </c>
      <c r="E25" s="242">
        <v>1.5</v>
      </c>
      <c r="F25" s="242">
        <v>1</v>
      </c>
      <c r="G25" s="242" t="s">
        <v>832</v>
      </c>
      <c r="H25" s="242" t="s">
        <v>832</v>
      </c>
      <c r="I25" s="35" t="str">
        <f t="shared" si="0"/>
        <v>Cond4</v>
      </c>
    </row>
    <row r="26" spans="1:9" ht="15" customHeight="1" x14ac:dyDescent="0.25">
      <c r="A26" s="100" t="str">
        <f>'G-1 All Habitats'!B25</f>
        <v>Grassland - Upland calcareous grassland</v>
      </c>
      <c r="B26" s="242">
        <v>3</v>
      </c>
      <c r="C26" s="242">
        <v>2.5</v>
      </c>
      <c r="D26" s="242">
        <v>2</v>
      </c>
      <c r="E26" s="242">
        <v>1.5</v>
      </c>
      <c r="F26" s="242">
        <v>1</v>
      </c>
      <c r="G26" s="242" t="s">
        <v>832</v>
      </c>
      <c r="H26" s="242" t="s">
        <v>832</v>
      </c>
      <c r="I26" s="35" t="str">
        <f t="shared" si="0"/>
        <v>Cond4</v>
      </c>
    </row>
    <row r="27" spans="1:9" ht="13.8" x14ac:dyDescent="0.25">
      <c r="A27" s="100" t="str">
        <f>'G-1 All Habitats'!B26</f>
        <v>Grassland - Upland hay meadows</v>
      </c>
      <c r="B27" s="242">
        <v>3</v>
      </c>
      <c r="C27" s="242">
        <v>2.5</v>
      </c>
      <c r="D27" s="242">
        <v>2</v>
      </c>
      <c r="E27" s="242">
        <v>1.5</v>
      </c>
      <c r="F27" s="242">
        <v>1</v>
      </c>
      <c r="G27" s="242" t="s">
        <v>832</v>
      </c>
      <c r="H27" s="242" t="s">
        <v>832</v>
      </c>
      <c r="I27" s="35" t="str">
        <f t="shared" si="0"/>
        <v>Cond4</v>
      </c>
    </row>
    <row r="28" spans="1:9" ht="13.8" x14ac:dyDescent="0.25">
      <c r="A28" s="100" t="str">
        <f>'G-1 All Habitats'!B27</f>
        <v>Heathland and shrub - Blackthorn scrub</v>
      </c>
      <c r="B28" s="242">
        <v>3</v>
      </c>
      <c r="C28" s="242">
        <v>2.5</v>
      </c>
      <c r="D28" s="242">
        <v>2</v>
      </c>
      <c r="E28" s="242">
        <v>1.5</v>
      </c>
      <c r="F28" s="242">
        <v>1</v>
      </c>
      <c r="G28" s="242" t="s">
        <v>832</v>
      </c>
      <c r="H28" s="242" t="s">
        <v>832</v>
      </c>
      <c r="I28" s="35" t="str">
        <f t="shared" si="0"/>
        <v>Cond4</v>
      </c>
    </row>
    <row r="29" spans="1:9" ht="13.8" x14ac:dyDescent="0.25">
      <c r="A29" s="100" t="str">
        <f>'G-1 All Habitats'!B28</f>
        <v>Heathland and shrub - Bramble scrub</v>
      </c>
      <c r="B29" s="242" t="s">
        <v>832</v>
      </c>
      <c r="C29" s="242" t="s">
        <v>832</v>
      </c>
      <c r="D29" s="242" t="s">
        <v>832</v>
      </c>
      <c r="E29" s="242" t="s">
        <v>832</v>
      </c>
      <c r="F29" s="242">
        <v>1</v>
      </c>
      <c r="G29" s="242" t="s">
        <v>832</v>
      </c>
      <c r="H29" s="242" t="s">
        <v>832</v>
      </c>
      <c r="I29" s="35" t="str">
        <f t="shared" si="0"/>
        <v>Cond3</v>
      </c>
    </row>
    <row r="30" spans="1:9" ht="13.8" x14ac:dyDescent="0.25">
      <c r="A30" s="100" t="str">
        <f>'G-1 All Habitats'!B29</f>
        <v>Heathland and shrub - Gorse scrub</v>
      </c>
      <c r="B30" s="242">
        <v>3</v>
      </c>
      <c r="C30" s="242">
        <v>2.5</v>
      </c>
      <c r="D30" s="242">
        <v>2</v>
      </c>
      <c r="E30" s="242">
        <v>1.5</v>
      </c>
      <c r="F30" s="242">
        <v>1</v>
      </c>
      <c r="G30" s="242" t="s">
        <v>832</v>
      </c>
      <c r="H30" s="242" t="s">
        <v>832</v>
      </c>
      <c r="I30" s="35" t="str">
        <f t="shared" si="0"/>
        <v>Cond4</v>
      </c>
    </row>
    <row r="31" spans="1:9" ht="13.8" x14ac:dyDescent="0.25">
      <c r="A31" s="100" t="str">
        <f>'G-1 All Habitats'!B30</f>
        <v>Heathland and shrub - Hawthorn scrub</v>
      </c>
      <c r="B31" s="242">
        <v>3</v>
      </c>
      <c r="C31" s="242">
        <v>2.5</v>
      </c>
      <c r="D31" s="242">
        <v>2</v>
      </c>
      <c r="E31" s="242">
        <v>1.5</v>
      </c>
      <c r="F31" s="242">
        <v>1</v>
      </c>
      <c r="G31" s="242" t="s">
        <v>832</v>
      </c>
      <c r="H31" s="242" t="s">
        <v>832</v>
      </c>
      <c r="I31" s="35" t="str">
        <f t="shared" si="0"/>
        <v>Cond4</v>
      </c>
    </row>
    <row r="32" spans="1:9" ht="13.8" x14ac:dyDescent="0.25">
      <c r="A32" s="100" t="str">
        <f>'G-1 All Habitats'!B31</f>
        <v>Heathland and shrub - Hazel scrub</v>
      </c>
      <c r="B32" s="242">
        <v>3</v>
      </c>
      <c r="C32" s="242">
        <v>2.5</v>
      </c>
      <c r="D32" s="242">
        <v>2</v>
      </c>
      <c r="E32" s="242">
        <v>1.5</v>
      </c>
      <c r="F32" s="242">
        <v>1</v>
      </c>
      <c r="G32" s="242" t="s">
        <v>832</v>
      </c>
      <c r="H32" s="242" t="s">
        <v>832</v>
      </c>
      <c r="I32" s="35" t="str">
        <f t="shared" si="0"/>
        <v>Cond4</v>
      </c>
    </row>
    <row r="33" spans="1:9" ht="13.8" x14ac:dyDescent="0.25">
      <c r="A33" s="100" t="str">
        <f>'G-1 All Habitats'!B32</f>
        <v>Heathland and shrub - Lowland Heathland</v>
      </c>
      <c r="B33" s="242">
        <v>3</v>
      </c>
      <c r="C33" s="242">
        <v>2.5</v>
      </c>
      <c r="D33" s="242">
        <v>2</v>
      </c>
      <c r="E33" s="242">
        <v>1.5</v>
      </c>
      <c r="F33" s="242">
        <v>1</v>
      </c>
      <c r="G33" s="242" t="s">
        <v>832</v>
      </c>
      <c r="H33" s="242" t="s">
        <v>832</v>
      </c>
      <c r="I33" s="35" t="str">
        <f t="shared" si="0"/>
        <v>Cond4</v>
      </c>
    </row>
    <row r="34" spans="1:9" ht="13.8" x14ac:dyDescent="0.25">
      <c r="A34" s="100" t="str">
        <f>'G-1 All Habitats'!B33</f>
        <v>Heathland and shrub - Mixed scrub</v>
      </c>
      <c r="B34" s="242">
        <v>3</v>
      </c>
      <c r="C34" s="242">
        <v>2.5</v>
      </c>
      <c r="D34" s="242">
        <v>2</v>
      </c>
      <c r="E34" s="242">
        <v>1.5</v>
      </c>
      <c r="F34" s="242">
        <v>1</v>
      </c>
      <c r="G34" s="242" t="s">
        <v>832</v>
      </c>
      <c r="H34" s="242" t="s">
        <v>832</v>
      </c>
      <c r="I34" s="35" t="str">
        <f t="shared" si="0"/>
        <v>Cond4</v>
      </c>
    </row>
    <row r="35" spans="1:9" ht="13.8" x14ac:dyDescent="0.25">
      <c r="A35" s="100" t="str">
        <f>'G-1 All Habitats'!B34</f>
        <v>Heathland and shrub - Mountain heaths and willow scrub</v>
      </c>
      <c r="B35" s="242">
        <v>3</v>
      </c>
      <c r="C35" s="242">
        <v>2.5</v>
      </c>
      <c r="D35" s="242">
        <v>2</v>
      </c>
      <c r="E35" s="242">
        <v>1.5</v>
      </c>
      <c r="F35" s="242">
        <v>1</v>
      </c>
      <c r="G35" s="242" t="s">
        <v>832</v>
      </c>
      <c r="H35" s="242" t="s">
        <v>832</v>
      </c>
      <c r="I35" s="35" t="str">
        <f t="shared" si="0"/>
        <v>Cond4</v>
      </c>
    </row>
    <row r="36" spans="1:9" ht="13.8" x14ac:dyDescent="0.25">
      <c r="A36" s="100" t="str">
        <f>'G-1 All Habitats'!B35</f>
        <v>Heathland and shrub - Rhododendron scrub</v>
      </c>
      <c r="B36" s="242" t="s">
        <v>832</v>
      </c>
      <c r="C36" s="242" t="s">
        <v>832</v>
      </c>
      <c r="D36" s="242" t="s">
        <v>832</v>
      </c>
      <c r="E36" s="242" t="s">
        <v>832</v>
      </c>
      <c r="F36" s="242">
        <v>1</v>
      </c>
      <c r="G36" s="242" t="s">
        <v>832</v>
      </c>
      <c r="H36" s="242" t="s">
        <v>832</v>
      </c>
      <c r="I36" s="35" t="str">
        <f t="shared" si="0"/>
        <v>Cond3</v>
      </c>
    </row>
    <row r="37" spans="1:9" ht="13.8" x14ac:dyDescent="0.25">
      <c r="A37" s="100" t="str">
        <f>'G-1 All Habitats'!B36</f>
        <v>Heathland and shrub - Sea buckthorn scrub (Annex 1)</v>
      </c>
      <c r="B37" s="242">
        <v>3</v>
      </c>
      <c r="C37" s="242">
        <v>2.5</v>
      </c>
      <c r="D37" s="242">
        <v>2</v>
      </c>
      <c r="E37" s="242">
        <v>1.5</v>
      </c>
      <c r="F37" s="242">
        <v>1</v>
      </c>
      <c r="G37" s="242" t="s">
        <v>832</v>
      </c>
      <c r="H37" s="242" t="s">
        <v>832</v>
      </c>
      <c r="I37" s="35" t="str">
        <f t="shared" si="0"/>
        <v>Cond4</v>
      </c>
    </row>
    <row r="38" spans="1:9" ht="13.8" x14ac:dyDescent="0.25">
      <c r="A38" s="100" t="str">
        <f>'G-1 All Habitats'!B37</f>
        <v>Heathland and shrub - Sea buckthorn scrub (other)</v>
      </c>
      <c r="B38" s="242" t="s">
        <v>832</v>
      </c>
      <c r="C38" s="242" t="s">
        <v>832</v>
      </c>
      <c r="D38" s="242" t="s">
        <v>832</v>
      </c>
      <c r="E38" s="242" t="s">
        <v>832</v>
      </c>
      <c r="F38" s="242">
        <v>1</v>
      </c>
      <c r="G38" s="242" t="s">
        <v>832</v>
      </c>
      <c r="H38" s="242" t="s">
        <v>832</v>
      </c>
      <c r="I38" s="35" t="str">
        <f t="shared" si="0"/>
        <v>Cond3</v>
      </c>
    </row>
    <row r="39" spans="1:9" ht="13.8" x14ac:dyDescent="0.25">
      <c r="A39" s="100" t="str">
        <f>'G-1 All Habitats'!B38</f>
        <v>Heathland and shrub - Upland Heathland</v>
      </c>
      <c r="B39" s="242">
        <v>3</v>
      </c>
      <c r="C39" s="242">
        <v>2.5</v>
      </c>
      <c r="D39" s="242">
        <v>2</v>
      </c>
      <c r="E39" s="242">
        <v>1.5</v>
      </c>
      <c r="F39" s="242">
        <v>1</v>
      </c>
      <c r="G39" s="242" t="s">
        <v>832</v>
      </c>
      <c r="H39" s="242" t="s">
        <v>832</v>
      </c>
      <c r="I39" s="35" t="str">
        <f t="shared" si="0"/>
        <v>Cond4</v>
      </c>
    </row>
    <row r="40" spans="1:9" ht="13.8" x14ac:dyDescent="0.25">
      <c r="A40" s="100" t="str">
        <f>'G-1 All Habitats'!B39</f>
        <v>Lakes - Aquifer fed naturally fluctuating water bodies</v>
      </c>
      <c r="B40" s="242">
        <v>3</v>
      </c>
      <c r="C40" s="242">
        <v>2.5</v>
      </c>
      <c r="D40" s="242">
        <v>2</v>
      </c>
      <c r="E40" s="242">
        <v>1.5</v>
      </c>
      <c r="F40" s="242">
        <v>1</v>
      </c>
      <c r="G40" s="242" t="s">
        <v>832</v>
      </c>
      <c r="H40" s="242" t="s">
        <v>832</v>
      </c>
      <c r="I40" s="35" t="str">
        <f t="shared" si="0"/>
        <v>Cond4</v>
      </c>
    </row>
    <row r="41" spans="1:9" ht="13.8" x14ac:dyDescent="0.25">
      <c r="A41" s="100" t="str">
        <f>'G-1 All Habitats'!B41</f>
        <v>Lakes - High alkalinity lakes</v>
      </c>
      <c r="B41" s="242">
        <v>3</v>
      </c>
      <c r="C41" s="242">
        <v>2.5</v>
      </c>
      <c r="D41" s="242">
        <v>2</v>
      </c>
      <c r="E41" s="242">
        <v>1.5</v>
      </c>
      <c r="F41" s="242">
        <v>1</v>
      </c>
      <c r="G41" s="242" t="s">
        <v>832</v>
      </c>
      <c r="H41" s="242" t="s">
        <v>832</v>
      </c>
      <c r="I41" s="35" t="str">
        <f t="shared" si="0"/>
        <v>Cond4</v>
      </c>
    </row>
    <row r="42" spans="1:9" ht="13.8" x14ac:dyDescent="0.25">
      <c r="A42" s="100" t="str">
        <f>'G-1 All Habitats'!B42</f>
        <v>Lakes - Low alkalinity lakes</v>
      </c>
      <c r="B42" s="242">
        <v>3</v>
      </c>
      <c r="C42" s="242">
        <v>2.5</v>
      </c>
      <c r="D42" s="242">
        <v>2</v>
      </c>
      <c r="E42" s="242">
        <v>1.5</v>
      </c>
      <c r="F42" s="242">
        <v>1</v>
      </c>
      <c r="G42" s="242" t="s">
        <v>832</v>
      </c>
      <c r="H42" s="242" t="s">
        <v>832</v>
      </c>
      <c r="I42" s="35" t="str">
        <f t="shared" si="0"/>
        <v>Cond4</v>
      </c>
    </row>
    <row r="43" spans="1:9" ht="13.8" x14ac:dyDescent="0.25">
      <c r="A43" s="100" t="str">
        <f>'G-1 All Habitats'!B43</f>
        <v>Lakes - Marl Lakes</v>
      </c>
      <c r="B43" s="242">
        <v>3</v>
      </c>
      <c r="C43" s="242">
        <v>2.5</v>
      </c>
      <c r="D43" s="242">
        <v>2</v>
      </c>
      <c r="E43" s="242">
        <v>1.5</v>
      </c>
      <c r="F43" s="242">
        <v>1</v>
      </c>
      <c r="G43" s="242" t="s">
        <v>832</v>
      </c>
      <c r="H43" s="242" t="s">
        <v>832</v>
      </c>
      <c r="I43" s="35" t="str">
        <f t="shared" si="0"/>
        <v>Cond4</v>
      </c>
    </row>
    <row r="44" spans="1:9" ht="13.8" x14ac:dyDescent="0.25">
      <c r="A44" s="100" t="str">
        <f>'G-1 All Habitats'!B44</f>
        <v>Lakes - Moderate alkalinity lakes</v>
      </c>
      <c r="B44" s="242">
        <v>3</v>
      </c>
      <c r="C44" s="242">
        <v>2.5</v>
      </c>
      <c r="D44" s="242">
        <v>2</v>
      </c>
      <c r="E44" s="242">
        <v>1.5</v>
      </c>
      <c r="F44" s="242">
        <v>1</v>
      </c>
      <c r="G44" s="242" t="s">
        <v>832</v>
      </c>
      <c r="H44" s="242" t="s">
        <v>832</v>
      </c>
      <c r="I44" s="35" t="str">
        <f t="shared" si="0"/>
        <v>Cond4</v>
      </c>
    </row>
    <row r="45" spans="1:9" ht="13.8" x14ac:dyDescent="0.25">
      <c r="A45" s="100" t="str">
        <f>'G-1 All Habitats'!B45</f>
        <v>Lakes - Peat Lakes</v>
      </c>
      <c r="B45" s="242">
        <v>3</v>
      </c>
      <c r="C45" s="242">
        <v>2.5</v>
      </c>
      <c r="D45" s="242">
        <v>2</v>
      </c>
      <c r="E45" s="242">
        <v>1.5</v>
      </c>
      <c r="F45" s="242">
        <v>1</v>
      </c>
      <c r="G45" s="242" t="s">
        <v>832</v>
      </c>
      <c r="H45" s="242" t="s">
        <v>832</v>
      </c>
      <c r="I45" s="35" t="str">
        <f t="shared" si="0"/>
        <v>Cond4</v>
      </c>
    </row>
    <row r="46" spans="1:9" ht="13.8" x14ac:dyDescent="0.25">
      <c r="A46" s="100" t="str">
        <f>'G-1 All Habitats'!B46</f>
        <v>Lakes - Ponds (Priority Habitat)</v>
      </c>
      <c r="B46" s="242">
        <v>3</v>
      </c>
      <c r="C46" s="242">
        <v>2.5</v>
      </c>
      <c r="D46" s="242">
        <v>2</v>
      </c>
      <c r="E46" s="242">
        <v>1.5</v>
      </c>
      <c r="F46" s="242">
        <v>1</v>
      </c>
      <c r="G46" s="242" t="s">
        <v>832</v>
      </c>
      <c r="H46" s="242" t="s">
        <v>832</v>
      </c>
      <c r="I46" s="35" t="str">
        <f t="shared" si="0"/>
        <v>Cond4</v>
      </c>
    </row>
    <row r="47" spans="1:9" ht="13.8" x14ac:dyDescent="0.25">
      <c r="A47" s="100" t="str">
        <f>'G-1 All Habitats'!B47</f>
        <v>Lakes - Ponds (Non- Priority Habitat)</v>
      </c>
      <c r="B47" s="242">
        <v>3</v>
      </c>
      <c r="C47" s="242">
        <v>2.5</v>
      </c>
      <c r="D47" s="242">
        <v>2</v>
      </c>
      <c r="E47" s="242">
        <v>1.5</v>
      </c>
      <c r="F47" s="242">
        <v>1</v>
      </c>
      <c r="G47" s="242" t="s">
        <v>832</v>
      </c>
      <c r="H47" s="242" t="s">
        <v>832</v>
      </c>
      <c r="I47" s="35" t="str">
        <f t="shared" si="0"/>
        <v>Cond4</v>
      </c>
    </row>
    <row r="48" spans="1:9" ht="13.8" x14ac:dyDescent="0.25">
      <c r="A48" s="100" t="str">
        <f>'G-1 All Habitats'!B48</f>
        <v>Lakes - Reservoirs</v>
      </c>
      <c r="B48" s="242">
        <v>3</v>
      </c>
      <c r="C48" s="242">
        <v>2.5</v>
      </c>
      <c r="D48" s="242">
        <v>2</v>
      </c>
      <c r="E48" s="242">
        <v>1.5</v>
      </c>
      <c r="F48" s="242">
        <v>1</v>
      </c>
      <c r="G48" s="242" t="s">
        <v>832</v>
      </c>
      <c r="H48" s="242" t="s">
        <v>832</v>
      </c>
      <c r="I48" s="35" t="str">
        <f t="shared" si="0"/>
        <v>Cond4</v>
      </c>
    </row>
    <row r="49" spans="1:9" ht="13.8" x14ac:dyDescent="0.25">
      <c r="A49" s="100" t="str">
        <f>'G-1 All Habitats'!B49</f>
        <v>Lakes - Temporary lakes, ponds and pools</v>
      </c>
      <c r="B49" s="242">
        <v>3</v>
      </c>
      <c r="C49" s="242">
        <v>2.5</v>
      </c>
      <c r="D49" s="242">
        <v>2</v>
      </c>
      <c r="E49" s="242">
        <v>1.5</v>
      </c>
      <c r="F49" s="242">
        <v>1</v>
      </c>
      <c r="G49" s="242" t="s">
        <v>832</v>
      </c>
      <c r="H49" s="242" t="s">
        <v>832</v>
      </c>
      <c r="I49" s="35" t="str">
        <f t="shared" si="0"/>
        <v>Cond4</v>
      </c>
    </row>
    <row r="50" spans="1:9" ht="13.8" x14ac:dyDescent="0.25">
      <c r="A50" s="100" t="str">
        <f>'G-1 All Habitats'!B50</f>
        <v>Sparsely vegetated land - Calaminarian grasslands</v>
      </c>
      <c r="B50" s="242">
        <v>3</v>
      </c>
      <c r="C50" s="242">
        <v>2.5</v>
      </c>
      <c r="D50" s="242">
        <v>2</v>
      </c>
      <c r="E50" s="242">
        <v>1.5</v>
      </c>
      <c r="F50" s="242">
        <v>1</v>
      </c>
      <c r="G50" s="242" t="s">
        <v>832</v>
      </c>
      <c r="H50" s="242" t="s">
        <v>832</v>
      </c>
      <c r="I50" s="35" t="str">
        <f t="shared" si="0"/>
        <v>Cond4</v>
      </c>
    </row>
    <row r="51" spans="1:9" ht="13.8" x14ac:dyDescent="0.25">
      <c r="A51" s="100" t="str">
        <f>'G-1 All Habitats'!B51</f>
        <v>Sparsely vegetated land - Coastal sand dunes</v>
      </c>
      <c r="B51" s="242">
        <v>3</v>
      </c>
      <c r="C51" s="242">
        <v>2.5</v>
      </c>
      <c r="D51" s="242">
        <v>2</v>
      </c>
      <c r="E51" s="242">
        <v>1.5</v>
      </c>
      <c r="F51" s="242">
        <v>1</v>
      </c>
      <c r="G51" s="242" t="s">
        <v>832</v>
      </c>
      <c r="H51" s="242" t="s">
        <v>832</v>
      </c>
      <c r="I51" s="35" t="str">
        <f t="shared" si="0"/>
        <v>Cond4</v>
      </c>
    </row>
    <row r="52" spans="1:9" ht="13.8" x14ac:dyDescent="0.25">
      <c r="A52" s="100" t="str">
        <f>'G-1 All Habitats'!B52</f>
        <v>Sparsely vegetated land - Coastal vegetated shingle</v>
      </c>
      <c r="B52" s="242">
        <v>3</v>
      </c>
      <c r="C52" s="242">
        <v>2.5</v>
      </c>
      <c r="D52" s="242">
        <v>2</v>
      </c>
      <c r="E52" s="242">
        <v>1.5</v>
      </c>
      <c r="F52" s="242">
        <v>1</v>
      </c>
      <c r="G52" s="242" t="s">
        <v>832</v>
      </c>
      <c r="H52" s="242" t="s">
        <v>832</v>
      </c>
      <c r="I52" s="35" t="str">
        <f t="shared" si="0"/>
        <v>Cond4</v>
      </c>
    </row>
    <row r="53" spans="1:9" ht="13.8" x14ac:dyDescent="0.25">
      <c r="A53" s="100" t="str">
        <f>'G-1 All Habitats'!B53</f>
        <v>Sparsely vegetated land - Ruderal/Ephemeral</v>
      </c>
      <c r="B53" s="242">
        <v>3</v>
      </c>
      <c r="C53" s="242">
        <v>2.5</v>
      </c>
      <c r="D53" s="242">
        <v>2</v>
      </c>
      <c r="E53" s="242">
        <v>1.5</v>
      </c>
      <c r="F53" s="242">
        <v>1</v>
      </c>
      <c r="G53" s="242" t="s">
        <v>832</v>
      </c>
      <c r="H53" s="242" t="s">
        <v>832</v>
      </c>
      <c r="I53" s="35" t="str">
        <f t="shared" si="0"/>
        <v>Cond4</v>
      </c>
    </row>
    <row r="54" spans="1:9" ht="13.8" x14ac:dyDescent="0.25">
      <c r="A54" s="100" t="str">
        <f>'G-1 All Habitats'!B54</f>
        <v>Sparsely vegetated land - Inland rock outcrop and scree habitats</v>
      </c>
      <c r="B54" s="242">
        <v>3</v>
      </c>
      <c r="C54" s="242">
        <v>2.5</v>
      </c>
      <c r="D54" s="242">
        <v>2</v>
      </c>
      <c r="E54" s="242">
        <v>1.5</v>
      </c>
      <c r="F54" s="242">
        <v>1</v>
      </c>
      <c r="G54" s="242" t="s">
        <v>832</v>
      </c>
      <c r="H54" s="242" t="s">
        <v>832</v>
      </c>
      <c r="I54" s="35" t="str">
        <f t="shared" si="0"/>
        <v>Cond4</v>
      </c>
    </row>
    <row r="55" spans="1:9" ht="13.8" x14ac:dyDescent="0.25">
      <c r="A55" s="100" t="str">
        <f>'G-1 All Habitats'!B55</f>
        <v>Sparsely vegetated land - Limestone pavement</v>
      </c>
      <c r="B55" s="242">
        <v>3</v>
      </c>
      <c r="C55" s="242">
        <v>2.5</v>
      </c>
      <c r="D55" s="242">
        <v>2</v>
      </c>
      <c r="E55" s="242">
        <v>1.5</v>
      </c>
      <c r="F55" s="242">
        <v>1</v>
      </c>
      <c r="G55" s="242" t="s">
        <v>832</v>
      </c>
      <c r="H55" s="242" t="s">
        <v>832</v>
      </c>
      <c r="I55" s="35" t="str">
        <f t="shared" si="0"/>
        <v>Cond4</v>
      </c>
    </row>
    <row r="56" spans="1:9" ht="13.8" x14ac:dyDescent="0.25">
      <c r="A56" s="100" t="str">
        <f>'G-1 All Habitats'!B56</f>
        <v>Sparsely vegetated land - Maritime cliff and slopes</v>
      </c>
      <c r="B56" s="242">
        <v>3</v>
      </c>
      <c r="C56" s="242">
        <v>2.5</v>
      </c>
      <c r="D56" s="242">
        <v>2</v>
      </c>
      <c r="E56" s="242">
        <v>1.5</v>
      </c>
      <c r="F56" s="242">
        <v>1</v>
      </c>
      <c r="G56" s="242" t="s">
        <v>832</v>
      </c>
      <c r="H56" s="242" t="s">
        <v>832</v>
      </c>
      <c r="I56" s="35" t="str">
        <f t="shared" si="0"/>
        <v>Cond4</v>
      </c>
    </row>
    <row r="57" spans="1:9" ht="13.8" x14ac:dyDescent="0.25">
      <c r="A57" s="100" t="str">
        <f>'G-1 All Habitats'!B57</f>
        <v>Sparsely vegetated land - Other inland rock and scree</v>
      </c>
      <c r="B57" s="242">
        <v>3</v>
      </c>
      <c r="C57" s="242">
        <v>2.5</v>
      </c>
      <c r="D57" s="242">
        <v>2</v>
      </c>
      <c r="E57" s="242">
        <v>1.5</v>
      </c>
      <c r="F57" s="242">
        <v>1</v>
      </c>
      <c r="G57" s="242" t="s">
        <v>832</v>
      </c>
      <c r="H57" s="242" t="s">
        <v>832</v>
      </c>
      <c r="I57" s="35" t="str">
        <f t="shared" si="0"/>
        <v>Cond4</v>
      </c>
    </row>
    <row r="58" spans="1:9" ht="13.8" x14ac:dyDescent="0.25">
      <c r="A58" s="100" t="str">
        <f>'G-1 All Habitats'!B58</f>
        <v>Urban - Allotments</v>
      </c>
      <c r="B58" s="242">
        <v>3</v>
      </c>
      <c r="C58" s="242">
        <v>2.5</v>
      </c>
      <c r="D58" s="242">
        <v>2</v>
      </c>
      <c r="E58" s="242">
        <v>1.5</v>
      </c>
      <c r="F58" s="242">
        <v>1</v>
      </c>
      <c r="G58" s="242" t="s">
        <v>832</v>
      </c>
      <c r="H58" s="242" t="s">
        <v>832</v>
      </c>
      <c r="I58" s="35" t="str">
        <f t="shared" si="0"/>
        <v>Cond4</v>
      </c>
    </row>
    <row r="59" spans="1:9" ht="13.8" x14ac:dyDescent="0.25">
      <c r="A59" s="100" t="str">
        <f>'G-1 All Habitats'!B40</f>
        <v>Lakes - Ornamental lake or pond</v>
      </c>
      <c r="B59" s="242">
        <v>3</v>
      </c>
      <c r="C59" s="242">
        <v>2.5</v>
      </c>
      <c r="D59" s="242">
        <v>2</v>
      </c>
      <c r="E59" s="242">
        <v>1.5</v>
      </c>
      <c r="F59" s="242">
        <v>1</v>
      </c>
      <c r="G59" s="242" t="s">
        <v>832</v>
      </c>
      <c r="H59" s="242" t="s">
        <v>832</v>
      </c>
      <c r="I59" s="35" t="str">
        <f t="shared" si="0"/>
        <v>Cond4</v>
      </c>
    </row>
    <row r="60" spans="1:9" ht="13.8" x14ac:dyDescent="0.25">
      <c r="A60" s="100" t="str">
        <f>'G-1 All Habitats'!B59</f>
        <v>Urban - Artificial unvegetated, unsealed surface</v>
      </c>
      <c r="B60" s="242" t="s">
        <v>832</v>
      </c>
      <c r="C60" s="242" t="s">
        <v>832</v>
      </c>
      <c r="D60" s="242" t="s">
        <v>832</v>
      </c>
      <c r="E60" s="242" t="s">
        <v>832</v>
      </c>
      <c r="F60" s="242" t="s">
        <v>832</v>
      </c>
      <c r="G60" s="242" t="s">
        <v>832</v>
      </c>
      <c r="H60" s="459">
        <v>0</v>
      </c>
      <c r="I60" s="35" t="str">
        <f t="shared" si="0"/>
        <v>Cond2</v>
      </c>
    </row>
    <row r="61" spans="1:9" ht="13.8" x14ac:dyDescent="0.25">
      <c r="A61" s="100" t="str">
        <f>'G-1 All Habitats'!B60</f>
        <v>Urban - Bioswale</v>
      </c>
      <c r="B61" s="242">
        <v>3</v>
      </c>
      <c r="C61" s="242">
        <v>2.5</v>
      </c>
      <c r="D61" s="242">
        <v>2</v>
      </c>
      <c r="E61" s="242">
        <v>1.5</v>
      </c>
      <c r="F61" s="242">
        <v>1</v>
      </c>
      <c r="G61" s="242" t="s">
        <v>832</v>
      </c>
      <c r="H61" s="242" t="s">
        <v>832</v>
      </c>
      <c r="I61" s="35" t="str">
        <f t="shared" si="0"/>
        <v>Cond4</v>
      </c>
    </row>
    <row r="62" spans="1:9" ht="13.8" x14ac:dyDescent="0.25">
      <c r="A62" s="100" t="str">
        <f>'G-1 All Habitats'!B61</f>
        <v>Urban - Brown roof</v>
      </c>
      <c r="B62" s="242">
        <v>3</v>
      </c>
      <c r="C62" s="242">
        <v>2.5</v>
      </c>
      <c r="D62" s="242">
        <v>2</v>
      </c>
      <c r="E62" s="242">
        <v>1.5</v>
      </c>
      <c r="F62" s="242">
        <v>1</v>
      </c>
      <c r="G62" s="242" t="s">
        <v>832</v>
      </c>
      <c r="H62" s="242" t="s">
        <v>832</v>
      </c>
      <c r="I62" s="35" t="str">
        <f t="shared" si="0"/>
        <v>Cond4</v>
      </c>
    </row>
    <row r="63" spans="1:9" ht="13.8" x14ac:dyDescent="0.25">
      <c r="A63" s="100" t="str">
        <f>'G-1 All Habitats'!B62</f>
        <v>Urban - Built linear features</v>
      </c>
      <c r="B63" s="242" t="s">
        <v>832</v>
      </c>
      <c r="C63" s="242" t="s">
        <v>832</v>
      </c>
      <c r="D63" s="242" t="s">
        <v>832</v>
      </c>
      <c r="E63" s="242" t="s">
        <v>832</v>
      </c>
      <c r="F63" s="242" t="s">
        <v>832</v>
      </c>
      <c r="G63" s="242" t="s">
        <v>832</v>
      </c>
      <c r="H63" s="459">
        <v>0</v>
      </c>
      <c r="I63" s="35" t="str">
        <f t="shared" si="0"/>
        <v>Cond2</v>
      </c>
    </row>
    <row r="64" spans="1:9" ht="13.8" x14ac:dyDescent="0.25">
      <c r="A64" s="100" t="str">
        <f>'G-1 All Habitats'!B63</f>
        <v>Urban - Cemeteries and churchyards</v>
      </c>
      <c r="B64" s="242">
        <v>3</v>
      </c>
      <c r="C64" s="242">
        <v>2.5</v>
      </c>
      <c r="D64" s="242">
        <v>2</v>
      </c>
      <c r="E64" s="242">
        <v>1.5</v>
      </c>
      <c r="F64" s="242">
        <v>1</v>
      </c>
      <c r="G64" s="242" t="s">
        <v>832</v>
      </c>
      <c r="H64" s="242" t="s">
        <v>832</v>
      </c>
      <c r="I64" s="35" t="str">
        <f t="shared" si="0"/>
        <v>Cond4</v>
      </c>
    </row>
    <row r="65" spans="1:9" ht="13.8" x14ac:dyDescent="0.25">
      <c r="A65" s="100" t="str">
        <f>'G-1 All Habitats'!B64</f>
        <v>Urban - Developed land; sealed surface</v>
      </c>
      <c r="B65" s="242" t="s">
        <v>832</v>
      </c>
      <c r="C65" s="242" t="s">
        <v>832</v>
      </c>
      <c r="D65" s="242" t="s">
        <v>832</v>
      </c>
      <c r="E65" s="242" t="s">
        <v>832</v>
      </c>
      <c r="F65" s="242" t="s">
        <v>832</v>
      </c>
      <c r="G65" s="242" t="s">
        <v>832</v>
      </c>
      <c r="H65" s="459">
        <v>0</v>
      </c>
      <c r="I65" s="35" t="str">
        <f t="shared" si="0"/>
        <v>Cond2</v>
      </c>
    </row>
    <row r="66" spans="1:9" ht="13.8" x14ac:dyDescent="0.25">
      <c r="A66" s="100" t="str">
        <f>'G-1 All Habitats'!B65</f>
        <v>Urban - Extensive green roof</v>
      </c>
      <c r="B66" s="242">
        <v>3</v>
      </c>
      <c r="C66" s="242">
        <v>2.5</v>
      </c>
      <c r="D66" s="242">
        <v>2</v>
      </c>
      <c r="E66" s="242">
        <v>1.5</v>
      </c>
      <c r="F66" s="242">
        <v>1</v>
      </c>
      <c r="G66" s="242" t="s">
        <v>832</v>
      </c>
      <c r="H66" s="242" t="s">
        <v>832</v>
      </c>
      <c r="I66" s="35" t="str">
        <f t="shared" si="0"/>
        <v>Cond4</v>
      </c>
    </row>
    <row r="67" spans="1:9" ht="13.8" x14ac:dyDescent="0.25">
      <c r="A67" s="100" t="str">
        <f>'G-1 All Habitats'!B66</f>
        <v>Urban - Facade-bound green wall</v>
      </c>
      <c r="B67" s="242">
        <v>3</v>
      </c>
      <c r="C67" s="242">
        <v>2.5</v>
      </c>
      <c r="D67" s="242">
        <v>2</v>
      </c>
      <c r="E67" s="242">
        <v>1.5</v>
      </c>
      <c r="F67" s="242">
        <v>1</v>
      </c>
      <c r="G67" s="242" t="s">
        <v>832</v>
      </c>
      <c r="H67" s="242" t="s">
        <v>832</v>
      </c>
      <c r="I67" s="35" t="str">
        <f t="shared" si="0"/>
        <v>Cond4</v>
      </c>
    </row>
    <row r="68" spans="1:9" ht="13.8" x14ac:dyDescent="0.25">
      <c r="A68" s="100" t="str">
        <f>'G-1 All Habitats'!B67</f>
        <v>Urban - Ground based green wall</v>
      </c>
      <c r="B68" s="242">
        <v>3</v>
      </c>
      <c r="C68" s="242">
        <v>2.5</v>
      </c>
      <c r="D68" s="242">
        <v>2</v>
      </c>
      <c r="E68" s="242">
        <v>1.5</v>
      </c>
      <c r="F68" s="242">
        <v>1</v>
      </c>
      <c r="G68" s="242" t="s">
        <v>832</v>
      </c>
      <c r="H68" s="242" t="s">
        <v>832</v>
      </c>
      <c r="I68" s="35" t="str">
        <f t="shared" si="0"/>
        <v>Cond4</v>
      </c>
    </row>
    <row r="69" spans="1:9" ht="13.8" x14ac:dyDescent="0.25">
      <c r="A69" s="100" t="str">
        <f>'G-1 All Habitats'!B68</f>
        <v>Urban - Ground level planters</v>
      </c>
      <c r="B69" s="242" t="s">
        <v>832</v>
      </c>
      <c r="C69" s="242" t="s">
        <v>832</v>
      </c>
      <c r="D69" s="242" t="s">
        <v>832</v>
      </c>
      <c r="E69" s="242" t="s">
        <v>832</v>
      </c>
      <c r="F69" s="242">
        <v>1</v>
      </c>
      <c r="G69" s="242" t="s">
        <v>832</v>
      </c>
      <c r="H69" s="242" t="s">
        <v>832</v>
      </c>
      <c r="I69" s="35" t="str">
        <f t="shared" ref="I69:I131" si="1">IF(G69=1,"Cond1",IF(H69=0,"Cond2",IF(AND(B69=3,C69=2.5,D69=2,E69=1.5,F69=1),"Cond4",IF(F69=1,"Cond3","Check"))))</f>
        <v>Cond3</v>
      </c>
    </row>
    <row r="70" spans="1:9" ht="13.8" x14ac:dyDescent="0.25">
      <c r="A70" s="100" t="str">
        <f>'G-1 All Habitats'!B69</f>
        <v>Urban - Intensive green roof</v>
      </c>
      <c r="B70" s="242">
        <v>3</v>
      </c>
      <c r="C70" s="242">
        <v>2.5</v>
      </c>
      <c r="D70" s="242">
        <v>2</v>
      </c>
      <c r="E70" s="242">
        <v>1.5</v>
      </c>
      <c r="F70" s="242">
        <v>1</v>
      </c>
      <c r="G70" s="242" t="s">
        <v>832</v>
      </c>
      <c r="H70" s="242" t="s">
        <v>832</v>
      </c>
      <c r="I70" s="35" t="str">
        <f t="shared" si="1"/>
        <v>Cond4</v>
      </c>
    </row>
    <row r="71" spans="1:9" ht="13.8" x14ac:dyDescent="0.25">
      <c r="A71" s="100" t="str">
        <f>'G-1 All Habitats'!B70</f>
        <v>Urban - Introduced shrub</v>
      </c>
      <c r="B71" s="242" t="s">
        <v>832</v>
      </c>
      <c r="C71" s="242" t="s">
        <v>832</v>
      </c>
      <c r="D71" s="242" t="s">
        <v>832</v>
      </c>
      <c r="E71" s="242" t="s">
        <v>832</v>
      </c>
      <c r="F71" s="242">
        <v>1</v>
      </c>
      <c r="G71" s="242" t="s">
        <v>832</v>
      </c>
      <c r="H71" s="242" t="s">
        <v>832</v>
      </c>
      <c r="I71" s="35" t="str">
        <f t="shared" si="1"/>
        <v>Cond3</v>
      </c>
    </row>
    <row r="72" spans="1:9" ht="13.8" x14ac:dyDescent="0.25">
      <c r="A72" s="100" t="str">
        <f>'G-1 All Habitats'!B71</f>
        <v>Urban - Open Mosaic Habitats on Previously Developed Land</v>
      </c>
      <c r="B72" s="242">
        <v>3</v>
      </c>
      <c r="C72" s="242">
        <v>2.5</v>
      </c>
      <c r="D72" s="242">
        <v>2</v>
      </c>
      <c r="E72" s="242">
        <v>1.5</v>
      </c>
      <c r="F72" s="242">
        <v>1</v>
      </c>
      <c r="G72" s="242" t="s">
        <v>832</v>
      </c>
      <c r="H72" s="242" t="s">
        <v>832</v>
      </c>
      <c r="I72" s="35" t="str">
        <f t="shared" si="1"/>
        <v>Cond4</v>
      </c>
    </row>
    <row r="73" spans="1:9" ht="13.8" x14ac:dyDescent="0.25">
      <c r="A73" s="100" t="str">
        <f>'G-1 All Habitats'!B72</f>
        <v>Urban - Rain garden</v>
      </c>
      <c r="B73" s="242">
        <v>3</v>
      </c>
      <c r="C73" s="242">
        <v>2.5</v>
      </c>
      <c r="D73" s="242">
        <v>2</v>
      </c>
      <c r="E73" s="242">
        <v>1.5</v>
      </c>
      <c r="F73" s="242">
        <v>1</v>
      </c>
      <c r="G73" s="242" t="s">
        <v>832</v>
      </c>
      <c r="H73" s="242" t="s">
        <v>832</v>
      </c>
      <c r="I73" s="35" t="str">
        <f t="shared" si="1"/>
        <v>Cond4</v>
      </c>
    </row>
    <row r="74" spans="1:9" ht="13.8" x14ac:dyDescent="0.25">
      <c r="A74" s="100" t="str">
        <f>'G-1 All Habitats'!B73</f>
        <v>Urban - Sand pit quarry or open cast mine</v>
      </c>
      <c r="B74" s="242" t="s">
        <v>832</v>
      </c>
      <c r="C74" s="242" t="s">
        <v>832</v>
      </c>
      <c r="D74" s="242" t="s">
        <v>832</v>
      </c>
      <c r="E74" s="242" t="s">
        <v>832</v>
      </c>
      <c r="F74" s="242">
        <v>1</v>
      </c>
      <c r="G74" s="242" t="s">
        <v>832</v>
      </c>
      <c r="H74" s="242" t="s">
        <v>832</v>
      </c>
      <c r="I74" s="35" t="str">
        <f>IF(G74=1,"Cond1",IF(H74=0,"Cond2",IF(AND(B74=3,C74=2.5,D74=2,E74=1.5,F74=1),"Cond4",IF(F74=1,"Cond3","Check"))))</f>
        <v>Cond3</v>
      </c>
    </row>
    <row r="75" spans="1:9" ht="13.8" x14ac:dyDescent="0.25">
      <c r="A75" s="100" t="str">
        <f>'G-1 All Habitats'!B74</f>
        <v>Urban - Urban Tree</v>
      </c>
      <c r="B75" s="242">
        <v>3</v>
      </c>
      <c r="C75" s="242">
        <v>2.5</v>
      </c>
      <c r="D75" s="242">
        <v>2</v>
      </c>
      <c r="E75" s="242">
        <v>1.5</v>
      </c>
      <c r="F75" s="242">
        <v>1</v>
      </c>
      <c r="G75" s="242" t="s">
        <v>832</v>
      </c>
      <c r="H75" s="242" t="s">
        <v>832</v>
      </c>
      <c r="I75" s="35" t="str">
        <f t="shared" si="1"/>
        <v>Cond4</v>
      </c>
    </row>
    <row r="76" spans="1:9" ht="13.8" x14ac:dyDescent="0.25">
      <c r="A76" s="100" t="str">
        <f>'G-1 All Habitats'!B75</f>
        <v>Urban - Sustainable urban drainage feature</v>
      </c>
      <c r="B76" s="242">
        <v>3</v>
      </c>
      <c r="C76" s="242">
        <v>2.5</v>
      </c>
      <c r="D76" s="242">
        <v>2</v>
      </c>
      <c r="E76" s="242">
        <v>1.5</v>
      </c>
      <c r="F76" s="242">
        <v>1</v>
      </c>
      <c r="G76" s="242" t="s">
        <v>832</v>
      </c>
      <c r="H76" s="242" t="s">
        <v>832</v>
      </c>
      <c r="I76" s="35" t="str">
        <f t="shared" si="1"/>
        <v>Cond4</v>
      </c>
    </row>
    <row r="77" spans="1:9" ht="13.8" x14ac:dyDescent="0.25">
      <c r="A77" s="100" t="str">
        <f>'G-1 All Habitats'!B76</f>
        <v>Urban - Un-vegetated garden</v>
      </c>
      <c r="B77" s="242" t="s">
        <v>832</v>
      </c>
      <c r="C77" s="242" t="s">
        <v>832</v>
      </c>
      <c r="D77" s="242" t="s">
        <v>832</v>
      </c>
      <c r="E77" s="242" t="s">
        <v>832</v>
      </c>
      <c r="F77" s="242" t="s">
        <v>832</v>
      </c>
      <c r="G77" s="242" t="s">
        <v>832</v>
      </c>
      <c r="H77" s="459">
        <v>0</v>
      </c>
      <c r="I77" s="35" t="str">
        <f t="shared" si="1"/>
        <v>Cond2</v>
      </c>
    </row>
    <row r="78" spans="1:9" ht="13.8" x14ac:dyDescent="0.25">
      <c r="A78" s="100" t="str">
        <f>'G-1 All Habitats'!B77</f>
        <v>Urban - Vacant/derelict land/ bareground</v>
      </c>
      <c r="B78" s="242">
        <v>3</v>
      </c>
      <c r="C78" s="242">
        <v>2.5</v>
      </c>
      <c r="D78" s="242">
        <v>2</v>
      </c>
      <c r="E78" s="242">
        <v>1.5</v>
      </c>
      <c r="F78" s="242">
        <v>1</v>
      </c>
      <c r="G78" s="242" t="s">
        <v>832</v>
      </c>
      <c r="H78" s="242" t="s">
        <v>832</v>
      </c>
      <c r="I78" s="35" t="str">
        <f t="shared" si="1"/>
        <v>Cond4</v>
      </c>
    </row>
    <row r="79" spans="1:9" ht="13.8" x14ac:dyDescent="0.25">
      <c r="A79" s="100" t="str">
        <f>'G-1 All Habitats'!B78</f>
        <v>Urban - Vegetated garden</v>
      </c>
      <c r="B79" s="242" t="s">
        <v>832</v>
      </c>
      <c r="C79" s="242" t="s">
        <v>832</v>
      </c>
      <c r="D79" s="242" t="s">
        <v>832</v>
      </c>
      <c r="E79" s="242" t="s">
        <v>832</v>
      </c>
      <c r="F79" s="242">
        <v>1</v>
      </c>
      <c r="G79" s="242" t="s">
        <v>832</v>
      </c>
      <c r="H79" s="242" t="s">
        <v>832</v>
      </c>
      <c r="I79" s="35" t="str">
        <f t="shared" si="1"/>
        <v>Cond3</v>
      </c>
    </row>
    <row r="80" spans="1:9" ht="13.8" x14ac:dyDescent="0.25">
      <c r="A80" s="100" t="str">
        <f>'G-1 All Habitats'!B79</f>
        <v>Wetland - Blanket bog</v>
      </c>
      <c r="B80" s="242">
        <v>3</v>
      </c>
      <c r="C80" s="242">
        <v>2.5</v>
      </c>
      <c r="D80" s="242">
        <v>2</v>
      </c>
      <c r="E80" s="242">
        <v>1.5</v>
      </c>
      <c r="F80" s="242">
        <v>1</v>
      </c>
      <c r="G80" s="242" t="s">
        <v>832</v>
      </c>
      <c r="H80" s="242" t="s">
        <v>832</v>
      </c>
      <c r="I80" s="35" t="str">
        <f t="shared" si="1"/>
        <v>Cond4</v>
      </c>
    </row>
    <row r="81" spans="1:9" ht="13.8" x14ac:dyDescent="0.25">
      <c r="A81" s="100" t="str">
        <f>'G-1 All Habitats'!B80</f>
        <v>Wetland - Depressions on Peat substrates (H7150)</v>
      </c>
      <c r="B81" s="242">
        <v>3</v>
      </c>
      <c r="C81" s="242">
        <v>2.5</v>
      </c>
      <c r="D81" s="242">
        <v>2</v>
      </c>
      <c r="E81" s="242">
        <v>1.5</v>
      </c>
      <c r="F81" s="242">
        <v>1</v>
      </c>
      <c r="G81" s="242" t="s">
        <v>832</v>
      </c>
      <c r="H81" s="242" t="s">
        <v>832</v>
      </c>
      <c r="I81" s="35" t="str">
        <f t="shared" si="1"/>
        <v>Cond4</v>
      </c>
    </row>
    <row r="82" spans="1:9" ht="13.8" x14ac:dyDescent="0.25">
      <c r="A82" s="100" t="str">
        <f>'G-1 All Habitats'!B81</f>
        <v>Wetland - Fens (upland and lowland)</v>
      </c>
      <c r="B82" s="242">
        <v>3</v>
      </c>
      <c r="C82" s="242">
        <v>2.5</v>
      </c>
      <c r="D82" s="242">
        <v>2</v>
      </c>
      <c r="E82" s="242">
        <v>1.5</v>
      </c>
      <c r="F82" s="242">
        <v>1</v>
      </c>
      <c r="G82" s="242" t="s">
        <v>832</v>
      </c>
      <c r="H82" s="242" t="s">
        <v>832</v>
      </c>
      <c r="I82" s="35" t="str">
        <f t="shared" si="1"/>
        <v>Cond4</v>
      </c>
    </row>
    <row r="83" spans="1:9" ht="13.8" x14ac:dyDescent="0.25">
      <c r="A83" s="100" t="str">
        <f>'G-1 All Habitats'!B82</f>
        <v>Wetland - Lowland raised bog</v>
      </c>
      <c r="B83" s="242">
        <v>3</v>
      </c>
      <c r="C83" s="242">
        <v>2.5</v>
      </c>
      <c r="D83" s="242">
        <v>2</v>
      </c>
      <c r="E83" s="242">
        <v>1.5</v>
      </c>
      <c r="F83" s="242">
        <v>1</v>
      </c>
      <c r="G83" s="242" t="s">
        <v>832</v>
      </c>
      <c r="H83" s="242" t="s">
        <v>832</v>
      </c>
      <c r="I83" s="35" t="str">
        <f t="shared" si="1"/>
        <v>Cond4</v>
      </c>
    </row>
    <row r="84" spans="1:9" ht="13.8" x14ac:dyDescent="0.25">
      <c r="A84" s="100" t="str">
        <f>'G-1 All Habitats'!B83</f>
        <v>Wetland - Oceanic Valley Mire[1] (D2.1)</v>
      </c>
      <c r="B84" s="242">
        <v>3</v>
      </c>
      <c r="C84" s="242">
        <v>2.5</v>
      </c>
      <c r="D84" s="242">
        <v>2</v>
      </c>
      <c r="E84" s="242">
        <v>1.5</v>
      </c>
      <c r="F84" s="242">
        <v>1</v>
      </c>
      <c r="G84" s="242" t="s">
        <v>832</v>
      </c>
      <c r="H84" s="242" t="s">
        <v>832</v>
      </c>
      <c r="I84" s="35" t="str">
        <f t="shared" si="1"/>
        <v>Cond4</v>
      </c>
    </row>
    <row r="85" spans="1:9" ht="13.8" x14ac:dyDescent="0.25">
      <c r="A85" s="100" t="str">
        <f>'G-1 All Habitats'!B84</f>
        <v>Wetland - Purple moor grass and rush pastures</v>
      </c>
      <c r="B85" s="242">
        <v>3</v>
      </c>
      <c r="C85" s="242">
        <v>2.5</v>
      </c>
      <c r="D85" s="242">
        <v>2</v>
      </c>
      <c r="E85" s="242">
        <v>1.5</v>
      </c>
      <c r="F85" s="242">
        <v>1</v>
      </c>
      <c r="G85" s="242" t="s">
        <v>832</v>
      </c>
      <c r="H85" s="242" t="s">
        <v>832</v>
      </c>
      <c r="I85" s="35" t="str">
        <f t="shared" si="1"/>
        <v>Cond4</v>
      </c>
    </row>
    <row r="86" spans="1:9" ht="13.8" x14ac:dyDescent="0.25">
      <c r="A86" s="100" t="str">
        <f>'G-1 All Habitats'!B85</f>
        <v>Wetland - Reedbeds</v>
      </c>
      <c r="B86" s="242">
        <v>3</v>
      </c>
      <c r="C86" s="242">
        <v>2.5</v>
      </c>
      <c r="D86" s="242">
        <v>2</v>
      </c>
      <c r="E86" s="242">
        <v>1.5</v>
      </c>
      <c r="F86" s="242">
        <v>1</v>
      </c>
      <c r="G86" s="242" t="s">
        <v>832</v>
      </c>
      <c r="H86" s="242" t="s">
        <v>832</v>
      </c>
      <c r="I86" s="35" t="str">
        <f t="shared" si="1"/>
        <v>Cond4</v>
      </c>
    </row>
    <row r="87" spans="1:9" ht="13.8" x14ac:dyDescent="0.25">
      <c r="A87" s="100" t="str">
        <f>'G-1 All Habitats'!B86</f>
        <v>Wetland - Transition mires and quaking bogs (H7140)</v>
      </c>
      <c r="B87" s="242">
        <v>3</v>
      </c>
      <c r="C87" s="242">
        <v>2.5</v>
      </c>
      <c r="D87" s="242">
        <v>2</v>
      </c>
      <c r="E87" s="242">
        <v>1.5</v>
      </c>
      <c r="F87" s="242">
        <v>1</v>
      </c>
      <c r="G87" s="242" t="s">
        <v>832</v>
      </c>
      <c r="H87" s="242" t="s">
        <v>832</v>
      </c>
      <c r="I87" s="35" t="str">
        <f t="shared" si="1"/>
        <v>Cond4</v>
      </c>
    </row>
    <row r="88" spans="1:9" ht="13.8" x14ac:dyDescent="0.25">
      <c r="A88" s="100" t="str">
        <f>'G-1 All Habitats'!B87</f>
        <v>Woodland and forest - Felled</v>
      </c>
      <c r="B88" s="242">
        <v>3</v>
      </c>
      <c r="C88" s="242" t="s">
        <v>832</v>
      </c>
      <c r="D88" s="242" t="s">
        <v>832</v>
      </c>
      <c r="E88" s="242" t="s">
        <v>832</v>
      </c>
      <c r="F88" s="242" t="s">
        <v>832</v>
      </c>
      <c r="G88" s="242" t="s">
        <v>832</v>
      </c>
      <c r="H88" s="242" t="s">
        <v>832</v>
      </c>
      <c r="I88" s="35" t="s">
        <v>1506</v>
      </c>
    </row>
    <row r="89" spans="1:9" ht="13.8" x14ac:dyDescent="0.25">
      <c r="A89" s="100" t="str">
        <f>'G-1 All Habitats'!B88</f>
        <v>Woodland and forest - Lowland beech and yew woodland</v>
      </c>
      <c r="B89" s="242">
        <v>3</v>
      </c>
      <c r="C89" s="242">
        <v>2.5</v>
      </c>
      <c r="D89" s="242">
        <v>2</v>
      </c>
      <c r="E89" s="242">
        <v>1.5</v>
      </c>
      <c r="F89" s="242">
        <v>1</v>
      </c>
      <c r="G89" s="242" t="s">
        <v>832</v>
      </c>
      <c r="H89" s="242" t="s">
        <v>832</v>
      </c>
      <c r="I89" s="35" t="str">
        <f t="shared" si="1"/>
        <v>Cond4</v>
      </c>
    </row>
    <row r="90" spans="1:9" ht="13.8" x14ac:dyDescent="0.25">
      <c r="A90" s="100" t="str">
        <f>'G-1 All Habitats'!B89</f>
        <v>Woodland and forest - Lowland mixed deciduous woodland</v>
      </c>
      <c r="B90" s="242">
        <v>3</v>
      </c>
      <c r="C90" s="242">
        <v>2.5</v>
      </c>
      <c r="D90" s="242">
        <v>2</v>
      </c>
      <c r="E90" s="242">
        <v>1.5</v>
      </c>
      <c r="F90" s="242">
        <v>1</v>
      </c>
      <c r="G90" s="242" t="s">
        <v>832</v>
      </c>
      <c r="H90" s="242" t="s">
        <v>832</v>
      </c>
      <c r="I90" s="35" t="str">
        <f t="shared" si="1"/>
        <v>Cond4</v>
      </c>
    </row>
    <row r="91" spans="1:9" ht="13.8" x14ac:dyDescent="0.25">
      <c r="A91" s="100" t="str">
        <f>'G-1 All Habitats'!B90</f>
        <v>Woodland and forest - Native pine woodlands</v>
      </c>
      <c r="B91" s="242">
        <v>3</v>
      </c>
      <c r="C91" s="242">
        <v>2.5</v>
      </c>
      <c r="D91" s="242">
        <v>2</v>
      </c>
      <c r="E91" s="242">
        <v>1.5</v>
      </c>
      <c r="F91" s="242">
        <v>1</v>
      </c>
      <c r="G91" s="242" t="s">
        <v>832</v>
      </c>
      <c r="H91" s="242" t="s">
        <v>832</v>
      </c>
      <c r="I91" s="35" t="str">
        <f t="shared" si="1"/>
        <v>Cond4</v>
      </c>
    </row>
    <row r="92" spans="1:9" ht="13.8" x14ac:dyDescent="0.25">
      <c r="A92" s="100" t="str">
        <f>'G-1 All Habitats'!B91</f>
        <v>Woodland and forest - Other coniferous woodland</v>
      </c>
      <c r="B92" s="242">
        <v>3</v>
      </c>
      <c r="C92" s="242">
        <v>2.5</v>
      </c>
      <c r="D92" s="242">
        <v>2</v>
      </c>
      <c r="E92" s="242">
        <v>1.5</v>
      </c>
      <c r="F92" s="242">
        <v>1</v>
      </c>
      <c r="G92" s="242" t="s">
        <v>832</v>
      </c>
      <c r="H92" s="242" t="s">
        <v>832</v>
      </c>
      <c r="I92" s="35" t="str">
        <f t="shared" si="1"/>
        <v>Cond4</v>
      </c>
    </row>
    <row r="93" spans="1:9" ht="13.8" x14ac:dyDescent="0.25">
      <c r="A93" s="100" t="str">
        <f>'G-1 All Habitats'!B92</f>
        <v>Woodland and forest - Other Scot's Pine woodland</v>
      </c>
      <c r="B93" s="242">
        <v>3</v>
      </c>
      <c r="C93" s="242">
        <v>2.5</v>
      </c>
      <c r="D93" s="242">
        <v>2</v>
      </c>
      <c r="E93" s="242">
        <v>1.5</v>
      </c>
      <c r="F93" s="242">
        <v>1</v>
      </c>
      <c r="G93" s="242" t="s">
        <v>832</v>
      </c>
      <c r="H93" s="242" t="s">
        <v>832</v>
      </c>
      <c r="I93" s="35" t="str">
        <f t="shared" si="1"/>
        <v>Cond4</v>
      </c>
    </row>
    <row r="94" spans="1:9" ht="13.8" x14ac:dyDescent="0.25">
      <c r="A94" s="100" t="str">
        <f>'G-1 All Habitats'!B93</f>
        <v>Woodland and forest - Other woodland; broadleaved</v>
      </c>
      <c r="B94" s="242">
        <v>3</v>
      </c>
      <c r="C94" s="242">
        <v>2.5</v>
      </c>
      <c r="D94" s="242">
        <v>2</v>
      </c>
      <c r="E94" s="242">
        <v>1.5</v>
      </c>
      <c r="F94" s="242">
        <v>1</v>
      </c>
      <c r="G94" s="242" t="s">
        <v>832</v>
      </c>
      <c r="H94" s="242" t="s">
        <v>832</v>
      </c>
      <c r="I94" s="35" t="str">
        <f t="shared" si="1"/>
        <v>Cond4</v>
      </c>
    </row>
    <row r="95" spans="1:9" ht="13.8" x14ac:dyDescent="0.25">
      <c r="A95" s="100" t="str">
        <f>'G-1 All Habitats'!B94</f>
        <v>Woodland and forest - Other woodland; mixed</v>
      </c>
      <c r="B95" s="242">
        <v>3</v>
      </c>
      <c r="C95" s="242">
        <v>2.5</v>
      </c>
      <c r="D95" s="242">
        <v>2</v>
      </c>
      <c r="E95" s="242">
        <v>1.5</v>
      </c>
      <c r="F95" s="242">
        <v>1</v>
      </c>
      <c r="G95" s="242" t="s">
        <v>832</v>
      </c>
      <c r="H95" s="242" t="s">
        <v>832</v>
      </c>
      <c r="I95" s="35" t="str">
        <f t="shared" si="1"/>
        <v>Cond4</v>
      </c>
    </row>
    <row r="96" spans="1:9" ht="13.8" x14ac:dyDescent="0.25">
      <c r="A96" s="100" t="str">
        <f>'G-1 All Habitats'!B95</f>
        <v>Woodland and forest - Upland birchwoods</v>
      </c>
      <c r="B96" s="242">
        <v>3</v>
      </c>
      <c r="C96" s="242">
        <v>2.5</v>
      </c>
      <c r="D96" s="242">
        <v>2</v>
      </c>
      <c r="E96" s="242">
        <v>1.5</v>
      </c>
      <c r="F96" s="242">
        <v>1</v>
      </c>
      <c r="G96" s="242" t="s">
        <v>832</v>
      </c>
      <c r="H96" s="242" t="s">
        <v>832</v>
      </c>
      <c r="I96" s="35" t="str">
        <f t="shared" si="1"/>
        <v>Cond4</v>
      </c>
    </row>
    <row r="97" spans="1:9" ht="13.8" x14ac:dyDescent="0.25">
      <c r="A97" s="100" t="str">
        <f>'G-1 All Habitats'!B96</f>
        <v>Woodland and forest - Upland mixed ashwoods</v>
      </c>
      <c r="B97" s="242">
        <v>3</v>
      </c>
      <c r="C97" s="242">
        <v>2.5</v>
      </c>
      <c r="D97" s="242">
        <v>2</v>
      </c>
      <c r="E97" s="242">
        <v>1.5</v>
      </c>
      <c r="F97" s="242">
        <v>1</v>
      </c>
      <c r="G97" s="242" t="s">
        <v>832</v>
      </c>
      <c r="H97" s="242" t="s">
        <v>832</v>
      </c>
      <c r="I97" s="35" t="str">
        <f t="shared" si="1"/>
        <v>Cond4</v>
      </c>
    </row>
    <row r="98" spans="1:9" ht="13.8" x14ac:dyDescent="0.25">
      <c r="A98" s="100" t="str">
        <f>'G-1 All Habitats'!B97</f>
        <v>Woodland and forest - Upland oakwood</v>
      </c>
      <c r="B98" s="242">
        <v>3</v>
      </c>
      <c r="C98" s="242">
        <v>2.5</v>
      </c>
      <c r="D98" s="242">
        <v>2</v>
      </c>
      <c r="E98" s="242">
        <v>1.5</v>
      </c>
      <c r="F98" s="242">
        <v>1</v>
      </c>
      <c r="G98" s="242" t="s">
        <v>832</v>
      </c>
      <c r="H98" s="242" t="s">
        <v>832</v>
      </c>
      <c r="I98" s="35" t="str">
        <f t="shared" si="1"/>
        <v>Cond4</v>
      </c>
    </row>
    <row r="99" spans="1:9" ht="13.8" x14ac:dyDescent="0.25">
      <c r="A99" s="100" t="str">
        <f>'G-1 All Habitats'!B98</f>
        <v>Woodland and forest - Wet woodland</v>
      </c>
      <c r="B99" s="242">
        <v>3</v>
      </c>
      <c r="C99" s="242">
        <v>2.5</v>
      </c>
      <c r="D99" s="242">
        <v>2</v>
      </c>
      <c r="E99" s="242">
        <v>1.5</v>
      </c>
      <c r="F99" s="242">
        <v>1</v>
      </c>
      <c r="G99" s="242" t="s">
        <v>832</v>
      </c>
      <c r="H99" s="242" t="s">
        <v>832</v>
      </c>
      <c r="I99" s="35" t="str">
        <f t="shared" si="1"/>
        <v>Cond4</v>
      </c>
    </row>
    <row r="100" spans="1:9" ht="13.8" x14ac:dyDescent="0.25">
      <c r="A100" s="100" t="str">
        <f>'G-1 All Habitats'!B99</f>
        <v>Woodland and forest - Wood-pasture and parkland</v>
      </c>
      <c r="B100" s="242">
        <v>3</v>
      </c>
      <c r="C100" s="242">
        <v>2.5</v>
      </c>
      <c r="D100" s="242">
        <v>2</v>
      </c>
      <c r="E100" s="242">
        <v>1.5</v>
      </c>
      <c r="F100" s="242">
        <v>1</v>
      </c>
      <c r="G100" s="242" t="s">
        <v>832</v>
      </c>
      <c r="H100" s="242" t="s">
        <v>832</v>
      </c>
      <c r="I100" s="35" t="str">
        <f t="shared" si="1"/>
        <v>Cond4</v>
      </c>
    </row>
    <row r="101" spans="1:9" ht="13.8" x14ac:dyDescent="0.25">
      <c r="A101" s="100" t="str">
        <f>'G-1 All Habitats'!B100</f>
        <v>Coastal lagoons - Coastal lagoons</v>
      </c>
      <c r="B101" s="242">
        <v>3</v>
      </c>
      <c r="C101" s="242">
        <v>2.5</v>
      </c>
      <c r="D101" s="242">
        <v>2</v>
      </c>
      <c r="E101" s="242">
        <v>1.5</v>
      </c>
      <c r="F101" s="242">
        <v>1</v>
      </c>
      <c r="G101" s="242" t="s">
        <v>832</v>
      </c>
      <c r="H101" s="242" t="s">
        <v>832</v>
      </c>
      <c r="I101" s="35" t="str">
        <f t="shared" si="1"/>
        <v>Cond4</v>
      </c>
    </row>
    <row r="102" spans="1:9" ht="13.8" x14ac:dyDescent="0.25">
      <c r="A102" s="100" t="str">
        <f>'G-1 All Habitats'!B101</f>
        <v>Rocky shore - High energy littoral rock</v>
      </c>
      <c r="B102" s="242">
        <v>3</v>
      </c>
      <c r="C102" s="242">
        <v>2.5</v>
      </c>
      <c r="D102" s="242">
        <v>2</v>
      </c>
      <c r="E102" s="242">
        <v>1.5</v>
      </c>
      <c r="F102" s="242">
        <v>1</v>
      </c>
      <c r="G102" s="242" t="s">
        <v>832</v>
      </c>
      <c r="H102" s="242" t="s">
        <v>832</v>
      </c>
      <c r="I102" s="35" t="str">
        <f t="shared" si="1"/>
        <v>Cond4</v>
      </c>
    </row>
    <row r="103" spans="1:9" ht="13.8" x14ac:dyDescent="0.25">
      <c r="A103" s="100" t="str">
        <f>'G-1 All Habitats'!B102</f>
        <v>Rocky shore - High energy littoral rock - on peat, clay or chalk</v>
      </c>
      <c r="B103" s="242">
        <v>3</v>
      </c>
      <c r="C103" s="242">
        <v>2.5</v>
      </c>
      <c r="D103" s="242">
        <v>2</v>
      </c>
      <c r="E103" s="242">
        <v>1.5</v>
      </c>
      <c r="F103" s="242">
        <v>1</v>
      </c>
      <c r="G103" s="242" t="s">
        <v>832</v>
      </c>
      <c r="H103" s="242" t="s">
        <v>832</v>
      </c>
      <c r="I103" s="35" t="str">
        <f t="shared" si="1"/>
        <v>Cond4</v>
      </c>
    </row>
    <row r="104" spans="1:9" ht="13.8" x14ac:dyDescent="0.25">
      <c r="A104" s="100" t="str">
        <f>'G-1 All Habitats'!B103</f>
        <v>Rocky shore - Moderate energy littoral rock</v>
      </c>
      <c r="B104" s="242">
        <v>3</v>
      </c>
      <c r="C104" s="242">
        <v>2.5</v>
      </c>
      <c r="D104" s="242">
        <v>2</v>
      </c>
      <c r="E104" s="242">
        <v>1.5</v>
      </c>
      <c r="F104" s="242">
        <v>1</v>
      </c>
      <c r="G104" s="242" t="s">
        <v>832</v>
      </c>
      <c r="H104" s="242" t="s">
        <v>832</v>
      </c>
      <c r="I104" s="35" t="str">
        <f t="shared" si="1"/>
        <v>Cond4</v>
      </c>
    </row>
    <row r="105" spans="1:9" ht="13.8" x14ac:dyDescent="0.25">
      <c r="A105" s="100" t="str">
        <f>'G-1 All Habitats'!B104</f>
        <v>Rocky shore - Moderate energy littoral rock - on peat, clay or chalk</v>
      </c>
      <c r="B105" s="242">
        <v>3</v>
      </c>
      <c r="C105" s="242">
        <v>2.5</v>
      </c>
      <c r="D105" s="242">
        <v>2</v>
      </c>
      <c r="E105" s="242">
        <v>1.5</v>
      </c>
      <c r="F105" s="242">
        <v>1</v>
      </c>
      <c r="G105" s="242" t="s">
        <v>832</v>
      </c>
      <c r="H105" s="242" t="s">
        <v>832</v>
      </c>
      <c r="I105" s="35" t="str">
        <f t="shared" si="1"/>
        <v>Cond4</v>
      </c>
    </row>
    <row r="106" spans="1:9" ht="13.8" x14ac:dyDescent="0.25">
      <c r="A106" s="100" t="str">
        <f>'G-1 All Habitats'!B105</f>
        <v>Rocky shore - Low energy littoral rock</v>
      </c>
      <c r="B106" s="242">
        <v>3</v>
      </c>
      <c r="C106" s="242">
        <v>2.5</v>
      </c>
      <c r="D106" s="242">
        <v>2</v>
      </c>
      <c r="E106" s="242">
        <v>1.5</v>
      </c>
      <c r="F106" s="242">
        <v>1</v>
      </c>
      <c r="G106" s="242" t="s">
        <v>832</v>
      </c>
      <c r="H106" s="242" t="s">
        <v>832</v>
      </c>
      <c r="I106" s="35" t="str">
        <f t="shared" si="1"/>
        <v>Cond4</v>
      </c>
    </row>
    <row r="107" spans="1:9" ht="13.8" x14ac:dyDescent="0.25">
      <c r="A107" s="100" t="str">
        <f>'G-1 All Habitats'!B106</f>
        <v>Rocky shore - Low energy littoral rock - on peat, clay or chalk</v>
      </c>
      <c r="B107" s="242">
        <v>3</v>
      </c>
      <c r="C107" s="242">
        <v>2.5</v>
      </c>
      <c r="D107" s="242">
        <v>2</v>
      </c>
      <c r="E107" s="242">
        <v>1.5</v>
      </c>
      <c r="F107" s="242">
        <v>1</v>
      </c>
      <c r="G107" s="242" t="s">
        <v>832</v>
      </c>
      <c r="H107" s="242" t="s">
        <v>832</v>
      </c>
      <c r="I107" s="35" t="str">
        <f t="shared" si="1"/>
        <v>Cond4</v>
      </c>
    </row>
    <row r="108" spans="1:9" ht="13.8" x14ac:dyDescent="0.25">
      <c r="A108" s="100" t="str">
        <f>'G-1 All Habitats'!B107</f>
        <v>Rocky shore - Features of littoral rock</v>
      </c>
      <c r="B108" s="242">
        <v>3</v>
      </c>
      <c r="C108" s="242">
        <v>2.5</v>
      </c>
      <c r="D108" s="242">
        <v>2</v>
      </c>
      <c r="E108" s="242">
        <v>1.5</v>
      </c>
      <c r="F108" s="242">
        <v>1</v>
      </c>
      <c r="G108" s="242" t="s">
        <v>832</v>
      </c>
      <c r="H108" s="242" t="s">
        <v>832</v>
      </c>
      <c r="I108" s="35" t="str">
        <f t="shared" si="1"/>
        <v>Cond4</v>
      </c>
    </row>
    <row r="109" spans="1:9" ht="13.8" x14ac:dyDescent="0.25">
      <c r="A109" s="100" t="str">
        <f>'G-1 All Habitats'!B108</f>
        <v>Rocky shore - Features of littoral rock - on peat, clay or chalk</v>
      </c>
      <c r="B109" s="242">
        <v>3</v>
      </c>
      <c r="C109" s="242">
        <v>2.5</v>
      </c>
      <c r="D109" s="242">
        <v>2</v>
      </c>
      <c r="E109" s="242">
        <v>1.5</v>
      </c>
      <c r="F109" s="242">
        <v>1</v>
      </c>
      <c r="G109" s="242" t="s">
        <v>832</v>
      </c>
      <c r="H109" s="242" t="s">
        <v>832</v>
      </c>
      <c r="I109" s="35" t="str">
        <f t="shared" si="1"/>
        <v>Cond4</v>
      </c>
    </row>
    <row r="110" spans="1:9" ht="13.8" x14ac:dyDescent="0.25">
      <c r="A110" s="100" t="str">
        <f>'G-1 All Habitats'!B111</f>
        <v>Intertidal sediment - Littoral coarse sediment</v>
      </c>
      <c r="B110" s="242">
        <v>3</v>
      </c>
      <c r="C110" s="242">
        <v>2.5</v>
      </c>
      <c r="D110" s="242">
        <v>2</v>
      </c>
      <c r="E110" s="242">
        <v>1.5</v>
      </c>
      <c r="F110" s="242">
        <v>1</v>
      </c>
      <c r="G110" s="242" t="s">
        <v>832</v>
      </c>
      <c r="H110" s="242" t="s">
        <v>832</v>
      </c>
      <c r="I110" s="35" t="str">
        <f t="shared" si="1"/>
        <v>Cond4</v>
      </c>
    </row>
    <row r="111" spans="1:9" ht="13.8" x14ac:dyDescent="0.25">
      <c r="A111" s="100" t="str">
        <f>'G-1 All Habitats'!B112</f>
        <v>Intertidal sediment - Littoral mud</v>
      </c>
      <c r="B111" s="242">
        <v>3</v>
      </c>
      <c r="C111" s="242">
        <v>2.5</v>
      </c>
      <c r="D111" s="242">
        <v>2</v>
      </c>
      <c r="E111" s="242">
        <v>1.5</v>
      </c>
      <c r="F111" s="242">
        <v>1</v>
      </c>
      <c r="G111" s="242" t="s">
        <v>832</v>
      </c>
      <c r="H111" s="242" t="s">
        <v>832</v>
      </c>
      <c r="I111" s="35" t="str">
        <f t="shared" si="1"/>
        <v>Cond4</v>
      </c>
    </row>
    <row r="112" spans="1:9" ht="13.8" x14ac:dyDescent="0.25">
      <c r="A112" s="100" t="str">
        <f>'G-1 All Habitats'!B113</f>
        <v>Intertidal sediment - Littoral mixed sediments</v>
      </c>
      <c r="B112" s="242">
        <v>3</v>
      </c>
      <c r="C112" s="242">
        <v>2.5</v>
      </c>
      <c r="D112" s="242">
        <v>2</v>
      </c>
      <c r="E112" s="242">
        <v>1.5</v>
      </c>
      <c r="F112" s="242">
        <v>1</v>
      </c>
      <c r="G112" s="242" t="s">
        <v>832</v>
      </c>
      <c r="H112" s="242" t="s">
        <v>832</v>
      </c>
      <c r="I112" s="35" t="str">
        <f t="shared" si="1"/>
        <v>Cond4</v>
      </c>
    </row>
    <row r="113" spans="1:9" ht="13.8" x14ac:dyDescent="0.25">
      <c r="A113" s="100" t="str">
        <f>'G-1 All Habitats'!B109</f>
        <v>Coastal saltmarsh - Saltmarshes and saline reedbeds</v>
      </c>
      <c r="B113" s="242">
        <v>3</v>
      </c>
      <c r="C113" s="242">
        <v>2.5</v>
      </c>
      <c r="D113" s="242">
        <v>2</v>
      </c>
      <c r="E113" s="242">
        <v>1.5</v>
      </c>
      <c r="F113" s="242">
        <v>1</v>
      </c>
      <c r="G113" s="242" t="s">
        <v>832</v>
      </c>
      <c r="H113" s="242" t="s">
        <v>832</v>
      </c>
      <c r="I113" s="35" t="str">
        <f t="shared" si="1"/>
        <v>Cond4</v>
      </c>
    </row>
    <row r="114" spans="1:9" ht="13.8" x14ac:dyDescent="0.25">
      <c r="A114" s="100" t="str">
        <f>'G-1 All Habitats'!B110</f>
        <v>Coastal saltmarsh - Artificial saltmarshes and saline reedbeds</v>
      </c>
      <c r="B114" s="242">
        <v>3</v>
      </c>
      <c r="C114" s="242">
        <v>2.5</v>
      </c>
      <c r="D114" s="242">
        <v>2</v>
      </c>
      <c r="E114" s="242">
        <v>1.5</v>
      </c>
      <c r="F114" s="242">
        <v>1</v>
      </c>
      <c r="G114" s="242" t="s">
        <v>832</v>
      </c>
      <c r="H114" s="242" t="s">
        <v>832</v>
      </c>
      <c r="I114" s="35" t="str">
        <f t="shared" si="1"/>
        <v>Cond4</v>
      </c>
    </row>
    <row r="115" spans="1:9" ht="13.8" x14ac:dyDescent="0.25">
      <c r="A115" s="100" t="str">
        <f>'G-1 All Habitats'!B114</f>
        <v>Intertidal sediment - Littoral seagrass</v>
      </c>
      <c r="B115" s="242">
        <v>3</v>
      </c>
      <c r="C115" s="242">
        <v>2.5</v>
      </c>
      <c r="D115" s="242">
        <v>2</v>
      </c>
      <c r="E115" s="242">
        <v>1.5</v>
      </c>
      <c r="F115" s="242">
        <v>1</v>
      </c>
      <c r="G115" s="242" t="s">
        <v>832</v>
      </c>
      <c r="H115" s="242" t="s">
        <v>832</v>
      </c>
      <c r="I115" s="35" t="str">
        <f t="shared" si="1"/>
        <v>Cond4</v>
      </c>
    </row>
    <row r="116" spans="1:9" ht="13.8" x14ac:dyDescent="0.25">
      <c r="A116" s="100" t="str">
        <f>'G-1 All Habitats'!B115</f>
        <v>Intertidal sediment - Littoral seagrass on peat, clay or chalk</v>
      </c>
      <c r="B116" s="242">
        <v>3</v>
      </c>
      <c r="C116" s="242">
        <v>2.5</v>
      </c>
      <c r="D116" s="242">
        <v>2</v>
      </c>
      <c r="E116" s="242">
        <v>1.5</v>
      </c>
      <c r="F116" s="242">
        <v>1</v>
      </c>
      <c r="G116" s="242" t="s">
        <v>832</v>
      </c>
      <c r="H116" s="242" t="s">
        <v>832</v>
      </c>
      <c r="I116" s="35" t="str">
        <f t="shared" si="1"/>
        <v>Cond4</v>
      </c>
    </row>
    <row r="117" spans="1:9" ht="13.8" x14ac:dyDescent="0.25">
      <c r="A117" s="100" t="str">
        <f>'G-1 All Habitats'!B116</f>
        <v>Intertidal sediment - Littoral biogenic reefs - Mussels</v>
      </c>
      <c r="B117" s="242">
        <v>3</v>
      </c>
      <c r="C117" s="242">
        <v>2.5</v>
      </c>
      <c r="D117" s="242">
        <v>2</v>
      </c>
      <c r="E117" s="242">
        <v>1.5</v>
      </c>
      <c r="F117" s="242">
        <v>1</v>
      </c>
      <c r="G117" s="242" t="s">
        <v>832</v>
      </c>
      <c r="H117" s="242" t="s">
        <v>832</v>
      </c>
      <c r="I117" s="35" t="str">
        <f t="shared" si="1"/>
        <v>Cond4</v>
      </c>
    </row>
    <row r="118" spans="1:9" ht="13.8" x14ac:dyDescent="0.25">
      <c r="A118" s="100" t="str">
        <f>'G-1 All Habitats'!B117</f>
        <v>Intertidal sediment - Littoral biogenic reefs - Sabellaria</v>
      </c>
      <c r="B118" s="242">
        <v>3</v>
      </c>
      <c r="C118" s="242">
        <v>2.5</v>
      </c>
      <c r="D118" s="242">
        <v>2</v>
      </c>
      <c r="E118" s="242">
        <v>1.5</v>
      </c>
      <c r="F118" s="242">
        <v>1</v>
      </c>
      <c r="G118" s="242" t="s">
        <v>832</v>
      </c>
      <c r="H118" s="242" t="s">
        <v>832</v>
      </c>
      <c r="I118" s="35" t="str">
        <f t="shared" si="1"/>
        <v>Cond4</v>
      </c>
    </row>
    <row r="119" spans="1:9" ht="13.8" x14ac:dyDescent="0.25">
      <c r="A119" s="100" t="str">
        <f>'G-1 All Habitats'!B118</f>
        <v>Intertidal sediment - Features of littoral sediment</v>
      </c>
      <c r="B119" s="242">
        <v>3</v>
      </c>
      <c r="C119" s="242">
        <v>2.5</v>
      </c>
      <c r="D119" s="242">
        <v>2</v>
      </c>
      <c r="E119" s="242">
        <v>1.5</v>
      </c>
      <c r="F119" s="242">
        <v>1</v>
      </c>
      <c r="G119" s="242" t="s">
        <v>832</v>
      </c>
      <c r="H119" s="242" t="s">
        <v>832</v>
      </c>
      <c r="I119" s="35" t="str">
        <f t="shared" si="1"/>
        <v>Cond4</v>
      </c>
    </row>
    <row r="120" spans="1:9" ht="13.8" x14ac:dyDescent="0.25">
      <c r="A120" s="100" t="str">
        <f>'G-1 All Habitats'!B119</f>
        <v>Intertidal sediment - Artificial littoral coarse sediment</v>
      </c>
      <c r="B120" s="242">
        <v>3</v>
      </c>
      <c r="C120" s="242">
        <v>2.5</v>
      </c>
      <c r="D120" s="242">
        <v>2</v>
      </c>
      <c r="E120" s="242">
        <v>1.5</v>
      </c>
      <c r="F120" s="242">
        <v>1</v>
      </c>
      <c r="G120" s="242" t="s">
        <v>832</v>
      </c>
      <c r="H120" s="242" t="s">
        <v>832</v>
      </c>
      <c r="I120" s="35" t="str">
        <f t="shared" si="1"/>
        <v>Cond4</v>
      </c>
    </row>
    <row r="121" spans="1:9" ht="13.8" x14ac:dyDescent="0.25">
      <c r="A121" s="100" t="str">
        <f>'G-1 All Habitats'!B120</f>
        <v>Intertidal sediment - Artificial littoral mud</v>
      </c>
      <c r="B121" s="242">
        <v>3</v>
      </c>
      <c r="C121" s="242">
        <v>2.5</v>
      </c>
      <c r="D121" s="242">
        <v>2</v>
      </c>
      <c r="E121" s="242">
        <v>1.5</v>
      </c>
      <c r="F121" s="242">
        <v>1</v>
      </c>
      <c r="G121" s="242" t="s">
        <v>832</v>
      </c>
      <c r="H121" s="242" t="s">
        <v>832</v>
      </c>
      <c r="I121" s="35" t="str">
        <f t="shared" si="1"/>
        <v>Cond4</v>
      </c>
    </row>
    <row r="122" spans="1:9" ht="13.8" x14ac:dyDescent="0.25">
      <c r="A122" s="100" t="str">
        <f>'G-1 All Habitats'!B121</f>
        <v>Intertidal sediment - Artificial littoral sand</v>
      </c>
      <c r="B122" s="242">
        <v>3</v>
      </c>
      <c r="C122" s="242">
        <v>2.5</v>
      </c>
      <c r="D122" s="242">
        <v>2</v>
      </c>
      <c r="E122" s="242">
        <v>1.5</v>
      </c>
      <c r="F122" s="242">
        <v>1</v>
      </c>
      <c r="G122" s="242" t="s">
        <v>832</v>
      </c>
      <c r="H122" s="242" t="s">
        <v>832</v>
      </c>
      <c r="I122" s="35" t="str">
        <f t="shared" si="1"/>
        <v>Cond4</v>
      </c>
    </row>
    <row r="123" spans="1:9" ht="13.8" x14ac:dyDescent="0.25">
      <c r="A123" s="100" t="str">
        <f>'G-1 All Habitats'!B122</f>
        <v>Intertidal sediment - Artificial littoral muddy sand</v>
      </c>
      <c r="B123" s="242">
        <v>3</v>
      </c>
      <c r="C123" s="242">
        <v>2.5</v>
      </c>
      <c r="D123" s="242">
        <v>2</v>
      </c>
      <c r="E123" s="242">
        <v>1.5</v>
      </c>
      <c r="F123" s="242">
        <v>1</v>
      </c>
      <c r="G123" s="242" t="s">
        <v>832</v>
      </c>
      <c r="H123" s="242" t="s">
        <v>832</v>
      </c>
      <c r="I123" s="35" t="str">
        <f t="shared" si="1"/>
        <v>Cond4</v>
      </c>
    </row>
    <row r="124" spans="1:9" ht="13.8" x14ac:dyDescent="0.25">
      <c r="A124" s="100" t="str">
        <f>'G-1 All Habitats'!B123</f>
        <v>Intertidal sediment - Artificial littoral mixed sediments</v>
      </c>
      <c r="B124" s="242">
        <v>3</v>
      </c>
      <c r="C124" s="242">
        <v>2.5</v>
      </c>
      <c r="D124" s="242">
        <v>2</v>
      </c>
      <c r="E124" s="242">
        <v>1.5</v>
      </c>
      <c r="F124" s="242">
        <v>1</v>
      </c>
      <c r="G124" s="242" t="s">
        <v>832</v>
      </c>
      <c r="H124" s="242" t="s">
        <v>832</v>
      </c>
      <c r="I124" s="35" t="str">
        <f t="shared" si="1"/>
        <v>Cond4</v>
      </c>
    </row>
    <row r="125" spans="1:9" ht="13.8" x14ac:dyDescent="0.25">
      <c r="A125" s="100" t="str">
        <f>'G-1 All Habitats'!B124</f>
        <v>Intertidal sediment - Artificial littoral seagrass</v>
      </c>
      <c r="B125" s="242">
        <v>3</v>
      </c>
      <c r="C125" s="242">
        <v>2.5</v>
      </c>
      <c r="D125" s="242">
        <v>2</v>
      </c>
      <c r="E125" s="242">
        <v>1.5</v>
      </c>
      <c r="F125" s="242">
        <v>1</v>
      </c>
      <c r="G125" s="242" t="s">
        <v>832</v>
      </c>
      <c r="H125" s="242" t="s">
        <v>832</v>
      </c>
      <c r="I125" s="35" t="str">
        <f t="shared" si="1"/>
        <v>Cond4</v>
      </c>
    </row>
    <row r="126" spans="1:9" ht="13.8" x14ac:dyDescent="0.25">
      <c r="A126" s="100" t="str">
        <f>'G-1 All Habitats'!B125</f>
        <v>Intertidal sediment - Artificial littoral biogenic reefs</v>
      </c>
      <c r="B126" s="242">
        <v>3</v>
      </c>
      <c r="C126" s="242">
        <v>2.5</v>
      </c>
      <c r="D126" s="242">
        <v>2</v>
      </c>
      <c r="E126" s="242">
        <v>1.5</v>
      </c>
      <c r="F126" s="242">
        <v>1</v>
      </c>
      <c r="G126" s="242" t="s">
        <v>832</v>
      </c>
      <c r="H126" s="242" t="s">
        <v>832</v>
      </c>
      <c r="I126" s="35" t="str">
        <f t="shared" si="1"/>
        <v>Cond4</v>
      </c>
    </row>
    <row r="127" spans="1:9" ht="13.8" x14ac:dyDescent="0.25">
      <c r="A127" s="100" t="str">
        <f>'G-1 All Habitats'!B126</f>
        <v>Intertidal sediment - Littoral sand</v>
      </c>
      <c r="B127" s="242">
        <v>3</v>
      </c>
      <c r="C127" s="242">
        <v>2.5</v>
      </c>
      <c r="D127" s="242">
        <v>2</v>
      </c>
      <c r="E127" s="242">
        <v>1.5</v>
      </c>
      <c r="F127" s="242">
        <v>1</v>
      </c>
      <c r="G127" s="242" t="s">
        <v>832</v>
      </c>
      <c r="H127" s="242" t="s">
        <v>832</v>
      </c>
      <c r="I127" s="35" t="str">
        <f t="shared" si="1"/>
        <v>Cond4</v>
      </c>
    </row>
    <row r="128" spans="1:9" ht="13.8" x14ac:dyDescent="0.25">
      <c r="A128" s="100" t="str">
        <f>'G-1 All Habitats'!B127</f>
        <v>Intertidal sediment - Littoral muddy sand</v>
      </c>
      <c r="B128" s="242">
        <v>3</v>
      </c>
      <c r="C128" s="242">
        <v>2.5</v>
      </c>
      <c r="D128" s="242">
        <v>2</v>
      </c>
      <c r="E128" s="242">
        <v>1.5</v>
      </c>
      <c r="F128" s="242">
        <v>1</v>
      </c>
      <c r="G128" s="242" t="s">
        <v>832</v>
      </c>
      <c r="H128" s="242" t="s">
        <v>832</v>
      </c>
      <c r="I128" s="35" t="str">
        <f t="shared" si="1"/>
        <v>Cond4</v>
      </c>
    </row>
    <row r="129" spans="1:9" ht="13.8" x14ac:dyDescent="0.25">
      <c r="A129" s="100" t="str">
        <f>'G-1 All Habitats'!B128</f>
        <v>Intertidal Hard Structures - Artificial hard structures</v>
      </c>
      <c r="B129" s="242">
        <v>3</v>
      </c>
      <c r="C129" s="242">
        <v>2.5</v>
      </c>
      <c r="D129" s="242">
        <v>2</v>
      </c>
      <c r="E129" s="242">
        <v>1.5</v>
      </c>
      <c r="F129" s="242">
        <v>1</v>
      </c>
      <c r="G129" s="242" t="s">
        <v>832</v>
      </c>
      <c r="H129" s="242" t="s">
        <v>832</v>
      </c>
      <c r="I129" s="35" t="str">
        <f t="shared" si="1"/>
        <v>Cond4</v>
      </c>
    </row>
    <row r="130" spans="1:9" ht="13.8" x14ac:dyDescent="0.25">
      <c r="A130" s="100" t="str">
        <f>'G-1 All Habitats'!B129</f>
        <v>Intertidal Hard Structures - Artificial features of hard structures</v>
      </c>
      <c r="B130" s="242">
        <v>3</v>
      </c>
      <c r="C130" s="242">
        <v>2.5</v>
      </c>
      <c r="D130" s="242">
        <v>2</v>
      </c>
      <c r="E130" s="242">
        <v>1.5</v>
      </c>
      <c r="F130" s="242">
        <v>1</v>
      </c>
      <c r="G130" s="242" t="s">
        <v>832</v>
      </c>
      <c r="H130" s="242" t="s">
        <v>832</v>
      </c>
      <c r="I130" s="35" t="str">
        <f t="shared" si="1"/>
        <v>Cond4</v>
      </c>
    </row>
    <row r="131" spans="1:9" ht="13.8" x14ac:dyDescent="0.25">
      <c r="A131" s="100" t="str">
        <f>'G-1 All Habitats'!B130</f>
        <v>Intertidal Hard Structures - Artificial hard structures with Integrated Greening of Grey Infrastructure (IGGI)</v>
      </c>
      <c r="B131" s="242">
        <v>3</v>
      </c>
      <c r="C131" s="242">
        <v>2.5</v>
      </c>
      <c r="D131" s="242">
        <v>2</v>
      </c>
      <c r="E131" s="242">
        <v>1.5</v>
      </c>
      <c r="F131" s="242">
        <v>1</v>
      </c>
      <c r="G131" s="242" t="s">
        <v>832</v>
      </c>
      <c r="H131" s="242" t="s">
        <v>832</v>
      </c>
      <c r="I131" s="35" t="str">
        <f t="shared" si="1"/>
        <v>Cond4</v>
      </c>
    </row>
    <row r="132" spans="1:9" ht="13.8" x14ac:dyDescent="0.25"/>
    <row r="133" spans="1:9" ht="14.4" customHeight="1" x14ac:dyDescent="0.25"/>
    <row r="134" spans="1:9" ht="14.4" customHeight="1" x14ac:dyDescent="0.25"/>
    <row r="135" spans="1:9" ht="14.4" customHeight="1" x14ac:dyDescent="0.25"/>
    <row r="136" spans="1:9" ht="14.4" customHeight="1" x14ac:dyDescent="0.25"/>
    <row r="137" spans="1:9" ht="14.4" customHeight="1" x14ac:dyDescent="0.25"/>
    <row r="138" spans="1:9" ht="14.4" customHeight="1" x14ac:dyDescent="0.25"/>
    <row r="139" spans="1:9" ht="14.4" customHeight="1" x14ac:dyDescent="0.25"/>
    <row r="140" spans="1:9" ht="14.4" customHeight="1" x14ac:dyDescent="0.25"/>
    <row r="141" spans="1:9" ht="14.4" customHeight="1" x14ac:dyDescent="0.25"/>
    <row r="142" spans="1:9" ht="14.4" customHeight="1" x14ac:dyDescent="0.25"/>
    <row r="143" spans="1:9" ht="14.4" customHeight="1" x14ac:dyDescent="0.25"/>
    <row r="144" spans="1:9" ht="14.4" customHeight="1" x14ac:dyDescent="0.25"/>
    <row r="145" ht="14.4" customHeight="1" x14ac:dyDescent="0.25"/>
    <row r="146" ht="14.4" customHeight="1" x14ac:dyDescent="0.25"/>
    <row r="147" ht="14.4" customHeight="1" x14ac:dyDescent="0.25"/>
  </sheetData>
  <sheetProtection algorithmName="SHA-512" hashValue="3eWYCwyVkoY1yhsjYBAtAplLiFWeq+/Wr3i/r3xWR0VXed1KEAqV2I5AK0Gr1Lf/VSCRLveGNN7RbQumqJv/SQ==" saltValue="4zdSvvrnMcjZRMbRECb57Q==" spinCount="100000" sheet="1" objects="1" scenarios="1"/>
  <autoFilter ref="A3:H79" xr:uid="{00000000-0009-0000-0000-000021000000}"/>
  <customSheetViews>
    <customSheetView guid="{8BDA793C-C9C5-4FC6-A0A5-F1109F6D4F22}" state="hidden">
      <pane xSplit="1" ySplit="3" topLeftCell="B4" activePane="bottomRight" state="frozen"/>
      <selection pane="bottomRight" activeCell="D14" sqref="D14"/>
    </customSheetView>
  </customSheetViews>
  <mergeCells count="3">
    <mergeCell ref="B2:H2"/>
    <mergeCell ref="A1:A2"/>
    <mergeCell ref="J3:M3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9">
    <tabColor rgb="FFFFC000"/>
  </sheetPr>
  <dimension ref="A1:S211"/>
  <sheetViews>
    <sheetView showGridLines="0" showRowColHeaders="0" workbookViewId="0">
      <selection activeCell="B18" sqref="B18:I19"/>
    </sheetView>
  </sheetViews>
  <sheetFormatPr defaultColWidth="0" defaultRowHeight="14.4" zeroHeight="1" x14ac:dyDescent="0.3"/>
  <cols>
    <col min="1" max="1" width="9.109375" style="410" customWidth="1"/>
    <col min="2" max="2" width="44.33203125" style="410" customWidth="1"/>
    <col min="3" max="3" width="54.5546875" style="410" customWidth="1"/>
    <col min="4" max="4" width="22.44140625" style="410" customWidth="1"/>
    <col min="5" max="19" width="9.109375" style="410" customWidth="1"/>
    <col min="20" max="16384" width="9.109375" style="410" hidden="1"/>
  </cols>
  <sheetData>
    <row r="1" spans="2:4" ht="61.2" customHeight="1" x14ac:dyDescent="0.3"/>
    <row r="2" spans="2:4" ht="15.6" x14ac:dyDescent="0.3">
      <c r="B2" s="462" t="s">
        <v>1042</v>
      </c>
      <c r="C2" s="462" t="s">
        <v>1043</v>
      </c>
      <c r="D2" s="462" t="s">
        <v>1044</v>
      </c>
    </row>
    <row r="3" spans="2:4" x14ac:dyDescent="0.3">
      <c r="B3" s="463" t="s">
        <v>373</v>
      </c>
      <c r="C3" s="417" t="s">
        <v>258</v>
      </c>
      <c r="D3" s="417" t="s">
        <v>6</v>
      </c>
    </row>
    <row r="4" spans="2:4" x14ac:dyDescent="0.3">
      <c r="B4" s="463" t="s">
        <v>888</v>
      </c>
      <c r="C4" s="417" t="s">
        <v>257</v>
      </c>
      <c r="D4" s="417" t="s">
        <v>6</v>
      </c>
    </row>
    <row r="5" spans="2:4" x14ac:dyDescent="0.3">
      <c r="B5" s="463" t="s">
        <v>889</v>
      </c>
      <c r="C5" s="417" t="s">
        <v>256</v>
      </c>
      <c r="D5" s="417" t="s">
        <v>5</v>
      </c>
    </row>
    <row r="6" spans="2:4" x14ac:dyDescent="0.3">
      <c r="B6" s="463" t="s">
        <v>890</v>
      </c>
      <c r="C6" s="417" t="s">
        <v>257</v>
      </c>
      <c r="D6" s="417" t="s">
        <v>6</v>
      </c>
    </row>
    <row r="7" spans="2:4" x14ac:dyDescent="0.3">
      <c r="B7" s="463" t="s">
        <v>184</v>
      </c>
      <c r="C7" s="417" t="s">
        <v>245</v>
      </c>
      <c r="D7" s="417" t="s">
        <v>8</v>
      </c>
    </row>
    <row r="8" spans="2:4" x14ac:dyDescent="0.3">
      <c r="B8" s="463" t="s">
        <v>891</v>
      </c>
      <c r="C8" s="417" t="s">
        <v>259</v>
      </c>
      <c r="D8" s="417" t="s">
        <v>5</v>
      </c>
    </row>
    <row r="9" spans="2:4" x14ac:dyDescent="0.3">
      <c r="B9" s="463" t="s">
        <v>892</v>
      </c>
      <c r="C9" s="417" t="s">
        <v>245</v>
      </c>
      <c r="D9" s="417" t="s">
        <v>8</v>
      </c>
    </row>
    <row r="10" spans="2:4" x14ac:dyDescent="0.3">
      <c r="B10" s="463" t="s">
        <v>862</v>
      </c>
      <c r="C10" s="417" t="s">
        <v>258</v>
      </c>
      <c r="D10" s="417" t="s">
        <v>6</v>
      </c>
    </row>
    <row r="11" spans="2:4" x14ac:dyDescent="0.3">
      <c r="B11" s="463" t="s">
        <v>893</v>
      </c>
      <c r="C11" s="417" t="s">
        <v>256</v>
      </c>
      <c r="D11" s="417" t="s">
        <v>5</v>
      </c>
    </row>
    <row r="12" spans="2:4" x14ac:dyDescent="0.3">
      <c r="B12" s="463" t="s">
        <v>894</v>
      </c>
      <c r="C12" s="417" t="s">
        <v>258</v>
      </c>
      <c r="D12" s="417" t="s">
        <v>6</v>
      </c>
    </row>
    <row r="13" spans="2:4" x14ac:dyDescent="0.3">
      <c r="B13" s="463" t="s">
        <v>863</v>
      </c>
      <c r="C13" s="417" t="s">
        <v>271</v>
      </c>
      <c r="D13" s="417" t="s">
        <v>6</v>
      </c>
    </row>
    <row r="14" spans="2:4" x14ac:dyDescent="0.3">
      <c r="B14" s="463" t="s">
        <v>895</v>
      </c>
      <c r="C14" s="417" t="s">
        <v>271</v>
      </c>
      <c r="D14" s="417" t="s">
        <v>6</v>
      </c>
    </row>
    <row r="15" spans="2:4" x14ac:dyDescent="0.3">
      <c r="B15" s="463" t="s">
        <v>896</v>
      </c>
      <c r="C15" s="417" t="s">
        <v>271</v>
      </c>
      <c r="D15" s="417" t="s">
        <v>6</v>
      </c>
    </row>
    <row r="16" spans="2:4" x14ac:dyDescent="0.3">
      <c r="B16" s="463" t="s">
        <v>897</v>
      </c>
      <c r="C16" s="417" t="s">
        <v>261</v>
      </c>
      <c r="D16" s="417" t="s">
        <v>5</v>
      </c>
    </row>
    <row r="17" spans="2:4" x14ac:dyDescent="0.3">
      <c r="B17" s="463" t="s">
        <v>898</v>
      </c>
      <c r="C17" s="417" t="s">
        <v>261</v>
      </c>
      <c r="D17" s="417" t="s">
        <v>5</v>
      </c>
    </row>
    <row r="18" spans="2:4" x14ac:dyDescent="0.3">
      <c r="B18" s="463" t="s">
        <v>899</v>
      </c>
      <c r="C18" s="417" t="s">
        <v>245</v>
      </c>
      <c r="D18" s="417" t="s">
        <v>6</v>
      </c>
    </row>
    <row r="19" spans="2:4" x14ac:dyDescent="0.3">
      <c r="B19" s="463" t="s">
        <v>900</v>
      </c>
      <c r="C19" s="417" t="s">
        <v>261</v>
      </c>
      <c r="D19" s="417" t="s">
        <v>5</v>
      </c>
    </row>
    <row r="20" spans="2:4" x14ac:dyDescent="0.3">
      <c r="B20" s="463" t="s">
        <v>901</v>
      </c>
      <c r="C20" s="417" t="s">
        <v>247</v>
      </c>
      <c r="D20" s="417" t="s">
        <v>6</v>
      </c>
    </row>
    <row r="21" spans="2:4" x14ac:dyDescent="0.3">
      <c r="B21" s="463" t="s">
        <v>902</v>
      </c>
      <c r="C21" s="417" t="s">
        <v>247</v>
      </c>
      <c r="D21" s="417" t="s">
        <v>6</v>
      </c>
    </row>
    <row r="22" spans="2:4" x14ac:dyDescent="0.3">
      <c r="B22" s="463" t="s">
        <v>903</v>
      </c>
      <c r="C22" s="417" t="s">
        <v>247</v>
      </c>
      <c r="D22" s="417" t="s">
        <v>6</v>
      </c>
    </row>
    <row r="23" spans="2:4" x14ac:dyDescent="0.3">
      <c r="B23" s="463" t="s">
        <v>904</v>
      </c>
      <c r="C23" s="417" t="s">
        <v>247</v>
      </c>
      <c r="D23" s="417" t="s">
        <v>6</v>
      </c>
    </row>
    <row r="24" spans="2:4" x14ac:dyDescent="0.3">
      <c r="B24" s="463" t="s">
        <v>168</v>
      </c>
      <c r="C24" s="417" t="s">
        <v>153</v>
      </c>
      <c r="D24" s="417" t="s">
        <v>6</v>
      </c>
    </row>
    <row r="25" spans="2:4" x14ac:dyDescent="0.3">
      <c r="B25" s="463" t="s">
        <v>168</v>
      </c>
      <c r="C25" s="417" t="s">
        <v>152</v>
      </c>
      <c r="D25" s="417" t="s">
        <v>6</v>
      </c>
    </row>
    <row r="26" spans="2:4" x14ac:dyDescent="0.3">
      <c r="B26" s="463" t="s">
        <v>905</v>
      </c>
      <c r="C26" s="417" t="s">
        <v>151</v>
      </c>
      <c r="D26" s="417" t="s">
        <v>9</v>
      </c>
    </row>
    <row r="27" spans="2:4" x14ac:dyDescent="0.3">
      <c r="B27" s="463" t="s">
        <v>905</v>
      </c>
      <c r="C27" s="417" t="s">
        <v>157</v>
      </c>
      <c r="D27" s="417" t="s">
        <v>9</v>
      </c>
    </row>
    <row r="28" spans="2:4" x14ac:dyDescent="0.3">
      <c r="B28" s="463" t="s">
        <v>1056</v>
      </c>
      <c r="C28" s="417" t="s">
        <v>152</v>
      </c>
      <c r="D28" s="417" t="s">
        <v>6</v>
      </c>
    </row>
    <row r="29" spans="2:4" x14ac:dyDescent="0.3">
      <c r="B29" s="463" t="s">
        <v>1056</v>
      </c>
      <c r="C29" s="417" t="s">
        <v>153</v>
      </c>
      <c r="D29" s="417" t="s">
        <v>6</v>
      </c>
    </row>
    <row r="30" spans="2:4" x14ac:dyDescent="0.3">
      <c r="B30" s="463" t="s">
        <v>1057</v>
      </c>
      <c r="C30" s="417" t="s">
        <v>249</v>
      </c>
      <c r="D30" s="417" t="s">
        <v>8</v>
      </c>
    </row>
    <row r="31" spans="2:4" x14ac:dyDescent="0.3">
      <c r="B31" s="463" t="s">
        <v>170</v>
      </c>
      <c r="C31" s="417" t="s">
        <v>158</v>
      </c>
      <c r="D31" s="417" t="s">
        <v>6</v>
      </c>
    </row>
    <row r="32" spans="2:4" x14ac:dyDescent="0.3">
      <c r="B32" s="463" t="s">
        <v>906</v>
      </c>
      <c r="C32" s="417" t="s">
        <v>156</v>
      </c>
      <c r="D32" s="417" t="s">
        <v>9</v>
      </c>
    </row>
    <row r="33" spans="2:4" x14ac:dyDescent="0.3">
      <c r="B33" s="464" t="s">
        <v>1049</v>
      </c>
      <c r="C33" s="431" t="s">
        <v>158</v>
      </c>
      <c r="D33" s="431" t="s">
        <v>6</v>
      </c>
    </row>
    <row r="34" spans="2:4" x14ac:dyDescent="0.3">
      <c r="B34" s="463" t="s">
        <v>1058</v>
      </c>
      <c r="C34" s="417" t="s">
        <v>249</v>
      </c>
      <c r="D34" s="417" t="s">
        <v>8</v>
      </c>
    </row>
    <row r="35" spans="2:4" x14ac:dyDescent="0.3">
      <c r="B35" s="463" t="s">
        <v>169</v>
      </c>
      <c r="C35" s="417" t="s">
        <v>155</v>
      </c>
      <c r="D35" s="417" t="s">
        <v>5</v>
      </c>
    </row>
    <row r="36" spans="2:4" x14ac:dyDescent="0.3">
      <c r="B36" s="463" t="s">
        <v>169</v>
      </c>
      <c r="C36" s="417" t="s">
        <v>154</v>
      </c>
      <c r="D36" s="417" t="s">
        <v>5</v>
      </c>
    </row>
    <row r="37" spans="2:4" x14ac:dyDescent="0.3">
      <c r="B37" s="463" t="s">
        <v>907</v>
      </c>
      <c r="C37" s="417" t="s">
        <v>154</v>
      </c>
      <c r="D37" s="417" t="s">
        <v>5</v>
      </c>
    </row>
    <row r="38" spans="2:4" x14ac:dyDescent="0.3">
      <c r="B38" s="463" t="s">
        <v>907</v>
      </c>
      <c r="C38" s="417" t="s">
        <v>155</v>
      </c>
      <c r="D38" s="417" t="s">
        <v>5</v>
      </c>
    </row>
    <row r="39" spans="2:4" x14ac:dyDescent="0.3">
      <c r="B39" s="463" t="s">
        <v>1050</v>
      </c>
      <c r="C39" s="417" t="s">
        <v>155</v>
      </c>
      <c r="D39" s="417" t="s">
        <v>5</v>
      </c>
    </row>
    <row r="40" spans="2:4" x14ac:dyDescent="0.3">
      <c r="B40" s="463" t="s">
        <v>1050</v>
      </c>
      <c r="C40" s="417" t="s">
        <v>154</v>
      </c>
      <c r="D40" s="417" t="s">
        <v>5</v>
      </c>
    </row>
    <row r="41" spans="2:4" x14ac:dyDescent="0.3">
      <c r="B41" s="463" t="s">
        <v>1051</v>
      </c>
      <c r="C41" s="417" t="s">
        <v>249</v>
      </c>
      <c r="D41" s="417" t="s">
        <v>8</v>
      </c>
    </row>
    <row r="42" spans="2:4" x14ac:dyDescent="0.3">
      <c r="B42" s="463" t="s">
        <v>864</v>
      </c>
      <c r="C42" s="417" t="s">
        <v>249</v>
      </c>
      <c r="D42" s="417" t="s">
        <v>8</v>
      </c>
    </row>
    <row r="43" spans="2:4" x14ac:dyDescent="0.3">
      <c r="B43" s="463" t="s">
        <v>865</v>
      </c>
      <c r="C43" s="417" t="s">
        <v>274</v>
      </c>
      <c r="D43" s="417" t="s">
        <v>9</v>
      </c>
    </row>
    <row r="44" spans="2:4" x14ac:dyDescent="0.3">
      <c r="B44" s="463" t="s">
        <v>865</v>
      </c>
      <c r="C44" s="417" t="s">
        <v>158</v>
      </c>
      <c r="D44" s="417" t="s">
        <v>6</v>
      </c>
    </row>
    <row r="45" spans="2:4" x14ac:dyDescent="0.3">
      <c r="B45" s="463" t="s">
        <v>865</v>
      </c>
      <c r="C45" s="417" t="s">
        <v>249</v>
      </c>
      <c r="D45" s="417" t="s">
        <v>8</v>
      </c>
    </row>
    <row r="46" spans="2:4" x14ac:dyDescent="0.3">
      <c r="B46" s="463" t="s">
        <v>866</v>
      </c>
      <c r="C46" s="417" t="s">
        <v>249</v>
      </c>
      <c r="D46" s="417" t="s">
        <v>8</v>
      </c>
    </row>
    <row r="47" spans="2:4" x14ac:dyDescent="0.3">
      <c r="B47" s="463" t="s">
        <v>908</v>
      </c>
      <c r="C47" s="465" t="s">
        <v>856</v>
      </c>
      <c r="D47" s="417" t="s">
        <v>5</v>
      </c>
    </row>
    <row r="48" spans="2:4" x14ac:dyDescent="0.3">
      <c r="B48" s="463" t="s">
        <v>875</v>
      </c>
      <c r="C48" s="465" t="s">
        <v>855</v>
      </c>
      <c r="D48" s="417" t="s">
        <v>5</v>
      </c>
    </row>
    <row r="49" spans="2:4" x14ac:dyDescent="0.3">
      <c r="B49" s="463" t="s">
        <v>909</v>
      </c>
      <c r="C49" s="465" t="s">
        <v>855</v>
      </c>
      <c r="D49" s="417" t="s">
        <v>5</v>
      </c>
    </row>
    <row r="50" spans="2:4" x14ac:dyDescent="0.3">
      <c r="B50" s="463" t="s">
        <v>910</v>
      </c>
      <c r="C50" s="465" t="s">
        <v>855</v>
      </c>
      <c r="D50" s="417" t="s">
        <v>5</v>
      </c>
    </row>
    <row r="51" spans="2:4" x14ac:dyDescent="0.3">
      <c r="B51" s="463" t="s">
        <v>911</v>
      </c>
      <c r="C51" s="465" t="s">
        <v>855</v>
      </c>
      <c r="D51" s="417" t="s">
        <v>5</v>
      </c>
    </row>
    <row r="52" spans="2:4" x14ac:dyDescent="0.3">
      <c r="B52" s="463" t="s">
        <v>912</v>
      </c>
      <c r="C52" s="465" t="s">
        <v>855</v>
      </c>
      <c r="D52" s="417" t="s">
        <v>5</v>
      </c>
    </row>
    <row r="53" spans="2:4" x14ac:dyDescent="0.3">
      <c r="B53" s="463" t="s">
        <v>913</v>
      </c>
      <c r="C53" s="465" t="s">
        <v>855</v>
      </c>
      <c r="D53" s="417" t="s">
        <v>5</v>
      </c>
    </row>
    <row r="54" spans="2:4" x14ac:dyDescent="0.3">
      <c r="B54" s="463" t="s">
        <v>914</v>
      </c>
      <c r="C54" s="417" t="s">
        <v>302</v>
      </c>
      <c r="D54" s="417" t="s">
        <v>5</v>
      </c>
    </row>
    <row r="55" spans="2:4" x14ac:dyDescent="0.3">
      <c r="B55" s="463" t="s">
        <v>915</v>
      </c>
      <c r="C55" s="417" t="s">
        <v>302</v>
      </c>
      <c r="D55" s="417" t="s">
        <v>5</v>
      </c>
    </row>
    <row r="56" spans="2:4" x14ac:dyDescent="0.3">
      <c r="B56" s="463" t="s">
        <v>916</v>
      </c>
      <c r="C56" s="417" t="s">
        <v>302</v>
      </c>
      <c r="D56" s="417" t="s">
        <v>5</v>
      </c>
    </row>
    <row r="57" spans="2:4" x14ac:dyDescent="0.3">
      <c r="B57" s="463" t="s">
        <v>876</v>
      </c>
      <c r="C57" s="417" t="s">
        <v>302</v>
      </c>
      <c r="D57" s="417" t="s">
        <v>5</v>
      </c>
    </row>
    <row r="58" spans="2:4" x14ac:dyDescent="0.3">
      <c r="B58" s="463" t="s">
        <v>876</v>
      </c>
      <c r="C58" s="417" t="s">
        <v>250</v>
      </c>
      <c r="D58" s="417" t="s">
        <v>5</v>
      </c>
    </row>
    <row r="59" spans="2:4" x14ac:dyDescent="0.3">
      <c r="B59" s="463" t="s">
        <v>877</v>
      </c>
      <c r="C59" s="417" t="s">
        <v>302</v>
      </c>
      <c r="D59" s="417" t="s">
        <v>5</v>
      </c>
    </row>
    <row r="60" spans="2:4" x14ac:dyDescent="0.3">
      <c r="B60" s="463" t="s">
        <v>877</v>
      </c>
      <c r="C60" s="417" t="s">
        <v>156</v>
      </c>
      <c r="D60" s="417" t="s">
        <v>9</v>
      </c>
    </row>
    <row r="61" spans="2:4" x14ac:dyDescent="0.3">
      <c r="B61" s="463" t="s">
        <v>877</v>
      </c>
      <c r="C61" s="417" t="s">
        <v>151</v>
      </c>
      <c r="D61" s="417" t="s">
        <v>9</v>
      </c>
    </row>
    <row r="62" spans="2:4" x14ac:dyDescent="0.3">
      <c r="B62" s="463" t="s">
        <v>877</v>
      </c>
      <c r="C62" s="417" t="s">
        <v>153</v>
      </c>
      <c r="D62" s="417" t="s">
        <v>6</v>
      </c>
    </row>
    <row r="63" spans="2:4" x14ac:dyDescent="0.3">
      <c r="B63" s="463" t="s">
        <v>878</v>
      </c>
      <c r="C63" s="417" t="s">
        <v>302</v>
      </c>
      <c r="D63" s="417" t="s">
        <v>5</v>
      </c>
    </row>
    <row r="64" spans="2:4" x14ac:dyDescent="0.3">
      <c r="B64" s="463" t="s">
        <v>878</v>
      </c>
      <c r="C64" s="466" t="s">
        <v>262</v>
      </c>
      <c r="D64" s="417" t="s">
        <v>5</v>
      </c>
    </row>
    <row r="65" spans="2:4" x14ac:dyDescent="0.3">
      <c r="B65" s="463" t="s">
        <v>917</v>
      </c>
      <c r="C65" s="417" t="s">
        <v>825</v>
      </c>
      <c r="D65" s="417" t="s">
        <v>9</v>
      </c>
    </row>
    <row r="66" spans="2:4" x14ac:dyDescent="0.3">
      <c r="B66" s="463" t="s">
        <v>917</v>
      </c>
      <c r="C66" s="465" t="s">
        <v>853</v>
      </c>
      <c r="D66" s="417" t="s">
        <v>6</v>
      </c>
    </row>
    <row r="67" spans="2:4" x14ac:dyDescent="0.3">
      <c r="B67" s="463" t="s">
        <v>917</v>
      </c>
      <c r="C67" s="417" t="s">
        <v>828</v>
      </c>
      <c r="D67" s="417" t="s">
        <v>5</v>
      </c>
    </row>
    <row r="68" spans="2:4" x14ac:dyDescent="0.3">
      <c r="B68" s="463" t="s">
        <v>917</v>
      </c>
      <c r="C68" s="417" t="s">
        <v>826</v>
      </c>
      <c r="D68" s="417" t="s">
        <v>5</v>
      </c>
    </row>
    <row r="69" spans="2:4" x14ac:dyDescent="0.3">
      <c r="B69" s="463" t="s">
        <v>917</v>
      </c>
      <c r="C69" s="417" t="s">
        <v>829</v>
      </c>
      <c r="D69" s="417" t="s">
        <v>5</v>
      </c>
    </row>
    <row r="70" spans="2:4" x14ac:dyDescent="0.3">
      <c r="B70" s="463" t="s">
        <v>917</v>
      </c>
      <c r="C70" s="417" t="s">
        <v>827</v>
      </c>
      <c r="D70" s="417" t="s">
        <v>5</v>
      </c>
    </row>
    <row r="71" spans="2:4" x14ac:dyDescent="0.3">
      <c r="B71" s="463" t="s">
        <v>917</v>
      </c>
      <c r="C71" s="417" t="s">
        <v>830</v>
      </c>
      <c r="D71" s="417" t="s">
        <v>5</v>
      </c>
    </row>
    <row r="72" spans="2:4" x14ac:dyDescent="0.3">
      <c r="B72" s="463" t="s">
        <v>917</v>
      </c>
      <c r="C72" s="417" t="s">
        <v>842</v>
      </c>
      <c r="D72" s="417" t="s">
        <v>5</v>
      </c>
    </row>
    <row r="73" spans="2:4" x14ac:dyDescent="0.3">
      <c r="B73" s="463" t="s">
        <v>917</v>
      </c>
      <c r="C73" s="417" t="s">
        <v>854</v>
      </c>
      <c r="D73" s="417" t="s">
        <v>6</v>
      </c>
    </row>
    <row r="74" spans="2:4" x14ac:dyDescent="0.3">
      <c r="B74" s="463" t="s">
        <v>917</v>
      </c>
      <c r="C74" s="417" t="s">
        <v>843</v>
      </c>
      <c r="D74" s="417" t="s">
        <v>6</v>
      </c>
    </row>
    <row r="75" spans="2:4" x14ac:dyDescent="0.3">
      <c r="B75" s="463" t="s">
        <v>917</v>
      </c>
      <c r="C75" s="417" t="s">
        <v>831</v>
      </c>
      <c r="D75" s="417" t="s">
        <v>5</v>
      </c>
    </row>
    <row r="76" spans="2:4" x14ac:dyDescent="0.3">
      <c r="B76" s="463" t="s">
        <v>918</v>
      </c>
      <c r="C76" s="417" t="s">
        <v>262</v>
      </c>
      <c r="D76" s="417" t="s">
        <v>5</v>
      </c>
    </row>
    <row r="77" spans="2:4" x14ac:dyDescent="0.3">
      <c r="B77" s="463" t="s">
        <v>918</v>
      </c>
      <c r="C77" s="417" t="s">
        <v>263</v>
      </c>
      <c r="D77" s="417" t="s">
        <v>5</v>
      </c>
    </row>
    <row r="78" spans="2:4" x14ac:dyDescent="0.3">
      <c r="B78" s="463" t="s">
        <v>919</v>
      </c>
      <c r="C78" s="417" t="s">
        <v>262</v>
      </c>
      <c r="D78" s="417" t="s">
        <v>5</v>
      </c>
    </row>
    <row r="79" spans="2:4" x14ac:dyDescent="0.3">
      <c r="B79" s="463" t="s">
        <v>919</v>
      </c>
      <c r="C79" s="417" t="s">
        <v>263</v>
      </c>
      <c r="D79" s="417" t="s">
        <v>5</v>
      </c>
    </row>
    <row r="80" spans="2:4" x14ac:dyDescent="0.3">
      <c r="B80" s="463" t="s">
        <v>920</v>
      </c>
      <c r="C80" s="417" t="s">
        <v>262</v>
      </c>
      <c r="D80" s="417" t="s">
        <v>5</v>
      </c>
    </row>
    <row r="81" spans="2:4" x14ac:dyDescent="0.3">
      <c r="B81" s="463" t="s">
        <v>920</v>
      </c>
      <c r="C81" s="417" t="s">
        <v>263</v>
      </c>
      <c r="D81" s="417" t="s">
        <v>5</v>
      </c>
    </row>
    <row r="82" spans="2:4" x14ac:dyDescent="0.3">
      <c r="B82" s="463" t="s">
        <v>867</v>
      </c>
      <c r="C82" s="417" t="s">
        <v>262</v>
      </c>
      <c r="D82" s="417" t="s">
        <v>5</v>
      </c>
    </row>
    <row r="83" spans="2:4" x14ac:dyDescent="0.3">
      <c r="B83" s="463" t="s">
        <v>867</v>
      </c>
      <c r="C83" s="417" t="s">
        <v>263</v>
      </c>
      <c r="D83" s="417" t="s">
        <v>5</v>
      </c>
    </row>
    <row r="84" spans="2:4" x14ac:dyDescent="0.3">
      <c r="B84" s="463" t="s">
        <v>921</v>
      </c>
      <c r="C84" s="417" t="s">
        <v>262</v>
      </c>
      <c r="D84" s="417" t="s">
        <v>5</v>
      </c>
    </row>
    <row r="85" spans="2:4" x14ac:dyDescent="0.3">
      <c r="B85" s="463" t="s">
        <v>921</v>
      </c>
      <c r="C85" s="417" t="s">
        <v>263</v>
      </c>
      <c r="D85" s="417" t="s">
        <v>5</v>
      </c>
    </row>
    <row r="86" spans="2:4" x14ac:dyDescent="0.3">
      <c r="B86" s="463" t="s">
        <v>922</v>
      </c>
      <c r="C86" s="417" t="s">
        <v>264</v>
      </c>
      <c r="D86" s="417" t="s">
        <v>9</v>
      </c>
    </row>
    <row r="87" spans="2:4" x14ac:dyDescent="0.3">
      <c r="B87" s="463" t="s">
        <v>923</v>
      </c>
      <c r="C87" s="417" t="s">
        <v>262</v>
      </c>
      <c r="D87" s="417" t="s">
        <v>5</v>
      </c>
    </row>
    <row r="88" spans="2:4" x14ac:dyDescent="0.3">
      <c r="B88" s="463" t="s">
        <v>924</v>
      </c>
      <c r="C88" s="417" t="s">
        <v>262</v>
      </c>
      <c r="D88" s="417" t="s">
        <v>5</v>
      </c>
    </row>
    <row r="89" spans="2:4" x14ac:dyDescent="0.3">
      <c r="B89" s="463" t="s">
        <v>923</v>
      </c>
      <c r="C89" s="417" t="s">
        <v>263</v>
      </c>
      <c r="D89" s="417" t="s">
        <v>5</v>
      </c>
    </row>
    <row r="90" spans="2:4" x14ac:dyDescent="0.3">
      <c r="B90" s="463" t="s">
        <v>924</v>
      </c>
      <c r="C90" s="417" t="s">
        <v>263</v>
      </c>
      <c r="D90" s="417" t="s">
        <v>5</v>
      </c>
    </row>
    <row r="91" spans="2:4" x14ac:dyDescent="0.3">
      <c r="B91" s="463" t="s">
        <v>13</v>
      </c>
      <c r="C91" s="417" t="s">
        <v>248</v>
      </c>
      <c r="D91" s="417" t="s">
        <v>6</v>
      </c>
    </row>
    <row r="92" spans="2:4" x14ac:dyDescent="0.3">
      <c r="B92" s="463" t="s">
        <v>925</v>
      </c>
      <c r="C92" s="417" t="s">
        <v>248</v>
      </c>
      <c r="D92" s="417" t="s">
        <v>6</v>
      </c>
    </row>
    <row r="93" spans="2:4" x14ac:dyDescent="0.3">
      <c r="B93" s="463" t="s">
        <v>926</v>
      </c>
      <c r="C93" s="417" t="s">
        <v>248</v>
      </c>
      <c r="D93" s="417" t="s">
        <v>6</v>
      </c>
    </row>
    <row r="94" spans="2:4" x14ac:dyDescent="0.3">
      <c r="B94" s="463" t="s">
        <v>1052</v>
      </c>
      <c r="C94" s="466" t="s">
        <v>298</v>
      </c>
      <c r="D94" s="417" t="s">
        <v>5</v>
      </c>
    </row>
    <row r="95" spans="2:4" x14ac:dyDescent="0.3">
      <c r="B95" s="463" t="s">
        <v>927</v>
      </c>
      <c r="C95" s="417" t="s">
        <v>248</v>
      </c>
      <c r="D95" s="417" t="s">
        <v>6</v>
      </c>
    </row>
    <row r="96" spans="2:4" x14ac:dyDescent="0.3">
      <c r="B96" s="463" t="s">
        <v>928</v>
      </c>
      <c r="C96" s="466" t="s">
        <v>1047</v>
      </c>
      <c r="D96" s="417" t="s">
        <v>8</v>
      </c>
    </row>
    <row r="97" spans="2:4" x14ac:dyDescent="0.3">
      <c r="B97" s="463" t="s">
        <v>929</v>
      </c>
      <c r="C97" s="466" t="s">
        <v>1047</v>
      </c>
      <c r="D97" s="417" t="s">
        <v>8</v>
      </c>
    </row>
    <row r="98" spans="2:4" x14ac:dyDescent="0.3">
      <c r="B98" s="463" t="s">
        <v>136</v>
      </c>
      <c r="C98" s="417" t="s">
        <v>273</v>
      </c>
      <c r="D98" s="417" t="s">
        <v>9</v>
      </c>
    </row>
    <row r="99" spans="2:4" x14ac:dyDescent="0.3">
      <c r="B99" s="463" t="s">
        <v>868</v>
      </c>
      <c r="C99" s="417" t="s">
        <v>273</v>
      </c>
      <c r="D99" s="417" t="s">
        <v>9</v>
      </c>
    </row>
    <row r="100" spans="2:4" x14ac:dyDescent="0.3">
      <c r="B100" s="463" t="s">
        <v>39</v>
      </c>
      <c r="C100" s="417" t="s">
        <v>272</v>
      </c>
      <c r="D100" s="417" t="s">
        <v>9</v>
      </c>
    </row>
    <row r="101" spans="2:4" x14ac:dyDescent="0.3">
      <c r="B101" s="463" t="s">
        <v>930</v>
      </c>
      <c r="C101" s="417" t="s">
        <v>273</v>
      </c>
      <c r="D101" s="417" t="s">
        <v>9</v>
      </c>
    </row>
    <row r="102" spans="2:4" x14ac:dyDescent="0.3">
      <c r="B102" s="463" t="s">
        <v>869</v>
      </c>
      <c r="C102" s="467" t="s">
        <v>861</v>
      </c>
      <c r="D102" s="417" t="s">
        <v>9</v>
      </c>
    </row>
    <row r="103" spans="2:4" x14ac:dyDescent="0.3">
      <c r="B103" s="463" t="s">
        <v>870</v>
      </c>
      <c r="C103" s="417" t="s">
        <v>272</v>
      </c>
      <c r="D103" s="417" t="s">
        <v>9</v>
      </c>
    </row>
    <row r="104" spans="2:4" x14ac:dyDescent="0.3">
      <c r="B104" s="463" t="s">
        <v>870</v>
      </c>
      <c r="C104" s="417" t="s">
        <v>273</v>
      </c>
      <c r="D104" s="417" t="s">
        <v>9</v>
      </c>
    </row>
    <row r="105" spans="2:4" x14ac:dyDescent="0.3">
      <c r="B105" s="463" t="s">
        <v>871</v>
      </c>
      <c r="C105" s="417" t="s">
        <v>852</v>
      </c>
      <c r="D105" s="417" t="s">
        <v>9</v>
      </c>
    </row>
    <row r="106" spans="2:4" x14ac:dyDescent="0.3">
      <c r="B106" s="463" t="s">
        <v>931</v>
      </c>
      <c r="C106" s="417" t="s">
        <v>852</v>
      </c>
      <c r="D106" s="417" t="s">
        <v>9</v>
      </c>
    </row>
    <row r="107" spans="2:4" x14ac:dyDescent="0.3">
      <c r="B107" s="463" t="s">
        <v>932</v>
      </c>
      <c r="C107" s="417" t="s">
        <v>852</v>
      </c>
      <c r="D107" s="417" t="s">
        <v>9</v>
      </c>
    </row>
    <row r="108" spans="2:4" x14ac:dyDescent="0.3">
      <c r="B108" s="463" t="s">
        <v>933</v>
      </c>
      <c r="C108" s="417" t="s">
        <v>852</v>
      </c>
      <c r="D108" s="417" t="s">
        <v>9</v>
      </c>
    </row>
    <row r="109" spans="2:4" x14ac:dyDescent="0.3">
      <c r="B109" s="463" t="s">
        <v>872</v>
      </c>
      <c r="C109" s="417" t="s">
        <v>852</v>
      </c>
      <c r="D109" s="417" t="s">
        <v>9</v>
      </c>
    </row>
    <row r="110" spans="2:4" x14ac:dyDescent="0.3">
      <c r="B110" s="463" t="s">
        <v>934</v>
      </c>
      <c r="C110" s="417" t="s">
        <v>857</v>
      </c>
      <c r="D110" s="417" t="s">
        <v>9</v>
      </c>
    </row>
    <row r="111" spans="2:4" x14ac:dyDescent="0.3">
      <c r="B111" s="463" t="s">
        <v>935</v>
      </c>
      <c r="C111" s="417" t="s">
        <v>857</v>
      </c>
      <c r="D111" s="417" t="s">
        <v>9</v>
      </c>
    </row>
    <row r="112" spans="2:4" x14ac:dyDescent="0.3">
      <c r="B112" s="463" t="s">
        <v>936</v>
      </c>
      <c r="C112" s="417" t="s">
        <v>857</v>
      </c>
      <c r="D112" s="417" t="s">
        <v>9</v>
      </c>
    </row>
    <row r="113" spans="2:4" x14ac:dyDescent="0.3">
      <c r="B113" s="463" t="s">
        <v>937</v>
      </c>
      <c r="C113" s="465" t="s">
        <v>858</v>
      </c>
      <c r="D113" s="417" t="s">
        <v>9</v>
      </c>
    </row>
    <row r="114" spans="2:4" x14ac:dyDescent="0.3">
      <c r="B114" s="463" t="s">
        <v>873</v>
      </c>
      <c r="C114" s="417" t="s">
        <v>852</v>
      </c>
      <c r="D114" s="417" t="s">
        <v>9</v>
      </c>
    </row>
    <row r="115" spans="2:4" x14ac:dyDescent="0.3">
      <c r="B115" s="463" t="s">
        <v>874</v>
      </c>
      <c r="C115" s="417" t="s">
        <v>852</v>
      </c>
      <c r="D115" s="417" t="s">
        <v>9</v>
      </c>
    </row>
    <row r="116" spans="2:4" x14ac:dyDescent="0.3">
      <c r="B116" s="463" t="s">
        <v>874</v>
      </c>
      <c r="C116" s="466" t="s">
        <v>159</v>
      </c>
      <c r="D116" s="431" t="s">
        <v>5</v>
      </c>
    </row>
    <row r="117" spans="2:4" x14ac:dyDescent="0.3">
      <c r="B117" s="463" t="s">
        <v>938</v>
      </c>
      <c r="C117" s="417" t="s">
        <v>1053</v>
      </c>
      <c r="D117" s="416"/>
    </row>
    <row r="118" spans="2:4" x14ac:dyDescent="0.3">
      <c r="B118" s="463" t="s">
        <v>939</v>
      </c>
      <c r="C118" s="466" t="s">
        <v>159</v>
      </c>
      <c r="D118" s="431" t="s">
        <v>5</v>
      </c>
    </row>
    <row r="119" spans="2:4" x14ac:dyDescent="0.3">
      <c r="B119" s="463" t="s">
        <v>1054</v>
      </c>
      <c r="C119" s="417" t="s">
        <v>298</v>
      </c>
      <c r="D119" s="417" t="s">
        <v>5</v>
      </c>
    </row>
    <row r="120" spans="2:4" x14ac:dyDescent="0.3">
      <c r="B120" s="463" t="s">
        <v>940</v>
      </c>
      <c r="C120" s="466" t="s">
        <v>301</v>
      </c>
      <c r="D120" s="417" t="s">
        <v>6</v>
      </c>
    </row>
    <row r="121" spans="2:4" x14ac:dyDescent="0.3">
      <c r="B121" s="463" t="s">
        <v>1055</v>
      </c>
      <c r="C121" s="417" t="s">
        <v>298</v>
      </c>
      <c r="D121" s="417" t="s">
        <v>5</v>
      </c>
    </row>
    <row r="122" spans="2:4" x14ac:dyDescent="0.3">
      <c r="B122" s="463" t="s">
        <v>879</v>
      </c>
      <c r="C122" s="466" t="s">
        <v>301</v>
      </c>
      <c r="D122" s="417" t="s">
        <v>6</v>
      </c>
    </row>
    <row r="123" spans="2:4" x14ac:dyDescent="0.3">
      <c r="B123" s="463" t="s">
        <v>941</v>
      </c>
      <c r="C123" s="417" t="s">
        <v>298</v>
      </c>
      <c r="D123" s="417" t="s">
        <v>5</v>
      </c>
    </row>
    <row r="124" spans="2:4" x14ac:dyDescent="0.3">
      <c r="B124" s="463" t="s">
        <v>942</v>
      </c>
      <c r="C124" s="417" t="s">
        <v>298</v>
      </c>
      <c r="D124" s="417" t="s">
        <v>5</v>
      </c>
    </row>
    <row r="125" spans="2:4" x14ac:dyDescent="0.3">
      <c r="B125" s="463" t="s">
        <v>880</v>
      </c>
      <c r="C125" s="417" t="s">
        <v>298</v>
      </c>
      <c r="D125" s="417" t="s">
        <v>5</v>
      </c>
    </row>
    <row r="126" spans="2:4" x14ac:dyDescent="0.3">
      <c r="B126" s="463" t="s">
        <v>943</v>
      </c>
      <c r="C126" s="417" t="s">
        <v>298</v>
      </c>
      <c r="D126" s="417" t="s">
        <v>5</v>
      </c>
    </row>
    <row r="127" spans="2:4" x14ac:dyDescent="0.3">
      <c r="B127" s="463" t="s">
        <v>944</v>
      </c>
      <c r="C127" s="417" t="s">
        <v>298</v>
      </c>
      <c r="D127" s="417" t="s">
        <v>5</v>
      </c>
    </row>
    <row r="128" spans="2:4" x14ac:dyDescent="0.3">
      <c r="B128" s="463" t="s">
        <v>114</v>
      </c>
      <c r="C128" s="417" t="s">
        <v>299</v>
      </c>
      <c r="D128" s="417" t="s">
        <v>9</v>
      </c>
    </row>
    <row r="129" spans="2:4" x14ac:dyDescent="0.3">
      <c r="B129" s="463" t="s">
        <v>945</v>
      </c>
      <c r="C129" s="417" t="s">
        <v>301</v>
      </c>
      <c r="D129" s="417" t="s">
        <v>6</v>
      </c>
    </row>
    <row r="130" spans="2:4" x14ac:dyDescent="0.3">
      <c r="B130" s="463" t="s">
        <v>946</v>
      </c>
      <c r="C130" s="417" t="s">
        <v>301</v>
      </c>
      <c r="D130" s="417" t="s">
        <v>6</v>
      </c>
    </row>
    <row r="131" spans="2:4" x14ac:dyDescent="0.3">
      <c r="B131" s="463" t="s">
        <v>947</v>
      </c>
      <c r="C131" s="417" t="s">
        <v>301</v>
      </c>
      <c r="D131" s="417" t="s">
        <v>6</v>
      </c>
    </row>
    <row r="132" spans="2:4" x14ac:dyDescent="0.3">
      <c r="B132" s="463" t="s">
        <v>948</v>
      </c>
      <c r="C132" s="417" t="s">
        <v>301</v>
      </c>
      <c r="D132" s="417" t="s">
        <v>6</v>
      </c>
    </row>
    <row r="133" spans="2:4" x14ac:dyDescent="0.3">
      <c r="B133" s="463" t="s">
        <v>948</v>
      </c>
      <c r="C133" s="417" t="s">
        <v>301</v>
      </c>
      <c r="D133" s="417" t="s">
        <v>6</v>
      </c>
    </row>
    <row r="134" spans="2:4" x14ac:dyDescent="0.3">
      <c r="B134" s="463" t="s">
        <v>948</v>
      </c>
      <c r="C134" s="417" t="s">
        <v>301</v>
      </c>
      <c r="D134" s="417" t="s">
        <v>6</v>
      </c>
    </row>
    <row r="135" spans="2:4" x14ac:dyDescent="0.3">
      <c r="B135" s="463" t="s">
        <v>948</v>
      </c>
      <c r="C135" s="417" t="s">
        <v>301</v>
      </c>
      <c r="D135" s="417" t="s">
        <v>6</v>
      </c>
    </row>
    <row r="136" spans="2:4" x14ac:dyDescent="0.3">
      <c r="B136" s="463" t="s">
        <v>948</v>
      </c>
      <c r="C136" s="417" t="s">
        <v>301</v>
      </c>
      <c r="D136" s="417" t="s">
        <v>6</v>
      </c>
    </row>
    <row r="137" spans="2:4" x14ac:dyDescent="0.3">
      <c r="B137" s="463" t="s">
        <v>948</v>
      </c>
      <c r="C137" s="417" t="s">
        <v>301</v>
      </c>
      <c r="D137" s="417" t="s">
        <v>6</v>
      </c>
    </row>
    <row r="138" spans="2:4" x14ac:dyDescent="0.3">
      <c r="B138" s="463" t="s">
        <v>881</v>
      </c>
      <c r="C138" s="417" t="s">
        <v>288</v>
      </c>
      <c r="D138" s="417" t="s">
        <v>8</v>
      </c>
    </row>
    <row r="139" spans="2:4" x14ac:dyDescent="0.3">
      <c r="B139" s="463" t="s">
        <v>949</v>
      </c>
      <c r="C139" s="417" t="s">
        <v>288</v>
      </c>
      <c r="D139" s="417" t="s">
        <v>8</v>
      </c>
    </row>
    <row r="140" spans="2:4" x14ac:dyDescent="0.3">
      <c r="B140" s="463" t="s">
        <v>882</v>
      </c>
      <c r="C140" s="417" t="s">
        <v>288</v>
      </c>
      <c r="D140" s="417" t="s">
        <v>8</v>
      </c>
    </row>
    <row r="141" spans="2:4" x14ac:dyDescent="0.3">
      <c r="B141" s="463" t="s">
        <v>950</v>
      </c>
      <c r="C141" s="417" t="s">
        <v>281</v>
      </c>
      <c r="D141" s="417" t="s">
        <v>7</v>
      </c>
    </row>
    <row r="142" spans="2:4" x14ac:dyDescent="0.3">
      <c r="B142" s="463" t="s">
        <v>951</v>
      </c>
      <c r="C142" s="417" t="s">
        <v>379</v>
      </c>
      <c r="D142" s="417" t="s">
        <v>8</v>
      </c>
    </row>
    <row r="143" spans="2:4" x14ac:dyDescent="0.3">
      <c r="B143" s="463" t="s">
        <v>952</v>
      </c>
      <c r="C143" s="417" t="s">
        <v>276</v>
      </c>
      <c r="D143" s="417" t="s">
        <v>8</v>
      </c>
    </row>
    <row r="144" spans="2:4" x14ac:dyDescent="0.3">
      <c r="B144" s="463" t="s">
        <v>953</v>
      </c>
      <c r="C144" s="417" t="s">
        <v>249</v>
      </c>
      <c r="D144" s="417" t="s">
        <v>8</v>
      </c>
    </row>
    <row r="145" spans="2:4" x14ac:dyDescent="0.3">
      <c r="B145" s="463" t="s">
        <v>954</v>
      </c>
      <c r="C145" s="466" t="s">
        <v>1047</v>
      </c>
      <c r="D145" s="417" t="s">
        <v>8</v>
      </c>
    </row>
    <row r="146" spans="2:4" x14ac:dyDescent="0.3">
      <c r="B146" s="463" t="s">
        <v>231</v>
      </c>
      <c r="C146" s="417" t="s">
        <v>294</v>
      </c>
      <c r="D146" s="417" t="s">
        <v>8</v>
      </c>
    </row>
    <row r="147" spans="2:4" x14ac:dyDescent="0.3">
      <c r="B147" s="463" t="s">
        <v>883</v>
      </c>
      <c r="C147" s="417" t="s">
        <v>282</v>
      </c>
      <c r="D147" s="417" t="s">
        <v>7</v>
      </c>
    </row>
    <row r="148" spans="2:4" x14ac:dyDescent="0.3">
      <c r="B148" s="463" t="s">
        <v>884</v>
      </c>
      <c r="C148" s="417" t="s">
        <v>282</v>
      </c>
      <c r="D148" s="417" t="s">
        <v>7</v>
      </c>
    </row>
    <row r="149" spans="2:4" x14ac:dyDescent="0.3">
      <c r="B149" s="463" t="s">
        <v>885</v>
      </c>
      <c r="C149" s="417" t="s">
        <v>280</v>
      </c>
      <c r="D149" s="417" t="s">
        <v>7</v>
      </c>
    </row>
    <row r="150" spans="2:4" x14ac:dyDescent="0.3">
      <c r="B150" s="463" t="s">
        <v>955</v>
      </c>
      <c r="C150" s="417" t="s">
        <v>280</v>
      </c>
      <c r="D150" s="417" t="s">
        <v>7</v>
      </c>
    </row>
    <row r="151" spans="2:4" x14ac:dyDescent="0.3">
      <c r="B151" s="463" t="s">
        <v>956</v>
      </c>
      <c r="C151" s="417" t="s">
        <v>280</v>
      </c>
      <c r="D151" s="417" t="s">
        <v>7</v>
      </c>
    </row>
    <row r="152" spans="2:4" x14ac:dyDescent="0.3">
      <c r="B152" s="463" t="s">
        <v>886</v>
      </c>
      <c r="C152" s="417" t="s">
        <v>280</v>
      </c>
      <c r="D152" s="417" t="s">
        <v>7</v>
      </c>
    </row>
    <row r="153" spans="2:4" x14ac:dyDescent="0.3">
      <c r="B153" s="463" t="s">
        <v>887</v>
      </c>
      <c r="C153" s="417" t="s">
        <v>285</v>
      </c>
      <c r="D153" s="417" t="s">
        <v>8</v>
      </c>
    </row>
    <row r="154" spans="2:4" x14ac:dyDescent="0.3"/>
    <row r="155" spans="2:4" x14ac:dyDescent="0.3"/>
    <row r="156" spans="2:4" x14ac:dyDescent="0.3"/>
    <row r="157" spans="2:4" x14ac:dyDescent="0.3"/>
    <row r="158" spans="2:4" x14ac:dyDescent="0.3">
      <c r="B158" s="460"/>
    </row>
    <row r="159" spans="2:4" x14ac:dyDescent="0.3">
      <c r="B159" s="460"/>
    </row>
    <row r="160" spans="2:4" x14ac:dyDescent="0.3">
      <c r="B160" s="460"/>
    </row>
    <row r="161" spans="2:2" x14ac:dyDescent="0.3">
      <c r="B161" s="460"/>
    </row>
    <row r="162" spans="2:2" x14ac:dyDescent="0.3">
      <c r="B162" s="460"/>
    </row>
    <row r="163" spans="2:2" x14ac:dyDescent="0.3">
      <c r="B163" s="460"/>
    </row>
    <row r="164" spans="2:2" hidden="1" x14ac:dyDescent="0.3">
      <c r="B164" s="460"/>
    </row>
    <row r="165" spans="2:2" hidden="1" x14ac:dyDescent="0.3">
      <c r="B165" s="460"/>
    </row>
    <row r="166" spans="2:2" hidden="1" x14ac:dyDescent="0.3">
      <c r="B166" s="460"/>
    </row>
    <row r="167" spans="2:2" hidden="1" x14ac:dyDescent="0.3">
      <c r="B167" s="460"/>
    </row>
    <row r="168" spans="2:2" hidden="1" x14ac:dyDescent="0.3">
      <c r="B168" s="460"/>
    </row>
    <row r="169" spans="2:2" hidden="1" x14ac:dyDescent="0.3">
      <c r="B169" s="460"/>
    </row>
    <row r="170" spans="2:2" hidden="1" x14ac:dyDescent="0.3">
      <c r="B170" s="460"/>
    </row>
    <row r="171" spans="2:2" hidden="1" x14ac:dyDescent="0.3">
      <c r="B171" s="460"/>
    </row>
    <row r="172" spans="2:2" hidden="1" x14ac:dyDescent="0.3">
      <c r="B172" s="460"/>
    </row>
    <row r="173" spans="2:2" hidden="1" x14ac:dyDescent="0.3">
      <c r="B173" s="460"/>
    </row>
    <row r="174" spans="2:2" hidden="1" x14ac:dyDescent="0.3">
      <c r="B174" s="460"/>
    </row>
    <row r="175" spans="2:2" hidden="1" x14ac:dyDescent="0.3">
      <c r="B175" s="460"/>
    </row>
    <row r="176" spans="2:2" hidden="1" x14ac:dyDescent="0.3">
      <c r="B176" s="460"/>
    </row>
    <row r="177" spans="2:2" hidden="1" x14ac:dyDescent="0.3">
      <c r="B177" s="460"/>
    </row>
    <row r="178" spans="2:2" hidden="1" x14ac:dyDescent="0.3">
      <c r="B178" s="460"/>
    </row>
    <row r="179" spans="2:2" hidden="1" x14ac:dyDescent="0.3">
      <c r="B179" s="460"/>
    </row>
    <row r="180" spans="2:2" hidden="1" x14ac:dyDescent="0.3">
      <c r="B180" s="460"/>
    </row>
    <row r="181" spans="2:2" hidden="1" x14ac:dyDescent="0.3">
      <c r="B181" s="460"/>
    </row>
    <row r="182" spans="2:2" hidden="1" x14ac:dyDescent="0.3">
      <c r="B182" s="460"/>
    </row>
    <row r="183" spans="2:2" hidden="1" x14ac:dyDescent="0.3">
      <c r="B183" s="460"/>
    </row>
    <row r="184" spans="2:2" hidden="1" x14ac:dyDescent="0.3">
      <c r="B184" s="460"/>
    </row>
    <row r="185" spans="2:2" hidden="1" x14ac:dyDescent="0.3">
      <c r="B185" s="460"/>
    </row>
    <row r="186" spans="2:2" hidden="1" x14ac:dyDescent="0.3">
      <c r="B186" s="460"/>
    </row>
    <row r="187" spans="2:2" hidden="1" x14ac:dyDescent="0.3">
      <c r="B187" s="460"/>
    </row>
    <row r="188" spans="2:2" hidden="1" x14ac:dyDescent="0.3">
      <c r="B188" s="460"/>
    </row>
    <row r="189" spans="2:2" hidden="1" x14ac:dyDescent="0.3">
      <c r="B189" s="460"/>
    </row>
    <row r="190" spans="2:2" hidden="1" x14ac:dyDescent="0.3">
      <c r="B190" s="460"/>
    </row>
    <row r="191" spans="2:2" hidden="1" x14ac:dyDescent="0.3">
      <c r="B191" s="460"/>
    </row>
    <row r="192" spans="2:2" hidden="1" x14ac:dyDescent="0.3">
      <c r="B192" s="460"/>
    </row>
    <row r="193" spans="2:2" hidden="1" x14ac:dyDescent="0.3">
      <c r="B193" s="460"/>
    </row>
    <row r="194" spans="2:2" hidden="1" x14ac:dyDescent="0.3">
      <c r="B194" s="460"/>
    </row>
    <row r="195" spans="2:2" hidden="1" x14ac:dyDescent="0.3">
      <c r="B195" s="460"/>
    </row>
    <row r="196" spans="2:2" hidden="1" x14ac:dyDescent="0.3">
      <c r="B196" s="460"/>
    </row>
    <row r="197" spans="2:2" hidden="1" x14ac:dyDescent="0.3">
      <c r="B197" s="460"/>
    </row>
    <row r="198" spans="2:2" hidden="1" x14ac:dyDescent="0.3">
      <c r="B198" s="460"/>
    </row>
    <row r="199" spans="2:2" hidden="1" x14ac:dyDescent="0.3">
      <c r="B199" s="460"/>
    </row>
    <row r="200" spans="2:2" hidden="1" x14ac:dyDescent="0.3">
      <c r="B200" s="460"/>
    </row>
    <row r="201" spans="2:2" hidden="1" x14ac:dyDescent="0.3">
      <c r="B201" s="460"/>
    </row>
    <row r="202" spans="2:2" hidden="1" x14ac:dyDescent="0.3">
      <c r="B202" s="460"/>
    </row>
    <row r="203" spans="2:2" hidden="1" x14ac:dyDescent="0.3">
      <c r="B203" s="460"/>
    </row>
    <row r="204" spans="2:2" hidden="1" x14ac:dyDescent="0.3">
      <c r="B204" s="460"/>
    </row>
    <row r="205" spans="2:2" hidden="1" x14ac:dyDescent="0.3">
      <c r="B205" s="460"/>
    </row>
    <row r="206" spans="2:2" hidden="1" x14ac:dyDescent="0.3">
      <c r="B206" s="460"/>
    </row>
    <row r="207" spans="2:2" hidden="1" x14ac:dyDescent="0.3">
      <c r="B207" s="460"/>
    </row>
    <row r="208" spans="2:2" hidden="1" x14ac:dyDescent="0.3">
      <c r="B208" s="460"/>
    </row>
    <row r="209" spans="2:2" hidden="1" x14ac:dyDescent="0.3">
      <c r="B209" s="460"/>
    </row>
    <row r="210" spans="2:2" hidden="1" x14ac:dyDescent="0.3">
      <c r="B210" s="460"/>
    </row>
    <row r="211" spans="2:2" hidden="1" x14ac:dyDescent="0.3">
      <c r="B211" s="461"/>
    </row>
  </sheetData>
  <sheetProtection algorithmName="SHA-512" hashValue="I6XTQu0ilq3VJqKMIRrO+TdF+4C/D/PkPAABX4OXNZY5W/fvKyIiI/yc0vtyKpotOtU1P3bumHN3RUVw/KbvcA==" saltValue="wser2f+IrtRRFrCwHzFHcQ==" spinCount="100000" sheet="1" objects="1" scenarios="1"/>
  <autoFilter ref="B2:D150" xr:uid="{00000000-0009-0000-0000-000022000000}"/>
  <customSheetViews>
    <customSheetView guid="{8BDA793C-C9C5-4FC6-A0A5-F1109F6D4F22}" state="hidden">
      <selection activeCell="D14" sqref="D14"/>
    </customSheetView>
  </customSheetView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4">
    <tabColor theme="0" tint="-0.249977111117893"/>
  </sheetPr>
  <dimension ref="A1:R53"/>
  <sheetViews>
    <sheetView showGridLines="0" showRowColHeaders="0" zoomScaleNormal="100" workbookViewId="0"/>
  </sheetViews>
  <sheetFormatPr defaultColWidth="9.109375" defaultRowHeight="14.4" customHeight="1" zeroHeight="1" x14ac:dyDescent="0.3"/>
  <cols>
    <col min="1" max="3" width="2.109375" style="9" customWidth="1"/>
    <col min="4" max="4" width="18.6640625" style="9" customWidth="1"/>
    <col min="5" max="8" width="9.109375" style="9" customWidth="1"/>
    <col min="9" max="9" width="7" style="9" customWidth="1"/>
    <col min="10" max="12" width="9.109375" style="9" customWidth="1"/>
    <col min="13" max="13" width="12.109375" style="9" customWidth="1"/>
    <col min="14" max="14" width="5.6640625" style="9" customWidth="1"/>
    <col min="15" max="15" width="9.109375" style="9" customWidth="1"/>
    <col min="16" max="16" width="34.5546875" style="9" customWidth="1"/>
    <col min="17" max="17" width="13.6640625" style="9" bestFit="1" customWidth="1"/>
    <col min="18" max="18" width="19.33203125" style="9" customWidth="1"/>
    <col min="19" max="20" width="9.109375" style="9" customWidth="1"/>
    <col min="21" max="16384" width="9.109375" style="9"/>
  </cols>
  <sheetData>
    <row r="1" spans="1:18" ht="15.75" customHeight="1" x14ac:dyDescent="0.6">
      <c r="B1" s="16"/>
      <c r="C1" s="16"/>
      <c r="E1" s="17"/>
      <c r="F1" s="760"/>
      <c r="G1" s="760"/>
      <c r="H1" s="760"/>
      <c r="I1" s="760"/>
      <c r="J1" s="760"/>
      <c r="K1" s="761"/>
      <c r="L1" s="761"/>
      <c r="M1" s="761"/>
      <c r="N1" s="761"/>
      <c r="O1" s="761"/>
    </row>
    <row r="2" spans="1:18" ht="15.75" customHeight="1" x14ac:dyDescent="0.6">
      <c r="B2" s="16"/>
      <c r="C2" s="16"/>
      <c r="E2" s="17"/>
    </row>
    <row r="3" spans="1:18" ht="15.75" customHeight="1" x14ac:dyDescent="0.6">
      <c r="A3" s="17"/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8" ht="16.5" customHeight="1" x14ac:dyDescent="0.6">
      <c r="A4" s="17"/>
      <c r="B4" s="17"/>
      <c r="C4" s="17"/>
      <c r="D4" s="17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8" ht="16.5" customHeight="1" x14ac:dyDescent="0.6">
      <c r="A5" s="17"/>
      <c r="B5" s="17"/>
      <c r="C5" s="17"/>
      <c r="D5" s="17"/>
      <c r="E5" s="17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6.5" customHeight="1" x14ac:dyDescent="0.6">
      <c r="B6" s="16"/>
      <c r="C6" s="16"/>
      <c r="D6" s="17"/>
      <c r="E6" s="17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6.5" customHeight="1" x14ac:dyDescent="0.6">
      <c r="B7" s="16"/>
      <c r="C7" s="17"/>
      <c r="D7" s="17"/>
      <c r="E7" s="17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16.5" customHeight="1" x14ac:dyDescent="0.6">
      <c r="B8" s="16"/>
      <c r="C8" s="16"/>
      <c r="D8" s="17"/>
      <c r="E8" s="1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6.5" customHeight="1" x14ac:dyDescent="0.3">
      <c r="B9" s="16"/>
      <c r="C9" s="16"/>
      <c r="D9" s="20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30" customHeight="1" x14ac:dyDescent="0.4">
      <c r="B10" s="16"/>
      <c r="C10" s="16"/>
      <c r="D10" s="1129"/>
      <c r="E10" s="1129"/>
      <c r="F10" s="1129"/>
      <c r="G10" s="1129"/>
      <c r="H10" s="1129"/>
      <c r="I10" s="1129"/>
      <c r="J10" s="1129"/>
      <c r="K10" s="1129"/>
      <c r="L10" s="1129"/>
      <c r="M10" s="1129"/>
    </row>
    <row r="11" spans="1:18" ht="16.5" customHeight="1" x14ac:dyDescent="0.3">
      <c r="B11" s="16"/>
      <c r="C11" s="16"/>
    </row>
    <row r="12" spans="1:18" ht="16.5" customHeight="1" x14ac:dyDescent="0.3">
      <c r="B12" s="16"/>
      <c r="C12" s="16"/>
    </row>
    <row r="13" spans="1:18" ht="16.5" customHeight="1" x14ac:dyDescent="0.3">
      <c r="B13" s="16"/>
      <c r="C13" s="16"/>
    </row>
    <row r="14" spans="1:18" ht="16.5" customHeight="1" x14ac:dyDescent="0.3">
      <c r="B14" s="16"/>
      <c r="C14" s="16"/>
    </row>
    <row r="15" spans="1:18" ht="16.5" customHeight="1" x14ac:dyDescent="0.3">
      <c r="B15" s="16"/>
      <c r="C15" s="16"/>
    </row>
    <row r="16" spans="1:18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hidden="1" x14ac:dyDescent="0.3"/>
  </sheetData>
  <sheetProtection algorithmName="SHA-512" hashValue="7T4sSQzJQSEb3SNWIBAdma+qP61YalEc5ylDgOC00Kie7jETZPyUfVIfcWQEW0eQRuhevLCHKRniQL0XvEmnqQ==" saltValue="u8PwnPBRac7cJsWi2u/AVQ==" spinCount="100000" sheet="1" objects="1" scenarios="1"/>
  <customSheetViews>
    <customSheetView guid="{8BDA793C-C9C5-4FC6-A0A5-F1109F6D4F22}" state="hidden">
      <selection activeCell="D14" sqref="D14"/>
    </customSheetView>
  </customSheetViews>
  <mergeCells count="3">
    <mergeCell ref="F1:J1"/>
    <mergeCell ref="K1:O1"/>
    <mergeCell ref="D10:M10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">
    <tabColor theme="0" tint="-0.249977111117893"/>
  </sheetPr>
  <dimension ref="A1:D378"/>
  <sheetViews>
    <sheetView showGridLines="0" showRowColHeaders="0" workbookViewId="0">
      <selection activeCell="B18" sqref="B18:I19"/>
    </sheetView>
  </sheetViews>
  <sheetFormatPr defaultColWidth="9.109375" defaultRowHeight="14.4" x14ac:dyDescent="0.3"/>
  <cols>
    <col min="1" max="1" width="41.33203125" style="410" customWidth="1"/>
    <col min="2" max="2" width="56.44140625" style="410" bestFit="1" customWidth="1"/>
    <col min="3" max="3" width="9.109375" style="410"/>
    <col min="4" max="4" width="48.88671875" style="410" customWidth="1"/>
    <col min="5" max="16384" width="9.109375" style="410"/>
  </cols>
  <sheetData>
    <row r="1" spans="1:4" s="411" customFormat="1" x14ac:dyDescent="0.3">
      <c r="A1" s="468" t="s">
        <v>759</v>
      </c>
      <c r="B1" s="469" t="s">
        <v>760</v>
      </c>
      <c r="D1" s="418" t="s">
        <v>1350</v>
      </c>
    </row>
    <row r="2" spans="1:4" x14ac:dyDescent="0.3">
      <c r="A2" s="416" t="s">
        <v>382</v>
      </c>
      <c r="B2" s="415" t="s">
        <v>761</v>
      </c>
      <c r="D2" s="416" t="str">
        <f>'G-1 All Habitats'!B3</f>
        <v>Cropland - Arable field margins cultivated annually</v>
      </c>
    </row>
    <row r="3" spans="1:4" x14ac:dyDescent="0.3">
      <c r="A3" s="416" t="s">
        <v>383</v>
      </c>
      <c r="B3" s="415" t="s">
        <v>762</v>
      </c>
      <c r="D3" s="416" t="str">
        <f>'G-1 All Habitats'!B4</f>
        <v>Cropland - Arable field margins game bird mix</v>
      </c>
    </row>
    <row r="4" spans="1:4" x14ac:dyDescent="0.3">
      <c r="A4" s="416" t="s">
        <v>384</v>
      </c>
      <c r="B4" s="415" t="s">
        <v>774</v>
      </c>
      <c r="D4" s="416" t="str">
        <f>'G-1 All Habitats'!B5</f>
        <v>Cropland - Arable field margins pollen &amp; nectar</v>
      </c>
    </row>
    <row r="5" spans="1:4" x14ac:dyDescent="0.3">
      <c r="A5" s="416" t="s">
        <v>385</v>
      </c>
      <c r="B5" s="415" t="s">
        <v>763</v>
      </c>
      <c r="D5" s="416" t="str">
        <f>'G-1 All Habitats'!B6</f>
        <v>Cropland - Arable field margins tussocky</v>
      </c>
    </row>
    <row r="6" spans="1:4" x14ac:dyDescent="0.3">
      <c r="A6" s="416" t="s">
        <v>386</v>
      </c>
      <c r="B6" s="415" t="s">
        <v>764</v>
      </c>
      <c r="D6" s="416" t="str">
        <f>'G-1 All Habitats'!B7</f>
        <v>Cropland - Cereal crops</v>
      </c>
    </row>
    <row r="7" spans="1:4" x14ac:dyDescent="0.3">
      <c r="A7" s="416" t="s">
        <v>387</v>
      </c>
      <c r="B7" s="415" t="s">
        <v>765</v>
      </c>
      <c r="D7" s="416" t="str">
        <f>'G-1 All Habitats'!B8</f>
        <v>Cropland - Cereal crops other</v>
      </c>
    </row>
    <row r="8" spans="1:4" x14ac:dyDescent="0.3">
      <c r="A8" s="416" t="s">
        <v>388</v>
      </c>
      <c r="B8" s="415" t="s">
        <v>766</v>
      </c>
      <c r="D8" s="416" t="str">
        <f>'G-1 All Habitats'!B9</f>
        <v>Cropland - Cereal crops winter stubble</v>
      </c>
    </row>
    <row r="9" spans="1:4" x14ac:dyDescent="0.3">
      <c r="A9" s="416" t="s">
        <v>389</v>
      </c>
      <c r="B9" s="415" t="s">
        <v>767</v>
      </c>
      <c r="D9" s="416" t="str">
        <f>'G-1 All Habitats'!B10</f>
        <v>Cropland - Horticulture</v>
      </c>
    </row>
    <row r="10" spans="1:4" x14ac:dyDescent="0.3">
      <c r="A10" s="416" t="s">
        <v>390</v>
      </c>
      <c r="B10" s="415" t="s">
        <v>768</v>
      </c>
      <c r="D10" s="416" t="str">
        <f>'G-1 All Habitats'!B11</f>
        <v>Cropland - Intensive orchards</v>
      </c>
    </row>
    <row r="11" spans="1:4" x14ac:dyDescent="0.3">
      <c r="A11" s="416" t="s">
        <v>391</v>
      </c>
      <c r="B11" s="415" t="s">
        <v>769</v>
      </c>
      <c r="D11" s="416" t="str">
        <f>'G-1 All Habitats'!B12</f>
        <v>Cropland - Non-cereal crops</v>
      </c>
    </row>
    <row r="12" spans="1:4" x14ac:dyDescent="0.3">
      <c r="A12" s="416" t="s">
        <v>392</v>
      </c>
      <c r="B12" s="415" t="s">
        <v>770</v>
      </c>
      <c r="D12" s="416" t="str">
        <f>'G-1 All Habitats'!B13</f>
        <v>Cropland - Temporary grass and clover leys</v>
      </c>
    </row>
    <row r="13" spans="1:4" x14ac:dyDescent="0.3">
      <c r="A13" s="416" t="s">
        <v>393</v>
      </c>
      <c r="B13" s="415" t="s">
        <v>771</v>
      </c>
      <c r="D13" s="416" t="str">
        <f>'G-1 All Habitats'!B14</f>
        <v>Grassland - Traditional orchards</v>
      </c>
    </row>
    <row r="14" spans="1:4" x14ac:dyDescent="0.3">
      <c r="A14" s="416" t="s">
        <v>394</v>
      </c>
      <c r="B14" s="415" t="s">
        <v>772</v>
      </c>
      <c r="D14" s="416" t="str">
        <f>'G-1 All Habitats'!B15</f>
        <v>Grassland - Bracken</v>
      </c>
    </row>
    <row r="15" spans="1:4" x14ac:dyDescent="0.3">
      <c r="A15" s="416" t="s">
        <v>395</v>
      </c>
      <c r="B15" s="415" t="s">
        <v>773</v>
      </c>
      <c r="D15" s="416" t="str">
        <f>'G-1 All Habitats'!B16</f>
        <v>Grassland - Floodplain Wetland Mosaic (CFGM)</v>
      </c>
    </row>
    <row r="16" spans="1:4" x14ac:dyDescent="0.3">
      <c r="A16" s="416" t="s">
        <v>396</v>
      </c>
      <c r="B16" s="415" t="s">
        <v>1048</v>
      </c>
      <c r="D16" s="416" t="str">
        <f>'G-1 All Habitats'!B17</f>
        <v>Grassland - Lowland calcareous grassland</v>
      </c>
    </row>
    <row r="17" spans="1:4" x14ac:dyDescent="0.3">
      <c r="A17" s="416" t="s">
        <v>397</v>
      </c>
      <c r="D17" s="416" t="str">
        <f>'G-1 All Habitats'!B18</f>
        <v>Grassland - Lowland dry acid grassland</v>
      </c>
    </row>
    <row r="18" spans="1:4" x14ac:dyDescent="0.3">
      <c r="A18" s="416" t="s">
        <v>398</v>
      </c>
      <c r="D18" s="416" t="str">
        <f>'G-1 All Habitats'!B19</f>
        <v>Grassland - Lowland meadows</v>
      </c>
    </row>
    <row r="19" spans="1:4" x14ac:dyDescent="0.3">
      <c r="A19" s="416" t="s">
        <v>399</v>
      </c>
      <c r="D19" s="416" t="str">
        <f>'G-1 All Habitats'!B20</f>
        <v>Grassland - Modified grassland</v>
      </c>
    </row>
    <row r="20" spans="1:4" x14ac:dyDescent="0.3">
      <c r="A20" s="416" t="s">
        <v>400</v>
      </c>
      <c r="D20" s="416" t="str">
        <f>'G-1 All Habitats'!B21</f>
        <v>Grassland - Other lowland acid grassland</v>
      </c>
    </row>
    <row r="21" spans="1:4" x14ac:dyDescent="0.3">
      <c r="A21" s="416" t="s">
        <v>401</v>
      </c>
      <c r="D21" s="416" t="str">
        <f>'G-1 All Habitats'!B22</f>
        <v>Grassland - Other neutral grassland</v>
      </c>
    </row>
    <row r="22" spans="1:4" x14ac:dyDescent="0.3">
      <c r="A22" s="416" t="s">
        <v>402</v>
      </c>
      <c r="D22" s="416" t="str">
        <f>'G-1 All Habitats'!B23</f>
        <v>Grassland - Tall herb communities</v>
      </c>
    </row>
    <row r="23" spans="1:4" x14ac:dyDescent="0.3">
      <c r="A23" s="416" t="s">
        <v>403</v>
      </c>
      <c r="D23" s="416" t="str">
        <f>'G-1 All Habitats'!B24</f>
        <v>Grassland - Upland acid grassland</v>
      </c>
    </row>
    <row r="24" spans="1:4" x14ac:dyDescent="0.3">
      <c r="A24" s="416" t="s">
        <v>404</v>
      </c>
      <c r="D24" s="416" t="str">
        <f>'G-1 All Habitats'!B25</f>
        <v>Grassland - Upland calcareous grassland</v>
      </c>
    </row>
    <row r="25" spans="1:4" x14ac:dyDescent="0.3">
      <c r="A25" s="416" t="s">
        <v>405</v>
      </c>
      <c r="D25" s="416" t="str">
        <f>'G-1 All Habitats'!B26</f>
        <v>Grassland - Upland hay meadows</v>
      </c>
    </row>
    <row r="26" spans="1:4" x14ac:dyDescent="0.3">
      <c r="A26" s="416" t="s">
        <v>406</v>
      </c>
      <c r="D26" s="416" t="str">
        <f>'G-1 All Habitats'!B27</f>
        <v>Heathland and shrub - Blackthorn scrub</v>
      </c>
    </row>
    <row r="27" spans="1:4" x14ac:dyDescent="0.3">
      <c r="A27" s="416" t="s">
        <v>407</v>
      </c>
      <c r="D27" s="416" t="str">
        <f>'G-1 All Habitats'!B28</f>
        <v>Heathland and shrub - Bramble scrub</v>
      </c>
    </row>
    <row r="28" spans="1:4" x14ac:dyDescent="0.3">
      <c r="A28" s="416" t="s">
        <v>408</v>
      </c>
      <c r="D28" s="416" t="str">
        <f>'G-1 All Habitats'!B29</f>
        <v>Heathland and shrub - Gorse scrub</v>
      </c>
    </row>
    <row r="29" spans="1:4" x14ac:dyDescent="0.3">
      <c r="A29" s="416" t="s">
        <v>409</v>
      </c>
      <c r="D29" s="416" t="str">
        <f>'G-1 All Habitats'!B30</f>
        <v>Heathland and shrub - Hawthorn scrub</v>
      </c>
    </row>
    <row r="30" spans="1:4" x14ac:dyDescent="0.3">
      <c r="A30" s="416" t="s">
        <v>410</v>
      </c>
      <c r="D30" s="416" t="str">
        <f>'G-1 All Habitats'!B31</f>
        <v>Heathland and shrub - Hazel scrub</v>
      </c>
    </row>
    <row r="31" spans="1:4" x14ac:dyDescent="0.3">
      <c r="A31" s="416" t="s">
        <v>411</v>
      </c>
      <c r="D31" s="416" t="str">
        <f>'G-1 All Habitats'!B32</f>
        <v>Heathland and shrub - Lowland Heathland</v>
      </c>
    </row>
    <row r="32" spans="1:4" x14ac:dyDescent="0.3">
      <c r="A32" s="416" t="s">
        <v>412</v>
      </c>
      <c r="D32" s="416" t="str">
        <f>'G-1 All Habitats'!B33</f>
        <v>Heathland and shrub - Mixed scrub</v>
      </c>
    </row>
    <row r="33" spans="1:4" x14ac:dyDescent="0.3">
      <c r="A33" s="416" t="s">
        <v>413</v>
      </c>
      <c r="D33" s="416" t="str">
        <f>'G-1 All Habitats'!B34</f>
        <v>Heathland and shrub - Mountain heaths and willow scrub</v>
      </c>
    </row>
    <row r="34" spans="1:4" x14ac:dyDescent="0.3">
      <c r="A34" s="416" t="s">
        <v>414</v>
      </c>
      <c r="D34" s="416" t="str">
        <f>'G-1 All Habitats'!B35</f>
        <v>Heathland and shrub - Rhododendron scrub</v>
      </c>
    </row>
    <row r="35" spans="1:4" x14ac:dyDescent="0.3">
      <c r="A35" s="416" t="s">
        <v>415</v>
      </c>
      <c r="D35" s="416" t="str">
        <f>'G-1 All Habitats'!B36</f>
        <v>Heathland and shrub - Sea buckthorn scrub (Annex 1)</v>
      </c>
    </row>
    <row r="36" spans="1:4" x14ac:dyDescent="0.3">
      <c r="A36" s="416" t="s">
        <v>416</v>
      </c>
      <c r="D36" s="416" t="str">
        <f>'G-1 All Habitats'!B37</f>
        <v>Heathland and shrub - Sea buckthorn scrub (other)</v>
      </c>
    </row>
    <row r="37" spans="1:4" x14ac:dyDescent="0.3">
      <c r="A37" s="416" t="s">
        <v>417</v>
      </c>
      <c r="D37" s="416" t="str">
        <f>'G-1 All Habitats'!B38</f>
        <v>Heathland and shrub - Upland Heathland</v>
      </c>
    </row>
    <row r="38" spans="1:4" x14ac:dyDescent="0.3">
      <c r="A38" s="416" t="s">
        <v>418</v>
      </c>
      <c r="D38" s="416" t="str">
        <f>'G-1 All Habitats'!B39</f>
        <v>Lakes - Aquifer fed naturally fluctuating water bodies</v>
      </c>
    </row>
    <row r="39" spans="1:4" x14ac:dyDescent="0.3">
      <c r="A39" s="416" t="s">
        <v>419</v>
      </c>
      <c r="D39" s="416" t="e">
        <f>'G-1 All Habitats'!#REF!</f>
        <v>#REF!</v>
      </c>
    </row>
    <row r="40" spans="1:4" x14ac:dyDescent="0.3">
      <c r="A40" s="416" t="s">
        <v>420</v>
      </c>
      <c r="D40" s="416" t="str">
        <f>'G-1 All Habitats'!B41</f>
        <v>Lakes - High alkalinity lakes</v>
      </c>
    </row>
    <row r="41" spans="1:4" x14ac:dyDescent="0.3">
      <c r="A41" s="416" t="s">
        <v>421</v>
      </c>
      <c r="D41" s="416" t="str">
        <f>'G-1 All Habitats'!B42</f>
        <v>Lakes - Low alkalinity lakes</v>
      </c>
    </row>
    <row r="42" spans="1:4" x14ac:dyDescent="0.3">
      <c r="A42" s="416" t="s">
        <v>422</v>
      </c>
      <c r="D42" s="416" t="str">
        <f>'G-1 All Habitats'!B43</f>
        <v>Lakes - Marl Lakes</v>
      </c>
    </row>
    <row r="43" spans="1:4" x14ac:dyDescent="0.3">
      <c r="A43" s="416" t="s">
        <v>423</v>
      </c>
      <c r="D43" s="416" t="str">
        <f>'G-1 All Habitats'!B44</f>
        <v>Lakes - Moderate alkalinity lakes</v>
      </c>
    </row>
    <row r="44" spans="1:4" x14ac:dyDescent="0.3">
      <c r="A44" s="416" t="s">
        <v>424</v>
      </c>
      <c r="D44" s="416" t="str">
        <f>'G-1 All Habitats'!B45</f>
        <v>Lakes - Peat Lakes</v>
      </c>
    </row>
    <row r="45" spans="1:4" x14ac:dyDescent="0.3">
      <c r="A45" s="416" t="s">
        <v>425</v>
      </c>
      <c r="D45" s="416" t="str">
        <f>'G-1 All Habitats'!B46</f>
        <v>Lakes - Ponds (Priority Habitat)</v>
      </c>
    </row>
    <row r="46" spans="1:4" x14ac:dyDescent="0.3">
      <c r="A46" s="416" t="s">
        <v>426</v>
      </c>
      <c r="D46" s="416" t="str">
        <f>'G-1 All Habitats'!B47</f>
        <v>Lakes - Ponds (Non- Priority Habitat)</v>
      </c>
    </row>
    <row r="47" spans="1:4" x14ac:dyDescent="0.3">
      <c r="A47" s="416" t="s">
        <v>427</v>
      </c>
      <c r="D47" s="416" t="str">
        <f>'G-1 All Habitats'!B48</f>
        <v>Lakes - Reservoirs</v>
      </c>
    </row>
    <row r="48" spans="1:4" x14ac:dyDescent="0.3">
      <c r="A48" s="416" t="s">
        <v>428</v>
      </c>
      <c r="D48" s="416" t="str">
        <f>'G-1 All Habitats'!B49</f>
        <v>Lakes - Temporary lakes, ponds and pools</v>
      </c>
    </row>
    <row r="49" spans="1:4" x14ac:dyDescent="0.3">
      <c r="A49" s="416" t="s">
        <v>429</v>
      </c>
      <c r="D49" s="416" t="str">
        <f>'G-1 All Habitats'!B50</f>
        <v>Sparsely vegetated land - Calaminarian grasslands</v>
      </c>
    </row>
    <row r="50" spans="1:4" x14ac:dyDescent="0.3">
      <c r="A50" s="416" t="s">
        <v>430</v>
      </c>
      <c r="D50" s="416" t="str">
        <f>'G-1 All Habitats'!B51</f>
        <v>Sparsely vegetated land - Coastal sand dunes</v>
      </c>
    </row>
    <row r="51" spans="1:4" x14ac:dyDescent="0.3">
      <c r="A51" s="416" t="s">
        <v>431</v>
      </c>
      <c r="D51" s="416" t="str">
        <f>'G-1 All Habitats'!B52</f>
        <v>Sparsely vegetated land - Coastal vegetated shingle</v>
      </c>
    </row>
    <row r="52" spans="1:4" x14ac:dyDescent="0.3">
      <c r="A52" s="416" t="s">
        <v>432</v>
      </c>
      <c r="D52" s="416" t="str">
        <f>'G-1 All Habitats'!B53</f>
        <v>Sparsely vegetated land - Ruderal/Ephemeral</v>
      </c>
    </row>
    <row r="53" spans="1:4" x14ac:dyDescent="0.3">
      <c r="A53" s="416" t="s">
        <v>433</v>
      </c>
      <c r="D53" s="416" t="str">
        <f>'G-1 All Habitats'!B54</f>
        <v>Sparsely vegetated land - Inland rock outcrop and scree habitats</v>
      </c>
    </row>
    <row r="54" spans="1:4" x14ac:dyDescent="0.3">
      <c r="A54" s="416" t="s">
        <v>434</v>
      </c>
      <c r="D54" s="416" t="str">
        <f>'G-1 All Habitats'!B55</f>
        <v>Sparsely vegetated land - Limestone pavement</v>
      </c>
    </row>
    <row r="55" spans="1:4" x14ac:dyDescent="0.3">
      <c r="A55" s="416" t="s">
        <v>435</v>
      </c>
      <c r="D55" s="416" t="str">
        <f>'G-1 All Habitats'!B56</f>
        <v>Sparsely vegetated land - Maritime cliff and slopes</v>
      </c>
    </row>
    <row r="56" spans="1:4" x14ac:dyDescent="0.3">
      <c r="A56" s="416" t="s">
        <v>436</v>
      </c>
      <c r="D56" s="416" t="str">
        <f>'G-1 All Habitats'!B57</f>
        <v>Sparsely vegetated land - Other inland rock and scree</v>
      </c>
    </row>
    <row r="57" spans="1:4" x14ac:dyDescent="0.3">
      <c r="A57" s="416" t="s">
        <v>437</v>
      </c>
      <c r="D57" s="416" t="str">
        <f>'G-1 All Habitats'!B58</f>
        <v>Urban - Allotments</v>
      </c>
    </row>
    <row r="58" spans="1:4" x14ac:dyDescent="0.3">
      <c r="A58" s="416" t="s">
        <v>438</v>
      </c>
      <c r="D58" s="416" t="str">
        <f>'G-1 All Habitats'!B40</f>
        <v>Lakes - Ornamental lake or pond</v>
      </c>
    </row>
    <row r="59" spans="1:4" x14ac:dyDescent="0.3">
      <c r="A59" s="416" t="s">
        <v>439</v>
      </c>
      <c r="D59" s="416" t="str">
        <f>'G-1 All Habitats'!B59</f>
        <v>Urban - Artificial unvegetated, unsealed surface</v>
      </c>
    </row>
    <row r="60" spans="1:4" x14ac:dyDescent="0.3">
      <c r="A60" s="416" t="s">
        <v>440</v>
      </c>
      <c r="D60" s="416" t="str">
        <f>'G-1 All Habitats'!B60</f>
        <v>Urban - Bioswale</v>
      </c>
    </row>
    <row r="61" spans="1:4" x14ac:dyDescent="0.3">
      <c r="A61" s="416" t="s">
        <v>441</v>
      </c>
      <c r="D61" s="416" t="str">
        <f>'G-1 All Habitats'!B61</f>
        <v>Urban - Brown roof</v>
      </c>
    </row>
    <row r="62" spans="1:4" x14ac:dyDescent="0.3">
      <c r="A62" s="416" t="s">
        <v>442</v>
      </c>
      <c r="D62" s="416" t="str">
        <f>'G-1 All Habitats'!B62</f>
        <v>Urban - Built linear features</v>
      </c>
    </row>
    <row r="63" spans="1:4" x14ac:dyDescent="0.3">
      <c r="A63" s="416" t="s">
        <v>443</v>
      </c>
      <c r="D63" s="416" t="str">
        <f>'G-1 All Habitats'!B63</f>
        <v>Urban - Cemeteries and churchyards</v>
      </c>
    </row>
    <row r="64" spans="1:4" x14ac:dyDescent="0.3">
      <c r="A64" s="416" t="s">
        <v>444</v>
      </c>
      <c r="D64" s="416" t="str">
        <f>'G-1 All Habitats'!B64</f>
        <v>Urban - Developed land; sealed surface</v>
      </c>
    </row>
    <row r="65" spans="1:4" x14ac:dyDescent="0.3">
      <c r="A65" s="416" t="s">
        <v>445</v>
      </c>
      <c r="D65" s="416" t="str">
        <f>'G-1 All Habitats'!B65</f>
        <v>Urban - Extensive green roof</v>
      </c>
    </row>
    <row r="66" spans="1:4" x14ac:dyDescent="0.3">
      <c r="A66" s="416" t="s">
        <v>446</v>
      </c>
      <c r="D66" s="416" t="str">
        <f>'G-1 All Habitats'!B66</f>
        <v>Urban - Facade-bound green wall</v>
      </c>
    </row>
    <row r="67" spans="1:4" x14ac:dyDescent="0.3">
      <c r="A67" s="416" t="s">
        <v>447</v>
      </c>
      <c r="D67" s="416" t="str">
        <f>'G-1 All Habitats'!B67</f>
        <v>Urban - Ground based green wall</v>
      </c>
    </row>
    <row r="68" spans="1:4" x14ac:dyDescent="0.3">
      <c r="A68" s="416" t="s">
        <v>448</v>
      </c>
      <c r="D68" s="416" t="str">
        <f>'G-1 All Habitats'!B68</f>
        <v>Urban - Ground level planters</v>
      </c>
    </row>
    <row r="69" spans="1:4" x14ac:dyDescent="0.3">
      <c r="A69" s="416" t="s">
        <v>449</v>
      </c>
      <c r="D69" s="416" t="str">
        <f>'G-1 All Habitats'!B69</f>
        <v>Urban - Intensive green roof</v>
      </c>
    </row>
    <row r="70" spans="1:4" x14ac:dyDescent="0.3">
      <c r="A70" s="416" t="s">
        <v>450</v>
      </c>
      <c r="D70" s="416" t="str">
        <f>'G-1 All Habitats'!B70</f>
        <v>Urban - Introduced shrub</v>
      </c>
    </row>
    <row r="71" spans="1:4" x14ac:dyDescent="0.3">
      <c r="A71" s="416" t="s">
        <v>451</v>
      </c>
      <c r="D71" s="416" t="e">
        <f>'G-1 All Habitats'!#REF!</f>
        <v>#REF!</v>
      </c>
    </row>
    <row r="72" spans="1:4" x14ac:dyDescent="0.3">
      <c r="A72" s="416" t="s">
        <v>452</v>
      </c>
      <c r="D72" s="416" t="str">
        <f>'G-1 All Habitats'!B71</f>
        <v>Urban - Open Mosaic Habitats on Previously Developed Land</v>
      </c>
    </row>
    <row r="73" spans="1:4" x14ac:dyDescent="0.3">
      <c r="A73" s="416" t="s">
        <v>453</v>
      </c>
      <c r="D73" s="416" t="e">
        <f>'G-1 All Habitats'!#REF!</f>
        <v>#REF!</v>
      </c>
    </row>
    <row r="74" spans="1:4" x14ac:dyDescent="0.3">
      <c r="A74" s="416" t="s">
        <v>454</v>
      </c>
      <c r="D74" s="416" t="str">
        <f>'G-1 All Habitats'!B72</f>
        <v>Urban - Rain garden</v>
      </c>
    </row>
    <row r="75" spans="1:4" x14ac:dyDescent="0.3">
      <c r="A75" s="416" t="s">
        <v>455</v>
      </c>
      <c r="D75" s="416" t="str">
        <f>'G-1 All Habitats'!B73</f>
        <v>Urban - Sand pit quarry or open cast mine</v>
      </c>
    </row>
    <row r="76" spans="1:4" x14ac:dyDescent="0.3">
      <c r="A76" s="416" t="s">
        <v>456</v>
      </c>
      <c r="D76" s="416" t="str">
        <f>'G-1 All Habitats'!B74</f>
        <v>Urban - Urban Tree</v>
      </c>
    </row>
    <row r="77" spans="1:4" x14ac:dyDescent="0.3">
      <c r="A77" s="416" t="s">
        <v>457</v>
      </c>
      <c r="D77" s="416" t="e">
        <f>'G-1 All Habitats'!#REF!</f>
        <v>#REF!</v>
      </c>
    </row>
    <row r="78" spans="1:4" x14ac:dyDescent="0.3">
      <c r="A78" s="416" t="s">
        <v>458</v>
      </c>
      <c r="D78" s="416" t="str">
        <f>'G-1 All Habitats'!B75</f>
        <v>Urban - Sustainable urban drainage feature</v>
      </c>
    </row>
    <row r="79" spans="1:4" x14ac:dyDescent="0.3">
      <c r="A79" s="416" t="s">
        <v>459</v>
      </c>
      <c r="D79" s="416" t="str">
        <f>'G-1 All Habitats'!B76</f>
        <v>Urban - Un-vegetated garden</v>
      </c>
    </row>
    <row r="80" spans="1:4" x14ac:dyDescent="0.3">
      <c r="A80" s="416" t="s">
        <v>460</v>
      </c>
      <c r="D80" s="416" t="str">
        <f>'G-1 All Habitats'!B77</f>
        <v>Urban - Vacant/derelict land/ bareground</v>
      </c>
    </row>
    <row r="81" spans="1:4" x14ac:dyDescent="0.3">
      <c r="A81" s="416" t="s">
        <v>461</v>
      </c>
      <c r="D81" s="416" t="str">
        <f>'G-1 All Habitats'!B78</f>
        <v>Urban - Vegetated garden</v>
      </c>
    </row>
    <row r="82" spans="1:4" x14ac:dyDescent="0.3">
      <c r="A82" s="416" t="s">
        <v>462</v>
      </c>
      <c r="D82" s="416" t="e">
        <f>'G-1 All Habitats'!#REF!</f>
        <v>#REF!</v>
      </c>
    </row>
    <row r="83" spans="1:4" x14ac:dyDescent="0.3">
      <c r="A83" s="416" t="s">
        <v>463</v>
      </c>
      <c r="D83" s="416" t="str">
        <f>'G-1 All Habitats'!B79</f>
        <v>Wetland - Blanket bog</v>
      </c>
    </row>
    <row r="84" spans="1:4" x14ac:dyDescent="0.3">
      <c r="A84" s="416" t="s">
        <v>464</v>
      </c>
      <c r="D84" s="416" t="str">
        <f>'G-1 All Habitats'!B80</f>
        <v>Wetland - Depressions on Peat substrates (H7150)</v>
      </c>
    </row>
    <row r="85" spans="1:4" x14ac:dyDescent="0.3">
      <c r="A85" s="416" t="s">
        <v>465</v>
      </c>
      <c r="D85" s="416" t="str">
        <f>'G-1 All Habitats'!B81</f>
        <v>Wetland - Fens (upland and lowland)</v>
      </c>
    </row>
    <row r="86" spans="1:4" x14ac:dyDescent="0.3">
      <c r="A86" s="416" t="s">
        <v>466</v>
      </c>
      <c r="D86" s="416" t="str">
        <f>'G-1 All Habitats'!B82</f>
        <v>Wetland - Lowland raised bog</v>
      </c>
    </row>
    <row r="87" spans="1:4" x14ac:dyDescent="0.3">
      <c r="A87" s="416" t="s">
        <v>467</v>
      </c>
      <c r="D87" s="416" t="str">
        <f>'G-1 All Habitats'!B83</f>
        <v>Wetland - Oceanic Valley Mire[1] (D2.1)</v>
      </c>
    </row>
    <row r="88" spans="1:4" x14ac:dyDescent="0.3">
      <c r="A88" s="416" t="s">
        <v>468</v>
      </c>
      <c r="D88" s="416" t="str">
        <f>'G-1 All Habitats'!B84</f>
        <v>Wetland - Purple moor grass and rush pastures</v>
      </c>
    </row>
    <row r="89" spans="1:4" x14ac:dyDescent="0.3">
      <c r="A89" s="416" t="s">
        <v>469</v>
      </c>
      <c r="D89" s="416" t="str">
        <f>'G-1 All Habitats'!B85</f>
        <v>Wetland - Reedbeds</v>
      </c>
    </row>
    <row r="90" spans="1:4" x14ac:dyDescent="0.3">
      <c r="A90" s="416" t="s">
        <v>470</v>
      </c>
      <c r="D90" s="416" t="str">
        <f>'G-1 All Habitats'!B86</f>
        <v>Wetland - Transition mires and quaking bogs (H7140)</v>
      </c>
    </row>
    <row r="91" spans="1:4" x14ac:dyDescent="0.3">
      <c r="A91" s="416" t="s">
        <v>471</v>
      </c>
      <c r="D91" s="416" t="str">
        <f>'G-1 All Habitats'!B87</f>
        <v>Woodland and forest - Felled</v>
      </c>
    </row>
    <row r="92" spans="1:4" x14ac:dyDescent="0.3">
      <c r="A92" s="416" t="s">
        <v>472</v>
      </c>
      <c r="D92" s="416" t="str">
        <f>'G-1 All Habitats'!B88</f>
        <v>Woodland and forest - Lowland beech and yew woodland</v>
      </c>
    </row>
    <row r="93" spans="1:4" x14ac:dyDescent="0.3">
      <c r="A93" s="416" t="s">
        <v>473</v>
      </c>
      <c r="D93" s="416" t="str">
        <f>'G-1 All Habitats'!B89</f>
        <v>Woodland and forest - Lowland mixed deciduous woodland</v>
      </c>
    </row>
    <row r="94" spans="1:4" x14ac:dyDescent="0.3">
      <c r="A94" s="416" t="s">
        <v>474</v>
      </c>
      <c r="D94" s="416" t="str">
        <f>'G-1 All Habitats'!B90</f>
        <v>Woodland and forest - Native pine woodlands</v>
      </c>
    </row>
    <row r="95" spans="1:4" x14ac:dyDescent="0.3">
      <c r="A95" s="416" t="s">
        <v>475</v>
      </c>
      <c r="D95" s="416" t="str">
        <f>'G-1 All Habitats'!B91</f>
        <v>Woodland and forest - Other coniferous woodland</v>
      </c>
    </row>
    <row r="96" spans="1:4" x14ac:dyDescent="0.3">
      <c r="A96" s="416" t="s">
        <v>476</v>
      </c>
      <c r="D96" s="416" t="str">
        <f>'G-1 All Habitats'!B92</f>
        <v>Woodland and forest - Other Scot's Pine woodland</v>
      </c>
    </row>
    <row r="97" spans="1:4" x14ac:dyDescent="0.3">
      <c r="A97" s="416" t="s">
        <v>477</v>
      </c>
      <c r="D97" s="416" t="str">
        <f>'G-1 All Habitats'!B93</f>
        <v>Woodland and forest - Other woodland; broadleaved</v>
      </c>
    </row>
    <row r="98" spans="1:4" x14ac:dyDescent="0.3">
      <c r="A98" s="416" t="s">
        <v>478</v>
      </c>
      <c r="D98" s="416" t="str">
        <f>'G-1 All Habitats'!B94</f>
        <v>Woodland and forest - Other woodland; mixed</v>
      </c>
    </row>
    <row r="99" spans="1:4" x14ac:dyDescent="0.3">
      <c r="A99" s="416" t="s">
        <v>479</v>
      </c>
      <c r="D99" s="416" t="e">
        <f>'G-1 All Habitats'!#REF!</f>
        <v>#REF!</v>
      </c>
    </row>
    <row r="100" spans="1:4" x14ac:dyDescent="0.3">
      <c r="A100" s="416" t="s">
        <v>480</v>
      </c>
      <c r="D100" s="416" t="str">
        <f>'G-1 All Habitats'!B95</f>
        <v>Woodland and forest - Upland birchwoods</v>
      </c>
    </row>
    <row r="101" spans="1:4" x14ac:dyDescent="0.3">
      <c r="A101" s="416" t="s">
        <v>481</v>
      </c>
      <c r="D101" s="416" t="str">
        <f>'G-1 All Habitats'!B96</f>
        <v>Woodland and forest - Upland mixed ashwoods</v>
      </c>
    </row>
    <row r="102" spans="1:4" x14ac:dyDescent="0.3">
      <c r="A102" s="416" t="s">
        <v>482</v>
      </c>
      <c r="D102" s="416" t="str">
        <f>'G-1 All Habitats'!B97</f>
        <v>Woodland and forest - Upland oakwood</v>
      </c>
    </row>
    <row r="103" spans="1:4" x14ac:dyDescent="0.3">
      <c r="A103" s="416" t="s">
        <v>483</v>
      </c>
      <c r="D103" s="416" t="str">
        <f>'G-1 All Habitats'!B98</f>
        <v>Woodland and forest - Wet woodland</v>
      </c>
    </row>
    <row r="104" spans="1:4" x14ac:dyDescent="0.3">
      <c r="A104" s="416" t="s">
        <v>484</v>
      </c>
      <c r="D104" s="416" t="str">
        <f>'G-1 All Habitats'!B99</f>
        <v>Woodland and forest - Wood-pasture and parkland</v>
      </c>
    </row>
    <row r="105" spans="1:4" x14ac:dyDescent="0.3">
      <c r="A105" s="416" t="s">
        <v>485</v>
      </c>
      <c r="D105" s="416" t="str">
        <f>'G-1 All Habitats'!B100</f>
        <v>Coastal lagoons - Coastal lagoons</v>
      </c>
    </row>
    <row r="106" spans="1:4" x14ac:dyDescent="0.3">
      <c r="A106" s="416" t="s">
        <v>486</v>
      </c>
      <c r="D106" s="416" t="str">
        <f>'G-1 All Habitats'!B101</f>
        <v>Rocky shore - High energy littoral rock</v>
      </c>
    </row>
    <row r="107" spans="1:4" x14ac:dyDescent="0.3">
      <c r="A107" s="416" t="s">
        <v>487</v>
      </c>
      <c r="D107" s="416" t="str">
        <f>'G-1 All Habitats'!B102</f>
        <v>Rocky shore - High energy littoral rock - on peat, clay or chalk</v>
      </c>
    </row>
    <row r="108" spans="1:4" x14ac:dyDescent="0.3">
      <c r="A108" s="416" t="s">
        <v>488</v>
      </c>
      <c r="D108" s="416" t="str">
        <f>'G-1 All Habitats'!B103</f>
        <v>Rocky shore - Moderate energy littoral rock</v>
      </c>
    </row>
    <row r="109" spans="1:4" x14ac:dyDescent="0.3">
      <c r="A109" s="416" t="s">
        <v>489</v>
      </c>
      <c r="D109" s="416" t="str">
        <f>'G-1 All Habitats'!B104</f>
        <v>Rocky shore - Moderate energy littoral rock - on peat, clay or chalk</v>
      </c>
    </row>
    <row r="110" spans="1:4" x14ac:dyDescent="0.3">
      <c r="A110" s="416" t="s">
        <v>490</v>
      </c>
      <c r="D110" s="416" t="str">
        <f>'G-1 All Habitats'!B105</f>
        <v>Rocky shore - Low energy littoral rock</v>
      </c>
    </row>
    <row r="111" spans="1:4" x14ac:dyDescent="0.3">
      <c r="A111" s="416" t="s">
        <v>491</v>
      </c>
      <c r="D111" s="416" t="str">
        <f>'G-1 All Habitats'!B106</f>
        <v>Rocky shore - Low energy littoral rock - on peat, clay or chalk</v>
      </c>
    </row>
    <row r="112" spans="1:4" x14ac:dyDescent="0.3">
      <c r="A112" s="416" t="s">
        <v>492</v>
      </c>
      <c r="D112" s="416" t="str">
        <f>'G-1 All Habitats'!B107</f>
        <v>Rocky shore - Features of littoral rock</v>
      </c>
    </row>
    <row r="113" spans="1:4" x14ac:dyDescent="0.3">
      <c r="A113" s="416" t="s">
        <v>493</v>
      </c>
      <c r="D113" s="416" t="str">
        <f>'G-1 All Habitats'!B108</f>
        <v>Rocky shore - Features of littoral rock - on peat, clay or chalk</v>
      </c>
    </row>
    <row r="114" spans="1:4" x14ac:dyDescent="0.3">
      <c r="A114" s="416" t="s">
        <v>494</v>
      </c>
      <c r="D114" s="416" t="e">
        <f>'G-1 All Habitats'!#REF!</f>
        <v>#REF!</v>
      </c>
    </row>
    <row r="115" spans="1:4" x14ac:dyDescent="0.3">
      <c r="A115" s="416" t="s">
        <v>495</v>
      </c>
      <c r="D115" s="416" t="e">
        <f>'G-1 All Habitats'!#REF!</f>
        <v>#REF!</v>
      </c>
    </row>
    <row r="116" spans="1:4" x14ac:dyDescent="0.3">
      <c r="A116" s="416" t="s">
        <v>496</v>
      </c>
      <c r="D116" s="416" t="e">
        <f>'G-1 All Habitats'!#REF!</f>
        <v>#REF!</v>
      </c>
    </row>
    <row r="117" spans="1:4" x14ac:dyDescent="0.3">
      <c r="A117" s="416" t="s">
        <v>497</v>
      </c>
      <c r="D117" s="416" t="e">
        <f>'G-1 All Habitats'!#REF!</f>
        <v>#REF!</v>
      </c>
    </row>
    <row r="118" spans="1:4" x14ac:dyDescent="0.3">
      <c r="A118" s="416" t="s">
        <v>498</v>
      </c>
      <c r="D118" s="416" t="str">
        <f>'G-1 All Habitats'!B111</f>
        <v>Intertidal sediment - Littoral coarse sediment</v>
      </c>
    </row>
    <row r="119" spans="1:4" x14ac:dyDescent="0.3">
      <c r="A119" s="416" t="s">
        <v>499</v>
      </c>
      <c r="D119" s="416" t="e">
        <f>'G-1 All Habitats'!#REF!</f>
        <v>#REF!</v>
      </c>
    </row>
    <row r="120" spans="1:4" x14ac:dyDescent="0.3">
      <c r="A120" s="416" t="s">
        <v>500</v>
      </c>
      <c r="D120" s="416" t="str">
        <f>'G-1 All Habitats'!B112</f>
        <v>Intertidal sediment - Littoral mud</v>
      </c>
    </row>
    <row r="121" spans="1:4" x14ac:dyDescent="0.3">
      <c r="A121" s="416" t="s">
        <v>501</v>
      </c>
      <c r="D121" s="416" t="str">
        <f>'G-1 All Habitats'!B113</f>
        <v>Intertidal sediment - Littoral mixed sediments</v>
      </c>
    </row>
    <row r="122" spans="1:4" x14ac:dyDescent="0.3">
      <c r="A122" s="416" t="s">
        <v>502</v>
      </c>
      <c r="D122" s="416" t="str">
        <f>'G-1 All Habitats'!B109</f>
        <v>Coastal saltmarsh - Saltmarshes and saline reedbeds</v>
      </c>
    </row>
    <row r="123" spans="1:4" x14ac:dyDescent="0.3">
      <c r="A123" s="416" t="s">
        <v>503</v>
      </c>
      <c r="D123" s="416" t="str">
        <f>'G-1 All Habitats'!B114</f>
        <v>Intertidal sediment - Littoral seagrass</v>
      </c>
    </row>
    <row r="124" spans="1:4" x14ac:dyDescent="0.3">
      <c r="A124" s="416" t="s">
        <v>504</v>
      </c>
      <c r="D124" s="416" t="str">
        <f>'G-1 All Habitats'!B115</f>
        <v>Intertidal sediment - Littoral seagrass on peat, clay or chalk</v>
      </c>
    </row>
    <row r="125" spans="1:4" x14ac:dyDescent="0.3">
      <c r="A125" s="416" t="s">
        <v>505</v>
      </c>
      <c r="D125" s="416" t="str">
        <f>'G-1 All Habitats'!B117</f>
        <v>Intertidal sediment - Littoral biogenic reefs - Sabellaria</v>
      </c>
    </row>
    <row r="126" spans="1:4" x14ac:dyDescent="0.3">
      <c r="A126" s="416" t="s">
        <v>506</v>
      </c>
      <c r="D126" s="416" t="e">
        <f>'G-1 All Habitats'!#REF!</f>
        <v>#REF!</v>
      </c>
    </row>
    <row r="127" spans="1:4" x14ac:dyDescent="0.3">
      <c r="A127" s="416" t="s">
        <v>507</v>
      </c>
      <c r="D127" s="416" t="str">
        <f>'G-1 All Habitats'!B118</f>
        <v>Intertidal sediment - Features of littoral sediment</v>
      </c>
    </row>
    <row r="128" spans="1:4" x14ac:dyDescent="0.3">
      <c r="A128" s="416" t="s">
        <v>508</v>
      </c>
      <c r="D128" s="416" t="str">
        <f>'G-1 All Habitats'!B119</f>
        <v>Intertidal sediment - Artificial littoral coarse sediment</v>
      </c>
    </row>
    <row r="129" spans="1:4" x14ac:dyDescent="0.3">
      <c r="A129" s="416" t="s">
        <v>509</v>
      </c>
      <c r="D129" s="416" t="e">
        <f>'G-1 All Habitats'!#REF!</f>
        <v>#REF!</v>
      </c>
    </row>
    <row r="130" spans="1:4" x14ac:dyDescent="0.3">
      <c r="A130" s="416" t="s">
        <v>510</v>
      </c>
      <c r="D130" s="416" t="str">
        <f>'G-1 All Habitats'!B122</f>
        <v>Intertidal sediment - Artificial littoral muddy sand</v>
      </c>
    </row>
    <row r="131" spans="1:4" x14ac:dyDescent="0.3">
      <c r="A131" s="416" t="s">
        <v>511</v>
      </c>
      <c r="D131" s="416" t="str">
        <f>'G-1 All Habitats'!B123</f>
        <v>Intertidal sediment - Artificial littoral mixed sediments</v>
      </c>
    </row>
    <row r="132" spans="1:4" x14ac:dyDescent="0.3">
      <c r="A132" s="416" t="s">
        <v>512</v>
      </c>
      <c r="D132" s="416" t="str">
        <f>'G-1 All Habitats'!B124</f>
        <v>Intertidal sediment - Artificial littoral seagrass</v>
      </c>
    </row>
    <row r="133" spans="1:4" x14ac:dyDescent="0.3">
      <c r="A133" s="416" t="s">
        <v>513</v>
      </c>
      <c r="D133" s="416" t="str">
        <f>'G-1 All Habitats'!B125</f>
        <v>Intertidal sediment - Artificial littoral biogenic reefs</v>
      </c>
    </row>
    <row r="134" spans="1:4" x14ac:dyDescent="0.3">
      <c r="A134" s="416" t="s">
        <v>514</v>
      </c>
      <c r="D134" s="416" t="e">
        <f>'G-1 All Habitats'!#REF!</f>
        <v>#REF!</v>
      </c>
    </row>
    <row r="135" spans="1:4" x14ac:dyDescent="0.3">
      <c r="A135" s="416" t="s">
        <v>515</v>
      </c>
      <c r="D135" s="416" t="e">
        <f>'G-1 All Habitats'!#REF!</f>
        <v>#REF!</v>
      </c>
    </row>
    <row r="136" spans="1:4" x14ac:dyDescent="0.3">
      <c r="A136" s="416" t="s">
        <v>516</v>
      </c>
      <c r="D136" s="416">
        <f>'G-1 All Habitats'!B131</f>
        <v>0</v>
      </c>
    </row>
    <row r="137" spans="1:4" x14ac:dyDescent="0.3">
      <c r="A137" s="416" t="s">
        <v>517</v>
      </c>
      <c r="D137" s="416">
        <f>'G-1 All Habitats'!B132</f>
        <v>0</v>
      </c>
    </row>
    <row r="138" spans="1:4" x14ac:dyDescent="0.3">
      <c r="A138" s="416" t="s">
        <v>518</v>
      </c>
      <c r="D138" s="416">
        <f>'G-1 All Habitats'!B133</f>
        <v>0</v>
      </c>
    </row>
    <row r="139" spans="1:4" x14ac:dyDescent="0.3">
      <c r="A139" s="416" t="s">
        <v>519</v>
      </c>
      <c r="D139" s="416">
        <f>'G-1 All Habitats'!B134</f>
        <v>0</v>
      </c>
    </row>
    <row r="140" spans="1:4" x14ac:dyDescent="0.3">
      <c r="A140" s="416" t="s">
        <v>520</v>
      </c>
      <c r="D140" s="416">
        <f>'G-1 All Habitats'!B135</f>
        <v>0</v>
      </c>
    </row>
    <row r="141" spans="1:4" x14ac:dyDescent="0.3">
      <c r="A141" s="416" t="s">
        <v>521</v>
      </c>
      <c r="D141" s="416">
        <f>'G-1 All Habitats'!B136</f>
        <v>0</v>
      </c>
    </row>
    <row r="142" spans="1:4" x14ac:dyDescent="0.3">
      <c r="A142" s="416" t="s">
        <v>522</v>
      </c>
      <c r="D142" s="416">
        <f>'G-1 All Habitats'!B137</f>
        <v>0</v>
      </c>
    </row>
    <row r="143" spans="1:4" x14ac:dyDescent="0.3">
      <c r="A143" s="416" t="s">
        <v>523</v>
      </c>
      <c r="D143" s="416">
        <f>'G-1 All Habitats'!B138</f>
        <v>0</v>
      </c>
    </row>
    <row r="144" spans="1:4" x14ac:dyDescent="0.3">
      <c r="A144" s="416" t="s">
        <v>524</v>
      </c>
      <c r="D144" s="416">
        <f>'G-1 All Habitats'!B139</f>
        <v>0</v>
      </c>
    </row>
    <row r="145" spans="1:4" x14ac:dyDescent="0.3">
      <c r="A145" s="416" t="s">
        <v>525</v>
      </c>
      <c r="D145" s="416">
        <f>'G-1 All Habitats'!B140</f>
        <v>0</v>
      </c>
    </row>
    <row r="146" spans="1:4" x14ac:dyDescent="0.3">
      <c r="A146" s="416" t="s">
        <v>526</v>
      </c>
      <c r="D146" s="416">
        <f>'G-1 All Habitats'!B141</f>
        <v>0</v>
      </c>
    </row>
    <row r="147" spans="1:4" x14ac:dyDescent="0.3">
      <c r="A147" s="416" t="s">
        <v>527</v>
      </c>
      <c r="D147" s="416">
        <f>'G-1 All Habitats'!B142</f>
        <v>0</v>
      </c>
    </row>
    <row r="148" spans="1:4" x14ac:dyDescent="0.3">
      <c r="A148" s="416" t="s">
        <v>528</v>
      </c>
      <c r="D148" s="416">
        <f>'G-1 All Habitats'!B143</f>
        <v>0</v>
      </c>
    </row>
    <row r="149" spans="1:4" x14ac:dyDescent="0.3">
      <c r="A149" s="416" t="s">
        <v>529</v>
      </c>
      <c r="D149" s="416">
        <f>'G-1 All Habitats'!B144</f>
        <v>0</v>
      </c>
    </row>
    <row r="150" spans="1:4" x14ac:dyDescent="0.3">
      <c r="A150" s="416" t="s">
        <v>530</v>
      </c>
      <c r="D150" s="416">
        <f>'G-1 All Habitats'!B145</f>
        <v>0</v>
      </c>
    </row>
    <row r="151" spans="1:4" x14ac:dyDescent="0.3">
      <c r="A151" s="416" t="s">
        <v>531</v>
      </c>
      <c r="D151" s="416">
        <f>'G-1 All Habitats'!B146</f>
        <v>0</v>
      </c>
    </row>
    <row r="152" spans="1:4" x14ac:dyDescent="0.3">
      <c r="A152" s="416" t="s">
        <v>532</v>
      </c>
      <c r="D152" s="416">
        <f>'G-1 All Habitats'!B147</f>
        <v>0</v>
      </c>
    </row>
    <row r="153" spans="1:4" x14ac:dyDescent="0.3">
      <c r="A153" s="416" t="s">
        <v>533</v>
      </c>
      <c r="D153" s="416">
        <f>'G-1 All Habitats'!B148</f>
        <v>0</v>
      </c>
    </row>
    <row r="154" spans="1:4" x14ac:dyDescent="0.3">
      <c r="A154" s="416" t="s">
        <v>534</v>
      </c>
      <c r="D154" s="416">
        <f>'G-1 All Habitats'!B149</f>
        <v>0</v>
      </c>
    </row>
    <row r="155" spans="1:4" x14ac:dyDescent="0.3">
      <c r="A155" s="416" t="s">
        <v>535</v>
      </c>
      <c r="D155" s="416">
        <f>'G-1 All Habitats'!B150</f>
        <v>0</v>
      </c>
    </row>
    <row r="156" spans="1:4" x14ac:dyDescent="0.3">
      <c r="A156" s="416" t="s">
        <v>536</v>
      </c>
      <c r="D156" s="416">
        <f>'G-1 All Habitats'!B151</f>
        <v>0</v>
      </c>
    </row>
    <row r="157" spans="1:4" x14ac:dyDescent="0.3">
      <c r="A157" s="416" t="s">
        <v>537</v>
      </c>
    </row>
    <row r="158" spans="1:4" x14ac:dyDescent="0.3">
      <c r="A158" s="416" t="s">
        <v>538</v>
      </c>
    </row>
    <row r="159" spans="1:4" x14ac:dyDescent="0.3">
      <c r="A159" s="416" t="s">
        <v>539</v>
      </c>
    </row>
    <row r="160" spans="1:4" x14ac:dyDescent="0.3">
      <c r="A160" s="416" t="s">
        <v>540</v>
      </c>
    </row>
    <row r="161" spans="1:1" x14ac:dyDescent="0.3">
      <c r="A161" s="416" t="s">
        <v>541</v>
      </c>
    </row>
    <row r="162" spans="1:1" x14ac:dyDescent="0.3">
      <c r="A162" s="416" t="s">
        <v>542</v>
      </c>
    </row>
    <row r="163" spans="1:1" x14ac:dyDescent="0.3">
      <c r="A163" s="416" t="s">
        <v>543</v>
      </c>
    </row>
    <row r="164" spans="1:1" x14ac:dyDescent="0.3">
      <c r="A164" s="416" t="s">
        <v>544</v>
      </c>
    </row>
    <row r="165" spans="1:1" x14ac:dyDescent="0.3">
      <c r="A165" s="416" t="s">
        <v>545</v>
      </c>
    </row>
    <row r="166" spans="1:1" x14ac:dyDescent="0.3">
      <c r="A166" s="416" t="s">
        <v>546</v>
      </c>
    </row>
    <row r="167" spans="1:1" x14ac:dyDescent="0.3">
      <c r="A167" s="416" t="s">
        <v>547</v>
      </c>
    </row>
    <row r="168" spans="1:1" x14ac:dyDescent="0.3">
      <c r="A168" s="416" t="s">
        <v>548</v>
      </c>
    </row>
    <row r="169" spans="1:1" x14ac:dyDescent="0.3">
      <c r="A169" s="416" t="s">
        <v>549</v>
      </c>
    </row>
    <row r="170" spans="1:1" x14ac:dyDescent="0.3">
      <c r="A170" s="416" t="s">
        <v>550</v>
      </c>
    </row>
    <row r="171" spans="1:1" x14ac:dyDescent="0.3">
      <c r="A171" s="416" t="s">
        <v>551</v>
      </c>
    </row>
    <row r="172" spans="1:1" x14ac:dyDescent="0.3">
      <c r="A172" s="416" t="s">
        <v>552</v>
      </c>
    </row>
    <row r="173" spans="1:1" x14ac:dyDescent="0.3">
      <c r="A173" s="416" t="s">
        <v>553</v>
      </c>
    </row>
    <row r="174" spans="1:1" x14ac:dyDescent="0.3">
      <c r="A174" s="416" t="s">
        <v>554</v>
      </c>
    </row>
    <row r="175" spans="1:1" x14ac:dyDescent="0.3">
      <c r="A175" s="416" t="s">
        <v>555</v>
      </c>
    </row>
    <row r="176" spans="1:1" x14ac:dyDescent="0.3">
      <c r="A176" s="416" t="s">
        <v>556</v>
      </c>
    </row>
    <row r="177" spans="1:1" x14ac:dyDescent="0.3">
      <c r="A177" s="416" t="s">
        <v>557</v>
      </c>
    </row>
    <row r="178" spans="1:1" x14ac:dyDescent="0.3">
      <c r="A178" s="416" t="s">
        <v>558</v>
      </c>
    </row>
    <row r="179" spans="1:1" x14ac:dyDescent="0.3">
      <c r="A179" s="416" t="s">
        <v>559</v>
      </c>
    </row>
    <row r="180" spans="1:1" x14ac:dyDescent="0.3">
      <c r="A180" s="416" t="s">
        <v>560</v>
      </c>
    </row>
    <row r="181" spans="1:1" x14ac:dyDescent="0.3">
      <c r="A181" s="416" t="s">
        <v>561</v>
      </c>
    </row>
    <row r="182" spans="1:1" x14ac:dyDescent="0.3">
      <c r="A182" s="416" t="s">
        <v>562</v>
      </c>
    </row>
    <row r="183" spans="1:1" x14ac:dyDescent="0.3">
      <c r="A183" s="416" t="s">
        <v>563</v>
      </c>
    </row>
    <row r="184" spans="1:1" x14ac:dyDescent="0.3">
      <c r="A184" s="416" t="s">
        <v>564</v>
      </c>
    </row>
    <row r="185" spans="1:1" x14ac:dyDescent="0.3">
      <c r="A185" s="416" t="s">
        <v>565</v>
      </c>
    </row>
    <row r="186" spans="1:1" x14ac:dyDescent="0.3">
      <c r="A186" s="416" t="s">
        <v>566</v>
      </c>
    </row>
    <row r="187" spans="1:1" x14ac:dyDescent="0.3">
      <c r="A187" s="416" t="s">
        <v>567</v>
      </c>
    </row>
    <row r="188" spans="1:1" x14ac:dyDescent="0.3">
      <c r="A188" s="416" t="s">
        <v>568</v>
      </c>
    </row>
    <row r="189" spans="1:1" x14ac:dyDescent="0.3">
      <c r="A189" s="416" t="s">
        <v>569</v>
      </c>
    </row>
    <row r="190" spans="1:1" x14ac:dyDescent="0.3">
      <c r="A190" s="416" t="s">
        <v>570</v>
      </c>
    </row>
    <row r="191" spans="1:1" x14ac:dyDescent="0.3">
      <c r="A191" s="416" t="s">
        <v>571</v>
      </c>
    </row>
    <row r="192" spans="1:1" x14ac:dyDescent="0.3">
      <c r="A192" s="416" t="s">
        <v>572</v>
      </c>
    </row>
    <row r="193" spans="1:1" x14ac:dyDescent="0.3">
      <c r="A193" s="416" t="s">
        <v>573</v>
      </c>
    </row>
    <row r="194" spans="1:1" x14ac:dyDescent="0.3">
      <c r="A194" s="416" t="s">
        <v>574</v>
      </c>
    </row>
    <row r="195" spans="1:1" x14ac:dyDescent="0.3">
      <c r="A195" s="416" t="s">
        <v>575</v>
      </c>
    </row>
    <row r="196" spans="1:1" x14ac:dyDescent="0.3">
      <c r="A196" s="416" t="s">
        <v>576</v>
      </c>
    </row>
    <row r="197" spans="1:1" x14ac:dyDescent="0.3">
      <c r="A197" s="416" t="s">
        <v>577</v>
      </c>
    </row>
    <row r="198" spans="1:1" x14ac:dyDescent="0.3">
      <c r="A198" s="416" t="s">
        <v>578</v>
      </c>
    </row>
    <row r="199" spans="1:1" x14ac:dyDescent="0.3">
      <c r="A199" s="416" t="s">
        <v>579</v>
      </c>
    </row>
    <row r="200" spans="1:1" x14ac:dyDescent="0.3">
      <c r="A200" s="416" t="s">
        <v>580</v>
      </c>
    </row>
    <row r="201" spans="1:1" x14ac:dyDescent="0.3">
      <c r="A201" s="416" t="s">
        <v>581</v>
      </c>
    </row>
    <row r="202" spans="1:1" x14ac:dyDescent="0.3">
      <c r="A202" s="416" t="s">
        <v>582</v>
      </c>
    </row>
    <row r="203" spans="1:1" x14ac:dyDescent="0.3">
      <c r="A203" s="416" t="s">
        <v>583</v>
      </c>
    </row>
    <row r="204" spans="1:1" x14ac:dyDescent="0.3">
      <c r="A204" s="416" t="s">
        <v>584</v>
      </c>
    </row>
    <row r="205" spans="1:1" x14ac:dyDescent="0.3">
      <c r="A205" s="416" t="s">
        <v>585</v>
      </c>
    </row>
    <row r="206" spans="1:1" x14ac:dyDescent="0.3">
      <c r="A206" s="416" t="s">
        <v>586</v>
      </c>
    </row>
    <row r="207" spans="1:1" x14ac:dyDescent="0.3">
      <c r="A207" s="416" t="s">
        <v>587</v>
      </c>
    </row>
    <row r="208" spans="1:1" x14ac:dyDescent="0.3">
      <c r="A208" s="416" t="s">
        <v>588</v>
      </c>
    </row>
    <row r="209" spans="1:1" x14ac:dyDescent="0.3">
      <c r="A209" s="416" t="s">
        <v>589</v>
      </c>
    </row>
    <row r="210" spans="1:1" x14ac:dyDescent="0.3">
      <c r="A210" s="416" t="s">
        <v>590</v>
      </c>
    </row>
    <row r="211" spans="1:1" x14ac:dyDescent="0.3">
      <c r="A211" s="416" t="s">
        <v>591</v>
      </c>
    </row>
    <row r="212" spans="1:1" x14ac:dyDescent="0.3">
      <c r="A212" s="416" t="s">
        <v>592</v>
      </c>
    </row>
    <row r="213" spans="1:1" x14ac:dyDescent="0.3">
      <c r="A213" s="416" t="s">
        <v>593</v>
      </c>
    </row>
    <row r="214" spans="1:1" x14ac:dyDescent="0.3">
      <c r="A214" s="416" t="s">
        <v>594</v>
      </c>
    </row>
    <row r="215" spans="1:1" x14ac:dyDescent="0.3">
      <c r="A215" s="416" t="s">
        <v>595</v>
      </c>
    </row>
    <row r="216" spans="1:1" x14ac:dyDescent="0.3">
      <c r="A216" s="416" t="s">
        <v>596</v>
      </c>
    </row>
    <row r="217" spans="1:1" x14ac:dyDescent="0.3">
      <c r="A217" s="416" t="s">
        <v>597</v>
      </c>
    </row>
    <row r="218" spans="1:1" x14ac:dyDescent="0.3">
      <c r="A218" s="416" t="s">
        <v>598</v>
      </c>
    </row>
    <row r="219" spans="1:1" x14ac:dyDescent="0.3">
      <c r="A219" s="416" t="s">
        <v>599</v>
      </c>
    </row>
    <row r="220" spans="1:1" x14ac:dyDescent="0.3">
      <c r="A220" s="416" t="s">
        <v>600</v>
      </c>
    </row>
    <row r="221" spans="1:1" x14ac:dyDescent="0.3">
      <c r="A221" s="416" t="s">
        <v>601</v>
      </c>
    </row>
    <row r="222" spans="1:1" x14ac:dyDescent="0.3">
      <c r="A222" s="416" t="s">
        <v>602</v>
      </c>
    </row>
    <row r="223" spans="1:1" x14ac:dyDescent="0.3">
      <c r="A223" s="416" t="s">
        <v>603</v>
      </c>
    </row>
    <row r="224" spans="1:1" x14ac:dyDescent="0.3">
      <c r="A224" s="416" t="s">
        <v>604</v>
      </c>
    </row>
    <row r="225" spans="1:1" x14ac:dyDescent="0.3">
      <c r="A225" s="416" t="s">
        <v>605</v>
      </c>
    </row>
    <row r="226" spans="1:1" x14ac:dyDescent="0.3">
      <c r="A226" s="416" t="s">
        <v>606</v>
      </c>
    </row>
    <row r="227" spans="1:1" x14ac:dyDescent="0.3">
      <c r="A227" s="416" t="s">
        <v>607</v>
      </c>
    </row>
    <row r="228" spans="1:1" x14ac:dyDescent="0.3">
      <c r="A228" s="416" t="s">
        <v>608</v>
      </c>
    </row>
    <row r="229" spans="1:1" x14ac:dyDescent="0.3">
      <c r="A229" s="416" t="s">
        <v>609</v>
      </c>
    </row>
    <row r="230" spans="1:1" x14ac:dyDescent="0.3">
      <c r="A230" s="416" t="s">
        <v>610</v>
      </c>
    </row>
    <row r="231" spans="1:1" x14ac:dyDescent="0.3">
      <c r="A231" s="416" t="s">
        <v>611</v>
      </c>
    </row>
    <row r="232" spans="1:1" x14ac:dyDescent="0.3">
      <c r="A232" s="416" t="s">
        <v>612</v>
      </c>
    </row>
    <row r="233" spans="1:1" x14ac:dyDescent="0.3">
      <c r="A233" s="416" t="s">
        <v>613</v>
      </c>
    </row>
    <row r="234" spans="1:1" x14ac:dyDescent="0.3">
      <c r="A234" s="416" t="s">
        <v>614</v>
      </c>
    </row>
    <row r="235" spans="1:1" x14ac:dyDescent="0.3">
      <c r="A235" s="416" t="s">
        <v>615</v>
      </c>
    </row>
    <row r="236" spans="1:1" x14ac:dyDescent="0.3">
      <c r="A236" s="416" t="s">
        <v>616</v>
      </c>
    </row>
    <row r="237" spans="1:1" x14ac:dyDescent="0.3">
      <c r="A237" s="416" t="s">
        <v>617</v>
      </c>
    </row>
    <row r="238" spans="1:1" x14ac:dyDescent="0.3">
      <c r="A238" s="416" t="s">
        <v>618</v>
      </c>
    </row>
    <row r="239" spans="1:1" x14ac:dyDescent="0.3">
      <c r="A239" s="416" t="s">
        <v>619</v>
      </c>
    </row>
    <row r="240" spans="1:1" x14ac:dyDescent="0.3">
      <c r="A240" s="416" t="s">
        <v>620</v>
      </c>
    </row>
    <row r="241" spans="1:1" x14ac:dyDescent="0.3">
      <c r="A241" s="416" t="s">
        <v>621</v>
      </c>
    </row>
    <row r="242" spans="1:1" x14ac:dyDescent="0.3">
      <c r="A242" s="416" t="s">
        <v>622</v>
      </c>
    </row>
    <row r="243" spans="1:1" x14ac:dyDescent="0.3">
      <c r="A243" s="416" t="s">
        <v>623</v>
      </c>
    </row>
    <row r="244" spans="1:1" x14ac:dyDescent="0.3">
      <c r="A244" s="416" t="s">
        <v>624</v>
      </c>
    </row>
    <row r="245" spans="1:1" x14ac:dyDescent="0.3">
      <c r="A245" s="416" t="s">
        <v>625</v>
      </c>
    </row>
    <row r="246" spans="1:1" x14ac:dyDescent="0.3">
      <c r="A246" s="416" t="s">
        <v>626</v>
      </c>
    </row>
    <row r="247" spans="1:1" x14ac:dyDescent="0.3">
      <c r="A247" s="416" t="s">
        <v>627</v>
      </c>
    </row>
    <row r="248" spans="1:1" x14ac:dyDescent="0.3">
      <c r="A248" s="416" t="s">
        <v>628</v>
      </c>
    </row>
    <row r="249" spans="1:1" x14ac:dyDescent="0.3">
      <c r="A249" s="416" t="s">
        <v>629</v>
      </c>
    </row>
    <row r="250" spans="1:1" x14ac:dyDescent="0.3">
      <c r="A250" s="416" t="s">
        <v>630</v>
      </c>
    </row>
    <row r="251" spans="1:1" x14ac:dyDescent="0.3">
      <c r="A251" s="416" t="s">
        <v>631</v>
      </c>
    </row>
    <row r="252" spans="1:1" x14ac:dyDescent="0.3">
      <c r="A252" s="416" t="s">
        <v>632</v>
      </c>
    </row>
    <row r="253" spans="1:1" x14ac:dyDescent="0.3">
      <c r="A253" s="416" t="s">
        <v>633</v>
      </c>
    </row>
    <row r="254" spans="1:1" x14ac:dyDescent="0.3">
      <c r="A254" s="416" t="s">
        <v>634</v>
      </c>
    </row>
    <row r="255" spans="1:1" x14ac:dyDescent="0.3">
      <c r="A255" s="416" t="s">
        <v>635</v>
      </c>
    </row>
    <row r="256" spans="1:1" x14ac:dyDescent="0.3">
      <c r="A256" s="416" t="s">
        <v>636</v>
      </c>
    </row>
    <row r="257" spans="1:1" x14ac:dyDescent="0.3">
      <c r="A257" s="416" t="s">
        <v>637</v>
      </c>
    </row>
    <row r="258" spans="1:1" x14ac:dyDescent="0.3">
      <c r="A258" s="416" t="s">
        <v>638</v>
      </c>
    </row>
    <row r="259" spans="1:1" x14ac:dyDescent="0.3">
      <c r="A259" s="416" t="s">
        <v>639</v>
      </c>
    </row>
    <row r="260" spans="1:1" x14ac:dyDescent="0.3">
      <c r="A260" s="416" t="s">
        <v>640</v>
      </c>
    </row>
    <row r="261" spans="1:1" x14ac:dyDescent="0.3">
      <c r="A261" s="416" t="s">
        <v>641</v>
      </c>
    </row>
    <row r="262" spans="1:1" x14ac:dyDescent="0.3">
      <c r="A262" s="416" t="s">
        <v>642</v>
      </c>
    </row>
    <row r="263" spans="1:1" x14ac:dyDescent="0.3">
      <c r="A263" s="416" t="s">
        <v>643</v>
      </c>
    </row>
    <row r="264" spans="1:1" x14ac:dyDescent="0.3">
      <c r="A264" s="416" t="s">
        <v>644</v>
      </c>
    </row>
    <row r="265" spans="1:1" x14ac:dyDescent="0.3">
      <c r="A265" s="416" t="s">
        <v>645</v>
      </c>
    </row>
    <row r="266" spans="1:1" x14ac:dyDescent="0.3">
      <c r="A266" s="416" t="s">
        <v>646</v>
      </c>
    </row>
    <row r="267" spans="1:1" x14ac:dyDescent="0.3">
      <c r="A267" s="416" t="s">
        <v>647</v>
      </c>
    </row>
    <row r="268" spans="1:1" x14ac:dyDescent="0.3">
      <c r="A268" s="416" t="s">
        <v>648</v>
      </c>
    </row>
    <row r="269" spans="1:1" x14ac:dyDescent="0.3">
      <c r="A269" s="416" t="s">
        <v>649</v>
      </c>
    </row>
    <row r="270" spans="1:1" x14ac:dyDescent="0.3">
      <c r="A270" s="416" t="s">
        <v>650</v>
      </c>
    </row>
    <row r="271" spans="1:1" x14ac:dyDescent="0.3">
      <c r="A271" s="416" t="s">
        <v>651</v>
      </c>
    </row>
    <row r="272" spans="1:1" x14ac:dyDescent="0.3">
      <c r="A272" s="416" t="s">
        <v>652</v>
      </c>
    </row>
    <row r="273" spans="1:1" x14ac:dyDescent="0.3">
      <c r="A273" s="416" t="s">
        <v>653</v>
      </c>
    </row>
    <row r="274" spans="1:1" x14ac:dyDescent="0.3">
      <c r="A274" s="416" t="s">
        <v>654</v>
      </c>
    </row>
    <row r="275" spans="1:1" x14ac:dyDescent="0.3">
      <c r="A275" s="416" t="s">
        <v>655</v>
      </c>
    </row>
    <row r="276" spans="1:1" x14ac:dyDescent="0.3">
      <c r="A276" s="416" t="s">
        <v>656</v>
      </c>
    </row>
    <row r="277" spans="1:1" x14ac:dyDescent="0.3">
      <c r="A277" s="416" t="s">
        <v>657</v>
      </c>
    </row>
    <row r="278" spans="1:1" x14ac:dyDescent="0.3">
      <c r="A278" s="416" t="s">
        <v>658</v>
      </c>
    </row>
    <row r="279" spans="1:1" x14ac:dyDescent="0.3">
      <c r="A279" s="416" t="s">
        <v>659</v>
      </c>
    </row>
    <row r="280" spans="1:1" x14ac:dyDescent="0.3">
      <c r="A280" s="416" t="s">
        <v>660</v>
      </c>
    </row>
    <row r="281" spans="1:1" x14ac:dyDescent="0.3">
      <c r="A281" s="416" t="s">
        <v>661</v>
      </c>
    </row>
    <row r="282" spans="1:1" x14ac:dyDescent="0.3">
      <c r="A282" s="416" t="s">
        <v>662</v>
      </c>
    </row>
    <row r="283" spans="1:1" x14ac:dyDescent="0.3">
      <c r="A283" s="416" t="s">
        <v>663</v>
      </c>
    </row>
    <row r="284" spans="1:1" x14ac:dyDescent="0.3">
      <c r="A284" s="416" t="s">
        <v>664</v>
      </c>
    </row>
    <row r="285" spans="1:1" x14ac:dyDescent="0.3">
      <c r="A285" s="416" t="s">
        <v>665</v>
      </c>
    </row>
    <row r="286" spans="1:1" x14ac:dyDescent="0.3">
      <c r="A286" s="416" t="s">
        <v>666</v>
      </c>
    </row>
    <row r="287" spans="1:1" x14ac:dyDescent="0.3">
      <c r="A287" s="416" t="s">
        <v>667</v>
      </c>
    </row>
    <row r="288" spans="1:1" x14ac:dyDescent="0.3">
      <c r="A288" s="416" t="s">
        <v>668</v>
      </c>
    </row>
    <row r="289" spans="1:1" x14ac:dyDescent="0.3">
      <c r="A289" s="416" t="s">
        <v>669</v>
      </c>
    </row>
    <row r="290" spans="1:1" x14ac:dyDescent="0.3">
      <c r="A290" s="416" t="s">
        <v>670</v>
      </c>
    </row>
    <row r="291" spans="1:1" x14ac:dyDescent="0.3">
      <c r="A291" s="416" t="s">
        <v>671</v>
      </c>
    </row>
    <row r="292" spans="1:1" x14ac:dyDescent="0.3">
      <c r="A292" s="416" t="s">
        <v>672</v>
      </c>
    </row>
    <row r="293" spans="1:1" x14ac:dyDescent="0.3">
      <c r="A293" s="416" t="s">
        <v>673</v>
      </c>
    </row>
    <row r="294" spans="1:1" x14ac:dyDescent="0.3">
      <c r="A294" s="416" t="s">
        <v>674</v>
      </c>
    </row>
    <row r="295" spans="1:1" x14ac:dyDescent="0.3">
      <c r="A295" s="416" t="s">
        <v>675</v>
      </c>
    </row>
    <row r="296" spans="1:1" x14ac:dyDescent="0.3">
      <c r="A296" s="416" t="s">
        <v>676</v>
      </c>
    </row>
    <row r="297" spans="1:1" x14ac:dyDescent="0.3">
      <c r="A297" s="416" t="s">
        <v>677</v>
      </c>
    </row>
    <row r="298" spans="1:1" x14ac:dyDescent="0.3">
      <c r="A298" s="416" t="s">
        <v>678</v>
      </c>
    </row>
    <row r="299" spans="1:1" x14ac:dyDescent="0.3">
      <c r="A299" s="416" t="s">
        <v>679</v>
      </c>
    </row>
    <row r="300" spans="1:1" x14ac:dyDescent="0.3">
      <c r="A300" s="416" t="s">
        <v>680</v>
      </c>
    </row>
    <row r="301" spans="1:1" x14ac:dyDescent="0.3">
      <c r="A301" s="416" t="s">
        <v>681</v>
      </c>
    </row>
    <row r="302" spans="1:1" x14ac:dyDescent="0.3">
      <c r="A302" s="416" t="s">
        <v>682</v>
      </c>
    </row>
    <row r="303" spans="1:1" x14ac:dyDescent="0.3">
      <c r="A303" s="416" t="s">
        <v>683</v>
      </c>
    </row>
    <row r="304" spans="1:1" x14ac:dyDescent="0.3">
      <c r="A304" s="416" t="s">
        <v>684</v>
      </c>
    </row>
    <row r="305" spans="1:1" x14ac:dyDescent="0.3">
      <c r="A305" s="416" t="s">
        <v>685</v>
      </c>
    </row>
    <row r="306" spans="1:1" x14ac:dyDescent="0.3">
      <c r="A306" s="416" t="s">
        <v>686</v>
      </c>
    </row>
    <row r="307" spans="1:1" x14ac:dyDescent="0.3">
      <c r="A307" s="416" t="s">
        <v>687</v>
      </c>
    </row>
    <row r="308" spans="1:1" x14ac:dyDescent="0.3">
      <c r="A308" s="416" t="s">
        <v>688</v>
      </c>
    </row>
    <row r="309" spans="1:1" x14ac:dyDescent="0.3">
      <c r="A309" s="416" t="s">
        <v>689</v>
      </c>
    </row>
    <row r="310" spans="1:1" x14ac:dyDescent="0.3">
      <c r="A310" s="416" t="s">
        <v>690</v>
      </c>
    </row>
    <row r="311" spans="1:1" x14ac:dyDescent="0.3">
      <c r="A311" s="416" t="s">
        <v>691</v>
      </c>
    </row>
    <row r="312" spans="1:1" x14ac:dyDescent="0.3">
      <c r="A312" s="416" t="s">
        <v>692</v>
      </c>
    </row>
    <row r="313" spans="1:1" x14ac:dyDescent="0.3">
      <c r="A313" s="416" t="s">
        <v>693</v>
      </c>
    </row>
    <row r="314" spans="1:1" x14ac:dyDescent="0.3">
      <c r="A314" s="416" t="s">
        <v>694</v>
      </c>
    </row>
    <row r="315" spans="1:1" x14ac:dyDescent="0.3">
      <c r="A315" s="416" t="s">
        <v>695</v>
      </c>
    </row>
    <row r="316" spans="1:1" x14ac:dyDescent="0.3">
      <c r="A316" s="416" t="s">
        <v>696</v>
      </c>
    </row>
    <row r="317" spans="1:1" x14ac:dyDescent="0.3">
      <c r="A317" s="416" t="s">
        <v>697</v>
      </c>
    </row>
    <row r="318" spans="1:1" x14ac:dyDescent="0.3">
      <c r="A318" s="416" t="s">
        <v>698</v>
      </c>
    </row>
    <row r="319" spans="1:1" x14ac:dyDescent="0.3">
      <c r="A319" s="416" t="s">
        <v>699</v>
      </c>
    </row>
    <row r="320" spans="1:1" x14ac:dyDescent="0.3">
      <c r="A320" s="416" t="s">
        <v>700</v>
      </c>
    </row>
    <row r="321" spans="1:1" x14ac:dyDescent="0.3">
      <c r="A321" s="416" t="s">
        <v>701</v>
      </c>
    </row>
    <row r="322" spans="1:1" x14ac:dyDescent="0.3">
      <c r="A322" s="416" t="s">
        <v>702</v>
      </c>
    </row>
    <row r="323" spans="1:1" x14ac:dyDescent="0.3">
      <c r="A323" s="416" t="s">
        <v>703</v>
      </c>
    </row>
    <row r="324" spans="1:1" x14ac:dyDescent="0.3">
      <c r="A324" s="416" t="s">
        <v>704</v>
      </c>
    </row>
    <row r="325" spans="1:1" x14ac:dyDescent="0.3">
      <c r="A325" s="416" t="s">
        <v>705</v>
      </c>
    </row>
    <row r="326" spans="1:1" x14ac:dyDescent="0.3">
      <c r="A326" s="416" t="s">
        <v>706</v>
      </c>
    </row>
    <row r="327" spans="1:1" x14ac:dyDescent="0.3">
      <c r="A327" s="416" t="s">
        <v>707</v>
      </c>
    </row>
    <row r="328" spans="1:1" x14ac:dyDescent="0.3">
      <c r="A328" s="416" t="s">
        <v>708</v>
      </c>
    </row>
    <row r="329" spans="1:1" x14ac:dyDescent="0.3">
      <c r="A329" s="416" t="s">
        <v>709</v>
      </c>
    </row>
    <row r="330" spans="1:1" x14ac:dyDescent="0.3">
      <c r="A330" s="416" t="s">
        <v>710</v>
      </c>
    </row>
    <row r="331" spans="1:1" x14ac:dyDescent="0.3">
      <c r="A331" s="416" t="s">
        <v>711</v>
      </c>
    </row>
    <row r="332" spans="1:1" x14ac:dyDescent="0.3">
      <c r="A332" s="416" t="s">
        <v>712</v>
      </c>
    </row>
    <row r="333" spans="1:1" x14ac:dyDescent="0.3">
      <c r="A333" s="416" t="s">
        <v>713</v>
      </c>
    </row>
    <row r="334" spans="1:1" x14ac:dyDescent="0.3">
      <c r="A334" s="416" t="s">
        <v>714</v>
      </c>
    </row>
    <row r="335" spans="1:1" x14ac:dyDescent="0.3">
      <c r="A335" s="416" t="s">
        <v>715</v>
      </c>
    </row>
    <row r="336" spans="1:1" x14ac:dyDescent="0.3">
      <c r="A336" s="416" t="s">
        <v>716</v>
      </c>
    </row>
    <row r="337" spans="1:1" x14ac:dyDescent="0.3">
      <c r="A337" s="416" t="s">
        <v>717</v>
      </c>
    </row>
    <row r="338" spans="1:1" x14ac:dyDescent="0.3">
      <c r="A338" s="416" t="s">
        <v>718</v>
      </c>
    </row>
    <row r="339" spans="1:1" x14ac:dyDescent="0.3">
      <c r="A339" s="416" t="s">
        <v>719</v>
      </c>
    </row>
    <row r="340" spans="1:1" x14ac:dyDescent="0.3">
      <c r="A340" s="416" t="s">
        <v>720</v>
      </c>
    </row>
    <row r="341" spans="1:1" x14ac:dyDescent="0.3">
      <c r="A341" s="416" t="s">
        <v>721</v>
      </c>
    </row>
    <row r="342" spans="1:1" x14ac:dyDescent="0.3">
      <c r="A342" s="416" t="s">
        <v>722</v>
      </c>
    </row>
    <row r="343" spans="1:1" x14ac:dyDescent="0.3">
      <c r="A343" s="416" t="s">
        <v>723</v>
      </c>
    </row>
    <row r="344" spans="1:1" x14ac:dyDescent="0.3">
      <c r="A344" s="416" t="s">
        <v>724</v>
      </c>
    </row>
    <row r="345" spans="1:1" x14ac:dyDescent="0.3">
      <c r="A345" s="416" t="s">
        <v>725</v>
      </c>
    </row>
    <row r="346" spans="1:1" x14ac:dyDescent="0.3">
      <c r="A346" s="416" t="s">
        <v>726</v>
      </c>
    </row>
    <row r="347" spans="1:1" x14ac:dyDescent="0.3">
      <c r="A347" s="416" t="s">
        <v>727</v>
      </c>
    </row>
    <row r="348" spans="1:1" x14ac:dyDescent="0.3">
      <c r="A348" s="416" t="s">
        <v>728</v>
      </c>
    </row>
    <row r="349" spans="1:1" x14ac:dyDescent="0.3">
      <c r="A349" s="416" t="s">
        <v>729</v>
      </c>
    </row>
    <row r="350" spans="1:1" x14ac:dyDescent="0.3">
      <c r="A350" s="416" t="s">
        <v>730</v>
      </c>
    </row>
    <row r="351" spans="1:1" x14ac:dyDescent="0.3">
      <c r="A351" s="416" t="s">
        <v>731</v>
      </c>
    </row>
    <row r="352" spans="1:1" x14ac:dyDescent="0.3">
      <c r="A352" s="416" t="s">
        <v>732</v>
      </c>
    </row>
    <row r="353" spans="1:1" x14ac:dyDescent="0.3">
      <c r="A353" s="416" t="s">
        <v>733</v>
      </c>
    </row>
    <row r="354" spans="1:1" x14ac:dyDescent="0.3">
      <c r="A354" s="416" t="s">
        <v>734</v>
      </c>
    </row>
    <row r="355" spans="1:1" x14ac:dyDescent="0.3">
      <c r="A355" s="416" t="s">
        <v>735</v>
      </c>
    </row>
    <row r="356" spans="1:1" x14ac:dyDescent="0.3">
      <c r="A356" s="416" t="s">
        <v>736</v>
      </c>
    </row>
    <row r="357" spans="1:1" x14ac:dyDescent="0.3">
      <c r="A357" s="416" t="s">
        <v>737</v>
      </c>
    </row>
    <row r="358" spans="1:1" x14ac:dyDescent="0.3">
      <c r="A358" s="416" t="s">
        <v>738</v>
      </c>
    </row>
    <row r="359" spans="1:1" x14ac:dyDescent="0.3">
      <c r="A359" s="416" t="s">
        <v>739</v>
      </c>
    </row>
    <row r="360" spans="1:1" x14ac:dyDescent="0.3">
      <c r="A360" s="416" t="s">
        <v>740</v>
      </c>
    </row>
    <row r="361" spans="1:1" x14ac:dyDescent="0.3">
      <c r="A361" s="416" t="s">
        <v>741</v>
      </c>
    </row>
    <row r="362" spans="1:1" x14ac:dyDescent="0.3">
      <c r="A362" s="416" t="s">
        <v>742</v>
      </c>
    </row>
    <row r="363" spans="1:1" x14ac:dyDescent="0.3">
      <c r="A363" s="416" t="s">
        <v>743</v>
      </c>
    </row>
    <row r="364" spans="1:1" x14ac:dyDescent="0.3">
      <c r="A364" s="416" t="s">
        <v>744</v>
      </c>
    </row>
    <row r="365" spans="1:1" x14ac:dyDescent="0.3">
      <c r="A365" s="416" t="s">
        <v>745</v>
      </c>
    </row>
    <row r="366" spans="1:1" x14ac:dyDescent="0.3">
      <c r="A366" s="416" t="s">
        <v>746</v>
      </c>
    </row>
    <row r="367" spans="1:1" x14ac:dyDescent="0.3">
      <c r="A367" s="416" t="s">
        <v>747</v>
      </c>
    </row>
    <row r="368" spans="1:1" x14ac:dyDescent="0.3">
      <c r="A368" s="416" t="s">
        <v>748</v>
      </c>
    </row>
    <row r="369" spans="1:1" x14ac:dyDescent="0.3">
      <c r="A369" s="416" t="s">
        <v>749</v>
      </c>
    </row>
    <row r="370" spans="1:1" x14ac:dyDescent="0.3">
      <c r="A370" s="416" t="s">
        <v>750</v>
      </c>
    </row>
    <row r="371" spans="1:1" x14ac:dyDescent="0.3">
      <c r="A371" s="416" t="s">
        <v>751</v>
      </c>
    </row>
    <row r="372" spans="1:1" x14ac:dyDescent="0.3">
      <c r="A372" s="416" t="s">
        <v>752</v>
      </c>
    </row>
    <row r="373" spans="1:1" x14ac:dyDescent="0.3">
      <c r="A373" s="416" t="s">
        <v>753</v>
      </c>
    </row>
    <row r="374" spans="1:1" x14ac:dyDescent="0.3">
      <c r="A374" s="416" t="s">
        <v>754</v>
      </c>
    </row>
    <row r="375" spans="1:1" x14ac:dyDescent="0.3">
      <c r="A375" s="416" t="s">
        <v>755</v>
      </c>
    </row>
    <row r="376" spans="1:1" x14ac:dyDescent="0.3">
      <c r="A376" s="416" t="s">
        <v>756</v>
      </c>
    </row>
    <row r="377" spans="1:1" x14ac:dyDescent="0.3">
      <c r="A377" s="416" t="s">
        <v>757</v>
      </c>
    </row>
    <row r="378" spans="1:1" x14ac:dyDescent="0.3">
      <c r="A378" s="416" t="s">
        <v>758</v>
      </c>
    </row>
  </sheetData>
  <sheetProtection algorithmName="SHA-512" hashValue="XdIirw6BqYXdLoz2Fhc2NsJkOxh0Cd99wZwyWLjW/k/d3txPTCfpXygWcnC7cho45VXeT/9fnurWLGZDJ6z6Cg==" saltValue="N2V2nUxqA/fOCNeZSJk98Q==" spinCount="100000" sheet="1" objects="1" scenarios="1"/>
  <customSheetViews>
    <customSheetView guid="{8BDA793C-C9C5-4FC6-A0A5-F1109F6D4F22}" state="hidden" topLeftCell="B1">
      <selection activeCell="B7" sqref="B7"/>
    </customSheetView>
  </customSheetView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7">
    <tabColor theme="0" tint="-0.249977111117893"/>
    <pageSetUpPr autoPageBreaks="0"/>
  </sheetPr>
  <dimension ref="A1:AE53"/>
  <sheetViews>
    <sheetView showGridLines="0" showRowColHeaders="0" zoomScale="80" zoomScaleNormal="80" workbookViewId="0">
      <selection activeCell="Q3" sqref="Q3:S3"/>
    </sheetView>
  </sheetViews>
  <sheetFormatPr defaultColWidth="0" defaultRowHeight="0" customHeight="1" zeroHeight="1" x14ac:dyDescent="0.3"/>
  <cols>
    <col min="1" max="3" width="2.109375" style="1" customWidth="1"/>
    <col min="4" max="4" width="18.6640625" style="1" customWidth="1"/>
    <col min="5" max="8" width="9.109375" style="1" customWidth="1"/>
    <col min="9" max="9" width="7" style="1" customWidth="1"/>
    <col min="10" max="12" width="9.109375" style="1" customWidth="1"/>
    <col min="13" max="13" width="12.109375" style="1" customWidth="1"/>
    <col min="14" max="14" width="5.6640625" style="1" customWidth="1"/>
    <col min="15" max="15" width="9.109375" style="1" customWidth="1"/>
    <col min="16" max="16" width="30" style="1" customWidth="1"/>
    <col min="17" max="17" width="13.6640625" style="1" bestFit="1" customWidth="1"/>
    <col min="18" max="18" width="19.33203125" style="1" customWidth="1"/>
    <col min="19" max="31" width="9.109375" style="1" customWidth="1"/>
    <col min="32" max="16384" width="9.109375" style="1" hidden="1"/>
  </cols>
  <sheetData>
    <row r="1" spans="1:19" ht="15.75" customHeight="1" x14ac:dyDescent="0.6">
      <c r="B1" s="2"/>
      <c r="C1" s="2"/>
      <c r="E1" s="6"/>
      <c r="F1" s="764"/>
      <c r="G1" s="764"/>
      <c r="H1" s="764"/>
      <c r="I1" s="764"/>
      <c r="J1" s="764"/>
      <c r="K1" s="765"/>
      <c r="L1" s="765"/>
      <c r="M1" s="765"/>
      <c r="N1" s="765"/>
      <c r="O1" s="765"/>
    </row>
    <row r="2" spans="1:19" ht="15.75" customHeight="1" x14ac:dyDescent="0.6">
      <c r="B2" s="2"/>
      <c r="C2" s="2"/>
      <c r="E2" s="6"/>
    </row>
    <row r="3" spans="1:19" ht="15.75" customHeight="1" x14ac:dyDescent="0.6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63" t="s">
        <v>1248</v>
      </c>
      <c r="R3" s="763"/>
      <c r="S3" s="763"/>
    </row>
    <row r="4" spans="1:19" ht="16.2" customHeight="1" x14ac:dyDescent="0.6">
      <c r="A4" s="6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21" t="s">
        <v>813</v>
      </c>
      <c r="R4" s="21" t="s">
        <v>834</v>
      </c>
      <c r="S4" s="21" t="s">
        <v>958</v>
      </c>
    </row>
    <row r="5" spans="1:19" ht="16.5" customHeight="1" x14ac:dyDescent="0.6">
      <c r="A5" s="6"/>
      <c r="B5" s="6"/>
      <c r="C5" s="6"/>
      <c r="D5" s="6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1" t="s">
        <v>814</v>
      </c>
      <c r="R5" s="25">
        <v>236</v>
      </c>
      <c r="S5" s="22">
        <f>R5*'G-3 Multipliers'!$Z$4</f>
        <v>0.10670976000000003</v>
      </c>
    </row>
    <row r="6" spans="1:19" ht="16.5" customHeight="1" x14ac:dyDescent="0.6">
      <c r="B6" s="2"/>
      <c r="C6" s="2"/>
      <c r="D6" s="6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21" t="s">
        <v>6</v>
      </c>
      <c r="R6" s="25">
        <v>0</v>
      </c>
      <c r="S6" s="22">
        <f>R6*'G-3 Multipliers'!$Z$5</f>
        <v>0</v>
      </c>
    </row>
    <row r="7" spans="1:19" ht="16.5" customHeight="1" x14ac:dyDescent="0.6">
      <c r="B7" s="2"/>
      <c r="C7" s="6"/>
      <c r="D7" s="6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1" t="s">
        <v>815</v>
      </c>
      <c r="R7" s="25">
        <v>0</v>
      </c>
      <c r="S7" s="22">
        <f>R7*'G-3 Multipliers'!$Z$6</f>
        <v>0</v>
      </c>
    </row>
    <row r="8" spans="1:19" ht="18" customHeight="1" x14ac:dyDescent="0.6">
      <c r="B8" s="2"/>
      <c r="C8" s="2"/>
      <c r="D8" s="6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1" t="s">
        <v>822</v>
      </c>
      <c r="R8" s="24">
        <f>SUM(R5:R7)</f>
        <v>236</v>
      </c>
      <c r="S8" s="23">
        <f>SUM(S5:S7)</f>
        <v>0.10670976000000003</v>
      </c>
    </row>
    <row r="9" spans="1:19" ht="16.5" customHeight="1" x14ac:dyDescent="0.3">
      <c r="B9" s="2"/>
      <c r="C9" s="2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9" ht="30" customHeight="1" x14ac:dyDescent="0.4">
      <c r="B10" s="2"/>
      <c r="C10" s="2"/>
      <c r="D10" s="5"/>
      <c r="E10" s="5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</row>
    <row r="11" spans="1:19" ht="16.5" customHeight="1" x14ac:dyDescent="0.3">
      <c r="B11" s="2"/>
      <c r="C11" s="2"/>
    </row>
    <row r="12" spans="1:19" ht="16.5" customHeight="1" x14ac:dyDescent="0.3">
      <c r="B12" s="2"/>
      <c r="C12" s="2"/>
    </row>
    <row r="13" spans="1:19" ht="16.5" customHeight="1" x14ac:dyDescent="0.3">
      <c r="B13" s="2"/>
      <c r="C13" s="2"/>
    </row>
    <row r="14" spans="1:19" ht="16.5" customHeight="1" x14ac:dyDescent="0.3">
      <c r="B14" s="2"/>
      <c r="C14" s="2"/>
    </row>
    <row r="15" spans="1:19" ht="16.5" customHeight="1" x14ac:dyDescent="0.3">
      <c r="B15" s="2"/>
      <c r="C15" s="2"/>
    </row>
    <row r="16" spans="1:19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4.4" x14ac:dyDescent="0.3"/>
    <row r="28" ht="14.4" x14ac:dyDescent="0.3"/>
    <row r="29" ht="14.4" x14ac:dyDescent="0.3"/>
    <row r="30" ht="14.4" x14ac:dyDescent="0.3"/>
    <row r="31" ht="14.4" x14ac:dyDescent="0.3"/>
    <row r="3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89.4" customHeight="1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8.600000000000001" customHeight="1" x14ac:dyDescent="0.3"/>
    <row r="53" ht="14.4" hidden="1" x14ac:dyDescent="0.3"/>
  </sheetData>
  <sheetProtection algorithmName="SHA-512" hashValue="VgwcZySNiAnsWSLZsLgkzrbsohj8HRACG1yRGexDK3StXDF4mf3UeQQ3hbVIJRKDeBRWxRFBNmIUaSoIIs61Iw==" saltValue="0GqGOlrhAmyAF2x+0HAXKw==" spinCount="100000" sheet="1" objects="1" scenarios="1"/>
  <customSheetViews>
    <customSheetView guid="{8BDA793C-C9C5-4FC6-A0A5-F1109F6D4F22}" scale="70">
      <selection sqref="A1:XFD1048576"/>
    </customSheetView>
  </customSheetViews>
  <mergeCells count="4">
    <mergeCell ref="Q3:S3"/>
    <mergeCell ref="F1:J1"/>
    <mergeCell ref="K1:O1"/>
    <mergeCell ref="F10:P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6">
    <tabColor theme="0" tint="-0.249977111117893"/>
  </sheetPr>
  <dimension ref="A1:AE53"/>
  <sheetViews>
    <sheetView showGridLines="0" showRowColHeaders="0" zoomScale="90" zoomScaleNormal="90" workbookViewId="0"/>
  </sheetViews>
  <sheetFormatPr defaultColWidth="0" defaultRowHeight="0" customHeight="1" zeroHeight="1" x14ac:dyDescent="0.25"/>
  <cols>
    <col min="1" max="3" width="2.109375" style="374" customWidth="1"/>
    <col min="4" max="4" width="18.6640625" style="374" customWidth="1"/>
    <col min="5" max="8" width="9.109375" style="374" customWidth="1"/>
    <col min="9" max="9" width="7" style="374" customWidth="1"/>
    <col min="10" max="12" width="9.109375" style="374" customWidth="1"/>
    <col min="13" max="13" width="12.109375" style="374" customWidth="1"/>
    <col min="14" max="14" width="5.6640625" style="374" customWidth="1"/>
    <col min="15" max="15" width="9.109375" style="374" customWidth="1"/>
    <col min="16" max="16" width="34.5546875" style="374" customWidth="1"/>
    <col min="17" max="17" width="13.6640625" style="374" bestFit="1" customWidth="1"/>
    <col min="18" max="18" width="19.33203125" style="374" customWidth="1"/>
    <col min="19" max="31" width="9.109375" style="374" customWidth="1"/>
    <col min="32" max="16384" width="9.109375" style="374" hidden="1"/>
  </cols>
  <sheetData>
    <row r="1" spans="1:18" ht="15.75" customHeight="1" x14ac:dyDescent="0.5">
      <c r="B1" s="375"/>
      <c r="C1" s="375"/>
      <c r="E1" s="376"/>
      <c r="F1" s="767"/>
      <c r="G1" s="767"/>
      <c r="H1" s="767"/>
      <c r="I1" s="767"/>
      <c r="J1" s="767"/>
      <c r="K1" s="768"/>
      <c r="L1" s="768"/>
      <c r="M1" s="768"/>
      <c r="N1" s="768"/>
      <c r="O1" s="768"/>
    </row>
    <row r="2" spans="1:18" ht="15.75" customHeight="1" x14ac:dyDescent="0.5">
      <c r="B2" s="375"/>
      <c r="C2" s="375"/>
      <c r="E2" s="376"/>
    </row>
    <row r="3" spans="1:18" ht="15.75" customHeight="1" x14ac:dyDescent="0.5">
      <c r="A3" s="376"/>
      <c r="B3" s="376"/>
      <c r="C3" s="376"/>
      <c r="D3" s="376"/>
      <c r="E3" s="376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18" ht="16.5" customHeight="1" x14ac:dyDescent="0.5">
      <c r="A4" s="376"/>
      <c r="B4" s="376"/>
      <c r="C4" s="376"/>
      <c r="D4" s="376"/>
      <c r="E4" s="376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18" ht="16.5" customHeight="1" x14ac:dyDescent="0.5">
      <c r="A5" s="376"/>
      <c r="B5" s="376"/>
      <c r="C5" s="376"/>
      <c r="D5" s="376"/>
      <c r="E5" s="376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</row>
    <row r="6" spans="1:18" ht="16.5" customHeight="1" x14ac:dyDescent="0.5">
      <c r="B6" s="375"/>
      <c r="C6" s="375"/>
      <c r="D6" s="376"/>
      <c r="E6" s="376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</row>
    <row r="7" spans="1:18" ht="16.5" customHeight="1" x14ac:dyDescent="0.5">
      <c r="B7" s="375"/>
      <c r="C7" s="376"/>
      <c r="D7" s="376"/>
      <c r="E7" s="376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</row>
    <row r="8" spans="1:18" ht="16.5" customHeight="1" x14ac:dyDescent="0.5">
      <c r="B8" s="375"/>
      <c r="C8" s="375"/>
      <c r="D8" s="376"/>
      <c r="E8" s="376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</row>
    <row r="9" spans="1:18" ht="16.5" customHeight="1" x14ac:dyDescent="0.25">
      <c r="B9" s="375"/>
      <c r="C9" s="375"/>
      <c r="D9" s="379"/>
      <c r="E9" s="379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</row>
    <row r="10" spans="1:18" ht="30" customHeight="1" x14ac:dyDescent="0.35">
      <c r="B10" s="375"/>
      <c r="C10" s="375"/>
      <c r="D10" s="769"/>
      <c r="E10" s="769"/>
      <c r="F10" s="769"/>
      <c r="G10" s="769"/>
      <c r="H10" s="769"/>
      <c r="I10" s="769"/>
      <c r="J10" s="769"/>
      <c r="K10" s="769"/>
      <c r="L10" s="769"/>
      <c r="M10" s="769"/>
    </row>
    <row r="11" spans="1:18" ht="16.5" customHeight="1" x14ac:dyDescent="0.25">
      <c r="B11" s="375"/>
      <c r="C11" s="375"/>
    </row>
    <row r="12" spans="1:18" ht="16.5" customHeight="1" x14ac:dyDescent="0.25">
      <c r="B12" s="375"/>
      <c r="C12" s="375"/>
    </row>
    <row r="13" spans="1:18" ht="16.5" customHeight="1" x14ac:dyDescent="0.25">
      <c r="B13" s="375"/>
      <c r="C13" s="375"/>
    </row>
    <row r="14" spans="1:18" ht="16.5" customHeight="1" x14ac:dyDescent="0.25">
      <c r="B14" s="375"/>
      <c r="C14" s="375"/>
    </row>
    <row r="15" spans="1:18" ht="16.5" customHeight="1" x14ac:dyDescent="0.25">
      <c r="B15" s="375"/>
      <c r="C15" s="375"/>
    </row>
    <row r="16" spans="1:18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3.8" x14ac:dyDescent="0.25"/>
    <row r="28" ht="13.8" x14ac:dyDescent="0.25"/>
    <row r="29" ht="13.8" x14ac:dyDescent="0.25"/>
    <row r="30" ht="13.8" x14ac:dyDescent="0.25"/>
    <row r="31" ht="13.8" x14ac:dyDescent="0.25"/>
    <row r="32" ht="13.8" x14ac:dyDescent="0.25"/>
    <row r="33" ht="13.8" x14ac:dyDescent="0.25"/>
    <row r="34" ht="13.8" x14ac:dyDescent="0.25"/>
    <row r="35" ht="13.8" x14ac:dyDescent="0.25"/>
    <row r="36" ht="13.8" x14ac:dyDescent="0.25"/>
    <row r="37" ht="13.8" x14ac:dyDescent="0.25"/>
    <row r="38" ht="13.8" x14ac:dyDescent="0.25"/>
    <row r="39" ht="13.8" x14ac:dyDescent="0.25"/>
    <row r="40" ht="13.8" x14ac:dyDescent="0.25"/>
    <row r="41" ht="13.8" x14ac:dyDescent="0.25"/>
    <row r="42" ht="13.8" x14ac:dyDescent="0.25"/>
    <row r="43" ht="13.8" x14ac:dyDescent="0.25"/>
    <row r="44" ht="13.8" x14ac:dyDescent="0.25"/>
    <row r="45" ht="13.8" x14ac:dyDescent="0.25"/>
    <row r="46" ht="13.8" x14ac:dyDescent="0.25"/>
    <row r="47" ht="13.8" x14ac:dyDescent="0.25"/>
    <row r="48" ht="13.8" x14ac:dyDescent="0.25"/>
    <row r="49" ht="13.8" x14ac:dyDescent="0.25"/>
    <row r="50" ht="13.8" x14ac:dyDescent="0.25"/>
    <row r="51" ht="13.8" x14ac:dyDescent="0.25"/>
    <row r="52" ht="13.8" x14ac:dyDescent="0.25"/>
    <row r="53" ht="13.8" hidden="1" x14ac:dyDescent="0.25"/>
  </sheetData>
  <sheetProtection algorithmName="SHA-512" hashValue="szo0hm9oUhCWkC8U4PSc9tXXaUA1wDiAqLe7L3Boupjhm7XdRKrcC9iqGYoabbXla4b2ajojatI6WxL9qp+4eQ==" saltValue="THyWfjtnb3k4Gbag+UtOlw==" spinCount="100000" sheet="1"/>
  <customSheetViews>
    <customSheetView guid="{8BDA793C-C9C5-4FC6-A0A5-F1109F6D4F22}"/>
  </customSheetViews>
  <mergeCells count="3">
    <mergeCell ref="F1:J1"/>
    <mergeCell ref="K1:O1"/>
    <mergeCell ref="D10:M1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">
    <tabColor theme="0" tint="-0.249977111117893"/>
  </sheetPr>
  <dimension ref="A1:AY109"/>
  <sheetViews>
    <sheetView showGridLines="0" showRowColHeaders="0" zoomScale="60" zoomScaleNormal="60" workbookViewId="0">
      <selection activeCell="B3" sqref="B3:D4"/>
    </sheetView>
  </sheetViews>
  <sheetFormatPr defaultColWidth="0" defaultRowHeight="13.8" zeroHeight="1" x14ac:dyDescent="0.25"/>
  <cols>
    <col min="1" max="1" width="4.33203125" style="26" customWidth="1"/>
    <col min="2" max="2" width="31.44140625" style="26" customWidth="1"/>
    <col min="3" max="3" width="13.88671875" style="26" customWidth="1"/>
    <col min="4" max="4" width="13.44140625" style="26" customWidth="1"/>
    <col min="5" max="5" width="36.5546875" style="26" customWidth="1"/>
    <col min="6" max="7" width="11.6640625" style="26" customWidth="1"/>
    <col min="8" max="8" width="13.33203125" style="26" customWidth="1"/>
    <col min="9" max="9" width="11.6640625" style="26" customWidth="1"/>
    <col min="10" max="10" width="12.5546875" style="26" customWidth="1"/>
    <col min="11" max="11" width="33.109375" style="26" bestFit="1" customWidth="1"/>
    <col min="12" max="14" width="15" style="26" customWidth="1"/>
    <col min="15" max="15" width="8.88671875" style="26" customWidth="1"/>
    <col min="16" max="16" width="14.5546875" style="26" bestFit="1" customWidth="1"/>
    <col min="17" max="17" width="14" style="26" customWidth="1"/>
    <col min="18" max="18" width="12.33203125" style="26" customWidth="1"/>
    <col min="19" max="19" width="13.44140625" style="26" hidden="1" customWidth="1"/>
    <col min="20" max="20" width="10.5546875" style="26" hidden="1" customWidth="1"/>
    <col min="21" max="30" width="8.88671875" style="26" hidden="1" customWidth="1"/>
    <col min="31" max="31" width="12.109375" style="26" hidden="1" customWidth="1"/>
    <col min="32" max="51" width="0" style="26" hidden="1" customWidth="1"/>
    <col min="52" max="16384" width="8.88671875" style="26" hidden="1"/>
  </cols>
  <sheetData>
    <row r="1" spans="2:22" ht="15.75" customHeight="1" thickBot="1" x14ac:dyDescent="0.3"/>
    <row r="2" spans="2:22" ht="19.2" customHeight="1" thickBot="1" x14ac:dyDescent="0.3">
      <c r="B2" s="785" t="str">
        <f>IF(Start!$F$12="","",Start!$F$12)</f>
        <v>7948: Anglia Square, Norwich</v>
      </c>
      <c r="C2" s="786"/>
      <c r="D2" s="787"/>
    </row>
    <row r="3" spans="2:22" ht="15.75" customHeight="1" x14ac:dyDescent="0.25">
      <c r="B3" s="770" t="str">
        <f ca="1">MID(CELL("filename",A1),FIND("]",CELL("filename",A1))+1,256)</f>
        <v>Headline Results</v>
      </c>
      <c r="C3" s="771"/>
      <c r="D3" s="772"/>
    </row>
    <row r="4" spans="2:22" ht="15.75" customHeight="1" thickBot="1" x14ac:dyDescent="0.3">
      <c r="B4" s="773"/>
      <c r="C4" s="774"/>
      <c r="D4" s="775"/>
    </row>
    <row r="5" spans="2:22" ht="9.9" customHeight="1" x14ac:dyDescent="0.25"/>
    <row r="6" spans="2:22" ht="9.9" customHeight="1" x14ac:dyDescent="0.5">
      <c r="B6" s="776"/>
      <c r="C6" s="776"/>
      <c r="K6" s="27"/>
      <c r="L6" s="27"/>
      <c r="M6" s="27"/>
      <c r="N6" s="27"/>
    </row>
    <row r="7" spans="2:22" ht="9.9" customHeight="1" thickBot="1" x14ac:dyDescent="0.55000000000000004">
      <c r="B7" s="28"/>
      <c r="C7" s="28"/>
      <c r="K7" s="27"/>
      <c r="L7" s="27"/>
      <c r="M7" s="27"/>
      <c r="N7" s="27"/>
      <c r="O7" s="29"/>
      <c r="Q7" s="29"/>
      <c r="R7" s="29"/>
    </row>
    <row r="8" spans="2:22" ht="21.9" customHeight="1" x14ac:dyDescent="0.5">
      <c r="B8" s="777" t="s">
        <v>972</v>
      </c>
      <c r="C8" s="778"/>
      <c r="D8" s="778"/>
      <c r="E8" s="778"/>
      <c r="F8" s="783" t="s">
        <v>979</v>
      </c>
      <c r="G8" s="784"/>
      <c r="H8" s="788">
        <f>IFERROR('A-1 Site Habitat Baseline'!Q259,"Check Data")</f>
        <v>1.3552</v>
      </c>
      <c r="I8" s="789"/>
      <c r="J8" s="30"/>
      <c r="K8" s="27"/>
      <c r="L8" s="27"/>
      <c r="M8" s="27"/>
      <c r="N8" s="27"/>
      <c r="O8" s="29"/>
      <c r="P8" s="29"/>
      <c r="Q8" s="29"/>
      <c r="R8" s="29"/>
      <c r="S8" s="29"/>
    </row>
    <row r="9" spans="2:22" ht="21.9" customHeight="1" x14ac:dyDescent="0.5">
      <c r="B9" s="779"/>
      <c r="C9" s="780"/>
      <c r="D9" s="780"/>
      <c r="E9" s="780"/>
      <c r="F9" s="790" t="s">
        <v>980</v>
      </c>
      <c r="G9" s="791"/>
      <c r="H9" s="792">
        <f>IFERROR('B-1 Site Hedge Baseline'!N258,"Check Data")</f>
        <v>3.6999999999999998E-2</v>
      </c>
      <c r="I9" s="793"/>
      <c r="K9" s="27"/>
      <c r="L9" s="27"/>
      <c r="M9" s="27"/>
      <c r="N9" s="27"/>
    </row>
    <row r="10" spans="2:22" ht="21.9" customHeight="1" thickBot="1" x14ac:dyDescent="0.55000000000000004">
      <c r="B10" s="781"/>
      <c r="C10" s="782"/>
      <c r="D10" s="782"/>
      <c r="E10" s="782"/>
      <c r="F10" s="794" t="s">
        <v>973</v>
      </c>
      <c r="G10" s="795"/>
      <c r="H10" s="796">
        <f>'C-1 Site River Baseline'!R258</f>
        <v>0</v>
      </c>
      <c r="I10" s="797"/>
      <c r="K10" s="27"/>
      <c r="L10" s="27"/>
      <c r="M10" s="27"/>
      <c r="N10" s="27"/>
    </row>
    <row r="11" spans="2:22" ht="4.5" customHeight="1" thickBot="1" x14ac:dyDescent="0.55000000000000004">
      <c r="H11" s="477"/>
      <c r="I11" s="477"/>
      <c r="K11" s="27"/>
      <c r="L11" s="27"/>
      <c r="M11" s="27"/>
      <c r="N11" s="27"/>
    </row>
    <row r="12" spans="2:22" ht="21.9" customHeight="1" x14ac:dyDescent="0.5">
      <c r="B12" s="777" t="s">
        <v>1512</v>
      </c>
      <c r="C12" s="778"/>
      <c r="D12" s="778"/>
      <c r="E12" s="800"/>
      <c r="F12" s="783" t="s">
        <v>979</v>
      </c>
      <c r="G12" s="784"/>
      <c r="H12" s="803">
        <f>IFERROR('A-2 Site Habitat Creation'!Y257+'A-3 Site Habitat Enhancement'!AN258+'A-1 Site Habitat Baseline'!U259,"Check Data")</f>
        <v>2.5042003451367196</v>
      </c>
      <c r="I12" s="804"/>
      <c r="K12" s="27"/>
      <c r="L12" s="27"/>
      <c r="M12" s="27"/>
      <c r="N12" s="27"/>
      <c r="U12" s="776"/>
      <c r="V12" s="776"/>
    </row>
    <row r="13" spans="2:22" ht="21.9" customHeight="1" x14ac:dyDescent="0.5">
      <c r="B13" s="779"/>
      <c r="C13" s="780"/>
      <c r="D13" s="780"/>
      <c r="E13" s="801"/>
      <c r="F13" s="790" t="s">
        <v>980</v>
      </c>
      <c r="G13" s="791"/>
      <c r="H13" s="805">
        <f>IFERROR('B-2 Site Hedge Creation'!W260+'B-3 Site Hedge Enhancement'!AH258+'B-1 Site Hedge Baseline'!R258,"Check Data")</f>
        <v>1.25064</v>
      </c>
      <c r="I13" s="806"/>
      <c r="K13" s="27"/>
      <c r="L13" s="27"/>
      <c r="M13" s="27"/>
      <c r="N13" s="27"/>
      <c r="U13" s="776"/>
      <c r="V13" s="776"/>
    </row>
    <row r="14" spans="2:22" ht="21.9" customHeight="1" thickBot="1" x14ac:dyDescent="0.55000000000000004">
      <c r="B14" s="781"/>
      <c r="C14" s="782"/>
      <c r="D14" s="782"/>
      <c r="E14" s="802"/>
      <c r="F14" s="794" t="s">
        <v>973</v>
      </c>
      <c r="G14" s="795"/>
      <c r="H14" s="796">
        <f>IFERROR('C-2 Site River Creation'!Z260 + 'C-3 Site River Enhancement'!AM258+'C-1 Site River Baseline'!V258,"Check Data")</f>
        <v>0</v>
      </c>
      <c r="I14" s="797"/>
      <c r="K14" s="27"/>
      <c r="L14" s="27"/>
      <c r="M14" s="27"/>
      <c r="N14" s="27"/>
    </row>
    <row r="15" spans="2:22" ht="4.5" customHeight="1" thickBot="1" x14ac:dyDescent="0.55000000000000004">
      <c r="B15" s="711"/>
      <c r="C15" s="711"/>
      <c r="D15" s="711"/>
      <c r="E15" s="711"/>
      <c r="F15" s="712"/>
      <c r="G15" s="712"/>
      <c r="H15" s="713"/>
      <c r="I15" s="713"/>
      <c r="K15" s="27"/>
      <c r="L15" s="27"/>
      <c r="M15" s="27"/>
      <c r="N15" s="27"/>
    </row>
    <row r="16" spans="2:22" ht="21.9" customHeight="1" x14ac:dyDescent="0.5">
      <c r="B16" s="777" t="s">
        <v>1511</v>
      </c>
      <c r="C16" s="778"/>
      <c r="D16" s="778"/>
      <c r="E16" s="800"/>
      <c r="F16" s="783" t="s">
        <v>979</v>
      </c>
      <c r="G16" s="784"/>
      <c r="H16" s="823">
        <f>IF(H12=0,0,IF(AND(H8=0,H12&gt;0),1,IFERROR((H12/H8)-1,"Check Data")))</f>
        <v>0.84784559115755576</v>
      </c>
      <c r="I16" s="824"/>
      <c r="J16" s="714"/>
      <c r="K16" s="27"/>
      <c r="L16" s="27"/>
      <c r="M16" s="27"/>
      <c r="N16" s="27"/>
    </row>
    <row r="17" spans="2:14" ht="21.9" customHeight="1" x14ac:dyDescent="0.5">
      <c r="B17" s="779"/>
      <c r="C17" s="780"/>
      <c r="D17" s="780"/>
      <c r="E17" s="801"/>
      <c r="F17" s="790" t="s">
        <v>980</v>
      </c>
      <c r="G17" s="791"/>
      <c r="H17" s="825">
        <f>IF(H13=0,0,IF(AND(H9=0,H13&gt;0),1,IFERROR((H13/H9)-1,"Check Data")))</f>
        <v>32.80108108108108</v>
      </c>
      <c r="I17" s="826"/>
      <c r="K17" s="27"/>
      <c r="L17" s="27"/>
      <c r="M17" s="27"/>
      <c r="N17" s="27"/>
    </row>
    <row r="18" spans="2:14" ht="21.9" customHeight="1" thickBot="1" x14ac:dyDescent="0.55000000000000004">
      <c r="B18" s="781"/>
      <c r="C18" s="782"/>
      <c r="D18" s="782"/>
      <c r="E18" s="802"/>
      <c r="F18" s="794" t="s">
        <v>973</v>
      </c>
      <c r="G18" s="827"/>
      <c r="H18" s="828">
        <f>IF(H14=0,0,IF(AND(H10=0,H14&gt;0),1,IFERROR((H14/H10)-1,"Check Data")))</f>
        <v>0</v>
      </c>
      <c r="I18" s="829"/>
      <c r="K18" s="27"/>
      <c r="L18" s="27"/>
      <c r="M18" s="27"/>
      <c r="N18" s="27"/>
    </row>
    <row r="19" spans="2:14" ht="24.9" customHeight="1" thickBot="1" x14ac:dyDescent="0.55000000000000004">
      <c r="H19" s="477"/>
      <c r="I19" s="477"/>
      <c r="K19" s="27"/>
      <c r="L19" s="27"/>
      <c r="M19" s="27"/>
      <c r="N19" s="27"/>
    </row>
    <row r="20" spans="2:14" ht="21.9" customHeight="1" x14ac:dyDescent="0.5">
      <c r="B20" s="777" t="s">
        <v>974</v>
      </c>
      <c r="C20" s="778"/>
      <c r="D20" s="778"/>
      <c r="E20" s="778"/>
      <c r="F20" s="783" t="s">
        <v>979</v>
      </c>
      <c r="G20" s="784"/>
      <c r="H20" s="807">
        <f>IFERROR('D-1 Off Site Habitat Baseline'!Q259,"Check Data")</f>
        <v>0</v>
      </c>
      <c r="I20" s="808"/>
      <c r="K20" s="27"/>
      <c r="L20" s="27"/>
      <c r="M20" s="27"/>
      <c r="N20" s="27"/>
    </row>
    <row r="21" spans="2:14" ht="21.9" customHeight="1" x14ac:dyDescent="0.5">
      <c r="B21" s="779"/>
      <c r="C21" s="780"/>
      <c r="D21" s="780"/>
      <c r="E21" s="780"/>
      <c r="F21" s="790" t="s">
        <v>980</v>
      </c>
      <c r="G21" s="791"/>
      <c r="H21" s="809">
        <f>IFERROR('E-1 Off Site Hedge Baseline'!N258,"Check Data")</f>
        <v>0</v>
      </c>
      <c r="I21" s="810"/>
      <c r="K21" s="27"/>
      <c r="L21" s="27"/>
      <c r="M21" s="27"/>
      <c r="N21" s="27"/>
    </row>
    <row r="22" spans="2:14" ht="21.9" customHeight="1" thickBot="1" x14ac:dyDescent="0.55000000000000004">
      <c r="B22" s="781"/>
      <c r="C22" s="782"/>
      <c r="D22" s="782"/>
      <c r="E22" s="782"/>
      <c r="F22" s="794" t="s">
        <v>973</v>
      </c>
      <c r="G22" s="795"/>
      <c r="H22" s="798">
        <f>IFERROR('F-1 Off Site River Baseline'!R258,"Check Data")</f>
        <v>0</v>
      </c>
      <c r="I22" s="799"/>
      <c r="K22" s="27"/>
      <c r="L22" s="27"/>
      <c r="M22" s="27"/>
      <c r="N22" s="27"/>
    </row>
    <row r="23" spans="2:14" ht="4.5" customHeight="1" thickBot="1" x14ac:dyDescent="0.55000000000000004">
      <c r="H23" s="477"/>
      <c r="I23" s="477"/>
      <c r="K23" s="27"/>
      <c r="L23" s="27"/>
      <c r="M23" s="27"/>
      <c r="N23" s="27"/>
    </row>
    <row r="24" spans="2:14" ht="21.9" customHeight="1" x14ac:dyDescent="0.5">
      <c r="B24" s="777" t="s">
        <v>1513</v>
      </c>
      <c r="C24" s="778"/>
      <c r="D24" s="778"/>
      <c r="E24" s="800"/>
      <c r="F24" s="783" t="s">
        <v>979</v>
      </c>
      <c r="G24" s="784"/>
      <c r="H24" s="803">
        <f>IFERROR('D-1 Off Site Habitat Baseline'!$U$259+'D-2 Off Site Habitat Creation'!AA257+'D-3 Off Site Habitat Enhancment'!AP259,"Check Data")</f>
        <v>0</v>
      </c>
      <c r="I24" s="804"/>
      <c r="K24" s="27"/>
      <c r="L24" s="27"/>
      <c r="M24" s="27"/>
      <c r="N24" s="27"/>
    </row>
    <row r="25" spans="2:14" ht="21.9" customHeight="1" x14ac:dyDescent="0.5">
      <c r="B25" s="779"/>
      <c r="C25" s="780"/>
      <c r="D25" s="780"/>
      <c r="E25" s="801"/>
      <c r="F25" s="790" t="s">
        <v>980</v>
      </c>
      <c r="G25" s="791"/>
      <c r="H25" s="811">
        <f>IFERROR('E-1 Off Site Hedge Baseline'!R258+'E-2 Off Site Hedge Creation'!Y260+'E-3 Off Site Hedge Enhancement'!AJ258,"Check Data")</f>
        <v>0</v>
      </c>
      <c r="I25" s="806"/>
      <c r="K25" s="27"/>
      <c r="L25" s="27"/>
      <c r="M25" s="27"/>
      <c r="N25" s="27"/>
    </row>
    <row r="26" spans="2:14" ht="21.9" customHeight="1" thickBot="1" x14ac:dyDescent="0.55000000000000004">
      <c r="B26" s="781"/>
      <c r="C26" s="782"/>
      <c r="D26" s="782"/>
      <c r="E26" s="802"/>
      <c r="F26" s="794" t="s">
        <v>973</v>
      </c>
      <c r="G26" s="795"/>
      <c r="H26" s="796">
        <f>IFERROR('F-1 Off Site River Baseline'!V258+'F-2 Off Site River Creation'!AB260+'F-3 Off Site River Enhancement'!AO258,"Check Data")</f>
        <v>0</v>
      </c>
      <c r="I26" s="797"/>
      <c r="K26" s="27"/>
      <c r="L26" s="27"/>
      <c r="M26" s="27"/>
      <c r="N26" s="27"/>
    </row>
    <row r="27" spans="2:14" ht="24.9" customHeight="1" thickBot="1" x14ac:dyDescent="0.55000000000000004">
      <c r="H27" s="477"/>
      <c r="I27" s="477"/>
      <c r="K27" s="27"/>
      <c r="L27" s="27"/>
      <c r="M27" s="27"/>
      <c r="N27" s="27"/>
    </row>
    <row r="28" spans="2:14" ht="21.9" customHeight="1" x14ac:dyDescent="0.5">
      <c r="B28" s="777" t="s">
        <v>1514</v>
      </c>
      <c r="C28" s="778"/>
      <c r="D28" s="778"/>
      <c r="E28" s="800"/>
      <c r="F28" s="783" t="s">
        <v>979</v>
      </c>
      <c r="G28" s="784"/>
      <c r="H28" s="803">
        <f>IFERROR((H12-H8)+((H24-H20)),"Check Data")</f>
        <v>1.1490003451367197</v>
      </c>
      <c r="I28" s="804"/>
      <c r="J28" s="818"/>
      <c r="K28" s="819"/>
      <c r="L28" s="27"/>
      <c r="M28" s="27"/>
      <c r="N28" s="27"/>
    </row>
    <row r="29" spans="2:14" ht="21.9" customHeight="1" x14ac:dyDescent="0.5">
      <c r="B29" s="779"/>
      <c r="C29" s="780"/>
      <c r="D29" s="780"/>
      <c r="E29" s="801"/>
      <c r="F29" s="790" t="s">
        <v>980</v>
      </c>
      <c r="G29" s="791"/>
      <c r="H29" s="811">
        <f>IFERROR((H13-H9)+((H25-H21)),"Check Data")</f>
        <v>1.2136400000000001</v>
      </c>
      <c r="I29" s="806"/>
      <c r="J29" s="818"/>
      <c r="K29" s="819"/>
      <c r="L29" s="27"/>
      <c r="M29" s="27"/>
      <c r="N29" s="27"/>
    </row>
    <row r="30" spans="2:14" ht="21.9" customHeight="1" thickBot="1" x14ac:dyDescent="0.55000000000000004">
      <c r="B30" s="781"/>
      <c r="C30" s="782"/>
      <c r="D30" s="782"/>
      <c r="E30" s="802"/>
      <c r="F30" s="794" t="s">
        <v>973</v>
      </c>
      <c r="G30" s="795"/>
      <c r="H30" s="796">
        <f>IFERROR((H14-H10)+((H26-H22)),"Check Data")</f>
        <v>0</v>
      </c>
      <c r="I30" s="797"/>
      <c r="J30" s="818"/>
      <c r="K30" s="819"/>
      <c r="L30" s="27"/>
      <c r="M30" s="27"/>
      <c r="N30" s="27"/>
    </row>
    <row r="31" spans="2:14" ht="4.5" customHeight="1" thickBot="1" x14ac:dyDescent="0.55000000000000004">
      <c r="H31" s="478"/>
      <c r="I31" s="478"/>
      <c r="K31" s="27"/>
      <c r="L31" s="27"/>
      <c r="M31" s="27"/>
      <c r="N31" s="27"/>
    </row>
    <row r="32" spans="2:14" ht="21.9" customHeight="1" x14ac:dyDescent="0.5">
      <c r="B32" s="777" t="s">
        <v>1515</v>
      </c>
      <c r="C32" s="778"/>
      <c r="D32" s="778"/>
      <c r="E32" s="800"/>
      <c r="F32" s="783" t="s">
        <v>979</v>
      </c>
      <c r="G32" s="784"/>
      <c r="H32" s="823">
        <f>IF(H28=0,0,IF(AND(H8=0,H20=0,H28&gt;0),1,IFERROR((H28/H8),"Check Data")))</f>
        <v>0.84784559115755587</v>
      </c>
      <c r="I32" s="824"/>
      <c r="J32" s="818"/>
      <c r="K32" s="819"/>
      <c r="L32" s="27"/>
      <c r="M32" s="27"/>
      <c r="N32" s="27"/>
    </row>
    <row r="33" spans="1:33" ht="21.9" customHeight="1" x14ac:dyDescent="0.5">
      <c r="A33" s="31"/>
      <c r="B33" s="779"/>
      <c r="C33" s="780"/>
      <c r="D33" s="780"/>
      <c r="E33" s="801"/>
      <c r="F33" s="790" t="s">
        <v>980</v>
      </c>
      <c r="G33" s="791"/>
      <c r="H33" s="825">
        <f>IF(H29=0,0,IF(AND(H9=0,H21=0,H29&gt;0),1,IFERROR((H29/H9),"Check Data")))</f>
        <v>32.801081081081087</v>
      </c>
      <c r="I33" s="826"/>
      <c r="J33" s="818"/>
      <c r="K33" s="819"/>
      <c r="L33" s="27"/>
      <c r="M33" s="27"/>
      <c r="N33" s="27"/>
    </row>
    <row r="34" spans="1:33" ht="21.9" customHeight="1" thickBot="1" x14ac:dyDescent="0.55000000000000004">
      <c r="A34" s="31"/>
      <c r="B34" s="781"/>
      <c r="C34" s="782"/>
      <c r="D34" s="782"/>
      <c r="E34" s="802"/>
      <c r="F34" s="794" t="s">
        <v>973</v>
      </c>
      <c r="G34" s="827"/>
      <c r="H34" s="828">
        <f>IF(H30=0,0,IF(AND(H10=0,H22=0,H30&gt;0),1,IFERROR((H30/H10),"Check Data")))</f>
        <v>0</v>
      </c>
      <c r="I34" s="829"/>
      <c r="J34" s="820"/>
      <c r="K34" s="821"/>
      <c r="L34" s="27"/>
      <c r="M34" s="27"/>
      <c r="N34" s="27"/>
    </row>
    <row r="35" spans="1:33" ht="24.9" customHeight="1" thickBot="1" x14ac:dyDescent="0.55000000000000004">
      <c r="B35" s="822"/>
      <c r="C35" s="822"/>
      <c r="D35" s="822"/>
      <c r="F35" s="32"/>
      <c r="G35" s="32"/>
      <c r="H35" s="32"/>
      <c r="I35" s="32"/>
      <c r="J35" s="32"/>
      <c r="K35" s="32"/>
      <c r="L35" s="32"/>
      <c r="M35" s="32"/>
    </row>
    <row r="36" spans="1:33" s="33" customFormat="1" ht="38.25" customHeight="1" thickBot="1" x14ac:dyDescent="0.3">
      <c r="B36" s="812" t="s">
        <v>1503</v>
      </c>
      <c r="C36" s="813"/>
      <c r="D36" s="813"/>
      <c r="E36" s="814"/>
      <c r="F36" s="815" t="str">
        <f>IF(OR('Trading Summary'!G5="No",'Trading Summary'!G6="No",'Trading Summary'!G7="No",'Trading Summary'!G8="No"),"No - Check Trading Summary","Yes")</f>
        <v>Yes</v>
      </c>
      <c r="G36" s="816"/>
      <c r="H36" s="816"/>
      <c r="I36" s="817"/>
      <c r="J36" s="34"/>
      <c r="K36" s="34"/>
      <c r="L36" s="34"/>
      <c r="M36" s="34"/>
      <c r="N36" s="26"/>
      <c r="O36" s="26"/>
      <c r="P36" s="26"/>
      <c r="Q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5.6" x14ac:dyDescent="0.2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X37" s="33"/>
      <c r="Y37" s="33"/>
      <c r="Z37" s="33"/>
      <c r="AA37" s="33"/>
      <c r="AB37" s="33"/>
    </row>
    <row r="38" spans="1:33" ht="15.6" x14ac:dyDescent="0.2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X38" s="33"/>
      <c r="Y38" s="33"/>
      <c r="Z38" s="33"/>
      <c r="AA38" s="33"/>
      <c r="AB38" s="33"/>
    </row>
    <row r="39" spans="1:33" ht="15.6" hidden="1" x14ac:dyDescent="0.2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X39" s="33"/>
      <c r="Y39" s="33"/>
      <c r="Z39" s="33"/>
      <c r="AA39" s="33"/>
      <c r="AB39" s="33"/>
    </row>
    <row r="40" spans="1:33" ht="15.75" hidden="1" customHeight="1" x14ac:dyDescent="0.25"/>
    <row r="46" spans="1:33" ht="15.75" hidden="1" customHeight="1" x14ac:dyDescent="0.25"/>
    <row r="47" spans="1:33" ht="15.75" hidden="1" customHeight="1" x14ac:dyDescent="0.25"/>
    <row r="48" spans="1:33" ht="15.75" hidden="1" customHeight="1" x14ac:dyDescent="0.25"/>
    <row r="49" ht="15.75" hidden="1" customHeight="1" x14ac:dyDescent="0.25"/>
    <row r="50" ht="15.75" hidden="1" customHeight="1" x14ac:dyDescent="0.25"/>
    <row r="51" ht="15.75" hidden="1" customHeight="1" x14ac:dyDescent="0.25"/>
    <row r="52" ht="15.75" hidden="1" customHeight="1" x14ac:dyDescent="0.25"/>
    <row r="53" ht="15.75" hidden="1" customHeight="1" x14ac:dyDescent="0.25"/>
    <row r="54" ht="15.75" hidden="1" customHeight="1" x14ac:dyDescent="0.25"/>
    <row r="55" ht="15.75" hidden="1" customHeight="1" x14ac:dyDescent="0.25"/>
    <row r="56" ht="15.75" hidden="1" customHeight="1" x14ac:dyDescent="0.25"/>
    <row r="57" ht="15.75" hidden="1" customHeight="1" x14ac:dyDescent="0.25"/>
    <row r="58" ht="15.75" hidden="1" customHeight="1" x14ac:dyDescent="0.25"/>
    <row r="59" ht="15.75" hidden="1" customHeight="1" x14ac:dyDescent="0.25"/>
    <row r="60" ht="15.75" hidden="1" customHeight="1" x14ac:dyDescent="0.25"/>
    <row r="61" ht="15.75" hidden="1" customHeight="1" x14ac:dyDescent="0.25"/>
    <row r="62" ht="15.75" hidden="1" customHeight="1" x14ac:dyDescent="0.25"/>
    <row r="63" ht="15.75" hidden="1" customHeight="1" x14ac:dyDescent="0.25"/>
    <row r="90" ht="21.6" hidden="1" customHeight="1" x14ac:dyDescent="0.25"/>
    <row r="103" ht="64.95" hidden="1" customHeight="1" x14ac:dyDescent="0.25"/>
    <row r="106" ht="29.4" hidden="1" customHeight="1" x14ac:dyDescent="0.25"/>
    <row r="109" x14ac:dyDescent="0.25"/>
  </sheetData>
  <sheetProtection algorithmName="SHA-512" hashValue="ZmMiydSZKKgpeeItHGvvrKTZaG7C3voV1NkDsqq7C+vAha7wCxoaUZQAYiHRfJf6c7zZ5DB77CRzLBe2iQjvVw==" saltValue="WSm+G8Ah3P69RGXqMoh/ZQ==" spinCount="100000" sheet="1" objects="1" scenarios="1"/>
  <customSheetViews>
    <customSheetView guid="{8BDA793C-C9C5-4FC6-A0A5-F1109F6D4F22}" state="hidden" topLeftCell="A23">
      <selection activeCell="D14" sqref="D14"/>
    </customSheetView>
  </customSheetViews>
  <mergeCells count="62">
    <mergeCell ref="F16:G16"/>
    <mergeCell ref="H16:I16"/>
    <mergeCell ref="F17:G17"/>
    <mergeCell ref="H17:I17"/>
    <mergeCell ref="F18:G18"/>
    <mergeCell ref="H18:I18"/>
    <mergeCell ref="B36:E36"/>
    <mergeCell ref="F36:I36"/>
    <mergeCell ref="J28:K28"/>
    <mergeCell ref="J29:K29"/>
    <mergeCell ref="J30:K30"/>
    <mergeCell ref="J32:K32"/>
    <mergeCell ref="J33:K33"/>
    <mergeCell ref="J34:K34"/>
    <mergeCell ref="B35:D35"/>
    <mergeCell ref="B32:E34"/>
    <mergeCell ref="F32:G32"/>
    <mergeCell ref="H32:I32"/>
    <mergeCell ref="F33:G33"/>
    <mergeCell ref="H33:I33"/>
    <mergeCell ref="F34:G34"/>
    <mergeCell ref="H34:I34"/>
    <mergeCell ref="B28:E30"/>
    <mergeCell ref="F28:G28"/>
    <mergeCell ref="H28:I28"/>
    <mergeCell ref="F29:G29"/>
    <mergeCell ref="H29:I29"/>
    <mergeCell ref="F30:G30"/>
    <mergeCell ref="H30:I30"/>
    <mergeCell ref="B24:E26"/>
    <mergeCell ref="F24:G24"/>
    <mergeCell ref="H24:I24"/>
    <mergeCell ref="F25:G25"/>
    <mergeCell ref="H25:I25"/>
    <mergeCell ref="F26:G26"/>
    <mergeCell ref="H26:I26"/>
    <mergeCell ref="H22:I22"/>
    <mergeCell ref="B12:E14"/>
    <mergeCell ref="F12:G12"/>
    <mergeCell ref="H12:I12"/>
    <mergeCell ref="U12:V13"/>
    <mergeCell ref="F13:G13"/>
    <mergeCell ref="H13:I13"/>
    <mergeCell ref="F14:G14"/>
    <mergeCell ref="H14:I14"/>
    <mergeCell ref="B20:E22"/>
    <mergeCell ref="F20:G20"/>
    <mergeCell ref="H20:I20"/>
    <mergeCell ref="F21:G21"/>
    <mergeCell ref="H21:I21"/>
    <mergeCell ref="F22:G22"/>
    <mergeCell ref="B16:E18"/>
    <mergeCell ref="H8:I8"/>
    <mergeCell ref="F9:G9"/>
    <mergeCell ref="H9:I9"/>
    <mergeCell ref="F10:G10"/>
    <mergeCell ref="H10:I10"/>
    <mergeCell ref="B3:D4"/>
    <mergeCell ref="B6:C6"/>
    <mergeCell ref="B8:E10"/>
    <mergeCell ref="F8:G8"/>
    <mergeCell ref="B2:D2"/>
  </mergeCells>
  <conditionalFormatting sqref="K38:L39">
    <cfRule type="cellIs" dxfId="389" priority="50" operator="lessThan">
      <formula>0</formula>
    </cfRule>
    <cfRule type="cellIs" dxfId="388" priority="51" operator="greaterThan">
      <formula>0</formula>
    </cfRule>
  </conditionalFormatting>
  <conditionalFormatting sqref="L20:L21">
    <cfRule type="cellIs" dxfId="387" priority="45" operator="equal">
      <formula>"Error"</formula>
    </cfRule>
  </conditionalFormatting>
  <conditionalFormatting sqref="H28:I28">
    <cfRule type="cellIs" dxfId="386" priority="43" operator="equal">
      <formula>"Error"</formula>
    </cfRule>
  </conditionalFormatting>
  <conditionalFormatting sqref="H32:I32">
    <cfRule type="expression" dxfId="385" priority="24">
      <formula>AND(OR($H$8&gt;0,$H$20&gt;0),$H$32&lt;0.1)</formula>
    </cfRule>
    <cfRule type="expression" dxfId="384" priority="29">
      <formula>AND(OR($H$8&gt;0,$H$20&gt;0),$H$32&gt;=0.1)</formula>
    </cfRule>
  </conditionalFormatting>
  <conditionalFormatting sqref="L25:L26">
    <cfRule type="cellIs" dxfId="383" priority="41" operator="greaterThan">
      <formula>0</formula>
    </cfRule>
  </conditionalFormatting>
  <conditionalFormatting sqref="L8:L9">
    <cfRule type="cellIs" dxfId="382" priority="40" operator="equal">
      <formula>"Error"</formula>
    </cfRule>
  </conditionalFormatting>
  <conditionalFormatting sqref="L11">
    <cfRule type="cellIs" dxfId="381" priority="39" operator="equal">
      <formula>"Error"</formula>
    </cfRule>
  </conditionalFormatting>
  <conditionalFormatting sqref="L13:L18">
    <cfRule type="cellIs" dxfId="380" priority="37" operator="equal">
      <formula>"Error"</formula>
    </cfRule>
  </conditionalFormatting>
  <conditionalFormatting sqref="H33:I34">
    <cfRule type="cellIs" dxfId="379" priority="31" operator="equal">
      <formula>"Error"</formula>
    </cfRule>
  </conditionalFormatting>
  <conditionalFormatting sqref="H33:I34">
    <cfRule type="cellIs" dxfId="378" priority="30" operator="equal">
      <formula>"Error"</formula>
    </cfRule>
  </conditionalFormatting>
  <conditionalFormatting sqref="H33:I33">
    <cfRule type="expression" dxfId="377" priority="25">
      <formula>AND(OR($H$9&gt;0,$H$21&gt;0),$H$33&lt;0.1)</formula>
    </cfRule>
    <cfRule type="expression" dxfId="376" priority="28">
      <formula>$H$33&gt;=0.1</formula>
    </cfRule>
  </conditionalFormatting>
  <conditionalFormatting sqref="H34:I34">
    <cfRule type="expression" dxfId="375" priority="26">
      <formula>AND(OR($H$10&gt;0,$H$22&gt;0),$H$34&lt;0.1)</formula>
    </cfRule>
    <cfRule type="expression" dxfId="374" priority="27">
      <formula>$H$34&gt;=0.1</formula>
    </cfRule>
  </conditionalFormatting>
  <conditionalFormatting sqref="H8:I15 H19:I34">
    <cfRule type="containsText" dxfId="373" priority="18" operator="containsText" text="Check">
      <formula>NOT(ISERROR(SEARCH("Check",H8)))</formula>
    </cfRule>
    <cfRule type="containsText" dxfId="372" priority="42" operator="containsText" text="Error">
      <formula>NOT(ISERROR(SEARCH("Error",H8)))</formula>
    </cfRule>
  </conditionalFormatting>
  <conditionalFormatting sqref="F36:I36">
    <cfRule type="containsText" dxfId="371" priority="16" operator="containsText" text="No">
      <formula>NOT(ISERROR(SEARCH("No",F36)))</formula>
    </cfRule>
    <cfRule type="containsText" dxfId="370" priority="17" operator="containsText" text="Yes">
      <formula>NOT(ISERROR(SEARCH("Yes",F36)))</formula>
    </cfRule>
  </conditionalFormatting>
  <conditionalFormatting sqref="H17:I18">
    <cfRule type="cellIs" dxfId="369" priority="14" operator="equal">
      <formula>"Error"</formula>
    </cfRule>
  </conditionalFormatting>
  <conditionalFormatting sqref="H17:I18">
    <cfRule type="cellIs" dxfId="368" priority="13" operator="equal">
      <formula>"Error"</formula>
    </cfRule>
  </conditionalFormatting>
  <conditionalFormatting sqref="H16:I18">
    <cfRule type="containsText" dxfId="367" priority="6" operator="containsText" text="Check">
      <formula>NOT(ISERROR(SEARCH("Check",H16)))</formula>
    </cfRule>
    <cfRule type="containsText" dxfId="366" priority="15" operator="containsText" text="Error">
      <formula>NOT(ISERROR(SEARCH("Error",H16)))</formula>
    </cfRule>
  </conditionalFormatting>
  <conditionalFormatting sqref="H16:I16">
    <cfRule type="expression" dxfId="365" priority="7">
      <formula>AND($H$8&gt;0,$H$16&lt;0.1)</formula>
    </cfRule>
    <cfRule type="expression" dxfId="364" priority="12">
      <formula>AND($H$8&gt;0,$H$16&gt;=0.1)</formula>
    </cfRule>
  </conditionalFormatting>
  <conditionalFormatting sqref="H17:I17">
    <cfRule type="expression" dxfId="363" priority="4">
      <formula>AND($H$9&gt;0,$H$17&lt;0.1)</formula>
    </cfRule>
    <cfRule type="expression" dxfId="362" priority="2">
      <formula>$H$17&gt;=0.1</formula>
    </cfRule>
  </conditionalFormatting>
  <conditionalFormatting sqref="H18:I18">
    <cfRule type="expression" dxfId="361" priority="3">
      <formula>AND($H$10&gt;0,$H$18&lt;0.1)</formula>
    </cfRule>
    <cfRule type="expression" dxfId="360" priority="1">
      <formula>$H$18&gt;=0.1</formula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2" operator="equal" id="{6EEE2BFC-026C-4DBA-865F-850D56F4BDD9}">
            <xm:f>'G-1 All Habitats'!$X$6</xm:f>
            <x14:dxf>
              <fill>
                <patternFill>
                  <bgColor theme="7" tint="0.79998168889431442"/>
                </patternFill>
              </fill>
            </x14:dxf>
          </x14:cfRule>
          <x14:cfRule type="cellIs" priority="33" operator="equal" id="{B56D98BB-0AE5-4874-9D4E-3C4485D04071}">
            <xm:f>'G-1 All Habitats'!$X$7</xm:f>
            <x14:dxf>
              <fill>
                <patternFill>
                  <bgColor theme="4" tint="0.59996337778862885"/>
                </patternFill>
              </fill>
            </x14:dxf>
          </x14:cfRule>
          <x14:cfRule type="cellIs" priority="34" operator="equal" id="{E7D480FC-A0C4-44B1-A2E7-E2F87CB95EC5}">
            <xm:f>'G-1 All Habitats'!$X$5</xm:f>
            <x14:dxf>
              <fill>
                <patternFill>
                  <bgColor theme="7" tint="0.39994506668294322"/>
                </patternFill>
              </fill>
            </x14:dxf>
          </x14:cfRule>
          <x14:cfRule type="cellIs" priority="35" operator="equal" id="{90383316-2A46-4A3A-98B3-02D63A8114CA}">
            <xm:f>'G-1 All Habitats'!$X$4</xm:f>
            <x14:dxf>
              <fill>
                <patternFill>
                  <bgColor theme="5"/>
                </patternFill>
              </fill>
            </x14:dxf>
          </x14:cfRule>
          <x14:cfRule type="cellIs" priority="36" operator="equal" id="{0F6CE493-8FC3-4B19-8BC0-600EB317F0F4}">
            <xm:f>'G-1 All Habitats'!$X$3</xm:f>
            <x14:dxf>
              <fill>
                <patternFill>
                  <bgColor rgb="FFFF0000"/>
                </patternFill>
              </fill>
            </x14:dxf>
          </x14:cfRule>
          <xm:sqref>K25:K27 K31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theme="0" tint="-0.249977111117893"/>
  </sheetPr>
  <dimension ref="A1:AG214"/>
  <sheetViews>
    <sheetView zoomScale="70" zoomScaleNormal="70" workbookViewId="0">
      <selection activeCell="B3" sqref="B3:D4"/>
    </sheetView>
  </sheetViews>
  <sheetFormatPr defaultColWidth="8.88671875" defaultRowHeight="13.8" x14ac:dyDescent="0.25"/>
  <cols>
    <col min="1" max="1" width="4.33203125" style="35" customWidth="1"/>
    <col min="2" max="2" width="72.88671875" style="35" customWidth="1"/>
    <col min="3" max="3" width="13.88671875" style="35" customWidth="1"/>
    <col min="4" max="4" width="18.33203125" style="35" customWidth="1"/>
    <col min="5" max="5" width="16" style="35" customWidth="1"/>
    <col min="6" max="6" width="14.5546875" style="35" customWidth="1"/>
    <col min="7" max="7" width="12.44140625" style="35" customWidth="1"/>
    <col min="8" max="8" width="15.5546875" style="35" customWidth="1"/>
    <col min="9" max="9" width="16.109375" style="35" customWidth="1"/>
    <col min="10" max="10" width="20.33203125" style="35" customWidth="1"/>
    <col min="11" max="11" width="23.33203125" style="35" customWidth="1"/>
    <col min="12" max="12" width="28.33203125" style="35" customWidth="1"/>
    <col min="13" max="13" width="15" style="35" customWidth="1"/>
    <col min="14" max="14" width="16.33203125" style="35" customWidth="1"/>
    <col min="15" max="15" width="11.109375" style="35" customWidth="1"/>
    <col min="16" max="16" width="16.33203125" style="35" customWidth="1"/>
    <col min="17" max="17" width="14" style="35" customWidth="1"/>
    <col min="18" max="18" width="12.33203125" style="35" customWidth="1"/>
    <col min="19" max="19" width="13.44140625" style="35" customWidth="1"/>
    <col min="20" max="20" width="10.5546875" style="35" customWidth="1"/>
    <col min="21" max="30" width="8.88671875" style="35"/>
    <col min="31" max="31" width="12.109375" style="35" customWidth="1"/>
    <col min="32" max="16384" width="8.88671875" style="35"/>
  </cols>
  <sheetData>
    <row r="1" spans="2:19" ht="15.75" customHeight="1" thickBot="1" x14ac:dyDescent="0.3"/>
    <row r="2" spans="2:19" ht="22.2" customHeight="1" thickBot="1" x14ac:dyDescent="0.3">
      <c r="B2" s="874" t="str">
        <f>IF(Start!$F$12="","",Start!$F$12)</f>
        <v>7948: Anglia Square, Norwich</v>
      </c>
      <c r="C2" s="875"/>
      <c r="D2" s="876"/>
    </row>
    <row r="3" spans="2:19" ht="19.95" customHeight="1" x14ac:dyDescent="0.25">
      <c r="B3" s="770" t="str">
        <f ca="1">MID(CELL("filename",A1),FIND("]",CELL("filename",A1))+1,256)</f>
        <v>Detailed Results</v>
      </c>
      <c r="C3" s="771"/>
      <c r="D3" s="772"/>
    </row>
    <row r="4" spans="2:19" ht="21.6" customHeight="1" thickBot="1" x14ac:dyDescent="0.3">
      <c r="B4" s="773"/>
      <c r="C4" s="774"/>
      <c r="D4" s="775"/>
    </row>
    <row r="5" spans="2:19" ht="15.75" customHeight="1" x14ac:dyDescent="0.25"/>
    <row r="6" spans="2:19" ht="25.5" customHeight="1" thickBot="1" x14ac:dyDescent="0.3"/>
    <row r="7" spans="2:19" ht="18.75" customHeight="1" x14ac:dyDescent="0.25">
      <c r="B7" s="881" t="s">
        <v>796</v>
      </c>
      <c r="C7" s="882"/>
    </row>
    <row r="8" spans="2:19" ht="20.25" customHeight="1" thickBot="1" x14ac:dyDescent="0.3">
      <c r="B8" s="883"/>
      <c r="C8" s="884"/>
    </row>
    <row r="9" spans="2:19" ht="15.75" customHeight="1" thickBot="1" x14ac:dyDescent="0.55000000000000004">
      <c r="B9" s="36"/>
      <c r="C9" s="36"/>
      <c r="O9" s="37"/>
      <c r="Q9" s="37"/>
      <c r="R9" s="37"/>
    </row>
    <row r="10" spans="2:19" ht="18" customHeight="1" x14ac:dyDescent="0.3">
      <c r="B10" s="777" t="s">
        <v>1315</v>
      </c>
      <c r="C10" s="778"/>
      <c r="D10" s="778"/>
      <c r="E10" s="800"/>
      <c r="F10" s="887" t="s">
        <v>979</v>
      </c>
      <c r="G10" s="888"/>
      <c r="H10" s="885">
        <f>IFERROR('Headline Results'!$H$28:$I$28,"Check Data")</f>
        <v>1.1490003451367197</v>
      </c>
      <c r="I10" s="886"/>
      <c r="J10" s="38"/>
      <c r="O10" s="37"/>
      <c r="P10" s="37"/>
      <c r="Q10" s="37"/>
      <c r="R10" s="37"/>
      <c r="S10" s="37"/>
    </row>
    <row r="11" spans="2:19" ht="15.75" customHeight="1" x14ac:dyDescent="0.3">
      <c r="B11" s="779"/>
      <c r="C11" s="780"/>
      <c r="D11" s="780"/>
      <c r="E11" s="801"/>
      <c r="F11" s="891" t="s">
        <v>980</v>
      </c>
      <c r="G11" s="898"/>
      <c r="H11" s="896">
        <f>IFERROR('Headline Results'!$H$29:$I$29,"Check Data")</f>
        <v>1.2136400000000001</v>
      </c>
      <c r="I11" s="897"/>
    </row>
    <row r="12" spans="2:19" ht="18.600000000000001" customHeight="1" thickBot="1" x14ac:dyDescent="0.35">
      <c r="B12" s="781"/>
      <c r="C12" s="782"/>
      <c r="D12" s="782"/>
      <c r="E12" s="802"/>
      <c r="F12" s="877" t="s">
        <v>973</v>
      </c>
      <c r="G12" s="878"/>
      <c r="H12" s="879">
        <f>IFERROR('Headline Results'!$H$30:$I$30,"Check Data")</f>
        <v>0</v>
      </c>
      <c r="I12" s="880"/>
    </row>
    <row r="13" spans="2:19" ht="15.75" customHeight="1" thickBot="1" x14ac:dyDescent="0.3"/>
    <row r="14" spans="2:19" ht="18.75" customHeight="1" x14ac:dyDescent="0.25">
      <c r="B14" s="777" t="s">
        <v>1316</v>
      </c>
      <c r="C14" s="778"/>
      <c r="D14" s="778"/>
      <c r="E14" s="800"/>
      <c r="F14" s="887" t="s">
        <v>979</v>
      </c>
      <c r="G14" s="895"/>
      <c r="H14" s="893">
        <f>IFERROR('Headline Results'!$H$32:$I$32,"Check Data")</f>
        <v>0.84784559115755587</v>
      </c>
      <c r="I14" s="894"/>
    </row>
    <row r="15" spans="2:19" ht="18.75" customHeight="1" x14ac:dyDescent="0.25">
      <c r="B15" s="779"/>
      <c r="C15" s="780"/>
      <c r="D15" s="780"/>
      <c r="E15" s="801"/>
      <c r="F15" s="891" t="s">
        <v>980</v>
      </c>
      <c r="G15" s="892"/>
      <c r="H15" s="889">
        <f>IFERROR('Headline Results'!$H$33:$I$33,"Check Data")</f>
        <v>32.801081081081087</v>
      </c>
      <c r="I15" s="890"/>
    </row>
    <row r="16" spans="2:19" ht="18.75" customHeight="1" thickBot="1" x14ac:dyDescent="0.3">
      <c r="B16" s="781"/>
      <c r="C16" s="782"/>
      <c r="D16" s="782"/>
      <c r="E16" s="802"/>
      <c r="F16" s="877" t="s">
        <v>973</v>
      </c>
      <c r="G16" s="901"/>
      <c r="H16" s="899">
        <f>IFERROR('Headline Results'!$H$34:$I$34,"Check Data")</f>
        <v>0</v>
      </c>
      <c r="I16" s="900"/>
    </row>
    <row r="17" spans="2:9" ht="18.75" customHeight="1" thickBot="1" x14ac:dyDescent="0.3"/>
    <row r="18" spans="2:9" ht="25.5" customHeight="1" x14ac:dyDescent="0.25">
      <c r="B18" s="902" t="s">
        <v>1351</v>
      </c>
      <c r="C18" s="902"/>
      <c r="D18" s="902"/>
      <c r="E18" s="902"/>
      <c r="F18" s="902"/>
      <c r="G18" s="902"/>
      <c r="H18" s="902"/>
      <c r="I18" s="902"/>
    </row>
    <row r="19" spans="2:9" ht="22.5" customHeight="1" thickBot="1" x14ac:dyDescent="0.3">
      <c r="B19" s="903"/>
      <c r="C19" s="903"/>
      <c r="D19" s="903"/>
      <c r="E19" s="903"/>
      <c r="F19" s="903"/>
      <c r="G19" s="903"/>
      <c r="H19" s="903"/>
      <c r="I19" s="903"/>
    </row>
    <row r="20" spans="2:9" ht="18.75" customHeight="1" thickBot="1" x14ac:dyDescent="0.55000000000000004">
      <c r="B20" s="870"/>
      <c r="C20" s="870"/>
      <c r="D20" s="873" t="s">
        <v>797</v>
      </c>
      <c r="E20" s="873"/>
      <c r="F20" s="873" t="s">
        <v>805</v>
      </c>
      <c r="G20" s="873"/>
      <c r="H20" s="873" t="s">
        <v>798</v>
      </c>
      <c r="I20" s="873"/>
    </row>
    <row r="21" spans="2:9" ht="18.75" customHeight="1" x14ac:dyDescent="0.25">
      <c r="B21" s="831" t="s">
        <v>1516</v>
      </c>
      <c r="C21" s="832"/>
      <c r="D21" s="871">
        <f>IF(AND($K$40=0,'A-1 Site Habitat Baseline'!Y11:Y258&lt;&gt;"No",'D-1 Off Site Habitat Baseline'!Y11:Y258&lt;&gt;"No"),'A-1 Site Habitat Baseline'!$H259+'D-1 Off Site Habitat Baseline'!H259,"Error")</f>
        <v>4.6454000000000004</v>
      </c>
      <c r="E21" s="871"/>
      <c r="F21" s="863">
        <f>'B-1 Site Hedge Baseline'!$E$258+'E-1 Off Site Hedge Baseline'!$E$258</f>
        <v>3.6999999999999998E-2</v>
      </c>
      <c r="G21" s="863"/>
      <c r="H21" s="863">
        <f>'C-1 Site River Baseline'!$E$258+'F-1 Off Site River Baseline'!$E$258</f>
        <v>0</v>
      </c>
      <c r="I21" s="864"/>
    </row>
    <row r="22" spans="2:9" ht="18.75" customHeight="1" thickBot="1" x14ac:dyDescent="0.3">
      <c r="B22" s="833" t="s">
        <v>1038</v>
      </c>
      <c r="C22" s="834"/>
      <c r="D22" s="872">
        <f>IF(AND($K$40=0,'A-1 Site Habitat Baseline'!Y11:Y258&lt;&gt;"No",'D-1 Off Site Habitat Baseline'!Y11:Y258&lt;&gt;"No"),'A-1 Site Habitat Baseline'!$Q259+'D-1 Off Site Habitat Baseline'!Q259,"Error")</f>
        <v>1.3552</v>
      </c>
      <c r="E22" s="872"/>
      <c r="F22" s="865">
        <f>'B-1 Site Hedge Baseline'!$N$258+'E-1 Off Site Hedge Baseline'!$N$258</f>
        <v>3.6999999999999998E-2</v>
      </c>
      <c r="G22" s="865"/>
      <c r="H22" s="865">
        <f>'C-1 Site River Baseline'!$R$258+'F-1 Off Site River Baseline'!$R$258</f>
        <v>0</v>
      </c>
      <c r="I22" s="866"/>
    </row>
    <row r="23" spans="2:9" ht="18.75" customHeight="1" thickBot="1" x14ac:dyDescent="0.3">
      <c r="D23" s="38"/>
      <c r="F23" s="38"/>
      <c r="H23" s="38"/>
    </row>
    <row r="24" spans="2:9" ht="18.75" customHeight="1" x14ac:dyDescent="0.25">
      <c r="B24" s="831" t="s">
        <v>1068</v>
      </c>
      <c r="C24" s="832"/>
      <c r="D24" s="871">
        <f>IF(AND($K$40=0,'A-1 Site Habitat Baseline'!Y11:Y258&lt;&gt;"No",'D-1 Off Site Habitat Baseline'!Y11:Y258&lt;&gt;"No"),'A-1 Site Habitat Baseline'!$S259+'D-1 Off Site Habitat Baseline'!S259,"Error")</f>
        <v>9.01E-2</v>
      </c>
      <c r="E24" s="871"/>
      <c r="F24" s="863">
        <f>'B-1 Site Hedge Baseline'!$P$258+'E-1 Off Site Hedge Baseline'!$P$258</f>
        <v>0</v>
      </c>
      <c r="G24" s="863"/>
      <c r="H24" s="863">
        <f>'C-1 Site River Baseline'!T258+'F-1 Off Site River Baseline'!T258</f>
        <v>0</v>
      </c>
      <c r="I24" s="864"/>
    </row>
    <row r="25" spans="2:9" ht="18.75" customHeight="1" thickBot="1" x14ac:dyDescent="0.3">
      <c r="B25" s="833" t="s">
        <v>142</v>
      </c>
      <c r="C25" s="834"/>
      <c r="D25" s="872">
        <f>IF(AND($K$40=0,'A-1 Site Habitat Baseline'!Y11:Y258&lt;&gt;"No",'D-1 Off Site Habitat Baseline'!Y11:Y258&lt;&gt;"No"),'A-1 Site Habitat Baseline'!$U259+'D-1 Off Site Habitat Baseline'!U259,"Error")</f>
        <v>0.35599999999999998</v>
      </c>
      <c r="E25" s="872"/>
      <c r="F25" s="865">
        <f>'B-1 Site Hedge Baseline'!R258+'E-1 Off Site Hedge Baseline'!R258</f>
        <v>0</v>
      </c>
      <c r="G25" s="865"/>
      <c r="H25" s="865">
        <f>'C-1 Site River Baseline'!V258+'F-1 Off Site River Baseline'!V258</f>
        <v>0</v>
      </c>
      <c r="I25" s="866"/>
    </row>
    <row r="26" spans="2:9" ht="18.75" customHeight="1" thickBot="1" x14ac:dyDescent="0.3">
      <c r="D26" s="38"/>
      <c r="F26" s="38"/>
      <c r="H26" s="38"/>
    </row>
    <row r="27" spans="2:9" ht="18.75" customHeight="1" x14ac:dyDescent="0.25">
      <c r="B27" s="831" t="s">
        <v>1454</v>
      </c>
      <c r="C27" s="832"/>
      <c r="D27" s="871">
        <f>IF(AND($K$40=0,'A-1 Site Habitat Baseline'!Y11:Y258&lt;&gt;"No",'D-1 Off Site Habitat Baseline'!Y11:Y258&lt;&gt;"No"),'A-1 Site Habitat Baseline'!$T259+'D-1 Off Site Habitat Baseline'!T259,"Error")</f>
        <v>0</v>
      </c>
      <c r="E27" s="871"/>
      <c r="F27" s="863">
        <f>'B-1 Site Hedge Baseline'!$Q$258+'E-1 Off Site Hedge Baseline'!$Q$258</f>
        <v>0</v>
      </c>
      <c r="G27" s="863"/>
      <c r="H27" s="863">
        <f>'C-1 Site River Baseline'!U258+'F-1 Off Site River Baseline'!U258</f>
        <v>0</v>
      </c>
      <c r="I27" s="864"/>
    </row>
    <row r="28" spans="2:9" ht="18.75" customHeight="1" thickBot="1" x14ac:dyDescent="0.3">
      <c r="B28" s="833" t="s">
        <v>1453</v>
      </c>
      <c r="C28" s="834"/>
      <c r="D28" s="872">
        <f>IF(AND($K$40=0,'A-1 Site Habitat Baseline'!Y11:Y258&lt;&gt;"No",'D-1 Off Site Habitat Baseline'!Y11:Y258&lt;&gt;"No"),'A-1 Site Habitat Baseline'!$V259+'D-1 Off Site Habitat Baseline'!V259,"Error")</f>
        <v>0</v>
      </c>
      <c r="E28" s="872"/>
      <c r="F28" s="865">
        <f>'B-1 Site Hedge Baseline'!$S$258+'E-1 Off Site Hedge Baseline'!$S$258</f>
        <v>0</v>
      </c>
      <c r="G28" s="865"/>
      <c r="H28" s="865">
        <f>'C-1 Site River Baseline'!W258+'F-1 Off Site River Baseline'!W258</f>
        <v>0</v>
      </c>
      <c r="I28" s="866"/>
    </row>
    <row r="29" spans="2:9" ht="18.75" customHeight="1" thickBot="1" x14ac:dyDescent="0.3">
      <c r="D29" s="38"/>
      <c r="F29" s="38"/>
      <c r="H29" s="38"/>
    </row>
    <row r="30" spans="2:9" ht="18.75" customHeight="1" x14ac:dyDescent="0.25">
      <c r="B30" s="831" t="s">
        <v>1069</v>
      </c>
      <c r="C30" s="832"/>
      <c r="D30" s="871">
        <f>IF(AND($K$40=0,'A-1 Site Habitat Baseline'!Y11:Y258&lt;&gt;"No",'D-1 Off Site Habitat Baseline'!Y11:Y258&lt;&gt;"No"),'A-1 Site Habitat Baseline'!$W259+'D-1 Off Site Habitat Baseline'!W259,"Error")</f>
        <v>4.6881000000000004</v>
      </c>
      <c r="E30" s="871"/>
      <c r="F30" s="863">
        <f>'B-1 Site Hedge Baseline'!$T$258+'E-1 Off Site Hedge Baseline'!$T$258</f>
        <v>3.6999999999999998E-2</v>
      </c>
      <c r="G30" s="863"/>
      <c r="H30" s="863">
        <f>'C-1 Site River Baseline'!X258+'F-1 Off Site River Baseline'!X258</f>
        <v>0</v>
      </c>
      <c r="I30" s="864"/>
    </row>
    <row r="31" spans="2:9" ht="18.75" customHeight="1" thickBot="1" x14ac:dyDescent="0.3">
      <c r="B31" s="833" t="s">
        <v>1017</v>
      </c>
      <c r="C31" s="834"/>
      <c r="D31" s="872">
        <f>IF(AND($K$40=0,'A-1 Site Habitat Baseline'!Y11:Y258&lt;&gt;"No",'D-1 Off Site Habitat Baseline'!Y11:Y258&lt;&gt;"No"),'A-1 Site Habitat Baseline'!$X259+'D-1 Off Site Habitat Baseline'!X259,"Error")</f>
        <v>0.99919999999999998</v>
      </c>
      <c r="E31" s="872"/>
      <c r="F31" s="865">
        <f>'B-1 Site Hedge Baseline'!$U$258+'E-1 Off Site Hedge Baseline'!$U$258</f>
        <v>3.6999999999999998E-2</v>
      </c>
      <c r="G31" s="865"/>
      <c r="H31" s="865">
        <f>'C-1 Site River Baseline'!Y258+'F-1 Off Site River Baseline'!Y258</f>
        <v>0</v>
      </c>
      <c r="I31" s="866"/>
    </row>
    <row r="32" spans="2:9" ht="25.95" customHeight="1" thickBot="1" x14ac:dyDescent="0.3">
      <c r="C32" s="38"/>
      <c r="D32" s="38"/>
      <c r="E32" s="38"/>
    </row>
    <row r="33" spans="1:22" s="507" customFormat="1" ht="43.95" customHeight="1" thickTop="1" thickBot="1" x14ac:dyDescent="0.3">
      <c r="A33" s="835" t="s">
        <v>1461</v>
      </c>
      <c r="C33" s="508"/>
      <c r="D33" s="508"/>
      <c r="E33" s="508"/>
    </row>
    <row r="34" spans="1:22" ht="25.8" thickBot="1" x14ac:dyDescent="0.5">
      <c r="A34" s="836"/>
      <c r="B34" s="498" t="s">
        <v>1377</v>
      </c>
    </row>
    <row r="35" spans="1:22" ht="18.75" customHeight="1" thickBot="1" x14ac:dyDescent="0.3">
      <c r="A35" s="836"/>
    </row>
    <row r="36" spans="1:22" ht="22.2" customHeight="1" thickBot="1" x14ac:dyDescent="0.35">
      <c r="A36" s="836"/>
      <c r="B36" s="847" t="s">
        <v>1353</v>
      </c>
      <c r="C36" s="847"/>
      <c r="D36" s="847"/>
      <c r="E36" s="847"/>
      <c r="F36" s="847"/>
      <c r="G36" s="847"/>
      <c r="H36" s="847"/>
      <c r="J36" s="851" t="s">
        <v>1352</v>
      </c>
      <c r="K36" s="852"/>
      <c r="L36" s="853"/>
    </row>
    <row r="37" spans="1:22" ht="34.200000000000003" customHeight="1" thickBot="1" x14ac:dyDescent="0.3">
      <c r="A37" s="836"/>
      <c r="B37" s="39"/>
      <c r="C37" s="830" t="s">
        <v>1131</v>
      </c>
      <c r="D37" s="830"/>
      <c r="E37" s="830" t="s">
        <v>1076</v>
      </c>
      <c r="F37" s="830"/>
      <c r="G37" s="830" t="s">
        <v>1132</v>
      </c>
      <c r="H37" s="830"/>
      <c r="J37" s="854"/>
      <c r="K37" s="855"/>
      <c r="L37" s="856"/>
      <c r="U37" s="904"/>
      <c r="V37" s="904"/>
    </row>
    <row r="38" spans="1:22" ht="52.95" customHeight="1" thickBot="1" x14ac:dyDescent="0.3">
      <c r="A38" s="836"/>
      <c r="B38" s="496" t="s">
        <v>1075</v>
      </c>
      <c r="C38" s="39" t="s">
        <v>1070</v>
      </c>
      <c r="D38" s="39" t="s">
        <v>1071</v>
      </c>
      <c r="E38" s="39" t="s">
        <v>1072</v>
      </c>
      <c r="F38" s="39" t="s">
        <v>1073</v>
      </c>
      <c r="G38" s="39" t="s">
        <v>1074</v>
      </c>
      <c r="H38" s="39" t="s">
        <v>1136</v>
      </c>
      <c r="J38" s="857" t="s">
        <v>343</v>
      </c>
      <c r="K38" s="859" t="s">
        <v>976</v>
      </c>
      <c r="L38" s="861" t="s">
        <v>975</v>
      </c>
      <c r="U38" s="904"/>
      <c r="V38" s="904"/>
    </row>
    <row r="39" spans="1:22" ht="15.6" x14ac:dyDescent="0.25">
      <c r="A39" s="836"/>
      <c r="B39" s="47" t="s">
        <v>165</v>
      </c>
      <c r="C39" s="514">
        <f>'G-2 Habitat groups'!$AK$4</f>
        <v>0</v>
      </c>
      <c r="D39" s="514">
        <f>'G-2 Habitat groups'!$AL$4</f>
        <v>0</v>
      </c>
      <c r="E39" s="514">
        <f>'G-2 Habitat groups'!$AM$4</f>
        <v>0</v>
      </c>
      <c r="F39" s="514">
        <f>'G-2 Habitat groups'!$AN$4</f>
        <v>0</v>
      </c>
      <c r="G39" s="514">
        <f>E39-C39</f>
        <v>0</v>
      </c>
      <c r="H39" s="514">
        <f>F39-D39</f>
        <v>0</v>
      </c>
      <c r="J39" s="858"/>
      <c r="K39" s="860"/>
      <c r="L39" s="862"/>
    </row>
    <row r="40" spans="1:22" ht="15.6" x14ac:dyDescent="0.25">
      <c r="A40" s="836"/>
      <c r="B40" s="41" t="s">
        <v>135</v>
      </c>
      <c r="C40" s="515">
        <f>'G-2 Habitat groups'!$AK$5</f>
        <v>0.27579999999999999</v>
      </c>
      <c r="D40" s="515">
        <f>'G-2 Habitat groups'!$AL$5</f>
        <v>0.55159999999999998</v>
      </c>
      <c r="E40" s="515">
        <f>'G-2 Habitat groups'!$AM$5</f>
        <v>0.1249</v>
      </c>
      <c r="F40" s="515">
        <f>'G-2 Habitat groups'!$AN$5</f>
        <v>0.33510976000000003</v>
      </c>
      <c r="G40" s="515">
        <f t="shared" ref="G40:G50" si="0">E40-C40</f>
        <v>-0.15089999999999998</v>
      </c>
      <c r="H40" s="515">
        <f t="shared" ref="H40:H50" si="1">F40-D40</f>
        <v>-0.21649023999999994</v>
      </c>
      <c r="J40" s="843" t="str">
        <f>'G-1 All Habitats'!$V$3</f>
        <v>V.High</v>
      </c>
      <c r="K40" s="845">
        <f>SUMIF('A-1 Site Habitat Baseline'!$I$11:$I$258,'Detailed Results'!J40,'A-1 Site Habitat Baseline'!$W$11:$W$258)+SUMIF('D-1 Off Site Habitat Baseline'!$I$11:$I$258,'Detailed Results'!J40,'D-1 Off Site Habitat Baseline'!$W$11:$W$258)</f>
        <v>0</v>
      </c>
      <c r="L40" s="849" t="str">
        <f>IF(K40=0,"",(K40/(SUM($K$40:$K$49)))*100)</f>
        <v/>
      </c>
    </row>
    <row r="41" spans="1:22" ht="15.6" x14ac:dyDescent="0.25">
      <c r="A41" s="836"/>
      <c r="B41" s="41" t="s">
        <v>164</v>
      </c>
      <c r="C41" s="515">
        <f>'G-2 Habitat groups'!$AK$6</f>
        <v>5.8299999999999998E-2</v>
      </c>
      <c r="D41" s="515">
        <f>'G-2 Habitat groups'!$AL$6</f>
        <v>0.23319999999999999</v>
      </c>
      <c r="E41" s="515">
        <f>'G-2 Habitat groups'!$AM$6</f>
        <v>3.9199999999999999E-2</v>
      </c>
      <c r="F41" s="515">
        <f>'G-2 Habitat groups'!$AN$6</f>
        <v>0.26242948050816001</v>
      </c>
      <c r="G41" s="515">
        <f t="shared" si="0"/>
        <v>-1.9099999999999999E-2</v>
      </c>
      <c r="H41" s="515">
        <f t="shared" si="1"/>
        <v>2.9229480508160016E-2</v>
      </c>
      <c r="J41" s="844"/>
      <c r="K41" s="846"/>
      <c r="L41" s="850"/>
    </row>
    <row r="42" spans="1:22" ht="15.6" x14ac:dyDescent="0.25">
      <c r="A42" s="836"/>
      <c r="B42" s="41" t="s">
        <v>835</v>
      </c>
      <c r="C42" s="515">
        <f>'G-2 Habitat groups'!$AK$7</f>
        <v>0</v>
      </c>
      <c r="D42" s="515">
        <f>'G-2 Habitat groups'!$AL$7</f>
        <v>0</v>
      </c>
      <c r="E42" s="515">
        <f>'G-2 Habitat groups'!$AM$7</f>
        <v>3.0000000000000001E-3</v>
      </c>
      <c r="F42" s="515">
        <f>'G-2 Habitat groups'!$AN$7</f>
        <v>1.158E-2</v>
      </c>
      <c r="G42" s="515">
        <f t="shared" si="0"/>
        <v>3.0000000000000001E-3</v>
      </c>
      <c r="H42" s="515">
        <f t="shared" si="1"/>
        <v>1.158E-2</v>
      </c>
      <c r="J42" s="843" t="str">
        <f>'G-1 All Habitats'!$V$4</f>
        <v>High</v>
      </c>
      <c r="K42" s="845">
        <f>SUMIF('A-1 Site Habitat Baseline'!$I$11:$I$258,'Detailed Results'!J42,'A-1 Site Habitat Baseline'!$W$11:$W$258)+SUMIF('D-1 Off Site Habitat Baseline'!$I$11:$I$258,'Detailed Results'!J42,'D-1 Off Site Habitat Baseline'!$W$11:$W$258)</f>
        <v>0</v>
      </c>
      <c r="L42" s="849" t="str">
        <f>IF(K42=0,"",(K42/(SUM($K$40:$K$49)))*100)</f>
        <v/>
      </c>
    </row>
    <row r="43" spans="1:22" ht="15.6" x14ac:dyDescent="0.25">
      <c r="A43" s="836"/>
      <c r="B43" s="41" t="s">
        <v>167</v>
      </c>
      <c r="C43" s="515">
        <f>'G-2 Habitat groups'!$AK$8</f>
        <v>0</v>
      </c>
      <c r="D43" s="515">
        <f>'G-2 Habitat groups'!$AL$8</f>
        <v>0</v>
      </c>
      <c r="E43" s="515">
        <f>'G-2 Habitat groups'!$AM$8</f>
        <v>0</v>
      </c>
      <c r="F43" s="515">
        <f>'G-2 Habitat groups'!$AN$8</f>
        <v>0</v>
      </c>
      <c r="G43" s="515">
        <f t="shared" si="0"/>
        <v>0</v>
      </c>
      <c r="H43" s="515">
        <f t="shared" si="1"/>
        <v>0</v>
      </c>
      <c r="J43" s="844"/>
      <c r="K43" s="846"/>
      <c r="L43" s="850"/>
    </row>
    <row r="44" spans="1:22" ht="15.6" x14ac:dyDescent="0.25">
      <c r="A44" s="836"/>
      <c r="B44" s="41" t="s">
        <v>166</v>
      </c>
      <c r="C44" s="515">
        <f>'G-2 Habitat groups'!$AK$9</f>
        <v>4.4440999999999997</v>
      </c>
      <c r="D44" s="515">
        <f>'G-2 Habitat groups'!$AL$9</f>
        <v>0.57040000000000002</v>
      </c>
      <c r="E44" s="515">
        <f>'G-2 Habitat groups'!$AM$9</f>
        <v>4.6740000000000013</v>
      </c>
      <c r="F44" s="515">
        <f>'G-2 Habitat groups'!$AP$9</f>
        <v>1.3246811046285598</v>
      </c>
      <c r="G44" s="515">
        <f t="shared" si="0"/>
        <v>0.22990000000000155</v>
      </c>
      <c r="H44" s="515">
        <f t="shared" si="1"/>
        <v>0.7542811046285598</v>
      </c>
      <c r="J44" s="843" t="str">
        <f>'G-1 All Habitats'!$V5</f>
        <v>Medium</v>
      </c>
      <c r="K44" s="845">
        <f>SUMIF('A-1 Site Habitat Baseline'!$I$11:$I$258,'Detailed Results'!J44,'A-1 Site Habitat Baseline'!$W$11:$W$258)+SUMIF('D-1 Off Site Habitat Baseline'!$I$11:$I$258,'Detailed Results'!J44,'D-1 Off Site Habitat Baseline'!$W$11:$W$258)</f>
        <v>9.3599999999999989E-2</v>
      </c>
      <c r="L44" s="849">
        <f>IF(K44=0,"",(K44/(SUM($K$40:$K$49)))*100)</f>
        <v>1.9965444423113841</v>
      </c>
    </row>
    <row r="45" spans="1:22" ht="15.6" x14ac:dyDescent="0.25">
      <c r="A45" s="836"/>
      <c r="B45" s="41" t="s">
        <v>137</v>
      </c>
      <c r="C45" s="515">
        <f>'G-2 Habitat groups'!$AK$10</f>
        <v>0</v>
      </c>
      <c r="D45" s="515">
        <f>'G-2 Habitat groups'!$AL$10</f>
        <v>0</v>
      </c>
      <c r="E45" s="515">
        <f>'G-2 Habitat groups'!$AM$10</f>
        <v>0</v>
      </c>
      <c r="F45" s="515">
        <f>'G-2 Habitat groups'!$AN$10</f>
        <v>0</v>
      </c>
      <c r="G45" s="515">
        <f t="shared" si="0"/>
        <v>0</v>
      </c>
      <c r="H45" s="515">
        <f t="shared" si="1"/>
        <v>0</v>
      </c>
      <c r="J45" s="844"/>
      <c r="K45" s="846"/>
      <c r="L45" s="850"/>
    </row>
    <row r="46" spans="1:22" ht="15.6" x14ac:dyDescent="0.25">
      <c r="A46" s="836"/>
      <c r="B46" s="42" t="s">
        <v>163</v>
      </c>
      <c r="C46" s="515">
        <f>'G-2 Habitat groups'!$AK$11</f>
        <v>0</v>
      </c>
      <c r="D46" s="515">
        <f>'G-2 Habitat groups'!$AL$11</f>
        <v>0</v>
      </c>
      <c r="E46" s="515">
        <f>'G-2 Habitat groups'!$AM$11</f>
        <v>0</v>
      </c>
      <c r="F46" s="515">
        <f>'G-2 Habitat groups'!$AN$11</f>
        <v>0</v>
      </c>
      <c r="G46" s="515">
        <f t="shared" si="0"/>
        <v>0</v>
      </c>
      <c r="H46" s="515">
        <f t="shared" si="1"/>
        <v>0</v>
      </c>
      <c r="J46" s="843" t="str">
        <f>'G-1 All Habitats'!$V$6</f>
        <v>Low</v>
      </c>
      <c r="K46" s="845">
        <f>SUMIF('A-1 Site Habitat Baseline'!$I$11:$I$258,'Detailed Results'!J46,'A-1 Site Habitat Baseline'!$W$11:$W$258)+SUMIF('D-1 Off Site Habitat Baseline'!$I$11:$I$258,'Detailed Results'!J46,'D-1 Off Site Habitat Baseline'!$W$11:$W$258)</f>
        <v>0.31240000000000001</v>
      </c>
      <c r="L46" s="849">
        <f>IF(K46=0,"",(K46/(SUM($K$40:$K$49)))*100)</f>
        <v>6.6636803822444062</v>
      </c>
    </row>
    <row r="47" spans="1:22" ht="15.6" x14ac:dyDescent="0.25">
      <c r="A47" s="836"/>
      <c r="B47" s="43" t="s">
        <v>1105</v>
      </c>
      <c r="C47" s="515">
        <f>'G-2 Habitat groups'!$AK$12</f>
        <v>0</v>
      </c>
      <c r="D47" s="515">
        <f>'G-2 Habitat groups'!$AL$12</f>
        <v>0</v>
      </c>
      <c r="E47" s="515">
        <f>'G-2 Habitat groups'!$AM$12</f>
        <v>0</v>
      </c>
      <c r="F47" s="515">
        <f>'G-2 Habitat groups'!$AN$12</f>
        <v>0</v>
      </c>
      <c r="G47" s="515">
        <f t="shared" si="0"/>
        <v>0</v>
      </c>
      <c r="H47" s="515">
        <f t="shared" si="1"/>
        <v>0</v>
      </c>
      <c r="J47" s="844"/>
      <c r="K47" s="846"/>
      <c r="L47" s="850"/>
    </row>
    <row r="48" spans="1:22" ht="15.6" x14ac:dyDescent="0.25">
      <c r="A48" s="836"/>
      <c r="B48" s="43" t="s">
        <v>1112</v>
      </c>
      <c r="C48" s="515">
        <f>'G-2 Habitat groups'!$AK$13</f>
        <v>0</v>
      </c>
      <c r="D48" s="515">
        <f>'G-2 Habitat groups'!$AL$13</f>
        <v>0</v>
      </c>
      <c r="E48" s="515">
        <f>'G-2 Habitat groups'!$AM$13</f>
        <v>0</v>
      </c>
      <c r="F48" s="515">
        <f>'G-2 Habitat groups'!$AN$13</f>
        <v>0</v>
      </c>
      <c r="G48" s="515">
        <f t="shared" si="0"/>
        <v>0</v>
      </c>
      <c r="H48" s="515">
        <f t="shared" si="1"/>
        <v>0</v>
      </c>
      <c r="J48" s="843" t="str">
        <f>'G-1 All Habitats'!$V$7</f>
        <v>V.Low</v>
      </c>
      <c r="K48" s="845">
        <f>SUMIF('A-1 Site Habitat Baseline'!$I$11:$I$258,'Detailed Results'!J48,'A-1 Site Habitat Baseline'!$W$11:$W$258)+SUMIF('D-1 Off Site Habitat Baseline'!$I$11:$I$258,'Detailed Results'!J48,'D-1 Off Site Habitat Baseline'!$W$11:$W$258)</f>
        <v>4.2820999999999998</v>
      </c>
      <c r="L48" s="849">
        <f>IF(K48=0,"",(K48/(SUM($K$40:$K$49)))*100)</f>
        <v>91.339775175444217</v>
      </c>
    </row>
    <row r="49" spans="1:33" ht="16.2" thickBot="1" x14ac:dyDescent="0.3">
      <c r="A49" s="836"/>
      <c r="B49" s="43" t="s">
        <v>1125</v>
      </c>
      <c r="C49" s="515">
        <f>'G-2 Habitat groups'!$AK$14</f>
        <v>0</v>
      </c>
      <c r="D49" s="515">
        <f>'G-2 Habitat groups'!$AL$14</f>
        <v>0</v>
      </c>
      <c r="E49" s="515">
        <f>'G-2 Habitat groups'!$AM$14</f>
        <v>0</v>
      </c>
      <c r="F49" s="515">
        <f>'G-2 Habitat groups'!$AN$14</f>
        <v>0</v>
      </c>
      <c r="G49" s="515">
        <f t="shared" si="0"/>
        <v>0</v>
      </c>
      <c r="H49" s="515">
        <f t="shared" si="1"/>
        <v>0</v>
      </c>
      <c r="J49" s="848"/>
      <c r="K49" s="846"/>
      <c r="L49" s="850"/>
    </row>
    <row r="50" spans="1:33" ht="15.6" x14ac:dyDescent="0.25">
      <c r="A50" s="836"/>
      <c r="B50" s="43" t="s">
        <v>1089</v>
      </c>
      <c r="C50" s="515">
        <f>'G-2 Habitat groups'!$AK$15</f>
        <v>0</v>
      </c>
      <c r="D50" s="515">
        <f>'G-2 Habitat groups'!$AL$15</f>
        <v>0</v>
      </c>
      <c r="E50" s="515">
        <f>'G-2 Habitat groups'!$AM$15</f>
        <v>0</v>
      </c>
      <c r="F50" s="515">
        <f>'G-2 Habitat groups'!$AN$15</f>
        <v>0</v>
      </c>
      <c r="G50" s="515">
        <f t="shared" si="0"/>
        <v>0</v>
      </c>
      <c r="H50" s="515">
        <f t="shared" si="1"/>
        <v>0</v>
      </c>
    </row>
    <row r="51" spans="1:33" ht="15.6" x14ac:dyDescent="0.25">
      <c r="A51" s="836"/>
      <c r="B51" s="43" t="s">
        <v>1495</v>
      </c>
      <c r="C51" s="515">
        <f>'G-2 Habitat groups'!$AK$16</f>
        <v>0</v>
      </c>
      <c r="D51" s="515">
        <f>'G-2 Habitat groups'!$AL$16</f>
        <v>0</v>
      </c>
      <c r="E51" s="515">
        <f>'G-2 Habitat groups'!$AM$16</f>
        <v>0</v>
      </c>
      <c r="F51" s="515">
        <f>'G-2 Habitat groups'!$AN$16</f>
        <v>0</v>
      </c>
      <c r="G51" s="515">
        <f t="shared" ref="G51" si="2">E51-C51</f>
        <v>0</v>
      </c>
      <c r="H51" s="515">
        <f t="shared" ref="H51" si="3">F51-D51</f>
        <v>0</v>
      </c>
    </row>
    <row r="52" spans="1:33" ht="15.75" customHeight="1" x14ac:dyDescent="0.25">
      <c r="A52" s="836"/>
    </row>
    <row r="53" spans="1:33" ht="15.75" customHeight="1" x14ac:dyDescent="0.25">
      <c r="A53" s="836"/>
    </row>
    <row r="54" spans="1:33" ht="10.199999999999999" customHeight="1" thickBot="1" x14ac:dyDescent="0.3">
      <c r="A54" s="836"/>
    </row>
    <row r="55" spans="1:33" ht="22.95" customHeight="1" thickBot="1" x14ac:dyDescent="0.5">
      <c r="A55" s="836"/>
      <c r="B55" s="847" t="s">
        <v>1354</v>
      </c>
      <c r="C55" s="847"/>
      <c r="D55" s="847"/>
      <c r="E55" s="847"/>
      <c r="F55" s="847"/>
      <c r="G55" s="847"/>
      <c r="H55" s="847"/>
      <c r="I55" s="45"/>
      <c r="J55" s="45"/>
      <c r="K55" s="45"/>
      <c r="L55" s="45"/>
      <c r="M55" s="45"/>
    </row>
    <row r="56" spans="1:33" s="46" customFormat="1" ht="38.25" customHeight="1" thickBot="1" x14ac:dyDescent="0.3">
      <c r="A56" s="836"/>
      <c r="B56" s="39"/>
      <c r="C56" s="830" t="s">
        <v>1131</v>
      </c>
      <c r="D56" s="830"/>
      <c r="E56" s="830" t="s">
        <v>1133</v>
      </c>
      <c r="F56" s="830"/>
      <c r="G56" s="830" t="s">
        <v>1134</v>
      </c>
      <c r="H56" s="830"/>
      <c r="I56" s="44"/>
      <c r="J56" s="44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 spans="1:33" ht="48" customHeight="1" thickBot="1" x14ac:dyDescent="0.3">
      <c r="A57" s="836"/>
      <c r="B57" s="496" t="s">
        <v>1075</v>
      </c>
      <c r="C57" s="39" t="s">
        <v>1070</v>
      </c>
      <c r="D57" s="39" t="s">
        <v>1138</v>
      </c>
      <c r="E57" s="39" t="s">
        <v>1381</v>
      </c>
      <c r="F57" s="39" t="s">
        <v>1137</v>
      </c>
      <c r="G57" s="39" t="s">
        <v>1382</v>
      </c>
      <c r="H57" s="39" t="s">
        <v>1383</v>
      </c>
      <c r="I57" s="44"/>
      <c r="J57" s="44"/>
    </row>
    <row r="58" spans="1:33" ht="15.6" x14ac:dyDescent="0.25">
      <c r="A58" s="836"/>
      <c r="B58" s="47" t="s">
        <v>165</v>
      </c>
      <c r="C58" s="514">
        <f>'G-2 Habitat groups'!$AK$20</f>
        <v>0</v>
      </c>
      <c r="D58" s="514">
        <f>'G-2 Habitat groups'!$AL$20</f>
        <v>0</v>
      </c>
      <c r="E58" s="514">
        <f>'G-2 Habitat groups'!$AM$20</f>
        <v>0</v>
      </c>
      <c r="F58" s="514">
        <f>'G-2 Habitat groups'!$AN$20</f>
        <v>0</v>
      </c>
      <c r="G58" s="514">
        <f t="shared" ref="G58:G69" si="4">E58-C58</f>
        <v>0</v>
      </c>
      <c r="H58" s="516">
        <f t="shared" ref="H58:H69" si="5">F58-D58</f>
        <v>0</v>
      </c>
      <c r="I58" s="44"/>
      <c r="J58" s="44"/>
    </row>
    <row r="59" spans="1:33" ht="15.6" x14ac:dyDescent="0.25">
      <c r="A59" s="836"/>
      <c r="B59" s="41" t="s">
        <v>135</v>
      </c>
      <c r="C59" s="514">
        <f>'G-2 Habitat groups'!$AK$21</f>
        <v>0</v>
      </c>
      <c r="D59" s="514">
        <f>'G-2 Habitat groups'!$AL$21</f>
        <v>0</v>
      </c>
      <c r="E59" s="514">
        <f>'G-2 Habitat groups'!$AM$21</f>
        <v>0</v>
      </c>
      <c r="F59" s="514">
        <f>'G-2 Habitat groups'!$AN$21</f>
        <v>0</v>
      </c>
      <c r="G59" s="515">
        <f t="shared" si="4"/>
        <v>0</v>
      </c>
      <c r="H59" s="517">
        <f t="shared" si="5"/>
        <v>0</v>
      </c>
      <c r="I59" s="44"/>
      <c r="J59" s="44"/>
    </row>
    <row r="60" spans="1:33" ht="15.75" customHeight="1" x14ac:dyDescent="0.25">
      <c r="A60" s="836"/>
      <c r="B60" s="41" t="s">
        <v>164</v>
      </c>
      <c r="C60" s="514">
        <f>'G-2 Habitat groups'!$AK$22</f>
        <v>0</v>
      </c>
      <c r="D60" s="514">
        <f>'G-2 Habitat groups'!$AL$22</f>
        <v>0</v>
      </c>
      <c r="E60" s="514">
        <f>'G-2 Habitat groups'!$AM$22</f>
        <v>0</v>
      </c>
      <c r="F60" s="514">
        <f>'G-2 Habitat groups'!$AN$22</f>
        <v>0</v>
      </c>
      <c r="G60" s="515">
        <f t="shared" si="4"/>
        <v>0</v>
      </c>
      <c r="H60" s="517">
        <f t="shared" si="5"/>
        <v>0</v>
      </c>
      <c r="I60" s="44"/>
      <c r="J60" s="44"/>
    </row>
    <row r="61" spans="1:33" ht="15.6" x14ac:dyDescent="0.25">
      <c r="A61" s="836"/>
      <c r="B61" s="41" t="s">
        <v>835</v>
      </c>
      <c r="C61" s="514">
        <f>'G-2 Habitat groups'!$AK$23</f>
        <v>0</v>
      </c>
      <c r="D61" s="514">
        <f>'G-2 Habitat groups'!$AL$23</f>
        <v>0</v>
      </c>
      <c r="E61" s="514">
        <f>'G-2 Habitat groups'!$AM$23</f>
        <v>0</v>
      </c>
      <c r="F61" s="514">
        <f>'G-2 Habitat groups'!$AN$23</f>
        <v>0</v>
      </c>
      <c r="G61" s="515">
        <f t="shared" si="4"/>
        <v>0</v>
      </c>
      <c r="H61" s="517">
        <f t="shared" si="5"/>
        <v>0</v>
      </c>
      <c r="I61" s="44"/>
      <c r="J61" s="44"/>
    </row>
    <row r="62" spans="1:33" ht="15.6" x14ac:dyDescent="0.25">
      <c r="A62" s="836"/>
      <c r="B62" s="41" t="s">
        <v>167</v>
      </c>
      <c r="C62" s="514">
        <f>'G-2 Habitat groups'!$AK$24</f>
        <v>0</v>
      </c>
      <c r="D62" s="514">
        <f>'G-2 Habitat groups'!$AL$24</f>
        <v>0</v>
      </c>
      <c r="E62" s="514">
        <f>'G-2 Habitat groups'!$AM$24</f>
        <v>0</v>
      </c>
      <c r="F62" s="514">
        <f>'G-2 Habitat groups'!$AN$24</f>
        <v>0</v>
      </c>
      <c r="G62" s="515">
        <f t="shared" si="4"/>
        <v>0</v>
      </c>
      <c r="H62" s="517">
        <f t="shared" si="5"/>
        <v>0</v>
      </c>
      <c r="I62" s="44"/>
      <c r="J62" s="44"/>
    </row>
    <row r="63" spans="1:33" ht="15.6" x14ac:dyDescent="0.25">
      <c r="A63" s="836"/>
      <c r="B63" s="41" t="s">
        <v>166</v>
      </c>
      <c r="C63" s="514">
        <f>'G-2 Habitat groups'!$AK$25</f>
        <v>0</v>
      </c>
      <c r="D63" s="514">
        <f>'G-2 Habitat groups'!$AL$25</f>
        <v>0</v>
      </c>
      <c r="E63" s="514">
        <f>'G-2 Habitat groups'!$AM$25</f>
        <v>0</v>
      </c>
      <c r="F63" s="514">
        <f>'G-2 Habitat groups'!$AN$25</f>
        <v>0</v>
      </c>
      <c r="G63" s="515">
        <f t="shared" si="4"/>
        <v>0</v>
      </c>
      <c r="H63" s="517">
        <f t="shared" si="5"/>
        <v>0</v>
      </c>
      <c r="I63" s="44"/>
      <c r="J63" s="44"/>
    </row>
    <row r="64" spans="1:33" ht="15.6" x14ac:dyDescent="0.25">
      <c r="A64" s="836"/>
      <c r="B64" s="41" t="s">
        <v>137</v>
      </c>
      <c r="C64" s="514">
        <f>'G-2 Habitat groups'!$AK$26</f>
        <v>0</v>
      </c>
      <c r="D64" s="514">
        <f>'G-2 Habitat groups'!$AL$26</f>
        <v>0</v>
      </c>
      <c r="E64" s="514">
        <f>'G-2 Habitat groups'!$AM$26</f>
        <v>0</v>
      </c>
      <c r="F64" s="514">
        <f>'G-2 Habitat groups'!$AN$26</f>
        <v>0</v>
      </c>
      <c r="G64" s="515">
        <f t="shared" si="4"/>
        <v>0</v>
      </c>
      <c r="H64" s="517">
        <f t="shared" si="5"/>
        <v>0</v>
      </c>
      <c r="I64" s="44"/>
      <c r="J64" s="44"/>
    </row>
    <row r="65" spans="1:10" ht="15.6" x14ac:dyDescent="0.25">
      <c r="A65" s="836"/>
      <c r="B65" s="42" t="s">
        <v>163</v>
      </c>
      <c r="C65" s="514">
        <f>'G-2 Habitat groups'!$AK$27</f>
        <v>0</v>
      </c>
      <c r="D65" s="514">
        <f>'G-2 Habitat groups'!$AL$27</f>
        <v>0</v>
      </c>
      <c r="E65" s="514">
        <f>'G-2 Habitat groups'!$AM$27</f>
        <v>0</v>
      </c>
      <c r="F65" s="514">
        <f>'G-2 Habitat groups'!$AN$27</f>
        <v>0</v>
      </c>
      <c r="G65" s="515">
        <f t="shared" si="4"/>
        <v>0</v>
      </c>
      <c r="H65" s="517">
        <f t="shared" si="5"/>
        <v>0</v>
      </c>
      <c r="I65" s="44"/>
      <c r="J65" s="44"/>
    </row>
    <row r="66" spans="1:10" ht="15.75" customHeight="1" x14ac:dyDescent="0.25">
      <c r="A66" s="836"/>
      <c r="B66" s="49" t="s">
        <v>1105</v>
      </c>
      <c r="C66" s="514">
        <f>'G-2 Habitat groups'!$AK$28</f>
        <v>0</v>
      </c>
      <c r="D66" s="514">
        <f>'G-2 Habitat groups'!$AL$28</f>
        <v>0</v>
      </c>
      <c r="E66" s="514">
        <f>'G-2 Habitat groups'!$AM$28</f>
        <v>0</v>
      </c>
      <c r="F66" s="514">
        <f>'G-2 Habitat groups'!$AN$28</f>
        <v>0</v>
      </c>
      <c r="G66" s="515">
        <f t="shared" si="4"/>
        <v>0</v>
      </c>
      <c r="H66" s="517">
        <f t="shared" si="5"/>
        <v>0</v>
      </c>
      <c r="I66" s="44"/>
      <c r="J66" s="44"/>
    </row>
    <row r="67" spans="1:10" ht="15.75" customHeight="1" x14ac:dyDescent="0.25">
      <c r="A67" s="836"/>
      <c r="B67" s="49" t="s">
        <v>1112</v>
      </c>
      <c r="C67" s="514">
        <f>'G-2 Habitat groups'!$AK$29</f>
        <v>0</v>
      </c>
      <c r="D67" s="514">
        <f>'G-2 Habitat groups'!$AL$29</f>
        <v>0</v>
      </c>
      <c r="E67" s="514">
        <f>'G-2 Habitat groups'!$AM$29</f>
        <v>0</v>
      </c>
      <c r="F67" s="514">
        <f>'G-2 Habitat groups'!$AN$29</f>
        <v>0</v>
      </c>
      <c r="G67" s="515">
        <f t="shared" si="4"/>
        <v>0</v>
      </c>
      <c r="H67" s="517">
        <f t="shared" si="5"/>
        <v>0</v>
      </c>
      <c r="I67" s="44"/>
      <c r="J67" s="44"/>
    </row>
    <row r="68" spans="1:10" ht="15.75" customHeight="1" x14ac:dyDescent="0.25">
      <c r="A68" s="836"/>
      <c r="B68" s="49" t="s">
        <v>1125</v>
      </c>
      <c r="C68" s="514">
        <f>'G-2 Habitat groups'!$AK$30</f>
        <v>0</v>
      </c>
      <c r="D68" s="514">
        <f>'G-2 Habitat groups'!$AL$30</f>
        <v>0</v>
      </c>
      <c r="E68" s="514">
        <f>'G-2 Habitat groups'!$AM$30</f>
        <v>0</v>
      </c>
      <c r="F68" s="514">
        <f>'G-2 Habitat groups'!$AN$30</f>
        <v>0</v>
      </c>
      <c r="G68" s="515">
        <f t="shared" si="4"/>
        <v>0</v>
      </c>
      <c r="H68" s="517">
        <f t="shared" si="5"/>
        <v>0</v>
      </c>
      <c r="I68" s="44"/>
      <c r="J68" s="44"/>
    </row>
    <row r="69" spans="1:10" ht="15.75" customHeight="1" x14ac:dyDescent="0.25">
      <c r="A69" s="836"/>
      <c r="B69" s="49" t="s">
        <v>1089</v>
      </c>
      <c r="C69" s="514">
        <f>'G-2 Habitat groups'!$AK$31</f>
        <v>0</v>
      </c>
      <c r="D69" s="514">
        <f>'G-2 Habitat groups'!$AL$31</f>
        <v>0</v>
      </c>
      <c r="E69" s="514">
        <f>'G-2 Habitat groups'!$AM$31</f>
        <v>0</v>
      </c>
      <c r="F69" s="514">
        <f>'G-2 Habitat groups'!$AN$31</f>
        <v>0</v>
      </c>
      <c r="G69" s="515">
        <f t="shared" si="4"/>
        <v>0</v>
      </c>
      <c r="H69" s="517">
        <f t="shared" si="5"/>
        <v>0</v>
      </c>
      <c r="I69" s="44"/>
      <c r="J69" s="44"/>
    </row>
    <row r="70" spans="1:10" ht="15.75" customHeight="1" thickBot="1" x14ac:dyDescent="0.3">
      <c r="A70" s="836"/>
      <c r="B70" s="50" t="s">
        <v>1495</v>
      </c>
      <c r="C70" s="518">
        <f>'G-2 Habitat groups'!$AK$32</f>
        <v>0</v>
      </c>
      <c r="D70" s="518">
        <f>'G-2 Habitat groups'!$AL$32</f>
        <v>0</v>
      </c>
      <c r="E70" s="518">
        <f>'G-2 Habitat groups'!$AM$32</f>
        <v>0</v>
      </c>
      <c r="F70" s="518">
        <f>'G-2 Habitat groups'!$AN$32</f>
        <v>0</v>
      </c>
      <c r="G70" s="519">
        <f t="shared" ref="G70" si="6">E70-C70</f>
        <v>0</v>
      </c>
      <c r="H70" s="520">
        <f t="shared" ref="H70" si="7">F70-D70</f>
        <v>0</v>
      </c>
      <c r="I70" s="44"/>
      <c r="J70" s="44"/>
    </row>
    <row r="71" spans="1:10" ht="15.75" customHeight="1" x14ac:dyDescent="0.25">
      <c r="A71" s="836"/>
      <c r="B71" s="44"/>
      <c r="C71" s="44"/>
      <c r="D71" s="44"/>
      <c r="E71" s="44"/>
      <c r="F71" s="44"/>
      <c r="G71" s="44"/>
      <c r="H71" s="44"/>
      <c r="I71" s="44"/>
      <c r="J71" s="44"/>
    </row>
    <row r="72" spans="1:10" ht="15.75" customHeight="1" x14ac:dyDescent="0.25">
      <c r="A72" s="836"/>
      <c r="B72" s="44"/>
      <c r="C72" s="44"/>
      <c r="D72" s="44"/>
      <c r="E72" s="44"/>
      <c r="F72" s="44"/>
      <c r="G72" s="44"/>
      <c r="H72" s="44"/>
      <c r="I72" s="44"/>
      <c r="J72" s="44"/>
    </row>
    <row r="73" spans="1:10" ht="10.95" customHeight="1" thickBot="1" x14ac:dyDescent="0.3">
      <c r="A73" s="836"/>
      <c r="B73" s="44"/>
      <c r="C73" s="44"/>
      <c r="D73" s="44"/>
      <c r="E73" s="44"/>
      <c r="F73" s="44"/>
      <c r="G73" s="44"/>
      <c r="H73" s="44"/>
      <c r="I73" s="44"/>
      <c r="J73" s="44"/>
    </row>
    <row r="74" spans="1:10" ht="18" thickBot="1" x14ac:dyDescent="0.35">
      <c r="A74" s="836"/>
      <c r="B74" s="847" t="s">
        <v>1355</v>
      </c>
      <c r="C74" s="847"/>
      <c r="D74" s="847"/>
      <c r="E74" s="847"/>
      <c r="F74" s="847"/>
      <c r="G74" s="847"/>
      <c r="H74" s="847"/>
      <c r="I74" s="44"/>
      <c r="J74" s="44"/>
    </row>
    <row r="75" spans="1:10" ht="33.6" customHeight="1" thickBot="1" x14ac:dyDescent="0.3">
      <c r="A75" s="836"/>
      <c r="B75" s="39"/>
      <c r="C75" s="830" t="s">
        <v>1131</v>
      </c>
      <c r="D75" s="830"/>
      <c r="E75" s="830" t="s">
        <v>1378</v>
      </c>
      <c r="F75" s="830"/>
      <c r="G75" s="830" t="s">
        <v>1135</v>
      </c>
      <c r="H75" s="830"/>
      <c r="I75" s="44"/>
      <c r="J75" s="44"/>
    </row>
    <row r="76" spans="1:10" ht="45.6" customHeight="1" x14ac:dyDescent="0.25">
      <c r="A76" s="836"/>
      <c r="B76" s="40" t="s">
        <v>1075</v>
      </c>
      <c r="C76" s="497" t="s">
        <v>1070</v>
      </c>
      <c r="D76" s="497" t="s">
        <v>1071</v>
      </c>
      <c r="E76" s="497" t="s">
        <v>1379</v>
      </c>
      <c r="F76" s="497" t="s">
        <v>1380</v>
      </c>
      <c r="G76" s="497" t="s">
        <v>1072</v>
      </c>
      <c r="H76" s="497" t="s">
        <v>1073</v>
      </c>
      <c r="I76" s="44"/>
      <c r="J76" s="44"/>
    </row>
    <row r="77" spans="1:10" ht="15.75" customHeight="1" x14ac:dyDescent="0.25">
      <c r="A77" s="836"/>
      <c r="B77" s="41" t="s">
        <v>165</v>
      </c>
      <c r="C77" s="515">
        <f t="shared" ref="C77:H89" si="8">C39+C58</f>
        <v>0</v>
      </c>
      <c r="D77" s="515">
        <f t="shared" si="8"/>
        <v>0</v>
      </c>
      <c r="E77" s="515">
        <f t="shared" si="8"/>
        <v>0</v>
      </c>
      <c r="F77" s="515">
        <f t="shared" si="8"/>
        <v>0</v>
      </c>
      <c r="G77" s="515">
        <f t="shared" si="8"/>
        <v>0</v>
      </c>
      <c r="H77" s="517">
        <f t="shared" si="8"/>
        <v>0</v>
      </c>
      <c r="I77" s="44"/>
      <c r="J77" s="44"/>
    </row>
    <row r="78" spans="1:10" ht="15.75" customHeight="1" x14ac:dyDescent="0.25">
      <c r="A78" s="836"/>
      <c r="B78" s="41" t="s">
        <v>135</v>
      </c>
      <c r="C78" s="515">
        <f t="shared" si="8"/>
        <v>0.27579999999999999</v>
      </c>
      <c r="D78" s="515">
        <f t="shared" si="8"/>
        <v>0.55159999999999998</v>
      </c>
      <c r="E78" s="515">
        <f t="shared" si="8"/>
        <v>0.1249</v>
      </c>
      <c r="F78" s="515">
        <f t="shared" si="8"/>
        <v>0.33510976000000003</v>
      </c>
      <c r="G78" s="515">
        <f t="shared" si="8"/>
        <v>-0.15089999999999998</v>
      </c>
      <c r="H78" s="517">
        <f t="shared" si="8"/>
        <v>-0.21649023999999994</v>
      </c>
      <c r="I78" s="44"/>
      <c r="J78" s="44"/>
    </row>
    <row r="79" spans="1:10" ht="15.75" customHeight="1" x14ac:dyDescent="0.25">
      <c r="A79" s="836"/>
      <c r="B79" s="41" t="s">
        <v>164</v>
      </c>
      <c r="C79" s="515">
        <f t="shared" si="8"/>
        <v>5.8299999999999998E-2</v>
      </c>
      <c r="D79" s="515">
        <f t="shared" si="8"/>
        <v>0.23319999999999999</v>
      </c>
      <c r="E79" s="515">
        <f t="shared" si="8"/>
        <v>3.9199999999999999E-2</v>
      </c>
      <c r="F79" s="515">
        <f t="shared" si="8"/>
        <v>0.26242948050816001</v>
      </c>
      <c r="G79" s="515">
        <f t="shared" si="8"/>
        <v>-1.9099999999999999E-2</v>
      </c>
      <c r="H79" s="517">
        <f t="shared" si="8"/>
        <v>2.9229480508160016E-2</v>
      </c>
      <c r="I79" s="44"/>
      <c r="J79" s="44"/>
    </row>
    <row r="80" spans="1:10" ht="15.75" customHeight="1" x14ac:dyDescent="0.25">
      <c r="A80" s="836"/>
      <c r="B80" s="41" t="s">
        <v>835</v>
      </c>
      <c r="C80" s="515">
        <f t="shared" si="8"/>
        <v>0</v>
      </c>
      <c r="D80" s="515">
        <f t="shared" si="8"/>
        <v>0</v>
      </c>
      <c r="E80" s="515">
        <f t="shared" si="8"/>
        <v>3.0000000000000001E-3</v>
      </c>
      <c r="F80" s="515">
        <f t="shared" si="8"/>
        <v>1.158E-2</v>
      </c>
      <c r="G80" s="515">
        <f t="shared" si="8"/>
        <v>3.0000000000000001E-3</v>
      </c>
      <c r="H80" s="517">
        <f t="shared" si="8"/>
        <v>1.158E-2</v>
      </c>
      <c r="I80" s="44"/>
      <c r="J80" s="44"/>
    </row>
    <row r="81" spans="1:12" ht="15.75" customHeight="1" x14ac:dyDescent="0.25">
      <c r="A81" s="836"/>
      <c r="B81" s="41" t="s">
        <v>167</v>
      </c>
      <c r="C81" s="515">
        <f t="shared" si="8"/>
        <v>0</v>
      </c>
      <c r="D81" s="515">
        <f t="shared" si="8"/>
        <v>0</v>
      </c>
      <c r="E81" s="515">
        <f t="shared" si="8"/>
        <v>0</v>
      </c>
      <c r="F81" s="515">
        <f t="shared" si="8"/>
        <v>0</v>
      </c>
      <c r="G81" s="515">
        <f t="shared" si="8"/>
        <v>0</v>
      </c>
      <c r="H81" s="517">
        <f t="shared" si="8"/>
        <v>0</v>
      </c>
      <c r="I81" s="44"/>
      <c r="J81" s="44"/>
    </row>
    <row r="82" spans="1:12" ht="15.75" customHeight="1" x14ac:dyDescent="0.25">
      <c r="A82" s="836"/>
      <c r="B82" s="41" t="s">
        <v>166</v>
      </c>
      <c r="C82" s="515">
        <f t="shared" si="8"/>
        <v>4.4440999999999997</v>
      </c>
      <c r="D82" s="515">
        <f t="shared" si="8"/>
        <v>0.57040000000000002</v>
      </c>
      <c r="E82" s="515">
        <f t="shared" si="8"/>
        <v>4.6740000000000013</v>
      </c>
      <c r="F82" s="515">
        <f t="shared" si="8"/>
        <v>1.3246811046285598</v>
      </c>
      <c r="G82" s="515">
        <f t="shared" si="8"/>
        <v>0.22990000000000155</v>
      </c>
      <c r="H82" s="517">
        <f t="shared" si="8"/>
        <v>0.7542811046285598</v>
      </c>
      <c r="I82" s="44"/>
      <c r="J82" s="44"/>
    </row>
    <row r="83" spans="1:12" ht="15.75" customHeight="1" x14ac:dyDescent="0.25">
      <c r="A83" s="836"/>
      <c r="B83" s="41" t="s">
        <v>137</v>
      </c>
      <c r="C83" s="515">
        <f t="shared" si="8"/>
        <v>0</v>
      </c>
      <c r="D83" s="515">
        <f t="shared" si="8"/>
        <v>0</v>
      </c>
      <c r="E83" s="515">
        <f t="shared" si="8"/>
        <v>0</v>
      </c>
      <c r="F83" s="515">
        <f t="shared" si="8"/>
        <v>0</v>
      </c>
      <c r="G83" s="515">
        <f t="shared" si="8"/>
        <v>0</v>
      </c>
      <c r="H83" s="517">
        <f t="shared" si="8"/>
        <v>0</v>
      </c>
      <c r="I83" s="44"/>
      <c r="J83" s="44"/>
    </row>
    <row r="84" spans="1:12" ht="18" customHeight="1" x14ac:dyDescent="0.25">
      <c r="A84" s="836"/>
      <c r="B84" s="42" t="s">
        <v>163</v>
      </c>
      <c r="C84" s="515">
        <f t="shared" si="8"/>
        <v>0</v>
      </c>
      <c r="D84" s="515">
        <f t="shared" si="8"/>
        <v>0</v>
      </c>
      <c r="E84" s="515">
        <f t="shared" si="8"/>
        <v>0</v>
      </c>
      <c r="F84" s="515">
        <f t="shared" si="8"/>
        <v>0</v>
      </c>
      <c r="G84" s="515">
        <f t="shared" si="8"/>
        <v>0</v>
      </c>
      <c r="H84" s="517">
        <f t="shared" si="8"/>
        <v>0</v>
      </c>
      <c r="I84" s="44"/>
      <c r="J84" s="44"/>
    </row>
    <row r="85" spans="1:12" ht="15.6" x14ac:dyDescent="0.25">
      <c r="A85" s="836"/>
      <c r="B85" s="49" t="s">
        <v>1105</v>
      </c>
      <c r="C85" s="515">
        <f t="shared" si="8"/>
        <v>0</v>
      </c>
      <c r="D85" s="515">
        <f t="shared" si="8"/>
        <v>0</v>
      </c>
      <c r="E85" s="515">
        <f t="shared" si="8"/>
        <v>0</v>
      </c>
      <c r="F85" s="515">
        <f t="shared" si="8"/>
        <v>0</v>
      </c>
      <c r="G85" s="515">
        <f t="shared" si="8"/>
        <v>0</v>
      </c>
      <c r="H85" s="517">
        <f t="shared" si="8"/>
        <v>0</v>
      </c>
      <c r="I85" s="44"/>
      <c r="J85" s="44"/>
    </row>
    <row r="86" spans="1:12" ht="15.6" x14ac:dyDescent="0.25">
      <c r="A86" s="836"/>
      <c r="B86" s="49" t="s">
        <v>1112</v>
      </c>
      <c r="C86" s="515">
        <f t="shared" si="8"/>
        <v>0</v>
      </c>
      <c r="D86" s="515">
        <f t="shared" si="8"/>
        <v>0</v>
      </c>
      <c r="E86" s="515">
        <f t="shared" si="8"/>
        <v>0</v>
      </c>
      <c r="F86" s="515">
        <f t="shared" si="8"/>
        <v>0</v>
      </c>
      <c r="G86" s="515">
        <f t="shared" si="8"/>
        <v>0</v>
      </c>
      <c r="H86" s="517">
        <f t="shared" si="8"/>
        <v>0</v>
      </c>
      <c r="I86" s="44"/>
      <c r="J86" s="44"/>
    </row>
    <row r="87" spans="1:12" ht="15.6" x14ac:dyDescent="0.25">
      <c r="A87" s="836"/>
      <c r="B87" s="49" t="s">
        <v>1125</v>
      </c>
      <c r="C87" s="515">
        <f t="shared" si="8"/>
        <v>0</v>
      </c>
      <c r="D87" s="515">
        <f t="shared" si="8"/>
        <v>0</v>
      </c>
      <c r="E87" s="515">
        <f t="shared" si="8"/>
        <v>0</v>
      </c>
      <c r="F87" s="515">
        <f t="shared" si="8"/>
        <v>0</v>
      </c>
      <c r="G87" s="515">
        <f t="shared" si="8"/>
        <v>0</v>
      </c>
      <c r="H87" s="517">
        <f t="shared" si="8"/>
        <v>0</v>
      </c>
      <c r="I87" s="44"/>
      <c r="J87" s="44"/>
    </row>
    <row r="88" spans="1:12" ht="15.6" x14ac:dyDescent="0.25">
      <c r="A88" s="836"/>
      <c r="B88" s="49" t="s">
        <v>1089</v>
      </c>
      <c r="C88" s="515">
        <f t="shared" si="8"/>
        <v>0</v>
      </c>
      <c r="D88" s="515">
        <f t="shared" si="8"/>
        <v>0</v>
      </c>
      <c r="E88" s="515">
        <f t="shared" si="8"/>
        <v>0</v>
      </c>
      <c r="F88" s="515">
        <f t="shared" si="8"/>
        <v>0</v>
      </c>
      <c r="G88" s="515">
        <f t="shared" si="8"/>
        <v>0</v>
      </c>
      <c r="H88" s="517">
        <f t="shared" si="8"/>
        <v>0</v>
      </c>
      <c r="I88" s="44"/>
      <c r="J88" s="44"/>
    </row>
    <row r="89" spans="1:12" ht="16.2" thickBot="1" x14ac:dyDescent="0.3">
      <c r="A89" s="836"/>
      <c r="B89" s="50" t="s">
        <v>1495</v>
      </c>
      <c r="C89" s="519">
        <f t="shared" si="8"/>
        <v>0</v>
      </c>
      <c r="D89" s="519">
        <f t="shared" si="8"/>
        <v>0</v>
      </c>
      <c r="E89" s="519">
        <f t="shared" si="8"/>
        <v>0</v>
      </c>
      <c r="F89" s="519">
        <f t="shared" si="8"/>
        <v>0</v>
      </c>
      <c r="G89" s="519">
        <f t="shared" si="8"/>
        <v>0</v>
      </c>
      <c r="H89" s="520">
        <f t="shared" si="8"/>
        <v>0</v>
      </c>
      <c r="I89" s="44"/>
      <c r="J89" s="44"/>
    </row>
    <row r="90" spans="1:12" ht="15" customHeight="1" x14ac:dyDescent="0.25">
      <c r="A90" s="836"/>
      <c r="B90" s="44"/>
      <c r="C90" s="44"/>
      <c r="D90" s="44"/>
      <c r="E90" s="44"/>
      <c r="F90" s="44"/>
      <c r="G90" s="44"/>
      <c r="H90" s="44"/>
      <c r="I90" s="44"/>
      <c r="J90" s="44"/>
    </row>
    <row r="91" spans="1:12" s="506" customFormat="1" ht="66" customHeight="1" thickBot="1" x14ac:dyDescent="0.3">
      <c r="A91" s="837"/>
    </row>
    <row r="92" spans="1:12" ht="37.950000000000003" customHeight="1" thickTop="1" thickBot="1" x14ac:dyDescent="0.3">
      <c r="A92" s="838" t="s">
        <v>1460</v>
      </c>
    </row>
    <row r="93" spans="1:12" ht="25.8" thickBot="1" x14ac:dyDescent="0.5">
      <c r="A93" s="839"/>
      <c r="B93" s="867" t="s">
        <v>1356</v>
      </c>
      <c r="C93" s="868"/>
      <c r="D93" s="869"/>
    </row>
    <row r="94" spans="1:12" x14ac:dyDescent="0.25">
      <c r="A94" s="839"/>
    </row>
    <row r="95" spans="1:12" ht="15" customHeight="1" thickBot="1" x14ac:dyDescent="0.3">
      <c r="A95" s="839"/>
    </row>
    <row r="96" spans="1:12" ht="18" customHeight="1" thickBot="1" x14ac:dyDescent="0.35">
      <c r="A96" s="839"/>
      <c r="B96" s="847" t="s">
        <v>1370</v>
      </c>
      <c r="C96" s="847"/>
      <c r="D96" s="847"/>
      <c r="E96" s="847"/>
      <c r="F96" s="847"/>
      <c r="G96" s="847"/>
      <c r="H96" s="847"/>
      <c r="J96" s="851" t="s">
        <v>1436</v>
      </c>
      <c r="K96" s="852"/>
      <c r="L96" s="853"/>
    </row>
    <row r="97" spans="1:12" ht="16.2" customHeight="1" thickBot="1" x14ac:dyDescent="0.3">
      <c r="A97" s="839"/>
      <c r="B97" s="39"/>
      <c r="C97" s="830" t="s">
        <v>1131</v>
      </c>
      <c r="D97" s="830"/>
      <c r="E97" s="830" t="s">
        <v>1076</v>
      </c>
      <c r="F97" s="830"/>
      <c r="G97" s="830" t="s">
        <v>1132</v>
      </c>
      <c r="H97" s="830"/>
      <c r="J97" s="854"/>
      <c r="K97" s="855"/>
      <c r="L97" s="856"/>
    </row>
    <row r="98" spans="1:12" ht="47.4" thickBot="1" x14ac:dyDescent="0.3">
      <c r="A98" s="839"/>
      <c r="B98" s="496" t="s">
        <v>308</v>
      </c>
      <c r="C98" s="39" t="s">
        <v>1447</v>
      </c>
      <c r="D98" s="39" t="s">
        <v>1071</v>
      </c>
      <c r="E98" s="39" t="s">
        <v>1448</v>
      </c>
      <c r="F98" s="39" t="s">
        <v>1449</v>
      </c>
      <c r="G98" s="39" t="s">
        <v>1450</v>
      </c>
      <c r="H98" s="39" t="s">
        <v>1451</v>
      </c>
      <c r="J98" s="857" t="s">
        <v>343</v>
      </c>
      <c r="K98" s="859" t="s">
        <v>1435</v>
      </c>
      <c r="L98" s="861" t="s">
        <v>1462</v>
      </c>
    </row>
    <row r="99" spans="1:12" ht="31.2" x14ac:dyDescent="0.25">
      <c r="A99" s="839"/>
      <c r="B99" s="502" t="s">
        <v>1218</v>
      </c>
      <c r="C99" s="514">
        <f>'G-2 Habitat groups'!E147</f>
        <v>0</v>
      </c>
      <c r="D99" s="514">
        <f>'G-2 Habitat groups'!F147</f>
        <v>0</v>
      </c>
      <c r="E99" s="514">
        <f>'G-2 Habitat groups'!O147</f>
        <v>0</v>
      </c>
      <c r="F99" s="514">
        <f>'G-2 Habitat groups'!P147</f>
        <v>0</v>
      </c>
      <c r="G99" s="514">
        <f>E99-C99</f>
        <v>0</v>
      </c>
      <c r="H99" s="514">
        <f t="shared" ref="H99:H111" si="9">F99-D99</f>
        <v>0</v>
      </c>
      <c r="J99" s="858"/>
      <c r="K99" s="860"/>
      <c r="L99" s="862"/>
    </row>
    <row r="100" spans="1:12" ht="15.6" x14ac:dyDescent="0.25">
      <c r="A100" s="839"/>
      <c r="B100" s="503" t="s">
        <v>322</v>
      </c>
      <c r="C100" s="514">
        <f>'G-2 Habitat groups'!E148</f>
        <v>0</v>
      </c>
      <c r="D100" s="514">
        <f>'G-2 Habitat groups'!F148</f>
        <v>0</v>
      </c>
      <c r="E100" s="514">
        <f>'G-2 Habitat groups'!O148</f>
        <v>0</v>
      </c>
      <c r="F100" s="514">
        <f>'G-2 Habitat groups'!P148</f>
        <v>0</v>
      </c>
      <c r="G100" s="514">
        <f t="shared" ref="G100:G111" si="10">E100-C100</f>
        <v>0</v>
      </c>
      <c r="H100" s="514">
        <f t="shared" si="9"/>
        <v>0</v>
      </c>
      <c r="J100" s="843" t="str">
        <f>'G-1 All Habitats'!$V$3</f>
        <v>V.High</v>
      </c>
      <c r="K100" s="845">
        <f>SUMIF('B-1 Site Hedge Baseline'!$F$10:$F$257,'Detailed Results'!J100,'B-1 Site Hedge Baseline'!$T$10:$T$257)+SUMIF('E-1 Off Site Hedge Baseline'!$F$10:$F$257,'Detailed Results'!J100,'E-1 Off Site Hedge Baseline'!$T$10:$T$257)</f>
        <v>0</v>
      </c>
      <c r="L100" s="849" t="str">
        <f>IF(K100=0,"",(K100/(SUM($K$100:$K$109)))*100)</f>
        <v/>
      </c>
    </row>
    <row r="101" spans="1:12" ht="15.6" x14ac:dyDescent="0.25">
      <c r="A101" s="839"/>
      <c r="B101" s="503" t="s">
        <v>1228</v>
      </c>
      <c r="C101" s="514">
        <f>'G-2 Habitat groups'!E149</f>
        <v>0</v>
      </c>
      <c r="D101" s="514">
        <f>'G-2 Habitat groups'!F149</f>
        <v>0</v>
      </c>
      <c r="E101" s="514">
        <f>'G-2 Habitat groups'!O149</f>
        <v>0</v>
      </c>
      <c r="F101" s="514">
        <f>'G-2 Habitat groups'!P149</f>
        <v>0</v>
      </c>
      <c r="G101" s="514">
        <f t="shared" si="10"/>
        <v>0</v>
      </c>
      <c r="H101" s="514">
        <f t="shared" si="9"/>
        <v>0</v>
      </c>
      <c r="J101" s="844"/>
      <c r="K101" s="846"/>
      <c r="L101" s="850"/>
    </row>
    <row r="102" spans="1:12" ht="15.6" x14ac:dyDescent="0.25">
      <c r="A102" s="839"/>
      <c r="B102" s="503" t="s">
        <v>1234</v>
      </c>
      <c r="C102" s="514">
        <f>'G-2 Habitat groups'!E150</f>
        <v>0</v>
      </c>
      <c r="D102" s="514">
        <f>'G-2 Habitat groups'!F150</f>
        <v>0</v>
      </c>
      <c r="E102" s="514">
        <f>'G-2 Habitat groups'!O150</f>
        <v>0</v>
      </c>
      <c r="F102" s="514">
        <f>'G-2 Habitat groups'!P150</f>
        <v>0</v>
      </c>
      <c r="G102" s="514">
        <f t="shared" si="10"/>
        <v>0</v>
      </c>
      <c r="H102" s="514">
        <f t="shared" si="9"/>
        <v>0</v>
      </c>
      <c r="J102" s="843" t="str">
        <f>'G-1 All Habitats'!$V$4</f>
        <v>High</v>
      </c>
      <c r="K102" s="845">
        <f>SUMIF('B-1 Site Hedge Baseline'!$F$10:$F$257,'Detailed Results'!J102,'B-1 Site Hedge Baseline'!$T$10:$T$257)+SUMIF('E-1 Off Site Hedge Baseline'!$F$10:$F$257,'Detailed Results'!J102,'E-1 Off Site Hedge Baseline'!$T$10:$T$257)</f>
        <v>0</v>
      </c>
      <c r="L102" s="849" t="str">
        <f t="shared" ref="L102" si="11">IF(K102=0,"",(K102/(SUM($K$100:$K$109)))*100)</f>
        <v/>
      </c>
    </row>
    <row r="103" spans="1:12" ht="15.6" x14ac:dyDescent="0.25">
      <c r="A103" s="839"/>
      <c r="B103" s="503" t="s">
        <v>323</v>
      </c>
      <c r="C103" s="514">
        <f>'G-2 Habitat groups'!E151</f>
        <v>0</v>
      </c>
      <c r="D103" s="514">
        <f>'G-2 Habitat groups'!F151</f>
        <v>0</v>
      </c>
      <c r="E103" s="514">
        <f>'G-2 Habitat groups'!O151</f>
        <v>0</v>
      </c>
      <c r="F103" s="514">
        <f>'G-2 Habitat groups'!P151</f>
        <v>0</v>
      </c>
      <c r="G103" s="514">
        <f t="shared" si="10"/>
        <v>0</v>
      </c>
      <c r="H103" s="514">
        <f t="shared" si="9"/>
        <v>0</v>
      </c>
      <c r="J103" s="844"/>
      <c r="K103" s="846"/>
      <c r="L103" s="850"/>
    </row>
    <row r="104" spans="1:12" ht="15.6" x14ac:dyDescent="0.25">
      <c r="A104" s="839"/>
      <c r="B104" s="503" t="s">
        <v>1239</v>
      </c>
      <c r="C104" s="514">
        <f>'G-2 Habitat groups'!E152</f>
        <v>0</v>
      </c>
      <c r="D104" s="514">
        <f>'G-2 Habitat groups'!F152</f>
        <v>0</v>
      </c>
      <c r="E104" s="514">
        <f>'G-2 Habitat groups'!O152</f>
        <v>0</v>
      </c>
      <c r="F104" s="514">
        <f>'G-2 Habitat groups'!P152</f>
        <v>0</v>
      </c>
      <c r="G104" s="514">
        <f t="shared" si="10"/>
        <v>0</v>
      </c>
      <c r="H104" s="514">
        <f t="shared" si="9"/>
        <v>0</v>
      </c>
      <c r="J104" s="843" t="str">
        <f>'G-1 All Habitats'!$V$5</f>
        <v>Medium</v>
      </c>
      <c r="K104" s="845">
        <f>SUMIF('B-1 Site Hedge Baseline'!$F$10:$F$257,'Detailed Results'!J104,'B-1 Site Hedge Baseline'!$T$10:$T$257)+SUMIF('E-1 Off Site Hedge Baseline'!$F$10:$F$257,'Detailed Results'!J104,'E-1 Off Site Hedge Baseline'!$T$10:$T$257)</f>
        <v>0</v>
      </c>
      <c r="L104" s="849" t="str">
        <f t="shared" ref="L104" si="12">IF(K104=0,"",(K104/(SUM($K$100:$K$109)))*100)</f>
        <v/>
      </c>
    </row>
    <row r="105" spans="1:12" ht="15.6" x14ac:dyDescent="0.25">
      <c r="A105" s="839"/>
      <c r="B105" s="503" t="s">
        <v>325</v>
      </c>
      <c r="C105" s="514">
        <f>'G-2 Habitat groups'!E153</f>
        <v>0</v>
      </c>
      <c r="D105" s="514">
        <f>'G-2 Habitat groups'!F153</f>
        <v>0</v>
      </c>
      <c r="E105" s="514">
        <f>'G-2 Habitat groups'!O153</f>
        <v>0</v>
      </c>
      <c r="F105" s="514">
        <f>'G-2 Habitat groups'!P153</f>
        <v>0</v>
      </c>
      <c r="G105" s="514">
        <f t="shared" si="10"/>
        <v>0</v>
      </c>
      <c r="H105" s="514">
        <f t="shared" si="9"/>
        <v>0</v>
      </c>
      <c r="J105" s="844"/>
      <c r="K105" s="846"/>
      <c r="L105" s="850"/>
    </row>
    <row r="106" spans="1:12" ht="15.6" x14ac:dyDescent="0.25">
      <c r="A106" s="839"/>
      <c r="B106" s="504" t="s">
        <v>327</v>
      </c>
      <c r="C106" s="514">
        <f>'G-2 Habitat groups'!E154</f>
        <v>0</v>
      </c>
      <c r="D106" s="514">
        <f>'G-2 Habitat groups'!F154</f>
        <v>0</v>
      </c>
      <c r="E106" s="514">
        <f>'G-2 Habitat groups'!O154</f>
        <v>0</v>
      </c>
      <c r="F106" s="514">
        <f>'G-2 Habitat groups'!P154</f>
        <v>0</v>
      </c>
      <c r="G106" s="514">
        <f t="shared" si="10"/>
        <v>0</v>
      </c>
      <c r="H106" s="514">
        <f t="shared" si="9"/>
        <v>0</v>
      </c>
      <c r="J106" s="843" t="str">
        <f>'G-1 All Habitats'!$V$6</f>
        <v>Low</v>
      </c>
      <c r="K106" s="845">
        <f>SUMIF('B-1 Site Hedge Baseline'!$F$10:$F$257,'Detailed Results'!J106,'B-1 Site Hedge Baseline'!$T$10:$T$257)+SUMIF('E-1 Off Site Hedge Baseline'!$F$10:$F$257,'Detailed Results'!J106,'E-1 Off Site Hedge Baseline'!$T$10:$T$257)</f>
        <v>0</v>
      </c>
      <c r="L106" s="849" t="str">
        <f t="shared" ref="L106" si="13">IF(K106=0,"",(K106/(SUM($K$100:$K$109)))*100)</f>
        <v/>
      </c>
    </row>
    <row r="107" spans="1:12" ht="15.6" x14ac:dyDescent="0.25">
      <c r="A107" s="839"/>
      <c r="B107" s="505" t="s">
        <v>326</v>
      </c>
      <c r="C107" s="514">
        <f>'G-2 Habitat groups'!E155</f>
        <v>0</v>
      </c>
      <c r="D107" s="514">
        <f>'G-2 Habitat groups'!F155</f>
        <v>0</v>
      </c>
      <c r="E107" s="514">
        <f>'G-2 Habitat groups'!O155</f>
        <v>0</v>
      </c>
      <c r="F107" s="514">
        <f>'G-2 Habitat groups'!P155</f>
        <v>0</v>
      </c>
      <c r="G107" s="514">
        <f t="shared" si="10"/>
        <v>0</v>
      </c>
      <c r="H107" s="514">
        <f t="shared" si="9"/>
        <v>0</v>
      </c>
      <c r="J107" s="844"/>
      <c r="K107" s="846"/>
      <c r="L107" s="850"/>
    </row>
    <row r="108" spans="1:12" ht="15.6" x14ac:dyDescent="0.25">
      <c r="A108" s="839"/>
      <c r="B108" s="505" t="s">
        <v>324</v>
      </c>
      <c r="C108" s="514">
        <f>'G-2 Habitat groups'!E156</f>
        <v>0</v>
      </c>
      <c r="D108" s="514">
        <f>'G-2 Habitat groups'!F156</f>
        <v>0</v>
      </c>
      <c r="E108" s="514">
        <f>'G-2 Habitat groups'!O156</f>
        <v>0</v>
      </c>
      <c r="F108" s="514">
        <f>'G-2 Habitat groups'!P156</f>
        <v>0</v>
      </c>
      <c r="G108" s="514">
        <f t="shared" si="10"/>
        <v>0</v>
      </c>
      <c r="H108" s="514">
        <f t="shared" si="9"/>
        <v>0</v>
      </c>
      <c r="J108" s="843" t="str">
        <f>'G-1 All Habitats'!$V$7</f>
        <v>V.Low</v>
      </c>
      <c r="K108" s="845">
        <f>SUMIF('B-1 Site Hedge Baseline'!$F$10:$F$257,'Detailed Results'!J108,'B-1 Site Hedge Baseline'!$T$10:$T$257)+SUMIF('E-1 Off Site Hedge Baseline'!$F$10:$F$257,'Detailed Results'!J108,'E-1 Off Site Hedge Baseline'!$T$10:$T$257)</f>
        <v>3.6999999999999998E-2</v>
      </c>
      <c r="L108" s="849">
        <f t="shared" ref="L108" si="14">IF(K108=0,"",(K108/(SUM($K$100:$K$109)))*100)</f>
        <v>100</v>
      </c>
    </row>
    <row r="109" spans="1:12" ht="16.2" thickBot="1" x14ac:dyDescent="0.3">
      <c r="A109" s="839"/>
      <c r="B109" s="505" t="s">
        <v>1224</v>
      </c>
      <c r="C109" s="514">
        <f>'G-2 Habitat groups'!E157</f>
        <v>0</v>
      </c>
      <c r="D109" s="514">
        <f>'G-2 Habitat groups'!F157</f>
        <v>0</v>
      </c>
      <c r="E109" s="514">
        <f>'G-2 Habitat groups'!O157</f>
        <v>0</v>
      </c>
      <c r="F109" s="514">
        <f>'G-2 Habitat groups'!P157</f>
        <v>0</v>
      </c>
      <c r="G109" s="514">
        <f t="shared" si="10"/>
        <v>0</v>
      </c>
      <c r="H109" s="514">
        <f t="shared" si="9"/>
        <v>0</v>
      </c>
      <c r="J109" s="848"/>
      <c r="K109" s="846"/>
      <c r="L109" s="850"/>
    </row>
    <row r="110" spans="1:12" ht="15.6" x14ac:dyDescent="0.25">
      <c r="A110" s="839"/>
      <c r="B110" s="505" t="s">
        <v>1455</v>
      </c>
      <c r="C110" s="514">
        <f>'G-2 Habitat groups'!E158</f>
        <v>0</v>
      </c>
      <c r="D110" s="514">
        <f>'G-2 Habitat groups'!F158</f>
        <v>0</v>
      </c>
      <c r="E110" s="514">
        <f>'G-2 Habitat groups'!O158</f>
        <v>0</v>
      </c>
      <c r="F110" s="514">
        <f>'G-2 Habitat groups'!P158</f>
        <v>0</v>
      </c>
      <c r="G110" s="514">
        <f t="shared" si="10"/>
        <v>0</v>
      </c>
      <c r="H110" s="514">
        <f t="shared" si="9"/>
        <v>0</v>
      </c>
    </row>
    <row r="111" spans="1:12" ht="15.6" x14ac:dyDescent="0.25">
      <c r="A111" s="839"/>
      <c r="B111" s="505" t="s">
        <v>1226</v>
      </c>
      <c r="C111" s="514">
        <f>'G-2 Habitat groups'!E159</f>
        <v>3.6999999999999998E-2</v>
      </c>
      <c r="D111" s="514">
        <f>'G-2 Habitat groups'!F159</f>
        <v>3.6999999999999998E-2</v>
      </c>
      <c r="E111" s="514">
        <f>'G-2 Habitat groups'!O159</f>
        <v>1.296</v>
      </c>
      <c r="F111" s="514">
        <f>'G-2 Habitat groups'!P159</f>
        <v>1.25064</v>
      </c>
      <c r="G111" s="514">
        <f t="shared" si="10"/>
        <v>1.2590000000000001</v>
      </c>
      <c r="H111" s="514">
        <f t="shared" si="9"/>
        <v>1.2136400000000001</v>
      </c>
    </row>
    <row r="112" spans="1:12" x14ac:dyDescent="0.25">
      <c r="A112" s="839"/>
    </row>
    <row r="113" spans="1:8" x14ac:dyDescent="0.25">
      <c r="A113" s="839"/>
    </row>
    <row r="114" spans="1:8" x14ac:dyDescent="0.25">
      <c r="A114" s="839"/>
    </row>
    <row r="115" spans="1:8" ht="14.4" thickBot="1" x14ac:dyDescent="0.3">
      <c r="A115" s="839"/>
    </row>
    <row r="116" spans="1:8" ht="18" thickBot="1" x14ac:dyDescent="0.35">
      <c r="A116" s="839"/>
      <c r="B116" s="847" t="s">
        <v>1371</v>
      </c>
      <c r="C116" s="847"/>
      <c r="D116" s="847"/>
      <c r="E116" s="847"/>
      <c r="F116" s="847"/>
      <c r="G116" s="847"/>
      <c r="H116" s="847"/>
    </row>
    <row r="117" spans="1:8" ht="16.2" thickBot="1" x14ac:dyDescent="0.3">
      <c r="A117" s="839"/>
      <c r="B117" s="39"/>
      <c r="C117" s="830" t="s">
        <v>1440</v>
      </c>
      <c r="D117" s="830"/>
      <c r="E117" s="830" t="s">
        <v>1437</v>
      </c>
      <c r="F117" s="830"/>
      <c r="G117" s="830" t="s">
        <v>1438</v>
      </c>
      <c r="H117" s="830"/>
    </row>
    <row r="118" spans="1:8" ht="47.4" thickBot="1" x14ac:dyDescent="0.3">
      <c r="A118" s="839"/>
      <c r="B118" s="496" t="s">
        <v>308</v>
      </c>
      <c r="C118" s="39" t="s">
        <v>1442</v>
      </c>
      <c r="D118" s="39" t="s">
        <v>1443</v>
      </c>
      <c r="E118" s="39" t="s">
        <v>1444</v>
      </c>
      <c r="F118" s="39" t="s">
        <v>1445</v>
      </c>
      <c r="G118" s="39" t="s">
        <v>1446</v>
      </c>
      <c r="H118" s="39" t="s">
        <v>1439</v>
      </c>
    </row>
    <row r="119" spans="1:8" ht="31.2" x14ac:dyDescent="0.25">
      <c r="A119" s="839"/>
      <c r="B119" s="502" t="s">
        <v>1218</v>
      </c>
      <c r="C119" s="514">
        <f>'G-2 Habitat groups'!S147</f>
        <v>0</v>
      </c>
      <c r="D119" s="514">
        <f>'G-2 Habitat groups'!T147</f>
        <v>0</v>
      </c>
      <c r="E119" s="514">
        <f>'G-2 Habitat groups'!AA147</f>
        <v>0</v>
      </c>
      <c r="F119" s="514">
        <f>'G-2 Habitat groups'!AB147</f>
        <v>0</v>
      </c>
      <c r="G119" s="514">
        <f t="shared" ref="G119:G131" si="15">E119-C119</f>
        <v>0</v>
      </c>
      <c r="H119" s="514">
        <f t="shared" ref="H119:H131" si="16">F119-D119</f>
        <v>0</v>
      </c>
    </row>
    <row r="120" spans="1:8" ht="15.6" x14ac:dyDescent="0.25">
      <c r="A120" s="839"/>
      <c r="B120" s="503" t="s">
        <v>322</v>
      </c>
      <c r="C120" s="514">
        <f>'G-2 Habitat groups'!S148</f>
        <v>0</v>
      </c>
      <c r="D120" s="514">
        <f>'G-2 Habitat groups'!T148</f>
        <v>0</v>
      </c>
      <c r="E120" s="514">
        <f>'G-2 Habitat groups'!AA148</f>
        <v>0</v>
      </c>
      <c r="F120" s="514">
        <f>'G-2 Habitat groups'!AB148</f>
        <v>0</v>
      </c>
      <c r="G120" s="514">
        <f t="shared" si="15"/>
        <v>0</v>
      </c>
      <c r="H120" s="514">
        <f t="shared" si="16"/>
        <v>0</v>
      </c>
    </row>
    <row r="121" spans="1:8" ht="15.6" x14ac:dyDescent="0.25">
      <c r="A121" s="839"/>
      <c r="B121" s="503" t="s">
        <v>1228</v>
      </c>
      <c r="C121" s="514">
        <f>'G-2 Habitat groups'!S149</f>
        <v>0</v>
      </c>
      <c r="D121" s="514">
        <f>'G-2 Habitat groups'!T149</f>
        <v>0</v>
      </c>
      <c r="E121" s="514">
        <f>'G-2 Habitat groups'!AA149</f>
        <v>0</v>
      </c>
      <c r="F121" s="514">
        <f>'G-2 Habitat groups'!AB149</f>
        <v>0</v>
      </c>
      <c r="G121" s="514">
        <f t="shared" si="15"/>
        <v>0</v>
      </c>
      <c r="H121" s="514">
        <f t="shared" si="16"/>
        <v>0</v>
      </c>
    </row>
    <row r="122" spans="1:8" ht="15.6" x14ac:dyDescent="0.25">
      <c r="A122" s="839"/>
      <c r="B122" s="503" t="s">
        <v>1234</v>
      </c>
      <c r="C122" s="514">
        <f>'G-2 Habitat groups'!S150</f>
        <v>0</v>
      </c>
      <c r="D122" s="514">
        <f>'G-2 Habitat groups'!T150</f>
        <v>0</v>
      </c>
      <c r="E122" s="514">
        <f>'G-2 Habitat groups'!AA150</f>
        <v>0</v>
      </c>
      <c r="F122" s="514">
        <f>'G-2 Habitat groups'!AB150</f>
        <v>0</v>
      </c>
      <c r="G122" s="514">
        <f t="shared" si="15"/>
        <v>0</v>
      </c>
      <c r="H122" s="514">
        <f t="shared" si="16"/>
        <v>0</v>
      </c>
    </row>
    <row r="123" spans="1:8" ht="15.6" x14ac:dyDescent="0.25">
      <c r="A123" s="839"/>
      <c r="B123" s="503" t="s">
        <v>323</v>
      </c>
      <c r="C123" s="514">
        <f>'G-2 Habitat groups'!S151</f>
        <v>0</v>
      </c>
      <c r="D123" s="514">
        <f>'G-2 Habitat groups'!T151</f>
        <v>0</v>
      </c>
      <c r="E123" s="514">
        <f>'G-2 Habitat groups'!AA151</f>
        <v>0</v>
      </c>
      <c r="F123" s="514">
        <f>'G-2 Habitat groups'!AB151</f>
        <v>0</v>
      </c>
      <c r="G123" s="514">
        <f t="shared" si="15"/>
        <v>0</v>
      </c>
      <c r="H123" s="514">
        <f t="shared" si="16"/>
        <v>0</v>
      </c>
    </row>
    <row r="124" spans="1:8" ht="15.6" x14ac:dyDescent="0.25">
      <c r="A124" s="839"/>
      <c r="B124" s="503" t="s">
        <v>1239</v>
      </c>
      <c r="C124" s="514">
        <f>'G-2 Habitat groups'!S152</f>
        <v>0</v>
      </c>
      <c r="D124" s="514">
        <f>'G-2 Habitat groups'!T152</f>
        <v>0</v>
      </c>
      <c r="E124" s="514">
        <f>'G-2 Habitat groups'!AA152</f>
        <v>0</v>
      </c>
      <c r="F124" s="514">
        <f>'G-2 Habitat groups'!AB152</f>
        <v>0</v>
      </c>
      <c r="G124" s="514">
        <f t="shared" si="15"/>
        <v>0</v>
      </c>
      <c r="H124" s="514">
        <f t="shared" si="16"/>
        <v>0</v>
      </c>
    </row>
    <row r="125" spans="1:8" ht="15.6" x14ac:dyDescent="0.25">
      <c r="A125" s="839"/>
      <c r="B125" s="503" t="s">
        <v>325</v>
      </c>
      <c r="C125" s="514">
        <f>'G-2 Habitat groups'!S153</f>
        <v>0</v>
      </c>
      <c r="D125" s="514">
        <f>'G-2 Habitat groups'!T153</f>
        <v>0</v>
      </c>
      <c r="E125" s="514">
        <f>'G-2 Habitat groups'!AA153</f>
        <v>0</v>
      </c>
      <c r="F125" s="514">
        <f>'G-2 Habitat groups'!AB153</f>
        <v>0</v>
      </c>
      <c r="G125" s="514">
        <f t="shared" si="15"/>
        <v>0</v>
      </c>
      <c r="H125" s="514">
        <f t="shared" si="16"/>
        <v>0</v>
      </c>
    </row>
    <row r="126" spans="1:8" ht="15.6" x14ac:dyDescent="0.25">
      <c r="A126" s="839"/>
      <c r="B126" s="504" t="s">
        <v>327</v>
      </c>
      <c r="C126" s="514">
        <f>'G-2 Habitat groups'!S154</f>
        <v>0</v>
      </c>
      <c r="D126" s="514">
        <f>'G-2 Habitat groups'!T154</f>
        <v>0</v>
      </c>
      <c r="E126" s="514">
        <f>'G-2 Habitat groups'!AA154</f>
        <v>0</v>
      </c>
      <c r="F126" s="514">
        <f>'G-2 Habitat groups'!AB154</f>
        <v>0</v>
      </c>
      <c r="G126" s="514">
        <f t="shared" si="15"/>
        <v>0</v>
      </c>
      <c r="H126" s="514">
        <f t="shared" si="16"/>
        <v>0</v>
      </c>
    </row>
    <row r="127" spans="1:8" ht="15.6" x14ac:dyDescent="0.25">
      <c r="A127" s="839"/>
      <c r="B127" s="505" t="s">
        <v>326</v>
      </c>
      <c r="C127" s="514">
        <f>'G-2 Habitat groups'!S155</f>
        <v>0</v>
      </c>
      <c r="D127" s="514">
        <f>'G-2 Habitat groups'!T155</f>
        <v>0</v>
      </c>
      <c r="E127" s="514">
        <f>'G-2 Habitat groups'!AA155</f>
        <v>0</v>
      </c>
      <c r="F127" s="514">
        <f>'G-2 Habitat groups'!AB155</f>
        <v>0</v>
      </c>
      <c r="G127" s="514">
        <f t="shared" si="15"/>
        <v>0</v>
      </c>
      <c r="H127" s="514">
        <f t="shared" si="16"/>
        <v>0</v>
      </c>
    </row>
    <row r="128" spans="1:8" ht="15.6" x14ac:dyDescent="0.25">
      <c r="A128" s="839"/>
      <c r="B128" s="505" t="s">
        <v>324</v>
      </c>
      <c r="C128" s="514">
        <f>'G-2 Habitat groups'!S156</f>
        <v>0</v>
      </c>
      <c r="D128" s="514">
        <f>'G-2 Habitat groups'!T156</f>
        <v>0</v>
      </c>
      <c r="E128" s="514">
        <f>'G-2 Habitat groups'!AA156</f>
        <v>0</v>
      </c>
      <c r="F128" s="514">
        <f>'G-2 Habitat groups'!AB156</f>
        <v>0</v>
      </c>
      <c r="G128" s="514">
        <f t="shared" si="15"/>
        <v>0</v>
      </c>
      <c r="H128" s="514">
        <f t="shared" si="16"/>
        <v>0</v>
      </c>
    </row>
    <row r="129" spans="1:8" ht="15.6" x14ac:dyDescent="0.25">
      <c r="A129" s="839"/>
      <c r="B129" s="505" t="s">
        <v>1224</v>
      </c>
      <c r="C129" s="514">
        <f>'G-2 Habitat groups'!S157</f>
        <v>0</v>
      </c>
      <c r="D129" s="514">
        <f>'G-2 Habitat groups'!T157</f>
        <v>0</v>
      </c>
      <c r="E129" s="514">
        <f>'G-2 Habitat groups'!AA157</f>
        <v>0</v>
      </c>
      <c r="F129" s="514">
        <f>'G-2 Habitat groups'!AB157</f>
        <v>0</v>
      </c>
      <c r="G129" s="514">
        <f t="shared" si="15"/>
        <v>0</v>
      </c>
      <c r="H129" s="514">
        <f t="shared" si="16"/>
        <v>0</v>
      </c>
    </row>
    <row r="130" spans="1:8" ht="15.6" x14ac:dyDescent="0.25">
      <c r="A130" s="839"/>
      <c r="B130" s="505" t="s">
        <v>1244</v>
      </c>
      <c r="C130" s="514">
        <f>'G-2 Habitat groups'!S158</f>
        <v>0</v>
      </c>
      <c r="D130" s="514">
        <f>'G-2 Habitat groups'!T158</f>
        <v>0</v>
      </c>
      <c r="E130" s="514">
        <f>'G-2 Habitat groups'!AA158</f>
        <v>0</v>
      </c>
      <c r="F130" s="514">
        <f>'G-2 Habitat groups'!AB158</f>
        <v>0</v>
      </c>
      <c r="G130" s="514">
        <f t="shared" si="15"/>
        <v>0</v>
      </c>
      <c r="H130" s="514">
        <f t="shared" si="16"/>
        <v>0</v>
      </c>
    </row>
    <row r="131" spans="1:8" ht="15.6" x14ac:dyDescent="0.25">
      <c r="A131" s="839"/>
      <c r="B131" s="505" t="s">
        <v>1226</v>
      </c>
      <c r="C131" s="514">
        <f>'G-2 Habitat groups'!S159</f>
        <v>0</v>
      </c>
      <c r="D131" s="514">
        <f>'G-2 Habitat groups'!T159</f>
        <v>0</v>
      </c>
      <c r="E131" s="514">
        <f>'G-2 Habitat groups'!AA159</f>
        <v>0</v>
      </c>
      <c r="F131" s="514">
        <f>'G-2 Habitat groups'!AB159</f>
        <v>0</v>
      </c>
      <c r="G131" s="514">
        <f t="shared" si="15"/>
        <v>0</v>
      </c>
      <c r="H131" s="514">
        <f t="shared" si="16"/>
        <v>0</v>
      </c>
    </row>
    <row r="132" spans="1:8" x14ac:dyDescent="0.25">
      <c r="A132" s="839"/>
      <c r="B132" s="44"/>
      <c r="C132" s="44"/>
    </row>
    <row r="133" spans="1:8" x14ac:dyDescent="0.25">
      <c r="A133" s="839"/>
      <c r="B133" s="44"/>
      <c r="C133" s="44"/>
    </row>
    <row r="134" spans="1:8" x14ac:dyDescent="0.25">
      <c r="A134" s="839"/>
      <c r="B134" s="44"/>
      <c r="C134" s="44"/>
    </row>
    <row r="135" spans="1:8" ht="14.4" thickBot="1" x14ac:dyDescent="0.3">
      <c r="A135" s="839"/>
      <c r="B135" s="44"/>
      <c r="C135" s="44"/>
    </row>
    <row r="136" spans="1:8" ht="18" thickBot="1" x14ac:dyDescent="0.35">
      <c r="A136" s="839"/>
      <c r="B136" s="847" t="s">
        <v>1372</v>
      </c>
      <c r="C136" s="847"/>
      <c r="D136" s="847"/>
      <c r="E136" s="847"/>
      <c r="F136" s="847"/>
      <c r="G136" s="847"/>
      <c r="H136" s="847"/>
    </row>
    <row r="137" spans="1:8" ht="16.2" thickBot="1" x14ac:dyDescent="0.3">
      <c r="A137" s="839"/>
      <c r="B137" s="39"/>
      <c r="C137" s="830" t="s">
        <v>1131</v>
      </c>
      <c r="D137" s="830"/>
      <c r="E137" s="830" t="s">
        <v>1076</v>
      </c>
      <c r="F137" s="830"/>
      <c r="G137" s="830" t="s">
        <v>1132</v>
      </c>
      <c r="H137" s="830"/>
    </row>
    <row r="138" spans="1:8" ht="31.8" thickBot="1" x14ac:dyDescent="0.3">
      <c r="A138" s="839"/>
      <c r="B138" s="496" t="s">
        <v>308</v>
      </c>
      <c r="C138" s="39" t="s">
        <v>1367</v>
      </c>
      <c r="D138" s="39" t="s">
        <v>1071</v>
      </c>
      <c r="E138" s="39" t="s">
        <v>1368</v>
      </c>
      <c r="F138" s="39" t="s">
        <v>1073</v>
      </c>
      <c r="G138" s="39" t="s">
        <v>1369</v>
      </c>
      <c r="H138" s="39" t="s">
        <v>1136</v>
      </c>
    </row>
    <row r="139" spans="1:8" ht="31.2" x14ac:dyDescent="0.25">
      <c r="A139" s="839"/>
      <c r="B139" s="509" t="s">
        <v>1218</v>
      </c>
      <c r="C139" s="515">
        <f>C99+C119</f>
        <v>0</v>
      </c>
      <c r="D139" s="515">
        <f t="shared" ref="D139:H139" si="17">D99+D119</f>
        <v>0</v>
      </c>
      <c r="E139" s="515">
        <f t="shared" si="17"/>
        <v>0</v>
      </c>
      <c r="F139" s="515">
        <f t="shared" si="17"/>
        <v>0</v>
      </c>
      <c r="G139" s="515">
        <f>G99+G119</f>
        <v>0</v>
      </c>
      <c r="H139" s="515">
        <f t="shared" si="17"/>
        <v>0</v>
      </c>
    </row>
    <row r="140" spans="1:8" ht="15.6" x14ac:dyDescent="0.25">
      <c r="A140" s="839"/>
      <c r="B140" s="510" t="s">
        <v>322</v>
      </c>
      <c r="C140" s="515">
        <f t="shared" ref="C140:H140" si="18">C100+C120</f>
        <v>0</v>
      </c>
      <c r="D140" s="515">
        <f t="shared" si="18"/>
        <v>0</v>
      </c>
      <c r="E140" s="515">
        <f t="shared" si="18"/>
        <v>0</v>
      </c>
      <c r="F140" s="515">
        <f t="shared" si="18"/>
        <v>0</v>
      </c>
      <c r="G140" s="515">
        <f t="shared" si="18"/>
        <v>0</v>
      </c>
      <c r="H140" s="515">
        <f t="shared" si="18"/>
        <v>0</v>
      </c>
    </row>
    <row r="141" spans="1:8" ht="15.6" x14ac:dyDescent="0.25">
      <c r="A141" s="839"/>
      <c r="B141" s="510" t="s">
        <v>1228</v>
      </c>
      <c r="C141" s="515">
        <f>C101+C121</f>
        <v>0</v>
      </c>
      <c r="D141" s="515">
        <f t="shared" ref="D141:H141" si="19">D101+D121</f>
        <v>0</v>
      </c>
      <c r="E141" s="515">
        <f t="shared" si="19"/>
        <v>0</v>
      </c>
      <c r="F141" s="515">
        <f t="shared" si="19"/>
        <v>0</v>
      </c>
      <c r="G141" s="515">
        <f t="shared" si="19"/>
        <v>0</v>
      </c>
      <c r="H141" s="515">
        <f t="shared" si="19"/>
        <v>0</v>
      </c>
    </row>
    <row r="142" spans="1:8" ht="15.6" x14ac:dyDescent="0.25">
      <c r="A142" s="839"/>
      <c r="B142" s="510" t="s">
        <v>1234</v>
      </c>
      <c r="C142" s="515">
        <f t="shared" ref="C142:H142" si="20">C102+C122</f>
        <v>0</v>
      </c>
      <c r="D142" s="515">
        <f t="shared" si="20"/>
        <v>0</v>
      </c>
      <c r="E142" s="515">
        <f t="shared" si="20"/>
        <v>0</v>
      </c>
      <c r="F142" s="515">
        <f t="shared" si="20"/>
        <v>0</v>
      </c>
      <c r="G142" s="515">
        <f t="shared" si="20"/>
        <v>0</v>
      </c>
      <c r="H142" s="515">
        <f t="shared" si="20"/>
        <v>0</v>
      </c>
    </row>
    <row r="143" spans="1:8" ht="15.6" x14ac:dyDescent="0.25">
      <c r="A143" s="839"/>
      <c r="B143" s="510" t="s">
        <v>323</v>
      </c>
      <c r="C143" s="515">
        <f t="shared" ref="C143:H143" si="21">C103+C123</f>
        <v>0</v>
      </c>
      <c r="D143" s="515">
        <f t="shared" si="21"/>
        <v>0</v>
      </c>
      <c r="E143" s="515">
        <f t="shared" si="21"/>
        <v>0</v>
      </c>
      <c r="F143" s="515">
        <f t="shared" si="21"/>
        <v>0</v>
      </c>
      <c r="G143" s="515">
        <f t="shared" si="21"/>
        <v>0</v>
      </c>
      <c r="H143" s="515">
        <f t="shared" si="21"/>
        <v>0</v>
      </c>
    </row>
    <row r="144" spans="1:8" ht="15.6" x14ac:dyDescent="0.25">
      <c r="A144" s="839"/>
      <c r="B144" s="510" t="s">
        <v>1239</v>
      </c>
      <c r="C144" s="515">
        <f t="shared" ref="C144:H144" si="22">C104+C124</f>
        <v>0</v>
      </c>
      <c r="D144" s="515">
        <f t="shared" si="22"/>
        <v>0</v>
      </c>
      <c r="E144" s="515">
        <f t="shared" si="22"/>
        <v>0</v>
      </c>
      <c r="F144" s="515">
        <f t="shared" si="22"/>
        <v>0</v>
      </c>
      <c r="G144" s="515">
        <f t="shared" si="22"/>
        <v>0</v>
      </c>
      <c r="H144" s="515">
        <f t="shared" si="22"/>
        <v>0</v>
      </c>
    </row>
    <row r="145" spans="1:12" ht="15.6" x14ac:dyDescent="0.25">
      <c r="A145" s="839"/>
      <c r="B145" s="510" t="s">
        <v>325</v>
      </c>
      <c r="C145" s="515">
        <f t="shared" ref="C145:H145" si="23">C105+C125</f>
        <v>0</v>
      </c>
      <c r="D145" s="515">
        <f t="shared" si="23"/>
        <v>0</v>
      </c>
      <c r="E145" s="515">
        <f t="shared" si="23"/>
        <v>0</v>
      </c>
      <c r="F145" s="515">
        <f t="shared" si="23"/>
        <v>0</v>
      </c>
      <c r="G145" s="515">
        <f t="shared" si="23"/>
        <v>0</v>
      </c>
      <c r="H145" s="515">
        <f t="shared" si="23"/>
        <v>0</v>
      </c>
    </row>
    <row r="146" spans="1:12" ht="15.6" x14ac:dyDescent="0.25">
      <c r="A146" s="839"/>
      <c r="B146" s="510" t="s">
        <v>327</v>
      </c>
      <c r="C146" s="515">
        <f t="shared" ref="C146:H146" si="24">C106+C126</f>
        <v>0</v>
      </c>
      <c r="D146" s="515">
        <f t="shared" si="24"/>
        <v>0</v>
      </c>
      <c r="E146" s="515">
        <f t="shared" si="24"/>
        <v>0</v>
      </c>
      <c r="F146" s="515">
        <f t="shared" si="24"/>
        <v>0</v>
      </c>
      <c r="G146" s="515">
        <f t="shared" si="24"/>
        <v>0</v>
      </c>
      <c r="H146" s="515">
        <f t="shared" si="24"/>
        <v>0</v>
      </c>
    </row>
    <row r="147" spans="1:12" ht="15.6" x14ac:dyDescent="0.25">
      <c r="A147" s="839"/>
      <c r="B147" s="505" t="s">
        <v>326</v>
      </c>
      <c r="C147" s="515">
        <f t="shared" ref="C147:H147" si="25">C107+C127</f>
        <v>0</v>
      </c>
      <c r="D147" s="515">
        <f t="shared" si="25"/>
        <v>0</v>
      </c>
      <c r="E147" s="515">
        <f t="shared" si="25"/>
        <v>0</v>
      </c>
      <c r="F147" s="515">
        <f t="shared" si="25"/>
        <v>0</v>
      </c>
      <c r="G147" s="515">
        <f t="shared" si="25"/>
        <v>0</v>
      </c>
      <c r="H147" s="515">
        <f t="shared" si="25"/>
        <v>0</v>
      </c>
    </row>
    <row r="148" spans="1:12" ht="15.6" x14ac:dyDescent="0.25">
      <c r="A148" s="839"/>
      <c r="B148" s="505" t="s">
        <v>324</v>
      </c>
      <c r="C148" s="515">
        <f t="shared" ref="C148:H148" si="26">C108+C128</f>
        <v>0</v>
      </c>
      <c r="D148" s="515">
        <f t="shared" si="26"/>
        <v>0</v>
      </c>
      <c r="E148" s="515">
        <f t="shared" si="26"/>
        <v>0</v>
      </c>
      <c r="F148" s="515">
        <f t="shared" si="26"/>
        <v>0</v>
      </c>
      <c r="G148" s="515">
        <f t="shared" si="26"/>
        <v>0</v>
      </c>
      <c r="H148" s="515">
        <f t="shared" si="26"/>
        <v>0</v>
      </c>
    </row>
    <row r="149" spans="1:12" ht="15.6" x14ac:dyDescent="0.25">
      <c r="A149" s="839"/>
      <c r="B149" s="505" t="s">
        <v>1224</v>
      </c>
      <c r="C149" s="515">
        <f t="shared" ref="C149:H149" si="27">C109+C129</f>
        <v>0</v>
      </c>
      <c r="D149" s="515">
        <f t="shared" si="27"/>
        <v>0</v>
      </c>
      <c r="E149" s="515">
        <f t="shared" si="27"/>
        <v>0</v>
      </c>
      <c r="F149" s="515">
        <f t="shared" si="27"/>
        <v>0</v>
      </c>
      <c r="G149" s="515">
        <f t="shared" si="27"/>
        <v>0</v>
      </c>
      <c r="H149" s="515">
        <f t="shared" si="27"/>
        <v>0</v>
      </c>
    </row>
    <row r="150" spans="1:12" ht="15.6" x14ac:dyDescent="0.25">
      <c r="A150" s="839"/>
      <c r="B150" s="505" t="s">
        <v>1244</v>
      </c>
      <c r="C150" s="515">
        <f t="shared" ref="C150:H150" si="28">C110+C130</f>
        <v>0</v>
      </c>
      <c r="D150" s="515">
        <f t="shared" si="28"/>
        <v>0</v>
      </c>
      <c r="E150" s="515">
        <f t="shared" si="28"/>
        <v>0</v>
      </c>
      <c r="F150" s="515">
        <f t="shared" si="28"/>
        <v>0</v>
      </c>
      <c r="G150" s="515">
        <f t="shared" si="28"/>
        <v>0</v>
      </c>
      <c r="H150" s="515">
        <f t="shared" si="28"/>
        <v>0</v>
      </c>
    </row>
    <row r="151" spans="1:12" ht="15.6" x14ac:dyDescent="0.25">
      <c r="A151" s="839"/>
      <c r="B151" s="505" t="s">
        <v>1226</v>
      </c>
      <c r="C151" s="515">
        <f t="shared" ref="C151:H151" si="29">C111+C131</f>
        <v>3.6999999999999998E-2</v>
      </c>
      <c r="D151" s="515">
        <f t="shared" si="29"/>
        <v>3.6999999999999998E-2</v>
      </c>
      <c r="E151" s="515">
        <f t="shared" si="29"/>
        <v>1.296</v>
      </c>
      <c r="F151" s="515">
        <f t="shared" si="29"/>
        <v>1.25064</v>
      </c>
      <c r="G151" s="515">
        <f t="shared" si="29"/>
        <v>1.2590000000000001</v>
      </c>
      <c r="H151" s="515">
        <f t="shared" si="29"/>
        <v>1.2136400000000001</v>
      </c>
    </row>
    <row r="152" spans="1:12" x14ac:dyDescent="0.25">
      <c r="A152" s="839"/>
    </row>
    <row r="153" spans="1:12" ht="14.4" thickBot="1" x14ac:dyDescent="0.3">
      <c r="A153" s="840"/>
    </row>
    <row r="154" spans="1:12" s="507" customFormat="1" ht="31.95" customHeight="1" thickTop="1" x14ac:dyDescent="0.25">
      <c r="A154" s="841" t="s">
        <v>1459</v>
      </c>
    </row>
    <row r="155" spans="1:12" ht="14.4" thickBot="1" x14ac:dyDescent="0.3">
      <c r="A155" s="842"/>
    </row>
    <row r="156" spans="1:12" ht="25.8" thickBot="1" x14ac:dyDescent="0.5">
      <c r="A156" s="842"/>
      <c r="B156" s="867" t="s">
        <v>1373</v>
      </c>
      <c r="C156" s="868"/>
      <c r="D156" s="869"/>
    </row>
    <row r="157" spans="1:12" x14ac:dyDescent="0.25">
      <c r="A157" s="842"/>
    </row>
    <row r="158" spans="1:12" ht="14.4" thickBot="1" x14ac:dyDescent="0.3">
      <c r="A158" s="842"/>
    </row>
    <row r="159" spans="1:12" ht="18" thickBot="1" x14ac:dyDescent="0.35">
      <c r="A159" s="842"/>
      <c r="B159" s="847" t="s">
        <v>1374</v>
      </c>
      <c r="C159" s="847"/>
      <c r="D159" s="847"/>
      <c r="E159" s="847"/>
      <c r="F159" s="847"/>
      <c r="G159" s="847"/>
      <c r="H159" s="847"/>
      <c r="J159" s="851" t="s">
        <v>1436</v>
      </c>
      <c r="K159" s="852"/>
      <c r="L159" s="853"/>
    </row>
    <row r="160" spans="1:12" ht="16.2" thickBot="1" x14ac:dyDescent="0.3">
      <c r="A160" s="842"/>
      <c r="B160" s="39"/>
      <c r="C160" s="830" t="s">
        <v>1131</v>
      </c>
      <c r="D160" s="830"/>
      <c r="E160" s="830" t="s">
        <v>1076</v>
      </c>
      <c r="F160" s="830"/>
      <c r="G160" s="830" t="s">
        <v>1132</v>
      </c>
      <c r="H160" s="830"/>
      <c r="J160" s="854"/>
      <c r="K160" s="855"/>
      <c r="L160" s="856"/>
    </row>
    <row r="161" spans="1:12" ht="31.8" thickBot="1" x14ac:dyDescent="0.3">
      <c r="A161" s="842"/>
      <c r="B161" s="496" t="s">
        <v>799</v>
      </c>
      <c r="C161" s="39" t="s">
        <v>1367</v>
      </c>
      <c r="D161" s="39" t="s">
        <v>1071</v>
      </c>
      <c r="E161" s="39" t="s">
        <v>1368</v>
      </c>
      <c r="F161" s="39" t="s">
        <v>1073</v>
      </c>
      <c r="G161" s="39" t="s">
        <v>1369</v>
      </c>
      <c r="H161" s="39" t="s">
        <v>1136</v>
      </c>
      <c r="J161" s="857" t="s">
        <v>343</v>
      </c>
      <c r="K161" s="859" t="s">
        <v>1435</v>
      </c>
      <c r="L161" s="861" t="s">
        <v>1462</v>
      </c>
    </row>
    <row r="162" spans="1:12" ht="15.6" x14ac:dyDescent="0.25">
      <c r="A162" s="842"/>
      <c r="B162" s="502" t="s">
        <v>1192</v>
      </c>
      <c r="C162" s="48">
        <f>'G-2 Habitat groups'!E169</f>
        <v>0</v>
      </c>
      <c r="D162" s="48">
        <f>'G-2 Habitat groups'!F169</f>
        <v>0</v>
      </c>
      <c r="E162" s="48">
        <f>'G-2 Habitat groups'!O169</f>
        <v>0</v>
      </c>
      <c r="F162" s="48">
        <f>'G-2 Habitat groups'!P169</f>
        <v>0</v>
      </c>
      <c r="G162" s="48">
        <f>E162-C162</f>
        <v>0</v>
      </c>
      <c r="H162" s="48">
        <f t="shared" ref="H162" si="30">F162-D162</f>
        <v>0</v>
      </c>
      <c r="J162" s="858"/>
      <c r="K162" s="860"/>
      <c r="L162" s="862"/>
    </row>
    <row r="163" spans="1:12" ht="15.6" x14ac:dyDescent="0.25">
      <c r="A163" s="842"/>
      <c r="B163" s="503" t="s">
        <v>1194</v>
      </c>
      <c r="C163" s="48">
        <f>'G-2 Habitat groups'!E170</f>
        <v>0</v>
      </c>
      <c r="D163" s="48">
        <f>'G-2 Habitat groups'!F170</f>
        <v>0</v>
      </c>
      <c r="E163" s="48">
        <f>'G-2 Habitat groups'!O170</f>
        <v>0</v>
      </c>
      <c r="F163" s="48">
        <f>'G-2 Habitat groups'!P170</f>
        <v>0</v>
      </c>
      <c r="G163" s="48">
        <f t="shared" ref="G163:G166" si="31">E163-C163</f>
        <v>0</v>
      </c>
      <c r="H163" s="48">
        <f t="shared" ref="H163:H166" si="32">F163-D163</f>
        <v>0</v>
      </c>
      <c r="J163" s="843" t="str">
        <f>'G-1 All Habitats'!$V$3</f>
        <v>V.High</v>
      </c>
      <c r="K163" s="845">
        <f>SUMIF('C-1 Site River Baseline'!$F$10:$F$257,'Detailed Results'!J163,'C-1 Site River Baseline'!$X$10:$X$257)+SUMIF('F-1 Off Site River Baseline'!$F$10:$F$257,'Detailed Results'!J163,'F-1 Off Site River Baseline'!$X$10:$X$257)</f>
        <v>0</v>
      </c>
      <c r="L163" s="849" t="str">
        <f>IF(K163=0,"",(K163/(SUM($K$100:$K$109)))*100)</f>
        <v/>
      </c>
    </row>
    <row r="164" spans="1:12" ht="15.6" x14ac:dyDescent="0.25">
      <c r="A164" s="842"/>
      <c r="B164" s="503" t="s">
        <v>1295</v>
      </c>
      <c r="C164" s="48">
        <f>'G-2 Habitat groups'!E171</f>
        <v>0</v>
      </c>
      <c r="D164" s="48">
        <f>'G-2 Habitat groups'!F171</f>
        <v>0</v>
      </c>
      <c r="E164" s="48">
        <f>'G-2 Habitat groups'!O171</f>
        <v>0</v>
      </c>
      <c r="F164" s="48">
        <f>'G-2 Habitat groups'!P171</f>
        <v>0</v>
      </c>
      <c r="G164" s="48">
        <f t="shared" si="31"/>
        <v>0</v>
      </c>
      <c r="H164" s="48">
        <f t="shared" si="32"/>
        <v>0</v>
      </c>
      <c r="J164" s="844"/>
      <c r="K164" s="846"/>
      <c r="L164" s="850"/>
    </row>
    <row r="165" spans="1:12" ht="15.6" x14ac:dyDescent="0.25">
      <c r="A165" s="842"/>
      <c r="B165" s="503" t="s">
        <v>957</v>
      </c>
      <c r="C165" s="48">
        <f>'G-2 Habitat groups'!E172</f>
        <v>0</v>
      </c>
      <c r="D165" s="48">
        <f>'G-2 Habitat groups'!F172</f>
        <v>0</v>
      </c>
      <c r="E165" s="48">
        <f>'G-2 Habitat groups'!O172</f>
        <v>0</v>
      </c>
      <c r="F165" s="48">
        <f>'G-2 Habitat groups'!P172</f>
        <v>0</v>
      </c>
      <c r="G165" s="48">
        <f t="shared" si="31"/>
        <v>0</v>
      </c>
      <c r="H165" s="48">
        <f t="shared" si="32"/>
        <v>0</v>
      </c>
      <c r="J165" s="843" t="str">
        <f>'G-1 All Habitats'!$V$4</f>
        <v>High</v>
      </c>
      <c r="K165" s="845">
        <f>SUMIF('C-1 Site River Baseline'!$F$10:$F$257,'Detailed Results'!J165,'C-1 Site River Baseline'!$X$10:$X$257)+SUMIF('F-1 Off Site River Baseline'!$F$10:$F$257,'Detailed Results'!J165,'F-1 Off Site River Baseline'!$X$10:$X$257)</f>
        <v>0</v>
      </c>
      <c r="L165" s="849" t="str">
        <f t="shared" ref="L165" si="33">IF(K165=0,"",(K165/(SUM($K$100:$K$109)))*100)</f>
        <v/>
      </c>
    </row>
    <row r="166" spans="1:12" ht="15.6" x14ac:dyDescent="0.25">
      <c r="A166" s="842"/>
      <c r="B166" s="503" t="s">
        <v>1197</v>
      </c>
      <c r="C166" s="48">
        <f>'G-2 Habitat groups'!E173</f>
        <v>0</v>
      </c>
      <c r="D166" s="48">
        <f>'G-2 Habitat groups'!F173</f>
        <v>0</v>
      </c>
      <c r="E166" s="48">
        <f>'G-2 Habitat groups'!O173</f>
        <v>0</v>
      </c>
      <c r="F166" s="48">
        <f>'G-2 Habitat groups'!P173</f>
        <v>0</v>
      </c>
      <c r="G166" s="48">
        <f t="shared" si="31"/>
        <v>0</v>
      </c>
      <c r="H166" s="48">
        <f t="shared" si="32"/>
        <v>0</v>
      </c>
      <c r="J166" s="844"/>
      <c r="K166" s="846"/>
      <c r="L166" s="850"/>
    </row>
    <row r="167" spans="1:12" x14ac:dyDescent="0.25">
      <c r="A167" s="842"/>
      <c r="J167" s="843" t="str">
        <f>'G-1 All Habitats'!$V$5</f>
        <v>Medium</v>
      </c>
      <c r="K167" s="845">
        <f>SUMIF('C-1 Site River Baseline'!$F$10:$F$257,'Detailed Results'!J167,'C-1 Site River Baseline'!$X$10:$X$257)+SUMIF('F-1 Off Site River Baseline'!$F$10:$F$257,'Detailed Results'!J167,'F-1 Off Site River Baseline'!$X$10:$X$257)</f>
        <v>0</v>
      </c>
      <c r="L167" s="849" t="str">
        <f t="shared" ref="L167" si="34">IF(K167=0,"",(K167/(SUM($K$100:$K$109)))*100)</f>
        <v/>
      </c>
    </row>
    <row r="168" spans="1:12" x14ac:dyDescent="0.25">
      <c r="A168" s="842"/>
      <c r="J168" s="844"/>
      <c r="K168" s="846"/>
      <c r="L168" s="850"/>
    </row>
    <row r="169" spans="1:12" x14ac:dyDescent="0.25">
      <c r="A169" s="842"/>
      <c r="J169" s="843" t="str">
        <f>'G-1 All Habitats'!$V$6</f>
        <v>Low</v>
      </c>
      <c r="K169" s="845">
        <f>SUMIF('C-1 Site River Baseline'!$F$10:$F$257,'Detailed Results'!J169,'C-1 Site River Baseline'!$X$10:$X$257)+SUMIF('F-1 Off Site River Baseline'!$F$10:$F$257,'Detailed Results'!J169,'F-1 Off Site River Baseline'!$X$10:$X$257)</f>
        <v>0</v>
      </c>
      <c r="L169" s="849" t="str">
        <f t="shared" ref="L169" si="35">IF(K169=0,"",(K169/(SUM($K$100:$K$109)))*100)</f>
        <v/>
      </c>
    </row>
    <row r="170" spans="1:12" x14ac:dyDescent="0.25">
      <c r="A170" s="842"/>
      <c r="J170" s="844"/>
      <c r="K170" s="846"/>
      <c r="L170" s="850"/>
    </row>
    <row r="171" spans="1:12" x14ac:dyDescent="0.25">
      <c r="A171" s="842"/>
    </row>
    <row r="172" spans="1:12" x14ac:dyDescent="0.25">
      <c r="A172" s="842"/>
    </row>
    <row r="173" spans="1:12" x14ac:dyDescent="0.25">
      <c r="A173" s="842"/>
    </row>
    <row r="174" spans="1:12" x14ac:dyDescent="0.25">
      <c r="A174" s="842"/>
    </row>
    <row r="175" spans="1:12" x14ac:dyDescent="0.25">
      <c r="A175" s="842"/>
    </row>
    <row r="176" spans="1:12" x14ac:dyDescent="0.25">
      <c r="A176" s="842"/>
    </row>
    <row r="177" spans="1:8" x14ac:dyDescent="0.25">
      <c r="A177" s="842"/>
    </row>
    <row r="178" spans="1:8" ht="14.4" thickBot="1" x14ac:dyDescent="0.3">
      <c r="A178" s="842"/>
    </row>
    <row r="179" spans="1:8" ht="18" thickBot="1" x14ac:dyDescent="0.35">
      <c r="A179" s="842"/>
      <c r="B179" s="847" t="s">
        <v>1375</v>
      </c>
      <c r="C179" s="847"/>
      <c r="D179" s="847"/>
      <c r="E179" s="847"/>
      <c r="F179" s="847"/>
      <c r="G179" s="847"/>
      <c r="H179" s="847"/>
    </row>
    <row r="180" spans="1:8" ht="16.2" thickBot="1" x14ac:dyDescent="0.3">
      <c r="A180" s="842"/>
      <c r="B180" s="39"/>
      <c r="C180" s="830" t="s">
        <v>1131</v>
      </c>
      <c r="D180" s="830"/>
      <c r="E180" s="830" t="s">
        <v>1452</v>
      </c>
      <c r="F180" s="830"/>
      <c r="G180" s="830" t="s">
        <v>1134</v>
      </c>
      <c r="H180" s="830"/>
    </row>
    <row r="181" spans="1:8" ht="47.4" thickBot="1" x14ac:dyDescent="0.3">
      <c r="A181" s="842"/>
      <c r="B181" s="496" t="s">
        <v>799</v>
      </c>
      <c r="C181" s="39" t="s">
        <v>1442</v>
      </c>
      <c r="D181" s="39" t="s">
        <v>1443</v>
      </c>
      <c r="E181" s="39" t="s">
        <v>1444</v>
      </c>
      <c r="F181" s="39" t="s">
        <v>1445</v>
      </c>
      <c r="G181" s="39" t="s">
        <v>1446</v>
      </c>
      <c r="H181" s="39" t="s">
        <v>1383</v>
      </c>
    </row>
    <row r="182" spans="1:8" ht="15.6" x14ac:dyDescent="0.25">
      <c r="A182" s="842"/>
      <c r="B182" s="502" t="s">
        <v>1192</v>
      </c>
      <c r="C182" s="48">
        <f>'G-2 Habitat groups'!S169</f>
        <v>0</v>
      </c>
      <c r="D182" s="48">
        <f>'G-2 Habitat groups'!T169</f>
        <v>0</v>
      </c>
      <c r="E182" s="48">
        <f>'G-2 Habitat groups'!AA169</f>
        <v>0</v>
      </c>
      <c r="F182" s="48">
        <f>'G-2 Habitat groups'!AB210</f>
        <v>0</v>
      </c>
      <c r="G182" s="48">
        <f t="shared" ref="G182:G186" si="36">E182-C182</f>
        <v>0</v>
      </c>
      <c r="H182" s="48">
        <f t="shared" ref="H182:H186" si="37">F182-D182</f>
        <v>0</v>
      </c>
    </row>
    <row r="183" spans="1:8" ht="15.6" x14ac:dyDescent="0.25">
      <c r="A183" s="842"/>
      <c r="B183" s="503" t="s">
        <v>1194</v>
      </c>
      <c r="C183" s="48">
        <f>'G-2 Habitat groups'!S170</f>
        <v>0</v>
      </c>
      <c r="D183" s="48">
        <f>'G-2 Habitat groups'!T170</f>
        <v>0</v>
      </c>
      <c r="E183" s="48">
        <f>'G-2 Habitat groups'!AA170</f>
        <v>0</v>
      </c>
      <c r="F183" s="48">
        <f>'G-2 Habitat groups'!AB211</f>
        <v>0</v>
      </c>
      <c r="G183" s="48">
        <f t="shared" si="36"/>
        <v>0</v>
      </c>
      <c r="H183" s="48">
        <f t="shared" si="37"/>
        <v>0</v>
      </c>
    </row>
    <row r="184" spans="1:8" ht="15.6" x14ac:dyDescent="0.25">
      <c r="A184" s="842"/>
      <c r="B184" s="503" t="s">
        <v>1295</v>
      </c>
      <c r="C184" s="48">
        <f>'G-2 Habitat groups'!S171</f>
        <v>0</v>
      </c>
      <c r="D184" s="48">
        <f>'G-2 Habitat groups'!T171</f>
        <v>0</v>
      </c>
      <c r="E184" s="48">
        <f>'G-2 Habitat groups'!AA171</f>
        <v>0</v>
      </c>
      <c r="F184" s="48">
        <f>'G-2 Habitat groups'!AB212</f>
        <v>0</v>
      </c>
      <c r="G184" s="48">
        <f t="shared" si="36"/>
        <v>0</v>
      </c>
      <c r="H184" s="48">
        <f t="shared" si="37"/>
        <v>0</v>
      </c>
    </row>
    <row r="185" spans="1:8" ht="15.6" x14ac:dyDescent="0.25">
      <c r="A185" s="842"/>
      <c r="B185" s="503" t="s">
        <v>957</v>
      </c>
      <c r="C185" s="48">
        <f>'G-2 Habitat groups'!S172</f>
        <v>0</v>
      </c>
      <c r="D185" s="48">
        <f>'G-2 Habitat groups'!T172</f>
        <v>0</v>
      </c>
      <c r="E185" s="48">
        <f>'G-2 Habitat groups'!AA172</f>
        <v>0</v>
      </c>
      <c r="F185" s="48">
        <f>'G-2 Habitat groups'!AB213</f>
        <v>0</v>
      </c>
      <c r="G185" s="48">
        <f t="shared" si="36"/>
        <v>0</v>
      </c>
      <c r="H185" s="48">
        <f t="shared" si="37"/>
        <v>0</v>
      </c>
    </row>
    <row r="186" spans="1:8" ht="15.6" x14ac:dyDescent="0.25">
      <c r="A186" s="842"/>
      <c r="B186" s="503" t="s">
        <v>1197</v>
      </c>
      <c r="C186" s="48">
        <f>'G-2 Habitat groups'!S173</f>
        <v>0</v>
      </c>
      <c r="D186" s="48">
        <f>'G-2 Habitat groups'!T173</f>
        <v>0</v>
      </c>
      <c r="E186" s="48">
        <f>'G-2 Habitat groups'!AA173</f>
        <v>0</v>
      </c>
      <c r="F186" s="48">
        <f>'G-2 Habitat groups'!AB214</f>
        <v>0</v>
      </c>
      <c r="G186" s="48">
        <f t="shared" si="36"/>
        <v>0</v>
      </c>
      <c r="H186" s="48">
        <f t="shared" si="37"/>
        <v>0</v>
      </c>
    </row>
    <row r="187" spans="1:8" x14ac:dyDescent="0.25">
      <c r="A187" s="842"/>
      <c r="B187" s="44"/>
      <c r="C187" s="44"/>
      <c r="D187" s="44"/>
      <c r="E187" s="44"/>
      <c r="F187" s="44"/>
      <c r="G187" s="44"/>
      <c r="H187" s="44"/>
    </row>
    <row r="188" spans="1:8" x14ac:dyDescent="0.25">
      <c r="A188" s="842"/>
      <c r="B188" s="44"/>
      <c r="C188" s="44"/>
      <c r="D188" s="44"/>
      <c r="E188" s="44"/>
      <c r="F188" s="44"/>
      <c r="G188" s="44"/>
      <c r="H188" s="44"/>
    </row>
    <row r="189" spans="1:8" x14ac:dyDescent="0.25">
      <c r="A189" s="842"/>
      <c r="B189" s="44"/>
      <c r="C189" s="44"/>
      <c r="D189" s="44"/>
      <c r="E189" s="44"/>
      <c r="F189" s="44"/>
      <c r="G189" s="44"/>
      <c r="H189" s="44"/>
    </row>
    <row r="190" spans="1:8" x14ac:dyDescent="0.25">
      <c r="A190" s="842"/>
      <c r="B190" s="44"/>
      <c r="C190" s="44"/>
      <c r="D190" s="44"/>
      <c r="E190" s="44"/>
      <c r="F190" s="44"/>
      <c r="G190" s="44"/>
      <c r="H190" s="44"/>
    </row>
    <row r="191" spans="1:8" x14ac:dyDescent="0.25">
      <c r="A191" s="842"/>
      <c r="B191" s="44"/>
      <c r="C191" s="44"/>
      <c r="D191" s="44"/>
      <c r="E191" s="44"/>
      <c r="F191" s="44"/>
      <c r="G191" s="44"/>
      <c r="H191" s="44"/>
    </row>
    <row r="192" spans="1:8" x14ac:dyDescent="0.25">
      <c r="A192" s="842"/>
      <c r="B192" s="44"/>
      <c r="C192" s="44"/>
      <c r="D192" s="44"/>
      <c r="E192" s="44"/>
      <c r="F192" s="44"/>
      <c r="G192" s="44"/>
      <c r="H192" s="44"/>
    </row>
    <row r="193" spans="1:8" x14ac:dyDescent="0.25">
      <c r="A193" s="842"/>
      <c r="B193" s="44"/>
      <c r="C193" s="44"/>
      <c r="D193" s="44"/>
      <c r="E193" s="44"/>
      <c r="F193" s="44"/>
      <c r="G193" s="44"/>
      <c r="H193" s="44"/>
    </row>
    <row r="194" spans="1:8" x14ac:dyDescent="0.25">
      <c r="A194" s="842"/>
      <c r="B194" s="44"/>
      <c r="C194" s="44"/>
      <c r="D194" s="44"/>
      <c r="E194" s="44"/>
      <c r="F194" s="44"/>
      <c r="G194" s="44"/>
      <c r="H194" s="44"/>
    </row>
    <row r="195" spans="1:8" x14ac:dyDescent="0.25">
      <c r="A195" s="842"/>
      <c r="B195" s="44"/>
      <c r="C195" s="44"/>
    </row>
    <row r="196" spans="1:8" x14ac:dyDescent="0.25">
      <c r="A196" s="842"/>
      <c r="B196" s="44"/>
      <c r="C196" s="44"/>
    </row>
    <row r="197" spans="1:8" x14ac:dyDescent="0.25">
      <c r="A197" s="842"/>
      <c r="B197" s="44"/>
      <c r="C197" s="44"/>
    </row>
    <row r="198" spans="1:8" ht="14.4" thickBot="1" x14ac:dyDescent="0.3">
      <c r="A198" s="842"/>
      <c r="B198" s="44"/>
      <c r="C198" s="44"/>
    </row>
    <row r="199" spans="1:8" ht="18" thickBot="1" x14ac:dyDescent="0.35">
      <c r="A199" s="842"/>
      <c r="B199" s="847" t="s">
        <v>1376</v>
      </c>
      <c r="C199" s="847"/>
      <c r="D199" s="847"/>
      <c r="E199" s="847"/>
      <c r="F199" s="847"/>
      <c r="G199" s="847"/>
      <c r="H199" s="847"/>
    </row>
    <row r="200" spans="1:8" ht="16.2" thickBot="1" x14ac:dyDescent="0.3">
      <c r="A200" s="842"/>
      <c r="B200" s="39"/>
      <c r="C200" s="830" t="s">
        <v>1131</v>
      </c>
      <c r="D200" s="830"/>
      <c r="E200" s="830" t="s">
        <v>1076</v>
      </c>
      <c r="F200" s="830"/>
      <c r="G200" s="830" t="s">
        <v>1132</v>
      </c>
      <c r="H200" s="830"/>
    </row>
    <row r="201" spans="1:8" ht="31.8" thickBot="1" x14ac:dyDescent="0.3">
      <c r="A201" s="842"/>
      <c r="B201" s="496" t="s">
        <v>799</v>
      </c>
      <c r="C201" s="39" t="s">
        <v>1367</v>
      </c>
      <c r="D201" s="39" t="s">
        <v>1071</v>
      </c>
      <c r="E201" s="39" t="s">
        <v>1368</v>
      </c>
      <c r="F201" s="39" t="s">
        <v>1073</v>
      </c>
      <c r="G201" s="39" t="s">
        <v>1369</v>
      </c>
      <c r="H201" s="39" t="s">
        <v>1136</v>
      </c>
    </row>
    <row r="202" spans="1:8" ht="15.6" x14ac:dyDescent="0.25">
      <c r="A202" s="842"/>
      <c r="B202" s="502" t="s">
        <v>1192</v>
      </c>
      <c r="C202" s="48">
        <f>C162+C182</f>
        <v>0</v>
      </c>
      <c r="D202" s="48">
        <f t="shared" ref="D202:H202" si="38">D162+D182</f>
        <v>0</v>
      </c>
      <c r="E202" s="48">
        <f t="shared" si="38"/>
        <v>0</v>
      </c>
      <c r="F202" s="48">
        <f t="shared" si="38"/>
        <v>0</v>
      </c>
      <c r="G202" s="48">
        <f t="shared" si="38"/>
        <v>0</v>
      </c>
      <c r="H202" s="48">
        <f t="shared" si="38"/>
        <v>0</v>
      </c>
    </row>
    <row r="203" spans="1:8" ht="15.6" x14ac:dyDescent="0.25">
      <c r="A203" s="842"/>
      <c r="B203" s="503" t="s">
        <v>1194</v>
      </c>
      <c r="C203" s="48">
        <f>C163+C183</f>
        <v>0</v>
      </c>
      <c r="D203" s="48">
        <f t="shared" ref="D203:H203" si="39">D163+D183</f>
        <v>0</v>
      </c>
      <c r="E203" s="48">
        <f t="shared" si="39"/>
        <v>0</v>
      </c>
      <c r="F203" s="48">
        <f t="shared" si="39"/>
        <v>0</v>
      </c>
      <c r="G203" s="48">
        <f t="shared" si="39"/>
        <v>0</v>
      </c>
      <c r="H203" s="48">
        <f t="shared" si="39"/>
        <v>0</v>
      </c>
    </row>
    <row r="204" spans="1:8" ht="15.6" x14ac:dyDescent="0.25">
      <c r="A204" s="842"/>
      <c r="B204" s="503" t="s">
        <v>1295</v>
      </c>
      <c r="C204" s="48">
        <f t="shared" ref="C204:H204" si="40">C164+C184</f>
        <v>0</v>
      </c>
      <c r="D204" s="48">
        <f t="shared" si="40"/>
        <v>0</v>
      </c>
      <c r="E204" s="48">
        <f t="shared" si="40"/>
        <v>0</v>
      </c>
      <c r="F204" s="48">
        <f t="shared" si="40"/>
        <v>0</v>
      </c>
      <c r="G204" s="48">
        <f t="shared" si="40"/>
        <v>0</v>
      </c>
      <c r="H204" s="48">
        <f t="shared" si="40"/>
        <v>0</v>
      </c>
    </row>
    <row r="205" spans="1:8" ht="15.6" x14ac:dyDescent="0.25">
      <c r="A205" s="842"/>
      <c r="B205" s="503" t="s">
        <v>957</v>
      </c>
      <c r="C205" s="48">
        <f t="shared" ref="C205:H205" si="41">C165+C185</f>
        <v>0</v>
      </c>
      <c r="D205" s="48">
        <f t="shared" si="41"/>
        <v>0</v>
      </c>
      <c r="E205" s="48">
        <f t="shared" si="41"/>
        <v>0</v>
      </c>
      <c r="F205" s="48">
        <f t="shared" si="41"/>
        <v>0</v>
      </c>
      <c r="G205" s="48">
        <f t="shared" si="41"/>
        <v>0</v>
      </c>
      <c r="H205" s="48">
        <f t="shared" si="41"/>
        <v>0</v>
      </c>
    </row>
    <row r="206" spans="1:8" ht="15.6" x14ac:dyDescent="0.25">
      <c r="A206" s="842"/>
      <c r="B206" s="503" t="s">
        <v>1197</v>
      </c>
      <c r="C206" s="48">
        <f t="shared" ref="C206:H206" si="42">C166+C186</f>
        <v>0</v>
      </c>
      <c r="D206" s="48">
        <f t="shared" si="42"/>
        <v>0</v>
      </c>
      <c r="E206" s="48">
        <f t="shared" si="42"/>
        <v>0</v>
      </c>
      <c r="F206" s="48">
        <f t="shared" si="42"/>
        <v>0</v>
      </c>
      <c r="G206" s="48">
        <f t="shared" si="42"/>
        <v>0</v>
      </c>
      <c r="H206" s="48">
        <f t="shared" si="42"/>
        <v>0</v>
      </c>
    </row>
    <row r="207" spans="1:8" x14ac:dyDescent="0.25">
      <c r="A207" s="842"/>
      <c r="B207" s="44"/>
      <c r="C207" s="44"/>
      <c r="D207" s="44"/>
      <c r="E207" s="44"/>
      <c r="F207" s="44"/>
      <c r="G207" s="44"/>
      <c r="H207" s="44"/>
    </row>
    <row r="208" spans="1:8" x14ac:dyDescent="0.25">
      <c r="A208" s="842"/>
      <c r="B208" s="44"/>
      <c r="C208" s="44"/>
      <c r="D208" s="44"/>
      <c r="E208" s="44"/>
      <c r="F208" s="44"/>
      <c r="G208" s="44"/>
      <c r="H208" s="44"/>
    </row>
    <row r="209" spans="1:8" x14ac:dyDescent="0.25">
      <c r="A209" s="842"/>
      <c r="B209" s="44"/>
      <c r="C209" s="44"/>
      <c r="D209" s="44"/>
      <c r="E209" s="44"/>
      <c r="F209" s="44"/>
      <c r="G209" s="44"/>
      <c r="H209" s="44"/>
    </row>
    <row r="210" spans="1:8" x14ac:dyDescent="0.25">
      <c r="A210" s="842"/>
      <c r="B210" s="44"/>
      <c r="C210" s="44"/>
      <c r="D210" s="44"/>
      <c r="E210" s="44"/>
      <c r="F210" s="44"/>
      <c r="G210" s="44"/>
      <c r="H210" s="44"/>
    </row>
    <row r="211" spans="1:8" x14ac:dyDescent="0.25">
      <c r="B211" s="44"/>
      <c r="C211" s="44"/>
      <c r="D211" s="44"/>
      <c r="E211" s="44"/>
      <c r="F211" s="44"/>
      <c r="G211" s="44"/>
      <c r="H211" s="44"/>
    </row>
    <row r="212" spans="1:8" x14ac:dyDescent="0.25">
      <c r="B212" s="44"/>
      <c r="C212" s="44"/>
      <c r="D212" s="44"/>
      <c r="E212" s="44"/>
      <c r="F212" s="44"/>
      <c r="G212" s="44"/>
      <c r="H212" s="44"/>
    </row>
    <row r="213" spans="1:8" x14ac:dyDescent="0.25">
      <c r="B213" s="44"/>
      <c r="C213" s="44"/>
      <c r="D213" s="44"/>
      <c r="E213" s="44"/>
      <c r="F213" s="44"/>
      <c r="G213" s="44"/>
      <c r="H213" s="44"/>
    </row>
    <row r="214" spans="1:8" x14ac:dyDescent="0.25">
      <c r="B214" s="44"/>
      <c r="C214" s="44"/>
      <c r="D214" s="44"/>
      <c r="E214" s="44"/>
      <c r="F214" s="44"/>
      <c r="G214" s="44"/>
      <c r="H214" s="44"/>
    </row>
  </sheetData>
  <sheetProtection algorithmName="SHA-512" hashValue="0Fgil43uYOIzq8MPkBw+tiZfJaU2lj7IiUtIa3ek2NEaeif061LwvuazgKpvOZ36nlfswTbQUHDcyMqR21gPJw==" saltValue="6Sfi9Fd0ciYeHbmO3Hm1EQ==" spinCount="100000" sheet="1" objects="1" scenarios="1"/>
  <customSheetViews>
    <customSheetView guid="{8BDA793C-C9C5-4FC6-A0A5-F1109F6D4F22}" scale="80" state="hidden">
      <selection activeCell="D14" sqref="D14"/>
    </customSheetView>
  </customSheetViews>
  <mergeCells count="150">
    <mergeCell ref="U37:V38"/>
    <mergeCell ref="G37:H37"/>
    <mergeCell ref="L46:L47"/>
    <mergeCell ref="J46:J47"/>
    <mergeCell ref="B36:H36"/>
    <mergeCell ref="B55:H55"/>
    <mergeCell ref="B74:H74"/>
    <mergeCell ref="B93:D93"/>
    <mergeCell ref="C75:D75"/>
    <mergeCell ref="E75:F75"/>
    <mergeCell ref="G75:H75"/>
    <mergeCell ref="C56:D56"/>
    <mergeCell ref="E56:F56"/>
    <mergeCell ref="G56:H56"/>
    <mergeCell ref="E37:F37"/>
    <mergeCell ref="C37:D37"/>
    <mergeCell ref="J44:J45"/>
    <mergeCell ref="J42:J43"/>
    <mergeCell ref="J40:J41"/>
    <mergeCell ref="J38:J39"/>
    <mergeCell ref="L40:L41"/>
    <mergeCell ref="L44:L45"/>
    <mergeCell ref="L48:L49"/>
    <mergeCell ref="K48:K49"/>
    <mergeCell ref="B2:D2"/>
    <mergeCell ref="F12:G12"/>
    <mergeCell ref="J36:L37"/>
    <mergeCell ref="H12:I12"/>
    <mergeCell ref="K38:K39"/>
    <mergeCell ref="L38:L39"/>
    <mergeCell ref="B3:D4"/>
    <mergeCell ref="B7:C8"/>
    <mergeCell ref="B10:E12"/>
    <mergeCell ref="B14:E16"/>
    <mergeCell ref="H10:I10"/>
    <mergeCell ref="F10:G10"/>
    <mergeCell ref="H15:I15"/>
    <mergeCell ref="F15:G15"/>
    <mergeCell ref="H14:I14"/>
    <mergeCell ref="F14:G14"/>
    <mergeCell ref="H11:I11"/>
    <mergeCell ref="F11:G11"/>
    <mergeCell ref="H16:I16"/>
    <mergeCell ref="F16:G16"/>
    <mergeCell ref="D24:E24"/>
    <mergeCell ref="D25:E25"/>
    <mergeCell ref="H20:I20"/>
    <mergeCell ref="B18:I19"/>
    <mergeCell ref="F20:G20"/>
    <mergeCell ref="F27:G27"/>
    <mergeCell ref="F28:G28"/>
    <mergeCell ref="F30:G30"/>
    <mergeCell ref="F31:G31"/>
    <mergeCell ref="D20:E20"/>
    <mergeCell ref="D21:E21"/>
    <mergeCell ref="D22:E22"/>
    <mergeCell ref="D31:E31"/>
    <mergeCell ref="D30:E30"/>
    <mergeCell ref="B20:C20"/>
    <mergeCell ref="B21:C21"/>
    <mergeCell ref="B22:C22"/>
    <mergeCell ref="B24:C24"/>
    <mergeCell ref="B25:C25"/>
    <mergeCell ref="B27:C27"/>
    <mergeCell ref="B28:C28"/>
    <mergeCell ref="D27:E27"/>
    <mergeCell ref="D28:E28"/>
    <mergeCell ref="L106:L107"/>
    <mergeCell ref="K46:K47"/>
    <mergeCell ref="K44:K45"/>
    <mergeCell ref="K40:K41"/>
    <mergeCell ref="K42:K43"/>
    <mergeCell ref="J96:L97"/>
    <mergeCell ref="J98:J99"/>
    <mergeCell ref="K98:K99"/>
    <mergeCell ref="L98:L99"/>
    <mergeCell ref="J100:J101"/>
    <mergeCell ref="L42:L43"/>
    <mergeCell ref="K100:K101"/>
    <mergeCell ref="L100:L101"/>
    <mergeCell ref="J102:J103"/>
    <mergeCell ref="K102:K103"/>
    <mergeCell ref="L102:L103"/>
    <mergeCell ref="J104:J105"/>
    <mergeCell ref="K104:K105"/>
    <mergeCell ref="L104:L105"/>
    <mergeCell ref="J106:J107"/>
    <mergeCell ref="K106:K107"/>
    <mergeCell ref="L108:L109"/>
    <mergeCell ref="C200:D200"/>
    <mergeCell ref="E200:F200"/>
    <mergeCell ref="G200:H200"/>
    <mergeCell ref="H21:I21"/>
    <mergeCell ref="H22:I22"/>
    <mergeCell ref="H24:I24"/>
    <mergeCell ref="H25:I25"/>
    <mergeCell ref="H27:I27"/>
    <mergeCell ref="H28:I28"/>
    <mergeCell ref="H30:I30"/>
    <mergeCell ref="H31:I31"/>
    <mergeCell ref="F21:G21"/>
    <mergeCell ref="F22:G22"/>
    <mergeCell ref="F24:G24"/>
    <mergeCell ref="F25:G25"/>
    <mergeCell ref="B179:H179"/>
    <mergeCell ref="C180:D180"/>
    <mergeCell ref="E180:F180"/>
    <mergeCell ref="G180:H180"/>
    <mergeCell ref="B199:H199"/>
    <mergeCell ref="B156:D156"/>
    <mergeCell ref="E117:F117"/>
    <mergeCell ref="G117:H117"/>
    <mergeCell ref="L167:L168"/>
    <mergeCell ref="J169:J170"/>
    <mergeCell ref="K169:K170"/>
    <mergeCell ref="L169:L170"/>
    <mergeCell ref="J159:L160"/>
    <mergeCell ref="J161:J162"/>
    <mergeCell ref="K161:K162"/>
    <mergeCell ref="L161:L162"/>
    <mergeCell ref="J163:J164"/>
    <mergeCell ref="K163:K164"/>
    <mergeCell ref="L163:L164"/>
    <mergeCell ref="J165:J166"/>
    <mergeCell ref="K165:K166"/>
    <mergeCell ref="L165:L166"/>
    <mergeCell ref="G160:H160"/>
    <mergeCell ref="C117:D117"/>
    <mergeCell ref="B30:C30"/>
    <mergeCell ref="B31:C31"/>
    <mergeCell ref="A33:A91"/>
    <mergeCell ref="A92:A153"/>
    <mergeCell ref="A154:A210"/>
    <mergeCell ref="J167:J168"/>
    <mergeCell ref="K167:K168"/>
    <mergeCell ref="B159:H159"/>
    <mergeCell ref="C160:D160"/>
    <mergeCell ref="E160:F160"/>
    <mergeCell ref="J108:J109"/>
    <mergeCell ref="K108:K109"/>
    <mergeCell ref="B136:H136"/>
    <mergeCell ref="C137:D137"/>
    <mergeCell ref="E137:F137"/>
    <mergeCell ref="G137:H137"/>
    <mergeCell ref="B96:H96"/>
    <mergeCell ref="C97:D97"/>
    <mergeCell ref="E97:F97"/>
    <mergeCell ref="G97:H97"/>
    <mergeCell ref="B116:H116"/>
    <mergeCell ref="J48:J49"/>
  </mergeCells>
  <conditionalFormatting sqref="K40 K42 K44 K46 K48">
    <cfRule type="cellIs" dxfId="354" priority="88" operator="greaterThan">
      <formula>0</formula>
    </cfRule>
  </conditionalFormatting>
  <conditionalFormatting sqref="H14:I16">
    <cfRule type="cellIs" dxfId="353" priority="60" operator="equal">
      <formula>"Error"</formula>
    </cfRule>
  </conditionalFormatting>
  <conditionalFormatting sqref="D21:D22">
    <cfRule type="cellIs" dxfId="352" priority="42" operator="equal">
      <formula>"Error"</formula>
    </cfRule>
  </conditionalFormatting>
  <conditionalFormatting sqref="D24:D25">
    <cfRule type="cellIs" dxfId="351" priority="41" operator="equal">
      <formula>"Error"</formula>
    </cfRule>
  </conditionalFormatting>
  <conditionalFormatting sqref="D27:D28">
    <cfRule type="cellIs" dxfId="350" priority="40" operator="equal">
      <formula>"Error"</formula>
    </cfRule>
  </conditionalFormatting>
  <conditionalFormatting sqref="D30:D31">
    <cfRule type="cellIs" dxfId="349" priority="19" operator="equal">
      <formula>"Error"</formula>
    </cfRule>
  </conditionalFormatting>
  <conditionalFormatting sqref="H10:I12 H14:I16">
    <cfRule type="containsText" dxfId="348" priority="7" operator="containsText" text="Check">
      <formula>NOT(ISERROR(SEARCH("Check",H10)))</formula>
    </cfRule>
  </conditionalFormatting>
  <conditionalFormatting sqref="I16">
    <cfRule type="expression" dxfId="347" priority="333">
      <formula>AND($H$21&gt;0,$H$16&lt;0.1)</formula>
    </cfRule>
  </conditionalFormatting>
  <conditionalFormatting sqref="H16">
    <cfRule type="expression" dxfId="346" priority="338">
      <formula>$H$16&gt;=0.1</formula>
    </cfRule>
  </conditionalFormatting>
  <conditionalFormatting sqref="H15">
    <cfRule type="expression" dxfId="345" priority="344">
      <formula>$H$15&gt;=0.1</formula>
    </cfRule>
    <cfRule type="expression" dxfId="344" priority="345">
      <formula>AND($F$21&gt;0,$H$15&lt;0.1)</formula>
    </cfRule>
  </conditionalFormatting>
  <conditionalFormatting sqref="H10:I10">
    <cfRule type="cellIs" dxfId="343" priority="350" operator="equal">
      <formula>"Error"</formula>
    </cfRule>
  </conditionalFormatting>
  <conditionalFormatting sqref="H14">
    <cfRule type="expression" dxfId="342" priority="351">
      <formula>$H$14&gt;=0.1</formula>
    </cfRule>
    <cfRule type="expression" dxfId="341" priority="352">
      <formula>AND($D$21&gt;0,$H$14&lt;0.1)</formula>
    </cfRule>
  </conditionalFormatting>
  <conditionalFormatting sqref="K102 K104 K106 K108">
    <cfRule type="cellIs" dxfId="340" priority="4" operator="greaterThan">
      <formula>0</formula>
    </cfRule>
  </conditionalFormatting>
  <conditionalFormatting sqref="K163">
    <cfRule type="cellIs" dxfId="339" priority="3" operator="greaterThan">
      <formula>0</formula>
    </cfRule>
  </conditionalFormatting>
  <conditionalFormatting sqref="K165 K167 K169">
    <cfRule type="cellIs" dxfId="338" priority="2" operator="greaterThan">
      <formula>0</formula>
    </cfRule>
  </conditionalFormatting>
  <conditionalFormatting sqref="K100">
    <cfRule type="cellIs" dxfId="337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0" tint="-0.249977111117893"/>
  </sheetPr>
  <dimension ref="A1:V303"/>
  <sheetViews>
    <sheetView showGridLines="0" showRowColHeaders="0" zoomScale="70" zoomScaleNormal="70" workbookViewId="0">
      <selection activeCell="B2" sqref="B2:G2"/>
    </sheetView>
  </sheetViews>
  <sheetFormatPr defaultColWidth="0" defaultRowHeight="13.8" zeroHeight="1" x14ac:dyDescent="0.25"/>
  <cols>
    <col min="1" max="1" width="17" style="35" customWidth="1"/>
    <col min="2" max="2" width="104.88671875" style="35" bestFit="1" customWidth="1"/>
    <col min="3" max="3" width="24.44140625" style="35" bestFit="1" customWidth="1"/>
    <col min="4" max="4" width="10.5546875" style="35" bestFit="1" customWidth="1"/>
    <col min="5" max="5" width="10.33203125" style="35" bestFit="1" customWidth="1"/>
    <col min="6" max="6" width="12" style="35" bestFit="1" customWidth="1"/>
    <col min="7" max="7" width="31" style="35" customWidth="1"/>
    <col min="8" max="8" width="5" style="35" customWidth="1"/>
    <col min="9" max="9" width="49.44140625" style="35" customWidth="1"/>
    <col min="10" max="10" width="10.88671875" style="35" customWidth="1"/>
    <col min="11" max="11" width="2" style="35" customWidth="1"/>
    <col min="12" max="12" width="2.5546875" style="35" customWidth="1"/>
    <col min="13" max="13" width="4.109375" style="35" customWidth="1"/>
    <col min="14" max="16" width="9.109375" style="35" customWidth="1"/>
    <col min="17" max="17" width="10.5546875" style="35" customWidth="1"/>
    <col min="18" max="20" width="9.109375" style="35" customWidth="1"/>
    <col min="21" max="22" width="0" style="35" hidden="1" customWidth="1"/>
    <col min="23" max="16384" width="9.109375" style="35" hidden="1"/>
  </cols>
  <sheetData>
    <row r="1" spans="1:17" ht="15" thickBot="1" x14ac:dyDescent="0.3">
      <c r="A1" s="710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5.8" thickBot="1" x14ac:dyDescent="0.3">
      <c r="A2" s="44"/>
      <c r="B2" s="905" t="s">
        <v>1334</v>
      </c>
      <c r="C2" s="906"/>
      <c r="D2" s="906"/>
      <c r="E2" s="906"/>
      <c r="F2" s="906"/>
      <c r="G2" s="918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15" customHeight="1" x14ac:dyDescent="0.25">
      <c r="A3" s="44"/>
      <c r="B3" s="921" t="s">
        <v>1331</v>
      </c>
      <c r="C3" s="923" t="s">
        <v>1332</v>
      </c>
      <c r="D3" s="923"/>
      <c r="E3" s="923"/>
      <c r="F3" s="923"/>
      <c r="G3" s="919" t="s">
        <v>1333</v>
      </c>
      <c r="H3" s="400"/>
      <c r="I3" s="400"/>
      <c r="J3" s="400"/>
      <c r="K3" s="400"/>
      <c r="L3" s="44"/>
      <c r="M3" s="44"/>
      <c r="N3" s="44"/>
      <c r="O3" s="44"/>
      <c r="P3" s="44"/>
      <c r="Q3" s="44"/>
    </row>
    <row r="4" spans="1:17" ht="14.25" customHeight="1" x14ac:dyDescent="0.25">
      <c r="A4" s="44"/>
      <c r="B4" s="922"/>
      <c r="C4" s="924"/>
      <c r="D4" s="924"/>
      <c r="E4" s="924"/>
      <c r="F4" s="924"/>
      <c r="G4" s="920"/>
      <c r="H4" s="400"/>
      <c r="I4" s="400"/>
      <c r="J4" s="400"/>
      <c r="K4" s="400"/>
      <c r="L4" s="44"/>
      <c r="M4" s="44"/>
      <c r="N4" s="44"/>
      <c r="O4" s="44"/>
      <c r="P4" s="44"/>
      <c r="Q4" s="44"/>
    </row>
    <row r="5" spans="1:17" ht="20.399999999999999" x14ac:dyDescent="0.25">
      <c r="A5" s="44"/>
      <c r="B5" s="154" t="s">
        <v>342</v>
      </c>
      <c r="C5" s="925" t="s">
        <v>850</v>
      </c>
      <c r="D5" s="925"/>
      <c r="E5" s="925"/>
      <c r="F5" s="925"/>
      <c r="G5" s="387" t="str">
        <f>IF(('A-1 Site Habitat Baseline'!AQ259+'D-1 Off Site Habitat Baseline'!AQ259)&gt;0,"No","Yes")</f>
        <v>Yes</v>
      </c>
      <c r="H5" s="400"/>
      <c r="I5" s="400"/>
      <c r="J5" s="400"/>
      <c r="K5" s="400"/>
      <c r="L5" s="44"/>
      <c r="M5" s="44"/>
      <c r="N5" s="44"/>
      <c r="O5" s="44"/>
      <c r="P5" s="44"/>
      <c r="Q5" s="44"/>
    </row>
    <row r="6" spans="1:17" x14ac:dyDescent="0.25">
      <c r="A6" s="44"/>
      <c r="B6" s="154" t="s">
        <v>5</v>
      </c>
      <c r="C6" s="926" t="s">
        <v>985</v>
      </c>
      <c r="D6" s="926"/>
      <c r="E6" s="926"/>
      <c r="F6" s="926"/>
      <c r="G6" s="387" t="str">
        <f>IFERROR(IF(J41&lt;0,"No","Yes"),"")</f>
        <v>Yes</v>
      </c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x14ac:dyDescent="0.25">
      <c r="A7" s="44"/>
      <c r="B7" s="154" t="s">
        <v>6</v>
      </c>
      <c r="C7" s="927" t="s">
        <v>984</v>
      </c>
      <c r="D7" s="927"/>
      <c r="E7" s="927"/>
      <c r="F7" s="927"/>
      <c r="G7" s="176" t="str">
        <f>IF(J40+J12+J89&lt;0,"No","Yes")</f>
        <v>Yes</v>
      </c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ht="14.4" thickBot="1" x14ac:dyDescent="0.3">
      <c r="A8" s="44"/>
      <c r="B8" s="121" t="s">
        <v>8</v>
      </c>
      <c r="C8" s="928" t="s">
        <v>986</v>
      </c>
      <c r="D8" s="928"/>
      <c r="E8" s="928"/>
      <c r="F8" s="928"/>
      <c r="G8" s="195" t="str">
        <f>IF(J125&lt;0,"No","Yes")</f>
        <v>Yes</v>
      </c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4.25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14.4" thickBo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spans="1:17" ht="25.8" thickBot="1" x14ac:dyDescent="0.3">
      <c r="A11" s="44"/>
      <c r="B11" s="905" t="s">
        <v>1329</v>
      </c>
      <c r="C11" s="906"/>
      <c r="D11" s="906"/>
      <c r="E11" s="906"/>
      <c r="F11" s="906"/>
      <c r="G11" s="918"/>
      <c r="H11" s="44"/>
      <c r="I11" s="909" t="s">
        <v>1343</v>
      </c>
      <c r="J11" s="910"/>
      <c r="K11" s="44"/>
      <c r="L11" s="44"/>
      <c r="M11" s="44"/>
      <c r="N11" s="44"/>
      <c r="O11" s="44"/>
      <c r="P11" s="44"/>
      <c r="Q11" s="44"/>
    </row>
    <row r="12" spans="1:17" s="46" customFormat="1" ht="47.4" thickBot="1" x14ac:dyDescent="0.3">
      <c r="A12" s="44"/>
      <c r="B12" s="117" t="s">
        <v>1075</v>
      </c>
      <c r="C12" s="118" t="s">
        <v>134</v>
      </c>
      <c r="D12" s="118" t="s">
        <v>778</v>
      </c>
      <c r="E12" s="118" t="s">
        <v>1325</v>
      </c>
      <c r="F12" s="118" t="s">
        <v>837</v>
      </c>
      <c r="G12" s="119" t="s">
        <v>1484</v>
      </c>
      <c r="H12" s="44"/>
      <c r="I12" s="550" t="s">
        <v>1344</v>
      </c>
      <c r="J12" s="551">
        <f>SUMIF($F$13:$F$32,"&gt;0")</f>
        <v>0</v>
      </c>
      <c r="K12" s="44"/>
      <c r="L12" s="44"/>
      <c r="M12" s="44"/>
      <c r="N12" s="44"/>
      <c r="O12" s="44"/>
      <c r="P12" s="44"/>
      <c r="Q12" s="44"/>
    </row>
    <row r="13" spans="1:17" ht="15.75" customHeight="1" x14ac:dyDescent="0.25">
      <c r="A13" s="44"/>
      <c r="B13" s="533" t="str">
        <f>'G-2 Habitat groups'!AU5</f>
        <v>Grassland - Lowland dry acid grassland</v>
      </c>
      <c r="C13" s="534" t="str">
        <f>'G-2 Habitat groups'!AV5</f>
        <v>Grassland</v>
      </c>
      <c r="D13" s="112">
        <f>'G-2 Habitat groups'!BB5</f>
        <v>0</v>
      </c>
      <c r="E13" s="112">
        <f>'G-2 Habitat groups'!BD5</f>
        <v>0</v>
      </c>
      <c r="F13" s="112">
        <f>'G-2 Habitat groups'!BE5</f>
        <v>0</v>
      </c>
      <c r="G13" s="157" t="str">
        <f>'G-2 Habitat groups'!BF5</f>
        <v/>
      </c>
      <c r="H13" s="44"/>
      <c r="I13" s="917" t="str">
        <f>IF($G$33&lt;0,"Very high distinctiveness unit defecit - CHECK DATA","")</f>
        <v/>
      </c>
      <c r="J13" s="917"/>
      <c r="K13" s="44"/>
      <c r="L13" s="44"/>
      <c r="M13" s="44"/>
      <c r="N13" s="44"/>
      <c r="O13" s="44"/>
      <c r="P13" s="44"/>
      <c r="Q13" s="44"/>
    </row>
    <row r="14" spans="1:17" x14ac:dyDescent="0.25">
      <c r="A14" s="44"/>
      <c r="B14" s="533" t="str">
        <f>'G-2 Habitat groups'!AU6</f>
        <v>Grassland - Lowland meadows</v>
      </c>
      <c r="C14" s="534" t="str">
        <f>'G-2 Habitat groups'!AV6</f>
        <v>Grassland</v>
      </c>
      <c r="D14" s="112">
        <f>'G-2 Habitat groups'!BB6</f>
        <v>0</v>
      </c>
      <c r="E14" s="112">
        <f>'G-2 Habitat groups'!BD6</f>
        <v>0</v>
      </c>
      <c r="F14" s="112">
        <f>'G-2 Habitat groups'!BE6</f>
        <v>0</v>
      </c>
      <c r="G14" s="157" t="str">
        <f>'G-2 Habitat groups'!BF6</f>
        <v/>
      </c>
      <c r="H14" s="44"/>
      <c r="K14" s="44"/>
      <c r="L14" s="44"/>
      <c r="M14" s="44"/>
      <c r="N14" s="44"/>
      <c r="O14" s="44"/>
      <c r="P14" s="44"/>
      <c r="Q14" s="44"/>
    </row>
    <row r="15" spans="1:17" x14ac:dyDescent="0.25">
      <c r="A15" s="44"/>
      <c r="B15" s="533" t="str">
        <f>'G-2 Habitat groups'!AU7</f>
        <v>Grassland - Upland hay meadows</v>
      </c>
      <c r="C15" s="534" t="str">
        <f>'G-2 Habitat groups'!AV7</f>
        <v>Grassland</v>
      </c>
      <c r="D15" s="112">
        <f>'G-2 Habitat groups'!BB7</f>
        <v>0</v>
      </c>
      <c r="E15" s="112">
        <f>'G-2 Habitat groups'!BD7</f>
        <v>0</v>
      </c>
      <c r="F15" s="112">
        <f>'G-2 Habitat groups'!BE7</f>
        <v>0</v>
      </c>
      <c r="G15" s="157" t="str">
        <f>'G-2 Habitat groups'!BF7</f>
        <v/>
      </c>
      <c r="H15" s="44"/>
      <c r="K15" s="44"/>
      <c r="L15" s="44"/>
      <c r="M15" s="44"/>
      <c r="N15" s="44"/>
      <c r="O15" s="44"/>
      <c r="P15" s="44"/>
      <c r="Q15" s="44"/>
    </row>
    <row r="16" spans="1:17" x14ac:dyDescent="0.25">
      <c r="A16" s="44"/>
      <c r="B16" s="533" t="str">
        <f>'G-2 Habitat groups'!AU8</f>
        <v>Heathland and shrub - Mountain heaths and willow scrub</v>
      </c>
      <c r="C16" s="534" t="str">
        <f>'G-2 Habitat groups'!AV8</f>
        <v>Heathland and shrub</v>
      </c>
      <c r="D16" s="112">
        <f>'G-2 Habitat groups'!BB8</f>
        <v>0</v>
      </c>
      <c r="E16" s="112">
        <f>'G-2 Habitat groups'!BD8</f>
        <v>0</v>
      </c>
      <c r="F16" s="112">
        <f>'G-2 Habitat groups'!BE8</f>
        <v>0</v>
      </c>
      <c r="G16" s="157" t="str">
        <f>'G-2 Habitat groups'!BF8</f>
        <v/>
      </c>
      <c r="H16" s="44"/>
      <c r="K16" s="44"/>
      <c r="L16" s="44"/>
      <c r="M16" s="44"/>
      <c r="N16" s="44"/>
      <c r="O16" s="44"/>
      <c r="P16" s="44"/>
      <c r="Q16" s="44"/>
    </row>
    <row r="17" spans="1:17" x14ac:dyDescent="0.25">
      <c r="A17" s="44"/>
      <c r="B17" s="533" t="str">
        <f>'G-2 Habitat groups'!AU9</f>
        <v>Lakes - Aquifer fed naturally fluctuating water bodies</v>
      </c>
      <c r="C17" s="534" t="str">
        <f>'G-2 Habitat groups'!AV9</f>
        <v>Lakes</v>
      </c>
      <c r="D17" s="112">
        <f>'G-2 Habitat groups'!BB9</f>
        <v>0</v>
      </c>
      <c r="E17" s="112">
        <f>'G-2 Habitat groups'!BD9</f>
        <v>0</v>
      </c>
      <c r="F17" s="112">
        <f>'G-2 Habitat groups'!BE9</f>
        <v>0</v>
      </c>
      <c r="G17" s="157" t="str">
        <f>'G-2 Habitat groups'!BF9</f>
        <v/>
      </c>
      <c r="H17" s="44"/>
      <c r="K17" s="44"/>
      <c r="L17" s="44"/>
      <c r="M17" s="44"/>
      <c r="N17" s="44"/>
      <c r="O17" s="44"/>
      <c r="P17" s="44"/>
      <c r="Q17" s="44"/>
    </row>
    <row r="18" spans="1:17" x14ac:dyDescent="0.25">
      <c r="A18" s="44"/>
      <c r="B18" s="533" t="str">
        <f>'G-2 Habitat groups'!AU10</f>
        <v>Sparsely vegetated land - Calaminarian grasslands</v>
      </c>
      <c r="C18" s="534" t="str">
        <f>'G-2 Habitat groups'!AV10</f>
        <v>Sparsely vegetated land</v>
      </c>
      <c r="D18" s="112">
        <f>'G-2 Habitat groups'!BB10</f>
        <v>0</v>
      </c>
      <c r="E18" s="112">
        <f>'G-2 Habitat groups'!BD10</f>
        <v>0</v>
      </c>
      <c r="F18" s="112">
        <f>'G-2 Habitat groups'!BE10</f>
        <v>0</v>
      </c>
      <c r="G18" s="157" t="str">
        <f>'G-2 Habitat groups'!BF10</f>
        <v/>
      </c>
      <c r="H18" s="44"/>
      <c r="K18" s="44"/>
      <c r="L18" s="44"/>
      <c r="M18" s="44"/>
      <c r="N18" s="44"/>
      <c r="O18" s="44"/>
      <c r="P18" s="44"/>
      <c r="Q18" s="44"/>
    </row>
    <row r="19" spans="1:17" x14ac:dyDescent="0.25">
      <c r="A19" s="44"/>
      <c r="B19" s="533" t="str">
        <f>'G-2 Habitat groups'!AU11</f>
        <v>Sparsely vegetated land - Limestone pavement</v>
      </c>
      <c r="C19" s="534" t="str">
        <f>'G-2 Habitat groups'!AV11</f>
        <v>Sparsely vegetated land</v>
      </c>
      <c r="D19" s="112">
        <f>'G-2 Habitat groups'!BB11</f>
        <v>0</v>
      </c>
      <c r="E19" s="112">
        <f>'G-2 Habitat groups'!BD11</f>
        <v>0</v>
      </c>
      <c r="F19" s="112">
        <f>'G-2 Habitat groups'!BE11</f>
        <v>0</v>
      </c>
      <c r="G19" s="157" t="str">
        <f>'G-2 Habitat groups'!BF11</f>
        <v/>
      </c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x14ac:dyDescent="0.25">
      <c r="A20" s="44"/>
      <c r="B20" s="533" t="str">
        <f>'G-2 Habitat groups'!AU12</f>
        <v>Wetland - Blanket bog</v>
      </c>
      <c r="C20" s="534" t="str">
        <f>'G-2 Habitat groups'!AV12</f>
        <v>Wetland</v>
      </c>
      <c r="D20" s="112">
        <f>'G-2 Habitat groups'!BB12</f>
        <v>0</v>
      </c>
      <c r="E20" s="112">
        <f>'G-2 Habitat groups'!BD12</f>
        <v>0</v>
      </c>
      <c r="F20" s="112">
        <f>'G-2 Habitat groups'!BE12</f>
        <v>0</v>
      </c>
      <c r="G20" s="157" t="str">
        <f>'G-2 Habitat groups'!BF12</f>
        <v/>
      </c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x14ac:dyDescent="0.25">
      <c r="A21" s="44"/>
      <c r="B21" s="533" t="str">
        <f>'G-2 Habitat groups'!AU13</f>
        <v>Wetland - Depressions on Peat substrates (H7150)</v>
      </c>
      <c r="C21" s="534" t="str">
        <f>'G-2 Habitat groups'!AV13</f>
        <v>Wetland</v>
      </c>
      <c r="D21" s="112">
        <f>'G-2 Habitat groups'!BB13</f>
        <v>0</v>
      </c>
      <c r="E21" s="112">
        <f>'G-2 Habitat groups'!BD13</f>
        <v>0</v>
      </c>
      <c r="F21" s="112">
        <f>'G-2 Habitat groups'!BE13</f>
        <v>0</v>
      </c>
      <c r="G21" s="157" t="str">
        <f>'G-2 Habitat groups'!BF13</f>
        <v/>
      </c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x14ac:dyDescent="0.25">
      <c r="A22" s="44"/>
      <c r="B22" s="533" t="str">
        <f>'G-2 Habitat groups'!AU14</f>
        <v>Wetland - Fens (upland and lowland)</v>
      </c>
      <c r="C22" s="534" t="str">
        <f>'G-2 Habitat groups'!AV14</f>
        <v>Wetland</v>
      </c>
      <c r="D22" s="112">
        <f>'G-2 Habitat groups'!BB14</f>
        <v>0</v>
      </c>
      <c r="E22" s="112">
        <f>'G-2 Habitat groups'!BD14</f>
        <v>0</v>
      </c>
      <c r="F22" s="112">
        <f>'G-2 Habitat groups'!BE14</f>
        <v>0</v>
      </c>
      <c r="G22" s="157" t="str">
        <f>'G-2 Habitat groups'!BF14</f>
        <v/>
      </c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x14ac:dyDescent="0.25">
      <c r="A23" s="44"/>
      <c r="B23" s="533" t="str">
        <f>'G-2 Habitat groups'!AU15</f>
        <v>Wetland - Lowland raised bog</v>
      </c>
      <c r="C23" s="534" t="str">
        <f>'G-2 Habitat groups'!AV15</f>
        <v>Wetland</v>
      </c>
      <c r="D23" s="112">
        <f>'G-2 Habitat groups'!BB15</f>
        <v>0</v>
      </c>
      <c r="E23" s="112">
        <f>'G-2 Habitat groups'!BD15</f>
        <v>0</v>
      </c>
      <c r="F23" s="112">
        <f>'G-2 Habitat groups'!BE15</f>
        <v>0</v>
      </c>
      <c r="G23" s="157" t="str">
        <f>'G-2 Habitat groups'!BF15</f>
        <v/>
      </c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x14ac:dyDescent="0.25">
      <c r="A24" s="44"/>
      <c r="B24" s="533" t="str">
        <f>'G-2 Habitat groups'!AU16</f>
        <v>Wetland - Oceanic Valley Mire[1] (D2.1)</v>
      </c>
      <c r="C24" s="534" t="str">
        <f>'G-2 Habitat groups'!AV16</f>
        <v>Wetland</v>
      </c>
      <c r="D24" s="112">
        <f>'G-2 Habitat groups'!BB16</f>
        <v>0</v>
      </c>
      <c r="E24" s="112">
        <f>'G-2 Habitat groups'!BD16</f>
        <v>0</v>
      </c>
      <c r="F24" s="112">
        <f>'G-2 Habitat groups'!BE16</f>
        <v>0</v>
      </c>
      <c r="G24" s="157" t="str">
        <f>'G-2 Habitat groups'!BF16</f>
        <v/>
      </c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x14ac:dyDescent="0.25">
      <c r="A25" s="44"/>
      <c r="B25" s="533" t="str">
        <f>'G-2 Habitat groups'!AU17</f>
        <v>Wetland - Purple moor grass and rush pastures</v>
      </c>
      <c r="C25" s="534" t="str">
        <f>'G-2 Habitat groups'!AV17</f>
        <v>Wetland</v>
      </c>
      <c r="D25" s="112">
        <f>'G-2 Habitat groups'!BB17</f>
        <v>0</v>
      </c>
      <c r="E25" s="112">
        <f>'G-2 Habitat groups'!BD17</f>
        <v>0</v>
      </c>
      <c r="F25" s="112">
        <f>'G-2 Habitat groups'!BE17</f>
        <v>0</v>
      </c>
      <c r="G25" s="157" t="str">
        <f>'G-2 Habitat groups'!BF17</f>
        <v/>
      </c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x14ac:dyDescent="0.25">
      <c r="A26" s="44"/>
      <c r="B26" s="533" t="str">
        <f>'G-2 Habitat groups'!AU18</f>
        <v>Wetland - Transition mires and quaking bogs (H7140)</v>
      </c>
      <c r="C26" s="534" t="str">
        <f>'G-2 Habitat groups'!AV18</f>
        <v>Wetland</v>
      </c>
      <c r="D26" s="112">
        <f>'G-2 Habitat groups'!BB18</f>
        <v>0</v>
      </c>
      <c r="E26" s="112">
        <f>'G-2 Habitat groups'!BD18</f>
        <v>0</v>
      </c>
      <c r="F26" s="112">
        <f>'G-2 Habitat groups'!BE18</f>
        <v>0</v>
      </c>
      <c r="G26" s="157" t="str">
        <f>'G-2 Habitat groups'!BF18</f>
        <v/>
      </c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x14ac:dyDescent="0.25">
      <c r="A27" s="44"/>
      <c r="B27" s="533" t="str">
        <f>'G-2 Habitat groups'!AU19</f>
        <v>Woodland and forest - Wood-pasture and parkland</v>
      </c>
      <c r="C27" s="534" t="str">
        <f>'G-2 Habitat groups'!AV19</f>
        <v>Woodland and forest</v>
      </c>
      <c r="D27" s="112">
        <f>'G-2 Habitat groups'!BB19</f>
        <v>0</v>
      </c>
      <c r="E27" s="112">
        <f>'G-2 Habitat groups'!BD19</f>
        <v>0</v>
      </c>
      <c r="F27" s="112">
        <f>'G-2 Habitat groups'!BE19</f>
        <v>0</v>
      </c>
      <c r="G27" s="157" t="str">
        <f>'G-2 Habitat groups'!BF19</f>
        <v/>
      </c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1:17" x14ac:dyDescent="0.25">
      <c r="A28" s="44"/>
      <c r="B28" s="533" t="str">
        <f>'G-2 Habitat groups'!AU20</f>
        <v>Rocky shore - High energy littoral rock - on peat, clay or chalk</v>
      </c>
      <c r="C28" s="534" t="str">
        <f>'G-2 Habitat groups'!AV20</f>
        <v>Rocky shore</v>
      </c>
      <c r="D28" s="112">
        <f>'G-2 Habitat groups'!BB20</f>
        <v>0</v>
      </c>
      <c r="E28" s="112">
        <f>'G-2 Habitat groups'!BD20</f>
        <v>0</v>
      </c>
      <c r="F28" s="112">
        <f>'G-2 Habitat groups'!BE20</f>
        <v>0</v>
      </c>
      <c r="G28" s="157" t="str">
        <f>'G-2 Habitat groups'!BF20</f>
        <v/>
      </c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17" ht="14.25" customHeight="1" x14ac:dyDescent="0.25">
      <c r="A29" s="44"/>
      <c r="B29" s="533" t="str">
        <f>'G-2 Habitat groups'!AU21</f>
        <v>Rocky shore - Moderate energy littoral rock - on peat, clay or chalk</v>
      </c>
      <c r="C29" s="534" t="str">
        <f>'G-2 Habitat groups'!AV21</f>
        <v>Rocky shore</v>
      </c>
      <c r="D29" s="112">
        <f>'G-2 Habitat groups'!BB21</f>
        <v>0</v>
      </c>
      <c r="E29" s="112">
        <f>'G-2 Habitat groups'!BD21</f>
        <v>0</v>
      </c>
      <c r="F29" s="112">
        <f>'G-2 Habitat groups'!BE21</f>
        <v>0</v>
      </c>
      <c r="G29" s="157" t="str">
        <f>'G-2 Habitat groups'!BF21</f>
        <v/>
      </c>
      <c r="H29" s="44"/>
      <c r="I29" s="44"/>
      <c r="J29" s="44"/>
      <c r="K29" s="44"/>
      <c r="L29" s="44"/>
      <c r="M29" s="44"/>
      <c r="N29" s="44"/>
      <c r="O29" s="44"/>
      <c r="P29" s="44"/>
      <c r="Q29" s="44"/>
    </row>
    <row r="30" spans="1:17" s="46" customFormat="1" ht="18.600000000000001" customHeight="1" x14ac:dyDescent="0.25">
      <c r="A30" s="44"/>
      <c r="B30" s="533" t="str">
        <f>'G-2 Habitat groups'!AU22</f>
        <v>Rocky shore - Low energy littoral rock - on peat, clay or chalk</v>
      </c>
      <c r="C30" s="534" t="str">
        <f>'G-2 Habitat groups'!AV22</f>
        <v>Rocky shore</v>
      </c>
      <c r="D30" s="112">
        <f>'G-2 Habitat groups'!BB22</f>
        <v>0</v>
      </c>
      <c r="E30" s="112">
        <f>'G-2 Habitat groups'!BD22</f>
        <v>0</v>
      </c>
      <c r="F30" s="112">
        <f>'G-2 Habitat groups'!BE22</f>
        <v>0</v>
      </c>
      <c r="G30" s="157" t="str">
        <f>'G-2 Habitat groups'!BF22</f>
        <v/>
      </c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1:17" x14ac:dyDescent="0.25">
      <c r="A31" s="44"/>
      <c r="B31" s="533" t="str">
        <f>'G-2 Habitat groups'!AU23</f>
        <v>Rocky shore - Features of littoral rock - on peat, clay or chalk</v>
      </c>
      <c r="C31" s="534" t="str">
        <f>'G-2 Habitat groups'!AV23</f>
        <v>Rocky shore</v>
      </c>
      <c r="D31" s="112">
        <f>'G-2 Habitat groups'!BB23</f>
        <v>0</v>
      </c>
      <c r="E31" s="112">
        <f>'G-2 Habitat groups'!BD23</f>
        <v>0</v>
      </c>
      <c r="F31" s="112">
        <f>'G-2 Habitat groups'!BE23</f>
        <v>0</v>
      </c>
      <c r="G31" s="157" t="str">
        <f>'G-2 Habitat groups'!BF23</f>
        <v/>
      </c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1:17" ht="14.4" thickBot="1" x14ac:dyDescent="0.3">
      <c r="A32" s="44"/>
      <c r="B32" s="535" t="str">
        <f>'G-2 Habitat groups'!AU24</f>
        <v>Intertidal sediment - Littoral seagrass on peat, clay or chalk</v>
      </c>
      <c r="C32" s="536" t="str">
        <f>'G-2 Habitat groups'!AV24</f>
        <v>Intertidal sediment</v>
      </c>
      <c r="D32" s="112">
        <f>'G-2 Habitat groups'!BB24</f>
        <v>0</v>
      </c>
      <c r="E32" s="112">
        <f>'G-2 Habitat groups'!BD24</f>
        <v>0</v>
      </c>
      <c r="F32" s="112">
        <f>'G-2 Habitat groups'!BE24</f>
        <v>0</v>
      </c>
      <c r="G32" s="157" t="str">
        <f>'G-2 Habitat groups'!BF24</f>
        <v/>
      </c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7" ht="14.4" thickBot="1" x14ac:dyDescent="0.3">
      <c r="A33" s="44"/>
      <c r="B33" s="44"/>
      <c r="C33" s="44"/>
      <c r="D33" s="105">
        <f>SUM(D13:D32)</f>
        <v>0</v>
      </c>
      <c r="E33" s="106">
        <f>SUM(E13:E32)</f>
        <v>0</v>
      </c>
      <c r="F33" s="107">
        <f>SUM(F13:F32)</f>
        <v>0</v>
      </c>
      <c r="G33" s="108">
        <f>SUM(G13:G32)</f>
        <v>0</v>
      </c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1:17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</row>
    <row r="35" spans="1:17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spans="1:17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  <row r="37" spans="1:17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  <row r="38" spans="1:17" ht="14.4" thickBo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25.8" thickBot="1" x14ac:dyDescent="0.3">
      <c r="A39" s="44"/>
      <c r="B39" s="905" t="s">
        <v>1328</v>
      </c>
      <c r="C39" s="906"/>
      <c r="D39" s="906"/>
      <c r="E39" s="906"/>
      <c r="F39" s="906"/>
      <c r="G39" s="918"/>
      <c r="H39" s="44"/>
      <c r="I39" s="909" t="s">
        <v>1340</v>
      </c>
      <c r="J39" s="910"/>
      <c r="K39" s="44"/>
      <c r="L39" s="44"/>
      <c r="M39" s="44"/>
    </row>
    <row r="40" spans="1:17" ht="46.8" x14ac:dyDescent="0.25">
      <c r="A40" s="44"/>
      <c r="B40" s="117" t="s">
        <v>1075</v>
      </c>
      <c r="C40" s="118" t="s">
        <v>134</v>
      </c>
      <c r="D40" s="118" t="s">
        <v>778</v>
      </c>
      <c r="E40" s="118" t="s">
        <v>1325</v>
      </c>
      <c r="F40" s="118" t="s">
        <v>837</v>
      </c>
      <c r="G40" s="119" t="s">
        <v>1317</v>
      </c>
      <c r="H40" s="44"/>
      <c r="I40" s="120" t="s">
        <v>1345</v>
      </c>
      <c r="J40" s="386">
        <f>SUMIF($F$41:$F$81,"&gt;0")</f>
        <v>0</v>
      </c>
      <c r="K40" s="44"/>
      <c r="L40" s="44"/>
      <c r="M40" s="44"/>
      <c r="N40" s="44"/>
      <c r="O40" s="44"/>
    </row>
    <row r="41" spans="1:17" ht="14.4" thickBot="1" x14ac:dyDescent="0.3">
      <c r="A41" s="44"/>
      <c r="B41" s="531" t="str">
        <f>'G-2 Habitat groups'!AU31</f>
        <v>Grassland - Traditional orchards</v>
      </c>
      <c r="C41" s="532" t="str">
        <f>'G-2 Habitat groups'!AV31</f>
        <v>Grassland</v>
      </c>
      <c r="D41" s="109">
        <f>'G-2 Habitat groups'!BB31</f>
        <v>0</v>
      </c>
      <c r="E41" s="109">
        <f>'G-2 Habitat groups'!BD31</f>
        <v>0</v>
      </c>
      <c r="F41" s="109">
        <f>'G-2 Habitat groups'!BE31</f>
        <v>0</v>
      </c>
      <c r="G41" s="110" t="str">
        <f>'G-2 Habitat groups'!BF31</f>
        <v/>
      </c>
      <c r="H41" s="44"/>
      <c r="I41" s="121" t="s">
        <v>1330</v>
      </c>
      <c r="J41" s="388">
        <f>G82</f>
        <v>0</v>
      </c>
      <c r="K41" s="44"/>
      <c r="L41" s="44"/>
      <c r="M41" s="44"/>
      <c r="N41" s="44"/>
      <c r="O41" s="44"/>
    </row>
    <row r="42" spans="1:17" x14ac:dyDescent="0.25">
      <c r="A42" s="44"/>
      <c r="B42" s="531" t="str">
        <f>'G-2 Habitat groups'!AU32</f>
        <v>Grassland - Floodplain Wetland Mosaic (CFGM)</v>
      </c>
      <c r="C42" s="532" t="str">
        <f>'G-2 Habitat groups'!AV32</f>
        <v>Grassland</v>
      </c>
      <c r="D42" s="109">
        <f>'G-2 Habitat groups'!BB32</f>
        <v>0</v>
      </c>
      <c r="E42" s="109">
        <f>'G-2 Habitat groups'!BD32</f>
        <v>0</v>
      </c>
      <c r="F42" s="109">
        <f>'G-2 Habitat groups'!BE32</f>
        <v>0</v>
      </c>
      <c r="G42" s="110" t="str">
        <f>'G-2 Habitat groups'!BF32</f>
        <v/>
      </c>
      <c r="H42" s="44"/>
      <c r="I42" s="44"/>
      <c r="J42" s="44"/>
      <c r="K42" s="44"/>
      <c r="L42" s="44"/>
      <c r="M42" s="44"/>
      <c r="N42" s="44"/>
      <c r="O42" s="44"/>
    </row>
    <row r="43" spans="1:17" ht="14.25" customHeight="1" x14ac:dyDescent="0.25">
      <c r="A43" s="44"/>
      <c r="B43" s="531" t="str">
        <f>'G-2 Habitat groups'!AU33</f>
        <v>Grassland - Lowland calcareous grassland</v>
      </c>
      <c r="C43" s="532" t="str">
        <f>'G-2 Habitat groups'!AV33</f>
        <v>Grassland</v>
      </c>
      <c r="D43" s="109">
        <f>'G-2 Habitat groups'!BB33</f>
        <v>0</v>
      </c>
      <c r="E43" s="109">
        <f>'G-2 Habitat groups'!BD33</f>
        <v>0</v>
      </c>
      <c r="F43" s="109">
        <f>'G-2 Habitat groups'!BE33</f>
        <v>0</v>
      </c>
      <c r="G43" s="110" t="str">
        <f>'G-2 Habitat groups'!BF33</f>
        <v/>
      </c>
      <c r="H43" s="44"/>
      <c r="K43" s="44"/>
      <c r="L43" s="44"/>
      <c r="M43" s="44"/>
      <c r="N43" s="44"/>
    </row>
    <row r="44" spans="1:17" ht="15" customHeight="1" x14ac:dyDescent="0.25">
      <c r="A44" s="44"/>
      <c r="B44" s="531" t="str">
        <f>'G-2 Habitat groups'!AU34</f>
        <v>Grassland - Tall herb communities</v>
      </c>
      <c r="C44" s="532" t="str">
        <f>'G-2 Habitat groups'!AV34</f>
        <v>Grassland</v>
      </c>
      <c r="D44" s="109">
        <f>'G-2 Habitat groups'!BB34</f>
        <v>0</v>
      </c>
      <c r="E44" s="109">
        <f>'G-2 Habitat groups'!BD34</f>
        <v>0</v>
      </c>
      <c r="F44" s="109">
        <f>'G-2 Habitat groups'!BE34</f>
        <v>0</v>
      </c>
      <c r="G44" s="110" t="str">
        <f>'G-2 Habitat groups'!BF34</f>
        <v/>
      </c>
      <c r="H44" s="44"/>
      <c r="K44" s="44"/>
      <c r="L44" s="44"/>
      <c r="M44" s="44"/>
      <c r="N44" s="44"/>
    </row>
    <row r="45" spans="1:17" ht="15" customHeight="1" x14ac:dyDescent="0.25">
      <c r="A45" s="44"/>
      <c r="B45" s="531" t="str">
        <f>'G-2 Habitat groups'!AU35</f>
        <v>Grassland - Upland calcareous grassland</v>
      </c>
      <c r="C45" s="532" t="str">
        <f>'G-2 Habitat groups'!AV35</f>
        <v>Grassland</v>
      </c>
      <c r="D45" s="109">
        <f>'G-2 Habitat groups'!BB35</f>
        <v>0</v>
      </c>
      <c r="E45" s="109">
        <f>'G-2 Habitat groups'!BD35</f>
        <v>0</v>
      </c>
      <c r="F45" s="109">
        <f>'G-2 Habitat groups'!BE35</f>
        <v>0</v>
      </c>
      <c r="G45" s="110" t="str">
        <f>'G-2 Habitat groups'!BF35</f>
        <v/>
      </c>
      <c r="H45" s="44"/>
      <c r="K45" s="44"/>
      <c r="L45" s="44"/>
      <c r="M45" s="44"/>
      <c r="N45" s="44"/>
    </row>
    <row r="46" spans="1:17" ht="15" customHeight="1" x14ac:dyDescent="0.25">
      <c r="A46" s="44"/>
      <c r="B46" s="531" t="str">
        <f>'G-2 Habitat groups'!AU36</f>
        <v>Heathland and shrub - Lowland Heathland</v>
      </c>
      <c r="C46" s="532" t="str">
        <f>'G-2 Habitat groups'!AV36</f>
        <v>Grassland</v>
      </c>
      <c r="D46" s="109">
        <f>'G-2 Habitat groups'!BB36</f>
        <v>0</v>
      </c>
      <c r="E46" s="109">
        <f>'G-2 Habitat groups'!BD36</f>
        <v>0</v>
      </c>
      <c r="F46" s="109">
        <f>'G-2 Habitat groups'!BE36</f>
        <v>0</v>
      </c>
      <c r="G46" s="110" t="str">
        <f>'G-2 Habitat groups'!BF36</f>
        <v/>
      </c>
      <c r="H46" s="44"/>
      <c r="K46" s="44"/>
      <c r="L46" s="44"/>
      <c r="M46" s="44"/>
      <c r="N46" s="44"/>
    </row>
    <row r="47" spans="1:17" ht="15" customHeight="1" x14ac:dyDescent="0.25">
      <c r="A47" s="44"/>
      <c r="B47" s="531" t="str">
        <f>'G-2 Habitat groups'!AU37</f>
        <v>Heathland and shrub - Sea buckthorn scrub (Annex 1)</v>
      </c>
      <c r="C47" s="532" t="str">
        <f>'G-2 Habitat groups'!AV37</f>
        <v>Heathland and shrub</v>
      </c>
      <c r="D47" s="109">
        <f>'G-2 Habitat groups'!BB37</f>
        <v>0</v>
      </c>
      <c r="E47" s="109">
        <f>'G-2 Habitat groups'!BD37</f>
        <v>0</v>
      </c>
      <c r="F47" s="109">
        <f>'G-2 Habitat groups'!BE37</f>
        <v>0</v>
      </c>
      <c r="G47" s="110" t="str">
        <f>'G-2 Habitat groups'!BF37</f>
        <v/>
      </c>
      <c r="H47" s="44"/>
      <c r="I47" s="44"/>
      <c r="J47" s="44"/>
      <c r="K47" s="44"/>
      <c r="L47" s="44"/>
    </row>
    <row r="48" spans="1:17" ht="15" customHeight="1" x14ac:dyDescent="0.25">
      <c r="A48" s="44"/>
      <c r="B48" s="531" t="str">
        <f>'G-2 Habitat groups'!AU38</f>
        <v>Heathland and shrub - Upland Heathland</v>
      </c>
      <c r="C48" s="532" t="str">
        <f>'G-2 Habitat groups'!AV38</f>
        <v>Heathland and shrub</v>
      </c>
      <c r="D48" s="109">
        <f>'G-2 Habitat groups'!BB38</f>
        <v>0</v>
      </c>
      <c r="E48" s="109">
        <f>'G-2 Habitat groups'!BD38</f>
        <v>0</v>
      </c>
      <c r="F48" s="109">
        <f>'G-2 Habitat groups'!BE38</f>
        <v>0</v>
      </c>
      <c r="G48" s="110" t="str">
        <f>'G-2 Habitat groups'!BF38</f>
        <v/>
      </c>
      <c r="H48" s="44"/>
      <c r="I48" s="44"/>
      <c r="J48" s="44"/>
      <c r="K48" s="44"/>
      <c r="L48" s="44"/>
    </row>
    <row r="49" spans="1:15" ht="15" customHeight="1" x14ac:dyDescent="0.25">
      <c r="A49" s="44"/>
      <c r="B49" s="531" t="str">
        <f>'G-2 Habitat groups'!AU39</f>
        <v>Lakes - High alkalinity lakes</v>
      </c>
      <c r="C49" s="532" t="str">
        <f>'G-2 Habitat groups'!AV39</f>
        <v>Lakes</v>
      </c>
      <c r="D49" s="109">
        <f>'G-2 Habitat groups'!BB39</f>
        <v>0</v>
      </c>
      <c r="E49" s="109">
        <f>'G-2 Habitat groups'!BD39</f>
        <v>0</v>
      </c>
      <c r="F49" s="109">
        <f>'G-2 Habitat groups'!BE39</f>
        <v>0</v>
      </c>
      <c r="G49" s="110" t="str">
        <f>'G-2 Habitat groups'!BF39</f>
        <v/>
      </c>
      <c r="H49" s="44"/>
      <c r="I49" s="44"/>
      <c r="J49" s="44"/>
      <c r="K49" s="44"/>
      <c r="L49" s="44"/>
    </row>
    <row r="50" spans="1:15" ht="15.75" customHeight="1" x14ac:dyDescent="0.25">
      <c r="A50" s="44"/>
      <c r="B50" s="531" t="str">
        <f>'G-2 Habitat groups'!AU40</f>
        <v>Lakes - Low alkalinity lakes</v>
      </c>
      <c r="C50" s="532" t="str">
        <f>'G-2 Habitat groups'!AV40</f>
        <v>Lakes</v>
      </c>
      <c r="D50" s="109">
        <f>'G-2 Habitat groups'!BB40</f>
        <v>0</v>
      </c>
      <c r="E50" s="109">
        <f>'G-2 Habitat groups'!BD40</f>
        <v>0</v>
      </c>
      <c r="F50" s="109">
        <f>'G-2 Habitat groups'!BE40</f>
        <v>0</v>
      </c>
      <c r="G50" s="110" t="str">
        <f>'G-2 Habitat groups'!BF40</f>
        <v/>
      </c>
      <c r="H50" s="44"/>
      <c r="I50" s="44"/>
      <c r="J50" s="44"/>
      <c r="K50" s="44"/>
      <c r="L50" s="44"/>
    </row>
    <row r="51" spans="1:15" x14ac:dyDescent="0.25">
      <c r="A51" s="44"/>
      <c r="B51" s="531" t="str">
        <f>'G-2 Habitat groups'!AU41</f>
        <v>Lakes - Marl Lakes</v>
      </c>
      <c r="C51" s="532" t="str">
        <f>'G-2 Habitat groups'!AV41</f>
        <v>Lakes</v>
      </c>
      <c r="D51" s="109">
        <f>'G-2 Habitat groups'!BB41</f>
        <v>0</v>
      </c>
      <c r="E51" s="109">
        <f>'G-2 Habitat groups'!BD41</f>
        <v>0</v>
      </c>
      <c r="F51" s="109">
        <f>'G-2 Habitat groups'!BE41</f>
        <v>0</v>
      </c>
      <c r="G51" s="110" t="str">
        <f>'G-2 Habitat groups'!BF41</f>
        <v/>
      </c>
      <c r="H51" s="44"/>
      <c r="I51" s="44"/>
      <c r="J51" s="44"/>
      <c r="K51" s="44"/>
      <c r="L51" s="44"/>
      <c r="M51" s="44"/>
    </row>
    <row r="52" spans="1:15" x14ac:dyDescent="0.25">
      <c r="A52" s="44"/>
      <c r="B52" s="531" t="str">
        <f>'G-2 Habitat groups'!AU42</f>
        <v>Lakes - Moderate alkalinity lakes</v>
      </c>
      <c r="C52" s="532" t="str">
        <f>'G-2 Habitat groups'!AV42</f>
        <v>Lakes</v>
      </c>
      <c r="D52" s="109">
        <f>'G-2 Habitat groups'!BB42</f>
        <v>0</v>
      </c>
      <c r="E52" s="109">
        <f>'G-2 Habitat groups'!BD42</f>
        <v>0</v>
      </c>
      <c r="F52" s="109">
        <f>'G-2 Habitat groups'!BE42</f>
        <v>0</v>
      </c>
      <c r="G52" s="110" t="str">
        <f>'G-2 Habitat groups'!BF42</f>
        <v/>
      </c>
      <c r="H52" s="44"/>
      <c r="I52" s="44"/>
      <c r="J52" s="44"/>
      <c r="K52" s="44"/>
      <c r="L52" s="44"/>
      <c r="M52" s="44"/>
    </row>
    <row r="53" spans="1:15" x14ac:dyDescent="0.25">
      <c r="A53" s="44"/>
      <c r="B53" s="531" t="str">
        <f>'G-2 Habitat groups'!AU43</f>
        <v>Lakes - Peat Lakes</v>
      </c>
      <c r="C53" s="532" t="str">
        <f>'G-2 Habitat groups'!AV43</f>
        <v>Lakes</v>
      </c>
      <c r="D53" s="109">
        <f>'G-2 Habitat groups'!BB43</f>
        <v>0</v>
      </c>
      <c r="E53" s="109">
        <f>'G-2 Habitat groups'!BD43</f>
        <v>0</v>
      </c>
      <c r="F53" s="109">
        <f>'G-2 Habitat groups'!BE43</f>
        <v>0</v>
      </c>
      <c r="G53" s="110" t="str">
        <f>'G-2 Habitat groups'!BF43</f>
        <v/>
      </c>
      <c r="H53" s="44"/>
      <c r="I53" s="44"/>
      <c r="J53" s="44"/>
      <c r="K53" s="44"/>
      <c r="L53" s="44"/>
      <c r="M53" s="44"/>
    </row>
    <row r="54" spans="1:15" x14ac:dyDescent="0.25">
      <c r="A54" s="44"/>
      <c r="B54" s="531" t="str">
        <f>'G-2 Habitat groups'!AU44</f>
        <v>Lakes - Ponds (Priority Habitat)</v>
      </c>
      <c r="C54" s="532" t="str">
        <f>'G-2 Habitat groups'!AV44</f>
        <v>Lakes</v>
      </c>
      <c r="D54" s="109">
        <f>'G-2 Habitat groups'!BB44</f>
        <v>0</v>
      </c>
      <c r="E54" s="109">
        <f>'G-2 Habitat groups'!BD44</f>
        <v>0</v>
      </c>
      <c r="F54" s="109">
        <f>'G-2 Habitat groups'!BE44</f>
        <v>0</v>
      </c>
      <c r="G54" s="110" t="str">
        <f>'G-2 Habitat groups'!BF44</f>
        <v/>
      </c>
      <c r="H54" s="44"/>
      <c r="I54" s="44"/>
      <c r="J54" s="44"/>
      <c r="K54" s="44"/>
      <c r="L54" s="44"/>
      <c r="M54" s="44"/>
    </row>
    <row r="55" spans="1:15" ht="15" customHeight="1" x14ac:dyDescent="0.25">
      <c r="A55" s="44"/>
      <c r="B55" s="531" t="str">
        <f>'G-2 Habitat groups'!AU45</f>
        <v>Lakes - Temporary lakes, ponds and pools</v>
      </c>
      <c r="C55" s="532" t="str">
        <f>'G-2 Habitat groups'!AV45</f>
        <v>Lakes</v>
      </c>
      <c r="D55" s="109">
        <f>'G-2 Habitat groups'!BB45</f>
        <v>0</v>
      </c>
      <c r="E55" s="109">
        <f>'G-2 Habitat groups'!BD45</f>
        <v>0</v>
      </c>
      <c r="F55" s="109">
        <f>'G-2 Habitat groups'!BE45</f>
        <v>0</v>
      </c>
      <c r="G55" s="110" t="str">
        <f>'G-2 Habitat groups'!BF45</f>
        <v/>
      </c>
      <c r="H55" s="44"/>
      <c r="I55" s="44"/>
      <c r="J55" s="44"/>
      <c r="K55" s="44"/>
      <c r="L55" s="44"/>
      <c r="M55" s="44"/>
    </row>
    <row r="56" spans="1:15" ht="15" customHeight="1" x14ac:dyDescent="0.25">
      <c r="A56" s="44"/>
      <c r="B56" s="531" t="str">
        <f>'G-2 Habitat groups'!AU46</f>
        <v>Sparsely vegetated land - Coastal sand dunes</v>
      </c>
      <c r="C56" s="532" t="str">
        <f>'G-2 Habitat groups'!AV46</f>
        <v>Sparsely vegetated land</v>
      </c>
      <c r="D56" s="109">
        <f>'G-2 Habitat groups'!BB46</f>
        <v>0</v>
      </c>
      <c r="E56" s="109">
        <f>'G-2 Habitat groups'!BD46</f>
        <v>0</v>
      </c>
      <c r="F56" s="109">
        <f>'G-2 Habitat groups'!BE46</f>
        <v>0</v>
      </c>
      <c r="G56" s="110" t="str">
        <f>'G-2 Habitat groups'!BF46</f>
        <v/>
      </c>
      <c r="H56" s="44"/>
      <c r="I56" s="44"/>
      <c r="J56" s="44"/>
      <c r="K56" s="44"/>
      <c r="L56" s="44"/>
    </row>
    <row r="57" spans="1:15" x14ac:dyDescent="0.25">
      <c r="A57" s="44"/>
      <c r="B57" s="531" t="str">
        <f>'G-2 Habitat groups'!AU47</f>
        <v>Sparsely vegetated land - Coastal vegetated shingle</v>
      </c>
      <c r="C57" s="532" t="str">
        <f>'G-2 Habitat groups'!AV47</f>
        <v>Sparsely vegetated land</v>
      </c>
      <c r="D57" s="109">
        <f>'G-2 Habitat groups'!BB47</f>
        <v>0</v>
      </c>
      <c r="E57" s="109">
        <f>'G-2 Habitat groups'!BD47</f>
        <v>0</v>
      </c>
      <c r="F57" s="109">
        <f>'G-2 Habitat groups'!BE47</f>
        <v>0</v>
      </c>
      <c r="G57" s="110" t="str">
        <f>'G-2 Habitat groups'!BF47</f>
        <v/>
      </c>
      <c r="H57" s="44"/>
      <c r="I57" s="44"/>
      <c r="J57" s="44"/>
      <c r="K57" s="44"/>
      <c r="L57" s="44"/>
    </row>
    <row r="58" spans="1:15" x14ac:dyDescent="0.25">
      <c r="A58" s="44"/>
      <c r="B58" s="531" t="str">
        <f>'G-2 Habitat groups'!AU48</f>
        <v>Sparsely vegetated land - Inland rock outcrop and scree habitats</v>
      </c>
      <c r="C58" s="532" t="str">
        <f>'G-2 Habitat groups'!AV48</f>
        <v>Sparsely vegetated land</v>
      </c>
      <c r="D58" s="109">
        <f>'G-2 Habitat groups'!BB48</f>
        <v>0</v>
      </c>
      <c r="E58" s="109">
        <f>'G-2 Habitat groups'!BD48</f>
        <v>0</v>
      </c>
      <c r="F58" s="109">
        <f>'G-2 Habitat groups'!BE48</f>
        <v>0</v>
      </c>
      <c r="G58" s="110" t="str">
        <f>'G-2 Habitat groups'!BF48</f>
        <v/>
      </c>
      <c r="H58" s="44"/>
      <c r="I58" s="44"/>
      <c r="J58" s="44"/>
      <c r="K58" s="44"/>
      <c r="L58" s="44"/>
      <c r="M58" s="44"/>
      <c r="N58" s="44"/>
      <c r="O58" s="44"/>
    </row>
    <row r="59" spans="1:15" x14ac:dyDescent="0.25">
      <c r="A59" s="44"/>
      <c r="B59" s="531" t="str">
        <f>'G-2 Habitat groups'!AU49</f>
        <v>Sparsely vegetated land - Maritime cliff and slopes</v>
      </c>
      <c r="C59" s="532" t="str">
        <f>'G-2 Habitat groups'!AV49</f>
        <v>Sparsely vegetated land</v>
      </c>
      <c r="D59" s="109">
        <f>'G-2 Habitat groups'!BB49</f>
        <v>0</v>
      </c>
      <c r="E59" s="109">
        <f>'G-2 Habitat groups'!BD49</f>
        <v>0</v>
      </c>
      <c r="F59" s="109">
        <f>'G-2 Habitat groups'!BE49</f>
        <v>0</v>
      </c>
      <c r="G59" s="110" t="str">
        <f>'G-2 Habitat groups'!BF49</f>
        <v/>
      </c>
      <c r="H59" s="44"/>
      <c r="I59" s="44"/>
      <c r="J59" s="44"/>
      <c r="K59" s="44"/>
      <c r="L59" s="44"/>
      <c r="M59" s="44"/>
      <c r="N59" s="44"/>
      <c r="O59" s="44"/>
    </row>
    <row r="60" spans="1:15" x14ac:dyDescent="0.25">
      <c r="A60" s="44"/>
      <c r="B60" s="531" t="str">
        <f>'G-2 Habitat groups'!AU50</f>
        <v>Urban - Open Mosaic Habitats on Previously Developed Land</v>
      </c>
      <c r="C60" s="532" t="str">
        <f>'G-2 Habitat groups'!AV50</f>
        <v>Urban</v>
      </c>
      <c r="D60" s="109">
        <f>'G-2 Habitat groups'!BB50</f>
        <v>0</v>
      </c>
      <c r="E60" s="109">
        <f>'G-2 Habitat groups'!BD50</f>
        <v>0</v>
      </c>
      <c r="F60" s="109">
        <f>'G-2 Habitat groups'!BE50</f>
        <v>0</v>
      </c>
      <c r="G60" s="110" t="str">
        <f>'G-2 Habitat groups'!BF50</f>
        <v/>
      </c>
      <c r="H60" s="44"/>
      <c r="K60" s="44"/>
      <c r="L60" s="44"/>
      <c r="M60" s="44"/>
      <c r="N60" s="44"/>
      <c r="O60" s="44"/>
    </row>
    <row r="61" spans="1:15" x14ac:dyDescent="0.25">
      <c r="A61" s="44"/>
      <c r="B61" s="531" t="str">
        <f>'G-2 Habitat groups'!AU51</f>
        <v>Wetland - Reedbeds</v>
      </c>
      <c r="C61" s="532" t="str">
        <f>'G-2 Habitat groups'!AV51</f>
        <v>Wetland</v>
      </c>
      <c r="D61" s="109">
        <f>'G-2 Habitat groups'!BB51</f>
        <v>0</v>
      </c>
      <c r="E61" s="109">
        <f>'G-2 Habitat groups'!BD51</f>
        <v>0</v>
      </c>
      <c r="F61" s="109">
        <f>'G-2 Habitat groups'!BE51</f>
        <v>0</v>
      </c>
      <c r="G61" s="110" t="str">
        <f>'G-2 Habitat groups'!BF51</f>
        <v/>
      </c>
      <c r="H61" s="44"/>
      <c r="K61" s="44"/>
      <c r="L61" s="44"/>
      <c r="M61" s="44"/>
      <c r="N61" s="44"/>
      <c r="O61" s="44"/>
    </row>
    <row r="62" spans="1:15" x14ac:dyDescent="0.25">
      <c r="A62" s="44"/>
      <c r="B62" s="531" t="str">
        <f>'G-2 Habitat groups'!AU52</f>
        <v>Woodland and forest - Felled</v>
      </c>
      <c r="C62" s="532" t="str">
        <f>'G-2 Habitat groups'!AV52</f>
        <v>Woodland and forest</v>
      </c>
      <c r="D62" s="109">
        <f>'G-2 Habitat groups'!BB52</f>
        <v>0</v>
      </c>
      <c r="E62" s="109">
        <f>'G-2 Habitat groups'!BD52</f>
        <v>0</v>
      </c>
      <c r="F62" s="109">
        <f>'G-2 Habitat groups'!BE52</f>
        <v>0</v>
      </c>
      <c r="G62" s="110" t="str">
        <f>'G-2 Habitat groups'!BF52</f>
        <v/>
      </c>
      <c r="H62" s="44"/>
      <c r="K62" s="44"/>
      <c r="L62" s="44"/>
      <c r="M62" s="44"/>
      <c r="N62" s="44"/>
      <c r="O62" s="44"/>
    </row>
    <row r="63" spans="1:15" x14ac:dyDescent="0.25">
      <c r="A63" s="44"/>
      <c r="B63" s="531" t="str">
        <f>'G-2 Habitat groups'!AU53</f>
        <v>Woodland and forest - Lowland beech and yew woodland</v>
      </c>
      <c r="C63" s="532" t="str">
        <f>'G-2 Habitat groups'!AV53</f>
        <v>Woodland and forest</v>
      </c>
      <c r="D63" s="109">
        <f>'G-2 Habitat groups'!BB53</f>
        <v>0</v>
      </c>
      <c r="E63" s="109">
        <f>'G-2 Habitat groups'!BD53</f>
        <v>0</v>
      </c>
      <c r="F63" s="109">
        <f>'G-2 Habitat groups'!BE53</f>
        <v>0</v>
      </c>
      <c r="G63" s="110" t="str">
        <f>'G-2 Habitat groups'!BF53</f>
        <v/>
      </c>
      <c r="H63" s="44"/>
      <c r="I63" s="44"/>
      <c r="J63" s="44"/>
      <c r="K63" s="44"/>
      <c r="L63" s="44"/>
      <c r="M63" s="44"/>
      <c r="N63" s="44"/>
      <c r="O63" s="44"/>
    </row>
    <row r="64" spans="1:15" x14ac:dyDescent="0.25">
      <c r="A64" s="44"/>
      <c r="B64" s="531" t="str">
        <f>'G-2 Habitat groups'!AU54</f>
        <v>Woodland and forest - Lowland mixed deciduous woodland</v>
      </c>
      <c r="C64" s="532" t="str">
        <f>'G-2 Habitat groups'!AV54</f>
        <v>Woodland and forest</v>
      </c>
      <c r="D64" s="109">
        <f>'G-2 Habitat groups'!BB54</f>
        <v>0</v>
      </c>
      <c r="E64" s="109">
        <f>'G-2 Habitat groups'!BD54</f>
        <v>0</v>
      </c>
      <c r="F64" s="109">
        <f>'G-2 Habitat groups'!BE54</f>
        <v>0</v>
      </c>
      <c r="G64" s="110" t="str">
        <f>'G-2 Habitat groups'!BF54</f>
        <v/>
      </c>
      <c r="H64" s="44"/>
      <c r="I64" s="44"/>
      <c r="J64" s="44"/>
      <c r="K64" s="44"/>
      <c r="L64" s="44"/>
      <c r="M64" s="44"/>
      <c r="N64" s="44"/>
      <c r="O64" s="44"/>
    </row>
    <row r="65" spans="1:15" x14ac:dyDescent="0.25">
      <c r="A65" s="44"/>
      <c r="B65" s="531" t="str">
        <f>'G-2 Habitat groups'!AU55</f>
        <v>Woodland and forest - Native pine woodlands</v>
      </c>
      <c r="C65" s="532" t="str">
        <f>'G-2 Habitat groups'!AV55</f>
        <v>Woodland and forest</v>
      </c>
      <c r="D65" s="109">
        <f>'G-2 Habitat groups'!BB55</f>
        <v>0</v>
      </c>
      <c r="E65" s="109">
        <f>'G-2 Habitat groups'!BD55</f>
        <v>0</v>
      </c>
      <c r="F65" s="109">
        <f>'G-2 Habitat groups'!BE55</f>
        <v>0</v>
      </c>
      <c r="G65" s="110" t="str">
        <f>'G-2 Habitat groups'!BF55</f>
        <v/>
      </c>
      <c r="H65" s="44"/>
      <c r="I65" s="44"/>
      <c r="J65" s="44"/>
      <c r="K65" s="44"/>
      <c r="L65" s="44"/>
      <c r="M65" s="44"/>
      <c r="N65" s="44"/>
      <c r="O65" s="44"/>
    </row>
    <row r="66" spans="1:15" x14ac:dyDescent="0.25">
      <c r="A66" s="44"/>
      <c r="B66" s="531" t="str">
        <f>'G-2 Habitat groups'!AU56</f>
        <v>Woodland and forest - Upland birchwoods</v>
      </c>
      <c r="C66" s="532" t="str">
        <f>'G-2 Habitat groups'!AV56</f>
        <v>Woodland and forest</v>
      </c>
      <c r="D66" s="109">
        <f>'G-2 Habitat groups'!BB56</f>
        <v>0</v>
      </c>
      <c r="E66" s="109">
        <f>'G-2 Habitat groups'!BD56</f>
        <v>0</v>
      </c>
      <c r="F66" s="109">
        <f>'G-2 Habitat groups'!BE56</f>
        <v>0</v>
      </c>
      <c r="G66" s="110" t="str">
        <f>'G-2 Habitat groups'!BF56</f>
        <v/>
      </c>
      <c r="H66" s="44"/>
      <c r="I66" s="44"/>
      <c r="J66" s="44"/>
      <c r="K66" s="44"/>
      <c r="L66" s="44"/>
      <c r="M66" s="44"/>
      <c r="N66" s="44"/>
      <c r="O66" s="44"/>
    </row>
    <row r="67" spans="1:15" x14ac:dyDescent="0.25">
      <c r="A67" s="44"/>
      <c r="B67" s="531" t="str">
        <f>'G-2 Habitat groups'!AU57</f>
        <v>Woodland and forest - Upland mixed ashwoods</v>
      </c>
      <c r="C67" s="532" t="str">
        <f>'G-2 Habitat groups'!AV57</f>
        <v>Woodland and forest</v>
      </c>
      <c r="D67" s="109">
        <f>'G-2 Habitat groups'!BB57</f>
        <v>0</v>
      </c>
      <c r="E67" s="109">
        <f>'G-2 Habitat groups'!BD57</f>
        <v>0</v>
      </c>
      <c r="F67" s="109">
        <f>'G-2 Habitat groups'!BE57</f>
        <v>0</v>
      </c>
      <c r="G67" s="110" t="str">
        <f>'G-2 Habitat groups'!BF57</f>
        <v/>
      </c>
      <c r="H67" s="44"/>
      <c r="I67" s="44"/>
      <c r="J67" s="44"/>
      <c r="K67" s="44"/>
      <c r="L67" s="44"/>
      <c r="M67" s="44"/>
      <c r="N67" s="44"/>
      <c r="O67" s="44"/>
    </row>
    <row r="68" spans="1:15" x14ac:dyDescent="0.25">
      <c r="A68" s="44"/>
      <c r="B68" s="531" t="str">
        <f>'G-2 Habitat groups'!AU58</f>
        <v>Woodland and forest - Upland oakwood</v>
      </c>
      <c r="C68" s="532" t="str">
        <f>'G-2 Habitat groups'!AV58</f>
        <v>Woodland and forest</v>
      </c>
      <c r="D68" s="109">
        <f>'G-2 Habitat groups'!BB58</f>
        <v>0</v>
      </c>
      <c r="E68" s="109">
        <f>'G-2 Habitat groups'!BD58</f>
        <v>0</v>
      </c>
      <c r="F68" s="109">
        <f>'G-2 Habitat groups'!BE58</f>
        <v>0</v>
      </c>
      <c r="G68" s="110" t="str">
        <f>'G-2 Habitat groups'!BF58</f>
        <v/>
      </c>
      <c r="H68" s="44"/>
      <c r="I68" s="44"/>
      <c r="J68" s="44"/>
      <c r="K68" s="44"/>
      <c r="L68" s="44"/>
      <c r="M68" s="44"/>
      <c r="N68" s="44"/>
      <c r="O68" s="44"/>
    </row>
    <row r="69" spans="1:15" ht="14.4" customHeight="1" x14ac:dyDescent="0.25">
      <c r="A69" s="44"/>
      <c r="B69" s="531" t="str">
        <f>'G-2 Habitat groups'!AU59</f>
        <v>Woodland and forest - Wet woodland</v>
      </c>
      <c r="C69" s="532" t="str">
        <f>'G-2 Habitat groups'!AV59</f>
        <v>Woodland and forest</v>
      </c>
      <c r="D69" s="109">
        <f>'G-2 Habitat groups'!BB59</f>
        <v>0</v>
      </c>
      <c r="E69" s="109">
        <f>'G-2 Habitat groups'!BD59</f>
        <v>0</v>
      </c>
      <c r="F69" s="109">
        <f>'G-2 Habitat groups'!BE59</f>
        <v>0</v>
      </c>
      <c r="G69" s="110" t="str">
        <f>'G-2 Habitat groups'!BF59</f>
        <v/>
      </c>
      <c r="H69" s="44"/>
      <c r="I69" s="44"/>
      <c r="J69" s="44"/>
      <c r="K69" s="44"/>
      <c r="L69" s="44"/>
      <c r="M69" s="44"/>
      <c r="N69" s="44"/>
      <c r="O69" s="44"/>
    </row>
    <row r="70" spans="1:15" x14ac:dyDescent="0.25">
      <c r="A70" s="44"/>
      <c r="B70" s="531" t="str">
        <f>'G-2 Habitat groups'!AU60</f>
        <v>Coastal lagoons - Coastal lagoons</v>
      </c>
      <c r="C70" s="532" t="str">
        <f>'G-2 Habitat groups'!AV60</f>
        <v>Coastal lagoons</v>
      </c>
      <c r="D70" s="109">
        <f>'G-2 Habitat groups'!BB60</f>
        <v>0</v>
      </c>
      <c r="E70" s="109">
        <f>'G-2 Habitat groups'!BD60</f>
        <v>0</v>
      </c>
      <c r="F70" s="109">
        <f>'G-2 Habitat groups'!BE60</f>
        <v>0</v>
      </c>
      <c r="G70" s="110" t="str">
        <f>'G-2 Habitat groups'!BF60</f>
        <v/>
      </c>
      <c r="H70" s="44"/>
      <c r="I70" s="44"/>
      <c r="J70" s="44"/>
      <c r="K70" s="44"/>
      <c r="L70" s="44"/>
      <c r="M70" s="44"/>
      <c r="N70" s="44"/>
      <c r="O70" s="44"/>
    </row>
    <row r="71" spans="1:15" x14ac:dyDescent="0.25">
      <c r="A71" s="44"/>
      <c r="B71" s="531" t="str">
        <f>'G-2 Habitat groups'!AU61</f>
        <v>Rocky shore - High energy littoral rock</v>
      </c>
      <c r="C71" s="532" t="str">
        <f>'G-2 Habitat groups'!AV61</f>
        <v>Rocky shore</v>
      </c>
      <c r="D71" s="109">
        <f>'G-2 Habitat groups'!BB61</f>
        <v>0</v>
      </c>
      <c r="E71" s="109">
        <f>'G-2 Habitat groups'!BD61</f>
        <v>0</v>
      </c>
      <c r="F71" s="109">
        <f>'G-2 Habitat groups'!BE61</f>
        <v>0</v>
      </c>
      <c r="G71" s="110" t="str">
        <f>'G-2 Habitat groups'!BF61</f>
        <v/>
      </c>
      <c r="H71" s="44"/>
      <c r="I71" s="44"/>
      <c r="J71" s="44"/>
      <c r="K71" s="44"/>
      <c r="L71" s="44"/>
      <c r="M71" s="44"/>
      <c r="N71" s="44"/>
      <c r="O71" s="44"/>
    </row>
    <row r="72" spans="1:15" x14ac:dyDescent="0.25">
      <c r="A72" s="44"/>
      <c r="B72" s="531" t="str">
        <f>'G-2 Habitat groups'!AU62</f>
        <v>Rocky shore - Moderate energy littoral rock</v>
      </c>
      <c r="C72" s="532" t="str">
        <f>'G-2 Habitat groups'!AV62</f>
        <v>Rocky shore</v>
      </c>
      <c r="D72" s="109">
        <f>'G-2 Habitat groups'!BB62</f>
        <v>0</v>
      </c>
      <c r="E72" s="109">
        <f>'G-2 Habitat groups'!BD62</f>
        <v>0</v>
      </c>
      <c r="F72" s="109">
        <f>'G-2 Habitat groups'!BE62</f>
        <v>0</v>
      </c>
      <c r="G72" s="110" t="str">
        <f>'G-2 Habitat groups'!BF62</f>
        <v/>
      </c>
      <c r="H72" s="44"/>
      <c r="I72" s="44"/>
      <c r="J72" s="44"/>
      <c r="K72" s="44"/>
      <c r="L72" s="44"/>
      <c r="M72" s="44"/>
      <c r="N72" s="44"/>
      <c r="O72" s="44"/>
    </row>
    <row r="73" spans="1:15" x14ac:dyDescent="0.25">
      <c r="A73" s="44"/>
      <c r="B73" s="531" t="str">
        <f>'G-2 Habitat groups'!AU63</f>
        <v>Rocky shore - Low energy littoral rock</v>
      </c>
      <c r="C73" s="532" t="str">
        <f>'G-2 Habitat groups'!AV63</f>
        <v>Rocky shore</v>
      </c>
      <c r="D73" s="109">
        <f>'G-2 Habitat groups'!BB63</f>
        <v>0</v>
      </c>
      <c r="E73" s="109">
        <f>'G-2 Habitat groups'!BD63</f>
        <v>0</v>
      </c>
      <c r="F73" s="109">
        <f>'G-2 Habitat groups'!BE63</f>
        <v>0</v>
      </c>
      <c r="G73" s="110" t="str">
        <f>'G-2 Habitat groups'!BF63</f>
        <v/>
      </c>
      <c r="H73" s="44"/>
      <c r="I73" s="44"/>
      <c r="J73" s="44"/>
      <c r="K73" s="44"/>
      <c r="L73" s="44"/>
      <c r="M73" s="44"/>
      <c r="N73" s="44"/>
      <c r="O73" s="44"/>
    </row>
    <row r="74" spans="1:15" x14ac:dyDescent="0.25">
      <c r="A74" s="44"/>
      <c r="B74" s="531" t="str">
        <f>'G-2 Habitat groups'!AU64</f>
        <v>Rocky shore - Features of littoral rock</v>
      </c>
      <c r="C74" s="532" t="str">
        <f>'G-2 Habitat groups'!AV64</f>
        <v>Rocky shore</v>
      </c>
      <c r="D74" s="109">
        <f>'G-2 Habitat groups'!BB64</f>
        <v>0</v>
      </c>
      <c r="E74" s="109">
        <f>'G-2 Habitat groups'!BD64</f>
        <v>0</v>
      </c>
      <c r="F74" s="109">
        <f>'G-2 Habitat groups'!BE64</f>
        <v>0</v>
      </c>
      <c r="G74" s="110" t="str">
        <f>'G-2 Habitat groups'!BF64</f>
        <v/>
      </c>
      <c r="H74" s="44"/>
      <c r="I74" s="44"/>
      <c r="J74" s="44"/>
      <c r="K74" s="44"/>
      <c r="L74" s="44"/>
      <c r="M74" s="44"/>
      <c r="N74" s="44"/>
      <c r="O74" s="44"/>
    </row>
    <row r="75" spans="1:15" x14ac:dyDescent="0.25">
      <c r="A75" s="44"/>
      <c r="B75" s="531" t="str">
        <f>'G-2 Habitat groups'!AU65</f>
        <v>Intertidal sediment - Littoral mud</v>
      </c>
      <c r="C75" s="532" t="str">
        <f>'G-2 Habitat groups'!AV65</f>
        <v>Intertidal sediment</v>
      </c>
      <c r="D75" s="109">
        <f>'G-2 Habitat groups'!BB65</f>
        <v>0</v>
      </c>
      <c r="E75" s="109">
        <f>'G-2 Habitat groups'!BD65</f>
        <v>0</v>
      </c>
      <c r="F75" s="109">
        <f>'G-2 Habitat groups'!BE65</f>
        <v>0</v>
      </c>
      <c r="G75" s="110" t="str">
        <f>'G-2 Habitat groups'!BF65</f>
        <v/>
      </c>
      <c r="H75" s="44"/>
      <c r="I75" s="44"/>
      <c r="J75" s="44"/>
      <c r="K75" s="44"/>
      <c r="L75" s="44"/>
      <c r="M75" s="44"/>
      <c r="N75" s="44"/>
      <c r="O75" s="44"/>
    </row>
    <row r="76" spans="1:15" x14ac:dyDescent="0.25">
      <c r="A76" s="44"/>
      <c r="B76" s="531" t="str">
        <f>'G-2 Habitat groups'!AU66</f>
        <v>Intertidal sediment - Littoral mixed sediments</v>
      </c>
      <c r="C76" s="532" t="str">
        <f>'G-2 Habitat groups'!AV66</f>
        <v>Intertidal sediment</v>
      </c>
      <c r="D76" s="109">
        <f>'G-2 Habitat groups'!BB66</f>
        <v>0</v>
      </c>
      <c r="E76" s="109">
        <f>'G-2 Habitat groups'!BD66</f>
        <v>0</v>
      </c>
      <c r="F76" s="109">
        <f>'G-2 Habitat groups'!BE66</f>
        <v>0</v>
      </c>
      <c r="G76" s="110" t="str">
        <f>'G-2 Habitat groups'!BF66</f>
        <v/>
      </c>
      <c r="H76" s="44"/>
      <c r="I76" s="44"/>
      <c r="J76" s="44"/>
      <c r="K76" s="44"/>
      <c r="L76" s="44"/>
      <c r="M76" s="44"/>
      <c r="N76" s="44"/>
      <c r="O76" s="44"/>
    </row>
    <row r="77" spans="1:15" x14ac:dyDescent="0.25">
      <c r="A77" s="44"/>
      <c r="B77" s="531" t="str">
        <f>'G-2 Habitat groups'!AU67</f>
        <v>Coastal saltmarsh - Saltmarshes and saline reedbeds</v>
      </c>
      <c r="C77" s="532" t="str">
        <f>'G-2 Habitat groups'!AV67</f>
        <v>Coastal Saltmarsh</v>
      </c>
      <c r="D77" s="109">
        <f>'G-2 Habitat groups'!BB67</f>
        <v>0</v>
      </c>
      <c r="E77" s="109">
        <f>'G-2 Habitat groups'!BD67</f>
        <v>0</v>
      </c>
      <c r="F77" s="109">
        <f>'G-2 Habitat groups'!BE67</f>
        <v>0</v>
      </c>
      <c r="G77" s="110" t="str">
        <f>'G-2 Habitat groups'!BF67</f>
        <v/>
      </c>
      <c r="H77" s="44"/>
      <c r="I77" s="44"/>
      <c r="J77" s="44"/>
      <c r="K77" s="44"/>
      <c r="L77" s="44"/>
      <c r="M77" s="44"/>
      <c r="N77" s="44"/>
      <c r="O77" s="44"/>
    </row>
    <row r="78" spans="1:15" x14ac:dyDescent="0.25">
      <c r="A78" s="44"/>
      <c r="B78" s="531" t="str">
        <f>'G-2 Habitat groups'!AU68</f>
        <v>Intertidal sediment - Littoral biogenic reefs - Mussels</v>
      </c>
      <c r="C78" s="532" t="str">
        <f>'G-2 Habitat groups'!AV68</f>
        <v>Intertidal sediment</v>
      </c>
      <c r="D78" s="109">
        <f>'G-2 Habitat groups'!BB68</f>
        <v>0</v>
      </c>
      <c r="E78" s="109">
        <f>'G-2 Habitat groups'!BD68</f>
        <v>0</v>
      </c>
      <c r="F78" s="109">
        <f>'G-2 Habitat groups'!BE68</f>
        <v>0</v>
      </c>
      <c r="G78" s="110" t="str">
        <f>'G-2 Habitat groups'!BF68</f>
        <v/>
      </c>
      <c r="H78" s="44"/>
      <c r="I78" s="44"/>
      <c r="J78" s="44"/>
      <c r="K78" s="44"/>
      <c r="L78" s="44"/>
      <c r="M78" s="44"/>
      <c r="N78" s="44"/>
      <c r="O78" s="44"/>
    </row>
    <row r="79" spans="1:15" x14ac:dyDescent="0.25">
      <c r="A79" s="44"/>
      <c r="B79" s="531" t="str">
        <f>'G-2 Habitat groups'!AU69</f>
        <v>Intertidal sediment - Littoral biogenic reefs - Sabellaria</v>
      </c>
      <c r="C79" s="532" t="str">
        <f>'G-2 Habitat groups'!AV69</f>
        <v>Intertidal sediment</v>
      </c>
      <c r="D79" s="109">
        <f>'G-2 Habitat groups'!BB69</f>
        <v>0</v>
      </c>
      <c r="E79" s="109">
        <f>'G-2 Habitat groups'!BD69</f>
        <v>0</v>
      </c>
      <c r="F79" s="109">
        <f>'G-2 Habitat groups'!BE69</f>
        <v>0</v>
      </c>
      <c r="G79" s="110" t="str">
        <f>'G-2 Habitat groups'!BF69</f>
        <v/>
      </c>
      <c r="H79" s="44"/>
      <c r="I79" s="44"/>
      <c r="J79" s="44"/>
      <c r="K79" s="44"/>
      <c r="L79" s="44"/>
      <c r="M79" s="44"/>
      <c r="N79" s="44"/>
      <c r="O79" s="44"/>
    </row>
    <row r="80" spans="1:15" x14ac:dyDescent="0.25">
      <c r="A80" s="44"/>
      <c r="B80" s="533" t="str">
        <f>'G-2 Habitat groups'!AU70</f>
        <v>Intertidal sediment - Features of littoral sediment</v>
      </c>
      <c r="C80" s="534" t="str">
        <f>'G-2 Habitat groups'!AV70</f>
        <v>Intertidal sediment</v>
      </c>
      <c r="D80" s="109">
        <f>'G-2 Habitat groups'!BB70</f>
        <v>0</v>
      </c>
      <c r="E80" s="109">
        <f>'G-2 Habitat groups'!BD70</f>
        <v>0</v>
      </c>
      <c r="F80" s="109">
        <f>'G-2 Habitat groups'!BE70</f>
        <v>0</v>
      </c>
      <c r="G80" s="110" t="str">
        <f>'G-2 Habitat groups'!BF70</f>
        <v/>
      </c>
      <c r="H80" s="44"/>
      <c r="I80" s="44"/>
      <c r="J80" s="44"/>
      <c r="K80" s="44"/>
      <c r="L80" s="44"/>
      <c r="M80" s="44"/>
      <c r="N80" s="44"/>
      <c r="O80" s="44"/>
    </row>
    <row r="81" spans="1:17" ht="14.4" thickBot="1" x14ac:dyDescent="0.3">
      <c r="A81" s="44"/>
      <c r="B81" s="535" t="str">
        <f>'G-2 Habitat groups'!AU71</f>
        <v>Intertidal sediment - Littoral muddy sand</v>
      </c>
      <c r="C81" s="536" t="str">
        <f>'G-2 Habitat groups'!AV71</f>
        <v>Intertidal sediment</v>
      </c>
      <c r="D81" s="109">
        <f>'G-2 Habitat groups'!BB71</f>
        <v>0</v>
      </c>
      <c r="E81" s="109">
        <f>'G-2 Habitat groups'!BD71</f>
        <v>0</v>
      </c>
      <c r="F81" s="109">
        <f>'G-2 Habitat groups'!BE71</f>
        <v>0</v>
      </c>
      <c r="G81" s="110" t="str">
        <f>'G-2 Habitat groups'!BF71</f>
        <v/>
      </c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7" ht="14.4" thickBot="1" x14ac:dyDescent="0.3">
      <c r="A82" s="44"/>
      <c r="B82" s="51"/>
      <c r="C82" s="51"/>
      <c r="D82" s="105">
        <f>SUM(D41:D81)</f>
        <v>0</v>
      </c>
      <c r="E82" s="106">
        <f>SUM(E41:E81)</f>
        <v>0</v>
      </c>
      <c r="F82" s="107">
        <f>SUM(F41:F81)</f>
        <v>0</v>
      </c>
      <c r="G82" s="108">
        <f>SUM(G41:G81)</f>
        <v>0</v>
      </c>
      <c r="H82" s="44"/>
      <c r="I82" s="44"/>
      <c r="J82" s="44"/>
      <c r="K82" s="44"/>
      <c r="L82" s="44"/>
      <c r="M82" s="44"/>
      <c r="N82" s="44"/>
      <c r="O82" s="44"/>
      <c r="P82" s="44"/>
      <c r="Q82" s="44"/>
    </row>
    <row r="83" spans="1:17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7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17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7" ht="14.4" thickBot="1" x14ac:dyDescent="0.3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</row>
    <row r="87" spans="1:17" ht="28.2" thickBot="1" x14ac:dyDescent="0.45">
      <c r="A87" s="44"/>
      <c r="B87" s="914" t="s">
        <v>1327</v>
      </c>
      <c r="C87" s="915"/>
      <c r="D87" s="915"/>
      <c r="E87" s="915"/>
      <c r="F87" s="915"/>
      <c r="G87" s="916"/>
      <c r="H87" s="44"/>
      <c r="I87" s="907" t="s">
        <v>1339</v>
      </c>
      <c r="J87" s="908"/>
      <c r="K87" s="44"/>
      <c r="L87" s="44"/>
      <c r="M87" s="44"/>
      <c r="N87" s="44"/>
      <c r="O87" s="44"/>
    </row>
    <row r="88" spans="1:17" ht="47.4" thickBot="1" x14ac:dyDescent="0.3">
      <c r="A88" s="44"/>
      <c r="B88" s="537" t="s">
        <v>148</v>
      </c>
      <c r="C88" s="538" t="s">
        <v>134</v>
      </c>
      <c r="D88" s="538" t="s">
        <v>1078</v>
      </c>
      <c r="E88" s="538" t="s">
        <v>1325</v>
      </c>
      <c r="F88" s="538" t="s">
        <v>1077</v>
      </c>
      <c r="G88" s="539" t="s">
        <v>1336</v>
      </c>
      <c r="H88" s="44"/>
      <c r="I88" s="120" t="s">
        <v>1346</v>
      </c>
      <c r="J88" s="156">
        <f>SUMIF(G89:G114,"&gt;0")</f>
        <v>0.23599424050816004</v>
      </c>
      <c r="K88" s="44"/>
      <c r="L88" s="44"/>
    </row>
    <row r="89" spans="1:17" ht="27.6" x14ac:dyDescent="0.25">
      <c r="A89" s="44"/>
      <c r="B89" s="540" t="str">
        <f>'G-2 Habitat groups'!AU78</f>
        <v>Cropland - Arable field margins cultivated annually</v>
      </c>
      <c r="C89" s="541" t="str">
        <f>'G-2 Habitat groups'!AV78</f>
        <v>Cropland</v>
      </c>
      <c r="D89" s="542">
        <f>'G-2 Habitat groups'!BB78</f>
        <v>0</v>
      </c>
      <c r="E89" s="542">
        <f>'G-2 Habitat groups'!BD78</f>
        <v>0</v>
      </c>
      <c r="F89" s="542">
        <f>'G-2 Habitat groups'!BE78</f>
        <v>0</v>
      </c>
      <c r="G89" s="911">
        <f>SUM(F89:F93)</f>
        <v>0</v>
      </c>
      <c r="H89" s="44"/>
      <c r="I89" s="154" t="s">
        <v>1337</v>
      </c>
      <c r="J89" s="387">
        <f>SUMIF(G89:G114,"&lt;0")</f>
        <v>0</v>
      </c>
      <c r="K89" s="44"/>
      <c r="L89" s="44"/>
    </row>
    <row r="90" spans="1:17" ht="27.6" x14ac:dyDescent="0.25">
      <c r="A90" s="44"/>
      <c r="B90" s="533" t="str">
        <f>'G-2 Habitat groups'!AU79</f>
        <v>Cropland - Arable field margins game bird mix</v>
      </c>
      <c r="C90" s="534" t="str">
        <f>'G-2 Habitat groups'!AV79</f>
        <v>Cropland</v>
      </c>
      <c r="D90" s="112">
        <f>'G-2 Habitat groups'!BB79</f>
        <v>0</v>
      </c>
      <c r="E90" s="112">
        <f>'G-2 Habitat groups'!BD79</f>
        <v>0</v>
      </c>
      <c r="F90" s="112">
        <f>'G-2 Habitat groups'!BE79</f>
        <v>0</v>
      </c>
      <c r="G90" s="912"/>
      <c r="H90" s="44"/>
      <c r="I90" s="154" t="s">
        <v>1338</v>
      </c>
      <c r="J90" s="387">
        <f>IF(J40+J12+J89&gt;0,J40+J12+J89,0)</f>
        <v>0</v>
      </c>
    </row>
    <row r="91" spans="1:17" ht="14.4" thickBot="1" x14ac:dyDescent="0.3">
      <c r="A91" s="44"/>
      <c r="B91" s="533" t="str">
        <f>'G-2 Habitat groups'!AU80</f>
        <v>Cropland - Arable field margins pollen &amp; nectar</v>
      </c>
      <c r="C91" s="534" t="str">
        <f>'G-2 Habitat groups'!AV80</f>
        <v>Cropland</v>
      </c>
      <c r="D91" s="112">
        <f>'G-2 Habitat groups'!BB80</f>
        <v>0</v>
      </c>
      <c r="E91" s="112">
        <f>'G-2 Habitat groups'!BD80</f>
        <v>0</v>
      </c>
      <c r="F91" s="112">
        <f>'G-2 Habitat groups'!BE80</f>
        <v>0</v>
      </c>
      <c r="G91" s="912"/>
      <c r="H91" s="44"/>
      <c r="I91" s="121" t="s">
        <v>1347</v>
      </c>
      <c r="J91" s="388">
        <f>J90+J88</f>
        <v>0.23599424050816004</v>
      </c>
      <c r="K91" s="44"/>
      <c r="L91" s="44"/>
    </row>
    <row r="92" spans="1:17" x14ac:dyDescent="0.25">
      <c r="A92" s="44"/>
      <c r="B92" s="533" t="str">
        <f>'G-2 Habitat groups'!AU81</f>
        <v>Cropland - Arable field margins tussocky</v>
      </c>
      <c r="C92" s="534" t="str">
        <f>'G-2 Habitat groups'!AV81</f>
        <v>Cropland</v>
      </c>
      <c r="D92" s="112">
        <f>'G-2 Habitat groups'!BB81</f>
        <v>0</v>
      </c>
      <c r="E92" s="112">
        <f>'G-2 Habitat groups'!BD81</f>
        <v>0</v>
      </c>
      <c r="F92" s="112">
        <f>'G-2 Habitat groups'!BE81</f>
        <v>0</v>
      </c>
      <c r="G92" s="912"/>
      <c r="H92" s="44"/>
      <c r="I92" s="44"/>
      <c r="J92" s="44"/>
      <c r="K92" s="44"/>
      <c r="L92" s="44"/>
    </row>
    <row r="93" spans="1:17" ht="14.4" thickBot="1" x14ac:dyDescent="0.3">
      <c r="A93" s="44"/>
      <c r="B93" s="535" t="str">
        <f>'G-2 Habitat groups'!AU82</f>
        <v>Cropland - Cereal crops winter stubble</v>
      </c>
      <c r="C93" s="536" t="str">
        <f>'G-2 Habitat groups'!AV82</f>
        <v>Cropland</v>
      </c>
      <c r="D93" s="116">
        <f>'G-2 Habitat groups'!BB82</f>
        <v>0</v>
      </c>
      <c r="E93" s="116">
        <f>'G-2 Habitat groups'!BD82</f>
        <v>0</v>
      </c>
      <c r="F93" s="116">
        <f>'G-2 Habitat groups'!BE82</f>
        <v>0</v>
      </c>
      <c r="G93" s="913"/>
      <c r="H93" s="44"/>
      <c r="I93" s="44"/>
      <c r="J93" s="44"/>
      <c r="K93" s="44"/>
      <c r="L93" s="44"/>
    </row>
    <row r="94" spans="1:17" x14ac:dyDescent="0.25">
      <c r="A94" s="44"/>
      <c r="B94" s="540" t="str">
        <f>'G-2 Habitat groups'!AU83</f>
        <v>Grassland - Other lowland acid grassland</v>
      </c>
      <c r="C94" s="541" t="str">
        <f>'G-2 Habitat groups'!AV83</f>
        <v>Grassland</v>
      </c>
      <c r="D94" s="542">
        <f>'G-2 Habitat groups'!BB83</f>
        <v>0</v>
      </c>
      <c r="E94" s="542">
        <f>'G-2 Habitat groups'!BD83</f>
        <v>0</v>
      </c>
      <c r="F94" s="542">
        <f>'G-2 Habitat groups'!BE83</f>
        <v>0</v>
      </c>
      <c r="G94" s="911">
        <f>SUM(F94:F96)</f>
        <v>0.19518476000000001</v>
      </c>
      <c r="H94" s="44"/>
      <c r="I94" s="44"/>
      <c r="J94" s="44"/>
      <c r="K94" s="44"/>
      <c r="L94" s="44"/>
    </row>
    <row r="95" spans="1:17" x14ac:dyDescent="0.25">
      <c r="A95" s="44"/>
      <c r="B95" s="533" t="str">
        <f>'G-2 Habitat groups'!AU84</f>
        <v>Grassland - Other neutral grassland</v>
      </c>
      <c r="C95" s="534" t="str">
        <f>'G-2 Habitat groups'!AV84</f>
        <v>Grassland</v>
      </c>
      <c r="D95" s="112">
        <f>'G-2 Habitat groups'!BB84</f>
        <v>0.19518476000000001</v>
      </c>
      <c r="E95" s="112">
        <f>'G-2 Habitat groups'!BD84</f>
        <v>0</v>
      </c>
      <c r="F95" s="112">
        <f>'G-2 Habitat groups'!BE84</f>
        <v>0.19518476000000001</v>
      </c>
      <c r="G95" s="912"/>
      <c r="H95" s="44"/>
      <c r="I95" s="44"/>
      <c r="J95" s="44"/>
      <c r="K95" s="44"/>
      <c r="L95" s="44"/>
    </row>
    <row r="96" spans="1:17" ht="14.4" thickBot="1" x14ac:dyDescent="0.3">
      <c r="A96" s="44"/>
      <c r="B96" s="535" t="str">
        <f>'G-2 Habitat groups'!AU85</f>
        <v>Grassland - Upland acid grassland</v>
      </c>
      <c r="C96" s="536" t="str">
        <f>'G-2 Habitat groups'!AV85</f>
        <v>Grassland</v>
      </c>
      <c r="D96" s="116">
        <f>'G-2 Habitat groups'!BB85</f>
        <v>0</v>
      </c>
      <c r="E96" s="116">
        <f>'G-2 Habitat groups'!BD85</f>
        <v>0</v>
      </c>
      <c r="F96" s="116">
        <f>'G-2 Habitat groups'!BE85</f>
        <v>0</v>
      </c>
      <c r="G96" s="913"/>
      <c r="H96" s="44"/>
      <c r="I96" s="44"/>
      <c r="J96" s="44"/>
      <c r="K96" s="44"/>
      <c r="L96" s="44"/>
      <c r="M96" s="44"/>
    </row>
    <row r="97" spans="1:15" x14ac:dyDescent="0.25">
      <c r="A97" s="44"/>
      <c r="B97" s="540" t="str">
        <f>'G-2 Habitat groups'!AU86</f>
        <v>Heathland and shrub - Blackthorn scrub</v>
      </c>
      <c r="C97" s="541" t="str">
        <f>'G-2 Habitat groups'!AV86</f>
        <v>Heathland and shrub</v>
      </c>
      <c r="D97" s="542">
        <f>'G-2 Habitat groups'!BB86</f>
        <v>0</v>
      </c>
      <c r="E97" s="542">
        <f>'G-2 Habitat groups'!BD86</f>
        <v>0</v>
      </c>
      <c r="F97" s="542">
        <f>'G-2 Habitat groups'!BE86</f>
        <v>0</v>
      </c>
      <c r="G97" s="911">
        <f>SUM(F97:F102)</f>
        <v>2.9229480508160016E-2</v>
      </c>
      <c r="H97" s="44"/>
      <c r="I97" s="44"/>
      <c r="J97" s="44"/>
      <c r="K97" s="44"/>
      <c r="L97" s="44"/>
      <c r="M97" s="44"/>
    </row>
    <row r="98" spans="1:15" x14ac:dyDescent="0.25">
      <c r="A98" s="44"/>
      <c r="B98" s="533" t="str">
        <f>'G-2 Habitat groups'!AU87</f>
        <v>Heathland and shrub - Bramble scrub</v>
      </c>
      <c r="C98" s="534" t="str">
        <f>'G-2 Habitat groups'!AV87</f>
        <v>Heathland and shrub</v>
      </c>
      <c r="D98" s="112">
        <f>'G-2 Habitat groups'!BB87</f>
        <v>0</v>
      </c>
      <c r="E98" s="112">
        <f>'G-2 Habitat groups'!BD87</f>
        <v>0</v>
      </c>
      <c r="F98" s="112">
        <f>'G-2 Habitat groups'!BE87</f>
        <v>0</v>
      </c>
      <c r="G98" s="912"/>
      <c r="H98" s="44"/>
      <c r="I98" s="44"/>
      <c r="J98" s="44"/>
      <c r="K98" s="44"/>
      <c r="L98" s="44"/>
      <c r="M98" s="44"/>
    </row>
    <row r="99" spans="1:15" x14ac:dyDescent="0.25">
      <c r="A99" s="44"/>
      <c r="B99" s="533" t="str">
        <f>'G-2 Habitat groups'!AU88</f>
        <v>Heathland and shrub - Gorse scrub</v>
      </c>
      <c r="C99" s="534" t="str">
        <f>'G-2 Habitat groups'!AV88</f>
        <v>Heathland and shrub</v>
      </c>
      <c r="D99" s="112">
        <f>'G-2 Habitat groups'!BB88</f>
        <v>0</v>
      </c>
      <c r="E99" s="112">
        <f>'G-2 Habitat groups'!BD88</f>
        <v>0</v>
      </c>
      <c r="F99" s="112">
        <f>'G-2 Habitat groups'!BE88</f>
        <v>0</v>
      </c>
      <c r="G99" s="912"/>
      <c r="H99" s="44"/>
      <c r="I99" s="44"/>
      <c r="J99" s="44"/>
      <c r="K99" s="44"/>
      <c r="L99" s="44"/>
      <c r="M99" s="44"/>
    </row>
    <row r="100" spans="1:15" x14ac:dyDescent="0.25">
      <c r="A100" s="44"/>
      <c r="B100" s="533" t="str">
        <f>'G-2 Habitat groups'!AU89</f>
        <v>Heathland and shrub - Hawthorn scrub</v>
      </c>
      <c r="C100" s="534" t="str">
        <f>'G-2 Habitat groups'!AV89</f>
        <v>Heathland and shrub</v>
      </c>
      <c r="D100" s="112">
        <f>'G-2 Habitat groups'!BB89</f>
        <v>0</v>
      </c>
      <c r="E100" s="112">
        <f>'G-2 Habitat groups'!BD89</f>
        <v>0</v>
      </c>
      <c r="F100" s="112">
        <f>'G-2 Habitat groups'!BE89</f>
        <v>0</v>
      </c>
      <c r="G100" s="912"/>
      <c r="H100" s="44"/>
      <c r="I100" s="44"/>
      <c r="J100" s="44"/>
      <c r="K100" s="44"/>
      <c r="L100" s="44"/>
      <c r="M100" s="44"/>
    </row>
    <row r="101" spans="1:15" x14ac:dyDescent="0.25">
      <c r="A101" s="44"/>
      <c r="B101" s="533" t="str">
        <f>'G-2 Habitat groups'!AU90</f>
        <v>Heathland and shrub - Hazel scrub</v>
      </c>
      <c r="C101" s="534" t="str">
        <f>'G-2 Habitat groups'!AV90</f>
        <v>Heathland and shrub</v>
      </c>
      <c r="D101" s="112">
        <f>'G-2 Habitat groups'!BB90</f>
        <v>0</v>
      </c>
      <c r="E101" s="112">
        <f>'G-2 Habitat groups'!BD90</f>
        <v>0</v>
      </c>
      <c r="F101" s="112">
        <f>'G-2 Habitat groups'!BE90</f>
        <v>0</v>
      </c>
      <c r="G101" s="912"/>
      <c r="H101" s="44"/>
      <c r="I101" s="44"/>
      <c r="J101" s="44"/>
      <c r="K101" s="44"/>
      <c r="L101" s="44"/>
      <c r="M101" s="44"/>
      <c r="N101" s="44"/>
      <c r="O101" s="44"/>
    </row>
    <row r="102" spans="1:15" ht="14.4" thickBot="1" x14ac:dyDescent="0.3">
      <c r="A102" s="44"/>
      <c r="B102" s="535" t="str">
        <f>'G-2 Habitat groups'!AU91</f>
        <v>Heathland and shrub - Mixed scrub</v>
      </c>
      <c r="C102" s="536" t="str">
        <f>'G-2 Habitat groups'!AV91</f>
        <v>Heathland and shrub</v>
      </c>
      <c r="D102" s="116">
        <f>'G-2 Habitat groups'!BB91</f>
        <v>2.9229480508160016E-2</v>
      </c>
      <c r="E102" s="116">
        <f>'G-2 Habitat groups'!BD91</f>
        <v>0</v>
      </c>
      <c r="F102" s="116">
        <f>'G-2 Habitat groups'!BE91</f>
        <v>2.9229480508160016E-2</v>
      </c>
      <c r="G102" s="913"/>
      <c r="H102" s="44"/>
      <c r="I102" s="44"/>
      <c r="J102" s="44"/>
      <c r="K102" s="44"/>
      <c r="L102" s="44"/>
      <c r="M102" s="44"/>
      <c r="N102" s="44"/>
      <c r="O102" s="44"/>
    </row>
    <row r="103" spans="1:15" x14ac:dyDescent="0.25">
      <c r="A103" s="44"/>
      <c r="B103" s="540" t="str">
        <f>'G-2 Habitat groups'!AU92</f>
        <v>Lakes - Ponds (Non- Priority Habitat)</v>
      </c>
      <c r="C103" s="541" t="str">
        <f>'G-2 Habitat groups'!AV92</f>
        <v>Lakes</v>
      </c>
      <c r="D103" s="542">
        <f>'G-2 Habitat groups'!BB92</f>
        <v>1.158E-2</v>
      </c>
      <c r="E103" s="542">
        <f>'G-2 Habitat groups'!BD92</f>
        <v>0</v>
      </c>
      <c r="F103" s="542">
        <f>'G-2 Habitat groups'!BE92</f>
        <v>1.158E-2</v>
      </c>
      <c r="G103" s="911">
        <f>SUM(F103:F104)</f>
        <v>1.158E-2</v>
      </c>
      <c r="H103" s="44"/>
      <c r="K103" s="44"/>
      <c r="L103" s="44"/>
      <c r="M103" s="44"/>
      <c r="N103" s="44"/>
      <c r="O103" s="44"/>
    </row>
    <row r="104" spans="1:15" ht="14.4" thickBot="1" x14ac:dyDescent="0.3">
      <c r="A104" s="44"/>
      <c r="B104" s="535" t="str">
        <f>'G-2 Habitat groups'!AU93</f>
        <v>Lakes - Reservoirs</v>
      </c>
      <c r="C104" s="536" t="str">
        <f>'G-2 Habitat groups'!AV93</f>
        <v>Lakes</v>
      </c>
      <c r="D104" s="116">
        <f>'G-2 Habitat groups'!BB93</f>
        <v>0</v>
      </c>
      <c r="E104" s="116">
        <f>'G-2 Habitat groups'!BD93</f>
        <v>0</v>
      </c>
      <c r="F104" s="116">
        <f>'G-2 Habitat groups'!BE93</f>
        <v>0</v>
      </c>
      <c r="G104" s="913"/>
      <c r="H104" s="44"/>
      <c r="K104" s="44"/>
      <c r="L104" s="44"/>
      <c r="M104" s="44"/>
      <c r="N104" s="44"/>
      <c r="O104" s="44"/>
    </row>
    <row r="105" spans="1:15" ht="14.4" thickBot="1" x14ac:dyDescent="0.3">
      <c r="A105" s="44"/>
      <c r="B105" s="543" t="str">
        <f>'G-2 Habitat groups'!AU94</f>
        <v>Sparsely vegetated land - Other inland rock and scree</v>
      </c>
      <c r="C105" s="544" t="str">
        <f>'G-2 Habitat groups'!AV94</f>
        <v>Sparsely vegetated land</v>
      </c>
      <c r="D105" s="545">
        <f>'G-2 Habitat groups'!BB94</f>
        <v>0</v>
      </c>
      <c r="E105" s="545">
        <f>'G-2 Habitat groups'!BD94</f>
        <v>0</v>
      </c>
      <c r="F105" s="545">
        <f>'G-2 Habitat groups'!BE94</f>
        <v>0</v>
      </c>
      <c r="G105" s="546">
        <f>F105</f>
        <v>0</v>
      </c>
      <c r="H105" s="44"/>
      <c r="K105" s="44"/>
      <c r="L105" s="44"/>
      <c r="M105" s="44"/>
      <c r="N105" s="44"/>
      <c r="O105" s="44"/>
    </row>
    <row r="106" spans="1:15" x14ac:dyDescent="0.25">
      <c r="A106" s="44"/>
      <c r="B106" s="540" t="str">
        <f>'G-2 Habitat groups'!AU95</f>
        <v>Urban - Brown roof</v>
      </c>
      <c r="C106" s="541" t="str">
        <f>'G-2 Habitat groups'!AV95</f>
        <v>Urban</v>
      </c>
      <c r="D106" s="542">
        <f>'G-2 Habitat groups'!BB95</f>
        <v>0</v>
      </c>
      <c r="E106" s="542">
        <f>'G-2 Habitat groups'!BD95</f>
        <v>0</v>
      </c>
      <c r="F106" s="542">
        <f>'G-2 Habitat groups'!BE95</f>
        <v>0</v>
      </c>
      <c r="G106" s="911">
        <f>SUM(F106:F108)</f>
        <v>0</v>
      </c>
      <c r="H106" s="44"/>
      <c r="I106" s="44"/>
      <c r="J106" s="44"/>
      <c r="K106" s="44"/>
      <c r="L106" s="44"/>
      <c r="M106" s="44"/>
      <c r="N106" s="44"/>
      <c r="O106" s="44"/>
    </row>
    <row r="107" spans="1:15" x14ac:dyDescent="0.25">
      <c r="A107" s="44"/>
      <c r="B107" s="533" t="str">
        <f>'G-2 Habitat groups'!AU96</f>
        <v>Urban - Cemeteries and churchyards</v>
      </c>
      <c r="C107" s="534" t="str">
        <f>'G-2 Habitat groups'!AV96</f>
        <v>Urban</v>
      </c>
      <c r="D107" s="112">
        <f>'G-2 Habitat groups'!BB96</f>
        <v>0</v>
      </c>
      <c r="E107" s="112">
        <f>'G-2 Habitat groups'!BD96</f>
        <v>0</v>
      </c>
      <c r="F107" s="112">
        <f>'G-2 Habitat groups'!BE96</f>
        <v>0</v>
      </c>
      <c r="G107" s="912"/>
      <c r="H107" s="44"/>
      <c r="I107" s="44"/>
      <c r="J107" s="44"/>
      <c r="K107" s="44"/>
      <c r="L107" s="44"/>
      <c r="M107" s="44"/>
      <c r="N107" s="44"/>
      <c r="O107" s="44"/>
    </row>
    <row r="108" spans="1:15" ht="14.4" thickBot="1" x14ac:dyDescent="0.3">
      <c r="A108" s="44"/>
      <c r="B108" s="535" t="str">
        <f>'G-2 Habitat groups'!AU97</f>
        <v>Urban - Intensive green roof</v>
      </c>
      <c r="C108" s="536" t="str">
        <f>'G-2 Habitat groups'!AV97</f>
        <v>Urban</v>
      </c>
      <c r="D108" s="116">
        <f>'G-2 Habitat groups'!BB97</f>
        <v>0</v>
      </c>
      <c r="E108" s="116">
        <f>'G-2 Habitat groups'!BD97</f>
        <v>0</v>
      </c>
      <c r="F108" s="116">
        <f>'G-2 Habitat groups'!BE97</f>
        <v>0</v>
      </c>
      <c r="G108" s="913"/>
      <c r="H108" s="44"/>
      <c r="I108" s="44"/>
      <c r="J108" s="44"/>
      <c r="K108" s="44"/>
      <c r="L108" s="44"/>
      <c r="M108" s="44"/>
      <c r="N108" s="44"/>
      <c r="O108" s="44"/>
    </row>
    <row r="109" spans="1:15" x14ac:dyDescent="0.25">
      <c r="A109" s="44"/>
      <c r="B109" s="540" t="str">
        <f>'G-2 Habitat groups'!AU98</f>
        <v>Woodland and forest - Other Scot's Pine woodland</v>
      </c>
      <c r="C109" s="541" t="str">
        <f>'G-2 Habitat groups'!AV98</f>
        <v>Woodland and forest</v>
      </c>
      <c r="D109" s="542">
        <f>'G-2 Habitat groups'!BB98</f>
        <v>0</v>
      </c>
      <c r="E109" s="542">
        <f>'G-2 Habitat groups'!BD98</f>
        <v>0</v>
      </c>
      <c r="F109" s="542">
        <f>'G-2 Habitat groups'!BE98</f>
        <v>0</v>
      </c>
      <c r="G109" s="911">
        <f>SUM(F109:F111)</f>
        <v>0</v>
      </c>
      <c r="H109" s="44"/>
      <c r="I109" s="44"/>
      <c r="J109" s="44"/>
      <c r="K109" s="44"/>
      <c r="L109" s="44"/>
      <c r="M109" s="44"/>
      <c r="N109" s="44"/>
      <c r="O109" s="44"/>
    </row>
    <row r="110" spans="1:15" x14ac:dyDescent="0.25">
      <c r="A110" s="44"/>
      <c r="B110" s="533" t="str">
        <f>'G-2 Habitat groups'!AU99</f>
        <v>Woodland and forest - Other woodland; broadleaved</v>
      </c>
      <c r="C110" s="534" t="str">
        <f>'G-2 Habitat groups'!AV99</f>
        <v>Woodland and forest</v>
      </c>
      <c r="D110" s="112">
        <f>'G-2 Habitat groups'!BB99</f>
        <v>0</v>
      </c>
      <c r="E110" s="112">
        <f>'G-2 Habitat groups'!BD99</f>
        <v>0</v>
      </c>
      <c r="F110" s="112">
        <f>'G-2 Habitat groups'!BE99</f>
        <v>0</v>
      </c>
      <c r="G110" s="912"/>
      <c r="H110" s="44"/>
      <c r="I110" s="44"/>
      <c r="J110" s="44"/>
      <c r="K110" s="44"/>
      <c r="L110" s="44"/>
      <c r="M110" s="44"/>
      <c r="N110" s="44"/>
      <c r="O110" s="44"/>
    </row>
    <row r="111" spans="1:15" ht="14.4" thickBot="1" x14ac:dyDescent="0.3">
      <c r="A111" s="44"/>
      <c r="B111" s="535" t="str">
        <f>'G-2 Habitat groups'!AU100</f>
        <v>Woodland and forest - Other woodland; mixed</v>
      </c>
      <c r="C111" s="536" t="str">
        <f>'G-2 Habitat groups'!AV100</f>
        <v>Woodland and forest</v>
      </c>
      <c r="D111" s="116">
        <f>'G-2 Habitat groups'!BB100</f>
        <v>0</v>
      </c>
      <c r="E111" s="116">
        <f>'G-2 Habitat groups'!BD100</f>
        <v>0</v>
      </c>
      <c r="F111" s="116">
        <f>'G-2 Habitat groups'!BE100</f>
        <v>0</v>
      </c>
      <c r="G111" s="913"/>
      <c r="H111" s="44"/>
      <c r="I111" s="44"/>
      <c r="J111" s="44"/>
      <c r="K111" s="44"/>
      <c r="L111" s="44"/>
      <c r="M111" s="44"/>
      <c r="N111" s="44"/>
      <c r="O111" s="44"/>
    </row>
    <row r="112" spans="1:15" x14ac:dyDescent="0.25">
      <c r="A112" s="44"/>
      <c r="B112" s="540" t="str">
        <f>'G-2 Habitat groups'!AU101</f>
        <v>Intertidal sediment - Littoral coarse sediment</v>
      </c>
      <c r="C112" s="541" t="str">
        <f>'G-2 Habitat groups'!AV101</f>
        <v>Intertidal sediment</v>
      </c>
      <c r="D112" s="542">
        <f>'G-2 Habitat groups'!BB101</f>
        <v>0</v>
      </c>
      <c r="E112" s="542">
        <f>'G-2 Habitat groups'!BD101</f>
        <v>0</v>
      </c>
      <c r="F112" s="542">
        <f>'G-2 Habitat groups'!BE101</f>
        <v>0</v>
      </c>
      <c r="G112" s="911">
        <f>SUM(F112:F114)</f>
        <v>0</v>
      </c>
      <c r="H112" s="44"/>
      <c r="I112" s="44"/>
      <c r="J112" s="44"/>
      <c r="K112" s="44"/>
      <c r="L112" s="44"/>
      <c r="M112" s="44"/>
      <c r="N112" s="44"/>
      <c r="O112" s="44"/>
    </row>
    <row r="113" spans="1:17" x14ac:dyDescent="0.25">
      <c r="A113" s="44"/>
      <c r="B113" s="533" t="str">
        <f>'G-2 Habitat groups'!AU102</f>
        <v>Intertidal sediment - Littoral sand</v>
      </c>
      <c r="C113" s="534" t="str">
        <f>'G-2 Habitat groups'!AV102</f>
        <v>Intertidal sediment</v>
      </c>
      <c r="D113" s="112">
        <f>'G-2 Habitat groups'!BB102</f>
        <v>0</v>
      </c>
      <c r="E113" s="112">
        <f>'G-2 Habitat groups'!BD102</f>
        <v>0</v>
      </c>
      <c r="F113" s="112">
        <f>'G-2 Habitat groups'!BE102</f>
        <v>0</v>
      </c>
      <c r="G113" s="912"/>
      <c r="H113" s="44"/>
      <c r="I113" s="44"/>
      <c r="J113" s="44"/>
      <c r="K113" s="44"/>
      <c r="L113" s="44"/>
      <c r="M113" s="44"/>
      <c r="N113" s="44"/>
      <c r="O113" s="44"/>
    </row>
    <row r="114" spans="1:17" ht="21" customHeight="1" thickBot="1" x14ac:dyDescent="0.3">
      <c r="A114" s="44"/>
      <c r="B114" s="535" t="str">
        <f>'G-2 Habitat groups'!AU103</f>
        <v>Intertidal Hard Structures - Artificial hard structures with Integrated Greening of Grey Infrastructure (IGGI)</v>
      </c>
      <c r="C114" s="536" t="str">
        <f>'G-2 Habitat groups'!AV103</f>
        <v xml:space="preserve">Intertidal </v>
      </c>
      <c r="D114" s="116">
        <f>'G-2 Habitat groups'!BB103</f>
        <v>0</v>
      </c>
      <c r="E114" s="116">
        <f>'G-2 Habitat groups'!BD103</f>
        <v>0</v>
      </c>
      <c r="F114" s="116">
        <f>'G-2 Habitat groups'!BE103</f>
        <v>0</v>
      </c>
      <c r="G114" s="913"/>
      <c r="H114" s="44"/>
      <c r="I114" s="44"/>
      <c r="J114" s="44"/>
      <c r="K114" s="44"/>
      <c r="L114" s="44"/>
      <c r="M114" s="44"/>
      <c r="N114" s="44"/>
      <c r="O114" s="44"/>
    </row>
    <row r="115" spans="1:17" ht="14.4" customHeight="1" thickBot="1" x14ac:dyDescent="0.3">
      <c r="A115" s="44"/>
      <c r="B115" s="44"/>
      <c r="C115" s="44"/>
      <c r="D115" s="547">
        <f>SUM(D89:D114)</f>
        <v>0.23599424050816004</v>
      </c>
      <c r="E115" s="548">
        <f>SUM(E89:E114)</f>
        <v>0</v>
      </c>
      <c r="F115" s="549">
        <f>SUM(F89:F114)</f>
        <v>0.23599424050816004</v>
      </c>
      <c r="H115" s="44"/>
      <c r="I115" s="44"/>
      <c r="J115" s="44"/>
      <c r="K115" s="44"/>
      <c r="L115" s="44"/>
      <c r="M115" s="44"/>
      <c r="N115" s="44"/>
      <c r="O115" s="44"/>
    </row>
    <row r="116" spans="1:17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</row>
    <row r="117" spans="1:17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7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</row>
    <row r="119" spans="1:17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7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7" ht="14.4" thickBot="1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7" ht="25.8" thickBot="1" x14ac:dyDescent="0.3">
      <c r="A122" s="44"/>
      <c r="B122" s="905" t="s">
        <v>1326</v>
      </c>
      <c r="C122" s="906"/>
      <c r="D122" s="906"/>
      <c r="E122" s="906"/>
      <c r="F122" s="906"/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7" ht="47.4" thickBot="1" x14ac:dyDescent="0.45">
      <c r="A123" s="44"/>
      <c r="B123" s="117" t="s">
        <v>1075</v>
      </c>
      <c r="C123" s="118" t="s">
        <v>134</v>
      </c>
      <c r="D123" s="118" t="s">
        <v>1078</v>
      </c>
      <c r="E123" s="118" t="s">
        <v>1325</v>
      </c>
      <c r="F123" s="118" t="s">
        <v>1077</v>
      </c>
      <c r="G123" s="44"/>
      <c r="H123" s="44"/>
      <c r="I123" s="907" t="s">
        <v>1341</v>
      </c>
      <c r="J123" s="908"/>
      <c r="K123" s="44"/>
      <c r="L123" s="44"/>
      <c r="M123" s="44"/>
      <c r="N123" s="44"/>
    </row>
    <row r="124" spans="1:17" x14ac:dyDescent="0.25">
      <c r="A124" s="44"/>
      <c r="B124" s="99" t="str">
        <f>'G-2 Habitat groups'!AU111</f>
        <v>Cropland - Cereal crops</v>
      </c>
      <c r="C124" s="100" t="str">
        <f>'G-2 Habitat groups'!AV111</f>
        <v>Cropland</v>
      </c>
      <c r="D124" s="111">
        <f>'G-2 Habitat groups'!BB111</f>
        <v>0</v>
      </c>
      <c r="E124" s="111">
        <f>'G-2 Habitat groups'!BD111</f>
        <v>0</v>
      </c>
      <c r="F124" s="112">
        <f>'G-2 Habitat groups'!BE111</f>
        <v>0</v>
      </c>
      <c r="G124" s="44"/>
      <c r="H124" s="44"/>
      <c r="I124" s="120" t="s">
        <v>1342</v>
      </c>
      <c r="J124" s="156">
        <f>F160</f>
        <v>0.9130061046285598</v>
      </c>
      <c r="K124" s="44"/>
      <c r="L124" s="44"/>
      <c r="M124" s="44"/>
      <c r="N124" s="44"/>
    </row>
    <row r="125" spans="1:17" ht="14.4" thickBot="1" x14ac:dyDescent="0.3">
      <c r="A125" s="44"/>
      <c r="B125" s="99" t="str">
        <f>'G-2 Habitat groups'!AU112</f>
        <v>Cropland - Cereal crops other</v>
      </c>
      <c r="C125" s="100" t="str">
        <f>'G-2 Habitat groups'!AV112</f>
        <v>Cropland</v>
      </c>
      <c r="D125" s="111">
        <f>'G-2 Habitat groups'!BB112</f>
        <v>0</v>
      </c>
      <c r="E125" s="111">
        <f>'G-2 Habitat groups'!BD112</f>
        <v>0</v>
      </c>
      <c r="F125" s="112">
        <f>'G-2 Habitat groups'!BE112</f>
        <v>0</v>
      </c>
      <c r="G125" s="44"/>
      <c r="H125" s="44"/>
      <c r="I125" s="121" t="s">
        <v>1347</v>
      </c>
      <c r="J125" s="388">
        <f>J124+J91</f>
        <v>1.1490003451367199</v>
      </c>
      <c r="K125" s="44"/>
      <c r="L125" s="44"/>
      <c r="M125" s="44"/>
      <c r="N125" s="44"/>
    </row>
    <row r="126" spans="1:17" x14ac:dyDescent="0.25">
      <c r="A126" s="44"/>
      <c r="B126" s="99" t="str">
        <f>'G-2 Habitat groups'!AU113</f>
        <v>Cropland - Horticulture</v>
      </c>
      <c r="C126" s="100" t="str">
        <f>'G-2 Habitat groups'!AV113</f>
        <v>Cropland</v>
      </c>
      <c r="D126" s="111">
        <f>'G-2 Habitat groups'!BB113</f>
        <v>0</v>
      </c>
      <c r="E126" s="111">
        <f>'G-2 Habitat groups'!BD113</f>
        <v>0</v>
      </c>
      <c r="F126" s="112">
        <f>'G-2 Habitat groups'!BE113</f>
        <v>0</v>
      </c>
      <c r="G126" s="44"/>
      <c r="H126" s="44"/>
      <c r="I126" s="44"/>
      <c r="J126" s="44"/>
      <c r="K126" s="44"/>
      <c r="L126" s="44"/>
      <c r="M126" s="44"/>
      <c r="N126" s="44"/>
    </row>
    <row r="127" spans="1:17" x14ac:dyDescent="0.25">
      <c r="A127" s="44"/>
      <c r="B127" s="99" t="str">
        <f>'G-2 Habitat groups'!AU114</f>
        <v>Cropland - Intensive orchards</v>
      </c>
      <c r="C127" s="100" t="str">
        <f>'G-2 Habitat groups'!AV114</f>
        <v>Cropland</v>
      </c>
      <c r="D127" s="111">
        <f>'G-2 Habitat groups'!BB114</f>
        <v>0</v>
      </c>
      <c r="E127" s="111">
        <f>'G-2 Habitat groups'!BD114</f>
        <v>0</v>
      </c>
      <c r="F127" s="112">
        <f>'G-2 Habitat groups'!BE114</f>
        <v>0</v>
      </c>
      <c r="G127" s="44"/>
      <c r="H127" s="44"/>
      <c r="I127" s="44"/>
      <c r="J127" s="44"/>
      <c r="K127" s="44"/>
      <c r="L127" s="44"/>
      <c r="M127" s="44"/>
      <c r="N127" s="44"/>
    </row>
    <row r="128" spans="1:17" x14ac:dyDescent="0.25">
      <c r="A128" s="44"/>
      <c r="B128" s="99" t="str">
        <f>'G-2 Habitat groups'!AU115</f>
        <v>Cropland - Non-cereal crops</v>
      </c>
      <c r="C128" s="100" t="str">
        <f>'G-2 Habitat groups'!AV115</f>
        <v>Cropland</v>
      </c>
      <c r="D128" s="111">
        <f>'G-2 Habitat groups'!BB115</f>
        <v>0</v>
      </c>
      <c r="E128" s="111">
        <f>'G-2 Habitat groups'!BD115</f>
        <v>0</v>
      </c>
      <c r="F128" s="112">
        <f>'G-2 Habitat groups'!BE115</f>
        <v>0</v>
      </c>
      <c r="G128" s="44"/>
      <c r="H128" s="44"/>
      <c r="I128" s="44"/>
      <c r="J128" s="44"/>
      <c r="K128" s="44"/>
      <c r="L128" s="44"/>
      <c r="M128" s="44"/>
      <c r="N128" s="44"/>
    </row>
    <row r="129" spans="1:15" x14ac:dyDescent="0.25">
      <c r="A129" s="44"/>
      <c r="B129" s="99" t="str">
        <f>'G-2 Habitat groups'!AU116</f>
        <v>Cropland - Temporary grass and clover leys</v>
      </c>
      <c r="C129" s="100" t="str">
        <f>'G-2 Habitat groups'!AV116</f>
        <v>Cropland</v>
      </c>
      <c r="D129" s="111">
        <f>'G-2 Habitat groups'!BB116</f>
        <v>0</v>
      </c>
      <c r="E129" s="111">
        <f>'G-2 Habitat groups'!BD116</f>
        <v>0</v>
      </c>
      <c r="F129" s="112">
        <f>'G-2 Habitat groups'!BE116</f>
        <v>0</v>
      </c>
      <c r="G129" s="44"/>
      <c r="H129" s="44"/>
      <c r="I129" s="44"/>
      <c r="J129" s="44"/>
      <c r="K129" s="44"/>
      <c r="L129" s="44"/>
      <c r="M129" s="44"/>
      <c r="N129" s="44"/>
    </row>
    <row r="130" spans="1:15" x14ac:dyDescent="0.25">
      <c r="A130" s="44"/>
      <c r="B130" s="99" t="str">
        <f>'G-2 Habitat groups'!AU117</f>
        <v>Grassland - Modified grassland</v>
      </c>
      <c r="C130" s="100" t="str">
        <f>'G-2 Habitat groups'!AV117</f>
        <v>Grassland</v>
      </c>
      <c r="D130" s="111">
        <f>'G-2 Habitat groups'!BB117</f>
        <v>-0.41167500000000001</v>
      </c>
      <c r="E130" s="111">
        <f>'G-2 Habitat groups'!BD117</f>
        <v>0</v>
      </c>
      <c r="F130" s="112">
        <f>'G-2 Habitat groups'!BE117</f>
        <v>-0.41167500000000001</v>
      </c>
      <c r="G130" s="44"/>
      <c r="H130" s="44"/>
      <c r="I130" s="44"/>
      <c r="J130" s="44"/>
      <c r="K130" s="44"/>
      <c r="L130" s="44"/>
      <c r="M130" s="44"/>
      <c r="N130" s="44"/>
    </row>
    <row r="131" spans="1:15" x14ac:dyDescent="0.25">
      <c r="A131" s="44"/>
      <c r="B131" s="99" t="str">
        <f>'G-2 Habitat groups'!AU118</f>
        <v>Grassland - Bracken</v>
      </c>
      <c r="C131" s="100" t="str">
        <f>'G-2 Habitat groups'!AV118</f>
        <v>Grassland</v>
      </c>
      <c r="D131" s="111">
        <f>'G-2 Habitat groups'!BB118</f>
        <v>0</v>
      </c>
      <c r="E131" s="111">
        <f>'G-2 Habitat groups'!BD118</f>
        <v>0</v>
      </c>
      <c r="F131" s="112">
        <f>'G-2 Habitat groups'!BE118</f>
        <v>0</v>
      </c>
      <c r="G131" s="44"/>
      <c r="H131" s="44"/>
      <c r="I131" s="44"/>
      <c r="J131" s="44"/>
      <c r="K131" s="44"/>
      <c r="L131" s="44"/>
      <c r="M131" s="44"/>
      <c r="N131" s="44"/>
    </row>
    <row r="132" spans="1:15" x14ac:dyDescent="0.25">
      <c r="A132" s="44"/>
      <c r="B132" s="99" t="str">
        <f>'G-2 Habitat groups'!AU119</f>
        <v>Heathland and shrub - Rhododendron scrub</v>
      </c>
      <c r="C132" s="100" t="str">
        <f>'G-2 Habitat groups'!AV119</f>
        <v>Heathland and shrub</v>
      </c>
      <c r="D132" s="111">
        <f>'G-2 Habitat groups'!BB119</f>
        <v>0</v>
      </c>
      <c r="E132" s="111">
        <f>'G-2 Habitat groups'!BD119</f>
        <v>0</v>
      </c>
      <c r="F132" s="112">
        <f>'G-2 Habitat groups'!BE119</f>
        <v>0</v>
      </c>
      <c r="G132" s="44"/>
      <c r="H132" s="44"/>
      <c r="I132" s="44"/>
      <c r="J132" s="44"/>
      <c r="K132" s="44"/>
      <c r="L132" s="44"/>
      <c r="M132" s="44"/>
      <c r="N132" s="44"/>
    </row>
    <row r="133" spans="1:15" x14ac:dyDescent="0.25">
      <c r="A133" s="44"/>
      <c r="B133" s="99" t="str">
        <f>'G-2 Habitat groups'!AU120</f>
        <v>Lakes - Ornamental lake or pond</v>
      </c>
      <c r="C133" s="100" t="str">
        <f>'G-2 Habitat groups'!AV120</f>
        <v>Lakes</v>
      </c>
      <c r="D133" s="111">
        <f>'G-2 Habitat groups'!BB120</f>
        <v>0</v>
      </c>
      <c r="E133" s="111">
        <f>'G-2 Habitat groups'!BD120</f>
        <v>0</v>
      </c>
      <c r="F133" s="112">
        <f>'G-2 Habitat groups'!BE120</f>
        <v>0</v>
      </c>
      <c r="G133" s="44"/>
      <c r="H133" s="44"/>
      <c r="I133" s="44"/>
      <c r="J133" s="44"/>
      <c r="K133" s="44"/>
      <c r="L133" s="44"/>
      <c r="M133" s="44"/>
      <c r="N133" s="44"/>
    </row>
    <row r="134" spans="1:15" x14ac:dyDescent="0.25">
      <c r="A134" s="44"/>
      <c r="B134" s="99" t="str">
        <f>'G-2 Habitat groups'!AU121</f>
        <v>Sparsely vegetated land - Ruderal/Ephemeral</v>
      </c>
      <c r="C134" s="100" t="str">
        <f>'G-2 Habitat groups'!AV121</f>
        <v>Sparsely vegetated land</v>
      </c>
      <c r="D134" s="111">
        <f>'G-2 Habitat groups'!BB121</f>
        <v>0</v>
      </c>
      <c r="E134" s="111">
        <f>'G-2 Habitat groups'!BD121</f>
        <v>0</v>
      </c>
      <c r="F134" s="112">
        <f>'G-2 Habitat groups'!BE121</f>
        <v>0</v>
      </c>
      <c r="G134" s="44"/>
      <c r="H134" s="44"/>
      <c r="I134" s="44"/>
      <c r="J134" s="44"/>
      <c r="K134" s="44"/>
      <c r="L134" s="44"/>
      <c r="M134" s="44"/>
      <c r="N134" s="44"/>
    </row>
    <row r="135" spans="1:15" x14ac:dyDescent="0.25">
      <c r="A135" s="44"/>
      <c r="B135" s="99" t="str">
        <f>'G-2 Habitat groups'!AU122</f>
        <v>Urban - Bioswale</v>
      </c>
      <c r="C135" s="100" t="str">
        <f>'G-2 Habitat groups'!AV121</f>
        <v>Sparsely vegetated land</v>
      </c>
      <c r="D135" s="111">
        <f>'G-2 Habitat groups'!BB122</f>
        <v>8.7025630000000007E-2</v>
      </c>
      <c r="E135" s="111">
        <f>'G-2 Habitat groups'!BD122</f>
        <v>0</v>
      </c>
      <c r="F135" s="112">
        <f>'G-2 Habitat groups'!BE122</f>
        <v>8.7025630000000007E-2</v>
      </c>
      <c r="G135" s="44"/>
      <c r="H135" s="44"/>
      <c r="I135" s="44"/>
      <c r="J135" s="44"/>
      <c r="K135" s="44"/>
      <c r="L135" s="44"/>
      <c r="M135" s="44"/>
      <c r="N135" s="44"/>
    </row>
    <row r="136" spans="1:15" x14ac:dyDescent="0.25">
      <c r="A136" s="44"/>
      <c r="B136" s="99" t="str">
        <f>'G-2 Habitat groups'!AU123</f>
        <v>Urban - Allotments</v>
      </c>
      <c r="C136" s="100" t="str">
        <f>'G-2 Habitat groups'!AV122</f>
        <v>Urban</v>
      </c>
      <c r="D136" s="111">
        <f>'G-2 Habitat groups'!BB123</f>
        <v>6.7549999999999997E-3</v>
      </c>
      <c r="E136" s="111">
        <f>'G-2 Habitat groups'!BD123</f>
        <v>0</v>
      </c>
      <c r="F136" s="112">
        <f>'G-2 Habitat groups'!BE123</f>
        <v>6.7549999999999997E-3</v>
      </c>
      <c r="G136" s="44"/>
      <c r="H136" s="44"/>
      <c r="I136" s="44"/>
      <c r="J136" s="44"/>
      <c r="K136" s="44"/>
      <c r="L136" s="44"/>
      <c r="M136" s="44"/>
      <c r="N136" s="44"/>
    </row>
    <row r="137" spans="1:15" x14ac:dyDescent="0.25">
      <c r="A137" s="44"/>
      <c r="B137" s="99" t="str">
        <f>'G-2 Habitat groups'!AU124</f>
        <v>Urban - Facade-bound green wall</v>
      </c>
      <c r="C137" s="100" t="str">
        <f>'G-2 Habitat groups'!AV124</f>
        <v>Urban</v>
      </c>
      <c r="D137" s="111">
        <f>'G-2 Habitat groups'!BB124</f>
        <v>0</v>
      </c>
      <c r="E137" s="111">
        <f>'G-2 Habitat groups'!BD124</f>
        <v>0</v>
      </c>
      <c r="F137" s="112">
        <f>'G-2 Habitat groups'!BE124</f>
        <v>0</v>
      </c>
      <c r="G137" s="44"/>
      <c r="H137" s="44"/>
      <c r="I137" s="44"/>
      <c r="J137" s="44"/>
      <c r="K137" s="44"/>
      <c r="L137" s="44"/>
      <c r="M137" s="44"/>
      <c r="N137" s="44"/>
    </row>
    <row r="138" spans="1:15" x14ac:dyDescent="0.25">
      <c r="A138" s="44"/>
      <c r="B138" s="99" t="str">
        <f>'G-2 Habitat groups'!AU125</f>
        <v>Urban - Ground based green wall</v>
      </c>
      <c r="C138" s="100" t="str">
        <f>'G-2 Habitat groups'!AV125</f>
        <v>Urban</v>
      </c>
      <c r="D138" s="111">
        <f>'G-2 Habitat groups'!BB125</f>
        <v>-1.7000000000000001E-2</v>
      </c>
      <c r="E138" s="111">
        <f>'G-2 Habitat groups'!BD125</f>
        <v>0</v>
      </c>
      <c r="F138" s="112">
        <f>'G-2 Habitat groups'!BE125</f>
        <v>-1.7000000000000001E-2</v>
      </c>
      <c r="G138" s="44"/>
      <c r="H138" s="44"/>
      <c r="I138" s="44"/>
      <c r="J138" s="44"/>
      <c r="K138" s="44"/>
      <c r="L138" s="44"/>
      <c r="M138" s="44"/>
      <c r="N138" s="44"/>
    </row>
    <row r="139" spans="1:15" x14ac:dyDescent="0.25">
      <c r="A139" s="44"/>
      <c r="B139" s="99" t="str">
        <f>'G-2 Habitat groups'!AU126</f>
        <v>Urban - Ground level planters</v>
      </c>
      <c r="C139" s="100" t="str">
        <f>'G-2 Habitat groups'!AV126</f>
        <v>Urban</v>
      </c>
      <c r="D139" s="111">
        <f>'G-2 Habitat groups'!BB126</f>
        <v>0.56336699999999995</v>
      </c>
      <c r="E139" s="111">
        <f>'G-2 Habitat groups'!BD126</f>
        <v>0</v>
      </c>
      <c r="F139" s="112">
        <f>'G-2 Habitat groups'!BE126</f>
        <v>0.56336699999999995</v>
      </c>
      <c r="G139" s="44"/>
      <c r="H139" s="44"/>
      <c r="I139" s="44"/>
      <c r="J139" s="44"/>
      <c r="K139" s="44"/>
      <c r="L139" s="44"/>
      <c r="M139" s="44"/>
      <c r="N139" s="44"/>
    </row>
    <row r="140" spans="1:15" x14ac:dyDescent="0.25">
      <c r="A140" s="44"/>
      <c r="B140" s="99" t="str">
        <f>'G-2 Habitat groups'!AU127</f>
        <v>Urban - Extensive green roof</v>
      </c>
      <c r="C140" s="100" t="str">
        <f>'G-2 Habitat groups'!AV127</f>
        <v>Urban</v>
      </c>
      <c r="D140" s="111">
        <f>'G-2 Habitat groups'!BB127</f>
        <v>0.53036399999999995</v>
      </c>
      <c r="E140" s="111">
        <f>'G-2 Habitat groups'!BD127</f>
        <v>0</v>
      </c>
      <c r="F140" s="112">
        <f>'G-2 Habitat groups'!BE127</f>
        <v>0.53036399999999995</v>
      </c>
      <c r="G140" s="44"/>
      <c r="H140" s="44"/>
      <c r="I140" s="44"/>
      <c r="J140" s="44"/>
      <c r="K140" s="44"/>
      <c r="L140" s="44"/>
      <c r="M140" s="44"/>
      <c r="N140" s="44"/>
    </row>
    <row r="141" spans="1:15" x14ac:dyDescent="0.25">
      <c r="A141" s="44"/>
      <c r="B141" s="99" t="str">
        <f>'G-2 Habitat groups'!AU128</f>
        <v>Urban - Introduced shrub</v>
      </c>
      <c r="C141" s="100" t="str">
        <f>'G-2 Habitat groups'!AV128</f>
        <v>Urban</v>
      </c>
      <c r="D141" s="111">
        <f>'G-2 Habitat groups'!BB128</f>
        <v>-3.4200000000000001E-2</v>
      </c>
      <c r="E141" s="111">
        <f>'G-2 Habitat groups'!BD128</f>
        <v>0</v>
      </c>
      <c r="F141" s="112">
        <f>'G-2 Habitat groups'!BE128</f>
        <v>-3.4200000000000001E-2</v>
      </c>
      <c r="G141" s="44"/>
      <c r="H141" s="44"/>
      <c r="I141" s="44"/>
      <c r="J141" s="44"/>
      <c r="K141" s="44"/>
      <c r="L141" s="44"/>
      <c r="M141" s="44"/>
      <c r="N141" s="44"/>
    </row>
    <row r="142" spans="1:15" x14ac:dyDescent="0.25">
      <c r="A142" s="44"/>
      <c r="B142" s="99" t="str">
        <f>'G-2 Habitat groups'!AU129</f>
        <v>Urban - Rain garden</v>
      </c>
      <c r="C142" s="100" t="str">
        <f>'G-2 Habitat groups'!AV129</f>
        <v>Urban</v>
      </c>
      <c r="D142" s="111">
        <f>'G-2 Habitat groups'!BB129</f>
        <v>0</v>
      </c>
      <c r="E142" s="111">
        <f>'G-2 Habitat groups'!BD129</f>
        <v>0</v>
      </c>
      <c r="F142" s="112">
        <f>'G-2 Habitat groups'!BE129</f>
        <v>0</v>
      </c>
      <c r="G142" s="44"/>
      <c r="H142" s="44"/>
      <c r="I142" s="44"/>
      <c r="J142" s="44"/>
      <c r="K142" s="44"/>
      <c r="L142" s="44"/>
      <c r="M142" s="44"/>
      <c r="N142" s="44"/>
    </row>
    <row r="143" spans="1:15" x14ac:dyDescent="0.25">
      <c r="A143" s="44"/>
      <c r="B143" s="99" t="str">
        <f>'G-2 Habitat groups'!AU130</f>
        <v>Urban - Sand pit quarry or open cast mine</v>
      </c>
      <c r="C143" s="100" t="str">
        <f>'G-2 Habitat groups'!AV130</f>
        <v>Urban</v>
      </c>
      <c r="D143" s="111">
        <f>'G-2 Habitat groups'!BB130</f>
        <v>0</v>
      </c>
      <c r="E143" s="111">
        <f>'G-2 Habitat groups'!BD130</f>
        <v>0</v>
      </c>
      <c r="F143" s="112">
        <f>'G-2 Habitat groups'!BE130</f>
        <v>0</v>
      </c>
      <c r="G143" s="44"/>
      <c r="H143" s="44"/>
      <c r="I143" s="44"/>
      <c r="J143" s="44"/>
      <c r="K143" s="44"/>
      <c r="L143" s="44"/>
      <c r="M143" s="44"/>
      <c r="N143" s="44"/>
    </row>
    <row r="144" spans="1:15" x14ac:dyDescent="0.25">
      <c r="A144" s="44"/>
      <c r="B144" s="99" t="str">
        <f>'G-2 Habitat groups'!AU131</f>
        <v>Urban - Urban Tree</v>
      </c>
      <c r="C144" s="100" t="str">
        <f>'G-2 Habitat groups'!AV131</f>
        <v>Urban</v>
      </c>
      <c r="D144" s="111">
        <f>'G-2 Habitat groups'!BB131</f>
        <v>0.15768047462855994</v>
      </c>
      <c r="E144" s="111">
        <f>'G-2 Habitat groups'!BD131</f>
        <v>0</v>
      </c>
      <c r="F144" s="112">
        <f>'G-2 Habitat groups'!BE131</f>
        <v>0.15768047462855994</v>
      </c>
      <c r="G144" s="44"/>
      <c r="H144" s="44"/>
      <c r="I144" s="44"/>
      <c r="J144" s="44"/>
      <c r="K144" s="44"/>
      <c r="L144" s="44"/>
      <c r="M144" s="44"/>
      <c r="N144" s="44"/>
      <c r="O144" s="44"/>
    </row>
    <row r="145" spans="1:17" x14ac:dyDescent="0.25">
      <c r="A145" s="44"/>
      <c r="B145" s="99" t="str">
        <f>'G-2 Habitat groups'!AU132</f>
        <v>Urban - Sustainable urban drainage feature</v>
      </c>
      <c r="C145" s="100" t="str">
        <f>'G-2 Habitat groups'!AV132</f>
        <v>Urban</v>
      </c>
      <c r="D145" s="111">
        <f>'G-2 Habitat groups'!BB132</f>
        <v>0</v>
      </c>
      <c r="E145" s="111">
        <f>'G-2 Habitat groups'!BD132</f>
        <v>0</v>
      </c>
      <c r="F145" s="112">
        <f>'G-2 Habitat groups'!BE132</f>
        <v>0</v>
      </c>
      <c r="G145" s="44"/>
      <c r="H145" s="44"/>
      <c r="I145" s="44"/>
      <c r="J145" s="44"/>
      <c r="K145" s="44"/>
      <c r="L145" s="44"/>
      <c r="M145" s="44"/>
      <c r="N145" s="44"/>
      <c r="O145" s="44"/>
    </row>
    <row r="146" spans="1:17" x14ac:dyDescent="0.25">
      <c r="A146" s="44"/>
      <c r="B146" s="99" t="str">
        <f>'G-2 Habitat groups'!AU133</f>
        <v>Urban - Vacant/derelict land/ bareground</v>
      </c>
      <c r="C146" s="100" t="str">
        <f>'G-2 Habitat groups'!AV133</f>
        <v>Urban</v>
      </c>
      <c r="D146" s="111">
        <f>'G-2 Habitat groups'!BB133</f>
        <v>-2.1999999999999999E-2</v>
      </c>
      <c r="E146" s="111">
        <f>'G-2 Habitat groups'!BD133</f>
        <v>0</v>
      </c>
      <c r="F146" s="112">
        <f>'G-2 Habitat groups'!BE133</f>
        <v>-2.1999999999999999E-2</v>
      </c>
      <c r="G146" s="44"/>
      <c r="H146" s="44"/>
      <c r="I146" s="44"/>
      <c r="J146" s="44"/>
      <c r="K146" s="44"/>
      <c r="L146" s="44"/>
      <c r="M146" s="44"/>
      <c r="N146" s="44"/>
      <c r="O146" s="44"/>
    </row>
    <row r="147" spans="1:17" x14ac:dyDescent="0.25">
      <c r="A147" s="44"/>
      <c r="B147" s="99" t="str">
        <f>'G-2 Habitat groups'!AU134</f>
        <v>Urban - Vegetated garden</v>
      </c>
      <c r="C147" s="100" t="str">
        <f>'G-2 Habitat groups'!AV134</f>
        <v>Urban</v>
      </c>
      <c r="D147" s="111">
        <f>'G-2 Habitat groups'!BB134</f>
        <v>5.2689E-2</v>
      </c>
      <c r="E147" s="111">
        <f>'G-2 Habitat groups'!BD134</f>
        <v>0</v>
      </c>
      <c r="F147" s="112">
        <f>'G-2 Habitat groups'!BE134</f>
        <v>5.2689E-2</v>
      </c>
      <c r="G147" s="44"/>
      <c r="H147" s="44"/>
      <c r="I147" s="44"/>
      <c r="J147" s="44"/>
      <c r="K147" s="44"/>
      <c r="L147" s="44"/>
      <c r="M147" s="44"/>
      <c r="N147" s="44"/>
      <c r="O147" s="44"/>
    </row>
    <row r="148" spans="1:17" x14ac:dyDescent="0.25">
      <c r="A148" s="44"/>
      <c r="B148" s="103" t="str">
        <f>'G-2 Habitat groups'!AU135</f>
        <v>Woodland and forest - Other coniferous woodland</v>
      </c>
      <c r="C148" s="104" t="str">
        <f>'G-2 Habitat groups'!AV135</f>
        <v>Woodland and forest</v>
      </c>
      <c r="D148" s="114">
        <f>'G-2 Habitat groups'!BB135</f>
        <v>0</v>
      </c>
      <c r="E148" s="114">
        <f>'G-2 Habitat groups'!BD135</f>
        <v>0</v>
      </c>
      <c r="F148" s="115">
        <f>'G-2 Habitat groups'!BE135</f>
        <v>0</v>
      </c>
      <c r="G148" s="44"/>
      <c r="H148" s="44"/>
      <c r="I148" s="44"/>
      <c r="J148" s="44"/>
      <c r="K148" s="44"/>
      <c r="L148" s="44"/>
      <c r="M148" s="44"/>
      <c r="N148" s="44"/>
      <c r="O148" s="44"/>
    </row>
    <row r="149" spans="1:17" x14ac:dyDescent="0.25">
      <c r="A149" s="44"/>
      <c r="B149" s="99" t="str">
        <f>'G-2 Habitat groups'!AU136</f>
        <v>Coastal saltmarsh - Artificial saltmarshes and saline reedbeds</v>
      </c>
      <c r="C149" s="100" t="str">
        <f>'G-2 Habitat groups'!AV136</f>
        <v xml:space="preserve">Coastal saltmarsh </v>
      </c>
      <c r="D149" s="111">
        <f>'G-2 Habitat groups'!BB136</f>
        <v>0</v>
      </c>
      <c r="E149" s="111">
        <f>'G-2 Habitat groups'!BD136</f>
        <v>0</v>
      </c>
      <c r="F149" s="112">
        <f>'G-2 Habitat groups'!BE136</f>
        <v>0</v>
      </c>
      <c r="G149" s="44"/>
      <c r="H149" s="44"/>
      <c r="I149" s="44"/>
      <c r="J149" s="44"/>
      <c r="K149" s="44"/>
      <c r="L149" s="44"/>
      <c r="M149" s="44"/>
      <c r="N149" s="44"/>
      <c r="O149" s="44"/>
    </row>
    <row r="150" spans="1:17" x14ac:dyDescent="0.25">
      <c r="A150" s="44"/>
      <c r="B150" s="99" t="str">
        <f>'G-2 Habitat groups'!AU137</f>
        <v>Intertidal sediment - Artificial littoral coarse sediment</v>
      </c>
      <c r="C150" s="100" t="str">
        <f>'G-2 Habitat groups'!AV137</f>
        <v>Intertidal sediment</v>
      </c>
      <c r="D150" s="111">
        <f>'G-2 Habitat groups'!BB137</f>
        <v>0</v>
      </c>
      <c r="E150" s="111">
        <f>'G-2 Habitat groups'!BD137</f>
        <v>0</v>
      </c>
      <c r="F150" s="112">
        <f>'G-2 Habitat groups'!BE137</f>
        <v>0</v>
      </c>
      <c r="G150" s="44"/>
      <c r="H150" s="44"/>
      <c r="I150" s="44"/>
      <c r="J150" s="44"/>
      <c r="K150" s="44"/>
      <c r="L150" s="44"/>
      <c r="M150" s="44"/>
      <c r="N150" s="44"/>
      <c r="O150" s="44"/>
    </row>
    <row r="151" spans="1:17" x14ac:dyDescent="0.25">
      <c r="A151" s="44"/>
      <c r="B151" s="99" t="str">
        <f>'G-2 Habitat groups'!AU138</f>
        <v>Intertidal sediment - Artificial littoral mud</v>
      </c>
      <c r="C151" s="100" t="str">
        <f>'G-2 Habitat groups'!AV138</f>
        <v>Intertidal sediment</v>
      </c>
      <c r="D151" s="111">
        <f>'G-2 Habitat groups'!BB138</f>
        <v>0</v>
      </c>
      <c r="E151" s="111">
        <f>'G-2 Habitat groups'!BD138</f>
        <v>0</v>
      </c>
      <c r="F151" s="112">
        <f>'G-2 Habitat groups'!BE138</f>
        <v>0</v>
      </c>
      <c r="G151" s="44"/>
      <c r="H151" s="44"/>
      <c r="I151" s="44"/>
      <c r="J151" s="44"/>
      <c r="K151" s="44"/>
      <c r="L151" s="44"/>
      <c r="M151" s="44"/>
      <c r="N151" s="44"/>
      <c r="O151" s="44"/>
    </row>
    <row r="152" spans="1:17" x14ac:dyDescent="0.25">
      <c r="A152" s="44"/>
      <c r="B152" s="99" t="str">
        <f>'G-2 Habitat groups'!AU139</f>
        <v>Intertidal sediment - Artificial littoral sand</v>
      </c>
      <c r="C152" s="100" t="str">
        <f>'G-2 Habitat groups'!AV139</f>
        <v>Intertidal sediment</v>
      </c>
      <c r="D152" s="111">
        <f>'G-2 Habitat groups'!BB139</f>
        <v>0</v>
      </c>
      <c r="E152" s="111">
        <f>'G-2 Habitat groups'!BD139</f>
        <v>0</v>
      </c>
      <c r="F152" s="112">
        <f>'G-2 Habitat groups'!BE139</f>
        <v>0</v>
      </c>
      <c r="G152" s="44"/>
      <c r="H152" s="44"/>
      <c r="I152" s="44"/>
      <c r="J152" s="44"/>
      <c r="K152" s="44"/>
      <c r="L152" s="44"/>
      <c r="M152" s="44"/>
      <c r="N152" s="44"/>
      <c r="O152" s="44"/>
    </row>
    <row r="153" spans="1:17" x14ac:dyDescent="0.25">
      <c r="A153" s="44"/>
      <c r="B153" s="99" t="str">
        <f>'G-2 Habitat groups'!AU140</f>
        <v>Intertidal sediment - Artificial littoral muddy sand</v>
      </c>
      <c r="C153" s="100" t="str">
        <f>'G-2 Habitat groups'!AV140</f>
        <v>Intertidal sediment</v>
      </c>
      <c r="D153" s="111">
        <f>'G-2 Habitat groups'!BB140</f>
        <v>0</v>
      </c>
      <c r="E153" s="111">
        <f>'G-2 Habitat groups'!BD140</f>
        <v>0</v>
      </c>
      <c r="F153" s="112">
        <f>'G-2 Habitat groups'!BE140</f>
        <v>0</v>
      </c>
      <c r="G153" s="44"/>
      <c r="H153" s="44"/>
      <c r="I153" s="44"/>
      <c r="J153" s="44"/>
      <c r="K153" s="44"/>
      <c r="L153" s="44"/>
      <c r="M153" s="44"/>
      <c r="N153" s="44"/>
      <c r="O153" s="44"/>
    </row>
    <row r="154" spans="1:17" x14ac:dyDescent="0.25">
      <c r="A154" s="44"/>
      <c r="B154" s="99" t="str">
        <f>'G-2 Habitat groups'!AU141</f>
        <v>Intertidal sediment - Artificial littoral mixed sediments</v>
      </c>
      <c r="C154" s="100" t="str">
        <f>'G-2 Habitat groups'!AV141</f>
        <v>Intertidal sediment</v>
      </c>
      <c r="D154" s="111">
        <f>'G-2 Habitat groups'!BB141</f>
        <v>0</v>
      </c>
      <c r="E154" s="111">
        <f>'G-2 Habitat groups'!BD141</f>
        <v>0</v>
      </c>
      <c r="F154" s="112">
        <f>'G-2 Habitat groups'!BE141</f>
        <v>0</v>
      </c>
      <c r="G154" s="44"/>
      <c r="H154" s="44"/>
      <c r="I154" s="44"/>
      <c r="J154" s="44"/>
      <c r="K154" s="44"/>
      <c r="L154" s="44"/>
      <c r="M154" s="44"/>
      <c r="N154" s="44"/>
      <c r="O154" s="44"/>
    </row>
    <row r="155" spans="1:17" x14ac:dyDescent="0.25">
      <c r="A155" s="44"/>
      <c r="B155" s="99" t="str">
        <f>'G-2 Habitat groups'!AU142</f>
        <v>Intertidal sediment - Artificial littoral seagrass</v>
      </c>
      <c r="C155" s="100" t="str">
        <f>'G-2 Habitat groups'!AV142</f>
        <v>Intertidal sediment</v>
      </c>
      <c r="D155" s="111">
        <f>'G-2 Habitat groups'!BB142</f>
        <v>0</v>
      </c>
      <c r="E155" s="111">
        <f>'G-2 Habitat groups'!BD142</f>
        <v>0</v>
      </c>
      <c r="F155" s="112">
        <f>'G-2 Habitat groups'!BE142</f>
        <v>0</v>
      </c>
      <c r="G155" s="44"/>
      <c r="H155" s="44"/>
      <c r="I155" s="44"/>
      <c r="J155" s="44"/>
      <c r="K155" s="44"/>
      <c r="L155" s="44"/>
      <c r="M155" s="44"/>
      <c r="N155" s="44"/>
      <c r="O155" s="44"/>
    </row>
    <row r="156" spans="1:17" x14ac:dyDescent="0.25">
      <c r="A156" s="44"/>
      <c r="B156" s="99" t="str">
        <f>'G-2 Habitat groups'!AU143</f>
        <v>Intertidal sediment - Artificial littoral biogenic reefs</v>
      </c>
      <c r="C156" s="100" t="str">
        <f>'G-2 Habitat groups'!AV143</f>
        <v>Intertidal sediment</v>
      </c>
      <c r="D156" s="111">
        <f>'G-2 Habitat groups'!BB143</f>
        <v>0</v>
      </c>
      <c r="E156" s="111">
        <f>'G-2 Habitat groups'!BD143</f>
        <v>0</v>
      </c>
      <c r="F156" s="112">
        <f>'G-2 Habitat groups'!BE143</f>
        <v>0</v>
      </c>
      <c r="G156" s="44"/>
      <c r="H156" s="44"/>
      <c r="I156" s="44"/>
      <c r="J156" s="44"/>
      <c r="K156" s="44"/>
      <c r="L156" s="44"/>
      <c r="M156" s="44"/>
      <c r="N156" s="44"/>
      <c r="O156" s="44"/>
    </row>
    <row r="157" spans="1:17" x14ac:dyDescent="0.25">
      <c r="A157" s="44"/>
      <c r="B157" s="99" t="str">
        <f>'G-2 Habitat groups'!AU144</f>
        <v>Intertidal Hard Structures - Artificial hard structures</v>
      </c>
      <c r="C157" s="100" t="str">
        <f>'G-2 Habitat groups'!AV144</f>
        <v xml:space="preserve">Intertidal </v>
      </c>
      <c r="D157" s="111">
        <f>'G-2 Habitat groups'!BB144</f>
        <v>0</v>
      </c>
      <c r="E157" s="111">
        <f>'G-2 Habitat groups'!BD144</f>
        <v>0</v>
      </c>
      <c r="F157" s="112">
        <f>'G-2 Habitat groups'!BE144</f>
        <v>0</v>
      </c>
      <c r="G157" s="44"/>
      <c r="H157" s="44"/>
      <c r="I157" s="44"/>
      <c r="J157" s="44"/>
      <c r="K157" s="44"/>
      <c r="L157" s="44"/>
      <c r="M157" s="44"/>
      <c r="N157" s="44"/>
      <c r="O157" s="44"/>
    </row>
    <row r="158" spans="1:17" x14ac:dyDescent="0.25">
      <c r="A158" s="44"/>
      <c r="B158" s="103" t="str">
        <f>'G-2 Habitat groups'!AU145</f>
        <v>Intertidal Hard Structures - Artificial features of hard structures</v>
      </c>
      <c r="C158" s="104" t="str">
        <f>'G-2 Habitat groups'!AV145</f>
        <v xml:space="preserve">Intertidal </v>
      </c>
      <c r="D158" s="114">
        <f>'G-2 Habitat groups'!BB145</f>
        <v>0</v>
      </c>
      <c r="E158" s="114">
        <f>'G-2 Habitat groups'!BD145</f>
        <v>0</v>
      </c>
      <c r="F158" s="115">
        <f>'G-2 Habitat groups'!BE145</f>
        <v>0</v>
      </c>
      <c r="G158" s="44"/>
      <c r="H158" s="44"/>
      <c r="I158" s="44"/>
      <c r="J158" s="44"/>
      <c r="K158" s="44"/>
      <c r="L158" s="44"/>
      <c r="M158" s="44"/>
      <c r="N158" s="44"/>
      <c r="O158" s="44"/>
    </row>
    <row r="159" spans="1:17" ht="14.4" thickBot="1" x14ac:dyDescent="0.3">
      <c r="A159" s="44"/>
      <c r="B159" s="101" t="str">
        <f>'G-2 Habitat groups'!AU146</f>
        <v>Heathland and shrub - Sea buckthorn scrub (other)</v>
      </c>
      <c r="C159" s="102" t="str">
        <f>'G-2 Habitat groups'!AV146</f>
        <v>Heathland and shrub</v>
      </c>
      <c r="D159" s="113">
        <f>'G-2 Habitat groups'!BB146</f>
        <v>0</v>
      </c>
      <c r="E159" s="113">
        <f>'G-2 Habitat groups'!BD146</f>
        <v>0</v>
      </c>
      <c r="F159" s="116">
        <f>'G-2 Habitat groups'!BE146</f>
        <v>0</v>
      </c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1:17" ht="14.4" thickBot="1" x14ac:dyDescent="0.3">
      <c r="A160" s="44"/>
      <c r="B160" s="44"/>
      <c r="C160" s="44"/>
      <c r="D160" s="392">
        <f>SUM(D124:D159)</f>
        <v>0.9130061046285598</v>
      </c>
      <c r="E160" s="44"/>
      <c r="F160" s="392">
        <f>SUM(F124:F159)</f>
        <v>0.9130061046285598</v>
      </c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</row>
    <row r="161" spans="1:17" hidden="1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1:17" hidden="1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</row>
    <row r="163" spans="1:17" hidden="1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7" hidden="1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7" hidden="1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7" hidden="1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</row>
    <row r="167" spans="1:17" hidden="1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7" hidden="1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7" hidden="1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7" hidden="1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7" hidden="1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7" hidden="1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7" hidden="1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7" hidden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1:17" hidden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7" hidden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7" hidden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hidden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7" hidden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7" hidden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1:17" hidden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7" hidden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</row>
    <row r="183" spans="1:17" hidden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7" hidden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7" hidden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7" hidden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7" hidden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7" hidden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7" hidden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7" hidden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7" hidden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7" hidden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1:17" hidden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7" hidden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</row>
    <row r="195" spans="1:17" hidden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7" hidden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</row>
    <row r="197" spans="1:17" hidden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</row>
    <row r="198" spans="1:17" hidden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1:17" hidden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7" hidden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</row>
    <row r="201" spans="1:17" hidden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7" hidden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</row>
    <row r="203" spans="1:17" hidden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7" hidden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</row>
    <row r="205" spans="1:17" hidden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7" hidden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17" hidden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7" hidden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7" hidden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</row>
    <row r="210" spans="1:17" hidden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7" hidden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1:17" hidden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</row>
    <row r="213" spans="1:17" hidden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7" hidden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</row>
    <row r="215" spans="1:17" hidden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7" hidden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</row>
    <row r="217" spans="1:17" hidden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</row>
    <row r="218" spans="1:17" hidden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</row>
    <row r="219" spans="1:17" hidden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</row>
    <row r="220" spans="1:17" hidden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</row>
    <row r="221" spans="1:17" hidden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</row>
    <row r="222" spans="1:17" hidden="1" x14ac:dyDescent="0.25">
      <c r="A222" s="44"/>
      <c r="B222" s="44"/>
      <c r="C222" s="44"/>
      <c r="D222" s="44"/>
      <c r="E222" s="44"/>
      <c r="F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</row>
    <row r="223" spans="1:17" hidden="1" x14ac:dyDescent="0.25">
      <c r="A223" s="44"/>
      <c r="B223" s="44"/>
      <c r="C223" s="44"/>
      <c r="D223" s="44"/>
      <c r="E223" s="44"/>
      <c r="F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</row>
    <row r="224" spans="1:17" hidden="1" x14ac:dyDescent="0.25">
      <c r="A224" s="44"/>
      <c r="B224" s="44"/>
      <c r="C224" s="44"/>
      <c r="D224" s="44"/>
      <c r="E224" s="44"/>
      <c r="F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1:17" hidden="1" x14ac:dyDescent="0.25">
      <c r="A225" s="44"/>
      <c r="B225" s="44"/>
      <c r="C225" s="44"/>
      <c r="D225" s="44"/>
      <c r="E225" s="44"/>
      <c r="F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</row>
    <row r="226" spans="1:17" hidden="1" x14ac:dyDescent="0.25">
      <c r="A226" s="44"/>
      <c r="B226" s="44"/>
      <c r="C226" s="44"/>
      <c r="D226" s="44"/>
      <c r="E226" s="44"/>
      <c r="F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</row>
    <row r="227" spans="1:17" hidden="1" x14ac:dyDescent="0.25">
      <c r="A227" s="44"/>
      <c r="B227" s="44"/>
      <c r="C227" s="44"/>
      <c r="D227" s="44"/>
      <c r="E227" s="44"/>
      <c r="F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  <row r="228" spans="1:17" hidden="1" x14ac:dyDescent="0.25">
      <c r="A228" s="44"/>
      <c r="B228" s="44"/>
      <c r="C228" s="44"/>
      <c r="D228" s="44"/>
      <c r="E228" s="44"/>
      <c r="F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</row>
    <row r="229" spans="1:17" hidden="1" x14ac:dyDescent="0.25">
      <c r="A229" s="44"/>
      <c r="B229" s="44"/>
      <c r="C229" s="44"/>
      <c r="D229" s="44"/>
      <c r="E229" s="44"/>
      <c r="F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</row>
    <row r="230" spans="1:17" hidden="1" x14ac:dyDescent="0.25">
      <c r="A230" s="44"/>
      <c r="B230" s="44"/>
      <c r="C230" s="44"/>
      <c r="D230" s="44"/>
      <c r="E230" s="44"/>
      <c r="F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</row>
    <row r="231" spans="1:17" hidden="1" x14ac:dyDescent="0.25">
      <c r="A231" s="44"/>
      <c r="B231" s="44"/>
      <c r="C231" s="44"/>
      <c r="D231" s="44"/>
      <c r="E231" s="44"/>
      <c r="F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</row>
    <row r="232" spans="1:17" hidden="1" x14ac:dyDescent="0.25">
      <c r="A232" s="44"/>
      <c r="B232" s="44"/>
      <c r="C232" s="44"/>
      <c r="D232" s="44"/>
      <c r="E232" s="44"/>
      <c r="F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</row>
    <row r="233" spans="1:17" hidden="1" x14ac:dyDescent="0.25">
      <c r="A233" s="44"/>
      <c r="B233" s="44"/>
      <c r="C233" s="44"/>
      <c r="D233" s="44"/>
      <c r="E233" s="44"/>
      <c r="F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</row>
    <row r="234" spans="1:17" hidden="1" x14ac:dyDescent="0.25">
      <c r="A234" s="44"/>
      <c r="B234" s="44"/>
      <c r="C234" s="44"/>
      <c r="D234" s="44"/>
      <c r="E234" s="44"/>
      <c r="F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</row>
    <row r="235" spans="1:17" hidden="1" x14ac:dyDescent="0.25">
      <c r="A235" s="44"/>
      <c r="B235" s="44"/>
      <c r="C235" s="44"/>
      <c r="D235" s="44"/>
      <c r="E235" s="44"/>
      <c r="F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</row>
    <row r="236" spans="1:17" hidden="1" x14ac:dyDescent="0.25">
      <c r="A236" s="44"/>
      <c r="B236" s="44"/>
      <c r="C236" s="44"/>
      <c r="D236" s="44"/>
      <c r="E236" s="44"/>
      <c r="F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</row>
    <row r="237" spans="1:17" hidden="1" x14ac:dyDescent="0.25">
      <c r="A237" s="44"/>
      <c r="B237" s="44"/>
      <c r="C237" s="44"/>
      <c r="D237" s="44"/>
      <c r="E237" s="44"/>
      <c r="F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</row>
    <row r="238" spans="1:17" hidden="1" x14ac:dyDescent="0.25">
      <c r="A238" s="44"/>
      <c r="B238" s="44"/>
      <c r="C238" s="44"/>
      <c r="D238" s="44"/>
      <c r="E238" s="44"/>
      <c r="F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</row>
    <row r="239" spans="1:17" hidden="1" x14ac:dyDescent="0.25">
      <c r="A239" s="44"/>
      <c r="B239" s="44"/>
      <c r="C239" s="44"/>
      <c r="D239" s="44"/>
      <c r="E239" s="44"/>
      <c r="F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</row>
    <row r="240" spans="1:17" hidden="1" x14ac:dyDescent="0.25">
      <c r="A240" s="44"/>
      <c r="B240" s="44"/>
      <c r="C240" s="44"/>
      <c r="D240" s="44"/>
      <c r="E240" s="44"/>
      <c r="F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</row>
    <row r="241" spans="1:17" hidden="1" x14ac:dyDescent="0.25">
      <c r="A241" s="44"/>
      <c r="B241" s="44"/>
      <c r="C241" s="44"/>
      <c r="D241" s="44"/>
      <c r="E241" s="44"/>
      <c r="F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</row>
    <row r="242" spans="1:17" hidden="1" x14ac:dyDescent="0.25">
      <c r="A242" s="44"/>
      <c r="B242" s="44"/>
      <c r="C242" s="44"/>
      <c r="D242" s="44"/>
      <c r="E242" s="44"/>
      <c r="F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</row>
    <row r="243" spans="1:17" hidden="1" x14ac:dyDescent="0.25">
      <c r="A243" s="44"/>
      <c r="B243" s="44"/>
      <c r="C243" s="44"/>
      <c r="D243" s="44"/>
      <c r="E243" s="44"/>
      <c r="F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</row>
    <row r="244" spans="1:17" hidden="1" x14ac:dyDescent="0.25">
      <c r="A244" s="44"/>
      <c r="B244" s="44"/>
      <c r="C244" s="44"/>
      <c r="D244" s="44"/>
      <c r="E244" s="44"/>
      <c r="F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</row>
    <row r="245" spans="1:17" hidden="1" x14ac:dyDescent="0.25">
      <c r="A245" s="44"/>
      <c r="B245" s="44"/>
      <c r="C245" s="44"/>
      <c r="D245" s="44"/>
      <c r="E245" s="44"/>
      <c r="F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</row>
    <row r="246" spans="1:17" hidden="1" x14ac:dyDescent="0.25">
      <c r="A246" s="44"/>
      <c r="B246" s="44"/>
      <c r="C246" s="44"/>
      <c r="D246" s="44"/>
      <c r="E246" s="44"/>
      <c r="F246" s="44"/>
      <c r="H246" s="44"/>
      <c r="K246" s="44"/>
      <c r="L246" s="44"/>
      <c r="M246" s="44"/>
      <c r="N246" s="44"/>
      <c r="O246" s="44"/>
      <c r="P246" s="44"/>
      <c r="Q246" s="44"/>
    </row>
    <row r="247" spans="1:17" hidden="1" x14ac:dyDescent="0.25">
      <c r="A247" s="44"/>
      <c r="B247" s="44"/>
      <c r="C247" s="44"/>
      <c r="D247" s="44"/>
      <c r="E247" s="44"/>
      <c r="F247" s="44"/>
      <c r="H247" s="44"/>
      <c r="K247" s="44"/>
      <c r="L247" s="44"/>
      <c r="M247" s="44"/>
      <c r="N247" s="44"/>
      <c r="O247" s="44"/>
      <c r="P247" s="44"/>
      <c r="Q247" s="44"/>
    </row>
    <row r="248" spans="1:17" hidden="1" x14ac:dyDescent="0.25">
      <c r="A248" s="44"/>
      <c r="B248" s="44"/>
      <c r="C248" s="44"/>
      <c r="D248" s="44"/>
      <c r="E248" s="44"/>
      <c r="F248" s="44"/>
      <c r="H248" s="44"/>
      <c r="K248" s="44"/>
      <c r="L248" s="44"/>
      <c r="M248" s="44"/>
      <c r="N248" s="44"/>
      <c r="O248" s="44"/>
      <c r="P248" s="44"/>
      <c r="Q248" s="44"/>
    </row>
    <row r="249" spans="1:17" hidden="1" x14ac:dyDescent="0.25">
      <c r="A249" s="44"/>
      <c r="B249" s="44"/>
      <c r="C249" s="44"/>
      <c r="D249" s="44"/>
      <c r="E249" s="44"/>
      <c r="F249" s="44"/>
      <c r="H249" s="44"/>
      <c r="K249" s="44"/>
      <c r="L249" s="44"/>
      <c r="M249" s="44"/>
      <c r="N249" s="44"/>
      <c r="O249" s="44"/>
      <c r="P249" s="44"/>
      <c r="Q249" s="44"/>
    </row>
    <row r="250" spans="1:17" hidden="1" x14ac:dyDescent="0.25">
      <c r="A250" s="44"/>
      <c r="B250" s="44"/>
      <c r="C250" s="44"/>
      <c r="D250" s="44"/>
      <c r="E250" s="44"/>
      <c r="F250" s="44"/>
      <c r="H250" s="44"/>
      <c r="K250" s="44"/>
      <c r="L250" s="44"/>
      <c r="M250" s="44"/>
      <c r="N250" s="44"/>
      <c r="O250" s="44"/>
      <c r="P250" s="44"/>
      <c r="Q250" s="44"/>
    </row>
    <row r="251" spans="1:17" hidden="1" x14ac:dyDescent="0.25">
      <c r="A251" s="44"/>
      <c r="B251" s="44"/>
      <c r="C251" s="44"/>
      <c r="D251" s="44"/>
      <c r="E251" s="44"/>
      <c r="F251" s="44"/>
      <c r="H251" s="44"/>
      <c r="K251" s="44"/>
      <c r="L251" s="44"/>
      <c r="M251" s="44"/>
      <c r="N251" s="44"/>
      <c r="O251" s="44"/>
      <c r="P251" s="44"/>
      <c r="Q251" s="44"/>
    </row>
    <row r="252" spans="1:17" hidden="1" x14ac:dyDescent="0.25">
      <c r="A252" s="44"/>
      <c r="B252" s="44"/>
      <c r="C252" s="44"/>
      <c r="D252" s="44"/>
      <c r="E252" s="44"/>
      <c r="F252" s="44"/>
      <c r="H252" s="44"/>
      <c r="K252" s="44"/>
      <c r="L252" s="44"/>
      <c r="M252" s="44"/>
      <c r="N252" s="44"/>
      <c r="O252" s="44"/>
      <c r="P252" s="44"/>
      <c r="Q252" s="44"/>
    </row>
    <row r="253" spans="1:17" hidden="1" x14ac:dyDescent="0.25">
      <c r="A253" s="44"/>
      <c r="B253" s="44"/>
      <c r="C253" s="44"/>
      <c r="D253" s="44"/>
      <c r="E253" s="44"/>
      <c r="F253" s="44"/>
      <c r="H253" s="44"/>
      <c r="K253" s="44"/>
      <c r="L253" s="44"/>
      <c r="M253" s="44"/>
      <c r="N253" s="44"/>
      <c r="O253" s="44"/>
      <c r="P253" s="44"/>
      <c r="Q253" s="44"/>
    </row>
    <row r="254" spans="1:17" hidden="1" x14ac:dyDescent="0.25">
      <c r="A254" s="44"/>
      <c r="B254" s="44"/>
      <c r="C254" s="44"/>
      <c r="D254" s="44"/>
      <c r="E254" s="44"/>
      <c r="F254" s="44"/>
      <c r="H254" s="44"/>
      <c r="K254" s="44"/>
      <c r="L254" s="44"/>
      <c r="M254" s="44"/>
      <c r="N254" s="44"/>
      <c r="O254" s="44"/>
      <c r="P254" s="44"/>
      <c r="Q254" s="44"/>
    </row>
    <row r="255" spans="1:17" hidden="1" x14ac:dyDescent="0.25">
      <c r="A255" s="44"/>
      <c r="B255" s="44"/>
      <c r="C255" s="44"/>
      <c r="D255" s="44"/>
      <c r="E255" s="44"/>
      <c r="F255" s="44"/>
      <c r="H255" s="44"/>
      <c r="K255" s="44"/>
      <c r="L255" s="44"/>
      <c r="M255" s="44"/>
      <c r="N255" s="44"/>
      <c r="O255" s="44"/>
      <c r="P255" s="44"/>
      <c r="Q255" s="44"/>
    </row>
    <row r="256" spans="1:17" hidden="1" x14ac:dyDescent="0.25">
      <c r="A256" s="44"/>
      <c r="B256" s="44"/>
      <c r="C256" s="44"/>
      <c r="D256" s="44"/>
      <c r="E256" s="44"/>
      <c r="F256" s="44"/>
      <c r="H256" s="44"/>
      <c r="K256" s="44"/>
      <c r="L256" s="44"/>
      <c r="M256" s="44"/>
      <c r="N256" s="44"/>
      <c r="O256" s="44"/>
      <c r="P256" s="44"/>
      <c r="Q256" s="44"/>
    </row>
    <row r="257" spans="1:17" hidden="1" x14ac:dyDescent="0.25">
      <c r="A257" s="44"/>
      <c r="B257" s="44"/>
      <c r="C257" s="44"/>
      <c r="D257" s="44"/>
      <c r="E257" s="44"/>
      <c r="F257" s="44"/>
      <c r="H257" s="44"/>
      <c r="K257" s="44"/>
      <c r="L257" s="44"/>
      <c r="M257" s="44"/>
      <c r="N257" s="44"/>
      <c r="O257" s="44"/>
      <c r="P257" s="44"/>
      <c r="Q257" s="44"/>
    </row>
    <row r="258" spans="1:17" hidden="1" x14ac:dyDescent="0.25">
      <c r="A258" s="44"/>
      <c r="B258" s="44"/>
      <c r="C258" s="44"/>
      <c r="D258" s="44"/>
      <c r="E258" s="44"/>
      <c r="F258" s="44"/>
      <c r="H258" s="44"/>
      <c r="K258" s="44"/>
      <c r="L258" s="44"/>
      <c r="M258" s="44"/>
      <c r="N258" s="44"/>
      <c r="O258" s="44"/>
      <c r="P258" s="44"/>
      <c r="Q258" s="44"/>
    </row>
    <row r="259" spans="1:17" hidden="1" x14ac:dyDescent="0.25">
      <c r="A259" s="44"/>
    </row>
    <row r="260" spans="1:17" hidden="1" x14ac:dyDescent="0.25">
      <c r="A260" s="44"/>
    </row>
    <row r="261" spans="1:17" hidden="1" x14ac:dyDescent="0.25">
      <c r="A261" s="44"/>
    </row>
    <row r="262" spans="1:17" hidden="1" x14ac:dyDescent="0.25">
      <c r="A262" s="44"/>
    </row>
    <row r="263" spans="1:17" hidden="1" x14ac:dyDescent="0.25">
      <c r="A263" s="44"/>
    </row>
    <row r="264" spans="1:17" hidden="1" x14ac:dyDescent="0.25">
      <c r="A264" s="44"/>
    </row>
    <row r="265" spans="1:17" hidden="1" x14ac:dyDescent="0.25">
      <c r="A265" s="44"/>
    </row>
    <row r="266" spans="1:17" hidden="1" x14ac:dyDescent="0.25">
      <c r="A266" s="44"/>
    </row>
    <row r="267" spans="1:17" hidden="1" x14ac:dyDescent="0.25">
      <c r="A267" s="44"/>
    </row>
    <row r="268" spans="1:17" hidden="1" x14ac:dyDescent="0.25">
      <c r="A268" s="44"/>
    </row>
    <row r="269" spans="1:17" hidden="1" x14ac:dyDescent="0.25">
      <c r="A269" s="44"/>
    </row>
    <row r="270" spans="1:17" hidden="1" x14ac:dyDescent="0.25">
      <c r="A270" s="44"/>
    </row>
    <row r="271" spans="1:17" hidden="1" x14ac:dyDescent="0.25">
      <c r="A271" s="44"/>
    </row>
    <row r="272" spans="1:17" hidden="1" x14ac:dyDescent="0.25">
      <c r="A272" s="44"/>
    </row>
    <row r="273" spans="1:1" hidden="1" x14ac:dyDescent="0.25">
      <c r="A273" s="44"/>
    </row>
    <row r="274" spans="1:1" hidden="1" x14ac:dyDescent="0.25">
      <c r="A274" s="44"/>
    </row>
    <row r="275" spans="1:1" hidden="1" x14ac:dyDescent="0.25">
      <c r="A275" s="44"/>
    </row>
    <row r="276" spans="1:1" hidden="1" x14ac:dyDescent="0.25">
      <c r="A276" s="44"/>
    </row>
    <row r="277" spans="1:1" hidden="1" x14ac:dyDescent="0.25">
      <c r="A277" s="44"/>
    </row>
    <row r="278" spans="1:1" hidden="1" x14ac:dyDescent="0.25">
      <c r="A278" s="44"/>
    </row>
    <row r="279" spans="1:1" hidden="1" x14ac:dyDescent="0.25">
      <c r="A279" s="44"/>
    </row>
    <row r="280" spans="1:1" hidden="1" x14ac:dyDescent="0.25">
      <c r="A280" s="44"/>
    </row>
    <row r="281" spans="1:1" hidden="1" x14ac:dyDescent="0.25">
      <c r="A281" s="44"/>
    </row>
    <row r="282" spans="1:1" hidden="1" x14ac:dyDescent="0.25">
      <c r="A282" s="44"/>
    </row>
    <row r="283" spans="1:1" hidden="1" x14ac:dyDescent="0.25">
      <c r="A283" s="44"/>
    </row>
    <row r="284" spans="1:1" hidden="1" x14ac:dyDescent="0.25">
      <c r="A284" s="44"/>
    </row>
    <row r="285" spans="1:1" hidden="1" x14ac:dyDescent="0.25">
      <c r="A285" s="44"/>
    </row>
    <row r="286" spans="1:1" hidden="1" x14ac:dyDescent="0.25">
      <c r="A286" s="44"/>
    </row>
    <row r="287" spans="1:1" hidden="1" x14ac:dyDescent="0.25">
      <c r="A287" s="44"/>
    </row>
    <row r="288" spans="1:1" hidden="1" x14ac:dyDescent="0.25">
      <c r="A288" s="44"/>
    </row>
    <row r="289" spans="1:1" hidden="1" x14ac:dyDescent="0.25">
      <c r="A289" s="44"/>
    </row>
    <row r="290" spans="1:1" hidden="1" x14ac:dyDescent="0.25">
      <c r="A290" s="44"/>
    </row>
    <row r="291" spans="1:1" hidden="1" x14ac:dyDescent="0.25">
      <c r="A291" s="44"/>
    </row>
    <row r="292" spans="1:1" hidden="1" x14ac:dyDescent="0.25">
      <c r="A292" s="44"/>
    </row>
    <row r="293" spans="1:1" hidden="1" x14ac:dyDescent="0.25">
      <c r="A293" s="44"/>
    </row>
    <row r="294" spans="1:1" hidden="1" x14ac:dyDescent="0.25">
      <c r="A294" s="44"/>
    </row>
    <row r="295" spans="1:1" hidden="1" x14ac:dyDescent="0.25">
      <c r="A295" s="44"/>
    </row>
    <row r="296" spans="1:1" hidden="1" x14ac:dyDescent="0.25">
      <c r="A296" s="44"/>
    </row>
    <row r="297" spans="1:1" hidden="1" x14ac:dyDescent="0.25">
      <c r="A297" s="44"/>
    </row>
    <row r="298" spans="1:1" hidden="1" x14ac:dyDescent="0.25">
      <c r="A298" s="44"/>
    </row>
    <row r="299" spans="1:1" x14ac:dyDescent="0.25"/>
    <row r="300" spans="1:1" x14ac:dyDescent="0.25"/>
    <row r="301" spans="1:1" x14ac:dyDescent="0.25"/>
    <row r="302" spans="1:1" x14ac:dyDescent="0.25"/>
    <row r="303" spans="1:1" x14ac:dyDescent="0.25"/>
  </sheetData>
  <sheetProtection algorithmName="SHA-512" hashValue="uig3m+gj6muDNRR9QjsOq4kZv/kQDt3+PlGdp3UX1YMy5meRZFCALxwz0FNNhjk4ojP7kgPWNbXLT13WFZuNGg==" saltValue="GnmtakY8lSYMx/rmTdV+DA==" spinCount="100000" sheet="1" objects="1" scenarios="1"/>
  <customSheetViews>
    <customSheetView guid="{8BDA793C-C9C5-4FC6-A0A5-F1109F6D4F22}" state="hidden" topLeftCell="A81">
      <selection activeCell="D14" sqref="D14"/>
    </customSheetView>
  </customSheetViews>
  <mergeCells count="24">
    <mergeCell ref="C6:F6"/>
    <mergeCell ref="C7:F7"/>
    <mergeCell ref="C8:F8"/>
    <mergeCell ref="B39:G39"/>
    <mergeCell ref="B11:G11"/>
    <mergeCell ref="B2:G2"/>
    <mergeCell ref="G3:G4"/>
    <mergeCell ref="B3:B4"/>
    <mergeCell ref="C3:F4"/>
    <mergeCell ref="C5:F5"/>
    <mergeCell ref="B122:F122"/>
    <mergeCell ref="I123:J123"/>
    <mergeCell ref="I11:J11"/>
    <mergeCell ref="G106:G108"/>
    <mergeCell ref="G109:G111"/>
    <mergeCell ref="G112:G114"/>
    <mergeCell ref="I87:J87"/>
    <mergeCell ref="I39:J39"/>
    <mergeCell ref="B87:G87"/>
    <mergeCell ref="G89:G93"/>
    <mergeCell ref="G94:G96"/>
    <mergeCell ref="G97:G102"/>
    <mergeCell ref="G103:G104"/>
    <mergeCell ref="I13:J13"/>
  </mergeCells>
  <conditionalFormatting sqref="H3">
    <cfRule type="cellIs" dxfId="336" priority="89" operator="equal">
      <formula>"Check Proposed Habitat Trading"</formula>
    </cfRule>
    <cfRule type="cellIs" dxfId="335" priority="90" operator="equal">
      <formula>"Overall Trading Acceptable"</formula>
    </cfRule>
  </conditionalFormatting>
  <conditionalFormatting sqref="J12">
    <cfRule type="cellIs" dxfId="334" priority="62" operator="greaterThan">
      <formula>0</formula>
    </cfRule>
    <cfRule type="cellIs" dxfId="333" priority="63" operator="lessThan">
      <formula>0</formula>
    </cfRule>
  </conditionalFormatting>
  <conditionalFormatting sqref="J41">
    <cfRule type="cellIs" dxfId="332" priority="55" operator="greaterThanOrEqual">
      <formula>0</formula>
    </cfRule>
    <cfRule type="cellIs" dxfId="331" priority="58" operator="lessThan">
      <formula>0</formula>
    </cfRule>
  </conditionalFormatting>
  <conditionalFormatting sqref="J40">
    <cfRule type="cellIs" dxfId="330" priority="56" operator="greaterThan">
      <formula>0</formula>
    </cfRule>
    <cfRule type="cellIs" dxfId="329" priority="57" operator="lessThan">
      <formula>0</formula>
    </cfRule>
  </conditionalFormatting>
  <conditionalFormatting sqref="J88 J90:J91 J124:J125">
    <cfRule type="cellIs" dxfId="328" priority="29" operator="lessThan">
      <formula>0</formula>
    </cfRule>
    <cfRule type="cellIs" dxfId="327" priority="30" operator="greaterThan">
      <formula>0</formula>
    </cfRule>
  </conditionalFormatting>
  <conditionalFormatting sqref="G5:G8">
    <cfRule type="containsText" dxfId="326" priority="59" operator="containsText" text="Yes">
      <formula>NOT(ISERROR(SEARCH("Yes",G5)))</formula>
    </cfRule>
    <cfRule type="containsText" dxfId="325" priority="60" operator="containsText" text="No">
      <formula>NOT(ISERROR(SEARCH("No",G5)))</formula>
    </cfRule>
  </conditionalFormatting>
  <conditionalFormatting sqref="J89">
    <cfRule type="cellIs" dxfId="324" priority="26" operator="lessThan">
      <formula>0</formula>
    </cfRule>
  </conditionalFormatting>
  <conditionalFormatting sqref="B89:F114 B41:G81">
    <cfRule type="expression" dxfId="323" priority="10">
      <formula>$F41&gt;0</formula>
    </cfRule>
    <cfRule type="expression" dxfId="322" priority="11">
      <formula>$F41&lt;0</formula>
    </cfRule>
  </conditionalFormatting>
  <conditionalFormatting sqref="G89:G114">
    <cfRule type="expression" dxfId="321" priority="8">
      <formula>$G89&gt;0</formula>
    </cfRule>
    <cfRule type="expression" dxfId="320" priority="9">
      <formula>$G89&lt;0</formula>
    </cfRule>
  </conditionalFormatting>
  <conditionalFormatting sqref="B124:F159">
    <cfRule type="expression" dxfId="319" priority="6">
      <formula>$F124&gt;0</formula>
    </cfRule>
    <cfRule type="expression" dxfId="318" priority="7">
      <formula>$F124&lt;0</formula>
    </cfRule>
  </conditionalFormatting>
  <conditionalFormatting sqref="B13:G32">
    <cfRule type="expression" dxfId="317" priority="2">
      <formula>$F13&gt;0</formula>
    </cfRule>
    <cfRule type="expression" dxfId="316" priority="3">
      <formula>$F13&lt;0</formula>
    </cfRule>
  </conditionalFormatting>
  <conditionalFormatting sqref="I13:J13">
    <cfRule type="containsText" dxfId="315" priority="1" operator="containsText" text="Very high distinctiveness unit defecit - CHECK DATA">
      <formula>NOT(ISERROR(SEARCH("Very high distinctiveness unit defecit - CHECK DATA",I13)))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tabColor rgb="FF92D050"/>
  </sheetPr>
  <dimension ref="A1:AQ275"/>
  <sheetViews>
    <sheetView showRowColHeaders="0" topLeftCell="C1" zoomScale="70" zoomScaleNormal="70" workbookViewId="0">
      <pane ySplit="10" topLeftCell="A11" activePane="bottomLeft" state="frozen"/>
      <selection pane="bottomLeft" activeCell="D3" sqref="D3:F4"/>
    </sheetView>
  </sheetViews>
  <sheetFormatPr defaultColWidth="0" defaultRowHeight="13.8" zeroHeight="1" x14ac:dyDescent="0.25"/>
  <cols>
    <col min="1" max="1" width="25.33203125" style="52" hidden="1" customWidth="1"/>
    <col min="2" max="2" width="20.6640625" style="52" hidden="1" customWidth="1"/>
    <col min="3" max="3" width="3" style="52" customWidth="1"/>
    <col min="4" max="4" width="5.33203125" style="52" customWidth="1"/>
    <col min="5" max="5" width="24.33203125" style="52" customWidth="1"/>
    <col min="6" max="6" width="72.88671875" style="52" customWidth="1"/>
    <col min="7" max="7" width="27.109375" style="52" hidden="1" customWidth="1"/>
    <col min="8" max="8" width="14.109375" style="52" customWidth="1"/>
    <col min="9" max="9" width="17.6640625" style="52" customWidth="1"/>
    <col min="10" max="10" width="7.44140625" style="52" customWidth="1"/>
    <col min="11" max="11" width="12.33203125" style="52" customWidth="1"/>
    <col min="12" max="12" width="7.44140625" style="52" customWidth="1"/>
    <col min="13" max="13" width="41.6640625" style="52" customWidth="1"/>
    <col min="14" max="14" width="17.44140625" style="52" customWidth="1"/>
    <col min="15" max="15" width="17.109375" style="52" customWidth="1"/>
    <col min="16" max="16" width="30.6640625" style="52" customWidth="1"/>
    <col min="17" max="17" width="18" style="52" bestFit="1" customWidth="1"/>
    <col min="18" max="18" width="6" style="52" customWidth="1"/>
    <col min="19" max="19" width="10.109375" style="52" customWidth="1"/>
    <col min="20" max="20" width="11.44140625" style="52" customWidth="1"/>
    <col min="21" max="21" width="10.33203125" style="52" bestFit="1" customWidth="1"/>
    <col min="22" max="22" width="11.6640625" style="52" bestFit="1" customWidth="1"/>
    <col min="23" max="23" width="14.44140625" style="52" customWidth="1"/>
    <col min="24" max="24" width="17" style="52" customWidth="1"/>
    <col min="25" max="25" width="19" style="52" customWidth="1"/>
    <col min="26" max="27" width="50.109375" style="52" customWidth="1"/>
    <col min="28" max="28" width="12.6640625" style="52" customWidth="1"/>
    <col min="29" max="16384" width="12.6640625" style="52" hidden="1"/>
  </cols>
  <sheetData>
    <row r="1" spans="1:43" ht="14.4" thickBot="1" x14ac:dyDescent="0.3"/>
    <row r="2" spans="1:43" ht="18" thickBot="1" x14ac:dyDescent="0.3">
      <c r="D2" s="935" t="str">
        <f>IF(Start!$F$12="","",Start!$F$12)</f>
        <v>7948: Anglia Square, Norwich</v>
      </c>
      <c r="E2" s="936"/>
      <c r="F2" s="937"/>
    </row>
    <row r="3" spans="1:43" ht="15.6" customHeight="1" x14ac:dyDescent="0.25">
      <c r="D3" s="929" t="str">
        <f ca="1">MID(CELL("filename",C1),FIND("]",CELL("filename",C1))+1,256)</f>
        <v>A-1 Site Habitat Baseline</v>
      </c>
      <c r="E3" s="930"/>
      <c r="F3" s="931"/>
      <c r="AC3" s="52" t="s">
        <v>819</v>
      </c>
      <c r="AD3" s="52" t="s">
        <v>819</v>
      </c>
      <c r="AE3" s="52" t="s">
        <v>819</v>
      </c>
      <c r="AF3" s="52" t="s">
        <v>819</v>
      </c>
      <c r="AG3" s="52" t="s">
        <v>819</v>
      </c>
      <c r="AH3" s="52" t="s">
        <v>819</v>
      </c>
      <c r="AI3" s="52" t="s">
        <v>819</v>
      </c>
      <c r="AJ3" s="52" t="s">
        <v>819</v>
      </c>
      <c r="AK3" s="52" t="s">
        <v>819</v>
      </c>
      <c r="AL3" s="52" t="s">
        <v>819</v>
      </c>
      <c r="AM3" s="52" t="s">
        <v>819</v>
      </c>
      <c r="AN3" s="52" t="s">
        <v>819</v>
      </c>
    </row>
    <row r="4" spans="1:43" ht="10.95" customHeight="1" thickBot="1" x14ac:dyDescent="0.3">
      <c r="D4" s="932"/>
      <c r="E4" s="933"/>
      <c r="F4" s="934"/>
      <c r="AF4" s="52" t="s">
        <v>333</v>
      </c>
      <c r="AG4" s="52" t="s">
        <v>333</v>
      </c>
      <c r="AH4" s="52" t="s">
        <v>333</v>
      </c>
      <c r="AI4" s="52" t="s">
        <v>333</v>
      </c>
      <c r="AJ4" s="52" t="s">
        <v>333</v>
      </c>
      <c r="AK4" s="52" t="s">
        <v>333</v>
      </c>
      <c r="AL4" s="52" t="s">
        <v>333</v>
      </c>
      <c r="AM4" s="52" t="s">
        <v>333</v>
      </c>
      <c r="AN4" s="52" t="s">
        <v>333</v>
      </c>
    </row>
    <row r="5" spans="1:43" ht="15.6" customHeight="1" x14ac:dyDescent="0.25"/>
    <row r="6" spans="1:43" ht="16.2" customHeight="1" x14ac:dyDescent="0.25"/>
    <row r="7" spans="1:43" x14ac:dyDescent="0.25"/>
    <row r="8" spans="1:43" ht="31.2" customHeight="1" thickBot="1" x14ac:dyDescent="0.3">
      <c r="D8" s="53"/>
      <c r="E8" s="53"/>
      <c r="F8" s="53"/>
    </row>
    <row r="9" spans="1:43" ht="29.4" customHeight="1" thickBot="1" x14ac:dyDescent="0.3">
      <c r="C9" s="54"/>
      <c r="D9" s="55"/>
      <c r="E9" s="938" t="s">
        <v>966</v>
      </c>
      <c r="F9" s="939"/>
      <c r="G9" s="939"/>
      <c r="H9" s="940"/>
      <c r="I9" s="938" t="s">
        <v>127</v>
      </c>
      <c r="J9" s="940"/>
      <c r="K9" s="938" t="s">
        <v>141</v>
      </c>
      <c r="L9" s="940"/>
      <c r="M9" s="938" t="s">
        <v>362</v>
      </c>
      <c r="N9" s="939"/>
      <c r="O9" s="940"/>
      <c r="P9" s="944" t="s">
        <v>1059</v>
      </c>
      <c r="Q9" s="56" t="s">
        <v>1010</v>
      </c>
      <c r="R9" s="57"/>
      <c r="S9" s="941" t="s">
        <v>1021</v>
      </c>
      <c r="T9" s="943"/>
      <c r="U9" s="943"/>
      <c r="V9" s="943"/>
      <c r="W9" s="943"/>
      <c r="X9" s="942"/>
      <c r="Y9" s="944" t="s">
        <v>1081</v>
      </c>
      <c r="Z9" s="941" t="s">
        <v>145</v>
      </c>
      <c r="AA9" s="942"/>
      <c r="AB9" s="54"/>
      <c r="AC9" s="54" t="s">
        <v>333</v>
      </c>
      <c r="AD9" s="54" t="s">
        <v>333</v>
      </c>
      <c r="AE9" s="54"/>
      <c r="AF9" s="58" t="s">
        <v>803</v>
      </c>
      <c r="AG9" s="58"/>
      <c r="AH9" s="58"/>
      <c r="AI9" s="58"/>
      <c r="AJ9" s="58"/>
      <c r="AK9" s="58" t="s">
        <v>1060</v>
      </c>
      <c r="AL9" s="59"/>
      <c r="AM9" s="59"/>
      <c r="AN9" s="59"/>
      <c r="AQ9" s="52" t="s">
        <v>1483</v>
      </c>
    </row>
    <row r="10" spans="1:43" ht="44.25" customHeight="1" thickBot="1" x14ac:dyDescent="0.3">
      <c r="B10" s="60" t="s">
        <v>1298</v>
      </c>
      <c r="C10" s="54"/>
      <c r="D10" s="64" t="s">
        <v>162</v>
      </c>
      <c r="E10" s="62" t="s">
        <v>1080</v>
      </c>
      <c r="F10" s="572" t="s">
        <v>965</v>
      </c>
      <c r="G10" s="568" t="s">
        <v>965</v>
      </c>
      <c r="H10" s="63" t="s">
        <v>967</v>
      </c>
      <c r="I10" s="65" t="s">
        <v>127</v>
      </c>
      <c r="J10" s="63" t="s">
        <v>140</v>
      </c>
      <c r="K10" s="65" t="s">
        <v>141</v>
      </c>
      <c r="L10" s="63" t="s">
        <v>140</v>
      </c>
      <c r="M10" s="64" t="s">
        <v>362</v>
      </c>
      <c r="N10" s="568" t="s">
        <v>362</v>
      </c>
      <c r="O10" s="63" t="s">
        <v>1249</v>
      </c>
      <c r="P10" s="945"/>
      <c r="Q10" s="61" t="s">
        <v>1020</v>
      </c>
      <c r="R10" s="57"/>
      <c r="S10" s="66" t="s">
        <v>1022</v>
      </c>
      <c r="T10" s="67" t="s">
        <v>1023</v>
      </c>
      <c r="U10" s="68" t="s">
        <v>1024</v>
      </c>
      <c r="V10" s="68" t="s">
        <v>1025</v>
      </c>
      <c r="W10" s="68" t="s">
        <v>1026</v>
      </c>
      <c r="X10" s="69" t="s">
        <v>1017</v>
      </c>
      <c r="Y10" s="945"/>
      <c r="Z10" s="70" t="s">
        <v>991</v>
      </c>
      <c r="AA10" s="71" t="s">
        <v>992</v>
      </c>
      <c r="AB10" s="54"/>
      <c r="AC10" s="72" t="s">
        <v>1061</v>
      </c>
      <c r="AD10" s="72" t="s">
        <v>1062</v>
      </c>
      <c r="AE10" s="54"/>
      <c r="AF10" s="59" t="s">
        <v>800</v>
      </c>
      <c r="AG10" s="59" t="s">
        <v>801</v>
      </c>
      <c r="AH10" s="59" t="s">
        <v>802</v>
      </c>
      <c r="AI10" s="59" t="s">
        <v>804</v>
      </c>
      <c r="AJ10" s="59"/>
      <c r="AK10" s="59" t="s">
        <v>800</v>
      </c>
      <c r="AL10" s="59" t="s">
        <v>801</v>
      </c>
      <c r="AM10" s="59" t="s">
        <v>802</v>
      </c>
      <c r="AN10" s="59"/>
    </row>
    <row r="11" spans="1:43" ht="27.6" x14ac:dyDescent="0.25">
      <c r="A11" s="52" t="str">
        <f>IFERROR(INDEX('G-1 All Habitats'!$AG$3:$AG$15,MATCH(E11,'G-1 All Habitats'!$AF$3:$AF$15,0)),"")</f>
        <v>Grassland</v>
      </c>
      <c r="B11" s="52" t="str">
        <f>IFERROR(INDEX('G-8 Condition Look up'!$I$4:$I$131,MATCH(G11,'G-8 Condition Look up'!$A$4:$A$131,0)),"")</f>
        <v>Cond4</v>
      </c>
      <c r="D11" s="73">
        <v>1</v>
      </c>
      <c r="E11" s="74" t="s">
        <v>135</v>
      </c>
      <c r="F11" s="74" t="s">
        <v>171</v>
      </c>
      <c r="G11" s="75" t="str">
        <f>IFERROR(INDEX('G-1 All Habitats'!$B$3:$B$130,MATCH(F11,'G-1 All Habitats'!$A$3:$A$130,0)),"")</f>
        <v>Grassland - Modified grassland</v>
      </c>
      <c r="H11" s="76">
        <v>0.27579999999999999</v>
      </c>
      <c r="I11" s="77" t="str">
        <f>IF(G11="","",VLOOKUP(G11,'G-1 All Habitats'!$B$2:$M$130,10,FALSE))</f>
        <v>Low</v>
      </c>
      <c r="J11" s="78">
        <f>IFERROR(VLOOKUP(I11,'G-1 All Habitats'!$V$3:$W$7,2,FALSE),"")</f>
        <v>2</v>
      </c>
      <c r="K11" s="79" t="s">
        <v>2</v>
      </c>
      <c r="L11" s="78">
        <f>IFERROR(INDEX('G-8 Condition Look up'!$A$3:$H$131,MATCH(G11,'G-8 Condition Look up'!$A$3:$A$131,0),MATCH(K11,'G-8 Condition Look up'!$A$3:$H$3,0)),"")</f>
        <v>1</v>
      </c>
      <c r="M11" s="79" t="s">
        <v>970</v>
      </c>
      <c r="N11" s="571" t="str">
        <f>IF(M11="","",IF(VLOOKUP(M11,'G-3 Multipliers'!$L$3:$N$6,2,FALSE)=0,"Spatial Data Missing",VLOOKUP(M11,'G-3 Multipliers'!$L$3:$N$6,2,FALSE)))</f>
        <v>Low Strategic Significance</v>
      </c>
      <c r="O11" s="569">
        <f>IF(M11="","",IF(VLOOKUP(M11,'G-3 Multipliers'!$L$3:$N$6,3,FALSE)=0,"Spatial Data Missing",VLOOKUP(M11,'G-3 Multipliers'!$L$3:$N$6,3,FALSE)))</f>
        <v>1</v>
      </c>
      <c r="P11" s="80" t="str">
        <f>IFERROR(VLOOKUP(G11,'G-1 All Habitats'!$B$2:$M$130,12,FALSE),"")</f>
        <v>Same distinctiveness or better habitat required</v>
      </c>
      <c r="Q11" s="81">
        <f>IFERROR(IF(P11="","",IF(AND(P11='G-1 All Habitats'!$X$3,T11&gt;0),U11+V11,IF(AND(P11='G-1 All Habitats'!$X$3,S11&gt;0),U11+V11,IF(AND(P11='G-1 All Habitats'!$X$3,AC11&gt;0),"Any Loss Unacceptable",IF(AND(P11='G-1 All Habitats'!$X$3,W11&gt;0),"Any Loss Unacceptable",H11*J11*L11*O11))))),"Check Data")</f>
        <v>0.55159999999999998</v>
      </c>
      <c r="R11" s="55"/>
      <c r="S11" s="79">
        <v>0</v>
      </c>
      <c r="T11" s="82">
        <v>0</v>
      </c>
      <c r="U11" s="83">
        <f>IFERROR(S11*J11*L11*O11,"")</f>
        <v>0</v>
      </c>
      <c r="V11" s="83">
        <f>IFERROR(T11*J11*L11*O11,"")</f>
        <v>0</v>
      </c>
      <c r="W11" s="83">
        <f>IF(E11="","",IF(H11&lt;S11+T11,"Error in Areas",IF(P11&lt;&gt;'G-1 All Habitats'!$X$3,H11-S11-T11,IF(AND(P11='G-1 All Habitats'!$X$3,Y11="Yes"),"Unacceptable Loss",IF(AND(P11='G-1 All Habitats'!$X$3,Y11="No"),AC11,IF(AND(P11='G-1 All Habitats'!$X$3,Y11=""),AC11,IF(AND(P11='G-1 All Habitats'!$X$3,AC11="None",AC11),IF(AND(P11='G-1 All Habitats'!$X$3,AC11&gt;0),H11-S11-T11))))))))</f>
        <v>0.27579999999999999</v>
      </c>
      <c r="X11" s="84">
        <f>IFERROR(IF(H11="","",IF(H11-S11-T11=0&lt;0,"Error in Areas",IF(S11+T11&gt;H11,"Error in Areas",IF(AND(P11='G-1 All Habitats'!$X$3,Y11="Yes"),"Alternative Compensation",IF(W11=0,0,IF(P11='G-1 All Habitats'!$X$3,"Unacceptable Loss",Q11-U11-V11)))))),"Check Data")</f>
        <v>0.55159999999999998</v>
      </c>
      <c r="Y11" s="82"/>
      <c r="Z11" s="85"/>
      <c r="AA11" s="86"/>
      <c r="AC11" s="87" t="str">
        <f>IF(P11="","",IF(P11='G-1 All Habitats'!$X$3,H11-S11-T11,"None"))</f>
        <v>None</v>
      </c>
      <c r="AD11" s="88" t="str">
        <f>IFERROR(AC11*J11*L11*#REF!*O11,IF(P11="","","None"))</f>
        <v>None</v>
      </c>
      <c r="AF11" s="59" t="b">
        <f t="shared" ref="AF11:AF74" si="0">IF(G11="","",IF(S11&gt;0,TRUE,FALSE))</f>
        <v>0</v>
      </c>
      <c r="AG11" s="59" t="b">
        <f t="shared" ref="AG11:AG74" si="1">IF(H11="","",IF(T11&gt;0,TRUE,FALSE))</f>
        <v>0</v>
      </c>
      <c r="AH11" s="59" t="e">
        <f>IF(I11="","",IF(#REF!&gt;0,TRUE,FALSE))</f>
        <v>#REF!</v>
      </c>
      <c r="AI11" s="59">
        <v>1</v>
      </c>
      <c r="AJ11" s="59"/>
      <c r="AK11" s="59">
        <f t="array" ref="AK11">IFERROR(INDEX($AI$11:$AI$259, MATCH(0, IF(TRUE=$AF$11:$AF$259, COUNTIF($AK$10:$AK10, $AI$11:$AI$259), ""), 0)),"")</f>
        <v>3</v>
      </c>
      <c r="AL11" s="59" t="str">
        <f t="array" ref="AL11">IFERROR(INDEX($AI$11:$AI$259, MATCH(0, IF(TRUE=$AG$11:$AG$259, COUNTIF($AL$10:$AL10, $AI$11:$AI$259), ""), 0)),"")</f>
        <v/>
      </c>
      <c r="AM11" s="59" t="str">
        <f t="array" ref="AM11">IFERROR(INDEX($AI$11:$AI$259, MATCH(0, IF(TRUE=$AH$11:$AH$259, COUNTIF($AM$10:$AM10, $AI$11:$AI$259), ""), 0)),"")</f>
        <v/>
      </c>
      <c r="AN11" s="59"/>
      <c r="AQ11" s="52">
        <f>IF(X11="Unacceptable Loss",1,0)</f>
        <v>0</v>
      </c>
    </row>
    <row r="12" spans="1:43" ht="27.6" x14ac:dyDescent="0.25">
      <c r="A12" s="52" t="str">
        <f>IFERROR(INDEX('G-1 All Habitats'!$AG$3:$AG$15,MATCH(E12,'G-1 All Habitats'!$AF$3:$AF$15,0)),"")</f>
        <v>Heathland_and_shrub</v>
      </c>
      <c r="B12" s="52" t="str">
        <f>IFERROR(INDEX('G-8 Condition Look up'!$I$4:$I$131,MATCH(G12,'G-8 Condition Look up'!$A$4:$A$131,0)),"")</f>
        <v>Cond4</v>
      </c>
      <c r="D12" s="89">
        <v>2</v>
      </c>
      <c r="E12" s="525" t="s">
        <v>164</v>
      </c>
      <c r="F12" s="91" t="s">
        <v>38</v>
      </c>
      <c r="G12" s="75" t="str">
        <f>IFERROR(INDEX('G-1 All Habitats'!$B$3:$B$130,MATCH(F12,'G-1 All Habitats'!$A$3:$A$130,0)),"")</f>
        <v>Heathland and shrub - Mixed scrub</v>
      </c>
      <c r="H12" s="76">
        <v>5.8299999999999998E-2</v>
      </c>
      <c r="I12" s="77" t="str">
        <f>IF(G12="","",VLOOKUP(G12,'G-1 All Habitats'!$B$2:$M$130,10,FALSE))</f>
        <v>Medium</v>
      </c>
      <c r="J12" s="78">
        <f>IFERROR(VLOOKUP(I12,'G-1 All Habitats'!$V$3:$W$7,2,FALSE),"")</f>
        <v>4</v>
      </c>
      <c r="K12" s="79" t="s">
        <v>2</v>
      </c>
      <c r="L12" s="78">
        <f>IFERROR(INDEX('G-8 Condition Look up'!$A$3:$H$131,MATCH(G12,'G-8 Condition Look up'!$A$3:$A$131,0),MATCH(K12,'G-8 Condition Look up'!$A$3:$H$3,0)),"")</f>
        <v>1</v>
      </c>
      <c r="M12" s="79" t="s">
        <v>970</v>
      </c>
      <c r="N12" s="348" t="str">
        <f>IF(M12="","",IF(VLOOKUP(M12,'G-3 Multipliers'!$L$3:$N$6,2,FALSE)=0,"Spatial Data Missing",VLOOKUP(M12,'G-3 Multipliers'!$L$3:$N$6,2,FALSE)))</f>
        <v>Low Strategic Significance</v>
      </c>
      <c r="O12" s="569">
        <f>IF(M12="","",IF(VLOOKUP(M12,'G-3 Multipliers'!$L$3:$N$6,3,FALSE)=0,"Spatial Data Missing",VLOOKUP(M12,'G-3 Multipliers'!$L$3:$N$6,3,FALSE)))</f>
        <v>1</v>
      </c>
      <c r="P12" s="80" t="str">
        <f>IFERROR(VLOOKUP(G12,'G-1 All Habitats'!$B$2:$M$130,12,FALSE),"")</f>
        <v>Same broad habitat or a higher distinctiveness habitat required</v>
      </c>
      <c r="Q12" s="81">
        <f>IFERROR(IF(P12="","",IF(AND(P12='G-1 All Habitats'!$X$3,T12&gt;0),U12+V12,IF(AND(P12='G-1 All Habitats'!$X$3,S12&gt;0),U12+V12,IF(AND(P12='G-1 All Habitats'!$X$3,AC12&gt;0),"Any Loss Unacceptable",IF(AND(P12='G-1 All Habitats'!$X$3,W12&gt;0),"Any Loss Unacceptable",H12*J12*L12*O12))))),"Check Data")</f>
        <v>0.23319999999999999</v>
      </c>
      <c r="R12" s="55"/>
      <c r="S12" s="79">
        <v>0</v>
      </c>
      <c r="T12" s="82">
        <v>0</v>
      </c>
      <c r="U12" s="83">
        <f>IFERROR(S12*J12*L12*O12,"")</f>
        <v>0</v>
      </c>
      <c r="V12" s="83">
        <f>IFERROR(T12*J12*L12*O12,"")</f>
        <v>0</v>
      </c>
      <c r="W12" s="83">
        <f>IF(E12="","",IF(H12&lt;S12+T12,"Error in Areas",IF(P12&lt;&gt;'G-1 All Habitats'!$X$3,H12-S12-T12,IF(AND(P12='G-1 All Habitats'!$X$3,Y12="Yes"),"Unacceptable Loss",IF(AND(P12='G-1 All Habitats'!$X$3,Y12="No"),AC12,IF(AND(P12='G-1 All Habitats'!$X$3,Y12=""),AC12,IF(AND(P12='G-1 All Habitats'!$X$3,AC12="None",AC12),IF(AND(P12='G-1 All Habitats'!$X$3,AC12&gt;0),H12-S12-T12))))))))</f>
        <v>5.8299999999999998E-2</v>
      </c>
      <c r="X12" s="84">
        <f>IFERROR(IF(H12="","",IF(H12-S12-T12=0&lt;0,"Error in Areas",IF(S12+T12&gt;H12,"Error in Areas",IF(AND(P12='G-1 All Habitats'!$X$3,Y12="Yes"),"Alternative Compensation",IF(W12=0,0,IF(P12='G-1 All Habitats'!$X$3,"Unacceptable Loss",Q12-U12-V12)))))),"Check Data")</f>
        <v>0.23319999999999999</v>
      </c>
      <c r="Y12" s="82"/>
      <c r="Z12" s="92"/>
      <c r="AA12" s="93"/>
      <c r="AC12" s="87" t="str">
        <f>IF(P12="","",IF(P12='G-1 All Habitats'!$X$3,H12-S12-T12,"None"))</f>
        <v>None</v>
      </c>
      <c r="AD12" s="88" t="str">
        <f>IFERROR(AC12*J12*L12*#REF!*O12,IF(P12="","","None"))</f>
        <v>None</v>
      </c>
      <c r="AF12" s="59" t="b">
        <f t="shared" si="0"/>
        <v>0</v>
      </c>
      <c r="AG12" s="59" t="b">
        <f t="shared" si="1"/>
        <v>0</v>
      </c>
      <c r="AH12" s="59" t="e">
        <f>IF(I12="","",IF(#REF!&gt;0,TRUE,FALSE))</f>
        <v>#REF!</v>
      </c>
      <c r="AI12" s="59">
        <v>2</v>
      </c>
      <c r="AJ12" s="59"/>
      <c r="AK12" s="59">
        <f t="array" ref="AK12">IFERROR(INDEX($AI$11:$AI$259, MATCH(0, IF(TRUE=$AF$11:$AF$259, COUNTIF($AK$10:$AK11, $AI$11:$AI$259), ""), 0)),"")</f>
        <v>7</v>
      </c>
      <c r="AL12" s="59" t="str">
        <f t="array" ref="AL12">IFERROR(INDEX($AI$11:$AI$259, MATCH(0, IF(TRUE=$AG$11:$AG$259, COUNTIF($AL$10:$AL11, $AI$11:$AI$259), ""), 0)),"")</f>
        <v/>
      </c>
      <c r="AM12" s="59" t="str">
        <f t="array" ref="AM12">IFERROR(INDEX($AI$11:$AI$259, MATCH(0, IF(TRUE=$AH$11:$AH$259, COUNTIF($AM$10:$AM11, $AI$11:$AI$259), ""), 0)),"")</f>
        <v/>
      </c>
      <c r="AN12" s="59"/>
      <c r="AQ12" s="52">
        <f t="shared" ref="AQ12:AQ75" si="2">IF(X12="Unacceptable Loss",1,0)</f>
        <v>0</v>
      </c>
    </row>
    <row r="13" spans="1:43" ht="27.6" x14ac:dyDescent="0.25">
      <c r="A13" s="52" t="str">
        <f>IFERROR(INDEX('G-1 All Habitats'!$AG$3:$AG$15,MATCH(E13,'G-1 All Habitats'!$AF$3:$AF$15,0)),"")</f>
        <v>Urban</v>
      </c>
      <c r="B13" s="52" t="str">
        <f>IFERROR(INDEX('G-8 Condition Look up'!$I$4:$I$131,MATCH(G13,'G-8 Condition Look up'!$A$4:$A$131,0)),"")</f>
        <v>Cond2</v>
      </c>
      <c r="D13" s="89">
        <v>3</v>
      </c>
      <c r="E13" s="525" t="s">
        <v>166</v>
      </c>
      <c r="F13" s="91" t="s">
        <v>203</v>
      </c>
      <c r="G13" s="75" t="str">
        <f>IFERROR(INDEX('G-1 All Habitats'!$B$3:$B$130,MATCH(F13,'G-1 All Habitats'!$A$3:$A$130,0)),"")</f>
        <v>Urban - Developed land; sealed surface</v>
      </c>
      <c r="H13" s="76">
        <v>4.2831999999999999</v>
      </c>
      <c r="I13" s="77" t="str">
        <f>IF(G13="","",VLOOKUP(G13,'G-1 All Habitats'!$B$2:$M$130,10,FALSE))</f>
        <v>V.Low</v>
      </c>
      <c r="J13" s="78">
        <f>IFERROR(VLOOKUP(I13,'G-1 All Habitats'!$V$3:$W$7,2,FALSE),"")</f>
        <v>0</v>
      </c>
      <c r="K13" s="79" t="s">
        <v>119</v>
      </c>
      <c r="L13" s="78">
        <f>IFERROR(INDEX('G-8 Condition Look up'!$A$3:$H$131,MATCH(G13,'G-8 Condition Look up'!$A$3:$A$131,0),MATCH(K13,'G-8 Condition Look up'!$A$3:$H$3,0)),"")</f>
        <v>0</v>
      </c>
      <c r="M13" s="79" t="s">
        <v>970</v>
      </c>
      <c r="N13" s="348" t="str">
        <f>IF(M13="","",IF(VLOOKUP(M13,'G-3 Multipliers'!$L$3:$N$6,2,FALSE)=0,"Spatial Data Missing",VLOOKUP(M13,'G-3 Multipliers'!$L$3:$N$6,2,FALSE)))</f>
        <v>Low Strategic Significance</v>
      </c>
      <c r="O13" s="569">
        <f>IF(M13="","",IF(VLOOKUP(M13,'G-3 Multipliers'!$L$3:$N$6,3,FALSE)=0,"Spatial Data Missing",VLOOKUP(M13,'G-3 Multipliers'!$L$3:$N$6,3,FALSE)))</f>
        <v>1</v>
      </c>
      <c r="P13" s="80" t="str">
        <f>IFERROR(VLOOKUP(G13,'G-1 All Habitats'!$B$2:$M$130,12,FALSE),"")</f>
        <v>Compensation Not Required</v>
      </c>
      <c r="Q13" s="81">
        <f>IFERROR(IF(P13="","",IF(AND(P13='G-1 All Habitats'!$X$3,T13&gt;0),U13+V13,IF(AND(P13='G-1 All Habitats'!$X$3,S13&gt;0),U13+V13,IF(AND(P13='G-1 All Habitats'!$X$3,AC13&gt;0),"Any Loss Unacceptable",IF(AND(P13='G-1 All Habitats'!$X$3,W13&gt;0),"Any Loss Unacceptable",H13*J13*L13*O13))))),"Check Data")</f>
        <v>0</v>
      </c>
      <c r="R13" s="55"/>
      <c r="S13" s="79">
        <v>1.1000000000000001E-3</v>
      </c>
      <c r="T13" s="82">
        <v>0</v>
      </c>
      <c r="U13" s="83">
        <f t="shared" ref="U13:U76" si="3">IFERROR(S13*J13*L13*O13,"")</f>
        <v>0</v>
      </c>
      <c r="V13" s="83">
        <f t="shared" ref="V13:V76" si="4">IFERROR(T13*J13*L13*O13,"")</f>
        <v>0</v>
      </c>
      <c r="W13" s="83">
        <f>IF(E13="","",IF(H13&lt;S13+T13,"Error in Areas",IF(P13&lt;&gt;'G-1 All Habitats'!$X$3,H13-S13-T13,IF(AND(P13='G-1 All Habitats'!$X$3,Y13="Yes"),"Unacceptable Loss",IF(AND(P13='G-1 All Habitats'!$X$3,Y13="No"),AC13,IF(AND(P13='G-1 All Habitats'!$X$3,Y13=""),AC13,IF(AND(P13='G-1 All Habitats'!$X$3,AC13="None",AC13),IF(AND(P13='G-1 All Habitats'!$X$3,AC13&gt;0),H13-S13-T13))))))))</f>
        <v>4.2820999999999998</v>
      </c>
      <c r="X13" s="84">
        <f>IFERROR(IF(H13="","",IF(H13-S13-T13=0&lt;0,"Error in Areas",IF(S13+T13&gt;H13,"Error in Areas",IF(AND(P13='G-1 All Habitats'!$X$3,Y13="Yes"),"Alternative Compensation",IF(W13=0,0,IF(P13='G-1 All Habitats'!$X$3,"Unacceptable Loss",Q13-U13-V13)))))),"Check Data")</f>
        <v>0</v>
      </c>
      <c r="Y13" s="82"/>
      <c r="Z13" s="92"/>
      <c r="AA13" s="93"/>
      <c r="AC13" s="87" t="str">
        <f>IF(P13="","",IF(P13='G-1 All Habitats'!$X$3,H13-S13-T13,"None"))</f>
        <v>None</v>
      </c>
      <c r="AD13" s="88" t="str">
        <f>IFERROR(AC13*J13*L13*#REF!*O13,IF(P13="","","None"))</f>
        <v>None</v>
      </c>
      <c r="AF13" s="59" t="b">
        <f t="shared" si="0"/>
        <v>1</v>
      </c>
      <c r="AG13" s="59" t="b">
        <f t="shared" si="1"/>
        <v>0</v>
      </c>
      <c r="AH13" s="59" t="e">
        <f>IF(I13="","",IF(#REF!&gt;0,TRUE,FALSE))</f>
        <v>#REF!</v>
      </c>
      <c r="AI13" s="59">
        <v>3</v>
      </c>
      <c r="AJ13" s="59"/>
      <c r="AK13" s="59" t="str">
        <f t="array" ref="AK13">IFERROR(INDEX($AI$11:$AI$259, MATCH(0, IF(TRUE=$AF$11:$AF$259, COUNTIF($AK$10:$AK12, $AI$11:$AI$259), ""), 0)),"")</f>
        <v/>
      </c>
      <c r="AL13" s="59" t="str">
        <f t="array" ref="AL13">IFERROR(INDEX($AI$11:$AI$259, MATCH(0, IF(TRUE=$AG$11:$AG$259, COUNTIF($AL$10:$AL12, $AI$11:$AI$259), ""), 0)),"")</f>
        <v/>
      </c>
      <c r="AM13" s="59" t="str">
        <f t="array" ref="AM13">IFERROR(INDEX($AI$11:$AI$259, MATCH(0, IF(TRUE=$AH$11:$AH$259, COUNTIF($AM$10:$AM12, $AI$11:$AI$259), ""), 0)),"")</f>
        <v/>
      </c>
      <c r="AN13" s="59"/>
      <c r="AQ13" s="52">
        <f t="shared" si="2"/>
        <v>0</v>
      </c>
    </row>
    <row r="14" spans="1:43" ht="27.6" x14ac:dyDescent="0.25">
      <c r="A14" s="52" t="str">
        <f>IFERROR(INDEX('G-1 All Habitats'!$AG$3:$AG$15,MATCH(E14,'G-1 All Habitats'!$AF$3:$AF$15,0)),"")</f>
        <v>Urban</v>
      </c>
      <c r="B14" s="52" t="str">
        <f>IFERROR(INDEX('G-8 Condition Look up'!$I$4:$I$131,MATCH(G14,'G-8 Condition Look up'!$A$4:$A$131,0)),"")</f>
        <v>Cond3</v>
      </c>
      <c r="D14" s="89">
        <v>4</v>
      </c>
      <c r="E14" s="91" t="s">
        <v>166</v>
      </c>
      <c r="F14" s="91" t="s">
        <v>231</v>
      </c>
      <c r="G14" s="75" t="str">
        <f>IFERROR(INDEX('G-1 All Habitats'!$B$3:$B$130,MATCH(F14,'G-1 All Habitats'!$A$3:$A$130,0)),"")</f>
        <v>Urban - Introduced shrub</v>
      </c>
      <c r="H14" s="76">
        <v>1.7100000000000001E-2</v>
      </c>
      <c r="I14" s="77" t="str">
        <f>IF(G14="","",VLOOKUP(G14,'G-1 All Habitats'!$B$2:$M$130,10,FALSE))</f>
        <v>Low</v>
      </c>
      <c r="J14" s="78">
        <f>IFERROR(VLOOKUP(I14,'G-1 All Habitats'!$V$3:$W$7,2,FALSE),"")</f>
        <v>2</v>
      </c>
      <c r="K14" s="79" t="s">
        <v>2</v>
      </c>
      <c r="L14" s="78">
        <f>IFERROR(INDEX('G-8 Condition Look up'!$A$3:$H$131,MATCH(G14,'G-8 Condition Look up'!$A$3:$A$131,0),MATCH(K14,'G-8 Condition Look up'!$A$3:$H$3,0)),"")</f>
        <v>1</v>
      </c>
      <c r="M14" s="79" t="s">
        <v>970</v>
      </c>
      <c r="N14" s="348" t="str">
        <f>IF(M14="","",IF(VLOOKUP(M14,'G-3 Multipliers'!$L$3:$N$6,2,FALSE)=0,"Spatial Data Missing",VLOOKUP(M14,'G-3 Multipliers'!$L$3:$N$6,2,FALSE)))</f>
        <v>Low Strategic Significance</v>
      </c>
      <c r="O14" s="569">
        <f>IF(M14="","",IF(VLOOKUP(M14,'G-3 Multipliers'!$L$3:$N$6,3,FALSE)=0,"Spatial Data Missing",VLOOKUP(M14,'G-3 Multipliers'!$L$3:$N$6,3,FALSE)))</f>
        <v>1</v>
      </c>
      <c r="P14" s="80" t="str">
        <f>IFERROR(VLOOKUP(G14,'G-1 All Habitats'!$B$2:$M$130,12,FALSE),"")</f>
        <v>Same distinctiveness or better habitat required</v>
      </c>
      <c r="Q14" s="81">
        <f>IFERROR(IF(P14="","",IF(AND(P14='G-1 All Habitats'!$X$3,T14&gt;0),U14+V14,IF(AND(P14='G-1 All Habitats'!$X$3,S14&gt;0),U14+V14,IF(AND(P14='G-1 All Habitats'!$X$3,AC14&gt;0),"Any Loss Unacceptable",IF(AND(P14='G-1 All Habitats'!$X$3,W14&gt;0),"Any Loss Unacceptable",H14*J14*L14*O14))))),"Check Data")</f>
        <v>3.4200000000000001E-2</v>
      </c>
      <c r="R14" s="55"/>
      <c r="S14" s="79">
        <v>0</v>
      </c>
      <c r="T14" s="82">
        <v>0</v>
      </c>
      <c r="U14" s="83">
        <f t="shared" si="3"/>
        <v>0</v>
      </c>
      <c r="V14" s="83">
        <f t="shared" si="4"/>
        <v>0</v>
      </c>
      <c r="W14" s="83">
        <f>IF(E14="","",IF(H14&lt;S14+T14,"Error in Areas",IF(P14&lt;&gt;'G-1 All Habitats'!$X$3,H14-S14-T14,IF(AND(P14='G-1 All Habitats'!$X$3,Y14="Yes"),"Unacceptable Loss",IF(AND(P14='G-1 All Habitats'!$X$3,Y14="No"),AC14,IF(AND(P14='G-1 All Habitats'!$X$3,Y14=""),AC14,IF(AND(P14='G-1 All Habitats'!$X$3,AC14="None",AC14),IF(AND(P14='G-1 All Habitats'!$X$3,AC14&gt;0),H14-S14-T14))))))))</f>
        <v>1.7100000000000001E-2</v>
      </c>
      <c r="X14" s="84">
        <f>IFERROR(IF(H14="","",IF(H14-S14-T14=0&lt;0,"Error in Areas",IF(S14+T14&gt;H14,"Error in Areas",IF(AND(P14='G-1 All Habitats'!$X$3,Y14="Yes"),"Alternative Compensation",IF(W14=0,0,IF(P14='G-1 All Habitats'!$X$3,"Unacceptable Loss",Q14-U14-V14)))))),"Check Data")</f>
        <v>3.4200000000000001E-2</v>
      </c>
      <c r="Y14" s="82"/>
      <c r="Z14" s="92"/>
      <c r="AA14" s="93"/>
      <c r="AC14" s="87" t="str">
        <f>IF(P14="","",IF(P14='G-1 All Habitats'!$X$3,H14-S14-T14,"None"))</f>
        <v>None</v>
      </c>
      <c r="AD14" s="88" t="str">
        <f>IFERROR(AC14*J14*L14*#REF!*O14,IF(P14="","","None"))</f>
        <v>None</v>
      </c>
      <c r="AF14" s="59" t="b">
        <f t="shared" si="0"/>
        <v>0</v>
      </c>
      <c r="AG14" s="59" t="b">
        <f t="shared" si="1"/>
        <v>0</v>
      </c>
      <c r="AH14" s="59" t="e">
        <f>IF(I14="","",IF(#REF!&gt;0,TRUE,FALSE))</f>
        <v>#REF!</v>
      </c>
      <c r="AI14" s="59">
        <v>4</v>
      </c>
      <c r="AJ14" s="59"/>
      <c r="AK14" s="59" t="str">
        <f t="array" ref="AK14">IFERROR(INDEX($AI$11:$AI$259, MATCH(0, IF(TRUE=$AF$11:$AF$259, COUNTIF($AK$10:$AK13, $AI$11:$AI$259), ""), 0)),"")</f>
        <v/>
      </c>
      <c r="AL14" s="59" t="str">
        <f t="array" ref="AL14">IFERROR(INDEX($AI$11:$AI$259, MATCH(0, IF(TRUE=$AG$11:$AG$259, COUNTIF($AL$10:$AL13, $AI$11:$AI$259), ""), 0)),"")</f>
        <v/>
      </c>
      <c r="AM14" s="59" t="str">
        <f t="array" ref="AM14">IFERROR(INDEX($AI$11:$AI$259, MATCH(0, IF(TRUE=$AH$11:$AH$259, COUNTIF($AM$10:$AM13, $AI$11:$AI$259), ""), 0)),"")</f>
        <v/>
      </c>
      <c r="AN14" s="59"/>
      <c r="AQ14" s="52">
        <f t="shared" si="2"/>
        <v>0</v>
      </c>
    </row>
    <row r="15" spans="1:43" ht="27.6" x14ac:dyDescent="0.25">
      <c r="A15" s="52" t="str">
        <f>IFERROR(INDEX('G-1 All Habitats'!$AG$3:$AG$15,MATCH(E15,'G-1 All Habitats'!$AF$3:$AF$15,0)),"")</f>
        <v>Urban</v>
      </c>
      <c r="B15" s="52" t="str">
        <f>IFERROR(INDEX('G-8 Condition Look up'!$I$4:$I$131,MATCH(G15,'G-8 Condition Look up'!$A$4:$A$131,0)),"")</f>
        <v>Cond4</v>
      </c>
      <c r="D15" s="89">
        <v>5</v>
      </c>
      <c r="E15" s="525" t="s">
        <v>166</v>
      </c>
      <c r="F15" s="91" t="s">
        <v>235</v>
      </c>
      <c r="G15" s="75" t="str">
        <f>IFERROR(INDEX('G-1 All Habitats'!$B$3:$B$130,MATCH(F15,'G-1 All Habitats'!$A$3:$A$130,0)),"")</f>
        <v>Urban - Vacant/derelict land/ bareground</v>
      </c>
      <c r="H15" s="76">
        <v>1.0999999999999999E-2</v>
      </c>
      <c r="I15" s="77" t="str">
        <f>IF(G15="","",VLOOKUP(G15,'G-1 All Habitats'!$B$2:$M$130,10,FALSE))</f>
        <v>Low</v>
      </c>
      <c r="J15" s="78">
        <f>IFERROR(VLOOKUP(I15,'G-1 All Habitats'!$V$3:$W$7,2,FALSE),"")</f>
        <v>2</v>
      </c>
      <c r="K15" s="79" t="s">
        <v>2</v>
      </c>
      <c r="L15" s="78">
        <f>IFERROR(INDEX('G-8 Condition Look up'!$A$3:$H$131,MATCH(G15,'G-8 Condition Look up'!$A$3:$A$131,0),MATCH(K15,'G-8 Condition Look up'!$A$3:$H$3,0)),"")</f>
        <v>1</v>
      </c>
      <c r="M15" s="79" t="s">
        <v>970</v>
      </c>
      <c r="N15" s="348" t="str">
        <f>IF(M15="","",IF(VLOOKUP(M15,'G-3 Multipliers'!$L$3:$N$6,2,FALSE)=0,"Spatial Data Missing",VLOOKUP(M15,'G-3 Multipliers'!$L$3:$N$6,2,FALSE)))</f>
        <v>Low Strategic Significance</v>
      </c>
      <c r="O15" s="569">
        <f>IF(M15="","",IF(VLOOKUP(M15,'G-3 Multipliers'!$L$3:$N$6,3,FALSE)=0,"Spatial Data Missing",VLOOKUP(M15,'G-3 Multipliers'!$L$3:$N$6,3,FALSE)))</f>
        <v>1</v>
      </c>
      <c r="P15" s="80" t="str">
        <f>IFERROR(VLOOKUP(G15,'G-1 All Habitats'!$B$2:$M$130,12,FALSE),"")</f>
        <v>Same distinctiveness or better habitat required</v>
      </c>
      <c r="Q15" s="81">
        <f>IFERROR(IF(P15="","",IF(AND(P15='G-1 All Habitats'!$X$3,T15&gt;0),U15+V15,IF(AND(P15='G-1 All Habitats'!$X$3,S15&gt;0),U15+V15,IF(AND(P15='G-1 All Habitats'!$X$3,AC15&gt;0),"Any Loss Unacceptable",IF(AND(P15='G-1 All Habitats'!$X$3,W15&gt;0),"Any Loss Unacceptable",H15*J15*L15*O15))))),"Check Data")</f>
        <v>2.1999999999999999E-2</v>
      </c>
      <c r="R15" s="55"/>
      <c r="S15" s="79">
        <v>0</v>
      </c>
      <c r="T15" s="82">
        <v>0</v>
      </c>
      <c r="U15" s="83">
        <f t="shared" si="3"/>
        <v>0</v>
      </c>
      <c r="V15" s="83">
        <f t="shared" si="4"/>
        <v>0</v>
      </c>
      <c r="W15" s="83">
        <f>IF(E15="","",IF(H15&lt;S15+T15,"Error in Areas",IF(P15&lt;&gt;'G-1 All Habitats'!$X$3,H15-S15-T15,IF(AND(P15='G-1 All Habitats'!$X$3,Y15="Yes"),"Unacceptable Loss",IF(AND(P15='G-1 All Habitats'!$X$3,Y15="No"),AC15,IF(AND(P15='G-1 All Habitats'!$X$3,Y15=""),AC15,IF(AND(P15='G-1 All Habitats'!$X$3,AC15="None",AC15),IF(AND(P15='G-1 All Habitats'!$X$3,AC15&gt;0),H15-S15-T15))))))))</f>
        <v>1.0999999999999999E-2</v>
      </c>
      <c r="X15" s="84">
        <f>IFERROR(IF(H15="","",IF(H15-S15-T15=0&lt;0,"Error in Areas",IF(S15+T15&gt;H15,"Error in Areas",IF(AND(P15='G-1 All Habitats'!$X$3,Y15="Yes"),"Alternative Compensation",IF(W15=0,0,IF(P15='G-1 All Habitats'!$X$3,"Unacceptable Loss",Q15-U15-V15)))))),"Check Data")</f>
        <v>2.1999999999999999E-2</v>
      </c>
      <c r="Y15" s="82"/>
      <c r="Z15" s="92"/>
      <c r="AA15" s="93"/>
      <c r="AC15" s="87" t="str">
        <f>IF(P15="","",IF(P15='G-1 All Habitats'!$X$3,H15-S15-T15,"None"))</f>
        <v>None</v>
      </c>
      <c r="AD15" s="88" t="str">
        <f>IFERROR(AC15*J15*L15*#REF!*O15,IF(P15="","","None"))</f>
        <v>None</v>
      </c>
      <c r="AF15" s="59" t="b">
        <f t="shared" si="0"/>
        <v>0</v>
      </c>
      <c r="AG15" s="59" t="b">
        <f t="shared" si="1"/>
        <v>0</v>
      </c>
      <c r="AH15" s="59" t="e">
        <f>IF(I15="","",IF(#REF!&gt;0,TRUE,FALSE))</f>
        <v>#REF!</v>
      </c>
      <c r="AI15" s="59">
        <v>5</v>
      </c>
      <c r="AJ15" s="59"/>
      <c r="AK15" s="59" t="str">
        <f t="array" ref="AK15">IFERROR(INDEX($AI$11:$AI$259, MATCH(0, IF(TRUE=$AF$11:$AF$259, COUNTIF($AK$10:$AK14, $AI$11:$AI$259), ""), 0)),"")</f>
        <v/>
      </c>
      <c r="AL15" s="59" t="str">
        <f t="array" ref="AL15">IFERROR(INDEX($AI$11:$AI$259, MATCH(0, IF(TRUE=$AG$11:$AG$259, COUNTIF($AL$10:$AL14, $AI$11:$AI$259), ""), 0)),"")</f>
        <v/>
      </c>
      <c r="AM15" s="59" t="str">
        <f t="array" ref="AM15">IFERROR(INDEX($AI$11:$AI$259, MATCH(0, IF(TRUE=$AH$11:$AH$259, COUNTIF($AM$10:$AM14, $AI$11:$AI$259), ""), 0)),"")</f>
        <v/>
      </c>
      <c r="AN15" s="59"/>
      <c r="AQ15" s="52">
        <f t="shared" si="2"/>
        <v>0</v>
      </c>
    </row>
    <row r="16" spans="1:43" ht="27.6" x14ac:dyDescent="0.25">
      <c r="A16" s="52" t="str">
        <f>IFERROR(INDEX('G-1 All Habitats'!$AG$3:$AG$15,MATCH(E16,'G-1 All Habitats'!$AF$3:$AF$15,0)),"")</f>
        <v>Urban</v>
      </c>
      <c r="B16" s="52" t="str">
        <f>IFERROR(INDEX('G-8 Condition Look up'!$I$4:$I$131,MATCH(G16,'G-8 Condition Look up'!$A$4:$A$131,0)),"")</f>
        <v>Cond4</v>
      </c>
      <c r="D16" s="89">
        <v>6</v>
      </c>
      <c r="E16" s="91" t="s">
        <v>166</v>
      </c>
      <c r="F16" s="91" t="s">
        <v>228</v>
      </c>
      <c r="G16" s="75" t="str">
        <f>IFERROR(INDEX('G-1 All Habitats'!$B$3:$B$130,MATCH(F16,'G-1 All Habitats'!$A$3:$A$130,0)),"")</f>
        <v>Urban - Ground based green wall</v>
      </c>
      <c r="H16" s="76">
        <v>8.5000000000000006E-3</v>
      </c>
      <c r="I16" s="77" t="str">
        <f>IF(G16="","",VLOOKUP(G16,'G-1 All Habitats'!$B$2:$M$130,10,FALSE))</f>
        <v>Low</v>
      </c>
      <c r="J16" s="78">
        <f>IFERROR(VLOOKUP(I16,'G-1 All Habitats'!$V$3:$W$7,2,FALSE),"")</f>
        <v>2</v>
      </c>
      <c r="K16" s="79" t="s">
        <v>2</v>
      </c>
      <c r="L16" s="78">
        <f>IFERROR(INDEX('G-8 Condition Look up'!$A$3:$H$131,MATCH(G16,'G-8 Condition Look up'!$A$3:$A$131,0),MATCH(K16,'G-8 Condition Look up'!$A$3:$H$3,0)),"")</f>
        <v>1</v>
      </c>
      <c r="M16" s="79" t="s">
        <v>970</v>
      </c>
      <c r="N16" s="348" t="str">
        <f>IF(M16="","",IF(VLOOKUP(M16,'G-3 Multipliers'!$L$3:$N$6,2,FALSE)=0,"Spatial Data Missing",VLOOKUP(M16,'G-3 Multipliers'!$L$3:$N$6,2,FALSE)))</f>
        <v>Low Strategic Significance</v>
      </c>
      <c r="O16" s="569">
        <f>IF(M16="","",IF(VLOOKUP(M16,'G-3 Multipliers'!$L$3:$N$6,3,FALSE)=0,"Spatial Data Missing",VLOOKUP(M16,'G-3 Multipliers'!$L$3:$N$6,3,FALSE)))</f>
        <v>1</v>
      </c>
      <c r="P16" s="80" t="str">
        <f>IFERROR(VLOOKUP(G16,'G-1 All Habitats'!$B$2:$M$130,12,FALSE),"")</f>
        <v>Same distinctiveness or better habitat required</v>
      </c>
      <c r="Q16" s="81">
        <f>IFERROR(IF(P16="","",IF(AND(P16='G-1 All Habitats'!$X$3,T16&gt;0),U16+V16,IF(AND(P16='G-1 All Habitats'!$X$3,S16&gt;0),U16+V16,IF(AND(P16='G-1 All Habitats'!$X$3,AC16&gt;0),"Any Loss Unacceptable",IF(AND(P16='G-1 All Habitats'!$X$3,W16&gt;0),"Any Loss Unacceptable",H16*J16*L16*O16))))),"Check Data")</f>
        <v>1.7000000000000001E-2</v>
      </c>
      <c r="R16" s="55"/>
      <c r="S16" s="79">
        <v>0</v>
      </c>
      <c r="T16" s="82">
        <v>0</v>
      </c>
      <c r="U16" s="83">
        <f t="shared" si="3"/>
        <v>0</v>
      </c>
      <c r="V16" s="83">
        <f t="shared" si="4"/>
        <v>0</v>
      </c>
      <c r="W16" s="83">
        <f>IF(E16="","",IF(H16&lt;S16+T16,"Error in Areas",IF(P16&lt;&gt;'G-1 All Habitats'!$X$3,H16-S16-T16,IF(AND(P16='G-1 All Habitats'!$X$3,Y16="Yes"),"Unacceptable Loss",IF(AND(P16='G-1 All Habitats'!$X$3,Y16="No"),AC16,IF(AND(P16='G-1 All Habitats'!$X$3,Y16=""),AC16,IF(AND(P16='G-1 All Habitats'!$X$3,AC16="None",AC16),IF(AND(P16='G-1 All Habitats'!$X$3,AC16&gt;0),H16-S16-T16))))))))</f>
        <v>8.5000000000000006E-3</v>
      </c>
      <c r="X16" s="84">
        <f>IFERROR(IF(H16="","",IF(H16-S16-T16=0&lt;0,"Error in Areas",IF(S16+T16&gt;H16,"Error in Areas",IF(AND(P16='G-1 All Habitats'!$X$3,Y16="Yes"),"Alternative Compensation",IF(W16=0,0,IF(P16='G-1 All Habitats'!$X$3,"Unacceptable Loss",Q16-U16-V16)))))),"Check Data")</f>
        <v>1.7000000000000001E-2</v>
      </c>
      <c r="Y16" s="82"/>
      <c r="Z16" s="92" t="s">
        <v>1527</v>
      </c>
      <c r="AA16" s="93"/>
      <c r="AC16" s="87" t="str">
        <f>IF(P16="","",IF(P16='G-1 All Habitats'!$X$3,H16-S16-T16,"None"))</f>
        <v>None</v>
      </c>
      <c r="AD16" s="88" t="str">
        <f>IFERROR(AC16*J16*L16*#REF!*O16,IF(P16="","","None"))</f>
        <v>None</v>
      </c>
      <c r="AF16" s="59" t="b">
        <f t="shared" si="0"/>
        <v>0</v>
      </c>
      <c r="AG16" s="59" t="b">
        <f t="shared" si="1"/>
        <v>0</v>
      </c>
      <c r="AH16" s="59" t="e">
        <f>IF(I16="","",IF(#REF!&gt;0,TRUE,FALSE))</f>
        <v>#REF!</v>
      </c>
      <c r="AI16" s="59">
        <v>6</v>
      </c>
      <c r="AJ16" s="59"/>
      <c r="AK16" s="59" t="str">
        <f t="array" ref="AK16">IFERROR(INDEX($AI$11:$AI$259, MATCH(0, IF(TRUE=$AF$11:$AF$259, COUNTIF($AK$10:$AK15, $AI$11:$AI$259), ""), 0)),"")</f>
        <v/>
      </c>
      <c r="AL16" s="59" t="str">
        <f t="array" ref="AL16">IFERROR(INDEX($AI$11:$AI$259, MATCH(0, IF(TRUE=$AG$11:$AG$259, COUNTIF($AL$10:$AL15, $AI$11:$AI$259), ""), 0)),"")</f>
        <v/>
      </c>
      <c r="AM16" s="59" t="str">
        <f t="array" ref="AM16">IFERROR(INDEX($AI$11:$AI$259, MATCH(0, IF(TRUE=$AH$11:$AH$259, COUNTIF($AM$10:$AM15, $AI$11:$AI$259), ""), 0)),"")</f>
        <v/>
      </c>
      <c r="AN16" s="59"/>
      <c r="AQ16" s="52">
        <f t="shared" si="2"/>
        <v>0</v>
      </c>
    </row>
    <row r="17" spans="1:43" ht="69" x14ac:dyDescent="0.25">
      <c r="A17" s="52" t="str">
        <f>IFERROR(INDEX('G-1 All Habitats'!$AG$3:$AG$15,MATCH(E17,'G-1 All Habitats'!$AF$3:$AF$15,0)),"")</f>
        <v>Urban</v>
      </c>
      <c r="B17" s="52" t="str">
        <f>IFERROR(INDEX('G-8 Condition Look up'!$I$4:$I$131,MATCH(G17,'G-8 Condition Look up'!$A$4:$A$131,0)),"")</f>
        <v>Cond4</v>
      </c>
      <c r="D17" s="89">
        <v>7</v>
      </c>
      <c r="E17" s="526" t="s">
        <v>166</v>
      </c>
      <c r="F17" s="91" t="s">
        <v>1280</v>
      </c>
      <c r="G17" s="75" t="str">
        <f>IFERROR(INDEX('G-1 All Habitats'!$B$3:$B$130,MATCH(F17,'G-1 All Habitats'!$A$3:$A$130,0)),"")</f>
        <v>Urban - Urban Tree</v>
      </c>
      <c r="H17" s="76">
        <v>0.12429999999999999</v>
      </c>
      <c r="I17" s="77" t="str">
        <f>IF(G17="","",VLOOKUP(G17,'G-1 All Habitats'!$B$2:$M$130,10,FALSE))</f>
        <v>Medium</v>
      </c>
      <c r="J17" s="78">
        <f>IFERROR(VLOOKUP(I17,'G-1 All Habitats'!$V$3:$W$7,2,FALSE),"")</f>
        <v>4</v>
      </c>
      <c r="K17" s="79" t="s">
        <v>2</v>
      </c>
      <c r="L17" s="78">
        <f>IFERROR(INDEX('G-8 Condition Look up'!$A$3:$H$131,MATCH(G17,'G-8 Condition Look up'!$A$3:$A$131,0),MATCH(K17,'G-8 Condition Look up'!$A$3:$H$3,0)),"")</f>
        <v>1</v>
      </c>
      <c r="M17" s="79" t="s">
        <v>970</v>
      </c>
      <c r="N17" s="348" t="str">
        <f>IF(M17="","",IF(VLOOKUP(M17,'G-3 Multipliers'!$L$3:$N$6,2,FALSE)=0,"Spatial Data Missing",VLOOKUP(M17,'G-3 Multipliers'!$L$3:$N$6,2,FALSE)))</f>
        <v>Low Strategic Significance</v>
      </c>
      <c r="O17" s="569">
        <f>IF(M17="","",IF(VLOOKUP(M17,'G-3 Multipliers'!$L$3:$N$6,3,FALSE)=0,"Spatial Data Missing",VLOOKUP(M17,'G-3 Multipliers'!$L$3:$N$6,3,FALSE)))</f>
        <v>1</v>
      </c>
      <c r="P17" s="80" t="str">
        <f>IFERROR(VLOOKUP(G17,'G-1 All Habitats'!$B$2:$M$130,12,FALSE),"")</f>
        <v>Same broad habitat or a higher distinctiveness habitat required</v>
      </c>
      <c r="Q17" s="81">
        <f>IFERROR(IF(P17="","",IF(AND(P17='G-1 All Habitats'!$X$3,T17&gt;0),U17+V17,IF(AND(P17='G-1 All Habitats'!$X$3,S17&gt;0),U17+V17,IF(AND(P17='G-1 All Habitats'!$X$3,AC17&gt;0),"Any Loss Unacceptable",IF(AND(P17='G-1 All Habitats'!$X$3,W17&gt;0),"Any Loss Unacceptable",H17*J17*L17*O17))))),"Check Data")</f>
        <v>0.49719999999999998</v>
      </c>
      <c r="R17" s="55"/>
      <c r="S17" s="79">
        <v>8.8999999999999996E-2</v>
      </c>
      <c r="T17" s="82">
        <v>0</v>
      </c>
      <c r="U17" s="83">
        <f t="shared" si="3"/>
        <v>0.35599999999999998</v>
      </c>
      <c r="V17" s="83">
        <f t="shared" si="4"/>
        <v>0</v>
      </c>
      <c r="W17" s="83">
        <f>IF(E17="","",IF(H17&lt;S17+T17,"Error in Areas",IF(P17&lt;&gt;'G-1 All Habitats'!$X$3,H17-S17-T17,IF(AND(P17='G-1 All Habitats'!$X$3,Y17="Yes"),"Unacceptable Loss",IF(AND(P17='G-1 All Habitats'!$X$3,Y17="No"),AC17,IF(AND(P17='G-1 All Habitats'!$X$3,Y17=""),AC17,IF(AND(P17='G-1 All Habitats'!$X$3,AC17="None",AC17),IF(AND(P17='G-1 All Habitats'!$X$3,AC17&gt;0),H17-S17-T17))))))))</f>
        <v>3.5299999999999998E-2</v>
      </c>
      <c r="X17" s="84">
        <f>IFERROR(IF(H17="","",IF(H17-S17-T17=0&lt;0,"Error in Areas",IF(S17+T17&gt;H17,"Error in Areas",IF(AND(P17='G-1 All Habitats'!$X$3,Y17="Yes"),"Alternative Compensation",IF(W17=0,0,IF(P17='G-1 All Habitats'!$X$3,"Unacceptable Loss",Q17-U17-V17)))))),"Check Data")</f>
        <v>0.14119999999999999</v>
      </c>
      <c r="Y17" s="82"/>
      <c r="Z17" s="92" t="s">
        <v>1525</v>
      </c>
      <c r="AA17" s="93"/>
      <c r="AC17" s="87" t="str">
        <f>IF(P17="","",IF(P17='G-1 All Habitats'!$X$3,H17-S17-T17,"None"))</f>
        <v>None</v>
      </c>
      <c r="AD17" s="88" t="str">
        <f>IFERROR(AC17*J17*L17*#REF!*O17,IF(P17="","","None"))</f>
        <v>None</v>
      </c>
      <c r="AF17" s="59" t="b">
        <f t="shared" si="0"/>
        <v>1</v>
      </c>
      <c r="AG17" s="59" t="b">
        <f t="shared" si="1"/>
        <v>0</v>
      </c>
      <c r="AH17" s="59" t="e">
        <f>IF(I17="","",IF(#REF!&gt;0,TRUE,FALSE))</f>
        <v>#REF!</v>
      </c>
      <c r="AI17" s="59">
        <v>7</v>
      </c>
      <c r="AJ17" s="59"/>
      <c r="AK17" s="59" t="str">
        <f t="array" ref="AK17">IFERROR(INDEX($AI$11:$AI$259, MATCH(0, IF(TRUE=$AF$11:$AF$259, COUNTIF($AK$10:$AK16, $AI$11:$AI$259), ""), 0)),"")</f>
        <v/>
      </c>
      <c r="AL17" s="59" t="str">
        <f t="array" ref="AL17">IFERROR(INDEX($AI$11:$AI$259, MATCH(0, IF(TRUE=$AG$11:$AG$259, COUNTIF($AL$10:$AL16, $AI$11:$AI$259), ""), 0)),"")</f>
        <v/>
      </c>
      <c r="AM17" s="59" t="str">
        <f t="array" ref="AM17">IFERROR(INDEX($AI$11:$AI$259, MATCH(0, IF(TRUE=$AH$11:$AH$259, COUNTIF($AM$10:$AM16, $AI$11:$AI$259), ""), 0)),"")</f>
        <v/>
      </c>
      <c r="AN17" s="59"/>
      <c r="AQ17" s="52">
        <f t="shared" si="2"/>
        <v>0</v>
      </c>
    </row>
    <row r="18" spans="1:43" x14ac:dyDescent="0.25">
      <c r="A18" s="52" t="str">
        <f>IFERROR(INDEX('G-1 All Habitats'!$AG$3:$AG$15,MATCH(E18,'G-1 All Habitats'!$AF$3:$AF$15,0)),"")</f>
        <v/>
      </c>
      <c r="B18" s="52" t="str">
        <f>IFERROR(INDEX('G-8 Condition Look up'!$I$4:$I$131,MATCH(G18,'G-8 Condition Look up'!$A$4:$A$131,0)),"")</f>
        <v/>
      </c>
      <c r="D18" s="89">
        <v>8</v>
      </c>
      <c r="E18" s="91"/>
      <c r="F18" s="91"/>
      <c r="G18" s="75" t="str">
        <f>IFERROR(INDEX('G-1 All Habitats'!$B$3:$B$130,MATCH(F18,'G-1 All Habitats'!$A$3:$A$130,0)),"")</f>
        <v/>
      </c>
      <c r="H18" s="76"/>
      <c r="I18" s="77" t="str">
        <f>IF(G18="","",VLOOKUP(G18,'G-1 All Habitats'!$B$2:$M$130,10,FALSE))</f>
        <v/>
      </c>
      <c r="J18" s="78" t="str">
        <f>IFERROR(VLOOKUP(I18,'G-1 All Habitats'!$V$3:$W$7,2,FALSE),"")</f>
        <v/>
      </c>
      <c r="K18" s="79"/>
      <c r="L18" s="78" t="str">
        <f>IFERROR(INDEX('G-8 Condition Look up'!$A$3:$H$131,MATCH(G18,'G-8 Condition Look up'!$A$3:$A$131,0),MATCH(K18,'G-8 Condition Look up'!$A$3:$H$3,0)),"")</f>
        <v/>
      </c>
      <c r="M18" s="79"/>
      <c r="N18" s="348" t="str">
        <f>IF(M18="","",IF(VLOOKUP(M18,'G-3 Multipliers'!$L$3:$N$6,2,FALSE)=0,"Spatial Data Missing",VLOOKUP(M18,'G-3 Multipliers'!$L$3:$N$6,2,FALSE)))</f>
        <v/>
      </c>
      <c r="O18" s="569" t="str">
        <f>IF(M18="","",IF(VLOOKUP(M18,'G-3 Multipliers'!$L$3:$N$6,3,FALSE)=0,"Spatial Data Missing",VLOOKUP(M18,'G-3 Multipliers'!$L$3:$N$6,3,FALSE)))</f>
        <v/>
      </c>
      <c r="P18" s="80" t="str">
        <f>IFERROR(VLOOKUP(G18,'G-1 All Habitats'!$B$2:$M$130,12,FALSE),"")</f>
        <v/>
      </c>
      <c r="Q18" s="81" t="str">
        <f>IFERROR(IF(P18="","",IF(AND(P18='G-1 All Habitats'!$X$3,T18&gt;0),U18+V18,IF(AND(P18='G-1 All Habitats'!$X$3,S18&gt;0),U18+V18,IF(AND(P18='G-1 All Habitats'!$X$3,AC18&gt;0),"Any Loss Unacceptable",IF(AND(P18='G-1 All Habitats'!$X$3,W18&gt;0),"Any Loss Unacceptable",H18*J18*L18*O18))))),"Check Data")</f>
        <v/>
      </c>
      <c r="R18" s="55"/>
      <c r="S18" s="79"/>
      <c r="T18" s="82"/>
      <c r="U18" s="83" t="str">
        <f t="shared" si="3"/>
        <v/>
      </c>
      <c r="V18" s="83" t="str">
        <f t="shared" si="4"/>
        <v/>
      </c>
      <c r="W18" s="83" t="str">
        <f>IF(E18="","",IF(H18&lt;S18+T18,"Error in Areas",IF(P18&lt;&gt;'G-1 All Habitats'!$X$3,H18-S18-T18,IF(AND(P18='G-1 All Habitats'!$X$3,Y18="Yes"),"Unacceptable Loss",IF(AND(P18='G-1 All Habitats'!$X$3,Y18="No"),AC18,IF(AND(P18='G-1 All Habitats'!$X$3,Y18=""),AC18,IF(AND(P18='G-1 All Habitats'!$X$3,AC18="None",AC18),IF(AND(P18='G-1 All Habitats'!$X$3,AC18&gt;0),H18-S18-T18))))))))</f>
        <v/>
      </c>
      <c r="X18" s="84" t="str">
        <f>IFERROR(IF(H18="","",IF(H18-S18-T18=0&lt;0,"Error in Areas",IF(S18+T18&gt;H18,"Error in Areas",IF(AND(P18='G-1 All Habitats'!$X$3,Y18="Yes"),"Alternative Compensation",IF(W18=0,0,IF(P18='G-1 All Habitats'!$X$3,"Unacceptable Loss",Q18-U18-V18)))))),"Check Data")</f>
        <v/>
      </c>
      <c r="Y18" s="82"/>
      <c r="Z18" s="92"/>
      <c r="AA18" s="93"/>
      <c r="AC18" s="87" t="str">
        <f>IF(P18="","",IF(P18='G-1 All Habitats'!$X$3,H18-S18-T18,"None"))</f>
        <v/>
      </c>
      <c r="AD18" s="88" t="str">
        <f>IFERROR(AC18*J18*L18*#REF!*O18,IF(P18="","","None"))</f>
        <v/>
      </c>
      <c r="AF18" s="59" t="str">
        <f t="shared" si="0"/>
        <v/>
      </c>
      <c r="AG18" s="59" t="str">
        <f t="shared" si="1"/>
        <v/>
      </c>
      <c r="AH18" s="59" t="str">
        <f>IF(I18="","",IF(#REF!&gt;0,TRUE,FALSE))</f>
        <v/>
      </c>
      <c r="AI18" s="59">
        <v>8</v>
      </c>
      <c r="AJ18" s="59"/>
      <c r="AK18" s="59" t="str">
        <f t="array" ref="AK18">IFERROR(INDEX($AI$11:$AI$259, MATCH(0, IF(TRUE=$AF$11:$AF$259, COUNTIF($AK$10:$AK17, $AI$11:$AI$259), ""), 0)),"")</f>
        <v/>
      </c>
      <c r="AL18" s="59" t="str">
        <f t="array" ref="AL18">IFERROR(INDEX($AI$11:$AI$259, MATCH(0, IF(TRUE=$AG$11:$AG$259, COUNTIF($AL$10:$AL17, $AI$11:$AI$259), ""), 0)),"")</f>
        <v/>
      </c>
      <c r="AM18" s="59" t="str">
        <f t="array" ref="AM18">IFERROR(INDEX($AI$11:$AI$259, MATCH(0, IF(TRUE=$AH$11:$AH$259, COUNTIF($AM$10:$AM17, $AI$11:$AI$259), ""), 0)),"")</f>
        <v/>
      </c>
      <c r="AN18" s="59"/>
      <c r="AQ18" s="52">
        <f t="shared" si="2"/>
        <v>0</v>
      </c>
    </row>
    <row r="19" spans="1:43" x14ac:dyDescent="0.25">
      <c r="A19" s="52" t="str">
        <f>IFERROR(INDEX('G-1 All Habitats'!$AG$3:$AG$15,MATCH(E19,'G-1 All Habitats'!$AF$3:$AF$15,0)),"")</f>
        <v/>
      </c>
      <c r="B19" s="52" t="str">
        <f>IFERROR(INDEX('G-8 Condition Look up'!$I$4:$I$131,MATCH(G19,'G-8 Condition Look up'!$A$4:$A$131,0)),"")</f>
        <v/>
      </c>
      <c r="D19" s="89">
        <v>9</v>
      </c>
      <c r="E19" s="94"/>
      <c r="F19" s="91"/>
      <c r="G19" s="75" t="str">
        <f>IFERROR(INDEX('G-1 All Habitats'!$B$3:$B$130,MATCH(F19,'G-1 All Habitats'!$A$3:$A$130,0)),"")</f>
        <v/>
      </c>
      <c r="H19" s="76"/>
      <c r="I19" s="77" t="str">
        <f>IF(G19="","",VLOOKUP(G19,'G-1 All Habitats'!$B$2:$M$130,10,FALSE))</f>
        <v/>
      </c>
      <c r="J19" s="78" t="str">
        <f>IFERROR(VLOOKUP(I19,'G-1 All Habitats'!$V$3:$W$7,2,FALSE),"")</f>
        <v/>
      </c>
      <c r="K19" s="79"/>
      <c r="L19" s="78" t="str">
        <f>IFERROR(INDEX('G-8 Condition Look up'!$A$3:$H$131,MATCH(G19,'G-8 Condition Look up'!$A$3:$A$131,0),MATCH(K19,'G-8 Condition Look up'!$A$3:$H$3,0)),"")</f>
        <v/>
      </c>
      <c r="M19" s="79"/>
      <c r="N19" s="348" t="str">
        <f>IF(M19="","",IF(VLOOKUP(M19,'G-3 Multipliers'!$L$3:$N$6,2,FALSE)=0,"Spatial Data Missing",VLOOKUP(M19,'G-3 Multipliers'!$L$3:$N$6,2,FALSE)))</f>
        <v/>
      </c>
      <c r="O19" s="569" t="str">
        <f>IF(M19="","",IF(VLOOKUP(M19,'G-3 Multipliers'!$L$3:$N$6,3,FALSE)=0,"Spatial Data Missing",VLOOKUP(M19,'G-3 Multipliers'!$L$3:$N$6,3,FALSE)))</f>
        <v/>
      </c>
      <c r="P19" s="80" t="str">
        <f>IFERROR(VLOOKUP(G19,'G-1 All Habitats'!$B$2:$M$130,12,FALSE),"")</f>
        <v/>
      </c>
      <c r="Q19" s="81" t="str">
        <f>IFERROR(IF(P19="","",IF(AND(P19='G-1 All Habitats'!$X$3,T19&gt;0),U19+V19,IF(AND(P19='G-1 All Habitats'!$X$3,S19&gt;0),U19+V19,IF(AND(P19='G-1 All Habitats'!$X$3,AC19&gt;0),"Any Loss Unacceptable",IF(AND(P19='G-1 All Habitats'!$X$3,W19&gt;0),"Any Loss Unacceptable",H19*J19*L19*O19))))),"Check Data")</f>
        <v/>
      </c>
      <c r="R19" s="55"/>
      <c r="S19" s="79"/>
      <c r="T19" s="82"/>
      <c r="U19" s="83" t="str">
        <f t="shared" si="3"/>
        <v/>
      </c>
      <c r="V19" s="83" t="str">
        <f t="shared" si="4"/>
        <v/>
      </c>
      <c r="W19" s="83" t="str">
        <f>IF(E19="","",IF(H19&lt;S19+T19,"Error in Areas",IF(P19&lt;&gt;'G-1 All Habitats'!$X$3,H19-S19-T19,IF(AND(P19='G-1 All Habitats'!$X$3,Y19="Yes"),"Unacceptable Loss",IF(AND(P19='G-1 All Habitats'!$X$3,Y19="No"),AC19,IF(AND(P19='G-1 All Habitats'!$X$3,Y19=""),AC19,IF(AND(P19='G-1 All Habitats'!$X$3,AC19="None",AC19),IF(AND(P19='G-1 All Habitats'!$X$3,AC19&gt;0),H19-S19-T19))))))))</f>
        <v/>
      </c>
      <c r="X19" s="84" t="str">
        <f>IFERROR(IF(H19="","",IF(H19-S19-T19=0&lt;0,"Error in Areas",IF(S19+T19&gt;H19,"Error in Areas",IF(AND(P19='G-1 All Habitats'!$X$3,Y19="Yes"),"Alternative Compensation",IF(W19=0,0,IF(P19='G-1 All Habitats'!$X$3,"Unacceptable Loss",Q19-U19-V19)))))),"Check Data")</f>
        <v/>
      </c>
      <c r="Y19" s="82"/>
      <c r="Z19" s="92"/>
      <c r="AA19" s="93"/>
      <c r="AC19" s="87" t="str">
        <f>IF(P19="","",IF(P19='G-1 All Habitats'!$X$3,H19-S19-T19,"None"))</f>
        <v/>
      </c>
      <c r="AD19" s="88" t="str">
        <f>IFERROR(AC19*J19*L19*#REF!*O19,IF(P19="","","None"))</f>
        <v/>
      </c>
      <c r="AF19" s="59" t="str">
        <f t="shared" si="0"/>
        <v/>
      </c>
      <c r="AG19" s="59" t="str">
        <f t="shared" si="1"/>
        <v/>
      </c>
      <c r="AH19" s="59" t="str">
        <f>IF(I19="","",IF(#REF!&gt;0,TRUE,FALSE))</f>
        <v/>
      </c>
      <c r="AI19" s="59">
        <v>9</v>
      </c>
      <c r="AJ19" s="59"/>
      <c r="AK19" s="59" t="str">
        <f t="array" ref="AK19">IFERROR(INDEX($AI$11:$AI$259, MATCH(0, IF(TRUE=$AF$11:$AF$259, COUNTIF($AK$10:$AK18, $AI$11:$AI$259), ""), 0)),"")</f>
        <v/>
      </c>
      <c r="AL19" s="59" t="str">
        <f t="array" ref="AL19">IFERROR(INDEX($AI$11:$AI$259, MATCH(0, IF(TRUE=$AG$11:$AG$259, COUNTIF($AL$10:$AL18, $AI$11:$AI$259), ""), 0)),"")</f>
        <v/>
      </c>
      <c r="AM19" s="59" t="str">
        <f t="array" ref="AM19">IFERROR(INDEX($AI$11:$AI$259, MATCH(0, IF(TRUE=$AH$11:$AH$259, COUNTIF($AM$10:$AM18, $AI$11:$AI$259), ""), 0)),"")</f>
        <v/>
      </c>
      <c r="AN19" s="59"/>
      <c r="AQ19" s="52">
        <f t="shared" si="2"/>
        <v>0</v>
      </c>
    </row>
    <row r="20" spans="1:43" x14ac:dyDescent="0.25">
      <c r="A20" s="52" t="str">
        <f>IFERROR(INDEX('G-1 All Habitats'!$AG$3:$AG$15,MATCH(E20,'G-1 All Habitats'!$AF$3:$AF$15,0)),"")</f>
        <v/>
      </c>
      <c r="B20" s="52" t="str">
        <f>IFERROR(INDEX('G-8 Condition Look up'!$I$4:$I$131,MATCH(G20,'G-8 Condition Look up'!$A$4:$A$131,0)),"")</f>
        <v/>
      </c>
      <c r="D20" s="89">
        <v>10</v>
      </c>
      <c r="E20" s="90"/>
      <c r="F20" s="91"/>
      <c r="G20" s="75" t="str">
        <f>IFERROR(INDEX('G-1 All Habitats'!$B$3:$B$130,MATCH(F20,'G-1 All Habitats'!$A$3:$A$130,0)),"")</f>
        <v/>
      </c>
      <c r="H20" s="76"/>
      <c r="I20" s="77" t="str">
        <f>IF(G20="","",VLOOKUP(G20,'G-1 All Habitats'!$B$2:$M$130,10,FALSE))</f>
        <v/>
      </c>
      <c r="J20" s="78" t="str">
        <f>IFERROR(VLOOKUP(I20,'G-1 All Habitats'!$V$3:$W$7,2,FALSE),"")</f>
        <v/>
      </c>
      <c r="K20" s="79"/>
      <c r="L20" s="78" t="str">
        <f>IFERROR(INDEX('G-8 Condition Look up'!$A$3:$H$131,MATCH(G20,'G-8 Condition Look up'!$A$3:$A$131,0),MATCH(K20,'G-8 Condition Look up'!$A$3:$H$3,0)),"")</f>
        <v/>
      </c>
      <c r="M20" s="79"/>
      <c r="N20" s="348" t="str">
        <f>IF(M20="","",IF(VLOOKUP(M20,'G-3 Multipliers'!$L$3:$N$6,2,FALSE)=0,"Spatial Data Missing",VLOOKUP(M20,'G-3 Multipliers'!$L$3:$N$6,2,FALSE)))</f>
        <v/>
      </c>
      <c r="O20" s="569" t="str">
        <f>IF(M20="","",IF(VLOOKUP(M20,'G-3 Multipliers'!$L$3:$N$6,3,FALSE)=0,"Spatial Data Missing",VLOOKUP(M20,'G-3 Multipliers'!$L$3:$N$6,3,FALSE)))</f>
        <v/>
      </c>
      <c r="P20" s="80" t="str">
        <f>IFERROR(VLOOKUP(G20,'G-1 All Habitats'!$B$2:$M$130,12,FALSE),"")</f>
        <v/>
      </c>
      <c r="Q20" s="81" t="str">
        <f>IFERROR(IF(P20="","",IF(AND(P20='G-1 All Habitats'!$X$3,T20&gt;0),U20+V20,IF(AND(P20='G-1 All Habitats'!$X$3,S20&gt;0),U20+V20,IF(AND(P20='G-1 All Habitats'!$X$3,AC20&gt;0),"Any Loss Unacceptable",IF(AND(P20='G-1 All Habitats'!$X$3,W20&gt;0),"Any Loss Unacceptable",H20*J20*L20*O20))))),"Check Data")</f>
        <v/>
      </c>
      <c r="R20" s="55"/>
      <c r="S20" s="79"/>
      <c r="T20" s="82"/>
      <c r="U20" s="83" t="str">
        <f t="shared" si="3"/>
        <v/>
      </c>
      <c r="V20" s="83" t="str">
        <f t="shared" si="4"/>
        <v/>
      </c>
      <c r="W20" s="83" t="str">
        <f>IF(E20="","",IF(H20&lt;S20+T20,"Error in Areas",IF(P20&lt;&gt;'G-1 All Habitats'!$X$3,H20-S20-T20,IF(AND(P20='G-1 All Habitats'!$X$3,Y20="Yes"),"Unacceptable Loss",IF(AND(P20='G-1 All Habitats'!$X$3,Y20="No"),AC20,IF(AND(P20='G-1 All Habitats'!$X$3,Y20=""),AC20,IF(AND(P20='G-1 All Habitats'!$X$3,AC20="None",AC20),IF(AND(P20='G-1 All Habitats'!$X$3,AC20&gt;0),H20-S20-T20))))))))</f>
        <v/>
      </c>
      <c r="X20" s="84" t="str">
        <f>IFERROR(IF(H20="","",IF(H20-S20-T20=0&lt;0,"Error in Areas",IF(S20+T20&gt;H20,"Error in Areas",IF(AND(P20='G-1 All Habitats'!$X$3,Y20="Yes"),"Alternative Compensation",IF(W20=0,0,IF(P20='G-1 All Habitats'!$X$3,"Unacceptable Loss",Q20-U20-V20)))))),"Check Data")</f>
        <v/>
      </c>
      <c r="Y20" s="82"/>
      <c r="Z20" s="92"/>
      <c r="AA20" s="93"/>
      <c r="AC20" s="87" t="str">
        <f>IF(P20="","",IF(P20='G-1 All Habitats'!$X$3,H20-S20-T20,"None"))</f>
        <v/>
      </c>
      <c r="AD20" s="88" t="str">
        <f>IFERROR(AC20*J20*L20*#REF!*O20,IF(P20="","","None"))</f>
        <v/>
      </c>
      <c r="AF20" s="59" t="str">
        <f t="shared" si="0"/>
        <v/>
      </c>
      <c r="AG20" s="59" t="str">
        <f t="shared" si="1"/>
        <v/>
      </c>
      <c r="AH20" s="59" t="str">
        <f>IF(I20="","",IF(#REF!&gt;0,TRUE,FALSE))</f>
        <v/>
      </c>
      <c r="AI20" s="59">
        <v>10</v>
      </c>
      <c r="AJ20" s="59"/>
      <c r="AK20" s="59" t="str">
        <f t="array" ref="AK20">IFERROR(INDEX($AI$11:$AI$259, MATCH(0, IF(TRUE=$AF$11:$AF$259, COUNTIF($AK$10:$AK19, $AI$11:$AI$259), ""), 0)),"")</f>
        <v/>
      </c>
      <c r="AL20" s="59" t="str">
        <f t="array" ref="AL20">IFERROR(INDEX($AI$11:$AI$259, MATCH(0, IF(TRUE=$AG$11:$AG$259, COUNTIF($AL$10:$AL19, $AI$11:$AI$259), ""), 0)),"")</f>
        <v/>
      </c>
      <c r="AM20" s="59" t="str">
        <f t="array" ref="AM20">IFERROR(INDEX($AI$11:$AI$259, MATCH(0, IF(TRUE=$AH$11:$AH$259, COUNTIF($AM$10:$AM19, $AI$11:$AI$259), ""), 0)),"")</f>
        <v/>
      </c>
      <c r="AN20" s="59"/>
      <c r="AQ20" s="52">
        <f t="shared" si="2"/>
        <v>0</v>
      </c>
    </row>
    <row r="21" spans="1:43" x14ac:dyDescent="0.25">
      <c r="A21" s="52" t="str">
        <f>IFERROR(INDEX('G-1 All Habitats'!$AG$3:$AG$15,MATCH(E21,'G-1 All Habitats'!$AF$3:$AF$15,0)),"")</f>
        <v/>
      </c>
      <c r="B21" s="52" t="str">
        <f>IFERROR(INDEX('G-8 Condition Look up'!$I$4:$I$131,MATCH(G21,'G-8 Condition Look up'!$A$4:$A$131,0)),"")</f>
        <v/>
      </c>
      <c r="D21" s="89">
        <v>11</v>
      </c>
      <c r="E21" s="90"/>
      <c r="F21" s="91"/>
      <c r="G21" s="75" t="str">
        <f>IFERROR(INDEX('G-1 All Habitats'!$B$3:$B$130,MATCH(F21,'G-1 All Habitats'!$A$3:$A$130,0)),"")</f>
        <v/>
      </c>
      <c r="H21" s="76"/>
      <c r="I21" s="77" t="str">
        <f>IF(G21="","",VLOOKUP(G21,'G-1 All Habitats'!$B$2:$M$130,10,FALSE))</f>
        <v/>
      </c>
      <c r="J21" s="78" t="str">
        <f>IFERROR(VLOOKUP(I21,'G-1 All Habitats'!$V$3:$W$7,2,FALSE),"")</f>
        <v/>
      </c>
      <c r="K21" s="79"/>
      <c r="L21" s="78" t="str">
        <f>IFERROR(INDEX('G-8 Condition Look up'!$A$3:$H$131,MATCH(G21,'G-8 Condition Look up'!$A$3:$A$131,0),MATCH(K21,'G-8 Condition Look up'!$A$3:$H$3,0)),"")</f>
        <v/>
      </c>
      <c r="M21" s="79"/>
      <c r="N21" s="348" t="str">
        <f>IF(M21="","",IF(VLOOKUP(M21,'G-3 Multipliers'!$L$3:$N$6,2,FALSE)=0,"Spatial Data Missing",VLOOKUP(M21,'G-3 Multipliers'!$L$3:$N$6,2,FALSE)))</f>
        <v/>
      </c>
      <c r="O21" s="569" t="str">
        <f>IF(M21="","",IF(VLOOKUP(M21,'G-3 Multipliers'!$L$3:$N$6,3,FALSE)=0,"Spatial Data Missing",VLOOKUP(M21,'G-3 Multipliers'!$L$3:$N$6,3,FALSE)))</f>
        <v/>
      </c>
      <c r="P21" s="80" t="str">
        <f>IFERROR(VLOOKUP(G21,'G-1 All Habitats'!$B$2:$M$130,12,FALSE),"")</f>
        <v/>
      </c>
      <c r="Q21" s="81" t="str">
        <f>IFERROR(IF(P21="","",IF(AND(P21='G-1 All Habitats'!$X$3,T21&gt;0),U21+V21,IF(AND(P21='G-1 All Habitats'!$X$3,S21&gt;0),U21+V21,IF(AND(P21='G-1 All Habitats'!$X$3,AC21&gt;0),"Any Loss Unacceptable",IF(AND(P21='G-1 All Habitats'!$X$3,W21&gt;0),"Any Loss Unacceptable",H21*J21*L21*O21))))),"Check Data")</f>
        <v/>
      </c>
      <c r="R21" s="55"/>
      <c r="S21" s="79"/>
      <c r="T21" s="82"/>
      <c r="U21" s="83" t="str">
        <f t="shared" si="3"/>
        <v/>
      </c>
      <c r="V21" s="83" t="str">
        <f t="shared" si="4"/>
        <v/>
      </c>
      <c r="W21" s="83" t="str">
        <f>IF(E21="","",IF(H21&lt;S21+T21,"Error in Areas",IF(P21&lt;&gt;'G-1 All Habitats'!$X$3,H21-S21-T21,IF(AND(P21='G-1 All Habitats'!$X$3,Y21="Yes"),"Unacceptable Loss",IF(AND(P21='G-1 All Habitats'!$X$3,Y21="No"),AC21,IF(AND(P21='G-1 All Habitats'!$X$3,Y21=""),AC21,IF(AND(P21='G-1 All Habitats'!$X$3,AC21="None",AC21),IF(AND(P21='G-1 All Habitats'!$X$3,AC21&gt;0),H21-S21-T21))))))))</f>
        <v/>
      </c>
      <c r="X21" s="84" t="str">
        <f>IFERROR(IF(H21="","",IF(H21-S21-T21=0&lt;0,"Error in Areas",IF(S21+T21&gt;H21,"Error in Areas",IF(AND(P21='G-1 All Habitats'!$X$3,Y21="Yes"),"Alternative Compensation",IF(W21=0,0,IF(P21='G-1 All Habitats'!$X$3,"Unacceptable Loss",Q21-U21-V21)))))),"Check Data")</f>
        <v/>
      </c>
      <c r="Y21" s="82"/>
      <c r="Z21" s="92"/>
      <c r="AA21" s="93"/>
      <c r="AC21" s="87" t="str">
        <f>IF(P21="","",IF(P21='G-1 All Habitats'!$X$3,H21-S21-T21,"None"))</f>
        <v/>
      </c>
      <c r="AD21" s="88" t="str">
        <f>IFERROR(AC21*J21*L21*#REF!*O21,IF(P21="","","None"))</f>
        <v/>
      </c>
      <c r="AF21" s="59" t="str">
        <f t="shared" si="0"/>
        <v/>
      </c>
      <c r="AG21" s="59" t="str">
        <f t="shared" si="1"/>
        <v/>
      </c>
      <c r="AH21" s="59" t="str">
        <f>IF(I21="","",IF(#REF!&gt;0,TRUE,FALSE))</f>
        <v/>
      </c>
      <c r="AI21" s="59">
        <v>11</v>
      </c>
      <c r="AJ21" s="59"/>
      <c r="AK21" s="59" t="str">
        <f t="array" ref="AK21">IFERROR(INDEX($AI$11:$AI$259, MATCH(0, IF(TRUE=$AF$11:$AF$259, COUNTIF($AK$10:$AK20, $AI$11:$AI$259), ""), 0)),"")</f>
        <v/>
      </c>
      <c r="AL21" s="59" t="str">
        <f t="array" ref="AL21">IFERROR(INDEX($AI$11:$AI$259, MATCH(0, IF(TRUE=$AG$11:$AG$259, COUNTIF($AL$10:$AL20, $AI$11:$AI$259), ""), 0)),"")</f>
        <v/>
      </c>
      <c r="AM21" s="59" t="str">
        <f t="array" ref="AM21">IFERROR(INDEX($AI$11:$AI$259, MATCH(0, IF(TRUE=$AH$11:$AH$259, COUNTIF($AM$10:$AM20, $AI$11:$AI$259), ""), 0)),"")</f>
        <v/>
      </c>
      <c r="AN21" s="59"/>
      <c r="AQ21" s="52">
        <f t="shared" si="2"/>
        <v>0</v>
      </c>
    </row>
    <row r="22" spans="1:43" x14ac:dyDescent="0.25">
      <c r="A22" s="52" t="str">
        <f>IFERROR(INDEX('G-1 All Habitats'!$AG$3:$AG$15,MATCH(E22,'G-1 All Habitats'!$AF$3:$AF$15,0)),"")</f>
        <v/>
      </c>
      <c r="B22" s="52" t="str">
        <f>IFERROR(INDEX('G-8 Condition Look up'!$I$4:$I$131,MATCH(G22,'G-8 Condition Look up'!$A$4:$A$131,0)),"")</f>
        <v/>
      </c>
      <c r="D22" s="89">
        <v>12</v>
      </c>
      <c r="E22" s="90"/>
      <c r="F22" s="91"/>
      <c r="G22" s="75" t="str">
        <f>IFERROR(INDEX('G-1 All Habitats'!$B$3:$B$130,MATCH(F22,'G-1 All Habitats'!$A$3:$A$130,0)),"")</f>
        <v/>
      </c>
      <c r="H22" s="76"/>
      <c r="I22" s="77" t="str">
        <f>IF(G22="","",VLOOKUP(G22,'G-1 All Habitats'!$B$2:$M$130,10,FALSE))</f>
        <v/>
      </c>
      <c r="J22" s="78" t="str">
        <f>IFERROR(VLOOKUP(I22,'G-1 All Habitats'!$V$3:$W$7,2,FALSE),"")</f>
        <v/>
      </c>
      <c r="K22" s="79"/>
      <c r="L22" s="78" t="str">
        <f>IFERROR(INDEX('G-8 Condition Look up'!$A$3:$H$131,MATCH(G22,'G-8 Condition Look up'!$A$3:$A$131,0),MATCH(K22,'G-8 Condition Look up'!$A$3:$H$3,0)),"")</f>
        <v/>
      </c>
      <c r="M22" s="79"/>
      <c r="N22" s="348" t="str">
        <f>IF(M22="","",IF(VLOOKUP(M22,'G-3 Multipliers'!$L$3:$N$6,2,FALSE)=0,"Spatial Data Missing",VLOOKUP(M22,'G-3 Multipliers'!$L$3:$N$6,2,FALSE)))</f>
        <v/>
      </c>
      <c r="O22" s="569" t="str">
        <f>IF(M22="","",IF(VLOOKUP(M22,'G-3 Multipliers'!$L$3:$N$6,3,FALSE)=0,"Spatial Data Missing",VLOOKUP(M22,'G-3 Multipliers'!$L$3:$N$6,3,FALSE)))</f>
        <v/>
      </c>
      <c r="P22" s="80" t="str">
        <f>IFERROR(VLOOKUP(G22,'G-1 All Habitats'!$B$2:$M$130,12,FALSE),"")</f>
        <v/>
      </c>
      <c r="Q22" s="81" t="str">
        <f>IFERROR(IF(P22="","",IF(AND(P22='G-1 All Habitats'!$X$3,T22&gt;0),U22+V22,IF(AND(P22='G-1 All Habitats'!$X$3,S22&gt;0),U22+V22,IF(AND(P22='G-1 All Habitats'!$X$3,AC22&gt;0),"Any Loss Unacceptable",IF(AND(P22='G-1 All Habitats'!$X$3,W22&gt;0),"Any Loss Unacceptable",H22*J22*L22*O22))))),"Check Data")</f>
        <v/>
      </c>
      <c r="R22" s="55"/>
      <c r="S22" s="79"/>
      <c r="T22" s="82"/>
      <c r="U22" s="83" t="str">
        <f t="shared" si="3"/>
        <v/>
      </c>
      <c r="V22" s="83" t="str">
        <f t="shared" si="4"/>
        <v/>
      </c>
      <c r="W22" s="83" t="str">
        <f>IF(E22="","",IF(H22&lt;S22+T22,"Error in Areas",IF(P22&lt;&gt;'G-1 All Habitats'!$X$3,H22-S22-T22,IF(AND(P22='G-1 All Habitats'!$X$3,Y22="Yes"),"Unacceptable Loss",IF(AND(P22='G-1 All Habitats'!$X$3,Y22="No"),AC22,IF(AND(P22='G-1 All Habitats'!$X$3,Y22=""),AC22,IF(AND(P22='G-1 All Habitats'!$X$3,AC22="None",AC22),IF(AND(P22='G-1 All Habitats'!$X$3,AC22&gt;0),H22-S22-T22))))))))</f>
        <v/>
      </c>
      <c r="X22" s="84" t="str">
        <f>IFERROR(IF(H22="","",IF(H22-S22-T22=0&lt;0,"Error in Areas",IF(S22+T22&gt;H22,"Error in Areas",IF(AND(P22='G-1 All Habitats'!$X$3,Y22="Yes"),"Alternative Compensation",IF(W22=0,0,IF(P22='G-1 All Habitats'!$X$3,"Unacceptable Loss",Q22-U22-V22)))))),"Check Data")</f>
        <v/>
      </c>
      <c r="Y22" s="82"/>
      <c r="Z22" s="92"/>
      <c r="AA22" s="93"/>
      <c r="AC22" s="87" t="str">
        <f>IF(P22="","",IF(P22='G-1 All Habitats'!$X$3,H22-S22-T22,"None"))</f>
        <v/>
      </c>
      <c r="AD22" s="88" t="str">
        <f>IFERROR(AC22*J22*L22*#REF!*O22,IF(P22="","","None"))</f>
        <v/>
      </c>
      <c r="AF22" s="59" t="str">
        <f t="shared" si="0"/>
        <v/>
      </c>
      <c r="AG22" s="59" t="str">
        <f t="shared" si="1"/>
        <v/>
      </c>
      <c r="AH22" s="59" t="str">
        <f>IF(I22="","",IF(#REF!&gt;0,TRUE,FALSE))</f>
        <v/>
      </c>
      <c r="AI22" s="59">
        <v>12</v>
      </c>
      <c r="AJ22" s="59"/>
      <c r="AK22" s="59" t="str">
        <f t="array" ref="AK22">IFERROR(INDEX($AI$11:$AI$259, MATCH(0, IF(TRUE=$AF$11:$AF$259, COUNTIF($AK$10:$AK21, $AI$11:$AI$259), ""), 0)),"")</f>
        <v/>
      </c>
      <c r="AL22" s="59" t="str">
        <f t="array" ref="AL22">IFERROR(INDEX($AI$11:$AI$259, MATCH(0, IF(TRUE=$AG$11:$AG$259, COUNTIF($AL$10:$AL21, $AI$11:$AI$259), ""), 0)),"")</f>
        <v/>
      </c>
      <c r="AM22" s="59" t="str">
        <f t="array" ref="AM22">IFERROR(INDEX($AI$11:$AI$259, MATCH(0, IF(TRUE=$AH$11:$AH$259, COUNTIF($AM$10:$AM21, $AI$11:$AI$259), ""), 0)),"")</f>
        <v/>
      </c>
      <c r="AN22" s="59"/>
      <c r="AQ22" s="52">
        <f t="shared" si="2"/>
        <v>0</v>
      </c>
    </row>
    <row r="23" spans="1:43" x14ac:dyDescent="0.25">
      <c r="A23" s="52" t="str">
        <f>IFERROR(INDEX('G-1 All Habitats'!$AG$3:$AG$15,MATCH(E23,'G-1 All Habitats'!$AF$3:$AF$15,0)),"")</f>
        <v/>
      </c>
      <c r="B23" s="52" t="str">
        <f>IFERROR(INDEX('G-8 Condition Look up'!$I$4:$I$131,MATCH(G23,'G-8 Condition Look up'!$A$4:$A$131,0)),"")</f>
        <v/>
      </c>
      <c r="D23" s="89">
        <v>13</v>
      </c>
      <c r="E23" s="90"/>
      <c r="F23" s="91"/>
      <c r="G23" s="75" t="str">
        <f>IFERROR(INDEX('G-1 All Habitats'!$B$3:$B$130,MATCH(F23,'G-1 All Habitats'!$A$3:$A$130,0)),"")</f>
        <v/>
      </c>
      <c r="H23" s="76"/>
      <c r="I23" s="77" t="str">
        <f>IF(G23="","",VLOOKUP(G23,'G-1 All Habitats'!$B$2:$M$130,10,FALSE))</f>
        <v/>
      </c>
      <c r="J23" s="78" t="str">
        <f>IFERROR(VLOOKUP(I23,'G-1 All Habitats'!$V$3:$W$7,2,FALSE),"")</f>
        <v/>
      </c>
      <c r="K23" s="79"/>
      <c r="L23" s="78" t="str">
        <f>IFERROR(INDEX('G-8 Condition Look up'!$A$3:$H$131,MATCH(G23,'G-8 Condition Look up'!$A$3:$A$131,0),MATCH(K23,'G-8 Condition Look up'!$A$3:$H$3,0)),"")</f>
        <v/>
      </c>
      <c r="M23" s="79"/>
      <c r="N23" s="348" t="str">
        <f>IF(M23="","",IF(VLOOKUP(M23,'G-3 Multipliers'!$L$3:$N$6,2,FALSE)=0,"Spatial Data Missing",VLOOKUP(M23,'G-3 Multipliers'!$L$3:$N$6,2,FALSE)))</f>
        <v/>
      </c>
      <c r="O23" s="569" t="str">
        <f>IF(M23="","",IF(VLOOKUP(M23,'G-3 Multipliers'!$L$3:$N$6,3,FALSE)=0,"Spatial Data Missing",VLOOKUP(M23,'G-3 Multipliers'!$L$3:$N$6,3,FALSE)))</f>
        <v/>
      </c>
      <c r="P23" s="80" t="str">
        <f>IFERROR(VLOOKUP(G23,'G-1 All Habitats'!$B$2:$M$130,12,FALSE),"")</f>
        <v/>
      </c>
      <c r="Q23" s="81" t="str">
        <f>IFERROR(IF(P23="","",IF(AND(P23='G-1 All Habitats'!$X$3,T23&gt;0),U23+V23,IF(AND(P23='G-1 All Habitats'!$X$3,S23&gt;0),U23+V23,IF(AND(P23='G-1 All Habitats'!$X$3,AC23&gt;0),"Any Loss Unacceptable",IF(AND(P23='G-1 All Habitats'!$X$3,W23&gt;0),"Any Loss Unacceptable",H23*J23*L23*O23))))),"Check Data")</f>
        <v/>
      </c>
      <c r="R23" s="55"/>
      <c r="S23" s="79"/>
      <c r="T23" s="82"/>
      <c r="U23" s="83" t="str">
        <f t="shared" si="3"/>
        <v/>
      </c>
      <c r="V23" s="83" t="str">
        <f t="shared" si="4"/>
        <v/>
      </c>
      <c r="W23" s="83" t="str">
        <f>IF(E23="","",IF(H23&lt;S23+T23,"Error in Areas",IF(P23&lt;&gt;'G-1 All Habitats'!$X$3,H23-S23-T23,IF(AND(P23='G-1 All Habitats'!$X$3,Y23="Yes"),"Unacceptable Loss",IF(AND(P23='G-1 All Habitats'!$X$3,Y23="No"),AC23,IF(AND(P23='G-1 All Habitats'!$X$3,Y23=""),AC23,IF(AND(P23='G-1 All Habitats'!$X$3,AC23="None",AC23),IF(AND(P23='G-1 All Habitats'!$X$3,AC23&gt;0),H23-S23-T23))))))))</f>
        <v/>
      </c>
      <c r="X23" s="84" t="str">
        <f>IFERROR(IF(H23="","",IF(H23-S23-T23=0&lt;0,"Error in Areas",IF(S23+T23&gt;H23,"Error in Areas",IF(AND(P23='G-1 All Habitats'!$X$3,Y23="Yes"),"Alternative Compensation",IF(W23=0,0,IF(P23='G-1 All Habitats'!$X$3,"Unacceptable Loss",Q23-U23-V23)))))),"Check Data")</f>
        <v/>
      </c>
      <c r="Y23" s="82"/>
      <c r="Z23" s="92"/>
      <c r="AA23" s="93"/>
      <c r="AC23" s="87" t="str">
        <f>IF(P23="","",IF(P23='G-1 All Habitats'!$X$3,H23-S23-T23,"None"))</f>
        <v/>
      </c>
      <c r="AD23" s="88" t="str">
        <f>IFERROR(AC23*J23*L23*#REF!*O23,IF(P23="","","None"))</f>
        <v/>
      </c>
      <c r="AF23" s="59" t="str">
        <f t="shared" si="0"/>
        <v/>
      </c>
      <c r="AG23" s="59" t="str">
        <f t="shared" si="1"/>
        <v/>
      </c>
      <c r="AH23" s="59" t="str">
        <f>IF(I23="","",IF(#REF!&gt;0,TRUE,FALSE))</f>
        <v/>
      </c>
      <c r="AI23" s="59">
        <v>13</v>
      </c>
      <c r="AJ23" s="59"/>
      <c r="AK23" s="59" t="str">
        <f t="array" ref="AK23">IFERROR(INDEX($AI$11:$AI$259, MATCH(0, IF(TRUE=$AF$11:$AF$259, COUNTIF($AK$10:$AK22, $AI$11:$AI$259), ""), 0)),"")</f>
        <v/>
      </c>
      <c r="AL23" s="59" t="str">
        <f t="array" ref="AL23">IFERROR(INDEX($AI$11:$AI$259, MATCH(0, IF(TRUE=$AG$11:$AG$259, COUNTIF($AL$10:$AL22, $AI$11:$AI$259), ""), 0)),"")</f>
        <v/>
      </c>
      <c r="AM23" s="59" t="str">
        <f t="array" ref="AM23">IFERROR(INDEX($AI$11:$AI$259, MATCH(0, IF(TRUE=$AH$11:$AH$259, COUNTIF($AM$10:$AM22, $AI$11:$AI$259), ""), 0)),"")</f>
        <v/>
      </c>
      <c r="AN23" s="59"/>
      <c r="AQ23" s="52">
        <f t="shared" si="2"/>
        <v>0</v>
      </c>
    </row>
    <row r="24" spans="1:43" x14ac:dyDescent="0.25">
      <c r="A24" s="52" t="str">
        <f>IFERROR(INDEX('G-1 All Habitats'!$AG$3:$AG$15,MATCH(E24,'G-1 All Habitats'!$AF$3:$AF$15,0)),"")</f>
        <v/>
      </c>
      <c r="B24" s="52" t="str">
        <f>IFERROR(INDEX('G-8 Condition Look up'!$I$4:$I$131,MATCH(G24,'G-8 Condition Look up'!$A$4:$A$131,0)),"")</f>
        <v/>
      </c>
      <c r="D24" s="89">
        <v>14</v>
      </c>
      <c r="E24" s="90"/>
      <c r="F24" s="91"/>
      <c r="G24" s="75" t="str">
        <f>IFERROR(INDEX('G-1 All Habitats'!$B$3:$B$130,MATCH(F24,'G-1 All Habitats'!$A$3:$A$130,0)),"")</f>
        <v/>
      </c>
      <c r="H24" s="76"/>
      <c r="I24" s="77" t="str">
        <f>IF(G24="","",VLOOKUP(G24,'G-1 All Habitats'!$B$2:$M$130,10,FALSE))</f>
        <v/>
      </c>
      <c r="J24" s="78" t="str">
        <f>IFERROR(VLOOKUP(I24,'G-1 All Habitats'!$V$3:$W$7,2,FALSE),"")</f>
        <v/>
      </c>
      <c r="K24" s="79"/>
      <c r="L24" s="78" t="str">
        <f>IFERROR(INDEX('G-8 Condition Look up'!$A$3:$H$131,MATCH(G24,'G-8 Condition Look up'!$A$3:$A$131,0),MATCH(K24,'G-8 Condition Look up'!$A$3:$H$3,0)),"")</f>
        <v/>
      </c>
      <c r="M24" s="79"/>
      <c r="N24" s="348" t="str">
        <f>IF(M24="","",IF(VLOOKUP(M24,'G-3 Multipliers'!$L$3:$N$6,2,FALSE)=0,"Spatial Data Missing",VLOOKUP(M24,'G-3 Multipliers'!$L$3:$N$6,2,FALSE)))</f>
        <v/>
      </c>
      <c r="O24" s="569" t="str">
        <f>IF(M24="","",IF(VLOOKUP(M24,'G-3 Multipliers'!$L$3:$N$6,3,FALSE)=0,"Spatial Data Missing",VLOOKUP(M24,'G-3 Multipliers'!$L$3:$N$6,3,FALSE)))</f>
        <v/>
      </c>
      <c r="P24" s="80" t="str">
        <f>IFERROR(VLOOKUP(G24,'G-1 All Habitats'!$B$2:$M$130,12,FALSE),"")</f>
        <v/>
      </c>
      <c r="Q24" s="81" t="str">
        <f>IFERROR(IF(P24="","",IF(AND(P24='G-1 All Habitats'!$X$3,T24&gt;0),U24+V24,IF(AND(P24='G-1 All Habitats'!$X$3,S24&gt;0),U24+V24,IF(AND(P24='G-1 All Habitats'!$X$3,AC24&gt;0),"Any Loss Unacceptable",IF(AND(P24='G-1 All Habitats'!$X$3,W24&gt;0),"Any Loss Unacceptable",H24*J24*L24*O24))))),"Check Data")</f>
        <v/>
      </c>
      <c r="R24" s="55"/>
      <c r="S24" s="79"/>
      <c r="T24" s="82"/>
      <c r="U24" s="83" t="str">
        <f t="shared" si="3"/>
        <v/>
      </c>
      <c r="V24" s="83" t="str">
        <f t="shared" si="4"/>
        <v/>
      </c>
      <c r="W24" s="83" t="str">
        <f>IF(E24="","",IF(H24&lt;S24+T24,"Error in Areas",IF(P24&lt;&gt;'G-1 All Habitats'!$X$3,H24-S24-T24,IF(AND(P24='G-1 All Habitats'!$X$3,Y24="Yes"),"Unacceptable Loss",IF(AND(P24='G-1 All Habitats'!$X$3,Y24="No"),AC24,IF(AND(P24='G-1 All Habitats'!$X$3,Y24=""),AC24,IF(AND(P24='G-1 All Habitats'!$X$3,AC24="None",AC24),IF(AND(P24='G-1 All Habitats'!$X$3,AC24&gt;0),H24-S24-T24))))))))</f>
        <v/>
      </c>
      <c r="X24" s="84" t="str">
        <f>IFERROR(IF(H24="","",IF(H24-S24-T24=0&lt;0,"Error in Areas",IF(S24+T24&gt;H24,"Error in Areas",IF(AND(P24='G-1 All Habitats'!$X$3,Y24="Yes"),"Alternative Compensation",IF(W24=0,0,IF(P24='G-1 All Habitats'!$X$3,"Unacceptable Loss",Q24-U24-V24)))))),"Check Data")</f>
        <v/>
      </c>
      <c r="Y24" s="82"/>
      <c r="Z24" s="92"/>
      <c r="AA24" s="93"/>
      <c r="AC24" s="87" t="str">
        <f>IF(P24="","",IF(P24='G-1 All Habitats'!$X$3,H24-S24-T24,"None"))</f>
        <v/>
      </c>
      <c r="AD24" s="88" t="str">
        <f>IFERROR(AC24*J24*L24*#REF!*O24,IF(P24="","","None"))</f>
        <v/>
      </c>
      <c r="AF24" s="59" t="str">
        <f t="shared" si="0"/>
        <v/>
      </c>
      <c r="AG24" s="59" t="str">
        <f t="shared" si="1"/>
        <v/>
      </c>
      <c r="AH24" s="59" t="str">
        <f>IF(I24="","",IF(#REF!&gt;0,TRUE,FALSE))</f>
        <v/>
      </c>
      <c r="AI24" s="59">
        <v>14</v>
      </c>
      <c r="AJ24" s="59"/>
      <c r="AK24" s="59" t="str">
        <f t="array" ref="AK24">IFERROR(INDEX($AI$11:$AI$259, MATCH(0, IF(TRUE=$AF$11:$AF$259, COUNTIF($AK$10:$AK23, $AI$11:$AI$259), ""), 0)),"")</f>
        <v/>
      </c>
      <c r="AL24" s="59" t="str">
        <f t="array" ref="AL24">IFERROR(INDEX($AI$11:$AI$259, MATCH(0, IF(TRUE=$AG$11:$AG$259, COUNTIF($AL$10:$AL23, $AI$11:$AI$259), ""), 0)),"")</f>
        <v/>
      </c>
      <c r="AM24" s="59" t="str">
        <f t="array" ref="AM24">IFERROR(INDEX($AI$11:$AI$259, MATCH(0, IF(TRUE=$AH$11:$AH$259, COUNTIF($AM$10:$AM23, $AI$11:$AI$259), ""), 0)),"")</f>
        <v/>
      </c>
      <c r="AN24" s="59"/>
      <c r="AQ24" s="52">
        <f t="shared" si="2"/>
        <v>0</v>
      </c>
    </row>
    <row r="25" spans="1:43" x14ac:dyDescent="0.25">
      <c r="A25" s="52" t="str">
        <f>IFERROR(INDEX('G-1 All Habitats'!$AG$3:$AG$15,MATCH(E25,'G-1 All Habitats'!$AF$3:$AF$15,0)),"")</f>
        <v/>
      </c>
      <c r="B25" s="52" t="str">
        <f>IFERROR(INDEX('G-8 Condition Look up'!$I$4:$I$131,MATCH(G25,'G-8 Condition Look up'!$A$4:$A$131,0)),"")</f>
        <v/>
      </c>
      <c r="D25" s="89">
        <v>15</v>
      </c>
      <c r="E25" s="90"/>
      <c r="F25" s="91"/>
      <c r="G25" s="75" t="str">
        <f>IFERROR(INDEX('G-1 All Habitats'!$B$3:$B$130,MATCH(F25,'G-1 All Habitats'!$A$3:$A$130,0)),"")</f>
        <v/>
      </c>
      <c r="H25" s="76"/>
      <c r="I25" s="77" t="str">
        <f>IF(G25="","",VLOOKUP(G25,'G-1 All Habitats'!$B$2:$M$130,10,FALSE))</f>
        <v/>
      </c>
      <c r="J25" s="78" t="str">
        <f>IFERROR(VLOOKUP(I25,'G-1 All Habitats'!$V$3:$W$7,2,FALSE),"")</f>
        <v/>
      </c>
      <c r="K25" s="79"/>
      <c r="L25" s="78" t="str">
        <f>IFERROR(INDEX('G-8 Condition Look up'!$A$3:$H$131,MATCH(G25,'G-8 Condition Look up'!$A$3:$A$131,0),MATCH(K25,'G-8 Condition Look up'!$A$3:$H$3,0)),"")</f>
        <v/>
      </c>
      <c r="M25" s="79"/>
      <c r="N25" s="348" t="str">
        <f>IF(M25="","",IF(VLOOKUP(M25,'G-3 Multipliers'!$L$3:$N$6,2,FALSE)=0,"Spatial Data Missing",VLOOKUP(M25,'G-3 Multipliers'!$L$3:$N$6,2,FALSE)))</f>
        <v/>
      </c>
      <c r="O25" s="569" t="str">
        <f>IF(M25="","",IF(VLOOKUP(M25,'G-3 Multipliers'!$L$3:$N$6,3,FALSE)=0,"Spatial Data Missing",VLOOKUP(M25,'G-3 Multipliers'!$L$3:$N$6,3,FALSE)))</f>
        <v/>
      </c>
      <c r="P25" s="80" t="str">
        <f>IFERROR(VLOOKUP(G25,'G-1 All Habitats'!$B$2:$M$130,12,FALSE),"")</f>
        <v/>
      </c>
      <c r="Q25" s="81" t="str">
        <f>IFERROR(IF(P25="","",IF(AND(P25='G-1 All Habitats'!$X$3,T25&gt;0),U25+V25,IF(AND(P25='G-1 All Habitats'!$X$3,S25&gt;0),U25+V25,IF(AND(P25='G-1 All Habitats'!$X$3,AC25&gt;0),"Any Loss Unacceptable",IF(AND(P25='G-1 All Habitats'!$X$3,W25&gt;0),"Any Loss Unacceptable",H25*J25*L25*O25))))),"Check Data")</f>
        <v/>
      </c>
      <c r="R25" s="55"/>
      <c r="S25" s="79"/>
      <c r="T25" s="82"/>
      <c r="U25" s="83" t="str">
        <f t="shared" si="3"/>
        <v/>
      </c>
      <c r="V25" s="83" t="str">
        <f t="shared" si="4"/>
        <v/>
      </c>
      <c r="W25" s="83" t="str">
        <f>IF(E25="","",IF(H25&lt;S25+T25,"Error in Areas",IF(P25&lt;&gt;'G-1 All Habitats'!$X$3,H25-S25-T25,IF(AND(P25='G-1 All Habitats'!$X$3,Y25="Yes"),"Unacceptable Loss",IF(AND(P25='G-1 All Habitats'!$X$3,Y25="No"),AC25,IF(AND(P25='G-1 All Habitats'!$X$3,Y25=""),AC25,IF(AND(P25='G-1 All Habitats'!$X$3,AC25="None",AC25),IF(AND(P25='G-1 All Habitats'!$X$3,AC25&gt;0),H25-S25-T25))))))))</f>
        <v/>
      </c>
      <c r="X25" s="84" t="str">
        <f>IFERROR(IF(H25="","",IF(H25-S25-T25=0&lt;0,"Error in Areas",IF(S25+T25&gt;H25,"Error in Areas",IF(AND(P25='G-1 All Habitats'!$X$3,Y25="Yes"),"Alternative Compensation",IF(W25=0,0,IF(P25='G-1 All Habitats'!$X$3,"Unacceptable Loss",Q25-U25-V25)))))),"Check Data")</f>
        <v/>
      </c>
      <c r="Y25" s="82"/>
      <c r="Z25" s="92"/>
      <c r="AA25" s="93"/>
      <c r="AC25" s="87" t="str">
        <f>IF(P25="","",IF(P25='G-1 All Habitats'!$X$3,H25-S25-T25,"None"))</f>
        <v/>
      </c>
      <c r="AD25" s="88" t="str">
        <f>IFERROR(AC25*J25*L25*#REF!*O25,IF(P25="","","None"))</f>
        <v/>
      </c>
      <c r="AF25" s="59" t="str">
        <f t="shared" si="0"/>
        <v/>
      </c>
      <c r="AG25" s="59" t="str">
        <f t="shared" si="1"/>
        <v/>
      </c>
      <c r="AH25" s="59" t="str">
        <f>IF(I25="","",IF(#REF!&gt;0,TRUE,FALSE))</f>
        <v/>
      </c>
      <c r="AI25" s="59">
        <v>15</v>
      </c>
      <c r="AJ25" s="59"/>
      <c r="AK25" s="59" t="str">
        <f t="array" ref="AK25">IFERROR(INDEX($AI$11:$AI$259, MATCH(0, IF(TRUE=$AF$11:$AF$259, COUNTIF($AK$10:$AK24, $AI$11:$AI$259), ""), 0)),"")</f>
        <v/>
      </c>
      <c r="AL25" s="59" t="str">
        <f t="array" ref="AL25">IFERROR(INDEX($AI$11:$AI$259, MATCH(0, IF(TRUE=$AG$11:$AG$259, COUNTIF($AL$10:$AL24, $AI$11:$AI$259), ""), 0)),"")</f>
        <v/>
      </c>
      <c r="AM25" s="59" t="str">
        <f t="array" ref="AM25">IFERROR(INDEX($AI$11:$AI$259, MATCH(0, IF(TRUE=$AH$11:$AH$259, COUNTIF($AM$10:$AM24, $AI$11:$AI$259), ""), 0)),"")</f>
        <v/>
      </c>
      <c r="AN25" s="59"/>
      <c r="AQ25" s="52">
        <f t="shared" si="2"/>
        <v>0</v>
      </c>
    </row>
    <row r="26" spans="1:43" x14ac:dyDescent="0.25">
      <c r="A26" s="52" t="str">
        <f>IFERROR(INDEX('G-1 All Habitats'!$AG$3:$AG$15,MATCH(E26,'G-1 All Habitats'!$AF$3:$AF$15,0)),"")</f>
        <v/>
      </c>
      <c r="B26" s="52" t="str">
        <f>IFERROR(INDEX('G-8 Condition Look up'!$I$4:$I$131,MATCH(G26,'G-8 Condition Look up'!$A$4:$A$131,0)),"")</f>
        <v/>
      </c>
      <c r="D26" s="89">
        <v>16</v>
      </c>
      <c r="E26" s="90"/>
      <c r="F26" s="91"/>
      <c r="G26" s="75" t="str">
        <f>IFERROR(INDEX('G-1 All Habitats'!$B$3:$B$130,MATCH(F26,'G-1 All Habitats'!$A$3:$A$130,0)),"")</f>
        <v/>
      </c>
      <c r="H26" s="76"/>
      <c r="I26" s="77" t="str">
        <f>IF(G26="","",VLOOKUP(G26,'G-1 All Habitats'!$B$2:$M$130,10,FALSE))</f>
        <v/>
      </c>
      <c r="J26" s="78" t="str">
        <f>IFERROR(VLOOKUP(I26,'G-1 All Habitats'!$V$3:$W$7,2,FALSE),"")</f>
        <v/>
      </c>
      <c r="K26" s="79"/>
      <c r="L26" s="78" t="str">
        <f>IFERROR(INDEX('G-8 Condition Look up'!$A$3:$H$131,MATCH(G26,'G-8 Condition Look up'!$A$3:$A$131,0),MATCH(K26,'G-8 Condition Look up'!$A$3:$H$3,0)),"")</f>
        <v/>
      </c>
      <c r="M26" s="79"/>
      <c r="N26" s="348" t="str">
        <f>IF(M26="","",IF(VLOOKUP(M26,'G-3 Multipliers'!$L$3:$N$6,2,FALSE)=0,"Spatial Data Missing",VLOOKUP(M26,'G-3 Multipliers'!$L$3:$N$6,2,FALSE)))</f>
        <v/>
      </c>
      <c r="O26" s="569" t="str">
        <f>IF(M26="","",IF(VLOOKUP(M26,'G-3 Multipliers'!$L$3:$N$6,3,FALSE)=0,"Spatial Data Missing",VLOOKUP(M26,'G-3 Multipliers'!$L$3:$N$6,3,FALSE)))</f>
        <v/>
      </c>
      <c r="P26" s="80" t="str">
        <f>IFERROR(VLOOKUP(G26,'G-1 All Habitats'!$B$2:$M$130,12,FALSE),"")</f>
        <v/>
      </c>
      <c r="Q26" s="81" t="str">
        <f>IFERROR(IF(P26="","",IF(AND(P26='G-1 All Habitats'!$X$3,T26&gt;0),U26+V26,IF(AND(P26='G-1 All Habitats'!$X$3,S26&gt;0),U26+V26,IF(AND(P26='G-1 All Habitats'!$X$3,AC26&gt;0),"Any Loss Unacceptable",IF(AND(P26='G-1 All Habitats'!$X$3,W26&gt;0),"Any Loss Unacceptable",H26*J26*L26*O26))))),"Check Data")</f>
        <v/>
      </c>
      <c r="R26" s="55"/>
      <c r="S26" s="79"/>
      <c r="T26" s="82"/>
      <c r="U26" s="83" t="str">
        <f t="shared" si="3"/>
        <v/>
      </c>
      <c r="V26" s="83" t="str">
        <f t="shared" si="4"/>
        <v/>
      </c>
      <c r="W26" s="83" t="str">
        <f>IF(E26="","",IF(H26&lt;S26+T26,"Error in Areas",IF(P26&lt;&gt;'G-1 All Habitats'!$X$3,H26-S26-T26,IF(AND(P26='G-1 All Habitats'!$X$3,Y26="Yes"),"Unacceptable Loss",IF(AND(P26='G-1 All Habitats'!$X$3,Y26="No"),AC26,IF(AND(P26='G-1 All Habitats'!$X$3,Y26=""),AC26,IF(AND(P26='G-1 All Habitats'!$X$3,AC26="None",AC26),IF(AND(P26='G-1 All Habitats'!$X$3,AC26&gt;0),H26-S26-T26))))))))</f>
        <v/>
      </c>
      <c r="X26" s="84" t="str">
        <f>IFERROR(IF(H26="","",IF(H26-S26-T26=0&lt;0,"Error in Areas",IF(S26+T26&gt;H26,"Error in Areas",IF(AND(P26='G-1 All Habitats'!$X$3,Y26="Yes"),"Alternative Compensation",IF(W26=0,0,IF(P26='G-1 All Habitats'!$X$3,"Unacceptable Loss",Q26-U26-V26)))))),"Check Data")</f>
        <v/>
      </c>
      <c r="Y26" s="82"/>
      <c r="Z26" s="92"/>
      <c r="AA26" s="93"/>
      <c r="AC26" s="87" t="str">
        <f>IF(P26="","",IF(P26='G-1 All Habitats'!$X$3,H26-S26-T26,"None"))</f>
        <v/>
      </c>
      <c r="AD26" s="88" t="str">
        <f>IFERROR(AC26*J26*L26*#REF!*O26,IF(P26="","","None"))</f>
        <v/>
      </c>
      <c r="AF26" s="59" t="str">
        <f t="shared" si="0"/>
        <v/>
      </c>
      <c r="AG26" s="59" t="str">
        <f t="shared" si="1"/>
        <v/>
      </c>
      <c r="AH26" s="59" t="str">
        <f>IF(I26="","",IF(#REF!&gt;0,TRUE,FALSE))</f>
        <v/>
      </c>
      <c r="AI26" s="59">
        <v>16</v>
      </c>
      <c r="AJ26" s="59"/>
      <c r="AK26" s="59" t="str">
        <f t="array" ref="AK26">IFERROR(INDEX($AI$11:$AI$259, MATCH(0, IF(TRUE=$AF$11:$AF$259, COUNTIF($AK$10:$AK25, $AI$11:$AI$259), ""), 0)),"")</f>
        <v/>
      </c>
      <c r="AL26" s="59" t="str">
        <f t="array" ref="AL26">IFERROR(INDEX($AI$11:$AI$259, MATCH(0, IF(TRUE=$AG$11:$AG$259, COUNTIF($AL$10:$AL25, $AI$11:$AI$259), ""), 0)),"")</f>
        <v/>
      </c>
      <c r="AM26" s="59" t="str">
        <f t="array" ref="AM26">IFERROR(INDEX($AI$11:$AI$259, MATCH(0, IF(TRUE=$AH$11:$AH$259, COUNTIF($AM$10:$AM25, $AI$11:$AI$259), ""), 0)),"")</f>
        <v/>
      </c>
      <c r="AN26" s="59"/>
      <c r="AQ26" s="52">
        <f t="shared" si="2"/>
        <v>0</v>
      </c>
    </row>
    <row r="27" spans="1:43" x14ac:dyDescent="0.25">
      <c r="A27" s="52" t="str">
        <f>IFERROR(INDEX('G-1 All Habitats'!$AG$3:$AG$15,MATCH(E27,'G-1 All Habitats'!$AF$3:$AF$15,0)),"")</f>
        <v/>
      </c>
      <c r="B27" s="52" t="str">
        <f>IFERROR(INDEX('G-8 Condition Look up'!$I$4:$I$131,MATCH(G27,'G-8 Condition Look up'!$A$4:$A$131,0)),"")</f>
        <v/>
      </c>
      <c r="D27" s="89">
        <v>17</v>
      </c>
      <c r="E27" s="90"/>
      <c r="F27" s="91"/>
      <c r="G27" s="75" t="str">
        <f>IFERROR(INDEX('G-1 All Habitats'!$B$3:$B$130,MATCH(F27,'G-1 All Habitats'!$A$3:$A$130,0)),"")</f>
        <v/>
      </c>
      <c r="H27" s="76"/>
      <c r="I27" s="77" t="str">
        <f>IF(G27="","",VLOOKUP(G27,'G-1 All Habitats'!$B$2:$M$130,10,FALSE))</f>
        <v/>
      </c>
      <c r="J27" s="78" t="str">
        <f>IFERROR(VLOOKUP(I27,'G-1 All Habitats'!$V$3:$W$7,2,FALSE),"")</f>
        <v/>
      </c>
      <c r="K27" s="79"/>
      <c r="L27" s="78" t="str">
        <f>IFERROR(INDEX('G-8 Condition Look up'!$A$3:$H$131,MATCH(G27,'G-8 Condition Look up'!$A$3:$A$131,0),MATCH(K27,'G-8 Condition Look up'!$A$3:$H$3,0)),"")</f>
        <v/>
      </c>
      <c r="M27" s="79"/>
      <c r="N27" s="348" t="str">
        <f>IF(M27="","",IF(VLOOKUP(M27,'G-3 Multipliers'!$L$3:$N$6,2,FALSE)=0,"Spatial Data Missing",VLOOKUP(M27,'G-3 Multipliers'!$L$3:$N$6,2,FALSE)))</f>
        <v/>
      </c>
      <c r="O27" s="569" t="str">
        <f>IF(M27="","",IF(VLOOKUP(M27,'G-3 Multipliers'!$L$3:$N$6,3,FALSE)=0,"Spatial Data Missing",VLOOKUP(M27,'G-3 Multipliers'!$L$3:$N$6,3,FALSE)))</f>
        <v/>
      </c>
      <c r="P27" s="80" t="str">
        <f>IFERROR(VLOOKUP(G27,'G-1 All Habitats'!$B$2:$M$130,12,FALSE),"")</f>
        <v/>
      </c>
      <c r="Q27" s="81" t="str">
        <f>IFERROR(IF(P27="","",IF(AND(P27='G-1 All Habitats'!$X$3,T27&gt;0),U27+V27,IF(AND(P27='G-1 All Habitats'!$X$3,S27&gt;0),U27+V27,IF(AND(P27='G-1 All Habitats'!$X$3,AC27&gt;0),"Any Loss Unacceptable",IF(AND(P27='G-1 All Habitats'!$X$3,W27&gt;0),"Any Loss Unacceptable",H27*J27*L27*O27))))),"Check Data")</f>
        <v/>
      </c>
      <c r="R27" s="55"/>
      <c r="S27" s="79"/>
      <c r="T27" s="82"/>
      <c r="U27" s="83" t="str">
        <f t="shared" si="3"/>
        <v/>
      </c>
      <c r="V27" s="83" t="str">
        <f t="shared" si="4"/>
        <v/>
      </c>
      <c r="W27" s="83" t="str">
        <f>IF(E27="","",IF(H27&lt;S27+T27,"Error in Areas",IF(P27&lt;&gt;'G-1 All Habitats'!$X$3,H27-S27-T27,IF(AND(P27='G-1 All Habitats'!$X$3,Y27="Yes"),"Unacceptable Loss",IF(AND(P27='G-1 All Habitats'!$X$3,Y27="No"),AC27,IF(AND(P27='G-1 All Habitats'!$X$3,Y27=""),AC27,IF(AND(P27='G-1 All Habitats'!$X$3,AC27="None",AC27),IF(AND(P27='G-1 All Habitats'!$X$3,AC27&gt;0),H27-S27-T27))))))))</f>
        <v/>
      </c>
      <c r="X27" s="84" t="str">
        <f>IFERROR(IF(H27="","",IF(H27-S27-T27=0&lt;0,"Error in Areas",IF(S27+T27&gt;H27,"Error in Areas",IF(AND(P27='G-1 All Habitats'!$X$3,Y27="Yes"),"Alternative Compensation",IF(W27=0,0,IF(P27='G-1 All Habitats'!$X$3,"Unacceptable Loss",Q27-U27-V27)))))),"Check Data")</f>
        <v/>
      </c>
      <c r="Y27" s="82"/>
      <c r="Z27" s="92"/>
      <c r="AA27" s="93"/>
      <c r="AC27" s="87" t="str">
        <f>IF(P27="","",IF(P27='G-1 All Habitats'!$X$3,H27-S27-T27,"None"))</f>
        <v/>
      </c>
      <c r="AD27" s="88" t="str">
        <f>IFERROR(AC27*J27*L27*#REF!*O27,IF(P27="","","None"))</f>
        <v/>
      </c>
      <c r="AF27" s="59" t="str">
        <f t="shared" si="0"/>
        <v/>
      </c>
      <c r="AG27" s="59" t="str">
        <f t="shared" si="1"/>
        <v/>
      </c>
      <c r="AH27" s="59" t="str">
        <f>IF(I27="","",IF(#REF!&gt;0,TRUE,FALSE))</f>
        <v/>
      </c>
      <c r="AI27" s="59">
        <v>17</v>
      </c>
      <c r="AJ27" s="59"/>
      <c r="AK27" s="59" t="str">
        <f t="array" ref="AK27">IFERROR(INDEX($AI$11:$AI$259, MATCH(0, IF(TRUE=$AF$11:$AF$259, COUNTIF($AK$10:$AK26, $AI$11:$AI$259), ""), 0)),"")</f>
        <v/>
      </c>
      <c r="AL27" s="59" t="str">
        <f t="array" ref="AL27">IFERROR(INDEX($AI$11:$AI$259, MATCH(0, IF(TRUE=$AG$11:$AG$259, COUNTIF($AL$10:$AL26, $AI$11:$AI$259), ""), 0)),"")</f>
        <v/>
      </c>
      <c r="AM27" s="59" t="str">
        <f t="array" ref="AM27">IFERROR(INDEX($AI$11:$AI$259, MATCH(0, IF(TRUE=$AH$11:$AH$259, COUNTIF($AM$10:$AM26, $AI$11:$AI$259), ""), 0)),"")</f>
        <v/>
      </c>
      <c r="AN27" s="59"/>
      <c r="AQ27" s="52">
        <f t="shared" si="2"/>
        <v>0</v>
      </c>
    </row>
    <row r="28" spans="1:43" x14ac:dyDescent="0.25">
      <c r="A28" s="52" t="str">
        <f>IFERROR(INDEX('G-1 All Habitats'!$AG$3:$AG$15,MATCH(E28,'G-1 All Habitats'!$AF$3:$AF$15,0)),"")</f>
        <v/>
      </c>
      <c r="B28" s="52" t="str">
        <f>IFERROR(INDEX('G-8 Condition Look up'!$I$4:$I$131,MATCH(G28,'G-8 Condition Look up'!$A$4:$A$131,0)),"")</f>
        <v/>
      </c>
      <c r="D28" s="89">
        <v>18</v>
      </c>
      <c r="E28" s="90"/>
      <c r="F28" s="91"/>
      <c r="G28" s="75" t="str">
        <f>IFERROR(INDEX('G-1 All Habitats'!$B$3:$B$130,MATCH(F28,'G-1 All Habitats'!$A$3:$A$130,0)),"")</f>
        <v/>
      </c>
      <c r="H28" s="76"/>
      <c r="I28" s="77" t="str">
        <f>IF(G28="","",VLOOKUP(G28,'G-1 All Habitats'!$B$2:$M$130,10,FALSE))</f>
        <v/>
      </c>
      <c r="J28" s="78" t="str">
        <f>IFERROR(VLOOKUP(I28,'G-1 All Habitats'!$V$3:$W$7,2,FALSE),"")</f>
        <v/>
      </c>
      <c r="K28" s="79"/>
      <c r="L28" s="78" t="str">
        <f>IFERROR(INDEX('G-8 Condition Look up'!$A$3:$H$131,MATCH(G28,'G-8 Condition Look up'!$A$3:$A$131,0),MATCH(K28,'G-8 Condition Look up'!$A$3:$H$3,0)),"")</f>
        <v/>
      </c>
      <c r="M28" s="79"/>
      <c r="N28" s="348" t="str">
        <f>IF(M28="","",IF(VLOOKUP(M28,'G-3 Multipliers'!$L$3:$N$6,2,FALSE)=0,"Spatial Data Missing",VLOOKUP(M28,'G-3 Multipliers'!$L$3:$N$6,2,FALSE)))</f>
        <v/>
      </c>
      <c r="O28" s="569" t="str">
        <f>IF(M28="","",IF(VLOOKUP(M28,'G-3 Multipliers'!$L$3:$N$6,3,FALSE)=0,"Spatial Data Missing",VLOOKUP(M28,'G-3 Multipliers'!$L$3:$N$6,3,FALSE)))</f>
        <v/>
      </c>
      <c r="P28" s="80" t="str">
        <f>IFERROR(VLOOKUP(G28,'G-1 All Habitats'!$B$2:$M$130,12,FALSE),"")</f>
        <v/>
      </c>
      <c r="Q28" s="81" t="str">
        <f>IFERROR(IF(P28="","",IF(AND(P28='G-1 All Habitats'!$X$3,T28&gt;0),U28+V28,IF(AND(P28='G-1 All Habitats'!$X$3,S28&gt;0),U28+V28,IF(AND(P28='G-1 All Habitats'!$X$3,AC28&gt;0),"Any Loss Unacceptable",IF(AND(P28='G-1 All Habitats'!$X$3,W28&gt;0),"Any Loss Unacceptable",H28*J28*L28*O28))))),"Check Data")</f>
        <v/>
      </c>
      <c r="R28" s="55"/>
      <c r="S28" s="79"/>
      <c r="T28" s="82"/>
      <c r="U28" s="83" t="str">
        <f t="shared" si="3"/>
        <v/>
      </c>
      <c r="V28" s="83" t="str">
        <f t="shared" si="4"/>
        <v/>
      </c>
      <c r="W28" s="83" t="str">
        <f>IF(E28="","",IF(H28&lt;S28+T28,"Error in Areas",IF(P28&lt;&gt;'G-1 All Habitats'!$X$3,H28-S28-T28,IF(AND(P28='G-1 All Habitats'!$X$3,Y28="Yes"),"Unacceptable Loss",IF(AND(P28='G-1 All Habitats'!$X$3,Y28="No"),AC28,IF(AND(P28='G-1 All Habitats'!$X$3,Y28=""),AC28,IF(AND(P28='G-1 All Habitats'!$X$3,AC28="None",AC28),IF(AND(P28='G-1 All Habitats'!$X$3,AC28&gt;0),H28-S28-T28))))))))</f>
        <v/>
      </c>
      <c r="X28" s="84" t="str">
        <f>IFERROR(IF(H28="","",IF(H28-S28-T28=0&lt;0,"Error in Areas",IF(S28+T28&gt;H28,"Error in Areas",IF(AND(P28='G-1 All Habitats'!$X$3,Y28="Yes"),"Alternative Compensation",IF(W28=0,0,IF(P28='G-1 All Habitats'!$X$3,"Unacceptable Loss",Q28-U28-V28)))))),"Check Data")</f>
        <v/>
      </c>
      <c r="Y28" s="82"/>
      <c r="Z28" s="92"/>
      <c r="AA28" s="93"/>
      <c r="AC28" s="87" t="str">
        <f>IF(P28="","",IF(P28='G-1 All Habitats'!$X$3,H28-S28-T28,"None"))</f>
        <v/>
      </c>
      <c r="AD28" s="88" t="str">
        <f>IFERROR(AC28*J28*L28*#REF!*O28,IF(P28="","","None"))</f>
        <v/>
      </c>
      <c r="AF28" s="59" t="str">
        <f t="shared" si="0"/>
        <v/>
      </c>
      <c r="AG28" s="59" t="str">
        <f t="shared" si="1"/>
        <v/>
      </c>
      <c r="AH28" s="59" t="str">
        <f>IF(I28="","",IF(#REF!&gt;0,TRUE,FALSE))</f>
        <v/>
      </c>
      <c r="AI28" s="59">
        <v>18</v>
      </c>
      <c r="AJ28" s="59"/>
      <c r="AK28" s="59" t="str">
        <f t="array" ref="AK28">IFERROR(INDEX($AI$11:$AI$259, MATCH(0, IF(TRUE=$AF$11:$AF$259, COUNTIF($AK$10:$AK27, $AI$11:$AI$259), ""), 0)),"")</f>
        <v/>
      </c>
      <c r="AL28" s="59" t="str">
        <f t="array" ref="AL28">IFERROR(INDEX($AI$11:$AI$259, MATCH(0, IF(TRUE=$AG$11:$AG$259, COUNTIF($AL$10:$AL27, $AI$11:$AI$259), ""), 0)),"")</f>
        <v/>
      </c>
      <c r="AM28" s="59" t="str">
        <f t="array" ref="AM28">IFERROR(INDEX($AI$11:$AI$259, MATCH(0, IF(TRUE=$AH$11:$AH$259, COUNTIF($AM$10:$AM27, $AI$11:$AI$259), ""), 0)),"")</f>
        <v/>
      </c>
      <c r="AN28" s="59"/>
      <c r="AQ28" s="52">
        <f t="shared" si="2"/>
        <v>0</v>
      </c>
    </row>
    <row r="29" spans="1:43" x14ac:dyDescent="0.25">
      <c r="A29" s="52" t="str">
        <f>IFERROR(INDEX('G-1 All Habitats'!$AG$3:$AG$15,MATCH(E29,'G-1 All Habitats'!$AF$3:$AF$15,0)),"")</f>
        <v/>
      </c>
      <c r="B29" s="52" t="str">
        <f>IFERROR(INDEX('G-8 Condition Look up'!$I$4:$I$131,MATCH(G29,'G-8 Condition Look up'!$A$4:$A$131,0)),"")</f>
        <v/>
      </c>
      <c r="D29" s="89">
        <v>19</v>
      </c>
      <c r="E29" s="90"/>
      <c r="F29" s="91"/>
      <c r="G29" s="75" t="str">
        <f>IFERROR(INDEX('G-1 All Habitats'!$B$3:$B$130,MATCH(F29,'G-1 All Habitats'!$A$3:$A$130,0)),"")</f>
        <v/>
      </c>
      <c r="H29" s="76"/>
      <c r="I29" s="77" t="str">
        <f>IF(G29="","",VLOOKUP(G29,'G-1 All Habitats'!$B$2:$M$130,10,FALSE))</f>
        <v/>
      </c>
      <c r="J29" s="78" t="str">
        <f>IFERROR(VLOOKUP(I29,'G-1 All Habitats'!$V$3:$W$7,2,FALSE),"")</f>
        <v/>
      </c>
      <c r="K29" s="79"/>
      <c r="L29" s="78" t="str">
        <f>IFERROR(INDEX('G-8 Condition Look up'!$A$3:$H$131,MATCH(G29,'G-8 Condition Look up'!$A$3:$A$131,0),MATCH(K29,'G-8 Condition Look up'!$A$3:$H$3,0)),"")</f>
        <v/>
      </c>
      <c r="M29" s="79"/>
      <c r="N29" s="348" t="str">
        <f>IF(M29="","",IF(VLOOKUP(M29,'G-3 Multipliers'!$L$3:$N$6,2,FALSE)=0,"Spatial Data Missing",VLOOKUP(M29,'G-3 Multipliers'!$L$3:$N$6,2,FALSE)))</f>
        <v/>
      </c>
      <c r="O29" s="569" t="str">
        <f>IF(M29="","",IF(VLOOKUP(M29,'G-3 Multipliers'!$L$3:$N$6,3,FALSE)=0,"Spatial Data Missing",VLOOKUP(M29,'G-3 Multipliers'!$L$3:$N$6,3,FALSE)))</f>
        <v/>
      </c>
      <c r="P29" s="80" t="str">
        <f>IFERROR(VLOOKUP(G29,'G-1 All Habitats'!$B$2:$M$130,12,FALSE),"")</f>
        <v/>
      </c>
      <c r="Q29" s="81" t="str">
        <f>IFERROR(IF(P29="","",IF(AND(P29='G-1 All Habitats'!$X$3,T29&gt;0),U29+V29,IF(AND(P29='G-1 All Habitats'!$X$3,S29&gt;0),U29+V29,IF(AND(P29='G-1 All Habitats'!$X$3,AC29&gt;0),"Any Loss Unacceptable",IF(AND(P29='G-1 All Habitats'!$X$3,W29&gt;0),"Any Loss Unacceptable",H29*J29*L29*O29))))),"Check Data")</f>
        <v/>
      </c>
      <c r="R29" s="55"/>
      <c r="S29" s="79"/>
      <c r="T29" s="82"/>
      <c r="U29" s="83" t="str">
        <f t="shared" si="3"/>
        <v/>
      </c>
      <c r="V29" s="83" t="str">
        <f t="shared" si="4"/>
        <v/>
      </c>
      <c r="W29" s="83" t="str">
        <f>IF(E29="","",IF(H29&lt;S29+T29,"Error in Areas",IF(P29&lt;&gt;'G-1 All Habitats'!$X$3,H29-S29-T29,IF(AND(P29='G-1 All Habitats'!$X$3,Y29="Yes"),"Unacceptable Loss",IF(AND(P29='G-1 All Habitats'!$X$3,Y29="No"),AC29,IF(AND(P29='G-1 All Habitats'!$X$3,Y29=""),AC29,IF(AND(P29='G-1 All Habitats'!$X$3,AC29="None",AC29),IF(AND(P29='G-1 All Habitats'!$X$3,AC29&gt;0),H29-S29-T29))))))))</f>
        <v/>
      </c>
      <c r="X29" s="84" t="str">
        <f>IFERROR(IF(H29="","",IF(H29-S29-T29=0&lt;0,"Error in Areas",IF(S29+T29&gt;H29,"Error in Areas",IF(AND(P29='G-1 All Habitats'!$X$3,Y29="Yes"),"Alternative Compensation",IF(W29=0,0,IF(P29='G-1 All Habitats'!$X$3,"Unacceptable Loss",Q29-U29-V29)))))),"Check Data")</f>
        <v/>
      </c>
      <c r="Y29" s="82"/>
      <c r="Z29" s="92"/>
      <c r="AA29" s="93"/>
      <c r="AC29" s="87" t="str">
        <f>IF(P29="","",IF(P29='G-1 All Habitats'!$X$3,H29-S29-T29,"None"))</f>
        <v/>
      </c>
      <c r="AD29" s="88" t="str">
        <f>IFERROR(AC29*J29*L29*#REF!*O29,IF(P29="","","None"))</f>
        <v/>
      </c>
      <c r="AF29" s="59" t="str">
        <f t="shared" si="0"/>
        <v/>
      </c>
      <c r="AG29" s="59" t="str">
        <f t="shared" si="1"/>
        <v/>
      </c>
      <c r="AH29" s="59" t="str">
        <f>IF(I29="","",IF(#REF!&gt;0,TRUE,FALSE))</f>
        <v/>
      </c>
      <c r="AI29" s="59">
        <v>19</v>
      </c>
      <c r="AJ29" s="59"/>
      <c r="AK29" s="59" t="str">
        <f t="array" ref="AK29">IFERROR(INDEX($AI$11:$AI$259, MATCH(0, IF(TRUE=$AF$11:$AF$259, COUNTIF($AK$10:$AK28, $AI$11:$AI$259), ""), 0)),"")</f>
        <v/>
      </c>
      <c r="AL29" s="59" t="str">
        <f t="array" ref="AL29">IFERROR(INDEX($AI$11:$AI$259, MATCH(0, IF(TRUE=$AG$11:$AG$259, COUNTIF($AL$10:$AL28, $AI$11:$AI$259), ""), 0)),"")</f>
        <v/>
      </c>
      <c r="AM29" s="59" t="str">
        <f t="array" ref="AM29">IFERROR(INDEX($AI$11:$AI$259, MATCH(0, IF(TRUE=$AH$11:$AH$259, COUNTIF($AM$10:$AM28, $AI$11:$AI$259), ""), 0)),"")</f>
        <v/>
      </c>
      <c r="AN29" s="59"/>
      <c r="AQ29" s="52">
        <f t="shared" si="2"/>
        <v>0</v>
      </c>
    </row>
    <row r="30" spans="1:43" x14ac:dyDescent="0.25">
      <c r="A30" s="52" t="str">
        <f>IFERROR(INDEX('G-1 All Habitats'!$AG$3:$AG$15,MATCH(E30,'G-1 All Habitats'!$AF$3:$AF$15,0)),"")</f>
        <v/>
      </c>
      <c r="B30" s="52" t="str">
        <f>IFERROR(INDEX('G-8 Condition Look up'!$I$4:$I$131,MATCH(G30,'G-8 Condition Look up'!$A$4:$A$131,0)),"")</f>
        <v/>
      </c>
      <c r="D30" s="89">
        <v>20</v>
      </c>
      <c r="E30" s="90"/>
      <c r="F30" s="91"/>
      <c r="G30" s="75" t="str">
        <f>IFERROR(INDEX('G-1 All Habitats'!$B$3:$B$130,MATCH(F30,'G-1 All Habitats'!$A$3:$A$130,0)),"")</f>
        <v/>
      </c>
      <c r="H30" s="76"/>
      <c r="I30" s="77" t="str">
        <f>IF(G30="","",VLOOKUP(G30,'G-1 All Habitats'!$B$2:$M$130,10,FALSE))</f>
        <v/>
      </c>
      <c r="J30" s="78" t="str">
        <f>IFERROR(VLOOKUP(I30,'G-1 All Habitats'!$V$3:$W$7,2,FALSE),"")</f>
        <v/>
      </c>
      <c r="K30" s="79"/>
      <c r="L30" s="78" t="str">
        <f>IFERROR(INDEX('G-8 Condition Look up'!$A$3:$H$131,MATCH(G30,'G-8 Condition Look up'!$A$3:$A$131,0),MATCH(K30,'G-8 Condition Look up'!$A$3:$H$3,0)),"")</f>
        <v/>
      </c>
      <c r="M30" s="79"/>
      <c r="N30" s="348" t="str">
        <f>IF(M30="","",IF(VLOOKUP(M30,'G-3 Multipliers'!$L$3:$N$6,2,FALSE)=0,"Spatial Data Missing",VLOOKUP(M30,'G-3 Multipliers'!$L$3:$N$6,2,FALSE)))</f>
        <v/>
      </c>
      <c r="O30" s="569" t="str">
        <f>IF(M30="","",IF(VLOOKUP(M30,'G-3 Multipliers'!$L$3:$N$6,3,FALSE)=0,"Spatial Data Missing",VLOOKUP(M30,'G-3 Multipliers'!$L$3:$N$6,3,FALSE)))</f>
        <v/>
      </c>
      <c r="P30" s="80" t="str">
        <f>IFERROR(VLOOKUP(G30,'G-1 All Habitats'!$B$2:$M$130,12,FALSE),"")</f>
        <v/>
      </c>
      <c r="Q30" s="81" t="str">
        <f>IFERROR(IF(P30="","",IF(AND(P30='G-1 All Habitats'!$X$3,T30&gt;0),U30+V30,IF(AND(P30='G-1 All Habitats'!$X$3,S30&gt;0),U30+V30,IF(AND(P30='G-1 All Habitats'!$X$3,AC30&gt;0),"Any Loss Unacceptable",IF(AND(P30='G-1 All Habitats'!$X$3,W30&gt;0),"Any Loss Unacceptable",H30*J30*L30*O30))))),"Check Data")</f>
        <v/>
      </c>
      <c r="R30" s="55"/>
      <c r="S30" s="79"/>
      <c r="T30" s="82"/>
      <c r="U30" s="83" t="str">
        <f t="shared" si="3"/>
        <v/>
      </c>
      <c r="V30" s="83" t="str">
        <f t="shared" si="4"/>
        <v/>
      </c>
      <c r="W30" s="83" t="str">
        <f>IF(E30="","",IF(H30&lt;S30+T30,"Error in Areas",IF(P30&lt;&gt;'G-1 All Habitats'!$X$3,H30-S30-T30,IF(AND(P30='G-1 All Habitats'!$X$3,Y30="Yes"),"Unacceptable Loss",IF(AND(P30='G-1 All Habitats'!$X$3,Y30="No"),AC30,IF(AND(P30='G-1 All Habitats'!$X$3,Y30=""),AC30,IF(AND(P30='G-1 All Habitats'!$X$3,AC30="None",AC30),IF(AND(P30='G-1 All Habitats'!$X$3,AC30&gt;0),H30-S30-T30))))))))</f>
        <v/>
      </c>
      <c r="X30" s="84" t="str">
        <f>IFERROR(IF(H30="","",IF(H30-S30-T30=0&lt;0,"Error in Areas",IF(S30+T30&gt;H30,"Error in Areas",IF(AND(P30='G-1 All Habitats'!$X$3,Y30="Yes"),"Alternative Compensation",IF(W30=0,0,IF(P30='G-1 All Habitats'!$X$3,"Unacceptable Loss",Q30-U30-V30)))))),"Check Data")</f>
        <v/>
      </c>
      <c r="Y30" s="82"/>
      <c r="Z30" s="92"/>
      <c r="AA30" s="93"/>
      <c r="AC30" s="87" t="str">
        <f>IF(P30="","",IF(P30='G-1 All Habitats'!$X$3,H30-S30-T30,"None"))</f>
        <v/>
      </c>
      <c r="AD30" s="88" t="str">
        <f>IFERROR(AC30*J30*L30*#REF!*O30,IF(P30="","","None"))</f>
        <v/>
      </c>
      <c r="AF30" s="59" t="str">
        <f t="shared" si="0"/>
        <v/>
      </c>
      <c r="AG30" s="59" t="str">
        <f t="shared" si="1"/>
        <v/>
      </c>
      <c r="AH30" s="59" t="str">
        <f>IF(I30="","",IF(#REF!&gt;0,TRUE,FALSE))</f>
        <v/>
      </c>
      <c r="AI30" s="59">
        <v>20</v>
      </c>
      <c r="AJ30" s="59"/>
      <c r="AK30" s="59" t="str">
        <f t="array" ref="AK30">IFERROR(INDEX($AI$11:$AI$259, MATCH(0, IF(TRUE=$AF$11:$AF$259, COUNTIF($AK$10:$AK29, $AI$11:$AI$259), ""), 0)),"")</f>
        <v/>
      </c>
      <c r="AL30" s="59" t="str">
        <f t="array" ref="AL30">IFERROR(INDEX($AI$11:$AI$259, MATCH(0, IF(TRUE=$AG$11:$AG$259, COUNTIF($AL$10:$AL29, $AI$11:$AI$259), ""), 0)),"")</f>
        <v/>
      </c>
      <c r="AM30" s="59" t="str">
        <f t="array" ref="AM30">IFERROR(INDEX($AI$11:$AI$259, MATCH(0, IF(TRUE=$AH$11:$AH$259, COUNTIF($AM$10:$AM29, $AI$11:$AI$259), ""), 0)),"")</f>
        <v/>
      </c>
      <c r="AN30" s="59"/>
      <c r="AQ30" s="52">
        <f t="shared" si="2"/>
        <v>0</v>
      </c>
    </row>
    <row r="31" spans="1:43" x14ac:dyDescent="0.25">
      <c r="A31" s="52" t="str">
        <f>IFERROR(INDEX('G-1 All Habitats'!$AG$3:$AG$15,MATCH(E31,'G-1 All Habitats'!$AF$3:$AF$15,0)),"")</f>
        <v/>
      </c>
      <c r="B31" s="52" t="str">
        <f>IFERROR(INDEX('G-8 Condition Look up'!$I$4:$I$131,MATCH(G31,'G-8 Condition Look up'!$A$4:$A$131,0)),"")</f>
        <v/>
      </c>
      <c r="D31" s="89">
        <v>21</v>
      </c>
      <c r="E31" s="90"/>
      <c r="F31" s="91"/>
      <c r="G31" s="75" t="str">
        <f>IFERROR(INDEX('G-1 All Habitats'!$B$3:$B$130,MATCH(F31,'G-1 All Habitats'!$A$3:$A$130,0)),"")</f>
        <v/>
      </c>
      <c r="H31" s="76"/>
      <c r="I31" s="77" t="str">
        <f>IF(G31="","",VLOOKUP(G31,'G-1 All Habitats'!$B$2:$M$130,10,FALSE))</f>
        <v/>
      </c>
      <c r="J31" s="78" t="str">
        <f>IFERROR(VLOOKUP(I31,'G-1 All Habitats'!$V$3:$W$7,2,FALSE),"")</f>
        <v/>
      </c>
      <c r="K31" s="79"/>
      <c r="L31" s="78" t="str">
        <f>IFERROR(INDEX('G-8 Condition Look up'!$A$3:$H$131,MATCH(G31,'G-8 Condition Look up'!$A$3:$A$131,0),MATCH(K31,'G-8 Condition Look up'!$A$3:$H$3,0)),"")</f>
        <v/>
      </c>
      <c r="M31" s="79"/>
      <c r="N31" s="348" t="str">
        <f>IF(M31="","",IF(VLOOKUP(M31,'G-3 Multipliers'!$L$3:$N$6,2,FALSE)=0,"Spatial Data Missing",VLOOKUP(M31,'G-3 Multipliers'!$L$3:$N$6,2,FALSE)))</f>
        <v/>
      </c>
      <c r="O31" s="569" t="str">
        <f>IF(M31="","",IF(VLOOKUP(M31,'G-3 Multipliers'!$L$3:$N$6,3,FALSE)=0,"Spatial Data Missing",VLOOKUP(M31,'G-3 Multipliers'!$L$3:$N$6,3,FALSE)))</f>
        <v/>
      </c>
      <c r="P31" s="80" t="str">
        <f>IFERROR(VLOOKUP(G31,'G-1 All Habitats'!$B$2:$M$130,12,FALSE),"")</f>
        <v/>
      </c>
      <c r="Q31" s="81" t="str">
        <f>IFERROR(IF(P31="","",IF(AND(P31='G-1 All Habitats'!$X$3,T31&gt;0),U31+V31,IF(AND(P31='G-1 All Habitats'!$X$3,S31&gt;0),U31+V31,IF(AND(P31='G-1 All Habitats'!$X$3,AC31&gt;0),"Any Loss Unacceptable",IF(AND(P31='G-1 All Habitats'!$X$3,W31&gt;0),"Any Loss Unacceptable",H31*J31*L31*O31))))),"Check Data")</f>
        <v/>
      </c>
      <c r="R31" s="55"/>
      <c r="S31" s="79"/>
      <c r="T31" s="82"/>
      <c r="U31" s="83" t="str">
        <f t="shared" si="3"/>
        <v/>
      </c>
      <c r="V31" s="83" t="str">
        <f t="shared" si="4"/>
        <v/>
      </c>
      <c r="W31" s="83" t="str">
        <f>IF(E31="","",IF(H31&lt;S31+T31,"Error in Areas",IF(P31&lt;&gt;'G-1 All Habitats'!$X$3,H31-S31-T31,IF(AND(P31='G-1 All Habitats'!$X$3,Y31="Yes"),"Unacceptable Loss",IF(AND(P31='G-1 All Habitats'!$X$3,Y31="No"),AC31,IF(AND(P31='G-1 All Habitats'!$X$3,Y31=""),AC31,IF(AND(P31='G-1 All Habitats'!$X$3,AC31="None",AC31),IF(AND(P31='G-1 All Habitats'!$X$3,AC31&gt;0),H31-S31-T31))))))))</f>
        <v/>
      </c>
      <c r="X31" s="84" t="str">
        <f>IFERROR(IF(H31="","",IF(H31-S31-T31=0&lt;0,"Error in Areas",IF(S31+T31&gt;H31,"Error in Areas",IF(AND(P31='G-1 All Habitats'!$X$3,Y31="Yes"),"Alternative Compensation",IF(W31=0,0,IF(P31='G-1 All Habitats'!$X$3,"Unacceptable Loss",Q31-U31-V31)))))),"Check Data")</f>
        <v/>
      </c>
      <c r="Y31" s="82"/>
      <c r="Z31" s="92"/>
      <c r="AA31" s="93"/>
      <c r="AC31" s="87" t="str">
        <f>IF(P31="","",IF(P31='G-1 All Habitats'!$X$3,H31-S31-T31,"None"))</f>
        <v/>
      </c>
      <c r="AD31" s="88" t="str">
        <f>IFERROR(AC31*J31*L31*#REF!*O31,IF(P31="","","None"))</f>
        <v/>
      </c>
      <c r="AF31" s="59" t="str">
        <f t="shared" si="0"/>
        <v/>
      </c>
      <c r="AG31" s="59" t="str">
        <f t="shared" si="1"/>
        <v/>
      </c>
      <c r="AH31" s="59" t="str">
        <f>IF(I31="","",IF(#REF!&gt;0,TRUE,FALSE))</f>
        <v/>
      </c>
      <c r="AI31" s="59">
        <v>21</v>
      </c>
      <c r="AJ31" s="59"/>
      <c r="AK31" s="59" t="str">
        <f t="array" ref="AK31">IFERROR(INDEX($AI$11:$AI$259, MATCH(0, IF(TRUE=$AF$11:$AF$259, COUNTIF($AK$10:$AK30, $AI$11:$AI$259), ""), 0)),"")</f>
        <v/>
      </c>
      <c r="AL31" s="59" t="str">
        <f t="array" ref="AL31">IFERROR(INDEX($AI$11:$AI$259, MATCH(0, IF(TRUE=$AG$11:$AG$259, COUNTIF($AL$10:$AL30, $AI$11:$AI$259), ""), 0)),"")</f>
        <v/>
      </c>
      <c r="AM31" s="59" t="str">
        <f t="array" ref="AM31">IFERROR(INDEX($AI$11:$AI$259, MATCH(0, IF(TRUE=$AH$11:$AH$259, COUNTIF($AM$10:$AM30, $AI$11:$AI$259), ""), 0)),"")</f>
        <v/>
      </c>
      <c r="AN31" s="59"/>
      <c r="AQ31" s="52">
        <f t="shared" si="2"/>
        <v>0</v>
      </c>
    </row>
    <row r="32" spans="1:43" x14ac:dyDescent="0.25">
      <c r="A32" s="52" t="str">
        <f>IFERROR(INDEX('G-1 All Habitats'!$AG$3:$AG$15,MATCH(E32,'G-1 All Habitats'!$AF$3:$AF$15,0)),"")</f>
        <v/>
      </c>
      <c r="B32" s="52" t="str">
        <f>IFERROR(INDEX('G-8 Condition Look up'!$I$4:$I$131,MATCH(G32,'G-8 Condition Look up'!$A$4:$A$131,0)),"")</f>
        <v/>
      </c>
      <c r="D32" s="89">
        <v>22</v>
      </c>
      <c r="E32" s="90"/>
      <c r="F32" s="91"/>
      <c r="G32" s="75" t="str">
        <f>IFERROR(INDEX('G-1 All Habitats'!$B$3:$B$130,MATCH(F32,'G-1 All Habitats'!$A$3:$A$130,0)),"")</f>
        <v/>
      </c>
      <c r="H32" s="76"/>
      <c r="I32" s="77" t="str">
        <f>IF(G32="","",VLOOKUP(G32,'G-1 All Habitats'!$B$2:$M$130,10,FALSE))</f>
        <v/>
      </c>
      <c r="J32" s="78" t="str">
        <f>IFERROR(VLOOKUP(I32,'G-1 All Habitats'!$V$3:$W$7,2,FALSE),"")</f>
        <v/>
      </c>
      <c r="K32" s="79"/>
      <c r="L32" s="78" t="str">
        <f>IFERROR(INDEX('G-8 Condition Look up'!$A$3:$H$131,MATCH(G32,'G-8 Condition Look up'!$A$3:$A$131,0),MATCH(K32,'G-8 Condition Look up'!$A$3:$H$3,0)),"")</f>
        <v/>
      </c>
      <c r="M32" s="79"/>
      <c r="N32" s="348" t="str">
        <f>IF(M32="","",IF(VLOOKUP(M32,'G-3 Multipliers'!$L$3:$N$6,2,FALSE)=0,"Spatial Data Missing",VLOOKUP(M32,'G-3 Multipliers'!$L$3:$N$6,2,FALSE)))</f>
        <v/>
      </c>
      <c r="O32" s="569" t="str">
        <f>IF(M32="","",IF(VLOOKUP(M32,'G-3 Multipliers'!$L$3:$N$6,3,FALSE)=0,"Spatial Data Missing",VLOOKUP(M32,'G-3 Multipliers'!$L$3:$N$6,3,FALSE)))</f>
        <v/>
      </c>
      <c r="P32" s="80" t="str">
        <f>IFERROR(VLOOKUP(G32,'G-1 All Habitats'!$B$2:$M$130,12,FALSE),"")</f>
        <v/>
      </c>
      <c r="Q32" s="81" t="str">
        <f>IFERROR(IF(P32="","",IF(AND(P32='G-1 All Habitats'!$X$3,T32&gt;0),U32+V32,IF(AND(P32='G-1 All Habitats'!$X$3,S32&gt;0),U32+V32,IF(AND(P32='G-1 All Habitats'!$X$3,AC32&gt;0),"Any Loss Unacceptable",IF(AND(P32='G-1 All Habitats'!$X$3,W32&gt;0),"Any Loss Unacceptable",H32*J32*L32*O32))))),"Check Data")</f>
        <v/>
      </c>
      <c r="R32" s="55"/>
      <c r="S32" s="79"/>
      <c r="T32" s="82"/>
      <c r="U32" s="83" t="str">
        <f t="shared" si="3"/>
        <v/>
      </c>
      <c r="V32" s="83" t="str">
        <f t="shared" si="4"/>
        <v/>
      </c>
      <c r="W32" s="83" t="str">
        <f>IF(E32="","",IF(H32&lt;S32+T32,"Error in Areas",IF(P32&lt;&gt;'G-1 All Habitats'!$X$3,H32-S32-T32,IF(AND(P32='G-1 All Habitats'!$X$3,Y32="Yes"),"Unacceptable Loss",IF(AND(P32='G-1 All Habitats'!$X$3,Y32="No"),AC32,IF(AND(P32='G-1 All Habitats'!$X$3,Y32=""),AC32,IF(AND(P32='G-1 All Habitats'!$X$3,AC32="None",AC32),IF(AND(P32='G-1 All Habitats'!$X$3,AC32&gt;0),H32-S32-T32))))))))</f>
        <v/>
      </c>
      <c r="X32" s="84" t="str">
        <f>IFERROR(IF(H32="","",IF(H32-S32-T32=0&lt;0,"Error in Areas",IF(S32+T32&gt;H32,"Error in Areas",IF(AND(P32='G-1 All Habitats'!$X$3,Y32="Yes"),"Alternative Compensation",IF(W32=0,0,IF(P32='G-1 All Habitats'!$X$3,"Unacceptable Loss",Q32-U32-V32)))))),"Check Data")</f>
        <v/>
      </c>
      <c r="Y32" s="82"/>
      <c r="Z32" s="92"/>
      <c r="AA32" s="93"/>
      <c r="AC32" s="87" t="str">
        <f>IF(P32="","",IF(P32='G-1 All Habitats'!$X$3,H32-S32-T32,"None"))</f>
        <v/>
      </c>
      <c r="AD32" s="88" t="str">
        <f>IFERROR(AC32*J32*L32*#REF!*O32,IF(P32="","","None"))</f>
        <v/>
      </c>
      <c r="AF32" s="59" t="str">
        <f t="shared" si="0"/>
        <v/>
      </c>
      <c r="AG32" s="59" t="str">
        <f t="shared" si="1"/>
        <v/>
      </c>
      <c r="AH32" s="59" t="str">
        <f>IF(I32="","",IF(#REF!&gt;0,TRUE,FALSE))</f>
        <v/>
      </c>
      <c r="AI32" s="59">
        <v>22</v>
      </c>
      <c r="AJ32" s="59"/>
      <c r="AK32" s="59" t="str">
        <f t="array" ref="AK32">IFERROR(INDEX($AI$11:$AI$259, MATCH(0, IF(TRUE=$AF$11:$AF$259, COUNTIF($AK$10:$AK31, $AI$11:$AI$259), ""), 0)),"")</f>
        <v/>
      </c>
      <c r="AL32" s="59" t="str">
        <f t="array" ref="AL32">IFERROR(INDEX($AI$11:$AI$259, MATCH(0, IF(TRUE=$AG$11:$AG$259, COUNTIF($AL$10:$AL31, $AI$11:$AI$259), ""), 0)),"")</f>
        <v/>
      </c>
      <c r="AM32" s="59" t="str">
        <f t="array" ref="AM32">IFERROR(INDEX($AI$11:$AI$259, MATCH(0, IF(TRUE=$AH$11:$AH$259, COUNTIF($AM$10:$AM31, $AI$11:$AI$259), ""), 0)),"")</f>
        <v/>
      </c>
      <c r="AN32" s="59"/>
      <c r="AQ32" s="52">
        <f t="shared" si="2"/>
        <v>0</v>
      </c>
    </row>
    <row r="33" spans="1:43" x14ac:dyDescent="0.25">
      <c r="A33" s="52" t="str">
        <f>IFERROR(INDEX('G-1 All Habitats'!$AG$3:$AG$15,MATCH(E33,'G-1 All Habitats'!$AF$3:$AF$15,0)),"")</f>
        <v/>
      </c>
      <c r="B33" s="52" t="str">
        <f>IFERROR(INDEX('G-8 Condition Look up'!$I$4:$I$131,MATCH(G33,'G-8 Condition Look up'!$A$4:$A$131,0)),"")</f>
        <v/>
      </c>
      <c r="D33" s="89">
        <v>23</v>
      </c>
      <c r="E33" s="90"/>
      <c r="F33" s="91"/>
      <c r="G33" s="75" t="str">
        <f>IFERROR(INDEX('G-1 All Habitats'!$B$3:$B$130,MATCH(F33,'G-1 All Habitats'!$A$3:$A$130,0)),"")</f>
        <v/>
      </c>
      <c r="H33" s="76"/>
      <c r="I33" s="77" t="str">
        <f>IF(G33="","",VLOOKUP(G33,'G-1 All Habitats'!$B$2:$M$130,10,FALSE))</f>
        <v/>
      </c>
      <c r="J33" s="78" t="str">
        <f>IFERROR(VLOOKUP(I33,'G-1 All Habitats'!$V$3:$W$7,2,FALSE),"")</f>
        <v/>
      </c>
      <c r="K33" s="79"/>
      <c r="L33" s="78" t="str">
        <f>IFERROR(INDEX('G-8 Condition Look up'!$A$3:$H$131,MATCH(G33,'G-8 Condition Look up'!$A$3:$A$131,0),MATCH(K33,'G-8 Condition Look up'!$A$3:$H$3,0)),"")</f>
        <v/>
      </c>
      <c r="M33" s="79"/>
      <c r="N33" s="348" t="str">
        <f>IF(M33="","",IF(VLOOKUP(M33,'G-3 Multipliers'!$L$3:$N$6,2,FALSE)=0,"Spatial Data Missing",VLOOKUP(M33,'G-3 Multipliers'!$L$3:$N$6,2,FALSE)))</f>
        <v/>
      </c>
      <c r="O33" s="569" t="str">
        <f>IF(M33="","",IF(VLOOKUP(M33,'G-3 Multipliers'!$L$3:$N$6,3,FALSE)=0,"Spatial Data Missing",VLOOKUP(M33,'G-3 Multipliers'!$L$3:$N$6,3,FALSE)))</f>
        <v/>
      </c>
      <c r="P33" s="80" t="str">
        <f>IFERROR(VLOOKUP(G33,'G-1 All Habitats'!$B$2:$M$130,12,FALSE),"")</f>
        <v/>
      </c>
      <c r="Q33" s="81" t="str">
        <f>IFERROR(IF(P33="","",IF(AND(P33='G-1 All Habitats'!$X$3,T33&gt;0),U33+V33,IF(AND(P33='G-1 All Habitats'!$X$3,S33&gt;0),U33+V33,IF(AND(P33='G-1 All Habitats'!$X$3,AC33&gt;0),"Any Loss Unacceptable",IF(AND(P33='G-1 All Habitats'!$X$3,W33&gt;0),"Any Loss Unacceptable",H33*J33*L33*O33))))),"Check Data")</f>
        <v/>
      </c>
      <c r="R33" s="55"/>
      <c r="S33" s="79"/>
      <c r="T33" s="82"/>
      <c r="U33" s="83" t="str">
        <f t="shared" si="3"/>
        <v/>
      </c>
      <c r="V33" s="83" t="str">
        <f t="shared" si="4"/>
        <v/>
      </c>
      <c r="W33" s="83" t="str">
        <f>IF(E33="","",IF(H33&lt;S33+T33,"Error in Areas",IF(P33&lt;&gt;'G-1 All Habitats'!$X$3,H33-S33-T33,IF(AND(P33='G-1 All Habitats'!$X$3,Y33="Yes"),"Unacceptable Loss",IF(AND(P33='G-1 All Habitats'!$X$3,Y33="No"),AC33,IF(AND(P33='G-1 All Habitats'!$X$3,Y33=""),AC33,IF(AND(P33='G-1 All Habitats'!$X$3,AC33="None",AC33),IF(AND(P33='G-1 All Habitats'!$X$3,AC33&gt;0),H33-S33-T33))))))))</f>
        <v/>
      </c>
      <c r="X33" s="84" t="str">
        <f>IFERROR(IF(H33="","",IF(H33-S33-T33=0&lt;0,"Error in Areas",IF(S33+T33&gt;H33,"Error in Areas",IF(AND(P33='G-1 All Habitats'!$X$3,Y33="Yes"),"Alternative Compensation",IF(W33=0,0,IF(P33='G-1 All Habitats'!$X$3,"Unacceptable Loss",Q33-U33-V33)))))),"Check Data")</f>
        <v/>
      </c>
      <c r="Y33" s="82"/>
      <c r="Z33" s="92"/>
      <c r="AA33" s="93"/>
      <c r="AC33" s="87" t="str">
        <f>IF(P33="","",IF(P33='G-1 All Habitats'!$X$3,H33-S33-T33,"None"))</f>
        <v/>
      </c>
      <c r="AD33" s="88" t="str">
        <f>IFERROR(AC33*J33*L33*#REF!*O33,IF(P33="","","None"))</f>
        <v/>
      </c>
      <c r="AF33" s="59" t="str">
        <f t="shared" si="0"/>
        <v/>
      </c>
      <c r="AG33" s="59" t="str">
        <f t="shared" si="1"/>
        <v/>
      </c>
      <c r="AH33" s="59" t="str">
        <f>IF(I33="","",IF(#REF!&gt;0,TRUE,FALSE))</f>
        <v/>
      </c>
      <c r="AI33" s="59">
        <v>23</v>
      </c>
      <c r="AJ33" s="59"/>
      <c r="AK33" s="59" t="str">
        <f t="array" ref="AK33">IFERROR(INDEX($AI$11:$AI$259, MATCH(0, IF(TRUE=$AF$11:$AF$259, COUNTIF($AK$10:$AK32, $AI$11:$AI$259), ""), 0)),"")</f>
        <v/>
      </c>
      <c r="AL33" s="59" t="str">
        <f t="array" ref="AL33">IFERROR(INDEX($AI$11:$AI$259, MATCH(0, IF(TRUE=$AG$11:$AG$259, COUNTIF($AL$10:$AL32, $AI$11:$AI$259), ""), 0)),"")</f>
        <v/>
      </c>
      <c r="AM33" s="59" t="str">
        <f t="array" ref="AM33">IFERROR(INDEX($AI$11:$AI$259, MATCH(0, IF(TRUE=$AH$11:$AH$259, COUNTIF($AM$10:$AM32, $AI$11:$AI$259), ""), 0)),"")</f>
        <v/>
      </c>
      <c r="AN33" s="59"/>
      <c r="AQ33" s="52">
        <f t="shared" si="2"/>
        <v>0</v>
      </c>
    </row>
    <row r="34" spans="1:43" x14ac:dyDescent="0.25">
      <c r="A34" s="52" t="str">
        <f>IFERROR(INDEX('G-1 All Habitats'!$AG$3:$AG$15,MATCH(E34,'G-1 All Habitats'!$AF$3:$AF$15,0)),"")</f>
        <v/>
      </c>
      <c r="B34" s="52" t="str">
        <f>IFERROR(INDEX('G-8 Condition Look up'!$I$4:$I$131,MATCH(G34,'G-8 Condition Look up'!$A$4:$A$131,0)),"")</f>
        <v/>
      </c>
      <c r="D34" s="89">
        <v>24</v>
      </c>
      <c r="E34" s="90"/>
      <c r="F34" s="91"/>
      <c r="G34" s="75" t="str">
        <f>IFERROR(INDEX('G-1 All Habitats'!$B$3:$B$130,MATCH(F34,'G-1 All Habitats'!$A$3:$A$130,0)),"")</f>
        <v/>
      </c>
      <c r="H34" s="76"/>
      <c r="I34" s="77" t="str">
        <f>IF(G34="","",VLOOKUP(G34,'G-1 All Habitats'!$B$2:$M$130,10,FALSE))</f>
        <v/>
      </c>
      <c r="J34" s="78" t="str">
        <f>IFERROR(VLOOKUP(I34,'G-1 All Habitats'!$V$3:$W$7,2,FALSE),"")</f>
        <v/>
      </c>
      <c r="K34" s="79"/>
      <c r="L34" s="78" t="str">
        <f>IFERROR(INDEX('G-8 Condition Look up'!$A$3:$H$131,MATCH(G34,'G-8 Condition Look up'!$A$3:$A$131,0),MATCH(K34,'G-8 Condition Look up'!$A$3:$H$3,0)),"")</f>
        <v/>
      </c>
      <c r="M34" s="79"/>
      <c r="N34" s="348" t="str">
        <f>IF(M34="","",IF(VLOOKUP(M34,'G-3 Multipliers'!$L$3:$N$6,2,FALSE)=0,"Spatial Data Missing",VLOOKUP(M34,'G-3 Multipliers'!$L$3:$N$6,2,FALSE)))</f>
        <v/>
      </c>
      <c r="O34" s="569" t="str">
        <f>IF(M34="","",IF(VLOOKUP(M34,'G-3 Multipliers'!$L$3:$N$6,3,FALSE)=0,"Spatial Data Missing",VLOOKUP(M34,'G-3 Multipliers'!$L$3:$N$6,3,FALSE)))</f>
        <v/>
      </c>
      <c r="P34" s="80" t="str">
        <f>IFERROR(VLOOKUP(G34,'G-1 All Habitats'!$B$2:$M$130,12,FALSE),"")</f>
        <v/>
      </c>
      <c r="Q34" s="81" t="str">
        <f>IFERROR(IF(P34="","",IF(AND(P34='G-1 All Habitats'!$X$3,T34&gt;0),U34+V34,IF(AND(P34='G-1 All Habitats'!$X$3,S34&gt;0),U34+V34,IF(AND(P34='G-1 All Habitats'!$X$3,AC34&gt;0),"Any Loss Unacceptable",IF(AND(P34='G-1 All Habitats'!$X$3,W34&gt;0),"Any Loss Unacceptable",H34*J34*L34*O34))))),"Check Data")</f>
        <v/>
      </c>
      <c r="R34" s="55"/>
      <c r="S34" s="79"/>
      <c r="T34" s="82"/>
      <c r="U34" s="83" t="str">
        <f t="shared" si="3"/>
        <v/>
      </c>
      <c r="V34" s="83" t="str">
        <f t="shared" si="4"/>
        <v/>
      </c>
      <c r="W34" s="83" t="str">
        <f>IF(E34="","",IF(H34&lt;S34+T34,"Error in Areas",IF(P34&lt;&gt;'G-1 All Habitats'!$X$3,H34-S34-T34,IF(AND(P34='G-1 All Habitats'!$X$3,Y34="Yes"),"Unacceptable Loss",IF(AND(P34='G-1 All Habitats'!$X$3,Y34="No"),AC34,IF(AND(P34='G-1 All Habitats'!$X$3,Y34=""),AC34,IF(AND(P34='G-1 All Habitats'!$X$3,AC34="None",AC34),IF(AND(P34='G-1 All Habitats'!$X$3,AC34&gt;0),H34-S34-T34))))))))</f>
        <v/>
      </c>
      <c r="X34" s="84" t="str">
        <f>IFERROR(IF(H34="","",IF(H34-S34-T34=0&lt;0,"Error in Areas",IF(S34+T34&gt;H34,"Error in Areas",IF(AND(P34='G-1 All Habitats'!$X$3,Y34="Yes"),"Alternative Compensation",IF(W34=0,0,IF(P34='G-1 All Habitats'!$X$3,"Unacceptable Loss",Q34-U34-V34)))))),"Check Data")</f>
        <v/>
      </c>
      <c r="Y34" s="82"/>
      <c r="Z34" s="92"/>
      <c r="AA34" s="93"/>
      <c r="AC34" s="87" t="str">
        <f>IF(P34="","",IF(P34='G-1 All Habitats'!$X$3,H34-S34-T34,"None"))</f>
        <v/>
      </c>
      <c r="AD34" s="88" t="str">
        <f>IFERROR(AC34*J34*L34*#REF!*O34,IF(P34="","","None"))</f>
        <v/>
      </c>
      <c r="AF34" s="59" t="str">
        <f t="shared" si="0"/>
        <v/>
      </c>
      <c r="AG34" s="59" t="str">
        <f t="shared" si="1"/>
        <v/>
      </c>
      <c r="AH34" s="59" t="str">
        <f>IF(I34="","",IF(#REF!&gt;0,TRUE,FALSE))</f>
        <v/>
      </c>
      <c r="AI34" s="59">
        <v>24</v>
      </c>
      <c r="AJ34" s="59"/>
      <c r="AK34" s="59" t="str">
        <f t="array" ref="AK34">IFERROR(INDEX($AI$11:$AI$259, MATCH(0, IF(TRUE=$AF$11:$AF$259, COUNTIF($AK$10:$AK33, $AI$11:$AI$259), ""), 0)),"")</f>
        <v/>
      </c>
      <c r="AL34" s="59" t="str">
        <f t="array" ref="AL34">IFERROR(INDEX($AI$11:$AI$259, MATCH(0, IF(TRUE=$AG$11:$AG$259, COUNTIF($AL$10:$AL33, $AI$11:$AI$259), ""), 0)),"")</f>
        <v/>
      </c>
      <c r="AM34" s="59" t="str">
        <f t="array" ref="AM34">IFERROR(INDEX($AI$11:$AI$259, MATCH(0, IF(TRUE=$AH$11:$AH$259, COUNTIF($AM$10:$AM33, $AI$11:$AI$259), ""), 0)),"")</f>
        <v/>
      </c>
      <c r="AN34" s="59"/>
      <c r="AQ34" s="52">
        <f t="shared" si="2"/>
        <v>0</v>
      </c>
    </row>
    <row r="35" spans="1:43" x14ac:dyDescent="0.25">
      <c r="A35" s="52" t="str">
        <f>IFERROR(INDEX('G-1 All Habitats'!$AG$3:$AG$15,MATCH(E35,'G-1 All Habitats'!$AF$3:$AF$15,0)),"")</f>
        <v/>
      </c>
      <c r="B35" s="52" t="str">
        <f>IFERROR(INDEX('G-8 Condition Look up'!$I$4:$I$131,MATCH(G35,'G-8 Condition Look up'!$A$4:$A$131,0)),"")</f>
        <v/>
      </c>
      <c r="D35" s="89">
        <v>25</v>
      </c>
      <c r="E35" s="90"/>
      <c r="F35" s="91"/>
      <c r="G35" s="75" t="str">
        <f>IFERROR(INDEX('G-1 All Habitats'!$B$3:$B$130,MATCH(F35,'G-1 All Habitats'!$A$3:$A$130,0)),"")</f>
        <v/>
      </c>
      <c r="H35" s="76"/>
      <c r="I35" s="77" t="str">
        <f>IF(G35="","",VLOOKUP(G35,'G-1 All Habitats'!$B$2:$M$130,10,FALSE))</f>
        <v/>
      </c>
      <c r="J35" s="78" t="str">
        <f>IFERROR(VLOOKUP(I35,'G-1 All Habitats'!$V$3:$W$7,2,FALSE),"")</f>
        <v/>
      </c>
      <c r="K35" s="79"/>
      <c r="L35" s="78" t="str">
        <f>IFERROR(INDEX('G-8 Condition Look up'!$A$3:$H$131,MATCH(G35,'G-8 Condition Look up'!$A$3:$A$131,0),MATCH(K35,'G-8 Condition Look up'!$A$3:$H$3,0)),"")</f>
        <v/>
      </c>
      <c r="M35" s="79"/>
      <c r="N35" s="348" t="str">
        <f>IF(M35="","",IF(VLOOKUP(M35,'G-3 Multipliers'!$L$3:$N$6,2,FALSE)=0,"Spatial Data Missing",VLOOKUP(M35,'G-3 Multipliers'!$L$3:$N$6,2,FALSE)))</f>
        <v/>
      </c>
      <c r="O35" s="569" t="str">
        <f>IF(M35="","",IF(VLOOKUP(M35,'G-3 Multipliers'!$L$3:$N$6,3,FALSE)=0,"Spatial Data Missing",VLOOKUP(M35,'G-3 Multipliers'!$L$3:$N$6,3,FALSE)))</f>
        <v/>
      </c>
      <c r="P35" s="80" t="str">
        <f>IFERROR(VLOOKUP(G35,'G-1 All Habitats'!$B$2:$M$130,12,FALSE),"")</f>
        <v/>
      </c>
      <c r="Q35" s="81" t="str">
        <f>IFERROR(IF(P35="","",IF(AND(P35='G-1 All Habitats'!$X$3,T35&gt;0),U35+V35,IF(AND(P35='G-1 All Habitats'!$X$3,S35&gt;0),U35+V35,IF(AND(P35='G-1 All Habitats'!$X$3,AC35&gt;0),"Any Loss Unacceptable",IF(AND(P35='G-1 All Habitats'!$X$3,W35&gt;0),"Any Loss Unacceptable",H35*J35*L35*O35))))),"Check Data")</f>
        <v/>
      </c>
      <c r="R35" s="55"/>
      <c r="S35" s="79"/>
      <c r="T35" s="82"/>
      <c r="U35" s="83" t="str">
        <f t="shared" si="3"/>
        <v/>
      </c>
      <c r="V35" s="83" t="str">
        <f t="shared" si="4"/>
        <v/>
      </c>
      <c r="W35" s="83" t="str">
        <f>IF(E35="","",IF(H35&lt;S35+T35,"Error in Areas",IF(P35&lt;&gt;'G-1 All Habitats'!$X$3,H35-S35-T35,IF(AND(P35='G-1 All Habitats'!$X$3,Y35="Yes"),"Unacceptable Loss",IF(AND(P35='G-1 All Habitats'!$X$3,Y35="No"),AC35,IF(AND(P35='G-1 All Habitats'!$X$3,Y35=""),AC35,IF(AND(P35='G-1 All Habitats'!$X$3,AC35="None",AC35),IF(AND(P35='G-1 All Habitats'!$X$3,AC35&gt;0),H35-S35-T35))))))))</f>
        <v/>
      </c>
      <c r="X35" s="84" t="str">
        <f>IFERROR(IF(H35="","",IF(H35-S35-T35=0&lt;0,"Error in Areas",IF(S35+T35&gt;H35,"Error in Areas",IF(AND(P35='G-1 All Habitats'!$X$3,Y35="Yes"),"Alternative Compensation",IF(W35=0,0,IF(P35='G-1 All Habitats'!$X$3,"Unacceptable Loss",Q35-U35-V35)))))),"Check Data")</f>
        <v/>
      </c>
      <c r="Y35" s="82"/>
      <c r="Z35" s="92"/>
      <c r="AA35" s="93"/>
      <c r="AC35" s="87" t="str">
        <f>IF(P35="","",IF(P35='G-1 All Habitats'!$X$3,H35-S35-T35,"None"))</f>
        <v/>
      </c>
      <c r="AD35" s="88" t="str">
        <f>IFERROR(AC35*J35*L35*#REF!*O35,IF(P35="","","None"))</f>
        <v/>
      </c>
      <c r="AF35" s="59" t="str">
        <f t="shared" si="0"/>
        <v/>
      </c>
      <c r="AG35" s="59" t="str">
        <f t="shared" si="1"/>
        <v/>
      </c>
      <c r="AH35" s="59" t="str">
        <f>IF(I35="","",IF(#REF!&gt;0,TRUE,FALSE))</f>
        <v/>
      </c>
      <c r="AI35" s="59">
        <v>25</v>
      </c>
      <c r="AJ35" s="59"/>
      <c r="AK35" s="59" t="str">
        <f t="array" ref="AK35">IFERROR(INDEX($AI$11:$AI$259, MATCH(0, IF(TRUE=$AF$11:$AF$259, COUNTIF($AK$10:$AK34, $AI$11:$AI$259), ""), 0)),"")</f>
        <v/>
      </c>
      <c r="AL35" s="59" t="str">
        <f t="array" ref="AL35">IFERROR(INDEX($AI$11:$AI$259, MATCH(0, IF(TRUE=$AG$11:$AG$259, COUNTIF($AL$10:$AL34, $AI$11:$AI$259), ""), 0)),"")</f>
        <v/>
      </c>
      <c r="AM35" s="59" t="str">
        <f t="array" ref="AM35">IFERROR(INDEX($AI$11:$AI$259, MATCH(0, IF(TRUE=$AH$11:$AH$259, COUNTIF($AM$10:$AM34, $AI$11:$AI$259), ""), 0)),"")</f>
        <v/>
      </c>
      <c r="AN35" s="59"/>
      <c r="AQ35" s="52">
        <f t="shared" si="2"/>
        <v>0</v>
      </c>
    </row>
    <row r="36" spans="1:43" x14ac:dyDescent="0.25">
      <c r="A36" s="52" t="str">
        <f>IFERROR(INDEX('G-1 All Habitats'!$AG$3:$AG$15,MATCH(E36,'G-1 All Habitats'!$AF$3:$AF$15,0)),"")</f>
        <v/>
      </c>
      <c r="B36" s="52" t="str">
        <f>IFERROR(INDEX('G-8 Condition Look up'!$I$4:$I$131,MATCH(G36,'G-8 Condition Look up'!$A$4:$A$131,0)),"")</f>
        <v/>
      </c>
      <c r="D36" s="89">
        <v>26</v>
      </c>
      <c r="E36" s="90"/>
      <c r="F36" s="91"/>
      <c r="G36" s="75" t="str">
        <f>IFERROR(INDEX('G-1 All Habitats'!$B$3:$B$130,MATCH(F36,'G-1 All Habitats'!$A$3:$A$130,0)),"")</f>
        <v/>
      </c>
      <c r="H36" s="76"/>
      <c r="I36" s="77" t="str">
        <f>IF(G36="","",VLOOKUP(G36,'G-1 All Habitats'!$B$2:$M$130,10,FALSE))</f>
        <v/>
      </c>
      <c r="J36" s="78" t="str">
        <f>IFERROR(VLOOKUP(I36,'G-1 All Habitats'!$V$3:$W$7,2,FALSE),"")</f>
        <v/>
      </c>
      <c r="K36" s="79"/>
      <c r="L36" s="78" t="str">
        <f>IFERROR(INDEX('G-8 Condition Look up'!$A$3:$H$131,MATCH(G36,'G-8 Condition Look up'!$A$3:$A$131,0),MATCH(K36,'G-8 Condition Look up'!$A$3:$H$3,0)),"")</f>
        <v/>
      </c>
      <c r="M36" s="79"/>
      <c r="N36" s="348" t="str">
        <f>IF(M36="","",IF(VLOOKUP(M36,'G-3 Multipliers'!$L$3:$N$6,2,FALSE)=0,"Spatial Data Missing",VLOOKUP(M36,'G-3 Multipliers'!$L$3:$N$6,2,FALSE)))</f>
        <v/>
      </c>
      <c r="O36" s="569" t="str">
        <f>IF(M36="","",IF(VLOOKUP(M36,'G-3 Multipliers'!$L$3:$N$6,3,FALSE)=0,"Spatial Data Missing",VLOOKUP(M36,'G-3 Multipliers'!$L$3:$N$6,3,FALSE)))</f>
        <v/>
      </c>
      <c r="P36" s="80" t="str">
        <f>IFERROR(VLOOKUP(G36,'G-1 All Habitats'!$B$2:$M$130,12,FALSE),"")</f>
        <v/>
      </c>
      <c r="Q36" s="81" t="str">
        <f>IFERROR(IF(P36="","",IF(AND(P36='G-1 All Habitats'!$X$3,T36&gt;0),U36+V36,IF(AND(P36='G-1 All Habitats'!$X$3,S36&gt;0),U36+V36,IF(AND(P36='G-1 All Habitats'!$X$3,AC36&gt;0),"Any Loss Unacceptable",IF(AND(P36='G-1 All Habitats'!$X$3,W36&gt;0),"Any Loss Unacceptable",H36*J36*L36*O36))))),"Check Data")</f>
        <v/>
      </c>
      <c r="R36" s="55"/>
      <c r="S36" s="79"/>
      <c r="T36" s="82"/>
      <c r="U36" s="83" t="str">
        <f t="shared" si="3"/>
        <v/>
      </c>
      <c r="V36" s="83" t="str">
        <f t="shared" si="4"/>
        <v/>
      </c>
      <c r="W36" s="83" t="str">
        <f>IF(E36="","",IF(H36&lt;S36+T36,"Error in Areas",IF(P36&lt;&gt;'G-1 All Habitats'!$X$3,H36-S36-T36,IF(AND(P36='G-1 All Habitats'!$X$3,Y36="Yes"),"Unacceptable Loss",IF(AND(P36='G-1 All Habitats'!$X$3,Y36="No"),AC36,IF(AND(P36='G-1 All Habitats'!$X$3,Y36=""),AC36,IF(AND(P36='G-1 All Habitats'!$X$3,AC36="None",AC36),IF(AND(P36='G-1 All Habitats'!$X$3,AC36&gt;0),H36-S36-T36))))))))</f>
        <v/>
      </c>
      <c r="X36" s="84" t="str">
        <f>IFERROR(IF(H36="","",IF(H36-S36-T36=0&lt;0,"Error in Areas",IF(S36+T36&gt;H36,"Error in Areas",IF(AND(P36='G-1 All Habitats'!$X$3,Y36="Yes"),"Alternative Compensation",IF(W36=0,0,IF(P36='G-1 All Habitats'!$X$3,"Unacceptable Loss",Q36-U36-V36)))))),"Check Data")</f>
        <v/>
      </c>
      <c r="Y36" s="82"/>
      <c r="Z36" s="92"/>
      <c r="AA36" s="93"/>
      <c r="AC36" s="87" t="str">
        <f>IF(P36="","",IF(P36='G-1 All Habitats'!$X$3,H36-S36-T36,"None"))</f>
        <v/>
      </c>
      <c r="AD36" s="88" t="str">
        <f>IFERROR(AC36*J36*L36*#REF!*O36,IF(P36="","","None"))</f>
        <v/>
      </c>
      <c r="AF36" s="59" t="str">
        <f t="shared" si="0"/>
        <v/>
      </c>
      <c r="AG36" s="59" t="str">
        <f t="shared" si="1"/>
        <v/>
      </c>
      <c r="AH36" s="59" t="str">
        <f>IF(I36="","",IF(#REF!&gt;0,TRUE,FALSE))</f>
        <v/>
      </c>
      <c r="AI36" s="59">
        <v>26</v>
      </c>
      <c r="AJ36" s="59"/>
      <c r="AK36" s="59" t="str">
        <f t="array" ref="AK36">IFERROR(INDEX($AI$11:$AI$259, MATCH(0, IF(TRUE=$AF$11:$AF$259, COUNTIF($AK$10:$AK35, $AI$11:$AI$259), ""), 0)),"")</f>
        <v/>
      </c>
      <c r="AL36" s="59" t="str">
        <f t="array" ref="AL36">IFERROR(INDEX($AI$11:$AI$259, MATCH(0, IF(TRUE=$AG$11:$AG$259, COUNTIF($AL$10:$AL35, $AI$11:$AI$259), ""), 0)),"")</f>
        <v/>
      </c>
      <c r="AM36" s="59" t="str">
        <f t="array" ref="AM36">IFERROR(INDEX($AI$11:$AI$259, MATCH(0, IF(TRUE=$AH$11:$AH$259, COUNTIF($AM$10:$AM35, $AI$11:$AI$259), ""), 0)),"")</f>
        <v/>
      </c>
      <c r="AN36" s="59"/>
      <c r="AQ36" s="52">
        <f t="shared" si="2"/>
        <v>0</v>
      </c>
    </row>
    <row r="37" spans="1:43" x14ac:dyDescent="0.25">
      <c r="A37" s="52" t="str">
        <f>IFERROR(INDEX('G-1 All Habitats'!$AG$3:$AG$15,MATCH(E37,'G-1 All Habitats'!$AF$3:$AF$15,0)),"")</f>
        <v/>
      </c>
      <c r="B37" s="52" t="str">
        <f>IFERROR(INDEX('G-8 Condition Look up'!$I$4:$I$131,MATCH(G37,'G-8 Condition Look up'!$A$4:$A$131,0)),"")</f>
        <v/>
      </c>
      <c r="D37" s="89">
        <v>27</v>
      </c>
      <c r="E37" s="90"/>
      <c r="F37" s="91"/>
      <c r="G37" s="75" t="str">
        <f>IFERROR(INDEX('G-1 All Habitats'!$B$3:$B$130,MATCH(F37,'G-1 All Habitats'!$A$3:$A$130,0)),"")</f>
        <v/>
      </c>
      <c r="H37" s="76"/>
      <c r="I37" s="77" t="str">
        <f>IF(G37="","",VLOOKUP(G37,'G-1 All Habitats'!$B$2:$M$130,10,FALSE))</f>
        <v/>
      </c>
      <c r="J37" s="78" t="str">
        <f>IFERROR(VLOOKUP(I37,'G-1 All Habitats'!$V$3:$W$7,2,FALSE),"")</f>
        <v/>
      </c>
      <c r="K37" s="79"/>
      <c r="L37" s="78" t="str">
        <f>IFERROR(INDEX('G-8 Condition Look up'!$A$3:$H$131,MATCH(G37,'G-8 Condition Look up'!$A$3:$A$131,0),MATCH(K37,'G-8 Condition Look up'!$A$3:$H$3,0)),"")</f>
        <v/>
      </c>
      <c r="M37" s="79"/>
      <c r="N37" s="348" t="str">
        <f>IF(M37="","",IF(VLOOKUP(M37,'G-3 Multipliers'!$L$3:$N$6,2,FALSE)=0,"Spatial Data Missing",VLOOKUP(M37,'G-3 Multipliers'!$L$3:$N$6,2,FALSE)))</f>
        <v/>
      </c>
      <c r="O37" s="569" t="str">
        <f>IF(M37="","",IF(VLOOKUP(M37,'G-3 Multipliers'!$L$3:$N$6,3,FALSE)=0,"Spatial Data Missing",VLOOKUP(M37,'G-3 Multipliers'!$L$3:$N$6,3,FALSE)))</f>
        <v/>
      </c>
      <c r="P37" s="80" t="str">
        <f>IFERROR(VLOOKUP(G37,'G-1 All Habitats'!$B$2:$M$130,12,FALSE),"")</f>
        <v/>
      </c>
      <c r="Q37" s="81" t="str">
        <f>IFERROR(IF(P37="","",IF(AND(P37='G-1 All Habitats'!$X$3,T37&gt;0),U37+V37,IF(AND(P37='G-1 All Habitats'!$X$3,S37&gt;0),U37+V37,IF(AND(P37='G-1 All Habitats'!$X$3,AC37&gt;0),"Any Loss Unacceptable",IF(AND(P37='G-1 All Habitats'!$X$3,W37&gt;0),"Any Loss Unacceptable",H37*J37*L37*O37))))),"Check Data")</f>
        <v/>
      </c>
      <c r="R37" s="55"/>
      <c r="S37" s="79"/>
      <c r="T37" s="82"/>
      <c r="U37" s="83" t="str">
        <f t="shared" si="3"/>
        <v/>
      </c>
      <c r="V37" s="83" t="str">
        <f t="shared" si="4"/>
        <v/>
      </c>
      <c r="W37" s="83" t="str">
        <f>IF(E37="","",IF(H37&lt;S37+T37,"Error in Areas",IF(P37&lt;&gt;'G-1 All Habitats'!$X$3,H37-S37-T37,IF(AND(P37='G-1 All Habitats'!$X$3,Y37="Yes"),"Unacceptable Loss",IF(AND(P37='G-1 All Habitats'!$X$3,Y37="No"),AC37,IF(AND(P37='G-1 All Habitats'!$X$3,Y37=""),AC37,IF(AND(P37='G-1 All Habitats'!$X$3,AC37="None",AC37),IF(AND(P37='G-1 All Habitats'!$X$3,AC37&gt;0),H37-S37-T37))))))))</f>
        <v/>
      </c>
      <c r="X37" s="84" t="str">
        <f>IFERROR(IF(H37="","",IF(H37-S37-T37=0&lt;0,"Error in Areas",IF(S37+T37&gt;H37,"Error in Areas",IF(AND(P37='G-1 All Habitats'!$X$3,Y37="Yes"),"Alternative Compensation",IF(W37=0,0,IF(P37='G-1 All Habitats'!$X$3,"Unacceptable Loss",Q37-U37-V37)))))),"Check Data")</f>
        <v/>
      </c>
      <c r="Y37" s="82"/>
      <c r="Z37" s="92"/>
      <c r="AA37" s="93"/>
      <c r="AC37" s="87" t="str">
        <f>IF(P37="","",IF(P37='G-1 All Habitats'!$X$3,H37-S37-T37,"None"))</f>
        <v/>
      </c>
      <c r="AD37" s="88" t="str">
        <f>IFERROR(AC37*J37*L37*#REF!*O37,IF(P37="","","None"))</f>
        <v/>
      </c>
      <c r="AF37" s="59" t="str">
        <f t="shared" si="0"/>
        <v/>
      </c>
      <c r="AG37" s="59" t="str">
        <f t="shared" si="1"/>
        <v/>
      </c>
      <c r="AH37" s="59" t="str">
        <f>IF(I37="","",IF(#REF!&gt;0,TRUE,FALSE))</f>
        <v/>
      </c>
      <c r="AI37" s="59">
        <v>27</v>
      </c>
      <c r="AJ37" s="59"/>
      <c r="AK37" s="59" t="str">
        <f t="array" ref="AK37">IFERROR(INDEX($AI$11:$AI$259, MATCH(0, IF(TRUE=$AF$11:$AF$259, COUNTIF($AK$10:$AK36, $AI$11:$AI$259), ""), 0)),"")</f>
        <v/>
      </c>
      <c r="AL37" s="59" t="str">
        <f t="array" ref="AL37">IFERROR(INDEX($AI$11:$AI$259, MATCH(0, IF(TRUE=$AG$11:$AG$259, COUNTIF($AL$10:$AL36, $AI$11:$AI$259), ""), 0)),"")</f>
        <v/>
      </c>
      <c r="AM37" s="59" t="str">
        <f t="array" ref="AM37">IFERROR(INDEX($AI$11:$AI$259, MATCH(0, IF(TRUE=$AH$11:$AH$259, COUNTIF($AM$10:$AM36, $AI$11:$AI$259), ""), 0)),"")</f>
        <v/>
      </c>
      <c r="AN37" s="59"/>
      <c r="AQ37" s="52">
        <f t="shared" si="2"/>
        <v>0</v>
      </c>
    </row>
    <row r="38" spans="1:43" x14ac:dyDescent="0.25">
      <c r="A38" s="52" t="str">
        <f>IFERROR(INDEX('G-1 All Habitats'!$AG$3:$AG$15,MATCH(E38,'G-1 All Habitats'!$AF$3:$AF$15,0)),"")</f>
        <v/>
      </c>
      <c r="B38" s="52" t="str">
        <f>IFERROR(INDEX('G-8 Condition Look up'!$I$4:$I$131,MATCH(G38,'G-8 Condition Look up'!$A$4:$A$131,0)),"")</f>
        <v/>
      </c>
      <c r="D38" s="89">
        <v>28</v>
      </c>
      <c r="E38" s="90"/>
      <c r="F38" s="91"/>
      <c r="G38" s="75" t="str">
        <f>IFERROR(INDEX('G-1 All Habitats'!$B$3:$B$130,MATCH(F38,'G-1 All Habitats'!$A$3:$A$130,0)),"")</f>
        <v/>
      </c>
      <c r="H38" s="76"/>
      <c r="I38" s="77" t="str">
        <f>IF(G38="","",VLOOKUP(G38,'G-1 All Habitats'!$B$2:$M$130,10,FALSE))</f>
        <v/>
      </c>
      <c r="J38" s="78" t="str">
        <f>IFERROR(VLOOKUP(I38,'G-1 All Habitats'!$V$3:$W$7,2,FALSE),"")</f>
        <v/>
      </c>
      <c r="K38" s="79"/>
      <c r="L38" s="78" t="str">
        <f>IFERROR(INDEX('G-8 Condition Look up'!$A$3:$H$131,MATCH(G38,'G-8 Condition Look up'!$A$3:$A$131,0),MATCH(K38,'G-8 Condition Look up'!$A$3:$H$3,0)),"")</f>
        <v/>
      </c>
      <c r="M38" s="79"/>
      <c r="N38" s="348" t="str">
        <f>IF(M38="","",IF(VLOOKUP(M38,'G-3 Multipliers'!$L$3:$N$6,2,FALSE)=0,"Spatial Data Missing",VLOOKUP(M38,'G-3 Multipliers'!$L$3:$N$6,2,FALSE)))</f>
        <v/>
      </c>
      <c r="O38" s="569" t="str">
        <f>IF(M38="","",IF(VLOOKUP(M38,'G-3 Multipliers'!$L$3:$N$6,3,FALSE)=0,"Spatial Data Missing",VLOOKUP(M38,'G-3 Multipliers'!$L$3:$N$6,3,FALSE)))</f>
        <v/>
      </c>
      <c r="P38" s="80" t="str">
        <f>IFERROR(VLOOKUP(G38,'G-1 All Habitats'!$B$2:$M$130,12,FALSE),"")</f>
        <v/>
      </c>
      <c r="Q38" s="81" t="str">
        <f>IFERROR(IF(P38="","",IF(AND(P38='G-1 All Habitats'!$X$3,T38&gt;0),U38+V38,IF(AND(P38='G-1 All Habitats'!$X$3,S38&gt;0),U38+V38,IF(AND(P38='G-1 All Habitats'!$X$3,AC38&gt;0),"Any Loss Unacceptable",IF(AND(P38='G-1 All Habitats'!$X$3,W38&gt;0),"Any Loss Unacceptable",H38*J38*L38*O38))))),"Check Data")</f>
        <v/>
      </c>
      <c r="R38" s="55"/>
      <c r="S38" s="79"/>
      <c r="T38" s="82"/>
      <c r="U38" s="83" t="str">
        <f t="shared" si="3"/>
        <v/>
      </c>
      <c r="V38" s="83" t="str">
        <f t="shared" si="4"/>
        <v/>
      </c>
      <c r="W38" s="83" t="str">
        <f>IF(E38="","",IF(H38&lt;S38+T38,"Error in Areas",IF(P38&lt;&gt;'G-1 All Habitats'!$X$3,H38-S38-T38,IF(AND(P38='G-1 All Habitats'!$X$3,Y38="Yes"),"Unacceptable Loss",IF(AND(P38='G-1 All Habitats'!$X$3,Y38="No"),AC38,IF(AND(P38='G-1 All Habitats'!$X$3,Y38=""),AC38,IF(AND(P38='G-1 All Habitats'!$X$3,AC38="None",AC38),IF(AND(P38='G-1 All Habitats'!$X$3,AC38&gt;0),H38-S38-T38))))))))</f>
        <v/>
      </c>
      <c r="X38" s="84" t="str">
        <f>IFERROR(IF(H38="","",IF(H38-S38-T38=0&lt;0,"Error in Areas",IF(S38+T38&gt;H38,"Error in Areas",IF(AND(P38='G-1 All Habitats'!$X$3,Y38="Yes"),"Alternative Compensation",IF(W38=0,0,IF(P38='G-1 All Habitats'!$X$3,"Unacceptable Loss",Q38-U38-V38)))))),"Check Data")</f>
        <v/>
      </c>
      <c r="Y38" s="82"/>
      <c r="Z38" s="92"/>
      <c r="AA38" s="93"/>
      <c r="AC38" s="87" t="str">
        <f>IF(P38="","",IF(P38='G-1 All Habitats'!$X$3,H38-S38-T38,"None"))</f>
        <v/>
      </c>
      <c r="AD38" s="88" t="str">
        <f>IFERROR(AC38*J38*L38*#REF!*O38,IF(P38="","","None"))</f>
        <v/>
      </c>
      <c r="AF38" s="59" t="str">
        <f t="shared" si="0"/>
        <v/>
      </c>
      <c r="AG38" s="59" t="str">
        <f t="shared" si="1"/>
        <v/>
      </c>
      <c r="AH38" s="59" t="str">
        <f>IF(I38="","",IF(#REF!&gt;0,TRUE,FALSE))</f>
        <v/>
      </c>
      <c r="AI38" s="59">
        <v>28</v>
      </c>
      <c r="AJ38" s="59"/>
      <c r="AK38" s="59" t="str">
        <f t="array" ref="AK38">IFERROR(INDEX($AI$11:$AI$259, MATCH(0, IF(TRUE=$AF$11:$AF$259, COUNTIF($AK$10:$AK37, $AI$11:$AI$259), ""), 0)),"")</f>
        <v/>
      </c>
      <c r="AL38" s="59" t="str">
        <f t="array" ref="AL38">IFERROR(INDEX($AI$11:$AI$259, MATCH(0, IF(TRUE=$AG$11:$AG$259, COUNTIF($AL$10:$AL37, $AI$11:$AI$259), ""), 0)),"")</f>
        <v/>
      </c>
      <c r="AM38" s="59" t="str">
        <f t="array" ref="AM38">IFERROR(INDEX($AI$11:$AI$259, MATCH(0, IF(TRUE=$AH$11:$AH$259, COUNTIF($AM$10:$AM37, $AI$11:$AI$259), ""), 0)),"")</f>
        <v/>
      </c>
      <c r="AN38" s="59"/>
      <c r="AQ38" s="52">
        <f t="shared" si="2"/>
        <v>0</v>
      </c>
    </row>
    <row r="39" spans="1:43" x14ac:dyDescent="0.25">
      <c r="A39" s="52" t="str">
        <f>IFERROR(INDEX('G-1 All Habitats'!$AG$3:$AG$15,MATCH(E39,'G-1 All Habitats'!$AF$3:$AF$15,0)),"")</f>
        <v/>
      </c>
      <c r="B39" s="52" t="str">
        <f>IFERROR(INDEX('G-8 Condition Look up'!$I$4:$I$131,MATCH(G39,'G-8 Condition Look up'!$A$4:$A$131,0)),"")</f>
        <v/>
      </c>
      <c r="D39" s="89">
        <v>29</v>
      </c>
      <c r="E39" s="90"/>
      <c r="F39" s="91"/>
      <c r="G39" s="75" t="str">
        <f>IFERROR(INDEX('G-1 All Habitats'!$B$3:$B$130,MATCH(F39,'G-1 All Habitats'!$A$3:$A$130,0)),"")</f>
        <v/>
      </c>
      <c r="H39" s="76"/>
      <c r="I39" s="77" t="str">
        <f>IF(G39="","",VLOOKUP(G39,'G-1 All Habitats'!$B$2:$M$130,10,FALSE))</f>
        <v/>
      </c>
      <c r="J39" s="78" t="str">
        <f>IFERROR(VLOOKUP(I39,'G-1 All Habitats'!$V$3:$W$7,2,FALSE),"")</f>
        <v/>
      </c>
      <c r="K39" s="79"/>
      <c r="L39" s="78" t="str">
        <f>IFERROR(INDEX('G-8 Condition Look up'!$A$3:$H$131,MATCH(G39,'G-8 Condition Look up'!$A$3:$A$131,0),MATCH(K39,'G-8 Condition Look up'!$A$3:$H$3,0)),"")</f>
        <v/>
      </c>
      <c r="M39" s="79"/>
      <c r="N39" s="348" t="str">
        <f>IF(M39="","",IF(VLOOKUP(M39,'G-3 Multipliers'!$L$3:$N$6,2,FALSE)=0,"Spatial Data Missing",VLOOKUP(M39,'G-3 Multipliers'!$L$3:$N$6,2,FALSE)))</f>
        <v/>
      </c>
      <c r="O39" s="569" t="str">
        <f>IF(M39="","",IF(VLOOKUP(M39,'G-3 Multipliers'!$L$3:$N$6,3,FALSE)=0,"Spatial Data Missing",VLOOKUP(M39,'G-3 Multipliers'!$L$3:$N$6,3,FALSE)))</f>
        <v/>
      </c>
      <c r="P39" s="80" t="str">
        <f>IFERROR(VLOOKUP(G39,'G-1 All Habitats'!$B$2:$M$130,12,FALSE),"")</f>
        <v/>
      </c>
      <c r="Q39" s="81" t="str">
        <f>IFERROR(IF(P39="","",IF(AND(P39='G-1 All Habitats'!$X$3,T39&gt;0),U39+V39,IF(AND(P39='G-1 All Habitats'!$X$3,S39&gt;0),U39+V39,IF(AND(P39='G-1 All Habitats'!$X$3,AC39&gt;0),"Any Loss Unacceptable",IF(AND(P39='G-1 All Habitats'!$X$3,W39&gt;0),"Any Loss Unacceptable",H39*J39*L39*O39))))),"Check Data")</f>
        <v/>
      </c>
      <c r="R39" s="55"/>
      <c r="S39" s="79"/>
      <c r="T39" s="82"/>
      <c r="U39" s="83" t="str">
        <f t="shared" si="3"/>
        <v/>
      </c>
      <c r="V39" s="83" t="str">
        <f t="shared" si="4"/>
        <v/>
      </c>
      <c r="W39" s="83" t="str">
        <f>IF(E39="","",IF(H39&lt;S39+T39,"Error in Areas",IF(P39&lt;&gt;'G-1 All Habitats'!$X$3,H39-S39-T39,IF(AND(P39='G-1 All Habitats'!$X$3,Y39="Yes"),"Unacceptable Loss",IF(AND(P39='G-1 All Habitats'!$X$3,Y39="No"),AC39,IF(AND(P39='G-1 All Habitats'!$X$3,Y39=""),AC39,IF(AND(P39='G-1 All Habitats'!$X$3,AC39="None",AC39),IF(AND(P39='G-1 All Habitats'!$X$3,AC39&gt;0),H39-S39-T39))))))))</f>
        <v/>
      </c>
      <c r="X39" s="84" t="str">
        <f>IFERROR(IF(H39="","",IF(H39-S39-T39=0&lt;0,"Error in Areas",IF(S39+T39&gt;H39,"Error in Areas",IF(AND(P39='G-1 All Habitats'!$X$3,Y39="Yes"),"Alternative Compensation",IF(W39=0,0,IF(P39='G-1 All Habitats'!$X$3,"Unacceptable Loss",Q39-U39-V39)))))),"Check Data")</f>
        <v/>
      </c>
      <c r="Y39" s="82"/>
      <c r="Z39" s="92"/>
      <c r="AA39" s="93"/>
      <c r="AC39" s="87" t="str">
        <f>IF(P39="","",IF(P39='G-1 All Habitats'!$X$3,H39-S39-T39,"None"))</f>
        <v/>
      </c>
      <c r="AD39" s="88" t="str">
        <f>IFERROR(AC39*J39*L39*#REF!*O39,IF(P39="","","None"))</f>
        <v/>
      </c>
      <c r="AF39" s="59" t="str">
        <f t="shared" si="0"/>
        <v/>
      </c>
      <c r="AG39" s="59" t="str">
        <f t="shared" si="1"/>
        <v/>
      </c>
      <c r="AH39" s="59" t="str">
        <f>IF(I39="","",IF(#REF!&gt;0,TRUE,FALSE))</f>
        <v/>
      </c>
      <c r="AI39" s="59">
        <v>29</v>
      </c>
      <c r="AJ39" s="59"/>
      <c r="AK39" s="59" t="str">
        <f t="array" ref="AK39">IFERROR(INDEX($AI$11:$AI$259, MATCH(0, IF(TRUE=$AF$11:$AF$259, COUNTIF($AK$10:$AK38, $AI$11:$AI$259), ""), 0)),"")</f>
        <v/>
      </c>
      <c r="AL39" s="59" t="str">
        <f t="array" ref="AL39">IFERROR(INDEX($AI$11:$AI$259, MATCH(0, IF(TRUE=$AG$11:$AG$259, COUNTIF($AL$10:$AL38, $AI$11:$AI$259), ""), 0)),"")</f>
        <v/>
      </c>
      <c r="AM39" s="59" t="str">
        <f t="array" ref="AM39">IFERROR(INDEX($AI$11:$AI$259, MATCH(0, IF(TRUE=$AH$11:$AH$259, COUNTIF($AM$10:$AM38, $AI$11:$AI$259), ""), 0)),"")</f>
        <v/>
      </c>
      <c r="AN39" s="59"/>
      <c r="AQ39" s="52">
        <f t="shared" si="2"/>
        <v>0</v>
      </c>
    </row>
    <row r="40" spans="1:43" x14ac:dyDescent="0.25">
      <c r="A40" s="52" t="str">
        <f>IFERROR(INDEX('G-1 All Habitats'!$AG$3:$AG$15,MATCH(E40,'G-1 All Habitats'!$AF$3:$AF$15,0)),"")</f>
        <v/>
      </c>
      <c r="B40" s="52" t="str">
        <f>IFERROR(INDEX('G-8 Condition Look up'!$I$4:$I$131,MATCH(G40,'G-8 Condition Look up'!$A$4:$A$131,0)),"")</f>
        <v/>
      </c>
      <c r="D40" s="89">
        <v>30</v>
      </c>
      <c r="E40" s="90"/>
      <c r="F40" s="91"/>
      <c r="G40" s="75" t="str">
        <f>IFERROR(INDEX('G-1 All Habitats'!$B$3:$B$130,MATCH(F40,'G-1 All Habitats'!$A$3:$A$130,0)),"")</f>
        <v/>
      </c>
      <c r="H40" s="76"/>
      <c r="I40" s="77" t="str">
        <f>IF(G40="","",VLOOKUP(G40,'G-1 All Habitats'!$B$2:$M$130,10,FALSE))</f>
        <v/>
      </c>
      <c r="J40" s="78" t="str">
        <f>IFERROR(VLOOKUP(I40,'G-1 All Habitats'!$V$3:$W$7,2,FALSE),"")</f>
        <v/>
      </c>
      <c r="K40" s="79"/>
      <c r="L40" s="78" t="str">
        <f>IFERROR(INDEX('G-8 Condition Look up'!$A$3:$H$131,MATCH(G40,'G-8 Condition Look up'!$A$3:$A$131,0),MATCH(K40,'G-8 Condition Look up'!$A$3:$H$3,0)),"")</f>
        <v/>
      </c>
      <c r="M40" s="79"/>
      <c r="N40" s="348" t="str">
        <f>IF(M40="","",IF(VLOOKUP(M40,'G-3 Multipliers'!$L$3:$N$6,2,FALSE)=0,"Spatial Data Missing",VLOOKUP(M40,'G-3 Multipliers'!$L$3:$N$6,2,FALSE)))</f>
        <v/>
      </c>
      <c r="O40" s="569" t="str">
        <f>IF(M40="","",IF(VLOOKUP(M40,'G-3 Multipliers'!$L$3:$N$6,3,FALSE)=0,"Spatial Data Missing",VLOOKUP(M40,'G-3 Multipliers'!$L$3:$N$6,3,FALSE)))</f>
        <v/>
      </c>
      <c r="P40" s="80" t="str">
        <f>IFERROR(VLOOKUP(G40,'G-1 All Habitats'!$B$2:$M$130,12,FALSE),"")</f>
        <v/>
      </c>
      <c r="Q40" s="81" t="str">
        <f>IFERROR(IF(P40="","",IF(AND(P40='G-1 All Habitats'!$X$3,T40&gt;0),U40+V40,IF(AND(P40='G-1 All Habitats'!$X$3,S40&gt;0),U40+V40,IF(AND(P40='G-1 All Habitats'!$X$3,AC40&gt;0),"Any Loss Unacceptable",IF(AND(P40='G-1 All Habitats'!$X$3,W40&gt;0),"Any Loss Unacceptable",H40*J40*L40*O40))))),"Check Data")</f>
        <v/>
      </c>
      <c r="R40" s="55"/>
      <c r="S40" s="79"/>
      <c r="T40" s="82"/>
      <c r="U40" s="83" t="str">
        <f t="shared" si="3"/>
        <v/>
      </c>
      <c r="V40" s="83" t="str">
        <f t="shared" si="4"/>
        <v/>
      </c>
      <c r="W40" s="83" t="str">
        <f>IF(E40="","",IF(H40&lt;S40+T40,"Error in Areas",IF(P40&lt;&gt;'G-1 All Habitats'!$X$3,H40-S40-T40,IF(AND(P40='G-1 All Habitats'!$X$3,Y40="Yes"),"Unacceptable Loss",IF(AND(P40='G-1 All Habitats'!$X$3,Y40="No"),AC40,IF(AND(P40='G-1 All Habitats'!$X$3,Y40=""),AC40,IF(AND(P40='G-1 All Habitats'!$X$3,AC40="None",AC40),IF(AND(P40='G-1 All Habitats'!$X$3,AC40&gt;0),H40-S40-T40))))))))</f>
        <v/>
      </c>
      <c r="X40" s="84" t="str">
        <f>IFERROR(IF(H40="","",IF(H40-S40-T40=0&lt;0,"Error in Areas",IF(S40+T40&gt;H40,"Error in Areas",IF(AND(P40='G-1 All Habitats'!$X$3,Y40="Yes"),"Alternative Compensation",IF(W40=0,0,IF(P40='G-1 All Habitats'!$X$3,"Unacceptable Loss",Q40-U40-V40)))))),"Check Data")</f>
        <v/>
      </c>
      <c r="Y40" s="82"/>
      <c r="Z40" s="92"/>
      <c r="AA40" s="93"/>
      <c r="AC40" s="87" t="str">
        <f>IF(P40="","",IF(P40='G-1 All Habitats'!$X$3,H40-S40-T40,"None"))</f>
        <v/>
      </c>
      <c r="AD40" s="88" t="str">
        <f>IFERROR(AC40*J40*L40*#REF!*O40,IF(P40="","","None"))</f>
        <v/>
      </c>
      <c r="AF40" s="59" t="str">
        <f t="shared" si="0"/>
        <v/>
      </c>
      <c r="AG40" s="59" t="str">
        <f t="shared" si="1"/>
        <v/>
      </c>
      <c r="AH40" s="59" t="str">
        <f>IF(I40="","",IF(#REF!&gt;0,TRUE,FALSE))</f>
        <v/>
      </c>
      <c r="AI40" s="59">
        <v>30</v>
      </c>
      <c r="AJ40" s="59"/>
      <c r="AK40" s="59" t="str">
        <f t="array" ref="AK40">IFERROR(INDEX($AI$11:$AI$259, MATCH(0, IF(TRUE=$AF$11:$AF$259, COUNTIF($AK$10:$AK39, $AI$11:$AI$259), ""), 0)),"")</f>
        <v/>
      </c>
      <c r="AL40" s="59" t="str">
        <f t="array" ref="AL40">IFERROR(INDEX($AI$11:$AI$259, MATCH(0, IF(TRUE=$AG$11:$AG$259, COUNTIF($AL$10:$AL39, $AI$11:$AI$259), ""), 0)),"")</f>
        <v/>
      </c>
      <c r="AM40" s="59" t="str">
        <f t="array" ref="AM40">IFERROR(INDEX($AI$11:$AI$259, MATCH(0, IF(TRUE=$AH$11:$AH$259, COUNTIF($AM$10:$AM39, $AI$11:$AI$259), ""), 0)),"")</f>
        <v/>
      </c>
      <c r="AN40" s="59"/>
      <c r="AQ40" s="52">
        <f t="shared" si="2"/>
        <v>0</v>
      </c>
    </row>
    <row r="41" spans="1:43" x14ac:dyDescent="0.25">
      <c r="A41" s="52" t="str">
        <f>IFERROR(INDEX('G-1 All Habitats'!$AG$3:$AG$15,MATCH(E41,'G-1 All Habitats'!$AF$3:$AF$15,0)),"")</f>
        <v/>
      </c>
      <c r="B41" s="52" t="str">
        <f>IFERROR(INDEX('G-8 Condition Look up'!$I$4:$I$131,MATCH(G41,'G-8 Condition Look up'!$A$4:$A$131,0)),"")</f>
        <v/>
      </c>
      <c r="D41" s="89">
        <v>31</v>
      </c>
      <c r="E41" s="90"/>
      <c r="F41" s="91"/>
      <c r="G41" s="75" t="str">
        <f>IFERROR(INDEX('G-1 All Habitats'!$B$3:$B$130,MATCH(F41,'G-1 All Habitats'!$A$3:$A$130,0)),"")</f>
        <v/>
      </c>
      <c r="H41" s="76"/>
      <c r="I41" s="77" t="str">
        <f>IF(G41="","",VLOOKUP(G41,'G-1 All Habitats'!$B$2:$M$130,10,FALSE))</f>
        <v/>
      </c>
      <c r="J41" s="78" t="str">
        <f>IFERROR(VLOOKUP(I41,'G-1 All Habitats'!$V$3:$W$7,2,FALSE),"")</f>
        <v/>
      </c>
      <c r="K41" s="79"/>
      <c r="L41" s="78" t="str">
        <f>IFERROR(INDEX('G-8 Condition Look up'!$A$3:$H$131,MATCH(G41,'G-8 Condition Look up'!$A$3:$A$131,0),MATCH(K41,'G-8 Condition Look up'!$A$3:$H$3,0)),"")</f>
        <v/>
      </c>
      <c r="M41" s="79"/>
      <c r="N41" s="348" t="str">
        <f>IF(M41="","",IF(VLOOKUP(M41,'G-3 Multipliers'!$L$3:$N$6,2,FALSE)=0,"Spatial Data Missing",VLOOKUP(M41,'G-3 Multipliers'!$L$3:$N$6,2,FALSE)))</f>
        <v/>
      </c>
      <c r="O41" s="569" t="str">
        <f>IF(M41="","",IF(VLOOKUP(M41,'G-3 Multipliers'!$L$3:$N$6,3,FALSE)=0,"Spatial Data Missing",VLOOKUP(M41,'G-3 Multipliers'!$L$3:$N$6,3,FALSE)))</f>
        <v/>
      </c>
      <c r="P41" s="80" t="str">
        <f>IFERROR(VLOOKUP(G41,'G-1 All Habitats'!$B$2:$M$130,12,FALSE),"")</f>
        <v/>
      </c>
      <c r="Q41" s="81" t="str">
        <f>IFERROR(IF(P41="","",IF(AND(P41='G-1 All Habitats'!$X$3,T41&gt;0),U41+V41,IF(AND(P41='G-1 All Habitats'!$X$3,S41&gt;0),U41+V41,IF(AND(P41='G-1 All Habitats'!$X$3,AC41&gt;0),"Any Loss Unacceptable",IF(AND(P41='G-1 All Habitats'!$X$3,W41&gt;0),"Any Loss Unacceptable",H41*J41*L41*O41))))),"Check Data")</f>
        <v/>
      </c>
      <c r="R41" s="55"/>
      <c r="S41" s="79"/>
      <c r="T41" s="82"/>
      <c r="U41" s="83" t="str">
        <f t="shared" si="3"/>
        <v/>
      </c>
      <c r="V41" s="83" t="str">
        <f t="shared" si="4"/>
        <v/>
      </c>
      <c r="W41" s="83" t="str">
        <f>IF(E41="","",IF(H41&lt;S41+T41,"Error in Areas",IF(P41&lt;&gt;'G-1 All Habitats'!$X$3,H41-S41-T41,IF(AND(P41='G-1 All Habitats'!$X$3,Y41="Yes"),"Unacceptable Loss",IF(AND(P41='G-1 All Habitats'!$X$3,Y41="No"),AC41,IF(AND(P41='G-1 All Habitats'!$X$3,Y41=""),AC41,IF(AND(P41='G-1 All Habitats'!$X$3,AC41="None",AC41),IF(AND(P41='G-1 All Habitats'!$X$3,AC41&gt;0),H41-S41-T41))))))))</f>
        <v/>
      </c>
      <c r="X41" s="84" t="str">
        <f>IFERROR(IF(H41="","",IF(H41-S41-T41=0&lt;0,"Error in Areas",IF(S41+T41&gt;H41,"Error in Areas",IF(AND(P41='G-1 All Habitats'!$X$3,Y41="Yes"),"Alternative Compensation",IF(W41=0,0,IF(P41='G-1 All Habitats'!$X$3,"Unacceptable Loss",Q41-U41-V41)))))),"Check Data")</f>
        <v/>
      </c>
      <c r="Y41" s="82"/>
      <c r="Z41" s="92"/>
      <c r="AA41" s="93"/>
      <c r="AC41" s="87" t="str">
        <f>IF(P41="","",IF(P41='G-1 All Habitats'!$X$3,H41-S41-T41,"None"))</f>
        <v/>
      </c>
      <c r="AD41" s="88" t="str">
        <f>IFERROR(AC41*J41*L41*#REF!*O41,IF(P41="","","None"))</f>
        <v/>
      </c>
      <c r="AF41" s="59" t="str">
        <f t="shared" si="0"/>
        <v/>
      </c>
      <c r="AG41" s="59" t="str">
        <f t="shared" si="1"/>
        <v/>
      </c>
      <c r="AH41" s="59" t="str">
        <f>IF(I41="","",IF(#REF!&gt;0,TRUE,FALSE))</f>
        <v/>
      </c>
      <c r="AI41" s="59">
        <v>31</v>
      </c>
      <c r="AJ41" s="59"/>
      <c r="AK41" s="59" t="str">
        <f t="array" ref="AK41">IFERROR(INDEX($AI$11:$AI$259, MATCH(0, IF(TRUE=$AF$11:$AF$259, COUNTIF($AK$10:$AK40, $AI$11:$AI$259), ""), 0)),"")</f>
        <v/>
      </c>
      <c r="AL41" s="59" t="str">
        <f t="array" ref="AL41">IFERROR(INDEX($AI$11:$AI$259, MATCH(0, IF(TRUE=$AG$11:$AG$259, COUNTIF($AL$10:$AL40, $AI$11:$AI$259), ""), 0)),"")</f>
        <v/>
      </c>
      <c r="AM41" s="59" t="str">
        <f t="array" ref="AM41">IFERROR(INDEX($AI$11:$AI$259, MATCH(0, IF(TRUE=$AH$11:$AH$259, COUNTIF($AM$10:$AM40, $AI$11:$AI$259), ""), 0)),"")</f>
        <v/>
      </c>
      <c r="AN41" s="59"/>
      <c r="AQ41" s="52">
        <f t="shared" si="2"/>
        <v>0</v>
      </c>
    </row>
    <row r="42" spans="1:43" x14ac:dyDescent="0.25">
      <c r="A42" s="52" t="str">
        <f>IFERROR(INDEX('G-1 All Habitats'!$AG$3:$AG$15,MATCH(E42,'G-1 All Habitats'!$AF$3:$AF$15,0)),"")</f>
        <v/>
      </c>
      <c r="B42" s="52" t="str">
        <f>IFERROR(INDEX('G-8 Condition Look up'!$I$4:$I$131,MATCH(G42,'G-8 Condition Look up'!$A$4:$A$131,0)),"")</f>
        <v/>
      </c>
      <c r="D42" s="89">
        <v>32</v>
      </c>
      <c r="E42" s="90"/>
      <c r="F42" s="91"/>
      <c r="G42" s="75" t="str">
        <f>IFERROR(INDEX('G-1 All Habitats'!$B$3:$B$130,MATCH(F42,'G-1 All Habitats'!$A$3:$A$130,0)),"")</f>
        <v/>
      </c>
      <c r="H42" s="76"/>
      <c r="I42" s="77" t="str">
        <f>IF(G42="","",VLOOKUP(G42,'G-1 All Habitats'!$B$2:$M$130,10,FALSE))</f>
        <v/>
      </c>
      <c r="J42" s="78" t="str">
        <f>IFERROR(VLOOKUP(I42,'G-1 All Habitats'!$V$3:$W$7,2,FALSE),"")</f>
        <v/>
      </c>
      <c r="K42" s="79"/>
      <c r="L42" s="78" t="str">
        <f>IFERROR(INDEX('G-8 Condition Look up'!$A$3:$H$131,MATCH(G42,'G-8 Condition Look up'!$A$3:$A$131,0),MATCH(K42,'G-8 Condition Look up'!$A$3:$H$3,0)),"")</f>
        <v/>
      </c>
      <c r="M42" s="79"/>
      <c r="N42" s="348" t="str">
        <f>IF(M42="","",IF(VLOOKUP(M42,'G-3 Multipliers'!$L$3:$N$6,2,FALSE)=0,"Spatial Data Missing",VLOOKUP(M42,'G-3 Multipliers'!$L$3:$N$6,2,FALSE)))</f>
        <v/>
      </c>
      <c r="O42" s="569" t="str">
        <f>IF(M42="","",IF(VLOOKUP(M42,'G-3 Multipliers'!$L$3:$N$6,3,FALSE)=0,"Spatial Data Missing",VLOOKUP(M42,'G-3 Multipliers'!$L$3:$N$6,3,FALSE)))</f>
        <v/>
      </c>
      <c r="P42" s="80" t="str">
        <f>IFERROR(VLOOKUP(G42,'G-1 All Habitats'!$B$2:$M$130,12,FALSE),"")</f>
        <v/>
      </c>
      <c r="Q42" s="81" t="str">
        <f>IFERROR(IF(P42="","",IF(AND(P42='G-1 All Habitats'!$X$3,T42&gt;0),U42+V42,IF(AND(P42='G-1 All Habitats'!$X$3,S42&gt;0),U42+V42,IF(AND(P42='G-1 All Habitats'!$X$3,AC42&gt;0),"Any Loss Unacceptable",IF(AND(P42='G-1 All Habitats'!$X$3,W42&gt;0),"Any Loss Unacceptable",H42*J42*L42*O42))))),"Check Data")</f>
        <v/>
      </c>
      <c r="R42" s="55"/>
      <c r="S42" s="79"/>
      <c r="T42" s="82"/>
      <c r="U42" s="83" t="str">
        <f t="shared" si="3"/>
        <v/>
      </c>
      <c r="V42" s="83" t="str">
        <f t="shared" si="4"/>
        <v/>
      </c>
      <c r="W42" s="83" t="str">
        <f>IF(E42="","",IF(H42&lt;S42+T42,"Error in Areas",IF(P42&lt;&gt;'G-1 All Habitats'!$X$3,H42-S42-T42,IF(AND(P42='G-1 All Habitats'!$X$3,Y42="Yes"),"Unacceptable Loss",IF(AND(P42='G-1 All Habitats'!$X$3,Y42="No"),AC42,IF(AND(P42='G-1 All Habitats'!$X$3,Y42=""),AC42,IF(AND(P42='G-1 All Habitats'!$X$3,AC42="None",AC42),IF(AND(P42='G-1 All Habitats'!$X$3,AC42&gt;0),H42-S42-T42))))))))</f>
        <v/>
      </c>
      <c r="X42" s="84" t="str">
        <f>IFERROR(IF(H42="","",IF(H42-S42-T42=0&lt;0,"Error in Areas",IF(S42+T42&gt;H42,"Error in Areas",IF(AND(P42='G-1 All Habitats'!$X$3,Y42="Yes"),"Alternative Compensation",IF(W42=0,0,IF(P42='G-1 All Habitats'!$X$3,"Unacceptable Loss",Q42-U42-V42)))))),"Check Data")</f>
        <v/>
      </c>
      <c r="Y42" s="82"/>
      <c r="Z42" s="92"/>
      <c r="AA42" s="93"/>
      <c r="AC42" s="87" t="str">
        <f>IF(P42="","",IF(P42='G-1 All Habitats'!$X$3,H42-S42-T42,"None"))</f>
        <v/>
      </c>
      <c r="AD42" s="88" t="str">
        <f>IFERROR(AC42*J42*L42*#REF!*O42,IF(P42="","","None"))</f>
        <v/>
      </c>
      <c r="AF42" s="59" t="str">
        <f t="shared" si="0"/>
        <v/>
      </c>
      <c r="AG42" s="59" t="str">
        <f t="shared" si="1"/>
        <v/>
      </c>
      <c r="AH42" s="59" t="str">
        <f>IF(I42="","",IF(#REF!&gt;0,TRUE,FALSE))</f>
        <v/>
      </c>
      <c r="AI42" s="59">
        <v>32</v>
      </c>
      <c r="AJ42" s="59"/>
      <c r="AK42" s="59" t="str">
        <f t="array" ref="AK42">IFERROR(INDEX($AI$11:$AI$259, MATCH(0, IF(TRUE=$AF$11:$AF$259, COUNTIF($AK$10:$AK41, $AI$11:$AI$259), ""), 0)),"")</f>
        <v/>
      </c>
      <c r="AL42" s="59" t="str">
        <f t="array" ref="AL42">IFERROR(INDEX($AI$11:$AI$259, MATCH(0, IF(TRUE=$AG$11:$AG$259, COUNTIF($AL$10:$AL41, $AI$11:$AI$259), ""), 0)),"")</f>
        <v/>
      </c>
      <c r="AM42" s="59" t="str">
        <f t="array" ref="AM42">IFERROR(INDEX($AI$11:$AI$259, MATCH(0, IF(TRUE=$AH$11:$AH$259, COUNTIF($AM$10:$AM41, $AI$11:$AI$259), ""), 0)),"")</f>
        <v/>
      </c>
      <c r="AN42" s="59"/>
      <c r="AQ42" s="52">
        <f t="shared" si="2"/>
        <v>0</v>
      </c>
    </row>
    <row r="43" spans="1:43" x14ac:dyDescent="0.25">
      <c r="A43" s="52" t="str">
        <f>IFERROR(INDEX('G-1 All Habitats'!$AG$3:$AG$15,MATCH(E43,'G-1 All Habitats'!$AF$3:$AF$15,0)),"")</f>
        <v/>
      </c>
      <c r="B43" s="52" t="str">
        <f>IFERROR(INDEX('G-8 Condition Look up'!$I$4:$I$131,MATCH(G43,'G-8 Condition Look up'!$A$4:$A$131,0)),"")</f>
        <v/>
      </c>
      <c r="D43" s="89">
        <v>33</v>
      </c>
      <c r="E43" s="90"/>
      <c r="F43" s="91"/>
      <c r="G43" s="75" t="str">
        <f>IFERROR(INDEX('G-1 All Habitats'!$B$3:$B$130,MATCH(F43,'G-1 All Habitats'!$A$3:$A$130,0)),"")</f>
        <v/>
      </c>
      <c r="H43" s="76"/>
      <c r="I43" s="77" t="str">
        <f>IF(G43="","",VLOOKUP(G43,'G-1 All Habitats'!$B$2:$M$130,10,FALSE))</f>
        <v/>
      </c>
      <c r="J43" s="78" t="str">
        <f>IFERROR(VLOOKUP(I43,'G-1 All Habitats'!$V$3:$W$7,2,FALSE),"")</f>
        <v/>
      </c>
      <c r="K43" s="79"/>
      <c r="L43" s="78" t="str">
        <f>IFERROR(INDEX('G-8 Condition Look up'!$A$3:$H$131,MATCH(G43,'G-8 Condition Look up'!$A$3:$A$131,0),MATCH(K43,'G-8 Condition Look up'!$A$3:$H$3,0)),"")</f>
        <v/>
      </c>
      <c r="M43" s="79"/>
      <c r="N43" s="348" t="str">
        <f>IF(M43="","",IF(VLOOKUP(M43,'G-3 Multipliers'!$L$3:$N$6,2,FALSE)=0,"Spatial Data Missing",VLOOKUP(M43,'G-3 Multipliers'!$L$3:$N$6,2,FALSE)))</f>
        <v/>
      </c>
      <c r="O43" s="569" t="str">
        <f>IF(M43="","",IF(VLOOKUP(M43,'G-3 Multipliers'!$L$3:$N$6,3,FALSE)=0,"Spatial Data Missing",VLOOKUP(M43,'G-3 Multipliers'!$L$3:$N$6,3,FALSE)))</f>
        <v/>
      </c>
      <c r="P43" s="80" t="str">
        <f>IFERROR(VLOOKUP(G43,'G-1 All Habitats'!$B$2:$M$130,12,FALSE),"")</f>
        <v/>
      </c>
      <c r="Q43" s="81" t="str">
        <f>IFERROR(IF(P43="","",IF(AND(P43='G-1 All Habitats'!$X$3,T43&gt;0),U43+V43,IF(AND(P43='G-1 All Habitats'!$X$3,S43&gt;0),U43+V43,IF(AND(P43='G-1 All Habitats'!$X$3,AC43&gt;0),"Any Loss Unacceptable",IF(AND(P43='G-1 All Habitats'!$X$3,W43&gt;0),"Any Loss Unacceptable",H43*J43*L43*O43))))),"Check Data")</f>
        <v/>
      </c>
      <c r="R43" s="55"/>
      <c r="S43" s="79"/>
      <c r="T43" s="82"/>
      <c r="U43" s="83" t="str">
        <f t="shared" si="3"/>
        <v/>
      </c>
      <c r="V43" s="83" t="str">
        <f t="shared" si="4"/>
        <v/>
      </c>
      <c r="W43" s="83" t="str">
        <f>IF(E43="","",IF(H43&lt;S43+T43,"Error in Areas",IF(P43&lt;&gt;'G-1 All Habitats'!$X$3,H43-S43-T43,IF(AND(P43='G-1 All Habitats'!$X$3,Y43="Yes"),"Unacceptable Loss",IF(AND(P43='G-1 All Habitats'!$X$3,Y43="No"),AC43,IF(AND(P43='G-1 All Habitats'!$X$3,Y43=""),AC43,IF(AND(P43='G-1 All Habitats'!$X$3,AC43="None",AC43),IF(AND(P43='G-1 All Habitats'!$X$3,AC43&gt;0),H43-S43-T43))))))))</f>
        <v/>
      </c>
      <c r="X43" s="84" t="str">
        <f>IFERROR(IF(H43="","",IF(H43-S43-T43=0&lt;0,"Error in Areas",IF(S43+T43&gt;H43,"Error in Areas",IF(AND(P43='G-1 All Habitats'!$X$3,Y43="Yes"),"Alternative Compensation",IF(W43=0,0,IF(P43='G-1 All Habitats'!$X$3,"Unacceptable Loss",Q43-U43-V43)))))),"Check Data")</f>
        <v/>
      </c>
      <c r="Y43" s="82"/>
      <c r="Z43" s="92"/>
      <c r="AA43" s="93"/>
      <c r="AC43" s="87" t="str">
        <f>IF(P43="","",IF(P43='G-1 All Habitats'!$X$3,H43-S43-T43,"None"))</f>
        <v/>
      </c>
      <c r="AD43" s="88" t="str">
        <f>IFERROR(AC43*J43*L43*#REF!*O43,IF(P43="","","None"))</f>
        <v/>
      </c>
      <c r="AF43" s="59" t="str">
        <f t="shared" si="0"/>
        <v/>
      </c>
      <c r="AG43" s="59" t="str">
        <f t="shared" si="1"/>
        <v/>
      </c>
      <c r="AH43" s="59" t="str">
        <f>IF(I43="","",IF(#REF!&gt;0,TRUE,FALSE))</f>
        <v/>
      </c>
      <c r="AI43" s="59">
        <v>33</v>
      </c>
      <c r="AJ43" s="59"/>
      <c r="AK43" s="59" t="str">
        <f t="array" ref="AK43">IFERROR(INDEX($AI$11:$AI$259, MATCH(0, IF(TRUE=$AF$11:$AF$259, COUNTIF($AK$10:$AK42, $AI$11:$AI$259), ""), 0)),"")</f>
        <v/>
      </c>
      <c r="AL43" s="59" t="str">
        <f t="array" ref="AL43">IFERROR(INDEX($AI$11:$AI$259, MATCH(0, IF(TRUE=$AG$11:$AG$259, COUNTIF($AL$10:$AL42, $AI$11:$AI$259), ""), 0)),"")</f>
        <v/>
      </c>
      <c r="AM43" s="59" t="str">
        <f t="array" ref="AM43">IFERROR(INDEX($AI$11:$AI$259, MATCH(0, IF(TRUE=$AH$11:$AH$259, COUNTIF($AM$10:$AM42, $AI$11:$AI$259), ""), 0)),"")</f>
        <v/>
      </c>
      <c r="AN43" s="59"/>
      <c r="AQ43" s="52">
        <f t="shared" si="2"/>
        <v>0</v>
      </c>
    </row>
    <row r="44" spans="1:43" x14ac:dyDescent="0.25">
      <c r="A44" s="52" t="str">
        <f>IFERROR(INDEX('G-1 All Habitats'!$AG$3:$AG$15,MATCH(E44,'G-1 All Habitats'!$AF$3:$AF$15,0)),"")</f>
        <v/>
      </c>
      <c r="B44" s="52" t="str">
        <f>IFERROR(INDEX('G-8 Condition Look up'!$I$4:$I$131,MATCH(G44,'G-8 Condition Look up'!$A$4:$A$131,0)),"")</f>
        <v/>
      </c>
      <c r="D44" s="89">
        <v>34</v>
      </c>
      <c r="E44" s="90"/>
      <c r="F44" s="91"/>
      <c r="G44" s="75" t="str">
        <f>IFERROR(INDEX('G-1 All Habitats'!$B$3:$B$130,MATCH(F44,'G-1 All Habitats'!$A$3:$A$130,0)),"")</f>
        <v/>
      </c>
      <c r="H44" s="76"/>
      <c r="I44" s="77" t="str">
        <f>IF(G44="","",VLOOKUP(G44,'G-1 All Habitats'!$B$2:$M$130,10,FALSE))</f>
        <v/>
      </c>
      <c r="J44" s="78" t="str">
        <f>IFERROR(VLOOKUP(I44,'G-1 All Habitats'!$V$3:$W$7,2,FALSE),"")</f>
        <v/>
      </c>
      <c r="K44" s="79"/>
      <c r="L44" s="78" t="str">
        <f>IFERROR(INDEX('G-8 Condition Look up'!$A$3:$H$131,MATCH(G44,'G-8 Condition Look up'!$A$3:$A$131,0),MATCH(K44,'G-8 Condition Look up'!$A$3:$H$3,0)),"")</f>
        <v/>
      </c>
      <c r="M44" s="79"/>
      <c r="N44" s="348" t="str">
        <f>IF(M44="","",IF(VLOOKUP(M44,'G-3 Multipliers'!$L$3:$N$6,2,FALSE)=0,"Spatial Data Missing",VLOOKUP(M44,'G-3 Multipliers'!$L$3:$N$6,2,FALSE)))</f>
        <v/>
      </c>
      <c r="O44" s="569" t="str">
        <f>IF(M44="","",IF(VLOOKUP(M44,'G-3 Multipliers'!$L$3:$N$6,3,FALSE)=0,"Spatial Data Missing",VLOOKUP(M44,'G-3 Multipliers'!$L$3:$N$6,3,FALSE)))</f>
        <v/>
      </c>
      <c r="P44" s="80" t="str">
        <f>IFERROR(VLOOKUP(G44,'G-1 All Habitats'!$B$2:$M$130,12,FALSE),"")</f>
        <v/>
      </c>
      <c r="Q44" s="81" t="str">
        <f>IFERROR(IF(P44="","",IF(AND(P44='G-1 All Habitats'!$X$3,T44&gt;0),U44+V44,IF(AND(P44='G-1 All Habitats'!$X$3,S44&gt;0),U44+V44,IF(AND(P44='G-1 All Habitats'!$X$3,AC44&gt;0),"Any Loss Unacceptable",IF(AND(P44='G-1 All Habitats'!$X$3,W44&gt;0),"Any Loss Unacceptable",H44*J44*L44*O44))))),"Check Data")</f>
        <v/>
      </c>
      <c r="R44" s="55"/>
      <c r="S44" s="79"/>
      <c r="T44" s="82"/>
      <c r="U44" s="83" t="str">
        <f t="shared" si="3"/>
        <v/>
      </c>
      <c r="V44" s="83" t="str">
        <f t="shared" si="4"/>
        <v/>
      </c>
      <c r="W44" s="83" t="str">
        <f>IF(E44="","",IF(H44&lt;S44+T44,"Error in Areas",IF(P44&lt;&gt;'G-1 All Habitats'!$X$3,H44-S44-T44,IF(AND(P44='G-1 All Habitats'!$X$3,Y44="Yes"),"Unacceptable Loss",IF(AND(P44='G-1 All Habitats'!$X$3,Y44="No"),AC44,IF(AND(P44='G-1 All Habitats'!$X$3,Y44=""),AC44,IF(AND(P44='G-1 All Habitats'!$X$3,AC44="None",AC44),IF(AND(P44='G-1 All Habitats'!$X$3,AC44&gt;0),H44-S44-T44))))))))</f>
        <v/>
      </c>
      <c r="X44" s="84" t="str">
        <f>IFERROR(IF(H44="","",IF(H44-S44-T44=0&lt;0,"Error in Areas",IF(S44+T44&gt;H44,"Error in Areas",IF(AND(P44='G-1 All Habitats'!$X$3,Y44="Yes"),"Alternative Compensation",IF(W44=0,0,IF(P44='G-1 All Habitats'!$X$3,"Unacceptable Loss",Q44-U44-V44)))))),"Check Data")</f>
        <v/>
      </c>
      <c r="Y44" s="82"/>
      <c r="Z44" s="92"/>
      <c r="AA44" s="93"/>
      <c r="AC44" s="87" t="str">
        <f>IF(P44="","",IF(P44='G-1 All Habitats'!$X$3,H44-S44-T44,"None"))</f>
        <v/>
      </c>
      <c r="AD44" s="88" t="str">
        <f>IFERROR(AC44*J44*L44*#REF!*O44,IF(P44="","","None"))</f>
        <v/>
      </c>
      <c r="AF44" s="59" t="str">
        <f t="shared" si="0"/>
        <v/>
      </c>
      <c r="AG44" s="59" t="str">
        <f t="shared" si="1"/>
        <v/>
      </c>
      <c r="AH44" s="59" t="str">
        <f>IF(I44="","",IF(#REF!&gt;0,TRUE,FALSE))</f>
        <v/>
      </c>
      <c r="AI44" s="59">
        <v>34</v>
      </c>
      <c r="AJ44" s="59"/>
      <c r="AK44" s="59" t="str">
        <f t="array" ref="AK44">IFERROR(INDEX($AI$11:$AI$259, MATCH(0, IF(TRUE=$AF$11:$AF$259, COUNTIF($AK$10:$AK43, $AI$11:$AI$259), ""), 0)),"")</f>
        <v/>
      </c>
      <c r="AL44" s="59" t="str">
        <f t="array" ref="AL44">IFERROR(INDEX($AI$11:$AI$259, MATCH(0, IF(TRUE=$AG$11:$AG$259, COUNTIF($AL$10:$AL43, $AI$11:$AI$259), ""), 0)),"")</f>
        <v/>
      </c>
      <c r="AM44" s="59" t="str">
        <f t="array" ref="AM44">IFERROR(INDEX($AI$11:$AI$259, MATCH(0, IF(TRUE=$AH$11:$AH$259, COUNTIF($AM$10:$AM43, $AI$11:$AI$259), ""), 0)),"")</f>
        <v/>
      </c>
      <c r="AN44" s="59"/>
      <c r="AQ44" s="52">
        <f t="shared" si="2"/>
        <v>0</v>
      </c>
    </row>
    <row r="45" spans="1:43" x14ac:dyDescent="0.25">
      <c r="A45" s="52" t="str">
        <f>IFERROR(INDEX('G-1 All Habitats'!$AG$3:$AG$15,MATCH(E45,'G-1 All Habitats'!$AF$3:$AF$15,0)),"")</f>
        <v/>
      </c>
      <c r="B45" s="52" t="str">
        <f>IFERROR(INDEX('G-8 Condition Look up'!$I$4:$I$131,MATCH(G45,'G-8 Condition Look up'!$A$4:$A$131,0)),"")</f>
        <v/>
      </c>
      <c r="D45" s="89">
        <v>35</v>
      </c>
      <c r="E45" s="90"/>
      <c r="F45" s="91"/>
      <c r="G45" s="75" t="str">
        <f>IFERROR(INDEX('G-1 All Habitats'!$B$3:$B$130,MATCH(F45,'G-1 All Habitats'!$A$3:$A$130,0)),"")</f>
        <v/>
      </c>
      <c r="H45" s="76"/>
      <c r="I45" s="77" t="str">
        <f>IF(G45="","",VLOOKUP(G45,'G-1 All Habitats'!$B$2:$M$130,10,FALSE))</f>
        <v/>
      </c>
      <c r="J45" s="78" t="str">
        <f>IFERROR(VLOOKUP(I45,'G-1 All Habitats'!$V$3:$W$7,2,FALSE),"")</f>
        <v/>
      </c>
      <c r="K45" s="79"/>
      <c r="L45" s="78" t="str">
        <f>IFERROR(INDEX('G-8 Condition Look up'!$A$3:$H$131,MATCH(G45,'G-8 Condition Look up'!$A$3:$A$131,0),MATCH(K45,'G-8 Condition Look up'!$A$3:$H$3,0)),"")</f>
        <v/>
      </c>
      <c r="M45" s="79"/>
      <c r="N45" s="348" t="str">
        <f>IF(M45="","",IF(VLOOKUP(M45,'G-3 Multipliers'!$L$3:$N$6,2,FALSE)=0,"Spatial Data Missing",VLOOKUP(M45,'G-3 Multipliers'!$L$3:$N$6,2,FALSE)))</f>
        <v/>
      </c>
      <c r="O45" s="569" t="str">
        <f>IF(M45="","",IF(VLOOKUP(M45,'G-3 Multipliers'!$L$3:$N$6,3,FALSE)=0,"Spatial Data Missing",VLOOKUP(M45,'G-3 Multipliers'!$L$3:$N$6,3,FALSE)))</f>
        <v/>
      </c>
      <c r="P45" s="80" t="str">
        <f>IFERROR(VLOOKUP(G45,'G-1 All Habitats'!$B$2:$M$130,12,FALSE),"")</f>
        <v/>
      </c>
      <c r="Q45" s="81" t="str">
        <f>IFERROR(IF(P45="","",IF(AND(P45='G-1 All Habitats'!$X$3,T45&gt;0),U45+V45,IF(AND(P45='G-1 All Habitats'!$X$3,S45&gt;0),U45+V45,IF(AND(P45='G-1 All Habitats'!$X$3,AC45&gt;0),"Any Loss Unacceptable",IF(AND(P45='G-1 All Habitats'!$X$3,W45&gt;0),"Any Loss Unacceptable",H45*J45*L45*O45))))),"Check Data")</f>
        <v/>
      </c>
      <c r="R45" s="55"/>
      <c r="S45" s="79"/>
      <c r="T45" s="82"/>
      <c r="U45" s="83" t="str">
        <f t="shared" si="3"/>
        <v/>
      </c>
      <c r="V45" s="83" t="str">
        <f t="shared" si="4"/>
        <v/>
      </c>
      <c r="W45" s="83" t="str">
        <f>IF(E45="","",IF(H45&lt;S45+T45,"Error in Areas",IF(P45&lt;&gt;'G-1 All Habitats'!$X$3,H45-S45-T45,IF(AND(P45='G-1 All Habitats'!$X$3,Y45="Yes"),"Unacceptable Loss",IF(AND(P45='G-1 All Habitats'!$X$3,Y45="No"),AC45,IF(AND(P45='G-1 All Habitats'!$X$3,Y45=""),AC45,IF(AND(P45='G-1 All Habitats'!$X$3,AC45="None",AC45),IF(AND(P45='G-1 All Habitats'!$X$3,AC45&gt;0),H45-S45-T45))))))))</f>
        <v/>
      </c>
      <c r="X45" s="84" t="str">
        <f>IFERROR(IF(H45="","",IF(H45-S45-T45=0&lt;0,"Error in Areas",IF(S45+T45&gt;H45,"Error in Areas",IF(AND(P45='G-1 All Habitats'!$X$3,Y45="Yes"),"Alternative Compensation",IF(W45=0,0,IF(P45='G-1 All Habitats'!$X$3,"Unacceptable Loss",Q45-U45-V45)))))),"Check Data")</f>
        <v/>
      </c>
      <c r="Y45" s="82"/>
      <c r="Z45" s="92"/>
      <c r="AA45" s="93"/>
      <c r="AC45" s="87" t="str">
        <f>IF(P45="","",IF(P45='G-1 All Habitats'!$X$3,H45-S45-T45,"None"))</f>
        <v/>
      </c>
      <c r="AD45" s="88" t="str">
        <f>IFERROR(AC45*J45*L45*#REF!*O45,IF(P45="","","None"))</f>
        <v/>
      </c>
      <c r="AF45" s="59" t="str">
        <f t="shared" si="0"/>
        <v/>
      </c>
      <c r="AG45" s="59" t="str">
        <f t="shared" si="1"/>
        <v/>
      </c>
      <c r="AH45" s="59" t="str">
        <f>IF(I45="","",IF(#REF!&gt;0,TRUE,FALSE))</f>
        <v/>
      </c>
      <c r="AI45" s="59">
        <v>35</v>
      </c>
      <c r="AJ45" s="59"/>
      <c r="AK45" s="59" t="str">
        <f t="array" ref="AK45">IFERROR(INDEX($AI$11:$AI$259, MATCH(0, IF(TRUE=$AF$11:$AF$259, COUNTIF($AK$10:$AK44, $AI$11:$AI$259), ""), 0)),"")</f>
        <v/>
      </c>
      <c r="AL45" s="59" t="str">
        <f t="array" ref="AL45">IFERROR(INDEX($AI$11:$AI$259, MATCH(0, IF(TRUE=$AG$11:$AG$259, COUNTIF($AL$10:$AL44, $AI$11:$AI$259), ""), 0)),"")</f>
        <v/>
      </c>
      <c r="AM45" s="59" t="str">
        <f t="array" ref="AM45">IFERROR(INDEX($AI$11:$AI$259, MATCH(0, IF(TRUE=$AH$11:$AH$259, COUNTIF($AM$10:$AM44, $AI$11:$AI$259), ""), 0)),"")</f>
        <v/>
      </c>
      <c r="AN45" s="59"/>
      <c r="AQ45" s="52">
        <f t="shared" si="2"/>
        <v>0</v>
      </c>
    </row>
    <row r="46" spans="1:43" x14ac:dyDescent="0.25">
      <c r="A46" s="52" t="str">
        <f>IFERROR(INDEX('G-1 All Habitats'!$AG$3:$AG$15,MATCH(E46,'G-1 All Habitats'!$AF$3:$AF$15,0)),"")</f>
        <v/>
      </c>
      <c r="B46" s="52" t="str">
        <f>IFERROR(INDEX('G-8 Condition Look up'!$I$4:$I$131,MATCH(G46,'G-8 Condition Look up'!$A$4:$A$131,0)),"")</f>
        <v/>
      </c>
      <c r="D46" s="89">
        <v>36</v>
      </c>
      <c r="E46" s="90"/>
      <c r="F46" s="91"/>
      <c r="G46" s="75" t="str">
        <f>IFERROR(INDEX('G-1 All Habitats'!$B$3:$B$130,MATCH(F46,'G-1 All Habitats'!$A$3:$A$130,0)),"")</f>
        <v/>
      </c>
      <c r="H46" s="76"/>
      <c r="I46" s="77" t="str">
        <f>IF(G46="","",VLOOKUP(G46,'G-1 All Habitats'!$B$2:$M$130,10,FALSE))</f>
        <v/>
      </c>
      <c r="J46" s="78" t="str">
        <f>IFERROR(VLOOKUP(I46,'G-1 All Habitats'!$V$3:$W$7,2,FALSE),"")</f>
        <v/>
      </c>
      <c r="K46" s="79"/>
      <c r="L46" s="78" t="str">
        <f>IFERROR(INDEX('G-8 Condition Look up'!$A$3:$H$131,MATCH(G46,'G-8 Condition Look up'!$A$3:$A$131,0),MATCH(K46,'G-8 Condition Look up'!$A$3:$H$3,0)),"")</f>
        <v/>
      </c>
      <c r="M46" s="79"/>
      <c r="N46" s="348" t="str">
        <f>IF(M46="","",IF(VLOOKUP(M46,'G-3 Multipliers'!$L$3:$N$6,2,FALSE)=0,"Spatial Data Missing",VLOOKUP(M46,'G-3 Multipliers'!$L$3:$N$6,2,FALSE)))</f>
        <v/>
      </c>
      <c r="O46" s="569" t="str">
        <f>IF(M46="","",IF(VLOOKUP(M46,'G-3 Multipliers'!$L$3:$N$6,3,FALSE)=0,"Spatial Data Missing",VLOOKUP(M46,'G-3 Multipliers'!$L$3:$N$6,3,FALSE)))</f>
        <v/>
      </c>
      <c r="P46" s="80" t="str">
        <f>IFERROR(VLOOKUP(G46,'G-1 All Habitats'!$B$2:$M$130,12,FALSE),"")</f>
        <v/>
      </c>
      <c r="Q46" s="81" t="str">
        <f>IFERROR(IF(P46="","",IF(AND(P46='G-1 All Habitats'!$X$3,T46&gt;0),U46+V46,IF(AND(P46='G-1 All Habitats'!$X$3,S46&gt;0),U46+V46,IF(AND(P46='G-1 All Habitats'!$X$3,AC46&gt;0),"Any Loss Unacceptable",IF(AND(P46='G-1 All Habitats'!$X$3,W46&gt;0),"Any Loss Unacceptable",H46*J46*L46*O46))))),"Check Data")</f>
        <v/>
      </c>
      <c r="R46" s="55"/>
      <c r="S46" s="79"/>
      <c r="T46" s="82"/>
      <c r="U46" s="83" t="str">
        <f t="shared" si="3"/>
        <v/>
      </c>
      <c r="V46" s="83" t="str">
        <f t="shared" si="4"/>
        <v/>
      </c>
      <c r="W46" s="83" t="str">
        <f>IF(E46="","",IF(H46&lt;S46+T46,"Error in Areas",IF(P46&lt;&gt;'G-1 All Habitats'!$X$3,H46-S46-T46,IF(AND(P46='G-1 All Habitats'!$X$3,Y46="Yes"),"Unacceptable Loss",IF(AND(P46='G-1 All Habitats'!$X$3,Y46="No"),AC46,IF(AND(P46='G-1 All Habitats'!$X$3,Y46=""),AC46,IF(AND(P46='G-1 All Habitats'!$X$3,AC46="None",AC46),IF(AND(P46='G-1 All Habitats'!$X$3,AC46&gt;0),H46-S46-T46))))))))</f>
        <v/>
      </c>
      <c r="X46" s="84" t="str">
        <f>IFERROR(IF(H46="","",IF(H46-S46-T46=0&lt;0,"Error in Areas",IF(S46+T46&gt;H46,"Error in Areas",IF(AND(P46='G-1 All Habitats'!$X$3,Y46="Yes"),"Alternative Compensation",IF(W46=0,0,IF(P46='G-1 All Habitats'!$X$3,"Unacceptable Loss",Q46-U46-V46)))))),"Check Data")</f>
        <v/>
      </c>
      <c r="Y46" s="82"/>
      <c r="Z46" s="92"/>
      <c r="AA46" s="93"/>
      <c r="AC46" s="87" t="str">
        <f>IF(P46="","",IF(P46='G-1 All Habitats'!$X$3,H46-S46-T46,"None"))</f>
        <v/>
      </c>
      <c r="AD46" s="88" t="str">
        <f>IFERROR(AC46*J46*L46*#REF!*O46,IF(P46="","","None"))</f>
        <v/>
      </c>
      <c r="AF46" s="59" t="str">
        <f t="shared" si="0"/>
        <v/>
      </c>
      <c r="AG46" s="59" t="str">
        <f t="shared" si="1"/>
        <v/>
      </c>
      <c r="AH46" s="59" t="str">
        <f>IF(I46="","",IF(#REF!&gt;0,TRUE,FALSE))</f>
        <v/>
      </c>
      <c r="AI46" s="59">
        <v>36</v>
      </c>
      <c r="AJ46" s="59"/>
      <c r="AK46" s="59" t="str">
        <f t="array" ref="AK46">IFERROR(INDEX($AI$11:$AI$259, MATCH(0, IF(TRUE=$AF$11:$AF$259, COUNTIF($AK$10:$AK45, $AI$11:$AI$259), ""), 0)),"")</f>
        <v/>
      </c>
      <c r="AL46" s="59" t="str">
        <f t="array" ref="AL46">IFERROR(INDEX($AI$11:$AI$259, MATCH(0, IF(TRUE=$AG$11:$AG$259, COUNTIF($AL$10:$AL45, $AI$11:$AI$259), ""), 0)),"")</f>
        <v/>
      </c>
      <c r="AM46" s="59" t="str">
        <f t="array" ref="AM46">IFERROR(INDEX($AI$11:$AI$259, MATCH(0, IF(TRUE=$AH$11:$AH$259, COUNTIF($AM$10:$AM45, $AI$11:$AI$259), ""), 0)),"")</f>
        <v/>
      </c>
      <c r="AN46" s="59"/>
      <c r="AQ46" s="52">
        <f t="shared" si="2"/>
        <v>0</v>
      </c>
    </row>
    <row r="47" spans="1:43" x14ac:dyDescent="0.25">
      <c r="A47" s="52" t="str">
        <f>IFERROR(INDEX('G-1 All Habitats'!$AG$3:$AG$15,MATCH(E47,'G-1 All Habitats'!$AF$3:$AF$15,0)),"")</f>
        <v/>
      </c>
      <c r="B47" s="52" t="str">
        <f>IFERROR(INDEX('G-8 Condition Look up'!$I$4:$I$131,MATCH(G47,'G-8 Condition Look up'!$A$4:$A$131,0)),"")</f>
        <v/>
      </c>
      <c r="D47" s="89">
        <v>37</v>
      </c>
      <c r="E47" s="90"/>
      <c r="F47" s="91"/>
      <c r="G47" s="75" t="str">
        <f>IFERROR(INDEX('G-1 All Habitats'!$B$3:$B$130,MATCH(F47,'G-1 All Habitats'!$A$3:$A$130,0)),"")</f>
        <v/>
      </c>
      <c r="H47" s="76"/>
      <c r="I47" s="77" t="str">
        <f>IF(G47="","",VLOOKUP(G47,'G-1 All Habitats'!$B$2:$M$130,10,FALSE))</f>
        <v/>
      </c>
      <c r="J47" s="78" t="str">
        <f>IFERROR(VLOOKUP(I47,'G-1 All Habitats'!$V$3:$W$7,2,FALSE),"")</f>
        <v/>
      </c>
      <c r="K47" s="79"/>
      <c r="L47" s="78" t="str">
        <f>IFERROR(INDEX('G-8 Condition Look up'!$A$3:$H$131,MATCH(G47,'G-8 Condition Look up'!$A$3:$A$131,0),MATCH(K47,'G-8 Condition Look up'!$A$3:$H$3,0)),"")</f>
        <v/>
      </c>
      <c r="M47" s="79"/>
      <c r="N47" s="348" t="str">
        <f>IF(M47="","",IF(VLOOKUP(M47,'G-3 Multipliers'!$L$3:$N$6,2,FALSE)=0,"Spatial Data Missing",VLOOKUP(M47,'G-3 Multipliers'!$L$3:$N$6,2,FALSE)))</f>
        <v/>
      </c>
      <c r="O47" s="569" t="str">
        <f>IF(M47="","",IF(VLOOKUP(M47,'G-3 Multipliers'!$L$3:$N$6,3,FALSE)=0,"Spatial Data Missing",VLOOKUP(M47,'G-3 Multipliers'!$L$3:$N$6,3,FALSE)))</f>
        <v/>
      </c>
      <c r="P47" s="80" t="str">
        <f>IFERROR(VLOOKUP(G47,'G-1 All Habitats'!$B$2:$M$130,12,FALSE),"")</f>
        <v/>
      </c>
      <c r="Q47" s="81" t="str">
        <f>IFERROR(IF(P47="","",IF(AND(P47='G-1 All Habitats'!$X$3,T47&gt;0),U47+V47,IF(AND(P47='G-1 All Habitats'!$X$3,S47&gt;0),U47+V47,IF(AND(P47='G-1 All Habitats'!$X$3,AC47&gt;0),"Any Loss Unacceptable",IF(AND(P47='G-1 All Habitats'!$X$3,W47&gt;0),"Any Loss Unacceptable",H47*J47*L47*O47))))),"Check Data")</f>
        <v/>
      </c>
      <c r="R47" s="55"/>
      <c r="S47" s="79"/>
      <c r="T47" s="82"/>
      <c r="U47" s="83" t="str">
        <f t="shared" si="3"/>
        <v/>
      </c>
      <c r="V47" s="83" t="str">
        <f t="shared" si="4"/>
        <v/>
      </c>
      <c r="W47" s="83" t="str">
        <f>IF(E47="","",IF(H47&lt;S47+T47,"Error in Areas",IF(P47&lt;&gt;'G-1 All Habitats'!$X$3,H47-S47-T47,IF(AND(P47='G-1 All Habitats'!$X$3,Y47="Yes"),"Unacceptable Loss",IF(AND(P47='G-1 All Habitats'!$X$3,Y47="No"),AC47,IF(AND(P47='G-1 All Habitats'!$X$3,Y47=""),AC47,IF(AND(P47='G-1 All Habitats'!$X$3,AC47="None",AC47),IF(AND(P47='G-1 All Habitats'!$X$3,AC47&gt;0),H47-S47-T47))))))))</f>
        <v/>
      </c>
      <c r="X47" s="84" t="str">
        <f>IFERROR(IF(H47="","",IF(H47-S47-T47=0&lt;0,"Error in Areas",IF(S47+T47&gt;H47,"Error in Areas",IF(AND(P47='G-1 All Habitats'!$X$3,Y47="Yes"),"Alternative Compensation",IF(W47=0,0,IF(P47='G-1 All Habitats'!$X$3,"Unacceptable Loss",Q47-U47-V47)))))),"Check Data")</f>
        <v/>
      </c>
      <c r="Y47" s="82"/>
      <c r="Z47" s="92"/>
      <c r="AA47" s="93"/>
      <c r="AC47" s="87" t="str">
        <f>IF(P47="","",IF(P47='G-1 All Habitats'!$X$3,H47-S47-T47,"None"))</f>
        <v/>
      </c>
      <c r="AD47" s="88" t="str">
        <f>IFERROR(AC47*J47*L47*#REF!*O47,IF(P47="","","None"))</f>
        <v/>
      </c>
      <c r="AF47" s="59" t="str">
        <f t="shared" si="0"/>
        <v/>
      </c>
      <c r="AG47" s="59" t="str">
        <f t="shared" si="1"/>
        <v/>
      </c>
      <c r="AH47" s="59" t="str">
        <f>IF(I47="","",IF(#REF!&gt;0,TRUE,FALSE))</f>
        <v/>
      </c>
      <c r="AI47" s="59">
        <v>37</v>
      </c>
      <c r="AJ47" s="59"/>
      <c r="AK47" s="59" t="str">
        <f t="array" ref="AK47">IFERROR(INDEX($AI$11:$AI$259, MATCH(0, IF(TRUE=$AF$11:$AF$259, COUNTIF($AK$10:$AK46, $AI$11:$AI$259), ""), 0)),"")</f>
        <v/>
      </c>
      <c r="AL47" s="59" t="str">
        <f t="array" ref="AL47">IFERROR(INDEX($AI$11:$AI$259, MATCH(0, IF(TRUE=$AG$11:$AG$259, COUNTIF($AL$10:$AL46, $AI$11:$AI$259), ""), 0)),"")</f>
        <v/>
      </c>
      <c r="AM47" s="59" t="str">
        <f t="array" ref="AM47">IFERROR(INDEX($AI$11:$AI$259, MATCH(0, IF(TRUE=$AH$11:$AH$259, COUNTIF($AM$10:$AM46, $AI$11:$AI$259), ""), 0)),"")</f>
        <v/>
      </c>
      <c r="AN47" s="59"/>
      <c r="AQ47" s="52">
        <f t="shared" si="2"/>
        <v>0</v>
      </c>
    </row>
    <row r="48" spans="1:43" x14ac:dyDescent="0.25">
      <c r="A48" s="52" t="str">
        <f>IFERROR(INDEX('G-1 All Habitats'!$AG$3:$AG$15,MATCH(E48,'G-1 All Habitats'!$AF$3:$AF$15,0)),"")</f>
        <v/>
      </c>
      <c r="B48" s="52" t="str">
        <f>IFERROR(INDEX('G-8 Condition Look up'!$I$4:$I$131,MATCH(G48,'G-8 Condition Look up'!$A$4:$A$131,0)),"")</f>
        <v/>
      </c>
      <c r="D48" s="89">
        <v>38</v>
      </c>
      <c r="E48" s="90"/>
      <c r="F48" s="91"/>
      <c r="G48" s="75" t="str">
        <f>IFERROR(INDEX('G-1 All Habitats'!$B$3:$B$130,MATCH(F48,'G-1 All Habitats'!$A$3:$A$130,0)),"")</f>
        <v/>
      </c>
      <c r="H48" s="76"/>
      <c r="I48" s="77" t="str">
        <f>IF(G48="","",VLOOKUP(G48,'G-1 All Habitats'!$B$2:$M$130,10,FALSE))</f>
        <v/>
      </c>
      <c r="J48" s="78" t="str">
        <f>IFERROR(VLOOKUP(I48,'G-1 All Habitats'!$V$3:$W$7,2,FALSE),"")</f>
        <v/>
      </c>
      <c r="K48" s="79"/>
      <c r="L48" s="78" t="str">
        <f>IFERROR(INDEX('G-8 Condition Look up'!$A$3:$H$131,MATCH(G48,'G-8 Condition Look up'!$A$3:$A$131,0),MATCH(K48,'G-8 Condition Look up'!$A$3:$H$3,0)),"")</f>
        <v/>
      </c>
      <c r="M48" s="79"/>
      <c r="N48" s="348" t="str">
        <f>IF(M48="","",IF(VLOOKUP(M48,'G-3 Multipliers'!$L$3:$N$6,2,FALSE)=0,"Spatial Data Missing",VLOOKUP(M48,'G-3 Multipliers'!$L$3:$N$6,2,FALSE)))</f>
        <v/>
      </c>
      <c r="O48" s="569" t="str">
        <f>IF(M48="","",IF(VLOOKUP(M48,'G-3 Multipliers'!$L$3:$N$6,3,FALSE)=0,"Spatial Data Missing",VLOOKUP(M48,'G-3 Multipliers'!$L$3:$N$6,3,FALSE)))</f>
        <v/>
      </c>
      <c r="P48" s="80" t="str">
        <f>IFERROR(VLOOKUP(G48,'G-1 All Habitats'!$B$2:$M$130,12,FALSE),"")</f>
        <v/>
      </c>
      <c r="Q48" s="81" t="str">
        <f>IFERROR(IF(P48="","",IF(AND(P48='G-1 All Habitats'!$X$3,T48&gt;0),U48+V48,IF(AND(P48='G-1 All Habitats'!$X$3,S48&gt;0),U48+V48,IF(AND(P48='G-1 All Habitats'!$X$3,AC48&gt;0),"Any Loss Unacceptable",IF(AND(P48='G-1 All Habitats'!$X$3,W48&gt;0),"Any Loss Unacceptable",H48*J48*L48*O48))))),"Check Data")</f>
        <v/>
      </c>
      <c r="R48" s="55"/>
      <c r="S48" s="79"/>
      <c r="T48" s="82"/>
      <c r="U48" s="83" t="str">
        <f t="shared" si="3"/>
        <v/>
      </c>
      <c r="V48" s="83" t="str">
        <f t="shared" si="4"/>
        <v/>
      </c>
      <c r="W48" s="83" t="str">
        <f>IF(E48="","",IF(H48&lt;S48+T48,"Error in Areas",IF(P48&lt;&gt;'G-1 All Habitats'!$X$3,H48-S48-T48,IF(AND(P48='G-1 All Habitats'!$X$3,Y48="Yes"),"Unacceptable Loss",IF(AND(P48='G-1 All Habitats'!$X$3,Y48="No"),AC48,IF(AND(P48='G-1 All Habitats'!$X$3,Y48=""),AC48,IF(AND(P48='G-1 All Habitats'!$X$3,AC48="None",AC48),IF(AND(P48='G-1 All Habitats'!$X$3,AC48&gt;0),H48-S48-T48))))))))</f>
        <v/>
      </c>
      <c r="X48" s="84" t="str">
        <f>IFERROR(IF(H48="","",IF(H48-S48-T48=0&lt;0,"Error in Areas",IF(S48+T48&gt;H48,"Error in Areas",IF(AND(P48='G-1 All Habitats'!$X$3,Y48="Yes"),"Alternative Compensation",IF(W48=0,0,IF(P48='G-1 All Habitats'!$X$3,"Unacceptable Loss",Q48-U48-V48)))))),"Check Data")</f>
        <v/>
      </c>
      <c r="Y48" s="82"/>
      <c r="Z48" s="92"/>
      <c r="AA48" s="93"/>
      <c r="AC48" s="87" t="str">
        <f>IF(P48="","",IF(P48='G-1 All Habitats'!$X$3,H48-S48-T48,"None"))</f>
        <v/>
      </c>
      <c r="AD48" s="88" t="str">
        <f>IFERROR(AC48*J48*L48*#REF!*O48,IF(P48="","","None"))</f>
        <v/>
      </c>
      <c r="AF48" s="59" t="str">
        <f t="shared" si="0"/>
        <v/>
      </c>
      <c r="AG48" s="59" t="str">
        <f t="shared" si="1"/>
        <v/>
      </c>
      <c r="AH48" s="59" t="str">
        <f>IF(I48="","",IF(#REF!&gt;0,TRUE,FALSE))</f>
        <v/>
      </c>
      <c r="AI48" s="59">
        <v>38</v>
      </c>
      <c r="AJ48" s="59"/>
      <c r="AK48" s="59" t="str">
        <f t="array" ref="AK48">IFERROR(INDEX($AI$11:$AI$259, MATCH(0, IF(TRUE=$AF$11:$AF$259, COUNTIF($AK$10:$AK47, $AI$11:$AI$259), ""), 0)),"")</f>
        <v/>
      </c>
      <c r="AL48" s="59" t="str">
        <f t="array" ref="AL48">IFERROR(INDEX($AI$11:$AI$259, MATCH(0, IF(TRUE=$AG$11:$AG$259, COUNTIF($AL$10:$AL47, $AI$11:$AI$259), ""), 0)),"")</f>
        <v/>
      </c>
      <c r="AM48" s="59" t="str">
        <f t="array" ref="AM48">IFERROR(INDEX($AI$11:$AI$259, MATCH(0, IF(TRUE=$AH$11:$AH$259, COUNTIF($AM$10:$AM47, $AI$11:$AI$259), ""), 0)),"")</f>
        <v/>
      </c>
      <c r="AN48" s="59"/>
      <c r="AQ48" s="52">
        <f t="shared" si="2"/>
        <v>0</v>
      </c>
    </row>
    <row r="49" spans="1:43" x14ac:dyDescent="0.25">
      <c r="A49" s="52" t="str">
        <f>IFERROR(INDEX('G-1 All Habitats'!$AG$3:$AG$15,MATCH(E49,'G-1 All Habitats'!$AF$3:$AF$15,0)),"")</f>
        <v/>
      </c>
      <c r="B49" s="52" t="str">
        <f>IFERROR(INDEX('G-8 Condition Look up'!$I$4:$I$131,MATCH(G49,'G-8 Condition Look up'!$A$4:$A$131,0)),"")</f>
        <v/>
      </c>
      <c r="D49" s="89">
        <v>39</v>
      </c>
      <c r="E49" s="90"/>
      <c r="F49" s="91"/>
      <c r="G49" s="75" t="str">
        <f>IFERROR(INDEX('G-1 All Habitats'!$B$3:$B$130,MATCH(F49,'G-1 All Habitats'!$A$3:$A$130,0)),"")</f>
        <v/>
      </c>
      <c r="H49" s="76"/>
      <c r="I49" s="77" t="str">
        <f>IF(G49="","",VLOOKUP(G49,'G-1 All Habitats'!$B$2:$M$130,10,FALSE))</f>
        <v/>
      </c>
      <c r="J49" s="78" t="str">
        <f>IFERROR(VLOOKUP(I49,'G-1 All Habitats'!$V$3:$W$7,2,FALSE),"")</f>
        <v/>
      </c>
      <c r="K49" s="79"/>
      <c r="L49" s="78" t="str">
        <f>IFERROR(INDEX('G-8 Condition Look up'!$A$3:$H$131,MATCH(G49,'G-8 Condition Look up'!$A$3:$A$131,0),MATCH(K49,'G-8 Condition Look up'!$A$3:$H$3,0)),"")</f>
        <v/>
      </c>
      <c r="M49" s="79"/>
      <c r="N49" s="348" t="str">
        <f>IF(M49="","",IF(VLOOKUP(M49,'G-3 Multipliers'!$L$3:$N$6,2,FALSE)=0,"Spatial Data Missing",VLOOKUP(M49,'G-3 Multipliers'!$L$3:$N$6,2,FALSE)))</f>
        <v/>
      </c>
      <c r="O49" s="569" t="str">
        <f>IF(M49="","",IF(VLOOKUP(M49,'G-3 Multipliers'!$L$3:$N$6,3,FALSE)=0,"Spatial Data Missing",VLOOKUP(M49,'G-3 Multipliers'!$L$3:$N$6,3,FALSE)))</f>
        <v/>
      </c>
      <c r="P49" s="80" t="str">
        <f>IFERROR(VLOOKUP(G49,'G-1 All Habitats'!$B$2:$M$130,12,FALSE),"")</f>
        <v/>
      </c>
      <c r="Q49" s="81" t="str">
        <f>IFERROR(IF(P49="","",IF(AND(P49='G-1 All Habitats'!$X$3,T49&gt;0),U49+V49,IF(AND(P49='G-1 All Habitats'!$X$3,S49&gt;0),U49+V49,IF(AND(P49='G-1 All Habitats'!$X$3,AC49&gt;0),"Any Loss Unacceptable",IF(AND(P49='G-1 All Habitats'!$X$3,W49&gt;0),"Any Loss Unacceptable",H49*J49*L49*O49))))),"Check Data")</f>
        <v/>
      </c>
      <c r="R49" s="55"/>
      <c r="S49" s="79"/>
      <c r="T49" s="82"/>
      <c r="U49" s="83" t="str">
        <f t="shared" si="3"/>
        <v/>
      </c>
      <c r="V49" s="83" t="str">
        <f t="shared" si="4"/>
        <v/>
      </c>
      <c r="W49" s="83" t="str">
        <f>IF(E49="","",IF(H49&lt;S49+T49,"Error in Areas",IF(P49&lt;&gt;'G-1 All Habitats'!$X$3,H49-S49-T49,IF(AND(P49='G-1 All Habitats'!$X$3,Y49="Yes"),"Unacceptable Loss",IF(AND(P49='G-1 All Habitats'!$X$3,Y49="No"),AC49,IF(AND(P49='G-1 All Habitats'!$X$3,Y49=""),AC49,IF(AND(P49='G-1 All Habitats'!$X$3,AC49="None",AC49),IF(AND(P49='G-1 All Habitats'!$X$3,AC49&gt;0),H49-S49-T49))))))))</f>
        <v/>
      </c>
      <c r="X49" s="84" t="str">
        <f>IFERROR(IF(H49="","",IF(H49-S49-T49=0&lt;0,"Error in Areas",IF(S49+T49&gt;H49,"Error in Areas",IF(AND(P49='G-1 All Habitats'!$X$3,Y49="Yes"),"Alternative Compensation",IF(W49=0,0,IF(P49='G-1 All Habitats'!$X$3,"Unacceptable Loss",Q49-U49-V49)))))),"Check Data")</f>
        <v/>
      </c>
      <c r="Y49" s="82"/>
      <c r="Z49" s="92"/>
      <c r="AA49" s="93"/>
      <c r="AC49" s="87" t="str">
        <f>IF(P49="","",IF(P49='G-1 All Habitats'!$X$3,H49-S49-T49,"None"))</f>
        <v/>
      </c>
      <c r="AD49" s="88" t="str">
        <f>IFERROR(AC49*J49*L49*#REF!*O49,IF(P49="","","None"))</f>
        <v/>
      </c>
      <c r="AF49" s="59" t="str">
        <f t="shared" si="0"/>
        <v/>
      </c>
      <c r="AG49" s="59" t="str">
        <f t="shared" si="1"/>
        <v/>
      </c>
      <c r="AH49" s="59" t="str">
        <f>IF(I49="","",IF(#REF!&gt;0,TRUE,FALSE))</f>
        <v/>
      </c>
      <c r="AI49" s="59">
        <v>39</v>
      </c>
      <c r="AJ49" s="59"/>
      <c r="AK49" s="59" t="str">
        <f t="array" ref="AK49">IFERROR(INDEX($AI$11:$AI$259, MATCH(0, IF(TRUE=$AF$11:$AF$259, COUNTIF($AK$10:$AK48, $AI$11:$AI$259), ""), 0)),"")</f>
        <v/>
      </c>
      <c r="AL49" s="59" t="str">
        <f t="array" ref="AL49">IFERROR(INDEX($AI$11:$AI$259, MATCH(0, IF(TRUE=$AG$11:$AG$259, COUNTIF($AL$10:$AL48, $AI$11:$AI$259), ""), 0)),"")</f>
        <v/>
      </c>
      <c r="AM49" s="59" t="str">
        <f t="array" ref="AM49">IFERROR(INDEX($AI$11:$AI$259, MATCH(0, IF(TRUE=$AH$11:$AH$259, COUNTIF($AM$10:$AM48, $AI$11:$AI$259), ""), 0)),"")</f>
        <v/>
      </c>
      <c r="AN49" s="59"/>
      <c r="AQ49" s="52">
        <f t="shared" si="2"/>
        <v>0</v>
      </c>
    </row>
    <row r="50" spans="1:43" x14ac:dyDescent="0.25">
      <c r="A50" s="52" t="str">
        <f>IFERROR(INDEX('G-1 All Habitats'!$AG$3:$AG$15,MATCH(E50,'G-1 All Habitats'!$AF$3:$AF$15,0)),"")</f>
        <v/>
      </c>
      <c r="B50" s="52" t="str">
        <f>IFERROR(INDEX('G-8 Condition Look up'!$I$4:$I$131,MATCH(G50,'G-8 Condition Look up'!$A$4:$A$131,0)),"")</f>
        <v/>
      </c>
      <c r="D50" s="89">
        <v>40</v>
      </c>
      <c r="E50" s="90"/>
      <c r="F50" s="91"/>
      <c r="G50" s="75" t="str">
        <f>IFERROR(INDEX('G-1 All Habitats'!$B$3:$B$130,MATCH(F50,'G-1 All Habitats'!$A$3:$A$130,0)),"")</f>
        <v/>
      </c>
      <c r="H50" s="76"/>
      <c r="I50" s="77" t="str">
        <f>IF(G50="","",VLOOKUP(G50,'G-1 All Habitats'!$B$2:$M$130,10,FALSE))</f>
        <v/>
      </c>
      <c r="J50" s="78" t="str">
        <f>IFERROR(VLOOKUP(I50,'G-1 All Habitats'!$V$3:$W$7,2,FALSE),"")</f>
        <v/>
      </c>
      <c r="K50" s="79"/>
      <c r="L50" s="78" t="str">
        <f>IFERROR(INDEX('G-8 Condition Look up'!$A$3:$H$131,MATCH(G50,'G-8 Condition Look up'!$A$3:$A$131,0),MATCH(K50,'G-8 Condition Look up'!$A$3:$H$3,0)),"")</f>
        <v/>
      </c>
      <c r="M50" s="79"/>
      <c r="N50" s="348" t="str">
        <f>IF(M50="","",IF(VLOOKUP(M50,'G-3 Multipliers'!$L$3:$N$6,2,FALSE)=0,"Spatial Data Missing",VLOOKUP(M50,'G-3 Multipliers'!$L$3:$N$6,2,FALSE)))</f>
        <v/>
      </c>
      <c r="O50" s="569" t="str">
        <f>IF(M50="","",IF(VLOOKUP(M50,'G-3 Multipliers'!$L$3:$N$6,3,FALSE)=0,"Spatial Data Missing",VLOOKUP(M50,'G-3 Multipliers'!$L$3:$N$6,3,FALSE)))</f>
        <v/>
      </c>
      <c r="P50" s="80" t="str">
        <f>IFERROR(VLOOKUP(G50,'G-1 All Habitats'!$B$2:$M$130,12,FALSE),"")</f>
        <v/>
      </c>
      <c r="Q50" s="81" t="str">
        <f>IFERROR(IF(P50="","",IF(AND(P50='G-1 All Habitats'!$X$3,T50&gt;0),U50+V50,IF(AND(P50='G-1 All Habitats'!$X$3,S50&gt;0),U50+V50,IF(AND(P50='G-1 All Habitats'!$X$3,AC50&gt;0),"Any Loss Unacceptable",IF(AND(P50='G-1 All Habitats'!$X$3,W50&gt;0),"Any Loss Unacceptable",H50*J50*L50*O50))))),"Check Data")</f>
        <v/>
      </c>
      <c r="R50" s="55"/>
      <c r="S50" s="79"/>
      <c r="T50" s="82"/>
      <c r="U50" s="83" t="str">
        <f t="shared" si="3"/>
        <v/>
      </c>
      <c r="V50" s="83" t="str">
        <f t="shared" si="4"/>
        <v/>
      </c>
      <c r="W50" s="83" t="str">
        <f>IF(E50="","",IF(H50&lt;S50+T50,"Error in Areas",IF(P50&lt;&gt;'G-1 All Habitats'!$X$3,H50-S50-T50,IF(AND(P50='G-1 All Habitats'!$X$3,Y50="Yes"),"Unacceptable Loss",IF(AND(P50='G-1 All Habitats'!$X$3,Y50="No"),AC50,IF(AND(P50='G-1 All Habitats'!$X$3,Y50=""),AC50,IF(AND(P50='G-1 All Habitats'!$X$3,AC50="None",AC50),IF(AND(P50='G-1 All Habitats'!$X$3,AC50&gt;0),H50-S50-T50))))))))</f>
        <v/>
      </c>
      <c r="X50" s="84" t="str">
        <f>IFERROR(IF(H50="","",IF(H50-S50-T50=0&lt;0,"Error in Areas",IF(S50+T50&gt;H50,"Error in Areas",IF(AND(P50='G-1 All Habitats'!$X$3,Y50="Yes"),"Alternative Compensation",IF(W50=0,0,IF(P50='G-1 All Habitats'!$X$3,"Unacceptable Loss",Q50-U50-V50)))))),"Check Data")</f>
        <v/>
      </c>
      <c r="Y50" s="82"/>
      <c r="Z50" s="92"/>
      <c r="AA50" s="93"/>
      <c r="AC50" s="87" t="str">
        <f>IF(P50="","",IF(P50='G-1 All Habitats'!$X$3,H50-S50-T50,"None"))</f>
        <v/>
      </c>
      <c r="AD50" s="88" t="str">
        <f>IFERROR(AC50*J50*L50*#REF!*O50,IF(P50="","","None"))</f>
        <v/>
      </c>
      <c r="AF50" s="59" t="str">
        <f t="shared" si="0"/>
        <v/>
      </c>
      <c r="AG50" s="59" t="str">
        <f t="shared" si="1"/>
        <v/>
      </c>
      <c r="AH50" s="59" t="str">
        <f>IF(I50="","",IF(#REF!&gt;0,TRUE,FALSE))</f>
        <v/>
      </c>
      <c r="AI50" s="59">
        <v>40</v>
      </c>
      <c r="AJ50" s="59"/>
      <c r="AK50" s="59" t="str">
        <f t="array" ref="AK50">IFERROR(INDEX($AI$11:$AI$259, MATCH(0, IF(TRUE=$AF$11:$AF$259, COUNTIF($AK$10:$AK49, $AI$11:$AI$259), ""), 0)),"")</f>
        <v/>
      </c>
      <c r="AL50" s="59" t="str">
        <f t="array" ref="AL50">IFERROR(INDEX($AI$11:$AI$259, MATCH(0, IF(TRUE=$AG$11:$AG$259, COUNTIF($AL$10:$AL49, $AI$11:$AI$259), ""), 0)),"")</f>
        <v/>
      </c>
      <c r="AM50" s="59" t="str">
        <f t="array" ref="AM50">IFERROR(INDEX($AI$11:$AI$259, MATCH(0, IF(TRUE=$AH$11:$AH$259, COUNTIF($AM$10:$AM49, $AI$11:$AI$259), ""), 0)),"")</f>
        <v/>
      </c>
      <c r="AN50" s="59"/>
      <c r="AQ50" s="52">
        <f t="shared" si="2"/>
        <v>0</v>
      </c>
    </row>
    <row r="51" spans="1:43" x14ac:dyDescent="0.25">
      <c r="A51" s="52" t="str">
        <f>IFERROR(INDEX('G-1 All Habitats'!$AG$3:$AG$15,MATCH(E51,'G-1 All Habitats'!$AF$3:$AF$15,0)),"")</f>
        <v/>
      </c>
      <c r="B51" s="52" t="str">
        <f>IFERROR(INDEX('G-8 Condition Look up'!$I$4:$I$131,MATCH(G51,'G-8 Condition Look up'!$A$4:$A$131,0)),"")</f>
        <v/>
      </c>
      <c r="D51" s="89">
        <v>41</v>
      </c>
      <c r="E51" s="90"/>
      <c r="F51" s="91"/>
      <c r="G51" s="75" t="str">
        <f>IFERROR(INDEX('G-1 All Habitats'!$B$3:$B$130,MATCH(F51,'G-1 All Habitats'!$A$3:$A$130,0)),"")</f>
        <v/>
      </c>
      <c r="H51" s="76"/>
      <c r="I51" s="77" t="str">
        <f>IF(G51="","",VLOOKUP(G51,'G-1 All Habitats'!$B$2:$M$130,10,FALSE))</f>
        <v/>
      </c>
      <c r="J51" s="78" t="str">
        <f>IFERROR(VLOOKUP(I51,'G-1 All Habitats'!$V$3:$W$7,2,FALSE),"")</f>
        <v/>
      </c>
      <c r="K51" s="79"/>
      <c r="L51" s="78" t="str">
        <f>IFERROR(INDEX('G-8 Condition Look up'!$A$3:$H$131,MATCH(G51,'G-8 Condition Look up'!$A$3:$A$131,0),MATCH(K51,'G-8 Condition Look up'!$A$3:$H$3,0)),"")</f>
        <v/>
      </c>
      <c r="M51" s="79"/>
      <c r="N51" s="348" t="str">
        <f>IF(M51="","",IF(VLOOKUP(M51,'G-3 Multipliers'!$L$3:$N$6,2,FALSE)=0,"Spatial Data Missing",VLOOKUP(M51,'G-3 Multipliers'!$L$3:$N$6,2,FALSE)))</f>
        <v/>
      </c>
      <c r="O51" s="569" t="str">
        <f>IF(M51="","",IF(VLOOKUP(M51,'G-3 Multipliers'!$L$3:$N$6,3,FALSE)=0,"Spatial Data Missing",VLOOKUP(M51,'G-3 Multipliers'!$L$3:$N$6,3,FALSE)))</f>
        <v/>
      </c>
      <c r="P51" s="80" t="str">
        <f>IFERROR(VLOOKUP(G51,'G-1 All Habitats'!$B$2:$M$130,12,FALSE),"")</f>
        <v/>
      </c>
      <c r="Q51" s="81" t="str">
        <f>IFERROR(IF(P51="","",IF(AND(P51='G-1 All Habitats'!$X$3,T51&gt;0),U51+V51,IF(AND(P51='G-1 All Habitats'!$X$3,S51&gt;0),U51+V51,IF(AND(P51='G-1 All Habitats'!$X$3,AC51&gt;0),"Any Loss Unacceptable",IF(AND(P51='G-1 All Habitats'!$X$3,W51&gt;0),"Any Loss Unacceptable",H51*J51*L51*O51))))),"Check Data")</f>
        <v/>
      </c>
      <c r="R51" s="55"/>
      <c r="S51" s="79"/>
      <c r="T51" s="82"/>
      <c r="U51" s="83" t="str">
        <f t="shared" si="3"/>
        <v/>
      </c>
      <c r="V51" s="83" t="str">
        <f t="shared" si="4"/>
        <v/>
      </c>
      <c r="W51" s="83" t="str">
        <f>IF(E51="","",IF(H51&lt;S51+T51,"Error in Areas",IF(P51&lt;&gt;'G-1 All Habitats'!$X$3,H51-S51-T51,IF(AND(P51='G-1 All Habitats'!$X$3,Y51="Yes"),"Unacceptable Loss",IF(AND(P51='G-1 All Habitats'!$X$3,Y51="No"),AC51,IF(AND(P51='G-1 All Habitats'!$X$3,Y51=""),AC51,IF(AND(P51='G-1 All Habitats'!$X$3,AC51="None",AC51),IF(AND(P51='G-1 All Habitats'!$X$3,AC51&gt;0),H51-S51-T51))))))))</f>
        <v/>
      </c>
      <c r="X51" s="84" t="str">
        <f>IFERROR(IF(H51="","",IF(H51-S51-T51=0&lt;0,"Error in Areas",IF(S51+T51&gt;H51,"Error in Areas",IF(AND(P51='G-1 All Habitats'!$X$3,Y51="Yes"),"Alternative Compensation",IF(W51=0,0,IF(P51='G-1 All Habitats'!$X$3,"Unacceptable Loss",Q51-U51-V51)))))),"Check Data")</f>
        <v/>
      </c>
      <c r="Y51" s="82"/>
      <c r="Z51" s="92"/>
      <c r="AA51" s="93"/>
      <c r="AC51" s="87" t="str">
        <f>IF(P51="","",IF(P51='G-1 All Habitats'!$X$3,H51-S51-T51,"None"))</f>
        <v/>
      </c>
      <c r="AD51" s="88" t="str">
        <f>IFERROR(AC51*J51*L51*#REF!*O51,IF(P51="","","None"))</f>
        <v/>
      </c>
      <c r="AF51" s="59" t="str">
        <f t="shared" si="0"/>
        <v/>
      </c>
      <c r="AG51" s="59" t="str">
        <f t="shared" si="1"/>
        <v/>
      </c>
      <c r="AH51" s="59" t="str">
        <f>IF(I51="","",IF(#REF!&gt;0,TRUE,FALSE))</f>
        <v/>
      </c>
      <c r="AI51" s="59">
        <v>41</v>
      </c>
      <c r="AJ51" s="59"/>
      <c r="AK51" s="59" t="str">
        <f t="array" ref="AK51">IFERROR(INDEX($AI$11:$AI$259, MATCH(0, IF(TRUE=$AF$11:$AF$259, COUNTIF($AK$10:$AK50, $AI$11:$AI$259), ""), 0)),"")</f>
        <v/>
      </c>
      <c r="AL51" s="59" t="str">
        <f t="array" ref="AL51">IFERROR(INDEX($AI$11:$AI$259, MATCH(0, IF(TRUE=$AG$11:$AG$259, COUNTIF($AL$10:$AL50, $AI$11:$AI$259), ""), 0)),"")</f>
        <v/>
      </c>
      <c r="AM51" s="59" t="str">
        <f t="array" ref="AM51">IFERROR(INDEX($AI$11:$AI$259, MATCH(0, IF(TRUE=$AH$11:$AH$259, COUNTIF($AM$10:$AM50, $AI$11:$AI$259), ""), 0)),"")</f>
        <v/>
      </c>
      <c r="AN51" s="59"/>
      <c r="AQ51" s="52">
        <f t="shared" si="2"/>
        <v>0</v>
      </c>
    </row>
    <row r="52" spans="1:43" x14ac:dyDescent="0.25">
      <c r="A52" s="52" t="str">
        <f>IFERROR(INDEX('G-1 All Habitats'!$AG$3:$AG$15,MATCH(E52,'G-1 All Habitats'!$AF$3:$AF$15,0)),"")</f>
        <v/>
      </c>
      <c r="B52" s="52" t="str">
        <f>IFERROR(INDEX('G-8 Condition Look up'!$I$4:$I$131,MATCH(G52,'G-8 Condition Look up'!$A$4:$A$131,0)),"")</f>
        <v/>
      </c>
      <c r="D52" s="89">
        <v>42</v>
      </c>
      <c r="E52" s="90"/>
      <c r="F52" s="91"/>
      <c r="G52" s="75" t="str">
        <f>IFERROR(INDEX('G-1 All Habitats'!$B$3:$B$130,MATCH(F52,'G-1 All Habitats'!$A$3:$A$130,0)),"")</f>
        <v/>
      </c>
      <c r="H52" s="76"/>
      <c r="I52" s="77" t="str">
        <f>IF(G52="","",VLOOKUP(G52,'G-1 All Habitats'!$B$2:$M$130,10,FALSE))</f>
        <v/>
      </c>
      <c r="J52" s="78" t="str">
        <f>IFERROR(VLOOKUP(I52,'G-1 All Habitats'!$V$3:$W$7,2,FALSE),"")</f>
        <v/>
      </c>
      <c r="K52" s="79"/>
      <c r="L52" s="78" t="str">
        <f>IFERROR(INDEX('G-8 Condition Look up'!$A$3:$H$131,MATCH(G52,'G-8 Condition Look up'!$A$3:$A$131,0),MATCH(K52,'G-8 Condition Look up'!$A$3:$H$3,0)),"")</f>
        <v/>
      </c>
      <c r="M52" s="79"/>
      <c r="N52" s="348" t="str">
        <f>IF(M52="","",IF(VLOOKUP(M52,'G-3 Multipliers'!$L$3:$N$6,2,FALSE)=0,"Spatial Data Missing",VLOOKUP(M52,'G-3 Multipliers'!$L$3:$N$6,2,FALSE)))</f>
        <v/>
      </c>
      <c r="O52" s="569" t="str">
        <f>IF(M52="","",IF(VLOOKUP(M52,'G-3 Multipliers'!$L$3:$N$6,3,FALSE)=0,"Spatial Data Missing",VLOOKUP(M52,'G-3 Multipliers'!$L$3:$N$6,3,FALSE)))</f>
        <v/>
      </c>
      <c r="P52" s="80" t="str">
        <f>IFERROR(VLOOKUP(G52,'G-1 All Habitats'!$B$2:$M$130,12,FALSE),"")</f>
        <v/>
      </c>
      <c r="Q52" s="81" t="str">
        <f>IFERROR(IF(P52="","",IF(AND(P52='G-1 All Habitats'!$X$3,T52&gt;0),U52+V52,IF(AND(P52='G-1 All Habitats'!$X$3,S52&gt;0),U52+V52,IF(AND(P52='G-1 All Habitats'!$X$3,AC52&gt;0),"Any Loss Unacceptable",IF(AND(P52='G-1 All Habitats'!$X$3,W52&gt;0),"Any Loss Unacceptable",H52*J52*L52*O52))))),"Check Data")</f>
        <v/>
      </c>
      <c r="R52" s="55"/>
      <c r="S52" s="79"/>
      <c r="T52" s="82"/>
      <c r="U52" s="83" t="str">
        <f t="shared" si="3"/>
        <v/>
      </c>
      <c r="V52" s="83" t="str">
        <f t="shared" si="4"/>
        <v/>
      </c>
      <c r="W52" s="83" t="str">
        <f>IF(E52="","",IF(H52&lt;S52+T52,"Error in Areas",IF(P52&lt;&gt;'G-1 All Habitats'!$X$3,H52-S52-T52,IF(AND(P52='G-1 All Habitats'!$X$3,Y52="Yes"),"Unacceptable Loss",IF(AND(P52='G-1 All Habitats'!$X$3,Y52="No"),AC52,IF(AND(P52='G-1 All Habitats'!$X$3,Y52=""),AC52,IF(AND(P52='G-1 All Habitats'!$X$3,AC52="None",AC52),IF(AND(P52='G-1 All Habitats'!$X$3,AC52&gt;0),H52-S52-T52))))))))</f>
        <v/>
      </c>
      <c r="X52" s="84" t="str">
        <f>IFERROR(IF(H52="","",IF(H52-S52-T52=0&lt;0,"Error in Areas",IF(S52+T52&gt;H52,"Error in Areas",IF(AND(P52='G-1 All Habitats'!$X$3,Y52="Yes"),"Alternative Compensation",IF(W52=0,0,IF(P52='G-1 All Habitats'!$X$3,"Unacceptable Loss",Q52-U52-V52)))))),"Check Data")</f>
        <v/>
      </c>
      <c r="Y52" s="82"/>
      <c r="Z52" s="92"/>
      <c r="AA52" s="93"/>
      <c r="AC52" s="87" t="str">
        <f>IF(P52="","",IF(P52='G-1 All Habitats'!$X$3,H52-S52-T52,"None"))</f>
        <v/>
      </c>
      <c r="AD52" s="88" t="str">
        <f>IFERROR(AC52*J52*L52*#REF!*O52,IF(P52="","","None"))</f>
        <v/>
      </c>
      <c r="AF52" s="59" t="str">
        <f t="shared" si="0"/>
        <v/>
      </c>
      <c r="AG52" s="59" t="str">
        <f t="shared" si="1"/>
        <v/>
      </c>
      <c r="AH52" s="59" t="str">
        <f>IF(I52="","",IF(#REF!&gt;0,TRUE,FALSE))</f>
        <v/>
      </c>
      <c r="AI52" s="59">
        <v>42</v>
      </c>
      <c r="AJ52" s="59"/>
      <c r="AK52" s="59" t="str">
        <f t="array" ref="AK52">IFERROR(INDEX($AI$11:$AI$259, MATCH(0, IF(TRUE=$AF$11:$AF$259, COUNTIF($AK$10:$AK51, $AI$11:$AI$259), ""), 0)),"")</f>
        <v/>
      </c>
      <c r="AL52" s="59" t="str">
        <f t="array" ref="AL52">IFERROR(INDEX($AI$11:$AI$259, MATCH(0, IF(TRUE=$AG$11:$AG$259, COUNTIF($AL$10:$AL51, $AI$11:$AI$259), ""), 0)),"")</f>
        <v/>
      </c>
      <c r="AM52" s="59" t="str">
        <f t="array" ref="AM52">IFERROR(INDEX($AI$11:$AI$259, MATCH(0, IF(TRUE=$AH$11:$AH$259, COUNTIF($AM$10:$AM51, $AI$11:$AI$259), ""), 0)),"")</f>
        <v/>
      </c>
      <c r="AN52" s="59"/>
      <c r="AQ52" s="52">
        <f t="shared" si="2"/>
        <v>0</v>
      </c>
    </row>
    <row r="53" spans="1:43" x14ac:dyDescent="0.25">
      <c r="A53" s="52" t="str">
        <f>IFERROR(INDEX('G-1 All Habitats'!$AG$3:$AG$15,MATCH(E53,'G-1 All Habitats'!$AF$3:$AF$15,0)),"")</f>
        <v/>
      </c>
      <c r="B53" s="52" t="str">
        <f>IFERROR(INDEX('G-8 Condition Look up'!$I$4:$I$131,MATCH(G53,'G-8 Condition Look up'!$A$4:$A$131,0)),"")</f>
        <v/>
      </c>
      <c r="D53" s="89">
        <v>43</v>
      </c>
      <c r="E53" s="90"/>
      <c r="F53" s="91"/>
      <c r="G53" s="75" t="str">
        <f>IFERROR(INDEX('G-1 All Habitats'!$B$3:$B$130,MATCH(F53,'G-1 All Habitats'!$A$3:$A$130,0)),"")</f>
        <v/>
      </c>
      <c r="H53" s="76"/>
      <c r="I53" s="77" t="str">
        <f>IF(G53="","",VLOOKUP(G53,'G-1 All Habitats'!$B$2:$M$130,10,FALSE))</f>
        <v/>
      </c>
      <c r="J53" s="78" t="str">
        <f>IFERROR(VLOOKUP(I53,'G-1 All Habitats'!$V$3:$W$7,2,FALSE),"")</f>
        <v/>
      </c>
      <c r="K53" s="79"/>
      <c r="L53" s="78" t="str">
        <f>IFERROR(INDEX('G-8 Condition Look up'!$A$3:$H$131,MATCH(G53,'G-8 Condition Look up'!$A$3:$A$131,0),MATCH(K53,'G-8 Condition Look up'!$A$3:$H$3,0)),"")</f>
        <v/>
      </c>
      <c r="M53" s="79"/>
      <c r="N53" s="348" t="str">
        <f>IF(M53="","",IF(VLOOKUP(M53,'G-3 Multipliers'!$L$3:$N$6,2,FALSE)=0,"Spatial Data Missing",VLOOKUP(M53,'G-3 Multipliers'!$L$3:$N$6,2,FALSE)))</f>
        <v/>
      </c>
      <c r="O53" s="569" t="str">
        <f>IF(M53="","",IF(VLOOKUP(M53,'G-3 Multipliers'!$L$3:$N$6,3,FALSE)=0,"Spatial Data Missing",VLOOKUP(M53,'G-3 Multipliers'!$L$3:$N$6,3,FALSE)))</f>
        <v/>
      </c>
      <c r="P53" s="80" t="str">
        <f>IFERROR(VLOOKUP(G53,'G-1 All Habitats'!$B$2:$M$130,12,FALSE),"")</f>
        <v/>
      </c>
      <c r="Q53" s="81" t="str">
        <f>IFERROR(IF(P53="","",IF(AND(P53='G-1 All Habitats'!$X$3,T53&gt;0),U53+V53,IF(AND(P53='G-1 All Habitats'!$X$3,S53&gt;0),U53+V53,IF(AND(P53='G-1 All Habitats'!$X$3,AC53&gt;0),"Any Loss Unacceptable",IF(AND(P53='G-1 All Habitats'!$X$3,W53&gt;0),"Any Loss Unacceptable",H53*J53*L53*O53))))),"Check Data")</f>
        <v/>
      </c>
      <c r="R53" s="55"/>
      <c r="S53" s="79"/>
      <c r="T53" s="82"/>
      <c r="U53" s="83" t="str">
        <f t="shared" si="3"/>
        <v/>
      </c>
      <c r="V53" s="83" t="str">
        <f t="shared" si="4"/>
        <v/>
      </c>
      <c r="W53" s="83" t="str">
        <f>IF(E53="","",IF(H53&lt;S53+T53,"Error in Areas",IF(P53&lt;&gt;'G-1 All Habitats'!$X$3,H53-S53-T53,IF(AND(P53='G-1 All Habitats'!$X$3,Y53="Yes"),"Unacceptable Loss",IF(AND(P53='G-1 All Habitats'!$X$3,Y53="No"),AC53,IF(AND(P53='G-1 All Habitats'!$X$3,Y53=""),AC53,IF(AND(P53='G-1 All Habitats'!$X$3,AC53="None",AC53),IF(AND(P53='G-1 All Habitats'!$X$3,AC53&gt;0),H53-S53-T53))))))))</f>
        <v/>
      </c>
      <c r="X53" s="84" t="str">
        <f>IFERROR(IF(H53="","",IF(H53-S53-T53=0&lt;0,"Error in Areas",IF(S53+T53&gt;H53,"Error in Areas",IF(AND(P53='G-1 All Habitats'!$X$3,Y53="Yes"),"Alternative Compensation",IF(W53=0,0,IF(P53='G-1 All Habitats'!$X$3,"Unacceptable Loss",Q53-U53-V53)))))),"Check Data")</f>
        <v/>
      </c>
      <c r="Y53" s="82"/>
      <c r="Z53" s="92"/>
      <c r="AA53" s="93"/>
      <c r="AC53" s="87" t="str">
        <f>IF(P53="","",IF(P53='G-1 All Habitats'!$X$3,H53-S53-T53,"None"))</f>
        <v/>
      </c>
      <c r="AD53" s="88" t="str">
        <f>IFERROR(AC53*J53*L53*#REF!*O53,IF(P53="","","None"))</f>
        <v/>
      </c>
      <c r="AF53" s="59" t="str">
        <f t="shared" si="0"/>
        <v/>
      </c>
      <c r="AG53" s="59" t="str">
        <f t="shared" si="1"/>
        <v/>
      </c>
      <c r="AH53" s="59" t="str">
        <f>IF(I53="","",IF(#REF!&gt;0,TRUE,FALSE))</f>
        <v/>
      </c>
      <c r="AI53" s="59">
        <v>43</v>
      </c>
      <c r="AJ53" s="59"/>
      <c r="AK53" s="59" t="str">
        <f t="array" ref="AK53">IFERROR(INDEX($AI$11:$AI$259, MATCH(0, IF(TRUE=$AF$11:$AF$259, COUNTIF($AK$10:$AK52, $AI$11:$AI$259), ""), 0)),"")</f>
        <v/>
      </c>
      <c r="AL53" s="59" t="str">
        <f t="array" ref="AL53">IFERROR(INDEX($AI$11:$AI$259, MATCH(0, IF(TRUE=$AG$11:$AG$259, COUNTIF($AL$10:$AL52, $AI$11:$AI$259), ""), 0)),"")</f>
        <v/>
      </c>
      <c r="AM53" s="59" t="str">
        <f t="array" ref="AM53">IFERROR(INDEX($AI$11:$AI$259, MATCH(0, IF(TRUE=$AH$11:$AH$259, COUNTIF($AM$10:$AM52, $AI$11:$AI$259), ""), 0)),"")</f>
        <v/>
      </c>
      <c r="AN53" s="59"/>
      <c r="AQ53" s="52">
        <f t="shared" si="2"/>
        <v>0</v>
      </c>
    </row>
    <row r="54" spans="1:43" x14ac:dyDescent="0.25">
      <c r="A54" s="52" t="str">
        <f>IFERROR(INDEX('G-1 All Habitats'!$AG$3:$AG$15,MATCH(E54,'G-1 All Habitats'!$AF$3:$AF$15,0)),"")</f>
        <v/>
      </c>
      <c r="B54" s="52" t="str">
        <f>IFERROR(INDEX('G-8 Condition Look up'!$I$4:$I$131,MATCH(G54,'G-8 Condition Look up'!$A$4:$A$131,0)),"")</f>
        <v/>
      </c>
      <c r="D54" s="89">
        <v>44</v>
      </c>
      <c r="E54" s="90"/>
      <c r="F54" s="91"/>
      <c r="G54" s="75" t="str">
        <f>IFERROR(INDEX('G-1 All Habitats'!$B$3:$B$130,MATCH(F54,'G-1 All Habitats'!$A$3:$A$130,0)),"")</f>
        <v/>
      </c>
      <c r="H54" s="76"/>
      <c r="I54" s="77" t="str">
        <f>IF(G54="","",VLOOKUP(G54,'G-1 All Habitats'!$B$2:$M$130,10,FALSE))</f>
        <v/>
      </c>
      <c r="J54" s="78" t="str">
        <f>IFERROR(VLOOKUP(I54,'G-1 All Habitats'!$V$3:$W$7,2,FALSE),"")</f>
        <v/>
      </c>
      <c r="K54" s="79"/>
      <c r="L54" s="78" t="str">
        <f>IFERROR(INDEX('G-8 Condition Look up'!$A$3:$H$131,MATCH(G54,'G-8 Condition Look up'!$A$3:$A$131,0),MATCH(K54,'G-8 Condition Look up'!$A$3:$H$3,0)),"")</f>
        <v/>
      </c>
      <c r="M54" s="79"/>
      <c r="N54" s="348" t="str">
        <f>IF(M54="","",IF(VLOOKUP(M54,'G-3 Multipliers'!$L$3:$N$6,2,FALSE)=0,"Spatial Data Missing",VLOOKUP(M54,'G-3 Multipliers'!$L$3:$N$6,2,FALSE)))</f>
        <v/>
      </c>
      <c r="O54" s="569" t="str">
        <f>IF(M54="","",IF(VLOOKUP(M54,'G-3 Multipliers'!$L$3:$N$6,3,FALSE)=0,"Spatial Data Missing",VLOOKUP(M54,'G-3 Multipliers'!$L$3:$N$6,3,FALSE)))</f>
        <v/>
      </c>
      <c r="P54" s="80" t="str">
        <f>IFERROR(VLOOKUP(G54,'G-1 All Habitats'!$B$2:$M$130,12,FALSE),"")</f>
        <v/>
      </c>
      <c r="Q54" s="81" t="str">
        <f>IFERROR(IF(P54="","",IF(AND(P54='G-1 All Habitats'!$X$3,T54&gt;0),U54+V54,IF(AND(P54='G-1 All Habitats'!$X$3,S54&gt;0),U54+V54,IF(AND(P54='G-1 All Habitats'!$X$3,AC54&gt;0),"Any Loss Unacceptable",IF(AND(P54='G-1 All Habitats'!$X$3,W54&gt;0),"Any Loss Unacceptable",H54*J54*L54*O54))))),"Check Data")</f>
        <v/>
      </c>
      <c r="R54" s="55"/>
      <c r="S54" s="79"/>
      <c r="T54" s="82"/>
      <c r="U54" s="83" t="str">
        <f t="shared" si="3"/>
        <v/>
      </c>
      <c r="V54" s="83" t="str">
        <f t="shared" si="4"/>
        <v/>
      </c>
      <c r="W54" s="83" t="str">
        <f>IF(E54="","",IF(H54&lt;S54+T54,"Error in Areas",IF(P54&lt;&gt;'G-1 All Habitats'!$X$3,H54-S54-T54,IF(AND(P54='G-1 All Habitats'!$X$3,Y54="Yes"),"Unacceptable Loss",IF(AND(P54='G-1 All Habitats'!$X$3,Y54="No"),AC54,IF(AND(P54='G-1 All Habitats'!$X$3,Y54=""),AC54,IF(AND(P54='G-1 All Habitats'!$X$3,AC54="None",AC54),IF(AND(P54='G-1 All Habitats'!$X$3,AC54&gt;0),H54-S54-T54))))))))</f>
        <v/>
      </c>
      <c r="X54" s="84" t="str">
        <f>IFERROR(IF(H54="","",IF(H54-S54-T54=0&lt;0,"Error in Areas",IF(S54+T54&gt;H54,"Error in Areas",IF(AND(P54='G-1 All Habitats'!$X$3,Y54="Yes"),"Alternative Compensation",IF(W54=0,0,IF(P54='G-1 All Habitats'!$X$3,"Unacceptable Loss",Q54-U54-V54)))))),"Check Data")</f>
        <v/>
      </c>
      <c r="Y54" s="82"/>
      <c r="Z54" s="92"/>
      <c r="AA54" s="93"/>
      <c r="AC54" s="87" t="str">
        <f>IF(P54="","",IF(P54='G-1 All Habitats'!$X$3,H54-S54-T54,"None"))</f>
        <v/>
      </c>
      <c r="AD54" s="88" t="str">
        <f>IFERROR(AC54*J54*L54*#REF!*O54,IF(P54="","","None"))</f>
        <v/>
      </c>
      <c r="AF54" s="59" t="str">
        <f t="shared" si="0"/>
        <v/>
      </c>
      <c r="AG54" s="59" t="str">
        <f t="shared" si="1"/>
        <v/>
      </c>
      <c r="AH54" s="59" t="str">
        <f>IF(I54="","",IF(#REF!&gt;0,TRUE,FALSE))</f>
        <v/>
      </c>
      <c r="AI54" s="59">
        <v>44</v>
      </c>
      <c r="AJ54" s="59"/>
      <c r="AK54" s="59" t="str">
        <f t="array" ref="AK54">IFERROR(INDEX($AI$11:$AI$259, MATCH(0, IF(TRUE=$AF$11:$AF$259, COUNTIF($AK$10:$AK53, $AI$11:$AI$259), ""), 0)),"")</f>
        <v/>
      </c>
      <c r="AL54" s="59" t="str">
        <f t="array" ref="AL54">IFERROR(INDEX($AI$11:$AI$259, MATCH(0, IF(TRUE=$AG$11:$AG$259, COUNTIF($AL$10:$AL53, $AI$11:$AI$259), ""), 0)),"")</f>
        <v/>
      </c>
      <c r="AM54" s="59" t="str">
        <f t="array" ref="AM54">IFERROR(INDEX($AI$11:$AI$259, MATCH(0, IF(TRUE=$AH$11:$AH$259, COUNTIF($AM$10:$AM53, $AI$11:$AI$259), ""), 0)),"")</f>
        <v/>
      </c>
      <c r="AN54" s="59"/>
      <c r="AQ54" s="52">
        <f t="shared" si="2"/>
        <v>0</v>
      </c>
    </row>
    <row r="55" spans="1:43" x14ac:dyDescent="0.25">
      <c r="A55" s="52" t="str">
        <f>IFERROR(INDEX('G-1 All Habitats'!$AG$3:$AG$15,MATCH(E55,'G-1 All Habitats'!$AF$3:$AF$15,0)),"")</f>
        <v/>
      </c>
      <c r="B55" s="52" t="str">
        <f>IFERROR(INDEX('G-8 Condition Look up'!$I$4:$I$131,MATCH(G55,'G-8 Condition Look up'!$A$4:$A$131,0)),"")</f>
        <v/>
      </c>
      <c r="D55" s="89">
        <v>45</v>
      </c>
      <c r="E55" s="90"/>
      <c r="F55" s="91"/>
      <c r="G55" s="75" t="str">
        <f>IFERROR(INDEX('G-1 All Habitats'!$B$3:$B$130,MATCH(F55,'G-1 All Habitats'!$A$3:$A$130,0)),"")</f>
        <v/>
      </c>
      <c r="H55" s="76"/>
      <c r="I55" s="77" t="str">
        <f>IF(G55="","",VLOOKUP(G55,'G-1 All Habitats'!$B$2:$M$130,10,FALSE))</f>
        <v/>
      </c>
      <c r="J55" s="78" t="str">
        <f>IFERROR(VLOOKUP(I55,'G-1 All Habitats'!$V$3:$W$7,2,FALSE),"")</f>
        <v/>
      </c>
      <c r="K55" s="79"/>
      <c r="L55" s="78" t="str">
        <f>IFERROR(INDEX('G-8 Condition Look up'!$A$3:$H$131,MATCH(G55,'G-8 Condition Look up'!$A$3:$A$131,0),MATCH(K55,'G-8 Condition Look up'!$A$3:$H$3,0)),"")</f>
        <v/>
      </c>
      <c r="M55" s="79"/>
      <c r="N55" s="348" t="str">
        <f>IF(M55="","",IF(VLOOKUP(M55,'G-3 Multipliers'!$L$3:$N$6,2,FALSE)=0,"Spatial Data Missing",VLOOKUP(M55,'G-3 Multipliers'!$L$3:$N$6,2,FALSE)))</f>
        <v/>
      </c>
      <c r="O55" s="569" t="str">
        <f>IF(M55="","",IF(VLOOKUP(M55,'G-3 Multipliers'!$L$3:$N$6,3,FALSE)=0,"Spatial Data Missing",VLOOKUP(M55,'G-3 Multipliers'!$L$3:$N$6,3,FALSE)))</f>
        <v/>
      </c>
      <c r="P55" s="80" t="str">
        <f>IFERROR(VLOOKUP(G55,'G-1 All Habitats'!$B$2:$M$130,12,FALSE),"")</f>
        <v/>
      </c>
      <c r="Q55" s="81" t="str">
        <f>IFERROR(IF(P55="","",IF(AND(P55='G-1 All Habitats'!$X$3,T55&gt;0),U55+V55,IF(AND(P55='G-1 All Habitats'!$X$3,S55&gt;0),U55+V55,IF(AND(P55='G-1 All Habitats'!$X$3,AC55&gt;0),"Any Loss Unacceptable",IF(AND(P55='G-1 All Habitats'!$X$3,W55&gt;0),"Any Loss Unacceptable",H55*J55*L55*O55))))),"Check Data")</f>
        <v/>
      </c>
      <c r="R55" s="55"/>
      <c r="S55" s="79"/>
      <c r="T55" s="82"/>
      <c r="U55" s="83" t="str">
        <f t="shared" si="3"/>
        <v/>
      </c>
      <c r="V55" s="83" t="str">
        <f t="shared" si="4"/>
        <v/>
      </c>
      <c r="W55" s="83" t="str">
        <f>IF(E55="","",IF(H55&lt;S55+T55,"Error in Areas",IF(P55&lt;&gt;'G-1 All Habitats'!$X$3,H55-S55-T55,IF(AND(P55='G-1 All Habitats'!$X$3,Y55="Yes"),"Unacceptable Loss",IF(AND(P55='G-1 All Habitats'!$X$3,Y55="No"),AC55,IF(AND(P55='G-1 All Habitats'!$X$3,Y55=""),AC55,IF(AND(P55='G-1 All Habitats'!$X$3,AC55="None",AC55),IF(AND(P55='G-1 All Habitats'!$X$3,AC55&gt;0),H55-S55-T55))))))))</f>
        <v/>
      </c>
      <c r="X55" s="84" t="str">
        <f>IFERROR(IF(H55="","",IF(H55-S55-T55=0&lt;0,"Error in Areas",IF(S55+T55&gt;H55,"Error in Areas",IF(AND(P55='G-1 All Habitats'!$X$3,Y55="Yes"),"Alternative Compensation",IF(W55=0,0,IF(P55='G-1 All Habitats'!$X$3,"Unacceptable Loss",Q55-U55-V55)))))),"Check Data")</f>
        <v/>
      </c>
      <c r="Y55" s="82"/>
      <c r="Z55" s="92"/>
      <c r="AA55" s="93"/>
      <c r="AC55" s="87" t="str">
        <f>IF(P55="","",IF(P55='G-1 All Habitats'!$X$3,H55-S55-T55,"None"))</f>
        <v/>
      </c>
      <c r="AD55" s="88" t="str">
        <f>IFERROR(AC55*J55*L55*#REF!*O55,IF(P55="","","None"))</f>
        <v/>
      </c>
      <c r="AF55" s="59" t="str">
        <f t="shared" si="0"/>
        <v/>
      </c>
      <c r="AG55" s="59" t="str">
        <f t="shared" si="1"/>
        <v/>
      </c>
      <c r="AH55" s="59" t="str">
        <f>IF(I55="","",IF(#REF!&gt;0,TRUE,FALSE))</f>
        <v/>
      </c>
      <c r="AI55" s="59">
        <v>45</v>
      </c>
      <c r="AJ55" s="59"/>
      <c r="AK55" s="59" t="str">
        <f t="array" ref="AK55">IFERROR(INDEX($AI$11:$AI$259, MATCH(0, IF(TRUE=$AF$11:$AF$259, COUNTIF($AK$10:$AK54, $AI$11:$AI$259), ""), 0)),"")</f>
        <v/>
      </c>
      <c r="AL55" s="59" t="str">
        <f t="array" ref="AL55">IFERROR(INDEX($AI$11:$AI$259, MATCH(0, IF(TRUE=$AG$11:$AG$259, COUNTIF($AL$10:$AL54, $AI$11:$AI$259), ""), 0)),"")</f>
        <v/>
      </c>
      <c r="AM55" s="59" t="str">
        <f t="array" ref="AM55">IFERROR(INDEX($AI$11:$AI$259, MATCH(0, IF(TRUE=$AH$11:$AH$259, COUNTIF($AM$10:$AM54, $AI$11:$AI$259), ""), 0)),"")</f>
        <v/>
      </c>
      <c r="AN55" s="59"/>
      <c r="AQ55" s="52">
        <f t="shared" si="2"/>
        <v>0</v>
      </c>
    </row>
    <row r="56" spans="1:43" x14ac:dyDescent="0.25">
      <c r="A56" s="52" t="str">
        <f>IFERROR(INDEX('G-1 All Habitats'!$AG$3:$AG$15,MATCH(E56,'G-1 All Habitats'!$AF$3:$AF$15,0)),"")</f>
        <v/>
      </c>
      <c r="B56" s="52" t="str">
        <f>IFERROR(INDEX('G-8 Condition Look up'!$I$4:$I$131,MATCH(G56,'G-8 Condition Look up'!$A$4:$A$131,0)),"")</f>
        <v/>
      </c>
      <c r="D56" s="89">
        <v>46</v>
      </c>
      <c r="E56" s="90"/>
      <c r="F56" s="91"/>
      <c r="G56" s="75" t="str">
        <f>IFERROR(INDEX('G-1 All Habitats'!$B$3:$B$130,MATCH(F56,'G-1 All Habitats'!$A$3:$A$130,0)),"")</f>
        <v/>
      </c>
      <c r="H56" s="76"/>
      <c r="I56" s="77" t="str">
        <f>IF(G56="","",VLOOKUP(G56,'G-1 All Habitats'!$B$2:$M$130,10,FALSE))</f>
        <v/>
      </c>
      <c r="J56" s="78" t="str">
        <f>IFERROR(VLOOKUP(I56,'G-1 All Habitats'!$V$3:$W$7,2,FALSE),"")</f>
        <v/>
      </c>
      <c r="K56" s="79"/>
      <c r="L56" s="78" t="str">
        <f>IFERROR(INDEX('G-8 Condition Look up'!$A$3:$H$131,MATCH(G56,'G-8 Condition Look up'!$A$3:$A$131,0),MATCH(K56,'G-8 Condition Look up'!$A$3:$H$3,0)),"")</f>
        <v/>
      </c>
      <c r="M56" s="79"/>
      <c r="N56" s="348" t="str">
        <f>IF(M56="","",IF(VLOOKUP(M56,'G-3 Multipliers'!$L$3:$N$6,2,FALSE)=0,"Spatial Data Missing",VLOOKUP(M56,'G-3 Multipliers'!$L$3:$N$6,2,FALSE)))</f>
        <v/>
      </c>
      <c r="O56" s="569" t="str">
        <f>IF(M56="","",IF(VLOOKUP(M56,'G-3 Multipliers'!$L$3:$N$6,3,FALSE)=0,"Spatial Data Missing",VLOOKUP(M56,'G-3 Multipliers'!$L$3:$N$6,3,FALSE)))</f>
        <v/>
      </c>
      <c r="P56" s="80" t="str">
        <f>IFERROR(VLOOKUP(G56,'G-1 All Habitats'!$B$2:$M$130,12,FALSE),"")</f>
        <v/>
      </c>
      <c r="Q56" s="81" t="str">
        <f>IFERROR(IF(P56="","",IF(AND(P56='G-1 All Habitats'!$X$3,T56&gt;0),U56+V56,IF(AND(P56='G-1 All Habitats'!$X$3,S56&gt;0),U56+V56,IF(AND(P56='G-1 All Habitats'!$X$3,AC56&gt;0),"Any Loss Unacceptable",IF(AND(P56='G-1 All Habitats'!$X$3,W56&gt;0),"Any Loss Unacceptable",H56*J56*L56*O56))))),"Check Data")</f>
        <v/>
      </c>
      <c r="R56" s="55"/>
      <c r="S56" s="79"/>
      <c r="T56" s="82"/>
      <c r="U56" s="83" t="str">
        <f t="shared" si="3"/>
        <v/>
      </c>
      <c r="V56" s="83" t="str">
        <f t="shared" si="4"/>
        <v/>
      </c>
      <c r="W56" s="83" t="str">
        <f>IF(E56="","",IF(H56&lt;S56+T56,"Error in Areas",IF(P56&lt;&gt;'G-1 All Habitats'!$X$3,H56-S56-T56,IF(AND(P56='G-1 All Habitats'!$X$3,Y56="Yes"),"Unacceptable Loss",IF(AND(P56='G-1 All Habitats'!$X$3,Y56="No"),AC56,IF(AND(P56='G-1 All Habitats'!$X$3,Y56=""),AC56,IF(AND(P56='G-1 All Habitats'!$X$3,AC56="None",AC56),IF(AND(P56='G-1 All Habitats'!$X$3,AC56&gt;0),H56-S56-T56))))))))</f>
        <v/>
      </c>
      <c r="X56" s="84" t="str">
        <f>IFERROR(IF(H56="","",IF(H56-S56-T56=0&lt;0,"Error in Areas",IF(S56+T56&gt;H56,"Error in Areas",IF(AND(P56='G-1 All Habitats'!$X$3,Y56="Yes"),"Alternative Compensation",IF(W56=0,0,IF(P56='G-1 All Habitats'!$X$3,"Unacceptable Loss",Q56-U56-V56)))))),"Check Data")</f>
        <v/>
      </c>
      <c r="Y56" s="82"/>
      <c r="Z56" s="92"/>
      <c r="AA56" s="93"/>
      <c r="AC56" s="87" t="str">
        <f>IF(P56="","",IF(P56='G-1 All Habitats'!$X$3,H56-S56-T56,"None"))</f>
        <v/>
      </c>
      <c r="AD56" s="88" t="str">
        <f>IFERROR(AC56*J56*L56*#REF!*O56,IF(P56="","","None"))</f>
        <v/>
      </c>
      <c r="AF56" s="59" t="str">
        <f t="shared" si="0"/>
        <v/>
      </c>
      <c r="AG56" s="59" t="str">
        <f t="shared" si="1"/>
        <v/>
      </c>
      <c r="AH56" s="59" t="str">
        <f>IF(I56="","",IF(#REF!&gt;0,TRUE,FALSE))</f>
        <v/>
      </c>
      <c r="AI56" s="59">
        <v>46</v>
      </c>
      <c r="AJ56" s="59"/>
      <c r="AK56" s="59" t="str">
        <f t="array" ref="AK56">IFERROR(INDEX($AI$11:$AI$259, MATCH(0, IF(TRUE=$AF$11:$AF$259, COUNTIF($AK$10:$AK55, $AI$11:$AI$259), ""), 0)),"")</f>
        <v/>
      </c>
      <c r="AL56" s="59" t="str">
        <f t="array" ref="AL56">IFERROR(INDEX($AI$11:$AI$259, MATCH(0, IF(TRUE=$AG$11:$AG$259, COUNTIF($AL$10:$AL55, $AI$11:$AI$259), ""), 0)),"")</f>
        <v/>
      </c>
      <c r="AM56" s="59" t="str">
        <f t="array" ref="AM56">IFERROR(INDEX($AI$11:$AI$259, MATCH(0, IF(TRUE=$AH$11:$AH$259, COUNTIF($AM$10:$AM55, $AI$11:$AI$259), ""), 0)),"")</f>
        <v/>
      </c>
      <c r="AN56" s="59"/>
      <c r="AQ56" s="52">
        <f t="shared" si="2"/>
        <v>0</v>
      </c>
    </row>
    <row r="57" spans="1:43" x14ac:dyDescent="0.25">
      <c r="A57" s="52" t="str">
        <f>IFERROR(INDEX('G-1 All Habitats'!$AG$3:$AG$15,MATCH(E57,'G-1 All Habitats'!$AF$3:$AF$15,0)),"")</f>
        <v/>
      </c>
      <c r="B57" s="52" t="str">
        <f>IFERROR(INDEX('G-8 Condition Look up'!$I$4:$I$131,MATCH(G57,'G-8 Condition Look up'!$A$4:$A$131,0)),"")</f>
        <v/>
      </c>
      <c r="D57" s="89">
        <v>47</v>
      </c>
      <c r="E57" s="90"/>
      <c r="F57" s="91"/>
      <c r="G57" s="75" t="str">
        <f>IFERROR(INDEX('G-1 All Habitats'!$B$3:$B$130,MATCH(F57,'G-1 All Habitats'!$A$3:$A$130,0)),"")</f>
        <v/>
      </c>
      <c r="H57" s="76"/>
      <c r="I57" s="77" t="str">
        <f>IF(G57="","",VLOOKUP(G57,'G-1 All Habitats'!$B$2:$M$130,10,FALSE))</f>
        <v/>
      </c>
      <c r="J57" s="78" t="str">
        <f>IFERROR(VLOOKUP(I57,'G-1 All Habitats'!$V$3:$W$7,2,FALSE),"")</f>
        <v/>
      </c>
      <c r="K57" s="79"/>
      <c r="L57" s="78" t="str">
        <f>IFERROR(INDEX('G-8 Condition Look up'!$A$3:$H$131,MATCH(G57,'G-8 Condition Look up'!$A$3:$A$131,0),MATCH(K57,'G-8 Condition Look up'!$A$3:$H$3,0)),"")</f>
        <v/>
      </c>
      <c r="M57" s="79"/>
      <c r="N57" s="348" t="str">
        <f>IF(M57="","",IF(VLOOKUP(M57,'G-3 Multipliers'!$L$3:$N$6,2,FALSE)=0,"Spatial Data Missing",VLOOKUP(M57,'G-3 Multipliers'!$L$3:$N$6,2,FALSE)))</f>
        <v/>
      </c>
      <c r="O57" s="569" t="str">
        <f>IF(M57="","",IF(VLOOKUP(M57,'G-3 Multipliers'!$L$3:$N$6,3,FALSE)=0,"Spatial Data Missing",VLOOKUP(M57,'G-3 Multipliers'!$L$3:$N$6,3,FALSE)))</f>
        <v/>
      </c>
      <c r="P57" s="80" t="str">
        <f>IFERROR(VLOOKUP(G57,'G-1 All Habitats'!$B$2:$M$130,12,FALSE),"")</f>
        <v/>
      </c>
      <c r="Q57" s="81" t="str">
        <f>IFERROR(IF(P57="","",IF(AND(P57='G-1 All Habitats'!$X$3,T57&gt;0),U57+V57,IF(AND(P57='G-1 All Habitats'!$X$3,S57&gt;0),U57+V57,IF(AND(P57='G-1 All Habitats'!$X$3,AC57&gt;0),"Any Loss Unacceptable",IF(AND(P57='G-1 All Habitats'!$X$3,W57&gt;0),"Any Loss Unacceptable",H57*J57*L57*O57))))),"Check Data")</f>
        <v/>
      </c>
      <c r="R57" s="55"/>
      <c r="S57" s="79"/>
      <c r="T57" s="82"/>
      <c r="U57" s="83" t="str">
        <f t="shared" si="3"/>
        <v/>
      </c>
      <c r="V57" s="83" t="str">
        <f t="shared" si="4"/>
        <v/>
      </c>
      <c r="W57" s="83" t="str">
        <f>IF(E57="","",IF(H57&lt;S57+T57,"Error in Areas",IF(P57&lt;&gt;'G-1 All Habitats'!$X$3,H57-S57-T57,IF(AND(P57='G-1 All Habitats'!$X$3,Y57="Yes"),"Unacceptable Loss",IF(AND(P57='G-1 All Habitats'!$X$3,Y57="No"),AC57,IF(AND(P57='G-1 All Habitats'!$X$3,Y57=""),AC57,IF(AND(P57='G-1 All Habitats'!$X$3,AC57="None",AC57),IF(AND(P57='G-1 All Habitats'!$X$3,AC57&gt;0),H57-S57-T57))))))))</f>
        <v/>
      </c>
      <c r="X57" s="84" t="str">
        <f>IFERROR(IF(H57="","",IF(H57-S57-T57=0&lt;0,"Error in Areas",IF(S57+T57&gt;H57,"Error in Areas",IF(AND(P57='G-1 All Habitats'!$X$3,Y57="Yes"),"Alternative Compensation",IF(W57=0,0,IF(P57='G-1 All Habitats'!$X$3,"Unacceptable Loss",Q57-U57-V57)))))),"Check Data")</f>
        <v/>
      </c>
      <c r="Y57" s="82"/>
      <c r="Z57" s="92"/>
      <c r="AA57" s="93"/>
      <c r="AC57" s="87" t="str">
        <f>IF(P57="","",IF(P57='G-1 All Habitats'!$X$3,H57-S57-T57,"None"))</f>
        <v/>
      </c>
      <c r="AD57" s="88" t="str">
        <f>IFERROR(AC57*J57*L57*#REF!*O57,IF(P57="","","None"))</f>
        <v/>
      </c>
      <c r="AF57" s="59" t="str">
        <f t="shared" si="0"/>
        <v/>
      </c>
      <c r="AG57" s="59" t="str">
        <f t="shared" si="1"/>
        <v/>
      </c>
      <c r="AH57" s="59" t="str">
        <f>IF(I57="","",IF(#REF!&gt;0,TRUE,FALSE))</f>
        <v/>
      </c>
      <c r="AI57" s="59">
        <v>47</v>
      </c>
      <c r="AJ57" s="59"/>
      <c r="AK57" s="59" t="str">
        <f t="array" ref="AK57">IFERROR(INDEX($AI$11:$AI$259, MATCH(0, IF(TRUE=$AF$11:$AF$259, COUNTIF($AK$10:$AK56, $AI$11:$AI$259), ""), 0)),"")</f>
        <v/>
      </c>
      <c r="AL57" s="59" t="str">
        <f t="array" ref="AL57">IFERROR(INDEX($AI$11:$AI$259, MATCH(0, IF(TRUE=$AG$11:$AG$259, COUNTIF($AL$10:$AL56, $AI$11:$AI$259), ""), 0)),"")</f>
        <v/>
      </c>
      <c r="AM57" s="59" t="str">
        <f t="array" ref="AM57">IFERROR(INDEX($AI$11:$AI$259, MATCH(0, IF(TRUE=$AH$11:$AH$259, COUNTIF($AM$10:$AM56, $AI$11:$AI$259), ""), 0)),"")</f>
        <v/>
      </c>
      <c r="AN57" s="59"/>
      <c r="AQ57" s="52">
        <f t="shared" si="2"/>
        <v>0</v>
      </c>
    </row>
    <row r="58" spans="1:43" x14ac:dyDescent="0.25">
      <c r="A58" s="52" t="str">
        <f>IFERROR(INDEX('G-1 All Habitats'!$AG$3:$AG$15,MATCH(E58,'G-1 All Habitats'!$AF$3:$AF$15,0)),"")</f>
        <v/>
      </c>
      <c r="B58" s="52" t="str">
        <f>IFERROR(INDEX('G-8 Condition Look up'!$I$4:$I$131,MATCH(G58,'G-8 Condition Look up'!$A$4:$A$131,0)),"")</f>
        <v/>
      </c>
      <c r="D58" s="89">
        <v>48</v>
      </c>
      <c r="E58" s="90"/>
      <c r="F58" s="91"/>
      <c r="G58" s="75" t="str">
        <f>IFERROR(INDEX('G-1 All Habitats'!$B$3:$B$130,MATCH(F58,'G-1 All Habitats'!$A$3:$A$130,0)),"")</f>
        <v/>
      </c>
      <c r="H58" s="76"/>
      <c r="I58" s="77" t="str">
        <f>IF(G58="","",VLOOKUP(G58,'G-1 All Habitats'!$B$2:$M$130,10,FALSE))</f>
        <v/>
      </c>
      <c r="J58" s="78" t="str">
        <f>IFERROR(VLOOKUP(I58,'G-1 All Habitats'!$V$3:$W$7,2,FALSE),"")</f>
        <v/>
      </c>
      <c r="K58" s="79"/>
      <c r="L58" s="78" t="str">
        <f>IFERROR(INDEX('G-8 Condition Look up'!$A$3:$H$131,MATCH(G58,'G-8 Condition Look up'!$A$3:$A$131,0),MATCH(K58,'G-8 Condition Look up'!$A$3:$H$3,0)),"")</f>
        <v/>
      </c>
      <c r="M58" s="79"/>
      <c r="N58" s="348" t="str">
        <f>IF(M58="","",IF(VLOOKUP(M58,'G-3 Multipliers'!$L$3:$N$6,2,FALSE)=0,"Spatial Data Missing",VLOOKUP(M58,'G-3 Multipliers'!$L$3:$N$6,2,FALSE)))</f>
        <v/>
      </c>
      <c r="O58" s="569" t="str">
        <f>IF(M58="","",IF(VLOOKUP(M58,'G-3 Multipliers'!$L$3:$N$6,3,FALSE)=0,"Spatial Data Missing",VLOOKUP(M58,'G-3 Multipliers'!$L$3:$N$6,3,FALSE)))</f>
        <v/>
      </c>
      <c r="P58" s="80" t="str">
        <f>IFERROR(VLOOKUP(G58,'G-1 All Habitats'!$B$2:$M$130,12,FALSE),"")</f>
        <v/>
      </c>
      <c r="Q58" s="81" t="str">
        <f>IFERROR(IF(P58="","",IF(AND(P58='G-1 All Habitats'!$X$3,T58&gt;0),U58+V58,IF(AND(P58='G-1 All Habitats'!$X$3,S58&gt;0),U58+V58,IF(AND(P58='G-1 All Habitats'!$X$3,AC58&gt;0),"Any Loss Unacceptable",IF(AND(P58='G-1 All Habitats'!$X$3,W58&gt;0),"Any Loss Unacceptable",H58*J58*L58*O58))))),"Check Data")</f>
        <v/>
      </c>
      <c r="R58" s="55"/>
      <c r="S58" s="79"/>
      <c r="T58" s="82"/>
      <c r="U58" s="83" t="str">
        <f t="shared" si="3"/>
        <v/>
      </c>
      <c r="V58" s="83" t="str">
        <f t="shared" si="4"/>
        <v/>
      </c>
      <c r="W58" s="83" t="str">
        <f>IF(E58="","",IF(H58&lt;S58+T58,"Error in Areas",IF(P58&lt;&gt;'G-1 All Habitats'!$X$3,H58-S58-T58,IF(AND(P58='G-1 All Habitats'!$X$3,Y58="Yes"),"Unacceptable Loss",IF(AND(P58='G-1 All Habitats'!$X$3,Y58="No"),AC58,IF(AND(P58='G-1 All Habitats'!$X$3,Y58=""),AC58,IF(AND(P58='G-1 All Habitats'!$X$3,AC58="None",AC58),IF(AND(P58='G-1 All Habitats'!$X$3,AC58&gt;0),H58-S58-T58))))))))</f>
        <v/>
      </c>
      <c r="X58" s="84" t="str">
        <f>IFERROR(IF(H58="","",IF(H58-S58-T58=0&lt;0,"Error in Areas",IF(S58+T58&gt;H58,"Error in Areas",IF(AND(P58='G-1 All Habitats'!$X$3,Y58="Yes"),"Alternative Compensation",IF(W58=0,0,IF(P58='G-1 All Habitats'!$X$3,"Unacceptable Loss",Q58-U58-V58)))))),"Check Data")</f>
        <v/>
      </c>
      <c r="Y58" s="82"/>
      <c r="Z58" s="92"/>
      <c r="AA58" s="93"/>
      <c r="AC58" s="87" t="str">
        <f>IF(P58="","",IF(P58='G-1 All Habitats'!$X$3,H58-S58-T58,"None"))</f>
        <v/>
      </c>
      <c r="AD58" s="88" t="str">
        <f>IFERROR(AC58*J58*L58*#REF!*O58,IF(P58="","","None"))</f>
        <v/>
      </c>
      <c r="AF58" s="59" t="str">
        <f t="shared" si="0"/>
        <v/>
      </c>
      <c r="AG58" s="59" t="str">
        <f t="shared" si="1"/>
        <v/>
      </c>
      <c r="AH58" s="59" t="str">
        <f>IF(I58="","",IF(#REF!&gt;0,TRUE,FALSE))</f>
        <v/>
      </c>
      <c r="AI58" s="59">
        <v>48</v>
      </c>
      <c r="AJ58" s="59"/>
      <c r="AK58" s="59" t="str">
        <f t="array" ref="AK58">IFERROR(INDEX($AI$11:$AI$259, MATCH(0, IF(TRUE=$AF$11:$AF$259, COUNTIF($AK$10:$AK57, $AI$11:$AI$259), ""), 0)),"")</f>
        <v/>
      </c>
      <c r="AL58" s="59" t="str">
        <f t="array" ref="AL58">IFERROR(INDEX($AI$11:$AI$259, MATCH(0, IF(TRUE=$AG$11:$AG$259, COUNTIF($AL$10:$AL57, $AI$11:$AI$259), ""), 0)),"")</f>
        <v/>
      </c>
      <c r="AM58" s="59" t="str">
        <f t="array" ref="AM58">IFERROR(INDEX($AI$11:$AI$259, MATCH(0, IF(TRUE=$AH$11:$AH$259, COUNTIF($AM$10:$AM57, $AI$11:$AI$259), ""), 0)),"")</f>
        <v/>
      </c>
      <c r="AN58" s="59"/>
      <c r="AQ58" s="52">
        <f t="shared" si="2"/>
        <v>0</v>
      </c>
    </row>
    <row r="59" spans="1:43" x14ac:dyDescent="0.25">
      <c r="A59" s="52" t="str">
        <f>IFERROR(INDEX('G-1 All Habitats'!$AG$3:$AG$15,MATCH(E59,'G-1 All Habitats'!$AF$3:$AF$15,0)),"")</f>
        <v/>
      </c>
      <c r="B59" s="52" t="str">
        <f>IFERROR(INDEX('G-8 Condition Look up'!$I$4:$I$131,MATCH(G59,'G-8 Condition Look up'!$A$4:$A$131,0)),"")</f>
        <v/>
      </c>
      <c r="D59" s="89">
        <v>49</v>
      </c>
      <c r="E59" s="90"/>
      <c r="F59" s="91"/>
      <c r="G59" s="75" t="str">
        <f>IFERROR(INDEX('G-1 All Habitats'!$B$3:$B$130,MATCH(F59,'G-1 All Habitats'!$A$3:$A$130,0)),"")</f>
        <v/>
      </c>
      <c r="H59" s="76"/>
      <c r="I59" s="77" t="str">
        <f>IF(G59="","",VLOOKUP(G59,'G-1 All Habitats'!$B$2:$M$130,10,FALSE))</f>
        <v/>
      </c>
      <c r="J59" s="78" t="str">
        <f>IFERROR(VLOOKUP(I59,'G-1 All Habitats'!$V$3:$W$7,2,FALSE),"")</f>
        <v/>
      </c>
      <c r="K59" s="79"/>
      <c r="L59" s="78" t="str">
        <f>IFERROR(INDEX('G-8 Condition Look up'!$A$3:$H$131,MATCH(G59,'G-8 Condition Look up'!$A$3:$A$131,0),MATCH(K59,'G-8 Condition Look up'!$A$3:$H$3,0)),"")</f>
        <v/>
      </c>
      <c r="M59" s="79"/>
      <c r="N59" s="348" t="str">
        <f>IF(M59="","",IF(VLOOKUP(M59,'G-3 Multipliers'!$L$3:$N$6,2,FALSE)=0,"Spatial Data Missing",VLOOKUP(M59,'G-3 Multipliers'!$L$3:$N$6,2,FALSE)))</f>
        <v/>
      </c>
      <c r="O59" s="569" t="str">
        <f>IF(M59="","",IF(VLOOKUP(M59,'G-3 Multipliers'!$L$3:$N$6,3,FALSE)=0,"Spatial Data Missing",VLOOKUP(M59,'G-3 Multipliers'!$L$3:$N$6,3,FALSE)))</f>
        <v/>
      </c>
      <c r="P59" s="80" t="str">
        <f>IFERROR(VLOOKUP(G59,'G-1 All Habitats'!$B$2:$M$130,12,FALSE),"")</f>
        <v/>
      </c>
      <c r="Q59" s="81" t="str">
        <f>IFERROR(IF(P59="","",IF(AND(P59='G-1 All Habitats'!$X$3,T59&gt;0),U59+V59,IF(AND(P59='G-1 All Habitats'!$X$3,S59&gt;0),U59+V59,IF(AND(P59='G-1 All Habitats'!$X$3,AC59&gt;0),"Any Loss Unacceptable",IF(AND(P59='G-1 All Habitats'!$X$3,W59&gt;0),"Any Loss Unacceptable",H59*J59*L59*O59))))),"Check Data")</f>
        <v/>
      </c>
      <c r="R59" s="55"/>
      <c r="S59" s="79"/>
      <c r="T59" s="82"/>
      <c r="U59" s="83" t="str">
        <f t="shared" si="3"/>
        <v/>
      </c>
      <c r="V59" s="83" t="str">
        <f t="shared" si="4"/>
        <v/>
      </c>
      <c r="W59" s="83" t="str">
        <f>IF(E59="","",IF(H59&lt;S59+T59,"Error in Areas",IF(P59&lt;&gt;'G-1 All Habitats'!$X$3,H59-S59-T59,IF(AND(P59='G-1 All Habitats'!$X$3,Y59="Yes"),"Unacceptable Loss",IF(AND(P59='G-1 All Habitats'!$X$3,Y59="No"),AC59,IF(AND(P59='G-1 All Habitats'!$X$3,Y59=""),AC59,IF(AND(P59='G-1 All Habitats'!$X$3,AC59="None",AC59),IF(AND(P59='G-1 All Habitats'!$X$3,AC59&gt;0),H59-S59-T59))))))))</f>
        <v/>
      </c>
      <c r="X59" s="84" t="str">
        <f>IFERROR(IF(H59="","",IF(H59-S59-T59=0&lt;0,"Error in Areas",IF(S59+T59&gt;H59,"Error in Areas",IF(AND(P59='G-1 All Habitats'!$X$3,Y59="Yes"),"Alternative Compensation",IF(W59=0,0,IF(P59='G-1 All Habitats'!$X$3,"Unacceptable Loss",Q59-U59-V59)))))),"Check Data")</f>
        <v/>
      </c>
      <c r="Y59" s="82"/>
      <c r="Z59" s="92"/>
      <c r="AA59" s="93"/>
      <c r="AC59" s="87" t="str">
        <f>IF(P59="","",IF(P59='G-1 All Habitats'!$X$3,H59-S59-T59,"None"))</f>
        <v/>
      </c>
      <c r="AD59" s="88" t="str">
        <f>IFERROR(AC59*J59*L59*#REF!*O59,IF(P59="","","None"))</f>
        <v/>
      </c>
      <c r="AF59" s="59" t="str">
        <f t="shared" si="0"/>
        <v/>
      </c>
      <c r="AG59" s="59" t="str">
        <f t="shared" si="1"/>
        <v/>
      </c>
      <c r="AH59" s="59" t="str">
        <f>IF(I59="","",IF(#REF!&gt;0,TRUE,FALSE))</f>
        <v/>
      </c>
      <c r="AI59" s="59">
        <v>49</v>
      </c>
      <c r="AJ59" s="59"/>
      <c r="AK59" s="59" t="str">
        <f t="array" ref="AK59">IFERROR(INDEX($AI$11:$AI$259, MATCH(0, IF(TRUE=$AF$11:$AF$259, COUNTIF($AK$10:$AK58, $AI$11:$AI$259), ""), 0)),"")</f>
        <v/>
      </c>
      <c r="AL59" s="59" t="str">
        <f t="array" ref="AL59">IFERROR(INDEX($AI$11:$AI$259, MATCH(0, IF(TRUE=$AG$11:$AG$259, COUNTIF($AL$10:$AL58, $AI$11:$AI$259), ""), 0)),"")</f>
        <v/>
      </c>
      <c r="AM59" s="59" t="str">
        <f t="array" ref="AM59">IFERROR(INDEX($AI$11:$AI$259, MATCH(0, IF(TRUE=$AH$11:$AH$259, COUNTIF($AM$10:$AM58, $AI$11:$AI$259), ""), 0)),"")</f>
        <v/>
      </c>
      <c r="AN59" s="59"/>
      <c r="AQ59" s="52">
        <f t="shared" si="2"/>
        <v>0</v>
      </c>
    </row>
    <row r="60" spans="1:43" x14ac:dyDescent="0.25">
      <c r="A60" s="52" t="str">
        <f>IFERROR(INDEX('G-1 All Habitats'!$AG$3:$AG$15,MATCH(E60,'G-1 All Habitats'!$AF$3:$AF$15,0)),"")</f>
        <v/>
      </c>
      <c r="B60" s="52" t="str">
        <f>IFERROR(INDEX('G-8 Condition Look up'!$I$4:$I$131,MATCH(G60,'G-8 Condition Look up'!$A$4:$A$131,0)),"")</f>
        <v/>
      </c>
      <c r="D60" s="89">
        <v>50</v>
      </c>
      <c r="E60" s="90"/>
      <c r="F60" s="91"/>
      <c r="G60" s="75" t="str">
        <f>IFERROR(INDEX('G-1 All Habitats'!$B$3:$B$130,MATCH(F60,'G-1 All Habitats'!$A$3:$A$130,0)),"")</f>
        <v/>
      </c>
      <c r="H60" s="76"/>
      <c r="I60" s="77" t="str">
        <f>IF(G60="","",VLOOKUP(G60,'G-1 All Habitats'!$B$2:$M$130,10,FALSE))</f>
        <v/>
      </c>
      <c r="J60" s="78" t="str">
        <f>IFERROR(VLOOKUP(I60,'G-1 All Habitats'!$V$3:$W$7,2,FALSE),"")</f>
        <v/>
      </c>
      <c r="K60" s="79"/>
      <c r="L60" s="78" t="str">
        <f>IFERROR(INDEX('G-8 Condition Look up'!$A$3:$H$131,MATCH(G60,'G-8 Condition Look up'!$A$3:$A$131,0),MATCH(K60,'G-8 Condition Look up'!$A$3:$H$3,0)),"")</f>
        <v/>
      </c>
      <c r="M60" s="79"/>
      <c r="N60" s="348" t="str">
        <f>IF(M60="","",IF(VLOOKUP(M60,'G-3 Multipliers'!$L$3:$N$6,2,FALSE)=0,"Spatial Data Missing",VLOOKUP(M60,'G-3 Multipliers'!$L$3:$N$6,2,FALSE)))</f>
        <v/>
      </c>
      <c r="O60" s="569" t="str">
        <f>IF(M60="","",IF(VLOOKUP(M60,'G-3 Multipliers'!$L$3:$N$6,3,FALSE)=0,"Spatial Data Missing",VLOOKUP(M60,'G-3 Multipliers'!$L$3:$N$6,3,FALSE)))</f>
        <v/>
      </c>
      <c r="P60" s="80" t="str">
        <f>IFERROR(VLOOKUP(G60,'G-1 All Habitats'!$B$2:$M$130,12,FALSE),"")</f>
        <v/>
      </c>
      <c r="Q60" s="81" t="str">
        <f>IFERROR(IF(P60="","",IF(AND(P60='G-1 All Habitats'!$X$3,T60&gt;0),U60+V60,IF(AND(P60='G-1 All Habitats'!$X$3,S60&gt;0),U60+V60,IF(AND(P60='G-1 All Habitats'!$X$3,AC60&gt;0),"Any Loss Unacceptable",IF(AND(P60='G-1 All Habitats'!$X$3,W60&gt;0),"Any Loss Unacceptable",H60*J60*L60*O60))))),"Check Data")</f>
        <v/>
      </c>
      <c r="R60" s="55"/>
      <c r="S60" s="79"/>
      <c r="T60" s="82"/>
      <c r="U60" s="83" t="str">
        <f t="shared" si="3"/>
        <v/>
      </c>
      <c r="V60" s="83" t="str">
        <f t="shared" si="4"/>
        <v/>
      </c>
      <c r="W60" s="83" t="str">
        <f>IF(E60="","",IF(H60&lt;S60+T60,"Error in Areas",IF(P60&lt;&gt;'G-1 All Habitats'!$X$3,H60-S60-T60,IF(AND(P60='G-1 All Habitats'!$X$3,Y60="Yes"),"Unacceptable Loss",IF(AND(P60='G-1 All Habitats'!$X$3,Y60="No"),AC60,IF(AND(P60='G-1 All Habitats'!$X$3,Y60=""),AC60,IF(AND(P60='G-1 All Habitats'!$X$3,AC60="None",AC60),IF(AND(P60='G-1 All Habitats'!$X$3,AC60&gt;0),H60-S60-T60))))))))</f>
        <v/>
      </c>
      <c r="X60" s="84" t="str">
        <f>IFERROR(IF(H60="","",IF(H60-S60-T60=0&lt;0,"Error in Areas",IF(S60+T60&gt;H60,"Error in Areas",IF(AND(P60='G-1 All Habitats'!$X$3,Y60="Yes"),"Alternative Compensation",IF(W60=0,0,IF(P60='G-1 All Habitats'!$X$3,"Unacceptable Loss",Q60-U60-V60)))))),"Check Data")</f>
        <v/>
      </c>
      <c r="Y60" s="82"/>
      <c r="Z60" s="92"/>
      <c r="AA60" s="93"/>
      <c r="AC60" s="87" t="str">
        <f>IF(P60="","",IF(P60='G-1 All Habitats'!$X$3,H60-S60-T60,"None"))</f>
        <v/>
      </c>
      <c r="AD60" s="88" t="str">
        <f>IFERROR(AC60*J60*L60*#REF!*O60,IF(P60="","","None"))</f>
        <v/>
      </c>
      <c r="AF60" s="59" t="str">
        <f t="shared" si="0"/>
        <v/>
      </c>
      <c r="AG60" s="59" t="str">
        <f t="shared" si="1"/>
        <v/>
      </c>
      <c r="AH60" s="59" t="str">
        <f>IF(I60="","",IF(#REF!&gt;0,TRUE,FALSE))</f>
        <v/>
      </c>
      <c r="AI60" s="59">
        <v>50</v>
      </c>
      <c r="AJ60" s="59"/>
      <c r="AK60" s="59" t="str">
        <f t="array" ref="AK60">IFERROR(INDEX($AI$11:$AI$259, MATCH(0, IF(TRUE=$AF$11:$AF$259, COUNTIF($AK$10:$AK59, $AI$11:$AI$259), ""), 0)),"")</f>
        <v/>
      </c>
      <c r="AL60" s="59" t="str">
        <f t="array" ref="AL60">IFERROR(INDEX($AI$11:$AI$259, MATCH(0, IF(TRUE=$AG$11:$AG$259, COUNTIF($AL$10:$AL59, $AI$11:$AI$259), ""), 0)),"")</f>
        <v/>
      </c>
      <c r="AM60" s="59" t="str">
        <f t="array" ref="AM60">IFERROR(INDEX($AI$11:$AI$259, MATCH(0, IF(TRUE=$AH$11:$AH$259, COUNTIF($AM$10:$AM59, $AI$11:$AI$259), ""), 0)),"")</f>
        <v/>
      </c>
      <c r="AN60" s="59"/>
      <c r="AQ60" s="52">
        <f t="shared" si="2"/>
        <v>0</v>
      </c>
    </row>
    <row r="61" spans="1:43" x14ac:dyDescent="0.25">
      <c r="A61" s="52" t="str">
        <f>IFERROR(INDEX('G-1 All Habitats'!$AG$3:$AG$15,MATCH(E61,'G-1 All Habitats'!$AF$3:$AF$15,0)),"")</f>
        <v/>
      </c>
      <c r="B61" s="52" t="str">
        <f>IFERROR(INDEX('G-8 Condition Look up'!$I$4:$I$131,MATCH(G61,'G-8 Condition Look up'!$A$4:$A$131,0)),"")</f>
        <v/>
      </c>
      <c r="D61" s="89">
        <v>51</v>
      </c>
      <c r="E61" s="90"/>
      <c r="F61" s="91"/>
      <c r="G61" s="75" t="str">
        <f>IFERROR(INDEX('G-1 All Habitats'!$B$3:$B$130,MATCH(F61,'G-1 All Habitats'!$A$3:$A$130,0)),"")</f>
        <v/>
      </c>
      <c r="H61" s="76"/>
      <c r="I61" s="77" t="str">
        <f>IF(G61="","",VLOOKUP(G61,'G-1 All Habitats'!$B$2:$M$130,10,FALSE))</f>
        <v/>
      </c>
      <c r="J61" s="78" t="str">
        <f>IFERROR(VLOOKUP(I61,'G-1 All Habitats'!$V$3:$W$7,2,FALSE),"")</f>
        <v/>
      </c>
      <c r="K61" s="79"/>
      <c r="L61" s="78" t="str">
        <f>IFERROR(INDEX('G-8 Condition Look up'!$A$3:$H$131,MATCH(G61,'G-8 Condition Look up'!$A$3:$A$131,0),MATCH(K61,'G-8 Condition Look up'!$A$3:$H$3,0)),"")</f>
        <v/>
      </c>
      <c r="M61" s="79"/>
      <c r="N61" s="348" t="str">
        <f>IF(M61="","",IF(VLOOKUP(M61,'G-3 Multipliers'!$L$3:$N$6,2,FALSE)=0,"Spatial Data Missing",VLOOKUP(M61,'G-3 Multipliers'!$L$3:$N$6,2,FALSE)))</f>
        <v/>
      </c>
      <c r="O61" s="569" t="str">
        <f>IF(M61="","",IF(VLOOKUP(M61,'G-3 Multipliers'!$L$3:$N$6,3,FALSE)=0,"Spatial Data Missing",VLOOKUP(M61,'G-3 Multipliers'!$L$3:$N$6,3,FALSE)))</f>
        <v/>
      </c>
      <c r="P61" s="80" t="str">
        <f>IFERROR(VLOOKUP(G61,'G-1 All Habitats'!$B$2:$M$130,12,FALSE),"")</f>
        <v/>
      </c>
      <c r="Q61" s="81" t="str">
        <f>IFERROR(IF(P61="","",IF(AND(P61='G-1 All Habitats'!$X$3,T61&gt;0),U61+V61,IF(AND(P61='G-1 All Habitats'!$X$3,S61&gt;0),U61+V61,IF(AND(P61='G-1 All Habitats'!$X$3,AC61&gt;0),"Any Loss Unacceptable",IF(AND(P61='G-1 All Habitats'!$X$3,W61&gt;0),"Any Loss Unacceptable",H61*J61*L61*O61))))),"Check Data")</f>
        <v/>
      </c>
      <c r="R61" s="55"/>
      <c r="S61" s="79"/>
      <c r="T61" s="82"/>
      <c r="U61" s="83" t="str">
        <f t="shared" si="3"/>
        <v/>
      </c>
      <c r="V61" s="83" t="str">
        <f t="shared" si="4"/>
        <v/>
      </c>
      <c r="W61" s="83" t="str">
        <f>IF(E61="","",IF(H61&lt;S61+T61,"Error in Areas",IF(P61&lt;&gt;'G-1 All Habitats'!$X$3,H61-S61-T61,IF(AND(P61='G-1 All Habitats'!$X$3,Y61="Yes"),"Unacceptable Loss",IF(AND(P61='G-1 All Habitats'!$X$3,Y61="No"),AC61,IF(AND(P61='G-1 All Habitats'!$X$3,Y61=""),AC61,IF(AND(P61='G-1 All Habitats'!$X$3,AC61="None",AC61),IF(AND(P61='G-1 All Habitats'!$X$3,AC61&gt;0),H61-S61-T61))))))))</f>
        <v/>
      </c>
      <c r="X61" s="84" t="str">
        <f>IFERROR(IF(H61="","",IF(H61-S61-T61=0&lt;0,"Error in Areas",IF(S61+T61&gt;H61,"Error in Areas",IF(AND(P61='G-1 All Habitats'!$X$3,Y61="Yes"),"Alternative Compensation",IF(W61=0,0,IF(P61='G-1 All Habitats'!$X$3,"Unacceptable Loss",Q61-U61-V61)))))),"Check Data")</f>
        <v/>
      </c>
      <c r="Y61" s="82"/>
      <c r="Z61" s="92"/>
      <c r="AA61" s="93"/>
      <c r="AC61" s="87" t="str">
        <f>IF(P61="","",IF(P61='G-1 All Habitats'!$X$3,H61-S61-T61,"None"))</f>
        <v/>
      </c>
      <c r="AD61" s="88" t="str">
        <f>IFERROR(AC61*J61*L61*#REF!*O61,IF(P61="","","None"))</f>
        <v/>
      </c>
      <c r="AF61" s="59" t="str">
        <f t="shared" si="0"/>
        <v/>
      </c>
      <c r="AG61" s="59" t="str">
        <f t="shared" si="1"/>
        <v/>
      </c>
      <c r="AH61" s="59" t="str">
        <f>IF(I61="","",IF(#REF!&gt;0,TRUE,FALSE))</f>
        <v/>
      </c>
      <c r="AI61" s="59">
        <v>51</v>
      </c>
      <c r="AJ61" s="59"/>
      <c r="AK61" s="59" t="str">
        <f t="array" ref="AK61">IFERROR(INDEX($AI$11:$AI$259, MATCH(0, IF(TRUE=$AF$11:$AF$259, COUNTIF($AK$10:$AK60, $AI$11:$AI$259), ""), 0)),"")</f>
        <v/>
      </c>
      <c r="AL61" s="59" t="str">
        <f t="array" ref="AL61">IFERROR(INDEX($AI$11:$AI$259, MATCH(0, IF(TRUE=$AG$11:$AG$259, COUNTIF($AL$10:$AL60, $AI$11:$AI$259), ""), 0)),"")</f>
        <v/>
      </c>
      <c r="AM61" s="59" t="str">
        <f t="array" ref="AM61">IFERROR(INDEX($AI$11:$AI$259, MATCH(0, IF(TRUE=$AH$11:$AH$259, COUNTIF($AM$10:$AM60, $AI$11:$AI$259), ""), 0)),"")</f>
        <v/>
      </c>
      <c r="AN61" s="59"/>
      <c r="AQ61" s="52">
        <f t="shared" si="2"/>
        <v>0</v>
      </c>
    </row>
    <row r="62" spans="1:43" x14ac:dyDescent="0.25">
      <c r="A62" s="52" t="str">
        <f>IFERROR(INDEX('G-1 All Habitats'!$AG$3:$AG$15,MATCH(E62,'G-1 All Habitats'!$AF$3:$AF$15,0)),"")</f>
        <v/>
      </c>
      <c r="B62" s="52" t="str">
        <f>IFERROR(INDEX('G-8 Condition Look up'!$I$4:$I$131,MATCH(G62,'G-8 Condition Look up'!$A$4:$A$131,0)),"")</f>
        <v/>
      </c>
      <c r="D62" s="89">
        <v>52</v>
      </c>
      <c r="E62" s="90"/>
      <c r="F62" s="91"/>
      <c r="G62" s="75" t="str">
        <f>IFERROR(INDEX('G-1 All Habitats'!$B$3:$B$130,MATCH(F62,'G-1 All Habitats'!$A$3:$A$130,0)),"")</f>
        <v/>
      </c>
      <c r="H62" s="76"/>
      <c r="I62" s="77" t="str">
        <f>IF(G62="","",VLOOKUP(G62,'G-1 All Habitats'!$B$2:$M$130,10,FALSE))</f>
        <v/>
      </c>
      <c r="J62" s="78" t="str">
        <f>IFERROR(VLOOKUP(I62,'G-1 All Habitats'!$V$3:$W$7,2,FALSE),"")</f>
        <v/>
      </c>
      <c r="K62" s="79"/>
      <c r="L62" s="78" t="str">
        <f>IFERROR(INDEX('G-8 Condition Look up'!$A$3:$H$131,MATCH(G62,'G-8 Condition Look up'!$A$3:$A$131,0),MATCH(K62,'G-8 Condition Look up'!$A$3:$H$3,0)),"")</f>
        <v/>
      </c>
      <c r="M62" s="79"/>
      <c r="N62" s="348" t="str">
        <f>IF(M62="","",IF(VLOOKUP(M62,'G-3 Multipliers'!$L$3:$N$6,2,FALSE)=0,"Spatial Data Missing",VLOOKUP(M62,'G-3 Multipliers'!$L$3:$N$6,2,FALSE)))</f>
        <v/>
      </c>
      <c r="O62" s="569" t="str">
        <f>IF(M62="","",IF(VLOOKUP(M62,'G-3 Multipliers'!$L$3:$N$6,3,FALSE)=0,"Spatial Data Missing",VLOOKUP(M62,'G-3 Multipliers'!$L$3:$N$6,3,FALSE)))</f>
        <v/>
      </c>
      <c r="P62" s="80" t="str">
        <f>IFERROR(VLOOKUP(G62,'G-1 All Habitats'!$B$2:$M$130,12,FALSE),"")</f>
        <v/>
      </c>
      <c r="Q62" s="81" t="str">
        <f>IFERROR(IF(P62="","",IF(AND(P62='G-1 All Habitats'!$X$3,T62&gt;0),U62+V62,IF(AND(P62='G-1 All Habitats'!$X$3,S62&gt;0),U62+V62,IF(AND(P62='G-1 All Habitats'!$X$3,AC62&gt;0),"Any Loss Unacceptable",IF(AND(P62='G-1 All Habitats'!$X$3,W62&gt;0),"Any Loss Unacceptable",H62*J62*L62*O62))))),"Check Data")</f>
        <v/>
      </c>
      <c r="R62" s="55"/>
      <c r="S62" s="79"/>
      <c r="T62" s="82"/>
      <c r="U62" s="83" t="str">
        <f t="shared" si="3"/>
        <v/>
      </c>
      <c r="V62" s="83" t="str">
        <f t="shared" si="4"/>
        <v/>
      </c>
      <c r="W62" s="83" t="str">
        <f>IF(E62="","",IF(H62&lt;S62+T62,"Error in Areas",IF(P62&lt;&gt;'G-1 All Habitats'!$X$3,H62-S62-T62,IF(AND(P62='G-1 All Habitats'!$X$3,Y62="Yes"),"Unacceptable Loss",IF(AND(P62='G-1 All Habitats'!$X$3,Y62="No"),AC62,IF(AND(P62='G-1 All Habitats'!$X$3,Y62=""),AC62,IF(AND(P62='G-1 All Habitats'!$X$3,AC62="None",AC62),IF(AND(P62='G-1 All Habitats'!$X$3,AC62&gt;0),H62-S62-T62))))))))</f>
        <v/>
      </c>
      <c r="X62" s="84" t="str">
        <f>IFERROR(IF(H62="","",IF(H62-S62-T62=0&lt;0,"Error in Areas",IF(S62+T62&gt;H62,"Error in Areas",IF(AND(P62='G-1 All Habitats'!$X$3,Y62="Yes"),"Alternative Compensation",IF(W62=0,0,IF(P62='G-1 All Habitats'!$X$3,"Unacceptable Loss",Q62-U62-V62)))))),"Check Data")</f>
        <v/>
      </c>
      <c r="Y62" s="82"/>
      <c r="Z62" s="92"/>
      <c r="AA62" s="93"/>
      <c r="AC62" s="87" t="str">
        <f>IF(P62="","",IF(P62='G-1 All Habitats'!$X$3,H62-S62-T62,"None"))</f>
        <v/>
      </c>
      <c r="AD62" s="88" t="str">
        <f>IFERROR(AC62*J62*L62*#REF!*O62,IF(P62="","","None"))</f>
        <v/>
      </c>
      <c r="AF62" s="59" t="str">
        <f t="shared" si="0"/>
        <v/>
      </c>
      <c r="AG62" s="59" t="str">
        <f t="shared" si="1"/>
        <v/>
      </c>
      <c r="AH62" s="59" t="str">
        <f>IF(I62="","",IF(#REF!&gt;0,TRUE,FALSE))</f>
        <v/>
      </c>
      <c r="AI62" s="59">
        <v>52</v>
      </c>
      <c r="AJ62" s="59"/>
      <c r="AK62" s="59" t="str">
        <f t="array" ref="AK62">IFERROR(INDEX($AI$11:$AI$259, MATCH(0, IF(TRUE=$AF$11:$AF$259, COUNTIF($AK$10:$AK61, $AI$11:$AI$259), ""), 0)),"")</f>
        <v/>
      </c>
      <c r="AL62" s="59" t="str">
        <f t="array" ref="AL62">IFERROR(INDEX($AI$11:$AI$259, MATCH(0, IF(TRUE=$AG$11:$AG$259, COUNTIF($AL$10:$AL61, $AI$11:$AI$259), ""), 0)),"")</f>
        <v/>
      </c>
      <c r="AM62" s="59" t="str">
        <f t="array" ref="AM62">IFERROR(INDEX($AI$11:$AI$259, MATCH(0, IF(TRUE=$AH$11:$AH$259, COUNTIF($AM$10:$AM61, $AI$11:$AI$259), ""), 0)),"")</f>
        <v/>
      </c>
      <c r="AN62" s="59"/>
      <c r="AQ62" s="52">
        <f t="shared" si="2"/>
        <v>0</v>
      </c>
    </row>
    <row r="63" spans="1:43" x14ac:dyDescent="0.25">
      <c r="A63" s="52" t="str">
        <f>IFERROR(INDEX('G-1 All Habitats'!$AG$3:$AG$15,MATCH(E63,'G-1 All Habitats'!$AF$3:$AF$15,0)),"")</f>
        <v/>
      </c>
      <c r="B63" s="52" t="str">
        <f>IFERROR(INDEX('G-8 Condition Look up'!$I$4:$I$131,MATCH(G63,'G-8 Condition Look up'!$A$4:$A$131,0)),"")</f>
        <v/>
      </c>
      <c r="D63" s="89">
        <v>53</v>
      </c>
      <c r="E63" s="90"/>
      <c r="F63" s="91"/>
      <c r="G63" s="75" t="str">
        <f>IFERROR(INDEX('G-1 All Habitats'!$B$3:$B$130,MATCH(F63,'G-1 All Habitats'!$A$3:$A$130,0)),"")</f>
        <v/>
      </c>
      <c r="H63" s="76"/>
      <c r="I63" s="77" t="str">
        <f>IF(G63="","",VLOOKUP(G63,'G-1 All Habitats'!$B$2:$M$130,10,FALSE))</f>
        <v/>
      </c>
      <c r="J63" s="78" t="str">
        <f>IFERROR(VLOOKUP(I63,'G-1 All Habitats'!$V$3:$W$7,2,FALSE),"")</f>
        <v/>
      </c>
      <c r="K63" s="79"/>
      <c r="L63" s="78" t="str">
        <f>IFERROR(INDEX('G-8 Condition Look up'!$A$3:$H$131,MATCH(G63,'G-8 Condition Look up'!$A$3:$A$131,0),MATCH(K63,'G-8 Condition Look up'!$A$3:$H$3,0)),"")</f>
        <v/>
      </c>
      <c r="M63" s="79"/>
      <c r="N63" s="348" t="str">
        <f>IF(M63="","",IF(VLOOKUP(M63,'G-3 Multipliers'!$L$3:$N$6,2,FALSE)=0,"Spatial Data Missing",VLOOKUP(M63,'G-3 Multipliers'!$L$3:$N$6,2,FALSE)))</f>
        <v/>
      </c>
      <c r="O63" s="569" t="str">
        <f>IF(M63="","",IF(VLOOKUP(M63,'G-3 Multipliers'!$L$3:$N$6,3,FALSE)=0,"Spatial Data Missing",VLOOKUP(M63,'G-3 Multipliers'!$L$3:$N$6,3,FALSE)))</f>
        <v/>
      </c>
      <c r="P63" s="80" t="str">
        <f>IFERROR(VLOOKUP(G63,'G-1 All Habitats'!$B$2:$M$130,12,FALSE),"")</f>
        <v/>
      </c>
      <c r="Q63" s="81" t="str">
        <f>IFERROR(IF(P63="","",IF(AND(P63='G-1 All Habitats'!$X$3,T63&gt;0),U63+V63,IF(AND(P63='G-1 All Habitats'!$X$3,S63&gt;0),U63+V63,IF(AND(P63='G-1 All Habitats'!$X$3,AC63&gt;0),"Any Loss Unacceptable",IF(AND(P63='G-1 All Habitats'!$X$3,W63&gt;0),"Any Loss Unacceptable",H63*J63*L63*O63))))),"Check Data")</f>
        <v/>
      </c>
      <c r="R63" s="55"/>
      <c r="S63" s="79"/>
      <c r="T63" s="82"/>
      <c r="U63" s="83" t="str">
        <f t="shared" si="3"/>
        <v/>
      </c>
      <c r="V63" s="83" t="str">
        <f t="shared" si="4"/>
        <v/>
      </c>
      <c r="W63" s="83" t="str">
        <f>IF(E63="","",IF(H63&lt;S63+T63,"Error in Areas",IF(P63&lt;&gt;'G-1 All Habitats'!$X$3,H63-S63-T63,IF(AND(P63='G-1 All Habitats'!$X$3,Y63="Yes"),"Unacceptable Loss",IF(AND(P63='G-1 All Habitats'!$X$3,Y63="No"),AC63,IF(AND(P63='G-1 All Habitats'!$X$3,Y63=""),AC63,IF(AND(P63='G-1 All Habitats'!$X$3,AC63="None",AC63),IF(AND(P63='G-1 All Habitats'!$X$3,AC63&gt;0),H63-S63-T63))))))))</f>
        <v/>
      </c>
      <c r="X63" s="84" t="str">
        <f>IFERROR(IF(H63="","",IF(H63-S63-T63=0&lt;0,"Error in Areas",IF(S63+T63&gt;H63,"Error in Areas",IF(AND(P63='G-1 All Habitats'!$X$3,Y63="Yes"),"Alternative Compensation",IF(W63=0,0,IF(P63='G-1 All Habitats'!$X$3,"Unacceptable Loss",Q63-U63-V63)))))),"Check Data")</f>
        <v/>
      </c>
      <c r="Y63" s="82"/>
      <c r="Z63" s="92"/>
      <c r="AA63" s="93"/>
      <c r="AC63" s="87" t="str">
        <f>IF(P63="","",IF(P63='G-1 All Habitats'!$X$3,H63-S63-T63,"None"))</f>
        <v/>
      </c>
      <c r="AD63" s="88" t="str">
        <f>IFERROR(AC63*J63*L63*#REF!*O63,IF(P63="","","None"))</f>
        <v/>
      </c>
      <c r="AF63" s="59" t="str">
        <f t="shared" si="0"/>
        <v/>
      </c>
      <c r="AG63" s="59" t="str">
        <f t="shared" si="1"/>
        <v/>
      </c>
      <c r="AH63" s="59" t="str">
        <f>IF(I63="","",IF(#REF!&gt;0,TRUE,FALSE))</f>
        <v/>
      </c>
      <c r="AI63" s="59">
        <v>53</v>
      </c>
      <c r="AJ63" s="59"/>
      <c r="AK63" s="59" t="str">
        <f t="array" ref="AK63">IFERROR(INDEX($AI$11:$AI$259, MATCH(0, IF(TRUE=$AF$11:$AF$259, COUNTIF($AK$10:$AK62, $AI$11:$AI$259), ""), 0)),"")</f>
        <v/>
      </c>
      <c r="AL63" s="59" t="str">
        <f t="array" ref="AL63">IFERROR(INDEX($AI$11:$AI$259, MATCH(0, IF(TRUE=$AG$11:$AG$259, COUNTIF($AL$10:$AL62, $AI$11:$AI$259), ""), 0)),"")</f>
        <v/>
      </c>
      <c r="AM63" s="59" t="str">
        <f t="array" ref="AM63">IFERROR(INDEX($AI$11:$AI$259, MATCH(0, IF(TRUE=$AH$11:$AH$259, COUNTIF($AM$10:$AM62, $AI$11:$AI$259), ""), 0)),"")</f>
        <v/>
      </c>
      <c r="AN63" s="59"/>
      <c r="AQ63" s="52">
        <f t="shared" si="2"/>
        <v>0</v>
      </c>
    </row>
    <row r="64" spans="1:43" x14ac:dyDescent="0.25">
      <c r="A64" s="52" t="str">
        <f>IFERROR(INDEX('G-1 All Habitats'!$AG$3:$AG$15,MATCH(E64,'G-1 All Habitats'!$AF$3:$AF$15,0)),"")</f>
        <v/>
      </c>
      <c r="B64" s="52" t="str">
        <f>IFERROR(INDEX('G-8 Condition Look up'!$I$4:$I$131,MATCH(G64,'G-8 Condition Look up'!$A$4:$A$131,0)),"")</f>
        <v/>
      </c>
      <c r="D64" s="89">
        <v>54</v>
      </c>
      <c r="E64" s="90"/>
      <c r="F64" s="91"/>
      <c r="G64" s="75" t="str">
        <f>IFERROR(INDEX('G-1 All Habitats'!$B$3:$B$130,MATCH(F64,'G-1 All Habitats'!$A$3:$A$130,0)),"")</f>
        <v/>
      </c>
      <c r="H64" s="76"/>
      <c r="I64" s="77" t="str">
        <f>IF(G64="","",VLOOKUP(G64,'G-1 All Habitats'!$B$2:$M$130,10,FALSE))</f>
        <v/>
      </c>
      <c r="J64" s="78" t="str">
        <f>IFERROR(VLOOKUP(I64,'G-1 All Habitats'!$V$3:$W$7,2,FALSE),"")</f>
        <v/>
      </c>
      <c r="K64" s="79"/>
      <c r="L64" s="78" t="str">
        <f>IFERROR(INDEX('G-8 Condition Look up'!$A$3:$H$131,MATCH(G64,'G-8 Condition Look up'!$A$3:$A$131,0),MATCH(K64,'G-8 Condition Look up'!$A$3:$H$3,0)),"")</f>
        <v/>
      </c>
      <c r="M64" s="79"/>
      <c r="N64" s="348" t="str">
        <f>IF(M64="","",IF(VLOOKUP(M64,'G-3 Multipliers'!$L$3:$N$6,2,FALSE)=0,"Spatial Data Missing",VLOOKUP(M64,'G-3 Multipliers'!$L$3:$N$6,2,FALSE)))</f>
        <v/>
      </c>
      <c r="O64" s="569" t="str">
        <f>IF(M64="","",IF(VLOOKUP(M64,'G-3 Multipliers'!$L$3:$N$6,3,FALSE)=0,"Spatial Data Missing",VLOOKUP(M64,'G-3 Multipliers'!$L$3:$N$6,3,FALSE)))</f>
        <v/>
      </c>
      <c r="P64" s="80" t="str">
        <f>IFERROR(VLOOKUP(G64,'G-1 All Habitats'!$B$2:$M$130,12,FALSE),"")</f>
        <v/>
      </c>
      <c r="Q64" s="81" t="str">
        <f>IFERROR(IF(P64="","",IF(AND(P64='G-1 All Habitats'!$X$3,T64&gt;0),U64+V64,IF(AND(P64='G-1 All Habitats'!$X$3,S64&gt;0),U64+V64,IF(AND(P64='G-1 All Habitats'!$X$3,AC64&gt;0),"Any Loss Unacceptable",IF(AND(P64='G-1 All Habitats'!$X$3,W64&gt;0),"Any Loss Unacceptable",H64*J64*L64*O64))))),"Check Data")</f>
        <v/>
      </c>
      <c r="R64" s="55"/>
      <c r="S64" s="79"/>
      <c r="T64" s="82"/>
      <c r="U64" s="83" t="str">
        <f t="shared" si="3"/>
        <v/>
      </c>
      <c r="V64" s="83" t="str">
        <f t="shared" si="4"/>
        <v/>
      </c>
      <c r="W64" s="83" t="str">
        <f>IF(E64="","",IF(H64&lt;S64+T64,"Error in Areas",IF(P64&lt;&gt;'G-1 All Habitats'!$X$3,H64-S64-T64,IF(AND(P64='G-1 All Habitats'!$X$3,Y64="Yes"),"Unacceptable Loss",IF(AND(P64='G-1 All Habitats'!$X$3,Y64="No"),AC64,IF(AND(P64='G-1 All Habitats'!$X$3,Y64=""),AC64,IF(AND(P64='G-1 All Habitats'!$X$3,AC64="None",AC64),IF(AND(P64='G-1 All Habitats'!$X$3,AC64&gt;0),H64-S64-T64))))))))</f>
        <v/>
      </c>
      <c r="X64" s="84" t="str">
        <f>IFERROR(IF(H64="","",IF(H64-S64-T64=0&lt;0,"Error in Areas",IF(S64+T64&gt;H64,"Error in Areas",IF(AND(P64='G-1 All Habitats'!$X$3,Y64="Yes"),"Alternative Compensation",IF(W64=0,0,IF(P64='G-1 All Habitats'!$X$3,"Unacceptable Loss",Q64-U64-V64)))))),"Check Data")</f>
        <v/>
      </c>
      <c r="Y64" s="82"/>
      <c r="Z64" s="92"/>
      <c r="AA64" s="93"/>
      <c r="AC64" s="87" t="str">
        <f>IF(P64="","",IF(P64='G-1 All Habitats'!$X$3,H64-S64-T64,"None"))</f>
        <v/>
      </c>
      <c r="AD64" s="88" t="str">
        <f>IFERROR(AC64*J64*L64*#REF!*O64,IF(P64="","","None"))</f>
        <v/>
      </c>
      <c r="AF64" s="59" t="str">
        <f t="shared" si="0"/>
        <v/>
      </c>
      <c r="AG64" s="59" t="str">
        <f t="shared" si="1"/>
        <v/>
      </c>
      <c r="AH64" s="59" t="str">
        <f>IF(I64="","",IF(#REF!&gt;0,TRUE,FALSE))</f>
        <v/>
      </c>
      <c r="AI64" s="59">
        <v>54</v>
      </c>
      <c r="AJ64" s="59"/>
      <c r="AK64" s="59" t="str">
        <f t="array" ref="AK64">IFERROR(INDEX($AI$11:$AI$259, MATCH(0, IF(TRUE=$AF$11:$AF$259, COUNTIF($AK$10:$AK63, $AI$11:$AI$259), ""), 0)),"")</f>
        <v/>
      </c>
      <c r="AL64" s="59" t="str">
        <f t="array" ref="AL64">IFERROR(INDEX($AI$11:$AI$259, MATCH(0, IF(TRUE=$AG$11:$AG$259, COUNTIF($AL$10:$AL63, $AI$11:$AI$259), ""), 0)),"")</f>
        <v/>
      </c>
      <c r="AM64" s="59" t="str">
        <f t="array" ref="AM64">IFERROR(INDEX($AI$11:$AI$259, MATCH(0, IF(TRUE=$AH$11:$AH$259, COUNTIF($AM$10:$AM63, $AI$11:$AI$259), ""), 0)),"")</f>
        <v/>
      </c>
      <c r="AN64" s="59"/>
      <c r="AQ64" s="52">
        <f t="shared" si="2"/>
        <v>0</v>
      </c>
    </row>
    <row r="65" spans="1:43" x14ac:dyDescent="0.25">
      <c r="A65" s="52" t="str">
        <f>IFERROR(INDEX('G-1 All Habitats'!$AG$3:$AG$15,MATCH(E65,'G-1 All Habitats'!$AF$3:$AF$15,0)),"")</f>
        <v/>
      </c>
      <c r="B65" s="52" t="str">
        <f>IFERROR(INDEX('G-8 Condition Look up'!$I$4:$I$131,MATCH(G65,'G-8 Condition Look up'!$A$4:$A$131,0)),"")</f>
        <v/>
      </c>
      <c r="D65" s="89">
        <v>55</v>
      </c>
      <c r="E65" s="90"/>
      <c r="F65" s="91"/>
      <c r="G65" s="75" t="str">
        <f>IFERROR(INDEX('G-1 All Habitats'!$B$3:$B$130,MATCH(F65,'G-1 All Habitats'!$A$3:$A$130,0)),"")</f>
        <v/>
      </c>
      <c r="H65" s="76"/>
      <c r="I65" s="77" t="str">
        <f>IF(G65="","",VLOOKUP(G65,'G-1 All Habitats'!$B$2:$M$130,10,FALSE))</f>
        <v/>
      </c>
      <c r="J65" s="78" t="str">
        <f>IFERROR(VLOOKUP(I65,'G-1 All Habitats'!$V$3:$W$7,2,FALSE),"")</f>
        <v/>
      </c>
      <c r="K65" s="79"/>
      <c r="L65" s="78" t="str">
        <f>IFERROR(INDEX('G-8 Condition Look up'!$A$3:$H$131,MATCH(G65,'G-8 Condition Look up'!$A$3:$A$131,0),MATCH(K65,'G-8 Condition Look up'!$A$3:$H$3,0)),"")</f>
        <v/>
      </c>
      <c r="M65" s="79"/>
      <c r="N65" s="348" t="str">
        <f>IF(M65="","",IF(VLOOKUP(M65,'G-3 Multipliers'!$L$3:$N$6,2,FALSE)=0,"Spatial Data Missing",VLOOKUP(M65,'G-3 Multipliers'!$L$3:$N$6,2,FALSE)))</f>
        <v/>
      </c>
      <c r="O65" s="569" t="str">
        <f>IF(M65="","",IF(VLOOKUP(M65,'G-3 Multipliers'!$L$3:$N$6,3,FALSE)=0,"Spatial Data Missing",VLOOKUP(M65,'G-3 Multipliers'!$L$3:$N$6,3,FALSE)))</f>
        <v/>
      </c>
      <c r="P65" s="80" t="str">
        <f>IFERROR(VLOOKUP(G65,'G-1 All Habitats'!$B$2:$M$130,12,FALSE),"")</f>
        <v/>
      </c>
      <c r="Q65" s="81" t="str">
        <f>IFERROR(IF(P65="","",IF(AND(P65='G-1 All Habitats'!$X$3,T65&gt;0),U65+V65,IF(AND(P65='G-1 All Habitats'!$X$3,S65&gt;0),U65+V65,IF(AND(P65='G-1 All Habitats'!$X$3,AC65&gt;0),"Any Loss Unacceptable",IF(AND(P65='G-1 All Habitats'!$X$3,W65&gt;0),"Any Loss Unacceptable",H65*J65*L65*O65))))),"Check Data")</f>
        <v/>
      </c>
      <c r="R65" s="55"/>
      <c r="S65" s="79"/>
      <c r="T65" s="82"/>
      <c r="U65" s="83" t="str">
        <f t="shared" si="3"/>
        <v/>
      </c>
      <c r="V65" s="83" t="str">
        <f t="shared" si="4"/>
        <v/>
      </c>
      <c r="W65" s="83" t="str">
        <f>IF(E65="","",IF(H65&lt;S65+T65,"Error in Areas",IF(P65&lt;&gt;'G-1 All Habitats'!$X$3,H65-S65-T65,IF(AND(P65='G-1 All Habitats'!$X$3,Y65="Yes"),"Unacceptable Loss",IF(AND(P65='G-1 All Habitats'!$X$3,Y65="No"),AC65,IF(AND(P65='G-1 All Habitats'!$X$3,Y65=""),AC65,IF(AND(P65='G-1 All Habitats'!$X$3,AC65="None",AC65),IF(AND(P65='G-1 All Habitats'!$X$3,AC65&gt;0),H65-S65-T65))))))))</f>
        <v/>
      </c>
      <c r="X65" s="84" t="str">
        <f>IFERROR(IF(H65="","",IF(H65-S65-T65=0&lt;0,"Error in Areas",IF(S65+T65&gt;H65,"Error in Areas",IF(AND(P65='G-1 All Habitats'!$X$3,Y65="Yes"),"Alternative Compensation",IF(W65=0,0,IF(P65='G-1 All Habitats'!$X$3,"Unacceptable Loss",Q65-U65-V65)))))),"Check Data")</f>
        <v/>
      </c>
      <c r="Y65" s="82"/>
      <c r="Z65" s="92"/>
      <c r="AA65" s="93"/>
      <c r="AC65" s="87" t="str">
        <f>IF(P65="","",IF(P65='G-1 All Habitats'!$X$3,H65-S65-T65,"None"))</f>
        <v/>
      </c>
      <c r="AD65" s="88" t="str">
        <f>IFERROR(AC65*J65*L65*#REF!*O65,IF(P65="","","None"))</f>
        <v/>
      </c>
      <c r="AF65" s="59" t="str">
        <f t="shared" si="0"/>
        <v/>
      </c>
      <c r="AG65" s="59" t="str">
        <f t="shared" si="1"/>
        <v/>
      </c>
      <c r="AH65" s="59" t="str">
        <f>IF(I65="","",IF(#REF!&gt;0,TRUE,FALSE))</f>
        <v/>
      </c>
      <c r="AI65" s="59">
        <v>55</v>
      </c>
      <c r="AJ65" s="59"/>
      <c r="AK65" s="59" t="str">
        <f t="array" ref="AK65">IFERROR(INDEX($AI$11:$AI$259, MATCH(0, IF(TRUE=$AF$11:$AF$259, COUNTIF($AK$10:$AK64, $AI$11:$AI$259), ""), 0)),"")</f>
        <v/>
      </c>
      <c r="AL65" s="59" t="str">
        <f t="array" ref="AL65">IFERROR(INDEX($AI$11:$AI$259, MATCH(0, IF(TRUE=$AG$11:$AG$259, COUNTIF($AL$10:$AL64, $AI$11:$AI$259), ""), 0)),"")</f>
        <v/>
      </c>
      <c r="AM65" s="59" t="str">
        <f t="array" ref="AM65">IFERROR(INDEX($AI$11:$AI$259, MATCH(0, IF(TRUE=$AH$11:$AH$259, COUNTIF($AM$10:$AM64, $AI$11:$AI$259), ""), 0)),"")</f>
        <v/>
      </c>
      <c r="AN65" s="59"/>
      <c r="AQ65" s="52">
        <f t="shared" si="2"/>
        <v>0</v>
      </c>
    </row>
    <row r="66" spans="1:43" x14ac:dyDescent="0.25">
      <c r="A66" s="52" t="str">
        <f>IFERROR(INDEX('G-1 All Habitats'!$AG$3:$AG$15,MATCH(E66,'G-1 All Habitats'!$AF$3:$AF$15,0)),"")</f>
        <v/>
      </c>
      <c r="B66" s="52" t="str">
        <f>IFERROR(INDEX('G-8 Condition Look up'!$I$4:$I$131,MATCH(G66,'G-8 Condition Look up'!$A$4:$A$131,0)),"")</f>
        <v/>
      </c>
      <c r="D66" s="89">
        <v>56</v>
      </c>
      <c r="E66" s="90"/>
      <c r="F66" s="91"/>
      <c r="G66" s="75" t="str">
        <f>IFERROR(INDEX('G-1 All Habitats'!$B$3:$B$130,MATCH(F66,'G-1 All Habitats'!$A$3:$A$130,0)),"")</f>
        <v/>
      </c>
      <c r="H66" s="76"/>
      <c r="I66" s="77" t="str">
        <f>IF(G66="","",VLOOKUP(G66,'G-1 All Habitats'!$B$2:$M$130,10,FALSE))</f>
        <v/>
      </c>
      <c r="J66" s="78" t="str">
        <f>IFERROR(VLOOKUP(I66,'G-1 All Habitats'!$V$3:$W$7,2,FALSE),"")</f>
        <v/>
      </c>
      <c r="K66" s="79"/>
      <c r="L66" s="78" t="str">
        <f>IFERROR(INDEX('G-8 Condition Look up'!$A$3:$H$131,MATCH(G66,'G-8 Condition Look up'!$A$3:$A$131,0),MATCH(K66,'G-8 Condition Look up'!$A$3:$H$3,0)),"")</f>
        <v/>
      </c>
      <c r="M66" s="79"/>
      <c r="N66" s="348" t="str">
        <f>IF(M66="","",IF(VLOOKUP(M66,'G-3 Multipliers'!$L$3:$N$6,2,FALSE)=0,"Spatial Data Missing",VLOOKUP(M66,'G-3 Multipliers'!$L$3:$N$6,2,FALSE)))</f>
        <v/>
      </c>
      <c r="O66" s="569" t="str">
        <f>IF(M66="","",IF(VLOOKUP(M66,'G-3 Multipliers'!$L$3:$N$6,3,FALSE)=0,"Spatial Data Missing",VLOOKUP(M66,'G-3 Multipliers'!$L$3:$N$6,3,FALSE)))</f>
        <v/>
      </c>
      <c r="P66" s="80" t="str">
        <f>IFERROR(VLOOKUP(G66,'G-1 All Habitats'!$B$2:$M$130,12,FALSE),"")</f>
        <v/>
      </c>
      <c r="Q66" s="81" t="str">
        <f>IFERROR(IF(P66="","",IF(AND(P66='G-1 All Habitats'!$X$3,T66&gt;0),U66+V66,IF(AND(P66='G-1 All Habitats'!$X$3,S66&gt;0),U66+V66,IF(AND(P66='G-1 All Habitats'!$X$3,AC66&gt;0),"Any Loss Unacceptable",IF(AND(P66='G-1 All Habitats'!$X$3,W66&gt;0),"Any Loss Unacceptable",H66*J66*L66*O66))))),"Check Data")</f>
        <v/>
      </c>
      <c r="R66" s="55"/>
      <c r="S66" s="79"/>
      <c r="T66" s="82"/>
      <c r="U66" s="83" t="str">
        <f t="shared" si="3"/>
        <v/>
      </c>
      <c r="V66" s="83" t="str">
        <f t="shared" si="4"/>
        <v/>
      </c>
      <c r="W66" s="83" t="str">
        <f>IF(E66="","",IF(H66&lt;S66+T66,"Error in Areas",IF(P66&lt;&gt;'G-1 All Habitats'!$X$3,H66-S66-T66,IF(AND(P66='G-1 All Habitats'!$X$3,Y66="Yes"),"Unacceptable Loss",IF(AND(P66='G-1 All Habitats'!$X$3,Y66="No"),AC66,IF(AND(P66='G-1 All Habitats'!$X$3,Y66=""),AC66,IF(AND(P66='G-1 All Habitats'!$X$3,AC66="None",AC66),IF(AND(P66='G-1 All Habitats'!$X$3,AC66&gt;0),H66-S66-T66))))))))</f>
        <v/>
      </c>
      <c r="X66" s="84" t="str">
        <f>IFERROR(IF(H66="","",IF(H66-S66-T66=0&lt;0,"Error in Areas",IF(S66+T66&gt;H66,"Error in Areas",IF(AND(P66='G-1 All Habitats'!$X$3,Y66="Yes"),"Alternative Compensation",IF(W66=0,0,IF(P66='G-1 All Habitats'!$X$3,"Unacceptable Loss",Q66-U66-V66)))))),"Check Data")</f>
        <v/>
      </c>
      <c r="Y66" s="82"/>
      <c r="Z66" s="92"/>
      <c r="AA66" s="93"/>
      <c r="AC66" s="87" t="str">
        <f>IF(P66="","",IF(P66='G-1 All Habitats'!$X$3,H66-S66-T66,"None"))</f>
        <v/>
      </c>
      <c r="AD66" s="88" t="str">
        <f>IFERROR(AC66*J66*L66*#REF!*O66,IF(P66="","","None"))</f>
        <v/>
      </c>
      <c r="AF66" s="59" t="str">
        <f t="shared" si="0"/>
        <v/>
      </c>
      <c r="AG66" s="59" t="str">
        <f t="shared" si="1"/>
        <v/>
      </c>
      <c r="AH66" s="59" t="str">
        <f>IF(I66="","",IF(#REF!&gt;0,TRUE,FALSE))</f>
        <v/>
      </c>
      <c r="AI66" s="59">
        <v>56</v>
      </c>
      <c r="AJ66" s="59"/>
      <c r="AK66" s="59" t="str">
        <f t="array" ref="AK66">IFERROR(INDEX($AI$11:$AI$259, MATCH(0, IF(TRUE=$AF$11:$AF$259, COUNTIF($AK$10:$AK65, $AI$11:$AI$259), ""), 0)),"")</f>
        <v/>
      </c>
      <c r="AL66" s="59" t="str">
        <f t="array" ref="AL66">IFERROR(INDEX($AI$11:$AI$259, MATCH(0, IF(TRUE=$AG$11:$AG$259, COUNTIF($AL$10:$AL65, $AI$11:$AI$259), ""), 0)),"")</f>
        <v/>
      </c>
      <c r="AM66" s="59" t="str">
        <f t="array" ref="AM66">IFERROR(INDEX($AI$11:$AI$259, MATCH(0, IF(TRUE=$AH$11:$AH$259, COUNTIF($AM$10:$AM65, $AI$11:$AI$259), ""), 0)),"")</f>
        <v/>
      </c>
      <c r="AN66" s="59"/>
      <c r="AQ66" s="52">
        <f t="shared" si="2"/>
        <v>0</v>
      </c>
    </row>
    <row r="67" spans="1:43" x14ac:dyDescent="0.25">
      <c r="A67" s="52" t="str">
        <f>IFERROR(INDEX('G-1 All Habitats'!$AG$3:$AG$15,MATCH(E67,'G-1 All Habitats'!$AF$3:$AF$15,0)),"")</f>
        <v/>
      </c>
      <c r="B67" s="52" t="str">
        <f>IFERROR(INDEX('G-8 Condition Look up'!$I$4:$I$131,MATCH(G67,'G-8 Condition Look up'!$A$4:$A$131,0)),"")</f>
        <v/>
      </c>
      <c r="D67" s="89">
        <v>57</v>
      </c>
      <c r="E67" s="90"/>
      <c r="F67" s="91"/>
      <c r="G67" s="75" t="str">
        <f>IFERROR(INDEX('G-1 All Habitats'!$B$3:$B$130,MATCH(F67,'G-1 All Habitats'!$A$3:$A$130,0)),"")</f>
        <v/>
      </c>
      <c r="H67" s="76"/>
      <c r="I67" s="77" t="str">
        <f>IF(G67="","",VLOOKUP(G67,'G-1 All Habitats'!$B$2:$M$130,10,FALSE))</f>
        <v/>
      </c>
      <c r="J67" s="78" t="str">
        <f>IFERROR(VLOOKUP(I67,'G-1 All Habitats'!$V$3:$W$7,2,FALSE),"")</f>
        <v/>
      </c>
      <c r="K67" s="79"/>
      <c r="L67" s="78" t="str">
        <f>IFERROR(INDEX('G-8 Condition Look up'!$A$3:$H$131,MATCH(G67,'G-8 Condition Look up'!$A$3:$A$131,0),MATCH(K67,'G-8 Condition Look up'!$A$3:$H$3,0)),"")</f>
        <v/>
      </c>
      <c r="M67" s="79"/>
      <c r="N67" s="348" t="str">
        <f>IF(M67="","",IF(VLOOKUP(M67,'G-3 Multipliers'!$L$3:$N$6,2,FALSE)=0,"Spatial Data Missing",VLOOKUP(M67,'G-3 Multipliers'!$L$3:$N$6,2,FALSE)))</f>
        <v/>
      </c>
      <c r="O67" s="569" t="str">
        <f>IF(M67="","",IF(VLOOKUP(M67,'G-3 Multipliers'!$L$3:$N$6,3,FALSE)=0,"Spatial Data Missing",VLOOKUP(M67,'G-3 Multipliers'!$L$3:$N$6,3,FALSE)))</f>
        <v/>
      </c>
      <c r="P67" s="80" t="str">
        <f>IFERROR(VLOOKUP(G67,'G-1 All Habitats'!$B$2:$M$130,12,FALSE),"")</f>
        <v/>
      </c>
      <c r="Q67" s="81" t="str">
        <f>IFERROR(IF(P67="","",IF(AND(P67='G-1 All Habitats'!$X$3,T67&gt;0),U67+V67,IF(AND(P67='G-1 All Habitats'!$X$3,S67&gt;0),U67+V67,IF(AND(P67='G-1 All Habitats'!$X$3,AC67&gt;0),"Any Loss Unacceptable",IF(AND(P67='G-1 All Habitats'!$X$3,W67&gt;0),"Any Loss Unacceptable",H67*J67*L67*O67))))),"Check Data")</f>
        <v/>
      </c>
      <c r="R67" s="55"/>
      <c r="S67" s="79"/>
      <c r="T67" s="82"/>
      <c r="U67" s="83" t="str">
        <f t="shared" si="3"/>
        <v/>
      </c>
      <c r="V67" s="83" t="str">
        <f t="shared" si="4"/>
        <v/>
      </c>
      <c r="W67" s="83" t="str">
        <f>IF(E67="","",IF(H67&lt;S67+T67,"Error in Areas",IF(P67&lt;&gt;'G-1 All Habitats'!$X$3,H67-S67-T67,IF(AND(P67='G-1 All Habitats'!$X$3,Y67="Yes"),"Unacceptable Loss",IF(AND(P67='G-1 All Habitats'!$X$3,Y67="No"),AC67,IF(AND(P67='G-1 All Habitats'!$X$3,Y67=""),AC67,IF(AND(P67='G-1 All Habitats'!$X$3,AC67="None",AC67),IF(AND(P67='G-1 All Habitats'!$X$3,AC67&gt;0),H67-S67-T67))))))))</f>
        <v/>
      </c>
      <c r="X67" s="84" t="str">
        <f>IFERROR(IF(H67="","",IF(H67-S67-T67=0&lt;0,"Error in Areas",IF(S67+T67&gt;H67,"Error in Areas",IF(AND(P67='G-1 All Habitats'!$X$3,Y67="Yes"),"Alternative Compensation",IF(W67=0,0,IF(P67='G-1 All Habitats'!$X$3,"Unacceptable Loss",Q67-U67-V67)))))),"Check Data")</f>
        <v/>
      </c>
      <c r="Y67" s="82"/>
      <c r="Z67" s="92"/>
      <c r="AA67" s="93"/>
      <c r="AC67" s="87" t="str">
        <f>IF(P67="","",IF(P67='G-1 All Habitats'!$X$3,H67-S67-T67,"None"))</f>
        <v/>
      </c>
      <c r="AD67" s="88" t="str">
        <f>IFERROR(AC67*J67*L67*#REF!*O67,IF(P67="","","None"))</f>
        <v/>
      </c>
      <c r="AF67" s="59" t="str">
        <f t="shared" si="0"/>
        <v/>
      </c>
      <c r="AG67" s="59" t="str">
        <f t="shared" si="1"/>
        <v/>
      </c>
      <c r="AH67" s="59" t="str">
        <f>IF(I67="","",IF(#REF!&gt;0,TRUE,FALSE))</f>
        <v/>
      </c>
      <c r="AI67" s="59">
        <v>57</v>
      </c>
      <c r="AJ67" s="59"/>
      <c r="AK67" s="59" t="str">
        <f t="array" ref="AK67">IFERROR(INDEX($AI$11:$AI$259, MATCH(0, IF(TRUE=$AF$11:$AF$259, COUNTIF($AK$10:$AK66, $AI$11:$AI$259), ""), 0)),"")</f>
        <v/>
      </c>
      <c r="AL67" s="59" t="str">
        <f t="array" ref="AL67">IFERROR(INDEX($AI$11:$AI$259, MATCH(0, IF(TRUE=$AG$11:$AG$259, COUNTIF($AL$10:$AL66, $AI$11:$AI$259), ""), 0)),"")</f>
        <v/>
      </c>
      <c r="AM67" s="59" t="str">
        <f t="array" ref="AM67">IFERROR(INDEX($AI$11:$AI$259, MATCH(0, IF(TRUE=$AH$11:$AH$259, COUNTIF($AM$10:$AM66, $AI$11:$AI$259), ""), 0)),"")</f>
        <v/>
      </c>
      <c r="AN67" s="59"/>
      <c r="AQ67" s="52">
        <f t="shared" si="2"/>
        <v>0</v>
      </c>
    </row>
    <row r="68" spans="1:43" x14ac:dyDescent="0.25">
      <c r="A68" s="52" t="str">
        <f>IFERROR(INDEX('G-1 All Habitats'!$AG$3:$AG$15,MATCH(E68,'G-1 All Habitats'!$AF$3:$AF$15,0)),"")</f>
        <v/>
      </c>
      <c r="B68" s="52" t="str">
        <f>IFERROR(INDEX('G-8 Condition Look up'!$I$4:$I$131,MATCH(G68,'G-8 Condition Look up'!$A$4:$A$131,0)),"")</f>
        <v/>
      </c>
      <c r="D68" s="89">
        <v>58</v>
      </c>
      <c r="E68" s="90"/>
      <c r="F68" s="91"/>
      <c r="G68" s="75" t="str">
        <f>IFERROR(INDEX('G-1 All Habitats'!$B$3:$B$130,MATCH(F68,'G-1 All Habitats'!$A$3:$A$130,0)),"")</f>
        <v/>
      </c>
      <c r="H68" s="76"/>
      <c r="I68" s="77" t="str">
        <f>IF(G68="","",VLOOKUP(G68,'G-1 All Habitats'!$B$2:$M$130,10,FALSE))</f>
        <v/>
      </c>
      <c r="J68" s="78" t="str">
        <f>IFERROR(VLOOKUP(I68,'G-1 All Habitats'!$V$3:$W$7,2,FALSE),"")</f>
        <v/>
      </c>
      <c r="K68" s="79"/>
      <c r="L68" s="78" t="str">
        <f>IFERROR(INDEX('G-8 Condition Look up'!$A$3:$H$131,MATCH(G68,'G-8 Condition Look up'!$A$3:$A$131,0),MATCH(K68,'G-8 Condition Look up'!$A$3:$H$3,0)),"")</f>
        <v/>
      </c>
      <c r="M68" s="79"/>
      <c r="N68" s="348" t="str">
        <f>IF(M68="","",IF(VLOOKUP(M68,'G-3 Multipliers'!$L$3:$N$6,2,FALSE)=0,"Spatial Data Missing",VLOOKUP(M68,'G-3 Multipliers'!$L$3:$N$6,2,FALSE)))</f>
        <v/>
      </c>
      <c r="O68" s="569" t="str">
        <f>IF(M68="","",IF(VLOOKUP(M68,'G-3 Multipliers'!$L$3:$N$6,3,FALSE)=0,"Spatial Data Missing",VLOOKUP(M68,'G-3 Multipliers'!$L$3:$N$6,3,FALSE)))</f>
        <v/>
      </c>
      <c r="P68" s="80" t="str">
        <f>IFERROR(VLOOKUP(G68,'G-1 All Habitats'!$B$2:$M$130,12,FALSE),"")</f>
        <v/>
      </c>
      <c r="Q68" s="81" t="str">
        <f>IFERROR(IF(P68="","",IF(AND(P68='G-1 All Habitats'!$X$3,T68&gt;0),U68+V68,IF(AND(P68='G-1 All Habitats'!$X$3,S68&gt;0),U68+V68,IF(AND(P68='G-1 All Habitats'!$X$3,AC68&gt;0),"Any Loss Unacceptable",IF(AND(P68='G-1 All Habitats'!$X$3,W68&gt;0),"Any Loss Unacceptable",H68*J68*L68*O68))))),"Check Data")</f>
        <v/>
      </c>
      <c r="R68" s="55"/>
      <c r="S68" s="79"/>
      <c r="T68" s="82"/>
      <c r="U68" s="83" t="str">
        <f t="shared" si="3"/>
        <v/>
      </c>
      <c r="V68" s="83" t="str">
        <f t="shared" si="4"/>
        <v/>
      </c>
      <c r="W68" s="83" t="str">
        <f>IF(E68="","",IF(H68&lt;S68+T68,"Error in Areas",IF(P68&lt;&gt;'G-1 All Habitats'!$X$3,H68-S68-T68,IF(AND(P68='G-1 All Habitats'!$X$3,Y68="Yes"),"Unacceptable Loss",IF(AND(P68='G-1 All Habitats'!$X$3,Y68="No"),AC68,IF(AND(P68='G-1 All Habitats'!$X$3,Y68=""),AC68,IF(AND(P68='G-1 All Habitats'!$X$3,AC68="None",AC68),IF(AND(P68='G-1 All Habitats'!$X$3,AC68&gt;0),H68-S68-T68))))))))</f>
        <v/>
      </c>
      <c r="X68" s="84" t="str">
        <f>IFERROR(IF(H68="","",IF(H68-S68-T68=0&lt;0,"Error in Areas",IF(S68+T68&gt;H68,"Error in Areas",IF(AND(P68='G-1 All Habitats'!$X$3,Y68="Yes"),"Alternative Compensation",IF(W68=0,0,IF(P68='G-1 All Habitats'!$X$3,"Unacceptable Loss",Q68-U68-V68)))))),"Check Data")</f>
        <v/>
      </c>
      <c r="Y68" s="82"/>
      <c r="Z68" s="92"/>
      <c r="AA68" s="93"/>
      <c r="AC68" s="87" t="str">
        <f>IF(P68="","",IF(P68='G-1 All Habitats'!$X$3,H68-S68-T68,"None"))</f>
        <v/>
      </c>
      <c r="AD68" s="88" t="str">
        <f>IFERROR(AC68*J68*L68*#REF!*O68,IF(P68="","","None"))</f>
        <v/>
      </c>
      <c r="AF68" s="59" t="str">
        <f t="shared" si="0"/>
        <v/>
      </c>
      <c r="AG68" s="59" t="str">
        <f t="shared" si="1"/>
        <v/>
      </c>
      <c r="AH68" s="59" t="str">
        <f>IF(I68="","",IF(#REF!&gt;0,TRUE,FALSE))</f>
        <v/>
      </c>
      <c r="AI68" s="59">
        <v>58</v>
      </c>
      <c r="AJ68" s="59"/>
      <c r="AK68" s="59" t="str">
        <f t="array" ref="AK68">IFERROR(INDEX($AI$11:$AI$259, MATCH(0, IF(TRUE=$AF$11:$AF$259, COUNTIF($AK$10:$AK67, $AI$11:$AI$259), ""), 0)),"")</f>
        <v/>
      </c>
      <c r="AL68" s="59" t="str">
        <f t="array" ref="AL68">IFERROR(INDEX($AI$11:$AI$259, MATCH(0, IF(TRUE=$AG$11:$AG$259, COUNTIF($AL$10:$AL67, $AI$11:$AI$259), ""), 0)),"")</f>
        <v/>
      </c>
      <c r="AM68" s="59" t="str">
        <f t="array" ref="AM68">IFERROR(INDEX($AI$11:$AI$259, MATCH(0, IF(TRUE=$AH$11:$AH$259, COUNTIF($AM$10:$AM67, $AI$11:$AI$259), ""), 0)),"")</f>
        <v/>
      </c>
      <c r="AN68" s="59"/>
      <c r="AQ68" s="52">
        <f t="shared" si="2"/>
        <v>0</v>
      </c>
    </row>
    <row r="69" spans="1:43" x14ac:dyDescent="0.25">
      <c r="A69" s="52" t="str">
        <f>IFERROR(INDEX('G-1 All Habitats'!$AG$3:$AG$15,MATCH(E69,'G-1 All Habitats'!$AF$3:$AF$15,0)),"")</f>
        <v/>
      </c>
      <c r="B69" s="52" t="str">
        <f>IFERROR(INDEX('G-8 Condition Look up'!$I$4:$I$131,MATCH(G69,'G-8 Condition Look up'!$A$4:$A$131,0)),"")</f>
        <v/>
      </c>
      <c r="D69" s="89">
        <v>59</v>
      </c>
      <c r="E69" s="90"/>
      <c r="F69" s="91"/>
      <c r="G69" s="75" t="str">
        <f>IFERROR(INDEX('G-1 All Habitats'!$B$3:$B$130,MATCH(F69,'G-1 All Habitats'!$A$3:$A$130,0)),"")</f>
        <v/>
      </c>
      <c r="H69" s="76"/>
      <c r="I69" s="77" t="str">
        <f>IF(G69="","",VLOOKUP(G69,'G-1 All Habitats'!$B$2:$M$130,10,FALSE))</f>
        <v/>
      </c>
      <c r="J69" s="78" t="str">
        <f>IFERROR(VLOOKUP(I69,'G-1 All Habitats'!$V$3:$W$7,2,FALSE),"")</f>
        <v/>
      </c>
      <c r="K69" s="79"/>
      <c r="L69" s="78" t="str">
        <f>IFERROR(INDEX('G-8 Condition Look up'!$A$3:$H$131,MATCH(G69,'G-8 Condition Look up'!$A$3:$A$131,0),MATCH(K69,'G-8 Condition Look up'!$A$3:$H$3,0)),"")</f>
        <v/>
      </c>
      <c r="M69" s="79"/>
      <c r="N69" s="348" t="str">
        <f>IF(M69="","",IF(VLOOKUP(M69,'G-3 Multipliers'!$L$3:$N$6,2,FALSE)=0,"Spatial Data Missing",VLOOKUP(M69,'G-3 Multipliers'!$L$3:$N$6,2,FALSE)))</f>
        <v/>
      </c>
      <c r="O69" s="569" t="str">
        <f>IF(M69="","",IF(VLOOKUP(M69,'G-3 Multipliers'!$L$3:$N$6,3,FALSE)=0,"Spatial Data Missing",VLOOKUP(M69,'G-3 Multipliers'!$L$3:$N$6,3,FALSE)))</f>
        <v/>
      </c>
      <c r="P69" s="80" t="str">
        <f>IFERROR(VLOOKUP(G69,'G-1 All Habitats'!$B$2:$M$130,12,FALSE),"")</f>
        <v/>
      </c>
      <c r="Q69" s="81" t="str">
        <f>IFERROR(IF(P69="","",IF(AND(P69='G-1 All Habitats'!$X$3,T69&gt;0),U69+V69,IF(AND(P69='G-1 All Habitats'!$X$3,S69&gt;0),U69+V69,IF(AND(P69='G-1 All Habitats'!$X$3,AC69&gt;0),"Any Loss Unacceptable",IF(AND(P69='G-1 All Habitats'!$X$3,W69&gt;0),"Any Loss Unacceptable",H69*J69*L69*O69))))),"Check Data")</f>
        <v/>
      </c>
      <c r="R69" s="55"/>
      <c r="S69" s="79"/>
      <c r="T69" s="82"/>
      <c r="U69" s="83" t="str">
        <f t="shared" si="3"/>
        <v/>
      </c>
      <c r="V69" s="83" t="str">
        <f t="shared" si="4"/>
        <v/>
      </c>
      <c r="W69" s="83" t="str">
        <f>IF(E69="","",IF(H69&lt;S69+T69,"Error in Areas",IF(P69&lt;&gt;'G-1 All Habitats'!$X$3,H69-S69-T69,IF(AND(P69='G-1 All Habitats'!$X$3,Y69="Yes"),"Unacceptable Loss",IF(AND(P69='G-1 All Habitats'!$X$3,Y69="No"),AC69,IF(AND(P69='G-1 All Habitats'!$X$3,Y69=""),AC69,IF(AND(P69='G-1 All Habitats'!$X$3,AC69="None",AC69),IF(AND(P69='G-1 All Habitats'!$X$3,AC69&gt;0),H69-S69-T69))))))))</f>
        <v/>
      </c>
      <c r="X69" s="84" t="str">
        <f>IFERROR(IF(H69="","",IF(H69-S69-T69=0&lt;0,"Error in Areas",IF(S69+T69&gt;H69,"Error in Areas",IF(AND(P69='G-1 All Habitats'!$X$3,Y69="Yes"),"Alternative Compensation",IF(W69=0,0,IF(P69='G-1 All Habitats'!$X$3,"Unacceptable Loss",Q69-U69-V69)))))),"Check Data")</f>
        <v/>
      </c>
      <c r="Y69" s="82"/>
      <c r="Z69" s="92"/>
      <c r="AA69" s="93"/>
      <c r="AC69" s="87" t="str">
        <f>IF(P69="","",IF(P69='G-1 All Habitats'!$X$3,H69-S69-T69,"None"))</f>
        <v/>
      </c>
      <c r="AD69" s="88" t="str">
        <f>IFERROR(AC69*J69*L69*#REF!*O69,IF(P69="","","None"))</f>
        <v/>
      </c>
      <c r="AF69" s="59" t="str">
        <f t="shared" si="0"/>
        <v/>
      </c>
      <c r="AG69" s="59" t="str">
        <f t="shared" si="1"/>
        <v/>
      </c>
      <c r="AH69" s="59" t="str">
        <f>IF(I69="","",IF(#REF!&gt;0,TRUE,FALSE))</f>
        <v/>
      </c>
      <c r="AI69" s="59">
        <v>59</v>
      </c>
      <c r="AJ69" s="59"/>
      <c r="AK69" s="59" t="str">
        <f t="array" ref="AK69">IFERROR(INDEX($AI$11:$AI$259, MATCH(0, IF(TRUE=$AF$11:$AF$259, COUNTIF($AK$10:$AK68, $AI$11:$AI$259), ""), 0)),"")</f>
        <v/>
      </c>
      <c r="AL69" s="59" t="str">
        <f t="array" ref="AL69">IFERROR(INDEX($AI$11:$AI$259, MATCH(0, IF(TRUE=$AG$11:$AG$259, COUNTIF($AL$10:$AL68, $AI$11:$AI$259), ""), 0)),"")</f>
        <v/>
      </c>
      <c r="AM69" s="59" t="str">
        <f t="array" ref="AM69">IFERROR(INDEX($AI$11:$AI$259, MATCH(0, IF(TRUE=$AH$11:$AH$259, COUNTIF($AM$10:$AM68, $AI$11:$AI$259), ""), 0)),"")</f>
        <v/>
      </c>
      <c r="AN69" s="59"/>
      <c r="AQ69" s="52">
        <f t="shared" si="2"/>
        <v>0</v>
      </c>
    </row>
    <row r="70" spans="1:43" x14ac:dyDescent="0.25">
      <c r="A70" s="52" t="str">
        <f>IFERROR(INDEX('G-1 All Habitats'!$AG$3:$AG$15,MATCH(E70,'G-1 All Habitats'!$AF$3:$AF$15,0)),"")</f>
        <v/>
      </c>
      <c r="B70" s="52" t="str">
        <f>IFERROR(INDEX('G-8 Condition Look up'!$I$4:$I$131,MATCH(G70,'G-8 Condition Look up'!$A$4:$A$131,0)),"")</f>
        <v/>
      </c>
      <c r="D70" s="89">
        <v>60</v>
      </c>
      <c r="E70" s="90"/>
      <c r="F70" s="91"/>
      <c r="G70" s="75" t="str">
        <f>IFERROR(INDEX('G-1 All Habitats'!$B$3:$B$130,MATCH(F70,'G-1 All Habitats'!$A$3:$A$130,0)),"")</f>
        <v/>
      </c>
      <c r="H70" s="76"/>
      <c r="I70" s="77" t="str">
        <f>IF(G70="","",VLOOKUP(G70,'G-1 All Habitats'!$B$2:$M$130,10,FALSE))</f>
        <v/>
      </c>
      <c r="J70" s="78" t="str">
        <f>IFERROR(VLOOKUP(I70,'G-1 All Habitats'!$V$3:$W$7,2,FALSE),"")</f>
        <v/>
      </c>
      <c r="K70" s="79"/>
      <c r="L70" s="78" t="str">
        <f>IFERROR(INDEX('G-8 Condition Look up'!$A$3:$H$131,MATCH(G70,'G-8 Condition Look up'!$A$3:$A$131,0),MATCH(K70,'G-8 Condition Look up'!$A$3:$H$3,0)),"")</f>
        <v/>
      </c>
      <c r="M70" s="79"/>
      <c r="N70" s="348" t="str">
        <f>IF(M70="","",IF(VLOOKUP(M70,'G-3 Multipliers'!$L$3:$N$6,2,FALSE)=0,"Spatial Data Missing",VLOOKUP(M70,'G-3 Multipliers'!$L$3:$N$6,2,FALSE)))</f>
        <v/>
      </c>
      <c r="O70" s="569" t="str">
        <f>IF(M70="","",IF(VLOOKUP(M70,'G-3 Multipliers'!$L$3:$N$6,3,FALSE)=0,"Spatial Data Missing",VLOOKUP(M70,'G-3 Multipliers'!$L$3:$N$6,3,FALSE)))</f>
        <v/>
      </c>
      <c r="P70" s="80" t="str">
        <f>IFERROR(VLOOKUP(G70,'G-1 All Habitats'!$B$2:$M$130,12,FALSE),"")</f>
        <v/>
      </c>
      <c r="Q70" s="81" t="str">
        <f>IFERROR(IF(P70="","",IF(AND(P70='G-1 All Habitats'!$X$3,T70&gt;0),U70+V70,IF(AND(P70='G-1 All Habitats'!$X$3,S70&gt;0),U70+V70,IF(AND(P70='G-1 All Habitats'!$X$3,AC70&gt;0),"Any Loss Unacceptable",IF(AND(P70='G-1 All Habitats'!$X$3,W70&gt;0),"Any Loss Unacceptable",H70*J70*L70*O70))))),"Check Data")</f>
        <v/>
      </c>
      <c r="R70" s="55"/>
      <c r="S70" s="79"/>
      <c r="T70" s="82"/>
      <c r="U70" s="83" t="str">
        <f t="shared" si="3"/>
        <v/>
      </c>
      <c r="V70" s="83" t="str">
        <f t="shared" si="4"/>
        <v/>
      </c>
      <c r="W70" s="83" t="str">
        <f>IF(E70="","",IF(H70&lt;S70+T70,"Error in Areas",IF(P70&lt;&gt;'G-1 All Habitats'!$X$3,H70-S70-T70,IF(AND(P70='G-1 All Habitats'!$X$3,Y70="Yes"),"Unacceptable Loss",IF(AND(P70='G-1 All Habitats'!$X$3,Y70="No"),AC70,IF(AND(P70='G-1 All Habitats'!$X$3,Y70=""),AC70,IF(AND(P70='G-1 All Habitats'!$X$3,AC70="None",AC70),IF(AND(P70='G-1 All Habitats'!$X$3,AC70&gt;0),H70-S70-T70))))))))</f>
        <v/>
      </c>
      <c r="X70" s="84" t="str">
        <f>IFERROR(IF(H70="","",IF(H70-S70-T70=0&lt;0,"Error in Areas",IF(S70+T70&gt;H70,"Error in Areas",IF(AND(P70='G-1 All Habitats'!$X$3,Y70="Yes"),"Alternative Compensation",IF(W70=0,0,IF(P70='G-1 All Habitats'!$X$3,"Unacceptable Loss",Q70-U70-V70)))))),"Check Data")</f>
        <v/>
      </c>
      <c r="Y70" s="82"/>
      <c r="Z70" s="92"/>
      <c r="AA70" s="93"/>
      <c r="AC70" s="87" t="str">
        <f>IF(P70="","",IF(P70='G-1 All Habitats'!$X$3,H70-S70-T70,"None"))</f>
        <v/>
      </c>
      <c r="AD70" s="88" t="str">
        <f>IFERROR(AC70*J70*L70*#REF!*O70,IF(P70="","","None"))</f>
        <v/>
      </c>
      <c r="AF70" s="59" t="str">
        <f t="shared" si="0"/>
        <v/>
      </c>
      <c r="AG70" s="59" t="str">
        <f t="shared" si="1"/>
        <v/>
      </c>
      <c r="AH70" s="59" t="str">
        <f>IF(I70="","",IF(#REF!&gt;0,TRUE,FALSE))</f>
        <v/>
      </c>
      <c r="AI70" s="59">
        <v>60</v>
      </c>
      <c r="AJ70" s="59"/>
      <c r="AK70" s="59" t="str">
        <f t="array" ref="AK70">IFERROR(INDEX($AI$11:$AI$259, MATCH(0, IF(TRUE=$AF$11:$AF$259, COUNTIF($AK$10:$AK69, $AI$11:$AI$259), ""), 0)),"")</f>
        <v/>
      </c>
      <c r="AL70" s="59" t="str">
        <f t="array" ref="AL70">IFERROR(INDEX($AI$11:$AI$259, MATCH(0, IF(TRUE=$AG$11:$AG$259, COUNTIF($AL$10:$AL69, $AI$11:$AI$259), ""), 0)),"")</f>
        <v/>
      </c>
      <c r="AM70" s="59" t="str">
        <f t="array" ref="AM70">IFERROR(INDEX($AI$11:$AI$259, MATCH(0, IF(TRUE=$AH$11:$AH$259, COUNTIF($AM$10:$AM69, $AI$11:$AI$259), ""), 0)),"")</f>
        <v/>
      </c>
      <c r="AN70" s="59"/>
      <c r="AQ70" s="52">
        <f t="shared" si="2"/>
        <v>0</v>
      </c>
    </row>
    <row r="71" spans="1:43" x14ac:dyDescent="0.25">
      <c r="A71" s="52" t="str">
        <f>IFERROR(INDEX('G-1 All Habitats'!$AG$3:$AG$15,MATCH(E71,'G-1 All Habitats'!$AF$3:$AF$15,0)),"")</f>
        <v/>
      </c>
      <c r="B71" s="52" t="str">
        <f>IFERROR(INDEX('G-8 Condition Look up'!$I$4:$I$131,MATCH(G71,'G-8 Condition Look up'!$A$4:$A$131,0)),"")</f>
        <v/>
      </c>
      <c r="D71" s="89">
        <v>61</v>
      </c>
      <c r="E71" s="90"/>
      <c r="F71" s="91"/>
      <c r="G71" s="75" t="str">
        <f>IFERROR(INDEX('G-1 All Habitats'!$B$3:$B$130,MATCH(F71,'G-1 All Habitats'!$A$3:$A$130,0)),"")</f>
        <v/>
      </c>
      <c r="H71" s="76"/>
      <c r="I71" s="77" t="str">
        <f>IF(G71="","",VLOOKUP(G71,'G-1 All Habitats'!$B$2:$M$130,10,FALSE))</f>
        <v/>
      </c>
      <c r="J71" s="78" t="str">
        <f>IFERROR(VLOOKUP(I71,'G-1 All Habitats'!$V$3:$W$7,2,FALSE),"")</f>
        <v/>
      </c>
      <c r="K71" s="79"/>
      <c r="L71" s="78" t="str">
        <f>IFERROR(INDEX('G-8 Condition Look up'!$A$3:$H$131,MATCH(G71,'G-8 Condition Look up'!$A$3:$A$131,0),MATCH(K71,'G-8 Condition Look up'!$A$3:$H$3,0)),"")</f>
        <v/>
      </c>
      <c r="M71" s="79"/>
      <c r="N71" s="348" t="str">
        <f>IF(M71="","",IF(VLOOKUP(M71,'G-3 Multipliers'!$L$3:$N$6,2,FALSE)=0,"Spatial Data Missing",VLOOKUP(M71,'G-3 Multipliers'!$L$3:$N$6,2,FALSE)))</f>
        <v/>
      </c>
      <c r="O71" s="569" t="str">
        <f>IF(M71="","",IF(VLOOKUP(M71,'G-3 Multipliers'!$L$3:$N$6,3,FALSE)=0,"Spatial Data Missing",VLOOKUP(M71,'G-3 Multipliers'!$L$3:$N$6,3,FALSE)))</f>
        <v/>
      </c>
      <c r="P71" s="80" t="str">
        <f>IFERROR(VLOOKUP(G71,'G-1 All Habitats'!$B$2:$M$130,12,FALSE),"")</f>
        <v/>
      </c>
      <c r="Q71" s="81" t="str">
        <f>IFERROR(IF(P71="","",IF(AND(P71='G-1 All Habitats'!$X$3,T71&gt;0),U71+V71,IF(AND(P71='G-1 All Habitats'!$X$3,S71&gt;0),U71+V71,IF(AND(P71='G-1 All Habitats'!$X$3,AC71&gt;0),"Any Loss Unacceptable",IF(AND(P71='G-1 All Habitats'!$X$3,W71&gt;0),"Any Loss Unacceptable",H71*J71*L71*O71))))),"Check Data")</f>
        <v/>
      </c>
      <c r="R71" s="55"/>
      <c r="S71" s="79"/>
      <c r="T71" s="82"/>
      <c r="U71" s="83" t="str">
        <f t="shared" si="3"/>
        <v/>
      </c>
      <c r="V71" s="83" t="str">
        <f t="shared" si="4"/>
        <v/>
      </c>
      <c r="W71" s="83" t="str">
        <f>IF(E71="","",IF(H71&lt;S71+T71,"Error in Areas",IF(P71&lt;&gt;'G-1 All Habitats'!$X$3,H71-S71-T71,IF(AND(P71='G-1 All Habitats'!$X$3,Y71="Yes"),"Unacceptable Loss",IF(AND(P71='G-1 All Habitats'!$X$3,Y71="No"),AC71,IF(AND(P71='G-1 All Habitats'!$X$3,Y71=""),AC71,IF(AND(P71='G-1 All Habitats'!$X$3,AC71="None",AC71),IF(AND(P71='G-1 All Habitats'!$X$3,AC71&gt;0),H71-S71-T71))))))))</f>
        <v/>
      </c>
      <c r="X71" s="84" t="str">
        <f>IFERROR(IF(H71="","",IF(H71-S71-T71=0&lt;0,"Error in Areas",IF(S71+T71&gt;H71,"Error in Areas",IF(AND(P71='G-1 All Habitats'!$X$3,Y71="Yes"),"Alternative Compensation",IF(W71=0,0,IF(P71='G-1 All Habitats'!$X$3,"Unacceptable Loss",Q71-U71-V71)))))),"Check Data")</f>
        <v/>
      </c>
      <c r="Y71" s="82"/>
      <c r="Z71" s="92"/>
      <c r="AA71" s="93"/>
      <c r="AC71" s="87" t="str">
        <f>IF(P71="","",IF(P71='G-1 All Habitats'!$X$3,H71-S71-T71,"None"))</f>
        <v/>
      </c>
      <c r="AD71" s="88" t="str">
        <f>IFERROR(AC71*J71*L71*#REF!*O71,IF(P71="","","None"))</f>
        <v/>
      </c>
      <c r="AF71" s="59" t="str">
        <f t="shared" si="0"/>
        <v/>
      </c>
      <c r="AG71" s="59" t="str">
        <f t="shared" si="1"/>
        <v/>
      </c>
      <c r="AH71" s="59" t="str">
        <f>IF(I71="","",IF(#REF!&gt;0,TRUE,FALSE))</f>
        <v/>
      </c>
      <c r="AI71" s="59">
        <v>61</v>
      </c>
      <c r="AJ71" s="59"/>
      <c r="AK71" s="59" t="str">
        <f t="array" ref="AK71">IFERROR(INDEX($AI$11:$AI$259, MATCH(0, IF(TRUE=$AF$11:$AF$259, COUNTIF($AK$10:$AK70, $AI$11:$AI$259), ""), 0)),"")</f>
        <v/>
      </c>
      <c r="AL71" s="59" t="str">
        <f t="array" ref="AL71">IFERROR(INDEX($AI$11:$AI$259, MATCH(0, IF(TRUE=$AG$11:$AG$259, COUNTIF($AL$10:$AL70, $AI$11:$AI$259), ""), 0)),"")</f>
        <v/>
      </c>
      <c r="AM71" s="59" t="str">
        <f t="array" ref="AM71">IFERROR(INDEX($AI$11:$AI$259, MATCH(0, IF(TRUE=$AH$11:$AH$259, COUNTIF($AM$10:$AM70, $AI$11:$AI$259), ""), 0)),"")</f>
        <v/>
      </c>
      <c r="AN71" s="59"/>
      <c r="AQ71" s="52">
        <f t="shared" si="2"/>
        <v>0</v>
      </c>
    </row>
    <row r="72" spans="1:43" x14ac:dyDescent="0.25">
      <c r="A72" s="52" t="str">
        <f>IFERROR(INDEX('G-1 All Habitats'!$AG$3:$AG$15,MATCH(E72,'G-1 All Habitats'!$AF$3:$AF$15,0)),"")</f>
        <v/>
      </c>
      <c r="B72" s="52" t="str">
        <f>IFERROR(INDEX('G-8 Condition Look up'!$I$4:$I$131,MATCH(G72,'G-8 Condition Look up'!$A$4:$A$131,0)),"")</f>
        <v/>
      </c>
      <c r="D72" s="89">
        <v>62</v>
      </c>
      <c r="E72" s="90"/>
      <c r="F72" s="91"/>
      <c r="G72" s="75" t="str">
        <f>IFERROR(INDEX('G-1 All Habitats'!$B$3:$B$130,MATCH(F72,'G-1 All Habitats'!$A$3:$A$130,0)),"")</f>
        <v/>
      </c>
      <c r="H72" s="76"/>
      <c r="I72" s="77" t="str">
        <f>IF(G72="","",VLOOKUP(G72,'G-1 All Habitats'!$B$2:$M$130,10,FALSE))</f>
        <v/>
      </c>
      <c r="J72" s="78" t="str">
        <f>IFERROR(VLOOKUP(I72,'G-1 All Habitats'!$V$3:$W$7,2,FALSE),"")</f>
        <v/>
      </c>
      <c r="K72" s="79"/>
      <c r="L72" s="78" t="str">
        <f>IFERROR(INDEX('G-8 Condition Look up'!$A$3:$H$131,MATCH(G72,'G-8 Condition Look up'!$A$3:$A$131,0),MATCH(K72,'G-8 Condition Look up'!$A$3:$H$3,0)),"")</f>
        <v/>
      </c>
      <c r="M72" s="79"/>
      <c r="N72" s="348" t="str">
        <f>IF(M72="","",IF(VLOOKUP(M72,'G-3 Multipliers'!$L$3:$N$6,2,FALSE)=0,"Spatial Data Missing",VLOOKUP(M72,'G-3 Multipliers'!$L$3:$N$6,2,FALSE)))</f>
        <v/>
      </c>
      <c r="O72" s="569" t="str">
        <f>IF(M72="","",IF(VLOOKUP(M72,'G-3 Multipliers'!$L$3:$N$6,3,FALSE)=0,"Spatial Data Missing",VLOOKUP(M72,'G-3 Multipliers'!$L$3:$N$6,3,FALSE)))</f>
        <v/>
      </c>
      <c r="P72" s="80" t="str">
        <f>IFERROR(VLOOKUP(G72,'G-1 All Habitats'!$B$2:$M$130,12,FALSE),"")</f>
        <v/>
      </c>
      <c r="Q72" s="81" t="str">
        <f>IFERROR(IF(P72="","",IF(AND(P72='G-1 All Habitats'!$X$3,T72&gt;0),U72+V72,IF(AND(P72='G-1 All Habitats'!$X$3,S72&gt;0),U72+V72,IF(AND(P72='G-1 All Habitats'!$X$3,AC72&gt;0),"Any Loss Unacceptable",IF(AND(P72='G-1 All Habitats'!$X$3,W72&gt;0),"Any Loss Unacceptable",H72*J72*L72*O72))))),"Check Data")</f>
        <v/>
      </c>
      <c r="R72" s="55"/>
      <c r="S72" s="79"/>
      <c r="T72" s="82"/>
      <c r="U72" s="83" t="str">
        <f t="shared" si="3"/>
        <v/>
      </c>
      <c r="V72" s="83" t="str">
        <f t="shared" si="4"/>
        <v/>
      </c>
      <c r="W72" s="83" t="str">
        <f>IF(E72="","",IF(H72&lt;S72+T72,"Error in Areas",IF(P72&lt;&gt;'G-1 All Habitats'!$X$3,H72-S72-T72,IF(AND(P72='G-1 All Habitats'!$X$3,Y72="Yes"),"Unacceptable Loss",IF(AND(P72='G-1 All Habitats'!$X$3,Y72="No"),AC72,IF(AND(P72='G-1 All Habitats'!$X$3,Y72=""),AC72,IF(AND(P72='G-1 All Habitats'!$X$3,AC72="None",AC72),IF(AND(P72='G-1 All Habitats'!$X$3,AC72&gt;0),H72-S72-T72))))))))</f>
        <v/>
      </c>
      <c r="X72" s="84" t="str">
        <f>IFERROR(IF(H72="","",IF(H72-S72-T72=0&lt;0,"Error in Areas",IF(S72+T72&gt;H72,"Error in Areas",IF(AND(P72='G-1 All Habitats'!$X$3,Y72="Yes"),"Alternative Compensation",IF(W72=0,0,IF(P72='G-1 All Habitats'!$X$3,"Unacceptable Loss",Q72-U72-V72)))))),"Check Data")</f>
        <v/>
      </c>
      <c r="Y72" s="82"/>
      <c r="Z72" s="92"/>
      <c r="AA72" s="93"/>
      <c r="AC72" s="87" t="str">
        <f>IF(P72="","",IF(P72='G-1 All Habitats'!$X$3,H72-S72-T72,"None"))</f>
        <v/>
      </c>
      <c r="AD72" s="88" t="str">
        <f>IFERROR(AC72*J72*L72*#REF!*O72,IF(P72="","","None"))</f>
        <v/>
      </c>
      <c r="AF72" s="59" t="str">
        <f t="shared" si="0"/>
        <v/>
      </c>
      <c r="AG72" s="59" t="str">
        <f t="shared" si="1"/>
        <v/>
      </c>
      <c r="AH72" s="59" t="str">
        <f>IF(I72="","",IF(#REF!&gt;0,TRUE,FALSE))</f>
        <v/>
      </c>
      <c r="AI72" s="59">
        <v>62</v>
      </c>
      <c r="AJ72" s="59"/>
      <c r="AK72" s="59" t="str">
        <f t="array" ref="AK72">IFERROR(INDEX($AI$11:$AI$259, MATCH(0, IF(TRUE=$AF$11:$AF$259, COUNTIF($AK$10:$AK71, $AI$11:$AI$259), ""), 0)),"")</f>
        <v/>
      </c>
      <c r="AL72" s="59" t="str">
        <f t="array" ref="AL72">IFERROR(INDEX($AI$11:$AI$259, MATCH(0, IF(TRUE=$AG$11:$AG$259, COUNTIF($AL$10:$AL71, $AI$11:$AI$259), ""), 0)),"")</f>
        <v/>
      </c>
      <c r="AM72" s="59" t="str">
        <f t="array" ref="AM72">IFERROR(INDEX($AI$11:$AI$259, MATCH(0, IF(TRUE=$AH$11:$AH$259, COUNTIF($AM$10:$AM71, $AI$11:$AI$259), ""), 0)),"")</f>
        <v/>
      </c>
      <c r="AN72" s="59"/>
      <c r="AQ72" s="52">
        <f t="shared" si="2"/>
        <v>0</v>
      </c>
    </row>
    <row r="73" spans="1:43" x14ac:dyDescent="0.25">
      <c r="A73" s="52" t="str">
        <f>IFERROR(INDEX('G-1 All Habitats'!$AG$3:$AG$15,MATCH(E73,'G-1 All Habitats'!$AF$3:$AF$15,0)),"")</f>
        <v/>
      </c>
      <c r="B73" s="52" t="str">
        <f>IFERROR(INDEX('G-8 Condition Look up'!$I$4:$I$131,MATCH(G73,'G-8 Condition Look up'!$A$4:$A$131,0)),"")</f>
        <v/>
      </c>
      <c r="D73" s="89">
        <v>63</v>
      </c>
      <c r="E73" s="90"/>
      <c r="F73" s="91"/>
      <c r="G73" s="75" t="str">
        <f>IFERROR(INDEX('G-1 All Habitats'!$B$3:$B$130,MATCH(F73,'G-1 All Habitats'!$A$3:$A$130,0)),"")</f>
        <v/>
      </c>
      <c r="H73" s="76"/>
      <c r="I73" s="77" t="str">
        <f>IF(G73="","",VLOOKUP(G73,'G-1 All Habitats'!$B$2:$M$130,10,FALSE))</f>
        <v/>
      </c>
      <c r="J73" s="78" t="str">
        <f>IFERROR(VLOOKUP(I73,'G-1 All Habitats'!$V$3:$W$7,2,FALSE),"")</f>
        <v/>
      </c>
      <c r="K73" s="79"/>
      <c r="L73" s="78" t="str">
        <f>IFERROR(INDEX('G-8 Condition Look up'!$A$3:$H$131,MATCH(G73,'G-8 Condition Look up'!$A$3:$A$131,0),MATCH(K73,'G-8 Condition Look up'!$A$3:$H$3,0)),"")</f>
        <v/>
      </c>
      <c r="M73" s="79"/>
      <c r="N73" s="348" t="str">
        <f>IF(M73="","",IF(VLOOKUP(M73,'G-3 Multipliers'!$L$3:$N$6,2,FALSE)=0,"Spatial Data Missing",VLOOKUP(M73,'G-3 Multipliers'!$L$3:$N$6,2,FALSE)))</f>
        <v/>
      </c>
      <c r="O73" s="569" t="str">
        <f>IF(M73="","",IF(VLOOKUP(M73,'G-3 Multipliers'!$L$3:$N$6,3,FALSE)=0,"Spatial Data Missing",VLOOKUP(M73,'G-3 Multipliers'!$L$3:$N$6,3,FALSE)))</f>
        <v/>
      </c>
      <c r="P73" s="80" t="str">
        <f>IFERROR(VLOOKUP(G73,'G-1 All Habitats'!$B$2:$M$130,12,FALSE),"")</f>
        <v/>
      </c>
      <c r="Q73" s="81" t="str">
        <f>IFERROR(IF(P73="","",IF(AND(P73='G-1 All Habitats'!$X$3,T73&gt;0),U73+V73,IF(AND(P73='G-1 All Habitats'!$X$3,S73&gt;0),U73+V73,IF(AND(P73='G-1 All Habitats'!$X$3,AC73&gt;0),"Any Loss Unacceptable",IF(AND(P73='G-1 All Habitats'!$X$3,W73&gt;0),"Any Loss Unacceptable",H73*J73*L73*O73))))),"Check Data")</f>
        <v/>
      </c>
      <c r="R73" s="55"/>
      <c r="S73" s="79"/>
      <c r="T73" s="82"/>
      <c r="U73" s="83" t="str">
        <f t="shared" si="3"/>
        <v/>
      </c>
      <c r="V73" s="83" t="str">
        <f t="shared" si="4"/>
        <v/>
      </c>
      <c r="W73" s="83" t="str">
        <f>IF(E73="","",IF(H73&lt;S73+T73,"Error in Areas",IF(P73&lt;&gt;'G-1 All Habitats'!$X$3,H73-S73-T73,IF(AND(P73='G-1 All Habitats'!$X$3,Y73="Yes"),"Unacceptable Loss",IF(AND(P73='G-1 All Habitats'!$X$3,Y73="No"),AC73,IF(AND(P73='G-1 All Habitats'!$X$3,Y73=""),AC73,IF(AND(P73='G-1 All Habitats'!$X$3,AC73="None",AC73),IF(AND(P73='G-1 All Habitats'!$X$3,AC73&gt;0),H73-S73-T73))))))))</f>
        <v/>
      </c>
      <c r="X73" s="84" t="str">
        <f>IFERROR(IF(H73="","",IF(H73-S73-T73=0&lt;0,"Error in Areas",IF(S73+T73&gt;H73,"Error in Areas",IF(AND(P73='G-1 All Habitats'!$X$3,Y73="Yes"),"Alternative Compensation",IF(W73=0,0,IF(P73='G-1 All Habitats'!$X$3,"Unacceptable Loss",Q73-U73-V73)))))),"Check Data")</f>
        <v/>
      </c>
      <c r="Y73" s="82"/>
      <c r="Z73" s="92"/>
      <c r="AA73" s="93"/>
      <c r="AC73" s="87" t="str">
        <f>IF(P73="","",IF(P73='G-1 All Habitats'!$X$3,H73-S73-T73,"None"))</f>
        <v/>
      </c>
      <c r="AD73" s="88" t="str">
        <f>IFERROR(AC73*J73*L73*#REF!*O73,IF(P73="","","None"))</f>
        <v/>
      </c>
      <c r="AF73" s="59" t="str">
        <f t="shared" si="0"/>
        <v/>
      </c>
      <c r="AG73" s="59" t="str">
        <f t="shared" si="1"/>
        <v/>
      </c>
      <c r="AH73" s="59" t="str">
        <f>IF(I73="","",IF(#REF!&gt;0,TRUE,FALSE))</f>
        <v/>
      </c>
      <c r="AI73" s="59">
        <v>63</v>
      </c>
      <c r="AJ73" s="59"/>
      <c r="AK73" s="59" t="str">
        <f t="array" ref="AK73">IFERROR(INDEX($AI$11:$AI$259, MATCH(0, IF(TRUE=$AF$11:$AF$259, COUNTIF($AK$10:$AK72, $AI$11:$AI$259), ""), 0)),"")</f>
        <v/>
      </c>
      <c r="AL73" s="59" t="str">
        <f t="array" ref="AL73">IFERROR(INDEX($AI$11:$AI$259, MATCH(0, IF(TRUE=$AG$11:$AG$259, COUNTIF($AL$10:$AL72, $AI$11:$AI$259), ""), 0)),"")</f>
        <v/>
      </c>
      <c r="AM73" s="59" t="str">
        <f t="array" ref="AM73">IFERROR(INDEX($AI$11:$AI$259, MATCH(0, IF(TRUE=$AH$11:$AH$259, COUNTIF($AM$10:$AM72, $AI$11:$AI$259), ""), 0)),"")</f>
        <v/>
      </c>
      <c r="AN73" s="59"/>
      <c r="AQ73" s="52">
        <f t="shared" si="2"/>
        <v>0</v>
      </c>
    </row>
    <row r="74" spans="1:43" x14ac:dyDescent="0.25">
      <c r="A74" s="52" t="str">
        <f>IFERROR(INDEX('G-1 All Habitats'!$AG$3:$AG$15,MATCH(E74,'G-1 All Habitats'!$AF$3:$AF$15,0)),"")</f>
        <v/>
      </c>
      <c r="B74" s="52" t="str">
        <f>IFERROR(INDEX('G-8 Condition Look up'!$I$4:$I$131,MATCH(G74,'G-8 Condition Look up'!$A$4:$A$131,0)),"")</f>
        <v/>
      </c>
      <c r="D74" s="89">
        <v>64</v>
      </c>
      <c r="E74" s="90"/>
      <c r="F74" s="91"/>
      <c r="G74" s="75" t="str">
        <f>IFERROR(INDEX('G-1 All Habitats'!$B$3:$B$130,MATCH(F74,'G-1 All Habitats'!$A$3:$A$130,0)),"")</f>
        <v/>
      </c>
      <c r="H74" s="76"/>
      <c r="I74" s="77" t="str">
        <f>IF(G74="","",VLOOKUP(G74,'G-1 All Habitats'!$B$2:$M$130,10,FALSE))</f>
        <v/>
      </c>
      <c r="J74" s="78" t="str">
        <f>IFERROR(VLOOKUP(I74,'G-1 All Habitats'!$V$3:$W$7,2,FALSE),"")</f>
        <v/>
      </c>
      <c r="K74" s="79"/>
      <c r="L74" s="78" t="str">
        <f>IFERROR(INDEX('G-8 Condition Look up'!$A$3:$H$131,MATCH(G74,'G-8 Condition Look up'!$A$3:$A$131,0),MATCH(K74,'G-8 Condition Look up'!$A$3:$H$3,0)),"")</f>
        <v/>
      </c>
      <c r="M74" s="79"/>
      <c r="N74" s="348" t="str">
        <f>IF(M74="","",IF(VLOOKUP(M74,'G-3 Multipliers'!$L$3:$N$6,2,FALSE)=0,"Spatial Data Missing",VLOOKUP(M74,'G-3 Multipliers'!$L$3:$N$6,2,FALSE)))</f>
        <v/>
      </c>
      <c r="O74" s="569" t="str">
        <f>IF(M74="","",IF(VLOOKUP(M74,'G-3 Multipliers'!$L$3:$N$6,3,FALSE)=0,"Spatial Data Missing",VLOOKUP(M74,'G-3 Multipliers'!$L$3:$N$6,3,FALSE)))</f>
        <v/>
      </c>
      <c r="P74" s="80" t="str">
        <f>IFERROR(VLOOKUP(G74,'G-1 All Habitats'!$B$2:$M$130,12,FALSE),"")</f>
        <v/>
      </c>
      <c r="Q74" s="81" t="str">
        <f>IFERROR(IF(P74="","",IF(AND(P74='G-1 All Habitats'!$X$3,T74&gt;0),U74+V74,IF(AND(P74='G-1 All Habitats'!$X$3,S74&gt;0),U74+V74,IF(AND(P74='G-1 All Habitats'!$X$3,AC74&gt;0),"Any Loss Unacceptable",IF(AND(P74='G-1 All Habitats'!$X$3,W74&gt;0),"Any Loss Unacceptable",H74*J74*L74*O74))))),"Check Data")</f>
        <v/>
      </c>
      <c r="R74" s="55"/>
      <c r="S74" s="79"/>
      <c r="T74" s="82"/>
      <c r="U74" s="83" t="str">
        <f t="shared" si="3"/>
        <v/>
      </c>
      <c r="V74" s="83" t="str">
        <f t="shared" si="4"/>
        <v/>
      </c>
      <c r="W74" s="83" t="str">
        <f>IF(E74="","",IF(H74&lt;S74+T74,"Error in Areas",IF(P74&lt;&gt;'G-1 All Habitats'!$X$3,H74-S74-T74,IF(AND(P74='G-1 All Habitats'!$X$3,Y74="Yes"),"Unacceptable Loss",IF(AND(P74='G-1 All Habitats'!$X$3,Y74="No"),AC74,IF(AND(P74='G-1 All Habitats'!$X$3,Y74=""),AC74,IF(AND(P74='G-1 All Habitats'!$X$3,AC74="None",AC74),IF(AND(P74='G-1 All Habitats'!$X$3,AC74&gt;0),H74-S74-T74))))))))</f>
        <v/>
      </c>
      <c r="X74" s="84" t="str">
        <f>IFERROR(IF(H74="","",IF(H74-S74-T74=0&lt;0,"Error in Areas",IF(S74+T74&gt;H74,"Error in Areas",IF(AND(P74='G-1 All Habitats'!$X$3,Y74="Yes"),"Alternative Compensation",IF(W74=0,0,IF(P74='G-1 All Habitats'!$X$3,"Unacceptable Loss",Q74-U74-V74)))))),"Check Data")</f>
        <v/>
      </c>
      <c r="Y74" s="82"/>
      <c r="Z74" s="92"/>
      <c r="AA74" s="93"/>
      <c r="AC74" s="87" t="str">
        <f>IF(P74="","",IF(P74='G-1 All Habitats'!$X$3,H74-S74-T74,"None"))</f>
        <v/>
      </c>
      <c r="AD74" s="88" t="str">
        <f>IFERROR(AC74*J74*L74*#REF!*O74,IF(P74="","","None"))</f>
        <v/>
      </c>
      <c r="AF74" s="59" t="str">
        <f t="shared" si="0"/>
        <v/>
      </c>
      <c r="AG74" s="59" t="str">
        <f t="shared" si="1"/>
        <v/>
      </c>
      <c r="AH74" s="59" t="str">
        <f>IF(I74="","",IF(#REF!&gt;0,TRUE,FALSE))</f>
        <v/>
      </c>
      <c r="AI74" s="59">
        <v>64</v>
      </c>
      <c r="AJ74" s="59"/>
      <c r="AK74" s="59" t="str">
        <f t="array" ref="AK74">IFERROR(INDEX($AI$11:$AI$259, MATCH(0, IF(TRUE=$AF$11:$AF$259, COUNTIF($AK$10:$AK73, $AI$11:$AI$259), ""), 0)),"")</f>
        <v/>
      </c>
      <c r="AL74" s="59" t="str">
        <f t="array" ref="AL74">IFERROR(INDEX($AI$11:$AI$259, MATCH(0, IF(TRUE=$AG$11:$AG$259, COUNTIF($AL$10:$AL73, $AI$11:$AI$259), ""), 0)),"")</f>
        <v/>
      </c>
      <c r="AM74" s="59" t="str">
        <f t="array" ref="AM74">IFERROR(INDEX($AI$11:$AI$259, MATCH(0, IF(TRUE=$AH$11:$AH$259, COUNTIF($AM$10:$AM73, $AI$11:$AI$259), ""), 0)),"")</f>
        <v/>
      </c>
      <c r="AN74" s="59"/>
      <c r="AQ74" s="52">
        <f t="shared" si="2"/>
        <v>0</v>
      </c>
    </row>
    <row r="75" spans="1:43" x14ac:dyDescent="0.25">
      <c r="A75" s="52" t="str">
        <f>IFERROR(INDEX('G-1 All Habitats'!$AG$3:$AG$15,MATCH(E75,'G-1 All Habitats'!$AF$3:$AF$15,0)),"")</f>
        <v/>
      </c>
      <c r="B75" s="52" t="str">
        <f>IFERROR(INDEX('G-8 Condition Look up'!$I$4:$I$131,MATCH(G75,'G-8 Condition Look up'!$A$4:$A$131,0)),"")</f>
        <v/>
      </c>
      <c r="D75" s="89">
        <v>65</v>
      </c>
      <c r="E75" s="90"/>
      <c r="F75" s="91"/>
      <c r="G75" s="75" t="str">
        <f>IFERROR(INDEX('G-1 All Habitats'!$B$3:$B$130,MATCH(F75,'G-1 All Habitats'!$A$3:$A$130,0)),"")</f>
        <v/>
      </c>
      <c r="H75" s="76"/>
      <c r="I75" s="77" t="str">
        <f>IF(G75="","",VLOOKUP(G75,'G-1 All Habitats'!$B$2:$M$130,10,FALSE))</f>
        <v/>
      </c>
      <c r="J75" s="78" t="str">
        <f>IFERROR(VLOOKUP(I75,'G-1 All Habitats'!$V$3:$W$7,2,FALSE),"")</f>
        <v/>
      </c>
      <c r="K75" s="79"/>
      <c r="L75" s="78" t="str">
        <f>IFERROR(INDEX('G-8 Condition Look up'!$A$3:$H$131,MATCH(G75,'G-8 Condition Look up'!$A$3:$A$131,0),MATCH(K75,'G-8 Condition Look up'!$A$3:$H$3,0)),"")</f>
        <v/>
      </c>
      <c r="M75" s="79"/>
      <c r="N75" s="348" t="str">
        <f>IF(M75="","",IF(VLOOKUP(M75,'G-3 Multipliers'!$L$3:$N$6,2,FALSE)=0,"Spatial Data Missing",VLOOKUP(M75,'G-3 Multipliers'!$L$3:$N$6,2,FALSE)))</f>
        <v/>
      </c>
      <c r="O75" s="569" t="str">
        <f>IF(M75="","",IF(VLOOKUP(M75,'G-3 Multipliers'!$L$3:$N$6,3,FALSE)=0,"Spatial Data Missing",VLOOKUP(M75,'G-3 Multipliers'!$L$3:$N$6,3,FALSE)))</f>
        <v/>
      </c>
      <c r="P75" s="80" t="str">
        <f>IFERROR(VLOOKUP(G75,'G-1 All Habitats'!$B$2:$M$130,12,FALSE),"")</f>
        <v/>
      </c>
      <c r="Q75" s="81" t="str">
        <f>IFERROR(IF(P75="","",IF(AND(P75='G-1 All Habitats'!$X$3,T75&gt;0),U75+V75,IF(AND(P75='G-1 All Habitats'!$X$3,S75&gt;0),U75+V75,IF(AND(P75='G-1 All Habitats'!$X$3,AC75&gt;0),"Any Loss Unacceptable",IF(AND(P75='G-1 All Habitats'!$X$3,W75&gt;0),"Any Loss Unacceptable",H75*J75*L75*O75))))),"Check Data")</f>
        <v/>
      </c>
      <c r="R75" s="55"/>
      <c r="S75" s="79"/>
      <c r="T75" s="82"/>
      <c r="U75" s="83" t="str">
        <f t="shared" si="3"/>
        <v/>
      </c>
      <c r="V75" s="83" t="str">
        <f t="shared" si="4"/>
        <v/>
      </c>
      <c r="W75" s="83" t="str">
        <f>IF(E75="","",IF(H75&lt;S75+T75,"Error in Areas",IF(P75&lt;&gt;'G-1 All Habitats'!$X$3,H75-S75-T75,IF(AND(P75='G-1 All Habitats'!$X$3,Y75="Yes"),"Unacceptable Loss",IF(AND(P75='G-1 All Habitats'!$X$3,Y75="No"),AC75,IF(AND(P75='G-1 All Habitats'!$X$3,Y75=""),AC75,IF(AND(P75='G-1 All Habitats'!$X$3,AC75="None",AC75),IF(AND(P75='G-1 All Habitats'!$X$3,AC75&gt;0),H75-S75-T75))))))))</f>
        <v/>
      </c>
      <c r="X75" s="84" t="str">
        <f>IFERROR(IF(H75="","",IF(H75-S75-T75=0&lt;0,"Error in Areas",IF(S75+T75&gt;H75,"Error in Areas",IF(AND(P75='G-1 All Habitats'!$X$3,Y75="Yes"),"Alternative Compensation",IF(W75=0,0,IF(P75='G-1 All Habitats'!$X$3,"Unacceptable Loss",Q75-U75-V75)))))),"Check Data")</f>
        <v/>
      </c>
      <c r="Y75" s="82"/>
      <c r="Z75" s="92"/>
      <c r="AA75" s="93"/>
      <c r="AC75" s="87" t="str">
        <f>IF(P75="","",IF(P75='G-1 All Habitats'!$X$3,H75-S75-T75,"None"))</f>
        <v/>
      </c>
      <c r="AD75" s="88" t="str">
        <f>IFERROR(AC75*J75*L75*#REF!*O75,IF(P75="","","None"))</f>
        <v/>
      </c>
      <c r="AF75" s="59" t="str">
        <f t="shared" ref="AF75:AF138" si="5">IF(G75="","",IF(S75&gt;0,TRUE,FALSE))</f>
        <v/>
      </c>
      <c r="AG75" s="59" t="str">
        <f t="shared" ref="AG75:AG138" si="6">IF(H75="","",IF(T75&gt;0,TRUE,FALSE))</f>
        <v/>
      </c>
      <c r="AH75" s="59" t="str">
        <f>IF(I75="","",IF(#REF!&gt;0,TRUE,FALSE))</f>
        <v/>
      </c>
      <c r="AI75" s="59">
        <v>65</v>
      </c>
      <c r="AJ75" s="59"/>
      <c r="AK75" s="59" t="str">
        <f t="array" ref="AK75">IFERROR(INDEX($AI$11:$AI$259, MATCH(0, IF(TRUE=$AF$11:$AF$259, COUNTIF($AK$10:$AK74, $AI$11:$AI$259), ""), 0)),"")</f>
        <v/>
      </c>
      <c r="AL75" s="59" t="str">
        <f t="array" ref="AL75">IFERROR(INDEX($AI$11:$AI$259, MATCH(0, IF(TRUE=$AG$11:$AG$259, COUNTIF($AL$10:$AL74, $AI$11:$AI$259), ""), 0)),"")</f>
        <v/>
      </c>
      <c r="AM75" s="59" t="str">
        <f t="array" ref="AM75">IFERROR(INDEX($AI$11:$AI$259, MATCH(0, IF(TRUE=$AH$11:$AH$259, COUNTIF($AM$10:$AM74, $AI$11:$AI$259), ""), 0)),"")</f>
        <v/>
      </c>
      <c r="AN75" s="59"/>
      <c r="AQ75" s="52">
        <f t="shared" si="2"/>
        <v>0</v>
      </c>
    </row>
    <row r="76" spans="1:43" x14ac:dyDescent="0.25">
      <c r="A76" s="52" t="str">
        <f>IFERROR(INDEX('G-1 All Habitats'!$AG$3:$AG$15,MATCH(E76,'G-1 All Habitats'!$AF$3:$AF$15,0)),"")</f>
        <v/>
      </c>
      <c r="B76" s="52" t="str">
        <f>IFERROR(INDEX('G-8 Condition Look up'!$I$4:$I$131,MATCH(G76,'G-8 Condition Look up'!$A$4:$A$131,0)),"")</f>
        <v/>
      </c>
      <c r="D76" s="89">
        <v>66</v>
      </c>
      <c r="E76" s="90"/>
      <c r="F76" s="91"/>
      <c r="G76" s="75" t="str">
        <f>IFERROR(INDEX('G-1 All Habitats'!$B$3:$B$130,MATCH(F76,'G-1 All Habitats'!$A$3:$A$130,0)),"")</f>
        <v/>
      </c>
      <c r="H76" s="76"/>
      <c r="I76" s="77" t="str">
        <f>IF(G76="","",VLOOKUP(G76,'G-1 All Habitats'!$B$2:$M$130,10,FALSE))</f>
        <v/>
      </c>
      <c r="J76" s="78" t="str">
        <f>IFERROR(VLOOKUP(I76,'G-1 All Habitats'!$V$3:$W$7,2,FALSE),"")</f>
        <v/>
      </c>
      <c r="K76" s="79"/>
      <c r="L76" s="78" t="str">
        <f>IFERROR(INDEX('G-8 Condition Look up'!$A$3:$H$131,MATCH(G76,'G-8 Condition Look up'!$A$3:$A$131,0),MATCH(K76,'G-8 Condition Look up'!$A$3:$H$3,0)),"")</f>
        <v/>
      </c>
      <c r="M76" s="79"/>
      <c r="N76" s="348" t="str">
        <f>IF(M76="","",IF(VLOOKUP(M76,'G-3 Multipliers'!$L$3:$N$6,2,FALSE)=0,"Spatial Data Missing",VLOOKUP(M76,'G-3 Multipliers'!$L$3:$N$6,2,FALSE)))</f>
        <v/>
      </c>
      <c r="O76" s="569" t="str">
        <f>IF(M76="","",IF(VLOOKUP(M76,'G-3 Multipliers'!$L$3:$N$6,3,FALSE)=0,"Spatial Data Missing",VLOOKUP(M76,'G-3 Multipliers'!$L$3:$N$6,3,FALSE)))</f>
        <v/>
      </c>
      <c r="P76" s="80" t="str">
        <f>IFERROR(VLOOKUP(G76,'G-1 All Habitats'!$B$2:$M$130,12,FALSE),"")</f>
        <v/>
      </c>
      <c r="Q76" s="81" t="str">
        <f>IFERROR(IF(P76="","",IF(AND(P76='G-1 All Habitats'!$X$3,T76&gt;0),U76+V76,IF(AND(P76='G-1 All Habitats'!$X$3,S76&gt;0),U76+V76,IF(AND(P76='G-1 All Habitats'!$X$3,AC76&gt;0),"Any Loss Unacceptable",IF(AND(P76='G-1 All Habitats'!$X$3,W76&gt;0),"Any Loss Unacceptable",H76*J76*L76*O76))))),"Check Data")</f>
        <v/>
      </c>
      <c r="R76" s="55"/>
      <c r="S76" s="79"/>
      <c r="T76" s="82"/>
      <c r="U76" s="83" t="str">
        <f t="shared" si="3"/>
        <v/>
      </c>
      <c r="V76" s="83" t="str">
        <f t="shared" si="4"/>
        <v/>
      </c>
      <c r="W76" s="83" t="str">
        <f>IF(E76="","",IF(H76&lt;S76+T76,"Error in Areas",IF(P76&lt;&gt;'G-1 All Habitats'!$X$3,H76-S76-T76,IF(AND(P76='G-1 All Habitats'!$X$3,Y76="Yes"),"Unacceptable Loss",IF(AND(P76='G-1 All Habitats'!$X$3,Y76="No"),AC76,IF(AND(P76='G-1 All Habitats'!$X$3,Y76=""),AC76,IF(AND(P76='G-1 All Habitats'!$X$3,AC76="None",AC76),IF(AND(P76='G-1 All Habitats'!$X$3,AC76&gt;0),H76-S76-T76))))))))</f>
        <v/>
      </c>
      <c r="X76" s="84" t="str">
        <f>IFERROR(IF(H76="","",IF(H76-S76-T76=0&lt;0,"Error in Areas",IF(S76+T76&gt;H76,"Error in Areas",IF(AND(P76='G-1 All Habitats'!$X$3,Y76="Yes"),"Alternative Compensation",IF(W76=0,0,IF(P76='G-1 All Habitats'!$X$3,"Unacceptable Loss",Q76-U76-V76)))))),"Check Data")</f>
        <v/>
      </c>
      <c r="Y76" s="82"/>
      <c r="Z76" s="92"/>
      <c r="AA76" s="93"/>
      <c r="AC76" s="87" t="str">
        <f>IF(P76="","",IF(P76='G-1 All Habitats'!$X$3,H76-S76-T76,"None"))</f>
        <v/>
      </c>
      <c r="AD76" s="88" t="str">
        <f>IFERROR(AC76*J76*L76*#REF!*O76,IF(P76="","","None"))</f>
        <v/>
      </c>
      <c r="AF76" s="59" t="str">
        <f t="shared" si="5"/>
        <v/>
      </c>
      <c r="AG76" s="59" t="str">
        <f t="shared" si="6"/>
        <v/>
      </c>
      <c r="AH76" s="59" t="str">
        <f>IF(I76="","",IF(#REF!&gt;0,TRUE,FALSE))</f>
        <v/>
      </c>
      <c r="AI76" s="59">
        <v>66</v>
      </c>
      <c r="AJ76" s="59"/>
      <c r="AK76" s="59" t="str">
        <f t="array" ref="AK76">IFERROR(INDEX($AI$11:$AI$259, MATCH(0, IF(TRUE=$AF$11:$AF$259, COUNTIF($AK$10:$AK75, $AI$11:$AI$259), ""), 0)),"")</f>
        <v/>
      </c>
      <c r="AL76" s="59" t="str">
        <f t="array" ref="AL76">IFERROR(INDEX($AI$11:$AI$259, MATCH(0, IF(TRUE=$AG$11:$AG$259, COUNTIF($AL$10:$AL75, $AI$11:$AI$259), ""), 0)),"")</f>
        <v/>
      </c>
      <c r="AM76" s="59" t="str">
        <f t="array" ref="AM76">IFERROR(INDEX($AI$11:$AI$259, MATCH(0, IF(TRUE=$AH$11:$AH$259, COUNTIF($AM$10:$AM75, $AI$11:$AI$259), ""), 0)),"")</f>
        <v/>
      </c>
      <c r="AN76" s="59"/>
      <c r="AQ76" s="52">
        <f t="shared" ref="AQ76:AQ139" si="7">IF(X76="Unacceptable Loss",1,0)</f>
        <v>0</v>
      </c>
    </row>
    <row r="77" spans="1:43" x14ac:dyDescent="0.25">
      <c r="A77" s="52" t="str">
        <f>IFERROR(INDEX('G-1 All Habitats'!$AG$3:$AG$15,MATCH(E77,'G-1 All Habitats'!$AF$3:$AF$15,0)),"")</f>
        <v/>
      </c>
      <c r="B77" s="52" t="str">
        <f>IFERROR(INDEX('G-8 Condition Look up'!$I$4:$I$131,MATCH(G77,'G-8 Condition Look up'!$A$4:$A$131,0)),"")</f>
        <v/>
      </c>
      <c r="D77" s="89">
        <v>67</v>
      </c>
      <c r="E77" s="90"/>
      <c r="F77" s="91"/>
      <c r="G77" s="75" t="str">
        <f>IFERROR(INDEX('G-1 All Habitats'!$B$3:$B$130,MATCH(F77,'G-1 All Habitats'!$A$3:$A$130,0)),"")</f>
        <v/>
      </c>
      <c r="H77" s="76"/>
      <c r="I77" s="77" t="str">
        <f>IF(G77="","",VLOOKUP(G77,'G-1 All Habitats'!$B$2:$M$130,10,FALSE))</f>
        <v/>
      </c>
      <c r="J77" s="78" t="str">
        <f>IFERROR(VLOOKUP(I77,'G-1 All Habitats'!$V$3:$W$7,2,FALSE),"")</f>
        <v/>
      </c>
      <c r="K77" s="79"/>
      <c r="L77" s="78" t="str">
        <f>IFERROR(INDEX('G-8 Condition Look up'!$A$3:$H$131,MATCH(G77,'G-8 Condition Look up'!$A$3:$A$131,0),MATCH(K77,'G-8 Condition Look up'!$A$3:$H$3,0)),"")</f>
        <v/>
      </c>
      <c r="M77" s="79"/>
      <c r="N77" s="348" t="str">
        <f>IF(M77="","",IF(VLOOKUP(M77,'G-3 Multipliers'!$L$3:$N$6,2,FALSE)=0,"Spatial Data Missing",VLOOKUP(M77,'G-3 Multipliers'!$L$3:$N$6,2,FALSE)))</f>
        <v/>
      </c>
      <c r="O77" s="569" t="str">
        <f>IF(M77="","",IF(VLOOKUP(M77,'G-3 Multipliers'!$L$3:$N$6,3,FALSE)=0,"Spatial Data Missing",VLOOKUP(M77,'G-3 Multipliers'!$L$3:$N$6,3,FALSE)))</f>
        <v/>
      </c>
      <c r="P77" s="80" t="str">
        <f>IFERROR(VLOOKUP(G77,'G-1 All Habitats'!$B$2:$M$130,12,FALSE),"")</f>
        <v/>
      </c>
      <c r="Q77" s="81" t="str">
        <f>IFERROR(IF(P77="","",IF(AND(P77='G-1 All Habitats'!$X$3,T77&gt;0),U77+V77,IF(AND(P77='G-1 All Habitats'!$X$3,S77&gt;0),U77+V77,IF(AND(P77='G-1 All Habitats'!$X$3,AC77&gt;0),"Any Loss Unacceptable",IF(AND(P77='G-1 All Habitats'!$X$3,W77&gt;0),"Any Loss Unacceptable",H77*J77*L77*O77))))),"Check Data")</f>
        <v/>
      </c>
      <c r="R77" s="55"/>
      <c r="S77" s="79"/>
      <c r="T77" s="82"/>
      <c r="U77" s="83" t="str">
        <f t="shared" ref="U77:U140" si="8">IFERROR(S77*J77*L77*O77,"")</f>
        <v/>
      </c>
      <c r="V77" s="83" t="str">
        <f t="shared" ref="V77:V140" si="9">IFERROR(T77*J77*L77*O77,"")</f>
        <v/>
      </c>
      <c r="W77" s="83" t="str">
        <f>IF(E77="","",IF(H77&lt;S77+T77,"Error in Areas",IF(P77&lt;&gt;'G-1 All Habitats'!$X$3,H77-S77-T77,IF(AND(P77='G-1 All Habitats'!$X$3,Y77="Yes"),"Unacceptable Loss",IF(AND(P77='G-1 All Habitats'!$X$3,Y77="No"),AC77,IF(AND(P77='G-1 All Habitats'!$X$3,Y77=""),AC77,IF(AND(P77='G-1 All Habitats'!$X$3,AC77="None",AC77),IF(AND(P77='G-1 All Habitats'!$X$3,AC77&gt;0),H77-S77-T77))))))))</f>
        <v/>
      </c>
      <c r="X77" s="84" t="str">
        <f>IFERROR(IF(H77="","",IF(H77-S77-T77=0&lt;0,"Error in Areas",IF(S77+T77&gt;H77,"Error in Areas",IF(AND(P77='G-1 All Habitats'!$X$3,Y77="Yes"),"Alternative Compensation",IF(W77=0,0,IF(P77='G-1 All Habitats'!$X$3,"Unacceptable Loss",Q77-U77-V77)))))),"Check Data")</f>
        <v/>
      </c>
      <c r="Y77" s="82"/>
      <c r="Z77" s="92"/>
      <c r="AA77" s="93"/>
      <c r="AC77" s="87" t="str">
        <f>IF(P77="","",IF(P77='G-1 All Habitats'!$X$3,H77-S77-T77,"None"))</f>
        <v/>
      </c>
      <c r="AD77" s="88" t="str">
        <f>IFERROR(AC77*J77*L77*#REF!*O77,IF(P77="","","None"))</f>
        <v/>
      </c>
      <c r="AF77" s="59" t="str">
        <f t="shared" si="5"/>
        <v/>
      </c>
      <c r="AG77" s="59" t="str">
        <f t="shared" si="6"/>
        <v/>
      </c>
      <c r="AH77" s="59" t="str">
        <f>IF(I77="","",IF(#REF!&gt;0,TRUE,FALSE))</f>
        <v/>
      </c>
      <c r="AI77" s="59">
        <v>67</v>
      </c>
      <c r="AJ77" s="59"/>
      <c r="AK77" s="59" t="str">
        <f t="array" ref="AK77">IFERROR(INDEX($AI$11:$AI$259, MATCH(0, IF(TRUE=$AF$11:$AF$259, COUNTIF($AK$10:$AK76, $AI$11:$AI$259), ""), 0)),"")</f>
        <v/>
      </c>
      <c r="AL77" s="59" t="str">
        <f t="array" ref="AL77">IFERROR(INDEX($AI$11:$AI$259, MATCH(0, IF(TRUE=$AG$11:$AG$259, COUNTIF($AL$10:$AL76, $AI$11:$AI$259), ""), 0)),"")</f>
        <v/>
      </c>
      <c r="AM77" s="59" t="str">
        <f t="array" ref="AM77">IFERROR(INDEX($AI$11:$AI$259, MATCH(0, IF(TRUE=$AH$11:$AH$259, COUNTIF($AM$10:$AM76, $AI$11:$AI$259), ""), 0)),"")</f>
        <v/>
      </c>
      <c r="AN77" s="59"/>
      <c r="AQ77" s="52">
        <f t="shared" si="7"/>
        <v>0</v>
      </c>
    </row>
    <row r="78" spans="1:43" x14ac:dyDescent="0.25">
      <c r="A78" s="52" t="str">
        <f>IFERROR(INDEX('G-1 All Habitats'!$AG$3:$AG$15,MATCH(E78,'G-1 All Habitats'!$AF$3:$AF$15,0)),"")</f>
        <v/>
      </c>
      <c r="B78" s="52" t="str">
        <f>IFERROR(INDEX('G-8 Condition Look up'!$I$4:$I$131,MATCH(G78,'G-8 Condition Look up'!$A$4:$A$131,0)),"")</f>
        <v/>
      </c>
      <c r="D78" s="89">
        <v>68</v>
      </c>
      <c r="E78" s="90"/>
      <c r="F78" s="91"/>
      <c r="G78" s="75" t="str">
        <f>IFERROR(INDEX('G-1 All Habitats'!$B$3:$B$130,MATCH(F78,'G-1 All Habitats'!$A$3:$A$130,0)),"")</f>
        <v/>
      </c>
      <c r="H78" s="76"/>
      <c r="I78" s="77" t="str">
        <f>IF(G78="","",VLOOKUP(G78,'G-1 All Habitats'!$B$2:$M$130,10,FALSE))</f>
        <v/>
      </c>
      <c r="J78" s="78" t="str">
        <f>IFERROR(VLOOKUP(I78,'G-1 All Habitats'!$V$3:$W$7,2,FALSE),"")</f>
        <v/>
      </c>
      <c r="K78" s="79"/>
      <c r="L78" s="78" t="str">
        <f>IFERROR(INDEX('G-8 Condition Look up'!$A$3:$H$131,MATCH(G78,'G-8 Condition Look up'!$A$3:$A$131,0),MATCH(K78,'G-8 Condition Look up'!$A$3:$H$3,0)),"")</f>
        <v/>
      </c>
      <c r="M78" s="79"/>
      <c r="N78" s="348" t="str">
        <f>IF(M78="","",IF(VLOOKUP(M78,'G-3 Multipliers'!$L$3:$N$6,2,FALSE)=0,"Spatial Data Missing",VLOOKUP(M78,'G-3 Multipliers'!$L$3:$N$6,2,FALSE)))</f>
        <v/>
      </c>
      <c r="O78" s="569" t="str">
        <f>IF(M78="","",IF(VLOOKUP(M78,'G-3 Multipliers'!$L$3:$N$6,3,FALSE)=0,"Spatial Data Missing",VLOOKUP(M78,'G-3 Multipliers'!$L$3:$N$6,3,FALSE)))</f>
        <v/>
      </c>
      <c r="P78" s="80" t="str">
        <f>IFERROR(VLOOKUP(G78,'G-1 All Habitats'!$B$2:$M$130,12,FALSE),"")</f>
        <v/>
      </c>
      <c r="Q78" s="81" t="str">
        <f>IFERROR(IF(P78="","",IF(AND(P78='G-1 All Habitats'!$X$3,T78&gt;0),U78+V78,IF(AND(P78='G-1 All Habitats'!$X$3,S78&gt;0),U78+V78,IF(AND(P78='G-1 All Habitats'!$X$3,AC78&gt;0),"Any Loss Unacceptable",IF(AND(P78='G-1 All Habitats'!$X$3,W78&gt;0),"Any Loss Unacceptable",H78*J78*L78*O78))))),"Check Data")</f>
        <v/>
      </c>
      <c r="R78" s="55"/>
      <c r="S78" s="79"/>
      <c r="T78" s="82"/>
      <c r="U78" s="83" t="str">
        <f t="shared" si="8"/>
        <v/>
      </c>
      <c r="V78" s="83" t="str">
        <f t="shared" si="9"/>
        <v/>
      </c>
      <c r="W78" s="83" t="str">
        <f>IF(E78="","",IF(H78&lt;S78+T78,"Error in Areas",IF(P78&lt;&gt;'G-1 All Habitats'!$X$3,H78-S78-T78,IF(AND(P78='G-1 All Habitats'!$X$3,Y78="Yes"),"Unacceptable Loss",IF(AND(P78='G-1 All Habitats'!$X$3,Y78="No"),AC78,IF(AND(P78='G-1 All Habitats'!$X$3,Y78=""),AC78,IF(AND(P78='G-1 All Habitats'!$X$3,AC78="None",AC78),IF(AND(P78='G-1 All Habitats'!$X$3,AC78&gt;0),H78-S78-T78))))))))</f>
        <v/>
      </c>
      <c r="X78" s="84" t="str">
        <f>IFERROR(IF(H78="","",IF(H78-S78-T78=0&lt;0,"Error in Areas",IF(S78+T78&gt;H78,"Error in Areas",IF(AND(P78='G-1 All Habitats'!$X$3,Y78="Yes"),"Alternative Compensation",IF(W78=0,0,IF(P78='G-1 All Habitats'!$X$3,"Unacceptable Loss",Q78-U78-V78)))))),"Check Data")</f>
        <v/>
      </c>
      <c r="Y78" s="82"/>
      <c r="Z78" s="92"/>
      <c r="AA78" s="93"/>
      <c r="AC78" s="87" t="str">
        <f>IF(P78="","",IF(P78='G-1 All Habitats'!$X$3,H78-S78-T78,"None"))</f>
        <v/>
      </c>
      <c r="AD78" s="88" t="str">
        <f>IFERROR(AC78*J78*L78*#REF!*O78,IF(P78="","","None"))</f>
        <v/>
      </c>
      <c r="AF78" s="59" t="str">
        <f t="shared" si="5"/>
        <v/>
      </c>
      <c r="AG78" s="59" t="str">
        <f t="shared" si="6"/>
        <v/>
      </c>
      <c r="AH78" s="59" t="str">
        <f>IF(I78="","",IF(#REF!&gt;0,TRUE,FALSE))</f>
        <v/>
      </c>
      <c r="AI78" s="59">
        <v>68</v>
      </c>
      <c r="AJ78" s="59"/>
      <c r="AK78" s="59" t="str">
        <f t="array" ref="AK78">IFERROR(INDEX($AI$11:$AI$259, MATCH(0, IF(TRUE=$AF$11:$AF$259, COUNTIF($AK$10:$AK77, $AI$11:$AI$259), ""), 0)),"")</f>
        <v/>
      </c>
      <c r="AL78" s="59" t="str">
        <f t="array" ref="AL78">IFERROR(INDEX($AI$11:$AI$259, MATCH(0, IF(TRUE=$AG$11:$AG$259, COUNTIF($AL$10:$AL77, $AI$11:$AI$259), ""), 0)),"")</f>
        <v/>
      </c>
      <c r="AM78" s="59" t="str">
        <f t="array" ref="AM78">IFERROR(INDEX($AI$11:$AI$259, MATCH(0, IF(TRUE=$AH$11:$AH$259, COUNTIF($AM$10:$AM77, $AI$11:$AI$259), ""), 0)),"")</f>
        <v/>
      </c>
      <c r="AN78" s="59"/>
      <c r="AQ78" s="52">
        <f t="shared" si="7"/>
        <v>0</v>
      </c>
    </row>
    <row r="79" spans="1:43" x14ac:dyDescent="0.25">
      <c r="A79" s="52" t="str">
        <f>IFERROR(INDEX('G-1 All Habitats'!$AG$3:$AG$15,MATCH(E79,'G-1 All Habitats'!$AF$3:$AF$15,0)),"")</f>
        <v/>
      </c>
      <c r="B79" s="52" t="str">
        <f>IFERROR(INDEX('G-8 Condition Look up'!$I$4:$I$131,MATCH(G79,'G-8 Condition Look up'!$A$4:$A$131,0)),"")</f>
        <v/>
      </c>
      <c r="D79" s="89">
        <v>69</v>
      </c>
      <c r="E79" s="90"/>
      <c r="F79" s="91"/>
      <c r="G79" s="75" t="str">
        <f>IFERROR(INDEX('G-1 All Habitats'!$B$3:$B$130,MATCH(F79,'G-1 All Habitats'!$A$3:$A$130,0)),"")</f>
        <v/>
      </c>
      <c r="H79" s="76"/>
      <c r="I79" s="77" t="str">
        <f>IF(G79="","",VLOOKUP(G79,'G-1 All Habitats'!$B$2:$M$130,10,FALSE))</f>
        <v/>
      </c>
      <c r="J79" s="78" t="str">
        <f>IFERROR(VLOOKUP(I79,'G-1 All Habitats'!$V$3:$W$7,2,FALSE),"")</f>
        <v/>
      </c>
      <c r="K79" s="79"/>
      <c r="L79" s="78" t="str">
        <f>IFERROR(INDEX('G-8 Condition Look up'!$A$3:$H$131,MATCH(G79,'G-8 Condition Look up'!$A$3:$A$131,0),MATCH(K79,'G-8 Condition Look up'!$A$3:$H$3,0)),"")</f>
        <v/>
      </c>
      <c r="M79" s="79"/>
      <c r="N79" s="348" t="str">
        <f>IF(M79="","",IF(VLOOKUP(M79,'G-3 Multipliers'!$L$3:$N$6,2,FALSE)=0,"Spatial Data Missing",VLOOKUP(M79,'G-3 Multipliers'!$L$3:$N$6,2,FALSE)))</f>
        <v/>
      </c>
      <c r="O79" s="569" t="str">
        <f>IF(M79="","",IF(VLOOKUP(M79,'G-3 Multipliers'!$L$3:$N$6,3,FALSE)=0,"Spatial Data Missing",VLOOKUP(M79,'G-3 Multipliers'!$L$3:$N$6,3,FALSE)))</f>
        <v/>
      </c>
      <c r="P79" s="80" t="str">
        <f>IFERROR(VLOOKUP(G79,'G-1 All Habitats'!$B$2:$M$130,12,FALSE),"")</f>
        <v/>
      </c>
      <c r="Q79" s="81" t="str">
        <f>IFERROR(IF(P79="","",IF(AND(P79='G-1 All Habitats'!$X$3,T79&gt;0),U79+V79,IF(AND(P79='G-1 All Habitats'!$X$3,S79&gt;0),U79+V79,IF(AND(P79='G-1 All Habitats'!$X$3,AC79&gt;0),"Any Loss Unacceptable",IF(AND(P79='G-1 All Habitats'!$X$3,W79&gt;0),"Any Loss Unacceptable",H79*J79*L79*O79))))),"Check Data")</f>
        <v/>
      </c>
      <c r="R79" s="55"/>
      <c r="S79" s="79"/>
      <c r="T79" s="82"/>
      <c r="U79" s="83" t="str">
        <f t="shared" si="8"/>
        <v/>
      </c>
      <c r="V79" s="83" t="str">
        <f t="shared" si="9"/>
        <v/>
      </c>
      <c r="W79" s="83" t="str">
        <f>IF(E79="","",IF(H79&lt;S79+T79,"Error in Areas",IF(P79&lt;&gt;'G-1 All Habitats'!$X$3,H79-S79-T79,IF(AND(P79='G-1 All Habitats'!$X$3,Y79="Yes"),"Unacceptable Loss",IF(AND(P79='G-1 All Habitats'!$X$3,Y79="No"),AC79,IF(AND(P79='G-1 All Habitats'!$X$3,Y79=""),AC79,IF(AND(P79='G-1 All Habitats'!$X$3,AC79="None",AC79),IF(AND(P79='G-1 All Habitats'!$X$3,AC79&gt;0),H79-S79-T79))))))))</f>
        <v/>
      </c>
      <c r="X79" s="84" t="str">
        <f>IFERROR(IF(H79="","",IF(H79-S79-T79=0&lt;0,"Error in Areas",IF(S79+T79&gt;H79,"Error in Areas",IF(AND(P79='G-1 All Habitats'!$X$3,Y79="Yes"),"Alternative Compensation",IF(W79=0,0,IF(P79='G-1 All Habitats'!$X$3,"Unacceptable Loss",Q79-U79-V79)))))),"Check Data")</f>
        <v/>
      </c>
      <c r="Y79" s="82"/>
      <c r="Z79" s="92"/>
      <c r="AA79" s="93"/>
      <c r="AC79" s="87" t="str">
        <f>IF(P79="","",IF(P79='G-1 All Habitats'!$X$3,H79-S79-T79,"None"))</f>
        <v/>
      </c>
      <c r="AD79" s="88" t="str">
        <f>IFERROR(AC79*J79*L79*#REF!*O79,IF(P79="","","None"))</f>
        <v/>
      </c>
      <c r="AF79" s="59" t="str">
        <f t="shared" si="5"/>
        <v/>
      </c>
      <c r="AG79" s="59" t="str">
        <f t="shared" si="6"/>
        <v/>
      </c>
      <c r="AH79" s="59" t="str">
        <f>IF(I79="","",IF(#REF!&gt;0,TRUE,FALSE))</f>
        <v/>
      </c>
      <c r="AI79" s="59">
        <v>69</v>
      </c>
      <c r="AJ79" s="59"/>
      <c r="AK79" s="59" t="str">
        <f t="array" ref="AK79">IFERROR(INDEX($AI$11:$AI$259, MATCH(0, IF(TRUE=$AF$11:$AF$259, COUNTIF($AK$10:$AK78, $AI$11:$AI$259), ""), 0)),"")</f>
        <v/>
      </c>
      <c r="AL79" s="59" t="str">
        <f t="array" ref="AL79">IFERROR(INDEX($AI$11:$AI$259, MATCH(0, IF(TRUE=$AG$11:$AG$259, COUNTIF($AL$10:$AL78, $AI$11:$AI$259), ""), 0)),"")</f>
        <v/>
      </c>
      <c r="AM79" s="59" t="str">
        <f t="array" ref="AM79">IFERROR(INDEX($AI$11:$AI$259, MATCH(0, IF(TRUE=$AH$11:$AH$259, COUNTIF($AM$10:$AM78, $AI$11:$AI$259), ""), 0)),"")</f>
        <v/>
      </c>
      <c r="AN79" s="59"/>
      <c r="AQ79" s="52">
        <f t="shared" si="7"/>
        <v>0</v>
      </c>
    </row>
    <row r="80" spans="1:43" x14ac:dyDescent="0.25">
      <c r="A80" s="52" t="str">
        <f>IFERROR(INDEX('G-1 All Habitats'!$AG$3:$AG$15,MATCH(E80,'G-1 All Habitats'!$AF$3:$AF$15,0)),"")</f>
        <v/>
      </c>
      <c r="B80" s="52" t="str">
        <f>IFERROR(INDEX('G-8 Condition Look up'!$I$4:$I$131,MATCH(G80,'G-8 Condition Look up'!$A$4:$A$131,0)),"")</f>
        <v/>
      </c>
      <c r="D80" s="89">
        <v>70</v>
      </c>
      <c r="E80" s="90"/>
      <c r="F80" s="91"/>
      <c r="G80" s="75" t="str">
        <f>IFERROR(INDEX('G-1 All Habitats'!$B$3:$B$130,MATCH(F80,'G-1 All Habitats'!$A$3:$A$130,0)),"")</f>
        <v/>
      </c>
      <c r="H80" s="76"/>
      <c r="I80" s="77" t="str">
        <f>IF(G80="","",VLOOKUP(G80,'G-1 All Habitats'!$B$2:$M$130,10,FALSE))</f>
        <v/>
      </c>
      <c r="J80" s="78" t="str">
        <f>IFERROR(VLOOKUP(I80,'G-1 All Habitats'!$V$3:$W$7,2,FALSE),"")</f>
        <v/>
      </c>
      <c r="K80" s="79"/>
      <c r="L80" s="78" t="str">
        <f>IFERROR(INDEX('G-8 Condition Look up'!$A$3:$H$131,MATCH(G80,'G-8 Condition Look up'!$A$3:$A$131,0),MATCH(K80,'G-8 Condition Look up'!$A$3:$H$3,0)),"")</f>
        <v/>
      </c>
      <c r="M80" s="79"/>
      <c r="N80" s="348" t="str">
        <f>IF(M80="","",IF(VLOOKUP(M80,'G-3 Multipliers'!$L$3:$N$6,2,FALSE)=0,"Spatial Data Missing",VLOOKUP(M80,'G-3 Multipliers'!$L$3:$N$6,2,FALSE)))</f>
        <v/>
      </c>
      <c r="O80" s="569" t="str">
        <f>IF(M80="","",IF(VLOOKUP(M80,'G-3 Multipliers'!$L$3:$N$6,3,FALSE)=0,"Spatial Data Missing",VLOOKUP(M80,'G-3 Multipliers'!$L$3:$N$6,3,FALSE)))</f>
        <v/>
      </c>
      <c r="P80" s="80" t="str">
        <f>IFERROR(VLOOKUP(G80,'G-1 All Habitats'!$B$2:$M$130,12,FALSE),"")</f>
        <v/>
      </c>
      <c r="Q80" s="81" t="str">
        <f>IFERROR(IF(P80="","",IF(AND(P80='G-1 All Habitats'!$X$3,T80&gt;0),U80+V80,IF(AND(P80='G-1 All Habitats'!$X$3,S80&gt;0),U80+V80,IF(AND(P80='G-1 All Habitats'!$X$3,AC80&gt;0),"Any Loss Unacceptable",IF(AND(P80='G-1 All Habitats'!$X$3,W80&gt;0),"Any Loss Unacceptable",H80*J80*L80*O80))))),"Check Data")</f>
        <v/>
      </c>
      <c r="R80" s="55"/>
      <c r="S80" s="79"/>
      <c r="T80" s="82"/>
      <c r="U80" s="83" t="str">
        <f t="shared" si="8"/>
        <v/>
      </c>
      <c r="V80" s="83" t="str">
        <f t="shared" si="9"/>
        <v/>
      </c>
      <c r="W80" s="83" t="str">
        <f>IF(E80="","",IF(H80&lt;S80+T80,"Error in Areas",IF(P80&lt;&gt;'G-1 All Habitats'!$X$3,H80-S80-T80,IF(AND(P80='G-1 All Habitats'!$X$3,Y80="Yes"),"Unacceptable Loss",IF(AND(P80='G-1 All Habitats'!$X$3,Y80="No"),AC80,IF(AND(P80='G-1 All Habitats'!$X$3,Y80=""),AC80,IF(AND(P80='G-1 All Habitats'!$X$3,AC80="None",AC80),IF(AND(P80='G-1 All Habitats'!$X$3,AC80&gt;0),H80-S80-T80))))))))</f>
        <v/>
      </c>
      <c r="X80" s="84" t="str">
        <f>IFERROR(IF(H80="","",IF(H80-S80-T80=0&lt;0,"Error in Areas",IF(S80+T80&gt;H80,"Error in Areas",IF(AND(P80='G-1 All Habitats'!$X$3,Y80="Yes"),"Alternative Compensation",IF(W80=0,0,IF(P80='G-1 All Habitats'!$X$3,"Unacceptable Loss",Q80-U80-V80)))))),"Check Data")</f>
        <v/>
      </c>
      <c r="Y80" s="82"/>
      <c r="Z80" s="92"/>
      <c r="AA80" s="93"/>
      <c r="AC80" s="87" t="str">
        <f>IF(P80="","",IF(P80='G-1 All Habitats'!$X$3,H80-S80-T80,"None"))</f>
        <v/>
      </c>
      <c r="AD80" s="88" t="str">
        <f>IFERROR(AC80*J80*L80*#REF!*O80,IF(P80="","","None"))</f>
        <v/>
      </c>
      <c r="AF80" s="59" t="str">
        <f t="shared" si="5"/>
        <v/>
      </c>
      <c r="AG80" s="59" t="str">
        <f t="shared" si="6"/>
        <v/>
      </c>
      <c r="AH80" s="59" t="str">
        <f>IF(I80="","",IF(#REF!&gt;0,TRUE,FALSE))</f>
        <v/>
      </c>
      <c r="AI80" s="59">
        <v>70</v>
      </c>
      <c r="AJ80" s="59"/>
      <c r="AK80" s="59" t="str">
        <f t="array" ref="AK80">IFERROR(INDEX($AI$11:$AI$259, MATCH(0, IF(TRUE=$AF$11:$AF$259, COUNTIF($AK$10:$AK79, $AI$11:$AI$259), ""), 0)),"")</f>
        <v/>
      </c>
      <c r="AL80" s="59" t="str">
        <f t="array" ref="AL80">IFERROR(INDEX($AI$11:$AI$259, MATCH(0, IF(TRUE=$AG$11:$AG$259, COUNTIF($AL$10:$AL79, $AI$11:$AI$259), ""), 0)),"")</f>
        <v/>
      </c>
      <c r="AM80" s="59" t="str">
        <f t="array" ref="AM80">IFERROR(INDEX($AI$11:$AI$259, MATCH(0, IF(TRUE=$AH$11:$AH$259, COUNTIF($AM$10:$AM79, $AI$11:$AI$259), ""), 0)),"")</f>
        <v/>
      </c>
      <c r="AN80" s="59"/>
      <c r="AQ80" s="52">
        <f t="shared" si="7"/>
        <v>0</v>
      </c>
    </row>
    <row r="81" spans="1:43" x14ac:dyDescent="0.25">
      <c r="A81" s="52" t="str">
        <f>IFERROR(INDEX('G-1 All Habitats'!$AG$3:$AG$15,MATCH(E81,'G-1 All Habitats'!$AF$3:$AF$15,0)),"")</f>
        <v/>
      </c>
      <c r="B81" s="52" t="str">
        <f>IFERROR(INDEX('G-8 Condition Look up'!$I$4:$I$131,MATCH(G81,'G-8 Condition Look up'!$A$4:$A$131,0)),"")</f>
        <v/>
      </c>
      <c r="D81" s="89">
        <v>71</v>
      </c>
      <c r="E81" s="90"/>
      <c r="F81" s="91"/>
      <c r="G81" s="75" t="str">
        <f>IFERROR(INDEX('G-1 All Habitats'!$B$3:$B$130,MATCH(F81,'G-1 All Habitats'!$A$3:$A$130,0)),"")</f>
        <v/>
      </c>
      <c r="H81" s="76"/>
      <c r="I81" s="77" t="str">
        <f>IF(G81="","",VLOOKUP(G81,'G-1 All Habitats'!$B$2:$M$130,10,FALSE))</f>
        <v/>
      </c>
      <c r="J81" s="78" t="str">
        <f>IFERROR(VLOOKUP(I81,'G-1 All Habitats'!$V$3:$W$7,2,FALSE),"")</f>
        <v/>
      </c>
      <c r="K81" s="79"/>
      <c r="L81" s="78" t="str">
        <f>IFERROR(INDEX('G-8 Condition Look up'!$A$3:$H$131,MATCH(G81,'G-8 Condition Look up'!$A$3:$A$131,0),MATCH(K81,'G-8 Condition Look up'!$A$3:$H$3,0)),"")</f>
        <v/>
      </c>
      <c r="M81" s="79"/>
      <c r="N81" s="348" t="str">
        <f>IF(M81="","",IF(VLOOKUP(M81,'G-3 Multipliers'!$L$3:$N$6,2,FALSE)=0,"Spatial Data Missing",VLOOKUP(M81,'G-3 Multipliers'!$L$3:$N$6,2,FALSE)))</f>
        <v/>
      </c>
      <c r="O81" s="569" t="str">
        <f>IF(M81="","",IF(VLOOKUP(M81,'G-3 Multipliers'!$L$3:$N$6,3,FALSE)=0,"Spatial Data Missing",VLOOKUP(M81,'G-3 Multipliers'!$L$3:$N$6,3,FALSE)))</f>
        <v/>
      </c>
      <c r="P81" s="80" t="str">
        <f>IFERROR(VLOOKUP(G81,'G-1 All Habitats'!$B$2:$M$130,12,FALSE),"")</f>
        <v/>
      </c>
      <c r="Q81" s="81" t="str">
        <f>IFERROR(IF(P81="","",IF(AND(P81='G-1 All Habitats'!$X$3,T81&gt;0),U81+V81,IF(AND(P81='G-1 All Habitats'!$X$3,S81&gt;0),U81+V81,IF(AND(P81='G-1 All Habitats'!$X$3,AC81&gt;0),"Any Loss Unacceptable",IF(AND(P81='G-1 All Habitats'!$X$3,W81&gt;0),"Any Loss Unacceptable",H81*J81*L81*O81))))),"Check Data")</f>
        <v/>
      </c>
      <c r="R81" s="55"/>
      <c r="S81" s="79"/>
      <c r="T81" s="82"/>
      <c r="U81" s="83" t="str">
        <f t="shared" si="8"/>
        <v/>
      </c>
      <c r="V81" s="83" t="str">
        <f t="shared" si="9"/>
        <v/>
      </c>
      <c r="W81" s="83" t="str">
        <f>IF(E81="","",IF(H81&lt;S81+T81,"Error in Areas",IF(P81&lt;&gt;'G-1 All Habitats'!$X$3,H81-S81-T81,IF(AND(P81='G-1 All Habitats'!$X$3,Y81="Yes"),"Unacceptable Loss",IF(AND(P81='G-1 All Habitats'!$X$3,Y81="No"),AC81,IF(AND(P81='G-1 All Habitats'!$X$3,Y81=""),AC81,IF(AND(P81='G-1 All Habitats'!$X$3,AC81="None",AC81),IF(AND(P81='G-1 All Habitats'!$X$3,AC81&gt;0),H81-S81-T81))))))))</f>
        <v/>
      </c>
      <c r="X81" s="84" t="str">
        <f>IFERROR(IF(H81="","",IF(H81-S81-T81=0&lt;0,"Error in Areas",IF(S81+T81&gt;H81,"Error in Areas",IF(AND(P81='G-1 All Habitats'!$X$3,Y81="Yes"),"Alternative Compensation",IF(W81=0,0,IF(P81='G-1 All Habitats'!$X$3,"Unacceptable Loss",Q81-U81-V81)))))),"Check Data")</f>
        <v/>
      </c>
      <c r="Y81" s="82"/>
      <c r="Z81" s="92"/>
      <c r="AA81" s="93"/>
      <c r="AC81" s="87" t="str">
        <f>IF(P81="","",IF(P81='G-1 All Habitats'!$X$3,H81-S81-T81,"None"))</f>
        <v/>
      </c>
      <c r="AD81" s="88" t="str">
        <f>IFERROR(AC81*J81*L81*#REF!*O81,IF(P81="","","None"))</f>
        <v/>
      </c>
      <c r="AF81" s="59" t="str">
        <f t="shared" si="5"/>
        <v/>
      </c>
      <c r="AG81" s="59" t="str">
        <f t="shared" si="6"/>
        <v/>
      </c>
      <c r="AH81" s="59" t="str">
        <f>IF(I81="","",IF(#REF!&gt;0,TRUE,FALSE))</f>
        <v/>
      </c>
      <c r="AI81" s="59">
        <v>71</v>
      </c>
      <c r="AJ81" s="59"/>
      <c r="AK81" s="59" t="str">
        <f t="array" ref="AK81">IFERROR(INDEX($AI$11:$AI$259, MATCH(0, IF(TRUE=$AF$11:$AF$259, COUNTIF($AK$10:$AK80, $AI$11:$AI$259), ""), 0)),"")</f>
        <v/>
      </c>
      <c r="AL81" s="59" t="str">
        <f t="array" ref="AL81">IFERROR(INDEX($AI$11:$AI$259, MATCH(0, IF(TRUE=$AG$11:$AG$259, COUNTIF($AL$10:$AL80, $AI$11:$AI$259), ""), 0)),"")</f>
        <v/>
      </c>
      <c r="AM81" s="59" t="str">
        <f t="array" ref="AM81">IFERROR(INDEX($AI$11:$AI$259, MATCH(0, IF(TRUE=$AH$11:$AH$259, COUNTIF($AM$10:$AM80, $AI$11:$AI$259), ""), 0)),"")</f>
        <v/>
      </c>
      <c r="AN81" s="59"/>
      <c r="AQ81" s="52">
        <f t="shared" si="7"/>
        <v>0</v>
      </c>
    </row>
    <row r="82" spans="1:43" x14ac:dyDescent="0.25">
      <c r="A82" s="52" t="str">
        <f>IFERROR(INDEX('G-1 All Habitats'!$AG$3:$AG$15,MATCH(E82,'G-1 All Habitats'!$AF$3:$AF$15,0)),"")</f>
        <v/>
      </c>
      <c r="B82" s="52" t="str">
        <f>IFERROR(INDEX('G-8 Condition Look up'!$I$4:$I$131,MATCH(G82,'G-8 Condition Look up'!$A$4:$A$131,0)),"")</f>
        <v/>
      </c>
      <c r="D82" s="89">
        <v>72</v>
      </c>
      <c r="E82" s="90"/>
      <c r="F82" s="91"/>
      <c r="G82" s="75" t="str">
        <f>IFERROR(INDEX('G-1 All Habitats'!$B$3:$B$130,MATCH(F82,'G-1 All Habitats'!$A$3:$A$130,0)),"")</f>
        <v/>
      </c>
      <c r="H82" s="76"/>
      <c r="I82" s="77" t="str">
        <f>IF(G82="","",VLOOKUP(G82,'G-1 All Habitats'!$B$2:$M$130,10,FALSE))</f>
        <v/>
      </c>
      <c r="J82" s="78" t="str">
        <f>IFERROR(VLOOKUP(I82,'G-1 All Habitats'!$V$3:$W$7,2,FALSE),"")</f>
        <v/>
      </c>
      <c r="K82" s="79"/>
      <c r="L82" s="78" t="str">
        <f>IFERROR(INDEX('G-8 Condition Look up'!$A$3:$H$131,MATCH(G82,'G-8 Condition Look up'!$A$3:$A$131,0),MATCH(K82,'G-8 Condition Look up'!$A$3:$H$3,0)),"")</f>
        <v/>
      </c>
      <c r="M82" s="79"/>
      <c r="N82" s="348" t="str">
        <f>IF(M82="","",IF(VLOOKUP(M82,'G-3 Multipliers'!$L$3:$N$6,2,FALSE)=0,"Spatial Data Missing",VLOOKUP(M82,'G-3 Multipliers'!$L$3:$N$6,2,FALSE)))</f>
        <v/>
      </c>
      <c r="O82" s="569" t="str">
        <f>IF(M82="","",IF(VLOOKUP(M82,'G-3 Multipliers'!$L$3:$N$6,3,FALSE)=0,"Spatial Data Missing",VLOOKUP(M82,'G-3 Multipliers'!$L$3:$N$6,3,FALSE)))</f>
        <v/>
      </c>
      <c r="P82" s="80" t="str">
        <f>IFERROR(VLOOKUP(G82,'G-1 All Habitats'!$B$2:$M$130,12,FALSE),"")</f>
        <v/>
      </c>
      <c r="Q82" s="81" t="str">
        <f>IFERROR(IF(P82="","",IF(AND(P82='G-1 All Habitats'!$X$3,T82&gt;0),U82+V82,IF(AND(P82='G-1 All Habitats'!$X$3,S82&gt;0),U82+V82,IF(AND(P82='G-1 All Habitats'!$X$3,AC82&gt;0),"Any Loss Unacceptable",IF(AND(P82='G-1 All Habitats'!$X$3,W82&gt;0),"Any Loss Unacceptable",H82*J82*L82*O82))))),"Check Data")</f>
        <v/>
      </c>
      <c r="R82" s="55"/>
      <c r="S82" s="79"/>
      <c r="T82" s="82"/>
      <c r="U82" s="83" t="str">
        <f t="shared" si="8"/>
        <v/>
      </c>
      <c r="V82" s="83" t="str">
        <f t="shared" si="9"/>
        <v/>
      </c>
      <c r="W82" s="83" t="str">
        <f>IF(E82="","",IF(H82&lt;S82+T82,"Error in Areas",IF(P82&lt;&gt;'G-1 All Habitats'!$X$3,H82-S82-T82,IF(AND(P82='G-1 All Habitats'!$X$3,Y82="Yes"),"Unacceptable Loss",IF(AND(P82='G-1 All Habitats'!$X$3,Y82="No"),AC82,IF(AND(P82='G-1 All Habitats'!$X$3,Y82=""),AC82,IF(AND(P82='G-1 All Habitats'!$X$3,AC82="None",AC82),IF(AND(P82='G-1 All Habitats'!$X$3,AC82&gt;0),H82-S82-T82))))))))</f>
        <v/>
      </c>
      <c r="X82" s="84" t="str">
        <f>IFERROR(IF(H82="","",IF(H82-S82-T82=0&lt;0,"Error in Areas",IF(S82+T82&gt;H82,"Error in Areas",IF(AND(P82='G-1 All Habitats'!$X$3,Y82="Yes"),"Alternative Compensation",IF(W82=0,0,IF(P82='G-1 All Habitats'!$X$3,"Unacceptable Loss",Q82-U82-V82)))))),"Check Data")</f>
        <v/>
      </c>
      <c r="Y82" s="82"/>
      <c r="Z82" s="92"/>
      <c r="AA82" s="93"/>
      <c r="AC82" s="87" t="str">
        <f>IF(P82="","",IF(P82='G-1 All Habitats'!$X$3,H82-S82-T82,"None"))</f>
        <v/>
      </c>
      <c r="AD82" s="88" t="str">
        <f>IFERROR(AC82*J82*L82*#REF!*O82,IF(P82="","","None"))</f>
        <v/>
      </c>
      <c r="AF82" s="59" t="str">
        <f t="shared" si="5"/>
        <v/>
      </c>
      <c r="AG82" s="59" t="str">
        <f t="shared" si="6"/>
        <v/>
      </c>
      <c r="AH82" s="59" t="str">
        <f>IF(I82="","",IF(#REF!&gt;0,TRUE,FALSE))</f>
        <v/>
      </c>
      <c r="AI82" s="59">
        <v>72</v>
      </c>
      <c r="AJ82" s="59"/>
      <c r="AK82" s="59" t="str">
        <f t="array" ref="AK82">IFERROR(INDEX($AI$11:$AI$259, MATCH(0, IF(TRUE=$AF$11:$AF$259, COUNTIF($AK$10:$AK81, $AI$11:$AI$259), ""), 0)),"")</f>
        <v/>
      </c>
      <c r="AL82" s="59" t="str">
        <f t="array" ref="AL82">IFERROR(INDEX($AI$11:$AI$259, MATCH(0, IF(TRUE=$AG$11:$AG$259, COUNTIF($AL$10:$AL81, $AI$11:$AI$259), ""), 0)),"")</f>
        <v/>
      </c>
      <c r="AM82" s="59" t="str">
        <f t="array" ref="AM82">IFERROR(INDEX($AI$11:$AI$259, MATCH(0, IF(TRUE=$AH$11:$AH$259, COUNTIF($AM$10:$AM81, $AI$11:$AI$259), ""), 0)),"")</f>
        <v/>
      </c>
      <c r="AN82" s="59"/>
      <c r="AQ82" s="52">
        <f t="shared" si="7"/>
        <v>0</v>
      </c>
    </row>
    <row r="83" spans="1:43" x14ac:dyDescent="0.25">
      <c r="A83" s="52" t="str">
        <f>IFERROR(INDEX('G-1 All Habitats'!$AG$3:$AG$15,MATCH(E83,'G-1 All Habitats'!$AF$3:$AF$15,0)),"")</f>
        <v/>
      </c>
      <c r="B83" s="52" t="str">
        <f>IFERROR(INDEX('G-8 Condition Look up'!$I$4:$I$131,MATCH(G83,'G-8 Condition Look up'!$A$4:$A$131,0)),"")</f>
        <v/>
      </c>
      <c r="D83" s="89">
        <v>73</v>
      </c>
      <c r="E83" s="90"/>
      <c r="F83" s="91"/>
      <c r="G83" s="75" t="str">
        <f>IFERROR(INDEX('G-1 All Habitats'!$B$3:$B$130,MATCH(F83,'G-1 All Habitats'!$A$3:$A$130,0)),"")</f>
        <v/>
      </c>
      <c r="H83" s="76"/>
      <c r="I83" s="77" t="str">
        <f>IF(G83="","",VLOOKUP(G83,'G-1 All Habitats'!$B$2:$M$130,10,FALSE))</f>
        <v/>
      </c>
      <c r="J83" s="78" t="str">
        <f>IFERROR(VLOOKUP(I83,'G-1 All Habitats'!$V$3:$W$7,2,FALSE),"")</f>
        <v/>
      </c>
      <c r="K83" s="79"/>
      <c r="L83" s="78" t="str">
        <f>IFERROR(INDEX('G-8 Condition Look up'!$A$3:$H$131,MATCH(G83,'G-8 Condition Look up'!$A$3:$A$131,0),MATCH(K83,'G-8 Condition Look up'!$A$3:$H$3,0)),"")</f>
        <v/>
      </c>
      <c r="M83" s="79"/>
      <c r="N83" s="348" t="str">
        <f>IF(M83="","",IF(VLOOKUP(M83,'G-3 Multipliers'!$L$3:$N$6,2,FALSE)=0,"Spatial Data Missing",VLOOKUP(M83,'G-3 Multipliers'!$L$3:$N$6,2,FALSE)))</f>
        <v/>
      </c>
      <c r="O83" s="569" t="str">
        <f>IF(M83="","",IF(VLOOKUP(M83,'G-3 Multipliers'!$L$3:$N$6,3,FALSE)=0,"Spatial Data Missing",VLOOKUP(M83,'G-3 Multipliers'!$L$3:$N$6,3,FALSE)))</f>
        <v/>
      </c>
      <c r="P83" s="80" t="str">
        <f>IFERROR(VLOOKUP(G83,'G-1 All Habitats'!$B$2:$M$130,12,FALSE),"")</f>
        <v/>
      </c>
      <c r="Q83" s="81" t="str">
        <f>IFERROR(IF(P83="","",IF(AND(P83='G-1 All Habitats'!$X$3,T83&gt;0),U83+V83,IF(AND(P83='G-1 All Habitats'!$X$3,S83&gt;0),U83+V83,IF(AND(P83='G-1 All Habitats'!$X$3,AC83&gt;0),"Any Loss Unacceptable",IF(AND(P83='G-1 All Habitats'!$X$3,W83&gt;0),"Any Loss Unacceptable",H83*J83*L83*O83))))),"Check Data")</f>
        <v/>
      </c>
      <c r="R83" s="55"/>
      <c r="S83" s="79"/>
      <c r="T83" s="82"/>
      <c r="U83" s="83" t="str">
        <f t="shared" si="8"/>
        <v/>
      </c>
      <c r="V83" s="83" t="str">
        <f t="shared" si="9"/>
        <v/>
      </c>
      <c r="W83" s="83" t="str">
        <f>IF(E83="","",IF(H83&lt;S83+T83,"Error in Areas",IF(P83&lt;&gt;'G-1 All Habitats'!$X$3,H83-S83-T83,IF(AND(P83='G-1 All Habitats'!$X$3,Y83="Yes"),"Unacceptable Loss",IF(AND(P83='G-1 All Habitats'!$X$3,Y83="No"),AC83,IF(AND(P83='G-1 All Habitats'!$X$3,Y83=""),AC83,IF(AND(P83='G-1 All Habitats'!$X$3,AC83="None",AC83),IF(AND(P83='G-1 All Habitats'!$X$3,AC83&gt;0),H83-S83-T83))))))))</f>
        <v/>
      </c>
      <c r="X83" s="84" t="str">
        <f>IFERROR(IF(H83="","",IF(H83-S83-T83=0&lt;0,"Error in Areas",IF(S83+T83&gt;H83,"Error in Areas",IF(AND(P83='G-1 All Habitats'!$X$3,Y83="Yes"),"Alternative Compensation",IF(W83=0,0,IF(P83='G-1 All Habitats'!$X$3,"Unacceptable Loss",Q83-U83-V83)))))),"Check Data")</f>
        <v/>
      </c>
      <c r="Y83" s="82"/>
      <c r="Z83" s="92"/>
      <c r="AA83" s="93"/>
      <c r="AC83" s="87" t="str">
        <f>IF(P83="","",IF(P83='G-1 All Habitats'!$X$3,H83-S83-T83,"None"))</f>
        <v/>
      </c>
      <c r="AD83" s="88" t="str">
        <f>IFERROR(AC83*J83*L83*#REF!*O83,IF(P83="","","None"))</f>
        <v/>
      </c>
      <c r="AF83" s="59" t="str">
        <f t="shared" si="5"/>
        <v/>
      </c>
      <c r="AG83" s="59" t="str">
        <f t="shared" si="6"/>
        <v/>
      </c>
      <c r="AH83" s="59" t="str">
        <f>IF(I83="","",IF(#REF!&gt;0,TRUE,FALSE))</f>
        <v/>
      </c>
      <c r="AI83" s="59">
        <v>73</v>
      </c>
      <c r="AJ83" s="59"/>
      <c r="AK83" s="59" t="str">
        <f t="array" ref="AK83">IFERROR(INDEX($AI$11:$AI$259, MATCH(0, IF(TRUE=$AF$11:$AF$259, COUNTIF($AK$10:$AK82, $AI$11:$AI$259), ""), 0)),"")</f>
        <v/>
      </c>
      <c r="AL83" s="59" t="str">
        <f t="array" ref="AL83">IFERROR(INDEX($AI$11:$AI$259, MATCH(0, IF(TRUE=$AG$11:$AG$259, COUNTIF($AL$10:$AL82, $AI$11:$AI$259), ""), 0)),"")</f>
        <v/>
      </c>
      <c r="AM83" s="59" t="str">
        <f t="array" ref="AM83">IFERROR(INDEX($AI$11:$AI$259, MATCH(0, IF(TRUE=$AH$11:$AH$259, COUNTIF($AM$10:$AM82, $AI$11:$AI$259), ""), 0)),"")</f>
        <v/>
      </c>
      <c r="AN83" s="59"/>
      <c r="AQ83" s="52">
        <f t="shared" si="7"/>
        <v>0</v>
      </c>
    </row>
    <row r="84" spans="1:43" x14ac:dyDescent="0.25">
      <c r="A84" s="52" t="str">
        <f>IFERROR(INDEX('G-1 All Habitats'!$AG$3:$AG$15,MATCH(E84,'G-1 All Habitats'!$AF$3:$AF$15,0)),"")</f>
        <v/>
      </c>
      <c r="B84" s="52" t="str">
        <f>IFERROR(INDEX('G-8 Condition Look up'!$I$4:$I$131,MATCH(G84,'G-8 Condition Look up'!$A$4:$A$131,0)),"")</f>
        <v/>
      </c>
      <c r="D84" s="89">
        <v>74</v>
      </c>
      <c r="E84" s="90"/>
      <c r="F84" s="91"/>
      <c r="G84" s="75" t="str">
        <f>IFERROR(INDEX('G-1 All Habitats'!$B$3:$B$130,MATCH(F84,'G-1 All Habitats'!$A$3:$A$130,0)),"")</f>
        <v/>
      </c>
      <c r="H84" s="76"/>
      <c r="I84" s="77" t="str">
        <f>IF(G84="","",VLOOKUP(G84,'G-1 All Habitats'!$B$2:$M$130,10,FALSE))</f>
        <v/>
      </c>
      <c r="J84" s="78" t="str">
        <f>IFERROR(VLOOKUP(I84,'G-1 All Habitats'!$V$3:$W$7,2,FALSE),"")</f>
        <v/>
      </c>
      <c r="K84" s="79"/>
      <c r="L84" s="78" t="str">
        <f>IFERROR(INDEX('G-8 Condition Look up'!$A$3:$H$131,MATCH(G84,'G-8 Condition Look up'!$A$3:$A$131,0),MATCH(K84,'G-8 Condition Look up'!$A$3:$H$3,0)),"")</f>
        <v/>
      </c>
      <c r="M84" s="79"/>
      <c r="N84" s="348" t="str">
        <f>IF(M84="","",IF(VLOOKUP(M84,'G-3 Multipliers'!$L$3:$N$6,2,FALSE)=0,"Spatial Data Missing",VLOOKUP(M84,'G-3 Multipliers'!$L$3:$N$6,2,FALSE)))</f>
        <v/>
      </c>
      <c r="O84" s="569" t="str">
        <f>IF(M84="","",IF(VLOOKUP(M84,'G-3 Multipliers'!$L$3:$N$6,3,FALSE)=0,"Spatial Data Missing",VLOOKUP(M84,'G-3 Multipliers'!$L$3:$N$6,3,FALSE)))</f>
        <v/>
      </c>
      <c r="P84" s="80" t="str">
        <f>IFERROR(VLOOKUP(G84,'G-1 All Habitats'!$B$2:$M$130,12,FALSE),"")</f>
        <v/>
      </c>
      <c r="Q84" s="81" t="str">
        <f>IFERROR(IF(P84="","",IF(AND(P84='G-1 All Habitats'!$X$3,T84&gt;0),U84+V84,IF(AND(P84='G-1 All Habitats'!$X$3,S84&gt;0),U84+V84,IF(AND(P84='G-1 All Habitats'!$X$3,AC84&gt;0),"Any Loss Unacceptable",IF(AND(P84='G-1 All Habitats'!$X$3,W84&gt;0),"Any Loss Unacceptable",H84*J84*L84*O84))))),"Check Data")</f>
        <v/>
      </c>
      <c r="R84" s="55"/>
      <c r="S84" s="79"/>
      <c r="T84" s="82"/>
      <c r="U84" s="83" t="str">
        <f t="shared" si="8"/>
        <v/>
      </c>
      <c r="V84" s="83" t="str">
        <f t="shared" si="9"/>
        <v/>
      </c>
      <c r="W84" s="83" t="str">
        <f>IF(E84="","",IF(H84&lt;S84+T84,"Error in Areas",IF(P84&lt;&gt;'G-1 All Habitats'!$X$3,H84-S84-T84,IF(AND(P84='G-1 All Habitats'!$X$3,Y84="Yes"),"Unacceptable Loss",IF(AND(P84='G-1 All Habitats'!$X$3,Y84="No"),AC84,IF(AND(P84='G-1 All Habitats'!$X$3,Y84=""),AC84,IF(AND(P84='G-1 All Habitats'!$X$3,AC84="None",AC84),IF(AND(P84='G-1 All Habitats'!$X$3,AC84&gt;0),H84-S84-T84))))))))</f>
        <v/>
      </c>
      <c r="X84" s="84" t="str">
        <f>IFERROR(IF(H84="","",IF(H84-S84-T84=0&lt;0,"Error in Areas",IF(S84+T84&gt;H84,"Error in Areas",IF(AND(P84='G-1 All Habitats'!$X$3,Y84="Yes"),"Alternative Compensation",IF(W84=0,0,IF(P84='G-1 All Habitats'!$X$3,"Unacceptable Loss",Q84-U84-V84)))))),"Check Data")</f>
        <v/>
      </c>
      <c r="Y84" s="82"/>
      <c r="Z84" s="92"/>
      <c r="AA84" s="93"/>
      <c r="AC84" s="87" t="str">
        <f>IF(P84="","",IF(P84='G-1 All Habitats'!$X$3,H84-S84-T84,"None"))</f>
        <v/>
      </c>
      <c r="AD84" s="88" t="str">
        <f>IFERROR(AC84*J84*L84*#REF!*O84,IF(P84="","","None"))</f>
        <v/>
      </c>
      <c r="AF84" s="59" t="str">
        <f t="shared" si="5"/>
        <v/>
      </c>
      <c r="AG84" s="59" t="str">
        <f t="shared" si="6"/>
        <v/>
      </c>
      <c r="AH84" s="59" t="str">
        <f>IF(I84="","",IF(#REF!&gt;0,TRUE,FALSE))</f>
        <v/>
      </c>
      <c r="AI84" s="59">
        <v>74</v>
      </c>
      <c r="AJ84" s="59"/>
      <c r="AK84" s="59" t="str">
        <f t="array" ref="AK84">IFERROR(INDEX($AI$11:$AI$259, MATCH(0, IF(TRUE=$AF$11:$AF$259, COUNTIF($AK$10:$AK83, $AI$11:$AI$259), ""), 0)),"")</f>
        <v/>
      </c>
      <c r="AL84" s="59" t="str">
        <f t="array" ref="AL84">IFERROR(INDEX($AI$11:$AI$259, MATCH(0, IF(TRUE=$AG$11:$AG$259, COUNTIF($AL$10:$AL83, $AI$11:$AI$259), ""), 0)),"")</f>
        <v/>
      </c>
      <c r="AM84" s="59" t="str">
        <f t="array" ref="AM84">IFERROR(INDEX($AI$11:$AI$259, MATCH(0, IF(TRUE=$AH$11:$AH$259, COUNTIF($AM$10:$AM83, $AI$11:$AI$259), ""), 0)),"")</f>
        <v/>
      </c>
      <c r="AN84" s="59"/>
      <c r="AQ84" s="52">
        <f t="shared" si="7"/>
        <v>0</v>
      </c>
    </row>
    <row r="85" spans="1:43" x14ac:dyDescent="0.25">
      <c r="A85" s="52" t="str">
        <f>IFERROR(INDEX('G-1 All Habitats'!$AG$3:$AG$15,MATCH(E85,'G-1 All Habitats'!$AF$3:$AF$15,0)),"")</f>
        <v/>
      </c>
      <c r="B85" s="52" t="str">
        <f>IFERROR(INDEX('G-8 Condition Look up'!$I$4:$I$131,MATCH(G85,'G-8 Condition Look up'!$A$4:$A$131,0)),"")</f>
        <v/>
      </c>
      <c r="D85" s="89">
        <v>75</v>
      </c>
      <c r="E85" s="90"/>
      <c r="F85" s="91"/>
      <c r="G85" s="75" t="str">
        <f>IFERROR(INDEX('G-1 All Habitats'!$B$3:$B$130,MATCH(F85,'G-1 All Habitats'!$A$3:$A$130,0)),"")</f>
        <v/>
      </c>
      <c r="H85" s="76"/>
      <c r="I85" s="77" t="str">
        <f>IF(G85="","",VLOOKUP(G85,'G-1 All Habitats'!$B$2:$M$130,10,FALSE))</f>
        <v/>
      </c>
      <c r="J85" s="78" t="str">
        <f>IFERROR(VLOOKUP(I85,'G-1 All Habitats'!$V$3:$W$7,2,FALSE),"")</f>
        <v/>
      </c>
      <c r="K85" s="79"/>
      <c r="L85" s="78" t="str">
        <f>IFERROR(INDEX('G-8 Condition Look up'!$A$3:$H$131,MATCH(G85,'G-8 Condition Look up'!$A$3:$A$131,0),MATCH(K85,'G-8 Condition Look up'!$A$3:$H$3,0)),"")</f>
        <v/>
      </c>
      <c r="M85" s="79"/>
      <c r="N85" s="348" t="str">
        <f>IF(M85="","",IF(VLOOKUP(M85,'G-3 Multipliers'!$L$3:$N$6,2,FALSE)=0,"Spatial Data Missing",VLOOKUP(M85,'G-3 Multipliers'!$L$3:$N$6,2,FALSE)))</f>
        <v/>
      </c>
      <c r="O85" s="569" t="str">
        <f>IF(M85="","",IF(VLOOKUP(M85,'G-3 Multipliers'!$L$3:$N$6,3,FALSE)=0,"Spatial Data Missing",VLOOKUP(M85,'G-3 Multipliers'!$L$3:$N$6,3,FALSE)))</f>
        <v/>
      </c>
      <c r="P85" s="80" t="str">
        <f>IFERROR(VLOOKUP(G85,'G-1 All Habitats'!$B$2:$M$130,12,FALSE),"")</f>
        <v/>
      </c>
      <c r="Q85" s="81" t="str">
        <f>IFERROR(IF(P85="","",IF(AND(P85='G-1 All Habitats'!$X$3,T85&gt;0),U85+V85,IF(AND(P85='G-1 All Habitats'!$X$3,S85&gt;0),U85+V85,IF(AND(P85='G-1 All Habitats'!$X$3,AC85&gt;0),"Any Loss Unacceptable",IF(AND(P85='G-1 All Habitats'!$X$3,W85&gt;0),"Any Loss Unacceptable",H85*J85*L85*O85))))),"Check Data")</f>
        <v/>
      </c>
      <c r="R85" s="55"/>
      <c r="S85" s="79"/>
      <c r="T85" s="82"/>
      <c r="U85" s="83" t="str">
        <f t="shared" si="8"/>
        <v/>
      </c>
      <c r="V85" s="83" t="str">
        <f t="shared" si="9"/>
        <v/>
      </c>
      <c r="W85" s="83" t="str">
        <f>IF(E85="","",IF(H85&lt;S85+T85,"Error in Areas",IF(P85&lt;&gt;'G-1 All Habitats'!$X$3,H85-S85-T85,IF(AND(P85='G-1 All Habitats'!$X$3,Y85="Yes"),"Unacceptable Loss",IF(AND(P85='G-1 All Habitats'!$X$3,Y85="No"),AC85,IF(AND(P85='G-1 All Habitats'!$X$3,Y85=""),AC85,IF(AND(P85='G-1 All Habitats'!$X$3,AC85="None",AC85),IF(AND(P85='G-1 All Habitats'!$X$3,AC85&gt;0),H85-S85-T85))))))))</f>
        <v/>
      </c>
      <c r="X85" s="84" t="str">
        <f>IFERROR(IF(H85="","",IF(H85-S85-T85=0&lt;0,"Error in Areas",IF(S85+T85&gt;H85,"Error in Areas",IF(AND(P85='G-1 All Habitats'!$X$3,Y85="Yes"),"Alternative Compensation",IF(W85=0,0,IF(P85='G-1 All Habitats'!$X$3,"Unacceptable Loss",Q85-U85-V85)))))),"Check Data")</f>
        <v/>
      </c>
      <c r="Y85" s="82"/>
      <c r="Z85" s="92"/>
      <c r="AA85" s="93"/>
      <c r="AC85" s="87" t="str">
        <f>IF(P85="","",IF(P85='G-1 All Habitats'!$X$3,H85-S85-T85,"None"))</f>
        <v/>
      </c>
      <c r="AD85" s="88" t="str">
        <f>IFERROR(AC85*J85*L85*#REF!*O85,IF(P85="","","None"))</f>
        <v/>
      </c>
      <c r="AF85" s="59" t="str">
        <f t="shared" si="5"/>
        <v/>
      </c>
      <c r="AG85" s="59" t="str">
        <f t="shared" si="6"/>
        <v/>
      </c>
      <c r="AH85" s="59" t="str">
        <f>IF(I85="","",IF(#REF!&gt;0,TRUE,FALSE))</f>
        <v/>
      </c>
      <c r="AI85" s="59">
        <v>75</v>
      </c>
      <c r="AJ85" s="59"/>
      <c r="AK85" s="59" t="str">
        <f t="array" ref="AK85">IFERROR(INDEX($AI$11:$AI$259, MATCH(0, IF(TRUE=$AF$11:$AF$259, COUNTIF($AK$10:$AK84, $AI$11:$AI$259), ""), 0)),"")</f>
        <v/>
      </c>
      <c r="AL85" s="59" t="str">
        <f t="array" ref="AL85">IFERROR(INDEX($AI$11:$AI$259, MATCH(0, IF(TRUE=$AG$11:$AG$259, COUNTIF($AL$10:$AL84, $AI$11:$AI$259), ""), 0)),"")</f>
        <v/>
      </c>
      <c r="AM85" s="59" t="str">
        <f t="array" ref="AM85">IFERROR(INDEX($AI$11:$AI$259, MATCH(0, IF(TRUE=$AH$11:$AH$259, COUNTIF($AM$10:$AM84, $AI$11:$AI$259), ""), 0)),"")</f>
        <v/>
      </c>
      <c r="AN85" s="59"/>
      <c r="AQ85" s="52">
        <f t="shared" si="7"/>
        <v>0</v>
      </c>
    </row>
    <row r="86" spans="1:43" x14ac:dyDescent="0.25">
      <c r="A86" s="52" t="str">
        <f>IFERROR(INDEX('G-1 All Habitats'!$AG$3:$AG$15,MATCH(E86,'G-1 All Habitats'!$AF$3:$AF$15,0)),"")</f>
        <v/>
      </c>
      <c r="B86" s="52" t="str">
        <f>IFERROR(INDEX('G-8 Condition Look up'!$I$4:$I$131,MATCH(G86,'G-8 Condition Look up'!$A$4:$A$131,0)),"")</f>
        <v/>
      </c>
      <c r="D86" s="89">
        <v>76</v>
      </c>
      <c r="E86" s="90"/>
      <c r="F86" s="91"/>
      <c r="G86" s="75" t="str">
        <f>IFERROR(INDEX('G-1 All Habitats'!$B$3:$B$130,MATCH(F86,'G-1 All Habitats'!$A$3:$A$130,0)),"")</f>
        <v/>
      </c>
      <c r="H86" s="76"/>
      <c r="I86" s="77" t="str">
        <f>IF(G86="","",VLOOKUP(G86,'G-1 All Habitats'!$B$2:$M$130,10,FALSE))</f>
        <v/>
      </c>
      <c r="J86" s="78" t="str">
        <f>IFERROR(VLOOKUP(I86,'G-1 All Habitats'!$V$3:$W$7,2,FALSE),"")</f>
        <v/>
      </c>
      <c r="K86" s="79"/>
      <c r="L86" s="78" t="str">
        <f>IFERROR(INDEX('G-8 Condition Look up'!$A$3:$H$131,MATCH(G86,'G-8 Condition Look up'!$A$3:$A$131,0),MATCH(K86,'G-8 Condition Look up'!$A$3:$H$3,0)),"")</f>
        <v/>
      </c>
      <c r="M86" s="79"/>
      <c r="N86" s="348" t="str">
        <f>IF(M86="","",IF(VLOOKUP(M86,'G-3 Multipliers'!$L$3:$N$6,2,FALSE)=0,"Spatial Data Missing",VLOOKUP(M86,'G-3 Multipliers'!$L$3:$N$6,2,FALSE)))</f>
        <v/>
      </c>
      <c r="O86" s="569" t="str">
        <f>IF(M86="","",IF(VLOOKUP(M86,'G-3 Multipliers'!$L$3:$N$6,3,FALSE)=0,"Spatial Data Missing",VLOOKUP(M86,'G-3 Multipliers'!$L$3:$N$6,3,FALSE)))</f>
        <v/>
      </c>
      <c r="P86" s="80" t="str">
        <f>IFERROR(VLOOKUP(G86,'G-1 All Habitats'!$B$2:$M$130,12,FALSE),"")</f>
        <v/>
      </c>
      <c r="Q86" s="81" t="str">
        <f>IFERROR(IF(P86="","",IF(AND(P86='G-1 All Habitats'!$X$3,T86&gt;0),U86+V86,IF(AND(P86='G-1 All Habitats'!$X$3,S86&gt;0),U86+V86,IF(AND(P86='G-1 All Habitats'!$X$3,AC86&gt;0),"Any Loss Unacceptable",IF(AND(P86='G-1 All Habitats'!$X$3,W86&gt;0),"Any Loss Unacceptable",H86*J86*L86*O86))))),"Check Data")</f>
        <v/>
      </c>
      <c r="R86" s="55"/>
      <c r="S86" s="79"/>
      <c r="T86" s="82"/>
      <c r="U86" s="83" t="str">
        <f t="shared" si="8"/>
        <v/>
      </c>
      <c r="V86" s="83" t="str">
        <f t="shared" si="9"/>
        <v/>
      </c>
      <c r="W86" s="83" t="str">
        <f>IF(E86="","",IF(H86&lt;S86+T86,"Error in Areas",IF(P86&lt;&gt;'G-1 All Habitats'!$X$3,H86-S86-T86,IF(AND(P86='G-1 All Habitats'!$X$3,Y86="Yes"),"Unacceptable Loss",IF(AND(P86='G-1 All Habitats'!$X$3,Y86="No"),AC86,IF(AND(P86='G-1 All Habitats'!$X$3,Y86=""),AC86,IF(AND(P86='G-1 All Habitats'!$X$3,AC86="None",AC86),IF(AND(P86='G-1 All Habitats'!$X$3,AC86&gt;0),H86-S86-T86))))))))</f>
        <v/>
      </c>
      <c r="X86" s="84" t="str">
        <f>IFERROR(IF(H86="","",IF(H86-S86-T86=0&lt;0,"Error in Areas",IF(S86+T86&gt;H86,"Error in Areas",IF(AND(P86='G-1 All Habitats'!$X$3,Y86="Yes"),"Alternative Compensation",IF(W86=0,0,IF(P86='G-1 All Habitats'!$X$3,"Unacceptable Loss",Q86-U86-V86)))))),"Check Data")</f>
        <v/>
      </c>
      <c r="Y86" s="82"/>
      <c r="Z86" s="92"/>
      <c r="AA86" s="93"/>
      <c r="AC86" s="87" t="str">
        <f>IF(P86="","",IF(P86='G-1 All Habitats'!$X$3,H86-S86-T86,"None"))</f>
        <v/>
      </c>
      <c r="AD86" s="88" t="str">
        <f>IFERROR(AC86*J86*L86*#REF!*O86,IF(P86="","","None"))</f>
        <v/>
      </c>
      <c r="AF86" s="59" t="str">
        <f t="shared" si="5"/>
        <v/>
      </c>
      <c r="AG86" s="59" t="str">
        <f t="shared" si="6"/>
        <v/>
      </c>
      <c r="AH86" s="59" t="str">
        <f>IF(I86="","",IF(#REF!&gt;0,TRUE,FALSE))</f>
        <v/>
      </c>
      <c r="AI86" s="59">
        <v>76</v>
      </c>
      <c r="AJ86" s="59"/>
      <c r="AK86" s="59" t="str">
        <f t="array" ref="AK86">IFERROR(INDEX($AI$11:$AI$259, MATCH(0, IF(TRUE=$AF$11:$AF$259, COUNTIF($AK$10:$AK85, $AI$11:$AI$259), ""), 0)),"")</f>
        <v/>
      </c>
      <c r="AL86" s="59" t="str">
        <f t="array" ref="AL86">IFERROR(INDEX($AI$11:$AI$259, MATCH(0, IF(TRUE=$AG$11:$AG$259, COUNTIF($AL$10:$AL85, $AI$11:$AI$259), ""), 0)),"")</f>
        <v/>
      </c>
      <c r="AM86" s="59" t="str">
        <f t="array" ref="AM86">IFERROR(INDEX($AI$11:$AI$259, MATCH(0, IF(TRUE=$AH$11:$AH$259, COUNTIF($AM$10:$AM85, $AI$11:$AI$259), ""), 0)),"")</f>
        <v/>
      </c>
      <c r="AN86" s="59"/>
      <c r="AQ86" s="52">
        <f t="shared" si="7"/>
        <v>0</v>
      </c>
    </row>
    <row r="87" spans="1:43" x14ac:dyDescent="0.25">
      <c r="A87" s="52" t="str">
        <f>IFERROR(INDEX('G-1 All Habitats'!$AG$3:$AG$15,MATCH(E87,'G-1 All Habitats'!$AF$3:$AF$15,0)),"")</f>
        <v/>
      </c>
      <c r="B87" s="52" t="str">
        <f>IFERROR(INDEX('G-8 Condition Look up'!$I$4:$I$131,MATCH(G87,'G-8 Condition Look up'!$A$4:$A$131,0)),"")</f>
        <v/>
      </c>
      <c r="D87" s="89">
        <v>77</v>
      </c>
      <c r="E87" s="90"/>
      <c r="F87" s="91"/>
      <c r="G87" s="75" t="str">
        <f>IFERROR(INDEX('G-1 All Habitats'!$B$3:$B$130,MATCH(F87,'G-1 All Habitats'!$A$3:$A$130,0)),"")</f>
        <v/>
      </c>
      <c r="H87" s="76"/>
      <c r="I87" s="77" t="str">
        <f>IF(G87="","",VLOOKUP(G87,'G-1 All Habitats'!$B$2:$M$130,10,FALSE))</f>
        <v/>
      </c>
      <c r="J87" s="78" t="str">
        <f>IFERROR(VLOOKUP(I87,'G-1 All Habitats'!$V$3:$W$7,2,FALSE),"")</f>
        <v/>
      </c>
      <c r="K87" s="79"/>
      <c r="L87" s="78" t="str">
        <f>IFERROR(INDEX('G-8 Condition Look up'!$A$3:$H$131,MATCH(G87,'G-8 Condition Look up'!$A$3:$A$131,0),MATCH(K87,'G-8 Condition Look up'!$A$3:$H$3,0)),"")</f>
        <v/>
      </c>
      <c r="M87" s="79"/>
      <c r="N87" s="348" t="str">
        <f>IF(M87="","",IF(VLOOKUP(M87,'G-3 Multipliers'!$L$3:$N$6,2,FALSE)=0,"Spatial Data Missing",VLOOKUP(M87,'G-3 Multipliers'!$L$3:$N$6,2,FALSE)))</f>
        <v/>
      </c>
      <c r="O87" s="569" t="str">
        <f>IF(M87="","",IF(VLOOKUP(M87,'G-3 Multipliers'!$L$3:$N$6,3,FALSE)=0,"Spatial Data Missing",VLOOKUP(M87,'G-3 Multipliers'!$L$3:$N$6,3,FALSE)))</f>
        <v/>
      </c>
      <c r="P87" s="80" t="str">
        <f>IFERROR(VLOOKUP(G87,'G-1 All Habitats'!$B$2:$M$130,12,FALSE),"")</f>
        <v/>
      </c>
      <c r="Q87" s="81" t="str">
        <f>IFERROR(IF(P87="","",IF(AND(P87='G-1 All Habitats'!$X$3,T87&gt;0),U87+V87,IF(AND(P87='G-1 All Habitats'!$X$3,S87&gt;0),U87+V87,IF(AND(P87='G-1 All Habitats'!$X$3,AC87&gt;0),"Any Loss Unacceptable",IF(AND(P87='G-1 All Habitats'!$X$3,W87&gt;0),"Any Loss Unacceptable",H87*J87*L87*O87))))),"Check Data")</f>
        <v/>
      </c>
      <c r="R87" s="55"/>
      <c r="S87" s="79"/>
      <c r="T87" s="82"/>
      <c r="U87" s="83" t="str">
        <f t="shared" si="8"/>
        <v/>
      </c>
      <c r="V87" s="83" t="str">
        <f t="shared" si="9"/>
        <v/>
      </c>
      <c r="W87" s="83" t="str">
        <f>IF(E87="","",IF(H87&lt;S87+T87,"Error in Areas",IF(P87&lt;&gt;'G-1 All Habitats'!$X$3,H87-S87-T87,IF(AND(P87='G-1 All Habitats'!$X$3,Y87="Yes"),"Unacceptable Loss",IF(AND(P87='G-1 All Habitats'!$X$3,Y87="No"),AC87,IF(AND(P87='G-1 All Habitats'!$X$3,Y87=""),AC87,IF(AND(P87='G-1 All Habitats'!$X$3,AC87="None",AC87),IF(AND(P87='G-1 All Habitats'!$X$3,AC87&gt;0),H87-S87-T87))))))))</f>
        <v/>
      </c>
      <c r="X87" s="84" t="str">
        <f>IFERROR(IF(H87="","",IF(H87-S87-T87=0&lt;0,"Error in Areas",IF(S87+T87&gt;H87,"Error in Areas",IF(AND(P87='G-1 All Habitats'!$X$3,Y87="Yes"),"Alternative Compensation",IF(W87=0,0,IF(P87='G-1 All Habitats'!$X$3,"Unacceptable Loss",Q87-U87-V87)))))),"Check Data")</f>
        <v/>
      </c>
      <c r="Y87" s="82"/>
      <c r="Z87" s="92"/>
      <c r="AA87" s="93"/>
      <c r="AC87" s="87" t="str">
        <f>IF(P87="","",IF(P87='G-1 All Habitats'!$X$3,H87-S87-T87,"None"))</f>
        <v/>
      </c>
      <c r="AD87" s="88" t="str">
        <f>IFERROR(AC87*J87*L87*#REF!*O87,IF(P87="","","None"))</f>
        <v/>
      </c>
      <c r="AF87" s="59" t="str">
        <f t="shared" si="5"/>
        <v/>
      </c>
      <c r="AG87" s="59" t="str">
        <f t="shared" si="6"/>
        <v/>
      </c>
      <c r="AH87" s="59" t="str">
        <f>IF(I87="","",IF(#REF!&gt;0,TRUE,FALSE))</f>
        <v/>
      </c>
      <c r="AI87" s="59">
        <v>77</v>
      </c>
      <c r="AJ87" s="59"/>
      <c r="AK87" s="59" t="str">
        <f t="array" ref="AK87">IFERROR(INDEX($AI$11:$AI$259, MATCH(0, IF(TRUE=$AF$11:$AF$259, COUNTIF($AK$10:$AK86, $AI$11:$AI$259), ""), 0)),"")</f>
        <v/>
      </c>
      <c r="AL87" s="59" t="str">
        <f t="array" ref="AL87">IFERROR(INDEX($AI$11:$AI$259, MATCH(0, IF(TRUE=$AG$11:$AG$259, COUNTIF($AL$10:$AL86, $AI$11:$AI$259), ""), 0)),"")</f>
        <v/>
      </c>
      <c r="AM87" s="59" t="str">
        <f t="array" ref="AM87">IFERROR(INDEX($AI$11:$AI$259, MATCH(0, IF(TRUE=$AH$11:$AH$259, COUNTIF($AM$10:$AM86, $AI$11:$AI$259), ""), 0)),"")</f>
        <v/>
      </c>
      <c r="AN87" s="59"/>
      <c r="AQ87" s="52">
        <f t="shared" si="7"/>
        <v>0</v>
      </c>
    </row>
    <row r="88" spans="1:43" x14ac:dyDescent="0.25">
      <c r="A88" s="52" t="str">
        <f>IFERROR(INDEX('G-1 All Habitats'!$AG$3:$AG$15,MATCH(E88,'G-1 All Habitats'!$AF$3:$AF$15,0)),"")</f>
        <v/>
      </c>
      <c r="B88" s="52" t="str">
        <f>IFERROR(INDEX('G-8 Condition Look up'!$I$4:$I$131,MATCH(G88,'G-8 Condition Look up'!$A$4:$A$131,0)),"")</f>
        <v/>
      </c>
      <c r="D88" s="89">
        <v>78</v>
      </c>
      <c r="E88" s="90"/>
      <c r="F88" s="91"/>
      <c r="G88" s="75" t="str">
        <f>IFERROR(INDEX('G-1 All Habitats'!$B$3:$B$130,MATCH(F88,'G-1 All Habitats'!$A$3:$A$130,0)),"")</f>
        <v/>
      </c>
      <c r="H88" s="76"/>
      <c r="I88" s="77" t="str">
        <f>IF(G88="","",VLOOKUP(G88,'G-1 All Habitats'!$B$2:$M$130,10,FALSE))</f>
        <v/>
      </c>
      <c r="J88" s="78" t="str">
        <f>IFERROR(VLOOKUP(I88,'G-1 All Habitats'!$V$3:$W$7,2,FALSE),"")</f>
        <v/>
      </c>
      <c r="K88" s="79"/>
      <c r="L88" s="78" t="str">
        <f>IFERROR(INDEX('G-8 Condition Look up'!$A$3:$H$131,MATCH(G88,'G-8 Condition Look up'!$A$3:$A$131,0),MATCH(K88,'G-8 Condition Look up'!$A$3:$H$3,0)),"")</f>
        <v/>
      </c>
      <c r="M88" s="79"/>
      <c r="N88" s="348" t="str">
        <f>IF(M88="","",IF(VLOOKUP(M88,'G-3 Multipliers'!$L$3:$N$6,2,FALSE)=0,"Spatial Data Missing",VLOOKUP(M88,'G-3 Multipliers'!$L$3:$N$6,2,FALSE)))</f>
        <v/>
      </c>
      <c r="O88" s="569" t="str">
        <f>IF(M88="","",IF(VLOOKUP(M88,'G-3 Multipliers'!$L$3:$N$6,3,FALSE)=0,"Spatial Data Missing",VLOOKUP(M88,'G-3 Multipliers'!$L$3:$N$6,3,FALSE)))</f>
        <v/>
      </c>
      <c r="P88" s="80" t="str">
        <f>IFERROR(VLOOKUP(G88,'G-1 All Habitats'!$B$2:$M$130,12,FALSE),"")</f>
        <v/>
      </c>
      <c r="Q88" s="81" t="str">
        <f>IFERROR(IF(P88="","",IF(AND(P88='G-1 All Habitats'!$X$3,T88&gt;0),U88+V88,IF(AND(P88='G-1 All Habitats'!$X$3,S88&gt;0),U88+V88,IF(AND(P88='G-1 All Habitats'!$X$3,AC88&gt;0),"Any Loss Unacceptable",IF(AND(P88='G-1 All Habitats'!$X$3,W88&gt;0),"Any Loss Unacceptable",H88*J88*L88*O88))))),"Check Data")</f>
        <v/>
      </c>
      <c r="R88" s="55"/>
      <c r="S88" s="79"/>
      <c r="T88" s="82"/>
      <c r="U88" s="83" t="str">
        <f t="shared" si="8"/>
        <v/>
      </c>
      <c r="V88" s="83" t="str">
        <f t="shared" si="9"/>
        <v/>
      </c>
      <c r="W88" s="83" t="str">
        <f>IF(E88="","",IF(H88&lt;S88+T88,"Error in Areas",IF(P88&lt;&gt;'G-1 All Habitats'!$X$3,H88-S88-T88,IF(AND(P88='G-1 All Habitats'!$X$3,Y88="Yes"),"Unacceptable Loss",IF(AND(P88='G-1 All Habitats'!$X$3,Y88="No"),AC88,IF(AND(P88='G-1 All Habitats'!$X$3,Y88=""),AC88,IF(AND(P88='G-1 All Habitats'!$X$3,AC88="None",AC88),IF(AND(P88='G-1 All Habitats'!$X$3,AC88&gt;0),H88-S88-T88))))))))</f>
        <v/>
      </c>
      <c r="X88" s="84" t="str">
        <f>IFERROR(IF(H88="","",IF(H88-S88-T88=0&lt;0,"Error in Areas",IF(S88+T88&gt;H88,"Error in Areas",IF(AND(P88='G-1 All Habitats'!$X$3,Y88="Yes"),"Alternative Compensation",IF(W88=0,0,IF(P88='G-1 All Habitats'!$X$3,"Unacceptable Loss",Q88-U88-V88)))))),"Check Data")</f>
        <v/>
      </c>
      <c r="Y88" s="82"/>
      <c r="Z88" s="92"/>
      <c r="AA88" s="93"/>
      <c r="AC88" s="87" t="str">
        <f>IF(P88="","",IF(P88='G-1 All Habitats'!$X$3,H88-S88-T88,"None"))</f>
        <v/>
      </c>
      <c r="AD88" s="88" t="str">
        <f>IFERROR(AC88*J88*L88*#REF!*O88,IF(P88="","","None"))</f>
        <v/>
      </c>
      <c r="AF88" s="59" t="str">
        <f t="shared" si="5"/>
        <v/>
      </c>
      <c r="AG88" s="59" t="str">
        <f t="shared" si="6"/>
        <v/>
      </c>
      <c r="AH88" s="59" t="str">
        <f>IF(I88="","",IF(#REF!&gt;0,TRUE,FALSE))</f>
        <v/>
      </c>
      <c r="AI88" s="59">
        <v>78</v>
      </c>
      <c r="AJ88" s="59"/>
      <c r="AK88" s="59" t="str">
        <f t="array" ref="AK88">IFERROR(INDEX($AI$11:$AI$259, MATCH(0, IF(TRUE=$AF$11:$AF$259, COUNTIF($AK$10:$AK87, $AI$11:$AI$259), ""), 0)),"")</f>
        <v/>
      </c>
      <c r="AL88" s="59" t="str">
        <f t="array" ref="AL88">IFERROR(INDEX($AI$11:$AI$259, MATCH(0, IF(TRUE=$AG$11:$AG$259, COUNTIF($AL$10:$AL87, $AI$11:$AI$259), ""), 0)),"")</f>
        <v/>
      </c>
      <c r="AM88" s="59" t="str">
        <f t="array" ref="AM88">IFERROR(INDEX($AI$11:$AI$259, MATCH(0, IF(TRUE=$AH$11:$AH$259, COUNTIF($AM$10:$AM87, $AI$11:$AI$259), ""), 0)),"")</f>
        <v/>
      </c>
      <c r="AN88" s="59"/>
      <c r="AQ88" s="52">
        <f t="shared" si="7"/>
        <v>0</v>
      </c>
    </row>
    <row r="89" spans="1:43" x14ac:dyDescent="0.25">
      <c r="A89" s="52" t="str">
        <f>IFERROR(INDEX('G-1 All Habitats'!$AG$3:$AG$15,MATCH(E89,'G-1 All Habitats'!$AF$3:$AF$15,0)),"")</f>
        <v/>
      </c>
      <c r="B89" s="52" t="str">
        <f>IFERROR(INDEX('G-8 Condition Look up'!$I$4:$I$131,MATCH(G89,'G-8 Condition Look up'!$A$4:$A$131,0)),"")</f>
        <v/>
      </c>
      <c r="D89" s="89">
        <v>79</v>
      </c>
      <c r="E89" s="90"/>
      <c r="F89" s="91"/>
      <c r="G89" s="75" t="str">
        <f>IFERROR(INDEX('G-1 All Habitats'!$B$3:$B$130,MATCH(F89,'G-1 All Habitats'!$A$3:$A$130,0)),"")</f>
        <v/>
      </c>
      <c r="H89" s="76"/>
      <c r="I89" s="77" t="str">
        <f>IF(G89="","",VLOOKUP(G89,'G-1 All Habitats'!$B$2:$M$130,10,FALSE))</f>
        <v/>
      </c>
      <c r="J89" s="78" t="str">
        <f>IFERROR(VLOOKUP(I89,'G-1 All Habitats'!$V$3:$W$7,2,FALSE),"")</f>
        <v/>
      </c>
      <c r="K89" s="79"/>
      <c r="L89" s="78" t="str">
        <f>IFERROR(INDEX('G-8 Condition Look up'!$A$3:$H$131,MATCH(G89,'G-8 Condition Look up'!$A$3:$A$131,0),MATCH(K89,'G-8 Condition Look up'!$A$3:$H$3,0)),"")</f>
        <v/>
      </c>
      <c r="M89" s="79"/>
      <c r="N89" s="348" t="str">
        <f>IF(M89="","",IF(VLOOKUP(M89,'G-3 Multipliers'!$L$3:$N$6,2,FALSE)=0,"Spatial Data Missing",VLOOKUP(M89,'G-3 Multipliers'!$L$3:$N$6,2,FALSE)))</f>
        <v/>
      </c>
      <c r="O89" s="569" t="str">
        <f>IF(M89="","",IF(VLOOKUP(M89,'G-3 Multipliers'!$L$3:$N$6,3,FALSE)=0,"Spatial Data Missing",VLOOKUP(M89,'G-3 Multipliers'!$L$3:$N$6,3,FALSE)))</f>
        <v/>
      </c>
      <c r="P89" s="80" t="str">
        <f>IFERROR(VLOOKUP(G89,'G-1 All Habitats'!$B$2:$M$130,12,FALSE),"")</f>
        <v/>
      </c>
      <c r="Q89" s="81" t="str">
        <f>IFERROR(IF(P89="","",IF(AND(P89='G-1 All Habitats'!$X$3,T89&gt;0),U89+V89,IF(AND(P89='G-1 All Habitats'!$X$3,S89&gt;0),U89+V89,IF(AND(P89='G-1 All Habitats'!$X$3,AC89&gt;0),"Any Loss Unacceptable",IF(AND(P89='G-1 All Habitats'!$X$3,W89&gt;0),"Any Loss Unacceptable",H89*J89*L89*O89))))),"Check Data")</f>
        <v/>
      </c>
      <c r="R89" s="55"/>
      <c r="S89" s="79"/>
      <c r="T89" s="82"/>
      <c r="U89" s="83" t="str">
        <f t="shared" si="8"/>
        <v/>
      </c>
      <c r="V89" s="83" t="str">
        <f t="shared" si="9"/>
        <v/>
      </c>
      <c r="W89" s="83" t="str">
        <f>IF(E89="","",IF(H89&lt;S89+T89,"Error in Areas",IF(P89&lt;&gt;'G-1 All Habitats'!$X$3,H89-S89-T89,IF(AND(P89='G-1 All Habitats'!$X$3,Y89="Yes"),"Unacceptable Loss",IF(AND(P89='G-1 All Habitats'!$X$3,Y89="No"),AC89,IF(AND(P89='G-1 All Habitats'!$X$3,Y89=""),AC89,IF(AND(P89='G-1 All Habitats'!$X$3,AC89="None",AC89),IF(AND(P89='G-1 All Habitats'!$X$3,AC89&gt;0),H89-S89-T89))))))))</f>
        <v/>
      </c>
      <c r="X89" s="84" t="str">
        <f>IFERROR(IF(H89="","",IF(H89-S89-T89=0&lt;0,"Error in Areas",IF(S89+T89&gt;H89,"Error in Areas",IF(AND(P89='G-1 All Habitats'!$X$3,Y89="Yes"),"Alternative Compensation",IF(W89=0,0,IF(P89='G-1 All Habitats'!$X$3,"Unacceptable Loss",Q89-U89-V89)))))),"Check Data")</f>
        <v/>
      </c>
      <c r="Y89" s="82"/>
      <c r="Z89" s="92"/>
      <c r="AA89" s="93"/>
      <c r="AC89" s="87" t="str">
        <f>IF(P89="","",IF(P89='G-1 All Habitats'!$X$3,H89-S89-T89,"None"))</f>
        <v/>
      </c>
      <c r="AD89" s="88" t="str">
        <f>IFERROR(AC89*J89*L89*#REF!*O89,IF(P89="","","None"))</f>
        <v/>
      </c>
      <c r="AF89" s="59" t="str">
        <f t="shared" si="5"/>
        <v/>
      </c>
      <c r="AG89" s="59" t="str">
        <f t="shared" si="6"/>
        <v/>
      </c>
      <c r="AH89" s="59" t="str">
        <f>IF(I89="","",IF(#REF!&gt;0,TRUE,FALSE))</f>
        <v/>
      </c>
      <c r="AI89" s="59">
        <v>79</v>
      </c>
      <c r="AJ89" s="59"/>
      <c r="AK89" s="59" t="str">
        <f t="array" ref="AK89">IFERROR(INDEX($AI$11:$AI$259, MATCH(0, IF(TRUE=$AF$11:$AF$259, COUNTIF($AK$10:$AK88, $AI$11:$AI$259), ""), 0)),"")</f>
        <v/>
      </c>
      <c r="AL89" s="59" t="str">
        <f t="array" ref="AL89">IFERROR(INDEX($AI$11:$AI$259, MATCH(0, IF(TRUE=$AG$11:$AG$259, COUNTIF($AL$10:$AL88, $AI$11:$AI$259), ""), 0)),"")</f>
        <v/>
      </c>
      <c r="AM89" s="59" t="str">
        <f t="array" ref="AM89">IFERROR(INDEX($AI$11:$AI$259, MATCH(0, IF(TRUE=$AH$11:$AH$259, COUNTIF($AM$10:$AM88, $AI$11:$AI$259), ""), 0)),"")</f>
        <v/>
      </c>
      <c r="AN89" s="59"/>
      <c r="AQ89" s="52">
        <f t="shared" si="7"/>
        <v>0</v>
      </c>
    </row>
    <row r="90" spans="1:43" x14ac:dyDescent="0.25">
      <c r="A90" s="52" t="str">
        <f>IFERROR(INDEX('G-1 All Habitats'!$AG$3:$AG$15,MATCH(E90,'G-1 All Habitats'!$AF$3:$AF$15,0)),"")</f>
        <v/>
      </c>
      <c r="B90" s="52" t="str">
        <f>IFERROR(INDEX('G-8 Condition Look up'!$I$4:$I$131,MATCH(G90,'G-8 Condition Look up'!$A$4:$A$131,0)),"")</f>
        <v/>
      </c>
      <c r="D90" s="89">
        <v>80</v>
      </c>
      <c r="E90" s="90"/>
      <c r="F90" s="91"/>
      <c r="G90" s="75" t="str">
        <f>IFERROR(INDEX('G-1 All Habitats'!$B$3:$B$130,MATCH(F90,'G-1 All Habitats'!$A$3:$A$130,0)),"")</f>
        <v/>
      </c>
      <c r="H90" s="76"/>
      <c r="I90" s="77" t="str">
        <f>IF(G90="","",VLOOKUP(G90,'G-1 All Habitats'!$B$2:$M$130,10,FALSE))</f>
        <v/>
      </c>
      <c r="J90" s="78" t="str">
        <f>IFERROR(VLOOKUP(I90,'G-1 All Habitats'!$V$3:$W$7,2,FALSE),"")</f>
        <v/>
      </c>
      <c r="K90" s="79"/>
      <c r="L90" s="78" t="str">
        <f>IFERROR(INDEX('G-8 Condition Look up'!$A$3:$H$131,MATCH(G90,'G-8 Condition Look up'!$A$3:$A$131,0),MATCH(K90,'G-8 Condition Look up'!$A$3:$H$3,0)),"")</f>
        <v/>
      </c>
      <c r="M90" s="79"/>
      <c r="N90" s="348" t="str">
        <f>IF(M90="","",IF(VLOOKUP(M90,'G-3 Multipliers'!$L$3:$N$6,2,FALSE)=0,"Spatial Data Missing",VLOOKUP(M90,'G-3 Multipliers'!$L$3:$N$6,2,FALSE)))</f>
        <v/>
      </c>
      <c r="O90" s="569" t="str">
        <f>IF(M90="","",IF(VLOOKUP(M90,'G-3 Multipliers'!$L$3:$N$6,3,FALSE)=0,"Spatial Data Missing",VLOOKUP(M90,'G-3 Multipliers'!$L$3:$N$6,3,FALSE)))</f>
        <v/>
      </c>
      <c r="P90" s="80" t="str">
        <f>IFERROR(VLOOKUP(G90,'G-1 All Habitats'!$B$2:$M$130,12,FALSE),"")</f>
        <v/>
      </c>
      <c r="Q90" s="81" t="str">
        <f>IFERROR(IF(P90="","",IF(AND(P90='G-1 All Habitats'!$X$3,T90&gt;0),U90+V90,IF(AND(P90='G-1 All Habitats'!$X$3,S90&gt;0),U90+V90,IF(AND(P90='G-1 All Habitats'!$X$3,AC90&gt;0),"Any Loss Unacceptable",IF(AND(P90='G-1 All Habitats'!$X$3,W90&gt;0),"Any Loss Unacceptable",H90*J90*L90*O90))))),"Check Data")</f>
        <v/>
      </c>
      <c r="R90" s="55"/>
      <c r="S90" s="79"/>
      <c r="T90" s="82"/>
      <c r="U90" s="83" t="str">
        <f t="shared" si="8"/>
        <v/>
      </c>
      <c r="V90" s="83" t="str">
        <f t="shared" si="9"/>
        <v/>
      </c>
      <c r="W90" s="83" t="str">
        <f>IF(E90="","",IF(H90&lt;S90+T90,"Error in Areas",IF(P90&lt;&gt;'G-1 All Habitats'!$X$3,H90-S90-T90,IF(AND(P90='G-1 All Habitats'!$X$3,Y90="Yes"),"Unacceptable Loss",IF(AND(P90='G-1 All Habitats'!$X$3,Y90="No"),AC90,IF(AND(P90='G-1 All Habitats'!$X$3,Y90=""),AC90,IF(AND(P90='G-1 All Habitats'!$X$3,AC90="None",AC90),IF(AND(P90='G-1 All Habitats'!$X$3,AC90&gt;0),H90-S90-T90))))))))</f>
        <v/>
      </c>
      <c r="X90" s="84" t="str">
        <f>IFERROR(IF(H90="","",IF(H90-S90-T90=0&lt;0,"Error in Areas",IF(S90+T90&gt;H90,"Error in Areas",IF(AND(P90='G-1 All Habitats'!$X$3,Y90="Yes"),"Alternative Compensation",IF(W90=0,0,IF(P90='G-1 All Habitats'!$X$3,"Unacceptable Loss",Q90-U90-V90)))))),"Check Data")</f>
        <v/>
      </c>
      <c r="Y90" s="82"/>
      <c r="Z90" s="92"/>
      <c r="AA90" s="93"/>
      <c r="AC90" s="87" t="str">
        <f>IF(P90="","",IF(P90='G-1 All Habitats'!$X$3,H90-S90-T90,"None"))</f>
        <v/>
      </c>
      <c r="AD90" s="88" t="str">
        <f>IFERROR(AC90*J90*L90*#REF!*O90,IF(P90="","","None"))</f>
        <v/>
      </c>
      <c r="AF90" s="59" t="str">
        <f t="shared" si="5"/>
        <v/>
      </c>
      <c r="AG90" s="59" t="str">
        <f t="shared" si="6"/>
        <v/>
      </c>
      <c r="AH90" s="59" t="str">
        <f>IF(I90="","",IF(#REF!&gt;0,TRUE,FALSE))</f>
        <v/>
      </c>
      <c r="AI90" s="59">
        <v>80</v>
      </c>
      <c r="AJ90" s="59"/>
      <c r="AK90" s="59" t="str">
        <f t="array" ref="AK90">IFERROR(INDEX($AI$11:$AI$259, MATCH(0, IF(TRUE=$AF$11:$AF$259, COUNTIF($AK$10:$AK89, $AI$11:$AI$259), ""), 0)),"")</f>
        <v/>
      </c>
      <c r="AL90" s="59" t="str">
        <f t="array" ref="AL90">IFERROR(INDEX($AI$11:$AI$259, MATCH(0, IF(TRUE=$AG$11:$AG$259, COUNTIF($AL$10:$AL89, $AI$11:$AI$259), ""), 0)),"")</f>
        <v/>
      </c>
      <c r="AM90" s="59" t="str">
        <f t="array" ref="AM90">IFERROR(INDEX($AI$11:$AI$259, MATCH(0, IF(TRUE=$AH$11:$AH$259, COUNTIF($AM$10:$AM89, $AI$11:$AI$259), ""), 0)),"")</f>
        <v/>
      </c>
      <c r="AN90" s="59"/>
      <c r="AQ90" s="52">
        <f t="shared" si="7"/>
        <v>0</v>
      </c>
    </row>
    <row r="91" spans="1:43" x14ac:dyDescent="0.25">
      <c r="A91" s="52" t="str">
        <f>IFERROR(INDEX('G-1 All Habitats'!$AG$3:$AG$15,MATCH(E91,'G-1 All Habitats'!$AF$3:$AF$15,0)),"")</f>
        <v/>
      </c>
      <c r="B91" s="52" t="str">
        <f>IFERROR(INDEX('G-8 Condition Look up'!$I$4:$I$131,MATCH(G91,'G-8 Condition Look up'!$A$4:$A$131,0)),"")</f>
        <v/>
      </c>
      <c r="D91" s="89">
        <v>81</v>
      </c>
      <c r="E91" s="90"/>
      <c r="F91" s="91"/>
      <c r="G91" s="75" t="str">
        <f>IFERROR(INDEX('G-1 All Habitats'!$B$3:$B$130,MATCH(F91,'G-1 All Habitats'!$A$3:$A$130,0)),"")</f>
        <v/>
      </c>
      <c r="H91" s="76"/>
      <c r="I91" s="77" t="str">
        <f>IF(G91="","",VLOOKUP(G91,'G-1 All Habitats'!$B$2:$M$130,10,FALSE))</f>
        <v/>
      </c>
      <c r="J91" s="78" t="str">
        <f>IFERROR(VLOOKUP(I91,'G-1 All Habitats'!$V$3:$W$7,2,FALSE),"")</f>
        <v/>
      </c>
      <c r="K91" s="79"/>
      <c r="L91" s="78" t="str">
        <f>IFERROR(INDEX('G-8 Condition Look up'!$A$3:$H$131,MATCH(G91,'G-8 Condition Look up'!$A$3:$A$131,0),MATCH(K91,'G-8 Condition Look up'!$A$3:$H$3,0)),"")</f>
        <v/>
      </c>
      <c r="M91" s="79"/>
      <c r="N91" s="348" t="str">
        <f>IF(M91="","",IF(VLOOKUP(M91,'G-3 Multipliers'!$L$3:$N$6,2,FALSE)=0,"Spatial Data Missing",VLOOKUP(M91,'G-3 Multipliers'!$L$3:$N$6,2,FALSE)))</f>
        <v/>
      </c>
      <c r="O91" s="569" t="str">
        <f>IF(M91="","",IF(VLOOKUP(M91,'G-3 Multipliers'!$L$3:$N$6,3,FALSE)=0,"Spatial Data Missing",VLOOKUP(M91,'G-3 Multipliers'!$L$3:$N$6,3,FALSE)))</f>
        <v/>
      </c>
      <c r="P91" s="80" t="str">
        <f>IFERROR(VLOOKUP(G91,'G-1 All Habitats'!$B$2:$M$130,12,FALSE),"")</f>
        <v/>
      </c>
      <c r="Q91" s="81" t="str">
        <f>IFERROR(IF(P91="","",IF(AND(P91='G-1 All Habitats'!$X$3,T91&gt;0),U91+V91,IF(AND(P91='G-1 All Habitats'!$X$3,S91&gt;0),U91+V91,IF(AND(P91='G-1 All Habitats'!$X$3,AC91&gt;0),"Any Loss Unacceptable",IF(AND(P91='G-1 All Habitats'!$X$3,W91&gt;0),"Any Loss Unacceptable",H91*J91*L91*O91))))),"Check Data")</f>
        <v/>
      </c>
      <c r="R91" s="55"/>
      <c r="S91" s="79"/>
      <c r="T91" s="82"/>
      <c r="U91" s="83" t="str">
        <f t="shared" si="8"/>
        <v/>
      </c>
      <c r="V91" s="83" t="str">
        <f t="shared" si="9"/>
        <v/>
      </c>
      <c r="W91" s="83" t="str">
        <f>IF(E91="","",IF(H91&lt;S91+T91,"Error in Areas",IF(P91&lt;&gt;'G-1 All Habitats'!$X$3,H91-S91-T91,IF(AND(P91='G-1 All Habitats'!$X$3,Y91="Yes"),"Unacceptable Loss",IF(AND(P91='G-1 All Habitats'!$X$3,Y91="No"),AC91,IF(AND(P91='G-1 All Habitats'!$X$3,Y91=""),AC91,IF(AND(P91='G-1 All Habitats'!$X$3,AC91="None",AC91),IF(AND(P91='G-1 All Habitats'!$X$3,AC91&gt;0),H91-S91-T91))))))))</f>
        <v/>
      </c>
      <c r="X91" s="84" t="str">
        <f>IFERROR(IF(H91="","",IF(H91-S91-T91=0&lt;0,"Error in Areas",IF(S91+T91&gt;H91,"Error in Areas",IF(AND(P91='G-1 All Habitats'!$X$3,Y91="Yes"),"Alternative Compensation",IF(W91=0,0,IF(P91='G-1 All Habitats'!$X$3,"Unacceptable Loss",Q91-U91-V91)))))),"Check Data")</f>
        <v/>
      </c>
      <c r="Y91" s="82"/>
      <c r="Z91" s="92"/>
      <c r="AA91" s="93"/>
      <c r="AC91" s="87" t="str">
        <f>IF(P91="","",IF(P91='G-1 All Habitats'!$X$3,H91-S91-T91,"None"))</f>
        <v/>
      </c>
      <c r="AD91" s="88" t="str">
        <f>IFERROR(AC91*J91*L91*#REF!*O91,IF(P91="","","None"))</f>
        <v/>
      </c>
      <c r="AF91" s="59" t="str">
        <f t="shared" si="5"/>
        <v/>
      </c>
      <c r="AG91" s="59" t="str">
        <f t="shared" si="6"/>
        <v/>
      </c>
      <c r="AH91" s="59" t="str">
        <f>IF(I91="","",IF(#REF!&gt;0,TRUE,FALSE))</f>
        <v/>
      </c>
      <c r="AI91" s="59">
        <v>81</v>
      </c>
      <c r="AJ91" s="59"/>
      <c r="AK91" s="59" t="str">
        <f t="array" ref="AK91">IFERROR(INDEX($AI$11:$AI$259, MATCH(0, IF(TRUE=$AF$11:$AF$259, COUNTIF($AK$10:$AK90, $AI$11:$AI$259), ""), 0)),"")</f>
        <v/>
      </c>
      <c r="AL91" s="59" t="str">
        <f t="array" ref="AL91">IFERROR(INDEX($AI$11:$AI$259, MATCH(0, IF(TRUE=$AG$11:$AG$259, COUNTIF($AL$10:$AL90, $AI$11:$AI$259), ""), 0)),"")</f>
        <v/>
      </c>
      <c r="AM91" s="59" t="str">
        <f t="array" ref="AM91">IFERROR(INDEX($AI$11:$AI$259, MATCH(0, IF(TRUE=$AH$11:$AH$259, COUNTIF($AM$10:$AM90, $AI$11:$AI$259), ""), 0)),"")</f>
        <v/>
      </c>
      <c r="AN91" s="59"/>
      <c r="AQ91" s="52">
        <f t="shared" si="7"/>
        <v>0</v>
      </c>
    </row>
    <row r="92" spans="1:43" x14ac:dyDescent="0.25">
      <c r="A92" s="52" t="str">
        <f>IFERROR(INDEX('G-1 All Habitats'!$AG$3:$AG$15,MATCH(E92,'G-1 All Habitats'!$AF$3:$AF$15,0)),"")</f>
        <v/>
      </c>
      <c r="B92" s="52" t="str">
        <f>IFERROR(INDEX('G-8 Condition Look up'!$I$4:$I$131,MATCH(G92,'G-8 Condition Look up'!$A$4:$A$131,0)),"")</f>
        <v/>
      </c>
      <c r="D92" s="89">
        <v>82</v>
      </c>
      <c r="E92" s="90"/>
      <c r="F92" s="91"/>
      <c r="G92" s="75" t="str">
        <f>IFERROR(INDEX('G-1 All Habitats'!$B$3:$B$130,MATCH(F92,'G-1 All Habitats'!$A$3:$A$130,0)),"")</f>
        <v/>
      </c>
      <c r="H92" s="76"/>
      <c r="I92" s="77" t="str">
        <f>IF(G92="","",VLOOKUP(G92,'G-1 All Habitats'!$B$2:$M$130,10,FALSE))</f>
        <v/>
      </c>
      <c r="J92" s="78" t="str">
        <f>IFERROR(VLOOKUP(I92,'G-1 All Habitats'!$V$3:$W$7,2,FALSE),"")</f>
        <v/>
      </c>
      <c r="K92" s="79"/>
      <c r="L92" s="78" t="str">
        <f>IFERROR(INDEX('G-8 Condition Look up'!$A$3:$H$131,MATCH(G92,'G-8 Condition Look up'!$A$3:$A$131,0),MATCH(K92,'G-8 Condition Look up'!$A$3:$H$3,0)),"")</f>
        <v/>
      </c>
      <c r="M92" s="79"/>
      <c r="N92" s="348" t="str">
        <f>IF(M92="","",IF(VLOOKUP(M92,'G-3 Multipliers'!$L$3:$N$6,2,FALSE)=0,"Spatial Data Missing",VLOOKUP(M92,'G-3 Multipliers'!$L$3:$N$6,2,FALSE)))</f>
        <v/>
      </c>
      <c r="O92" s="569" t="str">
        <f>IF(M92="","",IF(VLOOKUP(M92,'G-3 Multipliers'!$L$3:$N$6,3,FALSE)=0,"Spatial Data Missing",VLOOKUP(M92,'G-3 Multipliers'!$L$3:$N$6,3,FALSE)))</f>
        <v/>
      </c>
      <c r="P92" s="80" t="str">
        <f>IFERROR(VLOOKUP(G92,'G-1 All Habitats'!$B$2:$M$130,12,FALSE),"")</f>
        <v/>
      </c>
      <c r="Q92" s="81" t="str">
        <f>IFERROR(IF(P92="","",IF(AND(P92='G-1 All Habitats'!$X$3,T92&gt;0),U92+V92,IF(AND(P92='G-1 All Habitats'!$X$3,S92&gt;0),U92+V92,IF(AND(P92='G-1 All Habitats'!$X$3,AC92&gt;0),"Any Loss Unacceptable",IF(AND(P92='G-1 All Habitats'!$X$3,W92&gt;0),"Any Loss Unacceptable",H92*J92*L92*O92))))),"Check Data")</f>
        <v/>
      </c>
      <c r="R92" s="55"/>
      <c r="S92" s="79"/>
      <c r="T92" s="82"/>
      <c r="U92" s="83" t="str">
        <f t="shared" si="8"/>
        <v/>
      </c>
      <c r="V92" s="83" t="str">
        <f t="shared" si="9"/>
        <v/>
      </c>
      <c r="W92" s="83" t="str">
        <f>IF(E92="","",IF(H92&lt;S92+T92,"Error in Areas",IF(P92&lt;&gt;'G-1 All Habitats'!$X$3,H92-S92-T92,IF(AND(P92='G-1 All Habitats'!$X$3,Y92="Yes"),"Unacceptable Loss",IF(AND(P92='G-1 All Habitats'!$X$3,Y92="No"),AC92,IF(AND(P92='G-1 All Habitats'!$X$3,Y92=""),AC92,IF(AND(P92='G-1 All Habitats'!$X$3,AC92="None",AC92),IF(AND(P92='G-1 All Habitats'!$X$3,AC92&gt;0),H92-S92-T92))))))))</f>
        <v/>
      </c>
      <c r="X92" s="84" t="str">
        <f>IFERROR(IF(H92="","",IF(H92-S92-T92=0&lt;0,"Error in Areas",IF(S92+T92&gt;H92,"Error in Areas",IF(AND(P92='G-1 All Habitats'!$X$3,Y92="Yes"),"Alternative Compensation",IF(W92=0,0,IF(P92='G-1 All Habitats'!$X$3,"Unacceptable Loss",Q92-U92-V92)))))),"Check Data")</f>
        <v/>
      </c>
      <c r="Y92" s="82"/>
      <c r="Z92" s="92"/>
      <c r="AA92" s="93"/>
      <c r="AC92" s="87" t="str">
        <f>IF(P92="","",IF(P92='G-1 All Habitats'!$X$3,H92-S92-T92,"None"))</f>
        <v/>
      </c>
      <c r="AD92" s="88" t="str">
        <f>IFERROR(AC92*J92*L92*#REF!*O92,IF(P92="","","None"))</f>
        <v/>
      </c>
      <c r="AF92" s="59" t="str">
        <f t="shared" si="5"/>
        <v/>
      </c>
      <c r="AG92" s="59" t="str">
        <f t="shared" si="6"/>
        <v/>
      </c>
      <c r="AH92" s="59" t="str">
        <f>IF(I92="","",IF(#REF!&gt;0,TRUE,FALSE))</f>
        <v/>
      </c>
      <c r="AI92" s="59">
        <v>82</v>
      </c>
      <c r="AJ92" s="59"/>
      <c r="AK92" s="59" t="str">
        <f t="array" ref="AK92">IFERROR(INDEX($AI$11:$AI$259, MATCH(0, IF(TRUE=$AF$11:$AF$259, COUNTIF($AK$10:$AK91, $AI$11:$AI$259), ""), 0)),"")</f>
        <v/>
      </c>
      <c r="AL92" s="59" t="str">
        <f t="array" ref="AL92">IFERROR(INDEX($AI$11:$AI$259, MATCH(0, IF(TRUE=$AG$11:$AG$259, COUNTIF($AL$10:$AL91, $AI$11:$AI$259), ""), 0)),"")</f>
        <v/>
      </c>
      <c r="AM92" s="59" t="str">
        <f t="array" ref="AM92">IFERROR(INDEX($AI$11:$AI$259, MATCH(0, IF(TRUE=$AH$11:$AH$259, COUNTIF($AM$10:$AM91, $AI$11:$AI$259), ""), 0)),"")</f>
        <v/>
      </c>
      <c r="AN92" s="59"/>
      <c r="AQ92" s="52">
        <f t="shared" si="7"/>
        <v>0</v>
      </c>
    </row>
    <row r="93" spans="1:43" x14ac:dyDescent="0.25">
      <c r="A93" s="52" t="str">
        <f>IFERROR(INDEX('G-1 All Habitats'!$AG$3:$AG$15,MATCH(E93,'G-1 All Habitats'!$AF$3:$AF$15,0)),"")</f>
        <v/>
      </c>
      <c r="B93" s="52" t="str">
        <f>IFERROR(INDEX('G-8 Condition Look up'!$I$4:$I$131,MATCH(G93,'G-8 Condition Look up'!$A$4:$A$131,0)),"")</f>
        <v/>
      </c>
      <c r="D93" s="89">
        <v>83</v>
      </c>
      <c r="E93" s="90"/>
      <c r="F93" s="91"/>
      <c r="G93" s="75" t="str">
        <f>IFERROR(INDEX('G-1 All Habitats'!$B$3:$B$130,MATCH(F93,'G-1 All Habitats'!$A$3:$A$130,0)),"")</f>
        <v/>
      </c>
      <c r="H93" s="76"/>
      <c r="I93" s="77" t="str">
        <f>IF(G93="","",VLOOKUP(G93,'G-1 All Habitats'!$B$2:$M$130,10,FALSE))</f>
        <v/>
      </c>
      <c r="J93" s="78" t="str">
        <f>IFERROR(VLOOKUP(I93,'G-1 All Habitats'!$V$3:$W$7,2,FALSE),"")</f>
        <v/>
      </c>
      <c r="K93" s="79"/>
      <c r="L93" s="78" t="str">
        <f>IFERROR(INDEX('G-8 Condition Look up'!$A$3:$H$131,MATCH(G93,'G-8 Condition Look up'!$A$3:$A$131,0),MATCH(K93,'G-8 Condition Look up'!$A$3:$H$3,0)),"")</f>
        <v/>
      </c>
      <c r="M93" s="79"/>
      <c r="N93" s="348" t="str">
        <f>IF(M93="","",IF(VLOOKUP(M93,'G-3 Multipliers'!$L$3:$N$6,2,FALSE)=0,"Spatial Data Missing",VLOOKUP(M93,'G-3 Multipliers'!$L$3:$N$6,2,FALSE)))</f>
        <v/>
      </c>
      <c r="O93" s="569" t="str">
        <f>IF(M93="","",IF(VLOOKUP(M93,'G-3 Multipliers'!$L$3:$N$6,3,FALSE)=0,"Spatial Data Missing",VLOOKUP(M93,'G-3 Multipliers'!$L$3:$N$6,3,FALSE)))</f>
        <v/>
      </c>
      <c r="P93" s="80" t="str">
        <f>IFERROR(VLOOKUP(G93,'G-1 All Habitats'!$B$2:$M$130,12,FALSE),"")</f>
        <v/>
      </c>
      <c r="Q93" s="81" t="str">
        <f>IFERROR(IF(P93="","",IF(AND(P93='G-1 All Habitats'!$X$3,T93&gt;0),U93+V93,IF(AND(P93='G-1 All Habitats'!$X$3,S93&gt;0),U93+V93,IF(AND(P93='G-1 All Habitats'!$X$3,AC93&gt;0),"Any Loss Unacceptable",IF(AND(P93='G-1 All Habitats'!$X$3,W93&gt;0),"Any Loss Unacceptable",H93*J93*L93*O93))))),"Check Data")</f>
        <v/>
      </c>
      <c r="R93" s="55"/>
      <c r="S93" s="79"/>
      <c r="T93" s="82"/>
      <c r="U93" s="83" t="str">
        <f t="shared" si="8"/>
        <v/>
      </c>
      <c r="V93" s="83" t="str">
        <f t="shared" si="9"/>
        <v/>
      </c>
      <c r="W93" s="83" t="str">
        <f>IF(E93="","",IF(H93&lt;S93+T93,"Error in Areas",IF(P93&lt;&gt;'G-1 All Habitats'!$X$3,H93-S93-T93,IF(AND(P93='G-1 All Habitats'!$X$3,Y93="Yes"),"Unacceptable Loss",IF(AND(P93='G-1 All Habitats'!$X$3,Y93="No"),AC93,IF(AND(P93='G-1 All Habitats'!$X$3,Y93=""),AC93,IF(AND(P93='G-1 All Habitats'!$X$3,AC93="None",AC93),IF(AND(P93='G-1 All Habitats'!$X$3,AC93&gt;0),H93-S93-T93))))))))</f>
        <v/>
      </c>
      <c r="X93" s="84" t="str">
        <f>IFERROR(IF(H93="","",IF(H93-S93-T93=0&lt;0,"Error in Areas",IF(S93+T93&gt;H93,"Error in Areas",IF(AND(P93='G-1 All Habitats'!$X$3,Y93="Yes"),"Alternative Compensation",IF(W93=0,0,IF(P93='G-1 All Habitats'!$X$3,"Unacceptable Loss",Q93-U93-V93)))))),"Check Data")</f>
        <v/>
      </c>
      <c r="Y93" s="82"/>
      <c r="Z93" s="92"/>
      <c r="AA93" s="93"/>
      <c r="AC93" s="87" t="str">
        <f>IF(P93="","",IF(P93='G-1 All Habitats'!$X$3,H93-S93-T93,"None"))</f>
        <v/>
      </c>
      <c r="AD93" s="88" t="str">
        <f>IFERROR(AC93*J93*L93*#REF!*O93,IF(P93="","","None"))</f>
        <v/>
      </c>
      <c r="AF93" s="59" t="str">
        <f t="shared" si="5"/>
        <v/>
      </c>
      <c r="AG93" s="59" t="str">
        <f t="shared" si="6"/>
        <v/>
      </c>
      <c r="AH93" s="59" t="str">
        <f>IF(I93="","",IF(#REF!&gt;0,TRUE,FALSE))</f>
        <v/>
      </c>
      <c r="AI93" s="59">
        <v>83</v>
      </c>
      <c r="AJ93" s="59"/>
      <c r="AK93" s="59" t="str">
        <f t="array" ref="AK93">IFERROR(INDEX($AI$11:$AI$259, MATCH(0, IF(TRUE=$AF$11:$AF$259, COUNTIF($AK$10:$AK92, $AI$11:$AI$259), ""), 0)),"")</f>
        <v/>
      </c>
      <c r="AL93" s="59" t="str">
        <f t="array" ref="AL93">IFERROR(INDEX($AI$11:$AI$259, MATCH(0, IF(TRUE=$AG$11:$AG$259, COUNTIF($AL$10:$AL92, $AI$11:$AI$259), ""), 0)),"")</f>
        <v/>
      </c>
      <c r="AM93" s="59" t="str">
        <f t="array" ref="AM93">IFERROR(INDEX($AI$11:$AI$259, MATCH(0, IF(TRUE=$AH$11:$AH$259, COUNTIF($AM$10:$AM92, $AI$11:$AI$259), ""), 0)),"")</f>
        <v/>
      </c>
      <c r="AN93" s="59"/>
      <c r="AQ93" s="52">
        <f t="shared" si="7"/>
        <v>0</v>
      </c>
    </row>
    <row r="94" spans="1:43" x14ac:dyDescent="0.25">
      <c r="A94" s="52" t="str">
        <f>IFERROR(INDEX('G-1 All Habitats'!$AG$3:$AG$15,MATCH(E94,'G-1 All Habitats'!$AF$3:$AF$15,0)),"")</f>
        <v/>
      </c>
      <c r="B94" s="52" t="str">
        <f>IFERROR(INDEX('G-8 Condition Look up'!$I$4:$I$131,MATCH(G94,'G-8 Condition Look up'!$A$4:$A$131,0)),"")</f>
        <v/>
      </c>
      <c r="D94" s="89">
        <v>84</v>
      </c>
      <c r="E94" s="90"/>
      <c r="F94" s="91"/>
      <c r="G94" s="75" t="str">
        <f>IFERROR(INDEX('G-1 All Habitats'!$B$3:$B$130,MATCH(F94,'G-1 All Habitats'!$A$3:$A$130,0)),"")</f>
        <v/>
      </c>
      <c r="H94" s="76"/>
      <c r="I94" s="77" t="str">
        <f>IF(G94="","",VLOOKUP(G94,'G-1 All Habitats'!$B$2:$M$130,10,FALSE))</f>
        <v/>
      </c>
      <c r="J94" s="78" t="str">
        <f>IFERROR(VLOOKUP(I94,'G-1 All Habitats'!$V$3:$W$7,2,FALSE),"")</f>
        <v/>
      </c>
      <c r="K94" s="79"/>
      <c r="L94" s="78" t="str">
        <f>IFERROR(INDEX('G-8 Condition Look up'!$A$3:$H$131,MATCH(G94,'G-8 Condition Look up'!$A$3:$A$131,0),MATCH(K94,'G-8 Condition Look up'!$A$3:$H$3,0)),"")</f>
        <v/>
      </c>
      <c r="M94" s="79"/>
      <c r="N94" s="348" t="str">
        <f>IF(M94="","",IF(VLOOKUP(M94,'G-3 Multipliers'!$L$3:$N$6,2,FALSE)=0,"Spatial Data Missing",VLOOKUP(M94,'G-3 Multipliers'!$L$3:$N$6,2,FALSE)))</f>
        <v/>
      </c>
      <c r="O94" s="569" t="str">
        <f>IF(M94="","",IF(VLOOKUP(M94,'G-3 Multipliers'!$L$3:$N$6,3,FALSE)=0,"Spatial Data Missing",VLOOKUP(M94,'G-3 Multipliers'!$L$3:$N$6,3,FALSE)))</f>
        <v/>
      </c>
      <c r="P94" s="80" t="str">
        <f>IFERROR(VLOOKUP(G94,'G-1 All Habitats'!$B$2:$M$130,12,FALSE),"")</f>
        <v/>
      </c>
      <c r="Q94" s="81" t="str">
        <f>IFERROR(IF(P94="","",IF(AND(P94='G-1 All Habitats'!$X$3,T94&gt;0),U94+V94,IF(AND(P94='G-1 All Habitats'!$X$3,S94&gt;0),U94+V94,IF(AND(P94='G-1 All Habitats'!$X$3,AC94&gt;0),"Any Loss Unacceptable",IF(AND(P94='G-1 All Habitats'!$X$3,W94&gt;0),"Any Loss Unacceptable",H94*J94*L94*O94))))),"Check Data")</f>
        <v/>
      </c>
      <c r="R94" s="55"/>
      <c r="S94" s="79"/>
      <c r="T94" s="82"/>
      <c r="U94" s="83" t="str">
        <f t="shared" si="8"/>
        <v/>
      </c>
      <c r="V94" s="83" t="str">
        <f t="shared" si="9"/>
        <v/>
      </c>
      <c r="W94" s="83" t="str">
        <f>IF(E94="","",IF(H94&lt;S94+T94,"Error in Areas",IF(P94&lt;&gt;'G-1 All Habitats'!$X$3,H94-S94-T94,IF(AND(P94='G-1 All Habitats'!$X$3,Y94="Yes"),"Unacceptable Loss",IF(AND(P94='G-1 All Habitats'!$X$3,Y94="No"),AC94,IF(AND(P94='G-1 All Habitats'!$X$3,Y94=""),AC94,IF(AND(P94='G-1 All Habitats'!$X$3,AC94="None",AC94),IF(AND(P94='G-1 All Habitats'!$X$3,AC94&gt;0),H94-S94-T94))))))))</f>
        <v/>
      </c>
      <c r="X94" s="84" t="str">
        <f>IFERROR(IF(H94="","",IF(H94-S94-T94=0&lt;0,"Error in Areas",IF(S94+T94&gt;H94,"Error in Areas",IF(AND(P94='G-1 All Habitats'!$X$3,Y94="Yes"),"Alternative Compensation",IF(W94=0,0,IF(P94='G-1 All Habitats'!$X$3,"Unacceptable Loss",Q94-U94-V94)))))),"Check Data")</f>
        <v/>
      </c>
      <c r="Y94" s="82"/>
      <c r="Z94" s="92"/>
      <c r="AA94" s="93"/>
      <c r="AC94" s="87" t="str">
        <f>IF(P94="","",IF(P94='G-1 All Habitats'!$X$3,H94-S94-T94,"None"))</f>
        <v/>
      </c>
      <c r="AD94" s="88" t="str">
        <f>IFERROR(AC94*J94*L94*#REF!*O94,IF(P94="","","None"))</f>
        <v/>
      </c>
      <c r="AF94" s="59" t="str">
        <f t="shared" si="5"/>
        <v/>
      </c>
      <c r="AG94" s="59" t="str">
        <f t="shared" si="6"/>
        <v/>
      </c>
      <c r="AH94" s="59" t="str">
        <f>IF(I94="","",IF(#REF!&gt;0,TRUE,FALSE))</f>
        <v/>
      </c>
      <c r="AI94" s="59">
        <v>84</v>
      </c>
      <c r="AJ94" s="59"/>
      <c r="AK94" s="59" t="str">
        <f t="array" ref="AK94">IFERROR(INDEX($AI$11:$AI$259, MATCH(0, IF(TRUE=$AF$11:$AF$259, COUNTIF($AK$10:$AK93, $AI$11:$AI$259), ""), 0)),"")</f>
        <v/>
      </c>
      <c r="AL94" s="59" t="str">
        <f t="array" ref="AL94">IFERROR(INDEX($AI$11:$AI$259, MATCH(0, IF(TRUE=$AG$11:$AG$259, COUNTIF($AL$10:$AL93, $AI$11:$AI$259), ""), 0)),"")</f>
        <v/>
      </c>
      <c r="AM94" s="59" t="str">
        <f t="array" ref="AM94">IFERROR(INDEX($AI$11:$AI$259, MATCH(0, IF(TRUE=$AH$11:$AH$259, COUNTIF($AM$10:$AM93, $AI$11:$AI$259), ""), 0)),"")</f>
        <v/>
      </c>
      <c r="AN94" s="59"/>
      <c r="AQ94" s="52">
        <f t="shared" si="7"/>
        <v>0</v>
      </c>
    </row>
    <row r="95" spans="1:43" x14ac:dyDescent="0.25">
      <c r="A95" s="52" t="str">
        <f>IFERROR(INDEX('G-1 All Habitats'!$AG$3:$AG$15,MATCH(E95,'G-1 All Habitats'!$AF$3:$AF$15,0)),"")</f>
        <v/>
      </c>
      <c r="B95" s="52" t="str">
        <f>IFERROR(INDEX('G-8 Condition Look up'!$I$4:$I$131,MATCH(G95,'G-8 Condition Look up'!$A$4:$A$131,0)),"")</f>
        <v/>
      </c>
      <c r="D95" s="89">
        <v>85</v>
      </c>
      <c r="E95" s="90"/>
      <c r="F95" s="91"/>
      <c r="G95" s="75" t="str">
        <f>IFERROR(INDEX('G-1 All Habitats'!$B$3:$B$130,MATCH(F95,'G-1 All Habitats'!$A$3:$A$130,0)),"")</f>
        <v/>
      </c>
      <c r="H95" s="76"/>
      <c r="I95" s="77" t="str">
        <f>IF(G95="","",VLOOKUP(G95,'G-1 All Habitats'!$B$2:$M$130,10,FALSE))</f>
        <v/>
      </c>
      <c r="J95" s="78" t="str">
        <f>IFERROR(VLOOKUP(I95,'G-1 All Habitats'!$V$3:$W$7,2,FALSE),"")</f>
        <v/>
      </c>
      <c r="K95" s="79"/>
      <c r="L95" s="78" t="str">
        <f>IFERROR(INDEX('G-8 Condition Look up'!$A$3:$H$131,MATCH(G95,'G-8 Condition Look up'!$A$3:$A$131,0),MATCH(K95,'G-8 Condition Look up'!$A$3:$H$3,0)),"")</f>
        <v/>
      </c>
      <c r="M95" s="79"/>
      <c r="N95" s="348" t="str">
        <f>IF(M95="","",IF(VLOOKUP(M95,'G-3 Multipliers'!$L$3:$N$6,2,FALSE)=0,"Spatial Data Missing",VLOOKUP(M95,'G-3 Multipliers'!$L$3:$N$6,2,FALSE)))</f>
        <v/>
      </c>
      <c r="O95" s="569" t="str">
        <f>IF(M95="","",IF(VLOOKUP(M95,'G-3 Multipliers'!$L$3:$N$6,3,FALSE)=0,"Spatial Data Missing",VLOOKUP(M95,'G-3 Multipliers'!$L$3:$N$6,3,FALSE)))</f>
        <v/>
      </c>
      <c r="P95" s="80" t="str">
        <f>IFERROR(VLOOKUP(G95,'G-1 All Habitats'!$B$2:$M$130,12,FALSE),"")</f>
        <v/>
      </c>
      <c r="Q95" s="81" t="str">
        <f>IFERROR(IF(P95="","",IF(AND(P95='G-1 All Habitats'!$X$3,T95&gt;0),U95+V95,IF(AND(P95='G-1 All Habitats'!$X$3,S95&gt;0),U95+V95,IF(AND(P95='G-1 All Habitats'!$X$3,AC95&gt;0),"Any Loss Unacceptable",IF(AND(P95='G-1 All Habitats'!$X$3,W95&gt;0),"Any Loss Unacceptable",H95*J95*L95*O95))))),"Check Data")</f>
        <v/>
      </c>
      <c r="R95" s="55"/>
      <c r="S95" s="79"/>
      <c r="T95" s="82"/>
      <c r="U95" s="83" t="str">
        <f t="shared" si="8"/>
        <v/>
      </c>
      <c r="V95" s="83" t="str">
        <f t="shared" si="9"/>
        <v/>
      </c>
      <c r="W95" s="83" t="str">
        <f>IF(E95="","",IF(H95&lt;S95+T95,"Error in Areas",IF(P95&lt;&gt;'G-1 All Habitats'!$X$3,H95-S95-T95,IF(AND(P95='G-1 All Habitats'!$X$3,Y95="Yes"),"Unacceptable Loss",IF(AND(P95='G-1 All Habitats'!$X$3,Y95="No"),AC95,IF(AND(P95='G-1 All Habitats'!$X$3,Y95=""),AC95,IF(AND(P95='G-1 All Habitats'!$X$3,AC95="None",AC95),IF(AND(P95='G-1 All Habitats'!$X$3,AC95&gt;0),H95-S95-T95))))))))</f>
        <v/>
      </c>
      <c r="X95" s="84" t="str">
        <f>IFERROR(IF(H95="","",IF(H95-S95-T95=0&lt;0,"Error in Areas",IF(S95+T95&gt;H95,"Error in Areas",IF(AND(P95='G-1 All Habitats'!$X$3,Y95="Yes"),"Alternative Compensation",IF(W95=0,0,IF(P95='G-1 All Habitats'!$X$3,"Unacceptable Loss",Q95-U95-V95)))))),"Check Data")</f>
        <v/>
      </c>
      <c r="Y95" s="82"/>
      <c r="Z95" s="92"/>
      <c r="AA95" s="93"/>
      <c r="AC95" s="87" t="str">
        <f>IF(P95="","",IF(P95='G-1 All Habitats'!$X$3,H95-S95-T95,"None"))</f>
        <v/>
      </c>
      <c r="AD95" s="88" t="str">
        <f>IFERROR(AC95*J95*L95*#REF!*O95,IF(P95="","","None"))</f>
        <v/>
      </c>
      <c r="AF95" s="59" t="str">
        <f t="shared" si="5"/>
        <v/>
      </c>
      <c r="AG95" s="59" t="str">
        <f t="shared" si="6"/>
        <v/>
      </c>
      <c r="AH95" s="59" t="str">
        <f>IF(I95="","",IF(#REF!&gt;0,TRUE,FALSE))</f>
        <v/>
      </c>
      <c r="AI95" s="59">
        <v>85</v>
      </c>
      <c r="AJ95" s="59"/>
      <c r="AK95" s="59" t="str">
        <f t="array" ref="AK95">IFERROR(INDEX($AI$11:$AI$259, MATCH(0, IF(TRUE=$AF$11:$AF$259, COUNTIF($AK$10:$AK94, $AI$11:$AI$259), ""), 0)),"")</f>
        <v/>
      </c>
      <c r="AL95" s="59" t="str">
        <f t="array" ref="AL95">IFERROR(INDEX($AI$11:$AI$259, MATCH(0, IF(TRUE=$AG$11:$AG$259, COUNTIF($AL$10:$AL94, $AI$11:$AI$259), ""), 0)),"")</f>
        <v/>
      </c>
      <c r="AM95" s="59" t="str">
        <f t="array" ref="AM95">IFERROR(INDEX($AI$11:$AI$259, MATCH(0, IF(TRUE=$AH$11:$AH$259, COUNTIF($AM$10:$AM94, $AI$11:$AI$259), ""), 0)),"")</f>
        <v/>
      </c>
      <c r="AN95" s="59"/>
      <c r="AQ95" s="52">
        <f t="shared" si="7"/>
        <v>0</v>
      </c>
    </row>
    <row r="96" spans="1:43" x14ac:dyDescent="0.25">
      <c r="A96" s="52" t="str">
        <f>IFERROR(INDEX('G-1 All Habitats'!$AG$3:$AG$15,MATCH(E96,'G-1 All Habitats'!$AF$3:$AF$15,0)),"")</f>
        <v/>
      </c>
      <c r="B96" s="52" t="str">
        <f>IFERROR(INDEX('G-8 Condition Look up'!$I$4:$I$131,MATCH(G96,'G-8 Condition Look up'!$A$4:$A$131,0)),"")</f>
        <v/>
      </c>
      <c r="D96" s="89">
        <v>86</v>
      </c>
      <c r="E96" s="90"/>
      <c r="F96" s="91"/>
      <c r="G96" s="75" t="str">
        <f>IFERROR(INDEX('G-1 All Habitats'!$B$3:$B$130,MATCH(F96,'G-1 All Habitats'!$A$3:$A$130,0)),"")</f>
        <v/>
      </c>
      <c r="H96" s="76"/>
      <c r="I96" s="77" t="str">
        <f>IF(G96="","",VLOOKUP(G96,'G-1 All Habitats'!$B$2:$M$130,10,FALSE))</f>
        <v/>
      </c>
      <c r="J96" s="78" t="str">
        <f>IFERROR(VLOOKUP(I96,'G-1 All Habitats'!$V$3:$W$7,2,FALSE),"")</f>
        <v/>
      </c>
      <c r="K96" s="79"/>
      <c r="L96" s="78" t="str">
        <f>IFERROR(INDEX('G-8 Condition Look up'!$A$3:$H$131,MATCH(G96,'G-8 Condition Look up'!$A$3:$A$131,0),MATCH(K96,'G-8 Condition Look up'!$A$3:$H$3,0)),"")</f>
        <v/>
      </c>
      <c r="M96" s="79"/>
      <c r="N96" s="348" t="str">
        <f>IF(M96="","",IF(VLOOKUP(M96,'G-3 Multipliers'!$L$3:$N$6,2,FALSE)=0,"Spatial Data Missing",VLOOKUP(M96,'G-3 Multipliers'!$L$3:$N$6,2,FALSE)))</f>
        <v/>
      </c>
      <c r="O96" s="569" t="str">
        <f>IF(M96="","",IF(VLOOKUP(M96,'G-3 Multipliers'!$L$3:$N$6,3,FALSE)=0,"Spatial Data Missing",VLOOKUP(M96,'G-3 Multipliers'!$L$3:$N$6,3,FALSE)))</f>
        <v/>
      </c>
      <c r="P96" s="80" t="str">
        <f>IFERROR(VLOOKUP(G96,'G-1 All Habitats'!$B$2:$M$130,12,FALSE),"")</f>
        <v/>
      </c>
      <c r="Q96" s="81" t="str">
        <f>IFERROR(IF(P96="","",IF(AND(P96='G-1 All Habitats'!$X$3,T96&gt;0),U96+V96,IF(AND(P96='G-1 All Habitats'!$X$3,S96&gt;0),U96+V96,IF(AND(P96='G-1 All Habitats'!$X$3,AC96&gt;0),"Any Loss Unacceptable",IF(AND(P96='G-1 All Habitats'!$X$3,W96&gt;0),"Any Loss Unacceptable",H96*J96*L96*O96))))),"Check Data")</f>
        <v/>
      </c>
      <c r="R96" s="55"/>
      <c r="S96" s="79"/>
      <c r="T96" s="82"/>
      <c r="U96" s="83" t="str">
        <f t="shared" si="8"/>
        <v/>
      </c>
      <c r="V96" s="83" t="str">
        <f t="shared" si="9"/>
        <v/>
      </c>
      <c r="W96" s="83" t="str">
        <f>IF(E96="","",IF(H96&lt;S96+T96,"Error in Areas",IF(P96&lt;&gt;'G-1 All Habitats'!$X$3,H96-S96-T96,IF(AND(P96='G-1 All Habitats'!$X$3,Y96="Yes"),"Unacceptable Loss",IF(AND(P96='G-1 All Habitats'!$X$3,Y96="No"),AC96,IF(AND(P96='G-1 All Habitats'!$X$3,Y96=""),AC96,IF(AND(P96='G-1 All Habitats'!$X$3,AC96="None",AC96),IF(AND(P96='G-1 All Habitats'!$X$3,AC96&gt;0),H96-S96-T96))))))))</f>
        <v/>
      </c>
      <c r="X96" s="84" t="str">
        <f>IFERROR(IF(H96="","",IF(H96-S96-T96=0&lt;0,"Error in Areas",IF(S96+T96&gt;H96,"Error in Areas",IF(AND(P96='G-1 All Habitats'!$X$3,Y96="Yes"),"Alternative Compensation",IF(W96=0,0,IF(P96='G-1 All Habitats'!$X$3,"Unacceptable Loss",Q96-U96-V96)))))),"Check Data")</f>
        <v/>
      </c>
      <c r="Y96" s="82"/>
      <c r="Z96" s="92"/>
      <c r="AA96" s="93"/>
      <c r="AC96" s="87" t="str">
        <f>IF(P96="","",IF(P96='G-1 All Habitats'!$X$3,H96-S96-T96,"None"))</f>
        <v/>
      </c>
      <c r="AD96" s="88" t="str">
        <f>IFERROR(AC96*J96*L96*#REF!*O96,IF(P96="","","None"))</f>
        <v/>
      </c>
      <c r="AF96" s="59" t="str">
        <f t="shared" si="5"/>
        <v/>
      </c>
      <c r="AG96" s="59" t="str">
        <f t="shared" si="6"/>
        <v/>
      </c>
      <c r="AH96" s="59" t="str">
        <f>IF(I96="","",IF(#REF!&gt;0,TRUE,FALSE))</f>
        <v/>
      </c>
      <c r="AI96" s="59">
        <v>86</v>
      </c>
      <c r="AJ96" s="59"/>
      <c r="AK96" s="59" t="str">
        <f t="array" ref="AK96">IFERROR(INDEX($AI$11:$AI$259, MATCH(0, IF(TRUE=$AF$11:$AF$259, COUNTIF($AK$10:$AK95, $AI$11:$AI$259), ""), 0)),"")</f>
        <v/>
      </c>
      <c r="AL96" s="59" t="str">
        <f t="array" ref="AL96">IFERROR(INDEX($AI$11:$AI$259, MATCH(0, IF(TRUE=$AG$11:$AG$259, COUNTIF($AL$10:$AL95, $AI$11:$AI$259), ""), 0)),"")</f>
        <v/>
      </c>
      <c r="AM96" s="59" t="str">
        <f t="array" ref="AM96">IFERROR(INDEX($AI$11:$AI$259, MATCH(0, IF(TRUE=$AH$11:$AH$259, COUNTIF($AM$10:$AM95, $AI$11:$AI$259), ""), 0)),"")</f>
        <v/>
      </c>
      <c r="AN96" s="59"/>
      <c r="AQ96" s="52">
        <f t="shared" si="7"/>
        <v>0</v>
      </c>
    </row>
    <row r="97" spans="1:43" x14ac:dyDescent="0.25">
      <c r="A97" s="52" t="str">
        <f>IFERROR(INDEX('G-1 All Habitats'!$AG$3:$AG$15,MATCH(E97,'G-1 All Habitats'!$AF$3:$AF$15,0)),"")</f>
        <v/>
      </c>
      <c r="B97" s="52" t="str">
        <f>IFERROR(INDEX('G-8 Condition Look up'!$I$4:$I$131,MATCH(G97,'G-8 Condition Look up'!$A$4:$A$131,0)),"")</f>
        <v/>
      </c>
      <c r="D97" s="89">
        <v>87</v>
      </c>
      <c r="E97" s="90"/>
      <c r="F97" s="91"/>
      <c r="G97" s="75" t="str">
        <f>IFERROR(INDEX('G-1 All Habitats'!$B$3:$B$130,MATCH(F97,'G-1 All Habitats'!$A$3:$A$130,0)),"")</f>
        <v/>
      </c>
      <c r="H97" s="76"/>
      <c r="I97" s="77" t="str">
        <f>IF(G97="","",VLOOKUP(G97,'G-1 All Habitats'!$B$2:$M$130,10,FALSE))</f>
        <v/>
      </c>
      <c r="J97" s="78" t="str">
        <f>IFERROR(VLOOKUP(I97,'G-1 All Habitats'!$V$3:$W$7,2,FALSE),"")</f>
        <v/>
      </c>
      <c r="K97" s="79"/>
      <c r="L97" s="78" t="str">
        <f>IFERROR(INDEX('G-8 Condition Look up'!$A$3:$H$131,MATCH(G97,'G-8 Condition Look up'!$A$3:$A$131,0),MATCH(K97,'G-8 Condition Look up'!$A$3:$H$3,0)),"")</f>
        <v/>
      </c>
      <c r="M97" s="79"/>
      <c r="N97" s="348" t="str">
        <f>IF(M97="","",IF(VLOOKUP(M97,'G-3 Multipliers'!$L$3:$N$6,2,FALSE)=0,"Spatial Data Missing",VLOOKUP(M97,'G-3 Multipliers'!$L$3:$N$6,2,FALSE)))</f>
        <v/>
      </c>
      <c r="O97" s="569" t="str">
        <f>IF(M97="","",IF(VLOOKUP(M97,'G-3 Multipliers'!$L$3:$N$6,3,FALSE)=0,"Spatial Data Missing",VLOOKUP(M97,'G-3 Multipliers'!$L$3:$N$6,3,FALSE)))</f>
        <v/>
      </c>
      <c r="P97" s="80" t="str">
        <f>IFERROR(VLOOKUP(G97,'G-1 All Habitats'!$B$2:$M$130,12,FALSE),"")</f>
        <v/>
      </c>
      <c r="Q97" s="81" t="str">
        <f>IFERROR(IF(P97="","",IF(AND(P97='G-1 All Habitats'!$X$3,T97&gt;0),U97+V97,IF(AND(P97='G-1 All Habitats'!$X$3,S97&gt;0),U97+V97,IF(AND(P97='G-1 All Habitats'!$X$3,AC97&gt;0),"Any Loss Unacceptable",IF(AND(P97='G-1 All Habitats'!$X$3,W97&gt;0),"Any Loss Unacceptable",H97*J97*L97*O97))))),"Check Data")</f>
        <v/>
      </c>
      <c r="R97" s="55"/>
      <c r="S97" s="79"/>
      <c r="T97" s="82"/>
      <c r="U97" s="83" t="str">
        <f t="shared" si="8"/>
        <v/>
      </c>
      <c r="V97" s="83" t="str">
        <f t="shared" si="9"/>
        <v/>
      </c>
      <c r="W97" s="83" t="str">
        <f>IF(E97="","",IF(H97&lt;S97+T97,"Error in Areas",IF(P97&lt;&gt;'G-1 All Habitats'!$X$3,H97-S97-T97,IF(AND(P97='G-1 All Habitats'!$X$3,Y97="Yes"),"Unacceptable Loss",IF(AND(P97='G-1 All Habitats'!$X$3,Y97="No"),AC97,IF(AND(P97='G-1 All Habitats'!$X$3,Y97=""),AC97,IF(AND(P97='G-1 All Habitats'!$X$3,AC97="None",AC97),IF(AND(P97='G-1 All Habitats'!$X$3,AC97&gt;0),H97-S97-T97))))))))</f>
        <v/>
      </c>
      <c r="X97" s="84" t="str">
        <f>IFERROR(IF(H97="","",IF(H97-S97-T97=0&lt;0,"Error in Areas",IF(S97+T97&gt;H97,"Error in Areas",IF(AND(P97='G-1 All Habitats'!$X$3,Y97="Yes"),"Alternative Compensation",IF(W97=0,0,IF(P97='G-1 All Habitats'!$X$3,"Unacceptable Loss",Q97-U97-V97)))))),"Check Data")</f>
        <v/>
      </c>
      <c r="Y97" s="82"/>
      <c r="Z97" s="92"/>
      <c r="AA97" s="93"/>
      <c r="AC97" s="87" t="str">
        <f>IF(P97="","",IF(P97='G-1 All Habitats'!$X$3,H97-S97-T97,"None"))</f>
        <v/>
      </c>
      <c r="AD97" s="88" t="str">
        <f>IFERROR(AC97*J97*L97*#REF!*O97,IF(P97="","","None"))</f>
        <v/>
      </c>
      <c r="AF97" s="59" t="str">
        <f t="shared" si="5"/>
        <v/>
      </c>
      <c r="AG97" s="59" t="str">
        <f t="shared" si="6"/>
        <v/>
      </c>
      <c r="AH97" s="59" t="str">
        <f>IF(I97="","",IF(#REF!&gt;0,TRUE,FALSE))</f>
        <v/>
      </c>
      <c r="AI97" s="59">
        <v>87</v>
      </c>
      <c r="AJ97" s="59"/>
      <c r="AK97" s="59" t="str">
        <f t="array" ref="AK97">IFERROR(INDEX($AI$11:$AI$259, MATCH(0, IF(TRUE=$AF$11:$AF$259, COUNTIF($AK$10:$AK96, $AI$11:$AI$259), ""), 0)),"")</f>
        <v/>
      </c>
      <c r="AL97" s="59" t="str">
        <f t="array" ref="AL97">IFERROR(INDEX($AI$11:$AI$259, MATCH(0, IF(TRUE=$AG$11:$AG$259, COUNTIF($AL$10:$AL96, $AI$11:$AI$259), ""), 0)),"")</f>
        <v/>
      </c>
      <c r="AM97" s="59" t="str">
        <f t="array" ref="AM97">IFERROR(INDEX($AI$11:$AI$259, MATCH(0, IF(TRUE=$AH$11:$AH$259, COUNTIF($AM$10:$AM96, $AI$11:$AI$259), ""), 0)),"")</f>
        <v/>
      </c>
      <c r="AN97" s="59"/>
      <c r="AQ97" s="52">
        <f t="shared" si="7"/>
        <v>0</v>
      </c>
    </row>
    <row r="98" spans="1:43" x14ac:dyDescent="0.25">
      <c r="A98" s="52" t="str">
        <f>IFERROR(INDEX('G-1 All Habitats'!$AG$3:$AG$15,MATCH(E98,'G-1 All Habitats'!$AF$3:$AF$15,0)),"")</f>
        <v/>
      </c>
      <c r="B98" s="52" t="str">
        <f>IFERROR(INDEX('G-8 Condition Look up'!$I$4:$I$131,MATCH(G98,'G-8 Condition Look up'!$A$4:$A$131,0)),"")</f>
        <v/>
      </c>
      <c r="D98" s="89">
        <v>88</v>
      </c>
      <c r="E98" s="90"/>
      <c r="F98" s="91"/>
      <c r="G98" s="75" t="str">
        <f>IFERROR(INDEX('G-1 All Habitats'!$B$3:$B$130,MATCH(F98,'G-1 All Habitats'!$A$3:$A$130,0)),"")</f>
        <v/>
      </c>
      <c r="H98" s="76"/>
      <c r="I98" s="77" t="str">
        <f>IF(G98="","",VLOOKUP(G98,'G-1 All Habitats'!$B$2:$M$130,10,FALSE))</f>
        <v/>
      </c>
      <c r="J98" s="78" t="str">
        <f>IFERROR(VLOOKUP(I98,'G-1 All Habitats'!$V$3:$W$7,2,FALSE),"")</f>
        <v/>
      </c>
      <c r="K98" s="79"/>
      <c r="L98" s="78" t="str">
        <f>IFERROR(INDEX('G-8 Condition Look up'!$A$3:$H$131,MATCH(G98,'G-8 Condition Look up'!$A$3:$A$131,0),MATCH(K98,'G-8 Condition Look up'!$A$3:$H$3,0)),"")</f>
        <v/>
      </c>
      <c r="M98" s="79"/>
      <c r="N98" s="348" t="str">
        <f>IF(M98="","",IF(VLOOKUP(M98,'G-3 Multipliers'!$L$3:$N$6,2,FALSE)=0,"Spatial Data Missing",VLOOKUP(M98,'G-3 Multipliers'!$L$3:$N$6,2,FALSE)))</f>
        <v/>
      </c>
      <c r="O98" s="569" t="str">
        <f>IF(M98="","",IF(VLOOKUP(M98,'G-3 Multipliers'!$L$3:$N$6,3,FALSE)=0,"Spatial Data Missing",VLOOKUP(M98,'G-3 Multipliers'!$L$3:$N$6,3,FALSE)))</f>
        <v/>
      </c>
      <c r="P98" s="80" t="str">
        <f>IFERROR(VLOOKUP(G98,'G-1 All Habitats'!$B$2:$M$130,12,FALSE),"")</f>
        <v/>
      </c>
      <c r="Q98" s="81" t="str">
        <f>IFERROR(IF(P98="","",IF(AND(P98='G-1 All Habitats'!$X$3,T98&gt;0),U98+V98,IF(AND(P98='G-1 All Habitats'!$X$3,S98&gt;0),U98+V98,IF(AND(P98='G-1 All Habitats'!$X$3,AC98&gt;0),"Any Loss Unacceptable",IF(AND(P98='G-1 All Habitats'!$X$3,W98&gt;0),"Any Loss Unacceptable",H98*J98*L98*O98))))),"Check Data")</f>
        <v/>
      </c>
      <c r="R98" s="55"/>
      <c r="S98" s="79"/>
      <c r="T98" s="82"/>
      <c r="U98" s="83" t="str">
        <f t="shared" si="8"/>
        <v/>
      </c>
      <c r="V98" s="83" t="str">
        <f t="shared" si="9"/>
        <v/>
      </c>
      <c r="W98" s="83" t="str">
        <f>IF(E98="","",IF(H98&lt;S98+T98,"Error in Areas",IF(P98&lt;&gt;'G-1 All Habitats'!$X$3,H98-S98-T98,IF(AND(P98='G-1 All Habitats'!$X$3,Y98="Yes"),"Unacceptable Loss",IF(AND(P98='G-1 All Habitats'!$X$3,Y98="No"),AC98,IF(AND(P98='G-1 All Habitats'!$X$3,Y98=""),AC98,IF(AND(P98='G-1 All Habitats'!$X$3,AC98="None",AC98),IF(AND(P98='G-1 All Habitats'!$X$3,AC98&gt;0),H98-S98-T98))))))))</f>
        <v/>
      </c>
      <c r="X98" s="84" t="str">
        <f>IFERROR(IF(H98="","",IF(H98-S98-T98=0&lt;0,"Error in Areas",IF(S98+T98&gt;H98,"Error in Areas",IF(AND(P98='G-1 All Habitats'!$X$3,Y98="Yes"),"Alternative Compensation",IF(W98=0,0,IF(P98='G-1 All Habitats'!$X$3,"Unacceptable Loss",Q98-U98-V98)))))),"Check Data")</f>
        <v/>
      </c>
      <c r="Y98" s="82"/>
      <c r="Z98" s="92"/>
      <c r="AA98" s="93"/>
      <c r="AC98" s="87" t="str">
        <f>IF(P98="","",IF(P98='G-1 All Habitats'!$X$3,H98-S98-T98,"None"))</f>
        <v/>
      </c>
      <c r="AD98" s="88" t="str">
        <f>IFERROR(AC98*J98*L98*#REF!*O98,IF(P98="","","None"))</f>
        <v/>
      </c>
      <c r="AF98" s="59" t="str">
        <f t="shared" si="5"/>
        <v/>
      </c>
      <c r="AG98" s="59" t="str">
        <f t="shared" si="6"/>
        <v/>
      </c>
      <c r="AH98" s="59" t="str">
        <f>IF(I98="","",IF(#REF!&gt;0,TRUE,FALSE))</f>
        <v/>
      </c>
      <c r="AI98" s="59">
        <v>88</v>
      </c>
      <c r="AJ98" s="59"/>
      <c r="AK98" s="59" t="str">
        <f t="array" ref="AK98">IFERROR(INDEX($AI$11:$AI$259, MATCH(0, IF(TRUE=$AF$11:$AF$259, COUNTIF($AK$10:$AK97, $AI$11:$AI$259), ""), 0)),"")</f>
        <v/>
      </c>
      <c r="AL98" s="59" t="str">
        <f t="array" ref="AL98">IFERROR(INDEX($AI$11:$AI$259, MATCH(0, IF(TRUE=$AG$11:$AG$259, COUNTIF($AL$10:$AL97, $AI$11:$AI$259), ""), 0)),"")</f>
        <v/>
      </c>
      <c r="AM98" s="59" t="str">
        <f t="array" ref="AM98">IFERROR(INDEX($AI$11:$AI$259, MATCH(0, IF(TRUE=$AH$11:$AH$259, COUNTIF($AM$10:$AM97, $AI$11:$AI$259), ""), 0)),"")</f>
        <v/>
      </c>
      <c r="AN98" s="59"/>
      <c r="AQ98" s="52">
        <f t="shared" si="7"/>
        <v>0</v>
      </c>
    </row>
    <row r="99" spans="1:43" x14ac:dyDescent="0.25">
      <c r="A99" s="52" t="str">
        <f>IFERROR(INDEX('G-1 All Habitats'!$AG$3:$AG$15,MATCH(E99,'G-1 All Habitats'!$AF$3:$AF$15,0)),"")</f>
        <v/>
      </c>
      <c r="B99" s="52" t="str">
        <f>IFERROR(INDEX('G-8 Condition Look up'!$I$4:$I$131,MATCH(G99,'G-8 Condition Look up'!$A$4:$A$131,0)),"")</f>
        <v/>
      </c>
      <c r="D99" s="89">
        <v>89</v>
      </c>
      <c r="E99" s="90"/>
      <c r="F99" s="91"/>
      <c r="G99" s="75" t="str">
        <f>IFERROR(INDEX('G-1 All Habitats'!$B$3:$B$130,MATCH(F99,'G-1 All Habitats'!$A$3:$A$130,0)),"")</f>
        <v/>
      </c>
      <c r="H99" s="76"/>
      <c r="I99" s="77" t="str">
        <f>IF(G99="","",VLOOKUP(G99,'G-1 All Habitats'!$B$2:$M$130,10,FALSE))</f>
        <v/>
      </c>
      <c r="J99" s="78" t="str">
        <f>IFERROR(VLOOKUP(I99,'G-1 All Habitats'!$V$3:$W$7,2,FALSE),"")</f>
        <v/>
      </c>
      <c r="K99" s="79"/>
      <c r="L99" s="78" t="str">
        <f>IFERROR(INDEX('G-8 Condition Look up'!$A$3:$H$131,MATCH(G99,'G-8 Condition Look up'!$A$3:$A$131,0),MATCH(K99,'G-8 Condition Look up'!$A$3:$H$3,0)),"")</f>
        <v/>
      </c>
      <c r="M99" s="79"/>
      <c r="N99" s="348" t="str">
        <f>IF(M99="","",IF(VLOOKUP(M99,'G-3 Multipliers'!$L$3:$N$6,2,FALSE)=0,"Spatial Data Missing",VLOOKUP(M99,'G-3 Multipliers'!$L$3:$N$6,2,FALSE)))</f>
        <v/>
      </c>
      <c r="O99" s="569" t="str">
        <f>IF(M99="","",IF(VLOOKUP(M99,'G-3 Multipliers'!$L$3:$N$6,3,FALSE)=0,"Spatial Data Missing",VLOOKUP(M99,'G-3 Multipliers'!$L$3:$N$6,3,FALSE)))</f>
        <v/>
      </c>
      <c r="P99" s="80" t="str">
        <f>IFERROR(VLOOKUP(G99,'G-1 All Habitats'!$B$2:$M$130,12,FALSE),"")</f>
        <v/>
      </c>
      <c r="Q99" s="81" t="str">
        <f>IFERROR(IF(P99="","",IF(AND(P99='G-1 All Habitats'!$X$3,T99&gt;0),U99+V99,IF(AND(P99='G-1 All Habitats'!$X$3,S99&gt;0),U99+V99,IF(AND(P99='G-1 All Habitats'!$X$3,AC99&gt;0),"Any Loss Unacceptable",IF(AND(P99='G-1 All Habitats'!$X$3,W99&gt;0),"Any Loss Unacceptable",H99*J99*L99*O99))))),"Check Data")</f>
        <v/>
      </c>
      <c r="R99" s="55"/>
      <c r="S99" s="79"/>
      <c r="T99" s="82"/>
      <c r="U99" s="83" t="str">
        <f t="shared" si="8"/>
        <v/>
      </c>
      <c r="V99" s="83" t="str">
        <f t="shared" si="9"/>
        <v/>
      </c>
      <c r="W99" s="83" t="str">
        <f>IF(E99="","",IF(H99&lt;S99+T99,"Error in Areas",IF(P99&lt;&gt;'G-1 All Habitats'!$X$3,H99-S99-T99,IF(AND(P99='G-1 All Habitats'!$X$3,Y99="Yes"),"Unacceptable Loss",IF(AND(P99='G-1 All Habitats'!$X$3,Y99="No"),AC99,IF(AND(P99='G-1 All Habitats'!$X$3,Y99=""),AC99,IF(AND(P99='G-1 All Habitats'!$X$3,AC99="None",AC99),IF(AND(P99='G-1 All Habitats'!$X$3,AC99&gt;0),H99-S99-T99))))))))</f>
        <v/>
      </c>
      <c r="X99" s="84" t="str">
        <f>IFERROR(IF(H99="","",IF(H99-S99-T99=0&lt;0,"Error in Areas",IF(S99+T99&gt;H99,"Error in Areas",IF(AND(P99='G-1 All Habitats'!$X$3,Y99="Yes"),"Alternative Compensation",IF(W99=0,0,IF(P99='G-1 All Habitats'!$X$3,"Unacceptable Loss",Q99-U99-V99)))))),"Check Data")</f>
        <v/>
      </c>
      <c r="Y99" s="82"/>
      <c r="Z99" s="92"/>
      <c r="AA99" s="93"/>
      <c r="AC99" s="87" t="str">
        <f>IF(P99="","",IF(P99='G-1 All Habitats'!$X$3,H99-S99-T99,"None"))</f>
        <v/>
      </c>
      <c r="AD99" s="88" t="str">
        <f>IFERROR(AC99*J99*L99*#REF!*O99,IF(P99="","","None"))</f>
        <v/>
      </c>
      <c r="AF99" s="59" t="str">
        <f t="shared" si="5"/>
        <v/>
      </c>
      <c r="AG99" s="59" t="str">
        <f t="shared" si="6"/>
        <v/>
      </c>
      <c r="AH99" s="59" t="str">
        <f>IF(I99="","",IF(#REF!&gt;0,TRUE,FALSE))</f>
        <v/>
      </c>
      <c r="AI99" s="59">
        <v>89</v>
      </c>
      <c r="AJ99" s="59"/>
      <c r="AK99" s="59" t="str">
        <f t="array" ref="AK99">IFERROR(INDEX($AI$11:$AI$259, MATCH(0, IF(TRUE=$AF$11:$AF$259, COUNTIF($AK$10:$AK98, $AI$11:$AI$259), ""), 0)),"")</f>
        <v/>
      </c>
      <c r="AL99" s="59" t="str">
        <f t="array" ref="AL99">IFERROR(INDEX($AI$11:$AI$259, MATCH(0, IF(TRUE=$AG$11:$AG$259, COUNTIF($AL$10:$AL98, $AI$11:$AI$259), ""), 0)),"")</f>
        <v/>
      </c>
      <c r="AM99" s="59" t="str">
        <f t="array" ref="AM99">IFERROR(INDEX($AI$11:$AI$259, MATCH(0, IF(TRUE=$AH$11:$AH$259, COUNTIF($AM$10:$AM98, $AI$11:$AI$259), ""), 0)),"")</f>
        <v/>
      </c>
      <c r="AN99" s="59"/>
      <c r="AQ99" s="52">
        <f t="shared" si="7"/>
        <v>0</v>
      </c>
    </row>
    <row r="100" spans="1:43" x14ac:dyDescent="0.25">
      <c r="A100" s="52" t="str">
        <f>IFERROR(INDEX('G-1 All Habitats'!$AG$3:$AG$15,MATCH(E100,'G-1 All Habitats'!$AF$3:$AF$15,0)),"")</f>
        <v/>
      </c>
      <c r="B100" s="52" t="str">
        <f>IFERROR(INDEX('G-8 Condition Look up'!$I$4:$I$131,MATCH(G100,'G-8 Condition Look up'!$A$4:$A$131,0)),"")</f>
        <v/>
      </c>
      <c r="D100" s="89">
        <v>90</v>
      </c>
      <c r="E100" s="90"/>
      <c r="F100" s="91"/>
      <c r="G100" s="75" t="str">
        <f>IFERROR(INDEX('G-1 All Habitats'!$B$3:$B$130,MATCH(F100,'G-1 All Habitats'!$A$3:$A$130,0)),"")</f>
        <v/>
      </c>
      <c r="H100" s="76"/>
      <c r="I100" s="77" t="str">
        <f>IF(G100="","",VLOOKUP(G100,'G-1 All Habitats'!$B$2:$M$130,10,FALSE))</f>
        <v/>
      </c>
      <c r="J100" s="78" t="str">
        <f>IFERROR(VLOOKUP(I100,'G-1 All Habitats'!$V$3:$W$7,2,FALSE),"")</f>
        <v/>
      </c>
      <c r="K100" s="79"/>
      <c r="L100" s="78" t="str">
        <f>IFERROR(INDEX('G-8 Condition Look up'!$A$3:$H$131,MATCH(G100,'G-8 Condition Look up'!$A$3:$A$131,0),MATCH(K100,'G-8 Condition Look up'!$A$3:$H$3,0)),"")</f>
        <v/>
      </c>
      <c r="M100" s="79"/>
      <c r="N100" s="348" t="str">
        <f>IF(M100="","",IF(VLOOKUP(M100,'G-3 Multipliers'!$L$3:$N$6,2,FALSE)=0,"Spatial Data Missing",VLOOKUP(M100,'G-3 Multipliers'!$L$3:$N$6,2,FALSE)))</f>
        <v/>
      </c>
      <c r="O100" s="569" t="str">
        <f>IF(M100="","",IF(VLOOKUP(M100,'G-3 Multipliers'!$L$3:$N$6,3,FALSE)=0,"Spatial Data Missing",VLOOKUP(M100,'G-3 Multipliers'!$L$3:$N$6,3,FALSE)))</f>
        <v/>
      </c>
      <c r="P100" s="80" t="str">
        <f>IFERROR(VLOOKUP(G100,'G-1 All Habitats'!$B$2:$M$130,12,FALSE),"")</f>
        <v/>
      </c>
      <c r="Q100" s="81" t="str">
        <f>IFERROR(IF(P100="","",IF(AND(P100='G-1 All Habitats'!$X$3,T100&gt;0),U100+V100,IF(AND(P100='G-1 All Habitats'!$X$3,S100&gt;0),U100+V100,IF(AND(P100='G-1 All Habitats'!$X$3,AC100&gt;0),"Any Loss Unacceptable",IF(AND(P100='G-1 All Habitats'!$X$3,W100&gt;0),"Any Loss Unacceptable",H100*J100*L100*O100))))),"Check Data")</f>
        <v/>
      </c>
      <c r="R100" s="55"/>
      <c r="S100" s="79"/>
      <c r="T100" s="82"/>
      <c r="U100" s="83" t="str">
        <f t="shared" si="8"/>
        <v/>
      </c>
      <c r="V100" s="83" t="str">
        <f t="shared" si="9"/>
        <v/>
      </c>
      <c r="W100" s="83" t="str">
        <f>IF(E100="","",IF(H100&lt;S100+T100,"Error in Areas",IF(P100&lt;&gt;'G-1 All Habitats'!$X$3,H100-S100-T100,IF(AND(P100='G-1 All Habitats'!$X$3,Y100="Yes"),"Unacceptable Loss",IF(AND(P100='G-1 All Habitats'!$X$3,Y100="No"),AC100,IF(AND(P100='G-1 All Habitats'!$X$3,Y100=""),AC100,IF(AND(P100='G-1 All Habitats'!$X$3,AC100="None",AC100),IF(AND(P100='G-1 All Habitats'!$X$3,AC100&gt;0),H100-S100-T100))))))))</f>
        <v/>
      </c>
      <c r="X100" s="84" t="str">
        <f>IFERROR(IF(H100="","",IF(H100-S100-T100=0&lt;0,"Error in Areas",IF(S100+T100&gt;H100,"Error in Areas",IF(AND(P100='G-1 All Habitats'!$X$3,Y100="Yes"),"Alternative Compensation",IF(W100=0,0,IF(P100='G-1 All Habitats'!$X$3,"Unacceptable Loss",Q100-U100-V100)))))),"Check Data")</f>
        <v/>
      </c>
      <c r="Y100" s="82"/>
      <c r="Z100" s="92"/>
      <c r="AA100" s="93"/>
      <c r="AC100" s="87" t="str">
        <f>IF(P100="","",IF(P100='G-1 All Habitats'!$X$3,H100-S100-T100,"None"))</f>
        <v/>
      </c>
      <c r="AD100" s="88" t="str">
        <f>IFERROR(AC100*J100*L100*#REF!*O100,IF(P100="","","None"))</f>
        <v/>
      </c>
      <c r="AF100" s="59" t="str">
        <f t="shared" si="5"/>
        <v/>
      </c>
      <c r="AG100" s="59" t="str">
        <f t="shared" si="6"/>
        <v/>
      </c>
      <c r="AH100" s="59" t="str">
        <f>IF(I100="","",IF(#REF!&gt;0,TRUE,FALSE))</f>
        <v/>
      </c>
      <c r="AI100" s="59">
        <v>90</v>
      </c>
      <c r="AJ100" s="59"/>
      <c r="AK100" s="59" t="str">
        <f t="array" ref="AK100">IFERROR(INDEX($AI$11:$AI$259, MATCH(0, IF(TRUE=$AF$11:$AF$259, COUNTIF($AK$10:$AK99, $AI$11:$AI$259), ""), 0)),"")</f>
        <v/>
      </c>
      <c r="AL100" s="59" t="str">
        <f t="array" ref="AL100">IFERROR(INDEX($AI$11:$AI$259, MATCH(0, IF(TRUE=$AG$11:$AG$259, COUNTIF($AL$10:$AL99, $AI$11:$AI$259), ""), 0)),"")</f>
        <v/>
      </c>
      <c r="AM100" s="59" t="str">
        <f t="array" ref="AM100">IFERROR(INDEX($AI$11:$AI$259, MATCH(0, IF(TRUE=$AH$11:$AH$259, COUNTIF($AM$10:$AM99, $AI$11:$AI$259), ""), 0)),"")</f>
        <v/>
      </c>
      <c r="AN100" s="59"/>
      <c r="AQ100" s="52">
        <f t="shared" si="7"/>
        <v>0</v>
      </c>
    </row>
    <row r="101" spans="1:43" x14ac:dyDescent="0.25">
      <c r="A101" s="52" t="str">
        <f>IFERROR(INDEX('G-1 All Habitats'!$AG$3:$AG$15,MATCH(E101,'G-1 All Habitats'!$AF$3:$AF$15,0)),"")</f>
        <v/>
      </c>
      <c r="B101" s="52" t="str">
        <f>IFERROR(INDEX('G-8 Condition Look up'!$I$4:$I$131,MATCH(G101,'G-8 Condition Look up'!$A$4:$A$131,0)),"")</f>
        <v/>
      </c>
      <c r="D101" s="89">
        <v>91</v>
      </c>
      <c r="E101" s="90"/>
      <c r="F101" s="91"/>
      <c r="G101" s="75" t="str">
        <f>IFERROR(INDEX('G-1 All Habitats'!$B$3:$B$130,MATCH(F101,'G-1 All Habitats'!$A$3:$A$130,0)),"")</f>
        <v/>
      </c>
      <c r="H101" s="76"/>
      <c r="I101" s="77" t="str">
        <f>IF(G101="","",VLOOKUP(G101,'G-1 All Habitats'!$B$2:$M$130,10,FALSE))</f>
        <v/>
      </c>
      <c r="J101" s="78" t="str">
        <f>IFERROR(VLOOKUP(I101,'G-1 All Habitats'!$V$3:$W$7,2,FALSE),"")</f>
        <v/>
      </c>
      <c r="K101" s="79"/>
      <c r="L101" s="78" t="str">
        <f>IFERROR(INDEX('G-8 Condition Look up'!$A$3:$H$131,MATCH(G101,'G-8 Condition Look up'!$A$3:$A$131,0),MATCH(K101,'G-8 Condition Look up'!$A$3:$H$3,0)),"")</f>
        <v/>
      </c>
      <c r="M101" s="79"/>
      <c r="N101" s="348" t="str">
        <f>IF(M101="","",IF(VLOOKUP(M101,'G-3 Multipliers'!$L$3:$N$6,2,FALSE)=0,"Spatial Data Missing",VLOOKUP(M101,'G-3 Multipliers'!$L$3:$N$6,2,FALSE)))</f>
        <v/>
      </c>
      <c r="O101" s="569" t="str">
        <f>IF(M101="","",IF(VLOOKUP(M101,'G-3 Multipliers'!$L$3:$N$6,3,FALSE)=0,"Spatial Data Missing",VLOOKUP(M101,'G-3 Multipliers'!$L$3:$N$6,3,FALSE)))</f>
        <v/>
      </c>
      <c r="P101" s="80" t="str">
        <f>IFERROR(VLOOKUP(G101,'G-1 All Habitats'!$B$2:$M$130,12,FALSE),"")</f>
        <v/>
      </c>
      <c r="Q101" s="81" t="str">
        <f>IFERROR(IF(P101="","",IF(AND(P101='G-1 All Habitats'!$X$3,T101&gt;0),U101+V101,IF(AND(P101='G-1 All Habitats'!$X$3,S101&gt;0),U101+V101,IF(AND(P101='G-1 All Habitats'!$X$3,AC101&gt;0),"Any Loss Unacceptable",IF(AND(P101='G-1 All Habitats'!$X$3,W101&gt;0),"Any Loss Unacceptable",H101*J101*L101*O101))))),"Check Data")</f>
        <v/>
      </c>
      <c r="R101" s="55"/>
      <c r="S101" s="79"/>
      <c r="T101" s="82"/>
      <c r="U101" s="83" t="str">
        <f t="shared" si="8"/>
        <v/>
      </c>
      <c r="V101" s="83" t="str">
        <f t="shared" si="9"/>
        <v/>
      </c>
      <c r="W101" s="83" t="str">
        <f>IF(E101="","",IF(H101&lt;S101+T101,"Error in Areas",IF(P101&lt;&gt;'G-1 All Habitats'!$X$3,H101-S101-T101,IF(AND(P101='G-1 All Habitats'!$X$3,Y101="Yes"),"Unacceptable Loss",IF(AND(P101='G-1 All Habitats'!$X$3,Y101="No"),AC101,IF(AND(P101='G-1 All Habitats'!$X$3,Y101=""),AC101,IF(AND(P101='G-1 All Habitats'!$X$3,AC101="None",AC101),IF(AND(P101='G-1 All Habitats'!$X$3,AC101&gt;0),H101-S101-T101))))))))</f>
        <v/>
      </c>
      <c r="X101" s="84" t="str">
        <f>IFERROR(IF(H101="","",IF(H101-S101-T101=0&lt;0,"Error in Areas",IF(S101+T101&gt;H101,"Error in Areas",IF(AND(P101='G-1 All Habitats'!$X$3,Y101="Yes"),"Alternative Compensation",IF(W101=0,0,IF(P101='G-1 All Habitats'!$X$3,"Unacceptable Loss",Q101-U101-V101)))))),"Check Data")</f>
        <v/>
      </c>
      <c r="Y101" s="82"/>
      <c r="Z101" s="92"/>
      <c r="AA101" s="93"/>
      <c r="AC101" s="87" t="str">
        <f>IF(P101="","",IF(P101='G-1 All Habitats'!$X$3,H101-S101-T101,"None"))</f>
        <v/>
      </c>
      <c r="AD101" s="88" t="str">
        <f>IFERROR(AC101*J101*L101*#REF!*O101,IF(P101="","","None"))</f>
        <v/>
      </c>
      <c r="AF101" s="59" t="str">
        <f t="shared" si="5"/>
        <v/>
      </c>
      <c r="AG101" s="59" t="str">
        <f t="shared" si="6"/>
        <v/>
      </c>
      <c r="AH101" s="59" t="str">
        <f>IF(I101="","",IF(#REF!&gt;0,TRUE,FALSE))</f>
        <v/>
      </c>
      <c r="AI101" s="59">
        <v>91</v>
      </c>
      <c r="AJ101" s="59"/>
      <c r="AK101" s="59" t="str">
        <f t="array" ref="AK101">IFERROR(INDEX($AI$11:$AI$259, MATCH(0, IF(TRUE=$AF$11:$AF$259, COUNTIF($AK$10:$AK100, $AI$11:$AI$259), ""), 0)),"")</f>
        <v/>
      </c>
      <c r="AL101" s="59" t="str">
        <f t="array" ref="AL101">IFERROR(INDEX($AI$11:$AI$259, MATCH(0, IF(TRUE=$AG$11:$AG$259, COUNTIF($AL$10:$AL100, $AI$11:$AI$259), ""), 0)),"")</f>
        <v/>
      </c>
      <c r="AM101" s="59" t="str">
        <f t="array" ref="AM101">IFERROR(INDEX($AI$11:$AI$259, MATCH(0, IF(TRUE=$AH$11:$AH$259, COUNTIF($AM$10:$AM100, $AI$11:$AI$259), ""), 0)),"")</f>
        <v/>
      </c>
      <c r="AN101" s="59"/>
      <c r="AQ101" s="52">
        <f t="shared" si="7"/>
        <v>0</v>
      </c>
    </row>
    <row r="102" spans="1:43" x14ac:dyDescent="0.25">
      <c r="A102" s="52" t="str">
        <f>IFERROR(INDEX('G-1 All Habitats'!$AG$3:$AG$15,MATCH(E102,'G-1 All Habitats'!$AF$3:$AF$15,0)),"")</f>
        <v/>
      </c>
      <c r="B102" s="52" t="str">
        <f>IFERROR(INDEX('G-8 Condition Look up'!$I$4:$I$131,MATCH(G102,'G-8 Condition Look up'!$A$4:$A$131,0)),"")</f>
        <v/>
      </c>
      <c r="D102" s="89">
        <v>92</v>
      </c>
      <c r="E102" s="90"/>
      <c r="F102" s="91"/>
      <c r="G102" s="75" t="str">
        <f>IFERROR(INDEX('G-1 All Habitats'!$B$3:$B$130,MATCH(F102,'G-1 All Habitats'!$A$3:$A$130,0)),"")</f>
        <v/>
      </c>
      <c r="H102" s="76"/>
      <c r="I102" s="77" t="str">
        <f>IF(G102="","",VLOOKUP(G102,'G-1 All Habitats'!$B$2:$M$130,10,FALSE))</f>
        <v/>
      </c>
      <c r="J102" s="78" t="str">
        <f>IFERROR(VLOOKUP(I102,'G-1 All Habitats'!$V$3:$W$7,2,FALSE),"")</f>
        <v/>
      </c>
      <c r="K102" s="79"/>
      <c r="L102" s="78" t="str">
        <f>IFERROR(INDEX('G-8 Condition Look up'!$A$3:$H$131,MATCH(G102,'G-8 Condition Look up'!$A$3:$A$131,0),MATCH(K102,'G-8 Condition Look up'!$A$3:$H$3,0)),"")</f>
        <v/>
      </c>
      <c r="M102" s="79"/>
      <c r="N102" s="348" t="str">
        <f>IF(M102="","",IF(VLOOKUP(M102,'G-3 Multipliers'!$L$3:$N$6,2,FALSE)=0,"Spatial Data Missing",VLOOKUP(M102,'G-3 Multipliers'!$L$3:$N$6,2,FALSE)))</f>
        <v/>
      </c>
      <c r="O102" s="569" t="str">
        <f>IF(M102="","",IF(VLOOKUP(M102,'G-3 Multipliers'!$L$3:$N$6,3,FALSE)=0,"Spatial Data Missing",VLOOKUP(M102,'G-3 Multipliers'!$L$3:$N$6,3,FALSE)))</f>
        <v/>
      </c>
      <c r="P102" s="80" t="str">
        <f>IFERROR(VLOOKUP(G102,'G-1 All Habitats'!$B$2:$M$130,12,FALSE),"")</f>
        <v/>
      </c>
      <c r="Q102" s="81" t="str">
        <f>IFERROR(IF(P102="","",IF(AND(P102='G-1 All Habitats'!$X$3,T102&gt;0),U102+V102,IF(AND(P102='G-1 All Habitats'!$X$3,S102&gt;0),U102+V102,IF(AND(P102='G-1 All Habitats'!$X$3,AC102&gt;0),"Any Loss Unacceptable",IF(AND(P102='G-1 All Habitats'!$X$3,W102&gt;0),"Any Loss Unacceptable",H102*J102*L102*O102))))),"Check Data")</f>
        <v/>
      </c>
      <c r="R102" s="55"/>
      <c r="S102" s="79"/>
      <c r="T102" s="82"/>
      <c r="U102" s="83" t="str">
        <f t="shared" si="8"/>
        <v/>
      </c>
      <c r="V102" s="83" t="str">
        <f t="shared" si="9"/>
        <v/>
      </c>
      <c r="W102" s="83" t="str">
        <f>IF(E102="","",IF(H102&lt;S102+T102,"Error in Areas",IF(P102&lt;&gt;'G-1 All Habitats'!$X$3,H102-S102-T102,IF(AND(P102='G-1 All Habitats'!$X$3,Y102="Yes"),"Unacceptable Loss",IF(AND(P102='G-1 All Habitats'!$X$3,Y102="No"),AC102,IF(AND(P102='G-1 All Habitats'!$X$3,Y102=""),AC102,IF(AND(P102='G-1 All Habitats'!$X$3,AC102="None",AC102),IF(AND(P102='G-1 All Habitats'!$X$3,AC102&gt;0),H102-S102-T102))))))))</f>
        <v/>
      </c>
      <c r="X102" s="84" t="str">
        <f>IFERROR(IF(H102="","",IF(H102-S102-T102=0&lt;0,"Error in Areas",IF(S102+T102&gt;H102,"Error in Areas",IF(AND(P102='G-1 All Habitats'!$X$3,Y102="Yes"),"Alternative Compensation",IF(W102=0,0,IF(P102='G-1 All Habitats'!$X$3,"Unacceptable Loss",Q102-U102-V102)))))),"Check Data")</f>
        <v/>
      </c>
      <c r="Y102" s="82"/>
      <c r="Z102" s="92"/>
      <c r="AA102" s="93"/>
      <c r="AC102" s="87" t="str">
        <f>IF(P102="","",IF(P102='G-1 All Habitats'!$X$3,H102-S102-T102,"None"))</f>
        <v/>
      </c>
      <c r="AD102" s="88" t="str">
        <f>IFERROR(AC102*J102*L102*#REF!*O102,IF(P102="","","None"))</f>
        <v/>
      </c>
      <c r="AF102" s="59" t="str">
        <f t="shared" si="5"/>
        <v/>
      </c>
      <c r="AG102" s="59" t="str">
        <f t="shared" si="6"/>
        <v/>
      </c>
      <c r="AH102" s="59" t="str">
        <f>IF(I102="","",IF(#REF!&gt;0,TRUE,FALSE))</f>
        <v/>
      </c>
      <c r="AI102" s="59">
        <v>92</v>
      </c>
      <c r="AJ102" s="59"/>
      <c r="AK102" s="59" t="str">
        <f t="array" ref="AK102">IFERROR(INDEX($AI$11:$AI$259, MATCH(0, IF(TRUE=$AF$11:$AF$259, COUNTIF($AK$10:$AK101, $AI$11:$AI$259), ""), 0)),"")</f>
        <v/>
      </c>
      <c r="AL102" s="59" t="str">
        <f t="array" ref="AL102">IFERROR(INDEX($AI$11:$AI$259, MATCH(0, IF(TRUE=$AG$11:$AG$259, COUNTIF($AL$10:$AL101, $AI$11:$AI$259), ""), 0)),"")</f>
        <v/>
      </c>
      <c r="AM102" s="59" t="str">
        <f t="array" ref="AM102">IFERROR(INDEX($AI$11:$AI$259, MATCH(0, IF(TRUE=$AH$11:$AH$259, COUNTIF($AM$10:$AM101, $AI$11:$AI$259), ""), 0)),"")</f>
        <v/>
      </c>
      <c r="AN102" s="59"/>
      <c r="AQ102" s="52">
        <f t="shared" si="7"/>
        <v>0</v>
      </c>
    </row>
    <row r="103" spans="1:43" x14ac:dyDescent="0.25">
      <c r="A103" s="52" t="str">
        <f>IFERROR(INDEX('G-1 All Habitats'!$AG$3:$AG$15,MATCH(E103,'G-1 All Habitats'!$AF$3:$AF$15,0)),"")</f>
        <v/>
      </c>
      <c r="B103" s="52" t="str">
        <f>IFERROR(INDEX('G-8 Condition Look up'!$I$4:$I$131,MATCH(G103,'G-8 Condition Look up'!$A$4:$A$131,0)),"")</f>
        <v/>
      </c>
      <c r="D103" s="89">
        <v>93</v>
      </c>
      <c r="E103" s="90"/>
      <c r="F103" s="91"/>
      <c r="G103" s="75" t="str">
        <f>IFERROR(INDEX('G-1 All Habitats'!$B$3:$B$130,MATCH(F103,'G-1 All Habitats'!$A$3:$A$130,0)),"")</f>
        <v/>
      </c>
      <c r="H103" s="76"/>
      <c r="I103" s="77" t="str">
        <f>IF(G103="","",VLOOKUP(G103,'G-1 All Habitats'!$B$2:$M$130,10,FALSE))</f>
        <v/>
      </c>
      <c r="J103" s="78" t="str">
        <f>IFERROR(VLOOKUP(I103,'G-1 All Habitats'!$V$3:$W$7,2,FALSE),"")</f>
        <v/>
      </c>
      <c r="K103" s="79"/>
      <c r="L103" s="78" t="str">
        <f>IFERROR(INDEX('G-8 Condition Look up'!$A$3:$H$131,MATCH(G103,'G-8 Condition Look up'!$A$3:$A$131,0),MATCH(K103,'G-8 Condition Look up'!$A$3:$H$3,0)),"")</f>
        <v/>
      </c>
      <c r="M103" s="79"/>
      <c r="N103" s="348" t="str">
        <f>IF(M103="","",IF(VLOOKUP(M103,'G-3 Multipliers'!$L$3:$N$6,2,FALSE)=0,"Spatial Data Missing",VLOOKUP(M103,'G-3 Multipliers'!$L$3:$N$6,2,FALSE)))</f>
        <v/>
      </c>
      <c r="O103" s="569" t="str">
        <f>IF(M103="","",IF(VLOOKUP(M103,'G-3 Multipliers'!$L$3:$N$6,3,FALSE)=0,"Spatial Data Missing",VLOOKUP(M103,'G-3 Multipliers'!$L$3:$N$6,3,FALSE)))</f>
        <v/>
      </c>
      <c r="P103" s="80" t="str">
        <f>IFERROR(VLOOKUP(G103,'G-1 All Habitats'!$B$2:$M$130,12,FALSE),"")</f>
        <v/>
      </c>
      <c r="Q103" s="81" t="str">
        <f>IFERROR(IF(P103="","",IF(AND(P103='G-1 All Habitats'!$X$3,T103&gt;0),U103+V103,IF(AND(P103='G-1 All Habitats'!$X$3,S103&gt;0),U103+V103,IF(AND(P103='G-1 All Habitats'!$X$3,AC103&gt;0),"Any Loss Unacceptable",IF(AND(P103='G-1 All Habitats'!$X$3,W103&gt;0),"Any Loss Unacceptable",H103*J103*L103*O103))))),"Check Data")</f>
        <v/>
      </c>
      <c r="R103" s="55"/>
      <c r="S103" s="79"/>
      <c r="T103" s="82"/>
      <c r="U103" s="83" t="str">
        <f t="shared" si="8"/>
        <v/>
      </c>
      <c r="V103" s="83" t="str">
        <f t="shared" si="9"/>
        <v/>
      </c>
      <c r="W103" s="83" t="str">
        <f>IF(E103="","",IF(H103&lt;S103+T103,"Error in Areas",IF(P103&lt;&gt;'G-1 All Habitats'!$X$3,H103-S103-T103,IF(AND(P103='G-1 All Habitats'!$X$3,Y103="Yes"),"Unacceptable Loss",IF(AND(P103='G-1 All Habitats'!$X$3,Y103="No"),AC103,IF(AND(P103='G-1 All Habitats'!$X$3,Y103=""),AC103,IF(AND(P103='G-1 All Habitats'!$X$3,AC103="None",AC103),IF(AND(P103='G-1 All Habitats'!$X$3,AC103&gt;0),H103-S103-T103))))))))</f>
        <v/>
      </c>
      <c r="X103" s="84" t="str">
        <f>IFERROR(IF(H103="","",IF(H103-S103-T103=0&lt;0,"Error in Areas",IF(S103+T103&gt;H103,"Error in Areas",IF(AND(P103='G-1 All Habitats'!$X$3,Y103="Yes"),"Alternative Compensation",IF(W103=0,0,IF(P103='G-1 All Habitats'!$X$3,"Unacceptable Loss",Q103-U103-V103)))))),"Check Data")</f>
        <v/>
      </c>
      <c r="Y103" s="82"/>
      <c r="Z103" s="92"/>
      <c r="AA103" s="93"/>
      <c r="AC103" s="87" t="str">
        <f>IF(P103="","",IF(P103='G-1 All Habitats'!$X$3,H103-S103-T103,"None"))</f>
        <v/>
      </c>
      <c r="AD103" s="88" t="str">
        <f>IFERROR(AC103*J103*L103*#REF!*O103,IF(P103="","","None"))</f>
        <v/>
      </c>
      <c r="AF103" s="59" t="str">
        <f t="shared" si="5"/>
        <v/>
      </c>
      <c r="AG103" s="59" t="str">
        <f t="shared" si="6"/>
        <v/>
      </c>
      <c r="AH103" s="59" t="str">
        <f>IF(I103="","",IF(#REF!&gt;0,TRUE,FALSE))</f>
        <v/>
      </c>
      <c r="AI103" s="59">
        <v>93</v>
      </c>
      <c r="AJ103" s="59"/>
      <c r="AK103" s="59" t="str">
        <f t="array" ref="AK103">IFERROR(INDEX($AI$11:$AI$259, MATCH(0, IF(TRUE=$AF$11:$AF$259, COUNTIF($AK$10:$AK102, $AI$11:$AI$259), ""), 0)),"")</f>
        <v/>
      </c>
      <c r="AL103" s="59" t="str">
        <f t="array" ref="AL103">IFERROR(INDEX($AI$11:$AI$259, MATCH(0, IF(TRUE=$AG$11:$AG$259, COUNTIF($AL$10:$AL102, $AI$11:$AI$259), ""), 0)),"")</f>
        <v/>
      </c>
      <c r="AM103" s="59" t="str">
        <f t="array" ref="AM103">IFERROR(INDEX($AI$11:$AI$259, MATCH(0, IF(TRUE=$AH$11:$AH$259, COUNTIF($AM$10:$AM102, $AI$11:$AI$259), ""), 0)),"")</f>
        <v/>
      </c>
      <c r="AN103" s="59"/>
      <c r="AQ103" s="52">
        <f t="shared" si="7"/>
        <v>0</v>
      </c>
    </row>
    <row r="104" spans="1:43" x14ac:dyDescent="0.25">
      <c r="A104" s="52" t="str">
        <f>IFERROR(INDEX('G-1 All Habitats'!$AG$3:$AG$15,MATCH(E104,'G-1 All Habitats'!$AF$3:$AF$15,0)),"")</f>
        <v/>
      </c>
      <c r="B104" s="52" t="str">
        <f>IFERROR(INDEX('G-8 Condition Look up'!$I$4:$I$131,MATCH(G104,'G-8 Condition Look up'!$A$4:$A$131,0)),"")</f>
        <v/>
      </c>
      <c r="D104" s="89">
        <v>94</v>
      </c>
      <c r="E104" s="90"/>
      <c r="F104" s="91"/>
      <c r="G104" s="75" t="str">
        <f>IFERROR(INDEX('G-1 All Habitats'!$B$3:$B$130,MATCH(F104,'G-1 All Habitats'!$A$3:$A$130,0)),"")</f>
        <v/>
      </c>
      <c r="H104" s="76"/>
      <c r="I104" s="77" t="str">
        <f>IF(G104="","",VLOOKUP(G104,'G-1 All Habitats'!$B$2:$M$130,10,FALSE))</f>
        <v/>
      </c>
      <c r="J104" s="78" t="str">
        <f>IFERROR(VLOOKUP(I104,'G-1 All Habitats'!$V$3:$W$7,2,FALSE),"")</f>
        <v/>
      </c>
      <c r="K104" s="79"/>
      <c r="L104" s="78" t="str">
        <f>IFERROR(INDEX('G-8 Condition Look up'!$A$3:$H$131,MATCH(G104,'G-8 Condition Look up'!$A$3:$A$131,0),MATCH(K104,'G-8 Condition Look up'!$A$3:$H$3,0)),"")</f>
        <v/>
      </c>
      <c r="M104" s="79"/>
      <c r="N104" s="348" t="str">
        <f>IF(M104="","",IF(VLOOKUP(M104,'G-3 Multipliers'!$L$3:$N$6,2,FALSE)=0,"Spatial Data Missing",VLOOKUP(M104,'G-3 Multipliers'!$L$3:$N$6,2,FALSE)))</f>
        <v/>
      </c>
      <c r="O104" s="569" t="str">
        <f>IF(M104="","",IF(VLOOKUP(M104,'G-3 Multipliers'!$L$3:$N$6,3,FALSE)=0,"Spatial Data Missing",VLOOKUP(M104,'G-3 Multipliers'!$L$3:$N$6,3,FALSE)))</f>
        <v/>
      </c>
      <c r="P104" s="80" t="str">
        <f>IFERROR(VLOOKUP(G104,'G-1 All Habitats'!$B$2:$M$130,12,FALSE),"")</f>
        <v/>
      </c>
      <c r="Q104" s="81" t="str">
        <f>IFERROR(IF(P104="","",IF(AND(P104='G-1 All Habitats'!$X$3,T104&gt;0),U104+V104,IF(AND(P104='G-1 All Habitats'!$X$3,S104&gt;0),U104+V104,IF(AND(P104='G-1 All Habitats'!$X$3,AC104&gt;0),"Any Loss Unacceptable",IF(AND(P104='G-1 All Habitats'!$X$3,W104&gt;0),"Any Loss Unacceptable",H104*J104*L104*O104))))),"Check Data")</f>
        <v/>
      </c>
      <c r="R104" s="55"/>
      <c r="S104" s="79"/>
      <c r="T104" s="82"/>
      <c r="U104" s="83" t="str">
        <f t="shared" si="8"/>
        <v/>
      </c>
      <c r="V104" s="83" t="str">
        <f t="shared" si="9"/>
        <v/>
      </c>
      <c r="W104" s="83" t="str">
        <f>IF(E104="","",IF(H104&lt;S104+T104,"Error in Areas",IF(P104&lt;&gt;'G-1 All Habitats'!$X$3,H104-S104-T104,IF(AND(P104='G-1 All Habitats'!$X$3,Y104="Yes"),"Unacceptable Loss",IF(AND(P104='G-1 All Habitats'!$X$3,Y104="No"),AC104,IF(AND(P104='G-1 All Habitats'!$X$3,Y104=""),AC104,IF(AND(P104='G-1 All Habitats'!$X$3,AC104="None",AC104),IF(AND(P104='G-1 All Habitats'!$X$3,AC104&gt;0),H104-S104-T104))))))))</f>
        <v/>
      </c>
      <c r="X104" s="84" t="str">
        <f>IFERROR(IF(H104="","",IF(H104-S104-T104=0&lt;0,"Error in Areas",IF(S104+T104&gt;H104,"Error in Areas",IF(AND(P104='G-1 All Habitats'!$X$3,Y104="Yes"),"Alternative Compensation",IF(W104=0,0,IF(P104='G-1 All Habitats'!$X$3,"Unacceptable Loss",Q104-U104-V104)))))),"Check Data")</f>
        <v/>
      </c>
      <c r="Y104" s="82"/>
      <c r="Z104" s="92"/>
      <c r="AA104" s="93"/>
      <c r="AC104" s="87" t="str">
        <f>IF(P104="","",IF(P104='G-1 All Habitats'!$X$3,H104-S104-T104,"None"))</f>
        <v/>
      </c>
      <c r="AD104" s="88" t="str">
        <f>IFERROR(AC104*J104*L104*#REF!*O104,IF(P104="","","None"))</f>
        <v/>
      </c>
      <c r="AF104" s="59" t="str">
        <f t="shared" si="5"/>
        <v/>
      </c>
      <c r="AG104" s="59" t="str">
        <f t="shared" si="6"/>
        <v/>
      </c>
      <c r="AH104" s="59" t="str">
        <f>IF(I104="","",IF(#REF!&gt;0,TRUE,FALSE))</f>
        <v/>
      </c>
      <c r="AI104" s="59">
        <v>94</v>
      </c>
      <c r="AJ104" s="59"/>
      <c r="AK104" s="59" t="str">
        <f t="array" ref="AK104">IFERROR(INDEX($AI$11:$AI$259, MATCH(0, IF(TRUE=$AF$11:$AF$259, COUNTIF($AK$10:$AK103, $AI$11:$AI$259), ""), 0)),"")</f>
        <v/>
      </c>
      <c r="AL104" s="59" t="str">
        <f t="array" ref="AL104">IFERROR(INDEX($AI$11:$AI$259, MATCH(0, IF(TRUE=$AG$11:$AG$259, COUNTIF($AL$10:$AL103, $AI$11:$AI$259), ""), 0)),"")</f>
        <v/>
      </c>
      <c r="AM104" s="59" t="str">
        <f t="array" ref="AM104">IFERROR(INDEX($AI$11:$AI$259, MATCH(0, IF(TRUE=$AH$11:$AH$259, COUNTIF($AM$10:$AM103, $AI$11:$AI$259), ""), 0)),"")</f>
        <v/>
      </c>
      <c r="AN104" s="59"/>
      <c r="AQ104" s="52">
        <f t="shared" si="7"/>
        <v>0</v>
      </c>
    </row>
    <row r="105" spans="1:43" x14ac:dyDescent="0.25">
      <c r="A105" s="52" t="str">
        <f>IFERROR(INDEX('G-1 All Habitats'!$AG$3:$AG$15,MATCH(E105,'G-1 All Habitats'!$AF$3:$AF$15,0)),"")</f>
        <v/>
      </c>
      <c r="B105" s="52" t="str">
        <f>IFERROR(INDEX('G-8 Condition Look up'!$I$4:$I$131,MATCH(G105,'G-8 Condition Look up'!$A$4:$A$131,0)),"")</f>
        <v/>
      </c>
      <c r="D105" s="89">
        <v>95</v>
      </c>
      <c r="E105" s="90"/>
      <c r="F105" s="91"/>
      <c r="G105" s="75" t="str">
        <f>IFERROR(INDEX('G-1 All Habitats'!$B$3:$B$130,MATCH(F105,'G-1 All Habitats'!$A$3:$A$130,0)),"")</f>
        <v/>
      </c>
      <c r="H105" s="76"/>
      <c r="I105" s="77" t="str">
        <f>IF(G105="","",VLOOKUP(G105,'G-1 All Habitats'!$B$2:$M$130,10,FALSE))</f>
        <v/>
      </c>
      <c r="J105" s="78" t="str">
        <f>IFERROR(VLOOKUP(I105,'G-1 All Habitats'!$V$3:$W$7,2,FALSE),"")</f>
        <v/>
      </c>
      <c r="K105" s="79"/>
      <c r="L105" s="78" t="str">
        <f>IFERROR(INDEX('G-8 Condition Look up'!$A$3:$H$131,MATCH(G105,'G-8 Condition Look up'!$A$3:$A$131,0),MATCH(K105,'G-8 Condition Look up'!$A$3:$H$3,0)),"")</f>
        <v/>
      </c>
      <c r="M105" s="79"/>
      <c r="N105" s="348" t="str">
        <f>IF(M105="","",IF(VLOOKUP(M105,'G-3 Multipliers'!$L$3:$N$6,2,FALSE)=0,"Spatial Data Missing",VLOOKUP(M105,'G-3 Multipliers'!$L$3:$N$6,2,FALSE)))</f>
        <v/>
      </c>
      <c r="O105" s="569" t="str">
        <f>IF(M105="","",IF(VLOOKUP(M105,'G-3 Multipliers'!$L$3:$N$6,3,FALSE)=0,"Spatial Data Missing",VLOOKUP(M105,'G-3 Multipliers'!$L$3:$N$6,3,FALSE)))</f>
        <v/>
      </c>
      <c r="P105" s="80" t="str">
        <f>IFERROR(VLOOKUP(G105,'G-1 All Habitats'!$B$2:$M$130,12,FALSE),"")</f>
        <v/>
      </c>
      <c r="Q105" s="81" t="str">
        <f>IFERROR(IF(P105="","",IF(AND(P105='G-1 All Habitats'!$X$3,T105&gt;0),U105+V105,IF(AND(P105='G-1 All Habitats'!$X$3,S105&gt;0),U105+V105,IF(AND(P105='G-1 All Habitats'!$X$3,AC105&gt;0),"Any Loss Unacceptable",IF(AND(P105='G-1 All Habitats'!$X$3,W105&gt;0),"Any Loss Unacceptable",H105*J105*L105*O105))))),"Check Data")</f>
        <v/>
      </c>
      <c r="R105" s="55"/>
      <c r="S105" s="79"/>
      <c r="T105" s="82"/>
      <c r="U105" s="83" t="str">
        <f t="shared" si="8"/>
        <v/>
      </c>
      <c r="V105" s="83" t="str">
        <f t="shared" si="9"/>
        <v/>
      </c>
      <c r="W105" s="83" t="str">
        <f>IF(E105="","",IF(H105&lt;S105+T105,"Error in Areas",IF(P105&lt;&gt;'G-1 All Habitats'!$X$3,H105-S105-T105,IF(AND(P105='G-1 All Habitats'!$X$3,Y105="Yes"),"Unacceptable Loss",IF(AND(P105='G-1 All Habitats'!$X$3,Y105="No"),AC105,IF(AND(P105='G-1 All Habitats'!$X$3,Y105=""),AC105,IF(AND(P105='G-1 All Habitats'!$X$3,AC105="None",AC105),IF(AND(P105='G-1 All Habitats'!$X$3,AC105&gt;0),H105-S105-T105))))))))</f>
        <v/>
      </c>
      <c r="X105" s="84" t="str">
        <f>IFERROR(IF(H105="","",IF(H105-S105-T105=0&lt;0,"Error in Areas",IF(S105+T105&gt;H105,"Error in Areas",IF(AND(P105='G-1 All Habitats'!$X$3,Y105="Yes"),"Alternative Compensation",IF(W105=0,0,IF(P105='G-1 All Habitats'!$X$3,"Unacceptable Loss",Q105-U105-V105)))))),"Check Data")</f>
        <v/>
      </c>
      <c r="Y105" s="82"/>
      <c r="Z105" s="92"/>
      <c r="AA105" s="93"/>
      <c r="AC105" s="87" t="str">
        <f>IF(P105="","",IF(P105='G-1 All Habitats'!$X$3,H105-S105-T105,"None"))</f>
        <v/>
      </c>
      <c r="AD105" s="88" t="str">
        <f>IFERROR(AC105*J105*L105*#REF!*O105,IF(P105="","","None"))</f>
        <v/>
      </c>
      <c r="AF105" s="59" t="str">
        <f t="shared" si="5"/>
        <v/>
      </c>
      <c r="AG105" s="59" t="str">
        <f t="shared" si="6"/>
        <v/>
      </c>
      <c r="AH105" s="59" t="str">
        <f>IF(I105="","",IF(#REF!&gt;0,TRUE,FALSE))</f>
        <v/>
      </c>
      <c r="AI105" s="59">
        <v>95</v>
      </c>
      <c r="AJ105" s="59"/>
      <c r="AK105" s="59" t="str">
        <f t="array" ref="AK105">IFERROR(INDEX($AI$11:$AI$259, MATCH(0, IF(TRUE=$AF$11:$AF$259, COUNTIF($AK$10:$AK104, $AI$11:$AI$259), ""), 0)),"")</f>
        <v/>
      </c>
      <c r="AL105" s="59" t="str">
        <f t="array" ref="AL105">IFERROR(INDEX($AI$11:$AI$259, MATCH(0, IF(TRUE=$AG$11:$AG$259, COUNTIF($AL$10:$AL104, $AI$11:$AI$259), ""), 0)),"")</f>
        <v/>
      </c>
      <c r="AM105" s="59" t="str">
        <f t="array" ref="AM105">IFERROR(INDEX($AI$11:$AI$259, MATCH(0, IF(TRUE=$AH$11:$AH$259, COUNTIF($AM$10:$AM104, $AI$11:$AI$259), ""), 0)),"")</f>
        <v/>
      </c>
      <c r="AN105" s="59"/>
      <c r="AQ105" s="52">
        <f t="shared" si="7"/>
        <v>0</v>
      </c>
    </row>
    <row r="106" spans="1:43" x14ac:dyDescent="0.25">
      <c r="A106" s="52" t="str">
        <f>IFERROR(INDEX('G-1 All Habitats'!$AG$3:$AG$15,MATCH(E106,'G-1 All Habitats'!$AF$3:$AF$15,0)),"")</f>
        <v/>
      </c>
      <c r="B106" s="52" t="str">
        <f>IFERROR(INDEX('G-8 Condition Look up'!$I$4:$I$131,MATCH(G106,'G-8 Condition Look up'!$A$4:$A$131,0)),"")</f>
        <v/>
      </c>
      <c r="D106" s="89">
        <v>96</v>
      </c>
      <c r="E106" s="90"/>
      <c r="F106" s="91"/>
      <c r="G106" s="75" t="str">
        <f>IFERROR(INDEX('G-1 All Habitats'!$B$3:$B$130,MATCH(F106,'G-1 All Habitats'!$A$3:$A$130,0)),"")</f>
        <v/>
      </c>
      <c r="H106" s="76"/>
      <c r="I106" s="77" t="str">
        <f>IF(G106="","",VLOOKUP(G106,'G-1 All Habitats'!$B$2:$M$130,10,FALSE))</f>
        <v/>
      </c>
      <c r="J106" s="78" t="str">
        <f>IFERROR(VLOOKUP(I106,'G-1 All Habitats'!$V$3:$W$7,2,FALSE),"")</f>
        <v/>
      </c>
      <c r="K106" s="79"/>
      <c r="L106" s="78" t="str">
        <f>IFERROR(INDEX('G-8 Condition Look up'!$A$3:$H$131,MATCH(G106,'G-8 Condition Look up'!$A$3:$A$131,0),MATCH(K106,'G-8 Condition Look up'!$A$3:$H$3,0)),"")</f>
        <v/>
      </c>
      <c r="M106" s="79"/>
      <c r="N106" s="348" t="str">
        <f>IF(M106="","",IF(VLOOKUP(M106,'G-3 Multipliers'!$L$3:$N$6,2,FALSE)=0,"Spatial Data Missing",VLOOKUP(M106,'G-3 Multipliers'!$L$3:$N$6,2,FALSE)))</f>
        <v/>
      </c>
      <c r="O106" s="569" t="str">
        <f>IF(M106="","",IF(VLOOKUP(M106,'G-3 Multipliers'!$L$3:$N$6,3,FALSE)=0,"Spatial Data Missing",VLOOKUP(M106,'G-3 Multipliers'!$L$3:$N$6,3,FALSE)))</f>
        <v/>
      </c>
      <c r="P106" s="80" t="str">
        <f>IFERROR(VLOOKUP(G106,'G-1 All Habitats'!$B$2:$M$130,12,FALSE),"")</f>
        <v/>
      </c>
      <c r="Q106" s="81" t="str">
        <f>IFERROR(IF(P106="","",IF(AND(P106='G-1 All Habitats'!$X$3,T106&gt;0),U106+V106,IF(AND(P106='G-1 All Habitats'!$X$3,S106&gt;0),U106+V106,IF(AND(P106='G-1 All Habitats'!$X$3,AC106&gt;0),"Any Loss Unacceptable",IF(AND(P106='G-1 All Habitats'!$X$3,W106&gt;0),"Any Loss Unacceptable",H106*J106*L106*O106))))),"Check Data")</f>
        <v/>
      </c>
      <c r="R106" s="55"/>
      <c r="S106" s="79"/>
      <c r="T106" s="82"/>
      <c r="U106" s="83" t="str">
        <f t="shared" si="8"/>
        <v/>
      </c>
      <c r="V106" s="83" t="str">
        <f t="shared" si="9"/>
        <v/>
      </c>
      <c r="W106" s="83" t="str">
        <f>IF(E106="","",IF(H106&lt;S106+T106,"Error in Areas",IF(P106&lt;&gt;'G-1 All Habitats'!$X$3,H106-S106-T106,IF(AND(P106='G-1 All Habitats'!$X$3,Y106="Yes"),"Unacceptable Loss",IF(AND(P106='G-1 All Habitats'!$X$3,Y106="No"),AC106,IF(AND(P106='G-1 All Habitats'!$X$3,Y106=""),AC106,IF(AND(P106='G-1 All Habitats'!$X$3,AC106="None",AC106),IF(AND(P106='G-1 All Habitats'!$X$3,AC106&gt;0),H106-S106-T106))))))))</f>
        <v/>
      </c>
      <c r="X106" s="84" t="str">
        <f>IFERROR(IF(H106="","",IF(H106-S106-T106=0&lt;0,"Error in Areas",IF(S106+T106&gt;H106,"Error in Areas",IF(AND(P106='G-1 All Habitats'!$X$3,Y106="Yes"),"Alternative Compensation",IF(W106=0,0,IF(P106='G-1 All Habitats'!$X$3,"Unacceptable Loss",Q106-U106-V106)))))),"Check Data")</f>
        <v/>
      </c>
      <c r="Y106" s="82"/>
      <c r="Z106" s="92"/>
      <c r="AA106" s="93"/>
      <c r="AC106" s="87" t="str">
        <f>IF(P106="","",IF(P106='G-1 All Habitats'!$X$3,H106-S106-T106,"None"))</f>
        <v/>
      </c>
      <c r="AD106" s="88" t="str">
        <f>IFERROR(AC106*J106*L106*#REF!*O106,IF(P106="","","None"))</f>
        <v/>
      </c>
      <c r="AF106" s="59" t="str">
        <f t="shared" si="5"/>
        <v/>
      </c>
      <c r="AG106" s="59" t="str">
        <f t="shared" si="6"/>
        <v/>
      </c>
      <c r="AH106" s="59" t="str">
        <f>IF(I106="","",IF(#REF!&gt;0,TRUE,FALSE))</f>
        <v/>
      </c>
      <c r="AI106" s="59">
        <v>96</v>
      </c>
      <c r="AJ106" s="59"/>
      <c r="AK106" s="59" t="str">
        <f t="array" ref="AK106">IFERROR(INDEX($AI$11:$AI$259, MATCH(0, IF(TRUE=$AF$11:$AF$259, COUNTIF($AK$10:$AK105, $AI$11:$AI$259), ""), 0)),"")</f>
        <v/>
      </c>
      <c r="AL106" s="59" t="str">
        <f t="array" ref="AL106">IFERROR(INDEX($AI$11:$AI$259, MATCH(0, IF(TRUE=$AG$11:$AG$259, COUNTIF($AL$10:$AL105, $AI$11:$AI$259), ""), 0)),"")</f>
        <v/>
      </c>
      <c r="AM106" s="59" t="str">
        <f t="array" ref="AM106">IFERROR(INDEX($AI$11:$AI$259, MATCH(0, IF(TRUE=$AH$11:$AH$259, COUNTIF($AM$10:$AM105, $AI$11:$AI$259), ""), 0)),"")</f>
        <v/>
      </c>
      <c r="AN106" s="59"/>
      <c r="AQ106" s="52">
        <f t="shared" si="7"/>
        <v>0</v>
      </c>
    </row>
    <row r="107" spans="1:43" x14ac:dyDescent="0.25">
      <c r="A107" s="52" t="str">
        <f>IFERROR(INDEX('G-1 All Habitats'!$AG$3:$AG$15,MATCH(E107,'G-1 All Habitats'!$AF$3:$AF$15,0)),"")</f>
        <v/>
      </c>
      <c r="B107" s="52" t="str">
        <f>IFERROR(INDEX('G-8 Condition Look up'!$I$4:$I$131,MATCH(G107,'G-8 Condition Look up'!$A$4:$A$131,0)),"")</f>
        <v/>
      </c>
      <c r="D107" s="89">
        <v>97</v>
      </c>
      <c r="E107" s="90"/>
      <c r="F107" s="91"/>
      <c r="G107" s="75" t="str">
        <f>IFERROR(INDEX('G-1 All Habitats'!$B$3:$B$130,MATCH(F107,'G-1 All Habitats'!$A$3:$A$130,0)),"")</f>
        <v/>
      </c>
      <c r="H107" s="76"/>
      <c r="I107" s="77" t="str">
        <f>IF(G107="","",VLOOKUP(G107,'G-1 All Habitats'!$B$2:$M$130,10,FALSE))</f>
        <v/>
      </c>
      <c r="J107" s="78" t="str">
        <f>IFERROR(VLOOKUP(I107,'G-1 All Habitats'!$V$3:$W$7,2,FALSE),"")</f>
        <v/>
      </c>
      <c r="K107" s="79"/>
      <c r="L107" s="78" t="str">
        <f>IFERROR(INDEX('G-8 Condition Look up'!$A$3:$H$131,MATCH(G107,'G-8 Condition Look up'!$A$3:$A$131,0),MATCH(K107,'G-8 Condition Look up'!$A$3:$H$3,0)),"")</f>
        <v/>
      </c>
      <c r="M107" s="79"/>
      <c r="N107" s="348" t="str">
        <f>IF(M107="","",IF(VLOOKUP(M107,'G-3 Multipliers'!$L$3:$N$6,2,FALSE)=0,"Spatial Data Missing",VLOOKUP(M107,'G-3 Multipliers'!$L$3:$N$6,2,FALSE)))</f>
        <v/>
      </c>
      <c r="O107" s="569" t="str">
        <f>IF(M107="","",IF(VLOOKUP(M107,'G-3 Multipliers'!$L$3:$N$6,3,FALSE)=0,"Spatial Data Missing",VLOOKUP(M107,'G-3 Multipliers'!$L$3:$N$6,3,FALSE)))</f>
        <v/>
      </c>
      <c r="P107" s="80" t="str">
        <f>IFERROR(VLOOKUP(G107,'G-1 All Habitats'!$B$2:$M$130,12,FALSE),"")</f>
        <v/>
      </c>
      <c r="Q107" s="81" t="str">
        <f>IFERROR(IF(P107="","",IF(AND(P107='G-1 All Habitats'!$X$3,T107&gt;0),U107+V107,IF(AND(P107='G-1 All Habitats'!$X$3,S107&gt;0),U107+V107,IF(AND(P107='G-1 All Habitats'!$X$3,AC107&gt;0),"Any Loss Unacceptable",IF(AND(P107='G-1 All Habitats'!$X$3,W107&gt;0),"Any Loss Unacceptable",H107*J107*L107*O107))))),"Check Data")</f>
        <v/>
      </c>
      <c r="R107" s="55"/>
      <c r="S107" s="79"/>
      <c r="T107" s="82"/>
      <c r="U107" s="83" t="str">
        <f t="shared" si="8"/>
        <v/>
      </c>
      <c r="V107" s="83" t="str">
        <f t="shared" si="9"/>
        <v/>
      </c>
      <c r="W107" s="83" t="str">
        <f>IF(E107="","",IF(H107&lt;S107+T107,"Error in Areas",IF(P107&lt;&gt;'G-1 All Habitats'!$X$3,H107-S107-T107,IF(AND(P107='G-1 All Habitats'!$X$3,Y107="Yes"),"Unacceptable Loss",IF(AND(P107='G-1 All Habitats'!$X$3,Y107="No"),AC107,IF(AND(P107='G-1 All Habitats'!$X$3,Y107=""),AC107,IF(AND(P107='G-1 All Habitats'!$X$3,AC107="None",AC107),IF(AND(P107='G-1 All Habitats'!$X$3,AC107&gt;0),H107-S107-T107))))))))</f>
        <v/>
      </c>
      <c r="X107" s="84" t="str">
        <f>IFERROR(IF(H107="","",IF(H107-S107-T107=0&lt;0,"Error in Areas",IF(S107+T107&gt;H107,"Error in Areas",IF(AND(P107='G-1 All Habitats'!$X$3,Y107="Yes"),"Alternative Compensation",IF(W107=0,0,IF(P107='G-1 All Habitats'!$X$3,"Unacceptable Loss",Q107-U107-V107)))))),"Check Data")</f>
        <v/>
      </c>
      <c r="Y107" s="82"/>
      <c r="Z107" s="92"/>
      <c r="AA107" s="93"/>
      <c r="AC107" s="87" t="str">
        <f>IF(P107="","",IF(P107='G-1 All Habitats'!$X$3,H107-S107-T107,"None"))</f>
        <v/>
      </c>
      <c r="AD107" s="88" t="str">
        <f>IFERROR(AC107*J107*L107*#REF!*O107,IF(P107="","","None"))</f>
        <v/>
      </c>
      <c r="AF107" s="59" t="str">
        <f t="shared" si="5"/>
        <v/>
      </c>
      <c r="AG107" s="59" t="str">
        <f t="shared" si="6"/>
        <v/>
      </c>
      <c r="AH107" s="59" t="str">
        <f>IF(I107="","",IF(#REF!&gt;0,TRUE,FALSE))</f>
        <v/>
      </c>
      <c r="AI107" s="59">
        <v>97</v>
      </c>
      <c r="AJ107" s="59"/>
      <c r="AK107" s="59" t="str">
        <f t="array" ref="AK107">IFERROR(INDEX($AI$11:$AI$259, MATCH(0, IF(TRUE=$AF$11:$AF$259, COUNTIF($AK$10:$AK106, $AI$11:$AI$259), ""), 0)),"")</f>
        <v/>
      </c>
      <c r="AL107" s="59" t="str">
        <f t="array" ref="AL107">IFERROR(INDEX($AI$11:$AI$259, MATCH(0, IF(TRUE=$AG$11:$AG$259, COUNTIF($AL$10:$AL106, $AI$11:$AI$259), ""), 0)),"")</f>
        <v/>
      </c>
      <c r="AM107" s="59" t="str">
        <f t="array" ref="AM107">IFERROR(INDEX($AI$11:$AI$259, MATCH(0, IF(TRUE=$AH$11:$AH$259, COUNTIF($AM$10:$AM106, $AI$11:$AI$259), ""), 0)),"")</f>
        <v/>
      </c>
      <c r="AN107" s="59"/>
      <c r="AQ107" s="52">
        <f t="shared" si="7"/>
        <v>0</v>
      </c>
    </row>
    <row r="108" spans="1:43" x14ac:dyDescent="0.25">
      <c r="A108" s="52" t="str">
        <f>IFERROR(INDEX('G-1 All Habitats'!$AG$3:$AG$15,MATCH(E108,'G-1 All Habitats'!$AF$3:$AF$15,0)),"")</f>
        <v/>
      </c>
      <c r="B108" s="52" t="str">
        <f>IFERROR(INDEX('G-8 Condition Look up'!$I$4:$I$131,MATCH(G108,'G-8 Condition Look up'!$A$4:$A$131,0)),"")</f>
        <v/>
      </c>
      <c r="D108" s="89">
        <v>98</v>
      </c>
      <c r="E108" s="90"/>
      <c r="F108" s="91"/>
      <c r="G108" s="75" t="str">
        <f>IFERROR(INDEX('G-1 All Habitats'!$B$3:$B$130,MATCH(F108,'G-1 All Habitats'!$A$3:$A$130,0)),"")</f>
        <v/>
      </c>
      <c r="H108" s="76"/>
      <c r="I108" s="77" t="str">
        <f>IF(G108="","",VLOOKUP(G108,'G-1 All Habitats'!$B$2:$M$130,10,FALSE))</f>
        <v/>
      </c>
      <c r="J108" s="78" t="str">
        <f>IFERROR(VLOOKUP(I108,'G-1 All Habitats'!$V$3:$W$7,2,FALSE),"")</f>
        <v/>
      </c>
      <c r="K108" s="79"/>
      <c r="L108" s="78" t="str">
        <f>IFERROR(INDEX('G-8 Condition Look up'!$A$3:$H$131,MATCH(G108,'G-8 Condition Look up'!$A$3:$A$131,0),MATCH(K108,'G-8 Condition Look up'!$A$3:$H$3,0)),"")</f>
        <v/>
      </c>
      <c r="M108" s="79"/>
      <c r="N108" s="348" t="str">
        <f>IF(M108="","",IF(VLOOKUP(M108,'G-3 Multipliers'!$L$3:$N$6,2,FALSE)=0,"Spatial Data Missing",VLOOKUP(M108,'G-3 Multipliers'!$L$3:$N$6,2,FALSE)))</f>
        <v/>
      </c>
      <c r="O108" s="569" t="str">
        <f>IF(M108="","",IF(VLOOKUP(M108,'G-3 Multipliers'!$L$3:$N$6,3,FALSE)=0,"Spatial Data Missing",VLOOKUP(M108,'G-3 Multipliers'!$L$3:$N$6,3,FALSE)))</f>
        <v/>
      </c>
      <c r="P108" s="80" t="str">
        <f>IFERROR(VLOOKUP(G108,'G-1 All Habitats'!$B$2:$M$130,12,FALSE),"")</f>
        <v/>
      </c>
      <c r="Q108" s="81" t="str">
        <f>IFERROR(IF(P108="","",IF(AND(P108='G-1 All Habitats'!$X$3,T108&gt;0),U108+V108,IF(AND(P108='G-1 All Habitats'!$X$3,S108&gt;0),U108+V108,IF(AND(P108='G-1 All Habitats'!$X$3,AC108&gt;0),"Any Loss Unacceptable",IF(AND(P108='G-1 All Habitats'!$X$3,W108&gt;0),"Any Loss Unacceptable",H108*J108*L108*O108))))),"Check Data")</f>
        <v/>
      </c>
      <c r="R108" s="55"/>
      <c r="S108" s="79"/>
      <c r="T108" s="82"/>
      <c r="U108" s="83" t="str">
        <f t="shared" si="8"/>
        <v/>
      </c>
      <c r="V108" s="83" t="str">
        <f t="shared" si="9"/>
        <v/>
      </c>
      <c r="W108" s="83" t="str">
        <f>IF(E108="","",IF(H108&lt;S108+T108,"Error in Areas",IF(P108&lt;&gt;'G-1 All Habitats'!$X$3,H108-S108-T108,IF(AND(P108='G-1 All Habitats'!$X$3,Y108="Yes"),"Unacceptable Loss",IF(AND(P108='G-1 All Habitats'!$X$3,Y108="No"),AC108,IF(AND(P108='G-1 All Habitats'!$X$3,Y108=""),AC108,IF(AND(P108='G-1 All Habitats'!$X$3,AC108="None",AC108),IF(AND(P108='G-1 All Habitats'!$X$3,AC108&gt;0),H108-S108-T108))))))))</f>
        <v/>
      </c>
      <c r="X108" s="84" t="str">
        <f>IFERROR(IF(H108="","",IF(H108-S108-T108=0&lt;0,"Error in Areas",IF(S108+T108&gt;H108,"Error in Areas",IF(AND(P108='G-1 All Habitats'!$X$3,Y108="Yes"),"Alternative Compensation",IF(W108=0,0,IF(P108='G-1 All Habitats'!$X$3,"Unacceptable Loss",Q108-U108-V108)))))),"Check Data")</f>
        <v/>
      </c>
      <c r="Y108" s="82"/>
      <c r="Z108" s="92"/>
      <c r="AA108" s="93"/>
      <c r="AC108" s="87" t="str">
        <f>IF(P108="","",IF(P108='G-1 All Habitats'!$X$3,H108-S108-T108,"None"))</f>
        <v/>
      </c>
      <c r="AD108" s="88" t="str">
        <f>IFERROR(AC108*J108*L108*#REF!*O108,IF(P108="","","None"))</f>
        <v/>
      </c>
      <c r="AF108" s="59" t="str">
        <f t="shared" si="5"/>
        <v/>
      </c>
      <c r="AG108" s="59" t="str">
        <f t="shared" si="6"/>
        <v/>
      </c>
      <c r="AH108" s="59" t="str">
        <f>IF(I108="","",IF(#REF!&gt;0,TRUE,FALSE))</f>
        <v/>
      </c>
      <c r="AI108" s="59">
        <v>98</v>
      </c>
      <c r="AJ108" s="59"/>
      <c r="AK108" s="59" t="str">
        <f t="array" ref="AK108">IFERROR(INDEX($AI$11:$AI$259, MATCH(0, IF(TRUE=$AF$11:$AF$259, COUNTIF($AK$10:$AK107, $AI$11:$AI$259), ""), 0)),"")</f>
        <v/>
      </c>
      <c r="AL108" s="59" t="str">
        <f t="array" ref="AL108">IFERROR(INDEX($AI$11:$AI$259, MATCH(0, IF(TRUE=$AG$11:$AG$259, COUNTIF($AL$10:$AL107, $AI$11:$AI$259), ""), 0)),"")</f>
        <v/>
      </c>
      <c r="AM108" s="59" t="str">
        <f t="array" ref="AM108">IFERROR(INDEX($AI$11:$AI$259, MATCH(0, IF(TRUE=$AH$11:$AH$259, COUNTIF($AM$10:$AM107, $AI$11:$AI$259), ""), 0)),"")</f>
        <v/>
      </c>
      <c r="AN108" s="59"/>
      <c r="AQ108" s="52">
        <f t="shared" si="7"/>
        <v>0</v>
      </c>
    </row>
    <row r="109" spans="1:43" x14ac:dyDescent="0.25">
      <c r="A109" s="52" t="str">
        <f>IFERROR(INDEX('G-1 All Habitats'!$AG$3:$AG$15,MATCH(E109,'G-1 All Habitats'!$AF$3:$AF$15,0)),"")</f>
        <v/>
      </c>
      <c r="B109" s="52" t="str">
        <f>IFERROR(INDEX('G-8 Condition Look up'!$I$4:$I$131,MATCH(G109,'G-8 Condition Look up'!$A$4:$A$131,0)),"")</f>
        <v/>
      </c>
      <c r="D109" s="89">
        <v>99</v>
      </c>
      <c r="E109" s="90"/>
      <c r="F109" s="91"/>
      <c r="G109" s="75" t="str">
        <f>IFERROR(INDEX('G-1 All Habitats'!$B$3:$B$130,MATCH(F109,'G-1 All Habitats'!$A$3:$A$130,0)),"")</f>
        <v/>
      </c>
      <c r="H109" s="76"/>
      <c r="I109" s="77" t="str">
        <f>IF(G109="","",VLOOKUP(G109,'G-1 All Habitats'!$B$2:$M$130,10,FALSE))</f>
        <v/>
      </c>
      <c r="J109" s="78" t="str">
        <f>IFERROR(VLOOKUP(I109,'G-1 All Habitats'!$V$3:$W$7,2,FALSE),"")</f>
        <v/>
      </c>
      <c r="K109" s="79"/>
      <c r="L109" s="78" t="str">
        <f>IFERROR(INDEX('G-8 Condition Look up'!$A$3:$H$131,MATCH(G109,'G-8 Condition Look up'!$A$3:$A$131,0),MATCH(K109,'G-8 Condition Look up'!$A$3:$H$3,0)),"")</f>
        <v/>
      </c>
      <c r="M109" s="79"/>
      <c r="N109" s="348" t="str">
        <f>IF(M109="","",IF(VLOOKUP(M109,'G-3 Multipliers'!$L$3:$N$6,2,FALSE)=0,"Spatial Data Missing",VLOOKUP(M109,'G-3 Multipliers'!$L$3:$N$6,2,FALSE)))</f>
        <v/>
      </c>
      <c r="O109" s="569" t="str">
        <f>IF(M109="","",IF(VLOOKUP(M109,'G-3 Multipliers'!$L$3:$N$6,3,FALSE)=0,"Spatial Data Missing",VLOOKUP(M109,'G-3 Multipliers'!$L$3:$N$6,3,FALSE)))</f>
        <v/>
      </c>
      <c r="P109" s="80" t="str">
        <f>IFERROR(VLOOKUP(G109,'G-1 All Habitats'!$B$2:$M$130,12,FALSE),"")</f>
        <v/>
      </c>
      <c r="Q109" s="81" t="str">
        <f>IFERROR(IF(P109="","",IF(AND(P109='G-1 All Habitats'!$X$3,T109&gt;0),U109+V109,IF(AND(P109='G-1 All Habitats'!$X$3,S109&gt;0),U109+V109,IF(AND(P109='G-1 All Habitats'!$X$3,AC109&gt;0),"Any Loss Unacceptable",IF(AND(P109='G-1 All Habitats'!$X$3,W109&gt;0),"Any Loss Unacceptable",H109*J109*L109*O109))))),"Check Data")</f>
        <v/>
      </c>
      <c r="R109" s="55"/>
      <c r="S109" s="79"/>
      <c r="T109" s="82"/>
      <c r="U109" s="83" t="str">
        <f t="shared" si="8"/>
        <v/>
      </c>
      <c r="V109" s="83" t="str">
        <f t="shared" si="9"/>
        <v/>
      </c>
      <c r="W109" s="83" t="str">
        <f>IF(E109="","",IF(H109&lt;S109+T109,"Error in Areas",IF(P109&lt;&gt;'G-1 All Habitats'!$X$3,H109-S109-T109,IF(AND(P109='G-1 All Habitats'!$X$3,Y109="Yes"),"Unacceptable Loss",IF(AND(P109='G-1 All Habitats'!$X$3,Y109="No"),AC109,IF(AND(P109='G-1 All Habitats'!$X$3,Y109=""),AC109,IF(AND(P109='G-1 All Habitats'!$X$3,AC109="None",AC109),IF(AND(P109='G-1 All Habitats'!$X$3,AC109&gt;0),H109-S109-T109))))))))</f>
        <v/>
      </c>
      <c r="X109" s="84" t="str">
        <f>IFERROR(IF(H109="","",IF(H109-S109-T109=0&lt;0,"Error in Areas",IF(S109+T109&gt;H109,"Error in Areas",IF(AND(P109='G-1 All Habitats'!$X$3,Y109="Yes"),"Alternative Compensation",IF(W109=0,0,IF(P109='G-1 All Habitats'!$X$3,"Unacceptable Loss",Q109-U109-V109)))))),"Check Data")</f>
        <v/>
      </c>
      <c r="Y109" s="82"/>
      <c r="Z109" s="92"/>
      <c r="AA109" s="93"/>
      <c r="AC109" s="87" t="str">
        <f>IF(P109="","",IF(P109='G-1 All Habitats'!$X$3,H109-S109-T109,"None"))</f>
        <v/>
      </c>
      <c r="AD109" s="88" t="str">
        <f>IFERROR(AC109*J109*L109*#REF!*O109,IF(P109="","","None"))</f>
        <v/>
      </c>
      <c r="AF109" s="59" t="str">
        <f t="shared" si="5"/>
        <v/>
      </c>
      <c r="AG109" s="59" t="str">
        <f t="shared" si="6"/>
        <v/>
      </c>
      <c r="AH109" s="59" t="str">
        <f>IF(I109="","",IF(#REF!&gt;0,TRUE,FALSE))</f>
        <v/>
      </c>
      <c r="AI109" s="59">
        <v>99</v>
      </c>
      <c r="AJ109" s="59"/>
      <c r="AK109" s="59" t="str">
        <f t="array" ref="AK109">IFERROR(INDEX($AI$11:$AI$259, MATCH(0, IF(TRUE=$AF$11:$AF$259, COUNTIF($AK$10:$AK108, $AI$11:$AI$259), ""), 0)),"")</f>
        <v/>
      </c>
      <c r="AL109" s="59" t="str">
        <f t="array" ref="AL109">IFERROR(INDEX($AI$11:$AI$259, MATCH(0, IF(TRUE=$AG$11:$AG$259, COUNTIF($AL$10:$AL108, $AI$11:$AI$259), ""), 0)),"")</f>
        <v/>
      </c>
      <c r="AM109" s="59" t="str">
        <f t="array" ref="AM109">IFERROR(INDEX($AI$11:$AI$259, MATCH(0, IF(TRUE=$AH$11:$AH$259, COUNTIF($AM$10:$AM108, $AI$11:$AI$259), ""), 0)),"")</f>
        <v/>
      </c>
      <c r="AN109" s="59"/>
      <c r="AQ109" s="52">
        <f t="shared" si="7"/>
        <v>0</v>
      </c>
    </row>
    <row r="110" spans="1:43" x14ac:dyDescent="0.25">
      <c r="A110" s="52" t="str">
        <f>IFERROR(INDEX('G-1 All Habitats'!$AG$3:$AG$15,MATCH(E110,'G-1 All Habitats'!$AF$3:$AF$15,0)),"")</f>
        <v/>
      </c>
      <c r="B110" s="52" t="str">
        <f>IFERROR(INDEX('G-8 Condition Look up'!$I$4:$I$131,MATCH(G110,'G-8 Condition Look up'!$A$4:$A$131,0)),"")</f>
        <v/>
      </c>
      <c r="D110" s="89">
        <v>100</v>
      </c>
      <c r="E110" s="90"/>
      <c r="F110" s="91"/>
      <c r="G110" s="75" t="str">
        <f>IFERROR(INDEX('G-1 All Habitats'!$B$3:$B$130,MATCH(F110,'G-1 All Habitats'!$A$3:$A$130,0)),"")</f>
        <v/>
      </c>
      <c r="H110" s="76"/>
      <c r="I110" s="77" t="str">
        <f>IF(G110="","",VLOOKUP(G110,'G-1 All Habitats'!$B$2:$M$130,10,FALSE))</f>
        <v/>
      </c>
      <c r="J110" s="78" t="str">
        <f>IFERROR(VLOOKUP(I110,'G-1 All Habitats'!$V$3:$W$7,2,FALSE),"")</f>
        <v/>
      </c>
      <c r="K110" s="79"/>
      <c r="L110" s="78" t="str">
        <f>IFERROR(INDEX('G-8 Condition Look up'!$A$3:$H$131,MATCH(G110,'G-8 Condition Look up'!$A$3:$A$131,0),MATCH(K110,'G-8 Condition Look up'!$A$3:$H$3,0)),"")</f>
        <v/>
      </c>
      <c r="M110" s="79"/>
      <c r="N110" s="348" t="str">
        <f>IF(M110="","",IF(VLOOKUP(M110,'G-3 Multipliers'!$L$3:$N$6,2,FALSE)=0,"Spatial Data Missing",VLOOKUP(M110,'G-3 Multipliers'!$L$3:$N$6,2,FALSE)))</f>
        <v/>
      </c>
      <c r="O110" s="569" t="str">
        <f>IF(M110="","",IF(VLOOKUP(M110,'G-3 Multipliers'!$L$3:$N$6,3,FALSE)=0,"Spatial Data Missing",VLOOKUP(M110,'G-3 Multipliers'!$L$3:$N$6,3,FALSE)))</f>
        <v/>
      </c>
      <c r="P110" s="80" t="str">
        <f>IFERROR(VLOOKUP(G110,'G-1 All Habitats'!$B$2:$M$130,12,FALSE),"")</f>
        <v/>
      </c>
      <c r="Q110" s="81" t="str">
        <f>IFERROR(IF(P110="","",IF(AND(P110='G-1 All Habitats'!$X$3,T110&gt;0),U110+V110,IF(AND(P110='G-1 All Habitats'!$X$3,S110&gt;0),U110+V110,IF(AND(P110='G-1 All Habitats'!$X$3,AC110&gt;0),"Any Loss Unacceptable",IF(AND(P110='G-1 All Habitats'!$X$3,W110&gt;0),"Any Loss Unacceptable",H110*J110*L110*O110))))),"Check Data")</f>
        <v/>
      </c>
      <c r="R110" s="55"/>
      <c r="S110" s="79"/>
      <c r="T110" s="82"/>
      <c r="U110" s="83" t="str">
        <f t="shared" si="8"/>
        <v/>
      </c>
      <c r="V110" s="83" t="str">
        <f t="shared" si="9"/>
        <v/>
      </c>
      <c r="W110" s="83" t="str">
        <f>IF(E110="","",IF(H110&lt;S110+T110,"Error in Areas",IF(P110&lt;&gt;'G-1 All Habitats'!$X$3,H110-S110-T110,IF(AND(P110='G-1 All Habitats'!$X$3,Y110="Yes"),"Unacceptable Loss",IF(AND(P110='G-1 All Habitats'!$X$3,Y110="No"),AC110,IF(AND(P110='G-1 All Habitats'!$X$3,Y110=""),AC110,IF(AND(P110='G-1 All Habitats'!$X$3,AC110="None",AC110),IF(AND(P110='G-1 All Habitats'!$X$3,AC110&gt;0),H110-S110-T110))))))))</f>
        <v/>
      </c>
      <c r="X110" s="84" t="str">
        <f>IFERROR(IF(H110="","",IF(H110-S110-T110=0&lt;0,"Error in Areas",IF(S110+T110&gt;H110,"Error in Areas",IF(AND(P110='G-1 All Habitats'!$X$3,Y110="Yes"),"Alternative Compensation",IF(W110=0,0,IF(P110='G-1 All Habitats'!$X$3,"Unacceptable Loss",Q110-U110-V110)))))),"Check Data")</f>
        <v/>
      </c>
      <c r="Y110" s="82"/>
      <c r="Z110" s="92"/>
      <c r="AA110" s="93"/>
      <c r="AC110" s="87" t="str">
        <f>IF(P110="","",IF(P110='G-1 All Habitats'!$X$3,H110-S110-T110,"None"))</f>
        <v/>
      </c>
      <c r="AD110" s="88" t="str">
        <f>IFERROR(AC110*J110*L110*#REF!*O110,IF(P110="","","None"))</f>
        <v/>
      </c>
      <c r="AF110" s="59" t="str">
        <f t="shared" si="5"/>
        <v/>
      </c>
      <c r="AG110" s="59" t="str">
        <f t="shared" si="6"/>
        <v/>
      </c>
      <c r="AH110" s="59" t="str">
        <f>IF(I110="","",IF(#REF!&gt;0,TRUE,FALSE))</f>
        <v/>
      </c>
      <c r="AI110" s="59">
        <v>100</v>
      </c>
      <c r="AJ110" s="59"/>
      <c r="AK110" s="59" t="str">
        <f t="array" ref="AK110">IFERROR(INDEX($AI$11:$AI$259, MATCH(0, IF(TRUE=$AF$11:$AF$259, COUNTIF($AK$10:$AK109, $AI$11:$AI$259), ""), 0)),"")</f>
        <v/>
      </c>
      <c r="AL110" s="59" t="str">
        <f t="array" ref="AL110">IFERROR(INDEX($AI$11:$AI$259, MATCH(0, IF(TRUE=$AG$11:$AG$259, COUNTIF($AL$10:$AL109, $AI$11:$AI$259), ""), 0)),"")</f>
        <v/>
      </c>
      <c r="AM110" s="59" t="str">
        <f t="array" ref="AM110">IFERROR(INDEX($AI$11:$AI$259, MATCH(0, IF(TRUE=$AH$11:$AH$259, COUNTIF($AM$10:$AM109, $AI$11:$AI$259), ""), 0)),"")</f>
        <v/>
      </c>
      <c r="AN110" s="59"/>
      <c r="AQ110" s="52">
        <f t="shared" si="7"/>
        <v>0</v>
      </c>
    </row>
    <row r="111" spans="1:43" x14ac:dyDescent="0.25">
      <c r="A111" s="52" t="str">
        <f>IFERROR(INDEX('G-1 All Habitats'!$AG$3:$AG$15,MATCH(E111,'G-1 All Habitats'!$AF$3:$AF$15,0)),"")</f>
        <v/>
      </c>
      <c r="B111" s="52" t="str">
        <f>IFERROR(INDEX('G-8 Condition Look up'!$I$4:$I$131,MATCH(G111,'G-8 Condition Look up'!$A$4:$A$131,0)),"")</f>
        <v/>
      </c>
      <c r="D111" s="89">
        <v>101</v>
      </c>
      <c r="E111" s="90"/>
      <c r="F111" s="91"/>
      <c r="G111" s="75" t="str">
        <f>IFERROR(INDEX('G-1 All Habitats'!$B$3:$B$130,MATCH(F111,'G-1 All Habitats'!$A$3:$A$130,0)),"")</f>
        <v/>
      </c>
      <c r="H111" s="76"/>
      <c r="I111" s="77" t="str">
        <f>IF(G111="","",VLOOKUP(G111,'G-1 All Habitats'!$B$2:$M$130,10,FALSE))</f>
        <v/>
      </c>
      <c r="J111" s="78" t="str">
        <f>IFERROR(VLOOKUP(I111,'G-1 All Habitats'!$V$3:$W$7,2,FALSE),"")</f>
        <v/>
      </c>
      <c r="K111" s="79"/>
      <c r="L111" s="78" t="str">
        <f>IFERROR(INDEX('G-8 Condition Look up'!$A$3:$H$131,MATCH(G111,'G-8 Condition Look up'!$A$3:$A$131,0),MATCH(K111,'G-8 Condition Look up'!$A$3:$H$3,0)),"")</f>
        <v/>
      </c>
      <c r="M111" s="79"/>
      <c r="N111" s="348" t="str">
        <f>IF(M111="","",IF(VLOOKUP(M111,'G-3 Multipliers'!$L$3:$N$6,2,FALSE)=0,"Spatial Data Missing",VLOOKUP(M111,'G-3 Multipliers'!$L$3:$N$6,2,FALSE)))</f>
        <v/>
      </c>
      <c r="O111" s="569" t="str">
        <f>IF(M111="","",IF(VLOOKUP(M111,'G-3 Multipliers'!$L$3:$N$6,3,FALSE)=0,"Spatial Data Missing",VLOOKUP(M111,'G-3 Multipliers'!$L$3:$N$6,3,FALSE)))</f>
        <v/>
      </c>
      <c r="P111" s="80" t="str">
        <f>IFERROR(VLOOKUP(G111,'G-1 All Habitats'!$B$2:$M$130,12,FALSE),"")</f>
        <v/>
      </c>
      <c r="Q111" s="81" t="str">
        <f>IFERROR(IF(P111="","",IF(AND(P111='G-1 All Habitats'!$X$3,T111&gt;0),U111+V111,IF(AND(P111='G-1 All Habitats'!$X$3,S111&gt;0),U111+V111,IF(AND(P111='G-1 All Habitats'!$X$3,AC111&gt;0),"Any Loss Unacceptable",IF(AND(P111='G-1 All Habitats'!$X$3,W111&gt;0),"Any Loss Unacceptable",H111*J111*L111*O111))))),"Check Data")</f>
        <v/>
      </c>
      <c r="R111" s="55"/>
      <c r="S111" s="79"/>
      <c r="T111" s="82"/>
      <c r="U111" s="83" t="str">
        <f t="shared" si="8"/>
        <v/>
      </c>
      <c r="V111" s="83" t="str">
        <f t="shared" si="9"/>
        <v/>
      </c>
      <c r="W111" s="83" t="str">
        <f>IF(E111="","",IF(H111&lt;S111+T111,"Error in Areas",IF(P111&lt;&gt;'G-1 All Habitats'!$X$3,H111-S111-T111,IF(AND(P111='G-1 All Habitats'!$X$3,Y111="Yes"),"Unacceptable Loss",IF(AND(P111='G-1 All Habitats'!$X$3,Y111="No"),AC111,IF(AND(P111='G-1 All Habitats'!$X$3,Y111=""),AC111,IF(AND(P111='G-1 All Habitats'!$X$3,AC111="None",AC111),IF(AND(P111='G-1 All Habitats'!$X$3,AC111&gt;0),H111-S111-T111))))))))</f>
        <v/>
      </c>
      <c r="X111" s="84" t="str">
        <f>IFERROR(IF(H111="","",IF(H111-S111-T111=0&lt;0,"Error in Areas",IF(S111+T111&gt;H111,"Error in Areas",IF(AND(P111='G-1 All Habitats'!$X$3,Y111="Yes"),"Alternative Compensation",IF(W111=0,0,IF(P111='G-1 All Habitats'!$X$3,"Unacceptable Loss",Q111-U111-V111)))))),"Check Data")</f>
        <v/>
      </c>
      <c r="Y111" s="82"/>
      <c r="Z111" s="92"/>
      <c r="AA111" s="93"/>
      <c r="AC111" s="87" t="str">
        <f>IF(P111="","",IF(P111='G-1 All Habitats'!$X$3,H111-S111-T111,"None"))</f>
        <v/>
      </c>
      <c r="AD111" s="88" t="str">
        <f>IFERROR(AC111*J111*L111*#REF!*O111,IF(P111="","","None"))</f>
        <v/>
      </c>
      <c r="AF111" s="59" t="str">
        <f t="shared" si="5"/>
        <v/>
      </c>
      <c r="AG111" s="59" t="str">
        <f t="shared" si="6"/>
        <v/>
      </c>
      <c r="AH111" s="59" t="str">
        <f>IF(I111="","",IF(#REF!&gt;0,TRUE,FALSE))</f>
        <v/>
      </c>
      <c r="AI111" s="59">
        <v>101</v>
      </c>
      <c r="AJ111" s="59"/>
      <c r="AK111" s="59" t="str">
        <f t="array" ref="AK111">IFERROR(INDEX($AI$11:$AI$259, MATCH(0, IF(TRUE=$AF$11:$AF$259, COUNTIF($AK$10:$AK110, $AI$11:$AI$259), ""), 0)),"")</f>
        <v/>
      </c>
      <c r="AL111" s="59" t="str">
        <f t="array" ref="AL111">IFERROR(INDEX($AI$11:$AI$259, MATCH(0, IF(TRUE=$AG$11:$AG$259, COUNTIF($AL$10:$AL110, $AI$11:$AI$259), ""), 0)),"")</f>
        <v/>
      </c>
      <c r="AM111" s="59" t="str">
        <f t="array" ref="AM111">IFERROR(INDEX($AI$11:$AI$259, MATCH(0, IF(TRUE=$AH$11:$AH$259, COUNTIF($AM$10:$AM110, $AI$11:$AI$259), ""), 0)),"")</f>
        <v/>
      </c>
      <c r="AN111" s="59"/>
      <c r="AQ111" s="52">
        <f t="shared" si="7"/>
        <v>0</v>
      </c>
    </row>
    <row r="112" spans="1:43" x14ac:dyDescent="0.25">
      <c r="A112" s="52" t="str">
        <f>IFERROR(INDEX('G-1 All Habitats'!$AG$3:$AG$15,MATCH(E112,'G-1 All Habitats'!$AF$3:$AF$15,0)),"")</f>
        <v/>
      </c>
      <c r="B112" s="52" t="str">
        <f>IFERROR(INDEX('G-8 Condition Look up'!$I$4:$I$131,MATCH(G112,'G-8 Condition Look up'!$A$4:$A$131,0)),"")</f>
        <v/>
      </c>
      <c r="D112" s="89">
        <v>102</v>
      </c>
      <c r="E112" s="90"/>
      <c r="F112" s="91"/>
      <c r="G112" s="75" t="str">
        <f>IFERROR(INDEX('G-1 All Habitats'!$B$3:$B$130,MATCH(F112,'G-1 All Habitats'!$A$3:$A$130,0)),"")</f>
        <v/>
      </c>
      <c r="H112" s="76"/>
      <c r="I112" s="77" t="str">
        <f>IF(G112="","",VLOOKUP(G112,'G-1 All Habitats'!$B$2:$M$130,10,FALSE))</f>
        <v/>
      </c>
      <c r="J112" s="78" t="str">
        <f>IFERROR(VLOOKUP(I112,'G-1 All Habitats'!$V$3:$W$7,2,FALSE),"")</f>
        <v/>
      </c>
      <c r="K112" s="79"/>
      <c r="L112" s="78" t="str">
        <f>IFERROR(INDEX('G-8 Condition Look up'!$A$3:$H$131,MATCH(G112,'G-8 Condition Look up'!$A$3:$A$131,0),MATCH(K112,'G-8 Condition Look up'!$A$3:$H$3,0)),"")</f>
        <v/>
      </c>
      <c r="M112" s="79"/>
      <c r="N112" s="348" t="str">
        <f>IF(M112="","",IF(VLOOKUP(M112,'G-3 Multipliers'!$L$3:$N$6,2,FALSE)=0,"Spatial Data Missing",VLOOKUP(M112,'G-3 Multipliers'!$L$3:$N$6,2,FALSE)))</f>
        <v/>
      </c>
      <c r="O112" s="569" t="str">
        <f>IF(M112="","",IF(VLOOKUP(M112,'G-3 Multipliers'!$L$3:$N$6,3,FALSE)=0,"Spatial Data Missing",VLOOKUP(M112,'G-3 Multipliers'!$L$3:$N$6,3,FALSE)))</f>
        <v/>
      </c>
      <c r="P112" s="80" t="str">
        <f>IFERROR(VLOOKUP(G112,'G-1 All Habitats'!$B$2:$M$130,12,FALSE),"")</f>
        <v/>
      </c>
      <c r="Q112" s="81" t="str">
        <f>IFERROR(IF(P112="","",IF(AND(P112='G-1 All Habitats'!$X$3,T112&gt;0),U112+V112,IF(AND(P112='G-1 All Habitats'!$X$3,S112&gt;0),U112+V112,IF(AND(P112='G-1 All Habitats'!$X$3,AC112&gt;0),"Any Loss Unacceptable",IF(AND(P112='G-1 All Habitats'!$X$3,W112&gt;0),"Any Loss Unacceptable",H112*J112*L112*O112))))),"Check Data")</f>
        <v/>
      </c>
      <c r="R112" s="55"/>
      <c r="S112" s="79"/>
      <c r="T112" s="82"/>
      <c r="U112" s="83" t="str">
        <f t="shared" si="8"/>
        <v/>
      </c>
      <c r="V112" s="83" t="str">
        <f t="shared" si="9"/>
        <v/>
      </c>
      <c r="W112" s="83" t="str">
        <f>IF(E112="","",IF(H112&lt;S112+T112,"Error in Areas",IF(P112&lt;&gt;'G-1 All Habitats'!$X$3,H112-S112-T112,IF(AND(P112='G-1 All Habitats'!$X$3,Y112="Yes"),"Unacceptable Loss",IF(AND(P112='G-1 All Habitats'!$X$3,Y112="No"),AC112,IF(AND(P112='G-1 All Habitats'!$X$3,Y112=""),AC112,IF(AND(P112='G-1 All Habitats'!$X$3,AC112="None",AC112),IF(AND(P112='G-1 All Habitats'!$X$3,AC112&gt;0),H112-S112-T112))))))))</f>
        <v/>
      </c>
      <c r="X112" s="84" t="str">
        <f>IFERROR(IF(H112="","",IF(H112-S112-T112=0&lt;0,"Error in Areas",IF(S112+T112&gt;H112,"Error in Areas",IF(AND(P112='G-1 All Habitats'!$X$3,Y112="Yes"),"Alternative Compensation",IF(W112=0,0,IF(P112='G-1 All Habitats'!$X$3,"Unacceptable Loss",Q112-U112-V112)))))),"Check Data")</f>
        <v/>
      </c>
      <c r="Y112" s="82"/>
      <c r="Z112" s="92"/>
      <c r="AA112" s="93"/>
      <c r="AC112" s="87" t="str">
        <f>IF(P112="","",IF(P112='G-1 All Habitats'!$X$3,H112-S112-T112,"None"))</f>
        <v/>
      </c>
      <c r="AD112" s="88" t="str">
        <f>IFERROR(AC112*J112*L112*#REF!*O112,IF(P112="","","None"))</f>
        <v/>
      </c>
      <c r="AF112" s="59" t="str">
        <f t="shared" si="5"/>
        <v/>
      </c>
      <c r="AG112" s="59" t="str">
        <f t="shared" si="6"/>
        <v/>
      </c>
      <c r="AH112" s="59" t="str">
        <f>IF(I112="","",IF(#REF!&gt;0,TRUE,FALSE))</f>
        <v/>
      </c>
      <c r="AI112" s="59">
        <v>102</v>
      </c>
      <c r="AJ112" s="59"/>
      <c r="AK112" s="59" t="str">
        <f t="array" ref="AK112">IFERROR(INDEX($AI$11:$AI$259, MATCH(0, IF(TRUE=$AF$11:$AF$259, COUNTIF($AK$10:$AK111, $AI$11:$AI$259), ""), 0)),"")</f>
        <v/>
      </c>
      <c r="AL112" s="59" t="str">
        <f t="array" ref="AL112">IFERROR(INDEX($AI$11:$AI$259, MATCH(0, IF(TRUE=$AG$11:$AG$259, COUNTIF($AL$10:$AL111, $AI$11:$AI$259), ""), 0)),"")</f>
        <v/>
      </c>
      <c r="AM112" s="59" t="str">
        <f t="array" ref="AM112">IFERROR(INDEX($AI$11:$AI$259, MATCH(0, IF(TRUE=$AH$11:$AH$259, COUNTIF($AM$10:$AM111, $AI$11:$AI$259), ""), 0)),"")</f>
        <v/>
      </c>
      <c r="AN112" s="59"/>
      <c r="AQ112" s="52">
        <f t="shared" si="7"/>
        <v>0</v>
      </c>
    </row>
    <row r="113" spans="1:43" x14ac:dyDescent="0.25">
      <c r="A113" s="52" t="str">
        <f>IFERROR(INDEX('G-1 All Habitats'!$AG$3:$AG$15,MATCH(E113,'G-1 All Habitats'!$AF$3:$AF$15,0)),"")</f>
        <v/>
      </c>
      <c r="B113" s="52" t="str">
        <f>IFERROR(INDEX('G-8 Condition Look up'!$I$4:$I$131,MATCH(G113,'G-8 Condition Look up'!$A$4:$A$131,0)),"")</f>
        <v/>
      </c>
      <c r="D113" s="89">
        <v>103</v>
      </c>
      <c r="E113" s="90"/>
      <c r="F113" s="91"/>
      <c r="G113" s="75" t="str">
        <f>IFERROR(INDEX('G-1 All Habitats'!$B$3:$B$130,MATCH(F113,'G-1 All Habitats'!$A$3:$A$130,0)),"")</f>
        <v/>
      </c>
      <c r="H113" s="76"/>
      <c r="I113" s="77" t="str">
        <f>IF(G113="","",VLOOKUP(G113,'G-1 All Habitats'!$B$2:$M$130,10,FALSE))</f>
        <v/>
      </c>
      <c r="J113" s="78" t="str">
        <f>IFERROR(VLOOKUP(I113,'G-1 All Habitats'!$V$3:$W$7,2,FALSE),"")</f>
        <v/>
      </c>
      <c r="K113" s="79"/>
      <c r="L113" s="78" t="str">
        <f>IFERROR(INDEX('G-8 Condition Look up'!$A$3:$H$131,MATCH(G113,'G-8 Condition Look up'!$A$3:$A$131,0),MATCH(K113,'G-8 Condition Look up'!$A$3:$H$3,0)),"")</f>
        <v/>
      </c>
      <c r="M113" s="79"/>
      <c r="N113" s="348" t="str">
        <f>IF(M113="","",IF(VLOOKUP(M113,'G-3 Multipliers'!$L$3:$N$6,2,FALSE)=0,"Spatial Data Missing",VLOOKUP(M113,'G-3 Multipliers'!$L$3:$N$6,2,FALSE)))</f>
        <v/>
      </c>
      <c r="O113" s="569" t="str">
        <f>IF(M113="","",IF(VLOOKUP(M113,'G-3 Multipliers'!$L$3:$N$6,3,FALSE)=0,"Spatial Data Missing",VLOOKUP(M113,'G-3 Multipliers'!$L$3:$N$6,3,FALSE)))</f>
        <v/>
      </c>
      <c r="P113" s="80" t="str">
        <f>IFERROR(VLOOKUP(G113,'G-1 All Habitats'!$B$2:$M$130,12,FALSE),"")</f>
        <v/>
      </c>
      <c r="Q113" s="81" t="str">
        <f>IFERROR(IF(P113="","",IF(AND(P113='G-1 All Habitats'!$X$3,T113&gt;0),U113+V113,IF(AND(P113='G-1 All Habitats'!$X$3,S113&gt;0),U113+V113,IF(AND(P113='G-1 All Habitats'!$X$3,AC113&gt;0),"Any Loss Unacceptable",IF(AND(P113='G-1 All Habitats'!$X$3,W113&gt;0),"Any Loss Unacceptable",H113*J113*L113*O113))))),"Check Data")</f>
        <v/>
      </c>
      <c r="R113" s="55"/>
      <c r="S113" s="79"/>
      <c r="T113" s="82"/>
      <c r="U113" s="83" t="str">
        <f t="shared" si="8"/>
        <v/>
      </c>
      <c r="V113" s="83" t="str">
        <f t="shared" si="9"/>
        <v/>
      </c>
      <c r="W113" s="83" t="str">
        <f>IF(E113="","",IF(H113&lt;S113+T113,"Error in Areas",IF(P113&lt;&gt;'G-1 All Habitats'!$X$3,H113-S113-T113,IF(AND(P113='G-1 All Habitats'!$X$3,Y113="Yes"),"Unacceptable Loss",IF(AND(P113='G-1 All Habitats'!$X$3,Y113="No"),AC113,IF(AND(P113='G-1 All Habitats'!$X$3,Y113=""),AC113,IF(AND(P113='G-1 All Habitats'!$X$3,AC113="None",AC113),IF(AND(P113='G-1 All Habitats'!$X$3,AC113&gt;0),H113-S113-T113))))))))</f>
        <v/>
      </c>
      <c r="X113" s="84" t="str">
        <f>IFERROR(IF(H113="","",IF(H113-S113-T113=0&lt;0,"Error in Areas",IF(S113+T113&gt;H113,"Error in Areas",IF(AND(P113='G-1 All Habitats'!$X$3,Y113="Yes"),"Alternative Compensation",IF(W113=0,0,IF(P113='G-1 All Habitats'!$X$3,"Unacceptable Loss",Q113-U113-V113)))))),"Check Data")</f>
        <v/>
      </c>
      <c r="Y113" s="82"/>
      <c r="Z113" s="92"/>
      <c r="AA113" s="93"/>
      <c r="AC113" s="87" t="str">
        <f>IF(P113="","",IF(P113='G-1 All Habitats'!$X$3,H113-S113-T113,"None"))</f>
        <v/>
      </c>
      <c r="AD113" s="88" t="str">
        <f>IFERROR(AC113*J113*L113*#REF!*O113,IF(P113="","","None"))</f>
        <v/>
      </c>
      <c r="AF113" s="59" t="str">
        <f t="shared" si="5"/>
        <v/>
      </c>
      <c r="AG113" s="59" t="str">
        <f t="shared" si="6"/>
        <v/>
      </c>
      <c r="AH113" s="59" t="str">
        <f>IF(I113="","",IF(#REF!&gt;0,TRUE,FALSE))</f>
        <v/>
      </c>
      <c r="AI113" s="59">
        <v>103</v>
      </c>
      <c r="AJ113" s="59"/>
      <c r="AK113" s="59" t="str">
        <f t="array" ref="AK113">IFERROR(INDEX($AI$11:$AI$259, MATCH(0, IF(TRUE=$AF$11:$AF$259, COUNTIF($AK$10:$AK112, $AI$11:$AI$259), ""), 0)),"")</f>
        <v/>
      </c>
      <c r="AL113" s="59" t="str">
        <f t="array" ref="AL113">IFERROR(INDEX($AI$11:$AI$259, MATCH(0, IF(TRUE=$AG$11:$AG$259, COUNTIF($AL$10:$AL112, $AI$11:$AI$259), ""), 0)),"")</f>
        <v/>
      </c>
      <c r="AM113" s="59" t="str">
        <f t="array" ref="AM113">IFERROR(INDEX($AI$11:$AI$259, MATCH(0, IF(TRUE=$AH$11:$AH$259, COUNTIF($AM$10:$AM112, $AI$11:$AI$259), ""), 0)),"")</f>
        <v/>
      </c>
      <c r="AN113" s="59"/>
      <c r="AQ113" s="52">
        <f t="shared" si="7"/>
        <v>0</v>
      </c>
    </row>
    <row r="114" spans="1:43" x14ac:dyDescent="0.25">
      <c r="A114" s="52" t="str">
        <f>IFERROR(INDEX('G-1 All Habitats'!$AG$3:$AG$15,MATCH(E114,'G-1 All Habitats'!$AF$3:$AF$15,0)),"")</f>
        <v/>
      </c>
      <c r="B114" s="52" t="str">
        <f>IFERROR(INDEX('G-8 Condition Look up'!$I$4:$I$131,MATCH(G114,'G-8 Condition Look up'!$A$4:$A$131,0)),"")</f>
        <v/>
      </c>
      <c r="D114" s="89">
        <v>104</v>
      </c>
      <c r="E114" s="90"/>
      <c r="F114" s="91"/>
      <c r="G114" s="75" t="str">
        <f>IFERROR(INDEX('G-1 All Habitats'!$B$3:$B$130,MATCH(F114,'G-1 All Habitats'!$A$3:$A$130,0)),"")</f>
        <v/>
      </c>
      <c r="H114" s="76"/>
      <c r="I114" s="77" t="str">
        <f>IF(G114="","",VLOOKUP(G114,'G-1 All Habitats'!$B$2:$M$130,10,FALSE))</f>
        <v/>
      </c>
      <c r="J114" s="78" t="str">
        <f>IFERROR(VLOOKUP(I114,'G-1 All Habitats'!$V$3:$W$7,2,FALSE),"")</f>
        <v/>
      </c>
      <c r="K114" s="79"/>
      <c r="L114" s="78" t="str">
        <f>IFERROR(INDEX('G-8 Condition Look up'!$A$3:$H$131,MATCH(G114,'G-8 Condition Look up'!$A$3:$A$131,0),MATCH(K114,'G-8 Condition Look up'!$A$3:$H$3,0)),"")</f>
        <v/>
      </c>
      <c r="M114" s="79"/>
      <c r="N114" s="348" t="str">
        <f>IF(M114="","",IF(VLOOKUP(M114,'G-3 Multipliers'!$L$3:$N$6,2,FALSE)=0,"Spatial Data Missing",VLOOKUP(M114,'G-3 Multipliers'!$L$3:$N$6,2,FALSE)))</f>
        <v/>
      </c>
      <c r="O114" s="569" t="str">
        <f>IF(M114="","",IF(VLOOKUP(M114,'G-3 Multipliers'!$L$3:$N$6,3,FALSE)=0,"Spatial Data Missing",VLOOKUP(M114,'G-3 Multipliers'!$L$3:$N$6,3,FALSE)))</f>
        <v/>
      </c>
      <c r="P114" s="80" t="str">
        <f>IFERROR(VLOOKUP(G114,'G-1 All Habitats'!$B$2:$M$130,12,FALSE),"")</f>
        <v/>
      </c>
      <c r="Q114" s="81" t="str">
        <f>IFERROR(IF(P114="","",IF(AND(P114='G-1 All Habitats'!$X$3,T114&gt;0),U114+V114,IF(AND(P114='G-1 All Habitats'!$X$3,S114&gt;0),U114+V114,IF(AND(P114='G-1 All Habitats'!$X$3,AC114&gt;0),"Any Loss Unacceptable",IF(AND(P114='G-1 All Habitats'!$X$3,W114&gt;0),"Any Loss Unacceptable",H114*J114*L114*O114))))),"Check Data")</f>
        <v/>
      </c>
      <c r="R114" s="55"/>
      <c r="S114" s="79"/>
      <c r="T114" s="82"/>
      <c r="U114" s="83" t="str">
        <f t="shared" si="8"/>
        <v/>
      </c>
      <c r="V114" s="83" t="str">
        <f t="shared" si="9"/>
        <v/>
      </c>
      <c r="W114" s="83" t="str">
        <f>IF(E114="","",IF(H114&lt;S114+T114,"Error in Areas",IF(P114&lt;&gt;'G-1 All Habitats'!$X$3,H114-S114-T114,IF(AND(P114='G-1 All Habitats'!$X$3,Y114="Yes"),"Unacceptable Loss",IF(AND(P114='G-1 All Habitats'!$X$3,Y114="No"),AC114,IF(AND(P114='G-1 All Habitats'!$X$3,Y114=""),AC114,IF(AND(P114='G-1 All Habitats'!$X$3,AC114="None",AC114),IF(AND(P114='G-1 All Habitats'!$X$3,AC114&gt;0),H114-S114-T114))))))))</f>
        <v/>
      </c>
      <c r="X114" s="84" t="str">
        <f>IFERROR(IF(H114="","",IF(H114-S114-T114=0&lt;0,"Error in Areas",IF(S114+T114&gt;H114,"Error in Areas",IF(AND(P114='G-1 All Habitats'!$X$3,Y114="Yes"),"Alternative Compensation",IF(W114=0,0,IF(P114='G-1 All Habitats'!$X$3,"Unacceptable Loss",Q114-U114-V114)))))),"Check Data")</f>
        <v/>
      </c>
      <c r="Y114" s="82"/>
      <c r="Z114" s="92"/>
      <c r="AA114" s="93"/>
      <c r="AC114" s="87" t="str">
        <f>IF(P114="","",IF(P114='G-1 All Habitats'!$X$3,H114-S114-T114,"None"))</f>
        <v/>
      </c>
      <c r="AD114" s="88" t="str">
        <f>IFERROR(AC114*J114*L114*#REF!*O114,IF(P114="","","None"))</f>
        <v/>
      </c>
      <c r="AF114" s="59" t="str">
        <f t="shared" si="5"/>
        <v/>
      </c>
      <c r="AG114" s="59" t="str">
        <f t="shared" si="6"/>
        <v/>
      </c>
      <c r="AH114" s="59" t="str">
        <f>IF(I114="","",IF(#REF!&gt;0,TRUE,FALSE))</f>
        <v/>
      </c>
      <c r="AI114" s="59">
        <v>104</v>
      </c>
      <c r="AJ114" s="59"/>
      <c r="AK114" s="59" t="str">
        <f t="array" ref="AK114">IFERROR(INDEX($AI$11:$AI$259, MATCH(0, IF(TRUE=$AF$11:$AF$259, COUNTIF($AK$10:$AK113, $AI$11:$AI$259), ""), 0)),"")</f>
        <v/>
      </c>
      <c r="AL114" s="59" t="str">
        <f t="array" ref="AL114">IFERROR(INDEX($AI$11:$AI$259, MATCH(0, IF(TRUE=$AG$11:$AG$259, COUNTIF($AL$10:$AL113, $AI$11:$AI$259), ""), 0)),"")</f>
        <v/>
      </c>
      <c r="AM114" s="59" t="str">
        <f t="array" ref="AM114">IFERROR(INDEX($AI$11:$AI$259, MATCH(0, IF(TRUE=$AH$11:$AH$259, COUNTIF($AM$10:$AM113, $AI$11:$AI$259), ""), 0)),"")</f>
        <v/>
      </c>
      <c r="AN114" s="59"/>
      <c r="AQ114" s="52">
        <f t="shared" si="7"/>
        <v>0</v>
      </c>
    </row>
    <row r="115" spans="1:43" x14ac:dyDescent="0.25">
      <c r="A115" s="52" t="str">
        <f>IFERROR(INDEX('G-1 All Habitats'!$AG$3:$AG$15,MATCH(E115,'G-1 All Habitats'!$AF$3:$AF$15,0)),"")</f>
        <v/>
      </c>
      <c r="B115" s="52" t="str">
        <f>IFERROR(INDEX('G-8 Condition Look up'!$I$4:$I$131,MATCH(G115,'G-8 Condition Look up'!$A$4:$A$131,0)),"")</f>
        <v/>
      </c>
      <c r="D115" s="89">
        <v>105</v>
      </c>
      <c r="E115" s="90"/>
      <c r="F115" s="91"/>
      <c r="G115" s="75" t="str">
        <f>IFERROR(INDEX('G-1 All Habitats'!$B$3:$B$130,MATCH(F115,'G-1 All Habitats'!$A$3:$A$130,0)),"")</f>
        <v/>
      </c>
      <c r="H115" s="76"/>
      <c r="I115" s="77" t="str">
        <f>IF(G115="","",VLOOKUP(G115,'G-1 All Habitats'!$B$2:$M$130,10,FALSE))</f>
        <v/>
      </c>
      <c r="J115" s="78" t="str">
        <f>IFERROR(VLOOKUP(I115,'G-1 All Habitats'!$V$3:$W$7,2,FALSE),"")</f>
        <v/>
      </c>
      <c r="K115" s="79"/>
      <c r="L115" s="78" t="str">
        <f>IFERROR(INDEX('G-8 Condition Look up'!$A$3:$H$131,MATCH(G115,'G-8 Condition Look up'!$A$3:$A$131,0),MATCH(K115,'G-8 Condition Look up'!$A$3:$H$3,0)),"")</f>
        <v/>
      </c>
      <c r="M115" s="79"/>
      <c r="N115" s="348" t="str">
        <f>IF(M115="","",IF(VLOOKUP(M115,'G-3 Multipliers'!$L$3:$N$6,2,FALSE)=0,"Spatial Data Missing",VLOOKUP(M115,'G-3 Multipliers'!$L$3:$N$6,2,FALSE)))</f>
        <v/>
      </c>
      <c r="O115" s="569" t="str">
        <f>IF(M115="","",IF(VLOOKUP(M115,'G-3 Multipliers'!$L$3:$N$6,3,FALSE)=0,"Spatial Data Missing",VLOOKUP(M115,'G-3 Multipliers'!$L$3:$N$6,3,FALSE)))</f>
        <v/>
      </c>
      <c r="P115" s="80" t="str">
        <f>IFERROR(VLOOKUP(G115,'G-1 All Habitats'!$B$2:$M$130,12,FALSE),"")</f>
        <v/>
      </c>
      <c r="Q115" s="81" t="str">
        <f>IFERROR(IF(P115="","",IF(AND(P115='G-1 All Habitats'!$X$3,T115&gt;0),U115+V115,IF(AND(P115='G-1 All Habitats'!$X$3,S115&gt;0),U115+V115,IF(AND(P115='G-1 All Habitats'!$X$3,AC115&gt;0),"Any Loss Unacceptable",IF(AND(P115='G-1 All Habitats'!$X$3,W115&gt;0),"Any Loss Unacceptable",H115*J115*L115*O115))))),"Check Data")</f>
        <v/>
      </c>
      <c r="R115" s="55"/>
      <c r="S115" s="79"/>
      <c r="T115" s="82"/>
      <c r="U115" s="83" t="str">
        <f t="shared" si="8"/>
        <v/>
      </c>
      <c r="V115" s="83" t="str">
        <f t="shared" si="9"/>
        <v/>
      </c>
      <c r="W115" s="83" t="str">
        <f>IF(E115="","",IF(H115&lt;S115+T115,"Error in Areas",IF(P115&lt;&gt;'G-1 All Habitats'!$X$3,H115-S115-T115,IF(AND(P115='G-1 All Habitats'!$X$3,Y115="Yes"),"Unacceptable Loss",IF(AND(P115='G-1 All Habitats'!$X$3,Y115="No"),AC115,IF(AND(P115='G-1 All Habitats'!$X$3,Y115=""),AC115,IF(AND(P115='G-1 All Habitats'!$X$3,AC115="None",AC115),IF(AND(P115='G-1 All Habitats'!$X$3,AC115&gt;0),H115-S115-T115))))))))</f>
        <v/>
      </c>
      <c r="X115" s="84" t="str">
        <f>IFERROR(IF(H115="","",IF(H115-S115-T115=0&lt;0,"Error in Areas",IF(S115+T115&gt;H115,"Error in Areas",IF(AND(P115='G-1 All Habitats'!$X$3,Y115="Yes"),"Alternative Compensation",IF(W115=0,0,IF(P115='G-1 All Habitats'!$X$3,"Unacceptable Loss",Q115-U115-V115)))))),"Check Data")</f>
        <v/>
      </c>
      <c r="Y115" s="82"/>
      <c r="Z115" s="92"/>
      <c r="AA115" s="93"/>
      <c r="AC115" s="87" t="str">
        <f>IF(P115="","",IF(P115='G-1 All Habitats'!$X$3,H115-S115-T115,"None"))</f>
        <v/>
      </c>
      <c r="AD115" s="88" t="str">
        <f>IFERROR(AC115*J115*L115*#REF!*O115,IF(P115="","","None"))</f>
        <v/>
      </c>
      <c r="AF115" s="59" t="str">
        <f t="shared" si="5"/>
        <v/>
      </c>
      <c r="AG115" s="59" t="str">
        <f t="shared" si="6"/>
        <v/>
      </c>
      <c r="AH115" s="59" t="str">
        <f>IF(I115="","",IF(#REF!&gt;0,TRUE,FALSE))</f>
        <v/>
      </c>
      <c r="AI115" s="59">
        <v>105</v>
      </c>
      <c r="AJ115" s="59"/>
      <c r="AK115" s="59" t="str">
        <f t="array" ref="AK115">IFERROR(INDEX($AI$11:$AI$259, MATCH(0, IF(TRUE=$AF$11:$AF$259, COUNTIF($AK$10:$AK114, $AI$11:$AI$259), ""), 0)),"")</f>
        <v/>
      </c>
      <c r="AL115" s="59" t="str">
        <f t="array" ref="AL115">IFERROR(INDEX($AI$11:$AI$259, MATCH(0, IF(TRUE=$AG$11:$AG$259, COUNTIF($AL$10:$AL114, $AI$11:$AI$259), ""), 0)),"")</f>
        <v/>
      </c>
      <c r="AM115" s="59" t="str">
        <f t="array" ref="AM115">IFERROR(INDEX($AI$11:$AI$259, MATCH(0, IF(TRUE=$AH$11:$AH$259, COUNTIF($AM$10:$AM114, $AI$11:$AI$259), ""), 0)),"")</f>
        <v/>
      </c>
      <c r="AN115" s="59"/>
      <c r="AQ115" s="52">
        <f t="shared" si="7"/>
        <v>0</v>
      </c>
    </row>
    <row r="116" spans="1:43" x14ac:dyDescent="0.25">
      <c r="A116" s="52" t="str">
        <f>IFERROR(INDEX('G-1 All Habitats'!$AG$3:$AG$15,MATCH(E116,'G-1 All Habitats'!$AF$3:$AF$15,0)),"")</f>
        <v/>
      </c>
      <c r="B116" s="52" t="str">
        <f>IFERROR(INDEX('G-8 Condition Look up'!$I$4:$I$131,MATCH(G116,'G-8 Condition Look up'!$A$4:$A$131,0)),"")</f>
        <v/>
      </c>
      <c r="D116" s="89">
        <v>106</v>
      </c>
      <c r="E116" s="90"/>
      <c r="F116" s="91"/>
      <c r="G116" s="75" t="str">
        <f>IFERROR(INDEX('G-1 All Habitats'!$B$3:$B$130,MATCH(F116,'G-1 All Habitats'!$A$3:$A$130,0)),"")</f>
        <v/>
      </c>
      <c r="H116" s="76"/>
      <c r="I116" s="77" t="str">
        <f>IF(G116="","",VLOOKUP(G116,'G-1 All Habitats'!$B$2:$M$130,10,FALSE))</f>
        <v/>
      </c>
      <c r="J116" s="78" t="str">
        <f>IFERROR(VLOOKUP(I116,'G-1 All Habitats'!$V$3:$W$7,2,FALSE),"")</f>
        <v/>
      </c>
      <c r="K116" s="79"/>
      <c r="L116" s="78" t="str">
        <f>IFERROR(INDEX('G-8 Condition Look up'!$A$3:$H$131,MATCH(G116,'G-8 Condition Look up'!$A$3:$A$131,0),MATCH(K116,'G-8 Condition Look up'!$A$3:$H$3,0)),"")</f>
        <v/>
      </c>
      <c r="M116" s="79"/>
      <c r="N116" s="348" t="str">
        <f>IF(M116="","",IF(VLOOKUP(M116,'G-3 Multipliers'!$L$3:$N$6,2,FALSE)=0,"Spatial Data Missing",VLOOKUP(M116,'G-3 Multipliers'!$L$3:$N$6,2,FALSE)))</f>
        <v/>
      </c>
      <c r="O116" s="569" t="str">
        <f>IF(M116="","",IF(VLOOKUP(M116,'G-3 Multipliers'!$L$3:$N$6,3,FALSE)=0,"Spatial Data Missing",VLOOKUP(M116,'G-3 Multipliers'!$L$3:$N$6,3,FALSE)))</f>
        <v/>
      </c>
      <c r="P116" s="80" t="str">
        <f>IFERROR(VLOOKUP(G116,'G-1 All Habitats'!$B$2:$M$130,12,FALSE),"")</f>
        <v/>
      </c>
      <c r="Q116" s="81" t="str">
        <f>IFERROR(IF(P116="","",IF(AND(P116='G-1 All Habitats'!$X$3,T116&gt;0),U116+V116,IF(AND(P116='G-1 All Habitats'!$X$3,S116&gt;0),U116+V116,IF(AND(P116='G-1 All Habitats'!$X$3,AC116&gt;0),"Any Loss Unacceptable",IF(AND(P116='G-1 All Habitats'!$X$3,W116&gt;0),"Any Loss Unacceptable",H116*J116*L116*O116))))),"Check Data")</f>
        <v/>
      </c>
      <c r="R116" s="55"/>
      <c r="S116" s="79"/>
      <c r="T116" s="82"/>
      <c r="U116" s="83" t="str">
        <f t="shared" si="8"/>
        <v/>
      </c>
      <c r="V116" s="83" t="str">
        <f t="shared" si="9"/>
        <v/>
      </c>
      <c r="W116" s="83" t="str">
        <f>IF(E116="","",IF(H116&lt;S116+T116,"Error in Areas",IF(P116&lt;&gt;'G-1 All Habitats'!$X$3,H116-S116-T116,IF(AND(P116='G-1 All Habitats'!$X$3,Y116="Yes"),"Unacceptable Loss",IF(AND(P116='G-1 All Habitats'!$X$3,Y116="No"),AC116,IF(AND(P116='G-1 All Habitats'!$X$3,Y116=""),AC116,IF(AND(P116='G-1 All Habitats'!$X$3,AC116="None",AC116),IF(AND(P116='G-1 All Habitats'!$X$3,AC116&gt;0),H116-S116-T116))))))))</f>
        <v/>
      </c>
      <c r="X116" s="84" t="str">
        <f>IFERROR(IF(H116="","",IF(H116-S116-T116=0&lt;0,"Error in Areas",IF(S116+T116&gt;H116,"Error in Areas",IF(AND(P116='G-1 All Habitats'!$X$3,Y116="Yes"),"Alternative Compensation",IF(W116=0,0,IF(P116='G-1 All Habitats'!$X$3,"Unacceptable Loss",Q116-U116-V116)))))),"Check Data")</f>
        <v/>
      </c>
      <c r="Y116" s="82"/>
      <c r="Z116" s="92"/>
      <c r="AA116" s="93"/>
      <c r="AC116" s="87" t="str">
        <f>IF(P116="","",IF(P116='G-1 All Habitats'!$X$3,H116-S116-T116,"None"))</f>
        <v/>
      </c>
      <c r="AD116" s="88" t="str">
        <f>IFERROR(AC116*J116*L116*#REF!*O116,IF(P116="","","None"))</f>
        <v/>
      </c>
      <c r="AF116" s="59" t="str">
        <f t="shared" si="5"/>
        <v/>
      </c>
      <c r="AG116" s="59" t="str">
        <f t="shared" si="6"/>
        <v/>
      </c>
      <c r="AH116" s="59" t="str">
        <f>IF(I116="","",IF(#REF!&gt;0,TRUE,FALSE))</f>
        <v/>
      </c>
      <c r="AI116" s="59">
        <v>106</v>
      </c>
      <c r="AJ116" s="59"/>
      <c r="AK116" s="59" t="str">
        <f t="array" ref="AK116">IFERROR(INDEX($AI$11:$AI$259, MATCH(0, IF(TRUE=$AF$11:$AF$259, COUNTIF($AK$10:$AK115, $AI$11:$AI$259), ""), 0)),"")</f>
        <v/>
      </c>
      <c r="AL116" s="59" t="str">
        <f t="array" ref="AL116">IFERROR(INDEX($AI$11:$AI$259, MATCH(0, IF(TRUE=$AG$11:$AG$259, COUNTIF($AL$10:$AL115, $AI$11:$AI$259), ""), 0)),"")</f>
        <v/>
      </c>
      <c r="AM116" s="59" t="str">
        <f t="array" ref="AM116">IFERROR(INDEX($AI$11:$AI$259, MATCH(0, IF(TRUE=$AH$11:$AH$259, COUNTIF($AM$10:$AM115, $AI$11:$AI$259), ""), 0)),"")</f>
        <v/>
      </c>
      <c r="AN116" s="59"/>
      <c r="AQ116" s="52">
        <f t="shared" si="7"/>
        <v>0</v>
      </c>
    </row>
    <row r="117" spans="1:43" x14ac:dyDescent="0.25">
      <c r="A117" s="52" t="str">
        <f>IFERROR(INDEX('G-1 All Habitats'!$AG$3:$AG$15,MATCH(E117,'G-1 All Habitats'!$AF$3:$AF$15,0)),"")</f>
        <v/>
      </c>
      <c r="B117" s="52" t="str">
        <f>IFERROR(INDEX('G-8 Condition Look up'!$I$4:$I$131,MATCH(G117,'G-8 Condition Look up'!$A$4:$A$131,0)),"")</f>
        <v/>
      </c>
      <c r="D117" s="89">
        <v>107</v>
      </c>
      <c r="E117" s="90"/>
      <c r="F117" s="91"/>
      <c r="G117" s="75" t="str">
        <f>IFERROR(INDEX('G-1 All Habitats'!$B$3:$B$130,MATCH(F117,'G-1 All Habitats'!$A$3:$A$130,0)),"")</f>
        <v/>
      </c>
      <c r="H117" s="76"/>
      <c r="I117" s="77" t="str">
        <f>IF(G117="","",VLOOKUP(G117,'G-1 All Habitats'!$B$2:$M$130,10,FALSE))</f>
        <v/>
      </c>
      <c r="J117" s="78" t="str">
        <f>IFERROR(VLOOKUP(I117,'G-1 All Habitats'!$V$3:$W$7,2,FALSE),"")</f>
        <v/>
      </c>
      <c r="K117" s="79"/>
      <c r="L117" s="78" t="str">
        <f>IFERROR(INDEX('G-8 Condition Look up'!$A$3:$H$131,MATCH(G117,'G-8 Condition Look up'!$A$3:$A$131,0),MATCH(K117,'G-8 Condition Look up'!$A$3:$H$3,0)),"")</f>
        <v/>
      </c>
      <c r="M117" s="79"/>
      <c r="N117" s="348" t="str">
        <f>IF(M117="","",IF(VLOOKUP(M117,'G-3 Multipliers'!$L$3:$N$6,2,FALSE)=0,"Spatial Data Missing",VLOOKUP(M117,'G-3 Multipliers'!$L$3:$N$6,2,FALSE)))</f>
        <v/>
      </c>
      <c r="O117" s="569" t="str">
        <f>IF(M117="","",IF(VLOOKUP(M117,'G-3 Multipliers'!$L$3:$N$6,3,FALSE)=0,"Spatial Data Missing",VLOOKUP(M117,'G-3 Multipliers'!$L$3:$N$6,3,FALSE)))</f>
        <v/>
      </c>
      <c r="P117" s="80" t="str">
        <f>IFERROR(VLOOKUP(G117,'G-1 All Habitats'!$B$2:$M$130,12,FALSE),"")</f>
        <v/>
      </c>
      <c r="Q117" s="81" t="str">
        <f>IFERROR(IF(P117="","",IF(AND(P117='G-1 All Habitats'!$X$3,T117&gt;0),U117+V117,IF(AND(P117='G-1 All Habitats'!$X$3,S117&gt;0),U117+V117,IF(AND(P117='G-1 All Habitats'!$X$3,AC117&gt;0),"Any Loss Unacceptable",IF(AND(P117='G-1 All Habitats'!$X$3,W117&gt;0),"Any Loss Unacceptable",H117*J117*L117*O117))))),"Check Data")</f>
        <v/>
      </c>
      <c r="R117" s="55"/>
      <c r="S117" s="79"/>
      <c r="T117" s="82"/>
      <c r="U117" s="83" t="str">
        <f t="shared" si="8"/>
        <v/>
      </c>
      <c r="V117" s="83" t="str">
        <f t="shared" si="9"/>
        <v/>
      </c>
      <c r="W117" s="83" t="str">
        <f>IF(E117="","",IF(H117&lt;S117+T117,"Error in Areas",IF(P117&lt;&gt;'G-1 All Habitats'!$X$3,H117-S117-T117,IF(AND(P117='G-1 All Habitats'!$X$3,Y117="Yes"),"Unacceptable Loss",IF(AND(P117='G-1 All Habitats'!$X$3,Y117="No"),AC117,IF(AND(P117='G-1 All Habitats'!$X$3,Y117=""),AC117,IF(AND(P117='G-1 All Habitats'!$X$3,AC117="None",AC117),IF(AND(P117='G-1 All Habitats'!$X$3,AC117&gt;0),H117-S117-T117))))))))</f>
        <v/>
      </c>
      <c r="X117" s="84" t="str">
        <f>IFERROR(IF(H117="","",IF(H117-S117-T117=0&lt;0,"Error in Areas",IF(S117+T117&gt;H117,"Error in Areas",IF(AND(P117='G-1 All Habitats'!$X$3,Y117="Yes"),"Alternative Compensation",IF(W117=0,0,IF(P117='G-1 All Habitats'!$X$3,"Unacceptable Loss",Q117-U117-V117)))))),"Check Data")</f>
        <v/>
      </c>
      <c r="Y117" s="82"/>
      <c r="Z117" s="92"/>
      <c r="AA117" s="93"/>
      <c r="AC117" s="87" t="str">
        <f>IF(P117="","",IF(P117='G-1 All Habitats'!$X$3,H117-S117-T117,"None"))</f>
        <v/>
      </c>
      <c r="AD117" s="88" t="str">
        <f>IFERROR(AC117*J117*L117*#REF!*O117,IF(P117="","","None"))</f>
        <v/>
      </c>
      <c r="AF117" s="59" t="str">
        <f t="shared" si="5"/>
        <v/>
      </c>
      <c r="AG117" s="59" t="str">
        <f t="shared" si="6"/>
        <v/>
      </c>
      <c r="AH117" s="59" t="str">
        <f>IF(I117="","",IF(#REF!&gt;0,TRUE,FALSE))</f>
        <v/>
      </c>
      <c r="AI117" s="59">
        <v>107</v>
      </c>
      <c r="AJ117" s="59"/>
      <c r="AK117" s="59" t="str">
        <f t="array" ref="AK117">IFERROR(INDEX($AI$11:$AI$259, MATCH(0, IF(TRUE=$AF$11:$AF$259, COUNTIF($AK$10:$AK116, $AI$11:$AI$259), ""), 0)),"")</f>
        <v/>
      </c>
      <c r="AL117" s="59" t="str">
        <f t="array" ref="AL117">IFERROR(INDEX($AI$11:$AI$259, MATCH(0, IF(TRUE=$AG$11:$AG$259, COUNTIF($AL$10:$AL116, $AI$11:$AI$259), ""), 0)),"")</f>
        <v/>
      </c>
      <c r="AM117" s="59" t="str">
        <f t="array" ref="AM117">IFERROR(INDEX($AI$11:$AI$259, MATCH(0, IF(TRUE=$AH$11:$AH$259, COUNTIF($AM$10:$AM116, $AI$11:$AI$259), ""), 0)),"")</f>
        <v/>
      </c>
      <c r="AN117" s="59"/>
      <c r="AQ117" s="52">
        <f t="shared" si="7"/>
        <v>0</v>
      </c>
    </row>
    <row r="118" spans="1:43" x14ac:dyDescent="0.25">
      <c r="A118" s="52" t="str">
        <f>IFERROR(INDEX('G-1 All Habitats'!$AG$3:$AG$15,MATCH(E118,'G-1 All Habitats'!$AF$3:$AF$15,0)),"")</f>
        <v/>
      </c>
      <c r="B118" s="52" t="str">
        <f>IFERROR(INDEX('G-8 Condition Look up'!$I$4:$I$131,MATCH(G118,'G-8 Condition Look up'!$A$4:$A$131,0)),"")</f>
        <v/>
      </c>
      <c r="D118" s="89">
        <v>108</v>
      </c>
      <c r="E118" s="90"/>
      <c r="F118" s="91"/>
      <c r="G118" s="75" t="str">
        <f>IFERROR(INDEX('G-1 All Habitats'!$B$3:$B$130,MATCH(F118,'G-1 All Habitats'!$A$3:$A$130,0)),"")</f>
        <v/>
      </c>
      <c r="H118" s="76"/>
      <c r="I118" s="77" t="str">
        <f>IF(G118="","",VLOOKUP(G118,'G-1 All Habitats'!$B$2:$M$130,10,FALSE))</f>
        <v/>
      </c>
      <c r="J118" s="78" t="str">
        <f>IFERROR(VLOOKUP(I118,'G-1 All Habitats'!$V$3:$W$7,2,FALSE),"")</f>
        <v/>
      </c>
      <c r="K118" s="79"/>
      <c r="L118" s="78" t="str">
        <f>IFERROR(INDEX('G-8 Condition Look up'!$A$3:$H$131,MATCH(G118,'G-8 Condition Look up'!$A$3:$A$131,0),MATCH(K118,'G-8 Condition Look up'!$A$3:$H$3,0)),"")</f>
        <v/>
      </c>
      <c r="M118" s="79"/>
      <c r="N118" s="348" t="str">
        <f>IF(M118="","",IF(VLOOKUP(M118,'G-3 Multipliers'!$L$3:$N$6,2,FALSE)=0,"Spatial Data Missing",VLOOKUP(M118,'G-3 Multipliers'!$L$3:$N$6,2,FALSE)))</f>
        <v/>
      </c>
      <c r="O118" s="569" t="str">
        <f>IF(M118="","",IF(VLOOKUP(M118,'G-3 Multipliers'!$L$3:$N$6,3,FALSE)=0,"Spatial Data Missing",VLOOKUP(M118,'G-3 Multipliers'!$L$3:$N$6,3,FALSE)))</f>
        <v/>
      </c>
      <c r="P118" s="80" t="str">
        <f>IFERROR(VLOOKUP(G118,'G-1 All Habitats'!$B$2:$M$130,12,FALSE),"")</f>
        <v/>
      </c>
      <c r="Q118" s="81" t="str">
        <f>IFERROR(IF(P118="","",IF(AND(P118='G-1 All Habitats'!$X$3,T118&gt;0),U118+V118,IF(AND(P118='G-1 All Habitats'!$X$3,S118&gt;0),U118+V118,IF(AND(P118='G-1 All Habitats'!$X$3,AC118&gt;0),"Any Loss Unacceptable",IF(AND(P118='G-1 All Habitats'!$X$3,W118&gt;0),"Any Loss Unacceptable",H118*J118*L118*O118))))),"Check Data")</f>
        <v/>
      </c>
      <c r="R118" s="55"/>
      <c r="S118" s="79"/>
      <c r="T118" s="82"/>
      <c r="U118" s="83" t="str">
        <f t="shared" si="8"/>
        <v/>
      </c>
      <c r="V118" s="83" t="str">
        <f t="shared" si="9"/>
        <v/>
      </c>
      <c r="W118" s="83" t="str">
        <f>IF(E118="","",IF(H118&lt;S118+T118,"Error in Areas",IF(P118&lt;&gt;'G-1 All Habitats'!$X$3,H118-S118-T118,IF(AND(P118='G-1 All Habitats'!$X$3,Y118="Yes"),"Unacceptable Loss",IF(AND(P118='G-1 All Habitats'!$X$3,Y118="No"),AC118,IF(AND(P118='G-1 All Habitats'!$X$3,Y118=""),AC118,IF(AND(P118='G-1 All Habitats'!$X$3,AC118="None",AC118),IF(AND(P118='G-1 All Habitats'!$X$3,AC118&gt;0),H118-S118-T118))))))))</f>
        <v/>
      </c>
      <c r="X118" s="84" t="str">
        <f>IFERROR(IF(H118="","",IF(H118-S118-T118=0&lt;0,"Error in Areas",IF(S118+T118&gt;H118,"Error in Areas",IF(AND(P118='G-1 All Habitats'!$X$3,Y118="Yes"),"Alternative Compensation",IF(W118=0,0,IF(P118='G-1 All Habitats'!$X$3,"Unacceptable Loss",Q118-U118-V118)))))),"Check Data")</f>
        <v/>
      </c>
      <c r="Y118" s="82"/>
      <c r="Z118" s="92"/>
      <c r="AA118" s="93"/>
      <c r="AC118" s="87" t="str">
        <f>IF(P118="","",IF(P118='G-1 All Habitats'!$X$3,H118-S118-T118,"None"))</f>
        <v/>
      </c>
      <c r="AD118" s="88" t="str">
        <f>IFERROR(AC118*J118*L118*#REF!*O118,IF(P118="","","None"))</f>
        <v/>
      </c>
      <c r="AF118" s="59" t="str">
        <f t="shared" si="5"/>
        <v/>
      </c>
      <c r="AG118" s="59" t="str">
        <f t="shared" si="6"/>
        <v/>
      </c>
      <c r="AH118" s="59" t="str">
        <f>IF(I118="","",IF(#REF!&gt;0,TRUE,FALSE))</f>
        <v/>
      </c>
      <c r="AI118" s="59">
        <v>108</v>
      </c>
      <c r="AJ118" s="59"/>
      <c r="AK118" s="59" t="str">
        <f t="array" ref="AK118">IFERROR(INDEX($AI$11:$AI$259, MATCH(0, IF(TRUE=$AF$11:$AF$259, COUNTIF($AK$10:$AK117, $AI$11:$AI$259), ""), 0)),"")</f>
        <v/>
      </c>
      <c r="AL118" s="59" t="str">
        <f t="array" ref="AL118">IFERROR(INDEX($AI$11:$AI$259, MATCH(0, IF(TRUE=$AG$11:$AG$259, COUNTIF($AL$10:$AL117, $AI$11:$AI$259), ""), 0)),"")</f>
        <v/>
      </c>
      <c r="AM118" s="59" t="str">
        <f t="array" ref="AM118">IFERROR(INDEX($AI$11:$AI$259, MATCH(0, IF(TRUE=$AH$11:$AH$259, COUNTIF($AM$10:$AM117, $AI$11:$AI$259), ""), 0)),"")</f>
        <v/>
      </c>
      <c r="AN118" s="59"/>
      <c r="AQ118" s="52">
        <f t="shared" si="7"/>
        <v>0</v>
      </c>
    </row>
    <row r="119" spans="1:43" x14ac:dyDescent="0.25">
      <c r="A119" s="52" t="str">
        <f>IFERROR(INDEX('G-1 All Habitats'!$AG$3:$AG$15,MATCH(E119,'G-1 All Habitats'!$AF$3:$AF$15,0)),"")</f>
        <v/>
      </c>
      <c r="B119" s="52" t="str">
        <f>IFERROR(INDEX('G-8 Condition Look up'!$I$4:$I$131,MATCH(G119,'G-8 Condition Look up'!$A$4:$A$131,0)),"")</f>
        <v/>
      </c>
      <c r="D119" s="89">
        <v>109</v>
      </c>
      <c r="E119" s="90"/>
      <c r="F119" s="91"/>
      <c r="G119" s="75" t="str">
        <f>IFERROR(INDEX('G-1 All Habitats'!$B$3:$B$130,MATCH(F119,'G-1 All Habitats'!$A$3:$A$130,0)),"")</f>
        <v/>
      </c>
      <c r="H119" s="76"/>
      <c r="I119" s="77" t="str">
        <f>IF(G119="","",VLOOKUP(G119,'G-1 All Habitats'!$B$2:$M$130,10,FALSE))</f>
        <v/>
      </c>
      <c r="J119" s="78" t="str">
        <f>IFERROR(VLOOKUP(I119,'G-1 All Habitats'!$V$3:$W$7,2,FALSE),"")</f>
        <v/>
      </c>
      <c r="K119" s="79"/>
      <c r="L119" s="78" t="str">
        <f>IFERROR(INDEX('G-8 Condition Look up'!$A$3:$H$131,MATCH(G119,'G-8 Condition Look up'!$A$3:$A$131,0),MATCH(K119,'G-8 Condition Look up'!$A$3:$H$3,0)),"")</f>
        <v/>
      </c>
      <c r="M119" s="79"/>
      <c r="N119" s="348" t="str">
        <f>IF(M119="","",IF(VLOOKUP(M119,'G-3 Multipliers'!$L$3:$N$6,2,FALSE)=0,"Spatial Data Missing",VLOOKUP(M119,'G-3 Multipliers'!$L$3:$N$6,2,FALSE)))</f>
        <v/>
      </c>
      <c r="O119" s="569" t="str">
        <f>IF(M119="","",IF(VLOOKUP(M119,'G-3 Multipliers'!$L$3:$N$6,3,FALSE)=0,"Spatial Data Missing",VLOOKUP(M119,'G-3 Multipliers'!$L$3:$N$6,3,FALSE)))</f>
        <v/>
      </c>
      <c r="P119" s="80" t="str">
        <f>IFERROR(VLOOKUP(G119,'G-1 All Habitats'!$B$2:$M$130,12,FALSE),"")</f>
        <v/>
      </c>
      <c r="Q119" s="81" t="str">
        <f>IFERROR(IF(P119="","",IF(AND(P119='G-1 All Habitats'!$X$3,T119&gt;0),U119+V119,IF(AND(P119='G-1 All Habitats'!$X$3,S119&gt;0),U119+V119,IF(AND(P119='G-1 All Habitats'!$X$3,AC119&gt;0),"Any Loss Unacceptable",IF(AND(P119='G-1 All Habitats'!$X$3,W119&gt;0),"Any Loss Unacceptable",H119*J119*L119*O119))))),"Check Data")</f>
        <v/>
      </c>
      <c r="R119" s="55"/>
      <c r="S119" s="79"/>
      <c r="T119" s="82"/>
      <c r="U119" s="83" t="str">
        <f t="shared" si="8"/>
        <v/>
      </c>
      <c r="V119" s="83" t="str">
        <f t="shared" si="9"/>
        <v/>
      </c>
      <c r="W119" s="83" t="str">
        <f>IF(E119="","",IF(H119&lt;S119+T119,"Error in Areas",IF(P119&lt;&gt;'G-1 All Habitats'!$X$3,H119-S119-T119,IF(AND(P119='G-1 All Habitats'!$X$3,Y119="Yes"),"Unacceptable Loss",IF(AND(P119='G-1 All Habitats'!$X$3,Y119="No"),AC119,IF(AND(P119='G-1 All Habitats'!$X$3,Y119=""),AC119,IF(AND(P119='G-1 All Habitats'!$X$3,AC119="None",AC119),IF(AND(P119='G-1 All Habitats'!$X$3,AC119&gt;0),H119-S119-T119))))))))</f>
        <v/>
      </c>
      <c r="X119" s="84" t="str">
        <f>IFERROR(IF(H119="","",IF(H119-S119-T119=0&lt;0,"Error in Areas",IF(S119+T119&gt;H119,"Error in Areas",IF(AND(P119='G-1 All Habitats'!$X$3,Y119="Yes"),"Alternative Compensation",IF(W119=0,0,IF(P119='G-1 All Habitats'!$X$3,"Unacceptable Loss",Q119-U119-V119)))))),"Check Data")</f>
        <v/>
      </c>
      <c r="Y119" s="82"/>
      <c r="Z119" s="92"/>
      <c r="AA119" s="93"/>
      <c r="AC119" s="87" t="str">
        <f>IF(P119="","",IF(P119='G-1 All Habitats'!$X$3,H119-S119-T119,"None"))</f>
        <v/>
      </c>
      <c r="AD119" s="88" t="str">
        <f>IFERROR(AC119*J119*L119*#REF!*O119,IF(P119="","","None"))</f>
        <v/>
      </c>
      <c r="AF119" s="59" t="str">
        <f t="shared" si="5"/>
        <v/>
      </c>
      <c r="AG119" s="59" t="str">
        <f t="shared" si="6"/>
        <v/>
      </c>
      <c r="AH119" s="59" t="str">
        <f>IF(I119="","",IF(#REF!&gt;0,TRUE,FALSE))</f>
        <v/>
      </c>
      <c r="AI119" s="59">
        <v>109</v>
      </c>
      <c r="AJ119" s="59"/>
      <c r="AK119" s="59" t="str">
        <f t="array" ref="AK119">IFERROR(INDEX($AI$11:$AI$259, MATCH(0, IF(TRUE=$AF$11:$AF$259, COUNTIF($AK$10:$AK118, $AI$11:$AI$259), ""), 0)),"")</f>
        <v/>
      </c>
      <c r="AL119" s="59" t="str">
        <f t="array" ref="AL119">IFERROR(INDEX($AI$11:$AI$259, MATCH(0, IF(TRUE=$AG$11:$AG$259, COUNTIF($AL$10:$AL118, $AI$11:$AI$259), ""), 0)),"")</f>
        <v/>
      </c>
      <c r="AM119" s="59" t="str">
        <f t="array" ref="AM119">IFERROR(INDEX($AI$11:$AI$259, MATCH(0, IF(TRUE=$AH$11:$AH$259, COUNTIF($AM$10:$AM118, $AI$11:$AI$259), ""), 0)),"")</f>
        <v/>
      </c>
      <c r="AN119" s="59"/>
      <c r="AQ119" s="52">
        <f t="shared" si="7"/>
        <v>0</v>
      </c>
    </row>
    <row r="120" spans="1:43" x14ac:dyDescent="0.25">
      <c r="A120" s="52" t="str">
        <f>IFERROR(INDEX('G-1 All Habitats'!$AG$3:$AG$15,MATCH(E120,'G-1 All Habitats'!$AF$3:$AF$15,0)),"")</f>
        <v/>
      </c>
      <c r="B120" s="52" t="str">
        <f>IFERROR(INDEX('G-8 Condition Look up'!$I$4:$I$131,MATCH(G120,'G-8 Condition Look up'!$A$4:$A$131,0)),"")</f>
        <v/>
      </c>
      <c r="D120" s="89">
        <v>110</v>
      </c>
      <c r="E120" s="90"/>
      <c r="F120" s="91"/>
      <c r="G120" s="75" t="str">
        <f>IFERROR(INDEX('G-1 All Habitats'!$B$3:$B$130,MATCH(F120,'G-1 All Habitats'!$A$3:$A$130,0)),"")</f>
        <v/>
      </c>
      <c r="H120" s="76"/>
      <c r="I120" s="77" t="str">
        <f>IF(G120="","",VLOOKUP(G120,'G-1 All Habitats'!$B$2:$M$130,10,FALSE))</f>
        <v/>
      </c>
      <c r="J120" s="78" t="str">
        <f>IFERROR(VLOOKUP(I120,'G-1 All Habitats'!$V$3:$W$7,2,FALSE),"")</f>
        <v/>
      </c>
      <c r="K120" s="79"/>
      <c r="L120" s="78" t="str">
        <f>IFERROR(INDEX('G-8 Condition Look up'!$A$3:$H$131,MATCH(G120,'G-8 Condition Look up'!$A$3:$A$131,0),MATCH(K120,'G-8 Condition Look up'!$A$3:$H$3,0)),"")</f>
        <v/>
      </c>
      <c r="M120" s="79"/>
      <c r="N120" s="348" t="str">
        <f>IF(M120="","",IF(VLOOKUP(M120,'G-3 Multipliers'!$L$3:$N$6,2,FALSE)=0,"Spatial Data Missing",VLOOKUP(M120,'G-3 Multipliers'!$L$3:$N$6,2,FALSE)))</f>
        <v/>
      </c>
      <c r="O120" s="569" t="str">
        <f>IF(M120="","",IF(VLOOKUP(M120,'G-3 Multipliers'!$L$3:$N$6,3,FALSE)=0,"Spatial Data Missing",VLOOKUP(M120,'G-3 Multipliers'!$L$3:$N$6,3,FALSE)))</f>
        <v/>
      </c>
      <c r="P120" s="80" t="str">
        <f>IFERROR(VLOOKUP(G120,'G-1 All Habitats'!$B$2:$M$130,12,FALSE),"")</f>
        <v/>
      </c>
      <c r="Q120" s="81" t="str">
        <f>IFERROR(IF(P120="","",IF(AND(P120='G-1 All Habitats'!$X$3,T120&gt;0),U120+V120,IF(AND(P120='G-1 All Habitats'!$X$3,S120&gt;0),U120+V120,IF(AND(P120='G-1 All Habitats'!$X$3,AC120&gt;0),"Any Loss Unacceptable",IF(AND(P120='G-1 All Habitats'!$X$3,W120&gt;0),"Any Loss Unacceptable",H120*J120*L120*O120))))),"Check Data")</f>
        <v/>
      </c>
      <c r="R120" s="55"/>
      <c r="S120" s="79"/>
      <c r="T120" s="82"/>
      <c r="U120" s="83" t="str">
        <f t="shared" si="8"/>
        <v/>
      </c>
      <c r="V120" s="83" t="str">
        <f t="shared" si="9"/>
        <v/>
      </c>
      <c r="W120" s="83" t="str">
        <f>IF(E120="","",IF(H120&lt;S120+T120,"Error in Areas",IF(P120&lt;&gt;'G-1 All Habitats'!$X$3,H120-S120-T120,IF(AND(P120='G-1 All Habitats'!$X$3,Y120="Yes"),"Unacceptable Loss",IF(AND(P120='G-1 All Habitats'!$X$3,Y120="No"),AC120,IF(AND(P120='G-1 All Habitats'!$X$3,Y120=""),AC120,IF(AND(P120='G-1 All Habitats'!$X$3,AC120="None",AC120),IF(AND(P120='G-1 All Habitats'!$X$3,AC120&gt;0),H120-S120-T120))))))))</f>
        <v/>
      </c>
      <c r="X120" s="84" t="str">
        <f>IFERROR(IF(H120="","",IF(H120-S120-T120=0&lt;0,"Error in Areas",IF(S120+T120&gt;H120,"Error in Areas",IF(AND(P120='G-1 All Habitats'!$X$3,Y120="Yes"),"Alternative Compensation",IF(W120=0,0,IF(P120='G-1 All Habitats'!$X$3,"Unacceptable Loss",Q120-U120-V120)))))),"Check Data")</f>
        <v/>
      </c>
      <c r="Y120" s="82"/>
      <c r="Z120" s="92"/>
      <c r="AA120" s="93"/>
      <c r="AC120" s="87" t="str">
        <f>IF(P120="","",IF(P120='G-1 All Habitats'!$X$3,H120-S120-T120,"None"))</f>
        <v/>
      </c>
      <c r="AD120" s="88" t="str">
        <f>IFERROR(AC120*J120*L120*#REF!*O120,IF(P120="","","None"))</f>
        <v/>
      </c>
      <c r="AF120" s="59" t="str">
        <f t="shared" si="5"/>
        <v/>
      </c>
      <c r="AG120" s="59" t="str">
        <f t="shared" si="6"/>
        <v/>
      </c>
      <c r="AH120" s="59" t="str">
        <f>IF(I120="","",IF(#REF!&gt;0,TRUE,FALSE))</f>
        <v/>
      </c>
      <c r="AI120" s="59">
        <v>110</v>
      </c>
      <c r="AJ120" s="59"/>
      <c r="AK120" s="59" t="str">
        <f t="array" ref="AK120">IFERROR(INDEX($AI$11:$AI$259, MATCH(0, IF(TRUE=$AF$11:$AF$259, COUNTIF($AK$10:$AK119, $AI$11:$AI$259), ""), 0)),"")</f>
        <v/>
      </c>
      <c r="AL120" s="59" t="str">
        <f t="array" ref="AL120">IFERROR(INDEX($AI$11:$AI$259, MATCH(0, IF(TRUE=$AG$11:$AG$259, COUNTIF($AL$10:$AL119, $AI$11:$AI$259), ""), 0)),"")</f>
        <v/>
      </c>
      <c r="AM120" s="59" t="str">
        <f t="array" ref="AM120">IFERROR(INDEX($AI$11:$AI$259, MATCH(0, IF(TRUE=$AH$11:$AH$259, COUNTIF($AM$10:$AM119, $AI$11:$AI$259), ""), 0)),"")</f>
        <v/>
      </c>
      <c r="AN120" s="59"/>
      <c r="AQ120" s="52">
        <f t="shared" si="7"/>
        <v>0</v>
      </c>
    </row>
    <row r="121" spans="1:43" x14ac:dyDescent="0.25">
      <c r="A121" s="52" t="str">
        <f>IFERROR(INDEX('G-1 All Habitats'!$AG$3:$AG$15,MATCH(E121,'G-1 All Habitats'!$AF$3:$AF$15,0)),"")</f>
        <v/>
      </c>
      <c r="B121" s="52" t="str">
        <f>IFERROR(INDEX('G-8 Condition Look up'!$I$4:$I$131,MATCH(G121,'G-8 Condition Look up'!$A$4:$A$131,0)),"")</f>
        <v/>
      </c>
      <c r="D121" s="89">
        <v>111</v>
      </c>
      <c r="E121" s="90"/>
      <c r="F121" s="91"/>
      <c r="G121" s="75" t="str">
        <f>IFERROR(INDEX('G-1 All Habitats'!$B$3:$B$130,MATCH(F121,'G-1 All Habitats'!$A$3:$A$130,0)),"")</f>
        <v/>
      </c>
      <c r="H121" s="76"/>
      <c r="I121" s="77" t="str">
        <f>IF(G121="","",VLOOKUP(G121,'G-1 All Habitats'!$B$2:$M$130,10,FALSE))</f>
        <v/>
      </c>
      <c r="J121" s="78" t="str">
        <f>IFERROR(VLOOKUP(I121,'G-1 All Habitats'!$V$3:$W$7,2,FALSE),"")</f>
        <v/>
      </c>
      <c r="K121" s="79"/>
      <c r="L121" s="78" t="str">
        <f>IFERROR(INDEX('G-8 Condition Look up'!$A$3:$H$131,MATCH(G121,'G-8 Condition Look up'!$A$3:$A$131,0),MATCH(K121,'G-8 Condition Look up'!$A$3:$H$3,0)),"")</f>
        <v/>
      </c>
      <c r="M121" s="79"/>
      <c r="N121" s="348" t="str">
        <f>IF(M121="","",IF(VLOOKUP(M121,'G-3 Multipliers'!$L$3:$N$6,2,FALSE)=0,"Spatial Data Missing",VLOOKUP(M121,'G-3 Multipliers'!$L$3:$N$6,2,FALSE)))</f>
        <v/>
      </c>
      <c r="O121" s="569" t="str">
        <f>IF(M121="","",IF(VLOOKUP(M121,'G-3 Multipliers'!$L$3:$N$6,3,FALSE)=0,"Spatial Data Missing",VLOOKUP(M121,'G-3 Multipliers'!$L$3:$N$6,3,FALSE)))</f>
        <v/>
      </c>
      <c r="P121" s="80" t="str">
        <f>IFERROR(VLOOKUP(G121,'G-1 All Habitats'!$B$2:$M$130,12,FALSE),"")</f>
        <v/>
      </c>
      <c r="Q121" s="81" t="str">
        <f>IFERROR(IF(P121="","",IF(AND(P121='G-1 All Habitats'!$X$3,T121&gt;0),U121+V121,IF(AND(P121='G-1 All Habitats'!$X$3,S121&gt;0),U121+V121,IF(AND(P121='G-1 All Habitats'!$X$3,AC121&gt;0),"Any Loss Unacceptable",IF(AND(P121='G-1 All Habitats'!$X$3,W121&gt;0),"Any Loss Unacceptable",H121*J121*L121*O121))))),"Check Data")</f>
        <v/>
      </c>
      <c r="R121" s="55"/>
      <c r="S121" s="79"/>
      <c r="T121" s="82"/>
      <c r="U121" s="83" t="str">
        <f t="shared" si="8"/>
        <v/>
      </c>
      <c r="V121" s="83" t="str">
        <f t="shared" si="9"/>
        <v/>
      </c>
      <c r="W121" s="83" t="str">
        <f>IF(E121="","",IF(H121&lt;S121+T121,"Error in Areas",IF(P121&lt;&gt;'G-1 All Habitats'!$X$3,H121-S121-T121,IF(AND(P121='G-1 All Habitats'!$X$3,Y121="Yes"),"Unacceptable Loss",IF(AND(P121='G-1 All Habitats'!$X$3,Y121="No"),AC121,IF(AND(P121='G-1 All Habitats'!$X$3,Y121=""),AC121,IF(AND(P121='G-1 All Habitats'!$X$3,AC121="None",AC121),IF(AND(P121='G-1 All Habitats'!$X$3,AC121&gt;0),H121-S121-T121))))))))</f>
        <v/>
      </c>
      <c r="X121" s="84" t="str">
        <f>IFERROR(IF(H121="","",IF(H121-S121-T121=0&lt;0,"Error in Areas",IF(S121+T121&gt;H121,"Error in Areas",IF(AND(P121='G-1 All Habitats'!$X$3,Y121="Yes"),"Alternative Compensation",IF(W121=0,0,IF(P121='G-1 All Habitats'!$X$3,"Unacceptable Loss",Q121-U121-V121)))))),"Check Data")</f>
        <v/>
      </c>
      <c r="Y121" s="82"/>
      <c r="Z121" s="92"/>
      <c r="AA121" s="93"/>
      <c r="AC121" s="87" t="str">
        <f>IF(P121="","",IF(P121='G-1 All Habitats'!$X$3,H121-S121-T121,"None"))</f>
        <v/>
      </c>
      <c r="AD121" s="88" t="str">
        <f>IFERROR(AC121*J121*L121*#REF!*O121,IF(P121="","","None"))</f>
        <v/>
      </c>
      <c r="AF121" s="59" t="str">
        <f t="shared" si="5"/>
        <v/>
      </c>
      <c r="AG121" s="59" t="str">
        <f t="shared" si="6"/>
        <v/>
      </c>
      <c r="AH121" s="59" t="str">
        <f>IF(I121="","",IF(#REF!&gt;0,TRUE,FALSE))</f>
        <v/>
      </c>
      <c r="AI121" s="59">
        <v>111</v>
      </c>
      <c r="AJ121" s="59"/>
      <c r="AK121" s="59" t="str">
        <f t="array" ref="AK121">IFERROR(INDEX($AI$11:$AI$259, MATCH(0, IF(TRUE=$AF$11:$AF$259, COUNTIF($AK$10:$AK120, $AI$11:$AI$259), ""), 0)),"")</f>
        <v/>
      </c>
      <c r="AL121" s="59" t="str">
        <f t="array" ref="AL121">IFERROR(INDEX($AI$11:$AI$259, MATCH(0, IF(TRUE=$AG$11:$AG$259, COUNTIF($AL$10:$AL120, $AI$11:$AI$259), ""), 0)),"")</f>
        <v/>
      </c>
      <c r="AM121" s="59" t="str">
        <f t="array" ref="AM121">IFERROR(INDEX($AI$11:$AI$259, MATCH(0, IF(TRUE=$AH$11:$AH$259, COUNTIF($AM$10:$AM120, $AI$11:$AI$259), ""), 0)),"")</f>
        <v/>
      </c>
      <c r="AN121" s="59"/>
      <c r="AQ121" s="52">
        <f t="shared" si="7"/>
        <v>0</v>
      </c>
    </row>
    <row r="122" spans="1:43" x14ac:dyDescent="0.25">
      <c r="A122" s="52" t="str">
        <f>IFERROR(INDEX('G-1 All Habitats'!$AG$3:$AG$15,MATCH(E122,'G-1 All Habitats'!$AF$3:$AF$15,0)),"")</f>
        <v/>
      </c>
      <c r="B122" s="52" t="str">
        <f>IFERROR(INDEX('G-8 Condition Look up'!$I$4:$I$131,MATCH(G122,'G-8 Condition Look up'!$A$4:$A$131,0)),"")</f>
        <v/>
      </c>
      <c r="D122" s="89">
        <v>112</v>
      </c>
      <c r="E122" s="90"/>
      <c r="F122" s="91"/>
      <c r="G122" s="75" t="str">
        <f>IFERROR(INDEX('G-1 All Habitats'!$B$3:$B$130,MATCH(F122,'G-1 All Habitats'!$A$3:$A$130,0)),"")</f>
        <v/>
      </c>
      <c r="H122" s="76"/>
      <c r="I122" s="77" t="str">
        <f>IF(G122="","",VLOOKUP(G122,'G-1 All Habitats'!$B$2:$M$130,10,FALSE))</f>
        <v/>
      </c>
      <c r="J122" s="78" t="str">
        <f>IFERROR(VLOOKUP(I122,'G-1 All Habitats'!$V$3:$W$7,2,FALSE),"")</f>
        <v/>
      </c>
      <c r="K122" s="79"/>
      <c r="L122" s="78" t="str">
        <f>IFERROR(INDEX('G-8 Condition Look up'!$A$3:$H$131,MATCH(G122,'G-8 Condition Look up'!$A$3:$A$131,0),MATCH(K122,'G-8 Condition Look up'!$A$3:$H$3,0)),"")</f>
        <v/>
      </c>
      <c r="M122" s="79"/>
      <c r="N122" s="348" t="str">
        <f>IF(M122="","",IF(VLOOKUP(M122,'G-3 Multipliers'!$L$3:$N$6,2,FALSE)=0,"Spatial Data Missing",VLOOKUP(M122,'G-3 Multipliers'!$L$3:$N$6,2,FALSE)))</f>
        <v/>
      </c>
      <c r="O122" s="569" t="str">
        <f>IF(M122="","",IF(VLOOKUP(M122,'G-3 Multipliers'!$L$3:$N$6,3,FALSE)=0,"Spatial Data Missing",VLOOKUP(M122,'G-3 Multipliers'!$L$3:$N$6,3,FALSE)))</f>
        <v/>
      </c>
      <c r="P122" s="80" t="str">
        <f>IFERROR(VLOOKUP(G122,'G-1 All Habitats'!$B$2:$M$130,12,FALSE),"")</f>
        <v/>
      </c>
      <c r="Q122" s="81" t="str">
        <f>IFERROR(IF(P122="","",IF(AND(P122='G-1 All Habitats'!$X$3,T122&gt;0),U122+V122,IF(AND(P122='G-1 All Habitats'!$X$3,S122&gt;0),U122+V122,IF(AND(P122='G-1 All Habitats'!$X$3,AC122&gt;0),"Any Loss Unacceptable",IF(AND(P122='G-1 All Habitats'!$X$3,W122&gt;0),"Any Loss Unacceptable",H122*J122*L122*O122))))),"Check Data")</f>
        <v/>
      </c>
      <c r="R122" s="55"/>
      <c r="S122" s="79"/>
      <c r="T122" s="82"/>
      <c r="U122" s="83" t="str">
        <f t="shared" si="8"/>
        <v/>
      </c>
      <c r="V122" s="83" t="str">
        <f t="shared" si="9"/>
        <v/>
      </c>
      <c r="W122" s="83" t="str">
        <f>IF(E122="","",IF(H122&lt;S122+T122,"Error in Areas",IF(P122&lt;&gt;'G-1 All Habitats'!$X$3,H122-S122-T122,IF(AND(P122='G-1 All Habitats'!$X$3,Y122="Yes"),"Unacceptable Loss",IF(AND(P122='G-1 All Habitats'!$X$3,Y122="No"),AC122,IF(AND(P122='G-1 All Habitats'!$X$3,Y122=""),AC122,IF(AND(P122='G-1 All Habitats'!$X$3,AC122="None",AC122),IF(AND(P122='G-1 All Habitats'!$X$3,AC122&gt;0),H122-S122-T122))))))))</f>
        <v/>
      </c>
      <c r="X122" s="84" t="str">
        <f>IFERROR(IF(H122="","",IF(H122-S122-T122=0&lt;0,"Error in Areas",IF(S122+T122&gt;H122,"Error in Areas",IF(AND(P122='G-1 All Habitats'!$X$3,Y122="Yes"),"Alternative Compensation",IF(W122=0,0,IF(P122='G-1 All Habitats'!$X$3,"Unacceptable Loss",Q122-U122-V122)))))),"Check Data")</f>
        <v/>
      </c>
      <c r="Y122" s="82"/>
      <c r="Z122" s="92"/>
      <c r="AA122" s="93"/>
      <c r="AC122" s="87" t="str">
        <f>IF(P122="","",IF(P122='G-1 All Habitats'!$X$3,H122-S122-T122,"None"))</f>
        <v/>
      </c>
      <c r="AD122" s="88" t="str">
        <f>IFERROR(AC122*J122*L122*#REF!*O122,IF(P122="","","None"))</f>
        <v/>
      </c>
      <c r="AF122" s="59" t="str">
        <f t="shared" si="5"/>
        <v/>
      </c>
      <c r="AG122" s="59" t="str">
        <f t="shared" si="6"/>
        <v/>
      </c>
      <c r="AH122" s="59" t="str">
        <f>IF(I122="","",IF(#REF!&gt;0,TRUE,FALSE))</f>
        <v/>
      </c>
      <c r="AI122" s="59">
        <v>112</v>
      </c>
      <c r="AJ122" s="59"/>
      <c r="AK122" s="59" t="str">
        <f t="array" ref="AK122">IFERROR(INDEX($AI$11:$AI$259, MATCH(0, IF(TRUE=$AF$11:$AF$259, COUNTIF($AK$10:$AK121, $AI$11:$AI$259), ""), 0)),"")</f>
        <v/>
      </c>
      <c r="AL122" s="59" t="str">
        <f t="array" ref="AL122">IFERROR(INDEX($AI$11:$AI$259, MATCH(0, IF(TRUE=$AG$11:$AG$259, COUNTIF($AL$10:$AL121, $AI$11:$AI$259), ""), 0)),"")</f>
        <v/>
      </c>
      <c r="AM122" s="59" t="str">
        <f t="array" ref="AM122">IFERROR(INDEX($AI$11:$AI$259, MATCH(0, IF(TRUE=$AH$11:$AH$259, COUNTIF($AM$10:$AM121, $AI$11:$AI$259), ""), 0)),"")</f>
        <v/>
      </c>
      <c r="AN122" s="59"/>
      <c r="AQ122" s="52">
        <f t="shared" si="7"/>
        <v>0</v>
      </c>
    </row>
    <row r="123" spans="1:43" x14ac:dyDescent="0.25">
      <c r="A123" s="52" t="str">
        <f>IFERROR(INDEX('G-1 All Habitats'!$AG$3:$AG$15,MATCH(E123,'G-1 All Habitats'!$AF$3:$AF$15,0)),"")</f>
        <v/>
      </c>
      <c r="B123" s="52" t="str">
        <f>IFERROR(INDEX('G-8 Condition Look up'!$I$4:$I$131,MATCH(G123,'G-8 Condition Look up'!$A$4:$A$131,0)),"")</f>
        <v/>
      </c>
      <c r="D123" s="89">
        <v>113</v>
      </c>
      <c r="E123" s="90"/>
      <c r="F123" s="91"/>
      <c r="G123" s="75" t="str">
        <f>IFERROR(INDEX('G-1 All Habitats'!$B$3:$B$130,MATCH(F123,'G-1 All Habitats'!$A$3:$A$130,0)),"")</f>
        <v/>
      </c>
      <c r="H123" s="76"/>
      <c r="I123" s="77" t="str">
        <f>IF(G123="","",VLOOKUP(G123,'G-1 All Habitats'!$B$2:$M$130,10,FALSE))</f>
        <v/>
      </c>
      <c r="J123" s="78" t="str">
        <f>IFERROR(VLOOKUP(I123,'G-1 All Habitats'!$V$3:$W$7,2,FALSE),"")</f>
        <v/>
      </c>
      <c r="K123" s="79"/>
      <c r="L123" s="78" t="str">
        <f>IFERROR(INDEX('G-8 Condition Look up'!$A$3:$H$131,MATCH(G123,'G-8 Condition Look up'!$A$3:$A$131,0),MATCH(K123,'G-8 Condition Look up'!$A$3:$H$3,0)),"")</f>
        <v/>
      </c>
      <c r="M123" s="79"/>
      <c r="N123" s="348" t="str">
        <f>IF(M123="","",IF(VLOOKUP(M123,'G-3 Multipliers'!$L$3:$N$6,2,FALSE)=0,"Spatial Data Missing",VLOOKUP(M123,'G-3 Multipliers'!$L$3:$N$6,2,FALSE)))</f>
        <v/>
      </c>
      <c r="O123" s="569" t="str">
        <f>IF(M123="","",IF(VLOOKUP(M123,'G-3 Multipliers'!$L$3:$N$6,3,FALSE)=0,"Spatial Data Missing",VLOOKUP(M123,'G-3 Multipliers'!$L$3:$N$6,3,FALSE)))</f>
        <v/>
      </c>
      <c r="P123" s="80" t="str">
        <f>IFERROR(VLOOKUP(G123,'G-1 All Habitats'!$B$2:$M$130,12,FALSE),"")</f>
        <v/>
      </c>
      <c r="Q123" s="81" t="str">
        <f>IFERROR(IF(P123="","",IF(AND(P123='G-1 All Habitats'!$X$3,T123&gt;0),U123+V123,IF(AND(P123='G-1 All Habitats'!$X$3,S123&gt;0),U123+V123,IF(AND(P123='G-1 All Habitats'!$X$3,AC123&gt;0),"Any Loss Unacceptable",IF(AND(P123='G-1 All Habitats'!$X$3,W123&gt;0),"Any Loss Unacceptable",H123*J123*L123*O123))))),"Check Data")</f>
        <v/>
      </c>
      <c r="R123" s="55"/>
      <c r="S123" s="79"/>
      <c r="T123" s="82"/>
      <c r="U123" s="83" t="str">
        <f t="shared" si="8"/>
        <v/>
      </c>
      <c r="V123" s="83" t="str">
        <f t="shared" si="9"/>
        <v/>
      </c>
      <c r="W123" s="83" t="str">
        <f>IF(E123="","",IF(H123&lt;S123+T123,"Error in Areas",IF(P123&lt;&gt;'G-1 All Habitats'!$X$3,H123-S123-T123,IF(AND(P123='G-1 All Habitats'!$X$3,Y123="Yes"),"Unacceptable Loss",IF(AND(P123='G-1 All Habitats'!$X$3,Y123="No"),AC123,IF(AND(P123='G-1 All Habitats'!$X$3,Y123=""),AC123,IF(AND(P123='G-1 All Habitats'!$X$3,AC123="None",AC123),IF(AND(P123='G-1 All Habitats'!$X$3,AC123&gt;0),H123-S123-T123))))))))</f>
        <v/>
      </c>
      <c r="X123" s="84" t="str">
        <f>IFERROR(IF(H123="","",IF(H123-S123-T123=0&lt;0,"Error in Areas",IF(S123+T123&gt;H123,"Error in Areas",IF(AND(P123='G-1 All Habitats'!$X$3,Y123="Yes"),"Alternative Compensation",IF(W123=0,0,IF(P123='G-1 All Habitats'!$X$3,"Unacceptable Loss",Q123-U123-V123)))))),"Check Data")</f>
        <v/>
      </c>
      <c r="Y123" s="82"/>
      <c r="Z123" s="92"/>
      <c r="AA123" s="93"/>
      <c r="AC123" s="87" t="str">
        <f>IF(P123="","",IF(P123='G-1 All Habitats'!$X$3,H123-S123-T123,"None"))</f>
        <v/>
      </c>
      <c r="AD123" s="88" t="str">
        <f>IFERROR(AC123*J123*L123*#REF!*O123,IF(P123="","","None"))</f>
        <v/>
      </c>
      <c r="AF123" s="59" t="str">
        <f t="shared" si="5"/>
        <v/>
      </c>
      <c r="AG123" s="59" t="str">
        <f t="shared" si="6"/>
        <v/>
      </c>
      <c r="AH123" s="59" t="str">
        <f>IF(I123="","",IF(#REF!&gt;0,TRUE,FALSE))</f>
        <v/>
      </c>
      <c r="AI123" s="59">
        <v>113</v>
      </c>
      <c r="AJ123" s="59"/>
      <c r="AK123" s="59" t="str">
        <f t="array" ref="AK123">IFERROR(INDEX($AI$11:$AI$259, MATCH(0, IF(TRUE=$AF$11:$AF$259, COUNTIF($AK$10:$AK122, $AI$11:$AI$259), ""), 0)),"")</f>
        <v/>
      </c>
      <c r="AL123" s="59" t="str">
        <f t="array" ref="AL123">IFERROR(INDEX($AI$11:$AI$259, MATCH(0, IF(TRUE=$AG$11:$AG$259, COUNTIF($AL$10:$AL122, $AI$11:$AI$259), ""), 0)),"")</f>
        <v/>
      </c>
      <c r="AM123" s="59" t="str">
        <f t="array" ref="AM123">IFERROR(INDEX($AI$11:$AI$259, MATCH(0, IF(TRUE=$AH$11:$AH$259, COUNTIF($AM$10:$AM122, $AI$11:$AI$259), ""), 0)),"")</f>
        <v/>
      </c>
      <c r="AN123" s="59"/>
      <c r="AQ123" s="52">
        <f t="shared" si="7"/>
        <v>0</v>
      </c>
    </row>
    <row r="124" spans="1:43" x14ac:dyDescent="0.25">
      <c r="A124" s="52" t="str">
        <f>IFERROR(INDEX('G-1 All Habitats'!$AG$3:$AG$15,MATCH(E124,'G-1 All Habitats'!$AF$3:$AF$15,0)),"")</f>
        <v/>
      </c>
      <c r="B124" s="52" t="str">
        <f>IFERROR(INDEX('G-8 Condition Look up'!$I$4:$I$131,MATCH(G124,'G-8 Condition Look up'!$A$4:$A$131,0)),"")</f>
        <v/>
      </c>
      <c r="D124" s="89">
        <v>114</v>
      </c>
      <c r="E124" s="90"/>
      <c r="F124" s="91"/>
      <c r="G124" s="75" t="str">
        <f>IFERROR(INDEX('G-1 All Habitats'!$B$3:$B$130,MATCH(F124,'G-1 All Habitats'!$A$3:$A$130,0)),"")</f>
        <v/>
      </c>
      <c r="H124" s="76"/>
      <c r="I124" s="77" t="str">
        <f>IF(G124="","",VLOOKUP(G124,'G-1 All Habitats'!$B$2:$M$130,10,FALSE))</f>
        <v/>
      </c>
      <c r="J124" s="78" t="str">
        <f>IFERROR(VLOOKUP(I124,'G-1 All Habitats'!$V$3:$W$7,2,FALSE),"")</f>
        <v/>
      </c>
      <c r="K124" s="79"/>
      <c r="L124" s="78" t="str">
        <f>IFERROR(INDEX('G-8 Condition Look up'!$A$3:$H$131,MATCH(G124,'G-8 Condition Look up'!$A$3:$A$131,0),MATCH(K124,'G-8 Condition Look up'!$A$3:$H$3,0)),"")</f>
        <v/>
      </c>
      <c r="M124" s="79"/>
      <c r="N124" s="348" t="str">
        <f>IF(M124="","",IF(VLOOKUP(M124,'G-3 Multipliers'!$L$3:$N$6,2,FALSE)=0,"Spatial Data Missing",VLOOKUP(M124,'G-3 Multipliers'!$L$3:$N$6,2,FALSE)))</f>
        <v/>
      </c>
      <c r="O124" s="569" t="str">
        <f>IF(M124="","",IF(VLOOKUP(M124,'G-3 Multipliers'!$L$3:$N$6,3,FALSE)=0,"Spatial Data Missing",VLOOKUP(M124,'G-3 Multipliers'!$L$3:$N$6,3,FALSE)))</f>
        <v/>
      </c>
      <c r="P124" s="80" t="str">
        <f>IFERROR(VLOOKUP(G124,'G-1 All Habitats'!$B$2:$M$130,12,FALSE),"")</f>
        <v/>
      </c>
      <c r="Q124" s="81" t="str">
        <f>IFERROR(IF(P124="","",IF(AND(P124='G-1 All Habitats'!$X$3,T124&gt;0),U124+V124,IF(AND(P124='G-1 All Habitats'!$X$3,S124&gt;0),U124+V124,IF(AND(P124='G-1 All Habitats'!$X$3,AC124&gt;0),"Any Loss Unacceptable",IF(AND(P124='G-1 All Habitats'!$X$3,W124&gt;0),"Any Loss Unacceptable",H124*J124*L124*O124))))),"Check Data")</f>
        <v/>
      </c>
      <c r="R124" s="55"/>
      <c r="S124" s="79"/>
      <c r="T124" s="82"/>
      <c r="U124" s="83" t="str">
        <f t="shared" si="8"/>
        <v/>
      </c>
      <c r="V124" s="83" t="str">
        <f t="shared" si="9"/>
        <v/>
      </c>
      <c r="W124" s="83" t="str">
        <f>IF(E124="","",IF(H124&lt;S124+T124,"Error in Areas",IF(P124&lt;&gt;'G-1 All Habitats'!$X$3,H124-S124-T124,IF(AND(P124='G-1 All Habitats'!$X$3,Y124="Yes"),"Unacceptable Loss",IF(AND(P124='G-1 All Habitats'!$X$3,Y124="No"),AC124,IF(AND(P124='G-1 All Habitats'!$X$3,Y124=""),AC124,IF(AND(P124='G-1 All Habitats'!$X$3,AC124="None",AC124),IF(AND(P124='G-1 All Habitats'!$X$3,AC124&gt;0),H124-S124-T124))))))))</f>
        <v/>
      </c>
      <c r="X124" s="84" t="str">
        <f>IFERROR(IF(H124="","",IF(H124-S124-T124=0&lt;0,"Error in Areas",IF(S124+T124&gt;H124,"Error in Areas",IF(AND(P124='G-1 All Habitats'!$X$3,Y124="Yes"),"Alternative Compensation",IF(W124=0,0,IF(P124='G-1 All Habitats'!$X$3,"Unacceptable Loss",Q124-U124-V124)))))),"Check Data")</f>
        <v/>
      </c>
      <c r="Y124" s="82"/>
      <c r="Z124" s="92"/>
      <c r="AA124" s="93"/>
      <c r="AC124" s="87" t="str">
        <f>IF(P124="","",IF(P124='G-1 All Habitats'!$X$3,H124-S124-T124,"None"))</f>
        <v/>
      </c>
      <c r="AD124" s="88" t="str">
        <f>IFERROR(AC124*J124*L124*#REF!*O124,IF(P124="","","None"))</f>
        <v/>
      </c>
      <c r="AF124" s="59" t="str">
        <f t="shared" si="5"/>
        <v/>
      </c>
      <c r="AG124" s="59" t="str">
        <f t="shared" si="6"/>
        <v/>
      </c>
      <c r="AH124" s="59" t="str">
        <f>IF(I124="","",IF(#REF!&gt;0,TRUE,FALSE))</f>
        <v/>
      </c>
      <c r="AI124" s="59">
        <v>114</v>
      </c>
      <c r="AJ124" s="59"/>
      <c r="AK124" s="59" t="str">
        <f t="array" ref="AK124">IFERROR(INDEX($AI$11:$AI$259, MATCH(0, IF(TRUE=$AF$11:$AF$259, COUNTIF($AK$10:$AK123, $AI$11:$AI$259), ""), 0)),"")</f>
        <v/>
      </c>
      <c r="AL124" s="59" t="str">
        <f t="array" ref="AL124">IFERROR(INDEX($AI$11:$AI$259, MATCH(0, IF(TRUE=$AG$11:$AG$259, COUNTIF($AL$10:$AL123, $AI$11:$AI$259), ""), 0)),"")</f>
        <v/>
      </c>
      <c r="AM124" s="59" t="str">
        <f t="array" ref="AM124">IFERROR(INDEX($AI$11:$AI$259, MATCH(0, IF(TRUE=$AH$11:$AH$259, COUNTIF($AM$10:$AM123, $AI$11:$AI$259), ""), 0)),"")</f>
        <v/>
      </c>
      <c r="AN124" s="59"/>
      <c r="AQ124" s="52">
        <f t="shared" si="7"/>
        <v>0</v>
      </c>
    </row>
    <row r="125" spans="1:43" x14ac:dyDescent="0.25">
      <c r="A125" s="52" t="str">
        <f>IFERROR(INDEX('G-1 All Habitats'!$AG$3:$AG$15,MATCH(E125,'G-1 All Habitats'!$AF$3:$AF$15,0)),"")</f>
        <v/>
      </c>
      <c r="B125" s="52" t="str">
        <f>IFERROR(INDEX('G-8 Condition Look up'!$I$4:$I$131,MATCH(G125,'G-8 Condition Look up'!$A$4:$A$131,0)),"")</f>
        <v/>
      </c>
      <c r="D125" s="89">
        <v>115</v>
      </c>
      <c r="E125" s="90"/>
      <c r="F125" s="91"/>
      <c r="G125" s="75" t="str">
        <f>IFERROR(INDEX('G-1 All Habitats'!$B$3:$B$130,MATCH(F125,'G-1 All Habitats'!$A$3:$A$130,0)),"")</f>
        <v/>
      </c>
      <c r="H125" s="76"/>
      <c r="I125" s="77" t="str">
        <f>IF(G125="","",VLOOKUP(G125,'G-1 All Habitats'!$B$2:$M$130,10,FALSE))</f>
        <v/>
      </c>
      <c r="J125" s="78" t="str">
        <f>IFERROR(VLOOKUP(I125,'G-1 All Habitats'!$V$3:$W$7,2,FALSE),"")</f>
        <v/>
      </c>
      <c r="K125" s="79"/>
      <c r="L125" s="78" t="str">
        <f>IFERROR(INDEX('G-8 Condition Look up'!$A$3:$H$131,MATCH(G125,'G-8 Condition Look up'!$A$3:$A$131,0),MATCH(K125,'G-8 Condition Look up'!$A$3:$H$3,0)),"")</f>
        <v/>
      </c>
      <c r="M125" s="79"/>
      <c r="N125" s="348" t="str">
        <f>IF(M125="","",IF(VLOOKUP(M125,'G-3 Multipliers'!$L$3:$N$6,2,FALSE)=0,"Spatial Data Missing",VLOOKUP(M125,'G-3 Multipliers'!$L$3:$N$6,2,FALSE)))</f>
        <v/>
      </c>
      <c r="O125" s="569" t="str">
        <f>IF(M125="","",IF(VLOOKUP(M125,'G-3 Multipliers'!$L$3:$N$6,3,FALSE)=0,"Spatial Data Missing",VLOOKUP(M125,'G-3 Multipliers'!$L$3:$N$6,3,FALSE)))</f>
        <v/>
      </c>
      <c r="P125" s="80" t="str">
        <f>IFERROR(VLOOKUP(G125,'G-1 All Habitats'!$B$2:$M$130,12,FALSE),"")</f>
        <v/>
      </c>
      <c r="Q125" s="81" t="str">
        <f>IFERROR(IF(P125="","",IF(AND(P125='G-1 All Habitats'!$X$3,T125&gt;0),U125+V125,IF(AND(P125='G-1 All Habitats'!$X$3,S125&gt;0),U125+V125,IF(AND(P125='G-1 All Habitats'!$X$3,AC125&gt;0),"Any Loss Unacceptable",IF(AND(P125='G-1 All Habitats'!$X$3,W125&gt;0),"Any Loss Unacceptable",H125*J125*L125*O125))))),"Check Data")</f>
        <v/>
      </c>
      <c r="R125" s="55"/>
      <c r="S125" s="79"/>
      <c r="T125" s="82"/>
      <c r="U125" s="83" t="str">
        <f t="shared" si="8"/>
        <v/>
      </c>
      <c r="V125" s="83" t="str">
        <f t="shared" si="9"/>
        <v/>
      </c>
      <c r="W125" s="83" t="str">
        <f>IF(E125="","",IF(H125&lt;S125+T125,"Error in Areas",IF(P125&lt;&gt;'G-1 All Habitats'!$X$3,H125-S125-T125,IF(AND(P125='G-1 All Habitats'!$X$3,Y125="Yes"),"Unacceptable Loss",IF(AND(P125='G-1 All Habitats'!$X$3,Y125="No"),AC125,IF(AND(P125='G-1 All Habitats'!$X$3,Y125=""),AC125,IF(AND(P125='G-1 All Habitats'!$X$3,AC125="None",AC125),IF(AND(P125='G-1 All Habitats'!$X$3,AC125&gt;0),H125-S125-T125))))))))</f>
        <v/>
      </c>
      <c r="X125" s="84" t="str">
        <f>IFERROR(IF(H125="","",IF(H125-S125-T125=0&lt;0,"Error in Areas",IF(S125+T125&gt;H125,"Error in Areas",IF(AND(P125='G-1 All Habitats'!$X$3,Y125="Yes"),"Alternative Compensation",IF(W125=0,0,IF(P125='G-1 All Habitats'!$X$3,"Unacceptable Loss",Q125-U125-V125)))))),"Check Data")</f>
        <v/>
      </c>
      <c r="Y125" s="82"/>
      <c r="Z125" s="92"/>
      <c r="AA125" s="93"/>
      <c r="AC125" s="87" t="str">
        <f>IF(P125="","",IF(P125='G-1 All Habitats'!$X$3,H125-S125-T125,"None"))</f>
        <v/>
      </c>
      <c r="AD125" s="88" t="str">
        <f>IFERROR(AC125*J125*L125*#REF!*O125,IF(P125="","","None"))</f>
        <v/>
      </c>
      <c r="AF125" s="59" t="str">
        <f t="shared" si="5"/>
        <v/>
      </c>
      <c r="AG125" s="59" t="str">
        <f t="shared" si="6"/>
        <v/>
      </c>
      <c r="AH125" s="59" t="str">
        <f>IF(I125="","",IF(#REF!&gt;0,TRUE,FALSE))</f>
        <v/>
      </c>
      <c r="AI125" s="59">
        <v>115</v>
      </c>
      <c r="AJ125" s="59"/>
      <c r="AK125" s="59" t="str">
        <f t="array" ref="AK125">IFERROR(INDEX($AI$11:$AI$259, MATCH(0, IF(TRUE=$AF$11:$AF$259, COUNTIF($AK$10:$AK124, $AI$11:$AI$259), ""), 0)),"")</f>
        <v/>
      </c>
      <c r="AL125" s="59" t="str">
        <f t="array" ref="AL125">IFERROR(INDEX($AI$11:$AI$259, MATCH(0, IF(TRUE=$AG$11:$AG$259, COUNTIF($AL$10:$AL124, $AI$11:$AI$259), ""), 0)),"")</f>
        <v/>
      </c>
      <c r="AM125" s="59" t="str">
        <f t="array" ref="AM125">IFERROR(INDEX($AI$11:$AI$259, MATCH(0, IF(TRUE=$AH$11:$AH$259, COUNTIF($AM$10:$AM124, $AI$11:$AI$259), ""), 0)),"")</f>
        <v/>
      </c>
      <c r="AN125" s="59"/>
      <c r="AQ125" s="52">
        <f t="shared" si="7"/>
        <v>0</v>
      </c>
    </row>
    <row r="126" spans="1:43" x14ac:dyDescent="0.25">
      <c r="A126" s="52" t="str">
        <f>IFERROR(INDEX('G-1 All Habitats'!$AG$3:$AG$15,MATCH(E126,'G-1 All Habitats'!$AF$3:$AF$15,0)),"")</f>
        <v/>
      </c>
      <c r="B126" s="52" t="str">
        <f>IFERROR(INDEX('G-8 Condition Look up'!$I$4:$I$131,MATCH(G126,'G-8 Condition Look up'!$A$4:$A$131,0)),"")</f>
        <v/>
      </c>
      <c r="D126" s="89">
        <v>116</v>
      </c>
      <c r="E126" s="90"/>
      <c r="F126" s="91"/>
      <c r="G126" s="75" t="str">
        <f>IFERROR(INDEX('G-1 All Habitats'!$B$3:$B$130,MATCH(F126,'G-1 All Habitats'!$A$3:$A$130,0)),"")</f>
        <v/>
      </c>
      <c r="H126" s="76"/>
      <c r="I126" s="77" t="str">
        <f>IF(G126="","",VLOOKUP(G126,'G-1 All Habitats'!$B$2:$M$130,10,FALSE))</f>
        <v/>
      </c>
      <c r="J126" s="78" t="str">
        <f>IFERROR(VLOOKUP(I126,'G-1 All Habitats'!$V$3:$W$7,2,FALSE),"")</f>
        <v/>
      </c>
      <c r="K126" s="79"/>
      <c r="L126" s="78" t="str">
        <f>IFERROR(INDEX('G-8 Condition Look up'!$A$3:$H$131,MATCH(G126,'G-8 Condition Look up'!$A$3:$A$131,0),MATCH(K126,'G-8 Condition Look up'!$A$3:$H$3,0)),"")</f>
        <v/>
      </c>
      <c r="M126" s="79"/>
      <c r="N126" s="348" t="str">
        <f>IF(M126="","",IF(VLOOKUP(M126,'G-3 Multipliers'!$L$3:$N$6,2,FALSE)=0,"Spatial Data Missing",VLOOKUP(M126,'G-3 Multipliers'!$L$3:$N$6,2,FALSE)))</f>
        <v/>
      </c>
      <c r="O126" s="569" t="str">
        <f>IF(M126="","",IF(VLOOKUP(M126,'G-3 Multipliers'!$L$3:$N$6,3,FALSE)=0,"Spatial Data Missing",VLOOKUP(M126,'G-3 Multipliers'!$L$3:$N$6,3,FALSE)))</f>
        <v/>
      </c>
      <c r="P126" s="80" t="str">
        <f>IFERROR(VLOOKUP(G126,'G-1 All Habitats'!$B$2:$M$130,12,FALSE),"")</f>
        <v/>
      </c>
      <c r="Q126" s="81" t="str">
        <f>IFERROR(IF(P126="","",IF(AND(P126='G-1 All Habitats'!$X$3,T126&gt;0),U126+V126,IF(AND(P126='G-1 All Habitats'!$X$3,S126&gt;0),U126+V126,IF(AND(P126='G-1 All Habitats'!$X$3,AC126&gt;0),"Any Loss Unacceptable",IF(AND(P126='G-1 All Habitats'!$X$3,W126&gt;0),"Any Loss Unacceptable",H126*J126*L126*O126))))),"Check Data")</f>
        <v/>
      </c>
      <c r="R126" s="55"/>
      <c r="S126" s="79"/>
      <c r="T126" s="82"/>
      <c r="U126" s="83" t="str">
        <f t="shared" si="8"/>
        <v/>
      </c>
      <c r="V126" s="83" t="str">
        <f t="shared" si="9"/>
        <v/>
      </c>
      <c r="W126" s="83" t="str">
        <f>IF(E126="","",IF(H126&lt;S126+T126,"Error in Areas",IF(P126&lt;&gt;'G-1 All Habitats'!$X$3,H126-S126-T126,IF(AND(P126='G-1 All Habitats'!$X$3,Y126="Yes"),"Unacceptable Loss",IF(AND(P126='G-1 All Habitats'!$X$3,Y126="No"),AC126,IF(AND(P126='G-1 All Habitats'!$X$3,Y126=""),AC126,IF(AND(P126='G-1 All Habitats'!$X$3,AC126="None",AC126),IF(AND(P126='G-1 All Habitats'!$X$3,AC126&gt;0),H126-S126-T126))))))))</f>
        <v/>
      </c>
      <c r="X126" s="84" t="str">
        <f>IFERROR(IF(H126="","",IF(H126-S126-T126=0&lt;0,"Error in Areas",IF(S126+T126&gt;H126,"Error in Areas",IF(AND(P126='G-1 All Habitats'!$X$3,Y126="Yes"),"Alternative Compensation",IF(W126=0,0,IF(P126='G-1 All Habitats'!$X$3,"Unacceptable Loss",Q126-U126-V126)))))),"Check Data")</f>
        <v/>
      </c>
      <c r="Y126" s="82"/>
      <c r="Z126" s="92"/>
      <c r="AA126" s="93"/>
      <c r="AC126" s="87" t="str">
        <f>IF(P126="","",IF(P126='G-1 All Habitats'!$X$3,H126-S126-T126,"None"))</f>
        <v/>
      </c>
      <c r="AD126" s="88" t="str">
        <f>IFERROR(AC126*J126*L126*#REF!*O126,IF(P126="","","None"))</f>
        <v/>
      </c>
      <c r="AF126" s="59" t="str">
        <f t="shared" si="5"/>
        <v/>
      </c>
      <c r="AG126" s="59" t="str">
        <f t="shared" si="6"/>
        <v/>
      </c>
      <c r="AH126" s="59" t="str">
        <f>IF(I126="","",IF(#REF!&gt;0,TRUE,FALSE))</f>
        <v/>
      </c>
      <c r="AI126" s="59">
        <v>116</v>
      </c>
      <c r="AJ126" s="59"/>
      <c r="AK126" s="59" t="str">
        <f t="array" ref="AK126">IFERROR(INDEX($AI$11:$AI$259, MATCH(0, IF(TRUE=$AF$11:$AF$259, COUNTIF($AK$10:$AK125, $AI$11:$AI$259), ""), 0)),"")</f>
        <v/>
      </c>
      <c r="AL126" s="59" t="str">
        <f t="array" ref="AL126">IFERROR(INDEX($AI$11:$AI$259, MATCH(0, IF(TRUE=$AG$11:$AG$259, COUNTIF($AL$10:$AL125, $AI$11:$AI$259), ""), 0)),"")</f>
        <v/>
      </c>
      <c r="AM126" s="59" t="str">
        <f t="array" ref="AM126">IFERROR(INDEX($AI$11:$AI$259, MATCH(0, IF(TRUE=$AH$11:$AH$259, COUNTIF($AM$10:$AM125, $AI$11:$AI$259), ""), 0)),"")</f>
        <v/>
      </c>
      <c r="AN126" s="59"/>
      <c r="AQ126" s="52">
        <f t="shared" si="7"/>
        <v>0</v>
      </c>
    </row>
    <row r="127" spans="1:43" x14ac:dyDescent="0.25">
      <c r="A127" s="52" t="str">
        <f>IFERROR(INDEX('G-1 All Habitats'!$AG$3:$AG$15,MATCH(E127,'G-1 All Habitats'!$AF$3:$AF$15,0)),"")</f>
        <v/>
      </c>
      <c r="B127" s="52" t="str">
        <f>IFERROR(INDEX('G-8 Condition Look up'!$I$4:$I$131,MATCH(G127,'G-8 Condition Look up'!$A$4:$A$131,0)),"")</f>
        <v/>
      </c>
      <c r="D127" s="89">
        <v>117</v>
      </c>
      <c r="E127" s="90"/>
      <c r="F127" s="91"/>
      <c r="G127" s="75" t="str">
        <f>IFERROR(INDEX('G-1 All Habitats'!$B$3:$B$130,MATCH(F127,'G-1 All Habitats'!$A$3:$A$130,0)),"")</f>
        <v/>
      </c>
      <c r="H127" s="76"/>
      <c r="I127" s="77" t="str">
        <f>IF(G127="","",VLOOKUP(G127,'G-1 All Habitats'!$B$2:$M$130,10,FALSE))</f>
        <v/>
      </c>
      <c r="J127" s="78" t="str">
        <f>IFERROR(VLOOKUP(I127,'G-1 All Habitats'!$V$3:$W$7,2,FALSE),"")</f>
        <v/>
      </c>
      <c r="K127" s="79"/>
      <c r="L127" s="78" t="str">
        <f>IFERROR(INDEX('G-8 Condition Look up'!$A$3:$H$131,MATCH(G127,'G-8 Condition Look up'!$A$3:$A$131,0),MATCH(K127,'G-8 Condition Look up'!$A$3:$H$3,0)),"")</f>
        <v/>
      </c>
      <c r="M127" s="79"/>
      <c r="N127" s="348" t="str">
        <f>IF(M127="","",IF(VLOOKUP(M127,'G-3 Multipliers'!$L$3:$N$6,2,FALSE)=0,"Spatial Data Missing",VLOOKUP(M127,'G-3 Multipliers'!$L$3:$N$6,2,FALSE)))</f>
        <v/>
      </c>
      <c r="O127" s="569" t="str">
        <f>IF(M127="","",IF(VLOOKUP(M127,'G-3 Multipliers'!$L$3:$N$6,3,FALSE)=0,"Spatial Data Missing",VLOOKUP(M127,'G-3 Multipliers'!$L$3:$N$6,3,FALSE)))</f>
        <v/>
      </c>
      <c r="P127" s="80" t="str">
        <f>IFERROR(VLOOKUP(G127,'G-1 All Habitats'!$B$2:$M$130,12,FALSE),"")</f>
        <v/>
      </c>
      <c r="Q127" s="81" t="str">
        <f>IFERROR(IF(P127="","",IF(AND(P127='G-1 All Habitats'!$X$3,T127&gt;0),U127+V127,IF(AND(P127='G-1 All Habitats'!$X$3,S127&gt;0),U127+V127,IF(AND(P127='G-1 All Habitats'!$X$3,AC127&gt;0),"Any Loss Unacceptable",IF(AND(P127='G-1 All Habitats'!$X$3,W127&gt;0),"Any Loss Unacceptable",H127*J127*L127*O127))))),"Check Data")</f>
        <v/>
      </c>
      <c r="R127" s="55"/>
      <c r="S127" s="79"/>
      <c r="T127" s="82"/>
      <c r="U127" s="83" t="str">
        <f t="shared" si="8"/>
        <v/>
      </c>
      <c r="V127" s="83" t="str">
        <f t="shared" si="9"/>
        <v/>
      </c>
      <c r="W127" s="83" t="str">
        <f>IF(E127="","",IF(H127&lt;S127+T127,"Error in Areas",IF(P127&lt;&gt;'G-1 All Habitats'!$X$3,H127-S127-T127,IF(AND(P127='G-1 All Habitats'!$X$3,Y127="Yes"),"Unacceptable Loss",IF(AND(P127='G-1 All Habitats'!$X$3,Y127="No"),AC127,IF(AND(P127='G-1 All Habitats'!$X$3,Y127=""),AC127,IF(AND(P127='G-1 All Habitats'!$X$3,AC127="None",AC127),IF(AND(P127='G-1 All Habitats'!$X$3,AC127&gt;0),H127-S127-T127))))))))</f>
        <v/>
      </c>
      <c r="X127" s="84" t="str">
        <f>IFERROR(IF(H127="","",IF(H127-S127-T127=0&lt;0,"Error in Areas",IF(S127+T127&gt;H127,"Error in Areas",IF(AND(P127='G-1 All Habitats'!$X$3,Y127="Yes"),"Alternative Compensation",IF(W127=0,0,IF(P127='G-1 All Habitats'!$X$3,"Unacceptable Loss",Q127-U127-V127)))))),"Check Data")</f>
        <v/>
      </c>
      <c r="Y127" s="82"/>
      <c r="Z127" s="92"/>
      <c r="AA127" s="93"/>
      <c r="AC127" s="87" t="str">
        <f>IF(P127="","",IF(P127='G-1 All Habitats'!$X$3,H127-S127-T127,"None"))</f>
        <v/>
      </c>
      <c r="AD127" s="88" t="str">
        <f>IFERROR(AC127*J127*L127*#REF!*O127,IF(P127="","","None"))</f>
        <v/>
      </c>
      <c r="AF127" s="59" t="str">
        <f t="shared" si="5"/>
        <v/>
      </c>
      <c r="AG127" s="59" t="str">
        <f t="shared" si="6"/>
        <v/>
      </c>
      <c r="AH127" s="59" t="str">
        <f>IF(I127="","",IF(#REF!&gt;0,TRUE,FALSE))</f>
        <v/>
      </c>
      <c r="AI127" s="59">
        <v>117</v>
      </c>
      <c r="AJ127" s="59"/>
      <c r="AK127" s="59" t="str">
        <f t="array" ref="AK127">IFERROR(INDEX($AI$11:$AI$259, MATCH(0, IF(TRUE=$AF$11:$AF$259, COUNTIF($AK$10:$AK126, $AI$11:$AI$259), ""), 0)),"")</f>
        <v/>
      </c>
      <c r="AL127" s="59" t="str">
        <f t="array" ref="AL127">IFERROR(INDEX($AI$11:$AI$259, MATCH(0, IF(TRUE=$AG$11:$AG$259, COUNTIF($AL$10:$AL126, $AI$11:$AI$259), ""), 0)),"")</f>
        <v/>
      </c>
      <c r="AM127" s="59" t="str">
        <f t="array" ref="AM127">IFERROR(INDEX($AI$11:$AI$259, MATCH(0, IF(TRUE=$AH$11:$AH$259, COUNTIF($AM$10:$AM126, $AI$11:$AI$259), ""), 0)),"")</f>
        <v/>
      </c>
      <c r="AN127" s="59"/>
      <c r="AQ127" s="52">
        <f t="shared" si="7"/>
        <v>0</v>
      </c>
    </row>
    <row r="128" spans="1:43" x14ac:dyDescent="0.25">
      <c r="A128" s="52" t="str">
        <f>IFERROR(INDEX('G-1 All Habitats'!$AG$3:$AG$15,MATCH(E128,'G-1 All Habitats'!$AF$3:$AF$15,0)),"")</f>
        <v/>
      </c>
      <c r="B128" s="52" t="str">
        <f>IFERROR(INDEX('G-8 Condition Look up'!$I$4:$I$131,MATCH(G128,'G-8 Condition Look up'!$A$4:$A$131,0)),"")</f>
        <v/>
      </c>
      <c r="D128" s="89">
        <v>118</v>
      </c>
      <c r="E128" s="90"/>
      <c r="F128" s="91"/>
      <c r="G128" s="75" t="str">
        <f>IFERROR(INDEX('G-1 All Habitats'!$B$3:$B$130,MATCH(F128,'G-1 All Habitats'!$A$3:$A$130,0)),"")</f>
        <v/>
      </c>
      <c r="H128" s="76"/>
      <c r="I128" s="77" t="str">
        <f>IF(G128="","",VLOOKUP(G128,'G-1 All Habitats'!$B$2:$M$130,10,FALSE))</f>
        <v/>
      </c>
      <c r="J128" s="78" t="str">
        <f>IFERROR(VLOOKUP(I128,'G-1 All Habitats'!$V$3:$W$7,2,FALSE),"")</f>
        <v/>
      </c>
      <c r="K128" s="79"/>
      <c r="L128" s="78" t="str">
        <f>IFERROR(INDEX('G-8 Condition Look up'!$A$3:$H$131,MATCH(G128,'G-8 Condition Look up'!$A$3:$A$131,0),MATCH(K128,'G-8 Condition Look up'!$A$3:$H$3,0)),"")</f>
        <v/>
      </c>
      <c r="M128" s="79"/>
      <c r="N128" s="348" t="str">
        <f>IF(M128="","",IF(VLOOKUP(M128,'G-3 Multipliers'!$L$3:$N$6,2,FALSE)=0,"Spatial Data Missing",VLOOKUP(M128,'G-3 Multipliers'!$L$3:$N$6,2,FALSE)))</f>
        <v/>
      </c>
      <c r="O128" s="569" t="str">
        <f>IF(M128="","",IF(VLOOKUP(M128,'G-3 Multipliers'!$L$3:$N$6,3,FALSE)=0,"Spatial Data Missing",VLOOKUP(M128,'G-3 Multipliers'!$L$3:$N$6,3,FALSE)))</f>
        <v/>
      </c>
      <c r="P128" s="80" t="str">
        <f>IFERROR(VLOOKUP(G128,'G-1 All Habitats'!$B$2:$M$130,12,FALSE),"")</f>
        <v/>
      </c>
      <c r="Q128" s="81" t="str">
        <f>IFERROR(IF(P128="","",IF(AND(P128='G-1 All Habitats'!$X$3,T128&gt;0),U128+V128,IF(AND(P128='G-1 All Habitats'!$X$3,S128&gt;0),U128+V128,IF(AND(P128='G-1 All Habitats'!$X$3,AC128&gt;0),"Any Loss Unacceptable",IF(AND(P128='G-1 All Habitats'!$X$3,W128&gt;0),"Any Loss Unacceptable",H128*J128*L128*O128))))),"Check Data")</f>
        <v/>
      </c>
      <c r="R128" s="55"/>
      <c r="S128" s="79"/>
      <c r="T128" s="82"/>
      <c r="U128" s="83" t="str">
        <f t="shared" si="8"/>
        <v/>
      </c>
      <c r="V128" s="83" t="str">
        <f t="shared" si="9"/>
        <v/>
      </c>
      <c r="W128" s="83" t="str">
        <f>IF(E128="","",IF(H128&lt;S128+T128,"Error in Areas",IF(P128&lt;&gt;'G-1 All Habitats'!$X$3,H128-S128-T128,IF(AND(P128='G-1 All Habitats'!$X$3,Y128="Yes"),"Unacceptable Loss",IF(AND(P128='G-1 All Habitats'!$X$3,Y128="No"),AC128,IF(AND(P128='G-1 All Habitats'!$X$3,Y128=""),AC128,IF(AND(P128='G-1 All Habitats'!$X$3,AC128="None",AC128),IF(AND(P128='G-1 All Habitats'!$X$3,AC128&gt;0),H128-S128-T128))))))))</f>
        <v/>
      </c>
      <c r="X128" s="84" t="str">
        <f>IFERROR(IF(H128="","",IF(H128-S128-T128=0&lt;0,"Error in Areas",IF(S128+T128&gt;H128,"Error in Areas",IF(AND(P128='G-1 All Habitats'!$X$3,Y128="Yes"),"Alternative Compensation",IF(W128=0,0,IF(P128='G-1 All Habitats'!$X$3,"Unacceptable Loss",Q128-U128-V128)))))),"Check Data")</f>
        <v/>
      </c>
      <c r="Y128" s="82"/>
      <c r="Z128" s="92"/>
      <c r="AA128" s="93"/>
      <c r="AC128" s="87" t="str">
        <f>IF(P128="","",IF(P128='G-1 All Habitats'!$X$3,H128-S128-T128,"None"))</f>
        <v/>
      </c>
      <c r="AD128" s="88" t="str">
        <f>IFERROR(AC128*J128*L128*#REF!*O128,IF(P128="","","None"))</f>
        <v/>
      </c>
      <c r="AF128" s="59" t="str">
        <f t="shared" si="5"/>
        <v/>
      </c>
      <c r="AG128" s="59" t="str">
        <f t="shared" si="6"/>
        <v/>
      </c>
      <c r="AH128" s="59" t="str">
        <f>IF(I128="","",IF(#REF!&gt;0,TRUE,FALSE))</f>
        <v/>
      </c>
      <c r="AI128" s="59">
        <v>118</v>
      </c>
      <c r="AJ128" s="59"/>
      <c r="AK128" s="59" t="str">
        <f t="array" ref="AK128">IFERROR(INDEX($AI$11:$AI$259, MATCH(0, IF(TRUE=$AF$11:$AF$259, COUNTIF($AK$10:$AK127, $AI$11:$AI$259), ""), 0)),"")</f>
        <v/>
      </c>
      <c r="AL128" s="59" t="str">
        <f t="array" ref="AL128">IFERROR(INDEX($AI$11:$AI$259, MATCH(0, IF(TRUE=$AG$11:$AG$259, COUNTIF($AL$10:$AL127, $AI$11:$AI$259), ""), 0)),"")</f>
        <v/>
      </c>
      <c r="AM128" s="59" t="str">
        <f t="array" ref="AM128">IFERROR(INDEX($AI$11:$AI$259, MATCH(0, IF(TRUE=$AH$11:$AH$259, COUNTIF($AM$10:$AM127, $AI$11:$AI$259), ""), 0)),"")</f>
        <v/>
      </c>
      <c r="AN128" s="59"/>
      <c r="AQ128" s="52">
        <f t="shared" si="7"/>
        <v>0</v>
      </c>
    </row>
    <row r="129" spans="1:43" x14ac:dyDescent="0.25">
      <c r="A129" s="52" t="str">
        <f>IFERROR(INDEX('G-1 All Habitats'!$AG$3:$AG$15,MATCH(E129,'G-1 All Habitats'!$AF$3:$AF$15,0)),"")</f>
        <v/>
      </c>
      <c r="B129" s="52" t="str">
        <f>IFERROR(INDEX('G-8 Condition Look up'!$I$4:$I$131,MATCH(G129,'G-8 Condition Look up'!$A$4:$A$131,0)),"")</f>
        <v/>
      </c>
      <c r="D129" s="89">
        <v>119</v>
      </c>
      <c r="E129" s="90"/>
      <c r="F129" s="91"/>
      <c r="G129" s="75" t="str">
        <f>IFERROR(INDEX('G-1 All Habitats'!$B$3:$B$130,MATCH(F129,'G-1 All Habitats'!$A$3:$A$130,0)),"")</f>
        <v/>
      </c>
      <c r="H129" s="76"/>
      <c r="I129" s="77" t="str">
        <f>IF(G129="","",VLOOKUP(G129,'G-1 All Habitats'!$B$2:$M$130,10,FALSE))</f>
        <v/>
      </c>
      <c r="J129" s="78" t="str">
        <f>IFERROR(VLOOKUP(I129,'G-1 All Habitats'!$V$3:$W$7,2,FALSE),"")</f>
        <v/>
      </c>
      <c r="K129" s="79"/>
      <c r="L129" s="78" t="str">
        <f>IFERROR(INDEX('G-8 Condition Look up'!$A$3:$H$131,MATCH(G129,'G-8 Condition Look up'!$A$3:$A$131,0),MATCH(K129,'G-8 Condition Look up'!$A$3:$H$3,0)),"")</f>
        <v/>
      </c>
      <c r="M129" s="79"/>
      <c r="N129" s="348" t="str">
        <f>IF(M129="","",IF(VLOOKUP(M129,'G-3 Multipliers'!$L$3:$N$6,2,FALSE)=0,"Spatial Data Missing",VLOOKUP(M129,'G-3 Multipliers'!$L$3:$N$6,2,FALSE)))</f>
        <v/>
      </c>
      <c r="O129" s="569" t="str">
        <f>IF(M129="","",IF(VLOOKUP(M129,'G-3 Multipliers'!$L$3:$N$6,3,FALSE)=0,"Spatial Data Missing",VLOOKUP(M129,'G-3 Multipliers'!$L$3:$N$6,3,FALSE)))</f>
        <v/>
      </c>
      <c r="P129" s="80" t="str">
        <f>IFERROR(VLOOKUP(G129,'G-1 All Habitats'!$B$2:$M$130,12,FALSE),"")</f>
        <v/>
      </c>
      <c r="Q129" s="81" t="str">
        <f>IFERROR(IF(P129="","",IF(AND(P129='G-1 All Habitats'!$X$3,T129&gt;0),U129+V129,IF(AND(P129='G-1 All Habitats'!$X$3,S129&gt;0),U129+V129,IF(AND(P129='G-1 All Habitats'!$X$3,AC129&gt;0),"Any Loss Unacceptable",IF(AND(P129='G-1 All Habitats'!$X$3,W129&gt;0),"Any Loss Unacceptable",H129*J129*L129*O129))))),"Check Data")</f>
        <v/>
      </c>
      <c r="R129" s="55"/>
      <c r="S129" s="79"/>
      <c r="T129" s="82"/>
      <c r="U129" s="83" t="str">
        <f t="shared" si="8"/>
        <v/>
      </c>
      <c r="V129" s="83" t="str">
        <f t="shared" si="9"/>
        <v/>
      </c>
      <c r="W129" s="83" t="str">
        <f>IF(E129="","",IF(H129&lt;S129+T129,"Error in Areas",IF(P129&lt;&gt;'G-1 All Habitats'!$X$3,H129-S129-T129,IF(AND(P129='G-1 All Habitats'!$X$3,Y129="Yes"),"Unacceptable Loss",IF(AND(P129='G-1 All Habitats'!$X$3,Y129="No"),AC129,IF(AND(P129='G-1 All Habitats'!$X$3,Y129=""),AC129,IF(AND(P129='G-1 All Habitats'!$X$3,AC129="None",AC129),IF(AND(P129='G-1 All Habitats'!$X$3,AC129&gt;0),H129-S129-T129))))))))</f>
        <v/>
      </c>
      <c r="X129" s="84" t="str">
        <f>IFERROR(IF(H129="","",IF(H129-S129-T129=0&lt;0,"Error in Areas",IF(S129+T129&gt;H129,"Error in Areas",IF(AND(P129='G-1 All Habitats'!$X$3,Y129="Yes"),"Alternative Compensation",IF(W129=0,0,IF(P129='G-1 All Habitats'!$X$3,"Unacceptable Loss",Q129-U129-V129)))))),"Check Data")</f>
        <v/>
      </c>
      <c r="Y129" s="82"/>
      <c r="Z129" s="92"/>
      <c r="AA129" s="93"/>
      <c r="AC129" s="87" t="str">
        <f>IF(P129="","",IF(P129='G-1 All Habitats'!$X$3,H129-S129-T129,"None"))</f>
        <v/>
      </c>
      <c r="AD129" s="88" t="str">
        <f>IFERROR(AC129*J129*L129*#REF!*O129,IF(P129="","","None"))</f>
        <v/>
      </c>
      <c r="AF129" s="59" t="str">
        <f t="shared" si="5"/>
        <v/>
      </c>
      <c r="AG129" s="59" t="str">
        <f t="shared" si="6"/>
        <v/>
      </c>
      <c r="AH129" s="59" t="str">
        <f>IF(I129="","",IF(#REF!&gt;0,TRUE,FALSE))</f>
        <v/>
      </c>
      <c r="AI129" s="59">
        <v>119</v>
      </c>
      <c r="AJ129" s="59"/>
      <c r="AK129" s="59" t="str">
        <f t="array" ref="AK129">IFERROR(INDEX($AI$11:$AI$259, MATCH(0, IF(TRUE=$AF$11:$AF$259, COUNTIF($AK$10:$AK128, $AI$11:$AI$259), ""), 0)),"")</f>
        <v/>
      </c>
      <c r="AL129" s="59" t="str">
        <f t="array" ref="AL129">IFERROR(INDEX($AI$11:$AI$259, MATCH(0, IF(TRUE=$AG$11:$AG$259, COUNTIF($AL$10:$AL128, $AI$11:$AI$259), ""), 0)),"")</f>
        <v/>
      </c>
      <c r="AM129" s="59" t="str">
        <f t="array" ref="AM129">IFERROR(INDEX($AI$11:$AI$259, MATCH(0, IF(TRUE=$AH$11:$AH$259, COUNTIF($AM$10:$AM128, $AI$11:$AI$259), ""), 0)),"")</f>
        <v/>
      </c>
      <c r="AN129" s="59"/>
      <c r="AQ129" s="52">
        <f t="shared" si="7"/>
        <v>0</v>
      </c>
    </row>
    <row r="130" spans="1:43" x14ac:dyDescent="0.25">
      <c r="A130" s="52" t="str">
        <f>IFERROR(INDEX('G-1 All Habitats'!$AG$3:$AG$15,MATCH(E130,'G-1 All Habitats'!$AF$3:$AF$15,0)),"")</f>
        <v/>
      </c>
      <c r="B130" s="52" t="str">
        <f>IFERROR(INDEX('G-8 Condition Look up'!$I$4:$I$131,MATCH(G130,'G-8 Condition Look up'!$A$4:$A$131,0)),"")</f>
        <v/>
      </c>
      <c r="D130" s="89">
        <v>120</v>
      </c>
      <c r="E130" s="90"/>
      <c r="F130" s="91"/>
      <c r="G130" s="75" t="str">
        <f>IFERROR(INDEX('G-1 All Habitats'!$B$3:$B$130,MATCH(F130,'G-1 All Habitats'!$A$3:$A$130,0)),"")</f>
        <v/>
      </c>
      <c r="H130" s="76"/>
      <c r="I130" s="77" t="str">
        <f>IF(G130="","",VLOOKUP(G130,'G-1 All Habitats'!$B$2:$M$130,10,FALSE))</f>
        <v/>
      </c>
      <c r="J130" s="78" t="str">
        <f>IFERROR(VLOOKUP(I130,'G-1 All Habitats'!$V$3:$W$7,2,FALSE),"")</f>
        <v/>
      </c>
      <c r="K130" s="79"/>
      <c r="L130" s="78" t="str">
        <f>IFERROR(INDEX('G-8 Condition Look up'!$A$3:$H$131,MATCH(G130,'G-8 Condition Look up'!$A$3:$A$131,0),MATCH(K130,'G-8 Condition Look up'!$A$3:$H$3,0)),"")</f>
        <v/>
      </c>
      <c r="M130" s="79"/>
      <c r="N130" s="348" t="str">
        <f>IF(M130="","",IF(VLOOKUP(M130,'G-3 Multipliers'!$L$3:$N$6,2,FALSE)=0,"Spatial Data Missing",VLOOKUP(M130,'G-3 Multipliers'!$L$3:$N$6,2,FALSE)))</f>
        <v/>
      </c>
      <c r="O130" s="569" t="str">
        <f>IF(M130="","",IF(VLOOKUP(M130,'G-3 Multipliers'!$L$3:$N$6,3,FALSE)=0,"Spatial Data Missing",VLOOKUP(M130,'G-3 Multipliers'!$L$3:$N$6,3,FALSE)))</f>
        <v/>
      </c>
      <c r="P130" s="80" t="str">
        <f>IFERROR(VLOOKUP(G130,'G-1 All Habitats'!$B$2:$M$130,12,FALSE),"")</f>
        <v/>
      </c>
      <c r="Q130" s="81" t="str">
        <f>IFERROR(IF(P130="","",IF(AND(P130='G-1 All Habitats'!$X$3,T130&gt;0),U130+V130,IF(AND(P130='G-1 All Habitats'!$X$3,S130&gt;0),U130+V130,IF(AND(P130='G-1 All Habitats'!$X$3,AC130&gt;0),"Any Loss Unacceptable",IF(AND(P130='G-1 All Habitats'!$X$3,W130&gt;0),"Any Loss Unacceptable",H130*J130*L130*O130))))),"Check Data")</f>
        <v/>
      </c>
      <c r="R130" s="55"/>
      <c r="S130" s="79"/>
      <c r="T130" s="82"/>
      <c r="U130" s="83" t="str">
        <f t="shared" si="8"/>
        <v/>
      </c>
      <c r="V130" s="83" t="str">
        <f t="shared" si="9"/>
        <v/>
      </c>
      <c r="W130" s="83" t="str">
        <f>IF(E130="","",IF(H130&lt;S130+T130,"Error in Areas",IF(P130&lt;&gt;'G-1 All Habitats'!$X$3,H130-S130-T130,IF(AND(P130='G-1 All Habitats'!$X$3,Y130="Yes"),"Unacceptable Loss",IF(AND(P130='G-1 All Habitats'!$X$3,Y130="No"),AC130,IF(AND(P130='G-1 All Habitats'!$X$3,Y130=""),AC130,IF(AND(P130='G-1 All Habitats'!$X$3,AC130="None",AC130),IF(AND(P130='G-1 All Habitats'!$X$3,AC130&gt;0),H130-S130-T130))))))))</f>
        <v/>
      </c>
      <c r="X130" s="84" t="str">
        <f>IFERROR(IF(H130="","",IF(H130-S130-T130=0&lt;0,"Error in Areas",IF(S130+T130&gt;H130,"Error in Areas",IF(AND(P130='G-1 All Habitats'!$X$3,Y130="Yes"),"Alternative Compensation",IF(W130=0,0,IF(P130='G-1 All Habitats'!$X$3,"Unacceptable Loss",Q130-U130-V130)))))),"Check Data")</f>
        <v/>
      </c>
      <c r="Y130" s="82"/>
      <c r="Z130" s="92"/>
      <c r="AA130" s="93"/>
      <c r="AC130" s="87" t="str">
        <f>IF(P130="","",IF(P130='G-1 All Habitats'!$X$3,H130-S130-T130,"None"))</f>
        <v/>
      </c>
      <c r="AD130" s="88" t="str">
        <f>IFERROR(AC130*J130*L130*#REF!*O130,IF(P130="","","None"))</f>
        <v/>
      </c>
      <c r="AF130" s="59" t="str">
        <f t="shared" si="5"/>
        <v/>
      </c>
      <c r="AG130" s="59" t="str">
        <f t="shared" si="6"/>
        <v/>
      </c>
      <c r="AH130" s="59" t="str">
        <f>IF(I130="","",IF(#REF!&gt;0,TRUE,FALSE))</f>
        <v/>
      </c>
      <c r="AI130" s="59">
        <v>120</v>
      </c>
      <c r="AJ130" s="59"/>
      <c r="AK130" s="59" t="str">
        <f t="array" ref="AK130">IFERROR(INDEX($AI$11:$AI$259, MATCH(0, IF(TRUE=$AF$11:$AF$259, COUNTIF($AK$10:$AK129, $AI$11:$AI$259), ""), 0)),"")</f>
        <v/>
      </c>
      <c r="AL130" s="59" t="str">
        <f t="array" ref="AL130">IFERROR(INDEX($AI$11:$AI$259, MATCH(0, IF(TRUE=$AG$11:$AG$259, COUNTIF($AL$10:$AL129, $AI$11:$AI$259), ""), 0)),"")</f>
        <v/>
      </c>
      <c r="AM130" s="59" t="str">
        <f t="array" ref="AM130">IFERROR(INDEX($AI$11:$AI$259, MATCH(0, IF(TRUE=$AH$11:$AH$259, COUNTIF($AM$10:$AM129, $AI$11:$AI$259), ""), 0)),"")</f>
        <v/>
      </c>
      <c r="AN130" s="59"/>
      <c r="AQ130" s="52">
        <f t="shared" si="7"/>
        <v>0</v>
      </c>
    </row>
    <row r="131" spans="1:43" x14ac:dyDescent="0.25">
      <c r="A131" s="52" t="str">
        <f>IFERROR(INDEX('G-1 All Habitats'!$AG$3:$AG$15,MATCH(E131,'G-1 All Habitats'!$AF$3:$AF$15,0)),"")</f>
        <v/>
      </c>
      <c r="B131" s="52" t="str">
        <f>IFERROR(INDEX('G-8 Condition Look up'!$I$4:$I$131,MATCH(G131,'G-8 Condition Look up'!$A$4:$A$131,0)),"")</f>
        <v/>
      </c>
      <c r="D131" s="89">
        <v>121</v>
      </c>
      <c r="E131" s="90"/>
      <c r="F131" s="91"/>
      <c r="G131" s="75" t="str">
        <f>IFERROR(INDEX('G-1 All Habitats'!$B$3:$B$130,MATCH(F131,'G-1 All Habitats'!$A$3:$A$130,0)),"")</f>
        <v/>
      </c>
      <c r="H131" s="76"/>
      <c r="I131" s="77" t="str">
        <f>IF(G131="","",VLOOKUP(G131,'G-1 All Habitats'!$B$2:$M$130,10,FALSE))</f>
        <v/>
      </c>
      <c r="J131" s="78" t="str">
        <f>IFERROR(VLOOKUP(I131,'G-1 All Habitats'!$V$3:$W$7,2,FALSE),"")</f>
        <v/>
      </c>
      <c r="K131" s="79"/>
      <c r="L131" s="78" t="str">
        <f>IFERROR(INDEX('G-8 Condition Look up'!$A$3:$H$131,MATCH(G131,'G-8 Condition Look up'!$A$3:$A$131,0),MATCH(K131,'G-8 Condition Look up'!$A$3:$H$3,0)),"")</f>
        <v/>
      </c>
      <c r="M131" s="79"/>
      <c r="N131" s="348" t="str">
        <f>IF(M131="","",IF(VLOOKUP(M131,'G-3 Multipliers'!$L$3:$N$6,2,FALSE)=0,"Spatial Data Missing",VLOOKUP(M131,'G-3 Multipliers'!$L$3:$N$6,2,FALSE)))</f>
        <v/>
      </c>
      <c r="O131" s="569" t="str">
        <f>IF(M131="","",IF(VLOOKUP(M131,'G-3 Multipliers'!$L$3:$N$6,3,FALSE)=0,"Spatial Data Missing",VLOOKUP(M131,'G-3 Multipliers'!$L$3:$N$6,3,FALSE)))</f>
        <v/>
      </c>
      <c r="P131" s="80" t="str">
        <f>IFERROR(VLOOKUP(G131,'G-1 All Habitats'!$B$2:$M$130,12,FALSE),"")</f>
        <v/>
      </c>
      <c r="Q131" s="81" t="str">
        <f>IFERROR(IF(P131="","",IF(AND(P131='G-1 All Habitats'!$X$3,T131&gt;0),U131+V131,IF(AND(P131='G-1 All Habitats'!$X$3,S131&gt;0),U131+V131,IF(AND(P131='G-1 All Habitats'!$X$3,AC131&gt;0),"Any Loss Unacceptable",IF(AND(P131='G-1 All Habitats'!$X$3,W131&gt;0),"Any Loss Unacceptable",H131*J131*L131*O131))))),"Check Data")</f>
        <v/>
      </c>
      <c r="R131" s="55"/>
      <c r="S131" s="79"/>
      <c r="T131" s="82"/>
      <c r="U131" s="83" t="str">
        <f t="shared" si="8"/>
        <v/>
      </c>
      <c r="V131" s="83" t="str">
        <f t="shared" si="9"/>
        <v/>
      </c>
      <c r="W131" s="83" t="str">
        <f>IF(E131="","",IF(H131&lt;S131+T131,"Error in Areas",IF(P131&lt;&gt;'G-1 All Habitats'!$X$3,H131-S131-T131,IF(AND(P131='G-1 All Habitats'!$X$3,Y131="Yes"),"Unacceptable Loss",IF(AND(P131='G-1 All Habitats'!$X$3,Y131="No"),AC131,IF(AND(P131='G-1 All Habitats'!$X$3,Y131=""),AC131,IF(AND(P131='G-1 All Habitats'!$X$3,AC131="None",AC131),IF(AND(P131='G-1 All Habitats'!$X$3,AC131&gt;0),H131-S131-T131))))))))</f>
        <v/>
      </c>
      <c r="X131" s="84" t="str">
        <f>IFERROR(IF(H131="","",IF(H131-S131-T131=0&lt;0,"Error in Areas",IF(S131+T131&gt;H131,"Error in Areas",IF(AND(P131='G-1 All Habitats'!$X$3,Y131="Yes"),"Alternative Compensation",IF(W131=0,0,IF(P131='G-1 All Habitats'!$X$3,"Unacceptable Loss",Q131-U131-V131)))))),"Check Data")</f>
        <v/>
      </c>
      <c r="Y131" s="82"/>
      <c r="Z131" s="92"/>
      <c r="AA131" s="93"/>
      <c r="AC131" s="87" t="str">
        <f>IF(P131="","",IF(P131='G-1 All Habitats'!$X$3,H131-S131-T131,"None"))</f>
        <v/>
      </c>
      <c r="AD131" s="88" t="str">
        <f>IFERROR(AC131*J131*L131*#REF!*O131,IF(P131="","","None"))</f>
        <v/>
      </c>
      <c r="AF131" s="59" t="str">
        <f t="shared" si="5"/>
        <v/>
      </c>
      <c r="AG131" s="59" t="str">
        <f t="shared" si="6"/>
        <v/>
      </c>
      <c r="AH131" s="59" t="str">
        <f>IF(I131="","",IF(#REF!&gt;0,TRUE,FALSE))</f>
        <v/>
      </c>
      <c r="AI131" s="59">
        <v>121</v>
      </c>
      <c r="AJ131" s="59"/>
      <c r="AK131" s="59" t="str">
        <f t="array" ref="AK131">IFERROR(INDEX($AI$11:$AI$259, MATCH(0, IF(TRUE=$AF$11:$AF$259, COUNTIF($AK$10:$AK130, $AI$11:$AI$259), ""), 0)),"")</f>
        <v/>
      </c>
      <c r="AL131" s="59" t="str">
        <f t="array" ref="AL131">IFERROR(INDEX($AI$11:$AI$259, MATCH(0, IF(TRUE=$AG$11:$AG$259, COUNTIF($AL$10:$AL130, $AI$11:$AI$259), ""), 0)),"")</f>
        <v/>
      </c>
      <c r="AM131" s="59" t="str">
        <f t="array" ref="AM131">IFERROR(INDEX($AI$11:$AI$259, MATCH(0, IF(TRUE=$AH$11:$AH$259, COUNTIF($AM$10:$AM130, $AI$11:$AI$259), ""), 0)),"")</f>
        <v/>
      </c>
      <c r="AN131" s="59"/>
      <c r="AQ131" s="52">
        <f t="shared" si="7"/>
        <v>0</v>
      </c>
    </row>
    <row r="132" spans="1:43" x14ac:dyDescent="0.25">
      <c r="A132" s="52" t="str">
        <f>IFERROR(INDEX('G-1 All Habitats'!$AG$3:$AG$15,MATCH(E132,'G-1 All Habitats'!$AF$3:$AF$15,0)),"")</f>
        <v/>
      </c>
      <c r="B132" s="52" t="str">
        <f>IFERROR(INDEX('G-8 Condition Look up'!$I$4:$I$131,MATCH(G132,'G-8 Condition Look up'!$A$4:$A$131,0)),"")</f>
        <v/>
      </c>
      <c r="D132" s="89">
        <v>122</v>
      </c>
      <c r="E132" s="90"/>
      <c r="F132" s="91"/>
      <c r="G132" s="75" t="str">
        <f>IFERROR(INDEX('G-1 All Habitats'!$B$3:$B$130,MATCH(F132,'G-1 All Habitats'!$A$3:$A$130,0)),"")</f>
        <v/>
      </c>
      <c r="H132" s="76"/>
      <c r="I132" s="77" t="str">
        <f>IF(G132="","",VLOOKUP(G132,'G-1 All Habitats'!$B$2:$M$130,10,FALSE))</f>
        <v/>
      </c>
      <c r="J132" s="78" t="str">
        <f>IFERROR(VLOOKUP(I132,'G-1 All Habitats'!$V$3:$W$7,2,FALSE),"")</f>
        <v/>
      </c>
      <c r="K132" s="79"/>
      <c r="L132" s="78" t="str">
        <f>IFERROR(INDEX('G-8 Condition Look up'!$A$3:$H$131,MATCH(G132,'G-8 Condition Look up'!$A$3:$A$131,0),MATCH(K132,'G-8 Condition Look up'!$A$3:$H$3,0)),"")</f>
        <v/>
      </c>
      <c r="M132" s="79"/>
      <c r="N132" s="348" t="str">
        <f>IF(M132="","",IF(VLOOKUP(M132,'G-3 Multipliers'!$L$3:$N$6,2,FALSE)=0,"Spatial Data Missing",VLOOKUP(M132,'G-3 Multipliers'!$L$3:$N$6,2,FALSE)))</f>
        <v/>
      </c>
      <c r="O132" s="569" t="str">
        <f>IF(M132="","",IF(VLOOKUP(M132,'G-3 Multipliers'!$L$3:$N$6,3,FALSE)=0,"Spatial Data Missing",VLOOKUP(M132,'G-3 Multipliers'!$L$3:$N$6,3,FALSE)))</f>
        <v/>
      </c>
      <c r="P132" s="80" t="str">
        <f>IFERROR(VLOOKUP(G132,'G-1 All Habitats'!$B$2:$M$130,12,FALSE),"")</f>
        <v/>
      </c>
      <c r="Q132" s="81" t="str">
        <f>IFERROR(IF(P132="","",IF(AND(P132='G-1 All Habitats'!$X$3,T132&gt;0),U132+V132,IF(AND(P132='G-1 All Habitats'!$X$3,S132&gt;0),U132+V132,IF(AND(P132='G-1 All Habitats'!$X$3,AC132&gt;0),"Any Loss Unacceptable",IF(AND(P132='G-1 All Habitats'!$X$3,W132&gt;0),"Any Loss Unacceptable",H132*J132*L132*O132))))),"Check Data")</f>
        <v/>
      </c>
      <c r="R132" s="55"/>
      <c r="S132" s="79"/>
      <c r="T132" s="82"/>
      <c r="U132" s="83" t="str">
        <f t="shared" si="8"/>
        <v/>
      </c>
      <c r="V132" s="83" t="str">
        <f t="shared" si="9"/>
        <v/>
      </c>
      <c r="W132" s="83" t="str">
        <f>IF(E132="","",IF(H132&lt;S132+T132,"Error in Areas",IF(P132&lt;&gt;'G-1 All Habitats'!$X$3,H132-S132-T132,IF(AND(P132='G-1 All Habitats'!$X$3,Y132="Yes"),"Unacceptable Loss",IF(AND(P132='G-1 All Habitats'!$X$3,Y132="No"),AC132,IF(AND(P132='G-1 All Habitats'!$X$3,Y132=""),AC132,IF(AND(P132='G-1 All Habitats'!$X$3,AC132="None",AC132),IF(AND(P132='G-1 All Habitats'!$X$3,AC132&gt;0),H132-S132-T132))))))))</f>
        <v/>
      </c>
      <c r="X132" s="84" t="str">
        <f>IFERROR(IF(H132="","",IF(H132-S132-T132=0&lt;0,"Error in Areas",IF(S132+T132&gt;H132,"Error in Areas",IF(AND(P132='G-1 All Habitats'!$X$3,Y132="Yes"),"Alternative Compensation",IF(W132=0,0,IF(P132='G-1 All Habitats'!$X$3,"Unacceptable Loss",Q132-U132-V132)))))),"Check Data")</f>
        <v/>
      </c>
      <c r="Y132" s="82"/>
      <c r="Z132" s="92"/>
      <c r="AA132" s="93"/>
      <c r="AC132" s="87" t="str">
        <f>IF(P132="","",IF(P132='G-1 All Habitats'!$X$3,H132-S132-T132,"None"))</f>
        <v/>
      </c>
      <c r="AD132" s="88" t="str">
        <f>IFERROR(AC132*J132*L132*#REF!*O132,IF(P132="","","None"))</f>
        <v/>
      </c>
      <c r="AF132" s="59" t="str">
        <f t="shared" si="5"/>
        <v/>
      </c>
      <c r="AG132" s="59" t="str">
        <f t="shared" si="6"/>
        <v/>
      </c>
      <c r="AH132" s="59" t="str">
        <f>IF(I132="","",IF(#REF!&gt;0,TRUE,FALSE))</f>
        <v/>
      </c>
      <c r="AI132" s="59">
        <v>122</v>
      </c>
      <c r="AJ132" s="59"/>
      <c r="AK132" s="59" t="str">
        <f t="array" ref="AK132">IFERROR(INDEX($AI$11:$AI$259, MATCH(0, IF(TRUE=$AF$11:$AF$259, COUNTIF($AK$10:$AK131, $AI$11:$AI$259), ""), 0)),"")</f>
        <v/>
      </c>
      <c r="AL132" s="59" t="str">
        <f t="array" ref="AL132">IFERROR(INDEX($AI$11:$AI$259, MATCH(0, IF(TRUE=$AG$11:$AG$259, COUNTIF($AL$10:$AL131, $AI$11:$AI$259), ""), 0)),"")</f>
        <v/>
      </c>
      <c r="AM132" s="59" t="str">
        <f t="array" ref="AM132">IFERROR(INDEX($AI$11:$AI$259, MATCH(0, IF(TRUE=$AH$11:$AH$259, COUNTIF($AM$10:$AM131, $AI$11:$AI$259), ""), 0)),"")</f>
        <v/>
      </c>
      <c r="AN132" s="59"/>
      <c r="AQ132" s="52">
        <f t="shared" si="7"/>
        <v>0</v>
      </c>
    </row>
    <row r="133" spans="1:43" x14ac:dyDescent="0.25">
      <c r="A133" s="52" t="str">
        <f>IFERROR(INDEX('G-1 All Habitats'!$AG$3:$AG$15,MATCH(E133,'G-1 All Habitats'!$AF$3:$AF$15,0)),"")</f>
        <v/>
      </c>
      <c r="B133" s="52" t="str">
        <f>IFERROR(INDEX('G-8 Condition Look up'!$I$4:$I$131,MATCH(G133,'G-8 Condition Look up'!$A$4:$A$131,0)),"")</f>
        <v/>
      </c>
      <c r="D133" s="89">
        <v>123</v>
      </c>
      <c r="E133" s="90"/>
      <c r="F133" s="91"/>
      <c r="G133" s="75" t="str">
        <f>IFERROR(INDEX('G-1 All Habitats'!$B$3:$B$130,MATCH(F133,'G-1 All Habitats'!$A$3:$A$130,0)),"")</f>
        <v/>
      </c>
      <c r="H133" s="76"/>
      <c r="I133" s="77" t="str">
        <f>IF(G133="","",VLOOKUP(G133,'G-1 All Habitats'!$B$2:$M$130,10,FALSE))</f>
        <v/>
      </c>
      <c r="J133" s="78" t="str">
        <f>IFERROR(VLOOKUP(I133,'G-1 All Habitats'!$V$3:$W$7,2,FALSE),"")</f>
        <v/>
      </c>
      <c r="K133" s="79"/>
      <c r="L133" s="78" t="str">
        <f>IFERROR(INDEX('G-8 Condition Look up'!$A$3:$H$131,MATCH(G133,'G-8 Condition Look up'!$A$3:$A$131,0),MATCH(K133,'G-8 Condition Look up'!$A$3:$H$3,0)),"")</f>
        <v/>
      </c>
      <c r="M133" s="79"/>
      <c r="N133" s="348" t="str">
        <f>IF(M133="","",IF(VLOOKUP(M133,'G-3 Multipliers'!$L$3:$N$6,2,FALSE)=0,"Spatial Data Missing",VLOOKUP(M133,'G-3 Multipliers'!$L$3:$N$6,2,FALSE)))</f>
        <v/>
      </c>
      <c r="O133" s="569" t="str">
        <f>IF(M133="","",IF(VLOOKUP(M133,'G-3 Multipliers'!$L$3:$N$6,3,FALSE)=0,"Spatial Data Missing",VLOOKUP(M133,'G-3 Multipliers'!$L$3:$N$6,3,FALSE)))</f>
        <v/>
      </c>
      <c r="P133" s="80" t="str">
        <f>IFERROR(VLOOKUP(G133,'G-1 All Habitats'!$B$2:$M$130,12,FALSE),"")</f>
        <v/>
      </c>
      <c r="Q133" s="81" t="str">
        <f>IFERROR(IF(P133="","",IF(AND(P133='G-1 All Habitats'!$X$3,T133&gt;0),U133+V133,IF(AND(P133='G-1 All Habitats'!$X$3,S133&gt;0),U133+V133,IF(AND(P133='G-1 All Habitats'!$X$3,AC133&gt;0),"Any Loss Unacceptable",IF(AND(P133='G-1 All Habitats'!$X$3,W133&gt;0),"Any Loss Unacceptable",H133*J133*L133*O133))))),"Check Data")</f>
        <v/>
      </c>
      <c r="R133" s="55"/>
      <c r="S133" s="79"/>
      <c r="T133" s="82"/>
      <c r="U133" s="83" t="str">
        <f t="shared" si="8"/>
        <v/>
      </c>
      <c r="V133" s="83" t="str">
        <f t="shared" si="9"/>
        <v/>
      </c>
      <c r="W133" s="83" t="str">
        <f>IF(E133="","",IF(H133&lt;S133+T133,"Error in Areas",IF(P133&lt;&gt;'G-1 All Habitats'!$X$3,H133-S133-T133,IF(AND(P133='G-1 All Habitats'!$X$3,Y133="Yes"),"Unacceptable Loss",IF(AND(P133='G-1 All Habitats'!$X$3,Y133="No"),AC133,IF(AND(P133='G-1 All Habitats'!$X$3,Y133=""),AC133,IF(AND(P133='G-1 All Habitats'!$X$3,AC133="None",AC133),IF(AND(P133='G-1 All Habitats'!$X$3,AC133&gt;0),H133-S133-T133))))))))</f>
        <v/>
      </c>
      <c r="X133" s="84" t="str">
        <f>IFERROR(IF(H133="","",IF(H133-S133-T133=0&lt;0,"Error in Areas",IF(S133+T133&gt;H133,"Error in Areas",IF(AND(P133='G-1 All Habitats'!$X$3,Y133="Yes"),"Alternative Compensation",IF(W133=0,0,IF(P133='G-1 All Habitats'!$X$3,"Unacceptable Loss",Q133-U133-V133)))))),"Check Data")</f>
        <v/>
      </c>
      <c r="Y133" s="82"/>
      <c r="Z133" s="92"/>
      <c r="AA133" s="93"/>
      <c r="AC133" s="87" t="str">
        <f>IF(P133="","",IF(P133='G-1 All Habitats'!$X$3,H133-S133-T133,"None"))</f>
        <v/>
      </c>
      <c r="AD133" s="88" t="str">
        <f>IFERROR(AC133*J133*L133*#REF!*O133,IF(P133="","","None"))</f>
        <v/>
      </c>
      <c r="AF133" s="59" t="str">
        <f t="shared" si="5"/>
        <v/>
      </c>
      <c r="AG133" s="59" t="str">
        <f t="shared" si="6"/>
        <v/>
      </c>
      <c r="AH133" s="59" t="str">
        <f>IF(I133="","",IF(#REF!&gt;0,TRUE,FALSE))</f>
        <v/>
      </c>
      <c r="AI133" s="59">
        <v>123</v>
      </c>
      <c r="AJ133" s="59"/>
      <c r="AK133" s="59" t="str">
        <f t="array" ref="AK133">IFERROR(INDEX($AI$11:$AI$259, MATCH(0, IF(TRUE=$AF$11:$AF$259, COUNTIF($AK$10:$AK132, $AI$11:$AI$259), ""), 0)),"")</f>
        <v/>
      </c>
      <c r="AL133" s="59" t="str">
        <f t="array" ref="AL133">IFERROR(INDEX($AI$11:$AI$259, MATCH(0, IF(TRUE=$AG$11:$AG$259, COUNTIF($AL$10:$AL132, $AI$11:$AI$259), ""), 0)),"")</f>
        <v/>
      </c>
      <c r="AM133" s="59" t="str">
        <f t="array" ref="AM133">IFERROR(INDEX($AI$11:$AI$259, MATCH(0, IF(TRUE=$AH$11:$AH$259, COUNTIF($AM$10:$AM132, $AI$11:$AI$259), ""), 0)),"")</f>
        <v/>
      </c>
      <c r="AN133" s="59"/>
      <c r="AQ133" s="52">
        <f t="shared" si="7"/>
        <v>0</v>
      </c>
    </row>
    <row r="134" spans="1:43" x14ac:dyDescent="0.25">
      <c r="A134" s="52" t="str">
        <f>IFERROR(INDEX('G-1 All Habitats'!$AG$3:$AG$15,MATCH(E134,'G-1 All Habitats'!$AF$3:$AF$15,0)),"")</f>
        <v/>
      </c>
      <c r="B134" s="52" t="str">
        <f>IFERROR(INDEX('G-8 Condition Look up'!$I$4:$I$131,MATCH(G134,'G-8 Condition Look up'!$A$4:$A$131,0)),"")</f>
        <v/>
      </c>
      <c r="D134" s="89">
        <v>124</v>
      </c>
      <c r="E134" s="90"/>
      <c r="F134" s="91"/>
      <c r="G134" s="75" t="str">
        <f>IFERROR(INDEX('G-1 All Habitats'!$B$3:$B$130,MATCH(F134,'G-1 All Habitats'!$A$3:$A$130,0)),"")</f>
        <v/>
      </c>
      <c r="H134" s="76"/>
      <c r="I134" s="77" t="str">
        <f>IF(G134="","",VLOOKUP(G134,'G-1 All Habitats'!$B$2:$M$130,10,FALSE))</f>
        <v/>
      </c>
      <c r="J134" s="78" t="str">
        <f>IFERROR(VLOOKUP(I134,'G-1 All Habitats'!$V$3:$W$7,2,FALSE),"")</f>
        <v/>
      </c>
      <c r="K134" s="79"/>
      <c r="L134" s="78" t="str">
        <f>IFERROR(INDEX('G-8 Condition Look up'!$A$3:$H$131,MATCH(G134,'G-8 Condition Look up'!$A$3:$A$131,0),MATCH(K134,'G-8 Condition Look up'!$A$3:$H$3,0)),"")</f>
        <v/>
      </c>
      <c r="M134" s="79"/>
      <c r="N134" s="348" t="str">
        <f>IF(M134="","",IF(VLOOKUP(M134,'G-3 Multipliers'!$L$3:$N$6,2,FALSE)=0,"Spatial Data Missing",VLOOKUP(M134,'G-3 Multipliers'!$L$3:$N$6,2,FALSE)))</f>
        <v/>
      </c>
      <c r="O134" s="569" t="str">
        <f>IF(M134="","",IF(VLOOKUP(M134,'G-3 Multipliers'!$L$3:$N$6,3,FALSE)=0,"Spatial Data Missing",VLOOKUP(M134,'G-3 Multipliers'!$L$3:$N$6,3,FALSE)))</f>
        <v/>
      </c>
      <c r="P134" s="80" t="str">
        <f>IFERROR(VLOOKUP(G134,'G-1 All Habitats'!$B$2:$M$130,12,FALSE),"")</f>
        <v/>
      </c>
      <c r="Q134" s="81" t="str">
        <f>IFERROR(IF(P134="","",IF(AND(P134='G-1 All Habitats'!$X$3,T134&gt;0),U134+V134,IF(AND(P134='G-1 All Habitats'!$X$3,S134&gt;0),U134+V134,IF(AND(P134='G-1 All Habitats'!$X$3,AC134&gt;0),"Any Loss Unacceptable",IF(AND(P134='G-1 All Habitats'!$X$3,W134&gt;0),"Any Loss Unacceptable",H134*J134*L134*O134))))),"Check Data")</f>
        <v/>
      </c>
      <c r="R134" s="55"/>
      <c r="S134" s="79"/>
      <c r="T134" s="82"/>
      <c r="U134" s="83" t="str">
        <f t="shared" si="8"/>
        <v/>
      </c>
      <c r="V134" s="83" t="str">
        <f t="shared" si="9"/>
        <v/>
      </c>
      <c r="W134" s="83" t="str">
        <f>IF(E134="","",IF(H134&lt;S134+T134,"Error in Areas",IF(P134&lt;&gt;'G-1 All Habitats'!$X$3,H134-S134-T134,IF(AND(P134='G-1 All Habitats'!$X$3,Y134="Yes"),"Unacceptable Loss",IF(AND(P134='G-1 All Habitats'!$X$3,Y134="No"),AC134,IF(AND(P134='G-1 All Habitats'!$X$3,Y134=""),AC134,IF(AND(P134='G-1 All Habitats'!$X$3,AC134="None",AC134),IF(AND(P134='G-1 All Habitats'!$X$3,AC134&gt;0),H134-S134-T134))))))))</f>
        <v/>
      </c>
      <c r="X134" s="84" t="str">
        <f>IFERROR(IF(H134="","",IF(H134-S134-T134=0&lt;0,"Error in Areas",IF(S134+T134&gt;H134,"Error in Areas",IF(AND(P134='G-1 All Habitats'!$X$3,Y134="Yes"),"Alternative Compensation",IF(W134=0,0,IF(P134='G-1 All Habitats'!$X$3,"Unacceptable Loss",Q134-U134-V134)))))),"Check Data")</f>
        <v/>
      </c>
      <c r="Y134" s="82"/>
      <c r="Z134" s="92"/>
      <c r="AA134" s="93"/>
      <c r="AC134" s="87" t="str">
        <f>IF(P134="","",IF(P134='G-1 All Habitats'!$X$3,H134-S134-T134,"None"))</f>
        <v/>
      </c>
      <c r="AD134" s="88" t="str">
        <f>IFERROR(AC134*J134*L134*#REF!*O134,IF(P134="","","None"))</f>
        <v/>
      </c>
      <c r="AF134" s="59" t="str">
        <f t="shared" si="5"/>
        <v/>
      </c>
      <c r="AG134" s="59" t="str">
        <f t="shared" si="6"/>
        <v/>
      </c>
      <c r="AH134" s="59" t="str">
        <f>IF(I134="","",IF(#REF!&gt;0,TRUE,FALSE))</f>
        <v/>
      </c>
      <c r="AI134" s="59">
        <v>124</v>
      </c>
      <c r="AJ134" s="59"/>
      <c r="AK134" s="59" t="str">
        <f t="array" ref="AK134">IFERROR(INDEX($AI$11:$AI$259, MATCH(0, IF(TRUE=$AF$11:$AF$259, COUNTIF($AK$10:$AK133, $AI$11:$AI$259), ""), 0)),"")</f>
        <v/>
      </c>
      <c r="AL134" s="59" t="str">
        <f t="array" ref="AL134">IFERROR(INDEX($AI$11:$AI$259, MATCH(0, IF(TRUE=$AG$11:$AG$259, COUNTIF($AL$10:$AL133, $AI$11:$AI$259), ""), 0)),"")</f>
        <v/>
      </c>
      <c r="AM134" s="59" t="str">
        <f t="array" ref="AM134">IFERROR(INDEX($AI$11:$AI$259, MATCH(0, IF(TRUE=$AH$11:$AH$259, COUNTIF($AM$10:$AM133, $AI$11:$AI$259), ""), 0)),"")</f>
        <v/>
      </c>
      <c r="AN134" s="59"/>
      <c r="AQ134" s="52">
        <f t="shared" si="7"/>
        <v>0</v>
      </c>
    </row>
    <row r="135" spans="1:43" x14ac:dyDescent="0.25">
      <c r="A135" s="52" t="str">
        <f>IFERROR(INDEX('G-1 All Habitats'!$AG$3:$AG$15,MATCH(E135,'G-1 All Habitats'!$AF$3:$AF$15,0)),"")</f>
        <v/>
      </c>
      <c r="B135" s="52" t="str">
        <f>IFERROR(INDEX('G-8 Condition Look up'!$I$4:$I$131,MATCH(G135,'G-8 Condition Look up'!$A$4:$A$131,0)),"")</f>
        <v/>
      </c>
      <c r="D135" s="89">
        <v>125</v>
      </c>
      <c r="E135" s="90"/>
      <c r="F135" s="91"/>
      <c r="G135" s="75" t="str">
        <f>IFERROR(INDEX('G-1 All Habitats'!$B$3:$B$130,MATCH(F135,'G-1 All Habitats'!$A$3:$A$130,0)),"")</f>
        <v/>
      </c>
      <c r="H135" s="76"/>
      <c r="I135" s="77" t="str">
        <f>IF(G135="","",VLOOKUP(G135,'G-1 All Habitats'!$B$2:$M$130,10,FALSE))</f>
        <v/>
      </c>
      <c r="J135" s="78" t="str">
        <f>IFERROR(VLOOKUP(I135,'G-1 All Habitats'!$V$3:$W$7,2,FALSE),"")</f>
        <v/>
      </c>
      <c r="K135" s="79"/>
      <c r="L135" s="78" t="str">
        <f>IFERROR(INDEX('G-8 Condition Look up'!$A$3:$H$131,MATCH(G135,'G-8 Condition Look up'!$A$3:$A$131,0),MATCH(K135,'G-8 Condition Look up'!$A$3:$H$3,0)),"")</f>
        <v/>
      </c>
      <c r="M135" s="79"/>
      <c r="N135" s="348" t="str">
        <f>IF(M135="","",IF(VLOOKUP(M135,'G-3 Multipliers'!$L$3:$N$6,2,FALSE)=0,"Spatial Data Missing",VLOOKUP(M135,'G-3 Multipliers'!$L$3:$N$6,2,FALSE)))</f>
        <v/>
      </c>
      <c r="O135" s="569" t="str">
        <f>IF(M135="","",IF(VLOOKUP(M135,'G-3 Multipliers'!$L$3:$N$6,3,FALSE)=0,"Spatial Data Missing",VLOOKUP(M135,'G-3 Multipliers'!$L$3:$N$6,3,FALSE)))</f>
        <v/>
      </c>
      <c r="P135" s="80" t="str">
        <f>IFERROR(VLOOKUP(G135,'G-1 All Habitats'!$B$2:$M$130,12,FALSE),"")</f>
        <v/>
      </c>
      <c r="Q135" s="81" t="str">
        <f>IFERROR(IF(P135="","",IF(AND(P135='G-1 All Habitats'!$X$3,T135&gt;0),U135+V135,IF(AND(P135='G-1 All Habitats'!$X$3,S135&gt;0),U135+V135,IF(AND(P135='G-1 All Habitats'!$X$3,AC135&gt;0),"Any Loss Unacceptable",IF(AND(P135='G-1 All Habitats'!$X$3,W135&gt;0),"Any Loss Unacceptable",H135*J135*L135*O135))))),"Check Data")</f>
        <v/>
      </c>
      <c r="R135" s="55"/>
      <c r="S135" s="79"/>
      <c r="T135" s="82"/>
      <c r="U135" s="83" t="str">
        <f t="shared" si="8"/>
        <v/>
      </c>
      <c r="V135" s="83" t="str">
        <f t="shared" si="9"/>
        <v/>
      </c>
      <c r="W135" s="83" t="str">
        <f>IF(E135="","",IF(H135&lt;S135+T135,"Error in Areas",IF(P135&lt;&gt;'G-1 All Habitats'!$X$3,H135-S135-T135,IF(AND(P135='G-1 All Habitats'!$X$3,Y135="Yes"),"Unacceptable Loss",IF(AND(P135='G-1 All Habitats'!$X$3,Y135="No"),AC135,IF(AND(P135='G-1 All Habitats'!$X$3,Y135=""),AC135,IF(AND(P135='G-1 All Habitats'!$X$3,AC135="None",AC135),IF(AND(P135='G-1 All Habitats'!$X$3,AC135&gt;0),H135-S135-T135))))))))</f>
        <v/>
      </c>
      <c r="X135" s="84" t="str">
        <f>IFERROR(IF(H135="","",IF(H135-S135-T135=0&lt;0,"Error in Areas",IF(S135+T135&gt;H135,"Error in Areas",IF(AND(P135='G-1 All Habitats'!$X$3,Y135="Yes"),"Alternative Compensation",IF(W135=0,0,IF(P135='G-1 All Habitats'!$X$3,"Unacceptable Loss",Q135-U135-V135)))))),"Check Data")</f>
        <v/>
      </c>
      <c r="Y135" s="82"/>
      <c r="Z135" s="92"/>
      <c r="AA135" s="93"/>
      <c r="AC135" s="87" t="str">
        <f>IF(P135="","",IF(P135='G-1 All Habitats'!$X$3,H135-S135-T135,"None"))</f>
        <v/>
      </c>
      <c r="AD135" s="88" t="str">
        <f>IFERROR(AC135*J135*L135*#REF!*O135,IF(P135="","","None"))</f>
        <v/>
      </c>
      <c r="AF135" s="59" t="str">
        <f t="shared" si="5"/>
        <v/>
      </c>
      <c r="AG135" s="59" t="str">
        <f t="shared" si="6"/>
        <v/>
      </c>
      <c r="AH135" s="59" t="str">
        <f>IF(I135="","",IF(#REF!&gt;0,TRUE,FALSE))</f>
        <v/>
      </c>
      <c r="AI135" s="59">
        <v>125</v>
      </c>
      <c r="AJ135" s="59"/>
      <c r="AK135" s="59" t="str">
        <f t="array" ref="AK135">IFERROR(INDEX($AI$11:$AI$259, MATCH(0, IF(TRUE=$AF$11:$AF$259, COUNTIF($AK$10:$AK134, $AI$11:$AI$259), ""), 0)),"")</f>
        <v/>
      </c>
      <c r="AL135" s="59" t="str">
        <f t="array" ref="AL135">IFERROR(INDEX($AI$11:$AI$259, MATCH(0, IF(TRUE=$AG$11:$AG$259, COUNTIF($AL$10:$AL134, $AI$11:$AI$259), ""), 0)),"")</f>
        <v/>
      </c>
      <c r="AM135" s="59" t="str">
        <f t="array" ref="AM135">IFERROR(INDEX($AI$11:$AI$259, MATCH(0, IF(TRUE=$AH$11:$AH$259, COUNTIF($AM$10:$AM134, $AI$11:$AI$259), ""), 0)),"")</f>
        <v/>
      </c>
      <c r="AN135" s="59"/>
      <c r="AQ135" s="52">
        <f t="shared" si="7"/>
        <v>0</v>
      </c>
    </row>
    <row r="136" spans="1:43" x14ac:dyDescent="0.25">
      <c r="A136" s="52" t="str">
        <f>IFERROR(INDEX('G-1 All Habitats'!$AG$3:$AG$15,MATCH(E136,'G-1 All Habitats'!$AF$3:$AF$15,0)),"")</f>
        <v/>
      </c>
      <c r="B136" s="52" t="str">
        <f>IFERROR(INDEX('G-8 Condition Look up'!$I$4:$I$131,MATCH(G136,'G-8 Condition Look up'!$A$4:$A$131,0)),"")</f>
        <v/>
      </c>
      <c r="D136" s="89">
        <v>126</v>
      </c>
      <c r="E136" s="90"/>
      <c r="F136" s="91"/>
      <c r="G136" s="75" t="str">
        <f>IFERROR(INDEX('G-1 All Habitats'!$B$3:$B$130,MATCH(F136,'G-1 All Habitats'!$A$3:$A$130,0)),"")</f>
        <v/>
      </c>
      <c r="H136" s="76"/>
      <c r="I136" s="77" t="str">
        <f>IF(G136="","",VLOOKUP(G136,'G-1 All Habitats'!$B$2:$M$130,10,FALSE))</f>
        <v/>
      </c>
      <c r="J136" s="78" t="str">
        <f>IFERROR(VLOOKUP(I136,'G-1 All Habitats'!$V$3:$W$7,2,FALSE),"")</f>
        <v/>
      </c>
      <c r="K136" s="79"/>
      <c r="L136" s="78" t="str">
        <f>IFERROR(INDEX('G-8 Condition Look up'!$A$3:$H$131,MATCH(G136,'G-8 Condition Look up'!$A$3:$A$131,0),MATCH(K136,'G-8 Condition Look up'!$A$3:$H$3,0)),"")</f>
        <v/>
      </c>
      <c r="M136" s="79"/>
      <c r="N136" s="348" t="str">
        <f>IF(M136="","",IF(VLOOKUP(M136,'G-3 Multipliers'!$L$3:$N$6,2,FALSE)=0,"Spatial Data Missing",VLOOKUP(M136,'G-3 Multipliers'!$L$3:$N$6,2,FALSE)))</f>
        <v/>
      </c>
      <c r="O136" s="569" t="str">
        <f>IF(M136="","",IF(VLOOKUP(M136,'G-3 Multipliers'!$L$3:$N$6,3,FALSE)=0,"Spatial Data Missing",VLOOKUP(M136,'G-3 Multipliers'!$L$3:$N$6,3,FALSE)))</f>
        <v/>
      </c>
      <c r="P136" s="80" t="str">
        <f>IFERROR(VLOOKUP(G136,'G-1 All Habitats'!$B$2:$M$130,12,FALSE),"")</f>
        <v/>
      </c>
      <c r="Q136" s="81" t="str">
        <f>IFERROR(IF(P136="","",IF(AND(P136='G-1 All Habitats'!$X$3,T136&gt;0),U136+V136,IF(AND(P136='G-1 All Habitats'!$X$3,S136&gt;0),U136+V136,IF(AND(P136='G-1 All Habitats'!$X$3,AC136&gt;0),"Any Loss Unacceptable",IF(AND(P136='G-1 All Habitats'!$X$3,W136&gt;0),"Any Loss Unacceptable",H136*J136*L136*O136))))),"Check Data")</f>
        <v/>
      </c>
      <c r="R136" s="55"/>
      <c r="S136" s="79"/>
      <c r="T136" s="82"/>
      <c r="U136" s="83" t="str">
        <f t="shared" si="8"/>
        <v/>
      </c>
      <c r="V136" s="83" t="str">
        <f t="shared" si="9"/>
        <v/>
      </c>
      <c r="W136" s="83" t="str">
        <f>IF(E136="","",IF(H136&lt;S136+T136,"Error in Areas",IF(P136&lt;&gt;'G-1 All Habitats'!$X$3,H136-S136-T136,IF(AND(P136='G-1 All Habitats'!$X$3,Y136="Yes"),"Unacceptable Loss",IF(AND(P136='G-1 All Habitats'!$X$3,Y136="No"),AC136,IF(AND(P136='G-1 All Habitats'!$X$3,Y136=""),AC136,IF(AND(P136='G-1 All Habitats'!$X$3,AC136="None",AC136),IF(AND(P136='G-1 All Habitats'!$X$3,AC136&gt;0),H136-S136-T136))))))))</f>
        <v/>
      </c>
      <c r="X136" s="84" t="str">
        <f>IFERROR(IF(H136="","",IF(H136-S136-T136=0&lt;0,"Error in Areas",IF(S136+T136&gt;H136,"Error in Areas",IF(AND(P136='G-1 All Habitats'!$X$3,Y136="Yes"),"Alternative Compensation",IF(W136=0,0,IF(P136='G-1 All Habitats'!$X$3,"Unacceptable Loss",Q136-U136-V136)))))),"Check Data")</f>
        <v/>
      </c>
      <c r="Y136" s="82"/>
      <c r="Z136" s="92"/>
      <c r="AA136" s="93"/>
      <c r="AC136" s="87" t="str">
        <f>IF(P136="","",IF(P136='G-1 All Habitats'!$X$3,H136-S136-T136,"None"))</f>
        <v/>
      </c>
      <c r="AD136" s="88" t="str">
        <f>IFERROR(AC136*J136*L136*#REF!*O136,IF(P136="","","None"))</f>
        <v/>
      </c>
      <c r="AF136" s="59" t="str">
        <f t="shared" si="5"/>
        <v/>
      </c>
      <c r="AG136" s="59" t="str">
        <f t="shared" si="6"/>
        <v/>
      </c>
      <c r="AH136" s="59" t="str">
        <f>IF(I136="","",IF(#REF!&gt;0,TRUE,FALSE))</f>
        <v/>
      </c>
      <c r="AI136" s="59">
        <v>126</v>
      </c>
      <c r="AJ136" s="59"/>
      <c r="AK136" s="59" t="str">
        <f t="array" ref="AK136">IFERROR(INDEX($AI$11:$AI$259, MATCH(0, IF(TRUE=$AF$11:$AF$259, COUNTIF($AK$10:$AK135, $AI$11:$AI$259), ""), 0)),"")</f>
        <v/>
      </c>
      <c r="AL136" s="59" t="str">
        <f t="array" ref="AL136">IFERROR(INDEX($AI$11:$AI$259, MATCH(0, IF(TRUE=$AG$11:$AG$259, COUNTIF($AL$10:$AL135, $AI$11:$AI$259), ""), 0)),"")</f>
        <v/>
      </c>
      <c r="AM136" s="59" t="str">
        <f t="array" ref="AM136">IFERROR(INDEX($AI$11:$AI$259, MATCH(0, IF(TRUE=$AH$11:$AH$259, COUNTIF($AM$10:$AM135, $AI$11:$AI$259), ""), 0)),"")</f>
        <v/>
      </c>
      <c r="AN136" s="59"/>
      <c r="AQ136" s="52">
        <f t="shared" si="7"/>
        <v>0</v>
      </c>
    </row>
    <row r="137" spans="1:43" x14ac:dyDescent="0.25">
      <c r="A137" s="52" t="str">
        <f>IFERROR(INDEX('G-1 All Habitats'!$AG$3:$AG$15,MATCH(E137,'G-1 All Habitats'!$AF$3:$AF$15,0)),"")</f>
        <v/>
      </c>
      <c r="B137" s="52" t="str">
        <f>IFERROR(INDEX('G-8 Condition Look up'!$I$4:$I$131,MATCH(G137,'G-8 Condition Look up'!$A$4:$A$131,0)),"")</f>
        <v/>
      </c>
      <c r="D137" s="89">
        <v>127</v>
      </c>
      <c r="E137" s="90"/>
      <c r="F137" s="91"/>
      <c r="G137" s="75" t="str">
        <f>IFERROR(INDEX('G-1 All Habitats'!$B$3:$B$130,MATCH(F137,'G-1 All Habitats'!$A$3:$A$130,0)),"")</f>
        <v/>
      </c>
      <c r="H137" s="76"/>
      <c r="I137" s="77" t="str">
        <f>IF(G137="","",VLOOKUP(G137,'G-1 All Habitats'!$B$2:$M$130,10,FALSE))</f>
        <v/>
      </c>
      <c r="J137" s="78" t="str">
        <f>IFERROR(VLOOKUP(I137,'G-1 All Habitats'!$V$3:$W$7,2,FALSE),"")</f>
        <v/>
      </c>
      <c r="K137" s="79"/>
      <c r="L137" s="78" t="str">
        <f>IFERROR(INDEX('G-8 Condition Look up'!$A$3:$H$131,MATCH(G137,'G-8 Condition Look up'!$A$3:$A$131,0),MATCH(K137,'G-8 Condition Look up'!$A$3:$H$3,0)),"")</f>
        <v/>
      </c>
      <c r="M137" s="79"/>
      <c r="N137" s="348" t="str">
        <f>IF(M137="","",IF(VLOOKUP(M137,'G-3 Multipliers'!$L$3:$N$6,2,FALSE)=0,"Spatial Data Missing",VLOOKUP(M137,'G-3 Multipliers'!$L$3:$N$6,2,FALSE)))</f>
        <v/>
      </c>
      <c r="O137" s="569" t="str">
        <f>IF(M137="","",IF(VLOOKUP(M137,'G-3 Multipliers'!$L$3:$N$6,3,FALSE)=0,"Spatial Data Missing",VLOOKUP(M137,'G-3 Multipliers'!$L$3:$N$6,3,FALSE)))</f>
        <v/>
      </c>
      <c r="P137" s="80" t="str">
        <f>IFERROR(VLOOKUP(G137,'G-1 All Habitats'!$B$2:$M$130,12,FALSE),"")</f>
        <v/>
      </c>
      <c r="Q137" s="81" t="str">
        <f>IFERROR(IF(P137="","",IF(AND(P137='G-1 All Habitats'!$X$3,T137&gt;0),U137+V137,IF(AND(P137='G-1 All Habitats'!$X$3,S137&gt;0),U137+V137,IF(AND(P137='G-1 All Habitats'!$X$3,AC137&gt;0),"Any Loss Unacceptable",IF(AND(P137='G-1 All Habitats'!$X$3,W137&gt;0),"Any Loss Unacceptable",H137*J137*L137*O137))))),"Check Data")</f>
        <v/>
      </c>
      <c r="R137" s="55"/>
      <c r="S137" s="79"/>
      <c r="T137" s="82"/>
      <c r="U137" s="83" t="str">
        <f t="shared" si="8"/>
        <v/>
      </c>
      <c r="V137" s="83" t="str">
        <f t="shared" si="9"/>
        <v/>
      </c>
      <c r="W137" s="83" t="str">
        <f>IF(E137="","",IF(H137&lt;S137+T137,"Error in Areas",IF(P137&lt;&gt;'G-1 All Habitats'!$X$3,H137-S137-T137,IF(AND(P137='G-1 All Habitats'!$X$3,Y137="Yes"),"Unacceptable Loss",IF(AND(P137='G-1 All Habitats'!$X$3,Y137="No"),AC137,IF(AND(P137='G-1 All Habitats'!$X$3,Y137=""),AC137,IF(AND(P137='G-1 All Habitats'!$X$3,AC137="None",AC137),IF(AND(P137='G-1 All Habitats'!$X$3,AC137&gt;0),H137-S137-T137))))))))</f>
        <v/>
      </c>
      <c r="X137" s="84" t="str">
        <f>IFERROR(IF(H137="","",IF(H137-S137-T137=0&lt;0,"Error in Areas",IF(S137+T137&gt;H137,"Error in Areas",IF(AND(P137='G-1 All Habitats'!$X$3,Y137="Yes"),"Alternative Compensation",IF(W137=0,0,IF(P137='G-1 All Habitats'!$X$3,"Unacceptable Loss",Q137-U137-V137)))))),"Check Data")</f>
        <v/>
      </c>
      <c r="Y137" s="82"/>
      <c r="Z137" s="92"/>
      <c r="AA137" s="93"/>
      <c r="AC137" s="87" t="str">
        <f>IF(P137="","",IF(P137='G-1 All Habitats'!$X$3,H137-S137-T137,"None"))</f>
        <v/>
      </c>
      <c r="AD137" s="88" t="str">
        <f>IFERROR(AC137*J137*L137*#REF!*O137,IF(P137="","","None"))</f>
        <v/>
      </c>
      <c r="AF137" s="59" t="str">
        <f t="shared" si="5"/>
        <v/>
      </c>
      <c r="AG137" s="59" t="str">
        <f t="shared" si="6"/>
        <v/>
      </c>
      <c r="AH137" s="59" t="str">
        <f>IF(I137="","",IF(#REF!&gt;0,TRUE,FALSE))</f>
        <v/>
      </c>
      <c r="AI137" s="59">
        <v>127</v>
      </c>
      <c r="AJ137" s="59"/>
      <c r="AK137" s="59" t="str">
        <f t="array" ref="AK137">IFERROR(INDEX($AI$11:$AI$259, MATCH(0, IF(TRUE=$AF$11:$AF$259, COUNTIF($AK$10:$AK136, $AI$11:$AI$259), ""), 0)),"")</f>
        <v/>
      </c>
      <c r="AL137" s="59" t="str">
        <f t="array" ref="AL137">IFERROR(INDEX($AI$11:$AI$259, MATCH(0, IF(TRUE=$AG$11:$AG$259, COUNTIF($AL$10:$AL136, $AI$11:$AI$259), ""), 0)),"")</f>
        <v/>
      </c>
      <c r="AM137" s="59" t="str">
        <f t="array" ref="AM137">IFERROR(INDEX($AI$11:$AI$259, MATCH(0, IF(TRUE=$AH$11:$AH$259, COUNTIF($AM$10:$AM136, $AI$11:$AI$259), ""), 0)),"")</f>
        <v/>
      </c>
      <c r="AN137" s="59"/>
      <c r="AQ137" s="52">
        <f t="shared" si="7"/>
        <v>0</v>
      </c>
    </row>
    <row r="138" spans="1:43" x14ac:dyDescent="0.25">
      <c r="A138" s="52" t="str">
        <f>IFERROR(INDEX('G-1 All Habitats'!$AG$3:$AG$15,MATCH(E138,'G-1 All Habitats'!$AF$3:$AF$15,0)),"")</f>
        <v/>
      </c>
      <c r="B138" s="52" t="str">
        <f>IFERROR(INDEX('G-8 Condition Look up'!$I$4:$I$131,MATCH(G138,'G-8 Condition Look up'!$A$4:$A$131,0)),"")</f>
        <v/>
      </c>
      <c r="D138" s="89">
        <v>128</v>
      </c>
      <c r="E138" s="90"/>
      <c r="F138" s="91"/>
      <c r="G138" s="75" t="str">
        <f>IFERROR(INDEX('G-1 All Habitats'!$B$3:$B$130,MATCH(F138,'G-1 All Habitats'!$A$3:$A$130,0)),"")</f>
        <v/>
      </c>
      <c r="H138" s="76"/>
      <c r="I138" s="77" t="str">
        <f>IF(G138="","",VLOOKUP(G138,'G-1 All Habitats'!$B$2:$M$130,10,FALSE))</f>
        <v/>
      </c>
      <c r="J138" s="78" t="str">
        <f>IFERROR(VLOOKUP(I138,'G-1 All Habitats'!$V$3:$W$7,2,FALSE),"")</f>
        <v/>
      </c>
      <c r="K138" s="79"/>
      <c r="L138" s="78" t="str">
        <f>IFERROR(INDEX('G-8 Condition Look up'!$A$3:$H$131,MATCH(G138,'G-8 Condition Look up'!$A$3:$A$131,0),MATCH(K138,'G-8 Condition Look up'!$A$3:$H$3,0)),"")</f>
        <v/>
      </c>
      <c r="M138" s="79"/>
      <c r="N138" s="348" t="str">
        <f>IF(M138="","",IF(VLOOKUP(M138,'G-3 Multipliers'!$L$3:$N$6,2,FALSE)=0,"Spatial Data Missing",VLOOKUP(M138,'G-3 Multipliers'!$L$3:$N$6,2,FALSE)))</f>
        <v/>
      </c>
      <c r="O138" s="569" t="str">
        <f>IF(M138="","",IF(VLOOKUP(M138,'G-3 Multipliers'!$L$3:$N$6,3,FALSE)=0,"Spatial Data Missing",VLOOKUP(M138,'G-3 Multipliers'!$L$3:$N$6,3,FALSE)))</f>
        <v/>
      </c>
      <c r="P138" s="80" t="str">
        <f>IFERROR(VLOOKUP(G138,'G-1 All Habitats'!$B$2:$M$130,12,FALSE),"")</f>
        <v/>
      </c>
      <c r="Q138" s="81" t="str">
        <f>IFERROR(IF(P138="","",IF(AND(P138='G-1 All Habitats'!$X$3,T138&gt;0),U138+V138,IF(AND(P138='G-1 All Habitats'!$X$3,S138&gt;0),U138+V138,IF(AND(P138='G-1 All Habitats'!$X$3,AC138&gt;0),"Any Loss Unacceptable",IF(AND(P138='G-1 All Habitats'!$X$3,W138&gt;0),"Any Loss Unacceptable",H138*J138*L138*O138))))),"Check Data")</f>
        <v/>
      </c>
      <c r="R138" s="55"/>
      <c r="S138" s="79"/>
      <c r="T138" s="82"/>
      <c r="U138" s="83" t="str">
        <f t="shared" si="8"/>
        <v/>
      </c>
      <c r="V138" s="83" t="str">
        <f t="shared" si="9"/>
        <v/>
      </c>
      <c r="W138" s="83" t="str">
        <f>IF(E138="","",IF(H138&lt;S138+T138,"Error in Areas",IF(P138&lt;&gt;'G-1 All Habitats'!$X$3,H138-S138-T138,IF(AND(P138='G-1 All Habitats'!$X$3,Y138="Yes"),"Unacceptable Loss",IF(AND(P138='G-1 All Habitats'!$X$3,Y138="No"),AC138,IF(AND(P138='G-1 All Habitats'!$X$3,Y138=""),AC138,IF(AND(P138='G-1 All Habitats'!$X$3,AC138="None",AC138),IF(AND(P138='G-1 All Habitats'!$X$3,AC138&gt;0),H138-S138-T138))))))))</f>
        <v/>
      </c>
      <c r="X138" s="84" t="str">
        <f>IFERROR(IF(H138="","",IF(H138-S138-T138=0&lt;0,"Error in Areas",IF(S138+T138&gt;H138,"Error in Areas",IF(AND(P138='G-1 All Habitats'!$X$3,Y138="Yes"),"Alternative Compensation",IF(W138=0,0,IF(P138='G-1 All Habitats'!$X$3,"Unacceptable Loss",Q138-U138-V138)))))),"Check Data")</f>
        <v/>
      </c>
      <c r="Y138" s="82"/>
      <c r="Z138" s="92"/>
      <c r="AA138" s="93"/>
      <c r="AC138" s="87" t="str">
        <f>IF(P138="","",IF(P138='G-1 All Habitats'!$X$3,H138-S138-T138,"None"))</f>
        <v/>
      </c>
      <c r="AD138" s="88" t="str">
        <f>IFERROR(AC138*J138*L138*#REF!*O138,IF(P138="","","None"))</f>
        <v/>
      </c>
      <c r="AF138" s="59" t="str">
        <f t="shared" si="5"/>
        <v/>
      </c>
      <c r="AG138" s="59" t="str">
        <f t="shared" si="6"/>
        <v/>
      </c>
      <c r="AH138" s="59" t="str">
        <f>IF(I138="","",IF(#REF!&gt;0,TRUE,FALSE))</f>
        <v/>
      </c>
      <c r="AI138" s="59">
        <v>128</v>
      </c>
      <c r="AJ138" s="59"/>
      <c r="AK138" s="59" t="str">
        <f t="array" ref="AK138">IFERROR(INDEX($AI$11:$AI$259, MATCH(0, IF(TRUE=$AF$11:$AF$259, COUNTIF($AK$10:$AK137, $AI$11:$AI$259), ""), 0)),"")</f>
        <v/>
      </c>
      <c r="AL138" s="59" t="str">
        <f t="array" ref="AL138">IFERROR(INDEX($AI$11:$AI$259, MATCH(0, IF(TRUE=$AG$11:$AG$259, COUNTIF($AL$10:$AL137, $AI$11:$AI$259), ""), 0)),"")</f>
        <v/>
      </c>
      <c r="AM138" s="59" t="str">
        <f t="array" ref="AM138">IFERROR(INDEX($AI$11:$AI$259, MATCH(0, IF(TRUE=$AH$11:$AH$259, COUNTIF($AM$10:$AM137, $AI$11:$AI$259), ""), 0)),"")</f>
        <v/>
      </c>
      <c r="AN138" s="59"/>
      <c r="AQ138" s="52">
        <f t="shared" si="7"/>
        <v>0</v>
      </c>
    </row>
    <row r="139" spans="1:43" x14ac:dyDescent="0.25">
      <c r="A139" s="52" t="str">
        <f>IFERROR(INDEX('G-1 All Habitats'!$AG$3:$AG$15,MATCH(E139,'G-1 All Habitats'!$AF$3:$AF$15,0)),"")</f>
        <v/>
      </c>
      <c r="B139" s="52" t="str">
        <f>IFERROR(INDEX('G-8 Condition Look up'!$I$4:$I$131,MATCH(G139,'G-8 Condition Look up'!$A$4:$A$131,0)),"")</f>
        <v/>
      </c>
      <c r="D139" s="89">
        <v>129</v>
      </c>
      <c r="E139" s="90"/>
      <c r="F139" s="91"/>
      <c r="G139" s="75" t="str">
        <f>IFERROR(INDEX('G-1 All Habitats'!$B$3:$B$130,MATCH(F139,'G-1 All Habitats'!$A$3:$A$130,0)),"")</f>
        <v/>
      </c>
      <c r="H139" s="76"/>
      <c r="I139" s="77" t="str">
        <f>IF(G139="","",VLOOKUP(G139,'G-1 All Habitats'!$B$2:$M$130,10,FALSE))</f>
        <v/>
      </c>
      <c r="J139" s="78" t="str">
        <f>IFERROR(VLOOKUP(I139,'G-1 All Habitats'!$V$3:$W$7,2,FALSE),"")</f>
        <v/>
      </c>
      <c r="K139" s="79"/>
      <c r="L139" s="78" t="str">
        <f>IFERROR(INDEX('G-8 Condition Look up'!$A$3:$H$131,MATCH(G139,'G-8 Condition Look up'!$A$3:$A$131,0),MATCH(K139,'G-8 Condition Look up'!$A$3:$H$3,0)),"")</f>
        <v/>
      </c>
      <c r="M139" s="79"/>
      <c r="N139" s="348" t="str">
        <f>IF(M139="","",IF(VLOOKUP(M139,'G-3 Multipliers'!$L$3:$N$6,2,FALSE)=0,"Spatial Data Missing",VLOOKUP(M139,'G-3 Multipliers'!$L$3:$N$6,2,FALSE)))</f>
        <v/>
      </c>
      <c r="O139" s="569" t="str">
        <f>IF(M139="","",IF(VLOOKUP(M139,'G-3 Multipliers'!$L$3:$N$6,3,FALSE)=0,"Spatial Data Missing",VLOOKUP(M139,'G-3 Multipliers'!$L$3:$N$6,3,FALSE)))</f>
        <v/>
      </c>
      <c r="P139" s="80" t="str">
        <f>IFERROR(VLOOKUP(G139,'G-1 All Habitats'!$B$2:$M$130,12,FALSE),"")</f>
        <v/>
      </c>
      <c r="Q139" s="81" t="str">
        <f>IFERROR(IF(P139="","",IF(AND(P139='G-1 All Habitats'!$X$3,T139&gt;0),U139+V139,IF(AND(P139='G-1 All Habitats'!$X$3,S139&gt;0),U139+V139,IF(AND(P139='G-1 All Habitats'!$X$3,AC139&gt;0),"Any Loss Unacceptable",IF(AND(P139='G-1 All Habitats'!$X$3,W139&gt;0),"Any Loss Unacceptable",H139*J139*L139*O139))))),"Check Data")</f>
        <v/>
      </c>
      <c r="R139" s="55"/>
      <c r="S139" s="79"/>
      <c r="T139" s="82"/>
      <c r="U139" s="83" t="str">
        <f t="shared" si="8"/>
        <v/>
      </c>
      <c r="V139" s="83" t="str">
        <f t="shared" si="9"/>
        <v/>
      </c>
      <c r="W139" s="83" t="str">
        <f>IF(E139="","",IF(H139&lt;S139+T139,"Error in Areas",IF(P139&lt;&gt;'G-1 All Habitats'!$X$3,H139-S139-T139,IF(AND(P139='G-1 All Habitats'!$X$3,Y139="Yes"),"Unacceptable Loss",IF(AND(P139='G-1 All Habitats'!$X$3,Y139="No"),AC139,IF(AND(P139='G-1 All Habitats'!$X$3,Y139=""),AC139,IF(AND(P139='G-1 All Habitats'!$X$3,AC139="None",AC139),IF(AND(P139='G-1 All Habitats'!$X$3,AC139&gt;0),H139-S139-T139))))))))</f>
        <v/>
      </c>
      <c r="X139" s="84" t="str">
        <f>IFERROR(IF(H139="","",IF(H139-S139-T139=0&lt;0,"Error in Areas",IF(S139+T139&gt;H139,"Error in Areas",IF(AND(P139='G-1 All Habitats'!$X$3,Y139="Yes"),"Alternative Compensation",IF(W139=0,0,IF(P139='G-1 All Habitats'!$X$3,"Unacceptable Loss",Q139-U139-V139)))))),"Check Data")</f>
        <v/>
      </c>
      <c r="Y139" s="82"/>
      <c r="Z139" s="92"/>
      <c r="AA139" s="93"/>
      <c r="AC139" s="87" t="str">
        <f>IF(P139="","",IF(P139='G-1 All Habitats'!$X$3,H139-S139-T139,"None"))</f>
        <v/>
      </c>
      <c r="AD139" s="88" t="str">
        <f>IFERROR(AC139*J139*L139*#REF!*O139,IF(P139="","","None"))</f>
        <v/>
      </c>
      <c r="AF139" s="59" t="str">
        <f t="shared" ref="AF139:AF202" si="10">IF(G139="","",IF(S139&gt;0,TRUE,FALSE))</f>
        <v/>
      </c>
      <c r="AG139" s="59" t="str">
        <f t="shared" ref="AG139:AG202" si="11">IF(H139="","",IF(T139&gt;0,TRUE,FALSE))</f>
        <v/>
      </c>
      <c r="AH139" s="59" t="str">
        <f>IF(I139="","",IF(#REF!&gt;0,TRUE,FALSE))</f>
        <v/>
      </c>
      <c r="AI139" s="59">
        <v>129</v>
      </c>
      <c r="AJ139" s="59"/>
      <c r="AK139" s="59" t="str">
        <f t="array" ref="AK139">IFERROR(INDEX($AI$11:$AI$259, MATCH(0, IF(TRUE=$AF$11:$AF$259, COUNTIF($AK$10:$AK138, $AI$11:$AI$259), ""), 0)),"")</f>
        <v/>
      </c>
      <c r="AL139" s="59" t="str">
        <f t="array" ref="AL139">IFERROR(INDEX($AI$11:$AI$259, MATCH(0, IF(TRUE=$AG$11:$AG$259, COUNTIF($AL$10:$AL138, $AI$11:$AI$259), ""), 0)),"")</f>
        <v/>
      </c>
      <c r="AM139" s="59" t="str">
        <f t="array" ref="AM139">IFERROR(INDEX($AI$11:$AI$259, MATCH(0, IF(TRUE=$AH$11:$AH$259, COUNTIF($AM$10:$AM138, $AI$11:$AI$259), ""), 0)),"")</f>
        <v/>
      </c>
      <c r="AN139" s="59"/>
      <c r="AQ139" s="52">
        <f t="shared" si="7"/>
        <v>0</v>
      </c>
    </row>
    <row r="140" spans="1:43" x14ac:dyDescent="0.25">
      <c r="A140" s="52" t="str">
        <f>IFERROR(INDEX('G-1 All Habitats'!$AG$3:$AG$15,MATCH(E140,'G-1 All Habitats'!$AF$3:$AF$15,0)),"")</f>
        <v/>
      </c>
      <c r="B140" s="52" t="str">
        <f>IFERROR(INDEX('G-8 Condition Look up'!$I$4:$I$131,MATCH(G140,'G-8 Condition Look up'!$A$4:$A$131,0)),"")</f>
        <v/>
      </c>
      <c r="D140" s="89">
        <v>130</v>
      </c>
      <c r="E140" s="90"/>
      <c r="F140" s="91"/>
      <c r="G140" s="75" t="str">
        <f>IFERROR(INDEX('G-1 All Habitats'!$B$3:$B$130,MATCH(F140,'G-1 All Habitats'!$A$3:$A$130,0)),"")</f>
        <v/>
      </c>
      <c r="H140" s="76"/>
      <c r="I140" s="77" t="str">
        <f>IF(G140="","",VLOOKUP(G140,'G-1 All Habitats'!$B$2:$M$130,10,FALSE))</f>
        <v/>
      </c>
      <c r="J140" s="78" t="str">
        <f>IFERROR(VLOOKUP(I140,'G-1 All Habitats'!$V$3:$W$7,2,FALSE),"")</f>
        <v/>
      </c>
      <c r="K140" s="79"/>
      <c r="L140" s="78" t="str">
        <f>IFERROR(INDEX('G-8 Condition Look up'!$A$3:$H$131,MATCH(G140,'G-8 Condition Look up'!$A$3:$A$131,0),MATCH(K140,'G-8 Condition Look up'!$A$3:$H$3,0)),"")</f>
        <v/>
      </c>
      <c r="M140" s="79"/>
      <c r="N140" s="348" t="str">
        <f>IF(M140="","",IF(VLOOKUP(M140,'G-3 Multipliers'!$L$3:$N$6,2,FALSE)=0,"Spatial Data Missing",VLOOKUP(M140,'G-3 Multipliers'!$L$3:$N$6,2,FALSE)))</f>
        <v/>
      </c>
      <c r="O140" s="569" t="str">
        <f>IF(M140="","",IF(VLOOKUP(M140,'G-3 Multipliers'!$L$3:$N$6,3,FALSE)=0,"Spatial Data Missing",VLOOKUP(M140,'G-3 Multipliers'!$L$3:$N$6,3,FALSE)))</f>
        <v/>
      </c>
      <c r="P140" s="80" t="str">
        <f>IFERROR(VLOOKUP(G140,'G-1 All Habitats'!$B$2:$M$130,12,FALSE),"")</f>
        <v/>
      </c>
      <c r="Q140" s="81" t="str">
        <f>IFERROR(IF(P140="","",IF(AND(P140='G-1 All Habitats'!$X$3,T140&gt;0),U140+V140,IF(AND(P140='G-1 All Habitats'!$X$3,S140&gt;0),U140+V140,IF(AND(P140='G-1 All Habitats'!$X$3,AC140&gt;0),"Any Loss Unacceptable",IF(AND(P140='G-1 All Habitats'!$X$3,W140&gt;0),"Any Loss Unacceptable",H140*J140*L140*O140))))),"Check Data")</f>
        <v/>
      </c>
      <c r="R140" s="55"/>
      <c r="S140" s="79"/>
      <c r="T140" s="82"/>
      <c r="U140" s="83" t="str">
        <f t="shared" si="8"/>
        <v/>
      </c>
      <c r="V140" s="83" t="str">
        <f t="shared" si="9"/>
        <v/>
      </c>
      <c r="W140" s="83" t="str">
        <f>IF(E140="","",IF(H140&lt;S140+T140,"Error in Areas",IF(P140&lt;&gt;'G-1 All Habitats'!$X$3,H140-S140-T140,IF(AND(P140='G-1 All Habitats'!$X$3,Y140="Yes"),"Unacceptable Loss",IF(AND(P140='G-1 All Habitats'!$X$3,Y140="No"),AC140,IF(AND(P140='G-1 All Habitats'!$X$3,Y140=""),AC140,IF(AND(P140='G-1 All Habitats'!$X$3,AC140="None",AC140),IF(AND(P140='G-1 All Habitats'!$X$3,AC140&gt;0),H140-S140-T140))))))))</f>
        <v/>
      </c>
      <c r="X140" s="84" t="str">
        <f>IFERROR(IF(H140="","",IF(H140-S140-T140=0&lt;0,"Error in Areas",IF(S140+T140&gt;H140,"Error in Areas",IF(AND(P140='G-1 All Habitats'!$X$3,Y140="Yes"),"Alternative Compensation",IF(W140=0,0,IF(P140='G-1 All Habitats'!$X$3,"Unacceptable Loss",Q140-U140-V140)))))),"Check Data")</f>
        <v/>
      </c>
      <c r="Y140" s="82"/>
      <c r="Z140" s="92"/>
      <c r="AA140" s="93"/>
      <c r="AC140" s="87" t="str">
        <f>IF(P140="","",IF(P140='G-1 All Habitats'!$X$3,H140-S140-T140,"None"))</f>
        <v/>
      </c>
      <c r="AD140" s="88" t="str">
        <f>IFERROR(AC140*J140*L140*#REF!*O140,IF(P140="","","None"))</f>
        <v/>
      </c>
      <c r="AF140" s="59" t="str">
        <f t="shared" si="10"/>
        <v/>
      </c>
      <c r="AG140" s="59" t="str">
        <f t="shared" si="11"/>
        <v/>
      </c>
      <c r="AH140" s="59" t="str">
        <f>IF(I140="","",IF(#REF!&gt;0,TRUE,FALSE))</f>
        <v/>
      </c>
      <c r="AI140" s="59">
        <v>130</v>
      </c>
      <c r="AJ140" s="59"/>
      <c r="AK140" s="59" t="str">
        <f t="array" ref="AK140">IFERROR(INDEX($AI$11:$AI$259, MATCH(0, IF(TRUE=$AF$11:$AF$259, COUNTIF($AK$10:$AK139, $AI$11:$AI$259), ""), 0)),"")</f>
        <v/>
      </c>
      <c r="AL140" s="59" t="str">
        <f t="array" ref="AL140">IFERROR(INDEX($AI$11:$AI$259, MATCH(0, IF(TRUE=$AG$11:$AG$259, COUNTIF($AL$10:$AL139, $AI$11:$AI$259), ""), 0)),"")</f>
        <v/>
      </c>
      <c r="AM140" s="59" t="str">
        <f t="array" ref="AM140">IFERROR(INDEX($AI$11:$AI$259, MATCH(0, IF(TRUE=$AH$11:$AH$259, COUNTIF($AM$10:$AM139, $AI$11:$AI$259), ""), 0)),"")</f>
        <v/>
      </c>
      <c r="AN140" s="59"/>
      <c r="AQ140" s="52">
        <f t="shared" ref="AQ140:AQ203" si="12">IF(X140="Unacceptable Loss",1,0)</f>
        <v>0</v>
      </c>
    </row>
    <row r="141" spans="1:43" x14ac:dyDescent="0.25">
      <c r="A141" s="52" t="str">
        <f>IFERROR(INDEX('G-1 All Habitats'!$AG$3:$AG$15,MATCH(E141,'G-1 All Habitats'!$AF$3:$AF$15,0)),"")</f>
        <v/>
      </c>
      <c r="B141" s="52" t="str">
        <f>IFERROR(INDEX('G-8 Condition Look up'!$I$4:$I$131,MATCH(G141,'G-8 Condition Look up'!$A$4:$A$131,0)),"")</f>
        <v/>
      </c>
      <c r="D141" s="89">
        <v>131</v>
      </c>
      <c r="E141" s="90"/>
      <c r="F141" s="91"/>
      <c r="G141" s="75" t="str">
        <f>IFERROR(INDEX('G-1 All Habitats'!$B$3:$B$130,MATCH(F141,'G-1 All Habitats'!$A$3:$A$130,0)),"")</f>
        <v/>
      </c>
      <c r="H141" s="76"/>
      <c r="I141" s="77" t="str">
        <f>IF(G141="","",VLOOKUP(G141,'G-1 All Habitats'!$B$2:$M$130,10,FALSE))</f>
        <v/>
      </c>
      <c r="J141" s="78" t="str">
        <f>IFERROR(VLOOKUP(I141,'G-1 All Habitats'!$V$3:$W$7,2,FALSE),"")</f>
        <v/>
      </c>
      <c r="K141" s="79"/>
      <c r="L141" s="78" t="str">
        <f>IFERROR(INDEX('G-8 Condition Look up'!$A$3:$H$131,MATCH(G141,'G-8 Condition Look up'!$A$3:$A$131,0),MATCH(K141,'G-8 Condition Look up'!$A$3:$H$3,0)),"")</f>
        <v/>
      </c>
      <c r="M141" s="79"/>
      <c r="N141" s="348" t="str">
        <f>IF(M141="","",IF(VLOOKUP(M141,'G-3 Multipliers'!$L$3:$N$6,2,FALSE)=0,"Spatial Data Missing",VLOOKUP(M141,'G-3 Multipliers'!$L$3:$N$6,2,FALSE)))</f>
        <v/>
      </c>
      <c r="O141" s="569" t="str">
        <f>IF(M141="","",IF(VLOOKUP(M141,'G-3 Multipliers'!$L$3:$N$6,3,FALSE)=0,"Spatial Data Missing",VLOOKUP(M141,'G-3 Multipliers'!$L$3:$N$6,3,FALSE)))</f>
        <v/>
      </c>
      <c r="P141" s="80" t="str">
        <f>IFERROR(VLOOKUP(G141,'G-1 All Habitats'!$B$2:$M$130,12,FALSE),"")</f>
        <v/>
      </c>
      <c r="Q141" s="81" t="str">
        <f>IFERROR(IF(P141="","",IF(AND(P141='G-1 All Habitats'!$X$3,T141&gt;0),U141+V141,IF(AND(P141='G-1 All Habitats'!$X$3,S141&gt;0),U141+V141,IF(AND(P141='G-1 All Habitats'!$X$3,AC141&gt;0),"Any Loss Unacceptable",IF(AND(P141='G-1 All Habitats'!$X$3,W141&gt;0),"Any Loss Unacceptable",H141*J141*L141*O141))))),"Check Data")</f>
        <v/>
      </c>
      <c r="R141" s="55"/>
      <c r="S141" s="79"/>
      <c r="T141" s="82"/>
      <c r="U141" s="83" t="str">
        <f t="shared" ref="U141:U204" si="13">IFERROR(S141*J141*L141*O141,"")</f>
        <v/>
      </c>
      <c r="V141" s="83" t="str">
        <f t="shared" ref="V141:V204" si="14">IFERROR(T141*J141*L141*O141,"")</f>
        <v/>
      </c>
      <c r="W141" s="83" t="str">
        <f>IF(E141="","",IF(H141&lt;S141+T141,"Error in Areas",IF(P141&lt;&gt;'G-1 All Habitats'!$X$3,H141-S141-T141,IF(AND(P141='G-1 All Habitats'!$X$3,Y141="Yes"),"Unacceptable Loss",IF(AND(P141='G-1 All Habitats'!$X$3,Y141="No"),AC141,IF(AND(P141='G-1 All Habitats'!$X$3,Y141=""),AC141,IF(AND(P141='G-1 All Habitats'!$X$3,AC141="None",AC141),IF(AND(P141='G-1 All Habitats'!$X$3,AC141&gt;0),H141-S141-T141))))))))</f>
        <v/>
      </c>
      <c r="X141" s="84" t="str">
        <f>IFERROR(IF(H141="","",IF(H141-S141-T141=0&lt;0,"Error in Areas",IF(S141+T141&gt;H141,"Error in Areas",IF(AND(P141='G-1 All Habitats'!$X$3,Y141="Yes"),"Alternative Compensation",IF(W141=0,0,IF(P141='G-1 All Habitats'!$X$3,"Unacceptable Loss",Q141-U141-V141)))))),"Check Data")</f>
        <v/>
      </c>
      <c r="Y141" s="82"/>
      <c r="Z141" s="92"/>
      <c r="AA141" s="93"/>
      <c r="AC141" s="87" t="str">
        <f>IF(P141="","",IF(P141='G-1 All Habitats'!$X$3,H141-S141-T141,"None"))</f>
        <v/>
      </c>
      <c r="AD141" s="88" t="str">
        <f>IFERROR(AC141*J141*L141*#REF!*O141,IF(P141="","","None"))</f>
        <v/>
      </c>
      <c r="AF141" s="59" t="str">
        <f t="shared" si="10"/>
        <v/>
      </c>
      <c r="AG141" s="59" t="str">
        <f t="shared" si="11"/>
        <v/>
      </c>
      <c r="AH141" s="59" t="str">
        <f>IF(I141="","",IF(#REF!&gt;0,TRUE,FALSE))</f>
        <v/>
      </c>
      <c r="AI141" s="59">
        <v>131</v>
      </c>
      <c r="AJ141" s="59"/>
      <c r="AK141" s="59" t="str">
        <f t="array" ref="AK141">IFERROR(INDEX($AI$11:$AI$259, MATCH(0, IF(TRUE=$AF$11:$AF$259, COUNTIF($AK$10:$AK140, $AI$11:$AI$259), ""), 0)),"")</f>
        <v/>
      </c>
      <c r="AL141" s="59" t="str">
        <f t="array" ref="AL141">IFERROR(INDEX($AI$11:$AI$259, MATCH(0, IF(TRUE=$AG$11:$AG$259, COUNTIF($AL$10:$AL140, $AI$11:$AI$259), ""), 0)),"")</f>
        <v/>
      </c>
      <c r="AM141" s="59" t="str">
        <f t="array" ref="AM141">IFERROR(INDEX($AI$11:$AI$259, MATCH(0, IF(TRUE=$AH$11:$AH$259, COUNTIF($AM$10:$AM140, $AI$11:$AI$259), ""), 0)),"")</f>
        <v/>
      </c>
      <c r="AN141" s="59"/>
      <c r="AQ141" s="52">
        <f t="shared" si="12"/>
        <v>0</v>
      </c>
    </row>
    <row r="142" spans="1:43" x14ac:dyDescent="0.25">
      <c r="A142" s="52" t="str">
        <f>IFERROR(INDEX('G-1 All Habitats'!$AG$3:$AG$15,MATCH(E142,'G-1 All Habitats'!$AF$3:$AF$15,0)),"")</f>
        <v/>
      </c>
      <c r="B142" s="52" t="str">
        <f>IFERROR(INDEX('G-8 Condition Look up'!$I$4:$I$131,MATCH(G142,'G-8 Condition Look up'!$A$4:$A$131,0)),"")</f>
        <v/>
      </c>
      <c r="D142" s="89">
        <v>132</v>
      </c>
      <c r="E142" s="90"/>
      <c r="F142" s="91"/>
      <c r="G142" s="75" t="str">
        <f>IFERROR(INDEX('G-1 All Habitats'!$B$3:$B$130,MATCH(F142,'G-1 All Habitats'!$A$3:$A$130,0)),"")</f>
        <v/>
      </c>
      <c r="H142" s="76"/>
      <c r="I142" s="77" t="str">
        <f>IF(G142="","",VLOOKUP(G142,'G-1 All Habitats'!$B$2:$M$130,10,FALSE))</f>
        <v/>
      </c>
      <c r="J142" s="78" t="str">
        <f>IFERROR(VLOOKUP(I142,'G-1 All Habitats'!$V$3:$W$7,2,FALSE),"")</f>
        <v/>
      </c>
      <c r="K142" s="79"/>
      <c r="L142" s="78" t="str">
        <f>IFERROR(INDEX('G-8 Condition Look up'!$A$3:$H$131,MATCH(G142,'G-8 Condition Look up'!$A$3:$A$131,0),MATCH(K142,'G-8 Condition Look up'!$A$3:$H$3,0)),"")</f>
        <v/>
      </c>
      <c r="M142" s="79"/>
      <c r="N142" s="348" t="str">
        <f>IF(M142="","",IF(VLOOKUP(M142,'G-3 Multipliers'!$L$3:$N$6,2,FALSE)=0,"Spatial Data Missing",VLOOKUP(M142,'G-3 Multipliers'!$L$3:$N$6,2,FALSE)))</f>
        <v/>
      </c>
      <c r="O142" s="569" t="str">
        <f>IF(M142="","",IF(VLOOKUP(M142,'G-3 Multipliers'!$L$3:$N$6,3,FALSE)=0,"Spatial Data Missing",VLOOKUP(M142,'G-3 Multipliers'!$L$3:$N$6,3,FALSE)))</f>
        <v/>
      </c>
      <c r="P142" s="80" t="str">
        <f>IFERROR(VLOOKUP(G142,'G-1 All Habitats'!$B$2:$M$130,12,FALSE),"")</f>
        <v/>
      </c>
      <c r="Q142" s="81" t="str">
        <f>IFERROR(IF(P142="","",IF(AND(P142='G-1 All Habitats'!$X$3,T142&gt;0),U142+V142,IF(AND(P142='G-1 All Habitats'!$X$3,S142&gt;0),U142+V142,IF(AND(P142='G-1 All Habitats'!$X$3,AC142&gt;0),"Any Loss Unacceptable",IF(AND(P142='G-1 All Habitats'!$X$3,W142&gt;0),"Any Loss Unacceptable",H142*J142*L142*O142))))),"Check Data")</f>
        <v/>
      </c>
      <c r="R142" s="55"/>
      <c r="S142" s="79"/>
      <c r="T142" s="82"/>
      <c r="U142" s="83" t="str">
        <f t="shared" si="13"/>
        <v/>
      </c>
      <c r="V142" s="83" t="str">
        <f t="shared" si="14"/>
        <v/>
      </c>
      <c r="W142" s="83" t="str">
        <f>IF(E142="","",IF(H142&lt;S142+T142,"Error in Areas",IF(P142&lt;&gt;'G-1 All Habitats'!$X$3,H142-S142-T142,IF(AND(P142='G-1 All Habitats'!$X$3,Y142="Yes"),"Unacceptable Loss",IF(AND(P142='G-1 All Habitats'!$X$3,Y142="No"),AC142,IF(AND(P142='G-1 All Habitats'!$X$3,Y142=""),AC142,IF(AND(P142='G-1 All Habitats'!$X$3,AC142="None",AC142),IF(AND(P142='G-1 All Habitats'!$X$3,AC142&gt;0),H142-S142-T142))))))))</f>
        <v/>
      </c>
      <c r="X142" s="84" t="str">
        <f>IFERROR(IF(H142="","",IF(H142-S142-T142=0&lt;0,"Error in Areas",IF(S142+T142&gt;H142,"Error in Areas",IF(AND(P142='G-1 All Habitats'!$X$3,Y142="Yes"),"Alternative Compensation",IF(W142=0,0,IF(P142='G-1 All Habitats'!$X$3,"Unacceptable Loss",Q142-U142-V142)))))),"Check Data")</f>
        <v/>
      </c>
      <c r="Y142" s="82"/>
      <c r="Z142" s="92"/>
      <c r="AA142" s="93"/>
      <c r="AC142" s="87" t="str">
        <f>IF(P142="","",IF(P142='G-1 All Habitats'!$X$3,H142-S142-T142,"None"))</f>
        <v/>
      </c>
      <c r="AD142" s="88" t="str">
        <f>IFERROR(AC142*J142*L142*#REF!*O142,IF(P142="","","None"))</f>
        <v/>
      </c>
      <c r="AF142" s="59" t="str">
        <f t="shared" si="10"/>
        <v/>
      </c>
      <c r="AG142" s="59" t="str">
        <f t="shared" si="11"/>
        <v/>
      </c>
      <c r="AH142" s="59" t="str">
        <f>IF(I142="","",IF(#REF!&gt;0,TRUE,FALSE))</f>
        <v/>
      </c>
      <c r="AI142" s="59">
        <v>132</v>
      </c>
      <c r="AJ142" s="59"/>
      <c r="AK142" s="59" t="str">
        <f t="array" ref="AK142">IFERROR(INDEX($AI$11:$AI$259, MATCH(0, IF(TRUE=$AF$11:$AF$259, COUNTIF($AK$10:$AK141, $AI$11:$AI$259), ""), 0)),"")</f>
        <v/>
      </c>
      <c r="AL142" s="59" t="str">
        <f t="array" ref="AL142">IFERROR(INDEX($AI$11:$AI$259, MATCH(0, IF(TRUE=$AG$11:$AG$259, COUNTIF($AL$10:$AL141, $AI$11:$AI$259), ""), 0)),"")</f>
        <v/>
      </c>
      <c r="AM142" s="59" t="str">
        <f t="array" ref="AM142">IFERROR(INDEX($AI$11:$AI$259, MATCH(0, IF(TRUE=$AH$11:$AH$259, COUNTIF($AM$10:$AM141, $AI$11:$AI$259), ""), 0)),"")</f>
        <v/>
      </c>
      <c r="AN142" s="59"/>
      <c r="AQ142" s="52">
        <f t="shared" si="12"/>
        <v>0</v>
      </c>
    </row>
    <row r="143" spans="1:43" x14ac:dyDescent="0.25">
      <c r="A143" s="52" t="str">
        <f>IFERROR(INDEX('G-1 All Habitats'!$AG$3:$AG$15,MATCH(E143,'G-1 All Habitats'!$AF$3:$AF$15,0)),"")</f>
        <v/>
      </c>
      <c r="B143" s="52" t="str">
        <f>IFERROR(INDEX('G-8 Condition Look up'!$I$4:$I$131,MATCH(G143,'G-8 Condition Look up'!$A$4:$A$131,0)),"")</f>
        <v/>
      </c>
      <c r="D143" s="89">
        <v>133</v>
      </c>
      <c r="E143" s="90"/>
      <c r="F143" s="91"/>
      <c r="G143" s="75" t="str">
        <f>IFERROR(INDEX('G-1 All Habitats'!$B$3:$B$130,MATCH(F143,'G-1 All Habitats'!$A$3:$A$130,0)),"")</f>
        <v/>
      </c>
      <c r="H143" s="76"/>
      <c r="I143" s="77" t="str">
        <f>IF(G143="","",VLOOKUP(G143,'G-1 All Habitats'!$B$2:$M$130,10,FALSE))</f>
        <v/>
      </c>
      <c r="J143" s="78" t="str">
        <f>IFERROR(VLOOKUP(I143,'G-1 All Habitats'!$V$3:$W$7,2,FALSE),"")</f>
        <v/>
      </c>
      <c r="K143" s="79"/>
      <c r="L143" s="78" t="str">
        <f>IFERROR(INDEX('G-8 Condition Look up'!$A$3:$H$131,MATCH(G143,'G-8 Condition Look up'!$A$3:$A$131,0),MATCH(K143,'G-8 Condition Look up'!$A$3:$H$3,0)),"")</f>
        <v/>
      </c>
      <c r="M143" s="79"/>
      <c r="N143" s="348" t="str">
        <f>IF(M143="","",IF(VLOOKUP(M143,'G-3 Multipliers'!$L$3:$N$6,2,FALSE)=0,"Spatial Data Missing",VLOOKUP(M143,'G-3 Multipliers'!$L$3:$N$6,2,FALSE)))</f>
        <v/>
      </c>
      <c r="O143" s="569" t="str">
        <f>IF(M143="","",IF(VLOOKUP(M143,'G-3 Multipliers'!$L$3:$N$6,3,FALSE)=0,"Spatial Data Missing",VLOOKUP(M143,'G-3 Multipliers'!$L$3:$N$6,3,FALSE)))</f>
        <v/>
      </c>
      <c r="P143" s="80" t="str">
        <f>IFERROR(VLOOKUP(G143,'G-1 All Habitats'!$B$2:$M$130,12,FALSE),"")</f>
        <v/>
      </c>
      <c r="Q143" s="81" t="str">
        <f>IFERROR(IF(P143="","",IF(AND(P143='G-1 All Habitats'!$X$3,T143&gt;0),U143+V143,IF(AND(P143='G-1 All Habitats'!$X$3,S143&gt;0),U143+V143,IF(AND(P143='G-1 All Habitats'!$X$3,AC143&gt;0),"Any Loss Unacceptable",IF(AND(P143='G-1 All Habitats'!$X$3,W143&gt;0),"Any Loss Unacceptable",H143*J143*L143*O143))))),"Check Data")</f>
        <v/>
      </c>
      <c r="R143" s="55"/>
      <c r="S143" s="79"/>
      <c r="T143" s="82"/>
      <c r="U143" s="83" t="str">
        <f t="shared" si="13"/>
        <v/>
      </c>
      <c r="V143" s="83" t="str">
        <f t="shared" si="14"/>
        <v/>
      </c>
      <c r="W143" s="83" t="str">
        <f>IF(E143="","",IF(H143&lt;S143+T143,"Error in Areas",IF(P143&lt;&gt;'G-1 All Habitats'!$X$3,H143-S143-T143,IF(AND(P143='G-1 All Habitats'!$X$3,Y143="Yes"),"Unacceptable Loss",IF(AND(P143='G-1 All Habitats'!$X$3,Y143="No"),AC143,IF(AND(P143='G-1 All Habitats'!$X$3,Y143=""),AC143,IF(AND(P143='G-1 All Habitats'!$X$3,AC143="None",AC143),IF(AND(P143='G-1 All Habitats'!$X$3,AC143&gt;0),H143-S143-T143))))))))</f>
        <v/>
      </c>
      <c r="X143" s="84" t="str">
        <f>IFERROR(IF(H143="","",IF(H143-S143-T143=0&lt;0,"Error in Areas",IF(S143+T143&gt;H143,"Error in Areas",IF(AND(P143='G-1 All Habitats'!$X$3,Y143="Yes"),"Alternative Compensation",IF(W143=0,0,IF(P143='G-1 All Habitats'!$X$3,"Unacceptable Loss",Q143-U143-V143)))))),"Check Data")</f>
        <v/>
      </c>
      <c r="Y143" s="82"/>
      <c r="Z143" s="92"/>
      <c r="AA143" s="93"/>
      <c r="AC143" s="87" t="str">
        <f>IF(P143="","",IF(P143='G-1 All Habitats'!$X$3,H143-S143-T143,"None"))</f>
        <v/>
      </c>
      <c r="AD143" s="88" t="str">
        <f>IFERROR(AC143*J143*L143*#REF!*O143,IF(P143="","","None"))</f>
        <v/>
      </c>
      <c r="AF143" s="59" t="str">
        <f t="shared" si="10"/>
        <v/>
      </c>
      <c r="AG143" s="59" t="str">
        <f t="shared" si="11"/>
        <v/>
      </c>
      <c r="AH143" s="59" t="str">
        <f>IF(I143="","",IF(#REF!&gt;0,TRUE,FALSE))</f>
        <v/>
      </c>
      <c r="AI143" s="59">
        <v>133</v>
      </c>
      <c r="AJ143" s="59"/>
      <c r="AK143" s="59" t="str">
        <f t="array" ref="AK143">IFERROR(INDEX($AI$11:$AI$259, MATCH(0, IF(TRUE=$AF$11:$AF$259, COUNTIF($AK$10:$AK142, $AI$11:$AI$259), ""), 0)),"")</f>
        <v/>
      </c>
      <c r="AL143" s="59" t="str">
        <f t="array" ref="AL143">IFERROR(INDEX($AI$11:$AI$259, MATCH(0, IF(TRUE=$AG$11:$AG$259, COUNTIF($AL$10:$AL142, $AI$11:$AI$259), ""), 0)),"")</f>
        <v/>
      </c>
      <c r="AM143" s="59" t="str">
        <f t="array" ref="AM143">IFERROR(INDEX($AI$11:$AI$259, MATCH(0, IF(TRUE=$AH$11:$AH$259, COUNTIF($AM$10:$AM142, $AI$11:$AI$259), ""), 0)),"")</f>
        <v/>
      </c>
      <c r="AN143" s="59"/>
      <c r="AQ143" s="52">
        <f t="shared" si="12"/>
        <v>0</v>
      </c>
    </row>
    <row r="144" spans="1:43" x14ac:dyDescent="0.25">
      <c r="A144" s="52" t="str">
        <f>IFERROR(INDEX('G-1 All Habitats'!$AG$3:$AG$15,MATCH(E144,'G-1 All Habitats'!$AF$3:$AF$15,0)),"")</f>
        <v/>
      </c>
      <c r="B144" s="52" t="str">
        <f>IFERROR(INDEX('G-8 Condition Look up'!$I$4:$I$131,MATCH(G144,'G-8 Condition Look up'!$A$4:$A$131,0)),"")</f>
        <v/>
      </c>
      <c r="D144" s="89">
        <v>134</v>
      </c>
      <c r="E144" s="90"/>
      <c r="F144" s="91"/>
      <c r="G144" s="75" t="str">
        <f>IFERROR(INDEX('G-1 All Habitats'!$B$3:$B$130,MATCH(F144,'G-1 All Habitats'!$A$3:$A$130,0)),"")</f>
        <v/>
      </c>
      <c r="H144" s="76"/>
      <c r="I144" s="77" t="str">
        <f>IF(G144="","",VLOOKUP(G144,'G-1 All Habitats'!$B$2:$M$130,10,FALSE))</f>
        <v/>
      </c>
      <c r="J144" s="78" t="str">
        <f>IFERROR(VLOOKUP(I144,'G-1 All Habitats'!$V$3:$W$7,2,FALSE),"")</f>
        <v/>
      </c>
      <c r="K144" s="79"/>
      <c r="L144" s="78" t="str">
        <f>IFERROR(INDEX('G-8 Condition Look up'!$A$3:$H$131,MATCH(G144,'G-8 Condition Look up'!$A$3:$A$131,0),MATCH(K144,'G-8 Condition Look up'!$A$3:$H$3,0)),"")</f>
        <v/>
      </c>
      <c r="M144" s="79"/>
      <c r="N144" s="348" t="str">
        <f>IF(M144="","",IF(VLOOKUP(M144,'G-3 Multipliers'!$L$3:$N$6,2,FALSE)=0,"Spatial Data Missing",VLOOKUP(M144,'G-3 Multipliers'!$L$3:$N$6,2,FALSE)))</f>
        <v/>
      </c>
      <c r="O144" s="569" t="str">
        <f>IF(M144="","",IF(VLOOKUP(M144,'G-3 Multipliers'!$L$3:$N$6,3,FALSE)=0,"Spatial Data Missing",VLOOKUP(M144,'G-3 Multipliers'!$L$3:$N$6,3,FALSE)))</f>
        <v/>
      </c>
      <c r="P144" s="80" t="str">
        <f>IFERROR(VLOOKUP(G144,'G-1 All Habitats'!$B$2:$M$130,12,FALSE),"")</f>
        <v/>
      </c>
      <c r="Q144" s="81" t="str">
        <f>IFERROR(IF(P144="","",IF(AND(P144='G-1 All Habitats'!$X$3,T144&gt;0),U144+V144,IF(AND(P144='G-1 All Habitats'!$X$3,S144&gt;0),U144+V144,IF(AND(P144='G-1 All Habitats'!$X$3,AC144&gt;0),"Any Loss Unacceptable",IF(AND(P144='G-1 All Habitats'!$X$3,W144&gt;0),"Any Loss Unacceptable",H144*J144*L144*O144))))),"Check Data")</f>
        <v/>
      </c>
      <c r="R144" s="55"/>
      <c r="S144" s="79"/>
      <c r="T144" s="82"/>
      <c r="U144" s="83" t="str">
        <f t="shared" si="13"/>
        <v/>
      </c>
      <c r="V144" s="83" t="str">
        <f t="shared" si="14"/>
        <v/>
      </c>
      <c r="W144" s="83" t="str">
        <f>IF(E144="","",IF(H144&lt;S144+T144,"Error in Areas",IF(P144&lt;&gt;'G-1 All Habitats'!$X$3,H144-S144-T144,IF(AND(P144='G-1 All Habitats'!$X$3,Y144="Yes"),"Unacceptable Loss",IF(AND(P144='G-1 All Habitats'!$X$3,Y144="No"),AC144,IF(AND(P144='G-1 All Habitats'!$X$3,Y144=""),AC144,IF(AND(P144='G-1 All Habitats'!$X$3,AC144="None",AC144),IF(AND(P144='G-1 All Habitats'!$X$3,AC144&gt;0),H144-S144-T144))))))))</f>
        <v/>
      </c>
      <c r="X144" s="84" t="str">
        <f>IFERROR(IF(H144="","",IF(H144-S144-T144=0&lt;0,"Error in Areas",IF(S144+T144&gt;H144,"Error in Areas",IF(AND(P144='G-1 All Habitats'!$X$3,Y144="Yes"),"Alternative Compensation",IF(W144=0,0,IF(P144='G-1 All Habitats'!$X$3,"Unacceptable Loss",Q144-U144-V144)))))),"Check Data")</f>
        <v/>
      </c>
      <c r="Y144" s="82"/>
      <c r="Z144" s="92"/>
      <c r="AA144" s="93"/>
      <c r="AC144" s="87" t="str">
        <f>IF(P144="","",IF(P144='G-1 All Habitats'!$X$3,H144-S144-T144,"None"))</f>
        <v/>
      </c>
      <c r="AD144" s="88" t="str">
        <f>IFERROR(AC144*J144*L144*#REF!*O144,IF(P144="","","None"))</f>
        <v/>
      </c>
      <c r="AF144" s="59" t="str">
        <f t="shared" si="10"/>
        <v/>
      </c>
      <c r="AG144" s="59" t="str">
        <f t="shared" si="11"/>
        <v/>
      </c>
      <c r="AH144" s="59" t="str">
        <f>IF(I144="","",IF(#REF!&gt;0,TRUE,FALSE))</f>
        <v/>
      </c>
      <c r="AI144" s="59">
        <v>134</v>
      </c>
      <c r="AJ144" s="59"/>
      <c r="AK144" s="59" t="str">
        <f t="array" ref="AK144">IFERROR(INDEX($AI$11:$AI$259, MATCH(0, IF(TRUE=$AF$11:$AF$259, COUNTIF($AK$10:$AK143, $AI$11:$AI$259), ""), 0)),"")</f>
        <v/>
      </c>
      <c r="AL144" s="59" t="str">
        <f t="array" ref="AL144">IFERROR(INDEX($AI$11:$AI$259, MATCH(0, IF(TRUE=$AG$11:$AG$259, COUNTIF($AL$10:$AL143, $AI$11:$AI$259), ""), 0)),"")</f>
        <v/>
      </c>
      <c r="AM144" s="59" t="str">
        <f t="array" ref="AM144">IFERROR(INDEX($AI$11:$AI$259, MATCH(0, IF(TRUE=$AH$11:$AH$259, COUNTIF($AM$10:$AM143, $AI$11:$AI$259), ""), 0)),"")</f>
        <v/>
      </c>
      <c r="AN144" s="59"/>
      <c r="AQ144" s="52">
        <f t="shared" si="12"/>
        <v>0</v>
      </c>
    </row>
    <row r="145" spans="1:43" x14ac:dyDescent="0.25">
      <c r="A145" s="52" t="str">
        <f>IFERROR(INDEX('G-1 All Habitats'!$AG$3:$AG$15,MATCH(E145,'G-1 All Habitats'!$AF$3:$AF$15,0)),"")</f>
        <v/>
      </c>
      <c r="B145" s="52" t="str">
        <f>IFERROR(INDEX('G-8 Condition Look up'!$I$4:$I$131,MATCH(G145,'G-8 Condition Look up'!$A$4:$A$131,0)),"")</f>
        <v/>
      </c>
      <c r="D145" s="89">
        <v>135</v>
      </c>
      <c r="E145" s="90"/>
      <c r="F145" s="91"/>
      <c r="G145" s="75" t="str">
        <f>IFERROR(INDEX('G-1 All Habitats'!$B$3:$B$130,MATCH(F145,'G-1 All Habitats'!$A$3:$A$130,0)),"")</f>
        <v/>
      </c>
      <c r="H145" s="76"/>
      <c r="I145" s="77" t="str">
        <f>IF(G145="","",VLOOKUP(G145,'G-1 All Habitats'!$B$2:$M$130,10,FALSE))</f>
        <v/>
      </c>
      <c r="J145" s="78" t="str">
        <f>IFERROR(VLOOKUP(I145,'G-1 All Habitats'!$V$3:$W$7,2,FALSE),"")</f>
        <v/>
      </c>
      <c r="K145" s="79"/>
      <c r="L145" s="78" t="str">
        <f>IFERROR(INDEX('G-8 Condition Look up'!$A$3:$H$131,MATCH(G145,'G-8 Condition Look up'!$A$3:$A$131,0),MATCH(K145,'G-8 Condition Look up'!$A$3:$H$3,0)),"")</f>
        <v/>
      </c>
      <c r="M145" s="79"/>
      <c r="N145" s="348" t="str">
        <f>IF(M145="","",IF(VLOOKUP(M145,'G-3 Multipliers'!$L$3:$N$6,2,FALSE)=0,"Spatial Data Missing",VLOOKUP(M145,'G-3 Multipliers'!$L$3:$N$6,2,FALSE)))</f>
        <v/>
      </c>
      <c r="O145" s="569" t="str">
        <f>IF(M145="","",IF(VLOOKUP(M145,'G-3 Multipliers'!$L$3:$N$6,3,FALSE)=0,"Spatial Data Missing",VLOOKUP(M145,'G-3 Multipliers'!$L$3:$N$6,3,FALSE)))</f>
        <v/>
      </c>
      <c r="P145" s="80" t="str">
        <f>IFERROR(VLOOKUP(G145,'G-1 All Habitats'!$B$2:$M$130,12,FALSE),"")</f>
        <v/>
      </c>
      <c r="Q145" s="81" t="str">
        <f>IFERROR(IF(P145="","",IF(AND(P145='G-1 All Habitats'!$X$3,T145&gt;0),U145+V145,IF(AND(P145='G-1 All Habitats'!$X$3,S145&gt;0),U145+V145,IF(AND(P145='G-1 All Habitats'!$X$3,AC145&gt;0),"Any Loss Unacceptable",IF(AND(P145='G-1 All Habitats'!$X$3,W145&gt;0),"Any Loss Unacceptable",H145*J145*L145*O145))))),"Check Data")</f>
        <v/>
      </c>
      <c r="R145" s="55"/>
      <c r="S145" s="79"/>
      <c r="T145" s="82"/>
      <c r="U145" s="83" t="str">
        <f t="shared" si="13"/>
        <v/>
      </c>
      <c r="V145" s="83" t="str">
        <f t="shared" si="14"/>
        <v/>
      </c>
      <c r="W145" s="83" t="str">
        <f>IF(E145="","",IF(H145&lt;S145+T145,"Error in Areas",IF(P145&lt;&gt;'G-1 All Habitats'!$X$3,H145-S145-T145,IF(AND(P145='G-1 All Habitats'!$X$3,Y145="Yes"),"Unacceptable Loss",IF(AND(P145='G-1 All Habitats'!$X$3,Y145="No"),AC145,IF(AND(P145='G-1 All Habitats'!$X$3,Y145=""),AC145,IF(AND(P145='G-1 All Habitats'!$X$3,AC145="None",AC145),IF(AND(P145='G-1 All Habitats'!$X$3,AC145&gt;0),H145-S145-T145))))))))</f>
        <v/>
      </c>
      <c r="X145" s="84" t="str">
        <f>IFERROR(IF(H145="","",IF(H145-S145-T145=0&lt;0,"Error in Areas",IF(S145+T145&gt;H145,"Error in Areas",IF(AND(P145='G-1 All Habitats'!$X$3,Y145="Yes"),"Alternative Compensation",IF(W145=0,0,IF(P145='G-1 All Habitats'!$X$3,"Unacceptable Loss",Q145-U145-V145)))))),"Check Data")</f>
        <v/>
      </c>
      <c r="Y145" s="82"/>
      <c r="Z145" s="92"/>
      <c r="AA145" s="93"/>
      <c r="AC145" s="87" t="str">
        <f>IF(P145="","",IF(P145='G-1 All Habitats'!$X$3,H145-S145-T145,"None"))</f>
        <v/>
      </c>
      <c r="AD145" s="88" t="str">
        <f>IFERROR(AC145*J145*L145*#REF!*O145,IF(P145="","","None"))</f>
        <v/>
      </c>
      <c r="AF145" s="59" t="str">
        <f t="shared" si="10"/>
        <v/>
      </c>
      <c r="AG145" s="59" t="str">
        <f t="shared" si="11"/>
        <v/>
      </c>
      <c r="AH145" s="59" t="str">
        <f>IF(I145="","",IF(#REF!&gt;0,TRUE,FALSE))</f>
        <v/>
      </c>
      <c r="AI145" s="59">
        <v>135</v>
      </c>
      <c r="AJ145" s="59"/>
      <c r="AK145" s="59" t="str">
        <f t="array" ref="AK145">IFERROR(INDEX($AI$11:$AI$259, MATCH(0, IF(TRUE=$AF$11:$AF$259, COUNTIF($AK$10:$AK144, $AI$11:$AI$259), ""), 0)),"")</f>
        <v/>
      </c>
      <c r="AL145" s="59" t="str">
        <f t="array" ref="AL145">IFERROR(INDEX($AI$11:$AI$259, MATCH(0, IF(TRUE=$AG$11:$AG$259, COUNTIF($AL$10:$AL144, $AI$11:$AI$259), ""), 0)),"")</f>
        <v/>
      </c>
      <c r="AM145" s="59" t="str">
        <f t="array" ref="AM145">IFERROR(INDEX($AI$11:$AI$259, MATCH(0, IF(TRUE=$AH$11:$AH$259, COUNTIF($AM$10:$AM144, $AI$11:$AI$259), ""), 0)),"")</f>
        <v/>
      </c>
      <c r="AN145" s="59"/>
      <c r="AQ145" s="52">
        <f t="shared" si="12"/>
        <v>0</v>
      </c>
    </row>
    <row r="146" spans="1:43" x14ac:dyDescent="0.25">
      <c r="A146" s="52" t="str">
        <f>IFERROR(INDEX('G-1 All Habitats'!$AG$3:$AG$15,MATCH(E146,'G-1 All Habitats'!$AF$3:$AF$15,0)),"")</f>
        <v/>
      </c>
      <c r="B146" s="52" t="str">
        <f>IFERROR(INDEX('G-8 Condition Look up'!$I$4:$I$131,MATCH(G146,'G-8 Condition Look up'!$A$4:$A$131,0)),"")</f>
        <v/>
      </c>
      <c r="D146" s="89">
        <v>136</v>
      </c>
      <c r="E146" s="90"/>
      <c r="F146" s="91"/>
      <c r="G146" s="75" t="str">
        <f>IFERROR(INDEX('G-1 All Habitats'!$B$3:$B$130,MATCH(F146,'G-1 All Habitats'!$A$3:$A$130,0)),"")</f>
        <v/>
      </c>
      <c r="H146" s="76"/>
      <c r="I146" s="77" t="str">
        <f>IF(G146="","",VLOOKUP(G146,'G-1 All Habitats'!$B$2:$M$130,10,FALSE))</f>
        <v/>
      </c>
      <c r="J146" s="78" t="str">
        <f>IFERROR(VLOOKUP(I146,'G-1 All Habitats'!$V$3:$W$7,2,FALSE),"")</f>
        <v/>
      </c>
      <c r="K146" s="79"/>
      <c r="L146" s="78" t="str">
        <f>IFERROR(INDEX('G-8 Condition Look up'!$A$3:$H$131,MATCH(G146,'G-8 Condition Look up'!$A$3:$A$131,0),MATCH(K146,'G-8 Condition Look up'!$A$3:$H$3,0)),"")</f>
        <v/>
      </c>
      <c r="M146" s="79"/>
      <c r="N146" s="348" t="str">
        <f>IF(M146="","",IF(VLOOKUP(M146,'G-3 Multipliers'!$L$3:$N$6,2,FALSE)=0,"Spatial Data Missing",VLOOKUP(M146,'G-3 Multipliers'!$L$3:$N$6,2,FALSE)))</f>
        <v/>
      </c>
      <c r="O146" s="569" t="str">
        <f>IF(M146="","",IF(VLOOKUP(M146,'G-3 Multipliers'!$L$3:$N$6,3,FALSE)=0,"Spatial Data Missing",VLOOKUP(M146,'G-3 Multipliers'!$L$3:$N$6,3,FALSE)))</f>
        <v/>
      </c>
      <c r="P146" s="80" t="str">
        <f>IFERROR(VLOOKUP(G146,'G-1 All Habitats'!$B$2:$M$130,12,FALSE),"")</f>
        <v/>
      </c>
      <c r="Q146" s="81" t="str">
        <f>IFERROR(IF(P146="","",IF(AND(P146='G-1 All Habitats'!$X$3,T146&gt;0),U146+V146,IF(AND(P146='G-1 All Habitats'!$X$3,S146&gt;0),U146+V146,IF(AND(P146='G-1 All Habitats'!$X$3,AC146&gt;0),"Any Loss Unacceptable",IF(AND(P146='G-1 All Habitats'!$X$3,W146&gt;0),"Any Loss Unacceptable",H146*J146*L146*O146))))),"Check Data")</f>
        <v/>
      </c>
      <c r="R146" s="55"/>
      <c r="S146" s="79"/>
      <c r="T146" s="82"/>
      <c r="U146" s="83" t="str">
        <f t="shared" si="13"/>
        <v/>
      </c>
      <c r="V146" s="83" t="str">
        <f t="shared" si="14"/>
        <v/>
      </c>
      <c r="W146" s="83" t="str">
        <f>IF(E146="","",IF(H146&lt;S146+T146,"Error in Areas",IF(P146&lt;&gt;'G-1 All Habitats'!$X$3,H146-S146-T146,IF(AND(P146='G-1 All Habitats'!$X$3,Y146="Yes"),"Unacceptable Loss",IF(AND(P146='G-1 All Habitats'!$X$3,Y146="No"),AC146,IF(AND(P146='G-1 All Habitats'!$X$3,Y146=""),AC146,IF(AND(P146='G-1 All Habitats'!$X$3,AC146="None",AC146),IF(AND(P146='G-1 All Habitats'!$X$3,AC146&gt;0),H146-S146-T146))))))))</f>
        <v/>
      </c>
      <c r="X146" s="84" t="str">
        <f>IFERROR(IF(H146="","",IF(H146-S146-T146=0&lt;0,"Error in Areas",IF(S146+T146&gt;H146,"Error in Areas",IF(AND(P146='G-1 All Habitats'!$X$3,Y146="Yes"),"Alternative Compensation",IF(W146=0,0,IF(P146='G-1 All Habitats'!$X$3,"Unacceptable Loss",Q146-U146-V146)))))),"Check Data")</f>
        <v/>
      </c>
      <c r="Y146" s="82"/>
      <c r="Z146" s="92"/>
      <c r="AA146" s="93"/>
      <c r="AC146" s="87" t="str">
        <f>IF(P146="","",IF(P146='G-1 All Habitats'!$X$3,H146-S146-T146,"None"))</f>
        <v/>
      </c>
      <c r="AD146" s="88" t="str">
        <f>IFERROR(AC146*J146*L146*#REF!*O146,IF(P146="","","None"))</f>
        <v/>
      </c>
      <c r="AF146" s="59" t="str">
        <f t="shared" si="10"/>
        <v/>
      </c>
      <c r="AG146" s="59" t="str">
        <f t="shared" si="11"/>
        <v/>
      </c>
      <c r="AH146" s="59" t="str">
        <f>IF(I146="","",IF(#REF!&gt;0,TRUE,FALSE))</f>
        <v/>
      </c>
      <c r="AI146" s="59">
        <v>136</v>
      </c>
      <c r="AJ146" s="59"/>
      <c r="AK146" s="59" t="str">
        <f t="array" ref="AK146">IFERROR(INDEX($AI$11:$AI$259, MATCH(0, IF(TRUE=$AF$11:$AF$259, COUNTIF($AK$10:$AK145, $AI$11:$AI$259), ""), 0)),"")</f>
        <v/>
      </c>
      <c r="AL146" s="59" t="str">
        <f t="array" ref="AL146">IFERROR(INDEX($AI$11:$AI$259, MATCH(0, IF(TRUE=$AG$11:$AG$259, COUNTIF($AL$10:$AL145, $AI$11:$AI$259), ""), 0)),"")</f>
        <v/>
      </c>
      <c r="AM146" s="59" t="str">
        <f t="array" ref="AM146">IFERROR(INDEX($AI$11:$AI$259, MATCH(0, IF(TRUE=$AH$11:$AH$259, COUNTIF($AM$10:$AM145, $AI$11:$AI$259), ""), 0)),"")</f>
        <v/>
      </c>
      <c r="AN146" s="59"/>
      <c r="AQ146" s="52">
        <f t="shared" si="12"/>
        <v>0</v>
      </c>
    </row>
    <row r="147" spans="1:43" x14ac:dyDescent="0.25">
      <c r="A147" s="52" t="str">
        <f>IFERROR(INDEX('G-1 All Habitats'!$AG$3:$AG$15,MATCH(E147,'G-1 All Habitats'!$AF$3:$AF$15,0)),"")</f>
        <v/>
      </c>
      <c r="B147" s="52" t="str">
        <f>IFERROR(INDEX('G-8 Condition Look up'!$I$4:$I$131,MATCH(G147,'G-8 Condition Look up'!$A$4:$A$131,0)),"")</f>
        <v/>
      </c>
      <c r="D147" s="89">
        <v>137</v>
      </c>
      <c r="E147" s="90"/>
      <c r="F147" s="91"/>
      <c r="G147" s="75" t="str">
        <f>IFERROR(INDEX('G-1 All Habitats'!$B$3:$B$130,MATCH(F147,'G-1 All Habitats'!$A$3:$A$130,0)),"")</f>
        <v/>
      </c>
      <c r="H147" s="76"/>
      <c r="I147" s="77" t="str">
        <f>IF(G147="","",VLOOKUP(G147,'G-1 All Habitats'!$B$2:$M$130,10,FALSE))</f>
        <v/>
      </c>
      <c r="J147" s="78" t="str">
        <f>IFERROR(VLOOKUP(I147,'G-1 All Habitats'!$V$3:$W$7,2,FALSE),"")</f>
        <v/>
      </c>
      <c r="K147" s="79"/>
      <c r="L147" s="78" t="str">
        <f>IFERROR(INDEX('G-8 Condition Look up'!$A$3:$H$131,MATCH(G147,'G-8 Condition Look up'!$A$3:$A$131,0),MATCH(K147,'G-8 Condition Look up'!$A$3:$H$3,0)),"")</f>
        <v/>
      </c>
      <c r="M147" s="79"/>
      <c r="N147" s="348" t="str">
        <f>IF(M147="","",IF(VLOOKUP(M147,'G-3 Multipliers'!$L$3:$N$6,2,FALSE)=0,"Spatial Data Missing",VLOOKUP(M147,'G-3 Multipliers'!$L$3:$N$6,2,FALSE)))</f>
        <v/>
      </c>
      <c r="O147" s="569" t="str">
        <f>IF(M147="","",IF(VLOOKUP(M147,'G-3 Multipliers'!$L$3:$N$6,3,FALSE)=0,"Spatial Data Missing",VLOOKUP(M147,'G-3 Multipliers'!$L$3:$N$6,3,FALSE)))</f>
        <v/>
      </c>
      <c r="P147" s="80" t="str">
        <f>IFERROR(VLOOKUP(G147,'G-1 All Habitats'!$B$2:$M$130,12,FALSE),"")</f>
        <v/>
      </c>
      <c r="Q147" s="81" t="str">
        <f>IFERROR(IF(P147="","",IF(AND(P147='G-1 All Habitats'!$X$3,T147&gt;0),U147+V147,IF(AND(P147='G-1 All Habitats'!$X$3,S147&gt;0),U147+V147,IF(AND(P147='G-1 All Habitats'!$X$3,AC147&gt;0),"Any Loss Unacceptable",IF(AND(P147='G-1 All Habitats'!$X$3,W147&gt;0),"Any Loss Unacceptable",H147*J147*L147*O147))))),"Check Data")</f>
        <v/>
      </c>
      <c r="R147" s="55"/>
      <c r="S147" s="79"/>
      <c r="T147" s="82"/>
      <c r="U147" s="83" t="str">
        <f t="shared" si="13"/>
        <v/>
      </c>
      <c r="V147" s="83" t="str">
        <f t="shared" si="14"/>
        <v/>
      </c>
      <c r="W147" s="83" t="str">
        <f>IF(E147="","",IF(H147&lt;S147+T147,"Error in Areas",IF(P147&lt;&gt;'G-1 All Habitats'!$X$3,H147-S147-T147,IF(AND(P147='G-1 All Habitats'!$X$3,Y147="Yes"),"Unacceptable Loss",IF(AND(P147='G-1 All Habitats'!$X$3,Y147="No"),AC147,IF(AND(P147='G-1 All Habitats'!$X$3,Y147=""),AC147,IF(AND(P147='G-1 All Habitats'!$X$3,AC147="None",AC147),IF(AND(P147='G-1 All Habitats'!$X$3,AC147&gt;0),H147-S147-T147))))))))</f>
        <v/>
      </c>
      <c r="X147" s="84" t="str">
        <f>IFERROR(IF(H147="","",IF(H147-S147-T147=0&lt;0,"Error in Areas",IF(S147+T147&gt;H147,"Error in Areas",IF(AND(P147='G-1 All Habitats'!$X$3,Y147="Yes"),"Alternative Compensation",IF(W147=0,0,IF(P147='G-1 All Habitats'!$X$3,"Unacceptable Loss",Q147-U147-V147)))))),"Check Data")</f>
        <v/>
      </c>
      <c r="Y147" s="82"/>
      <c r="Z147" s="92"/>
      <c r="AA147" s="93"/>
      <c r="AC147" s="87" t="str">
        <f>IF(P147="","",IF(P147='G-1 All Habitats'!$X$3,H147-S147-T147,"None"))</f>
        <v/>
      </c>
      <c r="AD147" s="88" t="str">
        <f>IFERROR(AC147*J147*L147*#REF!*O147,IF(P147="","","None"))</f>
        <v/>
      </c>
      <c r="AF147" s="59" t="str">
        <f t="shared" si="10"/>
        <v/>
      </c>
      <c r="AG147" s="59" t="str">
        <f t="shared" si="11"/>
        <v/>
      </c>
      <c r="AH147" s="59" t="str">
        <f>IF(I147="","",IF(#REF!&gt;0,TRUE,FALSE))</f>
        <v/>
      </c>
      <c r="AI147" s="59">
        <v>137</v>
      </c>
      <c r="AJ147" s="59"/>
      <c r="AK147" s="59" t="str">
        <f t="array" ref="AK147">IFERROR(INDEX($AI$11:$AI$259, MATCH(0, IF(TRUE=$AF$11:$AF$259, COUNTIF($AK$10:$AK146, $AI$11:$AI$259), ""), 0)),"")</f>
        <v/>
      </c>
      <c r="AL147" s="59" t="str">
        <f t="array" ref="AL147">IFERROR(INDEX($AI$11:$AI$259, MATCH(0, IF(TRUE=$AG$11:$AG$259, COUNTIF($AL$10:$AL146, $AI$11:$AI$259), ""), 0)),"")</f>
        <v/>
      </c>
      <c r="AM147" s="59" t="str">
        <f t="array" ref="AM147">IFERROR(INDEX($AI$11:$AI$259, MATCH(0, IF(TRUE=$AH$11:$AH$259, COUNTIF($AM$10:$AM146, $AI$11:$AI$259), ""), 0)),"")</f>
        <v/>
      </c>
      <c r="AN147" s="59"/>
      <c r="AQ147" s="52">
        <f t="shared" si="12"/>
        <v>0</v>
      </c>
    </row>
    <row r="148" spans="1:43" x14ac:dyDescent="0.25">
      <c r="A148" s="52" t="str">
        <f>IFERROR(INDEX('G-1 All Habitats'!$AG$3:$AG$15,MATCH(E148,'G-1 All Habitats'!$AF$3:$AF$15,0)),"")</f>
        <v/>
      </c>
      <c r="B148" s="52" t="str">
        <f>IFERROR(INDEX('G-8 Condition Look up'!$I$4:$I$131,MATCH(G148,'G-8 Condition Look up'!$A$4:$A$131,0)),"")</f>
        <v/>
      </c>
      <c r="D148" s="89">
        <v>138</v>
      </c>
      <c r="E148" s="90"/>
      <c r="F148" s="91"/>
      <c r="G148" s="75" t="str">
        <f>IFERROR(INDEX('G-1 All Habitats'!$B$3:$B$130,MATCH(F148,'G-1 All Habitats'!$A$3:$A$130,0)),"")</f>
        <v/>
      </c>
      <c r="H148" s="76"/>
      <c r="I148" s="77" t="str">
        <f>IF(G148="","",VLOOKUP(G148,'G-1 All Habitats'!$B$2:$M$130,10,FALSE))</f>
        <v/>
      </c>
      <c r="J148" s="78" t="str">
        <f>IFERROR(VLOOKUP(I148,'G-1 All Habitats'!$V$3:$W$7,2,FALSE),"")</f>
        <v/>
      </c>
      <c r="K148" s="79"/>
      <c r="L148" s="78" t="str">
        <f>IFERROR(INDEX('G-8 Condition Look up'!$A$3:$H$131,MATCH(G148,'G-8 Condition Look up'!$A$3:$A$131,0),MATCH(K148,'G-8 Condition Look up'!$A$3:$H$3,0)),"")</f>
        <v/>
      </c>
      <c r="M148" s="79"/>
      <c r="N148" s="348" t="str">
        <f>IF(M148="","",IF(VLOOKUP(M148,'G-3 Multipliers'!$L$3:$N$6,2,FALSE)=0,"Spatial Data Missing",VLOOKUP(M148,'G-3 Multipliers'!$L$3:$N$6,2,FALSE)))</f>
        <v/>
      </c>
      <c r="O148" s="569" t="str">
        <f>IF(M148="","",IF(VLOOKUP(M148,'G-3 Multipliers'!$L$3:$N$6,3,FALSE)=0,"Spatial Data Missing",VLOOKUP(M148,'G-3 Multipliers'!$L$3:$N$6,3,FALSE)))</f>
        <v/>
      </c>
      <c r="P148" s="80" t="str">
        <f>IFERROR(VLOOKUP(G148,'G-1 All Habitats'!$B$2:$M$130,12,FALSE),"")</f>
        <v/>
      </c>
      <c r="Q148" s="81" t="str">
        <f>IFERROR(IF(P148="","",IF(AND(P148='G-1 All Habitats'!$X$3,T148&gt;0),U148+V148,IF(AND(P148='G-1 All Habitats'!$X$3,S148&gt;0),U148+V148,IF(AND(P148='G-1 All Habitats'!$X$3,AC148&gt;0),"Any Loss Unacceptable",IF(AND(P148='G-1 All Habitats'!$X$3,W148&gt;0),"Any Loss Unacceptable",H148*J148*L148*O148))))),"Check Data")</f>
        <v/>
      </c>
      <c r="R148" s="55"/>
      <c r="S148" s="79"/>
      <c r="T148" s="82"/>
      <c r="U148" s="83" t="str">
        <f t="shared" si="13"/>
        <v/>
      </c>
      <c r="V148" s="83" t="str">
        <f t="shared" si="14"/>
        <v/>
      </c>
      <c r="W148" s="83" t="str">
        <f>IF(E148="","",IF(H148&lt;S148+T148,"Error in Areas",IF(P148&lt;&gt;'G-1 All Habitats'!$X$3,H148-S148-T148,IF(AND(P148='G-1 All Habitats'!$X$3,Y148="Yes"),"Unacceptable Loss",IF(AND(P148='G-1 All Habitats'!$X$3,Y148="No"),AC148,IF(AND(P148='G-1 All Habitats'!$X$3,Y148=""),AC148,IF(AND(P148='G-1 All Habitats'!$X$3,AC148="None",AC148),IF(AND(P148='G-1 All Habitats'!$X$3,AC148&gt;0),H148-S148-T148))))))))</f>
        <v/>
      </c>
      <c r="X148" s="84" t="str">
        <f>IFERROR(IF(H148="","",IF(H148-S148-T148=0&lt;0,"Error in Areas",IF(S148+T148&gt;H148,"Error in Areas",IF(AND(P148='G-1 All Habitats'!$X$3,Y148="Yes"),"Alternative Compensation",IF(W148=0,0,IF(P148='G-1 All Habitats'!$X$3,"Unacceptable Loss",Q148-U148-V148)))))),"Check Data")</f>
        <v/>
      </c>
      <c r="Y148" s="82"/>
      <c r="Z148" s="92"/>
      <c r="AA148" s="93"/>
      <c r="AC148" s="87" t="str">
        <f>IF(P148="","",IF(P148='G-1 All Habitats'!$X$3,H148-S148-T148,"None"))</f>
        <v/>
      </c>
      <c r="AD148" s="88" t="str">
        <f>IFERROR(AC148*J148*L148*#REF!*O148,IF(P148="","","None"))</f>
        <v/>
      </c>
      <c r="AF148" s="59" t="str">
        <f t="shared" si="10"/>
        <v/>
      </c>
      <c r="AG148" s="59" t="str">
        <f t="shared" si="11"/>
        <v/>
      </c>
      <c r="AH148" s="59" t="str">
        <f>IF(I148="","",IF(#REF!&gt;0,TRUE,FALSE))</f>
        <v/>
      </c>
      <c r="AI148" s="59">
        <v>138</v>
      </c>
      <c r="AJ148" s="59"/>
      <c r="AK148" s="59" t="str">
        <f t="array" ref="AK148">IFERROR(INDEX($AI$11:$AI$259, MATCH(0, IF(TRUE=$AF$11:$AF$259, COUNTIF($AK$10:$AK147, $AI$11:$AI$259), ""), 0)),"")</f>
        <v/>
      </c>
      <c r="AL148" s="59" t="str">
        <f t="array" ref="AL148">IFERROR(INDEX($AI$11:$AI$259, MATCH(0, IF(TRUE=$AG$11:$AG$259, COUNTIF($AL$10:$AL147, $AI$11:$AI$259), ""), 0)),"")</f>
        <v/>
      </c>
      <c r="AM148" s="59" t="str">
        <f t="array" ref="AM148">IFERROR(INDEX($AI$11:$AI$259, MATCH(0, IF(TRUE=$AH$11:$AH$259, COUNTIF($AM$10:$AM147, $AI$11:$AI$259), ""), 0)),"")</f>
        <v/>
      </c>
      <c r="AN148" s="59"/>
      <c r="AQ148" s="52">
        <f t="shared" si="12"/>
        <v>0</v>
      </c>
    </row>
    <row r="149" spans="1:43" x14ac:dyDescent="0.25">
      <c r="A149" s="52" t="str">
        <f>IFERROR(INDEX('G-1 All Habitats'!$AG$3:$AG$15,MATCH(E149,'G-1 All Habitats'!$AF$3:$AF$15,0)),"")</f>
        <v/>
      </c>
      <c r="B149" s="52" t="str">
        <f>IFERROR(INDEX('G-8 Condition Look up'!$I$4:$I$131,MATCH(G149,'G-8 Condition Look up'!$A$4:$A$131,0)),"")</f>
        <v/>
      </c>
      <c r="D149" s="89">
        <v>139</v>
      </c>
      <c r="E149" s="90"/>
      <c r="F149" s="91"/>
      <c r="G149" s="75" t="str">
        <f>IFERROR(INDEX('G-1 All Habitats'!$B$3:$B$130,MATCH(F149,'G-1 All Habitats'!$A$3:$A$130,0)),"")</f>
        <v/>
      </c>
      <c r="H149" s="76"/>
      <c r="I149" s="77" t="str">
        <f>IF(G149="","",VLOOKUP(G149,'G-1 All Habitats'!$B$2:$M$130,10,FALSE))</f>
        <v/>
      </c>
      <c r="J149" s="78" t="str">
        <f>IFERROR(VLOOKUP(I149,'G-1 All Habitats'!$V$3:$W$7,2,FALSE),"")</f>
        <v/>
      </c>
      <c r="K149" s="79"/>
      <c r="L149" s="78" t="str">
        <f>IFERROR(INDEX('G-8 Condition Look up'!$A$3:$H$131,MATCH(G149,'G-8 Condition Look up'!$A$3:$A$131,0),MATCH(K149,'G-8 Condition Look up'!$A$3:$H$3,0)),"")</f>
        <v/>
      </c>
      <c r="M149" s="79"/>
      <c r="N149" s="348" t="str">
        <f>IF(M149="","",IF(VLOOKUP(M149,'G-3 Multipliers'!$L$3:$N$6,2,FALSE)=0,"Spatial Data Missing",VLOOKUP(M149,'G-3 Multipliers'!$L$3:$N$6,2,FALSE)))</f>
        <v/>
      </c>
      <c r="O149" s="569" t="str">
        <f>IF(M149="","",IF(VLOOKUP(M149,'G-3 Multipliers'!$L$3:$N$6,3,FALSE)=0,"Spatial Data Missing",VLOOKUP(M149,'G-3 Multipliers'!$L$3:$N$6,3,FALSE)))</f>
        <v/>
      </c>
      <c r="P149" s="80" t="str">
        <f>IFERROR(VLOOKUP(G149,'G-1 All Habitats'!$B$2:$M$130,12,FALSE),"")</f>
        <v/>
      </c>
      <c r="Q149" s="81" t="str">
        <f>IFERROR(IF(P149="","",IF(AND(P149='G-1 All Habitats'!$X$3,T149&gt;0),U149+V149,IF(AND(P149='G-1 All Habitats'!$X$3,S149&gt;0),U149+V149,IF(AND(P149='G-1 All Habitats'!$X$3,AC149&gt;0),"Any Loss Unacceptable",IF(AND(P149='G-1 All Habitats'!$X$3,W149&gt;0),"Any Loss Unacceptable",H149*J149*L149*O149))))),"Check Data")</f>
        <v/>
      </c>
      <c r="R149" s="55"/>
      <c r="S149" s="79"/>
      <c r="T149" s="82"/>
      <c r="U149" s="83" t="str">
        <f t="shared" si="13"/>
        <v/>
      </c>
      <c r="V149" s="83" t="str">
        <f t="shared" si="14"/>
        <v/>
      </c>
      <c r="W149" s="83" t="str">
        <f>IF(E149="","",IF(H149&lt;S149+T149,"Error in Areas",IF(P149&lt;&gt;'G-1 All Habitats'!$X$3,H149-S149-T149,IF(AND(P149='G-1 All Habitats'!$X$3,Y149="Yes"),"Unacceptable Loss",IF(AND(P149='G-1 All Habitats'!$X$3,Y149="No"),AC149,IF(AND(P149='G-1 All Habitats'!$X$3,Y149=""),AC149,IF(AND(P149='G-1 All Habitats'!$X$3,AC149="None",AC149),IF(AND(P149='G-1 All Habitats'!$X$3,AC149&gt;0),H149-S149-T149))))))))</f>
        <v/>
      </c>
      <c r="X149" s="84" t="str">
        <f>IFERROR(IF(H149="","",IF(H149-S149-T149=0&lt;0,"Error in Areas",IF(S149+T149&gt;H149,"Error in Areas",IF(AND(P149='G-1 All Habitats'!$X$3,Y149="Yes"),"Alternative Compensation",IF(W149=0,0,IF(P149='G-1 All Habitats'!$X$3,"Unacceptable Loss",Q149-U149-V149)))))),"Check Data")</f>
        <v/>
      </c>
      <c r="Y149" s="82"/>
      <c r="Z149" s="92"/>
      <c r="AA149" s="93"/>
      <c r="AC149" s="87" t="str">
        <f>IF(P149="","",IF(P149='G-1 All Habitats'!$X$3,H149-S149-T149,"None"))</f>
        <v/>
      </c>
      <c r="AD149" s="88" t="str">
        <f>IFERROR(AC149*J149*L149*#REF!*O149,IF(P149="","","None"))</f>
        <v/>
      </c>
      <c r="AF149" s="59" t="str">
        <f t="shared" si="10"/>
        <v/>
      </c>
      <c r="AG149" s="59" t="str">
        <f t="shared" si="11"/>
        <v/>
      </c>
      <c r="AH149" s="59" t="str">
        <f>IF(I149="","",IF(#REF!&gt;0,TRUE,FALSE))</f>
        <v/>
      </c>
      <c r="AI149" s="59">
        <v>139</v>
      </c>
      <c r="AJ149" s="59"/>
      <c r="AK149" s="59" t="str">
        <f t="array" ref="AK149">IFERROR(INDEX($AI$11:$AI$259, MATCH(0, IF(TRUE=$AF$11:$AF$259, COUNTIF($AK$10:$AK148, $AI$11:$AI$259), ""), 0)),"")</f>
        <v/>
      </c>
      <c r="AL149" s="59" t="str">
        <f t="array" ref="AL149">IFERROR(INDEX($AI$11:$AI$259, MATCH(0, IF(TRUE=$AG$11:$AG$259, COUNTIF($AL$10:$AL148, $AI$11:$AI$259), ""), 0)),"")</f>
        <v/>
      </c>
      <c r="AM149" s="59" t="str">
        <f t="array" ref="AM149">IFERROR(INDEX($AI$11:$AI$259, MATCH(0, IF(TRUE=$AH$11:$AH$259, COUNTIF($AM$10:$AM148, $AI$11:$AI$259), ""), 0)),"")</f>
        <v/>
      </c>
      <c r="AN149" s="59"/>
      <c r="AQ149" s="52">
        <f t="shared" si="12"/>
        <v>0</v>
      </c>
    </row>
    <row r="150" spans="1:43" x14ac:dyDescent="0.25">
      <c r="A150" s="52" t="str">
        <f>IFERROR(INDEX('G-1 All Habitats'!$AG$3:$AG$15,MATCH(E150,'G-1 All Habitats'!$AF$3:$AF$15,0)),"")</f>
        <v/>
      </c>
      <c r="B150" s="52" t="str">
        <f>IFERROR(INDEX('G-8 Condition Look up'!$I$4:$I$131,MATCH(G150,'G-8 Condition Look up'!$A$4:$A$131,0)),"")</f>
        <v/>
      </c>
      <c r="D150" s="89">
        <v>140</v>
      </c>
      <c r="E150" s="90"/>
      <c r="F150" s="91"/>
      <c r="G150" s="75" t="str">
        <f>IFERROR(INDEX('G-1 All Habitats'!$B$3:$B$130,MATCH(F150,'G-1 All Habitats'!$A$3:$A$130,0)),"")</f>
        <v/>
      </c>
      <c r="H150" s="76"/>
      <c r="I150" s="77" t="str">
        <f>IF(G150="","",VLOOKUP(G150,'G-1 All Habitats'!$B$2:$M$130,10,FALSE))</f>
        <v/>
      </c>
      <c r="J150" s="78" t="str">
        <f>IFERROR(VLOOKUP(I150,'G-1 All Habitats'!$V$3:$W$7,2,FALSE),"")</f>
        <v/>
      </c>
      <c r="K150" s="79"/>
      <c r="L150" s="78" t="str">
        <f>IFERROR(INDEX('G-8 Condition Look up'!$A$3:$H$131,MATCH(G150,'G-8 Condition Look up'!$A$3:$A$131,0),MATCH(K150,'G-8 Condition Look up'!$A$3:$H$3,0)),"")</f>
        <v/>
      </c>
      <c r="M150" s="79"/>
      <c r="N150" s="348" t="str">
        <f>IF(M150="","",IF(VLOOKUP(M150,'G-3 Multipliers'!$L$3:$N$6,2,FALSE)=0,"Spatial Data Missing",VLOOKUP(M150,'G-3 Multipliers'!$L$3:$N$6,2,FALSE)))</f>
        <v/>
      </c>
      <c r="O150" s="569" t="str">
        <f>IF(M150="","",IF(VLOOKUP(M150,'G-3 Multipliers'!$L$3:$N$6,3,FALSE)=0,"Spatial Data Missing",VLOOKUP(M150,'G-3 Multipliers'!$L$3:$N$6,3,FALSE)))</f>
        <v/>
      </c>
      <c r="P150" s="80" t="str">
        <f>IFERROR(VLOOKUP(G150,'G-1 All Habitats'!$B$2:$M$130,12,FALSE),"")</f>
        <v/>
      </c>
      <c r="Q150" s="81" t="str">
        <f>IFERROR(IF(P150="","",IF(AND(P150='G-1 All Habitats'!$X$3,T150&gt;0),U150+V150,IF(AND(P150='G-1 All Habitats'!$X$3,S150&gt;0),U150+V150,IF(AND(P150='G-1 All Habitats'!$X$3,AC150&gt;0),"Any Loss Unacceptable",IF(AND(P150='G-1 All Habitats'!$X$3,W150&gt;0),"Any Loss Unacceptable",H150*J150*L150*O150))))),"Check Data")</f>
        <v/>
      </c>
      <c r="R150" s="55"/>
      <c r="S150" s="79"/>
      <c r="T150" s="82"/>
      <c r="U150" s="83" t="str">
        <f t="shared" si="13"/>
        <v/>
      </c>
      <c r="V150" s="83" t="str">
        <f t="shared" si="14"/>
        <v/>
      </c>
      <c r="W150" s="83" t="str">
        <f>IF(E150="","",IF(H150&lt;S150+T150,"Error in Areas",IF(P150&lt;&gt;'G-1 All Habitats'!$X$3,H150-S150-T150,IF(AND(P150='G-1 All Habitats'!$X$3,Y150="Yes"),"Unacceptable Loss",IF(AND(P150='G-1 All Habitats'!$X$3,Y150="No"),AC150,IF(AND(P150='G-1 All Habitats'!$X$3,Y150=""),AC150,IF(AND(P150='G-1 All Habitats'!$X$3,AC150="None",AC150),IF(AND(P150='G-1 All Habitats'!$X$3,AC150&gt;0),H150-S150-T150))))))))</f>
        <v/>
      </c>
      <c r="X150" s="84" t="str">
        <f>IFERROR(IF(H150="","",IF(H150-S150-T150=0&lt;0,"Error in Areas",IF(S150+T150&gt;H150,"Error in Areas",IF(AND(P150='G-1 All Habitats'!$X$3,Y150="Yes"),"Alternative Compensation",IF(W150=0,0,IF(P150='G-1 All Habitats'!$X$3,"Unacceptable Loss",Q150-U150-V150)))))),"Check Data")</f>
        <v/>
      </c>
      <c r="Y150" s="82"/>
      <c r="Z150" s="92"/>
      <c r="AA150" s="93"/>
      <c r="AC150" s="87" t="str">
        <f>IF(P150="","",IF(P150='G-1 All Habitats'!$X$3,H150-S150-T150,"None"))</f>
        <v/>
      </c>
      <c r="AD150" s="88" t="str">
        <f>IFERROR(AC150*J150*L150*#REF!*O150,IF(P150="","","None"))</f>
        <v/>
      </c>
      <c r="AF150" s="59" t="str">
        <f t="shared" si="10"/>
        <v/>
      </c>
      <c r="AG150" s="59" t="str">
        <f t="shared" si="11"/>
        <v/>
      </c>
      <c r="AH150" s="59" t="str">
        <f>IF(I150="","",IF(#REF!&gt;0,TRUE,FALSE))</f>
        <v/>
      </c>
      <c r="AI150" s="59">
        <v>140</v>
      </c>
      <c r="AJ150" s="59"/>
      <c r="AK150" s="59" t="str">
        <f t="array" ref="AK150">IFERROR(INDEX($AI$11:$AI$259, MATCH(0, IF(TRUE=$AF$11:$AF$259, COUNTIF($AK$10:$AK149, $AI$11:$AI$259), ""), 0)),"")</f>
        <v/>
      </c>
      <c r="AL150" s="59" t="str">
        <f t="array" ref="AL150">IFERROR(INDEX($AI$11:$AI$259, MATCH(0, IF(TRUE=$AG$11:$AG$259, COUNTIF($AL$10:$AL149, $AI$11:$AI$259), ""), 0)),"")</f>
        <v/>
      </c>
      <c r="AM150" s="59" t="str">
        <f t="array" ref="AM150">IFERROR(INDEX($AI$11:$AI$259, MATCH(0, IF(TRUE=$AH$11:$AH$259, COUNTIF($AM$10:$AM149, $AI$11:$AI$259), ""), 0)),"")</f>
        <v/>
      </c>
      <c r="AN150" s="59"/>
      <c r="AQ150" s="52">
        <f t="shared" si="12"/>
        <v>0</v>
      </c>
    </row>
    <row r="151" spans="1:43" x14ac:dyDescent="0.25">
      <c r="A151" s="52" t="str">
        <f>IFERROR(INDEX('G-1 All Habitats'!$AG$3:$AG$15,MATCH(E151,'G-1 All Habitats'!$AF$3:$AF$15,0)),"")</f>
        <v/>
      </c>
      <c r="B151" s="52" t="str">
        <f>IFERROR(INDEX('G-8 Condition Look up'!$I$4:$I$131,MATCH(G151,'G-8 Condition Look up'!$A$4:$A$131,0)),"")</f>
        <v/>
      </c>
      <c r="D151" s="89">
        <v>141</v>
      </c>
      <c r="E151" s="90"/>
      <c r="F151" s="91"/>
      <c r="G151" s="75" t="str">
        <f>IFERROR(INDEX('G-1 All Habitats'!$B$3:$B$130,MATCH(F151,'G-1 All Habitats'!$A$3:$A$130,0)),"")</f>
        <v/>
      </c>
      <c r="H151" s="76"/>
      <c r="I151" s="77" t="str">
        <f>IF(G151="","",VLOOKUP(G151,'G-1 All Habitats'!$B$2:$M$130,10,FALSE))</f>
        <v/>
      </c>
      <c r="J151" s="78" t="str">
        <f>IFERROR(VLOOKUP(I151,'G-1 All Habitats'!$V$3:$W$7,2,FALSE),"")</f>
        <v/>
      </c>
      <c r="K151" s="79"/>
      <c r="L151" s="78" t="str">
        <f>IFERROR(INDEX('G-8 Condition Look up'!$A$3:$H$131,MATCH(G151,'G-8 Condition Look up'!$A$3:$A$131,0),MATCH(K151,'G-8 Condition Look up'!$A$3:$H$3,0)),"")</f>
        <v/>
      </c>
      <c r="M151" s="79"/>
      <c r="N151" s="348" t="str">
        <f>IF(M151="","",IF(VLOOKUP(M151,'G-3 Multipliers'!$L$3:$N$6,2,FALSE)=0,"Spatial Data Missing",VLOOKUP(M151,'G-3 Multipliers'!$L$3:$N$6,2,FALSE)))</f>
        <v/>
      </c>
      <c r="O151" s="569" t="str">
        <f>IF(M151="","",IF(VLOOKUP(M151,'G-3 Multipliers'!$L$3:$N$6,3,FALSE)=0,"Spatial Data Missing",VLOOKUP(M151,'G-3 Multipliers'!$L$3:$N$6,3,FALSE)))</f>
        <v/>
      </c>
      <c r="P151" s="80" t="str">
        <f>IFERROR(VLOOKUP(G151,'G-1 All Habitats'!$B$2:$M$130,12,FALSE),"")</f>
        <v/>
      </c>
      <c r="Q151" s="81" t="str">
        <f>IFERROR(IF(P151="","",IF(AND(P151='G-1 All Habitats'!$X$3,T151&gt;0),U151+V151,IF(AND(P151='G-1 All Habitats'!$X$3,S151&gt;0),U151+V151,IF(AND(P151='G-1 All Habitats'!$X$3,AC151&gt;0),"Any Loss Unacceptable",IF(AND(P151='G-1 All Habitats'!$X$3,W151&gt;0),"Any Loss Unacceptable",H151*J151*L151*O151))))),"Check Data")</f>
        <v/>
      </c>
      <c r="R151" s="55"/>
      <c r="S151" s="79"/>
      <c r="T151" s="82"/>
      <c r="U151" s="83" t="str">
        <f t="shared" si="13"/>
        <v/>
      </c>
      <c r="V151" s="83" t="str">
        <f t="shared" si="14"/>
        <v/>
      </c>
      <c r="W151" s="83" t="str">
        <f>IF(E151="","",IF(H151&lt;S151+T151,"Error in Areas",IF(P151&lt;&gt;'G-1 All Habitats'!$X$3,H151-S151-T151,IF(AND(P151='G-1 All Habitats'!$X$3,Y151="Yes"),"Unacceptable Loss",IF(AND(P151='G-1 All Habitats'!$X$3,Y151="No"),AC151,IF(AND(P151='G-1 All Habitats'!$X$3,Y151=""),AC151,IF(AND(P151='G-1 All Habitats'!$X$3,AC151="None",AC151),IF(AND(P151='G-1 All Habitats'!$X$3,AC151&gt;0),H151-S151-T151))))))))</f>
        <v/>
      </c>
      <c r="X151" s="84" t="str">
        <f>IFERROR(IF(H151="","",IF(H151-S151-T151=0&lt;0,"Error in Areas",IF(S151+T151&gt;H151,"Error in Areas",IF(AND(P151='G-1 All Habitats'!$X$3,Y151="Yes"),"Alternative Compensation",IF(W151=0,0,IF(P151='G-1 All Habitats'!$X$3,"Unacceptable Loss",Q151-U151-V151)))))),"Check Data")</f>
        <v/>
      </c>
      <c r="Y151" s="82"/>
      <c r="Z151" s="92"/>
      <c r="AA151" s="93"/>
      <c r="AC151" s="87" t="str">
        <f>IF(P151="","",IF(P151='G-1 All Habitats'!$X$3,H151-S151-T151,"None"))</f>
        <v/>
      </c>
      <c r="AD151" s="88" t="str">
        <f>IFERROR(AC151*J151*L151*#REF!*O151,IF(P151="","","None"))</f>
        <v/>
      </c>
      <c r="AF151" s="59" t="str">
        <f t="shared" si="10"/>
        <v/>
      </c>
      <c r="AG151" s="59" t="str">
        <f t="shared" si="11"/>
        <v/>
      </c>
      <c r="AH151" s="59" t="str">
        <f>IF(I151="","",IF(#REF!&gt;0,TRUE,FALSE))</f>
        <v/>
      </c>
      <c r="AI151" s="59">
        <v>141</v>
      </c>
      <c r="AJ151" s="59"/>
      <c r="AK151" s="59" t="str">
        <f t="array" ref="AK151">IFERROR(INDEX($AI$11:$AI$259, MATCH(0, IF(TRUE=$AF$11:$AF$259, COUNTIF($AK$10:$AK150, $AI$11:$AI$259), ""), 0)),"")</f>
        <v/>
      </c>
      <c r="AL151" s="59" t="str">
        <f t="array" ref="AL151">IFERROR(INDEX($AI$11:$AI$259, MATCH(0, IF(TRUE=$AG$11:$AG$259, COUNTIF($AL$10:$AL150, $AI$11:$AI$259), ""), 0)),"")</f>
        <v/>
      </c>
      <c r="AM151" s="59" t="str">
        <f t="array" ref="AM151">IFERROR(INDEX($AI$11:$AI$259, MATCH(0, IF(TRUE=$AH$11:$AH$259, COUNTIF($AM$10:$AM150, $AI$11:$AI$259), ""), 0)),"")</f>
        <v/>
      </c>
      <c r="AN151" s="59"/>
      <c r="AQ151" s="52">
        <f t="shared" si="12"/>
        <v>0</v>
      </c>
    </row>
    <row r="152" spans="1:43" x14ac:dyDescent="0.25">
      <c r="A152" s="52" t="str">
        <f>IFERROR(INDEX('G-1 All Habitats'!$AG$3:$AG$15,MATCH(E152,'G-1 All Habitats'!$AF$3:$AF$15,0)),"")</f>
        <v/>
      </c>
      <c r="B152" s="52" t="str">
        <f>IFERROR(INDEX('G-8 Condition Look up'!$I$4:$I$131,MATCH(G152,'G-8 Condition Look up'!$A$4:$A$131,0)),"")</f>
        <v/>
      </c>
      <c r="D152" s="89">
        <v>142</v>
      </c>
      <c r="E152" s="90"/>
      <c r="F152" s="91"/>
      <c r="G152" s="75" t="str">
        <f>IFERROR(INDEX('G-1 All Habitats'!$B$3:$B$130,MATCH(F152,'G-1 All Habitats'!$A$3:$A$130,0)),"")</f>
        <v/>
      </c>
      <c r="H152" s="76"/>
      <c r="I152" s="77" t="str">
        <f>IF(G152="","",VLOOKUP(G152,'G-1 All Habitats'!$B$2:$M$130,10,FALSE))</f>
        <v/>
      </c>
      <c r="J152" s="78" t="str">
        <f>IFERROR(VLOOKUP(I152,'G-1 All Habitats'!$V$3:$W$7,2,FALSE),"")</f>
        <v/>
      </c>
      <c r="K152" s="79"/>
      <c r="L152" s="78" t="str">
        <f>IFERROR(INDEX('G-8 Condition Look up'!$A$3:$H$131,MATCH(G152,'G-8 Condition Look up'!$A$3:$A$131,0),MATCH(K152,'G-8 Condition Look up'!$A$3:$H$3,0)),"")</f>
        <v/>
      </c>
      <c r="M152" s="79"/>
      <c r="N152" s="348" t="str">
        <f>IF(M152="","",IF(VLOOKUP(M152,'G-3 Multipliers'!$L$3:$N$6,2,FALSE)=0,"Spatial Data Missing",VLOOKUP(M152,'G-3 Multipliers'!$L$3:$N$6,2,FALSE)))</f>
        <v/>
      </c>
      <c r="O152" s="569" t="str">
        <f>IF(M152="","",IF(VLOOKUP(M152,'G-3 Multipliers'!$L$3:$N$6,3,FALSE)=0,"Spatial Data Missing",VLOOKUP(M152,'G-3 Multipliers'!$L$3:$N$6,3,FALSE)))</f>
        <v/>
      </c>
      <c r="P152" s="80" t="str">
        <f>IFERROR(VLOOKUP(G152,'G-1 All Habitats'!$B$2:$M$130,12,FALSE),"")</f>
        <v/>
      </c>
      <c r="Q152" s="81" t="str">
        <f>IFERROR(IF(P152="","",IF(AND(P152='G-1 All Habitats'!$X$3,T152&gt;0),U152+V152,IF(AND(P152='G-1 All Habitats'!$X$3,S152&gt;0),U152+V152,IF(AND(P152='G-1 All Habitats'!$X$3,AC152&gt;0),"Any Loss Unacceptable",IF(AND(P152='G-1 All Habitats'!$X$3,W152&gt;0),"Any Loss Unacceptable",H152*J152*L152*O152))))),"Check Data")</f>
        <v/>
      </c>
      <c r="R152" s="55"/>
      <c r="S152" s="79"/>
      <c r="T152" s="82"/>
      <c r="U152" s="83" t="str">
        <f t="shared" si="13"/>
        <v/>
      </c>
      <c r="V152" s="83" t="str">
        <f t="shared" si="14"/>
        <v/>
      </c>
      <c r="W152" s="83" t="str">
        <f>IF(E152="","",IF(H152&lt;S152+T152,"Error in Areas",IF(P152&lt;&gt;'G-1 All Habitats'!$X$3,H152-S152-T152,IF(AND(P152='G-1 All Habitats'!$X$3,Y152="Yes"),"Unacceptable Loss",IF(AND(P152='G-1 All Habitats'!$X$3,Y152="No"),AC152,IF(AND(P152='G-1 All Habitats'!$X$3,Y152=""),AC152,IF(AND(P152='G-1 All Habitats'!$X$3,AC152="None",AC152),IF(AND(P152='G-1 All Habitats'!$X$3,AC152&gt;0),H152-S152-T152))))))))</f>
        <v/>
      </c>
      <c r="X152" s="84" t="str">
        <f>IFERROR(IF(H152="","",IF(H152-S152-T152=0&lt;0,"Error in Areas",IF(S152+T152&gt;H152,"Error in Areas",IF(AND(P152='G-1 All Habitats'!$X$3,Y152="Yes"),"Alternative Compensation",IF(W152=0,0,IF(P152='G-1 All Habitats'!$X$3,"Unacceptable Loss",Q152-U152-V152)))))),"Check Data")</f>
        <v/>
      </c>
      <c r="Y152" s="82"/>
      <c r="Z152" s="92"/>
      <c r="AA152" s="93"/>
      <c r="AC152" s="87" t="str">
        <f>IF(P152="","",IF(P152='G-1 All Habitats'!$X$3,H152-S152-T152,"None"))</f>
        <v/>
      </c>
      <c r="AD152" s="88" t="str">
        <f>IFERROR(AC152*J152*L152*#REF!*O152,IF(P152="","","None"))</f>
        <v/>
      </c>
      <c r="AF152" s="59" t="str">
        <f t="shared" si="10"/>
        <v/>
      </c>
      <c r="AG152" s="59" t="str">
        <f t="shared" si="11"/>
        <v/>
      </c>
      <c r="AH152" s="59" t="str">
        <f>IF(I152="","",IF(#REF!&gt;0,TRUE,FALSE))</f>
        <v/>
      </c>
      <c r="AI152" s="59">
        <v>142</v>
      </c>
      <c r="AJ152" s="59"/>
      <c r="AK152" s="59" t="str">
        <f t="array" ref="AK152">IFERROR(INDEX($AI$11:$AI$259, MATCH(0, IF(TRUE=$AF$11:$AF$259, COUNTIF($AK$10:$AK151, $AI$11:$AI$259), ""), 0)),"")</f>
        <v/>
      </c>
      <c r="AL152" s="59" t="str">
        <f t="array" ref="AL152">IFERROR(INDEX($AI$11:$AI$259, MATCH(0, IF(TRUE=$AG$11:$AG$259, COUNTIF($AL$10:$AL151, $AI$11:$AI$259), ""), 0)),"")</f>
        <v/>
      </c>
      <c r="AM152" s="59" t="str">
        <f t="array" ref="AM152">IFERROR(INDEX($AI$11:$AI$259, MATCH(0, IF(TRUE=$AH$11:$AH$259, COUNTIF($AM$10:$AM151, $AI$11:$AI$259), ""), 0)),"")</f>
        <v/>
      </c>
      <c r="AN152" s="59"/>
      <c r="AQ152" s="52">
        <f t="shared" si="12"/>
        <v>0</v>
      </c>
    </row>
    <row r="153" spans="1:43" x14ac:dyDescent="0.25">
      <c r="A153" s="52" t="str">
        <f>IFERROR(INDEX('G-1 All Habitats'!$AG$3:$AG$15,MATCH(E153,'G-1 All Habitats'!$AF$3:$AF$15,0)),"")</f>
        <v/>
      </c>
      <c r="B153" s="52" t="str">
        <f>IFERROR(INDEX('G-8 Condition Look up'!$I$4:$I$131,MATCH(G153,'G-8 Condition Look up'!$A$4:$A$131,0)),"")</f>
        <v/>
      </c>
      <c r="D153" s="89">
        <v>143</v>
      </c>
      <c r="E153" s="90"/>
      <c r="F153" s="91"/>
      <c r="G153" s="75" t="str">
        <f>IFERROR(INDEX('G-1 All Habitats'!$B$3:$B$130,MATCH(F153,'G-1 All Habitats'!$A$3:$A$130,0)),"")</f>
        <v/>
      </c>
      <c r="H153" s="76"/>
      <c r="I153" s="77" t="str">
        <f>IF(G153="","",VLOOKUP(G153,'G-1 All Habitats'!$B$2:$M$130,10,FALSE))</f>
        <v/>
      </c>
      <c r="J153" s="78" t="str">
        <f>IFERROR(VLOOKUP(I153,'G-1 All Habitats'!$V$3:$W$7,2,FALSE),"")</f>
        <v/>
      </c>
      <c r="K153" s="79"/>
      <c r="L153" s="78" t="str">
        <f>IFERROR(INDEX('G-8 Condition Look up'!$A$3:$H$131,MATCH(G153,'G-8 Condition Look up'!$A$3:$A$131,0),MATCH(K153,'G-8 Condition Look up'!$A$3:$H$3,0)),"")</f>
        <v/>
      </c>
      <c r="M153" s="79"/>
      <c r="N153" s="348" t="str">
        <f>IF(M153="","",IF(VLOOKUP(M153,'G-3 Multipliers'!$L$3:$N$6,2,FALSE)=0,"Spatial Data Missing",VLOOKUP(M153,'G-3 Multipliers'!$L$3:$N$6,2,FALSE)))</f>
        <v/>
      </c>
      <c r="O153" s="569" t="str">
        <f>IF(M153="","",IF(VLOOKUP(M153,'G-3 Multipliers'!$L$3:$N$6,3,FALSE)=0,"Spatial Data Missing",VLOOKUP(M153,'G-3 Multipliers'!$L$3:$N$6,3,FALSE)))</f>
        <v/>
      </c>
      <c r="P153" s="80" t="str">
        <f>IFERROR(VLOOKUP(G153,'G-1 All Habitats'!$B$2:$M$130,12,FALSE),"")</f>
        <v/>
      </c>
      <c r="Q153" s="81" t="str">
        <f>IFERROR(IF(P153="","",IF(AND(P153='G-1 All Habitats'!$X$3,T153&gt;0),U153+V153,IF(AND(P153='G-1 All Habitats'!$X$3,S153&gt;0),U153+V153,IF(AND(P153='G-1 All Habitats'!$X$3,AC153&gt;0),"Any Loss Unacceptable",IF(AND(P153='G-1 All Habitats'!$X$3,W153&gt;0),"Any Loss Unacceptable",H153*J153*L153*O153))))),"Check Data")</f>
        <v/>
      </c>
      <c r="R153" s="55"/>
      <c r="S153" s="79"/>
      <c r="T153" s="82"/>
      <c r="U153" s="83" t="str">
        <f t="shared" si="13"/>
        <v/>
      </c>
      <c r="V153" s="83" t="str">
        <f t="shared" si="14"/>
        <v/>
      </c>
      <c r="W153" s="83" t="str">
        <f>IF(E153="","",IF(H153&lt;S153+T153,"Error in Areas",IF(P153&lt;&gt;'G-1 All Habitats'!$X$3,H153-S153-T153,IF(AND(P153='G-1 All Habitats'!$X$3,Y153="Yes"),"Unacceptable Loss",IF(AND(P153='G-1 All Habitats'!$X$3,Y153="No"),AC153,IF(AND(P153='G-1 All Habitats'!$X$3,Y153=""),AC153,IF(AND(P153='G-1 All Habitats'!$X$3,AC153="None",AC153),IF(AND(P153='G-1 All Habitats'!$X$3,AC153&gt;0),H153-S153-T153))))))))</f>
        <v/>
      </c>
      <c r="X153" s="84" t="str">
        <f>IFERROR(IF(H153="","",IF(H153-S153-T153=0&lt;0,"Error in Areas",IF(S153+T153&gt;H153,"Error in Areas",IF(AND(P153='G-1 All Habitats'!$X$3,Y153="Yes"),"Alternative Compensation",IF(W153=0,0,IF(P153='G-1 All Habitats'!$X$3,"Unacceptable Loss",Q153-U153-V153)))))),"Check Data")</f>
        <v/>
      </c>
      <c r="Y153" s="82"/>
      <c r="Z153" s="92"/>
      <c r="AA153" s="93"/>
      <c r="AC153" s="87" t="str">
        <f>IF(P153="","",IF(P153='G-1 All Habitats'!$X$3,H153-S153-T153,"None"))</f>
        <v/>
      </c>
      <c r="AD153" s="88" t="str">
        <f>IFERROR(AC153*J153*L153*#REF!*O153,IF(P153="","","None"))</f>
        <v/>
      </c>
      <c r="AF153" s="59" t="str">
        <f t="shared" si="10"/>
        <v/>
      </c>
      <c r="AG153" s="59" t="str">
        <f t="shared" si="11"/>
        <v/>
      </c>
      <c r="AH153" s="59" t="str">
        <f>IF(I153="","",IF(#REF!&gt;0,TRUE,FALSE))</f>
        <v/>
      </c>
      <c r="AI153" s="59">
        <v>143</v>
      </c>
      <c r="AJ153" s="59"/>
      <c r="AK153" s="59" t="str">
        <f t="array" ref="AK153">IFERROR(INDEX($AI$11:$AI$259, MATCH(0, IF(TRUE=$AF$11:$AF$259, COUNTIF($AK$10:$AK152, $AI$11:$AI$259), ""), 0)),"")</f>
        <v/>
      </c>
      <c r="AL153" s="59" t="str">
        <f t="array" ref="AL153">IFERROR(INDEX($AI$11:$AI$259, MATCH(0, IF(TRUE=$AG$11:$AG$259, COUNTIF($AL$10:$AL152, $AI$11:$AI$259), ""), 0)),"")</f>
        <v/>
      </c>
      <c r="AM153" s="59" t="str">
        <f t="array" ref="AM153">IFERROR(INDEX($AI$11:$AI$259, MATCH(0, IF(TRUE=$AH$11:$AH$259, COUNTIF($AM$10:$AM152, $AI$11:$AI$259), ""), 0)),"")</f>
        <v/>
      </c>
      <c r="AN153" s="59"/>
      <c r="AQ153" s="52">
        <f t="shared" si="12"/>
        <v>0</v>
      </c>
    </row>
    <row r="154" spans="1:43" x14ac:dyDescent="0.25">
      <c r="A154" s="52" t="str">
        <f>IFERROR(INDEX('G-1 All Habitats'!$AG$3:$AG$15,MATCH(E154,'G-1 All Habitats'!$AF$3:$AF$15,0)),"")</f>
        <v/>
      </c>
      <c r="B154" s="52" t="str">
        <f>IFERROR(INDEX('G-8 Condition Look up'!$I$4:$I$131,MATCH(G154,'G-8 Condition Look up'!$A$4:$A$131,0)),"")</f>
        <v/>
      </c>
      <c r="D154" s="89">
        <v>144</v>
      </c>
      <c r="E154" s="90"/>
      <c r="F154" s="91"/>
      <c r="G154" s="75" t="str">
        <f>IFERROR(INDEX('G-1 All Habitats'!$B$3:$B$130,MATCH(F154,'G-1 All Habitats'!$A$3:$A$130,0)),"")</f>
        <v/>
      </c>
      <c r="H154" s="76"/>
      <c r="I154" s="77" t="str">
        <f>IF(G154="","",VLOOKUP(G154,'G-1 All Habitats'!$B$2:$M$130,10,FALSE))</f>
        <v/>
      </c>
      <c r="J154" s="78" t="str">
        <f>IFERROR(VLOOKUP(I154,'G-1 All Habitats'!$V$3:$W$7,2,FALSE),"")</f>
        <v/>
      </c>
      <c r="K154" s="79"/>
      <c r="L154" s="78" t="str">
        <f>IFERROR(INDEX('G-8 Condition Look up'!$A$3:$H$131,MATCH(G154,'G-8 Condition Look up'!$A$3:$A$131,0),MATCH(K154,'G-8 Condition Look up'!$A$3:$H$3,0)),"")</f>
        <v/>
      </c>
      <c r="M154" s="79"/>
      <c r="N154" s="348" t="str">
        <f>IF(M154="","",IF(VLOOKUP(M154,'G-3 Multipliers'!$L$3:$N$6,2,FALSE)=0,"Spatial Data Missing",VLOOKUP(M154,'G-3 Multipliers'!$L$3:$N$6,2,FALSE)))</f>
        <v/>
      </c>
      <c r="O154" s="569" t="str">
        <f>IF(M154="","",IF(VLOOKUP(M154,'G-3 Multipliers'!$L$3:$N$6,3,FALSE)=0,"Spatial Data Missing",VLOOKUP(M154,'G-3 Multipliers'!$L$3:$N$6,3,FALSE)))</f>
        <v/>
      </c>
      <c r="P154" s="80" t="str">
        <f>IFERROR(VLOOKUP(G154,'G-1 All Habitats'!$B$2:$M$130,12,FALSE),"")</f>
        <v/>
      </c>
      <c r="Q154" s="81" t="str">
        <f>IFERROR(IF(P154="","",IF(AND(P154='G-1 All Habitats'!$X$3,T154&gt;0),U154+V154,IF(AND(P154='G-1 All Habitats'!$X$3,S154&gt;0),U154+V154,IF(AND(P154='G-1 All Habitats'!$X$3,AC154&gt;0),"Any Loss Unacceptable",IF(AND(P154='G-1 All Habitats'!$X$3,W154&gt;0),"Any Loss Unacceptable",H154*J154*L154*O154))))),"Check Data")</f>
        <v/>
      </c>
      <c r="R154" s="55"/>
      <c r="S154" s="79"/>
      <c r="T154" s="82"/>
      <c r="U154" s="83" t="str">
        <f t="shared" si="13"/>
        <v/>
      </c>
      <c r="V154" s="83" t="str">
        <f t="shared" si="14"/>
        <v/>
      </c>
      <c r="W154" s="83" t="str">
        <f>IF(E154="","",IF(H154&lt;S154+T154,"Error in Areas",IF(P154&lt;&gt;'G-1 All Habitats'!$X$3,H154-S154-T154,IF(AND(P154='G-1 All Habitats'!$X$3,Y154="Yes"),"Unacceptable Loss",IF(AND(P154='G-1 All Habitats'!$X$3,Y154="No"),AC154,IF(AND(P154='G-1 All Habitats'!$X$3,Y154=""),AC154,IF(AND(P154='G-1 All Habitats'!$X$3,AC154="None",AC154),IF(AND(P154='G-1 All Habitats'!$X$3,AC154&gt;0),H154-S154-T154))))))))</f>
        <v/>
      </c>
      <c r="X154" s="84" t="str">
        <f>IFERROR(IF(H154="","",IF(H154-S154-T154=0&lt;0,"Error in Areas",IF(S154+T154&gt;H154,"Error in Areas",IF(AND(P154='G-1 All Habitats'!$X$3,Y154="Yes"),"Alternative Compensation",IF(W154=0,0,IF(P154='G-1 All Habitats'!$X$3,"Unacceptable Loss",Q154-U154-V154)))))),"Check Data")</f>
        <v/>
      </c>
      <c r="Y154" s="82"/>
      <c r="Z154" s="92"/>
      <c r="AA154" s="93"/>
      <c r="AC154" s="87" t="str">
        <f>IF(P154="","",IF(P154='G-1 All Habitats'!$X$3,H154-S154-T154,"None"))</f>
        <v/>
      </c>
      <c r="AD154" s="88" t="str">
        <f>IFERROR(AC154*J154*L154*#REF!*O154,IF(P154="","","None"))</f>
        <v/>
      </c>
      <c r="AF154" s="59" t="str">
        <f t="shared" si="10"/>
        <v/>
      </c>
      <c r="AG154" s="59" t="str">
        <f t="shared" si="11"/>
        <v/>
      </c>
      <c r="AH154" s="59" t="str">
        <f>IF(I154="","",IF(#REF!&gt;0,TRUE,FALSE))</f>
        <v/>
      </c>
      <c r="AI154" s="59">
        <v>144</v>
      </c>
      <c r="AJ154" s="59"/>
      <c r="AK154" s="59" t="str">
        <f t="array" ref="AK154">IFERROR(INDEX($AI$11:$AI$259, MATCH(0, IF(TRUE=$AF$11:$AF$259, COUNTIF($AK$10:$AK153, $AI$11:$AI$259), ""), 0)),"")</f>
        <v/>
      </c>
      <c r="AL154" s="59" t="str">
        <f t="array" ref="AL154">IFERROR(INDEX($AI$11:$AI$259, MATCH(0, IF(TRUE=$AG$11:$AG$259, COUNTIF($AL$10:$AL153, $AI$11:$AI$259), ""), 0)),"")</f>
        <v/>
      </c>
      <c r="AM154" s="59" t="str">
        <f t="array" ref="AM154">IFERROR(INDEX($AI$11:$AI$259, MATCH(0, IF(TRUE=$AH$11:$AH$259, COUNTIF($AM$10:$AM153, $AI$11:$AI$259), ""), 0)),"")</f>
        <v/>
      </c>
      <c r="AN154" s="59"/>
      <c r="AQ154" s="52">
        <f t="shared" si="12"/>
        <v>0</v>
      </c>
    </row>
    <row r="155" spans="1:43" x14ac:dyDescent="0.25">
      <c r="A155" s="52" t="str">
        <f>IFERROR(INDEX('G-1 All Habitats'!$AG$3:$AG$15,MATCH(E155,'G-1 All Habitats'!$AF$3:$AF$15,0)),"")</f>
        <v/>
      </c>
      <c r="B155" s="52" t="str">
        <f>IFERROR(INDEX('G-8 Condition Look up'!$I$4:$I$131,MATCH(G155,'G-8 Condition Look up'!$A$4:$A$131,0)),"")</f>
        <v/>
      </c>
      <c r="D155" s="89">
        <v>145</v>
      </c>
      <c r="E155" s="90"/>
      <c r="F155" s="91"/>
      <c r="G155" s="75" t="str">
        <f>IFERROR(INDEX('G-1 All Habitats'!$B$3:$B$130,MATCH(F155,'G-1 All Habitats'!$A$3:$A$130,0)),"")</f>
        <v/>
      </c>
      <c r="H155" s="76"/>
      <c r="I155" s="77" t="str">
        <f>IF(G155="","",VLOOKUP(G155,'G-1 All Habitats'!$B$2:$M$130,10,FALSE))</f>
        <v/>
      </c>
      <c r="J155" s="78" t="str">
        <f>IFERROR(VLOOKUP(I155,'G-1 All Habitats'!$V$3:$W$7,2,FALSE),"")</f>
        <v/>
      </c>
      <c r="K155" s="79"/>
      <c r="L155" s="78" t="str">
        <f>IFERROR(INDEX('G-8 Condition Look up'!$A$3:$H$131,MATCH(G155,'G-8 Condition Look up'!$A$3:$A$131,0),MATCH(K155,'G-8 Condition Look up'!$A$3:$H$3,0)),"")</f>
        <v/>
      </c>
      <c r="M155" s="79"/>
      <c r="N155" s="348" t="str">
        <f>IF(M155="","",IF(VLOOKUP(M155,'G-3 Multipliers'!$L$3:$N$6,2,FALSE)=0,"Spatial Data Missing",VLOOKUP(M155,'G-3 Multipliers'!$L$3:$N$6,2,FALSE)))</f>
        <v/>
      </c>
      <c r="O155" s="569" t="str">
        <f>IF(M155="","",IF(VLOOKUP(M155,'G-3 Multipliers'!$L$3:$N$6,3,FALSE)=0,"Spatial Data Missing",VLOOKUP(M155,'G-3 Multipliers'!$L$3:$N$6,3,FALSE)))</f>
        <v/>
      </c>
      <c r="P155" s="80" t="str">
        <f>IFERROR(VLOOKUP(G155,'G-1 All Habitats'!$B$2:$M$130,12,FALSE),"")</f>
        <v/>
      </c>
      <c r="Q155" s="81" t="str">
        <f>IFERROR(IF(P155="","",IF(AND(P155='G-1 All Habitats'!$X$3,T155&gt;0),U155+V155,IF(AND(P155='G-1 All Habitats'!$X$3,S155&gt;0),U155+V155,IF(AND(P155='G-1 All Habitats'!$X$3,AC155&gt;0),"Any Loss Unacceptable",IF(AND(P155='G-1 All Habitats'!$X$3,W155&gt;0),"Any Loss Unacceptable",H155*J155*L155*O155))))),"Check Data")</f>
        <v/>
      </c>
      <c r="R155" s="55"/>
      <c r="S155" s="79"/>
      <c r="T155" s="82"/>
      <c r="U155" s="83" t="str">
        <f t="shared" si="13"/>
        <v/>
      </c>
      <c r="V155" s="83" t="str">
        <f t="shared" si="14"/>
        <v/>
      </c>
      <c r="W155" s="83" t="str">
        <f>IF(E155="","",IF(H155&lt;S155+T155,"Error in Areas",IF(P155&lt;&gt;'G-1 All Habitats'!$X$3,H155-S155-T155,IF(AND(P155='G-1 All Habitats'!$X$3,Y155="Yes"),"Unacceptable Loss",IF(AND(P155='G-1 All Habitats'!$X$3,Y155="No"),AC155,IF(AND(P155='G-1 All Habitats'!$X$3,Y155=""),AC155,IF(AND(P155='G-1 All Habitats'!$X$3,AC155="None",AC155),IF(AND(P155='G-1 All Habitats'!$X$3,AC155&gt;0),H155-S155-T155))))))))</f>
        <v/>
      </c>
      <c r="X155" s="84" t="str">
        <f>IFERROR(IF(H155="","",IF(H155-S155-T155=0&lt;0,"Error in Areas",IF(S155+T155&gt;H155,"Error in Areas",IF(AND(P155='G-1 All Habitats'!$X$3,Y155="Yes"),"Alternative Compensation",IF(W155=0,0,IF(P155='G-1 All Habitats'!$X$3,"Unacceptable Loss",Q155-U155-V155)))))),"Check Data")</f>
        <v/>
      </c>
      <c r="Y155" s="82"/>
      <c r="Z155" s="92"/>
      <c r="AA155" s="93"/>
      <c r="AC155" s="87" t="str">
        <f>IF(P155="","",IF(P155='G-1 All Habitats'!$X$3,H155-S155-T155,"None"))</f>
        <v/>
      </c>
      <c r="AD155" s="88" t="str">
        <f>IFERROR(AC155*J155*L155*#REF!*O155,IF(P155="","","None"))</f>
        <v/>
      </c>
      <c r="AF155" s="59" t="str">
        <f t="shared" si="10"/>
        <v/>
      </c>
      <c r="AG155" s="59" t="str">
        <f t="shared" si="11"/>
        <v/>
      </c>
      <c r="AH155" s="59" t="str">
        <f>IF(I155="","",IF(#REF!&gt;0,TRUE,FALSE))</f>
        <v/>
      </c>
      <c r="AI155" s="59">
        <v>145</v>
      </c>
      <c r="AJ155" s="59"/>
      <c r="AK155" s="59" t="str">
        <f t="array" ref="AK155">IFERROR(INDEX($AI$11:$AI$259, MATCH(0, IF(TRUE=$AF$11:$AF$259, COUNTIF($AK$10:$AK154, $AI$11:$AI$259), ""), 0)),"")</f>
        <v/>
      </c>
      <c r="AL155" s="59" t="str">
        <f t="array" ref="AL155">IFERROR(INDEX($AI$11:$AI$259, MATCH(0, IF(TRUE=$AG$11:$AG$259, COUNTIF($AL$10:$AL154, $AI$11:$AI$259), ""), 0)),"")</f>
        <v/>
      </c>
      <c r="AM155" s="59" t="str">
        <f t="array" ref="AM155">IFERROR(INDEX($AI$11:$AI$259, MATCH(0, IF(TRUE=$AH$11:$AH$259, COUNTIF($AM$10:$AM154, $AI$11:$AI$259), ""), 0)),"")</f>
        <v/>
      </c>
      <c r="AN155" s="59"/>
      <c r="AQ155" s="52">
        <f t="shared" si="12"/>
        <v>0</v>
      </c>
    </row>
    <row r="156" spans="1:43" x14ac:dyDescent="0.25">
      <c r="A156" s="52" t="str">
        <f>IFERROR(INDEX('G-1 All Habitats'!$AG$3:$AG$15,MATCH(E156,'G-1 All Habitats'!$AF$3:$AF$15,0)),"")</f>
        <v/>
      </c>
      <c r="B156" s="52" t="str">
        <f>IFERROR(INDEX('G-8 Condition Look up'!$I$4:$I$131,MATCH(G156,'G-8 Condition Look up'!$A$4:$A$131,0)),"")</f>
        <v/>
      </c>
      <c r="D156" s="89">
        <v>146</v>
      </c>
      <c r="E156" s="90"/>
      <c r="F156" s="91"/>
      <c r="G156" s="75" t="str">
        <f>IFERROR(INDEX('G-1 All Habitats'!$B$3:$B$130,MATCH(F156,'G-1 All Habitats'!$A$3:$A$130,0)),"")</f>
        <v/>
      </c>
      <c r="H156" s="76"/>
      <c r="I156" s="77" t="str">
        <f>IF(G156="","",VLOOKUP(G156,'G-1 All Habitats'!$B$2:$M$130,10,FALSE))</f>
        <v/>
      </c>
      <c r="J156" s="78" t="str">
        <f>IFERROR(VLOOKUP(I156,'G-1 All Habitats'!$V$3:$W$7,2,FALSE),"")</f>
        <v/>
      </c>
      <c r="K156" s="79"/>
      <c r="L156" s="78" t="str">
        <f>IFERROR(INDEX('G-8 Condition Look up'!$A$3:$H$131,MATCH(G156,'G-8 Condition Look up'!$A$3:$A$131,0),MATCH(K156,'G-8 Condition Look up'!$A$3:$H$3,0)),"")</f>
        <v/>
      </c>
      <c r="M156" s="79"/>
      <c r="N156" s="348" t="str">
        <f>IF(M156="","",IF(VLOOKUP(M156,'G-3 Multipliers'!$L$3:$N$6,2,FALSE)=0,"Spatial Data Missing",VLOOKUP(M156,'G-3 Multipliers'!$L$3:$N$6,2,FALSE)))</f>
        <v/>
      </c>
      <c r="O156" s="569" t="str">
        <f>IF(M156="","",IF(VLOOKUP(M156,'G-3 Multipliers'!$L$3:$N$6,3,FALSE)=0,"Spatial Data Missing",VLOOKUP(M156,'G-3 Multipliers'!$L$3:$N$6,3,FALSE)))</f>
        <v/>
      </c>
      <c r="P156" s="80" t="str">
        <f>IFERROR(VLOOKUP(G156,'G-1 All Habitats'!$B$2:$M$130,12,FALSE),"")</f>
        <v/>
      </c>
      <c r="Q156" s="81" t="str">
        <f>IFERROR(IF(P156="","",IF(AND(P156='G-1 All Habitats'!$X$3,T156&gt;0),U156+V156,IF(AND(P156='G-1 All Habitats'!$X$3,S156&gt;0),U156+V156,IF(AND(P156='G-1 All Habitats'!$X$3,AC156&gt;0),"Any Loss Unacceptable",IF(AND(P156='G-1 All Habitats'!$X$3,W156&gt;0),"Any Loss Unacceptable",H156*J156*L156*O156))))),"Check Data")</f>
        <v/>
      </c>
      <c r="R156" s="55"/>
      <c r="S156" s="79"/>
      <c r="T156" s="82"/>
      <c r="U156" s="83" t="str">
        <f t="shared" si="13"/>
        <v/>
      </c>
      <c r="V156" s="83" t="str">
        <f t="shared" si="14"/>
        <v/>
      </c>
      <c r="W156" s="83" t="str">
        <f>IF(E156="","",IF(H156&lt;S156+T156,"Error in Areas",IF(P156&lt;&gt;'G-1 All Habitats'!$X$3,H156-S156-T156,IF(AND(P156='G-1 All Habitats'!$X$3,Y156="Yes"),"Unacceptable Loss",IF(AND(P156='G-1 All Habitats'!$X$3,Y156="No"),AC156,IF(AND(P156='G-1 All Habitats'!$X$3,Y156=""),AC156,IF(AND(P156='G-1 All Habitats'!$X$3,AC156="None",AC156),IF(AND(P156='G-1 All Habitats'!$X$3,AC156&gt;0),H156-S156-T156))))))))</f>
        <v/>
      </c>
      <c r="X156" s="84" t="str">
        <f>IFERROR(IF(H156="","",IF(H156-S156-T156=0&lt;0,"Error in Areas",IF(S156+T156&gt;H156,"Error in Areas",IF(AND(P156='G-1 All Habitats'!$X$3,Y156="Yes"),"Alternative Compensation",IF(W156=0,0,IF(P156='G-1 All Habitats'!$X$3,"Unacceptable Loss",Q156-U156-V156)))))),"Check Data")</f>
        <v/>
      </c>
      <c r="Y156" s="82"/>
      <c r="Z156" s="92"/>
      <c r="AA156" s="93"/>
      <c r="AC156" s="87" t="str">
        <f>IF(P156="","",IF(P156='G-1 All Habitats'!$X$3,H156-S156-T156,"None"))</f>
        <v/>
      </c>
      <c r="AD156" s="88" t="str">
        <f>IFERROR(AC156*J156*L156*#REF!*O156,IF(P156="","","None"))</f>
        <v/>
      </c>
      <c r="AF156" s="59" t="str">
        <f t="shared" si="10"/>
        <v/>
      </c>
      <c r="AG156" s="59" t="str">
        <f t="shared" si="11"/>
        <v/>
      </c>
      <c r="AH156" s="59" t="str">
        <f>IF(I156="","",IF(#REF!&gt;0,TRUE,FALSE))</f>
        <v/>
      </c>
      <c r="AI156" s="59">
        <v>146</v>
      </c>
      <c r="AJ156" s="59"/>
      <c r="AK156" s="59" t="str">
        <f t="array" ref="AK156">IFERROR(INDEX($AI$11:$AI$259, MATCH(0, IF(TRUE=$AF$11:$AF$259, COUNTIF($AK$10:$AK155, $AI$11:$AI$259), ""), 0)),"")</f>
        <v/>
      </c>
      <c r="AL156" s="59" t="str">
        <f t="array" ref="AL156">IFERROR(INDEX($AI$11:$AI$259, MATCH(0, IF(TRUE=$AG$11:$AG$259, COUNTIF($AL$10:$AL155, $AI$11:$AI$259), ""), 0)),"")</f>
        <v/>
      </c>
      <c r="AM156" s="59" t="str">
        <f t="array" ref="AM156">IFERROR(INDEX($AI$11:$AI$259, MATCH(0, IF(TRUE=$AH$11:$AH$259, COUNTIF($AM$10:$AM155, $AI$11:$AI$259), ""), 0)),"")</f>
        <v/>
      </c>
      <c r="AN156" s="59"/>
      <c r="AQ156" s="52">
        <f t="shared" si="12"/>
        <v>0</v>
      </c>
    </row>
    <row r="157" spans="1:43" x14ac:dyDescent="0.25">
      <c r="A157" s="52" t="str">
        <f>IFERROR(INDEX('G-1 All Habitats'!$AG$3:$AG$15,MATCH(E157,'G-1 All Habitats'!$AF$3:$AF$15,0)),"")</f>
        <v/>
      </c>
      <c r="B157" s="52" t="str">
        <f>IFERROR(INDEX('G-8 Condition Look up'!$I$4:$I$131,MATCH(G157,'G-8 Condition Look up'!$A$4:$A$131,0)),"")</f>
        <v/>
      </c>
      <c r="D157" s="89">
        <v>147</v>
      </c>
      <c r="E157" s="90"/>
      <c r="F157" s="91"/>
      <c r="G157" s="75" t="str">
        <f>IFERROR(INDEX('G-1 All Habitats'!$B$3:$B$130,MATCH(F157,'G-1 All Habitats'!$A$3:$A$130,0)),"")</f>
        <v/>
      </c>
      <c r="H157" s="76"/>
      <c r="I157" s="77" t="str">
        <f>IF(G157="","",VLOOKUP(G157,'G-1 All Habitats'!$B$2:$M$130,10,FALSE))</f>
        <v/>
      </c>
      <c r="J157" s="78" t="str">
        <f>IFERROR(VLOOKUP(I157,'G-1 All Habitats'!$V$3:$W$7,2,FALSE),"")</f>
        <v/>
      </c>
      <c r="K157" s="79"/>
      <c r="L157" s="78" t="str">
        <f>IFERROR(INDEX('G-8 Condition Look up'!$A$3:$H$131,MATCH(G157,'G-8 Condition Look up'!$A$3:$A$131,0),MATCH(K157,'G-8 Condition Look up'!$A$3:$H$3,0)),"")</f>
        <v/>
      </c>
      <c r="M157" s="79"/>
      <c r="N157" s="348" t="str">
        <f>IF(M157="","",IF(VLOOKUP(M157,'G-3 Multipliers'!$L$3:$N$6,2,FALSE)=0,"Spatial Data Missing",VLOOKUP(M157,'G-3 Multipliers'!$L$3:$N$6,2,FALSE)))</f>
        <v/>
      </c>
      <c r="O157" s="569" t="str">
        <f>IF(M157="","",IF(VLOOKUP(M157,'G-3 Multipliers'!$L$3:$N$6,3,FALSE)=0,"Spatial Data Missing",VLOOKUP(M157,'G-3 Multipliers'!$L$3:$N$6,3,FALSE)))</f>
        <v/>
      </c>
      <c r="P157" s="80" t="str">
        <f>IFERROR(VLOOKUP(G157,'G-1 All Habitats'!$B$2:$M$130,12,FALSE),"")</f>
        <v/>
      </c>
      <c r="Q157" s="81" t="str">
        <f>IFERROR(IF(P157="","",IF(AND(P157='G-1 All Habitats'!$X$3,T157&gt;0),U157+V157,IF(AND(P157='G-1 All Habitats'!$X$3,S157&gt;0),U157+V157,IF(AND(P157='G-1 All Habitats'!$X$3,AC157&gt;0),"Any Loss Unacceptable",IF(AND(P157='G-1 All Habitats'!$X$3,W157&gt;0),"Any Loss Unacceptable",H157*J157*L157*O157))))),"Check Data")</f>
        <v/>
      </c>
      <c r="R157" s="55"/>
      <c r="S157" s="79"/>
      <c r="T157" s="82"/>
      <c r="U157" s="83" t="str">
        <f t="shared" si="13"/>
        <v/>
      </c>
      <c r="V157" s="83" t="str">
        <f t="shared" si="14"/>
        <v/>
      </c>
      <c r="W157" s="83" t="str">
        <f>IF(E157="","",IF(H157&lt;S157+T157,"Error in Areas",IF(P157&lt;&gt;'G-1 All Habitats'!$X$3,H157-S157-T157,IF(AND(P157='G-1 All Habitats'!$X$3,Y157="Yes"),"Unacceptable Loss",IF(AND(P157='G-1 All Habitats'!$X$3,Y157="No"),AC157,IF(AND(P157='G-1 All Habitats'!$X$3,Y157=""),AC157,IF(AND(P157='G-1 All Habitats'!$X$3,AC157="None",AC157),IF(AND(P157='G-1 All Habitats'!$X$3,AC157&gt;0),H157-S157-T157))))))))</f>
        <v/>
      </c>
      <c r="X157" s="84" t="str">
        <f>IFERROR(IF(H157="","",IF(H157-S157-T157=0&lt;0,"Error in Areas",IF(S157+T157&gt;H157,"Error in Areas",IF(AND(P157='G-1 All Habitats'!$X$3,Y157="Yes"),"Alternative Compensation",IF(W157=0,0,IF(P157='G-1 All Habitats'!$X$3,"Unacceptable Loss",Q157-U157-V157)))))),"Check Data")</f>
        <v/>
      </c>
      <c r="Y157" s="82"/>
      <c r="Z157" s="92"/>
      <c r="AA157" s="93"/>
      <c r="AC157" s="87" t="str">
        <f>IF(P157="","",IF(P157='G-1 All Habitats'!$X$3,H157-S157-T157,"None"))</f>
        <v/>
      </c>
      <c r="AD157" s="88" t="str">
        <f>IFERROR(AC157*J157*L157*#REF!*O157,IF(P157="","","None"))</f>
        <v/>
      </c>
      <c r="AF157" s="59" t="str">
        <f t="shared" si="10"/>
        <v/>
      </c>
      <c r="AG157" s="59" t="str">
        <f t="shared" si="11"/>
        <v/>
      </c>
      <c r="AH157" s="59" t="str">
        <f>IF(I157="","",IF(#REF!&gt;0,TRUE,FALSE))</f>
        <v/>
      </c>
      <c r="AI157" s="59">
        <v>147</v>
      </c>
      <c r="AJ157" s="59"/>
      <c r="AK157" s="59" t="str">
        <f t="array" ref="AK157">IFERROR(INDEX($AI$11:$AI$259, MATCH(0, IF(TRUE=$AF$11:$AF$259, COUNTIF($AK$10:$AK156, $AI$11:$AI$259), ""), 0)),"")</f>
        <v/>
      </c>
      <c r="AL157" s="59" t="str">
        <f t="array" ref="AL157">IFERROR(INDEX($AI$11:$AI$259, MATCH(0, IF(TRUE=$AG$11:$AG$259, COUNTIF($AL$10:$AL156, $AI$11:$AI$259), ""), 0)),"")</f>
        <v/>
      </c>
      <c r="AM157" s="59" t="str">
        <f t="array" ref="AM157">IFERROR(INDEX($AI$11:$AI$259, MATCH(0, IF(TRUE=$AH$11:$AH$259, COUNTIF($AM$10:$AM156, $AI$11:$AI$259), ""), 0)),"")</f>
        <v/>
      </c>
      <c r="AN157" s="59"/>
      <c r="AQ157" s="52">
        <f t="shared" si="12"/>
        <v>0</v>
      </c>
    </row>
    <row r="158" spans="1:43" x14ac:dyDescent="0.25">
      <c r="A158" s="52" t="str">
        <f>IFERROR(INDEX('G-1 All Habitats'!$AG$3:$AG$15,MATCH(E158,'G-1 All Habitats'!$AF$3:$AF$15,0)),"")</f>
        <v/>
      </c>
      <c r="B158" s="52" t="str">
        <f>IFERROR(INDEX('G-8 Condition Look up'!$I$4:$I$131,MATCH(G158,'G-8 Condition Look up'!$A$4:$A$131,0)),"")</f>
        <v/>
      </c>
      <c r="D158" s="89">
        <v>148</v>
      </c>
      <c r="E158" s="90"/>
      <c r="F158" s="91"/>
      <c r="G158" s="75" t="str">
        <f>IFERROR(INDEX('G-1 All Habitats'!$B$3:$B$130,MATCH(F158,'G-1 All Habitats'!$A$3:$A$130,0)),"")</f>
        <v/>
      </c>
      <c r="H158" s="76"/>
      <c r="I158" s="77" t="str">
        <f>IF(G158="","",VLOOKUP(G158,'G-1 All Habitats'!$B$2:$M$130,10,FALSE))</f>
        <v/>
      </c>
      <c r="J158" s="78" t="str">
        <f>IFERROR(VLOOKUP(I158,'G-1 All Habitats'!$V$3:$W$7,2,FALSE),"")</f>
        <v/>
      </c>
      <c r="K158" s="79"/>
      <c r="L158" s="78" t="str">
        <f>IFERROR(INDEX('G-8 Condition Look up'!$A$3:$H$131,MATCH(G158,'G-8 Condition Look up'!$A$3:$A$131,0),MATCH(K158,'G-8 Condition Look up'!$A$3:$H$3,0)),"")</f>
        <v/>
      </c>
      <c r="M158" s="79"/>
      <c r="N158" s="348" t="str">
        <f>IF(M158="","",IF(VLOOKUP(M158,'G-3 Multipliers'!$L$3:$N$6,2,FALSE)=0,"Spatial Data Missing",VLOOKUP(M158,'G-3 Multipliers'!$L$3:$N$6,2,FALSE)))</f>
        <v/>
      </c>
      <c r="O158" s="569" t="str">
        <f>IF(M158="","",IF(VLOOKUP(M158,'G-3 Multipliers'!$L$3:$N$6,3,FALSE)=0,"Spatial Data Missing",VLOOKUP(M158,'G-3 Multipliers'!$L$3:$N$6,3,FALSE)))</f>
        <v/>
      </c>
      <c r="P158" s="80" t="str">
        <f>IFERROR(VLOOKUP(G158,'G-1 All Habitats'!$B$2:$M$130,12,FALSE),"")</f>
        <v/>
      </c>
      <c r="Q158" s="81" t="str">
        <f>IFERROR(IF(P158="","",IF(AND(P158='G-1 All Habitats'!$X$3,T158&gt;0),U158+V158,IF(AND(P158='G-1 All Habitats'!$X$3,S158&gt;0),U158+V158,IF(AND(P158='G-1 All Habitats'!$X$3,AC158&gt;0),"Any Loss Unacceptable",IF(AND(P158='G-1 All Habitats'!$X$3,W158&gt;0),"Any Loss Unacceptable",H158*J158*L158*O158))))),"Check Data")</f>
        <v/>
      </c>
      <c r="R158" s="55"/>
      <c r="S158" s="79"/>
      <c r="T158" s="82"/>
      <c r="U158" s="83" t="str">
        <f t="shared" si="13"/>
        <v/>
      </c>
      <c r="V158" s="83" t="str">
        <f t="shared" si="14"/>
        <v/>
      </c>
      <c r="W158" s="83" t="str">
        <f>IF(E158="","",IF(H158&lt;S158+T158,"Error in Areas",IF(P158&lt;&gt;'G-1 All Habitats'!$X$3,H158-S158-T158,IF(AND(P158='G-1 All Habitats'!$X$3,Y158="Yes"),"Unacceptable Loss",IF(AND(P158='G-1 All Habitats'!$X$3,Y158="No"),AC158,IF(AND(P158='G-1 All Habitats'!$X$3,Y158=""),AC158,IF(AND(P158='G-1 All Habitats'!$X$3,AC158="None",AC158),IF(AND(P158='G-1 All Habitats'!$X$3,AC158&gt;0),H158-S158-T158))))))))</f>
        <v/>
      </c>
      <c r="X158" s="84" t="str">
        <f>IFERROR(IF(H158="","",IF(H158-S158-T158=0&lt;0,"Error in Areas",IF(S158+T158&gt;H158,"Error in Areas",IF(AND(P158='G-1 All Habitats'!$X$3,Y158="Yes"),"Alternative Compensation",IF(W158=0,0,IF(P158='G-1 All Habitats'!$X$3,"Unacceptable Loss",Q158-U158-V158)))))),"Check Data")</f>
        <v/>
      </c>
      <c r="Y158" s="82"/>
      <c r="Z158" s="92"/>
      <c r="AA158" s="93"/>
      <c r="AC158" s="87" t="str">
        <f>IF(P158="","",IF(P158='G-1 All Habitats'!$X$3,H158-S158-T158,"None"))</f>
        <v/>
      </c>
      <c r="AD158" s="88" t="str">
        <f>IFERROR(AC158*J158*L158*#REF!*O158,IF(P158="","","None"))</f>
        <v/>
      </c>
      <c r="AF158" s="59" t="str">
        <f t="shared" si="10"/>
        <v/>
      </c>
      <c r="AG158" s="59" t="str">
        <f t="shared" si="11"/>
        <v/>
      </c>
      <c r="AH158" s="59" t="str">
        <f>IF(I158="","",IF(#REF!&gt;0,TRUE,FALSE))</f>
        <v/>
      </c>
      <c r="AI158" s="59">
        <v>148</v>
      </c>
      <c r="AJ158" s="59"/>
      <c r="AK158" s="59" t="str">
        <f t="array" ref="AK158">IFERROR(INDEX($AI$11:$AI$259, MATCH(0, IF(TRUE=$AF$11:$AF$259, COUNTIF($AK$10:$AK157, $AI$11:$AI$259), ""), 0)),"")</f>
        <v/>
      </c>
      <c r="AL158" s="59" t="str">
        <f t="array" ref="AL158">IFERROR(INDEX($AI$11:$AI$259, MATCH(0, IF(TRUE=$AG$11:$AG$259, COUNTIF($AL$10:$AL157, $AI$11:$AI$259), ""), 0)),"")</f>
        <v/>
      </c>
      <c r="AM158" s="59" t="str">
        <f t="array" ref="AM158">IFERROR(INDEX($AI$11:$AI$259, MATCH(0, IF(TRUE=$AH$11:$AH$259, COUNTIF($AM$10:$AM157, $AI$11:$AI$259), ""), 0)),"")</f>
        <v/>
      </c>
      <c r="AN158" s="59"/>
      <c r="AQ158" s="52">
        <f t="shared" si="12"/>
        <v>0</v>
      </c>
    </row>
    <row r="159" spans="1:43" x14ac:dyDescent="0.25">
      <c r="A159" s="52" t="str">
        <f>IFERROR(INDEX('G-1 All Habitats'!$AG$3:$AG$15,MATCH(E159,'G-1 All Habitats'!$AF$3:$AF$15,0)),"")</f>
        <v/>
      </c>
      <c r="B159" s="52" t="str">
        <f>IFERROR(INDEX('G-8 Condition Look up'!$I$4:$I$131,MATCH(G159,'G-8 Condition Look up'!$A$4:$A$131,0)),"")</f>
        <v/>
      </c>
      <c r="D159" s="89">
        <v>149</v>
      </c>
      <c r="E159" s="90"/>
      <c r="F159" s="91"/>
      <c r="G159" s="75" t="str">
        <f>IFERROR(INDEX('G-1 All Habitats'!$B$3:$B$130,MATCH(F159,'G-1 All Habitats'!$A$3:$A$130,0)),"")</f>
        <v/>
      </c>
      <c r="H159" s="76"/>
      <c r="I159" s="77" t="str">
        <f>IF(G159="","",VLOOKUP(G159,'G-1 All Habitats'!$B$2:$M$130,10,FALSE))</f>
        <v/>
      </c>
      <c r="J159" s="78" t="str">
        <f>IFERROR(VLOOKUP(I159,'G-1 All Habitats'!$V$3:$W$7,2,FALSE),"")</f>
        <v/>
      </c>
      <c r="K159" s="79"/>
      <c r="L159" s="78" t="str">
        <f>IFERROR(INDEX('G-8 Condition Look up'!$A$3:$H$131,MATCH(G159,'G-8 Condition Look up'!$A$3:$A$131,0),MATCH(K159,'G-8 Condition Look up'!$A$3:$H$3,0)),"")</f>
        <v/>
      </c>
      <c r="M159" s="79"/>
      <c r="N159" s="348" t="str">
        <f>IF(M159="","",IF(VLOOKUP(M159,'G-3 Multipliers'!$L$3:$N$6,2,FALSE)=0,"Spatial Data Missing",VLOOKUP(M159,'G-3 Multipliers'!$L$3:$N$6,2,FALSE)))</f>
        <v/>
      </c>
      <c r="O159" s="569" t="str">
        <f>IF(M159="","",IF(VLOOKUP(M159,'G-3 Multipliers'!$L$3:$N$6,3,FALSE)=0,"Spatial Data Missing",VLOOKUP(M159,'G-3 Multipliers'!$L$3:$N$6,3,FALSE)))</f>
        <v/>
      </c>
      <c r="P159" s="80" t="str">
        <f>IFERROR(VLOOKUP(G159,'G-1 All Habitats'!$B$2:$M$130,12,FALSE),"")</f>
        <v/>
      </c>
      <c r="Q159" s="81" t="str">
        <f>IFERROR(IF(P159="","",IF(AND(P159='G-1 All Habitats'!$X$3,T159&gt;0),U159+V159,IF(AND(P159='G-1 All Habitats'!$X$3,S159&gt;0),U159+V159,IF(AND(P159='G-1 All Habitats'!$X$3,AC159&gt;0),"Any Loss Unacceptable",IF(AND(P159='G-1 All Habitats'!$X$3,W159&gt;0),"Any Loss Unacceptable",H159*J159*L159*O159))))),"Check Data")</f>
        <v/>
      </c>
      <c r="R159" s="55"/>
      <c r="S159" s="79"/>
      <c r="T159" s="82"/>
      <c r="U159" s="83" t="str">
        <f t="shared" si="13"/>
        <v/>
      </c>
      <c r="V159" s="83" t="str">
        <f t="shared" si="14"/>
        <v/>
      </c>
      <c r="W159" s="83" t="str">
        <f>IF(E159="","",IF(H159&lt;S159+T159,"Error in Areas",IF(P159&lt;&gt;'G-1 All Habitats'!$X$3,H159-S159-T159,IF(AND(P159='G-1 All Habitats'!$X$3,Y159="Yes"),"Unacceptable Loss",IF(AND(P159='G-1 All Habitats'!$X$3,Y159="No"),AC159,IF(AND(P159='G-1 All Habitats'!$X$3,Y159=""),AC159,IF(AND(P159='G-1 All Habitats'!$X$3,AC159="None",AC159),IF(AND(P159='G-1 All Habitats'!$X$3,AC159&gt;0),H159-S159-T159))))))))</f>
        <v/>
      </c>
      <c r="X159" s="84" t="str">
        <f>IFERROR(IF(H159="","",IF(H159-S159-T159=0&lt;0,"Error in Areas",IF(S159+T159&gt;H159,"Error in Areas",IF(AND(P159='G-1 All Habitats'!$X$3,Y159="Yes"),"Alternative Compensation",IF(W159=0,0,IF(P159='G-1 All Habitats'!$X$3,"Unacceptable Loss",Q159-U159-V159)))))),"Check Data")</f>
        <v/>
      </c>
      <c r="Y159" s="82"/>
      <c r="Z159" s="92"/>
      <c r="AA159" s="93"/>
      <c r="AC159" s="87" t="str">
        <f>IF(P159="","",IF(P159='G-1 All Habitats'!$X$3,H159-S159-T159,"None"))</f>
        <v/>
      </c>
      <c r="AD159" s="88" t="str">
        <f>IFERROR(AC159*J159*L159*#REF!*O159,IF(P159="","","None"))</f>
        <v/>
      </c>
      <c r="AF159" s="59" t="str">
        <f t="shared" si="10"/>
        <v/>
      </c>
      <c r="AG159" s="59" t="str">
        <f t="shared" si="11"/>
        <v/>
      </c>
      <c r="AH159" s="59" t="str">
        <f>IF(I159="","",IF(#REF!&gt;0,TRUE,FALSE))</f>
        <v/>
      </c>
      <c r="AI159" s="59">
        <v>149</v>
      </c>
      <c r="AJ159" s="59"/>
      <c r="AK159" s="59" t="str">
        <f t="array" ref="AK159">IFERROR(INDEX($AI$11:$AI$259, MATCH(0, IF(TRUE=$AF$11:$AF$259, COUNTIF($AK$10:$AK158, $AI$11:$AI$259), ""), 0)),"")</f>
        <v/>
      </c>
      <c r="AL159" s="59" t="str">
        <f t="array" ref="AL159">IFERROR(INDEX($AI$11:$AI$259, MATCH(0, IF(TRUE=$AG$11:$AG$259, COUNTIF($AL$10:$AL158, $AI$11:$AI$259), ""), 0)),"")</f>
        <v/>
      </c>
      <c r="AM159" s="59" t="str">
        <f t="array" ref="AM159">IFERROR(INDEX($AI$11:$AI$259, MATCH(0, IF(TRUE=$AH$11:$AH$259, COUNTIF($AM$10:$AM158, $AI$11:$AI$259), ""), 0)),"")</f>
        <v/>
      </c>
      <c r="AN159" s="59"/>
      <c r="AQ159" s="52">
        <f t="shared" si="12"/>
        <v>0</v>
      </c>
    </row>
    <row r="160" spans="1:43" x14ac:dyDescent="0.25">
      <c r="A160" s="52" t="str">
        <f>IFERROR(INDEX('G-1 All Habitats'!$AG$3:$AG$15,MATCH(E160,'G-1 All Habitats'!$AF$3:$AF$15,0)),"")</f>
        <v/>
      </c>
      <c r="B160" s="52" t="str">
        <f>IFERROR(INDEX('G-8 Condition Look up'!$I$4:$I$131,MATCH(G160,'G-8 Condition Look up'!$A$4:$A$131,0)),"")</f>
        <v/>
      </c>
      <c r="D160" s="89">
        <v>150</v>
      </c>
      <c r="E160" s="90"/>
      <c r="F160" s="91"/>
      <c r="G160" s="75" t="str">
        <f>IFERROR(INDEX('G-1 All Habitats'!$B$3:$B$130,MATCH(F160,'G-1 All Habitats'!$A$3:$A$130,0)),"")</f>
        <v/>
      </c>
      <c r="H160" s="76"/>
      <c r="I160" s="77" t="str">
        <f>IF(G160="","",VLOOKUP(G160,'G-1 All Habitats'!$B$2:$M$130,10,FALSE))</f>
        <v/>
      </c>
      <c r="J160" s="78" t="str">
        <f>IFERROR(VLOOKUP(I160,'G-1 All Habitats'!$V$3:$W$7,2,FALSE),"")</f>
        <v/>
      </c>
      <c r="K160" s="79"/>
      <c r="L160" s="78" t="str">
        <f>IFERROR(INDEX('G-8 Condition Look up'!$A$3:$H$131,MATCH(G160,'G-8 Condition Look up'!$A$3:$A$131,0),MATCH(K160,'G-8 Condition Look up'!$A$3:$H$3,0)),"")</f>
        <v/>
      </c>
      <c r="M160" s="79"/>
      <c r="N160" s="348" t="str">
        <f>IF(M160="","",IF(VLOOKUP(M160,'G-3 Multipliers'!$L$3:$N$6,2,FALSE)=0,"Spatial Data Missing",VLOOKUP(M160,'G-3 Multipliers'!$L$3:$N$6,2,FALSE)))</f>
        <v/>
      </c>
      <c r="O160" s="569" t="str">
        <f>IF(M160="","",IF(VLOOKUP(M160,'G-3 Multipliers'!$L$3:$N$6,3,FALSE)=0,"Spatial Data Missing",VLOOKUP(M160,'G-3 Multipliers'!$L$3:$N$6,3,FALSE)))</f>
        <v/>
      </c>
      <c r="P160" s="80" t="str">
        <f>IFERROR(VLOOKUP(G160,'G-1 All Habitats'!$B$2:$M$130,12,FALSE),"")</f>
        <v/>
      </c>
      <c r="Q160" s="81" t="str">
        <f>IFERROR(IF(P160="","",IF(AND(P160='G-1 All Habitats'!$X$3,T160&gt;0),U160+V160,IF(AND(P160='G-1 All Habitats'!$X$3,S160&gt;0),U160+V160,IF(AND(P160='G-1 All Habitats'!$X$3,AC160&gt;0),"Any Loss Unacceptable",IF(AND(P160='G-1 All Habitats'!$X$3,W160&gt;0),"Any Loss Unacceptable",H160*J160*L160*O160))))),"Check Data")</f>
        <v/>
      </c>
      <c r="R160" s="55"/>
      <c r="S160" s="79"/>
      <c r="T160" s="82"/>
      <c r="U160" s="83" t="str">
        <f t="shared" si="13"/>
        <v/>
      </c>
      <c r="V160" s="83" t="str">
        <f t="shared" si="14"/>
        <v/>
      </c>
      <c r="W160" s="83" t="str">
        <f>IF(E160="","",IF(H160&lt;S160+T160,"Error in Areas",IF(P160&lt;&gt;'G-1 All Habitats'!$X$3,H160-S160-T160,IF(AND(P160='G-1 All Habitats'!$X$3,Y160="Yes"),"Unacceptable Loss",IF(AND(P160='G-1 All Habitats'!$X$3,Y160="No"),AC160,IF(AND(P160='G-1 All Habitats'!$X$3,Y160=""),AC160,IF(AND(P160='G-1 All Habitats'!$X$3,AC160="None",AC160),IF(AND(P160='G-1 All Habitats'!$X$3,AC160&gt;0),H160-S160-T160))))))))</f>
        <v/>
      </c>
      <c r="X160" s="84" t="str">
        <f>IFERROR(IF(H160="","",IF(H160-S160-T160=0&lt;0,"Error in Areas",IF(S160+T160&gt;H160,"Error in Areas",IF(AND(P160='G-1 All Habitats'!$X$3,Y160="Yes"),"Alternative Compensation",IF(W160=0,0,IF(P160='G-1 All Habitats'!$X$3,"Unacceptable Loss",Q160-U160-V160)))))),"Check Data")</f>
        <v/>
      </c>
      <c r="Y160" s="82"/>
      <c r="Z160" s="92"/>
      <c r="AA160" s="93"/>
      <c r="AC160" s="87" t="str">
        <f>IF(P160="","",IF(P160='G-1 All Habitats'!$X$3,H160-S160-T160,"None"))</f>
        <v/>
      </c>
      <c r="AD160" s="88" t="str">
        <f>IFERROR(AC160*J160*L160*#REF!*O160,IF(P160="","","None"))</f>
        <v/>
      </c>
      <c r="AF160" s="59" t="str">
        <f t="shared" si="10"/>
        <v/>
      </c>
      <c r="AG160" s="59" t="str">
        <f t="shared" si="11"/>
        <v/>
      </c>
      <c r="AH160" s="59" t="str">
        <f>IF(I160="","",IF(#REF!&gt;0,TRUE,FALSE))</f>
        <v/>
      </c>
      <c r="AI160" s="59">
        <v>150</v>
      </c>
      <c r="AJ160" s="59"/>
      <c r="AK160" s="59" t="str">
        <f t="array" ref="AK160">IFERROR(INDEX($AI$11:$AI$259, MATCH(0, IF(TRUE=$AF$11:$AF$259, COUNTIF($AK$10:$AK159, $AI$11:$AI$259), ""), 0)),"")</f>
        <v/>
      </c>
      <c r="AL160" s="59" t="str">
        <f t="array" ref="AL160">IFERROR(INDEX($AI$11:$AI$259, MATCH(0, IF(TRUE=$AG$11:$AG$259, COUNTIF($AL$10:$AL159, $AI$11:$AI$259), ""), 0)),"")</f>
        <v/>
      </c>
      <c r="AM160" s="59" t="str">
        <f t="array" ref="AM160">IFERROR(INDEX($AI$11:$AI$259, MATCH(0, IF(TRUE=$AH$11:$AH$259, COUNTIF($AM$10:$AM159, $AI$11:$AI$259), ""), 0)),"")</f>
        <v/>
      </c>
      <c r="AN160" s="59"/>
      <c r="AQ160" s="52">
        <f t="shared" si="12"/>
        <v>0</v>
      </c>
    </row>
    <row r="161" spans="1:43" x14ac:dyDescent="0.25">
      <c r="A161" s="52" t="str">
        <f>IFERROR(INDEX('G-1 All Habitats'!$AG$3:$AG$15,MATCH(E161,'G-1 All Habitats'!$AF$3:$AF$15,0)),"")</f>
        <v/>
      </c>
      <c r="B161" s="52" t="str">
        <f>IFERROR(INDEX('G-8 Condition Look up'!$I$4:$I$131,MATCH(G161,'G-8 Condition Look up'!$A$4:$A$131,0)),"")</f>
        <v/>
      </c>
      <c r="D161" s="89">
        <v>151</v>
      </c>
      <c r="E161" s="90"/>
      <c r="F161" s="91"/>
      <c r="G161" s="75" t="str">
        <f>IFERROR(INDEX('G-1 All Habitats'!$B$3:$B$130,MATCH(F161,'G-1 All Habitats'!$A$3:$A$130,0)),"")</f>
        <v/>
      </c>
      <c r="H161" s="76"/>
      <c r="I161" s="77" t="str">
        <f>IF(G161="","",VLOOKUP(G161,'G-1 All Habitats'!$B$2:$M$130,10,FALSE))</f>
        <v/>
      </c>
      <c r="J161" s="78" t="str">
        <f>IFERROR(VLOOKUP(I161,'G-1 All Habitats'!$V$3:$W$7,2,FALSE),"")</f>
        <v/>
      </c>
      <c r="K161" s="79"/>
      <c r="L161" s="78" t="str">
        <f>IFERROR(INDEX('G-8 Condition Look up'!$A$3:$H$131,MATCH(G161,'G-8 Condition Look up'!$A$3:$A$131,0),MATCH(K161,'G-8 Condition Look up'!$A$3:$H$3,0)),"")</f>
        <v/>
      </c>
      <c r="M161" s="79"/>
      <c r="N161" s="348" t="str">
        <f>IF(M161="","",IF(VLOOKUP(M161,'G-3 Multipliers'!$L$3:$N$6,2,FALSE)=0,"Spatial Data Missing",VLOOKUP(M161,'G-3 Multipliers'!$L$3:$N$6,2,FALSE)))</f>
        <v/>
      </c>
      <c r="O161" s="569" t="str">
        <f>IF(M161="","",IF(VLOOKUP(M161,'G-3 Multipliers'!$L$3:$N$6,3,FALSE)=0,"Spatial Data Missing",VLOOKUP(M161,'G-3 Multipliers'!$L$3:$N$6,3,FALSE)))</f>
        <v/>
      </c>
      <c r="P161" s="80" t="str">
        <f>IFERROR(VLOOKUP(G161,'G-1 All Habitats'!$B$2:$M$130,12,FALSE),"")</f>
        <v/>
      </c>
      <c r="Q161" s="81" t="str">
        <f>IFERROR(IF(P161="","",IF(AND(P161='G-1 All Habitats'!$X$3,T161&gt;0),U161+V161,IF(AND(P161='G-1 All Habitats'!$X$3,S161&gt;0),U161+V161,IF(AND(P161='G-1 All Habitats'!$X$3,AC161&gt;0),"Any Loss Unacceptable",IF(AND(P161='G-1 All Habitats'!$X$3,W161&gt;0),"Any Loss Unacceptable",H161*J161*L161*O161))))),"Check Data")</f>
        <v/>
      </c>
      <c r="R161" s="55"/>
      <c r="S161" s="79"/>
      <c r="T161" s="82"/>
      <c r="U161" s="83" t="str">
        <f t="shared" si="13"/>
        <v/>
      </c>
      <c r="V161" s="83" t="str">
        <f t="shared" si="14"/>
        <v/>
      </c>
      <c r="W161" s="83" t="str">
        <f>IF(E161="","",IF(H161&lt;S161+T161,"Error in Areas",IF(P161&lt;&gt;'G-1 All Habitats'!$X$3,H161-S161-T161,IF(AND(P161='G-1 All Habitats'!$X$3,Y161="Yes"),"Unacceptable Loss",IF(AND(P161='G-1 All Habitats'!$X$3,Y161="No"),AC161,IF(AND(P161='G-1 All Habitats'!$X$3,Y161=""),AC161,IF(AND(P161='G-1 All Habitats'!$X$3,AC161="None",AC161),IF(AND(P161='G-1 All Habitats'!$X$3,AC161&gt;0),H161-S161-T161))))))))</f>
        <v/>
      </c>
      <c r="X161" s="84" t="str">
        <f>IFERROR(IF(H161="","",IF(H161-S161-T161=0&lt;0,"Error in Areas",IF(S161+T161&gt;H161,"Error in Areas",IF(AND(P161='G-1 All Habitats'!$X$3,Y161="Yes"),"Alternative Compensation",IF(W161=0,0,IF(P161='G-1 All Habitats'!$X$3,"Unacceptable Loss",Q161-U161-V161)))))),"Check Data")</f>
        <v/>
      </c>
      <c r="Y161" s="82"/>
      <c r="Z161" s="92"/>
      <c r="AA161" s="93"/>
      <c r="AC161" s="87" t="str">
        <f>IF(P161="","",IF(P161='G-1 All Habitats'!$X$3,H161-S161-T161,"None"))</f>
        <v/>
      </c>
      <c r="AD161" s="88" t="str">
        <f>IFERROR(AC161*J161*L161*#REF!*O161,IF(P161="","","None"))</f>
        <v/>
      </c>
      <c r="AF161" s="59" t="str">
        <f t="shared" si="10"/>
        <v/>
      </c>
      <c r="AG161" s="59" t="str">
        <f t="shared" si="11"/>
        <v/>
      </c>
      <c r="AH161" s="59" t="str">
        <f>IF(I161="","",IF(#REF!&gt;0,TRUE,FALSE))</f>
        <v/>
      </c>
      <c r="AI161" s="59">
        <v>151</v>
      </c>
      <c r="AJ161" s="59"/>
      <c r="AK161" s="59" t="str">
        <f t="array" ref="AK161">IFERROR(INDEX($AI$11:$AI$259, MATCH(0, IF(TRUE=$AF$11:$AF$259, COUNTIF($AK$10:$AK160, $AI$11:$AI$259), ""), 0)),"")</f>
        <v/>
      </c>
      <c r="AL161" s="59" t="str">
        <f t="array" ref="AL161">IFERROR(INDEX($AI$11:$AI$259, MATCH(0, IF(TRUE=$AG$11:$AG$259, COUNTIF($AL$10:$AL160, $AI$11:$AI$259), ""), 0)),"")</f>
        <v/>
      </c>
      <c r="AM161" s="59" t="str">
        <f t="array" ref="AM161">IFERROR(INDEX($AI$11:$AI$259, MATCH(0, IF(TRUE=$AH$11:$AH$259, COUNTIF($AM$10:$AM160, $AI$11:$AI$259), ""), 0)),"")</f>
        <v/>
      </c>
      <c r="AN161" s="59"/>
      <c r="AQ161" s="52">
        <f t="shared" si="12"/>
        <v>0</v>
      </c>
    </row>
    <row r="162" spans="1:43" x14ac:dyDescent="0.25">
      <c r="A162" s="52" t="str">
        <f>IFERROR(INDEX('G-1 All Habitats'!$AG$3:$AG$15,MATCH(E162,'G-1 All Habitats'!$AF$3:$AF$15,0)),"")</f>
        <v/>
      </c>
      <c r="B162" s="52" t="str">
        <f>IFERROR(INDEX('G-8 Condition Look up'!$I$4:$I$131,MATCH(G162,'G-8 Condition Look up'!$A$4:$A$131,0)),"")</f>
        <v/>
      </c>
      <c r="D162" s="89">
        <v>152</v>
      </c>
      <c r="E162" s="90"/>
      <c r="F162" s="91"/>
      <c r="G162" s="75" t="str">
        <f>IFERROR(INDEX('G-1 All Habitats'!$B$3:$B$130,MATCH(F162,'G-1 All Habitats'!$A$3:$A$130,0)),"")</f>
        <v/>
      </c>
      <c r="H162" s="76"/>
      <c r="I162" s="77" t="str">
        <f>IF(G162="","",VLOOKUP(G162,'G-1 All Habitats'!$B$2:$M$130,10,FALSE))</f>
        <v/>
      </c>
      <c r="J162" s="78" t="str">
        <f>IFERROR(VLOOKUP(I162,'G-1 All Habitats'!$V$3:$W$7,2,FALSE),"")</f>
        <v/>
      </c>
      <c r="K162" s="79"/>
      <c r="L162" s="78" t="str">
        <f>IFERROR(INDEX('G-8 Condition Look up'!$A$3:$H$131,MATCH(G162,'G-8 Condition Look up'!$A$3:$A$131,0),MATCH(K162,'G-8 Condition Look up'!$A$3:$H$3,0)),"")</f>
        <v/>
      </c>
      <c r="M162" s="79"/>
      <c r="N162" s="348" t="str">
        <f>IF(M162="","",IF(VLOOKUP(M162,'G-3 Multipliers'!$L$3:$N$6,2,FALSE)=0,"Spatial Data Missing",VLOOKUP(M162,'G-3 Multipliers'!$L$3:$N$6,2,FALSE)))</f>
        <v/>
      </c>
      <c r="O162" s="569" t="str">
        <f>IF(M162="","",IF(VLOOKUP(M162,'G-3 Multipliers'!$L$3:$N$6,3,FALSE)=0,"Spatial Data Missing",VLOOKUP(M162,'G-3 Multipliers'!$L$3:$N$6,3,FALSE)))</f>
        <v/>
      </c>
      <c r="P162" s="80" t="str">
        <f>IFERROR(VLOOKUP(G162,'G-1 All Habitats'!$B$2:$M$130,12,FALSE),"")</f>
        <v/>
      </c>
      <c r="Q162" s="81" t="str">
        <f>IFERROR(IF(P162="","",IF(AND(P162='G-1 All Habitats'!$X$3,T162&gt;0),U162+V162,IF(AND(P162='G-1 All Habitats'!$X$3,S162&gt;0),U162+V162,IF(AND(P162='G-1 All Habitats'!$X$3,AC162&gt;0),"Any Loss Unacceptable",IF(AND(P162='G-1 All Habitats'!$X$3,W162&gt;0),"Any Loss Unacceptable",H162*J162*L162*O162))))),"Check Data")</f>
        <v/>
      </c>
      <c r="R162" s="55"/>
      <c r="S162" s="79"/>
      <c r="T162" s="82"/>
      <c r="U162" s="83" t="str">
        <f t="shared" si="13"/>
        <v/>
      </c>
      <c r="V162" s="83" t="str">
        <f t="shared" si="14"/>
        <v/>
      </c>
      <c r="W162" s="83" t="str">
        <f>IF(E162="","",IF(H162&lt;S162+T162,"Error in Areas",IF(P162&lt;&gt;'G-1 All Habitats'!$X$3,H162-S162-T162,IF(AND(P162='G-1 All Habitats'!$X$3,Y162="Yes"),"Unacceptable Loss",IF(AND(P162='G-1 All Habitats'!$X$3,Y162="No"),AC162,IF(AND(P162='G-1 All Habitats'!$X$3,Y162=""),AC162,IF(AND(P162='G-1 All Habitats'!$X$3,AC162="None",AC162),IF(AND(P162='G-1 All Habitats'!$X$3,AC162&gt;0),H162-S162-T162))))))))</f>
        <v/>
      </c>
      <c r="X162" s="84" t="str">
        <f>IFERROR(IF(H162="","",IF(H162-S162-T162=0&lt;0,"Error in Areas",IF(S162+T162&gt;H162,"Error in Areas",IF(AND(P162='G-1 All Habitats'!$X$3,Y162="Yes"),"Alternative Compensation",IF(W162=0,0,IF(P162='G-1 All Habitats'!$X$3,"Unacceptable Loss",Q162-U162-V162)))))),"Check Data")</f>
        <v/>
      </c>
      <c r="Y162" s="82"/>
      <c r="Z162" s="92"/>
      <c r="AA162" s="93"/>
      <c r="AC162" s="87" t="str">
        <f>IF(P162="","",IF(P162='G-1 All Habitats'!$X$3,H162-S162-T162,"None"))</f>
        <v/>
      </c>
      <c r="AD162" s="88" t="str">
        <f>IFERROR(AC162*J162*L162*#REF!*O162,IF(P162="","","None"))</f>
        <v/>
      </c>
      <c r="AF162" s="59" t="str">
        <f t="shared" si="10"/>
        <v/>
      </c>
      <c r="AG162" s="59" t="str">
        <f t="shared" si="11"/>
        <v/>
      </c>
      <c r="AH162" s="59" t="str">
        <f>IF(I162="","",IF(#REF!&gt;0,TRUE,FALSE))</f>
        <v/>
      </c>
      <c r="AI162" s="59">
        <v>152</v>
      </c>
      <c r="AJ162" s="59"/>
      <c r="AK162" s="59" t="str">
        <f t="array" ref="AK162">IFERROR(INDEX($AI$11:$AI$259, MATCH(0, IF(TRUE=$AF$11:$AF$259, COUNTIF($AK$10:$AK161, $AI$11:$AI$259), ""), 0)),"")</f>
        <v/>
      </c>
      <c r="AL162" s="59" t="str">
        <f t="array" ref="AL162">IFERROR(INDEX($AI$11:$AI$259, MATCH(0, IF(TRUE=$AG$11:$AG$259, COUNTIF($AL$10:$AL161, $AI$11:$AI$259), ""), 0)),"")</f>
        <v/>
      </c>
      <c r="AM162" s="59" t="str">
        <f t="array" ref="AM162">IFERROR(INDEX($AI$11:$AI$259, MATCH(0, IF(TRUE=$AH$11:$AH$259, COUNTIF($AM$10:$AM161, $AI$11:$AI$259), ""), 0)),"")</f>
        <v/>
      </c>
      <c r="AN162" s="59"/>
      <c r="AQ162" s="52">
        <f t="shared" si="12"/>
        <v>0</v>
      </c>
    </row>
    <row r="163" spans="1:43" x14ac:dyDescent="0.25">
      <c r="A163" s="52" t="str">
        <f>IFERROR(INDEX('G-1 All Habitats'!$AG$3:$AG$15,MATCH(E163,'G-1 All Habitats'!$AF$3:$AF$15,0)),"")</f>
        <v/>
      </c>
      <c r="B163" s="52" t="str">
        <f>IFERROR(INDEX('G-8 Condition Look up'!$I$4:$I$131,MATCH(G163,'G-8 Condition Look up'!$A$4:$A$131,0)),"")</f>
        <v/>
      </c>
      <c r="D163" s="89">
        <v>153</v>
      </c>
      <c r="E163" s="90"/>
      <c r="F163" s="91"/>
      <c r="G163" s="75" t="str">
        <f>IFERROR(INDEX('G-1 All Habitats'!$B$3:$B$130,MATCH(F163,'G-1 All Habitats'!$A$3:$A$130,0)),"")</f>
        <v/>
      </c>
      <c r="H163" s="76"/>
      <c r="I163" s="77" t="str">
        <f>IF(G163="","",VLOOKUP(G163,'G-1 All Habitats'!$B$2:$M$130,10,FALSE))</f>
        <v/>
      </c>
      <c r="J163" s="78" t="str">
        <f>IFERROR(VLOOKUP(I163,'G-1 All Habitats'!$V$3:$W$7,2,FALSE),"")</f>
        <v/>
      </c>
      <c r="K163" s="79"/>
      <c r="L163" s="78" t="str">
        <f>IFERROR(INDEX('G-8 Condition Look up'!$A$3:$H$131,MATCH(G163,'G-8 Condition Look up'!$A$3:$A$131,0),MATCH(K163,'G-8 Condition Look up'!$A$3:$H$3,0)),"")</f>
        <v/>
      </c>
      <c r="M163" s="79"/>
      <c r="N163" s="348" t="str">
        <f>IF(M163="","",IF(VLOOKUP(M163,'G-3 Multipliers'!$L$3:$N$6,2,FALSE)=0,"Spatial Data Missing",VLOOKUP(M163,'G-3 Multipliers'!$L$3:$N$6,2,FALSE)))</f>
        <v/>
      </c>
      <c r="O163" s="569" t="str">
        <f>IF(M163="","",IF(VLOOKUP(M163,'G-3 Multipliers'!$L$3:$N$6,3,FALSE)=0,"Spatial Data Missing",VLOOKUP(M163,'G-3 Multipliers'!$L$3:$N$6,3,FALSE)))</f>
        <v/>
      </c>
      <c r="P163" s="80" t="str">
        <f>IFERROR(VLOOKUP(G163,'G-1 All Habitats'!$B$2:$M$130,12,FALSE),"")</f>
        <v/>
      </c>
      <c r="Q163" s="81" t="str">
        <f>IFERROR(IF(P163="","",IF(AND(P163='G-1 All Habitats'!$X$3,T163&gt;0),U163+V163,IF(AND(P163='G-1 All Habitats'!$X$3,S163&gt;0),U163+V163,IF(AND(P163='G-1 All Habitats'!$X$3,AC163&gt;0),"Any Loss Unacceptable",IF(AND(P163='G-1 All Habitats'!$X$3,W163&gt;0),"Any Loss Unacceptable",H163*J163*L163*O163))))),"Check Data")</f>
        <v/>
      </c>
      <c r="R163" s="55"/>
      <c r="S163" s="79"/>
      <c r="T163" s="82"/>
      <c r="U163" s="83" t="str">
        <f t="shared" si="13"/>
        <v/>
      </c>
      <c r="V163" s="83" t="str">
        <f t="shared" si="14"/>
        <v/>
      </c>
      <c r="W163" s="83" t="str">
        <f>IF(E163="","",IF(H163&lt;S163+T163,"Error in Areas",IF(P163&lt;&gt;'G-1 All Habitats'!$X$3,H163-S163-T163,IF(AND(P163='G-1 All Habitats'!$X$3,Y163="Yes"),"Unacceptable Loss",IF(AND(P163='G-1 All Habitats'!$X$3,Y163="No"),AC163,IF(AND(P163='G-1 All Habitats'!$X$3,Y163=""),AC163,IF(AND(P163='G-1 All Habitats'!$X$3,AC163="None",AC163),IF(AND(P163='G-1 All Habitats'!$X$3,AC163&gt;0),H163-S163-T163))))))))</f>
        <v/>
      </c>
      <c r="X163" s="84" t="str">
        <f>IFERROR(IF(H163="","",IF(H163-S163-T163=0&lt;0,"Error in Areas",IF(S163+T163&gt;H163,"Error in Areas",IF(AND(P163='G-1 All Habitats'!$X$3,Y163="Yes"),"Alternative Compensation",IF(W163=0,0,IF(P163='G-1 All Habitats'!$X$3,"Unacceptable Loss",Q163-U163-V163)))))),"Check Data")</f>
        <v/>
      </c>
      <c r="Y163" s="82"/>
      <c r="Z163" s="92"/>
      <c r="AA163" s="93"/>
      <c r="AC163" s="87" t="str">
        <f>IF(P163="","",IF(P163='G-1 All Habitats'!$X$3,H163-S163-T163,"None"))</f>
        <v/>
      </c>
      <c r="AD163" s="88" t="str">
        <f>IFERROR(AC163*J163*L163*#REF!*O163,IF(P163="","","None"))</f>
        <v/>
      </c>
      <c r="AF163" s="59" t="str">
        <f t="shared" si="10"/>
        <v/>
      </c>
      <c r="AG163" s="59" t="str">
        <f t="shared" si="11"/>
        <v/>
      </c>
      <c r="AH163" s="59" t="str">
        <f>IF(I163="","",IF(#REF!&gt;0,TRUE,FALSE))</f>
        <v/>
      </c>
      <c r="AI163" s="59">
        <v>153</v>
      </c>
      <c r="AJ163" s="59"/>
      <c r="AK163" s="59" t="str">
        <f t="array" ref="AK163">IFERROR(INDEX($AI$11:$AI$259, MATCH(0, IF(TRUE=$AF$11:$AF$259, COUNTIF($AK$10:$AK162, $AI$11:$AI$259), ""), 0)),"")</f>
        <v/>
      </c>
      <c r="AL163" s="59" t="str">
        <f t="array" ref="AL163">IFERROR(INDEX($AI$11:$AI$259, MATCH(0, IF(TRUE=$AG$11:$AG$259, COUNTIF($AL$10:$AL162, $AI$11:$AI$259), ""), 0)),"")</f>
        <v/>
      </c>
      <c r="AM163" s="59" t="str">
        <f t="array" ref="AM163">IFERROR(INDEX($AI$11:$AI$259, MATCH(0, IF(TRUE=$AH$11:$AH$259, COUNTIF($AM$10:$AM162, $AI$11:$AI$259), ""), 0)),"")</f>
        <v/>
      </c>
      <c r="AN163" s="59"/>
      <c r="AQ163" s="52">
        <f t="shared" si="12"/>
        <v>0</v>
      </c>
    </row>
    <row r="164" spans="1:43" x14ac:dyDescent="0.25">
      <c r="A164" s="52" t="str">
        <f>IFERROR(INDEX('G-1 All Habitats'!$AG$3:$AG$15,MATCH(E164,'G-1 All Habitats'!$AF$3:$AF$15,0)),"")</f>
        <v/>
      </c>
      <c r="B164" s="52" t="str">
        <f>IFERROR(INDEX('G-8 Condition Look up'!$I$4:$I$131,MATCH(G164,'G-8 Condition Look up'!$A$4:$A$131,0)),"")</f>
        <v/>
      </c>
      <c r="D164" s="89">
        <v>154</v>
      </c>
      <c r="E164" s="90"/>
      <c r="F164" s="91"/>
      <c r="G164" s="75" t="str">
        <f>IFERROR(INDEX('G-1 All Habitats'!$B$3:$B$130,MATCH(F164,'G-1 All Habitats'!$A$3:$A$130,0)),"")</f>
        <v/>
      </c>
      <c r="H164" s="76"/>
      <c r="I164" s="77" t="str">
        <f>IF(G164="","",VLOOKUP(G164,'G-1 All Habitats'!$B$2:$M$130,10,FALSE))</f>
        <v/>
      </c>
      <c r="J164" s="78" t="str">
        <f>IFERROR(VLOOKUP(I164,'G-1 All Habitats'!$V$3:$W$7,2,FALSE),"")</f>
        <v/>
      </c>
      <c r="K164" s="79"/>
      <c r="L164" s="78" t="str">
        <f>IFERROR(INDEX('G-8 Condition Look up'!$A$3:$H$131,MATCH(G164,'G-8 Condition Look up'!$A$3:$A$131,0),MATCH(K164,'G-8 Condition Look up'!$A$3:$H$3,0)),"")</f>
        <v/>
      </c>
      <c r="M164" s="79"/>
      <c r="N164" s="348" t="str">
        <f>IF(M164="","",IF(VLOOKUP(M164,'G-3 Multipliers'!$L$3:$N$6,2,FALSE)=0,"Spatial Data Missing",VLOOKUP(M164,'G-3 Multipliers'!$L$3:$N$6,2,FALSE)))</f>
        <v/>
      </c>
      <c r="O164" s="569" t="str">
        <f>IF(M164="","",IF(VLOOKUP(M164,'G-3 Multipliers'!$L$3:$N$6,3,FALSE)=0,"Spatial Data Missing",VLOOKUP(M164,'G-3 Multipliers'!$L$3:$N$6,3,FALSE)))</f>
        <v/>
      </c>
      <c r="P164" s="80" t="str">
        <f>IFERROR(VLOOKUP(G164,'G-1 All Habitats'!$B$2:$M$130,12,FALSE),"")</f>
        <v/>
      </c>
      <c r="Q164" s="81" t="str">
        <f>IFERROR(IF(P164="","",IF(AND(P164='G-1 All Habitats'!$X$3,T164&gt;0),U164+V164,IF(AND(P164='G-1 All Habitats'!$X$3,S164&gt;0),U164+V164,IF(AND(P164='G-1 All Habitats'!$X$3,AC164&gt;0),"Any Loss Unacceptable",IF(AND(P164='G-1 All Habitats'!$X$3,W164&gt;0),"Any Loss Unacceptable",H164*J164*L164*O164))))),"Check Data")</f>
        <v/>
      </c>
      <c r="R164" s="55"/>
      <c r="S164" s="79"/>
      <c r="T164" s="82"/>
      <c r="U164" s="83" t="str">
        <f t="shared" si="13"/>
        <v/>
      </c>
      <c r="V164" s="83" t="str">
        <f t="shared" si="14"/>
        <v/>
      </c>
      <c r="W164" s="83" t="str">
        <f>IF(E164="","",IF(H164&lt;S164+T164,"Error in Areas",IF(P164&lt;&gt;'G-1 All Habitats'!$X$3,H164-S164-T164,IF(AND(P164='G-1 All Habitats'!$X$3,Y164="Yes"),"Unacceptable Loss",IF(AND(P164='G-1 All Habitats'!$X$3,Y164="No"),AC164,IF(AND(P164='G-1 All Habitats'!$X$3,Y164=""),AC164,IF(AND(P164='G-1 All Habitats'!$X$3,AC164="None",AC164),IF(AND(P164='G-1 All Habitats'!$X$3,AC164&gt;0),H164-S164-T164))))))))</f>
        <v/>
      </c>
      <c r="X164" s="84" t="str">
        <f>IFERROR(IF(H164="","",IF(H164-S164-T164=0&lt;0,"Error in Areas",IF(S164+T164&gt;H164,"Error in Areas",IF(AND(P164='G-1 All Habitats'!$X$3,Y164="Yes"),"Alternative Compensation",IF(W164=0,0,IF(P164='G-1 All Habitats'!$X$3,"Unacceptable Loss",Q164-U164-V164)))))),"Check Data")</f>
        <v/>
      </c>
      <c r="Y164" s="82"/>
      <c r="Z164" s="92"/>
      <c r="AA164" s="93"/>
      <c r="AC164" s="87" t="str">
        <f>IF(P164="","",IF(P164='G-1 All Habitats'!$X$3,H164-S164-T164,"None"))</f>
        <v/>
      </c>
      <c r="AD164" s="88" t="str">
        <f>IFERROR(AC164*J164*L164*#REF!*O164,IF(P164="","","None"))</f>
        <v/>
      </c>
      <c r="AF164" s="59" t="str">
        <f t="shared" si="10"/>
        <v/>
      </c>
      <c r="AG164" s="59" t="str">
        <f t="shared" si="11"/>
        <v/>
      </c>
      <c r="AH164" s="59" t="str">
        <f>IF(I164="","",IF(#REF!&gt;0,TRUE,FALSE))</f>
        <v/>
      </c>
      <c r="AI164" s="59">
        <v>154</v>
      </c>
      <c r="AJ164" s="59"/>
      <c r="AK164" s="59" t="str">
        <f t="array" ref="AK164">IFERROR(INDEX($AI$11:$AI$259, MATCH(0, IF(TRUE=$AF$11:$AF$259, COUNTIF($AK$10:$AK163, $AI$11:$AI$259), ""), 0)),"")</f>
        <v/>
      </c>
      <c r="AL164" s="59" t="str">
        <f t="array" ref="AL164">IFERROR(INDEX($AI$11:$AI$259, MATCH(0, IF(TRUE=$AG$11:$AG$259, COUNTIF($AL$10:$AL163, $AI$11:$AI$259), ""), 0)),"")</f>
        <v/>
      </c>
      <c r="AM164" s="59" t="str">
        <f t="array" ref="AM164">IFERROR(INDEX($AI$11:$AI$259, MATCH(0, IF(TRUE=$AH$11:$AH$259, COUNTIF($AM$10:$AM163, $AI$11:$AI$259), ""), 0)),"")</f>
        <v/>
      </c>
      <c r="AN164" s="59"/>
      <c r="AQ164" s="52">
        <f t="shared" si="12"/>
        <v>0</v>
      </c>
    </row>
    <row r="165" spans="1:43" x14ac:dyDescent="0.25">
      <c r="A165" s="52" t="str">
        <f>IFERROR(INDEX('G-1 All Habitats'!$AG$3:$AG$15,MATCH(E165,'G-1 All Habitats'!$AF$3:$AF$15,0)),"")</f>
        <v/>
      </c>
      <c r="B165" s="52" t="str">
        <f>IFERROR(INDEX('G-8 Condition Look up'!$I$4:$I$131,MATCH(G165,'G-8 Condition Look up'!$A$4:$A$131,0)),"")</f>
        <v/>
      </c>
      <c r="D165" s="89">
        <v>155</v>
      </c>
      <c r="E165" s="90"/>
      <c r="F165" s="91"/>
      <c r="G165" s="75" t="str">
        <f>IFERROR(INDEX('G-1 All Habitats'!$B$3:$B$130,MATCH(F165,'G-1 All Habitats'!$A$3:$A$130,0)),"")</f>
        <v/>
      </c>
      <c r="H165" s="76"/>
      <c r="I165" s="77" t="str">
        <f>IF(G165="","",VLOOKUP(G165,'G-1 All Habitats'!$B$2:$M$130,10,FALSE))</f>
        <v/>
      </c>
      <c r="J165" s="78" t="str">
        <f>IFERROR(VLOOKUP(I165,'G-1 All Habitats'!$V$3:$W$7,2,FALSE),"")</f>
        <v/>
      </c>
      <c r="K165" s="79"/>
      <c r="L165" s="78" t="str">
        <f>IFERROR(INDEX('G-8 Condition Look up'!$A$3:$H$131,MATCH(G165,'G-8 Condition Look up'!$A$3:$A$131,0),MATCH(K165,'G-8 Condition Look up'!$A$3:$H$3,0)),"")</f>
        <v/>
      </c>
      <c r="M165" s="79"/>
      <c r="N165" s="348" t="str">
        <f>IF(M165="","",IF(VLOOKUP(M165,'G-3 Multipliers'!$L$3:$N$6,2,FALSE)=0,"Spatial Data Missing",VLOOKUP(M165,'G-3 Multipliers'!$L$3:$N$6,2,FALSE)))</f>
        <v/>
      </c>
      <c r="O165" s="569" t="str">
        <f>IF(M165="","",IF(VLOOKUP(M165,'G-3 Multipliers'!$L$3:$N$6,3,FALSE)=0,"Spatial Data Missing",VLOOKUP(M165,'G-3 Multipliers'!$L$3:$N$6,3,FALSE)))</f>
        <v/>
      </c>
      <c r="P165" s="80" t="str">
        <f>IFERROR(VLOOKUP(G165,'G-1 All Habitats'!$B$2:$M$130,12,FALSE),"")</f>
        <v/>
      </c>
      <c r="Q165" s="81" t="str">
        <f>IFERROR(IF(P165="","",IF(AND(P165='G-1 All Habitats'!$X$3,T165&gt;0),U165+V165,IF(AND(P165='G-1 All Habitats'!$X$3,S165&gt;0),U165+V165,IF(AND(P165='G-1 All Habitats'!$X$3,AC165&gt;0),"Any Loss Unacceptable",IF(AND(P165='G-1 All Habitats'!$X$3,W165&gt;0),"Any Loss Unacceptable",H165*J165*L165*O165))))),"Check Data")</f>
        <v/>
      </c>
      <c r="R165" s="55"/>
      <c r="S165" s="79"/>
      <c r="T165" s="82"/>
      <c r="U165" s="83" t="str">
        <f t="shared" si="13"/>
        <v/>
      </c>
      <c r="V165" s="83" t="str">
        <f t="shared" si="14"/>
        <v/>
      </c>
      <c r="W165" s="83" t="str">
        <f>IF(E165="","",IF(H165&lt;S165+T165,"Error in Areas",IF(P165&lt;&gt;'G-1 All Habitats'!$X$3,H165-S165-T165,IF(AND(P165='G-1 All Habitats'!$X$3,Y165="Yes"),"Unacceptable Loss",IF(AND(P165='G-1 All Habitats'!$X$3,Y165="No"),AC165,IF(AND(P165='G-1 All Habitats'!$X$3,Y165=""),AC165,IF(AND(P165='G-1 All Habitats'!$X$3,AC165="None",AC165),IF(AND(P165='G-1 All Habitats'!$X$3,AC165&gt;0),H165-S165-T165))))))))</f>
        <v/>
      </c>
      <c r="X165" s="84" t="str">
        <f>IFERROR(IF(H165="","",IF(H165-S165-T165=0&lt;0,"Error in Areas",IF(S165+T165&gt;H165,"Error in Areas",IF(AND(P165='G-1 All Habitats'!$X$3,Y165="Yes"),"Alternative Compensation",IF(W165=0,0,IF(P165='G-1 All Habitats'!$X$3,"Unacceptable Loss",Q165-U165-V165)))))),"Check Data")</f>
        <v/>
      </c>
      <c r="Y165" s="82"/>
      <c r="Z165" s="92"/>
      <c r="AA165" s="93"/>
      <c r="AC165" s="87" t="str">
        <f>IF(P165="","",IF(P165='G-1 All Habitats'!$X$3,H165-S165-T165,"None"))</f>
        <v/>
      </c>
      <c r="AD165" s="88" t="str">
        <f>IFERROR(AC165*J165*L165*#REF!*O165,IF(P165="","","None"))</f>
        <v/>
      </c>
      <c r="AF165" s="59" t="str">
        <f t="shared" si="10"/>
        <v/>
      </c>
      <c r="AG165" s="59" t="str">
        <f t="shared" si="11"/>
        <v/>
      </c>
      <c r="AH165" s="59" t="str">
        <f>IF(I165="","",IF(#REF!&gt;0,TRUE,FALSE))</f>
        <v/>
      </c>
      <c r="AI165" s="59">
        <v>155</v>
      </c>
      <c r="AJ165" s="59"/>
      <c r="AK165" s="59" t="str">
        <f t="array" ref="AK165">IFERROR(INDEX($AI$11:$AI$259, MATCH(0, IF(TRUE=$AF$11:$AF$259, COUNTIF($AK$10:$AK164, $AI$11:$AI$259), ""), 0)),"")</f>
        <v/>
      </c>
      <c r="AL165" s="59" t="str">
        <f t="array" ref="AL165">IFERROR(INDEX($AI$11:$AI$259, MATCH(0, IF(TRUE=$AG$11:$AG$259, COUNTIF($AL$10:$AL164, $AI$11:$AI$259), ""), 0)),"")</f>
        <v/>
      </c>
      <c r="AM165" s="59" t="str">
        <f t="array" ref="AM165">IFERROR(INDEX($AI$11:$AI$259, MATCH(0, IF(TRUE=$AH$11:$AH$259, COUNTIF($AM$10:$AM164, $AI$11:$AI$259), ""), 0)),"")</f>
        <v/>
      </c>
      <c r="AN165" s="59"/>
      <c r="AQ165" s="52">
        <f t="shared" si="12"/>
        <v>0</v>
      </c>
    </row>
    <row r="166" spans="1:43" x14ac:dyDescent="0.25">
      <c r="A166" s="52" t="str">
        <f>IFERROR(INDEX('G-1 All Habitats'!$AG$3:$AG$15,MATCH(E166,'G-1 All Habitats'!$AF$3:$AF$15,0)),"")</f>
        <v/>
      </c>
      <c r="B166" s="52" t="str">
        <f>IFERROR(INDEX('G-8 Condition Look up'!$I$4:$I$131,MATCH(G166,'G-8 Condition Look up'!$A$4:$A$131,0)),"")</f>
        <v/>
      </c>
      <c r="D166" s="89">
        <v>156</v>
      </c>
      <c r="E166" s="90"/>
      <c r="F166" s="91"/>
      <c r="G166" s="75" t="str">
        <f>IFERROR(INDEX('G-1 All Habitats'!$B$3:$B$130,MATCH(F166,'G-1 All Habitats'!$A$3:$A$130,0)),"")</f>
        <v/>
      </c>
      <c r="H166" s="76"/>
      <c r="I166" s="77" t="str">
        <f>IF(G166="","",VLOOKUP(G166,'G-1 All Habitats'!$B$2:$M$130,10,FALSE))</f>
        <v/>
      </c>
      <c r="J166" s="78" t="str">
        <f>IFERROR(VLOOKUP(I166,'G-1 All Habitats'!$V$3:$W$7,2,FALSE),"")</f>
        <v/>
      </c>
      <c r="K166" s="79"/>
      <c r="L166" s="78" t="str">
        <f>IFERROR(INDEX('G-8 Condition Look up'!$A$3:$H$131,MATCH(G166,'G-8 Condition Look up'!$A$3:$A$131,0),MATCH(K166,'G-8 Condition Look up'!$A$3:$H$3,0)),"")</f>
        <v/>
      </c>
      <c r="M166" s="79"/>
      <c r="N166" s="348" t="str">
        <f>IF(M166="","",IF(VLOOKUP(M166,'G-3 Multipliers'!$L$3:$N$6,2,FALSE)=0,"Spatial Data Missing",VLOOKUP(M166,'G-3 Multipliers'!$L$3:$N$6,2,FALSE)))</f>
        <v/>
      </c>
      <c r="O166" s="569" t="str">
        <f>IF(M166="","",IF(VLOOKUP(M166,'G-3 Multipliers'!$L$3:$N$6,3,FALSE)=0,"Spatial Data Missing",VLOOKUP(M166,'G-3 Multipliers'!$L$3:$N$6,3,FALSE)))</f>
        <v/>
      </c>
      <c r="P166" s="80" t="str">
        <f>IFERROR(VLOOKUP(G166,'G-1 All Habitats'!$B$2:$M$130,12,FALSE),"")</f>
        <v/>
      </c>
      <c r="Q166" s="81" t="str">
        <f>IFERROR(IF(P166="","",IF(AND(P166='G-1 All Habitats'!$X$3,T166&gt;0),U166+V166,IF(AND(P166='G-1 All Habitats'!$X$3,S166&gt;0),U166+V166,IF(AND(P166='G-1 All Habitats'!$X$3,AC166&gt;0),"Any Loss Unacceptable",IF(AND(P166='G-1 All Habitats'!$X$3,W166&gt;0),"Any Loss Unacceptable",H166*J166*L166*O166))))),"Check Data")</f>
        <v/>
      </c>
      <c r="R166" s="55"/>
      <c r="S166" s="79"/>
      <c r="T166" s="82"/>
      <c r="U166" s="83" t="str">
        <f t="shared" si="13"/>
        <v/>
      </c>
      <c r="V166" s="83" t="str">
        <f t="shared" si="14"/>
        <v/>
      </c>
      <c r="W166" s="83" t="str">
        <f>IF(E166="","",IF(H166&lt;S166+T166,"Error in Areas",IF(P166&lt;&gt;'G-1 All Habitats'!$X$3,H166-S166-T166,IF(AND(P166='G-1 All Habitats'!$X$3,Y166="Yes"),"Unacceptable Loss",IF(AND(P166='G-1 All Habitats'!$X$3,Y166="No"),AC166,IF(AND(P166='G-1 All Habitats'!$X$3,Y166=""),AC166,IF(AND(P166='G-1 All Habitats'!$X$3,AC166="None",AC166),IF(AND(P166='G-1 All Habitats'!$X$3,AC166&gt;0),H166-S166-T166))))))))</f>
        <v/>
      </c>
      <c r="X166" s="84" t="str">
        <f>IFERROR(IF(H166="","",IF(H166-S166-T166=0&lt;0,"Error in Areas",IF(S166+T166&gt;H166,"Error in Areas",IF(AND(P166='G-1 All Habitats'!$X$3,Y166="Yes"),"Alternative Compensation",IF(W166=0,0,IF(P166='G-1 All Habitats'!$X$3,"Unacceptable Loss",Q166-U166-V166)))))),"Check Data")</f>
        <v/>
      </c>
      <c r="Y166" s="82"/>
      <c r="Z166" s="92"/>
      <c r="AA166" s="93"/>
      <c r="AC166" s="87" t="str">
        <f>IF(P166="","",IF(P166='G-1 All Habitats'!$X$3,H166-S166-T166,"None"))</f>
        <v/>
      </c>
      <c r="AD166" s="88" t="str">
        <f>IFERROR(AC166*J166*L166*#REF!*O166,IF(P166="","","None"))</f>
        <v/>
      </c>
      <c r="AF166" s="59" t="str">
        <f t="shared" si="10"/>
        <v/>
      </c>
      <c r="AG166" s="59" t="str">
        <f t="shared" si="11"/>
        <v/>
      </c>
      <c r="AH166" s="59" t="str">
        <f>IF(I166="","",IF(#REF!&gt;0,TRUE,FALSE))</f>
        <v/>
      </c>
      <c r="AI166" s="59">
        <v>156</v>
      </c>
      <c r="AJ166" s="59"/>
      <c r="AK166" s="59" t="str">
        <f t="array" ref="AK166">IFERROR(INDEX($AI$11:$AI$259, MATCH(0, IF(TRUE=$AF$11:$AF$259, COUNTIF($AK$10:$AK165, $AI$11:$AI$259), ""), 0)),"")</f>
        <v/>
      </c>
      <c r="AL166" s="59" t="str">
        <f t="array" ref="AL166">IFERROR(INDEX($AI$11:$AI$259, MATCH(0, IF(TRUE=$AG$11:$AG$259, COUNTIF($AL$10:$AL165, $AI$11:$AI$259), ""), 0)),"")</f>
        <v/>
      </c>
      <c r="AM166" s="59" t="str">
        <f t="array" ref="AM166">IFERROR(INDEX($AI$11:$AI$259, MATCH(0, IF(TRUE=$AH$11:$AH$259, COUNTIF($AM$10:$AM165, $AI$11:$AI$259), ""), 0)),"")</f>
        <v/>
      </c>
      <c r="AN166" s="59"/>
      <c r="AQ166" s="52">
        <f t="shared" si="12"/>
        <v>0</v>
      </c>
    </row>
    <row r="167" spans="1:43" x14ac:dyDescent="0.25">
      <c r="A167" s="52" t="str">
        <f>IFERROR(INDEX('G-1 All Habitats'!$AG$3:$AG$15,MATCH(E167,'G-1 All Habitats'!$AF$3:$AF$15,0)),"")</f>
        <v/>
      </c>
      <c r="B167" s="52" t="str">
        <f>IFERROR(INDEX('G-8 Condition Look up'!$I$4:$I$131,MATCH(G167,'G-8 Condition Look up'!$A$4:$A$131,0)),"")</f>
        <v/>
      </c>
      <c r="D167" s="89">
        <v>157</v>
      </c>
      <c r="E167" s="90"/>
      <c r="F167" s="91"/>
      <c r="G167" s="75" t="str">
        <f>IFERROR(INDEX('G-1 All Habitats'!$B$3:$B$130,MATCH(F167,'G-1 All Habitats'!$A$3:$A$130,0)),"")</f>
        <v/>
      </c>
      <c r="H167" s="76"/>
      <c r="I167" s="77" t="str">
        <f>IF(G167="","",VLOOKUP(G167,'G-1 All Habitats'!$B$2:$M$130,10,FALSE))</f>
        <v/>
      </c>
      <c r="J167" s="78" t="str">
        <f>IFERROR(VLOOKUP(I167,'G-1 All Habitats'!$V$3:$W$7,2,FALSE),"")</f>
        <v/>
      </c>
      <c r="K167" s="79"/>
      <c r="L167" s="78" t="str">
        <f>IFERROR(INDEX('G-8 Condition Look up'!$A$3:$H$131,MATCH(G167,'G-8 Condition Look up'!$A$3:$A$131,0),MATCH(K167,'G-8 Condition Look up'!$A$3:$H$3,0)),"")</f>
        <v/>
      </c>
      <c r="M167" s="79"/>
      <c r="N167" s="348" t="str">
        <f>IF(M167="","",IF(VLOOKUP(M167,'G-3 Multipliers'!$L$3:$N$6,2,FALSE)=0,"Spatial Data Missing",VLOOKUP(M167,'G-3 Multipliers'!$L$3:$N$6,2,FALSE)))</f>
        <v/>
      </c>
      <c r="O167" s="569" t="str">
        <f>IF(M167="","",IF(VLOOKUP(M167,'G-3 Multipliers'!$L$3:$N$6,3,FALSE)=0,"Spatial Data Missing",VLOOKUP(M167,'G-3 Multipliers'!$L$3:$N$6,3,FALSE)))</f>
        <v/>
      </c>
      <c r="P167" s="80" t="str">
        <f>IFERROR(VLOOKUP(G167,'G-1 All Habitats'!$B$2:$M$130,12,FALSE),"")</f>
        <v/>
      </c>
      <c r="Q167" s="81" t="str">
        <f>IFERROR(IF(P167="","",IF(AND(P167='G-1 All Habitats'!$X$3,T167&gt;0),U167+V167,IF(AND(P167='G-1 All Habitats'!$X$3,S167&gt;0),U167+V167,IF(AND(P167='G-1 All Habitats'!$X$3,AC167&gt;0),"Any Loss Unacceptable",IF(AND(P167='G-1 All Habitats'!$X$3,W167&gt;0),"Any Loss Unacceptable",H167*J167*L167*O167))))),"Check Data")</f>
        <v/>
      </c>
      <c r="R167" s="55"/>
      <c r="S167" s="79"/>
      <c r="T167" s="82"/>
      <c r="U167" s="83" t="str">
        <f t="shared" si="13"/>
        <v/>
      </c>
      <c r="V167" s="83" t="str">
        <f t="shared" si="14"/>
        <v/>
      </c>
      <c r="W167" s="83" t="str">
        <f>IF(E167="","",IF(H167&lt;S167+T167,"Error in Areas",IF(P167&lt;&gt;'G-1 All Habitats'!$X$3,H167-S167-T167,IF(AND(P167='G-1 All Habitats'!$X$3,Y167="Yes"),"Unacceptable Loss",IF(AND(P167='G-1 All Habitats'!$X$3,Y167="No"),AC167,IF(AND(P167='G-1 All Habitats'!$X$3,Y167=""),AC167,IF(AND(P167='G-1 All Habitats'!$X$3,AC167="None",AC167),IF(AND(P167='G-1 All Habitats'!$X$3,AC167&gt;0),H167-S167-T167))))))))</f>
        <v/>
      </c>
      <c r="X167" s="84" t="str">
        <f>IFERROR(IF(H167="","",IF(H167-S167-T167=0&lt;0,"Error in Areas",IF(S167+T167&gt;H167,"Error in Areas",IF(AND(P167='G-1 All Habitats'!$X$3,Y167="Yes"),"Alternative Compensation",IF(W167=0,0,IF(P167='G-1 All Habitats'!$X$3,"Unacceptable Loss",Q167-U167-V167)))))),"Check Data")</f>
        <v/>
      </c>
      <c r="Y167" s="82"/>
      <c r="Z167" s="92"/>
      <c r="AA167" s="93"/>
      <c r="AC167" s="87" t="str">
        <f>IF(P167="","",IF(P167='G-1 All Habitats'!$X$3,H167-S167-T167,"None"))</f>
        <v/>
      </c>
      <c r="AD167" s="88" t="str">
        <f>IFERROR(AC167*J167*L167*#REF!*O167,IF(P167="","","None"))</f>
        <v/>
      </c>
      <c r="AF167" s="59" t="str">
        <f t="shared" si="10"/>
        <v/>
      </c>
      <c r="AG167" s="59" t="str">
        <f t="shared" si="11"/>
        <v/>
      </c>
      <c r="AH167" s="59" t="str">
        <f>IF(I167="","",IF(#REF!&gt;0,TRUE,FALSE))</f>
        <v/>
      </c>
      <c r="AI167" s="59">
        <v>157</v>
      </c>
      <c r="AJ167" s="59"/>
      <c r="AK167" s="59" t="str">
        <f t="array" ref="AK167">IFERROR(INDEX($AI$11:$AI$259, MATCH(0, IF(TRUE=$AF$11:$AF$259, COUNTIF($AK$10:$AK166, $AI$11:$AI$259), ""), 0)),"")</f>
        <v/>
      </c>
      <c r="AL167" s="59" t="str">
        <f t="array" ref="AL167">IFERROR(INDEX($AI$11:$AI$259, MATCH(0, IF(TRUE=$AG$11:$AG$259, COUNTIF($AL$10:$AL166, $AI$11:$AI$259), ""), 0)),"")</f>
        <v/>
      </c>
      <c r="AM167" s="59" t="str">
        <f t="array" ref="AM167">IFERROR(INDEX($AI$11:$AI$259, MATCH(0, IF(TRUE=$AH$11:$AH$259, COUNTIF($AM$10:$AM166, $AI$11:$AI$259), ""), 0)),"")</f>
        <v/>
      </c>
      <c r="AN167" s="59"/>
      <c r="AQ167" s="52">
        <f t="shared" si="12"/>
        <v>0</v>
      </c>
    </row>
    <row r="168" spans="1:43" x14ac:dyDescent="0.25">
      <c r="A168" s="52" t="str">
        <f>IFERROR(INDEX('G-1 All Habitats'!$AG$3:$AG$15,MATCH(E168,'G-1 All Habitats'!$AF$3:$AF$15,0)),"")</f>
        <v/>
      </c>
      <c r="B168" s="52" t="str">
        <f>IFERROR(INDEX('G-8 Condition Look up'!$I$4:$I$131,MATCH(G168,'G-8 Condition Look up'!$A$4:$A$131,0)),"")</f>
        <v/>
      </c>
      <c r="D168" s="89">
        <v>158</v>
      </c>
      <c r="E168" s="90"/>
      <c r="F168" s="91"/>
      <c r="G168" s="75" t="str">
        <f>IFERROR(INDEX('G-1 All Habitats'!$B$3:$B$130,MATCH(F168,'G-1 All Habitats'!$A$3:$A$130,0)),"")</f>
        <v/>
      </c>
      <c r="H168" s="76"/>
      <c r="I168" s="77" t="str">
        <f>IF(G168="","",VLOOKUP(G168,'G-1 All Habitats'!$B$2:$M$130,10,FALSE))</f>
        <v/>
      </c>
      <c r="J168" s="78" t="str">
        <f>IFERROR(VLOOKUP(I168,'G-1 All Habitats'!$V$3:$W$7,2,FALSE),"")</f>
        <v/>
      </c>
      <c r="K168" s="79"/>
      <c r="L168" s="78" t="str">
        <f>IFERROR(INDEX('G-8 Condition Look up'!$A$3:$H$131,MATCH(G168,'G-8 Condition Look up'!$A$3:$A$131,0),MATCH(K168,'G-8 Condition Look up'!$A$3:$H$3,0)),"")</f>
        <v/>
      </c>
      <c r="M168" s="79"/>
      <c r="N168" s="348" t="str">
        <f>IF(M168="","",IF(VLOOKUP(M168,'G-3 Multipliers'!$L$3:$N$6,2,FALSE)=0,"Spatial Data Missing",VLOOKUP(M168,'G-3 Multipliers'!$L$3:$N$6,2,FALSE)))</f>
        <v/>
      </c>
      <c r="O168" s="569" t="str">
        <f>IF(M168="","",IF(VLOOKUP(M168,'G-3 Multipliers'!$L$3:$N$6,3,FALSE)=0,"Spatial Data Missing",VLOOKUP(M168,'G-3 Multipliers'!$L$3:$N$6,3,FALSE)))</f>
        <v/>
      </c>
      <c r="P168" s="80" t="str">
        <f>IFERROR(VLOOKUP(G168,'G-1 All Habitats'!$B$2:$M$130,12,FALSE),"")</f>
        <v/>
      </c>
      <c r="Q168" s="81" t="str">
        <f>IFERROR(IF(P168="","",IF(AND(P168='G-1 All Habitats'!$X$3,T168&gt;0),U168+V168,IF(AND(P168='G-1 All Habitats'!$X$3,S168&gt;0),U168+V168,IF(AND(P168='G-1 All Habitats'!$X$3,AC168&gt;0),"Any Loss Unacceptable",IF(AND(P168='G-1 All Habitats'!$X$3,W168&gt;0),"Any Loss Unacceptable",H168*J168*L168*O168))))),"Check Data")</f>
        <v/>
      </c>
      <c r="R168" s="55"/>
      <c r="S168" s="79"/>
      <c r="T168" s="82"/>
      <c r="U168" s="83" t="str">
        <f t="shared" si="13"/>
        <v/>
      </c>
      <c r="V168" s="83" t="str">
        <f t="shared" si="14"/>
        <v/>
      </c>
      <c r="W168" s="83" t="str">
        <f>IF(E168="","",IF(H168&lt;S168+T168,"Error in Areas",IF(P168&lt;&gt;'G-1 All Habitats'!$X$3,H168-S168-T168,IF(AND(P168='G-1 All Habitats'!$X$3,Y168="Yes"),"Unacceptable Loss",IF(AND(P168='G-1 All Habitats'!$X$3,Y168="No"),AC168,IF(AND(P168='G-1 All Habitats'!$X$3,Y168=""),AC168,IF(AND(P168='G-1 All Habitats'!$X$3,AC168="None",AC168),IF(AND(P168='G-1 All Habitats'!$X$3,AC168&gt;0),H168-S168-T168))))))))</f>
        <v/>
      </c>
      <c r="X168" s="84" t="str">
        <f>IFERROR(IF(H168="","",IF(H168-S168-T168=0&lt;0,"Error in Areas",IF(S168+T168&gt;H168,"Error in Areas",IF(AND(P168='G-1 All Habitats'!$X$3,Y168="Yes"),"Alternative Compensation",IF(W168=0,0,IF(P168='G-1 All Habitats'!$X$3,"Unacceptable Loss",Q168-U168-V168)))))),"Check Data")</f>
        <v/>
      </c>
      <c r="Y168" s="82"/>
      <c r="Z168" s="92"/>
      <c r="AA168" s="93"/>
      <c r="AC168" s="87" t="str">
        <f>IF(P168="","",IF(P168='G-1 All Habitats'!$X$3,H168-S168-T168,"None"))</f>
        <v/>
      </c>
      <c r="AD168" s="88" t="str">
        <f>IFERROR(AC168*J168*L168*#REF!*O168,IF(P168="","","None"))</f>
        <v/>
      </c>
      <c r="AF168" s="59" t="str">
        <f t="shared" si="10"/>
        <v/>
      </c>
      <c r="AG168" s="59" t="str">
        <f t="shared" si="11"/>
        <v/>
      </c>
      <c r="AH168" s="59" t="str">
        <f>IF(I168="","",IF(#REF!&gt;0,TRUE,FALSE))</f>
        <v/>
      </c>
      <c r="AI168" s="59">
        <v>158</v>
      </c>
      <c r="AJ168" s="59"/>
      <c r="AK168" s="59" t="str">
        <f t="array" ref="AK168">IFERROR(INDEX($AI$11:$AI$259, MATCH(0, IF(TRUE=$AF$11:$AF$259, COUNTIF($AK$10:$AK167, $AI$11:$AI$259), ""), 0)),"")</f>
        <v/>
      </c>
      <c r="AL168" s="59" t="str">
        <f t="array" ref="AL168">IFERROR(INDEX($AI$11:$AI$259, MATCH(0, IF(TRUE=$AG$11:$AG$259, COUNTIF($AL$10:$AL167, $AI$11:$AI$259), ""), 0)),"")</f>
        <v/>
      </c>
      <c r="AM168" s="59" t="str">
        <f t="array" ref="AM168">IFERROR(INDEX($AI$11:$AI$259, MATCH(0, IF(TRUE=$AH$11:$AH$259, COUNTIF($AM$10:$AM167, $AI$11:$AI$259), ""), 0)),"")</f>
        <v/>
      </c>
      <c r="AN168" s="59"/>
      <c r="AQ168" s="52">
        <f t="shared" si="12"/>
        <v>0</v>
      </c>
    </row>
    <row r="169" spans="1:43" x14ac:dyDescent="0.25">
      <c r="A169" s="52" t="str">
        <f>IFERROR(INDEX('G-1 All Habitats'!$AG$3:$AG$15,MATCH(E169,'G-1 All Habitats'!$AF$3:$AF$15,0)),"")</f>
        <v/>
      </c>
      <c r="B169" s="52" t="str">
        <f>IFERROR(INDEX('G-8 Condition Look up'!$I$4:$I$131,MATCH(G169,'G-8 Condition Look up'!$A$4:$A$131,0)),"")</f>
        <v/>
      </c>
      <c r="D169" s="89">
        <v>159</v>
      </c>
      <c r="E169" s="90"/>
      <c r="F169" s="91"/>
      <c r="G169" s="75" t="str">
        <f>IFERROR(INDEX('G-1 All Habitats'!$B$3:$B$130,MATCH(F169,'G-1 All Habitats'!$A$3:$A$130,0)),"")</f>
        <v/>
      </c>
      <c r="H169" s="76"/>
      <c r="I169" s="77" t="str">
        <f>IF(G169="","",VLOOKUP(G169,'G-1 All Habitats'!$B$2:$M$130,10,FALSE))</f>
        <v/>
      </c>
      <c r="J169" s="78" t="str">
        <f>IFERROR(VLOOKUP(I169,'G-1 All Habitats'!$V$3:$W$7,2,FALSE),"")</f>
        <v/>
      </c>
      <c r="K169" s="79"/>
      <c r="L169" s="78" t="str">
        <f>IFERROR(INDEX('G-8 Condition Look up'!$A$3:$H$131,MATCH(G169,'G-8 Condition Look up'!$A$3:$A$131,0),MATCH(K169,'G-8 Condition Look up'!$A$3:$H$3,0)),"")</f>
        <v/>
      </c>
      <c r="M169" s="79"/>
      <c r="N169" s="348" t="str">
        <f>IF(M169="","",IF(VLOOKUP(M169,'G-3 Multipliers'!$L$3:$N$6,2,FALSE)=0,"Spatial Data Missing",VLOOKUP(M169,'G-3 Multipliers'!$L$3:$N$6,2,FALSE)))</f>
        <v/>
      </c>
      <c r="O169" s="569" t="str">
        <f>IF(M169="","",IF(VLOOKUP(M169,'G-3 Multipliers'!$L$3:$N$6,3,FALSE)=0,"Spatial Data Missing",VLOOKUP(M169,'G-3 Multipliers'!$L$3:$N$6,3,FALSE)))</f>
        <v/>
      </c>
      <c r="P169" s="80" t="str">
        <f>IFERROR(VLOOKUP(G169,'G-1 All Habitats'!$B$2:$M$130,12,FALSE),"")</f>
        <v/>
      </c>
      <c r="Q169" s="81" t="str">
        <f>IFERROR(IF(P169="","",IF(AND(P169='G-1 All Habitats'!$X$3,T169&gt;0),U169+V169,IF(AND(P169='G-1 All Habitats'!$X$3,S169&gt;0),U169+V169,IF(AND(P169='G-1 All Habitats'!$X$3,AC169&gt;0),"Any Loss Unacceptable",IF(AND(P169='G-1 All Habitats'!$X$3,W169&gt;0),"Any Loss Unacceptable",H169*J169*L169*O169))))),"Check Data")</f>
        <v/>
      </c>
      <c r="R169" s="55"/>
      <c r="S169" s="79"/>
      <c r="T169" s="82"/>
      <c r="U169" s="83" t="str">
        <f t="shared" si="13"/>
        <v/>
      </c>
      <c r="V169" s="83" t="str">
        <f t="shared" si="14"/>
        <v/>
      </c>
      <c r="W169" s="83" t="str">
        <f>IF(E169="","",IF(H169&lt;S169+T169,"Error in Areas",IF(P169&lt;&gt;'G-1 All Habitats'!$X$3,H169-S169-T169,IF(AND(P169='G-1 All Habitats'!$X$3,Y169="Yes"),"Unacceptable Loss",IF(AND(P169='G-1 All Habitats'!$X$3,Y169="No"),AC169,IF(AND(P169='G-1 All Habitats'!$X$3,Y169=""),AC169,IF(AND(P169='G-1 All Habitats'!$X$3,AC169="None",AC169),IF(AND(P169='G-1 All Habitats'!$X$3,AC169&gt;0),H169-S169-T169))))))))</f>
        <v/>
      </c>
      <c r="X169" s="84" t="str">
        <f>IFERROR(IF(H169="","",IF(H169-S169-T169=0&lt;0,"Error in Areas",IF(S169+T169&gt;H169,"Error in Areas",IF(AND(P169='G-1 All Habitats'!$X$3,Y169="Yes"),"Alternative Compensation",IF(W169=0,0,IF(P169='G-1 All Habitats'!$X$3,"Unacceptable Loss",Q169-U169-V169)))))),"Check Data")</f>
        <v/>
      </c>
      <c r="Y169" s="82"/>
      <c r="Z169" s="92"/>
      <c r="AA169" s="93"/>
      <c r="AC169" s="87" t="str">
        <f>IF(P169="","",IF(P169='G-1 All Habitats'!$X$3,H169-S169-T169,"None"))</f>
        <v/>
      </c>
      <c r="AD169" s="88" t="str">
        <f>IFERROR(AC169*J169*L169*#REF!*O169,IF(P169="","","None"))</f>
        <v/>
      </c>
      <c r="AF169" s="59" t="str">
        <f t="shared" si="10"/>
        <v/>
      </c>
      <c r="AG169" s="59" t="str">
        <f t="shared" si="11"/>
        <v/>
      </c>
      <c r="AH169" s="59" t="str">
        <f>IF(I169="","",IF(#REF!&gt;0,TRUE,FALSE))</f>
        <v/>
      </c>
      <c r="AI169" s="59">
        <v>159</v>
      </c>
      <c r="AJ169" s="59"/>
      <c r="AK169" s="59" t="str">
        <f t="array" ref="AK169">IFERROR(INDEX($AI$11:$AI$259, MATCH(0, IF(TRUE=$AF$11:$AF$259, COUNTIF($AK$10:$AK168, $AI$11:$AI$259), ""), 0)),"")</f>
        <v/>
      </c>
      <c r="AL169" s="59" t="str">
        <f t="array" ref="AL169">IFERROR(INDEX($AI$11:$AI$259, MATCH(0, IF(TRUE=$AG$11:$AG$259, COUNTIF($AL$10:$AL168, $AI$11:$AI$259), ""), 0)),"")</f>
        <v/>
      </c>
      <c r="AM169" s="59" t="str">
        <f t="array" ref="AM169">IFERROR(INDEX($AI$11:$AI$259, MATCH(0, IF(TRUE=$AH$11:$AH$259, COUNTIF($AM$10:$AM168, $AI$11:$AI$259), ""), 0)),"")</f>
        <v/>
      </c>
      <c r="AN169" s="59"/>
      <c r="AQ169" s="52">
        <f t="shared" si="12"/>
        <v>0</v>
      </c>
    </row>
    <row r="170" spans="1:43" x14ac:dyDescent="0.25">
      <c r="A170" s="52" t="str">
        <f>IFERROR(INDEX('G-1 All Habitats'!$AG$3:$AG$15,MATCH(E170,'G-1 All Habitats'!$AF$3:$AF$15,0)),"")</f>
        <v/>
      </c>
      <c r="B170" s="52" t="str">
        <f>IFERROR(INDEX('G-8 Condition Look up'!$I$4:$I$131,MATCH(G170,'G-8 Condition Look up'!$A$4:$A$131,0)),"")</f>
        <v/>
      </c>
      <c r="D170" s="89">
        <v>160</v>
      </c>
      <c r="E170" s="90"/>
      <c r="F170" s="91"/>
      <c r="G170" s="75" t="str">
        <f>IFERROR(INDEX('G-1 All Habitats'!$B$3:$B$130,MATCH(F170,'G-1 All Habitats'!$A$3:$A$130,0)),"")</f>
        <v/>
      </c>
      <c r="H170" s="76"/>
      <c r="I170" s="77" t="str">
        <f>IF(G170="","",VLOOKUP(G170,'G-1 All Habitats'!$B$2:$M$130,10,FALSE))</f>
        <v/>
      </c>
      <c r="J170" s="78" t="str">
        <f>IFERROR(VLOOKUP(I170,'G-1 All Habitats'!$V$3:$W$7,2,FALSE),"")</f>
        <v/>
      </c>
      <c r="K170" s="79"/>
      <c r="L170" s="78" t="str">
        <f>IFERROR(INDEX('G-8 Condition Look up'!$A$3:$H$131,MATCH(G170,'G-8 Condition Look up'!$A$3:$A$131,0),MATCH(K170,'G-8 Condition Look up'!$A$3:$H$3,0)),"")</f>
        <v/>
      </c>
      <c r="M170" s="79"/>
      <c r="N170" s="348" t="str">
        <f>IF(M170="","",IF(VLOOKUP(M170,'G-3 Multipliers'!$L$3:$N$6,2,FALSE)=0,"Spatial Data Missing",VLOOKUP(M170,'G-3 Multipliers'!$L$3:$N$6,2,FALSE)))</f>
        <v/>
      </c>
      <c r="O170" s="569" t="str">
        <f>IF(M170="","",IF(VLOOKUP(M170,'G-3 Multipliers'!$L$3:$N$6,3,FALSE)=0,"Spatial Data Missing",VLOOKUP(M170,'G-3 Multipliers'!$L$3:$N$6,3,FALSE)))</f>
        <v/>
      </c>
      <c r="P170" s="80" t="str">
        <f>IFERROR(VLOOKUP(G170,'G-1 All Habitats'!$B$2:$M$130,12,FALSE),"")</f>
        <v/>
      </c>
      <c r="Q170" s="81" t="str">
        <f>IFERROR(IF(P170="","",IF(AND(P170='G-1 All Habitats'!$X$3,T170&gt;0),U170+V170,IF(AND(P170='G-1 All Habitats'!$X$3,S170&gt;0),U170+V170,IF(AND(P170='G-1 All Habitats'!$X$3,AC170&gt;0),"Any Loss Unacceptable",IF(AND(P170='G-1 All Habitats'!$X$3,W170&gt;0),"Any Loss Unacceptable",H170*J170*L170*O170))))),"Check Data")</f>
        <v/>
      </c>
      <c r="R170" s="55"/>
      <c r="S170" s="79"/>
      <c r="T170" s="82"/>
      <c r="U170" s="83" t="str">
        <f t="shared" si="13"/>
        <v/>
      </c>
      <c r="V170" s="83" t="str">
        <f t="shared" si="14"/>
        <v/>
      </c>
      <c r="W170" s="83" t="str">
        <f>IF(E170="","",IF(H170&lt;S170+T170,"Error in Areas",IF(P170&lt;&gt;'G-1 All Habitats'!$X$3,H170-S170-T170,IF(AND(P170='G-1 All Habitats'!$X$3,Y170="Yes"),"Unacceptable Loss",IF(AND(P170='G-1 All Habitats'!$X$3,Y170="No"),AC170,IF(AND(P170='G-1 All Habitats'!$X$3,Y170=""),AC170,IF(AND(P170='G-1 All Habitats'!$X$3,AC170="None",AC170),IF(AND(P170='G-1 All Habitats'!$X$3,AC170&gt;0),H170-S170-T170))))))))</f>
        <v/>
      </c>
      <c r="X170" s="84" t="str">
        <f>IFERROR(IF(H170="","",IF(H170-S170-T170=0&lt;0,"Error in Areas",IF(S170+T170&gt;H170,"Error in Areas",IF(AND(P170='G-1 All Habitats'!$X$3,Y170="Yes"),"Alternative Compensation",IF(W170=0,0,IF(P170='G-1 All Habitats'!$X$3,"Unacceptable Loss",Q170-U170-V170)))))),"Check Data")</f>
        <v/>
      </c>
      <c r="Y170" s="82"/>
      <c r="Z170" s="92"/>
      <c r="AA170" s="93"/>
      <c r="AC170" s="87" t="str">
        <f>IF(P170="","",IF(P170='G-1 All Habitats'!$X$3,H170-S170-T170,"None"))</f>
        <v/>
      </c>
      <c r="AD170" s="88" t="str">
        <f>IFERROR(AC170*J170*L170*#REF!*O170,IF(P170="","","None"))</f>
        <v/>
      </c>
      <c r="AF170" s="59" t="str">
        <f t="shared" si="10"/>
        <v/>
      </c>
      <c r="AG170" s="59" t="str">
        <f t="shared" si="11"/>
        <v/>
      </c>
      <c r="AH170" s="59" t="str">
        <f>IF(I170="","",IF(#REF!&gt;0,TRUE,FALSE))</f>
        <v/>
      </c>
      <c r="AI170" s="59">
        <v>160</v>
      </c>
      <c r="AJ170" s="59"/>
      <c r="AK170" s="59" t="str">
        <f t="array" ref="AK170">IFERROR(INDEX($AI$11:$AI$259, MATCH(0, IF(TRUE=$AF$11:$AF$259, COUNTIF($AK$10:$AK169, $AI$11:$AI$259), ""), 0)),"")</f>
        <v/>
      </c>
      <c r="AL170" s="59" t="str">
        <f t="array" ref="AL170">IFERROR(INDEX($AI$11:$AI$259, MATCH(0, IF(TRUE=$AG$11:$AG$259, COUNTIF($AL$10:$AL169, $AI$11:$AI$259), ""), 0)),"")</f>
        <v/>
      </c>
      <c r="AM170" s="59" t="str">
        <f t="array" ref="AM170">IFERROR(INDEX($AI$11:$AI$259, MATCH(0, IF(TRUE=$AH$11:$AH$259, COUNTIF($AM$10:$AM169, $AI$11:$AI$259), ""), 0)),"")</f>
        <v/>
      </c>
      <c r="AN170" s="59"/>
      <c r="AQ170" s="52">
        <f t="shared" si="12"/>
        <v>0</v>
      </c>
    </row>
    <row r="171" spans="1:43" x14ac:dyDescent="0.25">
      <c r="A171" s="52" t="str">
        <f>IFERROR(INDEX('G-1 All Habitats'!$AG$3:$AG$15,MATCH(E171,'G-1 All Habitats'!$AF$3:$AF$15,0)),"")</f>
        <v/>
      </c>
      <c r="B171" s="52" t="str">
        <f>IFERROR(INDEX('G-8 Condition Look up'!$I$4:$I$131,MATCH(G171,'G-8 Condition Look up'!$A$4:$A$131,0)),"")</f>
        <v/>
      </c>
      <c r="D171" s="89">
        <v>161</v>
      </c>
      <c r="E171" s="90"/>
      <c r="F171" s="91"/>
      <c r="G171" s="75" t="str">
        <f>IFERROR(INDEX('G-1 All Habitats'!$B$3:$B$130,MATCH(F171,'G-1 All Habitats'!$A$3:$A$130,0)),"")</f>
        <v/>
      </c>
      <c r="H171" s="76"/>
      <c r="I171" s="77" t="str">
        <f>IF(G171="","",VLOOKUP(G171,'G-1 All Habitats'!$B$2:$M$130,10,FALSE))</f>
        <v/>
      </c>
      <c r="J171" s="78" t="str">
        <f>IFERROR(VLOOKUP(I171,'G-1 All Habitats'!$V$3:$W$7,2,FALSE),"")</f>
        <v/>
      </c>
      <c r="K171" s="79"/>
      <c r="L171" s="78" t="str">
        <f>IFERROR(INDEX('G-8 Condition Look up'!$A$3:$H$131,MATCH(G171,'G-8 Condition Look up'!$A$3:$A$131,0),MATCH(K171,'G-8 Condition Look up'!$A$3:$H$3,0)),"")</f>
        <v/>
      </c>
      <c r="M171" s="79"/>
      <c r="N171" s="348" t="str">
        <f>IF(M171="","",IF(VLOOKUP(M171,'G-3 Multipliers'!$L$3:$N$6,2,FALSE)=0,"Spatial Data Missing",VLOOKUP(M171,'G-3 Multipliers'!$L$3:$N$6,2,FALSE)))</f>
        <v/>
      </c>
      <c r="O171" s="569" t="str">
        <f>IF(M171="","",IF(VLOOKUP(M171,'G-3 Multipliers'!$L$3:$N$6,3,FALSE)=0,"Spatial Data Missing",VLOOKUP(M171,'G-3 Multipliers'!$L$3:$N$6,3,FALSE)))</f>
        <v/>
      </c>
      <c r="P171" s="80" t="str">
        <f>IFERROR(VLOOKUP(G171,'G-1 All Habitats'!$B$2:$M$130,12,FALSE),"")</f>
        <v/>
      </c>
      <c r="Q171" s="81" t="str">
        <f>IFERROR(IF(P171="","",IF(AND(P171='G-1 All Habitats'!$X$3,T171&gt;0),U171+V171,IF(AND(P171='G-1 All Habitats'!$X$3,S171&gt;0),U171+V171,IF(AND(P171='G-1 All Habitats'!$X$3,AC171&gt;0),"Any Loss Unacceptable",IF(AND(P171='G-1 All Habitats'!$X$3,W171&gt;0),"Any Loss Unacceptable",H171*J171*L171*O171))))),"Check Data")</f>
        <v/>
      </c>
      <c r="R171" s="55"/>
      <c r="S171" s="79"/>
      <c r="T171" s="82"/>
      <c r="U171" s="83" t="str">
        <f t="shared" si="13"/>
        <v/>
      </c>
      <c r="V171" s="83" t="str">
        <f t="shared" si="14"/>
        <v/>
      </c>
      <c r="W171" s="83" t="str">
        <f>IF(E171="","",IF(H171&lt;S171+T171,"Error in Areas",IF(P171&lt;&gt;'G-1 All Habitats'!$X$3,H171-S171-T171,IF(AND(P171='G-1 All Habitats'!$X$3,Y171="Yes"),"Unacceptable Loss",IF(AND(P171='G-1 All Habitats'!$X$3,Y171="No"),AC171,IF(AND(P171='G-1 All Habitats'!$X$3,Y171=""),AC171,IF(AND(P171='G-1 All Habitats'!$X$3,AC171="None",AC171),IF(AND(P171='G-1 All Habitats'!$X$3,AC171&gt;0),H171-S171-T171))))))))</f>
        <v/>
      </c>
      <c r="X171" s="84" t="str">
        <f>IFERROR(IF(H171="","",IF(H171-S171-T171=0&lt;0,"Error in Areas",IF(S171+T171&gt;H171,"Error in Areas",IF(AND(P171='G-1 All Habitats'!$X$3,Y171="Yes"),"Alternative Compensation",IF(W171=0,0,IF(P171='G-1 All Habitats'!$X$3,"Unacceptable Loss",Q171-U171-V171)))))),"Check Data")</f>
        <v/>
      </c>
      <c r="Y171" s="82"/>
      <c r="Z171" s="92"/>
      <c r="AA171" s="93"/>
      <c r="AC171" s="87" t="str">
        <f>IF(P171="","",IF(P171='G-1 All Habitats'!$X$3,H171-S171-T171,"None"))</f>
        <v/>
      </c>
      <c r="AD171" s="88" t="str">
        <f>IFERROR(AC171*J171*L171*#REF!*O171,IF(P171="","","None"))</f>
        <v/>
      </c>
      <c r="AF171" s="59" t="str">
        <f t="shared" si="10"/>
        <v/>
      </c>
      <c r="AG171" s="59" t="str">
        <f t="shared" si="11"/>
        <v/>
      </c>
      <c r="AH171" s="59" t="str">
        <f>IF(I171="","",IF(#REF!&gt;0,TRUE,FALSE))</f>
        <v/>
      </c>
      <c r="AI171" s="59">
        <v>161</v>
      </c>
      <c r="AJ171" s="59"/>
      <c r="AK171" s="59" t="str">
        <f t="array" ref="AK171">IFERROR(INDEX($AI$11:$AI$259, MATCH(0, IF(TRUE=$AF$11:$AF$259, COUNTIF($AK$10:$AK170, $AI$11:$AI$259), ""), 0)),"")</f>
        <v/>
      </c>
      <c r="AL171" s="59" t="str">
        <f t="array" ref="AL171">IFERROR(INDEX($AI$11:$AI$259, MATCH(0, IF(TRUE=$AG$11:$AG$259, COUNTIF($AL$10:$AL170, $AI$11:$AI$259), ""), 0)),"")</f>
        <v/>
      </c>
      <c r="AM171" s="59" t="str">
        <f t="array" ref="AM171">IFERROR(INDEX($AI$11:$AI$259, MATCH(0, IF(TRUE=$AH$11:$AH$259, COUNTIF($AM$10:$AM170, $AI$11:$AI$259), ""), 0)),"")</f>
        <v/>
      </c>
      <c r="AN171" s="59"/>
      <c r="AQ171" s="52">
        <f t="shared" si="12"/>
        <v>0</v>
      </c>
    </row>
    <row r="172" spans="1:43" x14ac:dyDescent="0.25">
      <c r="A172" s="52" t="str">
        <f>IFERROR(INDEX('G-1 All Habitats'!$AG$3:$AG$15,MATCH(E172,'G-1 All Habitats'!$AF$3:$AF$15,0)),"")</f>
        <v/>
      </c>
      <c r="B172" s="52" t="str">
        <f>IFERROR(INDEX('G-8 Condition Look up'!$I$4:$I$131,MATCH(G172,'G-8 Condition Look up'!$A$4:$A$131,0)),"")</f>
        <v/>
      </c>
      <c r="D172" s="89">
        <v>162</v>
      </c>
      <c r="E172" s="90"/>
      <c r="F172" s="91"/>
      <c r="G172" s="75" t="str">
        <f>IFERROR(INDEX('G-1 All Habitats'!$B$3:$B$130,MATCH(F172,'G-1 All Habitats'!$A$3:$A$130,0)),"")</f>
        <v/>
      </c>
      <c r="H172" s="76"/>
      <c r="I172" s="77" t="str">
        <f>IF(G172="","",VLOOKUP(G172,'G-1 All Habitats'!$B$2:$M$130,10,FALSE))</f>
        <v/>
      </c>
      <c r="J172" s="78" t="str">
        <f>IFERROR(VLOOKUP(I172,'G-1 All Habitats'!$V$3:$W$7,2,FALSE),"")</f>
        <v/>
      </c>
      <c r="K172" s="79"/>
      <c r="L172" s="78" t="str">
        <f>IFERROR(INDEX('G-8 Condition Look up'!$A$3:$H$131,MATCH(G172,'G-8 Condition Look up'!$A$3:$A$131,0),MATCH(K172,'G-8 Condition Look up'!$A$3:$H$3,0)),"")</f>
        <v/>
      </c>
      <c r="M172" s="79"/>
      <c r="N172" s="348" t="str">
        <f>IF(M172="","",IF(VLOOKUP(M172,'G-3 Multipliers'!$L$3:$N$6,2,FALSE)=0,"Spatial Data Missing",VLOOKUP(M172,'G-3 Multipliers'!$L$3:$N$6,2,FALSE)))</f>
        <v/>
      </c>
      <c r="O172" s="569" t="str">
        <f>IF(M172="","",IF(VLOOKUP(M172,'G-3 Multipliers'!$L$3:$N$6,3,FALSE)=0,"Spatial Data Missing",VLOOKUP(M172,'G-3 Multipliers'!$L$3:$N$6,3,FALSE)))</f>
        <v/>
      </c>
      <c r="P172" s="80" t="str">
        <f>IFERROR(VLOOKUP(G172,'G-1 All Habitats'!$B$2:$M$130,12,FALSE),"")</f>
        <v/>
      </c>
      <c r="Q172" s="81" t="str">
        <f>IFERROR(IF(P172="","",IF(AND(P172='G-1 All Habitats'!$X$3,T172&gt;0),U172+V172,IF(AND(P172='G-1 All Habitats'!$X$3,S172&gt;0),U172+V172,IF(AND(P172='G-1 All Habitats'!$X$3,AC172&gt;0),"Any Loss Unacceptable",IF(AND(P172='G-1 All Habitats'!$X$3,W172&gt;0),"Any Loss Unacceptable",H172*J172*L172*O172))))),"Check Data")</f>
        <v/>
      </c>
      <c r="R172" s="55"/>
      <c r="S172" s="79"/>
      <c r="T172" s="82"/>
      <c r="U172" s="83" t="str">
        <f t="shared" si="13"/>
        <v/>
      </c>
      <c r="V172" s="83" t="str">
        <f t="shared" si="14"/>
        <v/>
      </c>
      <c r="W172" s="83" t="str">
        <f>IF(E172="","",IF(H172&lt;S172+T172,"Error in Areas",IF(P172&lt;&gt;'G-1 All Habitats'!$X$3,H172-S172-T172,IF(AND(P172='G-1 All Habitats'!$X$3,Y172="Yes"),"Unacceptable Loss",IF(AND(P172='G-1 All Habitats'!$X$3,Y172="No"),AC172,IF(AND(P172='G-1 All Habitats'!$X$3,Y172=""),AC172,IF(AND(P172='G-1 All Habitats'!$X$3,AC172="None",AC172),IF(AND(P172='G-1 All Habitats'!$X$3,AC172&gt;0),H172-S172-T172))))))))</f>
        <v/>
      </c>
      <c r="X172" s="84" t="str">
        <f>IFERROR(IF(H172="","",IF(H172-S172-T172=0&lt;0,"Error in Areas",IF(S172+T172&gt;H172,"Error in Areas",IF(AND(P172='G-1 All Habitats'!$X$3,Y172="Yes"),"Alternative Compensation",IF(W172=0,0,IF(P172='G-1 All Habitats'!$X$3,"Unacceptable Loss",Q172-U172-V172)))))),"Check Data")</f>
        <v/>
      </c>
      <c r="Y172" s="82"/>
      <c r="Z172" s="92"/>
      <c r="AA172" s="93"/>
      <c r="AC172" s="87" t="str">
        <f>IF(P172="","",IF(P172='G-1 All Habitats'!$X$3,H172-S172-T172,"None"))</f>
        <v/>
      </c>
      <c r="AD172" s="88" t="str">
        <f>IFERROR(AC172*J172*L172*#REF!*O172,IF(P172="","","None"))</f>
        <v/>
      </c>
      <c r="AF172" s="59" t="str">
        <f t="shared" si="10"/>
        <v/>
      </c>
      <c r="AG172" s="59" t="str">
        <f t="shared" si="11"/>
        <v/>
      </c>
      <c r="AH172" s="59" t="str">
        <f>IF(I172="","",IF(#REF!&gt;0,TRUE,FALSE))</f>
        <v/>
      </c>
      <c r="AI172" s="59">
        <v>162</v>
      </c>
      <c r="AJ172" s="59"/>
      <c r="AK172" s="59" t="str">
        <f t="array" ref="AK172">IFERROR(INDEX($AI$11:$AI$259, MATCH(0, IF(TRUE=$AF$11:$AF$259, COUNTIF($AK$10:$AK171, $AI$11:$AI$259), ""), 0)),"")</f>
        <v/>
      </c>
      <c r="AL172" s="59" t="str">
        <f t="array" ref="AL172">IFERROR(INDEX($AI$11:$AI$259, MATCH(0, IF(TRUE=$AG$11:$AG$259, COUNTIF($AL$10:$AL171, $AI$11:$AI$259), ""), 0)),"")</f>
        <v/>
      </c>
      <c r="AM172" s="59" t="str">
        <f t="array" ref="AM172">IFERROR(INDEX($AI$11:$AI$259, MATCH(0, IF(TRUE=$AH$11:$AH$259, COUNTIF($AM$10:$AM171, $AI$11:$AI$259), ""), 0)),"")</f>
        <v/>
      </c>
      <c r="AN172" s="59"/>
      <c r="AQ172" s="52">
        <f t="shared" si="12"/>
        <v>0</v>
      </c>
    </row>
    <row r="173" spans="1:43" x14ac:dyDescent="0.25">
      <c r="A173" s="52" t="str">
        <f>IFERROR(INDEX('G-1 All Habitats'!$AG$3:$AG$15,MATCH(E173,'G-1 All Habitats'!$AF$3:$AF$15,0)),"")</f>
        <v/>
      </c>
      <c r="B173" s="52" t="str">
        <f>IFERROR(INDEX('G-8 Condition Look up'!$I$4:$I$131,MATCH(G173,'G-8 Condition Look up'!$A$4:$A$131,0)),"")</f>
        <v/>
      </c>
      <c r="D173" s="89">
        <v>163</v>
      </c>
      <c r="E173" s="90"/>
      <c r="F173" s="91"/>
      <c r="G173" s="75" t="str">
        <f>IFERROR(INDEX('G-1 All Habitats'!$B$3:$B$130,MATCH(F173,'G-1 All Habitats'!$A$3:$A$130,0)),"")</f>
        <v/>
      </c>
      <c r="H173" s="76"/>
      <c r="I173" s="77" t="str">
        <f>IF(G173="","",VLOOKUP(G173,'G-1 All Habitats'!$B$2:$M$130,10,FALSE))</f>
        <v/>
      </c>
      <c r="J173" s="78" t="str">
        <f>IFERROR(VLOOKUP(I173,'G-1 All Habitats'!$V$3:$W$7,2,FALSE),"")</f>
        <v/>
      </c>
      <c r="K173" s="79"/>
      <c r="L173" s="78" t="str">
        <f>IFERROR(INDEX('G-8 Condition Look up'!$A$3:$H$131,MATCH(G173,'G-8 Condition Look up'!$A$3:$A$131,0),MATCH(K173,'G-8 Condition Look up'!$A$3:$H$3,0)),"")</f>
        <v/>
      </c>
      <c r="M173" s="79"/>
      <c r="N173" s="348" t="str">
        <f>IF(M173="","",IF(VLOOKUP(M173,'G-3 Multipliers'!$L$3:$N$6,2,FALSE)=0,"Spatial Data Missing",VLOOKUP(M173,'G-3 Multipliers'!$L$3:$N$6,2,FALSE)))</f>
        <v/>
      </c>
      <c r="O173" s="569" t="str">
        <f>IF(M173="","",IF(VLOOKUP(M173,'G-3 Multipliers'!$L$3:$N$6,3,FALSE)=0,"Spatial Data Missing",VLOOKUP(M173,'G-3 Multipliers'!$L$3:$N$6,3,FALSE)))</f>
        <v/>
      </c>
      <c r="P173" s="80" t="str">
        <f>IFERROR(VLOOKUP(G173,'G-1 All Habitats'!$B$2:$M$130,12,FALSE),"")</f>
        <v/>
      </c>
      <c r="Q173" s="81" t="str">
        <f>IFERROR(IF(P173="","",IF(AND(P173='G-1 All Habitats'!$X$3,T173&gt;0),U173+V173,IF(AND(P173='G-1 All Habitats'!$X$3,S173&gt;0),U173+V173,IF(AND(P173='G-1 All Habitats'!$X$3,AC173&gt;0),"Any Loss Unacceptable",IF(AND(P173='G-1 All Habitats'!$X$3,W173&gt;0),"Any Loss Unacceptable",H173*J173*L173*O173))))),"Check Data")</f>
        <v/>
      </c>
      <c r="R173" s="55"/>
      <c r="S173" s="79"/>
      <c r="T173" s="82"/>
      <c r="U173" s="83" t="str">
        <f t="shared" si="13"/>
        <v/>
      </c>
      <c r="V173" s="83" t="str">
        <f t="shared" si="14"/>
        <v/>
      </c>
      <c r="W173" s="83" t="str">
        <f>IF(E173="","",IF(H173&lt;S173+T173,"Error in Areas",IF(P173&lt;&gt;'G-1 All Habitats'!$X$3,H173-S173-T173,IF(AND(P173='G-1 All Habitats'!$X$3,Y173="Yes"),"Unacceptable Loss",IF(AND(P173='G-1 All Habitats'!$X$3,Y173="No"),AC173,IF(AND(P173='G-1 All Habitats'!$X$3,Y173=""),AC173,IF(AND(P173='G-1 All Habitats'!$X$3,AC173="None",AC173),IF(AND(P173='G-1 All Habitats'!$X$3,AC173&gt;0),H173-S173-T173))))))))</f>
        <v/>
      </c>
      <c r="X173" s="84" t="str">
        <f>IFERROR(IF(H173="","",IF(H173-S173-T173=0&lt;0,"Error in Areas",IF(S173+T173&gt;H173,"Error in Areas",IF(AND(P173='G-1 All Habitats'!$X$3,Y173="Yes"),"Alternative Compensation",IF(W173=0,0,IF(P173='G-1 All Habitats'!$X$3,"Unacceptable Loss",Q173-U173-V173)))))),"Check Data")</f>
        <v/>
      </c>
      <c r="Y173" s="82"/>
      <c r="Z173" s="92"/>
      <c r="AA173" s="93"/>
      <c r="AC173" s="87" t="str">
        <f>IF(P173="","",IF(P173='G-1 All Habitats'!$X$3,H173-S173-T173,"None"))</f>
        <v/>
      </c>
      <c r="AD173" s="88" t="str">
        <f>IFERROR(AC173*J173*L173*#REF!*O173,IF(P173="","","None"))</f>
        <v/>
      </c>
      <c r="AF173" s="59" t="str">
        <f t="shared" si="10"/>
        <v/>
      </c>
      <c r="AG173" s="59" t="str">
        <f t="shared" si="11"/>
        <v/>
      </c>
      <c r="AH173" s="59" t="str">
        <f>IF(I173="","",IF(#REF!&gt;0,TRUE,FALSE))</f>
        <v/>
      </c>
      <c r="AI173" s="59">
        <v>163</v>
      </c>
      <c r="AJ173" s="59"/>
      <c r="AK173" s="59" t="str">
        <f t="array" ref="AK173">IFERROR(INDEX($AI$11:$AI$259, MATCH(0, IF(TRUE=$AF$11:$AF$259, COUNTIF($AK$10:$AK172, $AI$11:$AI$259), ""), 0)),"")</f>
        <v/>
      </c>
      <c r="AL173" s="59" t="str">
        <f t="array" ref="AL173">IFERROR(INDEX($AI$11:$AI$259, MATCH(0, IF(TRUE=$AG$11:$AG$259, COUNTIF($AL$10:$AL172, $AI$11:$AI$259), ""), 0)),"")</f>
        <v/>
      </c>
      <c r="AM173" s="59" t="str">
        <f t="array" ref="AM173">IFERROR(INDEX($AI$11:$AI$259, MATCH(0, IF(TRUE=$AH$11:$AH$259, COUNTIF($AM$10:$AM172, $AI$11:$AI$259), ""), 0)),"")</f>
        <v/>
      </c>
      <c r="AN173" s="59"/>
      <c r="AQ173" s="52">
        <f t="shared" si="12"/>
        <v>0</v>
      </c>
    </row>
    <row r="174" spans="1:43" x14ac:dyDescent="0.25">
      <c r="A174" s="52" t="str">
        <f>IFERROR(INDEX('G-1 All Habitats'!$AG$3:$AG$15,MATCH(E174,'G-1 All Habitats'!$AF$3:$AF$15,0)),"")</f>
        <v/>
      </c>
      <c r="B174" s="52" t="str">
        <f>IFERROR(INDEX('G-8 Condition Look up'!$I$4:$I$131,MATCH(G174,'G-8 Condition Look up'!$A$4:$A$131,0)),"")</f>
        <v/>
      </c>
      <c r="D174" s="89">
        <v>164</v>
      </c>
      <c r="E174" s="90"/>
      <c r="F174" s="91"/>
      <c r="G174" s="75" t="str">
        <f>IFERROR(INDEX('G-1 All Habitats'!$B$3:$B$130,MATCH(F174,'G-1 All Habitats'!$A$3:$A$130,0)),"")</f>
        <v/>
      </c>
      <c r="H174" s="76"/>
      <c r="I174" s="77" t="str">
        <f>IF(G174="","",VLOOKUP(G174,'G-1 All Habitats'!$B$2:$M$130,10,FALSE))</f>
        <v/>
      </c>
      <c r="J174" s="78" t="str">
        <f>IFERROR(VLOOKUP(I174,'G-1 All Habitats'!$V$3:$W$7,2,FALSE),"")</f>
        <v/>
      </c>
      <c r="K174" s="79"/>
      <c r="L174" s="78" t="str">
        <f>IFERROR(INDEX('G-8 Condition Look up'!$A$3:$H$131,MATCH(G174,'G-8 Condition Look up'!$A$3:$A$131,0),MATCH(K174,'G-8 Condition Look up'!$A$3:$H$3,0)),"")</f>
        <v/>
      </c>
      <c r="M174" s="79"/>
      <c r="N174" s="348" t="str">
        <f>IF(M174="","",IF(VLOOKUP(M174,'G-3 Multipliers'!$L$3:$N$6,2,FALSE)=0,"Spatial Data Missing",VLOOKUP(M174,'G-3 Multipliers'!$L$3:$N$6,2,FALSE)))</f>
        <v/>
      </c>
      <c r="O174" s="569" t="str">
        <f>IF(M174="","",IF(VLOOKUP(M174,'G-3 Multipliers'!$L$3:$N$6,3,FALSE)=0,"Spatial Data Missing",VLOOKUP(M174,'G-3 Multipliers'!$L$3:$N$6,3,FALSE)))</f>
        <v/>
      </c>
      <c r="P174" s="80" t="str">
        <f>IFERROR(VLOOKUP(G174,'G-1 All Habitats'!$B$2:$M$130,12,FALSE),"")</f>
        <v/>
      </c>
      <c r="Q174" s="81" t="str">
        <f>IFERROR(IF(P174="","",IF(AND(P174='G-1 All Habitats'!$X$3,T174&gt;0),U174+V174,IF(AND(P174='G-1 All Habitats'!$X$3,S174&gt;0),U174+V174,IF(AND(P174='G-1 All Habitats'!$X$3,AC174&gt;0),"Any Loss Unacceptable",IF(AND(P174='G-1 All Habitats'!$X$3,W174&gt;0),"Any Loss Unacceptable",H174*J174*L174*O174))))),"Check Data")</f>
        <v/>
      </c>
      <c r="R174" s="55"/>
      <c r="S174" s="79"/>
      <c r="T174" s="82"/>
      <c r="U174" s="83" t="str">
        <f t="shared" si="13"/>
        <v/>
      </c>
      <c r="V174" s="83" t="str">
        <f t="shared" si="14"/>
        <v/>
      </c>
      <c r="W174" s="83" t="str">
        <f>IF(E174="","",IF(H174&lt;S174+T174,"Error in Areas",IF(P174&lt;&gt;'G-1 All Habitats'!$X$3,H174-S174-T174,IF(AND(P174='G-1 All Habitats'!$X$3,Y174="Yes"),"Unacceptable Loss",IF(AND(P174='G-1 All Habitats'!$X$3,Y174="No"),AC174,IF(AND(P174='G-1 All Habitats'!$X$3,Y174=""),AC174,IF(AND(P174='G-1 All Habitats'!$X$3,AC174="None",AC174),IF(AND(P174='G-1 All Habitats'!$X$3,AC174&gt;0),H174-S174-T174))))))))</f>
        <v/>
      </c>
      <c r="X174" s="84" t="str">
        <f>IFERROR(IF(H174="","",IF(H174-S174-T174=0&lt;0,"Error in Areas",IF(S174+T174&gt;H174,"Error in Areas",IF(AND(P174='G-1 All Habitats'!$X$3,Y174="Yes"),"Alternative Compensation",IF(W174=0,0,IF(P174='G-1 All Habitats'!$X$3,"Unacceptable Loss",Q174-U174-V174)))))),"Check Data")</f>
        <v/>
      </c>
      <c r="Y174" s="82"/>
      <c r="Z174" s="92"/>
      <c r="AA174" s="93"/>
      <c r="AC174" s="87" t="str">
        <f>IF(P174="","",IF(P174='G-1 All Habitats'!$X$3,H174-S174-T174,"None"))</f>
        <v/>
      </c>
      <c r="AD174" s="88" t="str">
        <f>IFERROR(AC174*J174*L174*#REF!*O174,IF(P174="","","None"))</f>
        <v/>
      </c>
      <c r="AF174" s="59" t="str">
        <f t="shared" si="10"/>
        <v/>
      </c>
      <c r="AG174" s="59" t="str">
        <f t="shared" si="11"/>
        <v/>
      </c>
      <c r="AH174" s="59" t="str">
        <f>IF(I174="","",IF(#REF!&gt;0,TRUE,FALSE))</f>
        <v/>
      </c>
      <c r="AI174" s="59">
        <v>164</v>
      </c>
      <c r="AJ174" s="59"/>
      <c r="AK174" s="59" t="str">
        <f t="array" ref="AK174">IFERROR(INDEX($AI$11:$AI$259, MATCH(0, IF(TRUE=$AF$11:$AF$259, COUNTIF($AK$10:$AK173, $AI$11:$AI$259), ""), 0)),"")</f>
        <v/>
      </c>
      <c r="AL174" s="59" t="str">
        <f t="array" ref="AL174">IFERROR(INDEX($AI$11:$AI$259, MATCH(0, IF(TRUE=$AG$11:$AG$259, COUNTIF($AL$10:$AL173, $AI$11:$AI$259), ""), 0)),"")</f>
        <v/>
      </c>
      <c r="AM174" s="59" t="str">
        <f t="array" ref="AM174">IFERROR(INDEX($AI$11:$AI$259, MATCH(0, IF(TRUE=$AH$11:$AH$259, COUNTIF($AM$10:$AM173, $AI$11:$AI$259), ""), 0)),"")</f>
        <v/>
      </c>
      <c r="AN174" s="59"/>
      <c r="AQ174" s="52">
        <f t="shared" si="12"/>
        <v>0</v>
      </c>
    </row>
    <row r="175" spans="1:43" x14ac:dyDescent="0.25">
      <c r="A175" s="52" t="str">
        <f>IFERROR(INDEX('G-1 All Habitats'!$AG$3:$AG$15,MATCH(E175,'G-1 All Habitats'!$AF$3:$AF$15,0)),"")</f>
        <v/>
      </c>
      <c r="B175" s="52" t="str">
        <f>IFERROR(INDEX('G-8 Condition Look up'!$I$4:$I$131,MATCH(G175,'G-8 Condition Look up'!$A$4:$A$131,0)),"")</f>
        <v/>
      </c>
      <c r="D175" s="89">
        <v>165</v>
      </c>
      <c r="E175" s="90"/>
      <c r="F175" s="91"/>
      <c r="G175" s="75" t="str">
        <f>IFERROR(INDEX('G-1 All Habitats'!$B$3:$B$130,MATCH(F175,'G-1 All Habitats'!$A$3:$A$130,0)),"")</f>
        <v/>
      </c>
      <c r="H175" s="76"/>
      <c r="I175" s="77" t="str">
        <f>IF(G175="","",VLOOKUP(G175,'G-1 All Habitats'!$B$2:$M$130,10,FALSE))</f>
        <v/>
      </c>
      <c r="J175" s="78" t="str">
        <f>IFERROR(VLOOKUP(I175,'G-1 All Habitats'!$V$3:$W$7,2,FALSE),"")</f>
        <v/>
      </c>
      <c r="K175" s="79"/>
      <c r="L175" s="78" t="str">
        <f>IFERROR(INDEX('G-8 Condition Look up'!$A$3:$H$131,MATCH(G175,'G-8 Condition Look up'!$A$3:$A$131,0),MATCH(K175,'G-8 Condition Look up'!$A$3:$H$3,0)),"")</f>
        <v/>
      </c>
      <c r="M175" s="79"/>
      <c r="N175" s="348" t="str">
        <f>IF(M175="","",IF(VLOOKUP(M175,'G-3 Multipliers'!$L$3:$N$6,2,FALSE)=0,"Spatial Data Missing",VLOOKUP(M175,'G-3 Multipliers'!$L$3:$N$6,2,FALSE)))</f>
        <v/>
      </c>
      <c r="O175" s="569" t="str">
        <f>IF(M175="","",IF(VLOOKUP(M175,'G-3 Multipliers'!$L$3:$N$6,3,FALSE)=0,"Spatial Data Missing",VLOOKUP(M175,'G-3 Multipliers'!$L$3:$N$6,3,FALSE)))</f>
        <v/>
      </c>
      <c r="P175" s="80" t="str">
        <f>IFERROR(VLOOKUP(G175,'G-1 All Habitats'!$B$2:$M$130,12,FALSE),"")</f>
        <v/>
      </c>
      <c r="Q175" s="81" t="str">
        <f>IFERROR(IF(P175="","",IF(AND(P175='G-1 All Habitats'!$X$3,T175&gt;0),U175+V175,IF(AND(P175='G-1 All Habitats'!$X$3,S175&gt;0),U175+V175,IF(AND(P175='G-1 All Habitats'!$X$3,AC175&gt;0),"Any Loss Unacceptable",IF(AND(P175='G-1 All Habitats'!$X$3,W175&gt;0),"Any Loss Unacceptable",H175*J175*L175*O175))))),"Check Data")</f>
        <v/>
      </c>
      <c r="R175" s="55"/>
      <c r="S175" s="79"/>
      <c r="T175" s="82"/>
      <c r="U175" s="83" t="str">
        <f t="shared" si="13"/>
        <v/>
      </c>
      <c r="V175" s="83" t="str">
        <f t="shared" si="14"/>
        <v/>
      </c>
      <c r="W175" s="83" t="str">
        <f>IF(E175="","",IF(H175&lt;S175+T175,"Error in Areas",IF(P175&lt;&gt;'G-1 All Habitats'!$X$3,H175-S175-T175,IF(AND(P175='G-1 All Habitats'!$X$3,Y175="Yes"),"Unacceptable Loss",IF(AND(P175='G-1 All Habitats'!$X$3,Y175="No"),AC175,IF(AND(P175='G-1 All Habitats'!$X$3,Y175=""),AC175,IF(AND(P175='G-1 All Habitats'!$X$3,AC175="None",AC175),IF(AND(P175='G-1 All Habitats'!$X$3,AC175&gt;0),H175-S175-T175))))))))</f>
        <v/>
      </c>
      <c r="X175" s="84" t="str">
        <f>IFERROR(IF(H175="","",IF(H175-S175-T175=0&lt;0,"Error in Areas",IF(S175+T175&gt;H175,"Error in Areas",IF(AND(P175='G-1 All Habitats'!$X$3,Y175="Yes"),"Alternative Compensation",IF(W175=0,0,IF(P175='G-1 All Habitats'!$X$3,"Unacceptable Loss",Q175-U175-V175)))))),"Check Data")</f>
        <v/>
      </c>
      <c r="Y175" s="82"/>
      <c r="Z175" s="92"/>
      <c r="AA175" s="93"/>
      <c r="AC175" s="87" t="str">
        <f>IF(P175="","",IF(P175='G-1 All Habitats'!$X$3,H175-S175-T175,"None"))</f>
        <v/>
      </c>
      <c r="AD175" s="88" t="str">
        <f>IFERROR(AC175*J175*L175*#REF!*O175,IF(P175="","","None"))</f>
        <v/>
      </c>
      <c r="AF175" s="59" t="str">
        <f t="shared" si="10"/>
        <v/>
      </c>
      <c r="AG175" s="59" t="str">
        <f t="shared" si="11"/>
        <v/>
      </c>
      <c r="AH175" s="59" t="str">
        <f>IF(I175="","",IF(#REF!&gt;0,TRUE,FALSE))</f>
        <v/>
      </c>
      <c r="AI175" s="59">
        <v>165</v>
      </c>
      <c r="AJ175" s="59"/>
      <c r="AK175" s="59" t="str">
        <f t="array" ref="AK175">IFERROR(INDEX($AI$11:$AI$259, MATCH(0, IF(TRUE=$AF$11:$AF$259, COUNTIF($AK$10:$AK174, $AI$11:$AI$259), ""), 0)),"")</f>
        <v/>
      </c>
      <c r="AL175" s="59" t="str">
        <f t="array" ref="AL175">IFERROR(INDEX($AI$11:$AI$259, MATCH(0, IF(TRUE=$AG$11:$AG$259, COUNTIF($AL$10:$AL174, $AI$11:$AI$259), ""), 0)),"")</f>
        <v/>
      </c>
      <c r="AM175" s="59" t="str">
        <f t="array" ref="AM175">IFERROR(INDEX($AI$11:$AI$259, MATCH(0, IF(TRUE=$AH$11:$AH$259, COUNTIF($AM$10:$AM174, $AI$11:$AI$259), ""), 0)),"")</f>
        <v/>
      </c>
      <c r="AN175" s="59"/>
      <c r="AQ175" s="52">
        <f t="shared" si="12"/>
        <v>0</v>
      </c>
    </row>
    <row r="176" spans="1:43" x14ac:dyDescent="0.25">
      <c r="A176" s="52" t="str">
        <f>IFERROR(INDEX('G-1 All Habitats'!$AG$3:$AG$15,MATCH(E176,'G-1 All Habitats'!$AF$3:$AF$15,0)),"")</f>
        <v/>
      </c>
      <c r="B176" s="52" t="str">
        <f>IFERROR(INDEX('G-8 Condition Look up'!$I$4:$I$131,MATCH(G176,'G-8 Condition Look up'!$A$4:$A$131,0)),"")</f>
        <v/>
      </c>
      <c r="D176" s="89">
        <v>166</v>
      </c>
      <c r="E176" s="90"/>
      <c r="F176" s="91"/>
      <c r="G176" s="75" t="str">
        <f>IFERROR(INDEX('G-1 All Habitats'!$B$3:$B$130,MATCH(F176,'G-1 All Habitats'!$A$3:$A$130,0)),"")</f>
        <v/>
      </c>
      <c r="H176" s="76"/>
      <c r="I176" s="77" t="str">
        <f>IF(G176="","",VLOOKUP(G176,'G-1 All Habitats'!$B$2:$M$130,10,FALSE))</f>
        <v/>
      </c>
      <c r="J176" s="78" t="str">
        <f>IFERROR(VLOOKUP(I176,'G-1 All Habitats'!$V$3:$W$7,2,FALSE),"")</f>
        <v/>
      </c>
      <c r="K176" s="79"/>
      <c r="L176" s="78" t="str">
        <f>IFERROR(INDEX('G-8 Condition Look up'!$A$3:$H$131,MATCH(G176,'G-8 Condition Look up'!$A$3:$A$131,0),MATCH(K176,'G-8 Condition Look up'!$A$3:$H$3,0)),"")</f>
        <v/>
      </c>
      <c r="M176" s="79"/>
      <c r="N176" s="348" t="str">
        <f>IF(M176="","",IF(VLOOKUP(M176,'G-3 Multipliers'!$L$3:$N$6,2,FALSE)=0,"Spatial Data Missing",VLOOKUP(M176,'G-3 Multipliers'!$L$3:$N$6,2,FALSE)))</f>
        <v/>
      </c>
      <c r="O176" s="569" t="str">
        <f>IF(M176="","",IF(VLOOKUP(M176,'G-3 Multipliers'!$L$3:$N$6,3,FALSE)=0,"Spatial Data Missing",VLOOKUP(M176,'G-3 Multipliers'!$L$3:$N$6,3,FALSE)))</f>
        <v/>
      </c>
      <c r="P176" s="80" t="str">
        <f>IFERROR(VLOOKUP(G176,'G-1 All Habitats'!$B$2:$M$130,12,FALSE),"")</f>
        <v/>
      </c>
      <c r="Q176" s="81" t="str">
        <f>IFERROR(IF(P176="","",IF(AND(P176='G-1 All Habitats'!$X$3,T176&gt;0),U176+V176,IF(AND(P176='G-1 All Habitats'!$X$3,S176&gt;0),U176+V176,IF(AND(P176='G-1 All Habitats'!$X$3,AC176&gt;0),"Any Loss Unacceptable",IF(AND(P176='G-1 All Habitats'!$X$3,W176&gt;0),"Any Loss Unacceptable",H176*J176*L176*O176))))),"Check Data")</f>
        <v/>
      </c>
      <c r="R176" s="55"/>
      <c r="S176" s="79"/>
      <c r="T176" s="82"/>
      <c r="U176" s="83" t="str">
        <f t="shared" si="13"/>
        <v/>
      </c>
      <c r="V176" s="83" t="str">
        <f t="shared" si="14"/>
        <v/>
      </c>
      <c r="W176" s="83" t="str">
        <f>IF(E176="","",IF(H176&lt;S176+T176,"Error in Areas",IF(P176&lt;&gt;'G-1 All Habitats'!$X$3,H176-S176-T176,IF(AND(P176='G-1 All Habitats'!$X$3,Y176="Yes"),"Unacceptable Loss",IF(AND(P176='G-1 All Habitats'!$X$3,Y176="No"),AC176,IF(AND(P176='G-1 All Habitats'!$X$3,Y176=""),AC176,IF(AND(P176='G-1 All Habitats'!$X$3,AC176="None",AC176),IF(AND(P176='G-1 All Habitats'!$X$3,AC176&gt;0),H176-S176-T176))))))))</f>
        <v/>
      </c>
      <c r="X176" s="84" t="str">
        <f>IFERROR(IF(H176="","",IF(H176-S176-T176=0&lt;0,"Error in Areas",IF(S176+T176&gt;H176,"Error in Areas",IF(AND(P176='G-1 All Habitats'!$X$3,Y176="Yes"),"Alternative Compensation",IF(W176=0,0,IF(P176='G-1 All Habitats'!$X$3,"Unacceptable Loss",Q176-U176-V176)))))),"Check Data")</f>
        <v/>
      </c>
      <c r="Y176" s="82"/>
      <c r="Z176" s="92"/>
      <c r="AA176" s="93"/>
      <c r="AC176" s="87" t="str">
        <f>IF(P176="","",IF(P176='G-1 All Habitats'!$X$3,H176-S176-T176,"None"))</f>
        <v/>
      </c>
      <c r="AD176" s="88" t="str">
        <f>IFERROR(AC176*J176*L176*#REF!*O176,IF(P176="","","None"))</f>
        <v/>
      </c>
      <c r="AF176" s="59" t="str">
        <f t="shared" si="10"/>
        <v/>
      </c>
      <c r="AG176" s="59" t="str">
        <f t="shared" si="11"/>
        <v/>
      </c>
      <c r="AH176" s="59" t="str">
        <f>IF(I176="","",IF(#REF!&gt;0,TRUE,FALSE))</f>
        <v/>
      </c>
      <c r="AI176" s="59">
        <v>166</v>
      </c>
      <c r="AJ176" s="59"/>
      <c r="AK176" s="59" t="str">
        <f t="array" ref="AK176">IFERROR(INDEX($AI$11:$AI$259, MATCH(0, IF(TRUE=$AF$11:$AF$259, COUNTIF($AK$10:$AK175, $AI$11:$AI$259), ""), 0)),"")</f>
        <v/>
      </c>
      <c r="AL176" s="59" t="str">
        <f t="array" ref="AL176">IFERROR(INDEX($AI$11:$AI$259, MATCH(0, IF(TRUE=$AG$11:$AG$259, COUNTIF($AL$10:$AL175, $AI$11:$AI$259), ""), 0)),"")</f>
        <v/>
      </c>
      <c r="AM176" s="59" t="str">
        <f t="array" ref="AM176">IFERROR(INDEX($AI$11:$AI$259, MATCH(0, IF(TRUE=$AH$11:$AH$259, COUNTIF($AM$10:$AM175, $AI$11:$AI$259), ""), 0)),"")</f>
        <v/>
      </c>
      <c r="AN176" s="59"/>
      <c r="AQ176" s="52">
        <f t="shared" si="12"/>
        <v>0</v>
      </c>
    </row>
    <row r="177" spans="1:43" x14ac:dyDescent="0.25">
      <c r="A177" s="52" t="str">
        <f>IFERROR(INDEX('G-1 All Habitats'!$AG$3:$AG$15,MATCH(E177,'G-1 All Habitats'!$AF$3:$AF$15,0)),"")</f>
        <v/>
      </c>
      <c r="B177" s="52" t="str">
        <f>IFERROR(INDEX('G-8 Condition Look up'!$I$4:$I$131,MATCH(G177,'G-8 Condition Look up'!$A$4:$A$131,0)),"")</f>
        <v/>
      </c>
      <c r="D177" s="89">
        <v>167</v>
      </c>
      <c r="E177" s="90"/>
      <c r="F177" s="91"/>
      <c r="G177" s="75" t="str">
        <f>IFERROR(INDEX('G-1 All Habitats'!$B$3:$B$130,MATCH(F177,'G-1 All Habitats'!$A$3:$A$130,0)),"")</f>
        <v/>
      </c>
      <c r="H177" s="76"/>
      <c r="I177" s="77" t="str">
        <f>IF(G177="","",VLOOKUP(G177,'G-1 All Habitats'!$B$2:$M$130,10,FALSE))</f>
        <v/>
      </c>
      <c r="J177" s="78" t="str">
        <f>IFERROR(VLOOKUP(I177,'G-1 All Habitats'!$V$3:$W$7,2,FALSE),"")</f>
        <v/>
      </c>
      <c r="K177" s="79"/>
      <c r="L177" s="78" t="str">
        <f>IFERROR(INDEX('G-8 Condition Look up'!$A$3:$H$131,MATCH(G177,'G-8 Condition Look up'!$A$3:$A$131,0),MATCH(K177,'G-8 Condition Look up'!$A$3:$H$3,0)),"")</f>
        <v/>
      </c>
      <c r="M177" s="79"/>
      <c r="N177" s="348" t="str">
        <f>IF(M177="","",IF(VLOOKUP(M177,'G-3 Multipliers'!$L$3:$N$6,2,FALSE)=0,"Spatial Data Missing",VLOOKUP(M177,'G-3 Multipliers'!$L$3:$N$6,2,FALSE)))</f>
        <v/>
      </c>
      <c r="O177" s="569" t="str">
        <f>IF(M177="","",IF(VLOOKUP(M177,'G-3 Multipliers'!$L$3:$N$6,3,FALSE)=0,"Spatial Data Missing",VLOOKUP(M177,'G-3 Multipliers'!$L$3:$N$6,3,FALSE)))</f>
        <v/>
      </c>
      <c r="P177" s="80" t="str">
        <f>IFERROR(VLOOKUP(G177,'G-1 All Habitats'!$B$2:$M$130,12,FALSE),"")</f>
        <v/>
      </c>
      <c r="Q177" s="81" t="str">
        <f>IFERROR(IF(P177="","",IF(AND(P177='G-1 All Habitats'!$X$3,T177&gt;0),U177+V177,IF(AND(P177='G-1 All Habitats'!$X$3,S177&gt;0),U177+V177,IF(AND(P177='G-1 All Habitats'!$X$3,AC177&gt;0),"Any Loss Unacceptable",IF(AND(P177='G-1 All Habitats'!$X$3,W177&gt;0),"Any Loss Unacceptable",H177*J177*L177*O177))))),"Check Data")</f>
        <v/>
      </c>
      <c r="R177" s="55"/>
      <c r="S177" s="79"/>
      <c r="T177" s="82"/>
      <c r="U177" s="83" t="str">
        <f t="shared" si="13"/>
        <v/>
      </c>
      <c r="V177" s="83" t="str">
        <f t="shared" si="14"/>
        <v/>
      </c>
      <c r="W177" s="83" t="str">
        <f>IF(E177="","",IF(H177&lt;S177+T177,"Error in Areas",IF(P177&lt;&gt;'G-1 All Habitats'!$X$3,H177-S177-T177,IF(AND(P177='G-1 All Habitats'!$X$3,Y177="Yes"),"Unacceptable Loss",IF(AND(P177='G-1 All Habitats'!$X$3,Y177="No"),AC177,IF(AND(P177='G-1 All Habitats'!$X$3,Y177=""),AC177,IF(AND(P177='G-1 All Habitats'!$X$3,AC177="None",AC177),IF(AND(P177='G-1 All Habitats'!$X$3,AC177&gt;0),H177-S177-T177))))))))</f>
        <v/>
      </c>
      <c r="X177" s="84" t="str">
        <f>IFERROR(IF(H177="","",IF(H177-S177-T177=0&lt;0,"Error in Areas",IF(S177+T177&gt;H177,"Error in Areas",IF(AND(P177='G-1 All Habitats'!$X$3,Y177="Yes"),"Alternative Compensation",IF(W177=0,0,IF(P177='G-1 All Habitats'!$X$3,"Unacceptable Loss",Q177-U177-V177)))))),"Check Data")</f>
        <v/>
      </c>
      <c r="Y177" s="82"/>
      <c r="Z177" s="92"/>
      <c r="AA177" s="93"/>
      <c r="AC177" s="87" t="str">
        <f>IF(P177="","",IF(P177='G-1 All Habitats'!$X$3,H177-S177-T177,"None"))</f>
        <v/>
      </c>
      <c r="AD177" s="88" t="str">
        <f>IFERROR(AC177*J177*L177*#REF!*O177,IF(P177="","","None"))</f>
        <v/>
      </c>
      <c r="AF177" s="59" t="str">
        <f t="shared" si="10"/>
        <v/>
      </c>
      <c r="AG177" s="59" t="str">
        <f t="shared" si="11"/>
        <v/>
      </c>
      <c r="AH177" s="59" t="str">
        <f>IF(I177="","",IF(#REF!&gt;0,TRUE,FALSE))</f>
        <v/>
      </c>
      <c r="AI177" s="59">
        <v>167</v>
      </c>
      <c r="AJ177" s="59"/>
      <c r="AK177" s="59" t="str">
        <f t="array" ref="AK177">IFERROR(INDEX($AI$11:$AI$259, MATCH(0, IF(TRUE=$AF$11:$AF$259, COUNTIF($AK$10:$AK176, $AI$11:$AI$259), ""), 0)),"")</f>
        <v/>
      </c>
      <c r="AL177" s="59" t="str">
        <f t="array" ref="AL177">IFERROR(INDEX($AI$11:$AI$259, MATCH(0, IF(TRUE=$AG$11:$AG$259, COUNTIF($AL$10:$AL176, $AI$11:$AI$259), ""), 0)),"")</f>
        <v/>
      </c>
      <c r="AM177" s="59" t="str">
        <f t="array" ref="AM177">IFERROR(INDEX($AI$11:$AI$259, MATCH(0, IF(TRUE=$AH$11:$AH$259, COUNTIF($AM$10:$AM176, $AI$11:$AI$259), ""), 0)),"")</f>
        <v/>
      </c>
      <c r="AN177" s="59"/>
      <c r="AQ177" s="52">
        <f t="shared" si="12"/>
        <v>0</v>
      </c>
    </row>
    <row r="178" spans="1:43" x14ac:dyDescent="0.25">
      <c r="A178" s="52" t="str">
        <f>IFERROR(INDEX('G-1 All Habitats'!$AG$3:$AG$15,MATCH(E178,'G-1 All Habitats'!$AF$3:$AF$15,0)),"")</f>
        <v/>
      </c>
      <c r="B178" s="52" t="str">
        <f>IFERROR(INDEX('G-8 Condition Look up'!$I$4:$I$131,MATCH(G178,'G-8 Condition Look up'!$A$4:$A$131,0)),"")</f>
        <v/>
      </c>
      <c r="D178" s="89">
        <v>168</v>
      </c>
      <c r="E178" s="90"/>
      <c r="F178" s="91"/>
      <c r="G178" s="75" t="str">
        <f>IFERROR(INDEX('G-1 All Habitats'!$B$3:$B$130,MATCH(F178,'G-1 All Habitats'!$A$3:$A$130,0)),"")</f>
        <v/>
      </c>
      <c r="H178" s="76"/>
      <c r="I178" s="77" t="str">
        <f>IF(G178="","",VLOOKUP(G178,'G-1 All Habitats'!$B$2:$M$130,10,FALSE))</f>
        <v/>
      </c>
      <c r="J178" s="78" t="str">
        <f>IFERROR(VLOOKUP(I178,'G-1 All Habitats'!$V$3:$W$7,2,FALSE),"")</f>
        <v/>
      </c>
      <c r="K178" s="79"/>
      <c r="L178" s="78" t="str">
        <f>IFERROR(INDEX('G-8 Condition Look up'!$A$3:$H$131,MATCH(G178,'G-8 Condition Look up'!$A$3:$A$131,0),MATCH(K178,'G-8 Condition Look up'!$A$3:$H$3,0)),"")</f>
        <v/>
      </c>
      <c r="M178" s="79"/>
      <c r="N178" s="348" t="str">
        <f>IF(M178="","",IF(VLOOKUP(M178,'G-3 Multipliers'!$L$3:$N$6,2,FALSE)=0,"Spatial Data Missing",VLOOKUP(M178,'G-3 Multipliers'!$L$3:$N$6,2,FALSE)))</f>
        <v/>
      </c>
      <c r="O178" s="569" t="str">
        <f>IF(M178="","",IF(VLOOKUP(M178,'G-3 Multipliers'!$L$3:$N$6,3,FALSE)=0,"Spatial Data Missing",VLOOKUP(M178,'G-3 Multipliers'!$L$3:$N$6,3,FALSE)))</f>
        <v/>
      </c>
      <c r="P178" s="80" t="str">
        <f>IFERROR(VLOOKUP(G178,'G-1 All Habitats'!$B$2:$M$130,12,FALSE),"")</f>
        <v/>
      </c>
      <c r="Q178" s="81" t="str">
        <f>IFERROR(IF(P178="","",IF(AND(P178='G-1 All Habitats'!$X$3,T178&gt;0),U178+V178,IF(AND(P178='G-1 All Habitats'!$X$3,S178&gt;0),U178+V178,IF(AND(P178='G-1 All Habitats'!$X$3,AC178&gt;0),"Any Loss Unacceptable",IF(AND(P178='G-1 All Habitats'!$X$3,W178&gt;0),"Any Loss Unacceptable",H178*J178*L178*O178))))),"Check Data")</f>
        <v/>
      </c>
      <c r="R178" s="55"/>
      <c r="S178" s="79"/>
      <c r="T178" s="82"/>
      <c r="U178" s="83" t="str">
        <f t="shared" si="13"/>
        <v/>
      </c>
      <c r="V178" s="83" t="str">
        <f t="shared" si="14"/>
        <v/>
      </c>
      <c r="W178" s="83" t="str">
        <f>IF(E178="","",IF(H178&lt;S178+T178,"Error in Areas",IF(P178&lt;&gt;'G-1 All Habitats'!$X$3,H178-S178-T178,IF(AND(P178='G-1 All Habitats'!$X$3,Y178="Yes"),"Unacceptable Loss",IF(AND(P178='G-1 All Habitats'!$X$3,Y178="No"),AC178,IF(AND(P178='G-1 All Habitats'!$X$3,Y178=""),AC178,IF(AND(P178='G-1 All Habitats'!$X$3,AC178="None",AC178),IF(AND(P178='G-1 All Habitats'!$X$3,AC178&gt;0),H178-S178-T178))))))))</f>
        <v/>
      </c>
      <c r="X178" s="84" t="str">
        <f>IFERROR(IF(H178="","",IF(H178-S178-T178=0&lt;0,"Error in Areas",IF(S178+T178&gt;H178,"Error in Areas",IF(AND(P178='G-1 All Habitats'!$X$3,Y178="Yes"),"Alternative Compensation",IF(W178=0,0,IF(P178='G-1 All Habitats'!$X$3,"Unacceptable Loss",Q178-U178-V178)))))),"Check Data")</f>
        <v/>
      </c>
      <c r="Y178" s="82"/>
      <c r="Z178" s="92"/>
      <c r="AA178" s="93"/>
      <c r="AC178" s="87" t="str">
        <f>IF(P178="","",IF(P178='G-1 All Habitats'!$X$3,H178-S178-T178,"None"))</f>
        <v/>
      </c>
      <c r="AD178" s="88" t="str">
        <f>IFERROR(AC178*J178*L178*#REF!*O178,IF(P178="","","None"))</f>
        <v/>
      </c>
      <c r="AF178" s="59" t="str">
        <f t="shared" si="10"/>
        <v/>
      </c>
      <c r="AG178" s="59" t="str">
        <f t="shared" si="11"/>
        <v/>
      </c>
      <c r="AH178" s="59" t="str">
        <f>IF(I178="","",IF(#REF!&gt;0,TRUE,FALSE))</f>
        <v/>
      </c>
      <c r="AI178" s="59">
        <v>168</v>
      </c>
      <c r="AJ178" s="59"/>
      <c r="AK178" s="59" t="str">
        <f t="array" ref="AK178">IFERROR(INDEX($AI$11:$AI$259, MATCH(0, IF(TRUE=$AF$11:$AF$259, COUNTIF($AK$10:$AK177, $AI$11:$AI$259), ""), 0)),"")</f>
        <v/>
      </c>
      <c r="AL178" s="59" t="str">
        <f t="array" ref="AL178">IFERROR(INDEX($AI$11:$AI$259, MATCH(0, IF(TRUE=$AG$11:$AG$259, COUNTIF($AL$10:$AL177, $AI$11:$AI$259), ""), 0)),"")</f>
        <v/>
      </c>
      <c r="AM178" s="59" t="str">
        <f t="array" ref="AM178">IFERROR(INDEX($AI$11:$AI$259, MATCH(0, IF(TRUE=$AH$11:$AH$259, COUNTIF($AM$10:$AM177, $AI$11:$AI$259), ""), 0)),"")</f>
        <v/>
      </c>
      <c r="AN178" s="59"/>
      <c r="AQ178" s="52">
        <f t="shared" si="12"/>
        <v>0</v>
      </c>
    </row>
    <row r="179" spans="1:43" x14ac:dyDescent="0.25">
      <c r="A179" s="52" t="str">
        <f>IFERROR(INDEX('G-1 All Habitats'!$AG$3:$AG$15,MATCH(E179,'G-1 All Habitats'!$AF$3:$AF$15,0)),"")</f>
        <v/>
      </c>
      <c r="B179" s="52" t="str">
        <f>IFERROR(INDEX('G-8 Condition Look up'!$I$4:$I$131,MATCH(G179,'G-8 Condition Look up'!$A$4:$A$131,0)),"")</f>
        <v/>
      </c>
      <c r="D179" s="89">
        <v>169</v>
      </c>
      <c r="E179" s="90"/>
      <c r="F179" s="91"/>
      <c r="G179" s="75" t="str">
        <f>IFERROR(INDEX('G-1 All Habitats'!$B$3:$B$130,MATCH(F179,'G-1 All Habitats'!$A$3:$A$130,0)),"")</f>
        <v/>
      </c>
      <c r="H179" s="76"/>
      <c r="I179" s="77" t="str">
        <f>IF(G179="","",VLOOKUP(G179,'G-1 All Habitats'!$B$2:$M$130,10,FALSE))</f>
        <v/>
      </c>
      <c r="J179" s="78" t="str">
        <f>IFERROR(VLOOKUP(I179,'G-1 All Habitats'!$V$3:$W$7,2,FALSE),"")</f>
        <v/>
      </c>
      <c r="K179" s="79"/>
      <c r="L179" s="78" t="str">
        <f>IFERROR(INDEX('G-8 Condition Look up'!$A$3:$H$131,MATCH(G179,'G-8 Condition Look up'!$A$3:$A$131,0),MATCH(K179,'G-8 Condition Look up'!$A$3:$H$3,0)),"")</f>
        <v/>
      </c>
      <c r="M179" s="79"/>
      <c r="N179" s="348" t="str">
        <f>IF(M179="","",IF(VLOOKUP(M179,'G-3 Multipliers'!$L$3:$N$6,2,FALSE)=0,"Spatial Data Missing",VLOOKUP(M179,'G-3 Multipliers'!$L$3:$N$6,2,FALSE)))</f>
        <v/>
      </c>
      <c r="O179" s="569" t="str">
        <f>IF(M179="","",IF(VLOOKUP(M179,'G-3 Multipliers'!$L$3:$N$6,3,FALSE)=0,"Spatial Data Missing",VLOOKUP(M179,'G-3 Multipliers'!$L$3:$N$6,3,FALSE)))</f>
        <v/>
      </c>
      <c r="P179" s="80" t="str">
        <f>IFERROR(VLOOKUP(G179,'G-1 All Habitats'!$B$2:$M$130,12,FALSE),"")</f>
        <v/>
      </c>
      <c r="Q179" s="81" t="str">
        <f>IFERROR(IF(P179="","",IF(AND(P179='G-1 All Habitats'!$X$3,T179&gt;0),U179+V179,IF(AND(P179='G-1 All Habitats'!$X$3,S179&gt;0),U179+V179,IF(AND(P179='G-1 All Habitats'!$X$3,AC179&gt;0),"Any Loss Unacceptable",IF(AND(P179='G-1 All Habitats'!$X$3,W179&gt;0),"Any Loss Unacceptable",H179*J179*L179*O179))))),"Check Data")</f>
        <v/>
      </c>
      <c r="R179" s="55"/>
      <c r="S179" s="79"/>
      <c r="T179" s="82"/>
      <c r="U179" s="83" t="str">
        <f t="shared" si="13"/>
        <v/>
      </c>
      <c r="V179" s="83" t="str">
        <f t="shared" si="14"/>
        <v/>
      </c>
      <c r="W179" s="83" t="str">
        <f>IF(E179="","",IF(H179&lt;S179+T179,"Error in Areas",IF(P179&lt;&gt;'G-1 All Habitats'!$X$3,H179-S179-T179,IF(AND(P179='G-1 All Habitats'!$X$3,Y179="Yes"),"Unacceptable Loss",IF(AND(P179='G-1 All Habitats'!$X$3,Y179="No"),AC179,IF(AND(P179='G-1 All Habitats'!$X$3,Y179=""),AC179,IF(AND(P179='G-1 All Habitats'!$X$3,AC179="None",AC179),IF(AND(P179='G-1 All Habitats'!$X$3,AC179&gt;0),H179-S179-T179))))))))</f>
        <v/>
      </c>
      <c r="X179" s="84" t="str">
        <f>IFERROR(IF(H179="","",IF(H179-S179-T179=0&lt;0,"Error in Areas",IF(S179+T179&gt;H179,"Error in Areas",IF(AND(P179='G-1 All Habitats'!$X$3,Y179="Yes"),"Alternative Compensation",IF(W179=0,0,IF(P179='G-1 All Habitats'!$X$3,"Unacceptable Loss",Q179-U179-V179)))))),"Check Data")</f>
        <v/>
      </c>
      <c r="Y179" s="82"/>
      <c r="Z179" s="92"/>
      <c r="AA179" s="93"/>
      <c r="AC179" s="87" t="str">
        <f>IF(P179="","",IF(P179='G-1 All Habitats'!$X$3,H179-S179-T179,"None"))</f>
        <v/>
      </c>
      <c r="AD179" s="88" t="str">
        <f>IFERROR(AC179*J179*L179*#REF!*O179,IF(P179="","","None"))</f>
        <v/>
      </c>
      <c r="AF179" s="59" t="str">
        <f t="shared" si="10"/>
        <v/>
      </c>
      <c r="AG179" s="59" t="str">
        <f t="shared" si="11"/>
        <v/>
      </c>
      <c r="AH179" s="59" t="str">
        <f>IF(I179="","",IF(#REF!&gt;0,TRUE,FALSE))</f>
        <v/>
      </c>
      <c r="AI179" s="59">
        <v>169</v>
      </c>
      <c r="AJ179" s="59"/>
      <c r="AK179" s="59" t="str">
        <f t="array" ref="AK179">IFERROR(INDEX($AI$11:$AI$259, MATCH(0, IF(TRUE=$AF$11:$AF$259, COUNTIF($AK$10:$AK178, $AI$11:$AI$259), ""), 0)),"")</f>
        <v/>
      </c>
      <c r="AL179" s="59" t="str">
        <f t="array" ref="AL179">IFERROR(INDEX($AI$11:$AI$259, MATCH(0, IF(TRUE=$AG$11:$AG$259, COUNTIF($AL$10:$AL178, $AI$11:$AI$259), ""), 0)),"")</f>
        <v/>
      </c>
      <c r="AM179" s="59" t="str">
        <f t="array" ref="AM179">IFERROR(INDEX($AI$11:$AI$259, MATCH(0, IF(TRUE=$AH$11:$AH$259, COUNTIF($AM$10:$AM178, $AI$11:$AI$259), ""), 0)),"")</f>
        <v/>
      </c>
      <c r="AN179" s="59"/>
      <c r="AQ179" s="52">
        <f t="shared" si="12"/>
        <v>0</v>
      </c>
    </row>
    <row r="180" spans="1:43" x14ac:dyDescent="0.25">
      <c r="A180" s="52" t="str">
        <f>IFERROR(INDEX('G-1 All Habitats'!$AG$3:$AG$15,MATCH(E180,'G-1 All Habitats'!$AF$3:$AF$15,0)),"")</f>
        <v/>
      </c>
      <c r="B180" s="52" t="str">
        <f>IFERROR(INDEX('G-8 Condition Look up'!$I$4:$I$131,MATCH(G180,'G-8 Condition Look up'!$A$4:$A$131,0)),"")</f>
        <v/>
      </c>
      <c r="D180" s="89">
        <v>170</v>
      </c>
      <c r="E180" s="90"/>
      <c r="F180" s="91"/>
      <c r="G180" s="75" t="str">
        <f>IFERROR(INDEX('G-1 All Habitats'!$B$3:$B$130,MATCH(F180,'G-1 All Habitats'!$A$3:$A$130,0)),"")</f>
        <v/>
      </c>
      <c r="H180" s="76"/>
      <c r="I180" s="77" t="str">
        <f>IF(G180="","",VLOOKUP(G180,'G-1 All Habitats'!$B$2:$M$130,10,FALSE))</f>
        <v/>
      </c>
      <c r="J180" s="78" t="str">
        <f>IFERROR(VLOOKUP(I180,'G-1 All Habitats'!$V$3:$W$7,2,FALSE),"")</f>
        <v/>
      </c>
      <c r="K180" s="79"/>
      <c r="L180" s="78" t="str">
        <f>IFERROR(INDEX('G-8 Condition Look up'!$A$3:$H$131,MATCH(G180,'G-8 Condition Look up'!$A$3:$A$131,0),MATCH(K180,'G-8 Condition Look up'!$A$3:$H$3,0)),"")</f>
        <v/>
      </c>
      <c r="M180" s="79"/>
      <c r="N180" s="348" t="str">
        <f>IF(M180="","",IF(VLOOKUP(M180,'G-3 Multipliers'!$L$3:$N$6,2,FALSE)=0,"Spatial Data Missing",VLOOKUP(M180,'G-3 Multipliers'!$L$3:$N$6,2,FALSE)))</f>
        <v/>
      </c>
      <c r="O180" s="569" t="str">
        <f>IF(M180="","",IF(VLOOKUP(M180,'G-3 Multipliers'!$L$3:$N$6,3,FALSE)=0,"Spatial Data Missing",VLOOKUP(M180,'G-3 Multipliers'!$L$3:$N$6,3,FALSE)))</f>
        <v/>
      </c>
      <c r="P180" s="80" t="str">
        <f>IFERROR(VLOOKUP(G180,'G-1 All Habitats'!$B$2:$M$130,12,FALSE),"")</f>
        <v/>
      </c>
      <c r="Q180" s="81" t="str">
        <f>IFERROR(IF(P180="","",IF(AND(P180='G-1 All Habitats'!$X$3,T180&gt;0),U180+V180,IF(AND(P180='G-1 All Habitats'!$X$3,S180&gt;0),U180+V180,IF(AND(P180='G-1 All Habitats'!$X$3,AC180&gt;0),"Any Loss Unacceptable",IF(AND(P180='G-1 All Habitats'!$X$3,W180&gt;0),"Any Loss Unacceptable",H180*J180*L180*O180))))),"Check Data")</f>
        <v/>
      </c>
      <c r="R180" s="55"/>
      <c r="S180" s="79"/>
      <c r="T180" s="82"/>
      <c r="U180" s="83" t="str">
        <f t="shared" si="13"/>
        <v/>
      </c>
      <c r="V180" s="83" t="str">
        <f t="shared" si="14"/>
        <v/>
      </c>
      <c r="W180" s="83" t="str">
        <f>IF(E180="","",IF(H180&lt;S180+T180,"Error in Areas",IF(P180&lt;&gt;'G-1 All Habitats'!$X$3,H180-S180-T180,IF(AND(P180='G-1 All Habitats'!$X$3,Y180="Yes"),"Unacceptable Loss",IF(AND(P180='G-1 All Habitats'!$X$3,Y180="No"),AC180,IF(AND(P180='G-1 All Habitats'!$X$3,Y180=""),AC180,IF(AND(P180='G-1 All Habitats'!$X$3,AC180="None",AC180),IF(AND(P180='G-1 All Habitats'!$X$3,AC180&gt;0),H180-S180-T180))))))))</f>
        <v/>
      </c>
      <c r="X180" s="84" t="str">
        <f>IFERROR(IF(H180="","",IF(H180-S180-T180=0&lt;0,"Error in Areas",IF(S180+T180&gt;H180,"Error in Areas",IF(AND(P180='G-1 All Habitats'!$X$3,Y180="Yes"),"Alternative Compensation",IF(W180=0,0,IF(P180='G-1 All Habitats'!$X$3,"Unacceptable Loss",Q180-U180-V180)))))),"Check Data")</f>
        <v/>
      </c>
      <c r="Y180" s="82"/>
      <c r="Z180" s="92"/>
      <c r="AA180" s="93"/>
      <c r="AC180" s="87" t="str">
        <f>IF(P180="","",IF(P180='G-1 All Habitats'!$X$3,H180-S180-T180,"None"))</f>
        <v/>
      </c>
      <c r="AD180" s="88" t="str">
        <f>IFERROR(AC180*J180*L180*#REF!*O180,IF(P180="","","None"))</f>
        <v/>
      </c>
      <c r="AF180" s="59" t="str">
        <f t="shared" si="10"/>
        <v/>
      </c>
      <c r="AG180" s="59" t="str">
        <f t="shared" si="11"/>
        <v/>
      </c>
      <c r="AH180" s="59" t="str">
        <f>IF(I180="","",IF(#REF!&gt;0,TRUE,FALSE))</f>
        <v/>
      </c>
      <c r="AI180" s="59">
        <v>170</v>
      </c>
      <c r="AJ180" s="59"/>
      <c r="AK180" s="59" t="str">
        <f t="array" ref="AK180">IFERROR(INDEX($AI$11:$AI$259, MATCH(0, IF(TRUE=$AF$11:$AF$259, COUNTIF($AK$10:$AK179, $AI$11:$AI$259), ""), 0)),"")</f>
        <v/>
      </c>
      <c r="AL180" s="59" t="str">
        <f t="array" ref="AL180">IFERROR(INDEX($AI$11:$AI$259, MATCH(0, IF(TRUE=$AG$11:$AG$259, COUNTIF($AL$10:$AL179, $AI$11:$AI$259), ""), 0)),"")</f>
        <v/>
      </c>
      <c r="AM180" s="59" t="str">
        <f t="array" ref="AM180">IFERROR(INDEX($AI$11:$AI$259, MATCH(0, IF(TRUE=$AH$11:$AH$259, COUNTIF($AM$10:$AM179, $AI$11:$AI$259), ""), 0)),"")</f>
        <v/>
      </c>
      <c r="AN180" s="59"/>
      <c r="AQ180" s="52">
        <f t="shared" si="12"/>
        <v>0</v>
      </c>
    </row>
    <row r="181" spans="1:43" x14ac:dyDescent="0.25">
      <c r="A181" s="52" t="str">
        <f>IFERROR(INDEX('G-1 All Habitats'!$AG$3:$AG$15,MATCH(E181,'G-1 All Habitats'!$AF$3:$AF$15,0)),"")</f>
        <v/>
      </c>
      <c r="B181" s="52" t="str">
        <f>IFERROR(INDEX('G-8 Condition Look up'!$I$4:$I$131,MATCH(G181,'G-8 Condition Look up'!$A$4:$A$131,0)),"")</f>
        <v/>
      </c>
      <c r="D181" s="89">
        <v>171</v>
      </c>
      <c r="E181" s="90"/>
      <c r="F181" s="91"/>
      <c r="G181" s="75" t="str">
        <f>IFERROR(INDEX('G-1 All Habitats'!$B$3:$B$130,MATCH(F181,'G-1 All Habitats'!$A$3:$A$130,0)),"")</f>
        <v/>
      </c>
      <c r="H181" s="76"/>
      <c r="I181" s="77" t="str">
        <f>IF(G181="","",VLOOKUP(G181,'G-1 All Habitats'!$B$2:$M$130,10,FALSE))</f>
        <v/>
      </c>
      <c r="J181" s="78" t="str">
        <f>IFERROR(VLOOKUP(I181,'G-1 All Habitats'!$V$3:$W$7,2,FALSE),"")</f>
        <v/>
      </c>
      <c r="K181" s="79"/>
      <c r="L181" s="78" t="str">
        <f>IFERROR(INDEX('G-8 Condition Look up'!$A$3:$H$131,MATCH(G181,'G-8 Condition Look up'!$A$3:$A$131,0),MATCH(K181,'G-8 Condition Look up'!$A$3:$H$3,0)),"")</f>
        <v/>
      </c>
      <c r="M181" s="79"/>
      <c r="N181" s="348" t="str">
        <f>IF(M181="","",IF(VLOOKUP(M181,'G-3 Multipliers'!$L$3:$N$6,2,FALSE)=0,"Spatial Data Missing",VLOOKUP(M181,'G-3 Multipliers'!$L$3:$N$6,2,FALSE)))</f>
        <v/>
      </c>
      <c r="O181" s="569" t="str">
        <f>IF(M181="","",IF(VLOOKUP(M181,'G-3 Multipliers'!$L$3:$N$6,3,FALSE)=0,"Spatial Data Missing",VLOOKUP(M181,'G-3 Multipliers'!$L$3:$N$6,3,FALSE)))</f>
        <v/>
      </c>
      <c r="P181" s="80" t="str">
        <f>IFERROR(VLOOKUP(G181,'G-1 All Habitats'!$B$2:$M$130,12,FALSE),"")</f>
        <v/>
      </c>
      <c r="Q181" s="81" t="str">
        <f>IFERROR(IF(P181="","",IF(AND(P181='G-1 All Habitats'!$X$3,T181&gt;0),U181+V181,IF(AND(P181='G-1 All Habitats'!$X$3,S181&gt;0),U181+V181,IF(AND(P181='G-1 All Habitats'!$X$3,AC181&gt;0),"Any Loss Unacceptable",IF(AND(P181='G-1 All Habitats'!$X$3,W181&gt;0),"Any Loss Unacceptable",H181*J181*L181*O181))))),"Check Data")</f>
        <v/>
      </c>
      <c r="R181" s="55"/>
      <c r="S181" s="79"/>
      <c r="T181" s="82"/>
      <c r="U181" s="83" t="str">
        <f t="shared" si="13"/>
        <v/>
      </c>
      <c r="V181" s="83" t="str">
        <f t="shared" si="14"/>
        <v/>
      </c>
      <c r="W181" s="83" t="str">
        <f>IF(E181="","",IF(H181&lt;S181+T181,"Error in Areas",IF(P181&lt;&gt;'G-1 All Habitats'!$X$3,H181-S181-T181,IF(AND(P181='G-1 All Habitats'!$X$3,Y181="Yes"),"Unacceptable Loss",IF(AND(P181='G-1 All Habitats'!$X$3,Y181="No"),AC181,IF(AND(P181='G-1 All Habitats'!$X$3,Y181=""),AC181,IF(AND(P181='G-1 All Habitats'!$X$3,AC181="None",AC181),IF(AND(P181='G-1 All Habitats'!$X$3,AC181&gt;0),H181-S181-T181))))))))</f>
        <v/>
      </c>
      <c r="X181" s="84" t="str">
        <f>IFERROR(IF(H181="","",IF(H181-S181-T181=0&lt;0,"Error in Areas",IF(S181+T181&gt;H181,"Error in Areas",IF(AND(P181='G-1 All Habitats'!$X$3,Y181="Yes"),"Alternative Compensation",IF(W181=0,0,IF(P181='G-1 All Habitats'!$X$3,"Unacceptable Loss",Q181-U181-V181)))))),"Check Data")</f>
        <v/>
      </c>
      <c r="Y181" s="82"/>
      <c r="Z181" s="92"/>
      <c r="AA181" s="93"/>
      <c r="AC181" s="87" t="str">
        <f>IF(P181="","",IF(P181='G-1 All Habitats'!$X$3,H181-S181-T181,"None"))</f>
        <v/>
      </c>
      <c r="AD181" s="88" t="str">
        <f>IFERROR(AC181*J181*L181*#REF!*O181,IF(P181="","","None"))</f>
        <v/>
      </c>
      <c r="AF181" s="59" t="str">
        <f t="shared" si="10"/>
        <v/>
      </c>
      <c r="AG181" s="59" t="str">
        <f t="shared" si="11"/>
        <v/>
      </c>
      <c r="AH181" s="59" t="str">
        <f>IF(I181="","",IF(#REF!&gt;0,TRUE,FALSE))</f>
        <v/>
      </c>
      <c r="AI181" s="59">
        <v>171</v>
      </c>
      <c r="AJ181" s="59"/>
      <c r="AK181" s="59" t="str">
        <f t="array" ref="AK181">IFERROR(INDEX($AI$11:$AI$259, MATCH(0, IF(TRUE=$AF$11:$AF$259, COUNTIF($AK$10:$AK180, $AI$11:$AI$259), ""), 0)),"")</f>
        <v/>
      </c>
      <c r="AL181" s="59" t="str">
        <f t="array" ref="AL181">IFERROR(INDEX($AI$11:$AI$259, MATCH(0, IF(TRUE=$AG$11:$AG$259, COUNTIF($AL$10:$AL180, $AI$11:$AI$259), ""), 0)),"")</f>
        <v/>
      </c>
      <c r="AM181" s="59" t="str">
        <f t="array" ref="AM181">IFERROR(INDEX($AI$11:$AI$259, MATCH(0, IF(TRUE=$AH$11:$AH$259, COUNTIF($AM$10:$AM180, $AI$11:$AI$259), ""), 0)),"")</f>
        <v/>
      </c>
      <c r="AN181" s="59"/>
      <c r="AQ181" s="52">
        <f t="shared" si="12"/>
        <v>0</v>
      </c>
    </row>
    <row r="182" spans="1:43" x14ac:dyDescent="0.25">
      <c r="A182" s="52" t="str">
        <f>IFERROR(INDEX('G-1 All Habitats'!$AG$3:$AG$15,MATCH(E182,'G-1 All Habitats'!$AF$3:$AF$15,0)),"")</f>
        <v/>
      </c>
      <c r="B182" s="52" t="str">
        <f>IFERROR(INDEX('G-8 Condition Look up'!$I$4:$I$131,MATCH(G182,'G-8 Condition Look up'!$A$4:$A$131,0)),"")</f>
        <v/>
      </c>
      <c r="D182" s="89">
        <v>172</v>
      </c>
      <c r="E182" s="90"/>
      <c r="F182" s="91"/>
      <c r="G182" s="75" t="str">
        <f>IFERROR(INDEX('G-1 All Habitats'!$B$3:$B$130,MATCH(F182,'G-1 All Habitats'!$A$3:$A$130,0)),"")</f>
        <v/>
      </c>
      <c r="H182" s="76"/>
      <c r="I182" s="77" t="str">
        <f>IF(G182="","",VLOOKUP(G182,'G-1 All Habitats'!$B$2:$M$130,10,FALSE))</f>
        <v/>
      </c>
      <c r="J182" s="78" t="str">
        <f>IFERROR(VLOOKUP(I182,'G-1 All Habitats'!$V$3:$W$7,2,FALSE),"")</f>
        <v/>
      </c>
      <c r="K182" s="79"/>
      <c r="L182" s="78" t="str">
        <f>IFERROR(INDEX('G-8 Condition Look up'!$A$3:$H$131,MATCH(G182,'G-8 Condition Look up'!$A$3:$A$131,0),MATCH(K182,'G-8 Condition Look up'!$A$3:$H$3,0)),"")</f>
        <v/>
      </c>
      <c r="M182" s="79"/>
      <c r="N182" s="348" t="str">
        <f>IF(M182="","",IF(VLOOKUP(M182,'G-3 Multipliers'!$L$3:$N$6,2,FALSE)=0,"Spatial Data Missing",VLOOKUP(M182,'G-3 Multipliers'!$L$3:$N$6,2,FALSE)))</f>
        <v/>
      </c>
      <c r="O182" s="569" t="str">
        <f>IF(M182="","",IF(VLOOKUP(M182,'G-3 Multipliers'!$L$3:$N$6,3,FALSE)=0,"Spatial Data Missing",VLOOKUP(M182,'G-3 Multipliers'!$L$3:$N$6,3,FALSE)))</f>
        <v/>
      </c>
      <c r="P182" s="80" t="str">
        <f>IFERROR(VLOOKUP(G182,'G-1 All Habitats'!$B$2:$M$130,12,FALSE),"")</f>
        <v/>
      </c>
      <c r="Q182" s="81" t="str">
        <f>IFERROR(IF(P182="","",IF(AND(P182='G-1 All Habitats'!$X$3,T182&gt;0),U182+V182,IF(AND(P182='G-1 All Habitats'!$X$3,S182&gt;0),U182+V182,IF(AND(P182='G-1 All Habitats'!$X$3,AC182&gt;0),"Any Loss Unacceptable",IF(AND(P182='G-1 All Habitats'!$X$3,W182&gt;0),"Any Loss Unacceptable",H182*J182*L182*O182))))),"Check Data")</f>
        <v/>
      </c>
      <c r="R182" s="55"/>
      <c r="S182" s="79"/>
      <c r="T182" s="82"/>
      <c r="U182" s="83" t="str">
        <f t="shared" si="13"/>
        <v/>
      </c>
      <c r="V182" s="83" t="str">
        <f t="shared" si="14"/>
        <v/>
      </c>
      <c r="W182" s="83" t="str">
        <f>IF(E182="","",IF(H182&lt;S182+T182,"Error in Areas",IF(P182&lt;&gt;'G-1 All Habitats'!$X$3,H182-S182-T182,IF(AND(P182='G-1 All Habitats'!$X$3,Y182="Yes"),"Unacceptable Loss",IF(AND(P182='G-1 All Habitats'!$X$3,Y182="No"),AC182,IF(AND(P182='G-1 All Habitats'!$X$3,Y182=""),AC182,IF(AND(P182='G-1 All Habitats'!$X$3,AC182="None",AC182),IF(AND(P182='G-1 All Habitats'!$X$3,AC182&gt;0),H182-S182-T182))))))))</f>
        <v/>
      </c>
      <c r="X182" s="84" t="str">
        <f>IFERROR(IF(H182="","",IF(H182-S182-T182=0&lt;0,"Error in Areas",IF(S182+T182&gt;H182,"Error in Areas",IF(AND(P182='G-1 All Habitats'!$X$3,Y182="Yes"),"Alternative Compensation",IF(W182=0,0,IF(P182='G-1 All Habitats'!$X$3,"Unacceptable Loss",Q182-U182-V182)))))),"Check Data")</f>
        <v/>
      </c>
      <c r="Y182" s="82"/>
      <c r="Z182" s="92"/>
      <c r="AA182" s="93"/>
      <c r="AC182" s="87" t="str">
        <f>IF(P182="","",IF(P182='G-1 All Habitats'!$X$3,H182-S182-T182,"None"))</f>
        <v/>
      </c>
      <c r="AD182" s="88" t="str">
        <f>IFERROR(AC182*J182*L182*#REF!*O182,IF(P182="","","None"))</f>
        <v/>
      </c>
      <c r="AF182" s="59" t="str">
        <f t="shared" si="10"/>
        <v/>
      </c>
      <c r="AG182" s="59" t="str">
        <f t="shared" si="11"/>
        <v/>
      </c>
      <c r="AH182" s="59" t="str">
        <f>IF(I182="","",IF(#REF!&gt;0,TRUE,FALSE))</f>
        <v/>
      </c>
      <c r="AI182" s="59">
        <v>172</v>
      </c>
      <c r="AJ182" s="59"/>
      <c r="AK182" s="59" t="str">
        <f t="array" ref="AK182">IFERROR(INDEX($AI$11:$AI$259, MATCH(0, IF(TRUE=$AF$11:$AF$259, COUNTIF($AK$10:$AK181, $AI$11:$AI$259), ""), 0)),"")</f>
        <v/>
      </c>
      <c r="AL182" s="59" t="str">
        <f t="array" ref="AL182">IFERROR(INDEX($AI$11:$AI$259, MATCH(0, IF(TRUE=$AG$11:$AG$259, COUNTIF($AL$10:$AL181, $AI$11:$AI$259), ""), 0)),"")</f>
        <v/>
      </c>
      <c r="AM182" s="59" t="str">
        <f t="array" ref="AM182">IFERROR(INDEX($AI$11:$AI$259, MATCH(0, IF(TRUE=$AH$11:$AH$259, COUNTIF($AM$10:$AM181, $AI$11:$AI$259), ""), 0)),"")</f>
        <v/>
      </c>
      <c r="AN182" s="59"/>
      <c r="AQ182" s="52">
        <f t="shared" si="12"/>
        <v>0</v>
      </c>
    </row>
    <row r="183" spans="1:43" x14ac:dyDescent="0.25">
      <c r="A183" s="52" t="str">
        <f>IFERROR(INDEX('G-1 All Habitats'!$AG$3:$AG$15,MATCH(E183,'G-1 All Habitats'!$AF$3:$AF$15,0)),"")</f>
        <v/>
      </c>
      <c r="B183" s="52" t="str">
        <f>IFERROR(INDEX('G-8 Condition Look up'!$I$4:$I$131,MATCH(G183,'G-8 Condition Look up'!$A$4:$A$131,0)),"")</f>
        <v/>
      </c>
      <c r="D183" s="89">
        <v>173</v>
      </c>
      <c r="E183" s="90"/>
      <c r="F183" s="91"/>
      <c r="G183" s="75" t="str">
        <f>IFERROR(INDEX('G-1 All Habitats'!$B$3:$B$130,MATCH(F183,'G-1 All Habitats'!$A$3:$A$130,0)),"")</f>
        <v/>
      </c>
      <c r="H183" s="76"/>
      <c r="I183" s="77" t="str">
        <f>IF(G183="","",VLOOKUP(G183,'G-1 All Habitats'!$B$2:$M$130,10,FALSE))</f>
        <v/>
      </c>
      <c r="J183" s="78" t="str">
        <f>IFERROR(VLOOKUP(I183,'G-1 All Habitats'!$V$3:$W$7,2,FALSE),"")</f>
        <v/>
      </c>
      <c r="K183" s="79"/>
      <c r="L183" s="78" t="str">
        <f>IFERROR(INDEX('G-8 Condition Look up'!$A$3:$H$131,MATCH(G183,'G-8 Condition Look up'!$A$3:$A$131,0),MATCH(K183,'G-8 Condition Look up'!$A$3:$H$3,0)),"")</f>
        <v/>
      </c>
      <c r="M183" s="79"/>
      <c r="N183" s="348" t="str">
        <f>IF(M183="","",IF(VLOOKUP(M183,'G-3 Multipliers'!$L$3:$N$6,2,FALSE)=0,"Spatial Data Missing",VLOOKUP(M183,'G-3 Multipliers'!$L$3:$N$6,2,FALSE)))</f>
        <v/>
      </c>
      <c r="O183" s="569" t="str">
        <f>IF(M183="","",IF(VLOOKUP(M183,'G-3 Multipliers'!$L$3:$N$6,3,FALSE)=0,"Spatial Data Missing",VLOOKUP(M183,'G-3 Multipliers'!$L$3:$N$6,3,FALSE)))</f>
        <v/>
      </c>
      <c r="P183" s="80" t="str">
        <f>IFERROR(VLOOKUP(G183,'G-1 All Habitats'!$B$2:$M$130,12,FALSE),"")</f>
        <v/>
      </c>
      <c r="Q183" s="81" t="str">
        <f>IFERROR(IF(P183="","",IF(AND(P183='G-1 All Habitats'!$X$3,T183&gt;0),U183+V183,IF(AND(P183='G-1 All Habitats'!$X$3,S183&gt;0),U183+V183,IF(AND(P183='G-1 All Habitats'!$X$3,AC183&gt;0),"Any Loss Unacceptable",IF(AND(P183='G-1 All Habitats'!$X$3,W183&gt;0),"Any Loss Unacceptable",H183*J183*L183*O183))))),"Check Data")</f>
        <v/>
      </c>
      <c r="R183" s="55"/>
      <c r="S183" s="79"/>
      <c r="T183" s="82"/>
      <c r="U183" s="83" t="str">
        <f t="shared" si="13"/>
        <v/>
      </c>
      <c r="V183" s="83" t="str">
        <f t="shared" si="14"/>
        <v/>
      </c>
      <c r="W183" s="83" t="str">
        <f>IF(E183="","",IF(H183&lt;S183+T183,"Error in Areas",IF(P183&lt;&gt;'G-1 All Habitats'!$X$3,H183-S183-T183,IF(AND(P183='G-1 All Habitats'!$X$3,Y183="Yes"),"Unacceptable Loss",IF(AND(P183='G-1 All Habitats'!$X$3,Y183="No"),AC183,IF(AND(P183='G-1 All Habitats'!$X$3,Y183=""),AC183,IF(AND(P183='G-1 All Habitats'!$X$3,AC183="None",AC183),IF(AND(P183='G-1 All Habitats'!$X$3,AC183&gt;0),H183-S183-T183))))))))</f>
        <v/>
      </c>
      <c r="X183" s="84" t="str">
        <f>IFERROR(IF(H183="","",IF(H183-S183-T183=0&lt;0,"Error in Areas",IF(S183+T183&gt;H183,"Error in Areas",IF(AND(P183='G-1 All Habitats'!$X$3,Y183="Yes"),"Alternative Compensation",IF(W183=0,0,IF(P183='G-1 All Habitats'!$X$3,"Unacceptable Loss",Q183-U183-V183)))))),"Check Data")</f>
        <v/>
      </c>
      <c r="Y183" s="82"/>
      <c r="Z183" s="92"/>
      <c r="AA183" s="93"/>
      <c r="AC183" s="87" t="str">
        <f>IF(P183="","",IF(P183='G-1 All Habitats'!$X$3,H183-S183-T183,"None"))</f>
        <v/>
      </c>
      <c r="AD183" s="88" t="str">
        <f>IFERROR(AC183*J183*L183*#REF!*O183,IF(P183="","","None"))</f>
        <v/>
      </c>
      <c r="AF183" s="59" t="str">
        <f t="shared" si="10"/>
        <v/>
      </c>
      <c r="AG183" s="59" t="str">
        <f t="shared" si="11"/>
        <v/>
      </c>
      <c r="AH183" s="59" t="str">
        <f>IF(I183="","",IF(#REF!&gt;0,TRUE,FALSE))</f>
        <v/>
      </c>
      <c r="AI183" s="59">
        <v>173</v>
      </c>
      <c r="AJ183" s="59"/>
      <c r="AK183" s="59" t="str">
        <f t="array" ref="AK183">IFERROR(INDEX($AI$11:$AI$259, MATCH(0, IF(TRUE=$AF$11:$AF$259, COUNTIF($AK$10:$AK182, $AI$11:$AI$259), ""), 0)),"")</f>
        <v/>
      </c>
      <c r="AL183" s="59" t="str">
        <f t="array" ref="AL183">IFERROR(INDEX($AI$11:$AI$259, MATCH(0, IF(TRUE=$AG$11:$AG$259, COUNTIF($AL$10:$AL182, $AI$11:$AI$259), ""), 0)),"")</f>
        <v/>
      </c>
      <c r="AM183" s="59" t="str">
        <f t="array" ref="AM183">IFERROR(INDEX($AI$11:$AI$259, MATCH(0, IF(TRUE=$AH$11:$AH$259, COUNTIF($AM$10:$AM182, $AI$11:$AI$259), ""), 0)),"")</f>
        <v/>
      </c>
      <c r="AN183" s="59"/>
      <c r="AQ183" s="52">
        <f t="shared" si="12"/>
        <v>0</v>
      </c>
    </row>
    <row r="184" spans="1:43" x14ac:dyDescent="0.25">
      <c r="A184" s="52" t="str">
        <f>IFERROR(INDEX('G-1 All Habitats'!$AG$3:$AG$15,MATCH(E184,'G-1 All Habitats'!$AF$3:$AF$15,0)),"")</f>
        <v/>
      </c>
      <c r="B184" s="52" t="str">
        <f>IFERROR(INDEX('G-8 Condition Look up'!$I$4:$I$131,MATCH(G184,'G-8 Condition Look up'!$A$4:$A$131,0)),"")</f>
        <v/>
      </c>
      <c r="D184" s="89">
        <v>174</v>
      </c>
      <c r="E184" s="90"/>
      <c r="F184" s="91"/>
      <c r="G184" s="75" t="str">
        <f>IFERROR(INDEX('G-1 All Habitats'!$B$3:$B$130,MATCH(F184,'G-1 All Habitats'!$A$3:$A$130,0)),"")</f>
        <v/>
      </c>
      <c r="H184" s="76"/>
      <c r="I184" s="77" t="str">
        <f>IF(G184="","",VLOOKUP(G184,'G-1 All Habitats'!$B$2:$M$130,10,FALSE))</f>
        <v/>
      </c>
      <c r="J184" s="78" t="str">
        <f>IFERROR(VLOOKUP(I184,'G-1 All Habitats'!$V$3:$W$7,2,FALSE),"")</f>
        <v/>
      </c>
      <c r="K184" s="79"/>
      <c r="L184" s="78" t="str">
        <f>IFERROR(INDEX('G-8 Condition Look up'!$A$3:$H$131,MATCH(G184,'G-8 Condition Look up'!$A$3:$A$131,0),MATCH(K184,'G-8 Condition Look up'!$A$3:$H$3,0)),"")</f>
        <v/>
      </c>
      <c r="M184" s="79"/>
      <c r="N184" s="348" t="str">
        <f>IF(M184="","",IF(VLOOKUP(M184,'G-3 Multipliers'!$L$3:$N$6,2,FALSE)=0,"Spatial Data Missing",VLOOKUP(M184,'G-3 Multipliers'!$L$3:$N$6,2,FALSE)))</f>
        <v/>
      </c>
      <c r="O184" s="569" t="str">
        <f>IF(M184="","",IF(VLOOKUP(M184,'G-3 Multipliers'!$L$3:$N$6,3,FALSE)=0,"Spatial Data Missing",VLOOKUP(M184,'G-3 Multipliers'!$L$3:$N$6,3,FALSE)))</f>
        <v/>
      </c>
      <c r="P184" s="80" t="str">
        <f>IFERROR(VLOOKUP(G184,'G-1 All Habitats'!$B$2:$M$130,12,FALSE),"")</f>
        <v/>
      </c>
      <c r="Q184" s="81" t="str">
        <f>IFERROR(IF(P184="","",IF(AND(P184='G-1 All Habitats'!$X$3,T184&gt;0),U184+V184,IF(AND(P184='G-1 All Habitats'!$X$3,S184&gt;0),U184+V184,IF(AND(P184='G-1 All Habitats'!$X$3,AC184&gt;0),"Any Loss Unacceptable",IF(AND(P184='G-1 All Habitats'!$X$3,W184&gt;0),"Any Loss Unacceptable",H184*J184*L184*O184))))),"Check Data")</f>
        <v/>
      </c>
      <c r="R184" s="55"/>
      <c r="S184" s="79"/>
      <c r="T184" s="82"/>
      <c r="U184" s="83" t="str">
        <f t="shared" si="13"/>
        <v/>
      </c>
      <c r="V184" s="83" t="str">
        <f t="shared" si="14"/>
        <v/>
      </c>
      <c r="W184" s="83" t="str">
        <f>IF(E184="","",IF(H184&lt;S184+T184,"Error in Areas",IF(P184&lt;&gt;'G-1 All Habitats'!$X$3,H184-S184-T184,IF(AND(P184='G-1 All Habitats'!$X$3,Y184="Yes"),"Unacceptable Loss",IF(AND(P184='G-1 All Habitats'!$X$3,Y184="No"),AC184,IF(AND(P184='G-1 All Habitats'!$X$3,Y184=""),AC184,IF(AND(P184='G-1 All Habitats'!$X$3,AC184="None",AC184),IF(AND(P184='G-1 All Habitats'!$X$3,AC184&gt;0),H184-S184-T184))))))))</f>
        <v/>
      </c>
      <c r="X184" s="84" t="str">
        <f>IFERROR(IF(H184="","",IF(H184-S184-T184=0&lt;0,"Error in Areas",IF(S184+T184&gt;H184,"Error in Areas",IF(AND(P184='G-1 All Habitats'!$X$3,Y184="Yes"),"Alternative Compensation",IF(W184=0,0,IF(P184='G-1 All Habitats'!$X$3,"Unacceptable Loss",Q184-U184-V184)))))),"Check Data")</f>
        <v/>
      </c>
      <c r="Y184" s="82"/>
      <c r="Z184" s="92"/>
      <c r="AA184" s="93"/>
      <c r="AC184" s="87" t="str">
        <f>IF(P184="","",IF(P184='G-1 All Habitats'!$X$3,H184-S184-T184,"None"))</f>
        <v/>
      </c>
      <c r="AD184" s="88" t="str">
        <f>IFERROR(AC184*J184*L184*#REF!*O184,IF(P184="","","None"))</f>
        <v/>
      </c>
      <c r="AF184" s="59" t="str">
        <f t="shared" si="10"/>
        <v/>
      </c>
      <c r="AG184" s="59" t="str">
        <f t="shared" si="11"/>
        <v/>
      </c>
      <c r="AH184" s="59" t="str">
        <f>IF(I184="","",IF(#REF!&gt;0,TRUE,FALSE))</f>
        <v/>
      </c>
      <c r="AI184" s="59">
        <v>174</v>
      </c>
      <c r="AJ184" s="59"/>
      <c r="AK184" s="59" t="str">
        <f t="array" ref="AK184">IFERROR(INDEX($AI$11:$AI$259, MATCH(0, IF(TRUE=$AF$11:$AF$259, COUNTIF($AK$10:$AK183, $AI$11:$AI$259), ""), 0)),"")</f>
        <v/>
      </c>
      <c r="AL184" s="59" t="str">
        <f t="array" ref="AL184">IFERROR(INDEX($AI$11:$AI$259, MATCH(0, IF(TRUE=$AG$11:$AG$259, COUNTIF($AL$10:$AL183, $AI$11:$AI$259), ""), 0)),"")</f>
        <v/>
      </c>
      <c r="AM184" s="59" t="str">
        <f t="array" ref="AM184">IFERROR(INDEX($AI$11:$AI$259, MATCH(0, IF(TRUE=$AH$11:$AH$259, COUNTIF($AM$10:$AM183, $AI$11:$AI$259), ""), 0)),"")</f>
        <v/>
      </c>
      <c r="AN184" s="59"/>
      <c r="AQ184" s="52">
        <f t="shared" si="12"/>
        <v>0</v>
      </c>
    </row>
    <row r="185" spans="1:43" x14ac:dyDescent="0.25">
      <c r="A185" s="52" t="str">
        <f>IFERROR(INDEX('G-1 All Habitats'!$AG$3:$AG$15,MATCH(E185,'G-1 All Habitats'!$AF$3:$AF$15,0)),"")</f>
        <v/>
      </c>
      <c r="B185" s="52" t="str">
        <f>IFERROR(INDEX('G-8 Condition Look up'!$I$4:$I$131,MATCH(G185,'G-8 Condition Look up'!$A$4:$A$131,0)),"")</f>
        <v/>
      </c>
      <c r="D185" s="89">
        <v>175</v>
      </c>
      <c r="E185" s="90"/>
      <c r="F185" s="91"/>
      <c r="G185" s="75" t="str">
        <f>IFERROR(INDEX('G-1 All Habitats'!$B$3:$B$130,MATCH(F185,'G-1 All Habitats'!$A$3:$A$130,0)),"")</f>
        <v/>
      </c>
      <c r="H185" s="76"/>
      <c r="I185" s="77" t="str">
        <f>IF(G185="","",VLOOKUP(G185,'G-1 All Habitats'!$B$2:$M$130,10,FALSE))</f>
        <v/>
      </c>
      <c r="J185" s="78" t="str">
        <f>IFERROR(VLOOKUP(I185,'G-1 All Habitats'!$V$3:$W$7,2,FALSE),"")</f>
        <v/>
      </c>
      <c r="K185" s="79"/>
      <c r="L185" s="78" t="str">
        <f>IFERROR(INDEX('G-8 Condition Look up'!$A$3:$H$131,MATCH(G185,'G-8 Condition Look up'!$A$3:$A$131,0),MATCH(K185,'G-8 Condition Look up'!$A$3:$H$3,0)),"")</f>
        <v/>
      </c>
      <c r="M185" s="79"/>
      <c r="N185" s="348" t="str">
        <f>IF(M185="","",IF(VLOOKUP(M185,'G-3 Multipliers'!$L$3:$N$6,2,FALSE)=0,"Spatial Data Missing",VLOOKUP(M185,'G-3 Multipliers'!$L$3:$N$6,2,FALSE)))</f>
        <v/>
      </c>
      <c r="O185" s="569" t="str">
        <f>IF(M185="","",IF(VLOOKUP(M185,'G-3 Multipliers'!$L$3:$N$6,3,FALSE)=0,"Spatial Data Missing",VLOOKUP(M185,'G-3 Multipliers'!$L$3:$N$6,3,FALSE)))</f>
        <v/>
      </c>
      <c r="P185" s="80" t="str">
        <f>IFERROR(VLOOKUP(G185,'G-1 All Habitats'!$B$2:$M$130,12,FALSE),"")</f>
        <v/>
      </c>
      <c r="Q185" s="81" t="str">
        <f>IFERROR(IF(P185="","",IF(AND(P185='G-1 All Habitats'!$X$3,T185&gt;0),U185+V185,IF(AND(P185='G-1 All Habitats'!$X$3,S185&gt;0),U185+V185,IF(AND(P185='G-1 All Habitats'!$X$3,AC185&gt;0),"Any Loss Unacceptable",IF(AND(P185='G-1 All Habitats'!$X$3,W185&gt;0),"Any Loss Unacceptable",H185*J185*L185*O185))))),"Check Data")</f>
        <v/>
      </c>
      <c r="R185" s="55"/>
      <c r="S185" s="79"/>
      <c r="T185" s="82"/>
      <c r="U185" s="83" t="str">
        <f t="shared" si="13"/>
        <v/>
      </c>
      <c r="V185" s="83" t="str">
        <f t="shared" si="14"/>
        <v/>
      </c>
      <c r="W185" s="83" t="str">
        <f>IF(E185="","",IF(H185&lt;S185+T185,"Error in Areas",IF(P185&lt;&gt;'G-1 All Habitats'!$X$3,H185-S185-T185,IF(AND(P185='G-1 All Habitats'!$X$3,Y185="Yes"),"Unacceptable Loss",IF(AND(P185='G-1 All Habitats'!$X$3,Y185="No"),AC185,IF(AND(P185='G-1 All Habitats'!$X$3,Y185=""),AC185,IF(AND(P185='G-1 All Habitats'!$X$3,AC185="None",AC185),IF(AND(P185='G-1 All Habitats'!$X$3,AC185&gt;0),H185-S185-T185))))))))</f>
        <v/>
      </c>
      <c r="X185" s="84" t="str">
        <f>IFERROR(IF(H185="","",IF(H185-S185-T185=0&lt;0,"Error in Areas",IF(S185+T185&gt;H185,"Error in Areas",IF(AND(P185='G-1 All Habitats'!$X$3,Y185="Yes"),"Alternative Compensation",IF(W185=0,0,IF(P185='G-1 All Habitats'!$X$3,"Unacceptable Loss",Q185-U185-V185)))))),"Check Data")</f>
        <v/>
      </c>
      <c r="Y185" s="82"/>
      <c r="Z185" s="92"/>
      <c r="AA185" s="93"/>
      <c r="AC185" s="87" t="str">
        <f>IF(P185="","",IF(P185='G-1 All Habitats'!$X$3,H185-S185-T185,"None"))</f>
        <v/>
      </c>
      <c r="AD185" s="88" t="str">
        <f>IFERROR(AC185*J185*L185*#REF!*O185,IF(P185="","","None"))</f>
        <v/>
      </c>
      <c r="AF185" s="59" t="str">
        <f t="shared" si="10"/>
        <v/>
      </c>
      <c r="AG185" s="59" t="str">
        <f t="shared" si="11"/>
        <v/>
      </c>
      <c r="AH185" s="59" t="str">
        <f>IF(I185="","",IF(#REF!&gt;0,TRUE,FALSE))</f>
        <v/>
      </c>
      <c r="AI185" s="59">
        <v>175</v>
      </c>
      <c r="AJ185" s="59"/>
      <c r="AK185" s="59" t="str">
        <f t="array" ref="AK185">IFERROR(INDEX($AI$11:$AI$259, MATCH(0, IF(TRUE=$AF$11:$AF$259, COUNTIF($AK$10:$AK184, $AI$11:$AI$259), ""), 0)),"")</f>
        <v/>
      </c>
      <c r="AL185" s="59" t="str">
        <f t="array" ref="AL185">IFERROR(INDEX($AI$11:$AI$259, MATCH(0, IF(TRUE=$AG$11:$AG$259, COUNTIF($AL$10:$AL184, $AI$11:$AI$259), ""), 0)),"")</f>
        <v/>
      </c>
      <c r="AM185" s="59" t="str">
        <f t="array" ref="AM185">IFERROR(INDEX($AI$11:$AI$259, MATCH(0, IF(TRUE=$AH$11:$AH$259, COUNTIF($AM$10:$AM184, $AI$11:$AI$259), ""), 0)),"")</f>
        <v/>
      </c>
      <c r="AN185" s="59"/>
      <c r="AQ185" s="52">
        <f t="shared" si="12"/>
        <v>0</v>
      </c>
    </row>
    <row r="186" spans="1:43" x14ac:dyDescent="0.25">
      <c r="A186" s="52" t="str">
        <f>IFERROR(INDEX('G-1 All Habitats'!$AG$3:$AG$15,MATCH(E186,'G-1 All Habitats'!$AF$3:$AF$15,0)),"")</f>
        <v/>
      </c>
      <c r="B186" s="52" t="str">
        <f>IFERROR(INDEX('G-8 Condition Look up'!$I$4:$I$131,MATCH(G186,'G-8 Condition Look up'!$A$4:$A$131,0)),"")</f>
        <v/>
      </c>
      <c r="D186" s="89">
        <v>176</v>
      </c>
      <c r="E186" s="90"/>
      <c r="F186" s="91"/>
      <c r="G186" s="75" t="str">
        <f>IFERROR(INDEX('G-1 All Habitats'!$B$3:$B$130,MATCH(F186,'G-1 All Habitats'!$A$3:$A$130,0)),"")</f>
        <v/>
      </c>
      <c r="H186" s="76"/>
      <c r="I186" s="77" t="str">
        <f>IF(G186="","",VLOOKUP(G186,'G-1 All Habitats'!$B$2:$M$130,10,FALSE))</f>
        <v/>
      </c>
      <c r="J186" s="78" t="str">
        <f>IFERROR(VLOOKUP(I186,'G-1 All Habitats'!$V$3:$W$7,2,FALSE),"")</f>
        <v/>
      </c>
      <c r="K186" s="79"/>
      <c r="L186" s="78" t="str">
        <f>IFERROR(INDEX('G-8 Condition Look up'!$A$3:$H$131,MATCH(G186,'G-8 Condition Look up'!$A$3:$A$131,0),MATCH(K186,'G-8 Condition Look up'!$A$3:$H$3,0)),"")</f>
        <v/>
      </c>
      <c r="M186" s="79"/>
      <c r="N186" s="348" t="str">
        <f>IF(M186="","",IF(VLOOKUP(M186,'G-3 Multipliers'!$L$3:$N$6,2,FALSE)=0,"Spatial Data Missing",VLOOKUP(M186,'G-3 Multipliers'!$L$3:$N$6,2,FALSE)))</f>
        <v/>
      </c>
      <c r="O186" s="569" t="str">
        <f>IF(M186="","",IF(VLOOKUP(M186,'G-3 Multipliers'!$L$3:$N$6,3,FALSE)=0,"Spatial Data Missing",VLOOKUP(M186,'G-3 Multipliers'!$L$3:$N$6,3,FALSE)))</f>
        <v/>
      </c>
      <c r="P186" s="80" t="str">
        <f>IFERROR(VLOOKUP(G186,'G-1 All Habitats'!$B$2:$M$130,12,FALSE),"")</f>
        <v/>
      </c>
      <c r="Q186" s="81" t="str">
        <f>IFERROR(IF(P186="","",IF(AND(P186='G-1 All Habitats'!$X$3,T186&gt;0),U186+V186,IF(AND(P186='G-1 All Habitats'!$X$3,S186&gt;0),U186+V186,IF(AND(P186='G-1 All Habitats'!$X$3,AC186&gt;0),"Any Loss Unacceptable",IF(AND(P186='G-1 All Habitats'!$X$3,W186&gt;0),"Any Loss Unacceptable",H186*J186*L186*O186))))),"Check Data")</f>
        <v/>
      </c>
      <c r="R186" s="55"/>
      <c r="S186" s="79"/>
      <c r="T186" s="82"/>
      <c r="U186" s="83" t="str">
        <f t="shared" si="13"/>
        <v/>
      </c>
      <c r="V186" s="83" t="str">
        <f t="shared" si="14"/>
        <v/>
      </c>
      <c r="W186" s="83" t="str">
        <f>IF(E186="","",IF(H186&lt;S186+T186,"Error in Areas",IF(P186&lt;&gt;'G-1 All Habitats'!$X$3,H186-S186-T186,IF(AND(P186='G-1 All Habitats'!$X$3,Y186="Yes"),"Unacceptable Loss",IF(AND(P186='G-1 All Habitats'!$X$3,Y186="No"),AC186,IF(AND(P186='G-1 All Habitats'!$X$3,Y186=""),AC186,IF(AND(P186='G-1 All Habitats'!$X$3,AC186="None",AC186),IF(AND(P186='G-1 All Habitats'!$X$3,AC186&gt;0),H186-S186-T186))))))))</f>
        <v/>
      </c>
      <c r="X186" s="84" t="str">
        <f>IFERROR(IF(H186="","",IF(H186-S186-T186=0&lt;0,"Error in Areas",IF(S186+T186&gt;H186,"Error in Areas",IF(AND(P186='G-1 All Habitats'!$X$3,Y186="Yes"),"Alternative Compensation",IF(W186=0,0,IF(P186='G-1 All Habitats'!$X$3,"Unacceptable Loss",Q186-U186-V186)))))),"Check Data")</f>
        <v/>
      </c>
      <c r="Y186" s="82"/>
      <c r="Z186" s="92"/>
      <c r="AA186" s="93"/>
      <c r="AC186" s="87" t="str">
        <f>IF(P186="","",IF(P186='G-1 All Habitats'!$X$3,H186-S186-T186,"None"))</f>
        <v/>
      </c>
      <c r="AD186" s="88" t="str">
        <f>IFERROR(AC186*J186*L186*#REF!*O186,IF(P186="","","None"))</f>
        <v/>
      </c>
      <c r="AF186" s="59" t="str">
        <f t="shared" si="10"/>
        <v/>
      </c>
      <c r="AG186" s="59" t="str">
        <f t="shared" si="11"/>
        <v/>
      </c>
      <c r="AH186" s="59" t="str">
        <f>IF(I186="","",IF(#REF!&gt;0,TRUE,FALSE))</f>
        <v/>
      </c>
      <c r="AI186" s="59">
        <v>176</v>
      </c>
      <c r="AJ186" s="59"/>
      <c r="AK186" s="59" t="str">
        <f t="array" ref="AK186">IFERROR(INDEX($AI$11:$AI$259, MATCH(0, IF(TRUE=$AF$11:$AF$259, COUNTIF($AK$10:$AK185, $AI$11:$AI$259), ""), 0)),"")</f>
        <v/>
      </c>
      <c r="AL186" s="59" t="str">
        <f t="array" ref="AL186">IFERROR(INDEX($AI$11:$AI$259, MATCH(0, IF(TRUE=$AG$11:$AG$259, COUNTIF($AL$10:$AL185, $AI$11:$AI$259), ""), 0)),"")</f>
        <v/>
      </c>
      <c r="AM186" s="59" t="str">
        <f t="array" ref="AM186">IFERROR(INDEX($AI$11:$AI$259, MATCH(0, IF(TRUE=$AH$11:$AH$259, COUNTIF($AM$10:$AM185, $AI$11:$AI$259), ""), 0)),"")</f>
        <v/>
      </c>
      <c r="AN186" s="59"/>
      <c r="AQ186" s="52">
        <f t="shared" si="12"/>
        <v>0</v>
      </c>
    </row>
    <row r="187" spans="1:43" x14ac:dyDescent="0.25">
      <c r="A187" s="52" t="str">
        <f>IFERROR(INDEX('G-1 All Habitats'!$AG$3:$AG$15,MATCH(E187,'G-1 All Habitats'!$AF$3:$AF$15,0)),"")</f>
        <v/>
      </c>
      <c r="B187" s="52" t="str">
        <f>IFERROR(INDEX('G-8 Condition Look up'!$I$4:$I$131,MATCH(G187,'G-8 Condition Look up'!$A$4:$A$131,0)),"")</f>
        <v/>
      </c>
      <c r="D187" s="89">
        <v>177</v>
      </c>
      <c r="E187" s="90"/>
      <c r="F187" s="91"/>
      <c r="G187" s="75" t="str">
        <f>IFERROR(INDEX('G-1 All Habitats'!$B$3:$B$130,MATCH(F187,'G-1 All Habitats'!$A$3:$A$130,0)),"")</f>
        <v/>
      </c>
      <c r="H187" s="76"/>
      <c r="I187" s="77" t="str">
        <f>IF(G187="","",VLOOKUP(G187,'G-1 All Habitats'!$B$2:$M$130,10,FALSE))</f>
        <v/>
      </c>
      <c r="J187" s="78" t="str">
        <f>IFERROR(VLOOKUP(I187,'G-1 All Habitats'!$V$3:$W$7,2,FALSE),"")</f>
        <v/>
      </c>
      <c r="K187" s="79"/>
      <c r="L187" s="78" t="str">
        <f>IFERROR(INDEX('G-8 Condition Look up'!$A$3:$H$131,MATCH(G187,'G-8 Condition Look up'!$A$3:$A$131,0),MATCH(K187,'G-8 Condition Look up'!$A$3:$H$3,0)),"")</f>
        <v/>
      </c>
      <c r="M187" s="79"/>
      <c r="N187" s="348" t="str">
        <f>IF(M187="","",IF(VLOOKUP(M187,'G-3 Multipliers'!$L$3:$N$6,2,FALSE)=0,"Spatial Data Missing",VLOOKUP(M187,'G-3 Multipliers'!$L$3:$N$6,2,FALSE)))</f>
        <v/>
      </c>
      <c r="O187" s="569" t="str">
        <f>IF(M187="","",IF(VLOOKUP(M187,'G-3 Multipliers'!$L$3:$N$6,3,FALSE)=0,"Spatial Data Missing",VLOOKUP(M187,'G-3 Multipliers'!$L$3:$N$6,3,FALSE)))</f>
        <v/>
      </c>
      <c r="P187" s="80" t="str">
        <f>IFERROR(VLOOKUP(G187,'G-1 All Habitats'!$B$2:$M$130,12,FALSE),"")</f>
        <v/>
      </c>
      <c r="Q187" s="81" t="str">
        <f>IFERROR(IF(P187="","",IF(AND(P187='G-1 All Habitats'!$X$3,T187&gt;0),U187+V187,IF(AND(P187='G-1 All Habitats'!$X$3,S187&gt;0),U187+V187,IF(AND(P187='G-1 All Habitats'!$X$3,AC187&gt;0),"Any Loss Unacceptable",IF(AND(P187='G-1 All Habitats'!$X$3,W187&gt;0),"Any Loss Unacceptable",H187*J187*L187*O187))))),"Check Data")</f>
        <v/>
      </c>
      <c r="R187" s="55"/>
      <c r="S187" s="79"/>
      <c r="T187" s="82"/>
      <c r="U187" s="83" t="str">
        <f t="shared" si="13"/>
        <v/>
      </c>
      <c r="V187" s="83" t="str">
        <f t="shared" si="14"/>
        <v/>
      </c>
      <c r="W187" s="83" t="str">
        <f>IF(E187="","",IF(H187&lt;S187+T187,"Error in Areas",IF(P187&lt;&gt;'G-1 All Habitats'!$X$3,H187-S187-T187,IF(AND(P187='G-1 All Habitats'!$X$3,Y187="Yes"),"Unacceptable Loss",IF(AND(P187='G-1 All Habitats'!$X$3,Y187="No"),AC187,IF(AND(P187='G-1 All Habitats'!$X$3,Y187=""),AC187,IF(AND(P187='G-1 All Habitats'!$X$3,AC187="None",AC187),IF(AND(P187='G-1 All Habitats'!$X$3,AC187&gt;0),H187-S187-T187))))))))</f>
        <v/>
      </c>
      <c r="X187" s="84" t="str">
        <f>IFERROR(IF(H187="","",IF(H187-S187-T187=0&lt;0,"Error in Areas",IF(S187+T187&gt;H187,"Error in Areas",IF(AND(P187='G-1 All Habitats'!$X$3,Y187="Yes"),"Alternative Compensation",IF(W187=0,0,IF(P187='G-1 All Habitats'!$X$3,"Unacceptable Loss",Q187-U187-V187)))))),"Check Data")</f>
        <v/>
      </c>
      <c r="Y187" s="82"/>
      <c r="Z187" s="92"/>
      <c r="AA187" s="93"/>
      <c r="AC187" s="87" t="str">
        <f>IF(P187="","",IF(P187='G-1 All Habitats'!$X$3,H187-S187-T187,"None"))</f>
        <v/>
      </c>
      <c r="AD187" s="88" t="str">
        <f>IFERROR(AC187*J187*L187*#REF!*O187,IF(P187="","","None"))</f>
        <v/>
      </c>
      <c r="AF187" s="59" t="str">
        <f t="shared" si="10"/>
        <v/>
      </c>
      <c r="AG187" s="59" t="str">
        <f t="shared" si="11"/>
        <v/>
      </c>
      <c r="AH187" s="59" t="str">
        <f>IF(I187="","",IF(#REF!&gt;0,TRUE,FALSE))</f>
        <v/>
      </c>
      <c r="AI187" s="59">
        <v>177</v>
      </c>
      <c r="AJ187" s="59"/>
      <c r="AK187" s="59" t="str">
        <f t="array" ref="AK187">IFERROR(INDEX($AI$11:$AI$259, MATCH(0, IF(TRUE=$AF$11:$AF$259, COUNTIF($AK$10:$AK186, $AI$11:$AI$259), ""), 0)),"")</f>
        <v/>
      </c>
      <c r="AL187" s="59" t="str">
        <f t="array" ref="AL187">IFERROR(INDEX($AI$11:$AI$259, MATCH(0, IF(TRUE=$AG$11:$AG$259, COUNTIF($AL$10:$AL186, $AI$11:$AI$259), ""), 0)),"")</f>
        <v/>
      </c>
      <c r="AM187" s="59" t="str">
        <f t="array" ref="AM187">IFERROR(INDEX($AI$11:$AI$259, MATCH(0, IF(TRUE=$AH$11:$AH$259, COUNTIF($AM$10:$AM186, $AI$11:$AI$259), ""), 0)),"")</f>
        <v/>
      </c>
      <c r="AN187" s="59"/>
      <c r="AQ187" s="52">
        <f t="shared" si="12"/>
        <v>0</v>
      </c>
    </row>
    <row r="188" spans="1:43" x14ac:dyDescent="0.25">
      <c r="A188" s="52" t="str">
        <f>IFERROR(INDEX('G-1 All Habitats'!$AG$3:$AG$15,MATCH(E188,'G-1 All Habitats'!$AF$3:$AF$15,0)),"")</f>
        <v/>
      </c>
      <c r="B188" s="52" t="str">
        <f>IFERROR(INDEX('G-8 Condition Look up'!$I$4:$I$131,MATCH(G188,'G-8 Condition Look up'!$A$4:$A$131,0)),"")</f>
        <v/>
      </c>
      <c r="D188" s="89">
        <v>178</v>
      </c>
      <c r="E188" s="90"/>
      <c r="F188" s="91"/>
      <c r="G188" s="75" t="str">
        <f>IFERROR(INDEX('G-1 All Habitats'!$B$3:$B$130,MATCH(F188,'G-1 All Habitats'!$A$3:$A$130,0)),"")</f>
        <v/>
      </c>
      <c r="H188" s="76"/>
      <c r="I188" s="77" t="str">
        <f>IF(G188="","",VLOOKUP(G188,'G-1 All Habitats'!$B$2:$M$130,10,FALSE))</f>
        <v/>
      </c>
      <c r="J188" s="78" t="str">
        <f>IFERROR(VLOOKUP(I188,'G-1 All Habitats'!$V$3:$W$7,2,FALSE),"")</f>
        <v/>
      </c>
      <c r="K188" s="79"/>
      <c r="L188" s="78" t="str">
        <f>IFERROR(INDEX('G-8 Condition Look up'!$A$3:$H$131,MATCH(G188,'G-8 Condition Look up'!$A$3:$A$131,0),MATCH(K188,'G-8 Condition Look up'!$A$3:$H$3,0)),"")</f>
        <v/>
      </c>
      <c r="M188" s="79"/>
      <c r="N188" s="348" t="str">
        <f>IF(M188="","",IF(VLOOKUP(M188,'G-3 Multipliers'!$L$3:$N$6,2,FALSE)=0,"Spatial Data Missing",VLOOKUP(M188,'G-3 Multipliers'!$L$3:$N$6,2,FALSE)))</f>
        <v/>
      </c>
      <c r="O188" s="569" t="str">
        <f>IF(M188="","",IF(VLOOKUP(M188,'G-3 Multipliers'!$L$3:$N$6,3,FALSE)=0,"Spatial Data Missing",VLOOKUP(M188,'G-3 Multipliers'!$L$3:$N$6,3,FALSE)))</f>
        <v/>
      </c>
      <c r="P188" s="80" t="str">
        <f>IFERROR(VLOOKUP(G188,'G-1 All Habitats'!$B$2:$M$130,12,FALSE),"")</f>
        <v/>
      </c>
      <c r="Q188" s="81" t="str">
        <f>IFERROR(IF(P188="","",IF(AND(P188='G-1 All Habitats'!$X$3,T188&gt;0),U188+V188,IF(AND(P188='G-1 All Habitats'!$X$3,S188&gt;0),U188+V188,IF(AND(P188='G-1 All Habitats'!$X$3,AC188&gt;0),"Any Loss Unacceptable",IF(AND(P188='G-1 All Habitats'!$X$3,W188&gt;0),"Any Loss Unacceptable",H188*J188*L188*O188))))),"Check Data")</f>
        <v/>
      </c>
      <c r="R188" s="55"/>
      <c r="S188" s="79"/>
      <c r="T188" s="82"/>
      <c r="U188" s="83" t="str">
        <f t="shared" si="13"/>
        <v/>
      </c>
      <c r="V188" s="83" t="str">
        <f t="shared" si="14"/>
        <v/>
      </c>
      <c r="W188" s="83" t="str">
        <f>IF(E188="","",IF(H188&lt;S188+T188,"Error in Areas",IF(P188&lt;&gt;'G-1 All Habitats'!$X$3,H188-S188-T188,IF(AND(P188='G-1 All Habitats'!$X$3,Y188="Yes"),"Unacceptable Loss",IF(AND(P188='G-1 All Habitats'!$X$3,Y188="No"),AC188,IF(AND(P188='G-1 All Habitats'!$X$3,Y188=""),AC188,IF(AND(P188='G-1 All Habitats'!$X$3,AC188="None",AC188),IF(AND(P188='G-1 All Habitats'!$X$3,AC188&gt;0),H188-S188-T188))))))))</f>
        <v/>
      </c>
      <c r="X188" s="84" t="str">
        <f>IFERROR(IF(H188="","",IF(H188-S188-T188=0&lt;0,"Error in Areas",IF(S188+T188&gt;H188,"Error in Areas",IF(AND(P188='G-1 All Habitats'!$X$3,Y188="Yes"),"Alternative Compensation",IF(W188=0,0,IF(P188='G-1 All Habitats'!$X$3,"Unacceptable Loss",Q188-U188-V188)))))),"Check Data")</f>
        <v/>
      </c>
      <c r="Y188" s="82"/>
      <c r="Z188" s="92"/>
      <c r="AA188" s="93"/>
      <c r="AC188" s="87" t="str">
        <f>IF(P188="","",IF(P188='G-1 All Habitats'!$X$3,H188-S188-T188,"None"))</f>
        <v/>
      </c>
      <c r="AD188" s="88" t="str">
        <f>IFERROR(AC188*J188*L188*#REF!*O188,IF(P188="","","None"))</f>
        <v/>
      </c>
      <c r="AF188" s="59" t="str">
        <f t="shared" si="10"/>
        <v/>
      </c>
      <c r="AG188" s="59" t="str">
        <f t="shared" si="11"/>
        <v/>
      </c>
      <c r="AH188" s="59" t="str">
        <f>IF(I188="","",IF(#REF!&gt;0,TRUE,FALSE))</f>
        <v/>
      </c>
      <c r="AI188" s="59">
        <v>178</v>
      </c>
      <c r="AJ188" s="59"/>
      <c r="AK188" s="59" t="str">
        <f t="array" ref="AK188">IFERROR(INDEX($AI$11:$AI$259, MATCH(0, IF(TRUE=$AF$11:$AF$259, COUNTIF($AK$10:$AK187, $AI$11:$AI$259), ""), 0)),"")</f>
        <v/>
      </c>
      <c r="AL188" s="59" t="str">
        <f t="array" ref="AL188">IFERROR(INDEX($AI$11:$AI$259, MATCH(0, IF(TRUE=$AG$11:$AG$259, COUNTIF($AL$10:$AL187, $AI$11:$AI$259), ""), 0)),"")</f>
        <v/>
      </c>
      <c r="AM188" s="59" t="str">
        <f t="array" ref="AM188">IFERROR(INDEX($AI$11:$AI$259, MATCH(0, IF(TRUE=$AH$11:$AH$259, COUNTIF($AM$10:$AM187, $AI$11:$AI$259), ""), 0)),"")</f>
        <v/>
      </c>
      <c r="AN188" s="59"/>
      <c r="AQ188" s="52">
        <f t="shared" si="12"/>
        <v>0</v>
      </c>
    </row>
    <row r="189" spans="1:43" x14ac:dyDescent="0.25">
      <c r="A189" s="52" t="str">
        <f>IFERROR(INDEX('G-1 All Habitats'!$AG$3:$AG$15,MATCH(E189,'G-1 All Habitats'!$AF$3:$AF$15,0)),"")</f>
        <v/>
      </c>
      <c r="B189" s="52" t="str">
        <f>IFERROR(INDEX('G-8 Condition Look up'!$I$4:$I$131,MATCH(G189,'G-8 Condition Look up'!$A$4:$A$131,0)),"")</f>
        <v/>
      </c>
      <c r="D189" s="89">
        <v>179</v>
      </c>
      <c r="E189" s="90"/>
      <c r="F189" s="91"/>
      <c r="G189" s="75" t="str">
        <f>IFERROR(INDEX('G-1 All Habitats'!$B$3:$B$130,MATCH(F189,'G-1 All Habitats'!$A$3:$A$130,0)),"")</f>
        <v/>
      </c>
      <c r="H189" s="76"/>
      <c r="I189" s="77" t="str">
        <f>IF(G189="","",VLOOKUP(G189,'G-1 All Habitats'!$B$2:$M$130,10,FALSE))</f>
        <v/>
      </c>
      <c r="J189" s="78" t="str">
        <f>IFERROR(VLOOKUP(I189,'G-1 All Habitats'!$V$3:$W$7,2,FALSE),"")</f>
        <v/>
      </c>
      <c r="K189" s="79"/>
      <c r="L189" s="78" t="str">
        <f>IFERROR(INDEX('G-8 Condition Look up'!$A$3:$H$131,MATCH(G189,'G-8 Condition Look up'!$A$3:$A$131,0),MATCH(K189,'G-8 Condition Look up'!$A$3:$H$3,0)),"")</f>
        <v/>
      </c>
      <c r="M189" s="79"/>
      <c r="N189" s="348" t="str">
        <f>IF(M189="","",IF(VLOOKUP(M189,'G-3 Multipliers'!$L$3:$N$6,2,FALSE)=0,"Spatial Data Missing",VLOOKUP(M189,'G-3 Multipliers'!$L$3:$N$6,2,FALSE)))</f>
        <v/>
      </c>
      <c r="O189" s="569" t="str">
        <f>IF(M189="","",IF(VLOOKUP(M189,'G-3 Multipliers'!$L$3:$N$6,3,FALSE)=0,"Spatial Data Missing",VLOOKUP(M189,'G-3 Multipliers'!$L$3:$N$6,3,FALSE)))</f>
        <v/>
      </c>
      <c r="P189" s="80" t="str">
        <f>IFERROR(VLOOKUP(G189,'G-1 All Habitats'!$B$2:$M$130,12,FALSE),"")</f>
        <v/>
      </c>
      <c r="Q189" s="81" t="str">
        <f>IFERROR(IF(P189="","",IF(AND(P189='G-1 All Habitats'!$X$3,T189&gt;0),U189+V189,IF(AND(P189='G-1 All Habitats'!$X$3,S189&gt;0),U189+V189,IF(AND(P189='G-1 All Habitats'!$X$3,AC189&gt;0),"Any Loss Unacceptable",IF(AND(P189='G-1 All Habitats'!$X$3,W189&gt;0),"Any Loss Unacceptable",H189*J189*L189*O189))))),"Check Data")</f>
        <v/>
      </c>
      <c r="R189" s="55"/>
      <c r="S189" s="79"/>
      <c r="T189" s="82"/>
      <c r="U189" s="83" t="str">
        <f t="shared" si="13"/>
        <v/>
      </c>
      <c r="V189" s="83" t="str">
        <f t="shared" si="14"/>
        <v/>
      </c>
      <c r="W189" s="83" t="str">
        <f>IF(E189="","",IF(H189&lt;S189+T189,"Error in Areas",IF(P189&lt;&gt;'G-1 All Habitats'!$X$3,H189-S189-T189,IF(AND(P189='G-1 All Habitats'!$X$3,Y189="Yes"),"Unacceptable Loss",IF(AND(P189='G-1 All Habitats'!$X$3,Y189="No"),AC189,IF(AND(P189='G-1 All Habitats'!$X$3,Y189=""),AC189,IF(AND(P189='G-1 All Habitats'!$X$3,AC189="None",AC189),IF(AND(P189='G-1 All Habitats'!$X$3,AC189&gt;0),H189-S189-T189))))))))</f>
        <v/>
      </c>
      <c r="X189" s="84" t="str">
        <f>IFERROR(IF(H189="","",IF(H189-S189-T189=0&lt;0,"Error in Areas",IF(S189+T189&gt;H189,"Error in Areas",IF(AND(P189='G-1 All Habitats'!$X$3,Y189="Yes"),"Alternative Compensation",IF(W189=0,0,IF(P189='G-1 All Habitats'!$X$3,"Unacceptable Loss",Q189-U189-V189)))))),"Check Data")</f>
        <v/>
      </c>
      <c r="Y189" s="82"/>
      <c r="Z189" s="92"/>
      <c r="AA189" s="93"/>
      <c r="AC189" s="87" t="str">
        <f>IF(P189="","",IF(P189='G-1 All Habitats'!$X$3,H189-S189-T189,"None"))</f>
        <v/>
      </c>
      <c r="AD189" s="88" t="str">
        <f>IFERROR(AC189*J189*L189*#REF!*O189,IF(P189="","","None"))</f>
        <v/>
      </c>
      <c r="AF189" s="59" t="str">
        <f t="shared" si="10"/>
        <v/>
      </c>
      <c r="AG189" s="59" t="str">
        <f t="shared" si="11"/>
        <v/>
      </c>
      <c r="AH189" s="59" t="str">
        <f>IF(I189="","",IF(#REF!&gt;0,TRUE,FALSE))</f>
        <v/>
      </c>
      <c r="AI189" s="59">
        <v>179</v>
      </c>
      <c r="AJ189" s="59"/>
      <c r="AK189" s="59" t="str">
        <f t="array" ref="AK189">IFERROR(INDEX($AI$11:$AI$259, MATCH(0, IF(TRUE=$AF$11:$AF$259, COUNTIF($AK$10:$AK188, $AI$11:$AI$259), ""), 0)),"")</f>
        <v/>
      </c>
      <c r="AL189" s="59" t="str">
        <f t="array" ref="AL189">IFERROR(INDEX($AI$11:$AI$259, MATCH(0, IF(TRUE=$AG$11:$AG$259, COUNTIF($AL$10:$AL188, $AI$11:$AI$259), ""), 0)),"")</f>
        <v/>
      </c>
      <c r="AM189" s="59" t="str">
        <f t="array" ref="AM189">IFERROR(INDEX($AI$11:$AI$259, MATCH(0, IF(TRUE=$AH$11:$AH$259, COUNTIF($AM$10:$AM188, $AI$11:$AI$259), ""), 0)),"")</f>
        <v/>
      </c>
      <c r="AN189" s="59"/>
      <c r="AQ189" s="52">
        <f t="shared" si="12"/>
        <v>0</v>
      </c>
    </row>
    <row r="190" spans="1:43" x14ac:dyDescent="0.25">
      <c r="A190" s="52" t="str">
        <f>IFERROR(INDEX('G-1 All Habitats'!$AG$3:$AG$15,MATCH(E190,'G-1 All Habitats'!$AF$3:$AF$15,0)),"")</f>
        <v/>
      </c>
      <c r="B190" s="52" t="str">
        <f>IFERROR(INDEX('G-8 Condition Look up'!$I$4:$I$131,MATCH(G190,'G-8 Condition Look up'!$A$4:$A$131,0)),"")</f>
        <v/>
      </c>
      <c r="D190" s="89">
        <v>180</v>
      </c>
      <c r="E190" s="90"/>
      <c r="F190" s="91"/>
      <c r="G190" s="75" t="str">
        <f>IFERROR(INDEX('G-1 All Habitats'!$B$3:$B$130,MATCH(F190,'G-1 All Habitats'!$A$3:$A$130,0)),"")</f>
        <v/>
      </c>
      <c r="H190" s="76"/>
      <c r="I190" s="77" t="str">
        <f>IF(G190="","",VLOOKUP(G190,'G-1 All Habitats'!$B$2:$M$130,10,FALSE))</f>
        <v/>
      </c>
      <c r="J190" s="78" t="str">
        <f>IFERROR(VLOOKUP(I190,'G-1 All Habitats'!$V$3:$W$7,2,FALSE),"")</f>
        <v/>
      </c>
      <c r="K190" s="79"/>
      <c r="L190" s="78" t="str">
        <f>IFERROR(INDEX('G-8 Condition Look up'!$A$3:$H$131,MATCH(G190,'G-8 Condition Look up'!$A$3:$A$131,0),MATCH(K190,'G-8 Condition Look up'!$A$3:$H$3,0)),"")</f>
        <v/>
      </c>
      <c r="M190" s="79"/>
      <c r="N190" s="348" t="str">
        <f>IF(M190="","",IF(VLOOKUP(M190,'G-3 Multipliers'!$L$3:$N$6,2,FALSE)=0,"Spatial Data Missing",VLOOKUP(M190,'G-3 Multipliers'!$L$3:$N$6,2,FALSE)))</f>
        <v/>
      </c>
      <c r="O190" s="569" t="str">
        <f>IF(M190="","",IF(VLOOKUP(M190,'G-3 Multipliers'!$L$3:$N$6,3,FALSE)=0,"Spatial Data Missing",VLOOKUP(M190,'G-3 Multipliers'!$L$3:$N$6,3,FALSE)))</f>
        <v/>
      </c>
      <c r="P190" s="80" t="str">
        <f>IFERROR(VLOOKUP(G190,'G-1 All Habitats'!$B$2:$M$130,12,FALSE),"")</f>
        <v/>
      </c>
      <c r="Q190" s="81" t="str">
        <f>IFERROR(IF(P190="","",IF(AND(P190='G-1 All Habitats'!$X$3,T190&gt;0),U190+V190,IF(AND(P190='G-1 All Habitats'!$X$3,S190&gt;0),U190+V190,IF(AND(P190='G-1 All Habitats'!$X$3,AC190&gt;0),"Any Loss Unacceptable",IF(AND(P190='G-1 All Habitats'!$X$3,W190&gt;0),"Any Loss Unacceptable",H190*J190*L190*O190))))),"Check Data")</f>
        <v/>
      </c>
      <c r="R190" s="55"/>
      <c r="S190" s="79"/>
      <c r="T190" s="82"/>
      <c r="U190" s="83" t="str">
        <f t="shared" si="13"/>
        <v/>
      </c>
      <c r="V190" s="83" t="str">
        <f t="shared" si="14"/>
        <v/>
      </c>
      <c r="W190" s="83" t="str">
        <f>IF(E190="","",IF(H190&lt;S190+T190,"Error in Areas",IF(P190&lt;&gt;'G-1 All Habitats'!$X$3,H190-S190-T190,IF(AND(P190='G-1 All Habitats'!$X$3,Y190="Yes"),"Unacceptable Loss",IF(AND(P190='G-1 All Habitats'!$X$3,Y190="No"),AC190,IF(AND(P190='G-1 All Habitats'!$X$3,Y190=""),AC190,IF(AND(P190='G-1 All Habitats'!$X$3,AC190="None",AC190),IF(AND(P190='G-1 All Habitats'!$X$3,AC190&gt;0),H190-S190-T190))))))))</f>
        <v/>
      </c>
      <c r="X190" s="84" t="str">
        <f>IFERROR(IF(H190="","",IF(H190-S190-T190=0&lt;0,"Error in Areas",IF(S190+T190&gt;H190,"Error in Areas",IF(AND(P190='G-1 All Habitats'!$X$3,Y190="Yes"),"Alternative Compensation",IF(W190=0,0,IF(P190='G-1 All Habitats'!$X$3,"Unacceptable Loss",Q190-U190-V190)))))),"Check Data")</f>
        <v/>
      </c>
      <c r="Y190" s="82"/>
      <c r="Z190" s="92"/>
      <c r="AA190" s="93"/>
      <c r="AC190" s="87" t="str">
        <f>IF(P190="","",IF(P190='G-1 All Habitats'!$X$3,H190-S190-T190,"None"))</f>
        <v/>
      </c>
      <c r="AD190" s="88" t="str">
        <f>IFERROR(AC190*J190*L190*#REF!*O190,IF(P190="","","None"))</f>
        <v/>
      </c>
      <c r="AF190" s="59" t="str">
        <f t="shared" si="10"/>
        <v/>
      </c>
      <c r="AG190" s="59" t="str">
        <f t="shared" si="11"/>
        <v/>
      </c>
      <c r="AH190" s="59" t="str">
        <f>IF(I190="","",IF(#REF!&gt;0,TRUE,FALSE))</f>
        <v/>
      </c>
      <c r="AI190" s="59">
        <v>180</v>
      </c>
      <c r="AJ190" s="59"/>
      <c r="AK190" s="59" t="str">
        <f t="array" ref="AK190">IFERROR(INDEX($AI$11:$AI$259, MATCH(0, IF(TRUE=$AF$11:$AF$259, COUNTIF($AK$10:$AK189, $AI$11:$AI$259), ""), 0)),"")</f>
        <v/>
      </c>
      <c r="AL190" s="59" t="str">
        <f t="array" ref="AL190">IFERROR(INDEX($AI$11:$AI$259, MATCH(0, IF(TRUE=$AG$11:$AG$259, COUNTIF($AL$10:$AL189, $AI$11:$AI$259), ""), 0)),"")</f>
        <v/>
      </c>
      <c r="AM190" s="59" t="str">
        <f t="array" ref="AM190">IFERROR(INDEX($AI$11:$AI$259, MATCH(0, IF(TRUE=$AH$11:$AH$259, COUNTIF($AM$10:$AM189, $AI$11:$AI$259), ""), 0)),"")</f>
        <v/>
      </c>
      <c r="AN190" s="59"/>
      <c r="AQ190" s="52">
        <f t="shared" si="12"/>
        <v>0</v>
      </c>
    </row>
    <row r="191" spans="1:43" x14ac:dyDescent="0.25">
      <c r="A191" s="52" t="str">
        <f>IFERROR(INDEX('G-1 All Habitats'!$AG$3:$AG$15,MATCH(E191,'G-1 All Habitats'!$AF$3:$AF$15,0)),"")</f>
        <v/>
      </c>
      <c r="B191" s="52" t="str">
        <f>IFERROR(INDEX('G-8 Condition Look up'!$I$4:$I$131,MATCH(G191,'G-8 Condition Look up'!$A$4:$A$131,0)),"")</f>
        <v/>
      </c>
      <c r="D191" s="89">
        <v>181</v>
      </c>
      <c r="E191" s="90"/>
      <c r="F191" s="91"/>
      <c r="G191" s="75" t="str">
        <f>IFERROR(INDEX('G-1 All Habitats'!$B$3:$B$130,MATCH(F191,'G-1 All Habitats'!$A$3:$A$130,0)),"")</f>
        <v/>
      </c>
      <c r="H191" s="76"/>
      <c r="I191" s="77" t="str">
        <f>IF(G191="","",VLOOKUP(G191,'G-1 All Habitats'!$B$2:$M$130,10,FALSE))</f>
        <v/>
      </c>
      <c r="J191" s="78" t="str">
        <f>IFERROR(VLOOKUP(I191,'G-1 All Habitats'!$V$3:$W$7,2,FALSE),"")</f>
        <v/>
      </c>
      <c r="K191" s="79"/>
      <c r="L191" s="78" t="str">
        <f>IFERROR(INDEX('G-8 Condition Look up'!$A$3:$H$131,MATCH(G191,'G-8 Condition Look up'!$A$3:$A$131,0),MATCH(K191,'G-8 Condition Look up'!$A$3:$H$3,0)),"")</f>
        <v/>
      </c>
      <c r="M191" s="79"/>
      <c r="N191" s="348" t="str">
        <f>IF(M191="","",IF(VLOOKUP(M191,'G-3 Multipliers'!$L$3:$N$6,2,FALSE)=0,"Spatial Data Missing",VLOOKUP(M191,'G-3 Multipliers'!$L$3:$N$6,2,FALSE)))</f>
        <v/>
      </c>
      <c r="O191" s="569" t="str">
        <f>IF(M191="","",IF(VLOOKUP(M191,'G-3 Multipliers'!$L$3:$N$6,3,FALSE)=0,"Spatial Data Missing",VLOOKUP(M191,'G-3 Multipliers'!$L$3:$N$6,3,FALSE)))</f>
        <v/>
      </c>
      <c r="P191" s="80" t="str">
        <f>IFERROR(VLOOKUP(G191,'G-1 All Habitats'!$B$2:$M$130,12,FALSE),"")</f>
        <v/>
      </c>
      <c r="Q191" s="81" t="str">
        <f>IFERROR(IF(P191="","",IF(AND(P191='G-1 All Habitats'!$X$3,T191&gt;0),U191+V191,IF(AND(P191='G-1 All Habitats'!$X$3,S191&gt;0),U191+V191,IF(AND(P191='G-1 All Habitats'!$X$3,AC191&gt;0),"Any Loss Unacceptable",IF(AND(P191='G-1 All Habitats'!$X$3,W191&gt;0),"Any Loss Unacceptable",H191*J191*L191*O191))))),"Check Data")</f>
        <v/>
      </c>
      <c r="R191" s="55"/>
      <c r="S191" s="79"/>
      <c r="T191" s="82"/>
      <c r="U191" s="83" t="str">
        <f t="shared" si="13"/>
        <v/>
      </c>
      <c r="V191" s="83" t="str">
        <f t="shared" si="14"/>
        <v/>
      </c>
      <c r="W191" s="83" t="str">
        <f>IF(E191="","",IF(H191&lt;S191+T191,"Error in Areas",IF(P191&lt;&gt;'G-1 All Habitats'!$X$3,H191-S191-T191,IF(AND(P191='G-1 All Habitats'!$X$3,Y191="Yes"),"Unacceptable Loss",IF(AND(P191='G-1 All Habitats'!$X$3,Y191="No"),AC191,IF(AND(P191='G-1 All Habitats'!$X$3,Y191=""),AC191,IF(AND(P191='G-1 All Habitats'!$X$3,AC191="None",AC191),IF(AND(P191='G-1 All Habitats'!$X$3,AC191&gt;0),H191-S191-T191))))))))</f>
        <v/>
      </c>
      <c r="X191" s="84" t="str">
        <f>IFERROR(IF(H191="","",IF(H191-S191-T191=0&lt;0,"Error in Areas",IF(S191+T191&gt;H191,"Error in Areas",IF(AND(P191='G-1 All Habitats'!$X$3,Y191="Yes"),"Alternative Compensation",IF(W191=0,0,IF(P191='G-1 All Habitats'!$X$3,"Unacceptable Loss",Q191-U191-V191)))))),"Check Data")</f>
        <v/>
      </c>
      <c r="Y191" s="82"/>
      <c r="Z191" s="92"/>
      <c r="AA191" s="93"/>
      <c r="AC191" s="87" t="str">
        <f>IF(P191="","",IF(P191='G-1 All Habitats'!$X$3,H191-S191-T191,"None"))</f>
        <v/>
      </c>
      <c r="AD191" s="88" t="str">
        <f>IFERROR(AC191*J191*L191*#REF!*O191,IF(P191="","","None"))</f>
        <v/>
      </c>
      <c r="AF191" s="59" t="str">
        <f t="shared" si="10"/>
        <v/>
      </c>
      <c r="AG191" s="59" t="str">
        <f t="shared" si="11"/>
        <v/>
      </c>
      <c r="AH191" s="59" t="str">
        <f>IF(I191="","",IF(#REF!&gt;0,TRUE,FALSE))</f>
        <v/>
      </c>
      <c r="AI191" s="59">
        <v>181</v>
      </c>
      <c r="AJ191" s="59"/>
      <c r="AK191" s="59" t="str">
        <f t="array" ref="AK191">IFERROR(INDEX($AI$11:$AI$259, MATCH(0, IF(TRUE=$AF$11:$AF$259, COUNTIF($AK$10:$AK190, $AI$11:$AI$259), ""), 0)),"")</f>
        <v/>
      </c>
      <c r="AL191" s="59" t="str">
        <f t="array" ref="AL191">IFERROR(INDEX($AI$11:$AI$259, MATCH(0, IF(TRUE=$AG$11:$AG$259, COUNTIF($AL$10:$AL190, $AI$11:$AI$259), ""), 0)),"")</f>
        <v/>
      </c>
      <c r="AM191" s="59" t="str">
        <f t="array" ref="AM191">IFERROR(INDEX($AI$11:$AI$259, MATCH(0, IF(TRUE=$AH$11:$AH$259, COUNTIF($AM$10:$AM190, $AI$11:$AI$259), ""), 0)),"")</f>
        <v/>
      </c>
      <c r="AN191" s="59"/>
      <c r="AQ191" s="52">
        <f t="shared" si="12"/>
        <v>0</v>
      </c>
    </row>
    <row r="192" spans="1:43" x14ac:dyDescent="0.25">
      <c r="A192" s="52" t="str">
        <f>IFERROR(INDEX('G-1 All Habitats'!$AG$3:$AG$15,MATCH(E192,'G-1 All Habitats'!$AF$3:$AF$15,0)),"")</f>
        <v/>
      </c>
      <c r="B192" s="52" t="str">
        <f>IFERROR(INDEX('G-8 Condition Look up'!$I$4:$I$131,MATCH(G192,'G-8 Condition Look up'!$A$4:$A$131,0)),"")</f>
        <v/>
      </c>
      <c r="D192" s="89">
        <v>182</v>
      </c>
      <c r="E192" s="90"/>
      <c r="F192" s="91"/>
      <c r="G192" s="75" t="str">
        <f>IFERROR(INDEX('G-1 All Habitats'!$B$3:$B$130,MATCH(F192,'G-1 All Habitats'!$A$3:$A$130,0)),"")</f>
        <v/>
      </c>
      <c r="H192" s="76"/>
      <c r="I192" s="77" t="str">
        <f>IF(G192="","",VLOOKUP(G192,'G-1 All Habitats'!$B$2:$M$130,10,FALSE))</f>
        <v/>
      </c>
      <c r="J192" s="78" t="str">
        <f>IFERROR(VLOOKUP(I192,'G-1 All Habitats'!$V$3:$W$7,2,FALSE),"")</f>
        <v/>
      </c>
      <c r="K192" s="79"/>
      <c r="L192" s="78" t="str">
        <f>IFERROR(INDEX('G-8 Condition Look up'!$A$3:$H$131,MATCH(G192,'G-8 Condition Look up'!$A$3:$A$131,0),MATCH(K192,'G-8 Condition Look up'!$A$3:$H$3,0)),"")</f>
        <v/>
      </c>
      <c r="M192" s="79"/>
      <c r="N192" s="348" t="str">
        <f>IF(M192="","",IF(VLOOKUP(M192,'G-3 Multipliers'!$L$3:$N$6,2,FALSE)=0,"Spatial Data Missing",VLOOKUP(M192,'G-3 Multipliers'!$L$3:$N$6,2,FALSE)))</f>
        <v/>
      </c>
      <c r="O192" s="569" t="str">
        <f>IF(M192="","",IF(VLOOKUP(M192,'G-3 Multipliers'!$L$3:$N$6,3,FALSE)=0,"Spatial Data Missing",VLOOKUP(M192,'G-3 Multipliers'!$L$3:$N$6,3,FALSE)))</f>
        <v/>
      </c>
      <c r="P192" s="80" t="str">
        <f>IFERROR(VLOOKUP(G192,'G-1 All Habitats'!$B$2:$M$130,12,FALSE),"")</f>
        <v/>
      </c>
      <c r="Q192" s="81" t="str">
        <f>IFERROR(IF(P192="","",IF(AND(P192='G-1 All Habitats'!$X$3,T192&gt;0),U192+V192,IF(AND(P192='G-1 All Habitats'!$X$3,S192&gt;0),U192+V192,IF(AND(P192='G-1 All Habitats'!$X$3,AC192&gt;0),"Any Loss Unacceptable",IF(AND(P192='G-1 All Habitats'!$X$3,W192&gt;0),"Any Loss Unacceptable",H192*J192*L192*O192))))),"Check Data")</f>
        <v/>
      </c>
      <c r="R192" s="55"/>
      <c r="S192" s="79"/>
      <c r="T192" s="82"/>
      <c r="U192" s="83" t="str">
        <f t="shared" si="13"/>
        <v/>
      </c>
      <c r="V192" s="83" t="str">
        <f t="shared" si="14"/>
        <v/>
      </c>
      <c r="W192" s="83" t="str">
        <f>IF(E192="","",IF(H192&lt;S192+T192,"Error in Areas",IF(P192&lt;&gt;'G-1 All Habitats'!$X$3,H192-S192-T192,IF(AND(P192='G-1 All Habitats'!$X$3,Y192="Yes"),"Unacceptable Loss",IF(AND(P192='G-1 All Habitats'!$X$3,Y192="No"),AC192,IF(AND(P192='G-1 All Habitats'!$X$3,Y192=""),AC192,IF(AND(P192='G-1 All Habitats'!$X$3,AC192="None",AC192),IF(AND(P192='G-1 All Habitats'!$X$3,AC192&gt;0),H192-S192-T192))))))))</f>
        <v/>
      </c>
      <c r="X192" s="84" t="str">
        <f>IFERROR(IF(H192="","",IF(H192-S192-T192=0&lt;0,"Error in Areas",IF(S192+T192&gt;H192,"Error in Areas",IF(AND(P192='G-1 All Habitats'!$X$3,Y192="Yes"),"Alternative Compensation",IF(W192=0,0,IF(P192='G-1 All Habitats'!$X$3,"Unacceptable Loss",Q192-U192-V192)))))),"Check Data")</f>
        <v/>
      </c>
      <c r="Y192" s="82"/>
      <c r="Z192" s="92"/>
      <c r="AA192" s="93"/>
      <c r="AC192" s="87" t="str">
        <f>IF(P192="","",IF(P192='G-1 All Habitats'!$X$3,H192-S192-T192,"None"))</f>
        <v/>
      </c>
      <c r="AD192" s="88" t="str">
        <f>IFERROR(AC192*J192*L192*#REF!*O192,IF(P192="","","None"))</f>
        <v/>
      </c>
      <c r="AF192" s="59" t="str">
        <f t="shared" si="10"/>
        <v/>
      </c>
      <c r="AG192" s="59" t="str">
        <f t="shared" si="11"/>
        <v/>
      </c>
      <c r="AH192" s="59" t="str">
        <f>IF(I192="","",IF(#REF!&gt;0,TRUE,FALSE))</f>
        <v/>
      </c>
      <c r="AI192" s="59">
        <v>182</v>
      </c>
      <c r="AJ192" s="59"/>
      <c r="AK192" s="59" t="str">
        <f t="array" ref="AK192">IFERROR(INDEX($AI$11:$AI$259, MATCH(0, IF(TRUE=$AF$11:$AF$259, COUNTIF($AK$10:$AK191, $AI$11:$AI$259), ""), 0)),"")</f>
        <v/>
      </c>
      <c r="AL192" s="59" t="str">
        <f t="array" ref="AL192">IFERROR(INDEX($AI$11:$AI$259, MATCH(0, IF(TRUE=$AG$11:$AG$259, COUNTIF($AL$10:$AL191, $AI$11:$AI$259), ""), 0)),"")</f>
        <v/>
      </c>
      <c r="AM192" s="59" t="str">
        <f t="array" ref="AM192">IFERROR(INDEX($AI$11:$AI$259, MATCH(0, IF(TRUE=$AH$11:$AH$259, COUNTIF($AM$10:$AM191, $AI$11:$AI$259), ""), 0)),"")</f>
        <v/>
      </c>
      <c r="AN192" s="59"/>
      <c r="AQ192" s="52">
        <f t="shared" si="12"/>
        <v>0</v>
      </c>
    </row>
    <row r="193" spans="1:43" x14ac:dyDescent="0.25">
      <c r="A193" s="52" t="str">
        <f>IFERROR(INDEX('G-1 All Habitats'!$AG$3:$AG$15,MATCH(E193,'G-1 All Habitats'!$AF$3:$AF$15,0)),"")</f>
        <v/>
      </c>
      <c r="B193" s="52" t="str">
        <f>IFERROR(INDEX('G-8 Condition Look up'!$I$4:$I$131,MATCH(G193,'G-8 Condition Look up'!$A$4:$A$131,0)),"")</f>
        <v/>
      </c>
      <c r="D193" s="89">
        <v>183</v>
      </c>
      <c r="E193" s="90"/>
      <c r="F193" s="91"/>
      <c r="G193" s="75" t="str">
        <f>IFERROR(INDEX('G-1 All Habitats'!$B$3:$B$130,MATCH(F193,'G-1 All Habitats'!$A$3:$A$130,0)),"")</f>
        <v/>
      </c>
      <c r="H193" s="76"/>
      <c r="I193" s="77" t="str">
        <f>IF(G193="","",VLOOKUP(G193,'G-1 All Habitats'!$B$2:$M$130,10,FALSE))</f>
        <v/>
      </c>
      <c r="J193" s="78" t="str">
        <f>IFERROR(VLOOKUP(I193,'G-1 All Habitats'!$V$3:$W$7,2,FALSE),"")</f>
        <v/>
      </c>
      <c r="K193" s="79"/>
      <c r="L193" s="78" t="str">
        <f>IFERROR(INDEX('G-8 Condition Look up'!$A$3:$H$131,MATCH(G193,'G-8 Condition Look up'!$A$3:$A$131,0),MATCH(K193,'G-8 Condition Look up'!$A$3:$H$3,0)),"")</f>
        <v/>
      </c>
      <c r="M193" s="79"/>
      <c r="N193" s="348" t="str">
        <f>IF(M193="","",IF(VLOOKUP(M193,'G-3 Multipliers'!$L$3:$N$6,2,FALSE)=0,"Spatial Data Missing",VLOOKUP(M193,'G-3 Multipliers'!$L$3:$N$6,2,FALSE)))</f>
        <v/>
      </c>
      <c r="O193" s="569" t="str">
        <f>IF(M193="","",IF(VLOOKUP(M193,'G-3 Multipliers'!$L$3:$N$6,3,FALSE)=0,"Spatial Data Missing",VLOOKUP(M193,'G-3 Multipliers'!$L$3:$N$6,3,FALSE)))</f>
        <v/>
      </c>
      <c r="P193" s="80" t="str">
        <f>IFERROR(VLOOKUP(G193,'G-1 All Habitats'!$B$2:$M$130,12,FALSE),"")</f>
        <v/>
      </c>
      <c r="Q193" s="81" t="str">
        <f>IFERROR(IF(P193="","",IF(AND(P193='G-1 All Habitats'!$X$3,T193&gt;0),U193+V193,IF(AND(P193='G-1 All Habitats'!$X$3,S193&gt;0),U193+V193,IF(AND(P193='G-1 All Habitats'!$X$3,AC193&gt;0),"Any Loss Unacceptable",IF(AND(P193='G-1 All Habitats'!$X$3,W193&gt;0),"Any Loss Unacceptable",H193*J193*L193*O193))))),"Check Data")</f>
        <v/>
      </c>
      <c r="R193" s="55"/>
      <c r="S193" s="79"/>
      <c r="T193" s="82"/>
      <c r="U193" s="83" t="str">
        <f t="shared" si="13"/>
        <v/>
      </c>
      <c r="V193" s="83" t="str">
        <f t="shared" si="14"/>
        <v/>
      </c>
      <c r="W193" s="83" t="str">
        <f>IF(E193="","",IF(H193&lt;S193+T193,"Error in Areas",IF(P193&lt;&gt;'G-1 All Habitats'!$X$3,H193-S193-T193,IF(AND(P193='G-1 All Habitats'!$X$3,Y193="Yes"),"Unacceptable Loss",IF(AND(P193='G-1 All Habitats'!$X$3,Y193="No"),AC193,IF(AND(P193='G-1 All Habitats'!$X$3,Y193=""),AC193,IF(AND(P193='G-1 All Habitats'!$X$3,AC193="None",AC193),IF(AND(P193='G-1 All Habitats'!$X$3,AC193&gt;0),H193-S193-T193))))))))</f>
        <v/>
      </c>
      <c r="X193" s="84" t="str">
        <f>IFERROR(IF(H193="","",IF(H193-S193-T193=0&lt;0,"Error in Areas",IF(S193+T193&gt;H193,"Error in Areas",IF(AND(P193='G-1 All Habitats'!$X$3,Y193="Yes"),"Alternative Compensation",IF(W193=0,0,IF(P193='G-1 All Habitats'!$X$3,"Unacceptable Loss",Q193-U193-V193)))))),"Check Data")</f>
        <v/>
      </c>
      <c r="Y193" s="82"/>
      <c r="Z193" s="92"/>
      <c r="AA193" s="93"/>
      <c r="AC193" s="87" t="str">
        <f>IF(P193="","",IF(P193='G-1 All Habitats'!$X$3,H193-S193-T193,"None"))</f>
        <v/>
      </c>
      <c r="AD193" s="88" t="str">
        <f>IFERROR(AC193*J193*L193*#REF!*O193,IF(P193="","","None"))</f>
        <v/>
      </c>
      <c r="AF193" s="59" t="str">
        <f t="shared" si="10"/>
        <v/>
      </c>
      <c r="AG193" s="59" t="str">
        <f t="shared" si="11"/>
        <v/>
      </c>
      <c r="AH193" s="59" t="str">
        <f>IF(I193="","",IF(#REF!&gt;0,TRUE,FALSE))</f>
        <v/>
      </c>
      <c r="AI193" s="59">
        <v>183</v>
      </c>
      <c r="AJ193" s="59"/>
      <c r="AK193" s="59" t="str">
        <f t="array" ref="AK193">IFERROR(INDEX($AI$11:$AI$259, MATCH(0, IF(TRUE=$AF$11:$AF$259, COUNTIF($AK$10:$AK192, $AI$11:$AI$259), ""), 0)),"")</f>
        <v/>
      </c>
      <c r="AL193" s="59" t="str">
        <f t="array" ref="AL193">IFERROR(INDEX($AI$11:$AI$259, MATCH(0, IF(TRUE=$AG$11:$AG$259, COUNTIF($AL$10:$AL192, $AI$11:$AI$259), ""), 0)),"")</f>
        <v/>
      </c>
      <c r="AM193" s="59" t="str">
        <f t="array" ref="AM193">IFERROR(INDEX($AI$11:$AI$259, MATCH(0, IF(TRUE=$AH$11:$AH$259, COUNTIF($AM$10:$AM192, $AI$11:$AI$259), ""), 0)),"")</f>
        <v/>
      </c>
      <c r="AN193" s="59"/>
      <c r="AQ193" s="52">
        <f t="shared" si="12"/>
        <v>0</v>
      </c>
    </row>
    <row r="194" spans="1:43" x14ac:dyDescent="0.25">
      <c r="A194" s="52" t="str">
        <f>IFERROR(INDEX('G-1 All Habitats'!$AG$3:$AG$15,MATCH(E194,'G-1 All Habitats'!$AF$3:$AF$15,0)),"")</f>
        <v/>
      </c>
      <c r="B194" s="52" t="str">
        <f>IFERROR(INDEX('G-8 Condition Look up'!$I$4:$I$131,MATCH(G194,'G-8 Condition Look up'!$A$4:$A$131,0)),"")</f>
        <v/>
      </c>
      <c r="D194" s="89">
        <v>184</v>
      </c>
      <c r="E194" s="90"/>
      <c r="F194" s="91"/>
      <c r="G194" s="75" t="str">
        <f>IFERROR(INDEX('G-1 All Habitats'!$B$3:$B$130,MATCH(F194,'G-1 All Habitats'!$A$3:$A$130,0)),"")</f>
        <v/>
      </c>
      <c r="H194" s="76"/>
      <c r="I194" s="77" t="str">
        <f>IF(G194="","",VLOOKUP(G194,'G-1 All Habitats'!$B$2:$M$130,10,FALSE))</f>
        <v/>
      </c>
      <c r="J194" s="78" t="str">
        <f>IFERROR(VLOOKUP(I194,'G-1 All Habitats'!$V$3:$W$7,2,FALSE),"")</f>
        <v/>
      </c>
      <c r="K194" s="79"/>
      <c r="L194" s="78" t="str">
        <f>IFERROR(INDEX('G-8 Condition Look up'!$A$3:$H$131,MATCH(G194,'G-8 Condition Look up'!$A$3:$A$131,0),MATCH(K194,'G-8 Condition Look up'!$A$3:$H$3,0)),"")</f>
        <v/>
      </c>
      <c r="M194" s="79"/>
      <c r="N194" s="348" t="str">
        <f>IF(M194="","",IF(VLOOKUP(M194,'G-3 Multipliers'!$L$3:$N$6,2,FALSE)=0,"Spatial Data Missing",VLOOKUP(M194,'G-3 Multipliers'!$L$3:$N$6,2,FALSE)))</f>
        <v/>
      </c>
      <c r="O194" s="569" t="str">
        <f>IF(M194="","",IF(VLOOKUP(M194,'G-3 Multipliers'!$L$3:$N$6,3,FALSE)=0,"Spatial Data Missing",VLOOKUP(M194,'G-3 Multipliers'!$L$3:$N$6,3,FALSE)))</f>
        <v/>
      </c>
      <c r="P194" s="80" t="str">
        <f>IFERROR(VLOOKUP(G194,'G-1 All Habitats'!$B$2:$M$130,12,FALSE),"")</f>
        <v/>
      </c>
      <c r="Q194" s="81" t="str">
        <f>IFERROR(IF(P194="","",IF(AND(P194='G-1 All Habitats'!$X$3,T194&gt;0),U194+V194,IF(AND(P194='G-1 All Habitats'!$X$3,S194&gt;0),U194+V194,IF(AND(P194='G-1 All Habitats'!$X$3,AC194&gt;0),"Any Loss Unacceptable",IF(AND(P194='G-1 All Habitats'!$X$3,W194&gt;0),"Any Loss Unacceptable",H194*J194*L194*O194))))),"Check Data")</f>
        <v/>
      </c>
      <c r="R194" s="55"/>
      <c r="S194" s="79"/>
      <c r="T194" s="82"/>
      <c r="U194" s="83" t="str">
        <f t="shared" si="13"/>
        <v/>
      </c>
      <c r="V194" s="83" t="str">
        <f t="shared" si="14"/>
        <v/>
      </c>
      <c r="W194" s="83" t="str">
        <f>IF(E194="","",IF(H194&lt;S194+T194,"Error in Areas",IF(P194&lt;&gt;'G-1 All Habitats'!$X$3,H194-S194-T194,IF(AND(P194='G-1 All Habitats'!$X$3,Y194="Yes"),"Unacceptable Loss",IF(AND(P194='G-1 All Habitats'!$X$3,Y194="No"),AC194,IF(AND(P194='G-1 All Habitats'!$X$3,Y194=""),AC194,IF(AND(P194='G-1 All Habitats'!$X$3,AC194="None",AC194),IF(AND(P194='G-1 All Habitats'!$X$3,AC194&gt;0),H194-S194-T194))))))))</f>
        <v/>
      </c>
      <c r="X194" s="84" t="str">
        <f>IFERROR(IF(H194="","",IF(H194-S194-T194=0&lt;0,"Error in Areas",IF(S194+T194&gt;H194,"Error in Areas",IF(AND(P194='G-1 All Habitats'!$X$3,Y194="Yes"),"Alternative Compensation",IF(W194=0,0,IF(P194='G-1 All Habitats'!$X$3,"Unacceptable Loss",Q194-U194-V194)))))),"Check Data")</f>
        <v/>
      </c>
      <c r="Y194" s="82"/>
      <c r="Z194" s="92"/>
      <c r="AA194" s="93"/>
      <c r="AC194" s="87" t="str">
        <f>IF(P194="","",IF(P194='G-1 All Habitats'!$X$3,H194-S194-T194,"None"))</f>
        <v/>
      </c>
      <c r="AD194" s="88" t="str">
        <f>IFERROR(AC194*J194*L194*#REF!*O194,IF(P194="","","None"))</f>
        <v/>
      </c>
      <c r="AF194" s="59" t="str">
        <f t="shared" si="10"/>
        <v/>
      </c>
      <c r="AG194" s="59" t="str">
        <f t="shared" si="11"/>
        <v/>
      </c>
      <c r="AH194" s="59" t="str">
        <f>IF(I194="","",IF(#REF!&gt;0,TRUE,FALSE))</f>
        <v/>
      </c>
      <c r="AI194" s="59">
        <v>184</v>
      </c>
      <c r="AJ194" s="59"/>
      <c r="AK194" s="59" t="str">
        <f t="array" ref="AK194">IFERROR(INDEX($AI$11:$AI$259, MATCH(0, IF(TRUE=$AF$11:$AF$259, COUNTIF($AK$10:$AK193, $AI$11:$AI$259), ""), 0)),"")</f>
        <v/>
      </c>
      <c r="AL194" s="59" t="str">
        <f t="array" ref="AL194">IFERROR(INDEX($AI$11:$AI$259, MATCH(0, IF(TRUE=$AG$11:$AG$259, COUNTIF($AL$10:$AL193, $AI$11:$AI$259), ""), 0)),"")</f>
        <v/>
      </c>
      <c r="AM194" s="59" t="str">
        <f t="array" ref="AM194">IFERROR(INDEX($AI$11:$AI$259, MATCH(0, IF(TRUE=$AH$11:$AH$259, COUNTIF($AM$10:$AM193, $AI$11:$AI$259), ""), 0)),"")</f>
        <v/>
      </c>
      <c r="AN194" s="59"/>
      <c r="AQ194" s="52">
        <f t="shared" si="12"/>
        <v>0</v>
      </c>
    </row>
    <row r="195" spans="1:43" x14ac:dyDescent="0.25">
      <c r="A195" s="52" t="str">
        <f>IFERROR(INDEX('G-1 All Habitats'!$AG$3:$AG$15,MATCH(E195,'G-1 All Habitats'!$AF$3:$AF$15,0)),"")</f>
        <v/>
      </c>
      <c r="B195" s="52" t="str">
        <f>IFERROR(INDEX('G-8 Condition Look up'!$I$4:$I$131,MATCH(G195,'G-8 Condition Look up'!$A$4:$A$131,0)),"")</f>
        <v/>
      </c>
      <c r="D195" s="89">
        <v>185</v>
      </c>
      <c r="E195" s="90"/>
      <c r="F195" s="91"/>
      <c r="G195" s="75" t="str">
        <f>IFERROR(INDEX('G-1 All Habitats'!$B$3:$B$130,MATCH(F195,'G-1 All Habitats'!$A$3:$A$130,0)),"")</f>
        <v/>
      </c>
      <c r="H195" s="76"/>
      <c r="I195" s="77" t="str">
        <f>IF(G195="","",VLOOKUP(G195,'G-1 All Habitats'!$B$2:$M$130,10,FALSE))</f>
        <v/>
      </c>
      <c r="J195" s="78" t="str">
        <f>IFERROR(VLOOKUP(I195,'G-1 All Habitats'!$V$3:$W$7,2,FALSE),"")</f>
        <v/>
      </c>
      <c r="K195" s="79"/>
      <c r="L195" s="78" t="str">
        <f>IFERROR(INDEX('G-8 Condition Look up'!$A$3:$H$131,MATCH(G195,'G-8 Condition Look up'!$A$3:$A$131,0),MATCH(K195,'G-8 Condition Look up'!$A$3:$H$3,0)),"")</f>
        <v/>
      </c>
      <c r="M195" s="79"/>
      <c r="N195" s="348" t="str">
        <f>IF(M195="","",IF(VLOOKUP(M195,'G-3 Multipliers'!$L$3:$N$6,2,FALSE)=0,"Spatial Data Missing",VLOOKUP(M195,'G-3 Multipliers'!$L$3:$N$6,2,FALSE)))</f>
        <v/>
      </c>
      <c r="O195" s="569" t="str">
        <f>IF(M195="","",IF(VLOOKUP(M195,'G-3 Multipliers'!$L$3:$N$6,3,FALSE)=0,"Spatial Data Missing",VLOOKUP(M195,'G-3 Multipliers'!$L$3:$N$6,3,FALSE)))</f>
        <v/>
      </c>
      <c r="P195" s="80" t="str">
        <f>IFERROR(VLOOKUP(G195,'G-1 All Habitats'!$B$2:$M$130,12,FALSE),"")</f>
        <v/>
      </c>
      <c r="Q195" s="81" t="str">
        <f>IFERROR(IF(P195="","",IF(AND(P195='G-1 All Habitats'!$X$3,T195&gt;0),U195+V195,IF(AND(P195='G-1 All Habitats'!$X$3,S195&gt;0),U195+V195,IF(AND(P195='G-1 All Habitats'!$X$3,AC195&gt;0),"Any Loss Unacceptable",IF(AND(P195='G-1 All Habitats'!$X$3,W195&gt;0),"Any Loss Unacceptable",H195*J195*L195*O195))))),"Check Data")</f>
        <v/>
      </c>
      <c r="R195" s="55"/>
      <c r="S195" s="79"/>
      <c r="T195" s="82"/>
      <c r="U195" s="83" t="str">
        <f t="shared" si="13"/>
        <v/>
      </c>
      <c r="V195" s="83" t="str">
        <f t="shared" si="14"/>
        <v/>
      </c>
      <c r="W195" s="83" t="str">
        <f>IF(E195="","",IF(H195&lt;S195+T195,"Error in Areas",IF(P195&lt;&gt;'G-1 All Habitats'!$X$3,H195-S195-T195,IF(AND(P195='G-1 All Habitats'!$X$3,Y195="Yes"),"Unacceptable Loss",IF(AND(P195='G-1 All Habitats'!$X$3,Y195="No"),AC195,IF(AND(P195='G-1 All Habitats'!$X$3,Y195=""),AC195,IF(AND(P195='G-1 All Habitats'!$X$3,AC195="None",AC195),IF(AND(P195='G-1 All Habitats'!$X$3,AC195&gt;0),H195-S195-T195))))))))</f>
        <v/>
      </c>
      <c r="X195" s="84" t="str">
        <f>IFERROR(IF(H195="","",IF(H195-S195-T195=0&lt;0,"Error in Areas",IF(S195+T195&gt;H195,"Error in Areas",IF(AND(P195='G-1 All Habitats'!$X$3,Y195="Yes"),"Alternative Compensation",IF(W195=0,0,IF(P195='G-1 All Habitats'!$X$3,"Unacceptable Loss",Q195-U195-V195)))))),"Check Data")</f>
        <v/>
      </c>
      <c r="Y195" s="82"/>
      <c r="Z195" s="92"/>
      <c r="AA195" s="93"/>
      <c r="AC195" s="87" t="str">
        <f>IF(P195="","",IF(P195='G-1 All Habitats'!$X$3,H195-S195-T195,"None"))</f>
        <v/>
      </c>
      <c r="AD195" s="88" t="str">
        <f>IFERROR(AC195*J195*L195*#REF!*O195,IF(P195="","","None"))</f>
        <v/>
      </c>
      <c r="AF195" s="59" t="str">
        <f t="shared" si="10"/>
        <v/>
      </c>
      <c r="AG195" s="59" t="str">
        <f t="shared" si="11"/>
        <v/>
      </c>
      <c r="AH195" s="59" t="str">
        <f>IF(I195="","",IF(#REF!&gt;0,TRUE,FALSE))</f>
        <v/>
      </c>
      <c r="AI195" s="59">
        <v>185</v>
      </c>
      <c r="AJ195" s="59"/>
      <c r="AK195" s="59" t="str">
        <f t="array" ref="AK195">IFERROR(INDEX($AI$11:$AI$259, MATCH(0, IF(TRUE=$AF$11:$AF$259, COUNTIF($AK$10:$AK194, $AI$11:$AI$259), ""), 0)),"")</f>
        <v/>
      </c>
      <c r="AL195" s="59" t="str">
        <f t="array" ref="AL195">IFERROR(INDEX($AI$11:$AI$259, MATCH(0, IF(TRUE=$AG$11:$AG$259, COUNTIF($AL$10:$AL194, $AI$11:$AI$259), ""), 0)),"")</f>
        <v/>
      </c>
      <c r="AM195" s="59" t="str">
        <f t="array" ref="AM195">IFERROR(INDEX($AI$11:$AI$259, MATCH(0, IF(TRUE=$AH$11:$AH$259, COUNTIF($AM$10:$AM194, $AI$11:$AI$259), ""), 0)),"")</f>
        <v/>
      </c>
      <c r="AN195" s="59"/>
      <c r="AQ195" s="52">
        <f t="shared" si="12"/>
        <v>0</v>
      </c>
    </row>
    <row r="196" spans="1:43" x14ac:dyDescent="0.25">
      <c r="A196" s="52" t="str">
        <f>IFERROR(INDEX('G-1 All Habitats'!$AG$3:$AG$15,MATCH(E196,'G-1 All Habitats'!$AF$3:$AF$15,0)),"")</f>
        <v/>
      </c>
      <c r="B196" s="52" t="str">
        <f>IFERROR(INDEX('G-8 Condition Look up'!$I$4:$I$131,MATCH(G196,'G-8 Condition Look up'!$A$4:$A$131,0)),"")</f>
        <v/>
      </c>
      <c r="D196" s="89">
        <v>186</v>
      </c>
      <c r="E196" s="90"/>
      <c r="F196" s="91"/>
      <c r="G196" s="75" t="str">
        <f>IFERROR(INDEX('G-1 All Habitats'!$B$3:$B$130,MATCH(F196,'G-1 All Habitats'!$A$3:$A$130,0)),"")</f>
        <v/>
      </c>
      <c r="H196" s="76"/>
      <c r="I196" s="77" t="str">
        <f>IF(G196="","",VLOOKUP(G196,'G-1 All Habitats'!$B$2:$M$130,10,FALSE))</f>
        <v/>
      </c>
      <c r="J196" s="78" t="str">
        <f>IFERROR(VLOOKUP(I196,'G-1 All Habitats'!$V$3:$W$7,2,FALSE),"")</f>
        <v/>
      </c>
      <c r="K196" s="79"/>
      <c r="L196" s="78" t="str">
        <f>IFERROR(INDEX('G-8 Condition Look up'!$A$3:$H$131,MATCH(G196,'G-8 Condition Look up'!$A$3:$A$131,0),MATCH(K196,'G-8 Condition Look up'!$A$3:$H$3,0)),"")</f>
        <v/>
      </c>
      <c r="M196" s="79"/>
      <c r="N196" s="348" t="str">
        <f>IF(M196="","",IF(VLOOKUP(M196,'G-3 Multipliers'!$L$3:$N$6,2,FALSE)=0,"Spatial Data Missing",VLOOKUP(M196,'G-3 Multipliers'!$L$3:$N$6,2,FALSE)))</f>
        <v/>
      </c>
      <c r="O196" s="569" t="str">
        <f>IF(M196="","",IF(VLOOKUP(M196,'G-3 Multipliers'!$L$3:$N$6,3,FALSE)=0,"Spatial Data Missing",VLOOKUP(M196,'G-3 Multipliers'!$L$3:$N$6,3,FALSE)))</f>
        <v/>
      </c>
      <c r="P196" s="80" t="str">
        <f>IFERROR(VLOOKUP(G196,'G-1 All Habitats'!$B$2:$M$130,12,FALSE),"")</f>
        <v/>
      </c>
      <c r="Q196" s="81" t="str">
        <f>IFERROR(IF(P196="","",IF(AND(P196='G-1 All Habitats'!$X$3,T196&gt;0),U196+V196,IF(AND(P196='G-1 All Habitats'!$X$3,S196&gt;0),U196+V196,IF(AND(P196='G-1 All Habitats'!$X$3,AC196&gt;0),"Any Loss Unacceptable",IF(AND(P196='G-1 All Habitats'!$X$3,W196&gt;0),"Any Loss Unacceptable",H196*J196*L196*O196))))),"Check Data")</f>
        <v/>
      </c>
      <c r="R196" s="55"/>
      <c r="S196" s="79"/>
      <c r="T196" s="82"/>
      <c r="U196" s="83" t="str">
        <f t="shared" si="13"/>
        <v/>
      </c>
      <c r="V196" s="83" t="str">
        <f t="shared" si="14"/>
        <v/>
      </c>
      <c r="W196" s="83" t="str">
        <f>IF(E196="","",IF(H196&lt;S196+T196,"Error in Areas",IF(P196&lt;&gt;'G-1 All Habitats'!$X$3,H196-S196-T196,IF(AND(P196='G-1 All Habitats'!$X$3,Y196="Yes"),"Unacceptable Loss",IF(AND(P196='G-1 All Habitats'!$X$3,Y196="No"),AC196,IF(AND(P196='G-1 All Habitats'!$X$3,Y196=""),AC196,IF(AND(P196='G-1 All Habitats'!$X$3,AC196="None",AC196),IF(AND(P196='G-1 All Habitats'!$X$3,AC196&gt;0),H196-S196-T196))))))))</f>
        <v/>
      </c>
      <c r="X196" s="84" t="str">
        <f>IFERROR(IF(H196="","",IF(H196-S196-T196=0&lt;0,"Error in Areas",IF(S196+T196&gt;H196,"Error in Areas",IF(AND(P196='G-1 All Habitats'!$X$3,Y196="Yes"),"Alternative Compensation",IF(W196=0,0,IF(P196='G-1 All Habitats'!$X$3,"Unacceptable Loss",Q196-U196-V196)))))),"Check Data")</f>
        <v/>
      </c>
      <c r="Y196" s="82"/>
      <c r="Z196" s="92"/>
      <c r="AA196" s="93"/>
      <c r="AC196" s="87" t="str">
        <f>IF(P196="","",IF(P196='G-1 All Habitats'!$X$3,H196-S196-T196,"None"))</f>
        <v/>
      </c>
      <c r="AD196" s="88" t="str">
        <f>IFERROR(AC196*J196*L196*#REF!*O196,IF(P196="","","None"))</f>
        <v/>
      </c>
      <c r="AF196" s="59" t="str">
        <f t="shared" si="10"/>
        <v/>
      </c>
      <c r="AG196" s="59" t="str">
        <f t="shared" si="11"/>
        <v/>
      </c>
      <c r="AH196" s="59" t="str">
        <f>IF(I196="","",IF(#REF!&gt;0,TRUE,FALSE))</f>
        <v/>
      </c>
      <c r="AI196" s="59">
        <v>186</v>
      </c>
      <c r="AJ196" s="59"/>
      <c r="AK196" s="59" t="str">
        <f t="array" ref="AK196">IFERROR(INDEX($AI$11:$AI$259, MATCH(0, IF(TRUE=$AF$11:$AF$259, COUNTIF($AK$10:$AK195, $AI$11:$AI$259), ""), 0)),"")</f>
        <v/>
      </c>
      <c r="AL196" s="59" t="str">
        <f t="array" ref="AL196">IFERROR(INDEX($AI$11:$AI$259, MATCH(0, IF(TRUE=$AG$11:$AG$259, COUNTIF($AL$10:$AL195, $AI$11:$AI$259), ""), 0)),"")</f>
        <v/>
      </c>
      <c r="AM196" s="59" t="str">
        <f t="array" ref="AM196">IFERROR(INDEX($AI$11:$AI$259, MATCH(0, IF(TRUE=$AH$11:$AH$259, COUNTIF($AM$10:$AM195, $AI$11:$AI$259), ""), 0)),"")</f>
        <v/>
      </c>
      <c r="AN196" s="59"/>
      <c r="AQ196" s="52">
        <f t="shared" si="12"/>
        <v>0</v>
      </c>
    </row>
    <row r="197" spans="1:43" x14ac:dyDescent="0.25">
      <c r="A197" s="52" t="str">
        <f>IFERROR(INDEX('G-1 All Habitats'!$AG$3:$AG$15,MATCH(E197,'G-1 All Habitats'!$AF$3:$AF$15,0)),"")</f>
        <v/>
      </c>
      <c r="B197" s="52" t="str">
        <f>IFERROR(INDEX('G-8 Condition Look up'!$I$4:$I$131,MATCH(G197,'G-8 Condition Look up'!$A$4:$A$131,0)),"")</f>
        <v/>
      </c>
      <c r="D197" s="89">
        <v>187</v>
      </c>
      <c r="E197" s="90"/>
      <c r="F197" s="91"/>
      <c r="G197" s="75" t="str">
        <f>IFERROR(INDEX('G-1 All Habitats'!$B$3:$B$130,MATCH(F197,'G-1 All Habitats'!$A$3:$A$130,0)),"")</f>
        <v/>
      </c>
      <c r="H197" s="76"/>
      <c r="I197" s="77" t="str">
        <f>IF(G197="","",VLOOKUP(G197,'G-1 All Habitats'!$B$2:$M$130,10,FALSE))</f>
        <v/>
      </c>
      <c r="J197" s="78" t="str">
        <f>IFERROR(VLOOKUP(I197,'G-1 All Habitats'!$V$3:$W$7,2,FALSE),"")</f>
        <v/>
      </c>
      <c r="K197" s="79"/>
      <c r="L197" s="78" t="str">
        <f>IFERROR(INDEX('G-8 Condition Look up'!$A$3:$H$131,MATCH(G197,'G-8 Condition Look up'!$A$3:$A$131,0),MATCH(K197,'G-8 Condition Look up'!$A$3:$H$3,0)),"")</f>
        <v/>
      </c>
      <c r="M197" s="79"/>
      <c r="N197" s="348" t="str">
        <f>IF(M197="","",IF(VLOOKUP(M197,'G-3 Multipliers'!$L$3:$N$6,2,FALSE)=0,"Spatial Data Missing",VLOOKUP(M197,'G-3 Multipliers'!$L$3:$N$6,2,FALSE)))</f>
        <v/>
      </c>
      <c r="O197" s="569" t="str">
        <f>IF(M197="","",IF(VLOOKUP(M197,'G-3 Multipliers'!$L$3:$N$6,3,FALSE)=0,"Spatial Data Missing",VLOOKUP(M197,'G-3 Multipliers'!$L$3:$N$6,3,FALSE)))</f>
        <v/>
      </c>
      <c r="P197" s="80" t="str">
        <f>IFERROR(VLOOKUP(G197,'G-1 All Habitats'!$B$2:$M$130,12,FALSE),"")</f>
        <v/>
      </c>
      <c r="Q197" s="81" t="str">
        <f>IFERROR(IF(P197="","",IF(AND(P197='G-1 All Habitats'!$X$3,T197&gt;0),U197+V197,IF(AND(P197='G-1 All Habitats'!$X$3,S197&gt;0),U197+V197,IF(AND(P197='G-1 All Habitats'!$X$3,AC197&gt;0),"Any Loss Unacceptable",IF(AND(P197='G-1 All Habitats'!$X$3,W197&gt;0),"Any Loss Unacceptable",H197*J197*L197*O197))))),"Check Data")</f>
        <v/>
      </c>
      <c r="R197" s="55"/>
      <c r="S197" s="79"/>
      <c r="T197" s="82"/>
      <c r="U197" s="83" t="str">
        <f t="shared" si="13"/>
        <v/>
      </c>
      <c r="V197" s="83" t="str">
        <f t="shared" si="14"/>
        <v/>
      </c>
      <c r="W197" s="83" t="str">
        <f>IF(E197="","",IF(H197&lt;S197+T197,"Error in Areas",IF(P197&lt;&gt;'G-1 All Habitats'!$X$3,H197-S197-T197,IF(AND(P197='G-1 All Habitats'!$X$3,Y197="Yes"),"Unacceptable Loss",IF(AND(P197='G-1 All Habitats'!$X$3,Y197="No"),AC197,IF(AND(P197='G-1 All Habitats'!$X$3,Y197=""),AC197,IF(AND(P197='G-1 All Habitats'!$X$3,AC197="None",AC197),IF(AND(P197='G-1 All Habitats'!$X$3,AC197&gt;0),H197-S197-T197))))))))</f>
        <v/>
      </c>
      <c r="X197" s="84" t="str">
        <f>IFERROR(IF(H197="","",IF(H197-S197-T197=0&lt;0,"Error in Areas",IF(S197+T197&gt;H197,"Error in Areas",IF(AND(P197='G-1 All Habitats'!$X$3,Y197="Yes"),"Alternative Compensation",IF(W197=0,0,IF(P197='G-1 All Habitats'!$X$3,"Unacceptable Loss",Q197-U197-V197)))))),"Check Data")</f>
        <v/>
      </c>
      <c r="Y197" s="82"/>
      <c r="Z197" s="92"/>
      <c r="AA197" s="93"/>
      <c r="AC197" s="87" t="str">
        <f>IF(P197="","",IF(P197='G-1 All Habitats'!$X$3,H197-S197-T197,"None"))</f>
        <v/>
      </c>
      <c r="AD197" s="88" t="str">
        <f>IFERROR(AC197*J197*L197*#REF!*O197,IF(P197="","","None"))</f>
        <v/>
      </c>
      <c r="AF197" s="59" t="str">
        <f t="shared" si="10"/>
        <v/>
      </c>
      <c r="AG197" s="59" t="str">
        <f t="shared" si="11"/>
        <v/>
      </c>
      <c r="AH197" s="59" t="str">
        <f>IF(I197="","",IF(#REF!&gt;0,TRUE,FALSE))</f>
        <v/>
      </c>
      <c r="AI197" s="59">
        <v>187</v>
      </c>
      <c r="AJ197" s="59"/>
      <c r="AK197" s="59" t="str">
        <f t="array" ref="AK197">IFERROR(INDEX($AI$11:$AI$259, MATCH(0, IF(TRUE=$AF$11:$AF$259, COUNTIF($AK$10:$AK196, $AI$11:$AI$259), ""), 0)),"")</f>
        <v/>
      </c>
      <c r="AL197" s="59" t="str">
        <f t="array" ref="AL197">IFERROR(INDEX($AI$11:$AI$259, MATCH(0, IF(TRUE=$AG$11:$AG$259, COUNTIF($AL$10:$AL196, $AI$11:$AI$259), ""), 0)),"")</f>
        <v/>
      </c>
      <c r="AM197" s="59" t="str">
        <f t="array" ref="AM197">IFERROR(INDEX($AI$11:$AI$259, MATCH(0, IF(TRUE=$AH$11:$AH$259, COUNTIF($AM$10:$AM196, $AI$11:$AI$259), ""), 0)),"")</f>
        <v/>
      </c>
      <c r="AN197" s="59"/>
      <c r="AQ197" s="52">
        <f t="shared" si="12"/>
        <v>0</v>
      </c>
    </row>
    <row r="198" spans="1:43" x14ac:dyDescent="0.25">
      <c r="A198" s="52" t="str">
        <f>IFERROR(INDEX('G-1 All Habitats'!$AG$3:$AG$15,MATCH(E198,'G-1 All Habitats'!$AF$3:$AF$15,0)),"")</f>
        <v/>
      </c>
      <c r="B198" s="52" t="str">
        <f>IFERROR(INDEX('G-8 Condition Look up'!$I$4:$I$131,MATCH(G198,'G-8 Condition Look up'!$A$4:$A$131,0)),"")</f>
        <v/>
      </c>
      <c r="D198" s="89">
        <v>188</v>
      </c>
      <c r="E198" s="90"/>
      <c r="F198" s="91"/>
      <c r="G198" s="75" t="str">
        <f>IFERROR(INDEX('G-1 All Habitats'!$B$3:$B$130,MATCH(F198,'G-1 All Habitats'!$A$3:$A$130,0)),"")</f>
        <v/>
      </c>
      <c r="H198" s="76"/>
      <c r="I198" s="77" t="str">
        <f>IF(G198="","",VLOOKUP(G198,'G-1 All Habitats'!$B$2:$M$130,10,FALSE))</f>
        <v/>
      </c>
      <c r="J198" s="78" t="str">
        <f>IFERROR(VLOOKUP(I198,'G-1 All Habitats'!$V$3:$W$7,2,FALSE),"")</f>
        <v/>
      </c>
      <c r="K198" s="79"/>
      <c r="L198" s="78" t="str">
        <f>IFERROR(INDEX('G-8 Condition Look up'!$A$3:$H$131,MATCH(G198,'G-8 Condition Look up'!$A$3:$A$131,0),MATCH(K198,'G-8 Condition Look up'!$A$3:$H$3,0)),"")</f>
        <v/>
      </c>
      <c r="M198" s="79"/>
      <c r="N198" s="348" t="str">
        <f>IF(M198="","",IF(VLOOKUP(M198,'G-3 Multipliers'!$L$3:$N$6,2,FALSE)=0,"Spatial Data Missing",VLOOKUP(M198,'G-3 Multipliers'!$L$3:$N$6,2,FALSE)))</f>
        <v/>
      </c>
      <c r="O198" s="569" t="str">
        <f>IF(M198="","",IF(VLOOKUP(M198,'G-3 Multipliers'!$L$3:$N$6,3,FALSE)=0,"Spatial Data Missing",VLOOKUP(M198,'G-3 Multipliers'!$L$3:$N$6,3,FALSE)))</f>
        <v/>
      </c>
      <c r="P198" s="80" t="str">
        <f>IFERROR(VLOOKUP(G198,'G-1 All Habitats'!$B$2:$M$130,12,FALSE),"")</f>
        <v/>
      </c>
      <c r="Q198" s="81" t="str">
        <f>IFERROR(IF(P198="","",IF(AND(P198='G-1 All Habitats'!$X$3,T198&gt;0),U198+V198,IF(AND(P198='G-1 All Habitats'!$X$3,S198&gt;0),U198+V198,IF(AND(P198='G-1 All Habitats'!$X$3,AC198&gt;0),"Any Loss Unacceptable",IF(AND(P198='G-1 All Habitats'!$X$3,W198&gt;0),"Any Loss Unacceptable",H198*J198*L198*O198))))),"Check Data")</f>
        <v/>
      </c>
      <c r="R198" s="55"/>
      <c r="S198" s="79"/>
      <c r="T198" s="82"/>
      <c r="U198" s="83" t="str">
        <f t="shared" si="13"/>
        <v/>
      </c>
      <c r="V198" s="83" t="str">
        <f t="shared" si="14"/>
        <v/>
      </c>
      <c r="W198" s="83" t="str">
        <f>IF(E198="","",IF(H198&lt;S198+T198,"Error in Areas",IF(P198&lt;&gt;'G-1 All Habitats'!$X$3,H198-S198-T198,IF(AND(P198='G-1 All Habitats'!$X$3,Y198="Yes"),"Unacceptable Loss",IF(AND(P198='G-1 All Habitats'!$X$3,Y198="No"),AC198,IF(AND(P198='G-1 All Habitats'!$X$3,Y198=""),AC198,IF(AND(P198='G-1 All Habitats'!$X$3,AC198="None",AC198),IF(AND(P198='G-1 All Habitats'!$X$3,AC198&gt;0),H198-S198-T198))))))))</f>
        <v/>
      </c>
      <c r="X198" s="84" t="str">
        <f>IFERROR(IF(H198="","",IF(H198-S198-T198=0&lt;0,"Error in Areas",IF(S198+T198&gt;H198,"Error in Areas",IF(AND(P198='G-1 All Habitats'!$X$3,Y198="Yes"),"Alternative Compensation",IF(W198=0,0,IF(P198='G-1 All Habitats'!$X$3,"Unacceptable Loss",Q198-U198-V198)))))),"Check Data")</f>
        <v/>
      </c>
      <c r="Y198" s="82"/>
      <c r="Z198" s="92"/>
      <c r="AA198" s="93"/>
      <c r="AC198" s="87" t="str">
        <f>IF(P198="","",IF(P198='G-1 All Habitats'!$X$3,H198-S198-T198,"None"))</f>
        <v/>
      </c>
      <c r="AD198" s="88" t="str">
        <f>IFERROR(AC198*J198*L198*#REF!*O198,IF(P198="","","None"))</f>
        <v/>
      </c>
      <c r="AF198" s="59" t="str">
        <f t="shared" si="10"/>
        <v/>
      </c>
      <c r="AG198" s="59" t="str">
        <f t="shared" si="11"/>
        <v/>
      </c>
      <c r="AH198" s="59" t="str">
        <f>IF(I198="","",IF(#REF!&gt;0,TRUE,FALSE))</f>
        <v/>
      </c>
      <c r="AI198" s="59">
        <v>188</v>
      </c>
      <c r="AJ198" s="59"/>
      <c r="AK198" s="59" t="str">
        <f t="array" ref="AK198">IFERROR(INDEX($AI$11:$AI$259, MATCH(0, IF(TRUE=$AF$11:$AF$259, COUNTIF($AK$10:$AK197, $AI$11:$AI$259), ""), 0)),"")</f>
        <v/>
      </c>
      <c r="AL198" s="59" t="str">
        <f t="array" ref="AL198">IFERROR(INDEX($AI$11:$AI$259, MATCH(0, IF(TRUE=$AG$11:$AG$259, COUNTIF($AL$10:$AL197, $AI$11:$AI$259), ""), 0)),"")</f>
        <v/>
      </c>
      <c r="AM198" s="59" t="str">
        <f t="array" ref="AM198">IFERROR(INDEX($AI$11:$AI$259, MATCH(0, IF(TRUE=$AH$11:$AH$259, COUNTIF($AM$10:$AM197, $AI$11:$AI$259), ""), 0)),"")</f>
        <v/>
      </c>
      <c r="AN198" s="59"/>
      <c r="AQ198" s="52">
        <f t="shared" si="12"/>
        <v>0</v>
      </c>
    </row>
    <row r="199" spans="1:43" x14ac:dyDescent="0.25">
      <c r="A199" s="52" t="str">
        <f>IFERROR(INDEX('G-1 All Habitats'!$AG$3:$AG$15,MATCH(E199,'G-1 All Habitats'!$AF$3:$AF$15,0)),"")</f>
        <v/>
      </c>
      <c r="B199" s="52" t="str">
        <f>IFERROR(INDEX('G-8 Condition Look up'!$I$4:$I$131,MATCH(G199,'G-8 Condition Look up'!$A$4:$A$131,0)),"")</f>
        <v/>
      </c>
      <c r="D199" s="89">
        <v>189</v>
      </c>
      <c r="E199" s="90"/>
      <c r="F199" s="91"/>
      <c r="G199" s="75" t="str">
        <f>IFERROR(INDEX('G-1 All Habitats'!$B$3:$B$130,MATCH(F199,'G-1 All Habitats'!$A$3:$A$130,0)),"")</f>
        <v/>
      </c>
      <c r="H199" s="76"/>
      <c r="I199" s="77" t="str">
        <f>IF(G199="","",VLOOKUP(G199,'G-1 All Habitats'!$B$2:$M$130,10,FALSE))</f>
        <v/>
      </c>
      <c r="J199" s="78" t="str">
        <f>IFERROR(VLOOKUP(I199,'G-1 All Habitats'!$V$3:$W$7,2,FALSE),"")</f>
        <v/>
      </c>
      <c r="K199" s="79"/>
      <c r="L199" s="78" t="str">
        <f>IFERROR(INDEX('G-8 Condition Look up'!$A$3:$H$131,MATCH(G199,'G-8 Condition Look up'!$A$3:$A$131,0),MATCH(K199,'G-8 Condition Look up'!$A$3:$H$3,0)),"")</f>
        <v/>
      </c>
      <c r="M199" s="79"/>
      <c r="N199" s="348" t="str">
        <f>IF(M199="","",IF(VLOOKUP(M199,'G-3 Multipliers'!$L$3:$N$6,2,FALSE)=0,"Spatial Data Missing",VLOOKUP(M199,'G-3 Multipliers'!$L$3:$N$6,2,FALSE)))</f>
        <v/>
      </c>
      <c r="O199" s="569" t="str">
        <f>IF(M199="","",IF(VLOOKUP(M199,'G-3 Multipliers'!$L$3:$N$6,3,FALSE)=0,"Spatial Data Missing",VLOOKUP(M199,'G-3 Multipliers'!$L$3:$N$6,3,FALSE)))</f>
        <v/>
      </c>
      <c r="P199" s="80" t="str">
        <f>IFERROR(VLOOKUP(G199,'G-1 All Habitats'!$B$2:$M$130,12,FALSE),"")</f>
        <v/>
      </c>
      <c r="Q199" s="81" t="str">
        <f>IFERROR(IF(P199="","",IF(AND(P199='G-1 All Habitats'!$X$3,T199&gt;0),U199+V199,IF(AND(P199='G-1 All Habitats'!$X$3,S199&gt;0),U199+V199,IF(AND(P199='G-1 All Habitats'!$X$3,AC199&gt;0),"Any Loss Unacceptable",IF(AND(P199='G-1 All Habitats'!$X$3,W199&gt;0),"Any Loss Unacceptable",H199*J199*L199*O199))))),"Check Data")</f>
        <v/>
      </c>
      <c r="R199" s="55"/>
      <c r="S199" s="79"/>
      <c r="T199" s="82"/>
      <c r="U199" s="83" t="str">
        <f t="shared" si="13"/>
        <v/>
      </c>
      <c r="V199" s="83" t="str">
        <f t="shared" si="14"/>
        <v/>
      </c>
      <c r="W199" s="83" t="str">
        <f>IF(E199="","",IF(H199&lt;S199+T199,"Error in Areas",IF(P199&lt;&gt;'G-1 All Habitats'!$X$3,H199-S199-T199,IF(AND(P199='G-1 All Habitats'!$X$3,Y199="Yes"),"Unacceptable Loss",IF(AND(P199='G-1 All Habitats'!$X$3,Y199="No"),AC199,IF(AND(P199='G-1 All Habitats'!$X$3,Y199=""),AC199,IF(AND(P199='G-1 All Habitats'!$X$3,AC199="None",AC199),IF(AND(P199='G-1 All Habitats'!$X$3,AC199&gt;0),H199-S199-T199))))))))</f>
        <v/>
      </c>
      <c r="X199" s="84" t="str">
        <f>IFERROR(IF(H199="","",IF(H199-S199-T199=0&lt;0,"Error in Areas",IF(S199+T199&gt;H199,"Error in Areas",IF(AND(P199='G-1 All Habitats'!$X$3,Y199="Yes"),"Alternative Compensation",IF(W199=0,0,IF(P199='G-1 All Habitats'!$X$3,"Unacceptable Loss",Q199-U199-V199)))))),"Check Data")</f>
        <v/>
      </c>
      <c r="Y199" s="82"/>
      <c r="Z199" s="92"/>
      <c r="AA199" s="93"/>
      <c r="AC199" s="87" t="str">
        <f>IF(P199="","",IF(P199='G-1 All Habitats'!$X$3,H199-S199-T199,"None"))</f>
        <v/>
      </c>
      <c r="AD199" s="88" t="str">
        <f>IFERROR(AC199*J199*L199*#REF!*O199,IF(P199="","","None"))</f>
        <v/>
      </c>
      <c r="AF199" s="59" t="str">
        <f t="shared" si="10"/>
        <v/>
      </c>
      <c r="AG199" s="59" t="str">
        <f t="shared" si="11"/>
        <v/>
      </c>
      <c r="AH199" s="59" t="str">
        <f>IF(I199="","",IF(#REF!&gt;0,TRUE,FALSE))</f>
        <v/>
      </c>
      <c r="AI199" s="59">
        <v>189</v>
      </c>
      <c r="AJ199" s="59"/>
      <c r="AK199" s="59" t="str">
        <f t="array" ref="AK199">IFERROR(INDEX($AI$11:$AI$259, MATCH(0, IF(TRUE=$AF$11:$AF$259, COUNTIF($AK$10:$AK198, $AI$11:$AI$259), ""), 0)),"")</f>
        <v/>
      </c>
      <c r="AL199" s="59" t="str">
        <f t="array" ref="AL199">IFERROR(INDEX($AI$11:$AI$259, MATCH(0, IF(TRUE=$AG$11:$AG$259, COUNTIF($AL$10:$AL198, $AI$11:$AI$259), ""), 0)),"")</f>
        <v/>
      </c>
      <c r="AM199" s="59" t="str">
        <f t="array" ref="AM199">IFERROR(INDEX($AI$11:$AI$259, MATCH(0, IF(TRUE=$AH$11:$AH$259, COUNTIF($AM$10:$AM198, $AI$11:$AI$259), ""), 0)),"")</f>
        <v/>
      </c>
      <c r="AN199" s="59"/>
      <c r="AQ199" s="52">
        <f t="shared" si="12"/>
        <v>0</v>
      </c>
    </row>
    <row r="200" spans="1:43" x14ac:dyDescent="0.25">
      <c r="A200" s="52" t="str">
        <f>IFERROR(INDEX('G-1 All Habitats'!$AG$3:$AG$15,MATCH(E200,'G-1 All Habitats'!$AF$3:$AF$15,0)),"")</f>
        <v/>
      </c>
      <c r="B200" s="52" t="str">
        <f>IFERROR(INDEX('G-8 Condition Look up'!$I$4:$I$131,MATCH(G200,'G-8 Condition Look up'!$A$4:$A$131,0)),"")</f>
        <v/>
      </c>
      <c r="D200" s="89">
        <v>190</v>
      </c>
      <c r="E200" s="90"/>
      <c r="F200" s="91"/>
      <c r="G200" s="75" t="str">
        <f>IFERROR(INDEX('G-1 All Habitats'!$B$3:$B$130,MATCH(F200,'G-1 All Habitats'!$A$3:$A$130,0)),"")</f>
        <v/>
      </c>
      <c r="H200" s="76"/>
      <c r="I200" s="77" t="str">
        <f>IF(G200="","",VLOOKUP(G200,'G-1 All Habitats'!$B$2:$M$130,10,FALSE))</f>
        <v/>
      </c>
      <c r="J200" s="78" t="str">
        <f>IFERROR(VLOOKUP(I200,'G-1 All Habitats'!$V$3:$W$7,2,FALSE),"")</f>
        <v/>
      </c>
      <c r="K200" s="79"/>
      <c r="L200" s="78" t="str">
        <f>IFERROR(INDEX('G-8 Condition Look up'!$A$3:$H$131,MATCH(G200,'G-8 Condition Look up'!$A$3:$A$131,0),MATCH(K200,'G-8 Condition Look up'!$A$3:$H$3,0)),"")</f>
        <v/>
      </c>
      <c r="M200" s="79"/>
      <c r="N200" s="348" t="str">
        <f>IF(M200="","",IF(VLOOKUP(M200,'G-3 Multipliers'!$L$3:$N$6,2,FALSE)=0,"Spatial Data Missing",VLOOKUP(M200,'G-3 Multipliers'!$L$3:$N$6,2,FALSE)))</f>
        <v/>
      </c>
      <c r="O200" s="569" t="str">
        <f>IF(M200="","",IF(VLOOKUP(M200,'G-3 Multipliers'!$L$3:$N$6,3,FALSE)=0,"Spatial Data Missing",VLOOKUP(M200,'G-3 Multipliers'!$L$3:$N$6,3,FALSE)))</f>
        <v/>
      </c>
      <c r="P200" s="80" t="str">
        <f>IFERROR(VLOOKUP(G200,'G-1 All Habitats'!$B$2:$M$130,12,FALSE),"")</f>
        <v/>
      </c>
      <c r="Q200" s="81" t="str">
        <f>IFERROR(IF(P200="","",IF(AND(P200='G-1 All Habitats'!$X$3,T200&gt;0),U200+V200,IF(AND(P200='G-1 All Habitats'!$X$3,S200&gt;0),U200+V200,IF(AND(P200='G-1 All Habitats'!$X$3,AC200&gt;0),"Any Loss Unacceptable",IF(AND(P200='G-1 All Habitats'!$X$3,W200&gt;0),"Any Loss Unacceptable",H200*J200*L200*O200))))),"Check Data")</f>
        <v/>
      </c>
      <c r="R200" s="55"/>
      <c r="S200" s="79"/>
      <c r="T200" s="82"/>
      <c r="U200" s="83" t="str">
        <f t="shared" si="13"/>
        <v/>
      </c>
      <c r="V200" s="83" t="str">
        <f t="shared" si="14"/>
        <v/>
      </c>
      <c r="W200" s="83" t="str">
        <f>IF(E200="","",IF(H200&lt;S200+T200,"Error in Areas",IF(P200&lt;&gt;'G-1 All Habitats'!$X$3,H200-S200-T200,IF(AND(P200='G-1 All Habitats'!$X$3,Y200="Yes"),"Unacceptable Loss",IF(AND(P200='G-1 All Habitats'!$X$3,Y200="No"),AC200,IF(AND(P200='G-1 All Habitats'!$X$3,Y200=""),AC200,IF(AND(P200='G-1 All Habitats'!$X$3,AC200="None",AC200),IF(AND(P200='G-1 All Habitats'!$X$3,AC200&gt;0),H200-S200-T200))))))))</f>
        <v/>
      </c>
      <c r="X200" s="84" t="str">
        <f>IFERROR(IF(H200="","",IF(H200-S200-T200=0&lt;0,"Error in Areas",IF(S200+T200&gt;H200,"Error in Areas",IF(AND(P200='G-1 All Habitats'!$X$3,Y200="Yes"),"Alternative Compensation",IF(W200=0,0,IF(P200='G-1 All Habitats'!$X$3,"Unacceptable Loss",Q200-U200-V200)))))),"Check Data")</f>
        <v/>
      </c>
      <c r="Y200" s="82"/>
      <c r="Z200" s="92"/>
      <c r="AA200" s="93"/>
      <c r="AC200" s="87" t="str">
        <f>IF(P200="","",IF(P200='G-1 All Habitats'!$X$3,H200-S200-T200,"None"))</f>
        <v/>
      </c>
      <c r="AD200" s="88" t="str">
        <f>IFERROR(AC200*J200*L200*#REF!*O200,IF(P200="","","None"))</f>
        <v/>
      </c>
      <c r="AF200" s="59" t="str">
        <f t="shared" si="10"/>
        <v/>
      </c>
      <c r="AG200" s="59" t="str">
        <f t="shared" si="11"/>
        <v/>
      </c>
      <c r="AH200" s="59" t="str">
        <f>IF(I200="","",IF(#REF!&gt;0,TRUE,FALSE))</f>
        <v/>
      </c>
      <c r="AI200" s="59">
        <v>190</v>
      </c>
      <c r="AJ200" s="59"/>
      <c r="AK200" s="59" t="str">
        <f t="array" ref="AK200">IFERROR(INDEX($AI$11:$AI$259, MATCH(0, IF(TRUE=$AF$11:$AF$259, COUNTIF($AK$10:$AK199, $AI$11:$AI$259), ""), 0)),"")</f>
        <v/>
      </c>
      <c r="AL200" s="59" t="str">
        <f t="array" ref="AL200">IFERROR(INDEX($AI$11:$AI$259, MATCH(0, IF(TRUE=$AG$11:$AG$259, COUNTIF($AL$10:$AL199, $AI$11:$AI$259), ""), 0)),"")</f>
        <v/>
      </c>
      <c r="AM200" s="59" t="str">
        <f t="array" ref="AM200">IFERROR(INDEX($AI$11:$AI$259, MATCH(0, IF(TRUE=$AH$11:$AH$259, COUNTIF($AM$10:$AM199, $AI$11:$AI$259), ""), 0)),"")</f>
        <v/>
      </c>
      <c r="AN200" s="59"/>
      <c r="AQ200" s="52">
        <f t="shared" si="12"/>
        <v>0</v>
      </c>
    </row>
    <row r="201" spans="1:43" x14ac:dyDescent="0.25">
      <c r="A201" s="52" t="str">
        <f>IFERROR(INDEX('G-1 All Habitats'!$AG$3:$AG$15,MATCH(E201,'G-1 All Habitats'!$AF$3:$AF$15,0)),"")</f>
        <v/>
      </c>
      <c r="B201" s="52" t="str">
        <f>IFERROR(INDEX('G-8 Condition Look up'!$I$4:$I$131,MATCH(G201,'G-8 Condition Look up'!$A$4:$A$131,0)),"")</f>
        <v/>
      </c>
      <c r="D201" s="89">
        <v>191</v>
      </c>
      <c r="E201" s="90"/>
      <c r="F201" s="91"/>
      <c r="G201" s="75" t="str">
        <f>IFERROR(INDEX('G-1 All Habitats'!$B$3:$B$130,MATCH(F201,'G-1 All Habitats'!$A$3:$A$130,0)),"")</f>
        <v/>
      </c>
      <c r="H201" s="76"/>
      <c r="I201" s="77" t="str">
        <f>IF(G201="","",VLOOKUP(G201,'G-1 All Habitats'!$B$2:$M$130,10,FALSE))</f>
        <v/>
      </c>
      <c r="J201" s="78" t="str">
        <f>IFERROR(VLOOKUP(I201,'G-1 All Habitats'!$V$3:$W$7,2,FALSE),"")</f>
        <v/>
      </c>
      <c r="K201" s="79"/>
      <c r="L201" s="78" t="str">
        <f>IFERROR(INDEX('G-8 Condition Look up'!$A$3:$H$131,MATCH(G201,'G-8 Condition Look up'!$A$3:$A$131,0),MATCH(K201,'G-8 Condition Look up'!$A$3:$H$3,0)),"")</f>
        <v/>
      </c>
      <c r="M201" s="79"/>
      <c r="N201" s="348" t="str">
        <f>IF(M201="","",IF(VLOOKUP(M201,'G-3 Multipliers'!$L$3:$N$6,2,FALSE)=0,"Spatial Data Missing",VLOOKUP(M201,'G-3 Multipliers'!$L$3:$N$6,2,FALSE)))</f>
        <v/>
      </c>
      <c r="O201" s="569" t="str">
        <f>IF(M201="","",IF(VLOOKUP(M201,'G-3 Multipliers'!$L$3:$N$6,3,FALSE)=0,"Spatial Data Missing",VLOOKUP(M201,'G-3 Multipliers'!$L$3:$N$6,3,FALSE)))</f>
        <v/>
      </c>
      <c r="P201" s="80" t="str">
        <f>IFERROR(VLOOKUP(G201,'G-1 All Habitats'!$B$2:$M$130,12,FALSE),"")</f>
        <v/>
      </c>
      <c r="Q201" s="81" t="str">
        <f>IFERROR(IF(P201="","",IF(AND(P201='G-1 All Habitats'!$X$3,T201&gt;0),U201+V201,IF(AND(P201='G-1 All Habitats'!$X$3,S201&gt;0),U201+V201,IF(AND(P201='G-1 All Habitats'!$X$3,AC201&gt;0),"Any Loss Unacceptable",IF(AND(P201='G-1 All Habitats'!$X$3,W201&gt;0),"Any Loss Unacceptable",H201*J201*L201*O201))))),"Check Data")</f>
        <v/>
      </c>
      <c r="R201" s="55"/>
      <c r="S201" s="79"/>
      <c r="T201" s="82"/>
      <c r="U201" s="83" t="str">
        <f t="shared" si="13"/>
        <v/>
      </c>
      <c r="V201" s="83" t="str">
        <f t="shared" si="14"/>
        <v/>
      </c>
      <c r="W201" s="83" t="str">
        <f>IF(E201="","",IF(H201&lt;S201+T201,"Error in Areas",IF(P201&lt;&gt;'G-1 All Habitats'!$X$3,H201-S201-T201,IF(AND(P201='G-1 All Habitats'!$X$3,Y201="Yes"),"Unacceptable Loss",IF(AND(P201='G-1 All Habitats'!$X$3,Y201="No"),AC201,IF(AND(P201='G-1 All Habitats'!$X$3,Y201=""),AC201,IF(AND(P201='G-1 All Habitats'!$X$3,AC201="None",AC201),IF(AND(P201='G-1 All Habitats'!$X$3,AC201&gt;0),H201-S201-T201))))))))</f>
        <v/>
      </c>
      <c r="X201" s="84" t="str">
        <f>IFERROR(IF(H201="","",IF(H201-S201-T201=0&lt;0,"Error in Areas",IF(S201+T201&gt;H201,"Error in Areas",IF(AND(P201='G-1 All Habitats'!$X$3,Y201="Yes"),"Alternative Compensation",IF(W201=0,0,IF(P201='G-1 All Habitats'!$X$3,"Unacceptable Loss",Q201-U201-V201)))))),"Check Data")</f>
        <v/>
      </c>
      <c r="Y201" s="82"/>
      <c r="Z201" s="92"/>
      <c r="AA201" s="93"/>
      <c r="AC201" s="87" t="str">
        <f>IF(P201="","",IF(P201='G-1 All Habitats'!$X$3,H201-S201-T201,"None"))</f>
        <v/>
      </c>
      <c r="AD201" s="88" t="str">
        <f>IFERROR(AC201*J201*L201*#REF!*O201,IF(P201="","","None"))</f>
        <v/>
      </c>
      <c r="AF201" s="59" t="str">
        <f t="shared" si="10"/>
        <v/>
      </c>
      <c r="AG201" s="59" t="str">
        <f t="shared" si="11"/>
        <v/>
      </c>
      <c r="AH201" s="59" t="str">
        <f>IF(I201="","",IF(#REF!&gt;0,TRUE,FALSE))</f>
        <v/>
      </c>
      <c r="AI201" s="59">
        <v>191</v>
      </c>
      <c r="AJ201" s="59"/>
      <c r="AK201" s="59" t="str">
        <f t="array" ref="AK201">IFERROR(INDEX($AI$11:$AI$259, MATCH(0, IF(TRUE=$AF$11:$AF$259, COUNTIF($AK$10:$AK200, $AI$11:$AI$259), ""), 0)),"")</f>
        <v/>
      </c>
      <c r="AL201" s="59" t="str">
        <f t="array" ref="AL201">IFERROR(INDEX($AI$11:$AI$259, MATCH(0, IF(TRUE=$AG$11:$AG$259, COUNTIF($AL$10:$AL200, $AI$11:$AI$259), ""), 0)),"")</f>
        <v/>
      </c>
      <c r="AM201" s="59" t="str">
        <f t="array" ref="AM201">IFERROR(INDEX($AI$11:$AI$259, MATCH(0, IF(TRUE=$AH$11:$AH$259, COUNTIF($AM$10:$AM200, $AI$11:$AI$259), ""), 0)),"")</f>
        <v/>
      </c>
      <c r="AN201" s="59"/>
      <c r="AQ201" s="52">
        <f t="shared" si="12"/>
        <v>0</v>
      </c>
    </row>
    <row r="202" spans="1:43" x14ac:dyDescent="0.25">
      <c r="A202" s="52" t="str">
        <f>IFERROR(INDEX('G-1 All Habitats'!$AG$3:$AG$15,MATCH(E202,'G-1 All Habitats'!$AF$3:$AF$15,0)),"")</f>
        <v/>
      </c>
      <c r="B202" s="52" t="str">
        <f>IFERROR(INDEX('G-8 Condition Look up'!$I$4:$I$131,MATCH(G202,'G-8 Condition Look up'!$A$4:$A$131,0)),"")</f>
        <v/>
      </c>
      <c r="D202" s="89">
        <v>192</v>
      </c>
      <c r="E202" s="90"/>
      <c r="F202" s="91"/>
      <c r="G202" s="75" t="str">
        <f>IFERROR(INDEX('G-1 All Habitats'!$B$3:$B$130,MATCH(F202,'G-1 All Habitats'!$A$3:$A$130,0)),"")</f>
        <v/>
      </c>
      <c r="H202" s="76"/>
      <c r="I202" s="77" t="str">
        <f>IF(G202="","",VLOOKUP(G202,'G-1 All Habitats'!$B$2:$M$130,10,FALSE))</f>
        <v/>
      </c>
      <c r="J202" s="78" t="str">
        <f>IFERROR(VLOOKUP(I202,'G-1 All Habitats'!$V$3:$W$7,2,FALSE),"")</f>
        <v/>
      </c>
      <c r="K202" s="79"/>
      <c r="L202" s="78" t="str">
        <f>IFERROR(INDEX('G-8 Condition Look up'!$A$3:$H$131,MATCH(G202,'G-8 Condition Look up'!$A$3:$A$131,0),MATCH(K202,'G-8 Condition Look up'!$A$3:$H$3,0)),"")</f>
        <v/>
      </c>
      <c r="M202" s="79"/>
      <c r="N202" s="348" t="str">
        <f>IF(M202="","",IF(VLOOKUP(M202,'G-3 Multipliers'!$L$3:$N$6,2,FALSE)=0,"Spatial Data Missing",VLOOKUP(M202,'G-3 Multipliers'!$L$3:$N$6,2,FALSE)))</f>
        <v/>
      </c>
      <c r="O202" s="569" t="str">
        <f>IF(M202="","",IF(VLOOKUP(M202,'G-3 Multipliers'!$L$3:$N$6,3,FALSE)=0,"Spatial Data Missing",VLOOKUP(M202,'G-3 Multipliers'!$L$3:$N$6,3,FALSE)))</f>
        <v/>
      </c>
      <c r="P202" s="80" t="str">
        <f>IFERROR(VLOOKUP(G202,'G-1 All Habitats'!$B$2:$M$130,12,FALSE),"")</f>
        <v/>
      </c>
      <c r="Q202" s="81" t="str">
        <f>IFERROR(IF(P202="","",IF(AND(P202='G-1 All Habitats'!$X$3,T202&gt;0),U202+V202,IF(AND(P202='G-1 All Habitats'!$X$3,S202&gt;0),U202+V202,IF(AND(P202='G-1 All Habitats'!$X$3,AC202&gt;0),"Any Loss Unacceptable",IF(AND(P202='G-1 All Habitats'!$X$3,W202&gt;0),"Any Loss Unacceptable",H202*J202*L202*O202))))),"Check Data")</f>
        <v/>
      </c>
      <c r="R202" s="55"/>
      <c r="S202" s="79"/>
      <c r="T202" s="82"/>
      <c r="U202" s="83" t="str">
        <f t="shared" si="13"/>
        <v/>
      </c>
      <c r="V202" s="83" t="str">
        <f t="shared" si="14"/>
        <v/>
      </c>
      <c r="W202" s="83" t="str">
        <f>IF(E202="","",IF(H202&lt;S202+T202,"Error in Areas",IF(P202&lt;&gt;'G-1 All Habitats'!$X$3,H202-S202-T202,IF(AND(P202='G-1 All Habitats'!$X$3,Y202="Yes"),"Unacceptable Loss",IF(AND(P202='G-1 All Habitats'!$X$3,Y202="No"),AC202,IF(AND(P202='G-1 All Habitats'!$X$3,Y202=""),AC202,IF(AND(P202='G-1 All Habitats'!$X$3,AC202="None",AC202),IF(AND(P202='G-1 All Habitats'!$X$3,AC202&gt;0),H202-S202-T202))))))))</f>
        <v/>
      </c>
      <c r="X202" s="84" t="str">
        <f>IFERROR(IF(H202="","",IF(H202-S202-T202=0&lt;0,"Error in Areas",IF(S202+T202&gt;H202,"Error in Areas",IF(AND(P202='G-1 All Habitats'!$X$3,Y202="Yes"),"Alternative Compensation",IF(W202=0,0,IF(P202='G-1 All Habitats'!$X$3,"Unacceptable Loss",Q202-U202-V202)))))),"Check Data")</f>
        <v/>
      </c>
      <c r="Y202" s="82"/>
      <c r="Z202" s="92"/>
      <c r="AA202" s="93"/>
      <c r="AC202" s="87" t="str">
        <f>IF(P202="","",IF(P202='G-1 All Habitats'!$X$3,H202-S202-T202,"None"))</f>
        <v/>
      </c>
      <c r="AD202" s="88" t="str">
        <f>IFERROR(AC202*J202*L202*#REF!*O202,IF(P202="","","None"))</f>
        <v/>
      </c>
      <c r="AF202" s="59" t="str">
        <f t="shared" si="10"/>
        <v/>
      </c>
      <c r="AG202" s="59" t="str">
        <f t="shared" si="11"/>
        <v/>
      </c>
      <c r="AH202" s="59" t="str">
        <f>IF(I202="","",IF(#REF!&gt;0,TRUE,FALSE))</f>
        <v/>
      </c>
      <c r="AI202" s="59">
        <v>192</v>
      </c>
      <c r="AJ202" s="59"/>
      <c r="AK202" s="59" t="str">
        <f t="array" ref="AK202">IFERROR(INDEX($AI$11:$AI$259, MATCH(0, IF(TRUE=$AF$11:$AF$259, COUNTIF($AK$10:$AK201, $AI$11:$AI$259), ""), 0)),"")</f>
        <v/>
      </c>
      <c r="AL202" s="59" t="str">
        <f t="array" ref="AL202">IFERROR(INDEX($AI$11:$AI$259, MATCH(0, IF(TRUE=$AG$11:$AG$259, COUNTIF($AL$10:$AL201, $AI$11:$AI$259), ""), 0)),"")</f>
        <v/>
      </c>
      <c r="AM202" s="59" t="str">
        <f t="array" ref="AM202">IFERROR(INDEX($AI$11:$AI$259, MATCH(0, IF(TRUE=$AH$11:$AH$259, COUNTIF($AM$10:$AM201, $AI$11:$AI$259), ""), 0)),"")</f>
        <v/>
      </c>
      <c r="AN202" s="59"/>
      <c r="AQ202" s="52">
        <f t="shared" si="12"/>
        <v>0</v>
      </c>
    </row>
    <row r="203" spans="1:43" x14ac:dyDescent="0.25">
      <c r="A203" s="52" t="str">
        <f>IFERROR(INDEX('G-1 All Habitats'!$AG$3:$AG$15,MATCH(E203,'G-1 All Habitats'!$AF$3:$AF$15,0)),"")</f>
        <v/>
      </c>
      <c r="B203" s="52" t="str">
        <f>IFERROR(INDEX('G-8 Condition Look up'!$I$4:$I$131,MATCH(G203,'G-8 Condition Look up'!$A$4:$A$131,0)),"")</f>
        <v/>
      </c>
      <c r="D203" s="89">
        <v>193</v>
      </c>
      <c r="E203" s="90"/>
      <c r="F203" s="91"/>
      <c r="G203" s="75" t="str">
        <f>IFERROR(INDEX('G-1 All Habitats'!$B$3:$B$130,MATCH(F203,'G-1 All Habitats'!$A$3:$A$130,0)),"")</f>
        <v/>
      </c>
      <c r="H203" s="76"/>
      <c r="I203" s="77" t="str">
        <f>IF(G203="","",VLOOKUP(G203,'G-1 All Habitats'!$B$2:$M$130,10,FALSE))</f>
        <v/>
      </c>
      <c r="J203" s="78" t="str">
        <f>IFERROR(VLOOKUP(I203,'G-1 All Habitats'!$V$3:$W$7,2,FALSE),"")</f>
        <v/>
      </c>
      <c r="K203" s="79"/>
      <c r="L203" s="78" t="str">
        <f>IFERROR(INDEX('G-8 Condition Look up'!$A$3:$H$131,MATCH(G203,'G-8 Condition Look up'!$A$3:$A$131,0),MATCH(K203,'G-8 Condition Look up'!$A$3:$H$3,0)),"")</f>
        <v/>
      </c>
      <c r="M203" s="79"/>
      <c r="N203" s="348" t="str">
        <f>IF(M203="","",IF(VLOOKUP(M203,'G-3 Multipliers'!$L$3:$N$6,2,FALSE)=0,"Spatial Data Missing",VLOOKUP(M203,'G-3 Multipliers'!$L$3:$N$6,2,FALSE)))</f>
        <v/>
      </c>
      <c r="O203" s="569" t="str">
        <f>IF(M203="","",IF(VLOOKUP(M203,'G-3 Multipliers'!$L$3:$N$6,3,FALSE)=0,"Spatial Data Missing",VLOOKUP(M203,'G-3 Multipliers'!$L$3:$N$6,3,FALSE)))</f>
        <v/>
      </c>
      <c r="P203" s="80" t="str">
        <f>IFERROR(VLOOKUP(G203,'G-1 All Habitats'!$B$2:$M$130,12,FALSE),"")</f>
        <v/>
      </c>
      <c r="Q203" s="81" t="str">
        <f>IFERROR(IF(P203="","",IF(AND(P203='G-1 All Habitats'!$X$3,T203&gt;0),U203+V203,IF(AND(P203='G-1 All Habitats'!$X$3,S203&gt;0),U203+V203,IF(AND(P203='G-1 All Habitats'!$X$3,AC203&gt;0),"Any Loss Unacceptable",IF(AND(P203='G-1 All Habitats'!$X$3,W203&gt;0),"Any Loss Unacceptable",H203*J203*L203*O203))))),"Check Data")</f>
        <v/>
      </c>
      <c r="R203" s="55"/>
      <c r="S203" s="79"/>
      <c r="T203" s="82"/>
      <c r="U203" s="83" t="str">
        <f t="shared" si="13"/>
        <v/>
      </c>
      <c r="V203" s="83" t="str">
        <f t="shared" si="14"/>
        <v/>
      </c>
      <c r="W203" s="83" t="str">
        <f>IF(E203="","",IF(H203&lt;S203+T203,"Error in Areas",IF(P203&lt;&gt;'G-1 All Habitats'!$X$3,H203-S203-T203,IF(AND(P203='G-1 All Habitats'!$X$3,Y203="Yes"),"Unacceptable Loss",IF(AND(P203='G-1 All Habitats'!$X$3,Y203="No"),AC203,IF(AND(P203='G-1 All Habitats'!$X$3,Y203=""),AC203,IF(AND(P203='G-1 All Habitats'!$X$3,AC203="None",AC203),IF(AND(P203='G-1 All Habitats'!$X$3,AC203&gt;0),H203-S203-T203))))))))</f>
        <v/>
      </c>
      <c r="X203" s="84" t="str">
        <f>IFERROR(IF(H203="","",IF(H203-S203-T203=0&lt;0,"Error in Areas",IF(S203+T203&gt;H203,"Error in Areas",IF(AND(P203='G-1 All Habitats'!$X$3,Y203="Yes"),"Alternative Compensation",IF(W203=0,0,IF(P203='G-1 All Habitats'!$X$3,"Unacceptable Loss",Q203-U203-V203)))))),"Check Data")</f>
        <v/>
      </c>
      <c r="Y203" s="82"/>
      <c r="Z203" s="92"/>
      <c r="AA203" s="93"/>
      <c r="AC203" s="87" t="str">
        <f>IF(P203="","",IF(P203='G-1 All Habitats'!$X$3,H203-S203-T203,"None"))</f>
        <v/>
      </c>
      <c r="AD203" s="88" t="str">
        <f>IFERROR(AC203*J203*L203*#REF!*O203,IF(P203="","","None"))</f>
        <v/>
      </c>
      <c r="AF203" s="59" t="str">
        <f t="shared" ref="AF203:AF258" si="15">IF(G203="","",IF(S203&gt;0,TRUE,FALSE))</f>
        <v/>
      </c>
      <c r="AG203" s="59" t="str">
        <f t="shared" ref="AG203:AG258" si="16">IF(H203="","",IF(T203&gt;0,TRUE,FALSE))</f>
        <v/>
      </c>
      <c r="AH203" s="59" t="str">
        <f>IF(I203="","",IF(#REF!&gt;0,TRUE,FALSE))</f>
        <v/>
      </c>
      <c r="AI203" s="59">
        <v>193</v>
      </c>
      <c r="AJ203" s="59"/>
      <c r="AK203" s="59" t="str">
        <f t="array" ref="AK203">IFERROR(INDEX($AI$11:$AI$259, MATCH(0, IF(TRUE=$AF$11:$AF$259, COUNTIF($AK$10:$AK202, $AI$11:$AI$259), ""), 0)),"")</f>
        <v/>
      </c>
      <c r="AL203" s="59" t="str">
        <f t="array" ref="AL203">IFERROR(INDEX($AI$11:$AI$259, MATCH(0, IF(TRUE=$AG$11:$AG$259, COUNTIF($AL$10:$AL202, $AI$11:$AI$259), ""), 0)),"")</f>
        <v/>
      </c>
      <c r="AM203" s="59" t="str">
        <f t="array" ref="AM203">IFERROR(INDEX($AI$11:$AI$259, MATCH(0, IF(TRUE=$AH$11:$AH$259, COUNTIF($AM$10:$AM202, $AI$11:$AI$259), ""), 0)),"")</f>
        <v/>
      </c>
      <c r="AN203" s="59"/>
      <c r="AQ203" s="52">
        <f t="shared" si="12"/>
        <v>0</v>
      </c>
    </row>
    <row r="204" spans="1:43" x14ac:dyDescent="0.25">
      <c r="A204" s="52" t="str">
        <f>IFERROR(INDEX('G-1 All Habitats'!$AG$3:$AG$15,MATCH(E204,'G-1 All Habitats'!$AF$3:$AF$15,0)),"")</f>
        <v/>
      </c>
      <c r="B204" s="52" t="str">
        <f>IFERROR(INDEX('G-8 Condition Look up'!$I$4:$I$131,MATCH(G204,'G-8 Condition Look up'!$A$4:$A$131,0)),"")</f>
        <v/>
      </c>
      <c r="D204" s="89">
        <v>194</v>
      </c>
      <c r="E204" s="90"/>
      <c r="F204" s="91"/>
      <c r="G204" s="75" t="str">
        <f>IFERROR(INDEX('G-1 All Habitats'!$B$3:$B$130,MATCH(F204,'G-1 All Habitats'!$A$3:$A$130,0)),"")</f>
        <v/>
      </c>
      <c r="H204" s="76"/>
      <c r="I204" s="77" t="str">
        <f>IF(G204="","",VLOOKUP(G204,'G-1 All Habitats'!$B$2:$M$130,10,FALSE))</f>
        <v/>
      </c>
      <c r="J204" s="78" t="str">
        <f>IFERROR(VLOOKUP(I204,'G-1 All Habitats'!$V$3:$W$7,2,FALSE),"")</f>
        <v/>
      </c>
      <c r="K204" s="79"/>
      <c r="L204" s="78" t="str">
        <f>IFERROR(INDEX('G-8 Condition Look up'!$A$3:$H$131,MATCH(G204,'G-8 Condition Look up'!$A$3:$A$131,0),MATCH(K204,'G-8 Condition Look up'!$A$3:$H$3,0)),"")</f>
        <v/>
      </c>
      <c r="M204" s="79"/>
      <c r="N204" s="348" t="str">
        <f>IF(M204="","",IF(VLOOKUP(M204,'G-3 Multipliers'!$L$3:$N$6,2,FALSE)=0,"Spatial Data Missing",VLOOKUP(M204,'G-3 Multipliers'!$L$3:$N$6,2,FALSE)))</f>
        <v/>
      </c>
      <c r="O204" s="569" t="str">
        <f>IF(M204="","",IF(VLOOKUP(M204,'G-3 Multipliers'!$L$3:$N$6,3,FALSE)=0,"Spatial Data Missing",VLOOKUP(M204,'G-3 Multipliers'!$L$3:$N$6,3,FALSE)))</f>
        <v/>
      </c>
      <c r="P204" s="80" t="str">
        <f>IFERROR(VLOOKUP(G204,'G-1 All Habitats'!$B$2:$M$130,12,FALSE),"")</f>
        <v/>
      </c>
      <c r="Q204" s="81" t="str">
        <f>IFERROR(IF(P204="","",IF(AND(P204='G-1 All Habitats'!$X$3,T204&gt;0),U204+V204,IF(AND(P204='G-1 All Habitats'!$X$3,S204&gt;0),U204+V204,IF(AND(P204='G-1 All Habitats'!$X$3,AC204&gt;0),"Any Loss Unacceptable",IF(AND(P204='G-1 All Habitats'!$X$3,W204&gt;0),"Any Loss Unacceptable",H204*J204*L204*O204))))),"Check Data")</f>
        <v/>
      </c>
      <c r="R204" s="55"/>
      <c r="S204" s="79"/>
      <c r="T204" s="82"/>
      <c r="U204" s="83" t="str">
        <f t="shared" si="13"/>
        <v/>
      </c>
      <c r="V204" s="83" t="str">
        <f t="shared" si="14"/>
        <v/>
      </c>
      <c r="W204" s="83" t="str">
        <f>IF(E204="","",IF(H204&lt;S204+T204,"Error in Areas",IF(P204&lt;&gt;'G-1 All Habitats'!$X$3,H204-S204-T204,IF(AND(P204='G-1 All Habitats'!$X$3,Y204="Yes"),"Unacceptable Loss",IF(AND(P204='G-1 All Habitats'!$X$3,Y204="No"),AC204,IF(AND(P204='G-1 All Habitats'!$X$3,Y204=""),AC204,IF(AND(P204='G-1 All Habitats'!$X$3,AC204="None",AC204),IF(AND(P204='G-1 All Habitats'!$X$3,AC204&gt;0),H204-S204-T204))))))))</f>
        <v/>
      </c>
      <c r="X204" s="84" t="str">
        <f>IFERROR(IF(H204="","",IF(H204-S204-T204=0&lt;0,"Error in Areas",IF(S204+T204&gt;H204,"Error in Areas",IF(AND(P204='G-1 All Habitats'!$X$3,Y204="Yes"),"Alternative Compensation",IF(W204=0,0,IF(P204='G-1 All Habitats'!$X$3,"Unacceptable Loss",Q204-U204-V204)))))),"Check Data")</f>
        <v/>
      </c>
      <c r="Y204" s="82"/>
      <c r="Z204" s="92"/>
      <c r="AA204" s="93"/>
      <c r="AC204" s="87" t="str">
        <f>IF(P204="","",IF(P204='G-1 All Habitats'!$X$3,H204-S204-T204,"None"))</f>
        <v/>
      </c>
      <c r="AD204" s="88" t="str">
        <f>IFERROR(AC204*J204*L204*#REF!*O204,IF(P204="","","None"))</f>
        <v/>
      </c>
      <c r="AF204" s="59" t="str">
        <f t="shared" si="15"/>
        <v/>
      </c>
      <c r="AG204" s="59" t="str">
        <f t="shared" si="16"/>
        <v/>
      </c>
      <c r="AH204" s="59" t="str">
        <f>IF(I204="","",IF(#REF!&gt;0,TRUE,FALSE))</f>
        <v/>
      </c>
      <c r="AI204" s="59">
        <v>194</v>
      </c>
      <c r="AJ204" s="59"/>
      <c r="AK204" s="59" t="str">
        <f t="array" ref="AK204">IFERROR(INDEX($AI$11:$AI$259, MATCH(0, IF(TRUE=$AF$11:$AF$259, COUNTIF($AK$10:$AK203, $AI$11:$AI$259), ""), 0)),"")</f>
        <v/>
      </c>
      <c r="AL204" s="59" t="str">
        <f t="array" ref="AL204">IFERROR(INDEX($AI$11:$AI$259, MATCH(0, IF(TRUE=$AG$11:$AG$259, COUNTIF($AL$10:$AL203, $AI$11:$AI$259), ""), 0)),"")</f>
        <v/>
      </c>
      <c r="AM204" s="59" t="str">
        <f t="array" ref="AM204">IFERROR(INDEX($AI$11:$AI$259, MATCH(0, IF(TRUE=$AH$11:$AH$259, COUNTIF($AM$10:$AM203, $AI$11:$AI$259), ""), 0)),"")</f>
        <v/>
      </c>
      <c r="AN204" s="59"/>
      <c r="AQ204" s="52">
        <f t="shared" ref="AQ204:AQ258" si="17">IF(X204="Unacceptable Loss",1,0)</f>
        <v>0</v>
      </c>
    </row>
    <row r="205" spans="1:43" x14ac:dyDescent="0.25">
      <c r="A205" s="52" t="str">
        <f>IFERROR(INDEX('G-1 All Habitats'!$AG$3:$AG$15,MATCH(E205,'G-1 All Habitats'!$AF$3:$AF$15,0)),"")</f>
        <v/>
      </c>
      <c r="B205" s="52" t="str">
        <f>IFERROR(INDEX('G-8 Condition Look up'!$I$4:$I$131,MATCH(G205,'G-8 Condition Look up'!$A$4:$A$131,0)),"")</f>
        <v/>
      </c>
      <c r="D205" s="89">
        <v>195</v>
      </c>
      <c r="E205" s="90"/>
      <c r="F205" s="91"/>
      <c r="G205" s="75" t="str">
        <f>IFERROR(INDEX('G-1 All Habitats'!$B$3:$B$130,MATCH(F205,'G-1 All Habitats'!$A$3:$A$130,0)),"")</f>
        <v/>
      </c>
      <c r="H205" s="76"/>
      <c r="I205" s="77" t="str">
        <f>IF(G205="","",VLOOKUP(G205,'G-1 All Habitats'!$B$2:$M$130,10,FALSE))</f>
        <v/>
      </c>
      <c r="J205" s="78" t="str">
        <f>IFERROR(VLOOKUP(I205,'G-1 All Habitats'!$V$3:$W$7,2,FALSE),"")</f>
        <v/>
      </c>
      <c r="K205" s="79"/>
      <c r="L205" s="78" t="str">
        <f>IFERROR(INDEX('G-8 Condition Look up'!$A$3:$H$131,MATCH(G205,'G-8 Condition Look up'!$A$3:$A$131,0),MATCH(K205,'G-8 Condition Look up'!$A$3:$H$3,0)),"")</f>
        <v/>
      </c>
      <c r="M205" s="79"/>
      <c r="N205" s="348" t="str">
        <f>IF(M205="","",IF(VLOOKUP(M205,'G-3 Multipliers'!$L$3:$N$6,2,FALSE)=0,"Spatial Data Missing",VLOOKUP(M205,'G-3 Multipliers'!$L$3:$N$6,2,FALSE)))</f>
        <v/>
      </c>
      <c r="O205" s="569" t="str">
        <f>IF(M205="","",IF(VLOOKUP(M205,'G-3 Multipliers'!$L$3:$N$6,3,FALSE)=0,"Spatial Data Missing",VLOOKUP(M205,'G-3 Multipliers'!$L$3:$N$6,3,FALSE)))</f>
        <v/>
      </c>
      <c r="P205" s="80" t="str">
        <f>IFERROR(VLOOKUP(G205,'G-1 All Habitats'!$B$2:$M$130,12,FALSE),"")</f>
        <v/>
      </c>
      <c r="Q205" s="81" t="str">
        <f>IFERROR(IF(P205="","",IF(AND(P205='G-1 All Habitats'!$X$3,T205&gt;0),U205+V205,IF(AND(P205='G-1 All Habitats'!$X$3,S205&gt;0),U205+V205,IF(AND(P205='G-1 All Habitats'!$X$3,AC205&gt;0),"Any Loss Unacceptable",IF(AND(P205='G-1 All Habitats'!$X$3,W205&gt;0),"Any Loss Unacceptable",H205*J205*L205*O205))))),"Check Data")</f>
        <v/>
      </c>
      <c r="R205" s="55"/>
      <c r="S205" s="79"/>
      <c r="T205" s="82"/>
      <c r="U205" s="83" t="str">
        <f t="shared" ref="U205:U258" si="18">IFERROR(S205*J205*L205*O205,"")</f>
        <v/>
      </c>
      <c r="V205" s="83" t="str">
        <f t="shared" ref="V205:V258" si="19">IFERROR(T205*J205*L205*O205,"")</f>
        <v/>
      </c>
      <c r="W205" s="83" t="str">
        <f>IF(E205="","",IF(H205&lt;S205+T205,"Error in Areas",IF(P205&lt;&gt;'G-1 All Habitats'!$X$3,H205-S205-T205,IF(AND(P205='G-1 All Habitats'!$X$3,Y205="Yes"),"Unacceptable Loss",IF(AND(P205='G-1 All Habitats'!$X$3,Y205="No"),AC205,IF(AND(P205='G-1 All Habitats'!$X$3,Y205=""),AC205,IF(AND(P205='G-1 All Habitats'!$X$3,AC205="None",AC205),IF(AND(P205='G-1 All Habitats'!$X$3,AC205&gt;0),H205-S205-T205))))))))</f>
        <v/>
      </c>
      <c r="X205" s="84" t="str">
        <f>IFERROR(IF(H205="","",IF(H205-S205-T205=0&lt;0,"Error in Areas",IF(S205+T205&gt;H205,"Error in Areas",IF(AND(P205='G-1 All Habitats'!$X$3,Y205="Yes"),"Alternative Compensation",IF(W205=0,0,IF(P205='G-1 All Habitats'!$X$3,"Unacceptable Loss",Q205-U205-V205)))))),"Check Data")</f>
        <v/>
      </c>
      <c r="Y205" s="82"/>
      <c r="Z205" s="92"/>
      <c r="AA205" s="93"/>
      <c r="AC205" s="87" t="str">
        <f>IF(P205="","",IF(P205='G-1 All Habitats'!$X$3,H205-S205-T205,"None"))</f>
        <v/>
      </c>
      <c r="AD205" s="88" t="str">
        <f>IFERROR(AC205*J205*L205*#REF!*O205,IF(P205="","","None"))</f>
        <v/>
      </c>
      <c r="AF205" s="59" t="str">
        <f t="shared" si="15"/>
        <v/>
      </c>
      <c r="AG205" s="59" t="str">
        <f t="shared" si="16"/>
        <v/>
      </c>
      <c r="AH205" s="59" t="str">
        <f>IF(I205="","",IF(#REF!&gt;0,TRUE,FALSE))</f>
        <v/>
      </c>
      <c r="AI205" s="59">
        <v>195</v>
      </c>
      <c r="AJ205" s="59"/>
      <c r="AK205" s="59" t="str">
        <f t="array" ref="AK205">IFERROR(INDEX($AI$11:$AI$259, MATCH(0, IF(TRUE=$AF$11:$AF$259, COUNTIF($AK$10:$AK204, $AI$11:$AI$259), ""), 0)),"")</f>
        <v/>
      </c>
      <c r="AL205" s="59" t="str">
        <f t="array" ref="AL205">IFERROR(INDEX($AI$11:$AI$259, MATCH(0, IF(TRUE=$AG$11:$AG$259, COUNTIF($AL$10:$AL204, $AI$11:$AI$259), ""), 0)),"")</f>
        <v/>
      </c>
      <c r="AM205" s="59" t="str">
        <f t="array" ref="AM205">IFERROR(INDEX($AI$11:$AI$259, MATCH(0, IF(TRUE=$AH$11:$AH$259, COUNTIF($AM$10:$AM204, $AI$11:$AI$259), ""), 0)),"")</f>
        <v/>
      </c>
      <c r="AN205" s="59"/>
      <c r="AQ205" s="52">
        <f t="shared" si="17"/>
        <v>0</v>
      </c>
    </row>
    <row r="206" spans="1:43" x14ac:dyDescent="0.25">
      <c r="A206" s="52" t="str">
        <f>IFERROR(INDEX('G-1 All Habitats'!$AG$3:$AG$15,MATCH(E206,'G-1 All Habitats'!$AF$3:$AF$15,0)),"")</f>
        <v/>
      </c>
      <c r="B206" s="52" t="str">
        <f>IFERROR(INDEX('G-8 Condition Look up'!$I$4:$I$131,MATCH(G206,'G-8 Condition Look up'!$A$4:$A$131,0)),"")</f>
        <v/>
      </c>
      <c r="D206" s="89">
        <v>196</v>
      </c>
      <c r="E206" s="90"/>
      <c r="F206" s="91"/>
      <c r="G206" s="75" t="str">
        <f>IFERROR(INDEX('G-1 All Habitats'!$B$3:$B$130,MATCH(F206,'G-1 All Habitats'!$A$3:$A$130,0)),"")</f>
        <v/>
      </c>
      <c r="H206" s="76"/>
      <c r="I206" s="77" t="str">
        <f>IF(G206="","",VLOOKUP(G206,'G-1 All Habitats'!$B$2:$M$130,10,FALSE))</f>
        <v/>
      </c>
      <c r="J206" s="78" t="str">
        <f>IFERROR(VLOOKUP(I206,'G-1 All Habitats'!$V$3:$W$7,2,FALSE),"")</f>
        <v/>
      </c>
      <c r="K206" s="79"/>
      <c r="L206" s="78" t="str">
        <f>IFERROR(INDEX('G-8 Condition Look up'!$A$3:$H$131,MATCH(G206,'G-8 Condition Look up'!$A$3:$A$131,0),MATCH(K206,'G-8 Condition Look up'!$A$3:$H$3,0)),"")</f>
        <v/>
      </c>
      <c r="M206" s="79"/>
      <c r="N206" s="348" t="str">
        <f>IF(M206="","",IF(VLOOKUP(M206,'G-3 Multipliers'!$L$3:$N$6,2,FALSE)=0,"Spatial Data Missing",VLOOKUP(M206,'G-3 Multipliers'!$L$3:$N$6,2,FALSE)))</f>
        <v/>
      </c>
      <c r="O206" s="569" t="str">
        <f>IF(M206="","",IF(VLOOKUP(M206,'G-3 Multipliers'!$L$3:$N$6,3,FALSE)=0,"Spatial Data Missing",VLOOKUP(M206,'G-3 Multipliers'!$L$3:$N$6,3,FALSE)))</f>
        <v/>
      </c>
      <c r="P206" s="80" t="str">
        <f>IFERROR(VLOOKUP(G206,'G-1 All Habitats'!$B$2:$M$130,12,FALSE),"")</f>
        <v/>
      </c>
      <c r="Q206" s="81" t="str">
        <f>IFERROR(IF(P206="","",IF(AND(P206='G-1 All Habitats'!$X$3,T206&gt;0),U206+V206,IF(AND(P206='G-1 All Habitats'!$X$3,S206&gt;0),U206+V206,IF(AND(P206='G-1 All Habitats'!$X$3,AC206&gt;0),"Any Loss Unacceptable",IF(AND(P206='G-1 All Habitats'!$X$3,W206&gt;0),"Any Loss Unacceptable",H206*J206*L206*O206))))),"Check Data")</f>
        <v/>
      </c>
      <c r="R206" s="55"/>
      <c r="S206" s="79"/>
      <c r="T206" s="82"/>
      <c r="U206" s="83" t="str">
        <f t="shared" si="18"/>
        <v/>
      </c>
      <c r="V206" s="83" t="str">
        <f t="shared" si="19"/>
        <v/>
      </c>
      <c r="W206" s="83" t="str">
        <f>IF(E206="","",IF(H206&lt;S206+T206,"Error in Areas",IF(P206&lt;&gt;'G-1 All Habitats'!$X$3,H206-S206-T206,IF(AND(P206='G-1 All Habitats'!$X$3,Y206="Yes"),"Unacceptable Loss",IF(AND(P206='G-1 All Habitats'!$X$3,Y206="No"),AC206,IF(AND(P206='G-1 All Habitats'!$X$3,Y206=""),AC206,IF(AND(P206='G-1 All Habitats'!$X$3,AC206="None",AC206),IF(AND(P206='G-1 All Habitats'!$X$3,AC206&gt;0),H206-S206-T206))))))))</f>
        <v/>
      </c>
      <c r="X206" s="84" t="str">
        <f>IFERROR(IF(H206="","",IF(H206-S206-T206=0&lt;0,"Error in Areas",IF(S206+T206&gt;H206,"Error in Areas",IF(AND(P206='G-1 All Habitats'!$X$3,Y206="Yes"),"Alternative Compensation",IF(W206=0,0,IF(P206='G-1 All Habitats'!$X$3,"Unacceptable Loss",Q206-U206-V206)))))),"Check Data")</f>
        <v/>
      </c>
      <c r="Y206" s="82"/>
      <c r="Z206" s="92"/>
      <c r="AA206" s="93"/>
      <c r="AC206" s="87" t="str">
        <f>IF(P206="","",IF(P206='G-1 All Habitats'!$X$3,H206-S206-T206,"None"))</f>
        <v/>
      </c>
      <c r="AD206" s="88" t="str">
        <f>IFERROR(AC206*J206*L206*#REF!*O206,IF(P206="","","None"))</f>
        <v/>
      </c>
      <c r="AF206" s="59" t="str">
        <f t="shared" si="15"/>
        <v/>
      </c>
      <c r="AG206" s="59" t="str">
        <f t="shared" si="16"/>
        <v/>
      </c>
      <c r="AH206" s="59" t="str">
        <f>IF(I206="","",IF(#REF!&gt;0,TRUE,FALSE))</f>
        <v/>
      </c>
      <c r="AI206" s="59">
        <v>196</v>
      </c>
      <c r="AJ206" s="59"/>
      <c r="AK206" s="59" t="str">
        <f t="array" ref="AK206">IFERROR(INDEX($AI$11:$AI$259, MATCH(0, IF(TRUE=$AF$11:$AF$259, COUNTIF($AK$10:$AK205, $AI$11:$AI$259), ""), 0)),"")</f>
        <v/>
      </c>
      <c r="AL206" s="59" t="str">
        <f t="array" ref="AL206">IFERROR(INDEX($AI$11:$AI$259, MATCH(0, IF(TRUE=$AG$11:$AG$259, COUNTIF($AL$10:$AL205, $AI$11:$AI$259), ""), 0)),"")</f>
        <v/>
      </c>
      <c r="AM206" s="59" t="str">
        <f t="array" ref="AM206">IFERROR(INDEX($AI$11:$AI$259, MATCH(0, IF(TRUE=$AH$11:$AH$259, COUNTIF($AM$10:$AM205, $AI$11:$AI$259), ""), 0)),"")</f>
        <v/>
      </c>
      <c r="AN206" s="59"/>
      <c r="AQ206" s="52">
        <f t="shared" si="17"/>
        <v>0</v>
      </c>
    </row>
    <row r="207" spans="1:43" x14ac:dyDescent="0.25">
      <c r="A207" s="52" t="str">
        <f>IFERROR(INDEX('G-1 All Habitats'!$AG$3:$AG$15,MATCH(E207,'G-1 All Habitats'!$AF$3:$AF$15,0)),"")</f>
        <v/>
      </c>
      <c r="B207" s="52" t="str">
        <f>IFERROR(INDEX('G-8 Condition Look up'!$I$4:$I$131,MATCH(G207,'G-8 Condition Look up'!$A$4:$A$131,0)),"")</f>
        <v/>
      </c>
      <c r="D207" s="89">
        <v>197</v>
      </c>
      <c r="E207" s="90"/>
      <c r="F207" s="91"/>
      <c r="G207" s="75" t="str">
        <f>IFERROR(INDEX('G-1 All Habitats'!$B$3:$B$130,MATCH(F207,'G-1 All Habitats'!$A$3:$A$130,0)),"")</f>
        <v/>
      </c>
      <c r="H207" s="76"/>
      <c r="I207" s="77" t="str">
        <f>IF(G207="","",VLOOKUP(G207,'G-1 All Habitats'!$B$2:$M$130,10,FALSE))</f>
        <v/>
      </c>
      <c r="J207" s="78" t="str">
        <f>IFERROR(VLOOKUP(I207,'G-1 All Habitats'!$V$3:$W$7,2,FALSE),"")</f>
        <v/>
      </c>
      <c r="K207" s="79"/>
      <c r="L207" s="78" t="str">
        <f>IFERROR(INDEX('G-8 Condition Look up'!$A$3:$H$131,MATCH(G207,'G-8 Condition Look up'!$A$3:$A$131,0),MATCH(K207,'G-8 Condition Look up'!$A$3:$H$3,0)),"")</f>
        <v/>
      </c>
      <c r="M207" s="79"/>
      <c r="N207" s="348" t="str">
        <f>IF(M207="","",IF(VLOOKUP(M207,'G-3 Multipliers'!$L$3:$N$6,2,FALSE)=0,"Spatial Data Missing",VLOOKUP(M207,'G-3 Multipliers'!$L$3:$N$6,2,FALSE)))</f>
        <v/>
      </c>
      <c r="O207" s="569" t="str">
        <f>IF(M207="","",IF(VLOOKUP(M207,'G-3 Multipliers'!$L$3:$N$6,3,FALSE)=0,"Spatial Data Missing",VLOOKUP(M207,'G-3 Multipliers'!$L$3:$N$6,3,FALSE)))</f>
        <v/>
      </c>
      <c r="P207" s="80" t="str">
        <f>IFERROR(VLOOKUP(G207,'G-1 All Habitats'!$B$2:$M$130,12,FALSE),"")</f>
        <v/>
      </c>
      <c r="Q207" s="81" t="str">
        <f>IFERROR(IF(P207="","",IF(AND(P207='G-1 All Habitats'!$X$3,T207&gt;0),U207+V207,IF(AND(P207='G-1 All Habitats'!$X$3,S207&gt;0),U207+V207,IF(AND(P207='G-1 All Habitats'!$X$3,AC207&gt;0),"Any Loss Unacceptable",IF(AND(P207='G-1 All Habitats'!$X$3,W207&gt;0),"Any Loss Unacceptable",H207*J207*L207*O207))))),"Check Data")</f>
        <v/>
      </c>
      <c r="R207" s="55"/>
      <c r="S207" s="79"/>
      <c r="T207" s="82"/>
      <c r="U207" s="83" t="str">
        <f t="shared" si="18"/>
        <v/>
      </c>
      <c r="V207" s="83" t="str">
        <f t="shared" si="19"/>
        <v/>
      </c>
      <c r="W207" s="83" t="str">
        <f>IF(E207="","",IF(H207&lt;S207+T207,"Error in Areas",IF(P207&lt;&gt;'G-1 All Habitats'!$X$3,H207-S207-T207,IF(AND(P207='G-1 All Habitats'!$X$3,Y207="Yes"),"Unacceptable Loss",IF(AND(P207='G-1 All Habitats'!$X$3,Y207="No"),AC207,IF(AND(P207='G-1 All Habitats'!$X$3,Y207=""),AC207,IF(AND(P207='G-1 All Habitats'!$X$3,AC207="None",AC207),IF(AND(P207='G-1 All Habitats'!$X$3,AC207&gt;0),H207-S207-T207))))))))</f>
        <v/>
      </c>
      <c r="X207" s="84" t="str">
        <f>IFERROR(IF(H207="","",IF(H207-S207-T207=0&lt;0,"Error in Areas",IF(S207+T207&gt;H207,"Error in Areas",IF(AND(P207='G-1 All Habitats'!$X$3,Y207="Yes"),"Alternative Compensation",IF(W207=0,0,IF(P207='G-1 All Habitats'!$X$3,"Unacceptable Loss",Q207-U207-V207)))))),"Check Data")</f>
        <v/>
      </c>
      <c r="Y207" s="82"/>
      <c r="Z207" s="92"/>
      <c r="AA207" s="93"/>
      <c r="AC207" s="87" t="str">
        <f>IF(P207="","",IF(P207='G-1 All Habitats'!$X$3,H207-S207-T207,"None"))</f>
        <v/>
      </c>
      <c r="AD207" s="88" t="str">
        <f>IFERROR(AC207*J207*L207*#REF!*O207,IF(P207="","","None"))</f>
        <v/>
      </c>
      <c r="AF207" s="59" t="str">
        <f t="shared" si="15"/>
        <v/>
      </c>
      <c r="AG207" s="59" t="str">
        <f t="shared" si="16"/>
        <v/>
      </c>
      <c r="AH207" s="59" t="str">
        <f>IF(I207="","",IF(#REF!&gt;0,TRUE,FALSE))</f>
        <v/>
      </c>
      <c r="AI207" s="59">
        <v>197</v>
      </c>
      <c r="AJ207" s="59"/>
      <c r="AK207" s="59" t="str">
        <f t="array" ref="AK207">IFERROR(INDEX($AI$11:$AI$259, MATCH(0, IF(TRUE=$AF$11:$AF$259, COUNTIF($AK$10:$AK206, $AI$11:$AI$259), ""), 0)),"")</f>
        <v/>
      </c>
      <c r="AL207" s="59" t="str">
        <f t="array" ref="AL207">IFERROR(INDEX($AI$11:$AI$259, MATCH(0, IF(TRUE=$AG$11:$AG$259, COUNTIF($AL$10:$AL206, $AI$11:$AI$259), ""), 0)),"")</f>
        <v/>
      </c>
      <c r="AM207" s="59" t="str">
        <f t="array" ref="AM207">IFERROR(INDEX($AI$11:$AI$259, MATCH(0, IF(TRUE=$AH$11:$AH$259, COUNTIF($AM$10:$AM206, $AI$11:$AI$259), ""), 0)),"")</f>
        <v/>
      </c>
      <c r="AN207" s="59"/>
      <c r="AQ207" s="52">
        <f t="shared" si="17"/>
        <v>0</v>
      </c>
    </row>
    <row r="208" spans="1:43" x14ac:dyDescent="0.25">
      <c r="A208" s="52" t="str">
        <f>IFERROR(INDEX('G-1 All Habitats'!$AG$3:$AG$15,MATCH(E208,'G-1 All Habitats'!$AF$3:$AF$15,0)),"")</f>
        <v/>
      </c>
      <c r="B208" s="52" t="str">
        <f>IFERROR(INDEX('G-8 Condition Look up'!$I$4:$I$131,MATCH(G208,'G-8 Condition Look up'!$A$4:$A$131,0)),"")</f>
        <v/>
      </c>
      <c r="D208" s="89">
        <v>198</v>
      </c>
      <c r="E208" s="90"/>
      <c r="F208" s="91"/>
      <c r="G208" s="75" t="str">
        <f>IFERROR(INDEX('G-1 All Habitats'!$B$3:$B$130,MATCH(F208,'G-1 All Habitats'!$A$3:$A$130,0)),"")</f>
        <v/>
      </c>
      <c r="H208" s="76"/>
      <c r="I208" s="77" t="str">
        <f>IF(G208="","",VLOOKUP(G208,'G-1 All Habitats'!$B$2:$M$130,10,FALSE))</f>
        <v/>
      </c>
      <c r="J208" s="78" t="str">
        <f>IFERROR(VLOOKUP(I208,'G-1 All Habitats'!$V$3:$W$7,2,FALSE),"")</f>
        <v/>
      </c>
      <c r="K208" s="79"/>
      <c r="L208" s="78" t="str">
        <f>IFERROR(INDEX('G-8 Condition Look up'!$A$3:$H$131,MATCH(G208,'G-8 Condition Look up'!$A$3:$A$131,0),MATCH(K208,'G-8 Condition Look up'!$A$3:$H$3,0)),"")</f>
        <v/>
      </c>
      <c r="M208" s="79"/>
      <c r="N208" s="348" t="str">
        <f>IF(M208="","",IF(VLOOKUP(M208,'G-3 Multipliers'!$L$3:$N$6,2,FALSE)=0,"Spatial Data Missing",VLOOKUP(M208,'G-3 Multipliers'!$L$3:$N$6,2,FALSE)))</f>
        <v/>
      </c>
      <c r="O208" s="569" t="str">
        <f>IF(M208="","",IF(VLOOKUP(M208,'G-3 Multipliers'!$L$3:$N$6,3,FALSE)=0,"Spatial Data Missing",VLOOKUP(M208,'G-3 Multipliers'!$L$3:$N$6,3,FALSE)))</f>
        <v/>
      </c>
      <c r="P208" s="80" t="str">
        <f>IFERROR(VLOOKUP(G208,'G-1 All Habitats'!$B$2:$M$130,12,FALSE),"")</f>
        <v/>
      </c>
      <c r="Q208" s="81" t="str">
        <f>IFERROR(IF(P208="","",IF(AND(P208='G-1 All Habitats'!$X$3,T208&gt;0),U208+V208,IF(AND(P208='G-1 All Habitats'!$X$3,S208&gt;0),U208+V208,IF(AND(P208='G-1 All Habitats'!$X$3,AC208&gt;0),"Any Loss Unacceptable",IF(AND(P208='G-1 All Habitats'!$X$3,W208&gt;0),"Any Loss Unacceptable",H208*J208*L208*O208))))),"Check Data")</f>
        <v/>
      </c>
      <c r="R208" s="55"/>
      <c r="S208" s="79"/>
      <c r="T208" s="82"/>
      <c r="U208" s="83" t="str">
        <f t="shared" si="18"/>
        <v/>
      </c>
      <c r="V208" s="83" t="str">
        <f t="shared" si="19"/>
        <v/>
      </c>
      <c r="W208" s="83" t="str">
        <f>IF(E208="","",IF(H208&lt;S208+T208,"Error in Areas",IF(P208&lt;&gt;'G-1 All Habitats'!$X$3,H208-S208-T208,IF(AND(P208='G-1 All Habitats'!$X$3,Y208="Yes"),"Unacceptable Loss",IF(AND(P208='G-1 All Habitats'!$X$3,Y208="No"),AC208,IF(AND(P208='G-1 All Habitats'!$X$3,Y208=""),AC208,IF(AND(P208='G-1 All Habitats'!$X$3,AC208="None",AC208),IF(AND(P208='G-1 All Habitats'!$X$3,AC208&gt;0),H208-S208-T208))))))))</f>
        <v/>
      </c>
      <c r="X208" s="84" t="str">
        <f>IFERROR(IF(H208="","",IF(H208-S208-T208=0&lt;0,"Error in Areas",IF(S208+T208&gt;H208,"Error in Areas",IF(AND(P208='G-1 All Habitats'!$X$3,Y208="Yes"),"Alternative Compensation",IF(W208=0,0,IF(P208='G-1 All Habitats'!$X$3,"Unacceptable Loss",Q208-U208-V208)))))),"Check Data")</f>
        <v/>
      </c>
      <c r="Y208" s="82"/>
      <c r="Z208" s="92"/>
      <c r="AA208" s="93"/>
      <c r="AC208" s="87" t="str">
        <f>IF(P208="","",IF(P208='G-1 All Habitats'!$X$3,H208-S208-T208,"None"))</f>
        <v/>
      </c>
      <c r="AD208" s="88" t="str">
        <f>IFERROR(AC208*J208*L208*#REF!*O208,IF(P208="","","None"))</f>
        <v/>
      </c>
      <c r="AF208" s="59" t="str">
        <f t="shared" si="15"/>
        <v/>
      </c>
      <c r="AG208" s="59" t="str">
        <f t="shared" si="16"/>
        <v/>
      </c>
      <c r="AH208" s="59" t="str">
        <f>IF(I208="","",IF(#REF!&gt;0,TRUE,FALSE))</f>
        <v/>
      </c>
      <c r="AI208" s="59">
        <v>198</v>
      </c>
      <c r="AJ208" s="59"/>
      <c r="AK208" s="59" t="str">
        <f t="array" ref="AK208">IFERROR(INDEX($AI$11:$AI$259, MATCH(0, IF(TRUE=$AF$11:$AF$259, COUNTIF($AK$10:$AK207, $AI$11:$AI$259), ""), 0)),"")</f>
        <v/>
      </c>
      <c r="AL208" s="59" t="str">
        <f t="array" ref="AL208">IFERROR(INDEX($AI$11:$AI$259, MATCH(0, IF(TRUE=$AG$11:$AG$259, COUNTIF($AL$10:$AL207, $AI$11:$AI$259), ""), 0)),"")</f>
        <v/>
      </c>
      <c r="AM208" s="59" t="str">
        <f t="array" ref="AM208">IFERROR(INDEX($AI$11:$AI$259, MATCH(0, IF(TRUE=$AH$11:$AH$259, COUNTIF($AM$10:$AM207, $AI$11:$AI$259), ""), 0)),"")</f>
        <v/>
      </c>
      <c r="AN208" s="59"/>
      <c r="AQ208" s="52">
        <f t="shared" si="17"/>
        <v>0</v>
      </c>
    </row>
    <row r="209" spans="1:43" x14ac:dyDescent="0.25">
      <c r="A209" s="52" t="str">
        <f>IFERROR(INDEX('G-1 All Habitats'!$AG$3:$AG$15,MATCH(E209,'G-1 All Habitats'!$AF$3:$AF$15,0)),"")</f>
        <v/>
      </c>
      <c r="B209" s="52" t="str">
        <f>IFERROR(INDEX('G-8 Condition Look up'!$I$4:$I$131,MATCH(G209,'G-8 Condition Look up'!$A$4:$A$131,0)),"")</f>
        <v/>
      </c>
      <c r="D209" s="89">
        <v>199</v>
      </c>
      <c r="E209" s="90"/>
      <c r="F209" s="91"/>
      <c r="G209" s="75" t="str">
        <f>IFERROR(INDEX('G-1 All Habitats'!$B$3:$B$130,MATCH(F209,'G-1 All Habitats'!$A$3:$A$130,0)),"")</f>
        <v/>
      </c>
      <c r="H209" s="76"/>
      <c r="I209" s="77" t="str">
        <f>IF(G209="","",VLOOKUP(G209,'G-1 All Habitats'!$B$2:$M$130,10,FALSE))</f>
        <v/>
      </c>
      <c r="J209" s="78" t="str">
        <f>IFERROR(VLOOKUP(I209,'G-1 All Habitats'!$V$3:$W$7,2,FALSE),"")</f>
        <v/>
      </c>
      <c r="K209" s="79"/>
      <c r="L209" s="78" t="str">
        <f>IFERROR(INDEX('G-8 Condition Look up'!$A$3:$H$131,MATCH(G209,'G-8 Condition Look up'!$A$3:$A$131,0),MATCH(K209,'G-8 Condition Look up'!$A$3:$H$3,0)),"")</f>
        <v/>
      </c>
      <c r="M209" s="79"/>
      <c r="N209" s="348" t="str">
        <f>IF(M209="","",IF(VLOOKUP(M209,'G-3 Multipliers'!$L$3:$N$6,2,FALSE)=0,"Spatial Data Missing",VLOOKUP(M209,'G-3 Multipliers'!$L$3:$N$6,2,FALSE)))</f>
        <v/>
      </c>
      <c r="O209" s="569" t="str">
        <f>IF(M209="","",IF(VLOOKUP(M209,'G-3 Multipliers'!$L$3:$N$6,3,FALSE)=0,"Spatial Data Missing",VLOOKUP(M209,'G-3 Multipliers'!$L$3:$N$6,3,FALSE)))</f>
        <v/>
      </c>
      <c r="P209" s="80" t="str">
        <f>IFERROR(VLOOKUP(G209,'G-1 All Habitats'!$B$2:$M$130,12,FALSE),"")</f>
        <v/>
      </c>
      <c r="Q209" s="81" t="str">
        <f>IFERROR(IF(P209="","",IF(AND(P209='G-1 All Habitats'!$X$3,T209&gt;0),U209+V209,IF(AND(P209='G-1 All Habitats'!$X$3,S209&gt;0),U209+V209,IF(AND(P209='G-1 All Habitats'!$X$3,AC209&gt;0),"Any Loss Unacceptable",IF(AND(P209='G-1 All Habitats'!$X$3,W209&gt;0),"Any Loss Unacceptable",H209*J209*L209*O209))))),"Check Data")</f>
        <v/>
      </c>
      <c r="R209" s="55"/>
      <c r="S209" s="79"/>
      <c r="T209" s="82"/>
      <c r="U209" s="83" t="str">
        <f t="shared" si="18"/>
        <v/>
      </c>
      <c r="V209" s="83" t="str">
        <f t="shared" si="19"/>
        <v/>
      </c>
      <c r="W209" s="83" t="str">
        <f>IF(E209="","",IF(H209&lt;S209+T209,"Error in Areas",IF(P209&lt;&gt;'G-1 All Habitats'!$X$3,H209-S209-T209,IF(AND(P209='G-1 All Habitats'!$X$3,Y209="Yes"),"Unacceptable Loss",IF(AND(P209='G-1 All Habitats'!$X$3,Y209="No"),AC209,IF(AND(P209='G-1 All Habitats'!$X$3,Y209=""),AC209,IF(AND(P209='G-1 All Habitats'!$X$3,AC209="None",AC209),IF(AND(P209='G-1 All Habitats'!$X$3,AC209&gt;0),H209-S209-T209))))))))</f>
        <v/>
      </c>
      <c r="X209" s="84" t="str">
        <f>IFERROR(IF(H209="","",IF(H209-S209-T209=0&lt;0,"Error in Areas",IF(S209+T209&gt;H209,"Error in Areas",IF(AND(P209='G-1 All Habitats'!$X$3,Y209="Yes"),"Alternative Compensation",IF(W209=0,0,IF(P209='G-1 All Habitats'!$X$3,"Unacceptable Loss",Q209-U209-V209)))))),"Check Data")</f>
        <v/>
      </c>
      <c r="Y209" s="82"/>
      <c r="Z209" s="92"/>
      <c r="AA209" s="93"/>
      <c r="AC209" s="87" t="str">
        <f>IF(P209="","",IF(P209='G-1 All Habitats'!$X$3,H209-S209-T209,"None"))</f>
        <v/>
      </c>
      <c r="AD209" s="88" t="str">
        <f>IFERROR(AC209*J209*L209*#REF!*O209,IF(P209="","","None"))</f>
        <v/>
      </c>
      <c r="AF209" s="59" t="str">
        <f t="shared" si="15"/>
        <v/>
      </c>
      <c r="AG209" s="59" t="str">
        <f t="shared" si="16"/>
        <v/>
      </c>
      <c r="AH209" s="59" t="str">
        <f>IF(I209="","",IF(#REF!&gt;0,TRUE,FALSE))</f>
        <v/>
      </c>
      <c r="AI209" s="59">
        <v>199</v>
      </c>
      <c r="AJ209" s="59"/>
      <c r="AK209" s="59" t="str">
        <f t="array" ref="AK209">IFERROR(INDEX($AI$11:$AI$259, MATCH(0, IF(TRUE=$AF$11:$AF$259, COUNTIF($AK$10:$AK208, $AI$11:$AI$259), ""), 0)),"")</f>
        <v/>
      </c>
      <c r="AL209" s="59" t="str">
        <f t="array" ref="AL209">IFERROR(INDEX($AI$11:$AI$259, MATCH(0, IF(TRUE=$AG$11:$AG$259, COUNTIF($AL$10:$AL208, $AI$11:$AI$259), ""), 0)),"")</f>
        <v/>
      </c>
      <c r="AM209" s="59" t="str">
        <f t="array" ref="AM209">IFERROR(INDEX($AI$11:$AI$259, MATCH(0, IF(TRUE=$AH$11:$AH$259, COUNTIF($AM$10:$AM208, $AI$11:$AI$259), ""), 0)),"")</f>
        <v/>
      </c>
      <c r="AN209" s="59"/>
      <c r="AQ209" s="52">
        <f t="shared" si="17"/>
        <v>0</v>
      </c>
    </row>
    <row r="210" spans="1:43" x14ac:dyDescent="0.25">
      <c r="A210" s="52" t="str">
        <f>IFERROR(INDEX('G-1 All Habitats'!$AG$3:$AG$15,MATCH(E210,'G-1 All Habitats'!$AF$3:$AF$15,0)),"")</f>
        <v/>
      </c>
      <c r="B210" s="52" t="str">
        <f>IFERROR(INDEX('G-8 Condition Look up'!$I$4:$I$131,MATCH(G210,'G-8 Condition Look up'!$A$4:$A$131,0)),"")</f>
        <v/>
      </c>
      <c r="D210" s="89">
        <v>200</v>
      </c>
      <c r="E210" s="90"/>
      <c r="F210" s="91"/>
      <c r="G210" s="75" t="str">
        <f>IFERROR(INDEX('G-1 All Habitats'!$B$3:$B$130,MATCH(F210,'G-1 All Habitats'!$A$3:$A$130,0)),"")</f>
        <v/>
      </c>
      <c r="H210" s="76"/>
      <c r="I210" s="77" t="str">
        <f>IF(G210="","",VLOOKUP(G210,'G-1 All Habitats'!$B$2:$M$130,10,FALSE))</f>
        <v/>
      </c>
      <c r="J210" s="78" t="str">
        <f>IFERROR(VLOOKUP(I210,'G-1 All Habitats'!$V$3:$W$7,2,FALSE),"")</f>
        <v/>
      </c>
      <c r="K210" s="79"/>
      <c r="L210" s="78" t="str">
        <f>IFERROR(INDEX('G-8 Condition Look up'!$A$3:$H$131,MATCH(G210,'G-8 Condition Look up'!$A$3:$A$131,0),MATCH(K210,'G-8 Condition Look up'!$A$3:$H$3,0)),"")</f>
        <v/>
      </c>
      <c r="M210" s="79"/>
      <c r="N210" s="348" t="str">
        <f>IF(M210="","",IF(VLOOKUP(M210,'G-3 Multipliers'!$L$3:$N$6,2,FALSE)=0,"Spatial Data Missing",VLOOKUP(M210,'G-3 Multipliers'!$L$3:$N$6,2,FALSE)))</f>
        <v/>
      </c>
      <c r="O210" s="569" t="str">
        <f>IF(M210="","",IF(VLOOKUP(M210,'G-3 Multipliers'!$L$3:$N$6,3,FALSE)=0,"Spatial Data Missing",VLOOKUP(M210,'G-3 Multipliers'!$L$3:$N$6,3,FALSE)))</f>
        <v/>
      </c>
      <c r="P210" s="80" t="str">
        <f>IFERROR(VLOOKUP(G210,'G-1 All Habitats'!$B$2:$M$130,12,FALSE),"")</f>
        <v/>
      </c>
      <c r="Q210" s="81" t="str">
        <f>IFERROR(IF(P210="","",IF(AND(P210='G-1 All Habitats'!$X$3,T210&gt;0),U210+V210,IF(AND(P210='G-1 All Habitats'!$X$3,S210&gt;0),U210+V210,IF(AND(P210='G-1 All Habitats'!$X$3,AC210&gt;0),"Any Loss Unacceptable",IF(AND(P210='G-1 All Habitats'!$X$3,W210&gt;0),"Any Loss Unacceptable",H210*J210*L210*O210))))),"Check Data")</f>
        <v/>
      </c>
      <c r="R210" s="55"/>
      <c r="S210" s="79"/>
      <c r="T210" s="82"/>
      <c r="U210" s="83" t="str">
        <f t="shared" si="18"/>
        <v/>
      </c>
      <c r="V210" s="83" t="str">
        <f t="shared" si="19"/>
        <v/>
      </c>
      <c r="W210" s="83" t="str">
        <f>IF(E210="","",IF(H210&lt;S210+T210,"Error in Areas",IF(P210&lt;&gt;'G-1 All Habitats'!$X$3,H210-S210-T210,IF(AND(P210='G-1 All Habitats'!$X$3,Y210="Yes"),"Unacceptable Loss",IF(AND(P210='G-1 All Habitats'!$X$3,Y210="No"),AC210,IF(AND(P210='G-1 All Habitats'!$X$3,Y210=""),AC210,IF(AND(P210='G-1 All Habitats'!$X$3,AC210="None",AC210),IF(AND(P210='G-1 All Habitats'!$X$3,AC210&gt;0),H210-S210-T210))))))))</f>
        <v/>
      </c>
      <c r="X210" s="84" t="str">
        <f>IFERROR(IF(H210="","",IF(H210-S210-T210=0&lt;0,"Error in Areas",IF(S210+T210&gt;H210,"Error in Areas",IF(AND(P210='G-1 All Habitats'!$X$3,Y210="Yes"),"Alternative Compensation",IF(W210=0,0,IF(P210='G-1 All Habitats'!$X$3,"Unacceptable Loss",Q210-U210-V210)))))),"Check Data")</f>
        <v/>
      </c>
      <c r="Y210" s="82"/>
      <c r="Z210" s="92"/>
      <c r="AA210" s="93"/>
      <c r="AC210" s="87" t="str">
        <f>IF(P210="","",IF(P210='G-1 All Habitats'!$X$3,H210-S210-T210,"None"))</f>
        <v/>
      </c>
      <c r="AD210" s="88" t="str">
        <f>IFERROR(AC210*J210*L210*#REF!*O210,IF(P210="","","None"))</f>
        <v/>
      </c>
      <c r="AF210" s="59" t="str">
        <f t="shared" si="15"/>
        <v/>
      </c>
      <c r="AG210" s="59" t="str">
        <f t="shared" si="16"/>
        <v/>
      </c>
      <c r="AH210" s="59" t="str">
        <f>IF(I210="","",IF(#REF!&gt;0,TRUE,FALSE))</f>
        <v/>
      </c>
      <c r="AI210" s="59">
        <v>200</v>
      </c>
      <c r="AJ210" s="59"/>
      <c r="AK210" s="59" t="str">
        <f t="array" ref="AK210">IFERROR(INDEX($AI$11:$AI$259, MATCH(0, IF(TRUE=$AF$11:$AF$259, COUNTIF($AK$10:$AK209, $AI$11:$AI$259), ""), 0)),"")</f>
        <v/>
      </c>
      <c r="AL210" s="59" t="str">
        <f t="array" ref="AL210">IFERROR(INDEX($AI$11:$AI$259, MATCH(0, IF(TRUE=$AG$11:$AG$259, COUNTIF($AL$10:$AL209, $AI$11:$AI$259), ""), 0)),"")</f>
        <v/>
      </c>
      <c r="AM210" s="59" t="str">
        <f t="array" ref="AM210">IFERROR(INDEX($AI$11:$AI$259, MATCH(0, IF(TRUE=$AH$11:$AH$259, COUNTIF($AM$10:$AM209, $AI$11:$AI$259), ""), 0)),"")</f>
        <v/>
      </c>
      <c r="AN210" s="59"/>
      <c r="AQ210" s="52">
        <f t="shared" si="17"/>
        <v>0</v>
      </c>
    </row>
    <row r="211" spans="1:43" x14ac:dyDescent="0.25">
      <c r="A211" s="52" t="str">
        <f>IFERROR(INDEX('G-1 All Habitats'!$AG$3:$AG$15,MATCH(E211,'G-1 All Habitats'!$AF$3:$AF$15,0)),"")</f>
        <v/>
      </c>
      <c r="B211" s="52" t="str">
        <f>IFERROR(INDEX('G-8 Condition Look up'!$I$4:$I$131,MATCH(G211,'G-8 Condition Look up'!$A$4:$A$131,0)),"")</f>
        <v/>
      </c>
      <c r="D211" s="89">
        <v>201</v>
      </c>
      <c r="E211" s="90"/>
      <c r="F211" s="91"/>
      <c r="G211" s="75" t="str">
        <f>IFERROR(INDEX('G-1 All Habitats'!$B$3:$B$130,MATCH(F211,'G-1 All Habitats'!$A$3:$A$130,0)),"")</f>
        <v/>
      </c>
      <c r="H211" s="76"/>
      <c r="I211" s="77" t="str">
        <f>IF(G211="","",VLOOKUP(G211,'G-1 All Habitats'!$B$2:$M$130,10,FALSE))</f>
        <v/>
      </c>
      <c r="J211" s="78" t="str">
        <f>IFERROR(VLOOKUP(I211,'G-1 All Habitats'!$V$3:$W$7,2,FALSE),"")</f>
        <v/>
      </c>
      <c r="K211" s="79"/>
      <c r="L211" s="78" t="str">
        <f>IFERROR(INDEX('G-8 Condition Look up'!$A$3:$H$131,MATCH(G211,'G-8 Condition Look up'!$A$3:$A$131,0),MATCH(K211,'G-8 Condition Look up'!$A$3:$H$3,0)),"")</f>
        <v/>
      </c>
      <c r="M211" s="79"/>
      <c r="N211" s="348" t="str">
        <f>IF(M211="","",IF(VLOOKUP(M211,'G-3 Multipliers'!$L$3:$N$6,2,FALSE)=0,"Spatial Data Missing",VLOOKUP(M211,'G-3 Multipliers'!$L$3:$N$6,2,FALSE)))</f>
        <v/>
      </c>
      <c r="O211" s="569" t="str">
        <f>IF(M211="","",IF(VLOOKUP(M211,'G-3 Multipliers'!$L$3:$N$6,3,FALSE)=0,"Spatial Data Missing",VLOOKUP(M211,'G-3 Multipliers'!$L$3:$N$6,3,FALSE)))</f>
        <v/>
      </c>
      <c r="P211" s="80" t="str">
        <f>IFERROR(VLOOKUP(G211,'G-1 All Habitats'!$B$2:$M$130,12,FALSE),"")</f>
        <v/>
      </c>
      <c r="Q211" s="81" t="str">
        <f>IFERROR(IF(P211="","",IF(AND(P211='G-1 All Habitats'!$X$3,T211&gt;0),U211+V211,IF(AND(P211='G-1 All Habitats'!$X$3,S211&gt;0),U211+V211,IF(AND(P211='G-1 All Habitats'!$X$3,AC211&gt;0),"Any Loss Unacceptable",IF(AND(P211='G-1 All Habitats'!$X$3,W211&gt;0),"Any Loss Unacceptable",H211*J211*L211*O211))))),"Check Data")</f>
        <v/>
      </c>
      <c r="R211" s="55"/>
      <c r="S211" s="79"/>
      <c r="T211" s="82"/>
      <c r="U211" s="83" t="str">
        <f t="shared" si="18"/>
        <v/>
      </c>
      <c r="V211" s="83" t="str">
        <f t="shared" si="19"/>
        <v/>
      </c>
      <c r="W211" s="83" t="str">
        <f>IF(E211="","",IF(H211&lt;S211+T211,"Error in Areas",IF(P211&lt;&gt;'G-1 All Habitats'!$X$3,H211-S211-T211,IF(AND(P211='G-1 All Habitats'!$X$3,Y211="Yes"),"Unacceptable Loss",IF(AND(P211='G-1 All Habitats'!$X$3,Y211="No"),AC211,IF(AND(P211='G-1 All Habitats'!$X$3,Y211=""),AC211,IF(AND(P211='G-1 All Habitats'!$X$3,AC211="None",AC211),IF(AND(P211='G-1 All Habitats'!$X$3,AC211&gt;0),H211-S211-T211))))))))</f>
        <v/>
      </c>
      <c r="X211" s="84" t="str">
        <f>IFERROR(IF(H211="","",IF(H211-S211-T211=0&lt;0,"Error in Areas",IF(S211+T211&gt;H211,"Error in Areas",IF(AND(P211='G-1 All Habitats'!$X$3,Y211="Yes"),"Alternative Compensation",IF(W211=0,0,IF(P211='G-1 All Habitats'!$X$3,"Unacceptable Loss",Q211-U211-V211)))))),"Check Data")</f>
        <v/>
      </c>
      <c r="Y211" s="82"/>
      <c r="Z211" s="92"/>
      <c r="AA211" s="93"/>
      <c r="AC211" s="87" t="str">
        <f>IF(P211="","",IF(P211='G-1 All Habitats'!$X$3,H211-S211-T211,"None"))</f>
        <v/>
      </c>
      <c r="AD211" s="88" t="str">
        <f>IFERROR(AC211*J211*L211*#REF!*O211,IF(P211="","","None"))</f>
        <v/>
      </c>
      <c r="AF211" s="59" t="str">
        <f t="shared" si="15"/>
        <v/>
      </c>
      <c r="AG211" s="59" t="str">
        <f t="shared" si="16"/>
        <v/>
      </c>
      <c r="AH211" s="59" t="str">
        <f>IF(I211="","",IF(#REF!&gt;0,TRUE,FALSE))</f>
        <v/>
      </c>
      <c r="AI211" s="59">
        <v>201</v>
      </c>
      <c r="AJ211" s="59"/>
      <c r="AK211" s="59" t="str">
        <f t="array" ref="AK211">IFERROR(INDEX($AI$11:$AI$259, MATCH(0, IF(TRUE=$AF$11:$AF$259, COUNTIF($AK$10:$AK210, $AI$11:$AI$259), ""), 0)),"")</f>
        <v/>
      </c>
      <c r="AL211" s="59" t="str">
        <f t="array" ref="AL211">IFERROR(INDEX($AI$11:$AI$259, MATCH(0, IF(TRUE=$AG$11:$AG$259, COUNTIF($AL$10:$AL210, $AI$11:$AI$259), ""), 0)),"")</f>
        <v/>
      </c>
      <c r="AM211" s="59" t="str">
        <f t="array" ref="AM211">IFERROR(INDEX($AI$11:$AI$259, MATCH(0, IF(TRUE=$AH$11:$AH$259, COUNTIF($AM$10:$AM210, $AI$11:$AI$259), ""), 0)),"")</f>
        <v/>
      </c>
      <c r="AN211" s="59"/>
      <c r="AQ211" s="52">
        <f t="shared" si="17"/>
        <v>0</v>
      </c>
    </row>
    <row r="212" spans="1:43" x14ac:dyDescent="0.25">
      <c r="A212" s="52" t="str">
        <f>IFERROR(INDEX('G-1 All Habitats'!$AG$3:$AG$15,MATCH(E212,'G-1 All Habitats'!$AF$3:$AF$15,0)),"")</f>
        <v/>
      </c>
      <c r="B212" s="52" t="str">
        <f>IFERROR(INDEX('G-8 Condition Look up'!$I$4:$I$131,MATCH(G212,'G-8 Condition Look up'!$A$4:$A$131,0)),"")</f>
        <v/>
      </c>
      <c r="D212" s="89">
        <v>202</v>
      </c>
      <c r="E212" s="90"/>
      <c r="F212" s="91"/>
      <c r="G212" s="75" t="str">
        <f>IFERROR(INDEX('G-1 All Habitats'!$B$3:$B$130,MATCH(F212,'G-1 All Habitats'!$A$3:$A$130,0)),"")</f>
        <v/>
      </c>
      <c r="H212" s="76"/>
      <c r="I212" s="77" t="str">
        <f>IF(G212="","",VLOOKUP(G212,'G-1 All Habitats'!$B$2:$M$130,10,FALSE))</f>
        <v/>
      </c>
      <c r="J212" s="78" t="str">
        <f>IFERROR(VLOOKUP(I212,'G-1 All Habitats'!$V$3:$W$7,2,FALSE),"")</f>
        <v/>
      </c>
      <c r="K212" s="79"/>
      <c r="L212" s="78" t="str">
        <f>IFERROR(INDEX('G-8 Condition Look up'!$A$3:$H$131,MATCH(G212,'G-8 Condition Look up'!$A$3:$A$131,0),MATCH(K212,'G-8 Condition Look up'!$A$3:$H$3,0)),"")</f>
        <v/>
      </c>
      <c r="M212" s="79"/>
      <c r="N212" s="348" t="str">
        <f>IF(M212="","",IF(VLOOKUP(M212,'G-3 Multipliers'!$L$3:$N$6,2,FALSE)=0,"Spatial Data Missing",VLOOKUP(M212,'G-3 Multipliers'!$L$3:$N$6,2,FALSE)))</f>
        <v/>
      </c>
      <c r="O212" s="569" t="str">
        <f>IF(M212="","",IF(VLOOKUP(M212,'G-3 Multipliers'!$L$3:$N$6,3,FALSE)=0,"Spatial Data Missing",VLOOKUP(M212,'G-3 Multipliers'!$L$3:$N$6,3,FALSE)))</f>
        <v/>
      </c>
      <c r="P212" s="80" t="str">
        <f>IFERROR(VLOOKUP(G212,'G-1 All Habitats'!$B$2:$M$130,12,FALSE),"")</f>
        <v/>
      </c>
      <c r="Q212" s="81" t="str">
        <f>IFERROR(IF(P212="","",IF(AND(P212='G-1 All Habitats'!$X$3,T212&gt;0),U212+V212,IF(AND(P212='G-1 All Habitats'!$X$3,S212&gt;0),U212+V212,IF(AND(P212='G-1 All Habitats'!$X$3,AC212&gt;0),"Any Loss Unacceptable",IF(AND(P212='G-1 All Habitats'!$X$3,W212&gt;0),"Any Loss Unacceptable",H212*J212*L212*O212))))),"Check Data")</f>
        <v/>
      </c>
      <c r="R212" s="55"/>
      <c r="S212" s="79"/>
      <c r="T212" s="82"/>
      <c r="U212" s="83" t="str">
        <f t="shared" si="18"/>
        <v/>
      </c>
      <c r="V212" s="83" t="str">
        <f t="shared" si="19"/>
        <v/>
      </c>
      <c r="W212" s="83" t="str">
        <f>IF(E212="","",IF(H212&lt;S212+T212,"Error in Areas",IF(P212&lt;&gt;'G-1 All Habitats'!$X$3,H212-S212-T212,IF(AND(P212='G-1 All Habitats'!$X$3,Y212="Yes"),"Unacceptable Loss",IF(AND(P212='G-1 All Habitats'!$X$3,Y212="No"),AC212,IF(AND(P212='G-1 All Habitats'!$X$3,Y212=""),AC212,IF(AND(P212='G-1 All Habitats'!$X$3,AC212="None",AC212),IF(AND(P212='G-1 All Habitats'!$X$3,AC212&gt;0),H212-S212-T212))))))))</f>
        <v/>
      </c>
      <c r="X212" s="84" t="str">
        <f>IFERROR(IF(H212="","",IF(H212-S212-T212=0&lt;0,"Error in Areas",IF(S212+T212&gt;H212,"Error in Areas",IF(AND(P212='G-1 All Habitats'!$X$3,Y212="Yes"),"Alternative Compensation",IF(W212=0,0,IF(P212='G-1 All Habitats'!$X$3,"Unacceptable Loss",Q212-U212-V212)))))),"Check Data")</f>
        <v/>
      </c>
      <c r="Y212" s="82"/>
      <c r="Z212" s="92"/>
      <c r="AA212" s="93"/>
      <c r="AC212" s="87" t="str">
        <f>IF(P212="","",IF(P212='G-1 All Habitats'!$X$3,H212-S212-T212,"None"))</f>
        <v/>
      </c>
      <c r="AD212" s="88" t="str">
        <f>IFERROR(AC212*J212*L212*#REF!*O212,IF(P212="","","None"))</f>
        <v/>
      </c>
      <c r="AF212" s="59" t="str">
        <f t="shared" si="15"/>
        <v/>
      </c>
      <c r="AG212" s="59" t="str">
        <f t="shared" si="16"/>
        <v/>
      </c>
      <c r="AH212" s="59" t="str">
        <f>IF(I212="","",IF(#REF!&gt;0,TRUE,FALSE))</f>
        <v/>
      </c>
      <c r="AI212" s="59">
        <v>202</v>
      </c>
      <c r="AJ212" s="59"/>
      <c r="AK212" s="59" t="str">
        <f t="array" ref="AK212">IFERROR(INDEX($AI$11:$AI$259, MATCH(0, IF(TRUE=$AF$11:$AF$259, COUNTIF($AK$10:$AK211, $AI$11:$AI$259), ""), 0)),"")</f>
        <v/>
      </c>
      <c r="AL212" s="59" t="str">
        <f t="array" ref="AL212">IFERROR(INDEX($AI$11:$AI$259, MATCH(0, IF(TRUE=$AG$11:$AG$259, COUNTIF($AL$10:$AL211, $AI$11:$AI$259), ""), 0)),"")</f>
        <v/>
      </c>
      <c r="AM212" s="59" t="str">
        <f t="array" ref="AM212">IFERROR(INDEX($AI$11:$AI$259, MATCH(0, IF(TRUE=$AH$11:$AH$259, COUNTIF($AM$10:$AM211, $AI$11:$AI$259), ""), 0)),"")</f>
        <v/>
      </c>
      <c r="AN212" s="59"/>
      <c r="AQ212" s="52">
        <f t="shared" si="17"/>
        <v>0</v>
      </c>
    </row>
    <row r="213" spans="1:43" x14ac:dyDescent="0.25">
      <c r="A213" s="52" t="str">
        <f>IFERROR(INDEX('G-1 All Habitats'!$AG$3:$AG$15,MATCH(E213,'G-1 All Habitats'!$AF$3:$AF$15,0)),"")</f>
        <v/>
      </c>
      <c r="B213" s="52" t="str">
        <f>IFERROR(INDEX('G-8 Condition Look up'!$I$4:$I$131,MATCH(G213,'G-8 Condition Look up'!$A$4:$A$131,0)),"")</f>
        <v/>
      </c>
      <c r="D213" s="89">
        <v>203</v>
      </c>
      <c r="E213" s="90"/>
      <c r="F213" s="91"/>
      <c r="G213" s="75" t="str">
        <f>IFERROR(INDEX('G-1 All Habitats'!$B$3:$B$130,MATCH(F213,'G-1 All Habitats'!$A$3:$A$130,0)),"")</f>
        <v/>
      </c>
      <c r="H213" s="76"/>
      <c r="I213" s="77" t="str">
        <f>IF(G213="","",VLOOKUP(G213,'G-1 All Habitats'!$B$2:$M$130,10,FALSE))</f>
        <v/>
      </c>
      <c r="J213" s="78" t="str">
        <f>IFERROR(VLOOKUP(I213,'G-1 All Habitats'!$V$3:$W$7,2,FALSE),"")</f>
        <v/>
      </c>
      <c r="K213" s="79"/>
      <c r="L213" s="78" t="str">
        <f>IFERROR(INDEX('G-8 Condition Look up'!$A$3:$H$131,MATCH(G213,'G-8 Condition Look up'!$A$3:$A$131,0),MATCH(K213,'G-8 Condition Look up'!$A$3:$H$3,0)),"")</f>
        <v/>
      </c>
      <c r="M213" s="79"/>
      <c r="N213" s="348" t="str">
        <f>IF(M213="","",IF(VLOOKUP(M213,'G-3 Multipliers'!$L$3:$N$6,2,FALSE)=0,"Spatial Data Missing",VLOOKUP(M213,'G-3 Multipliers'!$L$3:$N$6,2,FALSE)))</f>
        <v/>
      </c>
      <c r="O213" s="569" t="str">
        <f>IF(M213="","",IF(VLOOKUP(M213,'G-3 Multipliers'!$L$3:$N$6,3,FALSE)=0,"Spatial Data Missing",VLOOKUP(M213,'G-3 Multipliers'!$L$3:$N$6,3,FALSE)))</f>
        <v/>
      </c>
      <c r="P213" s="80" t="str">
        <f>IFERROR(VLOOKUP(G213,'G-1 All Habitats'!$B$2:$M$130,12,FALSE),"")</f>
        <v/>
      </c>
      <c r="Q213" s="81" t="str">
        <f>IFERROR(IF(P213="","",IF(AND(P213='G-1 All Habitats'!$X$3,T213&gt;0),U213+V213,IF(AND(P213='G-1 All Habitats'!$X$3,S213&gt;0),U213+V213,IF(AND(P213='G-1 All Habitats'!$X$3,AC213&gt;0),"Any Loss Unacceptable",IF(AND(P213='G-1 All Habitats'!$X$3,W213&gt;0),"Any Loss Unacceptable",H213*J213*L213*O213))))),"Check Data")</f>
        <v/>
      </c>
      <c r="R213" s="55"/>
      <c r="S213" s="79"/>
      <c r="T213" s="82"/>
      <c r="U213" s="83" t="str">
        <f t="shared" si="18"/>
        <v/>
      </c>
      <c r="V213" s="83" t="str">
        <f t="shared" si="19"/>
        <v/>
      </c>
      <c r="W213" s="83" t="str">
        <f>IF(E213="","",IF(H213&lt;S213+T213,"Error in Areas",IF(P213&lt;&gt;'G-1 All Habitats'!$X$3,H213-S213-T213,IF(AND(P213='G-1 All Habitats'!$X$3,Y213="Yes"),"Unacceptable Loss",IF(AND(P213='G-1 All Habitats'!$X$3,Y213="No"),AC213,IF(AND(P213='G-1 All Habitats'!$X$3,Y213=""),AC213,IF(AND(P213='G-1 All Habitats'!$X$3,AC213="None",AC213),IF(AND(P213='G-1 All Habitats'!$X$3,AC213&gt;0),H213-S213-T213))))))))</f>
        <v/>
      </c>
      <c r="X213" s="84" t="str">
        <f>IFERROR(IF(H213="","",IF(H213-S213-T213=0&lt;0,"Error in Areas",IF(S213+T213&gt;H213,"Error in Areas",IF(AND(P213='G-1 All Habitats'!$X$3,Y213="Yes"),"Alternative Compensation",IF(W213=0,0,IF(P213='G-1 All Habitats'!$X$3,"Unacceptable Loss",Q213-U213-V213)))))),"Check Data")</f>
        <v/>
      </c>
      <c r="Y213" s="82"/>
      <c r="Z213" s="92"/>
      <c r="AA213" s="93"/>
      <c r="AC213" s="87" t="str">
        <f>IF(P213="","",IF(P213='G-1 All Habitats'!$X$3,H213-S213-T213,"None"))</f>
        <v/>
      </c>
      <c r="AD213" s="88" t="str">
        <f>IFERROR(AC213*J213*L213*#REF!*O213,IF(P213="","","None"))</f>
        <v/>
      </c>
      <c r="AF213" s="59" t="str">
        <f t="shared" si="15"/>
        <v/>
      </c>
      <c r="AG213" s="59" t="str">
        <f t="shared" si="16"/>
        <v/>
      </c>
      <c r="AH213" s="59" t="str">
        <f>IF(I213="","",IF(#REF!&gt;0,TRUE,FALSE))</f>
        <v/>
      </c>
      <c r="AI213" s="59">
        <v>203</v>
      </c>
      <c r="AJ213" s="59"/>
      <c r="AK213" s="59" t="str">
        <f t="array" ref="AK213">IFERROR(INDEX($AI$11:$AI$259, MATCH(0, IF(TRUE=$AF$11:$AF$259, COUNTIF($AK$10:$AK212, $AI$11:$AI$259), ""), 0)),"")</f>
        <v/>
      </c>
      <c r="AL213" s="59" t="str">
        <f t="array" ref="AL213">IFERROR(INDEX($AI$11:$AI$259, MATCH(0, IF(TRUE=$AG$11:$AG$259, COUNTIF($AL$10:$AL212, $AI$11:$AI$259), ""), 0)),"")</f>
        <v/>
      </c>
      <c r="AM213" s="59" t="str">
        <f t="array" ref="AM213">IFERROR(INDEX($AI$11:$AI$259, MATCH(0, IF(TRUE=$AH$11:$AH$259, COUNTIF($AM$10:$AM212, $AI$11:$AI$259), ""), 0)),"")</f>
        <v/>
      </c>
      <c r="AN213" s="59"/>
      <c r="AQ213" s="52">
        <f t="shared" si="17"/>
        <v>0</v>
      </c>
    </row>
    <row r="214" spans="1:43" x14ac:dyDescent="0.25">
      <c r="A214" s="52" t="str">
        <f>IFERROR(INDEX('G-1 All Habitats'!$AG$3:$AG$15,MATCH(E214,'G-1 All Habitats'!$AF$3:$AF$15,0)),"")</f>
        <v/>
      </c>
      <c r="B214" s="52" t="str">
        <f>IFERROR(INDEX('G-8 Condition Look up'!$I$4:$I$131,MATCH(G214,'G-8 Condition Look up'!$A$4:$A$131,0)),"")</f>
        <v/>
      </c>
      <c r="D214" s="89">
        <v>204</v>
      </c>
      <c r="E214" s="90"/>
      <c r="F214" s="91"/>
      <c r="G214" s="75" t="str">
        <f>IFERROR(INDEX('G-1 All Habitats'!$B$3:$B$130,MATCH(F214,'G-1 All Habitats'!$A$3:$A$130,0)),"")</f>
        <v/>
      </c>
      <c r="H214" s="76"/>
      <c r="I214" s="77" t="str">
        <f>IF(G214="","",VLOOKUP(G214,'G-1 All Habitats'!$B$2:$M$130,10,FALSE))</f>
        <v/>
      </c>
      <c r="J214" s="78" t="str">
        <f>IFERROR(VLOOKUP(I214,'G-1 All Habitats'!$V$3:$W$7,2,FALSE),"")</f>
        <v/>
      </c>
      <c r="K214" s="79"/>
      <c r="L214" s="78" t="str">
        <f>IFERROR(INDEX('G-8 Condition Look up'!$A$3:$H$131,MATCH(G214,'G-8 Condition Look up'!$A$3:$A$131,0),MATCH(K214,'G-8 Condition Look up'!$A$3:$H$3,0)),"")</f>
        <v/>
      </c>
      <c r="M214" s="79"/>
      <c r="N214" s="348" t="str">
        <f>IF(M214="","",IF(VLOOKUP(M214,'G-3 Multipliers'!$L$3:$N$6,2,FALSE)=0,"Spatial Data Missing",VLOOKUP(M214,'G-3 Multipliers'!$L$3:$N$6,2,FALSE)))</f>
        <v/>
      </c>
      <c r="O214" s="569" t="str">
        <f>IF(M214="","",IF(VLOOKUP(M214,'G-3 Multipliers'!$L$3:$N$6,3,FALSE)=0,"Spatial Data Missing",VLOOKUP(M214,'G-3 Multipliers'!$L$3:$N$6,3,FALSE)))</f>
        <v/>
      </c>
      <c r="P214" s="80" t="str">
        <f>IFERROR(VLOOKUP(G214,'G-1 All Habitats'!$B$2:$M$130,12,FALSE),"")</f>
        <v/>
      </c>
      <c r="Q214" s="81" t="str">
        <f>IFERROR(IF(P214="","",IF(AND(P214='G-1 All Habitats'!$X$3,T214&gt;0),U214+V214,IF(AND(P214='G-1 All Habitats'!$X$3,S214&gt;0),U214+V214,IF(AND(P214='G-1 All Habitats'!$X$3,AC214&gt;0),"Any Loss Unacceptable",IF(AND(P214='G-1 All Habitats'!$X$3,W214&gt;0),"Any Loss Unacceptable",H214*J214*L214*O214))))),"Check Data")</f>
        <v/>
      </c>
      <c r="R214" s="55"/>
      <c r="S214" s="79"/>
      <c r="T214" s="82"/>
      <c r="U214" s="83" t="str">
        <f t="shared" si="18"/>
        <v/>
      </c>
      <c r="V214" s="83" t="str">
        <f t="shared" si="19"/>
        <v/>
      </c>
      <c r="W214" s="83" t="str">
        <f>IF(E214="","",IF(H214&lt;S214+T214,"Error in Areas",IF(P214&lt;&gt;'G-1 All Habitats'!$X$3,H214-S214-T214,IF(AND(P214='G-1 All Habitats'!$X$3,Y214="Yes"),"Unacceptable Loss",IF(AND(P214='G-1 All Habitats'!$X$3,Y214="No"),AC214,IF(AND(P214='G-1 All Habitats'!$X$3,Y214=""),AC214,IF(AND(P214='G-1 All Habitats'!$X$3,AC214="None",AC214),IF(AND(P214='G-1 All Habitats'!$X$3,AC214&gt;0),H214-S214-T214))))))))</f>
        <v/>
      </c>
      <c r="X214" s="84" t="str">
        <f>IFERROR(IF(H214="","",IF(H214-S214-T214=0&lt;0,"Error in Areas",IF(S214+T214&gt;H214,"Error in Areas",IF(AND(P214='G-1 All Habitats'!$X$3,Y214="Yes"),"Alternative Compensation",IF(W214=0,0,IF(P214='G-1 All Habitats'!$X$3,"Unacceptable Loss",Q214-U214-V214)))))),"Check Data")</f>
        <v/>
      </c>
      <c r="Y214" s="82"/>
      <c r="Z214" s="92"/>
      <c r="AA214" s="93"/>
      <c r="AC214" s="87" t="str">
        <f>IF(P214="","",IF(P214='G-1 All Habitats'!$X$3,H214-S214-T214,"None"))</f>
        <v/>
      </c>
      <c r="AD214" s="88" t="str">
        <f>IFERROR(AC214*J214*L214*#REF!*O214,IF(P214="","","None"))</f>
        <v/>
      </c>
      <c r="AF214" s="59" t="str">
        <f t="shared" si="15"/>
        <v/>
      </c>
      <c r="AG214" s="59" t="str">
        <f t="shared" si="16"/>
        <v/>
      </c>
      <c r="AH214" s="59" t="str">
        <f>IF(I214="","",IF(#REF!&gt;0,TRUE,FALSE))</f>
        <v/>
      </c>
      <c r="AI214" s="59">
        <v>204</v>
      </c>
      <c r="AJ214" s="59"/>
      <c r="AK214" s="59" t="str">
        <f t="array" ref="AK214">IFERROR(INDEX($AI$11:$AI$259, MATCH(0, IF(TRUE=$AF$11:$AF$259, COUNTIF($AK$10:$AK213, $AI$11:$AI$259), ""), 0)),"")</f>
        <v/>
      </c>
      <c r="AL214" s="59" t="str">
        <f t="array" ref="AL214">IFERROR(INDEX($AI$11:$AI$259, MATCH(0, IF(TRUE=$AG$11:$AG$259, COUNTIF($AL$10:$AL213, $AI$11:$AI$259), ""), 0)),"")</f>
        <v/>
      </c>
      <c r="AM214" s="59" t="str">
        <f t="array" ref="AM214">IFERROR(INDEX($AI$11:$AI$259, MATCH(0, IF(TRUE=$AH$11:$AH$259, COUNTIF($AM$10:$AM213, $AI$11:$AI$259), ""), 0)),"")</f>
        <v/>
      </c>
      <c r="AN214" s="59"/>
      <c r="AQ214" s="52">
        <f t="shared" si="17"/>
        <v>0</v>
      </c>
    </row>
    <row r="215" spans="1:43" x14ac:dyDescent="0.25">
      <c r="A215" s="52" t="str">
        <f>IFERROR(INDEX('G-1 All Habitats'!$AG$3:$AG$15,MATCH(E215,'G-1 All Habitats'!$AF$3:$AF$15,0)),"")</f>
        <v/>
      </c>
      <c r="B215" s="52" t="str">
        <f>IFERROR(INDEX('G-8 Condition Look up'!$I$4:$I$131,MATCH(G215,'G-8 Condition Look up'!$A$4:$A$131,0)),"")</f>
        <v/>
      </c>
      <c r="D215" s="89">
        <v>205</v>
      </c>
      <c r="E215" s="90"/>
      <c r="F215" s="91"/>
      <c r="G215" s="75" t="str">
        <f>IFERROR(INDEX('G-1 All Habitats'!$B$3:$B$130,MATCH(F215,'G-1 All Habitats'!$A$3:$A$130,0)),"")</f>
        <v/>
      </c>
      <c r="H215" s="76"/>
      <c r="I215" s="77" t="str">
        <f>IF(G215="","",VLOOKUP(G215,'G-1 All Habitats'!$B$2:$M$130,10,FALSE))</f>
        <v/>
      </c>
      <c r="J215" s="78" t="str">
        <f>IFERROR(VLOOKUP(I215,'G-1 All Habitats'!$V$3:$W$7,2,FALSE),"")</f>
        <v/>
      </c>
      <c r="K215" s="79"/>
      <c r="L215" s="78" t="str">
        <f>IFERROR(INDEX('G-8 Condition Look up'!$A$3:$H$131,MATCH(G215,'G-8 Condition Look up'!$A$3:$A$131,0),MATCH(K215,'G-8 Condition Look up'!$A$3:$H$3,0)),"")</f>
        <v/>
      </c>
      <c r="M215" s="79"/>
      <c r="N215" s="348" t="str">
        <f>IF(M215="","",IF(VLOOKUP(M215,'G-3 Multipliers'!$L$3:$N$6,2,FALSE)=0,"Spatial Data Missing",VLOOKUP(M215,'G-3 Multipliers'!$L$3:$N$6,2,FALSE)))</f>
        <v/>
      </c>
      <c r="O215" s="569" t="str">
        <f>IF(M215="","",IF(VLOOKUP(M215,'G-3 Multipliers'!$L$3:$N$6,3,FALSE)=0,"Spatial Data Missing",VLOOKUP(M215,'G-3 Multipliers'!$L$3:$N$6,3,FALSE)))</f>
        <v/>
      </c>
      <c r="P215" s="80" t="str">
        <f>IFERROR(VLOOKUP(G215,'G-1 All Habitats'!$B$2:$M$130,12,FALSE),"")</f>
        <v/>
      </c>
      <c r="Q215" s="81" t="str">
        <f>IFERROR(IF(P215="","",IF(AND(P215='G-1 All Habitats'!$X$3,T215&gt;0),U215+V215,IF(AND(P215='G-1 All Habitats'!$X$3,S215&gt;0),U215+V215,IF(AND(P215='G-1 All Habitats'!$X$3,AC215&gt;0),"Any Loss Unacceptable",IF(AND(P215='G-1 All Habitats'!$X$3,W215&gt;0),"Any Loss Unacceptable",H215*J215*L215*O215))))),"Check Data")</f>
        <v/>
      </c>
      <c r="R215" s="55"/>
      <c r="S215" s="79"/>
      <c r="T215" s="82"/>
      <c r="U215" s="83" t="str">
        <f t="shared" si="18"/>
        <v/>
      </c>
      <c r="V215" s="83" t="str">
        <f t="shared" si="19"/>
        <v/>
      </c>
      <c r="W215" s="83" t="str">
        <f>IF(E215="","",IF(H215&lt;S215+T215,"Error in Areas",IF(P215&lt;&gt;'G-1 All Habitats'!$X$3,H215-S215-T215,IF(AND(P215='G-1 All Habitats'!$X$3,Y215="Yes"),"Unacceptable Loss",IF(AND(P215='G-1 All Habitats'!$X$3,Y215="No"),AC215,IF(AND(P215='G-1 All Habitats'!$X$3,Y215=""),AC215,IF(AND(P215='G-1 All Habitats'!$X$3,AC215="None",AC215),IF(AND(P215='G-1 All Habitats'!$X$3,AC215&gt;0),H215-S215-T215))))))))</f>
        <v/>
      </c>
      <c r="X215" s="84" t="str">
        <f>IFERROR(IF(H215="","",IF(H215-S215-T215=0&lt;0,"Error in Areas",IF(S215+T215&gt;H215,"Error in Areas",IF(AND(P215='G-1 All Habitats'!$X$3,Y215="Yes"),"Alternative Compensation",IF(W215=0,0,IF(P215='G-1 All Habitats'!$X$3,"Unacceptable Loss",Q215-U215-V215)))))),"Check Data")</f>
        <v/>
      </c>
      <c r="Y215" s="82"/>
      <c r="Z215" s="92"/>
      <c r="AA215" s="93"/>
      <c r="AC215" s="87" t="str">
        <f>IF(P215="","",IF(P215='G-1 All Habitats'!$X$3,H215-S215-T215,"None"))</f>
        <v/>
      </c>
      <c r="AD215" s="88" t="str">
        <f>IFERROR(AC215*J215*L215*#REF!*O215,IF(P215="","","None"))</f>
        <v/>
      </c>
      <c r="AF215" s="59" t="str">
        <f t="shared" si="15"/>
        <v/>
      </c>
      <c r="AG215" s="59" t="str">
        <f t="shared" si="16"/>
        <v/>
      </c>
      <c r="AH215" s="59" t="str">
        <f>IF(I215="","",IF(#REF!&gt;0,TRUE,FALSE))</f>
        <v/>
      </c>
      <c r="AI215" s="59">
        <v>205</v>
      </c>
      <c r="AJ215" s="59"/>
      <c r="AK215" s="59" t="str">
        <f t="array" ref="AK215">IFERROR(INDEX($AI$11:$AI$259, MATCH(0, IF(TRUE=$AF$11:$AF$259, COUNTIF($AK$10:$AK214, $AI$11:$AI$259), ""), 0)),"")</f>
        <v/>
      </c>
      <c r="AL215" s="59" t="str">
        <f t="array" ref="AL215">IFERROR(INDEX($AI$11:$AI$259, MATCH(0, IF(TRUE=$AG$11:$AG$259, COUNTIF($AL$10:$AL214, $AI$11:$AI$259), ""), 0)),"")</f>
        <v/>
      </c>
      <c r="AM215" s="59" t="str">
        <f t="array" ref="AM215">IFERROR(INDEX($AI$11:$AI$259, MATCH(0, IF(TRUE=$AH$11:$AH$259, COUNTIF($AM$10:$AM214, $AI$11:$AI$259), ""), 0)),"")</f>
        <v/>
      </c>
      <c r="AN215" s="59"/>
      <c r="AQ215" s="52">
        <f t="shared" si="17"/>
        <v>0</v>
      </c>
    </row>
    <row r="216" spans="1:43" x14ac:dyDescent="0.25">
      <c r="A216" s="52" t="str">
        <f>IFERROR(INDEX('G-1 All Habitats'!$AG$3:$AG$15,MATCH(E216,'G-1 All Habitats'!$AF$3:$AF$15,0)),"")</f>
        <v/>
      </c>
      <c r="B216" s="52" t="str">
        <f>IFERROR(INDEX('G-8 Condition Look up'!$I$4:$I$131,MATCH(G216,'G-8 Condition Look up'!$A$4:$A$131,0)),"")</f>
        <v/>
      </c>
      <c r="D216" s="89">
        <v>206</v>
      </c>
      <c r="E216" s="90"/>
      <c r="F216" s="91"/>
      <c r="G216" s="75" t="str">
        <f>IFERROR(INDEX('G-1 All Habitats'!$B$3:$B$130,MATCH(F216,'G-1 All Habitats'!$A$3:$A$130,0)),"")</f>
        <v/>
      </c>
      <c r="H216" s="76"/>
      <c r="I216" s="77" t="str">
        <f>IF(G216="","",VLOOKUP(G216,'G-1 All Habitats'!$B$2:$M$130,10,FALSE))</f>
        <v/>
      </c>
      <c r="J216" s="78" t="str">
        <f>IFERROR(VLOOKUP(I216,'G-1 All Habitats'!$V$3:$W$7,2,FALSE),"")</f>
        <v/>
      </c>
      <c r="K216" s="79"/>
      <c r="L216" s="78" t="str">
        <f>IFERROR(INDEX('G-8 Condition Look up'!$A$3:$H$131,MATCH(G216,'G-8 Condition Look up'!$A$3:$A$131,0),MATCH(K216,'G-8 Condition Look up'!$A$3:$H$3,0)),"")</f>
        <v/>
      </c>
      <c r="M216" s="79"/>
      <c r="N216" s="348" t="str">
        <f>IF(M216="","",IF(VLOOKUP(M216,'G-3 Multipliers'!$L$3:$N$6,2,FALSE)=0,"Spatial Data Missing",VLOOKUP(M216,'G-3 Multipliers'!$L$3:$N$6,2,FALSE)))</f>
        <v/>
      </c>
      <c r="O216" s="569" t="str">
        <f>IF(M216="","",IF(VLOOKUP(M216,'G-3 Multipliers'!$L$3:$N$6,3,FALSE)=0,"Spatial Data Missing",VLOOKUP(M216,'G-3 Multipliers'!$L$3:$N$6,3,FALSE)))</f>
        <v/>
      </c>
      <c r="P216" s="80" t="str">
        <f>IFERROR(VLOOKUP(G216,'G-1 All Habitats'!$B$2:$M$130,12,FALSE),"")</f>
        <v/>
      </c>
      <c r="Q216" s="81" t="str">
        <f>IFERROR(IF(P216="","",IF(AND(P216='G-1 All Habitats'!$X$3,T216&gt;0),U216+V216,IF(AND(P216='G-1 All Habitats'!$X$3,S216&gt;0),U216+V216,IF(AND(P216='G-1 All Habitats'!$X$3,AC216&gt;0),"Any Loss Unacceptable",IF(AND(P216='G-1 All Habitats'!$X$3,W216&gt;0),"Any Loss Unacceptable",H216*J216*L216*O216))))),"Check Data")</f>
        <v/>
      </c>
      <c r="R216" s="55"/>
      <c r="S216" s="79"/>
      <c r="T216" s="82"/>
      <c r="U216" s="83" t="str">
        <f t="shared" si="18"/>
        <v/>
      </c>
      <c r="V216" s="83" t="str">
        <f t="shared" si="19"/>
        <v/>
      </c>
      <c r="W216" s="83" t="str">
        <f>IF(E216="","",IF(H216&lt;S216+T216,"Error in Areas",IF(P216&lt;&gt;'G-1 All Habitats'!$X$3,H216-S216-T216,IF(AND(P216='G-1 All Habitats'!$X$3,Y216="Yes"),"Unacceptable Loss",IF(AND(P216='G-1 All Habitats'!$X$3,Y216="No"),AC216,IF(AND(P216='G-1 All Habitats'!$X$3,Y216=""),AC216,IF(AND(P216='G-1 All Habitats'!$X$3,AC216="None",AC216),IF(AND(P216='G-1 All Habitats'!$X$3,AC216&gt;0),H216-S216-T216))))))))</f>
        <v/>
      </c>
      <c r="X216" s="84" t="str">
        <f>IFERROR(IF(H216="","",IF(H216-S216-T216=0&lt;0,"Error in Areas",IF(S216+T216&gt;H216,"Error in Areas",IF(AND(P216='G-1 All Habitats'!$X$3,Y216="Yes"),"Alternative Compensation",IF(W216=0,0,IF(P216='G-1 All Habitats'!$X$3,"Unacceptable Loss",Q216-U216-V216)))))),"Check Data")</f>
        <v/>
      </c>
      <c r="Y216" s="82"/>
      <c r="Z216" s="92"/>
      <c r="AA216" s="93"/>
      <c r="AC216" s="87" t="str">
        <f>IF(P216="","",IF(P216='G-1 All Habitats'!$X$3,H216-S216-T216,"None"))</f>
        <v/>
      </c>
      <c r="AD216" s="88" t="str">
        <f>IFERROR(AC216*J216*L216*#REF!*O216,IF(P216="","","None"))</f>
        <v/>
      </c>
      <c r="AF216" s="59" t="str">
        <f t="shared" si="15"/>
        <v/>
      </c>
      <c r="AG216" s="59" t="str">
        <f t="shared" si="16"/>
        <v/>
      </c>
      <c r="AH216" s="59" t="str">
        <f>IF(I216="","",IF(#REF!&gt;0,TRUE,FALSE))</f>
        <v/>
      </c>
      <c r="AI216" s="59">
        <v>206</v>
      </c>
      <c r="AJ216" s="59"/>
      <c r="AK216" s="59" t="str">
        <f t="array" ref="AK216">IFERROR(INDEX($AI$11:$AI$259, MATCH(0, IF(TRUE=$AF$11:$AF$259, COUNTIF($AK$10:$AK215, $AI$11:$AI$259), ""), 0)),"")</f>
        <v/>
      </c>
      <c r="AL216" s="59" t="str">
        <f t="array" ref="AL216">IFERROR(INDEX($AI$11:$AI$259, MATCH(0, IF(TRUE=$AG$11:$AG$259, COUNTIF($AL$10:$AL215, $AI$11:$AI$259), ""), 0)),"")</f>
        <v/>
      </c>
      <c r="AM216" s="59" t="str">
        <f t="array" ref="AM216">IFERROR(INDEX($AI$11:$AI$259, MATCH(0, IF(TRUE=$AH$11:$AH$259, COUNTIF($AM$10:$AM215, $AI$11:$AI$259), ""), 0)),"")</f>
        <v/>
      </c>
      <c r="AN216" s="59"/>
      <c r="AQ216" s="52">
        <f t="shared" si="17"/>
        <v>0</v>
      </c>
    </row>
    <row r="217" spans="1:43" x14ac:dyDescent="0.25">
      <c r="A217" s="52" t="str">
        <f>IFERROR(INDEX('G-1 All Habitats'!$AG$3:$AG$15,MATCH(E217,'G-1 All Habitats'!$AF$3:$AF$15,0)),"")</f>
        <v/>
      </c>
      <c r="B217" s="52" t="str">
        <f>IFERROR(INDEX('G-8 Condition Look up'!$I$4:$I$131,MATCH(G217,'G-8 Condition Look up'!$A$4:$A$131,0)),"")</f>
        <v/>
      </c>
      <c r="D217" s="89">
        <v>207</v>
      </c>
      <c r="E217" s="90"/>
      <c r="F217" s="91"/>
      <c r="G217" s="75" t="str">
        <f>IFERROR(INDEX('G-1 All Habitats'!$B$3:$B$130,MATCH(F217,'G-1 All Habitats'!$A$3:$A$130,0)),"")</f>
        <v/>
      </c>
      <c r="H217" s="76"/>
      <c r="I217" s="77" t="str">
        <f>IF(G217="","",VLOOKUP(G217,'G-1 All Habitats'!$B$2:$M$130,10,FALSE))</f>
        <v/>
      </c>
      <c r="J217" s="78" t="str">
        <f>IFERROR(VLOOKUP(I217,'G-1 All Habitats'!$V$3:$W$7,2,FALSE),"")</f>
        <v/>
      </c>
      <c r="K217" s="79"/>
      <c r="L217" s="78" t="str">
        <f>IFERROR(INDEX('G-8 Condition Look up'!$A$3:$H$131,MATCH(G217,'G-8 Condition Look up'!$A$3:$A$131,0),MATCH(K217,'G-8 Condition Look up'!$A$3:$H$3,0)),"")</f>
        <v/>
      </c>
      <c r="M217" s="79"/>
      <c r="N217" s="348" t="str">
        <f>IF(M217="","",IF(VLOOKUP(M217,'G-3 Multipliers'!$L$3:$N$6,2,FALSE)=0,"Spatial Data Missing",VLOOKUP(M217,'G-3 Multipliers'!$L$3:$N$6,2,FALSE)))</f>
        <v/>
      </c>
      <c r="O217" s="569" t="str">
        <f>IF(M217="","",IF(VLOOKUP(M217,'G-3 Multipliers'!$L$3:$N$6,3,FALSE)=0,"Spatial Data Missing",VLOOKUP(M217,'G-3 Multipliers'!$L$3:$N$6,3,FALSE)))</f>
        <v/>
      </c>
      <c r="P217" s="80" t="str">
        <f>IFERROR(VLOOKUP(G217,'G-1 All Habitats'!$B$2:$M$130,12,FALSE),"")</f>
        <v/>
      </c>
      <c r="Q217" s="81" t="str">
        <f>IFERROR(IF(P217="","",IF(AND(P217='G-1 All Habitats'!$X$3,T217&gt;0),U217+V217,IF(AND(P217='G-1 All Habitats'!$X$3,S217&gt;0),U217+V217,IF(AND(P217='G-1 All Habitats'!$X$3,AC217&gt;0),"Any Loss Unacceptable",IF(AND(P217='G-1 All Habitats'!$X$3,W217&gt;0),"Any Loss Unacceptable",H217*J217*L217*O217))))),"Check Data")</f>
        <v/>
      </c>
      <c r="R217" s="55"/>
      <c r="S217" s="79"/>
      <c r="T217" s="82"/>
      <c r="U217" s="83" t="str">
        <f t="shared" si="18"/>
        <v/>
      </c>
      <c r="V217" s="83" t="str">
        <f t="shared" si="19"/>
        <v/>
      </c>
      <c r="W217" s="83" t="str">
        <f>IF(E217="","",IF(H217&lt;S217+T217,"Error in Areas",IF(P217&lt;&gt;'G-1 All Habitats'!$X$3,H217-S217-T217,IF(AND(P217='G-1 All Habitats'!$X$3,Y217="Yes"),"Unacceptable Loss",IF(AND(P217='G-1 All Habitats'!$X$3,Y217="No"),AC217,IF(AND(P217='G-1 All Habitats'!$X$3,Y217=""),AC217,IF(AND(P217='G-1 All Habitats'!$X$3,AC217="None",AC217),IF(AND(P217='G-1 All Habitats'!$X$3,AC217&gt;0),H217-S217-T217))))))))</f>
        <v/>
      </c>
      <c r="X217" s="84" t="str">
        <f>IFERROR(IF(H217="","",IF(H217-S217-T217=0&lt;0,"Error in Areas",IF(S217+T217&gt;H217,"Error in Areas",IF(AND(P217='G-1 All Habitats'!$X$3,Y217="Yes"),"Alternative Compensation",IF(W217=0,0,IF(P217='G-1 All Habitats'!$X$3,"Unacceptable Loss",Q217-U217-V217)))))),"Check Data")</f>
        <v/>
      </c>
      <c r="Y217" s="82"/>
      <c r="Z217" s="92"/>
      <c r="AA217" s="93"/>
      <c r="AC217" s="87" t="str">
        <f>IF(P217="","",IF(P217='G-1 All Habitats'!$X$3,H217-S217-T217,"None"))</f>
        <v/>
      </c>
      <c r="AD217" s="88" t="str">
        <f>IFERROR(AC217*J217*L217*#REF!*O217,IF(P217="","","None"))</f>
        <v/>
      </c>
      <c r="AF217" s="59" t="str">
        <f t="shared" si="15"/>
        <v/>
      </c>
      <c r="AG217" s="59" t="str">
        <f t="shared" si="16"/>
        <v/>
      </c>
      <c r="AH217" s="59" t="str">
        <f>IF(I217="","",IF(#REF!&gt;0,TRUE,FALSE))</f>
        <v/>
      </c>
      <c r="AI217" s="59">
        <v>207</v>
      </c>
      <c r="AJ217" s="59"/>
      <c r="AK217" s="59" t="str">
        <f t="array" ref="AK217">IFERROR(INDEX($AI$11:$AI$259, MATCH(0, IF(TRUE=$AF$11:$AF$259, COUNTIF($AK$10:$AK216, $AI$11:$AI$259), ""), 0)),"")</f>
        <v/>
      </c>
      <c r="AL217" s="59" t="str">
        <f t="array" ref="AL217">IFERROR(INDEX($AI$11:$AI$259, MATCH(0, IF(TRUE=$AG$11:$AG$259, COUNTIF($AL$10:$AL216, $AI$11:$AI$259), ""), 0)),"")</f>
        <v/>
      </c>
      <c r="AM217" s="59" t="str">
        <f t="array" ref="AM217">IFERROR(INDEX($AI$11:$AI$259, MATCH(0, IF(TRUE=$AH$11:$AH$259, COUNTIF($AM$10:$AM216, $AI$11:$AI$259), ""), 0)),"")</f>
        <v/>
      </c>
      <c r="AN217" s="59"/>
      <c r="AQ217" s="52">
        <f t="shared" si="17"/>
        <v>0</v>
      </c>
    </row>
    <row r="218" spans="1:43" x14ac:dyDescent="0.25">
      <c r="A218" s="52" t="str">
        <f>IFERROR(INDEX('G-1 All Habitats'!$AG$3:$AG$15,MATCH(E218,'G-1 All Habitats'!$AF$3:$AF$15,0)),"")</f>
        <v/>
      </c>
      <c r="B218" s="52" t="str">
        <f>IFERROR(INDEX('G-8 Condition Look up'!$I$4:$I$131,MATCH(G218,'G-8 Condition Look up'!$A$4:$A$131,0)),"")</f>
        <v/>
      </c>
      <c r="D218" s="89">
        <v>208</v>
      </c>
      <c r="E218" s="90"/>
      <c r="F218" s="91"/>
      <c r="G218" s="75" t="str">
        <f>IFERROR(INDEX('G-1 All Habitats'!$B$3:$B$130,MATCH(F218,'G-1 All Habitats'!$A$3:$A$130,0)),"")</f>
        <v/>
      </c>
      <c r="H218" s="76"/>
      <c r="I218" s="77" t="str">
        <f>IF(G218="","",VLOOKUP(G218,'G-1 All Habitats'!$B$2:$M$130,10,FALSE))</f>
        <v/>
      </c>
      <c r="J218" s="78" t="str">
        <f>IFERROR(VLOOKUP(I218,'G-1 All Habitats'!$V$3:$W$7,2,FALSE),"")</f>
        <v/>
      </c>
      <c r="K218" s="79"/>
      <c r="L218" s="78" t="str">
        <f>IFERROR(INDEX('G-8 Condition Look up'!$A$3:$H$131,MATCH(G218,'G-8 Condition Look up'!$A$3:$A$131,0),MATCH(K218,'G-8 Condition Look up'!$A$3:$H$3,0)),"")</f>
        <v/>
      </c>
      <c r="M218" s="79"/>
      <c r="N218" s="348" t="str">
        <f>IF(M218="","",IF(VLOOKUP(M218,'G-3 Multipliers'!$L$3:$N$6,2,FALSE)=0,"Spatial Data Missing",VLOOKUP(M218,'G-3 Multipliers'!$L$3:$N$6,2,FALSE)))</f>
        <v/>
      </c>
      <c r="O218" s="569" t="str">
        <f>IF(M218="","",IF(VLOOKUP(M218,'G-3 Multipliers'!$L$3:$N$6,3,FALSE)=0,"Spatial Data Missing",VLOOKUP(M218,'G-3 Multipliers'!$L$3:$N$6,3,FALSE)))</f>
        <v/>
      </c>
      <c r="P218" s="80" t="str">
        <f>IFERROR(VLOOKUP(G218,'G-1 All Habitats'!$B$2:$M$130,12,FALSE),"")</f>
        <v/>
      </c>
      <c r="Q218" s="81" t="str">
        <f>IFERROR(IF(P218="","",IF(AND(P218='G-1 All Habitats'!$X$3,T218&gt;0),U218+V218,IF(AND(P218='G-1 All Habitats'!$X$3,S218&gt;0),U218+V218,IF(AND(P218='G-1 All Habitats'!$X$3,AC218&gt;0),"Any Loss Unacceptable",IF(AND(P218='G-1 All Habitats'!$X$3,W218&gt;0),"Any Loss Unacceptable",H218*J218*L218*O218))))),"Check Data")</f>
        <v/>
      </c>
      <c r="R218" s="55"/>
      <c r="S218" s="79"/>
      <c r="T218" s="82"/>
      <c r="U218" s="83" t="str">
        <f t="shared" si="18"/>
        <v/>
      </c>
      <c r="V218" s="83" t="str">
        <f t="shared" si="19"/>
        <v/>
      </c>
      <c r="W218" s="83" t="str">
        <f>IF(E218="","",IF(H218&lt;S218+T218,"Error in Areas",IF(P218&lt;&gt;'G-1 All Habitats'!$X$3,H218-S218-T218,IF(AND(P218='G-1 All Habitats'!$X$3,Y218="Yes"),"Unacceptable Loss",IF(AND(P218='G-1 All Habitats'!$X$3,Y218="No"),AC218,IF(AND(P218='G-1 All Habitats'!$X$3,Y218=""),AC218,IF(AND(P218='G-1 All Habitats'!$X$3,AC218="None",AC218),IF(AND(P218='G-1 All Habitats'!$X$3,AC218&gt;0),H218-S218-T218))))))))</f>
        <v/>
      </c>
      <c r="X218" s="84" t="str">
        <f>IFERROR(IF(H218="","",IF(H218-S218-T218=0&lt;0,"Error in Areas",IF(S218+T218&gt;H218,"Error in Areas",IF(AND(P218='G-1 All Habitats'!$X$3,Y218="Yes"),"Alternative Compensation",IF(W218=0,0,IF(P218='G-1 All Habitats'!$X$3,"Unacceptable Loss",Q218-U218-V218)))))),"Check Data")</f>
        <v/>
      </c>
      <c r="Y218" s="82"/>
      <c r="Z218" s="92"/>
      <c r="AA218" s="93"/>
      <c r="AC218" s="87" t="str">
        <f>IF(P218="","",IF(P218='G-1 All Habitats'!$X$3,H218-S218-T218,"None"))</f>
        <v/>
      </c>
      <c r="AD218" s="88" t="str">
        <f>IFERROR(AC218*J218*L218*#REF!*O218,IF(P218="","","None"))</f>
        <v/>
      </c>
      <c r="AF218" s="59" t="str">
        <f t="shared" si="15"/>
        <v/>
      </c>
      <c r="AG218" s="59" t="str">
        <f t="shared" si="16"/>
        <v/>
      </c>
      <c r="AH218" s="59" t="str">
        <f>IF(I218="","",IF(#REF!&gt;0,TRUE,FALSE))</f>
        <v/>
      </c>
      <c r="AI218" s="59">
        <v>208</v>
      </c>
      <c r="AJ218" s="59"/>
      <c r="AK218" s="59" t="str">
        <f t="array" ref="AK218">IFERROR(INDEX($AI$11:$AI$259, MATCH(0, IF(TRUE=$AF$11:$AF$259, COUNTIF($AK$10:$AK217, $AI$11:$AI$259), ""), 0)),"")</f>
        <v/>
      </c>
      <c r="AL218" s="59" t="str">
        <f t="array" ref="AL218">IFERROR(INDEX($AI$11:$AI$259, MATCH(0, IF(TRUE=$AG$11:$AG$259, COUNTIF($AL$10:$AL217, $AI$11:$AI$259), ""), 0)),"")</f>
        <v/>
      </c>
      <c r="AM218" s="59" t="str">
        <f t="array" ref="AM218">IFERROR(INDEX($AI$11:$AI$259, MATCH(0, IF(TRUE=$AH$11:$AH$259, COUNTIF($AM$10:$AM217, $AI$11:$AI$259), ""), 0)),"")</f>
        <v/>
      </c>
      <c r="AN218" s="59"/>
      <c r="AQ218" s="52">
        <f t="shared" si="17"/>
        <v>0</v>
      </c>
    </row>
    <row r="219" spans="1:43" x14ac:dyDescent="0.25">
      <c r="A219" s="52" t="str">
        <f>IFERROR(INDEX('G-1 All Habitats'!$AG$3:$AG$15,MATCH(E219,'G-1 All Habitats'!$AF$3:$AF$15,0)),"")</f>
        <v/>
      </c>
      <c r="B219" s="52" t="str">
        <f>IFERROR(INDEX('G-8 Condition Look up'!$I$4:$I$131,MATCH(G219,'G-8 Condition Look up'!$A$4:$A$131,0)),"")</f>
        <v/>
      </c>
      <c r="D219" s="89">
        <v>209</v>
      </c>
      <c r="E219" s="90"/>
      <c r="F219" s="91"/>
      <c r="G219" s="75" t="str">
        <f>IFERROR(INDEX('G-1 All Habitats'!$B$3:$B$130,MATCH(F219,'G-1 All Habitats'!$A$3:$A$130,0)),"")</f>
        <v/>
      </c>
      <c r="H219" s="76"/>
      <c r="I219" s="77" t="str">
        <f>IF(G219="","",VLOOKUP(G219,'G-1 All Habitats'!$B$2:$M$130,10,FALSE))</f>
        <v/>
      </c>
      <c r="J219" s="78" t="str">
        <f>IFERROR(VLOOKUP(I219,'G-1 All Habitats'!$V$3:$W$7,2,FALSE),"")</f>
        <v/>
      </c>
      <c r="K219" s="79"/>
      <c r="L219" s="78" t="str">
        <f>IFERROR(INDEX('G-8 Condition Look up'!$A$3:$H$131,MATCH(G219,'G-8 Condition Look up'!$A$3:$A$131,0),MATCH(K219,'G-8 Condition Look up'!$A$3:$H$3,0)),"")</f>
        <v/>
      </c>
      <c r="M219" s="79"/>
      <c r="N219" s="348" t="str">
        <f>IF(M219="","",IF(VLOOKUP(M219,'G-3 Multipliers'!$L$3:$N$6,2,FALSE)=0,"Spatial Data Missing",VLOOKUP(M219,'G-3 Multipliers'!$L$3:$N$6,2,FALSE)))</f>
        <v/>
      </c>
      <c r="O219" s="569" t="str">
        <f>IF(M219="","",IF(VLOOKUP(M219,'G-3 Multipliers'!$L$3:$N$6,3,FALSE)=0,"Spatial Data Missing",VLOOKUP(M219,'G-3 Multipliers'!$L$3:$N$6,3,FALSE)))</f>
        <v/>
      </c>
      <c r="P219" s="80" t="str">
        <f>IFERROR(VLOOKUP(G219,'G-1 All Habitats'!$B$2:$M$130,12,FALSE),"")</f>
        <v/>
      </c>
      <c r="Q219" s="81" t="str">
        <f>IFERROR(IF(P219="","",IF(AND(P219='G-1 All Habitats'!$X$3,T219&gt;0),U219+V219,IF(AND(P219='G-1 All Habitats'!$X$3,S219&gt;0),U219+V219,IF(AND(P219='G-1 All Habitats'!$X$3,AC219&gt;0),"Any Loss Unacceptable",IF(AND(P219='G-1 All Habitats'!$X$3,W219&gt;0),"Any Loss Unacceptable",H219*J219*L219*O219))))),"Check Data")</f>
        <v/>
      </c>
      <c r="R219" s="55"/>
      <c r="S219" s="79"/>
      <c r="T219" s="82"/>
      <c r="U219" s="83" t="str">
        <f t="shared" si="18"/>
        <v/>
      </c>
      <c r="V219" s="83" t="str">
        <f t="shared" si="19"/>
        <v/>
      </c>
      <c r="W219" s="83" t="str">
        <f>IF(E219="","",IF(H219&lt;S219+T219,"Error in Areas",IF(P219&lt;&gt;'G-1 All Habitats'!$X$3,H219-S219-T219,IF(AND(P219='G-1 All Habitats'!$X$3,Y219="Yes"),"Unacceptable Loss",IF(AND(P219='G-1 All Habitats'!$X$3,Y219="No"),AC219,IF(AND(P219='G-1 All Habitats'!$X$3,Y219=""),AC219,IF(AND(P219='G-1 All Habitats'!$X$3,AC219="None",AC219),IF(AND(P219='G-1 All Habitats'!$X$3,AC219&gt;0),H219-S219-T219))))))))</f>
        <v/>
      </c>
      <c r="X219" s="84" t="str">
        <f>IFERROR(IF(H219="","",IF(H219-S219-T219=0&lt;0,"Error in Areas",IF(S219+T219&gt;H219,"Error in Areas",IF(AND(P219='G-1 All Habitats'!$X$3,Y219="Yes"),"Alternative Compensation",IF(W219=0,0,IF(P219='G-1 All Habitats'!$X$3,"Unacceptable Loss",Q219-U219-V219)))))),"Check Data")</f>
        <v/>
      </c>
      <c r="Y219" s="82"/>
      <c r="Z219" s="92"/>
      <c r="AA219" s="93"/>
      <c r="AC219" s="87" t="str">
        <f>IF(P219="","",IF(P219='G-1 All Habitats'!$X$3,H219-S219-T219,"None"))</f>
        <v/>
      </c>
      <c r="AD219" s="88" t="str">
        <f>IFERROR(AC219*J219*L219*#REF!*O219,IF(P219="","","None"))</f>
        <v/>
      </c>
      <c r="AF219" s="59" t="str">
        <f t="shared" si="15"/>
        <v/>
      </c>
      <c r="AG219" s="59" t="str">
        <f t="shared" si="16"/>
        <v/>
      </c>
      <c r="AH219" s="59" t="str">
        <f>IF(I219="","",IF(#REF!&gt;0,TRUE,FALSE))</f>
        <v/>
      </c>
      <c r="AI219" s="59">
        <v>209</v>
      </c>
      <c r="AJ219" s="59"/>
      <c r="AK219" s="59" t="str">
        <f t="array" ref="AK219">IFERROR(INDEX($AI$11:$AI$259, MATCH(0, IF(TRUE=$AF$11:$AF$259, COUNTIF($AK$10:$AK218, $AI$11:$AI$259), ""), 0)),"")</f>
        <v/>
      </c>
      <c r="AL219" s="59" t="str">
        <f t="array" ref="AL219">IFERROR(INDEX($AI$11:$AI$259, MATCH(0, IF(TRUE=$AG$11:$AG$259, COUNTIF($AL$10:$AL218, $AI$11:$AI$259), ""), 0)),"")</f>
        <v/>
      </c>
      <c r="AM219" s="59" t="str">
        <f t="array" ref="AM219">IFERROR(INDEX($AI$11:$AI$259, MATCH(0, IF(TRUE=$AH$11:$AH$259, COUNTIF($AM$10:$AM218, $AI$11:$AI$259), ""), 0)),"")</f>
        <v/>
      </c>
      <c r="AN219" s="59"/>
      <c r="AQ219" s="52">
        <f t="shared" si="17"/>
        <v>0</v>
      </c>
    </row>
    <row r="220" spans="1:43" x14ac:dyDescent="0.25">
      <c r="A220" s="52" t="str">
        <f>IFERROR(INDEX('G-1 All Habitats'!$AG$3:$AG$15,MATCH(E220,'G-1 All Habitats'!$AF$3:$AF$15,0)),"")</f>
        <v/>
      </c>
      <c r="B220" s="52" t="str">
        <f>IFERROR(INDEX('G-8 Condition Look up'!$I$4:$I$131,MATCH(G220,'G-8 Condition Look up'!$A$4:$A$131,0)),"")</f>
        <v/>
      </c>
      <c r="D220" s="89">
        <v>210</v>
      </c>
      <c r="E220" s="90"/>
      <c r="F220" s="91"/>
      <c r="G220" s="75" t="str">
        <f>IFERROR(INDEX('G-1 All Habitats'!$B$3:$B$130,MATCH(F220,'G-1 All Habitats'!$A$3:$A$130,0)),"")</f>
        <v/>
      </c>
      <c r="H220" s="76"/>
      <c r="I220" s="77" t="str">
        <f>IF(G220="","",VLOOKUP(G220,'G-1 All Habitats'!$B$2:$M$130,10,FALSE))</f>
        <v/>
      </c>
      <c r="J220" s="78" t="str">
        <f>IFERROR(VLOOKUP(I220,'G-1 All Habitats'!$V$3:$W$7,2,FALSE),"")</f>
        <v/>
      </c>
      <c r="K220" s="79"/>
      <c r="L220" s="78" t="str">
        <f>IFERROR(INDEX('G-8 Condition Look up'!$A$3:$H$131,MATCH(G220,'G-8 Condition Look up'!$A$3:$A$131,0),MATCH(K220,'G-8 Condition Look up'!$A$3:$H$3,0)),"")</f>
        <v/>
      </c>
      <c r="M220" s="79"/>
      <c r="N220" s="348" t="str">
        <f>IF(M220="","",IF(VLOOKUP(M220,'G-3 Multipliers'!$L$3:$N$6,2,FALSE)=0,"Spatial Data Missing",VLOOKUP(M220,'G-3 Multipliers'!$L$3:$N$6,2,FALSE)))</f>
        <v/>
      </c>
      <c r="O220" s="569" t="str">
        <f>IF(M220="","",IF(VLOOKUP(M220,'G-3 Multipliers'!$L$3:$N$6,3,FALSE)=0,"Spatial Data Missing",VLOOKUP(M220,'G-3 Multipliers'!$L$3:$N$6,3,FALSE)))</f>
        <v/>
      </c>
      <c r="P220" s="80" t="str">
        <f>IFERROR(VLOOKUP(G220,'G-1 All Habitats'!$B$2:$M$130,12,FALSE),"")</f>
        <v/>
      </c>
      <c r="Q220" s="81" t="str">
        <f>IFERROR(IF(P220="","",IF(AND(P220='G-1 All Habitats'!$X$3,T220&gt;0),U220+V220,IF(AND(P220='G-1 All Habitats'!$X$3,S220&gt;0),U220+V220,IF(AND(P220='G-1 All Habitats'!$X$3,AC220&gt;0),"Any Loss Unacceptable",IF(AND(P220='G-1 All Habitats'!$X$3,W220&gt;0),"Any Loss Unacceptable",H220*J220*L220*O220))))),"Check Data")</f>
        <v/>
      </c>
      <c r="R220" s="55"/>
      <c r="S220" s="79"/>
      <c r="T220" s="82"/>
      <c r="U220" s="83" t="str">
        <f t="shared" si="18"/>
        <v/>
      </c>
      <c r="V220" s="83" t="str">
        <f t="shared" si="19"/>
        <v/>
      </c>
      <c r="W220" s="83" t="str">
        <f>IF(E220="","",IF(H220&lt;S220+T220,"Error in Areas",IF(P220&lt;&gt;'G-1 All Habitats'!$X$3,H220-S220-T220,IF(AND(P220='G-1 All Habitats'!$X$3,Y220="Yes"),"Unacceptable Loss",IF(AND(P220='G-1 All Habitats'!$X$3,Y220="No"),AC220,IF(AND(P220='G-1 All Habitats'!$X$3,Y220=""),AC220,IF(AND(P220='G-1 All Habitats'!$X$3,AC220="None",AC220),IF(AND(P220='G-1 All Habitats'!$X$3,AC220&gt;0),H220-S220-T220))))))))</f>
        <v/>
      </c>
      <c r="X220" s="84" t="str">
        <f>IFERROR(IF(H220="","",IF(H220-S220-T220=0&lt;0,"Error in Areas",IF(S220+T220&gt;H220,"Error in Areas",IF(AND(P220='G-1 All Habitats'!$X$3,Y220="Yes"),"Alternative Compensation",IF(W220=0,0,IF(P220='G-1 All Habitats'!$X$3,"Unacceptable Loss",Q220-U220-V220)))))),"Check Data")</f>
        <v/>
      </c>
      <c r="Y220" s="82"/>
      <c r="Z220" s="92"/>
      <c r="AA220" s="93"/>
      <c r="AC220" s="87" t="str">
        <f>IF(P220="","",IF(P220='G-1 All Habitats'!$X$3,H220-S220-T220,"None"))</f>
        <v/>
      </c>
      <c r="AD220" s="88" t="str">
        <f>IFERROR(AC220*J220*L220*#REF!*O220,IF(P220="","","None"))</f>
        <v/>
      </c>
      <c r="AF220" s="59" t="str">
        <f t="shared" si="15"/>
        <v/>
      </c>
      <c r="AG220" s="59" t="str">
        <f t="shared" si="16"/>
        <v/>
      </c>
      <c r="AH220" s="59" t="str">
        <f>IF(I220="","",IF(#REF!&gt;0,TRUE,FALSE))</f>
        <v/>
      </c>
      <c r="AI220" s="59">
        <v>210</v>
      </c>
      <c r="AJ220" s="59"/>
      <c r="AK220" s="59" t="str">
        <f t="array" ref="AK220">IFERROR(INDEX($AI$11:$AI$259, MATCH(0, IF(TRUE=$AF$11:$AF$259, COUNTIF($AK$10:$AK219, $AI$11:$AI$259), ""), 0)),"")</f>
        <v/>
      </c>
      <c r="AL220" s="59" t="str">
        <f t="array" ref="AL220">IFERROR(INDEX($AI$11:$AI$259, MATCH(0, IF(TRUE=$AG$11:$AG$259, COUNTIF($AL$10:$AL219, $AI$11:$AI$259), ""), 0)),"")</f>
        <v/>
      </c>
      <c r="AM220" s="59" t="str">
        <f t="array" ref="AM220">IFERROR(INDEX($AI$11:$AI$259, MATCH(0, IF(TRUE=$AH$11:$AH$259, COUNTIF($AM$10:$AM219, $AI$11:$AI$259), ""), 0)),"")</f>
        <v/>
      </c>
      <c r="AN220" s="59"/>
      <c r="AQ220" s="52">
        <f t="shared" si="17"/>
        <v>0</v>
      </c>
    </row>
    <row r="221" spans="1:43" x14ac:dyDescent="0.25">
      <c r="A221" s="52" t="str">
        <f>IFERROR(INDEX('G-1 All Habitats'!$AG$3:$AG$15,MATCH(E221,'G-1 All Habitats'!$AF$3:$AF$15,0)),"")</f>
        <v/>
      </c>
      <c r="B221" s="52" t="str">
        <f>IFERROR(INDEX('G-8 Condition Look up'!$I$4:$I$131,MATCH(G221,'G-8 Condition Look up'!$A$4:$A$131,0)),"")</f>
        <v/>
      </c>
      <c r="D221" s="89">
        <v>211</v>
      </c>
      <c r="E221" s="90"/>
      <c r="F221" s="91"/>
      <c r="G221" s="75" t="str">
        <f>IFERROR(INDEX('G-1 All Habitats'!$B$3:$B$130,MATCH(F221,'G-1 All Habitats'!$A$3:$A$130,0)),"")</f>
        <v/>
      </c>
      <c r="H221" s="76"/>
      <c r="I221" s="77" t="str">
        <f>IF(G221="","",VLOOKUP(G221,'G-1 All Habitats'!$B$2:$M$130,10,FALSE))</f>
        <v/>
      </c>
      <c r="J221" s="78" t="str">
        <f>IFERROR(VLOOKUP(I221,'G-1 All Habitats'!$V$3:$W$7,2,FALSE),"")</f>
        <v/>
      </c>
      <c r="K221" s="79"/>
      <c r="L221" s="78" t="str">
        <f>IFERROR(INDEX('G-8 Condition Look up'!$A$3:$H$131,MATCH(G221,'G-8 Condition Look up'!$A$3:$A$131,0),MATCH(K221,'G-8 Condition Look up'!$A$3:$H$3,0)),"")</f>
        <v/>
      </c>
      <c r="M221" s="79"/>
      <c r="N221" s="348" t="str">
        <f>IF(M221="","",IF(VLOOKUP(M221,'G-3 Multipliers'!$L$3:$N$6,2,FALSE)=0,"Spatial Data Missing",VLOOKUP(M221,'G-3 Multipliers'!$L$3:$N$6,2,FALSE)))</f>
        <v/>
      </c>
      <c r="O221" s="569" t="str">
        <f>IF(M221="","",IF(VLOOKUP(M221,'G-3 Multipliers'!$L$3:$N$6,3,FALSE)=0,"Spatial Data Missing",VLOOKUP(M221,'G-3 Multipliers'!$L$3:$N$6,3,FALSE)))</f>
        <v/>
      </c>
      <c r="P221" s="80" t="str">
        <f>IFERROR(VLOOKUP(G221,'G-1 All Habitats'!$B$2:$M$130,12,FALSE),"")</f>
        <v/>
      </c>
      <c r="Q221" s="81" t="str">
        <f>IFERROR(IF(P221="","",IF(AND(P221='G-1 All Habitats'!$X$3,T221&gt;0),U221+V221,IF(AND(P221='G-1 All Habitats'!$X$3,S221&gt;0),U221+V221,IF(AND(P221='G-1 All Habitats'!$X$3,AC221&gt;0),"Any Loss Unacceptable",IF(AND(P221='G-1 All Habitats'!$X$3,W221&gt;0),"Any Loss Unacceptable",H221*J221*L221*O221))))),"Check Data")</f>
        <v/>
      </c>
      <c r="R221" s="55"/>
      <c r="S221" s="79"/>
      <c r="T221" s="82"/>
      <c r="U221" s="83" t="str">
        <f t="shared" si="18"/>
        <v/>
      </c>
      <c r="V221" s="83" t="str">
        <f t="shared" si="19"/>
        <v/>
      </c>
      <c r="W221" s="83" t="str">
        <f>IF(E221="","",IF(H221&lt;S221+T221,"Error in Areas",IF(P221&lt;&gt;'G-1 All Habitats'!$X$3,H221-S221-T221,IF(AND(P221='G-1 All Habitats'!$X$3,Y221="Yes"),"Unacceptable Loss",IF(AND(P221='G-1 All Habitats'!$X$3,Y221="No"),AC221,IF(AND(P221='G-1 All Habitats'!$X$3,Y221=""),AC221,IF(AND(P221='G-1 All Habitats'!$X$3,AC221="None",AC221),IF(AND(P221='G-1 All Habitats'!$X$3,AC221&gt;0),H221-S221-T221))))))))</f>
        <v/>
      </c>
      <c r="X221" s="84" t="str">
        <f>IFERROR(IF(H221="","",IF(H221-S221-T221=0&lt;0,"Error in Areas",IF(S221+T221&gt;H221,"Error in Areas",IF(AND(P221='G-1 All Habitats'!$X$3,Y221="Yes"),"Alternative Compensation",IF(W221=0,0,IF(P221='G-1 All Habitats'!$X$3,"Unacceptable Loss",Q221-U221-V221)))))),"Check Data")</f>
        <v/>
      </c>
      <c r="Y221" s="82"/>
      <c r="Z221" s="92"/>
      <c r="AA221" s="93"/>
      <c r="AC221" s="87" t="str">
        <f>IF(P221="","",IF(P221='G-1 All Habitats'!$X$3,H221-S221-T221,"None"))</f>
        <v/>
      </c>
      <c r="AD221" s="88" t="str">
        <f>IFERROR(AC221*J221*L221*#REF!*O221,IF(P221="","","None"))</f>
        <v/>
      </c>
      <c r="AF221" s="59" t="str">
        <f t="shared" si="15"/>
        <v/>
      </c>
      <c r="AG221" s="59" t="str">
        <f t="shared" si="16"/>
        <v/>
      </c>
      <c r="AH221" s="59" t="str">
        <f>IF(I221="","",IF(#REF!&gt;0,TRUE,FALSE))</f>
        <v/>
      </c>
      <c r="AI221" s="59">
        <v>211</v>
      </c>
      <c r="AJ221" s="59"/>
      <c r="AK221" s="59" t="str">
        <f t="array" ref="AK221">IFERROR(INDEX($AI$11:$AI$259, MATCH(0, IF(TRUE=$AF$11:$AF$259, COUNTIF($AK$10:$AK220, $AI$11:$AI$259), ""), 0)),"")</f>
        <v/>
      </c>
      <c r="AL221" s="59" t="str">
        <f t="array" ref="AL221">IFERROR(INDEX($AI$11:$AI$259, MATCH(0, IF(TRUE=$AG$11:$AG$259, COUNTIF($AL$10:$AL220, $AI$11:$AI$259), ""), 0)),"")</f>
        <v/>
      </c>
      <c r="AM221" s="59" t="str">
        <f t="array" ref="AM221">IFERROR(INDEX($AI$11:$AI$259, MATCH(0, IF(TRUE=$AH$11:$AH$259, COUNTIF($AM$10:$AM220, $AI$11:$AI$259), ""), 0)),"")</f>
        <v/>
      </c>
      <c r="AN221" s="59"/>
      <c r="AQ221" s="52">
        <f t="shared" si="17"/>
        <v>0</v>
      </c>
    </row>
    <row r="222" spans="1:43" x14ac:dyDescent="0.25">
      <c r="A222" s="52" t="str">
        <f>IFERROR(INDEX('G-1 All Habitats'!$AG$3:$AG$15,MATCH(E222,'G-1 All Habitats'!$AF$3:$AF$15,0)),"")</f>
        <v/>
      </c>
      <c r="B222" s="52" t="str">
        <f>IFERROR(INDEX('G-8 Condition Look up'!$I$4:$I$131,MATCH(G222,'G-8 Condition Look up'!$A$4:$A$131,0)),"")</f>
        <v/>
      </c>
      <c r="D222" s="89">
        <v>212</v>
      </c>
      <c r="E222" s="90"/>
      <c r="F222" s="91"/>
      <c r="G222" s="75" t="str">
        <f>IFERROR(INDEX('G-1 All Habitats'!$B$3:$B$130,MATCH(F222,'G-1 All Habitats'!$A$3:$A$130,0)),"")</f>
        <v/>
      </c>
      <c r="H222" s="76"/>
      <c r="I222" s="77" t="str">
        <f>IF(G222="","",VLOOKUP(G222,'G-1 All Habitats'!$B$2:$M$130,10,FALSE))</f>
        <v/>
      </c>
      <c r="J222" s="78" t="str">
        <f>IFERROR(VLOOKUP(I222,'G-1 All Habitats'!$V$3:$W$7,2,FALSE),"")</f>
        <v/>
      </c>
      <c r="K222" s="79"/>
      <c r="L222" s="78" t="str">
        <f>IFERROR(INDEX('G-8 Condition Look up'!$A$3:$H$131,MATCH(G222,'G-8 Condition Look up'!$A$3:$A$131,0),MATCH(K222,'G-8 Condition Look up'!$A$3:$H$3,0)),"")</f>
        <v/>
      </c>
      <c r="M222" s="79"/>
      <c r="N222" s="348" t="str">
        <f>IF(M222="","",IF(VLOOKUP(M222,'G-3 Multipliers'!$L$3:$N$6,2,FALSE)=0,"Spatial Data Missing",VLOOKUP(M222,'G-3 Multipliers'!$L$3:$N$6,2,FALSE)))</f>
        <v/>
      </c>
      <c r="O222" s="569" t="str">
        <f>IF(M222="","",IF(VLOOKUP(M222,'G-3 Multipliers'!$L$3:$N$6,3,FALSE)=0,"Spatial Data Missing",VLOOKUP(M222,'G-3 Multipliers'!$L$3:$N$6,3,FALSE)))</f>
        <v/>
      </c>
      <c r="P222" s="80" t="str">
        <f>IFERROR(VLOOKUP(G222,'G-1 All Habitats'!$B$2:$M$130,12,FALSE),"")</f>
        <v/>
      </c>
      <c r="Q222" s="81" t="str">
        <f>IFERROR(IF(P222="","",IF(AND(P222='G-1 All Habitats'!$X$3,T222&gt;0),U222+V222,IF(AND(P222='G-1 All Habitats'!$X$3,S222&gt;0),U222+V222,IF(AND(P222='G-1 All Habitats'!$X$3,AC222&gt;0),"Any Loss Unacceptable",IF(AND(P222='G-1 All Habitats'!$X$3,W222&gt;0),"Any Loss Unacceptable",H222*J222*L222*O222))))),"Check Data")</f>
        <v/>
      </c>
      <c r="R222" s="55"/>
      <c r="S222" s="79"/>
      <c r="T222" s="82"/>
      <c r="U222" s="83" t="str">
        <f t="shared" si="18"/>
        <v/>
      </c>
      <c r="V222" s="83" t="str">
        <f t="shared" si="19"/>
        <v/>
      </c>
      <c r="W222" s="83" t="str">
        <f>IF(E222="","",IF(H222&lt;S222+T222,"Error in Areas",IF(P222&lt;&gt;'G-1 All Habitats'!$X$3,H222-S222-T222,IF(AND(P222='G-1 All Habitats'!$X$3,Y222="Yes"),"Unacceptable Loss",IF(AND(P222='G-1 All Habitats'!$X$3,Y222="No"),AC222,IF(AND(P222='G-1 All Habitats'!$X$3,Y222=""),AC222,IF(AND(P222='G-1 All Habitats'!$X$3,AC222="None",AC222),IF(AND(P222='G-1 All Habitats'!$X$3,AC222&gt;0),H222-S222-T222))))))))</f>
        <v/>
      </c>
      <c r="X222" s="84" t="str">
        <f>IFERROR(IF(H222="","",IF(H222-S222-T222=0&lt;0,"Error in Areas",IF(S222+T222&gt;H222,"Error in Areas",IF(AND(P222='G-1 All Habitats'!$X$3,Y222="Yes"),"Alternative Compensation",IF(W222=0,0,IF(P222='G-1 All Habitats'!$X$3,"Unacceptable Loss",Q222-U222-V222)))))),"Check Data")</f>
        <v/>
      </c>
      <c r="Y222" s="82"/>
      <c r="Z222" s="92"/>
      <c r="AA222" s="93"/>
      <c r="AC222" s="87" t="str">
        <f>IF(P222="","",IF(P222='G-1 All Habitats'!$X$3,H222-S222-T222,"None"))</f>
        <v/>
      </c>
      <c r="AD222" s="88" t="str">
        <f>IFERROR(AC222*J222*L222*#REF!*O222,IF(P222="","","None"))</f>
        <v/>
      </c>
      <c r="AF222" s="59" t="str">
        <f t="shared" si="15"/>
        <v/>
      </c>
      <c r="AG222" s="59" t="str">
        <f t="shared" si="16"/>
        <v/>
      </c>
      <c r="AH222" s="59" t="str">
        <f>IF(I222="","",IF(#REF!&gt;0,TRUE,FALSE))</f>
        <v/>
      </c>
      <c r="AI222" s="59">
        <v>212</v>
      </c>
      <c r="AJ222" s="59"/>
      <c r="AK222" s="59" t="str">
        <f t="array" ref="AK222">IFERROR(INDEX($AI$11:$AI$259, MATCH(0, IF(TRUE=$AF$11:$AF$259, COUNTIF($AK$10:$AK221, $AI$11:$AI$259), ""), 0)),"")</f>
        <v/>
      </c>
      <c r="AL222" s="59" t="str">
        <f t="array" ref="AL222">IFERROR(INDEX($AI$11:$AI$259, MATCH(0, IF(TRUE=$AG$11:$AG$259, COUNTIF($AL$10:$AL221, $AI$11:$AI$259), ""), 0)),"")</f>
        <v/>
      </c>
      <c r="AM222" s="59" t="str">
        <f t="array" ref="AM222">IFERROR(INDEX($AI$11:$AI$259, MATCH(0, IF(TRUE=$AH$11:$AH$259, COUNTIF($AM$10:$AM221, $AI$11:$AI$259), ""), 0)),"")</f>
        <v/>
      </c>
      <c r="AN222" s="59"/>
      <c r="AQ222" s="52">
        <f t="shared" si="17"/>
        <v>0</v>
      </c>
    </row>
    <row r="223" spans="1:43" x14ac:dyDescent="0.25">
      <c r="A223" s="52" t="str">
        <f>IFERROR(INDEX('G-1 All Habitats'!$AG$3:$AG$15,MATCH(E223,'G-1 All Habitats'!$AF$3:$AF$15,0)),"")</f>
        <v/>
      </c>
      <c r="B223" s="52" t="str">
        <f>IFERROR(INDEX('G-8 Condition Look up'!$I$4:$I$131,MATCH(G223,'G-8 Condition Look up'!$A$4:$A$131,0)),"")</f>
        <v/>
      </c>
      <c r="D223" s="89">
        <v>213</v>
      </c>
      <c r="E223" s="90"/>
      <c r="F223" s="91"/>
      <c r="G223" s="75" t="str">
        <f>IFERROR(INDEX('G-1 All Habitats'!$B$3:$B$130,MATCH(F223,'G-1 All Habitats'!$A$3:$A$130,0)),"")</f>
        <v/>
      </c>
      <c r="H223" s="76"/>
      <c r="I223" s="77" t="str">
        <f>IF(G223="","",VLOOKUP(G223,'G-1 All Habitats'!$B$2:$M$130,10,FALSE))</f>
        <v/>
      </c>
      <c r="J223" s="78" t="str">
        <f>IFERROR(VLOOKUP(I223,'G-1 All Habitats'!$V$3:$W$7,2,FALSE),"")</f>
        <v/>
      </c>
      <c r="K223" s="79"/>
      <c r="L223" s="78" t="str">
        <f>IFERROR(INDEX('G-8 Condition Look up'!$A$3:$H$131,MATCH(G223,'G-8 Condition Look up'!$A$3:$A$131,0),MATCH(K223,'G-8 Condition Look up'!$A$3:$H$3,0)),"")</f>
        <v/>
      </c>
      <c r="M223" s="79"/>
      <c r="N223" s="348" t="str">
        <f>IF(M223="","",IF(VLOOKUP(M223,'G-3 Multipliers'!$L$3:$N$6,2,FALSE)=0,"Spatial Data Missing",VLOOKUP(M223,'G-3 Multipliers'!$L$3:$N$6,2,FALSE)))</f>
        <v/>
      </c>
      <c r="O223" s="569" t="str">
        <f>IF(M223="","",IF(VLOOKUP(M223,'G-3 Multipliers'!$L$3:$N$6,3,FALSE)=0,"Spatial Data Missing",VLOOKUP(M223,'G-3 Multipliers'!$L$3:$N$6,3,FALSE)))</f>
        <v/>
      </c>
      <c r="P223" s="80" t="str">
        <f>IFERROR(VLOOKUP(G223,'G-1 All Habitats'!$B$2:$M$130,12,FALSE),"")</f>
        <v/>
      </c>
      <c r="Q223" s="81" t="str">
        <f>IFERROR(IF(P223="","",IF(AND(P223='G-1 All Habitats'!$X$3,T223&gt;0),U223+V223,IF(AND(P223='G-1 All Habitats'!$X$3,S223&gt;0),U223+V223,IF(AND(P223='G-1 All Habitats'!$X$3,AC223&gt;0),"Any Loss Unacceptable",IF(AND(P223='G-1 All Habitats'!$X$3,W223&gt;0),"Any Loss Unacceptable",H223*J223*L223*O223))))),"Check Data")</f>
        <v/>
      </c>
      <c r="R223" s="55"/>
      <c r="S223" s="79"/>
      <c r="T223" s="82"/>
      <c r="U223" s="83" t="str">
        <f t="shared" si="18"/>
        <v/>
      </c>
      <c r="V223" s="83" t="str">
        <f t="shared" si="19"/>
        <v/>
      </c>
      <c r="W223" s="83" t="str">
        <f>IF(E223="","",IF(H223&lt;S223+T223,"Error in Areas",IF(P223&lt;&gt;'G-1 All Habitats'!$X$3,H223-S223-T223,IF(AND(P223='G-1 All Habitats'!$X$3,Y223="Yes"),"Unacceptable Loss",IF(AND(P223='G-1 All Habitats'!$X$3,Y223="No"),AC223,IF(AND(P223='G-1 All Habitats'!$X$3,Y223=""),AC223,IF(AND(P223='G-1 All Habitats'!$X$3,AC223="None",AC223),IF(AND(P223='G-1 All Habitats'!$X$3,AC223&gt;0),H223-S223-T223))))))))</f>
        <v/>
      </c>
      <c r="X223" s="84" t="str">
        <f>IFERROR(IF(H223="","",IF(H223-S223-T223=0&lt;0,"Error in Areas",IF(S223+T223&gt;H223,"Error in Areas",IF(AND(P223='G-1 All Habitats'!$X$3,Y223="Yes"),"Alternative Compensation",IF(W223=0,0,IF(P223='G-1 All Habitats'!$X$3,"Unacceptable Loss",Q223-U223-V223)))))),"Check Data")</f>
        <v/>
      </c>
      <c r="Y223" s="82"/>
      <c r="Z223" s="92"/>
      <c r="AA223" s="93"/>
      <c r="AC223" s="87" t="str">
        <f>IF(P223="","",IF(P223='G-1 All Habitats'!$X$3,H223-S223-T223,"None"))</f>
        <v/>
      </c>
      <c r="AD223" s="88" t="str">
        <f>IFERROR(AC223*J223*L223*#REF!*O223,IF(P223="","","None"))</f>
        <v/>
      </c>
      <c r="AF223" s="59" t="str">
        <f t="shared" si="15"/>
        <v/>
      </c>
      <c r="AG223" s="59" t="str">
        <f t="shared" si="16"/>
        <v/>
      </c>
      <c r="AH223" s="59" t="str">
        <f>IF(I223="","",IF(#REF!&gt;0,TRUE,FALSE))</f>
        <v/>
      </c>
      <c r="AI223" s="59">
        <v>213</v>
      </c>
      <c r="AJ223" s="59"/>
      <c r="AK223" s="59" t="str">
        <f t="array" ref="AK223">IFERROR(INDEX($AI$11:$AI$259, MATCH(0, IF(TRUE=$AF$11:$AF$259, COUNTIF($AK$10:$AK222, $AI$11:$AI$259), ""), 0)),"")</f>
        <v/>
      </c>
      <c r="AL223" s="59" t="str">
        <f t="array" ref="AL223">IFERROR(INDEX($AI$11:$AI$259, MATCH(0, IF(TRUE=$AG$11:$AG$259, COUNTIF($AL$10:$AL222, $AI$11:$AI$259), ""), 0)),"")</f>
        <v/>
      </c>
      <c r="AM223" s="59" t="str">
        <f t="array" ref="AM223">IFERROR(INDEX($AI$11:$AI$259, MATCH(0, IF(TRUE=$AH$11:$AH$259, COUNTIF($AM$10:$AM222, $AI$11:$AI$259), ""), 0)),"")</f>
        <v/>
      </c>
      <c r="AN223" s="59"/>
      <c r="AQ223" s="52">
        <f t="shared" si="17"/>
        <v>0</v>
      </c>
    </row>
    <row r="224" spans="1:43" x14ac:dyDescent="0.25">
      <c r="A224" s="52" t="str">
        <f>IFERROR(INDEX('G-1 All Habitats'!$AG$3:$AG$15,MATCH(E224,'G-1 All Habitats'!$AF$3:$AF$15,0)),"")</f>
        <v/>
      </c>
      <c r="B224" s="52" t="str">
        <f>IFERROR(INDEX('G-8 Condition Look up'!$I$4:$I$131,MATCH(G224,'G-8 Condition Look up'!$A$4:$A$131,0)),"")</f>
        <v/>
      </c>
      <c r="D224" s="89">
        <v>214</v>
      </c>
      <c r="E224" s="90"/>
      <c r="F224" s="91"/>
      <c r="G224" s="75" t="str">
        <f>IFERROR(INDEX('G-1 All Habitats'!$B$3:$B$130,MATCH(F224,'G-1 All Habitats'!$A$3:$A$130,0)),"")</f>
        <v/>
      </c>
      <c r="H224" s="76"/>
      <c r="I224" s="77" t="str">
        <f>IF(G224="","",VLOOKUP(G224,'G-1 All Habitats'!$B$2:$M$130,10,FALSE))</f>
        <v/>
      </c>
      <c r="J224" s="78" t="str">
        <f>IFERROR(VLOOKUP(I224,'G-1 All Habitats'!$V$3:$W$7,2,FALSE),"")</f>
        <v/>
      </c>
      <c r="K224" s="79"/>
      <c r="L224" s="78" t="str">
        <f>IFERROR(INDEX('G-8 Condition Look up'!$A$3:$H$131,MATCH(G224,'G-8 Condition Look up'!$A$3:$A$131,0),MATCH(K224,'G-8 Condition Look up'!$A$3:$H$3,0)),"")</f>
        <v/>
      </c>
      <c r="M224" s="79"/>
      <c r="N224" s="348" t="str">
        <f>IF(M224="","",IF(VLOOKUP(M224,'G-3 Multipliers'!$L$3:$N$6,2,FALSE)=0,"Spatial Data Missing",VLOOKUP(M224,'G-3 Multipliers'!$L$3:$N$6,2,FALSE)))</f>
        <v/>
      </c>
      <c r="O224" s="569" t="str">
        <f>IF(M224="","",IF(VLOOKUP(M224,'G-3 Multipliers'!$L$3:$N$6,3,FALSE)=0,"Spatial Data Missing",VLOOKUP(M224,'G-3 Multipliers'!$L$3:$N$6,3,FALSE)))</f>
        <v/>
      </c>
      <c r="P224" s="80" t="str">
        <f>IFERROR(VLOOKUP(G224,'G-1 All Habitats'!$B$2:$M$130,12,FALSE),"")</f>
        <v/>
      </c>
      <c r="Q224" s="81" t="str">
        <f>IFERROR(IF(P224="","",IF(AND(P224='G-1 All Habitats'!$X$3,T224&gt;0),U224+V224,IF(AND(P224='G-1 All Habitats'!$X$3,S224&gt;0),U224+V224,IF(AND(P224='G-1 All Habitats'!$X$3,AC224&gt;0),"Any Loss Unacceptable",IF(AND(P224='G-1 All Habitats'!$X$3,W224&gt;0),"Any Loss Unacceptable",H224*J224*L224*O224))))),"Check Data")</f>
        <v/>
      </c>
      <c r="R224" s="55"/>
      <c r="S224" s="79"/>
      <c r="T224" s="82"/>
      <c r="U224" s="83" t="str">
        <f t="shared" si="18"/>
        <v/>
      </c>
      <c r="V224" s="83" t="str">
        <f t="shared" si="19"/>
        <v/>
      </c>
      <c r="W224" s="83" t="str">
        <f>IF(E224="","",IF(H224&lt;S224+T224,"Error in Areas",IF(P224&lt;&gt;'G-1 All Habitats'!$X$3,H224-S224-T224,IF(AND(P224='G-1 All Habitats'!$X$3,Y224="Yes"),"Unacceptable Loss",IF(AND(P224='G-1 All Habitats'!$X$3,Y224="No"),AC224,IF(AND(P224='G-1 All Habitats'!$X$3,Y224=""),AC224,IF(AND(P224='G-1 All Habitats'!$X$3,AC224="None",AC224),IF(AND(P224='G-1 All Habitats'!$X$3,AC224&gt;0),H224-S224-T224))))))))</f>
        <v/>
      </c>
      <c r="X224" s="84" t="str">
        <f>IFERROR(IF(H224="","",IF(H224-S224-T224=0&lt;0,"Error in Areas",IF(S224+T224&gt;H224,"Error in Areas",IF(AND(P224='G-1 All Habitats'!$X$3,Y224="Yes"),"Alternative Compensation",IF(W224=0,0,IF(P224='G-1 All Habitats'!$X$3,"Unacceptable Loss",Q224-U224-V224)))))),"Check Data")</f>
        <v/>
      </c>
      <c r="Y224" s="82"/>
      <c r="Z224" s="92"/>
      <c r="AA224" s="93"/>
      <c r="AC224" s="87" t="str">
        <f>IF(P224="","",IF(P224='G-1 All Habitats'!$X$3,H224-S224-T224,"None"))</f>
        <v/>
      </c>
      <c r="AD224" s="88" t="str">
        <f>IFERROR(AC224*J224*L224*#REF!*O224,IF(P224="","","None"))</f>
        <v/>
      </c>
      <c r="AF224" s="59" t="str">
        <f t="shared" si="15"/>
        <v/>
      </c>
      <c r="AG224" s="59" t="str">
        <f t="shared" si="16"/>
        <v/>
      </c>
      <c r="AH224" s="59" t="str">
        <f>IF(I224="","",IF(#REF!&gt;0,TRUE,FALSE))</f>
        <v/>
      </c>
      <c r="AI224" s="59">
        <v>214</v>
      </c>
      <c r="AJ224" s="59"/>
      <c r="AK224" s="59" t="str">
        <f t="array" ref="AK224">IFERROR(INDEX($AI$11:$AI$259, MATCH(0, IF(TRUE=$AF$11:$AF$259, COUNTIF($AK$10:$AK223, $AI$11:$AI$259), ""), 0)),"")</f>
        <v/>
      </c>
      <c r="AL224" s="59" t="str">
        <f t="array" ref="AL224">IFERROR(INDEX($AI$11:$AI$259, MATCH(0, IF(TRUE=$AG$11:$AG$259, COUNTIF($AL$10:$AL223, $AI$11:$AI$259), ""), 0)),"")</f>
        <v/>
      </c>
      <c r="AM224" s="59" t="str">
        <f t="array" ref="AM224">IFERROR(INDEX($AI$11:$AI$259, MATCH(0, IF(TRUE=$AH$11:$AH$259, COUNTIF($AM$10:$AM223, $AI$11:$AI$259), ""), 0)),"")</f>
        <v/>
      </c>
      <c r="AN224" s="59"/>
      <c r="AQ224" s="52">
        <f t="shared" si="17"/>
        <v>0</v>
      </c>
    </row>
    <row r="225" spans="1:43" x14ac:dyDescent="0.25">
      <c r="A225" s="52" t="str">
        <f>IFERROR(INDEX('G-1 All Habitats'!$AG$3:$AG$15,MATCH(E225,'G-1 All Habitats'!$AF$3:$AF$15,0)),"")</f>
        <v/>
      </c>
      <c r="B225" s="52" t="str">
        <f>IFERROR(INDEX('G-8 Condition Look up'!$I$4:$I$131,MATCH(G225,'G-8 Condition Look up'!$A$4:$A$131,0)),"")</f>
        <v/>
      </c>
      <c r="D225" s="89">
        <v>215</v>
      </c>
      <c r="E225" s="90"/>
      <c r="F225" s="91"/>
      <c r="G225" s="75" t="str">
        <f>IFERROR(INDEX('G-1 All Habitats'!$B$3:$B$130,MATCH(F225,'G-1 All Habitats'!$A$3:$A$130,0)),"")</f>
        <v/>
      </c>
      <c r="H225" s="76"/>
      <c r="I225" s="77" t="str">
        <f>IF(G225="","",VLOOKUP(G225,'G-1 All Habitats'!$B$2:$M$130,10,FALSE))</f>
        <v/>
      </c>
      <c r="J225" s="78" t="str">
        <f>IFERROR(VLOOKUP(I225,'G-1 All Habitats'!$V$3:$W$7,2,FALSE),"")</f>
        <v/>
      </c>
      <c r="K225" s="79"/>
      <c r="L225" s="78" t="str">
        <f>IFERROR(INDEX('G-8 Condition Look up'!$A$3:$H$131,MATCH(G225,'G-8 Condition Look up'!$A$3:$A$131,0),MATCH(K225,'G-8 Condition Look up'!$A$3:$H$3,0)),"")</f>
        <v/>
      </c>
      <c r="M225" s="79"/>
      <c r="N225" s="348" t="str">
        <f>IF(M225="","",IF(VLOOKUP(M225,'G-3 Multipliers'!$L$3:$N$6,2,FALSE)=0,"Spatial Data Missing",VLOOKUP(M225,'G-3 Multipliers'!$L$3:$N$6,2,FALSE)))</f>
        <v/>
      </c>
      <c r="O225" s="569" t="str">
        <f>IF(M225="","",IF(VLOOKUP(M225,'G-3 Multipliers'!$L$3:$N$6,3,FALSE)=0,"Spatial Data Missing",VLOOKUP(M225,'G-3 Multipliers'!$L$3:$N$6,3,FALSE)))</f>
        <v/>
      </c>
      <c r="P225" s="80" t="str">
        <f>IFERROR(VLOOKUP(G225,'G-1 All Habitats'!$B$2:$M$130,12,FALSE),"")</f>
        <v/>
      </c>
      <c r="Q225" s="81" t="str">
        <f>IFERROR(IF(P225="","",IF(AND(P225='G-1 All Habitats'!$X$3,T225&gt;0),U225+V225,IF(AND(P225='G-1 All Habitats'!$X$3,S225&gt;0),U225+V225,IF(AND(P225='G-1 All Habitats'!$X$3,AC225&gt;0),"Any Loss Unacceptable",IF(AND(P225='G-1 All Habitats'!$X$3,W225&gt;0),"Any Loss Unacceptable",H225*J225*L225*O225))))),"Check Data")</f>
        <v/>
      </c>
      <c r="R225" s="55"/>
      <c r="S225" s="79"/>
      <c r="T225" s="82"/>
      <c r="U225" s="83" t="str">
        <f t="shared" si="18"/>
        <v/>
      </c>
      <c r="V225" s="83" t="str">
        <f t="shared" si="19"/>
        <v/>
      </c>
      <c r="W225" s="83" t="str">
        <f>IF(E225="","",IF(H225&lt;S225+T225,"Error in Areas",IF(P225&lt;&gt;'G-1 All Habitats'!$X$3,H225-S225-T225,IF(AND(P225='G-1 All Habitats'!$X$3,Y225="Yes"),"Unacceptable Loss",IF(AND(P225='G-1 All Habitats'!$X$3,Y225="No"),AC225,IF(AND(P225='G-1 All Habitats'!$X$3,Y225=""),AC225,IF(AND(P225='G-1 All Habitats'!$X$3,AC225="None",AC225),IF(AND(P225='G-1 All Habitats'!$X$3,AC225&gt;0),H225-S225-T225))))))))</f>
        <v/>
      </c>
      <c r="X225" s="84" t="str">
        <f>IFERROR(IF(H225="","",IF(H225-S225-T225=0&lt;0,"Error in Areas",IF(S225+T225&gt;H225,"Error in Areas",IF(AND(P225='G-1 All Habitats'!$X$3,Y225="Yes"),"Alternative Compensation",IF(W225=0,0,IF(P225='G-1 All Habitats'!$X$3,"Unacceptable Loss",Q225-U225-V225)))))),"Check Data")</f>
        <v/>
      </c>
      <c r="Y225" s="82"/>
      <c r="Z225" s="92"/>
      <c r="AA225" s="93"/>
      <c r="AC225" s="87" t="str">
        <f>IF(P225="","",IF(P225='G-1 All Habitats'!$X$3,H225-S225-T225,"None"))</f>
        <v/>
      </c>
      <c r="AD225" s="88" t="str">
        <f>IFERROR(AC225*J225*L225*#REF!*O225,IF(P225="","","None"))</f>
        <v/>
      </c>
      <c r="AF225" s="59" t="str">
        <f t="shared" si="15"/>
        <v/>
      </c>
      <c r="AG225" s="59" t="str">
        <f t="shared" si="16"/>
        <v/>
      </c>
      <c r="AH225" s="59" t="str">
        <f>IF(I225="","",IF(#REF!&gt;0,TRUE,FALSE))</f>
        <v/>
      </c>
      <c r="AI225" s="59">
        <v>215</v>
      </c>
      <c r="AJ225" s="59"/>
      <c r="AK225" s="59" t="str">
        <f t="array" ref="AK225">IFERROR(INDEX($AI$11:$AI$259, MATCH(0, IF(TRUE=$AF$11:$AF$259, COUNTIF($AK$10:$AK224, $AI$11:$AI$259), ""), 0)),"")</f>
        <v/>
      </c>
      <c r="AL225" s="59" t="str">
        <f t="array" ref="AL225">IFERROR(INDEX($AI$11:$AI$259, MATCH(0, IF(TRUE=$AG$11:$AG$259, COUNTIF($AL$10:$AL224, $AI$11:$AI$259), ""), 0)),"")</f>
        <v/>
      </c>
      <c r="AM225" s="59" t="str">
        <f t="array" ref="AM225">IFERROR(INDEX($AI$11:$AI$259, MATCH(0, IF(TRUE=$AH$11:$AH$259, COUNTIF($AM$10:$AM224, $AI$11:$AI$259), ""), 0)),"")</f>
        <v/>
      </c>
      <c r="AN225" s="59"/>
      <c r="AQ225" s="52">
        <f t="shared" si="17"/>
        <v>0</v>
      </c>
    </row>
    <row r="226" spans="1:43" x14ac:dyDescent="0.25">
      <c r="A226" s="52" t="str">
        <f>IFERROR(INDEX('G-1 All Habitats'!$AG$3:$AG$15,MATCH(E226,'G-1 All Habitats'!$AF$3:$AF$15,0)),"")</f>
        <v/>
      </c>
      <c r="B226" s="52" t="str">
        <f>IFERROR(INDEX('G-8 Condition Look up'!$I$4:$I$131,MATCH(G226,'G-8 Condition Look up'!$A$4:$A$131,0)),"")</f>
        <v/>
      </c>
      <c r="D226" s="89">
        <v>216</v>
      </c>
      <c r="E226" s="90"/>
      <c r="F226" s="91"/>
      <c r="G226" s="75" t="str">
        <f>IFERROR(INDEX('G-1 All Habitats'!$B$3:$B$130,MATCH(F226,'G-1 All Habitats'!$A$3:$A$130,0)),"")</f>
        <v/>
      </c>
      <c r="H226" s="76"/>
      <c r="I226" s="77" t="str">
        <f>IF(G226="","",VLOOKUP(G226,'G-1 All Habitats'!$B$2:$M$130,10,FALSE))</f>
        <v/>
      </c>
      <c r="J226" s="78" t="str">
        <f>IFERROR(VLOOKUP(I226,'G-1 All Habitats'!$V$3:$W$7,2,FALSE),"")</f>
        <v/>
      </c>
      <c r="K226" s="79"/>
      <c r="L226" s="78" t="str">
        <f>IFERROR(INDEX('G-8 Condition Look up'!$A$3:$H$131,MATCH(G226,'G-8 Condition Look up'!$A$3:$A$131,0),MATCH(K226,'G-8 Condition Look up'!$A$3:$H$3,0)),"")</f>
        <v/>
      </c>
      <c r="M226" s="79"/>
      <c r="N226" s="348" t="str">
        <f>IF(M226="","",IF(VLOOKUP(M226,'G-3 Multipliers'!$L$3:$N$6,2,FALSE)=0,"Spatial Data Missing",VLOOKUP(M226,'G-3 Multipliers'!$L$3:$N$6,2,FALSE)))</f>
        <v/>
      </c>
      <c r="O226" s="569" t="str">
        <f>IF(M226="","",IF(VLOOKUP(M226,'G-3 Multipliers'!$L$3:$N$6,3,FALSE)=0,"Spatial Data Missing",VLOOKUP(M226,'G-3 Multipliers'!$L$3:$N$6,3,FALSE)))</f>
        <v/>
      </c>
      <c r="P226" s="80" t="str">
        <f>IFERROR(VLOOKUP(G226,'G-1 All Habitats'!$B$2:$M$130,12,FALSE),"")</f>
        <v/>
      </c>
      <c r="Q226" s="81" t="str">
        <f>IFERROR(IF(P226="","",IF(AND(P226='G-1 All Habitats'!$X$3,T226&gt;0),U226+V226,IF(AND(P226='G-1 All Habitats'!$X$3,S226&gt;0),U226+V226,IF(AND(P226='G-1 All Habitats'!$X$3,AC226&gt;0),"Any Loss Unacceptable",IF(AND(P226='G-1 All Habitats'!$X$3,W226&gt;0),"Any Loss Unacceptable",H226*J226*L226*O226))))),"Check Data")</f>
        <v/>
      </c>
      <c r="R226" s="55"/>
      <c r="S226" s="79"/>
      <c r="T226" s="82"/>
      <c r="U226" s="83" t="str">
        <f t="shared" si="18"/>
        <v/>
      </c>
      <c r="V226" s="83" t="str">
        <f t="shared" si="19"/>
        <v/>
      </c>
      <c r="W226" s="83" t="str">
        <f>IF(E226="","",IF(H226&lt;S226+T226,"Error in Areas",IF(P226&lt;&gt;'G-1 All Habitats'!$X$3,H226-S226-T226,IF(AND(P226='G-1 All Habitats'!$X$3,Y226="Yes"),"Unacceptable Loss",IF(AND(P226='G-1 All Habitats'!$X$3,Y226="No"),AC226,IF(AND(P226='G-1 All Habitats'!$X$3,Y226=""),AC226,IF(AND(P226='G-1 All Habitats'!$X$3,AC226="None",AC226),IF(AND(P226='G-1 All Habitats'!$X$3,AC226&gt;0),H226-S226-T226))))))))</f>
        <v/>
      </c>
      <c r="X226" s="84" t="str">
        <f>IFERROR(IF(H226="","",IF(H226-S226-T226=0&lt;0,"Error in Areas",IF(S226+T226&gt;H226,"Error in Areas",IF(AND(P226='G-1 All Habitats'!$X$3,Y226="Yes"),"Alternative Compensation",IF(W226=0,0,IF(P226='G-1 All Habitats'!$X$3,"Unacceptable Loss",Q226-U226-V226)))))),"Check Data")</f>
        <v/>
      </c>
      <c r="Y226" s="82"/>
      <c r="Z226" s="92"/>
      <c r="AA226" s="93"/>
      <c r="AC226" s="87" t="str">
        <f>IF(P226="","",IF(P226='G-1 All Habitats'!$X$3,H226-S226-T226,"None"))</f>
        <v/>
      </c>
      <c r="AD226" s="88" t="str">
        <f>IFERROR(AC226*J226*L226*#REF!*O226,IF(P226="","","None"))</f>
        <v/>
      </c>
      <c r="AF226" s="59" t="str">
        <f t="shared" si="15"/>
        <v/>
      </c>
      <c r="AG226" s="59" t="str">
        <f t="shared" si="16"/>
        <v/>
      </c>
      <c r="AH226" s="59" t="str">
        <f>IF(I226="","",IF(#REF!&gt;0,TRUE,FALSE))</f>
        <v/>
      </c>
      <c r="AI226" s="59">
        <v>216</v>
      </c>
      <c r="AJ226" s="59"/>
      <c r="AK226" s="59" t="str">
        <f t="array" ref="AK226">IFERROR(INDEX($AI$11:$AI$259, MATCH(0, IF(TRUE=$AF$11:$AF$259, COUNTIF($AK$10:$AK225, $AI$11:$AI$259), ""), 0)),"")</f>
        <v/>
      </c>
      <c r="AL226" s="59" t="str">
        <f t="array" ref="AL226">IFERROR(INDEX($AI$11:$AI$259, MATCH(0, IF(TRUE=$AG$11:$AG$259, COUNTIF($AL$10:$AL225, $AI$11:$AI$259), ""), 0)),"")</f>
        <v/>
      </c>
      <c r="AM226" s="59" t="str">
        <f t="array" ref="AM226">IFERROR(INDEX($AI$11:$AI$259, MATCH(0, IF(TRUE=$AH$11:$AH$259, COUNTIF($AM$10:$AM225, $AI$11:$AI$259), ""), 0)),"")</f>
        <v/>
      </c>
      <c r="AN226" s="59"/>
      <c r="AQ226" s="52">
        <f t="shared" si="17"/>
        <v>0</v>
      </c>
    </row>
    <row r="227" spans="1:43" x14ac:dyDescent="0.25">
      <c r="A227" s="52" t="str">
        <f>IFERROR(INDEX('G-1 All Habitats'!$AG$3:$AG$15,MATCH(E227,'G-1 All Habitats'!$AF$3:$AF$15,0)),"")</f>
        <v/>
      </c>
      <c r="B227" s="52" t="str">
        <f>IFERROR(INDEX('G-8 Condition Look up'!$I$4:$I$131,MATCH(G227,'G-8 Condition Look up'!$A$4:$A$131,0)),"")</f>
        <v/>
      </c>
      <c r="D227" s="89">
        <v>217</v>
      </c>
      <c r="E227" s="90"/>
      <c r="F227" s="91"/>
      <c r="G227" s="75" t="str">
        <f>IFERROR(INDEX('G-1 All Habitats'!$B$3:$B$130,MATCH(F227,'G-1 All Habitats'!$A$3:$A$130,0)),"")</f>
        <v/>
      </c>
      <c r="H227" s="76"/>
      <c r="I227" s="77" t="str">
        <f>IF(G227="","",VLOOKUP(G227,'G-1 All Habitats'!$B$2:$M$130,10,FALSE))</f>
        <v/>
      </c>
      <c r="J227" s="78" t="str">
        <f>IFERROR(VLOOKUP(I227,'G-1 All Habitats'!$V$3:$W$7,2,FALSE),"")</f>
        <v/>
      </c>
      <c r="K227" s="79"/>
      <c r="L227" s="78" t="str">
        <f>IFERROR(INDEX('G-8 Condition Look up'!$A$3:$H$131,MATCH(G227,'G-8 Condition Look up'!$A$3:$A$131,0),MATCH(K227,'G-8 Condition Look up'!$A$3:$H$3,0)),"")</f>
        <v/>
      </c>
      <c r="M227" s="79"/>
      <c r="N227" s="348" t="str">
        <f>IF(M227="","",IF(VLOOKUP(M227,'G-3 Multipliers'!$L$3:$N$6,2,FALSE)=0,"Spatial Data Missing",VLOOKUP(M227,'G-3 Multipliers'!$L$3:$N$6,2,FALSE)))</f>
        <v/>
      </c>
      <c r="O227" s="569" t="str">
        <f>IF(M227="","",IF(VLOOKUP(M227,'G-3 Multipliers'!$L$3:$N$6,3,FALSE)=0,"Spatial Data Missing",VLOOKUP(M227,'G-3 Multipliers'!$L$3:$N$6,3,FALSE)))</f>
        <v/>
      </c>
      <c r="P227" s="80" t="str">
        <f>IFERROR(VLOOKUP(G227,'G-1 All Habitats'!$B$2:$M$130,12,FALSE),"")</f>
        <v/>
      </c>
      <c r="Q227" s="81" t="str">
        <f>IFERROR(IF(P227="","",IF(AND(P227='G-1 All Habitats'!$X$3,T227&gt;0),U227+V227,IF(AND(P227='G-1 All Habitats'!$X$3,S227&gt;0),U227+V227,IF(AND(P227='G-1 All Habitats'!$X$3,AC227&gt;0),"Any Loss Unacceptable",IF(AND(P227='G-1 All Habitats'!$X$3,W227&gt;0),"Any Loss Unacceptable",H227*J227*L227*O227))))),"Check Data")</f>
        <v/>
      </c>
      <c r="R227" s="55"/>
      <c r="S227" s="79"/>
      <c r="T227" s="82"/>
      <c r="U227" s="83" t="str">
        <f t="shared" si="18"/>
        <v/>
      </c>
      <c r="V227" s="83" t="str">
        <f t="shared" si="19"/>
        <v/>
      </c>
      <c r="W227" s="83" t="str">
        <f>IF(E227="","",IF(H227&lt;S227+T227,"Error in Areas",IF(P227&lt;&gt;'G-1 All Habitats'!$X$3,H227-S227-T227,IF(AND(P227='G-1 All Habitats'!$X$3,Y227="Yes"),"Unacceptable Loss",IF(AND(P227='G-1 All Habitats'!$X$3,Y227="No"),AC227,IF(AND(P227='G-1 All Habitats'!$X$3,Y227=""),AC227,IF(AND(P227='G-1 All Habitats'!$X$3,AC227="None",AC227),IF(AND(P227='G-1 All Habitats'!$X$3,AC227&gt;0),H227-S227-T227))))))))</f>
        <v/>
      </c>
      <c r="X227" s="84" t="str">
        <f>IFERROR(IF(H227="","",IF(H227-S227-T227=0&lt;0,"Error in Areas",IF(S227+T227&gt;H227,"Error in Areas",IF(AND(P227='G-1 All Habitats'!$X$3,Y227="Yes"),"Alternative Compensation",IF(W227=0,0,IF(P227='G-1 All Habitats'!$X$3,"Unacceptable Loss",Q227-U227-V227)))))),"Check Data")</f>
        <v/>
      </c>
      <c r="Y227" s="82"/>
      <c r="Z227" s="92"/>
      <c r="AA227" s="93"/>
      <c r="AC227" s="87" t="str">
        <f>IF(P227="","",IF(P227='G-1 All Habitats'!$X$3,H227-S227-T227,"None"))</f>
        <v/>
      </c>
      <c r="AD227" s="88" t="str">
        <f>IFERROR(AC227*J227*L227*#REF!*O227,IF(P227="","","None"))</f>
        <v/>
      </c>
      <c r="AF227" s="59" t="str">
        <f t="shared" si="15"/>
        <v/>
      </c>
      <c r="AG227" s="59" t="str">
        <f t="shared" si="16"/>
        <v/>
      </c>
      <c r="AH227" s="59" t="str">
        <f>IF(I227="","",IF(#REF!&gt;0,TRUE,FALSE))</f>
        <v/>
      </c>
      <c r="AI227" s="59">
        <v>217</v>
      </c>
      <c r="AJ227" s="59"/>
      <c r="AK227" s="59" t="str">
        <f t="array" ref="AK227">IFERROR(INDEX($AI$11:$AI$259, MATCH(0, IF(TRUE=$AF$11:$AF$259, COUNTIF($AK$10:$AK226, $AI$11:$AI$259), ""), 0)),"")</f>
        <v/>
      </c>
      <c r="AL227" s="59" t="str">
        <f t="array" ref="AL227">IFERROR(INDEX($AI$11:$AI$259, MATCH(0, IF(TRUE=$AG$11:$AG$259, COUNTIF($AL$10:$AL226, $AI$11:$AI$259), ""), 0)),"")</f>
        <v/>
      </c>
      <c r="AM227" s="59" t="str">
        <f t="array" ref="AM227">IFERROR(INDEX($AI$11:$AI$259, MATCH(0, IF(TRUE=$AH$11:$AH$259, COUNTIF($AM$10:$AM226, $AI$11:$AI$259), ""), 0)),"")</f>
        <v/>
      </c>
      <c r="AN227" s="59"/>
      <c r="AQ227" s="52">
        <f t="shared" si="17"/>
        <v>0</v>
      </c>
    </row>
    <row r="228" spans="1:43" x14ac:dyDescent="0.25">
      <c r="A228" s="52" t="str">
        <f>IFERROR(INDEX('G-1 All Habitats'!$AG$3:$AG$15,MATCH(E228,'G-1 All Habitats'!$AF$3:$AF$15,0)),"")</f>
        <v/>
      </c>
      <c r="B228" s="52" t="str">
        <f>IFERROR(INDEX('G-8 Condition Look up'!$I$4:$I$131,MATCH(G228,'G-8 Condition Look up'!$A$4:$A$131,0)),"")</f>
        <v/>
      </c>
      <c r="D228" s="89">
        <v>218</v>
      </c>
      <c r="E228" s="90"/>
      <c r="F228" s="91"/>
      <c r="G228" s="75" t="str">
        <f>IFERROR(INDEX('G-1 All Habitats'!$B$3:$B$130,MATCH(F228,'G-1 All Habitats'!$A$3:$A$130,0)),"")</f>
        <v/>
      </c>
      <c r="H228" s="76"/>
      <c r="I228" s="77" t="str">
        <f>IF(G228="","",VLOOKUP(G228,'G-1 All Habitats'!$B$2:$M$130,10,FALSE))</f>
        <v/>
      </c>
      <c r="J228" s="78" t="str">
        <f>IFERROR(VLOOKUP(I228,'G-1 All Habitats'!$V$3:$W$7,2,FALSE),"")</f>
        <v/>
      </c>
      <c r="K228" s="79"/>
      <c r="L228" s="78" t="str">
        <f>IFERROR(INDEX('G-8 Condition Look up'!$A$3:$H$131,MATCH(G228,'G-8 Condition Look up'!$A$3:$A$131,0),MATCH(K228,'G-8 Condition Look up'!$A$3:$H$3,0)),"")</f>
        <v/>
      </c>
      <c r="M228" s="79"/>
      <c r="N228" s="348" t="str">
        <f>IF(M228="","",IF(VLOOKUP(M228,'G-3 Multipliers'!$L$3:$N$6,2,FALSE)=0,"Spatial Data Missing",VLOOKUP(M228,'G-3 Multipliers'!$L$3:$N$6,2,FALSE)))</f>
        <v/>
      </c>
      <c r="O228" s="569" t="str">
        <f>IF(M228="","",IF(VLOOKUP(M228,'G-3 Multipliers'!$L$3:$N$6,3,FALSE)=0,"Spatial Data Missing",VLOOKUP(M228,'G-3 Multipliers'!$L$3:$N$6,3,FALSE)))</f>
        <v/>
      </c>
      <c r="P228" s="80" t="str">
        <f>IFERROR(VLOOKUP(G228,'G-1 All Habitats'!$B$2:$M$130,12,FALSE),"")</f>
        <v/>
      </c>
      <c r="Q228" s="81" t="str">
        <f>IFERROR(IF(P228="","",IF(AND(P228='G-1 All Habitats'!$X$3,T228&gt;0),U228+V228,IF(AND(P228='G-1 All Habitats'!$X$3,S228&gt;0),U228+V228,IF(AND(P228='G-1 All Habitats'!$X$3,AC228&gt;0),"Any Loss Unacceptable",IF(AND(P228='G-1 All Habitats'!$X$3,W228&gt;0),"Any Loss Unacceptable",H228*J228*L228*O228))))),"Check Data")</f>
        <v/>
      </c>
      <c r="R228" s="55"/>
      <c r="S228" s="79"/>
      <c r="T228" s="82"/>
      <c r="U228" s="83" t="str">
        <f t="shared" si="18"/>
        <v/>
      </c>
      <c r="V228" s="83" t="str">
        <f t="shared" si="19"/>
        <v/>
      </c>
      <c r="W228" s="83" t="str">
        <f>IF(E228="","",IF(H228&lt;S228+T228,"Error in Areas",IF(P228&lt;&gt;'G-1 All Habitats'!$X$3,H228-S228-T228,IF(AND(P228='G-1 All Habitats'!$X$3,Y228="Yes"),"Unacceptable Loss",IF(AND(P228='G-1 All Habitats'!$X$3,Y228="No"),AC228,IF(AND(P228='G-1 All Habitats'!$X$3,Y228=""),AC228,IF(AND(P228='G-1 All Habitats'!$X$3,AC228="None",AC228),IF(AND(P228='G-1 All Habitats'!$X$3,AC228&gt;0),H228-S228-T228))))))))</f>
        <v/>
      </c>
      <c r="X228" s="84" t="str">
        <f>IFERROR(IF(H228="","",IF(H228-S228-T228=0&lt;0,"Error in Areas",IF(S228+T228&gt;H228,"Error in Areas",IF(AND(P228='G-1 All Habitats'!$X$3,Y228="Yes"),"Alternative Compensation",IF(W228=0,0,IF(P228='G-1 All Habitats'!$X$3,"Unacceptable Loss",Q228-U228-V228)))))),"Check Data")</f>
        <v/>
      </c>
      <c r="Y228" s="82"/>
      <c r="Z228" s="92"/>
      <c r="AA228" s="93"/>
      <c r="AC228" s="87" t="str">
        <f>IF(P228="","",IF(P228='G-1 All Habitats'!$X$3,H228-S228-T228,"None"))</f>
        <v/>
      </c>
      <c r="AD228" s="88" t="str">
        <f>IFERROR(AC228*J228*L228*#REF!*O228,IF(P228="","","None"))</f>
        <v/>
      </c>
      <c r="AF228" s="59" t="str">
        <f t="shared" si="15"/>
        <v/>
      </c>
      <c r="AG228" s="59" t="str">
        <f t="shared" si="16"/>
        <v/>
      </c>
      <c r="AH228" s="59" t="str">
        <f>IF(I228="","",IF(#REF!&gt;0,TRUE,FALSE))</f>
        <v/>
      </c>
      <c r="AI228" s="59">
        <v>218</v>
      </c>
      <c r="AJ228" s="59"/>
      <c r="AK228" s="59" t="str">
        <f t="array" ref="AK228">IFERROR(INDEX($AI$11:$AI$259, MATCH(0, IF(TRUE=$AF$11:$AF$259, COUNTIF($AK$10:$AK227, $AI$11:$AI$259), ""), 0)),"")</f>
        <v/>
      </c>
      <c r="AL228" s="59" t="str">
        <f t="array" ref="AL228">IFERROR(INDEX($AI$11:$AI$259, MATCH(0, IF(TRUE=$AG$11:$AG$259, COUNTIF($AL$10:$AL227, $AI$11:$AI$259), ""), 0)),"")</f>
        <v/>
      </c>
      <c r="AM228" s="59" t="str">
        <f t="array" ref="AM228">IFERROR(INDEX($AI$11:$AI$259, MATCH(0, IF(TRUE=$AH$11:$AH$259, COUNTIF($AM$10:$AM227, $AI$11:$AI$259), ""), 0)),"")</f>
        <v/>
      </c>
      <c r="AN228" s="59"/>
      <c r="AQ228" s="52">
        <f t="shared" si="17"/>
        <v>0</v>
      </c>
    </row>
    <row r="229" spans="1:43" x14ac:dyDescent="0.25">
      <c r="A229" s="52" t="str">
        <f>IFERROR(INDEX('G-1 All Habitats'!$AG$3:$AG$15,MATCH(E229,'G-1 All Habitats'!$AF$3:$AF$15,0)),"")</f>
        <v/>
      </c>
      <c r="B229" s="52" t="str">
        <f>IFERROR(INDEX('G-8 Condition Look up'!$I$4:$I$131,MATCH(G229,'G-8 Condition Look up'!$A$4:$A$131,0)),"")</f>
        <v/>
      </c>
      <c r="D229" s="89">
        <v>219</v>
      </c>
      <c r="E229" s="90"/>
      <c r="F229" s="91"/>
      <c r="G229" s="75" t="str">
        <f>IFERROR(INDEX('G-1 All Habitats'!$B$3:$B$130,MATCH(F229,'G-1 All Habitats'!$A$3:$A$130,0)),"")</f>
        <v/>
      </c>
      <c r="H229" s="76"/>
      <c r="I229" s="77" t="str">
        <f>IF(G229="","",VLOOKUP(G229,'G-1 All Habitats'!$B$2:$M$130,10,FALSE))</f>
        <v/>
      </c>
      <c r="J229" s="78" t="str">
        <f>IFERROR(VLOOKUP(I229,'G-1 All Habitats'!$V$3:$W$7,2,FALSE),"")</f>
        <v/>
      </c>
      <c r="K229" s="79"/>
      <c r="L229" s="78" t="str">
        <f>IFERROR(INDEX('G-8 Condition Look up'!$A$3:$H$131,MATCH(G229,'G-8 Condition Look up'!$A$3:$A$131,0),MATCH(K229,'G-8 Condition Look up'!$A$3:$H$3,0)),"")</f>
        <v/>
      </c>
      <c r="M229" s="79"/>
      <c r="N229" s="348" t="str">
        <f>IF(M229="","",IF(VLOOKUP(M229,'G-3 Multipliers'!$L$3:$N$6,2,FALSE)=0,"Spatial Data Missing",VLOOKUP(M229,'G-3 Multipliers'!$L$3:$N$6,2,FALSE)))</f>
        <v/>
      </c>
      <c r="O229" s="569" t="str">
        <f>IF(M229="","",IF(VLOOKUP(M229,'G-3 Multipliers'!$L$3:$N$6,3,FALSE)=0,"Spatial Data Missing",VLOOKUP(M229,'G-3 Multipliers'!$L$3:$N$6,3,FALSE)))</f>
        <v/>
      </c>
      <c r="P229" s="80" t="str">
        <f>IFERROR(VLOOKUP(G229,'G-1 All Habitats'!$B$2:$M$130,12,FALSE),"")</f>
        <v/>
      </c>
      <c r="Q229" s="81" t="str">
        <f>IFERROR(IF(P229="","",IF(AND(P229='G-1 All Habitats'!$X$3,T229&gt;0),U229+V229,IF(AND(P229='G-1 All Habitats'!$X$3,S229&gt;0),U229+V229,IF(AND(P229='G-1 All Habitats'!$X$3,AC229&gt;0),"Any Loss Unacceptable",IF(AND(P229='G-1 All Habitats'!$X$3,W229&gt;0),"Any Loss Unacceptable",H229*J229*L229*O229))))),"Check Data")</f>
        <v/>
      </c>
      <c r="R229" s="55"/>
      <c r="S229" s="79"/>
      <c r="T229" s="82"/>
      <c r="U229" s="83" t="str">
        <f t="shared" si="18"/>
        <v/>
      </c>
      <c r="V229" s="83" t="str">
        <f t="shared" si="19"/>
        <v/>
      </c>
      <c r="W229" s="83" t="str">
        <f>IF(E229="","",IF(H229&lt;S229+T229,"Error in Areas",IF(P229&lt;&gt;'G-1 All Habitats'!$X$3,H229-S229-T229,IF(AND(P229='G-1 All Habitats'!$X$3,Y229="Yes"),"Unacceptable Loss",IF(AND(P229='G-1 All Habitats'!$X$3,Y229="No"),AC229,IF(AND(P229='G-1 All Habitats'!$X$3,Y229=""),AC229,IF(AND(P229='G-1 All Habitats'!$X$3,AC229="None",AC229),IF(AND(P229='G-1 All Habitats'!$X$3,AC229&gt;0),H229-S229-T229))))))))</f>
        <v/>
      </c>
      <c r="X229" s="84" t="str">
        <f>IFERROR(IF(H229="","",IF(H229-S229-T229=0&lt;0,"Error in Areas",IF(S229+T229&gt;H229,"Error in Areas",IF(AND(P229='G-1 All Habitats'!$X$3,Y229="Yes"),"Alternative Compensation",IF(W229=0,0,IF(P229='G-1 All Habitats'!$X$3,"Unacceptable Loss",Q229-U229-V229)))))),"Check Data")</f>
        <v/>
      </c>
      <c r="Y229" s="82"/>
      <c r="Z229" s="92"/>
      <c r="AA229" s="93"/>
      <c r="AC229" s="87" t="str">
        <f>IF(P229="","",IF(P229='G-1 All Habitats'!$X$3,H229-S229-T229,"None"))</f>
        <v/>
      </c>
      <c r="AD229" s="88" t="str">
        <f>IFERROR(AC229*J229*L229*#REF!*O229,IF(P229="","","None"))</f>
        <v/>
      </c>
      <c r="AF229" s="59" t="str">
        <f t="shared" si="15"/>
        <v/>
      </c>
      <c r="AG229" s="59" t="str">
        <f t="shared" si="16"/>
        <v/>
      </c>
      <c r="AH229" s="59" t="str">
        <f>IF(I229="","",IF(#REF!&gt;0,TRUE,FALSE))</f>
        <v/>
      </c>
      <c r="AI229" s="59">
        <v>219</v>
      </c>
      <c r="AJ229" s="59"/>
      <c r="AK229" s="59" t="str">
        <f t="array" ref="AK229">IFERROR(INDEX($AI$11:$AI$259, MATCH(0, IF(TRUE=$AF$11:$AF$259, COUNTIF($AK$10:$AK228, $AI$11:$AI$259), ""), 0)),"")</f>
        <v/>
      </c>
      <c r="AL229" s="59" t="str">
        <f t="array" ref="AL229">IFERROR(INDEX($AI$11:$AI$259, MATCH(0, IF(TRUE=$AG$11:$AG$259, COUNTIF($AL$10:$AL228, $AI$11:$AI$259), ""), 0)),"")</f>
        <v/>
      </c>
      <c r="AM229" s="59" t="str">
        <f t="array" ref="AM229">IFERROR(INDEX($AI$11:$AI$259, MATCH(0, IF(TRUE=$AH$11:$AH$259, COUNTIF($AM$10:$AM228, $AI$11:$AI$259), ""), 0)),"")</f>
        <v/>
      </c>
      <c r="AN229" s="59"/>
      <c r="AQ229" s="52">
        <f t="shared" si="17"/>
        <v>0</v>
      </c>
    </row>
    <row r="230" spans="1:43" x14ac:dyDescent="0.25">
      <c r="A230" s="52" t="str">
        <f>IFERROR(INDEX('G-1 All Habitats'!$AG$3:$AG$15,MATCH(E230,'G-1 All Habitats'!$AF$3:$AF$15,0)),"")</f>
        <v/>
      </c>
      <c r="B230" s="52" t="str">
        <f>IFERROR(INDEX('G-8 Condition Look up'!$I$4:$I$131,MATCH(G230,'G-8 Condition Look up'!$A$4:$A$131,0)),"")</f>
        <v/>
      </c>
      <c r="D230" s="89">
        <v>220</v>
      </c>
      <c r="E230" s="90"/>
      <c r="F230" s="91"/>
      <c r="G230" s="75" t="str">
        <f>IFERROR(INDEX('G-1 All Habitats'!$B$3:$B$130,MATCH(F230,'G-1 All Habitats'!$A$3:$A$130,0)),"")</f>
        <v/>
      </c>
      <c r="H230" s="76"/>
      <c r="I230" s="77" t="str">
        <f>IF(G230="","",VLOOKUP(G230,'G-1 All Habitats'!$B$2:$M$130,10,FALSE))</f>
        <v/>
      </c>
      <c r="J230" s="78" t="str">
        <f>IFERROR(VLOOKUP(I230,'G-1 All Habitats'!$V$3:$W$7,2,FALSE),"")</f>
        <v/>
      </c>
      <c r="K230" s="79"/>
      <c r="L230" s="78" t="str">
        <f>IFERROR(INDEX('G-8 Condition Look up'!$A$3:$H$131,MATCH(G230,'G-8 Condition Look up'!$A$3:$A$131,0),MATCH(K230,'G-8 Condition Look up'!$A$3:$H$3,0)),"")</f>
        <v/>
      </c>
      <c r="M230" s="79"/>
      <c r="N230" s="348" t="str">
        <f>IF(M230="","",IF(VLOOKUP(M230,'G-3 Multipliers'!$L$3:$N$6,2,FALSE)=0,"Spatial Data Missing",VLOOKUP(M230,'G-3 Multipliers'!$L$3:$N$6,2,FALSE)))</f>
        <v/>
      </c>
      <c r="O230" s="569" t="str">
        <f>IF(M230="","",IF(VLOOKUP(M230,'G-3 Multipliers'!$L$3:$N$6,3,FALSE)=0,"Spatial Data Missing",VLOOKUP(M230,'G-3 Multipliers'!$L$3:$N$6,3,FALSE)))</f>
        <v/>
      </c>
      <c r="P230" s="80" t="str">
        <f>IFERROR(VLOOKUP(G230,'G-1 All Habitats'!$B$2:$M$130,12,FALSE),"")</f>
        <v/>
      </c>
      <c r="Q230" s="81" t="str">
        <f>IFERROR(IF(P230="","",IF(AND(P230='G-1 All Habitats'!$X$3,T230&gt;0),U230+V230,IF(AND(P230='G-1 All Habitats'!$X$3,S230&gt;0),U230+V230,IF(AND(P230='G-1 All Habitats'!$X$3,AC230&gt;0),"Any Loss Unacceptable",IF(AND(P230='G-1 All Habitats'!$X$3,W230&gt;0),"Any Loss Unacceptable",H230*J230*L230*O230))))),"Check Data")</f>
        <v/>
      </c>
      <c r="R230" s="55"/>
      <c r="S230" s="79"/>
      <c r="T230" s="82"/>
      <c r="U230" s="83" t="str">
        <f t="shared" si="18"/>
        <v/>
      </c>
      <c r="V230" s="83" t="str">
        <f t="shared" si="19"/>
        <v/>
      </c>
      <c r="W230" s="83" t="str">
        <f>IF(E230="","",IF(H230&lt;S230+T230,"Error in Areas",IF(P230&lt;&gt;'G-1 All Habitats'!$X$3,H230-S230-T230,IF(AND(P230='G-1 All Habitats'!$X$3,Y230="Yes"),"Unacceptable Loss",IF(AND(P230='G-1 All Habitats'!$X$3,Y230="No"),AC230,IF(AND(P230='G-1 All Habitats'!$X$3,Y230=""),AC230,IF(AND(P230='G-1 All Habitats'!$X$3,AC230="None",AC230),IF(AND(P230='G-1 All Habitats'!$X$3,AC230&gt;0),H230-S230-T230))))))))</f>
        <v/>
      </c>
      <c r="X230" s="84" t="str">
        <f>IFERROR(IF(H230="","",IF(H230-S230-T230=0&lt;0,"Error in Areas",IF(S230+T230&gt;H230,"Error in Areas",IF(AND(P230='G-1 All Habitats'!$X$3,Y230="Yes"),"Alternative Compensation",IF(W230=0,0,IF(P230='G-1 All Habitats'!$X$3,"Unacceptable Loss",Q230-U230-V230)))))),"Check Data")</f>
        <v/>
      </c>
      <c r="Y230" s="82"/>
      <c r="Z230" s="92"/>
      <c r="AA230" s="93"/>
      <c r="AC230" s="87" t="str">
        <f>IF(P230="","",IF(P230='G-1 All Habitats'!$X$3,H230-S230-T230,"None"))</f>
        <v/>
      </c>
      <c r="AD230" s="88" t="str">
        <f>IFERROR(AC230*J230*L230*#REF!*O230,IF(P230="","","None"))</f>
        <v/>
      </c>
      <c r="AF230" s="59" t="str">
        <f t="shared" si="15"/>
        <v/>
      </c>
      <c r="AG230" s="59" t="str">
        <f t="shared" si="16"/>
        <v/>
      </c>
      <c r="AH230" s="59" t="str">
        <f>IF(I230="","",IF(#REF!&gt;0,TRUE,FALSE))</f>
        <v/>
      </c>
      <c r="AI230" s="59">
        <v>220</v>
      </c>
      <c r="AJ230" s="59"/>
      <c r="AK230" s="59" t="str">
        <f t="array" ref="AK230">IFERROR(INDEX($AI$11:$AI$259, MATCH(0, IF(TRUE=$AF$11:$AF$259, COUNTIF($AK$10:$AK229, $AI$11:$AI$259), ""), 0)),"")</f>
        <v/>
      </c>
      <c r="AL230" s="59" t="str">
        <f t="array" ref="AL230">IFERROR(INDEX($AI$11:$AI$259, MATCH(0, IF(TRUE=$AG$11:$AG$259, COUNTIF($AL$10:$AL229, $AI$11:$AI$259), ""), 0)),"")</f>
        <v/>
      </c>
      <c r="AM230" s="59" t="str">
        <f t="array" ref="AM230">IFERROR(INDEX($AI$11:$AI$259, MATCH(0, IF(TRUE=$AH$11:$AH$259, COUNTIF($AM$10:$AM229, $AI$11:$AI$259), ""), 0)),"")</f>
        <v/>
      </c>
      <c r="AN230" s="59"/>
      <c r="AQ230" s="52">
        <f t="shared" si="17"/>
        <v>0</v>
      </c>
    </row>
    <row r="231" spans="1:43" x14ac:dyDescent="0.25">
      <c r="A231" s="52" t="str">
        <f>IFERROR(INDEX('G-1 All Habitats'!$AG$3:$AG$15,MATCH(E231,'G-1 All Habitats'!$AF$3:$AF$15,0)),"")</f>
        <v/>
      </c>
      <c r="B231" s="52" t="str">
        <f>IFERROR(INDEX('G-8 Condition Look up'!$I$4:$I$131,MATCH(G231,'G-8 Condition Look up'!$A$4:$A$131,0)),"")</f>
        <v/>
      </c>
      <c r="D231" s="89">
        <v>221</v>
      </c>
      <c r="E231" s="90"/>
      <c r="F231" s="91"/>
      <c r="G231" s="75" t="str">
        <f>IFERROR(INDEX('G-1 All Habitats'!$B$3:$B$130,MATCH(F231,'G-1 All Habitats'!$A$3:$A$130,0)),"")</f>
        <v/>
      </c>
      <c r="H231" s="76"/>
      <c r="I231" s="77" t="str">
        <f>IF(G231="","",VLOOKUP(G231,'G-1 All Habitats'!$B$2:$M$130,10,FALSE))</f>
        <v/>
      </c>
      <c r="J231" s="78" t="str">
        <f>IFERROR(VLOOKUP(I231,'G-1 All Habitats'!$V$3:$W$7,2,FALSE),"")</f>
        <v/>
      </c>
      <c r="K231" s="79"/>
      <c r="L231" s="78" t="str">
        <f>IFERROR(INDEX('G-8 Condition Look up'!$A$3:$H$131,MATCH(G231,'G-8 Condition Look up'!$A$3:$A$131,0),MATCH(K231,'G-8 Condition Look up'!$A$3:$H$3,0)),"")</f>
        <v/>
      </c>
      <c r="M231" s="79"/>
      <c r="N231" s="348" t="str">
        <f>IF(M231="","",IF(VLOOKUP(M231,'G-3 Multipliers'!$L$3:$N$6,2,FALSE)=0,"Spatial Data Missing",VLOOKUP(M231,'G-3 Multipliers'!$L$3:$N$6,2,FALSE)))</f>
        <v/>
      </c>
      <c r="O231" s="569" t="str">
        <f>IF(M231="","",IF(VLOOKUP(M231,'G-3 Multipliers'!$L$3:$N$6,3,FALSE)=0,"Spatial Data Missing",VLOOKUP(M231,'G-3 Multipliers'!$L$3:$N$6,3,FALSE)))</f>
        <v/>
      </c>
      <c r="P231" s="80" t="str">
        <f>IFERROR(VLOOKUP(G231,'G-1 All Habitats'!$B$2:$M$130,12,FALSE),"")</f>
        <v/>
      </c>
      <c r="Q231" s="81" t="str">
        <f>IFERROR(IF(P231="","",IF(AND(P231='G-1 All Habitats'!$X$3,T231&gt;0),U231+V231,IF(AND(P231='G-1 All Habitats'!$X$3,S231&gt;0),U231+V231,IF(AND(P231='G-1 All Habitats'!$X$3,AC231&gt;0),"Any Loss Unacceptable",IF(AND(P231='G-1 All Habitats'!$X$3,W231&gt;0),"Any Loss Unacceptable",H231*J231*L231*O231))))),"Check Data")</f>
        <v/>
      </c>
      <c r="R231" s="55"/>
      <c r="S231" s="79"/>
      <c r="T231" s="82"/>
      <c r="U231" s="83" t="str">
        <f t="shared" si="18"/>
        <v/>
      </c>
      <c r="V231" s="83" t="str">
        <f t="shared" si="19"/>
        <v/>
      </c>
      <c r="W231" s="83" t="str">
        <f>IF(E231="","",IF(H231&lt;S231+T231,"Error in Areas",IF(P231&lt;&gt;'G-1 All Habitats'!$X$3,H231-S231-T231,IF(AND(P231='G-1 All Habitats'!$X$3,Y231="Yes"),"Unacceptable Loss",IF(AND(P231='G-1 All Habitats'!$X$3,Y231="No"),AC231,IF(AND(P231='G-1 All Habitats'!$X$3,Y231=""),AC231,IF(AND(P231='G-1 All Habitats'!$X$3,AC231="None",AC231),IF(AND(P231='G-1 All Habitats'!$X$3,AC231&gt;0),H231-S231-T231))))))))</f>
        <v/>
      </c>
      <c r="X231" s="84" t="str">
        <f>IFERROR(IF(H231="","",IF(H231-S231-T231=0&lt;0,"Error in Areas",IF(S231+T231&gt;H231,"Error in Areas",IF(AND(P231='G-1 All Habitats'!$X$3,Y231="Yes"),"Alternative Compensation",IF(W231=0,0,IF(P231='G-1 All Habitats'!$X$3,"Unacceptable Loss",Q231-U231-V231)))))),"Check Data")</f>
        <v/>
      </c>
      <c r="Y231" s="82"/>
      <c r="Z231" s="92"/>
      <c r="AA231" s="93"/>
      <c r="AC231" s="87" t="str">
        <f>IF(P231="","",IF(P231='G-1 All Habitats'!$X$3,H231-S231-T231,"None"))</f>
        <v/>
      </c>
      <c r="AD231" s="88" t="str">
        <f>IFERROR(AC231*J231*L231*#REF!*O231,IF(P231="","","None"))</f>
        <v/>
      </c>
      <c r="AF231" s="59" t="str">
        <f t="shared" si="15"/>
        <v/>
      </c>
      <c r="AG231" s="59" t="str">
        <f t="shared" si="16"/>
        <v/>
      </c>
      <c r="AH231" s="59" t="str">
        <f>IF(I231="","",IF(#REF!&gt;0,TRUE,FALSE))</f>
        <v/>
      </c>
      <c r="AI231" s="59">
        <v>221</v>
      </c>
      <c r="AJ231" s="59"/>
      <c r="AK231" s="59" t="str">
        <f t="array" ref="AK231">IFERROR(INDEX($AI$11:$AI$259, MATCH(0, IF(TRUE=$AF$11:$AF$259, COUNTIF($AK$10:$AK230, $AI$11:$AI$259), ""), 0)),"")</f>
        <v/>
      </c>
      <c r="AL231" s="59" t="str">
        <f t="array" ref="AL231">IFERROR(INDEX($AI$11:$AI$259, MATCH(0, IF(TRUE=$AG$11:$AG$259, COUNTIF($AL$10:$AL230, $AI$11:$AI$259), ""), 0)),"")</f>
        <v/>
      </c>
      <c r="AM231" s="59" t="str">
        <f t="array" ref="AM231">IFERROR(INDEX($AI$11:$AI$259, MATCH(0, IF(TRUE=$AH$11:$AH$259, COUNTIF($AM$10:$AM230, $AI$11:$AI$259), ""), 0)),"")</f>
        <v/>
      </c>
      <c r="AN231" s="59"/>
      <c r="AQ231" s="52">
        <f t="shared" si="17"/>
        <v>0</v>
      </c>
    </row>
    <row r="232" spans="1:43" x14ac:dyDescent="0.25">
      <c r="A232" s="52" t="str">
        <f>IFERROR(INDEX('G-1 All Habitats'!$AG$3:$AG$15,MATCH(E232,'G-1 All Habitats'!$AF$3:$AF$15,0)),"")</f>
        <v/>
      </c>
      <c r="B232" s="52" t="str">
        <f>IFERROR(INDEX('G-8 Condition Look up'!$I$4:$I$131,MATCH(G232,'G-8 Condition Look up'!$A$4:$A$131,0)),"")</f>
        <v/>
      </c>
      <c r="D232" s="89">
        <v>222</v>
      </c>
      <c r="E232" s="90"/>
      <c r="F232" s="91"/>
      <c r="G232" s="75" t="str">
        <f>IFERROR(INDEX('G-1 All Habitats'!$B$3:$B$130,MATCH(F232,'G-1 All Habitats'!$A$3:$A$130,0)),"")</f>
        <v/>
      </c>
      <c r="H232" s="76"/>
      <c r="I232" s="77" t="str">
        <f>IF(G232="","",VLOOKUP(G232,'G-1 All Habitats'!$B$2:$M$130,10,FALSE))</f>
        <v/>
      </c>
      <c r="J232" s="78" t="str">
        <f>IFERROR(VLOOKUP(I232,'G-1 All Habitats'!$V$3:$W$7,2,FALSE),"")</f>
        <v/>
      </c>
      <c r="K232" s="79"/>
      <c r="L232" s="78" t="str">
        <f>IFERROR(INDEX('G-8 Condition Look up'!$A$3:$H$131,MATCH(G232,'G-8 Condition Look up'!$A$3:$A$131,0),MATCH(K232,'G-8 Condition Look up'!$A$3:$H$3,0)),"")</f>
        <v/>
      </c>
      <c r="M232" s="79"/>
      <c r="N232" s="348" t="str">
        <f>IF(M232="","",IF(VLOOKUP(M232,'G-3 Multipliers'!$L$3:$N$6,2,FALSE)=0,"Spatial Data Missing",VLOOKUP(M232,'G-3 Multipliers'!$L$3:$N$6,2,FALSE)))</f>
        <v/>
      </c>
      <c r="O232" s="569" t="str">
        <f>IF(M232="","",IF(VLOOKUP(M232,'G-3 Multipliers'!$L$3:$N$6,3,FALSE)=0,"Spatial Data Missing",VLOOKUP(M232,'G-3 Multipliers'!$L$3:$N$6,3,FALSE)))</f>
        <v/>
      </c>
      <c r="P232" s="80" t="str">
        <f>IFERROR(VLOOKUP(G232,'G-1 All Habitats'!$B$2:$M$130,12,FALSE),"")</f>
        <v/>
      </c>
      <c r="Q232" s="81" t="str">
        <f>IFERROR(IF(P232="","",IF(AND(P232='G-1 All Habitats'!$X$3,T232&gt;0),U232+V232,IF(AND(P232='G-1 All Habitats'!$X$3,S232&gt;0),U232+V232,IF(AND(P232='G-1 All Habitats'!$X$3,AC232&gt;0),"Any Loss Unacceptable",IF(AND(P232='G-1 All Habitats'!$X$3,W232&gt;0),"Any Loss Unacceptable",H232*J232*L232*O232))))),"Check Data")</f>
        <v/>
      </c>
      <c r="R232" s="55"/>
      <c r="S232" s="79"/>
      <c r="T232" s="82"/>
      <c r="U232" s="83" t="str">
        <f t="shared" si="18"/>
        <v/>
      </c>
      <c r="V232" s="83" t="str">
        <f t="shared" si="19"/>
        <v/>
      </c>
      <c r="W232" s="83" t="str">
        <f>IF(E232="","",IF(H232&lt;S232+T232,"Error in Areas",IF(P232&lt;&gt;'G-1 All Habitats'!$X$3,H232-S232-T232,IF(AND(P232='G-1 All Habitats'!$X$3,Y232="Yes"),"Unacceptable Loss",IF(AND(P232='G-1 All Habitats'!$X$3,Y232="No"),AC232,IF(AND(P232='G-1 All Habitats'!$X$3,Y232=""),AC232,IF(AND(P232='G-1 All Habitats'!$X$3,AC232="None",AC232),IF(AND(P232='G-1 All Habitats'!$X$3,AC232&gt;0),H232-S232-T232))))))))</f>
        <v/>
      </c>
      <c r="X232" s="84" t="str">
        <f>IFERROR(IF(H232="","",IF(H232-S232-T232=0&lt;0,"Error in Areas",IF(S232+T232&gt;H232,"Error in Areas",IF(AND(P232='G-1 All Habitats'!$X$3,Y232="Yes"),"Alternative Compensation",IF(W232=0,0,IF(P232='G-1 All Habitats'!$X$3,"Unacceptable Loss",Q232-U232-V232)))))),"Check Data")</f>
        <v/>
      </c>
      <c r="Y232" s="82"/>
      <c r="Z232" s="92"/>
      <c r="AA232" s="93"/>
      <c r="AC232" s="87" t="str">
        <f>IF(P232="","",IF(P232='G-1 All Habitats'!$X$3,H232-S232-T232,"None"))</f>
        <v/>
      </c>
      <c r="AD232" s="88" t="str">
        <f>IFERROR(AC232*J232*L232*#REF!*O232,IF(P232="","","None"))</f>
        <v/>
      </c>
      <c r="AF232" s="59" t="str">
        <f t="shared" si="15"/>
        <v/>
      </c>
      <c r="AG232" s="59" t="str">
        <f t="shared" si="16"/>
        <v/>
      </c>
      <c r="AH232" s="59" t="str">
        <f>IF(I232="","",IF(#REF!&gt;0,TRUE,FALSE))</f>
        <v/>
      </c>
      <c r="AI232" s="59">
        <v>222</v>
      </c>
      <c r="AJ232" s="59"/>
      <c r="AK232" s="59" t="str">
        <f t="array" ref="AK232">IFERROR(INDEX($AI$11:$AI$259, MATCH(0, IF(TRUE=$AF$11:$AF$259, COUNTIF($AK$10:$AK231, $AI$11:$AI$259), ""), 0)),"")</f>
        <v/>
      </c>
      <c r="AL232" s="59" t="str">
        <f t="array" ref="AL232">IFERROR(INDEX($AI$11:$AI$259, MATCH(0, IF(TRUE=$AG$11:$AG$259, COUNTIF($AL$10:$AL231, $AI$11:$AI$259), ""), 0)),"")</f>
        <v/>
      </c>
      <c r="AM232" s="59" t="str">
        <f t="array" ref="AM232">IFERROR(INDEX($AI$11:$AI$259, MATCH(0, IF(TRUE=$AH$11:$AH$259, COUNTIF($AM$10:$AM231, $AI$11:$AI$259), ""), 0)),"")</f>
        <v/>
      </c>
      <c r="AN232" s="59"/>
      <c r="AQ232" s="52">
        <f t="shared" si="17"/>
        <v>0</v>
      </c>
    </row>
    <row r="233" spans="1:43" x14ac:dyDescent="0.25">
      <c r="A233" s="52" t="str">
        <f>IFERROR(INDEX('G-1 All Habitats'!$AG$3:$AG$15,MATCH(E233,'G-1 All Habitats'!$AF$3:$AF$15,0)),"")</f>
        <v/>
      </c>
      <c r="B233" s="52" t="str">
        <f>IFERROR(INDEX('G-8 Condition Look up'!$I$4:$I$131,MATCH(G233,'G-8 Condition Look up'!$A$4:$A$131,0)),"")</f>
        <v/>
      </c>
      <c r="D233" s="89">
        <v>223</v>
      </c>
      <c r="E233" s="90"/>
      <c r="F233" s="91"/>
      <c r="G233" s="75" t="str">
        <f>IFERROR(INDEX('G-1 All Habitats'!$B$3:$B$130,MATCH(F233,'G-1 All Habitats'!$A$3:$A$130,0)),"")</f>
        <v/>
      </c>
      <c r="H233" s="76"/>
      <c r="I233" s="77" t="str">
        <f>IF(G233="","",VLOOKUP(G233,'G-1 All Habitats'!$B$2:$M$130,10,FALSE))</f>
        <v/>
      </c>
      <c r="J233" s="78" t="str">
        <f>IFERROR(VLOOKUP(I233,'G-1 All Habitats'!$V$3:$W$7,2,FALSE),"")</f>
        <v/>
      </c>
      <c r="K233" s="79"/>
      <c r="L233" s="78" t="str">
        <f>IFERROR(INDEX('G-8 Condition Look up'!$A$3:$H$131,MATCH(G233,'G-8 Condition Look up'!$A$3:$A$131,0),MATCH(K233,'G-8 Condition Look up'!$A$3:$H$3,0)),"")</f>
        <v/>
      </c>
      <c r="M233" s="79"/>
      <c r="N233" s="348" t="str">
        <f>IF(M233="","",IF(VLOOKUP(M233,'G-3 Multipliers'!$L$3:$N$6,2,FALSE)=0,"Spatial Data Missing",VLOOKUP(M233,'G-3 Multipliers'!$L$3:$N$6,2,FALSE)))</f>
        <v/>
      </c>
      <c r="O233" s="569" t="str">
        <f>IF(M233="","",IF(VLOOKUP(M233,'G-3 Multipliers'!$L$3:$N$6,3,FALSE)=0,"Spatial Data Missing",VLOOKUP(M233,'G-3 Multipliers'!$L$3:$N$6,3,FALSE)))</f>
        <v/>
      </c>
      <c r="P233" s="80" t="str">
        <f>IFERROR(VLOOKUP(G233,'G-1 All Habitats'!$B$2:$M$130,12,FALSE),"")</f>
        <v/>
      </c>
      <c r="Q233" s="81" t="str">
        <f>IFERROR(IF(P233="","",IF(AND(P233='G-1 All Habitats'!$X$3,T233&gt;0),U233+V233,IF(AND(P233='G-1 All Habitats'!$X$3,S233&gt;0),U233+V233,IF(AND(P233='G-1 All Habitats'!$X$3,AC233&gt;0),"Any Loss Unacceptable",IF(AND(P233='G-1 All Habitats'!$X$3,W233&gt;0),"Any Loss Unacceptable",H233*J233*L233*O233))))),"Check Data")</f>
        <v/>
      </c>
      <c r="R233" s="55"/>
      <c r="S233" s="79"/>
      <c r="T233" s="82"/>
      <c r="U233" s="83" t="str">
        <f t="shared" si="18"/>
        <v/>
      </c>
      <c r="V233" s="83" t="str">
        <f t="shared" si="19"/>
        <v/>
      </c>
      <c r="W233" s="83" t="str">
        <f>IF(E233="","",IF(H233&lt;S233+T233,"Error in Areas",IF(P233&lt;&gt;'G-1 All Habitats'!$X$3,H233-S233-T233,IF(AND(P233='G-1 All Habitats'!$X$3,Y233="Yes"),"Unacceptable Loss",IF(AND(P233='G-1 All Habitats'!$X$3,Y233="No"),AC233,IF(AND(P233='G-1 All Habitats'!$X$3,Y233=""),AC233,IF(AND(P233='G-1 All Habitats'!$X$3,AC233="None",AC233),IF(AND(P233='G-1 All Habitats'!$X$3,AC233&gt;0),H233-S233-T233))))))))</f>
        <v/>
      </c>
      <c r="X233" s="84" t="str">
        <f>IFERROR(IF(H233="","",IF(H233-S233-T233=0&lt;0,"Error in Areas",IF(S233+T233&gt;H233,"Error in Areas",IF(AND(P233='G-1 All Habitats'!$X$3,Y233="Yes"),"Alternative Compensation",IF(W233=0,0,IF(P233='G-1 All Habitats'!$X$3,"Unacceptable Loss",Q233-U233-V233)))))),"Check Data")</f>
        <v/>
      </c>
      <c r="Y233" s="82"/>
      <c r="Z233" s="92"/>
      <c r="AA233" s="93"/>
      <c r="AC233" s="87" t="str">
        <f>IF(P233="","",IF(P233='G-1 All Habitats'!$X$3,H233-S233-T233,"None"))</f>
        <v/>
      </c>
      <c r="AD233" s="88" t="str">
        <f>IFERROR(AC233*J233*L233*#REF!*O233,IF(P233="","","None"))</f>
        <v/>
      </c>
      <c r="AF233" s="59" t="str">
        <f t="shared" si="15"/>
        <v/>
      </c>
      <c r="AG233" s="59" t="str">
        <f t="shared" si="16"/>
        <v/>
      </c>
      <c r="AH233" s="59" t="str">
        <f>IF(I233="","",IF(#REF!&gt;0,TRUE,FALSE))</f>
        <v/>
      </c>
      <c r="AI233" s="59">
        <v>223</v>
      </c>
      <c r="AJ233" s="59"/>
      <c r="AK233" s="59" t="str">
        <f t="array" ref="AK233">IFERROR(INDEX($AI$11:$AI$259, MATCH(0, IF(TRUE=$AF$11:$AF$259, COUNTIF($AK$10:$AK232, $AI$11:$AI$259), ""), 0)),"")</f>
        <v/>
      </c>
      <c r="AL233" s="59" t="str">
        <f t="array" ref="AL233">IFERROR(INDEX($AI$11:$AI$259, MATCH(0, IF(TRUE=$AG$11:$AG$259, COUNTIF($AL$10:$AL232, $AI$11:$AI$259), ""), 0)),"")</f>
        <v/>
      </c>
      <c r="AM233" s="59" t="str">
        <f t="array" ref="AM233">IFERROR(INDEX($AI$11:$AI$259, MATCH(0, IF(TRUE=$AH$11:$AH$259, COUNTIF($AM$10:$AM232, $AI$11:$AI$259), ""), 0)),"")</f>
        <v/>
      </c>
      <c r="AN233" s="59"/>
      <c r="AQ233" s="52">
        <f t="shared" si="17"/>
        <v>0</v>
      </c>
    </row>
    <row r="234" spans="1:43" x14ac:dyDescent="0.25">
      <c r="A234" s="52" t="str">
        <f>IFERROR(INDEX('G-1 All Habitats'!$AG$3:$AG$15,MATCH(E234,'G-1 All Habitats'!$AF$3:$AF$15,0)),"")</f>
        <v/>
      </c>
      <c r="B234" s="52" t="str">
        <f>IFERROR(INDEX('G-8 Condition Look up'!$I$4:$I$131,MATCH(G234,'G-8 Condition Look up'!$A$4:$A$131,0)),"")</f>
        <v/>
      </c>
      <c r="D234" s="89">
        <v>224</v>
      </c>
      <c r="E234" s="90"/>
      <c r="F234" s="91"/>
      <c r="G234" s="75" t="str">
        <f>IFERROR(INDEX('G-1 All Habitats'!$B$3:$B$130,MATCH(F234,'G-1 All Habitats'!$A$3:$A$130,0)),"")</f>
        <v/>
      </c>
      <c r="H234" s="76"/>
      <c r="I234" s="77" t="str">
        <f>IF(G234="","",VLOOKUP(G234,'G-1 All Habitats'!$B$2:$M$130,10,FALSE))</f>
        <v/>
      </c>
      <c r="J234" s="78" t="str">
        <f>IFERROR(VLOOKUP(I234,'G-1 All Habitats'!$V$3:$W$7,2,FALSE),"")</f>
        <v/>
      </c>
      <c r="K234" s="79"/>
      <c r="L234" s="78" t="str">
        <f>IFERROR(INDEX('G-8 Condition Look up'!$A$3:$H$131,MATCH(G234,'G-8 Condition Look up'!$A$3:$A$131,0),MATCH(K234,'G-8 Condition Look up'!$A$3:$H$3,0)),"")</f>
        <v/>
      </c>
      <c r="M234" s="79"/>
      <c r="N234" s="348" t="str">
        <f>IF(M234="","",IF(VLOOKUP(M234,'G-3 Multipliers'!$L$3:$N$6,2,FALSE)=0,"Spatial Data Missing",VLOOKUP(M234,'G-3 Multipliers'!$L$3:$N$6,2,FALSE)))</f>
        <v/>
      </c>
      <c r="O234" s="569" t="str">
        <f>IF(M234="","",IF(VLOOKUP(M234,'G-3 Multipliers'!$L$3:$N$6,3,FALSE)=0,"Spatial Data Missing",VLOOKUP(M234,'G-3 Multipliers'!$L$3:$N$6,3,FALSE)))</f>
        <v/>
      </c>
      <c r="P234" s="80" t="str">
        <f>IFERROR(VLOOKUP(G234,'G-1 All Habitats'!$B$2:$M$130,12,FALSE),"")</f>
        <v/>
      </c>
      <c r="Q234" s="81" t="str">
        <f>IFERROR(IF(P234="","",IF(AND(P234='G-1 All Habitats'!$X$3,T234&gt;0),U234+V234,IF(AND(P234='G-1 All Habitats'!$X$3,S234&gt;0),U234+V234,IF(AND(P234='G-1 All Habitats'!$X$3,AC234&gt;0),"Any Loss Unacceptable",IF(AND(P234='G-1 All Habitats'!$X$3,W234&gt;0),"Any Loss Unacceptable",H234*J234*L234*O234))))),"Check Data")</f>
        <v/>
      </c>
      <c r="R234" s="55"/>
      <c r="S234" s="79"/>
      <c r="T234" s="82"/>
      <c r="U234" s="83" t="str">
        <f t="shared" si="18"/>
        <v/>
      </c>
      <c r="V234" s="83" t="str">
        <f t="shared" si="19"/>
        <v/>
      </c>
      <c r="W234" s="83" t="str">
        <f>IF(E234="","",IF(H234&lt;S234+T234,"Error in Areas",IF(P234&lt;&gt;'G-1 All Habitats'!$X$3,H234-S234-T234,IF(AND(P234='G-1 All Habitats'!$X$3,Y234="Yes"),"Unacceptable Loss",IF(AND(P234='G-1 All Habitats'!$X$3,Y234="No"),AC234,IF(AND(P234='G-1 All Habitats'!$X$3,Y234=""),AC234,IF(AND(P234='G-1 All Habitats'!$X$3,AC234="None",AC234),IF(AND(P234='G-1 All Habitats'!$X$3,AC234&gt;0),H234-S234-T234))))))))</f>
        <v/>
      </c>
      <c r="X234" s="84" t="str">
        <f>IFERROR(IF(H234="","",IF(H234-S234-T234=0&lt;0,"Error in Areas",IF(S234+T234&gt;H234,"Error in Areas",IF(AND(P234='G-1 All Habitats'!$X$3,Y234="Yes"),"Alternative Compensation",IF(W234=0,0,IF(P234='G-1 All Habitats'!$X$3,"Unacceptable Loss",Q234-U234-V234)))))),"Check Data")</f>
        <v/>
      </c>
      <c r="Y234" s="82"/>
      <c r="Z234" s="92"/>
      <c r="AA234" s="93"/>
      <c r="AC234" s="87" t="str">
        <f>IF(P234="","",IF(P234='G-1 All Habitats'!$X$3,H234-S234-T234,"None"))</f>
        <v/>
      </c>
      <c r="AD234" s="88" t="str">
        <f>IFERROR(AC234*J234*L234*#REF!*O234,IF(P234="","","None"))</f>
        <v/>
      </c>
      <c r="AF234" s="59" t="str">
        <f t="shared" si="15"/>
        <v/>
      </c>
      <c r="AG234" s="59" t="str">
        <f t="shared" si="16"/>
        <v/>
      </c>
      <c r="AH234" s="59" t="str">
        <f>IF(I234="","",IF(#REF!&gt;0,TRUE,FALSE))</f>
        <v/>
      </c>
      <c r="AI234" s="59">
        <v>224</v>
      </c>
      <c r="AJ234" s="59"/>
      <c r="AK234" s="59" t="str">
        <f t="array" ref="AK234">IFERROR(INDEX($AI$11:$AI$259, MATCH(0, IF(TRUE=$AF$11:$AF$259, COUNTIF($AK$10:$AK233, $AI$11:$AI$259), ""), 0)),"")</f>
        <v/>
      </c>
      <c r="AL234" s="59" t="str">
        <f t="array" ref="AL234">IFERROR(INDEX($AI$11:$AI$259, MATCH(0, IF(TRUE=$AG$11:$AG$259, COUNTIF($AL$10:$AL233, $AI$11:$AI$259), ""), 0)),"")</f>
        <v/>
      </c>
      <c r="AM234" s="59" t="str">
        <f t="array" ref="AM234">IFERROR(INDEX($AI$11:$AI$259, MATCH(0, IF(TRUE=$AH$11:$AH$259, COUNTIF($AM$10:$AM233, $AI$11:$AI$259), ""), 0)),"")</f>
        <v/>
      </c>
      <c r="AN234" s="59"/>
      <c r="AQ234" s="52">
        <f t="shared" si="17"/>
        <v>0</v>
      </c>
    </row>
    <row r="235" spans="1:43" x14ac:dyDescent="0.25">
      <c r="A235" s="52" t="str">
        <f>IFERROR(INDEX('G-1 All Habitats'!$AG$3:$AG$15,MATCH(E235,'G-1 All Habitats'!$AF$3:$AF$15,0)),"")</f>
        <v/>
      </c>
      <c r="B235" s="52" t="str">
        <f>IFERROR(INDEX('G-8 Condition Look up'!$I$4:$I$131,MATCH(G235,'G-8 Condition Look up'!$A$4:$A$131,0)),"")</f>
        <v/>
      </c>
      <c r="D235" s="89">
        <v>225</v>
      </c>
      <c r="E235" s="90"/>
      <c r="F235" s="91"/>
      <c r="G235" s="75" t="str">
        <f>IFERROR(INDEX('G-1 All Habitats'!$B$3:$B$130,MATCH(F235,'G-1 All Habitats'!$A$3:$A$130,0)),"")</f>
        <v/>
      </c>
      <c r="H235" s="76"/>
      <c r="I235" s="77" t="str">
        <f>IF(G235="","",VLOOKUP(G235,'G-1 All Habitats'!$B$2:$M$130,10,FALSE))</f>
        <v/>
      </c>
      <c r="J235" s="78" t="str">
        <f>IFERROR(VLOOKUP(I235,'G-1 All Habitats'!$V$3:$W$7,2,FALSE),"")</f>
        <v/>
      </c>
      <c r="K235" s="79"/>
      <c r="L235" s="78" t="str">
        <f>IFERROR(INDEX('G-8 Condition Look up'!$A$3:$H$131,MATCH(G235,'G-8 Condition Look up'!$A$3:$A$131,0),MATCH(K235,'G-8 Condition Look up'!$A$3:$H$3,0)),"")</f>
        <v/>
      </c>
      <c r="M235" s="79"/>
      <c r="N235" s="348" t="str">
        <f>IF(M235="","",IF(VLOOKUP(M235,'G-3 Multipliers'!$L$3:$N$6,2,FALSE)=0,"Spatial Data Missing",VLOOKUP(M235,'G-3 Multipliers'!$L$3:$N$6,2,FALSE)))</f>
        <v/>
      </c>
      <c r="O235" s="569" t="str">
        <f>IF(M235="","",IF(VLOOKUP(M235,'G-3 Multipliers'!$L$3:$N$6,3,FALSE)=0,"Spatial Data Missing",VLOOKUP(M235,'G-3 Multipliers'!$L$3:$N$6,3,FALSE)))</f>
        <v/>
      </c>
      <c r="P235" s="80" t="str">
        <f>IFERROR(VLOOKUP(G235,'G-1 All Habitats'!$B$2:$M$130,12,FALSE),"")</f>
        <v/>
      </c>
      <c r="Q235" s="81" t="str">
        <f>IFERROR(IF(P235="","",IF(AND(P235='G-1 All Habitats'!$X$3,T235&gt;0),U235+V235,IF(AND(P235='G-1 All Habitats'!$X$3,S235&gt;0),U235+V235,IF(AND(P235='G-1 All Habitats'!$X$3,AC235&gt;0),"Any Loss Unacceptable",IF(AND(P235='G-1 All Habitats'!$X$3,W235&gt;0),"Any Loss Unacceptable",H235*J235*L235*O235))))),"Check Data")</f>
        <v/>
      </c>
      <c r="R235" s="55"/>
      <c r="S235" s="79"/>
      <c r="T235" s="82"/>
      <c r="U235" s="83" t="str">
        <f t="shared" si="18"/>
        <v/>
      </c>
      <c r="V235" s="83" t="str">
        <f t="shared" si="19"/>
        <v/>
      </c>
      <c r="W235" s="83" t="str">
        <f>IF(E235="","",IF(H235&lt;S235+T235,"Error in Areas",IF(P235&lt;&gt;'G-1 All Habitats'!$X$3,H235-S235-T235,IF(AND(P235='G-1 All Habitats'!$X$3,Y235="Yes"),"Unacceptable Loss",IF(AND(P235='G-1 All Habitats'!$X$3,Y235="No"),AC235,IF(AND(P235='G-1 All Habitats'!$X$3,Y235=""),AC235,IF(AND(P235='G-1 All Habitats'!$X$3,AC235="None",AC235),IF(AND(P235='G-1 All Habitats'!$X$3,AC235&gt;0),H235-S235-T235))))))))</f>
        <v/>
      </c>
      <c r="X235" s="84" t="str">
        <f>IFERROR(IF(H235="","",IF(H235-S235-T235=0&lt;0,"Error in Areas",IF(S235+T235&gt;H235,"Error in Areas",IF(AND(P235='G-1 All Habitats'!$X$3,Y235="Yes"),"Alternative Compensation",IF(W235=0,0,IF(P235='G-1 All Habitats'!$X$3,"Unacceptable Loss",Q235-U235-V235)))))),"Check Data")</f>
        <v/>
      </c>
      <c r="Y235" s="82"/>
      <c r="Z235" s="92"/>
      <c r="AA235" s="93"/>
      <c r="AC235" s="87" t="str">
        <f>IF(P235="","",IF(P235='G-1 All Habitats'!$X$3,H235-S235-T235,"None"))</f>
        <v/>
      </c>
      <c r="AD235" s="88" t="str">
        <f>IFERROR(AC235*J235*L235*#REF!*O235,IF(P235="","","None"))</f>
        <v/>
      </c>
      <c r="AF235" s="59" t="str">
        <f t="shared" si="15"/>
        <v/>
      </c>
      <c r="AG235" s="59" t="str">
        <f t="shared" si="16"/>
        <v/>
      </c>
      <c r="AH235" s="59" t="str">
        <f>IF(I235="","",IF(#REF!&gt;0,TRUE,FALSE))</f>
        <v/>
      </c>
      <c r="AI235" s="59">
        <v>225</v>
      </c>
      <c r="AJ235" s="59"/>
      <c r="AK235" s="59" t="str">
        <f t="array" ref="AK235">IFERROR(INDEX($AI$11:$AI$259, MATCH(0, IF(TRUE=$AF$11:$AF$259, COUNTIF($AK$10:$AK234, $AI$11:$AI$259), ""), 0)),"")</f>
        <v/>
      </c>
      <c r="AL235" s="59" t="str">
        <f t="array" ref="AL235">IFERROR(INDEX($AI$11:$AI$259, MATCH(0, IF(TRUE=$AG$11:$AG$259, COUNTIF($AL$10:$AL234, $AI$11:$AI$259), ""), 0)),"")</f>
        <v/>
      </c>
      <c r="AM235" s="59" t="str">
        <f t="array" ref="AM235">IFERROR(INDEX($AI$11:$AI$259, MATCH(0, IF(TRUE=$AH$11:$AH$259, COUNTIF($AM$10:$AM234, $AI$11:$AI$259), ""), 0)),"")</f>
        <v/>
      </c>
      <c r="AN235" s="59"/>
      <c r="AQ235" s="52">
        <f t="shared" si="17"/>
        <v>0</v>
      </c>
    </row>
    <row r="236" spans="1:43" x14ac:dyDescent="0.25">
      <c r="A236" s="52" t="str">
        <f>IFERROR(INDEX('G-1 All Habitats'!$AG$3:$AG$15,MATCH(E236,'G-1 All Habitats'!$AF$3:$AF$15,0)),"")</f>
        <v/>
      </c>
      <c r="B236" s="52" t="str">
        <f>IFERROR(INDEX('G-8 Condition Look up'!$I$4:$I$131,MATCH(G236,'G-8 Condition Look up'!$A$4:$A$131,0)),"")</f>
        <v/>
      </c>
      <c r="D236" s="89">
        <v>226</v>
      </c>
      <c r="E236" s="90"/>
      <c r="F236" s="91"/>
      <c r="G236" s="75" t="str">
        <f>IFERROR(INDEX('G-1 All Habitats'!$B$3:$B$130,MATCH(F236,'G-1 All Habitats'!$A$3:$A$130,0)),"")</f>
        <v/>
      </c>
      <c r="H236" s="76"/>
      <c r="I236" s="77" t="str">
        <f>IF(G236="","",VLOOKUP(G236,'G-1 All Habitats'!$B$2:$M$130,10,FALSE))</f>
        <v/>
      </c>
      <c r="J236" s="78" t="str">
        <f>IFERROR(VLOOKUP(I236,'G-1 All Habitats'!$V$3:$W$7,2,FALSE),"")</f>
        <v/>
      </c>
      <c r="K236" s="79"/>
      <c r="L236" s="78" t="str">
        <f>IFERROR(INDEX('G-8 Condition Look up'!$A$3:$H$131,MATCH(G236,'G-8 Condition Look up'!$A$3:$A$131,0),MATCH(K236,'G-8 Condition Look up'!$A$3:$H$3,0)),"")</f>
        <v/>
      </c>
      <c r="M236" s="79"/>
      <c r="N236" s="348" t="str">
        <f>IF(M236="","",IF(VLOOKUP(M236,'G-3 Multipliers'!$L$3:$N$6,2,FALSE)=0,"Spatial Data Missing",VLOOKUP(M236,'G-3 Multipliers'!$L$3:$N$6,2,FALSE)))</f>
        <v/>
      </c>
      <c r="O236" s="569" t="str">
        <f>IF(M236="","",IF(VLOOKUP(M236,'G-3 Multipliers'!$L$3:$N$6,3,FALSE)=0,"Spatial Data Missing",VLOOKUP(M236,'G-3 Multipliers'!$L$3:$N$6,3,FALSE)))</f>
        <v/>
      </c>
      <c r="P236" s="80" t="str">
        <f>IFERROR(VLOOKUP(G236,'G-1 All Habitats'!$B$2:$M$130,12,FALSE),"")</f>
        <v/>
      </c>
      <c r="Q236" s="81" t="str">
        <f>IFERROR(IF(P236="","",IF(AND(P236='G-1 All Habitats'!$X$3,T236&gt;0),U236+V236,IF(AND(P236='G-1 All Habitats'!$X$3,S236&gt;0),U236+V236,IF(AND(P236='G-1 All Habitats'!$X$3,AC236&gt;0),"Any Loss Unacceptable",IF(AND(P236='G-1 All Habitats'!$X$3,W236&gt;0),"Any Loss Unacceptable",H236*J236*L236*O236))))),"Check Data")</f>
        <v/>
      </c>
      <c r="R236" s="55"/>
      <c r="S236" s="79"/>
      <c r="T236" s="82"/>
      <c r="U236" s="83" t="str">
        <f t="shared" si="18"/>
        <v/>
      </c>
      <c r="V236" s="83" t="str">
        <f t="shared" si="19"/>
        <v/>
      </c>
      <c r="W236" s="83" t="str">
        <f>IF(E236="","",IF(H236&lt;S236+T236,"Error in Areas",IF(P236&lt;&gt;'G-1 All Habitats'!$X$3,H236-S236-T236,IF(AND(P236='G-1 All Habitats'!$X$3,Y236="Yes"),"Unacceptable Loss",IF(AND(P236='G-1 All Habitats'!$X$3,Y236="No"),AC236,IF(AND(P236='G-1 All Habitats'!$X$3,Y236=""),AC236,IF(AND(P236='G-1 All Habitats'!$X$3,AC236="None",AC236),IF(AND(P236='G-1 All Habitats'!$X$3,AC236&gt;0),H236-S236-T236))))))))</f>
        <v/>
      </c>
      <c r="X236" s="84" t="str">
        <f>IFERROR(IF(H236="","",IF(H236-S236-T236=0&lt;0,"Error in Areas",IF(S236+T236&gt;H236,"Error in Areas",IF(AND(P236='G-1 All Habitats'!$X$3,Y236="Yes"),"Alternative Compensation",IF(W236=0,0,IF(P236='G-1 All Habitats'!$X$3,"Unacceptable Loss",Q236-U236-V236)))))),"Check Data")</f>
        <v/>
      </c>
      <c r="Y236" s="82"/>
      <c r="Z236" s="92"/>
      <c r="AA236" s="93"/>
      <c r="AC236" s="87" t="str">
        <f>IF(P236="","",IF(P236='G-1 All Habitats'!$X$3,H236-S236-T236,"None"))</f>
        <v/>
      </c>
      <c r="AD236" s="88" t="str">
        <f>IFERROR(AC236*J236*L236*#REF!*O236,IF(P236="","","None"))</f>
        <v/>
      </c>
      <c r="AF236" s="59" t="str">
        <f t="shared" si="15"/>
        <v/>
      </c>
      <c r="AG236" s="59" t="str">
        <f t="shared" si="16"/>
        <v/>
      </c>
      <c r="AH236" s="59" t="str">
        <f>IF(I236="","",IF(#REF!&gt;0,TRUE,FALSE))</f>
        <v/>
      </c>
      <c r="AI236" s="59">
        <v>226</v>
      </c>
      <c r="AJ236" s="59"/>
      <c r="AK236" s="59" t="str">
        <f t="array" ref="AK236">IFERROR(INDEX($AI$11:$AI$259, MATCH(0, IF(TRUE=$AF$11:$AF$259, COUNTIF($AK$10:$AK235, $AI$11:$AI$259), ""), 0)),"")</f>
        <v/>
      </c>
      <c r="AL236" s="59" t="str">
        <f t="array" ref="AL236">IFERROR(INDEX($AI$11:$AI$259, MATCH(0, IF(TRUE=$AG$11:$AG$259, COUNTIF($AL$10:$AL235, $AI$11:$AI$259), ""), 0)),"")</f>
        <v/>
      </c>
      <c r="AM236" s="59" t="str">
        <f t="array" ref="AM236">IFERROR(INDEX($AI$11:$AI$259, MATCH(0, IF(TRUE=$AH$11:$AH$259, COUNTIF($AM$10:$AM235, $AI$11:$AI$259), ""), 0)),"")</f>
        <v/>
      </c>
      <c r="AN236" s="59"/>
      <c r="AQ236" s="52">
        <f t="shared" si="17"/>
        <v>0</v>
      </c>
    </row>
    <row r="237" spans="1:43" x14ac:dyDescent="0.25">
      <c r="A237" s="52" t="str">
        <f>IFERROR(INDEX('G-1 All Habitats'!$AG$3:$AG$15,MATCH(E237,'G-1 All Habitats'!$AF$3:$AF$15,0)),"")</f>
        <v/>
      </c>
      <c r="B237" s="52" t="str">
        <f>IFERROR(INDEX('G-8 Condition Look up'!$I$4:$I$131,MATCH(G237,'G-8 Condition Look up'!$A$4:$A$131,0)),"")</f>
        <v/>
      </c>
      <c r="D237" s="89">
        <v>227</v>
      </c>
      <c r="E237" s="90"/>
      <c r="F237" s="91"/>
      <c r="G237" s="75" t="str">
        <f>IFERROR(INDEX('G-1 All Habitats'!$B$3:$B$130,MATCH(F237,'G-1 All Habitats'!$A$3:$A$130,0)),"")</f>
        <v/>
      </c>
      <c r="H237" s="76"/>
      <c r="I237" s="77" t="str">
        <f>IF(G237="","",VLOOKUP(G237,'G-1 All Habitats'!$B$2:$M$130,10,FALSE))</f>
        <v/>
      </c>
      <c r="J237" s="78" t="str">
        <f>IFERROR(VLOOKUP(I237,'G-1 All Habitats'!$V$3:$W$7,2,FALSE),"")</f>
        <v/>
      </c>
      <c r="K237" s="79"/>
      <c r="L237" s="78" t="str">
        <f>IFERROR(INDEX('G-8 Condition Look up'!$A$3:$H$131,MATCH(G237,'G-8 Condition Look up'!$A$3:$A$131,0),MATCH(K237,'G-8 Condition Look up'!$A$3:$H$3,0)),"")</f>
        <v/>
      </c>
      <c r="M237" s="79"/>
      <c r="N237" s="348" t="str">
        <f>IF(M237="","",IF(VLOOKUP(M237,'G-3 Multipliers'!$L$3:$N$6,2,FALSE)=0,"Spatial Data Missing",VLOOKUP(M237,'G-3 Multipliers'!$L$3:$N$6,2,FALSE)))</f>
        <v/>
      </c>
      <c r="O237" s="569" t="str">
        <f>IF(M237="","",IF(VLOOKUP(M237,'G-3 Multipliers'!$L$3:$N$6,3,FALSE)=0,"Spatial Data Missing",VLOOKUP(M237,'G-3 Multipliers'!$L$3:$N$6,3,FALSE)))</f>
        <v/>
      </c>
      <c r="P237" s="80" t="str">
        <f>IFERROR(VLOOKUP(G237,'G-1 All Habitats'!$B$2:$M$130,12,FALSE),"")</f>
        <v/>
      </c>
      <c r="Q237" s="81" t="str">
        <f>IFERROR(IF(P237="","",IF(AND(P237='G-1 All Habitats'!$X$3,T237&gt;0),U237+V237,IF(AND(P237='G-1 All Habitats'!$X$3,S237&gt;0),U237+V237,IF(AND(P237='G-1 All Habitats'!$X$3,AC237&gt;0),"Any Loss Unacceptable",IF(AND(P237='G-1 All Habitats'!$X$3,W237&gt;0),"Any Loss Unacceptable",H237*J237*L237*O237))))),"Check Data")</f>
        <v/>
      </c>
      <c r="R237" s="55"/>
      <c r="S237" s="79"/>
      <c r="T237" s="82"/>
      <c r="U237" s="83" t="str">
        <f t="shared" si="18"/>
        <v/>
      </c>
      <c r="V237" s="83" t="str">
        <f t="shared" si="19"/>
        <v/>
      </c>
      <c r="W237" s="83" t="str">
        <f>IF(E237="","",IF(H237&lt;S237+T237,"Error in Areas",IF(P237&lt;&gt;'G-1 All Habitats'!$X$3,H237-S237-T237,IF(AND(P237='G-1 All Habitats'!$X$3,Y237="Yes"),"Unacceptable Loss",IF(AND(P237='G-1 All Habitats'!$X$3,Y237="No"),AC237,IF(AND(P237='G-1 All Habitats'!$X$3,Y237=""),AC237,IF(AND(P237='G-1 All Habitats'!$X$3,AC237="None",AC237),IF(AND(P237='G-1 All Habitats'!$X$3,AC237&gt;0),H237-S237-T237))))))))</f>
        <v/>
      </c>
      <c r="X237" s="84" t="str">
        <f>IFERROR(IF(H237="","",IF(H237-S237-T237=0&lt;0,"Error in Areas",IF(S237+T237&gt;H237,"Error in Areas",IF(AND(P237='G-1 All Habitats'!$X$3,Y237="Yes"),"Alternative Compensation",IF(W237=0,0,IF(P237='G-1 All Habitats'!$X$3,"Unacceptable Loss",Q237-U237-V237)))))),"Check Data")</f>
        <v/>
      </c>
      <c r="Y237" s="82"/>
      <c r="Z237" s="92"/>
      <c r="AA237" s="93"/>
      <c r="AC237" s="87" t="str">
        <f>IF(P237="","",IF(P237='G-1 All Habitats'!$X$3,H237-S237-T237,"None"))</f>
        <v/>
      </c>
      <c r="AD237" s="88" t="str">
        <f>IFERROR(AC237*J237*L237*#REF!*O237,IF(P237="","","None"))</f>
        <v/>
      </c>
      <c r="AF237" s="59" t="str">
        <f t="shared" si="15"/>
        <v/>
      </c>
      <c r="AG237" s="59" t="str">
        <f t="shared" si="16"/>
        <v/>
      </c>
      <c r="AH237" s="59" t="str">
        <f>IF(I237="","",IF(#REF!&gt;0,TRUE,FALSE))</f>
        <v/>
      </c>
      <c r="AI237" s="59">
        <v>227</v>
      </c>
      <c r="AJ237" s="59"/>
      <c r="AK237" s="59" t="str">
        <f t="array" ref="AK237">IFERROR(INDEX($AI$11:$AI$259, MATCH(0, IF(TRUE=$AF$11:$AF$259, COUNTIF($AK$10:$AK236, $AI$11:$AI$259), ""), 0)),"")</f>
        <v/>
      </c>
      <c r="AL237" s="59" t="str">
        <f t="array" ref="AL237">IFERROR(INDEX($AI$11:$AI$259, MATCH(0, IF(TRUE=$AG$11:$AG$259, COUNTIF($AL$10:$AL236, $AI$11:$AI$259), ""), 0)),"")</f>
        <v/>
      </c>
      <c r="AM237" s="59" t="str">
        <f t="array" ref="AM237">IFERROR(INDEX($AI$11:$AI$259, MATCH(0, IF(TRUE=$AH$11:$AH$259, COUNTIF($AM$10:$AM236, $AI$11:$AI$259), ""), 0)),"")</f>
        <v/>
      </c>
      <c r="AN237" s="59"/>
      <c r="AQ237" s="52">
        <f t="shared" si="17"/>
        <v>0</v>
      </c>
    </row>
    <row r="238" spans="1:43" x14ac:dyDescent="0.25">
      <c r="A238" s="52" t="str">
        <f>IFERROR(INDEX('G-1 All Habitats'!$AG$3:$AG$15,MATCH(E238,'G-1 All Habitats'!$AF$3:$AF$15,0)),"")</f>
        <v/>
      </c>
      <c r="B238" s="52" t="str">
        <f>IFERROR(INDEX('G-8 Condition Look up'!$I$4:$I$131,MATCH(G238,'G-8 Condition Look up'!$A$4:$A$131,0)),"")</f>
        <v/>
      </c>
      <c r="D238" s="89">
        <v>228</v>
      </c>
      <c r="E238" s="90"/>
      <c r="F238" s="91"/>
      <c r="G238" s="75" t="str">
        <f>IFERROR(INDEX('G-1 All Habitats'!$B$3:$B$130,MATCH(F238,'G-1 All Habitats'!$A$3:$A$130,0)),"")</f>
        <v/>
      </c>
      <c r="H238" s="76"/>
      <c r="I238" s="77" t="str">
        <f>IF(G238="","",VLOOKUP(G238,'G-1 All Habitats'!$B$2:$M$130,10,FALSE))</f>
        <v/>
      </c>
      <c r="J238" s="78" t="str">
        <f>IFERROR(VLOOKUP(I238,'G-1 All Habitats'!$V$3:$W$7,2,FALSE),"")</f>
        <v/>
      </c>
      <c r="K238" s="79"/>
      <c r="L238" s="78" t="str">
        <f>IFERROR(INDEX('G-8 Condition Look up'!$A$3:$H$131,MATCH(G238,'G-8 Condition Look up'!$A$3:$A$131,0),MATCH(K238,'G-8 Condition Look up'!$A$3:$H$3,0)),"")</f>
        <v/>
      </c>
      <c r="M238" s="79"/>
      <c r="N238" s="348" t="str">
        <f>IF(M238="","",IF(VLOOKUP(M238,'G-3 Multipliers'!$L$3:$N$6,2,FALSE)=0,"Spatial Data Missing",VLOOKUP(M238,'G-3 Multipliers'!$L$3:$N$6,2,FALSE)))</f>
        <v/>
      </c>
      <c r="O238" s="569" t="str">
        <f>IF(M238="","",IF(VLOOKUP(M238,'G-3 Multipliers'!$L$3:$N$6,3,FALSE)=0,"Spatial Data Missing",VLOOKUP(M238,'G-3 Multipliers'!$L$3:$N$6,3,FALSE)))</f>
        <v/>
      </c>
      <c r="P238" s="80" t="str">
        <f>IFERROR(VLOOKUP(G238,'G-1 All Habitats'!$B$2:$M$130,12,FALSE),"")</f>
        <v/>
      </c>
      <c r="Q238" s="81" t="str">
        <f>IFERROR(IF(P238="","",IF(AND(P238='G-1 All Habitats'!$X$3,T238&gt;0),U238+V238,IF(AND(P238='G-1 All Habitats'!$X$3,S238&gt;0),U238+V238,IF(AND(P238='G-1 All Habitats'!$X$3,AC238&gt;0),"Any Loss Unacceptable",IF(AND(P238='G-1 All Habitats'!$X$3,W238&gt;0),"Any Loss Unacceptable",H238*J238*L238*O238))))),"Check Data")</f>
        <v/>
      </c>
      <c r="R238" s="55"/>
      <c r="S238" s="79"/>
      <c r="T238" s="82"/>
      <c r="U238" s="83" t="str">
        <f t="shared" si="18"/>
        <v/>
      </c>
      <c r="V238" s="83" t="str">
        <f t="shared" si="19"/>
        <v/>
      </c>
      <c r="W238" s="83" t="str">
        <f>IF(E238="","",IF(H238&lt;S238+T238,"Error in Areas",IF(P238&lt;&gt;'G-1 All Habitats'!$X$3,H238-S238-T238,IF(AND(P238='G-1 All Habitats'!$X$3,Y238="Yes"),"Unacceptable Loss",IF(AND(P238='G-1 All Habitats'!$X$3,Y238="No"),AC238,IF(AND(P238='G-1 All Habitats'!$X$3,Y238=""),AC238,IF(AND(P238='G-1 All Habitats'!$X$3,AC238="None",AC238),IF(AND(P238='G-1 All Habitats'!$X$3,AC238&gt;0),H238-S238-T238))))))))</f>
        <v/>
      </c>
      <c r="X238" s="84" t="str">
        <f>IFERROR(IF(H238="","",IF(H238-S238-T238=0&lt;0,"Error in Areas",IF(S238+T238&gt;H238,"Error in Areas",IF(AND(P238='G-1 All Habitats'!$X$3,Y238="Yes"),"Alternative Compensation",IF(W238=0,0,IF(P238='G-1 All Habitats'!$X$3,"Unacceptable Loss",Q238-U238-V238)))))),"Check Data")</f>
        <v/>
      </c>
      <c r="Y238" s="82"/>
      <c r="Z238" s="92"/>
      <c r="AA238" s="93"/>
      <c r="AC238" s="87" t="str">
        <f>IF(P238="","",IF(P238='G-1 All Habitats'!$X$3,H238-S238-T238,"None"))</f>
        <v/>
      </c>
      <c r="AD238" s="88" t="str">
        <f>IFERROR(AC238*J238*L238*#REF!*O238,IF(P238="","","None"))</f>
        <v/>
      </c>
      <c r="AF238" s="59" t="str">
        <f t="shared" si="15"/>
        <v/>
      </c>
      <c r="AG238" s="59" t="str">
        <f t="shared" si="16"/>
        <v/>
      </c>
      <c r="AH238" s="59" t="str">
        <f>IF(I238="","",IF(#REF!&gt;0,TRUE,FALSE))</f>
        <v/>
      </c>
      <c r="AI238" s="59">
        <v>228</v>
      </c>
      <c r="AJ238" s="59"/>
      <c r="AK238" s="59" t="str">
        <f t="array" ref="AK238">IFERROR(INDEX($AI$11:$AI$259, MATCH(0, IF(TRUE=$AF$11:$AF$259, COUNTIF($AK$10:$AK237, $AI$11:$AI$259), ""), 0)),"")</f>
        <v/>
      </c>
      <c r="AL238" s="59" t="str">
        <f t="array" ref="AL238">IFERROR(INDEX($AI$11:$AI$259, MATCH(0, IF(TRUE=$AG$11:$AG$259, COUNTIF($AL$10:$AL237, $AI$11:$AI$259), ""), 0)),"")</f>
        <v/>
      </c>
      <c r="AM238" s="59" t="str">
        <f t="array" ref="AM238">IFERROR(INDEX($AI$11:$AI$259, MATCH(0, IF(TRUE=$AH$11:$AH$259, COUNTIF($AM$10:$AM237, $AI$11:$AI$259), ""), 0)),"")</f>
        <v/>
      </c>
      <c r="AN238" s="59"/>
      <c r="AQ238" s="52">
        <f t="shared" si="17"/>
        <v>0</v>
      </c>
    </row>
    <row r="239" spans="1:43" x14ac:dyDescent="0.25">
      <c r="A239" s="52" t="str">
        <f>IFERROR(INDEX('G-1 All Habitats'!$AG$3:$AG$15,MATCH(E239,'G-1 All Habitats'!$AF$3:$AF$15,0)),"")</f>
        <v/>
      </c>
      <c r="B239" s="52" t="str">
        <f>IFERROR(INDEX('G-8 Condition Look up'!$I$4:$I$131,MATCH(G239,'G-8 Condition Look up'!$A$4:$A$131,0)),"")</f>
        <v/>
      </c>
      <c r="D239" s="89">
        <v>229</v>
      </c>
      <c r="E239" s="90"/>
      <c r="F239" s="91"/>
      <c r="G239" s="75" t="str">
        <f>IFERROR(INDEX('G-1 All Habitats'!$B$3:$B$130,MATCH(F239,'G-1 All Habitats'!$A$3:$A$130,0)),"")</f>
        <v/>
      </c>
      <c r="H239" s="76"/>
      <c r="I239" s="77" t="str">
        <f>IF(G239="","",VLOOKUP(G239,'G-1 All Habitats'!$B$2:$M$130,10,FALSE))</f>
        <v/>
      </c>
      <c r="J239" s="78" t="str">
        <f>IFERROR(VLOOKUP(I239,'G-1 All Habitats'!$V$3:$W$7,2,FALSE),"")</f>
        <v/>
      </c>
      <c r="K239" s="79"/>
      <c r="L239" s="78" t="str">
        <f>IFERROR(INDEX('G-8 Condition Look up'!$A$3:$H$131,MATCH(G239,'G-8 Condition Look up'!$A$3:$A$131,0),MATCH(K239,'G-8 Condition Look up'!$A$3:$H$3,0)),"")</f>
        <v/>
      </c>
      <c r="M239" s="79"/>
      <c r="N239" s="348" t="str">
        <f>IF(M239="","",IF(VLOOKUP(M239,'G-3 Multipliers'!$L$3:$N$6,2,FALSE)=0,"Spatial Data Missing",VLOOKUP(M239,'G-3 Multipliers'!$L$3:$N$6,2,FALSE)))</f>
        <v/>
      </c>
      <c r="O239" s="569" t="str">
        <f>IF(M239="","",IF(VLOOKUP(M239,'G-3 Multipliers'!$L$3:$N$6,3,FALSE)=0,"Spatial Data Missing",VLOOKUP(M239,'G-3 Multipliers'!$L$3:$N$6,3,FALSE)))</f>
        <v/>
      </c>
      <c r="P239" s="80" t="str">
        <f>IFERROR(VLOOKUP(G239,'G-1 All Habitats'!$B$2:$M$130,12,FALSE),"")</f>
        <v/>
      </c>
      <c r="Q239" s="81" t="str">
        <f>IFERROR(IF(P239="","",IF(AND(P239='G-1 All Habitats'!$X$3,T239&gt;0),U239+V239,IF(AND(P239='G-1 All Habitats'!$X$3,S239&gt;0),U239+V239,IF(AND(P239='G-1 All Habitats'!$X$3,AC239&gt;0),"Any Loss Unacceptable",IF(AND(P239='G-1 All Habitats'!$X$3,W239&gt;0),"Any Loss Unacceptable",H239*J239*L239*O239))))),"Check Data")</f>
        <v/>
      </c>
      <c r="R239" s="55"/>
      <c r="S239" s="79"/>
      <c r="T239" s="82"/>
      <c r="U239" s="83" t="str">
        <f t="shared" si="18"/>
        <v/>
      </c>
      <c r="V239" s="83" t="str">
        <f t="shared" si="19"/>
        <v/>
      </c>
      <c r="W239" s="83" t="str">
        <f>IF(E239="","",IF(H239&lt;S239+T239,"Error in Areas",IF(P239&lt;&gt;'G-1 All Habitats'!$X$3,H239-S239-T239,IF(AND(P239='G-1 All Habitats'!$X$3,Y239="Yes"),"Unacceptable Loss",IF(AND(P239='G-1 All Habitats'!$X$3,Y239="No"),AC239,IF(AND(P239='G-1 All Habitats'!$X$3,Y239=""),AC239,IF(AND(P239='G-1 All Habitats'!$X$3,AC239="None",AC239),IF(AND(P239='G-1 All Habitats'!$X$3,AC239&gt;0),H239-S239-T239))))))))</f>
        <v/>
      </c>
      <c r="X239" s="84" t="str">
        <f>IFERROR(IF(H239="","",IF(H239-S239-T239=0&lt;0,"Error in Areas",IF(S239+T239&gt;H239,"Error in Areas",IF(AND(P239='G-1 All Habitats'!$X$3,Y239="Yes"),"Alternative Compensation",IF(W239=0,0,IF(P239='G-1 All Habitats'!$X$3,"Unacceptable Loss",Q239-U239-V239)))))),"Check Data")</f>
        <v/>
      </c>
      <c r="Y239" s="82"/>
      <c r="Z239" s="92"/>
      <c r="AA239" s="93"/>
      <c r="AC239" s="87" t="str">
        <f>IF(P239="","",IF(P239='G-1 All Habitats'!$X$3,H239-S239-T239,"None"))</f>
        <v/>
      </c>
      <c r="AD239" s="88" t="str">
        <f>IFERROR(AC239*J239*L239*#REF!*O239,IF(P239="","","None"))</f>
        <v/>
      </c>
      <c r="AF239" s="59" t="str">
        <f t="shared" si="15"/>
        <v/>
      </c>
      <c r="AG239" s="59" t="str">
        <f t="shared" si="16"/>
        <v/>
      </c>
      <c r="AH239" s="59" t="str">
        <f>IF(I239="","",IF(#REF!&gt;0,TRUE,FALSE))</f>
        <v/>
      </c>
      <c r="AI239" s="59">
        <v>229</v>
      </c>
      <c r="AJ239" s="59"/>
      <c r="AK239" s="59" t="str">
        <f t="array" ref="AK239">IFERROR(INDEX($AI$11:$AI$259, MATCH(0, IF(TRUE=$AF$11:$AF$259, COUNTIF($AK$10:$AK238, $AI$11:$AI$259), ""), 0)),"")</f>
        <v/>
      </c>
      <c r="AL239" s="59" t="str">
        <f t="array" ref="AL239">IFERROR(INDEX($AI$11:$AI$259, MATCH(0, IF(TRUE=$AG$11:$AG$259, COUNTIF($AL$10:$AL238, $AI$11:$AI$259), ""), 0)),"")</f>
        <v/>
      </c>
      <c r="AM239" s="59" t="str">
        <f t="array" ref="AM239">IFERROR(INDEX($AI$11:$AI$259, MATCH(0, IF(TRUE=$AH$11:$AH$259, COUNTIF($AM$10:$AM238, $AI$11:$AI$259), ""), 0)),"")</f>
        <v/>
      </c>
      <c r="AN239" s="59"/>
      <c r="AQ239" s="52">
        <f t="shared" si="17"/>
        <v>0</v>
      </c>
    </row>
    <row r="240" spans="1:43" x14ac:dyDescent="0.25">
      <c r="A240" s="52" t="str">
        <f>IFERROR(INDEX('G-1 All Habitats'!$AG$3:$AG$15,MATCH(E240,'G-1 All Habitats'!$AF$3:$AF$15,0)),"")</f>
        <v/>
      </c>
      <c r="B240" s="52" t="str">
        <f>IFERROR(INDEX('G-8 Condition Look up'!$I$4:$I$131,MATCH(G240,'G-8 Condition Look up'!$A$4:$A$131,0)),"")</f>
        <v/>
      </c>
      <c r="D240" s="89">
        <v>230</v>
      </c>
      <c r="E240" s="90"/>
      <c r="F240" s="91"/>
      <c r="G240" s="75" t="str">
        <f>IFERROR(INDEX('G-1 All Habitats'!$B$3:$B$130,MATCH(F240,'G-1 All Habitats'!$A$3:$A$130,0)),"")</f>
        <v/>
      </c>
      <c r="H240" s="76"/>
      <c r="I240" s="77" t="str">
        <f>IF(G240="","",VLOOKUP(G240,'G-1 All Habitats'!$B$2:$M$130,10,FALSE))</f>
        <v/>
      </c>
      <c r="J240" s="78" t="str">
        <f>IFERROR(VLOOKUP(I240,'G-1 All Habitats'!$V$3:$W$7,2,FALSE),"")</f>
        <v/>
      </c>
      <c r="K240" s="79"/>
      <c r="L240" s="78" t="str">
        <f>IFERROR(INDEX('G-8 Condition Look up'!$A$3:$H$131,MATCH(G240,'G-8 Condition Look up'!$A$3:$A$131,0),MATCH(K240,'G-8 Condition Look up'!$A$3:$H$3,0)),"")</f>
        <v/>
      </c>
      <c r="M240" s="79"/>
      <c r="N240" s="348" t="str">
        <f>IF(M240="","",IF(VLOOKUP(M240,'G-3 Multipliers'!$L$3:$N$6,2,FALSE)=0,"Spatial Data Missing",VLOOKUP(M240,'G-3 Multipliers'!$L$3:$N$6,2,FALSE)))</f>
        <v/>
      </c>
      <c r="O240" s="569" t="str">
        <f>IF(M240="","",IF(VLOOKUP(M240,'G-3 Multipliers'!$L$3:$N$6,3,FALSE)=0,"Spatial Data Missing",VLOOKUP(M240,'G-3 Multipliers'!$L$3:$N$6,3,FALSE)))</f>
        <v/>
      </c>
      <c r="P240" s="80" t="str">
        <f>IFERROR(VLOOKUP(G240,'G-1 All Habitats'!$B$2:$M$130,12,FALSE),"")</f>
        <v/>
      </c>
      <c r="Q240" s="81" t="str">
        <f>IFERROR(IF(P240="","",IF(AND(P240='G-1 All Habitats'!$X$3,T240&gt;0),U240+V240,IF(AND(P240='G-1 All Habitats'!$X$3,S240&gt;0),U240+V240,IF(AND(P240='G-1 All Habitats'!$X$3,AC240&gt;0),"Any Loss Unacceptable",IF(AND(P240='G-1 All Habitats'!$X$3,W240&gt;0),"Any Loss Unacceptable",H240*J240*L240*O240))))),"Check Data")</f>
        <v/>
      </c>
      <c r="R240" s="55"/>
      <c r="S240" s="79"/>
      <c r="T240" s="82"/>
      <c r="U240" s="83" t="str">
        <f t="shared" si="18"/>
        <v/>
      </c>
      <c r="V240" s="83" t="str">
        <f t="shared" si="19"/>
        <v/>
      </c>
      <c r="W240" s="83" t="str">
        <f>IF(E240="","",IF(H240&lt;S240+T240,"Error in Areas",IF(P240&lt;&gt;'G-1 All Habitats'!$X$3,H240-S240-T240,IF(AND(P240='G-1 All Habitats'!$X$3,Y240="Yes"),"Unacceptable Loss",IF(AND(P240='G-1 All Habitats'!$X$3,Y240="No"),AC240,IF(AND(P240='G-1 All Habitats'!$X$3,Y240=""),AC240,IF(AND(P240='G-1 All Habitats'!$X$3,AC240="None",AC240),IF(AND(P240='G-1 All Habitats'!$X$3,AC240&gt;0),H240-S240-T240))))))))</f>
        <v/>
      </c>
      <c r="X240" s="84" t="str">
        <f>IFERROR(IF(H240="","",IF(H240-S240-T240=0&lt;0,"Error in Areas",IF(S240+T240&gt;H240,"Error in Areas",IF(AND(P240='G-1 All Habitats'!$X$3,Y240="Yes"),"Alternative Compensation",IF(W240=0,0,IF(P240='G-1 All Habitats'!$X$3,"Unacceptable Loss",Q240-U240-V240)))))),"Check Data")</f>
        <v/>
      </c>
      <c r="Y240" s="82"/>
      <c r="Z240" s="92"/>
      <c r="AA240" s="93"/>
      <c r="AC240" s="87" t="str">
        <f>IF(P240="","",IF(P240='G-1 All Habitats'!$X$3,H240-S240-T240,"None"))</f>
        <v/>
      </c>
      <c r="AD240" s="88" t="str">
        <f>IFERROR(AC240*J240*L240*#REF!*O240,IF(P240="","","None"))</f>
        <v/>
      </c>
      <c r="AF240" s="59" t="str">
        <f t="shared" si="15"/>
        <v/>
      </c>
      <c r="AG240" s="59" t="str">
        <f t="shared" si="16"/>
        <v/>
      </c>
      <c r="AH240" s="59" t="str">
        <f>IF(I240="","",IF(#REF!&gt;0,TRUE,FALSE))</f>
        <v/>
      </c>
      <c r="AI240" s="59">
        <v>230</v>
      </c>
      <c r="AJ240" s="59"/>
      <c r="AK240" s="59" t="str">
        <f t="array" ref="AK240">IFERROR(INDEX($AI$11:$AI$259, MATCH(0, IF(TRUE=$AF$11:$AF$259, COUNTIF($AK$10:$AK239, $AI$11:$AI$259), ""), 0)),"")</f>
        <v/>
      </c>
      <c r="AL240" s="59" t="str">
        <f t="array" ref="AL240">IFERROR(INDEX($AI$11:$AI$259, MATCH(0, IF(TRUE=$AG$11:$AG$259, COUNTIF($AL$10:$AL239, $AI$11:$AI$259), ""), 0)),"")</f>
        <v/>
      </c>
      <c r="AM240" s="59" t="str">
        <f t="array" ref="AM240">IFERROR(INDEX($AI$11:$AI$259, MATCH(0, IF(TRUE=$AH$11:$AH$259, COUNTIF($AM$10:$AM239, $AI$11:$AI$259), ""), 0)),"")</f>
        <v/>
      </c>
      <c r="AN240" s="59"/>
      <c r="AQ240" s="52">
        <f t="shared" si="17"/>
        <v>0</v>
      </c>
    </row>
    <row r="241" spans="1:43" x14ac:dyDescent="0.25">
      <c r="A241" s="52" t="str">
        <f>IFERROR(INDEX('G-1 All Habitats'!$AG$3:$AG$15,MATCH(E241,'G-1 All Habitats'!$AF$3:$AF$15,0)),"")</f>
        <v/>
      </c>
      <c r="B241" s="52" t="str">
        <f>IFERROR(INDEX('G-8 Condition Look up'!$I$4:$I$131,MATCH(G241,'G-8 Condition Look up'!$A$4:$A$131,0)),"")</f>
        <v/>
      </c>
      <c r="D241" s="89">
        <v>231</v>
      </c>
      <c r="E241" s="90"/>
      <c r="F241" s="91"/>
      <c r="G241" s="75" t="str">
        <f>IFERROR(INDEX('G-1 All Habitats'!$B$3:$B$130,MATCH(F241,'G-1 All Habitats'!$A$3:$A$130,0)),"")</f>
        <v/>
      </c>
      <c r="H241" s="76"/>
      <c r="I241" s="77" t="str">
        <f>IF(G241="","",VLOOKUP(G241,'G-1 All Habitats'!$B$2:$M$130,10,FALSE))</f>
        <v/>
      </c>
      <c r="J241" s="78" t="str">
        <f>IFERROR(VLOOKUP(I241,'G-1 All Habitats'!$V$3:$W$7,2,FALSE),"")</f>
        <v/>
      </c>
      <c r="K241" s="79"/>
      <c r="L241" s="78" t="str">
        <f>IFERROR(INDEX('G-8 Condition Look up'!$A$3:$H$131,MATCH(G241,'G-8 Condition Look up'!$A$3:$A$131,0),MATCH(K241,'G-8 Condition Look up'!$A$3:$H$3,0)),"")</f>
        <v/>
      </c>
      <c r="M241" s="79"/>
      <c r="N241" s="348" t="str">
        <f>IF(M241="","",IF(VLOOKUP(M241,'G-3 Multipliers'!$L$3:$N$6,2,FALSE)=0,"Spatial Data Missing",VLOOKUP(M241,'G-3 Multipliers'!$L$3:$N$6,2,FALSE)))</f>
        <v/>
      </c>
      <c r="O241" s="569" t="str">
        <f>IF(M241="","",IF(VLOOKUP(M241,'G-3 Multipliers'!$L$3:$N$6,3,FALSE)=0,"Spatial Data Missing",VLOOKUP(M241,'G-3 Multipliers'!$L$3:$N$6,3,FALSE)))</f>
        <v/>
      </c>
      <c r="P241" s="80" t="str">
        <f>IFERROR(VLOOKUP(G241,'G-1 All Habitats'!$B$2:$M$130,12,FALSE),"")</f>
        <v/>
      </c>
      <c r="Q241" s="81" t="str">
        <f>IFERROR(IF(P241="","",IF(AND(P241='G-1 All Habitats'!$X$3,T241&gt;0),U241+V241,IF(AND(P241='G-1 All Habitats'!$X$3,S241&gt;0),U241+V241,IF(AND(P241='G-1 All Habitats'!$X$3,AC241&gt;0),"Any Loss Unacceptable",IF(AND(P241='G-1 All Habitats'!$X$3,W241&gt;0),"Any Loss Unacceptable",H241*J241*L241*O241))))),"Check Data")</f>
        <v/>
      </c>
      <c r="R241" s="55"/>
      <c r="S241" s="79"/>
      <c r="T241" s="82"/>
      <c r="U241" s="83" t="str">
        <f t="shared" si="18"/>
        <v/>
      </c>
      <c r="V241" s="83" t="str">
        <f t="shared" si="19"/>
        <v/>
      </c>
      <c r="W241" s="83" t="str">
        <f>IF(E241="","",IF(H241&lt;S241+T241,"Error in Areas",IF(P241&lt;&gt;'G-1 All Habitats'!$X$3,H241-S241-T241,IF(AND(P241='G-1 All Habitats'!$X$3,Y241="Yes"),"Unacceptable Loss",IF(AND(P241='G-1 All Habitats'!$X$3,Y241="No"),AC241,IF(AND(P241='G-1 All Habitats'!$X$3,Y241=""),AC241,IF(AND(P241='G-1 All Habitats'!$X$3,AC241="None",AC241),IF(AND(P241='G-1 All Habitats'!$X$3,AC241&gt;0),H241-S241-T241))))))))</f>
        <v/>
      </c>
      <c r="X241" s="84" t="str">
        <f>IFERROR(IF(H241="","",IF(H241-S241-T241=0&lt;0,"Error in Areas",IF(S241+T241&gt;H241,"Error in Areas",IF(AND(P241='G-1 All Habitats'!$X$3,Y241="Yes"),"Alternative Compensation",IF(W241=0,0,IF(P241='G-1 All Habitats'!$X$3,"Unacceptable Loss",Q241-U241-V241)))))),"Check Data")</f>
        <v/>
      </c>
      <c r="Y241" s="82"/>
      <c r="Z241" s="92"/>
      <c r="AA241" s="93"/>
      <c r="AC241" s="87" t="str">
        <f>IF(P241="","",IF(P241='G-1 All Habitats'!$X$3,H241-S241-T241,"None"))</f>
        <v/>
      </c>
      <c r="AD241" s="88" t="str">
        <f>IFERROR(AC241*J241*L241*#REF!*O241,IF(P241="","","None"))</f>
        <v/>
      </c>
      <c r="AF241" s="59" t="str">
        <f t="shared" si="15"/>
        <v/>
      </c>
      <c r="AG241" s="59" t="str">
        <f t="shared" si="16"/>
        <v/>
      </c>
      <c r="AH241" s="59" t="str">
        <f>IF(I241="","",IF(#REF!&gt;0,TRUE,FALSE))</f>
        <v/>
      </c>
      <c r="AI241" s="59">
        <v>231</v>
      </c>
      <c r="AJ241" s="59"/>
      <c r="AK241" s="59" t="str">
        <f t="array" ref="AK241">IFERROR(INDEX($AI$11:$AI$259, MATCH(0, IF(TRUE=$AF$11:$AF$259, COUNTIF($AK$10:$AK240, $AI$11:$AI$259), ""), 0)),"")</f>
        <v/>
      </c>
      <c r="AL241" s="59" t="str">
        <f t="array" ref="AL241">IFERROR(INDEX($AI$11:$AI$259, MATCH(0, IF(TRUE=$AG$11:$AG$259, COUNTIF($AL$10:$AL240, $AI$11:$AI$259), ""), 0)),"")</f>
        <v/>
      </c>
      <c r="AM241" s="59" t="str">
        <f t="array" ref="AM241">IFERROR(INDEX($AI$11:$AI$259, MATCH(0, IF(TRUE=$AH$11:$AH$259, COUNTIF($AM$10:$AM240, $AI$11:$AI$259), ""), 0)),"")</f>
        <v/>
      </c>
      <c r="AN241" s="59"/>
      <c r="AQ241" s="52">
        <f t="shared" si="17"/>
        <v>0</v>
      </c>
    </row>
    <row r="242" spans="1:43" x14ac:dyDescent="0.25">
      <c r="A242" s="52" t="str">
        <f>IFERROR(INDEX('G-1 All Habitats'!$AG$3:$AG$15,MATCH(E242,'G-1 All Habitats'!$AF$3:$AF$15,0)),"")</f>
        <v/>
      </c>
      <c r="B242" s="52" t="str">
        <f>IFERROR(INDEX('G-8 Condition Look up'!$I$4:$I$131,MATCH(G242,'G-8 Condition Look up'!$A$4:$A$131,0)),"")</f>
        <v/>
      </c>
      <c r="D242" s="89">
        <v>232</v>
      </c>
      <c r="E242" s="90"/>
      <c r="F242" s="91"/>
      <c r="G242" s="75" t="str">
        <f>IFERROR(INDEX('G-1 All Habitats'!$B$3:$B$130,MATCH(F242,'G-1 All Habitats'!$A$3:$A$130,0)),"")</f>
        <v/>
      </c>
      <c r="H242" s="76"/>
      <c r="I242" s="77" t="str">
        <f>IF(G242="","",VLOOKUP(G242,'G-1 All Habitats'!$B$2:$M$130,10,FALSE))</f>
        <v/>
      </c>
      <c r="J242" s="78" t="str">
        <f>IFERROR(VLOOKUP(I242,'G-1 All Habitats'!$V$3:$W$7,2,FALSE),"")</f>
        <v/>
      </c>
      <c r="K242" s="79"/>
      <c r="L242" s="78" t="str">
        <f>IFERROR(INDEX('G-8 Condition Look up'!$A$3:$H$131,MATCH(G242,'G-8 Condition Look up'!$A$3:$A$131,0),MATCH(K242,'G-8 Condition Look up'!$A$3:$H$3,0)),"")</f>
        <v/>
      </c>
      <c r="M242" s="79"/>
      <c r="N242" s="348" t="str">
        <f>IF(M242="","",IF(VLOOKUP(M242,'G-3 Multipliers'!$L$3:$N$6,2,FALSE)=0,"Spatial Data Missing",VLOOKUP(M242,'G-3 Multipliers'!$L$3:$N$6,2,FALSE)))</f>
        <v/>
      </c>
      <c r="O242" s="569" t="str">
        <f>IF(M242="","",IF(VLOOKUP(M242,'G-3 Multipliers'!$L$3:$N$6,3,FALSE)=0,"Spatial Data Missing",VLOOKUP(M242,'G-3 Multipliers'!$L$3:$N$6,3,FALSE)))</f>
        <v/>
      </c>
      <c r="P242" s="80" t="str">
        <f>IFERROR(VLOOKUP(G242,'G-1 All Habitats'!$B$2:$M$130,12,FALSE),"")</f>
        <v/>
      </c>
      <c r="Q242" s="81" t="str">
        <f>IFERROR(IF(P242="","",IF(AND(P242='G-1 All Habitats'!$X$3,T242&gt;0),U242+V242,IF(AND(P242='G-1 All Habitats'!$X$3,S242&gt;0),U242+V242,IF(AND(P242='G-1 All Habitats'!$X$3,AC242&gt;0),"Any Loss Unacceptable",IF(AND(P242='G-1 All Habitats'!$X$3,W242&gt;0),"Any Loss Unacceptable",H242*J242*L242*O242))))),"Check Data")</f>
        <v/>
      </c>
      <c r="R242" s="55"/>
      <c r="S242" s="79"/>
      <c r="T242" s="82"/>
      <c r="U242" s="83" t="str">
        <f t="shared" si="18"/>
        <v/>
      </c>
      <c r="V242" s="83" t="str">
        <f t="shared" si="19"/>
        <v/>
      </c>
      <c r="W242" s="83" t="str">
        <f>IF(E242="","",IF(H242&lt;S242+T242,"Error in Areas",IF(P242&lt;&gt;'G-1 All Habitats'!$X$3,H242-S242-T242,IF(AND(P242='G-1 All Habitats'!$X$3,Y242="Yes"),"Unacceptable Loss",IF(AND(P242='G-1 All Habitats'!$X$3,Y242="No"),AC242,IF(AND(P242='G-1 All Habitats'!$X$3,Y242=""),AC242,IF(AND(P242='G-1 All Habitats'!$X$3,AC242="None",AC242),IF(AND(P242='G-1 All Habitats'!$X$3,AC242&gt;0),H242-S242-T242))))))))</f>
        <v/>
      </c>
      <c r="X242" s="84" t="str">
        <f>IFERROR(IF(H242="","",IF(H242-S242-T242=0&lt;0,"Error in Areas",IF(S242+T242&gt;H242,"Error in Areas",IF(AND(P242='G-1 All Habitats'!$X$3,Y242="Yes"),"Alternative Compensation",IF(W242=0,0,IF(P242='G-1 All Habitats'!$X$3,"Unacceptable Loss",Q242-U242-V242)))))),"Check Data")</f>
        <v/>
      </c>
      <c r="Y242" s="82"/>
      <c r="Z242" s="92"/>
      <c r="AA242" s="93"/>
      <c r="AC242" s="87" t="str">
        <f>IF(P242="","",IF(P242='G-1 All Habitats'!$X$3,H242-S242-T242,"None"))</f>
        <v/>
      </c>
      <c r="AD242" s="88" t="str">
        <f>IFERROR(AC242*J242*L242*#REF!*O242,IF(P242="","","None"))</f>
        <v/>
      </c>
      <c r="AF242" s="59" t="str">
        <f t="shared" si="15"/>
        <v/>
      </c>
      <c r="AG242" s="59" t="str">
        <f t="shared" si="16"/>
        <v/>
      </c>
      <c r="AH242" s="59" t="str">
        <f>IF(I242="","",IF(#REF!&gt;0,TRUE,FALSE))</f>
        <v/>
      </c>
      <c r="AI242" s="59">
        <v>232</v>
      </c>
      <c r="AJ242" s="59"/>
      <c r="AK242" s="59" t="str">
        <f t="array" ref="AK242">IFERROR(INDEX($AI$11:$AI$259, MATCH(0, IF(TRUE=$AF$11:$AF$259, COUNTIF($AK$10:$AK241, $AI$11:$AI$259), ""), 0)),"")</f>
        <v/>
      </c>
      <c r="AL242" s="59" t="str">
        <f t="array" ref="AL242">IFERROR(INDEX($AI$11:$AI$259, MATCH(0, IF(TRUE=$AG$11:$AG$259, COUNTIF($AL$10:$AL241, $AI$11:$AI$259), ""), 0)),"")</f>
        <v/>
      </c>
      <c r="AM242" s="59" t="str">
        <f t="array" ref="AM242">IFERROR(INDEX($AI$11:$AI$259, MATCH(0, IF(TRUE=$AH$11:$AH$259, COUNTIF($AM$10:$AM241, $AI$11:$AI$259), ""), 0)),"")</f>
        <v/>
      </c>
      <c r="AN242" s="59"/>
      <c r="AQ242" s="52">
        <f t="shared" si="17"/>
        <v>0</v>
      </c>
    </row>
    <row r="243" spans="1:43" x14ac:dyDescent="0.25">
      <c r="A243" s="52" t="str">
        <f>IFERROR(INDEX('G-1 All Habitats'!$AG$3:$AG$15,MATCH(E243,'G-1 All Habitats'!$AF$3:$AF$15,0)),"")</f>
        <v/>
      </c>
      <c r="B243" s="52" t="str">
        <f>IFERROR(INDEX('G-8 Condition Look up'!$I$4:$I$131,MATCH(G243,'G-8 Condition Look up'!$A$4:$A$131,0)),"")</f>
        <v/>
      </c>
      <c r="D243" s="89">
        <v>233</v>
      </c>
      <c r="E243" s="90"/>
      <c r="F243" s="91"/>
      <c r="G243" s="75" t="str">
        <f>IFERROR(INDEX('G-1 All Habitats'!$B$3:$B$130,MATCH(F243,'G-1 All Habitats'!$A$3:$A$130,0)),"")</f>
        <v/>
      </c>
      <c r="H243" s="76"/>
      <c r="I243" s="77" t="str">
        <f>IF(G243="","",VLOOKUP(G243,'G-1 All Habitats'!$B$2:$M$130,10,FALSE))</f>
        <v/>
      </c>
      <c r="J243" s="78" t="str">
        <f>IFERROR(VLOOKUP(I243,'G-1 All Habitats'!$V$3:$W$7,2,FALSE),"")</f>
        <v/>
      </c>
      <c r="K243" s="79"/>
      <c r="L243" s="78" t="str">
        <f>IFERROR(INDEX('G-8 Condition Look up'!$A$3:$H$131,MATCH(G243,'G-8 Condition Look up'!$A$3:$A$131,0),MATCH(K243,'G-8 Condition Look up'!$A$3:$H$3,0)),"")</f>
        <v/>
      </c>
      <c r="M243" s="79"/>
      <c r="N243" s="348" t="str">
        <f>IF(M243="","",IF(VLOOKUP(M243,'G-3 Multipliers'!$L$3:$N$6,2,FALSE)=0,"Spatial Data Missing",VLOOKUP(M243,'G-3 Multipliers'!$L$3:$N$6,2,FALSE)))</f>
        <v/>
      </c>
      <c r="O243" s="569" t="str">
        <f>IF(M243="","",IF(VLOOKUP(M243,'G-3 Multipliers'!$L$3:$N$6,3,FALSE)=0,"Spatial Data Missing",VLOOKUP(M243,'G-3 Multipliers'!$L$3:$N$6,3,FALSE)))</f>
        <v/>
      </c>
      <c r="P243" s="80" t="str">
        <f>IFERROR(VLOOKUP(G243,'G-1 All Habitats'!$B$2:$M$130,12,FALSE),"")</f>
        <v/>
      </c>
      <c r="Q243" s="81" t="str">
        <f>IFERROR(IF(P243="","",IF(AND(P243='G-1 All Habitats'!$X$3,T243&gt;0),U243+V243,IF(AND(P243='G-1 All Habitats'!$X$3,S243&gt;0),U243+V243,IF(AND(P243='G-1 All Habitats'!$X$3,AC243&gt;0),"Any Loss Unacceptable",IF(AND(P243='G-1 All Habitats'!$X$3,W243&gt;0),"Any Loss Unacceptable",H243*J243*L243*O243))))),"Check Data")</f>
        <v/>
      </c>
      <c r="R243" s="55"/>
      <c r="S243" s="79"/>
      <c r="T243" s="82"/>
      <c r="U243" s="83" t="str">
        <f t="shared" si="18"/>
        <v/>
      </c>
      <c r="V243" s="83" t="str">
        <f t="shared" si="19"/>
        <v/>
      </c>
      <c r="W243" s="83" t="str">
        <f>IF(E243="","",IF(H243&lt;S243+T243,"Error in Areas",IF(P243&lt;&gt;'G-1 All Habitats'!$X$3,H243-S243-T243,IF(AND(P243='G-1 All Habitats'!$X$3,Y243="Yes"),"Unacceptable Loss",IF(AND(P243='G-1 All Habitats'!$X$3,Y243="No"),AC243,IF(AND(P243='G-1 All Habitats'!$X$3,Y243=""),AC243,IF(AND(P243='G-1 All Habitats'!$X$3,AC243="None",AC243),IF(AND(P243='G-1 All Habitats'!$X$3,AC243&gt;0),H243-S243-T243))))))))</f>
        <v/>
      </c>
      <c r="X243" s="84" t="str">
        <f>IFERROR(IF(H243="","",IF(H243-S243-T243=0&lt;0,"Error in Areas",IF(S243+T243&gt;H243,"Error in Areas",IF(AND(P243='G-1 All Habitats'!$X$3,Y243="Yes"),"Alternative Compensation",IF(W243=0,0,IF(P243='G-1 All Habitats'!$X$3,"Unacceptable Loss",Q243-U243-V243)))))),"Check Data")</f>
        <v/>
      </c>
      <c r="Y243" s="82"/>
      <c r="Z243" s="92"/>
      <c r="AA243" s="93"/>
      <c r="AC243" s="87" t="str">
        <f>IF(P243="","",IF(P243='G-1 All Habitats'!$X$3,H243-S243-T243,"None"))</f>
        <v/>
      </c>
      <c r="AD243" s="88" t="str">
        <f>IFERROR(AC243*J243*L243*#REF!*O243,IF(P243="","","None"))</f>
        <v/>
      </c>
      <c r="AF243" s="59" t="str">
        <f t="shared" si="15"/>
        <v/>
      </c>
      <c r="AG243" s="59" t="str">
        <f t="shared" si="16"/>
        <v/>
      </c>
      <c r="AH243" s="59" t="str">
        <f>IF(I243="","",IF(#REF!&gt;0,TRUE,FALSE))</f>
        <v/>
      </c>
      <c r="AI243" s="59">
        <v>233</v>
      </c>
      <c r="AJ243" s="59"/>
      <c r="AK243" s="59" t="str">
        <f t="array" ref="AK243">IFERROR(INDEX($AI$11:$AI$259, MATCH(0, IF(TRUE=$AF$11:$AF$259, COUNTIF($AK$10:$AK242, $AI$11:$AI$259), ""), 0)),"")</f>
        <v/>
      </c>
      <c r="AL243" s="59" t="str">
        <f t="array" ref="AL243">IFERROR(INDEX($AI$11:$AI$259, MATCH(0, IF(TRUE=$AG$11:$AG$259, COUNTIF($AL$10:$AL242, $AI$11:$AI$259), ""), 0)),"")</f>
        <v/>
      </c>
      <c r="AM243" s="59" t="str">
        <f t="array" ref="AM243">IFERROR(INDEX($AI$11:$AI$259, MATCH(0, IF(TRUE=$AH$11:$AH$259, COUNTIF($AM$10:$AM242, $AI$11:$AI$259), ""), 0)),"")</f>
        <v/>
      </c>
      <c r="AN243" s="59"/>
      <c r="AQ243" s="52">
        <f t="shared" si="17"/>
        <v>0</v>
      </c>
    </row>
    <row r="244" spans="1:43" x14ac:dyDescent="0.25">
      <c r="A244" s="52" t="str">
        <f>IFERROR(INDEX('G-1 All Habitats'!$AG$3:$AG$15,MATCH(E244,'G-1 All Habitats'!$AF$3:$AF$15,0)),"")</f>
        <v/>
      </c>
      <c r="B244" s="52" t="str">
        <f>IFERROR(INDEX('G-8 Condition Look up'!$I$4:$I$131,MATCH(G244,'G-8 Condition Look up'!$A$4:$A$131,0)),"")</f>
        <v/>
      </c>
      <c r="D244" s="89">
        <v>234</v>
      </c>
      <c r="E244" s="90"/>
      <c r="F244" s="91"/>
      <c r="G244" s="75" t="str">
        <f>IFERROR(INDEX('G-1 All Habitats'!$B$3:$B$130,MATCH(F244,'G-1 All Habitats'!$A$3:$A$130,0)),"")</f>
        <v/>
      </c>
      <c r="H244" s="76"/>
      <c r="I244" s="77" t="str">
        <f>IF(G244="","",VLOOKUP(G244,'G-1 All Habitats'!$B$2:$M$130,10,FALSE))</f>
        <v/>
      </c>
      <c r="J244" s="78" t="str">
        <f>IFERROR(VLOOKUP(I244,'G-1 All Habitats'!$V$3:$W$7,2,FALSE),"")</f>
        <v/>
      </c>
      <c r="K244" s="79"/>
      <c r="L244" s="78" t="str">
        <f>IFERROR(INDEX('G-8 Condition Look up'!$A$3:$H$131,MATCH(G244,'G-8 Condition Look up'!$A$3:$A$131,0),MATCH(K244,'G-8 Condition Look up'!$A$3:$H$3,0)),"")</f>
        <v/>
      </c>
      <c r="M244" s="79"/>
      <c r="N244" s="348" t="str">
        <f>IF(M244="","",IF(VLOOKUP(M244,'G-3 Multipliers'!$L$3:$N$6,2,FALSE)=0,"Spatial Data Missing",VLOOKUP(M244,'G-3 Multipliers'!$L$3:$N$6,2,FALSE)))</f>
        <v/>
      </c>
      <c r="O244" s="569" t="str">
        <f>IF(M244="","",IF(VLOOKUP(M244,'G-3 Multipliers'!$L$3:$N$6,3,FALSE)=0,"Spatial Data Missing",VLOOKUP(M244,'G-3 Multipliers'!$L$3:$N$6,3,FALSE)))</f>
        <v/>
      </c>
      <c r="P244" s="80" t="str">
        <f>IFERROR(VLOOKUP(G244,'G-1 All Habitats'!$B$2:$M$130,12,FALSE),"")</f>
        <v/>
      </c>
      <c r="Q244" s="81" t="str">
        <f>IFERROR(IF(P244="","",IF(AND(P244='G-1 All Habitats'!$X$3,T244&gt;0),U244+V244,IF(AND(P244='G-1 All Habitats'!$X$3,S244&gt;0),U244+V244,IF(AND(P244='G-1 All Habitats'!$X$3,AC244&gt;0),"Any Loss Unacceptable",IF(AND(P244='G-1 All Habitats'!$X$3,W244&gt;0),"Any Loss Unacceptable",H244*J244*L244*O244))))),"Check Data")</f>
        <v/>
      </c>
      <c r="R244" s="55"/>
      <c r="S244" s="79"/>
      <c r="T244" s="82"/>
      <c r="U244" s="83" t="str">
        <f t="shared" si="18"/>
        <v/>
      </c>
      <c r="V244" s="83" t="str">
        <f t="shared" si="19"/>
        <v/>
      </c>
      <c r="W244" s="83" t="str">
        <f>IF(E244="","",IF(H244&lt;S244+T244,"Error in Areas",IF(P244&lt;&gt;'G-1 All Habitats'!$X$3,H244-S244-T244,IF(AND(P244='G-1 All Habitats'!$X$3,Y244="Yes"),"Unacceptable Loss",IF(AND(P244='G-1 All Habitats'!$X$3,Y244="No"),AC244,IF(AND(P244='G-1 All Habitats'!$X$3,Y244=""),AC244,IF(AND(P244='G-1 All Habitats'!$X$3,AC244="None",AC244),IF(AND(P244='G-1 All Habitats'!$X$3,AC244&gt;0),H244-S244-T244))))))))</f>
        <v/>
      </c>
      <c r="X244" s="84" t="str">
        <f>IFERROR(IF(H244="","",IF(H244-S244-T244=0&lt;0,"Error in Areas",IF(S244+T244&gt;H244,"Error in Areas",IF(AND(P244='G-1 All Habitats'!$X$3,Y244="Yes"),"Alternative Compensation",IF(W244=0,0,IF(P244='G-1 All Habitats'!$X$3,"Unacceptable Loss",Q244-U244-V244)))))),"Check Data")</f>
        <v/>
      </c>
      <c r="Y244" s="82"/>
      <c r="Z244" s="92"/>
      <c r="AA244" s="93"/>
      <c r="AC244" s="87" t="str">
        <f>IF(P244="","",IF(P244='G-1 All Habitats'!$X$3,H244-S244-T244,"None"))</f>
        <v/>
      </c>
      <c r="AD244" s="88" t="str">
        <f>IFERROR(AC244*J244*L244*#REF!*O244,IF(P244="","","None"))</f>
        <v/>
      </c>
      <c r="AF244" s="59" t="str">
        <f t="shared" si="15"/>
        <v/>
      </c>
      <c r="AG244" s="59" t="str">
        <f t="shared" si="16"/>
        <v/>
      </c>
      <c r="AH244" s="59" t="str">
        <f>IF(I244="","",IF(#REF!&gt;0,TRUE,FALSE))</f>
        <v/>
      </c>
      <c r="AI244" s="59">
        <v>234</v>
      </c>
      <c r="AJ244" s="59"/>
      <c r="AK244" s="59" t="str">
        <f t="array" ref="AK244">IFERROR(INDEX($AI$11:$AI$259, MATCH(0, IF(TRUE=$AF$11:$AF$259, COUNTIF($AK$10:$AK243, $AI$11:$AI$259), ""), 0)),"")</f>
        <v/>
      </c>
      <c r="AL244" s="59" t="str">
        <f t="array" ref="AL244">IFERROR(INDEX($AI$11:$AI$259, MATCH(0, IF(TRUE=$AG$11:$AG$259, COUNTIF($AL$10:$AL243, $AI$11:$AI$259), ""), 0)),"")</f>
        <v/>
      </c>
      <c r="AM244" s="59" t="str">
        <f t="array" ref="AM244">IFERROR(INDEX($AI$11:$AI$259, MATCH(0, IF(TRUE=$AH$11:$AH$259, COUNTIF($AM$10:$AM243, $AI$11:$AI$259), ""), 0)),"")</f>
        <v/>
      </c>
      <c r="AN244" s="59"/>
      <c r="AQ244" s="52">
        <f t="shared" si="17"/>
        <v>0</v>
      </c>
    </row>
    <row r="245" spans="1:43" x14ac:dyDescent="0.25">
      <c r="A245" s="52" t="str">
        <f>IFERROR(INDEX('G-1 All Habitats'!$AG$3:$AG$15,MATCH(E245,'G-1 All Habitats'!$AF$3:$AF$15,0)),"")</f>
        <v/>
      </c>
      <c r="B245" s="52" t="str">
        <f>IFERROR(INDEX('G-8 Condition Look up'!$I$4:$I$131,MATCH(G245,'G-8 Condition Look up'!$A$4:$A$131,0)),"")</f>
        <v/>
      </c>
      <c r="D245" s="89">
        <v>235</v>
      </c>
      <c r="E245" s="90"/>
      <c r="F245" s="91"/>
      <c r="G245" s="75" t="str">
        <f>IFERROR(INDEX('G-1 All Habitats'!$B$3:$B$130,MATCH(F245,'G-1 All Habitats'!$A$3:$A$130,0)),"")</f>
        <v/>
      </c>
      <c r="H245" s="76"/>
      <c r="I245" s="77" t="str">
        <f>IF(G245="","",VLOOKUP(G245,'G-1 All Habitats'!$B$2:$M$130,10,FALSE))</f>
        <v/>
      </c>
      <c r="J245" s="78" t="str">
        <f>IFERROR(VLOOKUP(I245,'G-1 All Habitats'!$V$3:$W$7,2,FALSE),"")</f>
        <v/>
      </c>
      <c r="K245" s="79"/>
      <c r="L245" s="78" t="str">
        <f>IFERROR(INDEX('G-8 Condition Look up'!$A$3:$H$131,MATCH(G245,'G-8 Condition Look up'!$A$3:$A$131,0),MATCH(K245,'G-8 Condition Look up'!$A$3:$H$3,0)),"")</f>
        <v/>
      </c>
      <c r="M245" s="79"/>
      <c r="N245" s="348" t="str">
        <f>IF(M245="","",IF(VLOOKUP(M245,'G-3 Multipliers'!$L$3:$N$6,2,FALSE)=0,"Spatial Data Missing",VLOOKUP(M245,'G-3 Multipliers'!$L$3:$N$6,2,FALSE)))</f>
        <v/>
      </c>
      <c r="O245" s="569" t="str">
        <f>IF(M245="","",IF(VLOOKUP(M245,'G-3 Multipliers'!$L$3:$N$6,3,FALSE)=0,"Spatial Data Missing",VLOOKUP(M245,'G-3 Multipliers'!$L$3:$N$6,3,FALSE)))</f>
        <v/>
      </c>
      <c r="P245" s="80" t="str">
        <f>IFERROR(VLOOKUP(G245,'G-1 All Habitats'!$B$2:$M$130,12,FALSE),"")</f>
        <v/>
      </c>
      <c r="Q245" s="81" t="str">
        <f>IFERROR(IF(P245="","",IF(AND(P245='G-1 All Habitats'!$X$3,T245&gt;0),U245+V245,IF(AND(P245='G-1 All Habitats'!$X$3,S245&gt;0),U245+V245,IF(AND(P245='G-1 All Habitats'!$X$3,AC245&gt;0),"Any Loss Unacceptable",IF(AND(P245='G-1 All Habitats'!$X$3,W245&gt;0),"Any Loss Unacceptable",H245*J245*L245*O245))))),"Check Data")</f>
        <v/>
      </c>
      <c r="R245" s="55"/>
      <c r="S245" s="79"/>
      <c r="T245" s="82"/>
      <c r="U245" s="83" t="str">
        <f t="shared" si="18"/>
        <v/>
      </c>
      <c r="V245" s="83" t="str">
        <f t="shared" si="19"/>
        <v/>
      </c>
      <c r="W245" s="83" t="str">
        <f>IF(E245="","",IF(H245&lt;S245+T245,"Error in Areas",IF(P245&lt;&gt;'G-1 All Habitats'!$X$3,H245-S245-T245,IF(AND(P245='G-1 All Habitats'!$X$3,Y245="Yes"),"Unacceptable Loss",IF(AND(P245='G-1 All Habitats'!$X$3,Y245="No"),AC245,IF(AND(P245='G-1 All Habitats'!$X$3,Y245=""),AC245,IF(AND(P245='G-1 All Habitats'!$X$3,AC245="None",AC245),IF(AND(P245='G-1 All Habitats'!$X$3,AC245&gt;0),H245-S245-T245))))))))</f>
        <v/>
      </c>
      <c r="X245" s="84" t="str">
        <f>IFERROR(IF(H245="","",IF(H245-S245-T245=0&lt;0,"Error in Areas",IF(S245+T245&gt;H245,"Error in Areas",IF(AND(P245='G-1 All Habitats'!$X$3,Y245="Yes"),"Alternative Compensation",IF(W245=0,0,IF(P245='G-1 All Habitats'!$X$3,"Unacceptable Loss",Q245-U245-V245)))))),"Check Data")</f>
        <v/>
      </c>
      <c r="Y245" s="82"/>
      <c r="Z245" s="92"/>
      <c r="AA245" s="93"/>
      <c r="AC245" s="87" t="str">
        <f>IF(P245="","",IF(P245='G-1 All Habitats'!$X$3,H245-S245-T245,"None"))</f>
        <v/>
      </c>
      <c r="AD245" s="88" t="str">
        <f>IFERROR(AC245*J245*L245*#REF!*O245,IF(P245="","","None"))</f>
        <v/>
      </c>
      <c r="AF245" s="59" t="str">
        <f t="shared" si="15"/>
        <v/>
      </c>
      <c r="AG245" s="59" t="str">
        <f t="shared" si="16"/>
        <v/>
      </c>
      <c r="AH245" s="59" t="str">
        <f>IF(I245="","",IF(#REF!&gt;0,TRUE,FALSE))</f>
        <v/>
      </c>
      <c r="AI245" s="59">
        <v>235</v>
      </c>
      <c r="AJ245" s="59"/>
      <c r="AK245" s="59" t="str">
        <f t="array" ref="AK245">IFERROR(INDEX($AI$11:$AI$259, MATCH(0, IF(TRUE=$AF$11:$AF$259, COUNTIF($AK$10:$AK244, $AI$11:$AI$259), ""), 0)),"")</f>
        <v/>
      </c>
      <c r="AL245" s="59" t="str">
        <f t="array" ref="AL245">IFERROR(INDEX($AI$11:$AI$259, MATCH(0, IF(TRUE=$AG$11:$AG$259, COUNTIF($AL$10:$AL244, $AI$11:$AI$259), ""), 0)),"")</f>
        <v/>
      </c>
      <c r="AM245" s="59" t="str">
        <f t="array" ref="AM245">IFERROR(INDEX($AI$11:$AI$259, MATCH(0, IF(TRUE=$AH$11:$AH$259, COUNTIF($AM$10:$AM244, $AI$11:$AI$259), ""), 0)),"")</f>
        <v/>
      </c>
      <c r="AN245" s="59"/>
      <c r="AQ245" s="52">
        <f t="shared" si="17"/>
        <v>0</v>
      </c>
    </row>
    <row r="246" spans="1:43" x14ac:dyDescent="0.25">
      <c r="A246" s="52" t="str">
        <f>IFERROR(INDEX('G-1 All Habitats'!$AG$3:$AG$15,MATCH(E246,'G-1 All Habitats'!$AF$3:$AF$15,0)),"")</f>
        <v/>
      </c>
      <c r="B246" s="52" t="str">
        <f>IFERROR(INDEX('G-8 Condition Look up'!$I$4:$I$131,MATCH(G246,'G-8 Condition Look up'!$A$4:$A$131,0)),"")</f>
        <v/>
      </c>
      <c r="D246" s="89">
        <v>236</v>
      </c>
      <c r="E246" s="90"/>
      <c r="F246" s="91"/>
      <c r="G246" s="75" t="str">
        <f>IFERROR(INDEX('G-1 All Habitats'!$B$3:$B$130,MATCH(F246,'G-1 All Habitats'!$A$3:$A$130,0)),"")</f>
        <v/>
      </c>
      <c r="H246" s="76"/>
      <c r="I246" s="77" t="str">
        <f>IF(G246="","",VLOOKUP(G246,'G-1 All Habitats'!$B$2:$M$130,10,FALSE))</f>
        <v/>
      </c>
      <c r="J246" s="78" t="str">
        <f>IFERROR(VLOOKUP(I246,'G-1 All Habitats'!$V$3:$W$7,2,FALSE),"")</f>
        <v/>
      </c>
      <c r="K246" s="79"/>
      <c r="L246" s="78" t="str">
        <f>IFERROR(INDEX('G-8 Condition Look up'!$A$3:$H$131,MATCH(G246,'G-8 Condition Look up'!$A$3:$A$131,0),MATCH(K246,'G-8 Condition Look up'!$A$3:$H$3,0)),"")</f>
        <v/>
      </c>
      <c r="M246" s="79"/>
      <c r="N246" s="348" t="str">
        <f>IF(M246="","",IF(VLOOKUP(M246,'G-3 Multipliers'!$L$3:$N$6,2,FALSE)=0,"Spatial Data Missing",VLOOKUP(M246,'G-3 Multipliers'!$L$3:$N$6,2,FALSE)))</f>
        <v/>
      </c>
      <c r="O246" s="569" t="str">
        <f>IF(M246="","",IF(VLOOKUP(M246,'G-3 Multipliers'!$L$3:$N$6,3,FALSE)=0,"Spatial Data Missing",VLOOKUP(M246,'G-3 Multipliers'!$L$3:$N$6,3,FALSE)))</f>
        <v/>
      </c>
      <c r="P246" s="80" t="str">
        <f>IFERROR(VLOOKUP(G246,'G-1 All Habitats'!$B$2:$M$130,12,FALSE),"")</f>
        <v/>
      </c>
      <c r="Q246" s="81" t="str">
        <f>IFERROR(IF(P246="","",IF(AND(P246='G-1 All Habitats'!$X$3,T246&gt;0),U246+V246,IF(AND(P246='G-1 All Habitats'!$X$3,S246&gt;0),U246+V246,IF(AND(P246='G-1 All Habitats'!$X$3,AC246&gt;0),"Any Loss Unacceptable",IF(AND(P246='G-1 All Habitats'!$X$3,W246&gt;0),"Any Loss Unacceptable",H246*J246*L246*O246))))),"Check Data")</f>
        <v/>
      </c>
      <c r="R246" s="55"/>
      <c r="S246" s="79"/>
      <c r="T246" s="82"/>
      <c r="U246" s="83" t="str">
        <f t="shared" si="18"/>
        <v/>
      </c>
      <c r="V246" s="83" t="str">
        <f t="shared" si="19"/>
        <v/>
      </c>
      <c r="W246" s="83" t="str">
        <f>IF(E246="","",IF(H246&lt;S246+T246,"Error in Areas",IF(P246&lt;&gt;'G-1 All Habitats'!$X$3,H246-S246-T246,IF(AND(P246='G-1 All Habitats'!$X$3,Y246="Yes"),"Unacceptable Loss",IF(AND(P246='G-1 All Habitats'!$X$3,Y246="No"),AC246,IF(AND(P246='G-1 All Habitats'!$X$3,Y246=""),AC246,IF(AND(P246='G-1 All Habitats'!$X$3,AC246="None",AC246),IF(AND(P246='G-1 All Habitats'!$X$3,AC246&gt;0),H246-S246-T246))))))))</f>
        <v/>
      </c>
      <c r="X246" s="84" t="str">
        <f>IFERROR(IF(H246="","",IF(H246-S246-T246=0&lt;0,"Error in Areas",IF(S246+T246&gt;H246,"Error in Areas",IF(AND(P246='G-1 All Habitats'!$X$3,Y246="Yes"),"Alternative Compensation",IF(W246=0,0,IF(P246='G-1 All Habitats'!$X$3,"Unacceptable Loss",Q246-U246-V246)))))),"Check Data")</f>
        <v/>
      </c>
      <c r="Y246" s="82"/>
      <c r="Z246" s="92"/>
      <c r="AA246" s="93"/>
      <c r="AC246" s="87" t="str">
        <f>IF(P246="","",IF(P246='G-1 All Habitats'!$X$3,H246-S246-T246,"None"))</f>
        <v/>
      </c>
      <c r="AD246" s="88" t="str">
        <f>IFERROR(AC246*J246*L246*#REF!*O246,IF(P246="","","None"))</f>
        <v/>
      </c>
      <c r="AF246" s="59" t="str">
        <f t="shared" si="15"/>
        <v/>
      </c>
      <c r="AG246" s="59" t="str">
        <f t="shared" si="16"/>
        <v/>
      </c>
      <c r="AH246" s="59" t="str">
        <f>IF(I246="","",IF(#REF!&gt;0,TRUE,FALSE))</f>
        <v/>
      </c>
      <c r="AI246" s="59">
        <v>236</v>
      </c>
      <c r="AJ246" s="59"/>
      <c r="AK246" s="59" t="str">
        <f t="array" ref="AK246">IFERROR(INDEX($AI$11:$AI$259, MATCH(0, IF(TRUE=$AF$11:$AF$259, COUNTIF($AK$10:$AK245, $AI$11:$AI$259), ""), 0)),"")</f>
        <v/>
      </c>
      <c r="AL246" s="59" t="str">
        <f t="array" ref="AL246">IFERROR(INDEX($AI$11:$AI$259, MATCH(0, IF(TRUE=$AG$11:$AG$259, COUNTIF($AL$10:$AL245, $AI$11:$AI$259), ""), 0)),"")</f>
        <v/>
      </c>
      <c r="AM246" s="59" t="str">
        <f t="array" ref="AM246">IFERROR(INDEX($AI$11:$AI$259, MATCH(0, IF(TRUE=$AH$11:$AH$259, COUNTIF($AM$10:$AM245, $AI$11:$AI$259), ""), 0)),"")</f>
        <v/>
      </c>
      <c r="AN246" s="59"/>
      <c r="AQ246" s="52">
        <f t="shared" si="17"/>
        <v>0</v>
      </c>
    </row>
    <row r="247" spans="1:43" x14ac:dyDescent="0.25">
      <c r="A247" s="52" t="str">
        <f>IFERROR(INDEX('G-1 All Habitats'!$AG$3:$AG$15,MATCH(E247,'G-1 All Habitats'!$AF$3:$AF$15,0)),"")</f>
        <v/>
      </c>
      <c r="B247" s="52" t="str">
        <f>IFERROR(INDEX('G-8 Condition Look up'!$I$4:$I$131,MATCH(G247,'G-8 Condition Look up'!$A$4:$A$131,0)),"")</f>
        <v/>
      </c>
      <c r="D247" s="89">
        <v>237</v>
      </c>
      <c r="E247" s="90"/>
      <c r="F247" s="91"/>
      <c r="G247" s="75" t="str">
        <f>IFERROR(INDEX('G-1 All Habitats'!$B$3:$B$130,MATCH(F247,'G-1 All Habitats'!$A$3:$A$130,0)),"")</f>
        <v/>
      </c>
      <c r="H247" s="76"/>
      <c r="I247" s="77" t="str">
        <f>IF(G247="","",VLOOKUP(G247,'G-1 All Habitats'!$B$2:$M$130,10,FALSE))</f>
        <v/>
      </c>
      <c r="J247" s="78" t="str">
        <f>IFERROR(VLOOKUP(I247,'G-1 All Habitats'!$V$3:$W$7,2,FALSE),"")</f>
        <v/>
      </c>
      <c r="K247" s="79"/>
      <c r="L247" s="78" t="str">
        <f>IFERROR(INDEX('G-8 Condition Look up'!$A$3:$H$131,MATCH(G247,'G-8 Condition Look up'!$A$3:$A$131,0),MATCH(K247,'G-8 Condition Look up'!$A$3:$H$3,0)),"")</f>
        <v/>
      </c>
      <c r="M247" s="79"/>
      <c r="N247" s="348" t="str">
        <f>IF(M247="","",IF(VLOOKUP(M247,'G-3 Multipliers'!$L$3:$N$6,2,FALSE)=0,"Spatial Data Missing",VLOOKUP(M247,'G-3 Multipliers'!$L$3:$N$6,2,FALSE)))</f>
        <v/>
      </c>
      <c r="O247" s="569" t="str">
        <f>IF(M247="","",IF(VLOOKUP(M247,'G-3 Multipliers'!$L$3:$N$6,3,FALSE)=0,"Spatial Data Missing",VLOOKUP(M247,'G-3 Multipliers'!$L$3:$N$6,3,FALSE)))</f>
        <v/>
      </c>
      <c r="P247" s="80" t="str">
        <f>IFERROR(VLOOKUP(G247,'G-1 All Habitats'!$B$2:$M$130,12,FALSE),"")</f>
        <v/>
      </c>
      <c r="Q247" s="81" t="str">
        <f>IFERROR(IF(P247="","",IF(AND(P247='G-1 All Habitats'!$X$3,T247&gt;0),U247+V247,IF(AND(P247='G-1 All Habitats'!$X$3,S247&gt;0),U247+V247,IF(AND(P247='G-1 All Habitats'!$X$3,AC247&gt;0),"Any Loss Unacceptable",IF(AND(P247='G-1 All Habitats'!$X$3,W247&gt;0),"Any Loss Unacceptable",H247*J247*L247*O247))))),"Check Data")</f>
        <v/>
      </c>
      <c r="R247" s="55"/>
      <c r="S247" s="79"/>
      <c r="T247" s="82"/>
      <c r="U247" s="83" t="str">
        <f t="shared" si="18"/>
        <v/>
      </c>
      <c r="V247" s="83" t="str">
        <f t="shared" si="19"/>
        <v/>
      </c>
      <c r="W247" s="83" t="str">
        <f>IF(E247="","",IF(H247&lt;S247+T247,"Error in Areas",IF(P247&lt;&gt;'G-1 All Habitats'!$X$3,H247-S247-T247,IF(AND(P247='G-1 All Habitats'!$X$3,Y247="Yes"),"Unacceptable Loss",IF(AND(P247='G-1 All Habitats'!$X$3,Y247="No"),AC247,IF(AND(P247='G-1 All Habitats'!$X$3,Y247=""),AC247,IF(AND(P247='G-1 All Habitats'!$X$3,AC247="None",AC247),IF(AND(P247='G-1 All Habitats'!$X$3,AC247&gt;0),H247-S247-T247))))))))</f>
        <v/>
      </c>
      <c r="X247" s="84" t="str">
        <f>IFERROR(IF(H247="","",IF(H247-S247-T247=0&lt;0,"Error in Areas",IF(S247+T247&gt;H247,"Error in Areas",IF(AND(P247='G-1 All Habitats'!$X$3,Y247="Yes"),"Alternative Compensation",IF(W247=0,0,IF(P247='G-1 All Habitats'!$X$3,"Unacceptable Loss",Q247-U247-V247)))))),"Check Data")</f>
        <v/>
      </c>
      <c r="Y247" s="82"/>
      <c r="Z247" s="92"/>
      <c r="AA247" s="93"/>
      <c r="AC247" s="87" t="str">
        <f>IF(P247="","",IF(P247='G-1 All Habitats'!$X$3,H247-S247-T247,"None"))</f>
        <v/>
      </c>
      <c r="AD247" s="88" t="str">
        <f>IFERROR(AC247*J247*L247*#REF!*O247,IF(P247="","","None"))</f>
        <v/>
      </c>
      <c r="AF247" s="59" t="str">
        <f t="shared" si="15"/>
        <v/>
      </c>
      <c r="AG247" s="59" t="str">
        <f t="shared" si="16"/>
        <v/>
      </c>
      <c r="AH247" s="59" t="str">
        <f>IF(I247="","",IF(#REF!&gt;0,TRUE,FALSE))</f>
        <v/>
      </c>
      <c r="AI247" s="59">
        <v>237</v>
      </c>
      <c r="AJ247" s="59"/>
      <c r="AK247" s="59" t="str">
        <f t="array" ref="AK247">IFERROR(INDEX($AI$11:$AI$259, MATCH(0, IF(TRUE=$AF$11:$AF$259, COUNTIF($AK$10:$AK246, $AI$11:$AI$259), ""), 0)),"")</f>
        <v/>
      </c>
      <c r="AL247" s="59" t="str">
        <f t="array" ref="AL247">IFERROR(INDEX($AI$11:$AI$259, MATCH(0, IF(TRUE=$AG$11:$AG$259, COUNTIF($AL$10:$AL246, $AI$11:$AI$259), ""), 0)),"")</f>
        <v/>
      </c>
      <c r="AM247" s="59" t="str">
        <f t="array" ref="AM247">IFERROR(INDEX($AI$11:$AI$259, MATCH(0, IF(TRUE=$AH$11:$AH$259, COUNTIF($AM$10:$AM246, $AI$11:$AI$259), ""), 0)),"")</f>
        <v/>
      </c>
      <c r="AN247" s="59"/>
      <c r="AQ247" s="52">
        <f t="shared" si="17"/>
        <v>0</v>
      </c>
    </row>
    <row r="248" spans="1:43" x14ac:dyDescent="0.25">
      <c r="A248" s="52" t="str">
        <f>IFERROR(INDEX('G-1 All Habitats'!$AG$3:$AG$15,MATCH(E248,'G-1 All Habitats'!$AF$3:$AF$15,0)),"")</f>
        <v/>
      </c>
      <c r="B248" s="52" t="str">
        <f>IFERROR(INDEX('G-8 Condition Look up'!$I$4:$I$131,MATCH(G248,'G-8 Condition Look up'!$A$4:$A$131,0)),"")</f>
        <v/>
      </c>
      <c r="D248" s="89">
        <v>238</v>
      </c>
      <c r="E248" s="90"/>
      <c r="F248" s="91"/>
      <c r="G248" s="75" t="str">
        <f>IFERROR(INDEX('G-1 All Habitats'!$B$3:$B$130,MATCH(F248,'G-1 All Habitats'!$A$3:$A$130,0)),"")</f>
        <v/>
      </c>
      <c r="H248" s="76"/>
      <c r="I248" s="77" t="str">
        <f>IF(G248="","",VLOOKUP(G248,'G-1 All Habitats'!$B$2:$M$130,10,FALSE))</f>
        <v/>
      </c>
      <c r="J248" s="78" t="str">
        <f>IFERROR(VLOOKUP(I248,'G-1 All Habitats'!$V$3:$W$7,2,FALSE),"")</f>
        <v/>
      </c>
      <c r="K248" s="79"/>
      <c r="L248" s="78" t="str">
        <f>IFERROR(INDEX('G-8 Condition Look up'!$A$3:$H$131,MATCH(G248,'G-8 Condition Look up'!$A$3:$A$131,0),MATCH(K248,'G-8 Condition Look up'!$A$3:$H$3,0)),"")</f>
        <v/>
      </c>
      <c r="M248" s="79"/>
      <c r="N248" s="348" t="str">
        <f>IF(M248="","",IF(VLOOKUP(M248,'G-3 Multipliers'!$L$3:$N$6,2,FALSE)=0,"Spatial Data Missing",VLOOKUP(M248,'G-3 Multipliers'!$L$3:$N$6,2,FALSE)))</f>
        <v/>
      </c>
      <c r="O248" s="569" t="str">
        <f>IF(M248="","",IF(VLOOKUP(M248,'G-3 Multipliers'!$L$3:$N$6,3,FALSE)=0,"Spatial Data Missing",VLOOKUP(M248,'G-3 Multipliers'!$L$3:$N$6,3,FALSE)))</f>
        <v/>
      </c>
      <c r="P248" s="80" t="str">
        <f>IFERROR(VLOOKUP(G248,'G-1 All Habitats'!$B$2:$M$130,12,FALSE),"")</f>
        <v/>
      </c>
      <c r="Q248" s="81" t="str">
        <f>IFERROR(IF(P248="","",IF(AND(P248='G-1 All Habitats'!$X$3,T248&gt;0),U248+V248,IF(AND(P248='G-1 All Habitats'!$X$3,S248&gt;0),U248+V248,IF(AND(P248='G-1 All Habitats'!$X$3,AC248&gt;0),"Any Loss Unacceptable",IF(AND(P248='G-1 All Habitats'!$X$3,W248&gt;0),"Any Loss Unacceptable",H248*J248*L248*O248))))),"Check Data")</f>
        <v/>
      </c>
      <c r="R248" s="55"/>
      <c r="S248" s="79"/>
      <c r="T248" s="82"/>
      <c r="U248" s="83" t="str">
        <f t="shared" si="18"/>
        <v/>
      </c>
      <c r="V248" s="83" t="str">
        <f t="shared" si="19"/>
        <v/>
      </c>
      <c r="W248" s="83" t="str">
        <f>IF(E248="","",IF(H248&lt;S248+T248,"Error in Areas",IF(P248&lt;&gt;'G-1 All Habitats'!$X$3,H248-S248-T248,IF(AND(P248='G-1 All Habitats'!$X$3,Y248="Yes"),"Unacceptable Loss",IF(AND(P248='G-1 All Habitats'!$X$3,Y248="No"),AC248,IF(AND(P248='G-1 All Habitats'!$X$3,Y248=""),AC248,IF(AND(P248='G-1 All Habitats'!$X$3,AC248="None",AC248),IF(AND(P248='G-1 All Habitats'!$X$3,AC248&gt;0),H248-S248-T248))))))))</f>
        <v/>
      </c>
      <c r="X248" s="84" t="str">
        <f>IFERROR(IF(H248="","",IF(H248-S248-T248=0&lt;0,"Error in Areas",IF(S248+T248&gt;H248,"Error in Areas",IF(AND(P248='G-1 All Habitats'!$X$3,Y248="Yes"),"Alternative Compensation",IF(W248=0,0,IF(P248='G-1 All Habitats'!$X$3,"Unacceptable Loss",Q248-U248-V248)))))),"Check Data")</f>
        <v/>
      </c>
      <c r="Y248" s="82"/>
      <c r="Z248" s="92"/>
      <c r="AA248" s="93"/>
      <c r="AC248" s="87" t="str">
        <f>IF(P248="","",IF(P248='G-1 All Habitats'!$X$3,H248-S248-T248,"None"))</f>
        <v/>
      </c>
      <c r="AD248" s="88" t="str">
        <f>IFERROR(AC248*J248*L248*#REF!*O248,IF(P248="","","None"))</f>
        <v/>
      </c>
      <c r="AF248" s="59" t="str">
        <f t="shared" si="15"/>
        <v/>
      </c>
      <c r="AG248" s="59" t="str">
        <f t="shared" si="16"/>
        <v/>
      </c>
      <c r="AH248" s="59" t="str">
        <f>IF(I248="","",IF(#REF!&gt;0,TRUE,FALSE))</f>
        <v/>
      </c>
      <c r="AI248" s="59">
        <v>238</v>
      </c>
      <c r="AJ248" s="59"/>
      <c r="AK248" s="59" t="str">
        <f t="array" ref="AK248">IFERROR(INDEX($AI$11:$AI$259, MATCH(0, IF(TRUE=$AF$11:$AF$259, COUNTIF($AK$10:$AK247, $AI$11:$AI$259), ""), 0)),"")</f>
        <v/>
      </c>
      <c r="AL248" s="59" t="str">
        <f t="array" ref="AL248">IFERROR(INDEX($AI$11:$AI$259, MATCH(0, IF(TRUE=$AG$11:$AG$259, COUNTIF($AL$10:$AL247, $AI$11:$AI$259), ""), 0)),"")</f>
        <v/>
      </c>
      <c r="AM248" s="59" t="str">
        <f t="array" ref="AM248">IFERROR(INDEX($AI$11:$AI$259, MATCH(0, IF(TRUE=$AH$11:$AH$259, COUNTIF($AM$10:$AM247, $AI$11:$AI$259), ""), 0)),"")</f>
        <v/>
      </c>
      <c r="AN248" s="59"/>
      <c r="AQ248" s="52">
        <f t="shared" si="17"/>
        <v>0</v>
      </c>
    </row>
    <row r="249" spans="1:43" x14ac:dyDescent="0.25">
      <c r="A249" s="52" t="str">
        <f>IFERROR(INDEX('G-1 All Habitats'!$AG$3:$AG$15,MATCH(E249,'G-1 All Habitats'!$AF$3:$AF$15,0)),"")</f>
        <v/>
      </c>
      <c r="B249" s="52" t="str">
        <f>IFERROR(INDEX('G-8 Condition Look up'!$I$4:$I$131,MATCH(G249,'G-8 Condition Look up'!$A$4:$A$131,0)),"")</f>
        <v/>
      </c>
      <c r="D249" s="89">
        <v>239</v>
      </c>
      <c r="E249" s="90"/>
      <c r="F249" s="91"/>
      <c r="G249" s="75" t="str">
        <f>IFERROR(INDEX('G-1 All Habitats'!$B$3:$B$130,MATCH(F249,'G-1 All Habitats'!$A$3:$A$130,0)),"")</f>
        <v/>
      </c>
      <c r="H249" s="76"/>
      <c r="I249" s="77" t="str">
        <f>IF(G249="","",VLOOKUP(G249,'G-1 All Habitats'!$B$2:$M$130,10,FALSE))</f>
        <v/>
      </c>
      <c r="J249" s="78" t="str">
        <f>IFERROR(VLOOKUP(I249,'G-1 All Habitats'!$V$3:$W$7,2,FALSE),"")</f>
        <v/>
      </c>
      <c r="K249" s="79"/>
      <c r="L249" s="78" t="str">
        <f>IFERROR(INDEX('G-8 Condition Look up'!$A$3:$H$131,MATCH(G249,'G-8 Condition Look up'!$A$3:$A$131,0),MATCH(K249,'G-8 Condition Look up'!$A$3:$H$3,0)),"")</f>
        <v/>
      </c>
      <c r="M249" s="79"/>
      <c r="N249" s="348" t="str">
        <f>IF(M249="","",IF(VLOOKUP(M249,'G-3 Multipliers'!$L$3:$N$6,2,FALSE)=0,"Spatial Data Missing",VLOOKUP(M249,'G-3 Multipliers'!$L$3:$N$6,2,FALSE)))</f>
        <v/>
      </c>
      <c r="O249" s="569" t="str">
        <f>IF(M249="","",IF(VLOOKUP(M249,'G-3 Multipliers'!$L$3:$N$6,3,FALSE)=0,"Spatial Data Missing",VLOOKUP(M249,'G-3 Multipliers'!$L$3:$N$6,3,FALSE)))</f>
        <v/>
      </c>
      <c r="P249" s="80" t="str">
        <f>IFERROR(VLOOKUP(G249,'G-1 All Habitats'!$B$2:$M$130,12,FALSE),"")</f>
        <v/>
      </c>
      <c r="Q249" s="81" t="str">
        <f>IFERROR(IF(P249="","",IF(AND(P249='G-1 All Habitats'!$X$3,T249&gt;0),U249+V249,IF(AND(P249='G-1 All Habitats'!$X$3,S249&gt;0),U249+V249,IF(AND(P249='G-1 All Habitats'!$X$3,AC249&gt;0),"Any Loss Unacceptable",IF(AND(P249='G-1 All Habitats'!$X$3,W249&gt;0),"Any Loss Unacceptable",H249*J249*L249*O249))))),"Check Data")</f>
        <v/>
      </c>
      <c r="R249" s="55"/>
      <c r="S249" s="79"/>
      <c r="T249" s="82"/>
      <c r="U249" s="83" t="str">
        <f t="shared" si="18"/>
        <v/>
      </c>
      <c r="V249" s="83" t="str">
        <f t="shared" si="19"/>
        <v/>
      </c>
      <c r="W249" s="83" t="str">
        <f>IF(E249="","",IF(H249&lt;S249+T249,"Error in Areas",IF(P249&lt;&gt;'G-1 All Habitats'!$X$3,H249-S249-T249,IF(AND(P249='G-1 All Habitats'!$X$3,Y249="Yes"),"Unacceptable Loss",IF(AND(P249='G-1 All Habitats'!$X$3,Y249="No"),AC249,IF(AND(P249='G-1 All Habitats'!$X$3,Y249=""),AC249,IF(AND(P249='G-1 All Habitats'!$X$3,AC249="None",AC249),IF(AND(P249='G-1 All Habitats'!$X$3,AC249&gt;0),H249-S249-T249))))))))</f>
        <v/>
      </c>
      <c r="X249" s="84" t="str">
        <f>IFERROR(IF(H249="","",IF(H249-S249-T249=0&lt;0,"Error in Areas",IF(S249+T249&gt;H249,"Error in Areas",IF(AND(P249='G-1 All Habitats'!$X$3,Y249="Yes"),"Alternative Compensation",IF(W249=0,0,IF(P249='G-1 All Habitats'!$X$3,"Unacceptable Loss",Q249-U249-V249)))))),"Check Data")</f>
        <v/>
      </c>
      <c r="Y249" s="82"/>
      <c r="Z249" s="92"/>
      <c r="AA249" s="93"/>
      <c r="AC249" s="87" t="str">
        <f>IF(P249="","",IF(P249='G-1 All Habitats'!$X$3,H249-S249-T249,"None"))</f>
        <v/>
      </c>
      <c r="AD249" s="88" t="str">
        <f>IFERROR(AC249*J249*L249*#REF!*O249,IF(P249="","","None"))</f>
        <v/>
      </c>
      <c r="AF249" s="59" t="str">
        <f t="shared" si="15"/>
        <v/>
      </c>
      <c r="AG249" s="59" t="str">
        <f t="shared" si="16"/>
        <v/>
      </c>
      <c r="AH249" s="59" t="str">
        <f>IF(I249="","",IF(#REF!&gt;0,TRUE,FALSE))</f>
        <v/>
      </c>
      <c r="AI249" s="59">
        <v>239</v>
      </c>
      <c r="AJ249" s="59"/>
      <c r="AK249" s="59" t="str">
        <f t="array" ref="AK249">IFERROR(INDEX($AI$11:$AI$259, MATCH(0, IF(TRUE=$AF$11:$AF$259, COUNTIF($AK$10:$AK248, $AI$11:$AI$259), ""), 0)),"")</f>
        <v/>
      </c>
      <c r="AL249" s="59" t="str">
        <f t="array" ref="AL249">IFERROR(INDEX($AI$11:$AI$259, MATCH(0, IF(TRUE=$AG$11:$AG$259, COUNTIF($AL$10:$AL248, $AI$11:$AI$259), ""), 0)),"")</f>
        <v/>
      </c>
      <c r="AM249" s="59" t="str">
        <f t="array" ref="AM249">IFERROR(INDEX($AI$11:$AI$259, MATCH(0, IF(TRUE=$AH$11:$AH$259, COUNTIF($AM$10:$AM248, $AI$11:$AI$259), ""), 0)),"")</f>
        <v/>
      </c>
      <c r="AN249" s="59"/>
      <c r="AQ249" s="52">
        <f t="shared" si="17"/>
        <v>0</v>
      </c>
    </row>
    <row r="250" spans="1:43" x14ac:dyDescent="0.25">
      <c r="A250" s="52" t="str">
        <f>IFERROR(INDEX('G-1 All Habitats'!$AG$3:$AG$15,MATCH(E250,'G-1 All Habitats'!$AF$3:$AF$15,0)),"")</f>
        <v/>
      </c>
      <c r="B250" s="52" t="str">
        <f>IFERROR(INDEX('G-8 Condition Look up'!$I$4:$I$131,MATCH(G250,'G-8 Condition Look up'!$A$4:$A$131,0)),"")</f>
        <v/>
      </c>
      <c r="D250" s="89">
        <v>240</v>
      </c>
      <c r="E250" s="90"/>
      <c r="F250" s="91"/>
      <c r="G250" s="75" t="str">
        <f>IFERROR(INDEX('G-1 All Habitats'!$B$3:$B$130,MATCH(F250,'G-1 All Habitats'!$A$3:$A$130,0)),"")</f>
        <v/>
      </c>
      <c r="H250" s="76"/>
      <c r="I250" s="77" t="str">
        <f>IF(G250="","",VLOOKUP(G250,'G-1 All Habitats'!$B$2:$M$130,10,FALSE))</f>
        <v/>
      </c>
      <c r="J250" s="78" t="str">
        <f>IFERROR(VLOOKUP(I250,'G-1 All Habitats'!$V$3:$W$7,2,FALSE),"")</f>
        <v/>
      </c>
      <c r="K250" s="79"/>
      <c r="L250" s="78" t="str">
        <f>IFERROR(INDEX('G-8 Condition Look up'!$A$3:$H$131,MATCH(G250,'G-8 Condition Look up'!$A$3:$A$131,0),MATCH(K250,'G-8 Condition Look up'!$A$3:$H$3,0)),"")</f>
        <v/>
      </c>
      <c r="M250" s="79"/>
      <c r="N250" s="348" t="str">
        <f>IF(M250="","",IF(VLOOKUP(M250,'G-3 Multipliers'!$L$3:$N$6,2,FALSE)=0,"Spatial Data Missing",VLOOKUP(M250,'G-3 Multipliers'!$L$3:$N$6,2,FALSE)))</f>
        <v/>
      </c>
      <c r="O250" s="569" t="str">
        <f>IF(M250="","",IF(VLOOKUP(M250,'G-3 Multipliers'!$L$3:$N$6,3,FALSE)=0,"Spatial Data Missing",VLOOKUP(M250,'G-3 Multipliers'!$L$3:$N$6,3,FALSE)))</f>
        <v/>
      </c>
      <c r="P250" s="80" t="str">
        <f>IFERROR(VLOOKUP(G250,'G-1 All Habitats'!$B$2:$M$130,12,FALSE),"")</f>
        <v/>
      </c>
      <c r="Q250" s="81" t="str">
        <f>IFERROR(IF(P250="","",IF(AND(P250='G-1 All Habitats'!$X$3,T250&gt;0),U250+V250,IF(AND(P250='G-1 All Habitats'!$X$3,S250&gt;0),U250+V250,IF(AND(P250='G-1 All Habitats'!$X$3,AC250&gt;0),"Any Loss Unacceptable",IF(AND(P250='G-1 All Habitats'!$X$3,W250&gt;0),"Any Loss Unacceptable",H250*J250*L250*O250))))),"Check Data")</f>
        <v/>
      </c>
      <c r="R250" s="55"/>
      <c r="S250" s="79"/>
      <c r="T250" s="82"/>
      <c r="U250" s="83" t="str">
        <f t="shared" si="18"/>
        <v/>
      </c>
      <c r="V250" s="83" t="str">
        <f t="shared" si="19"/>
        <v/>
      </c>
      <c r="W250" s="83" t="str">
        <f>IF(E250="","",IF(H250&lt;S250+T250,"Error in Areas",IF(P250&lt;&gt;'G-1 All Habitats'!$X$3,H250-S250-T250,IF(AND(P250='G-1 All Habitats'!$X$3,Y250="Yes"),"Unacceptable Loss",IF(AND(P250='G-1 All Habitats'!$X$3,Y250="No"),AC250,IF(AND(P250='G-1 All Habitats'!$X$3,Y250=""),AC250,IF(AND(P250='G-1 All Habitats'!$X$3,AC250="None",AC250),IF(AND(P250='G-1 All Habitats'!$X$3,AC250&gt;0),H250-S250-T250))))))))</f>
        <v/>
      </c>
      <c r="X250" s="84" t="str">
        <f>IFERROR(IF(H250="","",IF(H250-S250-T250=0&lt;0,"Error in Areas",IF(S250+T250&gt;H250,"Error in Areas",IF(AND(P250='G-1 All Habitats'!$X$3,Y250="Yes"),"Alternative Compensation",IF(W250=0,0,IF(P250='G-1 All Habitats'!$X$3,"Unacceptable Loss",Q250-U250-V250)))))),"Check Data")</f>
        <v/>
      </c>
      <c r="Y250" s="82"/>
      <c r="Z250" s="92"/>
      <c r="AA250" s="93"/>
      <c r="AC250" s="87" t="str">
        <f>IF(P250="","",IF(P250='G-1 All Habitats'!$X$3,H250-S250-T250,"None"))</f>
        <v/>
      </c>
      <c r="AD250" s="88" t="str">
        <f>IFERROR(AC250*J250*L250*#REF!*O250,IF(P250="","","None"))</f>
        <v/>
      </c>
      <c r="AF250" s="59" t="str">
        <f t="shared" si="15"/>
        <v/>
      </c>
      <c r="AG250" s="59" t="str">
        <f t="shared" si="16"/>
        <v/>
      </c>
      <c r="AH250" s="59" t="str">
        <f>IF(I250="","",IF(#REF!&gt;0,TRUE,FALSE))</f>
        <v/>
      </c>
      <c r="AI250" s="59">
        <v>240</v>
      </c>
      <c r="AJ250" s="59"/>
      <c r="AK250" s="59" t="str">
        <f t="array" ref="AK250">IFERROR(INDEX($AI$11:$AI$259, MATCH(0, IF(TRUE=$AF$11:$AF$259, COUNTIF($AK$10:$AK249, $AI$11:$AI$259), ""), 0)),"")</f>
        <v/>
      </c>
      <c r="AL250" s="59" t="str">
        <f t="array" ref="AL250">IFERROR(INDEX($AI$11:$AI$259, MATCH(0, IF(TRUE=$AG$11:$AG$259, COUNTIF($AL$10:$AL249, $AI$11:$AI$259), ""), 0)),"")</f>
        <v/>
      </c>
      <c r="AM250" s="59" t="str">
        <f t="array" ref="AM250">IFERROR(INDEX($AI$11:$AI$259, MATCH(0, IF(TRUE=$AH$11:$AH$259, COUNTIF($AM$10:$AM249, $AI$11:$AI$259), ""), 0)),"")</f>
        <v/>
      </c>
      <c r="AN250" s="59"/>
      <c r="AQ250" s="52">
        <f t="shared" si="17"/>
        <v>0</v>
      </c>
    </row>
    <row r="251" spans="1:43" x14ac:dyDescent="0.25">
      <c r="A251" s="52" t="str">
        <f>IFERROR(INDEX('G-1 All Habitats'!$AG$3:$AG$15,MATCH(E251,'G-1 All Habitats'!$AF$3:$AF$15,0)),"")</f>
        <v/>
      </c>
      <c r="B251" s="52" t="str">
        <f>IFERROR(INDEX('G-8 Condition Look up'!$I$4:$I$131,MATCH(G251,'G-8 Condition Look up'!$A$4:$A$131,0)),"")</f>
        <v/>
      </c>
      <c r="D251" s="89">
        <v>241</v>
      </c>
      <c r="E251" s="90"/>
      <c r="F251" s="91"/>
      <c r="G251" s="75" t="str">
        <f>IFERROR(INDEX('G-1 All Habitats'!$B$3:$B$130,MATCH(F251,'G-1 All Habitats'!$A$3:$A$130,0)),"")</f>
        <v/>
      </c>
      <c r="H251" s="76"/>
      <c r="I251" s="77" t="str">
        <f>IF(G251="","",VLOOKUP(G251,'G-1 All Habitats'!$B$2:$M$130,10,FALSE))</f>
        <v/>
      </c>
      <c r="J251" s="78" t="str">
        <f>IFERROR(VLOOKUP(I251,'G-1 All Habitats'!$V$3:$W$7,2,FALSE),"")</f>
        <v/>
      </c>
      <c r="K251" s="79"/>
      <c r="L251" s="78" t="str">
        <f>IFERROR(INDEX('G-8 Condition Look up'!$A$3:$H$131,MATCH(G251,'G-8 Condition Look up'!$A$3:$A$131,0),MATCH(K251,'G-8 Condition Look up'!$A$3:$H$3,0)),"")</f>
        <v/>
      </c>
      <c r="M251" s="79"/>
      <c r="N251" s="348" t="str">
        <f>IF(M251="","",IF(VLOOKUP(M251,'G-3 Multipliers'!$L$3:$N$6,2,FALSE)=0,"Spatial Data Missing",VLOOKUP(M251,'G-3 Multipliers'!$L$3:$N$6,2,FALSE)))</f>
        <v/>
      </c>
      <c r="O251" s="569" t="str">
        <f>IF(M251="","",IF(VLOOKUP(M251,'G-3 Multipliers'!$L$3:$N$6,3,FALSE)=0,"Spatial Data Missing",VLOOKUP(M251,'G-3 Multipliers'!$L$3:$N$6,3,FALSE)))</f>
        <v/>
      </c>
      <c r="P251" s="80" t="str">
        <f>IFERROR(VLOOKUP(G251,'G-1 All Habitats'!$B$2:$M$130,12,FALSE),"")</f>
        <v/>
      </c>
      <c r="Q251" s="81" t="str">
        <f>IFERROR(IF(P251="","",IF(AND(P251='G-1 All Habitats'!$X$3,T251&gt;0),U251+V251,IF(AND(P251='G-1 All Habitats'!$X$3,S251&gt;0),U251+V251,IF(AND(P251='G-1 All Habitats'!$X$3,AC251&gt;0),"Any Loss Unacceptable",IF(AND(P251='G-1 All Habitats'!$X$3,W251&gt;0),"Any Loss Unacceptable",H251*J251*L251*O251))))),"Check Data")</f>
        <v/>
      </c>
      <c r="R251" s="55"/>
      <c r="S251" s="79"/>
      <c r="T251" s="82"/>
      <c r="U251" s="83" t="str">
        <f t="shared" si="18"/>
        <v/>
      </c>
      <c r="V251" s="83" t="str">
        <f t="shared" si="19"/>
        <v/>
      </c>
      <c r="W251" s="83" t="str">
        <f>IF(E251="","",IF(H251&lt;S251+T251,"Error in Areas",IF(P251&lt;&gt;'G-1 All Habitats'!$X$3,H251-S251-T251,IF(AND(P251='G-1 All Habitats'!$X$3,Y251="Yes"),"Unacceptable Loss",IF(AND(P251='G-1 All Habitats'!$X$3,Y251="No"),AC251,IF(AND(P251='G-1 All Habitats'!$X$3,Y251=""),AC251,IF(AND(P251='G-1 All Habitats'!$X$3,AC251="None",AC251),IF(AND(P251='G-1 All Habitats'!$X$3,AC251&gt;0),H251-S251-T251))))))))</f>
        <v/>
      </c>
      <c r="X251" s="84" t="str">
        <f>IFERROR(IF(H251="","",IF(H251-S251-T251=0&lt;0,"Error in Areas",IF(S251+T251&gt;H251,"Error in Areas",IF(AND(P251='G-1 All Habitats'!$X$3,Y251="Yes"),"Alternative Compensation",IF(W251=0,0,IF(P251='G-1 All Habitats'!$X$3,"Unacceptable Loss",Q251-U251-V251)))))),"Check Data")</f>
        <v/>
      </c>
      <c r="Y251" s="82"/>
      <c r="Z251" s="92"/>
      <c r="AA251" s="93"/>
      <c r="AC251" s="87" t="str">
        <f>IF(P251="","",IF(P251='G-1 All Habitats'!$X$3,H251-S251-T251,"None"))</f>
        <v/>
      </c>
      <c r="AD251" s="88" t="str">
        <f>IFERROR(AC251*J251*L251*#REF!*O251,IF(P251="","","None"))</f>
        <v/>
      </c>
      <c r="AF251" s="59" t="str">
        <f t="shared" si="15"/>
        <v/>
      </c>
      <c r="AG251" s="59" t="str">
        <f t="shared" si="16"/>
        <v/>
      </c>
      <c r="AH251" s="59" t="str">
        <f>IF(I251="","",IF(#REF!&gt;0,TRUE,FALSE))</f>
        <v/>
      </c>
      <c r="AI251" s="59">
        <v>241</v>
      </c>
      <c r="AJ251" s="59"/>
      <c r="AK251" s="59" t="str">
        <f t="array" ref="AK251">IFERROR(INDEX($AI$11:$AI$259, MATCH(0, IF(TRUE=$AF$11:$AF$259, COUNTIF($AK$10:$AK250, $AI$11:$AI$259), ""), 0)),"")</f>
        <v/>
      </c>
      <c r="AL251" s="59" t="str">
        <f t="array" ref="AL251">IFERROR(INDEX($AI$11:$AI$259, MATCH(0, IF(TRUE=$AG$11:$AG$259, COUNTIF($AL$10:$AL250, $AI$11:$AI$259), ""), 0)),"")</f>
        <v/>
      </c>
      <c r="AM251" s="59" t="str">
        <f t="array" ref="AM251">IFERROR(INDEX($AI$11:$AI$259, MATCH(0, IF(TRUE=$AH$11:$AH$259, COUNTIF($AM$10:$AM250, $AI$11:$AI$259), ""), 0)),"")</f>
        <v/>
      </c>
      <c r="AN251" s="59"/>
      <c r="AQ251" s="52">
        <f t="shared" si="17"/>
        <v>0</v>
      </c>
    </row>
    <row r="252" spans="1:43" x14ac:dyDescent="0.25">
      <c r="A252" s="52" t="str">
        <f>IFERROR(INDEX('G-1 All Habitats'!$AG$3:$AG$15,MATCH(E252,'G-1 All Habitats'!$AF$3:$AF$15,0)),"")</f>
        <v/>
      </c>
      <c r="B252" s="52" t="str">
        <f>IFERROR(INDEX('G-8 Condition Look up'!$I$4:$I$131,MATCH(G252,'G-8 Condition Look up'!$A$4:$A$131,0)),"")</f>
        <v/>
      </c>
      <c r="D252" s="89">
        <v>242</v>
      </c>
      <c r="E252" s="90"/>
      <c r="F252" s="91"/>
      <c r="G252" s="75" t="str">
        <f>IFERROR(INDEX('G-1 All Habitats'!$B$3:$B$130,MATCH(F252,'G-1 All Habitats'!$A$3:$A$130,0)),"")</f>
        <v/>
      </c>
      <c r="H252" s="76"/>
      <c r="I252" s="77" t="str">
        <f>IF(G252="","",VLOOKUP(G252,'G-1 All Habitats'!$B$2:$M$130,10,FALSE))</f>
        <v/>
      </c>
      <c r="J252" s="78" t="str">
        <f>IFERROR(VLOOKUP(I252,'G-1 All Habitats'!$V$3:$W$7,2,FALSE),"")</f>
        <v/>
      </c>
      <c r="K252" s="79"/>
      <c r="L252" s="78" t="str">
        <f>IFERROR(INDEX('G-8 Condition Look up'!$A$3:$H$131,MATCH(G252,'G-8 Condition Look up'!$A$3:$A$131,0),MATCH(K252,'G-8 Condition Look up'!$A$3:$H$3,0)),"")</f>
        <v/>
      </c>
      <c r="M252" s="79"/>
      <c r="N252" s="348" t="str">
        <f>IF(M252="","",IF(VLOOKUP(M252,'G-3 Multipliers'!$L$3:$N$6,2,FALSE)=0,"Spatial Data Missing",VLOOKUP(M252,'G-3 Multipliers'!$L$3:$N$6,2,FALSE)))</f>
        <v/>
      </c>
      <c r="O252" s="569" t="str">
        <f>IF(M252="","",IF(VLOOKUP(M252,'G-3 Multipliers'!$L$3:$N$6,3,FALSE)=0,"Spatial Data Missing",VLOOKUP(M252,'G-3 Multipliers'!$L$3:$N$6,3,FALSE)))</f>
        <v/>
      </c>
      <c r="P252" s="80" t="str">
        <f>IFERROR(VLOOKUP(G252,'G-1 All Habitats'!$B$2:$M$130,12,FALSE),"")</f>
        <v/>
      </c>
      <c r="Q252" s="81" t="str">
        <f>IFERROR(IF(P252="","",IF(AND(P252='G-1 All Habitats'!$X$3,T252&gt;0),U252+V252,IF(AND(P252='G-1 All Habitats'!$X$3,S252&gt;0),U252+V252,IF(AND(P252='G-1 All Habitats'!$X$3,AC252&gt;0),"Any Loss Unacceptable",IF(AND(P252='G-1 All Habitats'!$X$3,W252&gt;0),"Any Loss Unacceptable",H252*J252*L252*O252))))),"Check Data")</f>
        <v/>
      </c>
      <c r="R252" s="55"/>
      <c r="S252" s="79"/>
      <c r="T252" s="82"/>
      <c r="U252" s="83" t="str">
        <f t="shared" si="18"/>
        <v/>
      </c>
      <c r="V252" s="83" t="str">
        <f t="shared" si="19"/>
        <v/>
      </c>
      <c r="W252" s="83" t="str">
        <f>IF(E252="","",IF(H252&lt;S252+T252,"Error in Areas",IF(P252&lt;&gt;'G-1 All Habitats'!$X$3,H252-S252-T252,IF(AND(P252='G-1 All Habitats'!$X$3,Y252="Yes"),"Unacceptable Loss",IF(AND(P252='G-1 All Habitats'!$X$3,Y252="No"),AC252,IF(AND(P252='G-1 All Habitats'!$X$3,Y252=""),AC252,IF(AND(P252='G-1 All Habitats'!$X$3,AC252="None",AC252),IF(AND(P252='G-1 All Habitats'!$X$3,AC252&gt;0),H252-S252-T252))))))))</f>
        <v/>
      </c>
      <c r="X252" s="84" t="str">
        <f>IFERROR(IF(H252="","",IF(H252-S252-T252=0&lt;0,"Error in Areas",IF(S252+T252&gt;H252,"Error in Areas",IF(AND(P252='G-1 All Habitats'!$X$3,Y252="Yes"),"Alternative Compensation",IF(W252=0,0,IF(P252='G-1 All Habitats'!$X$3,"Unacceptable Loss",Q252-U252-V252)))))),"Check Data")</f>
        <v/>
      </c>
      <c r="Y252" s="82"/>
      <c r="Z252" s="92"/>
      <c r="AA252" s="93"/>
      <c r="AC252" s="87" t="str">
        <f>IF(P252="","",IF(P252='G-1 All Habitats'!$X$3,H252-S252-T252,"None"))</f>
        <v/>
      </c>
      <c r="AD252" s="88" t="str">
        <f>IFERROR(AC252*J252*L252*#REF!*O252,IF(P252="","","None"))</f>
        <v/>
      </c>
      <c r="AF252" s="59" t="str">
        <f t="shared" si="15"/>
        <v/>
      </c>
      <c r="AG252" s="59" t="str">
        <f t="shared" si="16"/>
        <v/>
      </c>
      <c r="AH252" s="59" t="str">
        <f>IF(I252="","",IF(#REF!&gt;0,TRUE,FALSE))</f>
        <v/>
      </c>
      <c r="AI252" s="59">
        <v>242</v>
      </c>
      <c r="AJ252" s="59"/>
      <c r="AK252" s="59" t="str">
        <f t="array" ref="AK252">IFERROR(INDEX($AI$11:$AI$259, MATCH(0, IF(TRUE=$AF$11:$AF$259, COUNTIF($AK$10:$AK251, $AI$11:$AI$259), ""), 0)),"")</f>
        <v/>
      </c>
      <c r="AL252" s="59" t="str">
        <f t="array" ref="AL252">IFERROR(INDEX($AI$11:$AI$259, MATCH(0, IF(TRUE=$AG$11:$AG$259, COUNTIF($AL$10:$AL251, $AI$11:$AI$259), ""), 0)),"")</f>
        <v/>
      </c>
      <c r="AM252" s="59" t="str">
        <f t="array" ref="AM252">IFERROR(INDEX($AI$11:$AI$259, MATCH(0, IF(TRUE=$AH$11:$AH$259, COUNTIF($AM$10:$AM251, $AI$11:$AI$259), ""), 0)),"")</f>
        <v/>
      </c>
      <c r="AN252" s="59"/>
      <c r="AQ252" s="52">
        <f t="shared" si="17"/>
        <v>0</v>
      </c>
    </row>
    <row r="253" spans="1:43" x14ac:dyDescent="0.25">
      <c r="A253" s="52" t="str">
        <f>IFERROR(INDEX('G-1 All Habitats'!$AG$3:$AG$15,MATCH(E253,'G-1 All Habitats'!$AF$3:$AF$15,0)),"")</f>
        <v/>
      </c>
      <c r="B253" s="52" t="str">
        <f>IFERROR(INDEX('G-8 Condition Look up'!$I$4:$I$131,MATCH(G253,'G-8 Condition Look up'!$A$4:$A$131,0)),"")</f>
        <v/>
      </c>
      <c r="D253" s="89">
        <v>243</v>
      </c>
      <c r="E253" s="90"/>
      <c r="F253" s="91"/>
      <c r="G253" s="75" t="str">
        <f>IFERROR(INDEX('G-1 All Habitats'!$B$3:$B$130,MATCH(F253,'G-1 All Habitats'!$A$3:$A$130,0)),"")</f>
        <v/>
      </c>
      <c r="H253" s="76"/>
      <c r="I253" s="77" t="str">
        <f>IF(G253="","",VLOOKUP(G253,'G-1 All Habitats'!$B$2:$M$130,10,FALSE))</f>
        <v/>
      </c>
      <c r="J253" s="78" t="str">
        <f>IFERROR(VLOOKUP(I253,'G-1 All Habitats'!$V$3:$W$7,2,FALSE),"")</f>
        <v/>
      </c>
      <c r="K253" s="79"/>
      <c r="L253" s="78" t="str">
        <f>IFERROR(INDEX('G-8 Condition Look up'!$A$3:$H$131,MATCH(G253,'G-8 Condition Look up'!$A$3:$A$131,0),MATCH(K253,'G-8 Condition Look up'!$A$3:$H$3,0)),"")</f>
        <v/>
      </c>
      <c r="M253" s="79"/>
      <c r="N253" s="348" t="str">
        <f>IF(M253="","",IF(VLOOKUP(M253,'G-3 Multipliers'!$L$3:$N$6,2,FALSE)=0,"Spatial Data Missing",VLOOKUP(M253,'G-3 Multipliers'!$L$3:$N$6,2,FALSE)))</f>
        <v/>
      </c>
      <c r="O253" s="569" t="str">
        <f>IF(M253="","",IF(VLOOKUP(M253,'G-3 Multipliers'!$L$3:$N$6,3,FALSE)=0,"Spatial Data Missing",VLOOKUP(M253,'G-3 Multipliers'!$L$3:$N$6,3,FALSE)))</f>
        <v/>
      </c>
      <c r="P253" s="80" t="str">
        <f>IFERROR(VLOOKUP(G253,'G-1 All Habitats'!$B$2:$M$130,12,FALSE),"")</f>
        <v/>
      </c>
      <c r="Q253" s="81" t="str">
        <f>IFERROR(IF(P253="","",IF(AND(P253='G-1 All Habitats'!$X$3,T253&gt;0),U253+V253,IF(AND(P253='G-1 All Habitats'!$X$3,S253&gt;0),U253+V253,IF(AND(P253='G-1 All Habitats'!$X$3,AC253&gt;0),"Any Loss Unacceptable",IF(AND(P253='G-1 All Habitats'!$X$3,W253&gt;0),"Any Loss Unacceptable",H253*J253*L253*O253))))),"Check Data")</f>
        <v/>
      </c>
      <c r="R253" s="55"/>
      <c r="S253" s="79"/>
      <c r="T253" s="82"/>
      <c r="U253" s="83" t="str">
        <f t="shared" si="18"/>
        <v/>
      </c>
      <c r="V253" s="83" t="str">
        <f t="shared" si="19"/>
        <v/>
      </c>
      <c r="W253" s="83" t="str">
        <f>IF(E253="","",IF(H253&lt;S253+T253,"Error in Areas",IF(P253&lt;&gt;'G-1 All Habitats'!$X$3,H253-S253-T253,IF(AND(P253='G-1 All Habitats'!$X$3,Y253="Yes"),"Unacceptable Loss",IF(AND(P253='G-1 All Habitats'!$X$3,Y253="No"),AC253,IF(AND(P253='G-1 All Habitats'!$X$3,Y253=""),AC253,IF(AND(P253='G-1 All Habitats'!$X$3,AC253="None",AC253),IF(AND(P253='G-1 All Habitats'!$X$3,AC253&gt;0),H253-S253-T253))))))))</f>
        <v/>
      </c>
      <c r="X253" s="84" t="str">
        <f>IFERROR(IF(H253="","",IF(H253-S253-T253=0&lt;0,"Error in Areas",IF(S253+T253&gt;H253,"Error in Areas",IF(AND(P253='G-1 All Habitats'!$X$3,Y253="Yes"),"Alternative Compensation",IF(W253=0,0,IF(P253='G-1 All Habitats'!$X$3,"Unacceptable Loss",Q253-U253-V253)))))),"Check Data")</f>
        <v/>
      </c>
      <c r="Y253" s="82"/>
      <c r="Z253" s="92"/>
      <c r="AA253" s="93"/>
      <c r="AC253" s="87" t="str">
        <f>IF(P253="","",IF(P253='G-1 All Habitats'!$X$3,H253-S253-T253,"None"))</f>
        <v/>
      </c>
      <c r="AD253" s="88" t="str">
        <f>IFERROR(AC253*J253*L253*#REF!*O253,IF(P253="","","None"))</f>
        <v/>
      </c>
      <c r="AF253" s="59" t="str">
        <f t="shared" si="15"/>
        <v/>
      </c>
      <c r="AG253" s="59" t="str">
        <f t="shared" si="16"/>
        <v/>
      </c>
      <c r="AH253" s="59" t="str">
        <f>IF(I253="","",IF(#REF!&gt;0,TRUE,FALSE))</f>
        <v/>
      </c>
      <c r="AI253" s="59">
        <v>243</v>
      </c>
      <c r="AJ253" s="59"/>
      <c r="AK253" s="59" t="str">
        <f t="array" ref="AK253">IFERROR(INDEX($AI$11:$AI$259, MATCH(0, IF(TRUE=$AF$11:$AF$259, COUNTIF($AK$10:$AK252, $AI$11:$AI$259), ""), 0)),"")</f>
        <v/>
      </c>
      <c r="AL253" s="59" t="str">
        <f t="array" ref="AL253">IFERROR(INDEX($AI$11:$AI$259, MATCH(0, IF(TRUE=$AG$11:$AG$259, COUNTIF($AL$10:$AL252, $AI$11:$AI$259), ""), 0)),"")</f>
        <v/>
      </c>
      <c r="AM253" s="59" t="str">
        <f t="array" ref="AM253">IFERROR(INDEX($AI$11:$AI$259, MATCH(0, IF(TRUE=$AH$11:$AH$259, COUNTIF($AM$10:$AM252, $AI$11:$AI$259), ""), 0)),"")</f>
        <v/>
      </c>
      <c r="AN253" s="59"/>
      <c r="AQ253" s="52">
        <f t="shared" si="17"/>
        <v>0</v>
      </c>
    </row>
    <row r="254" spans="1:43" x14ac:dyDescent="0.25">
      <c r="A254" s="52" t="str">
        <f>IFERROR(INDEX('G-1 All Habitats'!$AG$3:$AG$15,MATCH(E254,'G-1 All Habitats'!$AF$3:$AF$15,0)),"")</f>
        <v/>
      </c>
      <c r="B254" s="52" t="str">
        <f>IFERROR(INDEX('G-8 Condition Look up'!$I$4:$I$131,MATCH(G254,'G-8 Condition Look up'!$A$4:$A$131,0)),"")</f>
        <v/>
      </c>
      <c r="D254" s="89">
        <v>244</v>
      </c>
      <c r="E254" s="90"/>
      <c r="F254" s="91"/>
      <c r="G254" s="75" t="str">
        <f>IFERROR(INDEX('G-1 All Habitats'!$B$3:$B$130,MATCH(F254,'G-1 All Habitats'!$A$3:$A$130,0)),"")</f>
        <v/>
      </c>
      <c r="H254" s="76"/>
      <c r="I254" s="77" t="str">
        <f>IF(G254="","",VLOOKUP(G254,'G-1 All Habitats'!$B$2:$M$130,10,FALSE))</f>
        <v/>
      </c>
      <c r="J254" s="78" t="str">
        <f>IFERROR(VLOOKUP(I254,'G-1 All Habitats'!$V$3:$W$7,2,FALSE),"")</f>
        <v/>
      </c>
      <c r="K254" s="79"/>
      <c r="L254" s="78" t="str">
        <f>IFERROR(INDEX('G-8 Condition Look up'!$A$3:$H$131,MATCH(G254,'G-8 Condition Look up'!$A$3:$A$131,0),MATCH(K254,'G-8 Condition Look up'!$A$3:$H$3,0)),"")</f>
        <v/>
      </c>
      <c r="M254" s="79"/>
      <c r="N254" s="348" t="str">
        <f>IF(M254="","",IF(VLOOKUP(M254,'G-3 Multipliers'!$L$3:$N$6,2,FALSE)=0,"Spatial Data Missing",VLOOKUP(M254,'G-3 Multipliers'!$L$3:$N$6,2,FALSE)))</f>
        <v/>
      </c>
      <c r="O254" s="569" t="str">
        <f>IF(M254="","",IF(VLOOKUP(M254,'G-3 Multipliers'!$L$3:$N$6,3,FALSE)=0,"Spatial Data Missing",VLOOKUP(M254,'G-3 Multipliers'!$L$3:$N$6,3,FALSE)))</f>
        <v/>
      </c>
      <c r="P254" s="80" t="str">
        <f>IFERROR(VLOOKUP(G254,'G-1 All Habitats'!$B$2:$M$130,12,FALSE),"")</f>
        <v/>
      </c>
      <c r="Q254" s="81" t="str">
        <f>IFERROR(IF(P254="","",IF(AND(P254='G-1 All Habitats'!$X$3,T254&gt;0),U254+V254,IF(AND(P254='G-1 All Habitats'!$X$3,S254&gt;0),U254+V254,IF(AND(P254='G-1 All Habitats'!$X$3,AC254&gt;0),"Any Loss Unacceptable",IF(AND(P254='G-1 All Habitats'!$X$3,W254&gt;0),"Any Loss Unacceptable",H254*J254*L254*O254))))),"Check Data")</f>
        <v/>
      </c>
      <c r="R254" s="55"/>
      <c r="S254" s="79"/>
      <c r="T254" s="82"/>
      <c r="U254" s="83" t="str">
        <f t="shared" si="18"/>
        <v/>
      </c>
      <c r="V254" s="83" t="str">
        <f t="shared" si="19"/>
        <v/>
      </c>
      <c r="W254" s="83" t="str">
        <f>IF(E254="","",IF(H254&lt;S254+T254,"Error in Areas",IF(P254&lt;&gt;'G-1 All Habitats'!$X$3,H254-S254-T254,IF(AND(P254='G-1 All Habitats'!$X$3,Y254="Yes"),"Unacceptable Loss",IF(AND(P254='G-1 All Habitats'!$X$3,Y254="No"),AC254,IF(AND(P254='G-1 All Habitats'!$X$3,Y254=""),AC254,IF(AND(P254='G-1 All Habitats'!$X$3,AC254="None",AC254),IF(AND(P254='G-1 All Habitats'!$X$3,AC254&gt;0),H254-S254-T254))))))))</f>
        <v/>
      </c>
      <c r="X254" s="84" t="str">
        <f>IFERROR(IF(H254="","",IF(H254-S254-T254=0&lt;0,"Error in Areas",IF(S254+T254&gt;H254,"Error in Areas",IF(AND(P254='G-1 All Habitats'!$X$3,Y254="Yes"),"Alternative Compensation",IF(W254=0,0,IF(P254='G-1 All Habitats'!$X$3,"Unacceptable Loss",Q254-U254-V254)))))),"Check Data")</f>
        <v/>
      </c>
      <c r="Y254" s="82"/>
      <c r="Z254" s="92"/>
      <c r="AA254" s="93"/>
      <c r="AC254" s="87" t="str">
        <f>IF(P254="","",IF(P254='G-1 All Habitats'!$X$3,H254-S254-T254,"None"))</f>
        <v/>
      </c>
      <c r="AD254" s="88" t="str">
        <f>IFERROR(AC254*J254*L254*#REF!*O254,IF(P254="","","None"))</f>
        <v/>
      </c>
      <c r="AF254" s="59" t="str">
        <f t="shared" si="15"/>
        <v/>
      </c>
      <c r="AG254" s="59" t="str">
        <f t="shared" si="16"/>
        <v/>
      </c>
      <c r="AH254" s="59" t="str">
        <f>IF(I254="","",IF(#REF!&gt;0,TRUE,FALSE))</f>
        <v/>
      </c>
      <c r="AI254" s="59">
        <v>244</v>
      </c>
      <c r="AJ254" s="59"/>
      <c r="AK254" s="59" t="str">
        <f t="array" ref="AK254">IFERROR(INDEX($AI$11:$AI$259, MATCH(0, IF(TRUE=$AF$11:$AF$259, COUNTIF($AK$10:$AK253, $AI$11:$AI$259), ""), 0)),"")</f>
        <v/>
      </c>
      <c r="AL254" s="59" t="str">
        <f t="array" ref="AL254">IFERROR(INDEX($AI$11:$AI$259, MATCH(0, IF(TRUE=$AG$11:$AG$259, COUNTIF($AL$10:$AL253, $AI$11:$AI$259), ""), 0)),"")</f>
        <v/>
      </c>
      <c r="AM254" s="59" t="str">
        <f t="array" ref="AM254">IFERROR(INDEX($AI$11:$AI$259, MATCH(0, IF(TRUE=$AH$11:$AH$259, COUNTIF($AM$10:$AM253, $AI$11:$AI$259), ""), 0)),"")</f>
        <v/>
      </c>
      <c r="AN254" s="59"/>
      <c r="AQ254" s="52">
        <f t="shared" si="17"/>
        <v>0</v>
      </c>
    </row>
    <row r="255" spans="1:43" x14ac:dyDescent="0.25">
      <c r="A255" s="52" t="str">
        <f>IFERROR(INDEX('G-1 All Habitats'!$AG$3:$AG$15,MATCH(E255,'G-1 All Habitats'!$AF$3:$AF$15,0)),"")</f>
        <v/>
      </c>
      <c r="B255" s="52" t="str">
        <f>IFERROR(INDEX('G-8 Condition Look up'!$I$4:$I$131,MATCH(G255,'G-8 Condition Look up'!$A$4:$A$131,0)),"")</f>
        <v/>
      </c>
      <c r="D255" s="89">
        <v>245</v>
      </c>
      <c r="E255" s="90"/>
      <c r="F255" s="91"/>
      <c r="G255" s="75" t="str">
        <f>IFERROR(INDEX('G-1 All Habitats'!$B$3:$B$130,MATCH(F255,'G-1 All Habitats'!$A$3:$A$130,0)),"")</f>
        <v/>
      </c>
      <c r="H255" s="76"/>
      <c r="I255" s="77" t="str">
        <f>IF(G255="","",VLOOKUP(G255,'G-1 All Habitats'!$B$2:$M$130,10,FALSE))</f>
        <v/>
      </c>
      <c r="J255" s="78" t="str">
        <f>IFERROR(VLOOKUP(I255,'G-1 All Habitats'!$V$3:$W$7,2,FALSE),"")</f>
        <v/>
      </c>
      <c r="K255" s="79"/>
      <c r="L255" s="78" t="str">
        <f>IFERROR(INDEX('G-8 Condition Look up'!$A$3:$H$131,MATCH(G255,'G-8 Condition Look up'!$A$3:$A$131,0),MATCH(K255,'G-8 Condition Look up'!$A$3:$H$3,0)),"")</f>
        <v/>
      </c>
      <c r="M255" s="79"/>
      <c r="N255" s="348" t="str">
        <f>IF(M255="","",IF(VLOOKUP(M255,'G-3 Multipliers'!$L$3:$N$6,2,FALSE)=0,"Spatial Data Missing",VLOOKUP(M255,'G-3 Multipliers'!$L$3:$N$6,2,FALSE)))</f>
        <v/>
      </c>
      <c r="O255" s="569" t="str">
        <f>IF(M255="","",IF(VLOOKUP(M255,'G-3 Multipliers'!$L$3:$N$6,3,FALSE)=0,"Spatial Data Missing",VLOOKUP(M255,'G-3 Multipliers'!$L$3:$N$6,3,FALSE)))</f>
        <v/>
      </c>
      <c r="P255" s="80" t="str">
        <f>IFERROR(VLOOKUP(G255,'G-1 All Habitats'!$B$2:$M$130,12,FALSE),"")</f>
        <v/>
      </c>
      <c r="Q255" s="81" t="str">
        <f>IFERROR(IF(P255="","",IF(AND(P255='G-1 All Habitats'!$X$3,T255&gt;0),U255+V255,IF(AND(P255='G-1 All Habitats'!$X$3,S255&gt;0),U255+V255,IF(AND(P255='G-1 All Habitats'!$X$3,AC255&gt;0),"Any Loss Unacceptable",IF(AND(P255='G-1 All Habitats'!$X$3,W255&gt;0),"Any Loss Unacceptable",H255*J255*L255*O255))))),"Check Data")</f>
        <v/>
      </c>
      <c r="R255" s="55"/>
      <c r="S255" s="79"/>
      <c r="T255" s="82"/>
      <c r="U255" s="83" t="str">
        <f t="shared" si="18"/>
        <v/>
      </c>
      <c r="V255" s="83" t="str">
        <f t="shared" si="19"/>
        <v/>
      </c>
      <c r="W255" s="83" t="str">
        <f>IF(E255="","",IF(H255&lt;S255+T255,"Error in Areas",IF(P255&lt;&gt;'G-1 All Habitats'!$X$3,H255-S255-T255,IF(AND(P255='G-1 All Habitats'!$X$3,Y255="Yes"),"Unacceptable Loss",IF(AND(P255='G-1 All Habitats'!$X$3,Y255="No"),AC255,IF(AND(P255='G-1 All Habitats'!$X$3,Y255=""),AC255,IF(AND(P255='G-1 All Habitats'!$X$3,AC255="None",AC255),IF(AND(P255='G-1 All Habitats'!$X$3,AC255&gt;0),H255-S255-T255))))))))</f>
        <v/>
      </c>
      <c r="X255" s="84" t="str">
        <f>IFERROR(IF(H255="","",IF(H255-S255-T255=0&lt;0,"Error in Areas",IF(S255+T255&gt;H255,"Error in Areas",IF(AND(P255='G-1 All Habitats'!$X$3,Y255="Yes"),"Alternative Compensation",IF(W255=0,0,IF(P255='G-1 All Habitats'!$X$3,"Unacceptable Loss",Q255-U255-V255)))))),"Check Data")</f>
        <v/>
      </c>
      <c r="Y255" s="82"/>
      <c r="Z255" s="92"/>
      <c r="AA255" s="93"/>
      <c r="AC255" s="87" t="str">
        <f>IF(P255="","",IF(P255='G-1 All Habitats'!$X$3,H255-S255-T255,"None"))</f>
        <v/>
      </c>
      <c r="AD255" s="88" t="str">
        <f>IFERROR(AC255*J255*L255*#REF!*O255,IF(P255="","","None"))</f>
        <v/>
      </c>
      <c r="AF255" s="59" t="str">
        <f t="shared" si="15"/>
        <v/>
      </c>
      <c r="AG255" s="59" t="str">
        <f t="shared" si="16"/>
        <v/>
      </c>
      <c r="AH255" s="59" t="str">
        <f>IF(I255="","",IF(#REF!&gt;0,TRUE,FALSE))</f>
        <v/>
      </c>
      <c r="AI255" s="59">
        <v>245</v>
      </c>
      <c r="AJ255" s="59"/>
      <c r="AK255" s="59" t="str">
        <f t="array" ref="AK255">IFERROR(INDEX($AI$11:$AI$259, MATCH(0, IF(TRUE=$AF$11:$AF$259, COUNTIF($AK$10:$AK254, $AI$11:$AI$259), ""), 0)),"")</f>
        <v/>
      </c>
      <c r="AL255" s="59" t="str">
        <f t="array" ref="AL255">IFERROR(INDEX($AI$11:$AI$259, MATCH(0, IF(TRUE=$AG$11:$AG$259, COUNTIF($AL$10:$AL254, $AI$11:$AI$259), ""), 0)),"")</f>
        <v/>
      </c>
      <c r="AM255" s="59" t="str">
        <f t="array" ref="AM255">IFERROR(INDEX($AI$11:$AI$259, MATCH(0, IF(TRUE=$AH$11:$AH$259, COUNTIF($AM$10:$AM254, $AI$11:$AI$259), ""), 0)),"")</f>
        <v/>
      </c>
      <c r="AN255" s="59"/>
      <c r="AQ255" s="52">
        <f t="shared" si="17"/>
        <v>0</v>
      </c>
    </row>
    <row r="256" spans="1:43" x14ac:dyDescent="0.25">
      <c r="A256" s="52" t="str">
        <f>IFERROR(INDEX('G-1 All Habitats'!$AG$3:$AG$15,MATCH(E256,'G-1 All Habitats'!$AF$3:$AF$15,0)),"")</f>
        <v/>
      </c>
      <c r="B256" s="52" t="str">
        <f>IFERROR(INDEX('G-8 Condition Look up'!$I$4:$I$131,MATCH(G256,'G-8 Condition Look up'!$A$4:$A$131,0)),"")</f>
        <v/>
      </c>
      <c r="D256" s="89">
        <v>246</v>
      </c>
      <c r="E256" s="90"/>
      <c r="F256" s="91"/>
      <c r="G256" s="75" t="str">
        <f>IFERROR(INDEX('G-1 All Habitats'!$B$3:$B$130,MATCH(F256,'G-1 All Habitats'!$A$3:$A$130,0)),"")</f>
        <v/>
      </c>
      <c r="H256" s="76"/>
      <c r="I256" s="77" t="str">
        <f>IF(G256="","",VLOOKUP(G256,'G-1 All Habitats'!$B$2:$M$130,10,FALSE))</f>
        <v/>
      </c>
      <c r="J256" s="78" t="str">
        <f>IFERROR(VLOOKUP(I256,'G-1 All Habitats'!$V$3:$W$7,2,FALSE),"")</f>
        <v/>
      </c>
      <c r="K256" s="79"/>
      <c r="L256" s="78" t="str">
        <f>IFERROR(INDEX('G-8 Condition Look up'!$A$3:$H$131,MATCH(G256,'G-8 Condition Look up'!$A$3:$A$131,0),MATCH(K256,'G-8 Condition Look up'!$A$3:$H$3,0)),"")</f>
        <v/>
      </c>
      <c r="M256" s="79"/>
      <c r="N256" s="348" t="str">
        <f>IF(M256="","",IF(VLOOKUP(M256,'G-3 Multipliers'!$L$3:$N$6,2,FALSE)=0,"Spatial Data Missing",VLOOKUP(M256,'G-3 Multipliers'!$L$3:$N$6,2,FALSE)))</f>
        <v/>
      </c>
      <c r="O256" s="569" t="str">
        <f>IF(M256="","",IF(VLOOKUP(M256,'G-3 Multipliers'!$L$3:$N$6,3,FALSE)=0,"Spatial Data Missing",VLOOKUP(M256,'G-3 Multipliers'!$L$3:$N$6,3,FALSE)))</f>
        <v/>
      </c>
      <c r="P256" s="80" t="str">
        <f>IFERROR(VLOOKUP(G256,'G-1 All Habitats'!$B$2:$M$130,12,FALSE),"")</f>
        <v/>
      </c>
      <c r="Q256" s="81" t="str">
        <f>IFERROR(IF(P256="","",IF(AND(P256='G-1 All Habitats'!$X$3,T256&gt;0),U256+V256,IF(AND(P256='G-1 All Habitats'!$X$3,S256&gt;0),U256+V256,IF(AND(P256='G-1 All Habitats'!$X$3,AC256&gt;0),"Any Loss Unacceptable",IF(AND(P256='G-1 All Habitats'!$X$3,W256&gt;0),"Any Loss Unacceptable",H256*J256*L256*O256))))),"Check Data")</f>
        <v/>
      </c>
      <c r="R256" s="55"/>
      <c r="S256" s="79"/>
      <c r="T256" s="82"/>
      <c r="U256" s="83" t="str">
        <f t="shared" si="18"/>
        <v/>
      </c>
      <c r="V256" s="83" t="str">
        <f t="shared" si="19"/>
        <v/>
      </c>
      <c r="W256" s="83" t="str">
        <f>IF(E256="","",IF(H256&lt;S256+T256,"Error in Areas",IF(P256&lt;&gt;'G-1 All Habitats'!$X$3,H256-S256-T256,IF(AND(P256='G-1 All Habitats'!$X$3,Y256="Yes"),"Unacceptable Loss",IF(AND(P256='G-1 All Habitats'!$X$3,Y256="No"),AC256,IF(AND(P256='G-1 All Habitats'!$X$3,Y256=""),AC256,IF(AND(P256='G-1 All Habitats'!$X$3,AC256="None",AC256),IF(AND(P256='G-1 All Habitats'!$X$3,AC256&gt;0),H256-S256-T256))))))))</f>
        <v/>
      </c>
      <c r="X256" s="84" t="str">
        <f>IFERROR(IF(H256="","",IF(H256-S256-T256=0&lt;0,"Error in Areas",IF(S256+T256&gt;H256,"Error in Areas",IF(AND(P256='G-1 All Habitats'!$X$3,Y256="Yes"),"Alternative Compensation",IF(W256=0,0,IF(P256='G-1 All Habitats'!$X$3,"Unacceptable Loss",Q256-U256-V256)))))),"Check Data")</f>
        <v/>
      </c>
      <c r="Y256" s="82"/>
      <c r="Z256" s="92"/>
      <c r="AA256" s="93"/>
      <c r="AC256" s="87" t="str">
        <f>IF(P256="","",IF(P256='G-1 All Habitats'!$X$3,H256-S256-T256,"None"))</f>
        <v/>
      </c>
      <c r="AD256" s="88" t="str">
        <f>IFERROR(AC256*J256*L256*#REF!*O256,IF(P256="","","None"))</f>
        <v/>
      </c>
      <c r="AF256" s="59" t="str">
        <f t="shared" si="15"/>
        <v/>
      </c>
      <c r="AG256" s="59" t="str">
        <f t="shared" si="16"/>
        <v/>
      </c>
      <c r="AH256" s="59" t="str">
        <f>IF(I256="","",IF(#REF!&gt;0,TRUE,FALSE))</f>
        <v/>
      </c>
      <c r="AI256" s="59">
        <v>246</v>
      </c>
      <c r="AJ256" s="59"/>
      <c r="AK256" s="59" t="str">
        <f t="array" ref="AK256">IFERROR(INDEX($AI$11:$AI$259, MATCH(0, IF(TRUE=$AF$11:$AF$259, COUNTIF($AK$10:$AK255, $AI$11:$AI$259), ""), 0)),"")</f>
        <v/>
      </c>
      <c r="AL256" s="59" t="str">
        <f t="array" ref="AL256">IFERROR(INDEX($AI$11:$AI$259, MATCH(0, IF(TRUE=$AG$11:$AG$259, COUNTIF($AL$10:$AL255, $AI$11:$AI$259), ""), 0)),"")</f>
        <v/>
      </c>
      <c r="AM256" s="59" t="str">
        <f t="array" ref="AM256">IFERROR(INDEX($AI$11:$AI$259, MATCH(0, IF(TRUE=$AH$11:$AH$259, COUNTIF($AM$10:$AM255, $AI$11:$AI$259), ""), 0)),"")</f>
        <v/>
      </c>
      <c r="AN256" s="59"/>
      <c r="AQ256" s="52">
        <f t="shared" si="17"/>
        <v>0</v>
      </c>
    </row>
    <row r="257" spans="1:43" x14ac:dyDescent="0.25">
      <c r="A257" s="52" t="str">
        <f>IFERROR(INDEX('G-1 All Habitats'!$AG$3:$AG$15,MATCH(E257,'G-1 All Habitats'!$AF$3:$AF$15,0)),"")</f>
        <v/>
      </c>
      <c r="B257" s="52" t="str">
        <f>IFERROR(INDEX('G-8 Condition Look up'!$I$4:$I$131,MATCH(G257,'G-8 Condition Look up'!$A$4:$A$131,0)),"")</f>
        <v/>
      </c>
      <c r="D257" s="89">
        <v>247</v>
      </c>
      <c r="E257" s="90"/>
      <c r="F257" s="91"/>
      <c r="G257" s="75" t="str">
        <f>IFERROR(INDEX('G-1 All Habitats'!$B$3:$B$130,MATCH(F257,'G-1 All Habitats'!$A$3:$A$130,0)),"")</f>
        <v/>
      </c>
      <c r="H257" s="76"/>
      <c r="I257" s="77" t="str">
        <f>IF(G257="","",VLOOKUP(G257,'G-1 All Habitats'!$B$2:$M$130,10,FALSE))</f>
        <v/>
      </c>
      <c r="J257" s="78" t="str">
        <f>IFERROR(VLOOKUP(I257,'G-1 All Habitats'!$V$3:$W$7,2,FALSE),"")</f>
        <v/>
      </c>
      <c r="K257" s="79"/>
      <c r="L257" s="78" t="str">
        <f>IFERROR(INDEX('G-8 Condition Look up'!$A$3:$H$131,MATCH(G257,'G-8 Condition Look up'!$A$3:$A$131,0),MATCH(K257,'G-8 Condition Look up'!$A$3:$H$3,0)),"")</f>
        <v/>
      </c>
      <c r="M257" s="79"/>
      <c r="N257" s="348" t="str">
        <f>IF(M257="","",IF(VLOOKUP(M257,'G-3 Multipliers'!$L$3:$N$6,2,FALSE)=0,"Spatial Data Missing",VLOOKUP(M257,'G-3 Multipliers'!$L$3:$N$6,2,FALSE)))</f>
        <v/>
      </c>
      <c r="O257" s="569" t="str">
        <f>IF(M257="","",IF(VLOOKUP(M257,'G-3 Multipliers'!$L$3:$N$6,3,FALSE)=0,"Spatial Data Missing",VLOOKUP(M257,'G-3 Multipliers'!$L$3:$N$6,3,FALSE)))</f>
        <v/>
      </c>
      <c r="P257" s="80" t="str">
        <f>IFERROR(VLOOKUP(G257,'G-1 All Habitats'!$B$2:$M$130,12,FALSE),"")</f>
        <v/>
      </c>
      <c r="Q257" s="81" t="str">
        <f>IFERROR(IF(P257="","",IF(AND(P257='G-1 All Habitats'!$X$3,T257&gt;0),U257+V257,IF(AND(P257='G-1 All Habitats'!$X$3,S257&gt;0),U257+V257,IF(AND(P257='G-1 All Habitats'!$X$3,AC257&gt;0),"Any Loss Unacceptable",IF(AND(P257='G-1 All Habitats'!$X$3,W257&gt;0),"Any Loss Unacceptable",H257*J257*L257*O257))))),"Check Data")</f>
        <v/>
      </c>
      <c r="R257" s="55"/>
      <c r="S257" s="79"/>
      <c r="T257" s="82"/>
      <c r="U257" s="83" t="str">
        <f t="shared" si="18"/>
        <v/>
      </c>
      <c r="V257" s="83" t="str">
        <f t="shared" si="19"/>
        <v/>
      </c>
      <c r="W257" s="83" t="str">
        <f>IF(E257="","",IF(H257&lt;S257+T257,"Error in Areas",IF(P257&lt;&gt;'G-1 All Habitats'!$X$3,H257-S257-T257,IF(AND(P257='G-1 All Habitats'!$X$3,Y257="Yes"),"Unacceptable Loss",IF(AND(P257='G-1 All Habitats'!$X$3,Y257="No"),AC257,IF(AND(P257='G-1 All Habitats'!$X$3,Y257=""),AC257,IF(AND(P257='G-1 All Habitats'!$X$3,AC257="None",AC257),IF(AND(P257='G-1 All Habitats'!$X$3,AC257&gt;0),H257-S257-T257))))))))</f>
        <v/>
      </c>
      <c r="X257" s="84" t="str">
        <f>IFERROR(IF(H257="","",IF(H257-S257-T257=0&lt;0,"Error in Areas",IF(S257+T257&gt;H257,"Error in Areas",IF(AND(P257='G-1 All Habitats'!$X$3,Y257="Yes"),"Alternative Compensation",IF(W257=0,0,IF(P257='G-1 All Habitats'!$X$3,"Unacceptable Loss",Q257-U257-V257)))))),"Check Data")</f>
        <v/>
      </c>
      <c r="Y257" s="82"/>
      <c r="Z257" s="92"/>
      <c r="AA257" s="93"/>
      <c r="AC257" s="87" t="str">
        <f>IF(P257="","",IF(P257='G-1 All Habitats'!$X$3,H257-S257-T257,"None"))</f>
        <v/>
      </c>
      <c r="AD257" s="88" t="str">
        <f>IFERROR(AC257*J257*L257*#REF!*O257,IF(P257="","","None"))</f>
        <v/>
      </c>
      <c r="AF257" s="59" t="str">
        <f t="shared" si="15"/>
        <v/>
      </c>
      <c r="AG257" s="59" t="str">
        <f t="shared" si="16"/>
        <v/>
      </c>
      <c r="AH257" s="59" t="str">
        <f>IF(I257="","",IF(#REF!&gt;0,TRUE,FALSE))</f>
        <v/>
      </c>
      <c r="AI257" s="59">
        <v>247</v>
      </c>
      <c r="AJ257" s="59"/>
      <c r="AK257" s="59" t="str">
        <f t="array" ref="AK257">IFERROR(INDEX($AI$11:$AI$259, MATCH(0, IF(TRUE=$AF$11:$AF$259, COUNTIF($AK$10:$AK256, $AI$11:$AI$259), ""), 0)),"")</f>
        <v/>
      </c>
      <c r="AL257" s="59" t="str">
        <f t="array" ref="AL257">IFERROR(INDEX($AI$11:$AI$259, MATCH(0, IF(TRUE=$AG$11:$AG$259, COUNTIF($AL$10:$AL256, $AI$11:$AI$259), ""), 0)),"")</f>
        <v/>
      </c>
      <c r="AM257" s="59" t="str">
        <f t="array" ref="AM257">IFERROR(INDEX($AI$11:$AI$259, MATCH(0, IF(TRUE=$AH$11:$AH$259, COUNTIF($AM$10:$AM256, $AI$11:$AI$259), ""), 0)),"")</f>
        <v/>
      </c>
      <c r="AN257" s="59"/>
      <c r="AQ257" s="52">
        <f t="shared" si="17"/>
        <v>0</v>
      </c>
    </row>
    <row r="258" spans="1:43" ht="14.4" thickBot="1" x14ac:dyDescent="0.3">
      <c r="A258" s="52" t="str">
        <f>IFERROR(INDEX('G-1 All Habitats'!$AG$3:$AG$15,MATCH(E258,'G-1 All Habitats'!$AF$3:$AF$15,0)),"")</f>
        <v/>
      </c>
      <c r="B258" s="52" t="str">
        <f>IFERROR(INDEX('G-8 Condition Look up'!$I$4:$I$131,MATCH(G258,'G-8 Condition Look up'!$A$4:$A$131,0)),"")</f>
        <v/>
      </c>
      <c r="D258" s="68">
        <v>248</v>
      </c>
      <c r="E258" s="482"/>
      <c r="F258" s="360"/>
      <c r="G258" s="483" t="str">
        <f>IFERROR(INDEX('G-1 All Habitats'!$B$3:$B$130,MATCH(F258,'G-1 All Habitats'!$A$3:$A$130,0)),"")</f>
        <v/>
      </c>
      <c r="H258" s="484"/>
      <c r="I258" s="485" t="str">
        <f>IF(G258="","",VLOOKUP(G258,'G-1 All Habitats'!$B$2:$M$130,10,FALSE))</f>
        <v/>
      </c>
      <c r="J258" s="359" t="str">
        <f>IFERROR(VLOOKUP(I258,'G-1 All Habitats'!$V$3:$W$7,2,FALSE),"")</f>
        <v/>
      </c>
      <c r="K258" s="479"/>
      <c r="L258" s="359" t="str">
        <f>IFERROR(INDEX('G-8 Condition Look up'!$A$3:$H$131,MATCH(G258,'G-8 Condition Look up'!$A$3:$A$131,0),MATCH(K258,'G-8 Condition Look up'!$A$3:$H$3,0)),"")</f>
        <v/>
      </c>
      <c r="M258" s="479"/>
      <c r="N258" s="357" t="str">
        <f>IF(M258="","",IF(VLOOKUP(M258,'G-3 Multipliers'!$L$3:$N$6,2,FALSE)=0,"Spatial Data Missing",VLOOKUP(M258,'G-3 Multipliers'!$L$3:$N$6,2,FALSE)))</f>
        <v/>
      </c>
      <c r="O258" s="570" t="str">
        <f>IF(M258="","",IF(VLOOKUP(M258,'G-3 Multipliers'!$L$3:$N$6,3,FALSE)=0,"Spatial Data Missing",VLOOKUP(M258,'G-3 Multipliers'!$L$3:$N$6,3,FALSE)))</f>
        <v/>
      </c>
      <c r="P258" s="486" t="str">
        <f>IFERROR(VLOOKUP(G258,'G-1 All Habitats'!$B$2:$M$130,12,FALSE),"")</f>
        <v/>
      </c>
      <c r="Q258" s="81" t="str">
        <f>IFERROR(IF(P258="","",IF(AND(P258='G-1 All Habitats'!$X$3,T258&gt;0),U258+V258,IF(AND(P258='G-1 All Habitats'!$X$3,S258&gt;0),U258+V258,IF(AND(P258='G-1 All Habitats'!$X$3,AC258&gt;0),"Any Loss Unacceptable",IF(AND(P258='G-1 All Habitats'!$X$3,W258&gt;0),"Any Loss Unacceptable",H258*J258*L258*O258))))),"Check Data")</f>
        <v/>
      </c>
      <c r="R258" s="55"/>
      <c r="S258" s="479"/>
      <c r="T258" s="480"/>
      <c r="U258" s="358" t="str">
        <f t="shared" si="18"/>
        <v/>
      </c>
      <c r="V258" s="358" t="str">
        <f t="shared" si="19"/>
        <v/>
      </c>
      <c r="W258" s="83" t="str">
        <f>IF(E258="","",IF(H258&lt;S258+T258,"Error in Areas",IF(P258&lt;&gt;'G-1 All Habitats'!$X$3,H258-S258-T258,IF(AND(P258='G-1 All Habitats'!$X$3,Y258="Yes"),"Unacceptable Loss",IF(AND(P258='G-1 All Habitats'!$X$3,Y258="No"),AC258,IF(AND(P258='G-1 All Habitats'!$X$3,Y258=""),AC258,IF(AND(P258='G-1 All Habitats'!$X$3,AC258="None",AC258),IF(AND(P258='G-1 All Habitats'!$X$3,AC258&gt;0),H258-S258-T258))))))))</f>
        <v/>
      </c>
      <c r="X258" s="566" t="str">
        <f>IFERROR(IF(H258="","",IF(H258-S258-T258=0&lt;0,"Error in Areas",IF(S258+T258&gt;H258,"Error in Areas",IF(AND(P258='G-1 All Habitats'!$X$3,Y258="Yes"),"Alternative Compensation",IF(W258=0,0,IF(P258='G-1 All Habitats'!$X$3,"Unacceptable Loss",Q258-U258-V258)))))),"Check Data")</f>
        <v/>
      </c>
      <c r="Y258" s="484"/>
      <c r="Z258" s="95"/>
      <c r="AA258" s="96"/>
      <c r="AC258" s="87" t="str">
        <f>IF(P258="","",IF(P258='G-1 All Habitats'!$X$3,H258-S258-T258,"None"))</f>
        <v/>
      </c>
      <c r="AD258" s="88" t="str">
        <f>IFERROR(AC258*J258*L258*#REF!*O258,IF(P258="","","None"))</f>
        <v/>
      </c>
      <c r="AF258" s="59" t="str">
        <f t="shared" si="15"/>
        <v/>
      </c>
      <c r="AG258" s="59" t="str">
        <f t="shared" si="16"/>
        <v/>
      </c>
      <c r="AH258" s="59" t="str">
        <f>IF(I258="","",IF(#REF!&gt;0,TRUE,FALSE))</f>
        <v/>
      </c>
      <c r="AI258" s="59">
        <v>248</v>
      </c>
      <c r="AJ258" s="59"/>
      <c r="AK258" s="59" t="str">
        <f t="array" ref="AK258">IFERROR(INDEX($AI$11:$AI$259, MATCH(0, IF(TRUE=$AF$11:$AF$259, COUNTIF($AK$10:$AK257, $AI$11:$AI$259), ""), 0)),"")</f>
        <v/>
      </c>
      <c r="AL258" s="59" t="str">
        <f t="array" ref="AL258">IFERROR(INDEX($AI$11:$AI$259, MATCH(0, IF(TRUE=$AG$11:$AG$259, COUNTIF($AL$10:$AL257, $AI$11:$AI$259), ""), 0)),"")</f>
        <v/>
      </c>
      <c r="AM258" s="59" t="str">
        <f t="array" ref="AM258">IFERROR(INDEX($AI$11:$AI$259, MATCH(0, IF(TRUE=$AH$11:$AH$259, COUNTIF($AM$10:$AM257, $AI$11:$AI$259), ""), 0)),"")</f>
        <v/>
      </c>
      <c r="AN258" s="59"/>
      <c r="AQ258" s="52">
        <f t="shared" si="17"/>
        <v>0</v>
      </c>
    </row>
    <row r="259" spans="1:43" ht="14.4" thickBot="1" x14ac:dyDescent="0.3">
      <c r="G259" s="702"/>
      <c r="H259" s="523">
        <f>IF('Detailed Results'!$K$40&gt;0,"Error",SUMIFS($H$11:$H$258,$G$11:$G$258,"&lt;&gt;"&amp;'G-1 All Habitats'!B66,$G$11:$G$258,"&lt;&gt;"&amp;'G-1 All Habitats'!B67,$G$11:$G$258,"&lt;&gt;"&amp;'G-1 All Habitats'!B74))</f>
        <v>4.6454000000000004</v>
      </c>
      <c r="N259" s="55"/>
      <c r="P259" s="702"/>
      <c r="Q259" s="610">
        <f>IF('Detailed Results'!$K$40&gt;0,"Error",SUM(Q11:Q258))</f>
        <v>1.3552</v>
      </c>
      <c r="R259" s="97"/>
      <c r="S259" s="567">
        <f>IF('Detailed Results'!$K$40&gt;0,"Error",SUM(S11:S258))</f>
        <v>9.01E-2</v>
      </c>
      <c r="T259" s="609">
        <f>IF('Detailed Results'!$K$40&gt;0,"Error",SUM(T11:T258))</f>
        <v>0</v>
      </c>
      <c r="U259" s="609">
        <f>IF('Detailed Results'!$K$40&gt;0,"Error",SUM(U11:U258))</f>
        <v>0.35599999999999998</v>
      </c>
      <c r="V259" s="609">
        <f>IF('Detailed Results'!$K$40&gt;0,"Error",SUM(V11:V258))</f>
        <v>0</v>
      </c>
      <c r="W259" s="609">
        <f>IF('Detailed Results'!$K$40&gt;0,"Error",SUM(W11:W258))</f>
        <v>4.6881000000000004</v>
      </c>
      <c r="X259" s="610">
        <f>IF('Detailed Results'!$K$40&gt;0,"Error",SUM(X11:X258))</f>
        <v>0.99919999999999998</v>
      </c>
      <c r="AQ259" s="60">
        <f>SUM(AQ11:AQ258)</f>
        <v>0</v>
      </c>
    </row>
    <row r="260" spans="1:43" x14ac:dyDescent="0.25">
      <c r="P260" s="53"/>
      <c r="Y260" s="98"/>
    </row>
    <row r="261" spans="1:43" x14ac:dyDescent="0.25">
      <c r="D261" s="53"/>
      <c r="E261" s="53"/>
      <c r="F261" s="53"/>
    </row>
    <row r="262" spans="1:43" x14ac:dyDescent="0.25">
      <c r="D262" s="53"/>
      <c r="E262" s="53"/>
      <c r="F262" s="53"/>
    </row>
    <row r="263" spans="1:43" x14ac:dyDescent="0.25"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</row>
    <row r="264" spans="1:43" x14ac:dyDescent="0.25"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</row>
    <row r="265" spans="1:43" x14ac:dyDescent="0.25"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</row>
    <row r="275" x14ac:dyDescent="0.25"/>
  </sheetData>
  <sheetProtection algorithmName="SHA-512" hashValue="WIAPg1uYQ6RRJ20Hmzih1OwAsiqVxF/Lu0Jef5UfEdFnav82mF7oPcCUCsftmL2pX0QOqGuw67zMgP+Y+gj6sg==" saltValue="nKtni+3UOqUylKkp9G/1xw==" spinCount="100000" sheet="1" objects="1" scenarios="1"/>
  <customSheetViews>
    <customSheetView guid="{8BDA793C-C9C5-4FC6-A0A5-F1109F6D4F22}" topLeftCell="C1">
      <pane ySplit="10" topLeftCell="A11" activePane="bottomLeft" state="frozen"/>
      <selection pane="bottomLeft"/>
    </customSheetView>
  </customSheetViews>
  <mergeCells count="10">
    <mergeCell ref="D3:F4"/>
    <mergeCell ref="D2:F2"/>
    <mergeCell ref="E9:H9"/>
    <mergeCell ref="Z9:AA9"/>
    <mergeCell ref="I9:J9"/>
    <mergeCell ref="K9:L9"/>
    <mergeCell ref="M9:O9"/>
    <mergeCell ref="S9:X9"/>
    <mergeCell ref="P9:P10"/>
    <mergeCell ref="Y9:Y10"/>
  </mergeCells>
  <conditionalFormatting sqref="AC11:AC258">
    <cfRule type="cellIs" dxfId="314" priority="158" operator="equal">
      <formula>""</formula>
    </cfRule>
    <cfRule type="cellIs" dxfId="313" priority="159" operator="equal">
      <formula>"None"</formula>
    </cfRule>
    <cfRule type="cellIs" dxfId="312" priority="163" operator="greaterThan">
      <formula>0</formula>
    </cfRule>
  </conditionalFormatting>
  <conditionalFormatting sqref="AD12">
    <cfRule type="cellIs" dxfId="311" priority="154" operator="equal">
      <formula>"None"</formula>
    </cfRule>
    <cfRule type="cellIs" dxfId="310" priority="157" operator="equal">
      <formula>""</formula>
    </cfRule>
    <cfRule type="cellIs" dxfId="309" priority="160" operator="greaterThan">
      <formula>0</formula>
    </cfRule>
  </conditionalFormatting>
  <conditionalFormatting sqref="AC11">
    <cfRule type="cellIs" dxfId="308" priority="143" operator="equal">
      <formula>""</formula>
    </cfRule>
    <cfRule type="cellIs" dxfId="307" priority="144" operator="equal">
      <formula>"None"</formula>
    </cfRule>
    <cfRule type="cellIs" dxfId="306" priority="147" operator="greaterThan">
      <formula>0</formula>
    </cfRule>
  </conditionalFormatting>
  <conditionalFormatting sqref="AD11:AD258">
    <cfRule type="cellIs" dxfId="305" priority="139" operator="equal">
      <formula>"None"</formula>
    </cfRule>
    <cfRule type="cellIs" dxfId="304" priority="142" operator="equal">
      <formula>""</formula>
    </cfRule>
    <cfRule type="cellIs" dxfId="303" priority="145" operator="greaterThan">
      <formula>0</formula>
    </cfRule>
  </conditionalFormatting>
  <conditionalFormatting sqref="AC11:AC258">
    <cfRule type="cellIs" dxfId="302" priority="128" operator="equal">
      <formula>""</formula>
    </cfRule>
    <cfRule type="cellIs" dxfId="301" priority="129" operator="equal">
      <formula>"None"</formula>
    </cfRule>
    <cfRule type="cellIs" dxfId="300" priority="132" operator="greaterThan">
      <formula>0</formula>
    </cfRule>
  </conditionalFormatting>
  <conditionalFormatting sqref="AD13:AD258">
    <cfRule type="cellIs" dxfId="299" priority="124" operator="equal">
      <formula>"None"</formula>
    </cfRule>
    <cfRule type="cellIs" dxfId="298" priority="127" operator="equal">
      <formula>""</formula>
    </cfRule>
    <cfRule type="cellIs" dxfId="297" priority="130" operator="greaterThan">
      <formula>0</formula>
    </cfRule>
  </conditionalFormatting>
  <conditionalFormatting sqref="AC11:AC258">
    <cfRule type="cellIs" dxfId="296" priority="121" operator="equal">
      <formula>0</formula>
    </cfRule>
  </conditionalFormatting>
  <conditionalFormatting sqref="L11">
    <cfRule type="cellIs" dxfId="295" priority="113" operator="equal">
      <formula>"Not Possible"</formula>
    </cfRule>
  </conditionalFormatting>
  <conditionalFormatting sqref="L12:L258">
    <cfRule type="cellIs" dxfId="294" priority="99" operator="equal">
      <formula>"Not Possible"</formula>
    </cfRule>
  </conditionalFormatting>
  <conditionalFormatting sqref="W11:W258">
    <cfRule type="cellIs" dxfId="293" priority="41" operator="equal">
      <formula>"Error in Areas"</formula>
    </cfRule>
    <cfRule type="cellIs" dxfId="292" priority="71" operator="equal">
      <formula>"Unacceptable Loss"</formula>
    </cfRule>
  </conditionalFormatting>
  <conditionalFormatting sqref="Q11:Q258">
    <cfRule type="cellIs" dxfId="291" priority="49" operator="equal">
      <formula>"Any loss Unacceptable"</formula>
    </cfRule>
  </conditionalFormatting>
  <conditionalFormatting sqref="Q11:Q258">
    <cfRule type="expression" dxfId="290" priority="51">
      <formula>"p18=""Avoid"""</formula>
    </cfRule>
  </conditionalFormatting>
  <conditionalFormatting sqref="Q11:Q258">
    <cfRule type="cellIs" dxfId="289" priority="50" operator="equal">
      <formula>"Any loss Unacceptable"</formula>
    </cfRule>
  </conditionalFormatting>
  <conditionalFormatting sqref="Q11:Q258">
    <cfRule type="cellIs" dxfId="288" priority="46" operator="equal">
      <formula>"Any loss Unacceptable"</formula>
    </cfRule>
  </conditionalFormatting>
  <conditionalFormatting sqref="Q11:Q258">
    <cfRule type="expression" dxfId="287" priority="48">
      <formula>"p18=""Avoid"""</formula>
    </cfRule>
  </conditionalFormatting>
  <conditionalFormatting sqref="Q11:Q258">
    <cfRule type="cellIs" dxfId="286" priority="47" operator="equal">
      <formula>"Any loss Unacceptable"</formula>
    </cfRule>
  </conditionalFormatting>
  <conditionalFormatting sqref="Q13:Q258">
    <cfRule type="cellIs" dxfId="285" priority="43" operator="equal">
      <formula>"Any loss Unacceptable"</formula>
    </cfRule>
  </conditionalFormatting>
  <conditionalFormatting sqref="Q13:Q258">
    <cfRule type="expression" dxfId="284" priority="45">
      <formula>"p18=""Avoid"""</formula>
    </cfRule>
  </conditionalFormatting>
  <conditionalFormatting sqref="Q13:Q258">
    <cfRule type="cellIs" dxfId="283" priority="44" operator="equal">
      <formula>"Any loss Unacceptable"</formula>
    </cfRule>
  </conditionalFormatting>
  <conditionalFormatting sqref="Q11:Q258">
    <cfRule type="cellIs" dxfId="282" priority="42" operator="equal">
      <formula>"Check Data Entry"</formula>
    </cfRule>
  </conditionalFormatting>
  <conditionalFormatting sqref="Y11">
    <cfRule type="cellIs" dxfId="281" priority="109" operator="equal">
      <formula>"No"</formula>
    </cfRule>
    <cfRule type="cellIs" dxfId="280" priority="110" operator="equal">
      <formula>"Yes"</formula>
    </cfRule>
  </conditionalFormatting>
  <conditionalFormatting sqref="X11">
    <cfRule type="cellIs" dxfId="279" priority="15" operator="equal">
      <formula>"Alternative Compensation"</formula>
    </cfRule>
    <cfRule type="cellIs" dxfId="278" priority="26" operator="equal">
      <formula>"Error in Areas"</formula>
    </cfRule>
  </conditionalFormatting>
  <conditionalFormatting sqref="X11">
    <cfRule type="cellIs" dxfId="277" priority="27" operator="equal">
      <formula>"Unacceptable Loss"</formula>
    </cfRule>
  </conditionalFormatting>
  <conditionalFormatting sqref="W12">
    <cfRule type="cellIs" dxfId="276" priority="11" operator="equal">
      <formula>"Error in Areas"</formula>
    </cfRule>
    <cfRule type="cellIs" dxfId="275" priority="12" operator="equal">
      <formula>"Unacceptable Loss"</formula>
    </cfRule>
  </conditionalFormatting>
  <conditionalFormatting sqref="Y12">
    <cfRule type="cellIs" dxfId="274" priority="13" operator="equal">
      <formula>"No"</formula>
    </cfRule>
    <cfRule type="cellIs" dxfId="273" priority="14" operator="equal">
      <formula>"Yes"</formula>
    </cfRule>
  </conditionalFormatting>
  <conditionalFormatting sqref="X12">
    <cfRule type="cellIs" dxfId="272" priority="8" operator="equal">
      <formula>"Alternative Compensation"</formula>
    </cfRule>
    <cfRule type="cellIs" dxfId="271" priority="9" operator="equal">
      <formula>"Error in Areas"</formula>
    </cfRule>
  </conditionalFormatting>
  <conditionalFormatting sqref="X12">
    <cfRule type="cellIs" dxfId="270" priority="10" operator="equal">
      <formula>"Unacceptable Loss"</formula>
    </cfRule>
  </conditionalFormatting>
  <conditionalFormatting sqref="W11:W258">
    <cfRule type="cellIs" dxfId="269" priority="4" operator="equal">
      <formula>"Error in Areas"</formula>
    </cfRule>
    <cfRule type="cellIs" dxfId="268" priority="5" operator="equal">
      <formula>"Unacceptable Loss"</formula>
    </cfRule>
  </conditionalFormatting>
  <conditionalFormatting sqref="Y13:Y258">
    <cfRule type="cellIs" dxfId="267" priority="6" operator="equal">
      <formula>"No"</formula>
    </cfRule>
    <cfRule type="cellIs" dxfId="266" priority="7" operator="equal">
      <formula>"Yes"</formula>
    </cfRule>
  </conditionalFormatting>
  <conditionalFormatting sqref="X13:X258">
    <cfRule type="cellIs" dxfId="265" priority="1" operator="equal">
      <formula>"Alternative Compensation"</formula>
    </cfRule>
    <cfRule type="cellIs" dxfId="264" priority="2" operator="equal">
      <formula>"Error in Areas"</formula>
    </cfRule>
  </conditionalFormatting>
  <conditionalFormatting sqref="X13:X258">
    <cfRule type="cellIs" dxfId="263" priority="3" operator="equal">
      <formula>"Unacceptable Loss"</formula>
    </cfRule>
  </conditionalFormatting>
  <dataValidations xWindow="350" yWindow="550" count="3">
    <dataValidation type="list" allowBlank="1" showInputMessage="1" showErrorMessage="1" sqref="F11:F258" xr:uid="{00000000-0002-0000-0900-000000000000}">
      <formula1>INDIRECT(A11)</formula1>
    </dataValidation>
    <dataValidation allowBlank="1" showErrorMessage="1" errorTitle="Invalid Habitat" error="Select from List" sqref="G11:G258" xr:uid="{00000000-0002-0000-0900-000001000000}"/>
    <dataValidation type="list" allowBlank="1" showInputMessage="1" showErrorMessage="1" sqref="K11:K258" xr:uid="{00000000-0002-0000-0900-000002000000}">
      <formula1>INDIRECT(B11)</formula1>
    </dataValidation>
  </dataValidation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8" operator="equal" id="{89E5D34A-84D2-451B-AE19-E1C55CD4AE97}">
            <xm:f>'G-1 All Habitats'!$X$6</xm:f>
            <x14:dxf>
              <fill>
                <patternFill>
                  <fgColor auto="1"/>
                  <bgColor theme="8" tint="0.59996337778862885"/>
                </patternFill>
              </fill>
            </x14:dxf>
          </x14:cfRule>
          <x14:cfRule type="cellIs" priority="221" operator="equal" id="{41051103-CFA0-4D28-ABC8-80C73B0DAD71}">
            <xm:f>'G-1 All Habitats'!$X$5</xm:f>
            <x14:dxf>
              <fill>
                <patternFill>
                  <bgColor theme="8" tint="-0.24994659260841701"/>
                </patternFill>
              </fill>
            </x14:dxf>
          </x14:cfRule>
          <x14:cfRule type="cellIs" priority="222" operator="equal" id="{0D8BC356-8EEA-4D5F-8274-BFC36C55C14A}">
            <xm:f>'G-1 All Habitats'!$X$4</xm:f>
            <x14:dxf>
              <fill>
                <patternFill>
                  <bgColor theme="6"/>
                </patternFill>
              </fill>
            </x14:dxf>
          </x14:cfRule>
          <x14:cfRule type="cellIs" priority="223" operator="equal" id="{30DC79CD-935D-4166-88BF-C5C9590761A5}">
            <xm:f>'G-1 All Habitats'!$X$3</xm:f>
            <x14:dxf>
              <fill>
                <patternFill>
                  <bgColor rgb="FFFF0000"/>
                </patternFill>
              </fill>
            </x14:dxf>
          </x14:cfRule>
          <xm:sqref>P11:P258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350" yWindow="550" count="3">
        <x14:dataValidation type="list" allowBlank="1" showErrorMessage="1" prompt=" _x000a_" xr:uid="{00000000-0002-0000-0900-000004000000}">
          <x14:formula1>
            <xm:f>'G-3 Multipliers'!$L$4:$L$6</xm:f>
          </x14:formula1>
          <xm:sqref>M11:M258</xm:sqref>
        </x14:dataValidation>
        <x14:dataValidation type="list" allowBlank="1" showInputMessage="1" showErrorMessage="1" xr:uid="{00000000-0002-0000-0900-000005000000}">
          <x14:formula1>
            <xm:f>'G-1 All Habitats'!$AF$3:$AF$15</xm:f>
          </x14:formula1>
          <xm:sqref>E11:E258</xm:sqref>
        </x14:dataValidation>
        <x14:dataValidation type="list" allowBlank="1" showInputMessage="1" showErrorMessage="1" xr:uid="{00000000-0002-0000-0900-000003000000}">
          <x14:formula1>
            <xm:f>'G-1 All Habitats'!$AD$3:$AD$4</xm:f>
          </x14:formula1>
          <xm:sqref>Y11:Y258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51</vt:i4>
      </vt:variant>
    </vt:vector>
  </HeadingPairs>
  <TitlesOfParts>
    <vt:vector size="88" baseType="lpstr">
      <vt:lpstr>Introduction</vt:lpstr>
      <vt:lpstr>Start</vt:lpstr>
      <vt:lpstr>Instructions</vt:lpstr>
      <vt:lpstr>Main Menu</vt:lpstr>
      <vt:lpstr>Results</vt:lpstr>
      <vt:lpstr>Headline Results</vt:lpstr>
      <vt:lpstr>Detailed Results</vt:lpstr>
      <vt:lpstr>Trading Summary</vt:lpstr>
      <vt:lpstr>A-1 Site Habitat Baseline</vt:lpstr>
      <vt:lpstr>A-2 Site Habitat Creation</vt:lpstr>
      <vt:lpstr>A-3 Site Habitat Enhancement</vt:lpstr>
      <vt:lpstr>D-1 Off Site Habitat Baseline</vt:lpstr>
      <vt:lpstr>D-2 Off Site Habitat Creation</vt:lpstr>
      <vt:lpstr>D-3 Off Site Habitat Enhancment</vt:lpstr>
      <vt:lpstr>B-1 Site Hedge Baseline</vt:lpstr>
      <vt:lpstr>B-2 Site Hedge Creation</vt:lpstr>
      <vt:lpstr>B-3 Site Hedge Enhancement</vt:lpstr>
      <vt:lpstr>E-1 Off Site Hedge Baseline</vt:lpstr>
      <vt:lpstr>E-2 Off Site Hedge Creation</vt:lpstr>
      <vt:lpstr>E-3 Off Site Hedge Enhancement</vt:lpstr>
      <vt:lpstr>C-1 Site River Baseline</vt:lpstr>
      <vt:lpstr>C-2 Site River Creation</vt:lpstr>
      <vt:lpstr>C-3 Site River Enhancement</vt:lpstr>
      <vt:lpstr>F-1 Off Site River Baseline</vt:lpstr>
      <vt:lpstr>F-2 Off Site River Creation</vt:lpstr>
      <vt:lpstr>F-3 Off Site River Enhancement</vt:lpstr>
      <vt:lpstr>G-1 All Habitats</vt:lpstr>
      <vt:lpstr>G-2 Habitat groups</vt:lpstr>
      <vt:lpstr>G-3 Multipliers</vt:lpstr>
      <vt:lpstr>G-4 Temporal multipliers</vt:lpstr>
      <vt:lpstr>G-5 Enhancement Temporal</vt:lpstr>
      <vt:lpstr>G-6 Hedgerow Data</vt:lpstr>
      <vt:lpstr>G-7 Rivers Data</vt:lpstr>
      <vt:lpstr>G-8 Condition Look up</vt:lpstr>
      <vt:lpstr>G-9 Translation Phase 1</vt:lpstr>
      <vt:lpstr>Technical Data</vt:lpstr>
      <vt:lpstr>Lists</vt:lpstr>
      <vt:lpstr>AllHabsSummaryData</vt:lpstr>
      <vt:lpstr>BaselineHabOffsite</vt:lpstr>
      <vt:lpstr>BaselineHabSite</vt:lpstr>
      <vt:lpstr>baselineimage</vt:lpstr>
      <vt:lpstr>Start!baselineimageOS</vt:lpstr>
      <vt:lpstr>Coastal_lagoons</vt:lpstr>
      <vt:lpstr>Coastal_saltmarsh</vt:lpstr>
      <vt:lpstr>Cond1</vt:lpstr>
      <vt:lpstr>Cond2</vt:lpstr>
      <vt:lpstr>Cond3</vt:lpstr>
      <vt:lpstr>Cond4</vt:lpstr>
      <vt:lpstr>Cond5</vt:lpstr>
      <vt:lpstr>'G-8 Condition Look up'!Condition</vt:lpstr>
      <vt:lpstr>'G-8 Condition Look up'!ConditionData</vt:lpstr>
      <vt:lpstr>'G-8 Condition Look up'!ConditionHabitats</vt:lpstr>
      <vt:lpstr>Cropland</vt:lpstr>
      <vt:lpstr>Difficulty</vt:lpstr>
      <vt:lpstr>EnhanceCondition</vt:lpstr>
      <vt:lpstr>EnhanceHabitat</vt:lpstr>
      <vt:lpstr>EnhanceTemporal</vt:lpstr>
      <vt:lpstr>Grassland</vt:lpstr>
      <vt:lpstr>Heathland_and_shrub</vt:lpstr>
      <vt:lpstr>HedgeCond</vt:lpstr>
      <vt:lpstr>Hedgecond1</vt:lpstr>
      <vt:lpstr>Hedgecond2</vt:lpstr>
      <vt:lpstr>HedgeData</vt:lpstr>
      <vt:lpstr>HedgeType</vt:lpstr>
      <vt:lpstr>Intertidal_hard_structures</vt:lpstr>
      <vt:lpstr>Intertidal_sediment</vt:lpstr>
      <vt:lpstr>Lakes</vt:lpstr>
      <vt:lpstr>LPAList</vt:lpstr>
      <vt:lpstr>postdevelopmentimage</vt:lpstr>
      <vt:lpstr>postdevelopmentimageOS</vt:lpstr>
      <vt:lpstr>RetCatChecks</vt:lpstr>
      <vt:lpstr>riparianencroachment1</vt:lpstr>
      <vt:lpstr>riparianencroachment2</vt:lpstr>
      <vt:lpstr>Rivercond1</vt:lpstr>
      <vt:lpstr>Rivercond2</vt:lpstr>
      <vt:lpstr>RiverCondition</vt:lpstr>
      <vt:lpstr>RiverEnhanceTemporal</vt:lpstr>
      <vt:lpstr>RiverHabitat</vt:lpstr>
      <vt:lpstr>RiversEnhancment</vt:lpstr>
      <vt:lpstr>Rocky_shore</vt:lpstr>
      <vt:lpstr>Sparsely_vegetated_land</vt:lpstr>
      <vt:lpstr>TemporalConditions</vt:lpstr>
      <vt:lpstr>TemporalData</vt:lpstr>
      <vt:lpstr>TemporalHabitats</vt:lpstr>
      <vt:lpstr>TemporalMultipliers</vt:lpstr>
      <vt:lpstr>Urban</vt:lpstr>
      <vt:lpstr>Wetland</vt:lpstr>
      <vt:lpstr>Woodland_and_forest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Panks, Stephen (NE)</dc:creator>
  <cp:lastModifiedBy>Adam Dixon</cp:lastModifiedBy>
  <cp:lastPrinted>2020-02-19T11:28:27Z</cp:lastPrinted>
  <dcterms:created xsi:type="dcterms:W3CDTF">2018-04-09T09:41:18Z</dcterms:created>
  <dcterms:modified xsi:type="dcterms:W3CDTF">2023-01-24T09:57:27Z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MapLocation">
    <vt:lpwstr>IbAjPaSbk3ePRHtS6hz5DWtEIsxudnHPtMNhDhxK/Zs79O84/d8/EiESmCX3O4x+iGBozFVQ86iLJKWIiqy1KTolDvSi8Vf8OjM1i1ZxWJ7MAGn8olQ11OJy4VLUlVZ0Z6pgzsrdXPmjjZOZTCI/60HwxqUaMIFhOJ4P7vT/u+ZioL1SuhHsL7f0GlbGbnCH4AskcBE27qcvInPsX4CsXdnyGPJJwpXkYbNZEPf+lE/Jz3lsCvpWvKMfevzMUjJ</vt:lpwstr>
  </property>
  <property fmtid="{D5CDD505-2E9C-101B-9397-08002B2CF9AE}" pid="3" name="PriorMapLocation">
    <vt:lpwstr>1Set2jh5Jw4elU2PPoGKHvcvzumfxFPbHIuhbuJMhLjnfLTfON8J/Ye95xpJpw92aaWAk2/ZLWGEpKYsye/kp3Ju4yUsLU5KCZY2t+t2kDTU=</vt:lpwstr>
  </property>
  <property fmtid="{D5CDD505-2E9C-101B-9397-08002B2CF9AE}" pid="4" name="MAPCITE Version">
    <vt:lpwstr>Version 1.5.7.0</vt:lpwstr>
  </property>
</Properties>
</file>